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Apps\Dictionary\dict_revised_2015_20260929\"/>
    </mc:Choice>
  </mc:AlternateContent>
  <xr:revisionPtr revIDLastSave="0" documentId="13_ncr:1_{72958496-87C4-41BA-A116-7A0E106E92A1}" xr6:coauthVersionLast="36" xr6:coauthVersionMax="47" xr10:uidLastSave="{00000000-0000-0000-0000-000000000000}"/>
  <bookViews>
    <workbookView xWindow="-120" yWindow="-120" windowWidth="29040" windowHeight="15720" xr2:uid="{160D9D71-776E-4821-925D-0309704EDB2F}"/>
  </bookViews>
  <sheets>
    <sheet name="SingleWord" sheetId="1" r:id="rId1"/>
  </sheets>
  <definedNames>
    <definedName name="_xlnm._FilterDatabase" localSheetId="0" hidden="1">SingleWord!$A$1:$AQ$13418</definedName>
  </definedNames>
  <calcPr calcId="19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R2040" i="1" l="1"/>
  <c r="AR3" i="1"/>
  <c r="AR4" i="1"/>
  <c r="AR5" i="1"/>
  <c r="AR6" i="1"/>
  <c r="AR7" i="1"/>
  <c r="AR8" i="1"/>
  <c r="AR9" i="1"/>
  <c r="AR10" i="1"/>
  <c r="AR11" i="1"/>
  <c r="AR12" i="1"/>
  <c r="AR13" i="1"/>
  <c r="AR14" i="1"/>
  <c r="AR15" i="1"/>
  <c r="AR16" i="1"/>
  <c r="AR17" i="1"/>
  <c r="AR18" i="1"/>
  <c r="AR19" i="1"/>
  <c r="AR20" i="1"/>
  <c r="AR21" i="1"/>
  <c r="AR22" i="1"/>
  <c r="AR23" i="1"/>
  <c r="AR24" i="1"/>
  <c r="AR25" i="1"/>
  <c r="AR26" i="1"/>
  <c r="AR27" i="1"/>
  <c r="AR28" i="1"/>
  <c r="AR29" i="1"/>
  <c r="AR30" i="1"/>
  <c r="AR31" i="1"/>
  <c r="AR32" i="1"/>
  <c r="AR33" i="1"/>
  <c r="AR34" i="1"/>
  <c r="AR35" i="1"/>
  <c r="AR36" i="1"/>
  <c r="AR37" i="1"/>
  <c r="AR38" i="1"/>
  <c r="AR39" i="1"/>
  <c r="AR40" i="1"/>
  <c r="AR41" i="1"/>
  <c r="AR42" i="1"/>
  <c r="AR43" i="1"/>
  <c r="AR44" i="1"/>
  <c r="AR45" i="1"/>
  <c r="AR46" i="1"/>
  <c r="AR47" i="1"/>
  <c r="AR48" i="1"/>
  <c r="AR49" i="1"/>
  <c r="AR50" i="1"/>
  <c r="AR51" i="1"/>
  <c r="AR52" i="1"/>
  <c r="AR53" i="1"/>
  <c r="AR54" i="1"/>
  <c r="AR55" i="1"/>
  <c r="AR56" i="1"/>
  <c r="AR57" i="1"/>
  <c r="AR58" i="1"/>
  <c r="AR59" i="1"/>
  <c r="AR60" i="1"/>
  <c r="AR61" i="1"/>
  <c r="AR62" i="1"/>
  <c r="AR63" i="1"/>
  <c r="AR64" i="1"/>
  <c r="AR65" i="1"/>
  <c r="AR66" i="1"/>
  <c r="AR67" i="1"/>
  <c r="AR68" i="1"/>
  <c r="AR69" i="1"/>
  <c r="AR70" i="1"/>
  <c r="AR71" i="1"/>
  <c r="AR72" i="1"/>
  <c r="AR73" i="1"/>
  <c r="AR74" i="1"/>
  <c r="AR75" i="1"/>
  <c r="AR76" i="1"/>
  <c r="AR77" i="1"/>
  <c r="AR78" i="1"/>
  <c r="AR79" i="1"/>
  <c r="AR80" i="1"/>
  <c r="AR81" i="1"/>
  <c r="AR82" i="1"/>
  <c r="AR83" i="1"/>
  <c r="AR84" i="1"/>
  <c r="AR85" i="1"/>
  <c r="AR86" i="1"/>
  <c r="AR87" i="1"/>
  <c r="AR88" i="1"/>
  <c r="AR89" i="1"/>
  <c r="AR90" i="1"/>
  <c r="AR91" i="1"/>
  <c r="AR92" i="1"/>
  <c r="AR93" i="1"/>
  <c r="AR94" i="1"/>
  <c r="AR95" i="1"/>
  <c r="AR96" i="1"/>
  <c r="AR97" i="1"/>
  <c r="AR98" i="1"/>
  <c r="AR99" i="1"/>
  <c r="AR100" i="1"/>
  <c r="AR101" i="1"/>
  <c r="AR102" i="1"/>
  <c r="AR103" i="1"/>
  <c r="AR104" i="1"/>
  <c r="AR105" i="1"/>
  <c r="AR106" i="1"/>
  <c r="AR107" i="1"/>
  <c r="AR108" i="1"/>
  <c r="AR109" i="1"/>
  <c r="AR110" i="1"/>
  <c r="AR111" i="1"/>
  <c r="AR112" i="1"/>
  <c r="AR113" i="1"/>
  <c r="AR114" i="1"/>
  <c r="AR115" i="1"/>
  <c r="AR116" i="1"/>
  <c r="AR117" i="1"/>
  <c r="AR118" i="1"/>
  <c r="AR119" i="1"/>
  <c r="AR120" i="1"/>
  <c r="AR121" i="1"/>
  <c r="AR122" i="1"/>
  <c r="AR123" i="1"/>
  <c r="AR124" i="1"/>
  <c r="AR125" i="1"/>
  <c r="AR126" i="1"/>
  <c r="AR127" i="1"/>
  <c r="AR128" i="1"/>
  <c r="AR129" i="1"/>
  <c r="AR130" i="1"/>
  <c r="AR131" i="1"/>
  <c r="AR132" i="1"/>
  <c r="AR133" i="1"/>
  <c r="AR134" i="1"/>
  <c r="AR135" i="1"/>
  <c r="AR136" i="1"/>
  <c r="AR137" i="1"/>
  <c r="AR138" i="1"/>
  <c r="AR139" i="1"/>
  <c r="AR140" i="1"/>
  <c r="AR141" i="1"/>
  <c r="AR142" i="1"/>
  <c r="AR143" i="1"/>
  <c r="AR144" i="1"/>
  <c r="AR145" i="1"/>
  <c r="AR146" i="1"/>
  <c r="AR147" i="1"/>
  <c r="AR148" i="1"/>
  <c r="AR149" i="1"/>
  <c r="AR150" i="1"/>
  <c r="AR151" i="1"/>
  <c r="AR152" i="1"/>
  <c r="AR153" i="1"/>
  <c r="AR154" i="1"/>
  <c r="AR155" i="1"/>
  <c r="AR156" i="1"/>
  <c r="AR157" i="1"/>
  <c r="AR158" i="1"/>
  <c r="AR159" i="1"/>
  <c r="AR160" i="1"/>
  <c r="AR161" i="1"/>
  <c r="AR162" i="1"/>
  <c r="AR163" i="1"/>
  <c r="AR164" i="1"/>
  <c r="AR165" i="1"/>
  <c r="AR166" i="1"/>
  <c r="AR167" i="1"/>
  <c r="AR168" i="1"/>
  <c r="AR169" i="1"/>
  <c r="AR170" i="1"/>
  <c r="AR171" i="1"/>
  <c r="AR172" i="1"/>
  <c r="AR173" i="1"/>
  <c r="AR174" i="1"/>
  <c r="AR175" i="1"/>
  <c r="AR176" i="1"/>
  <c r="AR177" i="1"/>
  <c r="AR178" i="1"/>
  <c r="AR179" i="1"/>
  <c r="AR180" i="1"/>
  <c r="AR181" i="1"/>
  <c r="AR182" i="1"/>
  <c r="AR183" i="1"/>
  <c r="AR184" i="1"/>
  <c r="AR185" i="1"/>
  <c r="AR186" i="1"/>
  <c r="AR187" i="1"/>
  <c r="AR188" i="1"/>
  <c r="AR189" i="1"/>
  <c r="AR190" i="1"/>
  <c r="AR191" i="1"/>
  <c r="AR192" i="1"/>
  <c r="AR193" i="1"/>
  <c r="AR194" i="1"/>
  <c r="AR195" i="1"/>
  <c r="AR196" i="1"/>
  <c r="AR197" i="1"/>
  <c r="AR198" i="1"/>
  <c r="AR199" i="1"/>
  <c r="AR200" i="1"/>
  <c r="AR201" i="1"/>
  <c r="AR202" i="1"/>
  <c r="AR203" i="1"/>
  <c r="AR204" i="1"/>
  <c r="AR205" i="1"/>
  <c r="AR206" i="1"/>
  <c r="AR207" i="1"/>
  <c r="AR208" i="1"/>
  <c r="AR209" i="1"/>
  <c r="AR210" i="1"/>
  <c r="AR211" i="1"/>
  <c r="AR212" i="1"/>
  <c r="AR213" i="1"/>
  <c r="AR214" i="1"/>
  <c r="AR215" i="1"/>
  <c r="AR216" i="1"/>
  <c r="AR217" i="1"/>
  <c r="AR218" i="1"/>
  <c r="AR219" i="1"/>
  <c r="AR220" i="1"/>
  <c r="AR221" i="1"/>
  <c r="AR222" i="1"/>
  <c r="AR223" i="1"/>
  <c r="AR224" i="1"/>
  <c r="AR225" i="1"/>
  <c r="AR226" i="1"/>
  <c r="AR227" i="1"/>
  <c r="AR228" i="1"/>
  <c r="AR229" i="1"/>
  <c r="AR230" i="1"/>
  <c r="AR231" i="1"/>
  <c r="AR232" i="1"/>
  <c r="AR233" i="1"/>
  <c r="AR234" i="1"/>
  <c r="AR235" i="1"/>
  <c r="AR236" i="1"/>
  <c r="AR237" i="1"/>
  <c r="AR238" i="1"/>
  <c r="AR239" i="1"/>
  <c r="AR240" i="1"/>
  <c r="AR241" i="1"/>
  <c r="AR242" i="1"/>
  <c r="AR243" i="1"/>
  <c r="AR244" i="1"/>
  <c r="AR245" i="1"/>
  <c r="AR246" i="1"/>
  <c r="AR247" i="1"/>
  <c r="AR248" i="1"/>
  <c r="AR249" i="1"/>
  <c r="AR250" i="1"/>
  <c r="AR251" i="1"/>
  <c r="AR252" i="1"/>
  <c r="AR253" i="1"/>
  <c r="AR254" i="1"/>
  <c r="AR255" i="1"/>
  <c r="AR256" i="1"/>
  <c r="AR257" i="1"/>
  <c r="AR258" i="1"/>
  <c r="AR259" i="1"/>
  <c r="AR260" i="1"/>
  <c r="AR261" i="1"/>
  <c r="AR262" i="1"/>
  <c r="AR263" i="1"/>
  <c r="AR264" i="1"/>
  <c r="AR265" i="1"/>
  <c r="AR266" i="1"/>
  <c r="AR267" i="1"/>
  <c r="AR268" i="1"/>
  <c r="AR269" i="1"/>
  <c r="AR270" i="1"/>
  <c r="AR271" i="1"/>
  <c r="AR272" i="1"/>
  <c r="AR273" i="1"/>
  <c r="AR274" i="1"/>
  <c r="AR275" i="1"/>
  <c r="AR276" i="1"/>
  <c r="AR277" i="1"/>
  <c r="AR278" i="1"/>
  <c r="AR279" i="1"/>
  <c r="AR280" i="1"/>
  <c r="AR281" i="1"/>
  <c r="AR282" i="1"/>
  <c r="AR283" i="1"/>
  <c r="AR284" i="1"/>
  <c r="AR285" i="1"/>
  <c r="AR286" i="1"/>
  <c r="AR287" i="1"/>
  <c r="AR288" i="1"/>
  <c r="AR289" i="1"/>
  <c r="AR290" i="1"/>
  <c r="AR291" i="1"/>
  <c r="AR292" i="1"/>
  <c r="AR293" i="1"/>
  <c r="AR294" i="1"/>
  <c r="AR295" i="1"/>
  <c r="AR296" i="1"/>
  <c r="AR297" i="1"/>
  <c r="AR298" i="1"/>
  <c r="AR299" i="1"/>
  <c r="AR300" i="1"/>
  <c r="AR301" i="1"/>
  <c r="AR302" i="1"/>
  <c r="AR303" i="1"/>
  <c r="AR304" i="1"/>
  <c r="AR305" i="1"/>
  <c r="AR306" i="1"/>
  <c r="AR307" i="1"/>
  <c r="AR308" i="1"/>
  <c r="AR309" i="1"/>
  <c r="AR310" i="1"/>
  <c r="AR311" i="1"/>
  <c r="AR312" i="1"/>
  <c r="AR313" i="1"/>
  <c r="AR314" i="1"/>
  <c r="AR315" i="1"/>
  <c r="AR316" i="1"/>
  <c r="AR317" i="1"/>
  <c r="AR318" i="1"/>
  <c r="AR319" i="1"/>
  <c r="AR320" i="1"/>
  <c r="AR321" i="1"/>
  <c r="AR322" i="1"/>
  <c r="AR323" i="1"/>
  <c r="AR324" i="1"/>
  <c r="AR325" i="1"/>
  <c r="AR326" i="1"/>
  <c r="AR327" i="1"/>
  <c r="AR328" i="1"/>
  <c r="AR329" i="1"/>
  <c r="AR330" i="1"/>
  <c r="AR331" i="1"/>
  <c r="AR332" i="1"/>
  <c r="AR333" i="1"/>
  <c r="AR334" i="1"/>
  <c r="AR335" i="1"/>
  <c r="AR336" i="1"/>
  <c r="AR337" i="1"/>
  <c r="AR338" i="1"/>
  <c r="AR339" i="1"/>
  <c r="AR340" i="1"/>
  <c r="AR341" i="1"/>
  <c r="AR342" i="1"/>
  <c r="AR343" i="1"/>
  <c r="AR344" i="1"/>
  <c r="AR345" i="1"/>
  <c r="AR346" i="1"/>
  <c r="AR347" i="1"/>
  <c r="AR348" i="1"/>
  <c r="AR349" i="1"/>
  <c r="AR350" i="1"/>
  <c r="AR351" i="1"/>
  <c r="AR352" i="1"/>
  <c r="AR353" i="1"/>
  <c r="AR354" i="1"/>
  <c r="AR355" i="1"/>
  <c r="AR356" i="1"/>
  <c r="AR357" i="1"/>
  <c r="AR358" i="1"/>
  <c r="AR359" i="1"/>
  <c r="AR360" i="1"/>
  <c r="AR361" i="1"/>
  <c r="AR362" i="1"/>
  <c r="AR363" i="1"/>
  <c r="AR364" i="1"/>
  <c r="AR365" i="1"/>
  <c r="AR366" i="1"/>
  <c r="AR367" i="1"/>
  <c r="AR368" i="1"/>
  <c r="AR369" i="1"/>
  <c r="AR370" i="1"/>
  <c r="AR371" i="1"/>
  <c r="AR372" i="1"/>
  <c r="AR373" i="1"/>
  <c r="AR374" i="1"/>
  <c r="AR375" i="1"/>
  <c r="AR376" i="1"/>
  <c r="AR377" i="1"/>
  <c r="AR378" i="1"/>
  <c r="AR379" i="1"/>
  <c r="AR380" i="1"/>
  <c r="AR381" i="1"/>
  <c r="AR382" i="1"/>
  <c r="AR383" i="1"/>
  <c r="AR384" i="1"/>
  <c r="AR385" i="1"/>
  <c r="AR386" i="1"/>
  <c r="AR387" i="1"/>
  <c r="AR388" i="1"/>
  <c r="AR389" i="1"/>
  <c r="AR390" i="1"/>
  <c r="AR391" i="1"/>
  <c r="AR392" i="1"/>
  <c r="AR393" i="1"/>
  <c r="AR394" i="1"/>
  <c r="AR395" i="1"/>
  <c r="AR396" i="1"/>
  <c r="AR397" i="1"/>
  <c r="AR398" i="1"/>
  <c r="AR399" i="1"/>
  <c r="AR400" i="1"/>
  <c r="AR401" i="1"/>
  <c r="AR402" i="1"/>
  <c r="AR403" i="1"/>
  <c r="AR404" i="1"/>
  <c r="AR405" i="1"/>
  <c r="AR406" i="1"/>
  <c r="AR407" i="1"/>
  <c r="AR408" i="1"/>
  <c r="AR409" i="1"/>
  <c r="AR410" i="1"/>
  <c r="AR411" i="1"/>
  <c r="AR412" i="1"/>
  <c r="AR413" i="1"/>
  <c r="AR414" i="1"/>
  <c r="AR415" i="1"/>
  <c r="AR416" i="1"/>
  <c r="AR417" i="1"/>
  <c r="AR418" i="1"/>
  <c r="AR419" i="1"/>
  <c r="AR420" i="1"/>
  <c r="AR421" i="1"/>
  <c r="AR422" i="1"/>
  <c r="AR423" i="1"/>
  <c r="AR424" i="1"/>
  <c r="AR425" i="1"/>
  <c r="AR426" i="1"/>
  <c r="AR427" i="1"/>
  <c r="AR428" i="1"/>
  <c r="AR429" i="1"/>
  <c r="AR430" i="1"/>
  <c r="AR431" i="1"/>
  <c r="AR432" i="1"/>
  <c r="AR433" i="1"/>
  <c r="AR434" i="1"/>
  <c r="AR435" i="1"/>
  <c r="AR436" i="1"/>
  <c r="AR437" i="1"/>
  <c r="AR438" i="1"/>
  <c r="AR439" i="1"/>
  <c r="AR440" i="1"/>
  <c r="AR441" i="1"/>
  <c r="AR442" i="1"/>
  <c r="AR443" i="1"/>
  <c r="AR444" i="1"/>
  <c r="AR445" i="1"/>
  <c r="AR446" i="1"/>
  <c r="AR447" i="1"/>
  <c r="AR448" i="1"/>
  <c r="AR449" i="1"/>
  <c r="AR450" i="1"/>
  <c r="AR451" i="1"/>
  <c r="AR452" i="1"/>
  <c r="AR453" i="1"/>
  <c r="AR454" i="1"/>
  <c r="AR455" i="1"/>
  <c r="AR456" i="1"/>
  <c r="AR457" i="1"/>
  <c r="AR458" i="1"/>
  <c r="AR459" i="1"/>
  <c r="AR460" i="1"/>
  <c r="AR461" i="1"/>
  <c r="AR462" i="1"/>
  <c r="AR463" i="1"/>
  <c r="AR464" i="1"/>
  <c r="AR465" i="1"/>
  <c r="AR466" i="1"/>
  <c r="AR467" i="1"/>
  <c r="AR468" i="1"/>
  <c r="AR469" i="1"/>
  <c r="AR470" i="1"/>
  <c r="AR471" i="1"/>
  <c r="AR472" i="1"/>
  <c r="AR473" i="1"/>
  <c r="AR474" i="1"/>
  <c r="AR475" i="1"/>
  <c r="AR476" i="1"/>
  <c r="AR477" i="1"/>
  <c r="AR478" i="1"/>
  <c r="AR479" i="1"/>
  <c r="AR480" i="1"/>
  <c r="AR481" i="1"/>
  <c r="AR482" i="1"/>
  <c r="AR483" i="1"/>
  <c r="AR484" i="1"/>
  <c r="AR485" i="1"/>
  <c r="AR486" i="1"/>
  <c r="AR487" i="1"/>
  <c r="AR488" i="1"/>
  <c r="AR489" i="1"/>
  <c r="AR490" i="1"/>
  <c r="AR491" i="1"/>
  <c r="AR492" i="1"/>
  <c r="AR493" i="1"/>
  <c r="AR494" i="1"/>
  <c r="AR495" i="1"/>
  <c r="AR496" i="1"/>
  <c r="AR497" i="1"/>
  <c r="AR498" i="1"/>
  <c r="AR499" i="1"/>
  <c r="AR500" i="1"/>
  <c r="AR501" i="1"/>
  <c r="AR502" i="1"/>
  <c r="AR503" i="1"/>
  <c r="AR504" i="1"/>
  <c r="AR505" i="1"/>
  <c r="AR506" i="1"/>
  <c r="AR507" i="1"/>
  <c r="AR508" i="1"/>
  <c r="AR509" i="1"/>
  <c r="AR510" i="1"/>
  <c r="AR511" i="1"/>
  <c r="AR512" i="1"/>
  <c r="AR513" i="1"/>
  <c r="AR514" i="1"/>
  <c r="AR515" i="1"/>
  <c r="AR516" i="1"/>
  <c r="AR517" i="1"/>
  <c r="AR518" i="1"/>
  <c r="AR519" i="1"/>
  <c r="AR520" i="1"/>
  <c r="AR521" i="1"/>
  <c r="AR522" i="1"/>
  <c r="AR523" i="1"/>
  <c r="AR524" i="1"/>
  <c r="AR525" i="1"/>
  <c r="AR526" i="1"/>
  <c r="AR527" i="1"/>
  <c r="AR528" i="1"/>
  <c r="AR529" i="1"/>
  <c r="AR530" i="1"/>
  <c r="AR531" i="1"/>
  <c r="AR532" i="1"/>
  <c r="AR533" i="1"/>
  <c r="AR534" i="1"/>
  <c r="AR535" i="1"/>
  <c r="AR536" i="1"/>
  <c r="AR537" i="1"/>
  <c r="AR538" i="1"/>
  <c r="AR539" i="1"/>
  <c r="AR540" i="1"/>
  <c r="AR541" i="1"/>
  <c r="AR542" i="1"/>
  <c r="AR543" i="1"/>
  <c r="AR544" i="1"/>
  <c r="AR545" i="1"/>
  <c r="AR546" i="1"/>
  <c r="AR547" i="1"/>
  <c r="AR548" i="1"/>
  <c r="AR549" i="1"/>
  <c r="AR550" i="1"/>
  <c r="AR551" i="1"/>
  <c r="AR552" i="1"/>
  <c r="AR553" i="1"/>
  <c r="AR554" i="1"/>
  <c r="AR555" i="1"/>
  <c r="AR556" i="1"/>
  <c r="AR557" i="1"/>
  <c r="AR558" i="1"/>
  <c r="AR559" i="1"/>
  <c r="AR560" i="1"/>
  <c r="AR561" i="1"/>
  <c r="AR562" i="1"/>
  <c r="AR563" i="1"/>
  <c r="AR564" i="1"/>
  <c r="AR565" i="1"/>
  <c r="AR566" i="1"/>
  <c r="AR567" i="1"/>
  <c r="AR568" i="1"/>
  <c r="AR569" i="1"/>
  <c r="AR570" i="1"/>
  <c r="AR571" i="1"/>
  <c r="AR572" i="1"/>
  <c r="AR573" i="1"/>
  <c r="AR574" i="1"/>
  <c r="AR575" i="1"/>
  <c r="AR576" i="1"/>
  <c r="AR577" i="1"/>
  <c r="AR578" i="1"/>
  <c r="AR579" i="1"/>
  <c r="AR580" i="1"/>
  <c r="AR581" i="1"/>
  <c r="AR582" i="1"/>
  <c r="AR583" i="1"/>
  <c r="AR584" i="1"/>
  <c r="AR585" i="1"/>
  <c r="AR586" i="1"/>
  <c r="AR587" i="1"/>
  <c r="AR588" i="1"/>
  <c r="AR589" i="1"/>
  <c r="AR590" i="1"/>
  <c r="AR591" i="1"/>
  <c r="AR592" i="1"/>
  <c r="AR593" i="1"/>
  <c r="AR594" i="1"/>
  <c r="AR595" i="1"/>
  <c r="AR596" i="1"/>
  <c r="AR597" i="1"/>
  <c r="AR598" i="1"/>
  <c r="AR599" i="1"/>
  <c r="AR600" i="1"/>
  <c r="AR601" i="1"/>
  <c r="AR602" i="1"/>
  <c r="AR603" i="1"/>
  <c r="AR604" i="1"/>
  <c r="AR605" i="1"/>
  <c r="AR606" i="1"/>
  <c r="AR607" i="1"/>
  <c r="AR608" i="1"/>
  <c r="AR609" i="1"/>
  <c r="AR610" i="1"/>
  <c r="AR611" i="1"/>
  <c r="AR612" i="1"/>
  <c r="AR613" i="1"/>
  <c r="AR614" i="1"/>
  <c r="AR615" i="1"/>
  <c r="AR616" i="1"/>
  <c r="AR617" i="1"/>
  <c r="AR618" i="1"/>
  <c r="AR619" i="1"/>
  <c r="AR620" i="1"/>
  <c r="AR621" i="1"/>
  <c r="AR622" i="1"/>
  <c r="AR623" i="1"/>
  <c r="AR624" i="1"/>
  <c r="AR625" i="1"/>
  <c r="AR626" i="1"/>
  <c r="AR627" i="1"/>
  <c r="AR628" i="1"/>
  <c r="AR629" i="1"/>
  <c r="AR630" i="1"/>
  <c r="AR631" i="1"/>
  <c r="AR632" i="1"/>
  <c r="AR633" i="1"/>
  <c r="AR634" i="1"/>
  <c r="AR635" i="1"/>
  <c r="AR636" i="1"/>
  <c r="AR637" i="1"/>
  <c r="AR638" i="1"/>
  <c r="AR639" i="1"/>
  <c r="AR640" i="1"/>
  <c r="AR641" i="1"/>
  <c r="AR642" i="1"/>
  <c r="AR643" i="1"/>
  <c r="AR644" i="1"/>
  <c r="AR645" i="1"/>
  <c r="AR646" i="1"/>
  <c r="AR647" i="1"/>
  <c r="AR648" i="1"/>
  <c r="AR649" i="1"/>
  <c r="AR650" i="1"/>
  <c r="AR651" i="1"/>
  <c r="AR652" i="1"/>
  <c r="AR653" i="1"/>
  <c r="AR654" i="1"/>
  <c r="AR655" i="1"/>
  <c r="AR656" i="1"/>
  <c r="AR657" i="1"/>
  <c r="AR658" i="1"/>
  <c r="AR659" i="1"/>
  <c r="AR660" i="1"/>
  <c r="AR661" i="1"/>
  <c r="AR662" i="1"/>
  <c r="AR663" i="1"/>
  <c r="AR664" i="1"/>
  <c r="AR665" i="1"/>
  <c r="AR666" i="1"/>
  <c r="AR667" i="1"/>
  <c r="AR668" i="1"/>
  <c r="AR669" i="1"/>
  <c r="AR670" i="1"/>
  <c r="AR671" i="1"/>
  <c r="AR672" i="1"/>
  <c r="AR673" i="1"/>
  <c r="AR674" i="1"/>
  <c r="AR675" i="1"/>
  <c r="AR676" i="1"/>
  <c r="AR677" i="1"/>
  <c r="AR678" i="1"/>
  <c r="AR679" i="1"/>
  <c r="AR680" i="1"/>
  <c r="AR681" i="1"/>
  <c r="AR682" i="1"/>
  <c r="AR683" i="1"/>
  <c r="AR684" i="1"/>
  <c r="AR685" i="1"/>
  <c r="AR686" i="1"/>
  <c r="AR687" i="1"/>
  <c r="AR688" i="1"/>
  <c r="AR689" i="1"/>
  <c r="AR690" i="1"/>
  <c r="AR691" i="1"/>
  <c r="AR692" i="1"/>
  <c r="AR693" i="1"/>
  <c r="AR694" i="1"/>
  <c r="AR695" i="1"/>
  <c r="AR696" i="1"/>
  <c r="AR697" i="1"/>
  <c r="AR698" i="1"/>
  <c r="AR699" i="1"/>
  <c r="AR700" i="1"/>
  <c r="AR701" i="1"/>
  <c r="AR702" i="1"/>
  <c r="AR703" i="1"/>
  <c r="AR704" i="1"/>
  <c r="AR705" i="1"/>
  <c r="AR706" i="1"/>
  <c r="AR707" i="1"/>
  <c r="AR708" i="1"/>
  <c r="AR709" i="1"/>
  <c r="AR710" i="1"/>
  <c r="AR711" i="1"/>
  <c r="AR712" i="1"/>
  <c r="AR713" i="1"/>
  <c r="AR714" i="1"/>
  <c r="AR715" i="1"/>
  <c r="AR716" i="1"/>
  <c r="AR717" i="1"/>
  <c r="AR718" i="1"/>
  <c r="AR719" i="1"/>
  <c r="AR720" i="1"/>
  <c r="AR721" i="1"/>
  <c r="AR722" i="1"/>
  <c r="AR723" i="1"/>
  <c r="AR724" i="1"/>
  <c r="AR725" i="1"/>
  <c r="AR726" i="1"/>
  <c r="AR727" i="1"/>
  <c r="AR728" i="1"/>
  <c r="AR729" i="1"/>
  <c r="AR730" i="1"/>
  <c r="AR731" i="1"/>
  <c r="AR732" i="1"/>
  <c r="AR733" i="1"/>
  <c r="AR734" i="1"/>
  <c r="AR735" i="1"/>
  <c r="AR736" i="1"/>
  <c r="AR737" i="1"/>
  <c r="AR738" i="1"/>
  <c r="AR739" i="1"/>
  <c r="AR740" i="1"/>
  <c r="AR741" i="1"/>
  <c r="AR742" i="1"/>
  <c r="AR743" i="1"/>
  <c r="AR744" i="1"/>
  <c r="AR745" i="1"/>
  <c r="AR746" i="1"/>
  <c r="AR747" i="1"/>
  <c r="AR748" i="1"/>
  <c r="AR749" i="1"/>
  <c r="AR750" i="1"/>
  <c r="AR751" i="1"/>
  <c r="AR752" i="1"/>
  <c r="AR753" i="1"/>
  <c r="AR754" i="1"/>
  <c r="AR755" i="1"/>
  <c r="AR756" i="1"/>
  <c r="AR757" i="1"/>
  <c r="AR758" i="1"/>
  <c r="AR759" i="1"/>
  <c r="AR760" i="1"/>
  <c r="AR761" i="1"/>
  <c r="AR762" i="1"/>
  <c r="AR763" i="1"/>
  <c r="AR764" i="1"/>
  <c r="AR765" i="1"/>
  <c r="AR766" i="1"/>
  <c r="AR767" i="1"/>
  <c r="AR768" i="1"/>
  <c r="AR769" i="1"/>
  <c r="AR770" i="1"/>
  <c r="AR771" i="1"/>
  <c r="AR772" i="1"/>
  <c r="AR773" i="1"/>
  <c r="AR774" i="1"/>
  <c r="AR775" i="1"/>
  <c r="AR776" i="1"/>
  <c r="AR777" i="1"/>
  <c r="AR778" i="1"/>
  <c r="AR779" i="1"/>
  <c r="AR780" i="1"/>
  <c r="AR781" i="1"/>
  <c r="AR782" i="1"/>
  <c r="AR783" i="1"/>
  <c r="AR784" i="1"/>
  <c r="AR785" i="1"/>
  <c r="AR786" i="1"/>
  <c r="AR787" i="1"/>
  <c r="AR788" i="1"/>
  <c r="AR789" i="1"/>
  <c r="AR790" i="1"/>
  <c r="AR791" i="1"/>
  <c r="AR792" i="1"/>
  <c r="AR793" i="1"/>
  <c r="AR794" i="1"/>
  <c r="AR795" i="1"/>
  <c r="AR796" i="1"/>
  <c r="AR797" i="1"/>
  <c r="AR798" i="1"/>
  <c r="AR799" i="1"/>
  <c r="AR800" i="1"/>
  <c r="AR801" i="1"/>
  <c r="AR802" i="1"/>
  <c r="AR803" i="1"/>
  <c r="AR804" i="1"/>
  <c r="AR805" i="1"/>
  <c r="AR806" i="1"/>
  <c r="AR807" i="1"/>
  <c r="AR808" i="1"/>
  <c r="AR809" i="1"/>
  <c r="AR810" i="1"/>
  <c r="AR811" i="1"/>
  <c r="AR812" i="1"/>
  <c r="AR813" i="1"/>
  <c r="AR814" i="1"/>
  <c r="AR815" i="1"/>
  <c r="AR816" i="1"/>
  <c r="AR817" i="1"/>
  <c r="AR818" i="1"/>
  <c r="AR819" i="1"/>
  <c r="AR820" i="1"/>
  <c r="AR821" i="1"/>
  <c r="AR822" i="1"/>
  <c r="AR823" i="1"/>
  <c r="AR824" i="1"/>
  <c r="AR825" i="1"/>
  <c r="AR826" i="1"/>
  <c r="AR827" i="1"/>
  <c r="AR828" i="1"/>
  <c r="AR829" i="1"/>
  <c r="AR830" i="1"/>
  <c r="AR831" i="1"/>
  <c r="AR832" i="1"/>
  <c r="AR833" i="1"/>
  <c r="AR834" i="1"/>
  <c r="AR835" i="1"/>
  <c r="AR836" i="1"/>
  <c r="AR837" i="1"/>
  <c r="AR838" i="1"/>
  <c r="AR839" i="1"/>
  <c r="AR840" i="1"/>
  <c r="AR841" i="1"/>
  <c r="AR842" i="1"/>
  <c r="AR843" i="1"/>
  <c r="AR844" i="1"/>
  <c r="AR845" i="1"/>
  <c r="AR846" i="1"/>
  <c r="AR847" i="1"/>
  <c r="AR848" i="1"/>
  <c r="AR849" i="1"/>
  <c r="AR850" i="1"/>
  <c r="AR851" i="1"/>
  <c r="AR852" i="1"/>
  <c r="AR853" i="1"/>
  <c r="AR854" i="1"/>
  <c r="AR855" i="1"/>
  <c r="AR856" i="1"/>
  <c r="AR857" i="1"/>
  <c r="AR858" i="1"/>
  <c r="AR859" i="1"/>
  <c r="AR860" i="1"/>
  <c r="AR861" i="1"/>
  <c r="AR862" i="1"/>
  <c r="AR863" i="1"/>
  <c r="AR864" i="1"/>
  <c r="AR865" i="1"/>
  <c r="AR866" i="1"/>
  <c r="AR867" i="1"/>
  <c r="AR868" i="1"/>
  <c r="AR869" i="1"/>
  <c r="AR870" i="1"/>
  <c r="AR871" i="1"/>
  <c r="AR872" i="1"/>
  <c r="AR873" i="1"/>
  <c r="AR874" i="1"/>
  <c r="AR875" i="1"/>
  <c r="AR876" i="1"/>
  <c r="AR877" i="1"/>
  <c r="AR878" i="1"/>
  <c r="AR879" i="1"/>
  <c r="AR880" i="1"/>
  <c r="AR881" i="1"/>
  <c r="AR882" i="1"/>
  <c r="AR883" i="1"/>
  <c r="AR884" i="1"/>
  <c r="AR885" i="1"/>
  <c r="AR886" i="1"/>
  <c r="AR887" i="1"/>
  <c r="AR888" i="1"/>
  <c r="AR889" i="1"/>
  <c r="AR890" i="1"/>
  <c r="AR891" i="1"/>
  <c r="AR892" i="1"/>
  <c r="AR893" i="1"/>
  <c r="AR894" i="1"/>
  <c r="AR895" i="1"/>
  <c r="AR896" i="1"/>
  <c r="AR897" i="1"/>
  <c r="AR898" i="1"/>
  <c r="AR899" i="1"/>
  <c r="AR900" i="1"/>
  <c r="AR901" i="1"/>
  <c r="AR902" i="1"/>
  <c r="AR903" i="1"/>
  <c r="AR904" i="1"/>
  <c r="AR905" i="1"/>
  <c r="AR906" i="1"/>
  <c r="AR907" i="1"/>
  <c r="AR908" i="1"/>
  <c r="AR909" i="1"/>
  <c r="AR910" i="1"/>
  <c r="AR911" i="1"/>
  <c r="AR912" i="1"/>
  <c r="AR913" i="1"/>
  <c r="AR914" i="1"/>
  <c r="AR915" i="1"/>
  <c r="AR916" i="1"/>
  <c r="AR917" i="1"/>
  <c r="AR918" i="1"/>
  <c r="AR919" i="1"/>
  <c r="AR920" i="1"/>
  <c r="AR921" i="1"/>
  <c r="AR922" i="1"/>
  <c r="AR923" i="1"/>
  <c r="AR924" i="1"/>
  <c r="AR925" i="1"/>
  <c r="AR926" i="1"/>
  <c r="AR927" i="1"/>
  <c r="AR928" i="1"/>
  <c r="AR929" i="1"/>
  <c r="AR930" i="1"/>
  <c r="AR931" i="1"/>
  <c r="AR932" i="1"/>
  <c r="AR933" i="1"/>
  <c r="AR934" i="1"/>
  <c r="AR935" i="1"/>
  <c r="AR936" i="1"/>
  <c r="AR937" i="1"/>
  <c r="AR938" i="1"/>
  <c r="AR939" i="1"/>
  <c r="AR940" i="1"/>
  <c r="AR941" i="1"/>
  <c r="AR942" i="1"/>
  <c r="AR943" i="1"/>
  <c r="AR944" i="1"/>
  <c r="AR945" i="1"/>
  <c r="AR946" i="1"/>
  <c r="AR947" i="1"/>
  <c r="AR948" i="1"/>
  <c r="AR949" i="1"/>
  <c r="AR950" i="1"/>
  <c r="AR951" i="1"/>
  <c r="AR952" i="1"/>
  <c r="AR953" i="1"/>
  <c r="AR954" i="1"/>
  <c r="AR955" i="1"/>
  <c r="AR956" i="1"/>
  <c r="AR957" i="1"/>
  <c r="AR958" i="1"/>
  <c r="AR959" i="1"/>
  <c r="AR960" i="1"/>
  <c r="AR961" i="1"/>
  <c r="AR962" i="1"/>
  <c r="AR963" i="1"/>
  <c r="AR964" i="1"/>
  <c r="AR965" i="1"/>
  <c r="AR966" i="1"/>
  <c r="AR967" i="1"/>
  <c r="AR968" i="1"/>
  <c r="AR969" i="1"/>
  <c r="AR970" i="1"/>
  <c r="AR971" i="1"/>
  <c r="AR972" i="1"/>
  <c r="AR973" i="1"/>
  <c r="AR974" i="1"/>
  <c r="AR975" i="1"/>
  <c r="AR976" i="1"/>
  <c r="AR977" i="1"/>
  <c r="AR978" i="1"/>
  <c r="AR979" i="1"/>
  <c r="AR980" i="1"/>
  <c r="AR981" i="1"/>
  <c r="AR982" i="1"/>
  <c r="AR983" i="1"/>
  <c r="AR984" i="1"/>
  <c r="AR985" i="1"/>
  <c r="AR986" i="1"/>
  <c r="AR987" i="1"/>
  <c r="AR988" i="1"/>
  <c r="AR989" i="1"/>
  <c r="AR990" i="1"/>
  <c r="AR991" i="1"/>
  <c r="AR992" i="1"/>
  <c r="AR993" i="1"/>
  <c r="AR994" i="1"/>
  <c r="AR995" i="1"/>
  <c r="AR996" i="1"/>
  <c r="AR997" i="1"/>
  <c r="AR998" i="1"/>
  <c r="AR999" i="1"/>
  <c r="AR1000" i="1"/>
  <c r="AR1001" i="1"/>
  <c r="AR1002" i="1"/>
  <c r="AR1003" i="1"/>
  <c r="AR1004" i="1"/>
  <c r="AR1005" i="1"/>
  <c r="AR1006" i="1"/>
  <c r="AR1007" i="1"/>
  <c r="AR1008" i="1"/>
  <c r="AR1009" i="1"/>
  <c r="AR1010" i="1"/>
  <c r="AR1011" i="1"/>
  <c r="AR1012" i="1"/>
  <c r="AR1013" i="1"/>
  <c r="AR1014" i="1"/>
  <c r="AR1015" i="1"/>
  <c r="AR1016" i="1"/>
  <c r="AR1017" i="1"/>
  <c r="AR1018" i="1"/>
  <c r="AR1019" i="1"/>
  <c r="AR1020" i="1"/>
  <c r="AR1021" i="1"/>
  <c r="AR1022" i="1"/>
  <c r="AR1023" i="1"/>
  <c r="AR1024" i="1"/>
  <c r="AR1025" i="1"/>
  <c r="AR1026" i="1"/>
  <c r="AR1027" i="1"/>
  <c r="AR1028" i="1"/>
  <c r="AR1029" i="1"/>
  <c r="AR1030" i="1"/>
  <c r="AR1031" i="1"/>
  <c r="AR1032" i="1"/>
  <c r="AR1033" i="1"/>
  <c r="AR1034" i="1"/>
  <c r="AR1035" i="1"/>
  <c r="AR1036" i="1"/>
  <c r="AR1037" i="1"/>
  <c r="AR1038" i="1"/>
  <c r="AR1039" i="1"/>
  <c r="AR1040" i="1"/>
  <c r="AR1041" i="1"/>
  <c r="AR1042" i="1"/>
  <c r="AR1043" i="1"/>
  <c r="AR1044" i="1"/>
  <c r="AR1045" i="1"/>
  <c r="AR1046" i="1"/>
  <c r="AR1047" i="1"/>
  <c r="AR1048" i="1"/>
  <c r="AR1049" i="1"/>
  <c r="AR1050" i="1"/>
  <c r="AR1051" i="1"/>
  <c r="AR1052" i="1"/>
  <c r="AR1053" i="1"/>
  <c r="AR1054" i="1"/>
  <c r="AR1055" i="1"/>
  <c r="AR1056" i="1"/>
  <c r="AR1057" i="1"/>
  <c r="AR1058" i="1"/>
  <c r="AR1059" i="1"/>
  <c r="AR1060" i="1"/>
  <c r="AR1061" i="1"/>
  <c r="AR1062" i="1"/>
  <c r="AR1063" i="1"/>
  <c r="AR1064" i="1"/>
  <c r="AR1065" i="1"/>
  <c r="AR1066" i="1"/>
  <c r="AR1067" i="1"/>
  <c r="AR1068" i="1"/>
  <c r="AR1069" i="1"/>
  <c r="AR1070" i="1"/>
  <c r="AR1071" i="1"/>
  <c r="AR1072" i="1"/>
  <c r="AR1073" i="1"/>
  <c r="AR1074" i="1"/>
  <c r="AR1075" i="1"/>
  <c r="AR1076" i="1"/>
  <c r="AR1077" i="1"/>
  <c r="AR1078" i="1"/>
  <c r="AR1079" i="1"/>
  <c r="AR1080" i="1"/>
  <c r="AR1081" i="1"/>
  <c r="AR1082" i="1"/>
  <c r="AR1083" i="1"/>
  <c r="AR1084" i="1"/>
  <c r="AR1085" i="1"/>
  <c r="AR1086" i="1"/>
  <c r="AR1087" i="1"/>
  <c r="AR1088" i="1"/>
  <c r="AR1089" i="1"/>
  <c r="AR1090" i="1"/>
  <c r="AR1091" i="1"/>
  <c r="AR1092" i="1"/>
  <c r="AR1093" i="1"/>
  <c r="AR1094" i="1"/>
  <c r="AR1095" i="1"/>
  <c r="AR1096" i="1"/>
  <c r="AR1097" i="1"/>
  <c r="AR1098" i="1"/>
  <c r="AR1099" i="1"/>
  <c r="AR1100" i="1"/>
  <c r="AR1101" i="1"/>
  <c r="AR1102" i="1"/>
  <c r="AR1103" i="1"/>
  <c r="AR1104" i="1"/>
  <c r="AR1105" i="1"/>
  <c r="AR1106" i="1"/>
  <c r="AR1107" i="1"/>
  <c r="AR1108" i="1"/>
  <c r="AR1109" i="1"/>
  <c r="AR1110" i="1"/>
  <c r="AR1111" i="1"/>
  <c r="AR1112" i="1"/>
  <c r="AR1113" i="1"/>
  <c r="AR1114" i="1"/>
  <c r="AR1115" i="1"/>
  <c r="AR1116" i="1"/>
  <c r="AR1117" i="1"/>
  <c r="AR1118" i="1"/>
  <c r="AR1119" i="1"/>
  <c r="AR1120" i="1"/>
  <c r="AR1121" i="1"/>
  <c r="AR1122" i="1"/>
  <c r="AR1123" i="1"/>
  <c r="AR1124" i="1"/>
  <c r="AR1125" i="1"/>
  <c r="AR1126" i="1"/>
  <c r="AR1127" i="1"/>
  <c r="AR1128" i="1"/>
  <c r="AR1129" i="1"/>
  <c r="AR1130" i="1"/>
  <c r="AR1131" i="1"/>
  <c r="AR1132" i="1"/>
  <c r="AR1133" i="1"/>
  <c r="AR1134" i="1"/>
  <c r="AR1135" i="1"/>
  <c r="AR1136" i="1"/>
  <c r="AR1137" i="1"/>
  <c r="AR1138" i="1"/>
  <c r="AR1139" i="1"/>
  <c r="AR1140" i="1"/>
  <c r="AR1141" i="1"/>
  <c r="AR1142" i="1"/>
  <c r="AR1143" i="1"/>
  <c r="AR1144" i="1"/>
  <c r="AR1145" i="1"/>
  <c r="AR1146" i="1"/>
  <c r="AR1147" i="1"/>
  <c r="AR1148" i="1"/>
  <c r="AR1149" i="1"/>
  <c r="AR1150" i="1"/>
  <c r="AR1151" i="1"/>
  <c r="AR1152" i="1"/>
  <c r="AR1153" i="1"/>
  <c r="AR1154" i="1"/>
  <c r="AR1155" i="1"/>
  <c r="AR1156" i="1"/>
  <c r="AR1157" i="1"/>
  <c r="AR1158" i="1"/>
  <c r="AR1159" i="1"/>
  <c r="AR1160" i="1"/>
  <c r="AR1161" i="1"/>
  <c r="AR1162" i="1"/>
  <c r="AR1163" i="1"/>
  <c r="AR1164" i="1"/>
  <c r="AR1165" i="1"/>
  <c r="AR1166" i="1"/>
  <c r="AR1167" i="1"/>
  <c r="AR1168" i="1"/>
  <c r="AR1169" i="1"/>
  <c r="AR1170" i="1"/>
  <c r="AR1171" i="1"/>
  <c r="AR1172" i="1"/>
  <c r="AR1173" i="1"/>
  <c r="AR1174" i="1"/>
  <c r="AR1175" i="1"/>
  <c r="AR1176" i="1"/>
  <c r="AR1177" i="1"/>
  <c r="AR1178" i="1"/>
  <c r="AR1179" i="1"/>
  <c r="AR1180" i="1"/>
  <c r="AR1181" i="1"/>
  <c r="AR1182" i="1"/>
  <c r="AR1183" i="1"/>
  <c r="AR1184" i="1"/>
  <c r="AR1185" i="1"/>
  <c r="AR1186" i="1"/>
  <c r="AR1187" i="1"/>
  <c r="AR1188" i="1"/>
  <c r="AR1189" i="1"/>
  <c r="AR1190" i="1"/>
  <c r="AR1191" i="1"/>
  <c r="AR1192" i="1"/>
  <c r="AR1193" i="1"/>
  <c r="AR1194" i="1"/>
  <c r="AR1195" i="1"/>
  <c r="AR1196" i="1"/>
  <c r="AR1197" i="1"/>
  <c r="AR1198" i="1"/>
  <c r="AR1199" i="1"/>
  <c r="AR1200" i="1"/>
  <c r="AR1201" i="1"/>
  <c r="AR1202" i="1"/>
  <c r="AR1203" i="1"/>
  <c r="AR1204" i="1"/>
  <c r="AR1205" i="1"/>
  <c r="AR1206" i="1"/>
  <c r="AR1207" i="1"/>
  <c r="AR1208" i="1"/>
  <c r="AR1209" i="1"/>
  <c r="AR1210" i="1"/>
  <c r="AR1211" i="1"/>
  <c r="AR1212" i="1"/>
  <c r="AR1213" i="1"/>
  <c r="AR1214" i="1"/>
  <c r="AR1215" i="1"/>
  <c r="AR1216" i="1"/>
  <c r="AR1217" i="1"/>
  <c r="AR1218" i="1"/>
  <c r="AR1219" i="1"/>
  <c r="AR1220" i="1"/>
  <c r="AR1221" i="1"/>
  <c r="AR1222" i="1"/>
  <c r="AR1223" i="1"/>
  <c r="AR1224" i="1"/>
  <c r="AR1225" i="1"/>
  <c r="AR1226" i="1"/>
  <c r="AR1227" i="1"/>
  <c r="AR1228" i="1"/>
  <c r="AR1229" i="1"/>
  <c r="AR1230" i="1"/>
  <c r="AR1231" i="1"/>
  <c r="AR1232" i="1"/>
  <c r="AR1233" i="1"/>
  <c r="AR1234" i="1"/>
  <c r="AR1235" i="1"/>
  <c r="AR1236" i="1"/>
  <c r="AR1237" i="1"/>
  <c r="AR1238" i="1"/>
  <c r="AR1239" i="1"/>
  <c r="AR1240" i="1"/>
  <c r="AR1241" i="1"/>
  <c r="AR1242" i="1"/>
  <c r="AR1243" i="1"/>
  <c r="AR1244" i="1"/>
  <c r="AR1245" i="1"/>
  <c r="AR1246" i="1"/>
  <c r="AR1247" i="1"/>
  <c r="AR1248" i="1"/>
  <c r="AR1249" i="1"/>
  <c r="AR1250" i="1"/>
  <c r="AR1251" i="1"/>
  <c r="AR1252" i="1"/>
  <c r="AR1253" i="1"/>
  <c r="AR1254" i="1"/>
  <c r="AR1255" i="1"/>
  <c r="AR1256" i="1"/>
  <c r="AR1257" i="1"/>
  <c r="AR1258" i="1"/>
  <c r="AR1259" i="1"/>
  <c r="AR1260" i="1"/>
  <c r="AR1261" i="1"/>
  <c r="AR1262" i="1"/>
  <c r="AR1263" i="1"/>
  <c r="AR1264" i="1"/>
  <c r="AR1265" i="1"/>
  <c r="AR1266" i="1"/>
  <c r="AR1267" i="1"/>
  <c r="AR1268" i="1"/>
  <c r="AR1269" i="1"/>
  <c r="AR1270" i="1"/>
  <c r="AR1271" i="1"/>
  <c r="AR1272" i="1"/>
  <c r="AR1273" i="1"/>
  <c r="AR1274" i="1"/>
  <c r="AR1275" i="1"/>
  <c r="AR1276" i="1"/>
  <c r="AR1277" i="1"/>
  <c r="AR1278" i="1"/>
  <c r="AR1279" i="1"/>
  <c r="AR1280" i="1"/>
  <c r="AR1281" i="1"/>
  <c r="AR1282" i="1"/>
  <c r="AR1283" i="1"/>
  <c r="AR1284" i="1"/>
  <c r="AR1285" i="1"/>
  <c r="AR1286" i="1"/>
  <c r="AR1287" i="1"/>
  <c r="AR1288" i="1"/>
  <c r="AR1289" i="1"/>
  <c r="AR1290" i="1"/>
  <c r="AR1291" i="1"/>
  <c r="AR1292" i="1"/>
  <c r="AR1293" i="1"/>
  <c r="AR1294" i="1"/>
  <c r="AR1295" i="1"/>
  <c r="AR1296" i="1"/>
  <c r="AR1297" i="1"/>
  <c r="AR1298" i="1"/>
  <c r="AR1299" i="1"/>
  <c r="AR1300" i="1"/>
  <c r="AR1301" i="1"/>
  <c r="AR1302" i="1"/>
  <c r="AR1303" i="1"/>
  <c r="AR1304" i="1"/>
  <c r="AR1305" i="1"/>
  <c r="AR1306" i="1"/>
  <c r="AR1307" i="1"/>
  <c r="AR1308" i="1"/>
  <c r="AR1309" i="1"/>
  <c r="AR1310" i="1"/>
  <c r="AR1311" i="1"/>
  <c r="AR1312" i="1"/>
  <c r="AR1313" i="1"/>
  <c r="AR1314" i="1"/>
  <c r="AR1315" i="1"/>
  <c r="AR1316" i="1"/>
  <c r="AR1317" i="1"/>
  <c r="AR1318" i="1"/>
  <c r="AR1319" i="1"/>
  <c r="AR1320" i="1"/>
  <c r="AR1321" i="1"/>
  <c r="AR1322" i="1"/>
  <c r="AR1323" i="1"/>
  <c r="AR1324" i="1"/>
  <c r="AR1325" i="1"/>
  <c r="AR1326" i="1"/>
  <c r="AR1327" i="1"/>
  <c r="AR1328" i="1"/>
  <c r="AR1329" i="1"/>
  <c r="AR1330" i="1"/>
  <c r="AR1331" i="1"/>
  <c r="AR1332" i="1"/>
  <c r="AR1333" i="1"/>
  <c r="AR1334" i="1"/>
  <c r="AR1335" i="1"/>
  <c r="AR1336" i="1"/>
  <c r="AR1337" i="1"/>
  <c r="AR1338" i="1"/>
  <c r="AR1339" i="1"/>
  <c r="AR1340" i="1"/>
  <c r="AR1341" i="1"/>
  <c r="AR1342" i="1"/>
  <c r="AR1343" i="1"/>
  <c r="AR1344" i="1"/>
  <c r="AR1345" i="1"/>
  <c r="AR1346" i="1"/>
  <c r="AR1347" i="1"/>
  <c r="AR1348" i="1"/>
  <c r="AR1349" i="1"/>
  <c r="AR1350" i="1"/>
  <c r="AR1351" i="1"/>
  <c r="AR1352" i="1"/>
  <c r="AR1353" i="1"/>
  <c r="AR1354" i="1"/>
  <c r="AR1355" i="1"/>
  <c r="AR1356" i="1"/>
  <c r="AR1357" i="1"/>
  <c r="AR1358" i="1"/>
  <c r="AR1359" i="1"/>
  <c r="AR1360" i="1"/>
  <c r="AR1361" i="1"/>
  <c r="AR1362" i="1"/>
  <c r="AR1363" i="1"/>
  <c r="AR1364" i="1"/>
  <c r="AR1365" i="1"/>
  <c r="AR1366" i="1"/>
  <c r="AR1367" i="1"/>
  <c r="AR1368" i="1"/>
  <c r="AR1369" i="1"/>
  <c r="AR1370" i="1"/>
  <c r="AR1371" i="1"/>
  <c r="AR1372" i="1"/>
  <c r="AR1373" i="1"/>
  <c r="AR1374" i="1"/>
  <c r="AR1375" i="1"/>
  <c r="AR1376" i="1"/>
  <c r="AR1377" i="1"/>
  <c r="AR1378" i="1"/>
  <c r="AR1379" i="1"/>
  <c r="AR1380" i="1"/>
  <c r="AR1381" i="1"/>
  <c r="AR1382" i="1"/>
  <c r="AR1383" i="1"/>
  <c r="AR1384" i="1"/>
  <c r="AR1385" i="1"/>
  <c r="AR1386" i="1"/>
  <c r="AR1387" i="1"/>
  <c r="AR1388" i="1"/>
  <c r="AR1389" i="1"/>
  <c r="AR1390" i="1"/>
  <c r="AR1391" i="1"/>
  <c r="AR1392" i="1"/>
  <c r="AR1393" i="1"/>
  <c r="AR1394" i="1"/>
  <c r="AR1395" i="1"/>
  <c r="AR1396" i="1"/>
  <c r="AR1397" i="1"/>
  <c r="AR1398" i="1"/>
  <c r="AR1399" i="1"/>
  <c r="AR1400" i="1"/>
  <c r="AR1401" i="1"/>
  <c r="AR1402" i="1"/>
  <c r="AR1403" i="1"/>
  <c r="AR1404" i="1"/>
  <c r="AR1405" i="1"/>
  <c r="AR1406" i="1"/>
  <c r="AR1407" i="1"/>
  <c r="AR1408" i="1"/>
  <c r="AR1409" i="1"/>
  <c r="AR1410" i="1"/>
  <c r="AR1411" i="1"/>
  <c r="AR1412" i="1"/>
  <c r="AR1413" i="1"/>
  <c r="AR1414" i="1"/>
  <c r="AR1415" i="1"/>
  <c r="AR1416" i="1"/>
  <c r="AR1417" i="1"/>
  <c r="AR1418" i="1"/>
  <c r="AR1419" i="1"/>
  <c r="AR1420" i="1"/>
  <c r="AR1421" i="1"/>
  <c r="AR1422" i="1"/>
  <c r="AR1423" i="1"/>
  <c r="AR1424" i="1"/>
  <c r="AR1425" i="1"/>
  <c r="AR1426" i="1"/>
  <c r="AR1427" i="1"/>
  <c r="AR1428" i="1"/>
  <c r="AR1429" i="1"/>
  <c r="AR1430" i="1"/>
  <c r="AR1431" i="1"/>
  <c r="AR1432" i="1"/>
  <c r="AR1433" i="1"/>
  <c r="AR1434" i="1"/>
  <c r="AR1435" i="1"/>
  <c r="AR1436" i="1"/>
  <c r="AR1437" i="1"/>
  <c r="AR1438" i="1"/>
  <c r="AR1439" i="1"/>
  <c r="AR1440" i="1"/>
  <c r="AR1441" i="1"/>
  <c r="AR1442" i="1"/>
  <c r="AR1443" i="1"/>
  <c r="AR1444" i="1"/>
  <c r="AR1445" i="1"/>
  <c r="AR1446" i="1"/>
  <c r="AR1447" i="1"/>
  <c r="AR1448" i="1"/>
  <c r="AR1449" i="1"/>
  <c r="AR1450" i="1"/>
  <c r="AR1451" i="1"/>
  <c r="AR1452" i="1"/>
  <c r="AR1453" i="1"/>
  <c r="AR1454" i="1"/>
  <c r="AR1455" i="1"/>
  <c r="AR1456" i="1"/>
  <c r="AR1457" i="1"/>
  <c r="AR1458" i="1"/>
  <c r="AR1459" i="1"/>
  <c r="AR1460" i="1"/>
  <c r="AR1461" i="1"/>
  <c r="AR1462" i="1"/>
  <c r="AR1463" i="1"/>
  <c r="AR1464" i="1"/>
  <c r="AR1465" i="1"/>
  <c r="AR1466" i="1"/>
  <c r="AR1467" i="1"/>
  <c r="AR1468" i="1"/>
  <c r="AR1469" i="1"/>
  <c r="AR1470" i="1"/>
  <c r="AR1471" i="1"/>
  <c r="AR1472" i="1"/>
  <c r="AR1473" i="1"/>
  <c r="AR1474" i="1"/>
  <c r="AR1475" i="1"/>
  <c r="AR1476" i="1"/>
  <c r="AR1477" i="1"/>
  <c r="AR1478" i="1"/>
  <c r="AR1479" i="1"/>
  <c r="AR1480" i="1"/>
  <c r="AR1481" i="1"/>
  <c r="AR1482" i="1"/>
  <c r="AR1483" i="1"/>
  <c r="AR1484" i="1"/>
  <c r="AR1485" i="1"/>
  <c r="AR1486" i="1"/>
  <c r="AR1487" i="1"/>
  <c r="AR1488" i="1"/>
  <c r="AR1489" i="1"/>
  <c r="AR1490" i="1"/>
  <c r="AR1491" i="1"/>
  <c r="AR1492" i="1"/>
  <c r="AR1493" i="1"/>
  <c r="AR1494" i="1"/>
  <c r="AR1495" i="1"/>
  <c r="AR1496" i="1"/>
  <c r="AR1497" i="1"/>
  <c r="AR1498" i="1"/>
  <c r="AR1499" i="1"/>
  <c r="AR1500" i="1"/>
  <c r="AR1501" i="1"/>
  <c r="AR1502" i="1"/>
  <c r="AR1503" i="1"/>
  <c r="AR1504" i="1"/>
  <c r="AR1505" i="1"/>
  <c r="AR1506" i="1"/>
  <c r="AR1507" i="1"/>
  <c r="AR1508" i="1"/>
  <c r="AR1509" i="1"/>
  <c r="AR1510" i="1"/>
  <c r="AR1511" i="1"/>
  <c r="AR1512" i="1"/>
  <c r="AR1513" i="1"/>
  <c r="AR1514" i="1"/>
  <c r="AR1515" i="1"/>
  <c r="AR1516" i="1"/>
  <c r="AR1517" i="1"/>
  <c r="AR1518" i="1"/>
  <c r="AR1519" i="1"/>
  <c r="AR1520" i="1"/>
  <c r="AR1521" i="1"/>
  <c r="AR1522" i="1"/>
  <c r="AR1523" i="1"/>
  <c r="AR1524" i="1"/>
  <c r="AR1525" i="1"/>
  <c r="AR1526" i="1"/>
  <c r="AR1527" i="1"/>
  <c r="AR1528" i="1"/>
  <c r="AR1529" i="1"/>
  <c r="AR1530" i="1"/>
  <c r="AR1531" i="1"/>
  <c r="AR1532" i="1"/>
  <c r="AR1533" i="1"/>
  <c r="AR1534" i="1"/>
  <c r="AR1535" i="1"/>
  <c r="AR1536" i="1"/>
  <c r="AR1537" i="1"/>
  <c r="AR1538" i="1"/>
  <c r="AR1539" i="1"/>
  <c r="AR1540" i="1"/>
  <c r="AR1541" i="1"/>
  <c r="AR1542" i="1"/>
  <c r="AR1543" i="1"/>
  <c r="AR1544" i="1"/>
  <c r="AR1545" i="1"/>
  <c r="AR1546" i="1"/>
  <c r="AR1547" i="1"/>
  <c r="AR1548" i="1"/>
  <c r="AR1549" i="1"/>
  <c r="AR1550" i="1"/>
  <c r="AR1551" i="1"/>
  <c r="AR1552" i="1"/>
  <c r="AR1553" i="1"/>
  <c r="AR1554" i="1"/>
  <c r="AR1555" i="1"/>
  <c r="AR1556" i="1"/>
  <c r="AR1557" i="1"/>
  <c r="AR1558" i="1"/>
  <c r="AR1559" i="1"/>
  <c r="AR1560" i="1"/>
  <c r="AR1561" i="1"/>
  <c r="AR1562" i="1"/>
  <c r="AR1563" i="1"/>
  <c r="AR1564" i="1"/>
  <c r="AR1565" i="1"/>
  <c r="AR1566" i="1"/>
  <c r="AR1567" i="1"/>
  <c r="AR1568" i="1"/>
  <c r="AR1569" i="1"/>
  <c r="AR1570" i="1"/>
  <c r="AR1571" i="1"/>
  <c r="AR1572" i="1"/>
  <c r="AR1573" i="1"/>
  <c r="AR1574" i="1"/>
  <c r="AR1575" i="1"/>
  <c r="AR1576" i="1"/>
  <c r="AR1577" i="1"/>
  <c r="AR1578" i="1"/>
  <c r="AR1579" i="1"/>
  <c r="AR1580" i="1"/>
  <c r="AR1581" i="1"/>
  <c r="AR1582" i="1"/>
  <c r="AR1583" i="1"/>
  <c r="AR1584" i="1"/>
  <c r="AR1585" i="1"/>
  <c r="AR1586" i="1"/>
  <c r="AR1587" i="1"/>
  <c r="AR1588" i="1"/>
  <c r="AR1589" i="1"/>
  <c r="AR1590" i="1"/>
  <c r="AR1591" i="1"/>
  <c r="AR1592" i="1"/>
  <c r="AR1593" i="1"/>
  <c r="AR1594" i="1"/>
  <c r="AR1595" i="1"/>
  <c r="AR1596" i="1"/>
  <c r="AR1597" i="1"/>
  <c r="AR1598" i="1"/>
  <c r="AR1599" i="1"/>
  <c r="AR1600" i="1"/>
  <c r="AR1601" i="1"/>
  <c r="AR1602" i="1"/>
  <c r="AR1603" i="1"/>
  <c r="AR1604" i="1"/>
  <c r="AR1605" i="1"/>
  <c r="AR1606" i="1"/>
  <c r="AR1607" i="1"/>
  <c r="AR1608" i="1"/>
  <c r="AR1609" i="1"/>
  <c r="AR1610" i="1"/>
  <c r="AR1611" i="1"/>
  <c r="AR1612" i="1"/>
  <c r="AR1613" i="1"/>
  <c r="AR1614" i="1"/>
  <c r="AR1615" i="1"/>
  <c r="AR1616" i="1"/>
  <c r="AR1617" i="1"/>
  <c r="AR1618" i="1"/>
  <c r="AR1619" i="1"/>
  <c r="AR1620" i="1"/>
  <c r="AR1621" i="1"/>
  <c r="AR1622" i="1"/>
  <c r="AR1623" i="1"/>
  <c r="AR1624" i="1"/>
  <c r="AR1625" i="1"/>
  <c r="AR1626" i="1"/>
  <c r="AR1627" i="1"/>
  <c r="AR1628" i="1"/>
  <c r="AR1629" i="1"/>
  <c r="AR1630" i="1"/>
  <c r="AR1631" i="1"/>
  <c r="AR1632" i="1"/>
  <c r="AR1633" i="1"/>
  <c r="AR1634" i="1"/>
  <c r="AR1635" i="1"/>
  <c r="AR1636" i="1"/>
  <c r="AR1637" i="1"/>
  <c r="AR1638" i="1"/>
  <c r="AR1639" i="1"/>
  <c r="AR1640" i="1"/>
  <c r="AR1641" i="1"/>
  <c r="AR1642" i="1"/>
  <c r="AR1643" i="1"/>
  <c r="AR1644" i="1"/>
  <c r="AR1645" i="1"/>
  <c r="AR1646" i="1"/>
  <c r="AR1647" i="1"/>
  <c r="AR1648" i="1"/>
  <c r="AR1649" i="1"/>
  <c r="AR1650" i="1"/>
  <c r="AR1651" i="1"/>
  <c r="AR1652" i="1"/>
  <c r="AR1653" i="1"/>
  <c r="AR1654" i="1"/>
  <c r="AR1655" i="1"/>
  <c r="AR1656" i="1"/>
  <c r="AR1657" i="1"/>
  <c r="AR1658" i="1"/>
  <c r="AR1659" i="1"/>
  <c r="AR1660" i="1"/>
  <c r="AR1661" i="1"/>
  <c r="AR1662" i="1"/>
  <c r="AR1663" i="1"/>
  <c r="AR1664" i="1"/>
  <c r="AR1665" i="1"/>
  <c r="AR1666" i="1"/>
  <c r="AR1667" i="1"/>
  <c r="AR1668" i="1"/>
  <c r="AR1669" i="1"/>
  <c r="AR1670" i="1"/>
  <c r="AR1671" i="1"/>
  <c r="AR1672" i="1"/>
  <c r="AR1673" i="1"/>
  <c r="AR1674" i="1"/>
  <c r="AR1675" i="1"/>
  <c r="AR1676" i="1"/>
  <c r="AR1677" i="1"/>
  <c r="AR1678" i="1"/>
  <c r="AR1679" i="1"/>
  <c r="AR1680" i="1"/>
  <c r="AR1681" i="1"/>
  <c r="AR1682" i="1"/>
  <c r="AR1683" i="1"/>
  <c r="AR1684" i="1"/>
  <c r="AR1685" i="1"/>
  <c r="AR1686" i="1"/>
  <c r="AR1687" i="1"/>
  <c r="AR1688" i="1"/>
  <c r="AR1689" i="1"/>
  <c r="AR1690" i="1"/>
  <c r="AR1691" i="1"/>
  <c r="AR1692" i="1"/>
  <c r="AR1693" i="1"/>
  <c r="AR1694" i="1"/>
  <c r="AR1695" i="1"/>
  <c r="AR1696" i="1"/>
  <c r="AR1697" i="1"/>
  <c r="AR1698" i="1"/>
  <c r="AR1699" i="1"/>
  <c r="AR1700" i="1"/>
  <c r="AR1701" i="1"/>
  <c r="AR1702" i="1"/>
  <c r="AR1703" i="1"/>
  <c r="AR1704" i="1"/>
  <c r="AR1705" i="1"/>
  <c r="AR1706" i="1"/>
  <c r="AR1707" i="1"/>
  <c r="AR1708" i="1"/>
  <c r="AR1709" i="1"/>
  <c r="AR1710" i="1"/>
  <c r="AR1711" i="1"/>
  <c r="AR1712" i="1"/>
  <c r="AR1713" i="1"/>
  <c r="AR1714" i="1"/>
  <c r="AR1715" i="1"/>
  <c r="AR1716" i="1"/>
  <c r="AR1717" i="1"/>
  <c r="AR1718" i="1"/>
  <c r="AR1719" i="1"/>
  <c r="AR1720" i="1"/>
  <c r="AR1721" i="1"/>
  <c r="AR1722" i="1"/>
  <c r="AR1723" i="1"/>
  <c r="AR1724" i="1"/>
  <c r="AR1725" i="1"/>
  <c r="AR1726" i="1"/>
  <c r="AR1727" i="1"/>
  <c r="AR1728" i="1"/>
  <c r="AR1729" i="1"/>
  <c r="AR1730" i="1"/>
  <c r="AR1731" i="1"/>
  <c r="AR1732" i="1"/>
  <c r="AR1733" i="1"/>
  <c r="AR1734" i="1"/>
  <c r="AR1735" i="1"/>
  <c r="AR1736" i="1"/>
  <c r="AR1737" i="1"/>
  <c r="AR1738" i="1"/>
  <c r="AR1739" i="1"/>
  <c r="AR1740" i="1"/>
  <c r="AR1741" i="1"/>
  <c r="AR1742" i="1"/>
  <c r="AR1743" i="1"/>
  <c r="AR1744" i="1"/>
  <c r="AR1745" i="1"/>
  <c r="AR1746" i="1"/>
  <c r="AR1747" i="1"/>
  <c r="AR1748" i="1"/>
  <c r="AR1749" i="1"/>
  <c r="AR1750" i="1"/>
  <c r="AR1751" i="1"/>
  <c r="AR1752" i="1"/>
  <c r="AR1753" i="1"/>
  <c r="AR1754" i="1"/>
  <c r="AR1755" i="1"/>
  <c r="AR1756" i="1"/>
  <c r="AR1757" i="1"/>
  <c r="AR1758" i="1"/>
  <c r="AR1759" i="1"/>
  <c r="AR1760" i="1"/>
  <c r="AR1761" i="1"/>
  <c r="AR1762" i="1"/>
  <c r="AR1763" i="1"/>
  <c r="AR1764" i="1"/>
  <c r="AR1765" i="1"/>
  <c r="AR1766" i="1"/>
  <c r="AR1767" i="1"/>
  <c r="AR1768" i="1"/>
  <c r="AR1769" i="1"/>
  <c r="AR1770" i="1"/>
  <c r="AR1771" i="1"/>
  <c r="AR1772" i="1"/>
  <c r="AR1773" i="1"/>
  <c r="AR1774" i="1"/>
  <c r="AR1775" i="1"/>
  <c r="AR1776" i="1"/>
  <c r="AR1777" i="1"/>
  <c r="AR1778" i="1"/>
  <c r="AR1779" i="1"/>
  <c r="AR1780" i="1"/>
  <c r="AR1781" i="1"/>
  <c r="AR1782" i="1"/>
  <c r="AR1783" i="1"/>
  <c r="AR1784" i="1"/>
  <c r="AR1785" i="1"/>
  <c r="AR1786" i="1"/>
  <c r="AR1787" i="1"/>
  <c r="AR1788" i="1"/>
  <c r="AR1789" i="1"/>
  <c r="AR1790" i="1"/>
  <c r="AR1791" i="1"/>
  <c r="AR1792" i="1"/>
  <c r="AR1793" i="1"/>
  <c r="AR1794" i="1"/>
  <c r="AR1795" i="1"/>
  <c r="AR1796" i="1"/>
  <c r="AR1797" i="1"/>
  <c r="AR1798" i="1"/>
  <c r="AR1799" i="1"/>
  <c r="AR1800" i="1"/>
  <c r="AR1801" i="1"/>
  <c r="AR1802" i="1"/>
  <c r="AR1803" i="1"/>
  <c r="AR1804" i="1"/>
  <c r="AR1805" i="1"/>
  <c r="AR1806" i="1"/>
  <c r="AR1807" i="1"/>
  <c r="AR1808" i="1"/>
  <c r="AR1809" i="1"/>
  <c r="AR1810" i="1"/>
  <c r="AR1811" i="1"/>
  <c r="AR1812" i="1"/>
  <c r="AR1813" i="1"/>
  <c r="AR1814" i="1"/>
  <c r="AR1815" i="1"/>
  <c r="AR1816" i="1"/>
  <c r="AR1817" i="1"/>
  <c r="AR1818" i="1"/>
  <c r="AR1819" i="1"/>
  <c r="AR1820" i="1"/>
  <c r="AR1821" i="1"/>
  <c r="AR1822" i="1"/>
  <c r="AR1823" i="1"/>
  <c r="AR1824" i="1"/>
  <c r="AR1825" i="1"/>
  <c r="AR1826" i="1"/>
  <c r="AR1827" i="1"/>
  <c r="AR1828" i="1"/>
  <c r="AR1829" i="1"/>
  <c r="AR1830" i="1"/>
  <c r="AR1831" i="1"/>
  <c r="AR1832" i="1"/>
  <c r="AR1833" i="1"/>
  <c r="AR1834" i="1"/>
  <c r="AR1835" i="1"/>
  <c r="AR1836" i="1"/>
  <c r="AR1837" i="1"/>
  <c r="AR1838" i="1"/>
  <c r="AR1839" i="1"/>
  <c r="AR1840" i="1"/>
  <c r="AR1841" i="1"/>
  <c r="AR1842" i="1"/>
  <c r="AR1843" i="1"/>
  <c r="AR1844" i="1"/>
  <c r="AR1845" i="1"/>
  <c r="AR1846" i="1"/>
  <c r="AR1847" i="1"/>
  <c r="AR1848" i="1"/>
  <c r="AR1849" i="1"/>
  <c r="AR1850" i="1"/>
  <c r="AR1851" i="1"/>
  <c r="AR1852" i="1"/>
  <c r="AR1853" i="1"/>
  <c r="AR1854" i="1"/>
  <c r="AR1855" i="1"/>
  <c r="AR1856" i="1"/>
  <c r="AR1857" i="1"/>
  <c r="AR1858" i="1"/>
  <c r="AR1859" i="1"/>
  <c r="AR1860" i="1"/>
  <c r="AR1861" i="1"/>
  <c r="AR1862" i="1"/>
  <c r="AR1863" i="1"/>
  <c r="AR1864" i="1"/>
  <c r="AR1865" i="1"/>
  <c r="AR1866" i="1"/>
  <c r="AR1867" i="1"/>
  <c r="AR1868" i="1"/>
  <c r="AR1869" i="1"/>
  <c r="AR1870" i="1"/>
  <c r="AR1871" i="1"/>
  <c r="AR1872" i="1"/>
  <c r="AR1873" i="1"/>
  <c r="AR1874" i="1"/>
  <c r="AR1875" i="1"/>
  <c r="AR1876" i="1"/>
  <c r="AR1877" i="1"/>
  <c r="AR1878" i="1"/>
  <c r="AR1879" i="1"/>
  <c r="AR1880" i="1"/>
  <c r="AR1881" i="1"/>
  <c r="AR1882" i="1"/>
  <c r="AR1883" i="1"/>
  <c r="AR1884" i="1"/>
  <c r="AR1885" i="1"/>
  <c r="AR1886" i="1"/>
  <c r="AR1887" i="1"/>
  <c r="AR1888" i="1"/>
  <c r="AR1889" i="1"/>
  <c r="AR1890" i="1"/>
  <c r="AR1891" i="1"/>
  <c r="AR1892" i="1"/>
  <c r="AR1893" i="1"/>
  <c r="AR1894" i="1"/>
  <c r="AR1895" i="1"/>
  <c r="AR1896" i="1"/>
  <c r="AR1897" i="1"/>
  <c r="AR1898" i="1"/>
  <c r="AR1899" i="1"/>
  <c r="AR1900" i="1"/>
  <c r="AR1901" i="1"/>
  <c r="AR1902" i="1"/>
  <c r="AR1903" i="1"/>
  <c r="AR1904" i="1"/>
  <c r="AR1905" i="1"/>
  <c r="AR1906" i="1"/>
  <c r="AR1907" i="1"/>
  <c r="AR1908" i="1"/>
  <c r="AR1909" i="1"/>
  <c r="AR1910" i="1"/>
  <c r="AR1911" i="1"/>
  <c r="AR1912" i="1"/>
  <c r="AR1913" i="1"/>
  <c r="AR1914" i="1"/>
  <c r="AR1915" i="1"/>
  <c r="AR1916" i="1"/>
  <c r="AR1917" i="1"/>
  <c r="AR1918" i="1"/>
  <c r="AR1919" i="1"/>
  <c r="AR1920" i="1"/>
  <c r="AR1921" i="1"/>
  <c r="AR1922" i="1"/>
  <c r="AR1923" i="1"/>
  <c r="AR1924" i="1"/>
  <c r="AR1925" i="1"/>
  <c r="AR1926" i="1"/>
  <c r="AR1927" i="1"/>
  <c r="AR1928" i="1"/>
  <c r="AR1929" i="1"/>
  <c r="AR1930" i="1"/>
  <c r="AR1931" i="1"/>
  <c r="AR1932" i="1"/>
  <c r="AR1933" i="1"/>
  <c r="AR1934" i="1"/>
  <c r="AR1935" i="1"/>
  <c r="AR1936" i="1"/>
  <c r="AR1937" i="1"/>
  <c r="AR1938" i="1"/>
  <c r="AR1939" i="1"/>
  <c r="AR1940" i="1"/>
  <c r="AR1941" i="1"/>
  <c r="AR1942" i="1"/>
  <c r="AR1943" i="1"/>
  <c r="AR1944" i="1"/>
  <c r="AR1945" i="1"/>
  <c r="AR1946" i="1"/>
  <c r="AR1947" i="1"/>
  <c r="AR1948" i="1"/>
  <c r="AR1949" i="1"/>
  <c r="AR1950" i="1"/>
  <c r="AR1951" i="1"/>
  <c r="AR1952" i="1"/>
  <c r="AR1953" i="1"/>
  <c r="AR1954" i="1"/>
  <c r="AR1955" i="1"/>
  <c r="AR1956" i="1"/>
  <c r="AR1957" i="1"/>
  <c r="AR1958" i="1"/>
  <c r="AR1959" i="1"/>
  <c r="AR1960" i="1"/>
  <c r="AR1961" i="1"/>
  <c r="AR1962" i="1"/>
  <c r="AR1963" i="1"/>
  <c r="AR1964" i="1"/>
  <c r="AR1965" i="1"/>
  <c r="AR1966" i="1"/>
  <c r="AR1967" i="1"/>
  <c r="AR1968" i="1"/>
  <c r="AR1969" i="1"/>
  <c r="AR1970" i="1"/>
  <c r="AR1971" i="1"/>
  <c r="AR1972" i="1"/>
  <c r="AR1973" i="1"/>
  <c r="AR1974" i="1"/>
  <c r="AR1975" i="1"/>
  <c r="AR1976" i="1"/>
  <c r="AR1977" i="1"/>
  <c r="AR1978" i="1"/>
  <c r="AR1979" i="1"/>
  <c r="AR1980" i="1"/>
  <c r="AR1981" i="1"/>
  <c r="AR1982" i="1"/>
  <c r="AR1983" i="1"/>
  <c r="AR1984" i="1"/>
  <c r="AR1985" i="1"/>
  <c r="AR1986" i="1"/>
  <c r="AR1987" i="1"/>
  <c r="AR1988" i="1"/>
  <c r="AR1989" i="1"/>
  <c r="AR1990" i="1"/>
  <c r="AR1991" i="1"/>
  <c r="AR1992" i="1"/>
  <c r="AR1993" i="1"/>
  <c r="AR1994" i="1"/>
  <c r="AR1995" i="1"/>
  <c r="AR1996" i="1"/>
  <c r="AR1997" i="1"/>
  <c r="AR1998" i="1"/>
  <c r="AR1999" i="1"/>
  <c r="AR2000" i="1"/>
  <c r="AR2001" i="1"/>
  <c r="AR2002" i="1"/>
  <c r="AR2003" i="1"/>
  <c r="AR2004" i="1"/>
  <c r="AR2005" i="1"/>
  <c r="AR2006" i="1"/>
  <c r="AR2007" i="1"/>
  <c r="AR2008" i="1"/>
  <c r="AR2009" i="1"/>
  <c r="AR2010" i="1"/>
  <c r="AR2011" i="1"/>
  <c r="AR2012" i="1"/>
  <c r="AR2013" i="1"/>
  <c r="AR2014" i="1"/>
  <c r="AR2015" i="1"/>
  <c r="AR2016" i="1"/>
  <c r="AR2017" i="1"/>
  <c r="AR2018" i="1"/>
  <c r="AR2019" i="1"/>
  <c r="AR2020" i="1"/>
  <c r="AR2021" i="1"/>
  <c r="AR2022" i="1"/>
  <c r="AR2023" i="1"/>
  <c r="AR2024" i="1"/>
  <c r="AR2025" i="1"/>
  <c r="AR2026" i="1"/>
  <c r="AR2027" i="1"/>
  <c r="AR2028" i="1"/>
  <c r="AR2029" i="1"/>
  <c r="AR2030" i="1"/>
  <c r="AR2031" i="1"/>
  <c r="AR2032" i="1"/>
  <c r="AR2033" i="1"/>
  <c r="AR2034" i="1"/>
  <c r="AR2035" i="1"/>
  <c r="AR2036" i="1"/>
  <c r="AR2037" i="1"/>
  <c r="AR2038" i="1"/>
  <c r="AR2039" i="1"/>
  <c r="AR2041" i="1"/>
  <c r="AR2042" i="1"/>
  <c r="AR2043" i="1"/>
  <c r="AR2044" i="1"/>
  <c r="AR2045" i="1"/>
  <c r="AR2046" i="1"/>
  <c r="AR2047" i="1"/>
  <c r="AR2048" i="1"/>
  <c r="AR2049" i="1"/>
  <c r="AR2050" i="1"/>
  <c r="AR2051" i="1"/>
  <c r="AR2052" i="1"/>
  <c r="AR2053" i="1"/>
  <c r="AR2054" i="1"/>
  <c r="AR2055" i="1"/>
  <c r="AR2056" i="1"/>
  <c r="AR2057" i="1"/>
  <c r="AR2058" i="1"/>
  <c r="AR2059" i="1"/>
  <c r="AR2060" i="1"/>
  <c r="AR2061" i="1"/>
  <c r="AR2062" i="1"/>
  <c r="AR2063" i="1"/>
  <c r="AR2064" i="1"/>
  <c r="AR2065" i="1"/>
  <c r="AR2066" i="1"/>
  <c r="AR2067" i="1"/>
  <c r="AR2068" i="1"/>
  <c r="AR2069" i="1"/>
  <c r="AR2070" i="1"/>
  <c r="AR2071" i="1"/>
  <c r="AR2072" i="1"/>
  <c r="AR2073" i="1"/>
  <c r="AR2074" i="1"/>
  <c r="AR2075" i="1"/>
  <c r="AR2076" i="1"/>
  <c r="AR2077" i="1"/>
  <c r="AR2078" i="1"/>
  <c r="AR2079" i="1"/>
  <c r="AR2080" i="1"/>
  <c r="AR2081" i="1"/>
  <c r="AR2082" i="1"/>
  <c r="AR2083" i="1"/>
  <c r="AR2084" i="1"/>
  <c r="AR2085" i="1"/>
  <c r="AR2086" i="1"/>
  <c r="AR2087" i="1"/>
  <c r="AR2088" i="1"/>
  <c r="AR2089" i="1"/>
  <c r="AR2090" i="1"/>
  <c r="AR2091" i="1"/>
  <c r="AR2092" i="1"/>
  <c r="AR2093" i="1"/>
  <c r="AR2094" i="1"/>
  <c r="AR2095" i="1"/>
  <c r="AR2096" i="1"/>
  <c r="AR2097" i="1"/>
  <c r="AR2098" i="1"/>
  <c r="AR2099" i="1"/>
  <c r="AR2100" i="1"/>
  <c r="AR2101" i="1"/>
  <c r="AR2102" i="1"/>
  <c r="AR2103" i="1"/>
  <c r="AR2104" i="1"/>
  <c r="AR2105" i="1"/>
  <c r="AR2106" i="1"/>
  <c r="AR2107" i="1"/>
  <c r="AR2108" i="1"/>
  <c r="AR2109" i="1"/>
  <c r="AR2110" i="1"/>
  <c r="AR2111" i="1"/>
  <c r="AR2112" i="1"/>
  <c r="AR2113" i="1"/>
  <c r="AR2114" i="1"/>
  <c r="AR2115" i="1"/>
  <c r="AR2116" i="1"/>
  <c r="AR2117" i="1"/>
  <c r="AR2118" i="1"/>
  <c r="AR2119" i="1"/>
  <c r="AR2120" i="1"/>
  <c r="AR2121" i="1"/>
  <c r="AR2122" i="1"/>
  <c r="AR2123" i="1"/>
  <c r="AR2124" i="1"/>
  <c r="AR2125" i="1"/>
  <c r="AR2126" i="1"/>
  <c r="AR2127" i="1"/>
  <c r="AR2128" i="1"/>
  <c r="AR2129" i="1"/>
  <c r="AR2130" i="1"/>
  <c r="AR2131" i="1"/>
  <c r="AR2132" i="1"/>
  <c r="AR2133" i="1"/>
  <c r="AR2134" i="1"/>
  <c r="AR2135" i="1"/>
  <c r="AR2136" i="1"/>
  <c r="AR2137" i="1"/>
  <c r="AR2138" i="1"/>
  <c r="AR2139" i="1"/>
  <c r="AR2140" i="1"/>
  <c r="AR2141" i="1"/>
  <c r="AR2142" i="1"/>
  <c r="AR2143" i="1"/>
  <c r="AR2144" i="1"/>
  <c r="AR2145" i="1"/>
  <c r="AR2146" i="1"/>
  <c r="AR2147" i="1"/>
  <c r="AR2148" i="1"/>
  <c r="AR2149" i="1"/>
  <c r="AR2150" i="1"/>
  <c r="AR2151" i="1"/>
  <c r="AR2152" i="1"/>
  <c r="AR2153" i="1"/>
  <c r="AR2154" i="1"/>
  <c r="AR2155" i="1"/>
  <c r="AR2156" i="1"/>
  <c r="AR2157" i="1"/>
  <c r="AR2158" i="1"/>
  <c r="AR2159" i="1"/>
  <c r="AR2160" i="1"/>
  <c r="AR2161" i="1"/>
  <c r="AR2162" i="1"/>
  <c r="AR2163" i="1"/>
  <c r="AR2164" i="1"/>
  <c r="AR2165" i="1"/>
  <c r="AR2166" i="1"/>
  <c r="AR2167" i="1"/>
  <c r="AR2168" i="1"/>
  <c r="AR2169" i="1"/>
  <c r="AR2170" i="1"/>
  <c r="AR2171" i="1"/>
  <c r="AR2172" i="1"/>
  <c r="AR2173" i="1"/>
  <c r="AR2174" i="1"/>
  <c r="AR2175" i="1"/>
  <c r="AR2176" i="1"/>
  <c r="AR2177" i="1"/>
  <c r="AR2178" i="1"/>
  <c r="AR2179" i="1"/>
  <c r="AR2180" i="1"/>
  <c r="AR2181" i="1"/>
  <c r="AR2182" i="1"/>
  <c r="AR2183" i="1"/>
  <c r="AR2184" i="1"/>
  <c r="AR2185" i="1"/>
  <c r="AR2186" i="1"/>
  <c r="AR2187" i="1"/>
  <c r="AR2188" i="1"/>
  <c r="AR2189" i="1"/>
  <c r="AR2190" i="1"/>
  <c r="AR2191" i="1"/>
  <c r="AR2192" i="1"/>
  <c r="AR2193" i="1"/>
  <c r="AR2194" i="1"/>
  <c r="AR2195" i="1"/>
  <c r="AR2196" i="1"/>
  <c r="AR2197" i="1"/>
  <c r="AR2198" i="1"/>
  <c r="AR2199" i="1"/>
  <c r="AR2200" i="1"/>
  <c r="AR2201" i="1"/>
  <c r="AR2202" i="1"/>
  <c r="AR2203" i="1"/>
  <c r="AR2204" i="1"/>
  <c r="AR2205" i="1"/>
  <c r="AR2206" i="1"/>
  <c r="AR2207" i="1"/>
  <c r="AR2208" i="1"/>
  <c r="AR2209" i="1"/>
  <c r="AR2210" i="1"/>
  <c r="AR2211" i="1"/>
  <c r="AR2212" i="1"/>
  <c r="AR2213" i="1"/>
  <c r="AR2214" i="1"/>
  <c r="AR2215" i="1"/>
  <c r="AR2216" i="1"/>
  <c r="AR2217" i="1"/>
  <c r="AR2218" i="1"/>
  <c r="AR2219" i="1"/>
  <c r="AR2220" i="1"/>
  <c r="AR2221" i="1"/>
  <c r="AR2222" i="1"/>
  <c r="AR2223" i="1"/>
  <c r="AR2224" i="1"/>
  <c r="AR2225" i="1"/>
  <c r="AR2226" i="1"/>
  <c r="AR2227" i="1"/>
  <c r="AR2228" i="1"/>
  <c r="AR2229" i="1"/>
  <c r="AR2230" i="1"/>
  <c r="AR2231" i="1"/>
  <c r="AR2232" i="1"/>
  <c r="AR2233" i="1"/>
  <c r="AR2234" i="1"/>
  <c r="AR2235" i="1"/>
  <c r="AR2236" i="1"/>
  <c r="AR2237" i="1"/>
  <c r="AR2238" i="1"/>
  <c r="AR2239" i="1"/>
  <c r="AR2240" i="1"/>
  <c r="AR2241" i="1"/>
  <c r="AR2242" i="1"/>
  <c r="AR2243" i="1"/>
  <c r="AR2244" i="1"/>
  <c r="AR2245" i="1"/>
  <c r="AR2246" i="1"/>
  <c r="AR2247" i="1"/>
  <c r="AR2248" i="1"/>
  <c r="AR2249" i="1"/>
  <c r="AR2250" i="1"/>
  <c r="AR2251" i="1"/>
  <c r="AR2252" i="1"/>
  <c r="AR2253" i="1"/>
  <c r="AR2254" i="1"/>
  <c r="AR2255" i="1"/>
  <c r="AR2256" i="1"/>
  <c r="AR2257" i="1"/>
  <c r="AR2258" i="1"/>
  <c r="AR2259" i="1"/>
  <c r="AR2260" i="1"/>
  <c r="AR2261" i="1"/>
  <c r="AR2262" i="1"/>
  <c r="AR2263" i="1"/>
  <c r="AR2264" i="1"/>
  <c r="AR2265" i="1"/>
  <c r="AR2266" i="1"/>
  <c r="AR2267" i="1"/>
  <c r="AR2268" i="1"/>
  <c r="AR2269" i="1"/>
  <c r="AR2270" i="1"/>
  <c r="AR2271" i="1"/>
  <c r="AR2272" i="1"/>
  <c r="AR2273" i="1"/>
  <c r="AR2274" i="1"/>
  <c r="AR2275" i="1"/>
  <c r="AR2276" i="1"/>
  <c r="AR2277" i="1"/>
  <c r="AR2278" i="1"/>
  <c r="AR2279" i="1"/>
  <c r="AR2280" i="1"/>
  <c r="AR2281" i="1"/>
  <c r="AR2282" i="1"/>
  <c r="AR2283" i="1"/>
  <c r="AR2284" i="1"/>
  <c r="AR2285" i="1"/>
  <c r="AR2286" i="1"/>
  <c r="AR2287" i="1"/>
  <c r="AR2288" i="1"/>
  <c r="AR2289" i="1"/>
  <c r="AR2290" i="1"/>
  <c r="AR2291" i="1"/>
  <c r="AR2292" i="1"/>
  <c r="AR2293" i="1"/>
  <c r="AR2294" i="1"/>
  <c r="AR2295" i="1"/>
  <c r="AR2296" i="1"/>
  <c r="AR2297" i="1"/>
  <c r="AR2298" i="1"/>
  <c r="AR2299" i="1"/>
  <c r="AR2300" i="1"/>
  <c r="AR2301" i="1"/>
  <c r="AR2302" i="1"/>
  <c r="AR2303" i="1"/>
  <c r="AR2304" i="1"/>
  <c r="AR2305" i="1"/>
  <c r="AR2306" i="1"/>
  <c r="AR2307" i="1"/>
  <c r="AR2308" i="1"/>
  <c r="AR2309" i="1"/>
  <c r="AR2310" i="1"/>
  <c r="AR2311" i="1"/>
  <c r="AR2312" i="1"/>
  <c r="AR2313" i="1"/>
  <c r="AR2314" i="1"/>
  <c r="AR2315" i="1"/>
  <c r="AR2316" i="1"/>
  <c r="AR2317" i="1"/>
  <c r="AR2318" i="1"/>
  <c r="AR2319" i="1"/>
  <c r="AR2320" i="1"/>
  <c r="AR2321" i="1"/>
  <c r="AR2322" i="1"/>
  <c r="AR2323" i="1"/>
  <c r="AR2324" i="1"/>
  <c r="AR2325" i="1"/>
  <c r="AR2326" i="1"/>
  <c r="AR2327" i="1"/>
  <c r="AR2328" i="1"/>
  <c r="AR2329" i="1"/>
  <c r="AR2330" i="1"/>
  <c r="AR2331" i="1"/>
  <c r="AR2332" i="1"/>
  <c r="AR2333" i="1"/>
  <c r="AR2334" i="1"/>
  <c r="AR2335" i="1"/>
  <c r="AR2336" i="1"/>
  <c r="AR2337" i="1"/>
  <c r="AR2338" i="1"/>
  <c r="AR2339" i="1"/>
  <c r="AR2340" i="1"/>
  <c r="AR2341" i="1"/>
  <c r="AR2342" i="1"/>
  <c r="AR2343" i="1"/>
  <c r="AR2344" i="1"/>
  <c r="AR2345" i="1"/>
  <c r="AR2346" i="1"/>
  <c r="AR2347" i="1"/>
  <c r="AR2348" i="1"/>
  <c r="AR2349" i="1"/>
  <c r="AR2350" i="1"/>
  <c r="AR2351" i="1"/>
  <c r="AR2352" i="1"/>
  <c r="AR2353" i="1"/>
  <c r="AR2354" i="1"/>
  <c r="AR2355" i="1"/>
  <c r="AR2356" i="1"/>
  <c r="AR2357" i="1"/>
  <c r="AR2358" i="1"/>
  <c r="AR2359" i="1"/>
  <c r="AR2360" i="1"/>
  <c r="AR2361" i="1"/>
  <c r="AR2362" i="1"/>
  <c r="AR2363" i="1"/>
  <c r="AR2364" i="1"/>
  <c r="AR2365" i="1"/>
  <c r="AR2366" i="1"/>
  <c r="AR2367" i="1"/>
  <c r="AR2368" i="1"/>
  <c r="AR2369" i="1"/>
  <c r="AR2370" i="1"/>
  <c r="AR2371" i="1"/>
  <c r="AR2372" i="1"/>
  <c r="AR2373" i="1"/>
  <c r="AR2374" i="1"/>
  <c r="AR2375" i="1"/>
  <c r="AR2376" i="1"/>
  <c r="AR2377" i="1"/>
  <c r="AR2378" i="1"/>
  <c r="AR2379" i="1"/>
  <c r="AR2380" i="1"/>
  <c r="AR2381" i="1"/>
  <c r="AR2382" i="1"/>
  <c r="AR2383" i="1"/>
  <c r="AR2384" i="1"/>
  <c r="AR2385" i="1"/>
  <c r="AR2386" i="1"/>
  <c r="AR2387" i="1"/>
  <c r="AR2388" i="1"/>
  <c r="AR2389" i="1"/>
  <c r="AR2390" i="1"/>
  <c r="AR2391" i="1"/>
  <c r="AR2392" i="1"/>
  <c r="AR2393" i="1"/>
  <c r="AR2394" i="1"/>
  <c r="AR2395" i="1"/>
  <c r="AR2396" i="1"/>
  <c r="AR2397" i="1"/>
  <c r="AR2398" i="1"/>
  <c r="AR2399" i="1"/>
  <c r="AR2400" i="1"/>
  <c r="AR2401" i="1"/>
  <c r="AR2402" i="1"/>
  <c r="AR2403" i="1"/>
  <c r="AR2404" i="1"/>
  <c r="AR2405" i="1"/>
  <c r="AR2406" i="1"/>
  <c r="AR2407" i="1"/>
  <c r="AR2408" i="1"/>
  <c r="AR2409" i="1"/>
  <c r="AR2410" i="1"/>
  <c r="AR2411" i="1"/>
  <c r="AR2412" i="1"/>
  <c r="AR2413" i="1"/>
  <c r="AR2414" i="1"/>
  <c r="AR2415" i="1"/>
  <c r="AR2416" i="1"/>
  <c r="AR2417" i="1"/>
  <c r="AR2418" i="1"/>
  <c r="AR2419" i="1"/>
  <c r="AR2420" i="1"/>
  <c r="AR2421" i="1"/>
  <c r="AR2422" i="1"/>
  <c r="AR2423" i="1"/>
  <c r="AR2424" i="1"/>
  <c r="AR2425" i="1"/>
  <c r="AR2426" i="1"/>
  <c r="AR2427" i="1"/>
  <c r="AR2428" i="1"/>
  <c r="AR2429" i="1"/>
  <c r="AR2430" i="1"/>
  <c r="AR2431" i="1"/>
  <c r="AR2432" i="1"/>
  <c r="AR2433" i="1"/>
  <c r="AR2434" i="1"/>
  <c r="AR2435" i="1"/>
  <c r="AR2436" i="1"/>
  <c r="AR2437" i="1"/>
  <c r="AR2438" i="1"/>
  <c r="AR2439" i="1"/>
  <c r="AR2440" i="1"/>
  <c r="AR2441" i="1"/>
  <c r="AR2442" i="1"/>
  <c r="AR2443" i="1"/>
  <c r="AR2444" i="1"/>
  <c r="AR2445" i="1"/>
  <c r="AR2446" i="1"/>
  <c r="AR2447" i="1"/>
  <c r="AR2448" i="1"/>
  <c r="AR2449" i="1"/>
  <c r="AR2450" i="1"/>
  <c r="AR2451" i="1"/>
  <c r="AR2452" i="1"/>
  <c r="AR2453" i="1"/>
  <c r="AR2454" i="1"/>
  <c r="AR2455" i="1"/>
  <c r="AR2456" i="1"/>
  <c r="AR2457" i="1"/>
  <c r="AR2458" i="1"/>
  <c r="AR2459" i="1"/>
  <c r="AR2460" i="1"/>
  <c r="AR2461" i="1"/>
  <c r="AR2462" i="1"/>
  <c r="AR2463" i="1"/>
  <c r="AR2464" i="1"/>
  <c r="AR2465" i="1"/>
  <c r="AR2466" i="1"/>
  <c r="AR2467" i="1"/>
  <c r="AR2468" i="1"/>
  <c r="AR2469" i="1"/>
  <c r="AR2470" i="1"/>
  <c r="AR2471" i="1"/>
  <c r="AR2472" i="1"/>
  <c r="AR2473" i="1"/>
  <c r="AR2474" i="1"/>
  <c r="AR2475" i="1"/>
  <c r="AR2476" i="1"/>
  <c r="AR2477" i="1"/>
  <c r="AR2478" i="1"/>
  <c r="AR2479" i="1"/>
  <c r="AR2480" i="1"/>
  <c r="AR2481" i="1"/>
  <c r="AR2482" i="1"/>
  <c r="AR2483" i="1"/>
  <c r="AR2484" i="1"/>
  <c r="AR2485" i="1"/>
  <c r="AR2486" i="1"/>
  <c r="AR2487" i="1"/>
  <c r="AR2488" i="1"/>
  <c r="AR2489" i="1"/>
  <c r="AR2490" i="1"/>
  <c r="AR2491" i="1"/>
  <c r="AR2492" i="1"/>
  <c r="AR2493" i="1"/>
  <c r="AR2494" i="1"/>
  <c r="AR2495" i="1"/>
  <c r="AR2496" i="1"/>
  <c r="AR2497" i="1"/>
  <c r="AR2498" i="1"/>
  <c r="AR2499" i="1"/>
  <c r="AR2500" i="1"/>
  <c r="AR2501" i="1"/>
  <c r="AR2502" i="1"/>
  <c r="AR2503" i="1"/>
  <c r="AR2504" i="1"/>
  <c r="AR2505" i="1"/>
  <c r="AR2506" i="1"/>
  <c r="AR2507" i="1"/>
  <c r="AR2508" i="1"/>
  <c r="AR2509" i="1"/>
  <c r="AR2510" i="1"/>
  <c r="AR2511" i="1"/>
  <c r="AR2512" i="1"/>
  <c r="AR2513" i="1"/>
  <c r="AR2514" i="1"/>
  <c r="AR2515" i="1"/>
  <c r="AR2516" i="1"/>
  <c r="AR2517" i="1"/>
  <c r="AR2518" i="1"/>
  <c r="AR2519" i="1"/>
  <c r="AR2520" i="1"/>
  <c r="AR2521" i="1"/>
  <c r="AR2522" i="1"/>
  <c r="AR2523" i="1"/>
  <c r="AR2524" i="1"/>
  <c r="AR2525" i="1"/>
  <c r="AR2526" i="1"/>
  <c r="AR2527" i="1"/>
  <c r="AR2528" i="1"/>
  <c r="AR2529" i="1"/>
  <c r="AR2530" i="1"/>
  <c r="AR2531" i="1"/>
  <c r="AR2532" i="1"/>
  <c r="AR2533" i="1"/>
  <c r="AR2534" i="1"/>
  <c r="AR2535" i="1"/>
  <c r="AR2536" i="1"/>
  <c r="AR2537" i="1"/>
  <c r="AR2538" i="1"/>
  <c r="AR2539" i="1"/>
  <c r="AR2540" i="1"/>
  <c r="AR2541" i="1"/>
  <c r="AR2542" i="1"/>
  <c r="AR2543" i="1"/>
  <c r="AR2544" i="1"/>
  <c r="AR2545" i="1"/>
  <c r="AR2546" i="1"/>
  <c r="AR2547" i="1"/>
  <c r="AR2548" i="1"/>
  <c r="AR2549" i="1"/>
  <c r="AR2550" i="1"/>
  <c r="AR2551" i="1"/>
  <c r="AR2552" i="1"/>
  <c r="AR2553" i="1"/>
  <c r="AR2554" i="1"/>
  <c r="AR2555" i="1"/>
  <c r="AR2556" i="1"/>
  <c r="AR2557" i="1"/>
  <c r="AR2558" i="1"/>
  <c r="AR2559" i="1"/>
  <c r="AR2560" i="1"/>
  <c r="AR2561" i="1"/>
  <c r="AR2562" i="1"/>
  <c r="AR2563" i="1"/>
  <c r="AR2564" i="1"/>
  <c r="AR2565" i="1"/>
  <c r="AR2566" i="1"/>
  <c r="AR2567" i="1"/>
  <c r="AR2568" i="1"/>
  <c r="AR2569" i="1"/>
  <c r="AR2570" i="1"/>
  <c r="AR2571" i="1"/>
  <c r="AR2572" i="1"/>
  <c r="AR2573" i="1"/>
  <c r="AR2574" i="1"/>
  <c r="AR2575" i="1"/>
  <c r="AR2576" i="1"/>
  <c r="AR2577" i="1"/>
  <c r="AR2578" i="1"/>
  <c r="AR2579" i="1"/>
  <c r="AR2580" i="1"/>
  <c r="AR2581" i="1"/>
  <c r="AR2582" i="1"/>
  <c r="AR2583" i="1"/>
  <c r="AR2584" i="1"/>
  <c r="AR2585" i="1"/>
  <c r="AR2586" i="1"/>
  <c r="AR2587" i="1"/>
  <c r="AR2588" i="1"/>
  <c r="AR2589" i="1"/>
  <c r="AR2590" i="1"/>
  <c r="AR2591" i="1"/>
  <c r="AR2592" i="1"/>
  <c r="AR2593" i="1"/>
  <c r="AR2594" i="1"/>
  <c r="AR2595" i="1"/>
  <c r="AR2596" i="1"/>
  <c r="AR2597" i="1"/>
  <c r="AR2598" i="1"/>
  <c r="AR2599" i="1"/>
  <c r="AR2600" i="1"/>
  <c r="AR2601" i="1"/>
  <c r="AR2602" i="1"/>
  <c r="AR2603" i="1"/>
  <c r="AR2604" i="1"/>
  <c r="AR2605" i="1"/>
  <c r="AR2606" i="1"/>
  <c r="AR2607" i="1"/>
  <c r="AR2608" i="1"/>
  <c r="AR2609" i="1"/>
  <c r="AR2610" i="1"/>
  <c r="AR2611" i="1"/>
  <c r="AR2612" i="1"/>
  <c r="AR2613" i="1"/>
  <c r="AR2614" i="1"/>
  <c r="AR2615" i="1"/>
  <c r="AR2616" i="1"/>
  <c r="AR2617" i="1"/>
  <c r="AR2618" i="1"/>
  <c r="AR2619" i="1"/>
  <c r="AR2620" i="1"/>
  <c r="AR2621" i="1"/>
  <c r="AR2622" i="1"/>
  <c r="AR2623" i="1"/>
  <c r="AR2624" i="1"/>
  <c r="AR2625" i="1"/>
  <c r="AR2626" i="1"/>
  <c r="AR2627" i="1"/>
  <c r="AR2628" i="1"/>
  <c r="AR2629" i="1"/>
  <c r="AR2630" i="1"/>
  <c r="AR2631" i="1"/>
  <c r="AR2632" i="1"/>
  <c r="AR2633" i="1"/>
  <c r="AR2634" i="1"/>
  <c r="AR2635" i="1"/>
  <c r="AR2636" i="1"/>
  <c r="AR2637" i="1"/>
  <c r="AR2638" i="1"/>
  <c r="AR2639" i="1"/>
  <c r="AR2640" i="1"/>
  <c r="AR2641" i="1"/>
  <c r="AR2642" i="1"/>
  <c r="AR2643" i="1"/>
  <c r="AR2644" i="1"/>
  <c r="AR2645" i="1"/>
  <c r="AR2646" i="1"/>
  <c r="AR2647" i="1"/>
  <c r="AR2648" i="1"/>
  <c r="AR2649" i="1"/>
  <c r="AR2650" i="1"/>
  <c r="AR2651" i="1"/>
  <c r="AR2652" i="1"/>
  <c r="AR2653" i="1"/>
  <c r="AR2654" i="1"/>
  <c r="AR2655" i="1"/>
  <c r="AR2656" i="1"/>
  <c r="AR2657" i="1"/>
  <c r="AR2658" i="1"/>
  <c r="AR2659" i="1"/>
  <c r="AR2660" i="1"/>
  <c r="AR2661" i="1"/>
  <c r="AR2662" i="1"/>
  <c r="AR2663" i="1"/>
  <c r="AR2664" i="1"/>
  <c r="AR2665" i="1"/>
  <c r="AR2666" i="1"/>
  <c r="AR2667" i="1"/>
  <c r="AR2668" i="1"/>
  <c r="AR2669" i="1"/>
  <c r="AR2670" i="1"/>
  <c r="AR2671" i="1"/>
  <c r="AR2672" i="1"/>
  <c r="AR2673" i="1"/>
  <c r="AR2674" i="1"/>
  <c r="AR2675" i="1"/>
  <c r="AR2676" i="1"/>
  <c r="AR2677" i="1"/>
  <c r="AR2678" i="1"/>
  <c r="AR2679" i="1"/>
  <c r="AR2680" i="1"/>
  <c r="AR2681" i="1"/>
  <c r="AR2682" i="1"/>
  <c r="AR2683" i="1"/>
  <c r="AR2684" i="1"/>
  <c r="AR2685" i="1"/>
  <c r="AR2686" i="1"/>
  <c r="AR2687" i="1"/>
  <c r="AR2688" i="1"/>
  <c r="AR2689" i="1"/>
  <c r="AR2690" i="1"/>
  <c r="AR2691" i="1"/>
  <c r="AR2692" i="1"/>
  <c r="AR2693" i="1"/>
  <c r="AR2694" i="1"/>
  <c r="AR2695" i="1"/>
  <c r="AR2696" i="1"/>
  <c r="AR2697" i="1"/>
  <c r="AR2698" i="1"/>
  <c r="AR2699" i="1"/>
  <c r="AR2700" i="1"/>
  <c r="AR2701" i="1"/>
  <c r="AR2702" i="1"/>
  <c r="AR2703" i="1"/>
  <c r="AR2704" i="1"/>
  <c r="AR2705" i="1"/>
  <c r="AR2706" i="1"/>
  <c r="AR2707" i="1"/>
  <c r="AR2708" i="1"/>
  <c r="AR2709" i="1"/>
  <c r="AR2710" i="1"/>
  <c r="AR2711" i="1"/>
  <c r="AR2712" i="1"/>
  <c r="AR2713" i="1"/>
  <c r="AR2714" i="1"/>
  <c r="AR2715" i="1"/>
  <c r="AR2716" i="1"/>
  <c r="AR2717" i="1"/>
  <c r="AR2718" i="1"/>
  <c r="AR2719" i="1"/>
  <c r="AR2720" i="1"/>
  <c r="AR2721" i="1"/>
  <c r="AR2722" i="1"/>
  <c r="AR2723" i="1"/>
  <c r="AR2724" i="1"/>
  <c r="AR2725" i="1"/>
  <c r="AR2726" i="1"/>
  <c r="AR2727" i="1"/>
  <c r="AR2728" i="1"/>
  <c r="AR2729" i="1"/>
  <c r="AR2730" i="1"/>
  <c r="AR2731" i="1"/>
  <c r="AR2732" i="1"/>
  <c r="AR2733" i="1"/>
  <c r="AR2734" i="1"/>
  <c r="AR2735" i="1"/>
  <c r="AR2736" i="1"/>
  <c r="AR2737" i="1"/>
  <c r="AR2738" i="1"/>
  <c r="AR2739" i="1"/>
  <c r="AR2740" i="1"/>
  <c r="AR2741" i="1"/>
  <c r="AR2742" i="1"/>
  <c r="AR2743" i="1"/>
  <c r="AR2744" i="1"/>
  <c r="AR2745" i="1"/>
  <c r="AR2746" i="1"/>
  <c r="AR2747" i="1"/>
  <c r="AR2748" i="1"/>
  <c r="AR2749" i="1"/>
  <c r="AR2750" i="1"/>
  <c r="AR2751" i="1"/>
  <c r="AR2752" i="1"/>
  <c r="AR2753" i="1"/>
  <c r="AR2754" i="1"/>
  <c r="AR2755" i="1"/>
  <c r="AR2756" i="1"/>
  <c r="AR2757" i="1"/>
  <c r="AR2758" i="1"/>
  <c r="AR2759" i="1"/>
  <c r="AR2760" i="1"/>
  <c r="AR2761" i="1"/>
  <c r="AR2762" i="1"/>
  <c r="AR2763" i="1"/>
  <c r="AR2764" i="1"/>
  <c r="AR2765" i="1"/>
  <c r="AR2766" i="1"/>
  <c r="AR2767" i="1"/>
  <c r="AR2768" i="1"/>
  <c r="AR2769" i="1"/>
  <c r="AR2770" i="1"/>
  <c r="AR2771" i="1"/>
  <c r="AR2772" i="1"/>
  <c r="AR2773" i="1"/>
  <c r="AR2774" i="1"/>
  <c r="AR2775" i="1"/>
  <c r="AR2776" i="1"/>
  <c r="AR2777" i="1"/>
  <c r="AR2778" i="1"/>
  <c r="AR2779" i="1"/>
  <c r="AR2780" i="1"/>
  <c r="AR2781" i="1"/>
  <c r="AR2782" i="1"/>
  <c r="AR2783" i="1"/>
  <c r="AR2784" i="1"/>
  <c r="AR2785" i="1"/>
  <c r="AR2786" i="1"/>
  <c r="AR2787" i="1"/>
  <c r="AR2788" i="1"/>
  <c r="AR2789" i="1"/>
  <c r="AR2790" i="1"/>
  <c r="AR2791" i="1"/>
  <c r="AR2792" i="1"/>
  <c r="AR2793" i="1"/>
  <c r="AR2794" i="1"/>
  <c r="AR2795" i="1"/>
  <c r="AR2796" i="1"/>
  <c r="AR2797" i="1"/>
  <c r="AR2798" i="1"/>
  <c r="AR2799" i="1"/>
  <c r="AR2800" i="1"/>
  <c r="AR2801" i="1"/>
  <c r="AR2802" i="1"/>
  <c r="AR2803" i="1"/>
  <c r="AR2804" i="1"/>
  <c r="AR2805" i="1"/>
  <c r="AR2806" i="1"/>
  <c r="AR2807" i="1"/>
  <c r="AR2808" i="1"/>
  <c r="AR2809" i="1"/>
  <c r="AR2810" i="1"/>
  <c r="AR2811" i="1"/>
  <c r="AR2812" i="1"/>
  <c r="AR2813" i="1"/>
  <c r="AR2814" i="1"/>
  <c r="AR2815" i="1"/>
  <c r="AR2816" i="1"/>
  <c r="AR2817" i="1"/>
  <c r="AR2818" i="1"/>
  <c r="AR2819" i="1"/>
  <c r="AR2820" i="1"/>
  <c r="AR2821" i="1"/>
  <c r="AR2822" i="1"/>
  <c r="AR2823" i="1"/>
  <c r="AR2824" i="1"/>
  <c r="AR2825" i="1"/>
  <c r="AR2826" i="1"/>
  <c r="AR2827" i="1"/>
  <c r="AR2828" i="1"/>
  <c r="AR2829" i="1"/>
  <c r="AR2830" i="1"/>
  <c r="AR2831" i="1"/>
  <c r="AR2832" i="1"/>
  <c r="AR2833" i="1"/>
  <c r="AR2834" i="1"/>
  <c r="AR2835" i="1"/>
  <c r="AR2836" i="1"/>
  <c r="AR2837" i="1"/>
  <c r="AR2838" i="1"/>
  <c r="AR2839" i="1"/>
  <c r="AR2840" i="1"/>
  <c r="AR2841" i="1"/>
  <c r="AR2842" i="1"/>
  <c r="AR2843" i="1"/>
  <c r="AR2844" i="1"/>
  <c r="AR2845" i="1"/>
  <c r="AR2846" i="1"/>
  <c r="AR2847" i="1"/>
  <c r="AR2848" i="1"/>
  <c r="AR2849" i="1"/>
  <c r="AR2850" i="1"/>
  <c r="AR2851" i="1"/>
  <c r="AR2852" i="1"/>
  <c r="AR2853" i="1"/>
  <c r="AR2854" i="1"/>
  <c r="AR2855" i="1"/>
  <c r="AR2856" i="1"/>
  <c r="AR2857" i="1"/>
  <c r="AR2858" i="1"/>
  <c r="AR2859" i="1"/>
  <c r="AR2860" i="1"/>
  <c r="AR2861" i="1"/>
  <c r="AR2862" i="1"/>
  <c r="AR2863" i="1"/>
  <c r="AR2864" i="1"/>
  <c r="AR2865" i="1"/>
  <c r="AR2866" i="1"/>
  <c r="AR2867" i="1"/>
  <c r="AR2868" i="1"/>
  <c r="AR2869" i="1"/>
  <c r="AR2870" i="1"/>
  <c r="AR2871" i="1"/>
  <c r="AR2872" i="1"/>
  <c r="AR2873" i="1"/>
  <c r="AR2874" i="1"/>
  <c r="AR2875" i="1"/>
  <c r="AR2876" i="1"/>
  <c r="AR2877" i="1"/>
  <c r="AR2878" i="1"/>
  <c r="AR2879" i="1"/>
  <c r="AR2880" i="1"/>
  <c r="AR2881" i="1"/>
  <c r="AR2882" i="1"/>
  <c r="AR2883" i="1"/>
  <c r="AR2884" i="1"/>
  <c r="AR2885" i="1"/>
  <c r="AR2886" i="1"/>
  <c r="AR2887" i="1"/>
  <c r="AR2888" i="1"/>
  <c r="AR2889" i="1"/>
  <c r="AR2890" i="1"/>
  <c r="AR2891" i="1"/>
  <c r="AR2892" i="1"/>
  <c r="AR2893" i="1"/>
  <c r="AR2894" i="1"/>
  <c r="AR2895" i="1"/>
  <c r="AR2896" i="1"/>
  <c r="AR2897" i="1"/>
  <c r="AR2898" i="1"/>
  <c r="AR2899" i="1"/>
  <c r="AR2900" i="1"/>
  <c r="AR2901" i="1"/>
  <c r="AR2902" i="1"/>
  <c r="AR2903" i="1"/>
  <c r="AR2904" i="1"/>
  <c r="AR2905" i="1"/>
  <c r="AR2906" i="1"/>
  <c r="AR2907" i="1"/>
  <c r="AR2908" i="1"/>
  <c r="AR2909" i="1"/>
  <c r="AR2910" i="1"/>
  <c r="AR2911" i="1"/>
  <c r="AR2912" i="1"/>
  <c r="AR2913" i="1"/>
  <c r="AR2914" i="1"/>
  <c r="AR2915" i="1"/>
  <c r="AR2916" i="1"/>
  <c r="AR2917" i="1"/>
  <c r="AR2918" i="1"/>
  <c r="AR2919" i="1"/>
  <c r="AR2920" i="1"/>
  <c r="AR2921" i="1"/>
  <c r="AR2922" i="1"/>
  <c r="AR2923" i="1"/>
  <c r="AR2924" i="1"/>
  <c r="AR2925" i="1"/>
  <c r="AR2926" i="1"/>
  <c r="AR2927" i="1"/>
  <c r="AR2928" i="1"/>
  <c r="AR2929" i="1"/>
  <c r="AR2930" i="1"/>
  <c r="AR2931" i="1"/>
  <c r="AR2932" i="1"/>
  <c r="AR2933" i="1"/>
  <c r="AR2934" i="1"/>
  <c r="AR2935" i="1"/>
  <c r="AR2936" i="1"/>
  <c r="AR2937" i="1"/>
  <c r="AR2938" i="1"/>
  <c r="AR2939" i="1"/>
  <c r="AR2940" i="1"/>
  <c r="AR2941" i="1"/>
  <c r="AR2942" i="1"/>
  <c r="AR2943" i="1"/>
  <c r="AR2944" i="1"/>
  <c r="AR2945" i="1"/>
  <c r="AR2946" i="1"/>
  <c r="AR2947" i="1"/>
  <c r="AR2948" i="1"/>
  <c r="AR2949" i="1"/>
  <c r="AR2950" i="1"/>
  <c r="AR2951" i="1"/>
  <c r="AR2952" i="1"/>
  <c r="AR2953" i="1"/>
  <c r="AR2954" i="1"/>
  <c r="AR2955" i="1"/>
  <c r="AR2956" i="1"/>
  <c r="AR2957" i="1"/>
  <c r="AR2958" i="1"/>
  <c r="AR2959" i="1"/>
  <c r="AR2960" i="1"/>
  <c r="AR2961" i="1"/>
  <c r="AR2962" i="1"/>
  <c r="AR2963" i="1"/>
  <c r="AR2964" i="1"/>
  <c r="AR2965" i="1"/>
  <c r="AR2966" i="1"/>
  <c r="AR2967" i="1"/>
  <c r="AR2968" i="1"/>
  <c r="AR2969" i="1"/>
  <c r="AR2970" i="1"/>
  <c r="AR2971" i="1"/>
  <c r="AR2972" i="1"/>
  <c r="AR2973" i="1"/>
  <c r="AR2974" i="1"/>
  <c r="AR2975" i="1"/>
  <c r="AR2976" i="1"/>
  <c r="AR2977" i="1"/>
  <c r="AR2978" i="1"/>
  <c r="AR2979" i="1"/>
  <c r="AR2980" i="1"/>
  <c r="AR2981" i="1"/>
  <c r="AR2982" i="1"/>
  <c r="AR2983" i="1"/>
  <c r="AR2984" i="1"/>
  <c r="AR2985" i="1"/>
  <c r="AR2986" i="1"/>
  <c r="AR2987" i="1"/>
  <c r="AR2988" i="1"/>
  <c r="AR2989" i="1"/>
  <c r="AR2990" i="1"/>
  <c r="AR2991" i="1"/>
  <c r="AR2992" i="1"/>
  <c r="AR2993" i="1"/>
  <c r="AR2994" i="1"/>
  <c r="AR2995" i="1"/>
  <c r="AR2996" i="1"/>
  <c r="AR2997" i="1"/>
  <c r="AR2998" i="1"/>
  <c r="AR2999" i="1"/>
  <c r="AR3000" i="1"/>
  <c r="AR3001" i="1"/>
  <c r="AR3002" i="1"/>
  <c r="AR3003" i="1"/>
  <c r="AR3004" i="1"/>
  <c r="AR3005" i="1"/>
  <c r="AR3006" i="1"/>
  <c r="AR3007" i="1"/>
  <c r="AR3008" i="1"/>
  <c r="AR3009" i="1"/>
  <c r="AR3010" i="1"/>
  <c r="AR3011" i="1"/>
  <c r="AR3012" i="1"/>
  <c r="AR3013" i="1"/>
  <c r="AR3014" i="1"/>
  <c r="AR3015" i="1"/>
  <c r="AR3016" i="1"/>
  <c r="AR3017" i="1"/>
  <c r="AR3018" i="1"/>
  <c r="AR3019" i="1"/>
  <c r="AR3020" i="1"/>
  <c r="AR3021" i="1"/>
  <c r="AR3022" i="1"/>
  <c r="AR3023" i="1"/>
  <c r="AR3024" i="1"/>
  <c r="AR3025" i="1"/>
  <c r="AR3026" i="1"/>
  <c r="AR3027" i="1"/>
  <c r="AR3028" i="1"/>
  <c r="AR3029" i="1"/>
  <c r="AR3030" i="1"/>
  <c r="AR3031" i="1"/>
  <c r="AR3032" i="1"/>
  <c r="AR3033" i="1"/>
  <c r="AR3034" i="1"/>
  <c r="AR3035" i="1"/>
  <c r="AR3036" i="1"/>
  <c r="AR3037" i="1"/>
  <c r="AR3038" i="1"/>
  <c r="AR3039" i="1"/>
  <c r="AR3040" i="1"/>
  <c r="AR3041" i="1"/>
  <c r="AR3042" i="1"/>
  <c r="AR3043" i="1"/>
  <c r="AR3044" i="1"/>
  <c r="AR3045" i="1"/>
  <c r="AR3046" i="1"/>
  <c r="AR3047" i="1"/>
  <c r="AR3048" i="1"/>
  <c r="AR3049" i="1"/>
  <c r="AR3050" i="1"/>
  <c r="AR3051" i="1"/>
  <c r="AR3052" i="1"/>
  <c r="AR3053" i="1"/>
  <c r="AR3054" i="1"/>
  <c r="AR3055" i="1"/>
  <c r="AR3056" i="1"/>
  <c r="AR3057" i="1"/>
  <c r="AR3058" i="1"/>
  <c r="AR3059" i="1"/>
  <c r="AR3060" i="1"/>
  <c r="AR3061" i="1"/>
  <c r="AR3062" i="1"/>
  <c r="AR3063" i="1"/>
  <c r="AR3064" i="1"/>
  <c r="AR3065" i="1"/>
  <c r="AR3066" i="1"/>
  <c r="AR3067" i="1"/>
  <c r="AR3068" i="1"/>
  <c r="AR3069" i="1"/>
  <c r="AR3070" i="1"/>
  <c r="AR3071" i="1"/>
  <c r="AR3072" i="1"/>
  <c r="AR3073" i="1"/>
  <c r="AR3074" i="1"/>
  <c r="AR3075" i="1"/>
  <c r="AR3076" i="1"/>
  <c r="AR3077" i="1"/>
  <c r="AR3078" i="1"/>
  <c r="AR3079" i="1"/>
  <c r="AR3080" i="1"/>
  <c r="AR3081" i="1"/>
  <c r="AR3082" i="1"/>
  <c r="AR3083" i="1"/>
  <c r="AR3084" i="1"/>
  <c r="AR3085" i="1"/>
  <c r="AR3086" i="1"/>
  <c r="AR3087" i="1"/>
  <c r="AR3088" i="1"/>
  <c r="AR3089" i="1"/>
  <c r="AR3090" i="1"/>
  <c r="AR3091" i="1"/>
  <c r="AR3092" i="1"/>
  <c r="AR3093" i="1"/>
  <c r="AR3094" i="1"/>
  <c r="AR3095" i="1"/>
  <c r="AR3096" i="1"/>
  <c r="AR3097" i="1"/>
  <c r="AR3098" i="1"/>
  <c r="AR3099" i="1"/>
  <c r="AR3100" i="1"/>
  <c r="AR3101" i="1"/>
  <c r="AR3102" i="1"/>
  <c r="AR3103" i="1"/>
  <c r="AR3104" i="1"/>
  <c r="AR3105" i="1"/>
  <c r="AR3106" i="1"/>
  <c r="AR3107" i="1"/>
  <c r="AR3108" i="1"/>
  <c r="AR3109" i="1"/>
  <c r="AR3110" i="1"/>
  <c r="AR3111" i="1"/>
  <c r="AR3112" i="1"/>
  <c r="AR3113" i="1"/>
  <c r="AR3114" i="1"/>
  <c r="AR3115" i="1"/>
  <c r="AR3116" i="1"/>
  <c r="AR3117" i="1"/>
  <c r="AR3118" i="1"/>
  <c r="AR3119" i="1"/>
  <c r="AR3120" i="1"/>
  <c r="AR3121" i="1"/>
  <c r="AR3122" i="1"/>
  <c r="AR3123" i="1"/>
  <c r="AR3124" i="1"/>
  <c r="AR3125" i="1"/>
  <c r="AR3126" i="1"/>
  <c r="AR3127" i="1"/>
  <c r="AR3128" i="1"/>
  <c r="AR3129" i="1"/>
  <c r="AR3130" i="1"/>
  <c r="AR3131" i="1"/>
  <c r="AR3132" i="1"/>
  <c r="AR3133" i="1"/>
  <c r="AR3134" i="1"/>
  <c r="AR3135" i="1"/>
  <c r="AR3136" i="1"/>
  <c r="AR3137" i="1"/>
  <c r="AR3138" i="1"/>
  <c r="AR3139" i="1"/>
  <c r="AR3140" i="1"/>
  <c r="AR3141" i="1"/>
  <c r="AR3142" i="1"/>
  <c r="AR3143" i="1"/>
  <c r="AR3144" i="1"/>
  <c r="AR3145" i="1"/>
  <c r="AR3146" i="1"/>
  <c r="AR3147" i="1"/>
  <c r="AR3148" i="1"/>
  <c r="AR3149" i="1"/>
  <c r="AR3150" i="1"/>
  <c r="AR3151" i="1"/>
  <c r="AR3152" i="1"/>
  <c r="AR3153" i="1"/>
  <c r="AR3154" i="1"/>
  <c r="AR3155" i="1"/>
  <c r="AR3156" i="1"/>
  <c r="AR3157" i="1"/>
  <c r="AR3158" i="1"/>
  <c r="AR3159" i="1"/>
  <c r="AR3160" i="1"/>
  <c r="AR3161" i="1"/>
  <c r="AR3162" i="1"/>
  <c r="AR3163" i="1"/>
  <c r="AR3164" i="1"/>
  <c r="AR3165" i="1"/>
  <c r="AR3166" i="1"/>
  <c r="AR3167" i="1"/>
  <c r="AR3168" i="1"/>
  <c r="AR3169" i="1"/>
  <c r="AR3170" i="1"/>
  <c r="AR3171" i="1"/>
  <c r="AR3172" i="1"/>
  <c r="AR3173" i="1"/>
  <c r="AR3174" i="1"/>
  <c r="AR3175" i="1"/>
  <c r="AR3176" i="1"/>
  <c r="AR3177" i="1"/>
  <c r="AR3178" i="1"/>
  <c r="AR3179" i="1"/>
  <c r="AR3180" i="1"/>
  <c r="AR3181" i="1"/>
  <c r="AR3182" i="1"/>
  <c r="AR3183" i="1"/>
  <c r="AR3184" i="1"/>
  <c r="AR3185" i="1"/>
  <c r="AR3186" i="1"/>
  <c r="AR3187" i="1"/>
  <c r="AR3188" i="1"/>
  <c r="AR3189" i="1"/>
  <c r="AR3190" i="1"/>
  <c r="AR3191" i="1"/>
  <c r="AR3192" i="1"/>
  <c r="AR3193" i="1"/>
  <c r="AR3194" i="1"/>
  <c r="AR3195" i="1"/>
  <c r="AR3196" i="1"/>
  <c r="AR3197" i="1"/>
  <c r="AR3198" i="1"/>
  <c r="AR3199" i="1"/>
  <c r="AR3200" i="1"/>
  <c r="AR3201" i="1"/>
  <c r="AR3202" i="1"/>
  <c r="AR3203" i="1"/>
  <c r="AR3204" i="1"/>
  <c r="AR3205" i="1"/>
  <c r="AR3206" i="1"/>
  <c r="AR3207" i="1"/>
  <c r="AR3208" i="1"/>
  <c r="AR3209" i="1"/>
  <c r="AR3210" i="1"/>
  <c r="AR3211" i="1"/>
  <c r="AR3212" i="1"/>
  <c r="AR3213" i="1"/>
  <c r="AR3214" i="1"/>
  <c r="AR3215" i="1"/>
  <c r="AR3216" i="1"/>
  <c r="AR3217" i="1"/>
  <c r="AR3218" i="1"/>
  <c r="AR3219" i="1"/>
  <c r="AR3220" i="1"/>
  <c r="AR3221" i="1"/>
  <c r="AR3222" i="1"/>
  <c r="AR3223" i="1"/>
  <c r="AR3224" i="1"/>
  <c r="AR3225" i="1"/>
  <c r="AR3226" i="1"/>
  <c r="AR3227" i="1"/>
  <c r="AR3228" i="1"/>
  <c r="AR3229" i="1"/>
  <c r="AR3230" i="1"/>
  <c r="AR3231" i="1"/>
  <c r="AR3232" i="1"/>
  <c r="AR3233" i="1"/>
  <c r="AR3234" i="1"/>
  <c r="AR3235" i="1"/>
  <c r="AR3236" i="1"/>
  <c r="AR3237" i="1"/>
  <c r="AR3238" i="1"/>
  <c r="AR3239" i="1"/>
  <c r="AR3240" i="1"/>
  <c r="AR3241" i="1"/>
  <c r="AR3242" i="1"/>
  <c r="AR3243" i="1"/>
  <c r="AR3244" i="1"/>
  <c r="AR3245" i="1"/>
  <c r="AR3246" i="1"/>
  <c r="AR3247" i="1"/>
  <c r="AR3248" i="1"/>
  <c r="AR3249" i="1"/>
  <c r="AR3250" i="1"/>
  <c r="AR3251" i="1"/>
  <c r="AR3252" i="1"/>
  <c r="AR3253" i="1"/>
  <c r="AR3254" i="1"/>
  <c r="AR3255" i="1"/>
  <c r="AR3256" i="1"/>
  <c r="AR3257" i="1"/>
  <c r="AR3258" i="1"/>
  <c r="AR3259" i="1"/>
  <c r="AR3260" i="1"/>
  <c r="AR3261" i="1"/>
  <c r="AR3262" i="1"/>
  <c r="AR3263" i="1"/>
  <c r="AR3264" i="1"/>
  <c r="AR3265" i="1"/>
  <c r="AR3266" i="1"/>
  <c r="AR3267" i="1"/>
  <c r="AR3268" i="1"/>
  <c r="AR3269" i="1"/>
  <c r="AR3270" i="1"/>
  <c r="AR3271" i="1"/>
  <c r="AR3272" i="1"/>
  <c r="AR3273" i="1"/>
  <c r="AR3274" i="1"/>
  <c r="AR3275" i="1"/>
  <c r="AR3276" i="1"/>
  <c r="AR3277" i="1"/>
  <c r="AR3278" i="1"/>
  <c r="AR3279" i="1"/>
  <c r="AR3280" i="1"/>
  <c r="AR3281" i="1"/>
  <c r="AR3282" i="1"/>
  <c r="AR3283" i="1"/>
  <c r="AR3284" i="1"/>
  <c r="AR3285" i="1"/>
  <c r="AR3286" i="1"/>
  <c r="AR3287" i="1"/>
  <c r="AR3288" i="1"/>
  <c r="AR3289" i="1"/>
  <c r="AR3290" i="1"/>
  <c r="AR3291" i="1"/>
  <c r="AR3292" i="1"/>
  <c r="AR3293" i="1"/>
  <c r="AR3294" i="1"/>
  <c r="AR3295" i="1"/>
  <c r="AR3296" i="1"/>
  <c r="AR3297" i="1"/>
  <c r="AR3298" i="1"/>
  <c r="AR3299" i="1"/>
  <c r="AR3300" i="1"/>
  <c r="AR3301" i="1"/>
  <c r="AR3302" i="1"/>
  <c r="AR3303" i="1"/>
  <c r="AR3304" i="1"/>
  <c r="AR3305" i="1"/>
  <c r="AR3306" i="1"/>
  <c r="AR3307" i="1"/>
  <c r="AR3308" i="1"/>
  <c r="AR3309" i="1"/>
  <c r="AR3310" i="1"/>
  <c r="AR3311" i="1"/>
  <c r="AR3312" i="1"/>
  <c r="AR3313" i="1"/>
  <c r="AR3314" i="1"/>
  <c r="AR3315" i="1"/>
  <c r="AR3316" i="1"/>
  <c r="AR3317" i="1"/>
  <c r="AR3318" i="1"/>
  <c r="AR3319" i="1"/>
  <c r="AR3320" i="1"/>
  <c r="AR3321" i="1"/>
  <c r="AR3322" i="1"/>
  <c r="AR3323" i="1"/>
  <c r="AR3324" i="1"/>
  <c r="AR3325" i="1"/>
  <c r="AR3326" i="1"/>
  <c r="AR3327" i="1"/>
  <c r="AR3328" i="1"/>
  <c r="AR3329" i="1"/>
  <c r="AR3330" i="1"/>
  <c r="AR3331" i="1"/>
  <c r="AR3332" i="1"/>
  <c r="AR3333" i="1"/>
  <c r="AR3334" i="1"/>
  <c r="AR3335" i="1"/>
  <c r="AR3336" i="1"/>
  <c r="AR3337" i="1"/>
  <c r="AR3338" i="1"/>
  <c r="AR3339" i="1"/>
  <c r="AR3340" i="1"/>
  <c r="AR3341" i="1"/>
  <c r="AR3342" i="1"/>
  <c r="AR3343" i="1"/>
  <c r="AR3344" i="1"/>
  <c r="AR3345" i="1"/>
  <c r="AR3346" i="1"/>
  <c r="AR3347" i="1"/>
  <c r="AR3348" i="1"/>
  <c r="AR3349" i="1"/>
  <c r="AR3350" i="1"/>
  <c r="AR3351" i="1"/>
  <c r="AR3352" i="1"/>
  <c r="AR3353" i="1"/>
  <c r="AR3354" i="1"/>
  <c r="AR3355" i="1"/>
  <c r="AR3356" i="1"/>
  <c r="AR3357" i="1"/>
  <c r="AR3358" i="1"/>
  <c r="AR3359" i="1"/>
  <c r="AR3360" i="1"/>
  <c r="AR3361" i="1"/>
  <c r="AR3362" i="1"/>
  <c r="AR3363" i="1"/>
  <c r="AR3364" i="1"/>
  <c r="AR3365" i="1"/>
  <c r="AR3366" i="1"/>
  <c r="AR3367" i="1"/>
  <c r="AR3368" i="1"/>
  <c r="AR3369" i="1"/>
  <c r="AR3370" i="1"/>
  <c r="AR3371" i="1"/>
  <c r="AR3372" i="1"/>
  <c r="AR3373" i="1"/>
  <c r="AR3374" i="1"/>
  <c r="AR3375" i="1"/>
  <c r="AR3376" i="1"/>
  <c r="AR3377" i="1"/>
  <c r="AR3378" i="1"/>
  <c r="AR3379" i="1"/>
  <c r="AR3380" i="1"/>
  <c r="AR3381" i="1"/>
  <c r="AR3382" i="1"/>
  <c r="AR3383" i="1"/>
  <c r="AR3384" i="1"/>
  <c r="AR3385" i="1"/>
  <c r="AR3386" i="1"/>
  <c r="AR3387" i="1"/>
  <c r="AR3388" i="1"/>
  <c r="AR3389" i="1"/>
  <c r="AR3390" i="1"/>
  <c r="AR3391" i="1"/>
  <c r="AR3392" i="1"/>
  <c r="AR3393" i="1"/>
  <c r="AR3394" i="1"/>
  <c r="AR3395" i="1"/>
  <c r="AR3396" i="1"/>
  <c r="AR3397" i="1"/>
  <c r="AR3398" i="1"/>
  <c r="AR3399" i="1"/>
  <c r="AR3400" i="1"/>
  <c r="AR3401" i="1"/>
  <c r="AR3402" i="1"/>
  <c r="AR3403" i="1"/>
  <c r="AR3404" i="1"/>
  <c r="AR3405" i="1"/>
  <c r="AR3406" i="1"/>
  <c r="AR3407" i="1"/>
  <c r="AR3408" i="1"/>
  <c r="AR3409" i="1"/>
  <c r="AR3410" i="1"/>
  <c r="AR3411" i="1"/>
  <c r="AR3412" i="1"/>
  <c r="AR3413" i="1"/>
  <c r="AR3414" i="1"/>
  <c r="AR3415" i="1"/>
  <c r="AR3416" i="1"/>
  <c r="AR3417" i="1"/>
  <c r="AR3418" i="1"/>
  <c r="AR3419" i="1"/>
  <c r="AR3420" i="1"/>
  <c r="AR3421" i="1"/>
  <c r="AR3422" i="1"/>
  <c r="AR3423" i="1"/>
  <c r="AR3424" i="1"/>
  <c r="AR3425" i="1"/>
  <c r="AR3426" i="1"/>
  <c r="AR3427" i="1"/>
  <c r="AR3428" i="1"/>
  <c r="AR3429" i="1"/>
  <c r="AR3430" i="1"/>
  <c r="AR3431" i="1"/>
  <c r="AR3432" i="1"/>
  <c r="AR3433" i="1"/>
  <c r="AR3434" i="1"/>
  <c r="AR3435" i="1"/>
  <c r="AR3436" i="1"/>
  <c r="AR3437" i="1"/>
  <c r="AR3438" i="1"/>
  <c r="AR3439" i="1"/>
  <c r="AR3440" i="1"/>
  <c r="AR3441" i="1"/>
  <c r="AR3442" i="1"/>
  <c r="AR3443" i="1"/>
  <c r="AR3444" i="1"/>
  <c r="AR3445" i="1"/>
  <c r="AR3446" i="1"/>
  <c r="AR3447" i="1"/>
  <c r="AR3448" i="1"/>
  <c r="AR3449" i="1"/>
  <c r="AR3450" i="1"/>
  <c r="AR3451" i="1"/>
  <c r="AR3452" i="1"/>
  <c r="AR3453" i="1"/>
  <c r="AR3454" i="1"/>
  <c r="AR3455" i="1"/>
  <c r="AR3456" i="1"/>
  <c r="AR3457" i="1"/>
  <c r="AR3458" i="1"/>
  <c r="AR3459" i="1"/>
  <c r="AR3460" i="1"/>
  <c r="AR3461" i="1"/>
  <c r="AR3462" i="1"/>
  <c r="AR3463" i="1"/>
  <c r="AR3464" i="1"/>
  <c r="AR3465" i="1"/>
  <c r="AR3466" i="1"/>
  <c r="AR3467" i="1"/>
  <c r="AR3468" i="1"/>
  <c r="AR3469" i="1"/>
  <c r="AR3470" i="1"/>
  <c r="AR3471" i="1"/>
  <c r="AR3472" i="1"/>
  <c r="AR3473" i="1"/>
  <c r="AR3474" i="1"/>
  <c r="AR3475" i="1"/>
  <c r="AR3476" i="1"/>
  <c r="AR3477" i="1"/>
  <c r="AR3478" i="1"/>
  <c r="AR3479" i="1"/>
  <c r="AR3480" i="1"/>
  <c r="AR3481" i="1"/>
  <c r="AR3482" i="1"/>
  <c r="AR3483" i="1"/>
  <c r="AR3484" i="1"/>
  <c r="AR3485" i="1"/>
  <c r="AR3486" i="1"/>
  <c r="AR3487" i="1"/>
  <c r="AR3488" i="1"/>
  <c r="AR3489" i="1"/>
  <c r="AR3490" i="1"/>
  <c r="AR3491" i="1"/>
  <c r="AR3492" i="1"/>
  <c r="AR3493" i="1"/>
  <c r="AR3494" i="1"/>
  <c r="AR3495" i="1"/>
  <c r="AR3496" i="1"/>
  <c r="AR3497" i="1"/>
  <c r="AR3498" i="1"/>
  <c r="AR3499" i="1"/>
  <c r="AR3500" i="1"/>
  <c r="AR3501" i="1"/>
  <c r="AR3502" i="1"/>
  <c r="AR3503" i="1"/>
  <c r="AR3504" i="1"/>
  <c r="AR3505" i="1"/>
  <c r="AR3506" i="1"/>
  <c r="AR3507" i="1"/>
  <c r="AR3508" i="1"/>
  <c r="AR3509" i="1"/>
  <c r="AR3510" i="1"/>
  <c r="AR3511" i="1"/>
  <c r="AR3512" i="1"/>
  <c r="AR3513" i="1"/>
  <c r="AR3514" i="1"/>
  <c r="AR3515" i="1"/>
  <c r="AR3516" i="1"/>
  <c r="AR3517" i="1"/>
  <c r="AR3518" i="1"/>
  <c r="AR3519" i="1"/>
  <c r="AR3520" i="1"/>
  <c r="AR3521" i="1"/>
  <c r="AR3522" i="1"/>
  <c r="AR3523" i="1"/>
  <c r="AR3524" i="1"/>
  <c r="AR3525" i="1"/>
  <c r="AR3526" i="1"/>
  <c r="AR3527" i="1"/>
  <c r="AR3528" i="1"/>
  <c r="AR3529" i="1"/>
  <c r="AR3530" i="1"/>
  <c r="AR3531" i="1"/>
  <c r="AR3532" i="1"/>
  <c r="AR3533" i="1"/>
  <c r="AR3534" i="1"/>
  <c r="AR3535" i="1"/>
  <c r="AR3536" i="1"/>
  <c r="AR3537" i="1"/>
  <c r="AR3538" i="1"/>
  <c r="AR3539" i="1"/>
  <c r="AR3540" i="1"/>
  <c r="AR3541" i="1"/>
  <c r="AR3542" i="1"/>
  <c r="AR3543" i="1"/>
  <c r="AR3544" i="1"/>
  <c r="AR3545" i="1"/>
  <c r="AR3546" i="1"/>
  <c r="AR3547" i="1"/>
  <c r="AR3548" i="1"/>
  <c r="AR3549" i="1"/>
  <c r="AR3550" i="1"/>
  <c r="AR3551" i="1"/>
  <c r="AR3552" i="1"/>
  <c r="AR3553" i="1"/>
  <c r="AR3554" i="1"/>
  <c r="AR3555" i="1"/>
  <c r="AR3556" i="1"/>
  <c r="AR3557" i="1"/>
  <c r="AR3558" i="1"/>
  <c r="AR3559" i="1"/>
  <c r="AR3560" i="1"/>
  <c r="AR3561" i="1"/>
  <c r="AR3562" i="1"/>
  <c r="AR3563" i="1"/>
  <c r="AR3564" i="1"/>
  <c r="AR3565" i="1"/>
  <c r="AR3566" i="1"/>
  <c r="AR3567" i="1"/>
  <c r="AR3568" i="1"/>
  <c r="AR3569" i="1"/>
  <c r="AR3570" i="1"/>
  <c r="AR3571" i="1"/>
  <c r="AR3572" i="1"/>
  <c r="AR3573" i="1"/>
  <c r="AR3574" i="1"/>
  <c r="AR3575" i="1"/>
  <c r="AR3576" i="1"/>
  <c r="AR3577" i="1"/>
  <c r="AR3578" i="1"/>
  <c r="AR3579" i="1"/>
  <c r="AR3580" i="1"/>
  <c r="AR3581" i="1"/>
  <c r="AR3582" i="1"/>
  <c r="AR3583" i="1"/>
  <c r="AR3584" i="1"/>
  <c r="AR3585" i="1"/>
  <c r="AR3586" i="1"/>
  <c r="AR3587" i="1"/>
  <c r="AR3588" i="1"/>
  <c r="AR3589" i="1"/>
  <c r="AR3590" i="1"/>
  <c r="AR3591" i="1"/>
  <c r="AR3592" i="1"/>
  <c r="AR3593" i="1"/>
  <c r="AR3594" i="1"/>
  <c r="AR3595" i="1"/>
  <c r="AR3596" i="1"/>
  <c r="AR3597" i="1"/>
  <c r="AR3598" i="1"/>
  <c r="AR3599" i="1"/>
  <c r="AR3600" i="1"/>
  <c r="AR3601" i="1"/>
  <c r="AR3602" i="1"/>
  <c r="AR3603" i="1"/>
  <c r="AR3604" i="1"/>
  <c r="AR3605" i="1"/>
  <c r="AR3606" i="1"/>
  <c r="AR3607" i="1"/>
  <c r="AR3608" i="1"/>
  <c r="AR3609" i="1"/>
  <c r="AR3610" i="1"/>
  <c r="AR3611" i="1"/>
  <c r="AR3612" i="1"/>
  <c r="AR3613" i="1"/>
  <c r="AR3614" i="1"/>
  <c r="AR3615" i="1"/>
  <c r="AR3616" i="1"/>
  <c r="AR3617" i="1"/>
  <c r="AR3618" i="1"/>
  <c r="AR3619" i="1"/>
  <c r="AR3620" i="1"/>
  <c r="AR3621" i="1"/>
  <c r="AR3622" i="1"/>
  <c r="AR3623" i="1"/>
  <c r="AR3624" i="1"/>
  <c r="AR3625" i="1"/>
  <c r="AR3626" i="1"/>
  <c r="AR3627" i="1"/>
  <c r="AR3628" i="1"/>
  <c r="AR3629" i="1"/>
  <c r="AR3630" i="1"/>
  <c r="AR3631" i="1"/>
  <c r="AR3632" i="1"/>
  <c r="AR3633" i="1"/>
  <c r="AR3634" i="1"/>
  <c r="AR3635" i="1"/>
  <c r="AR3636" i="1"/>
  <c r="AR3637" i="1"/>
  <c r="AR3638" i="1"/>
  <c r="AR3639" i="1"/>
  <c r="AR3640" i="1"/>
  <c r="AR3641" i="1"/>
  <c r="AR3642" i="1"/>
  <c r="AR3643" i="1"/>
  <c r="AR3644" i="1"/>
  <c r="AR3645" i="1"/>
  <c r="AR3646" i="1"/>
  <c r="AR3647" i="1"/>
  <c r="AR3648" i="1"/>
  <c r="AR3649" i="1"/>
  <c r="AR3650" i="1"/>
  <c r="AR3651" i="1"/>
  <c r="AR3652" i="1"/>
  <c r="AR3653" i="1"/>
  <c r="AR3654" i="1"/>
  <c r="AR3655" i="1"/>
  <c r="AR3656" i="1"/>
  <c r="AR3657" i="1"/>
  <c r="AR3658" i="1"/>
  <c r="AR3659" i="1"/>
  <c r="AR3660" i="1"/>
  <c r="AR3661" i="1"/>
  <c r="AR3662" i="1"/>
  <c r="AR3663" i="1"/>
  <c r="AR3664" i="1"/>
  <c r="AR3665" i="1"/>
  <c r="AR3666" i="1"/>
  <c r="AR3667" i="1"/>
  <c r="AR3668" i="1"/>
  <c r="AR3669" i="1"/>
  <c r="AR3670" i="1"/>
  <c r="AR3671" i="1"/>
  <c r="AR3672" i="1"/>
  <c r="AR3673" i="1"/>
  <c r="AR3674" i="1"/>
  <c r="AR3675" i="1"/>
  <c r="AR3676" i="1"/>
  <c r="AR3677" i="1"/>
  <c r="AR3678" i="1"/>
  <c r="AR3679" i="1"/>
  <c r="AR3680" i="1"/>
  <c r="AR3681" i="1"/>
  <c r="AR3682" i="1"/>
  <c r="AR3683" i="1"/>
  <c r="AR3684" i="1"/>
  <c r="AR3685" i="1"/>
  <c r="AR3686" i="1"/>
  <c r="AR3687" i="1"/>
  <c r="AR3688" i="1"/>
  <c r="AR3689" i="1"/>
  <c r="AR3690" i="1"/>
  <c r="AR3691" i="1"/>
  <c r="AR3692" i="1"/>
  <c r="AR3693" i="1"/>
  <c r="AR3694" i="1"/>
  <c r="AR3695" i="1"/>
  <c r="AR3696" i="1"/>
  <c r="AR3697" i="1"/>
  <c r="AR3698" i="1"/>
  <c r="AR3699" i="1"/>
  <c r="AR3700" i="1"/>
  <c r="AR3701" i="1"/>
  <c r="AR3702" i="1"/>
  <c r="AR3703" i="1"/>
  <c r="AR3704" i="1"/>
  <c r="AR3705" i="1"/>
  <c r="AR3706" i="1"/>
  <c r="AR3707" i="1"/>
  <c r="AR3708" i="1"/>
  <c r="AR3709" i="1"/>
  <c r="AR3710" i="1"/>
  <c r="AR3711" i="1"/>
  <c r="AR3712" i="1"/>
  <c r="AR3713" i="1"/>
  <c r="AR3714" i="1"/>
  <c r="AR3715" i="1"/>
  <c r="AR3716" i="1"/>
  <c r="AR3717" i="1"/>
  <c r="AR3718" i="1"/>
  <c r="AR3719" i="1"/>
  <c r="AR3720" i="1"/>
  <c r="AR3721" i="1"/>
  <c r="AR3722" i="1"/>
  <c r="AR3723" i="1"/>
  <c r="AR3724" i="1"/>
  <c r="AR3725" i="1"/>
  <c r="AR3726" i="1"/>
  <c r="AR3727" i="1"/>
  <c r="AR3728" i="1"/>
  <c r="AR3729" i="1"/>
  <c r="AR3730" i="1"/>
  <c r="AR3731" i="1"/>
  <c r="AR3732" i="1"/>
  <c r="AR3733" i="1"/>
  <c r="AR3734" i="1"/>
  <c r="AR3735" i="1"/>
  <c r="AR3736" i="1"/>
  <c r="AR3737" i="1"/>
  <c r="AR3738" i="1"/>
  <c r="AR3739" i="1"/>
  <c r="AR3740" i="1"/>
  <c r="AR3741" i="1"/>
  <c r="AR3742" i="1"/>
  <c r="AR3743" i="1"/>
  <c r="AR3744" i="1"/>
  <c r="AR3745" i="1"/>
  <c r="AR3746" i="1"/>
  <c r="AR3747" i="1"/>
  <c r="AR3748" i="1"/>
  <c r="AR3749" i="1"/>
  <c r="AR3750" i="1"/>
  <c r="AR3751" i="1"/>
  <c r="AR3752" i="1"/>
  <c r="AR3753" i="1"/>
  <c r="AR3754" i="1"/>
  <c r="AR3755" i="1"/>
  <c r="AR3756" i="1"/>
  <c r="AR3757" i="1"/>
  <c r="AR3758" i="1"/>
  <c r="AR3759" i="1"/>
  <c r="AR3760" i="1"/>
  <c r="AR3761" i="1"/>
  <c r="AR3762" i="1"/>
  <c r="AR3763" i="1"/>
  <c r="AR3764" i="1"/>
  <c r="AR3765" i="1"/>
  <c r="AR3766" i="1"/>
  <c r="AR3767" i="1"/>
  <c r="AR3768" i="1"/>
  <c r="AR3769" i="1"/>
  <c r="AR3770" i="1"/>
  <c r="AR3771" i="1"/>
  <c r="AR3772" i="1"/>
  <c r="AR3773" i="1"/>
  <c r="AR3774" i="1"/>
  <c r="AR3775" i="1"/>
  <c r="AR3776" i="1"/>
  <c r="AR3777" i="1"/>
  <c r="AR3778" i="1"/>
  <c r="AR3779" i="1"/>
  <c r="AR3780" i="1"/>
  <c r="AR3781" i="1"/>
  <c r="AR3782" i="1"/>
  <c r="AR3783" i="1"/>
  <c r="AR3784" i="1"/>
  <c r="AR3785" i="1"/>
  <c r="AR3786" i="1"/>
  <c r="AR3787" i="1"/>
  <c r="AR3788" i="1"/>
  <c r="AR3789" i="1"/>
  <c r="AR3790" i="1"/>
  <c r="AR3791" i="1"/>
  <c r="AR3792" i="1"/>
  <c r="AR3793" i="1"/>
  <c r="AR3794" i="1"/>
  <c r="AR3795" i="1"/>
  <c r="AR3796" i="1"/>
  <c r="AR3797" i="1"/>
  <c r="AR3798" i="1"/>
  <c r="AR3799" i="1"/>
  <c r="AR3800" i="1"/>
  <c r="AR3801" i="1"/>
  <c r="AR3802" i="1"/>
  <c r="AR3803" i="1"/>
  <c r="AR3804" i="1"/>
  <c r="AR3805" i="1"/>
  <c r="AR3806" i="1"/>
  <c r="AR3807" i="1"/>
  <c r="AR3808" i="1"/>
  <c r="AR3809" i="1"/>
  <c r="AR3810" i="1"/>
  <c r="AR3811" i="1"/>
  <c r="AR3812" i="1"/>
  <c r="AR3813" i="1"/>
  <c r="AR3814" i="1"/>
  <c r="AR3815" i="1"/>
  <c r="AR3816" i="1"/>
  <c r="AR3817" i="1"/>
  <c r="AR3818" i="1"/>
  <c r="AR3819" i="1"/>
  <c r="AR3820" i="1"/>
  <c r="AR3821" i="1"/>
  <c r="AR3822" i="1"/>
  <c r="AR3823" i="1"/>
  <c r="AR3824" i="1"/>
  <c r="AR3825" i="1"/>
  <c r="AR3826" i="1"/>
  <c r="AR3827" i="1"/>
  <c r="AR3828" i="1"/>
  <c r="AR3829" i="1"/>
  <c r="AR3830" i="1"/>
  <c r="AR3831" i="1"/>
  <c r="AR3832" i="1"/>
  <c r="AR3833" i="1"/>
  <c r="AR3834" i="1"/>
  <c r="AR3835" i="1"/>
  <c r="AR3836" i="1"/>
  <c r="AR3837" i="1"/>
  <c r="AR3838" i="1"/>
  <c r="AR3839" i="1"/>
  <c r="AR3840" i="1"/>
  <c r="AR3841" i="1"/>
  <c r="AR3842" i="1"/>
  <c r="AR3843" i="1"/>
  <c r="AR3844" i="1"/>
  <c r="AR3845" i="1"/>
  <c r="AR3846" i="1"/>
  <c r="AR3847" i="1"/>
  <c r="AR3848" i="1"/>
  <c r="AR3849" i="1"/>
  <c r="AR3850" i="1"/>
  <c r="AR3851" i="1"/>
  <c r="AR3852" i="1"/>
  <c r="AR3853" i="1"/>
  <c r="AR3854" i="1"/>
  <c r="AR3855" i="1"/>
  <c r="AR3856" i="1"/>
  <c r="AR3857" i="1"/>
  <c r="AR3858" i="1"/>
  <c r="AR3859" i="1"/>
  <c r="AR3860" i="1"/>
  <c r="AR3861" i="1"/>
  <c r="AR3862" i="1"/>
  <c r="AR3863" i="1"/>
  <c r="AR3864" i="1"/>
  <c r="AR3865" i="1"/>
  <c r="AR3866" i="1"/>
  <c r="AR3867" i="1"/>
  <c r="AR3868" i="1"/>
  <c r="AR3869" i="1"/>
  <c r="AR3870" i="1"/>
  <c r="AR3871" i="1"/>
  <c r="AR3872" i="1"/>
  <c r="AR3873" i="1"/>
  <c r="AR3874" i="1"/>
  <c r="AR3875" i="1"/>
  <c r="AR3876" i="1"/>
  <c r="AR3877" i="1"/>
  <c r="AR3878" i="1"/>
  <c r="AR3879" i="1"/>
  <c r="AR3880" i="1"/>
  <c r="AR3881" i="1"/>
  <c r="AR3882" i="1"/>
  <c r="AR3883" i="1"/>
  <c r="AR3884" i="1"/>
  <c r="AR3885" i="1"/>
  <c r="AR3886" i="1"/>
  <c r="AR3887" i="1"/>
  <c r="AR3888" i="1"/>
  <c r="AR3889" i="1"/>
  <c r="AR3890" i="1"/>
  <c r="AR3891" i="1"/>
  <c r="AR3892" i="1"/>
  <c r="AR3893" i="1"/>
  <c r="AR3894" i="1"/>
  <c r="AR3895" i="1"/>
  <c r="AR3896" i="1"/>
  <c r="AR3897" i="1"/>
  <c r="AR3898" i="1"/>
  <c r="AR3899" i="1"/>
  <c r="AR3900" i="1"/>
  <c r="AR3901" i="1"/>
  <c r="AR3902" i="1"/>
  <c r="AR3903" i="1"/>
  <c r="AR3904" i="1"/>
  <c r="AR3905" i="1"/>
  <c r="AR3906" i="1"/>
  <c r="AR3907" i="1"/>
  <c r="AR3908" i="1"/>
  <c r="AR3909" i="1"/>
  <c r="AR3910" i="1"/>
  <c r="AR3911" i="1"/>
  <c r="AR3912" i="1"/>
  <c r="AR3913" i="1"/>
  <c r="AR3914" i="1"/>
  <c r="AR3915" i="1"/>
  <c r="AR3916" i="1"/>
  <c r="AR3917" i="1"/>
  <c r="AR3918" i="1"/>
  <c r="AR3919" i="1"/>
  <c r="AR3920" i="1"/>
  <c r="AR3921" i="1"/>
  <c r="AR3922" i="1"/>
  <c r="AR3923" i="1"/>
  <c r="AR3924" i="1"/>
  <c r="AR3925" i="1"/>
  <c r="AR3926" i="1"/>
  <c r="AR3927" i="1"/>
  <c r="AR3928" i="1"/>
  <c r="AR3929" i="1"/>
  <c r="AR3930" i="1"/>
  <c r="AR3931" i="1"/>
  <c r="AR3932" i="1"/>
  <c r="AR3933" i="1"/>
  <c r="AR3934" i="1"/>
  <c r="AR3935" i="1"/>
  <c r="AR3936" i="1"/>
  <c r="AR3937" i="1"/>
  <c r="AR3938" i="1"/>
  <c r="AR3939" i="1"/>
  <c r="AR3940" i="1"/>
  <c r="AR3941" i="1"/>
  <c r="AR3942" i="1"/>
  <c r="AR3943" i="1"/>
  <c r="AR3944" i="1"/>
  <c r="AR3945" i="1"/>
  <c r="AR3946" i="1"/>
  <c r="AR3947" i="1"/>
  <c r="AR3948" i="1"/>
  <c r="AR3949" i="1"/>
  <c r="AR3950" i="1"/>
  <c r="AR3951" i="1"/>
  <c r="AR3952" i="1"/>
  <c r="AR3953" i="1"/>
  <c r="AR3954" i="1"/>
  <c r="AR3955" i="1"/>
  <c r="AR3956" i="1"/>
  <c r="AR3957" i="1"/>
  <c r="AR3958" i="1"/>
  <c r="AR3959" i="1"/>
  <c r="AR3960" i="1"/>
  <c r="AR3961" i="1"/>
  <c r="AR3962" i="1"/>
  <c r="AR3963" i="1"/>
  <c r="AR3964" i="1"/>
  <c r="AR3965" i="1"/>
  <c r="AR3966" i="1"/>
  <c r="AR3967" i="1"/>
  <c r="AR3968" i="1"/>
  <c r="AR3969" i="1"/>
  <c r="AR3970" i="1"/>
  <c r="AR3971" i="1"/>
  <c r="AR3972" i="1"/>
  <c r="AR3973" i="1"/>
  <c r="AR3974" i="1"/>
  <c r="AR3975" i="1"/>
  <c r="AR3976" i="1"/>
  <c r="AR3977" i="1"/>
  <c r="AR3978" i="1"/>
  <c r="AR3979" i="1"/>
  <c r="AR3980" i="1"/>
  <c r="AR3981" i="1"/>
  <c r="AR3982" i="1"/>
  <c r="AR3983" i="1"/>
  <c r="AR3984" i="1"/>
  <c r="AR3985" i="1"/>
  <c r="AR3986" i="1"/>
  <c r="AR3987" i="1"/>
  <c r="AR3988" i="1"/>
  <c r="AR3989" i="1"/>
  <c r="AR3990" i="1"/>
  <c r="AR3991" i="1"/>
  <c r="AR3992" i="1"/>
  <c r="AR3993" i="1"/>
  <c r="AR3994" i="1"/>
  <c r="AR3995" i="1"/>
  <c r="AR3996" i="1"/>
  <c r="AR3997" i="1"/>
  <c r="AR3998" i="1"/>
  <c r="AR3999" i="1"/>
  <c r="AR4000" i="1"/>
  <c r="AR4001" i="1"/>
  <c r="AR4002" i="1"/>
  <c r="AR4003" i="1"/>
  <c r="AR4004" i="1"/>
  <c r="AR4005" i="1"/>
  <c r="AR4006" i="1"/>
  <c r="AR4007" i="1"/>
  <c r="AR4008" i="1"/>
  <c r="AR4009" i="1"/>
  <c r="AR4010" i="1"/>
  <c r="AR4011" i="1"/>
  <c r="AR4012" i="1"/>
  <c r="AR4013" i="1"/>
  <c r="AR4014" i="1"/>
  <c r="AR4015" i="1"/>
  <c r="AR4016" i="1"/>
  <c r="AR4017" i="1"/>
  <c r="AR4018" i="1"/>
  <c r="AR4019" i="1"/>
  <c r="AR4020" i="1"/>
  <c r="AR4021" i="1"/>
  <c r="AR4022" i="1"/>
  <c r="AR4023" i="1"/>
  <c r="AR4024" i="1"/>
  <c r="AR4025" i="1"/>
  <c r="AR4026" i="1"/>
  <c r="AR4027" i="1"/>
  <c r="AR4028" i="1"/>
  <c r="AR4029" i="1"/>
  <c r="AR4030" i="1"/>
  <c r="AR4031" i="1"/>
  <c r="AR4032" i="1"/>
  <c r="AR4033" i="1"/>
  <c r="AR4034" i="1"/>
  <c r="AR4035" i="1"/>
  <c r="AR4036" i="1"/>
  <c r="AR4037" i="1"/>
  <c r="AR4038" i="1"/>
  <c r="AR4039" i="1"/>
  <c r="AR4040" i="1"/>
  <c r="AR4041" i="1"/>
  <c r="AR4042" i="1"/>
  <c r="AR4043" i="1"/>
  <c r="AR4044" i="1"/>
  <c r="AR4045" i="1"/>
  <c r="AR4046" i="1"/>
  <c r="AR4047" i="1"/>
  <c r="AR4048" i="1"/>
  <c r="AR4049" i="1"/>
  <c r="AR4050" i="1"/>
  <c r="AR4051" i="1"/>
  <c r="AR4052" i="1"/>
  <c r="AR4053" i="1"/>
  <c r="AR4054" i="1"/>
  <c r="AR4055" i="1"/>
  <c r="AR4056" i="1"/>
  <c r="AR4057" i="1"/>
  <c r="AR4058" i="1"/>
  <c r="AR4059" i="1"/>
  <c r="AR4060" i="1"/>
  <c r="AR4061" i="1"/>
  <c r="AR4062" i="1"/>
  <c r="AR4063" i="1"/>
  <c r="AR4064" i="1"/>
  <c r="AR4065" i="1"/>
  <c r="AR4066" i="1"/>
  <c r="AR4067" i="1"/>
  <c r="AR4068" i="1"/>
  <c r="AR4069" i="1"/>
  <c r="AR4070" i="1"/>
  <c r="AR4071" i="1"/>
  <c r="AR4072" i="1"/>
  <c r="AR4073" i="1"/>
  <c r="AR4074" i="1"/>
  <c r="AR4075" i="1"/>
  <c r="AR4076" i="1"/>
  <c r="AR4077" i="1"/>
  <c r="AR4078" i="1"/>
  <c r="AR4079" i="1"/>
  <c r="AR4080" i="1"/>
  <c r="AR4081" i="1"/>
  <c r="AR4082" i="1"/>
  <c r="AR4083" i="1"/>
  <c r="AR4084" i="1"/>
  <c r="AR4085" i="1"/>
  <c r="AR4086" i="1"/>
  <c r="AR4087" i="1"/>
  <c r="AR4088" i="1"/>
  <c r="AR4089" i="1"/>
  <c r="AR4090" i="1"/>
  <c r="AR4091" i="1"/>
  <c r="AR4092" i="1"/>
  <c r="AR4093" i="1"/>
  <c r="AR4094" i="1"/>
  <c r="AR4095" i="1"/>
  <c r="AR4096" i="1"/>
  <c r="AR4097" i="1"/>
  <c r="AR4098" i="1"/>
  <c r="AR4099" i="1"/>
  <c r="AR4100" i="1"/>
  <c r="AR4101" i="1"/>
  <c r="AR4102" i="1"/>
  <c r="AR4103" i="1"/>
  <c r="AR4104" i="1"/>
  <c r="AR4105" i="1"/>
  <c r="AR4106" i="1"/>
  <c r="AR4107" i="1"/>
  <c r="AR4108" i="1"/>
  <c r="AR4109" i="1"/>
  <c r="AR4110" i="1"/>
  <c r="AR4111" i="1"/>
  <c r="AR4112" i="1"/>
  <c r="AR4113" i="1"/>
  <c r="AR4114" i="1"/>
  <c r="AR4115" i="1"/>
  <c r="AR4116" i="1"/>
  <c r="AR4117" i="1"/>
  <c r="AR4118" i="1"/>
  <c r="AR4119" i="1"/>
  <c r="AR4120" i="1"/>
  <c r="AR4121" i="1"/>
  <c r="AR4122" i="1"/>
  <c r="AR4123" i="1"/>
  <c r="AR4124" i="1"/>
  <c r="AR4125" i="1"/>
  <c r="AR4126" i="1"/>
  <c r="AR4127" i="1"/>
  <c r="AR4128" i="1"/>
  <c r="AR4129" i="1"/>
  <c r="AR4130" i="1"/>
  <c r="AR4131" i="1"/>
  <c r="AR4132" i="1"/>
  <c r="AR4133" i="1"/>
  <c r="AR4134" i="1"/>
  <c r="AR4135" i="1"/>
  <c r="AR4136" i="1"/>
  <c r="AR4137" i="1"/>
  <c r="AR4138" i="1"/>
  <c r="AR4139" i="1"/>
  <c r="AR4140" i="1"/>
  <c r="AR4141" i="1"/>
  <c r="AR4142" i="1"/>
  <c r="AR4143" i="1"/>
  <c r="AR4144" i="1"/>
  <c r="AR4145" i="1"/>
  <c r="AR4146" i="1"/>
  <c r="AR4147" i="1"/>
  <c r="AR4148" i="1"/>
  <c r="AR4149" i="1"/>
  <c r="AR4150" i="1"/>
  <c r="AR4151" i="1"/>
  <c r="AR4152" i="1"/>
  <c r="AR4153" i="1"/>
  <c r="AR4154" i="1"/>
  <c r="AR4155" i="1"/>
  <c r="AR4156" i="1"/>
  <c r="AR4157" i="1"/>
  <c r="AR4158" i="1"/>
  <c r="AR4159" i="1"/>
  <c r="AR4160" i="1"/>
  <c r="AR4161" i="1"/>
  <c r="AR4162" i="1"/>
  <c r="AR4163" i="1"/>
  <c r="AR4164" i="1"/>
  <c r="AR4165" i="1"/>
  <c r="AR4166" i="1"/>
  <c r="AR4167" i="1"/>
  <c r="AR4168" i="1"/>
  <c r="AR4169" i="1"/>
  <c r="AR4170" i="1"/>
  <c r="AR4171" i="1"/>
  <c r="AR4172" i="1"/>
  <c r="AR4173" i="1"/>
  <c r="AR4174" i="1"/>
  <c r="AR4175" i="1"/>
  <c r="AR4176" i="1"/>
  <c r="AR4177" i="1"/>
  <c r="AR4178" i="1"/>
  <c r="AR4179" i="1"/>
  <c r="AR4180" i="1"/>
  <c r="AR4181" i="1"/>
  <c r="AR4182" i="1"/>
  <c r="AR4183" i="1"/>
  <c r="AR4184" i="1"/>
  <c r="AR4185" i="1"/>
  <c r="AR4186" i="1"/>
  <c r="AR4187" i="1"/>
  <c r="AR4188" i="1"/>
  <c r="AR4189" i="1"/>
  <c r="AR4190" i="1"/>
  <c r="AR4191" i="1"/>
  <c r="AR4192" i="1"/>
  <c r="AR4193" i="1"/>
  <c r="AR4194" i="1"/>
  <c r="AR4195" i="1"/>
  <c r="AR4196" i="1"/>
  <c r="AR4197" i="1"/>
  <c r="AR4198" i="1"/>
  <c r="AR4199" i="1"/>
  <c r="AR4200" i="1"/>
  <c r="AR4201" i="1"/>
  <c r="AR4202" i="1"/>
  <c r="AR4203" i="1"/>
  <c r="AR4204" i="1"/>
  <c r="AR4205" i="1"/>
  <c r="AR4206" i="1"/>
  <c r="AR4207" i="1"/>
  <c r="AR4208" i="1"/>
  <c r="AR4209" i="1"/>
  <c r="AR4210" i="1"/>
  <c r="AR4211" i="1"/>
  <c r="AR4212" i="1"/>
  <c r="AR4213" i="1"/>
  <c r="AR4214" i="1"/>
  <c r="AR4215" i="1"/>
  <c r="AR4216" i="1"/>
  <c r="AR4217" i="1"/>
  <c r="AR4218" i="1"/>
  <c r="AR4219" i="1"/>
  <c r="AR4220" i="1"/>
  <c r="AR4221" i="1"/>
  <c r="AR4222" i="1"/>
  <c r="AR4223" i="1"/>
  <c r="AR4224" i="1"/>
  <c r="AR4225" i="1"/>
  <c r="AR4226" i="1"/>
  <c r="AR4227" i="1"/>
  <c r="AR4228" i="1"/>
  <c r="AR4229" i="1"/>
  <c r="AR4230" i="1"/>
  <c r="AR4231" i="1"/>
  <c r="AR4232" i="1"/>
  <c r="AR4233" i="1"/>
  <c r="AR4234" i="1"/>
  <c r="AR4235" i="1"/>
  <c r="AR4236" i="1"/>
  <c r="AR4237" i="1"/>
  <c r="AR4238" i="1"/>
  <c r="AR4239" i="1"/>
  <c r="AR4240" i="1"/>
  <c r="AR4241" i="1"/>
  <c r="AR4242" i="1"/>
  <c r="AR4243" i="1"/>
  <c r="AR4244" i="1"/>
  <c r="AR4245" i="1"/>
  <c r="AR4246" i="1"/>
  <c r="AR4247" i="1"/>
  <c r="AR4248" i="1"/>
  <c r="AR4249" i="1"/>
  <c r="AR4250" i="1"/>
  <c r="AR4251" i="1"/>
  <c r="AR4252" i="1"/>
  <c r="AR4253" i="1"/>
  <c r="AR4254" i="1"/>
  <c r="AR4255" i="1"/>
  <c r="AR4256" i="1"/>
  <c r="AR4257" i="1"/>
  <c r="AR4258" i="1"/>
  <c r="AR4259" i="1"/>
  <c r="AR4260" i="1"/>
  <c r="AR4261" i="1"/>
  <c r="AR4262" i="1"/>
  <c r="AR4263" i="1"/>
  <c r="AR4264" i="1"/>
  <c r="AR4265" i="1"/>
  <c r="AR4266" i="1"/>
  <c r="AR4267" i="1"/>
  <c r="AR4268" i="1"/>
  <c r="AR4269" i="1"/>
  <c r="AR4270" i="1"/>
  <c r="AR4271" i="1"/>
  <c r="AR4272" i="1"/>
  <c r="AR4273" i="1"/>
  <c r="AR4274" i="1"/>
  <c r="AR4275" i="1"/>
  <c r="AR4276" i="1"/>
  <c r="AR4277" i="1"/>
  <c r="AR4278" i="1"/>
  <c r="AR4279" i="1"/>
  <c r="AR4280" i="1"/>
  <c r="AR4281" i="1"/>
  <c r="AR4282" i="1"/>
  <c r="AR4283" i="1"/>
  <c r="AR4284" i="1"/>
  <c r="AR4285" i="1"/>
  <c r="AR4286" i="1"/>
  <c r="AR4287" i="1"/>
  <c r="AR4288" i="1"/>
  <c r="AR4289" i="1"/>
  <c r="AR4290" i="1"/>
  <c r="AR4291" i="1"/>
  <c r="AR4292" i="1"/>
  <c r="AR4293" i="1"/>
  <c r="AR4294" i="1"/>
  <c r="AR4295" i="1"/>
  <c r="AR4296" i="1"/>
  <c r="AR4297" i="1"/>
  <c r="AR4298" i="1"/>
  <c r="AR4299" i="1"/>
  <c r="AR4300" i="1"/>
  <c r="AR4301" i="1"/>
  <c r="AR4302" i="1"/>
  <c r="AR4303" i="1"/>
  <c r="AR4304" i="1"/>
  <c r="AR4305" i="1"/>
  <c r="AR4306" i="1"/>
  <c r="AR4307" i="1"/>
  <c r="AR4308" i="1"/>
  <c r="AR4309" i="1"/>
  <c r="AR4310" i="1"/>
  <c r="AR4311" i="1"/>
  <c r="AR4312" i="1"/>
  <c r="AR4313" i="1"/>
  <c r="AR4314" i="1"/>
  <c r="AR4315" i="1"/>
  <c r="AR4316" i="1"/>
  <c r="AR4317" i="1"/>
  <c r="AR4318" i="1"/>
  <c r="AR4319" i="1"/>
  <c r="AR4320" i="1"/>
  <c r="AR4321" i="1"/>
  <c r="AR4322" i="1"/>
  <c r="AR4323" i="1"/>
  <c r="AR4324" i="1"/>
  <c r="AR4325" i="1"/>
  <c r="AR4326" i="1"/>
  <c r="AR4327" i="1"/>
  <c r="AR4328" i="1"/>
  <c r="AR4329" i="1"/>
  <c r="AR4330" i="1"/>
  <c r="AR4331" i="1"/>
  <c r="AR4332" i="1"/>
  <c r="AR4333" i="1"/>
  <c r="AR4334" i="1"/>
  <c r="AR4335" i="1"/>
  <c r="AR4336" i="1"/>
  <c r="AR4337" i="1"/>
  <c r="AR4338" i="1"/>
  <c r="AR4339" i="1"/>
  <c r="AR4340" i="1"/>
  <c r="AR4341" i="1"/>
  <c r="AR4342" i="1"/>
  <c r="AR4343" i="1"/>
  <c r="AR4344" i="1"/>
  <c r="AR4345" i="1"/>
  <c r="AR4346" i="1"/>
  <c r="AR4347" i="1"/>
  <c r="AR4348" i="1"/>
  <c r="AR4349" i="1"/>
  <c r="AR4350" i="1"/>
  <c r="AR4351" i="1"/>
  <c r="AR4352" i="1"/>
  <c r="AR4353" i="1"/>
  <c r="AR4354" i="1"/>
  <c r="AR4355" i="1"/>
  <c r="AR4356" i="1"/>
  <c r="AR4357" i="1"/>
  <c r="AR4358" i="1"/>
  <c r="AR4359" i="1"/>
  <c r="AR4360" i="1"/>
  <c r="AR4361" i="1"/>
  <c r="AR4362" i="1"/>
  <c r="AR4363" i="1"/>
  <c r="AR4364" i="1"/>
  <c r="AR4365" i="1"/>
  <c r="AR4366" i="1"/>
  <c r="AR4367" i="1"/>
  <c r="AR4368" i="1"/>
  <c r="AR4369" i="1"/>
  <c r="AR4370" i="1"/>
  <c r="AR4371" i="1"/>
  <c r="AR4372" i="1"/>
  <c r="AR4373" i="1"/>
  <c r="AR4374" i="1"/>
  <c r="AR4375" i="1"/>
  <c r="AR4376" i="1"/>
  <c r="AR4377" i="1"/>
  <c r="AR4378" i="1"/>
  <c r="AR4379" i="1"/>
  <c r="AR4380" i="1"/>
  <c r="AR4381" i="1"/>
  <c r="AR4382" i="1"/>
  <c r="AR4383" i="1"/>
  <c r="AR4384" i="1"/>
  <c r="AR4385" i="1"/>
  <c r="AR4386" i="1"/>
  <c r="AR4387" i="1"/>
  <c r="AR4388" i="1"/>
  <c r="AR4389" i="1"/>
  <c r="AR4390" i="1"/>
  <c r="AR4391" i="1"/>
  <c r="AR4392" i="1"/>
  <c r="AR4393" i="1"/>
  <c r="AR4394" i="1"/>
  <c r="AR4395" i="1"/>
  <c r="AR4396" i="1"/>
  <c r="AR4397" i="1"/>
  <c r="AR4398" i="1"/>
  <c r="AR4399" i="1"/>
  <c r="AR4400" i="1"/>
  <c r="AR4401" i="1"/>
  <c r="AR4402" i="1"/>
  <c r="AR4403" i="1"/>
  <c r="AR4404" i="1"/>
  <c r="AR4405" i="1"/>
  <c r="AR4406" i="1"/>
  <c r="AR4407" i="1"/>
  <c r="AR4408" i="1"/>
  <c r="AR4409" i="1"/>
  <c r="AR4410" i="1"/>
  <c r="AR4411" i="1"/>
  <c r="AR4412" i="1"/>
  <c r="AR4413" i="1"/>
  <c r="AR4414" i="1"/>
  <c r="AR4415" i="1"/>
  <c r="AR4416" i="1"/>
  <c r="AR4417" i="1"/>
  <c r="AR4418" i="1"/>
  <c r="AR4419" i="1"/>
  <c r="AR4420" i="1"/>
  <c r="AR4421" i="1"/>
  <c r="AR4422" i="1"/>
  <c r="AR4423" i="1"/>
  <c r="AR4424" i="1"/>
  <c r="AR4425" i="1"/>
  <c r="AR4426" i="1"/>
  <c r="AR4427" i="1"/>
  <c r="AR4428" i="1"/>
  <c r="AR4429" i="1"/>
  <c r="AR4430" i="1"/>
  <c r="AR4431" i="1"/>
  <c r="AR4432" i="1"/>
  <c r="AR4433" i="1"/>
  <c r="AR4434" i="1"/>
  <c r="AR4435" i="1"/>
  <c r="AR4436" i="1"/>
  <c r="AR4437" i="1"/>
  <c r="AR4438" i="1"/>
  <c r="AR4439" i="1"/>
  <c r="AR4440" i="1"/>
  <c r="AR4441" i="1"/>
  <c r="AR4442" i="1"/>
  <c r="AR4443" i="1"/>
  <c r="AR4444" i="1"/>
  <c r="AR4445" i="1"/>
  <c r="AR4446" i="1"/>
  <c r="AR4447" i="1"/>
  <c r="AR4448" i="1"/>
  <c r="AR4449" i="1"/>
  <c r="AR4450" i="1"/>
  <c r="AR4451" i="1"/>
  <c r="AR4452" i="1"/>
  <c r="AR4453" i="1"/>
  <c r="AR4454" i="1"/>
  <c r="AR4455" i="1"/>
  <c r="AR4456" i="1"/>
  <c r="AR4457" i="1"/>
  <c r="AR4458" i="1"/>
  <c r="AR4459" i="1"/>
  <c r="AR4460" i="1"/>
  <c r="AR4461" i="1"/>
  <c r="AR4462" i="1"/>
  <c r="AR4463" i="1"/>
  <c r="AR4464" i="1"/>
  <c r="AR4465" i="1"/>
  <c r="AR4466" i="1"/>
  <c r="AR4467" i="1"/>
  <c r="AR4468" i="1"/>
  <c r="AR4469" i="1"/>
  <c r="AR4470" i="1"/>
  <c r="AR4471" i="1"/>
  <c r="AR4472" i="1"/>
  <c r="AR4473" i="1"/>
  <c r="AR4474" i="1"/>
  <c r="AR4475" i="1"/>
  <c r="AR4476" i="1"/>
  <c r="AR4477" i="1"/>
  <c r="AR4478" i="1"/>
  <c r="AR4479" i="1"/>
  <c r="AR4480" i="1"/>
  <c r="AR4481" i="1"/>
  <c r="AR4482" i="1"/>
  <c r="AR4483" i="1"/>
  <c r="AR4484" i="1"/>
  <c r="AR4485" i="1"/>
  <c r="AR4486" i="1"/>
  <c r="AR4487" i="1"/>
  <c r="AR4488" i="1"/>
  <c r="AR4489" i="1"/>
  <c r="AR4490" i="1"/>
  <c r="AR4491" i="1"/>
  <c r="AR4492" i="1"/>
  <c r="AR4493" i="1"/>
  <c r="AR4494" i="1"/>
  <c r="AR4495" i="1"/>
  <c r="AR4496" i="1"/>
  <c r="AR4497" i="1"/>
  <c r="AR4498" i="1"/>
  <c r="AR4499" i="1"/>
  <c r="AR4500" i="1"/>
  <c r="AR4501" i="1"/>
  <c r="AR4502" i="1"/>
  <c r="AR4503" i="1"/>
  <c r="AR4504" i="1"/>
  <c r="AR4505" i="1"/>
  <c r="AR4506" i="1"/>
  <c r="AR4507" i="1"/>
  <c r="AR4508" i="1"/>
  <c r="AR4509" i="1"/>
  <c r="AR4510" i="1"/>
  <c r="AR4511" i="1"/>
  <c r="AR4512" i="1"/>
  <c r="AR4513" i="1"/>
  <c r="AR4514" i="1"/>
  <c r="AR4515" i="1"/>
  <c r="AR4516" i="1"/>
  <c r="AR4517" i="1"/>
  <c r="AR4518" i="1"/>
  <c r="AR4519" i="1"/>
  <c r="AR4520" i="1"/>
  <c r="AR4521" i="1"/>
  <c r="AR4522" i="1"/>
  <c r="AR4523" i="1"/>
  <c r="AR4524" i="1"/>
  <c r="AR4525" i="1"/>
  <c r="AR4526" i="1"/>
  <c r="AR4527" i="1"/>
  <c r="AR4528" i="1"/>
  <c r="AR4529" i="1"/>
  <c r="AR4530" i="1"/>
  <c r="AR4531" i="1"/>
  <c r="AR4532" i="1"/>
  <c r="AR4533" i="1"/>
  <c r="AR4534" i="1"/>
  <c r="AR4535" i="1"/>
  <c r="AR4536" i="1"/>
  <c r="AR4537" i="1"/>
  <c r="AR4538" i="1"/>
  <c r="AR4539" i="1"/>
  <c r="AR4540" i="1"/>
  <c r="AR4541" i="1"/>
  <c r="AR4542" i="1"/>
  <c r="AR4543" i="1"/>
  <c r="AR4544" i="1"/>
  <c r="AR4545" i="1"/>
  <c r="AR4546" i="1"/>
  <c r="AR4547" i="1"/>
  <c r="AR4548" i="1"/>
  <c r="AR4549" i="1"/>
  <c r="AR4550" i="1"/>
  <c r="AR4551" i="1"/>
  <c r="AR4552" i="1"/>
  <c r="AR4553" i="1"/>
  <c r="AR4554" i="1"/>
  <c r="AR4555" i="1"/>
  <c r="AR4556" i="1"/>
  <c r="AR4557" i="1"/>
  <c r="AR4558" i="1"/>
  <c r="AR4559" i="1"/>
  <c r="AR4560" i="1"/>
  <c r="AR4561" i="1"/>
  <c r="AR4562" i="1"/>
  <c r="AR4563" i="1"/>
  <c r="AR4564" i="1"/>
  <c r="AR4565" i="1"/>
  <c r="AR4566" i="1"/>
  <c r="AR4567" i="1"/>
  <c r="AR4568" i="1"/>
  <c r="AR4569" i="1"/>
  <c r="AR4570" i="1"/>
  <c r="AR4571" i="1"/>
  <c r="AR4572" i="1"/>
  <c r="AR4573" i="1"/>
  <c r="AR4574" i="1"/>
  <c r="AR4575" i="1"/>
  <c r="AR4576" i="1"/>
  <c r="AR4577" i="1"/>
  <c r="AR4578" i="1"/>
  <c r="AR4579" i="1"/>
  <c r="AR4580" i="1"/>
  <c r="AR4581" i="1"/>
  <c r="AR4582" i="1"/>
  <c r="AR4583" i="1"/>
  <c r="AR4584" i="1"/>
  <c r="AR4585" i="1"/>
  <c r="AR4586" i="1"/>
  <c r="AR4587" i="1"/>
  <c r="AR4588" i="1"/>
  <c r="AR4589" i="1"/>
  <c r="AR4590" i="1"/>
  <c r="AR4591" i="1"/>
  <c r="AR4592" i="1"/>
  <c r="AR4593" i="1"/>
  <c r="AR4594" i="1"/>
  <c r="AR4595" i="1"/>
  <c r="AR4596" i="1"/>
  <c r="AR4597" i="1"/>
  <c r="AR4598" i="1"/>
  <c r="AR4599" i="1"/>
  <c r="AR4600" i="1"/>
  <c r="AR4601" i="1"/>
  <c r="AR4602" i="1"/>
  <c r="AR4603" i="1"/>
  <c r="AR4604" i="1"/>
  <c r="AR4605" i="1"/>
  <c r="AR4606" i="1"/>
  <c r="AR4607" i="1"/>
  <c r="AR4608" i="1"/>
  <c r="AR4609" i="1"/>
  <c r="AR4610" i="1"/>
  <c r="AR4611" i="1"/>
  <c r="AR4612" i="1"/>
  <c r="AR4613" i="1"/>
  <c r="AR4614" i="1"/>
  <c r="AR4615" i="1"/>
  <c r="AR4616" i="1"/>
  <c r="AR4617" i="1"/>
  <c r="AR4618" i="1"/>
  <c r="AR4619" i="1"/>
  <c r="AR4620" i="1"/>
  <c r="AR4621" i="1"/>
  <c r="AR4622" i="1"/>
  <c r="AR4623" i="1"/>
  <c r="AR4624" i="1"/>
  <c r="AR4625" i="1"/>
  <c r="AR4626" i="1"/>
  <c r="AR4627" i="1"/>
  <c r="AR4628" i="1"/>
  <c r="AR4629" i="1"/>
  <c r="AR4630" i="1"/>
  <c r="AR4631" i="1"/>
  <c r="AR4632" i="1"/>
  <c r="AR4633" i="1"/>
  <c r="AR4634" i="1"/>
  <c r="AR4635" i="1"/>
  <c r="AR4636" i="1"/>
  <c r="AR4637" i="1"/>
  <c r="AR4638" i="1"/>
  <c r="AR4639" i="1"/>
  <c r="AR4640" i="1"/>
  <c r="AR4641" i="1"/>
  <c r="AR4642" i="1"/>
  <c r="AR4643" i="1"/>
  <c r="AR4644" i="1"/>
  <c r="AR4645" i="1"/>
  <c r="AR4646" i="1"/>
  <c r="AR4647" i="1"/>
  <c r="AR4648" i="1"/>
  <c r="AR4649" i="1"/>
  <c r="AR4650" i="1"/>
  <c r="AR4651" i="1"/>
  <c r="AR4652" i="1"/>
  <c r="AR4653" i="1"/>
  <c r="AR4654" i="1"/>
  <c r="AR4655" i="1"/>
  <c r="AR4656" i="1"/>
  <c r="AR4657" i="1"/>
  <c r="AR4658" i="1"/>
  <c r="AR4659" i="1"/>
  <c r="AR4660" i="1"/>
  <c r="AR4661" i="1"/>
  <c r="AR4662" i="1"/>
  <c r="AR4663" i="1"/>
  <c r="AR4664" i="1"/>
  <c r="AR4665" i="1"/>
  <c r="AR4666" i="1"/>
  <c r="AR4667" i="1"/>
  <c r="AR4668" i="1"/>
  <c r="AR4669" i="1"/>
  <c r="AR4670" i="1"/>
  <c r="AR4671" i="1"/>
  <c r="AR4672" i="1"/>
  <c r="AR4673" i="1"/>
  <c r="AR4674" i="1"/>
  <c r="AR4675" i="1"/>
  <c r="AR4676" i="1"/>
  <c r="AR4677" i="1"/>
  <c r="AR4678" i="1"/>
  <c r="AR4679" i="1"/>
  <c r="AR4680" i="1"/>
  <c r="AR4681" i="1"/>
  <c r="AR4682" i="1"/>
  <c r="AR4683" i="1"/>
  <c r="AR4684" i="1"/>
  <c r="AR4685" i="1"/>
  <c r="AR4686" i="1"/>
  <c r="AR4687" i="1"/>
  <c r="AR4688" i="1"/>
  <c r="AR4689" i="1"/>
  <c r="AR4690" i="1"/>
  <c r="AR4691" i="1"/>
  <c r="AR4692" i="1"/>
  <c r="AR4693" i="1"/>
  <c r="AR4694" i="1"/>
  <c r="AR4695" i="1"/>
  <c r="AR4696" i="1"/>
  <c r="AR4697" i="1"/>
  <c r="AR4698" i="1"/>
  <c r="AR4699" i="1"/>
  <c r="AR4700" i="1"/>
  <c r="AR4701" i="1"/>
  <c r="AR4702" i="1"/>
  <c r="AR4703" i="1"/>
  <c r="AR4704" i="1"/>
  <c r="AR4705" i="1"/>
  <c r="AR4706" i="1"/>
  <c r="AR4707" i="1"/>
  <c r="AR4708" i="1"/>
  <c r="AR4709" i="1"/>
  <c r="AR4710" i="1"/>
  <c r="AR4711" i="1"/>
  <c r="AR4712" i="1"/>
  <c r="AR4713" i="1"/>
  <c r="AR4714" i="1"/>
  <c r="AR4715" i="1"/>
  <c r="AR4716" i="1"/>
  <c r="AR4717" i="1"/>
  <c r="AR4718" i="1"/>
  <c r="AR4719" i="1"/>
  <c r="AR4720" i="1"/>
  <c r="AR4721" i="1"/>
  <c r="AR4722" i="1"/>
  <c r="AR4723" i="1"/>
  <c r="AR4724" i="1"/>
  <c r="AR4725" i="1"/>
  <c r="AR4726" i="1"/>
  <c r="AR4727" i="1"/>
  <c r="AR4728" i="1"/>
  <c r="AR4729" i="1"/>
  <c r="AR4730" i="1"/>
  <c r="AR4731" i="1"/>
  <c r="AR4732" i="1"/>
  <c r="AR4733" i="1"/>
  <c r="AR4734" i="1"/>
  <c r="AR4735" i="1"/>
  <c r="AR4736" i="1"/>
  <c r="AR4737" i="1"/>
  <c r="AR4738" i="1"/>
  <c r="AR4739" i="1"/>
  <c r="AR4740" i="1"/>
  <c r="AR4741" i="1"/>
  <c r="AR4742" i="1"/>
  <c r="AR4743" i="1"/>
  <c r="AR4744" i="1"/>
  <c r="AR4745" i="1"/>
  <c r="AR4746" i="1"/>
  <c r="AR4747" i="1"/>
  <c r="AR4748" i="1"/>
  <c r="AR4749" i="1"/>
  <c r="AR4750" i="1"/>
  <c r="AR4751" i="1"/>
  <c r="AR4752" i="1"/>
  <c r="AR4753" i="1"/>
  <c r="AR4754" i="1"/>
  <c r="AR4755" i="1"/>
  <c r="AR4756" i="1"/>
  <c r="AR4757" i="1"/>
  <c r="AR4758" i="1"/>
  <c r="AR4759" i="1"/>
  <c r="AR4760" i="1"/>
  <c r="AR4761" i="1"/>
  <c r="AR4762" i="1"/>
  <c r="AR4763" i="1"/>
  <c r="AR4764" i="1"/>
  <c r="AR4765" i="1"/>
  <c r="AR4766" i="1"/>
  <c r="AR4767" i="1"/>
  <c r="AR4768" i="1"/>
  <c r="AR4769" i="1"/>
  <c r="AR4770" i="1"/>
  <c r="AR4771" i="1"/>
  <c r="AR4772" i="1"/>
  <c r="AR4773" i="1"/>
  <c r="AR4774" i="1"/>
  <c r="AR4775" i="1"/>
  <c r="AR4776" i="1"/>
  <c r="AR4777" i="1"/>
  <c r="AR4778" i="1"/>
  <c r="AR4779" i="1"/>
  <c r="AR4780" i="1"/>
  <c r="AR4781" i="1"/>
  <c r="AR4782" i="1"/>
  <c r="AR4783" i="1"/>
  <c r="AR4784" i="1"/>
  <c r="AR4785" i="1"/>
  <c r="AR4786" i="1"/>
  <c r="AR4787" i="1"/>
  <c r="AR4788" i="1"/>
  <c r="AR4789" i="1"/>
  <c r="AR4790" i="1"/>
  <c r="AR4791" i="1"/>
  <c r="AR4792" i="1"/>
  <c r="AR4793" i="1"/>
  <c r="AR4794" i="1"/>
  <c r="AR4795" i="1"/>
  <c r="AR4796" i="1"/>
  <c r="AR4797" i="1"/>
  <c r="AR4798" i="1"/>
  <c r="AR4799" i="1"/>
  <c r="AR4800" i="1"/>
  <c r="AR4801" i="1"/>
  <c r="AR4802" i="1"/>
  <c r="AR4803" i="1"/>
  <c r="AR4804" i="1"/>
  <c r="AR4805" i="1"/>
  <c r="AR4806" i="1"/>
  <c r="AR4807" i="1"/>
  <c r="AR4808" i="1"/>
  <c r="AR4809" i="1"/>
  <c r="AR4810" i="1"/>
  <c r="AR4811" i="1"/>
  <c r="AR4812" i="1"/>
  <c r="AR4813" i="1"/>
  <c r="AR4814" i="1"/>
  <c r="AR4815" i="1"/>
  <c r="AR4816" i="1"/>
  <c r="AR4817" i="1"/>
  <c r="AR4818" i="1"/>
  <c r="AR4819" i="1"/>
  <c r="AR4820" i="1"/>
  <c r="AR4821" i="1"/>
  <c r="AR4822" i="1"/>
  <c r="AR4823" i="1"/>
  <c r="AR4824" i="1"/>
  <c r="AR4825" i="1"/>
  <c r="AR4826" i="1"/>
  <c r="AR4827" i="1"/>
  <c r="AR4828" i="1"/>
  <c r="AR4829" i="1"/>
  <c r="AR4830" i="1"/>
  <c r="AR4831" i="1"/>
  <c r="AR4832" i="1"/>
  <c r="AR4833" i="1"/>
  <c r="AR4834" i="1"/>
  <c r="AR4835" i="1"/>
  <c r="AR4836" i="1"/>
  <c r="AR4837" i="1"/>
  <c r="AR4838" i="1"/>
  <c r="AR4839" i="1"/>
  <c r="AR4840" i="1"/>
  <c r="AR4841" i="1"/>
  <c r="AR4842" i="1"/>
  <c r="AR4843" i="1"/>
  <c r="AR4844" i="1"/>
  <c r="AR4845" i="1"/>
  <c r="AR4846" i="1"/>
  <c r="AR4847" i="1"/>
  <c r="AR4848" i="1"/>
  <c r="AR4849" i="1"/>
  <c r="AR4850" i="1"/>
  <c r="AR4851" i="1"/>
  <c r="AR4852" i="1"/>
  <c r="AR4853" i="1"/>
  <c r="AR4854" i="1"/>
  <c r="AR4855" i="1"/>
  <c r="AR4856" i="1"/>
  <c r="AR4857" i="1"/>
  <c r="AR4858" i="1"/>
  <c r="AR4859" i="1"/>
  <c r="AR4860" i="1"/>
  <c r="AR4861" i="1"/>
  <c r="AR4862" i="1"/>
  <c r="AR4863" i="1"/>
  <c r="AR4864" i="1"/>
  <c r="AR4865" i="1"/>
  <c r="AR4866" i="1"/>
  <c r="AR4867" i="1"/>
  <c r="AR4868" i="1"/>
  <c r="AR4869" i="1"/>
  <c r="AR4870" i="1"/>
  <c r="AR4871" i="1"/>
  <c r="AR4872" i="1"/>
  <c r="AR4873" i="1"/>
  <c r="AR4874" i="1"/>
  <c r="AR4875" i="1"/>
  <c r="AR4876" i="1"/>
  <c r="AR4877" i="1"/>
  <c r="AR4878" i="1"/>
  <c r="AR4879" i="1"/>
  <c r="AR4880" i="1"/>
  <c r="AR4881" i="1"/>
  <c r="AR4882" i="1"/>
  <c r="AR4883" i="1"/>
  <c r="AR4884" i="1"/>
  <c r="AR4885" i="1"/>
  <c r="AR4886" i="1"/>
  <c r="AR4887" i="1"/>
  <c r="AR4888" i="1"/>
  <c r="AR4889" i="1"/>
  <c r="AR4890" i="1"/>
  <c r="AR4891" i="1"/>
  <c r="AR4892" i="1"/>
  <c r="AR4893" i="1"/>
  <c r="AR4894" i="1"/>
  <c r="AR4895" i="1"/>
  <c r="AR4896" i="1"/>
  <c r="AR4897" i="1"/>
  <c r="AR4898" i="1"/>
  <c r="AR4899" i="1"/>
  <c r="AR4900" i="1"/>
  <c r="AR4901" i="1"/>
  <c r="AR4902" i="1"/>
  <c r="AR4903" i="1"/>
  <c r="AR4904" i="1"/>
  <c r="AR4905" i="1"/>
  <c r="AR4906" i="1"/>
  <c r="AR4907" i="1"/>
  <c r="AR4908" i="1"/>
  <c r="AR4909" i="1"/>
  <c r="AR4910" i="1"/>
  <c r="AR4911" i="1"/>
  <c r="AR4912" i="1"/>
  <c r="AR4913" i="1"/>
  <c r="AR4914" i="1"/>
  <c r="AR4915" i="1"/>
  <c r="AR4916" i="1"/>
  <c r="AR4917" i="1"/>
  <c r="AR4918" i="1"/>
  <c r="AR4919" i="1"/>
  <c r="AR4920" i="1"/>
  <c r="AR4921" i="1"/>
  <c r="AR4922" i="1"/>
  <c r="AR4923" i="1"/>
  <c r="AR4924" i="1"/>
  <c r="AR4925" i="1"/>
  <c r="AR4926" i="1"/>
  <c r="AR4927" i="1"/>
  <c r="AR4928" i="1"/>
  <c r="AR4929" i="1"/>
  <c r="AR4930" i="1"/>
  <c r="AR4931" i="1"/>
  <c r="AR4932" i="1"/>
  <c r="AR4933" i="1"/>
  <c r="AR4934" i="1"/>
  <c r="AR4935" i="1"/>
  <c r="AR4936" i="1"/>
  <c r="AR4937" i="1"/>
  <c r="AR4938" i="1"/>
  <c r="AR4939" i="1"/>
  <c r="AR4940" i="1"/>
  <c r="AR4941" i="1"/>
  <c r="AR4942" i="1"/>
  <c r="AR4943" i="1"/>
  <c r="AR4944" i="1"/>
  <c r="AR4945" i="1"/>
  <c r="AR4946" i="1"/>
  <c r="AR4947" i="1"/>
  <c r="AR4948" i="1"/>
  <c r="AR4949" i="1"/>
  <c r="AR4950" i="1"/>
  <c r="AR4951" i="1"/>
  <c r="AR4952" i="1"/>
  <c r="AR4953" i="1"/>
  <c r="AR4954" i="1"/>
  <c r="AR4955" i="1"/>
  <c r="AR4956" i="1"/>
  <c r="AR4957" i="1"/>
  <c r="AR4958" i="1"/>
  <c r="AR4959" i="1"/>
  <c r="AR4960" i="1"/>
  <c r="AR4961" i="1"/>
  <c r="AR4962" i="1"/>
  <c r="AR4963" i="1"/>
  <c r="AR4964" i="1"/>
  <c r="AR4965" i="1"/>
  <c r="AR4966" i="1"/>
  <c r="AR4967" i="1"/>
  <c r="AR4968" i="1"/>
  <c r="AR4969" i="1"/>
  <c r="AR4970" i="1"/>
  <c r="AR4971" i="1"/>
  <c r="AR4972" i="1"/>
  <c r="AR4973" i="1"/>
  <c r="AR4974" i="1"/>
  <c r="AR4975" i="1"/>
  <c r="AR4976" i="1"/>
  <c r="AR4977" i="1"/>
  <c r="AR4978" i="1"/>
  <c r="AR4979" i="1"/>
  <c r="AR4980" i="1"/>
  <c r="AR4981" i="1"/>
  <c r="AR4982" i="1"/>
  <c r="AR4983" i="1"/>
  <c r="AR4984" i="1"/>
  <c r="AR4985" i="1"/>
  <c r="AR4986" i="1"/>
  <c r="AR4987" i="1"/>
  <c r="AR4988" i="1"/>
  <c r="AR4989" i="1"/>
  <c r="AR4990" i="1"/>
  <c r="AR4991" i="1"/>
  <c r="AR4992" i="1"/>
  <c r="AR4993" i="1"/>
  <c r="AR4994" i="1"/>
  <c r="AR4995" i="1"/>
  <c r="AR4996" i="1"/>
  <c r="AR4997" i="1"/>
  <c r="AR4998" i="1"/>
  <c r="AR4999" i="1"/>
  <c r="AR5000" i="1"/>
  <c r="AR5001" i="1"/>
  <c r="AR5002" i="1"/>
  <c r="AR5003" i="1"/>
  <c r="AR5004" i="1"/>
  <c r="AR5005" i="1"/>
  <c r="AR5006" i="1"/>
  <c r="AR5007" i="1"/>
  <c r="AR5008" i="1"/>
  <c r="AR5009" i="1"/>
  <c r="AR5010" i="1"/>
  <c r="AR5011" i="1"/>
  <c r="AR5012" i="1"/>
  <c r="AR5013" i="1"/>
  <c r="AR5014" i="1"/>
  <c r="AR5015" i="1"/>
  <c r="AR5016" i="1"/>
  <c r="AR5017" i="1"/>
  <c r="AR5018" i="1"/>
  <c r="AR5019" i="1"/>
  <c r="AR5020" i="1"/>
  <c r="AR5021" i="1"/>
  <c r="AR5022" i="1"/>
  <c r="AR5023" i="1"/>
  <c r="AR5024" i="1"/>
  <c r="AR5025" i="1"/>
  <c r="AR5026" i="1"/>
  <c r="AR5027" i="1"/>
  <c r="AR5028" i="1"/>
  <c r="AR5029" i="1"/>
  <c r="AR5030" i="1"/>
  <c r="AR5031" i="1"/>
  <c r="AR5032" i="1"/>
  <c r="AR5033" i="1"/>
  <c r="AR5034" i="1"/>
  <c r="AR5035" i="1"/>
  <c r="AR5036" i="1"/>
  <c r="AR5037" i="1"/>
  <c r="AR5038" i="1"/>
  <c r="AR5039" i="1"/>
  <c r="AR5040" i="1"/>
  <c r="AR5041" i="1"/>
  <c r="AR5042" i="1"/>
  <c r="AR5043" i="1"/>
  <c r="AR5044" i="1"/>
  <c r="AR5045" i="1"/>
  <c r="AR5046" i="1"/>
  <c r="AR5047" i="1"/>
  <c r="AR5048" i="1"/>
  <c r="AR5049" i="1"/>
  <c r="AR5050" i="1"/>
  <c r="AR5051" i="1"/>
  <c r="AR5052" i="1"/>
  <c r="AR5053" i="1"/>
  <c r="AR5054" i="1"/>
  <c r="AR5055" i="1"/>
  <c r="AR5056" i="1"/>
  <c r="AR5057" i="1"/>
  <c r="AR5058" i="1"/>
  <c r="AR5059" i="1"/>
  <c r="AR5060" i="1"/>
  <c r="AR5061" i="1"/>
  <c r="AR5062" i="1"/>
  <c r="AR5063" i="1"/>
  <c r="AR5064" i="1"/>
  <c r="AR5065" i="1"/>
  <c r="AR5066" i="1"/>
  <c r="AR5067" i="1"/>
  <c r="AR5068" i="1"/>
  <c r="AR5069" i="1"/>
  <c r="AR5070" i="1"/>
  <c r="AR5071" i="1"/>
  <c r="AR5072" i="1"/>
  <c r="AR5073" i="1"/>
  <c r="AR5074" i="1"/>
  <c r="AR5075" i="1"/>
  <c r="AR5076" i="1"/>
  <c r="AR5077" i="1"/>
  <c r="AR5078" i="1"/>
  <c r="AR5079" i="1"/>
  <c r="AR5080" i="1"/>
  <c r="AR5081" i="1"/>
  <c r="AR5082" i="1"/>
  <c r="AR5083" i="1"/>
  <c r="AR5084" i="1"/>
  <c r="AR5085" i="1"/>
  <c r="AR5086" i="1"/>
  <c r="AR5087" i="1"/>
  <c r="AR5088" i="1"/>
  <c r="AR5089" i="1"/>
  <c r="AR5090" i="1"/>
  <c r="AR5091" i="1"/>
  <c r="AR5092" i="1"/>
  <c r="AR5093" i="1"/>
  <c r="AR5094" i="1"/>
  <c r="AR5095" i="1"/>
  <c r="AR5096" i="1"/>
  <c r="AR5097" i="1"/>
  <c r="AR5098" i="1"/>
  <c r="AR5099" i="1"/>
  <c r="AR5100" i="1"/>
  <c r="AR5101" i="1"/>
  <c r="AR5102" i="1"/>
  <c r="AR5103" i="1"/>
  <c r="AR5104" i="1"/>
  <c r="AR5105" i="1"/>
  <c r="AR5106" i="1"/>
  <c r="AR5107" i="1"/>
  <c r="AR5108" i="1"/>
  <c r="AR5109" i="1"/>
  <c r="AR5110" i="1"/>
  <c r="AR5111" i="1"/>
  <c r="AR5112" i="1"/>
  <c r="AR5113" i="1"/>
  <c r="AR5114" i="1"/>
  <c r="AR5115" i="1"/>
  <c r="AR5116" i="1"/>
  <c r="AR5117" i="1"/>
  <c r="AR5118" i="1"/>
  <c r="AR5119" i="1"/>
  <c r="AR5120" i="1"/>
  <c r="AR5121" i="1"/>
  <c r="AR5122" i="1"/>
  <c r="AR5123" i="1"/>
  <c r="AR5124" i="1"/>
  <c r="AR5125" i="1"/>
  <c r="AR5126" i="1"/>
  <c r="AR5127" i="1"/>
  <c r="AR5128" i="1"/>
  <c r="AR5129" i="1"/>
  <c r="AR5130" i="1"/>
  <c r="AR5131" i="1"/>
  <c r="AR5132" i="1"/>
  <c r="AR5133" i="1"/>
  <c r="AR5134" i="1"/>
  <c r="AR5135" i="1"/>
  <c r="AR5136" i="1"/>
  <c r="AR5137" i="1"/>
  <c r="AR5138" i="1"/>
  <c r="AR5139" i="1"/>
  <c r="AR5140" i="1"/>
  <c r="AR5141" i="1"/>
  <c r="AR5142" i="1"/>
  <c r="AR5143" i="1"/>
  <c r="AR5144" i="1"/>
  <c r="AR5145" i="1"/>
  <c r="AR5146" i="1"/>
  <c r="AR5147" i="1"/>
  <c r="AR5148" i="1"/>
  <c r="AR5149" i="1"/>
  <c r="AR5150" i="1"/>
  <c r="AR5151" i="1"/>
  <c r="AR5152" i="1"/>
  <c r="AR5153" i="1"/>
  <c r="AR5154" i="1"/>
  <c r="AR5155" i="1"/>
  <c r="AR5156" i="1"/>
  <c r="AR5157" i="1"/>
  <c r="AR5158" i="1"/>
  <c r="AR5159" i="1"/>
  <c r="AR5160" i="1"/>
  <c r="AR5161" i="1"/>
  <c r="AR5162" i="1"/>
  <c r="AR5163" i="1"/>
  <c r="AR5164" i="1"/>
  <c r="AR5165" i="1"/>
  <c r="AR5166" i="1"/>
  <c r="AR5167" i="1"/>
  <c r="AR5168" i="1"/>
  <c r="AR5169" i="1"/>
  <c r="AR5170" i="1"/>
  <c r="AR5171" i="1"/>
  <c r="AR5172" i="1"/>
  <c r="AR5173" i="1"/>
  <c r="AR5174" i="1"/>
  <c r="AR5175" i="1"/>
  <c r="AR5176" i="1"/>
  <c r="AR5177" i="1"/>
  <c r="AR5178" i="1"/>
  <c r="AR5179" i="1"/>
  <c r="AR5180" i="1"/>
  <c r="AR5181" i="1"/>
  <c r="AR5182" i="1"/>
  <c r="AR5183" i="1"/>
  <c r="AR5184" i="1"/>
  <c r="AR5185" i="1"/>
  <c r="AR5186" i="1"/>
  <c r="AR5187" i="1"/>
  <c r="AR5188" i="1"/>
  <c r="AR5189" i="1"/>
  <c r="AR5190" i="1"/>
  <c r="AR5191" i="1"/>
  <c r="AR5192" i="1"/>
  <c r="AR5193" i="1"/>
  <c r="AR5194" i="1"/>
  <c r="AR5195" i="1"/>
  <c r="AR5196" i="1"/>
  <c r="AR5197" i="1"/>
  <c r="AR5198" i="1"/>
  <c r="AR5199" i="1"/>
  <c r="AR5200" i="1"/>
  <c r="AR5201" i="1"/>
  <c r="AR5202" i="1"/>
  <c r="AR5203" i="1"/>
  <c r="AR5204" i="1"/>
  <c r="AR5205" i="1"/>
  <c r="AR5206" i="1"/>
  <c r="AR5207" i="1"/>
  <c r="AR5208" i="1"/>
  <c r="AR5209" i="1"/>
  <c r="AR5210" i="1"/>
  <c r="AR5211" i="1"/>
  <c r="AR5212" i="1"/>
  <c r="AR5213" i="1"/>
  <c r="AR5214" i="1"/>
  <c r="AR5215" i="1"/>
  <c r="AR5216" i="1"/>
  <c r="AR5217" i="1"/>
  <c r="AR5218" i="1"/>
  <c r="AR5219" i="1"/>
  <c r="AR5220" i="1"/>
  <c r="AR5221" i="1"/>
  <c r="AR5222" i="1"/>
  <c r="AR5223" i="1"/>
  <c r="AR5224" i="1"/>
  <c r="AR5225" i="1"/>
  <c r="AR5226" i="1"/>
  <c r="AR5227" i="1"/>
  <c r="AR5228" i="1"/>
  <c r="AR5229" i="1"/>
  <c r="AR5230" i="1"/>
  <c r="AR5231" i="1"/>
  <c r="AR5232" i="1"/>
  <c r="AR5233" i="1"/>
  <c r="AR5234" i="1"/>
  <c r="AR5235" i="1"/>
  <c r="AR5236" i="1"/>
  <c r="AR5237" i="1"/>
  <c r="AR5238" i="1"/>
  <c r="AR5239" i="1"/>
  <c r="AR5240" i="1"/>
  <c r="AR5241" i="1"/>
  <c r="AR5242" i="1"/>
  <c r="AR5243" i="1"/>
  <c r="AR5244" i="1"/>
  <c r="AR5245" i="1"/>
  <c r="AR5246" i="1"/>
  <c r="AR5247" i="1"/>
  <c r="AR5248" i="1"/>
  <c r="AR5249" i="1"/>
  <c r="AR5250" i="1"/>
  <c r="AR5251" i="1"/>
  <c r="AR5252" i="1"/>
  <c r="AR5253" i="1"/>
  <c r="AR5254" i="1"/>
  <c r="AR5255" i="1"/>
  <c r="AR5256" i="1"/>
  <c r="AR5257" i="1"/>
  <c r="AR5258" i="1"/>
  <c r="AR5259" i="1"/>
  <c r="AR5260" i="1"/>
  <c r="AR5261" i="1"/>
  <c r="AR5262" i="1"/>
  <c r="AR5263" i="1"/>
  <c r="AR5264" i="1"/>
  <c r="AR5265" i="1"/>
  <c r="AR5266" i="1"/>
  <c r="AR5267" i="1"/>
  <c r="AR5268" i="1"/>
  <c r="AR5269" i="1"/>
  <c r="AR5270" i="1"/>
  <c r="AR5271" i="1"/>
  <c r="AR5272" i="1"/>
  <c r="AR5273" i="1"/>
  <c r="AR5274" i="1"/>
  <c r="AR5275" i="1"/>
  <c r="AR5276" i="1"/>
  <c r="AR5277" i="1"/>
  <c r="AR5278" i="1"/>
  <c r="AR5279" i="1"/>
  <c r="AR5280" i="1"/>
  <c r="AR5281" i="1"/>
  <c r="AR5282" i="1"/>
  <c r="AR5283" i="1"/>
  <c r="AR5284" i="1"/>
  <c r="AR5285" i="1"/>
  <c r="AR5286" i="1"/>
  <c r="AR5287" i="1"/>
  <c r="AR5288" i="1"/>
  <c r="AR5289" i="1"/>
  <c r="AR5290" i="1"/>
  <c r="AR5291" i="1"/>
  <c r="AR5292" i="1"/>
  <c r="AR5293" i="1"/>
  <c r="AR5294" i="1"/>
  <c r="AR5295" i="1"/>
  <c r="AR5296" i="1"/>
  <c r="AR5297" i="1"/>
  <c r="AR5298" i="1"/>
  <c r="AR5299" i="1"/>
  <c r="AR5300" i="1"/>
  <c r="AR5301" i="1"/>
  <c r="AR5302" i="1"/>
  <c r="AR5303" i="1"/>
  <c r="AR5304" i="1"/>
  <c r="AR5305" i="1"/>
  <c r="AR5306" i="1"/>
  <c r="AR5307" i="1"/>
  <c r="AR5308" i="1"/>
  <c r="AR5309" i="1"/>
  <c r="AR5310" i="1"/>
  <c r="AR5311" i="1"/>
  <c r="AR5312" i="1"/>
  <c r="AR5313" i="1"/>
  <c r="AR5314" i="1"/>
  <c r="AR5315" i="1"/>
  <c r="AR5316" i="1"/>
  <c r="AR5317" i="1"/>
  <c r="AR5318" i="1"/>
  <c r="AR5319" i="1"/>
  <c r="AR5320" i="1"/>
  <c r="AR5321" i="1"/>
  <c r="AR5322" i="1"/>
  <c r="AR5323" i="1"/>
  <c r="AR5324" i="1"/>
  <c r="AR5325" i="1"/>
  <c r="AR5326" i="1"/>
  <c r="AR5327" i="1"/>
  <c r="AR5328" i="1"/>
  <c r="AR5329" i="1"/>
  <c r="AR5330" i="1"/>
  <c r="AR5331" i="1"/>
  <c r="AR5332" i="1"/>
  <c r="AR5333" i="1"/>
  <c r="AR5334" i="1"/>
  <c r="AR5335" i="1"/>
  <c r="AR5336" i="1"/>
  <c r="AR5337" i="1"/>
  <c r="AR5338" i="1"/>
  <c r="AR5339" i="1"/>
  <c r="AR5340" i="1"/>
  <c r="AR5341" i="1"/>
  <c r="AR5342" i="1"/>
  <c r="AR5343" i="1"/>
  <c r="AR5344" i="1"/>
  <c r="AR5345" i="1"/>
  <c r="AR5346" i="1"/>
  <c r="AR5347" i="1"/>
  <c r="AR5348" i="1"/>
  <c r="AR5349" i="1"/>
  <c r="AR5350" i="1"/>
  <c r="AR5351" i="1"/>
  <c r="AR5352" i="1"/>
  <c r="AR5353" i="1"/>
  <c r="AR5354" i="1"/>
  <c r="AR5355" i="1"/>
  <c r="AR5356" i="1"/>
  <c r="AR5357" i="1"/>
  <c r="AR5358" i="1"/>
  <c r="AR5359" i="1"/>
  <c r="AR5360" i="1"/>
  <c r="AR5361" i="1"/>
  <c r="AR5362" i="1"/>
  <c r="AR5363" i="1"/>
  <c r="AR5364" i="1"/>
  <c r="AR5365" i="1"/>
  <c r="AR5366" i="1"/>
  <c r="AR5367" i="1"/>
  <c r="AR5368" i="1"/>
  <c r="AR5369" i="1"/>
  <c r="AR5370" i="1"/>
  <c r="AR5371" i="1"/>
  <c r="AR5372" i="1"/>
  <c r="AR5373" i="1"/>
  <c r="AR5374" i="1"/>
  <c r="AR5375" i="1"/>
  <c r="AR5376" i="1"/>
  <c r="AR5377" i="1"/>
  <c r="AR5378" i="1"/>
  <c r="AR5379" i="1"/>
  <c r="AR5380" i="1"/>
  <c r="AR5381" i="1"/>
  <c r="AR5382" i="1"/>
  <c r="AR5383" i="1"/>
  <c r="AR5384" i="1"/>
  <c r="AR5385" i="1"/>
  <c r="AR5386" i="1"/>
  <c r="AR5387" i="1"/>
  <c r="AR5388" i="1"/>
  <c r="AR5389" i="1"/>
  <c r="AR5390" i="1"/>
  <c r="AR5391" i="1"/>
  <c r="AR5392" i="1"/>
  <c r="AR5393" i="1"/>
  <c r="AR5394" i="1"/>
  <c r="AR5395" i="1"/>
  <c r="AR5396" i="1"/>
  <c r="AR5397" i="1"/>
  <c r="AR5398" i="1"/>
  <c r="AR5399" i="1"/>
  <c r="AR5400" i="1"/>
  <c r="AR5401" i="1"/>
  <c r="AR5402" i="1"/>
  <c r="AR5403" i="1"/>
  <c r="AR5404" i="1"/>
  <c r="AR5405" i="1"/>
  <c r="AR5406" i="1"/>
  <c r="AR5407" i="1"/>
  <c r="AR5408" i="1"/>
  <c r="AR5409" i="1"/>
  <c r="AR5410" i="1"/>
  <c r="AR5411" i="1"/>
  <c r="AR5412" i="1"/>
  <c r="AR5413" i="1"/>
  <c r="AR5414" i="1"/>
  <c r="AR5415" i="1"/>
  <c r="AR5416" i="1"/>
  <c r="AR5417" i="1"/>
  <c r="AR5418" i="1"/>
  <c r="AR5419" i="1"/>
  <c r="AR5420" i="1"/>
  <c r="AR5421" i="1"/>
  <c r="AR5422" i="1"/>
  <c r="AR5423" i="1"/>
  <c r="AR5424" i="1"/>
  <c r="AR5425" i="1"/>
  <c r="AR5426" i="1"/>
  <c r="AR5427" i="1"/>
  <c r="AR5428" i="1"/>
  <c r="AR5429" i="1"/>
  <c r="AR5430" i="1"/>
  <c r="AR5431" i="1"/>
  <c r="AR5432" i="1"/>
  <c r="AR5433" i="1"/>
  <c r="AR5434" i="1"/>
  <c r="AR5435" i="1"/>
  <c r="AR5436" i="1"/>
  <c r="AR5437" i="1"/>
  <c r="AR5438" i="1"/>
  <c r="AR5439" i="1"/>
  <c r="AR5440" i="1"/>
  <c r="AR5441" i="1"/>
  <c r="AR5442" i="1"/>
  <c r="AR5443" i="1"/>
  <c r="AR5444" i="1"/>
  <c r="AR5445" i="1"/>
  <c r="AR5446" i="1"/>
  <c r="AR5447" i="1"/>
  <c r="AR5448" i="1"/>
  <c r="AR5449" i="1"/>
  <c r="AR5450" i="1"/>
  <c r="AR5451" i="1"/>
  <c r="AR5452" i="1"/>
  <c r="AR5453" i="1"/>
  <c r="AR5454" i="1"/>
  <c r="AR5455" i="1"/>
  <c r="AR5456" i="1"/>
  <c r="AR5457" i="1"/>
  <c r="AR5458" i="1"/>
  <c r="AR5459" i="1"/>
  <c r="AR5460" i="1"/>
  <c r="AR5461" i="1"/>
  <c r="AR5462" i="1"/>
  <c r="AR5463" i="1"/>
  <c r="AR5464" i="1"/>
  <c r="AR5465" i="1"/>
  <c r="AR5466" i="1"/>
  <c r="AR5467" i="1"/>
  <c r="AR5468" i="1"/>
  <c r="AR5469" i="1"/>
  <c r="AR5470" i="1"/>
  <c r="AR5471" i="1"/>
  <c r="AR5472" i="1"/>
  <c r="AR5473" i="1"/>
  <c r="AR5474" i="1"/>
  <c r="AR5475" i="1"/>
  <c r="AR5476" i="1"/>
  <c r="AR5477" i="1"/>
  <c r="AR5478" i="1"/>
  <c r="AR5479" i="1"/>
  <c r="AR5480" i="1"/>
  <c r="AR5481" i="1"/>
  <c r="AR5482" i="1"/>
  <c r="AR5483" i="1"/>
  <c r="AR5484" i="1"/>
  <c r="AR5485" i="1"/>
  <c r="AR5486" i="1"/>
  <c r="AR5487" i="1"/>
  <c r="AR5488" i="1"/>
  <c r="AR5489" i="1"/>
  <c r="AR5490" i="1"/>
  <c r="AR5491" i="1"/>
  <c r="AR5492" i="1"/>
  <c r="AR5493" i="1"/>
  <c r="AR5494" i="1"/>
  <c r="AR5495" i="1"/>
  <c r="AR5496" i="1"/>
  <c r="AR5497" i="1"/>
  <c r="AR5498" i="1"/>
  <c r="AR5499" i="1"/>
  <c r="AR5500" i="1"/>
  <c r="AR5501" i="1"/>
  <c r="AR5502" i="1"/>
  <c r="AR5503" i="1"/>
  <c r="AR5504" i="1"/>
  <c r="AR5505" i="1"/>
  <c r="AR5506" i="1"/>
  <c r="AR5507" i="1"/>
  <c r="AR5508" i="1"/>
  <c r="AR5509" i="1"/>
  <c r="AR5510" i="1"/>
  <c r="AR5511" i="1"/>
  <c r="AR5512" i="1"/>
  <c r="AR5513" i="1"/>
  <c r="AR5514" i="1"/>
  <c r="AR5515" i="1"/>
  <c r="AR5516" i="1"/>
  <c r="AR5517" i="1"/>
  <c r="AR5518" i="1"/>
  <c r="AR5519" i="1"/>
  <c r="AR5520" i="1"/>
  <c r="AR5521" i="1"/>
  <c r="AR5522" i="1"/>
  <c r="AR5523" i="1"/>
  <c r="AR5524" i="1"/>
  <c r="AR5525" i="1"/>
  <c r="AR5526" i="1"/>
  <c r="AR5527" i="1"/>
  <c r="AR5528" i="1"/>
  <c r="AR5529" i="1"/>
  <c r="AR5530" i="1"/>
  <c r="AR5531" i="1"/>
  <c r="AR5532" i="1"/>
  <c r="AR5533" i="1"/>
  <c r="AR5534" i="1"/>
  <c r="AR5535" i="1"/>
  <c r="AR5536" i="1"/>
  <c r="AR5537" i="1"/>
  <c r="AR5538" i="1"/>
  <c r="AR5539" i="1"/>
  <c r="AR5540" i="1"/>
  <c r="AR5541" i="1"/>
  <c r="AR5542" i="1"/>
  <c r="AR5543" i="1"/>
  <c r="AR5544" i="1"/>
  <c r="AR5545" i="1"/>
  <c r="AR5546" i="1"/>
  <c r="AR5547" i="1"/>
  <c r="AR5548" i="1"/>
  <c r="AR5549" i="1"/>
  <c r="AR5550" i="1"/>
  <c r="AR5551" i="1"/>
  <c r="AR5552" i="1"/>
  <c r="AR5553" i="1"/>
  <c r="AR5554" i="1"/>
  <c r="AR5555" i="1"/>
  <c r="AR5556" i="1"/>
  <c r="AR5557" i="1"/>
  <c r="AR5558" i="1"/>
  <c r="AR5559" i="1"/>
  <c r="AR5560" i="1"/>
  <c r="AR5561" i="1"/>
  <c r="AR5562" i="1"/>
  <c r="AR5563" i="1"/>
  <c r="AR5564" i="1"/>
  <c r="AR5565" i="1"/>
  <c r="AR5566" i="1"/>
  <c r="AR5567" i="1"/>
  <c r="AR5568" i="1"/>
  <c r="AR5569" i="1"/>
  <c r="AR5570" i="1"/>
  <c r="AR5571" i="1"/>
  <c r="AR5572" i="1"/>
  <c r="AR5573" i="1"/>
  <c r="AR5574" i="1"/>
  <c r="AR5575" i="1"/>
  <c r="AR5576" i="1"/>
  <c r="AR5577" i="1"/>
  <c r="AR5578" i="1"/>
  <c r="AR5579" i="1"/>
  <c r="AR5580" i="1"/>
  <c r="AR5581" i="1"/>
  <c r="AR5582" i="1"/>
  <c r="AR5583" i="1"/>
  <c r="AR5584" i="1"/>
  <c r="AR5585" i="1"/>
  <c r="AR5586" i="1"/>
  <c r="AR5587" i="1"/>
  <c r="AR5588" i="1"/>
  <c r="AR5589" i="1"/>
  <c r="AR5590" i="1"/>
  <c r="AR5591" i="1"/>
  <c r="AR5592" i="1"/>
  <c r="AR5593" i="1"/>
  <c r="AR5594" i="1"/>
  <c r="AR5595" i="1"/>
  <c r="AR5596" i="1"/>
  <c r="AR5597" i="1"/>
  <c r="AR5598" i="1"/>
  <c r="AR5599" i="1"/>
  <c r="AR5600" i="1"/>
  <c r="AR5601" i="1"/>
  <c r="AR5602" i="1"/>
  <c r="AR5603" i="1"/>
  <c r="AR5604" i="1"/>
  <c r="AR5605" i="1"/>
  <c r="AR5606" i="1"/>
  <c r="AR5607" i="1"/>
  <c r="AR5608" i="1"/>
  <c r="AR5609" i="1"/>
  <c r="AR5610" i="1"/>
  <c r="AR5611" i="1"/>
  <c r="AR5612" i="1"/>
  <c r="AR5613" i="1"/>
  <c r="AR5614" i="1"/>
  <c r="AR5615" i="1"/>
  <c r="AR5616" i="1"/>
  <c r="AR5617" i="1"/>
  <c r="AR5618" i="1"/>
  <c r="AR5619" i="1"/>
  <c r="AR5620" i="1"/>
  <c r="AR5621" i="1"/>
  <c r="AR5622" i="1"/>
  <c r="AR5623" i="1"/>
  <c r="AR5624" i="1"/>
  <c r="AR5625" i="1"/>
  <c r="AR5626" i="1"/>
  <c r="AR5627" i="1"/>
  <c r="AR5628" i="1"/>
  <c r="AR5629" i="1"/>
  <c r="AR5630" i="1"/>
  <c r="AR5631" i="1"/>
  <c r="AR5632" i="1"/>
  <c r="AR5633" i="1"/>
  <c r="AR5634" i="1"/>
  <c r="AR5635" i="1"/>
  <c r="AR5636" i="1"/>
  <c r="AR5637" i="1"/>
  <c r="AR5638" i="1"/>
  <c r="AR5639" i="1"/>
  <c r="AR5640" i="1"/>
  <c r="AR5641" i="1"/>
  <c r="AR5642" i="1"/>
  <c r="AR5643" i="1"/>
  <c r="AR5644" i="1"/>
  <c r="AR5645" i="1"/>
  <c r="AR5646" i="1"/>
  <c r="AR5647" i="1"/>
  <c r="AR5648" i="1"/>
  <c r="AR5649" i="1"/>
  <c r="AR5650" i="1"/>
  <c r="AR5651" i="1"/>
  <c r="AR5652" i="1"/>
  <c r="AR5653" i="1"/>
  <c r="AR5654" i="1"/>
  <c r="AR5655" i="1"/>
  <c r="AR5656" i="1"/>
  <c r="AR5657" i="1"/>
  <c r="AR5658" i="1"/>
  <c r="AR5659" i="1"/>
  <c r="AR5660" i="1"/>
  <c r="AR5661" i="1"/>
  <c r="AR5662" i="1"/>
  <c r="AR5663" i="1"/>
  <c r="AR5664" i="1"/>
  <c r="AR5665" i="1"/>
  <c r="AR5666" i="1"/>
  <c r="AR5667" i="1"/>
  <c r="AR5668" i="1"/>
  <c r="AR5669" i="1"/>
  <c r="AR5670" i="1"/>
  <c r="AR5671" i="1"/>
  <c r="AR5672" i="1"/>
  <c r="AR5673" i="1"/>
  <c r="AR5674" i="1"/>
  <c r="AR5675" i="1"/>
  <c r="AR5676" i="1"/>
  <c r="AR5677" i="1"/>
  <c r="AR5678" i="1"/>
  <c r="AR5679" i="1"/>
  <c r="AR5680" i="1"/>
  <c r="AR5681" i="1"/>
  <c r="AR5682" i="1"/>
  <c r="AR5683" i="1"/>
  <c r="AR5684" i="1"/>
  <c r="AR5685" i="1"/>
  <c r="AR5686" i="1"/>
  <c r="AR5687" i="1"/>
  <c r="AR5688" i="1"/>
  <c r="AR5689" i="1"/>
  <c r="AR5690" i="1"/>
  <c r="AR5691" i="1"/>
  <c r="AR5692" i="1"/>
  <c r="AR5693" i="1"/>
  <c r="AR5694" i="1"/>
  <c r="AR5695" i="1"/>
  <c r="AR5696" i="1"/>
  <c r="AR5697" i="1"/>
  <c r="AR5698" i="1"/>
  <c r="AR5699" i="1"/>
  <c r="AR5700" i="1"/>
  <c r="AR5701" i="1"/>
  <c r="AR5702" i="1"/>
  <c r="AR5703" i="1"/>
  <c r="AR5704" i="1"/>
  <c r="AR5705" i="1"/>
  <c r="AR5706" i="1"/>
  <c r="AR5707" i="1"/>
  <c r="AR5708" i="1"/>
  <c r="AR5709" i="1"/>
  <c r="AR5710" i="1"/>
  <c r="AR5711" i="1"/>
  <c r="AR5712" i="1"/>
  <c r="AR5713" i="1"/>
  <c r="AR5714" i="1"/>
  <c r="AR5715" i="1"/>
  <c r="AR5716" i="1"/>
  <c r="AR5717" i="1"/>
  <c r="AR5718" i="1"/>
  <c r="AR5719" i="1"/>
  <c r="AR5720" i="1"/>
  <c r="AR5721" i="1"/>
  <c r="AR5722" i="1"/>
  <c r="AR5723" i="1"/>
  <c r="AR5724" i="1"/>
  <c r="AR5725" i="1"/>
  <c r="AR5726" i="1"/>
  <c r="AR5727" i="1"/>
  <c r="AR5728" i="1"/>
  <c r="AR5729" i="1"/>
  <c r="AR5730" i="1"/>
  <c r="AR5731" i="1"/>
  <c r="AR5732" i="1"/>
  <c r="AR5733" i="1"/>
  <c r="AR5734" i="1"/>
  <c r="AR5735" i="1"/>
  <c r="AR5736" i="1"/>
  <c r="AR5737" i="1"/>
  <c r="AR5738" i="1"/>
  <c r="AR5739" i="1"/>
  <c r="AR5740" i="1"/>
  <c r="AR5741" i="1"/>
  <c r="AR5742" i="1"/>
  <c r="AR5743" i="1"/>
  <c r="AR5744" i="1"/>
  <c r="AR5745" i="1"/>
  <c r="AR5746" i="1"/>
  <c r="AR5747" i="1"/>
  <c r="AR5748" i="1"/>
  <c r="AR5749" i="1"/>
  <c r="AR5750" i="1"/>
  <c r="AR5751" i="1"/>
  <c r="AR5752" i="1"/>
  <c r="AR5753" i="1"/>
  <c r="AR5754" i="1"/>
  <c r="AR5755" i="1"/>
  <c r="AR5756" i="1"/>
  <c r="AR5757" i="1"/>
  <c r="AR5758" i="1"/>
  <c r="AR5759" i="1"/>
  <c r="AR5760" i="1"/>
  <c r="AR5761" i="1"/>
  <c r="AR5762" i="1"/>
  <c r="AR5763" i="1"/>
  <c r="AR5764" i="1"/>
  <c r="AR5765" i="1"/>
  <c r="AR5766" i="1"/>
  <c r="AR5767" i="1"/>
  <c r="AR5768" i="1"/>
  <c r="AR5769" i="1"/>
  <c r="AR5770" i="1"/>
  <c r="AR5771" i="1"/>
  <c r="AR5772" i="1"/>
  <c r="AR5773" i="1"/>
  <c r="AR5774" i="1"/>
  <c r="AR5775" i="1"/>
  <c r="AR5776" i="1"/>
  <c r="AR5777" i="1"/>
  <c r="AR5778" i="1"/>
  <c r="AR5779" i="1"/>
  <c r="AR5780" i="1"/>
  <c r="AR5781" i="1"/>
  <c r="AR5782" i="1"/>
  <c r="AR5783" i="1"/>
  <c r="AR5784" i="1"/>
  <c r="AR5785" i="1"/>
  <c r="AR5786" i="1"/>
  <c r="AR5787" i="1"/>
  <c r="AR5788" i="1"/>
  <c r="AR5789" i="1"/>
  <c r="AR5790" i="1"/>
  <c r="AR5791" i="1"/>
  <c r="AR5792" i="1"/>
  <c r="AR5793" i="1"/>
  <c r="AR5794" i="1"/>
  <c r="AR5795" i="1"/>
  <c r="AR5796" i="1"/>
  <c r="AR5797" i="1"/>
  <c r="AR5798" i="1"/>
  <c r="AR5799" i="1"/>
  <c r="AR5800" i="1"/>
  <c r="AR5801" i="1"/>
  <c r="AR5802" i="1"/>
  <c r="AR5803" i="1"/>
  <c r="AR5804" i="1"/>
  <c r="AR5805" i="1"/>
  <c r="AR5806" i="1"/>
  <c r="AR5807" i="1"/>
  <c r="AR5808" i="1"/>
  <c r="AR5809" i="1"/>
  <c r="AR5810" i="1"/>
  <c r="AR5811" i="1"/>
  <c r="AR5812" i="1"/>
  <c r="AR5813" i="1"/>
  <c r="AR5814" i="1"/>
  <c r="AR5815" i="1"/>
  <c r="AR5816" i="1"/>
  <c r="AR5817" i="1"/>
  <c r="AR5818" i="1"/>
  <c r="AR5819" i="1"/>
  <c r="AR5820" i="1"/>
  <c r="AR5821" i="1"/>
  <c r="AR5822" i="1"/>
  <c r="AR5823" i="1"/>
  <c r="AR5824" i="1"/>
  <c r="AR5825" i="1"/>
  <c r="AR5826" i="1"/>
  <c r="AR5827" i="1"/>
  <c r="AR5828" i="1"/>
  <c r="AR5829" i="1"/>
  <c r="AR5830" i="1"/>
  <c r="AR5831" i="1"/>
  <c r="AR5832" i="1"/>
  <c r="AR5833" i="1"/>
  <c r="AR5834" i="1"/>
  <c r="AR5835" i="1"/>
  <c r="AR5836" i="1"/>
  <c r="AR5837" i="1"/>
  <c r="AR5838" i="1"/>
  <c r="AR5839" i="1"/>
  <c r="AR5840" i="1"/>
  <c r="AR5841" i="1"/>
  <c r="AR5842" i="1"/>
  <c r="AR5843" i="1"/>
  <c r="AR5844" i="1"/>
  <c r="AR5845" i="1"/>
  <c r="AR5846" i="1"/>
  <c r="AR5847" i="1"/>
  <c r="AR5848" i="1"/>
  <c r="AR5849" i="1"/>
  <c r="AR5850" i="1"/>
  <c r="AR5851" i="1"/>
  <c r="AR5852" i="1"/>
  <c r="AR5853" i="1"/>
  <c r="AR5854" i="1"/>
  <c r="AR5855" i="1"/>
  <c r="AR5856" i="1"/>
  <c r="AR5857" i="1"/>
  <c r="AR5858" i="1"/>
  <c r="AR5859" i="1"/>
  <c r="AR5860" i="1"/>
  <c r="AR5861" i="1"/>
  <c r="AR5862" i="1"/>
  <c r="AR5863" i="1"/>
  <c r="AR5864" i="1"/>
  <c r="AR5865" i="1"/>
  <c r="AR5866" i="1"/>
  <c r="AR5867" i="1"/>
  <c r="AR5868" i="1"/>
  <c r="AR5869" i="1"/>
  <c r="AR5870" i="1"/>
  <c r="AR5871" i="1"/>
  <c r="AR5872" i="1"/>
  <c r="AR5873" i="1"/>
  <c r="AR5874" i="1"/>
  <c r="AR5875" i="1"/>
  <c r="AR5876" i="1"/>
  <c r="AR5877" i="1"/>
  <c r="AR5878" i="1"/>
  <c r="AR5879" i="1"/>
  <c r="AR5880" i="1"/>
  <c r="AR5881" i="1"/>
  <c r="AR5882" i="1"/>
  <c r="AR5883" i="1"/>
  <c r="AR5884" i="1"/>
  <c r="AR5885" i="1"/>
  <c r="AR5886" i="1"/>
  <c r="AR5887" i="1"/>
  <c r="AR5888" i="1"/>
  <c r="AR5889" i="1"/>
  <c r="AR5890" i="1"/>
  <c r="AR5891" i="1"/>
  <c r="AR5892" i="1"/>
  <c r="AR5893" i="1"/>
  <c r="AR5894" i="1"/>
  <c r="AR5895" i="1"/>
  <c r="AR5896" i="1"/>
  <c r="AR5897" i="1"/>
  <c r="AR5898" i="1"/>
  <c r="AR5899" i="1"/>
  <c r="AR5900" i="1"/>
  <c r="AR5901" i="1"/>
  <c r="AR5902" i="1"/>
  <c r="AR5903" i="1"/>
  <c r="AR5904" i="1"/>
  <c r="AR5905" i="1"/>
  <c r="AR5906" i="1"/>
  <c r="AR5907" i="1"/>
  <c r="AR5908" i="1"/>
  <c r="AR5909" i="1"/>
  <c r="AR5910" i="1"/>
  <c r="AR5911" i="1"/>
  <c r="AR5912" i="1"/>
  <c r="AR5913" i="1"/>
  <c r="AR5914" i="1"/>
  <c r="AR5915" i="1"/>
  <c r="AR5916" i="1"/>
  <c r="AR5917" i="1"/>
  <c r="AR5918" i="1"/>
  <c r="AR5919" i="1"/>
  <c r="AR5920" i="1"/>
  <c r="AR5921" i="1"/>
  <c r="AR5922" i="1"/>
  <c r="AR5923" i="1"/>
  <c r="AR5924" i="1"/>
  <c r="AR5925" i="1"/>
  <c r="AR5926" i="1"/>
  <c r="AR5927" i="1"/>
  <c r="AR5928" i="1"/>
  <c r="AR5929" i="1"/>
  <c r="AR5930" i="1"/>
  <c r="AR5931" i="1"/>
  <c r="AR5932" i="1"/>
  <c r="AR5933" i="1"/>
  <c r="AR5934" i="1"/>
  <c r="AR5935" i="1"/>
  <c r="AR5936" i="1"/>
  <c r="AR5937" i="1"/>
  <c r="AR5938" i="1"/>
  <c r="AR5939" i="1"/>
  <c r="AR5940" i="1"/>
  <c r="AR5941" i="1"/>
  <c r="AR5942" i="1"/>
  <c r="AR5943" i="1"/>
  <c r="AR5944" i="1"/>
  <c r="AR5945" i="1"/>
  <c r="AR5946" i="1"/>
  <c r="AR5947" i="1"/>
  <c r="AR5948" i="1"/>
  <c r="AR5949" i="1"/>
  <c r="AR5950" i="1"/>
  <c r="AR5951" i="1"/>
  <c r="AR5952" i="1"/>
  <c r="AR5953" i="1"/>
  <c r="AR5954" i="1"/>
  <c r="AR5955" i="1"/>
  <c r="AR5956" i="1"/>
  <c r="AR5957" i="1"/>
  <c r="AR5958" i="1"/>
  <c r="AR5959" i="1"/>
  <c r="AR5960" i="1"/>
  <c r="AR5961" i="1"/>
  <c r="AR5962" i="1"/>
  <c r="AR5963" i="1"/>
  <c r="AR5964" i="1"/>
  <c r="AR5965" i="1"/>
  <c r="AR5966" i="1"/>
  <c r="AR5967" i="1"/>
  <c r="AR5968" i="1"/>
  <c r="AR5969" i="1"/>
  <c r="AR5970" i="1"/>
  <c r="AR5971" i="1"/>
  <c r="AR5972" i="1"/>
  <c r="AR5973" i="1"/>
  <c r="AR5974" i="1"/>
  <c r="AR5975" i="1"/>
  <c r="AR5976" i="1"/>
  <c r="AR5977" i="1"/>
  <c r="AR5978" i="1"/>
  <c r="AR5979" i="1"/>
  <c r="AR5980" i="1"/>
  <c r="AR5981" i="1"/>
  <c r="AR5982" i="1"/>
  <c r="AR5983" i="1"/>
  <c r="AR5984" i="1"/>
  <c r="AR5985" i="1"/>
  <c r="AR5986" i="1"/>
  <c r="AR5987" i="1"/>
  <c r="AR5988" i="1"/>
  <c r="AR5989" i="1"/>
  <c r="AR5990" i="1"/>
  <c r="AR5991" i="1"/>
  <c r="AR5992" i="1"/>
  <c r="AR5993" i="1"/>
  <c r="AR5994" i="1"/>
  <c r="AR5995" i="1"/>
  <c r="AR5996" i="1"/>
  <c r="AR5997" i="1"/>
  <c r="AR5998" i="1"/>
  <c r="AR5999" i="1"/>
  <c r="AR6000" i="1"/>
  <c r="AR6001" i="1"/>
  <c r="AR6002" i="1"/>
  <c r="AR6003" i="1"/>
  <c r="AR6004" i="1"/>
  <c r="AR6005" i="1"/>
  <c r="AR6006" i="1"/>
  <c r="AR6007" i="1"/>
  <c r="AR6008" i="1"/>
  <c r="AR6009" i="1"/>
  <c r="AR6010" i="1"/>
  <c r="AR6011" i="1"/>
  <c r="AR6012" i="1"/>
  <c r="AR6013" i="1"/>
  <c r="AR6014" i="1"/>
  <c r="AR6015" i="1"/>
  <c r="AR6016" i="1"/>
  <c r="AR6017" i="1"/>
  <c r="AR6018" i="1"/>
  <c r="AR6019" i="1"/>
  <c r="AR6020" i="1"/>
  <c r="AR6021" i="1"/>
  <c r="AR6022" i="1"/>
  <c r="AR6023" i="1"/>
  <c r="AR6024" i="1"/>
  <c r="AR6025" i="1"/>
  <c r="AR6026" i="1"/>
  <c r="AR6027" i="1"/>
  <c r="AR6028" i="1"/>
  <c r="AR6029" i="1"/>
  <c r="AR6030" i="1"/>
  <c r="AR6031" i="1"/>
  <c r="AR6032" i="1"/>
  <c r="AR6033" i="1"/>
  <c r="AR6034" i="1"/>
  <c r="AR6035" i="1"/>
  <c r="AR6036" i="1"/>
  <c r="AR6037" i="1"/>
  <c r="AR6038" i="1"/>
  <c r="AR6039" i="1"/>
  <c r="AR6040" i="1"/>
  <c r="AR6041" i="1"/>
  <c r="AR6042" i="1"/>
  <c r="AR6043" i="1"/>
  <c r="AR6044" i="1"/>
  <c r="AR6045" i="1"/>
  <c r="AR6046" i="1"/>
  <c r="AR6047" i="1"/>
  <c r="AR6048" i="1"/>
  <c r="AR6049" i="1"/>
  <c r="AR6050" i="1"/>
  <c r="AR6051" i="1"/>
  <c r="AR6052" i="1"/>
  <c r="AR6053" i="1"/>
  <c r="AR6054" i="1"/>
  <c r="AR6055" i="1"/>
  <c r="AR6056" i="1"/>
  <c r="AR6057" i="1"/>
  <c r="AR6058" i="1"/>
  <c r="AR6059" i="1"/>
  <c r="AR6060" i="1"/>
  <c r="AR6061" i="1"/>
  <c r="AR6062" i="1"/>
  <c r="AR6063" i="1"/>
  <c r="AR6064" i="1"/>
  <c r="AR6065" i="1"/>
  <c r="AR6066" i="1"/>
  <c r="AR6067" i="1"/>
  <c r="AR6068" i="1"/>
  <c r="AR6069" i="1"/>
  <c r="AR6070" i="1"/>
  <c r="AR6071" i="1"/>
  <c r="AR6072" i="1"/>
  <c r="AR6073" i="1"/>
  <c r="AR6074" i="1"/>
  <c r="AR6075" i="1"/>
  <c r="AR6076" i="1"/>
  <c r="AR6077" i="1"/>
  <c r="AR6078" i="1"/>
  <c r="AR6079" i="1"/>
  <c r="AR6080" i="1"/>
  <c r="AR6081" i="1"/>
  <c r="AR6082" i="1"/>
  <c r="AR6083" i="1"/>
  <c r="AR6084" i="1"/>
  <c r="AR6085" i="1"/>
  <c r="AR6086" i="1"/>
  <c r="AR6087" i="1"/>
  <c r="AR6088" i="1"/>
  <c r="AR6089" i="1"/>
  <c r="AR6090" i="1"/>
  <c r="AR6091" i="1"/>
  <c r="AR6092" i="1"/>
  <c r="AR6093" i="1"/>
  <c r="AR6094" i="1"/>
  <c r="AR6095" i="1"/>
  <c r="AR6096" i="1"/>
  <c r="AR6097" i="1"/>
  <c r="AR6098" i="1"/>
  <c r="AR6099" i="1"/>
  <c r="AR6100" i="1"/>
  <c r="AR6101" i="1"/>
  <c r="AR6102" i="1"/>
  <c r="AR6103" i="1"/>
  <c r="AR6104" i="1"/>
  <c r="AR6105" i="1"/>
  <c r="AR6106" i="1"/>
  <c r="AR6107" i="1"/>
  <c r="AR6108" i="1"/>
  <c r="AR6109" i="1"/>
  <c r="AR6110" i="1"/>
  <c r="AR6111" i="1"/>
  <c r="AR6112" i="1"/>
  <c r="AR6113" i="1"/>
  <c r="AR6114" i="1"/>
  <c r="AR6115" i="1"/>
  <c r="AR6116" i="1"/>
  <c r="AR6117" i="1"/>
  <c r="AR6118" i="1"/>
  <c r="AR6119" i="1"/>
  <c r="AR6120" i="1"/>
  <c r="AR6121" i="1"/>
  <c r="AR6122" i="1"/>
  <c r="AR6123" i="1"/>
  <c r="AR6124" i="1"/>
  <c r="AR6125" i="1"/>
  <c r="AR6126" i="1"/>
  <c r="AR6127" i="1"/>
  <c r="AR6128" i="1"/>
  <c r="AR6129" i="1"/>
  <c r="AR6130" i="1"/>
  <c r="AR6131" i="1"/>
  <c r="AR6132" i="1"/>
  <c r="AR6133" i="1"/>
  <c r="AR6134" i="1"/>
  <c r="AR6135" i="1"/>
  <c r="AR6136" i="1"/>
  <c r="AR6137" i="1"/>
  <c r="AR6138" i="1"/>
  <c r="AR6139" i="1"/>
  <c r="AR6140" i="1"/>
  <c r="AR6141" i="1"/>
  <c r="AR6142" i="1"/>
  <c r="AR6143" i="1"/>
  <c r="AR6144" i="1"/>
  <c r="AR6145" i="1"/>
  <c r="AR6146" i="1"/>
  <c r="AR6147" i="1"/>
  <c r="AR6148" i="1"/>
  <c r="AR6149" i="1"/>
  <c r="AR6150" i="1"/>
  <c r="AR6151" i="1"/>
  <c r="AR6152" i="1"/>
  <c r="AR6153" i="1"/>
  <c r="AR6154" i="1"/>
  <c r="AR6155" i="1"/>
  <c r="AR6156" i="1"/>
  <c r="AR6157" i="1"/>
  <c r="AR6158" i="1"/>
  <c r="AR6159" i="1"/>
  <c r="AR6160" i="1"/>
  <c r="AR6161" i="1"/>
  <c r="AR6162" i="1"/>
  <c r="AR6163" i="1"/>
  <c r="AR6164" i="1"/>
  <c r="AR6165" i="1"/>
  <c r="AR6166" i="1"/>
  <c r="AR6167" i="1"/>
  <c r="AR6168" i="1"/>
  <c r="AR6169" i="1"/>
  <c r="AR6170" i="1"/>
  <c r="AR6171" i="1"/>
  <c r="AR6172" i="1"/>
  <c r="AR6173" i="1"/>
  <c r="AR6174" i="1"/>
  <c r="AR6175" i="1"/>
  <c r="AR6176" i="1"/>
  <c r="AR6177" i="1"/>
  <c r="AR6178" i="1"/>
  <c r="AR6179" i="1"/>
  <c r="AR6180" i="1"/>
  <c r="AR6181" i="1"/>
  <c r="AR6182" i="1"/>
  <c r="AR6183" i="1"/>
  <c r="AR6184" i="1"/>
  <c r="AR6185" i="1"/>
  <c r="AR6186" i="1"/>
  <c r="AR6187" i="1"/>
  <c r="AR6188" i="1"/>
  <c r="AR6189" i="1"/>
  <c r="AR6190" i="1"/>
  <c r="AR6191" i="1"/>
  <c r="AR6192" i="1"/>
  <c r="AR6193" i="1"/>
  <c r="AR6194" i="1"/>
  <c r="AR6195" i="1"/>
  <c r="AR6196" i="1"/>
  <c r="AR6197" i="1"/>
  <c r="AR6198" i="1"/>
  <c r="AR6199" i="1"/>
  <c r="AR6200" i="1"/>
  <c r="AR6201" i="1"/>
  <c r="AR6202" i="1"/>
  <c r="AR6203" i="1"/>
  <c r="AR6204" i="1"/>
  <c r="AR6205" i="1"/>
  <c r="AR6206" i="1"/>
  <c r="AR6207" i="1"/>
  <c r="AR6208" i="1"/>
  <c r="AR6209" i="1"/>
  <c r="AR6210" i="1"/>
  <c r="AR6211" i="1"/>
  <c r="AR6212" i="1"/>
  <c r="AR6213" i="1"/>
  <c r="AR6214" i="1"/>
  <c r="AR6215" i="1"/>
  <c r="AR6216" i="1"/>
  <c r="AR6217" i="1"/>
  <c r="AR6218" i="1"/>
  <c r="AR6219" i="1"/>
  <c r="AR6220" i="1"/>
  <c r="AR6221" i="1"/>
  <c r="AR6222" i="1"/>
  <c r="AR6223" i="1"/>
  <c r="AR6224" i="1"/>
  <c r="AR6225" i="1"/>
  <c r="AR6226" i="1"/>
  <c r="AR6227" i="1"/>
  <c r="AR6228" i="1"/>
  <c r="AR6229" i="1"/>
  <c r="AR6230" i="1"/>
  <c r="AR6231" i="1"/>
  <c r="AR6232" i="1"/>
  <c r="AR6233" i="1"/>
  <c r="AR6234" i="1"/>
  <c r="AR6235" i="1"/>
  <c r="AR6236" i="1"/>
  <c r="AR6237" i="1"/>
  <c r="AR6238" i="1"/>
  <c r="AR6239" i="1"/>
  <c r="AR6240" i="1"/>
  <c r="AR6241" i="1"/>
  <c r="AR6242" i="1"/>
  <c r="AR6243" i="1"/>
  <c r="AR6244" i="1"/>
  <c r="AR6245" i="1"/>
  <c r="AR6246" i="1"/>
  <c r="AR6247" i="1"/>
  <c r="AR6248" i="1"/>
  <c r="AR6249" i="1"/>
  <c r="AR6250" i="1"/>
  <c r="AR6251" i="1"/>
  <c r="AR6252" i="1"/>
  <c r="AR6253" i="1"/>
  <c r="AR6254" i="1"/>
  <c r="AR6255" i="1"/>
  <c r="AR6256" i="1"/>
  <c r="AR6257" i="1"/>
  <c r="AR6258" i="1"/>
  <c r="AR6259" i="1"/>
  <c r="AR6260" i="1"/>
  <c r="AR6261" i="1"/>
  <c r="AR6262" i="1"/>
  <c r="AR6263" i="1"/>
  <c r="AR6264" i="1"/>
  <c r="AR6265" i="1"/>
  <c r="AR6266" i="1"/>
  <c r="AR6267" i="1"/>
  <c r="AR6268" i="1"/>
  <c r="AR6269" i="1"/>
  <c r="AR6270" i="1"/>
  <c r="AR6271" i="1"/>
  <c r="AR6272" i="1"/>
  <c r="AR6273" i="1"/>
  <c r="AR6274" i="1"/>
  <c r="AR6275" i="1"/>
  <c r="AR6276" i="1"/>
  <c r="AR6277" i="1"/>
  <c r="AR6278" i="1"/>
  <c r="AR6279" i="1"/>
  <c r="AR6280" i="1"/>
  <c r="AR6281" i="1"/>
  <c r="AR6282" i="1"/>
  <c r="AR6283" i="1"/>
  <c r="AR6284" i="1"/>
  <c r="AR6285" i="1"/>
  <c r="AR6286" i="1"/>
  <c r="AR6287" i="1"/>
  <c r="AR6288" i="1"/>
  <c r="AR6289" i="1"/>
  <c r="AR6290" i="1"/>
  <c r="AR6291" i="1"/>
  <c r="AR6292" i="1"/>
  <c r="AR6293" i="1"/>
  <c r="AR6294" i="1"/>
  <c r="AR6295" i="1"/>
  <c r="AR6296" i="1"/>
  <c r="AR6297" i="1"/>
  <c r="AR6298" i="1"/>
  <c r="AR6299" i="1"/>
  <c r="AR6300" i="1"/>
  <c r="AR6301" i="1"/>
  <c r="AR6302" i="1"/>
  <c r="AR6303" i="1"/>
  <c r="AR6304" i="1"/>
  <c r="AR6305" i="1"/>
  <c r="AR6306" i="1"/>
  <c r="AR6307" i="1"/>
  <c r="AR6308" i="1"/>
  <c r="AR6309" i="1"/>
  <c r="AR6310" i="1"/>
  <c r="AR6311" i="1"/>
  <c r="AR6312" i="1"/>
  <c r="AR6313" i="1"/>
  <c r="AR6314" i="1"/>
  <c r="AR6315" i="1"/>
  <c r="AR6316" i="1"/>
  <c r="AR6317" i="1"/>
  <c r="AR6318" i="1"/>
  <c r="AR6319" i="1"/>
  <c r="AR6320" i="1"/>
  <c r="AR6321" i="1"/>
  <c r="AR6322" i="1"/>
  <c r="AR6323" i="1"/>
  <c r="AR6324" i="1"/>
  <c r="AR6325" i="1"/>
  <c r="AR6326" i="1"/>
  <c r="AR6327" i="1"/>
  <c r="AR6328" i="1"/>
  <c r="AR6329" i="1"/>
  <c r="AR6330" i="1"/>
  <c r="AR6331" i="1"/>
  <c r="AR6332" i="1"/>
  <c r="AR6333" i="1"/>
  <c r="AR6334" i="1"/>
  <c r="AR6335" i="1"/>
  <c r="AR6336" i="1"/>
  <c r="AR6337" i="1"/>
  <c r="AR6338" i="1"/>
  <c r="AR6339" i="1"/>
  <c r="AR6340" i="1"/>
  <c r="AR6341" i="1"/>
  <c r="AR6342" i="1"/>
  <c r="AR6343" i="1"/>
  <c r="AR6344" i="1"/>
  <c r="AR6345" i="1"/>
  <c r="AR6346" i="1"/>
  <c r="AR6347" i="1"/>
  <c r="AR6348" i="1"/>
  <c r="AR6349" i="1"/>
  <c r="AR6350" i="1"/>
  <c r="AR6351" i="1"/>
  <c r="AR6352" i="1"/>
  <c r="AR6353" i="1"/>
  <c r="AR6354" i="1"/>
  <c r="AR6355" i="1"/>
  <c r="AR6356" i="1"/>
  <c r="AR6357" i="1"/>
  <c r="AR6358" i="1"/>
  <c r="AR6359" i="1"/>
  <c r="AR6360" i="1"/>
  <c r="AR6361" i="1"/>
  <c r="AR6362" i="1"/>
  <c r="AR6363" i="1"/>
  <c r="AR6364" i="1"/>
  <c r="AR6365" i="1"/>
  <c r="AR6366" i="1"/>
  <c r="AR6367" i="1"/>
  <c r="AR6368" i="1"/>
  <c r="AR6369" i="1"/>
  <c r="AR6370" i="1"/>
  <c r="AR6371" i="1"/>
  <c r="AR6372" i="1"/>
  <c r="AR6373" i="1"/>
  <c r="AR6374" i="1"/>
  <c r="AR6375" i="1"/>
  <c r="AR6376" i="1"/>
  <c r="AR6377" i="1"/>
  <c r="AR6378" i="1"/>
  <c r="AR6379" i="1"/>
  <c r="AR6380" i="1"/>
  <c r="AR6381" i="1"/>
  <c r="AR6382" i="1"/>
  <c r="AR6383" i="1"/>
  <c r="AR6384" i="1"/>
  <c r="AR6385" i="1"/>
  <c r="AR6386" i="1"/>
  <c r="AR6387" i="1"/>
  <c r="AR6388" i="1"/>
  <c r="AR6389" i="1"/>
  <c r="AR6390" i="1"/>
  <c r="AR6391" i="1"/>
  <c r="AR6392" i="1"/>
  <c r="AR6393" i="1"/>
  <c r="AR6394" i="1"/>
  <c r="AR6395" i="1"/>
  <c r="AR6396" i="1"/>
  <c r="AR6397" i="1"/>
  <c r="AR6398" i="1"/>
  <c r="AR6399" i="1"/>
  <c r="AR6400" i="1"/>
  <c r="AR6401" i="1"/>
  <c r="AR6402" i="1"/>
  <c r="AR6403" i="1"/>
  <c r="AR6404" i="1"/>
  <c r="AR6405" i="1"/>
  <c r="AR6406" i="1"/>
  <c r="AR6407" i="1"/>
  <c r="AR6408" i="1"/>
  <c r="AR6409" i="1"/>
  <c r="AR6410" i="1"/>
  <c r="AR6411" i="1"/>
  <c r="AR6412" i="1"/>
  <c r="AR6413" i="1"/>
  <c r="AR6414" i="1"/>
  <c r="AR6415" i="1"/>
  <c r="AR6416" i="1"/>
  <c r="AR6417" i="1"/>
  <c r="AR6418" i="1"/>
  <c r="AR6419" i="1"/>
  <c r="AR6420" i="1"/>
  <c r="AR6421" i="1"/>
  <c r="AR6422" i="1"/>
  <c r="AR6423" i="1"/>
  <c r="AR6424" i="1"/>
  <c r="AR6425" i="1"/>
  <c r="AR6426" i="1"/>
  <c r="AR6427" i="1"/>
  <c r="AR6428" i="1"/>
  <c r="AR6429" i="1"/>
  <c r="AR6430" i="1"/>
  <c r="AR6431" i="1"/>
  <c r="AR6432" i="1"/>
  <c r="AR6433" i="1"/>
  <c r="AR6434" i="1"/>
  <c r="AR6435" i="1"/>
  <c r="AR6436" i="1"/>
  <c r="AR6437" i="1"/>
  <c r="AR6438" i="1"/>
  <c r="AR6439" i="1"/>
  <c r="AR6440" i="1"/>
  <c r="AR6441" i="1"/>
  <c r="AR6442" i="1"/>
  <c r="AR6443" i="1"/>
  <c r="AR6444" i="1"/>
  <c r="AR6445" i="1"/>
  <c r="AR6446" i="1"/>
  <c r="AR6447" i="1"/>
  <c r="AR6448" i="1"/>
  <c r="AR6449" i="1"/>
  <c r="AR6450" i="1"/>
  <c r="AR6451" i="1"/>
  <c r="AR6452" i="1"/>
  <c r="AR6453" i="1"/>
  <c r="AR6454" i="1"/>
  <c r="AR6455" i="1"/>
  <c r="AR6456" i="1"/>
  <c r="AR6457" i="1"/>
  <c r="AR6458" i="1"/>
  <c r="AR6459" i="1"/>
  <c r="AR6460" i="1"/>
  <c r="AR6461" i="1"/>
  <c r="AR6462" i="1"/>
  <c r="AR6463" i="1"/>
  <c r="AR6464" i="1"/>
  <c r="AR6465" i="1"/>
  <c r="AR6466" i="1"/>
  <c r="AR6467" i="1"/>
  <c r="AR6468" i="1"/>
  <c r="AR6469" i="1"/>
  <c r="AR6470" i="1"/>
  <c r="AR6471" i="1"/>
  <c r="AR6472" i="1"/>
  <c r="AR6473" i="1"/>
  <c r="AR6474" i="1"/>
  <c r="AR6475" i="1"/>
  <c r="AR6476" i="1"/>
  <c r="AR6477" i="1"/>
  <c r="AR6478" i="1"/>
  <c r="AR6479" i="1"/>
  <c r="AR6480" i="1"/>
  <c r="AR6481" i="1"/>
  <c r="AR6482" i="1"/>
  <c r="AR6483" i="1"/>
  <c r="AR6484" i="1"/>
  <c r="AR6485" i="1"/>
  <c r="AR6486" i="1"/>
  <c r="AR6487" i="1"/>
  <c r="AR6488" i="1"/>
  <c r="AR6489" i="1"/>
  <c r="AR6490" i="1"/>
  <c r="AR6491" i="1"/>
  <c r="AR6492" i="1"/>
  <c r="AR6493" i="1"/>
  <c r="AR6494" i="1"/>
  <c r="AR6495" i="1"/>
  <c r="AR6496" i="1"/>
  <c r="AR6497" i="1"/>
  <c r="AR6498" i="1"/>
  <c r="AR6499" i="1"/>
  <c r="AR6500" i="1"/>
  <c r="AR6501" i="1"/>
  <c r="AR6502" i="1"/>
  <c r="AR6503" i="1"/>
  <c r="AR6504" i="1"/>
  <c r="AR6505" i="1"/>
  <c r="AR6506" i="1"/>
  <c r="AR6507" i="1"/>
  <c r="AR6508" i="1"/>
  <c r="AR6509" i="1"/>
  <c r="AR6510" i="1"/>
  <c r="AR6511" i="1"/>
  <c r="AR6512" i="1"/>
  <c r="AR6513" i="1"/>
  <c r="AR6514" i="1"/>
  <c r="AR6515" i="1"/>
  <c r="AR6516" i="1"/>
  <c r="AR6517" i="1"/>
  <c r="AR6518" i="1"/>
  <c r="AR6519" i="1"/>
  <c r="AR6520" i="1"/>
  <c r="AR6521" i="1"/>
  <c r="AR6522" i="1"/>
  <c r="AR6523" i="1"/>
  <c r="AR6524" i="1"/>
  <c r="AR6525" i="1"/>
  <c r="AR6526" i="1"/>
  <c r="AR6527" i="1"/>
  <c r="AR6528" i="1"/>
  <c r="AR6529" i="1"/>
  <c r="AR6530" i="1"/>
  <c r="AR6531" i="1"/>
  <c r="AR6532" i="1"/>
  <c r="AR6533" i="1"/>
  <c r="AR6534" i="1"/>
  <c r="AR6535" i="1"/>
  <c r="AR6536" i="1"/>
  <c r="AR6537" i="1"/>
  <c r="AR6538" i="1"/>
  <c r="AR6539" i="1"/>
  <c r="AR6540" i="1"/>
  <c r="AR6541" i="1"/>
  <c r="AR6542" i="1"/>
  <c r="AR6543" i="1"/>
  <c r="AR6544" i="1"/>
  <c r="AR6545" i="1"/>
  <c r="AR6546" i="1"/>
  <c r="AR6547" i="1"/>
  <c r="AR6548" i="1"/>
  <c r="AR6549" i="1"/>
  <c r="AR6550" i="1"/>
  <c r="AR6551" i="1"/>
  <c r="AR6552" i="1"/>
  <c r="AR6553" i="1"/>
  <c r="AR6554" i="1"/>
  <c r="AR6555" i="1"/>
  <c r="AR6556" i="1"/>
  <c r="AR6557" i="1"/>
  <c r="AR6558" i="1"/>
  <c r="AR6559" i="1"/>
  <c r="AR6560" i="1"/>
  <c r="AR6561" i="1"/>
  <c r="AR6562" i="1"/>
  <c r="AR6563" i="1"/>
  <c r="AR6564" i="1"/>
  <c r="AR6565" i="1"/>
  <c r="AR6566" i="1"/>
  <c r="AR6567" i="1"/>
  <c r="AR6568" i="1"/>
  <c r="AR6569" i="1"/>
  <c r="AR6570" i="1"/>
  <c r="AR6571" i="1"/>
  <c r="AR6572" i="1"/>
  <c r="AR6573" i="1"/>
  <c r="AR6574" i="1"/>
  <c r="AR6575" i="1"/>
  <c r="AR6576" i="1"/>
  <c r="AR6577" i="1"/>
  <c r="AR6578" i="1"/>
  <c r="AR6579" i="1"/>
  <c r="AR6580" i="1"/>
  <c r="AR6581" i="1"/>
  <c r="AR6582" i="1"/>
  <c r="AR6583" i="1"/>
  <c r="AR6584" i="1"/>
  <c r="AR6585" i="1"/>
  <c r="AR6586" i="1"/>
  <c r="AR6587" i="1"/>
  <c r="AR6588" i="1"/>
  <c r="AR6589" i="1"/>
  <c r="AR6590" i="1"/>
  <c r="AR6591" i="1"/>
  <c r="AR6592" i="1"/>
  <c r="AR6593" i="1"/>
  <c r="AR6594" i="1"/>
  <c r="AR6595" i="1"/>
  <c r="AR6596" i="1"/>
  <c r="AR6597" i="1"/>
  <c r="AR6598" i="1"/>
  <c r="AR6599" i="1"/>
  <c r="AR6600" i="1"/>
  <c r="AR6601" i="1"/>
  <c r="AR6602" i="1"/>
  <c r="AR6603" i="1"/>
  <c r="AR6604" i="1"/>
  <c r="AR6605" i="1"/>
  <c r="AR6606" i="1"/>
  <c r="AR6607" i="1"/>
  <c r="AR6608" i="1"/>
  <c r="AR6609" i="1"/>
  <c r="AR6610" i="1"/>
  <c r="AR6611" i="1"/>
  <c r="AR6612" i="1"/>
  <c r="AR6613" i="1"/>
  <c r="AR6614" i="1"/>
  <c r="AR6615" i="1"/>
  <c r="AR6616" i="1"/>
  <c r="AR6617" i="1"/>
  <c r="AR6618" i="1"/>
  <c r="AR6619" i="1"/>
  <c r="AR6620" i="1"/>
  <c r="AR6621" i="1"/>
  <c r="AR6622" i="1"/>
  <c r="AR6623" i="1"/>
  <c r="AR6624" i="1"/>
  <c r="AR6625" i="1"/>
  <c r="AR6626" i="1"/>
  <c r="AR6627" i="1"/>
  <c r="AR6628" i="1"/>
  <c r="AR6629" i="1"/>
  <c r="AR6630" i="1"/>
  <c r="AR6631" i="1"/>
  <c r="AR6632" i="1"/>
  <c r="AR6633" i="1"/>
  <c r="AR6634" i="1"/>
  <c r="AR6635" i="1"/>
  <c r="AR6636" i="1"/>
  <c r="AR6637" i="1"/>
  <c r="AR6638" i="1"/>
  <c r="AR6639" i="1"/>
  <c r="AR6640" i="1"/>
  <c r="AR6641" i="1"/>
  <c r="AR6642" i="1"/>
  <c r="AR6643" i="1"/>
  <c r="AR6644" i="1"/>
  <c r="AR6645" i="1"/>
  <c r="AR6646" i="1"/>
  <c r="AR6647" i="1"/>
  <c r="AR6648" i="1"/>
  <c r="AR6649" i="1"/>
  <c r="AR6650" i="1"/>
  <c r="AR6651" i="1"/>
  <c r="AR6652" i="1"/>
  <c r="AR6653" i="1"/>
  <c r="AR6654" i="1"/>
  <c r="AR6655" i="1"/>
  <c r="AR6656" i="1"/>
  <c r="AR6657" i="1"/>
  <c r="AR6658" i="1"/>
  <c r="AR6659" i="1"/>
  <c r="AR6660" i="1"/>
  <c r="AR6661" i="1"/>
  <c r="AR6662" i="1"/>
  <c r="AR6663" i="1"/>
  <c r="AR6664" i="1"/>
  <c r="AR6665" i="1"/>
  <c r="AR6666" i="1"/>
  <c r="AR6667" i="1"/>
  <c r="AR6668" i="1"/>
  <c r="AR6669" i="1"/>
  <c r="AR6670" i="1"/>
  <c r="AR6671" i="1"/>
  <c r="AR6672" i="1"/>
  <c r="AR6673" i="1"/>
  <c r="AR6674" i="1"/>
  <c r="AR6675" i="1"/>
  <c r="AR6676" i="1"/>
  <c r="AR6677" i="1"/>
  <c r="AR6678" i="1"/>
  <c r="AR6679" i="1"/>
  <c r="AR6680" i="1"/>
  <c r="AR6681" i="1"/>
  <c r="AR6682" i="1"/>
  <c r="AR6683" i="1"/>
  <c r="AR6684" i="1"/>
  <c r="AR6685" i="1"/>
  <c r="AR6686" i="1"/>
  <c r="AR6687" i="1"/>
  <c r="AR6688" i="1"/>
  <c r="AR6689" i="1"/>
  <c r="AR6690" i="1"/>
  <c r="AR6691" i="1"/>
  <c r="AR6692" i="1"/>
  <c r="AR6693" i="1"/>
  <c r="AR6694" i="1"/>
  <c r="AR6695" i="1"/>
  <c r="AR6696" i="1"/>
  <c r="AR6697" i="1"/>
  <c r="AR6698" i="1"/>
  <c r="AR6699" i="1"/>
  <c r="AR6700" i="1"/>
  <c r="AR6701" i="1"/>
  <c r="AR6702" i="1"/>
  <c r="AR6703" i="1"/>
  <c r="AR6704" i="1"/>
  <c r="AR6705" i="1"/>
  <c r="AR6706" i="1"/>
  <c r="AR6707" i="1"/>
  <c r="AR6708" i="1"/>
  <c r="AR6709" i="1"/>
  <c r="AR6710" i="1"/>
  <c r="AR6711" i="1"/>
  <c r="AR6712" i="1"/>
  <c r="AR6713" i="1"/>
  <c r="AR6714" i="1"/>
  <c r="AR6715" i="1"/>
  <c r="AR6716" i="1"/>
  <c r="AR6717" i="1"/>
  <c r="AR6718" i="1"/>
  <c r="AR6719" i="1"/>
  <c r="AR6720" i="1"/>
  <c r="AR6721" i="1"/>
  <c r="AR6722" i="1"/>
  <c r="AR6723" i="1"/>
  <c r="AR6724" i="1"/>
  <c r="AR6725" i="1"/>
  <c r="AR6726" i="1"/>
  <c r="AR6727" i="1"/>
  <c r="AR6728" i="1"/>
  <c r="AR6729" i="1"/>
  <c r="AR6730" i="1"/>
  <c r="AR6731" i="1"/>
  <c r="AR6732" i="1"/>
  <c r="AR6733" i="1"/>
  <c r="AR6734" i="1"/>
  <c r="AR6735" i="1"/>
  <c r="AR6736" i="1"/>
  <c r="AR6737" i="1"/>
  <c r="AR6738" i="1"/>
  <c r="AR6739" i="1"/>
  <c r="AR6740" i="1"/>
  <c r="AR6741" i="1"/>
  <c r="AR6742" i="1"/>
  <c r="AR6743" i="1"/>
  <c r="AR6744" i="1"/>
  <c r="AR6745" i="1"/>
  <c r="AR6746" i="1"/>
  <c r="AR6747" i="1"/>
  <c r="AR6748" i="1"/>
  <c r="AR6749" i="1"/>
  <c r="AR6750" i="1"/>
  <c r="AR6751" i="1"/>
  <c r="AR6752" i="1"/>
  <c r="AR6753" i="1"/>
  <c r="AR6754" i="1"/>
  <c r="AR6755" i="1"/>
  <c r="AR6756" i="1"/>
  <c r="AR6757" i="1"/>
  <c r="AR6758" i="1"/>
  <c r="AR6759" i="1"/>
  <c r="AR6760" i="1"/>
  <c r="AR6761" i="1"/>
  <c r="AR6762" i="1"/>
  <c r="AR6763" i="1"/>
  <c r="AR6764" i="1"/>
  <c r="AR6765" i="1"/>
  <c r="AR6766" i="1"/>
  <c r="AR6767" i="1"/>
  <c r="AR6768" i="1"/>
  <c r="AR6769" i="1"/>
  <c r="AR6770" i="1"/>
  <c r="AR6771" i="1"/>
  <c r="AR6772" i="1"/>
  <c r="AR6773" i="1"/>
  <c r="AR6774" i="1"/>
  <c r="AR6775" i="1"/>
  <c r="AR6776" i="1"/>
  <c r="AR6777" i="1"/>
  <c r="AR6778" i="1"/>
  <c r="AR6779" i="1"/>
  <c r="AR6780" i="1"/>
  <c r="AR6781" i="1"/>
  <c r="AR6782" i="1"/>
  <c r="AR6783" i="1"/>
  <c r="AR6784" i="1"/>
  <c r="AR6785" i="1"/>
  <c r="AR6786" i="1"/>
  <c r="AR6787" i="1"/>
  <c r="AR6788" i="1"/>
  <c r="AR6789" i="1"/>
  <c r="AR6790" i="1"/>
  <c r="AR6791" i="1"/>
  <c r="AR6792" i="1"/>
  <c r="AR6793" i="1"/>
  <c r="AR6794" i="1"/>
  <c r="AR6795" i="1"/>
  <c r="AR6796" i="1"/>
  <c r="AR6797" i="1"/>
  <c r="AR6798" i="1"/>
  <c r="AR6799" i="1"/>
  <c r="AR6800" i="1"/>
  <c r="AR6801" i="1"/>
  <c r="AR6802" i="1"/>
  <c r="AR6803" i="1"/>
  <c r="AR6804" i="1"/>
  <c r="AR6805" i="1"/>
  <c r="AR6806" i="1"/>
  <c r="AR6807" i="1"/>
  <c r="AR6808" i="1"/>
  <c r="AR6809" i="1"/>
  <c r="AR6810" i="1"/>
  <c r="AR6811" i="1"/>
  <c r="AR6812" i="1"/>
  <c r="AR6813" i="1"/>
  <c r="AR6814" i="1"/>
  <c r="AR6815" i="1"/>
  <c r="AR6816" i="1"/>
  <c r="AR6817" i="1"/>
  <c r="AR6818" i="1"/>
  <c r="AR6819" i="1"/>
  <c r="AR6820" i="1"/>
  <c r="AR6821" i="1"/>
  <c r="AR6822" i="1"/>
  <c r="AR6823" i="1"/>
  <c r="AR6824" i="1"/>
  <c r="AR6825" i="1"/>
  <c r="AR6826" i="1"/>
  <c r="AR6827" i="1"/>
  <c r="AR6828" i="1"/>
  <c r="AR6829" i="1"/>
  <c r="AR6830" i="1"/>
  <c r="AR6831" i="1"/>
  <c r="AR6832" i="1"/>
  <c r="AR6833" i="1"/>
  <c r="AR6834" i="1"/>
  <c r="AR6835" i="1"/>
  <c r="AR6836" i="1"/>
  <c r="AR6837" i="1"/>
  <c r="AR6838" i="1"/>
  <c r="AR6839" i="1"/>
  <c r="AR6840" i="1"/>
  <c r="AR6841" i="1"/>
  <c r="AR6842" i="1"/>
  <c r="AR6843" i="1"/>
  <c r="AR6844" i="1"/>
  <c r="AR6845" i="1"/>
  <c r="AR6846" i="1"/>
  <c r="AR6847" i="1"/>
  <c r="AR6848" i="1"/>
  <c r="AR6849" i="1"/>
  <c r="AR6850" i="1"/>
  <c r="AR6851" i="1"/>
  <c r="AR6852" i="1"/>
  <c r="AR6853" i="1"/>
  <c r="AR6854" i="1"/>
  <c r="AR6855" i="1"/>
  <c r="AR6856" i="1"/>
  <c r="AR6857" i="1"/>
  <c r="AR6858" i="1"/>
  <c r="AR6859" i="1"/>
  <c r="AR6860" i="1"/>
  <c r="AR6861" i="1"/>
  <c r="AR6862" i="1"/>
  <c r="AR6863" i="1"/>
  <c r="AR6864" i="1"/>
  <c r="AR6865" i="1"/>
  <c r="AR6866" i="1"/>
  <c r="AR6867" i="1"/>
  <c r="AR6868" i="1"/>
  <c r="AR6869" i="1"/>
  <c r="AR6870" i="1"/>
  <c r="AR6871" i="1"/>
  <c r="AR6872" i="1"/>
  <c r="AR6873" i="1"/>
  <c r="AR6874" i="1"/>
  <c r="AR6875" i="1"/>
  <c r="AR6876" i="1"/>
  <c r="AR6877" i="1"/>
  <c r="AR6878" i="1"/>
  <c r="AR6879" i="1"/>
  <c r="AR6880" i="1"/>
  <c r="AR6881" i="1"/>
  <c r="AR6882" i="1"/>
  <c r="AR6883" i="1"/>
  <c r="AR6884" i="1"/>
  <c r="AR6885" i="1"/>
  <c r="AR6886" i="1"/>
  <c r="AR6887" i="1"/>
  <c r="AR6888" i="1"/>
  <c r="AR6889" i="1"/>
  <c r="AR6890" i="1"/>
  <c r="AR6891" i="1"/>
  <c r="AR6892" i="1"/>
  <c r="AR6893" i="1"/>
  <c r="AR6894" i="1"/>
  <c r="AR6895" i="1"/>
  <c r="AR6896" i="1"/>
  <c r="AR6897" i="1"/>
  <c r="AR6898" i="1"/>
  <c r="AR6899" i="1"/>
  <c r="AR6900" i="1"/>
  <c r="AR6901" i="1"/>
  <c r="AR6902" i="1"/>
  <c r="AR6903" i="1"/>
  <c r="AR6904" i="1"/>
  <c r="AR6905" i="1"/>
  <c r="AR6906" i="1"/>
  <c r="AR6907" i="1"/>
  <c r="AR6908" i="1"/>
  <c r="AR6909" i="1"/>
  <c r="AR6910" i="1"/>
  <c r="AR6911" i="1"/>
  <c r="AR6912" i="1"/>
  <c r="AR6913" i="1"/>
  <c r="AR6914" i="1"/>
  <c r="AR6915" i="1"/>
  <c r="AR6916" i="1"/>
  <c r="AR6917" i="1"/>
  <c r="AR6918" i="1"/>
  <c r="AR6919" i="1"/>
  <c r="AR6920" i="1"/>
  <c r="AR6921" i="1"/>
  <c r="AR6922" i="1"/>
  <c r="AR6923" i="1"/>
  <c r="AR6924" i="1"/>
  <c r="AR6925" i="1"/>
  <c r="AR6926" i="1"/>
  <c r="AR6927" i="1"/>
  <c r="AR6928" i="1"/>
  <c r="AR6929" i="1"/>
  <c r="AR6930" i="1"/>
  <c r="AR6931" i="1"/>
  <c r="AR6932" i="1"/>
  <c r="AR6933" i="1"/>
  <c r="AR6934" i="1"/>
  <c r="AR6935" i="1"/>
  <c r="AR6936" i="1"/>
  <c r="AR6937" i="1"/>
  <c r="AR6938" i="1"/>
  <c r="AR6939" i="1"/>
  <c r="AR6940" i="1"/>
  <c r="AR6941" i="1"/>
  <c r="AR6942" i="1"/>
  <c r="AR6943" i="1"/>
  <c r="AR6944" i="1"/>
  <c r="AR6945" i="1"/>
  <c r="AR6946" i="1"/>
  <c r="AR6947" i="1"/>
  <c r="AR6948" i="1"/>
  <c r="AR6949" i="1"/>
  <c r="AR6950" i="1"/>
  <c r="AR6951" i="1"/>
  <c r="AR6952" i="1"/>
  <c r="AR6953" i="1"/>
  <c r="AR6954" i="1"/>
  <c r="AR6955" i="1"/>
  <c r="AR6956" i="1"/>
  <c r="AR6957" i="1"/>
  <c r="AR6958" i="1"/>
  <c r="AR6959" i="1"/>
  <c r="AR6960" i="1"/>
  <c r="AR6961" i="1"/>
  <c r="AR6962" i="1"/>
  <c r="AR6963" i="1"/>
  <c r="AR6964" i="1"/>
  <c r="AR6965" i="1"/>
  <c r="AR6966" i="1"/>
  <c r="AR6967" i="1"/>
  <c r="AR6968" i="1"/>
  <c r="AR6969" i="1"/>
  <c r="AR6970" i="1"/>
  <c r="AR6971" i="1"/>
  <c r="AR6972" i="1"/>
  <c r="AR6973" i="1"/>
  <c r="AR6974" i="1"/>
  <c r="AR6975" i="1"/>
  <c r="AR6976" i="1"/>
  <c r="AR6977" i="1"/>
  <c r="AR6978" i="1"/>
  <c r="AR6979" i="1"/>
  <c r="AR6980" i="1"/>
  <c r="AR6981" i="1"/>
  <c r="AR6982" i="1"/>
  <c r="AR6983" i="1"/>
  <c r="AR6984" i="1"/>
  <c r="AR6985" i="1"/>
  <c r="AR6986" i="1"/>
  <c r="AR6987" i="1"/>
  <c r="AR6988" i="1"/>
  <c r="AR6989" i="1"/>
  <c r="AR6990" i="1"/>
  <c r="AR6991" i="1"/>
  <c r="AR6992" i="1"/>
  <c r="AR6993" i="1"/>
  <c r="AR6994" i="1"/>
  <c r="AR6995" i="1"/>
  <c r="AR6996" i="1"/>
  <c r="AR6997" i="1"/>
  <c r="AR6998" i="1"/>
  <c r="AR6999" i="1"/>
  <c r="AR7000" i="1"/>
  <c r="AR7001" i="1"/>
  <c r="AR7002" i="1"/>
  <c r="AR7003" i="1"/>
  <c r="AR7004" i="1"/>
  <c r="AR7005" i="1"/>
  <c r="AR7006" i="1"/>
  <c r="AR7007" i="1"/>
  <c r="AR7008" i="1"/>
  <c r="AR7009" i="1"/>
  <c r="AR7010" i="1"/>
  <c r="AR7011" i="1"/>
  <c r="AR7012" i="1"/>
  <c r="AR7013" i="1"/>
  <c r="AR7014" i="1"/>
  <c r="AR7015" i="1"/>
  <c r="AR7016" i="1"/>
  <c r="AR7017" i="1"/>
  <c r="AR7018" i="1"/>
  <c r="AR7019" i="1"/>
  <c r="AR7020" i="1"/>
  <c r="AR7021" i="1"/>
  <c r="AR7022" i="1"/>
  <c r="AR7023" i="1"/>
  <c r="AR7024" i="1"/>
  <c r="AR7025" i="1"/>
  <c r="AR7026" i="1"/>
  <c r="AR7027" i="1"/>
  <c r="AR7028" i="1"/>
  <c r="AR7029" i="1"/>
  <c r="AR7030" i="1"/>
  <c r="AR7031" i="1"/>
  <c r="AR7032" i="1"/>
  <c r="AR7033" i="1"/>
  <c r="AR7034" i="1"/>
  <c r="AR7035" i="1"/>
  <c r="AR7036" i="1"/>
  <c r="AR7037" i="1"/>
  <c r="AR7038" i="1"/>
  <c r="AR7039" i="1"/>
  <c r="AR7040" i="1"/>
  <c r="AR7041" i="1"/>
  <c r="AR7042" i="1"/>
  <c r="AR7043" i="1"/>
  <c r="AR7044" i="1"/>
  <c r="AR7045" i="1"/>
  <c r="AR7046" i="1"/>
  <c r="AR7047" i="1"/>
  <c r="AR7048" i="1"/>
  <c r="AR7049" i="1"/>
  <c r="AR7050" i="1"/>
  <c r="AR7051" i="1"/>
  <c r="AR7052" i="1"/>
  <c r="AR7053" i="1"/>
  <c r="AR7054" i="1"/>
  <c r="AR7055" i="1"/>
  <c r="AR7056" i="1"/>
  <c r="AR7057" i="1"/>
  <c r="AR7058" i="1"/>
  <c r="AR7059" i="1"/>
  <c r="AR7060" i="1"/>
  <c r="AR7061" i="1"/>
  <c r="AR7062" i="1"/>
  <c r="AR7063" i="1"/>
  <c r="AR7064" i="1"/>
  <c r="AR7065" i="1"/>
  <c r="AR7066" i="1"/>
  <c r="AR7067" i="1"/>
  <c r="AR7068" i="1"/>
  <c r="AR7069" i="1"/>
  <c r="AR7070" i="1"/>
  <c r="AR7071" i="1"/>
  <c r="AR7072" i="1"/>
  <c r="AR7073" i="1"/>
  <c r="AR7074" i="1"/>
  <c r="AR7075" i="1"/>
  <c r="AR7076" i="1"/>
  <c r="AR7077" i="1"/>
  <c r="AR7078" i="1"/>
  <c r="AR7079" i="1"/>
  <c r="AR7080" i="1"/>
  <c r="AR7081" i="1"/>
  <c r="AR7082" i="1"/>
  <c r="AR7083" i="1"/>
  <c r="AR7084" i="1"/>
  <c r="AR7085" i="1"/>
  <c r="AR7086" i="1"/>
  <c r="AR7087" i="1"/>
  <c r="AR7088" i="1"/>
  <c r="AR7089" i="1"/>
  <c r="AR7090" i="1"/>
  <c r="AR7091" i="1"/>
  <c r="AR7092" i="1"/>
  <c r="AR7093" i="1"/>
  <c r="AR7094" i="1"/>
  <c r="AR7095" i="1"/>
  <c r="AR7096" i="1"/>
  <c r="AR7097" i="1"/>
  <c r="AR7098" i="1"/>
  <c r="AR7099" i="1"/>
  <c r="AR7100" i="1"/>
  <c r="AR7101" i="1"/>
  <c r="AR7102" i="1"/>
  <c r="AR7103" i="1"/>
  <c r="AR7104" i="1"/>
  <c r="AR7105" i="1"/>
  <c r="AR7106" i="1"/>
  <c r="AR7107" i="1"/>
  <c r="AR7108" i="1"/>
  <c r="AR7109" i="1"/>
  <c r="AR7110" i="1"/>
  <c r="AR7111" i="1"/>
  <c r="AR7112" i="1"/>
  <c r="AR7113" i="1"/>
  <c r="AR7114" i="1"/>
  <c r="AR7115" i="1"/>
  <c r="AR7116" i="1"/>
  <c r="AR7117" i="1"/>
  <c r="AR7118" i="1"/>
  <c r="AR7119" i="1"/>
  <c r="AR7120" i="1"/>
  <c r="AR7121" i="1"/>
  <c r="AR7122" i="1"/>
  <c r="AR7123" i="1"/>
  <c r="AR7124" i="1"/>
  <c r="AR7125" i="1"/>
  <c r="AR7126" i="1"/>
  <c r="AR7127" i="1"/>
  <c r="AR7128" i="1"/>
  <c r="AR7129" i="1"/>
  <c r="AR7130" i="1"/>
  <c r="AR7131" i="1"/>
  <c r="AR7132" i="1"/>
  <c r="AR7133" i="1"/>
  <c r="AR7134" i="1"/>
  <c r="AR7135" i="1"/>
  <c r="AR7136" i="1"/>
  <c r="AR7137" i="1"/>
  <c r="AR7138" i="1"/>
  <c r="AR7139" i="1"/>
  <c r="AR7140" i="1"/>
  <c r="AR7141" i="1"/>
  <c r="AR7142" i="1"/>
  <c r="AR7143" i="1"/>
  <c r="AR7144" i="1"/>
  <c r="AR7145" i="1"/>
  <c r="AR7146" i="1"/>
  <c r="AR7147" i="1"/>
  <c r="AR7148" i="1"/>
  <c r="AR7149" i="1"/>
  <c r="AR7150" i="1"/>
  <c r="AR7151" i="1"/>
  <c r="AR7152" i="1"/>
  <c r="AR7153" i="1"/>
  <c r="AR7154" i="1"/>
  <c r="AR7155" i="1"/>
  <c r="AR7156" i="1"/>
  <c r="AR7157" i="1"/>
  <c r="AR7158" i="1"/>
  <c r="AR7159" i="1"/>
  <c r="AR7160" i="1"/>
  <c r="AR7161" i="1"/>
  <c r="AR7162" i="1"/>
  <c r="AR7163" i="1"/>
  <c r="AR7164" i="1"/>
  <c r="AR7165" i="1"/>
  <c r="AR7166" i="1"/>
  <c r="AR7167" i="1"/>
  <c r="AR7168" i="1"/>
  <c r="AR7169" i="1"/>
  <c r="AR7170" i="1"/>
  <c r="AR7171" i="1"/>
  <c r="AR7172" i="1"/>
  <c r="AR7173" i="1"/>
  <c r="AR7174" i="1"/>
  <c r="AR7175" i="1"/>
  <c r="AR7176" i="1"/>
  <c r="AR7177" i="1"/>
  <c r="AR7178" i="1"/>
  <c r="AR7179" i="1"/>
  <c r="AR7180" i="1"/>
  <c r="AR7181" i="1"/>
  <c r="AR7182" i="1"/>
  <c r="AR7183" i="1"/>
  <c r="AR7184" i="1"/>
  <c r="AR7185" i="1"/>
  <c r="AR7186" i="1"/>
  <c r="AR7187" i="1"/>
  <c r="AR7188" i="1"/>
  <c r="AR7189" i="1"/>
  <c r="AR7190" i="1"/>
  <c r="AR7191" i="1"/>
  <c r="AR7192" i="1"/>
  <c r="AR7193" i="1"/>
  <c r="AR7194" i="1"/>
  <c r="AR7195" i="1"/>
  <c r="AR7196" i="1"/>
  <c r="AR7197" i="1"/>
  <c r="AR7198" i="1"/>
  <c r="AR7199" i="1"/>
  <c r="AR7200" i="1"/>
  <c r="AR7201" i="1"/>
  <c r="AR7202" i="1"/>
  <c r="AR7203" i="1"/>
  <c r="AR7204" i="1"/>
  <c r="AR7205" i="1"/>
  <c r="AR7206" i="1"/>
  <c r="AR7207" i="1"/>
  <c r="AR7208" i="1"/>
  <c r="AR7209" i="1"/>
  <c r="AR7210" i="1"/>
  <c r="AR7211" i="1"/>
  <c r="AR7212" i="1"/>
  <c r="AR7213" i="1"/>
  <c r="AR7214" i="1"/>
  <c r="AR7215" i="1"/>
  <c r="AR7216" i="1"/>
  <c r="AR7217" i="1"/>
  <c r="AR7218" i="1"/>
  <c r="AR7219" i="1"/>
  <c r="AR7220" i="1"/>
  <c r="AR7221" i="1"/>
  <c r="AR7222" i="1"/>
  <c r="AR7223" i="1"/>
  <c r="AR7224" i="1"/>
  <c r="AR7225" i="1"/>
  <c r="AR7226" i="1"/>
  <c r="AR7227" i="1"/>
  <c r="AR7228" i="1"/>
  <c r="AR7229" i="1"/>
  <c r="AR7230" i="1"/>
  <c r="AR7231" i="1"/>
  <c r="AR7232" i="1"/>
  <c r="AR7233" i="1"/>
  <c r="AR7234" i="1"/>
  <c r="AR7235" i="1"/>
  <c r="AR7236" i="1"/>
  <c r="AR7237" i="1"/>
  <c r="AR7238" i="1"/>
  <c r="AR7239" i="1"/>
  <c r="AR7240" i="1"/>
  <c r="AR7241" i="1"/>
  <c r="AR7242" i="1"/>
  <c r="AR7243" i="1"/>
  <c r="AR7244" i="1"/>
  <c r="AR7245" i="1"/>
  <c r="AR7246" i="1"/>
  <c r="AR7247" i="1"/>
  <c r="AR7248" i="1"/>
  <c r="AR7249" i="1"/>
  <c r="AR7250" i="1"/>
  <c r="AR7251" i="1"/>
  <c r="AR7252" i="1"/>
  <c r="AR7253" i="1"/>
  <c r="AR7254" i="1"/>
  <c r="AR7255" i="1"/>
  <c r="AR7256" i="1"/>
  <c r="AR7257" i="1"/>
  <c r="AR7258" i="1"/>
  <c r="AR7259" i="1"/>
  <c r="AR7260" i="1"/>
  <c r="AR7261" i="1"/>
  <c r="AR7262" i="1"/>
  <c r="AR7263" i="1"/>
  <c r="AR7264" i="1"/>
  <c r="AR7265" i="1"/>
  <c r="AR7266" i="1"/>
  <c r="AR7267" i="1"/>
  <c r="AR7268" i="1"/>
  <c r="AR7269" i="1"/>
  <c r="AR7270" i="1"/>
  <c r="AR7271" i="1"/>
  <c r="AR7272" i="1"/>
  <c r="AR7273" i="1"/>
  <c r="AR7274" i="1"/>
  <c r="AR7275" i="1"/>
  <c r="AR7276" i="1"/>
  <c r="AR7277" i="1"/>
  <c r="AR7278" i="1"/>
  <c r="AR7279" i="1"/>
  <c r="AR7280" i="1"/>
  <c r="AR7281" i="1"/>
  <c r="AR7282" i="1"/>
  <c r="AR7283" i="1"/>
  <c r="AR7284" i="1"/>
  <c r="AR7285" i="1"/>
  <c r="AR7286" i="1"/>
  <c r="AR7287" i="1"/>
  <c r="AR7288" i="1"/>
  <c r="AR7289" i="1"/>
  <c r="AR7290" i="1"/>
  <c r="AR7291" i="1"/>
  <c r="AR7292" i="1"/>
  <c r="AR7293" i="1"/>
  <c r="AR7294" i="1"/>
  <c r="AR7295" i="1"/>
  <c r="AR7296" i="1"/>
  <c r="AR7297" i="1"/>
  <c r="AR7298" i="1"/>
  <c r="AR7299" i="1"/>
  <c r="AR7300" i="1"/>
  <c r="AR7301" i="1"/>
  <c r="AR7302" i="1"/>
  <c r="AR7303" i="1"/>
  <c r="AR7304" i="1"/>
  <c r="AR7305" i="1"/>
  <c r="AR7306" i="1"/>
  <c r="AR7307" i="1"/>
  <c r="AR7308" i="1"/>
  <c r="AR7309" i="1"/>
  <c r="AR7310" i="1"/>
  <c r="AR7311" i="1"/>
  <c r="AR7312" i="1"/>
  <c r="AR7313" i="1"/>
  <c r="AR7314" i="1"/>
  <c r="AR7315" i="1"/>
  <c r="AR7316" i="1"/>
  <c r="AR7317" i="1"/>
  <c r="AR7318" i="1"/>
  <c r="AR7319" i="1"/>
  <c r="AR7320" i="1"/>
  <c r="AR7321" i="1"/>
  <c r="AR7322" i="1"/>
  <c r="AR7323" i="1"/>
  <c r="AR7324" i="1"/>
  <c r="AR7325" i="1"/>
  <c r="AR7326" i="1"/>
  <c r="AR7327" i="1"/>
  <c r="AR7328" i="1"/>
  <c r="AR7329" i="1"/>
  <c r="AR7330" i="1"/>
  <c r="AR7331" i="1"/>
  <c r="AR7332" i="1"/>
  <c r="AR7333" i="1"/>
  <c r="AR7334" i="1"/>
  <c r="AR7335" i="1"/>
  <c r="AR7336" i="1"/>
  <c r="AR7337" i="1"/>
  <c r="AR7338" i="1"/>
  <c r="AR7339" i="1"/>
  <c r="AR7340" i="1"/>
  <c r="AR7341" i="1"/>
  <c r="AR7342" i="1"/>
  <c r="AR7343" i="1"/>
  <c r="AR7344" i="1"/>
  <c r="AR7345" i="1"/>
  <c r="AR7346" i="1"/>
  <c r="AR7347" i="1"/>
  <c r="AR7348" i="1"/>
  <c r="AR7349" i="1"/>
  <c r="AR7350" i="1"/>
  <c r="AR7351" i="1"/>
  <c r="AR7352" i="1"/>
  <c r="AR7353" i="1"/>
  <c r="AR7354" i="1"/>
  <c r="AR7355" i="1"/>
  <c r="AR7356" i="1"/>
  <c r="AR7357" i="1"/>
  <c r="AR7358" i="1"/>
  <c r="AR7359" i="1"/>
  <c r="AR7360" i="1"/>
  <c r="AR7361" i="1"/>
  <c r="AR7362" i="1"/>
  <c r="AR7363" i="1"/>
  <c r="AR7364" i="1"/>
  <c r="AR7365" i="1"/>
  <c r="AR7366" i="1"/>
  <c r="AR7367" i="1"/>
  <c r="AR7368" i="1"/>
  <c r="AR7369" i="1"/>
  <c r="AR7370" i="1"/>
  <c r="AR7371" i="1"/>
  <c r="AR7372" i="1"/>
  <c r="AR7373" i="1"/>
  <c r="AR7374" i="1"/>
  <c r="AR7375" i="1"/>
  <c r="AR7376" i="1"/>
  <c r="AR7377" i="1"/>
  <c r="AR7378" i="1"/>
  <c r="AR7379" i="1"/>
  <c r="AR7380" i="1"/>
  <c r="AR7381" i="1"/>
  <c r="AR7382" i="1"/>
  <c r="AR7383" i="1"/>
  <c r="AR7384" i="1"/>
  <c r="AR7385" i="1"/>
  <c r="AR7386" i="1"/>
  <c r="AR7387" i="1"/>
  <c r="AR7388" i="1"/>
  <c r="AR7389" i="1"/>
  <c r="AR7390" i="1"/>
  <c r="AR7391" i="1"/>
  <c r="AR7392" i="1"/>
  <c r="AR7393" i="1"/>
  <c r="AR7394" i="1"/>
  <c r="AR7395" i="1"/>
  <c r="AR7396" i="1"/>
  <c r="AR7397" i="1"/>
  <c r="AR7398" i="1"/>
  <c r="AR7399" i="1"/>
  <c r="AR7400" i="1"/>
  <c r="AR7401" i="1"/>
  <c r="AR7402" i="1"/>
  <c r="AR7403" i="1"/>
  <c r="AR7404" i="1"/>
  <c r="AR7405" i="1"/>
  <c r="AR7406" i="1"/>
  <c r="AR7407" i="1"/>
  <c r="AR7408" i="1"/>
  <c r="AR7409" i="1"/>
  <c r="AR7410" i="1"/>
  <c r="AR7411" i="1"/>
  <c r="AR7412" i="1"/>
  <c r="AR7413" i="1"/>
  <c r="AR7414" i="1"/>
  <c r="AR7415" i="1"/>
  <c r="AR7416" i="1"/>
  <c r="AR7417" i="1"/>
  <c r="AR7418" i="1"/>
  <c r="AR7419" i="1"/>
  <c r="AR7420" i="1"/>
  <c r="AR7421" i="1"/>
  <c r="AR7422" i="1"/>
  <c r="AR7423" i="1"/>
  <c r="AR7424" i="1"/>
  <c r="AR7425" i="1"/>
  <c r="AR7426" i="1"/>
  <c r="AR7427" i="1"/>
  <c r="AR7428" i="1"/>
  <c r="AR7429" i="1"/>
  <c r="AR7430" i="1"/>
  <c r="AR7431" i="1"/>
  <c r="AR7432" i="1"/>
  <c r="AR7433" i="1"/>
  <c r="AR7434" i="1"/>
  <c r="AR7435" i="1"/>
  <c r="AR7436" i="1"/>
  <c r="AR7437" i="1"/>
  <c r="AR7438" i="1"/>
  <c r="AR7439" i="1"/>
  <c r="AR7440" i="1"/>
  <c r="AR7441" i="1"/>
  <c r="AR7442" i="1"/>
  <c r="AR7443" i="1"/>
  <c r="AR7444" i="1"/>
  <c r="AR7445" i="1"/>
  <c r="AR7446" i="1"/>
  <c r="AR7447" i="1"/>
  <c r="AR7448" i="1"/>
  <c r="AR7449" i="1"/>
  <c r="AR7450" i="1"/>
  <c r="AR7451" i="1"/>
  <c r="AR7452" i="1"/>
  <c r="AR7453" i="1"/>
  <c r="AR7454" i="1"/>
  <c r="AR7455" i="1"/>
  <c r="AR7456" i="1"/>
  <c r="AR7457" i="1"/>
  <c r="AR7458" i="1"/>
  <c r="AR7459" i="1"/>
  <c r="AR7460" i="1"/>
  <c r="AR7461" i="1"/>
  <c r="AR7462" i="1"/>
  <c r="AR7463" i="1"/>
  <c r="AR7464" i="1"/>
  <c r="AR7465" i="1"/>
  <c r="AR7466" i="1"/>
  <c r="AR7467" i="1"/>
  <c r="AR7468" i="1"/>
  <c r="AR7469" i="1"/>
  <c r="AR7470" i="1"/>
  <c r="AR7471" i="1"/>
  <c r="AR7472" i="1"/>
  <c r="AR7473" i="1"/>
  <c r="AR7474" i="1"/>
  <c r="AR7475" i="1"/>
  <c r="AR7476" i="1"/>
  <c r="AR7477" i="1"/>
  <c r="AR7478" i="1"/>
  <c r="AR7479" i="1"/>
  <c r="AR7480" i="1"/>
  <c r="AR7481" i="1"/>
  <c r="AR7482" i="1"/>
  <c r="AR7483" i="1"/>
  <c r="AR7484" i="1"/>
  <c r="AR7485" i="1"/>
  <c r="AR7486" i="1"/>
  <c r="AR7487" i="1"/>
  <c r="AR7488" i="1"/>
  <c r="AR7489" i="1"/>
  <c r="AR7490" i="1"/>
  <c r="AR7491" i="1"/>
  <c r="AR7492" i="1"/>
  <c r="AR7493" i="1"/>
  <c r="AR7494" i="1"/>
  <c r="AR7495" i="1"/>
  <c r="AR7496" i="1"/>
  <c r="AR7497" i="1"/>
  <c r="AR7498" i="1"/>
  <c r="AR7499" i="1"/>
  <c r="AR7500" i="1"/>
  <c r="AR7501" i="1"/>
  <c r="AR7502" i="1"/>
  <c r="AR7503" i="1"/>
  <c r="AR7504" i="1"/>
  <c r="AR7505" i="1"/>
  <c r="AR7506" i="1"/>
  <c r="AR7507" i="1"/>
  <c r="AR7508" i="1"/>
  <c r="AR7509" i="1"/>
  <c r="AR7510" i="1"/>
  <c r="AR7511" i="1"/>
  <c r="AR7512" i="1"/>
  <c r="AR7513" i="1"/>
  <c r="AR7514" i="1"/>
  <c r="AR7515" i="1"/>
  <c r="AR7516" i="1"/>
  <c r="AR7517" i="1"/>
  <c r="AR7518" i="1"/>
  <c r="AR7519" i="1"/>
  <c r="AR7520" i="1"/>
  <c r="AR7521" i="1"/>
  <c r="AR7522" i="1"/>
  <c r="AR7523" i="1"/>
  <c r="AR7524" i="1"/>
  <c r="AR7525" i="1"/>
  <c r="AR7526" i="1"/>
  <c r="AR7527" i="1"/>
  <c r="AR7528" i="1"/>
  <c r="AR7529" i="1"/>
  <c r="AR7530" i="1"/>
  <c r="AR7531" i="1"/>
  <c r="AR7532" i="1"/>
  <c r="AR7533" i="1"/>
  <c r="AR7534" i="1"/>
  <c r="AR7535" i="1"/>
  <c r="AR7536" i="1"/>
  <c r="AR7537" i="1"/>
  <c r="AR7538" i="1"/>
  <c r="AR7539" i="1"/>
  <c r="AR7540" i="1"/>
  <c r="AR7541" i="1"/>
  <c r="AR7542" i="1"/>
  <c r="AR7543" i="1"/>
  <c r="AR7544" i="1"/>
  <c r="AR7545" i="1"/>
  <c r="AR7546" i="1"/>
  <c r="AR7547" i="1"/>
  <c r="AR7548" i="1"/>
  <c r="AR7549" i="1"/>
  <c r="AR7550" i="1"/>
  <c r="AR7551" i="1"/>
  <c r="AR7552" i="1"/>
  <c r="AR7553" i="1"/>
  <c r="AR7554" i="1"/>
  <c r="AR7555" i="1"/>
  <c r="AR7556" i="1"/>
  <c r="AR7557" i="1"/>
  <c r="AR7558" i="1"/>
  <c r="AR7559" i="1"/>
  <c r="AR7560" i="1"/>
  <c r="AR7561" i="1"/>
  <c r="AR7562" i="1"/>
  <c r="AR7563" i="1"/>
  <c r="AR7564" i="1"/>
  <c r="AR7565" i="1"/>
  <c r="AR7566" i="1"/>
  <c r="AR7567" i="1"/>
  <c r="AR7568" i="1"/>
  <c r="AR7569" i="1"/>
  <c r="AR7570" i="1"/>
  <c r="AR7571" i="1"/>
  <c r="AR7572" i="1"/>
  <c r="AR7573" i="1"/>
  <c r="AR7574" i="1"/>
  <c r="AR7575" i="1"/>
  <c r="AR7576" i="1"/>
  <c r="AR7577" i="1"/>
  <c r="AR7578" i="1"/>
  <c r="AR7579" i="1"/>
  <c r="AR7580" i="1"/>
  <c r="AR7581" i="1"/>
  <c r="AR7582" i="1"/>
  <c r="AR7583" i="1"/>
  <c r="AR7584" i="1"/>
  <c r="AR7585" i="1"/>
  <c r="AR7586" i="1"/>
  <c r="AR7587" i="1"/>
  <c r="AR7588" i="1"/>
  <c r="AR7589" i="1"/>
  <c r="AR7590" i="1"/>
  <c r="AR7591" i="1"/>
  <c r="AR7592" i="1"/>
  <c r="AR7593" i="1"/>
  <c r="AR7594" i="1"/>
  <c r="AR7595" i="1"/>
  <c r="AR7596" i="1"/>
  <c r="AR7597" i="1"/>
  <c r="AR7598" i="1"/>
  <c r="AR7599" i="1"/>
  <c r="AR7600" i="1"/>
  <c r="AR7601" i="1"/>
  <c r="AR7602" i="1"/>
  <c r="AR7603" i="1"/>
  <c r="AR7604" i="1"/>
  <c r="AR7605" i="1"/>
  <c r="AR7606" i="1"/>
  <c r="AR7607" i="1"/>
  <c r="AR7608" i="1"/>
  <c r="AR7609" i="1"/>
  <c r="AR7610" i="1"/>
  <c r="AR7611" i="1"/>
  <c r="AR7612" i="1"/>
  <c r="AR7613" i="1"/>
  <c r="AR7614" i="1"/>
  <c r="AR7615" i="1"/>
  <c r="AR7616" i="1"/>
  <c r="AR7617" i="1"/>
  <c r="AR7618" i="1"/>
  <c r="AR7619" i="1"/>
  <c r="AR7620" i="1"/>
  <c r="AR7621" i="1"/>
  <c r="AR7622" i="1"/>
  <c r="AR7623" i="1"/>
  <c r="AR7624" i="1"/>
  <c r="AR7625" i="1"/>
  <c r="AR7626" i="1"/>
  <c r="AR7627" i="1"/>
  <c r="AR7628" i="1"/>
  <c r="AR7629" i="1"/>
  <c r="AR7630" i="1"/>
  <c r="AR7631" i="1"/>
  <c r="AR7632" i="1"/>
  <c r="AR7633" i="1"/>
  <c r="AR7634" i="1"/>
  <c r="AR7635" i="1"/>
  <c r="AR7636" i="1"/>
  <c r="AR7637" i="1"/>
  <c r="AR7638" i="1"/>
  <c r="AR7639" i="1"/>
  <c r="AR7640" i="1"/>
  <c r="AR7641" i="1"/>
  <c r="AR7642" i="1"/>
  <c r="AR7643" i="1"/>
  <c r="AR7644" i="1"/>
  <c r="AR7645" i="1"/>
  <c r="AR7646" i="1"/>
  <c r="AR7647" i="1"/>
  <c r="AR7648" i="1"/>
  <c r="AR7649" i="1"/>
  <c r="AR7650" i="1"/>
  <c r="AR7651" i="1"/>
  <c r="AR7652" i="1"/>
  <c r="AR7653" i="1"/>
  <c r="AR7654" i="1"/>
  <c r="AR7655" i="1"/>
  <c r="AR7656" i="1"/>
  <c r="AR7657" i="1"/>
  <c r="AR7658" i="1"/>
  <c r="AR7659" i="1"/>
  <c r="AR7660" i="1"/>
  <c r="AR7661" i="1"/>
  <c r="AR7662" i="1"/>
  <c r="AR7663" i="1"/>
  <c r="AR7664" i="1"/>
  <c r="AR7665" i="1"/>
  <c r="AR7666" i="1"/>
  <c r="AR7667" i="1"/>
  <c r="AR7668" i="1"/>
  <c r="AR7669" i="1"/>
  <c r="AR7670" i="1"/>
  <c r="AR7671" i="1"/>
  <c r="AR7672" i="1"/>
  <c r="AR7673" i="1"/>
  <c r="AR7674" i="1"/>
  <c r="AR7675" i="1"/>
  <c r="AR7676" i="1"/>
  <c r="AR7677" i="1"/>
  <c r="AR7678" i="1"/>
  <c r="AR7679" i="1"/>
  <c r="AR7680" i="1"/>
  <c r="AR7681" i="1"/>
  <c r="AR7682" i="1"/>
  <c r="AR7683" i="1"/>
  <c r="AR7684" i="1"/>
  <c r="AR7685" i="1"/>
  <c r="AR7686" i="1"/>
  <c r="AR7687" i="1"/>
  <c r="AR7688" i="1"/>
  <c r="AR7689" i="1"/>
  <c r="AR7690" i="1"/>
  <c r="AR7691" i="1"/>
  <c r="AR7692" i="1"/>
  <c r="AR7693" i="1"/>
  <c r="AR7694" i="1"/>
  <c r="AR7695" i="1"/>
  <c r="AR7696" i="1"/>
  <c r="AR7697" i="1"/>
  <c r="AR7698" i="1"/>
  <c r="AR7699" i="1"/>
  <c r="AR7700" i="1"/>
  <c r="AR7701" i="1"/>
  <c r="AR7702" i="1"/>
  <c r="AR7703" i="1"/>
  <c r="AR7704" i="1"/>
  <c r="AR7705" i="1"/>
  <c r="AR7706" i="1"/>
  <c r="AR7707" i="1"/>
  <c r="AR7708" i="1"/>
  <c r="AR7709" i="1"/>
  <c r="AR7710" i="1"/>
  <c r="AR7711" i="1"/>
  <c r="AR7712" i="1"/>
  <c r="AR7713" i="1"/>
  <c r="AR7714" i="1"/>
  <c r="AR7715" i="1"/>
  <c r="AR7716" i="1"/>
  <c r="AR7717" i="1"/>
  <c r="AR7718" i="1"/>
  <c r="AR7719" i="1"/>
  <c r="AR7720" i="1"/>
  <c r="AR7721" i="1"/>
  <c r="AR7722" i="1"/>
  <c r="AR7723" i="1"/>
  <c r="AR7724" i="1"/>
  <c r="AR7725" i="1"/>
  <c r="AR7726" i="1"/>
  <c r="AR7727" i="1"/>
  <c r="AR7728" i="1"/>
  <c r="AR7729" i="1"/>
  <c r="AR7730" i="1"/>
  <c r="AR7731" i="1"/>
  <c r="AR7732" i="1"/>
  <c r="AR7733" i="1"/>
  <c r="AR7734" i="1"/>
  <c r="AR7735" i="1"/>
  <c r="AR7736" i="1"/>
  <c r="AR7737" i="1"/>
  <c r="AR7738" i="1"/>
  <c r="AR7739" i="1"/>
  <c r="AR7740" i="1"/>
  <c r="AR7741" i="1"/>
  <c r="AR7742" i="1"/>
  <c r="AR7743" i="1"/>
  <c r="AR7744" i="1"/>
  <c r="AR7745" i="1"/>
  <c r="AR7746" i="1"/>
  <c r="AR7747" i="1"/>
  <c r="AR7748" i="1"/>
  <c r="AR7749" i="1"/>
  <c r="AR7750" i="1"/>
  <c r="AR7751" i="1"/>
  <c r="AR7752" i="1"/>
  <c r="AR7753" i="1"/>
  <c r="AR7754" i="1"/>
  <c r="AR7755" i="1"/>
  <c r="AR7756" i="1"/>
  <c r="AR7757" i="1"/>
  <c r="AR7758" i="1"/>
  <c r="AR7759" i="1"/>
  <c r="AR7760" i="1"/>
  <c r="AR7761" i="1"/>
  <c r="AR7762" i="1"/>
  <c r="AR7763" i="1"/>
  <c r="AR7764" i="1"/>
  <c r="AR7765" i="1"/>
  <c r="AR7766" i="1"/>
  <c r="AR7767" i="1"/>
  <c r="AR7768" i="1"/>
  <c r="AR7769" i="1"/>
  <c r="AR7770" i="1"/>
  <c r="AR7771" i="1"/>
  <c r="AR7772" i="1"/>
  <c r="AR7773" i="1"/>
  <c r="AR7774" i="1"/>
  <c r="AR7775" i="1"/>
  <c r="AR7776" i="1"/>
  <c r="AR7777" i="1"/>
  <c r="AR7778" i="1"/>
  <c r="AR7779" i="1"/>
  <c r="AR7780" i="1"/>
  <c r="AR7781" i="1"/>
  <c r="AR7782" i="1"/>
  <c r="AR7783" i="1"/>
  <c r="AR7784" i="1"/>
  <c r="AR7785" i="1"/>
  <c r="AR7786" i="1"/>
  <c r="AR7787" i="1"/>
  <c r="AR7788" i="1"/>
  <c r="AR7789" i="1"/>
  <c r="AR7790" i="1"/>
  <c r="AR7791" i="1"/>
  <c r="AR7792" i="1"/>
  <c r="AR7793" i="1"/>
  <c r="AR7794" i="1"/>
  <c r="AR7795" i="1"/>
  <c r="AR7796" i="1"/>
  <c r="AR7797" i="1"/>
  <c r="AR7798" i="1"/>
  <c r="AR7799" i="1"/>
  <c r="AR7800" i="1"/>
  <c r="AR7801" i="1"/>
  <c r="AR7802" i="1"/>
  <c r="AR7803" i="1"/>
  <c r="AR7804" i="1"/>
  <c r="AR7805" i="1"/>
  <c r="AR7806" i="1"/>
  <c r="AR7807" i="1"/>
  <c r="AR7808" i="1"/>
  <c r="AR7809" i="1"/>
  <c r="AR7810" i="1"/>
  <c r="AR7811" i="1"/>
  <c r="AR7812" i="1"/>
  <c r="AR7813" i="1"/>
  <c r="AR7814" i="1"/>
  <c r="AR7815" i="1"/>
  <c r="AR7816" i="1"/>
  <c r="AR7817" i="1"/>
  <c r="AR7818" i="1"/>
  <c r="AR7819" i="1"/>
  <c r="AR7820" i="1"/>
  <c r="AR7821" i="1"/>
  <c r="AR7822" i="1"/>
  <c r="AR7823" i="1"/>
  <c r="AR7824" i="1"/>
  <c r="AR7825" i="1"/>
  <c r="AR7826" i="1"/>
  <c r="AR7827" i="1"/>
  <c r="AR7828" i="1"/>
  <c r="AR7829" i="1"/>
  <c r="AR7830" i="1"/>
  <c r="AR7831" i="1"/>
  <c r="AR7832" i="1"/>
  <c r="AR7833" i="1"/>
  <c r="AR7834" i="1"/>
  <c r="AR7835" i="1"/>
  <c r="AR7836" i="1"/>
  <c r="AR7837" i="1"/>
  <c r="AR7838" i="1"/>
  <c r="AR7839" i="1"/>
  <c r="AR7840" i="1"/>
  <c r="AR7841" i="1"/>
  <c r="AR7842" i="1"/>
  <c r="AR7843" i="1"/>
  <c r="AR7844" i="1"/>
  <c r="AR7845" i="1"/>
  <c r="AR7846" i="1"/>
  <c r="AR7847" i="1"/>
  <c r="AR7848" i="1"/>
  <c r="AR7849" i="1"/>
  <c r="AR7850" i="1"/>
  <c r="AR7851" i="1"/>
  <c r="AR7852" i="1"/>
  <c r="AR7853" i="1"/>
  <c r="AR7854" i="1"/>
  <c r="AR7855" i="1"/>
  <c r="AR7856" i="1"/>
  <c r="AR7857" i="1"/>
  <c r="AR7858" i="1"/>
  <c r="AR7859" i="1"/>
  <c r="AR7860" i="1"/>
  <c r="AR7861" i="1"/>
  <c r="AR7862" i="1"/>
  <c r="AR7863" i="1"/>
  <c r="AR7864" i="1"/>
  <c r="AR7865" i="1"/>
  <c r="AR7866" i="1"/>
  <c r="AR7867" i="1"/>
  <c r="AR7868" i="1"/>
  <c r="AR7869" i="1"/>
  <c r="AR7870" i="1"/>
  <c r="AR7871" i="1"/>
  <c r="AR7872" i="1"/>
  <c r="AR7873" i="1"/>
  <c r="AR7874" i="1"/>
  <c r="AR7875" i="1"/>
  <c r="AR7876" i="1"/>
  <c r="AR7877" i="1"/>
  <c r="AR7878" i="1"/>
  <c r="AR7879" i="1"/>
  <c r="AR7880" i="1"/>
  <c r="AR7881" i="1"/>
  <c r="AR7882" i="1"/>
  <c r="AR7883" i="1"/>
  <c r="AR7884" i="1"/>
  <c r="AR7885" i="1"/>
  <c r="AR7886" i="1"/>
  <c r="AR7887" i="1"/>
  <c r="AR7888" i="1"/>
  <c r="AR7889" i="1"/>
  <c r="AR7890" i="1"/>
  <c r="AR7891" i="1"/>
  <c r="AR7892" i="1"/>
  <c r="AR7893" i="1"/>
  <c r="AR7894" i="1"/>
  <c r="AR7895" i="1"/>
  <c r="AR7896" i="1"/>
  <c r="AR7897" i="1"/>
  <c r="AR7898" i="1"/>
  <c r="AR7899" i="1"/>
  <c r="AR7900" i="1"/>
  <c r="AR7901" i="1"/>
  <c r="AR7902" i="1"/>
  <c r="AR7903" i="1"/>
  <c r="AR7904" i="1"/>
  <c r="AR7905" i="1"/>
  <c r="AR7906" i="1"/>
  <c r="AR7907" i="1"/>
  <c r="AR7908" i="1"/>
  <c r="AR7909" i="1"/>
  <c r="AR7910" i="1"/>
  <c r="AR7911" i="1"/>
  <c r="AR7912" i="1"/>
  <c r="AR7913" i="1"/>
  <c r="AR7914" i="1"/>
  <c r="AR7915" i="1"/>
  <c r="AR7916" i="1"/>
  <c r="AR7917" i="1"/>
  <c r="AR7918" i="1"/>
  <c r="AR7919" i="1"/>
  <c r="AR7920" i="1"/>
  <c r="AR7921" i="1"/>
  <c r="AR7922" i="1"/>
  <c r="AR7923" i="1"/>
  <c r="AR7924" i="1"/>
  <c r="AR7925" i="1"/>
  <c r="AR7926" i="1"/>
  <c r="AR7927" i="1"/>
  <c r="AR7928" i="1"/>
  <c r="AR7929" i="1"/>
  <c r="AR7930" i="1"/>
  <c r="AR7931" i="1"/>
  <c r="AR7932" i="1"/>
  <c r="AR7933" i="1"/>
  <c r="AR7934" i="1"/>
  <c r="AR7935" i="1"/>
  <c r="AR7936" i="1"/>
  <c r="AR7937" i="1"/>
  <c r="AR7938" i="1"/>
  <c r="AR7939" i="1"/>
  <c r="AR7940" i="1"/>
  <c r="AR7941" i="1"/>
  <c r="AR7942" i="1"/>
  <c r="AR7943" i="1"/>
  <c r="AR7944" i="1"/>
  <c r="AR7945" i="1"/>
  <c r="AR7946" i="1"/>
  <c r="AR7947" i="1"/>
  <c r="AR7948" i="1"/>
  <c r="AR7949" i="1"/>
  <c r="AR7950" i="1"/>
  <c r="AR7951" i="1"/>
  <c r="AR7952" i="1"/>
  <c r="AR7953" i="1"/>
  <c r="AR7954" i="1"/>
  <c r="AR7955" i="1"/>
  <c r="AR7956" i="1"/>
  <c r="AR7957" i="1"/>
  <c r="AR7958" i="1"/>
  <c r="AR7959" i="1"/>
  <c r="AR7960" i="1"/>
  <c r="AR7961" i="1"/>
  <c r="AR7962" i="1"/>
  <c r="AR7963" i="1"/>
  <c r="AR7964" i="1"/>
  <c r="AR7965" i="1"/>
  <c r="AR7966" i="1"/>
  <c r="AR7967" i="1"/>
  <c r="AR7968" i="1"/>
  <c r="AR7969" i="1"/>
  <c r="AR7970" i="1"/>
  <c r="AR7971" i="1"/>
  <c r="AR7972" i="1"/>
  <c r="AR7973" i="1"/>
  <c r="AR7974" i="1"/>
  <c r="AR7975" i="1"/>
  <c r="AR7976" i="1"/>
  <c r="AR7977" i="1"/>
  <c r="AR7978" i="1"/>
  <c r="AR7979" i="1"/>
  <c r="AR7980" i="1"/>
  <c r="AR7981" i="1"/>
  <c r="AR7982" i="1"/>
  <c r="AR7983" i="1"/>
  <c r="AR7984" i="1"/>
  <c r="AR7985" i="1"/>
  <c r="AR7986" i="1"/>
  <c r="AR7987" i="1"/>
  <c r="AR7988" i="1"/>
  <c r="AR7989" i="1"/>
  <c r="AR7990" i="1"/>
  <c r="AR7991" i="1"/>
  <c r="AR7992" i="1"/>
  <c r="AR7993" i="1"/>
  <c r="AR7994" i="1"/>
  <c r="AR7995" i="1"/>
  <c r="AR7996" i="1"/>
  <c r="AR7997" i="1"/>
  <c r="AR7998" i="1"/>
  <c r="AR7999" i="1"/>
  <c r="AR8000" i="1"/>
  <c r="AR8001" i="1"/>
  <c r="AR8002" i="1"/>
  <c r="AR8003" i="1"/>
  <c r="AR8004" i="1"/>
  <c r="AR8005" i="1"/>
  <c r="AR8006" i="1"/>
  <c r="AR8007" i="1"/>
  <c r="AR8008" i="1"/>
  <c r="AR8009" i="1"/>
  <c r="AR8010" i="1"/>
  <c r="AR8011" i="1"/>
  <c r="AR8012" i="1"/>
  <c r="AR8013" i="1"/>
  <c r="AR8014" i="1"/>
  <c r="AR8015" i="1"/>
  <c r="AR8016" i="1"/>
  <c r="AR8017" i="1"/>
  <c r="AR8018" i="1"/>
  <c r="AR8019" i="1"/>
  <c r="AR8020" i="1"/>
  <c r="AR8021" i="1"/>
  <c r="AR8022" i="1"/>
  <c r="AR8023" i="1"/>
  <c r="AR8024" i="1"/>
  <c r="AR8025" i="1"/>
  <c r="AR8026" i="1"/>
  <c r="AR8027" i="1"/>
  <c r="AR8028" i="1"/>
  <c r="AR8029" i="1"/>
  <c r="AR8030" i="1"/>
  <c r="AR8031" i="1"/>
  <c r="AR8032" i="1"/>
  <c r="AR8033" i="1"/>
  <c r="AR8034" i="1"/>
  <c r="AR8035" i="1"/>
  <c r="AR8036" i="1"/>
  <c r="AR8037" i="1"/>
  <c r="AR8038" i="1"/>
  <c r="AR8039" i="1"/>
  <c r="AR8040" i="1"/>
  <c r="AR8041" i="1"/>
  <c r="AR8042" i="1"/>
  <c r="AR8043" i="1"/>
  <c r="AR8044" i="1"/>
  <c r="AR8045" i="1"/>
  <c r="AR8046" i="1"/>
  <c r="AR8047" i="1"/>
  <c r="AR8048" i="1"/>
  <c r="AR8049" i="1"/>
  <c r="AR8050" i="1"/>
  <c r="AR8051" i="1"/>
  <c r="AR8052" i="1"/>
  <c r="AR8053" i="1"/>
  <c r="AR8054" i="1"/>
  <c r="AR8055" i="1"/>
  <c r="AR8056" i="1"/>
  <c r="AR8057" i="1"/>
  <c r="AR8058" i="1"/>
  <c r="AR8059" i="1"/>
  <c r="AR8060" i="1"/>
  <c r="AR8061" i="1"/>
  <c r="AR8062" i="1"/>
  <c r="AR8063" i="1"/>
  <c r="AR8064" i="1"/>
  <c r="AR8065" i="1"/>
  <c r="AR8066" i="1"/>
  <c r="AR8067" i="1"/>
  <c r="AR8068" i="1"/>
  <c r="AR8069" i="1"/>
  <c r="AR8070" i="1"/>
  <c r="AR8071" i="1"/>
  <c r="AR8072" i="1"/>
  <c r="AR8073" i="1"/>
  <c r="AR8074" i="1"/>
  <c r="AR8075" i="1"/>
  <c r="AR8076" i="1"/>
  <c r="AR8077" i="1"/>
  <c r="AR8078" i="1"/>
  <c r="AR8079" i="1"/>
  <c r="AR8080" i="1"/>
  <c r="AR8081" i="1"/>
  <c r="AR8082" i="1"/>
  <c r="AR8083" i="1"/>
  <c r="AR8084" i="1"/>
  <c r="AR8085" i="1"/>
  <c r="AR8086" i="1"/>
  <c r="AR8087" i="1"/>
  <c r="AR8088" i="1"/>
  <c r="AR8089" i="1"/>
  <c r="AR8090" i="1"/>
  <c r="AR8091" i="1"/>
  <c r="AR8092" i="1"/>
  <c r="AR8093" i="1"/>
  <c r="AR8094" i="1"/>
  <c r="AR8095" i="1"/>
  <c r="AR8096" i="1"/>
  <c r="AR8097" i="1"/>
  <c r="AR8098" i="1"/>
  <c r="AR8099" i="1"/>
  <c r="AR8100" i="1"/>
  <c r="AR8101" i="1"/>
  <c r="AR8102" i="1"/>
  <c r="AR8103" i="1"/>
  <c r="AR8104" i="1"/>
  <c r="AR8105" i="1"/>
  <c r="AR8106" i="1"/>
  <c r="AR8107" i="1"/>
  <c r="AR8108" i="1"/>
  <c r="AR8109" i="1"/>
  <c r="AR8110" i="1"/>
  <c r="AR8111" i="1"/>
  <c r="AR8112" i="1"/>
  <c r="AR8113" i="1"/>
  <c r="AR8114" i="1"/>
  <c r="AR8115" i="1"/>
  <c r="AR8116" i="1"/>
  <c r="AR8117" i="1"/>
  <c r="AR8118" i="1"/>
  <c r="AR8119" i="1"/>
  <c r="AR8120" i="1"/>
  <c r="AR8121" i="1"/>
  <c r="AR8122" i="1"/>
  <c r="AR8123" i="1"/>
  <c r="AR8124" i="1"/>
  <c r="AR8125" i="1"/>
  <c r="AR8126" i="1"/>
  <c r="AR8127" i="1"/>
  <c r="AR8128" i="1"/>
  <c r="AR8129" i="1"/>
  <c r="AR8130" i="1"/>
  <c r="AR8131" i="1"/>
  <c r="AR8132" i="1"/>
  <c r="AR8133" i="1"/>
  <c r="AR8134" i="1"/>
  <c r="AR8135" i="1"/>
  <c r="AR8136" i="1"/>
  <c r="AR8137" i="1"/>
  <c r="AR8138" i="1"/>
  <c r="AR8139" i="1"/>
  <c r="AR8140" i="1"/>
  <c r="AR8141" i="1"/>
  <c r="AR8142" i="1"/>
  <c r="AR8143" i="1"/>
  <c r="AR8144" i="1"/>
  <c r="AR8145" i="1"/>
  <c r="AR8146" i="1"/>
  <c r="AR8147" i="1"/>
  <c r="AR8148" i="1"/>
  <c r="AR8149" i="1"/>
  <c r="AR8150" i="1"/>
  <c r="AR8151" i="1"/>
  <c r="AR8152" i="1"/>
  <c r="AR8153" i="1"/>
  <c r="AR8154" i="1"/>
  <c r="AR8155" i="1"/>
  <c r="AR8156" i="1"/>
  <c r="AR8157" i="1"/>
  <c r="AR8158" i="1"/>
  <c r="AR8159" i="1"/>
  <c r="AR8160" i="1"/>
  <c r="AR8161" i="1"/>
  <c r="AR8162" i="1"/>
  <c r="AR8163" i="1"/>
  <c r="AR8164" i="1"/>
  <c r="AR8165" i="1"/>
  <c r="AR8166" i="1"/>
  <c r="AR8167" i="1"/>
  <c r="AR8168" i="1"/>
  <c r="AR8169" i="1"/>
  <c r="AR8170" i="1"/>
  <c r="AR8171" i="1"/>
  <c r="AR8172" i="1"/>
  <c r="AR8173" i="1"/>
  <c r="AR8174" i="1"/>
  <c r="AR8175" i="1"/>
  <c r="AR8176" i="1"/>
  <c r="AR8177" i="1"/>
  <c r="AR8178" i="1"/>
  <c r="AR8179" i="1"/>
  <c r="AR8180" i="1"/>
  <c r="AR8181" i="1"/>
  <c r="AR8182" i="1"/>
  <c r="AR8183" i="1"/>
  <c r="AR8184" i="1"/>
  <c r="AR8185" i="1"/>
  <c r="AR8186" i="1"/>
  <c r="AR8187" i="1"/>
  <c r="AR8188" i="1"/>
  <c r="AR8189" i="1"/>
  <c r="AR8190" i="1"/>
  <c r="AR8191" i="1"/>
  <c r="AR8192" i="1"/>
  <c r="AR8193" i="1"/>
  <c r="AR8194" i="1"/>
  <c r="AR8195" i="1"/>
  <c r="AR8196" i="1"/>
  <c r="AR8197" i="1"/>
  <c r="AR8198" i="1"/>
  <c r="AR8199" i="1"/>
  <c r="AR8200" i="1"/>
  <c r="AR8201" i="1"/>
  <c r="AR8202" i="1"/>
  <c r="AR8203" i="1"/>
  <c r="AR8204" i="1"/>
  <c r="AR8205" i="1"/>
  <c r="AR8206" i="1"/>
  <c r="AR8207" i="1"/>
  <c r="AR8208" i="1"/>
  <c r="AR8209" i="1"/>
  <c r="AR8210" i="1"/>
  <c r="AR8211" i="1"/>
  <c r="AR8212" i="1"/>
  <c r="AR8213" i="1"/>
  <c r="AR8214" i="1"/>
  <c r="AR8215" i="1"/>
  <c r="AR8216" i="1"/>
  <c r="AR8217" i="1"/>
  <c r="AR8218" i="1"/>
  <c r="AR8219" i="1"/>
  <c r="AR8220" i="1"/>
  <c r="AR8221" i="1"/>
  <c r="AR8222" i="1"/>
  <c r="AR8223" i="1"/>
  <c r="AR8224" i="1"/>
  <c r="AR8225" i="1"/>
  <c r="AR8226" i="1"/>
  <c r="AR8227" i="1"/>
  <c r="AR8228" i="1"/>
  <c r="AR8229" i="1"/>
  <c r="AR8230" i="1"/>
  <c r="AR8231" i="1"/>
  <c r="AR8232" i="1"/>
  <c r="AR8233" i="1"/>
  <c r="AR8234" i="1"/>
  <c r="AR8235" i="1"/>
  <c r="AR8236" i="1"/>
  <c r="AR8237" i="1"/>
  <c r="AR8238" i="1"/>
  <c r="AR8239" i="1"/>
  <c r="AR8240" i="1"/>
  <c r="AR8241" i="1"/>
  <c r="AR8242" i="1"/>
  <c r="AR8243" i="1"/>
  <c r="AR8244" i="1"/>
  <c r="AR8245" i="1"/>
  <c r="AR8246" i="1"/>
  <c r="AR8247" i="1"/>
  <c r="AR8248" i="1"/>
  <c r="AR8249" i="1"/>
  <c r="AR8250" i="1"/>
  <c r="AR8251" i="1"/>
  <c r="AR8252" i="1"/>
  <c r="AR8253" i="1"/>
  <c r="AR8254" i="1"/>
  <c r="AR8255" i="1"/>
  <c r="AR8256" i="1"/>
  <c r="AR8257" i="1"/>
  <c r="AR8258" i="1"/>
  <c r="AR8259" i="1"/>
  <c r="AR8260" i="1"/>
  <c r="AR8261" i="1"/>
  <c r="AR8262" i="1"/>
  <c r="AR8263" i="1"/>
  <c r="AR8264" i="1"/>
  <c r="AR8265" i="1"/>
  <c r="AR8266" i="1"/>
  <c r="AR8267" i="1"/>
  <c r="AR8268" i="1"/>
  <c r="AR8269" i="1"/>
  <c r="AR8270" i="1"/>
  <c r="AR8271" i="1"/>
  <c r="AR8272" i="1"/>
  <c r="AR8273" i="1"/>
  <c r="AR8274" i="1"/>
  <c r="AR8275" i="1"/>
  <c r="AR8276" i="1"/>
  <c r="AR8277" i="1"/>
  <c r="AR8278" i="1"/>
  <c r="AR8279" i="1"/>
  <c r="AR8280" i="1"/>
  <c r="AR8281" i="1"/>
  <c r="AR8282" i="1"/>
  <c r="AR8283" i="1"/>
  <c r="AR8284" i="1"/>
  <c r="AR8285" i="1"/>
  <c r="AR8286" i="1"/>
  <c r="AR8287" i="1"/>
  <c r="AR8288" i="1"/>
  <c r="AR8289" i="1"/>
  <c r="AR8290" i="1"/>
  <c r="AR8291" i="1"/>
  <c r="AR8292" i="1"/>
  <c r="AR8293" i="1"/>
  <c r="AR8294" i="1"/>
  <c r="AR8295" i="1"/>
  <c r="AR8296" i="1"/>
  <c r="AR8297" i="1"/>
  <c r="AR8298" i="1"/>
  <c r="AR8299" i="1"/>
  <c r="AR8300" i="1"/>
  <c r="AR8301" i="1"/>
  <c r="AR8302" i="1"/>
  <c r="AR8303" i="1"/>
  <c r="AR8304" i="1"/>
  <c r="AR8305" i="1"/>
  <c r="AR8306" i="1"/>
  <c r="AR8307" i="1"/>
  <c r="AR8308" i="1"/>
  <c r="AR8309" i="1"/>
  <c r="AR8310" i="1"/>
  <c r="AR8311" i="1"/>
  <c r="AR8312" i="1"/>
  <c r="AR8313" i="1"/>
  <c r="AR8314" i="1"/>
  <c r="AR8315" i="1"/>
  <c r="AR8316" i="1"/>
  <c r="AR8317" i="1"/>
  <c r="AR8318" i="1"/>
  <c r="AR8319" i="1"/>
  <c r="AR8320" i="1"/>
  <c r="AR8321" i="1"/>
  <c r="AR8322" i="1"/>
  <c r="AR8323" i="1"/>
  <c r="AR8324" i="1"/>
  <c r="AR8325" i="1"/>
  <c r="AR8326" i="1"/>
  <c r="AR8327" i="1"/>
  <c r="AR8328" i="1"/>
  <c r="AR8329" i="1"/>
  <c r="AR8330" i="1"/>
  <c r="AR8331" i="1"/>
  <c r="AR8332" i="1"/>
  <c r="AR8333" i="1"/>
  <c r="AR8334" i="1"/>
  <c r="AR8335" i="1"/>
  <c r="AR8336" i="1"/>
  <c r="AR8337" i="1"/>
  <c r="AR8338" i="1"/>
  <c r="AR8339" i="1"/>
  <c r="AR8340" i="1"/>
  <c r="AR8341" i="1"/>
  <c r="AR8342" i="1"/>
  <c r="AR8343" i="1"/>
  <c r="AR8344" i="1"/>
  <c r="AR8345" i="1"/>
  <c r="AR8346" i="1"/>
  <c r="AR8347" i="1"/>
  <c r="AR8348" i="1"/>
  <c r="AR8349" i="1"/>
  <c r="AR8350" i="1"/>
  <c r="AR8351" i="1"/>
  <c r="AR8352" i="1"/>
  <c r="AR8353" i="1"/>
  <c r="AR8354" i="1"/>
  <c r="AR8355" i="1"/>
  <c r="AR8356" i="1"/>
  <c r="AR8357" i="1"/>
  <c r="AR8358" i="1"/>
  <c r="AR8359" i="1"/>
  <c r="AR8360" i="1"/>
  <c r="AR8361" i="1"/>
  <c r="AR8362" i="1"/>
  <c r="AR8363" i="1"/>
  <c r="AR8364" i="1"/>
  <c r="AR8365" i="1"/>
  <c r="AR8366" i="1"/>
  <c r="AR8367" i="1"/>
  <c r="AR8368" i="1"/>
  <c r="AR8369" i="1"/>
  <c r="AR8370" i="1"/>
  <c r="AR8371" i="1"/>
  <c r="AR8372" i="1"/>
  <c r="AR8373" i="1"/>
  <c r="AR8374" i="1"/>
  <c r="AR8375" i="1"/>
  <c r="AR8376" i="1"/>
  <c r="AR8377" i="1"/>
  <c r="AR8378" i="1"/>
  <c r="AR8379" i="1"/>
  <c r="AR8380" i="1"/>
  <c r="AR8381" i="1"/>
  <c r="AR8382" i="1"/>
  <c r="AR8383" i="1"/>
  <c r="AR8384" i="1"/>
  <c r="AR8385" i="1"/>
  <c r="AR8386" i="1"/>
  <c r="AR8387" i="1"/>
  <c r="AR8388" i="1"/>
  <c r="AR8389" i="1"/>
  <c r="AR8390" i="1"/>
  <c r="AR8391" i="1"/>
  <c r="AR8392" i="1"/>
  <c r="AR8393" i="1"/>
  <c r="AR8394" i="1"/>
  <c r="AR8395" i="1"/>
  <c r="AR8396" i="1"/>
  <c r="AR8397" i="1"/>
  <c r="AR8398" i="1"/>
  <c r="AR8399" i="1"/>
  <c r="AR8400" i="1"/>
  <c r="AR8401" i="1"/>
  <c r="AR8402" i="1"/>
  <c r="AR8403" i="1"/>
  <c r="AR8404" i="1"/>
  <c r="AR8405" i="1"/>
  <c r="AR8406" i="1"/>
  <c r="AR8407" i="1"/>
  <c r="AR8408" i="1"/>
  <c r="AR8409" i="1"/>
  <c r="AR8410" i="1"/>
  <c r="AR8411" i="1"/>
  <c r="AR8412" i="1"/>
  <c r="AR8413" i="1"/>
  <c r="AR8414" i="1"/>
  <c r="AR8415" i="1"/>
  <c r="AR8416" i="1"/>
  <c r="AR8417" i="1"/>
  <c r="AR8418" i="1"/>
  <c r="AR8419" i="1"/>
  <c r="AR8420" i="1"/>
  <c r="AR8421" i="1"/>
  <c r="AR8422" i="1"/>
  <c r="AR8423" i="1"/>
  <c r="AR8424" i="1"/>
  <c r="AR8425" i="1"/>
  <c r="AR8426" i="1"/>
  <c r="AR8427" i="1"/>
  <c r="AR8428" i="1"/>
  <c r="AR8429" i="1"/>
  <c r="AR8430" i="1"/>
  <c r="AR8431" i="1"/>
  <c r="AR8432" i="1"/>
  <c r="AR8433" i="1"/>
  <c r="AR8434" i="1"/>
  <c r="AR8435" i="1"/>
  <c r="AR8436" i="1"/>
  <c r="AR8437" i="1"/>
  <c r="AR8438" i="1"/>
  <c r="AR8439" i="1"/>
  <c r="AR8440" i="1"/>
  <c r="AR8441" i="1"/>
  <c r="AR8442" i="1"/>
  <c r="AR8443" i="1"/>
  <c r="AR8444" i="1"/>
  <c r="AR8445" i="1"/>
  <c r="AR8446" i="1"/>
  <c r="AR8447" i="1"/>
  <c r="AR8448" i="1"/>
  <c r="AR8449" i="1"/>
  <c r="AR8450" i="1"/>
  <c r="AR8451" i="1"/>
  <c r="AR8452" i="1"/>
  <c r="AR8453" i="1"/>
  <c r="AR8454" i="1"/>
  <c r="AR8455" i="1"/>
  <c r="AR8456" i="1"/>
  <c r="AR8457" i="1"/>
  <c r="AR8458" i="1"/>
  <c r="AR8459" i="1"/>
  <c r="AR8460" i="1"/>
  <c r="AR8461" i="1"/>
  <c r="AR8462" i="1"/>
  <c r="AR8463" i="1"/>
  <c r="AR8464" i="1"/>
  <c r="AR8465" i="1"/>
  <c r="AR8466" i="1"/>
  <c r="AR8467" i="1"/>
  <c r="AR8468" i="1"/>
  <c r="AR8469" i="1"/>
  <c r="AR8470" i="1"/>
  <c r="AR8471" i="1"/>
  <c r="AR8472" i="1"/>
  <c r="AR8473" i="1"/>
  <c r="AR8474" i="1"/>
  <c r="AR8475" i="1"/>
  <c r="AR8476" i="1"/>
  <c r="AR8477" i="1"/>
  <c r="AR8478" i="1"/>
  <c r="AR8479" i="1"/>
  <c r="AR8480" i="1"/>
  <c r="AR8481" i="1"/>
  <c r="AR8482" i="1"/>
  <c r="AR8483" i="1"/>
  <c r="AR8484" i="1"/>
  <c r="AR8485" i="1"/>
  <c r="AR8486" i="1"/>
  <c r="AR8487" i="1"/>
  <c r="AR8488" i="1"/>
  <c r="AR8489" i="1"/>
  <c r="AR8490" i="1"/>
  <c r="AR8491" i="1"/>
  <c r="AR8492" i="1"/>
  <c r="AR8493" i="1"/>
  <c r="AR8494" i="1"/>
  <c r="AR8495" i="1"/>
  <c r="AR8496" i="1"/>
  <c r="AR8497" i="1"/>
  <c r="AR8498" i="1"/>
  <c r="AR8499" i="1"/>
  <c r="AR8500" i="1"/>
  <c r="AR8501" i="1"/>
  <c r="AR8502" i="1"/>
  <c r="AR8503" i="1"/>
  <c r="AR8504" i="1"/>
  <c r="AR8505" i="1"/>
  <c r="AR8506" i="1"/>
  <c r="AR8507" i="1"/>
  <c r="AR8508" i="1"/>
  <c r="AR8509" i="1"/>
  <c r="AR8510" i="1"/>
  <c r="AR8511" i="1"/>
  <c r="AR8512" i="1"/>
  <c r="AR8513" i="1"/>
  <c r="AR8514" i="1"/>
  <c r="AR8515" i="1"/>
  <c r="AR8516" i="1"/>
  <c r="AR8517" i="1"/>
  <c r="AR8518" i="1"/>
  <c r="AR8519" i="1"/>
  <c r="AR8520" i="1"/>
  <c r="AR8521" i="1"/>
  <c r="AR8522" i="1"/>
  <c r="AR8523" i="1"/>
  <c r="AR8524" i="1"/>
  <c r="AR8525" i="1"/>
  <c r="AR8526" i="1"/>
  <c r="AR8527" i="1"/>
  <c r="AR8528" i="1"/>
  <c r="AR8529" i="1"/>
  <c r="AR8530" i="1"/>
  <c r="AR8531" i="1"/>
  <c r="AR8532" i="1"/>
  <c r="AR8533" i="1"/>
  <c r="AR8534" i="1"/>
  <c r="AR8535" i="1"/>
  <c r="AR8536" i="1"/>
  <c r="AR8537" i="1"/>
  <c r="AR8538" i="1"/>
  <c r="AR8539" i="1"/>
  <c r="AR8540" i="1"/>
  <c r="AR8541" i="1"/>
  <c r="AR8542" i="1"/>
  <c r="AR8543" i="1"/>
  <c r="AR8544" i="1"/>
  <c r="AR8545" i="1"/>
  <c r="AR8546" i="1"/>
  <c r="AR8547" i="1"/>
  <c r="AR8548" i="1"/>
  <c r="AR8549" i="1"/>
  <c r="AR8550" i="1"/>
  <c r="AR8551" i="1"/>
  <c r="AR8552" i="1"/>
  <c r="AR8553" i="1"/>
  <c r="AR8554" i="1"/>
  <c r="AR8555" i="1"/>
  <c r="AR8556" i="1"/>
  <c r="AR8557" i="1"/>
  <c r="AR8558" i="1"/>
  <c r="AR8559" i="1"/>
  <c r="AR8560" i="1"/>
  <c r="AR8561" i="1"/>
  <c r="AR8562" i="1"/>
  <c r="AR8563" i="1"/>
  <c r="AR8564" i="1"/>
  <c r="AR8565" i="1"/>
  <c r="AR8566" i="1"/>
  <c r="AR8567" i="1"/>
  <c r="AR8568" i="1"/>
  <c r="AR8569" i="1"/>
  <c r="AR8570" i="1"/>
  <c r="AR8571" i="1"/>
  <c r="AR8572" i="1"/>
  <c r="AR8573" i="1"/>
  <c r="AR8574" i="1"/>
  <c r="AR8575" i="1"/>
  <c r="AR8576" i="1"/>
  <c r="AR8577" i="1"/>
  <c r="AR8578" i="1"/>
  <c r="AR8579" i="1"/>
  <c r="AR8580" i="1"/>
  <c r="AR8581" i="1"/>
  <c r="AR8582" i="1"/>
  <c r="AR8583" i="1"/>
  <c r="AR8584" i="1"/>
  <c r="AR8585" i="1"/>
  <c r="AR8586" i="1"/>
  <c r="AR8587" i="1"/>
  <c r="AR8588" i="1"/>
  <c r="AR8589" i="1"/>
  <c r="AR8590" i="1"/>
  <c r="AR8591" i="1"/>
  <c r="AR8592" i="1"/>
  <c r="AR8593" i="1"/>
  <c r="AR8594" i="1"/>
  <c r="AR8595" i="1"/>
  <c r="AR8596" i="1"/>
  <c r="AR8597" i="1"/>
  <c r="AR8598" i="1"/>
  <c r="AR8599" i="1"/>
  <c r="AR8600" i="1"/>
  <c r="AR8601" i="1"/>
  <c r="AR8602" i="1"/>
  <c r="AR8603" i="1"/>
  <c r="AR8604" i="1"/>
  <c r="AR8605" i="1"/>
  <c r="AR8606" i="1"/>
  <c r="AR8607" i="1"/>
  <c r="AR8608" i="1"/>
  <c r="AR8609" i="1"/>
  <c r="AR8610" i="1"/>
  <c r="AR8611" i="1"/>
  <c r="AR8612" i="1"/>
  <c r="AR8613" i="1"/>
  <c r="AR8614" i="1"/>
  <c r="AR8615" i="1"/>
  <c r="AR8616" i="1"/>
  <c r="AR8617" i="1"/>
  <c r="AR8618" i="1"/>
  <c r="AR8619" i="1"/>
  <c r="AR8620" i="1"/>
  <c r="AR8621" i="1"/>
  <c r="AR8622" i="1"/>
  <c r="AR8623" i="1"/>
  <c r="AR8624" i="1"/>
  <c r="AR8625" i="1"/>
  <c r="AR8626" i="1"/>
  <c r="AR8627" i="1"/>
  <c r="AR8628" i="1"/>
  <c r="AR8629" i="1"/>
  <c r="AR8630" i="1"/>
  <c r="AR8631" i="1"/>
  <c r="AR8632" i="1"/>
  <c r="AR8633" i="1"/>
  <c r="AR8634" i="1"/>
  <c r="AR8635" i="1"/>
  <c r="AR8636" i="1"/>
  <c r="AR8637" i="1"/>
  <c r="AR8638" i="1"/>
  <c r="AR8639" i="1"/>
  <c r="AR8640" i="1"/>
  <c r="AR8641" i="1"/>
  <c r="AR8642" i="1"/>
  <c r="AR8643" i="1"/>
  <c r="AR8644" i="1"/>
  <c r="AR8645" i="1"/>
  <c r="AR8646" i="1"/>
  <c r="AR8647" i="1"/>
  <c r="AR8648" i="1"/>
  <c r="AR8649" i="1"/>
  <c r="AR8650" i="1"/>
  <c r="AR8651" i="1"/>
  <c r="AR8652" i="1"/>
  <c r="AR8653" i="1"/>
  <c r="AR8654" i="1"/>
  <c r="AR8655" i="1"/>
  <c r="AR8656" i="1"/>
  <c r="AR8657" i="1"/>
  <c r="AR8658" i="1"/>
  <c r="AR8659" i="1"/>
  <c r="AR8660" i="1"/>
  <c r="AR8661" i="1"/>
  <c r="AR8662" i="1"/>
  <c r="AR8663" i="1"/>
  <c r="AR8664" i="1"/>
  <c r="AR8665" i="1"/>
  <c r="AR8666" i="1"/>
  <c r="AR8667" i="1"/>
  <c r="AR8668" i="1"/>
  <c r="AR8669" i="1"/>
  <c r="AR8670" i="1"/>
  <c r="AR8671" i="1"/>
  <c r="AR8672" i="1"/>
  <c r="AR8673" i="1"/>
  <c r="AR8674" i="1"/>
  <c r="AR8675" i="1"/>
  <c r="AR8676" i="1"/>
  <c r="AR8677" i="1"/>
  <c r="AR8678" i="1"/>
  <c r="AR8679" i="1"/>
  <c r="AR8680" i="1"/>
  <c r="AR8681" i="1"/>
  <c r="AR8682" i="1"/>
  <c r="AR8683" i="1"/>
  <c r="AR8684" i="1"/>
  <c r="AR8685" i="1"/>
  <c r="AR8686" i="1"/>
  <c r="AR8687" i="1"/>
  <c r="AR8688" i="1"/>
  <c r="AR8689" i="1"/>
  <c r="AR8690" i="1"/>
  <c r="AR8691" i="1"/>
  <c r="AR8692" i="1"/>
  <c r="AR8693" i="1"/>
  <c r="AR8694" i="1"/>
  <c r="AR8695" i="1"/>
  <c r="AR8696" i="1"/>
  <c r="AR8697" i="1"/>
  <c r="AR8698" i="1"/>
  <c r="AR8699" i="1"/>
  <c r="AR8700" i="1"/>
  <c r="AR8701" i="1"/>
  <c r="AR8702" i="1"/>
  <c r="AR8703" i="1"/>
  <c r="AR8704" i="1"/>
  <c r="AR8705" i="1"/>
  <c r="AR8706" i="1"/>
  <c r="AR8707" i="1"/>
  <c r="AR8708" i="1"/>
  <c r="AR8709" i="1"/>
  <c r="AR8710" i="1"/>
  <c r="AR8711" i="1"/>
  <c r="AR8712" i="1"/>
  <c r="AR8713" i="1"/>
  <c r="AR8714" i="1"/>
  <c r="AR8715" i="1"/>
  <c r="AR8716" i="1"/>
  <c r="AR8717" i="1"/>
  <c r="AR8718" i="1"/>
  <c r="AR8719" i="1"/>
  <c r="AR8720" i="1"/>
  <c r="AR8721" i="1"/>
  <c r="AR8722" i="1"/>
  <c r="AR8723" i="1"/>
  <c r="AR8724" i="1"/>
  <c r="AR8725" i="1"/>
  <c r="AR8726" i="1"/>
  <c r="AR8727" i="1"/>
  <c r="AR8728" i="1"/>
  <c r="AR8729" i="1"/>
  <c r="AR8730" i="1"/>
  <c r="AR8731" i="1"/>
  <c r="AR8732" i="1"/>
  <c r="AR8733" i="1"/>
  <c r="AR8734" i="1"/>
  <c r="AR8735" i="1"/>
  <c r="AR8736" i="1"/>
  <c r="AR8737" i="1"/>
  <c r="AR8738" i="1"/>
  <c r="AR8739" i="1"/>
  <c r="AR8740" i="1"/>
  <c r="AR8741" i="1"/>
  <c r="AR8742" i="1"/>
  <c r="AR8743" i="1"/>
  <c r="AR8744" i="1"/>
  <c r="AR8745" i="1"/>
  <c r="AR8746" i="1"/>
  <c r="AR8747" i="1"/>
  <c r="AR8748" i="1"/>
  <c r="AR8749" i="1"/>
  <c r="AR8750" i="1"/>
  <c r="AR8751" i="1"/>
  <c r="AR8752" i="1"/>
  <c r="AR8753" i="1"/>
  <c r="AR8754" i="1"/>
  <c r="AR8755" i="1"/>
  <c r="AR8756" i="1"/>
  <c r="AR8757" i="1"/>
  <c r="AR8758" i="1"/>
  <c r="AR8759" i="1"/>
  <c r="AR8760" i="1"/>
  <c r="AR8761" i="1"/>
  <c r="AR8762" i="1"/>
  <c r="AR8763" i="1"/>
  <c r="AR8764" i="1"/>
  <c r="AR8765" i="1"/>
  <c r="AR8766" i="1"/>
  <c r="AR8767" i="1"/>
  <c r="AR8768" i="1"/>
  <c r="AR8769" i="1"/>
  <c r="AR8770" i="1"/>
  <c r="AR8771" i="1"/>
  <c r="AR8772" i="1"/>
  <c r="AR8773" i="1"/>
  <c r="AR8774" i="1"/>
  <c r="AR8775" i="1"/>
  <c r="AR8776" i="1"/>
  <c r="AR8777" i="1"/>
  <c r="AR8778" i="1"/>
  <c r="AR8779" i="1"/>
  <c r="AR8780" i="1"/>
  <c r="AR8781" i="1"/>
  <c r="AR8782" i="1"/>
  <c r="AR8783" i="1"/>
  <c r="AR8784" i="1"/>
  <c r="AR8785" i="1"/>
  <c r="AR8786" i="1"/>
  <c r="AR8787" i="1"/>
  <c r="AR8788" i="1"/>
  <c r="AR8789" i="1"/>
  <c r="AR8790" i="1"/>
  <c r="AR8791" i="1"/>
  <c r="AR8792" i="1"/>
  <c r="AR8793" i="1"/>
  <c r="AR8794" i="1"/>
  <c r="AR8795" i="1"/>
  <c r="AR8796" i="1"/>
  <c r="AR8797" i="1"/>
  <c r="AR8798" i="1"/>
  <c r="AR8799" i="1"/>
  <c r="AR8800" i="1"/>
  <c r="AR8801" i="1"/>
  <c r="AR8802" i="1"/>
  <c r="AR8803" i="1"/>
  <c r="AR8804" i="1"/>
  <c r="AR8805" i="1"/>
  <c r="AR8806" i="1"/>
  <c r="AR8807" i="1"/>
  <c r="AR8808" i="1"/>
  <c r="AR8809" i="1"/>
  <c r="AR8810" i="1"/>
  <c r="AR8811" i="1"/>
  <c r="AR8812" i="1"/>
  <c r="AR8813" i="1"/>
  <c r="AR8814" i="1"/>
  <c r="AR8815" i="1"/>
  <c r="AR8816" i="1"/>
  <c r="AR8817" i="1"/>
  <c r="AR8818" i="1"/>
  <c r="AR8819" i="1"/>
  <c r="AR8820" i="1"/>
  <c r="AR8821" i="1"/>
  <c r="AR8822" i="1"/>
  <c r="AR8823" i="1"/>
  <c r="AR8824" i="1"/>
  <c r="AR8825" i="1"/>
  <c r="AR8826" i="1"/>
  <c r="AR8827" i="1"/>
  <c r="AR8828" i="1"/>
  <c r="AR8829" i="1"/>
  <c r="AR8830" i="1"/>
  <c r="AR8831" i="1"/>
  <c r="AR8832" i="1"/>
  <c r="AR8833" i="1"/>
  <c r="AR8834" i="1"/>
  <c r="AR8835" i="1"/>
  <c r="AR8836" i="1"/>
  <c r="AR8837" i="1"/>
  <c r="AR8838" i="1"/>
  <c r="AR8839" i="1"/>
  <c r="AR8840" i="1"/>
  <c r="AR8841" i="1"/>
  <c r="AR8842" i="1"/>
  <c r="AR8843" i="1"/>
  <c r="AR8844" i="1"/>
  <c r="AR8845" i="1"/>
  <c r="AR8846" i="1"/>
  <c r="AR8847" i="1"/>
  <c r="AR8848" i="1"/>
  <c r="AR8849" i="1"/>
  <c r="AR8850" i="1"/>
  <c r="AR8851" i="1"/>
  <c r="AR8852" i="1"/>
  <c r="AR8853" i="1"/>
  <c r="AR8854" i="1"/>
  <c r="AR8855" i="1"/>
  <c r="AR8856" i="1"/>
  <c r="AR8857" i="1"/>
  <c r="AR8858" i="1"/>
  <c r="AR8859" i="1"/>
  <c r="AR8860" i="1"/>
  <c r="AR8861" i="1"/>
  <c r="AR8862" i="1"/>
  <c r="AR8863" i="1"/>
  <c r="AR8864" i="1"/>
  <c r="AR8865" i="1"/>
  <c r="AR8866" i="1"/>
  <c r="AR8867" i="1"/>
  <c r="AR8868" i="1"/>
  <c r="AR8869" i="1"/>
  <c r="AR8870" i="1"/>
  <c r="AR8871" i="1"/>
  <c r="AR8872" i="1"/>
  <c r="AR8873" i="1"/>
  <c r="AR8874" i="1"/>
  <c r="AR8875" i="1"/>
  <c r="AR8876" i="1"/>
  <c r="AR8877" i="1"/>
  <c r="AR8878" i="1"/>
  <c r="AR8879" i="1"/>
  <c r="AR8880" i="1"/>
  <c r="AR8881" i="1"/>
  <c r="AR8882" i="1"/>
  <c r="AR8883" i="1"/>
  <c r="AR8884" i="1"/>
  <c r="AR8885" i="1"/>
  <c r="AR8886" i="1"/>
  <c r="AR8887" i="1"/>
  <c r="AR8888" i="1"/>
  <c r="AR8889" i="1"/>
  <c r="AR8890" i="1"/>
  <c r="AR8891" i="1"/>
  <c r="AR8892" i="1"/>
  <c r="AR8893" i="1"/>
  <c r="AR8894" i="1"/>
  <c r="AR8895" i="1"/>
  <c r="AR8896" i="1"/>
  <c r="AR8897" i="1"/>
  <c r="AR8898" i="1"/>
  <c r="AR8899" i="1"/>
  <c r="AR8900" i="1"/>
  <c r="AR8901" i="1"/>
  <c r="AR8902" i="1"/>
  <c r="AR8903" i="1"/>
  <c r="AR8904" i="1"/>
  <c r="AR8905" i="1"/>
  <c r="AR8906" i="1"/>
  <c r="AR8907" i="1"/>
  <c r="AR8908" i="1"/>
  <c r="AR8909" i="1"/>
  <c r="AR8910" i="1"/>
  <c r="AR8911" i="1"/>
  <c r="AR8912" i="1"/>
  <c r="AR8913" i="1"/>
  <c r="AR8914" i="1"/>
  <c r="AR8915" i="1"/>
  <c r="AR8916" i="1"/>
  <c r="AR8917" i="1"/>
  <c r="AR8918" i="1"/>
  <c r="AR8919" i="1"/>
  <c r="AR8920" i="1"/>
  <c r="AR8921" i="1"/>
  <c r="AR8922" i="1"/>
  <c r="AR8923" i="1"/>
  <c r="AR8924" i="1"/>
  <c r="AR8925" i="1"/>
  <c r="AR8926" i="1"/>
  <c r="AR8927" i="1"/>
  <c r="AR8928" i="1"/>
  <c r="AR8929" i="1"/>
  <c r="AR8930" i="1"/>
  <c r="AR8931" i="1"/>
  <c r="AR8932" i="1"/>
  <c r="AR8933" i="1"/>
  <c r="AR8934" i="1"/>
  <c r="AR8935" i="1"/>
  <c r="AR8936" i="1"/>
  <c r="AR8937" i="1"/>
  <c r="AR8938" i="1"/>
  <c r="AR8939" i="1"/>
  <c r="AR8940" i="1"/>
  <c r="AR8941" i="1"/>
  <c r="AR8942" i="1"/>
  <c r="AR8943" i="1"/>
  <c r="AR8944" i="1"/>
  <c r="AR8945" i="1"/>
  <c r="AR8946" i="1"/>
  <c r="AR8947" i="1"/>
  <c r="AR8948" i="1"/>
  <c r="AR8949" i="1"/>
  <c r="AR8950" i="1"/>
  <c r="AR8951" i="1"/>
  <c r="AR8952" i="1"/>
  <c r="AR8953" i="1"/>
  <c r="AR8954" i="1"/>
  <c r="AR8955" i="1"/>
  <c r="AR8956" i="1"/>
  <c r="AR8957" i="1"/>
  <c r="AR8958" i="1"/>
  <c r="AR8959" i="1"/>
  <c r="AR8960" i="1"/>
  <c r="AR8961" i="1"/>
  <c r="AR8962" i="1"/>
  <c r="AR8963" i="1"/>
  <c r="AR8964" i="1"/>
  <c r="AR8965" i="1"/>
  <c r="AR8966" i="1"/>
  <c r="AR8967" i="1"/>
  <c r="AR8968" i="1"/>
  <c r="AR8969" i="1"/>
  <c r="AR8970" i="1"/>
  <c r="AR8971" i="1"/>
  <c r="AR8972" i="1"/>
  <c r="AR8973" i="1"/>
  <c r="AR8974" i="1"/>
  <c r="AR8975" i="1"/>
  <c r="AR8976" i="1"/>
  <c r="AR8977" i="1"/>
  <c r="AR8978" i="1"/>
  <c r="AR8979" i="1"/>
  <c r="AR8980" i="1"/>
  <c r="AR8981" i="1"/>
  <c r="AR8982" i="1"/>
  <c r="AR8983" i="1"/>
  <c r="AR8984" i="1"/>
  <c r="AR8985" i="1"/>
  <c r="AR8986" i="1"/>
  <c r="AR8987" i="1"/>
  <c r="AR8988" i="1"/>
  <c r="AR8989" i="1"/>
  <c r="AR8990" i="1"/>
  <c r="AR8991" i="1"/>
  <c r="AR8992" i="1"/>
  <c r="AR8993" i="1"/>
  <c r="AR8994" i="1"/>
  <c r="AR8995" i="1"/>
  <c r="AR8996" i="1"/>
  <c r="AR8997" i="1"/>
  <c r="AR8998" i="1"/>
  <c r="AR8999" i="1"/>
  <c r="AR9000" i="1"/>
  <c r="AR9001" i="1"/>
  <c r="AR9002" i="1"/>
  <c r="AR9003" i="1"/>
  <c r="AR9004" i="1"/>
  <c r="AR9005" i="1"/>
  <c r="AR9006" i="1"/>
  <c r="AR9007" i="1"/>
  <c r="AR9008" i="1"/>
  <c r="AR9009" i="1"/>
  <c r="AR9010" i="1"/>
  <c r="AR9011" i="1"/>
  <c r="AR9012" i="1"/>
  <c r="AR9013" i="1"/>
  <c r="AR9014" i="1"/>
  <c r="AR9015" i="1"/>
  <c r="AR9016" i="1"/>
  <c r="AR9017" i="1"/>
  <c r="AR9018" i="1"/>
  <c r="AR9019" i="1"/>
  <c r="AR9020" i="1"/>
  <c r="AR9021" i="1"/>
  <c r="AR9022" i="1"/>
  <c r="AR9023" i="1"/>
  <c r="AR9024" i="1"/>
  <c r="AR9025" i="1"/>
  <c r="AR9026" i="1"/>
  <c r="AR9027" i="1"/>
  <c r="AR9028" i="1"/>
  <c r="AR9029" i="1"/>
  <c r="AR9030" i="1"/>
  <c r="AR9031" i="1"/>
  <c r="AR9032" i="1"/>
  <c r="AR9033" i="1"/>
  <c r="AR9034" i="1"/>
  <c r="AR9035" i="1"/>
  <c r="AR9036" i="1"/>
  <c r="AR9037" i="1"/>
  <c r="AR9038" i="1"/>
  <c r="AR9039" i="1"/>
  <c r="AR9040" i="1"/>
  <c r="AR9041" i="1"/>
  <c r="AR9042" i="1"/>
  <c r="AR9043" i="1"/>
  <c r="AR9044" i="1"/>
  <c r="AR9045" i="1"/>
  <c r="AR9046" i="1"/>
  <c r="AR9047" i="1"/>
  <c r="AR9048" i="1"/>
  <c r="AR9049" i="1"/>
  <c r="AR9050" i="1"/>
  <c r="AR9051" i="1"/>
  <c r="AR9052" i="1"/>
  <c r="AR9053" i="1"/>
  <c r="AR9054" i="1"/>
  <c r="AR9055" i="1"/>
  <c r="AR9056" i="1"/>
  <c r="AR9057" i="1"/>
  <c r="AR9058" i="1"/>
  <c r="AR9059" i="1"/>
  <c r="AR9060" i="1"/>
  <c r="AR9061" i="1"/>
  <c r="AR9062" i="1"/>
  <c r="AR9063" i="1"/>
  <c r="AR9064" i="1"/>
  <c r="AR9065" i="1"/>
  <c r="AR9066" i="1"/>
  <c r="AR9067" i="1"/>
  <c r="AR9068" i="1"/>
  <c r="AR9069" i="1"/>
  <c r="AR9070" i="1"/>
  <c r="AR9071" i="1"/>
  <c r="AR9072" i="1"/>
  <c r="AR9073" i="1"/>
  <c r="AR9074" i="1"/>
  <c r="AR9075" i="1"/>
  <c r="AR9076" i="1"/>
  <c r="AR9077" i="1"/>
  <c r="AR9078" i="1"/>
  <c r="AR9079" i="1"/>
  <c r="AR9080" i="1"/>
  <c r="AR9081" i="1"/>
  <c r="AR9082" i="1"/>
  <c r="AR9083" i="1"/>
  <c r="AR9084" i="1"/>
  <c r="AR9085" i="1"/>
  <c r="AR9086" i="1"/>
  <c r="AR9087" i="1"/>
  <c r="AR9088" i="1"/>
  <c r="AR9089" i="1"/>
  <c r="AR9090" i="1"/>
  <c r="AR9091" i="1"/>
  <c r="AR9092" i="1"/>
  <c r="AR9093" i="1"/>
  <c r="AR9094" i="1"/>
  <c r="AR9095" i="1"/>
  <c r="AR9096" i="1"/>
  <c r="AR9097" i="1"/>
  <c r="AR9098" i="1"/>
  <c r="AR9099" i="1"/>
  <c r="AR9100" i="1"/>
  <c r="AR9101" i="1"/>
  <c r="AR9102" i="1"/>
  <c r="AR9103" i="1"/>
  <c r="AR9104" i="1"/>
  <c r="AR9105" i="1"/>
  <c r="AR9106" i="1"/>
  <c r="AR9107" i="1"/>
  <c r="AR9108" i="1"/>
  <c r="AR9109" i="1"/>
  <c r="AR9110" i="1"/>
  <c r="AR9111" i="1"/>
  <c r="AR9112" i="1"/>
  <c r="AR9113" i="1"/>
  <c r="AR9114" i="1"/>
  <c r="AR9115" i="1"/>
  <c r="AR9116" i="1"/>
  <c r="AR9117" i="1"/>
  <c r="AR9118" i="1"/>
  <c r="AR9119" i="1"/>
  <c r="AR9120" i="1"/>
  <c r="AR9121" i="1"/>
  <c r="AR9122" i="1"/>
  <c r="AR9123" i="1"/>
  <c r="AR9124" i="1"/>
  <c r="AR9125" i="1"/>
  <c r="AR9126" i="1"/>
  <c r="AR9127" i="1"/>
  <c r="AR9128" i="1"/>
  <c r="AR9129" i="1"/>
  <c r="AR9130" i="1"/>
  <c r="AR9131" i="1"/>
  <c r="AR9132" i="1"/>
  <c r="AR9133" i="1"/>
  <c r="AR9134" i="1"/>
  <c r="AR9135" i="1"/>
  <c r="AR9136" i="1"/>
  <c r="AR9137" i="1"/>
  <c r="AR9138" i="1"/>
  <c r="AR9139" i="1"/>
  <c r="AR9140" i="1"/>
  <c r="AR9141" i="1"/>
  <c r="AR9142" i="1"/>
  <c r="AR9143" i="1"/>
  <c r="AR9144" i="1"/>
  <c r="AR9145" i="1"/>
  <c r="AR9146" i="1"/>
  <c r="AR9147" i="1"/>
  <c r="AR9148" i="1"/>
  <c r="AR9149" i="1"/>
  <c r="AR9150" i="1"/>
  <c r="AR9151" i="1"/>
  <c r="AR9152" i="1"/>
  <c r="AR9153" i="1"/>
  <c r="AR9154" i="1"/>
  <c r="AR9155" i="1"/>
  <c r="AR9156" i="1"/>
  <c r="AR9157" i="1"/>
  <c r="AR9158" i="1"/>
  <c r="AR9159" i="1"/>
  <c r="AR9160" i="1"/>
  <c r="AR9161" i="1"/>
  <c r="AR9162" i="1"/>
  <c r="AR9163" i="1"/>
  <c r="AR9164" i="1"/>
  <c r="AR9165" i="1"/>
  <c r="AR9166" i="1"/>
  <c r="AR9167" i="1"/>
  <c r="AR9168" i="1"/>
  <c r="AR9169" i="1"/>
  <c r="AR9170" i="1"/>
  <c r="AR9171" i="1"/>
  <c r="AR9172" i="1"/>
  <c r="AR9173" i="1"/>
  <c r="AR9174" i="1"/>
  <c r="AR9175" i="1"/>
  <c r="AR9176" i="1"/>
  <c r="AR9177" i="1"/>
  <c r="AR9178" i="1"/>
  <c r="AR9179" i="1"/>
  <c r="AR9180" i="1"/>
  <c r="AR9181" i="1"/>
  <c r="AR9182" i="1"/>
  <c r="AR9183" i="1"/>
  <c r="AR9184" i="1"/>
  <c r="AR9185" i="1"/>
  <c r="AR9186" i="1"/>
  <c r="AR9187" i="1"/>
  <c r="AR9188" i="1"/>
  <c r="AR9189" i="1"/>
  <c r="AR9190" i="1"/>
  <c r="AR9191" i="1"/>
  <c r="AR9192" i="1"/>
  <c r="AR9193" i="1"/>
  <c r="AR9194" i="1"/>
  <c r="AR9195" i="1"/>
  <c r="AR9196" i="1"/>
  <c r="AR9197" i="1"/>
  <c r="AR9198" i="1"/>
  <c r="AR9199" i="1"/>
  <c r="AR9200" i="1"/>
  <c r="AR9201" i="1"/>
  <c r="AR9202" i="1"/>
  <c r="AR9203" i="1"/>
  <c r="AR9204" i="1"/>
  <c r="AR9205" i="1"/>
  <c r="AR9206" i="1"/>
  <c r="AR9207" i="1"/>
  <c r="AR9208" i="1"/>
  <c r="AR9209" i="1"/>
  <c r="AR9210" i="1"/>
  <c r="AR9211" i="1"/>
  <c r="AR9212" i="1"/>
  <c r="AR9213" i="1"/>
  <c r="AR9214" i="1"/>
  <c r="AR9215" i="1"/>
  <c r="AR9216" i="1"/>
  <c r="AR9217" i="1"/>
  <c r="AR9218" i="1"/>
  <c r="AR9219" i="1"/>
  <c r="AR9220" i="1"/>
  <c r="AR9221" i="1"/>
  <c r="AR9222" i="1"/>
  <c r="AR9223" i="1"/>
  <c r="AR9224" i="1"/>
  <c r="AR9225" i="1"/>
  <c r="AR9226" i="1"/>
  <c r="AR9227" i="1"/>
  <c r="AR9228" i="1"/>
  <c r="AR9229" i="1"/>
  <c r="AR9230" i="1"/>
  <c r="AR9231" i="1"/>
  <c r="AR9232" i="1"/>
  <c r="AR9233" i="1"/>
  <c r="AR9234" i="1"/>
  <c r="AR9235" i="1"/>
  <c r="AR9236" i="1"/>
  <c r="AR9237" i="1"/>
  <c r="AR9238" i="1"/>
  <c r="AR9239" i="1"/>
  <c r="AR9240" i="1"/>
  <c r="AR9241" i="1"/>
  <c r="AR9242" i="1"/>
  <c r="AR9243" i="1"/>
  <c r="AR9244" i="1"/>
  <c r="AR9245" i="1"/>
  <c r="AR9246" i="1"/>
  <c r="AR9247" i="1"/>
  <c r="AR9248" i="1"/>
  <c r="AR9249" i="1"/>
  <c r="AR9250" i="1"/>
  <c r="AR9251" i="1"/>
  <c r="AR9252" i="1"/>
  <c r="AR9253" i="1"/>
  <c r="AR9254" i="1"/>
  <c r="AR9255" i="1"/>
  <c r="AR9256" i="1"/>
  <c r="AR9257" i="1"/>
  <c r="AR9258" i="1"/>
  <c r="AR9259" i="1"/>
  <c r="AR9260" i="1"/>
  <c r="AR9261" i="1"/>
  <c r="AR9262" i="1"/>
  <c r="AR9263" i="1"/>
  <c r="AR9264" i="1"/>
  <c r="AR9265" i="1"/>
  <c r="AR9266" i="1"/>
  <c r="AR9267" i="1"/>
  <c r="AR9268" i="1"/>
  <c r="AR9269" i="1"/>
  <c r="AR9270" i="1"/>
  <c r="AR9271" i="1"/>
  <c r="AR9272" i="1"/>
  <c r="AR9273" i="1"/>
  <c r="AR9274" i="1"/>
  <c r="AR9275" i="1"/>
  <c r="AR9276" i="1"/>
  <c r="AR9277" i="1"/>
  <c r="AR9278" i="1"/>
  <c r="AR9279" i="1"/>
  <c r="AR9280" i="1"/>
  <c r="AR9281" i="1"/>
  <c r="AR9282" i="1"/>
  <c r="AR9283" i="1"/>
  <c r="AR9284" i="1"/>
  <c r="AR9285" i="1"/>
  <c r="AR9286" i="1"/>
  <c r="AR9287" i="1"/>
  <c r="AR9288" i="1"/>
  <c r="AR9289" i="1"/>
  <c r="AR9290" i="1"/>
  <c r="AR9291" i="1"/>
  <c r="AR9292" i="1"/>
  <c r="AR9293" i="1"/>
  <c r="AR9294" i="1"/>
  <c r="AR9295" i="1"/>
  <c r="AR9296" i="1"/>
  <c r="AR9297" i="1"/>
  <c r="AR9298" i="1"/>
  <c r="AR9299" i="1"/>
  <c r="AR9300" i="1"/>
  <c r="AR9301" i="1"/>
  <c r="AR9302" i="1"/>
  <c r="AR9303" i="1"/>
  <c r="AR9304" i="1"/>
  <c r="AR9305" i="1"/>
  <c r="AR9306" i="1"/>
  <c r="AR9307" i="1"/>
  <c r="AR9308" i="1"/>
  <c r="AR9309" i="1"/>
  <c r="AR9310" i="1"/>
  <c r="AR9311" i="1"/>
  <c r="AR9312" i="1"/>
  <c r="AR9313" i="1"/>
  <c r="AR9314" i="1"/>
  <c r="AR9315" i="1"/>
  <c r="AR9316" i="1"/>
  <c r="AR9317" i="1"/>
  <c r="AR9318" i="1"/>
  <c r="AR9319" i="1"/>
  <c r="AR9320" i="1"/>
  <c r="AR9321" i="1"/>
  <c r="AR9322" i="1"/>
  <c r="AR9323" i="1"/>
  <c r="AR9324" i="1"/>
  <c r="AR9325" i="1"/>
  <c r="AR9326" i="1"/>
  <c r="AR9327" i="1"/>
  <c r="AR9328" i="1"/>
  <c r="AR9329" i="1"/>
  <c r="AR9330" i="1"/>
  <c r="AR9331" i="1"/>
  <c r="AR9332" i="1"/>
  <c r="AR9333" i="1"/>
  <c r="AR9334" i="1"/>
  <c r="AR9335" i="1"/>
  <c r="AR9336" i="1"/>
  <c r="AR9337" i="1"/>
  <c r="AR9338" i="1"/>
  <c r="AR9339" i="1"/>
  <c r="AR9340" i="1"/>
  <c r="AR9341" i="1"/>
  <c r="AR9342" i="1"/>
  <c r="AR9343" i="1"/>
  <c r="AR9344" i="1"/>
  <c r="AR9345" i="1"/>
  <c r="AR9346" i="1"/>
  <c r="AR9347" i="1"/>
  <c r="AR9348" i="1"/>
  <c r="AR9349" i="1"/>
  <c r="AR9350" i="1"/>
  <c r="AR9351" i="1"/>
  <c r="AR9352" i="1"/>
  <c r="AR9353" i="1"/>
  <c r="AR9354" i="1"/>
  <c r="AR9355" i="1"/>
  <c r="AR9356" i="1"/>
  <c r="AR9357" i="1"/>
  <c r="AR9358" i="1"/>
  <c r="AR9359" i="1"/>
  <c r="AR9360" i="1"/>
  <c r="AR9361" i="1"/>
  <c r="AR9362" i="1"/>
  <c r="AR9363" i="1"/>
  <c r="AR9364" i="1"/>
  <c r="AR9365" i="1"/>
  <c r="AR9366" i="1"/>
  <c r="AR9367" i="1"/>
  <c r="AR9368" i="1"/>
  <c r="AR9369" i="1"/>
  <c r="AR9370" i="1"/>
  <c r="AR9371" i="1"/>
  <c r="AR9372" i="1"/>
  <c r="AR9373" i="1"/>
  <c r="AR9374" i="1"/>
  <c r="AR9375" i="1"/>
  <c r="AR9376" i="1"/>
  <c r="AR9377" i="1"/>
  <c r="AR9378" i="1"/>
  <c r="AR9379" i="1"/>
  <c r="AR9380" i="1"/>
  <c r="AR9381" i="1"/>
  <c r="AR9382" i="1"/>
  <c r="AR9383" i="1"/>
  <c r="AR9384" i="1"/>
  <c r="AR9385" i="1"/>
  <c r="AR9386" i="1"/>
  <c r="AR9387" i="1"/>
  <c r="AR9388" i="1"/>
  <c r="AR9389" i="1"/>
  <c r="AR9390" i="1"/>
  <c r="AR9391" i="1"/>
  <c r="AR9392" i="1"/>
  <c r="AR9393" i="1"/>
  <c r="AR9394" i="1"/>
  <c r="AR9395" i="1"/>
  <c r="AR9396" i="1"/>
  <c r="AR9397" i="1"/>
  <c r="AR9398" i="1"/>
  <c r="AR9399" i="1"/>
  <c r="AR9400" i="1"/>
  <c r="AR9401" i="1"/>
  <c r="AR9402" i="1"/>
  <c r="AR9403" i="1"/>
  <c r="AR9404" i="1"/>
  <c r="AR9405" i="1"/>
  <c r="AR9406" i="1"/>
  <c r="AR9407" i="1"/>
  <c r="AR9408" i="1"/>
  <c r="AR9409" i="1"/>
  <c r="AR9410" i="1"/>
  <c r="AR9411" i="1"/>
  <c r="AR9412" i="1"/>
  <c r="AR9413" i="1"/>
  <c r="AR9414" i="1"/>
  <c r="AR9415" i="1"/>
  <c r="AR9416" i="1"/>
  <c r="AR9417" i="1"/>
  <c r="AR9418" i="1"/>
  <c r="AR9419" i="1"/>
  <c r="AR9420" i="1"/>
  <c r="AR9421" i="1"/>
  <c r="AR9422" i="1"/>
  <c r="AR9423" i="1"/>
  <c r="AR9424" i="1"/>
  <c r="AR9425" i="1"/>
  <c r="AR9426" i="1"/>
  <c r="AR9427" i="1"/>
  <c r="AR9428" i="1"/>
  <c r="AR9429" i="1"/>
  <c r="AR9430" i="1"/>
  <c r="AR9431" i="1"/>
  <c r="AR9432" i="1"/>
  <c r="AR9433" i="1"/>
  <c r="AR9434" i="1"/>
  <c r="AR9435" i="1"/>
  <c r="AR9436" i="1"/>
  <c r="AR9437" i="1"/>
  <c r="AR9438" i="1"/>
  <c r="AR9439" i="1"/>
  <c r="AR9440" i="1"/>
  <c r="AR9441" i="1"/>
  <c r="AR9442" i="1"/>
  <c r="AR9443" i="1"/>
  <c r="AR9444" i="1"/>
  <c r="AR9445" i="1"/>
  <c r="AR9446" i="1"/>
  <c r="AR9447" i="1"/>
  <c r="AR9448" i="1"/>
  <c r="AR9449" i="1"/>
  <c r="AR9450" i="1"/>
  <c r="AR9451" i="1"/>
  <c r="AR9452" i="1"/>
  <c r="AR9453" i="1"/>
  <c r="AR9454" i="1"/>
  <c r="AR9455" i="1"/>
  <c r="AR9456" i="1"/>
  <c r="AR9457" i="1"/>
  <c r="AR9458" i="1"/>
  <c r="AR9459" i="1"/>
  <c r="AR9460" i="1"/>
  <c r="AR9461" i="1"/>
  <c r="AR9462" i="1"/>
  <c r="AR9463" i="1"/>
  <c r="AR9464" i="1"/>
  <c r="AR9465" i="1"/>
  <c r="AR9466" i="1"/>
  <c r="AR9467" i="1"/>
  <c r="AR9468" i="1"/>
  <c r="AR9469" i="1"/>
  <c r="AR9470" i="1"/>
  <c r="AR9471" i="1"/>
  <c r="AR9472" i="1"/>
  <c r="AR9473" i="1"/>
  <c r="AR9474" i="1"/>
  <c r="AR9475" i="1"/>
  <c r="AR9476" i="1"/>
  <c r="AR9477" i="1"/>
  <c r="AR9478" i="1"/>
  <c r="AR9479" i="1"/>
  <c r="AR9480" i="1"/>
  <c r="AR9481" i="1"/>
  <c r="AR9482" i="1"/>
  <c r="AR9483" i="1"/>
  <c r="AR9484" i="1"/>
  <c r="AR9485" i="1"/>
  <c r="AR9486" i="1"/>
  <c r="AR9487" i="1"/>
  <c r="AR9488" i="1"/>
  <c r="AR9489" i="1"/>
  <c r="AR9490" i="1"/>
  <c r="AR9491" i="1"/>
  <c r="AR9492" i="1"/>
  <c r="AR9493" i="1"/>
  <c r="AR9494" i="1"/>
  <c r="AR9495" i="1"/>
  <c r="AR9496" i="1"/>
  <c r="AR9497" i="1"/>
  <c r="AR9498" i="1"/>
  <c r="AR9499" i="1"/>
  <c r="AR9500" i="1"/>
  <c r="AR9501" i="1"/>
  <c r="AR9502" i="1"/>
  <c r="AR9503" i="1"/>
  <c r="AR9504" i="1"/>
  <c r="AR9505" i="1"/>
  <c r="AR9506" i="1"/>
  <c r="AR9507" i="1"/>
  <c r="AR9508" i="1"/>
  <c r="AR9509" i="1"/>
  <c r="AR9510" i="1"/>
  <c r="AR9511" i="1"/>
  <c r="AR9512" i="1"/>
  <c r="AR9513" i="1"/>
  <c r="AR9514" i="1"/>
  <c r="AR9515" i="1"/>
  <c r="AR9516" i="1"/>
  <c r="AR9517" i="1"/>
  <c r="AR9518" i="1"/>
  <c r="AR9519" i="1"/>
  <c r="AR9520" i="1"/>
  <c r="AR9521" i="1"/>
  <c r="AR9522" i="1"/>
  <c r="AR9523" i="1"/>
  <c r="AR9524" i="1"/>
  <c r="AR9525" i="1"/>
  <c r="AR9526" i="1"/>
  <c r="AR9527" i="1"/>
  <c r="AR9528" i="1"/>
  <c r="AR9529" i="1"/>
  <c r="AR9530" i="1"/>
  <c r="AR9531" i="1"/>
  <c r="AR9532" i="1"/>
  <c r="AR9533" i="1"/>
  <c r="AR9534" i="1"/>
  <c r="AR9535" i="1"/>
  <c r="AR9536" i="1"/>
  <c r="AR9537" i="1"/>
  <c r="AR9538" i="1"/>
  <c r="AR9539" i="1"/>
  <c r="AR9540" i="1"/>
  <c r="AR9541" i="1"/>
  <c r="AR9542" i="1"/>
  <c r="AR9543" i="1"/>
  <c r="AR9544" i="1"/>
  <c r="AR9545" i="1"/>
  <c r="AR9546" i="1"/>
  <c r="AR9547" i="1"/>
  <c r="AR9548" i="1"/>
  <c r="AR9549" i="1"/>
  <c r="AR9550" i="1"/>
  <c r="AR9551" i="1"/>
  <c r="AR9552" i="1"/>
  <c r="AR9553" i="1"/>
  <c r="AR9554" i="1"/>
  <c r="AR9555" i="1"/>
  <c r="AR9556" i="1"/>
  <c r="AR9557" i="1"/>
  <c r="AR9558" i="1"/>
  <c r="AR9559" i="1"/>
  <c r="AR9560" i="1"/>
  <c r="AR9561" i="1"/>
  <c r="AR9562" i="1"/>
  <c r="AR9563" i="1"/>
  <c r="AR9564" i="1"/>
  <c r="AR9565" i="1"/>
  <c r="AR9566" i="1"/>
  <c r="AR9567" i="1"/>
  <c r="AR9568" i="1"/>
  <c r="AR9569" i="1"/>
  <c r="AR9570" i="1"/>
  <c r="AR9571" i="1"/>
  <c r="AR9572" i="1"/>
  <c r="AR9573" i="1"/>
  <c r="AR9574" i="1"/>
  <c r="AR9575" i="1"/>
  <c r="AR9576" i="1"/>
  <c r="AR9577" i="1"/>
  <c r="AR9578" i="1"/>
  <c r="AR9579" i="1"/>
  <c r="AR9580" i="1"/>
  <c r="AR9581" i="1"/>
  <c r="AR9582" i="1"/>
  <c r="AR9583" i="1"/>
  <c r="AR9584" i="1"/>
  <c r="AR9585" i="1"/>
  <c r="AR9586" i="1"/>
  <c r="AR9587" i="1"/>
  <c r="AR9588" i="1"/>
  <c r="AR9589" i="1"/>
  <c r="AR9590" i="1"/>
  <c r="AR9591" i="1"/>
  <c r="AR9592" i="1"/>
  <c r="AR9593" i="1"/>
  <c r="AR9594" i="1"/>
  <c r="AR9595" i="1"/>
  <c r="AR9596" i="1"/>
  <c r="AR9597" i="1"/>
  <c r="AR9598" i="1"/>
  <c r="AR9599" i="1"/>
  <c r="AR9600" i="1"/>
  <c r="AR9601" i="1"/>
  <c r="AR9602" i="1"/>
  <c r="AR9603" i="1"/>
  <c r="AR9604" i="1"/>
  <c r="AR9605" i="1"/>
  <c r="AR9606" i="1"/>
  <c r="AR9607" i="1"/>
  <c r="AR9608" i="1"/>
  <c r="AR9609" i="1"/>
  <c r="AR9610" i="1"/>
  <c r="AR9611" i="1"/>
  <c r="AR9612" i="1"/>
  <c r="AR9613" i="1"/>
  <c r="AR9614" i="1"/>
  <c r="AR9615" i="1"/>
  <c r="AR9616" i="1"/>
  <c r="AR9617" i="1"/>
  <c r="AR9618" i="1"/>
  <c r="AR9619" i="1"/>
  <c r="AR9620" i="1"/>
  <c r="AR9621" i="1"/>
  <c r="AR9622" i="1"/>
  <c r="AR9623" i="1"/>
  <c r="AR9624" i="1"/>
  <c r="AR9625" i="1"/>
  <c r="AR9626" i="1"/>
  <c r="AR9627" i="1"/>
  <c r="AR9628" i="1"/>
  <c r="AR9629" i="1"/>
  <c r="AR9630" i="1"/>
  <c r="AR9631" i="1"/>
  <c r="AR9632" i="1"/>
  <c r="AR9633" i="1"/>
  <c r="AR9634" i="1"/>
  <c r="AR9635" i="1"/>
  <c r="AR9636" i="1"/>
  <c r="AR9637" i="1"/>
  <c r="AR9638" i="1"/>
  <c r="AR9639" i="1"/>
  <c r="AR9640" i="1"/>
  <c r="AR9641" i="1"/>
  <c r="AR9642" i="1"/>
  <c r="AR9643" i="1"/>
  <c r="AR9644" i="1"/>
  <c r="AR9645" i="1"/>
  <c r="AR9646" i="1"/>
  <c r="AR9647" i="1"/>
  <c r="AR9648" i="1"/>
  <c r="AR9649" i="1"/>
  <c r="AR9650" i="1"/>
  <c r="AR9651" i="1"/>
  <c r="AR9652" i="1"/>
  <c r="AR9653" i="1"/>
  <c r="AR9654" i="1"/>
  <c r="AR9655" i="1"/>
  <c r="AR9656" i="1"/>
  <c r="AR9657" i="1"/>
  <c r="AR9658" i="1"/>
  <c r="AR9659" i="1"/>
  <c r="AR9660" i="1"/>
  <c r="AR9661" i="1"/>
  <c r="AR9662" i="1"/>
  <c r="AR9663" i="1"/>
  <c r="AR9664" i="1"/>
  <c r="AR9665" i="1"/>
  <c r="AR9666" i="1"/>
  <c r="AR9667" i="1"/>
  <c r="AR9668" i="1"/>
  <c r="AR9669" i="1"/>
  <c r="AR9670" i="1"/>
  <c r="AR9671" i="1"/>
  <c r="AR9672" i="1"/>
  <c r="AR9673" i="1"/>
  <c r="AR9674" i="1"/>
  <c r="AR9675" i="1"/>
  <c r="AR9676" i="1"/>
  <c r="AR9677" i="1"/>
  <c r="AR9678" i="1"/>
  <c r="AR9679" i="1"/>
  <c r="AR9680" i="1"/>
  <c r="AR9681" i="1"/>
  <c r="AR9682" i="1"/>
  <c r="AR9683" i="1"/>
  <c r="AR9684" i="1"/>
  <c r="AR9685" i="1"/>
  <c r="AR9686" i="1"/>
  <c r="AR9687" i="1"/>
  <c r="AR9688" i="1"/>
  <c r="AR9689" i="1"/>
  <c r="AR9690" i="1"/>
  <c r="AR9691" i="1"/>
  <c r="AR9692" i="1"/>
  <c r="AR9693" i="1"/>
  <c r="AR9694" i="1"/>
  <c r="AR9695" i="1"/>
  <c r="AR9696" i="1"/>
  <c r="AR9697" i="1"/>
  <c r="AR9698" i="1"/>
  <c r="AR9699" i="1"/>
  <c r="AR9700" i="1"/>
  <c r="AR9701" i="1"/>
  <c r="AR9702" i="1"/>
  <c r="AR9703" i="1"/>
  <c r="AR9704" i="1"/>
  <c r="AR9705" i="1"/>
  <c r="AR9706" i="1"/>
  <c r="AR9707" i="1"/>
  <c r="AR9708" i="1"/>
  <c r="AR9709" i="1"/>
  <c r="AR9710" i="1"/>
  <c r="AR9711" i="1"/>
  <c r="AR9712" i="1"/>
  <c r="AR9713" i="1"/>
  <c r="AR9714" i="1"/>
  <c r="AR9715" i="1"/>
  <c r="AR9716" i="1"/>
  <c r="AR9717" i="1"/>
  <c r="AR9718" i="1"/>
  <c r="AR9719" i="1"/>
  <c r="AR9720" i="1"/>
  <c r="AR9721" i="1"/>
  <c r="AR9722" i="1"/>
  <c r="AR9723" i="1"/>
  <c r="AR9724" i="1"/>
  <c r="AR9725" i="1"/>
  <c r="AR9726" i="1"/>
  <c r="AR9727" i="1"/>
  <c r="AR9728" i="1"/>
  <c r="AR9729" i="1"/>
  <c r="AR9730" i="1"/>
  <c r="AR9731" i="1"/>
  <c r="AR9732" i="1"/>
  <c r="AR9733" i="1"/>
  <c r="AR9734" i="1"/>
  <c r="AR9735" i="1"/>
  <c r="AR9736" i="1"/>
  <c r="AR9737" i="1"/>
  <c r="AR9738" i="1"/>
  <c r="AR9739" i="1"/>
  <c r="AR9740" i="1"/>
  <c r="AR9741" i="1"/>
  <c r="AR9742" i="1"/>
  <c r="AR9743" i="1"/>
  <c r="AR9744" i="1"/>
  <c r="AR9745" i="1"/>
  <c r="AR9746" i="1"/>
  <c r="AR9747" i="1"/>
  <c r="AR9748" i="1"/>
  <c r="AR9749" i="1"/>
  <c r="AR9750" i="1"/>
  <c r="AR9751" i="1"/>
  <c r="AR9752" i="1"/>
  <c r="AR9753" i="1"/>
  <c r="AR9754" i="1"/>
  <c r="AR9755" i="1"/>
  <c r="AR9756" i="1"/>
  <c r="AR9757" i="1"/>
  <c r="AR9758" i="1"/>
  <c r="AR9759" i="1"/>
  <c r="AR9760" i="1"/>
  <c r="AR9761" i="1"/>
  <c r="AR9762" i="1"/>
  <c r="AR9763" i="1"/>
  <c r="AR9764" i="1"/>
  <c r="AR9765" i="1"/>
  <c r="AR9766" i="1"/>
  <c r="AR9767" i="1"/>
  <c r="AR9768" i="1"/>
  <c r="AR9769" i="1"/>
  <c r="AR9770" i="1"/>
  <c r="AR9771" i="1"/>
  <c r="AR9772" i="1"/>
  <c r="AR9773" i="1"/>
  <c r="AR9774" i="1"/>
  <c r="AR9775" i="1"/>
  <c r="AR9776" i="1"/>
  <c r="AR9777" i="1"/>
  <c r="AR9778" i="1"/>
  <c r="AR9779" i="1"/>
  <c r="AR9780" i="1"/>
  <c r="AR9781" i="1"/>
  <c r="AR9782" i="1"/>
  <c r="AR9783" i="1"/>
  <c r="AR9784" i="1"/>
  <c r="AR9785" i="1"/>
  <c r="AR9786" i="1"/>
  <c r="AR9787" i="1"/>
  <c r="AR9788" i="1"/>
  <c r="AR9789" i="1"/>
  <c r="AR9790" i="1"/>
  <c r="AR9791" i="1"/>
  <c r="AR9792" i="1"/>
  <c r="AR9793" i="1"/>
  <c r="AR9794" i="1"/>
  <c r="AR9795" i="1"/>
  <c r="AR9796" i="1"/>
  <c r="AR9797" i="1"/>
  <c r="AR9798" i="1"/>
  <c r="AR9799" i="1"/>
  <c r="AR9800" i="1"/>
  <c r="AR9801" i="1"/>
  <c r="AR9802" i="1"/>
  <c r="AR9803" i="1"/>
  <c r="AR9804" i="1"/>
  <c r="AR9805" i="1"/>
  <c r="AR9806" i="1"/>
  <c r="AR9807" i="1"/>
  <c r="AR9808" i="1"/>
  <c r="AR9809" i="1"/>
  <c r="AR9810" i="1"/>
  <c r="AR9811" i="1"/>
  <c r="AR9812" i="1"/>
  <c r="AR9813" i="1"/>
  <c r="AR9814" i="1"/>
  <c r="AR9815" i="1"/>
  <c r="AR9816" i="1"/>
  <c r="AR9817" i="1"/>
  <c r="AR9818" i="1"/>
  <c r="AR9819" i="1"/>
  <c r="AR9820" i="1"/>
  <c r="AR9821" i="1"/>
  <c r="AR9822" i="1"/>
  <c r="AR9823" i="1"/>
  <c r="AR9824" i="1"/>
  <c r="AR9825" i="1"/>
  <c r="AR9826" i="1"/>
  <c r="AR9827" i="1"/>
  <c r="AR9828" i="1"/>
  <c r="AR9829" i="1"/>
  <c r="AR9830" i="1"/>
  <c r="AR9831" i="1"/>
  <c r="AR9832" i="1"/>
  <c r="AR9833" i="1"/>
  <c r="AR9834" i="1"/>
  <c r="AR9835" i="1"/>
  <c r="AR9836" i="1"/>
  <c r="AR9837" i="1"/>
  <c r="AR9838" i="1"/>
  <c r="AR9839" i="1"/>
  <c r="AR9840" i="1"/>
  <c r="AR9841" i="1"/>
  <c r="AR9842" i="1"/>
  <c r="AR9843" i="1"/>
  <c r="AR9844" i="1"/>
  <c r="AR9845" i="1"/>
  <c r="AR9846" i="1"/>
  <c r="AR9847" i="1"/>
  <c r="AR9848" i="1"/>
  <c r="AR9849" i="1"/>
  <c r="AR9850" i="1"/>
  <c r="AR9851" i="1"/>
  <c r="AR9852" i="1"/>
  <c r="AR9853" i="1"/>
  <c r="AR9854" i="1"/>
  <c r="AR9855" i="1"/>
  <c r="AR9856" i="1"/>
  <c r="AR9857" i="1"/>
  <c r="AR9858" i="1"/>
  <c r="AR9859" i="1"/>
  <c r="AR9860" i="1"/>
  <c r="AR9861" i="1"/>
  <c r="AR9862" i="1"/>
  <c r="AR9863" i="1"/>
  <c r="AR9864" i="1"/>
  <c r="AR9865" i="1"/>
  <c r="AR9866" i="1"/>
  <c r="AR9867" i="1"/>
  <c r="AR9868" i="1"/>
  <c r="AR9869" i="1"/>
  <c r="AR9870" i="1"/>
  <c r="AR9871" i="1"/>
  <c r="AR9872" i="1"/>
  <c r="AR9873" i="1"/>
  <c r="AR9874" i="1"/>
  <c r="AR9875" i="1"/>
  <c r="AR9876" i="1"/>
  <c r="AR9877" i="1"/>
  <c r="AR9878" i="1"/>
  <c r="AR9879" i="1"/>
  <c r="AR9880" i="1"/>
  <c r="AR9881" i="1"/>
  <c r="AR9882" i="1"/>
  <c r="AR9883" i="1"/>
  <c r="AR9884" i="1"/>
  <c r="AR9885" i="1"/>
  <c r="AR9886" i="1"/>
  <c r="AR9887" i="1"/>
  <c r="AR9888" i="1"/>
  <c r="AR9889" i="1"/>
  <c r="AR9890" i="1"/>
  <c r="AR9891" i="1"/>
  <c r="AR9892" i="1"/>
  <c r="AR9893" i="1"/>
  <c r="AR9894" i="1"/>
  <c r="AR9895" i="1"/>
  <c r="AR9896" i="1"/>
  <c r="AR9897" i="1"/>
  <c r="AR9898" i="1"/>
  <c r="AR9899" i="1"/>
  <c r="AR9900" i="1"/>
  <c r="AR9901" i="1"/>
  <c r="AR9902" i="1"/>
  <c r="AR9903" i="1"/>
  <c r="AR9904" i="1"/>
  <c r="AR9905" i="1"/>
  <c r="AR9906" i="1"/>
  <c r="AR9907" i="1"/>
  <c r="AR9908" i="1"/>
  <c r="AR9909" i="1"/>
  <c r="AR9910" i="1"/>
  <c r="AR9911" i="1"/>
  <c r="AR9912" i="1"/>
  <c r="AR9913" i="1"/>
  <c r="AR9914" i="1"/>
  <c r="AR9915" i="1"/>
  <c r="AR9916" i="1"/>
  <c r="AR9917" i="1"/>
  <c r="AR9918" i="1"/>
  <c r="AR9919" i="1"/>
  <c r="AR9920" i="1"/>
  <c r="AR9921" i="1"/>
  <c r="AR9922" i="1"/>
  <c r="AR9923" i="1"/>
  <c r="AR9924" i="1"/>
  <c r="AR9925" i="1"/>
  <c r="AR9926" i="1"/>
  <c r="AR9927" i="1"/>
  <c r="AR9928" i="1"/>
  <c r="AR9929" i="1"/>
  <c r="AR9930" i="1"/>
  <c r="AR9931" i="1"/>
  <c r="AR9932" i="1"/>
  <c r="AR9933" i="1"/>
  <c r="AR9934" i="1"/>
  <c r="AR9935" i="1"/>
  <c r="AR9936" i="1"/>
  <c r="AR9937" i="1"/>
  <c r="AR9938" i="1"/>
  <c r="AR9939" i="1"/>
  <c r="AR9940" i="1"/>
  <c r="AR9941" i="1"/>
  <c r="AR9942" i="1"/>
  <c r="AR9943" i="1"/>
  <c r="AR9944" i="1"/>
  <c r="AR9945" i="1"/>
  <c r="AR9946" i="1"/>
  <c r="AR9947" i="1"/>
  <c r="AR9948" i="1"/>
  <c r="AR9949" i="1"/>
  <c r="AR9950" i="1"/>
  <c r="AR9951" i="1"/>
  <c r="AR9952" i="1"/>
  <c r="AR9953" i="1"/>
  <c r="AR9954" i="1"/>
  <c r="AR9955" i="1"/>
  <c r="AR9956" i="1"/>
  <c r="AR9957" i="1"/>
  <c r="AR9958" i="1"/>
  <c r="AR9959" i="1"/>
  <c r="AR9960" i="1"/>
  <c r="AR9961" i="1"/>
  <c r="AR9962" i="1"/>
  <c r="AR9963" i="1"/>
  <c r="AR9964" i="1"/>
  <c r="AR9965" i="1"/>
  <c r="AR9966" i="1"/>
  <c r="AR9967" i="1"/>
  <c r="AR9968" i="1"/>
  <c r="AR9969" i="1"/>
  <c r="AR9970" i="1"/>
  <c r="AR9971" i="1"/>
  <c r="AR9972" i="1"/>
  <c r="AR9973" i="1"/>
  <c r="AR9974" i="1"/>
  <c r="AR9975" i="1"/>
  <c r="AR9976" i="1"/>
  <c r="AR9977" i="1"/>
  <c r="AR9978" i="1"/>
  <c r="AR9979" i="1"/>
  <c r="AR9980" i="1"/>
  <c r="AR9981" i="1"/>
  <c r="AR9982" i="1"/>
  <c r="AR9983" i="1"/>
  <c r="AR9984" i="1"/>
  <c r="AR9985" i="1"/>
  <c r="AR9986" i="1"/>
  <c r="AR9987" i="1"/>
  <c r="AR9988" i="1"/>
  <c r="AR9989" i="1"/>
  <c r="AR9990" i="1"/>
  <c r="AR9991" i="1"/>
  <c r="AR9992" i="1"/>
  <c r="AR9993" i="1"/>
  <c r="AR9994" i="1"/>
  <c r="AR9995" i="1"/>
  <c r="AR9996" i="1"/>
  <c r="AR9997" i="1"/>
  <c r="AR9998" i="1"/>
  <c r="AR9999" i="1"/>
  <c r="AR10000" i="1"/>
  <c r="AR10001" i="1"/>
  <c r="AR10002" i="1"/>
  <c r="AR10003" i="1"/>
  <c r="AR10004" i="1"/>
  <c r="AR10005" i="1"/>
  <c r="AR10006" i="1"/>
  <c r="AR10007" i="1"/>
  <c r="AR10008" i="1"/>
  <c r="AR10009" i="1"/>
  <c r="AR10010" i="1"/>
  <c r="AR10011" i="1"/>
  <c r="AR10012" i="1"/>
  <c r="AR10013" i="1"/>
  <c r="AR10014" i="1"/>
  <c r="AR10015" i="1"/>
  <c r="AR10016" i="1"/>
  <c r="AR10017" i="1"/>
  <c r="AR10018" i="1"/>
  <c r="AR10019" i="1"/>
  <c r="AR10020" i="1"/>
  <c r="AR10021" i="1"/>
  <c r="AR10022" i="1"/>
  <c r="AR10023" i="1"/>
  <c r="AR10024" i="1"/>
  <c r="AR10025" i="1"/>
  <c r="AR10026" i="1"/>
  <c r="AR10027" i="1"/>
  <c r="AR10028" i="1"/>
  <c r="AR10029" i="1"/>
  <c r="AR10030" i="1"/>
  <c r="AR10031" i="1"/>
  <c r="AR10032" i="1"/>
  <c r="AR10033" i="1"/>
  <c r="AR10034" i="1"/>
  <c r="AR10035" i="1"/>
  <c r="AR10036" i="1"/>
  <c r="AR10037" i="1"/>
  <c r="AR10038" i="1"/>
  <c r="AR10039" i="1"/>
  <c r="AR10040" i="1"/>
  <c r="AR10041" i="1"/>
  <c r="AR10042" i="1"/>
  <c r="AR10043" i="1"/>
  <c r="AR10044" i="1"/>
  <c r="AR10045" i="1"/>
  <c r="AR10046" i="1"/>
  <c r="AR10047" i="1"/>
  <c r="AR10048" i="1"/>
  <c r="AR10049" i="1"/>
  <c r="AR10050" i="1"/>
  <c r="AR10051" i="1"/>
  <c r="AR10052" i="1"/>
  <c r="AR10053" i="1"/>
  <c r="AR10054" i="1"/>
  <c r="AR10055" i="1"/>
  <c r="AR10056" i="1"/>
  <c r="AR10057" i="1"/>
  <c r="AR10058" i="1"/>
  <c r="AR10059" i="1"/>
  <c r="AR10060" i="1"/>
  <c r="AR10061" i="1"/>
  <c r="AR10062" i="1"/>
  <c r="AR10063" i="1"/>
  <c r="AR10064" i="1"/>
  <c r="AR10065" i="1"/>
  <c r="AR10066" i="1"/>
  <c r="AR10067" i="1"/>
  <c r="AR10068" i="1"/>
  <c r="AR10069" i="1"/>
  <c r="AR10070" i="1"/>
  <c r="AR10071" i="1"/>
  <c r="AR10072" i="1"/>
  <c r="AR10073" i="1"/>
  <c r="AR10074" i="1"/>
  <c r="AR10075" i="1"/>
  <c r="AR10076" i="1"/>
  <c r="AR10077" i="1"/>
  <c r="AR10078" i="1"/>
  <c r="AR10079" i="1"/>
  <c r="AR10080" i="1"/>
  <c r="AR10081" i="1"/>
  <c r="AR10082" i="1"/>
  <c r="AR10083" i="1"/>
  <c r="AR10084" i="1"/>
  <c r="AR10085" i="1"/>
  <c r="AR10086" i="1"/>
  <c r="AR10087" i="1"/>
  <c r="AR10088" i="1"/>
  <c r="AR10089" i="1"/>
  <c r="AR10090" i="1"/>
  <c r="AR10091" i="1"/>
  <c r="AR10092" i="1"/>
  <c r="AR10093" i="1"/>
  <c r="AR10094" i="1"/>
  <c r="AR10095" i="1"/>
  <c r="AR10096" i="1"/>
  <c r="AR10097" i="1"/>
  <c r="AR10098" i="1"/>
  <c r="AR10099" i="1"/>
  <c r="AR10100" i="1"/>
  <c r="AR10101" i="1"/>
  <c r="AR10102" i="1"/>
  <c r="AR10103" i="1"/>
  <c r="AR10104" i="1"/>
  <c r="AR10105" i="1"/>
  <c r="AR10106" i="1"/>
  <c r="AR10107" i="1"/>
  <c r="AR10108" i="1"/>
  <c r="AR10109" i="1"/>
  <c r="AR10110" i="1"/>
  <c r="AR10111" i="1"/>
  <c r="AR10112" i="1"/>
  <c r="AR10113" i="1"/>
  <c r="AR10114" i="1"/>
  <c r="AR10115" i="1"/>
  <c r="AR10116" i="1"/>
  <c r="AR10117" i="1"/>
  <c r="AR10118" i="1"/>
  <c r="AR10119" i="1"/>
  <c r="AR10120" i="1"/>
  <c r="AR10121" i="1"/>
  <c r="AR10122" i="1"/>
  <c r="AR10123" i="1"/>
  <c r="AR10124" i="1"/>
  <c r="AR10125" i="1"/>
  <c r="AR10126" i="1"/>
  <c r="AR10127" i="1"/>
  <c r="AR10128" i="1"/>
  <c r="AR10129" i="1"/>
  <c r="AR10130" i="1"/>
  <c r="AR10131" i="1"/>
  <c r="AR10132" i="1"/>
  <c r="AR10133" i="1"/>
  <c r="AR10134" i="1"/>
  <c r="AR10135" i="1"/>
  <c r="AR10136" i="1"/>
  <c r="AR10137" i="1"/>
  <c r="AR10138" i="1"/>
  <c r="AR10139" i="1"/>
  <c r="AR10140" i="1"/>
  <c r="AR10141" i="1"/>
  <c r="AR10142" i="1"/>
  <c r="AR10143" i="1"/>
  <c r="AR10144" i="1"/>
  <c r="AR10145" i="1"/>
  <c r="AR10146" i="1"/>
  <c r="AR10147" i="1"/>
  <c r="AR10148" i="1"/>
  <c r="AR10149" i="1"/>
  <c r="AR10150" i="1"/>
  <c r="AR10151" i="1"/>
  <c r="AR10152" i="1"/>
  <c r="AR10153" i="1"/>
  <c r="AR10154" i="1"/>
  <c r="AR10155" i="1"/>
  <c r="AR10156" i="1"/>
  <c r="AR10157" i="1"/>
  <c r="AR10158" i="1"/>
  <c r="AR10159" i="1"/>
  <c r="AR10160" i="1"/>
  <c r="AR10161" i="1"/>
  <c r="AR10162" i="1"/>
  <c r="AR10163" i="1"/>
  <c r="AR10164" i="1"/>
  <c r="AR10165" i="1"/>
  <c r="AR10166" i="1"/>
  <c r="AR10167" i="1"/>
  <c r="AR10168" i="1"/>
  <c r="AR10169" i="1"/>
  <c r="AR10170" i="1"/>
  <c r="AR10171" i="1"/>
  <c r="AR10172" i="1"/>
  <c r="AR10173" i="1"/>
  <c r="AR10174" i="1"/>
  <c r="AR10175" i="1"/>
  <c r="AR10176" i="1"/>
  <c r="AR10177" i="1"/>
  <c r="AR10178" i="1"/>
  <c r="AR10179" i="1"/>
  <c r="AR10180" i="1"/>
  <c r="AR10181" i="1"/>
  <c r="AR10182" i="1"/>
  <c r="AR10183" i="1"/>
  <c r="AR10184" i="1"/>
  <c r="AR10185" i="1"/>
  <c r="AR10186" i="1"/>
  <c r="AR10187" i="1"/>
  <c r="AR10188" i="1"/>
  <c r="AR10189" i="1"/>
  <c r="AR10190" i="1"/>
  <c r="AR10191" i="1"/>
  <c r="AR10192" i="1"/>
  <c r="AR10193" i="1"/>
  <c r="AR10194" i="1"/>
  <c r="AR10195" i="1"/>
  <c r="AR10196" i="1"/>
  <c r="AR10197" i="1"/>
  <c r="AR10198" i="1"/>
  <c r="AR10199" i="1"/>
  <c r="AR10200" i="1"/>
  <c r="AR10201" i="1"/>
  <c r="AR10202" i="1"/>
  <c r="AR10203" i="1"/>
  <c r="AR10204" i="1"/>
  <c r="AR10205" i="1"/>
  <c r="AR10206" i="1"/>
  <c r="AR10207" i="1"/>
  <c r="AR10208" i="1"/>
  <c r="AR10209" i="1"/>
  <c r="AR10210" i="1"/>
  <c r="AR10211" i="1"/>
  <c r="AR10212" i="1"/>
  <c r="AR10213" i="1"/>
  <c r="AR10214" i="1"/>
  <c r="AR10215" i="1"/>
  <c r="AR10216" i="1"/>
  <c r="AR10217" i="1"/>
  <c r="AR10218" i="1"/>
  <c r="AR10219" i="1"/>
  <c r="AR10220" i="1"/>
  <c r="AR10221" i="1"/>
  <c r="AR10222" i="1"/>
  <c r="AR10223" i="1"/>
  <c r="AR10224" i="1"/>
  <c r="AR10225" i="1"/>
  <c r="AR10226" i="1"/>
  <c r="AR10227" i="1"/>
  <c r="AR10228" i="1"/>
  <c r="AR10229" i="1"/>
  <c r="AR10230" i="1"/>
  <c r="AR10231" i="1"/>
  <c r="AR10232" i="1"/>
  <c r="AR10233" i="1"/>
  <c r="AR10234" i="1"/>
  <c r="AR10235" i="1"/>
  <c r="AR10236" i="1"/>
  <c r="AR10237" i="1"/>
  <c r="AR10238" i="1"/>
  <c r="AR10239" i="1"/>
  <c r="AR10240" i="1"/>
  <c r="AR10241" i="1"/>
  <c r="AR10242" i="1"/>
  <c r="AR10243" i="1"/>
  <c r="AR10244" i="1"/>
  <c r="AR10245" i="1"/>
  <c r="AR10246" i="1"/>
  <c r="AR10247" i="1"/>
  <c r="AR10248" i="1"/>
  <c r="AR10249" i="1"/>
  <c r="AR10250" i="1"/>
  <c r="AR10251" i="1"/>
  <c r="AR10252" i="1"/>
  <c r="AR10253" i="1"/>
  <c r="AR10254" i="1"/>
  <c r="AR10255" i="1"/>
  <c r="AR10256" i="1"/>
  <c r="AR10257" i="1"/>
  <c r="AR10258" i="1"/>
  <c r="AR10259" i="1"/>
  <c r="AR10260" i="1"/>
  <c r="AR10261" i="1"/>
  <c r="AR10262" i="1"/>
  <c r="AR10263" i="1"/>
  <c r="AR10264" i="1"/>
  <c r="AR10265" i="1"/>
  <c r="AR10266" i="1"/>
  <c r="AR10267" i="1"/>
  <c r="AR10268" i="1"/>
  <c r="AR10269" i="1"/>
  <c r="AR10270" i="1"/>
  <c r="AR10271" i="1"/>
  <c r="AR10272" i="1"/>
  <c r="AR10273" i="1"/>
  <c r="AR10274" i="1"/>
  <c r="AR10275" i="1"/>
  <c r="AR10276" i="1"/>
  <c r="AR10277" i="1"/>
  <c r="AR10278" i="1"/>
  <c r="AR10279" i="1"/>
  <c r="AR10280" i="1"/>
  <c r="AR10281" i="1"/>
  <c r="AR10282" i="1"/>
  <c r="AR10283" i="1"/>
  <c r="AR10284" i="1"/>
  <c r="AR10285" i="1"/>
  <c r="AR10286" i="1"/>
  <c r="AR10287" i="1"/>
  <c r="AR10288" i="1"/>
  <c r="AR10289" i="1"/>
  <c r="AR10290" i="1"/>
  <c r="AR10291" i="1"/>
  <c r="AR10292" i="1"/>
  <c r="AR10293" i="1"/>
  <c r="AR10294" i="1"/>
  <c r="AR10295" i="1"/>
  <c r="AR10296" i="1"/>
  <c r="AR10297" i="1"/>
  <c r="AR10298" i="1"/>
  <c r="AR10299" i="1"/>
  <c r="AR10300" i="1"/>
  <c r="AR10301" i="1"/>
  <c r="AR10302" i="1"/>
  <c r="AR10303" i="1"/>
  <c r="AR10304" i="1"/>
  <c r="AR10305" i="1"/>
  <c r="AR10306" i="1"/>
  <c r="AR10307" i="1"/>
  <c r="AR10308" i="1"/>
  <c r="AR10309" i="1"/>
  <c r="AR10310" i="1"/>
  <c r="AR10311" i="1"/>
  <c r="AR10312" i="1"/>
  <c r="AR10313" i="1"/>
  <c r="AR10314" i="1"/>
  <c r="AR10315" i="1"/>
  <c r="AR10316" i="1"/>
  <c r="AR10317" i="1"/>
  <c r="AR10318" i="1"/>
  <c r="AR10319" i="1"/>
  <c r="AR10320" i="1"/>
  <c r="AR10321" i="1"/>
  <c r="AR10322" i="1"/>
  <c r="AR10323" i="1"/>
  <c r="AR10324" i="1"/>
  <c r="AR10325" i="1"/>
  <c r="AR10326" i="1"/>
  <c r="AR10327" i="1"/>
  <c r="AR10328" i="1"/>
  <c r="AR10329" i="1"/>
  <c r="AR10330" i="1"/>
  <c r="AR10331" i="1"/>
  <c r="AR10332" i="1"/>
  <c r="AR10333" i="1"/>
  <c r="AR10334" i="1"/>
  <c r="AR10335" i="1"/>
  <c r="AR10336" i="1"/>
  <c r="AR10337" i="1"/>
  <c r="AR10338" i="1"/>
  <c r="AR10339" i="1"/>
  <c r="AR10340" i="1"/>
  <c r="AR10341" i="1"/>
  <c r="AR10342" i="1"/>
  <c r="AR10343" i="1"/>
  <c r="AR10344" i="1"/>
  <c r="AR10345" i="1"/>
  <c r="AR10346" i="1"/>
  <c r="AR10347" i="1"/>
  <c r="AR10348" i="1"/>
  <c r="AR10349" i="1"/>
  <c r="AR10350" i="1"/>
  <c r="AR10351" i="1"/>
  <c r="AR10352" i="1"/>
  <c r="AR10353" i="1"/>
  <c r="AR10354" i="1"/>
  <c r="AR10355" i="1"/>
  <c r="AR10356" i="1"/>
  <c r="AR10357" i="1"/>
  <c r="AR10358" i="1"/>
  <c r="AR10359" i="1"/>
  <c r="AR10360" i="1"/>
  <c r="AR10361" i="1"/>
  <c r="AR10362" i="1"/>
  <c r="AR10363" i="1"/>
  <c r="AR10364" i="1"/>
  <c r="AR10365" i="1"/>
  <c r="AR10366" i="1"/>
  <c r="AR10367" i="1"/>
  <c r="AR10368" i="1"/>
  <c r="AR10369" i="1"/>
  <c r="AR10370" i="1"/>
  <c r="AR10371" i="1"/>
  <c r="AR10372" i="1"/>
  <c r="AR10373" i="1"/>
  <c r="AR10374" i="1"/>
  <c r="AR10375" i="1"/>
  <c r="AR10376" i="1"/>
  <c r="AR10377" i="1"/>
  <c r="AR10378" i="1"/>
  <c r="AR10379" i="1"/>
  <c r="AR10380" i="1"/>
  <c r="AR10381" i="1"/>
  <c r="AR10382" i="1"/>
  <c r="AR10383" i="1"/>
  <c r="AR10384" i="1"/>
  <c r="AR10385" i="1"/>
  <c r="AR10386" i="1"/>
  <c r="AR10387" i="1"/>
  <c r="AR10388" i="1"/>
  <c r="AR10389" i="1"/>
  <c r="AR10390" i="1"/>
  <c r="AR10391" i="1"/>
  <c r="AR10392" i="1"/>
  <c r="AR10393" i="1"/>
  <c r="AR10394" i="1"/>
  <c r="AR10395" i="1"/>
  <c r="AR10396" i="1"/>
  <c r="AR10397" i="1"/>
  <c r="AR10398" i="1"/>
  <c r="AR10399" i="1"/>
  <c r="AR10400" i="1"/>
  <c r="AR10401" i="1"/>
  <c r="AR10402" i="1"/>
  <c r="AR10403" i="1"/>
  <c r="AR10404" i="1"/>
  <c r="AR10405" i="1"/>
  <c r="AR10406" i="1"/>
  <c r="AR10407" i="1"/>
  <c r="AR10408" i="1"/>
  <c r="AR10409" i="1"/>
  <c r="AR10410" i="1"/>
  <c r="AR10411" i="1"/>
  <c r="AR10412" i="1"/>
  <c r="AR10413" i="1"/>
  <c r="AR10414" i="1"/>
  <c r="AR10415" i="1"/>
  <c r="AR10416" i="1"/>
  <c r="AR10417" i="1"/>
  <c r="AR10418" i="1"/>
  <c r="AR10419" i="1"/>
  <c r="AR10420" i="1"/>
  <c r="AR10421" i="1"/>
  <c r="AR10422" i="1"/>
  <c r="AR10423" i="1"/>
  <c r="AR10424" i="1"/>
  <c r="AR10425" i="1"/>
  <c r="AR10426" i="1"/>
  <c r="AR10427" i="1"/>
  <c r="AR10428" i="1"/>
  <c r="AR10429" i="1"/>
  <c r="AR10430" i="1"/>
  <c r="AR10431" i="1"/>
  <c r="AR10432" i="1"/>
  <c r="AR10433" i="1"/>
  <c r="AR10434" i="1"/>
  <c r="AR10435" i="1"/>
  <c r="AR10436" i="1"/>
  <c r="AR10437" i="1"/>
  <c r="AR10438" i="1"/>
  <c r="AR10439" i="1"/>
  <c r="AR10440" i="1"/>
  <c r="AR10441" i="1"/>
  <c r="AR10442" i="1"/>
  <c r="AR10443" i="1"/>
  <c r="AR10444" i="1"/>
  <c r="AR10445" i="1"/>
  <c r="AR10446" i="1"/>
  <c r="AR10447" i="1"/>
  <c r="AR10448" i="1"/>
  <c r="AR10449" i="1"/>
  <c r="AR10450" i="1"/>
  <c r="AR10451" i="1"/>
  <c r="AR10452" i="1"/>
  <c r="AR10453" i="1"/>
  <c r="AR10454" i="1"/>
  <c r="AR10455" i="1"/>
  <c r="AR10456" i="1"/>
  <c r="AR10457" i="1"/>
  <c r="AR10458" i="1"/>
  <c r="AR10459" i="1"/>
  <c r="AR10460" i="1"/>
  <c r="AR10461" i="1"/>
  <c r="AR10462" i="1"/>
  <c r="AR10463" i="1"/>
  <c r="AR10464" i="1"/>
  <c r="AR10465" i="1"/>
  <c r="AR10466" i="1"/>
  <c r="AR10467" i="1"/>
  <c r="AR10468" i="1"/>
  <c r="AR10469" i="1"/>
  <c r="AR10470" i="1"/>
  <c r="AR10471" i="1"/>
  <c r="AR10472" i="1"/>
  <c r="AR10473" i="1"/>
  <c r="AR10474" i="1"/>
  <c r="AR10475" i="1"/>
  <c r="AR10476" i="1"/>
  <c r="AR10477" i="1"/>
  <c r="AR10478" i="1"/>
  <c r="AR10479" i="1"/>
  <c r="AR10480" i="1"/>
  <c r="AR10481" i="1"/>
  <c r="AR10482" i="1"/>
  <c r="AR10483" i="1"/>
  <c r="AR10484" i="1"/>
  <c r="AR10485" i="1"/>
  <c r="AR10486" i="1"/>
  <c r="AR10487" i="1"/>
  <c r="AR10488" i="1"/>
  <c r="AR10489" i="1"/>
  <c r="AR10490" i="1"/>
  <c r="AR10491" i="1"/>
  <c r="AR10492" i="1"/>
  <c r="AR10493" i="1"/>
  <c r="AR10494" i="1"/>
  <c r="AR10495" i="1"/>
  <c r="AR10496" i="1"/>
  <c r="AR10497" i="1"/>
  <c r="AR10498" i="1"/>
  <c r="AR10499" i="1"/>
  <c r="AR10500" i="1"/>
  <c r="AR10501" i="1"/>
  <c r="AR10502" i="1"/>
  <c r="AR10503" i="1"/>
  <c r="AR10504" i="1"/>
  <c r="AR10505" i="1"/>
  <c r="AR10506" i="1"/>
  <c r="AR10507" i="1"/>
  <c r="AR10508" i="1"/>
  <c r="AR10509" i="1"/>
  <c r="AR10510" i="1"/>
  <c r="AR10511" i="1"/>
  <c r="AR10512" i="1"/>
  <c r="AR10513" i="1"/>
  <c r="AR10514" i="1"/>
  <c r="AR10515" i="1"/>
  <c r="AR10516" i="1"/>
  <c r="AR10517" i="1"/>
  <c r="AR10518" i="1"/>
  <c r="AR10519" i="1"/>
  <c r="AR10520" i="1"/>
  <c r="AR10521" i="1"/>
  <c r="AR10522" i="1"/>
  <c r="AR10523" i="1"/>
  <c r="AR10524" i="1"/>
  <c r="AR10525" i="1"/>
  <c r="AR10526" i="1"/>
  <c r="AR10527" i="1"/>
  <c r="AR10528" i="1"/>
  <c r="AR10529" i="1"/>
  <c r="AR10530" i="1"/>
  <c r="AR10531" i="1"/>
  <c r="AR10532" i="1"/>
  <c r="AR10533" i="1"/>
  <c r="AR10534" i="1"/>
  <c r="AR10535" i="1"/>
  <c r="AR10536" i="1"/>
  <c r="AR10537" i="1"/>
  <c r="AR10538" i="1"/>
  <c r="AR10539" i="1"/>
  <c r="AR10540" i="1"/>
  <c r="AR10541" i="1"/>
  <c r="AR10542" i="1"/>
  <c r="AR10543" i="1"/>
  <c r="AR10544" i="1"/>
  <c r="AR10545" i="1"/>
  <c r="AR10546" i="1"/>
  <c r="AR10547" i="1"/>
  <c r="AR10548" i="1"/>
  <c r="AR10549" i="1"/>
  <c r="AR10550" i="1"/>
  <c r="AR10551" i="1"/>
  <c r="AR10552" i="1"/>
  <c r="AR10553" i="1"/>
  <c r="AR10554" i="1"/>
  <c r="AR10555" i="1"/>
  <c r="AR10556" i="1"/>
  <c r="AR10557" i="1"/>
  <c r="AR10558" i="1"/>
  <c r="AR10559" i="1"/>
  <c r="AR10560" i="1"/>
  <c r="AR10561" i="1"/>
  <c r="AR10562" i="1"/>
  <c r="AR10563" i="1"/>
  <c r="AR10564" i="1"/>
  <c r="AR10565" i="1"/>
  <c r="AR10566" i="1"/>
  <c r="AR10567" i="1"/>
  <c r="AR10568" i="1"/>
  <c r="AR10569" i="1"/>
  <c r="AR10570" i="1"/>
  <c r="AR10571" i="1"/>
  <c r="AR10572" i="1"/>
  <c r="AR10573" i="1"/>
  <c r="AR10574" i="1"/>
  <c r="AR10575" i="1"/>
  <c r="AR10576" i="1"/>
  <c r="AR10577" i="1"/>
  <c r="AR10578" i="1"/>
  <c r="AR10579" i="1"/>
  <c r="AR10580" i="1"/>
  <c r="AR10581" i="1"/>
  <c r="AR10582" i="1"/>
  <c r="AR10583" i="1"/>
  <c r="AR10584" i="1"/>
  <c r="AR10585" i="1"/>
  <c r="AR10586" i="1"/>
  <c r="AR10587" i="1"/>
  <c r="AR10588" i="1"/>
  <c r="AR10589" i="1"/>
  <c r="AR10590" i="1"/>
  <c r="AR10591" i="1"/>
  <c r="AR10592" i="1"/>
  <c r="AR10593" i="1"/>
  <c r="AR10594" i="1"/>
  <c r="AR10595" i="1"/>
  <c r="AR10596" i="1"/>
  <c r="AR10597" i="1"/>
  <c r="AR10598" i="1"/>
  <c r="AR10599" i="1"/>
  <c r="AR10600" i="1"/>
  <c r="AR10601" i="1"/>
  <c r="AR10602" i="1"/>
  <c r="AR10603" i="1"/>
  <c r="AR10604" i="1"/>
  <c r="AR10605" i="1"/>
  <c r="AR10606" i="1"/>
  <c r="AR10607" i="1"/>
  <c r="AR10608" i="1"/>
  <c r="AR10609" i="1"/>
  <c r="AR10610" i="1"/>
  <c r="AR10611" i="1"/>
  <c r="AR10612" i="1"/>
  <c r="AR10613" i="1"/>
  <c r="AR10614" i="1"/>
  <c r="AR10615" i="1"/>
  <c r="AR10616" i="1"/>
  <c r="AR10617" i="1"/>
  <c r="AR10618" i="1"/>
  <c r="AR10619" i="1"/>
  <c r="AR10620" i="1"/>
  <c r="AR10621" i="1"/>
  <c r="AR10622" i="1"/>
  <c r="AR10623" i="1"/>
  <c r="AR10624" i="1"/>
  <c r="AR10625" i="1"/>
  <c r="AR10626" i="1"/>
  <c r="AR10627" i="1"/>
  <c r="AR10628" i="1"/>
  <c r="AR10629" i="1"/>
  <c r="AR10630" i="1"/>
  <c r="AR10631" i="1"/>
  <c r="AR10632" i="1"/>
  <c r="AR10633" i="1"/>
  <c r="AR10634" i="1"/>
  <c r="AR10635" i="1"/>
  <c r="AR10636" i="1"/>
  <c r="AR10637" i="1"/>
  <c r="AR10638" i="1"/>
  <c r="AR10639" i="1"/>
  <c r="AR10640" i="1"/>
  <c r="AR10641" i="1"/>
  <c r="AR10642" i="1"/>
  <c r="AR10643" i="1"/>
  <c r="AR10644" i="1"/>
  <c r="AR10645" i="1"/>
  <c r="AR10646" i="1"/>
  <c r="AR10647" i="1"/>
  <c r="AR10648" i="1"/>
  <c r="AR10649" i="1"/>
  <c r="AR10650" i="1"/>
  <c r="AR10651" i="1"/>
  <c r="AR10652" i="1"/>
  <c r="AR10653" i="1"/>
  <c r="AR10654" i="1"/>
  <c r="AR10655" i="1"/>
  <c r="AR10656" i="1"/>
  <c r="AR10657" i="1"/>
  <c r="AR10658" i="1"/>
  <c r="AR10659" i="1"/>
  <c r="AR10660" i="1"/>
  <c r="AR10661" i="1"/>
  <c r="AR10662" i="1"/>
  <c r="AR10663" i="1"/>
  <c r="AR10664" i="1"/>
  <c r="AR10665" i="1"/>
  <c r="AR10666" i="1"/>
  <c r="AR10667" i="1"/>
  <c r="AR10668" i="1"/>
  <c r="AR10669" i="1"/>
  <c r="AR10670" i="1"/>
  <c r="AR10671" i="1"/>
  <c r="AR10672" i="1"/>
  <c r="AR10673" i="1"/>
  <c r="AR10674" i="1"/>
  <c r="AR10675" i="1"/>
  <c r="AR10676" i="1"/>
  <c r="AR10677" i="1"/>
  <c r="AR10678" i="1"/>
  <c r="AR10679" i="1"/>
  <c r="AR10680" i="1"/>
  <c r="AR10681" i="1"/>
  <c r="AR10682" i="1"/>
  <c r="AR10683" i="1"/>
  <c r="AR10684" i="1"/>
  <c r="AR10685" i="1"/>
  <c r="AR10686" i="1"/>
  <c r="AR10687" i="1"/>
  <c r="AR10688" i="1"/>
  <c r="AR10689" i="1"/>
  <c r="AR10690" i="1"/>
  <c r="AR10691" i="1"/>
  <c r="AR10692" i="1"/>
  <c r="AR10693" i="1"/>
  <c r="AR10694" i="1"/>
  <c r="AR10695" i="1"/>
  <c r="AR10696" i="1"/>
  <c r="AR10697" i="1"/>
  <c r="AR10698" i="1"/>
  <c r="AR10699" i="1"/>
  <c r="AR10700" i="1"/>
  <c r="AR10701" i="1"/>
  <c r="AR10702" i="1"/>
  <c r="AR10703" i="1"/>
  <c r="AR10704" i="1"/>
  <c r="AR10705" i="1"/>
  <c r="AR10706" i="1"/>
  <c r="AR10707" i="1"/>
  <c r="AR10708" i="1"/>
  <c r="AR10709" i="1"/>
  <c r="AR10710" i="1"/>
  <c r="AR10711" i="1"/>
  <c r="AR10712" i="1"/>
  <c r="AR10713" i="1"/>
  <c r="AR10714" i="1"/>
  <c r="AR10715" i="1"/>
  <c r="AR10716" i="1"/>
  <c r="AR10717" i="1"/>
  <c r="AR10718" i="1"/>
  <c r="AR10719" i="1"/>
  <c r="AR10720" i="1"/>
  <c r="AR10721" i="1"/>
  <c r="AR10722" i="1"/>
  <c r="AR10723" i="1"/>
  <c r="AR10724" i="1"/>
  <c r="AR10725" i="1"/>
  <c r="AR10726" i="1"/>
  <c r="AR10727" i="1"/>
  <c r="AR10728" i="1"/>
  <c r="AR10729" i="1"/>
  <c r="AR10730" i="1"/>
  <c r="AR10731" i="1"/>
  <c r="AR10732" i="1"/>
  <c r="AR10733" i="1"/>
  <c r="AR10734" i="1"/>
  <c r="AR10735" i="1"/>
  <c r="AR10736" i="1"/>
  <c r="AR10737" i="1"/>
  <c r="AR10738" i="1"/>
  <c r="AR10739" i="1"/>
  <c r="AR10740" i="1"/>
  <c r="AR10741" i="1"/>
  <c r="AR10742" i="1"/>
  <c r="AR10743" i="1"/>
  <c r="AR10744" i="1"/>
  <c r="AR10745" i="1"/>
  <c r="AR10746" i="1"/>
  <c r="AR10747" i="1"/>
  <c r="AR10748" i="1"/>
  <c r="AR10749" i="1"/>
  <c r="AR10750" i="1"/>
  <c r="AR10751" i="1"/>
  <c r="AR10752" i="1"/>
  <c r="AR10753" i="1"/>
  <c r="AR10754" i="1"/>
  <c r="AR10755" i="1"/>
  <c r="AR10756" i="1"/>
  <c r="AR10757" i="1"/>
  <c r="AR10758" i="1"/>
  <c r="AR10759" i="1"/>
  <c r="AR10760" i="1"/>
  <c r="AR10761" i="1"/>
  <c r="AR10762" i="1"/>
  <c r="AR10763" i="1"/>
  <c r="AR10764" i="1"/>
  <c r="AR10765" i="1"/>
  <c r="AR10766" i="1"/>
  <c r="AR10767" i="1"/>
  <c r="AR10768" i="1"/>
  <c r="AR10769" i="1"/>
  <c r="AR10770" i="1"/>
  <c r="AR10771" i="1"/>
  <c r="AR10772" i="1"/>
  <c r="AR10773" i="1"/>
  <c r="AR10774" i="1"/>
  <c r="AR10775" i="1"/>
  <c r="AR10776" i="1"/>
  <c r="AR10777" i="1"/>
  <c r="AR10778" i="1"/>
  <c r="AR10779" i="1"/>
  <c r="AR10780" i="1"/>
  <c r="AR10781" i="1"/>
  <c r="AR10782" i="1"/>
  <c r="AR10783" i="1"/>
  <c r="AR10784" i="1"/>
  <c r="AR10785" i="1"/>
  <c r="AR10786" i="1"/>
  <c r="AR10787" i="1"/>
  <c r="AR10788" i="1"/>
  <c r="AR10789" i="1"/>
  <c r="AR10790" i="1"/>
  <c r="AR10791" i="1"/>
  <c r="AR10792" i="1"/>
  <c r="AR10793" i="1"/>
  <c r="AR10794" i="1"/>
  <c r="AR10795" i="1"/>
  <c r="AR10796" i="1"/>
  <c r="AR10797" i="1"/>
  <c r="AR10798" i="1"/>
  <c r="AR10799" i="1"/>
  <c r="AR10800" i="1"/>
  <c r="AR10801" i="1"/>
  <c r="AR10802" i="1"/>
  <c r="AR10803" i="1"/>
  <c r="AR10804" i="1"/>
  <c r="AR10805" i="1"/>
  <c r="AR10806" i="1"/>
  <c r="AR10807" i="1"/>
  <c r="AR10808" i="1"/>
  <c r="AR10809" i="1"/>
  <c r="AR10810" i="1"/>
  <c r="AR10811" i="1"/>
  <c r="AR10812" i="1"/>
  <c r="AR10813" i="1"/>
  <c r="AR10814" i="1"/>
  <c r="AR10815" i="1"/>
  <c r="AR10816" i="1"/>
  <c r="AR10817" i="1"/>
  <c r="AR10818" i="1"/>
  <c r="AR10819" i="1"/>
  <c r="AR10820" i="1"/>
  <c r="AR10821" i="1"/>
  <c r="AR10822" i="1"/>
  <c r="AR10823" i="1"/>
  <c r="AR10824" i="1"/>
  <c r="AR10825" i="1"/>
  <c r="AR10826" i="1"/>
  <c r="AR10827" i="1"/>
  <c r="AR10828" i="1"/>
  <c r="AR10829" i="1"/>
  <c r="AR10830" i="1"/>
  <c r="AR10831" i="1"/>
  <c r="AR10832" i="1"/>
  <c r="AR10833" i="1"/>
  <c r="AR10834" i="1"/>
  <c r="AR10835" i="1"/>
  <c r="AR10836" i="1"/>
  <c r="AR10837" i="1"/>
  <c r="AR10838" i="1"/>
  <c r="AR10839" i="1"/>
  <c r="AR10840" i="1"/>
  <c r="AR10841" i="1"/>
  <c r="AR10842" i="1"/>
  <c r="AR10843" i="1"/>
  <c r="AR10844" i="1"/>
  <c r="AR10845" i="1"/>
  <c r="AR10846" i="1"/>
  <c r="AR10847" i="1"/>
  <c r="AR10848" i="1"/>
  <c r="AR10849" i="1"/>
  <c r="AR10850" i="1"/>
  <c r="AR10851" i="1"/>
  <c r="AR10852" i="1"/>
  <c r="AR10853" i="1"/>
  <c r="AR10854" i="1"/>
  <c r="AR10855" i="1"/>
  <c r="AR10856" i="1"/>
  <c r="AR10857" i="1"/>
  <c r="AR10858" i="1"/>
  <c r="AR10859" i="1"/>
  <c r="AR10860" i="1"/>
  <c r="AR10861" i="1"/>
  <c r="AR10862" i="1"/>
  <c r="AR10863" i="1"/>
  <c r="AR10864" i="1"/>
  <c r="AR10865" i="1"/>
  <c r="AR10866" i="1"/>
  <c r="AR10867" i="1"/>
  <c r="AR10868" i="1"/>
  <c r="AR10869" i="1"/>
  <c r="AR10870" i="1"/>
  <c r="AR10871" i="1"/>
  <c r="AR10872" i="1"/>
  <c r="AR10873" i="1"/>
  <c r="AR10874" i="1"/>
  <c r="AR10875" i="1"/>
  <c r="AR10876" i="1"/>
  <c r="AR10877" i="1"/>
  <c r="AR10878" i="1"/>
  <c r="AR10879" i="1"/>
  <c r="AR10880" i="1"/>
  <c r="AR10881" i="1"/>
  <c r="AR10882" i="1"/>
  <c r="AR10883" i="1"/>
  <c r="AR10884" i="1"/>
  <c r="AR10885" i="1"/>
  <c r="AR10886" i="1"/>
  <c r="AR10887" i="1"/>
  <c r="AR10888" i="1"/>
  <c r="AR10889" i="1"/>
  <c r="AR10890" i="1"/>
  <c r="AR10891" i="1"/>
  <c r="AR10892" i="1"/>
  <c r="AR10893" i="1"/>
  <c r="AR10894" i="1"/>
  <c r="AR10895" i="1"/>
  <c r="AR10896" i="1"/>
  <c r="AR10897" i="1"/>
  <c r="AR10898" i="1"/>
  <c r="AR10899" i="1"/>
  <c r="AR10900" i="1"/>
  <c r="AR10901" i="1"/>
  <c r="AR10902" i="1"/>
  <c r="AR10903" i="1"/>
  <c r="AR10904" i="1"/>
  <c r="AR10905" i="1"/>
  <c r="AR10906" i="1"/>
  <c r="AR10907" i="1"/>
  <c r="AR10908" i="1"/>
  <c r="AR10909" i="1"/>
  <c r="AR10910" i="1"/>
  <c r="AR10911" i="1"/>
  <c r="AR10912" i="1"/>
  <c r="AR10913" i="1"/>
  <c r="AR10914" i="1"/>
  <c r="AR10915" i="1"/>
  <c r="AR10916" i="1"/>
  <c r="AR10917" i="1"/>
  <c r="AR10918" i="1"/>
  <c r="AR10919" i="1"/>
  <c r="AR10920" i="1"/>
  <c r="AR10921" i="1"/>
  <c r="AR10922" i="1"/>
  <c r="AR10923" i="1"/>
  <c r="AR10924" i="1"/>
  <c r="AR10925" i="1"/>
  <c r="AR10926" i="1"/>
  <c r="AR10927" i="1"/>
  <c r="AR10928" i="1"/>
  <c r="AR10929" i="1"/>
  <c r="AR10930" i="1"/>
  <c r="AR10931" i="1"/>
  <c r="AR10932" i="1"/>
  <c r="AR10933" i="1"/>
  <c r="AR10934" i="1"/>
  <c r="AR10935" i="1"/>
  <c r="AR10936" i="1"/>
  <c r="AR10937" i="1"/>
  <c r="AR10938" i="1"/>
  <c r="AR10939" i="1"/>
  <c r="AR10940" i="1"/>
  <c r="AR10941" i="1"/>
  <c r="AR10942" i="1"/>
  <c r="AR10943" i="1"/>
  <c r="AR10944" i="1"/>
  <c r="AR10945" i="1"/>
  <c r="AR10946" i="1"/>
  <c r="AR10947" i="1"/>
  <c r="AR10948" i="1"/>
  <c r="AR10949" i="1"/>
  <c r="AR10950" i="1"/>
  <c r="AR10951" i="1"/>
  <c r="AR10952" i="1"/>
  <c r="AR10953" i="1"/>
  <c r="AR10954" i="1"/>
  <c r="AR10955" i="1"/>
  <c r="AR10956" i="1"/>
  <c r="AR10957" i="1"/>
  <c r="AR10958" i="1"/>
  <c r="AR10959" i="1"/>
  <c r="AR10960" i="1"/>
  <c r="AR10961" i="1"/>
  <c r="AR10962" i="1"/>
  <c r="AR10963" i="1"/>
  <c r="AR10964" i="1"/>
  <c r="AR10965" i="1"/>
  <c r="AR10966" i="1"/>
  <c r="AR10967" i="1"/>
  <c r="AR10968" i="1"/>
  <c r="AR10969" i="1"/>
  <c r="AR10970" i="1"/>
  <c r="AR10971" i="1"/>
  <c r="AR10972" i="1"/>
  <c r="AR10973" i="1"/>
  <c r="AR10974" i="1"/>
  <c r="AR10975" i="1"/>
  <c r="AR10976" i="1"/>
  <c r="AR10977" i="1"/>
  <c r="AR10978" i="1"/>
  <c r="AR10979" i="1"/>
  <c r="AR10980" i="1"/>
  <c r="AR10981" i="1"/>
  <c r="AR10982" i="1"/>
  <c r="AR10983" i="1"/>
  <c r="AR10984" i="1"/>
  <c r="AR10985" i="1"/>
  <c r="AR10986" i="1"/>
  <c r="AR10987" i="1"/>
  <c r="AR10988" i="1"/>
  <c r="AR10989" i="1"/>
  <c r="AR10990" i="1"/>
  <c r="AR10991" i="1"/>
  <c r="AR10992" i="1"/>
  <c r="AR10993" i="1"/>
  <c r="AR10994" i="1"/>
  <c r="AR10995" i="1"/>
  <c r="AR10996" i="1"/>
  <c r="AR10997" i="1"/>
  <c r="AR10998" i="1"/>
  <c r="AR10999" i="1"/>
  <c r="AR11000" i="1"/>
  <c r="AR11001" i="1"/>
  <c r="AR11002" i="1"/>
  <c r="AR11003" i="1"/>
  <c r="AR11004" i="1"/>
  <c r="AR11005" i="1"/>
  <c r="AR11006" i="1"/>
  <c r="AR11007" i="1"/>
  <c r="AR11008" i="1"/>
  <c r="AR11009" i="1"/>
  <c r="AR11010" i="1"/>
  <c r="AR11011" i="1"/>
  <c r="AR11012" i="1"/>
  <c r="AR11013" i="1"/>
  <c r="AR11014" i="1"/>
  <c r="AR11015" i="1"/>
  <c r="AR11016" i="1"/>
  <c r="AR11017" i="1"/>
  <c r="AR11018" i="1"/>
  <c r="AR11019" i="1"/>
  <c r="AR11020" i="1"/>
  <c r="AR11021" i="1"/>
  <c r="AR11022" i="1"/>
  <c r="AR11023" i="1"/>
  <c r="AR11024" i="1"/>
  <c r="AR11025" i="1"/>
  <c r="AR11026" i="1"/>
  <c r="AR11027" i="1"/>
  <c r="AR11028" i="1"/>
  <c r="AR11029" i="1"/>
  <c r="AR11030" i="1"/>
  <c r="AR11031" i="1"/>
  <c r="AR11032" i="1"/>
  <c r="AR11033" i="1"/>
  <c r="AR11034" i="1"/>
  <c r="AR11035" i="1"/>
  <c r="AR11036" i="1"/>
  <c r="AR11037" i="1"/>
  <c r="AR11038" i="1"/>
  <c r="AR11039" i="1"/>
  <c r="AR11040" i="1"/>
  <c r="AR11041" i="1"/>
  <c r="AR11042" i="1"/>
  <c r="AR11043" i="1"/>
  <c r="AR11044" i="1"/>
  <c r="AR11045" i="1"/>
  <c r="AR11046" i="1"/>
  <c r="AR11047" i="1"/>
  <c r="AR11048" i="1"/>
  <c r="AR11049" i="1"/>
  <c r="AR11050" i="1"/>
  <c r="AR11051" i="1"/>
  <c r="AR11052" i="1"/>
  <c r="AR11053" i="1"/>
  <c r="AR11054" i="1"/>
  <c r="AR11055" i="1"/>
  <c r="AR11056" i="1"/>
  <c r="AR11057" i="1"/>
  <c r="AR11058" i="1"/>
  <c r="AR11059" i="1"/>
  <c r="AR11060" i="1"/>
  <c r="AR11061" i="1"/>
  <c r="AR11062" i="1"/>
  <c r="AR11063" i="1"/>
  <c r="AR11064" i="1"/>
  <c r="AR11065" i="1"/>
  <c r="AR11066" i="1"/>
  <c r="AR11067" i="1"/>
  <c r="AR11068" i="1"/>
  <c r="AR11069" i="1"/>
  <c r="AR11070" i="1"/>
  <c r="AR11071" i="1"/>
  <c r="AR11072" i="1"/>
  <c r="AR11073" i="1"/>
  <c r="AR11074" i="1"/>
  <c r="AR11075" i="1"/>
  <c r="AR11076" i="1"/>
  <c r="AR11077" i="1"/>
  <c r="AR11078" i="1"/>
  <c r="AR11079" i="1"/>
  <c r="AR11080" i="1"/>
  <c r="AR11081" i="1"/>
  <c r="AR11082" i="1"/>
  <c r="AR11083" i="1"/>
  <c r="AR11084" i="1"/>
  <c r="AR11085" i="1"/>
  <c r="AR11086" i="1"/>
  <c r="AR11087" i="1"/>
  <c r="AR11088" i="1"/>
  <c r="AR11089" i="1"/>
  <c r="AR11090" i="1"/>
  <c r="AR11091" i="1"/>
  <c r="AR11092" i="1"/>
  <c r="AR11093" i="1"/>
  <c r="AR11094" i="1"/>
  <c r="AR11095" i="1"/>
  <c r="AR11096" i="1"/>
  <c r="AR11097" i="1"/>
  <c r="AR11098" i="1"/>
  <c r="AR11099" i="1"/>
  <c r="AR11100" i="1"/>
  <c r="AR11101" i="1"/>
  <c r="AR11102" i="1"/>
  <c r="AR11103" i="1"/>
  <c r="AR11104" i="1"/>
  <c r="AR11105" i="1"/>
  <c r="AR11106" i="1"/>
  <c r="AR11107" i="1"/>
  <c r="AR11108" i="1"/>
  <c r="AR11109" i="1"/>
  <c r="AR11110" i="1"/>
  <c r="AR11111" i="1"/>
  <c r="AR11112" i="1"/>
  <c r="AR11113" i="1"/>
  <c r="AR11114" i="1"/>
  <c r="AR11115" i="1"/>
  <c r="AR11116" i="1"/>
  <c r="AR11117" i="1"/>
  <c r="AR11118" i="1"/>
  <c r="AR11119" i="1"/>
  <c r="AR11120" i="1"/>
  <c r="AR11121" i="1"/>
  <c r="AR11122" i="1"/>
  <c r="AR11123" i="1"/>
  <c r="AR11124" i="1"/>
  <c r="AR11125" i="1"/>
  <c r="AR11126" i="1"/>
  <c r="AR11127" i="1"/>
  <c r="AR11128" i="1"/>
  <c r="AR11129" i="1"/>
  <c r="AR11130" i="1"/>
  <c r="AR11131" i="1"/>
  <c r="AR11132" i="1"/>
  <c r="AR11133" i="1"/>
  <c r="AR11134" i="1"/>
  <c r="AR11135" i="1"/>
  <c r="AR11136" i="1"/>
  <c r="AR11137" i="1"/>
  <c r="AR11138" i="1"/>
  <c r="AR11139" i="1"/>
  <c r="AR11140" i="1"/>
  <c r="AR11141" i="1"/>
  <c r="AR11142" i="1"/>
  <c r="AR11143" i="1"/>
  <c r="AR11144" i="1"/>
  <c r="AR11145" i="1"/>
  <c r="AR11146" i="1"/>
  <c r="AR11147" i="1"/>
  <c r="AR11148" i="1"/>
  <c r="AR11149" i="1"/>
  <c r="AR11150" i="1"/>
  <c r="AR11151" i="1"/>
  <c r="AR11152" i="1"/>
  <c r="AR11153" i="1"/>
  <c r="AR11154" i="1"/>
  <c r="AR11155" i="1"/>
  <c r="AR11156" i="1"/>
  <c r="AR11157" i="1"/>
  <c r="AR11158" i="1"/>
  <c r="AR11159" i="1"/>
  <c r="AR11160" i="1"/>
  <c r="AR11161" i="1"/>
  <c r="AR11162" i="1"/>
  <c r="AR11163" i="1"/>
  <c r="AR11164" i="1"/>
  <c r="AR11165" i="1"/>
  <c r="AR11166" i="1"/>
  <c r="AR11167" i="1"/>
  <c r="AR11168" i="1"/>
  <c r="AR11169" i="1"/>
  <c r="AR11170" i="1"/>
  <c r="AR11171" i="1"/>
  <c r="AR11172" i="1"/>
  <c r="AR11173" i="1"/>
  <c r="AR11174" i="1"/>
  <c r="AR11175" i="1"/>
  <c r="AR11176" i="1"/>
  <c r="AR11177" i="1"/>
  <c r="AR11178" i="1"/>
  <c r="AR11179" i="1"/>
  <c r="AR11180" i="1"/>
  <c r="AR11181" i="1"/>
  <c r="AR11182" i="1"/>
  <c r="AR11183" i="1"/>
  <c r="AR11184" i="1"/>
  <c r="AR11185" i="1"/>
  <c r="AR11186" i="1"/>
  <c r="AR11187" i="1"/>
  <c r="AR11188" i="1"/>
  <c r="AR11189" i="1"/>
  <c r="AR11190" i="1"/>
  <c r="AR11191" i="1"/>
  <c r="AR11192" i="1"/>
  <c r="AR11193" i="1"/>
  <c r="AR11194" i="1"/>
  <c r="AR11195" i="1"/>
  <c r="AR11196" i="1"/>
  <c r="AR11197" i="1"/>
  <c r="AR11198" i="1"/>
  <c r="AR11199" i="1"/>
  <c r="AR11200" i="1"/>
  <c r="AR11201" i="1"/>
  <c r="AR11202" i="1"/>
  <c r="AR11203" i="1"/>
  <c r="AR11204" i="1"/>
  <c r="AR11205" i="1"/>
  <c r="AR11206" i="1"/>
  <c r="AR11207" i="1"/>
  <c r="AR11208" i="1"/>
  <c r="AR11209" i="1"/>
  <c r="AR11210" i="1"/>
  <c r="AR11211" i="1"/>
  <c r="AR11212" i="1"/>
  <c r="AR11213" i="1"/>
  <c r="AR11214" i="1"/>
  <c r="AR11215" i="1"/>
  <c r="AR11216" i="1"/>
  <c r="AR11217" i="1"/>
  <c r="AR11218" i="1"/>
  <c r="AR11219" i="1"/>
  <c r="AR11220" i="1"/>
  <c r="AR11221" i="1"/>
  <c r="AR11222" i="1"/>
  <c r="AR11223" i="1"/>
  <c r="AR11224" i="1"/>
  <c r="AR11225" i="1"/>
  <c r="AR11226" i="1"/>
  <c r="AR11227" i="1"/>
  <c r="AR11228" i="1"/>
  <c r="AR11229" i="1"/>
  <c r="AR11230" i="1"/>
  <c r="AR11231" i="1"/>
  <c r="AR11232" i="1"/>
  <c r="AR11233" i="1"/>
  <c r="AR11234" i="1"/>
  <c r="AR11235" i="1"/>
  <c r="AR11236" i="1"/>
  <c r="AR11237" i="1"/>
  <c r="AR11238" i="1"/>
  <c r="AR11239" i="1"/>
  <c r="AR11240" i="1"/>
  <c r="AR11241" i="1"/>
  <c r="AR11242" i="1"/>
  <c r="AR11243" i="1"/>
  <c r="AR11244" i="1"/>
  <c r="AR11245" i="1"/>
  <c r="AR11246" i="1"/>
  <c r="AR11247" i="1"/>
  <c r="AR11248" i="1"/>
  <c r="AR11249" i="1"/>
  <c r="AR11250" i="1"/>
  <c r="AR11251" i="1"/>
  <c r="AR11252" i="1"/>
  <c r="AR11253" i="1"/>
  <c r="AR11254" i="1"/>
  <c r="AR11255" i="1"/>
  <c r="AR11256" i="1"/>
  <c r="AR11257" i="1"/>
  <c r="AR11258" i="1"/>
  <c r="AR11259" i="1"/>
  <c r="AR11260" i="1"/>
  <c r="AR11261" i="1"/>
  <c r="AR11262" i="1"/>
  <c r="AR11263" i="1"/>
  <c r="AR11264" i="1"/>
  <c r="AR11265" i="1"/>
  <c r="AR11266" i="1"/>
  <c r="AR11267" i="1"/>
  <c r="AR11268" i="1"/>
  <c r="AR11269" i="1"/>
  <c r="AR11270" i="1"/>
  <c r="AR11271" i="1"/>
  <c r="AR11272" i="1"/>
  <c r="AR11273" i="1"/>
  <c r="AR11274" i="1"/>
  <c r="AR11275" i="1"/>
  <c r="AR11276" i="1"/>
  <c r="AR11277" i="1"/>
  <c r="AR11278" i="1"/>
  <c r="AR11279" i="1"/>
  <c r="AR11280" i="1"/>
  <c r="AR11281" i="1"/>
  <c r="AR11282" i="1"/>
  <c r="AR11283" i="1"/>
  <c r="AR11284" i="1"/>
  <c r="AR11285" i="1"/>
  <c r="AR11286" i="1"/>
  <c r="AR11287" i="1"/>
  <c r="AR11288" i="1"/>
  <c r="AR11289" i="1"/>
  <c r="AR11290" i="1"/>
  <c r="AR11291" i="1"/>
  <c r="AR11292" i="1"/>
  <c r="AR11293" i="1"/>
  <c r="AR11294" i="1"/>
  <c r="AR11295" i="1"/>
  <c r="AR11296" i="1"/>
  <c r="AR11297" i="1"/>
  <c r="AR11298" i="1"/>
  <c r="AR11299" i="1"/>
  <c r="AR11300" i="1"/>
  <c r="AR11301" i="1"/>
  <c r="AR11302" i="1"/>
  <c r="AR11303" i="1"/>
  <c r="AR11304" i="1"/>
  <c r="AR11305" i="1"/>
  <c r="AR11306" i="1"/>
  <c r="AR11307" i="1"/>
  <c r="AR11308" i="1"/>
  <c r="AR11309" i="1"/>
  <c r="AR11310" i="1"/>
  <c r="AR11311" i="1"/>
  <c r="AR11312" i="1"/>
  <c r="AR11313" i="1"/>
  <c r="AR11314" i="1"/>
  <c r="AR11315" i="1"/>
  <c r="AR11316" i="1"/>
  <c r="AR11317" i="1"/>
  <c r="AR11318" i="1"/>
  <c r="AR11319" i="1"/>
  <c r="AR11320" i="1"/>
  <c r="AR11321" i="1"/>
  <c r="AR11322" i="1"/>
  <c r="AR11323" i="1"/>
  <c r="AR11324" i="1"/>
  <c r="AR11325" i="1"/>
  <c r="AR11326" i="1"/>
  <c r="AR11327" i="1"/>
  <c r="AR11328" i="1"/>
  <c r="AR11329" i="1"/>
  <c r="AR11330" i="1"/>
  <c r="AR11331" i="1"/>
  <c r="AR11332" i="1"/>
  <c r="AR11333" i="1"/>
  <c r="AR11334" i="1"/>
  <c r="AR11335" i="1"/>
  <c r="AR11336" i="1"/>
  <c r="AR11337" i="1"/>
  <c r="AR11338" i="1"/>
  <c r="AR11339" i="1"/>
  <c r="AR11340" i="1"/>
  <c r="AR11341" i="1"/>
  <c r="AR11342" i="1"/>
  <c r="AR11343" i="1"/>
  <c r="AR11344" i="1"/>
  <c r="AR11345" i="1"/>
  <c r="AR11346" i="1"/>
  <c r="AR11347" i="1"/>
  <c r="AR11348" i="1"/>
  <c r="AR11349" i="1"/>
  <c r="AR11350" i="1"/>
  <c r="AR11351" i="1"/>
  <c r="AR11352" i="1"/>
  <c r="AR11353" i="1"/>
  <c r="AR11354" i="1"/>
  <c r="AR11355" i="1"/>
  <c r="AR11356" i="1"/>
  <c r="AR11357" i="1"/>
  <c r="AR11358" i="1"/>
  <c r="AR11359" i="1"/>
  <c r="AR11360" i="1"/>
  <c r="AR11361" i="1"/>
  <c r="AR11362" i="1"/>
  <c r="AR11363" i="1"/>
  <c r="AR11364" i="1"/>
  <c r="AR11365" i="1"/>
  <c r="AR11366" i="1"/>
  <c r="AR11367" i="1"/>
  <c r="AR11368" i="1"/>
  <c r="AR11369" i="1"/>
  <c r="AR11370" i="1"/>
  <c r="AR11371" i="1"/>
  <c r="AR11372" i="1"/>
  <c r="AR11373" i="1"/>
  <c r="AR11374" i="1"/>
  <c r="AR11375" i="1"/>
  <c r="AR11376" i="1"/>
  <c r="AR11377" i="1"/>
  <c r="AR11378" i="1"/>
  <c r="AR11379" i="1"/>
  <c r="AR11380" i="1"/>
  <c r="AR11381" i="1"/>
  <c r="AR11382" i="1"/>
  <c r="AR11383" i="1"/>
  <c r="AR11384" i="1"/>
  <c r="AR11385" i="1"/>
  <c r="AR11386" i="1"/>
  <c r="AR11387" i="1"/>
  <c r="AR11388" i="1"/>
  <c r="AR11389" i="1"/>
  <c r="AR11390" i="1"/>
  <c r="AR11391" i="1"/>
  <c r="AR11392" i="1"/>
  <c r="AR11393" i="1"/>
  <c r="AR11394" i="1"/>
  <c r="AR11395" i="1"/>
  <c r="AR11396" i="1"/>
  <c r="AR11397" i="1"/>
  <c r="AR11398" i="1"/>
  <c r="AR11399" i="1"/>
  <c r="AR11400" i="1"/>
  <c r="AR11401" i="1"/>
  <c r="AR11402" i="1"/>
  <c r="AR11403" i="1"/>
  <c r="AR11404" i="1"/>
  <c r="AR11405" i="1"/>
  <c r="AR11406" i="1"/>
  <c r="AR11407" i="1"/>
  <c r="AR11408" i="1"/>
  <c r="AR11409" i="1"/>
  <c r="AR11410" i="1"/>
  <c r="AR11411" i="1"/>
  <c r="AR11412" i="1"/>
  <c r="AR11413" i="1"/>
  <c r="AR11414" i="1"/>
  <c r="AR11415" i="1"/>
  <c r="AR11416" i="1"/>
  <c r="AR11417" i="1"/>
  <c r="AR11418" i="1"/>
  <c r="AR11419" i="1"/>
  <c r="AR11420" i="1"/>
  <c r="AR11421" i="1"/>
  <c r="AR11422" i="1"/>
  <c r="AR11423" i="1"/>
  <c r="AR11424" i="1"/>
  <c r="AR11425" i="1"/>
  <c r="AR11426" i="1"/>
  <c r="AR11427" i="1"/>
  <c r="AR11428" i="1"/>
  <c r="AR11429" i="1"/>
  <c r="AR11430" i="1"/>
  <c r="AR11431" i="1"/>
  <c r="AR11432" i="1"/>
  <c r="AR11433" i="1"/>
  <c r="AR11434" i="1"/>
  <c r="AR11435" i="1"/>
  <c r="AR11436" i="1"/>
  <c r="AR11437" i="1"/>
  <c r="AR11438" i="1"/>
  <c r="AR11439" i="1"/>
  <c r="AR11440" i="1"/>
  <c r="AR11441" i="1"/>
  <c r="AR11442" i="1"/>
  <c r="AR11443" i="1"/>
  <c r="AR11444" i="1"/>
  <c r="AR11445" i="1"/>
  <c r="AR11446" i="1"/>
  <c r="AR11447" i="1"/>
  <c r="AR11448" i="1"/>
  <c r="AR11449" i="1"/>
  <c r="AR11450" i="1"/>
  <c r="AR11451" i="1"/>
  <c r="AR11452" i="1"/>
  <c r="AR11453" i="1"/>
  <c r="AR11454" i="1"/>
  <c r="AR11455" i="1"/>
  <c r="AR11456" i="1"/>
  <c r="AR11457" i="1"/>
  <c r="AR11458" i="1"/>
  <c r="AR11459" i="1"/>
  <c r="AR11460" i="1"/>
  <c r="AR11461" i="1"/>
  <c r="AR11462" i="1"/>
  <c r="AR11463" i="1"/>
  <c r="AR11464" i="1"/>
  <c r="AR11465" i="1"/>
  <c r="AR11466" i="1"/>
  <c r="AR11467" i="1"/>
  <c r="AR11468" i="1"/>
  <c r="AR11469" i="1"/>
  <c r="AR11470" i="1"/>
  <c r="AR11471" i="1"/>
  <c r="AR11472" i="1"/>
  <c r="AR11473" i="1"/>
  <c r="AR11474" i="1"/>
  <c r="AR11475" i="1"/>
  <c r="AR11476" i="1"/>
  <c r="AR11477" i="1"/>
  <c r="AR11478" i="1"/>
  <c r="AR11479" i="1"/>
  <c r="AR11480" i="1"/>
  <c r="AR11481" i="1"/>
  <c r="AR11482" i="1"/>
  <c r="AR11483" i="1"/>
  <c r="AR11484" i="1"/>
  <c r="AR11485" i="1"/>
  <c r="AR11486" i="1"/>
  <c r="AR11487" i="1"/>
  <c r="AR11488" i="1"/>
  <c r="AR11489" i="1"/>
  <c r="AR11490" i="1"/>
  <c r="AR11491" i="1"/>
  <c r="AR11492" i="1"/>
  <c r="AR11493" i="1"/>
  <c r="AR11494" i="1"/>
  <c r="AR11495" i="1"/>
  <c r="AR11496" i="1"/>
  <c r="AR11497" i="1"/>
  <c r="AR11498" i="1"/>
  <c r="AR11499" i="1"/>
  <c r="AR11500" i="1"/>
  <c r="AR11501" i="1"/>
  <c r="AR11502" i="1"/>
  <c r="AR11503" i="1"/>
  <c r="AR11504" i="1"/>
  <c r="AR11505" i="1"/>
  <c r="AR11506" i="1"/>
  <c r="AR11507" i="1"/>
  <c r="AR11508" i="1"/>
  <c r="AR11509" i="1"/>
  <c r="AR11510" i="1"/>
  <c r="AR11511" i="1"/>
  <c r="AR11512" i="1"/>
  <c r="AR11513" i="1"/>
  <c r="AR11514" i="1"/>
  <c r="AR11515" i="1"/>
  <c r="AR11516" i="1"/>
  <c r="AR11517" i="1"/>
  <c r="AR11518" i="1"/>
  <c r="AR11519" i="1"/>
  <c r="AR11520" i="1"/>
  <c r="AR11521" i="1"/>
  <c r="AR11522" i="1"/>
  <c r="AR11523" i="1"/>
  <c r="AR11524" i="1"/>
  <c r="AR11525" i="1"/>
  <c r="AR11526" i="1"/>
  <c r="AR11527" i="1"/>
  <c r="AR11528" i="1"/>
  <c r="AR11529" i="1"/>
  <c r="AR11530" i="1"/>
  <c r="AR11531" i="1"/>
  <c r="AR11532" i="1"/>
  <c r="AR11533" i="1"/>
  <c r="AR11534" i="1"/>
  <c r="AR11535" i="1"/>
  <c r="AR11536" i="1"/>
  <c r="AR11537" i="1"/>
  <c r="AR11538" i="1"/>
  <c r="AR11539" i="1"/>
  <c r="AR11540" i="1"/>
  <c r="AR11541" i="1"/>
  <c r="AR11542" i="1"/>
  <c r="AR11543" i="1"/>
  <c r="AR11544" i="1"/>
  <c r="AR11545" i="1"/>
  <c r="AR11546" i="1"/>
  <c r="AR11547" i="1"/>
  <c r="AR11548" i="1"/>
  <c r="AR11549" i="1"/>
  <c r="AR11550" i="1"/>
  <c r="AR11551" i="1"/>
  <c r="AR11552" i="1"/>
  <c r="AR11553" i="1"/>
  <c r="AR11554" i="1"/>
  <c r="AR11555" i="1"/>
  <c r="AR11556" i="1"/>
  <c r="AR11557" i="1"/>
  <c r="AR11558" i="1"/>
  <c r="AR11559" i="1"/>
  <c r="AR11560" i="1"/>
  <c r="AR11561" i="1"/>
  <c r="AR11562" i="1"/>
  <c r="AR11563" i="1"/>
  <c r="AR11564" i="1"/>
  <c r="AR11565" i="1"/>
  <c r="AR11566" i="1"/>
  <c r="AR11567" i="1"/>
  <c r="AR11568" i="1"/>
  <c r="AR11569" i="1"/>
  <c r="AR11570" i="1"/>
  <c r="AR11571" i="1"/>
  <c r="AR11572" i="1"/>
  <c r="AR11573" i="1"/>
  <c r="AR11574" i="1"/>
  <c r="AR11575" i="1"/>
  <c r="AR11576" i="1"/>
  <c r="AR11577" i="1"/>
  <c r="AR11578" i="1"/>
  <c r="AR11579" i="1"/>
  <c r="AR11580" i="1"/>
  <c r="AR11581" i="1"/>
  <c r="AR11582" i="1"/>
  <c r="AR11583" i="1"/>
  <c r="AR11584" i="1"/>
  <c r="AR11585" i="1"/>
  <c r="AR11586" i="1"/>
  <c r="AR11587" i="1"/>
  <c r="AR11588" i="1"/>
  <c r="AR11589" i="1"/>
  <c r="AR11590" i="1"/>
  <c r="AR11591" i="1"/>
  <c r="AR11592" i="1"/>
  <c r="AR11593" i="1"/>
  <c r="AR11594" i="1"/>
  <c r="AR11595" i="1"/>
  <c r="AR11596" i="1"/>
  <c r="AR11597" i="1"/>
  <c r="AR11598" i="1"/>
  <c r="AR11599" i="1"/>
  <c r="AR11600" i="1"/>
  <c r="AR11601" i="1"/>
  <c r="AR11602" i="1"/>
  <c r="AR11603" i="1"/>
  <c r="AR11604" i="1"/>
  <c r="AR11605" i="1"/>
  <c r="AR11606" i="1"/>
  <c r="AR11607" i="1"/>
  <c r="AR11608" i="1"/>
  <c r="AR11609" i="1"/>
  <c r="AR11610" i="1"/>
  <c r="AR11611" i="1"/>
  <c r="AR11612" i="1"/>
  <c r="AR11613" i="1"/>
  <c r="AR11614" i="1"/>
  <c r="AR11615" i="1"/>
  <c r="AR11616" i="1"/>
  <c r="AR11617" i="1"/>
  <c r="AR11618" i="1"/>
  <c r="AR11619" i="1"/>
  <c r="AR11620" i="1"/>
  <c r="AR11621" i="1"/>
  <c r="AR11622" i="1"/>
  <c r="AR11623" i="1"/>
  <c r="AR11624" i="1"/>
  <c r="AR11625" i="1"/>
  <c r="AR11626" i="1"/>
  <c r="AR11627" i="1"/>
  <c r="AR11628" i="1"/>
  <c r="AR11629" i="1"/>
  <c r="AR11630" i="1"/>
  <c r="AR11631" i="1"/>
  <c r="AR11632" i="1"/>
  <c r="AR11633" i="1"/>
  <c r="AR11634" i="1"/>
  <c r="AR11635" i="1"/>
  <c r="AR11636" i="1"/>
  <c r="AR11637" i="1"/>
  <c r="AR11638" i="1"/>
  <c r="AR11639" i="1"/>
  <c r="AR11640" i="1"/>
  <c r="AR11641" i="1"/>
  <c r="AR11642" i="1"/>
  <c r="AR11643" i="1"/>
  <c r="AR11644" i="1"/>
  <c r="AR11645" i="1"/>
  <c r="AR11646" i="1"/>
  <c r="AR11647" i="1"/>
  <c r="AR11648" i="1"/>
  <c r="AR11649" i="1"/>
  <c r="AR11650" i="1"/>
  <c r="AR11651" i="1"/>
  <c r="AR11652" i="1"/>
  <c r="AR11653" i="1"/>
  <c r="AR11654" i="1"/>
  <c r="AR11655" i="1"/>
  <c r="AR11656" i="1"/>
  <c r="AR11657" i="1"/>
  <c r="AR11658" i="1"/>
  <c r="AR11659" i="1"/>
  <c r="AR11660" i="1"/>
  <c r="AR11661" i="1"/>
  <c r="AR11662" i="1"/>
  <c r="AR11663" i="1"/>
  <c r="AR11664" i="1"/>
  <c r="AR11665" i="1"/>
  <c r="AR11666" i="1"/>
  <c r="AR11667" i="1"/>
  <c r="AR11668" i="1"/>
  <c r="AR11669" i="1"/>
  <c r="AR11670" i="1"/>
  <c r="AR11671" i="1"/>
  <c r="AR11672" i="1"/>
  <c r="AR11673" i="1"/>
  <c r="AR11674" i="1"/>
  <c r="AR11675" i="1"/>
  <c r="AR11676" i="1"/>
  <c r="AR11677" i="1"/>
  <c r="AR11678" i="1"/>
  <c r="AR11679" i="1"/>
  <c r="AR11680" i="1"/>
  <c r="AR11681" i="1"/>
  <c r="AR11682" i="1"/>
  <c r="AR11683" i="1"/>
  <c r="AR11684" i="1"/>
  <c r="AR11685" i="1"/>
  <c r="AR11686" i="1"/>
  <c r="AR11687" i="1"/>
  <c r="AR11688" i="1"/>
  <c r="AR11689" i="1"/>
  <c r="AR11690" i="1"/>
  <c r="AR11691" i="1"/>
  <c r="AR11692" i="1"/>
  <c r="AR11693" i="1"/>
  <c r="AR11694" i="1"/>
  <c r="AR11695" i="1"/>
  <c r="AR11696" i="1"/>
  <c r="AR11697" i="1"/>
  <c r="AR11698" i="1"/>
  <c r="AR11699" i="1"/>
  <c r="AR11700" i="1"/>
  <c r="AR11701" i="1"/>
  <c r="AR11702" i="1"/>
  <c r="AR11703" i="1"/>
  <c r="AR11704" i="1"/>
  <c r="AR11705" i="1"/>
  <c r="AR11706" i="1"/>
  <c r="AR11707" i="1"/>
  <c r="AR11708" i="1"/>
  <c r="AR11709" i="1"/>
  <c r="AR11710" i="1"/>
  <c r="AR11711" i="1"/>
  <c r="AR11712" i="1"/>
  <c r="AR11713" i="1"/>
  <c r="AR11714" i="1"/>
  <c r="AR11715" i="1"/>
  <c r="AR11716" i="1"/>
  <c r="AR11717" i="1"/>
  <c r="AR11718" i="1"/>
  <c r="AR11719" i="1"/>
  <c r="AR11720" i="1"/>
  <c r="AR11721" i="1"/>
  <c r="AR11722" i="1"/>
  <c r="AR11723" i="1"/>
  <c r="AR11724" i="1"/>
  <c r="AR11725" i="1"/>
  <c r="AR11726" i="1"/>
  <c r="AR11727" i="1"/>
  <c r="AR11728" i="1"/>
  <c r="AR11729" i="1"/>
  <c r="AR11730" i="1"/>
  <c r="AR11731" i="1"/>
  <c r="AR11732" i="1"/>
  <c r="AR11733" i="1"/>
  <c r="AR11734" i="1"/>
  <c r="AR11735" i="1"/>
  <c r="AR11736" i="1"/>
  <c r="AR11737" i="1"/>
  <c r="AR11738" i="1"/>
  <c r="AR11739" i="1"/>
  <c r="AR11740" i="1"/>
  <c r="AR11741" i="1"/>
  <c r="AR11742" i="1"/>
  <c r="AR11743" i="1"/>
  <c r="AR11744" i="1"/>
  <c r="AR11745" i="1"/>
  <c r="AR11746" i="1"/>
  <c r="AR11747" i="1"/>
  <c r="AR11748" i="1"/>
  <c r="AR11749" i="1"/>
  <c r="AR11750" i="1"/>
  <c r="AR11751" i="1"/>
  <c r="AR11752" i="1"/>
  <c r="AR11753" i="1"/>
  <c r="AR11754" i="1"/>
  <c r="AR11755" i="1"/>
  <c r="AR11756" i="1"/>
  <c r="AR11757" i="1"/>
  <c r="AR11758" i="1"/>
  <c r="AR11759" i="1"/>
  <c r="AR11760" i="1"/>
  <c r="AR11761" i="1"/>
  <c r="AR11762" i="1"/>
  <c r="AR11763" i="1"/>
  <c r="AR11764" i="1"/>
  <c r="AR11765" i="1"/>
  <c r="AR11766" i="1"/>
  <c r="AR11767" i="1"/>
  <c r="AR11768" i="1"/>
  <c r="AR11769" i="1"/>
  <c r="AR11770" i="1"/>
  <c r="AR11771" i="1"/>
  <c r="AR11772" i="1"/>
  <c r="AR11773" i="1"/>
  <c r="AR11774" i="1"/>
  <c r="AR11775" i="1"/>
  <c r="AR11776" i="1"/>
  <c r="AR11777" i="1"/>
  <c r="AR11778" i="1"/>
  <c r="AR11779" i="1"/>
  <c r="AR11780" i="1"/>
  <c r="AR11781" i="1"/>
  <c r="AR11782" i="1"/>
  <c r="AR11783" i="1"/>
  <c r="AR11784" i="1"/>
  <c r="AR11785" i="1"/>
  <c r="AR11786" i="1"/>
  <c r="AR11787" i="1"/>
  <c r="AR11788" i="1"/>
  <c r="AR11789" i="1"/>
  <c r="AR11790" i="1"/>
  <c r="AR11791" i="1"/>
  <c r="AR11792" i="1"/>
  <c r="AR11793" i="1"/>
  <c r="AR11794" i="1"/>
  <c r="AR11795" i="1"/>
  <c r="AR11796" i="1"/>
  <c r="AR11797" i="1"/>
  <c r="AR11798" i="1"/>
  <c r="AR11799" i="1"/>
  <c r="AR11800" i="1"/>
  <c r="AR11801" i="1"/>
  <c r="AR11802" i="1"/>
  <c r="AR11803" i="1"/>
  <c r="AR11804" i="1"/>
  <c r="AR11805" i="1"/>
  <c r="AR11806" i="1"/>
  <c r="AR11807" i="1"/>
  <c r="AR11808" i="1"/>
  <c r="AR11809" i="1"/>
  <c r="AR11810" i="1"/>
  <c r="AR11811" i="1"/>
  <c r="AR11812" i="1"/>
  <c r="AR11813" i="1"/>
  <c r="AR11814" i="1"/>
  <c r="AR11815" i="1"/>
  <c r="AR11816" i="1"/>
  <c r="AR11817" i="1"/>
  <c r="AR11818" i="1"/>
  <c r="AR11819" i="1"/>
  <c r="AR11820" i="1"/>
  <c r="AR11821" i="1"/>
  <c r="AR11822" i="1"/>
  <c r="AR11823" i="1"/>
  <c r="AR11824" i="1"/>
  <c r="AR11825" i="1"/>
  <c r="AR11826" i="1"/>
  <c r="AR11827" i="1"/>
  <c r="AR11828" i="1"/>
  <c r="AR11829" i="1"/>
  <c r="AR11830" i="1"/>
  <c r="AR11831" i="1"/>
  <c r="AR11832" i="1"/>
  <c r="AR11833" i="1"/>
  <c r="AR11834" i="1"/>
  <c r="AR11835" i="1"/>
  <c r="AR11836" i="1"/>
  <c r="AR11837" i="1"/>
  <c r="AR11838" i="1"/>
  <c r="AR11839" i="1"/>
  <c r="AR11840" i="1"/>
  <c r="AR11841" i="1"/>
  <c r="AR11842" i="1"/>
  <c r="AR11843" i="1"/>
  <c r="AR11844" i="1"/>
  <c r="AR11845" i="1"/>
  <c r="AR11846" i="1"/>
  <c r="AR11847" i="1"/>
  <c r="AR11848" i="1"/>
  <c r="AR11849" i="1"/>
  <c r="AR11850" i="1"/>
  <c r="AR11851" i="1"/>
  <c r="AR11852" i="1"/>
  <c r="AR11853" i="1"/>
  <c r="AR11854" i="1"/>
  <c r="AR11855" i="1"/>
  <c r="AR11856" i="1"/>
  <c r="AR11857" i="1"/>
  <c r="AR11858" i="1"/>
  <c r="AR11859" i="1"/>
  <c r="AR11860" i="1"/>
  <c r="AR11861" i="1"/>
  <c r="AR11862" i="1"/>
  <c r="AR11863" i="1"/>
  <c r="AR11864" i="1"/>
  <c r="AR11865" i="1"/>
  <c r="AR11866" i="1"/>
  <c r="AR11867" i="1"/>
  <c r="AR11868" i="1"/>
  <c r="AR11869" i="1"/>
  <c r="AR11870" i="1"/>
  <c r="AR11871" i="1"/>
  <c r="AR11872" i="1"/>
  <c r="AR11873" i="1"/>
  <c r="AR11874" i="1"/>
  <c r="AR11875" i="1"/>
  <c r="AR11876" i="1"/>
  <c r="AR11877" i="1"/>
  <c r="AR11878" i="1"/>
  <c r="AR11879" i="1"/>
  <c r="AR11880" i="1"/>
  <c r="AR11881" i="1"/>
  <c r="AR11882" i="1"/>
  <c r="AR11883" i="1"/>
  <c r="AR11884" i="1"/>
  <c r="AR11885" i="1"/>
  <c r="AR11886" i="1"/>
  <c r="AR11887" i="1"/>
  <c r="AR11888" i="1"/>
  <c r="AR11889" i="1"/>
  <c r="AR11890" i="1"/>
  <c r="AR11891" i="1"/>
  <c r="AR11892" i="1"/>
  <c r="AR11893" i="1"/>
  <c r="AR11894" i="1"/>
  <c r="AR11895" i="1"/>
  <c r="AR11896" i="1"/>
  <c r="AR11897" i="1"/>
  <c r="AR11898" i="1"/>
  <c r="AR11899" i="1"/>
  <c r="AR11900" i="1"/>
  <c r="AR11901" i="1"/>
  <c r="AR11902" i="1"/>
  <c r="AR11903" i="1"/>
  <c r="AR11904" i="1"/>
  <c r="AR11905" i="1"/>
  <c r="AR11906" i="1"/>
  <c r="AR11907" i="1"/>
  <c r="AR11908" i="1"/>
  <c r="AR11909" i="1"/>
  <c r="AR11910" i="1"/>
  <c r="AR11911" i="1"/>
  <c r="AR11912" i="1"/>
  <c r="AR11913" i="1"/>
  <c r="AR11914" i="1"/>
  <c r="AR11915" i="1"/>
  <c r="AR11916" i="1"/>
  <c r="AR11917" i="1"/>
  <c r="AR11918" i="1"/>
  <c r="AR11919" i="1"/>
  <c r="AR11920" i="1"/>
  <c r="AR11921" i="1"/>
  <c r="AR11922" i="1"/>
  <c r="AR11923" i="1"/>
  <c r="AR11924" i="1"/>
  <c r="AR11925" i="1"/>
  <c r="AR11926" i="1"/>
  <c r="AR11927" i="1"/>
  <c r="AR11928" i="1"/>
  <c r="AR11929" i="1"/>
  <c r="AR11930" i="1"/>
  <c r="AR11931" i="1"/>
  <c r="AR11932" i="1"/>
  <c r="AR11933" i="1"/>
  <c r="AR11934" i="1"/>
  <c r="AR11935" i="1"/>
  <c r="AR11936" i="1"/>
  <c r="AR11937" i="1"/>
  <c r="AR11938" i="1"/>
  <c r="AR11939" i="1"/>
  <c r="AR11940" i="1"/>
  <c r="AR11941" i="1"/>
  <c r="AR11942" i="1"/>
  <c r="AR11943" i="1"/>
  <c r="AR11944" i="1"/>
  <c r="AR11945" i="1"/>
  <c r="AR11946" i="1"/>
  <c r="AR11947" i="1"/>
  <c r="AR11948" i="1"/>
  <c r="AR11949" i="1"/>
  <c r="AR11950" i="1"/>
  <c r="AR11951" i="1"/>
  <c r="AR11952" i="1"/>
  <c r="AR11953" i="1"/>
  <c r="AR11954" i="1"/>
  <c r="AR11955" i="1"/>
  <c r="AR11956" i="1"/>
  <c r="AR11957" i="1"/>
  <c r="AR11958" i="1"/>
  <c r="AR11959" i="1"/>
  <c r="AR11960" i="1"/>
  <c r="AR11961" i="1"/>
  <c r="AR11962" i="1"/>
  <c r="AR11963" i="1"/>
  <c r="AR11964" i="1"/>
  <c r="AR11965" i="1"/>
  <c r="AR11966" i="1"/>
  <c r="AR11967" i="1"/>
  <c r="AR11968" i="1"/>
  <c r="AR11969" i="1"/>
  <c r="AR11970" i="1"/>
  <c r="AR11971" i="1"/>
  <c r="AR11972" i="1"/>
  <c r="AR11973" i="1"/>
  <c r="AR11974" i="1"/>
  <c r="AR11975" i="1"/>
  <c r="AR11976" i="1"/>
  <c r="AR11977" i="1"/>
  <c r="AR11978" i="1"/>
  <c r="AR11979" i="1"/>
  <c r="AR11980" i="1"/>
  <c r="AR11981" i="1"/>
  <c r="AR11982" i="1"/>
  <c r="AR11983" i="1"/>
  <c r="AR11984" i="1"/>
  <c r="AR11985" i="1"/>
  <c r="AR11986" i="1"/>
  <c r="AR11987" i="1"/>
  <c r="AR11988" i="1"/>
  <c r="AR11989" i="1"/>
  <c r="AR11990" i="1"/>
  <c r="AR11991" i="1"/>
  <c r="AR11992" i="1"/>
  <c r="AR11993" i="1"/>
  <c r="AR11994" i="1"/>
  <c r="AR11995" i="1"/>
  <c r="AR11996" i="1"/>
  <c r="AR11997" i="1"/>
  <c r="AR11998" i="1"/>
  <c r="AR11999" i="1"/>
  <c r="AR12000" i="1"/>
  <c r="AR12001" i="1"/>
  <c r="AR12002" i="1"/>
  <c r="AR12003" i="1"/>
  <c r="AR12004" i="1"/>
  <c r="AR12005" i="1"/>
  <c r="AR12006" i="1"/>
  <c r="AR12007" i="1"/>
  <c r="AR12008" i="1"/>
  <c r="AR12009" i="1"/>
  <c r="AR12010" i="1"/>
  <c r="AR12011" i="1"/>
  <c r="AR12012" i="1"/>
  <c r="AR12013" i="1"/>
  <c r="AR12014" i="1"/>
  <c r="AR12015" i="1"/>
  <c r="AR12016" i="1"/>
  <c r="AR12017" i="1"/>
  <c r="AR12018" i="1"/>
  <c r="AR12019" i="1"/>
  <c r="AR12020" i="1"/>
  <c r="AR12021" i="1"/>
  <c r="AR12022" i="1"/>
  <c r="AR12023" i="1"/>
  <c r="AR12024" i="1"/>
  <c r="AR12025" i="1"/>
  <c r="AR12026" i="1"/>
  <c r="AR12027" i="1"/>
  <c r="AR12028" i="1"/>
  <c r="AR12029" i="1"/>
  <c r="AR12030" i="1"/>
  <c r="AR12031" i="1"/>
  <c r="AR12032" i="1"/>
  <c r="AR12033" i="1"/>
  <c r="AR12034" i="1"/>
  <c r="AR12035" i="1"/>
  <c r="AR12036" i="1"/>
  <c r="AR12037" i="1"/>
  <c r="AR12038" i="1"/>
  <c r="AR12039" i="1"/>
  <c r="AR12040" i="1"/>
  <c r="AR12041" i="1"/>
  <c r="AR12042" i="1"/>
  <c r="AR12043" i="1"/>
  <c r="AR12044" i="1"/>
  <c r="AR12045" i="1"/>
  <c r="AR12046" i="1"/>
  <c r="AR12047" i="1"/>
  <c r="AR12048" i="1"/>
  <c r="AR12049" i="1"/>
  <c r="AR12050" i="1"/>
  <c r="AR12051" i="1"/>
  <c r="AR12052" i="1"/>
  <c r="AR12053" i="1"/>
  <c r="AR12054" i="1"/>
  <c r="AR12055" i="1"/>
  <c r="AR12056" i="1"/>
  <c r="AR12057" i="1"/>
  <c r="AR12058" i="1"/>
  <c r="AR12059" i="1"/>
  <c r="AR12060" i="1"/>
  <c r="AR12061" i="1"/>
  <c r="AR12062" i="1"/>
  <c r="AR12063" i="1"/>
  <c r="AR12064" i="1"/>
  <c r="AR12065" i="1"/>
  <c r="AR12066" i="1"/>
  <c r="AR12067" i="1"/>
  <c r="AR12068" i="1"/>
  <c r="AR12069" i="1"/>
  <c r="AR12070" i="1"/>
  <c r="AR12071" i="1"/>
  <c r="AR12072" i="1"/>
  <c r="AR12073" i="1"/>
  <c r="AR12074" i="1"/>
  <c r="AR12075" i="1"/>
  <c r="AR12076" i="1"/>
  <c r="AR12077" i="1"/>
  <c r="AR12078" i="1"/>
  <c r="AR12079" i="1"/>
  <c r="AR12080" i="1"/>
  <c r="AR12081" i="1"/>
  <c r="AR12082" i="1"/>
  <c r="AR12083" i="1"/>
  <c r="AR12084" i="1"/>
  <c r="AR12085" i="1"/>
  <c r="AR12086" i="1"/>
  <c r="AR12087" i="1"/>
  <c r="AR12088" i="1"/>
  <c r="AR12089" i="1"/>
  <c r="AR12090" i="1"/>
  <c r="AR12091" i="1"/>
  <c r="AR12092" i="1"/>
  <c r="AR12093" i="1"/>
  <c r="AR12094" i="1"/>
  <c r="AR12095" i="1"/>
  <c r="AR12096" i="1"/>
  <c r="AR12097" i="1"/>
  <c r="AR12098" i="1"/>
  <c r="AR12099" i="1"/>
  <c r="AR12100" i="1"/>
  <c r="AR12101" i="1"/>
  <c r="AR12102" i="1"/>
  <c r="AR12103" i="1"/>
  <c r="AR12104" i="1"/>
  <c r="AR12105" i="1"/>
  <c r="AR12106" i="1"/>
  <c r="AR12107" i="1"/>
  <c r="AR12108" i="1"/>
  <c r="AR12109" i="1"/>
  <c r="AR12110" i="1"/>
  <c r="AR12111" i="1"/>
  <c r="AR12112" i="1"/>
  <c r="AR12113" i="1"/>
  <c r="AR12114" i="1"/>
  <c r="AR12115" i="1"/>
  <c r="AR12116" i="1"/>
  <c r="AR12117" i="1"/>
  <c r="AR12118" i="1"/>
  <c r="AR12119" i="1"/>
  <c r="AR12120" i="1"/>
  <c r="AR12121" i="1"/>
  <c r="AR12122" i="1"/>
  <c r="AR12123" i="1"/>
  <c r="AR12124" i="1"/>
  <c r="AR12125" i="1"/>
  <c r="AR12126" i="1"/>
  <c r="AR12127" i="1"/>
  <c r="AR12128" i="1"/>
  <c r="AR12129" i="1"/>
  <c r="AR12130" i="1"/>
  <c r="AR12131" i="1"/>
  <c r="AR12132" i="1"/>
  <c r="AR12133" i="1"/>
  <c r="AR12134" i="1"/>
  <c r="AR12135" i="1"/>
  <c r="AR12136" i="1"/>
  <c r="AR12137" i="1"/>
  <c r="AR12138" i="1"/>
  <c r="AR12139" i="1"/>
  <c r="AR12140" i="1"/>
  <c r="AR12141" i="1"/>
  <c r="AR12142" i="1"/>
  <c r="AR12143" i="1"/>
  <c r="AR12144" i="1"/>
  <c r="AR12145" i="1"/>
  <c r="AR12146" i="1"/>
  <c r="AR12147" i="1"/>
  <c r="AR12148" i="1"/>
  <c r="AR12149" i="1"/>
  <c r="AR12150" i="1"/>
  <c r="AR12151" i="1"/>
  <c r="AR12152" i="1"/>
  <c r="AR12153" i="1"/>
  <c r="AR12154" i="1"/>
  <c r="AR12155" i="1"/>
  <c r="AR12156" i="1"/>
  <c r="AR12157" i="1"/>
  <c r="AR12158" i="1"/>
  <c r="AR12159" i="1"/>
  <c r="AR12160" i="1"/>
  <c r="AR12161" i="1"/>
  <c r="AR12162" i="1"/>
  <c r="AR12163" i="1"/>
  <c r="AR12164" i="1"/>
  <c r="AR12165" i="1"/>
  <c r="AR12166" i="1"/>
  <c r="AR12167" i="1"/>
  <c r="AR12168" i="1"/>
  <c r="AR12169" i="1"/>
  <c r="AR12170" i="1"/>
  <c r="AR12171" i="1"/>
  <c r="AR12172" i="1"/>
  <c r="AR12173" i="1"/>
  <c r="AR12174" i="1"/>
  <c r="AR12175" i="1"/>
  <c r="AR12176" i="1"/>
  <c r="AR12177" i="1"/>
  <c r="AR12178" i="1"/>
  <c r="AR12179" i="1"/>
  <c r="AR12180" i="1"/>
  <c r="AR12181" i="1"/>
  <c r="AR12182" i="1"/>
  <c r="AR12183" i="1"/>
  <c r="AR12184" i="1"/>
  <c r="AR12185" i="1"/>
  <c r="AR12186" i="1"/>
  <c r="AR12187" i="1"/>
  <c r="AR12188" i="1"/>
  <c r="AR12189" i="1"/>
  <c r="AR12190" i="1"/>
  <c r="AR12191" i="1"/>
  <c r="AR12192" i="1"/>
  <c r="AR12193" i="1"/>
  <c r="AR12194" i="1"/>
  <c r="AR12195" i="1"/>
  <c r="AR12196" i="1"/>
  <c r="AR12197" i="1"/>
  <c r="AR12198" i="1"/>
  <c r="AR12199" i="1"/>
  <c r="AR12200" i="1"/>
  <c r="AR12201" i="1"/>
  <c r="AR12202" i="1"/>
  <c r="AR12203" i="1"/>
  <c r="AR12204" i="1"/>
  <c r="AR12205" i="1"/>
  <c r="AR12206" i="1"/>
  <c r="AR12207" i="1"/>
  <c r="AR12208" i="1"/>
  <c r="AR12209" i="1"/>
  <c r="AR12210" i="1"/>
  <c r="AR12211" i="1"/>
  <c r="AR12212" i="1"/>
  <c r="AR12213" i="1"/>
  <c r="AR12214" i="1"/>
  <c r="AR12215" i="1"/>
  <c r="AR12216" i="1"/>
  <c r="AR12217" i="1"/>
  <c r="AR12218" i="1"/>
  <c r="AR12219" i="1"/>
  <c r="AR12220" i="1"/>
  <c r="AR12221" i="1"/>
  <c r="AR12222" i="1"/>
  <c r="AR12223" i="1"/>
  <c r="AR12224" i="1"/>
  <c r="AR12225" i="1"/>
  <c r="AR12226" i="1"/>
  <c r="AR12227" i="1"/>
  <c r="AR12228" i="1"/>
  <c r="AR12229" i="1"/>
  <c r="AR12230" i="1"/>
  <c r="AR12231" i="1"/>
  <c r="AR12232" i="1"/>
  <c r="AR12233" i="1"/>
  <c r="AR12234" i="1"/>
  <c r="AR12235" i="1"/>
  <c r="AR12236" i="1"/>
  <c r="AR12237" i="1"/>
  <c r="AR12238" i="1"/>
  <c r="AR12239" i="1"/>
  <c r="AR12240" i="1"/>
  <c r="AR12241" i="1"/>
  <c r="AR12242" i="1"/>
  <c r="AR12243" i="1"/>
  <c r="AR12244" i="1"/>
  <c r="AR12245" i="1"/>
  <c r="AR12246" i="1"/>
  <c r="AR12247" i="1"/>
  <c r="AR12248" i="1"/>
  <c r="AR12249" i="1"/>
  <c r="AR12250" i="1"/>
  <c r="AR12251" i="1"/>
  <c r="AR12252" i="1"/>
  <c r="AR12253" i="1"/>
  <c r="AR12254" i="1"/>
  <c r="AR12255" i="1"/>
  <c r="AR12256" i="1"/>
  <c r="AR12257" i="1"/>
  <c r="AR12258" i="1"/>
  <c r="AR12259" i="1"/>
  <c r="AR12260" i="1"/>
  <c r="AR12261" i="1"/>
  <c r="AR12262" i="1"/>
  <c r="AR12263" i="1"/>
  <c r="AR12264" i="1"/>
  <c r="AR12265" i="1"/>
  <c r="AR12266" i="1"/>
  <c r="AR12267" i="1"/>
  <c r="AR12268" i="1"/>
  <c r="AR12269" i="1"/>
  <c r="AR12270" i="1"/>
  <c r="AR12271" i="1"/>
  <c r="AR12272" i="1"/>
  <c r="AR12273" i="1"/>
  <c r="AR12274" i="1"/>
  <c r="AR12275" i="1"/>
  <c r="AR12276" i="1"/>
  <c r="AR12277" i="1"/>
  <c r="AR12278" i="1"/>
  <c r="AR12279" i="1"/>
  <c r="AR12280" i="1"/>
  <c r="AR12281" i="1"/>
  <c r="AR12282" i="1"/>
  <c r="AR12283" i="1"/>
  <c r="AR12284" i="1"/>
  <c r="AR12285" i="1"/>
  <c r="AR12286" i="1"/>
  <c r="AR12287" i="1"/>
  <c r="AR12288" i="1"/>
  <c r="AR12289" i="1"/>
  <c r="AR12290" i="1"/>
  <c r="AR12291" i="1"/>
  <c r="AR12292" i="1"/>
  <c r="AR12293" i="1"/>
  <c r="AR12294" i="1"/>
  <c r="AR12295" i="1"/>
  <c r="AR12296" i="1"/>
  <c r="AR12297" i="1"/>
  <c r="AR12298" i="1"/>
  <c r="AR12299" i="1"/>
  <c r="AR12300" i="1"/>
  <c r="AR12301" i="1"/>
  <c r="AR12302" i="1"/>
  <c r="AR12303" i="1"/>
  <c r="AR12304" i="1"/>
  <c r="AR12305" i="1"/>
  <c r="AR12306" i="1"/>
  <c r="AR12307" i="1"/>
  <c r="AR12308" i="1"/>
  <c r="AR12309" i="1"/>
  <c r="AR12310" i="1"/>
  <c r="AR12311" i="1"/>
  <c r="AR12312" i="1"/>
  <c r="AR12313" i="1"/>
  <c r="AR12314" i="1"/>
  <c r="AR12315" i="1"/>
  <c r="AR12316" i="1"/>
  <c r="AR12317" i="1"/>
  <c r="AR12318" i="1"/>
  <c r="AR12319" i="1"/>
  <c r="AR12320" i="1"/>
  <c r="AR12321" i="1"/>
  <c r="AR12322" i="1"/>
  <c r="AR12323" i="1"/>
  <c r="AR12324" i="1"/>
  <c r="AR12325" i="1"/>
  <c r="AR12326" i="1"/>
  <c r="AR12327" i="1"/>
  <c r="AR12328" i="1"/>
  <c r="AR12329" i="1"/>
  <c r="AR12330" i="1"/>
  <c r="AR12331" i="1"/>
  <c r="AR12332" i="1"/>
  <c r="AR12333" i="1"/>
  <c r="AR12334" i="1"/>
  <c r="AR12335" i="1"/>
  <c r="AR12336" i="1"/>
  <c r="AR12337" i="1"/>
  <c r="AR12338" i="1"/>
  <c r="AR12339" i="1"/>
  <c r="AR12340" i="1"/>
  <c r="AR12341" i="1"/>
  <c r="AR12342" i="1"/>
  <c r="AR12343" i="1"/>
  <c r="AR12344" i="1"/>
  <c r="AR12345" i="1"/>
  <c r="AR12346" i="1"/>
  <c r="AR12347" i="1"/>
  <c r="AR12348" i="1"/>
  <c r="AR12349" i="1"/>
  <c r="AR12350" i="1"/>
  <c r="AR12351" i="1"/>
  <c r="AR12352" i="1"/>
  <c r="AR12353" i="1"/>
  <c r="AR12354" i="1"/>
  <c r="AR12355" i="1"/>
  <c r="AR12356" i="1"/>
  <c r="AR12357" i="1"/>
  <c r="AR12358" i="1"/>
  <c r="AR12359" i="1"/>
  <c r="AR12360" i="1"/>
  <c r="AR12361" i="1"/>
  <c r="AR12362" i="1"/>
  <c r="AR12363" i="1"/>
  <c r="AR12364" i="1"/>
  <c r="AR12365" i="1"/>
  <c r="AR12366" i="1"/>
  <c r="AR12367" i="1"/>
  <c r="AR12368" i="1"/>
  <c r="AR12369" i="1"/>
  <c r="AR12370" i="1"/>
  <c r="AR12371" i="1"/>
  <c r="AR12372" i="1"/>
  <c r="AR12373" i="1"/>
  <c r="AR12374" i="1"/>
  <c r="AR12375" i="1"/>
  <c r="AR12376" i="1"/>
  <c r="AR12377" i="1"/>
  <c r="AR12378" i="1"/>
  <c r="AR12379" i="1"/>
  <c r="AR12380" i="1"/>
  <c r="AR12381" i="1"/>
  <c r="AR12382" i="1"/>
  <c r="AR12383" i="1"/>
  <c r="AR12384" i="1"/>
  <c r="AR12385" i="1"/>
  <c r="AR12386" i="1"/>
  <c r="AR12387" i="1"/>
  <c r="AR12388" i="1"/>
  <c r="AR12389" i="1"/>
  <c r="AR12390" i="1"/>
  <c r="AR12391" i="1"/>
  <c r="AR12392" i="1"/>
  <c r="AR12393" i="1"/>
  <c r="AR12394" i="1"/>
  <c r="AR12395" i="1"/>
  <c r="AR12396" i="1"/>
  <c r="AR12397" i="1"/>
  <c r="AR12398" i="1"/>
  <c r="AR12399" i="1"/>
  <c r="AR12400" i="1"/>
  <c r="AR12401" i="1"/>
  <c r="AR12402" i="1"/>
  <c r="AR12403" i="1"/>
  <c r="AR12404" i="1"/>
  <c r="AR12405" i="1"/>
  <c r="AR12406" i="1"/>
  <c r="AR12407" i="1"/>
  <c r="AR12408" i="1"/>
  <c r="AR12409" i="1"/>
  <c r="AR12410" i="1"/>
  <c r="AR12411" i="1"/>
  <c r="AR12412" i="1"/>
  <c r="AR12413" i="1"/>
  <c r="AR12414" i="1"/>
  <c r="AR12415" i="1"/>
  <c r="AR12416" i="1"/>
  <c r="AR12417" i="1"/>
  <c r="AR12418" i="1"/>
  <c r="AR12419" i="1"/>
  <c r="AR12420" i="1"/>
  <c r="AR12421" i="1"/>
  <c r="AR12422" i="1"/>
  <c r="AR12423" i="1"/>
  <c r="AR12424" i="1"/>
  <c r="AR12425" i="1"/>
  <c r="AR12426" i="1"/>
  <c r="AR12427" i="1"/>
  <c r="AR12428" i="1"/>
  <c r="AR12429" i="1"/>
  <c r="AR12430" i="1"/>
  <c r="AR12431" i="1"/>
  <c r="AR12432" i="1"/>
  <c r="AR12433" i="1"/>
  <c r="AR12434" i="1"/>
  <c r="AR12435" i="1"/>
  <c r="AR12436" i="1"/>
  <c r="AR12437" i="1"/>
  <c r="AR12438" i="1"/>
  <c r="AR12439" i="1"/>
  <c r="AR12440" i="1"/>
  <c r="AR12441" i="1"/>
  <c r="AR12442" i="1"/>
  <c r="AR12443" i="1"/>
  <c r="AR12444" i="1"/>
  <c r="AR12445" i="1"/>
  <c r="AR12446" i="1"/>
  <c r="AR12447" i="1"/>
  <c r="AR12448" i="1"/>
  <c r="AR12449" i="1"/>
  <c r="AR12450" i="1"/>
  <c r="AR12451" i="1"/>
  <c r="AR12452" i="1"/>
  <c r="AR12453" i="1"/>
  <c r="AR12454" i="1"/>
  <c r="AR12455" i="1"/>
  <c r="AR12456" i="1"/>
  <c r="AR12457" i="1"/>
  <c r="AR12458" i="1"/>
  <c r="AR12459" i="1"/>
  <c r="AR12460" i="1"/>
  <c r="AR12461" i="1"/>
  <c r="AR12462" i="1"/>
  <c r="AR12463" i="1"/>
  <c r="AR12464" i="1"/>
  <c r="AR12465" i="1"/>
  <c r="AR12466" i="1"/>
  <c r="AR12467" i="1"/>
  <c r="AR12468" i="1"/>
  <c r="AR12469" i="1"/>
  <c r="AR12470" i="1"/>
  <c r="AR12471" i="1"/>
  <c r="AR12472" i="1"/>
  <c r="AR12473" i="1"/>
  <c r="AR12474" i="1"/>
  <c r="AR12475" i="1"/>
  <c r="AR12476" i="1"/>
  <c r="AR12477" i="1"/>
  <c r="AR12478" i="1"/>
  <c r="AR12479" i="1"/>
  <c r="AR12480" i="1"/>
  <c r="AR12481" i="1"/>
  <c r="AR12482" i="1"/>
  <c r="AR12483" i="1"/>
  <c r="AR12484" i="1"/>
  <c r="AR12485" i="1"/>
  <c r="AR12486" i="1"/>
  <c r="AR12487" i="1"/>
  <c r="AR12488" i="1"/>
  <c r="AR12489" i="1"/>
  <c r="AR12490" i="1"/>
  <c r="AR12491" i="1"/>
  <c r="AR12492" i="1"/>
  <c r="AR12493" i="1"/>
  <c r="AR12494" i="1"/>
  <c r="AR12495" i="1"/>
  <c r="AR12496" i="1"/>
  <c r="AR12497" i="1"/>
  <c r="AR12498" i="1"/>
  <c r="AR12499" i="1"/>
  <c r="AR12500" i="1"/>
  <c r="AR12501" i="1"/>
  <c r="AR12502" i="1"/>
  <c r="AR12503" i="1"/>
  <c r="AR12504" i="1"/>
  <c r="AR12505" i="1"/>
  <c r="AR12506" i="1"/>
  <c r="AR12507" i="1"/>
  <c r="AR12508" i="1"/>
  <c r="AR12509" i="1"/>
  <c r="AR12510" i="1"/>
  <c r="AR12511" i="1"/>
  <c r="AR12512" i="1"/>
  <c r="AR12513" i="1"/>
  <c r="AR12514" i="1"/>
  <c r="AR12515" i="1"/>
  <c r="AR12516" i="1"/>
  <c r="AR12517" i="1"/>
  <c r="AR12518" i="1"/>
  <c r="AR12519" i="1"/>
  <c r="AR12520" i="1"/>
  <c r="AR12521" i="1"/>
  <c r="AR12522" i="1"/>
  <c r="AR12523" i="1"/>
  <c r="AR12524" i="1"/>
  <c r="AR12525" i="1"/>
  <c r="AR12526" i="1"/>
  <c r="AR12527" i="1"/>
  <c r="AR12528" i="1"/>
  <c r="AR12529" i="1"/>
  <c r="AR12530" i="1"/>
  <c r="AR12531" i="1"/>
  <c r="AR12532" i="1"/>
  <c r="AR12533" i="1"/>
  <c r="AR12534" i="1"/>
  <c r="AR12535" i="1"/>
  <c r="AR12536" i="1"/>
  <c r="AR12537" i="1"/>
  <c r="AR12538" i="1"/>
  <c r="AR12539" i="1"/>
  <c r="AR12540" i="1"/>
  <c r="AR12541" i="1"/>
  <c r="AR12542" i="1"/>
  <c r="AR12543" i="1"/>
  <c r="AR12544" i="1"/>
  <c r="AR12545" i="1"/>
  <c r="AR12546" i="1"/>
  <c r="AR12547" i="1"/>
  <c r="AR12548" i="1"/>
  <c r="AR12549" i="1"/>
  <c r="AR12550" i="1"/>
  <c r="AR12551" i="1"/>
  <c r="AR12552" i="1"/>
  <c r="AR12553" i="1"/>
  <c r="AR12554" i="1"/>
  <c r="AR12555" i="1"/>
  <c r="AR12556" i="1"/>
  <c r="AR12557" i="1"/>
  <c r="AR12558" i="1"/>
  <c r="AR12559" i="1"/>
  <c r="AR12560" i="1"/>
  <c r="AR12561" i="1"/>
  <c r="AR12562" i="1"/>
  <c r="AR12563" i="1"/>
  <c r="AR12564" i="1"/>
  <c r="AR12565" i="1"/>
  <c r="AR12566" i="1"/>
  <c r="AR12567" i="1"/>
  <c r="AR12568" i="1"/>
  <c r="AR12569" i="1"/>
  <c r="AR12570" i="1"/>
  <c r="AR12571" i="1"/>
  <c r="AR12572" i="1"/>
  <c r="AR12573" i="1"/>
  <c r="AR12574" i="1"/>
  <c r="AR12575" i="1"/>
  <c r="AR12576" i="1"/>
  <c r="AR12577" i="1"/>
  <c r="AR12578" i="1"/>
  <c r="AR12579" i="1"/>
  <c r="AR12580" i="1"/>
  <c r="AR12581" i="1"/>
  <c r="AR12582" i="1"/>
  <c r="AR12583" i="1"/>
  <c r="AR12584" i="1"/>
  <c r="AR12585" i="1"/>
  <c r="AR12586" i="1"/>
  <c r="AR12587" i="1"/>
  <c r="AR12588" i="1"/>
  <c r="AR12589" i="1"/>
  <c r="AR12590" i="1"/>
  <c r="AR12591" i="1"/>
  <c r="AR12592" i="1"/>
  <c r="AR12593" i="1"/>
  <c r="AR12594" i="1"/>
  <c r="AR12595" i="1"/>
  <c r="AR12596" i="1"/>
  <c r="AR12597" i="1"/>
  <c r="AR12598" i="1"/>
  <c r="AR12599" i="1"/>
  <c r="AR12600" i="1"/>
  <c r="AR12601" i="1"/>
  <c r="AR12602" i="1"/>
  <c r="AR12603" i="1"/>
  <c r="AR12604" i="1"/>
  <c r="AR12605" i="1"/>
  <c r="AR12606" i="1"/>
  <c r="AR12607" i="1"/>
  <c r="AR12608" i="1"/>
  <c r="AR12609" i="1"/>
  <c r="AR12610" i="1"/>
  <c r="AR12611" i="1"/>
  <c r="AR12612" i="1"/>
  <c r="AR12613" i="1"/>
  <c r="AR12614" i="1"/>
  <c r="AR12615" i="1"/>
  <c r="AR12616" i="1"/>
  <c r="AR12617" i="1"/>
  <c r="AR12618" i="1"/>
  <c r="AR12619" i="1"/>
  <c r="AR12620" i="1"/>
  <c r="AR12621" i="1"/>
  <c r="AR12622" i="1"/>
  <c r="AR12623" i="1"/>
  <c r="AR12624" i="1"/>
  <c r="AR12625" i="1"/>
  <c r="AR12626" i="1"/>
  <c r="AR12627" i="1"/>
  <c r="AR12628" i="1"/>
  <c r="AR12629" i="1"/>
  <c r="AR12630" i="1"/>
  <c r="AR12631" i="1"/>
  <c r="AR12632" i="1"/>
  <c r="AR12633" i="1"/>
  <c r="AR12634" i="1"/>
  <c r="AR12635" i="1"/>
  <c r="AR12636" i="1"/>
  <c r="AR12637" i="1"/>
  <c r="AR12638" i="1"/>
  <c r="AR12639" i="1"/>
  <c r="AR12640" i="1"/>
  <c r="AR12641" i="1"/>
  <c r="AR12642" i="1"/>
  <c r="AR12643" i="1"/>
  <c r="AR12644" i="1"/>
  <c r="AR12645" i="1"/>
  <c r="AR12646" i="1"/>
  <c r="AR12647" i="1"/>
  <c r="AR12648" i="1"/>
  <c r="AR12649" i="1"/>
  <c r="AR12650" i="1"/>
  <c r="AR12651" i="1"/>
  <c r="AR12652" i="1"/>
  <c r="AR12653" i="1"/>
  <c r="AR12654" i="1"/>
  <c r="AR12655" i="1"/>
  <c r="AR12656" i="1"/>
  <c r="AR12657" i="1"/>
  <c r="AR12658" i="1"/>
  <c r="AR12659" i="1"/>
  <c r="AR12660" i="1"/>
  <c r="AR12661" i="1"/>
  <c r="AR12662" i="1"/>
  <c r="AR12663" i="1"/>
  <c r="AR12664" i="1"/>
  <c r="AR12665" i="1"/>
  <c r="AR12666" i="1"/>
  <c r="AR12667" i="1"/>
  <c r="AR12668" i="1"/>
  <c r="AR12669" i="1"/>
  <c r="AR12670" i="1"/>
  <c r="AR12671" i="1"/>
  <c r="AR12672" i="1"/>
  <c r="AR12673" i="1"/>
  <c r="AR12674" i="1"/>
  <c r="AR12675" i="1"/>
  <c r="AR12676" i="1"/>
  <c r="AR12677" i="1"/>
  <c r="AR12678" i="1"/>
  <c r="AR12679" i="1"/>
  <c r="AR12680" i="1"/>
  <c r="AR12681" i="1"/>
  <c r="AR12682" i="1"/>
  <c r="AR12683" i="1"/>
  <c r="AR12684" i="1"/>
  <c r="AR12685" i="1"/>
  <c r="AR12686" i="1"/>
  <c r="AR12687" i="1"/>
  <c r="AR12688" i="1"/>
  <c r="AR12689" i="1"/>
  <c r="AR12690" i="1"/>
  <c r="AR12691" i="1"/>
  <c r="AR12692" i="1"/>
  <c r="AR12693" i="1"/>
  <c r="AR12694" i="1"/>
  <c r="AR12695" i="1"/>
  <c r="AR12696" i="1"/>
  <c r="AR12697" i="1"/>
  <c r="AR12698" i="1"/>
  <c r="AR12699" i="1"/>
  <c r="AR12700" i="1"/>
  <c r="AR12701" i="1"/>
  <c r="AR12702" i="1"/>
  <c r="AR12703" i="1"/>
  <c r="AR12704" i="1"/>
  <c r="AR12705" i="1"/>
  <c r="AR12706" i="1"/>
  <c r="AR12707" i="1"/>
  <c r="AR12708" i="1"/>
  <c r="AR12709" i="1"/>
  <c r="AR12710" i="1"/>
  <c r="AR12711" i="1"/>
  <c r="AR12712" i="1"/>
  <c r="AR12713" i="1"/>
  <c r="AR12714" i="1"/>
  <c r="AR12715" i="1"/>
  <c r="AR12716" i="1"/>
  <c r="AR12717" i="1"/>
  <c r="AR12718" i="1"/>
  <c r="AR12719" i="1"/>
  <c r="AR12720" i="1"/>
  <c r="AR12721" i="1"/>
  <c r="AR12722" i="1"/>
  <c r="AR12723" i="1"/>
  <c r="AR12724" i="1"/>
  <c r="AR12725" i="1"/>
  <c r="AR12726" i="1"/>
  <c r="AR12727" i="1"/>
  <c r="AR12728" i="1"/>
  <c r="AR12729" i="1"/>
  <c r="AR12730" i="1"/>
  <c r="AR12731" i="1"/>
  <c r="AR12732" i="1"/>
  <c r="AR12733" i="1"/>
  <c r="AR12734" i="1"/>
  <c r="AR12735" i="1"/>
  <c r="AR12736" i="1"/>
  <c r="AR12737" i="1"/>
  <c r="AR12738" i="1"/>
  <c r="AR12739" i="1"/>
  <c r="AR12740" i="1"/>
  <c r="AR12741" i="1"/>
  <c r="AR12742" i="1"/>
  <c r="AR12743" i="1"/>
  <c r="AR12744" i="1"/>
  <c r="AR12745" i="1"/>
  <c r="AR12746" i="1"/>
  <c r="AR12747" i="1"/>
  <c r="AR12748" i="1"/>
  <c r="AR12749" i="1"/>
  <c r="AR12750" i="1"/>
  <c r="AR12751" i="1"/>
  <c r="AR12752" i="1"/>
  <c r="AR12753" i="1"/>
  <c r="AR12754" i="1"/>
  <c r="AR12755" i="1"/>
  <c r="AR12756" i="1"/>
  <c r="AR12757" i="1"/>
  <c r="AR12758" i="1"/>
  <c r="AR12759" i="1"/>
  <c r="AR12760" i="1"/>
  <c r="AR12761" i="1"/>
  <c r="AR12762" i="1"/>
  <c r="AR12763" i="1"/>
  <c r="AR12764" i="1"/>
  <c r="AR12765" i="1"/>
  <c r="AR12766" i="1"/>
  <c r="AR12767" i="1"/>
  <c r="AR12768" i="1"/>
  <c r="AR12769" i="1"/>
  <c r="AR12770" i="1"/>
  <c r="AR12771" i="1"/>
  <c r="AR12772" i="1"/>
  <c r="AR12773" i="1"/>
  <c r="AR12774" i="1"/>
  <c r="AR12775" i="1"/>
  <c r="AR12776" i="1"/>
  <c r="AR12777" i="1"/>
  <c r="AR12778" i="1"/>
  <c r="AR12779" i="1"/>
  <c r="AR12780" i="1"/>
  <c r="AR12781" i="1"/>
  <c r="AR12782" i="1"/>
  <c r="AR12783" i="1"/>
  <c r="AR12784" i="1"/>
  <c r="AR12785" i="1"/>
  <c r="AR12786" i="1"/>
  <c r="AR12787" i="1"/>
  <c r="AR12788" i="1"/>
  <c r="AR12789" i="1"/>
  <c r="AR12790" i="1"/>
  <c r="AR12791" i="1"/>
  <c r="AR12792" i="1"/>
  <c r="AR12793" i="1"/>
  <c r="AR12794" i="1"/>
  <c r="AR12795" i="1"/>
  <c r="AR12796" i="1"/>
  <c r="AR12797" i="1"/>
  <c r="AR12798" i="1"/>
  <c r="AR12799" i="1"/>
  <c r="AR12800" i="1"/>
  <c r="AR12801" i="1"/>
  <c r="AR12802" i="1"/>
  <c r="AR12803" i="1"/>
  <c r="AR12804" i="1"/>
  <c r="AR12805" i="1"/>
  <c r="AR12806" i="1"/>
  <c r="AR12807" i="1"/>
  <c r="AR12808" i="1"/>
  <c r="AR12809" i="1"/>
  <c r="AR12810" i="1"/>
  <c r="AR12811" i="1"/>
  <c r="AR12812" i="1"/>
  <c r="AR12813" i="1"/>
  <c r="AR12814" i="1"/>
  <c r="AR12815" i="1"/>
  <c r="AR12816" i="1"/>
  <c r="AR12817" i="1"/>
  <c r="AR12818" i="1"/>
  <c r="AR12819" i="1"/>
  <c r="AR12820" i="1"/>
  <c r="AR12821" i="1"/>
  <c r="AR12822" i="1"/>
  <c r="AR12823" i="1"/>
  <c r="AR12824" i="1"/>
  <c r="AR12825" i="1"/>
  <c r="AR12826" i="1"/>
  <c r="AR12827" i="1"/>
  <c r="AR12828" i="1"/>
  <c r="AR12829" i="1"/>
  <c r="AR12830" i="1"/>
  <c r="AR12831" i="1"/>
  <c r="AR12832" i="1"/>
  <c r="AR12833" i="1"/>
  <c r="AR12834" i="1"/>
  <c r="AR12835" i="1"/>
  <c r="AR12836" i="1"/>
  <c r="AR12837" i="1"/>
  <c r="AR12838" i="1"/>
  <c r="AR12839" i="1"/>
  <c r="AR12840" i="1"/>
  <c r="AR12841" i="1"/>
  <c r="AR12842" i="1"/>
  <c r="AR12843" i="1"/>
  <c r="AR12844" i="1"/>
  <c r="AR12845" i="1"/>
  <c r="AR12846" i="1"/>
  <c r="AR12847" i="1"/>
  <c r="AR12848" i="1"/>
  <c r="AR12849" i="1"/>
  <c r="AR12850" i="1"/>
  <c r="AR12851" i="1"/>
  <c r="AR12852" i="1"/>
  <c r="AR12853" i="1"/>
  <c r="AR12854" i="1"/>
  <c r="AR12855" i="1"/>
  <c r="AR12856" i="1"/>
  <c r="AR12857" i="1"/>
  <c r="AR12858" i="1"/>
  <c r="AR12859" i="1"/>
  <c r="AR12860" i="1"/>
  <c r="AR12861" i="1"/>
  <c r="AR12862" i="1"/>
  <c r="AR12863" i="1"/>
  <c r="AR12864" i="1"/>
  <c r="AR12865" i="1"/>
  <c r="AR12866" i="1"/>
  <c r="AR12867" i="1"/>
  <c r="AR12868" i="1"/>
  <c r="AR12869" i="1"/>
  <c r="AR12870" i="1"/>
  <c r="AR12871" i="1"/>
  <c r="AR12872" i="1"/>
  <c r="AR12873" i="1"/>
  <c r="AR12874" i="1"/>
  <c r="AR12875" i="1"/>
  <c r="AR12876" i="1"/>
  <c r="AR12877" i="1"/>
  <c r="AR12878" i="1"/>
  <c r="AR12879" i="1"/>
  <c r="AR12880" i="1"/>
  <c r="AR12881" i="1"/>
  <c r="AR12882" i="1"/>
  <c r="AR12883" i="1"/>
  <c r="AR12884" i="1"/>
  <c r="AR12885" i="1"/>
  <c r="AR12886" i="1"/>
  <c r="AR12887" i="1"/>
  <c r="AR12888" i="1"/>
  <c r="AR12889" i="1"/>
  <c r="AR12890" i="1"/>
  <c r="AR12891" i="1"/>
  <c r="AR12892" i="1"/>
  <c r="AR12893" i="1"/>
  <c r="AR12894" i="1"/>
  <c r="AR12895" i="1"/>
  <c r="AR12896" i="1"/>
  <c r="AR12897" i="1"/>
  <c r="AR12898" i="1"/>
  <c r="AR12899" i="1"/>
  <c r="AR12900" i="1"/>
  <c r="AR12901" i="1"/>
  <c r="AR12902" i="1"/>
  <c r="AR12903" i="1"/>
  <c r="AR12904" i="1"/>
  <c r="AR12905" i="1"/>
  <c r="AR12906" i="1"/>
  <c r="AR12907" i="1"/>
  <c r="AR12908" i="1"/>
  <c r="AR12909" i="1"/>
  <c r="AR12910" i="1"/>
  <c r="AR12911" i="1"/>
  <c r="AR12912" i="1"/>
  <c r="AR12913" i="1"/>
  <c r="AR12914" i="1"/>
  <c r="AR12915" i="1"/>
  <c r="AR12916" i="1"/>
  <c r="AR12917" i="1"/>
  <c r="AR12918" i="1"/>
  <c r="AR12919" i="1"/>
  <c r="AR12920" i="1"/>
  <c r="AR12921" i="1"/>
  <c r="AR12922" i="1"/>
  <c r="AR12923" i="1"/>
  <c r="AR12924" i="1"/>
  <c r="AR12925" i="1"/>
  <c r="AR12926" i="1"/>
  <c r="AR12927" i="1"/>
  <c r="AR12928" i="1"/>
  <c r="AR12929" i="1"/>
  <c r="AR12930" i="1"/>
  <c r="AR12931" i="1"/>
  <c r="AR12932" i="1"/>
  <c r="AR12933" i="1"/>
  <c r="AR12934" i="1"/>
  <c r="AR12935" i="1"/>
  <c r="AR12936" i="1"/>
  <c r="AR12937" i="1"/>
  <c r="AR12938" i="1"/>
  <c r="AR12939" i="1"/>
  <c r="AR12940" i="1"/>
  <c r="AR12941" i="1"/>
  <c r="AR12942" i="1"/>
  <c r="AR12943" i="1"/>
  <c r="AR12944" i="1"/>
  <c r="AR12945" i="1"/>
  <c r="AR12946" i="1"/>
  <c r="AR12947" i="1"/>
  <c r="AR12948" i="1"/>
  <c r="AR12949" i="1"/>
  <c r="AR12950" i="1"/>
  <c r="AR12951" i="1"/>
  <c r="AR12952" i="1"/>
  <c r="AR12953" i="1"/>
  <c r="AR12954" i="1"/>
  <c r="AR12955" i="1"/>
  <c r="AR12956" i="1"/>
  <c r="AR12957" i="1"/>
  <c r="AR12958" i="1"/>
  <c r="AR12959" i="1"/>
  <c r="AR12960" i="1"/>
  <c r="AR12961" i="1"/>
  <c r="AR12962" i="1"/>
  <c r="AR12963" i="1"/>
  <c r="AR12964" i="1"/>
  <c r="AR12965" i="1"/>
  <c r="AR12966" i="1"/>
  <c r="AR12967" i="1"/>
  <c r="AR12968" i="1"/>
  <c r="AR12969" i="1"/>
  <c r="AR12970" i="1"/>
  <c r="AR12971" i="1"/>
  <c r="AR12972" i="1"/>
  <c r="AR12973" i="1"/>
  <c r="AR12974" i="1"/>
  <c r="AR12975" i="1"/>
  <c r="AR12976" i="1"/>
  <c r="AR12977" i="1"/>
  <c r="AR12978" i="1"/>
  <c r="AR12979" i="1"/>
  <c r="AR12980" i="1"/>
  <c r="AR12981" i="1"/>
  <c r="AR12982" i="1"/>
  <c r="AR12983" i="1"/>
  <c r="AR12984" i="1"/>
  <c r="AR12985" i="1"/>
  <c r="AR12986" i="1"/>
  <c r="AR12987" i="1"/>
  <c r="AR12988" i="1"/>
  <c r="AR12989" i="1"/>
  <c r="AR12990" i="1"/>
  <c r="AR12991" i="1"/>
  <c r="AR12992" i="1"/>
  <c r="AR12993" i="1"/>
  <c r="AR12994" i="1"/>
  <c r="AR12995" i="1"/>
  <c r="AR12996" i="1"/>
  <c r="AR12997" i="1"/>
  <c r="AR12998" i="1"/>
  <c r="AR12999" i="1"/>
  <c r="AR13000" i="1"/>
  <c r="AR13001" i="1"/>
  <c r="AR13002" i="1"/>
  <c r="AR13003" i="1"/>
  <c r="AR13004" i="1"/>
  <c r="AR13005" i="1"/>
  <c r="AR13006" i="1"/>
  <c r="AR13007" i="1"/>
  <c r="AR13008" i="1"/>
  <c r="AR13009" i="1"/>
  <c r="AR13010" i="1"/>
  <c r="AR13011" i="1"/>
  <c r="AR13012" i="1"/>
  <c r="AR13013" i="1"/>
  <c r="AR13014" i="1"/>
  <c r="AR13015" i="1"/>
  <c r="AR13016" i="1"/>
  <c r="AR13017" i="1"/>
  <c r="AR13018" i="1"/>
  <c r="AR13019" i="1"/>
  <c r="AR13020" i="1"/>
  <c r="AR13021" i="1"/>
  <c r="AR13022" i="1"/>
  <c r="AR13023" i="1"/>
  <c r="AR13024" i="1"/>
  <c r="AR13025" i="1"/>
  <c r="AR13026" i="1"/>
  <c r="AR13027" i="1"/>
  <c r="AR13028" i="1"/>
  <c r="AR13029" i="1"/>
  <c r="AR13030" i="1"/>
  <c r="AR13031" i="1"/>
  <c r="AR13032" i="1"/>
  <c r="AR13033" i="1"/>
  <c r="AR13034" i="1"/>
  <c r="AR13035" i="1"/>
  <c r="AR13036" i="1"/>
  <c r="AR13037" i="1"/>
  <c r="AR13038" i="1"/>
  <c r="AR13039" i="1"/>
  <c r="AR13040" i="1"/>
  <c r="AR13041" i="1"/>
  <c r="AR13042" i="1"/>
  <c r="AR13043" i="1"/>
  <c r="AR13044" i="1"/>
  <c r="AR13045" i="1"/>
  <c r="AR13046" i="1"/>
  <c r="AR13047" i="1"/>
  <c r="AR13048" i="1"/>
  <c r="AR13049" i="1"/>
  <c r="AR13050" i="1"/>
  <c r="AR13051" i="1"/>
  <c r="AR13052" i="1"/>
  <c r="AR13053" i="1"/>
  <c r="AR13054" i="1"/>
  <c r="AR13055" i="1"/>
  <c r="AR13056" i="1"/>
  <c r="AR13057" i="1"/>
  <c r="AR13058" i="1"/>
  <c r="AR13059" i="1"/>
  <c r="AR13060" i="1"/>
  <c r="AR13061" i="1"/>
  <c r="AR13062" i="1"/>
  <c r="AR13063" i="1"/>
  <c r="AR13064" i="1"/>
  <c r="AR13065" i="1"/>
  <c r="AR13066" i="1"/>
  <c r="AR13067" i="1"/>
  <c r="AR13068" i="1"/>
  <c r="AR13069" i="1"/>
  <c r="AR13070" i="1"/>
  <c r="AR13071" i="1"/>
  <c r="AR13072" i="1"/>
  <c r="AR13073" i="1"/>
  <c r="AR13074" i="1"/>
  <c r="AR13075" i="1"/>
  <c r="AR13076" i="1"/>
  <c r="AR13077" i="1"/>
  <c r="AR13078" i="1"/>
  <c r="AR13079" i="1"/>
  <c r="AR13080" i="1"/>
  <c r="AR13081" i="1"/>
  <c r="AR13082" i="1"/>
  <c r="AR13083" i="1"/>
  <c r="AR13084" i="1"/>
  <c r="AR13085" i="1"/>
  <c r="AR13086" i="1"/>
  <c r="AR13087" i="1"/>
  <c r="AR13088" i="1"/>
  <c r="AR13089" i="1"/>
  <c r="AR13090" i="1"/>
  <c r="AR13091" i="1"/>
  <c r="AR13092" i="1"/>
  <c r="AR13093" i="1"/>
  <c r="AR13094" i="1"/>
  <c r="AR13095" i="1"/>
  <c r="AR13096" i="1"/>
  <c r="AR13097" i="1"/>
  <c r="AR13098" i="1"/>
  <c r="AR13099" i="1"/>
  <c r="AR13100" i="1"/>
  <c r="AR13101" i="1"/>
  <c r="AR13102" i="1"/>
  <c r="AR13103" i="1"/>
  <c r="AR13104" i="1"/>
  <c r="AR13105" i="1"/>
  <c r="AR13106" i="1"/>
  <c r="AR13107" i="1"/>
  <c r="AR13108" i="1"/>
  <c r="AR13109" i="1"/>
  <c r="AR13110" i="1"/>
  <c r="AR13111" i="1"/>
  <c r="AR13112" i="1"/>
  <c r="AR13113" i="1"/>
  <c r="AR13114" i="1"/>
  <c r="AR13115" i="1"/>
  <c r="AR13116" i="1"/>
  <c r="AR13117" i="1"/>
  <c r="AR13118" i="1"/>
  <c r="AR13119" i="1"/>
  <c r="AR13120" i="1"/>
  <c r="AR13121" i="1"/>
  <c r="AR13122" i="1"/>
  <c r="AR13123" i="1"/>
  <c r="AR13124" i="1"/>
  <c r="AR13125" i="1"/>
  <c r="AR13126" i="1"/>
  <c r="AR13127" i="1"/>
  <c r="AR13128" i="1"/>
  <c r="AR13129" i="1"/>
  <c r="AR13130" i="1"/>
  <c r="AR13131" i="1"/>
  <c r="AR13132" i="1"/>
  <c r="AR13133" i="1"/>
  <c r="AR13134" i="1"/>
  <c r="AR13135" i="1"/>
  <c r="AR13136" i="1"/>
  <c r="AR13137" i="1"/>
  <c r="AR13138" i="1"/>
  <c r="AR13139" i="1"/>
  <c r="AR13140" i="1"/>
  <c r="AR13141" i="1"/>
  <c r="AR13142" i="1"/>
  <c r="AR13143" i="1"/>
  <c r="AR13144" i="1"/>
  <c r="AR13145" i="1"/>
  <c r="AR13146" i="1"/>
  <c r="AR13147" i="1"/>
  <c r="AR13148" i="1"/>
  <c r="AR13149" i="1"/>
  <c r="AR13150" i="1"/>
  <c r="AR13151" i="1"/>
  <c r="AR13152" i="1"/>
  <c r="AR13153" i="1"/>
  <c r="AR13154" i="1"/>
  <c r="AR13155" i="1"/>
  <c r="AR13156" i="1"/>
  <c r="AR13157" i="1"/>
  <c r="AR13158" i="1"/>
  <c r="AR13159" i="1"/>
  <c r="AR13160" i="1"/>
  <c r="AR13161" i="1"/>
  <c r="AR13162" i="1"/>
  <c r="AR13163" i="1"/>
  <c r="AR13164" i="1"/>
  <c r="AR13165" i="1"/>
  <c r="AR13166" i="1"/>
  <c r="AR13167" i="1"/>
  <c r="AR13168" i="1"/>
  <c r="AR13169" i="1"/>
  <c r="AR13170" i="1"/>
  <c r="AR13171" i="1"/>
  <c r="AR13172" i="1"/>
  <c r="AR13173" i="1"/>
  <c r="AR13174" i="1"/>
  <c r="AR13175" i="1"/>
  <c r="AR13176" i="1"/>
  <c r="AR13177" i="1"/>
  <c r="AR13178" i="1"/>
  <c r="AR13179" i="1"/>
  <c r="AR13180" i="1"/>
  <c r="AR13181" i="1"/>
  <c r="AR13182" i="1"/>
  <c r="AR13183" i="1"/>
  <c r="AR13184" i="1"/>
  <c r="AR13185" i="1"/>
  <c r="AR13186" i="1"/>
  <c r="AR13187" i="1"/>
  <c r="AR13188" i="1"/>
  <c r="AR13189" i="1"/>
  <c r="AR13190" i="1"/>
  <c r="AR13191" i="1"/>
  <c r="AR13192" i="1"/>
  <c r="AR13193" i="1"/>
  <c r="AR13194" i="1"/>
  <c r="AR13195" i="1"/>
  <c r="AR13196" i="1"/>
  <c r="AR13197" i="1"/>
  <c r="AR13198" i="1"/>
  <c r="AR13199" i="1"/>
  <c r="AR13200" i="1"/>
  <c r="AR13201" i="1"/>
  <c r="AR13202" i="1"/>
  <c r="AR13203" i="1"/>
  <c r="AR13204" i="1"/>
  <c r="AR13205" i="1"/>
  <c r="AR13206" i="1"/>
  <c r="AR13207" i="1"/>
  <c r="AR13208" i="1"/>
  <c r="AR13209" i="1"/>
  <c r="AR13210" i="1"/>
  <c r="AR13211" i="1"/>
  <c r="AR13212" i="1"/>
  <c r="AR13213" i="1"/>
  <c r="AR13214" i="1"/>
  <c r="AR13215" i="1"/>
  <c r="AR13216" i="1"/>
  <c r="AR13217" i="1"/>
  <c r="AR13218" i="1"/>
  <c r="AR13219" i="1"/>
  <c r="AR13220" i="1"/>
  <c r="AR13221" i="1"/>
  <c r="AR13222" i="1"/>
  <c r="AR13223" i="1"/>
  <c r="AR13224" i="1"/>
  <c r="AR13225" i="1"/>
  <c r="AR13226" i="1"/>
  <c r="AR13227" i="1"/>
  <c r="AR13228" i="1"/>
  <c r="AR13229" i="1"/>
  <c r="AR13230" i="1"/>
  <c r="AR13231" i="1"/>
  <c r="AR13232" i="1"/>
  <c r="AR13233" i="1"/>
  <c r="AR13234" i="1"/>
  <c r="AR13235" i="1"/>
  <c r="AR13236" i="1"/>
  <c r="AR13237" i="1"/>
  <c r="AR13238" i="1"/>
  <c r="AR13239" i="1"/>
  <c r="AR13240" i="1"/>
  <c r="AR13241" i="1"/>
  <c r="AR13242" i="1"/>
  <c r="AR13243" i="1"/>
  <c r="AR13244" i="1"/>
  <c r="AR13245" i="1"/>
  <c r="AR13246" i="1"/>
  <c r="AR13247" i="1"/>
  <c r="AR13248" i="1"/>
  <c r="AR13249" i="1"/>
  <c r="AR13250" i="1"/>
  <c r="AR13251" i="1"/>
  <c r="AR13252" i="1"/>
  <c r="AR13253" i="1"/>
  <c r="AR13254" i="1"/>
  <c r="AR13255" i="1"/>
  <c r="AR13256" i="1"/>
  <c r="AR13257" i="1"/>
  <c r="AR13258" i="1"/>
  <c r="AR13259" i="1"/>
  <c r="AR13260" i="1"/>
  <c r="AR13261" i="1"/>
  <c r="AR13262" i="1"/>
  <c r="AR13263" i="1"/>
  <c r="AR13264" i="1"/>
  <c r="AR13265" i="1"/>
  <c r="AR13266" i="1"/>
  <c r="AR13267" i="1"/>
  <c r="AR13268" i="1"/>
  <c r="AR13269" i="1"/>
  <c r="AR13270" i="1"/>
  <c r="AR13271" i="1"/>
  <c r="AR13272" i="1"/>
  <c r="AR13273" i="1"/>
  <c r="AR13274" i="1"/>
  <c r="AR13275" i="1"/>
  <c r="AR13276" i="1"/>
  <c r="AR13277" i="1"/>
  <c r="AR13278" i="1"/>
  <c r="AR13279" i="1"/>
  <c r="AR13280" i="1"/>
  <c r="AR13281" i="1"/>
  <c r="AR13282" i="1"/>
  <c r="AR13283" i="1"/>
  <c r="AR13284" i="1"/>
  <c r="AR13285" i="1"/>
  <c r="AR13286" i="1"/>
  <c r="AR13287" i="1"/>
  <c r="AR13288" i="1"/>
  <c r="AR13289" i="1"/>
  <c r="AR13290" i="1"/>
  <c r="AR13291" i="1"/>
  <c r="AR13292" i="1"/>
  <c r="AR13293" i="1"/>
  <c r="AR13294" i="1"/>
  <c r="AR13295" i="1"/>
  <c r="AR13296" i="1"/>
  <c r="AR13297" i="1"/>
  <c r="AR13298" i="1"/>
  <c r="AR13299" i="1"/>
  <c r="AR13300" i="1"/>
  <c r="AR13301" i="1"/>
  <c r="AR13302" i="1"/>
  <c r="AR13303" i="1"/>
  <c r="AR13304" i="1"/>
  <c r="AR13305" i="1"/>
  <c r="AR13306" i="1"/>
  <c r="AR13307" i="1"/>
  <c r="AR13308" i="1"/>
  <c r="AR13309" i="1"/>
  <c r="AR13310" i="1"/>
  <c r="AR13311" i="1"/>
  <c r="AR13312" i="1"/>
  <c r="AR13313" i="1"/>
  <c r="AR13314" i="1"/>
  <c r="AR13315" i="1"/>
  <c r="AR13316" i="1"/>
  <c r="AR13317" i="1"/>
  <c r="AR13318" i="1"/>
  <c r="AR13319" i="1"/>
  <c r="AR13320" i="1"/>
  <c r="AR13321" i="1"/>
  <c r="AR13322" i="1"/>
  <c r="AR13323" i="1"/>
  <c r="AR13324" i="1"/>
  <c r="AR13325" i="1"/>
  <c r="AR13326" i="1"/>
  <c r="AR13327" i="1"/>
  <c r="AR13328" i="1"/>
  <c r="AR13329" i="1"/>
  <c r="AR13330" i="1"/>
  <c r="AR13331" i="1"/>
  <c r="AR13332" i="1"/>
  <c r="AR13333" i="1"/>
  <c r="AR13334" i="1"/>
  <c r="AR13335" i="1"/>
  <c r="AR13336" i="1"/>
  <c r="AR13337" i="1"/>
  <c r="AR13338" i="1"/>
  <c r="AR13339" i="1"/>
  <c r="AR13340" i="1"/>
  <c r="AR13341" i="1"/>
  <c r="AR13342" i="1"/>
  <c r="AR13343" i="1"/>
  <c r="AR13344" i="1"/>
  <c r="AR13345" i="1"/>
  <c r="AR13346" i="1"/>
  <c r="AR13347" i="1"/>
  <c r="AR13348" i="1"/>
  <c r="AR13349" i="1"/>
  <c r="AR13350" i="1"/>
  <c r="AR13351" i="1"/>
  <c r="AR13352" i="1"/>
  <c r="AR13353" i="1"/>
  <c r="AR13354" i="1"/>
  <c r="AR13355" i="1"/>
  <c r="AR13356" i="1"/>
  <c r="AR13357" i="1"/>
  <c r="AR13358" i="1"/>
  <c r="AR13359" i="1"/>
  <c r="AR13360" i="1"/>
  <c r="AR13361" i="1"/>
  <c r="AR13362" i="1"/>
  <c r="AR13363" i="1"/>
  <c r="AR13364" i="1"/>
  <c r="AR13365" i="1"/>
  <c r="AR13366" i="1"/>
  <c r="AR13367" i="1"/>
  <c r="AR13368" i="1"/>
  <c r="AR13369" i="1"/>
  <c r="AR13370" i="1"/>
  <c r="AR13371" i="1"/>
  <c r="AR13372" i="1"/>
  <c r="AR13373" i="1"/>
  <c r="AR13374" i="1"/>
  <c r="AR13375" i="1"/>
  <c r="AR13376" i="1"/>
  <c r="AR13377" i="1"/>
  <c r="AR13378" i="1"/>
  <c r="AR13379" i="1"/>
  <c r="AR13380" i="1"/>
  <c r="AR13381" i="1"/>
  <c r="AR13382" i="1"/>
  <c r="AR13383" i="1"/>
  <c r="AR13384" i="1"/>
  <c r="AR13385" i="1"/>
  <c r="AR13386" i="1"/>
  <c r="AR13387" i="1"/>
  <c r="AR13388" i="1"/>
  <c r="AR13389" i="1"/>
  <c r="AR13390" i="1"/>
  <c r="AR13391" i="1"/>
  <c r="AR13392" i="1"/>
  <c r="AR13393" i="1"/>
  <c r="AR13394" i="1"/>
  <c r="AR13395" i="1"/>
  <c r="AR13396" i="1"/>
  <c r="AR13397" i="1"/>
  <c r="AR13398" i="1"/>
  <c r="AR13399" i="1"/>
  <c r="AR13400" i="1"/>
  <c r="AR13401" i="1"/>
  <c r="AR13402" i="1"/>
  <c r="AR13403" i="1"/>
  <c r="AR13404" i="1"/>
  <c r="AR13405" i="1"/>
  <c r="AR13406" i="1"/>
  <c r="AR13407" i="1"/>
  <c r="AR13408" i="1"/>
  <c r="AR13409" i="1"/>
  <c r="AR13410" i="1"/>
  <c r="AR13411" i="1"/>
  <c r="AR13412" i="1"/>
  <c r="AR13413" i="1"/>
  <c r="AR13414" i="1"/>
  <c r="AR13415" i="1"/>
  <c r="AR13416" i="1"/>
  <c r="AR13417" i="1"/>
  <c r="AR13418" i="1"/>
  <c r="AR2" i="1"/>
  <c r="K1484" i="1" l="1"/>
  <c r="L1484" i="1"/>
  <c r="M1484" i="1"/>
  <c r="K1485" i="1"/>
  <c r="L1485" i="1"/>
  <c r="M1485" i="1"/>
  <c r="K1486" i="1"/>
  <c r="L1486" i="1"/>
  <c r="M1486" i="1"/>
  <c r="K1487" i="1"/>
  <c r="L1487" i="1"/>
  <c r="M1487" i="1"/>
  <c r="K1488" i="1"/>
  <c r="L1488" i="1"/>
  <c r="M1488" i="1"/>
  <c r="K1489" i="1"/>
  <c r="L1489" i="1"/>
  <c r="M1489" i="1"/>
  <c r="K1490" i="1"/>
  <c r="L1490" i="1"/>
  <c r="M1490" i="1"/>
  <c r="K1491" i="1"/>
  <c r="L1491" i="1"/>
  <c r="M1491" i="1"/>
  <c r="K1492" i="1"/>
  <c r="L1492" i="1"/>
  <c r="M1492" i="1"/>
  <c r="K1493" i="1"/>
  <c r="L1493" i="1"/>
  <c r="M1493" i="1"/>
  <c r="K1494" i="1"/>
  <c r="L1494" i="1"/>
  <c r="M1494" i="1"/>
  <c r="K1495" i="1"/>
  <c r="L1495" i="1"/>
  <c r="M1495" i="1"/>
  <c r="K1704" i="1"/>
  <c r="L1704" i="1"/>
  <c r="K1705" i="1"/>
  <c r="L1705" i="1"/>
  <c r="K1706" i="1"/>
  <c r="L1706" i="1"/>
  <c r="K1707" i="1"/>
  <c r="L1707" i="1"/>
  <c r="K1708" i="1"/>
  <c r="L1708" i="1"/>
  <c r="K1709" i="1"/>
  <c r="L1709" i="1"/>
  <c r="K1710" i="1"/>
  <c r="L1710" i="1"/>
  <c r="K1711" i="1"/>
  <c r="L1711" i="1"/>
  <c r="K1712" i="1"/>
  <c r="L1712" i="1"/>
  <c r="K1713" i="1"/>
  <c r="L1713" i="1"/>
  <c r="K1714" i="1"/>
  <c r="L1714" i="1"/>
  <c r="K1715" i="1"/>
  <c r="L1715" i="1"/>
  <c r="K1716" i="1"/>
  <c r="L1716" i="1"/>
  <c r="K1717" i="1"/>
  <c r="L1717" i="1"/>
  <c r="K1718" i="1"/>
  <c r="L1718" i="1"/>
  <c r="K1719" i="1"/>
  <c r="L1719" i="1"/>
  <c r="K1720" i="1"/>
  <c r="L1720" i="1"/>
  <c r="K1721" i="1"/>
  <c r="L1721" i="1"/>
  <c r="K1722" i="1"/>
  <c r="L1722" i="1"/>
  <c r="K1723" i="1"/>
  <c r="L1723" i="1"/>
  <c r="K1724" i="1"/>
  <c r="L1724" i="1"/>
  <c r="K1725" i="1"/>
  <c r="L1725" i="1"/>
  <c r="K1496" i="1"/>
  <c r="L1496" i="1"/>
  <c r="M1496" i="1"/>
  <c r="K1497" i="1"/>
  <c r="L1497" i="1"/>
  <c r="M1497" i="1"/>
  <c r="K1498" i="1"/>
  <c r="L1498" i="1"/>
  <c r="M1498" i="1"/>
  <c r="K1499" i="1"/>
  <c r="L1499" i="1"/>
  <c r="M1499" i="1"/>
  <c r="K1500" i="1"/>
  <c r="L1500" i="1"/>
  <c r="M1500" i="1"/>
  <c r="K1501" i="1"/>
  <c r="L1501" i="1"/>
  <c r="M1501" i="1"/>
  <c r="K1502" i="1"/>
  <c r="L1502" i="1"/>
  <c r="M1502" i="1"/>
  <c r="K1503" i="1"/>
  <c r="L1503" i="1"/>
  <c r="M1503" i="1"/>
  <c r="K1504" i="1"/>
  <c r="L1504" i="1"/>
  <c r="M1504" i="1"/>
  <c r="K1505" i="1"/>
  <c r="L1505" i="1"/>
  <c r="M1505" i="1"/>
  <c r="K1506" i="1"/>
  <c r="L1506" i="1"/>
  <c r="M1506" i="1"/>
  <c r="K1507" i="1"/>
  <c r="L1507" i="1"/>
  <c r="M1507" i="1"/>
  <c r="K1508" i="1"/>
  <c r="L1508" i="1"/>
  <c r="M1508" i="1"/>
  <c r="K1509" i="1"/>
  <c r="L1509" i="1"/>
  <c r="M1509" i="1"/>
  <c r="K1510" i="1"/>
  <c r="L1510" i="1"/>
  <c r="M1510" i="1"/>
  <c r="K1511" i="1"/>
  <c r="L1511" i="1"/>
  <c r="M1511" i="1"/>
  <c r="K1512" i="1"/>
  <c r="L1512" i="1"/>
  <c r="M1512" i="1"/>
  <c r="K1740" i="1"/>
  <c r="L1740" i="1"/>
  <c r="K1741" i="1"/>
  <c r="L1741" i="1"/>
  <c r="K1742" i="1"/>
  <c r="L1742" i="1"/>
  <c r="K1743" i="1"/>
  <c r="L1743" i="1"/>
  <c r="K1744" i="1"/>
  <c r="L1744" i="1"/>
  <c r="K1745" i="1"/>
  <c r="L1745" i="1"/>
  <c r="K1746" i="1"/>
  <c r="L1746" i="1"/>
  <c r="K1747" i="1"/>
  <c r="L1747" i="1"/>
  <c r="K1748" i="1"/>
  <c r="L1748" i="1"/>
  <c r="K1749" i="1"/>
  <c r="L1749" i="1"/>
  <c r="K1750" i="1"/>
  <c r="L1750" i="1"/>
  <c r="K1751" i="1"/>
  <c r="L1751" i="1"/>
  <c r="K1752" i="1"/>
  <c r="L1752" i="1"/>
  <c r="K1753" i="1"/>
  <c r="L1753" i="1"/>
  <c r="K1754" i="1"/>
  <c r="L1754" i="1"/>
  <c r="K1755" i="1"/>
  <c r="L1755" i="1"/>
  <c r="K1756" i="1"/>
  <c r="L1756" i="1"/>
  <c r="K1757" i="1"/>
  <c r="L1757" i="1"/>
  <c r="K1758" i="1"/>
  <c r="L1758" i="1"/>
  <c r="K1759" i="1"/>
  <c r="L1759" i="1"/>
  <c r="K1760" i="1"/>
  <c r="L1760" i="1"/>
  <c r="K1761" i="1"/>
  <c r="L1761" i="1"/>
  <c r="K1762" i="1"/>
  <c r="L1762" i="1"/>
  <c r="K1763" i="1"/>
  <c r="L1763" i="1"/>
  <c r="K1764" i="1"/>
  <c r="L1764" i="1"/>
  <c r="K1765" i="1"/>
  <c r="L1765" i="1"/>
  <c r="K1766" i="1"/>
  <c r="L1766" i="1"/>
  <c r="K1767" i="1"/>
  <c r="L1767" i="1"/>
  <c r="K1768" i="1"/>
  <c r="L1768" i="1"/>
  <c r="K1769" i="1"/>
  <c r="L1769" i="1"/>
  <c r="K1770" i="1"/>
  <c r="L1770" i="1"/>
  <c r="K1771" i="1"/>
  <c r="L1771" i="1"/>
  <c r="K1772" i="1"/>
  <c r="L1772" i="1"/>
  <c r="K1773" i="1"/>
  <c r="L1773" i="1"/>
  <c r="K1774" i="1"/>
  <c r="L1774" i="1"/>
  <c r="K1775" i="1"/>
  <c r="L1775" i="1"/>
  <c r="K1776" i="1"/>
  <c r="L1776" i="1"/>
  <c r="K1777" i="1"/>
  <c r="L1777" i="1"/>
  <c r="K1778" i="1"/>
  <c r="L1778" i="1"/>
  <c r="K1779" i="1"/>
  <c r="L1779" i="1"/>
  <c r="K1780" i="1"/>
  <c r="L1780" i="1"/>
  <c r="K1781" i="1"/>
  <c r="L1781" i="1"/>
  <c r="K1782" i="1"/>
  <c r="L1782" i="1"/>
  <c r="K1783" i="1"/>
  <c r="L1783" i="1"/>
  <c r="K1784" i="1"/>
  <c r="L1784" i="1"/>
  <c r="K1785" i="1"/>
  <c r="L1785" i="1"/>
  <c r="K1786" i="1"/>
  <c r="L1786" i="1"/>
  <c r="K1787" i="1"/>
  <c r="L1787" i="1"/>
  <c r="K1788" i="1"/>
  <c r="L1788" i="1"/>
  <c r="K1789" i="1"/>
  <c r="L1789" i="1"/>
  <c r="K1790" i="1"/>
  <c r="L1790" i="1"/>
  <c r="K1791" i="1"/>
  <c r="L1791" i="1"/>
  <c r="K1792" i="1"/>
  <c r="L1792" i="1"/>
  <c r="K1793" i="1"/>
  <c r="L1793" i="1"/>
  <c r="K1794" i="1"/>
  <c r="L1794" i="1"/>
  <c r="K1795" i="1"/>
  <c r="L1795" i="1"/>
  <c r="K1796" i="1"/>
  <c r="L1796" i="1"/>
  <c r="K1797" i="1"/>
  <c r="L1797" i="1"/>
  <c r="K1798" i="1"/>
  <c r="L1798" i="1"/>
  <c r="K1799" i="1"/>
  <c r="L1799" i="1"/>
  <c r="K1800" i="1"/>
  <c r="L1800" i="1"/>
  <c r="K1801" i="1"/>
  <c r="L1801" i="1"/>
  <c r="K1730" i="1"/>
  <c r="L1730" i="1"/>
  <c r="K1731" i="1"/>
  <c r="L1731" i="1"/>
  <c r="K1732" i="1"/>
  <c r="L1732" i="1"/>
  <c r="K1733" i="1"/>
  <c r="L1733" i="1"/>
  <c r="K1734" i="1"/>
  <c r="L1734" i="1"/>
  <c r="K1735" i="1"/>
  <c r="L1735" i="1"/>
  <c r="K1736" i="1"/>
  <c r="L1736" i="1"/>
  <c r="K1737" i="1"/>
  <c r="L1737" i="1"/>
  <c r="K1738" i="1"/>
  <c r="L1738" i="1"/>
  <c r="K1739" i="1"/>
  <c r="L1739" i="1"/>
  <c r="K1513" i="1"/>
  <c r="L1513" i="1"/>
  <c r="M1513" i="1"/>
  <c r="K1809" i="1"/>
  <c r="L1809" i="1"/>
  <c r="K1810" i="1"/>
  <c r="L1810" i="1"/>
  <c r="K1811" i="1"/>
  <c r="L1811" i="1"/>
  <c r="K1812" i="1"/>
  <c r="L1812" i="1"/>
  <c r="K1813" i="1"/>
  <c r="L1813" i="1"/>
  <c r="K1814" i="1"/>
  <c r="L1814" i="1"/>
  <c r="K1815" i="1"/>
  <c r="L1815" i="1"/>
  <c r="K1816" i="1"/>
  <c r="L1816" i="1"/>
  <c r="K1817" i="1"/>
  <c r="L1817" i="1"/>
  <c r="K1804" i="1"/>
  <c r="L1804" i="1"/>
  <c r="K1805" i="1"/>
  <c r="L1805" i="1"/>
  <c r="K1806" i="1"/>
  <c r="L1806" i="1"/>
  <c r="K1807" i="1"/>
  <c r="L1807" i="1"/>
  <c r="K1808" i="1"/>
  <c r="L1808" i="1"/>
  <c r="K1514" i="1"/>
  <c r="L1514" i="1"/>
  <c r="M1514" i="1"/>
  <c r="K1515" i="1"/>
  <c r="L1515" i="1"/>
  <c r="M1515" i="1"/>
  <c r="K1516" i="1"/>
  <c r="L1516" i="1"/>
  <c r="M1516" i="1"/>
  <c r="K1517" i="1"/>
  <c r="L1517" i="1"/>
  <c r="M1517" i="1"/>
  <c r="K1518" i="1"/>
  <c r="L1518" i="1"/>
  <c r="M1518" i="1"/>
  <c r="K1519" i="1"/>
  <c r="L1519" i="1"/>
  <c r="M1519" i="1"/>
  <c r="K1520" i="1"/>
  <c r="L1520" i="1"/>
  <c r="M1520" i="1"/>
  <c r="K1521" i="1"/>
  <c r="L1521" i="1"/>
  <c r="M1521" i="1"/>
  <c r="K1522" i="1"/>
  <c r="L1522" i="1"/>
  <c r="M1522" i="1"/>
  <c r="K1523" i="1"/>
  <c r="L1523" i="1"/>
  <c r="M1523" i="1"/>
  <c r="K1524" i="1"/>
  <c r="L1524" i="1"/>
  <c r="M1524" i="1"/>
  <c r="K1525" i="1"/>
  <c r="L1525" i="1"/>
  <c r="M1525" i="1"/>
  <c r="K1526" i="1"/>
  <c r="L1526" i="1"/>
  <c r="M1526" i="1"/>
  <c r="K1527" i="1"/>
  <c r="L1527" i="1"/>
  <c r="M1527" i="1"/>
  <c r="K1528" i="1"/>
  <c r="L1528" i="1"/>
  <c r="M1528" i="1"/>
  <c r="K1529" i="1"/>
  <c r="L1529" i="1"/>
  <c r="M1529" i="1"/>
  <c r="K1530" i="1"/>
  <c r="L1530" i="1"/>
  <c r="M1530" i="1"/>
  <c r="K1531" i="1"/>
  <c r="L1531" i="1"/>
  <c r="M1531" i="1"/>
  <c r="K1852" i="1"/>
  <c r="L1852" i="1"/>
  <c r="K1853" i="1"/>
  <c r="L1853" i="1"/>
  <c r="K1818" i="1"/>
  <c r="L1818" i="1"/>
  <c r="K1819" i="1"/>
  <c r="L1819" i="1"/>
  <c r="K1820" i="1"/>
  <c r="L1820" i="1"/>
  <c r="K1821" i="1"/>
  <c r="L1821" i="1"/>
  <c r="K1822" i="1"/>
  <c r="L1822" i="1"/>
  <c r="K1823" i="1"/>
  <c r="L1823" i="1"/>
  <c r="K1824" i="1"/>
  <c r="L1824" i="1"/>
  <c r="K1825" i="1"/>
  <c r="L1825" i="1"/>
  <c r="K1826" i="1"/>
  <c r="L1826" i="1"/>
  <c r="K1827" i="1"/>
  <c r="L1827" i="1"/>
  <c r="K1828" i="1"/>
  <c r="L1828" i="1"/>
  <c r="K1829" i="1"/>
  <c r="L1829" i="1"/>
  <c r="K1830" i="1"/>
  <c r="L1830" i="1"/>
  <c r="K1831" i="1"/>
  <c r="L1831" i="1"/>
  <c r="K1832" i="1"/>
  <c r="L1832" i="1"/>
  <c r="K1833" i="1"/>
  <c r="L1833" i="1"/>
  <c r="K1834" i="1"/>
  <c r="L1834" i="1"/>
  <c r="K1835" i="1"/>
  <c r="L1835" i="1"/>
  <c r="K1836" i="1"/>
  <c r="L1836" i="1"/>
  <c r="K1837" i="1"/>
  <c r="L1837" i="1"/>
  <c r="K1838" i="1"/>
  <c r="L1838" i="1"/>
  <c r="K1839" i="1"/>
  <c r="L1839" i="1"/>
  <c r="K1840" i="1"/>
  <c r="L1840" i="1"/>
  <c r="K1841" i="1"/>
  <c r="L1841" i="1"/>
  <c r="K1842" i="1"/>
  <c r="L1842" i="1"/>
  <c r="K1843" i="1"/>
  <c r="L1843" i="1"/>
  <c r="K1844" i="1"/>
  <c r="L1844" i="1"/>
  <c r="K1845" i="1"/>
  <c r="L1845" i="1"/>
  <c r="K1846" i="1"/>
  <c r="L1846" i="1"/>
  <c r="K1847" i="1"/>
  <c r="L1847" i="1"/>
  <c r="K1848" i="1"/>
  <c r="L1848" i="1"/>
  <c r="K1849" i="1"/>
  <c r="L1849" i="1"/>
  <c r="K1850" i="1"/>
  <c r="L1850" i="1"/>
  <c r="K1851" i="1"/>
  <c r="L1851" i="1"/>
  <c r="K1532" i="1"/>
  <c r="L1532" i="1"/>
  <c r="M1532" i="1"/>
  <c r="K1533" i="1"/>
  <c r="L1533" i="1"/>
  <c r="M1533" i="1"/>
  <c r="K1534" i="1"/>
  <c r="L1534" i="1"/>
  <c r="M1534" i="1"/>
  <c r="K1535" i="1"/>
  <c r="L1535" i="1"/>
  <c r="M1535" i="1"/>
  <c r="K1536" i="1"/>
  <c r="L1536" i="1"/>
  <c r="M1536" i="1"/>
  <c r="K1537" i="1"/>
  <c r="L1537" i="1"/>
  <c r="M1537" i="1"/>
  <c r="K1538" i="1"/>
  <c r="L1538" i="1"/>
  <c r="M1538" i="1"/>
  <c r="K1539" i="1"/>
  <c r="L1539" i="1"/>
  <c r="M1539" i="1"/>
  <c r="K1540" i="1"/>
  <c r="L1540" i="1"/>
  <c r="M1540" i="1"/>
  <c r="K1541" i="1"/>
  <c r="L1541" i="1"/>
  <c r="M1541" i="1"/>
  <c r="K1542" i="1"/>
  <c r="L1542" i="1"/>
  <c r="M1542" i="1"/>
  <c r="K1543" i="1"/>
  <c r="L1543" i="1"/>
  <c r="M1543" i="1"/>
  <c r="K1870" i="1"/>
  <c r="L1870" i="1"/>
  <c r="K1871" i="1"/>
  <c r="L1871" i="1"/>
  <c r="K1872" i="1"/>
  <c r="L1872" i="1"/>
  <c r="K1873" i="1"/>
  <c r="L1873" i="1"/>
  <c r="K1874" i="1"/>
  <c r="L1874" i="1"/>
  <c r="K1875" i="1"/>
  <c r="L1875" i="1"/>
  <c r="K1876" i="1"/>
  <c r="L1876" i="1"/>
  <c r="K1877" i="1"/>
  <c r="L1877" i="1"/>
  <c r="K1878" i="1"/>
  <c r="L1878" i="1"/>
  <c r="K1879" i="1"/>
  <c r="L1879" i="1"/>
  <c r="K1855" i="1"/>
  <c r="L1855" i="1"/>
  <c r="K1856" i="1"/>
  <c r="L1856" i="1"/>
  <c r="K1857" i="1"/>
  <c r="L1857" i="1"/>
  <c r="K1858" i="1"/>
  <c r="L1858" i="1"/>
  <c r="K1859" i="1"/>
  <c r="L1859" i="1"/>
  <c r="K1860" i="1"/>
  <c r="L1860" i="1"/>
  <c r="K1861" i="1"/>
  <c r="L1861" i="1"/>
  <c r="K1862" i="1"/>
  <c r="L1862" i="1"/>
  <c r="K1863" i="1"/>
  <c r="L1863" i="1"/>
  <c r="K1864" i="1"/>
  <c r="L1864" i="1"/>
  <c r="K1865" i="1"/>
  <c r="L1865" i="1"/>
  <c r="K1866" i="1"/>
  <c r="L1866" i="1"/>
  <c r="K1867" i="1"/>
  <c r="L1867" i="1"/>
  <c r="K1868" i="1"/>
  <c r="L1868" i="1"/>
  <c r="K1869" i="1"/>
  <c r="L1869" i="1"/>
  <c r="K1544" i="1"/>
  <c r="L1544" i="1"/>
  <c r="M1544" i="1"/>
  <c r="K1545" i="1"/>
  <c r="L1545" i="1"/>
  <c r="M1545" i="1"/>
  <c r="K1546" i="1"/>
  <c r="L1546" i="1"/>
  <c r="M1546" i="1"/>
  <c r="K1547" i="1"/>
  <c r="L1547" i="1"/>
  <c r="M1547" i="1"/>
  <c r="K1548" i="1"/>
  <c r="L1548" i="1"/>
  <c r="M1548" i="1"/>
  <c r="K1549" i="1"/>
  <c r="L1549" i="1"/>
  <c r="M1549" i="1"/>
  <c r="K1550" i="1"/>
  <c r="L1550" i="1"/>
  <c r="M1550" i="1"/>
  <c r="K1551" i="1"/>
  <c r="L1551" i="1"/>
  <c r="M1551" i="1"/>
  <c r="K1552" i="1"/>
  <c r="L1552" i="1"/>
  <c r="M1552" i="1"/>
  <c r="K1889" i="1"/>
  <c r="L1889" i="1"/>
  <c r="K1890" i="1"/>
  <c r="L1890" i="1"/>
  <c r="K1891" i="1"/>
  <c r="L1891" i="1"/>
  <c r="K1892" i="1"/>
  <c r="L1892" i="1"/>
  <c r="K1893" i="1"/>
  <c r="L1893" i="1"/>
  <c r="K1894" i="1"/>
  <c r="L1894" i="1"/>
  <c r="K1895" i="1"/>
  <c r="L1895" i="1"/>
  <c r="K1896" i="1"/>
  <c r="L1896" i="1"/>
  <c r="K1897" i="1"/>
  <c r="L1897" i="1"/>
  <c r="K1898" i="1"/>
  <c r="L1898" i="1"/>
  <c r="K1880" i="1"/>
  <c r="L1880" i="1"/>
  <c r="K1881" i="1"/>
  <c r="L1881" i="1"/>
  <c r="K1882" i="1"/>
  <c r="L1882" i="1"/>
  <c r="K1883" i="1"/>
  <c r="L1883" i="1"/>
  <c r="K1884" i="1"/>
  <c r="L1884" i="1"/>
  <c r="K1885" i="1"/>
  <c r="L1885" i="1"/>
  <c r="K1886" i="1"/>
  <c r="L1886" i="1"/>
  <c r="K1887" i="1"/>
  <c r="L1887" i="1"/>
  <c r="K1888" i="1"/>
  <c r="L1888" i="1"/>
  <c r="K1553" i="1"/>
  <c r="L1553" i="1"/>
  <c r="M1553" i="1"/>
  <c r="K1554" i="1"/>
  <c r="L1554" i="1"/>
  <c r="M1554" i="1"/>
  <c r="K1555" i="1"/>
  <c r="L1555" i="1"/>
  <c r="M1555" i="1"/>
  <c r="K1903" i="1"/>
  <c r="L1903" i="1"/>
  <c r="K1904" i="1"/>
  <c r="L1904" i="1"/>
  <c r="K1905" i="1"/>
  <c r="L1905" i="1"/>
  <c r="K1899" i="1"/>
  <c r="L1899" i="1"/>
  <c r="K1900" i="1"/>
  <c r="L1900" i="1"/>
  <c r="K1901" i="1"/>
  <c r="L1901" i="1"/>
  <c r="K1902" i="1"/>
  <c r="L1902" i="1"/>
  <c r="K1556" i="1"/>
  <c r="L1556" i="1"/>
  <c r="M1556" i="1"/>
  <c r="K1557" i="1"/>
  <c r="L1557" i="1"/>
  <c r="M1557" i="1"/>
  <c r="K1558" i="1"/>
  <c r="L1558" i="1"/>
  <c r="M1558" i="1"/>
  <c r="K1559" i="1"/>
  <c r="L1559" i="1"/>
  <c r="M1559" i="1"/>
  <c r="K1919" i="1"/>
  <c r="L1919" i="1"/>
  <c r="K1920" i="1"/>
  <c r="L1920" i="1"/>
  <c r="K1921" i="1"/>
  <c r="L1921" i="1"/>
  <c r="K1922" i="1"/>
  <c r="L1922" i="1"/>
  <c r="K1906" i="1"/>
  <c r="L1906" i="1"/>
  <c r="K1907" i="1"/>
  <c r="L1907" i="1"/>
  <c r="K1908" i="1"/>
  <c r="L1908" i="1"/>
  <c r="K1909" i="1"/>
  <c r="L1909" i="1"/>
  <c r="K1910" i="1"/>
  <c r="L1910" i="1"/>
  <c r="K1911" i="1"/>
  <c r="L1911" i="1"/>
  <c r="K1912" i="1"/>
  <c r="L1912" i="1"/>
  <c r="K1913" i="1"/>
  <c r="L1913" i="1"/>
  <c r="K1914" i="1"/>
  <c r="L1914" i="1"/>
  <c r="K1915" i="1"/>
  <c r="L1915" i="1"/>
  <c r="K1916" i="1"/>
  <c r="L1916" i="1"/>
  <c r="K1917" i="1"/>
  <c r="L1917" i="1"/>
  <c r="K1918" i="1"/>
  <c r="L1918" i="1"/>
  <c r="K1560" i="1"/>
  <c r="L1560" i="1"/>
  <c r="M1560" i="1"/>
  <c r="K1561" i="1"/>
  <c r="L1561" i="1"/>
  <c r="M1561" i="1"/>
  <c r="K1562" i="1"/>
  <c r="L1562" i="1"/>
  <c r="M1562" i="1"/>
  <c r="K1563" i="1"/>
  <c r="L1563" i="1"/>
  <c r="M1563" i="1"/>
  <c r="K1564" i="1"/>
  <c r="L1564" i="1"/>
  <c r="M1564" i="1"/>
  <c r="K1931" i="1"/>
  <c r="L1931" i="1"/>
  <c r="K1932" i="1"/>
  <c r="L1932" i="1"/>
  <c r="K1933" i="1"/>
  <c r="L1933" i="1"/>
  <c r="K1934" i="1"/>
  <c r="L1934" i="1"/>
  <c r="K1923" i="1"/>
  <c r="L1923" i="1"/>
  <c r="K1924" i="1"/>
  <c r="L1924" i="1"/>
  <c r="K1925" i="1"/>
  <c r="L1925" i="1"/>
  <c r="K1926" i="1"/>
  <c r="L1926" i="1"/>
  <c r="K1927" i="1"/>
  <c r="L1927" i="1"/>
  <c r="K1928" i="1"/>
  <c r="L1928" i="1"/>
  <c r="K1929" i="1"/>
  <c r="L1929" i="1"/>
  <c r="K1930" i="1"/>
  <c r="L1930" i="1"/>
  <c r="K1565" i="1"/>
  <c r="L1565" i="1"/>
  <c r="M1565" i="1"/>
  <c r="K1566" i="1"/>
  <c r="L1566" i="1"/>
  <c r="M1566" i="1"/>
  <c r="K1567" i="1"/>
  <c r="L1567" i="1"/>
  <c r="M1567" i="1"/>
  <c r="K1568" i="1"/>
  <c r="L1568" i="1"/>
  <c r="M1568" i="1"/>
  <c r="K2027" i="1"/>
  <c r="L2027" i="1"/>
  <c r="K2028" i="1"/>
  <c r="L2028" i="1"/>
  <c r="K2029" i="1"/>
  <c r="L2029" i="1"/>
  <c r="K2030" i="1"/>
  <c r="L2030" i="1"/>
  <c r="K2031" i="1"/>
  <c r="L2031" i="1"/>
  <c r="K2032" i="1"/>
  <c r="L2032" i="1"/>
  <c r="K2033" i="1"/>
  <c r="L2033" i="1"/>
  <c r="K2034" i="1"/>
  <c r="L2034" i="1"/>
  <c r="K2035" i="1"/>
  <c r="L2035" i="1"/>
  <c r="K2036" i="1"/>
  <c r="L2036" i="1"/>
  <c r="K2037" i="1"/>
  <c r="L2037" i="1"/>
  <c r="K2038" i="1"/>
  <c r="L2038" i="1"/>
  <c r="K2039" i="1"/>
  <c r="L2039" i="1"/>
  <c r="K1935" i="1"/>
  <c r="L1935" i="1"/>
  <c r="K1936" i="1"/>
  <c r="L1936" i="1"/>
  <c r="K1937" i="1"/>
  <c r="L1937" i="1"/>
  <c r="K1938" i="1"/>
  <c r="L1938" i="1"/>
  <c r="K1939" i="1"/>
  <c r="L1939" i="1"/>
  <c r="K1940" i="1"/>
  <c r="L1940" i="1"/>
  <c r="K1941" i="1"/>
  <c r="L1941" i="1"/>
  <c r="K1942" i="1"/>
  <c r="L1942" i="1"/>
  <c r="K1943" i="1"/>
  <c r="L1943" i="1"/>
  <c r="K1944" i="1"/>
  <c r="L1944" i="1"/>
  <c r="K1945" i="1"/>
  <c r="L1945" i="1"/>
  <c r="K1946" i="1"/>
  <c r="L1946" i="1"/>
  <c r="K1947" i="1"/>
  <c r="L1947" i="1"/>
  <c r="K1948" i="1"/>
  <c r="L1948" i="1"/>
  <c r="K1949" i="1"/>
  <c r="L1949" i="1"/>
  <c r="K1950" i="1"/>
  <c r="L1950" i="1"/>
  <c r="K1951" i="1"/>
  <c r="L1951" i="1"/>
  <c r="K1952" i="1"/>
  <c r="L1952" i="1"/>
  <c r="K1953" i="1"/>
  <c r="L1953" i="1"/>
  <c r="K1954" i="1"/>
  <c r="L1954" i="1"/>
  <c r="K1955" i="1"/>
  <c r="L1955" i="1"/>
  <c r="K1956" i="1"/>
  <c r="L1956" i="1"/>
  <c r="K1957" i="1"/>
  <c r="L1957" i="1"/>
  <c r="K1958" i="1"/>
  <c r="L1958" i="1"/>
  <c r="K1959" i="1"/>
  <c r="L1959" i="1"/>
  <c r="K1960" i="1"/>
  <c r="L1960" i="1"/>
  <c r="K1961" i="1"/>
  <c r="L1961" i="1"/>
  <c r="K1962" i="1"/>
  <c r="L1962" i="1"/>
  <c r="K1963" i="1"/>
  <c r="L1963" i="1"/>
  <c r="K1964" i="1"/>
  <c r="L1964" i="1"/>
  <c r="K1965" i="1"/>
  <c r="L1965" i="1"/>
  <c r="K1966" i="1"/>
  <c r="L1966" i="1"/>
  <c r="K1967" i="1"/>
  <c r="L1967" i="1"/>
  <c r="K1968" i="1"/>
  <c r="L1968" i="1"/>
  <c r="K1969" i="1"/>
  <c r="L1969" i="1"/>
  <c r="K1970" i="1"/>
  <c r="L1970" i="1"/>
  <c r="K1971" i="1"/>
  <c r="L1971" i="1"/>
  <c r="K1972" i="1"/>
  <c r="L1972" i="1"/>
  <c r="K1973" i="1"/>
  <c r="L1973" i="1"/>
  <c r="K1974" i="1"/>
  <c r="L1974" i="1"/>
  <c r="K1975" i="1"/>
  <c r="L1975" i="1"/>
  <c r="K1976" i="1"/>
  <c r="L1976" i="1"/>
  <c r="K1977" i="1"/>
  <c r="L1977" i="1"/>
  <c r="K1978" i="1"/>
  <c r="L1978" i="1"/>
  <c r="K1979" i="1"/>
  <c r="L1979" i="1"/>
  <c r="K1980" i="1"/>
  <c r="L1980" i="1"/>
  <c r="K1981" i="1"/>
  <c r="L1981" i="1"/>
  <c r="K1982" i="1"/>
  <c r="L1982" i="1"/>
  <c r="K1983" i="1"/>
  <c r="L1983" i="1"/>
  <c r="K1984" i="1"/>
  <c r="L1984" i="1"/>
  <c r="K1985" i="1"/>
  <c r="L1985" i="1"/>
  <c r="K1986" i="1"/>
  <c r="L1986" i="1"/>
  <c r="K1987" i="1"/>
  <c r="L1987" i="1"/>
  <c r="K1988" i="1"/>
  <c r="L1988" i="1"/>
  <c r="K1989" i="1"/>
  <c r="L1989" i="1"/>
  <c r="K1990" i="1"/>
  <c r="L1990" i="1"/>
  <c r="K1991" i="1"/>
  <c r="L1991" i="1"/>
  <c r="K1992" i="1"/>
  <c r="L1992" i="1"/>
  <c r="K1993" i="1"/>
  <c r="L1993" i="1"/>
  <c r="K1994" i="1"/>
  <c r="L1994" i="1"/>
  <c r="K1995" i="1"/>
  <c r="L1995" i="1"/>
  <c r="K1996" i="1"/>
  <c r="L1996" i="1"/>
  <c r="K1997" i="1"/>
  <c r="L1997" i="1"/>
  <c r="K1998" i="1"/>
  <c r="L1998" i="1"/>
  <c r="K1999" i="1"/>
  <c r="L1999" i="1"/>
  <c r="K2000" i="1"/>
  <c r="L2000" i="1"/>
  <c r="K2001" i="1"/>
  <c r="L2001" i="1"/>
  <c r="K2002" i="1"/>
  <c r="L2002" i="1"/>
  <c r="K2003" i="1"/>
  <c r="L2003" i="1"/>
  <c r="K2004" i="1"/>
  <c r="L2004" i="1"/>
  <c r="K2005" i="1"/>
  <c r="L2005" i="1"/>
  <c r="K2006" i="1"/>
  <c r="L2006" i="1"/>
  <c r="K2007" i="1"/>
  <c r="L2007" i="1"/>
  <c r="K2008" i="1"/>
  <c r="L2008" i="1"/>
  <c r="K2009" i="1"/>
  <c r="L2009" i="1"/>
  <c r="K2010" i="1"/>
  <c r="L2010" i="1"/>
  <c r="K2011" i="1"/>
  <c r="L2011" i="1"/>
  <c r="K2012" i="1"/>
  <c r="L2012" i="1"/>
  <c r="K2013" i="1"/>
  <c r="L2013" i="1"/>
  <c r="K2014" i="1"/>
  <c r="L2014" i="1"/>
  <c r="K2015" i="1"/>
  <c r="L2015" i="1"/>
  <c r="K2016" i="1"/>
  <c r="L2016" i="1"/>
  <c r="K2017" i="1"/>
  <c r="L2017" i="1"/>
  <c r="K2018" i="1"/>
  <c r="L2018" i="1"/>
  <c r="K2019" i="1"/>
  <c r="L2019" i="1"/>
  <c r="K2020" i="1"/>
  <c r="L2020" i="1"/>
  <c r="K2021" i="1"/>
  <c r="L2021" i="1"/>
  <c r="K2022" i="1"/>
  <c r="L2022" i="1"/>
  <c r="K2023" i="1"/>
  <c r="L2023" i="1"/>
  <c r="K2024" i="1"/>
  <c r="L2024" i="1"/>
  <c r="K2025" i="1"/>
  <c r="L2025" i="1"/>
  <c r="K2026" i="1"/>
  <c r="L2026" i="1"/>
  <c r="K1572" i="1"/>
  <c r="L1572" i="1"/>
  <c r="M1572" i="1"/>
  <c r="K1573" i="1"/>
  <c r="L1573" i="1"/>
  <c r="M1573" i="1"/>
  <c r="K1574" i="1"/>
  <c r="L1574" i="1"/>
  <c r="M1574" i="1"/>
  <c r="K1575" i="1"/>
  <c r="L1575" i="1"/>
  <c r="M1575" i="1"/>
  <c r="K1576" i="1"/>
  <c r="L1576" i="1"/>
  <c r="M1576" i="1"/>
  <c r="K1577" i="1"/>
  <c r="L1577" i="1"/>
  <c r="M1577" i="1"/>
  <c r="K1578" i="1"/>
  <c r="L1578" i="1"/>
  <c r="M1578" i="1"/>
  <c r="K1579" i="1"/>
  <c r="L1579" i="1"/>
  <c r="M1579" i="1"/>
  <c r="K1580" i="1"/>
  <c r="L1580" i="1"/>
  <c r="M1580" i="1"/>
  <c r="K1581" i="1"/>
  <c r="L1581" i="1"/>
  <c r="M1581" i="1"/>
  <c r="K1582" i="1"/>
  <c r="L1582" i="1"/>
  <c r="M1582" i="1"/>
  <c r="K1583" i="1"/>
  <c r="L1583" i="1"/>
  <c r="M1583" i="1"/>
  <c r="K1584" i="1"/>
  <c r="L1584" i="1"/>
  <c r="M1584" i="1"/>
  <c r="K1585" i="1"/>
  <c r="L1585" i="1"/>
  <c r="M1585" i="1"/>
  <c r="K1586" i="1"/>
  <c r="L1586" i="1"/>
  <c r="M1586" i="1"/>
  <c r="K1587" i="1"/>
  <c r="L1587" i="1"/>
  <c r="M1587" i="1"/>
  <c r="K1588" i="1"/>
  <c r="L1588" i="1"/>
  <c r="M1588" i="1"/>
  <c r="K1589" i="1"/>
  <c r="L1589" i="1"/>
  <c r="M1589" i="1"/>
  <c r="K1590" i="1"/>
  <c r="L1590" i="1"/>
  <c r="M1590" i="1"/>
  <c r="K1591" i="1"/>
  <c r="L1591" i="1"/>
  <c r="M1591" i="1"/>
  <c r="K1592" i="1"/>
  <c r="L1592" i="1"/>
  <c r="M1592" i="1"/>
  <c r="K1593" i="1"/>
  <c r="L1593" i="1"/>
  <c r="M1593" i="1"/>
  <c r="K1594" i="1"/>
  <c r="L1594" i="1"/>
  <c r="M1594" i="1"/>
  <c r="K1595" i="1"/>
  <c r="L1595" i="1"/>
  <c r="M1595" i="1"/>
  <c r="K1596" i="1"/>
  <c r="L1596" i="1"/>
  <c r="M1596" i="1"/>
  <c r="K1597" i="1"/>
  <c r="L1597" i="1"/>
  <c r="M1597" i="1"/>
  <c r="K1598" i="1"/>
  <c r="L1598" i="1"/>
  <c r="M1598" i="1"/>
  <c r="K1599" i="1"/>
  <c r="L1599" i="1"/>
  <c r="M1599" i="1"/>
  <c r="K1600" i="1"/>
  <c r="L1600" i="1"/>
  <c r="M1600" i="1"/>
  <c r="K1601" i="1"/>
  <c r="L1601" i="1"/>
  <c r="M1601" i="1"/>
  <c r="K1602" i="1"/>
  <c r="L1602" i="1"/>
  <c r="M1602" i="1"/>
  <c r="K1603" i="1"/>
  <c r="L1603" i="1"/>
  <c r="M1603" i="1"/>
  <c r="K1604" i="1"/>
  <c r="L1604" i="1"/>
  <c r="M1604" i="1"/>
  <c r="K1605" i="1"/>
  <c r="L1605" i="1"/>
  <c r="M1605" i="1"/>
  <c r="K1606" i="1"/>
  <c r="L1606" i="1"/>
  <c r="M1606" i="1"/>
  <c r="K1607" i="1"/>
  <c r="L1607" i="1"/>
  <c r="M1607" i="1"/>
  <c r="K1608" i="1"/>
  <c r="L1608" i="1"/>
  <c r="M1608" i="1"/>
  <c r="K1609" i="1"/>
  <c r="L1609" i="1"/>
  <c r="M1609" i="1"/>
  <c r="K1610" i="1"/>
  <c r="L1610" i="1"/>
  <c r="M1610" i="1"/>
  <c r="K1611" i="1"/>
  <c r="L1611" i="1"/>
  <c r="M1611" i="1"/>
  <c r="K1612" i="1"/>
  <c r="L1612" i="1"/>
  <c r="M1612" i="1"/>
  <c r="K1613" i="1"/>
  <c r="L1613" i="1"/>
  <c r="M1613" i="1"/>
  <c r="K1614" i="1"/>
  <c r="L1614" i="1"/>
  <c r="M1614" i="1"/>
  <c r="K1615" i="1"/>
  <c r="L1615" i="1"/>
  <c r="M1615" i="1"/>
  <c r="K1616" i="1"/>
  <c r="L1616" i="1"/>
  <c r="M1616" i="1"/>
  <c r="K1617" i="1"/>
  <c r="L1617" i="1"/>
  <c r="M1617" i="1"/>
  <c r="K1618" i="1"/>
  <c r="L1618" i="1"/>
  <c r="M1618" i="1"/>
  <c r="K1619" i="1"/>
  <c r="L1619" i="1"/>
  <c r="M1619" i="1"/>
  <c r="K1620" i="1"/>
  <c r="L1620" i="1"/>
  <c r="M1620"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29" i="1"/>
  <c r="L1629" i="1"/>
  <c r="M1629" i="1"/>
  <c r="K1630" i="1"/>
  <c r="L1630" i="1"/>
  <c r="M1630" i="1"/>
  <c r="K1631" i="1"/>
  <c r="L1631" i="1"/>
  <c r="M1631" i="1"/>
  <c r="K1632" i="1"/>
  <c r="L1632" i="1"/>
  <c r="M1632" i="1"/>
  <c r="K1633" i="1"/>
  <c r="L1633" i="1"/>
  <c r="M1633" i="1"/>
  <c r="K1634" i="1"/>
  <c r="L1634" i="1"/>
  <c r="M1634" i="1"/>
  <c r="K1635" i="1"/>
  <c r="L1635" i="1"/>
  <c r="M1635" i="1"/>
  <c r="K1636" i="1"/>
  <c r="L1636" i="1"/>
  <c r="M1636" i="1"/>
  <c r="K1637" i="1"/>
  <c r="L1637" i="1"/>
  <c r="M1637" i="1"/>
  <c r="K1638" i="1"/>
  <c r="L1638" i="1"/>
  <c r="M1638" i="1"/>
  <c r="K1639" i="1"/>
  <c r="L1639" i="1"/>
  <c r="M1639" i="1"/>
  <c r="K1640" i="1"/>
  <c r="L1640" i="1"/>
  <c r="M1640" i="1"/>
  <c r="K1641" i="1"/>
  <c r="L1641" i="1"/>
  <c r="M1641" i="1"/>
  <c r="K1642" i="1"/>
  <c r="L1642" i="1"/>
  <c r="M1642" i="1"/>
  <c r="K1643" i="1"/>
  <c r="L1643" i="1"/>
  <c r="M1643" i="1"/>
  <c r="K1644" i="1"/>
  <c r="L1644" i="1"/>
  <c r="M1644" i="1"/>
  <c r="K1645" i="1"/>
  <c r="L1645" i="1"/>
  <c r="M1645" i="1"/>
  <c r="K1646" i="1"/>
  <c r="L1646" i="1"/>
  <c r="M1646" i="1"/>
  <c r="K1647" i="1"/>
  <c r="L1647" i="1"/>
  <c r="M1647" i="1"/>
  <c r="K1648" i="1"/>
  <c r="L1648" i="1"/>
  <c r="M1648" i="1"/>
  <c r="K1649" i="1"/>
  <c r="L1649" i="1"/>
  <c r="M1649" i="1"/>
  <c r="K1650" i="1"/>
  <c r="L1650" i="1"/>
  <c r="M1650" i="1"/>
  <c r="K1651" i="1"/>
  <c r="L1651" i="1"/>
  <c r="M1651" i="1"/>
  <c r="K1652" i="1"/>
  <c r="L1652" i="1"/>
  <c r="M1652" i="1"/>
  <c r="K1653" i="1"/>
  <c r="L1653" i="1"/>
  <c r="M1653" i="1"/>
  <c r="K1654" i="1"/>
  <c r="L1654" i="1"/>
  <c r="M1654" i="1"/>
  <c r="K1655" i="1"/>
  <c r="L1655" i="1"/>
  <c r="M1655" i="1"/>
  <c r="K1656" i="1"/>
  <c r="L1656" i="1"/>
  <c r="M1656" i="1"/>
  <c r="K1657" i="1"/>
  <c r="L1657" i="1"/>
  <c r="M1657" i="1"/>
  <c r="K1658" i="1"/>
  <c r="L1658" i="1"/>
  <c r="M1658" i="1"/>
  <c r="K1659" i="1"/>
  <c r="L1659" i="1"/>
  <c r="M1659" i="1"/>
  <c r="K1660" i="1"/>
  <c r="L1660" i="1"/>
  <c r="M1660" i="1"/>
  <c r="K1661" i="1"/>
  <c r="L1661" i="1"/>
  <c r="M1661" i="1"/>
  <c r="K1662" i="1"/>
  <c r="L1662" i="1"/>
  <c r="M1662" i="1"/>
  <c r="K1663" i="1"/>
  <c r="L1663" i="1"/>
  <c r="M1663" i="1"/>
  <c r="K1664" i="1"/>
  <c r="L1664" i="1"/>
  <c r="M1664" i="1"/>
  <c r="K1665" i="1"/>
  <c r="L1665" i="1"/>
  <c r="M1665" i="1"/>
  <c r="K1666" i="1"/>
  <c r="L1666" i="1"/>
  <c r="M1666" i="1"/>
  <c r="K1667" i="1"/>
  <c r="L1667" i="1"/>
  <c r="M1667" i="1"/>
  <c r="K1668" i="1"/>
  <c r="L1668" i="1"/>
  <c r="M1668" i="1"/>
  <c r="K1669" i="1"/>
  <c r="L1669" i="1"/>
  <c r="M1669" i="1"/>
  <c r="K1670" i="1"/>
  <c r="L1670" i="1"/>
  <c r="M1670" i="1"/>
  <c r="K1671" i="1"/>
  <c r="L1671" i="1"/>
  <c r="M1671" i="1"/>
  <c r="K1672" i="1"/>
  <c r="L1672" i="1"/>
  <c r="M1672" i="1"/>
  <c r="K1673" i="1"/>
  <c r="L1673" i="1"/>
  <c r="M1673" i="1"/>
  <c r="K1674" i="1"/>
  <c r="L1674" i="1"/>
  <c r="M1674" i="1"/>
  <c r="K1675" i="1"/>
  <c r="L1675" i="1"/>
  <c r="M1675" i="1"/>
  <c r="K1676" i="1"/>
  <c r="L1676" i="1"/>
  <c r="M1676" i="1"/>
  <c r="K1677" i="1"/>
  <c r="L1677" i="1"/>
  <c r="M1677" i="1"/>
  <c r="K1678" i="1"/>
  <c r="L1678" i="1"/>
  <c r="M1678" i="1"/>
  <c r="K1679" i="1"/>
  <c r="L1679" i="1"/>
  <c r="M1679" i="1"/>
  <c r="K1680" i="1"/>
  <c r="L1680" i="1"/>
  <c r="M1680" i="1"/>
  <c r="K1681" i="1"/>
  <c r="L1681" i="1"/>
  <c r="M1681" i="1"/>
  <c r="K1682" i="1"/>
  <c r="L1682" i="1"/>
  <c r="M1682" i="1"/>
  <c r="K1683" i="1"/>
  <c r="L1683" i="1"/>
  <c r="M1683" i="1"/>
  <c r="K1684" i="1"/>
  <c r="L1684" i="1"/>
  <c r="M1684" i="1"/>
  <c r="K1685" i="1"/>
  <c r="L1685" i="1"/>
  <c r="M1685" i="1"/>
  <c r="K1686" i="1"/>
  <c r="L1686" i="1"/>
  <c r="M1686" i="1"/>
  <c r="K1687" i="1"/>
  <c r="L1687" i="1"/>
  <c r="M1687" i="1"/>
  <c r="K1688" i="1"/>
  <c r="L1688" i="1"/>
  <c r="M1688" i="1"/>
  <c r="K1689" i="1"/>
  <c r="L1689" i="1"/>
  <c r="M1689" i="1"/>
  <c r="K1690" i="1"/>
  <c r="L1690" i="1"/>
  <c r="M1690" i="1"/>
  <c r="K1691" i="1"/>
  <c r="L1691" i="1"/>
  <c r="M1691" i="1"/>
  <c r="K1692" i="1"/>
  <c r="L1692" i="1"/>
  <c r="M1692" i="1"/>
  <c r="K1693" i="1"/>
  <c r="L1693" i="1"/>
  <c r="M1693" i="1"/>
  <c r="K1694" i="1"/>
  <c r="L1694" i="1"/>
  <c r="M1694" i="1"/>
  <c r="K1695" i="1"/>
  <c r="L1695" i="1"/>
  <c r="M1695" i="1"/>
  <c r="K1696" i="1"/>
  <c r="L1696" i="1"/>
  <c r="M1696" i="1"/>
  <c r="K1697" i="1"/>
  <c r="L1697" i="1"/>
  <c r="M1697" i="1"/>
  <c r="K1698" i="1"/>
  <c r="L1698" i="1"/>
  <c r="M1698" i="1"/>
  <c r="K1699" i="1"/>
  <c r="L1699" i="1"/>
  <c r="M1699" i="1"/>
  <c r="K1700" i="1"/>
  <c r="L1700" i="1"/>
  <c r="M1700" i="1"/>
  <c r="K1701" i="1"/>
  <c r="L1701" i="1"/>
  <c r="M1701" i="1"/>
  <c r="K1702" i="1"/>
  <c r="L1702" i="1"/>
  <c r="M1702" i="1"/>
  <c r="K1703" i="1"/>
  <c r="L1703" i="1"/>
  <c r="M1703" i="1"/>
  <c r="K1569" i="1"/>
  <c r="L1569" i="1"/>
  <c r="M1569" i="1"/>
  <c r="K1570" i="1"/>
  <c r="L1570" i="1"/>
  <c r="M1570" i="1"/>
  <c r="K1571" i="1"/>
  <c r="L1571" i="1"/>
  <c r="M1571" i="1"/>
  <c r="K2055" i="1"/>
  <c r="L2055" i="1"/>
  <c r="K2056" i="1"/>
  <c r="L2056" i="1"/>
  <c r="K2057" i="1"/>
  <c r="L2057" i="1"/>
  <c r="K2058" i="1"/>
  <c r="L2058" i="1"/>
  <c r="K2059" i="1"/>
  <c r="L2059" i="1"/>
  <c r="K2060" i="1"/>
  <c r="L2060" i="1"/>
  <c r="K2061" i="1"/>
  <c r="L2061" i="1"/>
  <c r="K2062" i="1"/>
  <c r="L2062" i="1"/>
  <c r="K2041" i="1"/>
  <c r="L2041" i="1"/>
  <c r="K2042" i="1"/>
  <c r="L2042" i="1"/>
  <c r="K2043" i="1"/>
  <c r="L2043" i="1"/>
  <c r="K2044" i="1"/>
  <c r="L2044" i="1"/>
  <c r="K2045" i="1"/>
  <c r="L2045" i="1"/>
  <c r="K2046" i="1"/>
  <c r="L2046" i="1"/>
  <c r="K2047" i="1"/>
  <c r="L2047" i="1"/>
  <c r="K2048" i="1"/>
  <c r="L2048" i="1"/>
  <c r="K2049" i="1"/>
  <c r="L2049" i="1"/>
  <c r="K2050" i="1"/>
  <c r="L2050" i="1"/>
  <c r="K2051" i="1"/>
  <c r="L2051" i="1"/>
  <c r="K2052" i="1"/>
  <c r="L2052" i="1"/>
  <c r="K2053" i="1"/>
  <c r="L2053" i="1"/>
  <c r="K2054" i="1"/>
  <c r="L2054" i="1"/>
  <c r="K2063" i="1"/>
  <c r="L2063" i="1"/>
  <c r="M2063" i="1"/>
  <c r="K2064" i="1"/>
  <c r="L2064" i="1"/>
  <c r="M2064" i="1"/>
  <c r="K2065" i="1"/>
  <c r="L2065" i="1"/>
  <c r="M2065" i="1"/>
  <c r="K2066" i="1"/>
  <c r="L2066" i="1"/>
  <c r="M2066" i="1"/>
  <c r="K2067" i="1"/>
  <c r="L2067" i="1"/>
  <c r="M2067" i="1"/>
  <c r="K2245" i="1"/>
  <c r="L2245" i="1"/>
  <c r="K2246" i="1"/>
  <c r="L2246" i="1"/>
  <c r="K2247" i="1"/>
  <c r="L2247" i="1"/>
  <c r="K2248" i="1"/>
  <c r="L2248" i="1"/>
  <c r="K2249" i="1"/>
  <c r="L2249" i="1"/>
  <c r="K2250" i="1"/>
  <c r="L2250" i="1"/>
  <c r="K2251" i="1"/>
  <c r="L2251" i="1"/>
  <c r="K2252" i="1"/>
  <c r="L2252" i="1"/>
  <c r="K2253" i="1"/>
  <c r="L2253" i="1"/>
  <c r="K2254" i="1"/>
  <c r="L2254" i="1"/>
  <c r="K2255" i="1"/>
  <c r="L2255" i="1"/>
  <c r="K2068" i="1"/>
  <c r="L2068" i="1"/>
  <c r="M2068" i="1"/>
  <c r="K2069" i="1"/>
  <c r="L2069" i="1"/>
  <c r="M2069" i="1"/>
  <c r="K2070" i="1"/>
  <c r="L2070" i="1"/>
  <c r="M2070" i="1"/>
  <c r="K2071" i="1"/>
  <c r="L2071" i="1"/>
  <c r="M2071" i="1"/>
  <c r="K2072" i="1"/>
  <c r="L2072" i="1"/>
  <c r="M2072" i="1"/>
  <c r="K2073" i="1"/>
  <c r="L2073" i="1"/>
  <c r="M2073" i="1"/>
  <c r="K2274" i="1"/>
  <c r="L2274" i="1"/>
  <c r="K2275" i="1"/>
  <c r="L2275" i="1"/>
  <c r="K2276" i="1"/>
  <c r="L2276" i="1"/>
  <c r="K2277" i="1"/>
  <c r="L2277" i="1"/>
  <c r="K2278" i="1"/>
  <c r="L2278" i="1"/>
  <c r="K2279" i="1"/>
  <c r="L2279" i="1"/>
  <c r="K2280" i="1"/>
  <c r="L2280" i="1"/>
  <c r="K2281" i="1"/>
  <c r="L2281" i="1"/>
  <c r="K2282" i="1"/>
  <c r="L2282" i="1"/>
  <c r="K2283" i="1"/>
  <c r="L2283" i="1"/>
  <c r="K2284" i="1"/>
  <c r="L2284" i="1"/>
  <c r="K2285" i="1"/>
  <c r="L2285" i="1"/>
  <c r="K2286" i="1"/>
  <c r="L2286" i="1"/>
  <c r="K2258" i="1"/>
  <c r="L2258" i="1"/>
  <c r="K2259" i="1"/>
  <c r="L2259" i="1"/>
  <c r="K2260" i="1"/>
  <c r="L2260" i="1"/>
  <c r="K2261" i="1"/>
  <c r="L2261" i="1"/>
  <c r="K2262" i="1"/>
  <c r="L2262" i="1"/>
  <c r="K2263" i="1"/>
  <c r="L2263" i="1"/>
  <c r="K2264" i="1"/>
  <c r="L2264" i="1"/>
  <c r="K2265" i="1"/>
  <c r="L2265" i="1"/>
  <c r="K2266" i="1"/>
  <c r="L2266" i="1"/>
  <c r="K2267" i="1"/>
  <c r="L2267" i="1"/>
  <c r="K2268" i="1"/>
  <c r="L2268" i="1"/>
  <c r="K2269" i="1"/>
  <c r="L2269" i="1"/>
  <c r="K2270" i="1"/>
  <c r="L2270" i="1"/>
  <c r="K2271" i="1"/>
  <c r="L2271" i="1"/>
  <c r="K2272" i="1"/>
  <c r="L2272" i="1"/>
  <c r="K2273" i="1"/>
  <c r="L2273" i="1"/>
  <c r="K2074" i="1"/>
  <c r="L2074" i="1"/>
  <c r="M2074" i="1"/>
  <c r="K2290" i="1"/>
  <c r="L2290" i="1"/>
  <c r="K2291" i="1"/>
  <c r="L2291" i="1"/>
  <c r="K2292" i="1"/>
  <c r="L2292" i="1"/>
  <c r="K2293" i="1"/>
  <c r="L2293" i="1"/>
  <c r="K2294" i="1"/>
  <c r="L2294" i="1"/>
  <c r="K2295" i="1"/>
  <c r="L2295" i="1"/>
  <c r="K2296" i="1"/>
  <c r="L2296" i="1"/>
  <c r="K2287" i="1"/>
  <c r="L2287" i="1"/>
  <c r="K2288" i="1"/>
  <c r="L2288" i="1"/>
  <c r="K2289" i="1"/>
  <c r="L2289" i="1"/>
  <c r="K2075" i="1"/>
  <c r="L2075" i="1"/>
  <c r="M2075" i="1"/>
  <c r="K2076" i="1"/>
  <c r="L2076" i="1"/>
  <c r="M2076" i="1"/>
  <c r="K2077" i="1"/>
  <c r="L2077" i="1"/>
  <c r="M2077" i="1"/>
  <c r="K2078" i="1"/>
  <c r="L2078" i="1"/>
  <c r="M2078" i="1"/>
  <c r="K2079" i="1"/>
  <c r="L2079" i="1"/>
  <c r="M2079" i="1"/>
  <c r="K2080" i="1"/>
  <c r="L2080" i="1"/>
  <c r="M2080" i="1"/>
  <c r="K2309" i="1"/>
  <c r="L2309" i="1"/>
  <c r="K2310" i="1"/>
  <c r="L2310" i="1"/>
  <c r="K2311" i="1"/>
  <c r="L2311" i="1"/>
  <c r="K2312" i="1"/>
  <c r="L2312" i="1"/>
  <c r="K2313" i="1"/>
  <c r="L2313" i="1"/>
  <c r="K2314" i="1"/>
  <c r="L2314" i="1"/>
  <c r="K2315" i="1"/>
  <c r="L2315" i="1"/>
  <c r="K2316" i="1"/>
  <c r="L2316" i="1"/>
  <c r="K2297" i="1"/>
  <c r="L2297" i="1"/>
  <c r="K2298" i="1"/>
  <c r="L2298" i="1"/>
  <c r="K2299" i="1"/>
  <c r="L2299" i="1"/>
  <c r="K2300" i="1"/>
  <c r="L2300" i="1"/>
  <c r="K2301" i="1"/>
  <c r="L2301" i="1"/>
  <c r="K2302" i="1"/>
  <c r="L2302" i="1"/>
  <c r="K2303" i="1"/>
  <c r="L2303" i="1"/>
  <c r="K2304" i="1"/>
  <c r="L2304" i="1"/>
  <c r="K2305" i="1"/>
  <c r="L2305" i="1"/>
  <c r="K2306" i="1"/>
  <c r="L2306" i="1"/>
  <c r="K2307" i="1"/>
  <c r="L2307" i="1"/>
  <c r="K2308" i="1"/>
  <c r="L2308" i="1"/>
  <c r="K2081" i="1"/>
  <c r="L2081" i="1"/>
  <c r="M2081" i="1"/>
  <c r="K2082" i="1"/>
  <c r="L2082" i="1"/>
  <c r="M2082" i="1"/>
  <c r="K2083" i="1"/>
  <c r="L2083" i="1"/>
  <c r="M2083" i="1"/>
  <c r="K2324" i="1"/>
  <c r="L2324" i="1"/>
  <c r="K2325" i="1"/>
  <c r="L2325" i="1"/>
  <c r="K2326" i="1"/>
  <c r="L2326" i="1"/>
  <c r="K2327" i="1"/>
  <c r="L2327" i="1"/>
  <c r="K2328" i="1"/>
  <c r="L2328" i="1"/>
  <c r="K2329" i="1"/>
  <c r="L2329" i="1"/>
  <c r="K2330" i="1"/>
  <c r="L2330" i="1"/>
  <c r="K2331" i="1"/>
  <c r="L2331" i="1"/>
  <c r="K2332" i="1"/>
  <c r="L2332" i="1"/>
  <c r="K2333" i="1"/>
  <c r="L2333" i="1"/>
  <c r="K2334" i="1"/>
  <c r="L2334" i="1"/>
  <c r="K2335" i="1"/>
  <c r="L2335" i="1"/>
  <c r="K2336" i="1"/>
  <c r="L2336" i="1"/>
  <c r="K2337" i="1"/>
  <c r="L2337" i="1"/>
  <c r="K2338" i="1"/>
  <c r="L2338" i="1"/>
  <c r="K2317" i="1"/>
  <c r="L2317" i="1"/>
  <c r="K2318" i="1"/>
  <c r="L2318" i="1"/>
  <c r="K2319" i="1"/>
  <c r="L2319" i="1"/>
  <c r="K2320" i="1"/>
  <c r="L2320" i="1"/>
  <c r="K2321" i="1"/>
  <c r="L2321" i="1"/>
  <c r="K2322" i="1"/>
  <c r="L2322" i="1"/>
  <c r="K2323" i="1"/>
  <c r="L2323" i="1"/>
  <c r="K2084" i="1"/>
  <c r="L2084" i="1"/>
  <c r="M2084" i="1"/>
  <c r="K2339" i="1"/>
  <c r="L2339" i="1"/>
  <c r="K2340" i="1"/>
  <c r="L2340" i="1"/>
  <c r="K2341" i="1"/>
  <c r="L2341" i="1"/>
  <c r="K2342" i="1"/>
  <c r="L2342" i="1"/>
  <c r="K2343" i="1"/>
  <c r="L2343" i="1"/>
  <c r="K2344" i="1"/>
  <c r="L2344" i="1"/>
  <c r="K2345" i="1"/>
  <c r="L2345" i="1"/>
  <c r="K2346" i="1"/>
  <c r="L2346" i="1"/>
  <c r="K2347" i="1"/>
  <c r="L2347" i="1"/>
  <c r="K2085" i="1"/>
  <c r="L2085" i="1"/>
  <c r="M2085" i="1"/>
  <c r="K2086" i="1"/>
  <c r="L2086" i="1"/>
  <c r="M2086" i="1"/>
  <c r="K2087" i="1"/>
  <c r="L2087" i="1"/>
  <c r="M2087" i="1"/>
  <c r="K2088" i="1"/>
  <c r="L2088" i="1"/>
  <c r="M2088" i="1"/>
  <c r="K2360" i="1"/>
  <c r="L2360" i="1"/>
  <c r="K2361" i="1"/>
  <c r="L2361" i="1"/>
  <c r="K2362" i="1"/>
  <c r="L2362" i="1"/>
  <c r="K2363" i="1"/>
  <c r="L2363" i="1"/>
  <c r="K2364" i="1"/>
  <c r="L2364" i="1"/>
  <c r="K2365" i="1"/>
  <c r="L2365" i="1"/>
  <c r="K2366" i="1"/>
  <c r="L2366" i="1"/>
  <c r="K2367" i="1"/>
  <c r="L2367" i="1"/>
  <c r="K2368" i="1"/>
  <c r="L2368" i="1"/>
  <c r="K2369" i="1"/>
  <c r="L2369" i="1"/>
  <c r="K2370" i="1"/>
  <c r="L2370" i="1"/>
  <c r="K2371" i="1"/>
  <c r="L2371" i="1"/>
  <c r="K2372" i="1"/>
  <c r="L2372" i="1"/>
  <c r="K2373" i="1"/>
  <c r="L2373" i="1"/>
  <c r="K2374" i="1"/>
  <c r="L2374" i="1"/>
  <c r="K2348" i="1"/>
  <c r="L2348" i="1"/>
  <c r="K2349" i="1"/>
  <c r="L2349" i="1"/>
  <c r="K2350" i="1"/>
  <c r="L2350" i="1"/>
  <c r="K2351" i="1"/>
  <c r="L2351" i="1"/>
  <c r="K2352" i="1"/>
  <c r="L2352" i="1"/>
  <c r="K2353" i="1"/>
  <c r="L2353" i="1"/>
  <c r="K2354" i="1"/>
  <c r="L2354" i="1"/>
  <c r="K2355" i="1"/>
  <c r="L2355" i="1"/>
  <c r="K2356" i="1"/>
  <c r="L2356" i="1"/>
  <c r="K2357" i="1"/>
  <c r="L2357" i="1"/>
  <c r="K2358" i="1"/>
  <c r="L2358" i="1"/>
  <c r="K2359" i="1"/>
  <c r="L2359" i="1"/>
  <c r="K2089" i="1"/>
  <c r="L2089" i="1"/>
  <c r="M2089" i="1"/>
  <c r="K2090" i="1"/>
  <c r="L2090" i="1"/>
  <c r="M2090" i="1"/>
  <c r="K2091" i="1"/>
  <c r="L2091" i="1"/>
  <c r="M2091" i="1"/>
  <c r="K2377" i="1"/>
  <c r="L2377" i="1"/>
  <c r="K2378" i="1"/>
  <c r="L2378" i="1"/>
  <c r="K2375" i="1"/>
  <c r="L2375" i="1"/>
  <c r="K2376" i="1"/>
  <c r="L2376" i="1"/>
  <c r="K2092" i="1"/>
  <c r="L2092" i="1"/>
  <c r="M2092" i="1"/>
  <c r="K2093" i="1"/>
  <c r="L2093" i="1"/>
  <c r="M2093" i="1"/>
  <c r="K2094" i="1"/>
  <c r="L2094" i="1"/>
  <c r="M2094" i="1"/>
  <c r="K2095" i="1"/>
  <c r="L2095" i="1"/>
  <c r="M2095" i="1"/>
  <c r="K2096" i="1"/>
  <c r="L2096" i="1"/>
  <c r="M2096" i="1"/>
  <c r="K2380" i="1"/>
  <c r="L2380" i="1"/>
  <c r="K2381" i="1"/>
  <c r="L2381" i="1"/>
  <c r="K2382" i="1"/>
  <c r="L2382" i="1"/>
  <c r="K2383" i="1"/>
  <c r="L2383" i="1"/>
  <c r="K2384" i="1"/>
  <c r="L2384" i="1"/>
  <c r="K2385" i="1"/>
  <c r="L2385" i="1"/>
  <c r="K2386" i="1"/>
  <c r="L2386" i="1"/>
  <c r="K2387" i="1"/>
  <c r="L2387" i="1"/>
  <c r="K2388" i="1"/>
  <c r="L2388" i="1"/>
  <c r="K2389" i="1"/>
  <c r="L2389" i="1"/>
  <c r="K2390" i="1"/>
  <c r="L2390" i="1"/>
  <c r="K2391" i="1"/>
  <c r="L2391" i="1"/>
  <c r="K2392" i="1"/>
  <c r="L2392" i="1"/>
  <c r="K2379" i="1"/>
  <c r="L2379" i="1"/>
  <c r="K2097" i="1"/>
  <c r="L2097" i="1"/>
  <c r="M2097" i="1"/>
  <c r="K2098" i="1"/>
  <c r="L2098" i="1"/>
  <c r="M2098" i="1"/>
  <c r="K2099" i="1"/>
  <c r="L2099" i="1"/>
  <c r="M2099" i="1"/>
  <c r="K2100" i="1"/>
  <c r="L2100" i="1"/>
  <c r="M2100" i="1"/>
  <c r="K2101" i="1"/>
  <c r="L2101" i="1"/>
  <c r="M2101" i="1"/>
  <c r="K2102" i="1"/>
  <c r="L2102" i="1"/>
  <c r="M2102" i="1"/>
  <c r="K2103" i="1"/>
  <c r="L2103" i="1"/>
  <c r="M2103" i="1"/>
  <c r="K2104" i="1"/>
  <c r="L2104" i="1"/>
  <c r="M2104" i="1"/>
  <c r="K2105" i="1"/>
  <c r="L2105" i="1"/>
  <c r="M2105" i="1"/>
  <c r="K2106" i="1"/>
  <c r="L2106" i="1"/>
  <c r="M2106" i="1"/>
  <c r="K2107" i="1"/>
  <c r="L2107" i="1"/>
  <c r="M2107" i="1"/>
  <c r="K2108" i="1"/>
  <c r="L2108" i="1"/>
  <c r="M2108" i="1"/>
  <c r="K2109" i="1"/>
  <c r="L2109" i="1"/>
  <c r="M2109" i="1"/>
  <c r="K2110" i="1"/>
  <c r="L2110" i="1"/>
  <c r="M2110" i="1"/>
  <c r="K2111" i="1"/>
  <c r="L2111" i="1"/>
  <c r="M2111" i="1"/>
  <c r="K2396" i="1"/>
  <c r="L2396" i="1"/>
  <c r="K2397" i="1"/>
  <c r="L2397" i="1"/>
  <c r="K2398" i="1"/>
  <c r="L2398" i="1"/>
  <c r="K2399" i="1"/>
  <c r="L2399" i="1"/>
  <c r="K2400" i="1"/>
  <c r="L2400" i="1"/>
  <c r="K2401" i="1"/>
  <c r="L2401" i="1"/>
  <c r="K2402" i="1"/>
  <c r="L2402" i="1"/>
  <c r="K2403" i="1"/>
  <c r="L2403" i="1"/>
  <c r="K2404" i="1"/>
  <c r="L2404" i="1"/>
  <c r="K2405" i="1"/>
  <c r="L2405" i="1"/>
  <c r="K2406" i="1"/>
  <c r="L2406" i="1"/>
  <c r="K2407" i="1"/>
  <c r="L2407" i="1"/>
  <c r="K2408" i="1"/>
  <c r="L2408" i="1"/>
  <c r="K2409" i="1"/>
  <c r="L2409" i="1"/>
  <c r="K2410" i="1"/>
  <c r="L2410" i="1"/>
  <c r="K2411" i="1"/>
  <c r="L2411" i="1"/>
  <c r="K2412" i="1"/>
  <c r="L2412" i="1"/>
  <c r="K2413" i="1"/>
  <c r="L2413" i="1"/>
  <c r="K2414" i="1"/>
  <c r="L2414" i="1"/>
  <c r="K2415" i="1"/>
  <c r="L2415" i="1"/>
  <c r="K2393" i="1"/>
  <c r="L2393" i="1"/>
  <c r="K2394" i="1"/>
  <c r="L2394" i="1"/>
  <c r="K2395" i="1"/>
  <c r="L2395" i="1"/>
  <c r="K2112" i="1"/>
  <c r="L2112" i="1"/>
  <c r="M2112" i="1"/>
  <c r="K2113" i="1"/>
  <c r="L2113" i="1"/>
  <c r="M2113" i="1"/>
  <c r="K2114" i="1"/>
  <c r="L2114" i="1"/>
  <c r="M2114" i="1"/>
  <c r="K2115" i="1"/>
  <c r="L2115" i="1"/>
  <c r="M2115" i="1"/>
  <c r="K2116" i="1"/>
  <c r="L2116" i="1"/>
  <c r="M2116" i="1"/>
  <c r="K2117" i="1"/>
  <c r="L2117" i="1"/>
  <c r="M2117" i="1"/>
  <c r="K2118" i="1"/>
  <c r="L2118" i="1"/>
  <c r="M2118" i="1"/>
  <c r="K2119" i="1"/>
  <c r="L2119" i="1"/>
  <c r="M2119" i="1"/>
  <c r="K2120" i="1"/>
  <c r="L2120" i="1"/>
  <c r="M2120" i="1"/>
  <c r="K2121" i="1"/>
  <c r="L2121" i="1"/>
  <c r="M2121" i="1"/>
  <c r="K2122" i="1"/>
  <c r="L2122" i="1"/>
  <c r="M2122" i="1"/>
  <c r="K2123" i="1"/>
  <c r="L2123" i="1"/>
  <c r="M2123" i="1"/>
  <c r="K2124" i="1"/>
  <c r="L2124" i="1"/>
  <c r="M2124" i="1"/>
  <c r="K2125" i="1"/>
  <c r="L2125" i="1"/>
  <c r="M2125" i="1"/>
  <c r="K2126" i="1"/>
  <c r="L2126" i="1"/>
  <c r="M2126" i="1"/>
  <c r="K2127" i="1"/>
  <c r="L2127" i="1"/>
  <c r="M2127" i="1"/>
  <c r="K2128" i="1"/>
  <c r="L2128" i="1"/>
  <c r="M2128" i="1"/>
  <c r="K2431" i="1"/>
  <c r="L2431" i="1"/>
  <c r="K2432" i="1"/>
  <c r="L2432" i="1"/>
  <c r="K2433" i="1"/>
  <c r="L2433" i="1"/>
  <c r="K2434" i="1"/>
  <c r="L2434" i="1"/>
  <c r="K2435" i="1"/>
  <c r="L2435" i="1"/>
  <c r="K2436" i="1"/>
  <c r="L2436" i="1"/>
  <c r="K2437" i="1"/>
  <c r="L2437" i="1"/>
  <c r="K2438" i="1"/>
  <c r="L2438" i="1"/>
  <c r="K2439" i="1"/>
  <c r="L2439" i="1"/>
  <c r="K2440" i="1"/>
  <c r="L2440" i="1"/>
  <c r="K2441" i="1"/>
  <c r="L2441" i="1"/>
  <c r="K2442" i="1"/>
  <c r="L2442" i="1"/>
  <c r="K2443" i="1"/>
  <c r="L2443" i="1"/>
  <c r="K2444" i="1"/>
  <c r="L2444" i="1"/>
  <c r="K2445" i="1"/>
  <c r="L2445" i="1"/>
  <c r="K2446" i="1"/>
  <c r="L2446" i="1"/>
  <c r="K2447" i="1"/>
  <c r="L2447" i="1"/>
  <c r="K2448" i="1"/>
  <c r="L2448" i="1"/>
  <c r="K2449" i="1"/>
  <c r="L2449" i="1"/>
  <c r="K2450" i="1"/>
  <c r="L2450" i="1"/>
  <c r="K2451" i="1"/>
  <c r="L2451" i="1"/>
  <c r="K2452" i="1"/>
  <c r="L2452" i="1"/>
  <c r="K2453" i="1"/>
  <c r="L2453" i="1"/>
  <c r="K2454" i="1"/>
  <c r="L2454" i="1"/>
  <c r="K2455" i="1"/>
  <c r="L2455" i="1"/>
  <c r="K2456" i="1"/>
  <c r="L2456" i="1"/>
  <c r="K2457" i="1"/>
  <c r="L2457" i="1"/>
  <c r="K2458" i="1"/>
  <c r="L2458" i="1"/>
  <c r="K2459" i="1"/>
  <c r="L2459" i="1"/>
  <c r="K2460" i="1"/>
  <c r="L2460" i="1"/>
  <c r="K2461" i="1"/>
  <c r="L2461" i="1"/>
  <c r="K2462" i="1"/>
  <c r="L2462" i="1"/>
  <c r="K2463" i="1"/>
  <c r="L2463" i="1"/>
  <c r="K2464" i="1"/>
  <c r="L2464" i="1"/>
  <c r="K2465" i="1"/>
  <c r="L2465" i="1"/>
  <c r="K2466" i="1"/>
  <c r="L2466" i="1"/>
  <c r="K2467" i="1"/>
  <c r="L2467" i="1"/>
  <c r="K2468" i="1"/>
  <c r="L2468" i="1"/>
  <c r="K2469" i="1"/>
  <c r="L2469" i="1"/>
  <c r="K2470" i="1"/>
  <c r="L2470" i="1"/>
  <c r="K2416" i="1"/>
  <c r="L2416" i="1"/>
  <c r="K2417" i="1"/>
  <c r="L2417" i="1"/>
  <c r="K2418" i="1"/>
  <c r="L2418" i="1"/>
  <c r="K2419" i="1"/>
  <c r="L2419" i="1"/>
  <c r="K2420" i="1"/>
  <c r="L2420" i="1"/>
  <c r="K2421" i="1"/>
  <c r="L2421" i="1"/>
  <c r="K2422" i="1"/>
  <c r="L2422" i="1"/>
  <c r="K2423" i="1"/>
  <c r="L2423" i="1"/>
  <c r="K2424" i="1"/>
  <c r="L2424" i="1"/>
  <c r="K2425" i="1"/>
  <c r="L2425" i="1"/>
  <c r="K2426" i="1"/>
  <c r="L2426" i="1"/>
  <c r="K2427" i="1"/>
  <c r="L2427" i="1"/>
  <c r="K2428" i="1"/>
  <c r="L2428" i="1"/>
  <c r="K2429" i="1"/>
  <c r="L2429" i="1"/>
  <c r="K2430" i="1"/>
  <c r="L2430" i="1"/>
  <c r="K2137" i="1"/>
  <c r="L2137" i="1"/>
  <c r="M2137" i="1"/>
  <c r="K2138" i="1"/>
  <c r="L2138" i="1"/>
  <c r="M2138" i="1"/>
  <c r="K2139" i="1"/>
  <c r="L2139" i="1"/>
  <c r="M2139" i="1"/>
  <c r="K2140" i="1"/>
  <c r="L2140" i="1"/>
  <c r="M2140" i="1"/>
  <c r="K2141" i="1"/>
  <c r="L2141" i="1"/>
  <c r="M2141" i="1"/>
  <c r="K2142" i="1"/>
  <c r="L2142" i="1"/>
  <c r="M2142" i="1"/>
  <c r="K2143" i="1"/>
  <c r="L2143" i="1"/>
  <c r="M2143" i="1"/>
  <c r="K2144" i="1"/>
  <c r="L2144" i="1"/>
  <c r="M2144" i="1"/>
  <c r="K2145" i="1"/>
  <c r="L2145" i="1"/>
  <c r="M2145" i="1"/>
  <c r="K2146" i="1"/>
  <c r="L2146" i="1"/>
  <c r="M2146" i="1"/>
  <c r="K2147" i="1"/>
  <c r="L2147" i="1"/>
  <c r="M2147" i="1"/>
  <c r="K2148" i="1"/>
  <c r="L2148" i="1"/>
  <c r="M2148" i="1"/>
  <c r="K2149" i="1"/>
  <c r="L2149" i="1"/>
  <c r="M2149" i="1"/>
  <c r="K2150" i="1"/>
  <c r="L2150" i="1"/>
  <c r="M2150" i="1"/>
  <c r="K2151" i="1"/>
  <c r="L2151" i="1"/>
  <c r="M2151" i="1"/>
  <c r="K2152" i="1"/>
  <c r="L2152" i="1"/>
  <c r="M2152" i="1"/>
  <c r="K2153" i="1"/>
  <c r="L2153" i="1"/>
  <c r="M2153" i="1"/>
  <c r="K2154" i="1"/>
  <c r="L2154" i="1"/>
  <c r="M2154" i="1"/>
  <c r="K2155" i="1"/>
  <c r="L2155" i="1"/>
  <c r="M2155" i="1"/>
  <c r="K2156" i="1"/>
  <c r="L2156" i="1"/>
  <c r="M2156" i="1"/>
  <c r="K2157" i="1"/>
  <c r="L2157" i="1"/>
  <c r="M2157" i="1"/>
  <c r="K2158" i="1"/>
  <c r="L2158" i="1"/>
  <c r="M2158" i="1"/>
  <c r="K2159" i="1"/>
  <c r="L2159" i="1"/>
  <c r="M2159" i="1"/>
  <c r="K2160" i="1"/>
  <c r="L2160" i="1"/>
  <c r="M2160" i="1"/>
  <c r="K2161" i="1"/>
  <c r="L2161" i="1"/>
  <c r="M2161" i="1"/>
  <c r="K2162" i="1"/>
  <c r="L2162" i="1"/>
  <c r="M2162" i="1"/>
  <c r="K2163" i="1"/>
  <c r="L2163" i="1"/>
  <c r="M2163" i="1"/>
  <c r="K2164" i="1"/>
  <c r="L2164" i="1"/>
  <c r="M2164" i="1"/>
  <c r="K2165" i="1"/>
  <c r="L2165" i="1"/>
  <c r="M2165" i="1"/>
  <c r="K2166" i="1"/>
  <c r="L2166" i="1"/>
  <c r="M2166" i="1"/>
  <c r="K2167" i="1"/>
  <c r="L2167" i="1"/>
  <c r="M2167" i="1"/>
  <c r="K2168" i="1"/>
  <c r="L2168" i="1"/>
  <c r="M2168" i="1"/>
  <c r="K2169" i="1"/>
  <c r="L2169" i="1"/>
  <c r="M2169" i="1"/>
  <c r="K2170" i="1"/>
  <c r="L2170" i="1"/>
  <c r="M2170" i="1"/>
  <c r="K2171" i="1"/>
  <c r="L2171" i="1"/>
  <c r="M2171" i="1"/>
  <c r="K2172" i="1"/>
  <c r="L2172" i="1"/>
  <c r="M2172" i="1"/>
  <c r="K2173" i="1"/>
  <c r="L2173" i="1"/>
  <c r="M2173" i="1"/>
  <c r="K2174" i="1"/>
  <c r="L2174" i="1"/>
  <c r="M2174" i="1"/>
  <c r="K2175" i="1"/>
  <c r="L2175" i="1"/>
  <c r="M2175" i="1"/>
  <c r="K2176" i="1"/>
  <c r="L2176" i="1"/>
  <c r="M2176" i="1"/>
  <c r="K2177" i="1"/>
  <c r="L2177" i="1"/>
  <c r="M2177" i="1"/>
  <c r="K2178" i="1"/>
  <c r="L2178" i="1"/>
  <c r="M2178" i="1"/>
  <c r="K2179" i="1"/>
  <c r="L2179" i="1"/>
  <c r="M2179" i="1"/>
  <c r="K2180" i="1"/>
  <c r="L2180" i="1"/>
  <c r="M2180" i="1"/>
  <c r="K2181" i="1"/>
  <c r="L2181" i="1"/>
  <c r="M2181" i="1"/>
  <c r="K2182" i="1"/>
  <c r="L2182" i="1"/>
  <c r="M2182" i="1"/>
  <c r="K2183" i="1"/>
  <c r="L2183" i="1"/>
  <c r="M2183" i="1"/>
  <c r="K2184" i="1"/>
  <c r="L2184" i="1"/>
  <c r="M2184" i="1"/>
  <c r="K2185" i="1"/>
  <c r="L2185" i="1"/>
  <c r="M2185" i="1"/>
  <c r="K2186" i="1"/>
  <c r="L2186" i="1"/>
  <c r="M2186" i="1"/>
  <c r="K2187" i="1"/>
  <c r="L2187" i="1"/>
  <c r="M2187" i="1"/>
  <c r="K2188" i="1"/>
  <c r="L2188" i="1"/>
  <c r="M2188" i="1"/>
  <c r="K2189" i="1"/>
  <c r="L2189" i="1"/>
  <c r="M2189" i="1"/>
  <c r="K2190" i="1"/>
  <c r="L2190" i="1"/>
  <c r="M2190" i="1"/>
  <c r="K2191" i="1"/>
  <c r="L2191" i="1"/>
  <c r="M2191" i="1"/>
  <c r="K2192" i="1"/>
  <c r="L2192" i="1"/>
  <c r="M2192" i="1"/>
  <c r="K2193" i="1"/>
  <c r="L2193" i="1"/>
  <c r="M2193" i="1"/>
  <c r="K2194" i="1"/>
  <c r="L2194" i="1"/>
  <c r="M2194" i="1"/>
  <c r="K2195" i="1"/>
  <c r="L2195" i="1"/>
  <c r="M2195" i="1"/>
  <c r="K2196" i="1"/>
  <c r="L2196" i="1"/>
  <c r="M2196" i="1"/>
  <c r="K2197" i="1"/>
  <c r="L2197" i="1"/>
  <c r="M2197" i="1"/>
  <c r="K2198" i="1"/>
  <c r="L2198" i="1"/>
  <c r="M2198" i="1"/>
  <c r="K2199" i="1"/>
  <c r="L2199" i="1"/>
  <c r="M2199" i="1"/>
  <c r="K2200" i="1"/>
  <c r="L2200" i="1"/>
  <c r="M2200" i="1"/>
  <c r="K2201" i="1"/>
  <c r="L2201" i="1"/>
  <c r="M2201" i="1"/>
  <c r="K2202" i="1"/>
  <c r="L2202" i="1"/>
  <c r="M2202" i="1"/>
  <c r="K2203" i="1"/>
  <c r="L2203" i="1"/>
  <c r="M2203" i="1"/>
  <c r="K2204" i="1"/>
  <c r="L2204" i="1"/>
  <c r="M2204" i="1"/>
  <c r="K2205" i="1"/>
  <c r="L2205" i="1"/>
  <c r="M2205" i="1"/>
  <c r="K2206" i="1"/>
  <c r="L2206" i="1"/>
  <c r="M2206" i="1"/>
  <c r="K2207" i="1"/>
  <c r="L2207" i="1"/>
  <c r="M2207" i="1"/>
  <c r="K2208" i="1"/>
  <c r="L2208" i="1"/>
  <c r="M2208" i="1"/>
  <c r="K2209" i="1"/>
  <c r="L2209" i="1"/>
  <c r="M2209" i="1"/>
  <c r="K2210" i="1"/>
  <c r="L2210" i="1"/>
  <c r="M2210" i="1"/>
  <c r="K2211" i="1"/>
  <c r="L2211" i="1"/>
  <c r="M2211" i="1"/>
  <c r="K2212" i="1"/>
  <c r="L2212" i="1"/>
  <c r="M2212" i="1"/>
  <c r="K2213" i="1"/>
  <c r="L2213" i="1"/>
  <c r="M2213" i="1"/>
  <c r="K2214" i="1"/>
  <c r="L2214" i="1"/>
  <c r="M2214" i="1"/>
  <c r="K2215" i="1"/>
  <c r="L2215" i="1"/>
  <c r="M2215" i="1"/>
  <c r="K2216" i="1"/>
  <c r="L2216" i="1"/>
  <c r="M2216" i="1"/>
  <c r="K2217" i="1"/>
  <c r="L2217" i="1"/>
  <c r="M2217" i="1"/>
  <c r="K2218" i="1"/>
  <c r="L2218" i="1"/>
  <c r="M2218" i="1"/>
  <c r="K2219" i="1"/>
  <c r="L2219" i="1"/>
  <c r="M2219" i="1"/>
  <c r="K2220" i="1"/>
  <c r="L2220" i="1"/>
  <c r="M2220" i="1"/>
  <c r="K2221" i="1"/>
  <c r="L2221" i="1"/>
  <c r="M2221" i="1"/>
  <c r="K2222" i="1"/>
  <c r="L2222" i="1"/>
  <c r="M2222" i="1"/>
  <c r="K2223" i="1"/>
  <c r="L2223" i="1"/>
  <c r="M2223" i="1"/>
  <c r="K2224" i="1"/>
  <c r="L2224" i="1"/>
  <c r="M2224" i="1"/>
  <c r="K2225" i="1"/>
  <c r="L2225" i="1"/>
  <c r="M2225" i="1"/>
  <c r="K2226" i="1"/>
  <c r="L2226" i="1"/>
  <c r="M2226" i="1"/>
  <c r="K2227" i="1"/>
  <c r="L2227" i="1"/>
  <c r="M2227" i="1"/>
  <c r="K2228" i="1"/>
  <c r="L2228" i="1"/>
  <c r="M2228" i="1"/>
  <c r="K2229" i="1"/>
  <c r="L2229" i="1"/>
  <c r="M2229" i="1"/>
  <c r="K2230" i="1"/>
  <c r="L2230" i="1"/>
  <c r="M2230" i="1"/>
  <c r="K2231" i="1"/>
  <c r="L2231" i="1"/>
  <c r="M2231" i="1"/>
  <c r="K2232" i="1"/>
  <c r="L2232" i="1"/>
  <c r="M2232" i="1"/>
  <c r="K2233" i="1"/>
  <c r="L2233" i="1"/>
  <c r="M2233" i="1"/>
  <c r="K2234" i="1"/>
  <c r="L2234" i="1"/>
  <c r="M2234" i="1"/>
  <c r="K2235" i="1"/>
  <c r="L2235" i="1"/>
  <c r="M2235" i="1"/>
  <c r="K2236" i="1"/>
  <c r="L2236" i="1"/>
  <c r="M2236" i="1"/>
  <c r="K2237" i="1"/>
  <c r="L2237" i="1"/>
  <c r="M2237" i="1"/>
  <c r="K2238" i="1"/>
  <c r="L2238" i="1"/>
  <c r="M2238" i="1"/>
  <c r="K2239" i="1"/>
  <c r="L2239" i="1"/>
  <c r="M2239" i="1"/>
  <c r="K2240" i="1"/>
  <c r="L2240" i="1"/>
  <c r="M2240" i="1"/>
  <c r="K2241" i="1"/>
  <c r="L2241" i="1"/>
  <c r="M2241" i="1"/>
  <c r="K2242" i="1"/>
  <c r="L2242" i="1"/>
  <c r="M2242" i="1"/>
  <c r="K2243" i="1"/>
  <c r="L2243" i="1"/>
  <c r="M2243" i="1"/>
  <c r="K2244" i="1"/>
  <c r="L2244" i="1"/>
  <c r="M2244" i="1"/>
  <c r="K2129" i="1"/>
  <c r="L2129" i="1"/>
  <c r="M2129" i="1"/>
  <c r="K2130" i="1"/>
  <c r="L2130" i="1"/>
  <c r="M2130" i="1"/>
  <c r="K2131" i="1"/>
  <c r="L2131" i="1"/>
  <c r="M2131" i="1"/>
  <c r="K2132" i="1"/>
  <c r="L2132" i="1"/>
  <c r="M2132" i="1"/>
  <c r="K2133" i="1"/>
  <c r="L2133" i="1"/>
  <c r="M2133" i="1"/>
  <c r="K2134" i="1"/>
  <c r="L2134" i="1"/>
  <c r="M2134" i="1"/>
  <c r="K2135" i="1"/>
  <c r="L2135" i="1"/>
  <c r="M2135" i="1"/>
  <c r="K2136" i="1"/>
  <c r="L2136" i="1"/>
  <c r="M2136" i="1"/>
  <c r="K2476" i="1"/>
  <c r="L2476" i="1"/>
  <c r="K2477" i="1"/>
  <c r="L2477" i="1"/>
  <c r="K2478" i="1"/>
  <c r="L2478" i="1"/>
  <c r="K2479" i="1"/>
  <c r="L2479" i="1"/>
  <c r="K2480" i="1"/>
  <c r="L2480" i="1"/>
  <c r="K2481" i="1"/>
  <c r="L2481" i="1"/>
  <c r="K2482" i="1"/>
  <c r="L2482" i="1"/>
  <c r="K2483" i="1"/>
  <c r="L2483" i="1"/>
  <c r="K2484" i="1"/>
  <c r="L2484" i="1"/>
  <c r="K2485" i="1"/>
  <c r="L2485" i="1"/>
  <c r="K2486" i="1"/>
  <c r="L2486" i="1"/>
  <c r="K2487" i="1"/>
  <c r="L2487" i="1"/>
  <c r="K2488" i="1"/>
  <c r="L2488" i="1"/>
  <c r="K2489" i="1"/>
  <c r="L2489" i="1"/>
  <c r="K2490" i="1"/>
  <c r="L2490" i="1"/>
  <c r="K2491" i="1"/>
  <c r="L2491" i="1"/>
  <c r="K2492" i="1"/>
  <c r="L2492" i="1"/>
  <c r="K2493" i="1"/>
  <c r="L2493" i="1"/>
  <c r="K2494" i="1"/>
  <c r="L2494" i="1"/>
  <c r="K2495" i="1"/>
  <c r="L2495" i="1"/>
  <c r="K2496" i="1"/>
  <c r="L2496" i="1"/>
  <c r="K2497" i="1"/>
  <c r="L2497" i="1"/>
  <c r="K2498" i="1"/>
  <c r="L2498" i="1"/>
  <c r="K2499" i="1"/>
  <c r="L2499" i="1"/>
  <c r="K2500" i="1"/>
  <c r="L2500" i="1"/>
  <c r="K2501" i="1"/>
  <c r="L2501" i="1"/>
  <c r="K2502" i="1"/>
  <c r="L2502" i="1"/>
  <c r="K2471" i="1"/>
  <c r="L2471" i="1"/>
  <c r="K2472" i="1"/>
  <c r="L2472" i="1"/>
  <c r="K2473" i="1"/>
  <c r="L2473" i="1"/>
  <c r="K2474" i="1"/>
  <c r="L2474" i="1"/>
  <c r="K2475" i="1"/>
  <c r="L2475" i="1"/>
  <c r="K2503" i="1"/>
  <c r="L2503" i="1"/>
  <c r="M2503" i="1"/>
  <c r="K2504" i="1"/>
  <c r="L2504" i="1"/>
  <c r="M2504" i="1"/>
  <c r="K2505" i="1"/>
  <c r="L2505" i="1"/>
  <c r="M2505" i="1"/>
  <c r="K2506" i="1"/>
  <c r="L2506" i="1"/>
  <c r="M2506" i="1"/>
  <c r="K2622" i="1"/>
  <c r="L2622" i="1"/>
  <c r="K2623" i="1"/>
  <c r="L2623" i="1"/>
  <c r="K2624" i="1"/>
  <c r="L2624" i="1"/>
  <c r="K2625" i="1"/>
  <c r="L2625" i="1"/>
  <c r="K2626" i="1"/>
  <c r="L2626" i="1"/>
  <c r="K2627" i="1"/>
  <c r="L2627" i="1"/>
  <c r="K2628" i="1"/>
  <c r="L2628" i="1"/>
  <c r="K2629" i="1"/>
  <c r="L2629" i="1"/>
  <c r="K2630" i="1"/>
  <c r="L2630" i="1"/>
  <c r="K2631" i="1"/>
  <c r="L2631" i="1"/>
  <c r="K2632" i="1"/>
  <c r="L2632" i="1"/>
  <c r="K2633" i="1"/>
  <c r="L2633" i="1"/>
  <c r="K2634" i="1"/>
  <c r="L2634" i="1"/>
  <c r="K2635" i="1"/>
  <c r="L2635" i="1"/>
  <c r="K2636" i="1"/>
  <c r="L2636" i="1"/>
  <c r="K2637" i="1"/>
  <c r="L2637" i="1"/>
  <c r="K2638" i="1"/>
  <c r="L2638" i="1"/>
  <c r="K2507" i="1"/>
  <c r="L2507" i="1"/>
  <c r="M2507" i="1"/>
  <c r="K2683" i="1"/>
  <c r="L2683" i="1"/>
  <c r="K2684" i="1"/>
  <c r="L2684" i="1"/>
  <c r="K2685" i="1"/>
  <c r="L2685" i="1"/>
  <c r="K2686" i="1"/>
  <c r="L2686" i="1"/>
  <c r="K2687" i="1"/>
  <c r="L2687" i="1"/>
  <c r="K2688" i="1"/>
  <c r="L2688" i="1"/>
  <c r="K2689" i="1"/>
  <c r="L2689" i="1"/>
  <c r="K2690" i="1"/>
  <c r="L2690" i="1"/>
  <c r="K2691" i="1"/>
  <c r="L2691" i="1"/>
  <c r="K2692" i="1"/>
  <c r="L2692" i="1"/>
  <c r="K2693" i="1"/>
  <c r="L2693" i="1"/>
  <c r="K2694" i="1"/>
  <c r="L2694" i="1"/>
  <c r="K2695" i="1"/>
  <c r="L2695" i="1"/>
  <c r="K2696" i="1"/>
  <c r="L2696" i="1"/>
  <c r="K2697" i="1"/>
  <c r="L2697" i="1"/>
  <c r="K2698" i="1"/>
  <c r="L2698" i="1"/>
  <c r="K2699" i="1"/>
  <c r="L2699" i="1"/>
  <c r="K2643" i="1"/>
  <c r="L2643" i="1"/>
  <c r="K2644" i="1"/>
  <c r="L2644" i="1"/>
  <c r="K2645" i="1"/>
  <c r="L2645" i="1"/>
  <c r="K2646" i="1"/>
  <c r="L2646" i="1"/>
  <c r="K2647" i="1"/>
  <c r="L2647" i="1"/>
  <c r="K2648" i="1"/>
  <c r="L2648" i="1"/>
  <c r="K2649" i="1"/>
  <c r="L2649" i="1"/>
  <c r="K2650" i="1"/>
  <c r="L2650" i="1"/>
  <c r="K2651" i="1"/>
  <c r="L2651" i="1"/>
  <c r="K2652" i="1"/>
  <c r="L2652" i="1"/>
  <c r="K2653" i="1"/>
  <c r="L2653" i="1"/>
  <c r="K2654" i="1"/>
  <c r="L2654" i="1"/>
  <c r="K2655" i="1"/>
  <c r="L2655" i="1"/>
  <c r="K2656" i="1"/>
  <c r="L2656" i="1"/>
  <c r="K2657" i="1"/>
  <c r="L2657" i="1"/>
  <c r="K2658" i="1"/>
  <c r="L2658" i="1"/>
  <c r="K2659" i="1"/>
  <c r="L2659" i="1"/>
  <c r="K2660" i="1"/>
  <c r="L2660" i="1"/>
  <c r="K2661" i="1"/>
  <c r="L2661" i="1"/>
  <c r="K2662" i="1"/>
  <c r="L2662" i="1"/>
  <c r="K2663" i="1"/>
  <c r="L2663" i="1"/>
  <c r="K2664" i="1"/>
  <c r="L2664" i="1"/>
  <c r="K2665" i="1"/>
  <c r="L2665" i="1"/>
  <c r="K2666" i="1"/>
  <c r="L2666" i="1"/>
  <c r="K2667" i="1"/>
  <c r="L2667" i="1"/>
  <c r="K2668" i="1"/>
  <c r="L2668" i="1"/>
  <c r="K2669" i="1"/>
  <c r="L2669" i="1"/>
  <c r="K2670" i="1"/>
  <c r="L2670" i="1"/>
  <c r="K2671" i="1"/>
  <c r="L2671" i="1"/>
  <c r="K2672" i="1"/>
  <c r="L2672" i="1"/>
  <c r="K2673" i="1"/>
  <c r="L2673" i="1"/>
  <c r="K2674" i="1"/>
  <c r="L2674" i="1"/>
  <c r="K2675" i="1"/>
  <c r="L2675" i="1"/>
  <c r="K2676" i="1"/>
  <c r="L2676" i="1"/>
  <c r="K2677" i="1"/>
  <c r="L2677" i="1"/>
  <c r="K2678" i="1"/>
  <c r="L2678" i="1"/>
  <c r="K2679" i="1"/>
  <c r="L2679" i="1"/>
  <c r="K2680" i="1"/>
  <c r="L2680" i="1"/>
  <c r="K2681" i="1"/>
  <c r="L2681" i="1"/>
  <c r="K2682" i="1"/>
  <c r="L2682" i="1"/>
  <c r="K2708" i="1"/>
  <c r="L2708" i="1"/>
  <c r="K2709" i="1"/>
  <c r="L2709" i="1"/>
  <c r="K2710" i="1"/>
  <c r="L2710" i="1"/>
  <c r="K2711" i="1"/>
  <c r="L2711" i="1"/>
  <c r="K2702" i="1"/>
  <c r="L2702" i="1"/>
  <c r="K2703" i="1"/>
  <c r="L2703" i="1"/>
  <c r="K2704" i="1"/>
  <c r="L2704" i="1"/>
  <c r="K2705" i="1"/>
  <c r="L2705" i="1"/>
  <c r="K2706" i="1"/>
  <c r="L2706" i="1"/>
  <c r="K2707" i="1"/>
  <c r="L2707" i="1"/>
  <c r="K2725" i="1"/>
  <c r="L2725" i="1"/>
  <c r="K2726" i="1"/>
  <c r="L2726" i="1"/>
  <c r="K2727" i="1"/>
  <c r="L2727" i="1"/>
  <c r="K2728" i="1"/>
  <c r="L2728" i="1"/>
  <c r="K2729" i="1"/>
  <c r="L2729" i="1"/>
  <c r="K2730" i="1"/>
  <c r="L2730" i="1"/>
  <c r="K2731" i="1"/>
  <c r="L2731" i="1"/>
  <c r="K2732" i="1"/>
  <c r="L2732" i="1"/>
  <c r="K2733" i="1"/>
  <c r="L2733" i="1"/>
  <c r="K2734" i="1"/>
  <c r="L2734" i="1"/>
  <c r="K2735" i="1"/>
  <c r="L2735" i="1"/>
  <c r="K2736" i="1"/>
  <c r="L2736" i="1"/>
  <c r="K2737" i="1"/>
  <c r="L2737" i="1"/>
  <c r="K2738" i="1"/>
  <c r="L2738" i="1"/>
  <c r="K2739" i="1"/>
  <c r="L2739" i="1"/>
  <c r="K2740" i="1"/>
  <c r="L2740" i="1"/>
  <c r="K2741" i="1"/>
  <c r="L2741" i="1"/>
  <c r="K2742" i="1"/>
  <c r="L2742" i="1"/>
  <c r="K2743" i="1"/>
  <c r="L2743" i="1"/>
  <c r="K2744" i="1"/>
  <c r="L2744" i="1"/>
  <c r="K2745" i="1"/>
  <c r="L2745" i="1"/>
  <c r="K2746" i="1"/>
  <c r="L2746" i="1"/>
  <c r="K2747" i="1"/>
  <c r="L2747" i="1"/>
  <c r="K2748" i="1"/>
  <c r="L2748" i="1"/>
  <c r="K2749" i="1"/>
  <c r="L2749" i="1"/>
  <c r="K2750" i="1"/>
  <c r="L2750" i="1"/>
  <c r="K2751" i="1"/>
  <c r="L2751" i="1"/>
  <c r="K2752" i="1"/>
  <c r="L2752" i="1"/>
  <c r="K2753" i="1"/>
  <c r="L2753" i="1"/>
  <c r="K2712" i="1"/>
  <c r="L2712" i="1"/>
  <c r="K2713" i="1"/>
  <c r="L2713" i="1"/>
  <c r="K2714" i="1"/>
  <c r="L2714" i="1"/>
  <c r="K2715" i="1"/>
  <c r="L2715" i="1"/>
  <c r="K2716" i="1"/>
  <c r="L2716" i="1"/>
  <c r="K2717" i="1"/>
  <c r="L2717" i="1"/>
  <c r="K2718" i="1"/>
  <c r="L2718" i="1"/>
  <c r="K2719" i="1"/>
  <c r="L2719" i="1"/>
  <c r="K2720" i="1"/>
  <c r="L2720" i="1"/>
  <c r="K2721" i="1"/>
  <c r="L2721" i="1"/>
  <c r="K2722" i="1"/>
  <c r="L2722" i="1"/>
  <c r="K2723" i="1"/>
  <c r="L2723" i="1"/>
  <c r="K2724" i="1"/>
  <c r="L2724" i="1"/>
  <c r="K2508" i="1"/>
  <c r="L2508" i="1"/>
  <c r="M2508" i="1"/>
  <c r="K2509" i="1"/>
  <c r="L2509" i="1"/>
  <c r="M2509" i="1"/>
  <c r="K2773" i="1"/>
  <c r="L2773" i="1"/>
  <c r="K2774" i="1"/>
  <c r="L2774" i="1"/>
  <c r="K2775" i="1"/>
  <c r="L2775" i="1"/>
  <c r="K2776" i="1"/>
  <c r="L2776" i="1"/>
  <c r="K2777" i="1"/>
  <c r="L2777" i="1"/>
  <c r="K2778" i="1"/>
  <c r="L2778" i="1"/>
  <c r="K2779" i="1"/>
  <c r="L2779" i="1"/>
  <c r="K2780" i="1"/>
  <c r="L2780" i="1"/>
  <c r="K2781" i="1"/>
  <c r="L2781" i="1"/>
  <c r="K2782" i="1"/>
  <c r="L2782" i="1"/>
  <c r="K2783" i="1"/>
  <c r="L2783" i="1"/>
  <c r="K2784" i="1"/>
  <c r="L2784" i="1"/>
  <c r="K2785" i="1"/>
  <c r="L2785" i="1"/>
  <c r="K2786" i="1"/>
  <c r="L2786" i="1"/>
  <c r="K2787" i="1"/>
  <c r="L2787" i="1"/>
  <c r="K2788" i="1"/>
  <c r="L2788" i="1"/>
  <c r="K2789" i="1"/>
  <c r="L2789" i="1"/>
  <c r="K2790" i="1"/>
  <c r="L2790" i="1"/>
  <c r="K2754" i="1"/>
  <c r="L2754" i="1"/>
  <c r="K2755" i="1"/>
  <c r="L2755" i="1"/>
  <c r="K2756" i="1"/>
  <c r="L2756" i="1"/>
  <c r="K2757" i="1"/>
  <c r="L2757" i="1"/>
  <c r="K2758" i="1"/>
  <c r="L2758" i="1"/>
  <c r="K2759" i="1"/>
  <c r="L2759" i="1"/>
  <c r="K2760" i="1"/>
  <c r="L2760" i="1"/>
  <c r="K2761" i="1"/>
  <c r="L2761" i="1"/>
  <c r="K2762" i="1"/>
  <c r="L2762" i="1"/>
  <c r="K2763" i="1"/>
  <c r="L2763" i="1"/>
  <c r="K2764" i="1"/>
  <c r="L2764" i="1"/>
  <c r="K2765" i="1"/>
  <c r="L2765" i="1"/>
  <c r="K2766" i="1"/>
  <c r="L2766" i="1"/>
  <c r="K2767" i="1"/>
  <c r="L2767" i="1"/>
  <c r="K2768" i="1"/>
  <c r="L2768" i="1"/>
  <c r="K2769" i="1"/>
  <c r="L2769" i="1"/>
  <c r="K2770" i="1"/>
  <c r="L2770" i="1"/>
  <c r="K2771" i="1"/>
  <c r="L2771" i="1"/>
  <c r="K2772" i="1"/>
  <c r="L2772" i="1"/>
  <c r="K2797" i="1"/>
  <c r="L2797" i="1"/>
  <c r="K2798" i="1"/>
  <c r="L2798" i="1"/>
  <c r="K2799" i="1"/>
  <c r="L2799" i="1"/>
  <c r="K2800" i="1"/>
  <c r="L2800" i="1"/>
  <c r="K2801" i="1"/>
  <c r="L2801" i="1"/>
  <c r="K2802" i="1"/>
  <c r="L2802" i="1"/>
  <c r="K2803" i="1"/>
  <c r="L2803" i="1"/>
  <c r="K2804" i="1"/>
  <c r="L2804" i="1"/>
  <c r="K2805" i="1"/>
  <c r="L2805" i="1"/>
  <c r="K2806" i="1"/>
  <c r="L2806" i="1"/>
  <c r="K2807" i="1"/>
  <c r="L2807" i="1"/>
  <c r="K2808" i="1"/>
  <c r="L2808" i="1"/>
  <c r="K2809" i="1"/>
  <c r="L2809" i="1"/>
  <c r="K2810" i="1"/>
  <c r="L2810" i="1"/>
  <c r="K2791" i="1"/>
  <c r="L2791" i="1"/>
  <c r="K2792" i="1"/>
  <c r="L2792" i="1"/>
  <c r="K2793" i="1"/>
  <c r="L2793" i="1"/>
  <c r="K2794" i="1"/>
  <c r="L2794" i="1"/>
  <c r="K2795" i="1"/>
  <c r="L2795" i="1"/>
  <c r="K2796" i="1"/>
  <c r="L2796" i="1"/>
  <c r="K2510" i="1"/>
  <c r="L2510" i="1"/>
  <c r="M2510" i="1"/>
  <c r="K2511" i="1"/>
  <c r="L2511" i="1"/>
  <c r="M2511" i="1"/>
  <c r="K2824" i="1"/>
  <c r="L2824" i="1"/>
  <c r="K2825" i="1"/>
  <c r="L2825" i="1"/>
  <c r="K2826" i="1"/>
  <c r="L2826" i="1"/>
  <c r="K2827" i="1"/>
  <c r="L2827" i="1"/>
  <c r="K2828" i="1"/>
  <c r="L2828" i="1"/>
  <c r="K2829" i="1"/>
  <c r="L2829" i="1"/>
  <c r="K2830" i="1"/>
  <c r="L2830" i="1"/>
  <c r="K2831" i="1"/>
  <c r="L2831" i="1"/>
  <c r="K2832" i="1"/>
  <c r="L2832" i="1"/>
  <c r="K2833" i="1"/>
  <c r="L2833" i="1"/>
  <c r="K2834" i="1"/>
  <c r="L2834" i="1"/>
  <c r="K2835" i="1"/>
  <c r="L2835" i="1"/>
  <c r="K2836" i="1"/>
  <c r="L2836" i="1"/>
  <c r="K2837" i="1"/>
  <c r="L2837" i="1"/>
  <c r="K2838" i="1"/>
  <c r="L2838" i="1"/>
  <c r="K2839" i="1"/>
  <c r="L2839" i="1"/>
  <c r="K2840" i="1"/>
  <c r="L2840" i="1"/>
  <c r="K2841" i="1"/>
  <c r="L2841" i="1"/>
  <c r="K2842" i="1"/>
  <c r="L2842" i="1"/>
  <c r="K2811" i="1"/>
  <c r="L2811" i="1"/>
  <c r="K2812" i="1"/>
  <c r="L2812" i="1"/>
  <c r="K2813" i="1"/>
  <c r="L2813" i="1"/>
  <c r="K2814" i="1"/>
  <c r="L2814" i="1"/>
  <c r="K2815" i="1"/>
  <c r="L2815" i="1"/>
  <c r="K2816" i="1"/>
  <c r="L2816" i="1"/>
  <c r="K2817" i="1"/>
  <c r="L2817" i="1"/>
  <c r="K2818" i="1"/>
  <c r="L2818" i="1"/>
  <c r="K2819" i="1"/>
  <c r="L2819" i="1"/>
  <c r="K2820" i="1"/>
  <c r="L2820" i="1"/>
  <c r="K2821" i="1"/>
  <c r="L2821" i="1"/>
  <c r="K2822" i="1"/>
  <c r="L2822" i="1"/>
  <c r="K2823" i="1"/>
  <c r="L2823" i="1"/>
  <c r="K2512" i="1"/>
  <c r="L2512" i="1"/>
  <c r="M2512" i="1"/>
  <c r="K2513" i="1"/>
  <c r="L2513" i="1"/>
  <c r="M2513" i="1"/>
  <c r="K2847" i="1"/>
  <c r="L2847" i="1"/>
  <c r="K2848" i="1"/>
  <c r="L2848" i="1"/>
  <c r="K2849" i="1"/>
  <c r="L2849" i="1"/>
  <c r="K2850" i="1"/>
  <c r="L2850" i="1"/>
  <c r="K2851" i="1"/>
  <c r="L2851" i="1"/>
  <c r="K2852" i="1"/>
  <c r="L2852" i="1"/>
  <c r="K2853" i="1"/>
  <c r="L2853" i="1"/>
  <c r="K2854" i="1"/>
  <c r="L2854" i="1"/>
  <c r="K2843" i="1"/>
  <c r="L2843" i="1"/>
  <c r="K2844" i="1"/>
  <c r="L2844" i="1"/>
  <c r="K2845" i="1"/>
  <c r="L2845" i="1"/>
  <c r="K2846" i="1"/>
  <c r="L2846" i="1"/>
  <c r="K2856" i="1"/>
  <c r="L2856" i="1"/>
  <c r="K2857" i="1"/>
  <c r="L2857" i="1"/>
  <c r="K2858" i="1"/>
  <c r="L2858" i="1"/>
  <c r="K2859" i="1"/>
  <c r="L2859" i="1"/>
  <c r="K2860" i="1"/>
  <c r="L2860" i="1"/>
  <c r="K2861" i="1"/>
  <c r="L2861" i="1"/>
  <c r="K2862" i="1"/>
  <c r="L2862" i="1"/>
  <c r="K2863" i="1"/>
  <c r="L2863" i="1"/>
  <c r="K2864" i="1"/>
  <c r="L2864" i="1"/>
  <c r="K2865" i="1"/>
  <c r="L2865" i="1"/>
  <c r="K2866" i="1"/>
  <c r="L2866" i="1"/>
  <c r="K2867" i="1"/>
  <c r="L2867" i="1"/>
  <c r="K2868" i="1"/>
  <c r="L2868" i="1"/>
  <c r="K2869" i="1"/>
  <c r="L2869" i="1"/>
  <c r="K2870" i="1"/>
  <c r="L2870" i="1"/>
  <c r="K2871" i="1"/>
  <c r="L2871" i="1"/>
  <c r="K2872" i="1"/>
  <c r="L2872" i="1"/>
  <c r="K2873" i="1"/>
  <c r="L2873" i="1"/>
  <c r="K2874" i="1"/>
  <c r="L2874" i="1"/>
  <c r="K2875" i="1"/>
  <c r="L2875" i="1"/>
  <c r="K2876" i="1"/>
  <c r="L2876" i="1"/>
  <c r="K2877" i="1"/>
  <c r="L2877" i="1"/>
  <c r="K2878" i="1"/>
  <c r="L2878" i="1"/>
  <c r="K2879" i="1"/>
  <c r="L2879" i="1"/>
  <c r="K2880" i="1"/>
  <c r="L2880" i="1"/>
  <c r="K2881" i="1"/>
  <c r="L2881" i="1"/>
  <c r="K2882" i="1"/>
  <c r="L2882" i="1"/>
  <c r="K2514" i="1"/>
  <c r="L2514" i="1"/>
  <c r="M2514" i="1"/>
  <c r="K2886" i="1"/>
  <c r="L2886" i="1"/>
  <c r="K2887" i="1"/>
  <c r="L2887" i="1"/>
  <c r="K2888" i="1"/>
  <c r="L2888" i="1"/>
  <c r="K2889" i="1"/>
  <c r="L2889" i="1"/>
  <c r="K2890" i="1"/>
  <c r="L2890" i="1"/>
  <c r="K2891" i="1"/>
  <c r="L2891" i="1"/>
  <c r="K2892" i="1"/>
  <c r="L2892" i="1"/>
  <c r="K2893" i="1"/>
  <c r="L2893" i="1"/>
  <c r="K2894" i="1"/>
  <c r="L2894" i="1"/>
  <c r="K2895" i="1"/>
  <c r="L2895" i="1"/>
  <c r="K2896" i="1"/>
  <c r="L2896" i="1"/>
  <c r="K2897" i="1"/>
  <c r="L2897" i="1"/>
  <c r="K2898" i="1"/>
  <c r="L2898" i="1"/>
  <c r="K2899" i="1"/>
  <c r="L2899" i="1"/>
  <c r="K2900" i="1"/>
  <c r="L2900" i="1"/>
  <c r="K2901" i="1"/>
  <c r="L2901" i="1"/>
  <c r="K2902" i="1"/>
  <c r="L2902" i="1"/>
  <c r="K2903" i="1"/>
  <c r="L2903" i="1"/>
  <c r="K2904" i="1"/>
  <c r="L2904" i="1"/>
  <c r="K2905" i="1"/>
  <c r="L2905" i="1"/>
  <c r="K2906" i="1"/>
  <c r="L2906" i="1"/>
  <c r="K2907" i="1"/>
  <c r="L2907" i="1"/>
  <c r="K2908" i="1"/>
  <c r="L2908" i="1"/>
  <c r="K2909" i="1"/>
  <c r="L2909" i="1"/>
  <c r="K2910" i="1"/>
  <c r="L2910" i="1"/>
  <c r="K2911" i="1"/>
  <c r="L2911" i="1"/>
  <c r="K2912" i="1"/>
  <c r="L2912" i="1"/>
  <c r="K2913" i="1"/>
  <c r="L2913" i="1"/>
  <c r="K2914" i="1"/>
  <c r="L2914" i="1"/>
  <c r="K2915" i="1"/>
  <c r="L2915" i="1"/>
  <c r="K2916" i="1"/>
  <c r="L2916" i="1"/>
  <c r="K2917" i="1"/>
  <c r="L2917" i="1"/>
  <c r="K2918" i="1"/>
  <c r="L2918" i="1"/>
  <c r="K2919" i="1"/>
  <c r="L2919" i="1"/>
  <c r="K2920" i="1"/>
  <c r="L2920" i="1"/>
  <c r="K2921" i="1"/>
  <c r="L2921" i="1"/>
  <c r="K2922" i="1"/>
  <c r="L2922" i="1"/>
  <c r="K2923" i="1"/>
  <c r="L2923" i="1"/>
  <c r="K2924" i="1"/>
  <c r="L2924" i="1"/>
  <c r="K2925" i="1"/>
  <c r="L2925" i="1"/>
  <c r="K2926" i="1"/>
  <c r="L2926" i="1"/>
  <c r="K2927" i="1"/>
  <c r="L2927" i="1"/>
  <c r="K2928" i="1"/>
  <c r="L2928" i="1"/>
  <c r="K2883" i="1"/>
  <c r="L2883" i="1"/>
  <c r="K2884" i="1"/>
  <c r="L2884" i="1"/>
  <c r="K2885" i="1"/>
  <c r="L2885" i="1"/>
  <c r="K2515" i="1"/>
  <c r="L2515" i="1"/>
  <c r="M2515" i="1"/>
  <c r="K2516" i="1"/>
  <c r="L2516" i="1"/>
  <c r="M2516" i="1"/>
  <c r="K2517" i="1"/>
  <c r="L2517" i="1"/>
  <c r="M2517" i="1"/>
  <c r="K2952" i="1"/>
  <c r="L2952" i="1"/>
  <c r="K2953" i="1"/>
  <c r="L2953" i="1"/>
  <c r="K2954" i="1"/>
  <c r="L2954" i="1"/>
  <c r="K2955" i="1"/>
  <c r="L2955" i="1"/>
  <c r="K2956" i="1"/>
  <c r="L2956" i="1"/>
  <c r="K2957" i="1"/>
  <c r="L2957" i="1"/>
  <c r="K2958" i="1"/>
  <c r="L2958" i="1"/>
  <c r="K2959" i="1"/>
  <c r="L2959" i="1"/>
  <c r="K2960" i="1"/>
  <c r="L2960" i="1"/>
  <c r="K2961" i="1"/>
  <c r="L2961" i="1"/>
  <c r="K2962" i="1"/>
  <c r="L2962" i="1"/>
  <c r="K2963" i="1"/>
  <c r="L2963" i="1"/>
  <c r="K2964" i="1"/>
  <c r="L2964" i="1"/>
  <c r="K2965" i="1"/>
  <c r="L2965" i="1"/>
  <c r="K2966" i="1"/>
  <c r="L2966" i="1"/>
  <c r="K2967" i="1"/>
  <c r="L2967" i="1"/>
  <c r="K2968" i="1"/>
  <c r="L2968" i="1"/>
  <c r="K2969" i="1"/>
  <c r="L2969" i="1"/>
  <c r="K2970" i="1"/>
  <c r="L2970" i="1"/>
  <c r="K2971" i="1"/>
  <c r="L2971" i="1"/>
  <c r="K2972" i="1"/>
  <c r="L2972" i="1"/>
  <c r="K2973" i="1"/>
  <c r="L2973" i="1"/>
  <c r="K2974" i="1"/>
  <c r="L2974" i="1"/>
  <c r="K2975" i="1"/>
  <c r="L2975" i="1"/>
  <c r="K2976" i="1"/>
  <c r="L2976" i="1"/>
  <c r="K2977" i="1"/>
  <c r="L2977" i="1"/>
  <c r="K2978" i="1"/>
  <c r="L2978" i="1"/>
  <c r="K2979" i="1"/>
  <c r="L2979" i="1"/>
  <c r="K2980" i="1"/>
  <c r="L2980" i="1"/>
  <c r="K2981" i="1"/>
  <c r="L2981" i="1"/>
  <c r="K2929" i="1"/>
  <c r="L2929" i="1"/>
  <c r="K2930" i="1"/>
  <c r="L2930" i="1"/>
  <c r="K2931" i="1"/>
  <c r="L2931" i="1"/>
  <c r="K2932" i="1"/>
  <c r="L2932" i="1"/>
  <c r="K2933" i="1"/>
  <c r="L2933" i="1"/>
  <c r="K2934" i="1"/>
  <c r="L2934" i="1"/>
  <c r="K2935" i="1"/>
  <c r="L2935" i="1"/>
  <c r="K2936" i="1"/>
  <c r="L2936" i="1"/>
  <c r="K2937" i="1"/>
  <c r="L2937" i="1"/>
  <c r="K2938" i="1"/>
  <c r="L2938" i="1"/>
  <c r="K2939" i="1"/>
  <c r="L2939" i="1"/>
  <c r="K2940" i="1"/>
  <c r="L2940" i="1"/>
  <c r="K2941" i="1"/>
  <c r="L2941" i="1"/>
  <c r="K2942" i="1"/>
  <c r="L2942" i="1"/>
  <c r="K2943" i="1"/>
  <c r="L2943" i="1"/>
  <c r="K2944" i="1"/>
  <c r="L2944" i="1"/>
  <c r="K2945" i="1"/>
  <c r="L2945" i="1"/>
  <c r="K2946" i="1"/>
  <c r="L2946" i="1"/>
  <c r="K2947" i="1"/>
  <c r="L2947" i="1"/>
  <c r="K2948" i="1"/>
  <c r="L2948" i="1"/>
  <c r="K2949" i="1"/>
  <c r="L2949" i="1"/>
  <c r="K2950" i="1"/>
  <c r="L2950" i="1"/>
  <c r="K2951" i="1"/>
  <c r="L2951" i="1"/>
  <c r="K2518" i="1"/>
  <c r="L2518" i="1"/>
  <c r="M2518" i="1"/>
  <c r="K2519" i="1"/>
  <c r="L2519" i="1"/>
  <c r="M2519" i="1"/>
  <c r="K2520" i="1"/>
  <c r="L2520" i="1"/>
  <c r="M2520" i="1"/>
  <c r="K2521" i="1"/>
  <c r="L2521" i="1"/>
  <c r="M2521" i="1"/>
  <c r="K2522" i="1"/>
  <c r="L2522" i="1"/>
  <c r="M2522" i="1"/>
  <c r="K2523" i="1"/>
  <c r="L2523" i="1"/>
  <c r="M2523" i="1"/>
  <c r="K2524" i="1"/>
  <c r="L2524" i="1"/>
  <c r="M2524" i="1"/>
  <c r="K2525" i="1"/>
  <c r="L2525" i="1"/>
  <c r="M2525" i="1"/>
  <c r="K2526" i="1"/>
  <c r="L2526" i="1"/>
  <c r="M2526" i="1"/>
  <c r="K2527" i="1"/>
  <c r="L2527" i="1"/>
  <c r="M2527" i="1"/>
  <c r="K2528" i="1"/>
  <c r="L2528" i="1"/>
  <c r="M2528" i="1"/>
  <c r="K2529" i="1"/>
  <c r="L2529" i="1"/>
  <c r="M2529" i="1"/>
  <c r="K2530" i="1"/>
  <c r="L2530" i="1"/>
  <c r="M2530" i="1"/>
  <c r="K2531" i="1"/>
  <c r="L2531" i="1"/>
  <c r="M2531" i="1"/>
  <c r="K2532" i="1"/>
  <c r="L2532" i="1"/>
  <c r="M2532" i="1"/>
  <c r="K2533" i="1"/>
  <c r="L2533" i="1"/>
  <c r="M2533" i="1"/>
  <c r="K2534" i="1"/>
  <c r="L2534" i="1"/>
  <c r="M2534" i="1"/>
  <c r="K2535" i="1"/>
  <c r="L2535" i="1"/>
  <c r="M2535" i="1"/>
  <c r="K2536" i="1"/>
  <c r="L2536" i="1"/>
  <c r="M2536" i="1"/>
  <c r="K2537" i="1"/>
  <c r="L2537" i="1"/>
  <c r="M2537" i="1"/>
  <c r="K2538" i="1"/>
  <c r="L2538" i="1"/>
  <c r="M2538" i="1"/>
  <c r="K2539" i="1"/>
  <c r="L2539" i="1"/>
  <c r="M2539" i="1"/>
  <c r="K2540" i="1"/>
  <c r="L2540" i="1"/>
  <c r="M2540" i="1"/>
  <c r="K2541" i="1"/>
  <c r="L2541" i="1"/>
  <c r="M2541" i="1"/>
  <c r="K2542" i="1"/>
  <c r="L2542" i="1"/>
  <c r="M2542" i="1"/>
  <c r="K2543" i="1"/>
  <c r="L2543" i="1"/>
  <c r="M2543" i="1"/>
  <c r="K2544" i="1"/>
  <c r="L2544" i="1"/>
  <c r="M2544" i="1"/>
  <c r="K2545" i="1"/>
  <c r="L2545" i="1"/>
  <c r="M2545" i="1"/>
  <c r="K2546" i="1"/>
  <c r="L2546" i="1"/>
  <c r="M2546" i="1"/>
  <c r="K2547" i="1"/>
  <c r="L2547" i="1"/>
  <c r="M2547" i="1"/>
  <c r="K2548" i="1"/>
  <c r="L2548" i="1"/>
  <c r="M2548" i="1"/>
  <c r="K2549" i="1"/>
  <c r="L2549" i="1"/>
  <c r="M2549" i="1"/>
  <c r="K2550" i="1"/>
  <c r="L2550" i="1"/>
  <c r="M2550" i="1"/>
  <c r="K2551" i="1"/>
  <c r="L2551" i="1"/>
  <c r="M2551" i="1"/>
  <c r="K2552" i="1"/>
  <c r="L2552" i="1"/>
  <c r="M2552" i="1"/>
  <c r="K2553" i="1"/>
  <c r="L2553" i="1"/>
  <c r="M2553" i="1"/>
  <c r="K2554" i="1"/>
  <c r="L2554" i="1"/>
  <c r="M2554" i="1"/>
  <c r="K2555" i="1"/>
  <c r="L2555" i="1"/>
  <c r="M2555" i="1"/>
  <c r="K2556" i="1"/>
  <c r="L2556" i="1"/>
  <c r="M2556" i="1"/>
  <c r="K2557" i="1"/>
  <c r="L2557" i="1"/>
  <c r="M2557" i="1"/>
  <c r="K2558" i="1"/>
  <c r="L2558" i="1"/>
  <c r="M2558" i="1"/>
  <c r="K2559" i="1"/>
  <c r="L2559" i="1"/>
  <c r="M2559" i="1"/>
  <c r="K2560" i="1"/>
  <c r="L2560" i="1"/>
  <c r="M2560" i="1"/>
  <c r="K2561" i="1"/>
  <c r="L2561" i="1"/>
  <c r="M2561" i="1"/>
  <c r="K2562" i="1"/>
  <c r="L2562" i="1"/>
  <c r="M2562" i="1"/>
  <c r="K2563" i="1"/>
  <c r="L2563" i="1"/>
  <c r="M2563" i="1"/>
  <c r="K2564" i="1"/>
  <c r="L2564" i="1"/>
  <c r="M2564" i="1"/>
  <c r="K2565" i="1"/>
  <c r="L2565" i="1"/>
  <c r="M2565" i="1"/>
  <c r="K2566" i="1"/>
  <c r="L2566" i="1"/>
  <c r="M2566" i="1"/>
  <c r="K2567" i="1"/>
  <c r="L2567" i="1"/>
  <c r="M2567" i="1"/>
  <c r="K2568" i="1"/>
  <c r="L2568" i="1"/>
  <c r="M2568" i="1"/>
  <c r="K2569" i="1"/>
  <c r="L2569" i="1"/>
  <c r="M2569" i="1"/>
  <c r="K2570" i="1"/>
  <c r="L2570" i="1"/>
  <c r="M2570" i="1"/>
  <c r="K2571" i="1"/>
  <c r="L2571" i="1"/>
  <c r="M2571" i="1"/>
  <c r="K2572" i="1"/>
  <c r="L2572" i="1"/>
  <c r="M2572" i="1"/>
  <c r="K2573" i="1"/>
  <c r="L2573" i="1"/>
  <c r="M2573" i="1"/>
  <c r="K2574" i="1"/>
  <c r="L2574" i="1"/>
  <c r="M2574" i="1"/>
  <c r="K2575" i="1"/>
  <c r="L2575" i="1"/>
  <c r="M2575" i="1"/>
  <c r="K2576" i="1"/>
  <c r="L2576" i="1"/>
  <c r="M2576" i="1"/>
  <c r="K2577" i="1"/>
  <c r="L2577" i="1"/>
  <c r="M2577" i="1"/>
  <c r="K2578" i="1"/>
  <c r="L2578" i="1"/>
  <c r="M2578" i="1"/>
  <c r="K2579" i="1"/>
  <c r="L2579" i="1"/>
  <c r="M2579" i="1"/>
  <c r="K2580" i="1"/>
  <c r="L2580" i="1"/>
  <c r="M2580" i="1"/>
  <c r="K2581" i="1"/>
  <c r="L2581" i="1"/>
  <c r="M2581" i="1"/>
  <c r="K2582" i="1"/>
  <c r="L2582" i="1"/>
  <c r="M2582" i="1"/>
  <c r="K2583" i="1"/>
  <c r="L2583" i="1"/>
  <c r="M2583" i="1"/>
  <c r="K2584" i="1"/>
  <c r="L2584" i="1"/>
  <c r="M2584" i="1"/>
  <c r="K2585" i="1"/>
  <c r="L2585" i="1"/>
  <c r="M2585" i="1"/>
  <c r="K2586" i="1"/>
  <c r="L2586" i="1"/>
  <c r="M2586" i="1"/>
  <c r="K2587" i="1"/>
  <c r="L2587" i="1"/>
  <c r="M2587" i="1"/>
  <c r="K2588" i="1"/>
  <c r="L2588" i="1"/>
  <c r="M2588" i="1"/>
  <c r="K2589" i="1"/>
  <c r="L2589" i="1"/>
  <c r="M2589" i="1"/>
  <c r="K2590" i="1"/>
  <c r="L2590" i="1"/>
  <c r="M2590" i="1"/>
  <c r="K2591" i="1"/>
  <c r="L2591" i="1"/>
  <c r="M2591" i="1"/>
  <c r="K2592" i="1"/>
  <c r="L2592" i="1"/>
  <c r="M2592" i="1"/>
  <c r="K2593" i="1"/>
  <c r="L2593" i="1"/>
  <c r="M2593" i="1"/>
  <c r="K2594" i="1"/>
  <c r="L2594" i="1"/>
  <c r="M2594" i="1"/>
  <c r="K2595" i="1"/>
  <c r="L2595" i="1"/>
  <c r="M2595" i="1"/>
  <c r="K2596" i="1"/>
  <c r="L2596" i="1"/>
  <c r="M2596" i="1"/>
  <c r="K2597" i="1"/>
  <c r="L2597" i="1"/>
  <c r="M2597" i="1"/>
  <c r="K2598" i="1"/>
  <c r="L2598" i="1"/>
  <c r="M2598" i="1"/>
  <c r="K2599" i="1"/>
  <c r="L2599" i="1"/>
  <c r="M2599" i="1"/>
  <c r="K2600" i="1"/>
  <c r="L2600" i="1"/>
  <c r="M2600" i="1"/>
  <c r="K2601" i="1"/>
  <c r="L2601" i="1"/>
  <c r="M2601" i="1"/>
  <c r="K2602" i="1"/>
  <c r="L2602" i="1"/>
  <c r="M2602" i="1"/>
  <c r="K2603" i="1"/>
  <c r="L2603" i="1"/>
  <c r="M2603" i="1"/>
  <c r="K2604" i="1"/>
  <c r="L2604" i="1"/>
  <c r="M2604" i="1"/>
  <c r="K2605" i="1"/>
  <c r="L2605" i="1"/>
  <c r="M2605" i="1"/>
  <c r="K2606" i="1"/>
  <c r="L2606" i="1"/>
  <c r="M2606" i="1"/>
  <c r="K2607" i="1"/>
  <c r="L2607" i="1"/>
  <c r="M2607" i="1"/>
  <c r="K2608" i="1"/>
  <c r="L2608" i="1"/>
  <c r="M2608" i="1"/>
  <c r="K2609" i="1"/>
  <c r="L2609" i="1"/>
  <c r="M2609" i="1"/>
  <c r="K2610" i="1"/>
  <c r="L2610" i="1"/>
  <c r="M2610" i="1"/>
  <c r="K2611" i="1"/>
  <c r="L2611" i="1"/>
  <c r="M2611" i="1"/>
  <c r="K2612" i="1"/>
  <c r="L2612" i="1"/>
  <c r="M2612" i="1"/>
  <c r="K2613" i="1"/>
  <c r="L2613" i="1"/>
  <c r="M2613" i="1"/>
  <c r="K2614" i="1"/>
  <c r="L2614" i="1"/>
  <c r="M2614" i="1"/>
  <c r="K2615" i="1"/>
  <c r="L2615" i="1"/>
  <c r="M2615" i="1"/>
  <c r="K2616" i="1"/>
  <c r="L2616" i="1"/>
  <c r="M2616" i="1"/>
  <c r="K2617" i="1"/>
  <c r="L2617" i="1"/>
  <c r="M2617" i="1"/>
  <c r="K2618" i="1"/>
  <c r="L2618" i="1"/>
  <c r="M2618" i="1"/>
  <c r="K2619" i="1"/>
  <c r="L2619" i="1"/>
  <c r="M2619" i="1"/>
  <c r="K2620" i="1"/>
  <c r="L2620" i="1"/>
  <c r="M2620" i="1"/>
  <c r="K2621" i="1"/>
  <c r="L2621" i="1"/>
  <c r="M2621" i="1"/>
  <c r="K3000" i="1"/>
  <c r="L3000" i="1"/>
  <c r="K3001" i="1"/>
  <c r="L3001" i="1"/>
  <c r="K3002" i="1"/>
  <c r="L3002" i="1"/>
  <c r="K3003" i="1"/>
  <c r="L3003" i="1"/>
  <c r="K3004" i="1"/>
  <c r="L3004" i="1"/>
  <c r="K3005" i="1"/>
  <c r="L3005" i="1"/>
  <c r="K3006" i="1"/>
  <c r="L3006" i="1"/>
  <c r="K3007" i="1"/>
  <c r="L3007" i="1"/>
  <c r="K3008" i="1"/>
  <c r="L3008" i="1"/>
  <c r="K3009" i="1"/>
  <c r="L3009" i="1"/>
  <c r="K3010" i="1"/>
  <c r="L3010" i="1"/>
  <c r="K2982" i="1"/>
  <c r="L2982" i="1"/>
  <c r="K2983" i="1"/>
  <c r="L2983" i="1"/>
  <c r="K2984" i="1"/>
  <c r="L2984" i="1"/>
  <c r="K2985" i="1"/>
  <c r="L2985" i="1"/>
  <c r="K2986" i="1"/>
  <c r="L2986" i="1"/>
  <c r="K2987" i="1"/>
  <c r="L2987" i="1"/>
  <c r="K2988" i="1"/>
  <c r="L2988" i="1"/>
  <c r="K2989" i="1"/>
  <c r="L2989" i="1"/>
  <c r="K2990" i="1"/>
  <c r="L2990" i="1"/>
  <c r="K2991" i="1"/>
  <c r="L2991" i="1"/>
  <c r="K2992" i="1"/>
  <c r="L2992" i="1"/>
  <c r="K2993" i="1"/>
  <c r="L2993" i="1"/>
  <c r="K2994" i="1"/>
  <c r="L2994" i="1"/>
  <c r="K2995" i="1"/>
  <c r="L2995" i="1"/>
  <c r="K2996" i="1"/>
  <c r="L2996" i="1"/>
  <c r="K2997" i="1"/>
  <c r="L2997" i="1"/>
  <c r="K2998" i="1"/>
  <c r="L2998" i="1"/>
  <c r="K2999" i="1"/>
  <c r="L2999" i="1"/>
  <c r="K3011" i="1"/>
  <c r="L3011" i="1"/>
  <c r="M3011" i="1"/>
  <c r="K3012" i="1"/>
  <c r="L3012" i="1"/>
  <c r="M3012" i="1"/>
  <c r="K3013" i="1"/>
  <c r="L3013" i="1"/>
  <c r="M3013" i="1"/>
  <c r="K3014" i="1"/>
  <c r="L3014" i="1"/>
  <c r="M3014" i="1"/>
  <c r="K3095" i="1"/>
  <c r="L3095" i="1"/>
  <c r="K3096" i="1"/>
  <c r="L3096" i="1"/>
  <c r="K3097" i="1"/>
  <c r="L3097" i="1"/>
  <c r="K3098" i="1"/>
  <c r="L3098" i="1"/>
  <c r="K3099" i="1"/>
  <c r="L3099" i="1"/>
  <c r="K3100" i="1"/>
  <c r="L3100" i="1"/>
  <c r="K3101" i="1"/>
  <c r="L3101" i="1"/>
  <c r="K3102" i="1"/>
  <c r="L3102" i="1"/>
  <c r="K3103" i="1"/>
  <c r="L3103" i="1"/>
  <c r="K3104" i="1"/>
  <c r="L3104" i="1"/>
  <c r="K3105" i="1"/>
  <c r="L3105" i="1"/>
  <c r="K3106" i="1"/>
  <c r="L3106" i="1"/>
  <c r="K3107" i="1"/>
  <c r="L3107" i="1"/>
  <c r="K3108" i="1"/>
  <c r="L3108" i="1"/>
  <c r="K3015" i="1"/>
  <c r="L3015" i="1"/>
  <c r="M3015" i="1"/>
  <c r="K3016" i="1"/>
  <c r="L3016" i="1"/>
  <c r="M3016" i="1"/>
  <c r="K3017" i="1"/>
  <c r="L3017" i="1"/>
  <c r="M3017" i="1"/>
  <c r="K3018" i="1"/>
  <c r="L3018" i="1"/>
  <c r="M3018" i="1"/>
  <c r="K3019" i="1"/>
  <c r="L3019" i="1"/>
  <c r="M3019" i="1"/>
  <c r="K3020" i="1"/>
  <c r="L3020" i="1"/>
  <c r="M3020" i="1"/>
  <c r="K3021" i="1"/>
  <c r="L3021" i="1"/>
  <c r="M3021" i="1"/>
  <c r="K3022" i="1"/>
  <c r="L3022" i="1"/>
  <c r="M3022" i="1"/>
  <c r="K3023" i="1"/>
  <c r="L3023" i="1"/>
  <c r="M3023" i="1"/>
  <c r="K3024" i="1"/>
  <c r="L3024" i="1"/>
  <c r="M3024" i="1"/>
  <c r="K3025" i="1"/>
  <c r="L3025" i="1"/>
  <c r="M3025" i="1"/>
  <c r="K3026" i="1"/>
  <c r="L3026" i="1"/>
  <c r="M3026" i="1"/>
  <c r="K3027" i="1"/>
  <c r="L3027" i="1"/>
  <c r="M3027" i="1"/>
  <c r="K3028" i="1"/>
  <c r="L3028" i="1"/>
  <c r="M3028" i="1"/>
  <c r="K3127" i="1"/>
  <c r="L3127" i="1"/>
  <c r="K3128" i="1"/>
  <c r="L3128" i="1"/>
  <c r="K3129" i="1"/>
  <c r="L3129" i="1"/>
  <c r="K3130" i="1"/>
  <c r="L3130" i="1"/>
  <c r="K3131" i="1"/>
  <c r="L3131" i="1"/>
  <c r="K3132" i="1"/>
  <c r="L3132" i="1"/>
  <c r="K3133" i="1"/>
  <c r="L3133" i="1"/>
  <c r="K3134" i="1"/>
  <c r="L3134" i="1"/>
  <c r="K3135" i="1"/>
  <c r="L3135" i="1"/>
  <c r="K3136" i="1"/>
  <c r="L3136" i="1"/>
  <c r="K3137" i="1"/>
  <c r="L3137" i="1"/>
  <c r="K3138" i="1"/>
  <c r="L3138" i="1"/>
  <c r="K3139" i="1"/>
  <c r="L3139" i="1"/>
  <c r="K3140" i="1"/>
  <c r="L3140" i="1"/>
  <c r="K3141" i="1"/>
  <c r="L3141" i="1"/>
  <c r="K3142" i="1"/>
  <c r="L3142" i="1"/>
  <c r="K3109" i="1"/>
  <c r="L3109" i="1"/>
  <c r="K3110" i="1"/>
  <c r="L3110" i="1"/>
  <c r="K3111" i="1"/>
  <c r="L3111" i="1"/>
  <c r="K3112" i="1"/>
  <c r="L3112" i="1"/>
  <c r="K3113" i="1"/>
  <c r="L3113" i="1"/>
  <c r="K3114" i="1"/>
  <c r="L3114" i="1"/>
  <c r="K3115" i="1"/>
  <c r="L3115" i="1"/>
  <c r="K3116" i="1"/>
  <c r="L3116" i="1"/>
  <c r="K3117" i="1"/>
  <c r="L3117" i="1"/>
  <c r="K3118" i="1"/>
  <c r="L3118" i="1"/>
  <c r="K3119" i="1"/>
  <c r="L3119" i="1"/>
  <c r="K3120" i="1"/>
  <c r="L3120" i="1"/>
  <c r="K3121" i="1"/>
  <c r="L3121" i="1"/>
  <c r="K3122" i="1"/>
  <c r="L3122" i="1"/>
  <c r="K3123" i="1"/>
  <c r="L3123" i="1"/>
  <c r="K3124" i="1"/>
  <c r="L3124" i="1"/>
  <c r="K3125" i="1"/>
  <c r="L3125" i="1"/>
  <c r="K3126" i="1"/>
  <c r="L3126" i="1"/>
  <c r="K3029" i="1"/>
  <c r="L3029" i="1"/>
  <c r="M3029" i="1"/>
  <c r="K3030" i="1"/>
  <c r="L3030" i="1"/>
  <c r="M3030" i="1"/>
  <c r="K3145" i="1"/>
  <c r="L3145" i="1"/>
  <c r="K3146" i="1"/>
  <c r="L3146" i="1"/>
  <c r="K3147" i="1"/>
  <c r="L3147" i="1"/>
  <c r="K3148" i="1"/>
  <c r="L3148" i="1"/>
  <c r="K3149" i="1"/>
  <c r="L3149" i="1"/>
  <c r="K3150" i="1"/>
  <c r="L3150" i="1"/>
  <c r="K3151" i="1"/>
  <c r="L3151" i="1"/>
  <c r="K3152" i="1"/>
  <c r="L3152" i="1"/>
  <c r="K3143" i="1"/>
  <c r="L3143" i="1"/>
  <c r="K3144" i="1"/>
  <c r="L3144" i="1"/>
  <c r="K3031" i="1"/>
  <c r="L3031" i="1"/>
  <c r="M3031" i="1"/>
  <c r="K3032" i="1"/>
  <c r="L3032" i="1"/>
  <c r="M3032" i="1"/>
  <c r="K3033" i="1"/>
  <c r="L3033" i="1"/>
  <c r="M3033" i="1"/>
  <c r="K3034" i="1"/>
  <c r="L3034" i="1"/>
  <c r="M3034" i="1"/>
  <c r="K3035" i="1"/>
  <c r="L3035" i="1"/>
  <c r="M3035" i="1"/>
  <c r="K3036" i="1"/>
  <c r="L3036" i="1"/>
  <c r="M3036" i="1"/>
  <c r="K3037" i="1"/>
  <c r="L3037" i="1"/>
  <c r="M3037" i="1"/>
  <c r="K3038" i="1"/>
  <c r="L3038" i="1"/>
  <c r="M3038" i="1"/>
  <c r="K3039" i="1"/>
  <c r="L3039" i="1"/>
  <c r="M3039" i="1"/>
  <c r="K3040" i="1"/>
  <c r="L3040" i="1"/>
  <c r="M3040" i="1"/>
  <c r="K3041" i="1"/>
  <c r="L3041" i="1"/>
  <c r="M3041" i="1"/>
  <c r="K3165" i="1"/>
  <c r="L3165" i="1"/>
  <c r="K3166" i="1"/>
  <c r="L3166" i="1"/>
  <c r="K3167" i="1"/>
  <c r="L3167" i="1"/>
  <c r="K3168" i="1"/>
  <c r="L3168" i="1"/>
  <c r="K3169" i="1"/>
  <c r="L3169" i="1"/>
  <c r="K3170" i="1"/>
  <c r="L3170" i="1"/>
  <c r="K3171" i="1"/>
  <c r="L3171" i="1"/>
  <c r="K3172" i="1"/>
  <c r="L3172" i="1"/>
  <c r="K3173" i="1"/>
  <c r="L3173" i="1"/>
  <c r="K3174" i="1"/>
  <c r="L3174" i="1"/>
  <c r="K3175" i="1"/>
  <c r="L3175" i="1"/>
  <c r="K3176" i="1"/>
  <c r="L3176" i="1"/>
  <c r="K3177" i="1"/>
  <c r="L3177" i="1"/>
  <c r="K3178" i="1"/>
  <c r="L3178" i="1"/>
  <c r="K3179" i="1"/>
  <c r="L3179" i="1"/>
  <c r="K3180" i="1"/>
  <c r="L3180" i="1"/>
  <c r="K3181" i="1"/>
  <c r="L3181" i="1"/>
  <c r="K3182" i="1"/>
  <c r="L3182" i="1"/>
  <c r="K3183" i="1"/>
  <c r="L3183" i="1"/>
  <c r="K3184" i="1"/>
  <c r="L3184" i="1"/>
  <c r="K3185" i="1"/>
  <c r="L3185" i="1"/>
  <c r="K3186" i="1"/>
  <c r="L3186" i="1"/>
  <c r="K3187" i="1"/>
  <c r="L3187" i="1"/>
  <c r="K3188" i="1"/>
  <c r="L3188" i="1"/>
  <c r="K3189" i="1"/>
  <c r="L3189" i="1"/>
  <c r="K3190" i="1"/>
  <c r="L3190" i="1"/>
  <c r="K3153" i="1"/>
  <c r="L3153" i="1"/>
  <c r="K3154" i="1"/>
  <c r="L3154" i="1"/>
  <c r="K3155" i="1"/>
  <c r="L3155" i="1"/>
  <c r="K3156" i="1"/>
  <c r="L3156" i="1"/>
  <c r="K3157" i="1"/>
  <c r="L3157" i="1"/>
  <c r="K3158" i="1"/>
  <c r="L3158" i="1"/>
  <c r="K3159" i="1"/>
  <c r="L3159" i="1"/>
  <c r="K3160" i="1"/>
  <c r="L3160" i="1"/>
  <c r="K3161" i="1"/>
  <c r="L3161" i="1"/>
  <c r="K3162" i="1"/>
  <c r="L3162" i="1"/>
  <c r="K3163" i="1"/>
  <c r="L3163" i="1"/>
  <c r="K3164" i="1"/>
  <c r="L3164" i="1"/>
  <c r="K3042" i="1"/>
  <c r="L3042" i="1"/>
  <c r="M3042" i="1"/>
  <c r="K3043" i="1"/>
  <c r="L3043" i="1"/>
  <c r="M3043" i="1"/>
  <c r="K3044" i="1"/>
  <c r="L3044" i="1"/>
  <c r="M3044" i="1"/>
  <c r="K3045" i="1"/>
  <c r="L3045" i="1"/>
  <c r="M3045" i="1"/>
  <c r="K3046" i="1"/>
  <c r="L3046" i="1"/>
  <c r="M3046" i="1"/>
  <c r="K3047" i="1"/>
  <c r="L3047" i="1"/>
  <c r="M3047" i="1"/>
  <c r="K3048" i="1"/>
  <c r="L3048" i="1"/>
  <c r="M3048" i="1"/>
  <c r="K3049" i="1"/>
  <c r="L3049" i="1"/>
  <c r="M3049" i="1"/>
  <c r="K3050" i="1"/>
  <c r="L3050" i="1"/>
  <c r="M3050" i="1"/>
  <c r="K3051" i="1"/>
  <c r="L3051" i="1"/>
  <c r="M3051" i="1"/>
  <c r="K3052" i="1"/>
  <c r="L3052" i="1"/>
  <c r="M3052" i="1"/>
  <c r="K3206" i="1"/>
  <c r="L3206" i="1"/>
  <c r="K3207" i="1"/>
  <c r="L3207" i="1"/>
  <c r="K3208" i="1"/>
  <c r="L3208" i="1"/>
  <c r="K3209" i="1"/>
  <c r="L3209" i="1"/>
  <c r="K3210" i="1"/>
  <c r="L3210" i="1"/>
  <c r="K3211" i="1"/>
  <c r="L3211" i="1"/>
  <c r="K3212" i="1"/>
  <c r="L3212" i="1"/>
  <c r="K3213" i="1"/>
  <c r="L3213" i="1"/>
  <c r="K3191" i="1"/>
  <c r="L3191" i="1"/>
  <c r="K3214" i="1"/>
  <c r="L3214" i="1"/>
  <c r="K3215" i="1"/>
  <c r="L3215" i="1"/>
  <c r="K3216" i="1"/>
  <c r="L3216" i="1"/>
  <c r="K3217" i="1"/>
  <c r="L3217" i="1"/>
  <c r="K3218" i="1"/>
  <c r="L3218" i="1"/>
  <c r="K3219" i="1"/>
  <c r="L3219" i="1"/>
  <c r="K3220" i="1"/>
  <c r="L3220" i="1"/>
  <c r="K3221" i="1"/>
  <c r="L3221" i="1"/>
  <c r="K3222" i="1"/>
  <c r="L3222" i="1"/>
  <c r="K3223" i="1"/>
  <c r="L3223" i="1"/>
  <c r="K3224" i="1"/>
  <c r="L3224" i="1"/>
  <c r="K3192" i="1"/>
  <c r="L3192" i="1"/>
  <c r="K3193" i="1"/>
  <c r="L3193" i="1"/>
  <c r="K3194" i="1"/>
  <c r="L3194" i="1"/>
  <c r="K3195" i="1"/>
  <c r="L3195" i="1"/>
  <c r="K3196" i="1"/>
  <c r="L3196" i="1"/>
  <c r="K3197" i="1"/>
  <c r="L3197" i="1"/>
  <c r="K3198" i="1"/>
  <c r="L3198" i="1"/>
  <c r="K3199" i="1"/>
  <c r="L3199" i="1"/>
  <c r="K3200" i="1"/>
  <c r="L3200" i="1"/>
  <c r="K3201" i="1"/>
  <c r="L3201" i="1"/>
  <c r="K3202" i="1"/>
  <c r="L3202" i="1"/>
  <c r="K3203" i="1"/>
  <c r="L3203" i="1"/>
  <c r="K3204" i="1"/>
  <c r="L3204" i="1"/>
  <c r="K3205" i="1"/>
  <c r="L3205" i="1"/>
  <c r="K3053" i="1"/>
  <c r="L3053" i="1"/>
  <c r="M3053" i="1"/>
  <c r="K3054" i="1"/>
  <c r="L3054" i="1"/>
  <c r="M3054" i="1"/>
  <c r="K3055" i="1"/>
  <c r="L3055" i="1"/>
  <c r="M3055" i="1"/>
  <c r="K3056" i="1"/>
  <c r="L3056" i="1"/>
  <c r="M3056" i="1"/>
  <c r="K3057" i="1"/>
  <c r="L3057" i="1"/>
  <c r="M3057" i="1"/>
  <c r="K3058" i="1"/>
  <c r="L3058" i="1"/>
  <c r="M3058" i="1"/>
  <c r="K3059" i="1"/>
  <c r="L3059" i="1"/>
  <c r="M3059" i="1"/>
  <c r="K3060" i="1"/>
  <c r="L3060" i="1"/>
  <c r="M3060" i="1"/>
  <c r="K3061" i="1"/>
  <c r="L3061" i="1"/>
  <c r="M3061" i="1"/>
  <c r="K3226" i="1"/>
  <c r="L3226" i="1"/>
  <c r="K3227" i="1"/>
  <c r="L3227" i="1"/>
  <c r="K3228" i="1"/>
  <c r="L3228" i="1"/>
  <c r="K3229" i="1"/>
  <c r="L3229" i="1"/>
  <c r="K3230" i="1"/>
  <c r="L3230" i="1"/>
  <c r="K3231" i="1"/>
  <c r="L3231" i="1"/>
  <c r="K3232" i="1"/>
  <c r="L3232" i="1"/>
  <c r="K3233" i="1"/>
  <c r="L3233" i="1"/>
  <c r="K3234" i="1"/>
  <c r="L3234" i="1"/>
  <c r="K3235" i="1"/>
  <c r="L3235" i="1"/>
  <c r="K3236" i="1"/>
  <c r="L3236" i="1"/>
  <c r="K3237" i="1"/>
  <c r="L3237" i="1"/>
  <c r="K3238" i="1"/>
  <c r="L3238" i="1"/>
  <c r="K3239" i="1"/>
  <c r="L3239" i="1"/>
  <c r="K3240" i="1"/>
  <c r="L3240" i="1"/>
  <c r="K3241" i="1"/>
  <c r="L3241" i="1"/>
  <c r="K3225" i="1"/>
  <c r="L3225" i="1"/>
  <c r="K3062" i="1"/>
  <c r="L3062" i="1"/>
  <c r="M3062" i="1"/>
  <c r="K3063" i="1"/>
  <c r="L3063" i="1"/>
  <c r="M3063" i="1"/>
  <c r="K3064" i="1"/>
  <c r="L3064" i="1"/>
  <c r="M3064" i="1"/>
  <c r="K3065" i="1"/>
  <c r="L3065" i="1"/>
  <c r="M3065" i="1"/>
  <c r="K3066" i="1"/>
  <c r="L3066" i="1"/>
  <c r="M3066" i="1"/>
  <c r="K3067" i="1"/>
  <c r="L3067" i="1"/>
  <c r="M3067" i="1"/>
  <c r="K3068" i="1"/>
  <c r="L3068" i="1"/>
  <c r="M3068" i="1"/>
  <c r="K3069" i="1"/>
  <c r="L3069" i="1"/>
  <c r="M3069" i="1"/>
  <c r="K3070" i="1"/>
  <c r="L3070" i="1"/>
  <c r="M3070" i="1"/>
  <c r="K3071" i="1"/>
  <c r="L3071" i="1"/>
  <c r="M3071" i="1"/>
  <c r="K3072" i="1"/>
  <c r="L3072" i="1"/>
  <c r="M3072" i="1"/>
  <c r="K3073" i="1"/>
  <c r="L3073" i="1"/>
  <c r="M3073" i="1"/>
  <c r="K3074" i="1"/>
  <c r="L3074" i="1"/>
  <c r="M3074" i="1"/>
  <c r="K3075" i="1"/>
  <c r="L3075" i="1"/>
  <c r="M3075" i="1"/>
  <c r="K3076" i="1"/>
  <c r="L3076" i="1"/>
  <c r="M3076" i="1"/>
  <c r="K3249" i="1"/>
  <c r="L3249" i="1"/>
  <c r="K3250" i="1"/>
  <c r="L3250" i="1"/>
  <c r="K3251" i="1"/>
  <c r="L3251" i="1"/>
  <c r="K3252" i="1"/>
  <c r="L3252" i="1"/>
  <c r="K3253" i="1"/>
  <c r="L3253" i="1"/>
  <c r="K3254" i="1"/>
  <c r="L3254" i="1"/>
  <c r="K3255" i="1"/>
  <c r="L3255" i="1"/>
  <c r="K3256" i="1"/>
  <c r="L3256" i="1"/>
  <c r="K3242" i="1"/>
  <c r="L3242" i="1"/>
  <c r="K3243" i="1"/>
  <c r="L3243" i="1"/>
  <c r="K3244" i="1"/>
  <c r="L3244" i="1"/>
  <c r="K3245" i="1"/>
  <c r="L3245" i="1"/>
  <c r="K3246" i="1"/>
  <c r="L3246" i="1"/>
  <c r="K3247" i="1"/>
  <c r="L3247" i="1"/>
  <c r="K3248" i="1"/>
  <c r="L3248" i="1"/>
  <c r="K3077" i="1"/>
  <c r="L3077" i="1"/>
  <c r="M3077" i="1"/>
  <c r="K3078" i="1"/>
  <c r="L3078" i="1"/>
  <c r="M3078" i="1"/>
  <c r="K3079" i="1"/>
  <c r="L3079" i="1"/>
  <c r="M3079" i="1"/>
  <c r="K3080" i="1"/>
  <c r="L3080" i="1"/>
  <c r="M3080" i="1"/>
  <c r="K3081" i="1"/>
  <c r="L3081" i="1"/>
  <c r="M3081" i="1"/>
  <c r="K3082" i="1"/>
  <c r="L3082" i="1"/>
  <c r="M3082" i="1"/>
  <c r="K3083" i="1"/>
  <c r="L3083" i="1"/>
  <c r="M3083" i="1"/>
  <c r="K3084" i="1"/>
  <c r="L3084" i="1"/>
  <c r="M3084" i="1"/>
  <c r="K3085" i="1"/>
  <c r="L3085" i="1"/>
  <c r="M3085" i="1"/>
  <c r="K3086" i="1"/>
  <c r="L3086" i="1"/>
  <c r="M3086" i="1"/>
  <c r="K3087" i="1"/>
  <c r="L3087" i="1"/>
  <c r="M3087" i="1"/>
  <c r="K3088" i="1"/>
  <c r="L3088" i="1"/>
  <c r="M3088" i="1"/>
  <c r="K3089" i="1"/>
  <c r="L3089" i="1"/>
  <c r="M3089" i="1"/>
  <c r="K3090" i="1"/>
  <c r="L3090" i="1"/>
  <c r="M3090" i="1"/>
  <c r="K3091" i="1"/>
  <c r="L3091" i="1"/>
  <c r="M3091" i="1"/>
  <c r="K3092" i="1"/>
  <c r="L3092" i="1"/>
  <c r="M3092" i="1"/>
  <c r="K3093" i="1"/>
  <c r="L3093" i="1"/>
  <c r="M3093" i="1"/>
  <c r="K3094" i="1"/>
  <c r="L3094" i="1"/>
  <c r="M3094" i="1"/>
  <c r="K3292" i="1"/>
  <c r="L3292" i="1"/>
  <c r="K3293" i="1"/>
  <c r="L3293" i="1"/>
  <c r="K3294" i="1"/>
  <c r="L3294" i="1"/>
  <c r="K3295" i="1"/>
  <c r="L3295" i="1"/>
  <c r="K3296" i="1"/>
  <c r="L3296" i="1"/>
  <c r="K3297" i="1"/>
  <c r="L3297" i="1"/>
  <c r="K3298" i="1"/>
  <c r="L3298" i="1"/>
  <c r="K3299" i="1"/>
  <c r="L3299" i="1"/>
  <c r="K3300" i="1"/>
  <c r="L3300" i="1"/>
  <c r="K3301" i="1"/>
  <c r="L3301" i="1"/>
  <c r="K3302" i="1"/>
  <c r="L3302" i="1"/>
  <c r="K3303" i="1"/>
  <c r="L3303" i="1"/>
  <c r="K3304" i="1"/>
  <c r="L3304" i="1"/>
  <c r="K3305" i="1"/>
  <c r="L3305" i="1"/>
  <c r="K3306" i="1"/>
  <c r="L3306" i="1"/>
  <c r="K3307" i="1"/>
  <c r="L3307" i="1"/>
  <c r="K3308" i="1"/>
  <c r="L3308" i="1"/>
  <c r="K3309" i="1"/>
  <c r="L3309" i="1"/>
  <c r="K3310" i="1"/>
  <c r="L3310" i="1"/>
  <c r="K3311" i="1"/>
  <c r="L3311" i="1"/>
  <c r="K3312" i="1"/>
  <c r="L3312" i="1"/>
  <c r="K3313" i="1"/>
  <c r="L3313" i="1"/>
  <c r="K3314" i="1"/>
  <c r="L3314" i="1"/>
  <c r="K3315" i="1"/>
  <c r="L3315" i="1"/>
  <c r="K3316" i="1"/>
  <c r="L3316" i="1"/>
  <c r="K3317" i="1"/>
  <c r="L3317" i="1"/>
  <c r="K3318" i="1"/>
  <c r="L3318" i="1"/>
  <c r="K3319" i="1"/>
  <c r="L3319" i="1"/>
  <c r="K3320" i="1"/>
  <c r="L3320" i="1"/>
  <c r="K3321" i="1"/>
  <c r="L3321" i="1"/>
  <c r="K3322" i="1"/>
  <c r="L3322" i="1"/>
  <c r="K3323" i="1"/>
  <c r="L3323" i="1"/>
  <c r="K3324" i="1"/>
  <c r="L3324" i="1"/>
  <c r="K3325" i="1"/>
  <c r="L3325" i="1"/>
  <c r="K3326" i="1"/>
  <c r="L3326" i="1"/>
  <c r="K3327" i="1"/>
  <c r="L3327" i="1"/>
  <c r="K3328" i="1"/>
  <c r="L3328" i="1"/>
  <c r="K3329" i="1"/>
  <c r="L3329" i="1"/>
  <c r="K3330" i="1"/>
  <c r="L3330" i="1"/>
  <c r="K3331" i="1"/>
  <c r="L3331" i="1"/>
  <c r="K3332" i="1"/>
  <c r="L3332" i="1"/>
  <c r="K3333" i="1"/>
  <c r="L3333" i="1"/>
  <c r="K3334" i="1"/>
  <c r="L3334" i="1"/>
  <c r="K3335" i="1"/>
  <c r="L3335" i="1"/>
  <c r="K3336" i="1"/>
  <c r="L3336" i="1"/>
  <c r="K3337" i="1"/>
  <c r="L3337" i="1"/>
  <c r="K3338" i="1"/>
  <c r="L3338" i="1"/>
  <c r="K3339" i="1"/>
  <c r="L3339" i="1"/>
  <c r="K3340" i="1"/>
  <c r="L3340" i="1"/>
  <c r="K3341" i="1"/>
  <c r="L3341" i="1"/>
  <c r="K3342" i="1"/>
  <c r="L3342" i="1"/>
  <c r="K3343" i="1"/>
  <c r="L3343" i="1"/>
  <c r="K3344" i="1"/>
  <c r="L3344" i="1"/>
  <c r="K3345" i="1"/>
  <c r="L3345" i="1"/>
  <c r="K3346" i="1"/>
  <c r="L3346" i="1"/>
  <c r="K3347" i="1"/>
  <c r="L3347" i="1"/>
  <c r="K3348" i="1"/>
  <c r="L3348" i="1"/>
  <c r="K3349" i="1"/>
  <c r="L3349" i="1"/>
  <c r="K3350" i="1"/>
  <c r="L3350" i="1"/>
  <c r="K3351" i="1"/>
  <c r="L3351" i="1"/>
  <c r="K3352" i="1"/>
  <c r="L3352" i="1"/>
  <c r="K3353" i="1"/>
  <c r="L3353" i="1"/>
  <c r="K3354" i="1"/>
  <c r="L3354" i="1"/>
  <c r="K3355" i="1"/>
  <c r="L3355" i="1"/>
  <c r="K3356" i="1"/>
  <c r="L3356" i="1"/>
  <c r="K3357" i="1"/>
  <c r="L3357" i="1"/>
  <c r="K3358" i="1"/>
  <c r="L3358" i="1"/>
  <c r="K3359" i="1"/>
  <c r="L3359" i="1"/>
  <c r="K3360" i="1"/>
  <c r="L3360" i="1"/>
  <c r="K3361" i="1"/>
  <c r="L3361" i="1"/>
  <c r="K3362" i="1"/>
  <c r="L3362" i="1"/>
  <c r="K3363" i="1"/>
  <c r="L3363" i="1"/>
  <c r="K3364" i="1"/>
  <c r="L3364" i="1"/>
  <c r="K3365" i="1"/>
  <c r="L3365" i="1"/>
  <c r="K3366" i="1"/>
  <c r="L3366" i="1"/>
  <c r="K3367" i="1"/>
  <c r="L3367" i="1"/>
  <c r="K3368" i="1"/>
  <c r="L3368" i="1"/>
  <c r="K3369" i="1"/>
  <c r="L3369" i="1"/>
  <c r="K3370" i="1"/>
  <c r="L3370" i="1"/>
  <c r="K3371" i="1"/>
  <c r="L3371" i="1"/>
  <c r="K3372" i="1"/>
  <c r="L3372" i="1"/>
  <c r="K3373" i="1"/>
  <c r="L3373" i="1"/>
  <c r="K3374" i="1"/>
  <c r="L3374" i="1"/>
  <c r="K3375" i="1"/>
  <c r="L3375" i="1"/>
  <c r="K3376" i="1"/>
  <c r="L3376" i="1"/>
  <c r="K3377" i="1"/>
  <c r="L3377" i="1"/>
  <c r="K3378" i="1"/>
  <c r="L3378" i="1"/>
  <c r="K3257" i="1"/>
  <c r="L3257" i="1"/>
  <c r="K3258" i="1"/>
  <c r="L3258" i="1"/>
  <c r="K3259" i="1"/>
  <c r="L3259" i="1"/>
  <c r="K3260" i="1"/>
  <c r="L3260" i="1"/>
  <c r="K3261" i="1"/>
  <c r="L3261" i="1"/>
  <c r="K3262" i="1"/>
  <c r="L3262" i="1"/>
  <c r="K3263" i="1"/>
  <c r="L3263" i="1"/>
  <c r="K3264" i="1"/>
  <c r="L3264" i="1"/>
  <c r="K3265" i="1"/>
  <c r="L3265" i="1"/>
  <c r="K3266" i="1"/>
  <c r="L3266" i="1"/>
  <c r="K3267" i="1"/>
  <c r="L3267" i="1"/>
  <c r="K3268" i="1"/>
  <c r="L3268" i="1"/>
  <c r="K3269" i="1"/>
  <c r="L3269" i="1"/>
  <c r="K3270" i="1"/>
  <c r="L3270" i="1"/>
  <c r="K3271" i="1"/>
  <c r="L3271" i="1"/>
  <c r="K3272" i="1"/>
  <c r="L3272" i="1"/>
  <c r="K3273" i="1"/>
  <c r="L3273" i="1"/>
  <c r="K3274" i="1"/>
  <c r="L3274" i="1"/>
  <c r="K3275" i="1"/>
  <c r="L3275" i="1"/>
  <c r="K3276" i="1"/>
  <c r="L3276" i="1"/>
  <c r="K3277" i="1"/>
  <c r="L3277" i="1"/>
  <c r="K3278" i="1"/>
  <c r="L3278" i="1"/>
  <c r="K3279" i="1"/>
  <c r="L3279" i="1"/>
  <c r="K3280" i="1"/>
  <c r="L3280" i="1"/>
  <c r="K3281" i="1"/>
  <c r="L3281" i="1"/>
  <c r="K3282" i="1"/>
  <c r="L3282" i="1"/>
  <c r="K3283" i="1"/>
  <c r="L3283" i="1"/>
  <c r="K3284" i="1"/>
  <c r="L3284" i="1"/>
  <c r="K3285" i="1"/>
  <c r="L3285" i="1"/>
  <c r="K3286" i="1"/>
  <c r="L3286" i="1"/>
  <c r="K3287" i="1"/>
  <c r="L3287" i="1"/>
  <c r="K3288" i="1"/>
  <c r="L3288" i="1"/>
  <c r="K3289" i="1"/>
  <c r="L3289" i="1"/>
  <c r="K3290" i="1"/>
  <c r="L3290" i="1"/>
  <c r="K3291" i="1"/>
  <c r="L3291" i="1"/>
  <c r="K3379" i="1"/>
  <c r="L3379" i="1"/>
  <c r="M3379" i="1"/>
  <c r="K3380" i="1"/>
  <c r="L3380" i="1"/>
  <c r="M3380" i="1"/>
  <c r="K3381" i="1"/>
  <c r="L3381" i="1"/>
  <c r="M3381" i="1"/>
  <c r="K3382" i="1"/>
  <c r="L3382" i="1"/>
  <c r="M3382" i="1"/>
  <c r="K3383" i="1"/>
  <c r="L3383" i="1"/>
  <c r="M3383" i="1"/>
  <c r="K3384" i="1"/>
  <c r="L3384" i="1"/>
  <c r="M3384" i="1"/>
  <c r="K3385" i="1"/>
  <c r="L3385" i="1"/>
  <c r="M3385" i="1"/>
  <c r="K3665" i="1"/>
  <c r="L3665" i="1"/>
  <c r="K3666" i="1"/>
  <c r="L3666" i="1"/>
  <c r="K3667" i="1"/>
  <c r="L3667" i="1"/>
  <c r="K3668" i="1"/>
  <c r="L3668" i="1"/>
  <c r="K3669" i="1"/>
  <c r="L3669" i="1"/>
  <c r="K3670" i="1"/>
  <c r="L3670" i="1"/>
  <c r="K3671" i="1"/>
  <c r="L3671" i="1"/>
  <c r="K3672" i="1"/>
  <c r="L3672" i="1"/>
  <c r="K3673" i="1"/>
  <c r="L3673" i="1"/>
  <c r="K3674" i="1"/>
  <c r="L3674" i="1"/>
  <c r="K3675" i="1"/>
  <c r="L3675" i="1"/>
  <c r="K3676" i="1"/>
  <c r="L3676" i="1"/>
  <c r="K3677" i="1"/>
  <c r="L3677" i="1"/>
  <c r="K3678" i="1"/>
  <c r="L3678" i="1"/>
  <c r="K3679" i="1"/>
  <c r="L3679" i="1"/>
  <c r="K3386" i="1"/>
  <c r="L3386" i="1"/>
  <c r="M3386" i="1"/>
  <c r="K3682" i="1"/>
  <c r="L3682" i="1"/>
  <c r="K3683" i="1"/>
  <c r="L3683" i="1"/>
  <c r="K3387" i="1"/>
  <c r="L3387" i="1"/>
  <c r="M3387" i="1"/>
  <c r="K3388" i="1"/>
  <c r="L3388" i="1"/>
  <c r="M3388" i="1"/>
  <c r="K3389" i="1"/>
  <c r="L3389" i="1"/>
  <c r="M3389" i="1"/>
  <c r="K3711" i="1"/>
  <c r="L3711" i="1"/>
  <c r="K3712" i="1"/>
  <c r="L3712" i="1"/>
  <c r="K3713" i="1"/>
  <c r="L3713" i="1"/>
  <c r="K3714" i="1"/>
  <c r="L3714" i="1"/>
  <c r="K3688" i="1"/>
  <c r="L3688" i="1"/>
  <c r="K3689" i="1"/>
  <c r="L3689" i="1"/>
  <c r="K3690" i="1"/>
  <c r="L3690" i="1"/>
  <c r="K3691" i="1"/>
  <c r="L3691" i="1"/>
  <c r="K3692" i="1"/>
  <c r="L3692" i="1"/>
  <c r="K3693" i="1"/>
  <c r="L3693" i="1"/>
  <c r="K3694" i="1"/>
  <c r="L3694" i="1"/>
  <c r="K3695" i="1"/>
  <c r="L3695" i="1"/>
  <c r="K3696" i="1"/>
  <c r="L3696" i="1"/>
  <c r="K3697" i="1"/>
  <c r="L3697" i="1"/>
  <c r="K3698" i="1"/>
  <c r="L3698" i="1"/>
  <c r="K3699" i="1"/>
  <c r="L3699" i="1"/>
  <c r="K3700" i="1"/>
  <c r="L3700" i="1"/>
  <c r="K3701" i="1"/>
  <c r="L3701" i="1"/>
  <c r="K3702" i="1"/>
  <c r="L3702" i="1"/>
  <c r="K3703" i="1"/>
  <c r="L3703" i="1"/>
  <c r="K3704" i="1"/>
  <c r="L3704" i="1"/>
  <c r="K3705" i="1"/>
  <c r="L3705" i="1"/>
  <c r="K3706" i="1"/>
  <c r="L3706" i="1"/>
  <c r="K3707" i="1"/>
  <c r="L3707" i="1"/>
  <c r="K3708" i="1"/>
  <c r="L3708" i="1"/>
  <c r="K3709" i="1"/>
  <c r="L3709" i="1"/>
  <c r="K3710" i="1"/>
  <c r="L3710" i="1"/>
  <c r="K3715" i="1"/>
  <c r="L3715" i="1"/>
  <c r="K3390" i="1"/>
  <c r="L3390" i="1"/>
  <c r="M3390" i="1"/>
  <c r="K3391" i="1"/>
  <c r="L3391" i="1"/>
  <c r="M3391" i="1"/>
  <c r="K3392" i="1"/>
  <c r="L3392" i="1"/>
  <c r="M3392" i="1"/>
  <c r="K3393" i="1"/>
  <c r="L3393" i="1"/>
  <c r="M3393" i="1"/>
  <c r="K3394" i="1"/>
  <c r="L3394" i="1"/>
  <c r="M3394" i="1"/>
  <c r="K3729" i="1"/>
  <c r="L3729" i="1"/>
  <c r="K3730" i="1"/>
  <c r="L3730" i="1"/>
  <c r="K3731" i="1"/>
  <c r="L3731" i="1"/>
  <c r="K3732" i="1"/>
  <c r="L3732" i="1"/>
  <c r="K3733" i="1"/>
  <c r="L3733" i="1"/>
  <c r="K3734" i="1"/>
  <c r="L3734" i="1"/>
  <c r="K3735" i="1"/>
  <c r="L3735" i="1"/>
  <c r="K3716" i="1"/>
  <c r="L3716" i="1"/>
  <c r="K3717" i="1"/>
  <c r="L3717" i="1"/>
  <c r="K3718" i="1"/>
  <c r="L3718" i="1"/>
  <c r="K3719" i="1"/>
  <c r="L3719" i="1"/>
  <c r="K3720" i="1"/>
  <c r="L3720" i="1"/>
  <c r="K3721" i="1"/>
  <c r="L3721" i="1"/>
  <c r="K3722" i="1"/>
  <c r="L3722" i="1"/>
  <c r="K3723" i="1"/>
  <c r="L3723" i="1"/>
  <c r="K3724" i="1"/>
  <c r="L3724" i="1"/>
  <c r="K3725" i="1"/>
  <c r="L3725" i="1"/>
  <c r="K3726" i="1"/>
  <c r="L3726" i="1"/>
  <c r="K3727" i="1"/>
  <c r="L3727" i="1"/>
  <c r="K3728" i="1"/>
  <c r="L3728" i="1"/>
  <c r="K3395" i="1"/>
  <c r="L3395" i="1"/>
  <c r="M3395" i="1"/>
  <c r="K3396" i="1"/>
  <c r="L3396" i="1"/>
  <c r="M3396" i="1"/>
  <c r="K3397" i="1"/>
  <c r="L3397" i="1"/>
  <c r="M3397" i="1"/>
  <c r="K3398" i="1"/>
  <c r="L3398" i="1"/>
  <c r="M3398" i="1"/>
  <c r="K3745" i="1"/>
  <c r="L3745" i="1"/>
  <c r="K3746" i="1"/>
  <c r="L3746" i="1"/>
  <c r="K3747" i="1"/>
  <c r="L3747" i="1"/>
  <c r="K3748" i="1"/>
  <c r="L3748" i="1"/>
  <c r="K3736" i="1"/>
  <c r="L3736" i="1"/>
  <c r="K3737" i="1"/>
  <c r="L3737" i="1"/>
  <c r="K3738" i="1"/>
  <c r="L3738" i="1"/>
  <c r="K3739" i="1"/>
  <c r="L3739" i="1"/>
  <c r="K3740" i="1"/>
  <c r="L3740" i="1"/>
  <c r="K3741" i="1"/>
  <c r="L3741" i="1"/>
  <c r="K3742" i="1"/>
  <c r="L3742" i="1"/>
  <c r="K3743" i="1"/>
  <c r="L3743" i="1"/>
  <c r="K3744" i="1"/>
  <c r="L3744" i="1"/>
  <c r="K3399" i="1"/>
  <c r="L3399" i="1"/>
  <c r="M3399" i="1"/>
  <c r="K3400" i="1"/>
  <c r="L3400" i="1"/>
  <c r="M3400" i="1"/>
  <c r="K3401" i="1"/>
  <c r="L3401" i="1"/>
  <c r="M3401" i="1"/>
  <c r="K3402" i="1"/>
  <c r="L3402" i="1"/>
  <c r="M3402" i="1"/>
  <c r="K3403" i="1"/>
  <c r="L3403" i="1"/>
  <c r="M3403" i="1"/>
  <c r="K3404" i="1"/>
  <c r="L3404" i="1"/>
  <c r="M3404" i="1"/>
  <c r="K3405" i="1"/>
  <c r="L3405" i="1"/>
  <c r="M3405" i="1"/>
  <c r="K3406" i="1"/>
  <c r="L3406" i="1"/>
  <c r="M3406" i="1"/>
  <c r="K3407" i="1"/>
  <c r="L3407" i="1"/>
  <c r="M3407" i="1"/>
  <c r="K3408" i="1"/>
  <c r="L3408" i="1"/>
  <c r="M3408" i="1"/>
  <c r="K3409" i="1"/>
  <c r="L3409" i="1"/>
  <c r="M3409" i="1"/>
  <c r="K3410" i="1"/>
  <c r="L3410" i="1"/>
  <c r="M3410" i="1"/>
  <c r="K3411" i="1"/>
  <c r="L3411" i="1"/>
  <c r="M3411" i="1"/>
  <c r="K3412" i="1"/>
  <c r="L3412" i="1"/>
  <c r="M3412" i="1"/>
  <c r="K3413" i="1"/>
  <c r="L3413" i="1"/>
  <c r="M3413" i="1"/>
  <c r="K3414" i="1"/>
  <c r="L3414" i="1"/>
  <c r="M3414" i="1"/>
  <c r="K3777" i="1"/>
  <c r="L3777" i="1"/>
  <c r="K3778" i="1"/>
  <c r="L3778" i="1"/>
  <c r="K3779" i="1"/>
  <c r="L3779" i="1"/>
  <c r="K3780" i="1"/>
  <c r="L3780" i="1"/>
  <c r="K3781" i="1"/>
  <c r="L3781" i="1"/>
  <c r="K3782" i="1"/>
  <c r="L3782" i="1"/>
  <c r="K3783" i="1"/>
  <c r="L3783" i="1"/>
  <c r="K3784" i="1"/>
  <c r="L3784" i="1"/>
  <c r="K3750" i="1"/>
  <c r="L3750" i="1"/>
  <c r="K3751" i="1"/>
  <c r="L3751" i="1"/>
  <c r="K3752" i="1"/>
  <c r="L3752" i="1"/>
  <c r="K3753" i="1"/>
  <c r="L3753" i="1"/>
  <c r="K3754" i="1"/>
  <c r="L3754" i="1"/>
  <c r="K3755" i="1"/>
  <c r="L3755" i="1"/>
  <c r="K3756" i="1"/>
  <c r="L3756" i="1"/>
  <c r="K3757" i="1"/>
  <c r="L3757" i="1"/>
  <c r="K3758" i="1"/>
  <c r="L3758" i="1"/>
  <c r="K3759" i="1"/>
  <c r="L3759" i="1"/>
  <c r="K3760" i="1"/>
  <c r="L3760" i="1"/>
  <c r="K3761" i="1"/>
  <c r="L3761" i="1"/>
  <c r="K3762" i="1"/>
  <c r="L3762" i="1"/>
  <c r="K3763" i="1"/>
  <c r="L3763" i="1"/>
  <c r="K3764" i="1"/>
  <c r="L3764" i="1"/>
  <c r="K3765" i="1"/>
  <c r="L3765" i="1"/>
  <c r="K3766" i="1"/>
  <c r="L3766" i="1"/>
  <c r="K3767" i="1"/>
  <c r="L3767" i="1"/>
  <c r="K3768" i="1"/>
  <c r="L3768" i="1"/>
  <c r="K3769" i="1"/>
  <c r="L3769" i="1"/>
  <c r="K3770" i="1"/>
  <c r="L3770" i="1"/>
  <c r="K3771" i="1"/>
  <c r="L3771" i="1"/>
  <c r="K3772" i="1"/>
  <c r="L3772" i="1"/>
  <c r="K3773" i="1"/>
  <c r="L3773" i="1"/>
  <c r="K3774" i="1"/>
  <c r="L3774" i="1"/>
  <c r="K3775" i="1"/>
  <c r="L3775" i="1"/>
  <c r="K3776" i="1"/>
  <c r="L3776" i="1"/>
  <c r="K3785" i="1"/>
  <c r="L3785" i="1"/>
  <c r="K3415" i="1"/>
  <c r="L3415" i="1"/>
  <c r="M3415" i="1"/>
  <c r="K3416" i="1"/>
  <c r="L3416" i="1"/>
  <c r="M3416" i="1"/>
  <c r="K3417" i="1"/>
  <c r="L3417" i="1"/>
  <c r="M3417" i="1"/>
  <c r="K3418" i="1"/>
  <c r="L3418" i="1"/>
  <c r="M3418" i="1"/>
  <c r="K3419" i="1"/>
  <c r="L3419" i="1"/>
  <c r="M3419" i="1"/>
  <c r="K3420" i="1"/>
  <c r="L3420" i="1"/>
  <c r="M3420" i="1"/>
  <c r="K3795" i="1"/>
  <c r="L3795" i="1"/>
  <c r="K3796" i="1"/>
  <c r="L3796" i="1"/>
  <c r="K3797" i="1"/>
  <c r="L3797" i="1"/>
  <c r="K3798" i="1"/>
  <c r="L3798" i="1"/>
  <c r="K3799" i="1"/>
  <c r="L3799" i="1"/>
  <c r="K3800" i="1"/>
  <c r="L3800" i="1"/>
  <c r="K3801" i="1"/>
  <c r="L3801" i="1"/>
  <c r="K3802" i="1"/>
  <c r="L3802" i="1"/>
  <c r="K3786" i="1"/>
  <c r="L3786" i="1"/>
  <c r="K3787" i="1"/>
  <c r="L3787" i="1"/>
  <c r="K3788" i="1"/>
  <c r="L3788" i="1"/>
  <c r="K3789" i="1"/>
  <c r="L3789" i="1"/>
  <c r="K3790" i="1"/>
  <c r="L3790" i="1"/>
  <c r="K3791" i="1"/>
  <c r="L3791" i="1"/>
  <c r="K3792" i="1"/>
  <c r="L3792" i="1"/>
  <c r="K3793" i="1"/>
  <c r="L3793" i="1"/>
  <c r="K3794" i="1"/>
  <c r="L3794" i="1"/>
  <c r="K3421" i="1"/>
  <c r="L3421" i="1"/>
  <c r="M3421" i="1"/>
  <c r="K3422" i="1"/>
  <c r="L3422" i="1"/>
  <c r="M3422" i="1"/>
  <c r="K3423" i="1"/>
  <c r="L3423" i="1"/>
  <c r="M3423" i="1"/>
  <c r="K3424" i="1"/>
  <c r="L3424" i="1"/>
  <c r="M3424" i="1"/>
  <c r="K3425" i="1"/>
  <c r="L3425" i="1"/>
  <c r="M3425" i="1"/>
  <c r="K3426" i="1"/>
  <c r="L3426" i="1"/>
  <c r="M3426" i="1"/>
  <c r="K3427" i="1"/>
  <c r="L3427" i="1"/>
  <c r="M3427" i="1"/>
  <c r="K3813" i="1"/>
  <c r="L3813" i="1"/>
  <c r="K3814" i="1"/>
  <c r="L3814" i="1"/>
  <c r="K3803" i="1"/>
  <c r="L3803" i="1"/>
  <c r="K3804" i="1"/>
  <c r="L3804" i="1"/>
  <c r="K3805" i="1"/>
  <c r="L3805" i="1"/>
  <c r="K3806" i="1"/>
  <c r="L3806" i="1"/>
  <c r="K3807" i="1"/>
  <c r="L3807" i="1"/>
  <c r="K3808" i="1"/>
  <c r="L3808" i="1"/>
  <c r="K3809" i="1"/>
  <c r="L3809" i="1"/>
  <c r="K3810" i="1"/>
  <c r="L3810" i="1"/>
  <c r="K3811" i="1"/>
  <c r="L3811" i="1"/>
  <c r="K3812" i="1"/>
  <c r="L3812" i="1"/>
  <c r="K3428" i="1"/>
  <c r="L3428" i="1"/>
  <c r="M3428" i="1"/>
  <c r="K3429" i="1"/>
  <c r="L3429" i="1"/>
  <c r="M3429" i="1"/>
  <c r="K3430" i="1"/>
  <c r="L3430" i="1"/>
  <c r="M3430" i="1"/>
  <c r="K3431" i="1"/>
  <c r="L3431" i="1"/>
  <c r="M3431" i="1"/>
  <c r="K3432" i="1"/>
  <c r="L3432" i="1"/>
  <c r="M3432" i="1"/>
  <c r="K3433" i="1"/>
  <c r="L3433" i="1"/>
  <c r="M3433" i="1"/>
  <c r="K3434" i="1"/>
  <c r="L3434" i="1"/>
  <c r="M3434" i="1"/>
  <c r="K3435" i="1"/>
  <c r="L3435" i="1"/>
  <c r="M3435" i="1"/>
  <c r="K3436" i="1"/>
  <c r="L3436" i="1"/>
  <c r="M3436" i="1"/>
  <c r="K3437" i="1"/>
  <c r="L3437" i="1"/>
  <c r="M3437" i="1"/>
  <c r="K3438" i="1"/>
  <c r="L3438" i="1"/>
  <c r="M3438" i="1"/>
  <c r="K3439" i="1"/>
  <c r="L3439" i="1"/>
  <c r="M3439" i="1"/>
  <c r="K3836" i="1"/>
  <c r="L3836" i="1"/>
  <c r="K3837" i="1"/>
  <c r="L3837" i="1"/>
  <c r="K3838" i="1"/>
  <c r="L3838" i="1"/>
  <c r="K3839" i="1"/>
  <c r="L3839" i="1"/>
  <c r="K3840" i="1"/>
  <c r="L3840" i="1"/>
  <c r="K3841" i="1"/>
  <c r="L3841" i="1"/>
  <c r="K3842" i="1"/>
  <c r="L3842" i="1"/>
  <c r="K3843" i="1"/>
  <c r="L3843" i="1"/>
  <c r="K3844" i="1"/>
  <c r="L3844" i="1"/>
  <c r="K3845" i="1"/>
  <c r="L3845" i="1"/>
  <c r="K3846" i="1"/>
  <c r="L3846" i="1"/>
  <c r="K3847" i="1"/>
  <c r="L3847" i="1"/>
  <c r="K3848" i="1"/>
  <c r="L3848" i="1"/>
  <c r="K3849" i="1"/>
  <c r="L3849" i="1"/>
  <c r="K3850" i="1"/>
  <c r="L3850" i="1"/>
  <c r="K3851" i="1"/>
  <c r="L3851" i="1"/>
  <c r="K3852" i="1"/>
  <c r="L3852" i="1"/>
  <c r="K3853" i="1"/>
  <c r="L3853" i="1"/>
  <c r="K3854" i="1"/>
  <c r="L3854" i="1"/>
  <c r="K3855" i="1"/>
  <c r="L3855" i="1"/>
  <c r="K3856" i="1"/>
  <c r="L3856" i="1"/>
  <c r="K3857" i="1"/>
  <c r="L3857" i="1"/>
  <c r="K3858" i="1"/>
  <c r="L3858" i="1"/>
  <c r="K3859" i="1"/>
  <c r="L3859" i="1"/>
  <c r="K3860" i="1"/>
  <c r="L3860" i="1"/>
  <c r="K3861" i="1"/>
  <c r="L3861" i="1"/>
  <c r="K3862" i="1"/>
  <c r="L3862" i="1"/>
  <c r="K3863" i="1"/>
  <c r="L3863" i="1"/>
  <c r="K3864" i="1"/>
  <c r="L3864" i="1"/>
  <c r="K3865" i="1"/>
  <c r="L3865" i="1"/>
  <c r="K3866" i="1"/>
  <c r="L3866" i="1"/>
  <c r="K3867" i="1"/>
  <c r="L3867" i="1"/>
  <c r="K3868" i="1"/>
  <c r="L3868" i="1"/>
  <c r="K3869" i="1"/>
  <c r="L3869" i="1"/>
  <c r="K3815" i="1"/>
  <c r="L3815" i="1"/>
  <c r="K3816" i="1"/>
  <c r="L3816" i="1"/>
  <c r="K3817" i="1"/>
  <c r="L3817" i="1"/>
  <c r="K3818" i="1"/>
  <c r="L3818" i="1"/>
  <c r="K3819" i="1"/>
  <c r="L3819" i="1"/>
  <c r="K3820" i="1"/>
  <c r="L3820" i="1"/>
  <c r="K3821" i="1"/>
  <c r="L3821" i="1"/>
  <c r="K3822" i="1"/>
  <c r="L3822" i="1"/>
  <c r="K3823" i="1"/>
  <c r="L3823" i="1"/>
  <c r="K3824" i="1"/>
  <c r="L3824" i="1"/>
  <c r="K3825" i="1"/>
  <c r="L3825" i="1"/>
  <c r="K3826" i="1"/>
  <c r="L3826" i="1"/>
  <c r="K3827" i="1"/>
  <c r="L3827" i="1"/>
  <c r="K3828" i="1"/>
  <c r="L3828" i="1"/>
  <c r="K3829" i="1"/>
  <c r="L3829" i="1"/>
  <c r="K3830" i="1"/>
  <c r="L3830" i="1"/>
  <c r="K3831" i="1"/>
  <c r="L3831" i="1"/>
  <c r="K3832" i="1"/>
  <c r="L3832" i="1"/>
  <c r="K3833" i="1"/>
  <c r="L3833" i="1"/>
  <c r="K3834" i="1"/>
  <c r="L3834" i="1"/>
  <c r="K3835" i="1"/>
  <c r="L3835" i="1"/>
  <c r="K3485" i="1"/>
  <c r="L3485" i="1"/>
  <c r="M3485" i="1"/>
  <c r="K3486" i="1"/>
  <c r="L3486" i="1"/>
  <c r="M3486" i="1"/>
  <c r="K3487" i="1"/>
  <c r="L3487" i="1"/>
  <c r="M3487" i="1"/>
  <c r="K3488" i="1"/>
  <c r="L3488" i="1"/>
  <c r="M3488" i="1"/>
  <c r="K3489" i="1"/>
  <c r="L3489" i="1"/>
  <c r="M3489" i="1"/>
  <c r="K3490" i="1"/>
  <c r="L3490" i="1"/>
  <c r="M3490" i="1"/>
  <c r="K3491" i="1"/>
  <c r="L3491" i="1"/>
  <c r="M3491" i="1"/>
  <c r="K3492" i="1"/>
  <c r="L3492" i="1"/>
  <c r="M3492" i="1"/>
  <c r="K3493" i="1"/>
  <c r="L3493" i="1"/>
  <c r="M3493" i="1"/>
  <c r="K3494" i="1"/>
  <c r="L3494" i="1"/>
  <c r="M3494" i="1"/>
  <c r="K3495" i="1"/>
  <c r="L3495" i="1"/>
  <c r="M3495" i="1"/>
  <c r="K3496" i="1"/>
  <c r="L3496" i="1"/>
  <c r="M3496" i="1"/>
  <c r="K3497" i="1"/>
  <c r="L3497" i="1"/>
  <c r="M3497" i="1"/>
  <c r="K3498" i="1"/>
  <c r="L3498" i="1"/>
  <c r="M3498" i="1"/>
  <c r="K3499" i="1"/>
  <c r="L3499" i="1"/>
  <c r="M3499" i="1"/>
  <c r="K3500" i="1"/>
  <c r="L3500" i="1"/>
  <c r="M3500" i="1"/>
  <c r="K3501" i="1"/>
  <c r="L3501" i="1"/>
  <c r="M3501" i="1"/>
  <c r="K3502" i="1"/>
  <c r="L3502" i="1"/>
  <c r="M3502" i="1"/>
  <c r="K3503" i="1"/>
  <c r="L3503" i="1"/>
  <c r="M3503" i="1"/>
  <c r="K3504" i="1"/>
  <c r="L3504" i="1"/>
  <c r="M3504" i="1"/>
  <c r="K3505" i="1"/>
  <c r="L3505" i="1"/>
  <c r="M3505" i="1"/>
  <c r="K3506" i="1"/>
  <c r="L3506" i="1"/>
  <c r="M3506" i="1"/>
  <c r="K3507" i="1"/>
  <c r="L3507" i="1"/>
  <c r="M3507" i="1"/>
  <c r="K3508" i="1"/>
  <c r="L3508" i="1"/>
  <c r="M3508" i="1"/>
  <c r="K3509" i="1"/>
  <c r="L3509" i="1"/>
  <c r="M3509" i="1"/>
  <c r="K3510" i="1"/>
  <c r="L3510" i="1"/>
  <c r="M3510" i="1"/>
  <c r="K3511" i="1"/>
  <c r="L3511" i="1"/>
  <c r="M3511" i="1"/>
  <c r="K3512" i="1"/>
  <c r="L3512" i="1"/>
  <c r="M3512" i="1"/>
  <c r="K3513" i="1"/>
  <c r="L3513" i="1"/>
  <c r="M3513" i="1"/>
  <c r="K3514" i="1"/>
  <c r="L3514" i="1"/>
  <c r="M3514" i="1"/>
  <c r="K3515" i="1"/>
  <c r="L3515" i="1"/>
  <c r="M3515" i="1"/>
  <c r="K3516" i="1"/>
  <c r="L3516" i="1"/>
  <c r="M3516" i="1"/>
  <c r="K3517" i="1"/>
  <c r="L3517" i="1"/>
  <c r="M3517" i="1"/>
  <c r="K3518" i="1"/>
  <c r="L3518" i="1"/>
  <c r="M3518" i="1"/>
  <c r="K3531" i="1"/>
  <c r="L3531" i="1"/>
  <c r="M3531" i="1"/>
  <c r="K3532" i="1"/>
  <c r="L3532" i="1"/>
  <c r="M3532" i="1"/>
  <c r="K3533" i="1"/>
  <c r="L3533" i="1"/>
  <c r="M3533" i="1"/>
  <c r="K3534" i="1"/>
  <c r="L3534" i="1"/>
  <c r="M3534" i="1"/>
  <c r="K3535" i="1"/>
  <c r="L3535" i="1"/>
  <c r="M3535" i="1"/>
  <c r="K3536" i="1"/>
  <c r="L3536" i="1"/>
  <c r="M3536" i="1"/>
  <c r="K3537" i="1"/>
  <c r="L3537" i="1"/>
  <c r="M3537" i="1"/>
  <c r="K3538" i="1"/>
  <c r="L3538" i="1"/>
  <c r="M3538" i="1"/>
  <c r="K3539" i="1"/>
  <c r="L3539" i="1"/>
  <c r="M3539" i="1"/>
  <c r="K3540" i="1"/>
  <c r="L3540" i="1"/>
  <c r="M3540" i="1"/>
  <c r="K3541" i="1"/>
  <c r="L3541" i="1"/>
  <c r="M3541" i="1"/>
  <c r="K3542" i="1"/>
  <c r="L3542" i="1"/>
  <c r="M3542" i="1"/>
  <c r="K3543" i="1"/>
  <c r="L3543" i="1"/>
  <c r="M3543" i="1"/>
  <c r="K3544" i="1"/>
  <c r="L3544" i="1"/>
  <c r="M3544" i="1"/>
  <c r="K3545" i="1"/>
  <c r="L3545" i="1"/>
  <c r="M3545" i="1"/>
  <c r="K3546" i="1"/>
  <c r="L3546" i="1"/>
  <c r="M3546" i="1"/>
  <c r="K3547" i="1"/>
  <c r="L3547" i="1"/>
  <c r="M3547" i="1"/>
  <c r="K3548" i="1"/>
  <c r="L3548" i="1"/>
  <c r="M3548" i="1"/>
  <c r="K3549" i="1"/>
  <c r="L3549" i="1"/>
  <c r="M3549" i="1"/>
  <c r="K3550" i="1"/>
  <c r="L3550" i="1"/>
  <c r="M3550" i="1"/>
  <c r="K3551" i="1"/>
  <c r="L3551" i="1"/>
  <c r="M3551" i="1"/>
  <c r="K3552" i="1"/>
  <c r="L3552" i="1"/>
  <c r="M3552" i="1"/>
  <c r="K3553" i="1"/>
  <c r="L3553" i="1"/>
  <c r="M3553" i="1"/>
  <c r="K3554" i="1"/>
  <c r="L3554" i="1"/>
  <c r="M3554" i="1"/>
  <c r="K3555" i="1"/>
  <c r="L3555" i="1"/>
  <c r="M3555" i="1"/>
  <c r="K3556" i="1"/>
  <c r="L3556" i="1"/>
  <c r="M3556" i="1"/>
  <c r="K3557" i="1"/>
  <c r="L3557" i="1"/>
  <c r="M3557" i="1"/>
  <c r="K3558" i="1"/>
  <c r="L3558" i="1"/>
  <c r="M3558" i="1"/>
  <c r="K3559" i="1"/>
  <c r="L3559" i="1"/>
  <c r="M3559" i="1"/>
  <c r="K3560" i="1"/>
  <c r="L3560" i="1"/>
  <c r="M3560" i="1"/>
  <c r="K3561" i="1"/>
  <c r="L3561" i="1"/>
  <c r="M3561" i="1"/>
  <c r="K3562" i="1"/>
  <c r="L3562" i="1"/>
  <c r="M3562" i="1"/>
  <c r="K3563" i="1"/>
  <c r="L3563" i="1"/>
  <c r="M3563" i="1"/>
  <c r="K3564" i="1"/>
  <c r="L3564" i="1"/>
  <c r="M3564" i="1"/>
  <c r="K3565" i="1"/>
  <c r="L3565" i="1"/>
  <c r="M3565" i="1"/>
  <c r="K3566" i="1"/>
  <c r="L3566" i="1"/>
  <c r="M3566" i="1"/>
  <c r="K3567" i="1"/>
  <c r="L3567" i="1"/>
  <c r="M3567" i="1"/>
  <c r="K3568" i="1"/>
  <c r="L3568" i="1"/>
  <c r="M3568" i="1"/>
  <c r="K3569" i="1"/>
  <c r="L3569" i="1"/>
  <c r="M3569" i="1"/>
  <c r="K3570" i="1"/>
  <c r="L3570" i="1"/>
  <c r="M3570" i="1"/>
  <c r="K3571" i="1"/>
  <c r="L3571" i="1"/>
  <c r="M3571" i="1"/>
  <c r="K3572" i="1"/>
  <c r="L3572" i="1"/>
  <c r="M3572" i="1"/>
  <c r="K3573" i="1"/>
  <c r="L3573" i="1"/>
  <c r="M3573" i="1"/>
  <c r="K3574" i="1"/>
  <c r="L3574" i="1"/>
  <c r="M3574" i="1"/>
  <c r="K3575" i="1"/>
  <c r="L3575" i="1"/>
  <c r="M3575" i="1"/>
  <c r="K3576" i="1"/>
  <c r="L3576" i="1"/>
  <c r="M3576" i="1"/>
  <c r="K3577" i="1"/>
  <c r="L3577" i="1"/>
  <c r="M3577" i="1"/>
  <c r="K3578" i="1"/>
  <c r="L3578" i="1"/>
  <c r="M3578" i="1"/>
  <c r="K3579" i="1"/>
  <c r="L3579" i="1"/>
  <c r="M3579" i="1"/>
  <c r="K3580" i="1"/>
  <c r="L3580" i="1"/>
  <c r="M3580" i="1"/>
  <c r="K3581" i="1"/>
  <c r="L3581" i="1"/>
  <c r="M3581" i="1"/>
  <c r="K3582" i="1"/>
  <c r="L3582" i="1"/>
  <c r="M3582" i="1"/>
  <c r="K3583" i="1"/>
  <c r="L3583" i="1"/>
  <c r="M3583" i="1"/>
  <c r="K3584" i="1"/>
  <c r="L3584" i="1"/>
  <c r="M3584" i="1"/>
  <c r="K3585" i="1"/>
  <c r="L3585" i="1"/>
  <c r="M3585" i="1"/>
  <c r="K3586" i="1"/>
  <c r="L3586" i="1"/>
  <c r="M3586" i="1"/>
  <c r="K3587" i="1"/>
  <c r="L3587" i="1"/>
  <c r="M3587" i="1"/>
  <c r="K3588" i="1"/>
  <c r="L3588" i="1"/>
  <c r="M3588" i="1"/>
  <c r="K3589" i="1"/>
  <c r="L3589" i="1"/>
  <c r="M3589" i="1"/>
  <c r="K3590" i="1"/>
  <c r="L3590" i="1"/>
  <c r="M3590" i="1"/>
  <c r="K3591" i="1"/>
  <c r="L3591" i="1"/>
  <c r="M3591" i="1"/>
  <c r="K3592" i="1"/>
  <c r="L3592" i="1"/>
  <c r="M3592" i="1"/>
  <c r="K3593" i="1"/>
  <c r="L3593" i="1"/>
  <c r="M3593" i="1"/>
  <c r="K3624" i="1"/>
  <c r="L3624" i="1"/>
  <c r="M3624" i="1"/>
  <c r="K3625" i="1"/>
  <c r="L3625" i="1"/>
  <c r="M3625" i="1"/>
  <c r="K3626" i="1"/>
  <c r="L3626" i="1"/>
  <c r="M3626" i="1"/>
  <c r="K3627" i="1"/>
  <c r="L3627" i="1"/>
  <c r="M3627" i="1"/>
  <c r="K3628" i="1"/>
  <c r="L3628" i="1"/>
  <c r="M3628" i="1"/>
  <c r="K3629" i="1"/>
  <c r="L3629" i="1"/>
  <c r="M3629" i="1"/>
  <c r="K3630" i="1"/>
  <c r="L3630" i="1"/>
  <c r="M3630" i="1"/>
  <c r="K3631" i="1"/>
  <c r="L3631" i="1"/>
  <c r="M3631" i="1"/>
  <c r="K3632" i="1"/>
  <c r="L3632" i="1"/>
  <c r="M3632" i="1"/>
  <c r="K3633" i="1"/>
  <c r="L3633" i="1"/>
  <c r="M3633" i="1"/>
  <c r="K3634" i="1"/>
  <c r="L3634" i="1"/>
  <c r="M3634" i="1"/>
  <c r="K3635" i="1"/>
  <c r="L3635" i="1"/>
  <c r="M3635" i="1"/>
  <c r="K3636" i="1"/>
  <c r="L3636" i="1"/>
  <c r="M3636" i="1"/>
  <c r="K3637" i="1"/>
  <c r="L3637" i="1"/>
  <c r="M3637" i="1"/>
  <c r="K3638" i="1"/>
  <c r="L3638" i="1"/>
  <c r="M3638" i="1"/>
  <c r="K3639" i="1"/>
  <c r="L3639" i="1"/>
  <c r="M3639" i="1"/>
  <c r="K3640" i="1"/>
  <c r="L3640" i="1"/>
  <c r="M3640" i="1"/>
  <c r="K3641" i="1"/>
  <c r="L3641" i="1"/>
  <c r="M3641" i="1"/>
  <c r="K3642" i="1"/>
  <c r="L3642" i="1"/>
  <c r="M3642" i="1"/>
  <c r="K3643" i="1"/>
  <c r="L3643" i="1"/>
  <c r="M3643" i="1"/>
  <c r="K3440" i="1"/>
  <c r="L3440" i="1"/>
  <c r="M3440" i="1"/>
  <c r="K3441" i="1"/>
  <c r="L3441" i="1"/>
  <c r="M3441" i="1"/>
  <c r="K3442" i="1"/>
  <c r="L3442" i="1"/>
  <c r="M3442" i="1"/>
  <c r="K3443" i="1"/>
  <c r="L3443" i="1"/>
  <c r="M3443" i="1"/>
  <c r="K3879" i="1"/>
  <c r="L3879" i="1"/>
  <c r="K3880" i="1"/>
  <c r="L3880" i="1"/>
  <c r="K3881" i="1"/>
  <c r="L3881" i="1"/>
  <c r="K3882" i="1"/>
  <c r="L3882" i="1"/>
  <c r="K3883" i="1"/>
  <c r="L3883" i="1"/>
  <c r="K3884" i="1"/>
  <c r="L3884" i="1"/>
  <c r="K3885" i="1"/>
  <c r="L3885" i="1"/>
  <c r="K3886" i="1"/>
  <c r="L3886" i="1"/>
  <c r="K3887" i="1"/>
  <c r="L3887" i="1"/>
  <c r="K3888" i="1"/>
  <c r="L3888" i="1"/>
  <c r="K3889" i="1"/>
  <c r="L3889" i="1"/>
  <c r="K3890" i="1"/>
  <c r="L3890" i="1"/>
  <c r="K3891" i="1"/>
  <c r="L3891" i="1"/>
  <c r="K3892" i="1"/>
  <c r="L3892" i="1"/>
  <c r="K3893" i="1"/>
  <c r="L3893" i="1"/>
  <c r="K3894" i="1"/>
  <c r="L3894" i="1"/>
  <c r="K3895" i="1"/>
  <c r="L3895" i="1"/>
  <c r="K3896" i="1"/>
  <c r="L3896" i="1"/>
  <c r="K3897" i="1"/>
  <c r="L3897" i="1"/>
  <c r="K3898" i="1"/>
  <c r="L3898" i="1"/>
  <c r="K3899" i="1"/>
  <c r="L3899" i="1"/>
  <c r="K3900" i="1"/>
  <c r="L3900" i="1"/>
  <c r="K3901" i="1"/>
  <c r="L3901" i="1"/>
  <c r="K3870" i="1"/>
  <c r="L3870" i="1"/>
  <c r="K3871" i="1"/>
  <c r="L3871" i="1"/>
  <c r="K3872" i="1"/>
  <c r="L3872" i="1"/>
  <c r="K3873" i="1"/>
  <c r="L3873" i="1"/>
  <c r="K3874" i="1"/>
  <c r="L3874" i="1"/>
  <c r="K3875" i="1"/>
  <c r="L3875" i="1"/>
  <c r="K3876" i="1"/>
  <c r="L3876" i="1"/>
  <c r="K3877" i="1"/>
  <c r="L3877" i="1"/>
  <c r="K3878" i="1"/>
  <c r="L3878" i="1"/>
  <c r="K3444" i="1"/>
  <c r="L3444" i="1"/>
  <c r="M3444" i="1"/>
  <c r="K3445" i="1"/>
  <c r="L3445" i="1"/>
  <c r="M3445" i="1"/>
  <c r="K3446" i="1"/>
  <c r="L3446" i="1"/>
  <c r="M3446" i="1"/>
  <c r="K3447" i="1"/>
  <c r="L3447" i="1"/>
  <c r="M3447" i="1"/>
  <c r="K3448" i="1"/>
  <c r="L3448" i="1"/>
  <c r="M3448" i="1"/>
  <c r="K3449" i="1"/>
  <c r="L3449" i="1"/>
  <c r="M3449" i="1"/>
  <c r="K3450" i="1"/>
  <c r="L3450" i="1"/>
  <c r="M3450" i="1"/>
  <c r="K3451" i="1"/>
  <c r="L3451" i="1"/>
  <c r="M3451" i="1"/>
  <c r="K3452" i="1"/>
  <c r="L3452" i="1"/>
  <c r="M3452" i="1"/>
  <c r="K3453" i="1"/>
  <c r="L3453" i="1"/>
  <c r="M3453" i="1"/>
  <c r="K3454" i="1"/>
  <c r="L3454" i="1"/>
  <c r="M3454" i="1"/>
  <c r="K3455" i="1"/>
  <c r="L3455" i="1"/>
  <c r="M3455" i="1"/>
  <c r="K3456" i="1"/>
  <c r="L3456" i="1"/>
  <c r="M3456" i="1"/>
  <c r="K3457" i="1"/>
  <c r="L3457" i="1"/>
  <c r="M3457" i="1"/>
  <c r="K3458" i="1"/>
  <c r="L3458" i="1"/>
  <c r="M3458" i="1"/>
  <c r="K3459" i="1"/>
  <c r="L3459" i="1"/>
  <c r="M3459" i="1"/>
  <c r="K3460" i="1"/>
  <c r="L3460" i="1"/>
  <c r="M3460" i="1"/>
  <c r="K3461" i="1"/>
  <c r="L3461" i="1"/>
  <c r="M3461" i="1"/>
  <c r="K3462" i="1"/>
  <c r="L3462" i="1"/>
  <c r="M3462" i="1"/>
  <c r="K3463" i="1"/>
  <c r="L3463" i="1"/>
  <c r="M3463" i="1"/>
  <c r="K3464" i="1"/>
  <c r="L3464" i="1"/>
  <c r="M3464" i="1"/>
  <c r="K3465" i="1"/>
  <c r="L3465" i="1"/>
  <c r="M3465" i="1"/>
  <c r="K3466" i="1"/>
  <c r="L3466" i="1"/>
  <c r="M3466" i="1"/>
  <c r="K3467" i="1"/>
  <c r="L3467" i="1"/>
  <c r="M3467" i="1"/>
  <c r="K3468" i="1"/>
  <c r="L3468" i="1"/>
  <c r="M3468" i="1"/>
  <c r="K3469" i="1"/>
  <c r="L3469" i="1"/>
  <c r="M3469" i="1"/>
  <c r="K3470" i="1"/>
  <c r="L3470" i="1"/>
  <c r="M3470" i="1"/>
  <c r="K3471" i="1"/>
  <c r="L3471" i="1"/>
  <c r="M3471" i="1"/>
  <c r="K3472" i="1"/>
  <c r="L3472" i="1"/>
  <c r="M3472" i="1"/>
  <c r="K3473" i="1"/>
  <c r="L3473" i="1"/>
  <c r="M3473" i="1"/>
  <c r="K3474" i="1"/>
  <c r="L3474" i="1"/>
  <c r="M3474" i="1"/>
  <c r="K3475" i="1"/>
  <c r="L3475" i="1"/>
  <c r="M3475" i="1"/>
  <c r="K3476" i="1"/>
  <c r="L3476" i="1"/>
  <c r="M3476" i="1"/>
  <c r="K3477" i="1"/>
  <c r="L3477" i="1"/>
  <c r="M3477" i="1"/>
  <c r="K3478" i="1"/>
  <c r="L3478" i="1"/>
  <c r="M3478" i="1"/>
  <c r="K3479" i="1"/>
  <c r="L3479" i="1"/>
  <c r="M3479" i="1"/>
  <c r="K3480" i="1"/>
  <c r="L3480" i="1"/>
  <c r="M3480" i="1"/>
  <c r="K3481" i="1"/>
  <c r="L3481" i="1"/>
  <c r="M3481" i="1"/>
  <c r="K3482" i="1"/>
  <c r="L3482" i="1"/>
  <c r="M3482" i="1"/>
  <c r="K3483" i="1"/>
  <c r="L3483" i="1"/>
  <c r="M3483" i="1"/>
  <c r="K3484" i="1"/>
  <c r="L3484" i="1"/>
  <c r="M3484" i="1"/>
  <c r="K3519" i="1"/>
  <c r="L3519" i="1"/>
  <c r="M3519" i="1"/>
  <c r="K3520" i="1"/>
  <c r="L3520" i="1"/>
  <c r="M3520" i="1"/>
  <c r="K3521" i="1"/>
  <c r="L3521" i="1"/>
  <c r="M3521" i="1"/>
  <c r="K3522" i="1"/>
  <c r="L3522" i="1"/>
  <c r="M3522" i="1"/>
  <c r="K3523" i="1"/>
  <c r="L3523" i="1"/>
  <c r="M3523" i="1"/>
  <c r="K3524" i="1"/>
  <c r="L3524" i="1"/>
  <c r="M3524" i="1"/>
  <c r="K3525" i="1"/>
  <c r="L3525" i="1"/>
  <c r="M3525" i="1"/>
  <c r="K3526" i="1"/>
  <c r="L3526" i="1"/>
  <c r="M3526" i="1"/>
  <c r="K3527" i="1"/>
  <c r="L3527" i="1"/>
  <c r="M3527" i="1"/>
  <c r="K3528" i="1"/>
  <c r="L3528" i="1"/>
  <c r="M3528" i="1"/>
  <c r="K3529" i="1"/>
  <c r="L3529" i="1"/>
  <c r="M3529" i="1"/>
  <c r="K3530" i="1"/>
  <c r="L3530" i="1"/>
  <c r="M3530" i="1"/>
  <c r="K3594" i="1"/>
  <c r="L3594" i="1"/>
  <c r="M3594" i="1"/>
  <c r="K3595" i="1"/>
  <c r="L3595" i="1"/>
  <c r="M3595" i="1"/>
  <c r="K3596" i="1"/>
  <c r="L3596" i="1"/>
  <c r="M3596" i="1"/>
  <c r="K3597" i="1"/>
  <c r="L3597" i="1"/>
  <c r="M3597" i="1"/>
  <c r="K3598" i="1"/>
  <c r="L3598" i="1"/>
  <c r="M3598" i="1"/>
  <c r="K3599" i="1"/>
  <c r="L3599" i="1"/>
  <c r="M3599" i="1"/>
  <c r="K3600" i="1"/>
  <c r="L3600" i="1"/>
  <c r="M3600" i="1"/>
  <c r="K3601" i="1"/>
  <c r="L3601" i="1"/>
  <c r="M3601" i="1"/>
  <c r="K3602" i="1"/>
  <c r="L3602" i="1"/>
  <c r="M3602" i="1"/>
  <c r="K3603" i="1"/>
  <c r="L3603" i="1"/>
  <c r="M3603" i="1"/>
  <c r="K3604" i="1"/>
  <c r="L3604" i="1"/>
  <c r="M3604" i="1"/>
  <c r="K3605" i="1"/>
  <c r="L3605" i="1"/>
  <c r="M3605" i="1"/>
  <c r="K3606" i="1"/>
  <c r="L3606" i="1"/>
  <c r="M3606" i="1"/>
  <c r="K3607" i="1"/>
  <c r="L3607" i="1"/>
  <c r="M3607" i="1"/>
  <c r="K3608" i="1"/>
  <c r="L3608" i="1"/>
  <c r="M3608" i="1"/>
  <c r="K3609" i="1"/>
  <c r="L3609" i="1"/>
  <c r="M3609" i="1"/>
  <c r="K3610" i="1"/>
  <c r="L3610" i="1"/>
  <c r="M3610" i="1"/>
  <c r="K3611" i="1"/>
  <c r="L3611" i="1"/>
  <c r="M3611" i="1"/>
  <c r="K3612" i="1"/>
  <c r="L3612" i="1"/>
  <c r="M3612" i="1"/>
  <c r="K3613" i="1"/>
  <c r="L3613" i="1"/>
  <c r="M3613" i="1"/>
  <c r="K3614" i="1"/>
  <c r="L3614" i="1"/>
  <c r="M3614" i="1"/>
  <c r="K3615" i="1"/>
  <c r="L3615" i="1"/>
  <c r="M3615" i="1"/>
  <c r="K3616" i="1"/>
  <c r="L3616" i="1"/>
  <c r="M3616" i="1"/>
  <c r="K3617" i="1"/>
  <c r="L3617" i="1"/>
  <c r="M3617" i="1"/>
  <c r="K3618" i="1"/>
  <c r="L3618" i="1"/>
  <c r="M3618" i="1"/>
  <c r="K3619" i="1"/>
  <c r="L3619" i="1"/>
  <c r="M3619" i="1"/>
  <c r="K3620" i="1"/>
  <c r="L3620" i="1"/>
  <c r="M3620" i="1"/>
  <c r="K3621" i="1"/>
  <c r="L3621" i="1"/>
  <c r="M3621" i="1"/>
  <c r="K3622" i="1"/>
  <c r="L3622" i="1"/>
  <c r="M3622" i="1"/>
  <c r="K3623" i="1"/>
  <c r="L3623" i="1"/>
  <c r="M3623" i="1"/>
  <c r="K3644" i="1"/>
  <c r="L3644" i="1"/>
  <c r="M3644" i="1"/>
  <c r="K3645" i="1"/>
  <c r="L3645" i="1"/>
  <c r="M3645" i="1"/>
  <c r="K3646" i="1"/>
  <c r="L3646" i="1"/>
  <c r="M3646" i="1"/>
  <c r="K3647" i="1"/>
  <c r="L3647" i="1"/>
  <c r="M3647" i="1"/>
  <c r="K3648" i="1"/>
  <c r="L3648" i="1"/>
  <c r="M3648" i="1"/>
  <c r="K3649" i="1"/>
  <c r="L3649" i="1"/>
  <c r="M3649" i="1"/>
  <c r="K3650" i="1"/>
  <c r="L3650" i="1"/>
  <c r="M3650" i="1"/>
  <c r="K3651" i="1"/>
  <c r="L3651" i="1"/>
  <c r="M3651" i="1"/>
  <c r="K3652" i="1"/>
  <c r="L3652" i="1"/>
  <c r="M3652" i="1"/>
  <c r="K3653" i="1"/>
  <c r="L3653" i="1"/>
  <c r="M3653" i="1"/>
  <c r="K3654" i="1"/>
  <c r="L3654" i="1"/>
  <c r="M3654" i="1"/>
  <c r="K3655" i="1"/>
  <c r="L3655" i="1"/>
  <c r="M3655" i="1"/>
  <c r="K3656" i="1"/>
  <c r="L3656" i="1"/>
  <c r="M3656" i="1"/>
  <c r="K3657" i="1"/>
  <c r="L3657" i="1"/>
  <c r="M3657" i="1"/>
  <c r="K3658" i="1"/>
  <c r="L3658" i="1"/>
  <c r="M3658" i="1"/>
  <c r="K3659" i="1"/>
  <c r="L3659" i="1"/>
  <c r="M3659" i="1"/>
  <c r="K3660" i="1"/>
  <c r="L3660" i="1"/>
  <c r="M3660" i="1"/>
  <c r="K3661" i="1"/>
  <c r="L3661" i="1"/>
  <c r="M3661" i="1"/>
  <c r="K3662" i="1"/>
  <c r="L3662" i="1"/>
  <c r="M3662" i="1"/>
  <c r="K3663" i="1"/>
  <c r="L3663" i="1"/>
  <c r="M3663" i="1"/>
  <c r="K3664" i="1"/>
  <c r="L3664" i="1"/>
  <c r="M3664" i="1"/>
  <c r="K3902" i="1"/>
  <c r="L3902" i="1"/>
  <c r="M3902" i="1"/>
  <c r="K3903" i="1"/>
  <c r="L3903" i="1"/>
  <c r="M3903" i="1"/>
  <c r="K3904" i="1"/>
  <c r="L3904" i="1"/>
  <c r="M3904" i="1"/>
  <c r="K3905" i="1"/>
  <c r="L3905" i="1"/>
  <c r="M3905" i="1"/>
  <c r="K3906" i="1"/>
  <c r="L3906" i="1"/>
  <c r="M3906" i="1"/>
  <c r="K3907" i="1"/>
  <c r="L3907" i="1"/>
  <c r="M3907" i="1"/>
  <c r="K3908" i="1"/>
  <c r="L3908" i="1"/>
  <c r="M3908" i="1"/>
  <c r="K3909" i="1"/>
  <c r="L3909" i="1"/>
  <c r="M3909" i="1"/>
  <c r="K3910" i="1"/>
  <c r="L3910" i="1"/>
  <c r="M3910" i="1"/>
  <c r="K3911" i="1"/>
  <c r="L3911" i="1"/>
  <c r="M3911" i="1"/>
  <c r="K3912" i="1"/>
  <c r="L3912" i="1"/>
  <c r="M3912" i="1"/>
  <c r="K3913" i="1"/>
  <c r="L3913" i="1"/>
  <c r="M3913" i="1"/>
  <c r="K4196" i="1"/>
  <c r="L4196" i="1"/>
  <c r="K4197" i="1"/>
  <c r="L4197" i="1"/>
  <c r="K4198" i="1"/>
  <c r="L4198" i="1"/>
  <c r="K4171" i="1"/>
  <c r="L4171" i="1"/>
  <c r="K4172" i="1"/>
  <c r="L4172" i="1"/>
  <c r="K4173" i="1"/>
  <c r="L4173" i="1"/>
  <c r="K4174" i="1"/>
  <c r="L4174" i="1"/>
  <c r="K4175" i="1"/>
  <c r="L4175" i="1"/>
  <c r="K4176" i="1"/>
  <c r="L4176" i="1"/>
  <c r="K4177" i="1"/>
  <c r="L4177" i="1"/>
  <c r="K4178" i="1"/>
  <c r="L4178" i="1"/>
  <c r="K4179" i="1"/>
  <c r="L4179" i="1"/>
  <c r="K4180" i="1"/>
  <c r="L4180" i="1"/>
  <c r="K4181" i="1"/>
  <c r="L4181" i="1"/>
  <c r="K4182" i="1"/>
  <c r="L4182" i="1"/>
  <c r="K4183" i="1"/>
  <c r="L4183" i="1"/>
  <c r="K4184" i="1"/>
  <c r="L4184" i="1"/>
  <c r="K4185" i="1"/>
  <c r="L4185" i="1"/>
  <c r="K4186" i="1"/>
  <c r="L4186" i="1"/>
  <c r="K4187" i="1"/>
  <c r="L4187" i="1"/>
  <c r="K4188" i="1"/>
  <c r="L4188" i="1"/>
  <c r="K4189" i="1"/>
  <c r="L4189" i="1"/>
  <c r="K4190" i="1"/>
  <c r="L4190" i="1"/>
  <c r="K4191" i="1"/>
  <c r="L4191" i="1"/>
  <c r="K4192" i="1"/>
  <c r="L4192" i="1"/>
  <c r="K4193" i="1"/>
  <c r="L4193" i="1"/>
  <c r="K4194" i="1"/>
  <c r="L4194" i="1"/>
  <c r="K4195" i="1"/>
  <c r="L4195" i="1"/>
  <c r="K4199" i="1"/>
  <c r="L4199" i="1"/>
  <c r="K4200" i="1"/>
  <c r="L4200" i="1"/>
  <c r="K4201" i="1"/>
  <c r="L4201" i="1"/>
  <c r="K4202" i="1"/>
  <c r="L4202" i="1"/>
  <c r="K4203" i="1"/>
  <c r="L4203" i="1"/>
  <c r="K4204" i="1"/>
  <c r="L4204" i="1"/>
  <c r="K4205" i="1"/>
  <c r="L4205" i="1"/>
  <c r="K4206" i="1"/>
  <c r="L4206" i="1"/>
  <c r="K3914" i="1"/>
  <c r="L3914" i="1"/>
  <c r="M3914" i="1"/>
  <c r="K3915" i="1"/>
  <c r="L3915" i="1"/>
  <c r="M3915" i="1"/>
  <c r="K3916" i="1"/>
  <c r="L3916" i="1"/>
  <c r="M3916" i="1"/>
  <c r="K4215" i="1"/>
  <c r="L4215" i="1"/>
  <c r="K4216" i="1"/>
  <c r="L4216" i="1"/>
  <c r="K4217" i="1"/>
  <c r="L4217" i="1"/>
  <c r="K4218" i="1"/>
  <c r="L4218" i="1"/>
  <c r="K4219" i="1"/>
  <c r="L4219" i="1"/>
  <c r="K4220" i="1"/>
  <c r="L4220" i="1"/>
  <c r="K4221" i="1"/>
  <c r="L4221" i="1"/>
  <c r="K4222" i="1"/>
  <c r="L4222" i="1"/>
  <c r="K4223" i="1"/>
  <c r="L4223" i="1"/>
  <c r="K4224" i="1"/>
  <c r="L4224" i="1"/>
  <c r="K4225" i="1"/>
  <c r="L4225" i="1"/>
  <c r="K4226" i="1"/>
  <c r="L4226" i="1"/>
  <c r="K4227" i="1"/>
  <c r="L4227" i="1"/>
  <c r="K4228" i="1"/>
  <c r="L4228" i="1"/>
  <c r="K4207" i="1"/>
  <c r="L4207" i="1"/>
  <c r="K4208" i="1"/>
  <c r="L4208" i="1"/>
  <c r="K4209" i="1"/>
  <c r="L4209" i="1"/>
  <c r="K4210" i="1"/>
  <c r="L4210" i="1"/>
  <c r="K4211" i="1"/>
  <c r="L4211" i="1"/>
  <c r="K4212" i="1"/>
  <c r="L4212" i="1"/>
  <c r="K4213" i="1"/>
  <c r="L4213" i="1"/>
  <c r="K4214" i="1"/>
  <c r="L4214" i="1"/>
  <c r="K3917" i="1"/>
  <c r="L3917" i="1"/>
  <c r="M3917" i="1"/>
  <c r="K3918" i="1"/>
  <c r="L3918" i="1"/>
  <c r="M3918" i="1"/>
  <c r="K3919" i="1"/>
  <c r="L3919" i="1"/>
  <c r="M3919" i="1"/>
  <c r="K3920" i="1"/>
  <c r="L3920" i="1"/>
  <c r="M3920" i="1"/>
  <c r="K3921" i="1"/>
  <c r="L3921" i="1"/>
  <c r="M3921" i="1"/>
  <c r="K3922" i="1"/>
  <c r="L3922" i="1"/>
  <c r="M3922" i="1"/>
  <c r="K3923" i="1"/>
  <c r="L3923" i="1"/>
  <c r="M3923" i="1"/>
  <c r="K3924" i="1"/>
  <c r="L3924" i="1"/>
  <c r="M3924" i="1"/>
  <c r="K3925" i="1"/>
  <c r="L3925" i="1"/>
  <c r="M3925" i="1"/>
  <c r="K3926" i="1"/>
  <c r="L3926" i="1"/>
  <c r="M3926" i="1"/>
  <c r="K3927" i="1"/>
  <c r="L3927" i="1"/>
  <c r="M3927" i="1"/>
  <c r="K3928" i="1"/>
  <c r="L3928" i="1"/>
  <c r="M3928" i="1"/>
  <c r="K4231" i="1"/>
  <c r="L4231" i="1"/>
  <c r="K4232" i="1"/>
  <c r="L4232" i="1"/>
  <c r="K4233" i="1"/>
  <c r="L4233" i="1"/>
  <c r="K4234" i="1"/>
  <c r="L4234" i="1"/>
  <c r="K4235" i="1"/>
  <c r="L4235" i="1"/>
  <c r="K4236" i="1"/>
  <c r="L4236" i="1"/>
  <c r="K4237" i="1"/>
  <c r="L4237" i="1"/>
  <c r="K4238" i="1"/>
  <c r="L4238" i="1"/>
  <c r="K4239" i="1"/>
  <c r="L4239" i="1"/>
  <c r="K4240" i="1"/>
  <c r="L4240" i="1"/>
  <c r="K4241" i="1"/>
  <c r="L4241" i="1"/>
  <c r="K4242" i="1"/>
  <c r="L4242" i="1"/>
  <c r="K4243" i="1"/>
  <c r="L4243" i="1"/>
  <c r="K4244" i="1"/>
  <c r="L4244" i="1"/>
  <c r="K4245" i="1"/>
  <c r="L4245" i="1"/>
  <c r="K4246" i="1"/>
  <c r="L4246" i="1"/>
  <c r="K4247" i="1"/>
  <c r="L4247" i="1"/>
  <c r="K4230" i="1"/>
  <c r="L4230" i="1"/>
  <c r="K3929" i="1"/>
  <c r="L3929" i="1"/>
  <c r="M3929" i="1"/>
  <c r="K3930" i="1"/>
  <c r="L3930" i="1"/>
  <c r="M3930" i="1"/>
  <c r="K3931" i="1"/>
  <c r="L3931" i="1"/>
  <c r="M3931" i="1"/>
  <c r="K4249" i="1"/>
  <c r="L4249" i="1"/>
  <c r="K4250" i="1"/>
  <c r="L4250" i="1"/>
  <c r="K4251" i="1"/>
  <c r="L4251" i="1"/>
  <c r="K4252" i="1"/>
  <c r="L4252" i="1"/>
  <c r="K4253" i="1"/>
  <c r="L4253" i="1"/>
  <c r="K4254" i="1"/>
  <c r="L4254" i="1"/>
  <c r="K4248" i="1"/>
  <c r="L4248" i="1"/>
  <c r="K3932" i="1"/>
  <c r="L3932" i="1"/>
  <c r="M3932" i="1"/>
  <c r="K3933" i="1"/>
  <c r="L3933" i="1"/>
  <c r="M3933" i="1"/>
  <c r="K3934" i="1"/>
  <c r="L3934" i="1"/>
  <c r="M3934" i="1"/>
  <c r="K3935" i="1"/>
  <c r="L3935" i="1"/>
  <c r="M3935" i="1"/>
  <c r="K3936" i="1"/>
  <c r="L3936" i="1"/>
  <c r="M3936" i="1"/>
  <c r="K3937" i="1"/>
  <c r="L3937" i="1"/>
  <c r="M3937" i="1"/>
  <c r="K3938" i="1"/>
  <c r="L3938" i="1"/>
  <c r="M3938" i="1"/>
  <c r="K3939" i="1"/>
  <c r="L3939" i="1"/>
  <c r="M3939" i="1"/>
  <c r="K3940" i="1"/>
  <c r="L3940" i="1"/>
  <c r="M3940" i="1"/>
  <c r="K4265" i="1"/>
  <c r="L4265" i="1"/>
  <c r="K4266" i="1"/>
  <c r="L4266" i="1"/>
  <c r="K4267" i="1"/>
  <c r="L4267" i="1"/>
  <c r="K4268" i="1"/>
  <c r="L4268" i="1"/>
  <c r="K4269" i="1"/>
  <c r="L4269" i="1"/>
  <c r="K4270" i="1"/>
  <c r="L4270" i="1"/>
  <c r="K4271" i="1"/>
  <c r="L4271" i="1"/>
  <c r="K4272" i="1"/>
  <c r="L4272" i="1"/>
  <c r="K4273" i="1"/>
  <c r="L4273" i="1"/>
  <c r="K4274" i="1"/>
  <c r="L4274" i="1"/>
  <c r="K4275" i="1"/>
  <c r="L4275" i="1"/>
  <c r="K4276" i="1"/>
  <c r="L4276" i="1"/>
  <c r="K4277" i="1"/>
  <c r="L4277" i="1"/>
  <c r="K4278" i="1"/>
  <c r="L4278" i="1"/>
  <c r="K4279" i="1"/>
  <c r="L4279" i="1"/>
  <c r="K4280" i="1"/>
  <c r="L4280" i="1"/>
  <c r="K4281" i="1"/>
  <c r="L4281" i="1"/>
  <c r="K4282" i="1"/>
  <c r="L4282" i="1"/>
  <c r="K4283" i="1"/>
  <c r="L4283" i="1"/>
  <c r="K4284" i="1"/>
  <c r="L4284" i="1"/>
  <c r="K4285" i="1"/>
  <c r="L4285" i="1"/>
  <c r="K4286" i="1"/>
  <c r="L4286" i="1"/>
  <c r="K4287" i="1"/>
  <c r="L4287" i="1"/>
  <c r="K4288" i="1"/>
  <c r="L4288" i="1"/>
  <c r="K4289" i="1"/>
  <c r="L4289" i="1"/>
  <c r="K4290" i="1"/>
  <c r="L4290" i="1"/>
  <c r="K4291" i="1"/>
  <c r="L4291" i="1"/>
  <c r="K4292" i="1"/>
  <c r="L4292" i="1"/>
  <c r="K4293" i="1"/>
  <c r="L4293" i="1"/>
  <c r="K4294" i="1"/>
  <c r="L4294" i="1"/>
  <c r="K4295" i="1"/>
  <c r="L4295" i="1"/>
  <c r="K4296" i="1"/>
  <c r="L4296" i="1"/>
  <c r="K4297" i="1"/>
  <c r="L4297" i="1"/>
  <c r="K4256" i="1"/>
  <c r="L4256" i="1"/>
  <c r="K4257" i="1"/>
  <c r="L4257" i="1"/>
  <c r="K4258" i="1"/>
  <c r="L4258" i="1"/>
  <c r="K4259" i="1"/>
  <c r="L4259" i="1"/>
  <c r="K4260" i="1"/>
  <c r="L4260" i="1"/>
  <c r="K4261" i="1"/>
  <c r="L4261" i="1"/>
  <c r="K4262" i="1"/>
  <c r="L4262" i="1"/>
  <c r="K4263" i="1"/>
  <c r="L4263" i="1"/>
  <c r="K4264" i="1"/>
  <c r="L4264" i="1"/>
  <c r="K3941" i="1"/>
  <c r="L3941" i="1"/>
  <c r="M3941" i="1"/>
  <c r="K3942" i="1"/>
  <c r="L3942" i="1"/>
  <c r="M3942" i="1"/>
  <c r="K3943" i="1"/>
  <c r="L3943" i="1"/>
  <c r="M3943" i="1"/>
  <c r="K3944" i="1"/>
  <c r="L3944" i="1"/>
  <c r="M3944" i="1"/>
  <c r="K4300" i="1"/>
  <c r="L4300" i="1"/>
  <c r="K4301" i="1"/>
  <c r="L4301" i="1"/>
  <c r="K4302" i="1"/>
  <c r="L4302" i="1"/>
  <c r="K4303" i="1"/>
  <c r="L4303" i="1"/>
  <c r="K4304" i="1"/>
  <c r="L4304" i="1"/>
  <c r="K4305" i="1"/>
  <c r="L4305" i="1"/>
  <c r="K4306" i="1"/>
  <c r="L4306" i="1"/>
  <c r="K4307" i="1"/>
  <c r="L4307" i="1"/>
  <c r="K4308" i="1"/>
  <c r="L4308" i="1"/>
  <c r="K4309" i="1"/>
  <c r="L4309" i="1"/>
  <c r="K4310" i="1"/>
  <c r="L4310" i="1"/>
  <c r="K4311" i="1"/>
  <c r="L4311" i="1"/>
  <c r="K4312" i="1"/>
  <c r="L4312" i="1"/>
  <c r="K4313" i="1"/>
  <c r="L4313" i="1"/>
  <c r="K4314" i="1"/>
  <c r="L4314" i="1"/>
  <c r="K4315" i="1"/>
  <c r="L4315" i="1"/>
  <c r="K4316" i="1"/>
  <c r="L4316" i="1"/>
  <c r="K4317" i="1"/>
  <c r="L4317" i="1"/>
  <c r="K4318" i="1"/>
  <c r="L4318" i="1"/>
  <c r="K4319" i="1"/>
  <c r="L4319" i="1"/>
  <c r="K4320" i="1"/>
  <c r="L4320" i="1"/>
  <c r="K4321" i="1"/>
  <c r="L4321" i="1"/>
  <c r="K4322" i="1"/>
  <c r="L4322" i="1"/>
  <c r="K4323" i="1"/>
  <c r="L4323" i="1"/>
  <c r="K4324" i="1"/>
  <c r="L4324" i="1"/>
  <c r="K4325" i="1"/>
  <c r="L4325" i="1"/>
  <c r="K4326" i="1"/>
  <c r="L4326" i="1"/>
  <c r="K4327" i="1"/>
  <c r="L4327" i="1"/>
  <c r="K4298" i="1"/>
  <c r="L4298" i="1"/>
  <c r="K4299" i="1"/>
  <c r="L4299" i="1"/>
  <c r="K4328" i="1"/>
  <c r="L4328" i="1"/>
  <c r="K4329" i="1"/>
  <c r="L4329" i="1"/>
  <c r="K4330" i="1"/>
  <c r="L4330" i="1"/>
  <c r="K4331" i="1"/>
  <c r="L4331" i="1"/>
  <c r="K4332" i="1"/>
  <c r="L4332" i="1"/>
  <c r="K4333" i="1"/>
  <c r="L4333" i="1"/>
  <c r="K4334" i="1"/>
  <c r="L4334" i="1"/>
  <c r="K4335" i="1"/>
  <c r="L4335" i="1"/>
  <c r="K4336" i="1"/>
  <c r="L4336" i="1"/>
  <c r="K3945" i="1"/>
  <c r="L3945" i="1"/>
  <c r="M3945" i="1"/>
  <c r="K3946" i="1"/>
  <c r="L3946" i="1"/>
  <c r="M3946" i="1"/>
  <c r="K3947" i="1"/>
  <c r="L3947" i="1"/>
  <c r="M3947" i="1"/>
  <c r="K4358" i="1"/>
  <c r="L4358" i="1"/>
  <c r="K4359" i="1"/>
  <c r="L4359" i="1"/>
  <c r="K4360" i="1"/>
  <c r="L4360" i="1"/>
  <c r="K4361" i="1"/>
  <c r="L4361" i="1"/>
  <c r="K4362" i="1"/>
  <c r="L4362" i="1"/>
  <c r="K4363" i="1"/>
  <c r="L4363" i="1"/>
  <c r="K4364" i="1"/>
  <c r="L4364" i="1"/>
  <c r="K4365" i="1"/>
  <c r="L4365" i="1"/>
  <c r="K4366" i="1"/>
  <c r="L4366" i="1"/>
  <c r="K4367" i="1"/>
  <c r="L4367" i="1"/>
  <c r="K4368" i="1"/>
  <c r="L4368" i="1"/>
  <c r="K4369" i="1"/>
  <c r="L4369" i="1"/>
  <c r="K4370" i="1"/>
  <c r="L4370" i="1"/>
  <c r="K4371" i="1"/>
  <c r="L4371" i="1"/>
  <c r="K4372" i="1"/>
  <c r="L4372" i="1"/>
  <c r="K4373" i="1"/>
  <c r="L4373" i="1"/>
  <c r="K4374" i="1"/>
  <c r="L4374" i="1"/>
  <c r="K4375" i="1"/>
  <c r="L4375" i="1"/>
  <c r="K4376" i="1"/>
  <c r="L4376" i="1"/>
  <c r="K4337" i="1"/>
  <c r="L4337" i="1"/>
  <c r="K4338" i="1"/>
  <c r="L4338" i="1"/>
  <c r="K4339" i="1"/>
  <c r="L4339" i="1"/>
  <c r="K4340" i="1"/>
  <c r="L4340" i="1"/>
  <c r="K4341" i="1"/>
  <c r="L4341" i="1"/>
  <c r="K4342" i="1"/>
  <c r="L4342" i="1"/>
  <c r="K4343" i="1"/>
  <c r="L4343" i="1"/>
  <c r="K4344" i="1"/>
  <c r="L4344" i="1"/>
  <c r="K4345" i="1"/>
  <c r="L4345" i="1"/>
  <c r="K4346" i="1"/>
  <c r="L4346" i="1"/>
  <c r="K4347" i="1"/>
  <c r="L4347" i="1"/>
  <c r="K4348" i="1"/>
  <c r="L4348" i="1"/>
  <c r="K4349" i="1"/>
  <c r="L4349" i="1"/>
  <c r="K4350" i="1"/>
  <c r="L4350" i="1"/>
  <c r="K4351" i="1"/>
  <c r="L4351" i="1"/>
  <c r="K4352" i="1"/>
  <c r="L4352" i="1"/>
  <c r="K4353" i="1"/>
  <c r="L4353" i="1"/>
  <c r="K4354" i="1"/>
  <c r="L4354" i="1"/>
  <c r="K4355" i="1"/>
  <c r="L4355" i="1"/>
  <c r="K4356" i="1"/>
  <c r="L4356" i="1"/>
  <c r="K4357" i="1"/>
  <c r="L4357" i="1"/>
  <c r="K3996" i="1"/>
  <c r="L3996" i="1"/>
  <c r="M3996" i="1"/>
  <c r="K3997" i="1"/>
  <c r="L3997" i="1"/>
  <c r="M3997" i="1"/>
  <c r="K3998" i="1"/>
  <c r="L3998" i="1"/>
  <c r="M3998" i="1"/>
  <c r="K3999" i="1"/>
  <c r="L3999" i="1"/>
  <c r="M3999" i="1"/>
  <c r="K4000" i="1"/>
  <c r="L4000" i="1"/>
  <c r="M4000" i="1"/>
  <c r="K4001" i="1"/>
  <c r="L4001" i="1"/>
  <c r="M4001" i="1"/>
  <c r="K4002" i="1"/>
  <c r="L4002" i="1"/>
  <c r="M4002" i="1"/>
  <c r="K4003" i="1"/>
  <c r="L4003" i="1"/>
  <c r="M4003" i="1"/>
  <c r="K4004" i="1"/>
  <c r="L4004" i="1"/>
  <c r="M4004" i="1"/>
  <c r="K4019" i="1"/>
  <c r="L4019" i="1"/>
  <c r="M4019" i="1"/>
  <c r="K4020" i="1"/>
  <c r="L4020" i="1"/>
  <c r="M4020" i="1"/>
  <c r="K4021" i="1"/>
  <c r="L4021" i="1"/>
  <c r="M4021" i="1"/>
  <c r="K4022" i="1"/>
  <c r="L4022" i="1"/>
  <c r="M4022" i="1"/>
  <c r="K4023" i="1"/>
  <c r="L4023" i="1"/>
  <c r="M4023" i="1"/>
  <c r="K4024" i="1"/>
  <c r="L4024" i="1"/>
  <c r="M4024" i="1"/>
  <c r="K4025" i="1"/>
  <c r="L4025" i="1"/>
  <c r="M4025" i="1"/>
  <c r="K4026" i="1"/>
  <c r="L4026" i="1"/>
  <c r="M4026" i="1"/>
  <c r="K4027" i="1"/>
  <c r="L4027" i="1"/>
  <c r="M4027" i="1"/>
  <c r="K4028" i="1"/>
  <c r="L4028" i="1"/>
  <c r="M4028" i="1"/>
  <c r="K4029" i="1"/>
  <c r="L4029" i="1"/>
  <c r="M4029" i="1"/>
  <c r="K4030" i="1"/>
  <c r="L4030" i="1"/>
  <c r="M4030" i="1"/>
  <c r="K4031" i="1"/>
  <c r="L4031" i="1"/>
  <c r="M4031" i="1"/>
  <c r="K4032" i="1"/>
  <c r="L4032" i="1"/>
  <c r="M4032" i="1"/>
  <c r="K4033" i="1"/>
  <c r="L4033" i="1"/>
  <c r="M4033" i="1"/>
  <c r="K4034" i="1"/>
  <c r="L4034" i="1"/>
  <c r="M4034" i="1"/>
  <c r="K4035" i="1"/>
  <c r="L4035" i="1"/>
  <c r="M4035" i="1"/>
  <c r="K4036" i="1"/>
  <c r="L4036" i="1"/>
  <c r="M4036" i="1"/>
  <c r="K4037" i="1"/>
  <c r="L4037" i="1"/>
  <c r="M4037" i="1"/>
  <c r="K4038" i="1"/>
  <c r="L4038" i="1"/>
  <c r="M4038" i="1"/>
  <c r="K4039" i="1"/>
  <c r="L4039" i="1"/>
  <c r="M4039" i="1"/>
  <c r="K4040" i="1"/>
  <c r="L4040" i="1"/>
  <c r="M4040" i="1"/>
  <c r="K4041" i="1"/>
  <c r="L4041" i="1"/>
  <c r="M4041" i="1"/>
  <c r="K4042" i="1"/>
  <c r="L4042" i="1"/>
  <c r="M4042" i="1"/>
  <c r="K4043" i="1"/>
  <c r="L4043" i="1"/>
  <c r="M4043" i="1"/>
  <c r="K4044" i="1"/>
  <c r="L4044" i="1"/>
  <c r="M4044" i="1"/>
  <c r="K4045" i="1"/>
  <c r="L4045" i="1"/>
  <c r="M4045" i="1"/>
  <c r="K4047" i="1"/>
  <c r="L4047" i="1"/>
  <c r="M4047" i="1"/>
  <c r="K4048" i="1"/>
  <c r="L4048" i="1"/>
  <c r="M4048" i="1"/>
  <c r="K4049" i="1"/>
  <c r="L4049" i="1"/>
  <c r="M4049" i="1"/>
  <c r="K4050" i="1"/>
  <c r="L4050" i="1"/>
  <c r="M4050" i="1"/>
  <c r="K4051" i="1"/>
  <c r="L4051" i="1"/>
  <c r="M4051" i="1"/>
  <c r="K4052" i="1"/>
  <c r="L4052" i="1"/>
  <c r="M4052" i="1"/>
  <c r="K4053" i="1"/>
  <c r="L4053" i="1"/>
  <c r="M4053" i="1"/>
  <c r="K4054" i="1"/>
  <c r="L4054" i="1"/>
  <c r="M4054" i="1"/>
  <c r="K4055" i="1"/>
  <c r="L4055" i="1"/>
  <c r="M4055" i="1"/>
  <c r="K4056" i="1"/>
  <c r="L4056" i="1"/>
  <c r="M4056" i="1"/>
  <c r="K4057" i="1"/>
  <c r="L4057" i="1"/>
  <c r="M4057" i="1"/>
  <c r="K4058" i="1"/>
  <c r="L4058" i="1"/>
  <c r="M4058" i="1"/>
  <c r="K4059" i="1"/>
  <c r="L4059" i="1"/>
  <c r="M4059" i="1"/>
  <c r="K4060" i="1"/>
  <c r="L4060" i="1"/>
  <c r="M4060" i="1"/>
  <c r="K4061" i="1"/>
  <c r="L4061" i="1"/>
  <c r="M4061" i="1"/>
  <c r="K4062" i="1"/>
  <c r="L4062" i="1"/>
  <c r="M4062" i="1"/>
  <c r="K4063" i="1"/>
  <c r="L4063" i="1"/>
  <c r="M4063" i="1"/>
  <c r="K4064" i="1"/>
  <c r="L4064" i="1"/>
  <c r="M4064" i="1"/>
  <c r="K4065" i="1"/>
  <c r="L4065" i="1"/>
  <c r="M4065" i="1"/>
  <c r="K4066" i="1"/>
  <c r="L4066" i="1"/>
  <c r="M4066" i="1"/>
  <c r="K4067" i="1"/>
  <c r="L4067" i="1"/>
  <c r="M4067" i="1"/>
  <c r="K4068" i="1"/>
  <c r="L4068" i="1"/>
  <c r="M4068" i="1"/>
  <c r="K4069" i="1"/>
  <c r="L4069" i="1"/>
  <c r="M4069" i="1"/>
  <c r="K4070" i="1"/>
  <c r="L4070" i="1"/>
  <c r="M4070" i="1"/>
  <c r="K4071" i="1"/>
  <c r="L4071" i="1"/>
  <c r="M4071" i="1"/>
  <c r="K4072" i="1"/>
  <c r="L4072" i="1"/>
  <c r="M4072" i="1"/>
  <c r="K4103" i="1"/>
  <c r="L4103" i="1"/>
  <c r="M4103" i="1"/>
  <c r="K4104" i="1"/>
  <c r="L4104" i="1"/>
  <c r="M4104" i="1"/>
  <c r="K4105" i="1"/>
  <c r="L4105" i="1"/>
  <c r="M4105" i="1"/>
  <c r="K4106" i="1"/>
  <c r="L4106" i="1"/>
  <c r="M4106" i="1"/>
  <c r="K4107" i="1"/>
  <c r="L4107" i="1"/>
  <c r="M4107" i="1"/>
  <c r="K4108" i="1"/>
  <c r="L4108" i="1"/>
  <c r="M4108" i="1"/>
  <c r="K4109" i="1"/>
  <c r="L4109" i="1"/>
  <c r="M4109" i="1"/>
  <c r="K4110" i="1"/>
  <c r="L4110" i="1"/>
  <c r="M4110" i="1"/>
  <c r="K4111" i="1"/>
  <c r="L4111" i="1"/>
  <c r="M4111" i="1"/>
  <c r="K4112" i="1"/>
  <c r="L4112" i="1"/>
  <c r="M4112" i="1"/>
  <c r="K4113" i="1"/>
  <c r="L4113" i="1"/>
  <c r="M4113" i="1"/>
  <c r="K4114" i="1"/>
  <c r="L4114" i="1"/>
  <c r="M4114" i="1"/>
  <c r="K4115" i="1"/>
  <c r="L4115" i="1"/>
  <c r="M4115" i="1"/>
  <c r="K4116" i="1"/>
  <c r="L4116" i="1"/>
  <c r="M4116" i="1"/>
  <c r="K4117" i="1"/>
  <c r="L4117" i="1"/>
  <c r="M4117" i="1"/>
  <c r="K4118" i="1"/>
  <c r="L4118" i="1"/>
  <c r="M4118" i="1"/>
  <c r="K4119" i="1"/>
  <c r="L4119" i="1"/>
  <c r="M4119" i="1"/>
  <c r="K4120" i="1"/>
  <c r="L4120" i="1"/>
  <c r="M4120" i="1"/>
  <c r="K4121" i="1"/>
  <c r="L4121" i="1"/>
  <c r="M4121" i="1"/>
  <c r="K4122" i="1"/>
  <c r="L4122" i="1"/>
  <c r="M4122" i="1"/>
  <c r="K4123" i="1"/>
  <c r="L4123" i="1"/>
  <c r="M4123" i="1"/>
  <c r="K4124" i="1"/>
  <c r="L4124" i="1"/>
  <c r="M4124" i="1"/>
  <c r="K4125" i="1"/>
  <c r="L4125" i="1"/>
  <c r="M4125" i="1"/>
  <c r="K4126" i="1"/>
  <c r="L4126" i="1"/>
  <c r="M4126" i="1"/>
  <c r="K4127" i="1"/>
  <c r="L4127" i="1"/>
  <c r="M4127" i="1"/>
  <c r="K4128" i="1"/>
  <c r="L4128" i="1"/>
  <c r="M4128" i="1"/>
  <c r="K4129" i="1"/>
  <c r="L4129" i="1"/>
  <c r="M4129" i="1"/>
  <c r="K4130" i="1"/>
  <c r="L4130" i="1"/>
  <c r="M4130" i="1"/>
  <c r="K4131" i="1"/>
  <c r="L4131" i="1"/>
  <c r="M4131" i="1"/>
  <c r="K4132" i="1"/>
  <c r="L4132" i="1"/>
  <c r="M4132" i="1"/>
  <c r="K4133" i="1"/>
  <c r="L4133" i="1"/>
  <c r="M4133" i="1"/>
  <c r="K3948" i="1"/>
  <c r="L3948" i="1"/>
  <c r="M3948" i="1"/>
  <c r="K3949" i="1"/>
  <c r="L3949" i="1"/>
  <c r="M3949" i="1"/>
  <c r="K3950" i="1"/>
  <c r="L3950" i="1"/>
  <c r="M3950" i="1"/>
  <c r="K3951" i="1"/>
  <c r="L3951" i="1"/>
  <c r="M3951" i="1"/>
  <c r="K3952" i="1"/>
  <c r="L3952" i="1"/>
  <c r="M3952" i="1"/>
  <c r="K4381" i="1"/>
  <c r="L4381" i="1"/>
  <c r="K4382" i="1"/>
  <c r="L4382" i="1"/>
  <c r="K4383" i="1"/>
  <c r="L4383" i="1"/>
  <c r="K4384" i="1"/>
  <c r="L4384" i="1"/>
  <c r="K4385" i="1"/>
  <c r="L4385" i="1"/>
  <c r="K4386" i="1"/>
  <c r="L4386" i="1"/>
  <c r="K4387" i="1"/>
  <c r="L4387" i="1"/>
  <c r="K4388" i="1"/>
  <c r="L4388" i="1"/>
  <c r="K4389" i="1"/>
  <c r="L4389" i="1"/>
  <c r="K4390" i="1"/>
  <c r="L4390" i="1"/>
  <c r="K4391" i="1"/>
  <c r="L4391" i="1"/>
  <c r="K4392" i="1"/>
  <c r="L4392" i="1"/>
  <c r="K4393" i="1"/>
  <c r="L4393" i="1"/>
  <c r="K4394" i="1"/>
  <c r="L4394" i="1"/>
  <c r="K4395" i="1"/>
  <c r="L4395" i="1"/>
  <c r="K4396" i="1"/>
  <c r="L4396" i="1"/>
  <c r="K4397" i="1"/>
  <c r="L4397" i="1"/>
  <c r="K4398" i="1"/>
  <c r="L4398" i="1"/>
  <c r="K4399" i="1"/>
  <c r="L4399" i="1"/>
  <c r="K4400" i="1"/>
  <c r="L4400" i="1"/>
  <c r="K4401" i="1"/>
  <c r="L4401" i="1"/>
  <c r="K4402" i="1"/>
  <c r="L4402" i="1"/>
  <c r="K4403" i="1"/>
  <c r="L4403" i="1"/>
  <c r="K4404" i="1"/>
  <c r="L4404" i="1"/>
  <c r="K4405" i="1"/>
  <c r="L4405" i="1"/>
  <c r="K4406" i="1"/>
  <c r="L4406" i="1"/>
  <c r="K4377" i="1"/>
  <c r="L4377" i="1"/>
  <c r="K4378" i="1"/>
  <c r="L4378" i="1"/>
  <c r="K4379" i="1"/>
  <c r="L4379" i="1"/>
  <c r="K4380" i="1"/>
  <c r="L4380" i="1"/>
  <c r="K3953" i="1"/>
  <c r="L3953" i="1"/>
  <c r="M3953" i="1"/>
  <c r="K3954" i="1"/>
  <c r="L3954" i="1"/>
  <c r="M3954" i="1"/>
  <c r="K3955" i="1"/>
  <c r="L3955" i="1"/>
  <c r="M3955" i="1"/>
  <c r="K3956" i="1"/>
  <c r="L3956" i="1"/>
  <c r="M3956" i="1"/>
  <c r="K3957" i="1"/>
  <c r="L3957" i="1"/>
  <c r="M3957" i="1"/>
  <c r="K3958" i="1"/>
  <c r="L3958" i="1"/>
  <c r="M3958" i="1"/>
  <c r="K3959" i="1"/>
  <c r="L3959" i="1"/>
  <c r="M3959" i="1"/>
  <c r="K3960" i="1"/>
  <c r="L3960" i="1"/>
  <c r="M3960" i="1"/>
  <c r="K3961" i="1"/>
  <c r="L3961" i="1"/>
  <c r="M3961" i="1"/>
  <c r="K3962" i="1"/>
  <c r="L3962" i="1"/>
  <c r="M3962" i="1"/>
  <c r="K3963" i="1"/>
  <c r="L3963" i="1"/>
  <c r="M3963" i="1"/>
  <c r="K3964" i="1"/>
  <c r="L3964" i="1"/>
  <c r="M3964" i="1"/>
  <c r="K3965" i="1"/>
  <c r="L3965" i="1"/>
  <c r="M3965" i="1"/>
  <c r="K3966" i="1"/>
  <c r="L3966" i="1"/>
  <c r="M3966" i="1"/>
  <c r="K3967" i="1"/>
  <c r="L3967" i="1"/>
  <c r="M3967" i="1"/>
  <c r="K3968" i="1"/>
  <c r="L3968" i="1"/>
  <c r="M3968" i="1"/>
  <c r="K3969" i="1"/>
  <c r="L3969" i="1"/>
  <c r="M3969" i="1"/>
  <c r="K3970" i="1"/>
  <c r="L3970" i="1"/>
  <c r="M3970" i="1"/>
  <c r="K3971" i="1"/>
  <c r="L3971" i="1"/>
  <c r="M3971" i="1"/>
  <c r="K3972" i="1"/>
  <c r="L3972" i="1"/>
  <c r="M3972" i="1"/>
  <c r="K3973" i="1"/>
  <c r="L3973" i="1"/>
  <c r="M3973" i="1"/>
  <c r="K3974" i="1"/>
  <c r="L3974" i="1"/>
  <c r="M3974" i="1"/>
  <c r="K3975" i="1"/>
  <c r="L3975" i="1"/>
  <c r="M3975" i="1"/>
  <c r="K3976" i="1"/>
  <c r="L3976" i="1"/>
  <c r="M3976" i="1"/>
  <c r="K3977" i="1"/>
  <c r="L3977" i="1"/>
  <c r="M3977" i="1"/>
  <c r="K3978" i="1"/>
  <c r="L3978" i="1"/>
  <c r="M3978" i="1"/>
  <c r="K3979" i="1"/>
  <c r="L3979" i="1"/>
  <c r="M3979" i="1"/>
  <c r="K3980" i="1"/>
  <c r="L3980" i="1"/>
  <c r="M3980" i="1"/>
  <c r="K3981" i="1"/>
  <c r="L3981" i="1"/>
  <c r="M3981" i="1"/>
  <c r="K3982" i="1"/>
  <c r="L3982" i="1"/>
  <c r="M3982" i="1"/>
  <c r="K3983" i="1"/>
  <c r="L3983" i="1"/>
  <c r="M3983" i="1"/>
  <c r="K3984" i="1"/>
  <c r="L3984" i="1"/>
  <c r="M3984" i="1"/>
  <c r="K3985" i="1"/>
  <c r="L3985" i="1"/>
  <c r="M3985" i="1"/>
  <c r="K3986" i="1"/>
  <c r="L3986" i="1"/>
  <c r="M3986" i="1"/>
  <c r="K3987" i="1"/>
  <c r="L3987" i="1"/>
  <c r="M3987" i="1"/>
  <c r="K3988" i="1"/>
  <c r="L3988" i="1"/>
  <c r="M3988" i="1"/>
  <c r="K3989" i="1"/>
  <c r="L3989" i="1"/>
  <c r="M3989" i="1"/>
  <c r="K3990" i="1"/>
  <c r="L3990" i="1"/>
  <c r="M3990" i="1"/>
  <c r="K3991" i="1"/>
  <c r="L3991" i="1"/>
  <c r="M3991" i="1"/>
  <c r="K3992" i="1"/>
  <c r="L3992" i="1"/>
  <c r="M3992" i="1"/>
  <c r="K3993" i="1"/>
  <c r="L3993" i="1"/>
  <c r="M3993" i="1"/>
  <c r="K3994" i="1"/>
  <c r="L3994" i="1"/>
  <c r="M3994" i="1"/>
  <c r="K3995" i="1"/>
  <c r="L3995" i="1"/>
  <c r="M3995" i="1"/>
  <c r="K4005" i="1"/>
  <c r="L4005" i="1"/>
  <c r="M4005" i="1"/>
  <c r="K4006" i="1"/>
  <c r="L4006" i="1"/>
  <c r="M4006" i="1"/>
  <c r="K4007" i="1"/>
  <c r="L4007" i="1"/>
  <c r="M4007" i="1"/>
  <c r="K4008" i="1"/>
  <c r="L4008" i="1"/>
  <c r="M4008" i="1"/>
  <c r="K4009" i="1"/>
  <c r="L4009" i="1"/>
  <c r="M4009" i="1"/>
  <c r="K4010" i="1"/>
  <c r="L4010" i="1"/>
  <c r="M4010" i="1"/>
  <c r="K4011" i="1"/>
  <c r="L4011" i="1"/>
  <c r="M4011" i="1"/>
  <c r="K4012" i="1"/>
  <c r="L4012" i="1"/>
  <c r="M4012" i="1"/>
  <c r="K4013" i="1"/>
  <c r="L4013" i="1"/>
  <c r="M4013" i="1"/>
  <c r="K4014" i="1"/>
  <c r="L4014" i="1"/>
  <c r="M4014" i="1"/>
  <c r="K4015" i="1"/>
  <c r="L4015" i="1"/>
  <c r="M4015" i="1"/>
  <c r="K4016" i="1"/>
  <c r="L4016" i="1"/>
  <c r="M4016" i="1"/>
  <c r="K4017" i="1"/>
  <c r="L4017" i="1"/>
  <c r="M4017" i="1"/>
  <c r="K4018" i="1"/>
  <c r="L4018" i="1"/>
  <c r="M4018" i="1"/>
  <c r="K4073" i="1"/>
  <c r="L4073" i="1"/>
  <c r="M4073" i="1"/>
  <c r="K4074" i="1"/>
  <c r="L4074" i="1"/>
  <c r="M4074" i="1"/>
  <c r="K4075" i="1"/>
  <c r="L4075" i="1"/>
  <c r="M4075" i="1"/>
  <c r="K4076" i="1"/>
  <c r="L4076" i="1"/>
  <c r="M4076" i="1"/>
  <c r="K4077" i="1"/>
  <c r="L4077" i="1"/>
  <c r="M4077" i="1"/>
  <c r="K4078" i="1"/>
  <c r="L4078" i="1"/>
  <c r="M4078" i="1"/>
  <c r="K4079" i="1"/>
  <c r="L4079" i="1"/>
  <c r="M4079" i="1"/>
  <c r="K4080" i="1"/>
  <c r="L4080" i="1"/>
  <c r="M4080" i="1"/>
  <c r="K4081" i="1"/>
  <c r="L4081" i="1"/>
  <c r="M4081" i="1"/>
  <c r="K4082" i="1"/>
  <c r="L4082" i="1"/>
  <c r="M4082" i="1"/>
  <c r="K4083" i="1"/>
  <c r="L4083" i="1"/>
  <c r="M4083" i="1"/>
  <c r="K4084" i="1"/>
  <c r="L4084" i="1"/>
  <c r="M4084" i="1"/>
  <c r="K4085" i="1"/>
  <c r="L4085" i="1"/>
  <c r="M4085" i="1"/>
  <c r="K4086" i="1"/>
  <c r="L4086" i="1"/>
  <c r="M4086" i="1"/>
  <c r="K4087" i="1"/>
  <c r="L4087" i="1"/>
  <c r="M4087" i="1"/>
  <c r="K4088" i="1"/>
  <c r="L4088" i="1"/>
  <c r="M4088" i="1"/>
  <c r="K4089" i="1"/>
  <c r="L4089" i="1"/>
  <c r="M4089" i="1"/>
  <c r="K4090" i="1"/>
  <c r="L4090" i="1"/>
  <c r="M4090" i="1"/>
  <c r="K4091" i="1"/>
  <c r="L4091" i="1"/>
  <c r="M4091" i="1"/>
  <c r="K4092" i="1"/>
  <c r="L4092" i="1"/>
  <c r="M4092" i="1"/>
  <c r="K4093" i="1"/>
  <c r="L4093" i="1"/>
  <c r="M4093" i="1"/>
  <c r="K4094" i="1"/>
  <c r="L4094" i="1"/>
  <c r="M4094" i="1"/>
  <c r="K4095" i="1"/>
  <c r="L4095" i="1"/>
  <c r="M4095" i="1"/>
  <c r="K4096" i="1"/>
  <c r="L4096" i="1"/>
  <c r="M4096" i="1"/>
  <c r="K4097" i="1"/>
  <c r="L4097" i="1"/>
  <c r="M4097" i="1"/>
  <c r="K4098" i="1"/>
  <c r="L4098" i="1"/>
  <c r="M4098" i="1"/>
  <c r="K4099" i="1"/>
  <c r="L4099" i="1"/>
  <c r="M4099" i="1"/>
  <c r="K4100" i="1"/>
  <c r="L4100" i="1"/>
  <c r="M4100" i="1"/>
  <c r="K4101" i="1"/>
  <c r="L4101" i="1"/>
  <c r="M4101" i="1"/>
  <c r="K4102" i="1"/>
  <c r="L4102" i="1"/>
  <c r="M4102" i="1"/>
  <c r="K4135" i="1"/>
  <c r="L4135" i="1"/>
  <c r="M4135" i="1"/>
  <c r="K4136" i="1"/>
  <c r="L4136" i="1"/>
  <c r="M4136" i="1"/>
  <c r="K4137" i="1"/>
  <c r="L4137" i="1"/>
  <c r="M4137" i="1"/>
  <c r="K4138" i="1"/>
  <c r="L4138" i="1"/>
  <c r="M4138" i="1"/>
  <c r="K4139" i="1"/>
  <c r="L4139" i="1"/>
  <c r="M4139" i="1"/>
  <c r="K4140" i="1"/>
  <c r="L4140" i="1"/>
  <c r="M4140" i="1"/>
  <c r="K4141" i="1"/>
  <c r="L4141" i="1"/>
  <c r="M4141" i="1"/>
  <c r="K4142" i="1"/>
  <c r="L4142" i="1"/>
  <c r="M4142" i="1"/>
  <c r="K4143" i="1"/>
  <c r="L4143" i="1"/>
  <c r="M4143" i="1"/>
  <c r="K4144" i="1"/>
  <c r="L4144" i="1"/>
  <c r="M4144" i="1"/>
  <c r="K4145" i="1"/>
  <c r="L4145" i="1"/>
  <c r="M4145" i="1"/>
  <c r="K4146" i="1"/>
  <c r="L4146" i="1"/>
  <c r="M4146" i="1"/>
  <c r="K4147" i="1"/>
  <c r="L4147" i="1"/>
  <c r="M4147" i="1"/>
  <c r="K4148" i="1"/>
  <c r="L4148" i="1"/>
  <c r="M4148" i="1"/>
  <c r="K4149" i="1"/>
  <c r="L4149" i="1"/>
  <c r="M4149" i="1"/>
  <c r="K4150" i="1"/>
  <c r="L4150" i="1"/>
  <c r="M4150" i="1"/>
  <c r="K4151" i="1"/>
  <c r="L4151" i="1"/>
  <c r="M4151" i="1"/>
  <c r="K4152" i="1"/>
  <c r="L4152" i="1"/>
  <c r="M4152" i="1"/>
  <c r="K4153" i="1"/>
  <c r="L4153" i="1"/>
  <c r="M4153" i="1"/>
  <c r="K4154" i="1"/>
  <c r="L4154" i="1"/>
  <c r="M4154" i="1"/>
  <c r="K4155" i="1"/>
  <c r="L4155" i="1"/>
  <c r="M4155" i="1"/>
  <c r="K4156" i="1"/>
  <c r="L4156" i="1"/>
  <c r="M4156" i="1"/>
  <c r="K4157" i="1"/>
  <c r="L4157" i="1"/>
  <c r="M4157" i="1"/>
  <c r="K4158" i="1"/>
  <c r="L4158" i="1"/>
  <c r="M4158" i="1"/>
  <c r="K4159" i="1"/>
  <c r="L4159" i="1"/>
  <c r="M4159" i="1"/>
  <c r="K4160" i="1"/>
  <c r="L4160" i="1"/>
  <c r="M4160" i="1"/>
  <c r="K4161" i="1"/>
  <c r="L4161" i="1"/>
  <c r="M4161" i="1"/>
  <c r="K4162" i="1"/>
  <c r="L4162" i="1"/>
  <c r="M4162" i="1"/>
  <c r="K4163" i="1"/>
  <c r="L4163" i="1"/>
  <c r="M4163" i="1"/>
  <c r="K4164" i="1"/>
  <c r="L4164" i="1"/>
  <c r="M4164" i="1"/>
  <c r="K4165" i="1"/>
  <c r="L4165" i="1"/>
  <c r="M4165" i="1"/>
  <c r="K4166" i="1"/>
  <c r="L4166" i="1"/>
  <c r="M4166" i="1"/>
  <c r="K4167" i="1"/>
  <c r="L4167" i="1"/>
  <c r="M4167" i="1"/>
  <c r="K4168" i="1"/>
  <c r="L4168" i="1"/>
  <c r="M4168" i="1"/>
  <c r="K4169" i="1"/>
  <c r="L4169" i="1"/>
  <c r="M4169" i="1"/>
  <c r="K4170" i="1"/>
  <c r="L4170" i="1"/>
  <c r="M4170" i="1"/>
  <c r="K4407" i="1"/>
  <c r="L4407" i="1"/>
  <c r="M4407" i="1"/>
  <c r="K4539" i="1"/>
  <c r="L4539" i="1"/>
  <c r="K4540" i="1"/>
  <c r="L4540" i="1"/>
  <c r="K4541" i="1"/>
  <c r="L4541" i="1"/>
  <c r="K4542" i="1"/>
  <c r="L4542" i="1"/>
  <c r="K4543" i="1"/>
  <c r="L4543" i="1"/>
  <c r="K4528" i="1"/>
  <c r="L4528" i="1"/>
  <c r="K4529" i="1"/>
  <c r="L4529" i="1"/>
  <c r="K4530" i="1"/>
  <c r="L4530" i="1"/>
  <c r="K4531" i="1"/>
  <c r="L4531" i="1"/>
  <c r="K4532" i="1"/>
  <c r="L4532" i="1"/>
  <c r="K4533" i="1"/>
  <c r="L4533" i="1"/>
  <c r="K4534" i="1"/>
  <c r="L4534" i="1"/>
  <c r="K4535" i="1"/>
  <c r="L4535" i="1"/>
  <c r="K4536" i="1"/>
  <c r="L4536" i="1"/>
  <c r="K4537" i="1"/>
  <c r="L4537" i="1"/>
  <c r="K4538" i="1"/>
  <c r="L4538" i="1"/>
  <c r="K4545" i="1"/>
  <c r="L4545" i="1"/>
  <c r="K4546" i="1"/>
  <c r="L4546" i="1"/>
  <c r="K4555" i="1"/>
  <c r="L4555" i="1"/>
  <c r="K4556" i="1"/>
  <c r="L4556" i="1"/>
  <c r="K4557" i="1"/>
  <c r="L4557" i="1"/>
  <c r="K4558" i="1"/>
  <c r="L4558" i="1"/>
  <c r="K4559" i="1"/>
  <c r="L4559" i="1"/>
  <c r="K4560" i="1"/>
  <c r="L4560" i="1"/>
  <c r="K4548" i="1"/>
  <c r="L4548" i="1"/>
  <c r="K4549" i="1"/>
  <c r="L4549" i="1"/>
  <c r="K4550" i="1"/>
  <c r="L4550" i="1"/>
  <c r="K4551" i="1"/>
  <c r="L4551" i="1"/>
  <c r="K4552" i="1"/>
  <c r="L4552" i="1"/>
  <c r="K4553" i="1"/>
  <c r="L4553" i="1"/>
  <c r="K4554" i="1"/>
  <c r="L4554" i="1"/>
  <c r="K4563" i="1"/>
  <c r="L4563" i="1"/>
  <c r="K4564" i="1"/>
  <c r="L4564" i="1"/>
  <c r="K4565" i="1"/>
  <c r="L4565" i="1"/>
  <c r="K4561" i="1"/>
  <c r="L4561" i="1"/>
  <c r="K4562" i="1"/>
  <c r="L4562" i="1"/>
  <c r="K4408" i="1"/>
  <c r="L4408" i="1"/>
  <c r="M4408" i="1"/>
  <c r="K4569" i="1"/>
  <c r="L4569" i="1"/>
  <c r="K4570" i="1"/>
  <c r="L4570" i="1"/>
  <c r="K4571" i="1"/>
  <c r="L4571" i="1"/>
  <c r="K4572" i="1"/>
  <c r="L4572" i="1"/>
  <c r="K4573" i="1"/>
  <c r="L4573" i="1"/>
  <c r="K4574" i="1"/>
  <c r="L4574" i="1"/>
  <c r="K4575" i="1"/>
  <c r="L4575" i="1"/>
  <c r="K4576" i="1"/>
  <c r="L4576" i="1"/>
  <c r="K4577" i="1"/>
  <c r="L4577" i="1"/>
  <c r="K4578" i="1"/>
  <c r="L4578" i="1"/>
  <c r="K4579" i="1"/>
  <c r="L4579" i="1"/>
  <c r="K4580" i="1"/>
  <c r="L4580" i="1"/>
  <c r="K4581" i="1"/>
  <c r="L4581" i="1"/>
  <c r="K4582" i="1"/>
  <c r="L4582" i="1"/>
  <c r="K4566" i="1"/>
  <c r="L4566" i="1"/>
  <c r="K4567" i="1"/>
  <c r="L4567" i="1"/>
  <c r="K4568" i="1"/>
  <c r="L4568" i="1"/>
  <c r="K4585" i="1"/>
  <c r="L4585" i="1"/>
  <c r="K4586" i="1"/>
  <c r="L4586" i="1"/>
  <c r="K4583" i="1"/>
  <c r="L4583" i="1"/>
  <c r="K4584" i="1"/>
  <c r="L4584" i="1"/>
  <c r="K4409" i="1"/>
  <c r="L4409" i="1"/>
  <c r="M4409" i="1"/>
  <c r="K4588" i="1"/>
  <c r="L4588" i="1"/>
  <c r="K4589" i="1"/>
  <c r="L4589" i="1"/>
  <c r="K4590" i="1"/>
  <c r="L4590" i="1"/>
  <c r="K4591" i="1"/>
  <c r="L4591" i="1"/>
  <c r="K4592" i="1"/>
  <c r="L4592" i="1"/>
  <c r="K4593" i="1"/>
  <c r="L4593" i="1"/>
  <c r="K4594" i="1"/>
  <c r="L4594" i="1"/>
  <c r="K4595" i="1"/>
  <c r="L4595" i="1"/>
  <c r="K4596" i="1"/>
  <c r="L4596" i="1"/>
  <c r="K4597" i="1"/>
  <c r="L4597" i="1"/>
  <c r="K4598" i="1"/>
  <c r="L4598" i="1"/>
  <c r="K4599" i="1"/>
  <c r="L4599" i="1"/>
  <c r="K4587" i="1"/>
  <c r="L4587" i="1"/>
  <c r="K4600" i="1"/>
  <c r="L4600" i="1"/>
  <c r="K4602" i="1"/>
  <c r="L4602" i="1"/>
  <c r="K4603" i="1"/>
  <c r="L4603" i="1"/>
  <c r="K4604" i="1"/>
  <c r="L4604" i="1"/>
  <c r="K4601" i="1"/>
  <c r="L4601" i="1"/>
  <c r="K4606" i="1"/>
  <c r="L4606" i="1"/>
  <c r="K4607" i="1"/>
  <c r="L4607" i="1"/>
  <c r="K4618" i="1"/>
  <c r="L4618" i="1"/>
  <c r="K4619" i="1"/>
  <c r="L4619" i="1"/>
  <c r="K4620" i="1"/>
  <c r="L4620" i="1"/>
  <c r="K4621" i="1"/>
  <c r="L4621" i="1"/>
  <c r="K4622" i="1"/>
  <c r="L4622" i="1"/>
  <c r="K4623" i="1"/>
  <c r="L4623" i="1"/>
  <c r="K4624" i="1"/>
  <c r="L4624" i="1"/>
  <c r="K4625" i="1"/>
  <c r="L4625" i="1"/>
  <c r="K4626" i="1"/>
  <c r="L4626" i="1"/>
  <c r="K4627" i="1"/>
  <c r="L4627" i="1"/>
  <c r="K4628" i="1"/>
  <c r="L4628" i="1"/>
  <c r="K4629" i="1"/>
  <c r="L4629" i="1"/>
  <c r="K4630" i="1"/>
  <c r="L4630" i="1"/>
  <c r="K4631" i="1"/>
  <c r="L4631" i="1"/>
  <c r="K4632" i="1"/>
  <c r="L4632" i="1"/>
  <c r="K4633" i="1"/>
  <c r="L4633" i="1"/>
  <c r="K4634" i="1"/>
  <c r="L4634" i="1"/>
  <c r="K4635" i="1"/>
  <c r="L4635" i="1"/>
  <c r="K4636" i="1"/>
  <c r="L4636" i="1"/>
  <c r="K4637" i="1"/>
  <c r="L4637" i="1"/>
  <c r="K4638" i="1"/>
  <c r="L4638" i="1"/>
  <c r="K4639" i="1"/>
  <c r="L4639" i="1"/>
  <c r="K4640" i="1"/>
  <c r="L4640" i="1"/>
  <c r="K4641" i="1"/>
  <c r="L4641" i="1"/>
  <c r="K4642" i="1"/>
  <c r="L4642" i="1"/>
  <c r="K4643" i="1"/>
  <c r="L4643" i="1"/>
  <c r="K4608" i="1"/>
  <c r="L4608" i="1"/>
  <c r="K4609" i="1"/>
  <c r="L4609" i="1"/>
  <c r="K4610" i="1"/>
  <c r="L4610" i="1"/>
  <c r="K4611" i="1"/>
  <c r="L4611" i="1"/>
  <c r="K4612" i="1"/>
  <c r="L4612" i="1"/>
  <c r="K4613" i="1"/>
  <c r="L4613" i="1"/>
  <c r="K4614" i="1"/>
  <c r="L4614" i="1"/>
  <c r="K4615" i="1"/>
  <c r="L4615" i="1"/>
  <c r="K4616" i="1"/>
  <c r="L4616" i="1"/>
  <c r="K4617" i="1"/>
  <c r="L4617" i="1"/>
  <c r="K4424" i="1"/>
  <c r="L4424" i="1"/>
  <c r="M4424" i="1"/>
  <c r="K4425" i="1"/>
  <c r="L4425" i="1"/>
  <c r="M4425" i="1"/>
  <c r="K4426" i="1"/>
  <c r="L4426" i="1"/>
  <c r="M4426" i="1"/>
  <c r="K4427" i="1"/>
  <c r="L4427" i="1"/>
  <c r="M4427" i="1"/>
  <c r="K4428" i="1"/>
  <c r="L4428" i="1"/>
  <c r="M4428" i="1"/>
  <c r="K4429" i="1"/>
  <c r="L4429" i="1"/>
  <c r="M4429" i="1"/>
  <c r="K4430" i="1"/>
  <c r="L4430" i="1"/>
  <c r="M4430" i="1"/>
  <c r="K4431" i="1"/>
  <c r="L4431" i="1"/>
  <c r="M4431" i="1"/>
  <c r="K4432" i="1"/>
  <c r="L4432" i="1"/>
  <c r="M4432" i="1"/>
  <c r="K4433" i="1"/>
  <c r="L4433" i="1"/>
  <c r="M4433" i="1"/>
  <c r="K4434" i="1"/>
  <c r="L4434" i="1"/>
  <c r="M4434" i="1"/>
  <c r="K4435" i="1"/>
  <c r="L4435" i="1"/>
  <c r="M4435" i="1"/>
  <c r="K4436" i="1"/>
  <c r="L4436" i="1"/>
  <c r="M4436" i="1"/>
  <c r="K4437" i="1"/>
  <c r="L4437" i="1"/>
  <c r="M4437" i="1"/>
  <c r="K4438" i="1"/>
  <c r="L4438" i="1"/>
  <c r="M4438" i="1"/>
  <c r="K4439" i="1"/>
  <c r="L4439" i="1"/>
  <c r="M4439" i="1"/>
  <c r="K4440" i="1"/>
  <c r="L4440" i="1"/>
  <c r="M4440" i="1"/>
  <c r="K4441" i="1"/>
  <c r="L4441" i="1"/>
  <c r="M4441" i="1"/>
  <c r="K4442" i="1"/>
  <c r="L4442" i="1"/>
  <c r="M4442" i="1"/>
  <c r="K4443" i="1"/>
  <c r="L4443" i="1"/>
  <c r="M4443" i="1"/>
  <c r="K4444" i="1"/>
  <c r="L4444" i="1"/>
  <c r="M4444" i="1"/>
  <c r="K4445" i="1"/>
  <c r="L4445" i="1"/>
  <c r="M4445" i="1"/>
  <c r="K4446" i="1"/>
  <c r="L4446" i="1"/>
  <c r="M4446" i="1"/>
  <c r="K4447" i="1"/>
  <c r="L4447" i="1"/>
  <c r="M4447" i="1"/>
  <c r="K4448" i="1"/>
  <c r="L4448" i="1"/>
  <c r="M4448" i="1"/>
  <c r="K4449" i="1"/>
  <c r="L4449" i="1"/>
  <c r="M4449" i="1"/>
  <c r="K4450" i="1"/>
  <c r="L4450" i="1"/>
  <c r="M4450" i="1"/>
  <c r="K4451" i="1"/>
  <c r="L4451" i="1"/>
  <c r="M4451" i="1"/>
  <c r="K4455" i="1"/>
  <c r="L4455" i="1"/>
  <c r="M4455" i="1"/>
  <c r="K4456" i="1"/>
  <c r="L4456" i="1"/>
  <c r="M4456" i="1"/>
  <c r="K4457" i="1"/>
  <c r="L4457" i="1"/>
  <c r="M4457" i="1"/>
  <c r="K4458" i="1"/>
  <c r="L4458" i="1"/>
  <c r="M4458" i="1"/>
  <c r="K4459" i="1"/>
  <c r="L4459" i="1"/>
  <c r="M4459" i="1"/>
  <c r="K4460" i="1"/>
  <c r="L4460" i="1"/>
  <c r="M4460" i="1"/>
  <c r="K4461" i="1"/>
  <c r="L4461" i="1"/>
  <c r="M4461" i="1"/>
  <c r="K4462" i="1"/>
  <c r="L4462" i="1"/>
  <c r="M4462" i="1"/>
  <c r="K4463" i="1"/>
  <c r="L4463" i="1"/>
  <c r="M4463" i="1"/>
  <c r="K4464" i="1"/>
  <c r="L4464" i="1"/>
  <c r="M4464" i="1"/>
  <c r="K4465" i="1"/>
  <c r="L4465" i="1"/>
  <c r="M4465" i="1"/>
  <c r="K4466" i="1"/>
  <c r="L4466" i="1"/>
  <c r="M4466" i="1"/>
  <c r="K4467" i="1"/>
  <c r="L4467" i="1"/>
  <c r="M4467" i="1"/>
  <c r="K4468" i="1"/>
  <c r="L4468" i="1"/>
  <c r="M4468" i="1"/>
  <c r="K4469" i="1"/>
  <c r="L4469" i="1"/>
  <c r="M4469" i="1"/>
  <c r="K4470" i="1"/>
  <c r="L4470" i="1"/>
  <c r="M4470" i="1"/>
  <c r="K4471" i="1"/>
  <c r="L4471" i="1"/>
  <c r="M4471" i="1"/>
  <c r="K4472" i="1"/>
  <c r="L4472" i="1"/>
  <c r="M4472" i="1"/>
  <c r="K4473" i="1"/>
  <c r="L4473" i="1"/>
  <c r="M4473" i="1"/>
  <c r="K4474" i="1"/>
  <c r="L4474" i="1"/>
  <c r="M4474" i="1"/>
  <c r="K4475" i="1"/>
  <c r="L4475" i="1"/>
  <c r="M4475" i="1"/>
  <c r="K4476" i="1"/>
  <c r="L4476" i="1"/>
  <c r="M4476" i="1"/>
  <c r="K4477" i="1"/>
  <c r="L4477" i="1"/>
  <c r="M4477" i="1"/>
  <c r="K4478" i="1"/>
  <c r="L4478" i="1"/>
  <c r="M4478" i="1"/>
  <c r="K4479" i="1"/>
  <c r="L4479" i="1"/>
  <c r="M4479" i="1"/>
  <c r="K4480" i="1"/>
  <c r="L4480" i="1"/>
  <c r="M4480" i="1"/>
  <c r="K4481" i="1"/>
  <c r="L4481" i="1"/>
  <c r="M4481" i="1"/>
  <c r="K4482" i="1"/>
  <c r="L4482" i="1"/>
  <c r="M4482" i="1"/>
  <c r="K4483" i="1"/>
  <c r="L4483" i="1"/>
  <c r="M4483" i="1"/>
  <c r="K4484" i="1"/>
  <c r="L4484" i="1"/>
  <c r="M4484" i="1"/>
  <c r="K4485" i="1"/>
  <c r="L4485" i="1"/>
  <c r="M4485" i="1"/>
  <c r="K4486" i="1"/>
  <c r="L4486" i="1"/>
  <c r="M4486" i="1"/>
  <c r="K4487" i="1"/>
  <c r="L4487" i="1"/>
  <c r="M4487" i="1"/>
  <c r="K4488" i="1"/>
  <c r="L4488" i="1"/>
  <c r="M4488" i="1"/>
  <c r="K4489" i="1"/>
  <c r="L4489" i="1"/>
  <c r="M4489" i="1"/>
  <c r="K4490" i="1"/>
  <c r="L4490" i="1"/>
  <c r="M4490" i="1"/>
  <c r="K4491" i="1"/>
  <c r="L4491" i="1"/>
  <c r="M4491" i="1"/>
  <c r="K4492" i="1"/>
  <c r="L4492" i="1"/>
  <c r="M4492" i="1"/>
  <c r="K4496" i="1"/>
  <c r="L4496" i="1"/>
  <c r="M4496" i="1"/>
  <c r="K4497" i="1"/>
  <c r="L4497" i="1"/>
  <c r="M4497" i="1"/>
  <c r="K4499" i="1"/>
  <c r="L4499" i="1"/>
  <c r="M4499" i="1"/>
  <c r="K4500" i="1"/>
  <c r="L4500" i="1"/>
  <c r="M4500" i="1"/>
  <c r="K4501" i="1"/>
  <c r="L4501" i="1"/>
  <c r="M4501" i="1"/>
  <c r="K4502" i="1"/>
  <c r="L4502" i="1"/>
  <c r="M4502" i="1"/>
  <c r="K4503" i="1"/>
  <c r="L4503" i="1"/>
  <c r="M4503" i="1"/>
  <c r="K4504" i="1"/>
  <c r="L4504" i="1"/>
  <c r="M4504" i="1"/>
  <c r="K4505" i="1"/>
  <c r="L4505" i="1"/>
  <c r="M4505" i="1"/>
  <c r="K4506" i="1"/>
  <c r="L4506" i="1"/>
  <c r="M4506" i="1"/>
  <c r="K4507" i="1"/>
  <c r="L4507" i="1"/>
  <c r="M4507" i="1"/>
  <c r="K4508" i="1"/>
  <c r="L4508" i="1"/>
  <c r="M4508" i="1"/>
  <c r="K4509" i="1"/>
  <c r="L4509" i="1"/>
  <c r="M4509" i="1"/>
  <c r="K4510" i="1"/>
  <c r="L4510" i="1"/>
  <c r="M4510" i="1"/>
  <c r="K4511" i="1"/>
  <c r="L4511" i="1"/>
  <c r="M4511" i="1"/>
  <c r="K4512" i="1"/>
  <c r="L4512" i="1"/>
  <c r="M4512" i="1"/>
  <c r="K4513" i="1"/>
  <c r="L4513" i="1"/>
  <c r="M4513" i="1"/>
  <c r="K4514" i="1"/>
  <c r="L4514" i="1"/>
  <c r="M4514" i="1"/>
  <c r="K4515" i="1"/>
  <c r="L4515" i="1"/>
  <c r="M4515" i="1"/>
  <c r="K4516" i="1"/>
  <c r="L4516" i="1"/>
  <c r="M4516" i="1"/>
  <c r="K4517" i="1"/>
  <c r="L4517" i="1"/>
  <c r="M4517" i="1"/>
  <c r="K4646" i="1"/>
  <c r="L4646" i="1"/>
  <c r="K4647" i="1"/>
  <c r="L4647" i="1"/>
  <c r="K4648" i="1"/>
  <c r="L4648" i="1"/>
  <c r="K4649" i="1"/>
  <c r="L4649" i="1"/>
  <c r="K4650" i="1"/>
  <c r="L4650" i="1"/>
  <c r="K4651" i="1"/>
  <c r="L4651" i="1"/>
  <c r="K4652" i="1"/>
  <c r="L4652" i="1"/>
  <c r="K4653" i="1"/>
  <c r="L4653" i="1"/>
  <c r="K4644" i="1"/>
  <c r="L4644" i="1"/>
  <c r="K4645" i="1"/>
  <c r="L4645" i="1"/>
  <c r="K4410" i="1"/>
  <c r="L4410" i="1"/>
  <c r="M4410" i="1"/>
  <c r="K4411" i="1"/>
  <c r="L4411" i="1"/>
  <c r="M4411" i="1"/>
  <c r="K4412" i="1"/>
  <c r="L4412" i="1"/>
  <c r="M4412" i="1"/>
  <c r="K4413" i="1"/>
  <c r="L4413" i="1"/>
  <c r="M4413" i="1"/>
  <c r="K4414" i="1"/>
  <c r="L4414" i="1"/>
  <c r="M4414" i="1"/>
  <c r="K4415" i="1"/>
  <c r="L4415" i="1"/>
  <c r="M4415" i="1"/>
  <c r="K4416" i="1"/>
  <c r="L4416" i="1"/>
  <c r="M4416" i="1"/>
  <c r="K4417" i="1"/>
  <c r="L4417" i="1"/>
  <c r="M4417" i="1"/>
  <c r="K4418" i="1"/>
  <c r="L4418" i="1"/>
  <c r="M4418" i="1"/>
  <c r="K4419" i="1"/>
  <c r="L4419" i="1"/>
  <c r="M4419" i="1"/>
  <c r="K4420" i="1"/>
  <c r="L4420" i="1"/>
  <c r="M4420" i="1"/>
  <c r="K4421" i="1"/>
  <c r="L4421" i="1"/>
  <c r="M4421" i="1"/>
  <c r="K4422" i="1"/>
  <c r="L4422" i="1"/>
  <c r="M4422" i="1"/>
  <c r="K4423" i="1"/>
  <c r="L4423" i="1"/>
  <c r="M4423" i="1"/>
  <c r="K4493" i="1"/>
  <c r="L4493" i="1"/>
  <c r="M4493" i="1"/>
  <c r="K4494" i="1"/>
  <c r="L4494" i="1"/>
  <c r="M4494" i="1"/>
  <c r="K4495" i="1"/>
  <c r="L4495" i="1"/>
  <c r="M4495" i="1"/>
  <c r="K4498" i="1"/>
  <c r="L4498" i="1"/>
  <c r="M4498" i="1"/>
  <c r="K4518" i="1"/>
  <c r="L4518" i="1"/>
  <c r="M4518" i="1"/>
  <c r="K4519" i="1"/>
  <c r="L4519" i="1"/>
  <c r="M4519" i="1"/>
  <c r="K4520" i="1"/>
  <c r="L4520" i="1"/>
  <c r="M4520" i="1"/>
  <c r="K4521" i="1"/>
  <c r="L4521" i="1"/>
  <c r="M4521" i="1"/>
  <c r="K4522" i="1"/>
  <c r="L4522" i="1"/>
  <c r="M4522" i="1"/>
  <c r="K4523" i="1"/>
  <c r="L4523" i="1"/>
  <c r="M4523" i="1"/>
  <c r="K4524" i="1"/>
  <c r="L4524" i="1"/>
  <c r="M4524" i="1"/>
  <c r="K4525" i="1"/>
  <c r="L4525" i="1"/>
  <c r="M4525" i="1"/>
  <c r="K4526" i="1"/>
  <c r="L4526" i="1"/>
  <c r="M4526" i="1"/>
  <c r="K4527" i="1"/>
  <c r="L4527" i="1"/>
  <c r="M4527" i="1"/>
  <c r="K4658" i="1"/>
  <c r="L4658" i="1"/>
  <c r="K4659" i="1"/>
  <c r="L4659" i="1"/>
  <c r="K4660" i="1"/>
  <c r="L4660" i="1"/>
  <c r="K4654" i="1"/>
  <c r="L4654" i="1"/>
  <c r="K4655" i="1"/>
  <c r="L4655" i="1"/>
  <c r="K4656" i="1"/>
  <c r="L4656" i="1"/>
  <c r="K4657" i="1"/>
  <c r="L4657" i="1"/>
  <c r="K4452" i="1"/>
  <c r="L4452" i="1"/>
  <c r="M4452" i="1"/>
  <c r="K4453" i="1"/>
  <c r="L4453" i="1"/>
  <c r="M4453" i="1"/>
  <c r="K4454" i="1"/>
  <c r="L4454" i="1"/>
  <c r="M4454" i="1"/>
  <c r="K4661" i="1"/>
  <c r="L4661" i="1"/>
  <c r="M4661" i="1"/>
  <c r="K4662" i="1"/>
  <c r="L4662" i="1"/>
  <c r="M4662" i="1"/>
  <c r="K4663" i="1"/>
  <c r="L4663" i="1"/>
  <c r="M4663" i="1"/>
  <c r="K4998" i="1"/>
  <c r="L4998" i="1"/>
  <c r="K4999" i="1"/>
  <c r="L4999" i="1"/>
  <c r="K5000" i="1"/>
  <c r="L5000" i="1"/>
  <c r="K5001" i="1"/>
  <c r="L5001" i="1"/>
  <c r="K4989" i="1"/>
  <c r="L4989" i="1"/>
  <c r="K4990" i="1"/>
  <c r="L4990" i="1"/>
  <c r="K4991" i="1"/>
  <c r="L4991" i="1"/>
  <c r="K4992" i="1"/>
  <c r="L4992" i="1"/>
  <c r="K4993" i="1"/>
  <c r="L4993" i="1"/>
  <c r="K4994" i="1"/>
  <c r="L4994" i="1"/>
  <c r="K4995" i="1"/>
  <c r="L4995" i="1"/>
  <c r="K4996" i="1"/>
  <c r="L4996" i="1"/>
  <c r="K5005" i="1"/>
  <c r="L5005" i="1"/>
  <c r="K5006" i="1"/>
  <c r="L5006" i="1"/>
  <c r="K5007" i="1"/>
  <c r="L5007" i="1"/>
  <c r="K5008" i="1"/>
  <c r="L5008" i="1"/>
  <c r="K5009" i="1"/>
  <c r="L5009" i="1"/>
  <c r="K5010" i="1"/>
  <c r="L5010" i="1"/>
  <c r="K5011" i="1"/>
  <c r="L5011" i="1"/>
  <c r="K5012" i="1"/>
  <c r="L5012" i="1"/>
  <c r="K5013" i="1"/>
  <c r="L5013" i="1"/>
  <c r="K5014" i="1"/>
  <c r="L5014" i="1"/>
  <c r="K5015" i="1"/>
  <c r="L5015" i="1"/>
  <c r="K5028" i="1"/>
  <c r="L5028" i="1"/>
  <c r="K5029" i="1"/>
  <c r="L5029" i="1"/>
  <c r="K5030" i="1"/>
  <c r="L5030" i="1"/>
  <c r="K5031" i="1"/>
  <c r="L5031" i="1"/>
  <c r="K5032" i="1"/>
  <c r="L5032" i="1"/>
  <c r="K5033" i="1"/>
  <c r="L5033" i="1"/>
  <c r="K5034" i="1"/>
  <c r="L5034" i="1"/>
  <c r="K5035" i="1"/>
  <c r="L5035" i="1"/>
  <c r="K5036" i="1"/>
  <c r="L5036" i="1"/>
  <c r="K5037" i="1"/>
  <c r="L5037" i="1"/>
  <c r="K5038" i="1"/>
  <c r="L5038" i="1"/>
  <c r="K5039" i="1"/>
  <c r="L5039" i="1"/>
  <c r="K5040" i="1"/>
  <c r="L5040" i="1"/>
  <c r="K5017" i="1"/>
  <c r="L5017" i="1"/>
  <c r="K5018" i="1"/>
  <c r="L5018" i="1"/>
  <c r="K5019" i="1"/>
  <c r="L5019" i="1"/>
  <c r="K5020" i="1"/>
  <c r="L5020" i="1"/>
  <c r="K5021" i="1"/>
  <c r="L5021" i="1"/>
  <c r="K5022" i="1"/>
  <c r="L5022" i="1"/>
  <c r="K5023" i="1"/>
  <c r="L5023" i="1"/>
  <c r="K5024" i="1"/>
  <c r="L5024" i="1"/>
  <c r="K5025" i="1"/>
  <c r="L5025" i="1"/>
  <c r="K5026" i="1"/>
  <c r="L5026" i="1"/>
  <c r="K5027" i="1"/>
  <c r="L5027" i="1"/>
  <c r="K4664" i="1"/>
  <c r="L4664" i="1"/>
  <c r="M4664" i="1"/>
  <c r="K5050" i="1"/>
  <c r="L5050" i="1"/>
  <c r="K5051" i="1"/>
  <c r="L5051" i="1"/>
  <c r="K5052" i="1"/>
  <c r="L5052" i="1"/>
  <c r="K5053" i="1"/>
  <c r="L5053" i="1"/>
  <c r="K5054" i="1"/>
  <c r="L5054" i="1"/>
  <c r="K5055" i="1"/>
  <c r="L5055" i="1"/>
  <c r="K5056" i="1"/>
  <c r="L5056" i="1"/>
  <c r="K5057" i="1"/>
  <c r="L5057" i="1"/>
  <c r="K5058" i="1"/>
  <c r="L5058" i="1"/>
  <c r="K5059" i="1"/>
  <c r="L5059" i="1"/>
  <c r="K5060" i="1"/>
  <c r="L5060" i="1"/>
  <c r="K5061" i="1"/>
  <c r="L5061" i="1"/>
  <c r="K5063" i="1"/>
  <c r="L5063" i="1"/>
  <c r="K5064" i="1"/>
  <c r="L5064" i="1"/>
  <c r="K5065" i="1"/>
  <c r="L5065" i="1"/>
  <c r="K5066" i="1"/>
  <c r="L5066" i="1"/>
  <c r="K5067" i="1"/>
  <c r="L5067" i="1"/>
  <c r="K5068" i="1"/>
  <c r="L5068" i="1"/>
  <c r="K5069" i="1"/>
  <c r="L5069" i="1"/>
  <c r="K5070" i="1"/>
  <c r="L5070" i="1"/>
  <c r="K5071" i="1"/>
  <c r="L5071" i="1"/>
  <c r="K5072" i="1"/>
  <c r="L5072" i="1"/>
  <c r="K5073" i="1"/>
  <c r="L5073" i="1"/>
  <c r="K5074" i="1"/>
  <c r="L5074" i="1"/>
  <c r="K5075" i="1"/>
  <c r="L5075" i="1"/>
  <c r="K5041" i="1"/>
  <c r="L5041" i="1"/>
  <c r="K5042" i="1"/>
  <c r="L5042" i="1"/>
  <c r="K5043" i="1"/>
  <c r="L5043" i="1"/>
  <c r="K5044" i="1"/>
  <c r="L5044" i="1"/>
  <c r="K5045" i="1"/>
  <c r="L5045" i="1"/>
  <c r="K5046" i="1"/>
  <c r="L5046" i="1"/>
  <c r="K5047" i="1"/>
  <c r="L5047" i="1"/>
  <c r="K5048" i="1"/>
  <c r="L5048" i="1"/>
  <c r="K5049" i="1"/>
  <c r="L5049" i="1"/>
  <c r="K4665" i="1"/>
  <c r="L4665" i="1"/>
  <c r="M4665" i="1"/>
  <c r="K5085" i="1"/>
  <c r="L5085" i="1"/>
  <c r="K5086" i="1"/>
  <c r="L5086" i="1"/>
  <c r="K5087" i="1"/>
  <c r="L5087" i="1"/>
  <c r="K5088" i="1"/>
  <c r="L5088" i="1"/>
  <c r="K5089" i="1"/>
  <c r="L5089" i="1"/>
  <c r="K5090" i="1"/>
  <c r="L5090" i="1"/>
  <c r="K5091" i="1"/>
  <c r="L5091" i="1"/>
  <c r="K5092" i="1"/>
  <c r="L5092" i="1"/>
  <c r="K5093" i="1"/>
  <c r="L5093" i="1"/>
  <c r="K5094" i="1"/>
  <c r="L5094" i="1"/>
  <c r="K5096" i="1"/>
  <c r="L5096" i="1"/>
  <c r="K5097" i="1"/>
  <c r="L5097" i="1"/>
  <c r="K5098" i="1"/>
  <c r="L5098" i="1"/>
  <c r="K5099" i="1"/>
  <c r="L5099" i="1"/>
  <c r="K5100" i="1"/>
  <c r="L5100" i="1"/>
  <c r="K5101" i="1"/>
  <c r="L5101" i="1"/>
  <c r="K5102" i="1"/>
  <c r="L5102" i="1"/>
  <c r="K5103" i="1"/>
  <c r="L5103" i="1"/>
  <c r="K5104" i="1"/>
  <c r="L5104" i="1"/>
  <c r="K5095" i="1"/>
  <c r="L5095" i="1"/>
  <c r="K5076" i="1"/>
  <c r="L5076" i="1"/>
  <c r="K5077" i="1"/>
  <c r="L5077" i="1"/>
  <c r="K5078" i="1"/>
  <c r="L5078" i="1"/>
  <c r="K5079" i="1"/>
  <c r="L5079" i="1"/>
  <c r="K5080" i="1"/>
  <c r="L5080" i="1"/>
  <c r="K5081" i="1"/>
  <c r="L5081" i="1"/>
  <c r="K5082" i="1"/>
  <c r="L5082" i="1"/>
  <c r="K5083" i="1"/>
  <c r="L5083" i="1"/>
  <c r="K5084" i="1"/>
  <c r="L5084" i="1"/>
  <c r="K4666" i="1"/>
  <c r="L4666" i="1"/>
  <c r="M4666" i="1"/>
  <c r="K5111" i="1"/>
  <c r="L5111" i="1"/>
  <c r="K5112" i="1"/>
  <c r="L5112" i="1"/>
  <c r="K5113" i="1"/>
  <c r="L5113" i="1"/>
  <c r="K5114" i="1"/>
  <c r="L5114" i="1"/>
  <c r="K5115" i="1"/>
  <c r="L5115" i="1"/>
  <c r="K5116" i="1"/>
  <c r="L5116" i="1"/>
  <c r="K5117" i="1"/>
  <c r="L5117" i="1"/>
  <c r="K5118" i="1"/>
  <c r="L5118" i="1"/>
  <c r="K5119" i="1"/>
  <c r="L5119" i="1"/>
  <c r="K5120" i="1"/>
  <c r="L5120" i="1"/>
  <c r="K5121" i="1"/>
  <c r="L5121" i="1"/>
  <c r="K5122" i="1"/>
  <c r="L5122" i="1"/>
  <c r="K5123" i="1"/>
  <c r="L5123" i="1"/>
  <c r="K5124" i="1"/>
  <c r="L5124" i="1"/>
  <c r="K5125" i="1"/>
  <c r="L5125" i="1"/>
  <c r="K5126" i="1"/>
  <c r="L5126" i="1"/>
  <c r="K5127" i="1"/>
  <c r="L5127" i="1"/>
  <c r="K5128" i="1"/>
  <c r="L5128" i="1"/>
  <c r="K5129" i="1"/>
  <c r="L5129" i="1"/>
  <c r="K5105" i="1"/>
  <c r="L5105" i="1"/>
  <c r="K5106" i="1"/>
  <c r="L5106" i="1"/>
  <c r="K5107" i="1"/>
  <c r="L5107" i="1"/>
  <c r="K5108" i="1"/>
  <c r="L5108" i="1"/>
  <c r="K5109" i="1"/>
  <c r="L5109" i="1"/>
  <c r="K5110" i="1"/>
  <c r="L5110" i="1"/>
  <c r="K5135" i="1"/>
  <c r="L5135" i="1"/>
  <c r="K5136" i="1"/>
  <c r="L5136" i="1"/>
  <c r="K5137" i="1"/>
  <c r="L5137" i="1"/>
  <c r="K5138" i="1"/>
  <c r="L5138" i="1"/>
  <c r="K5139" i="1"/>
  <c r="L5139" i="1"/>
  <c r="K5140" i="1"/>
  <c r="L5140" i="1"/>
  <c r="K5141" i="1"/>
  <c r="L5141" i="1"/>
  <c r="K5142" i="1"/>
  <c r="L5142" i="1"/>
  <c r="K5143" i="1"/>
  <c r="L5143" i="1"/>
  <c r="K5144" i="1"/>
  <c r="L5144" i="1"/>
  <c r="K5145" i="1"/>
  <c r="L5145" i="1"/>
  <c r="K5146" i="1"/>
  <c r="L5146" i="1"/>
  <c r="K5147" i="1"/>
  <c r="L5147" i="1"/>
  <c r="K5148" i="1"/>
  <c r="L5148" i="1"/>
  <c r="K5149" i="1"/>
  <c r="L5149" i="1"/>
  <c r="K5150" i="1"/>
  <c r="L5150" i="1"/>
  <c r="K5151" i="1"/>
  <c r="L5151" i="1"/>
  <c r="K5152" i="1"/>
  <c r="L5152" i="1"/>
  <c r="K5153" i="1"/>
  <c r="L5153" i="1"/>
  <c r="K5154" i="1"/>
  <c r="L5154" i="1"/>
  <c r="K5155" i="1"/>
  <c r="L5155" i="1"/>
  <c r="K5156" i="1"/>
  <c r="L5156" i="1"/>
  <c r="K5157" i="1"/>
  <c r="L5157" i="1"/>
  <c r="K5158" i="1"/>
  <c r="L5158" i="1"/>
  <c r="K5159" i="1"/>
  <c r="L5159" i="1"/>
  <c r="K5160" i="1"/>
  <c r="L5160" i="1"/>
  <c r="K5161" i="1"/>
  <c r="L5161" i="1"/>
  <c r="K5162" i="1"/>
  <c r="L5162" i="1"/>
  <c r="K5131" i="1"/>
  <c r="L5131" i="1"/>
  <c r="K5132" i="1"/>
  <c r="L5132" i="1"/>
  <c r="K5133" i="1"/>
  <c r="L5133" i="1"/>
  <c r="K5134" i="1"/>
  <c r="L5134" i="1"/>
  <c r="K4667" i="1"/>
  <c r="L4667" i="1"/>
  <c r="M4667" i="1"/>
  <c r="K5167" i="1"/>
  <c r="L5167" i="1"/>
  <c r="K5168" i="1"/>
  <c r="L5168" i="1"/>
  <c r="K5169" i="1"/>
  <c r="L5169" i="1"/>
  <c r="K5170" i="1"/>
  <c r="L5170" i="1"/>
  <c r="K5171" i="1"/>
  <c r="L5171" i="1"/>
  <c r="K5172" i="1"/>
  <c r="L5172" i="1"/>
  <c r="K5173" i="1"/>
  <c r="L5173" i="1"/>
  <c r="K5174" i="1"/>
  <c r="L5174" i="1"/>
  <c r="K5175" i="1"/>
  <c r="L5175" i="1"/>
  <c r="K5176" i="1"/>
  <c r="L5176" i="1"/>
  <c r="K5177" i="1"/>
  <c r="L5177" i="1"/>
  <c r="K5178" i="1"/>
  <c r="L5178" i="1"/>
  <c r="K5179" i="1"/>
  <c r="L5179" i="1"/>
  <c r="K5180" i="1"/>
  <c r="L5180" i="1"/>
  <c r="K5181" i="1"/>
  <c r="L5181" i="1"/>
  <c r="K5182" i="1"/>
  <c r="L5182" i="1"/>
  <c r="K5183" i="1"/>
  <c r="L5183" i="1"/>
  <c r="K5184" i="1"/>
  <c r="L5184" i="1"/>
  <c r="K5185" i="1"/>
  <c r="L5185" i="1"/>
  <c r="K5186" i="1"/>
  <c r="L5186" i="1"/>
  <c r="K5163" i="1"/>
  <c r="L5163" i="1"/>
  <c r="K5164" i="1"/>
  <c r="L5164" i="1"/>
  <c r="K5165" i="1"/>
  <c r="L5165" i="1"/>
  <c r="K5166" i="1"/>
  <c r="L5166" i="1"/>
  <c r="K4668" i="1"/>
  <c r="L4668" i="1"/>
  <c r="M4668" i="1"/>
  <c r="K5190" i="1"/>
  <c r="L5190" i="1"/>
  <c r="K5191" i="1"/>
  <c r="L5191" i="1"/>
  <c r="K5192" i="1"/>
  <c r="L5192" i="1"/>
  <c r="K5193" i="1"/>
  <c r="L5193" i="1"/>
  <c r="K5194" i="1"/>
  <c r="L5194" i="1"/>
  <c r="K5195" i="1"/>
  <c r="L5195" i="1"/>
  <c r="K5187" i="1"/>
  <c r="L5187" i="1"/>
  <c r="K5188" i="1"/>
  <c r="L5188" i="1"/>
  <c r="K5189" i="1"/>
  <c r="L5189" i="1"/>
  <c r="K4669" i="1"/>
  <c r="L4669" i="1"/>
  <c r="M4669" i="1"/>
  <c r="K5256" i="1"/>
  <c r="L5256" i="1"/>
  <c r="K5257" i="1"/>
  <c r="L5257" i="1"/>
  <c r="K5258" i="1"/>
  <c r="L5258" i="1"/>
  <c r="K5259" i="1"/>
  <c r="L5259" i="1"/>
  <c r="K5260" i="1"/>
  <c r="L5260" i="1"/>
  <c r="K5261" i="1"/>
  <c r="L5261" i="1"/>
  <c r="K5262" i="1"/>
  <c r="L5262" i="1"/>
  <c r="K5263" i="1"/>
  <c r="L5263" i="1"/>
  <c r="K5264" i="1"/>
  <c r="L5264" i="1"/>
  <c r="K5265" i="1"/>
  <c r="L5265" i="1"/>
  <c r="K5266" i="1"/>
  <c r="L5266" i="1"/>
  <c r="K5267" i="1"/>
  <c r="L5267" i="1"/>
  <c r="K5268" i="1"/>
  <c r="L5268" i="1"/>
  <c r="K5269" i="1"/>
  <c r="L5269" i="1"/>
  <c r="K5270" i="1"/>
  <c r="L5270" i="1"/>
  <c r="K5271" i="1"/>
  <c r="L5271" i="1"/>
  <c r="K5272" i="1"/>
  <c r="L5272" i="1"/>
  <c r="K5273" i="1"/>
  <c r="L5273" i="1"/>
  <c r="K5274" i="1"/>
  <c r="L5274" i="1"/>
  <c r="K5275" i="1"/>
  <c r="L5275" i="1"/>
  <c r="K5276" i="1"/>
  <c r="L5276" i="1"/>
  <c r="K5277" i="1"/>
  <c r="L5277" i="1"/>
  <c r="K5278" i="1"/>
  <c r="L5278" i="1"/>
  <c r="K5279" i="1"/>
  <c r="L5279" i="1"/>
  <c r="K5280" i="1"/>
  <c r="L5280" i="1"/>
  <c r="K5281" i="1"/>
  <c r="L5281" i="1"/>
  <c r="K5282" i="1"/>
  <c r="L5282" i="1"/>
  <c r="K5283" i="1"/>
  <c r="L5283" i="1"/>
  <c r="K5284" i="1"/>
  <c r="L5284" i="1"/>
  <c r="K5285" i="1"/>
  <c r="L5285" i="1"/>
  <c r="K5286" i="1"/>
  <c r="L5286" i="1"/>
  <c r="K5287" i="1"/>
  <c r="L5287" i="1"/>
  <c r="K5288" i="1"/>
  <c r="L5288" i="1"/>
  <c r="K5289" i="1"/>
  <c r="L5289" i="1"/>
  <c r="K5290" i="1"/>
  <c r="L5290" i="1"/>
  <c r="K5292" i="1"/>
  <c r="L5292" i="1"/>
  <c r="K5293" i="1"/>
  <c r="L5293" i="1"/>
  <c r="K5294" i="1"/>
  <c r="L5294" i="1"/>
  <c r="K5295" i="1"/>
  <c r="L5295" i="1"/>
  <c r="K5296" i="1"/>
  <c r="L5296" i="1"/>
  <c r="K5297" i="1"/>
  <c r="L5297" i="1"/>
  <c r="K5298" i="1"/>
  <c r="L5298" i="1"/>
  <c r="K5299" i="1"/>
  <c r="L5299" i="1"/>
  <c r="K5300" i="1"/>
  <c r="L5300" i="1"/>
  <c r="K5301" i="1"/>
  <c r="L5301" i="1"/>
  <c r="K5302" i="1"/>
  <c r="L5302" i="1"/>
  <c r="K5303" i="1"/>
  <c r="L5303" i="1"/>
  <c r="K5304" i="1"/>
  <c r="L5304" i="1"/>
  <c r="K5305" i="1"/>
  <c r="L5305" i="1"/>
  <c r="K5306" i="1"/>
  <c r="L5306" i="1"/>
  <c r="K5307" i="1"/>
  <c r="L5307" i="1"/>
  <c r="K5308" i="1"/>
  <c r="L5308" i="1"/>
  <c r="K5309" i="1"/>
  <c r="L5309" i="1"/>
  <c r="K5196" i="1"/>
  <c r="L5196" i="1"/>
  <c r="K5197" i="1"/>
  <c r="L5197" i="1"/>
  <c r="K5198" i="1"/>
  <c r="L5198" i="1"/>
  <c r="K5199" i="1"/>
  <c r="L5199" i="1"/>
  <c r="K5200" i="1"/>
  <c r="L5200" i="1"/>
  <c r="K5201" i="1"/>
  <c r="L5201" i="1"/>
  <c r="K5202" i="1"/>
  <c r="L5202" i="1"/>
  <c r="K5203" i="1"/>
  <c r="L5203" i="1"/>
  <c r="K5204" i="1"/>
  <c r="L5204" i="1"/>
  <c r="K5205" i="1"/>
  <c r="L5205" i="1"/>
  <c r="K5206" i="1"/>
  <c r="L5206" i="1"/>
  <c r="K5207" i="1"/>
  <c r="L5207" i="1"/>
  <c r="K5208" i="1"/>
  <c r="L5208" i="1"/>
  <c r="K5209" i="1"/>
  <c r="L5209" i="1"/>
  <c r="K5210" i="1"/>
  <c r="L5210" i="1"/>
  <c r="K5211" i="1"/>
  <c r="L5211" i="1"/>
  <c r="K5212" i="1"/>
  <c r="L5212" i="1"/>
  <c r="K5213" i="1"/>
  <c r="L5213" i="1"/>
  <c r="K5214" i="1"/>
  <c r="L5214" i="1"/>
  <c r="K5215" i="1"/>
  <c r="L5215" i="1"/>
  <c r="K5216" i="1"/>
  <c r="L5216" i="1"/>
  <c r="K5217" i="1"/>
  <c r="L5217" i="1"/>
  <c r="K5218" i="1"/>
  <c r="L5218" i="1"/>
  <c r="K5219" i="1"/>
  <c r="L5219" i="1"/>
  <c r="K5220" i="1"/>
  <c r="L5220" i="1"/>
  <c r="K5221" i="1"/>
  <c r="L5221" i="1"/>
  <c r="K5222" i="1"/>
  <c r="L5222" i="1"/>
  <c r="K5223" i="1"/>
  <c r="L5223" i="1"/>
  <c r="K5224" i="1"/>
  <c r="L5224" i="1"/>
  <c r="K5225" i="1"/>
  <c r="L5225" i="1"/>
  <c r="K5226" i="1"/>
  <c r="L5226" i="1"/>
  <c r="K5227" i="1"/>
  <c r="L5227" i="1"/>
  <c r="K5228" i="1"/>
  <c r="L5228" i="1"/>
  <c r="K5229" i="1"/>
  <c r="L5229" i="1"/>
  <c r="K5230" i="1"/>
  <c r="L5230" i="1"/>
  <c r="K5231" i="1"/>
  <c r="L5231" i="1"/>
  <c r="K5232" i="1"/>
  <c r="L5232" i="1"/>
  <c r="K5233" i="1"/>
  <c r="L5233" i="1"/>
  <c r="K5234" i="1"/>
  <c r="L5234" i="1"/>
  <c r="K5235" i="1"/>
  <c r="L5235" i="1"/>
  <c r="K5236" i="1"/>
  <c r="L5236" i="1"/>
  <c r="K5237" i="1"/>
  <c r="L5237" i="1"/>
  <c r="K5238" i="1"/>
  <c r="L5238" i="1"/>
  <c r="K5239" i="1"/>
  <c r="L5239" i="1"/>
  <c r="K5240" i="1"/>
  <c r="L5240" i="1"/>
  <c r="K5241" i="1"/>
  <c r="L5241" i="1"/>
  <c r="K5242" i="1"/>
  <c r="L5242" i="1"/>
  <c r="K5243" i="1"/>
  <c r="L5243" i="1"/>
  <c r="K5244" i="1"/>
  <c r="L5244" i="1"/>
  <c r="K5245" i="1"/>
  <c r="L5245" i="1"/>
  <c r="K5246" i="1"/>
  <c r="L5246" i="1"/>
  <c r="K5247" i="1"/>
  <c r="L5247" i="1"/>
  <c r="K5248" i="1"/>
  <c r="L5248" i="1"/>
  <c r="K5249" i="1"/>
  <c r="L5249" i="1"/>
  <c r="K5250" i="1"/>
  <c r="L5250" i="1"/>
  <c r="K5251" i="1"/>
  <c r="L5251" i="1"/>
  <c r="K5252" i="1"/>
  <c r="L5252" i="1"/>
  <c r="K5253" i="1"/>
  <c r="L5253" i="1"/>
  <c r="K5254" i="1"/>
  <c r="L5254" i="1"/>
  <c r="K5255" i="1"/>
  <c r="L5255" i="1"/>
  <c r="K4671" i="1"/>
  <c r="L4671" i="1"/>
  <c r="M4671" i="1"/>
  <c r="K4714" i="1"/>
  <c r="L4714" i="1"/>
  <c r="M4714" i="1"/>
  <c r="K4715" i="1"/>
  <c r="L4715" i="1"/>
  <c r="M4715" i="1"/>
  <c r="K4716" i="1"/>
  <c r="L4716" i="1"/>
  <c r="M4716" i="1"/>
  <c r="K4717" i="1"/>
  <c r="L4717" i="1"/>
  <c r="M4717" i="1"/>
  <c r="K4718" i="1"/>
  <c r="L4718" i="1"/>
  <c r="M4718" i="1"/>
  <c r="K4719" i="1"/>
  <c r="L4719" i="1"/>
  <c r="M4719" i="1"/>
  <c r="K4720" i="1"/>
  <c r="L4720" i="1"/>
  <c r="M4720" i="1"/>
  <c r="K4721" i="1"/>
  <c r="L4721" i="1"/>
  <c r="M4721" i="1"/>
  <c r="K4722" i="1"/>
  <c r="L4722" i="1"/>
  <c r="M4722" i="1"/>
  <c r="K4723" i="1"/>
  <c r="L4723" i="1"/>
  <c r="M4723" i="1"/>
  <c r="K4724" i="1"/>
  <c r="L4724" i="1"/>
  <c r="M4724" i="1"/>
  <c r="K4725" i="1"/>
  <c r="L4725" i="1"/>
  <c r="M4725" i="1"/>
  <c r="K4726" i="1"/>
  <c r="L4726" i="1"/>
  <c r="M4726" i="1"/>
  <c r="K4727" i="1"/>
  <c r="L4727" i="1"/>
  <c r="M4727" i="1"/>
  <c r="K4728" i="1"/>
  <c r="L4728" i="1"/>
  <c r="M4728" i="1"/>
  <c r="K4729" i="1"/>
  <c r="L4729" i="1"/>
  <c r="M4729" i="1"/>
  <c r="K4730" i="1"/>
  <c r="L4730" i="1"/>
  <c r="M4730" i="1"/>
  <c r="K4731" i="1"/>
  <c r="L4731" i="1"/>
  <c r="M4731" i="1"/>
  <c r="K4735" i="1"/>
  <c r="L4735" i="1"/>
  <c r="M4735" i="1"/>
  <c r="K4736" i="1"/>
  <c r="L4736" i="1"/>
  <c r="M4736" i="1"/>
  <c r="K4737" i="1"/>
  <c r="L4737" i="1"/>
  <c r="M4737" i="1"/>
  <c r="K4738" i="1"/>
  <c r="L4738" i="1"/>
  <c r="M4738" i="1"/>
  <c r="K4739" i="1"/>
  <c r="L4739" i="1"/>
  <c r="M4739" i="1"/>
  <c r="K4740" i="1"/>
  <c r="L4740" i="1"/>
  <c r="M4740" i="1"/>
  <c r="K4741" i="1"/>
  <c r="L4741" i="1"/>
  <c r="M4741" i="1"/>
  <c r="K4742" i="1"/>
  <c r="L4742" i="1"/>
  <c r="M4742" i="1"/>
  <c r="K4743" i="1"/>
  <c r="L4743" i="1"/>
  <c r="M4743" i="1"/>
  <c r="K4744" i="1"/>
  <c r="L4744" i="1"/>
  <c r="M4744" i="1"/>
  <c r="K4745" i="1"/>
  <c r="L4745" i="1"/>
  <c r="M4745" i="1"/>
  <c r="K4746" i="1"/>
  <c r="L4746" i="1"/>
  <c r="M4746" i="1"/>
  <c r="K4747" i="1"/>
  <c r="L4747" i="1"/>
  <c r="M4747" i="1"/>
  <c r="K4748" i="1"/>
  <c r="L4748" i="1"/>
  <c r="M4748" i="1"/>
  <c r="K4749" i="1"/>
  <c r="L4749" i="1"/>
  <c r="M4749" i="1"/>
  <c r="K4750" i="1"/>
  <c r="L4750" i="1"/>
  <c r="M4750" i="1"/>
  <c r="K4751" i="1"/>
  <c r="L4751" i="1"/>
  <c r="M4751" i="1"/>
  <c r="K4752" i="1"/>
  <c r="L4752" i="1"/>
  <c r="M4752" i="1"/>
  <c r="K4753" i="1"/>
  <c r="L4753" i="1"/>
  <c r="M4753" i="1"/>
  <c r="K4754" i="1"/>
  <c r="L4754" i="1"/>
  <c r="M4754" i="1"/>
  <c r="K4755" i="1"/>
  <c r="L4755" i="1"/>
  <c r="M4755" i="1"/>
  <c r="K4756" i="1"/>
  <c r="L4756" i="1"/>
  <c r="M4756" i="1"/>
  <c r="K4757" i="1"/>
  <c r="L4757" i="1"/>
  <c r="M4757" i="1"/>
  <c r="K4758" i="1"/>
  <c r="L4758" i="1"/>
  <c r="M4758" i="1"/>
  <c r="K4759" i="1"/>
  <c r="L4759" i="1"/>
  <c r="M4759" i="1"/>
  <c r="K4760" i="1"/>
  <c r="L4760" i="1"/>
  <c r="M4760" i="1"/>
  <c r="K4761" i="1"/>
  <c r="L4761" i="1"/>
  <c r="M4761" i="1"/>
  <c r="K4762" i="1"/>
  <c r="L4762" i="1"/>
  <c r="M4762" i="1"/>
  <c r="K4763" i="1"/>
  <c r="L4763" i="1"/>
  <c r="M4763" i="1"/>
  <c r="K4764" i="1"/>
  <c r="L4764" i="1"/>
  <c r="M4764" i="1"/>
  <c r="K4765" i="1"/>
  <c r="L4765" i="1"/>
  <c r="M4765" i="1"/>
  <c r="K4766" i="1"/>
  <c r="L4766" i="1"/>
  <c r="M4766" i="1"/>
  <c r="K4767" i="1"/>
  <c r="L4767" i="1"/>
  <c r="M4767" i="1"/>
  <c r="K4768" i="1"/>
  <c r="L4768" i="1"/>
  <c r="M4768" i="1"/>
  <c r="K4769" i="1"/>
  <c r="L4769" i="1"/>
  <c r="M4769" i="1"/>
  <c r="K4770" i="1"/>
  <c r="L4770" i="1"/>
  <c r="M4770" i="1"/>
  <c r="K4771" i="1"/>
  <c r="L4771" i="1"/>
  <c r="M4771" i="1"/>
  <c r="K4772" i="1"/>
  <c r="L4772" i="1"/>
  <c r="M4772" i="1"/>
  <c r="K4773" i="1"/>
  <c r="L4773" i="1"/>
  <c r="M4773" i="1"/>
  <c r="K4774" i="1"/>
  <c r="L4774" i="1"/>
  <c r="M4774" i="1"/>
  <c r="K4775" i="1"/>
  <c r="L4775" i="1"/>
  <c r="M4775" i="1"/>
  <c r="K4776" i="1"/>
  <c r="L4776" i="1"/>
  <c r="M4776" i="1"/>
  <c r="K4777" i="1"/>
  <c r="L4777" i="1"/>
  <c r="M4777" i="1"/>
  <c r="K4778" i="1"/>
  <c r="L4778" i="1"/>
  <c r="M4778" i="1"/>
  <c r="K4779" i="1"/>
  <c r="L4779" i="1"/>
  <c r="M4779" i="1"/>
  <c r="K4780" i="1"/>
  <c r="L4780" i="1"/>
  <c r="M4780" i="1"/>
  <c r="K4781" i="1"/>
  <c r="L4781" i="1"/>
  <c r="M4781" i="1"/>
  <c r="K4782" i="1"/>
  <c r="L4782" i="1"/>
  <c r="M4782" i="1"/>
  <c r="K4783" i="1"/>
  <c r="L4783" i="1"/>
  <c r="M4783" i="1"/>
  <c r="K4784" i="1"/>
  <c r="L4784" i="1"/>
  <c r="M4784" i="1"/>
  <c r="K4785" i="1"/>
  <c r="L4785" i="1"/>
  <c r="M4785" i="1"/>
  <c r="K4786" i="1"/>
  <c r="L4786" i="1"/>
  <c r="M4786" i="1"/>
  <c r="K4787" i="1"/>
  <c r="L4787" i="1"/>
  <c r="M4787" i="1"/>
  <c r="K4788" i="1"/>
  <c r="L4788" i="1"/>
  <c r="M4788" i="1"/>
  <c r="K4789" i="1"/>
  <c r="L4789" i="1"/>
  <c r="M4789" i="1"/>
  <c r="K4790" i="1"/>
  <c r="L4790" i="1"/>
  <c r="M4790" i="1"/>
  <c r="K4791" i="1"/>
  <c r="L4791" i="1"/>
  <c r="M4791" i="1"/>
  <c r="K4792" i="1"/>
  <c r="L4792" i="1"/>
  <c r="M4792" i="1"/>
  <c r="K4793" i="1"/>
  <c r="L4793" i="1"/>
  <c r="M4793" i="1"/>
  <c r="K4794" i="1"/>
  <c r="L4794" i="1"/>
  <c r="M4794" i="1"/>
  <c r="K4795" i="1"/>
  <c r="L4795" i="1"/>
  <c r="M4795" i="1"/>
  <c r="K4796" i="1"/>
  <c r="L4796" i="1"/>
  <c r="M4796" i="1"/>
  <c r="K4797" i="1"/>
  <c r="L4797" i="1"/>
  <c r="M4797" i="1"/>
  <c r="K4798" i="1"/>
  <c r="L4798" i="1"/>
  <c r="M4798" i="1"/>
  <c r="K4799" i="1"/>
  <c r="L4799" i="1"/>
  <c r="M4799" i="1"/>
  <c r="K4800" i="1"/>
  <c r="L4800" i="1"/>
  <c r="M4800" i="1"/>
  <c r="K4801" i="1"/>
  <c r="L4801" i="1"/>
  <c r="M4801" i="1"/>
  <c r="K4802" i="1"/>
  <c r="L4802" i="1"/>
  <c r="M4802" i="1"/>
  <c r="K4803" i="1"/>
  <c r="L4803" i="1"/>
  <c r="M4803" i="1"/>
  <c r="K4804" i="1"/>
  <c r="L4804" i="1"/>
  <c r="M4804" i="1"/>
  <c r="K4805" i="1"/>
  <c r="L4805" i="1"/>
  <c r="M4805" i="1"/>
  <c r="K4806" i="1"/>
  <c r="L4806" i="1"/>
  <c r="M4806" i="1"/>
  <c r="K4807" i="1"/>
  <c r="L4807" i="1"/>
  <c r="M4807" i="1"/>
  <c r="K4808" i="1"/>
  <c r="L4808" i="1"/>
  <c r="M4808" i="1"/>
  <c r="K4809" i="1"/>
  <c r="L4809" i="1"/>
  <c r="M4809" i="1"/>
  <c r="K4810" i="1"/>
  <c r="L4810" i="1"/>
  <c r="M4810" i="1"/>
  <c r="K4811" i="1"/>
  <c r="L4811" i="1"/>
  <c r="M4811" i="1"/>
  <c r="K4812" i="1"/>
  <c r="L4812" i="1"/>
  <c r="M4812" i="1"/>
  <c r="K4813" i="1"/>
  <c r="L4813" i="1"/>
  <c r="M4813" i="1"/>
  <c r="K4814" i="1"/>
  <c r="L4814" i="1"/>
  <c r="M4814" i="1"/>
  <c r="K4815" i="1"/>
  <c r="L4815" i="1"/>
  <c r="M4815" i="1"/>
  <c r="K4816" i="1"/>
  <c r="L4816" i="1"/>
  <c r="M4816" i="1"/>
  <c r="K4817" i="1"/>
  <c r="L4817" i="1"/>
  <c r="M4817" i="1"/>
  <c r="K4818" i="1"/>
  <c r="L4818" i="1"/>
  <c r="M4818" i="1"/>
  <c r="K4819" i="1"/>
  <c r="L4819" i="1"/>
  <c r="M4819" i="1"/>
  <c r="K4820" i="1"/>
  <c r="L4820" i="1"/>
  <c r="M4820" i="1"/>
  <c r="K4821" i="1"/>
  <c r="L4821" i="1"/>
  <c r="M4821" i="1"/>
  <c r="K4822" i="1"/>
  <c r="L4822" i="1"/>
  <c r="M4822" i="1"/>
  <c r="K4823" i="1"/>
  <c r="L4823" i="1"/>
  <c r="M4823" i="1"/>
  <c r="K4824" i="1"/>
  <c r="L4824" i="1"/>
  <c r="M4824" i="1"/>
  <c r="K4825" i="1"/>
  <c r="L4825" i="1"/>
  <c r="M4825" i="1"/>
  <c r="K4826" i="1"/>
  <c r="L4826" i="1"/>
  <c r="M4826" i="1"/>
  <c r="K4827" i="1"/>
  <c r="L4827" i="1"/>
  <c r="M4827" i="1"/>
  <c r="K4828" i="1"/>
  <c r="L4828" i="1"/>
  <c r="M4828" i="1"/>
  <c r="K4829" i="1"/>
  <c r="L4829" i="1"/>
  <c r="M4829" i="1"/>
  <c r="K4830" i="1"/>
  <c r="L4830" i="1"/>
  <c r="M4830" i="1"/>
  <c r="K4831" i="1"/>
  <c r="L4831" i="1"/>
  <c r="M4831" i="1"/>
  <c r="K4832" i="1"/>
  <c r="L4832" i="1"/>
  <c r="M4832" i="1"/>
  <c r="K4833" i="1"/>
  <c r="L4833" i="1"/>
  <c r="M4833" i="1"/>
  <c r="K4834" i="1"/>
  <c r="L4834" i="1"/>
  <c r="M4834" i="1"/>
  <c r="K4835" i="1"/>
  <c r="L4835" i="1"/>
  <c r="M4835" i="1"/>
  <c r="K4836" i="1"/>
  <c r="L4836" i="1"/>
  <c r="M4836" i="1"/>
  <c r="K4837" i="1"/>
  <c r="L4837" i="1"/>
  <c r="M4837" i="1"/>
  <c r="K4838" i="1"/>
  <c r="L4838" i="1"/>
  <c r="M4838" i="1"/>
  <c r="K4839" i="1"/>
  <c r="L4839" i="1"/>
  <c r="M4839" i="1"/>
  <c r="K4840" i="1"/>
  <c r="L4840" i="1"/>
  <c r="M4840" i="1"/>
  <c r="K4857" i="1"/>
  <c r="L4857" i="1"/>
  <c r="M4857" i="1"/>
  <c r="K4858" i="1"/>
  <c r="L4858" i="1"/>
  <c r="M4858" i="1"/>
  <c r="K4859" i="1"/>
  <c r="L4859" i="1"/>
  <c r="M4859" i="1"/>
  <c r="K4860" i="1"/>
  <c r="L4860" i="1"/>
  <c r="M4860" i="1"/>
  <c r="K4861" i="1"/>
  <c r="L4861" i="1"/>
  <c r="M4861" i="1"/>
  <c r="K4862" i="1"/>
  <c r="L4862" i="1"/>
  <c r="M4862" i="1"/>
  <c r="K4863" i="1"/>
  <c r="L4863" i="1"/>
  <c r="M4863" i="1"/>
  <c r="K4864" i="1"/>
  <c r="L4864" i="1"/>
  <c r="M4864" i="1"/>
  <c r="K4865" i="1"/>
  <c r="L4865" i="1"/>
  <c r="M4865" i="1"/>
  <c r="K4866" i="1"/>
  <c r="L4866" i="1"/>
  <c r="M4866" i="1"/>
  <c r="K4867" i="1"/>
  <c r="L4867" i="1"/>
  <c r="M4867" i="1"/>
  <c r="K4868" i="1"/>
  <c r="L4868" i="1"/>
  <c r="M4868" i="1"/>
  <c r="K4869" i="1"/>
  <c r="L4869" i="1"/>
  <c r="M4869" i="1"/>
  <c r="K4870" i="1"/>
  <c r="L4870" i="1"/>
  <c r="M4870" i="1"/>
  <c r="K4871" i="1"/>
  <c r="L4871" i="1"/>
  <c r="M4871" i="1"/>
  <c r="K4872" i="1"/>
  <c r="L4872" i="1"/>
  <c r="M4872" i="1"/>
  <c r="K4873" i="1"/>
  <c r="L4873" i="1"/>
  <c r="M4873" i="1"/>
  <c r="K4874" i="1"/>
  <c r="L4874" i="1"/>
  <c r="M4874" i="1"/>
  <c r="K4875" i="1"/>
  <c r="L4875" i="1"/>
  <c r="M4875" i="1"/>
  <c r="K4876" i="1"/>
  <c r="L4876" i="1"/>
  <c r="M4876" i="1"/>
  <c r="K4877" i="1"/>
  <c r="L4877" i="1"/>
  <c r="M4877" i="1"/>
  <c r="K4878" i="1"/>
  <c r="L4878" i="1"/>
  <c r="M4878" i="1"/>
  <c r="K4879" i="1"/>
  <c r="L4879" i="1"/>
  <c r="M4879" i="1"/>
  <c r="K4880" i="1"/>
  <c r="L4880" i="1"/>
  <c r="M4880" i="1"/>
  <c r="K4881" i="1"/>
  <c r="L4881" i="1"/>
  <c r="M4881" i="1"/>
  <c r="K4882" i="1"/>
  <c r="L4882" i="1"/>
  <c r="M4882" i="1"/>
  <c r="K4883" i="1"/>
  <c r="L4883" i="1"/>
  <c r="M4883" i="1"/>
  <c r="K4884" i="1"/>
  <c r="L4884" i="1"/>
  <c r="M4884" i="1"/>
  <c r="K4885" i="1"/>
  <c r="L4885" i="1"/>
  <c r="M4885" i="1"/>
  <c r="K4886" i="1"/>
  <c r="L4886" i="1"/>
  <c r="M4886" i="1"/>
  <c r="K4887" i="1"/>
  <c r="L4887" i="1"/>
  <c r="M4887" i="1"/>
  <c r="K4901" i="1"/>
  <c r="L4901" i="1"/>
  <c r="M4901" i="1"/>
  <c r="K4902" i="1"/>
  <c r="L4902" i="1"/>
  <c r="M4902" i="1"/>
  <c r="K4903" i="1"/>
  <c r="L4903" i="1"/>
  <c r="M4903" i="1"/>
  <c r="K4904" i="1"/>
  <c r="L4904" i="1"/>
  <c r="M4904" i="1"/>
  <c r="K4905" i="1"/>
  <c r="L4905" i="1"/>
  <c r="M4905" i="1"/>
  <c r="K4906" i="1"/>
  <c r="L4906" i="1"/>
  <c r="M4906" i="1"/>
  <c r="K4907" i="1"/>
  <c r="L4907" i="1"/>
  <c r="M4907" i="1"/>
  <c r="K4908" i="1"/>
  <c r="L4908" i="1"/>
  <c r="M4908" i="1"/>
  <c r="K4909" i="1"/>
  <c r="L4909" i="1"/>
  <c r="M4909" i="1"/>
  <c r="K4910" i="1"/>
  <c r="L4910" i="1"/>
  <c r="M4910" i="1"/>
  <c r="K4911" i="1"/>
  <c r="L4911" i="1"/>
  <c r="M4911" i="1"/>
  <c r="K4912" i="1"/>
  <c r="L4912" i="1"/>
  <c r="M4912" i="1"/>
  <c r="K4913" i="1"/>
  <c r="L4913" i="1"/>
  <c r="M4913" i="1"/>
  <c r="K4914" i="1"/>
  <c r="L4914" i="1"/>
  <c r="M4914" i="1"/>
  <c r="K4915" i="1"/>
  <c r="L4915" i="1"/>
  <c r="M4915" i="1"/>
  <c r="K4916" i="1"/>
  <c r="L4916" i="1"/>
  <c r="M4916" i="1"/>
  <c r="K4917" i="1"/>
  <c r="L4917" i="1"/>
  <c r="M4917" i="1"/>
  <c r="K4918" i="1"/>
  <c r="L4918" i="1"/>
  <c r="M4918" i="1"/>
  <c r="K4919" i="1"/>
  <c r="L4919" i="1"/>
  <c r="M4919" i="1"/>
  <c r="K4920" i="1"/>
  <c r="L4920" i="1"/>
  <c r="M4920" i="1"/>
  <c r="K4921" i="1"/>
  <c r="L4921" i="1"/>
  <c r="M4921" i="1"/>
  <c r="K4922" i="1"/>
  <c r="L4922" i="1"/>
  <c r="M4922" i="1"/>
  <c r="K4923" i="1"/>
  <c r="L4923" i="1"/>
  <c r="M4923" i="1"/>
  <c r="K4924" i="1"/>
  <c r="L4924" i="1"/>
  <c r="M4924" i="1"/>
  <c r="K4925" i="1"/>
  <c r="L4925" i="1"/>
  <c r="M4925" i="1"/>
  <c r="K4926" i="1"/>
  <c r="L4926" i="1"/>
  <c r="M4926" i="1"/>
  <c r="K4927" i="1"/>
  <c r="L4927" i="1"/>
  <c r="M4927" i="1"/>
  <c r="K4928" i="1"/>
  <c r="L4928" i="1"/>
  <c r="M4928" i="1"/>
  <c r="K4929" i="1"/>
  <c r="L4929" i="1"/>
  <c r="M4929" i="1"/>
  <c r="K4930" i="1"/>
  <c r="L4930" i="1"/>
  <c r="M4930" i="1"/>
  <c r="K4931" i="1"/>
  <c r="L4931" i="1"/>
  <c r="M4931" i="1"/>
  <c r="K4932" i="1"/>
  <c r="L4932" i="1"/>
  <c r="M4932" i="1"/>
  <c r="K4933" i="1"/>
  <c r="L4933" i="1"/>
  <c r="M4933" i="1"/>
  <c r="K4934" i="1"/>
  <c r="L4934" i="1"/>
  <c r="M4934" i="1"/>
  <c r="K4935" i="1"/>
  <c r="L4935" i="1"/>
  <c r="M4935" i="1"/>
  <c r="K4936" i="1"/>
  <c r="L4936" i="1"/>
  <c r="M4936" i="1"/>
  <c r="K4937" i="1"/>
  <c r="L4937" i="1"/>
  <c r="M4937" i="1"/>
  <c r="K4938" i="1"/>
  <c r="L4938" i="1"/>
  <c r="M4938" i="1"/>
  <c r="K4939" i="1"/>
  <c r="L4939" i="1"/>
  <c r="M4939" i="1"/>
  <c r="K4940" i="1"/>
  <c r="L4940" i="1"/>
  <c r="M4940" i="1"/>
  <c r="K4941" i="1"/>
  <c r="L4941" i="1"/>
  <c r="M4941" i="1"/>
  <c r="K4942" i="1"/>
  <c r="L4942" i="1"/>
  <c r="M4942" i="1"/>
  <c r="K4943" i="1"/>
  <c r="L4943" i="1"/>
  <c r="M4943" i="1"/>
  <c r="K4944" i="1"/>
  <c r="L4944" i="1"/>
  <c r="M4944" i="1"/>
  <c r="K4945" i="1"/>
  <c r="L4945" i="1"/>
  <c r="M4945" i="1"/>
  <c r="K4946" i="1"/>
  <c r="L4946" i="1"/>
  <c r="M4946" i="1"/>
  <c r="K4947" i="1"/>
  <c r="L4947" i="1"/>
  <c r="M4947" i="1"/>
  <c r="K4948" i="1"/>
  <c r="L4948" i="1"/>
  <c r="M4948" i="1"/>
  <c r="K4949" i="1"/>
  <c r="L4949" i="1"/>
  <c r="M4949" i="1"/>
  <c r="K4950" i="1"/>
  <c r="L4950" i="1"/>
  <c r="M4950" i="1"/>
  <c r="K4951" i="1"/>
  <c r="L4951" i="1"/>
  <c r="M4951" i="1"/>
  <c r="K4952" i="1"/>
  <c r="L4952" i="1"/>
  <c r="M4952" i="1"/>
  <c r="K4953" i="1"/>
  <c r="L4953" i="1"/>
  <c r="M4953" i="1"/>
  <c r="K4954" i="1"/>
  <c r="L4954" i="1"/>
  <c r="M4954" i="1"/>
  <c r="K4955" i="1"/>
  <c r="L4955" i="1"/>
  <c r="M4955" i="1"/>
  <c r="K4956" i="1"/>
  <c r="L4956" i="1"/>
  <c r="M4956" i="1"/>
  <c r="K4957" i="1"/>
  <c r="L4957" i="1"/>
  <c r="M4957" i="1"/>
  <c r="K4958" i="1"/>
  <c r="L4958" i="1"/>
  <c r="M4958" i="1"/>
  <c r="K4959" i="1"/>
  <c r="L4959" i="1"/>
  <c r="M4959" i="1"/>
  <c r="K4960" i="1"/>
  <c r="L4960" i="1"/>
  <c r="M4960" i="1"/>
  <c r="K4961" i="1"/>
  <c r="L4961" i="1"/>
  <c r="M4961" i="1"/>
  <c r="K4962" i="1"/>
  <c r="L4962" i="1"/>
  <c r="M4962" i="1"/>
  <c r="K4963" i="1"/>
  <c r="L4963" i="1"/>
  <c r="M4963" i="1"/>
  <c r="K4964" i="1"/>
  <c r="L4964" i="1"/>
  <c r="M4964" i="1"/>
  <c r="K4965" i="1"/>
  <c r="L4965" i="1"/>
  <c r="M4965" i="1"/>
  <c r="K4966" i="1"/>
  <c r="L4966" i="1"/>
  <c r="M4966" i="1"/>
  <c r="K4670" i="1"/>
  <c r="L4670" i="1"/>
  <c r="M4670" i="1"/>
  <c r="K5350" i="1"/>
  <c r="L5350" i="1"/>
  <c r="K5351" i="1"/>
  <c r="L5351" i="1"/>
  <c r="K5352" i="1"/>
  <c r="L5352" i="1"/>
  <c r="K5353" i="1"/>
  <c r="L5353" i="1"/>
  <c r="K5354" i="1"/>
  <c r="L5354" i="1"/>
  <c r="K5355" i="1"/>
  <c r="L5355" i="1"/>
  <c r="K5356" i="1"/>
  <c r="L5356" i="1"/>
  <c r="K5357" i="1"/>
  <c r="L5357" i="1"/>
  <c r="K5358" i="1"/>
  <c r="L5358" i="1"/>
  <c r="K5359" i="1"/>
  <c r="L5359" i="1"/>
  <c r="K5360" i="1"/>
  <c r="L5360" i="1"/>
  <c r="K5361" i="1"/>
  <c r="L5361" i="1"/>
  <c r="K5362" i="1"/>
  <c r="L5362" i="1"/>
  <c r="K5363" i="1"/>
  <c r="L5363" i="1"/>
  <c r="K5364" i="1"/>
  <c r="L5364" i="1"/>
  <c r="K5365" i="1"/>
  <c r="L5365" i="1"/>
  <c r="K5366" i="1"/>
  <c r="L5366" i="1"/>
  <c r="K5367" i="1"/>
  <c r="L5367" i="1"/>
  <c r="K5368" i="1"/>
  <c r="L5368" i="1"/>
  <c r="K5369" i="1"/>
  <c r="L5369" i="1"/>
  <c r="K5370" i="1"/>
  <c r="L5370" i="1"/>
  <c r="K5371" i="1"/>
  <c r="L5371" i="1"/>
  <c r="K5372" i="1"/>
  <c r="L5372" i="1"/>
  <c r="K5373" i="1"/>
  <c r="L5373" i="1"/>
  <c r="K5374" i="1"/>
  <c r="L5374" i="1"/>
  <c r="K5375" i="1"/>
  <c r="L5375" i="1"/>
  <c r="K5311" i="1"/>
  <c r="L5311" i="1"/>
  <c r="K5312" i="1"/>
  <c r="L5312" i="1"/>
  <c r="K5313" i="1"/>
  <c r="L5313" i="1"/>
  <c r="K5314" i="1"/>
  <c r="L5314" i="1"/>
  <c r="K5315" i="1"/>
  <c r="L5315" i="1"/>
  <c r="K5316" i="1"/>
  <c r="L5316" i="1"/>
  <c r="K5317" i="1"/>
  <c r="L5317" i="1"/>
  <c r="K5318" i="1"/>
  <c r="L5318" i="1"/>
  <c r="K5319" i="1"/>
  <c r="L5319" i="1"/>
  <c r="K5320" i="1"/>
  <c r="L5320" i="1"/>
  <c r="K5321" i="1"/>
  <c r="L5321" i="1"/>
  <c r="K5322" i="1"/>
  <c r="L5322" i="1"/>
  <c r="K5323" i="1"/>
  <c r="L5323" i="1"/>
  <c r="K5324" i="1"/>
  <c r="L5324" i="1"/>
  <c r="K5325" i="1"/>
  <c r="L5325" i="1"/>
  <c r="K5326" i="1"/>
  <c r="L5326" i="1"/>
  <c r="K5327" i="1"/>
  <c r="L5327" i="1"/>
  <c r="K5328" i="1"/>
  <c r="L5328" i="1"/>
  <c r="K5329" i="1"/>
  <c r="L5329" i="1"/>
  <c r="K5330" i="1"/>
  <c r="L5330" i="1"/>
  <c r="K5331" i="1"/>
  <c r="L5331" i="1"/>
  <c r="K5332" i="1"/>
  <c r="L5332" i="1"/>
  <c r="K5333" i="1"/>
  <c r="L5333" i="1"/>
  <c r="K5334" i="1"/>
  <c r="L5334" i="1"/>
  <c r="K5335" i="1"/>
  <c r="L5335" i="1"/>
  <c r="K5336" i="1"/>
  <c r="L5336" i="1"/>
  <c r="K5337" i="1"/>
  <c r="L5337" i="1"/>
  <c r="K5338" i="1"/>
  <c r="L5338" i="1"/>
  <c r="K5339" i="1"/>
  <c r="L5339" i="1"/>
  <c r="K5340" i="1"/>
  <c r="L5340" i="1"/>
  <c r="K5341" i="1"/>
  <c r="L5341" i="1"/>
  <c r="K5342" i="1"/>
  <c r="L5342" i="1"/>
  <c r="K5343" i="1"/>
  <c r="L5343" i="1"/>
  <c r="K5344" i="1"/>
  <c r="L5344" i="1"/>
  <c r="K5345" i="1"/>
  <c r="L5345" i="1"/>
  <c r="K5346" i="1"/>
  <c r="L5346" i="1"/>
  <c r="K5347" i="1"/>
  <c r="L5347" i="1"/>
  <c r="K5348" i="1"/>
  <c r="L5348" i="1"/>
  <c r="K5349" i="1"/>
  <c r="L5349" i="1"/>
  <c r="K4672" i="1"/>
  <c r="L4672" i="1"/>
  <c r="M4672" i="1"/>
  <c r="K4673" i="1"/>
  <c r="L4673" i="1"/>
  <c r="M4673" i="1"/>
  <c r="K4674" i="1"/>
  <c r="L4674" i="1"/>
  <c r="M4674" i="1"/>
  <c r="K4675" i="1"/>
  <c r="L4675" i="1"/>
  <c r="M4675" i="1"/>
  <c r="K4676" i="1"/>
  <c r="L4676" i="1"/>
  <c r="M4676" i="1"/>
  <c r="K4677" i="1"/>
  <c r="L4677" i="1"/>
  <c r="M4677" i="1"/>
  <c r="K4678" i="1"/>
  <c r="L4678" i="1"/>
  <c r="M4678" i="1"/>
  <c r="K4679" i="1"/>
  <c r="L4679" i="1"/>
  <c r="M4679" i="1"/>
  <c r="K4680" i="1"/>
  <c r="L4680" i="1"/>
  <c r="M4680" i="1"/>
  <c r="K4681" i="1"/>
  <c r="L4681" i="1"/>
  <c r="M4681" i="1"/>
  <c r="K4682" i="1"/>
  <c r="L4682" i="1"/>
  <c r="M4682" i="1"/>
  <c r="K4683" i="1"/>
  <c r="L4683" i="1"/>
  <c r="M4683" i="1"/>
  <c r="K4684" i="1"/>
  <c r="L4684" i="1"/>
  <c r="M4684" i="1"/>
  <c r="K4685" i="1"/>
  <c r="L4685" i="1"/>
  <c r="M4685" i="1"/>
  <c r="K4686" i="1"/>
  <c r="L4686" i="1"/>
  <c r="M4686" i="1"/>
  <c r="K4687" i="1"/>
  <c r="L4687" i="1"/>
  <c r="M4687" i="1"/>
  <c r="K4688" i="1"/>
  <c r="L4688" i="1"/>
  <c r="M4688" i="1"/>
  <c r="K4689" i="1"/>
  <c r="L4689" i="1"/>
  <c r="M4689" i="1"/>
  <c r="K4690" i="1"/>
  <c r="L4690" i="1"/>
  <c r="M4690" i="1"/>
  <c r="K4691" i="1"/>
  <c r="L4691" i="1"/>
  <c r="M4691" i="1"/>
  <c r="K4692" i="1"/>
  <c r="L4692" i="1"/>
  <c r="M4692" i="1"/>
  <c r="K4693" i="1"/>
  <c r="L4693" i="1"/>
  <c r="M4693" i="1"/>
  <c r="K4694" i="1"/>
  <c r="L4694" i="1"/>
  <c r="M4694" i="1"/>
  <c r="K4695" i="1"/>
  <c r="L4695" i="1"/>
  <c r="M4695" i="1"/>
  <c r="K4696" i="1"/>
  <c r="L4696" i="1"/>
  <c r="M4696" i="1"/>
  <c r="K4697" i="1"/>
  <c r="L4697" i="1"/>
  <c r="M4697" i="1"/>
  <c r="K4698" i="1"/>
  <c r="L4698" i="1"/>
  <c r="M4698" i="1"/>
  <c r="K4699" i="1"/>
  <c r="L4699" i="1"/>
  <c r="M4699" i="1"/>
  <c r="K4700" i="1"/>
  <c r="L4700" i="1"/>
  <c r="M4700" i="1"/>
  <c r="K4701" i="1"/>
  <c r="L4701" i="1"/>
  <c r="M4701" i="1"/>
  <c r="K4702" i="1"/>
  <c r="L4702" i="1"/>
  <c r="M4702" i="1"/>
  <c r="K4703" i="1"/>
  <c r="L4703" i="1"/>
  <c r="M4703" i="1"/>
  <c r="K4704" i="1"/>
  <c r="L4704" i="1"/>
  <c r="M4704" i="1"/>
  <c r="K4705" i="1"/>
  <c r="L4705" i="1"/>
  <c r="M4705" i="1"/>
  <c r="K4706" i="1"/>
  <c r="L4706" i="1"/>
  <c r="M4706" i="1"/>
  <c r="K4707" i="1"/>
  <c r="L4707" i="1"/>
  <c r="M4707" i="1"/>
  <c r="K4708" i="1"/>
  <c r="L4708" i="1"/>
  <c r="M4708" i="1"/>
  <c r="K4709" i="1"/>
  <c r="L4709" i="1"/>
  <c r="M4709" i="1"/>
  <c r="K4710" i="1"/>
  <c r="L4710" i="1"/>
  <c r="M4710" i="1"/>
  <c r="K4711" i="1"/>
  <c r="L4711" i="1"/>
  <c r="M4711" i="1"/>
  <c r="K4712" i="1"/>
  <c r="L4712" i="1"/>
  <c r="M4712" i="1"/>
  <c r="K4713" i="1"/>
  <c r="L4713" i="1"/>
  <c r="M4713" i="1"/>
  <c r="K4841" i="1"/>
  <c r="L4841" i="1"/>
  <c r="M4841" i="1"/>
  <c r="K4842" i="1"/>
  <c r="L4842" i="1"/>
  <c r="M4842" i="1"/>
  <c r="K4843" i="1"/>
  <c r="L4843" i="1"/>
  <c r="M4843" i="1"/>
  <c r="K4844" i="1"/>
  <c r="L4844" i="1"/>
  <c r="M4844" i="1"/>
  <c r="K4845" i="1"/>
  <c r="L4845" i="1"/>
  <c r="M4845" i="1"/>
  <c r="K4846" i="1"/>
  <c r="L4846" i="1"/>
  <c r="M4846" i="1"/>
  <c r="K4847" i="1"/>
  <c r="L4847" i="1"/>
  <c r="M4847" i="1"/>
  <c r="K4848" i="1"/>
  <c r="L4848" i="1"/>
  <c r="M4848" i="1"/>
  <c r="K4849" i="1"/>
  <c r="L4849" i="1"/>
  <c r="M4849" i="1"/>
  <c r="K4850" i="1"/>
  <c r="L4850" i="1"/>
  <c r="M4850" i="1"/>
  <c r="K4851" i="1"/>
  <c r="L4851" i="1"/>
  <c r="M4851" i="1"/>
  <c r="K4852" i="1"/>
  <c r="L4852" i="1"/>
  <c r="M4852" i="1"/>
  <c r="K4889" i="1"/>
  <c r="L4889" i="1"/>
  <c r="M4889" i="1"/>
  <c r="K4890" i="1"/>
  <c r="L4890" i="1"/>
  <c r="M4890" i="1"/>
  <c r="K4891" i="1"/>
  <c r="L4891" i="1"/>
  <c r="M4891" i="1"/>
  <c r="K4892" i="1"/>
  <c r="L4892" i="1"/>
  <c r="M4892" i="1"/>
  <c r="K4893" i="1"/>
  <c r="L4893" i="1"/>
  <c r="M4893" i="1"/>
  <c r="K4894" i="1"/>
  <c r="L4894" i="1"/>
  <c r="M4894" i="1"/>
  <c r="K4895" i="1"/>
  <c r="L4895" i="1"/>
  <c r="M4895" i="1"/>
  <c r="K4896" i="1"/>
  <c r="L4896" i="1"/>
  <c r="M4896" i="1"/>
  <c r="K4897" i="1"/>
  <c r="L4897" i="1"/>
  <c r="M4897" i="1"/>
  <c r="K4898" i="1"/>
  <c r="L4898" i="1"/>
  <c r="M4898" i="1"/>
  <c r="K4899" i="1"/>
  <c r="L4899" i="1"/>
  <c r="M4899" i="1"/>
  <c r="K4900" i="1"/>
  <c r="L4900" i="1"/>
  <c r="M4900" i="1"/>
  <c r="K4967" i="1"/>
  <c r="L4967" i="1"/>
  <c r="M4967" i="1"/>
  <c r="K4968" i="1"/>
  <c r="L4968" i="1"/>
  <c r="M4968" i="1"/>
  <c r="K4969" i="1"/>
  <c r="L4969" i="1"/>
  <c r="M4969" i="1"/>
  <c r="K4970" i="1"/>
  <c r="L4970" i="1"/>
  <c r="M4970" i="1"/>
  <c r="K4971" i="1"/>
  <c r="L4971" i="1"/>
  <c r="M4971" i="1"/>
  <c r="K4972" i="1"/>
  <c r="L4972" i="1"/>
  <c r="M4972" i="1"/>
  <c r="K4973" i="1"/>
  <c r="L4973" i="1"/>
  <c r="M4973" i="1"/>
  <c r="K4974" i="1"/>
  <c r="L4974" i="1"/>
  <c r="M4974" i="1"/>
  <c r="K4975" i="1"/>
  <c r="L4975" i="1"/>
  <c r="M4975" i="1"/>
  <c r="K4976" i="1"/>
  <c r="L4976" i="1"/>
  <c r="M4976" i="1"/>
  <c r="K4977" i="1"/>
  <c r="L4977" i="1"/>
  <c r="M4977" i="1"/>
  <c r="K4978" i="1"/>
  <c r="L4978" i="1"/>
  <c r="M4978" i="1"/>
  <c r="K4979" i="1"/>
  <c r="L4979" i="1"/>
  <c r="M4979" i="1"/>
  <c r="K4980" i="1"/>
  <c r="L4980" i="1"/>
  <c r="M4980" i="1"/>
  <c r="K4981" i="1"/>
  <c r="L4981" i="1"/>
  <c r="M4981" i="1"/>
  <c r="K4982" i="1"/>
  <c r="L4982" i="1"/>
  <c r="M4982" i="1"/>
  <c r="K4983" i="1"/>
  <c r="L4983" i="1"/>
  <c r="M4983" i="1"/>
  <c r="K4984" i="1"/>
  <c r="L4984" i="1"/>
  <c r="M4984" i="1"/>
  <c r="K4985" i="1"/>
  <c r="L4985" i="1"/>
  <c r="M4985" i="1"/>
  <c r="K4986" i="1"/>
  <c r="L4986" i="1"/>
  <c r="M4986" i="1"/>
  <c r="K4987" i="1"/>
  <c r="L4987" i="1"/>
  <c r="M4987" i="1"/>
  <c r="K4988" i="1"/>
  <c r="L4988" i="1"/>
  <c r="M4988" i="1"/>
  <c r="K5386" i="1"/>
  <c r="L5386" i="1"/>
  <c r="K5387" i="1"/>
  <c r="L5387" i="1"/>
  <c r="K5388" i="1"/>
  <c r="L5388" i="1"/>
  <c r="K5389" i="1"/>
  <c r="L5389" i="1"/>
  <c r="K5390" i="1"/>
  <c r="L5390" i="1"/>
  <c r="K5391" i="1"/>
  <c r="L5391" i="1"/>
  <c r="K5392" i="1"/>
  <c r="L5392" i="1"/>
  <c r="K5393" i="1"/>
  <c r="L5393" i="1"/>
  <c r="K5394" i="1"/>
  <c r="L5394" i="1"/>
  <c r="K5395" i="1"/>
  <c r="L5395" i="1"/>
  <c r="K5396" i="1"/>
  <c r="L5396" i="1"/>
  <c r="K5397" i="1"/>
  <c r="L5397" i="1"/>
  <c r="K5398" i="1"/>
  <c r="L5398" i="1"/>
  <c r="K5399" i="1"/>
  <c r="L5399" i="1"/>
  <c r="K5400" i="1"/>
  <c r="L5400" i="1"/>
  <c r="K5401" i="1"/>
  <c r="L5401" i="1"/>
  <c r="K5402" i="1"/>
  <c r="L5402" i="1"/>
  <c r="K5403" i="1"/>
  <c r="L5403" i="1"/>
  <c r="K5404" i="1"/>
  <c r="L5404" i="1"/>
  <c r="K5405" i="1"/>
  <c r="L5405" i="1"/>
  <c r="K5376" i="1"/>
  <c r="L5376" i="1"/>
  <c r="K5377" i="1"/>
  <c r="L5377" i="1"/>
  <c r="K5378" i="1"/>
  <c r="L5378" i="1"/>
  <c r="K5379" i="1"/>
  <c r="L5379" i="1"/>
  <c r="K5380" i="1"/>
  <c r="L5380" i="1"/>
  <c r="K5381" i="1"/>
  <c r="L5381" i="1"/>
  <c r="K5382" i="1"/>
  <c r="L5382" i="1"/>
  <c r="K5383" i="1"/>
  <c r="L5383" i="1"/>
  <c r="K5384" i="1"/>
  <c r="L5384" i="1"/>
  <c r="K5385" i="1"/>
  <c r="L5385" i="1"/>
  <c r="K4732" i="1"/>
  <c r="L4732" i="1"/>
  <c r="M4732" i="1"/>
  <c r="K4733" i="1"/>
  <c r="L4733" i="1"/>
  <c r="M4733" i="1"/>
  <c r="K4734" i="1"/>
  <c r="L4734" i="1"/>
  <c r="M4734" i="1"/>
  <c r="K4853" i="1"/>
  <c r="L4853" i="1"/>
  <c r="M4853" i="1"/>
  <c r="K4854" i="1"/>
  <c r="L4854" i="1"/>
  <c r="M4854" i="1"/>
  <c r="K4855" i="1"/>
  <c r="L4855" i="1"/>
  <c r="M4855" i="1"/>
  <c r="K4856" i="1"/>
  <c r="L4856" i="1"/>
  <c r="M4856" i="1"/>
  <c r="K5406" i="1"/>
  <c r="L5406" i="1"/>
  <c r="M5406" i="1"/>
  <c r="K5716" i="1"/>
  <c r="L5716" i="1"/>
  <c r="K5407" i="1"/>
  <c r="L5407" i="1"/>
  <c r="M5407" i="1"/>
  <c r="K5717" i="1"/>
  <c r="L5717" i="1"/>
  <c r="K5718" i="1"/>
  <c r="L5718" i="1"/>
  <c r="K5719" i="1"/>
  <c r="L5719" i="1"/>
  <c r="K5720" i="1"/>
  <c r="L5720" i="1"/>
  <c r="K5715" i="1"/>
  <c r="L5715" i="1"/>
  <c r="K5408" i="1"/>
  <c r="L5408" i="1"/>
  <c r="M5408" i="1"/>
  <c r="K5409" i="1"/>
  <c r="L5409" i="1"/>
  <c r="M5409" i="1"/>
  <c r="K5410" i="1"/>
  <c r="L5410" i="1"/>
  <c r="M5410" i="1"/>
  <c r="K5411" i="1"/>
  <c r="L5411" i="1"/>
  <c r="M5411" i="1"/>
  <c r="K5412" i="1"/>
  <c r="L5412" i="1"/>
  <c r="M5412" i="1"/>
  <c r="K5413" i="1"/>
  <c r="L5413" i="1"/>
  <c r="M5413" i="1"/>
  <c r="K5414" i="1"/>
  <c r="L5414" i="1"/>
  <c r="M5414" i="1"/>
  <c r="K5415" i="1"/>
  <c r="L5415" i="1"/>
  <c r="M5415" i="1"/>
  <c r="K5416" i="1"/>
  <c r="L5416" i="1"/>
  <c r="M5416" i="1"/>
  <c r="K5417" i="1"/>
  <c r="L5417" i="1"/>
  <c r="M5417" i="1"/>
  <c r="K5418" i="1"/>
  <c r="L5418" i="1"/>
  <c r="M5418" i="1"/>
  <c r="K5419" i="1"/>
  <c r="L5419" i="1"/>
  <c r="M5419" i="1"/>
  <c r="K5728" i="1"/>
  <c r="L5728" i="1"/>
  <c r="K5729" i="1"/>
  <c r="L5729" i="1"/>
  <c r="K5730" i="1"/>
  <c r="L5730" i="1"/>
  <c r="K5731" i="1"/>
  <c r="L5731" i="1"/>
  <c r="K5732" i="1"/>
  <c r="L5732" i="1"/>
  <c r="K5733" i="1"/>
  <c r="L5733" i="1"/>
  <c r="K5734" i="1"/>
  <c r="L5734" i="1"/>
  <c r="K5735" i="1"/>
  <c r="L5735" i="1"/>
  <c r="K5736" i="1"/>
  <c r="L5736" i="1"/>
  <c r="K5737" i="1"/>
  <c r="L5737" i="1"/>
  <c r="K5738" i="1"/>
  <c r="L5738" i="1"/>
  <c r="K5739" i="1"/>
  <c r="L5739" i="1"/>
  <c r="K5740" i="1"/>
  <c r="L5740" i="1"/>
  <c r="K5741" i="1"/>
  <c r="L5741" i="1"/>
  <c r="K5742" i="1"/>
  <c r="L5742" i="1"/>
  <c r="K5743" i="1"/>
  <c r="L5743" i="1"/>
  <c r="K5744" i="1"/>
  <c r="L5744" i="1"/>
  <c r="K5745" i="1"/>
  <c r="L5745" i="1"/>
  <c r="K5746" i="1"/>
  <c r="L5746" i="1"/>
  <c r="K5747" i="1"/>
  <c r="L5747" i="1"/>
  <c r="K5748" i="1"/>
  <c r="L5748" i="1"/>
  <c r="K5749" i="1"/>
  <c r="L5749" i="1"/>
  <c r="K5750" i="1"/>
  <c r="L5750" i="1"/>
  <c r="K5751" i="1"/>
  <c r="L5751" i="1"/>
  <c r="K5752" i="1"/>
  <c r="L5752" i="1"/>
  <c r="K5753" i="1"/>
  <c r="L5753" i="1"/>
  <c r="K5754" i="1"/>
  <c r="L5754" i="1"/>
  <c r="K5755" i="1"/>
  <c r="L5755" i="1"/>
  <c r="K5756" i="1"/>
  <c r="L5756" i="1"/>
  <c r="K5757" i="1"/>
  <c r="L5757" i="1"/>
  <c r="K5758" i="1"/>
  <c r="L5758" i="1"/>
  <c r="K5759" i="1"/>
  <c r="L5759" i="1"/>
  <c r="K5722" i="1"/>
  <c r="L5722" i="1"/>
  <c r="K5723" i="1"/>
  <c r="L5723" i="1"/>
  <c r="K5724" i="1"/>
  <c r="L5724" i="1"/>
  <c r="K5725" i="1"/>
  <c r="L5725" i="1"/>
  <c r="K5726" i="1"/>
  <c r="L5726" i="1"/>
  <c r="K5727" i="1"/>
  <c r="L5727" i="1"/>
  <c r="K5420" i="1"/>
  <c r="L5420" i="1"/>
  <c r="M5420" i="1"/>
  <c r="K5421" i="1"/>
  <c r="L5421" i="1"/>
  <c r="M5421" i="1"/>
  <c r="K5422" i="1"/>
  <c r="L5422" i="1"/>
  <c r="M5422" i="1"/>
  <c r="K5423" i="1"/>
  <c r="L5423" i="1"/>
  <c r="M5423" i="1"/>
  <c r="K5424" i="1"/>
  <c r="L5424" i="1"/>
  <c r="M5424" i="1"/>
  <c r="K5767" i="1"/>
  <c r="L5767" i="1"/>
  <c r="K5761" i="1"/>
  <c r="L5761" i="1"/>
  <c r="K5762" i="1"/>
  <c r="L5762" i="1"/>
  <c r="K5763" i="1"/>
  <c r="L5763" i="1"/>
  <c r="K5764" i="1"/>
  <c r="L5764" i="1"/>
  <c r="K5765" i="1"/>
  <c r="L5765" i="1"/>
  <c r="K5766" i="1"/>
  <c r="L5766" i="1"/>
  <c r="K5768" i="1"/>
  <c r="L5768" i="1"/>
  <c r="K5425" i="1"/>
  <c r="L5425" i="1"/>
  <c r="M5425" i="1"/>
  <c r="K5426" i="1"/>
  <c r="L5426" i="1"/>
  <c r="M5426" i="1"/>
  <c r="K5427" i="1"/>
  <c r="L5427" i="1"/>
  <c r="M5427" i="1"/>
  <c r="K5428" i="1"/>
  <c r="L5428" i="1"/>
  <c r="M5428" i="1"/>
  <c r="K5429" i="1"/>
  <c r="L5429" i="1"/>
  <c r="M5429" i="1"/>
  <c r="K5430" i="1"/>
  <c r="L5430" i="1"/>
  <c r="M5430" i="1"/>
  <c r="K5431" i="1"/>
  <c r="L5431" i="1"/>
  <c r="M5431" i="1"/>
  <c r="K5432" i="1"/>
  <c r="L5432" i="1"/>
  <c r="M5432" i="1"/>
  <c r="K5433" i="1"/>
  <c r="L5433" i="1"/>
  <c r="M5433" i="1"/>
  <c r="K5434" i="1"/>
  <c r="L5434" i="1"/>
  <c r="M5434" i="1"/>
  <c r="K5435" i="1"/>
  <c r="L5435" i="1"/>
  <c r="M5435" i="1"/>
  <c r="K5436" i="1"/>
  <c r="L5436" i="1"/>
  <c r="M5436" i="1"/>
  <c r="K5437" i="1"/>
  <c r="L5437" i="1"/>
  <c r="M5437" i="1"/>
  <c r="K5774" i="1"/>
  <c r="L5774" i="1"/>
  <c r="K5775" i="1"/>
  <c r="L5775" i="1"/>
  <c r="K5776" i="1"/>
  <c r="L5776" i="1"/>
  <c r="K5777" i="1"/>
  <c r="L5777" i="1"/>
  <c r="K5778" i="1"/>
  <c r="L5778" i="1"/>
  <c r="K5779" i="1"/>
  <c r="L5779" i="1"/>
  <c r="K5780" i="1"/>
  <c r="L5780" i="1"/>
  <c r="K5781" i="1"/>
  <c r="L5781" i="1"/>
  <c r="K5769" i="1"/>
  <c r="L5769" i="1"/>
  <c r="K5770" i="1"/>
  <c r="L5770" i="1"/>
  <c r="K5771" i="1"/>
  <c r="L5771" i="1"/>
  <c r="K5772" i="1"/>
  <c r="L5772" i="1"/>
  <c r="K5773" i="1"/>
  <c r="L5773" i="1"/>
  <c r="K5438" i="1"/>
  <c r="L5438" i="1"/>
  <c r="M5438" i="1"/>
  <c r="K5439" i="1"/>
  <c r="L5439" i="1"/>
  <c r="M5439" i="1"/>
  <c r="K5440" i="1"/>
  <c r="L5440" i="1"/>
  <c r="M5440" i="1"/>
  <c r="K5441" i="1"/>
  <c r="L5441" i="1"/>
  <c r="M5441" i="1"/>
  <c r="K5442" i="1"/>
  <c r="L5442" i="1"/>
  <c r="M5442" i="1"/>
  <c r="K5443" i="1"/>
  <c r="L5443" i="1"/>
  <c r="M5443" i="1"/>
  <c r="K5444" i="1"/>
  <c r="L5444" i="1"/>
  <c r="M5444" i="1"/>
  <c r="K5445" i="1"/>
  <c r="L5445" i="1"/>
  <c r="M5445" i="1"/>
  <c r="K5446" i="1"/>
  <c r="L5446" i="1"/>
  <c r="M5446" i="1"/>
  <c r="K5447" i="1"/>
  <c r="L5447" i="1"/>
  <c r="M5447" i="1"/>
  <c r="K5448" i="1"/>
  <c r="L5448" i="1"/>
  <c r="M5448" i="1"/>
  <c r="K5798" i="1"/>
  <c r="L5798" i="1"/>
  <c r="K5799" i="1"/>
  <c r="L5799" i="1"/>
  <c r="K5800" i="1"/>
  <c r="L5800" i="1"/>
  <c r="K5801" i="1"/>
  <c r="L5801" i="1"/>
  <c r="K5802" i="1"/>
  <c r="L5802" i="1"/>
  <c r="K5803" i="1"/>
  <c r="L5803" i="1"/>
  <c r="K5804" i="1"/>
  <c r="L5804" i="1"/>
  <c r="K5782" i="1"/>
  <c r="L5782" i="1"/>
  <c r="K5783" i="1"/>
  <c r="L5783" i="1"/>
  <c r="K5784" i="1"/>
  <c r="L5784" i="1"/>
  <c r="K5785" i="1"/>
  <c r="L5785" i="1"/>
  <c r="K5786" i="1"/>
  <c r="L5786" i="1"/>
  <c r="K5787" i="1"/>
  <c r="L5787" i="1"/>
  <c r="K5788" i="1"/>
  <c r="L5788" i="1"/>
  <c r="K5789" i="1"/>
  <c r="L5789" i="1"/>
  <c r="K5790" i="1"/>
  <c r="L5790" i="1"/>
  <c r="K5791" i="1"/>
  <c r="L5791" i="1"/>
  <c r="K5792" i="1"/>
  <c r="L5792" i="1"/>
  <c r="K5793" i="1"/>
  <c r="L5793" i="1"/>
  <c r="K5794" i="1"/>
  <c r="L5794" i="1"/>
  <c r="K5795" i="1"/>
  <c r="L5795" i="1"/>
  <c r="K5796" i="1"/>
  <c r="L5796" i="1"/>
  <c r="K5797" i="1"/>
  <c r="L5797" i="1"/>
  <c r="K5449" i="1"/>
  <c r="L5449" i="1"/>
  <c r="M5449" i="1"/>
  <c r="K5450" i="1"/>
  <c r="L5450" i="1"/>
  <c r="M5450" i="1"/>
  <c r="K5451" i="1"/>
  <c r="L5451" i="1"/>
  <c r="M5451" i="1"/>
  <c r="K5452" i="1"/>
  <c r="L5452" i="1"/>
  <c r="M5452" i="1"/>
  <c r="K5453" i="1"/>
  <c r="L5453" i="1"/>
  <c r="M5453" i="1"/>
  <c r="K5454" i="1"/>
  <c r="L5454" i="1"/>
  <c r="M5454" i="1"/>
  <c r="K5455" i="1"/>
  <c r="L5455" i="1"/>
  <c r="M5455" i="1"/>
  <c r="K5456" i="1"/>
  <c r="L5456" i="1"/>
  <c r="M5456" i="1"/>
  <c r="K5457" i="1"/>
  <c r="L5457" i="1"/>
  <c r="M5457" i="1"/>
  <c r="K5458" i="1"/>
  <c r="L5458" i="1"/>
  <c r="M5458" i="1"/>
  <c r="K5459" i="1"/>
  <c r="L5459" i="1"/>
  <c r="M5459" i="1"/>
  <c r="K5460" i="1"/>
  <c r="L5460" i="1"/>
  <c r="M5460" i="1"/>
  <c r="K5461" i="1"/>
  <c r="L5461" i="1"/>
  <c r="M5461" i="1"/>
  <c r="K5462" i="1"/>
  <c r="L5462" i="1"/>
  <c r="M5462" i="1"/>
  <c r="K5463" i="1"/>
  <c r="L5463" i="1"/>
  <c r="M5463" i="1"/>
  <c r="K5464" i="1"/>
  <c r="L5464" i="1"/>
  <c r="M5464" i="1"/>
  <c r="K5814" i="1"/>
  <c r="L5814" i="1"/>
  <c r="K5815" i="1"/>
  <c r="L5815" i="1"/>
  <c r="K5816" i="1"/>
  <c r="L5816" i="1"/>
  <c r="K5817" i="1"/>
  <c r="L5817" i="1"/>
  <c r="K5818" i="1"/>
  <c r="L5818" i="1"/>
  <c r="K5819" i="1"/>
  <c r="L5819" i="1"/>
  <c r="K5820" i="1"/>
  <c r="L5820" i="1"/>
  <c r="K5821" i="1"/>
  <c r="L5821" i="1"/>
  <c r="K5822" i="1"/>
  <c r="L5822" i="1"/>
  <c r="K5823" i="1"/>
  <c r="L5823" i="1"/>
  <c r="K5824" i="1"/>
  <c r="L5824" i="1"/>
  <c r="K5805" i="1"/>
  <c r="L5805" i="1"/>
  <c r="K5806" i="1"/>
  <c r="L5806" i="1"/>
  <c r="K5807" i="1"/>
  <c r="L5807" i="1"/>
  <c r="K5808" i="1"/>
  <c r="L5808" i="1"/>
  <c r="K5809" i="1"/>
  <c r="L5809" i="1"/>
  <c r="K5810" i="1"/>
  <c r="L5810" i="1"/>
  <c r="K5811" i="1"/>
  <c r="L5811" i="1"/>
  <c r="K5812" i="1"/>
  <c r="L5812" i="1"/>
  <c r="K5813" i="1"/>
  <c r="L5813" i="1"/>
  <c r="K5465" i="1"/>
  <c r="L5465" i="1"/>
  <c r="M5465" i="1"/>
  <c r="K5466" i="1"/>
  <c r="L5466" i="1"/>
  <c r="M5466" i="1"/>
  <c r="K5828" i="1"/>
  <c r="L5828" i="1"/>
  <c r="K5829" i="1"/>
  <c r="L5829" i="1"/>
  <c r="K5825" i="1"/>
  <c r="L5825" i="1"/>
  <c r="K5826" i="1"/>
  <c r="L5826" i="1"/>
  <c r="K5827" i="1"/>
  <c r="L5827" i="1"/>
  <c r="K5467" i="1"/>
  <c r="L5467" i="1"/>
  <c r="M5467" i="1"/>
  <c r="K5468" i="1"/>
  <c r="L5468" i="1"/>
  <c r="M5468" i="1"/>
  <c r="K5469" i="1"/>
  <c r="L5469" i="1"/>
  <c r="M5469" i="1"/>
  <c r="K5470" i="1"/>
  <c r="L5470" i="1"/>
  <c r="M5470" i="1"/>
  <c r="K5471" i="1"/>
  <c r="L5471" i="1"/>
  <c r="M5471" i="1"/>
  <c r="K5472" i="1"/>
  <c r="L5472" i="1"/>
  <c r="M5472" i="1"/>
  <c r="K5473" i="1"/>
  <c r="L5473" i="1"/>
  <c r="M5473" i="1"/>
  <c r="K5474" i="1"/>
  <c r="L5474" i="1"/>
  <c r="M5474" i="1"/>
  <c r="K5475" i="1"/>
  <c r="L5475" i="1"/>
  <c r="M5475" i="1"/>
  <c r="K5476" i="1"/>
  <c r="L5476" i="1"/>
  <c r="M5476" i="1"/>
  <c r="K5477" i="1"/>
  <c r="L5477" i="1"/>
  <c r="M5477" i="1"/>
  <c r="K5478" i="1"/>
  <c r="L5478" i="1"/>
  <c r="M5478" i="1"/>
  <c r="K5479" i="1"/>
  <c r="L5479" i="1"/>
  <c r="M5479" i="1"/>
  <c r="K5480" i="1"/>
  <c r="L5480" i="1"/>
  <c r="M5480" i="1"/>
  <c r="K5481" i="1"/>
  <c r="L5481" i="1"/>
  <c r="M5481" i="1"/>
  <c r="K5482" i="1"/>
  <c r="L5482" i="1"/>
  <c r="M5482" i="1"/>
  <c r="K5483" i="1"/>
  <c r="L5483" i="1"/>
  <c r="M5483" i="1"/>
  <c r="K5834" i="1"/>
  <c r="L5834" i="1"/>
  <c r="K5835" i="1"/>
  <c r="L5835" i="1"/>
  <c r="K5836" i="1"/>
  <c r="L5836" i="1"/>
  <c r="K5830" i="1"/>
  <c r="L5830" i="1"/>
  <c r="K5831" i="1"/>
  <c r="L5831" i="1"/>
  <c r="K5832" i="1"/>
  <c r="L5832" i="1"/>
  <c r="K5833" i="1"/>
  <c r="L5833" i="1"/>
  <c r="K5484" i="1"/>
  <c r="L5484" i="1"/>
  <c r="M5484" i="1"/>
  <c r="K5485" i="1"/>
  <c r="L5485" i="1"/>
  <c r="M5485" i="1"/>
  <c r="K5486" i="1"/>
  <c r="L5486" i="1"/>
  <c r="M5486" i="1"/>
  <c r="K5487" i="1"/>
  <c r="L5487" i="1"/>
  <c r="M5487" i="1"/>
  <c r="K5488" i="1"/>
  <c r="L5488" i="1"/>
  <c r="M5488" i="1"/>
  <c r="K5489" i="1"/>
  <c r="L5489" i="1"/>
  <c r="M5489" i="1"/>
  <c r="K5490" i="1"/>
  <c r="L5490" i="1"/>
  <c r="M5490" i="1"/>
  <c r="K5491" i="1"/>
  <c r="L5491" i="1"/>
  <c r="M5491" i="1"/>
  <c r="K5492" i="1"/>
  <c r="L5492" i="1"/>
  <c r="M5492" i="1"/>
  <c r="K5840" i="1"/>
  <c r="L5840" i="1"/>
  <c r="K5841" i="1"/>
  <c r="L5841" i="1"/>
  <c r="K5842" i="1"/>
  <c r="L5842" i="1"/>
  <c r="K5843" i="1"/>
  <c r="L5843" i="1"/>
  <c r="K5844" i="1"/>
  <c r="L5844" i="1"/>
  <c r="K5845" i="1"/>
  <c r="L5845" i="1"/>
  <c r="K5846" i="1"/>
  <c r="L5846" i="1"/>
  <c r="K5847" i="1"/>
  <c r="L5847" i="1"/>
  <c r="K5848" i="1"/>
  <c r="L5848" i="1"/>
  <c r="K5837" i="1"/>
  <c r="L5837" i="1"/>
  <c r="K5838" i="1"/>
  <c r="L5838" i="1"/>
  <c r="K5839" i="1"/>
  <c r="L5839" i="1"/>
  <c r="K5493" i="1"/>
  <c r="L5493" i="1"/>
  <c r="M5493" i="1"/>
  <c r="K5494" i="1"/>
  <c r="L5494" i="1"/>
  <c r="M5494" i="1"/>
  <c r="K5495" i="1"/>
  <c r="L5495" i="1"/>
  <c r="M5495" i="1"/>
  <c r="K5496" i="1"/>
  <c r="L5496" i="1"/>
  <c r="M5496" i="1"/>
  <c r="K5497" i="1"/>
  <c r="L5497" i="1"/>
  <c r="M5497" i="1"/>
  <c r="K5498" i="1"/>
  <c r="L5498" i="1"/>
  <c r="M5498" i="1"/>
  <c r="K5499" i="1"/>
  <c r="L5499" i="1"/>
  <c r="M5499" i="1"/>
  <c r="K5500" i="1"/>
  <c r="L5500" i="1"/>
  <c r="M5500" i="1"/>
  <c r="K5501" i="1"/>
  <c r="L5501" i="1"/>
  <c r="M5501" i="1"/>
  <c r="K5502" i="1"/>
  <c r="L5502" i="1"/>
  <c r="M5502" i="1"/>
  <c r="K5503" i="1"/>
  <c r="L5503" i="1"/>
  <c r="M5503" i="1"/>
  <c r="K5504" i="1"/>
  <c r="L5504" i="1"/>
  <c r="M5504" i="1"/>
  <c r="K5505" i="1"/>
  <c r="L5505" i="1"/>
  <c r="M5505" i="1"/>
  <c r="K5506" i="1"/>
  <c r="L5506" i="1"/>
  <c r="M5506" i="1"/>
  <c r="K5507" i="1"/>
  <c r="L5507" i="1"/>
  <c r="M5507" i="1"/>
  <c r="K5508" i="1"/>
  <c r="L5508" i="1"/>
  <c r="M5508" i="1"/>
  <c r="K5509" i="1"/>
  <c r="L5509" i="1"/>
  <c r="M5509" i="1"/>
  <c r="K5510" i="1"/>
  <c r="L5510" i="1"/>
  <c r="M5510" i="1"/>
  <c r="K5511" i="1"/>
  <c r="L5511" i="1"/>
  <c r="M5511" i="1"/>
  <c r="K5512" i="1"/>
  <c r="L5512" i="1"/>
  <c r="M5512" i="1"/>
  <c r="K5513" i="1"/>
  <c r="L5513" i="1"/>
  <c r="M5513" i="1"/>
  <c r="K5514" i="1"/>
  <c r="L5514" i="1"/>
  <c r="M5514" i="1"/>
  <c r="K5861" i="1"/>
  <c r="L5861" i="1"/>
  <c r="K5862" i="1"/>
  <c r="L5862" i="1"/>
  <c r="K5863" i="1"/>
  <c r="L5863" i="1"/>
  <c r="K5864" i="1"/>
  <c r="L5864" i="1"/>
  <c r="K5865" i="1"/>
  <c r="L5865" i="1"/>
  <c r="K5866" i="1"/>
  <c r="L5866" i="1"/>
  <c r="K5867" i="1"/>
  <c r="L5867" i="1"/>
  <c r="K5868" i="1"/>
  <c r="L5868" i="1"/>
  <c r="K5869" i="1"/>
  <c r="L5869" i="1"/>
  <c r="K5870" i="1"/>
  <c r="L5870" i="1"/>
  <c r="K5871" i="1"/>
  <c r="L5871" i="1"/>
  <c r="K5872" i="1"/>
  <c r="L5872" i="1"/>
  <c r="K5873" i="1"/>
  <c r="L5873" i="1"/>
  <c r="K5874" i="1"/>
  <c r="L5874" i="1"/>
  <c r="K5875" i="1"/>
  <c r="L5875" i="1"/>
  <c r="K5876" i="1"/>
  <c r="L5876" i="1"/>
  <c r="K5877" i="1"/>
  <c r="L5877" i="1"/>
  <c r="K5878" i="1"/>
  <c r="L5878" i="1"/>
  <c r="K5879" i="1"/>
  <c r="L5879" i="1"/>
  <c r="K5880" i="1"/>
  <c r="L5880" i="1"/>
  <c r="K5881" i="1"/>
  <c r="L5881" i="1"/>
  <c r="K5882" i="1"/>
  <c r="L5882" i="1"/>
  <c r="K5883" i="1"/>
  <c r="L5883" i="1"/>
  <c r="K5884" i="1"/>
  <c r="L5884" i="1"/>
  <c r="K5885" i="1"/>
  <c r="L5885" i="1"/>
  <c r="K5886" i="1"/>
  <c r="L5886" i="1"/>
  <c r="K5887" i="1"/>
  <c r="L5887" i="1"/>
  <c r="K5888" i="1"/>
  <c r="L5888" i="1"/>
  <c r="K5889" i="1"/>
  <c r="L5889" i="1"/>
  <c r="K5890" i="1"/>
  <c r="L5890" i="1"/>
  <c r="K5891" i="1"/>
  <c r="L5891" i="1"/>
  <c r="K5849" i="1"/>
  <c r="L5849" i="1"/>
  <c r="K5850" i="1"/>
  <c r="L5850" i="1"/>
  <c r="K5851" i="1"/>
  <c r="L5851" i="1"/>
  <c r="K5852" i="1"/>
  <c r="L5852" i="1"/>
  <c r="K5853" i="1"/>
  <c r="L5853" i="1"/>
  <c r="K5854" i="1"/>
  <c r="L5854" i="1"/>
  <c r="K5855" i="1"/>
  <c r="L5855" i="1"/>
  <c r="K5856" i="1"/>
  <c r="L5856" i="1"/>
  <c r="K5857" i="1"/>
  <c r="L5857" i="1"/>
  <c r="K5858" i="1"/>
  <c r="L5858" i="1"/>
  <c r="K5859" i="1"/>
  <c r="L5859" i="1"/>
  <c r="K5860" i="1"/>
  <c r="L5860" i="1"/>
  <c r="K5515" i="1"/>
  <c r="L5515" i="1"/>
  <c r="M5515" i="1"/>
  <c r="K5516" i="1"/>
  <c r="L5516" i="1"/>
  <c r="M5516" i="1"/>
  <c r="K5517" i="1"/>
  <c r="L5517" i="1"/>
  <c r="M5517" i="1"/>
  <c r="K5518" i="1"/>
  <c r="L5518" i="1"/>
  <c r="M5518" i="1"/>
  <c r="K5519" i="1"/>
  <c r="L5519" i="1"/>
  <c r="M5519" i="1"/>
  <c r="K5520" i="1"/>
  <c r="L5520" i="1"/>
  <c r="M5520" i="1"/>
  <c r="K5521" i="1"/>
  <c r="L5521" i="1"/>
  <c r="M5521" i="1"/>
  <c r="K5522" i="1"/>
  <c r="L5522" i="1"/>
  <c r="M5522" i="1"/>
  <c r="K5523" i="1"/>
  <c r="L5523" i="1"/>
  <c r="M5523" i="1"/>
  <c r="K5524" i="1"/>
  <c r="L5524" i="1"/>
  <c r="M5524" i="1"/>
  <c r="K5525" i="1"/>
  <c r="L5525" i="1"/>
  <c r="M5525" i="1"/>
  <c r="K5526" i="1"/>
  <c r="L5526" i="1"/>
  <c r="M5526" i="1"/>
  <c r="K5527" i="1"/>
  <c r="L5527" i="1"/>
  <c r="M5527" i="1"/>
  <c r="K5528" i="1"/>
  <c r="L5528" i="1"/>
  <c r="M5528" i="1"/>
  <c r="K5529" i="1"/>
  <c r="L5529" i="1"/>
  <c r="M5529" i="1"/>
  <c r="K5530" i="1"/>
  <c r="L5530" i="1"/>
  <c r="M5530" i="1"/>
  <c r="K5531" i="1"/>
  <c r="L5531" i="1"/>
  <c r="M5531" i="1"/>
  <c r="K5532" i="1"/>
  <c r="L5532" i="1"/>
  <c r="M5532" i="1"/>
  <c r="K5533" i="1"/>
  <c r="L5533" i="1"/>
  <c r="M5533" i="1"/>
  <c r="K5534" i="1"/>
  <c r="L5534" i="1"/>
  <c r="M5534" i="1"/>
  <c r="K5535" i="1"/>
  <c r="L5535" i="1"/>
  <c r="M5535" i="1"/>
  <c r="K5536" i="1"/>
  <c r="L5536" i="1"/>
  <c r="M5536" i="1"/>
  <c r="K5537" i="1"/>
  <c r="L5537" i="1"/>
  <c r="M5537" i="1"/>
  <c r="K5538" i="1"/>
  <c r="L5538" i="1"/>
  <c r="M5538" i="1"/>
  <c r="K5539" i="1"/>
  <c r="L5539" i="1"/>
  <c r="M5539" i="1"/>
  <c r="K5540" i="1"/>
  <c r="L5540" i="1"/>
  <c r="M5540" i="1"/>
  <c r="K5541" i="1"/>
  <c r="L5541" i="1"/>
  <c r="M5541" i="1"/>
  <c r="K5542" i="1"/>
  <c r="L5542" i="1"/>
  <c r="M5542" i="1"/>
  <c r="K5543" i="1"/>
  <c r="L5543" i="1"/>
  <c r="M5543" i="1"/>
  <c r="K5544" i="1"/>
  <c r="L5544" i="1"/>
  <c r="M5544" i="1"/>
  <c r="K5545" i="1"/>
  <c r="L5545" i="1"/>
  <c r="M5545" i="1"/>
  <c r="K5546" i="1"/>
  <c r="L5546" i="1"/>
  <c r="M5546" i="1"/>
  <c r="K5547" i="1"/>
  <c r="L5547" i="1"/>
  <c r="M5547" i="1"/>
  <c r="K5548" i="1"/>
  <c r="L5548" i="1"/>
  <c r="M5548" i="1"/>
  <c r="K5549" i="1"/>
  <c r="L5549" i="1"/>
  <c r="M5549" i="1"/>
  <c r="K5550" i="1"/>
  <c r="L5550" i="1"/>
  <c r="M5550" i="1"/>
  <c r="K5551" i="1"/>
  <c r="L5551" i="1"/>
  <c r="M5551" i="1"/>
  <c r="K5552" i="1"/>
  <c r="L5552" i="1"/>
  <c r="M5552" i="1"/>
  <c r="K5553" i="1"/>
  <c r="L5553" i="1"/>
  <c r="M5553" i="1"/>
  <c r="K5554" i="1"/>
  <c r="L5554" i="1"/>
  <c r="M5554" i="1"/>
  <c r="K5555" i="1"/>
  <c r="L5555" i="1"/>
  <c r="M5555" i="1"/>
  <c r="K5556" i="1"/>
  <c r="L5556" i="1"/>
  <c r="M5556" i="1"/>
  <c r="K5557" i="1"/>
  <c r="L5557" i="1"/>
  <c r="M5557" i="1"/>
  <c r="K5558" i="1"/>
  <c r="L5558" i="1"/>
  <c r="M5558" i="1"/>
  <c r="K5559" i="1"/>
  <c r="L5559" i="1"/>
  <c r="M5559" i="1"/>
  <c r="K5560" i="1"/>
  <c r="L5560" i="1"/>
  <c r="M5560" i="1"/>
  <c r="K5561" i="1"/>
  <c r="L5561" i="1"/>
  <c r="M5561" i="1"/>
  <c r="K5562" i="1"/>
  <c r="L5562" i="1"/>
  <c r="M5562" i="1"/>
  <c r="K5563" i="1"/>
  <c r="L5563" i="1"/>
  <c r="M5563" i="1"/>
  <c r="K5564" i="1"/>
  <c r="L5564" i="1"/>
  <c r="M5564" i="1"/>
  <c r="K5565" i="1"/>
  <c r="L5565" i="1"/>
  <c r="M5565" i="1"/>
  <c r="K5566" i="1"/>
  <c r="L5566" i="1"/>
  <c r="M5566" i="1"/>
  <c r="K5567" i="1"/>
  <c r="L5567" i="1"/>
  <c r="M5567" i="1"/>
  <c r="K5568" i="1"/>
  <c r="L5568" i="1"/>
  <c r="M5568" i="1"/>
  <c r="K5569" i="1"/>
  <c r="L5569" i="1"/>
  <c r="M5569" i="1"/>
  <c r="K5570" i="1"/>
  <c r="L5570" i="1"/>
  <c r="M5570" i="1"/>
  <c r="K5571" i="1"/>
  <c r="L5571" i="1"/>
  <c r="M5571" i="1"/>
  <c r="K5572" i="1"/>
  <c r="L5572" i="1"/>
  <c r="M5572" i="1"/>
  <c r="K5573" i="1"/>
  <c r="L5573" i="1"/>
  <c r="M5573" i="1"/>
  <c r="K5574" i="1"/>
  <c r="L5574" i="1"/>
  <c r="M5574" i="1"/>
  <c r="K5575" i="1"/>
  <c r="L5575" i="1"/>
  <c r="M5575" i="1"/>
  <c r="K5576" i="1"/>
  <c r="L5576" i="1"/>
  <c r="M5576" i="1"/>
  <c r="K5577" i="1"/>
  <c r="L5577" i="1"/>
  <c r="M5577" i="1"/>
  <c r="K5578" i="1"/>
  <c r="L5578" i="1"/>
  <c r="M5578" i="1"/>
  <c r="K5579" i="1"/>
  <c r="L5579" i="1"/>
  <c r="M5579" i="1"/>
  <c r="K5580" i="1"/>
  <c r="L5580" i="1"/>
  <c r="M5580" i="1"/>
  <c r="K5581" i="1"/>
  <c r="L5581" i="1"/>
  <c r="M5581" i="1"/>
  <c r="K5582" i="1"/>
  <c r="L5582" i="1"/>
  <c r="M5582" i="1"/>
  <c r="K5583" i="1"/>
  <c r="L5583" i="1"/>
  <c r="M5583" i="1"/>
  <c r="K5584" i="1"/>
  <c r="L5584" i="1"/>
  <c r="M5584" i="1"/>
  <c r="K5585" i="1"/>
  <c r="L5585" i="1"/>
  <c r="M5585" i="1"/>
  <c r="K5586" i="1"/>
  <c r="L5586" i="1"/>
  <c r="M5586" i="1"/>
  <c r="K5587" i="1"/>
  <c r="L5587" i="1"/>
  <c r="M5587" i="1"/>
  <c r="K5588" i="1"/>
  <c r="L5588" i="1"/>
  <c r="M5588" i="1"/>
  <c r="K5589" i="1"/>
  <c r="L5589" i="1"/>
  <c r="M5589" i="1"/>
  <c r="K5590" i="1"/>
  <c r="L5590" i="1"/>
  <c r="M5590" i="1"/>
  <c r="K5591" i="1"/>
  <c r="L5591" i="1"/>
  <c r="M5591" i="1"/>
  <c r="K5592" i="1"/>
  <c r="L5592" i="1"/>
  <c r="M5592" i="1"/>
  <c r="K5593" i="1"/>
  <c r="L5593" i="1"/>
  <c r="M5593" i="1"/>
  <c r="K5594" i="1"/>
  <c r="L5594" i="1"/>
  <c r="M5594" i="1"/>
  <c r="K5595" i="1"/>
  <c r="L5595" i="1"/>
  <c r="M5595" i="1"/>
  <c r="K5596" i="1"/>
  <c r="L5596" i="1"/>
  <c r="M5596" i="1"/>
  <c r="K5597" i="1"/>
  <c r="L5597" i="1"/>
  <c r="M5597" i="1"/>
  <c r="K5598" i="1"/>
  <c r="L5598" i="1"/>
  <c r="M5598" i="1"/>
  <c r="K5599" i="1"/>
  <c r="L5599" i="1"/>
  <c r="M5599" i="1"/>
  <c r="K5600" i="1"/>
  <c r="L5600" i="1"/>
  <c r="M5600" i="1"/>
  <c r="K5601" i="1"/>
  <c r="L5601" i="1"/>
  <c r="M5601" i="1"/>
  <c r="K5602" i="1"/>
  <c r="L5602" i="1"/>
  <c r="M5602" i="1"/>
  <c r="K5603" i="1"/>
  <c r="L5603" i="1"/>
  <c r="M5603" i="1"/>
  <c r="K5604" i="1"/>
  <c r="L5604" i="1"/>
  <c r="M5604" i="1"/>
  <c r="K5605" i="1"/>
  <c r="L5605" i="1"/>
  <c r="M5605" i="1"/>
  <c r="K5606" i="1"/>
  <c r="L5606" i="1"/>
  <c r="M5606" i="1"/>
  <c r="K5607" i="1"/>
  <c r="L5607" i="1"/>
  <c r="M5607" i="1"/>
  <c r="K5608" i="1"/>
  <c r="L5608" i="1"/>
  <c r="M5608" i="1"/>
  <c r="K5609" i="1"/>
  <c r="L5609" i="1"/>
  <c r="M5609" i="1"/>
  <c r="K5610" i="1"/>
  <c r="L5610" i="1"/>
  <c r="M5610" i="1"/>
  <c r="K5611" i="1"/>
  <c r="L5611" i="1"/>
  <c r="M5611" i="1"/>
  <c r="K5612" i="1"/>
  <c r="L5612" i="1"/>
  <c r="M5612" i="1"/>
  <c r="K5613" i="1"/>
  <c r="L5613" i="1"/>
  <c r="M5613" i="1"/>
  <c r="K5614" i="1"/>
  <c r="L5614" i="1"/>
  <c r="M5614" i="1"/>
  <c r="K5615" i="1"/>
  <c r="L5615" i="1"/>
  <c r="M5615" i="1"/>
  <c r="K5616" i="1"/>
  <c r="L5616" i="1"/>
  <c r="M5616" i="1"/>
  <c r="K5617" i="1"/>
  <c r="L5617" i="1"/>
  <c r="M5617" i="1"/>
  <c r="K5618" i="1"/>
  <c r="L5618" i="1"/>
  <c r="M5618" i="1"/>
  <c r="K5619" i="1"/>
  <c r="L5619" i="1"/>
  <c r="M5619" i="1"/>
  <c r="K5620" i="1"/>
  <c r="L5620" i="1"/>
  <c r="M5620" i="1"/>
  <c r="K5621" i="1"/>
  <c r="L5621" i="1"/>
  <c r="M5621" i="1"/>
  <c r="K5622" i="1"/>
  <c r="L5622" i="1"/>
  <c r="M5622" i="1"/>
  <c r="K5623" i="1"/>
  <c r="L5623" i="1"/>
  <c r="M5623" i="1"/>
  <c r="K5624" i="1"/>
  <c r="L5624" i="1"/>
  <c r="M5624" i="1"/>
  <c r="K5625" i="1"/>
  <c r="L5625" i="1"/>
  <c r="M5625" i="1"/>
  <c r="K5626" i="1"/>
  <c r="L5626" i="1"/>
  <c r="M5626" i="1"/>
  <c r="K5627" i="1"/>
  <c r="L5627" i="1"/>
  <c r="M5627" i="1"/>
  <c r="K5628" i="1"/>
  <c r="L5628" i="1"/>
  <c r="M5628" i="1"/>
  <c r="K5629" i="1"/>
  <c r="L5629" i="1"/>
  <c r="M5629" i="1"/>
  <c r="K5630" i="1"/>
  <c r="L5630" i="1"/>
  <c r="M5630" i="1"/>
  <c r="K5631" i="1"/>
  <c r="L5631" i="1"/>
  <c r="M5631" i="1"/>
  <c r="K5632" i="1"/>
  <c r="L5632" i="1"/>
  <c r="M5632" i="1"/>
  <c r="K5633" i="1"/>
  <c r="L5633" i="1"/>
  <c r="M5633" i="1"/>
  <c r="K5634" i="1"/>
  <c r="L5634" i="1"/>
  <c r="M5634" i="1"/>
  <c r="K5635" i="1"/>
  <c r="L5635" i="1"/>
  <c r="M5635" i="1"/>
  <c r="K5636" i="1"/>
  <c r="L5636" i="1"/>
  <c r="M5636" i="1"/>
  <c r="K5637" i="1"/>
  <c r="L5637" i="1"/>
  <c r="M5637" i="1"/>
  <c r="K5638" i="1"/>
  <c r="L5638" i="1"/>
  <c r="M5638" i="1"/>
  <c r="K5639" i="1"/>
  <c r="L5639" i="1"/>
  <c r="M5639" i="1"/>
  <c r="K5640" i="1"/>
  <c r="L5640" i="1"/>
  <c r="M5640" i="1"/>
  <c r="K5641" i="1"/>
  <c r="L5641" i="1"/>
  <c r="M5641" i="1"/>
  <c r="K5642" i="1"/>
  <c r="L5642" i="1"/>
  <c r="M5642" i="1"/>
  <c r="K5643" i="1"/>
  <c r="L5643" i="1"/>
  <c r="M5643" i="1"/>
  <c r="K5644" i="1"/>
  <c r="L5644" i="1"/>
  <c r="M5644" i="1"/>
  <c r="K5645" i="1"/>
  <c r="L5645" i="1"/>
  <c r="M5645" i="1"/>
  <c r="K5646" i="1"/>
  <c r="L5646" i="1"/>
  <c r="M5646" i="1"/>
  <c r="K5647" i="1"/>
  <c r="L5647" i="1"/>
  <c r="M5647" i="1"/>
  <c r="K5648" i="1"/>
  <c r="L5648" i="1"/>
  <c r="M5648" i="1"/>
  <c r="K5649" i="1"/>
  <c r="L5649" i="1"/>
  <c r="M5649" i="1"/>
  <c r="K5650" i="1"/>
  <c r="L5650" i="1"/>
  <c r="M5650" i="1"/>
  <c r="K5651" i="1"/>
  <c r="L5651" i="1"/>
  <c r="M5651" i="1"/>
  <c r="K5652" i="1"/>
  <c r="L5652" i="1"/>
  <c r="M5652" i="1"/>
  <c r="K5653" i="1"/>
  <c r="L5653" i="1"/>
  <c r="M5653" i="1"/>
  <c r="K5654" i="1"/>
  <c r="L5654" i="1"/>
  <c r="M5654" i="1"/>
  <c r="K5655" i="1"/>
  <c r="L5655" i="1"/>
  <c r="M5655" i="1"/>
  <c r="K5656" i="1"/>
  <c r="L5656" i="1"/>
  <c r="M5656" i="1"/>
  <c r="K5657" i="1"/>
  <c r="L5657" i="1"/>
  <c r="M5657" i="1"/>
  <c r="K5658" i="1"/>
  <c r="L5658" i="1"/>
  <c r="M5658" i="1"/>
  <c r="K5659" i="1"/>
  <c r="L5659" i="1"/>
  <c r="M5659" i="1"/>
  <c r="K5660" i="1"/>
  <c r="L5660" i="1"/>
  <c r="M5660" i="1"/>
  <c r="K5661" i="1"/>
  <c r="L5661" i="1"/>
  <c r="M5661" i="1"/>
  <c r="K5662" i="1"/>
  <c r="L5662" i="1"/>
  <c r="M5662" i="1"/>
  <c r="K5663" i="1"/>
  <c r="L5663" i="1"/>
  <c r="M5663" i="1"/>
  <c r="K5664" i="1"/>
  <c r="L5664" i="1"/>
  <c r="M5664" i="1"/>
  <c r="K5665" i="1"/>
  <c r="L5665" i="1"/>
  <c r="M5665" i="1"/>
  <c r="K5666" i="1"/>
  <c r="L5666" i="1"/>
  <c r="M5666" i="1"/>
  <c r="K5667" i="1"/>
  <c r="L5667" i="1"/>
  <c r="M5667" i="1"/>
  <c r="K5668" i="1"/>
  <c r="L5668" i="1"/>
  <c r="M5668" i="1"/>
  <c r="K5669" i="1"/>
  <c r="L5669" i="1"/>
  <c r="M5669" i="1"/>
  <c r="K5670" i="1"/>
  <c r="L5670" i="1"/>
  <c r="M5670" i="1"/>
  <c r="K5671" i="1"/>
  <c r="L5671" i="1"/>
  <c r="M5671" i="1"/>
  <c r="K5672" i="1"/>
  <c r="L5672" i="1"/>
  <c r="M5672" i="1"/>
  <c r="K5673" i="1"/>
  <c r="L5673" i="1"/>
  <c r="M5673" i="1"/>
  <c r="K5674" i="1"/>
  <c r="L5674" i="1"/>
  <c r="M5674" i="1"/>
  <c r="K5675" i="1"/>
  <c r="L5675" i="1"/>
  <c r="M5675" i="1"/>
  <c r="K5676" i="1"/>
  <c r="L5676" i="1"/>
  <c r="M5676" i="1"/>
  <c r="K5677" i="1"/>
  <c r="L5677" i="1"/>
  <c r="M5677" i="1"/>
  <c r="K5678" i="1"/>
  <c r="L5678" i="1"/>
  <c r="M5678" i="1"/>
  <c r="K5679" i="1"/>
  <c r="L5679" i="1"/>
  <c r="M5679" i="1"/>
  <c r="K5680" i="1"/>
  <c r="L5680" i="1"/>
  <c r="M5680" i="1"/>
  <c r="K5681" i="1"/>
  <c r="L5681" i="1"/>
  <c r="M5681" i="1"/>
  <c r="K5682" i="1"/>
  <c r="L5682" i="1"/>
  <c r="M5682" i="1"/>
  <c r="K5683" i="1"/>
  <c r="L5683" i="1"/>
  <c r="M5683" i="1"/>
  <c r="K5684" i="1"/>
  <c r="L5684" i="1"/>
  <c r="M5684" i="1"/>
  <c r="K5685" i="1"/>
  <c r="L5685" i="1"/>
  <c r="M5685" i="1"/>
  <c r="K5686" i="1"/>
  <c r="L5686" i="1"/>
  <c r="M5686" i="1"/>
  <c r="K5687" i="1"/>
  <c r="L5687" i="1"/>
  <c r="M5687" i="1"/>
  <c r="K5688" i="1"/>
  <c r="L5688" i="1"/>
  <c r="M5688" i="1"/>
  <c r="K5689" i="1"/>
  <c r="L5689" i="1"/>
  <c r="M5689" i="1"/>
  <c r="K5690" i="1"/>
  <c r="L5690" i="1"/>
  <c r="M5690" i="1"/>
  <c r="K5691" i="1"/>
  <c r="L5691" i="1"/>
  <c r="M5691" i="1"/>
  <c r="K5692" i="1"/>
  <c r="L5692" i="1"/>
  <c r="M5692" i="1"/>
  <c r="K5693" i="1"/>
  <c r="L5693" i="1"/>
  <c r="M5693" i="1"/>
  <c r="K5694" i="1"/>
  <c r="L5694" i="1"/>
  <c r="M5694" i="1"/>
  <c r="K5695" i="1"/>
  <c r="L5695" i="1"/>
  <c r="M5695" i="1"/>
  <c r="K5696" i="1"/>
  <c r="L5696" i="1"/>
  <c r="M5696" i="1"/>
  <c r="K5697" i="1"/>
  <c r="L5697" i="1"/>
  <c r="M5697" i="1"/>
  <c r="K5698" i="1"/>
  <c r="L5698" i="1"/>
  <c r="M5698" i="1"/>
  <c r="K5699" i="1"/>
  <c r="L5699" i="1"/>
  <c r="M5699" i="1"/>
  <c r="K5700" i="1"/>
  <c r="L5700" i="1"/>
  <c r="M5700" i="1"/>
  <c r="K5701" i="1"/>
  <c r="L5701" i="1"/>
  <c r="M5701" i="1"/>
  <c r="K5702" i="1"/>
  <c r="L5702" i="1"/>
  <c r="M5702" i="1"/>
  <c r="K5703" i="1"/>
  <c r="L5703" i="1"/>
  <c r="M5703" i="1"/>
  <c r="K5704" i="1"/>
  <c r="L5704" i="1"/>
  <c r="M5704" i="1"/>
  <c r="K5705" i="1"/>
  <c r="L5705" i="1"/>
  <c r="M5705" i="1"/>
  <c r="K5706" i="1"/>
  <c r="L5706" i="1"/>
  <c r="M5706" i="1"/>
  <c r="K5707" i="1"/>
  <c r="L5707" i="1"/>
  <c r="M5707" i="1"/>
  <c r="K5708" i="1"/>
  <c r="L5708" i="1"/>
  <c r="M5708" i="1"/>
  <c r="K5709" i="1"/>
  <c r="L5709" i="1"/>
  <c r="M5709" i="1"/>
  <c r="K5710" i="1"/>
  <c r="L5710" i="1"/>
  <c r="M5710" i="1"/>
  <c r="K5711" i="1"/>
  <c r="L5711" i="1"/>
  <c r="M5711" i="1"/>
  <c r="K5712" i="1"/>
  <c r="L5712" i="1"/>
  <c r="M5712" i="1"/>
  <c r="K5713" i="1"/>
  <c r="L5713" i="1"/>
  <c r="M5713" i="1"/>
  <c r="K5714" i="1"/>
  <c r="L5714" i="1"/>
  <c r="M5714" i="1"/>
  <c r="K5892" i="1"/>
  <c r="L5892" i="1"/>
  <c r="M5892" i="1"/>
  <c r="K5893" i="1"/>
  <c r="L5893" i="1"/>
  <c r="M5893" i="1"/>
  <c r="K5894" i="1"/>
  <c r="L5894" i="1"/>
  <c r="M5894" i="1"/>
  <c r="K6093" i="1"/>
  <c r="L6093" i="1"/>
  <c r="K6094" i="1"/>
  <c r="L6094" i="1"/>
  <c r="K6095" i="1"/>
  <c r="L6095" i="1"/>
  <c r="K6096" i="1"/>
  <c r="L6096" i="1"/>
  <c r="K6097" i="1"/>
  <c r="L6097" i="1"/>
  <c r="K6091" i="1"/>
  <c r="L6091" i="1"/>
  <c r="K6092" i="1"/>
  <c r="L6092" i="1"/>
  <c r="K5895" i="1"/>
  <c r="L5895" i="1"/>
  <c r="M5895" i="1"/>
  <c r="K5896" i="1"/>
  <c r="L5896" i="1"/>
  <c r="M5896" i="1"/>
  <c r="K5897" i="1"/>
  <c r="L5897" i="1"/>
  <c r="M5897" i="1"/>
  <c r="K5898" i="1"/>
  <c r="L5898" i="1"/>
  <c r="M5898" i="1"/>
  <c r="K5899" i="1"/>
  <c r="L5899" i="1"/>
  <c r="M5899" i="1"/>
  <c r="K5900" i="1"/>
  <c r="L5900" i="1"/>
  <c r="M5900" i="1"/>
  <c r="K5901" i="1"/>
  <c r="L5901" i="1"/>
  <c r="M5901" i="1"/>
  <c r="K5902" i="1"/>
  <c r="L5902" i="1"/>
  <c r="M5902" i="1"/>
  <c r="K5903" i="1"/>
  <c r="L5903" i="1"/>
  <c r="M5903" i="1"/>
  <c r="K5904" i="1"/>
  <c r="L5904" i="1"/>
  <c r="M5904" i="1"/>
  <c r="K5905" i="1"/>
  <c r="L5905" i="1"/>
  <c r="M5905" i="1"/>
  <c r="K5906" i="1"/>
  <c r="L5906" i="1"/>
  <c r="M5906" i="1"/>
  <c r="K5907" i="1"/>
  <c r="L5907" i="1"/>
  <c r="M5907" i="1"/>
  <c r="K5908" i="1"/>
  <c r="L5908" i="1"/>
  <c r="M5908" i="1"/>
  <c r="K5909" i="1"/>
  <c r="L5909" i="1"/>
  <c r="M5909" i="1"/>
  <c r="K5910" i="1"/>
  <c r="L5910" i="1"/>
  <c r="M5910" i="1"/>
  <c r="K5911" i="1"/>
  <c r="L5911" i="1"/>
  <c r="M5911" i="1"/>
  <c r="K5912" i="1"/>
  <c r="L5912" i="1"/>
  <c r="M5912" i="1"/>
  <c r="K5913" i="1"/>
  <c r="L5913" i="1"/>
  <c r="M5913" i="1"/>
  <c r="K5914" i="1"/>
  <c r="L5914" i="1"/>
  <c r="M5914" i="1"/>
  <c r="K5915" i="1"/>
  <c r="L5915" i="1"/>
  <c r="M5915" i="1"/>
  <c r="K5916" i="1"/>
  <c r="L5916" i="1"/>
  <c r="M5916" i="1"/>
  <c r="K6113" i="1"/>
  <c r="L6113" i="1"/>
  <c r="K6114" i="1"/>
  <c r="L6114" i="1"/>
  <c r="K6115" i="1"/>
  <c r="L6115" i="1"/>
  <c r="K6116" i="1"/>
  <c r="L6116" i="1"/>
  <c r="K6117" i="1"/>
  <c r="L6117" i="1"/>
  <c r="K6118" i="1"/>
  <c r="L6118" i="1"/>
  <c r="K6119" i="1"/>
  <c r="L6119" i="1"/>
  <c r="K6120" i="1"/>
  <c r="L6120" i="1"/>
  <c r="K6121" i="1"/>
  <c r="L6121" i="1"/>
  <c r="K6122" i="1"/>
  <c r="L6122" i="1"/>
  <c r="K6123" i="1"/>
  <c r="L6123" i="1"/>
  <c r="K6124" i="1"/>
  <c r="L6124" i="1"/>
  <c r="K6098" i="1"/>
  <c r="L6098" i="1"/>
  <c r="K6099" i="1"/>
  <c r="L6099" i="1"/>
  <c r="K6100" i="1"/>
  <c r="L6100" i="1"/>
  <c r="K6101" i="1"/>
  <c r="L6101" i="1"/>
  <c r="K6102" i="1"/>
  <c r="L6102" i="1"/>
  <c r="K6103" i="1"/>
  <c r="L6103" i="1"/>
  <c r="K6104" i="1"/>
  <c r="L6104" i="1"/>
  <c r="K6105" i="1"/>
  <c r="L6105" i="1"/>
  <c r="K6106" i="1"/>
  <c r="L6106" i="1"/>
  <c r="K6107" i="1"/>
  <c r="L6107" i="1"/>
  <c r="K6108" i="1"/>
  <c r="L6108" i="1"/>
  <c r="K6109" i="1"/>
  <c r="L6109" i="1"/>
  <c r="K6110" i="1"/>
  <c r="L6110" i="1"/>
  <c r="K6111" i="1"/>
  <c r="L6111" i="1"/>
  <c r="K6112" i="1"/>
  <c r="L6112" i="1"/>
  <c r="K5917" i="1"/>
  <c r="L5917" i="1"/>
  <c r="M5917" i="1"/>
  <c r="K5918" i="1"/>
  <c r="L5918" i="1"/>
  <c r="M5918" i="1"/>
  <c r="K5919" i="1"/>
  <c r="L5919" i="1"/>
  <c r="M5919" i="1"/>
  <c r="K6130" i="1"/>
  <c r="L6130" i="1"/>
  <c r="K6131" i="1"/>
  <c r="L6131" i="1"/>
  <c r="K6132" i="1"/>
  <c r="L6132" i="1"/>
  <c r="K6133" i="1"/>
  <c r="L6133" i="1"/>
  <c r="K6134" i="1"/>
  <c r="L6134" i="1"/>
  <c r="K6135" i="1"/>
  <c r="L6135" i="1"/>
  <c r="K6136" i="1"/>
  <c r="L6136" i="1"/>
  <c r="K6137" i="1"/>
  <c r="L6137" i="1"/>
  <c r="K6138" i="1"/>
  <c r="L6138" i="1"/>
  <c r="K6139" i="1"/>
  <c r="L6139" i="1"/>
  <c r="K6140" i="1"/>
  <c r="L6140" i="1"/>
  <c r="K6125" i="1"/>
  <c r="L6125" i="1"/>
  <c r="K6126" i="1"/>
  <c r="L6126" i="1"/>
  <c r="K6127" i="1"/>
  <c r="L6127" i="1"/>
  <c r="K6128" i="1"/>
  <c r="L6128" i="1"/>
  <c r="K6129" i="1"/>
  <c r="L6129" i="1"/>
  <c r="K5920" i="1"/>
  <c r="L5920" i="1"/>
  <c r="M5920" i="1"/>
  <c r="K5921" i="1"/>
  <c r="L5921" i="1"/>
  <c r="M5921" i="1"/>
  <c r="K6144" i="1"/>
  <c r="L6144" i="1"/>
  <c r="K6145" i="1"/>
  <c r="L6145" i="1"/>
  <c r="K6146" i="1"/>
  <c r="L6146" i="1"/>
  <c r="K6147" i="1"/>
  <c r="L6147" i="1"/>
  <c r="K6148" i="1"/>
  <c r="L6148" i="1"/>
  <c r="K6149" i="1"/>
  <c r="L6149" i="1"/>
  <c r="K6150" i="1"/>
  <c r="L6150" i="1"/>
  <c r="K6141" i="1"/>
  <c r="L6141" i="1"/>
  <c r="K6142" i="1"/>
  <c r="L6142" i="1"/>
  <c r="K6143" i="1"/>
  <c r="L6143" i="1"/>
  <c r="K5922" i="1"/>
  <c r="L5922" i="1"/>
  <c r="M5922" i="1"/>
  <c r="K5923" i="1"/>
  <c r="L5923" i="1"/>
  <c r="M5923" i="1"/>
  <c r="K5924" i="1"/>
  <c r="L5924" i="1"/>
  <c r="M5924" i="1"/>
  <c r="K6160" i="1"/>
  <c r="L6160" i="1"/>
  <c r="K6151" i="1"/>
  <c r="L6151" i="1"/>
  <c r="K6152" i="1"/>
  <c r="L6152" i="1"/>
  <c r="K6153" i="1"/>
  <c r="L6153" i="1"/>
  <c r="K6154" i="1"/>
  <c r="L6154" i="1"/>
  <c r="K6155" i="1"/>
  <c r="L6155" i="1"/>
  <c r="K6156" i="1"/>
  <c r="L6156" i="1"/>
  <c r="K6157" i="1"/>
  <c r="L6157" i="1"/>
  <c r="K6158" i="1"/>
  <c r="L6158" i="1"/>
  <c r="K6159" i="1"/>
  <c r="L6159" i="1"/>
  <c r="K5925" i="1"/>
  <c r="L5925" i="1"/>
  <c r="M5925" i="1"/>
  <c r="K5926" i="1"/>
  <c r="L5926" i="1"/>
  <c r="M5926" i="1"/>
  <c r="K5927" i="1"/>
  <c r="L5927" i="1"/>
  <c r="M5927" i="1"/>
  <c r="K5928" i="1"/>
  <c r="L5928" i="1"/>
  <c r="M5928" i="1"/>
  <c r="K5929" i="1"/>
  <c r="L5929" i="1"/>
  <c r="M5929" i="1"/>
  <c r="K5930" i="1"/>
  <c r="L5930" i="1"/>
  <c r="M5930" i="1"/>
  <c r="K5931" i="1"/>
  <c r="L5931" i="1"/>
  <c r="M5931" i="1"/>
  <c r="K6167" i="1"/>
  <c r="L6167" i="1"/>
  <c r="K6168" i="1"/>
  <c r="L6168" i="1"/>
  <c r="K6169" i="1"/>
  <c r="L6169" i="1"/>
  <c r="K6170" i="1"/>
  <c r="L6170" i="1"/>
  <c r="K6171" i="1"/>
  <c r="L6171" i="1"/>
  <c r="K6172" i="1"/>
  <c r="L6172" i="1"/>
  <c r="K6173" i="1"/>
  <c r="L6173" i="1"/>
  <c r="K6174" i="1"/>
  <c r="L6174" i="1"/>
  <c r="K6175" i="1"/>
  <c r="L6175" i="1"/>
  <c r="K6176" i="1"/>
  <c r="L6176" i="1"/>
  <c r="K6177" i="1"/>
  <c r="L6177" i="1"/>
  <c r="K6178" i="1"/>
  <c r="L6178" i="1"/>
  <c r="K6179" i="1"/>
  <c r="L6179" i="1"/>
  <c r="K6161" i="1"/>
  <c r="L6161" i="1"/>
  <c r="K6162" i="1"/>
  <c r="L6162" i="1"/>
  <c r="K6163" i="1"/>
  <c r="L6163" i="1"/>
  <c r="K6164" i="1"/>
  <c r="L6164" i="1"/>
  <c r="K6165" i="1"/>
  <c r="L6165" i="1"/>
  <c r="K6166" i="1"/>
  <c r="L6166" i="1"/>
  <c r="K6183" i="1"/>
  <c r="L6183" i="1"/>
  <c r="K6184" i="1"/>
  <c r="L6184" i="1"/>
  <c r="K6185" i="1"/>
  <c r="L6185" i="1"/>
  <c r="K6186" i="1"/>
  <c r="L6186" i="1"/>
  <c r="K6187" i="1"/>
  <c r="L6187" i="1"/>
  <c r="K6180" i="1"/>
  <c r="L6180" i="1"/>
  <c r="K6181" i="1"/>
  <c r="L6181" i="1"/>
  <c r="K6182" i="1"/>
  <c r="L6182" i="1"/>
  <c r="K5932" i="1"/>
  <c r="L5932" i="1"/>
  <c r="M5932" i="1"/>
  <c r="K5933" i="1"/>
  <c r="L5933" i="1"/>
  <c r="M5933" i="1"/>
  <c r="K5934" i="1"/>
  <c r="L5934" i="1"/>
  <c r="M5934" i="1"/>
  <c r="K5935" i="1"/>
  <c r="L5935" i="1"/>
  <c r="M5935" i="1"/>
  <c r="K5936" i="1"/>
  <c r="L5936" i="1"/>
  <c r="M5936" i="1"/>
  <c r="K6188" i="1"/>
  <c r="L6188" i="1"/>
  <c r="K6196" i="1"/>
  <c r="L6196" i="1"/>
  <c r="K6197" i="1"/>
  <c r="L6197" i="1"/>
  <c r="K6198" i="1"/>
  <c r="L6198" i="1"/>
  <c r="K6189" i="1"/>
  <c r="L6189" i="1"/>
  <c r="K6190" i="1"/>
  <c r="L6190" i="1"/>
  <c r="K6191" i="1"/>
  <c r="L6191" i="1"/>
  <c r="K6192" i="1"/>
  <c r="L6192" i="1"/>
  <c r="K6193" i="1"/>
  <c r="L6193" i="1"/>
  <c r="K6194" i="1"/>
  <c r="L6194" i="1"/>
  <c r="K6195" i="1"/>
  <c r="L6195" i="1"/>
  <c r="K5937" i="1"/>
  <c r="L5937" i="1"/>
  <c r="M5937" i="1"/>
  <c r="K5938" i="1"/>
  <c r="L5938" i="1"/>
  <c r="M5938" i="1"/>
  <c r="K5939" i="1"/>
  <c r="L5939" i="1"/>
  <c r="M5939" i="1"/>
  <c r="K5940" i="1"/>
  <c r="L5940" i="1"/>
  <c r="M5940" i="1"/>
  <c r="K5941" i="1"/>
  <c r="L5941" i="1"/>
  <c r="M5941" i="1"/>
  <c r="K5942" i="1"/>
  <c r="L5942" i="1"/>
  <c r="M5942" i="1"/>
  <c r="K5943" i="1"/>
  <c r="L5943" i="1"/>
  <c r="M5943" i="1"/>
  <c r="K5944" i="1"/>
  <c r="L5944" i="1"/>
  <c r="M5944" i="1"/>
  <c r="K5945" i="1"/>
  <c r="L5945" i="1"/>
  <c r="M5945" i="1"/>
  <c r="K6199" i="1"/>
  <c r="L6199" i="1"/>
  <c r="K5946" i="1"/>
  <c r="L5946" i="1"/>
  <c r="M5946" i="1"/>
  <c r="K5947" i="1"/>
  <c r="L5947" i="1"/>
  <c r="M5947" i="1"/>
  <c r="K5948" i="1"/>
  <c r="L5948" i="1"/>
  <c r="M5948" i="1"/>
  <c r="K5949" i="1"/>
  <c r="L5949" i="1"/>
  <c r="M5949" i="1"/>
  <c r="K5950" i="1"/>
  <c r="L5950" i="1"/>
  <c r="M5950" i="1"/>
  <c r="K5951" i="1"/>
  <c r="L5951" i="1"/>
  <c r="M5951" i="1"/>
  <c r="K6205" i="1"/>
  <c r="L6205" i="1"/>
  <c r="K6206" i="1"/>
  <c r="L6206" i="1"/>
  <c r="K6200" i="1"/>
  <c r="L6200" i="1"/>
  <c r="K6201" i="1"/>
  <c r="L6201" i="1"/>
  <c r="K6202" i="1"/>
  <c r="L6202" i="1"/>
  <c r="K6203" i="1"/>
  <c r="L6203" i="1"/>
  <c r="K6204" i="1"/>
  <c r="L6204" i="1"/>
  <c r="K5952" i="1"/>
  <c r="L5952" i="1"/>
  <c r="M5952" i="1"/>
  <c r="K5953" i="1"/>
  <c r="L5953" i="1"/>
  <c r="M5953" i="1"/>
  <c r="K5954" i="1"/>
  <c r="L5954" i="1"/>
  <c r="M5954" i="1"/>
  <c r="K5955" i="1"/>
  <c r="L5955" i="1"/>
  <c r="M5955" i="1"/>
  <c r="K5956" i="1"/>
  <c r="L5956" i="1"/>
  <c r="M5956" i="1"/>
  <c r="K5957" i="1"/>
  <c r="L5957" i="1"/>
  <c r="M5957" i="1"/>
  <c r="K5958" i="1"/>
  <c r="L5958" i="1"/>
  <c r="M5958" i="1"/>
  <c r="K5959" i="1"/>
  <c r="L5959" i="1"/>
  <c r="M5959" i="1"/>
  <c r="K5960" i="1"/>
  <c r="L5960" i="1"/>
  <c r="M5960" i="1"/>
  <c r="K5961" i="1"/>
  <c r="L5961" i="1"/>
  <c r="M5961" i="1"/>
  <c r="K5962" i="1"/>
  <c r="L5962" i="1"/>
  <c r="M5962" i="1"/>
  <c r="K5963" i="1"/>
  <c r="L5963" i="1"/>
  <c r="M5963" i="1"/>
  <c r="K5964" i="1"/>
  <c r="L5964" i="1"/>
  <c r="M5964" i="1"/>
  <c r="K5965" i="1"/>
  <c r="L5965" i="1"/>
  <c r="M5965" i="1"/>
  <c r="K5966" i="1"/>
  <c r="L5966" i="1"/>
  <c r="M5966" i="1"/>
  <c r="K5967" i="1"/>
  <c r="L5967" i="1"/>
  <c r="M5967" i="1"/>
  <c r="K5968" i="1"/>
  <c r="L5968" i="1"/>
  <c r="M5968" i="1"/>
  <c r="K5969" i="1"/>
  <c r="L5969" i="1"/>
  <c r="M5969" i="1"/>
  <c r="K5970" i="1"/>
  <c r="L5970" i="1"/>
  <c r="M5970" i="1"/>
  <c r="K5971" i="1"/>
  <c r="L5971" i="1"/>
  <c r="M5971" i="1"/>
  <c r="K5972" i="1"/>
  <c r="L5972" i="1"/>
  <c r="M5972" i="1"/>
  <c r="K5973" i="1"/>
  <c r="L5973" i="1"/>
  <c r="M5973" i="1"/>
  <c r="K5974" i="1"/>
  <c r="L5974" i="1"/>
  <c r="M5974" i="1"/>
  <c r="K5975" i="1"/>
  <c r="L5975" i="1"/>
  <c r="M5975" i="1"/>
  <c r="K5976" i="1"/>
  <c r="L5976" i="1"/>
  <c r="M5976" i="1"/>
  <c r="K5977" i="1"/>
  <c r="L5977" i="1"/>
  <c r="M5977" i="1"/>
  <c r="K5978" i="1"/>
  <c r="L5978" i="1"/>
  <c r="M5978" i="1"/>
  <c r="K5979" i="1"/>
  <c r="L5979" i="1"/>
  <c r="M5979" i="1"/>
  <c r="K5980" i="1"/>
  <c r="L5980" i="1"/>
  <c r="M5980" i="1"/>
  <c r="K5981" i="1"/>
  <c r="L5981" i="1"/>
  <c r="M5981" i="1"/>
  <c r="K5982" i="1"/>
  <c r="L5982" i="1"/>
  <c r="M5982" i="1"/>
  <c r="K5983" i="1"/>
  <c r="L5983" i="1"/>
  <c r="M5983" i="1"/>
  <c r="K5984" i="1"/>
  <c r="L5984" i="1"/>
  <c r="M5984" i="1"/>
  <c r="K5985" i="1"/>
  <c r="L5985" i="1"/>
  <c r="M5985" i="1"/>
  <c r="K5986" i="1"/>
  <c r="L5986" i="1"/>
  <c r="M5986" i="1"/>
  <c r="K5987" i="1"/>
  <c r="L5987" i="1"/>
  <c r="M5987" i="1"/>
  <c r="K5988" i="1"/>
  <c r="L5988" i="1"/>
  <c r="M5988" i="1"/>
  <c r="K5989" i="1"/>
  <c r="L5989" i="1"/>
  <c r="M5989" i="1"/>
  <c r="K5990" i="1"/>
  <c r="L5990" i="1"/>
  <c r="M5990" i="1"/>
  <c r="K5991" i="1"/>
  <c r="L5991" i="1"/>
  <c r="M5991" i="1"/>
  <c r="K5992" i="1"/>
  <c r="L5992" i="1"/>
  <c r="M5992" i="1"/>
  <c r="K5993" i="1"/>
  <c r="L5993" i="1"/>
  <c r="M5993" i="1"/>
  <c r="K5994" i="1"/>
  <c r="L5994" i="1"/>
  <c r="M5994" i="1"/>
  <c r="K5995" i="1"/>
  <c r="L5995" i="1"/>
  <c r="M5995" i="1"/>
  <c r="K5996" i="1"/>
  <c r="L5996" i="1"/>
  <c r="M5996" i="1"/>
  <c r="K5997" i="1"/>
  <c r="L5997" i="1"/>
  <c r="M5997" i="1"/>
  <c r="K5998" i="1"/>
  <c r="L5998" i="1"/>
  <c r="M5998" i="1"/>
  <c r="K5999" i="1"/>
  <c r="L5999" i="1"/>
  <c r="M5999" i="1"/>
  <c r="K6000" i="1"/>
  <c r="L6000" i="1"/>
  <c r="M6000" i="1"/>
  <c r="K6001" i="1"/>
  <c r="L6001" i="1"/>
  <c r="M6001" i="1"/>
  <c r="K6002" i="1"/>
  <c r="L6002" i="1"/>
  <c r="M6002" i="1"/>
  <c r="K6003" i="1"/>
  <c r="L6003" i="1"/>
  <c r="M6003" i="1"/>
  <c r="K6004" i="1"/>
  <c r="L6004" i="1"/>
  <c r="M6004" i="1"/>
  <c r="K6005" i="1"/>
  <c r="L6005" i="1"/>
  <c r="M6005" i="1"/>
  <c r="K6006" i="1"/>
  <c r="L6006" i="1"/>
  <c r="M6006" i="1"/>
  <c r="K6007" i="1"/>
  <c r="L6007" i="1"/>
  <c r="M6007" i="1"/>
  <c r="K6008" i="1"/>
  <c r="L6008" i="1"/>
  <c r="M6008" i="1"/>
  <c r="K6009" i="1"/>
  <c r="L6009" i="1"/>
  <c r="M6009" i="1"/>
  <c r="K6010" i="1"/>
  <c r="L6010" i="1"/>
  <c r="M6010" i="1"/>
  <c r="K6011" i="1"/>
  <c r="L6011" i="1"/>
  <c r="M6011" i="1"/>
  <c r="K6012" i="1"/>
  <c r="L6012" i="1"/>
  <c r="M6012" i="1"/>
  <c r="K6013" i="1"/>
  <c r="L6013" i="1"/>
  <c r="M6013" i="1"/>
  <c r="K6014" i="1"/>
  <c r="L6014" i="1"/>
  <c r="M6014" i="1"/>
  <c r="K6015" i="1"/>
  <c r="L6015" i="1"/>
  <c r="M6015" i="1"/>
  <c r="K6016" i="1"/>
  <c r="L6016" i="1"/>
  <c r="M6016" i="1"/>
  <c r="K6017" i="1"/>
  <c r="L6017" i="1"/>
  <c r="M6017" i="1"/>
  <c r="K6018" i="1"/>
  <c r="L6018" i="1"/>
  <c r="M6018" i="1"/>
  <c r="K6019" i="1"/>
  <c r="L6019" i="1"/>
  <c r="M6019" i="1"/>
  <c r="K6020" i="1"/>
  <c r="L6020" i="1"/>
  <c r="M6020" i="1"/>
  <c r="K6021" i="1"/>
  <c r="L6021" i="1"/>
  <c r="M6021" i="1"/>
  <c r="K6022" i="1"/>
  <c r="L6022" i="1"/>
  <c r="M6022" i="1"/>
  <c r="K6023" i="1"/>
  <c r="L6023" i="1"/>
  <c r="M6023" i="1"/>
  <c r="K6024" i="1"/>
  <c r="L6024" i="1"/>
  <c r="M6024" i="1"/>
  <c r="K6025" i="1"/>
  <c r="L6025" i="1"/>
  <c r="M6025" i="1"/>
  <c r="K6026" i="1"/>
  <c r="L6026" i="1"/>
  <c r="M6026" i="1"/>
  <c r="K6027" i="1"/>
  <c r="L6027" i="1"/>
  <c r="M6027" i="1"/>
  <c r="K6028" i="1"/>
  <c r="L6028" i="1"/>
  <c r="M6028" i="1"/>
  <c r="K6029" i="1"/>
  <c r="L6029" i="1"/>
  <c r="M6029" i="1"/>
  <c r="K6030" i="1"/>
  <c r="L6030" i="1"/>
  <c r="M6030" i="1"/>
  <c r="K6031" i="1"/>
  <c r="L6031" i="1"/>
  <c r="M6031" i="1"/>
  <c r="K6032" i="1"/>
  <c r="L6032" i="1"/>
  <c r="M6032" i="1"/>
  <c r="K6033" i="1"/>
  <c r="L6033" i="1"/>
  <c r="M6033" i="1"/>
  <c r="K6034" i="1"/>
  <c r="L6034" i="1"/>
  <c r="M6034" i="1"/>
  <c r="K6035" i="1"/>
  <c r="L6035" i="1"/>
  <c r="M6035" i="1"/>
  <c r="K6036" i="1"/>
  <c r="L6036" i="1"/>
  <c r="M6036" i="1"/>
  <c r="K6037" i="1"/>
  <c r="L6037" i="1"/>
  <c r="M6037" i="1"/>
  <c r="K6038" i="1"/>
  <c r="L6038" i="1"/>
  <c r="M6038" i="1"/>
  <c r="K6039" i="1"/>
  <c r="L6039" i="1"/>
  <c r="M6039" i="1"/>
  <c r="K6040" i="1"/>
  <c r="L6040" i="1"/>
  <c r="M6040" i="1"/>
  <c r="K6041" i="1"/>
  <c r="L6041" i="1"/>
  <c r="M6041" i="1"/>
  <c r="K6042" i="1"/>
  <c r="L6042" i="1"/>
  <c r="M6042" i="1"/>
  <c r="K6043" i="1"/>
  <c r="L6043" i="1"/>
  <c r="M6043" i="1"/>
  <c r="K6044" i="1"/>
  <c r="L6044" i="1"/>
  <c r="M6044" i="1"/>
  <c r="K6045" i="1"/>
  <c r="L6045" i="1"/>
  <c r="M6045" i="1"/>
  <c r="K6046" i="1"/>
  <c r="L6046" i="1"/>
  <c r="M6046" i="1"/>
  <c r="K6047" i="1"/>
  <c r="L6047" i="1"/>
  <c r="M6047" i="1"/>
  <c r="K6048" i="1"/>
  <c r="L6048" i="1"/>
  <c r="M6048" i="1"/>
  <c r="K6049" i="1"/>
  <c r="L6049" i="1"/>
  <c r="M6049" i="1"/>
  <c r="K6050" i="1"/>
  <c r="L6050" i="1"/>
  <c r="M6050" i="1"/>
  <c r="K6051" i="1"/>
  <c r="L6051" i="1"/>
  <c r="M6051" i="1"/>
  <c r="K6052" i="1"/>
  <c r="L6052" i="1"/>
  <c r="M6052" i="1"/>
  <c r="K6053" i="1"/>
  <c r="L6053" i="1"/>
  <c r="M6053" i="1"/>
  <c r="K6054" i="1"/>
  <c r="L6054" i="1"/>
  <c r="M6054" i="1"/>
  <c r="K6055" i="1"/>
  <c r="L6055" i="1"/>
  <c r="M6055" i="1"/>
  <c r="K6056" i="1"/>
  <c r="L6056" i="1"/>
  <c r="M6056" i="1"/>
  <c r="K6057" i="1"/>
  <c r="L6057" i="1"/>
  <c r="M6057" i="1"/>
  <c r="K6058" i="1"/>
  <c r="L6058" i="1"/>
  <c r="M6058" i="1"/>
  <c r="K6059" i="1"/>
  <c r="L6059" i="1"/>
  <c r="M6059" i="1"/>
  <c r="K6060" i="1"/>
  <c r="L6060" i="1"/>
  <c r="M6060" i="1"/>
  <c r="K6061" i="1"/>
  <c r="L6061" i="1"/>
  <c r="M6061" i="1"/>
  <c r="K6062" i="1"/>
  <c r="L6062" i="1"/>
  <c r="M6062" i="1"/>
  <c r="K6063" i="1"/>
  <c r="L6063" i="1"/>
  <c r="M6063" i="1"/>
  <c r="K6064" i="1"/>
  <c r="L6064" i="1"/>
  <c r="M6064" i="1"/>
  <c r="K6065" i="1"/>
  <c r="L6065" i="1"/>
  <c r="M6065" i="1"/>
  <c r="K6066" i="1"/>
  <c r="L6066" i="1"/>
  <c r="M6066" i="1"/>
  <c r="K6067" i="1"/>
  <c r="L6067" i="1"/>
  <c r="M6067" i="1"/>
  <c r="K6068" i="1"/>
  <c r="L6068" i="1"/>
  <c r="M6068" i="1"/>
  <c r="K6069" i="1"/>
  <c r="L6069" i="1"/>
  <c r="M6069" i="1"/>
  <c r="K6070" i="1"/>
  <c r="L6070" i="1"/>
  <c r="M6070" i="1"/>
  <c r="K6071" i="1"/>
  <c r="L6071" i="1"/>
  <c r="M6071" i="1"/>
  <c r="K6072" i="1"/>
  <c r="L6072" i="1"/>
  <c r="M6072" i="1"/>
  <c r="K6073" i="1"/>
  <c r="L6073" i="1"/>
  <c r="M6073" i="1"/>
  <c r="K6074" i="1"/>
  <c r="L6074" i="1"/>
  <c r="M6074" i="1"/>
  <c r="K6075" i="1"/>
  <c r="L6075" i="1"/>
  <c r="M6075" i="1"/>
  <c r="K6076" i="1"/>
  <c r="L6076" i="1"/>
  <c r="M6076" i="1"/>
  <c r="K6077" i="1"/>
  <c r="L6077" i="1"/>
  <c r="M6077" i="1"/>
  <c r="K6078" i="1"/>
  <c r="L6078" i="1"/>
  <c r="M6078" i="1"/>
  <c r="K6079" i="1"/>
  <c r="L6079" i="1"/>
  <c r="M6079" i="1"/>
  <c r="K6080" i="1"/>
  <c r="L6080" i="1"/>
  <c r="M6080" i="1"/>
  <c r="K6081" i="1"/>
  <c r="L6081" i="1"/>
  <c r="M6081" i="1"/>
  <c r="K6082" i="1"/>
  <c r="L6082" i="1"/>
  <c r="M6082" i="1"/>
  <c r="K6083" i="1"/>
  <c r="L6083" i="1"/>
  <c r="M6083" i="1"/>
  <c r="K6084" i="1"/>
  <c r="L6084" i="1"/>
  <c r="M6084" i="1"/>
  <c r="K6085" i="1"/>
  <c r="L6085" i="1"/>
  <c r="M6085" i="1"/>
  <c r="K6086" i="1"/>
  <c r="L6086" i="1"/>
  <c r="M6086" i="1"/>
  <c r="K6087" i="1"/>
  <c r="L6087" i="1"/>
  <c r="M6087" i="1"/>
  <c r="K6088" i="1"/>
  <c r="L6088" i="1"/>
  <c r="M6088" i="1"/>
  <c r="K6089" i="1"/>
  <c r="L6089" i="1"/>
  <c r="M6089" i="1"/>
  <c r="K6090" i="1"/>
  <c r="L6090" i="1"/>
  <c r="M6090" i="1"/>
  <c r="K6207" i="1"/>
  <c r="L6207" i="1"/>
  <c r="M6207" i="1"/>
  <c r="K6208" i="1"/>
  <c r="L6208" i="1"/>
  <c r="M6208" i="1"/>
  <c r="K6209" i="1"/>
  <c r="L6209" i="1"/>
  <c r="M6209" i="1"/>
  <c r="K6541" i="1"/>
  <c r="L6541" i="1"/>
  <c r="K6542" i="1"/>
  <c r="L6542" i="1"/>
  <c r="K6543" i="1"/>
  <c r="L6543" i="1"/>
  <c r="K6210" i="1"/>
  <c r="L6210" i="1"/>
  <c r="M6210" i="1"/>
  <c r="K6211" i="1"/>
  <c r="L6211" i="1"/>
  <c r="M6211" i="1"/>
  <c r="K6212" i="1"/>
  <c r="L6212" i="1"/>
  <c r="M6212" i="1"/>
  <c r="K6558" i="1"/>
  <c r="L6558" i="1"/>
  <c r="K6559" i="1"/>
  <c r="L6559" i="1"/>
  <c r="K6560" i="1"/>
  <c r="L6560" i="1"/>
  <c r="K6561" i="1"/>
  <c r="L6561" i="1"/>
  <c r="K6562" i="1"/>
  <c r="L6562" i="1"/>
  <c r="K6563" i="1"/>
  <c r="L6563" i="1"/>
  <c r="K6564" i="1"/>
  <c r="L6564" i="1"/>
  <c r="K6565" i="1"/>
  <c r="L6565" i="1"/>
  <c r="K6566" i="1"/>
  <c r="L6566" i="1"/>
  <c r="K6567" i="1"/>
  <c r="L6567" i="1"/>
  <c r="K6568" i="1"/>
  <c r="L6568" i="1"/>
  <c r="K6569" i="1"/>
  <c r="L6569" i="1"/>
  <c r="K6570" i="1"/>
  <c r="L6570" i="1"/>
  <c r="K6571" i="1"/>
  <c r="L6571" i="1"/>
  <c r="K6572" i="1"/>
  <c r="L6572" i="1"/>
  <c r="K6573" i="1"/>
  <c r="L6573" i="1"/>
  <c r="K6574" i="1"/>
  <c r="L6574" i="1"/>
  <c r="K6575" i="1"/>
  <c r="L6575" i="1"/>
  <c r="K6576" i="1"/>
  <c r="L6576" i="1"/>
  <c r="K6577" i="1"/>
  <c r="L6577" i="1"/>
  <c r="K6578" i="1"/>
  <c r="L6578" i="1"/>
  <c r="K6579" i="1"/>
  <c r="L6579" i="1"/>
  <c r="K6580" i="1"/>
  <c r="L6580" i="1"/>
  <c r="K6581" i="1"/>
  <c r="L6581" i="1"/>
  <c r="K6582" i="1"/>
  <c r="L6582" i="1"/>
  <c r="K6583" i="1"/>
  <c r="L6583" i="1"/>
  <c r="K6584" i="1"/>
  <c r="L6584" i="1"/>
  <c r="K6585" i="1"/>
  <c r="L6585" i="1"/>
  <c r="K6586" i="1"/>
  <c r="L6586" i="1"/>
  <c r="K6587" i="1"/>
  <c r="L6587" i="1"/>
  <c r="K6588" i="1"/>
  <c r="L6588" i="1"/>
  <c r="K6589" i="1"/>
  <c r="L6589" i="1"/>
  <c r="K6590" i="1"/>
  <c r="L6590" i="1"/>
  <c r="K6591" i="1"/>
  <c r="L6591" i="1"/>
  <c r="K6544" i="1"/>
  <c r="L6544" i="1"/>
  <c r="K6545" i="1"/>
  <c r="L6545" i="1"/>
  <c r="K6546" i="1"/>
  <c r="L6546" i="1"/>
  <c r="K6547" i="1"/>
  <c r="L6547" i="1"/>
  <c r="K6548" i="1"/>
  <c r="L6548" i="1"/>
  <c r="K6549" i="1"/>
  <c r="L6549" i="1"/>
  <c r="K6550" i="1"/>
  <c r="L6550" i="1"/>
  <c r="K6551" i="1"/>
  <c r="L6551" i="1"/>
  <c r="K6552" i="1"/>
  <c r="L6552" i="1"/>
  <c r="K6553" i="1"/>
  <c r="L6553" i="1"/>
  <c r="K6554" i="1"/>
  <c r="L6554" i="1"/>
  <c r="K6555" i="1"/>
  <c r="L6555" i="1"/>
  <c r="K6556" i="1"/>
  <c r="L6556" i="1"/>
  <c r="K6557" i="1"/>
  <c r="L6557" i="1"/>
  <c r="K6213" i="1"/>
  <c r="L6213" i="1"/>
  <c r="M6213" i="1"/>
  <c r="K6214" i="1"/>
  <c r="L6214" i="1"/>
  <c r="M6214" i="1"/>
  <c r="K6215" i="1"/>
  <c r="L6215" i="1"/>
  <c r="M6215" i="1"/>
  <c r="K6597" i="1"/>
  <c r="L6597" i="1"/>
  <c r="K6598" i="1"/>
  <c r="L6598" i="1"/>
  <c r="K6599" i="1"/>
  <c r="L6599" i="1"/>
  <c r="K6600" i="1"/>
  <c r="L6600" i="1"/>
  <c r="K6601" i="1"/>
  <c r="L6601" i="1"/>
  <c r="K6602" i="1"/>
  <c r="L6602" i="1"/>
  <c r="K6592" i="1"/>
  <c r="L6592" i="1"/>
  <c r="K6593" i="1"/>
  <c r="L6593" i="1"/>
  <c r="K6594" i="1"/>
  <c r="L6594" i="1"/>
  <c r="K6595" i="1"/>
  <c r="L6595" i="1"/>
  <c r="K6596" i="1"/>
  <c r="L6596" i="1"/>
  <c r="K6216" i="1"/>
  <c r="L6216" i="1"/>
  <c r="M6216" i="1"/>
  <c r="K6217" i="1"/>
  <c r="L6217" i="1"/>
  <c r="M6217" i="1"/>
  <c r="K6603" i="1"/>
  <c r="L6603" i="1"/>
  <c r="K6218" i="1"/>
  <c r="L6218" i="1"/>
  <c r="M6218" i="1"/>
  <c r="K6219" i="1"/>
  <c r="L6219" i="1"/>
  <c r="M6219" i="1"/>
  <c r="K6220" i="1"/>
  <c r="L6220" i="1"/>
  <c r="M6220" i="1"/>
  <c r="K6621" i="1"/>
  <c r="L6621" i="1"/>
  <c r="K6622" i="1"/>
  <c r="L6622" i="1"/>
  <c r="K6623" i="1"/>
  <c r="L6623" i="1"/>
  <c r="K6624" i="1"/>
  <c r="L6624" i="1"/>
  <c r="K6625" i="1"/>
  <c r="L6625" i="1"/>
  <c r="K6626" i="1"/>
  <c r="L6626" i="1"/>
  <c r="K6627" i="1"/>
  <c r="L6627" i="1"/>
  <c r="K6628" i="1"/>
  <c r="L6628" i="1"/>
  <c r="K6629" i="1"/>
  <c r="L6629" i="1"/>
  <c r="K6630" i="1"/>
  <c r="L6630" i="1"/>
  <c r="K6631" i="1"/>
  <c r="L6631" i="1"/>
  <c r="K6632" i="1"/>
  <c r="L6632" i="1"/>
  <c r="K6633" i="1"/>
  <c r="L6633" i="1"/>
  <c r="K6604" i="1"/>
  <c r="L6604" i="1"/>
  <c r="K6605" i="1"/>
  <c r="L6605" i="1"/>
  <c r="K6606" i="1"/>
  <c r="L6606" i="1"/>
  <c r="K6607" i="1"/>
  <c r="L6607" i="1"/>
  <c r="K6608" i="1"/>
  <c r="L6608" i="1"/>
  <c r="K6609" i="1"/>
  <c r="L6609" i="1"/>
  <c r="K6610" i="1"/>
  <c r="L6610" i="1"/>
  <c r="K6611" i="1"/>
  <c r="L6611" i="1"/>
  <c r="K6612" i="1"/>
  <c r="L6612" i="1"/>
  <c r="K6613" i="1"/>
  <c r="L6613" i="1"/>
  <c r="K6614" i="1"/>
  <c r="L6614" i="1"/>
  <c r="K6615" i="1"/>
  <c r="L6615" i="1"/>
  <c r="K6616" i="1"/>
  <c r="L6616" i="1"/>
  <c r="K6617" i="1"/>
  <c r="L6617" i="1"/>
  <c r="K6618" i="1"/>
  <c r="L6618" i="1"/>
  <c r="K6619" i="1"/>
  <c r="L6619" i="1"/>
  <c r="K6620" i="1"/>
  <c r="L6620" i="1"/>
  <c r="K6221" i="1"/>
  <c r="L6221" i="1"/>
  <c r="M6221" i="1"/>
  <c r="K6222" i="1"/>
  <c r="L6222" i="1"/>
  <c r="M6222" i="1"/>
  <c r="K6643" i="1"/>
  <c r="L6643" i="1"/>
  <c r="K6644" i="1"/>
  <c r="L6644" i="1"/>
  <c r="K6645" i="1"/>
  <c r="L6645" i="1"/>
  <c r="K6646" i="1"/>
  <c r="L6646" i="1"/>
  <c r="K6647" i="1"/>
  <c r="L6647" i="1"/>
  <c r="K6648" i="1"/>
  <c r="L6648" i="1"/>
  <c r="K6649" i="1"/>
  <c r="L6649" i="1"/>
  <c r="K6650" i="1"/>
  <c r="L6650" i="1"/>
  <c r="K6651" i="1"/>
  <c r="L6651" i="1"/>
  <c r="K6652" i="1"/>
  <c r="L6652" i="1"/>
  <c r="K6634" i="1"/>
  <c r="L6634" i="1"/>
  <c r="K6635" i="1"/>
  <c r="L6635" i="1"/>
  <c r="K6636" i="1"/>
  <c r="L6636" i="1"/>
  <c r="K6637" i="1"/>
  <c r="L6637" i="1"/>
  <c r="K6638" i="1"/>
  <c r="L6638" i="1"/>
  <c r="K6639" i="1"/>
  <c r="L6639" i="1"/>
  <c r="K6640" i="1"/>
  <c r="L6640" i="1"/>
  <c r="K6641" i="1"/>
  <c r="L6641" i="1"/>
  <c r="K6642" i="1"/>
  <c r="L6642" i="1"/>
  <c r="K6223" i="1"/>
  <c r="L6223" i="1"/>
  <c r="M6223" i="1"/>
  <c r="K6224" i="1"/>
  <c r="L6224" i="1"/>
  <c r="M6224" i="1"/>
  <c r="K6225" i="1"/>
  <c r="L6225" i="1"/>
  <c r="M6225" i="1"/>
  <c r="K6226" i="1"/>
  <c r="L6226" i="1"/>
  <c r="M6226" i="1"/>
  <c r="K6227" i="1"/>
  <c r="L6227" i="1"/>
  <c r="M6227" i="1"/>
  <c r="K6228" i="1"/>
  <c r="L6228" i="1"/>
  <c r="M6228" i="1"/>
  <c r="K6229" i="1"/>
  <c r="L6229" i="1"/>
  <c r="M6229" i="1"/>
  <c r="K6230" i="1"/>
  <c r="L6230" i="1"/>
  <c r="M6230" i="1"/>
  <c r="K6681" i="1"/>
  <c r="L6681" i="1"/>
  <c r="K6682" i="1"/>
  <c r="L6682" i="1"/>
  <c r="K6683" i="1"/>
  <c r="L6683" i="1"/>
  <c r="K6684" i="1"/>
  <c r="L6684" i="1"/>
  <c r="K6685" i="1"/>
  <c r="L6685" i="1"/>
  <c r="K6686" i="1"/>
  <c r="L6686" i="1"/>
  <c r="K6687" i="1"/>
  <c r="L6687" i="1"/>
  <c r="K6688" i="1"/>
  <c r="L6688" i="1"/>
  <c r="K6689" i="1"/>
  <c r="L6689" i="1"/>
  <c r="K6690" i="1"/>
  <c r="L6690" i="1"/>
  <c r="K6691" i="1"/>
  <c r="L6691" i="1"/>
  <c r="K6692" i="1"/>
  <c r="L6692" i="1"/>
  <c r="K6693" i="1"/>
  <c r="L6693" i="1"/>
  <c r="K6694" i="1"/>
  <c r="L6694" i="1"/>
  <c r="K6695" i="1"/>
  <c r="L6695" i="1"/>
  <c r="K6696" i="1"/>
  <c r="L6696" i="1"/>
  <c r="K6697" i="1"/>
  <c r="L6697" i="1"/>
  <c r="K6698" i="1"/>
  <c r="L6698" i="1"/>
  <c r="K6699" i="1"/>
  <c r="L6699" i="1"/>
  <c r="K6653" i="1"/>
  <c r="L6653" i="1"/>
  <c r="K6654" i="1"/>
  <c r="L6654" i="1"/>
  <c r="K6655" i="1"/>
  <c r="L6655" i="1"/>
  <c r="K6656" i="1"/>
  <c r="L6656" i="1"/>
  <c r="K6657" i="1"/>
  <c r="L6657" i="1"/>
  <c r="K6658" i="1"/>
  <c r="L6658" i="1"/>
  <c r="K6659" i="1"/>
  <c r="L6659" i="1"/>
  <c r="K6660" i="1"/>
  <c r="L6660" i="1"/>
  <c r="K6661" i="1"/>
  <c r="L6661" i="1"/>
  <c r="K6662" i="1"/>
  <c r="L6662" i="1"/>
  <c r="K6663" i="1"/>
  <c r="L6663" i="1"/>
  <c r="K6664" i="1"/>
  <c r="L6664" i="1"/>
  <c r="K6665" i="1"/>
  <c r="L6665" i="1"/>
  <c r="K6666" i="1"/>
  <c r="L6666" i="1"/>
  <c r="K6667" i="1"/>
  <c r="L6667" i="1"/>
  <c r="K6668" i="1"/>
  <c r="L6668" i="1"/>
  <c r="K6669" i="1"/>
  <c r="L6669" i="1"/>
  <c r="K6670" i="1"/>
  <c r="L6670" i="1"/>
  <c r="K6671" i="1"/>
  <c r="L6671" i="1"/>
  <c r="K6672" i="1"/>
  <c r="L6672" i="1"/>
  <c r="K6673" i="1"/>
  <c r="L6673" i="1"/>
  <c r="K6674" i="1"/>
  <c r="L6674" i="1"/>
  <c r="K6675" i="1"/>
  <c r="L6675" i="1"/>
  <c r="K6676" i="1"/>
  <c r="L6676" i="1"/>
  <c r="K6677" i="1"/>
  <c r="L6677" i="1"/>
  <c r="K6678" i="1"/>
  <c r="L6678" i="1"/>
  <c r="K6679" i="1"/>
  <c r="L6679" i="1"/>
  <c r="K6680" i="1"/>
  <c r="L6680" i="1"/>
  <c r="K6231" i="1"/>
  <c r="L6231" i="1"/>
  <c r="M6231" i="1"/>
  <c r="K6701" i="1"/>
  <c r="L6701" i="1"/>
  <c r="K6702" i="1"/>
  <c r="L6702" i="1"/>
  <c r="K6703" i="1"/>
  <c r="L6703" i="1"/>
  <c r="K6704" i="1"/>
  <c r="L6704" i="1"/>
  <c r="K6705" i="1"/>
  <c r="L6705" i="1"/>
  <c r="K6700" i="1"/>
  <c r="L6700" i="1"/>
  <c r="K6232" i="1"/>
  <c r="L6232" i="1"/>
  <c r="M6232" i="1"/>
  <c r="K6709" i="1"/>
  <c r="L6709" i="1"/>
  <c r="K6710" i="1"/>
  <c r="L6710" i="1"/>
  <c r="K6711" i="1"/>
  <c r="L6711" i="1"/>
  <c r="K6712" i="1"/>
  <c r="L6712" i="1"/>
  <c r="K6713" i="1"/>
  <c r="L6713" i="1"/>
  <c r="K6714" i="1"/>
  <c r="L6714" i="1"/>
  <c r="K6715" i="1"/>
  <c r="L6715" i="1"/>
  <c r="K6716" i="1"/>
  <c r="L6716" i="1"/>
  <c r="K6717" i="1"/>
  <c r="L6717" i="1"/>
  <c r="K6718" i="1"/>
  <c r="L6718" i="1"/>
  <c r="K6706" i="1"/>
  <c r="L6706" i="1"/>
  <c r="K6707" i="1"/>
  <c r="L6707" i="1"/>
  <c r="K6708" i="1"/>
  <c r="L6708" i="1"/>
  <c r="K6233" i="1"/>
  <c r="L6233" i="1"/>
  <c r="M6233" i="1"/>
  <c r="K6234" i="1"/>
  <c r="L6234" i="1"/>
  <c r="M6234" i="1"/>
  <c r="K6235" i="1"/>
  <c r="L6235" i="1"/>
  <c r="M6235" i="1"/>
  <c r="K6721" i="1"/>
  <c r="L6721" i="1"/>
  <c r="K6722" i="1"/>
  <c r="L6722" i="1"/>
  <c r="K6723" i="1"/>
  <c r="L6723" i="1"/>
  <c r="K6724" i="1"/>
  <c r="L6724" i="1"/>
  <c r="K6725" i="1"/>
  <c r="L6725" i="1"/>
  <c r="K6726" i="1"/>
  <c r="L6726" i="1"/>
  <c r="K6727" i="1"/>
  <c r="L6727" i="1"/>
  <c r="K6728" i="1"/>
  <c r="L6728" i="1"/>
  <c r="K6729" i="1"/>
  <c r="L6729" i="1"/>
  <c r="K6719" i="1"/>
  <c r="L6719" i="1"/>
  <c r="K6720" i="1"/>
  <c r="L6720" i="1"/>
  <c r="K6236" i="1"/>
  <c r="L6236" i="1"/>
  <c r="M6236" i="1"/>
  <c r="K6237" i="1"/>
  <c r="L6237" i="1"/>
  <c r="M6237" i="1"/>
  <c r="K6238" i="1"/>
  <c r="L6238" i="1"/>
  <c r="M6238" i="1"/>
  <c r="K6239" i="1"/>
  <c r="L6239" i="1"/>
  <c r="M6239" i="1"/>
  <c r="K6240" i="1"/>
  <c r="L6240" i="1"/>
  <c r="M6240" i="1"/>
  <c r="K6241" i="1"/>
  <c r="L6241" i="1"/>
  <c r="M6241" i="1"/>
  <c r="K6242" i="1"/>
  <c r="L6242" i="1"/>
  <c r="M6242" i="1"/>
  <c r="K6243" i="1"/>
  <c r="L6243" i="1"/>
  <c r="M6243" i="1"/>
  <c r="K6244" i="1"/>
  <c r="L6244" i="1"/>
  <c r="M6244" i="1"/>
  <c r="K6245" i="1"/>
  <c r="L6245" i="1"/>
  <c r="M6245" i="1"/>
  <c r="K6246" i="1"/>
  <c r="L6246" i="1"/>
  <c r="M6246" i="1"/>
  <c r="K6247" i="1"/>
  <c r="L6247" i="1"/>
  <c r="M6247" i="1"/>
  <c r="K6248" i="1"/>
  <c r="L6248" i="1"/>
  <c r="M6248" i="1"/>
  <c r="K6249" i="1"/>
  <c r="L6249" i="1"/>
  <c r="M6249" i="1"/>
  <c r="K6250" i="1"/>
  <c r="L6250" i="1"/>
  <c r="M6250" i="1"/>
  <c r="K6251" i="1"/>
  <c r="L6251" i="1"/>
  <c r="M6251" i="1"/>
  <c r="K6252" i="1"/>
  <c r="L6252" i="1"/>
  <c r="M6252" i="1"/>
  <c r="K6253" i="1"/>
  <c r="L6253" i="1"/>
  <c r="M6253" i="1"/>
  <c r="K6254" i="1"/>
  <c r="L6254" i="1"/>
  <c r="M6254" i="1"/>
  <c r="K6255" i="1"/>
  <c r="L6255" i="1"/>
  <c r="M6255" i="1"/>
  <c r="K6754" i="1"/>
  <c r="L6754" i="1"/>
  <c r="K6755" i="1"/>
  <c r="L6755" i="1"/>
  <c r="K6756" i="1"/>
  <c r="L6756" i="1"/>
  <c r="K6757" i="1"/>
  <c r="L6757" i="1"/>
  <c r="K6758" i="1"/>
  <c r="L6758" i="1"/>
  <c r="K6759" i="1"/>
  <c r="L6759" i="1"/>
  <c r="K6760" i="1"/>
  <c r="L6760" i="1"/>
  <c r="K6761" i="1"/>
  <c r="L6761" i="1"/>
  <c r="K6762" i="1"/>
  <c r="L6762" i="1"/>
  <c r="K6763" i="1"/>
  <c r="L6763" i="1"/>
  <c r="K6764" i="1"/>
  <c r="L6764" i="1"/>
  <c r="K6765" i="1"/>
  <c r="L6765" i="1"/>
  <c r="K6766" i="1"/>
  <c r="L6766" i="1"/>
  <c r="K6767" i="1"/>
  <c r="L6767" i="1"/>
  <c r="K6768" i="1"/>
  <c r="L6768" i="1"/>
  <c r="K6769" i="1"/>
  <c r="L6769" i="1"/>
  <c r="K6770" i="1"/>
  <c r="L6770" i="1"/>
  <c r="K6771" i="1"/>
  <c r="L6771" i="1"/>
  <c r="K6772" i="1"/>
  <c r="L6772" i="1"/>
  <c r="K6773" i="1"/>
  <c r="L6773" i="1"/>
  <c r="K6774" i="1"/>
  <c r="L6774" i="1"/>
  <c r="K6775" i="1"/>
  <c r="L6775" i="1"/>
  <c r="K6776" i="1"/>
  <c r="L6776" i="1"/>
  <c r="K6777" i="1"/>
  <c r="L6777" i="1"/>
  <c r="K6778" i="1"/>
  <c r="L6778" i="1"/>
  <c r="K6779" i="1"/>
  <c r="L6779" i="1"/>
  <c r="K6780" i="1"/>
  <c r="L6780" i="1"/>
  <c r="K6781" i="1"/>
  <c r="L6781" i="1"/>
  <c r="K6782" i="1"/>
  <c r="L6782" i="1"/>
  <c r="K6783" i="1"/>
  <c r="L6783" i="1"/>
  <c r="K6784" i="1"/>
  <c r="L6784" i="1"/>
  <c r="K6730" i="1"/>
  <c r="L6730" i="1"/>
  <c r="K6731" i="1"/>
  <c r="L6731" i="1"/>
  <c r="K6732" i="1"/>
  <c r="L6732" i="1"/>
  <c r="K6733" i="1"/>
  <c r="L6733" i="1"/>
  <c r="K6734" i="1"/>
  <c r="L6734" i="1"/>
  <c r="K6735" i="1"/>
  <c r="L6735" i="1"/>
  <c r="K6736" i="1"/>
  <c r="L6736" i="1"/>
  <c r="K6737" i="1"/>
  <c r="L6737" i="1"/>
  <c r="K6738" i="1"/>
  <c r="L6738" i="1"/>
  <c r="K6739" i="1"/>
  <c r="L6739" i="1"/>
  <c r="K6740" i="1"/>
  <c r="L6740" i="1"/>
  <c r="K6741" i="1"/>
  <c r="L6741" i="1"/>
  <c r="K6742" i="1"/>
  <c r="L6742" i="1"/>
  <c r="K6743" i="1"/>
  <c r="L6743" i="1"/>
  <c r="K6744" i="1"/>
  <c r="L6744" i="1"/>
  <c r="K6745" i="1"/>
  <c r="L6745" i="1"/>
  <c r="K6746" i="1"/>
  <c r="L6746" i="1"/>
  <c r="K6747" i="1"/>
  <c r="L6747" i="1"/>
  <c r="K6748" i="1"/>
  <c r="L6748" i="1"/>
  <c r="K6749" i="1"/>
  <c r="L6749" i="1"/>
  <c r="K6750" i="1"/>
  <c r="L6750" i="1"/>
  <c r="K6751" i="1"/>
  <c r="L6751" i="1"/>
  <c r="K6752" i="1"/>
  <c r="L6752" i="1"/>
  <c r="K6753" i="1"/>
  <c r="L6753" i="1"/>
  <c r="K6256" i="1"/>
  <c r="L6256" i="1"/>
  <c r="M6256" i="1"/>
  <c r="K6257" i="1"/>
  <c r="L6257" i="1"/>
  <c r="M6257" i="1"/>
  <c r="K6258" i="1"/>
  <c r="L6258" i="1"/>
  <c r="M6258" i="1"/>
  <c r="K6259" i="1"/>
  <c r="L6259" i="1"/>
  <c r="M6259" i="1"/>
  <c r="K6260" i="1"/>
  <c r="L6260" i="1"/>
  <c r="M6260" i="1"/>
  <c r="K6261" i="1"/>
  <c r="L6261" i="1"/>
  <c r="M6261" i="1"/>
  <c r="K6262" i="1"/>
  <c r="L6262" i="1"/>
  <c r="M6262" i="1"/>
  <c r="K6263" i="1"/>
  <c r="L6263" i="1"/>
  <c r="M6263" i="1"/>
  <c r="K6264" i="1"/>
  <c r="L6264" i="1"/>
  <c r="M6264" i="1"/>
  <c r="K6265" i="1"/>
  <c r="L6265" i="1"/>
  <c r="M6265" i="1"/>
  <c r="K6266" i="1"/>
  <c r="L6266" i="1"/>
  <c r="M6266" i="1"/>
  <c r="K6267" i="1"/>
  <c r="L6267" i="1"/>
  <c r="M6267" i="1"/>
  <c r="K6268" i="1"/>
  <c r="L6268" i="1"/>
  <c r="M6268" i="1"/>
  <c r="K6269" i="1"/>
  <c r="L6269" i="1"/>
  <c r="M6269" i="1"/>
  <c r="K6270" i="1"/>
  <c r="L6270" i="1"/>
  <c r="M6270" i="1"/>
  <c r="K6271" i="1"/>
  <c r="L6271" i="1"/>
  <c r="M6271" i="1"/>
  <c r="K6272" i="1"/>
  <c r="L6272" i="1"/>
  <c r="M6272" i="1"/>
  <c r="K6273" i="1"/>
  <c r="L6273" i="1"/>
  <c r="M6273" i="1"/>
  <c r="K6274" i="1"/>
  <c r="L6274" i="1"/>
  <c r="M6274" i="1"/>
  <c r="K6275" i="1"/>
  <c r="L6275" i="1"/>
  <c r="M6275" i="1"/>
  <c r="K6276" i="1"/>
  <c r="L6276" i="1"/>
  <c r="M6276" i="1"/>
  <c r="K6277" i="1"/>
  <c r="L6277" i="1"/>
  <c r="M6277" i="1"/>
  <c r="K6278" i="1"/>
  <c r="L6278" i="1"/>
  <c r="M6278" i="1"/>
  <c r="K6279" i="1"/>
  <c r="L6279" i="1"/>
  <c r="M6279" i="1"/>
  <c r="K6280" i="1"/>
  <c r="L6280" i="1"/>
  <c r="M6280" i="1"/>
  <c r="K6281" i="1"/>
  <c r="L6281" i="1"/>
  <c r="M6281" i="1"/>
  <c r="K6282" i="1"/>
  <c r="L6282" i="1"/>
  <c r="M6282" i="1"/>
  <c r="K6283" i="1"/>
  <c r="L6283" i="1"/>
  <c r="M6283" i="1"/>
  <c r="K6284" i="1"/>
  <c r="L6284" i="1"/>
  <c r="M6284" i="1"/>
  <c r="K6285" i="1"/>
  <c r="L6285" i="1"/>
  <c r="M6285" i="1"/>
  <c r="K6286" i="1"/>
  <c r="L6286" i="1"/>
  <c r="M6286" i="1"/>
  <c r="K6287" i="1"/>
  <c r="L6287" i="1"/>
  <c r="M6287" i="1"/>
  <c r="K6288" i="1"/>
  <c r="L6288" i="1"/>
  <c r="M6288" i="1"/>
  <c r="K6289" i="1"/>
  <c r="L6289" i="1"/>
  <c r="M6289" i="1"/>
  <c r="K6290" i="1"/>
  <c r="L6290" i="1"/>
  <c r="M6290" i="1"/>
  <c r="K6291" i="1"/>
  <c r="L6291" i="1"/>
  <c r="M6291" i="1"/>
  <c r="K6292" i="1"/>
  <c r="L6292" i="1"/>
  <c r="M6292" i="1"/>
  <c r="K6293" i="1"/>
  <c r="L6293" i="1"/>
  <c r="M6293" i="1"/>
  <c r="K6294" i="1"/>
  <c r="L6294" i="1"/>
  <c r="M6294" i="1"/>
  <c r="K6295" i="1"/>
  <c r="L6295" i="1"/>
  <c r="M6295" i="1"/>
  <c r="K6296" i="1"/>
  <c r="L6296" i="1"/>
  <c r="M6296" i="1"/>
  <c r="K6297" i="1"/>
  <c r="L6297" i="1"/>
  <c r="M6297" i="1"/>
  <c r="K6298" i="1"/>
  <c r="L6298" i="1"/>
  <c r="M6298" i="1"/>
  <c r="K6299" i="1"/>
  <c r="L6299" i="1"/>
  <c r="M6299" i="1"/>
  <c r="K6300" i="1"/>
  <c r="L6300" i="1"/>
  <c r="M6300" i="1"/>
  <c r="K6301" i="1"/>
  <c r="L6301" i="1"/>
  <c r="M6301" i="1"/>
  <c r="K6302" i="1"/>
  <c r="L6302" i="1"/>
  <c r="M6302" i="1"/>
  <c r="K6303" i="1"/>
  <c r="L6303" i="1"/>
  <c r="M6303" i="1"/>
  <c r="K6304" i="1"/>
  <c r="L6304" i="1"/>
  <c r="M6304" i="1"/>
  <c r="K6305" i="1"/>
  <c r="L6305" i="1"/>
  <c r="M6305" i="1"/>
  <c r="K6306" i="1"/>
  <c r="L6306" i="1"/>
  <c r="M6306" i="1"/>
  <c r="K6307" i="1"/>
  <c r="L6307" i="1"/>
  <c r="M6307" i="1"/>
  <c r="K6308" i="1"/>
  <c r="L6308" i="1"/>
  <c r="M6308" i="1"/>
  <c r="K6309" i="1"/>
  <c r="L6309" i="1"/>
  <c r="M6309" i="1"/>
  <c r="K6310" i="1"/>
  <c r="L6310" i="1"/>
  <c r="M6310" i="1"/>
  <c r="K6311" i="1"/>
  <c r="L6311" i="1"/>
  <c r="M6311" i="1"/>
  <c r="K6312" i="1"/>
  <c r="L6312" i="1"/>
  <c r="M6312" i="1"/>
  <c r="K6313" i="1"/>
  <c r="L6313" i="1"/>
  <c r="M6313" i="1"/>
  <c r="K6314" i="1"/>
  <c r="L6314" i="1"/>
  <c r="M6314" i="1"/>
  <c r="K6315" i="1"/>
  <c r="L6315" i="1"/>
  <c r="M6315" i="1"/>
  <c r="K6316" i="1"/>
  <c r="L6316" i="1"/>
  <c r="M6316" i="1"/>
  <c r="K6317" i="1"/>
  <c r="L6317" i="1"/>
  <c r="M6317" i="1"/>
  <c r="K6318" i="1"/>
  <c r="L6318" i="1"/>
  <c r="M6318" i="1"/>
  <c r="K6319" i="1"/>
  <c r="L6319" i="1"/>
  <c r="M6319" i="1"/>
  <c r="K6320" i="1"/>
  <c r="L6320" i="1"/>
  <c r="M6320" i="1"/>
  <c r="K6321" i="1"/>
  <c r="L6321" i="1"/>
  <c r="M6321" i="1"/>
  <c r="K6322" i="1"/>
  <c r="L6322" i="1"/>
  <c r="M6322" i="1"/>
  <c r="K6323" i="1"/>
  <c r="L6323" i="1"/>
  <c r="M6323" i="1"/>
  <c r="K6324" i="1"/>
  <c r="L6324" i="1"/>
  <c r="M6324" i="1"/>
  <c r="K6325" i="1"/>
  <c r="L6325" i="1"/>
  <c r="M6325" i="1"/>
  <c r="K6326" i="1"/>
  <c r="L6326" i="1"/>
  <c r="M6326" i="1"/>
  <c r="K6327" i="1"/>
  <c r="L6327" i="1"/>
  <c r="M6327" i="1"/>
  <c r="K6328" i="1"/>
  <c r="L6328" i="1"/>
  <c r="M6328" i="1"/>
  <c r="K6329" i="1"/>
  <c r="L6329" i="1"/>
  <c r="M6329" i="1"/>
  <c r="K6330" i="1"/>
  <c r="L6330" i="1"/>
  <c r="M6330" i="1"/>
  <c r="K6331" i="1"/>
  <c r="L6331" i="1"/>
  <c r="M6331" i="1"/>
  <c r="K6332" i="1"/>
  <c r="L6332" i="1"/>
  <c r="M6332" i="1"/>
  <c r="K6333" i="1"/>
  <c r="L6333" i="1"/>
  <c r="M6333" i="1"/>
  <c r="K6334" i="1"/>
  <c r="L6334" i="1"/>
  <c r="M6334" i="1"/>
  <c r="K6335" i="1"/>
  <c r="L6335" i="1"/>
  <c r="M6335" i="1"/>
  <c r="K6336" i="1"/>
  <c r="L6336" i="1"/>
  <c r="M6336" i="1"/>
  <c r="K6337" i="1"/>
  <c r="L6337" i="1"/>
  <c r="M6337" i="1"/>
  <c r="K6338" i="1"/>
  <c r="L6338" i="1"/>
  <c r="M6338" i="1"/>
  <c r="K6339" i="1"/>
  <c r="L6339" i="1"/>
  <c r="M6339" i="1"/>
  <c r="K6340" i="1"/>
  <c r="L6340" i="1"/>
  <c r="M6340" i="1"/>
  <c r="K6341" i="1"/>
  <c r="L6341" i="1"/>
  <c r="M6341" i="1"/>
  <c r="K6342" i="1"/>
  <c r="L6342" i="1"/>
  <c r="M6342" i="1"/>
  <c r="K6343" i="1"/>
  <c r="L6343" i="1"/>
  <c r="M6343" i="1"/>
  <c r="K6344" i="1"/>
  <c r="L6344" i="1"/>
  <c r="M6344" i="1"/>
  <c r="K6345" i="1"/>
  <c r="L6345" i="1"/>
  <c r="M6345" i="1"/>
  <c r="K6346" i="1"/>
  <c r="L6346" i="1"/>
  <c r="M6346" i="1"/>
  <c r="K6347" i="1"/>
  <c r="L6347" i="1"/>
  <c r="M6347" i="1"/>
  <c r="K6348" i="1"/>
  <c r="L6348" i="1"/>
  <c r="M6348" i="1"/>
  <c r="K6349" i="1"/>
  <c r="L6349" i="1"/>
  <c r="M6349" i="1"/>
  <c r="K6350" i="1"/>
  <c r="L6350" i="1"/>
  <c r="M6350" i="1"/>
  <c r="K6351" i="1"/>
  <c r="L6351" i="1"/>
  <c r="M6351" i="1"/>
  <c r="K6352" i="1"/>
  <c r="L6352" i="1"/>
  <c r="M6352" i="1"/>
  <c r="K6353" i="1"/>
  <c r="L6353" i="1"/>
  <c r="M6353" i="1"/>
  <c r="K6354" i="1"/>
  <c r="L6354" i="1"/>
  <c r="M6354" i="1"/>
  <c r="K6355" i="1"/>
  <c r="L6355" i="1"/>
  <c r="M6355" i="1"/>
  <c r="K6356" i="1"/>
  <c r="L6356" i="1"/>
  <c r="M6356" i="1"/>
  <c r="K6357" i="1"/>
  <c r="L6357" i="1"/>
  <c r="M6357" i="1"/>
  <c r="K6358" i="1"/>
  <c r="L6358" i="1"/>
  <c r="M6358" i="1"/>
  <c r="K6359" i="1"/>
  <c r="L6359" i="1"/>
  <c r="M6359" i="1"/>
  <c r="K6360" i="1"/>
  <c r="L6360" i="1"/>
  <c r="M6360" i="1"/>
  <c r="K6361" i="1"/>
  <c r="L6361" i="1"/>
  <c r="M6361" i="1"/>
  <c r="K6362" i="1"/>
  <c r="L6362" i="1"/>
  <c r="M6362" i="1"/>
  <c r="K6363" i="1"/>
  <c r="L6363" i="1"/>
  <c r="M6363" i="1"/>
  <c r="K6364" i="1"/>
  <c r="L6364" i="1"/>
  <c r="M6364" i="1"/>
  <c r="K6365" i="1"/>
  <c r="L6365" i="1"/>
  <c r="M6365" i="1"/>
  <c r="K6366" i="1"/>
  <c r="L6366" i="1"/>
  <c r="M6366" i="1"/>
  <c r="K6367" i="1"/>
  <c r="L6367" i="1"/>
  <c r="M6367" i="1"/>
  <c r="K6368" i="1"/>
  <c r="L6368" i="1"/>
  <c r="M6368" i="1"/>
  <c r="K6369" i="1"/>
  <c r="L6369" i="1"/>
  <c r="M6369" i="1"/>
  <c r="K6370" i="1"/>
  <c r="L6370" i="1"/>
  <c r="M6370" i="1"/>
  <c r="K6371" i="1"/>
  <c r="L6371" i="1"/>
  <c r="M6371" i="1"/>
  <c r="K6372" i="1"/>
  <c r="L6372" i="1"/>
  <c r="M6372" i="1"/>
  <c r="K6373" i="1"/>
  <c r="L6373" i="1"/>
  <c r="M6373" i="1"/>
  <c r="K6374" i="1"/>
  <c r="L6374" i="1"/>
  <c r="M6374" i="1"/>
  <c r="K6375" i="1"/>
  <c r="L6375" i="1"/>
  <c r="M6375" i="1"/>
  <c r="K6376" i="1"/>
  <c r="L6376" i="1"/>
  <c r="M6376" i="1"/>
  <c r="K6377" i="1"/>
  <c r="L6377" i="1"/>
  <c r="M6377" i="1"/>
  <c r="K6378" i="1"/>
  <c r="L6378" i="1"/>
  <c r="M6378" i="1"/>
  <c r="K6379" i="1"/>
  <c r="L6379" i="1"/>
  <c r="M6379" i="1"/>
  <c r="K6380" i="1"/>
  <c r="L6380" i="1"/>
  <c r="M6380" i="1"/>
  <c r="K6381" i="1"/>
  <c r="L6381" i="1"/>
  <c r="M6381" i="1"/>
  <c r="K6382" i="1"/>
  <c r="L6382" i="1"/>
  <c r="M6382" i="1"/>
  <c r="K6383" i="1"/>
  <c r="L6383" i="1"/>
  <c r="M6383" i="1"/>
  <c r="K6384" i="1"/>
  <c r="L6384" i="1"/>
  <c r="M6384" i="1"/>
  <c r="K6385" i="1"/>
  <c r="L6385" i="1"/>
  <c r="M6385" i="1"/>
  <c r="K6386" i="1"/>
  <c r="L6386" i="1"/>
  <c r="M6386" i="1"/>
  <c r="K6387" i="1"/>
  <c r="L6387" i="1"/>
  <c r="M6387" i="1"/>
  <c r="K6388" i="1"/>
  <c r="L6388" i="1"/>
  <c r="M6388" i="1"/>
  <c r="K6389" i="1"/>
  <c r="L6389" i="1"/>
  <c r="M6389" i="1"/>
  <c r="K6390" i="1"/>
  <c r="L6390" i="1"/>
  <c r="M6390" i="1"/>
  <c r="K6391" i="1"/>
  <c r="L6391" i="1"/>
  <c r="M6391" i="1"/>
  <c r="K6392" i="1"/>
  <c r="L6392" i="1"/>
  <c r="M6392" i="1"/>
  <c r="K6393" i="1"/>
  <c r="L6393" i="1"/>
  <c r="M6393" i="1"/>
  <c r="K6394" i="1"/>
  <c r="L6394" i="1"/>
  <c r="M6394" i="1"/>
  <c r="K6395" i="1"/>
  <c r="L6395" i="1"/>
  <c r="M6395" i="1"/>
  <c r="K6396" i="1"/>
  <c r="L6396" i="1"/>
  <c r="M6396" i="1"/>
  <c r="K6397" i="1"/>
  <c r="L6397" i="1"/>
  <c r="M6397" i="1"/>
  <c r="K6398" i="1"/>
  <c r="L6398" i="1"/>
  <c r="M6398" i="1"/>
  <c r="K6399" i="1"/>
  <c r="L6399" i="1"/>
  <c r="M6399" i="1"/>
  <c r="K6400" i="1"/>
  <c r="L6400" i="1"/>
  <c r="M6400" i="1"/>
  <c r="K6401" i="1"/>
  <c r="L6401" i="1"/>
  <c r="M6401" i="1"/>
  <c r="K6402" i="1"/>
  <c r="L6402" i="1"/>
  <c r="M6402" i="1"/>
  <c r="K6403" i="1"/>
  <c r="L6403" i="1"/>
  <c r="M6403" i="1"/>
  <c r="K6404" i="1"/>
  <c r="L6404" i="1"/>
  <c r="M6404" i="1"/>
  <c r="K6405" i="1"/>
  <c r="L6405" i="1"/>
  <c r="M6405" i="1"/>
  <c r="K6406" i="1"/>
  <c r="L6406" i="1"/>
  <c r="M6406" i="1"/>
  <c r="K6407" i="1"/>
  <c r="L6407" i="1"/>
  <c r="M6407" i="1"/>
  <c r="K6408" i="1"/>
  <c r="L6408" i="1"/>
  <c r="M6408" i="1"/>
  <c r="K6409" i="1"/>
  <c r="L6409" i="1"/>
  <c r="M6409" i="1"/>
  <c r="K6410" i="1"/>
  <c r="L6410" i="1"/>
  <c r="M6410" i="1"/>
  <c r="K6411" i="1"/>
  <c r="L6411" i="1"/>
  <c r="M6411" i="1"/>
  <c r="K6412" i="1"/>
  <c r="L6412" i="1"/>
  <c r="M6412" i="1"/>
  <c r="K6413" i="1"/>
  <c r="L6413" i="1"/>
  <c r="M6413" i="1"/>
  <c r="K6414" i="1"/>
  <c r="L6414" i="1"/>
  <c r="M6414" i="1"/>
  <c r="K6415" i="1"/>
  <c r="L6415" i="1"/>
  <c r="M6415" i="1"/>
  <c r="K6416" i="1"/>
  <c r="L6416" i="1"/>
  <c r="M6416" i="1"/>
  <c r="K6417" i="1"/>
  <c r="L6417" i="1"/>
  <c r="M6417" i="1"/>
  <c r="K6418" i="1"/>
  <c r="L6418" i="1"/>
  <c r="M6418" i="1"/>
  <c r="K6419" i="1"/>
  <c r="L6419" i="1"/>
  <c r="M6419" i="1"/>
  <c r="K6420" i="1"/>
  <c r="L6420" i="1"/>
  <c r="M6420" i="1"/>
  <c r="K6421" i="1"/>
  <c r="L6421" i="1"/>
  <c r="M6421" i="1"/>
  <c r="K6422" i="1"/>
  <c r="L6422" i="1"/>
  <c r="M6422" i="1"/>
  <c r="K6423" i="1"/>
  <c r="L6423" i="1"/>
  <c r="M6423" i="1"/>
  <c r="K6424" i="1"/>
  <c r="L6424" i="1"/>
  <c r="M6424" i="1"/>
  <c r="K6425" i="1"/>
  <c r="L6425" i="1"/>
  <c r="M6425" i="1"/>
  <c r="K6426" i="1"/>
  <c r="L6426" i="1"/>
  <c r="M6426" i="1"/>
  <c r="K6427" i="1"/>
  <c r="L6427" i="1"/>
  <c r="M6427" i="1"/>
  <c r="K6428" i="1"/>
  <c r="L6428" i="1"/>
  <c r="M6428" i="1"/>
  <c r="K6429" i="1"/>
  <c r="L6429" i="1"/>
  <c r="M6429" i="1"/>
  <c r="K6430" i="1"/>
  <c r="L6430" i="1"/>
  <c r="M6430" i="1"/>
  <c r="K6431" i="1"/>
  <c r="L6431" i="1"/>
  <c r="M6431" i="1"/>
  <c r="K6432" i="1"/>
  <c r="L6432" i="1"/>
  <c r="M6432" i="1"/>
  <c r="K6433" i="1"/>
  <c r="L6433" i="1"/>
  <c r="M6433" i="1"/>
  <c r="K6434" i="1"/>
  <c r="L6434" i="1"/>
  <c r="M6434" i="1"/>
  <c r="K6435" i="1"/>
  <c r="L6435" i="1"/>
  <c r="M6435" i="1"/>
  <c r="K6436" i="1"/>
  <c r="L6436" i="1"/>
  <c r="M6436" i="1"/>
  <c r="K6437" i="1"/>
  <c r="L6437" i="1"/>
  <c r="M6437" i="1"/>
  <c r="K6438" i="1"/>
  <c r="L6438" i="1"/>
  <c r="M6438" i="1"/>
  <c r="K6439" i="1"/>
  <c r="L6439" i="1"/>
  <c r="M6439" i="1"/>
  <c r="K6440" i="1"/>
  <c r="L6440" i="1"/>
  <c r="M6440" i="1"/>
  <c r="K6441" i="1"/>
  <c r="L6441" i="1"/>
  <c r="M6441" i="1"/>
  <c r="K6442" i="1"/>
  <c r="L6442" i="1"/>
  <c r="M6442" i="1"/>
  <c r="K6443" i="1"/>
  <c r="L6443" i="1"/>
  <c r="M6443" i="1"/>
  <c r="K6444" i="1"/>
  <c r="L6444" i="1"/>
  <c r="M6444" i="1"/>
  <c r="K6445" i="1"/>
  <c r="L6445" i="1"/>
  <c r="M6445" i="1"/>
  <c r="K6446" i="1"/>
  <c r="L6446" i="1"/>
  <c r="M6446" i="1"/>
  <c r="K6447" i="1"/>
  <c r="L6447" i="1"/>
  <c r="M6447" i="1"/>
  <c r="K6449" i="1"/>
  <c r="L6449" i="1"/>
  <c r="M6449" i="1"/>
  <c r="K6450" i="1"/>
  <c r="L6450" i="1"/>
  <c r="M6450" i="1"/>
  <c r="K6451" i="1"/>
  <c r="L6451" i="1"/>
  <c r="M6451" i="1"/>
  <c r="K6452" i="1"/>
  <c r="L6452" i="1"/>
  <c r="M6452" i="1"/>
  <c r="K6453" i="1"/>
  <c r="L6453" i="1"/>
  <c r="M6453" i="1"/>
  <c r="K6454" i="1"/>
  <c r="L6454" i="1"/>
  <c r="M6454" i="1"/>
  <c r="K6455" i="1"/>
  <c r="L6455" i="1"/>
  <c r="M6455" i="1"/>
  <c r="K6456" i="1"/>
  <c r="L6456" i="1"/>
  <c r="M6456" i="1"/>
  <c r="K6457" i="1"/>
  <c r="L6457" i="1"/>
  <c r="M6457" i="1"/>
  <c r="K6458" i="1"/>
  <c r="L6458" i="1"/>
  <c r="M6458" i="1"/>
  <c r="K6459" i="1"/>
  <c r="L6459" i="1"/>
  <c r="M6459" i="1"/>
  <c r="K6460" i="1"/>
  <c r="L6460" i="1"/>
  <c r="M6460" i="1"/>
  <c r="K6461" i="1"/>
  <c r="L6461" i="1"/>
  <c r="M6461" i="1"/>
  <c r="K6462" i="1"/>
  <c r="L6462" i="1"/>
  <c r="M6462" i="1"/>
  <c r="K6463" i="1"/>
  <c r="L6463" i="1"/>
  <c r="M6463" i="1"/>
  <c r="K6464" i="1"/>
  <c r="L6464" i="1"/>
  <c r="M6464" i="1"/>
  <c r="K6465" i="1"/>
  <c r="L6465" i="1"/>
  <c r="M6465" i="1"/>
  <c r="K6466" i="1"/>
  <c r="L6466" i="1"/>
  <c r="M6466" i="1"/>
  <c r="K6467" i="1"/>
  <c r="L6467" i="1"/>
  <c r="M6467" i="1"/>
  <c r="K6468" i="1"/>
  <c r="L6468" i="1"/>
  <c r="M6468" i="1"/>
  <c r="K6469" i="1"/>
  <c r="L6469" i="1"/>
  <c r="M6469" i="1"/>
  <c r="K6470" i="1"/>
  <c r="L6470" i="1"/>
  <c r="M6470" i="1"/>
  <c r="K6471" i="1"/>
  <c r="L6471" i="1"/>
  <c r="M6471" i="1"/>
  <c r="K6472" i="1"/>
  <c r="L6472" i="1"/>
  <c r="M6472" i="1"/>
  <c r="K6473" i="1"/>
  <c r="L6473" i="1"/>
  <c r="M6473" i="1"/>
  <c r="K6474" i="1"/>
  <c r="L6474" i="1"/>
  <c r="M6474" i="1"/>
  <c r="K6475" i="1"/>
  <c r="L6475" i="1"/>
  <c r="M6475" i="1"/>
  <c r="K6476" i="1"/>
  <c r="L6476" i="1"/>
  <c r="M6476" i="1"/>
  <c r="K6477" i="1"/>
  <c r="L6477" i="1"/>
  <c r="M6477" i="1"/>
  <c r="K6478" i="1"/>
  <c r="L6478" i="1"/>
  <c r="M6478" i="1"/>
  <c r="K6479" i="1"/>
  <c r="L6479" i="1"/>
  <c r="M6479" i="1"/>
  <c r="K6480" i="1"/>
  <c r="L6480" i="1"/>
  <c r="M6480" i="1"/>
  <c r="K6481" i="1"/>
  <c r="L6481" i="1"/>
  <c r="M6481" i="1"/>
  <c r="K6482" i="1"/>
  <c r="L6482" i="1"/>
  <c r="M6482" i="1"/>
  <c r="K6483" i="1"/>
  <c r="L6483" i="1"/>
  <c r="M6483" i="1"/>
  <c r="K6484" i="1"/>
  <c r="L6484" i="1"/>
  <c r="M6484" i="1"/>
  <c r="K6485" i="1"/>
  <c r="L6485" i="1"/>
  <c r="M6485" i="1"/>
  <c r="K6486" i="1"/>
  <c r="L6486" i="1"/>
  <c r="M6486" i="1"/>
  <c r="K6487" i="1"/>
  <c r="L6487" i="1"/>
  <c r="M6487" i="1"/>
  <c r="K6488" i="1"/>
  <c r="L6488" i="1"/>
  <c r="M6488" i="1"/>
  <c r="K6489" i="1"/>
  <c r="L6489" i="1"/>
  <c r="M6489" i="1"/>
  <c r="K6490" i="1"/>
  <c r="L6490" i="1"/>
  <c r="M6490" i="1"/>
  <c r="K6491" i="1"/>
  <c r="L6491" i="1"/>
  <c r="M6491" i="1"/>
  <c r="K6492" i="1"/>
  <c r="L6492" i="1"/>
  <c r="M6492" i="1"/>
  <c r="K6493" i="1"/>
  <c r="L6493" i="1"/>
  <c r="M6493" i="1"/>
  <c r="K6494" i="1"/>
  <c r="L6494" i="1"/>
  <c r="M6494" i="1"/>
  <c r="K6495" i="1"/>
  <c r="L6495" i="1"/>
  <c r="M6495" i="1"/>
  <c r="K6496" i="1"/>
  <c r="L6496" i="1"/>
  <c r="M6496" i="1"/>
  <c r="K6497" i="1"/>
  <c r="L6497" i="1"/>
  <c r="M6497" i="1"/>
  <c r="K6498" i="1"/>
  <c r="L6498" i="1"/>
  <c r="M6498" i="1"/>
  <c r="K6499" i="1"/>
  <c r="L6499" i="1"/>
  <c r="M6499" i="1"/>
  <c r="K6500" i="1"/>
  <c r="L6500" i="1"/>
  <c r="M6500" i="1"/>
  <c r="K6501" i="1"/>
  <c r="L6501" i="1"/>
  <c r="M6501" i="1"/>
  <c r="K6502" i="1"/>
  <c r="L6502" i="1"/>
  <c r="M6502" i="1"/>
  <c r="K6503" i="1"/>
  <c r="L6503" i="1"/>
  <c r="M6503" i="1"/>
  <c r="K6504" i="1"/>
  <c r="L6504" i="1"/>
  <c r="M6504" i="1"/>
  <c r="K6505" i="1"/>
  <c r="L6505" i="1"/>
  <c r="M6505" i="1"/>
  <c r="K6506" i="1"/>
  <c r="L6506" i="1"/>
  <c r="M6506" i="1"/>
  <c r="K6507" i="1"/>
  <c r="L6507" i="1"/>
  <c r="M6507" i="1"/>
  <c r="K6508" i="1"/>
  <c r="L6508" i="1"/>
  <c r="M6508" i="1"/>
  <c r="K6509" i="1"/>
  <c r="L6509" i="1"/>
  <c r="M6509" i="1"/>
  <c r="K6510" i="1"/>
  <c r="L6510" i="1"/>
  <c r="M6510" i="1"/>
  <c r="K6511" i="1"/>
  <c r="L6511" i="1"/>
  <c r="M6511" i="1"/>
  <c r="K6512" i="1"/>
  <c r="L6512" i="1"/>
  <c r="M6512" i="1"/>
  <c r="K6513" i="1"/>
  <c r="L6513" i="1"/>
  <c r="M6513" i="1"/>
  <c r="K6514" i="1"/>
  <c r="L6514" i="1"/>
  <c r="M6514" i="1"/>
  <c r="K6515" i="1"/>
  <c r="L6515" i="1"/>
  <c r="M6515" i="1"/>
  <c r="K6516" i="1"/>
  <c r="L6516" i="1"/>
  <c r="M6516" i="1"/>
  <c r="K6517" i="1"/>
  <c r="L6517" i="1"/>
  <c r="M6517" i="1"/>
  <c r="K6518" i="1"/>
  <c r="L6518" i="1"/>
  <c r="M6518" i="1"/>
  <c r="K6519" i="1"/>
  <c r="L6519" i="1"/>
  <c r="M6519" i="1"/>
  <c r="K6520" i="1"/>
  <c r="L6520" i="1"/>
  <c r="M6520" i="1"/>
  <c r="K6521" i="1"/>
  <c r="L6521" i="1"/>
  <c r="M6521" i="1"/>
  <c r="K6522" i="1"/>
  <c r="L6522" i="1"/>
  <c r="M6522" i="1"/>
  <c r="K6523" i="1"/>
  <c r="L6523" i="1"/>
  <c r="M6523" i="1"/>
  <c r="K6524" i="1"/>
  <c r="L6524" i="1"/>
  <c r="M6524" i="1"/>
  <c r="K6525" i="1"/>
  <c r="L6525" i="1"/>
  <c r="M6525" i="1"/>
  <c r="K6526" i="1"/>
  <c r="L6526" i="1"/>
  <c r="M6526" i="1"/>
  <c r="K6527" i="1"/>
  <c r="L6527" i="1"/>
  <c r="M6527" i="1"/>
  <c r="K6528" i="1"/>
  <c r="L6528" i="1"/>
  <c r="M6528" i="1"/>
  <c r="K6529" i="1"/>
  <c r="L6529" i="1"/>
  <c r="M6529" i="1"/>
  <c r="K6530" i="1"/>
  <c r="L6530" i="1"/>
  <c r="M6530" i="1"/>
  <c r="K6531" i="1"/>
  <c r="L6531" i="1"/>
  <c r="M6531" i="1"/>
  <c r="K6532" i="1"/>
  <c r="L6532" i="1"/>
  <c r="M6532" i="1"/>
  <c r="K6533" i="1"/>
  <c r="L6533" i="1"/>
  <c r="M6533" i="1"/>
  <c r="K6534" i="1"/>
  <c r="L6534" i="1"/>
  <c r="M6534" i="1"/>
  <c r="K6535" i="1"/>
  <c r="L6535" i="1"/>
  <c r="M6535" i="1"/>
  <c r="K6536" i="1"/>
  <c r="L6536" i="1"/>
  <c r="M6536" i="1"/>
  <c r="K6537" i="1"/>
  <c r="L6537" i="1"/>
  <c r="M6537" i="1"/>
  <c r="K6538" i="1"/>
  <c r="L6538" i="1"/>
  <c r="M6538" i="1"/>
  <c r="K6539" i="1"/>
  <c r="L6539" i="1"/>
  <c r="M6539" i="1"/>
  <c r="K6540" i="1"/>
  <c r="L6540" i="1"/>
  <c r="M6540" i="1"/>
  <c r="K6788" i="1"/>
  <c r="L6788" i="1"/>
  <c r="M6788" i="1"/>
  <c r="K6789" i="1"/>
  <c r="L6789" i="1"/>
  <c r="M6789" i="1"/>
  <c r="K6790" i="1"/>
  <c r="L6790" i="1"/>
  <c r="M6790" i="1"/>
  <c r="K6791" i="1"/>
  <c r="L6791" i="1"/>
  <c r="M6791" i="1"/>
  <c r="K6792" i="1"/>
  <c r="L6792" i="1"/>
  <c r="M6792" i="1"/>
  <c r="K6793" i="1"/>
  <c r="L6793" i="1"/>
  <c r="M6793" i="1"/>
  <c r="K6794" i="1"/>
  <c r="L6794" i="1"/>
  <c r="M6794" i="1"/>
  <c r="K6795" i="1"/>
  <c r="L6795" i="1"/>
  <c r="M6795" i="1"/>
  <c r="K6796" i="1"/>
  <c r="L6796" i="1"/>
  <c r="M6796" i="1"/>
  <c r="K6797" i="1"/>
  <c r="L6797" i="1"/>
  <c r="M6797" i="1"/>
  <c r="K6798" i="1"/>
  <c r="L6798" i="1"/>
  <c r="M6798" i="1"/>
  <c r="K6799" i="1"/>
  <c r="L6799" i="1"/>
  <c r="M6799" i="1"/>
  <c r="K6800" i="1"/>
  <c r="L6800" i="1"/>
  <c r="M6800" i="1"/>
  <c r="K6801" i="1"/>
  <c r="L6801" i="1"/>
  <c r="M6801" i="1"/>
  <c r="K6802" i="1"/>
  <c r="L6802" i="1"/>
  <c r="M6802" i="1"/>
  <c r="K6803" i="1"/>
  <c r="L6803" i="1"/>
  <c r="M6803" i="1"/>
  <c r="K6804" i="1"/>
  <c r="L6804" i="1"/>
  <c r="M6804" i="1"/>
  <c r="K6805" i="1"/>
  <c r="L6805" i="1"/>
  <c r="M6805" i="1"/>
  <c r="K6806" i="1"/>
  <c r="L6806" i="1"/>
  <c r="M6806" i="1"/>
  <c r="K6807" i="1"/>
  <c r="L6807" i="1"/>
  <c r="M6807" i="1"/>
  <c r="K6808" i="1"/>
  <c r="L6808" i="1"/>
  <c r="M6808" i="1"/>
  <c r="K6809" i="1"/>
  <c r="L6809" i="1"/>
  <c r="M6809" i="1"/>
  <c r="K6810" i="1"/>
  <c r="L6810" i="1"/>
  <c r="M6810" i="1"/>
  <c r="K6811" i="1"/>
  <c r="L6811" i="1"/>
  <c r="M6811" i="1"/>
  <c r="K6812" i="1"/>
  <c r="L6812" i="1"/>
  <c r="M6812" i="1"/>
  <c r="K6813" i="1"/>
  <c r="L6813" i="1"/>
  <c r="M6813" i="1"/>
  <c r="K6814" i="1"/>
  <c r="L6814" i="1"/>
  <c r="M6814" i="1"/>
  <c r="K6815" i="1"/>
  <c r="L6815" i="1"/>
  <c r="M6815" i="1"/>
  <c r="K6816" i="1"/>
  <c r="L6816" i="1"/>
  <c r="M6816" i="1"/>
  <c r="K6817" i="1"/>
  <c r="L6817" i="1"/>
  <c r="M6817" i="1"/>
  <c r="K6818" i="1"/>
  <c r="L6818" i="1"/>
  <c r="M6818" i="1"/>
  <c r="K6819" i="1"/>
  <c r="L6819" i="1"/>
  <c r="M6819" i="1"/>
  <c r="K6820" i="1"/>
  <c r="L6820" i="1"/>
  <c r="M6820" i="1"/>
  <c r="K6821" i="1"/>
  <c r="L6821" i="1"/>
  <c r="M6821" i="1"/>
  <c r="K6822" i="1"/>
  <c r="L6822" i="1"/>
  <c r="M6822" i="1"/>
  <c r="K6823" i="1"/>
  <c r="L6823" i="1"/>
  <c r="M6823" i="1"/>
  <c r="K6824" i="1"/>
  <c r="L6824" i="1"/>
  <c r="M6824" i="1"/>
  <c r="K6825" i="1"/>
  <c r="L6825" i="1"/>
  <c r="M6825" i="1"/>
  <c r="K6826" i="1"/>
  <c r="L6826" i="1"/>
  <c r="M6826" i="1"/>
  <c r="K6827" i="1"/>
  <c r="L6827" i="1"/>
  <c r="M6827" i="1"/>
  <c r="K6828" i="1"/>
  <c r="L6828" i="1"/>
  <c r="M6828" i="1"/>
  <c r="K6829" i="1"/>
  <c r="L6829" i="1"/>
  <c r="M6829" i="1"/>
  <c r="K6830" i="1"/>
  <c r="L6830" i="1"/>
  <c r="M6830" i="1"/>
  <c r="K6831" i="1"/>
  <c r="L6831" i="1"/>
  <c r="M6831" i="1"/>
  <c r="K6832" i="1"/>
  <c r="L6832" i="1"/>
  <c r="M6832" i="1"/>
  <c r="K6833" i="1"/>
  <c r="L6833" i="1"/>
  <c r="M6833" i="1"/>
  <c r="K6834" i="1"/>
  <c r="L6834" i="1"/>
  <c r="M6834" i="1"/>
  <c r="K6835" i="1"/>
  <c r="L6835" i="1"/>
  <c r="M6835" i="1"/>
  <c r="K6836" i="1"/>
  <c r="L6836" i="1"/>
  <c r="M6836" i="1"/>
  <c r="K6837" i="1"/>
  <c r="L6837" i="1"/>
  <c r="M6837" i="1"/>
  <c r="K6838" i="1"/>
  <c r="L6838" i="1"/>
  <c r="M6838" i="1"/>
  <c r="K6839" i="1"/>
  <c r="L6839" i="1"/>
  <c r="M6839" i="1"/>
  <c r="K6840" i="1"/>
  <c r="L6840" i="1"/>
  <c r="M6840" i="1"/>
  <c r="K7553" i="1"/>
  <c r="L7553" i="1"/>
  <c r="K7554" i="1"/>
  <c r="L7554" i="1"/>
  <c r="K7555" i="1"/>
  <c r="L7555" i="1"/>
  <c r="K7556" i="1"/>
  <c r="L7556" i="1"/>
  <c r="K7557" i="1"/>
  <c r="L7557" i="1"/>
  <c r="K7558" i="1"/>
  <c r="L7558" i="1"/>
  <c r="K7559" i="1"/>
  <c r="L7559" i="1"/>
  <c r="K7560" i="1"/>
  <c r="L7560" i="1"/>
  <c r="K7561" i="1"/>
  <c r="L7561" i="1"/>
  <c r="K7562" i="1"/>
  <c r="L7562" i="1"/>
  <c r="K7563" i="1"/>
  <c r="L7563" i="1"/>
  <c r="K7564" i="1"/>
  <c r="L7564" i="1"/>
  <c r="K7565" i="1"/>
  <c r="L7565" i="1"/>
  <c r="K7566" i="1"/>
  <c r="L7566" i="1"/>
  <c r="K7567" i="1"/>
  <c r="L7567" i="1"/>
  <c r="K7568" i="1"/>
  <c r="L7568" i="1"/>
  <c r="K7569" i="1"/>
  <c r="L7569" i="1"/>
  <c r="K7570" i="1"/>
  <c r="L7570" i="1"/>
  <c r="K7571" i="1"/>
  <c r="L7571" i="1"/>
  <c r="K7572" i="1"/>
  <c r="L7572" i="1"/>
  <c r="K7573" i="1"/>
  <c r="L7573" i="1"/>
  <c r="K7574" i="1"/>
  <c r="L7574" i="1"/>
  <c r="K7575" i="1"/>
  <c r="L7575" i="1"/>
  <c r="K7576" i="1"/>
  <c r="L7576" i="1"/>
  <c r="K7577" i="1"/>
  <c r="L7577" i="1"/>
  <c r="K7578" i="1"/>
  <c r="L7578" i="1"/>
  <c r="K7579" i="1"/>
  <c r="L7579" i="1"/>
  <c r="K7580" i="1"/>
  <c r="L7580" i="1"/>
  <c r="K7581" i="1"/>
  <c r="L7581" i="1"/>
  <c r="K7582" i="1"/>
  <c r="L7582" i="1"/>
  <c r="K7583" i="1"/>
  <c r="L7583" i="1"/>
  <c r="K7584" i="1"/>
  <c r="L7584" i="1"/>
  <c r="K7585" i="1"/>
  <c r="L7585" i="1"/>
  <c r="K7586" i="1"/>
  <c r="L7586" i="1"/>
  <c r="K7587" i="1"/>
  <c r="L7587" i="1"/>
  <c r="K7588" i="1"/>
  <c r="L7588" i="1"/>
  <c r="K7589" i="1"/>
  <c r="L7589" i="1"/>
  <c r="K7590" i="1"/>
  <c r="L7590" i="1"/>
  <c r="K7591" i="1"/>
  <c r="L7591" i="1"/>
  <c r="K7592" i="1"/>
  <c r="L7592" i="1"/>
  <c r="K7593" i="1"/>
  <c r="L7593" i="1"/>
  <c r="K7594" i="1"/>
  <c r="L7594" i="1"/>
  <c r="K7595" i="1"/>
  <c r="L7595" i="1"/>
  <c r="K7596" i="1"/>
  <c r="L7596" i="1"/>
  <c r="K7597" i="1"/>
  <c r="L7597" i="1"/>
  <c r="K7598" i="1"/>
  <c r="L7598" i="1"/>
  <c r="K7599" i="1"/>
  <c r="L7599" i="1"/>
  <c r="K7600" i="1"/>
  <c r="L7600" i="1"/>
  <c r="K7601" i="1"/>
  <c r="L7601" i="1"/>
  <c r="K7602" i="1"/>
  <c r="L7602" i="1"/>
  <c r="K7603" i="1"/>
  <c r="L7603" i="1"/>
  <c r="K7604" i="1"/>
  <c r="L7604" i="1"/>
  <c r="K7605" i="1"/>
  <c r="L7605" i="1"/>
  <c r="K7606" i="1"/>
  <c r="L7606" i="1"/>
  <c r="K7607" i="1"/>
  <c r="L7607" i="1"/>
  <c r="K7608" i="1"/>
  <c r="L7608" i="1"/>
  <c r="K7609" i="1"/>
  <c r="L7609" i="1"/>
  <c r="K7610" i="1"/>
  <c r="L7610" i="1"/>
  <c r="K7611" i="1"/>
  <c r="L7611" i="1"/>
  <c r="K7612" i="1"/>
  <c r="L7612" i="1"/>
  <c r="K7613" i="1"/>
  <c r="L7613" i="1"/>
  <c r="K7614" i="1"/>
  <c r="L7614" i="1"/>
  <c r="K7615" i="1"/>
  <c r="L7615" i="1"/>
  <c r="K7616" i="1"/>
  <c r="L7616" i="1"/>
  <c r="K7617" i="1"/>
  <c r="L7617" i="1"/>
  <c r="K7618" i="1"/>
  <c r="L7618" i="1"/>
  <c r="K7619" i="1"/>
  <c r="L7619" i="1"/>
  <c r="K7620" i="1"/>
  <c r="L7620" i="1"/>
  <c r="K7621" i="1"/>
  <c r="L7621" i="1"/>
  <c r="K7622" i="1"/>
  <c r="L7622" i="1"/>
  <c r="K7623" i="1"/>
  <c r="L7623" i="1"/>
  <c r="K7494" i="1"/>
  <c r="L7494" i="1"/>
  <c r="K7495" i="1"/>
  <c r="L7495" i="1"/>
  <c r="K7496" i="1"/>
  <c r="L7496" i="1"/>
  <c r="K7497" i="1"/>
  <c r="L7497" i="1"/>
  <c r="K7498" i="1"/>
  <c r="L7498" i="1"/>
  <c r="K7499" i="1"/>
  <c r="L7499" i="1"/>
  <c r="K7500" i="1"/>
  <c r="L7500" i="1"/>
  <c r="K7501" i="1"/>
  <c r="L7501" i="1"/>
  <c r="K7502" i="1"/>
  <c r="L7502" i="1"/>
  <c r="K7503" i="1"/>
  <c r="L7503" i="1"/>
  <c r="K7504" i="1"/>
  <c r="L7504" i="1"/>
  <c r="K7505" i="1"/>
  <c r="L7505" i="1"/>
  <c r="K7506" i="1"/>
  <c r="L7506" i="1"/>
  <c r="K7507" i="1"/>
  <c r="L7507" i="1"/>
  <c r="K7508" i="1"/>
  <c r="L7508" i="1"/>
  <c r="K7509" i="1"/>
  <c r="L7509" i="1"/>
  <c r="K7510" i="1"/>
  <c r="L7510" i="1"/>
  <c r="K7511" i="1"/>
  <c r="L7511" i="1"/>
  <c r="K7512" i="1"/>
  <c r="L7512" i="1"/>
  <c r="K7513" i="1"/>
  <c r="L7513" i="1"/>
  <c r="K7514" i="1"/>
  <c r="L7514" i="1"/>
  <c r="K7515" i="1"/>
  <c r="L7515" i="1"/>
  <c r="K7516" i="1"/>
  <c r="L7516" i="1"/>
  <c r="K7517" i="1"/>
  <c r="L7517" i="1"/>
  <c r="K7518" i="1"/>
  <c r="L7518" i="1"/>
  <c r="K7519" i="1"/>
  <c r="L7519" i="1"/>
  <c r="K7520" i="1"/>
  <c r="L7520" i="1"/>
  <c r="K7521" i="1"/>
  <c r="L7521" i="1"/>
  <c r="K7522" i="1"/>
  <c r="L7522" i="1"/>
  <c r="K7523" i="1"/>
  <c r="L7523" i="1"/>
  <c r="K7524" i="1"/>
  <c r="L7524" i="1"/>
  <c r="K7525" i="1"/>
  <c r="L7525" i="1"/>
  <c r="K7526" i="1"/>
  <c r="L7526" i="1"/>
  <c r="K7527" i="1"/>
  <c r="L7527" i="1"/>
  <c r="K7528" i="1"/>
  <c r="L7528" i="1"/>
  <c r="K7529" i="1"/>
  <c r="L7529" i="1"/>
  <c r="K7530" i="1"/>
  <c r="L7530" i="1"/>
  <c r="K7531" i="1"/>
  <c r="L7531" i="1"/>
  <c r="K7532" i="1"/>
  <c r="L7532" i="1"/>
  <c r="K7533" i="1"/>
  <c r="L7533" i="1"/>
  <c r="K7534" i="1"/>
  <c r="L7534" i="1"/>
  <c r="K7535" i="1"/>
  <c r="L7535" i="1"/>
  <c r="K7536" i="1"/>
  <c r="L7536" i="1"/>
  <c r="K7537" i="1"/>
  <c r="L7537" i="1"/>
  <c r="K7538" i="1"/>
  <c r="L7538" i="1"/>
  <c r="K7539" i="1"/>
  <c r="L7539" i="1"/>
  <c r="K7540" i="1"/>
  <c r="L7540" i="1"/>
  <c r="K7541" i="1"/>
  <c r="L7541" i="1"/>
  <c r="K7542" i="1"/>
  <c r="L7542" i="1"/>
  <c r="K7543" i="1"/>
  <c r="L7543" i="1"/>
  <c r="K7544" i="1"/>
  <c r="L7544" i="1"/>
  <c r="K7545" i="1"/>
  <c r="L7545" i="1"/>
  <c r="K7546" i="1"/>
  <c r="L7546" i="1"/>
  <c r="K7547" i="1"/>
  <c r="L7547" i="1"/>
  <c r="K7548" i="1"/>
  <c r="L7548" i="1"/>
  <c r="K7549" i="1"/>
  <c r="L7549" i="1"/>
  <c r="K7550" i="1"/>
  <c r="L7550" i="1"/>
  <c r="K7551" i="1"/>
  <c r="L7551" i="1"/>
  <c r="K7552" i="1"/>
  <c r="L7552" i="1"/>
  <c r="K6866" i="1"/>
  <c r="L6866" i="1"/>
  <c r="M6866" i="1"/>
  <c r="K6867" i="1"/>
  <c r="L6867" i="1"/>
  <c r="M6867" i="1"/>
  <c r="K6868" i="1"/>
  <c r="L6868" i="1"/>
  <c r="M6868" i="1"/>
  <c r="K6869" i="1"/>
  <c r="L6869" i="1"/>
  <c r="M6869" i="1"/>
  <c r="K6870" i="1"/>
  <c r="L6870" i="1"/>
  <c r="M6870" i="1"/>
  <c r="K6871" i="1"/>
  <c r="L6871" i="1"/>
  <c r="M6871" i="1"/>
  <c r="K6872" i="1"/>
  <c r="L6872" i="1"/>
  <c r="M6872" i="1"/>
  <c r="K6873" i="1"/>
  <c r="L6873" i="1"/>
  <c r="M6873" i="1"/>
  <c r="K6874" i="1"/>
  <c r="L6874" i="1"/>
  <c r="M6874" i="1"/>
  <c r="K6875" i="1"/>
  <c r="L6875" i="1"/>
  <c r="M6875" i="1"/>
  <c r="K6876" i="1"/>
  <c r="L6876" i="1"/>
  <c r="M6876" i="1"/>
  <c r="K6877" i="1"/>
  <c r="L6877" i="1"/>
  <c r="M6877" i="1"/>
  <c r="K6878" i="1"/>
  <c r="L6878" i="1"/>
  <c r="M6878" i="1"/>
  <c r="K6879" i="1"/>
  <c r="L6879" i="1"/>
  <c r="M6879" i="1"/>
  <c r="K6880" i="1"/>
  <c r="L6880" i="1"/>
  <c r="M6880" i="1"/>
  <c r="K6881" i="1"/>
  <c r="L6881" i="1"/>
  <c r="M6881" i="1"/>
  <c r="K6882" i="1"/>
  <c r="L6882" i="1"/>
  <c r="M6882" i="1"/>
  <c r="K6883" i="1"/>
  <c r="L6883" i="1"/>
  <c r="M6883" i="1"/>
  <c r="K6884" i="1"/>
  <c r="L6884" i="1"/>
  <c r="M6884" i="1"/>
  <c r="K6885" i="1"/>
  <c r="L6885" i="1"/>
  <c r="M6885" i="1"/>
  <c r="K6886" i="1"/>
  <c r="L6886" i="1"/>
  <c r="M6886" i="1"/>
  <c r="K6887" i="1"/>
  <c r="L6887" i="1"/>
  <c r="M6887" i="1"/>
  <c r="K6888" i="1"/>
  <c r="L6888" i="1"/>
  <c r="M6888" i="1"/>
  <c r="K6889" i="1"/>
  <c r="L6889" i="1"/>
  <c r="M6889" i="1"/>
  <c r="K6890" i="1"/>
  <c r="L6890" i="1"/>
  <c r="M6890" i="1"/>
  <c r="K6891" i="1"/>
  <c r="L6891" i="1"/>
  <c r="M6891" i="1"/>
  <c r="K6892" i="1"/>
  <c r="L6892" i="1"/>
  <c r="M6892" i="1"/>
  <c r="K6893" i="1"/>
  <c r="L6893" i="1"/>
  <c r="M6893" i="1"/>
  <c r="K6894" i="1"/>
  <c r="L6894" i="1"/>
  <c r="M6894" i="1"/>
  <c r="K6895" i="1"/>
  <c r="L6895" i="1"/>
  <c r="M6895" i="1"/>
  <c r="K6896" i="1"/>
  <c r="L6896" i="1"/>
  <c r="M6896" i="1"/>
  <c r="K6897" i="1"/>
  <c r="L6897" i="1"/>
  <c r="M6897" i="1"/>
  <c r="K6898" i="1"/>
  <c r="L6898" i="1"/>
  <c r="M6898" i="1"/>
  <c r="K6899" i="1"/>
  <c r="L6899" i="1"/>
  <c r="M6899" i="1"/>
  <c r="K6900" i="1"/>
  <c r="L6900" i="1"/>
  <c r="M6900" i="1"/>
  <c r="K6901" i="1"/>
  <c r="L6901" i="1"/>
  <c r="M6901" i="1"/>
  <c r="K6902" i="1"/>
  <c r="L6902" i="1"/>
  <c r="M6902" i="1"/>
  <c r="K6903" i="1"/>
  <c r="L6903" i="1"/>
  <c r="M6903" i="1"/>
  <c r="K6904" i="1"/>
  <c r="L6904" i="1"/>
  <c r="M6904" i="1"/>
  <c r="K6905" i="1"/>
  <c r="L6905" i="1"/>
  <c r="M6905" i="1"/>
  <c r="K6906" i="1"/>
  <c r="L6906" i="1"/>
  <c r="M6906" i="1"/>
  <c r="K6907" i="1"/>
  <c r="L6907" i="1"/>
  <c r="M6907" i="1"/>
  <c r="K6908" i="1"/>
  <c r="L6908" i="1"/>
  <c r="M6908" i="1"/>
  <c r="K6909" i="1"/>
  <c r="L6909" i="1"/>
  <c r="M6909" i="1"/>
  <c r="K6910" i="1"/>
  <c r="L6910" i="1"/>
  <c r="M6910" i="1"/>
  <c r="K6911" i="1"/>
  <c r="L6911" i="1"/>
  <c r="M6911" i="1"/>
  <c r="K6912" i="1"/>
  <c r="L6912" i="1"/>
  <c r="M6912" i="1"/>
  <c r="K6913" i="1"/>
  <c r="L6913" i="1"/>
  <c r="M6913" i="1"/>
  <c r="K6914" i="1"/>
  <c r="L6914" i="1"/>
  <c r="M6914" i="1"/>
  <c r="K6915" i="1"/>
  <c r="L6915" i="1"/>
  <c r="M6915" i="1"/>
  <c r="K6916" i="1"/>
  <c r="L6916" i="1"/>
  <c r="M6916" i="1"/>
  <c r="K6917" i="1"/>
  <c r="L6917" i="1"/>
  <c r="M6917" i="1"/>
  <c r="K6918" i="1"/>
  <c r="L6918" i="1"/>
  <c r="M6918" i="1"/>
  <c r="K6919" i="1"/>
  <c r="L6919" i="1"/>
  <c r="M6919" i="1"/>
  <c r="K6920" i="1"/>
  <c r="L6920" i="1"/>
  <c r="M6920" i="1"/>
  <c r="K6921" i="1"/>
  <c r="L6921" i="1"/>
  <c r="M6921" i="1"/>
  <c r="K6922" i="1"/>
  <c r="L6922" i="1"/>
  <c r="M6922" i="1"/>
  <c r="K6923" i="1"/>
  <c r="L6923" i="1"/>
  <c r="M6923" i="1"/>
  <c r="K6924" i="1"/>
  <c r="L6924" i="1"/>
  <c r="M6924" i="1"/>
  <c r="K6925" i="1"/>
  <c r="L6925" i="1"/>
  <c r="M6925" i="1"/>
  <c r="K6926" i="1"/>
  <c r="L6926" i="1"/>
  <c r="M6926" i="1"/>
  <c r="K6927" i="1"/>
  <c r="L6927" i="1"/>
  <c r="M6927" i="1"/>
  <c r="K6928" i="1"/>
  <c r="L6928" i="1"/>
  <c r="M6928" i="1"/>
  <c r="K6929" i="1"/>
  <c r="L6929" i="1"/>
  <c r="M6929" i="1"/>
  <c r="K6930" i="1"/>
  <c r="L6930" i="1"/>
  <c r="M6930" i="1"/>
  <c r="K6931" i="1"/>
  <c r="L6931" i="1"/>
  <c r="M6931" i="1"/>
  <c r="K6932" i="1"/>
  <c r="L6932" i="1"/>
  <c r="M6932" i="1"/>
  <c r="K6933" i="1"/>
  <c r="L6933" i="1"/>
  <c r="M6933" i="1"/>
  <c r="K6934" i="1"/>
  <c r="L6934" i="1"/>
  <c r="M6934" i="1"/>
  <c r="K6935" i="1"/>
  <c r="L6935" i="1"/>
  <c r="M6935" i="1"/>
  <c r="K6936" i="1"/>
  <c r="L6936" i="1"/>
  <c r="M6936" i="1"/>
  <c r="K6937" i="1"/>
  <c r="L6937" i="1"/>
  <c r="M6937" i="1"/>
  <c r="K6938" i="1"/>
  <c r="L6938" i="1"/>
  <c r="M6938" i="1"/>
  <c r="K6939" i="1"/>
  <c r="L6939" i="1"/>
  <c r="M6939" i="1"/>
  <c r="K6940" i="1"/>
  <c r="L6940" i="1"/>
  <c r="M6940" i="1"/>
  <c r="K6941" i="1"/>
  <c r="L6941" i="1"/>
  <c r="M6941" i="1"/>
  <c r="K6942" i="1"/>
  <c r="L6942" i="1"/>
  <c r="M6942" i="1"/>
  <c r="K6943" i="1"/>
  <c r="L6943" i="1"/>
  <c r="M6943" i="1"/>
  <c r="K6944" i="1"/>
  <c r="L6944" i="1"/>
  <c r="M6944" i="1"/>
  <c r="K6945" i="1"/>
  <c r="L6945" i="1"/>
  <c r="M6945" i="1"/>
  <c r="K6946" i="1"/>
  <c r="L6946" i="1"/>
  <c r="M6946" i="1"/>
  <c r="K6947" i="1"/>
  <c r="L6947" i="1"/>
  <c r="M6947" i="1"/>
  <c r="K6948" i="1"/>
  <c r="L6948" i="1"/>
  <c r="M6948" i="1"/>
  <c r="K6949" i="1"/>
  <c r="L6949" i="1"/>
  <c r="M6949" i="1"/>
  <c r="K6950" i="1"/>
  <c r="L6950" i="1"/>
  <c r="M6950" i="1"/>
  <c r="K6951" i="1"/>
  <c r="L6951" i="1"/>
  <c r="M6951" i="1"/>
  <c r="K6952" i="1"/>
  <c r="L6952" i="1"/>
  <c r="M6952" i="1"/>
  <c r="K6953" i="1"/>
  <c r="L6953" i="1"/>
  <c r="M6953" i="1"/>
  <c r="K6954" i="1"/>
  <c r="L6954" i="1"/>
  <c r="M6954" i="1"/>
  <c r="K6955" i="1"/>
  <c r="L6955" i="1"/>
  <c r="M6955" i="1"/>
  <c r="K6956" i="1"/>
  <c r="L6956" i="1"/>
  <c r="M6956" i="1"/>
  <c r="K6957" i="1"/>
  <c r="L6957" i="1"/>
  <c r="M6957" i="1"/>
  <c r="K6958" i="1"/>
  <c r="L6958" i="1"/>
  <c r="M6958" i="1"/>
  <c r="K6959" i="1"/>
  <c r="L6959" i="1"/>
  <c r="M6959" i="1"/>
  <c r="K6960" i="1"/>
  <c r="L6960" i="1"/>
  <c r="M6960" i="1"/>
  <c r="K6961" i="1"/>
  <c r="L6961" i="1"/>
  <c r="M6961" i="1"/>
  <c r="K6962" i="1"/>
  <c r="L6962" i="1"/>
  <c r="M6962" i="1"/>
  <c r="K6963" i="1"/>
  <c r="L6963" i="1"/>
  <c r="M6963" i="1"/>
  <c r="K6964" i="1"/>
  <c r="L6964" i="1"/>
  <c r="M6964" i="1"/>
  <c r="K6965" i="1"/>
  <c r="L6965" i="1"/>
  <c r="M6965" i="1"/>
  <c r="K6966" i="1"/>
  <c r="L6966" i="1"/>
  <c r="M6966" i="1"/>
  <c r="K6967" i="1"/>
  <c r="L6967" i="1"/>
  <c r="M6967" i="1"/>
  <c r="K6968" i="1"/>
  <c r="L6968" i="1"/>
  <c r="M6968" i="1"/>
  <c r="K6969" i="1"/>
  <c r="L6969" i="1"/>
  <c r="M6969" i="1"/>
  <c r="K6970" i="1"/>
  <c r="L6970" i="1"/>
  <c r="M6970" i="1"/>
  <c r="K6971" i="1"/>
  <c r="L6971" i="1"/>
  <c r="M6971" i="1"/>
  <c r="K6972" i="1"/>
  <c r="L6972" i="1"/>
  <c r="M6972" i="1"/>
  <c r="K6973" i="1"/>
  <c r="L6973" i="1"/>
  <c r="M6973" i="1"/>
  <c r="K6974" i="1"/>
  <c r="L6974" i="1"/>
  <c r="M6974" i="1"/>
  <c r="K6975" i="1"/>
  <c r="L6975" i="1"/>
  <c r="M6975" i="1"/>
  <c r="K6976" i="1"/>
  <c r="L6976" i="1"/>
  <c r="M6976" i="1"/>
  <c r="K6977" i="1"/>
  <c r="L6977" i="1"/>
  <c r="M6977" i="1"/>
  <c r="K6978" i="1"/>
  <c r="L6978" i="1"/>
  <c r="M6978" i="1"/>
  <c r="K6979" i="1"/>
  <c r="L6979" i="1"/>
  <c r="M6979" i="1"/>
  <c r="K6980" i="1"/>
  <c r="L6980" i="1"/>
  <c r="M6980" i="1"/>
  <c r="K6981" i="1"/>
  <c r="L6981" i="1"/>
  <c r="M6981" i="1"/>
  <c r="K6982" i="1"/>
  <c r="L6982" i="1"/>
  <c r="M6982" i="1"/>
  <c r="K6983" i="1"/>
  <c r="L6983" i="1"/>
  <c r="M6983" i="1"/>
  <c r="K6984" i="1"/>
  <c r="L6984" i="1"/>
  <c r="M6984" i="1"/>
  <c r="K6985" i="1"/>
  <c r="L6985" i="1"/>
  <c r="M6985" i="1"/>
  <c r="K6986" i="1"/>
  <c r="L6986" i="1"/>
  <c r="M6986" i="1"/>
  <c r="K6987" i="1"/>
  <c r="L6987" i="1"/>
  <c r="M6987" i="1"/>
  <c r="K6988" i="1"/>
  <c r="L6988" i="1"/>
  <c r="M6988" i="1"/>
  <c r="K6989" i="1"/>
  <c r="L6989" i="1"/>
  <c r="M6989" i="1"/>
  <c r="K6990" i="1"/>
  <c r="L6990" i="1"/>
  <c r="M6990" i="1"/>
  <c r="K6991" i="1"/>
  <c r="L6991" i="1"/>
  <c r="M6991" i="1"/>
  <c r="K6992" i="1"/>
  <c r="L6992" i="1"/>
  <c r="M6992" i="1"/>
  <c r="K6993" i="1"/>
  <c r="L6993" i="1"/>
  <c r="M6993" i="1"/>
  <c r="K6994" i="1"/>
  <c r="L6994" i="1"/>
  <c r="M6994" i="1"/>
  <c r="K6995" i="1"/>
  <c r="L6995" i="1"/>
  <c r="M6995" i="1"/>
  <c r="K6996" i="1"/>
  <c r="L6996" i="1"/>
  <c r="M6996" i="1"/>
  <c r="K6997" i="1"/>
  <c r="L6997" i="1"/>
  <c r="M6997" i="1"/>
  <c r="K6998" i="1"/>
  <c r="L6998" i="1"/>
  <c r="M6998" i="1"/>
  <c r="K6999" i="1"/>
  <c r="L6999" i="1"/>
  <c r="M6999" i="1"/>
  <c r="K7000" i="1"/>
  <c r="L7000" i="1"/>
  <c r="M7000" i="1"/>
  <c r="K7001" i="1"/>
  <c r="L7001" i="1"/>
  <c r="M7001" i="1"/>
  <c r="K7002" i="1"/>
  <c r="L7002" i="1"/>
  <c r="M7002" i="1"/>
  <c r="K7003" i="1"/>
  <c r="L7003" i="1"/>
  <c r="M7003" i="1"/>
  <c r="K7004" i="1"/>
  <c r="L7004" i="1"/>
  <c r="M7004" i="1"/>
  <c r="K7005" i="1"/>
  <c r="L7005" i="1"/>
  <c r="M7005" i="1"/>
  <c r="K7006" i="1"/>
  <c r="L7006" i="1"/>
  <c r="M7006" i="1"/>
  <c r="K7007" i="1"/>
  <c r="L7007" i="1"/>
  <c r="M7007" i="1"/>
  <c r="K7008" i="1"/>
  <c r="L7008" i="1"/>
  <c r="M7008" i="1"/>
  <c r="K7009" i="1"/>
  <c r="L7009" i="1"/>
  <c r="M7009" i="1"/>
  <c r="K7068" i="1"/>
  <c r="L7068" i="1"/>
  <c r="M7068" i="1"/>
  <c r="K7069" i="1"/>
  <c r="L7069" i="1"/>
  <c r="M7069" i="1"/>
  <c r="K7070" i="1"/>
  <c r="L7070" i="1"/>
  <c r="M7070" i="1"/>
  <c r="K7071" i="1"/>
  <c r="L7071" i="1"/>
  <c r="M7071" i="1"/>
  <c r="K7072" i="1"/>
  <c r="L7072" i="1"/>
  <c r="M7072" i="1"/>
  <c r="K7073" i="1"/>
  <c r="L7073" i="1"/>
  <c r="M7073" i="1"/>
  <c r="K7074" i="1"/>
  <c r="L7074" i="1"/>
  <c r="M7074" i="1"/>
  <c r="K7075" i="1"/>
  <c r="L7075" i="1"/>
  <c r="M7075" i="1"/>
  <c r="K7076" i="1"/>
  <c r="L7076" i="1"/>
  <c r="M7076" i="1"/>
  <c r="K7077" i="1"/>
  <c r="L7077" i="1"/>
  <c r="M7077" i="1"/>
  <c r="K7078" i="1"/>
  <c r="L7078" i="1"/>
  <c r="M7078" i="1"/>
  <c r="K7079" i="1"/>
  <c r="L7079" i="1"/>
  <c r="M7079" i="1"/>
  <c r="K7080" i="1"/>
  <c r="L7080" i="1"/>
  <c r="M7080" i="1"/>
  <c r="K7081" i="1"/>
  <c r="L7081" i="1"/>
  <c r="M7081" i="1"/>
  <c r="K7082" i="1"/>
  <c r="L7082" i="1"/>
  <c r="M7082" i="1"/>
  <c r="K7083" i="1"/>
  <c r="L7083" i="1"/>
  <c r="M7083" i="1"/>
  <c r="K7084" i="1"/>
  <c r="L7084" i="1"/>
  <c r="M7084" i="1"/>
  <c r="K7085" i="1"/>
  <c r="L7085" i="1"/>
  <c r="M7085" i="1"/>
  <c r="K7086" i="1"/>
  <c r="L7086" i="1"/>
  <c r="M7086" i="1"/>
  <c r="K7087" i="1"/>
  <c r="L7087" i="1"/>
  <c r="M7087" i="1"/>
  <c r="K7088" i="1"/>
  <c r="L7088" i="1"/>
  <c r="M7088" i="1"/>
  <c r="K7089" i="1"/>
  <c r="L7089" i="1"/>
  <c r="M7089" i="1"/>
  <c r="K7090" i="1"/>
  <c r="L7090" i="1"/>
  <c r="M7090" i="1"/>
  <c r="K7091" i="1"/>
  <c r="L7091" i="1"/>
  <c r="M7091" i="1"/>
  <c r="K7092" i="1"/>
  <c r="L7092" i="1"/>
  <c r="M7092" i="1"/>
  <c r="K7093" i="1"/>
  <c r="L7093" i="1"/>
  <c r="M7093" i="1"/>
  <c r="K7094" i="1"/>
  <c r="L7094" i="1"/>
  <c r="M7094" i="1"/>
  <c r="K7095" i="1"/>
  <c r="L7095" i="1"/>
  <c r="M7095" i="1"/>
  <c r="K7096" i="1"/>
  <c r="L7096" i="1"/>
  <c r="M7096" i="1"/>
  <c r="K7097" i="1"/>
  <c r="L7097" i="1"/>
  <c r="M7097" i="1"/>
  <c r="K7098" i="1"/>
  <c r="L7098" i="1"/>
  <c r="M7098" i="1"/>
  <c r="K7099" i="1"/>
  <c r="L7099" i="1"/>
  <c r="M7099" i="1"/>
  <c r="K7100" i="1"/>
  <c r="L7100" i="1"/>
  <c r="M7100" i="1"/>
  <c r="K7101" i="1"/>
  <c r="L7101" i="1"/>
  <c r="M7101" i="1"/>
  <c r="K7102" i="1"/>
  <c r="L7102" i="1"/>
  <c r="M7102" i="1"/>
  <c r="K7103" i="1"/>
  <c r="L7103" i="1"/>
  <c r="M7103" i="1"/>
  <c r="K7104" i="1"/>
  <c r="L7104" i="1"/>
  <c r="M7104" i="1"/>
  <c r="K7105" i="1"/>
  <c r="L7105" i="1"/>
  <c r="M7105" i="1"/>
  <c r="K7106" i="1"/>
  <c r="L7106" i="1"/>
  <c r="M7106" i="1"/>
  <c r="K7107" i="1"/>
  <c r="L7107" i="1"/>
  <c r="M7107" i="1"/>
  <c r="K7108" i="1"/>
  <c r="L7108" i="1"/>
  <c r="M7108" i="1"/>
  <c r="K7109" i="1"/>
  <c r="L7109" i="1"/>
  <c r="M7109" i="1"/>
  <c r="K7110" i="1"/>
  <c r="L7110" i="1"/>
  <c r="M7110" i="1"/>
  <c r="K7111" i="1"/>
  <c r="L7111" i="1"/>
  <c r="M7111" i="1"/>
  <c r="K7112" i="1"/>
  <c r="L7112" i="1"/>
  <c r="M7112" i="1"/>
  <c r="K7113" i="1"/>
  <c r="L7113" i="1"/>
  <c r="M7113" i="1"/>
  <c r="K7114" i="1"/>
  <c r="L7114" i="1"/>
  <c r="M7114" i="1"/>
  <c r="K7115" i="1"/>
  <c r="L7115" i="1"/>
  <c r="M7115" i="1"/>
  <c r="K7116" i="1"/>
  <c r="L7116" i="1"/>
  <c r="M7116" i="1"/>
  <c r="K7117" i="1"/>
  <c r="L7117" i="1"/>
  <c r="M7117" i="1"/>
  <c r="K7118" i="1"/>
  <c r="L7118" i="1"/>
  <c r="M7118" i="1"/>
  <c r="K7119" i="1"/>
  <c r="L7119" i="1"/>
  <c r="M7119" i="1"/>
  <c r="K7120" i="1"/>
  <c r="L7120" i="1"/>
  <c r="M7120" i="1"/>
  <c r="K7121" i="1"/>
  <c r="L7121" i="1"/>
  <c r="M7121" i="1"/>
  <c r="K7122" i="1"/>
  <c r="L7122" i="1"/>
  <c r="M7122" i="1"/>
  <c r="K7123" i="1"/>
  <c r="L7123" i="1"/>
  <c r="M7123" i="1"/>
  <c r="K7124" i="1"/>
  <c r="L7124" i="1"/>
  <c r="M7124" i="1"/>
  <c r="K7125" i="1"/>
  <c r="L7125" i="1"/>
  <c r="M7125" i="1"/>
  <c r="K7126" i="1"/>
  <c r="L7126" i="1"/>
  <c r="M7126" i="1"/>
  <c r="K7127" i="1"/>
  <c r="L7127" i="1"/>
  <c r="M7127" i="1"/>
  <c r="K7128" i="1"/>
  <c r="L7128" i="1"/>
  <c r="M7128" i="1"/>
  <c r="K7129" i="1"/>
  <c r="L7129" i="1"/>
  <c r="M7129" i="1"/>
  <c r="K7130" i="1"/>
  <c r="L7130" i="1"/>
  <c r="M7130" i="1"/>
  <c r="K7131" i="1"/>
  <c r="L7131" i="1"/>
  <c r="M7131" i="1"/>
  <c r="K7132" i="1"/>
  <c r="L7132" i="1"/>
  <c r="M7132" i="1"/>
  <c r="K7133" i="1"/>
  <c r="L7133" i="1"/>
  <c r="M7133" i="1"/>
  <c r="K7134" i="1"/>
  <c r="L7134" i="1"/>
  <c r="M7134" i="1"/>
  <c r="K7135" i="1"/>
  <c r="L7135" i="1"/>
  <c r="M7135" i="1"/>
  <c r="K7136" i="1"/>
  <c r="L7136" i="1"/>
  <c r="M7136" i="1"/>
  <c r="K7137" i="1"/>
  <c r="L7137" i="1"/>
  <c r="M7137" i="1"/>
  <c r="K7138" i="1"/>
  <c r="L7138" i="1"/>
  <c r="M7138" i="1"/>
  <c r="K7139" i="1"/>
  <c r="L7139" i="1"/>
  <c r="M7139" i="1"/>
  <c r="K7140" i="1"/>
  <c r="L7140" i="1"/>
  <c r="M7140" i="1"/>
  <c r="K7141" i="1"/>
  <c r="L7141" i="1"/>
  <c r="M7141" i="1"/>
  <c r="K7142" i="1"/>
  <c r="L7142" i="1"/>
  <c r="M7142" i="1"/>
  <c r="K7143" i="1"/>
  <c r="L7143" i="1"/>
  <c r="M7143" i="1"/>
  <c r="K7144" i="1"/>
  <c r="L7144" i="1"/>
  <c r="M7144" i="1"/>
  <c r="K7145" i="1"/>
  <c r="L7145" i="1"/>
  <c r="M7145" i="1"/>
  <c r="K7146" i="1"/>
  <c r="L7146" i="1"/>
  <c r="M7146" i="1"/>
  <c r="K7147" i="1"/>
  <c r="L7147" i="1"/>
  <c r="M7147" i="1"/>
  <c r="K7148" i="1"/>
  <c r="L7148" i="1"/>
  <c r="M7148" i="1"/>
  <c r="K7149" i="1"/>
  <c r="L7149" i="1"/>
  <c r="M7149" i="1"/>
  <c r="K7150" i="1"/>
  <c r="L7150" i="1"/>
  <c r="M7150" i="1"/>
  <c r="K7151" i="1"/>
  <c r="L7151" i="1"/>
  <c r="M7151" i="1"/>
  <c r="K7152" i="1"/>
  <c r="L7152" i="1"/>
  <c r="M7152" i="1"/>
  <c r="K7153" i="1"/>
  <c r="L7153" i="1"/>
  <c r="M7153" i="1"/>
  <c r="K7154" i="1"/>
  <c r="L7154" i="1"/>
  <c r="M7154" i="1"/>
  <c r="K7155" i="1"/>
  <c r="L7155" i="1"/>
  <c r="M7155" i="1"/>
  <c r="K7156" i="1"/>
  <c r="L7156" i="1"/>
  <c r="M7156" i="1"/>
  <c r="K7157" i="1"/>
  <c r="L7157" i="1"/>
  <c r="M7157" i="1"/>
  <c r="K7158" i="1"/>
  <c r="L7158" i="1"/>
  <c r="M7158" i="1"/>
  <c r="K7159" i="1"/>
  <c r="L7159" i="1"/>
  <c r="M7159" i="1"/>
  <c r="K7160" i="1"/>
  <c r="L7160" i="1"/>
  <c r="M7160" i="1"/>
  <c r="K7161" i="1"/>
  <c r="L7161" i="1"/>
  <c r="M7161" i="1"/>
  <c r="K7162" i="1"/>
  <c r="L7162" i="1"/>
  <c r="M7162" i="1"/>
  <c r="K7163" i="1"/>
  <c r="L7163" i="1"/>
  <c r="M7163" i="1"/>
  <c r="K7164" i="1"/>
  <c r="L7164" i="1"/>
  <c r="M7164" i="1"/>
  <c r="K7165" i="1"/>
  <c r="L7165" i="1"/>
  <c r="M7165" i="1"/>
  <c r="K7166" i="1"/>
  <c r="L7166" i="1"/>
  <c r="M7166" i="1"/>
  <c r="K7167" i="1"/>
  <c r="L7167" i="1"/>
  <c r="M7167" i="1"/>
  <c r="K7168" i="1"/>
  <c r="L7168" i="1"/>
  <c r="M7168" i="1"/>
  <c r="K7169" i="1"/>
  <c r="L7169" i="1"/>
  <c r="M7169" i="1"/>
  <c r="K7170" i="1"/>
  <c r="L7170" i="1"/>
  <c r="M7170" i="1"/>
  <c r="K7171" i="1"/>
  <c r="L7171" i="1"/>
  <c r="M7171" i="1"/>
  <c r="K7172" i="1"/>
  <c r="L7172" i="1"/>
  <c r="M7172" i="1"/>
  <c r="K7173" i="1"/>
  <c r="L7173" i="1"/>
  <c r="M7173" i="1"/>
  <c r="K7174" i="1"/>
  <c r="L7174" i="1"/>
  <c r="M7174" i="1"/>
  <c r="K7175" i="1"/>
  <c r="L7175" i="1"/>
  <c r="M7175" i="1"/>
  <c r="K7176" i="1"/>
  <c r="L7176" i="1"/>
  <c r="M7176" i="1"/>
  <c r="K7177" i="1"/>
  <c r="L7177" i="1"/>
  <c r="M7177" i="1"/>
  <c r="K7178" i="1"/>
  <c r="L7178" i="1"/>
  <c r="M7178" i="1"/>
  <c r="K7179" i="1"/>
  <c r="L7179" i="1"/>
  <c r="M7179" i="1"/>
  <c r="K7180" i="1"/>
  <c r="L7180" i="1"/>
  <c r="M7180" i="1"/>
  <c r="K7181" i="1"/>
  <c r="L7181" i="1"/>
  <c r="M7181" i="1"/>
  <c r="K7182" i="1"/>
  <c r="L7182" i="1"/>
  <c r="M7182" i="1"/>
  <c r="K7183" i="1"/>
  <c r="L7183" i="1"/>
  <c r="M7183" i="1"/>
  <c r="K7184" i="1"/>
  <c r="L7184" i="1"/>
  <c r="M7184" i="1"/>
  <c r="K7185" i="1"/>
  <c r="L7185" i="1"/>
  <c r="M7185" i="1"/>
  <c r="K7186" i="1"/>
  <c r="L7186" i="1"/>
  <c r="M7186" i="1"/>
  <c r="K7187" i="1"/>
  <c r="L7187" i="1"/>
  <c r="M7187" i="1"/>
  <c r="K7188" i="1"/>
  <c r="L7188" i="1"/>
  <c r="M7188" i="1"/>
  <c r="K7189" i="1"/>
  <c r="L7189" i="1"/>
  <c r="M7189" i="1"/>
  <c r="K7190" i="1"/>
  <c r="L7190" i="1"/>
  <c r="M7190" i="1"/>
  <c r="K7191" i="1"/>
  <c r="L7191" i="1"/>
  <c r="M7191" i="1"/>
  <c r="K7192" i="1"/>
  <c r="L7192" i="1"/>
  <c r="M7192" i="1"/>
  <c r="K7193" i="1"/>
  <c r="L7193" i="1"/>
  <c r="M7193" i="1"/>
  <c r="K7194" i="1"/>
  <c r="L7194" i="1"/>
  <c r="M7194" i="1"/>
  <c r="K7195" i="1"/>
  <c r="L7195" i="1"/>
  <c r="M7195" i="1"/>
  <c r="K7196" i="1"/>
  <c r="L7196" i="1"/>
  <c r="M7196" i="1"/>
  <c r="K7197" i="1"/>
  <c r="L7197" i="1"/>
  <c r="M7197" i="1"/>
  <c r="K7198" i="1"/>
  <c r="L7198" i="1"/>
  <c r="M7198" i="1"/>
  <c r="K7199" i="1"/>
  <c r="L7199" i="1"/>
  <c r="M7199" i="1"/>
  <c r="K7200" i="1"/>
  <c r="L7200" i="1"/>
  <c r="M7200" i="1"/>
  <c r="K7201" i="1"/>
  <c r="L7201" i="1"/>
  <c r="M7201" i="1"/>
  <c r="K7202" i="1"/>
  <c r="L7202" i="1"/>
  <c r="M7202" i="1"/>
  <c r="K7203" i="1"/>
  <c r="L7203" i="1"/>
  <c r="M7203" i="1"/>
  <c r="K7204" i="1"/>
  <c r="L7204" i="1"/>
  <c r="M7204" i="1"/>
  <c r="K7205" i="1"/>
  <c r="L7205" i="1"/>
  <c r="M7205" i="1"/>
  <c r="K7206" i="1"/>
  <c r="L7206" i="1"/>
  <c r="M7206" i="1"/>
  <c r="K7207" i="1"/>
  <c r="L7207" i="1"/>
  <c r="M7207" i="1"/>
  <c r="K7208" i="1"/>
  <c r="L7208" i="1"/>
  <c r="M7208" i="1"/>
  <c r="K7209" i="1"/>
  <c r="L7209" i="1"/>
  <c r="M7209" i="1"/>
  <c r="K7210" i="1"/>
  <c r="L7210" i="1"/>
  <c r="M7210" i="1"/>
  <c r="K7211" i="1"/>
  <c r="L7211" i="1"/>
  <c r="M7211" i="1"/>
  <c r="K7212" i="1"/>
  <c r="L7212" i="1"/>
  <c r="M7212" i="1"/>
  <c r="K7213" i="1"/>
  <c r="L7213" i="1"/>
  <c r="M7213" i="1"/>
  <c r="K7214" i="1"/>
  <c r="L7214" i="1"/>
  <c r="M7214" i="1"/>
  <c r="K7215" i="1"/>
  <c r="L7215" i="1"/>
  <c r="M7215" i="1"/>
  <c r="K7216" i="1"/>
  <c r="L7216" i="1"/>
  <c r="M7216" i="1"/>
  <c r="K7217" i="1"/>
  <c r="L7217" i="1"/>
  <c r="M7217" i="1"/>
  <c r="K7218" i="1"/>
  <c r="L7218" i="1"/>
  <c r="M7218" i="1"/>
  <c r="K7219" i="1"/>
  <c r="L7219" i="1"/>
  <c r="M7219" i="1"/>
  <c r="K7220" i="1"/>
  <c r="L7220" i="1"/>
  <c r="M7220" i="1"/>
  <c r="K7221" i="1"/>
  <c r="L7221" i="1"/>
  <c r="M7221" i="1"/>
  <c r="K7222" i="1"/>
  <c r="L7222" i="1"/>
  <c r="M7222" i="1"/>
  <c r="K7223" i="1"/>
  <c r="L7223" i="1"/>
  <c r="M7223" i="1"/>
  <c r="K7224" i="1"/>
  <c r="L7224" i="1"/>
  <c r="M7224" i="1"/>
  <c r="K7225" i="1"/>
  <c r="L7225" i="1"/>
  <c r="M7225" i="1"/>
  <c r="K7226" i="1"/>
  <c r="L7226" i="1"/>
  <c r="M7226" i="1"/>
  <c r="K7227" i="1"/>
  <c r="L7227" i="1"/>
  <c r="M7227" i="1"/>
  <c r="K7228" i="1"/>
  <c r="L7228" i="1"/>
  <c r="M7228" i="1"/>
  <c r="K7229" i="1"/>
  <c r="L7229" i="1"/>
  <c r="M7229" i="1"/>
  <c r="K7230" i="1"/>
  <c r="L7230" i="1"/>
  <c r="M7230" i="1"/>
  <c r="K7231" i="1"/>
  <c r="L7231" i="1"/>
  <c r="M7231" i="1"/>
  <c r="K7232" i="1"/>
  <c r="L7232" i="1"/>
  <c r="M7232" i="1"/>
  <c r="K7233" i="1"/>
  <c r="L7233" i="1"/>
  <c r="M7233" i="1"/>
  <c r="K7234" i="1"/>
  <c r="L7234" i="1"/>
  <c r="M7234" i="1"/>
  <c r="K7235" i="1"/>
  <c r="L7235" i="1"/>
  <c r="M7235" i="1"/>
  <c r="K7236" i="1"/>
  <c r="L7236" i="1"/>
  <c r="M7236" i="1"/>
  <c r="K7237" i="1"/>
  <c r="L7237" i="1"/>
  <c r="M7237" i="1"/>
  <c r="K7238" i="1"/>
  <c r="L7238" i="1"/>
  <c r="M7238" i="1"/>
  <c r="K7239" i="1"/>
  <c r="L7239" i="1"/>
  <c r="M7239" i="1"/>
  <c r="K7240" i="1"/>
  <c r="L7240" i="1"/>
  <c r="M7240" i="1"/>
  <c r="K7241" i="1"/>
  <c r="L7241" i="1"/>
  <c r="M7241" i="1"/>
  <c r="K7242" i="1"/>
  <c r="L7242" i="1"/>
  <c r="M7242" i="1"/>
  <c r="K7243" i="1"/>
  <c r="L7243" i="1"/>
  <c r="M7243" i="1"/>
  <c r="K7244" i="1"/>
  <c r="L7244" i="1"/>
  <c r="M7244" i="1"/>
  <c r="K7245" i="1"/>
  <c r="L7245" i="1"/>
  <c r="M7245" i="1"/>
  <c r="K7246" i="1"/>
  <c r="L7246" i="1"/>
  <c r="M7246" i="1"/>
  <c r="K7247" i="1"/>
  <c r="L7247" i="1"/>
  <c r="M7247" i="1"/>
  <c r="K7248" i="1"/>
  <c r="L7248" i="1"/>
  <c r="M7248" i="1"/>
  <c r="K7249" i="1"/>
  <c r="L7249" i="1"/>
  <c r="M7249" i="1"/>
  <c r="K7250" i="1"/>
  <c r="L7250" i="1"/>
  <c r="M7250" i="1"/>
  <c r="K7251" i="1"/>
  <c r="L7251" i="1"/>
  <c r="M7251" i="1"/>
  <c r="K7252" i="1"/>
  <c r="L7252" i="1"/>
  <c r="M7252" i="1"/>
  <c r="K7253" i="1"/>
  <c r="L7253" i="1"/>
  <c r="M7253" i="1"/>
  <c r="K7254" i="1"/>
  <c r="L7254" i="1"/>
  <c r="M7254" i="1"/>
  <c r="K7255" i="1"/>
  <c r="L7255" i="1"/>
  <c r="M7255" i="1"/>
  <c r="K7256" i="1"/>
  <c r="L7256" i="1"/>
  <c r="M7256" i="1"/>
  <c r="K7257" i="1"/>
  <c r="L7257" i="1"/>
  <c r="M7257" i="1"/>
  <c r="K7258" i="1"/>
  <c r="L7258" i="1"/>
  <c r="M7258" i="1"/>
  <c r="K7259" i="1"/>
  <c r="L7259" i="1"/>
  <c r="M7259" i="1"/>
  <c r="K7260" i="1"/>
  <c r="L7260" i="1"/>
  <c r="M7260" i="1"/>
  <c r="K7261" i="1"/>
  <c r="L7261" i="1"/>
  <c r="M7261" i="1"/>
  <c r="K7262" i="1"/>
  <c r="L7262" i="1"/>
  <c r="M7262" i="1"/>
  <c r="K7263" i="1"/>
  <c r="L7263" i="1"/>
  <c r="M7263" i="1"/>
  <c r="K7264" i="1"/>
  <c r="L7264" i="1"/>
  <c r="M7264" i="1"/>
  <c r="K7265" i="1"/>
  <c r="L7265" i="1"/>
  <c r="M7265" i="1"/>
  <c r="K7266" i="1"/>
  <c r="L7266" i="1"/>
  <c r="M7266" i="1"/>
  <c r="K7267" i="1"/>
  <c r="L7267" i="1"/>
  <c r="M7267" i="1"/>
  <c r="K7268" i="1"/>
  <c r="L7268" i="1"/>
  <c r="M7268" i="1"/>
  <c r="K7269" i="1"/>
  <c r="L7269" i="1"/>
  <c r="M7269" i="1"/>
  <c r="K7270" i="1"/>
  <c r="L7270" i="1"/>
  <c r="M7270" i="1"/>
  <c r="K7271" i="1"/>
  <c r="L7271" i="1"/>
  <c r="M7271" i="1"/>
  <c r="K7272" i="1"/>
  <c r="L7272" i="1"/>
  <c r="M7272" i="1"/>
  <c r="K7273" i="1"/>
  <c r="L7273" i="1"/>
  <c r="M7273" i="1"/>
  <c r="K7274" i="1"/>
  <c r="L7274" i="1"/>
  <c r="M7274" i="1"/>
  <c r="K7275" i="1"/>
  <c r="L7275" i="1"/>
  <c r="M7275" i="1"/>
  <c r="K7276" i="1"/>
  <c r="L7276" i="1"/>
  <c r="M7276" i="1"/>
  <c r="K7277" i="1"/>
  <c r="L7277" i="1"/>
  <c r="M7277" i="1"/>
  <c r="K7278" i="1"/>
  <c r="L7278" i="1"/>
  <c r="M7278" i="1"/>
  <c r="K7279" i="1"/>
  <c r="L7279" i="1"/>
  <c r="M7279" i="1"/>
  <c r="K7280" i="1"/>
  <c r="L7280" i="1"/>
  <c r="M7280" i="1"/>
  <c r="K7281" i="1"/>
  <c r="L7281" i="1"/>
  <c r="M7281" i="1"/>
  <c r="K7311" i="1"/>
  <c r="L7311" i="1"/>
  <c r="M7311" i="1"/>
  <c r="K7312" i="1"/>
  <c r="L7312" i="1"/>
  <c r="M7312" i="1"/>
  <c r="K7313" i="1"/>
  <c r="L7313" i="1"/>
  <c r="M7313" i="1"/>
  <c r="K7314" i="1"/>
  <c r="L7314" i="1"/>
  <c r="M7314" i="1"/>
  <c r="K7315" i="1"/>
  <c r="L7315" i="1"/>
  <c r="M7315" i="1"/>
  <c r="K7316" i="1"/>
  <c r="L7316" i="1"/>
  <c r="M7316" i="1"/>
  <c r="K7317" i="1"/>
  <c r="L7317" i="1"/>
  <c r="M7317" i="1"/>
  <c r="K7318" i="1"/>
  <c r="L7318" i="1"/>
  <c r="M7318" i="1"/>
  <c r="K7319" i="1"/>
  <c r="L7319" i="1"/>
  <c r="M7319" i="1"/>
  <c r="K7320" i="1"/>
  <c r="L7320" i="1"/>
  <c r="M7320" i="1"/>
  <c r="K7321" i="1"/>
  <c r="L7321" i="1"/>
  <c r="M7321" i="1"/>
  <c r="K7322" i="1"/>
  <c r="L7322" i="1"/>
  <c r="M7322" i="1"/>
  <c r="K7323" i="1"/>
  <c r="L7323" i="1"/>
  <c r="M7323" i="1"/>
  <c r="K7324" i="1"/>
  <c r="L7324" i="1"/>
  <c r="M7324" i="1"/>
  <c r="K7325" i="1"/>
  <c r="L7325" i="1"/>
  <c r="M7325" i="1"/>
  <c r="K7326" i="1"/>
  <c r="L7326" i="1"/>
  <c r="M7326" i="1"/>
  <c r="K7327" i="1"/>
  <c r="L7327" i="1"/>
  <c r="M7327" i="1"/>
  <c r="K7328" i="1"/>
  <c r="L7328" i="1"/>
  <c r="M7328" i="1"/>
  <c r="K7329" i="1"/>
  <c r="L7329" i="1"/>
  <c r="M7329" i="1"/>
  <c r="K7330" i="1"/>
  <c r="L7330" i="1"/>
  <c r="M7330" i="1"/>
  <c r="K7331" i="1"/>
  <c r="L7331" i="1"/>
  <c r="M7331" i="1"/>
  <c r="K7332" i="1"/>
  <c r="L7332" i="1"/>
  <c r="M7332" i="1"/>
  <c r="K7333" i="1"/>
  <c r="L7333" i="1"/>
  <c r="M7333" i="1"/>
  <c r="K7334" i="1"/>
  <c r="L7334" i="1"/>
  <c r="M7334" i="1"/>
  <c r="K7335" i="1"/>
  <c r="L7335" i="1"/>
  <c r="M7335" i="1"/>
  <c r="K7336" i="1"/>
  <c r="L7336" i="1"/>
  <c r="M7336" i="1"/>
  <c r="K7337" i="1"/>
  <c r="L7337" i="1"/>
  <c r="M7337" i="1"/>
  <c r="K7338" i="1"/>
  <c r="L7338" i="1"/>
  <c r="M7338" i="1"/>
  <c r="K7339" i="1"/>
  <c r="L7339" i="1"/>
  <c r="M7339" i="1"/>
  <c r="K7340" i="1"/>
  <c r="L7340" i="1"/>
  <c r="M7340" i="1"/>
  <c r="K7341" i="1"/>
  <c r="L7341" i="1"/>
  <c r="M7341" i="1"/>
  <c r="K7342" i="1"/>
  <c r="L7342" i="1"/>
  <c r="M7342" i="1"/>
  <c r="K7343" i="1"/>
  <c r="L7343" i="1"/>
  <c r="M7343" i="1"/>
  <c r="K7344" i="1"/>
  <c r="L7344" i="1"/>
  <c r="M7344" i="1"/>
  <c r="K7345" i="1"/>
  <c r="L7345" i="1"/>
  <c r="M7345" i="1"/>
  <c r="K7346" i="1"/>
  <c r="L7346" i="1"/>
  <c r="M7346" i="1"/>
  <c r="K7347" i="1"/>
  <c r="L7347" i="1"/>
  <c r="M7347" i="1"/>
  <c r="K7348" i="1"/>
  <c r="L7348" i="1"/>
  <c r="M7348" i="1"/>
  <c r="K7349" i="1"/>
  <c r="L7349" i="1"/>
  <c r="M7349" i="1"/>
  <c r="K7350" i="1"/>
  <c r="L7350" i="1"/>
  <c r="M7350" i="1"/>
  <c r="K7351" i="1"/>
  <c r="L7351" i="1"/>
  <c r="M7351" i="1"/>
  <c r="K7352" i="1"/>
  <c r="L7352" i="1"/>
  <c r="M7352" i="1"/>
  <c r="K7353" i="1"/>
  <c r="L7353" i="1"/>
  <c r="M7353" i="1"/>
  <c r="K7354" i="1"/>
  <c r="L7354" i="1"/>
  <c r="M7354" i="1"/>
  <c r="K7355" i="1"/>
  <c r="L7355" i="1"/>
  <c r="M7355" i="1"/>
  <c r="K7356" i="1"/>
  <c r="L7356" i="1"/>
  <c r="M7356" i="1"/>
  <c r="K7357" i="1"/>
  <c r="L7357" i="1"/>
  <c r="M7357" i="1"/>
  <c r="K7358" i="1"/>
  <c r="L7358" i="1"/>
  <c r="M7358" i="1"/>
  <c r="K7359" i="1"/>
  <c r="L7359" i="1"/>
  <c r="M7359" i="1"/>
  <c r="K7360" i="1"/>
  <c r="L7360" i="1"/>
  <c r="M7360" i="1"/>
  <c r="K7361" i="1"/>
  <c r="L7361" i="1"/>
  <c r="M7361" i="1"/>
  <c r="K7362" i="1"/>
  <c r="L7362" i="1"/>
  <c r="M7362" i="1"/>
  <c r="K7363" i="1"/>
  <c r="L7363" i="1"/>
  <c r="M7363" i="1"/>
  <c r="K7364" i="1"/>
  <c r="L7364" i="1"/>
  <c r="M7364" i="1"/>
  <c r="K7365" i="1"/>
  <c r="L7365" i="1"/>
  <c r="M7365" i="1"/>
  <c r="K7366" i="1"/>
  <c r="L7366" i="1"/>
  <c r="M7366" i="1"/>
  <c r="K7400" i="1"/>
  <c r="L7400" i="1"/>
  <c r="M7400" i="1"/>
  <c r="K7401" i="1"/>
  <c r="L7401" i="1"/>
  <c r="M7401" i="1"/>
  <c r="K7402" i="1"/>
  <c r="L7402" i="1"/>
  <c r="M7402" i="1"/>
  <c r="K7403" i="1"/>
  <c r="L7403" i="1"/>
  <c r="M7403" i="1"/>
  <c r="K7404" i="1"/>
  <c r="L7404" i="1"/>
  <c r="M7404" i="1"/>
  <c r="K7405" i="1"/>
  <c r="L7405" i="1"/>
  <c r="M7405" i="1"/>
  <c r="K7406" i="1"/>
  <c r="L7406" i="1"/>
  <c r="M7406" i="1"/>
  <c r="K7407" i="1"/>
  <c r="L7407" i="1"/>
  <c r="M7407" i="1"/>
  <c r="K7408" i="1"/>
  <c r="L7408" i="1"/>
  <c r="M7408" i="1"/>
  <c r="K7409" i="1"/>
  <c r="L7409" i="1"/>
  <c r="M7409" i="1"/>
  <c r="K7410" i="1"/>
  <c r="L7410" i="1"/>
  <c r="M7410" i="1"/>
  <c r="K7411" i="1"/>
  <c r="L7411" i="1"/>
  <c r="M7411" i="1"/>
  <c r="K7412" i="1"/>
  <c r="L7412" i="1"/>
  <c r="M7412" i="1"/>
  <c r="K7413" i="1"/>
  <c r="L7413" i="1"/>
  <c r="M7413" i="1"/>
  <c r="K7414" i="1"/>
  <c r="L7414" i="1"/>
  <c r="M7414" i="1"/>
  <c r="K7415" i="1"/>
  <c r="L7415" i="1"/>
  <c r="M7415" i="1"/>
  <c r="K7416" i="1"/>
  <c r="L7416" i="1"/>
  <c r="M7416" i="1"/>
  <c r="K7417" i="1"/>
  <c r="L7417" i="1"/>
  <c r="M7417" i="1"/>
  <c r="K7418" i="1"/>
  <c r="L7418" i="1"/>
  <c r="M7418" i="1"/>
  <c r="K7419" i="1"/>
  <c r="L7419" i="1"/>
  <c r="M7419" i="1"/>
  <c r="K7420" i="1"/>
  <c r="L7420" i="1"/>
  <c r="M7420" i="1"/>
  <c r="K7421" i="1"/>
  <c r="L7421" i="1"/>
  <c r="M7421" i="1"/>
  <c r="K7422" i="1"/>
  <c r="L7422" i="1"/>
  <c r="M7422" i="1"/>
  <c r="K7423" i="1"/>
  <c r="L7423" i="1"/>
  <c r="M7423" i="1"/>
  <c r="K7424" i="1"/>
  <c r="L7424" i="1"/>
  <c r="M7424" i="1"/>
  <c r="K7425" i="1"/>
  <c r="L7425" i="1"/>
  <c r="M7425" i="1"/>
  <c r="K7426" i="1"/>
  <c r="L7426" i="1"/>
  <c r="M7426" i="1"/>
  <c r="K7427" i="1"/>
  <c r="L7427" i="1"/>
  <c r="M7427" i="1"/>
  <c r="K7428" i="1"/>
  <c r="L7428" i="1"/>
  <c r="M7428" i="1"/>
  <c r="K7429" i="1"/>
  <c r="L7429" i="1"/>
  <c r="M7429" i="1"/>
  <c r="K7430" i="1"/>
  <c r="L7430" i="1"/>
  <c r="M7430" i="1"/>
  <c r="K7431" i="1"/>
  <c r="L7431" i="1"/>
  <c r="M7431" i="1"/>
  <c r="K7432" i="1"/>
  <c r="L7432" i="1"/>
  <c r="M7432" i="1"/>
  <c r="K7433" i="1"/>
  <c r="L7433" i="1"/>
  <c r="M7433" i="1"/>
  <c r="K7434" i="1"/>
  <c r="L7434" i="1"/>
  <c r="M7434" i="1"/>
  <c r="K7435" i="1"/>
  <c r="L7435" i="1"/>
  <c r="M7435" i="1"/>
  <c r="K7436" i="1"/>
  <c r="L7436" i="1"/>
  <c r="M7436" i="1"/>
  <c r="K7437" i="1"/>
  <c r="L7437" i="1"/>
  <c r="M7437" i="1"/>
  <c r="K7438" i="1"/>
  <c r="L7438" i="1"/>
  <c r="M7438" i="1"/>
  <c r="K7439" i="1"/>
  <c r="L7439" i="1"/>
  <c r="M7439" i="1"/>
  <c r="K7440" i="1"/>
  <c r="L7440" i="1"/>
  <c r="M7440" i="1"/>
  <c r="K7441" i="1"/>
  <c r="L7441" i="1"/>
  <c r="M7441" i="1"/>
  <c r="K7442" i="1"/>
  <c r="L7442" i="1"/>
  <c r="M7442" i="1"/>
  <c r="K7443" i="1"/>
  <c r="L7443" i="1"/>
  <c r="M7443" i="1"/>
  <c r="K7444" i="1"/>
  <c r="L7444" i="1"/>
  <c r="M7444" i="1"/>
  <c r="K7445" i="1"/>
  <c r="L7445" i="1"/>
  <c r="M7445" i="1"/>
  <c r="K7446" i="1"/>
  <c r="L7446" i="1"/>
  <c r="M7446" i="1"/>
  <c r="K7447" i="1"/>
  <c r="L7447" i="1"/>
  <c r="M7447" i="1"/>
  <c r="K7448" i="1"/>
  <c r="L7448" i="1"/>
  <c r="M7448" i="1"/>
  <c r="K7449" i="1"/>
  <c r="L7449" i="1"/>
  <c r="M7449" i="1"/>
  <c r="K7450" i="1"/>
  <c r="L7450" i="1"/>
  <c r="M7450" i="1"/>
  <c r="K7451" i="1"/>
  <c r="L7451" i="1"/>
  <c r="M7451" i="1"/>
  <c r="K7452" i="1"/>
  <c r="L7452" i="1"/>
  <c r="M7452" i="1"/>
  <c r="K7453" i="1"/>
  <c r="L7453" i="1"/>
  <c r="M7453" i="1"/>
  <c r="K7454" i="1"/>
  <c r="L7454" i="1"/>
  <c r="M7454" i="1"/>
  <c r="K7455" i="1"/>
  <c r="L7455" i="1"/>
  <c r="M7455" i="1"/>
  <c r="K7456" i="1"/>
  <c r="L7456" i="1"/>
  <c r="M7456" i="1"/>
  <c r="K7457" i="1"/>
  <c r="L7457" i="1"/>
  <c r="M7457" i="1"/>
  <c r="K7458" i="1"/>
  <c r="L7458" i="1"/>
  <c r="M7458" i="1"/>
  <c r="K7459" i="1"/>
  <c r="L7459" i="1"/>
  <c r="M7459" i="1"/>
  <c r="K7460" i="1"/>
  <c r="L7460" i="1"/>
  <c r="M7460" i="1"/>
  <c r="K7461" i="1"/>
  <c r="L7461" i="1"/>
  <c r="M7461" i="1"/>
  <c r="K7462" i="1"/>
  <c r="L7462" i="1"/>
  <c r="M7462" i="1"/>
  <c r="K7463" i="1"/>
  <c r="L7463" i="1"/>
  <c r="M7463" i="1"/>
  <c r="K7464" i="1"/>
  <c r="L7464" i="1"/>
  <c r="M7464" i="1"/>
  <c r="K7465" i="1"/>
  <c r="L7465" i="1"/>
  <c r="M7465" i="1"/>
  <c r="K7466" i="1"/>
  <c r="L7466" i="1"/>
  <c r="M7466" i="1"/>
  <c r="K7467" i="1"/>
  <c r="L7467" i="1"/>
  <c r="M7467" i="1"/>
  <c r="K7468" i="1"/>
  <c r="L7468" i="1"/>
  <c r="M7468" i="1"/>
  <c r="K7469" i="1"/>
  <c r="L7469" i="1"/>
  <c r="M7469" i="1"/>
  <c r="K7470" i="1"/>
  <c r="L7470" i="1"/>
  <c r="M7470" i="1"/>
  <c r="K7471" i="1"/>
  <c r="L7471" i="1"/>
  <c r="M7471" i="1"/>
  <c r="K7472" i="1"/>
  <c r="L7472" i="1"/>
  <c r="M7472" i="1"/>
  <c r="K7473" i="1"/>
  <c r="L7473" i="1"/>
  <c r="M7473" i="1"/>
  <c r="K7474" i="1"/>
  <c r="L7474" i="1"/>
  <c r="M7474" i="1"/>
  <c r="K7475" i="1"/>
  <c r="L7475" i="1"/>
  <c r="M7475" i="1"/>
  <c r="K7476" i="1"/>
  <c r="L7476" i="1"/>
  <c r="M7476" i="1"/>
  <c r="K7477" i="1"/>
  <c r="L7477" i="1"/>
  <c r="M7477" i="1"/>
  <c r="K7478" i="1"/>
  <c r="L7478" i="1"/>
  <c r="M7478" i="1"/>
  <c r="K6841" i="1"/>
  <c r="L6841" i="1"/>
  <c r="M6841" i="1"/>
  <c r="K6842" i="1"/>
  <c r="L6842" i="1"/>
  <c r="M6842" i="1"/>
  <c r="K6843" i="1"/>
  <c r="L6843" i="1"/>
  <c r="M6843" i="1"/>
  <c r="K6844" i="1"/>
  <c r="L6844" i="1"/>
  <c r="M6844" i="1"/>
  <c r="K6845" i="1"/>
  <c r="L6845" i="1"/>
  <c r="M6845" i="1"/>
  <c r="K6846" i="1"/>
  <c r="L6846" i="1"/>
  <c r="M6846" i="1"/>
  <c r="K6847" i="1"/>
  <c r="L6847" i="1"/>
  <c r="M6847" i="1"/>
  <c r="K6848" i="1"/>
  <c r="L6848" i="1"/>
  <c r="M6848" i="1"/>
  <c r="K6849" i="1"/>
  <c r="L6849" i="1"/>
  <c r="M6849" i="1"/>
  <c r="K6850" i="1"/>
  <c r="L6850" i="1"/>
  <c r="M6850" i="1"/>
  <c r="K6851" i="1"/>
  <c r="L6851" i="1"/>
  <c r="M6851" i="1"/>
  <c r="K6852" i="1"/>
  <c r="L6852" i="1"/>
  <c r="M6852" i="1"/>
  <c r="K6853" i="1"/>
  <c r="L6853" i="1"/>
  <c r="M6853" i="1"/>
  <c r="K6854" i="1"/>
  <c r="L6854" i="1"/>
  <c r="M6854" i="1"/>
  <c r="K6855" i="1"/>
  <c r="L6855" i="1"/>
  <c r="M6855" i="1"/>
  <c r="K6856" i="1"/>
  <c r="L6856" i="1"/>
  <c r="M6856" i="1"/>
  <c r="K6857" i="1"/>
  <c r="L6857" i="1"/>
  <c r="M6857" i="1"/>
  <c r="K6858" i="1"/>
  <c r="L6858" i="1"/>
  <c r="M6858" i="1"/>
  <c r="K6859" i="1"/>
  <c r="L6859" i="1"/>
  <c r="M6859" i="1"/>
  <c r="K6860" i="1"/>
  <c r="L6860" i="1"/>
  <c r="M6860" i="1"/>
  <c r="K6861" i="1"/>
  <c r="L6861" i="1"/>
  <c r="M6861" i="1"/>
  <c r="K6862" i="1"/>
  <c r="L6862" i="1"/>
  <c r="M6862" i="1"/>
  <c r="K6863" i="1"/>
  <c r="L6863" i="1"/>
  <c r="M6863" i="1"/>
  <c r="K6864" i="1"/>
  <c r="L6864" i="1"/>
  <c r="M6864" i="1"/>
  <c r="K6865" i="1"/>
  <c r="L6865" i="1"/>
  <c r="M6865" i="1"/>
  <c r="K7662" i="1"/>
  <c r="L7662" i="1"/>
  <c r="K7663" i="1"/>
  <c r="L7663" i="1"/>
  <c r="K7664" i="1"/>
  <c r="L7664" i="1"/>
  <c r="K7665" i="1"/>
  <c r="L7665" i="1"/>
  <c r="K7666" i="1"/>
  <c r="L7666" i="1"/>
  <c r="K7667" i="1"/>
  <c r="L7667" i="1"/>
  <c r="K7668" i="1"/>
  <c r="L7668" i="1"/>
  <c r="K7669" i="1"/>
  <c r="L7669" i="1"/>
  <c r="K7670" i="1"/>
  <c r="L7670" i="1"/>
  <c r="K7671" i="1"/>
  <c r="L7671" i="1"/>
  <c r="K7672" i="1"/>
  <c r="L7672" i="1"/>
  <c r="K7673" i="1"/>
  <c r="L7673" i="1"/>
  <c r="K7674" i="1"/>
  <c r="L7674" i="1"/>
  <c r="K7675" i="1"/>
  <c r="L7675" i="1"/>
  <c r="K7676" i="1"/>
  <c r="L7676" i="1"/>
  <c r="K7677" i="1"/>
  <c r="L7677" i="1"/>
  <c r="K7678" i="1"/>
  <c r="L7678" i="1"/>
  <c r="K7679" i="1"/>
  <c r="L7679" i="1"/>
  <c r="K7680" i="1"/>
  <c r="L7680" i="1"/>
  <c r="K7681" i="1"/>
  <c r="L7681" i="1"/>
  <c r="K7682" i="1"/>
  <c r="L7682" i="1"/>
  <c r="K7683" i="1"/>
  <c r="L7683" i="1"/>
  <c r="K7684" i="1"/>
  <c r="L7684" i="1"/>
  <c r="K7685" i="1"/>
  <c r="L7685" i="1"/>
  <c r="K7686" i="1"/>
  <c r="L7686" i="1"/>
  <c r="K7687" i="1"/>
  <c r="L7687" i="1"/>
  <c r="K7688" i="1"/>
  <c r="L7688" i="1"/>
  <c r="K7689" i="1"/>
  <c r="L7689" i="1"/>
  <c r="K7690" i="1"/>
  <c r="L7690" i="1"/>
  <c r="K7691" i="1"/>
  <c r="L7691" i="1"/>
  <c r="K7692" i="1"/>
  <c r="L7692" i="1"/>
  <c r="K7693" i="1"/>
  <c r="L7693" i="1"/>
  <c r="K7694" i="1"/>
  <c r="L7694" i="1"/>
  <c r="K7695" i="1"/>
  <c r="L7695" i="1"/>
  <c r="K7696" i="1"/>
  <c r="L7696" i="1"/>
  <c r="K7697" i="1"/>
  <c r="L7697" i="1"/>
  <c r="K7698" i="1"/>
  <c r="L7698" i="1"/>
  <c r="K7699" i="1"/>
  <c r="L7699" i="1"/>
  <c r="K7700" i="1"/>
  <c r="L7700" i="1"/>
  <c r="K7624" i="1"/>
  <c r="L7624" i="1"/>
  <c r="K7625" i="1"/>
  <c r="L7625" i="1"/>
  <c r="K7626" i="1"/>
  <c r="L7626" i="1"/>
  <c r="K7627" i="1"/>
  <c r="L7627" i="1"/>
  <c r="K7628" i="1"/>
  <c r="L7628" i="1"/>
  <c r="K7629" i="1"/>
  <c r="L7629" i="1"/>
  <c r="K7630" i="1"/>
  <c r="L7630" i="1"/>
  <c r="K7631" i="1"/>
  <c r="L7631" i="1"/>
  <c r="K7632" i="1"/>
  <c r="L7632" i="1"/>
  <c r="K7633" i="1"/>
  <c r="L7633" i="1"/>
  <c r="K7634" i="1"/>
  <c r="L7634" i="1"/>
  <c r="K7635" i="1"/>
  <c r="L7635" i="1"/>
  <c r="K7636" i="1"/>
  <c r="L7636" i="1"/>
  <c r="K7637" i="1"/>
  <c r="L7637" i="1"/>
  <c r="K7638" i="1"/>
  <c r="L7638" i="1"/>
  <c r="K7639" i="1"/>
  <c r="L7639" i="1"/>
  <c r="K7640" i="1"/>
  <c r="L7640" i="1"/>
  <c r="K7641" i="1"/>
  <c r="L7641" i="1"/>
  <c r="K7642" i="1"/>
  <c r="L7642" i="1"/>
  <c r="K7643" i="1"/>
  <c r="L7643" i="1"/>
  <c r="K7644" i="1"/>
  <c r="L7644" i="1"/>
  <c r="K7645" i="1"/>
  <c r="L7645" i="1"/>
  <c r="K7646" i="1"/>
  <c r="L7646" i="1"/>
  <c r="K7647" i="1"/>
  <c r="L7647" i="1"/>
  <c r="K7648" i="1"/>
  <c r="L7648" i="1"/>
  <c r="K7649" i="1"/>
  <c r="L7649" i="1"/>
  <c r="K7650" i="1"/>
  <c r="L7650" i="1"/>
  <c r="K7651" i="1"/>
  <c r="L7651" i="1"/>
  <c r="K7652" i="1"/>
  <c r="L7652" i="1"/>
  <c r="K7653" i="1"/>
  <c r="L7653" i="1"/>
  <c r="K7654" i="1"/>
  <c r="L7654" i="1"/>
  <c r="K7655" i="1"/>
  <c r="L7655" i="1"/>
  <c r="K7656" i="1"/>
  <c r="L7656" i="1"/>
  <c r="K7657" i="1"/>
  <c r="L7657" i="1"/>
  <c r="K7658" i="1"/>
  <c r="L7658" i="1"/>
  <c r="K7659" i="1"/>
  <c r="L7659" i="1"/>
  <c r="K7660" i="1"/>
  <c r="L7660" i="1"/>
  <c r="K7661" i="1"/>
  <c r="L7661" i="1"/>
  <c r="K7010" i="1"/>
  <c r="L7010" i="1"/>
  <c r="M7010" i="1"/>
  <c r="K7011" i="1"/>
  <c r="L7011" i="1"/>
  <c r="M7011" i="1"/>
  <c r="K7012" i="1"/>
  <c r="L7012" i="1"/>
  <c r="M7012" i="1"/>
  <c r="K7013" i="1"/>
  <c r="L7013" i="1"/>
  <c r="M7013" i="1"/>
  <c r="K7014" i="1"/>
  <c r="L7014" i="1"/>
  <c r="M7014" i="1"/>
  <c r="K7015" i="1"/>
  <c r="L7015" i="1"/>
  <c r="M7015" i="1"/>
  <c r="K7016" i="1"/>
  <c r="L7016" i="1"/>
  <c r="M7016" i="1"/>
  <c r="K7017" i="1"/>
  <c r="L7017" i="1"/>
  <c r="M7017" i="1"/>
  <c r="K7018" i="1"/>
  <c r="L7018" i="1"/>
  <c r="M7018" i="1"/>
  <c r="K7019" i="1"/>
  <c r="L7019" i="1"/>
  <c r="M7019" i="1"/>
  <c r="K7020" i="1"/>
  <c r="L7020" i="1"/>
  <c r="M7020" i="1"/>
  <c r="K7021" i="1"/>
  <c r="L7021" i="1"/>
  <c r="M7021" i="1"/>
  <c r="K7022" i="1"/>
  <c r="L7022" i="1"/>
  <c r="M7022" i="1"/>
  <c r="K7023" i="1"/>
  <c r="L7023" i="1"/>
  <c r="M7023" i="1"/>
  <c r="K7024" i="1"/>
  <c r="L7024" i="1"/>
  <c r="M7024" i="1"/>
  <c r="K7025" i="1"/>
  <c r="L7025" i="1"/>
  <c r="M7025" i="1"/>
  <c r="K7026" i="1"/>
  <c r="L7026" i="1"/>
  <c r="M7026" i="1"/>
  <c r="K7027" i="1"/>
  <c r="L7027" i="1"/>
  <c r="M7027" i="1"/>
  <c r="K7028" i="1"/>
  <c r="L7028" i="1"/>
  <c r="M7028" i="1"/>
  <c r="K7029" i="1"/>
  <c r="L7029" i="1"/>
  <c r="M7029" i="1"/>
  <c r="K7030" i="1"/>
  <c r="L7030" i="1"/>
  <c r="M7030" i="1"/>
  <c r="K7031" i="1"/>
  <c r="L7031" i="1"/>
  <c r="M7031" i="1"/>
  <c r="K7032" i="1"/>
  <c r="L7032" i="1"/>
  <c r="M7032" i="1"/>
  <c r="K7033" i="1"/>
  <c r="L7033" i="1"/>
  <c r="M7033" i="1"/>
  <c r="K7034" i="1"/>
  <c r="L7034" i="1"/>
  <c r="M7034" i="1"/>
  <c r="K7035" i="1"/>
  <c r="L7035" i="1"/>
  <c r="M7035" i="1"/>
  <c r="K7036" i="1"/>
  <c r="L7036" i="1"/>
  <c r="M7036" i="1"/>
  <c r="K7037" i="1"/>
  <c r="L7037" i="1"/>
  <c r="M7037" i="1"/>
  <c r="K7038" i="1"/>
  <c r="L7038" i="1"/>
  <c r="M7038" i="1"/>
  <c r="K7039" i="1"/>
  <c r="L7039" i="1"/>
  <c r="M7039" i="1"/>
  <c r="K7040" i="1"/>
  <c r="L7040" i="1"/>
  <c r="M7040" i="1"/>
  <c r="K7041" i="1"/>
  <c r="L7041" i="1"/>
  <c r="M7041" i="1"/>
  <c r="K7042" i="1"/>
  <c r="L7042" i="1"/>
  <c r="M7042" i="1"/>
  <c r="K7043" i="1"/>
  <c r="L7043" i="1"/>
  <c r="M7043" i="1"/>
  <c r="K7044" i="1"/>
  <c r="L7044" i="1"/>
  <c r="M7044" i="1"/>
  <c r="K7045" i="1"/>
  <c r="L7045" i="1"/>
  <c r="M7045" i="1"/>
  <c r="K7046" i="1"/>
  <c r="L7046" i="1"/>
  <c r="M7046" i="1"/>
  <c r="K7047" i="1"/>
  <c r="L7047" i="1"/>
  <c r="M7047" i="1"/>
  <c r="K7048" i="1"/>
  <c r="L7048" i="1"/>
  <c r="M7048" i="1"/>
  <c r="K7049" i="1"/>
  <c r="L7049" i="1"/>
  <c r="M7049" i="1"/>
  <c r="K7050" i="1"/>
  <c r="L7050" i="1"/>
  <c r="M7050" i="1"/>
  <c r="K7051" i="1"/>
  <c r="L7051" i="1"/>
  <c r="M7051" i="1"/>
  <c r="K7052" i="1"/>
  <c r="L7052" i="1"/>
  <c r="M7052" i="1"/>
  <c r="K7053" i="1"/>
  <c r="L7053" i="1"/>
  <c r="M7053" i="1"/>
  <c r="K7054" i="1"/>
  <c r="L7054" i="1"/>
  <c r="M7054" i="1"/>
  <c r="K7055" i="1"/>
  <c r="L7055" i="1"/>
  <c r="M7055" i="1"/>
  <c r="K7056" i="1"/>
  <c r="L7056" i="1"/>
  <c r="M7056" i="1"/>
  <c r="K7057" i="1"/>
  <c r="L7057" i="1"/>
  <c r="M7057" i="1"/>
  <c r="K7058" i="1"/>
  <c r="L7058" i="1"/>
  <c r="M7058" i="1"/>
  <c r="K7059" i="1"/>
  <c r="L7059" i="1"/>
  <c r="M7059" i="1"/>
  <c r="K7060" i="1"/>
  <c r="L7060" i="1"/>
  <c r="M7060" i="1"/>
  <c r="K7061" i="1"/>
  <c r="L7061" i="1"/>
  <c r="M7061" i="1"/>
  <c r="K7062" i="1"/>
  <c r="L7062" i="1"/>
  <c r="M7062" i="1"/>
  <c r="K7063" i="1"/>
  <c r="L7063" i="1"/>
  <c r="M7063" i="1"/>
  <c r="K7064" i="1"/>
  <c r="L7064" i="1"/>
  <c r="M7064" i="1"/>
  <c r="K7065" i="1"/>
  <c r="L7065" i="1"/>
  <c r="M7065" i="1"/>
  <c r="K7066" i="1"/>
  <c r="L7066" i="1"/>
  <c r="M7066" i="1"/>
  <c r="K7067" i="1"/>
  <c r="L7067" i="1"/>
  <c r="M7067" i="1"/>
  <c r="K7283" i="1"/>
  <c r="L7283" i="1"/>
  <c r="M7283" i="1"/>
  <c r="K7284" i="1"/>
  <c r="L7284" i="1"/>
  <c r="M7284" i="1"/>
  <c r="K7285" i="1"/>
  <c r="L7285" i="1"/>
  <c r="M7285" i="1"/>
  <c r="K7286" i="1"/>
  <c r="L7286" i="1"/>
  <c r="M7286" i="1"/>
  <c r="K7287" i="1"/>
  <c r="L7287" i="1"/>
  <c r="M7287" i="1"/>
  <c r="K7288" i="1"/>
  <c r="L7288" i="1"/>
  <c r="M7288" i="1"/>
  <c r="K7289" i="1"/>
  <c r="L7289" i="1"/>
  <c r="M7289" i="1"/>
  <c r="K7290" i="1"/>
  <c r="L7290" i="1"/>
  <c r="M7290" i="1"/>
  <c r="K7291" i="1"/>
  <c r="L7291" i="1"/>
  <c r="M7291" i="1"/>
  <c r="K7292" i="1"/>
  <c r="L7292" i="1"/>
  <c r="M7292" i="1"/>
  <c r="K7293" i="1"/>
  <c r="L7293" i="1"/>
  <c r="M7293" i="1"/>
  <c r="K7294" i="1"/>
  <c r="L7294" i="1"/>
  <c r="M7294" i="1"/>
  <c r="K7295" i="1"/>
  <c r="L7295" i="1"/>
  <c r="M7295" i="1"/>
  <c r="K7296" i="1"/>
  <c r="L7296" i="1"/>
  <c r="M7296" i="1"/>
  <c r="K7297" i="1"/>
  <c r="L7297" i="1"/>
  <c r="M7297" i="1"/>
  <c r="K7298" i="1"/>
  <c r="L7298" i="1"/>
  <c r="M7298" i="1"/>
  <c r="K7299" i="1"/>
  <c r="L7299" i="1"/>
  <c r="M7299" i="1"/>
  <c r="K7300" i="1"/>
  <c r="L7300" i="1"/>
  <c r="M7300" i="1"/>
  <c r="K7301" i="1"/>
  <c r="L7301" i="1"/>
  <c r="M7301" i="1"/>
  <c r="K7302" i="1"/>
  <c r="L7302" i="1"/>
  <c r="M7302" i="1"/>
  <c r="K7303" i="1"/>
  <c r="L7303" i="1"/>
  <c r="M7303" i="1"/>
  <c r="K7304" i="1"/>
  <c r="L7304" i="1"/>
  <c r="M7304" i="1"/>
  <c r="K7305" i="1"/>
  <c r="L7305" i="1"/>
  <c r="M7305" i="1"/>
  <c r="K7306" i="1"/>
  <c r="L7306" i="1"/>
  <c r="M7306" i="1"/>
  <c r="K7307" i="1"/>
  <c r="L7307" i="1"/>
  <c r="M7307" i="1"/>
  <c r="K7308" i="1"/>
  <c r="L7308" i="1"/>
  <c r="M7308" i="1"/>
  <c r="K7309" i="1"/>
  <c r="L7309" i="1"/>
  <c r="M7309" i="1"/>
  <c r="K7310" i="1"/>
  <c r="L7310" i="1"/>
  <c r="M7310" i="1"/>
  <c r="K7367" i="1"/>
  <c r="L7367" i="1"/>
  <c r="M7367" i="1"/>
  <c r="K7368" i="1"/>
  <c r="L7368" i="1"/>
  <c r="M7368" i="1"/>
  <c r="K7369" i="1"/>
  <c r="L7369" i="1"/>
  <c r="M7369" i="1"/>
  <c r="K7370" i="1"/>
  <c r="L7370" i="1"/>
  <c r="M7370" i="1"/>
  <c r="K7371" i="1"/>
  <c r="L7371" i="1"/>
  <c r="M7371" i="1"/>
  <c r="K7372" i="1"/>
  <c r="L7372" i="1"/>
  <c r="M7372" i="1"/>
  <c r="K7373" i="1"/>
  <c r="L7373" i="1"/>
  <c r="M7373" i="1"/>
  <c r="K7374" i="1"/>
  <c r="L7374" i="1"/>
  <c r="M7374" i="1"/>
  <c r="K7375" i="1"/>
  <c r="L7375" i="1"/>
  <c r="M7375" i="1"/>
  <c r="K7376" i="1"/>
  <c r="L7376" i="1"/>
  <c r="M7376" i="1"/>
  <c r="K7377" i="1"/>
  <c r="L7377" i="1"/>
  <c r="M7377" i="1"/>
  <c r="K7378" i="1"/>
  <c r="L7378" i="1"/>
  <c r="M7378" i="1"/>
  <c r="K7379" i="1"/>
  <c r="L7379" i="1"/>
  <c r="M7379" i="1"/>
  <c r="K7380" i="1"/>
  <c r="L7380" i="1"/>
  <c r="M7380" i="1"/>
  <c r="K7381" i="1"/>
  <c r="L7381" i="1"/>
  <c r="M7381" i="1"/>
  <c r="K7382" i="1"/>
  <c r="L7382" i="1"/>
  <c r="M7382" i="1"/>
  <c r="K7383" i="1"/>
  <c r="L7383" i="1"/>
  <c r="M7383" i="1"/>
  <c r="K7384" i="1"/>
  <c r="L7384" i="1"/>
  <c r="M7384" i="1"/>
  <c r="K7385" i="1"/>
  <c r="L7385" i="1"/>
  <c r="M7385" i="1"/>
  <c r="K7386" i="1"/>
  <c r="L7386" i="1"/>
  <c r="M7386" i="1"/>
  <c r="K7387" i="1"/>
  <c r="L7387" i="1"/>
  <c r="M7387" i="1"/>
  <c r="K7388" i="1"/>
  <c r="L7388" i="1"/>
  <c r="M7388" i="1"/>
  <c r="K7389" i="1"/>
  <c r="L7389" i="1"/>
  <c r="M7389" i="1"/>
  <c r="K7390" i="1"/>
  <c r="L7390" i="1"/>
  <c r="M7390" i="1"/>
  <c r="K7391" i="1"/>
  <c r="L7391" i="1"/>
  <c r="M7391" i="1"/>
  <c r="K7392" i="1"/>
  <c r="L7392" i="1"/>
  <c r="M7392" i="1"/>
  <c r="K7393" i="1"/>
  <c r="L7393" i="1"/>
  <c r="M7393" i="1"/>
  <c r="K7394" i="1"/>
  <c r="L7394" i="1"/>
  <c r="M7394" i="1"/>
  <c r="K7395" i="1"/>
  <c r="L7395" i="1"/>
  <c r="M7395" i="1"/>
  <c r="K7396" i="1"/>
  <c r="L7396" i="1"/>
  <c r="M7396" i="1"/>
  <c r="K7397" i="1"/>
  <c r="L7397" i="1"/>
  <c r="M7397" i="1"/>
  <c r="K7398" i="1"/>
  <c r="L7398" i="1"/>
  <c r="M7398" i="1"/>
  <c r="K7399" i="1"/>
  <c r="L7399" i="1"/>
  <c r="M7399" i="1"/>
  <c r="K7479" i="1"/>
  <c r="L7479" i="1"/>
  <c r="M7479" i="1"/>
  <c r="K7480" i="1"/>
  <c r="L7480" i="1"/>
  <c r="M7480" i="1"/>
  <c r="K7481" i="1"/>
  <c r="L7481" i="1"/>
  <c r="M7481" i="1"/>
  <c r="K7482" i="1"/>
  <c r="L7482" i="1"/>
  <c r="M7482" i="1"/>
  <c r="K7483" i="1"/>
  <c r="L7483" i="1"/>
  <c r="M7483" i="1"/>
  <c r="K7484" i="1"/>
  <c r="L7484" i="1"/>
  <c r="M7484" i="1"/>
  <c r="K7485" i="1"/>
  <c r="L7485" i="1"/>
  <c r="M7485" i="1"/>
  <c r="K7486" i="1"/>
  <c r="L7486" i="1"/>
  <c r="M7486" i="1"/>
  <c r="K7487" i="1"/>
  <c r="L7487" i="1"/>
  <c r="M7487" i="1"/>
  <c r="K7488" i="1"/>
  <c r="L7488" i="1"/>
  <c r="M7488" i="1"/>
  <c r="K7489" i="1"/>
  <c r="L7489" i="1"/>
  <c r="M7489" i="1"/>
  <c r="K7490" i="1"/>
  <c r="L7490" i="1"/>
  <c r="M7490" i="1"/>
  <c r="K7491" i="1"/>
  <c r="L7491" i="1"/>
  <c r="M7491" i="1"/>
  <c r="K7492" i="1"/>
  <c r="L7492" i="1"/>
  <c r="M7492" i="1"/>
  <c r="K7493" i="1"/>
  <c r="L7493" i="1"/>
  <c r="M7493" i="1"/>
  <c r="K7701" i="1"/>
  <c r="L7701" i="1"/>
  <c r="M7701" i="1"/>
  <c r="K7702" i="1"/>
  <c r="L7702" i="1"/>
  <c r="M7702" i="1"/>
  <c r="K7703" i="1"/>
  <c r="L7703" i="1"/>
  <c r="M7703" i="1"/>
  <c r="K7704" i="1"/>
  <c r="L7704" i="1"/>
  <c r="M7704" i="1"/>
  <c r="K7705" i="1"/>
  <c r="L7705" i="1"/>
  <c r="M7705" i="1"/>
  <c r="K7706" i="1"/>
  <c r="L7706" i="1"/>
  <c r="M7706" i="1"/>
  <c r="K7707" i="1"/>
  <c r="L7707" i="1"/>
  <c r="M7707" i="1"/>
  <c r="K7708" i="1"/>
  <c r="L7708" i="1"/>
  <c r="M7708" i="1"/>
  <c r="K7709" i="1"/>
  <c r="L7709" i="1"/>
  <c r="M7709" i="1"/>
  <c r="K7710" i="1"/>
  <c r="L7710" i="1"/>
  <c r="M7710" i="1"/>
  <c r="K7711" i="1"/>
  <c r="L7711" i="1"/>
  <c r="M7711" i="1"/>
  <c r="K7712" i="1"/>
  <c r="L7712" i="1"/>
  <c r="M7712" i="1"/>
  <c r="K7713" i="1"/>
  <c r="L7713" i="1"/>
  <c r="M7713" i="1"/>
  <c r="K7714" i="1"/>
  <c r="L7714" i="1"/>
  <c r="M7714" i="1"/>
  <c r="K7715" i="1"/>
  <c r="L7715" i="1"/>
  <c r="M7715" i="1"/>
  <c r="K7716" i="1"/>
  <c r="L7716" i="1"/>
  <c r="M7716" i="1"/>
  <c r="K7717" i="1"/>
  <c r="L7717" i="1"/>
  <c r="M7717" i="1"/>
  <c r="K7718" i="1"/>
  <c r="L7718" i="1"/>
  <c r="M7718" i="1"/>
  <c r="K7719" i="1"/>
  <c r="L7719" i="1"/>
  <c r="M7719" i="1"/>
  <c r="K7720" i="1"/>
  <c r="L7720" i="1"/>
  <c r="M7720" i="1"/>
  <c r="K7721" i="1"/>
  <c r="L7721" i="1"/>
  <c r="M7721" i="1"/>
  <c r="K7722" i="1"/>
  <c r="L7722" i="1"/>
  <c r="M7722" i="1"/>
  <c r="K7723" i="1"/>
  <c r="L7723" i="1"/>
  <c r="M7723" i="1"/>
  <c r="K7724" i="1"/>
  <c r="L7724" i="1"/>
  <c r="M7724" i="1"/>
  <c r="K7725" i="1"/>
  <c r="L7725" i="1"/>
  <c r="M7725" i="1"/>
  <c r="K7726" i="1"/>
  <c r="L7726" i="1"/>
  <c r="M7726" i="1"/>
  <c r="K7727" i="1"/>
  <c r="L7727" i="1"/>
  <c r="M7727" i="1"/>
  <c r="K7728" i="1"/>
  <c r="L7728" i="1"/>
  <c r="M7728" i="1"/>
  <c r="K7729" i="1"/>
  <c r="L7729" i="1"/>
  <c r="M7729" i="1"/>
  <c r="K8140" i="1"/>
  <c r="L8140" i="1"/>
  <c r="K8141" i="1"/>
  <c r="L8141" i="1"/>
  <c r="K8142" i="1"/>
  <c r="L8142" i="1"/>
  <c r="K8143" i="1"/>
  <c r="L8143" i="1"/>
  <c r="K8144" i="1"/>
  <c r="L8144" i="1"/>
  <c r="K8145" i="1"/>
  <c r="L8145" i="1"/>
  <c r="K8146" i="1"/>
  <c r="L8146" i="1"/>
  <c r="K8147" i="1"/>
  <c r="L8147" i="1"/>
  <c r="K8148" i="1"/>
  <c r="L8148" i="1"/>
  <c r="K8149" i="1"/>
  <c r="L8149" i="1"/>
  <c r="K8150" i="1"/>
  <c r="L8150" i="1"/>
  <c r="K8151" i="1"/>
  <c r="L8151" i="1"/>
  <c r="K8152" i="1"/>
  <c r="L8152" i="1"/>
  <c r="K8153" i="1"/>
  <c r="L8153" i="1"/>
  <c r="K8154" i="1"/>
  <c r="L8154" i="1"/>
  <c r="K8155" i="1"/>
  <c r="L8155" i="1"/>
  <c r="K8156" i="1"/>
  <c r="L8156" i="1"/>
  <c r="K8157" i="1"/>
  <c r="L8157" i="1"/>
  <c r="K8158" i="1"/>
  <c r="L8158" i="1"/>
  <c r="K8159" i="1"/>
  <c r="L8159" i="1"/>
  <c r="K8160" i="1"/>
  <c r="L8160" i="1"/>
  <c r="K8161" i="1"/>
  <c r="L8161" i="1"/>
  <c r="K8162" i="1"/>
  <c r="L8162" i="1"/>
  <c r="K8163" i="1"/>
  <c r="L8163" i="1"/>
  <c r="K8164" i="1"/>
  <c r="L8164" i="1"/>
  <c r="K8165" i="1"/>
  <c r="L8165" i="1"/>
  <c r="K8166" i="1"/>
  <c r="L8166" i="1"/>
  <c r="K8167" i="1"/>
  <c r="L8167" i="1"/>
  <c r="K8168" i="1"/>
  <c r="L8168" i="1"/>
  <c r="K8169" i="1"/>
  <c r="L8169" i="1"/>
  <c r="K8170" i="1"/>
  <c r="L8170" i="1"/>
  <c r="K8171" i="1"/>
  <c r="L8171" i="1"/>
  <c r="K8172" i="1"/>
  <c r="L8172" i="1"/>
  <c r="K8173" i="1"/>
  <c r="L8173" i="1"/>
  <c r="K8174" i="1"/>
  <c r="L8174" i="1"/>
  <c r="K8175" i="1"/>
  <c r="L8175" i="1"/>
  <c r="K8176" i="1"/>
  <c r="L8176" i="1"/>
  <c r="K8177" i="1"/>
  <c r="L8177" i="1"/>
  <c r="K8178" i="1"/>
  <c r="L8178" i="1"/>
  <c r="K8179" i="1"/>
  <c r="L8179" i="1"/>
  <c r="K8180" i="1"/>
  <c r="L8180" i="1"/>
  <c r="K8181" i="1"/>
  <c r="L8181" i="1"/>
  <c r="K8182" i="1"/>
  <c r="L8182" i="1"/>
  <c r="K8183" i="1"/>
  <c r="L8183" i="1"/>
  <c r="K8184" i="1"/>
  <c r="L8184" i="1"/>
  <c r="K8185" i="1"/>
  <c r="L8185" i="1"/>
  <c r="K8186" i="1"/>
  <c r="L8186" i="1"/>
  <c r="K8187" i="1"/>
  <c r="L8187" i="1"/>
  <c r="K8188" i="1"/>
  <c r="L8188" i="1"/>
  <c r="K8189" i="1"/>
  <c r="L8189" i="1"/>
  <c r="K8190" i="1"/>
  <c r="L8190" i="1"/>
  <c r="K8191" i="1"/>
  <c r="L8191" i="1"/>
  <c r="K8192" i="1"/>
  <c r="L8192" i="1"/>
  <c r="K8193" i="1"/>
  <c r="L8193" i="1"/>
  <c r="K8194" i="1"/>
  <c r="L8194" i="1"/>
  <c r="K8195" i="1"/>
  <c r="L8195" i="1"/>
  <c r="K8196" i="1"/>
  <c r="L8196" i="1"/>
  <c r="K8197" i="1"/>
  <c r="L8197" i="1"/>
  <c r="K8198" i="1"/>
  <c r="L8198" i="1"/>
  <c r="K8199" i="1"/>
  <c r="L8199" i="1"/>
  <c r="K8200" i="1"/>
  <c r="L8200" i="1"/>
  <c r="K8112" i="1"/>
  <c r="L8112" i="1"/>
  <c r="K8113" i="1"/>
  <c r="L8113" i="1"/>
  <c r="K8114" i="1"/>
  <c r="L8114" i="1"/>
  <c r="K8115" i="1"/>
  <c r="L8115" i="1"/>
  <c r="K8116" i="1"/>
  <c r="L8116" i="1"/>
  <c r="K8117" i="1"/>
  <c r="L8117" i="1"/>
  <c r="K8118" i="1"/>
  <c r="L8118" i="1"/>
  <c r="K8119" i="1"/>
  <c r="L8119" i="1"/>
  <c r="K8120" i="1"/>
  <c r="L8120" i="1"/>
  <c r="K8121" i="1"/>
  <c r="L8121" i="1"/>
  <c r="K8122" i="1"/>
  <c r="L8122" i="1"/>
  <c r="K8123" i="1"/>
  <c r="L8123" i="1"/>
  <c r="K8124" i="1"/>
  <c r="L8124" i="1"/>
  <c r="K8125" i="1"/>
  <c r="L8125" i="1"/>
  <c r="K8126" i="1"/>
  <c r="L8126" i="1"/>
  <c r="K8127" i="1"/>
  <c r="L8127" i="1"/>
  <c r="K8128" i="1"/>
  <c r="L8128" i="1"/>
  <c r="K8129" i="1"/>
  <c r="L8129" i="1"/>
  <c r="K8130" i="1"/>
  <c r="L8130" i="1"/>
  <c r="K8131" i="1"/>
  <c r="L8131" i="1"/>
  <c r="K8132" i="1"/>
  <c r="L8132" i="1"/>
  <c r="K8133" i="1"/>
  <c r="L8133" i="1"/>
  <c r="K8134" i="1"/>
  <c r="L8134" i="1"/>
  <c r="K8135" i="1"/>
  <c r="L8135" i="1"/>
  <c r="K8136" i="1"/>
  <c r="L8136" i="1"/>
  <c r="K8137" i="1"/>
  <c r="L8137" i="1"/>
  <c r="K8138" i="1"/>
  <c r="L8138" i="1"/>
  <c r="K8139" i="1"/>
  <c r="L8139" i="1"/>
  <c r="K7750" i="1"/>
  <c r="L7750" i="1"/>
  <c r="M7750" i="1"/>
  <c r="K7751" i="1"/>
  <c r="L7751" i="1"/>
  <c r="M7751" i="1"/>
  <c r="K7752" i="1"/>
  <c r="L7752" i="1"/>
  <c r="M7752" i="1"/>
  <c r="K7753" i="1"/>
  <c r="L7753" i="1"/>
  <c r="M7753" i="1"/>
  <c r="K7754" i="1"/>
  <c r="L7754" i="1"/>
  <c r="M7754" i="1"/>
  <c r="K7755" i="1"/>
  <c r="L7755" i="1"/>
  <c r="M7755" i="1"/>
  <c r="K7756" i="1"/>
  <c r="L7756" i="1"/>
  <c r="M7756" i="1"/>
  <c r="K7757" i="1"/>
  <c r="L7757" i="1"/>
  <c r="M7757" i="1"/>
  <c r="K7758" i="1"/>
  <c r="L7758" i="1"/>
  <c r="M7758" i="1"/>
  <c r="K7759" i="1"/>
  <c r="L7759" i="1"/>
  <c r="M7759" i="1"/>
  <c r="K7760" i="1"/>
  <c r="L7760" i="1"/>
  <c r="M7760" i="1"/>
  <c r="K7761" i="1"/>
  <c r="L7761" i="1"/>
  <c r="M7761" i="1"/>
  <c r="K7762" i="1"/>
  <c r="L7762" i="1"/>
  <c r="M7762" i="1"/>
  <c r="K7763" i="1"/>
  <c r="L7763" i="1"/>
  <c r="M7763" i="1"/>
  <c r="K7764" i="1"/>
  <c r="L7764" i="1"/>
  <c r="M7764" i="1"/>
  <c r="K7765" i="1"/>
  <c r="L7765" i="1"/>
  <c r="M7765" i="1"/>
  <c r="K7766" i="1"/>
  <c r="L7766" i="1"/>
  <c r="M7766" i="1"/>
  <c r="K7767" i="1"/>
  <c r="L7767" i="1"/>
  <c r="M7767" i="1"/>
  <c r="K7768" i="1"/>
  <c r="L7768" i="1"/>
  <c r="M7768" i="1"/>
  <c r="K7769" i="1"/>
  <c r="L7769" i="1"/>
  <c r="M7769" i="1"/>
  <c r="K7770" i="1"/>
  <c r="L7770" i="1"/>
  <c r="M7770" i="1"/>
  <c r="K7771" i="1"/>
  <c r="L7771" i="1"/>
  <c r="M7771" i="1"/>
  <c r="K7772" i="1"/>
  <c r="L7772" i="1"/>
  <c r="M7772" i="1"/>
  <c r="K7773" i="1"/>
  <c r="L7773" i="1"/>
  <c r="M7773" i="1"/>
  <c r="K7774" i="1"/>
  <c r="L7774" i="1"/>
  <c r="M7774" i="1"/>
  <c r="K7775" i="1"/>
  <c r="L7775" i="1"/>
  <c r="M7775" i="1"/>
  <c r="K7776" i="1"/>
  <c r="L7776" i="1"/>
  <c r="M7776" i="1"/>
  <c r="K7798" i="1"/>
  <c r="L7798" i="1"/>
  <c r="M7798" i="1"/>
  <c r="K7799" i="1"/>
  <c r="L7799" i="1"/>
  <c r="M7799" i="1"/>
  <c r="K7800" i="1"/>
  <c r="L7800" i="1"/>
  <c r="M7800" i="1"/>
  <c r="K7801" i="1"/>
  <c r="L7801" i="1"/>
  <c r="M7801" i="1"/>
  <c r="K7802" i="1"/>
  <c r="L7802" i="1"/>
  <c r="M7802" i="1"/>
  <c r="K7803" i="1"/>
  <c r="L7803" i="1"/>
  <c r="M7803" i="1"/>
  <c r="K7804" i="1"/>
  <c r="L7804" i="1"/>
  <c r="M7804" i="1"/>
  <c r="K7805" i="1"/>
  <c r="L7805" i="1"/>
  <c r="M7805" i="1"/>
  <c r="K7806" i="1"/>
  <c r="L7806" i="1"/>
  <c r="M7806" i="1"/>
  <c r="K7807" i="1"/>
  <c r="L7807" i="1"/>
  <c r="M7807" i="1"/>
  <c r="K7808" i="1"/>
  <c r="L7808" i="1"/>
  <c r="M7808" i="1"/>
  <c r="K7809" i="1"/>
  <c r="L7809" i="1"/>
  <c r="M7809" i="1"/>
  <c r="K7810" i="1"/>
  <c r="L7810" i="1"/>
  <c r="M7810" i="1"/>
  <c r="K7811" i="1"/>
  <c r="L7811" i="1"/>
  <c r="M7811" i="1"/>
  <c r="K7812" i="1"/>
  <c r="L7812" i="1"/>
  <c r="M7812" i="1"/>
  <c r="K7813" i="1"/>
  <c r="L7813" i="1"/>
  <c r="M7813" i="1"/>
  <c r="K7814" i="1"/>
  <c r="L7814" i="1"/>
  <c r="M7814" i="1"/>
  <c r="K7815" i="1"/>
  <c r="L7815" i="1"/>
  <c r="M7815" i="1"/>
  <c r="K7816" i="1"/>
  <c r="L7816" i="1"/>
  <c r="M7816" i="1"/>
  <c r="K7817" i="1"/>
  <c r="L7817" i="1"/>
  <c r="M7817" i="1"/>
  <c r="K7818" i="1"/>
  <c r="L7818" i="1"/>
  <c r="M7818" i="1"/>
  <c r="K7819" i="1"/>
  <c r="L7819" i="1"/>
  <c r="M7819" i="1"/>
  <c r="K7820" i="1"/>
  <c r="L7820" i="1"/>
  <c r="M7820" i="1"/>
  <c r="K7821" i="1"/>
  <c r="L7821" i="1"/>
  <c r="M7821" i="1"/>
  <c r="K7822" i="1"/>
  <c r="L7822" i="1"/>
  <c r="M7822" i="1"/>
  <c r="K7823" i="1"/>
  <c r="L7823" i="1"/>
  <c r="M7823" i="1"/>
  <c r="K7824" i="1"/>
  <c r="L7824" i="1"/>
  <c r="M7824" i="1"/>
  <c r="K7825" i="1"/>
  <c r="L7825" i="1"/>
  <c r="M7825" i="1"/>
  <c r="K7826" i="1"/>
  <c r="L7826" i="1"/>
  <c r="M7826" i="1"/>
  <c r="K7827" i="1"/>
  <c r="L7827" i="1"/>
  <c r="M7827" i="1"/>
  <c r="K7828" i="1"/>
  <c r="L7828" i="1"/>
  <c r="M7828" i="1"/>
  <c r="K7829" i="1"/>
  <c r="L7829" i="1"/>
  <c r="M7829" i="1"/>
  <c r="K7830" i="1"/>
  <c r="L7830" i="1"/>
  <c r="M7830" i="1"/>
  <c r="K7831" i="1"/>
  <c r="L7831" i="1"/>
  <c r="M7831" i="1"/>
  <c r="K7832" i="1"/>
  <c r="L7832" i="1"/>
  <c r="M7832" i="1"/>
  <c r="K7833" i="1"/>
  <c r="L7833" i="1"/>
  <c r="M7833" i="1"/>
  <c r="K7834" i="1"/>
  <c r="L7834" i="1"/>
  <c r="M7834" i="1"/>
  <c r="K7835" i="1"/>
  <c r="L7835" i="1"/>
  <c r="M7835" i="1"/>
  <c r="K7836" i="1"/>
  <c r="L7836" i="1"/>
  <c r="M7836" i="1"/>
  <c r="K7837" i="1"/>
  <c r="L7837" i="1"/>
  <c r="M7837" i="1"/>
  <c r="K7838" i="1"/>
  <c r="L7838" i="1"/>
  <c r="M7838" i="1"/>
  <c r="K7839" i="1"/>
  <c r="L7839" i="1"/>
  <c r="M7839" i="1"/>
  <c r="K7840" i="1"/>
  <c r="L7840" i="1"/>
  <c r="M7840" i="1"/>
  <c r="K7841" i="1"/>
  <c r="L7841" i="1"/>
  <c r="M7841" i="1"/>
  <c r="K7842" i="1"/>
  <c r="L7842" i="1"/>
  <c r="M7842" i="1"/>
  <c r="K7843" i="1"/>
  <c r="L7843" i="1"/>
  <c r="M7843" i="1"/>
  <c r="K7844" i="1"/>
  <c r="L7844" i="1"/>
  <c r="M7844" i="1"/>
  <c r="K7845" i="1"/>
  <c r="L7845" i="1"/>
  <c r="M7845" i="1"/>
  <c r="K7846" i="1"/>
  <c r="L7846" i="1"/>
  <c r="M7846" i="1"/>
  <c r="K7847" i="1"/>
  <c r="L7847" i="1"/>
  <c r="M7847" i="1"/>
  <c r="K7848" i="1"/>
  <c r="L7848" i="1"/>
  <c r="M7848" i="1"/>
  <c r="K7849" i="1"/>
  <c r="L7849" i="1"/>
  <c r="M7849" i="1"/>
  <c r="K7850" i="1"/>
  <c r="L7850" i="1"/>
  <c r="M7850" i="1"/>
  <c r="K7851" i="1"/>
  <c r="L7851" i="1"/>
  <c r="M7851" i="1"/>
  <c r="K7852" i="1"/>
  <c r="L7852" i="1"/>
  <c r="M7852" i="1"/>
  <c r="K7853" i="1"/>
  <c r="L7853" i="1"/>
  <c r="M7853" i="1"/>
  <c r="K7854" i="1"/>
  <c r="L7854" i="1"/>
  <c r="M7854" i="1"/>
  <c r="K7855" i="1"/>
  <c r="L7855" i="1"/>
  <c r="M7855" i="1"/>
  <c r="K7856" i="1"/>
  <c r="L7856" i="1"/>
  <c r="M7856" i="1"/>
  <c r="K7857" i="1"/>
  <c r="L7857" i="1"/>
  <c r="M7857" i="1"/>
  <c r="K7858" i="1"/>
  <c r="L7858" i="1"/>
  <c r="M7858" i="1"/>
  <c r="K7859" i="1"/>
  <c r="L7859" i="1"/>
  <c r="M7859" i="1"/>
  <c r="K7860" i="1"/>
  <c r="L7860" i="1"/>
  <c r="M7860" i="1"/>
  <c r="K7861" i="1"/>
  <c r="L7861" i="1"/>
  <c r="M7861" i="1"/>
  <c r="K7862" i="1"/>
  <c r="L7862" i="1"/>
  <c r="M7862" i="1"/>
  <c r="K7863" i="1"/>
  <c r="L7863" i="1"/>
  <c r="M7863" i="1"/>
  <c r="K7864" i="1"/>
  <c r="L7864" i="1"/>
  <c r="M7864" i="1"/>
  <c r="K7865" i="1"/>
  <c r="L7865" i="1"/>
  <c r="M7865" i="1"/>
  <c r="K7866" i="1"/>
  <c r="L7866" i="1"/>
  <c r="M7866" i="1"/>
  <c r="K7867" i="1"/>
  <c r="L7867" i="1"/>
  <c r="M7867" i="1"/>
  <c r="K7868" i="1"/>
  <c r="L7868" i="1"/>
  <c r="M7868" i="1"/>
  <c r="K7869" i="1"/>
  <c r="L7869" i="1"/>
  <c r="M7869" i="1"/>
  <c r="K7870" i="1"/>
  <c r="L7870" i="1"/>
  <c r="M7870" i="1"/>
  <c r="K7871" i="1"/>
  <c r="L7871" i="1"/>
  <c r="M7871" i="1"/>
  <c r="K7872" i="1"/>
  <c r="L7872" i="1"/>
  <c r="M7872" i="1"/>
  <c r="K7873" i="1"/>
  <c r="L7873" i="1"/>
  <c r="M7873" i="1"/>
  <c r="K7874" i="1"/>
  <c r="L7874" i="1"/>
  <c r="M7874" i="1"/>
  <c r="K7875" i="1"/>
  <c r="L7875" i="1"/>
  <c r="M7875" i="1"/>
  <c r="K7876" i="1"/>
  <c r="L7876" i="1"/>
  <c r="M7876" i="1"/>
  <c r="K7877" i="1"/>
  <c r="L7877" i="1"/>
  <c r="M7877" i="1"/>
  <c r="K7878" i="1"/>
  <c r="L7878" i="1"/>
  <c r="M7878" i="1"/>
  <c r="K7879" i="1"/>
  <c r="L7879" i="1"/>
  <c r="M7879" i="1"/>
  <c r="K7880" i="1"/>
  <c r="L7880" i="1"/>
  <c r="M7880" i="1"/>
  <c r="K7881" i="1"/>
  <c r="L7881" i="1"/>
  <c r="M7881" i="1"/>
  <c r="K7882" i="1"/>
  <c r="L7882" i="1"/>
  <c r="M7882" i="1"/>
  <c r="K7883" i="1"/>
  <c r="L7883" i="1"/>
  <c r="M7883" i="1"/>
  <c r="K7884" i="1"/>
  <c r="L7884" i="1"/>
  <c r="M7884" i="1"/>
  <c r="K7885" i="1"/>
  <c r="L7885" i="1"/>
  <c r="M7885" i="1"/>
  <c r="K7886" i="1"/>
  <c r="L7886" i="1"/>
  <c r="M7886" i="1"/>
  <c r="K7887" i="1"/>
  <c r="L7887" i="1"/>
  <c r="M7887" i="1"/>
  <c r="K7888" i="1"/>
  <c r="L7888" i="1"/>
  <c r="M7888" i="1"/>
  <c r="K7889" i="1"/>
  <c r="L7889" i="1"/>
  <c r="M7889" i="1"/>
  <c r="K7890" i="1"/>
  <c r="L7890" i="1"/>
  <c r="M7890" i="1"/>
  <c r="K7891" i="1"/>
  <c r="L7891" i="1"/>
  <c r="M7891" i="1"/>
  <c r="K7892" i="1"/>
  <c r="L7892" i="1"/>
  <c r="M7892" i="1"/>
  <c r="K7893" i="1"/>
  <c r="L7893" i="1"/>
  <c r="M7893" i="1"/>
  <c r="K7894" i="1"/>
  <c r="L7894" i="1"/>
  <c r="M7894" i="1"/>
  <c r="K7895" i="1"/>
  <c r="L7895" i="1"/>
  <c r="M7895" i="1"/>
  <c r="K7896" i="1"/>
  <c r="L7896" i="1"/>
  <c r="M7896" i="1"/>
  <c r="K7897" i="1"/>
  <c r="L7897" i="1"/>
  <c r="M7897" i="1"/>
  <c r="K7898" i="1"/>
  <c r="L7898" i="1"/>
  <c r="M7898" i="1"/>
  <c r="K7899" i="1"/>
  <c r="L7899" i="1"/>
  <c r="M7899" i="1"/>
  <c r="K7900" i="1"/>
  <c r="L7900" i="1"/>
  <c r="M7900" i="1"/>
  <c r="K7901" i="1"/>
  <c r="L7901" i="1"/>
  <c r="M7901" i="1"/>
  <c r="K7902" i="1"/>
  <c r="L7902" i="1"/>
  <c r="M7902" i="1"/>
  <c r="K7903" i="1"/>
  <c r="L7903" i="1"/>
  <c r="M7903" i="1"/>
  <c r="K7904" i="1"/>
  <c r="L7904" i="1"/>
  <c r="M7904" i="1"/>
  <c r="K7905" i="1"/>
  <c r="L7905" i="1"/>
  <c r="M7905" i="1"/>
  <c r="K7906" i="1"/>
  <c r="L7906" i="1"/>
  <c r="M7906" i="1"/>
  <c r="K7907" i="1"/>
  <c r="L7907" i="1"/>
  <c r="M7907" i="1"/>
  <c r="K7908" i="1"/>
  <c r="L7908" i="1"/>
  <c r="M7908" i="1"/>
  <c r="K7909" i="1"/>
  <c r="L7909" i="1"/>
  <c r="M7909" i="1"/>
  <c r="K7910" i="1"/>
  <c r="L7910" i="1"/>
  <c r="M7910" i="1"/>
  <c r="K7911" i="1"/>
  <c r="L7911" i="1"/>
  <c r="M7911" i="1"/>
  <c r="K7912" i="1"/>
  <c r="L7912" i="1"/>
  <c r="M7912" i="1"/>
  <c r="K7913" i="1"/>
  <c r="L7913" i="1"/>
  <c r="M7913" i="1"/>
  <c r="K7914" i="1"/>
  <c r="L7914" i="1"/>
  <c r="M7914" i="1"/>
  <c r="K7915" i="1"/>
  <c r="L7915" i="1"/>
  <c r="M7915" i="1"/>
  <c r="K7916" i="1"/>
  <c r="L7916" i="1"/>
  <c r="M7916" i="1"/>
  <c r="K7917" i="1"/>
  <c r="L7917" i="1"/>
  <c r="M7917" i="1"/>
  <c r="K7918" i="1"/>
  <c r="L7918" i="1"/>
  <c r="M7918" i="1"/>
  <c r="K7919" i="1"/>
  <c r="L7919" i="1"/>
  <c r="M7919" i="1"/>
  <c r="K7920" i="1"/>
  <c r="L7920" i="1"/>
  <c r="M7920" i="1"/>
  <c r="K7921" i="1"/>
  <c r="L7921" i="1"/>
  <c r="M7921" i="1"/>
  <c r="K7922" i="1"/>
  <c r="L7922" i="1"/>
  <c r="M7922" i="1"/>
  <c r="K7923" i="1"/>
  <c r="L7923" i="1"/>
  <c r="M7923" i="1"/>
  <c r="K7924" i="1"/>
  <c r="L7924" i="1"/>
  <c r="M7924" i="1"/>
  <c r="K7925" i="1"/>
  <c r="L7925" i="1"/>
  <c r="M7925" i="1"/>
  <c r="K7926" i="1"/>
  <c r="L7926" i="1"/>
  <c r="M7926" i="1"/>
  <c r="K7927" i="1"/>
  <c r="L7927" i="1"/>
  <c r="M7927" i="1"/>
  <c r="K7928" i="1"/>
  <c r="L7928" i="1"/>
  <c r="M7928" i="1"/>
  <c r="K7929" i="1"/>
  <c r="L7929" i="1"/>
  <c r="M7929" i="1"/>
  <c r="K7930" i="1"/>
  <c r="L7930" i="1"/>
  <c r="M7930" i="1"/>
  <c r="K7931" i="1"/>
  <c r="L7931" i="1"/>
  <c r="M7931" i="1"/>
  <c r="K7932" i="1"/>
  <c r="L7932" i="1"/>
  <c r="M7932" i="1"/>
  <c r="K7933" i="1"/>
  <c r="L7933" i="1"/>
  <c r="M7933" i="1"/>
  <c r="K7934" i="1"/>
  <c r="L7934" i="1"/>
  <c r="M7934" i="1"/>
  <c r="K7935" i="1"/>
  <c r="L7935" i="1"/>
  <c r="M7935" i="1"/>
  <c r="K7936" i="1"/>
  <c r="L7936" i="1"/>
  <c r="M7936" i="1"/>
  <c r="K7937" i="1"/>
  <c r="L7937" i="1"/>
  <c r="M7937" i="1"/>
  <c r="K7938" i="1"/>
  <c r="L7938" i="1"/>
  <c r="M7938" i="1"/>
  <c r="K7939" i="1"/>
  <c r="L7939" i="1"/>
  <c r="M7939" i="1"/>
  <c r="K7940" i="1"/>
  <c r="L7940" i="1"/>
  <c r="M7940" i="1"/>
  <c r="K7941" i="1"/>
  <c r="L7941" i="1"/>
  <c r="M7941" i="1"/>
  <c r="K7942" i="1"/>
  <c r="L7942" i="1"/>
  <c r="M7942" i="1"/>
  <c r="K7943" i="1"/>
  <c r="L7943" i="1"/>
  <c r="M7943" i="1"/>
  <c r="K7944" i="1"/>
  <c r="L7944" i="1"/>
  <c r="M7944" i="1"/>
  <c r="K7945" i="1"/>
  <c r="L7945" i="1"/>
  <c r="M7945" i="1"/>
  <c r="K7946" i="1"/>
  <c r="L7946" i="1"/>
  <c r="M7946" i="1"/>
  <c r="K7947" i="1"/>
  <c r="L7947" i="1"/>
  <c r="M7947" i="1"/>
  <c r="K7948" i="1"/>
  <c r="L7948" i="1"/>
  <c r="M7948" i="1"/>
  <c r="K7949" i="1"/>
  <c r="L7949" i="1"/>
  <c r="M7949" i="1"/>
  <c r="K7950" i="1"/>
  <c r="L7950" i="1"/>
  <c r="M7950" i="1"/>
  <c r="K7951" i="1"/>
  <c r="L7951" i="1"/>
  <c r="M7951" i="1"/>
  <c r="K7952" i="1"/>
  <c r="L7952" i="1"/>
  <c r="M7952" i="1"/>
  <c r="K7953" i="1"/>
  <c r="L7953" i="1"/>
  <c r="M7953" i="1"/>
  <c r="K7954" i="1"/>
  <c r="L7954" i="1"/>
  <c r="M7954" i="1"/>
  <c r="K7987" i="1"/>
  <c r="L7987" i="1"/>
  <c r="M7987" i="1"/>
  <c r="K7988" i="1"/>
  <c r="L7988" i="1"/>
  <c r="M7988" i="1"/>
  <c r="K7989" i="1"/>
  <c r="L7989" i="1"/>
  <c r="M7989" i="1"/>
  <c r="K7990" i="1"/>
  <c r="L7990" i="1"/>
  <c r="M7990" i="1"/>
  <c r="K7991" i="1"/>
  <c r="L7991" i="1"/>
  <c r="M7991" i="1"/>
  <c r="K7992" i="1"/>
  <c r="L7992" i="1"/>
  <c r="M7992" i="1"/>
  <c r="K7993" i="1"/>
  <c r="L7993" i="1"/>
  <c r="M7993" i="1"/>
  <c r="K7994" i="1"/>
  <c r="L7994" i="1"/>
  <c r="M7994" i="1"/>
  <c r="K7995" i="1"/>
  <c r="L7995" i="1"/>
  <c r="M7995" i="1"/>
  <c r="K7996" i="1"/>
  <c r="L7996" i="1"/>
  <c r="M7996" i="1"/>
  <c r="K7997" i="1"/>
  <c r="L7997" i="1"/>
  <c r="M7997" i="1"/>
  <c r="K7998" i="1"/>
  <c r="L7998" i="1"/>
  <c r="M7998" i="1"/>
  <c r="K7999" i="1"/>
  <c r="L7999" i="1"/>
  <c r="M7999" i="1"/>
  <c r="K8000" i="1"/>
  <c r="L8000" i="1"/>
  <c r="M8000" i="1"/>
  <c r="K8001" i="1"/>
  <c r="L8001" i="1"/>
  <c r="M8001" i="1"/>
  <c r="K8002" i="1"/>
  <c r="L8002" i="1"/>
  <c r="M8002" i="1"/>
  <c r="K8003" i="1"/>
  <c r="L8003" i="1"/>
  <c r="M8003" i="1"/>
  <c r="K8004" i="1"/>
  <c r="L8004" i="1"/>
  <c r="M8004" i="1"/>
  <c r="K8005" i="1"/>
  <c r="L8005" i="1"/>
  <c r="M8005" i="1"/>
  <c r="K8006" i="1"/>
  <c r="L8006" i="1"/>
  <c r="M8006" i="1"/>
  <c r="K8007" i="1"/>
  <c r="L8007" i="1"/>
  <c r="M8007" i="1"/>
  <c r="K8008" i="1"/>
  <c r="L8008" i="1"/>
  <c r="M8008" i="1"/>
  <c r="K8009" i="1"/>
  <c r="L8009" i="1"/>
  <c r="M8009" i="1"/>
  <c r="K8010" i="1"/>
  <c r="L8010" i="1"/>
  <c r="M8010" i="1"/>
  <c r="K8011" i="1"/>
  <c r="L8011" i="1"/>
  <c r="M8011" i="1"/>
  <c r="K8012" i="1"/>
  <c r="L8012" i="1"/>
  <c r="M8012" i="1"/>
  <c r="K8013" i="1"/>
  <c r="L8013" i="1"/>
  <c r="M8013" i="1"/>
  <c r="K8014" i="1"/>
  <c r="L8014" i="1"/>
  <c r="M8014" i="1"/>
  <c r="K8015" i="1"/>
  <c r="L8015" i="1"/>
  <c r="M8015" i="1"/>
  <c r="K8016" i="1"/>
  <c r="L8016" i="1"/>
  <c r="M8016" i="1"/>
  <c r="K8017" i="1"/>
  <c r="L8017" i="1"/>
  <c r="M8017" i="1"/>
  <c r="K8023" i="1"/>
  <c r="L8023" i="1"/>
  <c r="M8023" i="1"/>
  <c r="K8024" i="1"/>
  <c r="L8024" i="1"/>
  <c r="M8024" i="1"/>
  <c r="K8025" i="1"/>
  <c r="L8025" i="1"/>
  <c r="M8025" i="1"/>
  <c r="K8026" i="1"/>
  <c r="L8026" i="1"/>
  <c r="M8026" i="1"/>
  <c r="K8027" i="1"/>
  <c r="L8027" i="1"/>
  <c r="M8027" i="1"/>
  <c r="K8028" i="1"/>
  <c r="L8028" i="1"/>
  <c r="M8028" i="1"/>
  <c r="K8029" i="1"/>
  <c r="L8029" i="1"/>
  <c r="M8029" i="1"/>
  <c r="K8030" i="1"/>
  <c r="L8030" i="1"/>
  <c r="M8030" i="1"/>
  <c r="K8031" i="1"/>
  <c r="L8031" i="1"/>
  <c r="M8031" i="1"/>
  <c r="K8032" i="1"/>
  <c r="L8032" i="1"/>
  <c r="M8032" i="1"/>
  <c r="K8033" i="1"/>
  <c r="L8033" i="1"/>
  <c r="M8033" i="1"/>
  <c r="K8034" i="1"/>
  <c r="L8034" i="1"/>
  <c r="M8034" i="1"/>
  <c r="K8035" i="1"/>
  <c r="L8035" i="1"/>
  <c r="M8035" i="1"/>
  <c r="K8036" i="1"/>
  <c r="L8036" i="1"/>
  <c r="M8036" i="1"/>
  <c r="K8037" i="1"/>
  <c r="L8037" i="1"/>
  <c r="M8037" i="1"/>
  <c r="K8038" i="1"/>
  <c r="L8038" i="1"/>
  <c r="M8038" i="1"/>
  <c r="K8039" i="1"/>
  <c r="L8039" i="1"/>
  <c r="M8039" i="1"/>
  <c r="K8040" i="1"/>
  <c r="L8040" i="1"/>
  <c r="M8040" i="1"/>
  <c r="K8041" i="1"/>
  <c r="L8041" i="1"/>
  <c r="M8041" i="1"/>
  <c r="K8042" i="1"/>
  <c r="L8042" i="1"/>
  <c r="M8042" i="1"/>
  <c r="K8043" i="1"/>
  <c r="L8043" i="1"/>
  <c r="M8043" i="1"/>
  <c r="K8044" i="1"/>
  <c r="L8044" i="1"/>
  <c r="M8044" i="1"/>
  <c r="K8045" i="1"/>
  <c r="L8045" i="1"/>
  <c r="M8045" i="1"/>
  <c r="K8046" i="1"/>
  <c r="L8046" i="1"/>
  <c r="M8046" i="1"/>
  <c r="K8047" i="1"/>
  <c r="L8047" i="1"/>
  <c r="M8047" i="1"/>
  <c r="K8048" i="1"/>
  <c r="L8048" i="1"/>
  <c r="M8048" i="1"/>
  <c r="K8049" i="1"/>
  <c r="L8049" i="1"/>
  <c r="M8049" i="1"/>
  <c r="K8050" i="1"/>
  <c r="L8050" i="1"/>
  <c r="M8050" i="1"/>
  <c r="K8051" i="1"/>
  <c r="L8051" i="1"/>
  <c r="M8051" i="1"/>
  <c r="K8052" i="1"/>
  <c r="L8052" i="1"/>
  <c r="M8052" i="1"/>
  <c r="K8053" i="1"/>
  <c r="L8053" i="1"/>
  <c r="M8053" i="1"/>
  <c r="K8054" i="1"/>
  <c r="L8054" i="1"/>
  <c r="M8054" i="1"/>
  <c r="K8055" i="1"/>
  <c r="L8055" i="1"/>
  <c r="M8055" i="1"/>
  <c r="K8056" i="1"/>
  <c r="L8056" i="1"/>
  <c r="M8056" i="1"/>
  <c r="K8057" i="1"/>
  <c r="L8057" i="1"/>
  <c r="M8057" i="1"/>
  <c r="K8058" i="1"/>
  <c r="L8058" i="1"/>
  <c r="M8058" i="1"/>
  <c r="K8059" i="1"/>
  <c r="L8059" i="1"/>
  <c r="M8059" i="1"/>
  <c r="K8060" i="1"/>
  <c r="L8060" i="1"/>
  <c r="M8060" i="1"/>
  <c r="K8061" i="1"/>
  <c r="L8061" i="1"/>
  <c r="M8061" i="1"/>
  <c r="K8062" i="1"/>
  <c r="L8062" i="1"/>
  <c r="M8062" i="1"/>
  <c r="K8063" i="1"/>
  <c r="L8063" i="1"/>
  <c r="M8063" i="1"/>
  <c r="K8064" i="1"/>
  <c r="L8064" i="1"/>
  <c r="M8064" i="1"/>
  <c r="K8065" i="1"/>
  <c r="L8065" i="1"/>
  <c r="M8065" i="1"/>
  <c r="K8066" i="1"/>
  <c r="L8066" i="1"/>
  <c r="M8066" i="1"/>
  <c r="K8067" i="1"/>
  <c r="L8067" i="1"/>
  <c r="M8067" i="1"/>
  <c r="K8068" i="1"/>
  <c r="L8068" i="1"/>
  <c r="M8068" i="1"/>
  <c r="K8069" i="1"/>
  <c r="L8069" i="1"/>
  <c r="M8069" i="1"/>
  <c r="K8070" i="1"/>
  <c r="L8070" i="1"/>
  <c r="M8070" i="1"/>
  <c r="K8071" i="1"/>
  <c r="L8071" i="1"/>
  <c r="M8071" i="1"/>
  <c r="K4134" i="1"/>
  <c r="L4134" i="1"/>
  <c r="M4134" i="1"/>
  <c r="K8072" i="1"/>
  <c r="L8072" i="1"/>
  <c r="M8072" i="1"/>
  <c r="K8073" i="1"/>
  <c r="L8073" i="1"/>
  <c r="M8073" i="1"/>
  <c r="K8074" i="1"/>
  <c r="L8074" i="1"/>
  <c r="M8074" i="1"/>
  <c r="K8075" i="1"/>
  <c r="L8075" i="1"/>
  <c r="M8075" i="1"/>
  <c r="K8076" i="1"/>
  <c r="L8076" i="1"/>
  <c r="M8076" i="1"/>
  <c r="K8077" i="1"/>
  <c r="L8077" i="1"/>
  <c r="M8077" i="1"/>
  <c r="K8078" i="1"/>
  <c r="L8078" i="1"/>
  <c r="M8078" i="1"/>
  <c r="K8079" i="1"/>
  <c r="L8079" i="1"/>
  <c r="M8079" i="1"/>
  <c r="K8080" i="1"/>
  <c r="L8080" i="1"/>
  <c r="M8080" i="1"/>
  <c r="K8081" i="1"/>
  <c r="L8081" i="1"/>
  <c r="M8081" i="1"/>
  <c r="K8082" i="1"/>
  <c r="L8082" i="1"/>
  <c r="M8082" i="1"/>
  <c r="K8083" i="1"/>
  <c r="L8083" i="1"/>
  <c r="M8083" i="1"/>
  <c r="K8084" i="1"/>
  <c r="L8084" i="1"/>
  <c r="M8084" i="1"/>
  <c r="K8085" i="1"/>
  <c r="L8085" i="1"/>
  <c r="M8085" i="1"/>
  <c r="K8086" i="1"/>
  <c r="L8086" i="1"/>
  <c r="M8086" i="1"/>
  <c r="K8087" i="1"/>
  <c r="L8087" i="1"/>
  <c r="M8087" i="1"/>
  <c r="K8088" i="1"/>
  <c r="L8088" i="1"/>
  <c r="M8088" i="1"/>
  <c r="K8089" i="1"/>
  <c r="L8089" i="1"/>
  <c r="M8089" i="1"/>
  <c r="K8090" i="1"/>
  <c r="L8090" i="1"/>
  <c r="M8090" i="1"/>
  <c r="K8091" i="1"/>
  <c r="L8091" i="1"/>
  <c r="M8091" i="1"/>
  <c r="K8092" i="1"/>
  <c r="L8092" i="1"/>
  <c r="M8092" i="1"/>
  <c r="K7730" i="1"/>
  <c r="L7730" i="1"/>
  <c r="M7730" i="1"/>
  <c r="K7731" i="1"/>
  <c r="L7731" i="1"/>
  <c r="M7731" i="1"/>
  <c r="K7732" i="1"/>
  <c r="L7732" i="1"/>
  <c r="M7732" i="1"/>
  <c r="K7733" i="1"/>
  <c r="L7733" i="1"/>
  <c r="M7733" i="1"/>
  <c r="K7734" i="1"/>
  <c r="L7734" i="1"/>
  <c r="M7734" i="1"/>
  <c r="K7735" i="1"/>
  <c r="L7735" i="1"/>
  <c r="M7735" i="1"/>
  <c r="K7736" i="1"/>
  <c r="L7736" i="1"/>
  <c r="M7736" i="1"/>
  <c r="K7737" i="1"/>
  <c r="L7737" i="1"/>
  <c r="M7737" i="1"/>
  <c r="K7738" i="1"/>
  <c r="L7738" i="1"/>
  <c r="M7738" i="1"/>
  <c r="K7739" i="1"/>
  <c r="L7739" i="1"/>
  <c r="M7739" i="1"/>
  <c r="K7740" i="1"/>
  <c r="L7740" i="1"/>
  <c r="M7740" i="1"/>
  <c r="K7741" i="1"/>
  <c r="L7741" i="1"/>
  <c r="M7741" i="1"/>
  <c r="K7742" i="1"/>
  <c r="L7742" i="1"/>
  <c r="M7742" i="1"/>
  <c r="K7743" i="1"/>
  <c r="L7743" i="1"/>
  <c r="M7743" i="1"/>
  <c r="K7744" i="1"/>
  <c r="L7744" i="1"/>
  <c r="M7744" i="1"/>
  <c r="K7745" i="1"/>
  <c r="L7745" i="1"/>
  <c r="M7745" i="1"/>
  <c r="K7746" i="1"/>
  <c r="L7746" i="1"/>
  <c r="M7746" i="1"/>
  <c r="K7747" i="1"/>
  <c r="L7747" i="1"/>
  <c r="M7747" i="1"/>
  <c r="K7748" i="1"/>
  <c r="L7748" i="1"/>
  <c r="M7748" i="1"/>
  <c r="K7749" i="1"/>
  <c r="L7749" i="1"/>
  <c r="M7749" i="1"/>
  <c r="K8208" i="1"/>
  <c r="L8208" i="1"/>
  <c r="K8209" i="1"/>
  <c r="L8209" i="1"/>
  <c r="K8210" i="1"/>
  <c r="L8210" i="1"/>
  <c r="K8211" i="1"/>
  <c r="L8211" i="1"/>
  <c r="K8212" i="1"/>
  <c r="L8212" i="1"/>
  <c r="K8213" i="1"/>
  <c r="L8213" i="1"/>
  <c r="K8214" i="1"/>
  <c r="L8214" i="1"/>
  <c r="K8215" i="1"/>
  <c r="L8215" i="1"/>
  <c r="K8216" i="1"/>
  <c r="L8216" i="1"/>
  <c r="K8217" i="1"/>
  <c r="L8217" i="1"/>
  <c r="K8218" i="1"/>
  <c r="L8218" i="1"/>
  <c r="K8219" i="1"/>
  <c r="L8219" i="1"/>
  <c r="K8220" i="1"/>
  <c r="L8220" i="1"/>
  <c r="K8221" i="1"/>
  <c r="L8221" i="1"/>
  <c r="K8222" i="1"/>
  <c r="L8222" i="1"/>
  <c r="K8223" i="1"/>
  <c r="L8223" i="1"/>
  <c r="K8224" i="1"/>
  <c r="L8224" i="1"/>
  <c r="K8225" i="1"/>
  <c r="L8225" i="1"/>
  <c r="K8226" i="1"/>
  <c r="L8226" i="1"/>
  <c r="K8227" i="1"/>
  <c r="L8227" i="1"/>
  <c r="K8228" i="1"/>
  <c r="L8228" i="1"/>
  <c r="K8229" i="1"/>
  <c r="L8229" i="1"/>
  <c r="K8230" i="1"/>
  <c r="L8230" i="1"/>
  <c r="K8231" i="1"/>
  <c r="L8231" i="1"/>
  <c r="K8201" i="1"/>
  <c r="L8201" i="1"/>
  <c r="K8202" i="1"/>
  <c r="L8202" i="1"/>
  <c r="K8203" i="1"/>
  <c r="L8203" i="1"/>
  <c r="K8204" i="1"/>
  <c r="L8204" i="1"/>
  <c r="K8205" i="1"/>
  <c r="L8205" i="1"/>
  <c r="K8206" i="1"/>
  <c r="L8206" i="1"/>
  <c r="K8207" i="1"/>
  <c r="L8207" i="1"/>
  <c r="K7777" i="1"/>
  <c r="L7777" i="1"/>
  <c r="M7777" i="1"/>
  <c r="K7778" i="1"/>
  <c r="L7778" i="1"/>
  <c r="M7778" i="1"/>
  <c r="K7779" i="1"/>
  <c r="L7779" i="1"/>
  <c r="M7779" i="1"/>
  <c r="K7780" i="1"/>
  <c r="L7780" i="1"/>
  <c r="M7780" i="1"/>
  <c r="K7781" i="1"/>
  <c r="L7781" i="1"/>
  <c r="M7781" i="1"/>
  <c r="K7782" i="1"/>
  <c r="L7782" i="1"/>
  <c r="M7782" i="1"/>
  <c r="K7783" i="1"/>
  <c r="L7783" i="1"/>
  <c r="M7783" i="1"/>
  <c r="K7784" i="1"/>
  <c r="L7784" i="1"/>
  <c r="M7784" i="1"/>
  <c r="K7785" i="1"/>
  <c r="L7785" i="1"/>
  <c r="M7785" i="1"/>
  <c r="K7786" i="1"/>
  <c r="L7786" i="1"/>
  <c r="M7786" i="1"/>
  <c r="K7787" i="1"/>
  <c r="L7787" i="1"/>
  <c r="M7787" i="1"/>
  <c r="K7788" i="1"/>
  <c r="L7788" i="1"/>
  <c r="M7788" i="1"/>
  <c r="K7789" i="1"/>
  <c r="L7789" i="1"/>
  <c r="M7789" i="1"/>
  <c r="K7790" i="1"/>
  <c r="L7790" i="1"/>
  <c r="M7790" i="1"/>
  <c r="K7791" i="1"/>
  <c r="L7791" i="1"/>
  <c r="M7791" i="1"/>
  <c r="K7792" i="1"/>
  <c r="L7792" i="1"/>
  <c r="M7792" i="1"/>
  <c r="K7793" i="1"/>
  <c r="L7793" i="1"/>
  <c r="M7793" i="1"/>
  <c r="K7794" i="1"/>
  <c r="L7794" i="1"/>
  <c r="M7794" i="1"/>
  <c r="K7795" i="1"/>
  <c r="L7795" i="1"/>
  <c r="M7795" i="1"/>
  <c r="K7796" i="1"/>
  <c r="L7796" i="1"/>
  <c r="M7796" i="1"/>
  <c r="K7797" i="1"/>
  <c r="L7797" i="1"/>
  <c r="M7797" i="1"/>
  <c r="K7955" i="1"/>
  <c r="L7955" i="1"/>
  <c r="M7955" i="1"/>
  <c r="K7956" i="1"/>
  <c r="L7956" i="1"/>
  <c r="M7956" i="1"/>
  <c r="K7957" i="1"/>
  <c r="L7957" i="1"/>
  <c r="M7957" i="1"/>
  <c r="K7958" i="1"/>
  <c r="L7958" i="1"/>
  <c r="M7958" i="1"/>
  <c r="K7959" i="1"/>
  <c r="L7959" i="1"/>
  <c r="M7959" i="1"/>
  <c r="K7960" i="1"/>
  <c r="L7960" i="1"/>
  <c r="M7960" i="1"/>
  <c r="K7961" i="1"/>
  <c r="L7961" i="1"/>
  <c r="M7961" i="1"/>
  <c r="K7962" i="1"/>
  <c r="L7962" i="1"/>
  <c r="M7962" i="1"/>
  <c r="K7963" i="1"/>
  <c r="L7963" i="1"/>
  <c r="M7963" i="1"/>
  <c r="K7964" i="1"/>
  <c r="L7964" i="1"/>
  <c r="M7964" i="1"/>
  <c r="K7965" i="1"/>
  <c r="L7965" i="1"/>
  <c r="M7965" i="1"/>
  <c r="K7966" i="1"/>
  <c r="L7966" i="1"/>
  <c r="M7966" i="1"/>
  <c r="K7967" i="1"/>
  <c r="L7967" i="1"/>
  <c r="M7967" i="1"/>
  <c r="K7968" i="1"/>
  <c r="L7968" i="1"/>
  <c r="M7968" i="1"/>
  <c r="K7969" i="1"/>
  <c r="L7969" i="1"/>
  <c r="M7969" i="1"/>
  <c r="K7970" i="1"/>
  <c r="L7970" i="1"/>
  <c r="M7970" i="1"/>
  <c r="K7971" i="1"/>
  <c r="L7971" i="1"/>
  <c r="M7971" i="1"/>
  <c r="K7972" i="1"/>
  <c r="L7972" i="1"/>
  <c r="M7972" i="1"/>
  <c r="K7973" i="1"/>
  <c r="L7973" i="1"/>
  <c r="M7973" i="1"/>
  <c r="K7974" i="1"/>
  <c r="L7974" i="1"/>
  <c r="M7974" i="1"/>
  <c r="K7975" i="1"/>
  <c r="L7975" i="1"/>
  <c r="M7975" i="1"/>
  <c r="K7976" i="1"/>
  <c r="L7976" i="1"/>
  <c r="M7976" i="1"/>
  <c r="K7977" i="1"/>
  <c r="L7977" i="1"/>
  <c r="M7977" i="1"/>
  <c r="K7978" i="1"/>
  <c r="L7978" i="1"/>
  <c r="M7978" i="1"/>
  <c r="K7979" i="1"/>
  <c r="L7979" i="1"/>
  <c r="M7979" i="1"/>
  <c r="K7980" i="1"/>
  <c r="L7980" i="1"/>
  <c r="M7980" i="1"/>
  <c r="K7981" i="1"/>
  <c r="L7981" i="1"/>
  <c r="M7981" i="1"/>
  <c r="K7982" i="1"/>
  <c r="L7982" i="1"/>
  <c r="M7982" i="1"/>
  <c r="K7983" i="1"/>
  <c r="L7983" i="1"/>
  <c r="M7983" i="1"/>
  <c r="K7984" i="1"/>
  <c r="L7984" i="1"/>
  <c r="M7984" i="1"/>
  <c r="K7985" i="1"/>
  <c r="L7985" i="1"/>
  <c r="M7985" i="1"/>
  <c r="K7986" i="1"/>
  <c r="L7986" i="1"/>
  <c r="M7986" i="1"/>
  <c r="K8018" i="1"/>
  <c r="L8018" i="1"/>
  <c r="M8018" i="1"/>
  <c r="K8019" i="1"/>
  <c r="L8019" i="1"/>
  <c r="M8019" i="1"/>
  <c r="K8020" i="1"/>
  <c r="L8020" i="1"/>
  <c r="M8020" i="1"/>
  <c r="K8021" i="1"/>
  <c r="L8021" i="1"/>
  <c r="M8021" i="1"/>
  <c r="K8022" i="1"/>
  <c r="L8022" i="1"/>
  <c r="M8022" i="1"/>
  <c r="K8093" i="1"/>
  <c r="L8093" i="1"/>
  <c r="M8093" i="1"/>
  <c r="K8094" i="1"/>
  <c r="L8094" i="1"/>
  <c r="M8094" i="1"/>
  <c r="K8095" i="1"/>
  <c r="L8095" i="1"/>
  <c r="M8095" i="1"/>
  <c r="K8096" i="1"/>
  <c r="L8096" i="1"/>
  <c r="M8096" i="1"/>
  <c r="K8097" i="1"/>
  <c r="L8097" i="1"/>
  <c r="M8097" i="1"/>
  <c r="K8098" i="1"/>
  <c r="L8098" i="1"/>
  <c r="M8098" i="1"/>
  <c r="K8099" i="1"/>
  <c r="L8099" i="1"/>
  <c r="M8099" i="1"/>
  <c r="K8100" i="1"/>
  <c r="L8100" i="1"/>
  <c r="M8100" i="1"/>
  <c r="K8101" i="1"/>
  <c r="L8101" i="1"/>
  <c r="M8101" i="1"/>
  <c r="K8102" i="1"/>
  <c r="L8102" i="1"/>
  <c r="M8102" i="1"/>
  <c r="K8103" i="1"/>
  <c r="L8103" i="1"/>
  <c r="M8103" i="1"/>
  <c r="K8104" i="1"/>
  <c r="L8104" i="1"/>
  <c r="M8104" i="1"/>
  <c r="K8105" i="1"/>
  <c r="L8105" i="1"/>
  <c r="M8105" i="1"/>
  <c r="K8106" i="1"/>
  <c r="L8106" i="1"/>
  <c r="M8106" i="1"/>
  <c r="K8107" i="1"/>
  <c r="L8107" i="1"/>
  <c r="M8107" i="1"/>
  <c r="K8108" i="1"/>
  <c r="L8108" i="1"/>
  <c r="M8108" i="1"/>
  <c r="K8109" i="1"/>
  <c r="L8109" i="1"/>
  <c r="M8109" i="1"/>
  <c r="K8110" i="1"/>
  <c r="L8110" i="1"/>
  <c r="M8110" i="1"/>
  <c r="K8232" i="1"/>
  <c r="L8232" i="1"/>
  <c r="M8232" i="1"/>
  <c r="K8233" i="1"/>
  <c r="L8233" i="1"/>
  <c r="M8233" i="1"/>
  <c r="K8234" i="1"/>
  <c r="L8234" i="1"/>
  <c r="M8234" i="1"/>
  <c r="K8235" i="1"/>
  <c r="L8235" i="1"/>
  <c r="M8235" i="1"/>
  <c r="K8236" i="1"/>
  <c r="L8236" i="1"/>
  <c r="M8236" i="1"/>
  <c r="K8237" i="1"/>
  <c r="L8237" i="1"/>
  <c r="M8237" i="1"/>
  <c r="K8238" i="1"/>
  <c r="L8238" i="1"/>
  <c r="M8238" i="1"/>
  <c r="K8239" i="1"/>
  <c r="L8239" i="1"/>
  <c r="M8239" i="1"/>
  <c r="K8240" i="1"/>
  <c r="L8240" i="1"/>
  <c r="M8240" i="1"/>
  <c r="K8241" i="1"/>
  <c r="L8241" i="1"/>
  <c r="M8241" i="1"/>
  <c r="K8242" i="1"/>
  <c r="L8242" i="1"/>
  <c r="M8242" i="1"/>
  <c r="K8243" i="1"/>
  <c r="L8243" i="1"/>
  <c r="M8243" i="1"/>
  <c r="K8244" i="1"/>
  <c r="L8244" i="1"/>
  <c r="M8244" i="1"/>
  <c r="K8245" i="1"/>
  <c r="L8245" i="1"/>
  <c r="M8245" i="1"/>
  <c r="K8246" i="1"/>
  <c r="L8246" i="1"/>
  <c r="M8246" i="1"/>
  <c r="K8247" i="1"/>
  <c r="L8247" i="1"/>
  <c r="M8247" i="1"/>
  <c r="K8248" i="1"/>
  <c r="L8248" i="1"/>
  <c r="M8248" i="1"/>
  <c r="K8249" i="1"/>
  <c r="L8249" i="1"/>
  <c r="M8249" i="1"/>
  <c r="K8250" i="1"/>
  <c r="L8250" i="1"/>
  <c r="M8250" i="1"/>
  <c r="K8251" i="1"/>
  <c r="L8251" i="1"/>
  <c r="M8251" i="1"/>
  <c r="K8252" i="1"/>
  <c r="L8252" i="1"/>
  <c r="M8252" i="1"/>
  <c r="K8253" i="1"/>
  <c r="L8253" i="1"/>
  <c r="M8253" i="1"/>
  <c r="K8254" i="1"/>
  <c r="L8254" i="1"/>
  <c r="M8254" i="1"/>
  <c r="K8255" i="1"/>
  <c r="L8255" i="1"/>
  <c r="M8255" i="1"/>
  <c r="K8256" i="1"/>
  <c r="L8256" i="1"/>
  <c r="M8256" i="1"/>
  <c r="K8257" i="1"/>
  <c r="L8257" i="1"/>
  <c r="M8257" i="1"/>
  <c r="K8258" i="1"/>
  <c r="L8258" i="1"/>
  <c r="M8258" i="1"/>
  <c r="K8259" i="1"/>
  <c r="L8259" i="1"/>
  <c r="M8259" i="1"/>
  <c r="K8260" i="1"/>
  <c r="L8260" i="1"/>
  <c r="M8260" i="1"/>
  <c r="K8261" i="1"/>
  <c r="L8261" i="1"/>
  <c r="M8261" i="1"/>
  <c r="K8262" i="1"/>
  <c r="L8262" i="1"/>
  <c r="M8262" i="1"/>
  <c r="K8263" i="1"/>
  <c r="L8263" i="1"/>
  <c r="M8263" i="1"/>
  <c r="K8264" i="1"/>
  <c r="L8264" i="1"/>
  <c r="M8264" i="1"/>
  <c r="K8265" i="1"/>
  <c r="L8265" i="1"/>
  <c r="M8265" i="1"/>
  <c r="K8266" i="1"/>
  <c r="L8266" i="1"/>
  <c r="M8266" i="1"/>
  <c r="K8267" i="1"/>
  <c r="L8267" i="1"/>
  <c r="M8267" i="1"/>
  <c r="K8268" i="1"/>
  <c r="L8268" i="1"/>
  <c r="M8268" i="1"/>
  <c r="K8269" i="1"/>
  <c r="L8269" i="1"/>
  <c r="M8269" i="1"/>
  <c r="K8270" i="1"/>
  <c r="L8270" i="1"/>
  <c r="M8270" i="1"/>
  <c r="K8271" i="1"/>
  <c r="L8271" i="1"/>
  <c r="M8271" i="1"/>
  <c r="K8272" i="1"/>
  <c r="L8272" i="1"/>
  <c r="M8272" i="1"/>
  <c r="K8273" i="1"/>
  <c r="L8273" i="1"/>
  <c r="M8273" i="1"/>
  <c r="K8274" i="1"/>
  <c r="L8274" i="1"/>
  <c r="M8274" i="1"/>
  <c r="K8275" i="1"/>
  <c r="L8275" i="1"/>
  <c r="M8275" i="1"/>
  <c r="K8276" i="1"/>
  <c r="L8276" i="1"/>
  <c r="M8276" i="1"/>
  <c r="K8277" i="1"/>
  <c r="L8277" i="1"/>
  <c r="M8277" i="1"/>
  <c r="K8278" i="1"/>
  <c r="L8278" i="1"/>
  <c r="M8278" i="1"/>
  <c r="K8279" i="1"/>
  <c r="L8279" i="1"/>
  <c r="M8279" i="1"/>
  <c r="K8280" i="1"/>
  <c r="L8280" i="1"/>
  <c r="M8280" i="1"/>
  <c r="K8281" i="1"/>
  <c r="L8281" i="1"/>
  <c r="M8281" i="1"/>
  <c r="K8282" i="1"/>
  <c r="L8282" i="1"/>
  <c r="M8282" i="1"/>
  <c r="K8283" i="1"/>
  <c r="L8283" i="1"/>
  <c r="M8283" i="1"/>
  <c r="K8284" i="1"/>
  <c r="L8284" i="1"/>
  <c r="M8284" i="1"/>
  <c r="K8285" i="1"/>
  <c r="L8285" i="1"/>
  <c r="M8285" i="1"/>
  <c r="K8286" i="1"/>
  <c r="L8286" i="1"/>
  <c r="M8286" i="1"/>
  <c r="K8287" i="1"/>
  <c r="L8287" i="1"/>
  <c r="M8287" i="1"/>
  <c r="K8288" i="1"/>
  <c r="L8288" i="1"/>
  <c r="M8288" i="1"/>
  <c r="K8289" i="1"/>
  <c r="L8289" i="1"/>
  <c r="M8289" i="1"/>
  <c r="K8290" i="1"/>
  <c r="L8290" i="1"/>
  <c r="M8290" i="1"/>
  <c r="K8291" i="1"/>
  <c r="L8291" i="1"/>
  <c r="M8291" i="1"/>
  <c r="K8292" i="1"/>
  <c r="L8292" i="1"/>
  <c r="M8292" i="1"/>
  <c r="K8293" i="1"/>
  <c r="L8293" i="1"/>
  <c r="M8293" i="1"/>
  <c r="K8294" i="1"/>
  <c r="L8294" i="1"/>
  <c r="M8294" i="1"/>
  <c r="K8295" i="1"/>
  <c r="L8295" i="1"/>
  <c r="M8295" i="1"/>
  <c r="K8296" i="1"/>
  <c r="L8296" i="1"/>
  <c r="M8296" i="1"/>
  <c r="K8297" i="1"/>
  <c r="L8297" i="1"/>
  <c r="M8297" i="1"/>
  <c r="K8298" i="1"/>
  <c r="L8298" i="1"/>
  <c r="M8298" i="1"/>
  <c r="K8299" i="1"/>
  <c r="L8299" i="1"/>
  <c r="M8299" i="1"/>
  <c r="K8300" i="1"/>
  <c r="L8300" i="1"/>
  <c r="M8300" i="1"/>
  <c r="K8301" i="1"/>
  <c r="L8301" i="1"/>
  <c r="M8301" i="1"/>
  <c r="K8302" i="1"/>
  <c r="L8302" i="1"/>
  <c r="M8302" i="1"/>
  <c r="K8878" i="1"/>
  <c r="L8878" i="1"/>
  <c r="K8879" i="1"/>
  <c r="L8879" i="1"/>
  <c r="K8880" i="1"/>
  <c r="L8880" i="1"/>
  <c r="K8881" i="1"/>
  <c r="L8881" i="1"/>
  <c r="K8882" i="1"/>
  <c r="L8882" i="1"/>
  <c r="K8883" i="1"/>
  <c r="L8883" i="1"/>
  <c r="K8884" i="1"/>
  <c r="L8884" i="1"/>
  <c r="K8885" i="1"/>
  <c r="L8885" i="1"/>
  <c r="K8886" i="1"/>
  <c r="L8886" i="1"/>
  <c r="K8887" i="1"/>
  <c r="L8887" i="1"/>
  <c r="K8888" i="1"/>
  <c r="L8888" i="1"/>
  <c r="K8889" i="1"/>
  <c r="L8889" i="1"/>
  <c r="K8890" i="1"/>
  <c r="L8890" i="1"/>
  <c r="K8891" i="1"/>
  <c r="L8891" i="1"/>
  <c r="K8892" i="1"/>
  <c r="L8892" i="1"/>
  <c r="K8893" i="1"/>
  <c r="L8893" i="1"/>
  <c r="K8894" i="1"/>
  <c r="L8894" i="1"/>
  <c r="K8895" i="1"/>
  <c r="L8895" i="1"/>
  <c r="K8896" i="1"/>
  <c r="L8896" i="1"/>
  <c r="K8897" i="1"/>
  <c r="L8897" i="1"/>
  <c r="K8898" i="1"/>
  <c r="L8898" i="1"/>
  <c r="K8899" i="1"/>
  <c r="L8899" i="1"/>
  <c r="K8901" i="1"/>
  <c r="L8901" i="1"/>
  <c r="K8902" i="1"/>
  <c r="L8902" i="1"/>
  <c r="K8903" i="1"/>
  <c r="L8903" i="1"/>
  <c r="K8904" i="1"/>
  <c r="L8904" i="1"/>
  <c r="K8905" i="1"/>
  <c r="L8905" i="1"/>
  <c r="K8906" i="1"/>
  <c r="L8906" i="1"/>
  <c r="K8907" i="1"/>
  <c r="L8907" i="1"/>
  <c r="K8908" i="1"/>
  <c r="L8908" i="1"/>
  <c r="K8909" i="1"/>
  <c r="L8909" i="1"/>
  <c r="K8910" i="1"/>
  <c r="L8910" i="1"/>
  <c r="K8911" i="1"/>
  <c r="L8911" i="1"/>
  <c r="K8912" i="1"/>
  <c r="L8912" i="1"/>
  <c r="K8913" i="1"/>
  <c r="L8913" i="1"/>
  <c r="K8914" i="1"/>
  <c r="L8914" i="1"/>
  <c r="K8915" i="1"/>
  <c r="L8915" i="1"/>
  <c r="K8916" i="1"/>
  <c r="L8916" i="1"/>
  <c r="K8838" i="1"/>
  <c r="L8838" i="1"/>
  <c r="K8839" i="1"/>
  <c r="L8839" i="1"/>
  <c r="K8840" i="1"/>
  <c r="L8840" i="1"/>
  <c r="K8841" i="1"/>
  <c r="L8841" i="1"/>
  <c r="K8842" i="1"/>
  <c r="L8842" i="1"/>
  <c r="K8843" i="1"/>
  <c r="L8843" i="1"/>
  <c r="K8844" i="1"/>
  <c r="L8844" i="1"/>
  <c r="K8845" i="1"/>
  <c r="L8845" i="1"/>
  <c r="K8846" i="1"/>
  <c r="L8846" i="1"/>
  <c r="K8847" i="1"/>
  <c r="L8847" i="1"/>
  <c r="K8848" i="1"/>
  <c r="L8848" i="1"/>
  <c r="K8849" i="1"/>
  <c r="L8849" i="1"/>
  <c r="K8850" i="1"/>
  <c r="L8850" i="1"/>
  <c r="K8851" i="1"/>
  <c r="L8851" i="1"/>
  <c r="K8852" i="1"/>
  <c r="L8852" i="1"/>
  <c r="K8853" i="1"/>
  <c r="L8853" i="1"/>
  <c r="K8854" i="1"/>
  <c r="L8854" i="1"/>
  <c r="K8855" i="1"/>
  <c r="L8855" i="1"/>
  <c r="K8856" i="1"/>
  <c r="L8856" i="1"/>
  <c r="K8857" i="1"/>
  <c r="L8857" i="1"/>
  <c r="K8858" i="1"/>
  <c r="L8858" i="1"/>
  <c r="K8859" i="1"/>
  <c r="L8859" i="1"/>
  <c r="K8860" i="1"/>
  <c r="L8860" i="1"/>
  <c r="K8861" i="1"/>
  <c r="L8861" i="1"/>
  <c r="K8862" i="1"/>
  <c r="L8862" i="1"/>
  <c r="K8863" i="1"/>
  <c r="L8863" i="1"/>
  <c r="K8864" i="1"/>
  <c r="L8864" i="1"/>
  <c r="K8865" i="1"/>
  <c r="L8865" i="1"/>
  <c r="K8866" i="1"/>
  <c r="L8866" i="1"/>
  <c r="K8867" i="1"/>
  <c r="L8867" i="1"/>
  <c r="K8868" i="1"/>
  <c r="L8868" i="1"/>
  <c r="K8869" i="1"/>
  <c r="L8869" i="1"/>
  <c r="K8870" i="1"/>
  <c r="L8870" i="1"/>
  <c r="K8871" i="1"/>
  <c r="L8871" i="1"/>
  <c r="K8872" i="1"/>
  <c r="L8872" i="1"/>
  <c r="K8873" i="1"/>
  <c r="L8873" i="1"/>
  <c r="K8874" i="1"/>
  <c r="L8874" i="1"/>
  <c r="K8875" i="1"/>
  <c r="L8875" i="1"/>
  <c r="K8876" i="1"/>
  <c r="L8876" i="1"/>
  <c r="K8877" i="1"/>
  <c r="L8877" i="1"/>
  <c r="K8326" i="1"/>
  <c r="L8326" i="1"/>
  <c r="M8326" i="1"/>
  <c r="K8327" i="1"/>
  <c r="L8327" i="1"/>
  <c r="M8327" i="1"/>
  <c r="K8328" i="1"/>
  <c r="L8328" i="1"/>
  <c r="M8328" i="1"/>
  <c r="K8329" i="1"/>
  <c r="L8329" i="1"/>
  <c r="M8329" i="1"/>
  <c r="K8330" i="1"/>
  <c r="L8330" i="1"/>
  <c r="M8330" i="1"/>
  <c r="K8331" i="1"/>
  <c r="L8331" i="1"/>
  <c r="M8331" i="1"/>
  <c r="K8332" i="1"/>
  <c r="L8332" i="1"/>
  <c r="M8332" i="1"/>
  <c r="K8333" i="1"/>
  <c r="L8333" i="1"/>
  <c r="M8333" i="1"/>
  <c r="K8334" i="1"/>
  <c r="L8334" i="1"/>
  <c r="M8334" i="1"/>
  <c r="K8335" i="1"/>
  <c r="L8335" i="1"/>
  <c r="M8335" i="1"/>
  <c r="K8336" i="1"/>
  <c r="L8336" i="1"/>
  <c r="M8336" i="1"/>
  <c r="K8337" i="1"/>
  <c r="L8337" i="1"/>
  <c r="M8337" i="1"/>
  <c r="K8338" i="1"/>
  <c r="L8338" i="1"/>
  <c r="M8338" i="1"/>
  <c r="K8339" i="1"/>
  <c r="L8339" i="1"/>
  <c r="M8339" i="1"/>
  <c r="K8340" i="1"/>
  <c r="L8340" i="1"/>
  <c r="M8340" i="1"/>
  <c r="K8341" i="1"/>
  <c r="L8341" i="1"/>
  <c r="M8341" i="1"/>
  <c r="K8342" i="1"/>
  <c r="L8342" i="1"/>
  <c r="M8342" i="1"/>
  <c r="K8343" i="1"/>
  <c r="L8343" i="1"/>
  <c r="M8343" i="1"/>
  <c r="K8344" i="1"/>
  <c r="L8344" i="1"/>
  <c r="M8344" i="1"/>
  <c r="K8345" i="1"/>
  <c r="L8345" i="1"/>
  <c r="M8345" i="1"/>
  <c r="K8346" i="1"/>
  <c r="L8346" i="1"/>
  <c r="M8346" i="1"/>
  <c r="K8347" i="1"/>
  <c r="L8347" i="1"/>
  <c r="M8347" i="1"/>
  <c r="K8348" i="1"/>
  <c r="L8348" i="1"/>
  <c r="M8348" i="1"/>
  <c r="K8349" i="1"/>
  <c r="L8349" i="1"/>
  <c r="M8349" i="1"/>
  <c r="K8350" i="1"/>
  <c r="L8350" i="1"/>
  <c r="M8350" i="1"/>
  <c r="K8351" i="1"/>
  <c r="L8351" i="1"/>
  <c r="M8351" i="1"/>
  <c r="K8352" i="1"/>
  <c r="L8352" i="1"/>
  <c r="M8352" i="1"/>
  <c r="K8353" i="1"/>
  <c r="L8353" i="1"/>
  <c r="M8353" i="1"/>
  <c r="K8354" i="1"/>
  <c r="L8354" i="1"/>
  <c r="M8354" i="1"/>
  <c r="K8355" i="1"/>
  <c r="L8355" i="1"/>
  <c r="M8355" i="1"/>
  <c r="K8356" i="1"/>
  <c r="L8356" i="1"/>
  <c r="M8356" i="1"/>
  <c r="K8357" i="1"/>
  <c r="L8357" i="1"/>
  <c r="M8357" i="1"/>
  <c r="K8358" i="1"/>
  <c r="L8358" i="1"/>
  <c r="M8358" i="1"/>
  <c r="K8359" i="1"/>
  <c r="L8359" i="1"/>
  <c r="M8359" i="1"/>
  <c r="K8360" i="1"/>
  <c r="L8360" i="1"/>
  <c r="M8360" i="1"/>
  <c r="K8361" i="1"/>
  <c r="L8361" i="1"/>
  <c r="M8361" i="1"/>
  <c r="K8362" i="1"/>
  <c r="L8362" i="1"/>
  <c r="M8362" i="1"/>
  <c r="K8363" i="1"/>
  <c r="L8363" i="1"/>
  <c r="M8363" i="1"/>
  <c r="K8364" i="1"/>
  <c r="L8364" i="1"/>
  <c r="M8364" i="1"/>
  <c r="K8365" i="1"/>
  <c r="L8365" i="1"/>
  <c r="M8365" i="1"/>
  <c r="K8366" i="1"/>
  <c r="L8366" i="1"/>
  <c r="M8366" i="1"/>
  <c r="K8367" i="1"/>
  <c r="L8367" i="1"/>
  <c r="M8367" i="1"/>
  <c r="K8368" i="1"/>
  <c r="L8368" i="1"/>
  <c r="M8368" i="1"/>
  <c r="K8369" i="1"/>
  <c r="L8369" i="1"/>
  <c r="M8369" i="1"/>
  <c r="K8370" i="1"/>
  <c r="L8370" i="1"/>
  <c r="M8370" i="1"/>
  <c r="K8371" i="1"/>
  <c r="L8371" i="1"/>
  <c r="M8371" i="1"/>
  <c r="K8372" i="1"/>
  <c r="L8372" i="1"/>
  <c r="M8372" i="1"/>
  <c r="K8373" i="1"/>
  <c r="L8373" i="1"/>
  <c r="M8373" i="1"/>
  <c r="K8374" i="1"/>
  <c r="L8374" i="1"/>
  <c r="M8374" i="1"/>
  <c r="K8375" i="1"/>
  <c r="L8375" i="1"/>
  <c r="M8375" i="1"/>
  <c r="K8376" i="1"/>
  <c r="L8376" i="1"/>
  <c r="M8376" i="1"/>
  <c r="K8377" i="1"/>
  <c r="L8377" i="1"/>
  <c r="M8377" i="1"/>
  <c r="K8378" i="1"/>
  <c r="L8378" i="1"/>
  <c r="M8378" i="1"/>
  <c r="K8379" i="1"/>
  <c r="L8379" i="1"/>
  <c r="M8379" i="1"/>
  <c r="K8380" i="1"/>
  <c r="L8380" i="1"/>
  <c r="M8380" i="1"/>
  <c r="K8381" i="1"/>
  <c r="L8381" i="1"/>
  <c r="M8381" i="1"/>
  <c r="K8382" i="1"/>
  <c r="L8382" i="1"/>
  <c r="M8382" i="1"/>
  <c r="K8383" i="1"/>
  <c r="L8383" i="1"/>
  <c r="M8383" i="1"/>
  <c r="K8384" i="1"/>
  <c r="L8384" i="1"/>
  <c r="M8384" i="1"/>
  <c r="K8385" i="1"/>
  <c r="L8385" i="1"/>
  <c r="M8385" i="1"/>
  <c r="K8386" i="1"/>
  <c r="L8386" i="1"/>
  <c r="M8386" i="1"/>
  <c r="K8387" i="1"/>
  <c r="L8387" i="1"/>
  <c r="M8387" i="1"/>
  <c r="K8388" i="1"/>
  <c r="L8388" i="1"/>
  <c r="M8388" i="1"/>
  <c r="K8389" i="1"/>
  <c r="L8389" i="1"/>
  <c r="M8389" i="1"/>
  <c r="K8390" i="1"/>
  <c r="L8390" i="1"/>
  <c r="M8390" i="1"/>
  <c r="K8391" i="1"/>
  <c r="L8391" i="1"/>
  <c r="M8391" i="1"/>
  <c r="K8392" i="1"/>
  <c r="L8392" i="1"/>
  <c r="M8392" i="1"/>
  <c r="K8393" i="1"/>
  <c r="L8393" i="1"/>
  <c r="M8393" i="1"/>
  <c r="K8394" i="1"/>
  <c r="L8394" i="1"/>
  <c r="M8394" i="1"/>
  <c r="K8395" i="1"/>
  <c r="L8395" i="1"/>
  <c r="M8395" i="1"/>
  <c r="K8396" i="1"/>
  <c r="L8396" i="1"/>
  <c r="M8396" i="1"/>
  <c r="K8397" i="1"/>
  <c r="L8397" i="1"/>
  <c r="M8397" i="1"/>
  <c r="K8398" i="1"/>
  <c r="L8398" i="1"/>
  <c r="M8398" i="1"/>
  <c r="K8399" i="1"/>
  <c r="L8399" i="1"/>
  <c r="M8399" i="1"/>
  <c r="K8400" i="1"/>
  <c r="L8400" i="1"/>
  <c r="M8400" i="1"/>
  <c r="K8401" i="1"/>
  <c r="L8401" i="1"/>
  <c r="M8401" i="1"/>
  <c r="K8402" i="1"/>
  <c r="L8402" i="1"/>
  <c r="M8402" i="1"/>
  <c r="K8403" i="1"/>
  <c r="L8403" i="1"/>
  <c r="M8403" i="1"/>
  <c r="K8404" i="1"/>
  <c r="L8404" i="1"/>
  <c r="M8404" i="1"/>
  <c r="K8405" i="1"/>
  <c r="L8405" i="1"/>
  <c r="M8405" i="1"/>
  <c r="K8406" i="1"/>
  <c r="L8406" i="1"/>
  <c r="M8406" i="1"/>
  <c r="K8407" i="1"/>
  <c r="L8407" i="1"/>
  <c r="M8407" i="1"/>
  <c r="K8408" i="1"/>
  <c r="L8408" i="1"/>
  <c r="M8408" i="1"/>
  <c r="K8409" i="1"/>
  <c r="L8409" i="1"/>
  <c r="M8409" i="1"/>
  <c r="K8410" i="1"/>
  <c r="L8410" i="1"/>
  <c r="M8410" i="1"/>
  <c r="K8411" i="1"/>
  <c r="L8411" i="1"/>
  <c r="M8411" i="1"/>
  <c r="K8412" i="1"/>
  <c r="L8412" i="1"/>
  <c r="M8412" i="1"/>
  <c r="K8413" i="1"/>
  <c r="L8413" i="1"/>
  <c r="M8413" i="1"/>
  <c r="K8414" i="1"/>
  <c r="L8414" i="1"/>
  <c r="M8414" i="1"/>
  <c r="K8415" i="1"/>
  <c r="L8415" i="1"/>
  <c r="M8415" i="1"/>
  <c r="K8416" i="1"/>
  <c r="L8416" i="1"/>
  <c r="M8416" i="1"/>
  <c r="K8417" i="1"/>
  <c r="L8417" i="1"/>
  <c r="M8417" i="1"/>
  <c r="K8418" i="1"/>
  <c r="L8418" i="1"/>
  <c r="M8418" i="1"/>
  <c r="K8419" i="1"/>
  <c r="L8419" i="1"/>
  <c r="M8419" i="1"/>
  <c r="K8420" i="1"/>
  <c r="L8420" i="1"/>
  <c r="M8420" i="1"/>
  <c r="K8421" i="1"/>
  <c r="L8421" i="1"/>
  <c r="M8421" i="1"/>
  <c r="K8422" i="1"/>
  <c r="L8422" i="1"/>
  <c r="M8422" i="1"/>
  <c r="K8423" i="1"/>
  <c r="L8423" i="1"/>
  <c r="M8423" i="1"/>
  <c r="K8424" i="1"/>
  <c r="L8424" i="1"/>
  <c r="M8424" i="1"/>
  <c r="K8425" i="1"/>
  <c r="L8425" i="1"/>
  <c r="M8425" i="1"/>
  <c r="K8426" i="1"/>
  <c r="L8426" i="1"/>
  <c r="M8426" i="1"/>
  <c r="K8427" i="1"/>
  <c r="L8427" i="1"/>
  <c r="M8427" i="1"/>
  <c r="K8428" i="1"/>
  <c r="L8428" i="1"/>
  <c r="M8428" i="1"/>
  <c r="K8449" i="1"/>
  <c r="L8449" i="1"/>
  <c r="M8449" i="1"/>
  <c r="K8450" i="1"/>
  <c r="L8450" i="1"/>
  <c r="M8450" i="1"/>
  <c r="K8451" i="1"/>
  <c r="L8451" i="1"/>
  <c r="M8451" i="1"/>
  <c r="K8452" i="1"/>
  <c r="L8452" i="1"/>
  <c r="M8452" i="1"/>
  <c r="K8453" i="1"/>
  <c r="L8453" i="1"/>
  <c r="M8453" i="1"/>
  <c r="K8454" i="1"/>
  <c r="L8454" i="1"/>
  <c r="M8454" i="1"/>
  <c r="K8455" i="1"/>
  <c r="L8455" i="1"/>
  <c r="M8455" i="1"/>
  <c r="K8456" i="1"/>
  <c r="L8456" i="1"/>
  <c r="M8456" i="1"/>
  <c r="K8457" i="1"/>
  <c r="L8457" i="1"/>
  <c r="M8457" i="1"/>
  <c r="K8458" i="1"/>
  <c r="L8458" i="1"/>
  <c r="M8458" i="1"/>
  <c r="K8459" i="1"/>
  <c r="L8459" i="1"/>
  <c r="M8459" i="1"/>
  <c r="K8460" i="1"/>
  <c r="L8460" i="1"/>
  <c r="M8460" i="1"/>
  <c r="K8461" i="1"/>
  <c r="L8461" i="1"/>
  <c r="M8461" i="1"/>
  <c r="K8462" i="1"/>
  <c r="L8462" i="1"/>
  <c r="M8462" i="1"/>
  <c r="K8463" i="1"/>
  <c r="L8463" i="1"/>
  <c r="M8463" i="1"/>
  <c r="K8464" i="1"/>
  <c r="L8464" i="1"/>
  <c r="M8464" i="1"/>
  <c r="K8465" i="1"/>
  <c r="L8465" i="1"/>
  <c r="M8465" i="1"/>
  <c r="K8466" i="1"/>
  <c r="L8466" i="1"/>
  <c r="M8466" i="1"/>
  <c r="K8467" i="1"/>
  <c r="L8467" i="1"/>
  <c r="M8467" i="1"/>
  <c r="K8468" i="1"/>
  <c r="L8468" i="1"/>
  <c r="M8468" i="1"/>
  <c r="K8469" i="1"/>
  <c r="L8469" i="1"/>
  <c r="M8469" i="1"/>
  <c r="K8470" i="1"/>
  <c r="L8470" i="1"/>
  <c r="M8470" i="1"/>
  <c r="K8471" i="1"/>
  <c r="L8471" i="1"/>
  <c r="M8471" i="1"/>
  <c r="K8472" i="1"/>
  <c r="L8472" i="1"/>
  <c r="M8472" i="1"/>
  <c r="K8473" i="1"/>
  <c r="L8473" i="1"/>
  <c r="M8473" i="1"/>
  <c r="K8474" i="1"/>
  <c r="L8474" i="1"/>
  <c r="M8474" i="1"/>
  <c r="K8475" i="1"/>
  <c r="L8475" i="1"/>
  <c r="M8475" i="1"/>
  <c r="K8476" i="1"/>
  <c r="L8476" i="1"/>
  <c r="M8476" i="1"/>
  <c r="K8477" i="1"/>
  <c r="L8477" i="1"/>
  <c r="M8477" i="1"/>
  <c r="K8478" i="1"/>
  <c r="L8478" i="1"/>
  <c r="M8478" i="1"/>
  <c r="K8479" i="1"/>
  <c r="L8479" i="1"/>
  <c r="M8479" i="1"/>
  <c r="K8480" i="1"/>
  <c r="L8480" i="1"/>
  <c r="M8480" i="1"/>
  <c r="K8481" i="1"/>
  <c r="L8481" i="1"/>
  <c r="M8481" i="1"/>
  <c r="K8482" i="1"/>
  <c r="L8482" i="1"/>
  <c r="M8482" i="1"/>
  <c r="K8483" i="1"/>
  <c r="L8483" i="1"/>
  <c r="M8483" i="1"/>
  <c r="K8484" i="1"/>
  <c r="L8484" i="1"/>
  <c r="M8484" i="1"/>
  <c r="K8485" i="1"/>
  <c r="L8485" i="1"/>
  <c r="M8485" i="1"/>
  <c r="K8486" i="1"/>
  <c r="L8486" i="1"/>
  <c r="M8486" i="1"/>
  <c r="K8487" i="1"/>
  <c r="L8487" i="1"/>
  <c r="M8487" i="1"/>
  <c r="K8488" i="1"/>
  <c r="L8488" i="1"/>
  <c r="M8488" i="1"/>
  <c r="K8489" i="1"/>
  <c r="L8489" i="1"/>
  <c r="M8489" i="1"/>
  <c r="K8490" i="1"/>
  <c r="L8490" i="1"/>
  <c r="M8490" i="1"/>
  <c r="K8491" i="1"/>
  <c r="L8491" i="1"/>
  <c r="M8491" i="1"/>
  <c r="K8492" i="1"/>
  <c r="L8492" i="1"/>
  <c r="M8492" i="1"/>
  <c r="K8493" i="1"/>
  <c r="L8493" i="1"/>
  <c r="M8493" i="1"/>
  <c r="K8494" i="1"/>
  <c r="L8494" i="1"/>
  <c r="M8494" i="1"/>
  <c r="K8495" i="1"/>
  <c r="L8495" i="1"/>
  <c r="M8495" i="1"/>
  <c r="K8496" i="1"/>
  <c r="L8496" i="1"/>
  <c r="M8496" i="1"/>
  <c r="K8497" i="1"/>
  <c r="L8497" i="1"/>
  <c r="M8497" i="1"/>
  <c r="K8498" i="1"/>
  <c r="L8498" i="1"/>
  <c r="M8498" i="1"/>
  <c r="K8499" i="1"/>
  <c r="L8499" i="1"/>
  <c r="M8499" i="1"/>
  <c r="K8500" i="1"/>
  <c r="L8500" i="1"/>
  <c r="M8500" i="1"/>
  <c r="K8501" i="1"/>
  <c r="L8501" i="1"/>
  <c r="M8501" i="1"/>
  <c r="K8502" i="1"/>
  <c r="L8502" i="1"/>
  <c r="M8502" i="1"/>
  <c r="K8503" i="1"/>
  <c r="L8503" i="1"/>
  <c r="M8503" i="1"/>
  <c r="K8504" i="1"/>
  <c r="L8504" i="1"/>
  <c r="M8504" i="1"/>
  <c r="K8505" i="1"/>
  <c r="L8505" i="1"/>
  <c r="M8505" i="1"/>
  <c r="K8506" i="1"/>
  <c r="L8506" i="1"/>
  <c r="M8506" i="1"/>
  <c r="K8507" i="1"/>
  <c r="L8507" i="1"/>
  <c r="M8507" i="1"/>
  <c r="K8508" i="1"/>
  <c r="L8508" i="1"/>
  <c r="M8508" i="1"/>
  <c r="K8509" i="1"/>
  <c r="L8509" i="1"/>
  <c r="M8509" i="1"/>
  <c r="K8510" i="1"/>
  <c r="L8510" i="1"/>
  <c r="M8510" i="1"/>
  <c r="K8511" i="1"/>
  <c r="L8511" i="1"/>
  <c r="M8511" i="1"/>
  <c r="K8512" i="1"/>
  <c r="L8512" i="1"/>
  <c r="M8512" i="1"/>
  <c r="K8513" i="1"/>
  <c r="L8513" i="1"/>
  <c r="M8513" i="1"/>
  <c r="K8514" i="1"/>
  <c r="L8514" i="1"/>
  <c r="M8514" i="1"/>
  <c r="K8515" i="1"/>
  <c r="L8515" i="1"/>
  <c r="M8515" i="1"/>
  <c r="K8516" i="1"/>
  <c r="L8516" i="1"/>
  <c r="M8516" i="1"/>
  <c r="K8517" i="1"/>
  <c r="L8517" i="1"/>
  <c r="M8517" i="1"/>
  <c r="K8518" i="1"/>
  <c r="L8518" i="1"/>
  <c r="M8518" i="1"/>
  <c r="K8519" i="1"/>
  <c r="L8519" i="1"/>
  <c r="M8519" i="1"/>
  <c r="K8520" i="1"/>
  <c r="L8520" i="1"/>
  <c r="M8520" i="1"/>
  <c r="K8521" i="1"/>
  <c r="L8521" i="1"/>
  <c r="M8521" i="1"/>
  <c r="K8522" i="1"/>
  <c r="L8522" i="1"/>
  <c r="M8522" i="1"/>
  <c r="K8523" i="1"/>
  <c r="L8523" i="1"/>
  <c r="M8523" i="1"/>
  <c r="K8524" i="1"/>
  <c r="L8524" i="1"/>
  <c r="M8524" i="1"/>
  <c r="K8525" i="1"/>
  <c r="L8525" i="1"/>
  <c r="M8525" i="1"/>
  <c r="K8526" i="1"/>
  <c r="L8526" i="1"/>
  <c r="M8526" i="1"/>
  <c r="K8527" i="1"/>
  <c r="L8527" i="1"/>
  <c r="M8527" i="1"/>
  <c r="K8528" i="1"/>
  <c r="L8528" i="1"/>
  <c r="M8528" i="1"/>
  <c r="K8529" i="1"/>
  <c r="L8529" i="1"/>
  <c r="M8529" i="1"/>
  <c r="K8530" i="1"/>
  <c r="L8530" i="1"/>
  <c r="M8530" i="1"/>
  <c r="K8531" i="1"/>
  <c r="L8531" i="1"/>
  <c r="M8531" i="1"/>
  <c r="K8532" i="1"/>
  <c r="L8532" i="1"/>
  <c r="M8532" i="1"/>
  <c r="K8533" i="1"/>
  <c r="L8533" i="1"/>
  <c r="M8533" i="1"/>
  <c r="K8534" i="1"/>
  <c r="L8534" i="1"/>
  <c r="M8534" i="1"/>
  <c r="K8535" i="1"/>
  <c r="L8535" i="1"/>
  <c r="M8535" i="1"/>
  <c r="K8536" i="1"/>
  <c r="L8536" i="1"/>
  <c r="M8536" i="1"/>
  <c r="K8537" i="1"/>
  <c r="L8537" i="1"/>
  <c r="M8537" i="1"/>
  <c r="K8538" i="1"/>
  <c r="L8538" i="1"/>
  <c r="M8538" i="1"/>
  <c r="K8539" i="1"/>
  <c r="L8539" i="1"/>
  <c r="M8539" i="1"/>
  <c r="K8540" i="1"/>
  <c r="L8540" i="1"/>
  <c r="M8540" i="1"/>
  <c r="K8541" i="1"/>
  <c r="L8541" i="1"/>
  <c r="M8541" i="1"/>
  <c r="K8542" i="1"/>
  <c r="L8542" i="1"/>
  <c r="M8542" i="1"/>
  <c r="K8543" i="1"/>
  <c r="L8543" i="1"/>
  <c r="M8543" i="1"/>
  <c r="K8544" i="1"/>
  <c r="L8544" i="1"/>
  <c r="M8544" i="1"/>
  <c r="K8545" i="1"/>
  <c r="L8545" i="1"/>
  <c r="M8545" i="1"/>
  <c r="K8546" i="1"/>
  <c r="L8546" i="1"/>
  <c r="M8546" i="1"/>
  <c r="K8547" i="1"/>
  <c r="L8547" i="1"/>
  <c r="M8547" i="1"/>
  <c r="K8548" i="1"/>
  <c r="L8548" i="1"/>
  <c r="M8548" i="1"/>
  <c r="K8549" i="1"/>
  <c r="L8549" i="1"/>
  <c r="M8549" i="1"/>
  <c r="K8550" i="1"/>
  <c r="L8550" i="1"/>
  <c r="M8550" i="1"/>
  <c r="K8551" i="1"/>
  <c r="L8551" i="1"/>
  <c r="M8551" i="1"/>
  <c r="K8552" i="1"/>
  <c r="L8552" i="1"/>
  <c r="M8552" i="1"/>
  <c r="K8553" i="1"/>
  <c r="L8553" i="1"/>
  <c r="M8553" i="1"/>
  <c r="K8554" i="1"/>
  <c r="L8554" i="1"/>
  <c r="M8554" i="1"/>
  <c r="K8555" i="1"/>
  <c r="L8555" i="1"/>
  <c r="M8555" i="1"/>
  <c r="K8556" i="1"/>
  <c r="L8556" i="1"/>
  <c r="M8556" i="1"/>
  <c r="K8557" i="1"/>
  <c r="L8557" i="1"/>
  <c r="M8557" i="1"/>
  <c r="K8558" i="1"/>
  <c r="L8558" i="1"/>
  <c r="M8558" i="1"/>
  <c r="K8559" i="1"/>
  <c r="L8559" i="1"/>
  <c r="M8559" i="1"/>
  <c r="K8560" i="1"/>
  <c r="L8560" i="1"/>
  <c r="M8560" i="1"/>
  <c r="K8561" i="1"/>
  <c r="L8561" i="1"/>
  <c r="M8561" i="1"/>
  <c r="K8562" i="1"/>
  <c r="L8562" i="1"/>
  <c r="M8562" i="1"/>
  <c r="K8563" i="1"/>
  <c r="L8563" i="1"/>
  <c r="M8563" i="1"/>
  <c r="K8564" i="1"/>
  <c r="L8564" i="1"/>
  <c r="M8564" i="1"/>
  <c r="K8565" i="1"/>
  <c r="L8565" i="1"/>
  <c r="M8565" i="1"/>
  <c r="K8566" i="1"/>
  <c r="L8566" i="1"/>
  <c r="M8566" i="1"/>
  <c r="K8567" i="1"/>
  <c r="L8567" i="1"/>
  <c r="M8567" i="1"/>
  <c r="K8568" i="1"/>
  <c r="L8568" i="1"/>
  <c r="M8568" i="1"/>
  <c r="K8569" i="1"/>
  <c r="L8569" i="1"/>
  <c r="M8569" i="1"/>
  <c r="K8570" i="1"/>
  <c r="L8570" i="1"/>
  <c r="M8570" i="1"/>
  <c r="K8571" i="1"/>
  <c r="L8571" i="1"/>
  <c r="M8571" i="1"/>
  <c r="K8572" i="1"/>
  <c r="L8572" i="1"/>
  <c r="M8572" i="1"/>
  <c r="K8573" i="1"/>
  <c r="L8573" i="1"/>
  <c r="M8573" i="1"/>
  <c r="K8574" i="1"/>
  <c r="L8574" i="1"/>
  <c r="M8574" i="1"/>
  <c r="K8575" i="1"/>
  <c r="L8575" i="1"/>
  <c r="M8575" i="1"/>
  <c r="K8576" i="1"/>
  <c r="L8576" i="1"/>
  <c r="M8576" i="1"/>
  <c r="K8577" i="1"/>
  <c r="L8577" i="1"/>
  <c r="M8577" i="1"/>
  <c r="K8578" i="1"/>
  <c r="L8578" i="1"/>
  <c r="M8578" i="1"/>
  <c r="K8579" i="1"/>
  <c r="L8579" i="1"/>
  <c r="M8579" i="1"/>
  <c r="K8580" i="1"/>
  <c r="L8580" i="1"/>
  <c r="M8580" i="1"/>
  <c r="K8581" i="1"/>
  <c r="L8581" i="1"/>
  <c r="M8581" i="1"/>
  <c r="K8582" i="1"/>
  <c r="L8582" i="1"/>
  <c r="M8582" i="1"/>
  <c r="K8583" i="1"/>
  <c r="L8583" i="1"/>
  <c r="M8583" i="1"/>
  <c r="K8584" i="1"/>
  <c r="L8584" i="1"/>
  <c r="M8584" i="1"/>
  <c r="K8585" i="1"/>
  <c r="L8585" i="1"/>
  <c r="M8585" i="1"/>
  <c r="K8586" i="1"/>
  <c r="L8586" i="1"/>
  <c r="M8586" i="1"/>
  <c r="K8587" i="1"/>
  <c r="L8587" i="1"/>
  <c r="M8587" i="1"/>
  <c r="K8588" i="1"/>
  <c r="L8588" i="1"/>
  <c r="M8588" i="1"/>
  <c r="K8589" i="1"/>
  <c r="L8589" i="1"/>
  <c r="M8589" i="1"/>
  <c r="K8590" i="1"/>
  <c r="L8590" i="1"/>
  <c r="M8590" i="1"/>
  <c r="K8591" i="1"/>
  <c r="L8591" i="1"/>
  <c r="M8591" i="1"/>
  <c r="K8592" i="1"/>
  <c r="L8592" i="1"/>
  <c r="M8592" i="1"/>
  <c r="K8593" i="1"/>
  <c r="L8593" i="1"/>
  <c r="M8593" i="1"/>
  <c r="K8594" i="1"/>
  <c r="L8594" i="1"/>
  <c r="M8594" i="1"/>
  <c r="K8595" i="1"/>
  <c r="L8595" i="1"/>
  <c r="M8595" i="1"/>
  <c r="K8596" i="1"/>
  <c r="L8596" i="1"/>
  <c r="M8596" i="1"/>
  <c r="K8597" i="1"/>
  <c r="L8597" i="1"/>
  <c r="M8597" i="1"/>
  <c r="K8598" i="1"/>
  <c r="L8598" i="1"/>
  <c r="M8598" i="1"/>
  <c r="K8599" i="1"/>
  <c r="L8599" i="1"/>
  <c r="M8599" i="1"/>
  <c r="K8600" i="1"/>
  <c r="L8600" i="1"/>
  <c r="M8600" i="1"/>
  <c r="K8601" i="1"/>
  <c r="L8601" i="1"/>
  <c r="M8601" i="1"/>
  <c r="K8602" i="1"/>
  <c r="L8602" i="1"/>
  <c r="M8602" i="1"/>
  <c r="K8603" i="1"/>
  <c r="L8603" i="1"/>
  <c r="M8603" i="1"/>
  <c r="K8604" i="1"/>
  <c r="L8604" i="1"/>
  <c r="M8604" i="1"/>
  <c r="K8605" i="1"/>
  <c r="L8605" i="1"/>
  <c r="M8605" i="1"/>
  <c r="K8606" i="1"/>
  <c r="L8606" i="1"/>
  <c r="M8606" i="1"/>
  <c r="K8607" i="1"/>
  <c r="L8607" i="1"/>
  <c r="M8607" i="1"/>
  <c r="K8608" i="1"/>
  <c r="L8608" i="1"/>
  <c r="M8608" i="1"/>
  <c r="K8609" i="1"/>
  <c r="L8609" i="1"/>
  <c r="M8609" i="1"/>
  <c r="K8610" i="1"/>
  <c r="L8610" i="1"/>
  <c r="M8610" i="1"/>
  <c r="K8611" i="1"/>
  <c r="L8611" i="1"/>
  <c r="M8611" i="1"/>
  <c r="K8612" i="1"/>
  <c r="L8612" i="1"/>
  <c r="M8612" i="1"/>
  <c r="K8613" i="1"/>
  <c r="L8613" i="1"/>
  <c r="M8613" i="1"/>
  <c r="K8614" i="1"/>
  <c r="L8614" i="1"/>
  <c r="M8614" i="1"/>
  <c r="K8615" i="1"/>
  <c r="L8615" i="1"/>
  <c r="M8615" i="1"/>
  <c r="K8616" i="1"/>
  <c r="L8616" i="1"/>
  <c r="M8616" i="1"/>
  <c r="K8665" i="1"/>
  <c r="L8665" i="1"/>
  <c r="M8665" i="1"/>
  <c r="K8666" i="1"/>
  <c r="L8666" i="1"/>
  <c r="M8666" i="1"/>
  <c r="K8667" i="1"/>
  <c r="L8667" i="1"/>
  <c r="M8667" i="1"/>
  <c r="K8668" i="1"/>
  <c r="L8668" i="1"/>
  <c r="M8668" i="1"/>
  <c r="K8669" i="1"/>
  <c r="L8669" i="1"/>
  <c r="M8669" i="1"/>
  <c r="K8670" i="1"/>
  <c r="L8670" i="1"/>
  <c r="M8670" i="1"/>
  <c r="K8671" i="1"/>
  <c r="L8671" i="1"/>
  <c r="M8671" i="1"/>
  <c r="K8672" i="1"/>
  <c r="L8672" i="1"/>
  <c r="M8672" i="1"/>
  <c r="K8673" i="1"/>
  <c r="L8673" i="1"/>
  <c r="M8673" i="1"/>
  <c r="K8674" i="1"/>
  <c r="L8674" i="1"/>
  <c r="M8674" i="1"/>
  <c r="K8675" i="1"/>
  <c r="L8675" i="1"/>
  <c r="M8675" i="1"/>
  <c r="K8676" i="1"/>
  <c r="L8676" i="1"/>
  <c r="M8676" i="1"/>
  <c r="K8677" i="1"/>
  <c r="L8677" i="1"/>
  <c r="M8677" i="1"/>
  <c r="K8678" i="1"/>
  <c r="L8678" i="1"/>
  <c r="M8678" i="1"/>
  <c r="K8679" i="1"/>
  <c r="L8679" i="1"/>
  <c r="M8679" i="1"/>
  <c r="K8680" i="1"/>
  <c r="L8680" i="1"/>
  <c r="M8680" i="1"/>
  <c r="K8681" i="1"/>
  <c r="L8681" i="1"/>
  <c r="M8681" i="1"/>
  <c r="K8682" i="1"/>
  <c r="L8682" i="1"/>
  <c r="M8682" i="1"/>
  <c r="K8683" i="1"/>
  <c r="L8683" i="1"/>
  <c r="M8683" i="1"/>
  <c r="K8684" i="1"/>
  <c r="L8684" i="1"/>
  <c r="M8684" i="1"/>
  <c r="K8685" i="1"/>
  <c r="L8685" i="1"/>
  <c r="M8685" i="1"/>
  <c r="K8686" i="1"/>
  <c r="L8686" i="1"/>
  <c r="M8686" i="1"/>
  <c r="K8687" i="1"/>
  <c r="L8687" i="1"/>
  <c r="M8687" i="1"/>
  <c r="K8688" i="1"/>
  <c r="L8688" i="1"/>
  <c r="M8688" i="1"/>
  <c r="K8689" i="1"/>
  <c r="L8689" i="1"/>
  <c r="M8689" i="1"/>
  <c r="K8690" i="1"/>
  <c r="L8690" i="1"/>
  <c r="M8690" i="1"/>
  <c r="K8743" i="1"/>
  <c r="L8743" i="1"/>
  <c r="M8743" i="1"/>
  <c r="K8744" i="1"/>
  <c r="L8744" i="1"/>
  <c r="M8744" i="1"/>
  <c r="K8745" i="1"/>
  <c r="L8745" i="1"/>
  <c r="M8745" i="1"/>
  <c r="K8746" i="1"/>
  <c r="L8746" i="1"/>
  <c r="M8746" i="1"/>
  <c r="K8747" i="1"/>
  <c r="L8747" i="1"/>
  <c r="M8747" i="1"/>
  <c r="K8748" i="1"/>
  <c r="L8748" i="1"/>
  <c r="M8748" i="1"/>
  <c r="K8749" i="1"/>
  <c r="L8749" i="1"/>
  <c r="M8749" i="1"/>
  <c r="K8750" i="1"/>
  <c r="L8750" i="1"/>
  <c r="M8750" i="1"/>
  <c r="K8751" i="1"/>
  <c r="L8751" i="1"/>
  <c r="M8751" i="1"/>
  <c r="K8752" i="1"/>
  <c r="L8752" i="1"/>
  <c r="M8752" i="1"/>
  <c r="K8753" i="1"/>
  <c r="L8753" i="1"/>
  <c r="M8753" i="1"/>
  <c r="K8754" i="1"/>
  <c r="L8754" i="1"/>
  <c r="M8754" i="1"/>
  <c r="K8755" i="1"/>
  <c r="L8755" i="1"/>
  <c r="M8755" i="1"/>
  <c r="K8756" i="1"/>
  <c r="L8756" i="1"/>
  <c r="M8756" i="1"/>
  <c r="K8757" i="1"/>
  <c r="L8757" i="1"/>
  <c r="M8757" i="1"/>
  <c r="K8758" i="1"/>
  <c r="L8758" i="1"/>
  <c r="M8758" i="1"/>
  <c r="K8759" i="1"/>
  <c r="L8759" i="1"/>
  <c r="M8759" i="1"/>
  <c r="K8760" i="1"/>
  <c r="L8760" i="1"/>
  <c r="M8760" i="1"/>
  <c r="K8761" i="1"/>
  <c r="L8761" i="1"/>
  <c r="M8761" i="1"/>
  <c r="K8762" i="1"/>
  <c r="L8762" i="1"/>
  <c r="M8762" i="1"/>
  <c r="K8763" i="1"/>
  <c r="L8763" i="1"/>
  <c r="M8763" i="1"/>
  <c r="K8764" i="1"/>
  <c r="L8764" i="1"/>
  <c r="M8764" i="1"/>
  <c r="K8765" i="1"/>
  <c r="L8765" i="1"/>
  <c r="M8765" i="1"/>
  <c r="K8766" i="1"/>
  <c r="L8766" i="1"/>
  <c r="M8766" i="1"/>
  <c r="K8767" i="1"/>
  <c r="L8767" i="1"/>
  <c r="M8767" i="1"/>
  <c r="K8768" i="1"/>
  <c r="L8768" i="1"/>
  <c r="M8768" i="1"/>
  <c r="K8769" i="1"/>
  <c r="L8769" i="1"/>
  <c r="M8769" i="1"/>
  <c r="K8770" i="1"/>
  <c r="L8770" i="1"/>
  <c r="M8770" i="1"/>
  <c r="K8771" i="1"/>
  <c r="L8771" i="1"/>
  <c r="M8771" i="1"/>
  <c r="K8772" i="1"/>
  <c r="L8772" i="1"/>
  <c r="M8772" i="1"/>
  <c r="K8773" i="1"/>
  <c r="L8773" i="1"/>
  <c r="M8773" i="1"/>
  <c r="K8774" i="1"/>
  <c r="L8774" i="1"/>
  <c r="M8774" i="1"/>
  <c r="K8775" i="1"/>
  <c r="L8775" i="1"/>
  <c r="M8775" i="1"/>
  <c r="K8776" i="1"/>
  <c r="L8776" i="1"/>
  <c r="M8776" i="1"/>
  <c r="K8777" i="1"/>
  <c r="L8777" i="1"/>
  <c r="M8777" i="1"/>
  <c r="K8778" i="1"/>
  <c r="L8778" i="1"/>
  <c r="M8778" i="1"/>
  <c r="K8779" i="1"/>
  <c r="L8779" i="1"/>
  <c r="M8779" i="1"/>
  <c r="K8780" i="1"/>
  <c r="L8780" i="1"/>
  <c r="M8780" i="1"/>
  <c r="K8781" i="1"/>
  <c r="L8781" i="1"/>
  <c r="M8781" i="1"/>
  <c r="K8782" i="1"/>
  <c r="L8782" i="1"/>
  <c r="M8782" i="1"/>
  <c r="K8783" i="1"/>
  <c r="L8783" i="1"/>
  <c r="M8783" i="1"/>
  <c r="K8784" i="1"/>
  <c r="L8784" i="1"/>
  <c r="M8784" i="1"/>
  <c r="K8785" i="1"/>
  <c r="L8785" i="1"/>
  <c r="M8785" i="1"/>
  <c r="K8786" i="1"/>
  <c r="L8786" i="1"/>
  <c r="M8786" i="1"/>
  <c r="K8787" i="1"/>
  <c r="L8787" i="1"/>
  <c r="M8787" i="1"/>
  <c r="K8788" i="1"/>
  <c r="L8788" i="1"/>
  <c r="M8788" i="1"/>
  <c r="K8789" i="1"/>
  <c r="L8789" i="1"/>
  <c r="M8789" i="1"/>
  <c r="K8790" i="1"/>
  <c r="L8790" i="1"/>
  <c r="M8790" i="1"/>
  <c r="K8791" i="1"/>
  <c r="L8791" i="1"/>
  <c r="M8791" i="1"/>
  <c r="K8792" i="1"/>
  <c r="L8792" i="1"/>
  <c r="M8792" i="1"/>
  <c r="K8793" i="1"/>
  <c r="L8793" i="1"/>
  <c r="M8793" i="1"/>
  <c r="K8794" i="1"/>
  <c r="L8794" i="1"/>
  <c r="M8794" i="1"/>
  <c r="K8795" i="1"/>
  <c r="L8795" i="1"/>
  <c r="M8795" i="1"/>
  <c r="K8796" i="1"/>
  <c r="L8796" i="1"/>
  <c r="M8796" i="1"/>
  <c r="K8797" i="1"/>
  <c r="L8797" i="1"/>
  <c r="M8797" i="1"/>
  <c r="K8798" i="1"/>
  <c r="L8798" i="1"/>
  <c r="M8798" i="1"/>
  <c r="K8799" i="1"/>
  <c r="L8799" i="1"/>
  <c r="M8799" i="1"/>
  <c r="K8800" i="1"/>
  <c r="L8800" i="1"/>
  <c r="M8800" i="1"/>
  <c r="K8801" i="1"/>
  <c r="L8801" i="1"/>
  <c r="M8801" i="1"/>
  <c r="K8802" i="1"/>
  <c r="L8802" i="1"/>
  <c r="M8802" i="1"/>
  <c r="K8803" i="1"/>
  <c r="L8803" i="1"/>
  <c r="M8803" i="1"/>
  <c r="K8804" i="1"/>
  <c r="L8804" i="1"/>
  <c r="M8804" i="1"/>
  <c r="K8805" i="1"/>
  <c r="L8805" i="1"/>
  <c r="M8805" i="1"/>
  <c r="K8806" i="1"/>
  <c r="L8806" i="1"/>
  <c r="M8806" i="1"/>
  <c r="K8807" i="1"/>
  <c r="L8807" i="1"/>
  <c r="M8807" i="1"/>
  <c r="K8808" i="1"/>
  <c r="L8808" i="1"/>
  <c r="M8808" i="1"/>
  <c r="K8809" i="1"/>
  <c r="L8809" i="1"/>
  <c r="M8809" i="1"/>
  <c r="K8810" i="1"/>
  <c r="L8810" i="1"/>
  <c r="M8810" i="1"/>
  <c r="K8811" i="1"/>
  <c r="L8811" i="1"/>
  <c r="M8811" i="1"/>
  <c r="K8812" i="1"/>
  <c r="L8812" i="1"/>
  <c r="M8812" i="1"/>
  <c r="K8813" i="1"/>
  <c r="L8813" i="1"/>
  <c r="M8813" i="1"/>
  <c r="K8814" i="1"/>
  <c r="L8814" i="1"/>
  <c r="M8814" i="1"/>
  <c r="K8815" i="1"/>
  <c r="L8815" i="1"/>
  <c r="M8815" i="1"/>
  <c r="K8816" i="1"/>
  <c r="L8816" i="1"/>
  <c r="M8816" i="1"/>
  <c r="K8817" i="1"/>
  <c r="L8817" i="1"/>
  <c r="M8817" i="1"/>
  <c r="K8818" i="1"/>
  <c r="L8818" i="1"/>
  <c r="M8818" i="1"/>
  <c r="K8819" i="1"/>
  <c r="L8819" i="1"/>
  <c r="M8819" i="1"/>
  <c r="K8820" i="1"/>
  <c r="L8820" i="1"/>
  <c r="M8820" i="1"/>
  <c r="K8821" i="1"/>
  <c r="L8821" i="1"/>
  <c r="M8821" i="1"/>
  <c r="K8822" i="1"/>
  <c r="L8822" i="1"/>
  <c r="M8822" i="1"/>
  <c r="K8823" i="1"/>
  <c r="L8823" i="1"/>
  <c r="M8823" i="1"/>
  <c r="K8303" i="1"/>
  <c r="L8303" i="1"/>
  <c r="M8303" i="1"/>
  <c r="K8304" i="1"/>
  <c r="L8304" i="1"/>
  <c r="M8304" i="1"/>
  <c r="K8305" i="1"/>
  <c r="L8305" i="1"/>
  <c r="M8305" i="1"/>
  <c r="K8306" i="1"/>
  <c r="L8306" i="1"/>
  <c r="M8306" i="1"/>
  <c r="K8307" i="1"/>
  <c r="L8307" i="1"/>
  <c r="M8307" i="1"/>
  <c r="K8308" i="1"/>
  <c r="L8308" i="1"/>
  <c r="M8308" i="1"/>
  <c r="K8309" i="1"/>
  <c r="L8309" i="1"/>
  <c r="M8309" i="1"/>
  <c r="K8310" i="1"/>
  <c r="L8310" i="1"/>
  <c r="M8310" i="1"/>
  <c r="K8311" i="1"/>
  <c r="L8311" i="1"/>
  <c r="M8311" i="1"/>
  <c r="K8312" i="1"/>
  <c r="L8312" i="1"/>
  <c r="M8312" i="1"/>
  <c r="K8313" i="1"/>
  <c r="L8313" i="1"/>
  <c r="M8313" i="1"/>
  <c r="K8314" i="1"/>
  <c r="L8314" i="1"/>
  <c r="M8314" i="1"/>
  <c r="K8315" i="1"/>
  <c r="L8315" i="1"/>
  <c r="M8315" i="1"/>
  <c r="K8316" i="1"/>
  <c r="L8316" i="1"/>
  <c r="M8316" i="1"/>
  <c r="K8317" i="1"/>
  <c r="L8317" i="1"/>
  <c r="M8317" i="1"/>
  <c r="K8318" i="1"/>
  <c r="L8318" i="1"/>
  <c r="M8318" i="1"/>
  <c r="K8319" i="1"/>
  <c r="L8319" i="1"/>
  <c r="M8319" i="1"/>
  <c r="K8320" i="1"/>
  <c r="L8320" i="1"/>
  <c r="M8320" i="1"/>
  <c r="K8321" i="1"/>
  <c r="L8321" i="1"/>
  <c r="M8321" i="1"/>
  <c r="K8322" i="1"/>
  <c r="L8322" i="1"/>
  <c r="M8322" i="1"/>
  <c r="K8323" i="1"/>
  <c r="L8323" i="1"/>
  <c r="M8323" i="1"/>
  <c r="K8324" i="1"/>
  <c r="L8324" i="1"/>
  <c r="M8324" i="1"/>
  <c r="K8325" i="1"/>
  <c r="L8325" i="1"/>
  <c r="M8325" i="1"/>
  <c r="K8946" i="1"/>
  <c r="L8946" i="1"/>
  <c r="K8947" i="1"/>
  <c r="L8947" i="1"/>
  <c r="K8948" i="1"/>
  <c r="L8948" i="1"/>
  <c r="K8949" i="1"/>
  <c r="L8949" i="1"/>
  <c r="K8950" i="1"/>
  <c r="L8950" i="1"/>
  <c r="K8951" i="1"/>
  <c r="L8951" i="1"/>
  <c r="K8952" i="1"/>
  <c r="L8952" i="1"/>
  <c r="K8953" i="1"/>
  <c r="L8953" i="1"/>
  <c r="K8954" i="1"/>
  <c r="L8954" i="1"/>
  <c r="K8955" i="1"/>
  <c r="L8955" i="1"/>
  <c r="K8956" i="1"/>
  <c r="L8956" i="1"/>
  <c r="K8957" i="1"/>
  <c r="L8957" i="1"/>
  <c r="K8958" i="1"/>
  <c r="L8958" i="1"/>
  <c r="K8959" i="1"/>
  <c r="L8959" i="1"/>
  <c r="K8960" i="1"/>
  <c r="L8960" i="1"/>
  <c r="K8961" i="1"/>
  <c r="L8961" i="1"/>
  <c r="K8962" i="1"/>
  <c r="L8962" i="1"/>
  <c r="K8963" i="1"/>
  <c r="L8963" i="1"/>
  <c r="K8964" i="1"/>
  <c r="L8964" i="1"/>
  <c r="K8917" i="1"/>
  <c r="L8917" i="1"/>
  <c r="K8918" i="1"/>
  <c r="L8918" i="1"/>
  <c r="K8919" i="1"/>
  <c r="L8919" i="1"/>
  <c r="K8920" i="1"/>
  <c r="L8920" i="1"/>
  <c r="K8921" i="1"/>
  <c r="L8921" i="1"/>
  <c r="K8922" i="1"/>
  <c r="L8922" i="1"/>
  <c r="K8923" i="1"/>
  <c r="L8923" i="1"/>
  <c r="K8924" i="1"/>
  <c r="L8924" i="1"/>
  <c r="K8925" i="1"/>
  <c r="L8925" i="1"/>
  <c r="K8926" i="1"/>
  <c r="L8926" i="1"/>
  <c r="K8927" i="1"/>
  <c r="L8927" i="1"/>
  <c r="K8928" i="1"/>
  <c r="L8928" i="1"/>
  <c r="K8929" i="1"/>
  <c r="L8929" i="1"/>
  <c r="K8930" i="1"/>
  <c r="L8930" i="1"/>
  <c r="K8931" i="1"/>
  <c r="L8931" i="1"/>
  <c r="K8932" i="1"/>
  <c r="L8932" i="1"/>
  <c r="K8933" i="1"/>
  <c r="L8933" i="1"/>
  <c r="K8934" i="1"/>
  <c r="L8934" i="1"/>
  <c r="K8935" i="1"/>
  <c r="L8935" i="1"/>
  <c r="K8936" i="1"/>
  <c r="L8936" i="1"/>
  <c r="K8937" i="1"/>
  <c r="L8937" i="1"/>
  <c r="K8938" i="1"/>
  <c r="L8938" i="1"/>
  <c r="K8939" i="1"/>
  <c r="L8939" i="1"/>
  <c r="K8940" i="1"/>
  <c r="L8940" i="1"/>
  <c r="K8941" i="1"/>
  <c r="L8941" i="1"/>
  <c r="K8942" i="1"/>
  <c r="L8942" i="1"/>
  <c r="K8943" i="1"/>
  <c r="L8943" i="1"/>
  <c r="K8944" i="1"/>
  <c r="L8944" i="1"/>
  <c r="K8945" i="1"/>
  <c r="L8945" i="1"/>
  <c r="K8429" i="1"/>
  <c r="L8429" i="1"/>
  <c r="M8429" i="1"/>
  <c r="K8430" i="1"/>
  <c r="L8430" i="1"/>
  <c r="M8430" i="1"/>
  <c r="K8431" i="1"/>
  <c r="L8431" i="1"/>
  <c r="M8431" i="1"/>
  <c r="K8432" i="1"/>
  <c r="L8432" i="1"/>
  <c r="M8432" i="1"/>
  <c r="K8433" i="1"/>
  <c r="L8433" i="1"/>
  <c r="M8433" i="1"/>
  <c r="K8434" i="1"/>
  <c r="L8434" i="1"/>
  <c r="M8434" i="1"/>
  <c r="K8435" i="1"/>
  <c r="L8435" i="1"/>
  <c r="M8435" i="1"/>
  <c r="K8436" i="1"/>
  <c r="L8436" i="1"/>
  <c r="M8436" i="1"/>
  <c r="K8437" i="1"/>
  <c r="L8437" i="1"/>
  <c r="M8437" i="1"/>
  <c r="K8438" i="1"/>
  <c r="L8438" i="1"/>
  <c r="M8438" i="1"/>
  <c r="K8439" i="1"/>
  <c r="L8439" i="1"/>
  <c r="M8439" i="1"/>
  <c r="K8440" i="1"/>
  <c r="L8440" i="1"/>
  <c r="M8440" i="1"/>
  <c r="K8441" i="1"/>
  <c r="L8441" i="1"/>
  <c r="M8441" i="1"/>
  <c r="K8442" i="1"/>
  <c r="L8442" i="1"/>
  <c r="M8442" i="1"/>
  <c r="K8443" i="1"/>
  <c r="L8443" i="1"/>
  <c r="M8443" i="1"/>
  <c r="K8444" i="1"/>
  <c r="L8444" i="1"/>
  <c r="M8444" i="1"/>
  <c r="K8445" i="1"/>
  <c r="L8445" i="1"/>
  <c r="M8445" i="1"/>
  <c r="K8446" i="1"/>
  <c r="L8446" i="1"/>
  <c r="M8446" i="1"/>
  <c r="K8447" i="1"/>
  <c r="L8447" i="1"/>
  <c r="M8447" i="1"/>
  <c r="K8448" i="1"/>
  <c r="L8448" i="1"/>
  <c r="M8448" i="1"/>
  <c r="K8617" i="1"/>
  <c r="L8617" i="1"/>
  <c r="M8617" i="1"/>
  <c r="K8618" i="1"/>
  <c r="L8618" i="1"/>
  <c r="M8618" i="1"/>
  <c r="K8619" i="1"/>
  <c r="L8619" i="1"/>
  <c r="M8619" i="1"/>
  <c r="K8620" i="1"/>
  <c r="L8620" i="1"/>
  <c r="M8620" i="1"/>
  <c r="K8621" i="1"/>
  <c r="L8621" i="1"/>
  <c r="M8621" i="1"/>
  <c r="K8622" i="1"/>
  <c r="L8622" i="1"/>
  <c r="M8622" i="1"/>
  <c r="K8623" i="1"/>
  <c r="L8623" i="1"/>
  <c r="M8623" i="1"/>
  <c r="K8624" i="1"/>
  <c r="L8624" i="1"/>
  <c r="M8624" i="1"/>
  <c r="K8625" i="1"/>
  <c r="L8625" i="1"/>
  <c r="M8625" i="1"/>
  <c r="K8626" i="1"/>
  <c r="L8626" i="1"/>
  <c r="M8626" i="1"/>
  <c r="K8627" i="1"/>
  <c r="L8627" i="1"/>
  <c r="M8627" i="1"/>
  <c r="K8628" i="1"/>
  <c r="L8628" i="1"/>
  <c r="M8628" i="1"/>
  <c r="K8629" i="1"/>
  <c r="L8629" i="1"/>
  <c r="M8629" i="1"/>
  <c r="K8630" i="1"/>
  <c r="L8630" i="1"/>
  <c r="M8630" i="1"/>
  <c r="K8631" i="1"/>
  <c r="L8631" i="1"/>
  <c r="M8631" i="1"/>
  <c r="K8632" i="1"/>
  <c r="L8632" i="1"/>
  <c r="M8632" i="1"/>
  <c r="K8633" i="1"/>
  <c r="L8633" i="1"/>
  <c r="M8633" i="1"/>
  <c r="K8634" i="1"/>
  <c r="L8634" i="1"/>
  <c r="M8634" i="1"/>
  <c r="K8635" i="1"/>
  <c r="L8635" i="1"/>
  <c r="M8635" i="1"/>
  <c r="K8636" i="1"/>
  <c r="L8636" i="1"/>
  <c r="M8636" i="1"/>
  <c r="K8637" i="1"/>
  <c r="L8637" i="1"/>
  <c r="M8637" i="1"/>
  <c r="K8638" i="1"/>
  <c r="L8638" i="1"/>
  <c r="M8638" i="1"/>
  <c r="K8639" i="1"/>
  <c r="L8639" i="1"/>
  <c r="M8639" i="1"/>
  <c r="K8640" i="1"/>
  <c r="L8640" i="1"/>
  <c r="M8640" i="1"/>
  <c r="K8641" i="1"/>
  <c r="L8641" i="1"/>
  <c r="M8641" i="1"/>
  <c r="K8642" i="1"/>
  <c r="L8642" i="1"/>
  <c r="M8642" i="1"/>
  <c r="K8643" i="1"/>
  <c r="L8643" i="1"/>
  <c r="M8643" i="1"/>
  <c r="K8644" i="1"/>
  <c r="L8644" i="1"/>
  <c r="M8644" i="1"/>
  <c r="K8645" i="1"/>
  <c r="L8645" i="1"/>
  <c r="M8645" i="1"/>
  <c r="K8646" i="1"/>
  <c r="L8646" i="1"/>
  <c r="M8646" i="1"/>
  <c r="K8647" i="1"/>
  <c r="L8647" i="1"/>
  <c r="M8647" i="1"/>
  <c r="K8648" i="1"/>
  <c r="L8648" i="1"/>
  <c r="M8648" i="1"/>
  <c r="K8649" i="1"/>
  <c r="L8649" i="1"/>
  <c r="M8649" i="1"/>
  <c r="K8650" i="1"/>
  <c r="L8650" i="1"/>
  <c r="M8650" i="1"/>
  <c r="K8651" i="1"/>
  <c r="L8651" i="1"/>
  <c r="M8651" i="1"/>
  <c r="K8652" i="1"/>
  <c r="L8652" i="1"/>
  <c r="M8652" i="1"/>
  <c r="K8653" i="1"/>
  <c r="L8653" i="1"/>
  <c r="M8653" i="1"/>
  <c r="K8654" i="1"/>
  <c r="L8654" i="1"/>
  <c r="M8654" i="1"/>
  <c r="K8655" i="1"/>
  <c r="L8655" i="1"/>
  <c r="M8655" i="1"/>
  <c r="K8656" i="1"/>
  <c r="L8656" i="1"/>
  <c r="M8656" i="1"/>
  <c r="K8657" i="1"/>
  <c r="L8657" i="1"/>
  <c r="M8657" i="1"/>
  <c r="K8658" i="1"/>
  <c r="L8658" i="1"/>
  <c r="M8658" i="1"/>
  <c r="K8659" i="1"/>
  <c r="L8659" i="1"/>
  <c r="M8659" i="1"/>
  <c r="K8660" i="1"/>
  <c r="L8660" i="1"/>
  <c r="M8660" i="1"/>
  <c r="K8661" i="1"/>
  <c r="L8661" i="1"/>
  <c r="M8661" i="1"/>
  <c r="K8662" i="1"/>
  <c r="L8662" i="1"/>
  <c r="M8662" i="1"/>
  <c r="K8663" i="1"/>
  <c r="L8663" i="1"/>
  <c r="M8663" i="1"/>
  <c r="K8664" i="1"/>
  <c r="L8664" i="1"/>
  <c r="M8664" i="1"/>
  <c r="K8691" i="1"/>
  <c r="L8691" i="1"/>
  <c r="M8691" i="1"/>
  <c r="K8692" i="1"/>
  <c r="L8692" i="1"/>
  <c r="M8692" i="1"/>
  <c r="K8693" i="1"/>
  <c r="L8693" i="1"/>
  <c r="M8693" i="1"/>
  <c r="K8694" i="1"/>
  <c r="L8694" i="1"/>
  <c r="M8694" i="1"/>
  <c r="K8695" i="1"/>
  <c r="L8695" i="1"/>
  <c r="M8695" i="1"/>
  <c r="K8696" i="1"/>
  <c r="L8696" i="1"/>
  <c r="M8696" i="1"/>
  <c r="K8697" i="1"/>
  <c r="L8697" i="1"/>
  <c r="M8697" i="1"/>
  <c r="K8698" i="1"/>
  <c r="L8698" i="1"/>
  <c r="M8698" i="1"/>
  <c r="K8699" i="1"/>
  <c r="L8699" i="1"/>
  <c r="M8699" i="1"/>
  <c r="K8700" i="1"/>
  <c r="L8700" i="1"/>
  <c r="M8700" i="1"/>
  <c r="K8701" i="1"/>
  <c r="L8701" i="1"/>
  <c r="M8701" i="1"/>
  <c r="K8702" i="1"/>
  <c r="L8702" i="1"/>
  <c r="M8702" i="1"/>
  <c r="K8703" i="1"/>
  <c r="L8703" i="1"/>
  <c r="M8703" i="1"/>
  <c r="K8704" i="1"/>
  <c r="L8704" i="1"/>
  <c r="M8704" i="1"/>
  <c r="K8705" i="1"/>
  <c r="L8705" i="1"/>
  <c r="M8705" i="1"/>
  <c r="K8706" i="1"/>
  <c r="L8706" i="1"/>
  <c r="M8706" i="1"/>
  <c r="K8707" i="1"/>
  <c r="L8707" i="1"/>
  <c r="M8707" i="1"/>
  <c r="K8708" i="1"/>
  <c r="L8708" i="1"/>
  <c r="M8708" i="1"/>
  <c r="K8709" i="1"/>
  <c r="L8709" i="1"/>
  <c r="M8709" i="1"/>
  <c r="K8710" i="1"/>
  <c r="L8710" i="1"/>
  <c r="M8710" i="1"/>
  <c r="K8711" i="1"/>
  <c r="L8711" i="1"/>
  <c r="M8711" i="1"/>
  <c r="K8712" i="1"/>
  <c r="L8712" i="1"/>
  <c r="M8712" i="1"/>
  <c r="K8713" i="1"/>
  <c r="L8713" i="1"/>
  <c r="M8713" i="1"/>
  <c r="K8714" i="1"/>
  <c r="L8714" i="1"/>
  <c r="M8714" i="1"/>
  <c r="K8715" i="1"/>
  <c r="L8715" i="1"/>
  <c r="M8715" i="1"/>
  <c r="K8716" i="1"/>
  <c r="L8716" i="1"/>
  <c r="M8716" i="1"/>
  <c r="K8717" i="1"/>
  <c r="L8717" i="1"/>
  <c r="M8717" i="1"/>
  <c r="K8718" i="1"/>
  <c r="L8718" i="1"/>
  <c r="M8718" i="1"/>
  <c r="K8719" i="1"/>
  <c r="L8719" i="1"/>
  <c r="M8719" i="1"/>
  <c r="K8720" i="1"/>
  <c r="L8720" i="1"/>
  <c r="M8720" i="1"/>
  <c r="K8721" i="1"/>
  <c r="L8721" i="1"/>
  <c r="M8721" i="1"/>
  <c r="K8722" i="1"/>
  <c r="L8722" i="1"/>
  <c r="M8722" i="1"/>
  <c r="K8723" i="1"/>
  <c r="L8723" i="1"/>
  <c r="M8723" i="1"/>
  <c r="K8724" i="1"/>
  <c r="L8724" i="1"/>
  <c r="M8724" i="1"/>
  <c r="K8725" i="1"/>
  <c r="L8725" i="1"/>
  <c r="M8725" i="1"/>
  <c r="K8726" i="1"/>
  <c r="L8726" i="1"/>
  <c r="M8726" i="1"/>
  <c r="K8727" i="1"/>
  <c r="L8727" i="1"/>
  <c r="M8727" i="1"/>
  <c r="K8728" i="1"/>
  <c r="L8728" i="1"/>
  <c r="M8728" i="1"/>
  <c r="K8729" i="1"/>
  <c r="L8729" i="1"/>
  <c r="M8729" i="1"/>
  <c r="K8730" i="1"/>
  <c r="L8730" i="1"/>
  <c r="M8730" i="1"/>
  <c r="K8731" i="1"/>
  <c r="L8731" i="1"/>
  <c r="M8731" i="1"/>
  <c r="K8732" i="1"/>
  <c r="L8732" i="1"/>
  <c r="M8732" i="1"/>
  <c r="K8733" i="1"/>
  <c r="L8733" i="1"/>
  <c r="M8733" i="1"/>
  <c r="K8734" i="1"/>
  <c r="L8734" i="1"/>
  <c r="M8734" i="1"/>
  <c r="K8735" i="1"/>
  <c r="L8735" i="1"/>
  <c r="M8735" i="1"/>
  <c r="K8736" i="1"/>
  <c r="L8736" i="1"/>
  <c r="M8736" i="1"/>
  <c r="K8737" i="1"/>
  <c r="L8737" i="1"/>
  <c r="M8737" i="1"/>
  <c r="K8738" i="1"/>
  <c r="L8738" i="1"/>
  <c r="M8738" i="1"/>
  <c r="K8739" i="1"/>
  <c r="L8739" i="1"/>
  <c r="M8739" i="1"/>
  <c r="K8740" i="1"/>
  <c r="L8740" i="1"/>
  <c r="M8740" i="1"/>
  <c r="K8741" i="1"/>
  <c r="L8741" i="1"/>
  <c r="M8741" i="1"/>
  <c r="K8742" i="1"/>
  <c r="L8742" i="1"/>
  <c r="M8742" i="1"/>
  <c r="K8824" i="1"/>
  <c r="L8824" i="1"/>
  <c r="M8824" i="1"/>
  <c r="K8825" i="1"/>
  <c r="L8825" i="1"/>
  <c r="M8825" i="1"/>
  <c r="K8826" i="1"/>
  <c r="L8826" i="1"/>
  <c r="M8826" i="1"/>
  <c r="K8827" i="1"/>
  <c r="L8827" i="1"/>
  <c r="M8827" i="1"/>
  <c r="K8828" i="1"/>
  <c r="L8828" i="1"/>
  <c r="M8828" i="1"/>
  <c r="K8829" i="1"/>
  <c r="L8829" i="1"/>
  <c r="M8829" i="1"/>
  <c r="K8830" i="1"/>
  <c r="L8830" i="1"/>
  <c r="M8830" i="1"/>
  <c r="K8831" i="1"/>
  <c r="L8831" i="1"/>
  <c r="M8831" i="1"/>
  <c r="K8832" i="1"/>
  <c r="L8832" i="1"/>
  <c r="M8832" i="1"/>
  <c r="K8833" i="1"/>
  <c r="L8833" i="1"/>
  <c r="M8833" i="1"/>
  <c r="K8834" i="1"/>
  <c r="L8834" i="1"/>
  <c r="M8834" i="1"/>
  <c r="K8835" i="1"/>
  <c r="L8835" i="1"/>
  <c r="M8835" i="1"/>
  <c r="K8836" i="1"/>
  <c r="L8836" i="1"/>
  <c r="M8836" i="1"/>
  <c r="K8837" i="1"/>
  <c r="L8837" i="1"/>
  <c r="M8837" i="1"/>
  <c r="K8965" i="1"/>
  <c r="L8965" i="1"/>
  <c r="M8965" i="1"/>
  <c r="K8966" i="1"/>
  <c r="L8966" i="1"/>
  <c r="M8966" i="1"/>
  <c r="K8967" i="1"/>
  <c r="L8967" i="1"/>
  <c r="M8967" i="1"/>
  <c r="K8968" i="1"/>
  <c r="L8968" i="1"/>
  <c r="M8968" i="1"/>
  <c r="K8969" i="1"/>
  <c r="L8969" i="1"/>
  <c r="M8969" i="1"/>
  <c r="K8970" i="1"/>
  <c r="L8970" i="1"/>
  <c r="M8970" i="1"/>
  <c r="K8971" i="1"/>
  <c r="L8971" i="1"/>
  <c r="M8971" i="1"/>
  <c r="K8972" i="1"/>
  <c r="L8972" i="1"/>
  <c r="M8972" i="1"/>
  <c r="K8973" i="1"/>
  <c r="L8973" i="1"/>
  <c r="M8973" i="1"/>
  <c r="K8974" i="1"/>
  <c r="L8974" i="1"/>
  <c r="M8974" i="1"/>
  <c r="K8975" i="1"/>
  <c r="L8975" i="1"/>
  <c r="M8975" i="1"/>
  <c r="K8976" i="1"/>
  <c r="L8976" i="1"/>
  <c r="M8976" i="1"/>
  <c r="K8977" i="1"/>
  <c r="L8977" i="1"/>
  <c r="M8977" i="1"/>
  <c r="K8978" i="1"/>
  <c r="L8978" i="1"/>
  <c r="M8978" i="1"/>
  <c r="K8979" i="1"/>
  <c r="L8979" i="1"/>
  <c r="M8979" i="1"/>
  <c r="K8980" i="1"/>
  <c r="L8980" i="1"/>
  <c r="M8980" i="1"/>
  <c r="K8981" i="1"/>
  <c r="L8981" i="1"/>
  <c r="M8981" i="1"/>
  <c r="K8982" i="1"/>
  <c r="L8982" i="1"/>
  <c r="M8982" i="1"/>
  <c r="K8983" i="1"/>
  <c r="L8983" i="1"/>
  <c r="M8983" i="1"/>
  <c r="K8984" i="1"/>
  <c r="L8984" i="1"/>
  <c r="M8984" i="1"/>
  <c r="K8985" i="1"/>
  <c r="L8985" i="1"/>
  <c r="M8985" i="1"/>
  <c r="K8986" i="1"/>
  <c r="L8986" i="1"/>
  <c r="M8986" i="1"/>
  <c r="K8987" i="1"/>
  <c r="L8987" i="1"/>
  <c r="M8987" i="1"/>
  <c r="K8988" i="1"/>
  <c r="L8988" i="1"/>
  <c r="M8988" i="1"/>
  <c r="K8989" i="1"/>
  <c r="L8989" i="1"/>
  <c r="M8989" i="1"/>
  <c r="K8990" i="1"/>
  <c r="L8990" i="1"/>
  <c r="M8990" i="1"/>
  <c r="K9194" i="1"/>
  <c r="M9194" i="1"/>
  <c r="K9195" i="1"/>
  <c r="M9195" i="1"/>
  <c r="K9196" i="1"/>
  <c r="M9196" i="1"/>
  <c r="K9197" i="1"/>
  <c r="M9197" i="1"/>
  <c r="K9198" i="1"/>
  <c r="M9198" i="1"/>
  <c r="K9199" i="1"/>
  <c r="M9199" i="1"/>
  <c r="K9200" i="1"/>
  <c r="M9200" i="1"/>
  <c r="K9201" i="1"/>
  <c r="M9201" i="1"/>
  <c r="K9202" i="1"/>
  <c r="M9202" i="1"/>
  <c r="K9203" i="1"/>
  <c r="M9203" i="1"/>
  <c r="K9204" i="1"/>
  <c r="M9204" i="1"/>
  <c r="K9205" i="1"/>
  <c r="M9205" i="1"/>
  <c r="K9206" i="1"/>
  <c r="M9206" i="1"/>
  <c r="K9207" i="1"/>
  <c r="M9207" i="1"/>
  <c r="K9208" i="1"/>
  <c r="M9208" i="1"/>
  <c r="K9209" i="1"/>
  <c r="M9209" i="1"/>
  <c r="K9210" i="1"/>
  <c r="M9210" i="1"/>
  <c r="K9211" i="1"/>
  <c r="M9211" i="1"/>
  <c r="K9212" i="1"/>
  <c r="M9212" i="1"/>
  <c r="K9213" i="1"/>
  <c r="M9213" i="1"/>
  <c r="K9214" i="1"/>
  <c r="M9214" i="1"/>
  <c r="K9215" i="1"/>
  <c r="M9215" i="1"/>
  <c r="K9216" i="1"/>
  <c r="M9216" i="1"/>
  <c r="K9217" i="1"/>
  <c r="M9217" i="1"/>
  <c r="K9218" i="1"/>
  <c r="M9218" i="1"/>
  <c r="K9219" i="1"/>
  <c r="M9219" i="1"/>
  <c r="K9220" i="1"/>
  <c r="M9220" i="1"/>
  <c r="K9221" i="1"/>
  <c r="M9221" i="1"/>
  <c r="K9222" i="1"/>
  <c r="M9222" i="1"/>
  <c r="K9223" i="1"/>
  <c r="M9223" i="1"/>
  <c r="K9224" i="1"/>
  <c r="M9224" i="1"/>
  <c r="K9225" i="1"/>
  <c r="M9225" i="1"/>
  <c r="K9226" i="1"/>
  <c r="M9226" i="1"/>
  <c r="K9227" i="1"/>
  <c r="M9227" i="1"/>
  <c r="K9228" i="1"/>
  <c r="M9228" i="1"/>
  <c r="K9229" i="1"/>
  <c r="M9229" i="1"/>
  <c r="K9230" i="1"/>
  <c r="M9230" i="1"/>
  <c r="K9231" i="1"/>
  <c r="M9231" i="1"/>
  <c r="K9232" i="1"/>
  <c r="M9232" i="1"/>
  <c r="K9233" i="1"/>
  <c r="M9233" i="1"/>
  <c r="K9234" i="1"/>
  <c r="M9234" i="1"/>
  <c r="K9235" i="1"/>
  <c r="M9235" i="1"/>
  <c r="K9236" i="1"/>
  <c r="M9236" i="1"/>
  <c r="K9237" i="1"/>
  <c r="M9237" i="1"/>
  <c r="K9238" i="1"/>
  <c r="M9238" i="1"/>
  <c r="K9239" i="1"/>
  <c r="M9239" i="1"/>
  <c r="K9240" i="1"/>
  <c r="M9240" i="1"/>
  <c r="K9241" i="1"/>
  <c r="M9241" i="1"/>
  <c r="K9242" i="1"/>
  <c r="M9242" i="1"/>
  <c r="K9243" i="1"/>
  <c r="M9243" i="1"/>
  <c r="K9244" i="1"/>
  <c r="M9244" i="1"/>
  <c r="K9133" i="1"/>
  <c r="M9133" i="1"/>
  <c r="K9134" i="1"/>
  <c r="M9134" i="1"/>
  <c r="K9135" i="1"/>
  <c r="M9135" i="1"/>
  <c r="K9136" i="1"/>
  <c r="M9136" i="1"/>
  <c r="K9137" i="1"/>
  <c r="M9137" i="1"/>
  <c r="K9138" i="1"/>
  <c r="M9138" i="1"/>
  <c r="K9139" i="1"/>
  <c r="M9139" i="1"/>
  <c r="K9140" i="1"/>
  <c r="M9140" i="1"/>
  <c r="K9141" i="1"/>
  <c r="M9141" i="1"/>
  <c r="K9142" i="1"/>
  <c r="M9142" i="1"/>
  <c r="K9143" i="1"/>
  <c r="M9143" i="1"/>
  <c r="K9144" i="1"/>
  <c r="M9144" i="1"/>
  <c r="K9145" i="1"/>
  <c r="M9145" i="1"/>
  <c r="K9146" i="1"/>
  <c r="M9146" i="1"/>
  <c r="K9147" i="1"/>
  <c r="M9147" i="1"/>
  <c r="K9148" i="1"/>
  <c r="M9148" i="1"/>
  <c r="K9149" i="1"/>
  <c r="M9149" i="1"/>
  <c r="K9150" i="1"/>
  <c r="M9150" i="1"/>
  <c r="K9151" i="1"/>
  <c r="M9151" i="1"/>
  <c r="K9152" i="1"/>
  <c r="M9152" i="1"/>
  <c r="K9153" i="1"/>
  <c r="M9153" i="1"/>
  <c r="K9154" i="1"/>
  <c r="M9154" i="1"/>
  <c r="K9155" i="1"/>
  <c r="M9155" i="1"/>
  <c r="K9156" i="1"/>
  <c r="M9156" i="1"/>
  <c r="K9157" i="1"/>
  <c r="M9157" i="1"/>
  <c r="K9158" i="1"/>
  <c r="M9158" i="1"/>
  <c r="K9159" i="1"/>
  <c r="M9159" i="1"/>
  <c r="K9160" i="1"/>
  <c r="M9160" i="1"/>
  <c r="K9161" i="1"/>
  <c r="M9161" i="1"/>
  <c r="K9162" i="1"/>
  <c r="M9162" i="1"/>
  <c r="K9163" i="1"/>
  <c r="M9163" i="1"/>
  <c r="K9164" i="1"/>
  <c r="M9164" i="1"/>
  <c r="K9165" i="1"/>
  <c r="M9165" i="1"/>
  <c r="K9166" i="1"/>
  <c r="M9166" i="1"/>
  <c r="K9167" i="1"/>
  <c r="M9167" i="1"/>
  <c r="K9168" i="1"/>
  <c r="M9168" i="1"/>
  <c r="K9169" i="1"/>
  <c r="M9169" i="1"/>
  <c r="K9170" i="1"/>
  <c r="M9170" i="1"/>
  <c r="K9171" i="1"/>
  <c r="M9171" i="1"/>
  <c r="K9172" i="1"/>
  <c r="M9172" i="1"/>
  <c r="K9173" i="1"/>
  <c r="M9173" i="1"/>
  <c r="K9174" i="1"/>
  <c r="M9174" i="1"/>
  <c r="K9175" i="1"/>
  <c r="M9175" i="1"/>
  <c r="K9176" i="1"/>
  <c r="M9176" i="1"/>
  <c r="K9177" i="1"/>
  <c r="M9177" i="1"/>
  <c r="K9178" i="1"/>
  <c r="M9178" i="1"/>
  <c r="K9179" i="1"/>
  <c r="M9179" i="1"/>
  <c r="K9180" i="1"/>
  <c r="M9180" i="1"/>
  <c r="K9181" i="1"/>
  <c r="M9181" i="1"/>
  <c r="K9182" i="1"/>
  <c r="M9182" i="1"/>
  <c r="K9183" i="1"/>
  <c r="M9183" i="1"/>
  <c r="K9184" i="1"/>
  <c r="M9184" i="1"/>
  <c r="K9185" i="1"/>
  <c r="M9185" i="1"/>
  <c r="K9186" i="1"/>
  <c r="M9186" i="1"/>
  <c r="K9187" i="1"/>
  <c r="M9187" i="1"/>
  <c r="K9188" i="1"/>
  <c r="M9188" i="1"/>
  <c r="K9189" i="1"/>
  <c r="M9189" i="1"/>
  <c r="K9190" i="1"/>
  <c r="M9190" i="1"/>
  <c r="K9191" i="1"/>
  <c r="M9191" i="1"/>
  <c r="K9192" i="1"/>
  <c r="M9192" i="1"/>
  <c r="K9193" i="1"/>
  <c r="M9193" i="1"/>
  <c r="K8991" i="1"/>
  <c r="L8991" i="1"/>
  <c r="M8991" i="1"/>
  <c r="K8992" i="1"/>
  <c r="L8992" i="1"/>
  <c r="M8992" i="1"/>
  <c r="K8993" i="1"/>
  <c r="L8993" i="1"/>
  <c r="M8993" i="1"/>
  <c r="K8994" i="1"/>
  <c r="L8994" i="1"/>
  <c r="M8994" i="1"/>
  <c r="K8995" i="1"/>
  <c r="L8995" i="1"/>
  <c r="M8995" i="1"/>
  <c r="K8996" i="1"/>
  <c r="L8996" i="1"/>
  <c r="M8996" i="1"/>
  <c r="K8997" i="1"/>
  <c r="L8997" i="1"/>
  <c r="M8997" i="1"/>
  <c r="K8998" i="1"/>
  <c r="L8998" i="1"/>
  <c r="M8998" i="1"/>
  <c r="K8999" i="1"/>
  <c r="L8999" i="1"/>
  <c r="M8999" i="1"/>
  <c r="K9000" i="1"/>
  <c r="L9000" i="1"/>
  <c r="M9000" i="1"/>
  <c r="K9001" i="1"/>
  <c r="L9001" i="1"/>
  <c r="M9001" i="1"/>
  <c r="K9002" i="1"/>
  <c r="L9002" i="1"/>
  <c r="M9002" i="1"/>
  <c r="K9003" i="1"/>
  <c r="L9003" i="1"/>
  <c r="M9003" i="1"/>
  <c r="K9401" i="1"/>
  <c r="L9401" i="1"/>
  <c r="K9402" i="1"/>
  <c r="L9402" i="1"/>
  <c r="K9403" i="1"/>
  <c r="L9403" i="1"/>
  <c r="K9404" i="1"/>
  <c r="L9404" i="1"/>
  <c r="K9405" i="1"/>
  <c r="L9405" i="1"/>
  <c r="K9406" i="1"/>
  <c r="L9406" i="1"/>
  <c r="K9407" i="1"/>
  <c r="L9407" i="1"/>
  <c r="K9408" i="1"/>
  <c r="L9408" i="1"/>
  <c r="K9409" i="1"/>
  <c r="L9409" i="1"/>
  <c r="K9410" i="1"/>
  <c r="L9410" i="1"/>
  <c r="K9411" i="1"/>
  <c r="L9411" i="1"/>
  <c r="K9412" i="1"/>
  <c r="L9412" i="1"/>
  <c r="K9413" i="1"/>
  <c r="L9413" i="1"/>
  <c r="K9414" i="1"/>
  <c r="L9414" i="1"/>
  <c r="K9415" i="1"/>
  <c r="L9415" i="1"/>
  <c r="K9416" i="1"/>
  <c r="L9416" i="1"/>
  <c r="K9417" i="1"/>
  <c r="L9417" i="1"/>
  <c r="K9418" i="1"/>
  <c r="L9418" i="1"/>
  <c r="K9419" i="1"/>
  <c r="L9419" i="1"/>
  <c r="K9420" i="1"/>
  <c r="L9420" i="1"/>
  <c r="K9421" i="1"/>
  <c r="L9421" i="1"/>
  <c r="K9385" i="1"/>
  <c r="L9385" i="1"/>
  <c r="K9386" i="1"/>
  <c r="L9386" i="1"/>
  <c r="K9387" i="1"/>
  <c r="L9387" i="1"/>
  <c r="K9388" i="1"/>
  <c r="L9388" i="1"/>
  <c r="K9389" i="1"/>
  <c r="L9389" i="1"/>
  <c r="K9390" i="1"/>
  <c r="L9390" i="1"/>
  <c r="K9391" i="1"/>
  <c r="L9391" i="1"/>
  <c r="K9392" i="1"/>
  <c r="L9392" i="1"/>
  <c r="K9393" i="1"/>
  <c r="L9393" i="1"/>
  <c r="K9394" i="1"/>
  <c r="L9394" i="1"/>
  <c r="K9395" i="1"/>
  <c r="L9395" i="1"/>
  <c r="K9396" i="1"/>
  <c r="L9396" i="1"/>
  <c r="K9397" i="1"/>
  <c r="L9397" i="1"/>
  <c r="K9398" i="1"/>
  <c r="L9398" i="1"/>
  <c r="K9399" i="1"/>
  <c r="L9399" i="1"/>
  <c r="K9400" i="1"/>
  <c r="L9400" i="1"/>
  <c r="K9004" i="1"/>
  <c r="L9004" i="1"/>
  <c r="M9004" i="1"/>
  <c r="K9005" i="1"/>
  <c r="L9005" i="1"/>
  <c r="M9005" i="1"/>
  <c r="K9006" i="1"/>
  <c r="L9006" i="1"/>
  <c r="M9006" i="1"/>
  <c r="K9007" i="1"/>
  <c r="L9007" i="1"/>
  <c r="M9007" i="1"/>
  <c r="K9008" i="1"/>
  <c r="L9008" i="1"/>
  <c r="M9008" i="1"/>
  <c r="K9431" i="1"/>
  <c r="L9431" i="1"/>
  <c r="K9432" i="1"/>
  <c r="L9432" i="1"/>
  <c r="K9433" i="1"/>
  <c r="L9433" i="1"/>
  <c r="K9434" i="1"/>
  <c r="L9434" i="1"/>
  <c r="K9435" i="1"/>
  <c r="L9435" i="1"/>
  <c r="K9436" i="1"/>
  <c r="L9436" i="1"/>
  <c r="K9437" i="1"/>
  <c r="L9437" i="1"/>
  <c r="K9438" i="1"/>
  <c r="L9438" i="1"/>
  <c r="K9439" i="1"/>
  <c r="L9439" i="1"/>
  <c r="K9440" i="1"/>
  <c r="L9440" i="1"/>
  <c r="K9441" i="1"/>
  <c r="L9441" i="1"/>
  <c r="K9442" i="1"/>
  <c r="L9442" i="1"/>
  <c r="K9443" i="1"/>
  <c r="L9443" i="1"/>
  <c r="K9444" i="1"/>
  <c r="L9444" i="1"/>
  <c r="K9445" i="1"/>
  <c r="L9445" i="1"/>
  <c r="K9446" i="1"/>
  <c r="L9446" i="1"/>
  <c r="K9447" i="1"/>
  <c r="L9447" i="1"/>
  <c r="K9448" i="1"/>
  <c r="L9448" i="1"/>
  <c r="K9449" i="1"/>
  <c r="L9449" i="1"/>
  <c r="K9450" i="1"/>
  <c r="L9450" i="1"/>
  <c r="K9451" i="1"/>
  <c r="L9451" i="1"/>
  <c r="K9452" i="1"/>
  <c r="L9452" i="1"/>
  <c r="K9453" i="1"/>
  <c r="L9453" i="1"/>
  <c r="K9454" i="1"/>
  <c r="L9454" i="1"/>
  <c r="K9422" i="1"/>
  <c r="L9422" i="1"/>
  <c r="K9423" i="1"/>
  <c r="L9423" i="1"/>
  <c r="K9424" i="1"/>
  <c r="L9424" i="1"/>
  <c r="K9425" i="1"/>
  <c r="L9425" i="1"/>
  <c r="K9426" i="1"/>
  <c r="L9426" i="1"/>
  <c r="K9427" i="1"/>
  <c r="L9427" i="1"/>
  <c r="K9428" i="1"/>
  <c r="L9428" i="1"/>
  <c r="K9429" i="1"/>
  <c r="L9429" i="1"/>
  <c r="K9430" i="1"/>
  <c r="L9430" i="1"/>
  <c r="K9009" i="1"/>
  <c r="L9009" i="1"/>
  <c r="M9009" i="1"/>
  <c r="K9010" i="1"/>
  <c r="L9010" i="1"/>
  <c r="M9010" i="1"/>
  <c r="K9011" i="1"/>
  <c r="L9011" i="1"/>
  <c r="M9011" i="1"/>
  <c r="K9463" i="1"/>
  <c r="L9463" i="1"/>
  <c r="K9464" i="1"/>
  <c r="L9464" i="1"/>
  <c r="K9465" i="1"/>
  <c r="L9465" i="1"/>
  <c r="K9466" i="1"/>
  <c r="L9466" i="1"/>
  <c r="K9456" i="1"/>
  <c r="L9456" i="1"/>
  <c r="K9457" i="1"/>
  <c r="L9457" i="1"/>
  <c r="K9458" i="1"/>
  <c r="L9458" i="1"/>
  <c r="K9459" i="1"/>
  <c r="L9459" i="1"/>
  <c r="K9460" i="1"/>
  <c r="L9460" i="1"/>
  <c r="K9461" i="1"/>
  <c r="L9461" i="1"/>
  <c r="K9462" i="1"/>
  <c r="L9462" i="1"/>
  <c r="K9467" i="1"/>
  <c r="L9467" i="1"/>
  <c r="K9012" i="1"/>
  <c r="L9012" i="1"/>
  <c r="M9012" i="1"/>
  <c r="K9013" i="1"/>
  <c r="L9013" i="1"/>
  <c r="M9013" i="1"/>
  <c r="K9014" i="1"/>
  <c r="L9014" i="1"/>
  <c r="M9014" i="1"/>
  <c r="K9015" i="1"/>
  <c r="L9015" i="1"/>
  <c r="M9015" i="1"/>
  <c r="K9016" i="1"/>
  <c r="L9016" i="1"/>
  <c r="M9016" i="1"/>
  <c r="K9017" i="1"/>
  <c r="L9017" i="1"/>
  <c r="M9017" i="1"/>
  <c r="K9018" i="1"/>
  <c r="L9018" i="1"/>
  <c r="M9018" i="1"/>
  <c r="K9484" i="1"/>
  <c r="L9484" i="1"/>
  <c r="K9485" i="1"/>
  <c r="L9485" i="1"/>
  <c r="K9486" i="1"/>
  <c r="L9486" i="1"/>
  <c r="K9487" i="1"/>
  <c r="L9487" i="1"/>
  <c r="K9468" i="1"/>
  <c r="L9468" i="1"/>
  <c r="K9469" i="1"/>
  <c r="L9469" i="1"/>
  <c r="K9470" i="1"/>
  <c r="L9470" i="1"/>
  <c r="K9471" i="1"/>
  <c r="L9471" i="1"/>
  <c r="K9472" i="1"/>
  <c r="L9472" i="1"/>
  <c r="K9473" i="1"/>
  <c r="L9473" i="1"/>
  <c r="K9474" i="1"/>
  <c r="L9474" i="1"/>
  <c r="K9475" i="1"/>
  <c r="L9475" i="1"/>
  <c r="K9476" i="1"/>
  <c r="L9476" i="1"/>
  <c r="K9477" i="1"/>
  <c r="L9477" i="1"/>
  <c r="K9478" i="1"/>
  <c r="L9478" i="1"/>
  <c r="K9479" i="1"/>
  <c r="L9479" i="1"/>
  <c r="K9480" i="1"/>
  <c r="L9480" i="1"/>
  <c r="K9481" i="1"/>
  <c r="L9481" i="1"/>
  <c r="K9482" i="1"/>
  <c r="L9482" i="1"/>
  <c r="K9483" i="1"/>
  <c r="L9483" i="1"/>
  <c r="K9019" i="1"/>
  <c r="L9019" i="1"/>
  <c r="M9019" i="1"/>
  <c r="K9020" i="1"/>
  <c r="L9020" i="1"/>
  <c r="M9020" i="1"/>
  <c r="K9021" i="1"/>
  <c r="L9021" i="1"/>
  <c r="M9021" i="1"/>
  <c r="K9022" i="1"/>
  <c r="L9022" i="1"/>
  <c r="M9022" i="1"/>
  <c r="K9023" i="1"/>
  <c r="L9023" i="1"/>
  <c r="M9023" i="1"/>
  <c r="K9024" i="1"/>
  <c r="L9024" i="1"/>
  <c r="M9024" i="1"/>
  <c r="K9025" i="1"/>
  <c r="L9025" i="1"/>
  <c r="M9025" i="1"/>
  <c r="K9026" i="1"/>
  <c r="L9026" i="1"/>
  <c r="M9026" i="1"/>
  <c r="K9027" i="1"/>
  <c r="L9027" i="1"/>
  <c r="M9027" i="1"/>
  <c r="K9028" i="1"/>
  <c r="L9028" i="1"/>
  <c r="M9028" i="1"/>
  <c r="K9029" i="1"/>
  <c r="L9029" i="1"/>
  <c r="M9029" i="1"/>
  <c r="K9030" i="1"/>
  <c r="L9030" i="1"/>
  <c r="M9030" i="1"/>
  <c r="K9031" i="1"/>
  <c r="L9031" i="1"/>
  <c r="M9031" i="1"/>
  <c r="K9032" i="1"/>
  <c r="L9032" i="1"/>
  <c r="M9032" i="1"/>
  <c r="K9033" i="1"/>
  <c r="L9033" i="1"/>
  <c r="M9033" i="1"/>
  <c r="K9034" i="1"/>
  <c r="L9034" i="1"/>
  <c r="M9034" i="1"/>
  <c r="K9505" i="1"/>
  <c r="L9505" i="1"/>
  <c r="K9506" i="1"/>
  <c r="L9506" i="1"/>
  <c r="K9507" i="1"/>
  <c r="L9507" i="1"/>
  <c r="K9508" i="1"/>
  <c r="L9508" i="1"/>
  <c r="K9509" i="1"/>
  <c r="L9509" i="1"/>
  <c r="K9488" i="1"/>
  <c r="L9488" i="1"/>
  <c r="K9489" i="1"/>
  <c r="L9489" i="1"/>
  <c r="K9490" i="1"/>
  <c r="L9490" i="1"/>
  <c r="K9491" i="1"/>
  <c r="L9491" i="1"/>
  <c r="K9492" i="1"/>
  <c r="L9492" i="1"/>
  <c r="K9493" i="1"/>
  <c r="L9493" i="1"/>
  <c r="K9494" i="1"/>
  <c r="L9494" i="1"/>
  <c r="K9495" i="1"/>
  <c r="L9495" i="1"/>
  <c r="K9496" i="1"/>
  <c r="L9496" i="1"/>
  <c r="K9497" i="1"/>
  <c r="L9497" i="1"/>
  <c r="K9498" i="1"/>
  <c r="L9498" i="1"/>
  <c r="K9499" i="1"/>
  <c r="L9499" i="1"/>
  <c r="K9500" i="1"/>
  <c r="L9500" i="1"/>
  <c r="K9501" i="1"/>
  <c r="L9501" i="1"/>
  <c r="K9502" i="1"/>
  <c r="L9502" i="1"/>
  <c r="K9503" i="1"/>
  <c r="L9503" i="1"/>
  <c r="K9504" i="1"/>
  <c r="L9504" i="1"/>
  <c r="K9035" i="1"/>
  <c r="L9035" i="1"/>
  <c r="M9035" i="1"/>
  <c r="K9036" i="1"/>
  <c r="L9036" i="1"/>
  <c r="M9036" i="1"/>
  <c r="K9037" i="1"/>
  <c r="L9037" i="1"/>
  <c r="M9037" i="1"/>
  <c r="K9038" i="1"/>
  <c r="L9038" i="1"/>
  <c r="M9038" i="1"/>
  <c r="K9039" i="1"/>
  <c r="L9039" i="1"/>
  <c r="M9039" i="1"/>
  <c r="K9040" i="1"/>
  <c r="L9040" i="1"/>
  <c r="M9040" i="1"/>
  <c r="K9041" i="1"/>
  <c r="L9041" i="1"/>
  <c r="M9041" i="1"/>
  <c r="K9042" i="1"/>
  <c r="L9042" i="1"/>
  <c r="M9042" i="1"/>
  <c r="K9043" i="1"/>
  <c r="L9043" i="1"/>
  <c r="M9043" i="1"/>
  <c r="K9044" i="1"/>
  <c r="L9044" i="1"/>
  <c r="M9044" i="1"/>
  <c r="K9045" i="1"/>
  <c r="L9045" i="1"/>
  <c r="M9045" i="1"/>
  <c r="K9046" i="1"/>
  <c r="L9046" i="1"/>
  <c r="M9046" i="1"/>
  <c r="K9047" i="1"/>
  <c r="L9047" i="1"/>
  <c r="M9047" i="1"/>
  <c r="K9048" i="1"/>
  <c r="L9048" i="1"/>
  <c r="M9048" i="1"/>
  <c r="K9049" i="1"/>
  <c r="L9049" i="1"/>
  <c r="M9049" i="1"/>
  <c r="K9050" i="1"/>
  <c r="L9050" i="1"/>
  <c r="M9050" i="1"/>
  <c r="K9051" i="1"/>
  <c r="L9051" i="1"/>
  <c r="M9051" i="1"/>
  <c r="K9052" i="1"/>
  <c r="L9052" i="1"/>
  <c r="M9052" i="1"/>
  <c r="K9525" i="1"/>
  <c r="L9525" i="1"/>
  <c r="K9526" i="1"/>
  <c r="L9526" i="1"/>
  <c r="K9527" i="1"/>
  <c r="L9527" i="1"/>
  <c r="K9528" i="1"/>
  <c r="L9528" i="1"/>
  <c r="K9529" i="1"/>
  <c r="L9529" i="1"/>
  <c r="K9530" i="1"/>
  <c r="L9530" i="1"/>
  <c r="K9531" i="1"/>
  <c r="L9531" i="1"/>
  <c r="K9532" i="1"/>
  <c r="L9532" i="1"/>
  <c r="K9533" i="1"/>
  <c r="L9533" i="1"/>
  <c r="K9534" i="1"/>
  <c r="L9534" i="1"/>
  <c r="K9535" i="1"/>
  <c r="L9535" i="1"/>
  <c r="K9536" i="1"/>
  <c r="L9536" i="1"/>
  <c r="K9510" i="1"/>
  <c r="L9510" i="1"/>
  <c r="K9511" i="1"/>
  <c r="L9511" i="1"/>
  <c r="K9512" i="1"/>
  <c r="L9512" i="1"/>
  <c r="K9513" i="1"/>
  <c r="L9513" i="1"/>
  <c r="K9514" i="1"/>
  <c r="L9514" i="1"/>
  <c r="K9515" i="1"/>
  <c r="L9515" i="1"/>
  <c r="K9516" i="1"/>
  <c r="L9516" i="1"/>
  <c r="K9517" i="1"/>
  <c r="L9517" i="1"/>
  <c r="K9518" i="1"/>
  <c r="L9518" i="1"/>
  <c r="K9519" i="1"/>
  <c r="L9519" i="1"/>
  <c r="K9520" i="1"/>
  <c r="L9520" i="1"/>
  <c r="K9521" i="1"/>
  <c r="L9521" i="1"/>
  <c r="K9522" i="1"/>
  <c r="L9522" i="1"/>
  <c r="K9523" i="1"/>
  <c r="L9523" i="1"/>
  <c r="K9524" i="1"/>
  <c r="L9524" i="1"/>
  <c r="K9053" i="1"/>
  <c r="L9053" i="1"/>
  <c r="M9053" i="1"/>
  <c r="K9054" i="1"/>
  <c r="L9054" i="1"/>
  <c r="M9054" i="1"/>
  <c r="K9055" i="1"/>
  <c r="L9055" i="1"/>
  <c r="M9055" i="1"/>
  <c r="K9056" i="1"/>
  <c r="L9056" i="1"/>
  <c r="M9056" i="1"/>
  <c r="K9057" i="1"/>
  <c r="L9057" i="1"/>
  <c r="M9057" i="1"/>
  <c r="K9058" i="1"/>
  <c r="L9058" i="1"/>
  <c r="M9058" i="1"/>
  <c r="K9059" i="1"/>
  <c r="L9059" i="1"/>
  <c r="M9059" i="1"/>
  <c r="K9060" i="1"/>
  <c r="L9060" i="1"/>
  <c r="M9060" i="1"/>
  <c r="K9061" i="1"/>
  <c r="L9061" i="1"/>
  <c r="M9061" i="1"/>
  <c r="K9062" i="1"/>
  <c r="L9062" i="1"/>
  <c r="M9062" i="1"/>
  <c r="K9063" i="1"/>
  <c r="L9063" i="1"/>
  <c r="M9063" i="1"/>
  <c r="K9064" i="1"/>
  <c r="L9064" i="1"/>
  <c r="M9064" i="1"/>
  <c r="K9065" i="1"/>
  <c r="L9065" i="1"/>
  <c r="M9065" i="1"/>
  <c r="K9066" i="1"/>
  <c r="L9066" i="1"/>
  <c r="M9066" i="1"/>
  <c r="K9067" i="1"/>
  <c r="L9067" i="1"/>
  <c r="M9067" i="1"/>
  <c r="K9068" i="1"/>
  <c r="L9068" i="1"/>
  <c r="M9068" i="1"/>
  <c r="K9069" i="1"/>
  <c r="L9069" i="1"/>
  <c r="M9069" i="1"/>
  <c r="K9070" i="1"/>
  <c r="L9070" i="1"/>
  <c r="M9070" i="1"/>
  <c r="K9071" i="1"/>
  <c r="L9071" i="1"/>
  <c r="M9071" i="1"/>
  <c r="K9072" i="1"/>
  <c r="L9072" i="1"/>
  <c r="M9072" i="1"/>
  <c r="K9073" i="1"/>
  <c r="L9073" i="1"/>
  <c r="M9073" i="1"/>
  <c r="K9074" i="1"/>
  <c r="L9074" i="1"/>
  <c r="M9074" i="1"/>
  <c r="K9075" i="1"/>
  <c r="L9075" i="1"/>
  <c r="M9075" i="1"/>
  <c r="K9076" i="1"/>
  <c r="L9076" i="1"/>
  <c r="M9076" i="1"/>
  <c r="K9077" i="1"/>
  <c r="L9077" i="1"/>
  <c r="M9077" i="1"/>
  <c r="K9078" i="1"/>
  <c r="L9078" i="1"/>
  <c r="M9078" i="1"/>
  <c r="K9079" i="1"/>
  <c r="L9079" i="1"/>
  <c r="M9079" i="1"/>
  <c r="K9556" i="1"/>
  <c r="L9556" i="1"/>
  <c r="K9557" i="1"/>
  <c r="L9557" i="1"/>
  <c r="K9558" i="1"/>
  <c r="L9558" i="1"/>
  <c r="K9559" i="1"/>
  <c r="L9559" i="1"/>
  <c r="K9560" i="1"/>
  <c r="L9560" i="1"/>
  <c r="K9561" i="1"/>
  <c r="L9561" i="1"/>
  <c r="K9562" i="1"/>
  <c r="L9562" i="1"/>
  <c r="K9563" i="1"/>
  <c r="L9563" i="1"/>
  <c r="K9564" i="1"/>
  <c r="L9564" i="1"/>
  <c r="K9565" i="1"/>
  <c r="L9565" i="1"/>
  <c r="K9566" i="1"/>
  <c r="L9566" i="1"/>
  <c r="K9567" i="1"/>
  <c r="L9567" i="1"/>
  <c r="K9568" i="1"/>
  <c r="L9568" i="1"/>
  <c r="K9569" i="1"/>
  <c r="L9569" i="1"/>
  <c r="K9570" i="1"/>
  <c r="L9570" i="1"/>
  <c r="K9571" i="1"/>
  <c r="L9571" i="1"/>
  <c r="K9537" i="1"/>
  <c r="L9537" i="1"/>
  <c r="K9538" i="1"/>
  <c r="L9538" i="1"/>
  <c r="K9539" i="1"/>
  <c r="L9539" i="1"/>
  <c r="K9540" i="1"/>
  <c r="L9540" i="1"/>
  <c r="K9541" i="1"/>
  <c r="L9541" i="1"/>
  <c r="K9542" i="1"/>
  <c r="L9542" i="1"/>
  <c r="K9543" i="1"/>
  <c r="L9543" i="1"/>
  <c r="K9544" i="1"/>
  <c r="L9544" i="1"/>
  <c r="K9545" i="1"/>
  <c r="L9545" i="1"/>
  <c r="K9546" i="1"/>
  <c r="L9546" i="1"/>
  <c r="K9547" i="1"/>
  <c r="L9547" i="1"/>
  <c r="K9548" i="1"/>
  <c r="L9548" i="1"/>
  <c r="K9549" i="1"/>
  <c r="L9549" i="1"/>
  <c r="K9550" i="1"/>
  <c r="L9550" i="1"/>
  <c r="K9551" i="1"/>
  <c r="L9551" i="1"/>
  <c r="K9552" i="1"/>
  <c r="L9552" i="1"/>
  <c r="K9553" i="1"/>
  <c r="L9553" i="1"/>
  <c r="K9554" i="1"/>
  <c r="L9554" i="1"/>
  <c r="K9555" i="1"/>
  <c r="L9555" i="1"/>
  <c r="K9080" i="1"/>
  <c r="L9080" i="1"/>
  <c r="M9080" i="1"/>
  <c r="K9081" i="1"/>
  <c r="L9081" i="1"/>
  <c r="M9081" i="1"/>
  <c r="K9082" i="1"/>
  <c r="L9082" i="1"/>
  <c r="M9082" i="1"/>
  <c r="K9083" i="1"/>
  <c r="L9083" i="1"/>
  <c r="M9083" i="1"/>
  <c r="K9084" i="1"/>
  <c r="L9084" i="1"/>
  <c r="M9084" i="1"/>
  <c r="K9085" i="1"/>
  <c r="L9085" i="1"/>
  <c r="M9085" i="1"/>
  <c r="K9086" i="1"/>
  <c r="L9086" i="1"/>
  <c r="M9086" i="1"/>
  <c r="K9087" i="1"/>
  <c r="L9087" i="1"/>
  <c r="M9087" i="1"/>
  <c r="K9088" i="1"/>
  <c r="L9088" i="1"/>
  <c r="M9088" i="1"/>
  <c r="K9089" i="1"/>
  <c r="L9089" i="1"/>
  <c r="M9089" i="1"/>
  <c r="K9090" i="1"/>
  <c r="L9090" i="1"/>
  <c r="M9090" i="1"/>
  <c r="K9091" i="1"/>
  <c r="L9091" i="1"/>
  <c r="M9091" i="1"/>
  <c r="K9092" i="1"/>
  <c r="L9092" i="1"/>
  <c r="M9092" i="1"/>
  <c r="K9093" i="1"/>
  <c r="L9093" i="1"/>
  <c r="M9093" i="1"/>
  <c r="K9585" i="1"/>
  <c r="L9585" i="1"/>
  <c r="K9586" i="1"/>
  <c r="L9586" i="1"/>
  <c r="K9587" i="1"/>
  <c r="L9587" i="1"/>
  <c r="K9588" i="1"/>
  <c r="L9588" i="1"/>
  <c r="K9572" i="1"/>
  <c r="L9572" i="1"/>
  <c r="K9573" i="1"/>
  <c r="L9573" i="1"/>
  <c r="K9574" i="1"/>
  <c r="L9574" i="1"/>
  <c r="K9575" i="1"/>
  <c r="L9575" i="1"/>
  <c r="K9576" i="1"/>
  <c r="L9576" i="1"/>
  <c r="K9577" i="1"/>
  <c r="L9577" i="1"/>
  <c r="K9578" i="1"/>
  <c r="L9578" i="1"/>
  <c r="K9579" i="1"/>
  <c r="L9579" i="1"/>
  <c r="K9580" i="1"/>
  <c r="L9580" i="1"/>
  <c r="K9581" i="1"/>
  <c r="L9581" i="1"/>
  <c r="K9582" i="1"/>
  <c r="L9582" i="1"/>
  <c r="K9583" i="1"/>
  <c r="L9583" i="1"/>
  <c r="K9584" i="1"/>
  <c r="L9584" i="1"/>
  <c r="K9094" i="1"/>
  <c r="L9094" i="1"/>
  <c r="M9094" i="1"/>
  <c r="K9095" i="1"/>
  <c r="L9095" i="1"/>
  <c r="M9095" i="1"/>
  <c r="K9096" i="1"/>
  <c r="L9096" i="1"/>
  <c r="M9096" i="1"/>
  <c r="K9097" i="1"/>
  <c r="L9097" i="1"/>
  <c r="M9097" i="1"/>
  <c r="K9098" i="1"/>
  <c r="L9098" i="1"/>
  <c r="M9098" i="1"/>
  <c r="K9099" i="1"/>
  <c r="L9099" i="1"/>
  <c r="M9099" i="1"/>
  <c r="K9100" i="1"/>
  <c r="L9100" i="1"/>
  <c r="M9100" i="1"/>
  <c r="K9101" i="1"/>
  <c r="L9101" i="1"/>
  <c r="M9101" i="1"/>
  <c r="K9102" i="1"/>
  <c r="L9102" i="1"/>
  <c r="M9102" i="1"/>
  <c r="K9103" i="1"/>
  <c r="L9103" i="1"/>
  <c r="M9103" i="1"/>
  <c r="K9104" i="1"/>
  <c r="L9104" i="1"/>
  <c r="M9104" i="1"/>
  <c r="K9105" i="1"/>
  <c r="L9105" i="1"/>
  <c r="M9105" i="1"/>
  <c r="K9106" i="1"/>
  <c r="L9106" i="1"/>
  <c r="M9106" i="1"/>
  <c r="K9107" i="1"/>
  <c r="L9107" i="1"/>
  <c r="M9107" i="1"/>
  <c r="K9108" i="1"/>
  <c r="L9108" i="1"/>
  <c r="M9108" i="1"/>
  <c r="K9109" i="1"/>
  <c r="L9109" i="1"/>
  <c r="M9109" i="1"/>
  <c r="K9110" i="1"/>
  <c r="L9110" i="1"/>
  <c r="M9110" i="1"/>
  <c r="K9111" i="1"/>
  <c r="L9111" i="1"/>
  <c r="M9111" i="1"/>
  <c r="K9112" i="1"/>
  <c r="L9112" i="1"/>
  <c r="M9112" i="1"/>
  <c r="K9113" i="1"/>
  <c r="L9113" i="1"/>
  <c r="M9113" i="1"/>
  <c r="K9597" i="1"/>
  <c r="L9597" i="1"/>
  <c r="K9598" i="1"/>
  <c r="L9598" i="1"/>
  <c r="K9599" i="1"/>
  <c r="L9599" i="1"/>
  <c r="K9589" i="1"/>
  <c r="L9589" i="1"/>
  <c r="K9590" i="1"/>
  <c r="L9590" i="1"/>
  <c r="K9591" i="1"/>
  <c r="L9591" i="1"/>
  <c r="K9592" i="1"/>
  <c r="L9592" i="1"/>
  <c r="K9593" i="1"/>
  <c r="L9593" i="1"/>
  <c r="K9594" i="1"/>
  <c r="L9594" i="1"/>
  <c r="K9595" i="1"/>
  <c r="L9595" i="1"/>
  <c r="K9596" i="1"/>
  <c r="L9596" i="1"/>
  <c r="K9114" i="1"/>
  <c r="L9114" i="1"/>
  <c r="M9114" i="1"/>
  <c r="K9115" i="1"/>
  <c r="L9115" i="1"/>
  <c r="M9115" i="1"/>
  <c r="K9116" i="1"/>
  <c r="L9116" i="1"/>
  <c r="M9116" i="1"/>
  <c r="K9117" i="1"/>
  <c r="L9117" i="1"/>
  <c r="M9117" i="1"/>
  <c r="K9118" i="1"/>
  <c r="L9118" i="1"/>
  <c r="M9118" i="1"/>
  <c r="K9119" i="1"/>
  <c r="L9119" i="1"/>
  <c r="M9119" i="1"/>
  <c r="K9120" i="1"/>
  <c r="L9120" i="1"/>
  <c r="M9120" i="1"/>
  <c r="K9121" i="1"/>
  <c r="L9121" i="1"/>
  <c r="M9121" i="1"/>
  <c r="K9122" i="1"/>
  <c r="L9122" i="1"/>
  <c r="M9122" i="1"/>
  <c r="K9123" i="1"/>
  <c r="L9123" i="1"/>
  <c r="M9123" i="1"/>
  <c r="K9124" i="1"/>
  <c r="L9124" i="1"/>
  <c r="M9124" i="1"/>
  <c r="K9125" i="1"/>
  <c r="L9125" i="1"/>
  <c r="M9125" i="1"/>
  <c r="K9126" i="1"/>
  <c r="L9126" i="1"/>
  <c r="M9126" i="1"/>
  <c r="K9127" i="1"/>
  <c r="L9127" i="1"/>
  <c r="M9127" i="1"/>
  <c r="K9128" i="1"/>
  <c r="L9128" i="1"/>
  <c r="M9128" i="1"/>
  <c r="K9129" i="1"/>
  <c r="L9129" i="1"/>
  <c r="M9129" i="1"/>
  <c r="K9130" i="1"/>
  <c r="L9130" i="1"/>
  <c r="M9130" i="1"/>
  <c r="K9131" i="1"/>
  <c r="L9131" i="1"/>
  <c r="M9131" i="1"/>
  <c r="K9132" i="1"/>
  <c r="L9132" i="1"/>
  <c r="M9132" i="1"/>
  <c r="K9633" i="1"/>
  <c r="L9633" i="1"/>
  <c r="K9634" i="1"/>
  <c r="L9634" i="1"/>
  <c r="K9635" i="1"/>
  <c r="L9635" i="1"/>
  <c r="K9636" i="1"/>
  <c r="L9636" i="1"/>
  <c r="K9637" i="1"/>
  <c r="L9637" i="1"/>
  <c r="K9638" i="1"/>
  <c r="L9638" i="1"/>
  <c r="K9639" i="1"/>
  <c r="L9639" i="1"/>
  <c r="K9640" i="1"/>
  <c r="L9640" i="1"/>
  <c r="K9641" i="1"/>
  <c r="L9641" i="1"/>
  <c r="K9642" i="1"/>
  <c r="L9642" i="1"/>
  <c r="K9643" i="1"/>
  <c r="L9643" i="1"/>
  <c r="K9644" i="1"/>
  <c r="L9644" i="1"/>
  <c r="K9645" i="1"/>
  <c r="L9645" i="1"/>
  <c r="K9646" i="1"/>
  <c r="L9646" i="1"/>
  <c r="K9647" i="1"/>
  <c r="L9647" i="1"/>
  <c r="K9648" i="1"/>
  <c r="L9648" i="1"/>
  <c r="K9649" i="1"/>
  <c r="L9649" i="1"/>
  <c r="K9650" i="1"/>
  <c r="L9650" i="1"/>
  <c r="K9651" i="1"/>
  <c r="L9651" i="1"/>
  <c r="K9652" i="1"/>
  <c r="L9652" i="1"/>
  <c r="K9653" i="1"/>
  <c r="L9653" i="1"/>
  <c r="K9654" i="1"/>
  <c r="L9654" i="1"/>
  <c r="K9655" i="1"/>
  <c r="L9655" i="1"/>
  <c r="K9656" i="1"/>
  <c r="L9656" i="1"/>
  <c r="K9657" i="1"/>
  <c r="L9657" i="1"/>
  <c r="K9658" i="1"/>
  <c r="L9658" i="1"/>
  <c r="K9659" i="1"/>
  <c r="L9659" i="1"/>
  <c r="K9660" i="1"/>
  <c r="L9660" i="1"/>
  <c r="K9661" i="1"/>
  <c r="L9661" i="1"/>
  <c r="K9600" i="1"/>
  <c r="L9600" i="1"/>
  <c r="K9601" i="1"/>
  <c r="L9601" i="1"/>
  <c r="K9602" i="1"/>
  <c r="L9602" i="1"/>
  <c r="K9603" i="1"/>
  <c r="L9603" i="1"/>
  <c r="K9604" i="1"/>
  <c r="L9604" i="1"/>
  <c r="K9605" i="1"/>
  <c r="L9605" i="1"/>
  <c r="K9606" i="1"/>
  <c r="L9606" i="1"/>
  <c r="K9607" i="1"/>
  <c r="L9607" i="1"/>
  <c r="K9608" i="1"/>
  <c r="L9608" i="1"/>
  <c r="K9609" i="1"/>
  <c r="L9609" i="1"/>
  <c r="K9610" i="1"/>
  <c r="L9610" i="1"/>
  <c r="K9611" i="1"/>
  <c r="L9611" i="1"/>
  <c r="K9612" i="1"/>
  <c r="L9612" i="1"/>
  <c r="K9613" i="1"/>
  <c r="L9613" i="1"/>
  <c r="K9614" i="1"/>
  <c r="L9614" i="1"/>
  <c r="K9615" i="1"/>
  <c r="L9615" i="1"/>
  <c r="K9616" i="1"/>
  <c r="L9616" i="1"/>
  <c r="K9617" i="1"/>
  <c r="L9617" i="1"/>
  <c r="K9618" i="1"/>
  <c r="L9618" i="1"/>
  <c r="K9619" i="1"/>
  <c r="L9619" i="1"/>
  <c r="K9620" i="1"/>
  <c r="L9620" i="1"/>
  <c r="K9621" i="1"/>
  <c r="L9621" i="1"/>
  <c r="K9622" i="1"/>
  <c r="L9622" i="1"/>
  <c r="K9623" i="1"/>
  <c r="L9623" i="1"/>
  <c r="K9624" i="1"/>
  <c r="L9624" i="1"/>
  <c r="K9625" i="1"/>
  <c r="L9625" i="1"/>
  <c r="K9626" i="1"/>
  <c r="L9626" i="1"/>
  <c r="K9627" i="1"/>
  <c r="L9627" i="1"/>
  <c r="K9628" i="1"/>
  <c r="L9628" i="1"/>
  <c r="K9629" i="1"/>
  <c r="L9629" i="1"/>
  <c r="K9630" i="1"/>
  <c r="L9630" i="1"/>
  <c r="K9631" i="1"/>
  <c r="L9631" i="1"/>
  <c r="K9632" i="1"/>
  <c r="L9632" i="1"/>
  <c r="K9245" i="1"/>
  <c r="L9245" i="1"/>
  <c r="M9245" i="1"/>
  <c r="K9246" i="1"/>
  <c r="L9246" i="1"/>
  <c r="M9246" i="1"/>
  <c r="K9247" i="1"/>
  <c r="L9247" i="1"/>
  <c r="M9247" i="1"/>
  <c r="K9248" i="1"/>
  <c r="L9248" i="1"/>
  <c r="M9248" i="1"/>
  <c r="K9249" i="1"/>
  <c r="L9249" i="1"/>
  <c r="M9249" i="1"/>
  <c r="K9250" i="1"/>
  <c r="L9250" i="1"/>
  <c r="M9250" i="1"/>
  <c r="K9251" i="1"/>
  <c r="L9251" i="1"/>
  <c r="M9251" i="1"/>
  <c r="K9252" i="1"/>
  <c r="L9252" i="1"/>
  <c r="M9252" i="1"/>
  <c r="K9253" i="1"/>
  <c r="L9253" i="1"/>
  <c r="M9253" i="1"/>
  <c r="K9254" i="1"/>
  <c r="L9254" i="1"/>
  <c r="M9254" i="1"/>
  <c r="K9255" i="1"/>
  <c r="L9255" i="1"/>
  <c r="M9255" i="1"/>
  <c r="K9256" i="1"/>
  <c r="L9256" i="1"/>
  <c r="M9256" i="1"/>
  <c r="K9257" i="1"/>
  <c r="L9257" i="1"/>
  <c r="M9257" i="1"/>
  <c r="K9258" i="1"/>
  <c r="L9258" i="1"/>
  <c r="M9258" i="1"/>
  <c r="K9259" i="1"/>
  <c r="L9259" i="1"/>
  <c r="M9259" i="1"/>
  <c r="K9260" i="1"/>
  <c r="L9260" i="1"/>
  <c r="M9260" i="1"/>
  <c r="K9261" i="1"/>
  <c r="L9261" i="1"/>
  <c r="M9261" i="1"/>
  <c r="K9262" i="1"/>
  <c r="L9262" i="1"/>
  <c r="M9262" i="1"/>
  <c r="K9263" i="1"/>
  <c r="L9263" i="1"/>
  <c r="M9263" i="1"/>
  <c r="K9264" i="1"/>
  <c r="L9264" i="1"/>
  <c r="M9264" i="1"/>
  <c r="K9265" i="1"/>
  <c r="L9265" i="1"/>
  <c r="M9265" i="1"/>
  <c r="K9266" i="1"/>
  <c r="L9266" i="1"/>
  <c r="M9266" i="1"/>
  <c r="K9267" i="1"/>
  <c r="L9267" i="1"/>
  <c r="M9267" i="1"/>
  <c r="K9268" i="1"/>
  <c r="L9268" i="1"/>
  <c r="M9268" i="1"/>
  <c r="K9269" i="1"/>
  <c r="L9269" i="1"/>
  <c r="M9269" i="1"/>
  <c r="K9270" i="1"/>
  <c r="L9270" i="1"/>
  <c r="M9270" i="1"/>
  <c r="K9271" i="1"/>
  <c r="L9271" i="1"/>
  <c r="M9271" i="1"/>
  <c r="K9272" i="1"/>
  <c r="L9272" i="1"/>
  <c r="M9272" i="1"/>
  <c r="K9273" i="1"/>
  <c r="L9273" i="1"/>
  <c r="M9273" i="1"/>
  <c r="K9274" i="1"/>
  <c r="L9274" i="1"/>
  <c r="M9274" i="1"/>
  <c r="K9275" i="1"/>
  <c r="L9275" i="1"/>
  <c r="M9275" i="1"/>
  <c r="K9276" i="1"/>
  <c r="L9276" i="1"/>
  <c r="M9276" i="1"/>
  <c r="K9277" i="1"/>
  <c r="L9277" i="1"/>
  <c r="M9277" i="1"/>
  <c r="K9278" i="1"/>
  <c r="L9278" i="1"/>
  <c r="M9278" i="1"/>
  <c r="K9279" i="1"/>
  <c r="L9279" i="1"/>
  <c r="M9279" i="1"/>
  <c r="K9280" i="1"/>
  <c r="L9280" i="1"/>
  <c r="M9280" i="1"/>
  <c r="K9281" i="1"/>
  <c r="L9281" i="1"/>
  <c r="M9281" i="1"/>
  <c r="K9282" i="1"/>
  <c r="L9282" i="1"/>
  <c r="M9282" i="1"/>
  <c r="K9283" i="1"/>
  <c r="L9283" i="1"/>
  <c r="M9283" i="1"/>
  <c r="K9284" i="1"/>
  <c r="L9284" i="1"/>
  <c r="M9284" i="1"/>
  <c r="K9285" i="1"/>
  <c r="L9285" i="1"/>
  <c r="M9285" i="1"/>
  <c r="K9286" i="1"/>
  <c r="L9286" i="1"/>
  <c r="M9286" i="1"/>
  <c r="K9287" i="1"/>
  <c r="L9287" i="1"/>
  <c r="M9287" i="1"/>
  <c r="K9288" i="1"/>
  <c r="L9288" i="1"/>
  <c r="M9288" i="1"/>
  <c r="K9289" i="1"/>
  <c r="L9289" i="1"/>
  <c r="M9289" i="1"/>
  <c r="K9290" i="1"/>
  <c r="L9290" i="1"/>
  <c r="M9290" i="1"/>
  <c r="K9291" i="1"/>
  <c r="L9291" i="1"/>
  <c r="M9291" i="1"/>
  <c r="K9292" i="1"/>
  <c r="L9292" i="1"/>
  <c r="M9292" i="1"/>
  <c r="K9293" i="1"/>
  <c r="L9293" i="1"/>
  <c r="M9293" i="1"/>
  <c r="K9294" i="1"/>
  <c r="L9294" i="1"/>
  <c r="M9294" i="1"/>
  <c r="K9295" i="1"/>
  <c r="L9295" i="1"/>
  <c r="M9295" i="1"/>
  <c r="K9296" i="1"/>
  <c r="L9296" i="1"/>
  <c r="M9296" i="1"/>
  <c r="K9297" i="1"/>
  <c r="L9297" i="1"/>
  <c r="M9297" i="1"/>
  <c r="K9298" i="1"/>
  <c r="L9298" i="1"/>
  <c r="M9298" i="1"/>
  <c r="K9299" i="1"/>
  <c r="L9299" i="1"/>
  <c r="M9299" i="1"/>
  <c r="K9300" i="1"/>
  <c r="L9300" i="1"/>
  <c r="M9300" i="1"/>
  <c r="K9301" i="1"/>
  <c r="L9301" i="1"/>
  <c r="M9301" i="1"/>
  <c r="K9302" i="1"/>
  <c r="L9302" i="1"/>
  <c r="M9302" i="1"/>
  <c r="K9303" i="1"/>
  <c r="L9303" i="1"/>
  <c r="M9303" i="1"/>
  <c r="K9304" i="1"/>
  <c r="L9304" i="1"/>
  <c r="M9304" i="1"/>
  <c r="K9305" i="1"/>
  <c r="L9305" i="1"/>
  <c r="M9305" i="1"/>
  <c r="K9306" i="1"/>
  <c r="L9306" i="1"/>
  <c r="M9306" i="1"/>
  <c r="K9307" i="1"/>
  <c r="L9307" i="1"/>
  <c r="M9307" i="1"/>
  <c r="K9308" i="1"/>
  <c r="L9308" i="1"/>
  <c r="M9308" i="1"/>
  <c r="K9309" i="1"/>
  <c r="L9309" i="1"/>
  <c r="M9309" i="1"/>
  <c r="K9310" i="1"/>
  <c r="L9310" i="1"/>
  <c r="M9310" i="1"/>
  <c r="K9311" i="1"/>
  <c r="L9311" i="1"/>
  <c r="M9311" i="1"/>
  <c r="K9312" i="1"/>
  <c r="L9312" i="1"/>
  <c r="M9312" i="1"/>
  <c r="K9313" i="1"/>
  <c r="L9313" i="1"/>
  <c r="M9313" i="1"/>
  <c r="K9314" i="1"/>
  <c r="L9314" i="1"/>
  <c r="M9314" i="1"/>
  <c r="K9315" i="1"/>
  <c r="L9315" i="1"/>
  <c r="M9315" i="1"/>
  <c r="K9316" i="1"/>
  <c r="L9316" i="1"/>
  <c r="M9316" i="1"/>
  <c r="K9317" i="1"/>
  <c r="L9317" i="1"/>
  <c r="M9317" i="1"/>
  <c r="K9318" i="1"/>
  <c r="L9318" i="1"/>
  <c r="M9318" i="1"/>
  <c r="K9319" i="1"/>
  <c r="L9319" i="1"/>
  <c r="M9319" i="1"/>
  <c r="K9320" i="1"/>
  <c r="L9320" i="1"/>
  <c r="M9320" i="1"/>
  <c r="K9321" i="1"/>
  <c r="L9321" i="1"/>
  <c r="M9321" i="1"/>
  <c r="K9322" i="1"/>
  <c r="L9322" i="1"/>
  <c r="M9322" i="1"/>
  <c r="K9323" i="1"/>
  <c r="L9323" i="1"/>
  <c r="M9323" i="1"/>
  <c r="K9324" i="1"/>
  <c r="L9324" i="1"/>
  <c r="M9324" i="1"/>
  <c r="K9325" i="1"/>
  <c r="L9325" i="1"/>
  <c r="M9325" i="1"/>
  <c r="K9326" i="1"/>
  <c r="L9326" i="1"/>
  <c r="M9326" i="1"/>
  <c r="K9327" i="1"/>
  <c r="L9327" i="1"/>
  <c r="M9327" i="1"/>
  <c r="K9328" i="1"/>
  <c r="L9328" i="1"/>
  <c r="M9328" i="1"/>
  <c r="K9329" i="1"/>
  <c r="L9329" i="1"/>
  <c r="M9329" i="1"/>
  <c r="K9330" i="1"/>
  <c r="L9330" i="1"/>
  <c r="M9330" i="1"/>
  <c r="K9331" i="1"/>
  <c r="L9331" i="1"/>
  <c r="M9331" i="1"/>
  <c r="K9332" i="1"/>
  <c r="L9332" i="1"/>
  <c r="M9332" i="1"/>
  <c r="K9333" i="1"/>
  <c r="L9333" i="1"/>
  <c r="M9333" i="1"/>
  <c r="K9335" i="1"/>
  <c r="L9335" i="1"/>
  <c r="M9335" i="1"/>
  <c r="K9336" i="1"/>
  <c r="L9336" i="1"/>
  <c r="M9336" i="1"/>
  <c r="K9337" i="1"/>
  <c r="L9337" i="1"/>
  <c r="M9337" i="1"/>
  <c r="K9338" i="1"/>
  <c r="L9338" i="1"/>
  <c r="M9338" i="1"/>
  <c r="K9339" i="1"/>
  <c r="L9339" i="1"/>
  <c r="M9339" i="1"/>
  <c r="K9340" i="1"/>
  <c r="L9340" i="1"/>
  <c r="M9340" i="1"/>
  <c r="K9341" i="1"/>
  <c r="L9341" i="1"/>
  <c r="M9341" i="1"/>
  <c r="K9342" i="1"/>
  <c r="L9342" i="1"/>
  <c r="M9342" i="1"/>
  <c r="K9343" i="1"/>
  <c r="L9343" i="1"/>
  <c r="M9343" i="1"/>
  <c r="K9344" i="1"/>
  <c r="L9344" i="1"/>
  <c r="M9344" i="1"/>
  <c r="K9345" i="1"/>
  <c r="L9345" i="1"/>
  <c r="M9345" i="1"/>
  <c r="K9346" i="1"/>
  <c r="L9346" i="1"/>
  <c r="M9346" i="1"/>
  <c r="K9347" i="1"/>
  <c r="L9347" i="1"/>
  <c r="M9347" i="1"/>
  <c r="K9348" i="1"/>
  <c r="L9348" i="1"/>
  <c r="M9348" i="1"/>
  <c r="K9349" i="1"/>
  <c r="L9349" i="1"/>
  <c r="M9349" i="1"/>
  <c r="K9350" i="1"/>
  <c r="L9350" i="1"/>
  <c r="M9350" i="1"/>
  <c r="K9351" i="1"/>
  <c r="L9351" i="1"/>
  <c r="M9351" i="1"/>
  <c r="K9352" i="1"/>
  <c r="L9352" i="1"/>
  <c r="M9352" i="1"/>
  <c r="K9353" i="1"/>
  <c r="L9353" i="1"/>
  <c r="M9353" i="1"/>
  <c r="K9354" i="1"/>
  <c r="L9354" i="1"/>
  <c r="M9354" i="1"/>
  <c r="K9355" i="1"/>
  <c r="L9355" i="1"/>
  <c r="M9355" i="1"/>
  <c r="K9356" i="1"/>
  <c r="L9356" i="1"/>
  <c r="M9356" i="1"/>
  <c r="K9357" i="1"/>
  <c r="L9357" i="1"/>
  <c r="M9357" i="1"/>
  <c r="K9358" i="1"/>
  <c r="L9358" i="1"/>
  <c r="M9358" i="1"/>
  <c r="K9359" i="1"/>
  <c r="L9359" i="1"/>
  <c r="M9359" i="1"/>
  <c r="K9360" i="1"/>
  <c r="L9360" i="1"/>
  <c r="M9360" i="1"/>
  <c r="K9361" i="1"/>
  <c r="L9361" i="1"/>
  <c r="M9361" i="1"/>
  <c r="K9362" i="1"/>
  <c r="L9362" i="1"/>
  <c r="M9362" i="1"/>
  <c r="K9363" i="1"/>
  <c r="L9363" i="1"/>
  <c r="M9363" i="1"/>
  <c r="K9364" i="1"/>
  <c r="L9364" i="1"/>
  <c r="M9364" i="1"/>
  <c r="K9365" i="1"/>
  <c r="L9365" i="1"/>
  <c r="M9365" i="1"/>
  <c r="K9366" i="1"/>
  <c r="L9366" i="1"/>
  <c r="M9366" i="1"/>
  <c r="K9367" i="1"/>
  <c r="L9367" i="1"/>
  <c r="M9367" i="1"/>
  <c r="K9368" i="1"/>
  <c r="L9368" i="1"/>
  <c r="M9368" i="1"/>
  <c r="K9369" i="1"/>
  <c r="L9369" i="1"/>
  <c r="M9369" i="1"/>
  <c r="K9370" i="1"/>
  <c r="L9370" i="1"/>
  <c r="M9370" i="1"/>
  <c r="K9371" i="1"/>
  <c r="L9371" i="1"/>
  <c r="M9371" i="1"/>
  <c r="K9372" i="1"/>
  <c r="L9372" i="1"/>
  <c r="M9372" i="1"/>
  <c r="K9373" i="1"/>
  <c r="L9373" i="1"/>
  <c r="M9373" i="1"/>
  <c r="K9374" i="1"/>
  <c r="L9374" i="1"/>
  <c r="M9374" i="1"/>
  <c r="K9375" i="1"/>
  <c r="L9375" i="1"/>
  <c r="M9375" i="1"/>
  <c r="K9376" i="1"/>
  <c r="L9376" i="1"/>
  <c r="M9376" i="1"/>
  <c r="K9377" i="1"/>
  <c r="L9377" i="1"/>
  <c r="M9377" i="1"/>
  <c r="K9378" i="1"/>
  <c r="L9378" i="1"/>
  <c r="M9378" i="1"/>
  <c r="K9379" i="1"/>
  <c r="L9379" i="1"/>
  <c r="M9379" i="1"/>
  <c r="K9380" i="1"/>
  <c r="L9380" i="1"/>
  <c r="M9380" i="1"/>
  <c r="K9381" i="1"/>
  <c r="L9381" i="1"/>
  <c r="M9381" i="1"/>
  <c r="K9382" i="1"/>
  <c r="L9382" i="1"/>
  <c r="M9382" i="1"/>
  <c r="K9383" i="1"/>
  <c r="L9383" i="1"/>
  <c r="M9383" i="1"/>
  <c r="K9384" i="1"/>
  <c r="L9384" i="1"/>
  <c r="M9384" i="1"/>
  <c r="K9662" i="1"/>
  <c r="L9662" i="1"/>
  <c r="M9662" i="1"/>
  <c r="K9663" i="1"/>
  <c r="L9663" i="1"/>
  <c r="M9663" i="1"/>
  <c r="K9664" i="1"/>
  <c r="L9664" i="1"/>
  <c r="M9664" i="1"/>
  <c r="K9665" i="1"/>
  <c r="L9665" i="1"/>
  <c r="M9665" i="1"/>
  <c r="K9666" i="1"/>
  <c r="L9666" i="1"/>
  <c r="M9666" i="1"/>
  <c r="K9667" i="1"/>
  <c r="L9667" i="1"/>
  <c r="M9667" i="1"/>
  <c r="K9668" i="1"/>
  <c r="L9668" i="1"/>
  <c r="M9668" i="1"/>
  <c r="K9669" i="1"/>
  <c r="L9669" i="1"/>
  <c r="M9669" i="1"/>
  <c r="K9670" i="1"/>
  <c r="L9670" i="1"/>
  <c r="M9670" i="1"/>
  <c r="K9671" i="1"/>
  <c r="L9671" i="1"/>
  <c r="M9671" i="1"/>
  <c r="K9672" i="1"/>
  <c r="L9672" i="1"/>
  <c r="M9672" i="1"/>
  <c r="K9673" i="1"/>
  <c r="L9673" i="1"/>
  <c r="M9673" i="1"/>
  <c r="K9674" i="1"/>
  <c r="L9674" i="1"/>
  <c r="M9674" i="1"/>
  <c r="K9675" i="1"/>
  <c r="L9675" i="1"/>
  <c r="M9675" i="1"/>
  <c r="K9676" i="1"/>
  <c r="L9676" i="1"/>
  <c r="M9676" i="1"/>
  <c r="K9677" i="1"/>
  <c r="L9677" i="1"/>
  <c r="M9677" i="1"/>
  <c r="K9678" i="1"/>
  <c r="L9678" i="1"/>
  <c r="M9678" i="1"/>
  <c r="K9679" i="1"/>
  <c r="L9679" i="1"/>
  <c r="M9679" i="1"/>
  <c r="K9680" i="1"/>
  <c r="L9680" i="1"/>
  <c r="M9680" i="1"/>
  <c r="K9681" i="1"/>
  <c r="L9681" i="1"/>
  <c r="M9681" i="1"/>
  <c r="K9772" i="1"/>
  <c r="M9772" i="1"/>
  <c r="K9773" i="1"/>
  <c r="M9773" i="1"/>
  <c r="K9774" i="1"/>
  <c r="M9774" i="1"/>
  <c r="K9775" i="1"/>
  <c r="M9775" i="1"/>
  <c r="K9776" i="1"/>
  <c r="M9776" i="1"/>
  <c r="K9777" i="1"/>
  <c r="M9777" i="1"/>
  <c r="K9778" i="1"/>
  <c r="M9778" i="1"/>
  <c r="K9779" i="1"/>
  <c r="M9779" i="1"/>
  <c r="K9780" i="1"/>
  <c r="M9780" i="1"/>
  <c r="K9781" i="1"/>
  <c r="M9781" i="1"/>
  <c r="K9782" i="1"/>
  <c r="M9782" i="1"/>
  <c r="K9783" i="1"/>
  <c r="M9783" i="1"/>
  <c r="K9784" i="1"/>
  <c r="M9784" i="1"/>
  <c r="K9785" i="1"/>
  <c r="M9785" i="1"/>
  <c r="K9786" i="1"/>
  <c r="M9786" i="1"/>
  <c r="K9787" i="1"/>
  <c r="M9787" i="1"/>
  <c r="K9788" i="1"/>
  <c r="M9788" i="1"/>
  <c r="K9789" i="1"/>
  <c r="M9789" i="1"/>
  <c r="K9790" i="1"/>
  <c r="M9790" i="1"/>
  <c r="K9791" i="1"/>
  <c r="M9791" i="1"/>
  <c r="K9792" i="1"/>
  <c r="M9792" i="1"/>
  <c r="K9793" i="1"/>
  <c r="M9793" i="1"/>
  <c r="K9794" i="1"/>
  <c r="M9794" i="1"/>
  <c r="K9795" i="1"/>
  <c r="M9795" i="1"/>
  <c r="K9796" i="1"/>
  <c r="M9796" i="1"/>
  <c r="K9797" i="1"/>
  <c r="M9797" i="1"/>
  <c r="K9798" i="1"/>
  <c r="M9798" i="1"/>
  <c r="K9799" i="1"/>
  <c r="M9799" i="1"/>
  <c r="K9800" i="1"/>
  <c r="M9800" i="1"/>
  <c r="K9801" i="1"/>
  <c r="M9801" i="1"/>
  <c r="K9753" i="1"/>
  <c r="M9753" i="1"/>
  <c r="K9754" i="1"/>
  <c r="M9754" i="1"/>
  <c r="K9755" i="1"/>
  <c r="M9755" i="1"/>
  <c r="K9756" i="1"/>
  <c r="M9756" i="1"/>
  <c r="K9757" i="1"/>
  <c r="M9757" i="1"/>
  <c r="K9758" i="1"/>
  <c r="M9758" i="1"/>
  <c r="K9759" i="1"/>
  <c r="M9759" i="1"/>
  <c r="K9760" i="1"/>
  <c r="M9760" i="1"/>
  <c r="K9761" i="1"/>
  <c r="M9761" i="1"/>
  <c r="K9762" i="1"/>
  <c r="M9762" i="1"/>
  <c r="K9763" i="1"/>
  <c r="M9763" i="1"/>
  <c r="K9764" i="1"/>
  <c r="M9764" i="1"/>
  <c r="K9765" i="1"/>
  <c r="M9765" i="1"/>
  <c r="K9766" i="1"/>
  <c r="M9766" i="1"/>
  <c r="K9767" i="1"/>
  <c r="M9767" i="1"/>
  <c r="K9768" i="1"/>
  <c r="M9768" i="1"/>
  <c r="K9769" i="1"/>
  <c r="M9769" i="1"/>
  <c r="K9770" i="1"/>
  <c r="M9770" i="1"/>
  <c r="K9771" i="1"/>
  <c r="M9771" i="1"/>
  <c r="K9682" i="1"/>
  <c r="L9682" i="1"/>
  <c r="M9682" i="1"/>
  <c r="K9683" i="1"/>
  <c r="L9683" i="1"/>
  <c r="M9683" i="1"/>
  <c r="K9684" i="1"/>
  <c r="L9684" i="1"/>
  <c r="M9684" i="1"/>
  <c r="K9685" i="1"/>
  <c r="L9685" i="1"/>
  <c r="M9685" i="1"/>
  <c r="K9686" i="1"/>
  <c r="L9686" i="1"/>
  <c r="M9686" i="1"/>
  <c r="K9687" i="1"/>
  <c r="L9687" i="1"/>
  <c r="M9687" i="1"/>
  <c r="K9688" i="1"/>
  <c r="L9688" i="1"/>
  <c r="M9688" i="1"/>
  <c r="K9689" i="1"/>
  <c r="L9689" i="1"/>
  <c r="M9689" i="1"/>
  <c r="K9690" i="1"/>
  <c r="L9690" i="1"/>
  <c r="M9690" i="1"/>
  <c r="K9924" i="1"/>
  <c r="L9924" i="1"/>
  <c r="K9925" i="1"/>
  <c r="L9925" i="1"/>
  <c r="K9926" i="1"/>
  <c r="L9926" i="1"/>
  <c r="K9927" i="1"/>
  <c r="L9927" i="1"/>
  <c r="K9928" i="1"/>
  <c r="L9928" i="1"/>
  <c r="K9929" i="1"/>
  <c r="L9929" i="1"/>
  <c r="K9930" i="1"/>
  <c r="L9930" i="1"/>
  <c r="K9931" i="1"/>
  <c r="L9931" i="1"/>
  <c r="K9932" i="1"/>
  <c r="L9932" i="1"/>
  <c r="K9933" i="1"/>
  <c r="L9933" i="1"/>
  <c r="K9934" i="1"/>
  <c r="L9934" i="1"/>
  <c r="K9935" i="1"/>
  <c r="L9935" i="1"/>
  <c r="K9936" i="1"/>
  <c r="L9936" i="1"/>
  <c r="K9937" i="1"/>
  <c r="L9937" i="1"/>
  <c r="K9938" i="1"/>
  <c r="L9938" i="1"/>
  <c r="K9914" i="1"/>
  <c r="L9914" i="1"/>
  <c r="K9915" i="1"/>
  <c r="L9915" i="1"/>
  <c r="K9916" i="1"/>
  <c r="L9916" i="1"/>
  <c r="K9917" i="1"/>
  <c r="L9917" i="1"/>
  <c r="K9918" i="1"/>
  <c r="L9918" i="1"/>
  <c r="K9919" i="1"/>
  <c r="L9919" i="1"/>
  <c r="K9920" i="1"/>
  <c r="L9920" i="1"/>
  <c r="K9921" i="1"/>
  <c r="L9921" i="1"/>
  <c r="K9922" i="1"/>
  <c r="L9922" i="1"/>
  <c r="K9923" i="1"/>
  <c r="L9923" i="1"/>
  <c r="K9691" i="1"/>
  <c r="L9691" i="1"/>
  <c r="M9691" i="1"/>
  <c r="K9692" i="1"/>
  <c r="L9692" i="1"/>
  <c r="M9692" i="1"/>
  <c r="K9693" i="1"/>
  <c r="L9693" i="1"/>
  <c r="M9693" i="1"/>
  <c r="K9694" i="1"/>
  <c r="L9694" i="1"/>
  <c r="M9694" i="1"/>
  <c r="K9948" i="1"/>
  <c r="L9948" i="1"/>
  <c r="K9949" i="1"/>
  <c r="L9949" i="1"/>
  <c r="K9950" i="1"/>
  <c r="L9950" i="1"/>
  <c r="K9951" i="1"/>
  <c r="L9951" i="1"/>
  <c r="K9939" i="1"/>
  <c r="L9939" i="1"/>
  <c r="K9940" i="1"/>
  <c r="L9940" i="1"/>
  <c r="K9941" i="1"/>
  <c r="L9941" i="1"/>
  <c r="K9942" i="1"/>
  <c r="L9942" i="1"/>
  <c r="K9943" i="1"/>
  <c r="L9943" i="1"/>
  <c r="K9944" i="1"/>
  <c r="L9944" i="1"/>
  <c r="K9945" i="1"/>
  <c r="L9945" i="1"/>
  <c r="K9946" i="1"/>
  <c r="L9946" i="1"/>
  <c r="K9947" i="1"/>
  <c r="L9947" i="1"/>
  <c r="K9695" i="1"/>
  <c r="L9695" i="1"/>
  <c r="M9695" i="1"/>
  <c r="K9696" i="1"/>
  <c r="L9696" i="1"/>
  <c r="M9696" i="1"/>
  <c r="K9697" i="1"/>
  <c r="L9697" i="1"/>
  <c r="M9697" i="1"/>
  <c r="K9955" i="1"/>
  <c r="L9955" i="1"/>
  <c r="K9956" i="1"/>
  <c r="L9956" i="1"/>
  <c r="K9957" i="1"/>
  <c r="L9957" i="1"/>
  <c r="K9958" i="1"/>
  <c r="L9958" i="1"/>
  <c r="K9959" i="1"/>
  <c r="L9959" i="1"/>
  <c r="K9960" i="1"/>
  <c r="L9960" i="1"/>
  <c r="K9961" i="1"/>
  <c r="L9961" i="1"/>
  <c r="K9962" i="1"/>
  <c r="L9962" i="1"/>
  <c r="K9952" i="1"/>
  <c r="L9952" i="1"/>
  <c r="K9953" i="1"/>
  <c r="L9953" i="1"/>
  <c r="K9954" i="1"/>
  <c r="L9954" i="1"/>
  <c r="K9698" i="1"/>
  <c r="L9698" i="1"/>
  <c r="M9698" i="1"/>
  <c r="K9699" i="1"/>
  <c r="L9699" i="1"/>
  <c r="M9699" i="1"/>
  <c r="K9700" i="1"/>
  <c r="L9700" i="1"/>
  <c r="M9700" i="1"/>
  <c r="K9701" i="1"/>
  <c r="L9701" i="1"/>
  <c r="M9701" i="1"/>
  <c r="K9702" i="1"/>
  <c r="L9702" i="1"/>
  <c r="M9702" i="1"/>
  <c r="K9703" i="1"/>
  <c r="L9703" i="1"/>
  <c r="M9703" i="1"/>
  <c r="K9704" i="1"/>
  <c r="L9704" i="1"/>
  <c r="M9704" i="1"/>
  <c r="K9705" i="1"/>
  <c r="L9705" i="1"/>
  <c r="M9705" i="1"/>
  <c r="K9966" i="1"/>
  <c r="L9966" i="1"/>
  <c r="K9967" i="1"/>
  <c r="L9967" i="1"/>
  <c r="K9968" i="1"/>
  <c r="L9968" i="1"/>
  <c r="K9969" i="1"/>
  <c r="L9969" i="1"/>
  <c r="K9970" i="1"/>
  <c r="L9970" i="1"/>
  <c r="K9971" i="1"/>
  <c r="L9971" i="1"/>
  <c r="K9972" i="1"/>
  <c r="L9972" i="1"/>
  <c r="K9973" i="1"/>
  <c r="L9973" i="1"/>
  <c r="K9974" i="1"/>
  <c r="L9974" i="1"/>
  <c r="K9975" i="1"/>
  <c r="L9975" i="1"/>
  <c r="K9976" i="1"/>
  <c r="L9976" i="1"/>
  <c r="K9977" i="1"/>
  <c r="L9977" i="1"/>
  <c r="K9963" i="1"/>
  <c r="L9963" i="1"/>
  <c r="K9964" i="1"/>
  <c r="L9964" i="1"/>
  <c r="K9965" i="1"/>
  <c r="L9965" i="1"/>
  <c r="K9706" i="1"/>
  <c r="L9706" i="1"/>
  <c r="M9706" i="1"/>
  <c r="K9707" i="1"/>
  <c r="L9707" i="1"/>
  <c r="M9707" i="1"/>
  <c r="K9708" i="1"/>
  <c r="L9708" i="1"/>
  <c r="M9708" i="1"/>
  <c r="K9709" i="1"/>
  <c r="L9709" i="1"/>
  <c r="M9709" i="1"/>
  <c r="K9710" i="1"/>
  <c r="L9710" i="1"/>
  <c r="M9710" i="1"/>
  <c r="K9711" i="1"/>
  <c r="L9711" i="1"/>
  <c r="M9711" i="1"/>
  <c r="K9712" i="1"/>
  <c r="L9712" i="1"/>
  <c r="M9712" i="1"/>
  <c r="K9981" i="1"/>
  <c r="L9981" i="1"/>
  <c r="K9982" i="1"/>
  <c r="L9982" i="1"/>
  <c r="K9983" i="1"/>
  <c r="L9983" i="1"/>
  <c r="K9984" i="1"/>
  <c r="L9984" i="1"/>
  <c r="K9985" i="1"/>
  <c r="L9985" i="1"/>
  <c r="K9986" i="1"/>
  <c r="L9986" i="1"/>
  <c r="K9987" i="1"/>
  <c r="L9987" i="1"/>
  <c r="K9988" i="1"/>
  <c r="L9988" i="1"/>
  <c r="K9989" i="1"/>
  <c r="L9989" i="1"/>
  <c r="K9990" i="1"/>
  <c r="L9990" i="1"/>
  <c r="K9991" i="1"/>
  <c r="L9991" i="1"/>
  <c r="K9992" i="1"/>
  <c r="L9992" i="1"/>
  <c r="K9993" i="1"/>
  <c r="L9993" i="1"/>
  <c r="K9994" i="1"/>
  <c r="L9994" i="1"/>
  <c r="K9995" i="1"/>
  <c r="L9995" i="1"/>
  <c r="K9996" i="1"/>
  <c r="L9996" i="1"/>
  <c r="K9997" i="1"/>
  <c r="L9997" i="1"/>
  <c r="K9998" i="1"/>
  <c r="L9998" i="1"/>
  <c r="K9999" i="1"/>
  <c r="L9999" i="1"/>
  <c r="K10000" i="1"/>
  <c r="L10000" i="1"/>
  <c r="K10001" i="1"/>
  <c r="L10001" i="1"/>
  <c r="K10002" i="1"/>
  <c r="L10002" i="1"/>
  <c r="K10003" i="1"/>
  <c r="L10003" i="1"/>
  <c r="K10004" i="1"/>
  <c r="L10004" i="1"/>
  <c r="K10005" i="1"/>
  <c r="L10005" i="1"/>
  <c r="K10006" i="1"/>
  <c r="L10006" i="1"/>
  <c r="K9978" i="1"/>
  <c r="L9978" i="1"/>
  <c r="K9979" i="1"/>
  <c r="L9979" i="1"/>
  <c r="K9980" i="1"/>
  <c r="L9980" i="1"/>
  <c r="K9713" i="1"/>
  <c r="L9713" i="1"/>
  <c r="M9713" i="1"/>
  <c r="K9714" i="1"/>
  <c r="L9714" i="1"/>
  <c r="M9714" i="1"/>
  <c r="K9715" i="1"/>
  <c r="L9715" i="1"/>
  <c r="M9715" i="1"/>
  <c r="K9716" i="1"/>
  <c r="L9716" i="1"/>
  <c r="M9716" i="1"/>
  <c r="K9717" i="1"/>
  <c r="L9717" i="1"/>
  <c r="M9717" i="1"/>
  <c r="K10015" i="1"/>
  <c r="L10015" i="1"/>
  <c r="K10016" i="1"/>
  <c r="L10016" i="1"/>
  <c r="K10017" i="1"/>
  <c r="L10017" i="1"/>
  <c r="K10018" i="1"/>
  <c r="L10018" i="1"/>
  <c r="K10019" i="1"/>
  <c r="L10019" i="1"/>
  <c r="K10020" i="1"/>
  <c r="L10020" i="1"/>
  <c r="K10021" i="1"/>
  <c r="L10021" i="1"/>
  <c r="K10022" i="1"/>
  <c r="L10022" i="1"/>
  <c r="K10023" i="1"/>
  <c r="L10023" i="1"/>
  <c r="K10024" i="1"/>
  <c r="L10024" i="1"/>
  <c r="K10025" i="1"/>
  <c r="L10025" i="1"/>
  <c r="K10026" i="1"/>
  <c r="L10026" i="1"/>
  <c r="K10027" i="1"/>
  <c r="L10027" i="1"/>
  <c r="K10028" i="1"/>
  <c r="L10028" i="1"/>
  <c r="K10029" i="1"/>
  <c r="L10029" i="1"/>
  <c r="K10030" i="1"/>
  <c r="L10030" i="1"/>
  <c r="K10031" i="1"/>
  <c r="L10031" i="1"/>
  <c r="K10032" i="1"/>
  <c r="L10032" i="1"/>
  <c r="K10033" i="1"/>
  <c r="L10033" i="1"/>
  <c r="K10034" i="1"/>
  <c r="L10034" i="1"/>
  <c r="K10035" i="1"/>
  <c r="L10035" i="1"/>
  <c r="K10036" i="1"/>
  <c r="L10036" i="1"/>
  <c r="K10037" i="1"/>
  <c r="L10037" i="1"/>
  <c r="K10038" i="1"/>
  <c r="L10038" i="1"/>
  <c r="K10039" i="1"/>
  <c r="L10039" i="1"/>
  <c r="K10040" i="1"/>
  <c r="L10040" i="1"/>
  <c r="K10041" i="1"/>
  <c r="L10041" i="1"/>
  <c r="K10042" i="1"/>
  <c r="L10042" i="1"/>
  <c r="K10043" i="1"/>
  <c r="L10043" i="1"/>
  <c r="K10044" i="1"/>
  <c r="L10044" i="1"/>
  <c r="K10045" i="1"/>
  <c r="L10045" i="1"/>
  <c r="K10046" i="1"/>
  <c r="L10046" i="1"/>
  <c r="K10047" i="1"/>
  <c r="L10047" i="1"/>
  <c r="K10048" i="1"/>
  <c r="L10048" i="1"/>
  <c r="K10049" i="1"/>
  <c r="L10049" i="1"/>
  <c r="K10050" i="1"/>
  <c r="L10050" i="1"/>
  <c r="K10051" i="1"/>
  <c r="L10051" i="1"/>
  <c r="K10052" i="1"/>
  <c r="L10052" i="1"/>
  <c r="K10053" i="1"/>
  <c r="L10053" i="1"/>
  <c r="K10054" i="1"/>
  <c r="L10054" i="1"/>
  <c r="K10055" i="1"/>
  <c r="L10055" i="1"/>
  <c r="K10056" i="1"/>
  <c r="L10056" i="1"/>
  <c r="K10057" i="1"/>
  <c r="L10057" i="1"/>
  <c r="K10007" i="1"/>
  <c r="L10007" i="1"/>
  <c r="K10008" i="1"/>
  <c r="L10008" i="1"/>
  <c r="K10009" i="1"/>
  <c r="L10009" i="1"/>
  <c r="K10010" i="1"/>
  <c r="L10010" i="1"/>
  <c r="K10011" i="1"/>
  <c r="L10011" i="1"/>
  <c r="K10012" i="1"/>
  <c r="L10012" i="1"/>
  <c r="K10013" i="1"/>
  <c r="L10013" i="1"/>
  <c r="K10014" i="1"/>
  <c r="L10014" i="1"/>
  <c r="K9718" i="1"/>
  <c r="L9718" i="1"/>
  <c r="M9718" i="1"/>
  <c r="K9719" i="1"/>
  <c r="L9719" i="1"/>
  <c r="M9719" i="1"/>
  <c r="K9720" i="1"/>
  <c r="L9720" i="1"/>
  <c r="M9720" i="1"/>
  <c r="K9721" i="1"/>
  <c r="L9721" i="1"/>
  <c r="M9721" i="1"/>
  <c r="K9722" i="1"/>
  <c r="L9722" i="1"/>
  <c r="M9722" i="1"/>
  <c r="K9723" i="1"/>
  <c r="L9723" i="1"/>
  <c r="M9723" i="1"/>
  <c r="K9724" i="1"/>
  <c r="L9724" i="1"/>
  <c r="M9724" i="1"/>
  <c r="K10068" i="1"/>
  <c r="L10068" i="1"/>
  <c r="K10069" i="1"/>
  <c r="L10069" i="1"/>
  <c r="K10070" i="1"/>
  <c r="L10070" i="1"/>
  <c r="K10071" i="1"/>
  <c r="L10071" i="1"/>
  <c r="K10072" i="1"/>
  <c r="L10072" i="1"/>
  <c r="K10073" i="1"/>
  <c r="L10073" i="1"/>
  <c r="K10074" i="1"/>
  <c r="L10074" i="1"/>
  <c r="K10075" i="1"/>
  <c r="L10075" i="1"/>
  <c r="K10076" i="1"/>
  <c r="L10076" i="1"/>
  <c r="K10077" i="1"/>
  <c r="L10077" i="1"/>
  <c r="K10078" i="1"/>
  <c r="L10078" i="1"/>
  <c r="K10079" i="1"/>
  <c r="L10079" i="1"/>
  <c r="K10080" i="1"/>
  <c r="L10080" i="1"/>
  <c r="K10081" i="1"/>
  <c r="L10081" i="1"/>
  <c r="K10082" i="1"/>
  <c r="L10082" i="1"/>
  <c r="K10083" i="1"/>
  <c r="L10083" i="1"/>
  <c r="K10084" i="1"/>
  <c r="L10084" i="1"/>
  <c r="K10085" i="1"/>
  <c r="L10085" i="1"/>
  <c r="K10086" i="1"/>
  <c r="L10086" i="1"/>
  <c r="K10058" i="1"/>
  <c r="L10058" i="1"/>
  <c r="K10059" i="1"/>
  <c r="L10059" i="1"/>
  <c r="K10060" i="1"/>
  <c r="L10060" i="1"/>
  <c r="K10061" i="1"/>
  <c r="L10061" i="1"/>
  <c r="K10062" i="1"/>
  <c r="L10062" i="1"/>
  <c r="K10063" i="1"/>
  <c r="L10063" i="1"/>
  <c r="K10064" i="1"/>
  <c r="L10064" i="1"/>
  <c r="K10065" i="1"/>
  <c r="L10065" i="1"/>
  <c r="K10066" i="1"/>
  <c r="L10066" i="1"/>
  <c r="K10067" i="1"/>
  <c r="L10067" i="1"/>
  <c r="K9725" i="1"/>
  <c r="L9725" i="1"/>
  <c r="M9725" i="1"/>
  <c r="K9726" i="1"/>
  <c r="L9726" i="1"/>
  <c r="M9726" i="1"/>
  <c r="K9727" i="1"/>
  <c r="L9727" i="1"/>
  <c r="M9727" i="1"/>
  <c r="K9728" i="1"/>
  <c r="L9728" i="1"/>
  <c r="M9728" i="1"/>
  <c r="K9729" i="1"/>
  <c r="L9729" i="1"/>
  <c r="M9729" i="1"/>
  <c r="K9730" i="1"/>
  <c r="L9730" i="1"/>
  <c r="M9730" i="1"/>
  <c r="K9731" i="1"/>
  <c r="L9731" i="1"/>
  <c r="M9731" i="1"/>
  <c r="K9732" i="1"/>
  <c r="L9732" i="1"/>
  <c r="M9732" i="1"/>
  <c r="K9733" i="1"/>
  <c r="L9733" i="1"/>
  <c r="M9733" i="1"/>
  <c r="K9734" i="1"/>
  <c r="L9734" i="1"/>
  <c r="M9734" i="1"/>
  <c r="K10094" i="1"/>
  <c r="L10094" i="1"/>
  <c r="K10095" i="1"/>
  <c r="L10095" i="1"/>
  <c r="K10096" i="1"/>
  <c r="L10096" i="1"/>
  <c r="K10097" i="1"/>
  <c r="L10097" i="1"/>
  <c r="K10098" i="1"/>
  <c r="L10098" i="1"/>
  <c r="K10099" i="1"/>
  <c r="L10099" i="1"/>
  <c r="K10100" i="1"/>
  <c r="L10100" i="1"/>
  <c r="K10101" i="1"/>
  <c r="L10101" i="1"/>
  <c r="K10102" i="1"/>
  <c r="L10102" i="1"/>
  <c r="K10103" i="1"/>
  <c r="L10103" i="1"/>
  <c r="K10104" i="1"/>
  <c r="L10104" i="1"/>
  <c r="K10105" i="1"/>
  <c r="L10105" i="1"/>
  <c r="K10106" i="1"/>
  <c r="L10106" i="1"/>
  <c r="K10107" i="1"/>
  <c r="L10107" i="1"/>
  <c r="K10108" i="1"/>
  <c r="L10108" i="1"/>
  <c r="K10109" i="1"/>
  <c r="L10109" i="1"/>
  <c r="K10110" i="1"/>
  <c r="L10110" i="1"/>
  <c r="K10111" i="1"/>
  <c r="L10111" i="1"/>
  <c r="K10112" i="1"/>
  <c r="L10112" i="1"/>
  <c r="K10113" i="1"/>
  <c r="L10113" i="1"/>
  <c r="K10087" i="1"/>
  <c r="L10087" i="1"/>
  <c r="K10088" i="1"/>
  <c r="L10088" i="1"/>
  <c r="K10089" i="1"/>
  <c r="L10089" i="1"/>
  <c r="K10090" i="1"/>
  <c r="L10090" i="1"/>
  <c r="K10091" i="1"/>
  <c r="L10091" i="1"/>
  <c r="K10092" i="1"/>
  <c r="L10092" i="1"/>
  <c r="K10093" i="1"/>
  <c r="L10093" i="1"/>
  <c r="K9735" i="1"/>
  <c r="L9735" i="1"/>
  <c r="M9735" i="1"/>
  <c r="K9736" i="1"/>
  <c r="L9736" i="1"/>
  <c r="M9736" i="1"/>
  <c r="K9737" i="1"/>
  <c r="L9737" i="1"/>
  <c r="M9737" i="1"/>
  <c r="K9738" i="1"/>
  <c r="L9738" i="1"/>
  <c r="M9738" i="1"/>
  <c r="K9739" i="1"/>
  <c r="L9739" i="1"/>
  <c r="M9739" i="1"/>
  <c r="K9740" i="1"/>
  <c r="L9740" i="1"/>
  <c r="M9740" i="1"/>
  <c r="K9741" i="1"/>
  <c r="L9741" i="1"/>
  <c r="M9741" i="1"/>
  <c r="K9742" i="1"/>
  <c r="L9742" i="1"/>
  <c r="M9742" i="1"/>
  <c r="K9743" i="1"/>
  <c r="L9743" i="1"/>
  <c r="M9743" i="1"/>
  <c r="K9744" i="1"/>
  <c r="L9744" i="1"/>
  <c r="M9744" i="1"/>
  <c r="K9745" i="1"/>
  <c r="L9745" i="1"/>
  <c r="M9745" i="1"/>
  <c r="K9746" i="1"/>
  <c r="L9746" i="1"/>
  <c r="M9746" i="1"/>
  <c r="K9747" i="1"/>
  <c r="L9747" i="1"/>
  <c r="M9747" i="1"/>
  <c r="K9748" i="1"/>
  <c r="L9748" i="1"/>
  <c r="M9748" i="1"/>
  <c r="K10116" i="1"/>
  <c r="L10116" i="1"/>
  <c r="K10117" i="1"/>
  <c r="L10117" i="1"/>
  <c r="K10118" i="1"/>
  <c r="L10118" i="1"/>
  <c r="K10119" i="1"/>
  <c r="L10119" i="1"/>
  <c r="K10120" i="1"/>
  <c r="L10120" i="1"/>
  <c r="K10121" i="1"/>
  <c r="L10121" i="1"/>
  <c r="K10122" i="1"/>
  <c r="L10122" i="1"/>
  <c r="K10123" i="1"/>
  <c r="L10123" i="1"/>
  <c r="K10124" i="1"/>
  <c r="L10124" i="1"/>
  <c r="K10125" i="1"/>
  <c r="L10125" i="1"/>
  <c r="K10126" i="1"/>
  <c r="L10126" i="1"/>
  <c r="K10127" i="1"/>
  <c r="L10127" i="1"/>
  <c r="K10128" i="1"/>
  <c r="L10128" i="1"/>
  <c r="K10129" i="1"/>
  <c r="L10129" i="1"/>
  <c r="K10130" i="1"/>
  <c r="L10130" i="1"/>
  <c r="K10131" i="1"/>
  <c r="L10131" i="1"/>
  <c r="K10132" i="1"/>
  <c r="L10132" i="1"/>
  <c r="K10133" i="1"/>
  <c r="L10133" i="1"/>
  <c r="K10134" i="1"/>
  <c r="L10134" i="1"/>
  <c r="K10135" i="1"/>
  <c r="L10135" i="1"/>
  <c r="K10136" i="1"/>
  <c r="L10136" i="1"/>
  <c r="K10137" i="1"/>
  <c r="L10137" i="1"/>
  <c r="K10138" i="1"/>
  <c r="L10138" i="1"/>
  <c r="K10139" i="1"/>
  <c r="L10139" i="1"/>
  <c r="K10140" i="1"/>
  <c r="L10140" i="1"/>
  <c r="K10141" i="1"/>
  <c r="L10141" i="1"/>
  <c r="K10142" i="1"/>
  <c r="L10142" i="1"/>
  <c r="K10143" i="1"/>
  <c r="L10143" i="1"/>
  <c r="K10144" i="1"/>
  <c r="L10144" i="1"/>
  <c r="K10145" i="1"/>
  <c r="L10145" i="1"/>
  <c r="K10146" i="1"/>
  <c r="L10146" i="1"/>
  <c r="K10147" i="1"/>
  <c r="L10147" i="1"/>
  <c r="K10114" i="1"/>
  <c r="L10114" i="1"/>
  <c r="K10115" i="1"/>
  <c r="L10115" i="1"/>
  <c r="K9749" i="1"/>
  <c r="L9749" i="1"/>
  <c r="M9749" i="1"/>
  <c r="K9750" i="1"/>
  <c r="L9750" i="1"/>
  <c r="M9750" i="1"/>
  <c r="K9751" i="1"/>
  <c r="L9751" i="1"/>
  <c r="M9751" i="1"/>
  <c r="K9752" i="1"/>
  <c r="L9752" i="1"/>
  <c r="M9752" i="1"/>
  <c r="K10168" i="1"/>
  <c r="L10168" i="1"/>
  <c r="K10169" i="1"/>
  <c r="L10169" i="1"/>
  <c r="K10170" i="1"/>
  <c r="L10170" i="1"/>
  <c r="K10171" i="1"/>
  <c r="L10171" i="1"/>
  <c r="K10172" i="1"/>
  <c r="L10172" i="1"/>
  <c r="K10173" i="1"/>
  <c r="L10173" i="1"/>
  <c r="K10174" i="1"/>
  <c r="L10174" i="1"/>
  <c r="K10175" i="1"/>
  <c r="L10175" i="1"/>
  <c r="K10176" i="1"/>
  <c r="L10176" i="1"/>
  <c r="K10177" i="1"/>
  <c r="L10177" i="1"/>
  <c r="K10178" i="1"/>
  <c r="L10178" i="1"/>
  <c r="K10179" i="1"/>
  <c r="L10179" i="1"/>
  <c r="K10180" i="1"/>
  <c r="L10180" i="1"/>
  <c r="K10181" i="1"/>
  <c r="L10181" i="1"/>
  <c r="K10182" i="1"/>
  <c r="L10182" i="1"/>
  <c r="K10183" i="1"/>
  <c r="L10183" i="1"/>
  <c r="K10184" i="1"/>
  <c r="L10184" i="1"/>
  <c r="K10185" i="1"/>
  <c r="L10185" i="1"/>
  <c r="K10186" i="1"/>
  <c r="L10186" i="1"/>
  <c r="K10187" i="1"/>
  <c r="L10187" i="1"/>
  <c r="K10188" i="1"/>
  <c r="L10188" i="1"/>
  <c r="K10189" i="1"/>
  <c r="L10189" i="1"/>
  <c r="K10190" i="1"/>
  <c r="L10190" i="1"/>
  <c r="K10191" i="1"/>
  <c r="L10191" i="1"/>
  <c r="K10192" i="1"/>
  <c r="L10192" i="1"/>
  <c r="K10193" i="1"/>
  <c r="L10193" i="1"/>
  <c r="K10148" i="1"/>
  <c r="L10148" i="1"/>
  <c r="K10149" i="1"/>
  <c r="L10149" i="1"/>
  <c r="K10150" i="1"/>
  <c r="L10150" i="1"/>
  <c r="K10151" i="1"/>
  <c r="L10151" i="1"/>
  <c r="K10152" i="1"/>
  <c r="L10152" i="1"/>
  <c r="K10153" i="1"/>
  <c r="L10153" i="1"/>
  <c r="K10154" i="1"/>
  <c r="L10154" i="1"/>
  <c r="K10155" i="1"/>
  <c r="L10155" i="1"/>
  <c r="K10156" i="1"/>
  <c r="L10156" i="1"/>
  <c r="K10157" i="1"/>
  <c r="L10157" i="1"/>
  <c r="K10158" i="1"/>
  <c r="L10158" i="1"/>
  <c r="K10159" i="1"/>
  <c r="L10159" i="1"/>
  <c r="K10160" i="1"/>
  <c r="L10160" i="1"/>
  <c r="K10161" i="1"/>
  <c r="L10161" i="1"/>
  <c r="K10162" i="1"/>
  <c r="L10162" i="1"/>
  <c r="K10163" i="1"/>
  <c r="L10163" i="1"/>
  <c r="K10164" i="1"/>
  <c r="L10164" i="1"/>
  <c r="K10165" i="1"/>
  <c r="L10165" i="1"/>
  <c r="K10166" i="1"/>
  <c r="L10166" i="1"/>
  <c r="K10167" i="1"/>
  <c r="L10167" i="1"/>
  <c r="K9802" i="1"/>
  <c r="L9802" i="1"/>
  <c r="M9802" i="1"/>
  <c r="K9803" i="1"/>
  <c r="L9803" i="1"/>
  <c r="M9803" i="1"/>
  <c r="K9804" i="1"/>
  <c r="L9804" i="1"/>
  <c r="M9804" i="1"/>
  <c r="K9805" i="1"/>
  <c r="L9805" i="1"/>
  <c r="M9805" i="1"/>
  <c r="K9806" i="1"/>
  <c r="L9806" i="1"/>
  <c r="M9806" i="1"/>
  <c r="K9807" i="1"/>
  <c r="L9807" i="1"/>
  <c r="M9807" i="1"/>
  <c r="K9808" i="1"/>
  <c r="L9808" i="1"/>
  <c r="M9808" i="1"/>
  <c r="K9809" i="1"/>
  <c r="L9809" i="1"/>
  <c r="M9809" i="1"/>
  <c r="K9810" i="1"/>
  <c r="L9810" i="1"/>
  <c r="M9810" i="1"/>
  <c r="K9811" i="1"/>
  <c r="L9811" i="1"/>
  <c r="M9811" i="1"/>
  <c r="K9812" i="1"/>
  <c r="L9812" i="1"/>
  <c r="M9812" i="1"/>
  <c r="K9813" i="1"/>
  <c r="L9813" i="1"/>
  <c r="M9813" i="1"/>
  <c r="K9814" i="1"/>
  <c r="L9814" i="1"/>
  <c r="M9814" i="1"/>
  <c r="K9815" i="1"/>
  <c r="L9815" i="1"/>
  <c r="M9815" i="1"/>
  <c r="K9816" i="1"/>
  <c r="L9816" i="1"/>
  <c r="M9816" i="1"/>
  <c r="K9817" i="1"/>
  <c r="L9817" i="1"/>
  <c r="M9817" i="1"/>
  <c r="K9818" i="1"/>
  <c r="L9818" i="1"/>
  <c r="M9818" i="1"/>
  <c r="K9819" i="1"/>
  <c r="L9819" i="1"/>
  <c r="M9819" i="1"/>
  <c r="K9820" i="1"/>
  <c r="L9820" i="1"/>
  <c r="M9820" i="1"/>
  <c r="K9821" i="1"/>
  <c r="L9821" i="1"/>
  <c r="M9821" i="1"/>
  <c r="K9822" i="1"/>
  <c r="L9822" i="1"/>
  <c r="M9822" i="1"/>
  <c r="K9823" i="1"/>
  <c r="L9823" i="1"/>
  <c r="M9823" i="1"/>
  <c r="K9824" i="1"/>
  <c r="L9824" i="1"/>
  <c r="M9824" i="1"/>
  <c r="K9825" i="1"/>
  <c r="L9825" i="1"/>
  <c r="M9825" i="1"/>
  <c r="K9826" i="1"/>
  <c r="L9826" i="1"/>
  <c r="M9826" i="1"/>
  <c r="K9827" i="1"/>
  <c r="L9827" i="1"/>
  <c r="M9827" i="1"/>
  <c r="K9828" i="1"/>
  <c r="L9828" i="1"/>
  <c r="M9828" i="1"/>
  <c r="K9829" i="1"/>
  <c r="L9829" i="1"/>
  <c r="M9829" i="1"/>
  <c r="K9830" i="1"/>
  <c r="L9830" i="1"/>
  <c r="M9830" i="1"/>
  <c r="K9831" i="1"/>
  <c r="L9831" i="1"/>
  <c r="M9831" i="1"/>
  <c r="K9832" i="1"/>
  <c r="L9832" i="1"/>
  <c r="M9832" i="1"/>
  <c r="K9833" i="1"/>
  <c r="L9833" i="1"/>
  <c r="M9833" i="1"/>
  <c r="K9834" i="1"/>
  <c r="L9834" i="1"/>
  <c r="M9834" i="1"/>
  <c r="K9835" i="1"/>
  <c r="L9835" i="1"/>
  <c r="M9835" i="1"/>
  <c r="K9836" i="1"/>
  <c r="L9836" i="1"/>
  <c r="M9836" i="1"/>
  <c r="K9837" i="1"/>
  <c r="L9837" i="1"/>
  <c r="M9837" i="1"/>
  <c r="K9838" i="1"/>
  <c r="L9838" i="1"/>
  <c r="M9838" i="1"/>
  <c r="K9839" i="1"/>
  <c r="L9839" i="1"/>
  <c r="M9839" i="1"/>
  <c r="K9840" i="1"/>
  <c r="L9840" i="1"/>
  <c r="M9840" i="1"/>
  <c r="K9841" i="1"/>
  <c r="L9841" i="1"/>
  <c r="M9841" i="1"/>
  <c r="K9842" i="1"/>
  <c r="L9842" i="1"/>
  <c r="M9842" i="1"/>
  <c r="K9843" i="1"/>
  <c r="L9843" i="1"/>
  <c r="M9843" i="1"/>
  <c r="K9844" i="1"/>
  <c r="L9844" i="1"/>
  <c r="M9844" i="1"/>
  <c r="K9845" i="1"/>
  <c r="L9845" i="1"/>
  <c r="M9845" i="1"/>
  <c r="K9846" i="1"/>
  <c r="L9846" i="1"/>
  <c r="M9846" i="1"/>
  <c r="K9847" i="1"/>
  <c r="L9847" i="1"/>
  <c r="M9847" i="1"/>
  <c r="K9848" i="1"/>
  <c r="L9848" i="1"/>
  <c r="M9848" i="1"/>
  <c r="K9849" i="1"/>
  <c r="L9849" i="1"/>
  <c r="M9849" i="1"/>
  <c r="K9850" i="1"/>
  <c r="L9850" i="1"/>
  <c r="M9850" i="1"/>
  <c r="K9851" i="1"/>
  <c r="L9851" i="1"/>
  <c r="M9851" i="1"/>
  <c r="K9852" i="1"/>
  <c r="L9852" i="1"/>
  <c r="M9852" i="1"/>
  <c r="K9853" i="1"/>
  <c r="L9853" i="1"/>
  <c r="M9853" i="1"/>
  <c r="K9854" i="1"/>
  <c r="L9854" i="1"/>
  <c r="M9854" i="1"/>
  <c r="K9855" i="1"/>
  <c r="L9855" i="1"/>
  <c r="M9855" i="1"/>
  <c r="K9856" i="1"/>
  <c r="L9856" i="1"/>
  <c r="M9856" i="1"/>
  <c r="K9857" i="1"/>
  <c r="L9857" i="1"/>
  <c r="M9857" i="1"/>
  <c r="K9858" i="1"/>
  <c r="L9858" i="1"/>
  <c r="M9858" i="1"/>
  <c r="K9860" i="1"/>
  <c r="L9860" i="1"/>
  <c r="M9860" i="1"/>
  <c r="K9861" i="1"/>
  <c r="L9861" i="1"/>
  <c r="M9861" i="1"/>
  <c r="K9862" i="1"/>
  <c r="L9862" i="1"/>
  <c r="M9862" i="1"/>
  <c r="K9863" i="1"/>
  <c r="L9863" i="1"/>
  <c r="M9863" i="1"/>
  <c r="K9864" i="1"/>
  <c r="L9864" i="1"/>
  <c r="M9864" i="1"/>
  <c r="K9865" i="1"/>
  <c r="L9865" i="1"/>
  <c r="M9865" i="1"/>
  <c r="K9866" i="1"/>
  <c r="L9866" i="1"/>
  <c r="M9866" i="1"/>
  <c r="K9867" i="1"/>
  <c r="L9867" i="1"/>
  <c r="M9867" i="1"/>
  <c r="K9868" i="1"/>
  <c r="L9868" i="1"/>
  <c r="M9868" i="1"/>
  <c r="K9869" i="1"/>
  <c r="L9869" i="1"/>
  <c r="M9869" i="1"/>
  <c r="K9870" i="1"/>
  <c r="L9870" i="1"/>
  <c r="M9870" i="1"/>
  <c r="K9871" i="1"/>
  <c r="L9871" i="1"/>
  <c r="M9871" i="1"/>
  <c r="K9872" i="1"/>
  <c r="L9872" i="1"/>
  <c r="M9872" i="1"/>
  <c r="K9873" i="1"/>
  <c r="L9873" i="1"/>
  <c r="M9873" i="1"/>
  <c r="K9874" i="1"/>
  <c r="L9874" i="1"/>
  <c r="M9874" i="1"/>
  <c r="K9876" i="1"/>
  <c r="L9876" i="1"/>
  <c r="M9876" i="1"/>
  <c r="K9877" i="1"/>
  <c r="L9877" i="1"/>
  <c r="M9877" i="1"/>
  <c r="K9878" i="1"/>
  <c r="L9878" i="1"/>
  <c r="M9878" i="1"/>
  <c r="K9879" i="1"/>
  <c r="L9879" i="1"/>
  <c r="M9879" i="1"/>
  <c r="K9880" i="1"/>
  <c r="L9880" i="1"/>
  <c r="M9880" i="1"/>
  <c r="K9881" i="1"/>
  <c r="L9881" i="1"/>
  <c r="M9881" i="1"/>
  <c r="K9882" i="1"/>
  <c r="L9882" i="1"/>
  <c r="M9882" i="1"/>
  <c r="K9883" i="1"/>
  <c r="L9883" i="1"/>
  <c r="M9883" i="1"/>
  <c r="K9884" i="1"/>
  <c r="L9884" i="1"/>
  <c r="M9884" i="1"/>
  <c r="K9885" i="1"/>
  <c r="L9885" i="1"/>
  <c r="M9885" i="1"/>
  <c r="K9886" i="1"/>
  <c r="L9886" i="1"/>
  <c r="M9886" i="1"/>
  <c r="K9887" i="1"/>
  <c r="L9887" i="1"/>
  <c r="M9887" i="1"/>
  <c r="K9888" i="1"/>
  <c r="L9888" i="1"/>
  <c r="M9888" i="1"/>
  <c r="K9889" i="1"/>
  <c r="L9889" i="1"/>
  <c r="M9889" i="1"/>
  <c r="K9890" i="1"/>
  <c r="L9890" i="1"/>
  <c r="M9890" i="1"/>
  <c r="K9891" i="1"/>
  <c r="L9891" i="1"/>
  <c r="M9891" i="1"/>
  <c r="K9892" i="1"/>
  <c r="L9892" i="1"/>
  <c r="M9892" i="1"/>
  <c r="K9893" i="1"/>
  <c r="L9893" i="1"/>
  <c r="M9893" i="1"/>
  <c r="K9894" i="1"/>
  <c r="L9894" i="1"/>
  <c r="M9894" i="1"/>
  <c r="K9895" i="1"/>
  <c r="L9895" i="1"/>
  <c r="M9895" i="1"/>
  <c r="K9896" i="1"/>
  <c r="L9896" i="1"/>
  <c r="M9896" i="1"/>
  <c r="K9897" i="1"/>
  <c r="L9897" i="1"/>
  <c r="M9897" i="1"/>
  <c r="K9898" i="1"/>
  <c r="L9898" i="1"/>
  <c r="M9898" i="1"/>
  <c r="K9899" i="1"/>
  <c r="L9899" i="1"/>
  <c r="M9899" i="1"/>
  <c r="K9900" i="1"/>
  <c r="L9900" i="1"/>
  <c r="M9900" i="1"/>
  <c r="K9901" i="1"/>
  <c r="L9901" i="1"/>
  <c r="M9901" i="1"/>
  <c r="K9902" i="1"/>
  <c r="L9902" i="1"/>
  <c r="M9902" i="1"/>
  <c r="K9903" i="1"/>
  <c r="L9903" i="1"/>
  <c r="M9903" i="1"/>
  <c r="K9904" i="1"/>
  <c r="L9904" i="1"/>
  <c r="M9904" i="1"/>
  <c r="K9905" i="1"/>
  <c r="L9905" i="1"/>
  <c r="M9905" i="1"/>
  <c r="K9906" i="1"/>
  <c r="L9906" i="1"/>
  <c r="M9906" i="1"/>
  <c r="K9907" i="1"/>
  <c r="L9907" i="1"/>
  <c r="M9907" i="1"/>
  <c r="K9908" i="1"/>
  <c r="L9908" i="1"/>
  <c r="M9908" i="1"/>
  <c r="K9909" i="1"/>
  <c r="L9909" i="1"/>
  <c r="M9909" i="1"/>
  <c r="K9910" i="1"/>
  <c r="L9910" i="1"/>
  <c r="M9910" i="1"/>
  <c r="K9911" i="1"/>
  <c r="L9911" i="1"/>
  <c r="M9911" i="1"/>
  <c r="K9912" i="1"/>
  <c r="L9912" i="1"/>
  <c r="M9912" i="1"/>
  <c r="K9913" i="1"/>
  <c r="L9913" i="1"/>
  <c r="M9913" i="1"/>
  <c r="K10194" i="1"/>
  <c r="L10194" i="1"/>
  <c r="M10194" i="1"/>
  <c r="K10195" i="1"/>
  <c r="L10195" i="1"/>
  <c r="M10195" i="1"/>
  <c r="K10196" i="1"/>
  <c r="L10196" i="1"/>
  <c r="M10196" i="1"/>
  <c r="K10197" i="1"/>
  <c r="L10197" i="1"/>
  <c r="M10197" i="1"/>
  <c r="K10198" i="1"/>
  <c r="L10198" i="1"/>
  <c r="M10198" i="1"/>
  <c r="K10199" i="1"/>
  <c r="L10199" i="1"/>
  <c r="M10199" i="1"/>
  <c r="K10200" i="1"/>
  <c r="L10200" i="1"/>
  <c r="M10200" i="1"/>
  <c r="K10201" i="1"/>
  <c r="L10201" i="1"/>
  <c r="M10201" i="1"/>
  <c r="K10202" i="1"/>
  <c r="L10202" i="1"/>
  <c r="M10202" i="1"/>
  <c r="K10203" i="1"/>
  <c r="L10203" i="1"/>
  <c r="M10203" i="1"/>
  <c r="K10204" i="1"/>
  <c r="L10204" i="1"/>
  <c r="M10204" i="1"/>
  <c r="K10205" i="1"/>
  <c r="L10205" i="1"/>
  <c r="M10205" i="1"/>
  <c r="K10206" i="1"/>
  <c r="L10206" i="1"/>
  <c r="M10206" i="1"/>
  <c r="K10207" i="1"/>
  <c r="L10207" i="1"/>
  <c r="M10207" i="1"/>
  <c r="K10208" i="1"/>
  <c r="L10208" i="1"/>
  <c r="M10208" i="1"/>
  <c r="K10209" i="1"/>
  <c r="L10209" i="1"/>
  <c r="M10209" i="1"/>
  <c r="K10210" i="1"/>
  <c r="L10210" i="1"/>
  <c r="M10210" i="1"/>
  <c r="K10211" i="1"/>
  <c r="L10211" i="1"/>
  <c r="M10211" i="1"/>
  <c r="K10212" i="1"/>
  <c r="L10212" i="1"/>
  <c r="M10212" i="1"/>
  <c r="K11440" i="1"/>
  <c r="L11440" i="1"/>
  <c r="M11440" i="1"/>
  <c r="K10387" i="1"/>
  <c r="M10387" i="1"/>
  <c r="K10388" i="1"/>
  <c r="M10388" i="1"/>
  <c r="K10389" i="1"/>
  <c r="M10389" i="1"/>
  <c r="K10390" i="1"/>
  <c r="M10390" i="1"/>
  <c r="K10391" i="1"/>
  <c r="M10391" i="1"/>
  <c r="K10392" i="1"/>
  <c r="M10392" i="1"/>
  <c r="K10393" i="1"/>
  <c r="M10393" i="1"/>
  <c r="K10394" i="1"/>
  <c r="M10394" i="1"/>
  <c r="K10395" i="1"/>
  <c r="M10395" i="1"/>
  <c r="K10396" i="1"/>
  <c r="M10396" i="1"/>
  <c r="K10397" i="1"/>
  <c r="M10397" i="1"/>
  <c r="K10398" i="1"/>
  <c r="M10398" i="1"/>
  <c r="K10399" i="1"/>
  <c r="M10399" i="1"/>
  <c r="K10400" i="1"/>
  <c r="M10400" i="1"/>
  <c r="K10401" i="1"/>
  <c r="M10401" i="1"/>
  <c r="K10402" i="1"/>
  <c r="M10402" i="1"/>
  <c r="K10403" i="1"/>
  <c r="M10403" i="1"/>
  <c r="K10404" i="1"/>
  <c r="M10404" i="1"/>
  <c r="K10405" i="1"/>
  <c r="M10405" i="1"/>
  <c r="K10406" i="1"/>
  <c r="M10406" i="1"/>
  <c r="K10407" i="1"/>
  <c r="M10407" i="1"/>
  <c r="K10408" i="1"/>
  <c r="M10408" i="1"/>
  <c r="K10409" i="1"/>
  <c r="M10409" i="1"/>
  <c r="K10410" i="1"/>
  <c r="M10410" i="1"/>
  <c r="K10411" i="1"/>
  <c r="M10411" i="1"/>
  <c r="K10412" i="1"/>
  <c r="M10412" i="1"/>
  <c r="K10413" i="1"/>
  <c r="M10413" i="1"/>
  <c r="K10414" i="1"/>
  <c r="M10414" i="1"/>
  <c r="K10339" i="1"/>
  <c r="M10339" i="1"/>
  <c r="K10340" i="1"/>
  <c r="M10340" i="1"/>
  <c r="K10341" i="1"/>
  <c r="M10341" i="1"/>
  <c r="K10342" i="1"/>
  <c r="M10342" i="1"/>
  <c r="K10343" i="1"/>
  <c r="M10343" i="1"/>
  <c r="K10344" i="1"/>
  <c r="M10344" i="1"/>
  <c r="K10345" i="1"/>
  <c r="M10345" i="1"/>
  <c r="K10346" i="1"/>
  <c r="M10346" i="1"/>
  <c r="K10347" i="1"/>
  <c r="M10347" i="1"/>
  <c r="K10348" i="1"/>
  <c r="M10348" i="1"/>
  <c r="K10349" i="1"/>
  <c r="M10349" i="1"/>
  <c r="K10350" i="1"/>
  <c r="M10350" i="1"/>
  <c r="K10351" i="1"/>
  <c r="M10351" i="1"/>
  <c r="K10352" i="1"/>
  <c r="M10352" i="1"/>
  <c r="K10353" i="1"/>
  <c r="M10353" i="1"/>
  <c r="K10354" i="1"/>
  <c r="M10354" i="1"/>
  <c r="K10355" i="1"/>
  <c r="M10355" i="1"/>
  <c r="K10356" i="1"/>
  <c r="M10356" i="1"/>
  <c r="K10357" i="1"/>
  <c r="M10357" i="1"/>
  <c r="K10358" i="1"/>
  <c r="M10358" i="1"/>
  <c r="K10359" i="1"/>
  <c r="M10359" i="1"/>
  <c r="K10360" i="1"/>
  <c r="M10360" i="1"/>
  <c r="K10361" i="1"/>
  <c r="M10361" i="1"/>
  <c r="K10362" i="1"/>
  <c r="M10362" i="1"/>
  <c r="K10363" i="1"/>
  <c r="M10363" i="1"/>
  <c r="K10364" i="1"/>
  <c r="M10364" i="1"/>
  <c r="K10365" i="1"/>
  <c r="M10365" i="1"/>
  <c r="K10366" i="1"/>
  <c r="M10366" i="1"/>
  <c r="K10367" i="1"/>
  <c r="M10367" i="1"/>
  <c r="K10368" i="1"/>
  <c r="M10368" i="1"/>
  <c r="K10369" i="1"/>
  <c r="M10369" i="1"/>
  <c r="K10370" i="1"/>
  <c r="M10370" i="1"/>
  <c r="K10371" i="1"/>
  <c r="M10371" i="1"/>
  <c r="K10372" i="1"/>
  <c r="M10372" i="1"/>
  <c r="K10373" i="1"/>
  <c r="M10373" i="1"/>
  <c r="K10374" i="1"/>
  <c r="M10374" i="1"/>
  <c r="K10375" i="1"/>
  <c r="M10375" i="1"/>
  <c r="K10376" i="1"/>
  <c r="M10376" i="1"/>
  <c r="K10377" i="1"/>
  <c r="M10377" i="1"/>
  <c r="K10378" i="1"/>
  <c r="M10378" i="1"/>
  <c r="K10379" i="1"/>
  <c r="M10379" i="1"/>
  <c r="K10380" i="1"/>
  <c r="M10380" i="1"/>
  <c r="K10381" i="1"/>
  <c r="M10381" i="1"/>
  <c r="K10382" i="1"/>
  <c r="M10382" i="1"/>
  <c r="K10383" i="1"/>
  <c r="M10383" i="1"/>
  <c r="K10384" i="1"/>
  <c r="M10384" i="1"/>
  <c r="K10385" i="1"/>
  <c r="M10385" i="1"/>
  <c r="K10386" i="1"/>
  <c r="M10386" i="1"/>
  <c r="K10213" i="1"/>
  <c r="L10213" i="1"/>
  <c r="M10213" i="1"/>
  <c r="K10214" i="1"/>
  <c r="L10214" i="1"/>
  <c r="M10214" i="1"/>
  <c r="K10215" i="1"/>
  <c r="L10215" i="1"/>
  <c r="M10215" i="1"/>
  <c r="K10216" i="1"/>
  <c r="L10216" i="1"/>
  <c r="M10216" i="1"/>
  <c r="K10217" i="1"/>
  <c r="L10217" i="1"/>
  <c r="M10217" i="1"/>
  <c r="K10218" i="1"/>
  <c r="L10218" i="1"/>
  <c r="M10218" i="1"/>
  <c r="K10219" i="1"/>
  <c r="L10219" i="1"/>
  <c r="M10219" i="1"/>
  <c r="K10220" i="1"/>
  <c r="L10220" i="1"/>
  <c r="M10220" i="1"/>
  <c r="K10221" i="1"/>
  <c r="L10221" i="1"/>
  <c r="M10221" i="1"/>
  <c r="K10222" i="1"/>
  <c r="L10222" i="1"/>
  <c r="M10222" i="1"/>
  <c r="K10223" i="1"/>
  <c r="L10223" i="1"/>
  <c r="M10223" i="1"/>
  <c r="K10224" i="1"/>
  <c r="L10224" i="1"/>
  <c r="M10224" i="1"/>
  <c r="K10225" i="1"/>
  <c r="L10225" i="1"/>
  <c r="M10225" i="1"/>
  <c r="K10226" i="1"/>
  <c r="L10226" i="1"/>
  <c r="M10226" i="1"/>
  <c r="K10227" i="1"/>
  <c r="L10227" i="1"/>
  <c r="M10227" i="1"/>
  <c r="K10228" i="1"/>
  <c r="L10228" i="1"/>
  <c r="M10228" i="1"/>
  <c r="K10229" i="1"/>
  <c r="L10229" i="1"/>
  <c r="M10229" i="1"/>
  <c r="K10230" i="1"/>
  <c r="L10230" i="1"/>
  <c r="M10230" i="1"/>
  <c r="K10494" i="1"/>
  <c r="L10494" i="1"/>
  <c r="K10495" i="1"/>
  <c r="L10495" i="1"/>
  <c r="K10481" i="1"/>
  <c r="L10481" i="1"/>
  <c r="K10482" i="1"/>
  <c r="L10482" i="1"/>
  <c r="K10483" i="1"/>
  <c r="L10483" i="1"/>
  <c r="K10484" i="1"/>
  <c r="L10484" i="1"/>
  <c r="K10485" i="1"/>
  <c r="L10485" i="1"/>
  <c r="K10486" i="1"/>
  <c r="L10486" i="1"/>
  <c r="K10487" i="1"/>
  <c r="L10487" i="1"/>
  <c r="K10488" i="1"/>
  <c r="L10488" i="1"/>
  <c r="K10489" i="1"/>
  <c r="L10489" i="1"/>
  <c r="K10490" i="1"/>
  <c r="L10490" i="1"/>
  <c r="K10491" i="1"/>
  <c r="L10491" i="1"/>
  <c r="K10492" i="1"/>
  <c r="L10492" i="1"/>
  <c r="K10493" i="1"/>
  <c r="L10493" i="1"/>
  <c r="K10231" i="1"/>
  <c r="L10231" i="1"/>
  <c r="M10231" i="1"/>
  <c r="K10232" i="1"/>
  <c r="L10232" i="1"/>
  <c r="M10232" i="1"/>
  <c r="K10233" i="1"/>
  <c r="L10233" i="1"/>
  <c r="M10233" i="1"/>
  <c r="K10234" i="1"/>
  <c r="L10234" i="1"/>
  <c r="M10234" i="1"/>
  <c r="K10517" i="1"/>
  <c r="L10517" i="1"/>
  <c r="K10518" i="1"/>
  <c r="L10518" i="1"/>
  <c r="K10519" i="1"/>
  <c r="L10519" i="1"/>
  <c r="K10520" i="1"/>
  <c r="L10520" i="1"/>
  <c r="K10521" i="1"/>
  <c r="L10521" i="1"/>
  <c r="K10522" i="1"/>
  <c r="L10522" i="1"/>
  <c r="K10523" i="1"/>
  <c r="L10523" i="1"/>
  <c r="K10524" i="1"/>
  <c r="L10524" i="1"/>
  <c r="K10525" i="1"/>
  <c r="L10525" i="1"/>
  <c r="K10526" i="1"/>
  <c r="L10526" i="1"/>
  <c r="K10497" i="1"/>
  <c r="L10497" i="1"/>
  <c r="K10498" i="1"/>
  <c r="L10498" i="1"/>
  <c r="K10499" i="1"/>
  <c r="L10499" i="1"/>
  <c r="K10500" i="1"/>
  <c r="L10500" i="1"/>
  <c r="K10501" i="1"/>
  <c r="L10501" i="1"/>
  <c r="K10502" i="1"/>
  <c r="L10502" i="1"/>
  <c r="K10503" i="1"/>
  <c r="L10503" i="1"/>
  <c r="K10504" i="1"/>
  <c r="L10504" i="1"/>
  <c r="K10505" i="1"/>
  <c r="L10505" i="1"/>
  <c r="K10506" i="1"/>
  <c r="L10506" i="1"/>
  <c r="K10507" i="1"/>
  <c r="L10507" i="1"/>
  <c r="K10508" i="1"/>
  <c r="L10508" i="1"/>
  <c r="K10509" i="1"/>
  <c r="L10509" i="1"/>
  <c r="K10510" i="1"/>
  <c r="L10510" i="1"/>
  <c r="K10511" i="1"/>
  <c r="L10511" i="1"/>
  <c r="K10512" i="1"/>
  <c r="L10512" i="1"/>
  <c r="K10513" i="1"/>
  <c r="L10513" i="1"/>
  <c r="K10514" i="1"/>
  <c r="L10514" i="1"/>
  <c r="K10515" i="1"/>
  <c r="L10515" i="1"/>
  <c r="K10516" i="1"/>
  <c r="L10516" i="1"/>
  <c r="K10235" i="1"/>
  <c r="L10235" i="1"/>
  <c r="M10235" i="1"/>
  <c r="K10530" i="1"/>
  <c r="L10530" i="1"/>
  <c r="K10531" i="1"/>
  <c r="L10531" i="1"/>
  <c r="K10527" i="1"/>
  <c r="L10527" i="1"/>
  <c r="K10528" i="1"/>
  <c r="L10528" i="1"/>
  <c r="K10529" i="1"/>
  <c r="L10529" i="1"/>
  <c r="K10532" i="1"/>
  <c r="L10532" i="1"/>
  <c r="K10236" i="1"/>
  <c r="L10236" i="1"/>
  <c r="M10236" i="1"/>
  <c r="K10237" i="1"/>
  <c r="L10237" i="1"/>
  <c r="M10237" i="1"/>
  <c r="K10238" i="1"/>
  <c r="L10238" i="1"/>
  <c r="M10238" i="1"/>
  <c r="K10239" i="1"/>
  <c r="L10239" i="1"/>
  <c r="M10239" i="1"/>
  <c r="K10240" i="1"/>
  <c r="L10240" i="1"/>
  <c r="M10240" i="1"/>
  <c r="K10241" i="1"/>
  <c r="L10241" i="1"/>
  <c r="M10241" i="1"/>
  <c r="K10242" i="1"/>
  <c r="L10242" i="1"/>
  <c r="M10242" i="1"/>
  <c r="K10243" i="1"/>
  <c r="L10243" i="1"/>
  <c r="M10243" i="1"/>
  <c r="K10244" i="1"/>
  <c r="L10244" i="1"/>
  <c r="M10244" i="1"/>
  <c r="K10245" i="1"/>
  <c r="L10245" i="1"/>
  <c r="M10245" i="1"/>
  <c r="K10246" i="1"/>
  <c r="L10246" i="1"/>
  <c r="M10246" i="1"/>
  <c r="K10247" i="1"/>
  <c r="L10247" i="1"/>
  <c r="M10247" i="1"/>
  <c r="K10248" i="1"/>
  <c r="L10248" i="1"/>
  <c r="M10248" i="1"/>
  <c r="K10249" i="1"/>
  <c r="L10249" i="1"/>
  <c r="M10249" i="1"/>
  <c r="K10544" i="1"/>
  <c r="L10544" i="1"/>
  <c r="K10545" i="1"/>
  <c r="L10545" i="1"/>
  <c r="K10546" i="1"/>
  <c r="L10546" i="1"/>
  <c r="K10547" i="1"/>
  <c r="L10547" i="1"/>
  <c r="K10548" i="1"/>
  <c r="L10548" i="1"/>
  <c r="K10549" i="1"/>
  <c r="L10549" i="1"/>
  <c r="K10533" i="1"/>
  <c r="L10533" i="1"/>
  <c r="K10534" i="1"/>
  <c r="L10534" i="1"/>
  <c r="K10535" i="1"/>
  <c r="L10535" i="1"/>
  <c r="K10536" i="1"/>
  <c r="L10536" i="1"/>
  <c r="K10537" i="1"/>
  <c r="L10537" i="1"/>
  <c r="K10538" i="1"/>
  <c r="L10538" i="1"/>
  <c r="K10539" i="1"/>
  <c r="L10539" i="1"/>
  <c r="K10540" i="1"/>
  <c r="L10540" i="1"/>
  <c r="K10541" i="1"/>
  <c r="L10541" i="1"/>
  <c r="K10542" i="1"/>
  <c r="L10542" i="1"/>
  <c r="K10543" i="1"/>
  <c r="L10543" i="1"/>
  <c r="K10250" i="1"/>
  <c r="L10250" i="1"/>
  <c r="M10250" i="1"/>
  <c r="K10559" i="1"/>
  <c r="L10559" i="1"/>
  <c r="K10560" i="1"/>
  <c r="L10560" i="1"/>
  <c r="K10561" i="1"/>
  <c r="L10561" i="1"/>
  <c r="K10562" i="1"/>
  <c r="L10562" i="1"/>
  <c r="K10563" i="1"/>
  <c r="L10563" i="1"/>
  <c r="K10564" i="1"/>
  <c r="L10564" i="1"/>
  <c r="K10550" i="1"/>
  <c r="L10550" i="1"/>
  <c r="K10551" i="1"/>
  <c r="L10551" i="1"/>
  <c r="K10552" i="1"/>
  <c r="L10552" i="1"/>
  <c r="K10553" i="1"/>
  <c r="L10553" i="1"/>
  <c r="K10554" i="1"/>
  <c r="L10554" i="1"/>
  <c r="K10555" i="1"/>
  <c r="L10555" i="1"/>
  <c r="K10556" i="1"/>
  <c r="L10556" i="1"/>
  <c r="K10557" i="1"/>
  <c r="L10557" i="1"/>
  <c r="K10558" i="1"/>
  <c r="L10558" i="1"/>
  <c r="K10251" i="1"/>
  <c r="L10251" i="1"/>
  <c r="M10251" i="1"/>
  <c r="K10252" i="1"/>
  <c r="L10252" i="1"/>
  <c r="M10252" i="1"/>
  <c r="K10253" i="1"/>
  <c r="L10253" i="1"/>
  <c r="M10253" i="1"/>
  <c r="K10254" i="1"/>
  <c r="L10254" i="1"/>
  <c r="M10254" i="1"/>
  <c r="K10255" i="1"/>
  <c r="L10255" i="1"/>
  <c r="M10255" i="1"/>
  <c r="K10256" i="1"/>
  <c r="L10256" i="1"/>
  <c r="M10256" i="1"/>
  <c r="K10257" i="1"/>
  <c r="L10257" i="1"/>
  <c r="M10257" i="1"/>
  <c r="K10258" i="1"/>
  <c r="L10258" i="1"/>
  <c r="M10258" i="1"/>
  <c r="K10259" i="1"/>
  <c r="L10259" i="1"/>
  <c r="M10259" i="1"/>
  <c r="K10260" i="1"/>
  <c r="L10260" i="1"/>
  <c r="M10260" i="1"/>
  <c r="K10261" i="1"/>
  <c r="L10261" i="1"/>
  <c r="M10261" i="1"/>
  <c r="K10262" i="1"/>
  <c r="L10262" i="1"/>
  <c r="M10262" i="1"/>
  <c r="K10263" i="1"/>
  <c r="L10263" i="1"/>
  <c r="M10263" i="1"/>
  <c r="K10264" i="1"/>
  <c r="L10264" i="1"/>
  <c r="M10264" i="1"/>
  <c r="K10265" i="1"/>
  <c r="L10265" i="1"/>
  <c r="M10265" i="1"/>
  <c r="K10266" i="1"/>
  <c r="L10266" i="1"/>
  <c r="M10266" i="1"/>
  <c r="K10267" i="1"/>
  <c r="L10267" i="1"/>
  <c r="M10267" i="1"/>
  <c r="K10268" i="1"/>
  <c r="L10268" i="1"/>
  <c r="M10268" i="1"/>
  <c r="K10269" i="1"/>
  <c r="L10269" i="1"/>
  <c r="M10269" i="1"/>
  <c r="K10270" i="1"/>
  <c r="L10270" i="1"/>
  <c r="M10270" i="1"/>
  <c r="K10271" i="1"/>
  <c r="L10271" i="1"/>
  <c r="M10271" i="1"/>
  <c r="K10272" i="1"/>
  <c r="L10272" i="1"/>
  <c r="M10272" i="1"/>
  <c r="K10273" i="1"/>
  <c r="L10273" i="1"/>
  <c r="M10273" i="1"/>
  <c r="K10274" i="1"/>
  <c r="L10274" i="1"/>
  <c r="M10274" i="1"/>
  <c r="K10275" i="1"/>
  <c r="L10275" i="1"/>
  <c r="M10275" i="1"/>
  <c r="K10593" i="1"/>
  <c r="L10593" i="1"/>
  <c r="K10594" i="1"/>
  <c r="L10594" i="1"/>
  <c r="K10595" i="1"/>
  <c r="L10595" i="1"/>
  <c r="K10596" i="1"/>
  <c r="L10596" i="1"/>
  <c r="K10565" i="1"/>
  <c r="L10565" i="1"/>
  <c r="K10566" i="1"/>
  <c r="L10566" i="1"/>
  <c r="K10567" i="1"/>
  <c r="L10567" i="1"/>
  <c r="K10568" i="1"/>
  <c r="L10568" i="1"/>
  <c r="K10569" i="1"/>
  <c r="L10569" i="1"/>
  <c r="K10570" i="1"/>
  <c r="L10570" i="1"/>
  <c r="K10571" i="1"/>
  <c r="L10571" i="1"/>
  <c r="K10572" i="1"/>
  <c r="L10572" i="1"/>
  <c r="K10573" i="1"/>
  <c r="L10573" i="1"/>
  <c r="K10574" i="1"/>
  <c r="L10574" i="1"/>
  <c r="K10575" i="1"/>
  <c r="L10575" i="1"/>
  <c r="K10576" i="1"/>
  <c r="L10576" i="1"/>
  <c r="K10577" i="1"/>
  <c r="L10577" i="1"/>
  <c r="K10578" i="1"/>
  <c r="L10578" i="1"/>
  <c r="K10579" i="1"/>
  <c r="L10579" i="1"/>
  <c r="K10580" i="1"/>
  <c r="L10580" i="1"/>
  <c r="K10581" i="1"/>
  <c r="L10581" i="1"/>
  <c r="K10582" i="1"/>
  <c r="L10582" i="1"/>
  <c r="K10583" i="1"/>
  <c r="L10583" i="1"/>
  <c r="K10584" i="1"/>
  <c r="L10584" i="1"/>
  <c r="K10585" i="1"/>
  <c r="L10585" i="1"/>
  <c r="K10586" i="1"/>
  <c r="L10586" i="1"/>
  <c r="K10587" i="1"/>
  <c r="L10587" i="1"/>
  <c r="K10588" i="1"/>
  <c r="L10588" i="1"/>
  <c r="K10589" i="1"/>
  <c r="L10589" i="1"/>
  <c r="K10590" i="1"/>
  <c r="L10590" i="1"/>
  <c r="K10591" i="1"/>
  <c r="L10591" i="1"/>
  <c r="K10592" i="1"/>
  <c r="L10592" i="1"/>
  <c r="K10276" i="1"/>
  <c r="L10276" i="1"/>
  <c r="M10276" i="1"/>
  <c r="K10277" i="1"/>
  <c r="L10277" i="1"/>
  <c r="M10277" i="1"/>
  <c r="K10278" i="1"/>
  <c r="L10278" i="1"/>
  <c r="M10278" i="1"/>
  <c r="K10279" i="1"/>
  <c r="L10279" i="1"/>
  <c r="M10279" i="1"/>
  <c r="K10280" i="1"/>
  <c r="L10280" i="1"/>
  <c r="M10280" i="1"/>
  <c r="K10281" i="1"/>
  <c r="L10281" i="1"/>
  <c r="M10281" i="1"/>
  <c r="K10282" i="1"/>
  <c r="L10282" i="1"/>
  <c r="M10282" i="1"/>
  <c r="K10283" i="1"/>
  <c r="L10283" i="1"/>
  <c r="M10283" i="1"/>
  <c r="K10284" i="1"/>
  <c r="L10284" i="1"/>
  <c r="M10284" i="1"/>
  <c r="K10285" i="1"/>
  <c r="L10285" i="1"/>
  <c r="M10285" i="1"/>
  <c r="K10286" i="1"/>
  <c r="L10286" i="1"/>
  <c r="M10286" i="1"/>
  <c r="K10287" i="1"/>
  <c r="L10287" i="1"/>
  <c r="M10287" i="1"/>
  <c r="K10288" i="1"/>
  <c r="L10288" i="1"/>
  <c r="M10288" i="1"/>
  <c r="K10289" i="1"/>
  <c r="L10289" i="1"/>
  <c r="M10289" i="1"/>
  <c r="K10290" i="1"/>
  <c r="L10290" i="1"/>
  <c r="M10290" i="1"/>
  <c r="K10291" i="1"/>
  <c r="L10291" i="1"/>
  <c r="M10291" i="1"/>
  <c r="K10292" i="1"/>
  <c r="L10292" i="1"/>
  <c r="M10292" i="1"/>
  <c r="K10293" i="1"/>
  <c r="L10293" i="1"/>
  <c r="M10293" i="1"/>
  <c r="K10294" i="1"/>
  <c r="L10294" i="1"/>
  <c r="M10294" i="1"/>
  <c r="K10295" i="1"/>
  <c r="L10295" i="1"/>
  <c r="M10295" i="1"/>
  <c r="K10296" i="1"/>
  <c r="L10296" i="1"/>
  <c r="M10296" i="1"/>
  <c r="K10297" i="1"/>
  <c r="L10297" i="1"/>
  <c r="M10297" i="1"/>
  <c r="K10606" i="1"/>
  <c r="L10606" i="1"/>
  <c r="K10607" i="1"/>
  <c r="L10607" i="1"/>
  <c r="K10608" i="1"/>
  <c r="L10608" i="1"/>
  <c r="K10609" i="1"/>
  <c r="L10609" i="1"/>
  <c r="K10610" i="1"/>
  <c r="L10610" i="1"/>
  <c r="K10611" i="1"/>
  <c r="L10611" i="1"/>
  <c r="K10612" i="1"/>
  <c r="L10612" i="1"/>
  <c r="K10613" i="1"/>
  <c r="L10613" i="1"/>
  <c r="K10614" i="1"/>
  <c r="L10614" i="1"/>
  <c r="K10615" i="1"/>
  <c r="L10615" i="1"/>
  <c r="K10616" i="1"/>
  <c r="L10616" i="1"/>
  <c r="K10617" i="1"/>
  <c r="L10617" i="1"/>
  <c r="K10618" i="1"/>
  <c r="L10618" i="1"/>
  <c r="K10619" i="1"/>
  <c r="L10619" i="1"/>
  <c r="K10597" i="1"/>
  <c r="L10597" i="1"/>
  <c r="K10598" i="1"/>
  <c r="L10598" i="1"/>
  <c r="K10599" i="1"/>
  <c r="L10599" i="1"/>
  <c r="K10600" i="1"/>
  <c r="L10600" i="1"/>
  <c r="K10601" i="1"/>
  <c r="L10601" i="1"/>
  <c r="K10602" i="1"/>
  <c r="L10602" i="1"/>
  <c r="K10603" i="1"/>
  <c r="L10603" i="1"/>
  <c r="K10604" i="1"/>
  <c r="L10604" i="1"/>
  <c r="K10605" i="1"/>
  <c r="L10605" i="1"/>
  <c r="K10298" i="1"/>
  <c r="L10298" i="1"/>
  <c r="M10298" i="1"/>
  <c r="K10299" i="1"/>
  <c r="L10299" i="1"/>
  <c r="M10299" i="1"/>
  <c r="K10300" i="1"/>
  <c r="L10300" i="1"/>
  <c r="M10300" i="1"/>
  <c r="K10301" i="1"/>
  <c r="L10301" i="1"/>
  <c r="M10301" i="1"/>
  <c r="K10302" i="1"/>
  <c r="L10302" i="1"/>
  <c r="M10302" i="1"/>
  <c r="K10303" i="1"/>
  <c r="L10303" i="1"/>
  <c r="M10303" i="1"/>
  <c r="K10304" i="1"/>
  <c r="L10304" i="1"/>
  <c r="M10304" i="1"/>
  <c r="K10305" i="1"/>
  <c r="L10305" i="1"/>
  <c r="M10305" i="1"/>
  <c r="K10306" i="1"/>
  <c r="L10306" i="1"/>
  <c r="M10306" i="1"/>
  <c r="K10623" i="1"/>
  <c r="L10623" i="1"/>
  <c r="K10624" i="1"/>
  <c r="L10624" i="1"/>
  <c r="K10625" i="1"/>
  <c r="L10625" i="1"/>
  <c r="K10620" i="1"/>
  <c r="L10620" i="1"/>
  <c r="K10621" i="1"/>
  <c r="L10621" i="1"/>
  <c r="K10622" i="1"/>
  <c r="L10622" i="1"/>
  <c r="K10307" i="1"/>
  <c r="L10307" i="1"/>
  <c r="M10307" i="1"/>
  <c r="K10308" i="1"/>
  <c r="L10308" i="1"/>
  <c r="M10308" i="1"/>
  <c r="K10309" i="1"/>
  <c r="L10309" i="1"/>
  <c r="M10309" i="1"/>
  <c r="K10310" i="1"/>
  <c r="L10310" i="1"/>
  <c r="M10310" i="1"/>
  <c r="K10311" i="1"/>
  <c r="L10311" i="1"/>
  <c r="M10311" i="1"/>
  <c r="K10312" i="1"/>
  <c r="L10312" i="1"/>
  <c r="M10312" i="1"/>
  <c r="K10313" i="1"/>
  <c r="L10313" i="1"/>
  <c r="M10313" i="1"/>
  <c r="K10314" i="1"/>
  <c r="L10314" i="1"/>
  <c r="M10314" i="1"/>
  <c r="K10315" i="1"/>
  <c r="L10315" i="1"/>
  <c r="M10315" i="1"/>
  <c r="K10316" i="1"/>
  <c r="L10316" i="1"/>
  <c r="M10316" i="1"/>
  <c r="K10317" i="1"/>
  <c r="L10317" i="1"/>
  <c r="M10317" i="1"/>
  <c r="K10634" i="1"/>
  <c r="L10634" i="1"/>
  <c r="K10635" i="1"/>
  <c r="L10635" i="1"/>
  <c r="K10636" i="1"/>
  <c r="L10636" i="1"/>
  <c r="K10637" i="1"/>
  <c r="L10637" i="1"/>
  <c r="K10638" i="1"/>
  <c r="L10638" i="1"/>
  <c r="K10626" i="1"/>
  <c r="L10626" i="1"/>
  <c r="K10627" i="1"/>
  <c r="L10627" i="1"/>
  <c r="K10628" i="1"/>
  <c r="L10628" i="1"/>
  <c r="K10629" i="1"/>
  <c r="L10629" i="1"/>
  <c r="K10630" i="1"/>
  <c r="L10630" i="1"/>
  <c r="K10631" i="1"/>
  <c r="L10631" i="1"/>
  <c r="K10632" i="1"/>
  <c r="L10632" i="1"/>
  <c r="K10633" i="1"/>
  <c r="L10633" i="1"/>
  <c r="K10318" i="1"/>
  <c r="L10318" i="1"/>
  <c r="M10318" i="1"/>
  <c r="K10319" i="1"/>
  <c r="L10319" i="1"/>
  <c r="M10319" i="1"/>
  <c r="K10320" i="1"/>
  <c r="L10320" i="1"/>
  <c r="M10320" i="1"/>
  <c r="K10321" i="1"/>
  <c r="L10321" i="1"/>
  <c r="M10321" i="1"/>
  <c r="K10322" i="1"/>
  <c r="L10322" i="1"/>
  <c r="M10322" i="1"/>
  <c r="K10323" i="1"/>
  <c r="L10323" i="1"/>
  <c r="M10323" i="1"/>
  <c r="K10324" i="1"/>
  <c r="L10324" i="1"/>
  <c r="M10324" i="1"/>
  <c r="K10325" i="1"/>
  <c r="L10325" i="1"/>
  <c r="M10325" i="1"/>
  <c r="K10326" i="1"/>
  <c r="L10326" i="1"/>
  <c r="M10326" i="1"/>
  <c r="K10327" i="1"/>
  <c r="L10327" i="1"/>
  <c r="M10327" i="1"/>
  <c r="K10328" i="1"/>
  <c r="L10328" i="1"/>
  <c r="M10328" i="1"/>
  <c r="K10329" i="1"/>
  <c r="L10329" i="1"/>
  <c r="M10329" i="1"/>
  <c r="K10330" i="1"/>
  <c r="L10330" i="1"/>
  <c r="M10330" i="1"/>
  <c r="K10331" i="1"/>
  <c r="L10331" i="1"/>
  <c r="M10331" i="1"/>
  <c r="K10332" i="1"/>
  <c r="L10332" i="1"/>
  <c r="M10332" i="1"/>
  <c r="K10333" i="1"/>
  <c r="L10333" i="1"/>
  <c r="M10333" i="1"/>
  <c r="K10334" i="1"/>
  <c r="L10334" i="1"/>
  <c r="M10334" i="1"/>
  <c r="K10335" i="1"/>
  <c r="L10335" i="1"/>
  <c r="M10335" i="1"/>
  <c r="K10336" i="1"/>
  <c r="L10336" i="1"/>
  <c r="M10336" i="1"/>
  <c r="K10337" i="1"/>
  <c r="L10337" i="1"/>
  <c r="M10337" i="1"/>
  <c r="K10338" i="1"/>
  <c r="L10338" i="1"/>
  <c r="M10338" i="1"/>
  <c r="K10663" i="1"/>
  <c r="L10663" i="1"/>
  <c r="K10664" i="1"/>
  <c r="L10664" i="1"/>
  <c r="K10665" i="1"/>
  <c r="L10665" i="1"/>
  <c r="K10666" i="1"/>
  <c r="L10666" i="1"/>
  <c r="K10667" i="1"/>
  <c r="L10667" i="1"/>
  <c r="K10668" i="1"/>
  <c r="L10668" i="1"/>
  <c r="K10669" i="1"/>
  <c r="L10669" i="1"/>
  <c r="K10670" i="1"/>
  <c r="L10670" i="1"/>
  <c r="K10671" i="1"/>
  <c r="L10671" i="1"/>
  <c r="K10672" i="1"/>
  <c r="L10672" i="1"/>
  <c r="K10673" i="1"/>
  <c r="L10673" i="1"/>
  <c r="K10674" i="1"/>
  <c r="L10674" i="1"/>
  <c r="K10675" i="1"/>
  <c r="L10675" i="1"/>
  <c r="K10676" i="1"/>
  <c r="L10676" i="1"/>
  <c r="K10677" i="1"/>
  <c r="L10677" i="1"/>
  <c r="K10678" i="1"/>
  <c r="L10678" i="1"/>
  <c r="K10679" i="1"/>
  <c r="L10679" i="1"/>
  <c r="K10680" i="1"/>
  <c r="L10680" i="1"/>
  <c r="K10681" i="1"/>
  <c r="L10681" i="1"/>
  <c r="K10682" i="1"/>
  <c r="L10682" i="1"/>
  <c r="K10683" i="1"/>
  <c r="L10683" i="1"/>
  <c r="K10639" i="1"/>
  <c r="L10639" i="1"/>
  <c r="K10640" i="1"/>
  <c r="L10640" i="1"/>
  <c r="K10641" i="1"/>
  <c r="L10641" i="1"/>
  <c r="K10642" i="1"/>
  <c r="L10642" i="1"/>
  <c r="K10643" i="1"/>
  <c r="L10643" i="1"/>
  <c r="K10644" i="1"/>
  <c r="L10644" i="1"/>
  <c r="K10645" i="1"/>
  <c r="L10645" i="1"/>
  <c r="K10646" i="1"/>
  <c r="L10646" i="1"/>
  <c r="K10647" i="1"/>
  <c r="L10647" i="1"/>
  <c r="K10648" i="1"/>
  <c r="L10648" i="1"/>
  <c r="K10649" i="1"/>
  <c r="L10649" i="1"/>
  <c r="K10650" i="1"/>
  <c r="L10650" i="1"/>
  <c r="K10651" i="1"/>
  <c r="L10651" i="1"/>
  <c r="K10652" i="1"/>
  <c r="L10652" i="1"/>
  <c r="K10653" i="1"/>
  <c r="L10653" i="1"/>
  <c r="K10654" i="1"/>
  <c r="L10654" i="1"/>
  <c r="K10655" i="1"/>
  <c r="L10655" i="1"/>
  <c r="K10656" i="1"/>
  <c r="L10656" i="1"/>
  <c r="K10657" i="1"/>
  <c r="L10657" i="1"/>
  <c r="K10658" i="1"/>
  <c r="L10658" i="1"/>
  <c r="K10659" i="1"/>
  <c r="L10659" i="1"/>
  <c r="K10660" i="1"/>
  <c r="L10660" i="1"/>
  <c r="K10661" i="1"/>
  <c r="L10661" i="1"/>
  <c r="K10662" i="1"/>
  <c r="L10662" i="1"/>
  <c r="K10415" i="1"/>
  <c r="L10415" i="1"/>
  <c r="M10415" i="1"/>
  <c r="K10416" i="1"/>
  <c r="L10416" i="1"/>
  <c r="M10416" i="1"/>
  <c r="K10417" i="1"/>
  <c r="L10417" i="1"/>
  <c r="M10417" i="1"/>
  <c r="K10418" i="1"/>
  <c r="L10418" i="1"/>
  <c r="M10418" i="1"/>
  <c r="K10419" i="1"/>
  <c r="L10419" i="1"/>
  <c r="M10419" i="1"/>
  <c r="K10420" i="1"/>
  <c r="L10420" i="1"/>
  <c r="M10420" i="1"/>
  <c r="K10421" i="1"/>
  <c r="L10421" i="1"/>
  <c r="M10421" i="1"/>
  <c r="K10422" i="1"/>
  <c r="L10422" i="1"/>
  <c r="M10422" i="1"/>
  <c r="K10423" i="1"/>
  <c r="L10423" i="1"/>
  <c r="M10423" i="1"/>
  <c r="K10424" i="1"/>
  <c r="L10424" i="1"/>
  <c r="M10424" i="1"/>
  <c r="K10425" i="1"/>
  <c r="L10425" i="1"/>
  <c r="M10425" i="1"/>
  <c r="K10426" i="1"/>
  <c r="L10426" i="1"/>
  <c r="M10426" i="1"/>
  <c r="K10427" i="1"/>
  <c r="L10427" i="1"/>
  <c r="M10427" i="1"/>
  <c r="K10428" i="1"/>
  <c r="L10428" i="1"/>
  <c r="M10428" i="1"/>
  <c r="K10429" i="1"/>
  <c r="L10429" i="1"/>
  <c r="M10429" i="1"/>
  <c r="K10430" i="1"/>
  <c r="L10430" i="1"/>
  <c r="M10430" i="1"/>
  <c r="K10431" i="1"/>
  <c r="L10431" i="1"/>
  <c r="M10431" i="1"/>
  <c r="K10432" i="1"/>
  <c r="L10432" i="1"/>
  <c r="M10432" i="1"/>
  <c r="K10433" i="1"/>
  <c r="L10433" i="1"/>
  <c r="M10433" i="1"/>
  <c r="K10434" i="1"/>
  <c r="L10434" i="1"/>
  <c r="M10434" i="1"/>
  <c r="K10435" i="1"/>
  <c r="L10435" i="1"/>
  <c r="M10435" i="1"/>
  <c r="K10436" i="1"/>
  <c r="L10436" i="1"/>
  <c r="M10436" i="1"/>
  <c r="K10437" i="1"/>
  <c r="L10437" i="1"/>
  <c r="M10437" i="1"/>
  <c r="K10438" i="1"/>
  <c r="L10438" i="1"/>
  <c r="M10438" i="1"/>
  <c r="K10439" i="1"/>
  <c r="L10439" i="1"/>
  <c r="M10439" i="1"/>
  <c r="K10440" i="1"/>
  <c r="L10440" i="1"/>
  <c r="M10440" i="1"/>
  <c r="K10441" i="1"/>
  <c r="L10441" i="1"/>
  <c r="M10441" i="1"/>
  <c r="K10442" i="1"/>
  <c r="L10442" i="1"/>
  <c r="M10442" i="1"/>
  <c r="K10443" i="1"/>
  <c r="L10443" i="1"/>
  <c r="M10443" i="1"/>
  <c r="K10444" i="1"/>
  <c r="L10444" i="1"/>
  <c r="M10444" i="1"/>
  <c r="K10445" i="1"/>
  <c r="L10445" i="1"/>
  <c r="M10445" i="1"/>
  <c r="K10446" i="1"/>
  <c r="L10446" i="1"/>
  <c r="M10446" i="1"/>
  <c r="K10447" i="1"/>
  <c r="L10447" i="1"/>
  <c r="M10447" i="1"/>
  <c r="K10448" i="1"/>
  <c r="L10448" i="1"/>
  <c r="M10448" i="1"/>
  <c r="K10449" i="1"/>
  <c r="L10449" i="1"/>
  <c r="M10449" i="1"/>
  <c r="K10450" i="1"/>
  <c r="L10450" i="1"/>
  <c r="M10450" i="1"/>
  <c r="K10451" i="1"/>
  <c r="L10451" i="1"/>
  <c r="M10451" i="1"/>
  <c r="K10452" i="1"/>
  <c r="L10452" i="1"/>
  <c r="M10452" i="1"/>
  <c r="K10453" i="1"/>
  <c r="L10453" i="1"/>
  <c r="M10453" i="1"/>
  <c r="K10454" i="1"/>
  <c r="L10454" i="1"/>
  <c r="M10454" i="1"/>
  <c r="K10455" i="1"/>
  <c r="L10455" i="1"/>
  <c r="M10455" i="1"/>
  <c r="K10456" i="1"/>
  <c r="L10456" i="1"/>
  <c r="M10456" i="1"/>
  <c r="K10457" i="1"/>
  <c r="L10457" i="1"/>
  <c r="M10457" i="1"/>
  <c r="K10458" i="1"/>
  <c r="L10458" i="1"/>
  <c r="M10458" i="1"/>
  <c r="K10459" i="1"/>
  <c r="L10459" i="1"/>
  <c r="M10459" i="1"/>
  <c r="K10460" i="1"/>
  <c r="L10460" i="1"/>
  <c r="M10460" i="1"/>
  <c r="K10461" i="1"/>
  <c r="L10461" i="1"/>
  <c r="M10461" i="1"/>
  <c r="K10462" i="1"/>
  <c r="L10462" i="1"/>
  <c r="M10462" i="1"/>
  <c r="K10463" i="1"/>
  <c r="L10463" i="1"/>
  <c r="M10463" i="1"/>
  <c r="K10464" i="1"/>
  <c r="L10464" i="1"/>
  <c r="M10464" i="1"/>
  <c r="K10465" i="1"/>
  <c r="L10465" i="1"/>
  <c r="M10465" i="1"/>
  <c r="K10466" i="1"/>
  <c r="L10466" i="1"/>
  <c r="M10466" i="1"/>
  <c r="K10467" i="1"/>
  <c r="L10467" i="1"/>
  <c r="M10467" i="1"/>
  <c r="K10468" i="1"/>
  <c r="L10468" i="1"/>
  <c r="M10468" i="1"/>
  <c r="K10469" i="1"/>
  <c r="L10469" i="1"/>
  <c r="M10469" i="1"/>
  <c r="K10470" i="1"/>
  <c r="L10470" i="1"/>
  <c r="M10470" i="1"/>
  <c r="K10471" i="1"/>
  <c r="L10471" i="1"/>
  <c r="M10471" i="1"/>
  <c r="K10472" i="1"/>
  <c r="L10472" i="1"/>
  <c r="M10472" i="1"/>
  <c r="K10473" i="1"/>
  <c r="L10473" i="1"/>
  <c r="M10473" i="1"/>
  <c r="K10474" i="1"/>
  <c r="L10474" i="1"/>
  <c r="M10474" i="1"/>
  <c r="K10475" i="1"/>
  <c r="L10475" i="1"/>
  <c r="M10475" i="1"/>
  <c r="K10476" i="1"/>
  <c r="L10476" i="1"/>
  <c r="M10476" i="1"/>
  <c r="K10477" i="1"/>
  <c r="L10477" i="1"/>
  <c r="M10477" i="1"/>
  <c r="K10478" i="1"/>
  <c r="L10478" i="1"/>
  <c r="M10478" i="1"/>
  <c r="K10479" i="1"/>
  <c r="L10479" i="1"/>
  <c r="M10479" i="1"/>
  <c r="K10686" i="1"/>
  <c r="M10686" i="1"/>
  <c r="K10687" i="1"/>
  <c r="M10687" i="1"/>
  <c r="K10688" i="1"/>
  <c r="M10688" i="1"/>
  <c r="K10753" i="1"/>
  <c r="L10753" i="1"/>
  <c r="K10754" i="1"/>
  <c r="L10754" i="1"/>
  <c r="K10755" i="1"/>
  <c r="L10755" i="1"/>
  <c r="K10751" i="1"/>
  <c r="L10751" i="1"/>
  <c r="K10752" i="1"/>
  <c r="L10752" i="1"/>
  <c r="K10758" i="1"/>
  <c r="L10758" i="1"/>
  <c r="K10759" i="1"/>
  <c r="L10759" i="1"/>
  <c r="K10760" i="1"/>
  <c r="L10760" i="1"/>
  <c r="K10761" i="1"/>
  <c r="L10761" i="1"/>
  <c r="K10762" i="1"/>
  <c r="L10762" i="1"/>
  <c r="K10763" i="1"/>
  <c r="L10763" i="1"/>
  <c r="K10764" i="1"/>
  <c r="L10764" i="1"/>
  <c r="K10756" i="1"/>
  <c r="L10756" i="1"/>
  <c r="K10757" i="1"/>
  <c r="L10757" i="1"/>
  <c r="K10766" i="1"/>
  <c r="L10766" i="1"/>
  <c r="K10767" i="1"/>
  <c r="L10767" i="1"/>
  <c r="K10768" i="1"/>
  <c r="L10768" i="1"/>
  <c r="K10769" i="1"/>
  <c r="L10769" i="1"/>
  <c r="K10770" i="1"/>
  <c r="L10770" i="1"/>
  <c r="K10771" i="1"/>
  <c r="L10771" i="1"/>
  <c r="K10772" i="1"/>
  <c r="L10772" i="1"/>
  <c r="K10773" i="1"/>
  <c r="L10773" i="1"/>
  <c r="K10774" i="1"/>
  <c r="L10774" i="1"/>
  <c r="K10765" i="1"/>
  <c r="L10765" i="1"/>
  <c r="K10775" i="1"/>
  <c r="L10775" i="1"/>
  <c r="K10776" i="1"/>
  <c r="L10776" i="1"/>
  <c r="K10777" i="1"/>
  <c r="L10777" i="1"/>
  <c r="K10778" i="1"/>
  <c r="L10778" i="1"/>
  <c r="K10779" i="1"/>
  <c r="L10779" i="1"/>
  <c r="K10780" i="1"/>
  <c r="L10780" i="1"/>
  <c r="K10781" i="1"/>
  <c r="L10781" i="1"/>
  <c r="K10782" i="1"/>
  <c r="L10782" i="1"/>
  <c r="K10783" i="1"/>
  <c r="L10783" i="1"/>
  <c r="K10784" i="1"/>
  <c r="L10784" i="1"/>
  <c r="K10802" i="1"/>
  <c r="L10802" i="1"/>
  <c r="K10803" i="1"/>
  <c r="L10803" i="1"/>
  <c r="K10804" i="1"/>
  <c r="L10804" i="1"/>
  <c r="K10805" i="1"/>
  <c r="L10805" i="1"/>
  <c r="K10806" i="1"/>
  <c r="L10806" i="1"/>
  <c r="K10807" i="1"/>
  <c r="L10807" i="1"/>
  <c r="K10808" i="1"/>
  <c r="L10808" i="1"/>
  <c r="K10809" i="1"/>
  <c r="L10809" i="1"/>
  <c r="K10810" i="1"/>
  <c r="L10810" i="1"/>
  <c r="K10811" i="1"/>
  <c r="L10811" i="1"/>
  <c r="K10812" i="1"/>
  <c r="L10812" i="1"/>
  <c r="K10813" i="1"/>
  <c r="L10813" i="1"/>
  <c r="K10814" i="1"/>
  <c r="L10814" i="1"/>
  <c r="K10785" i="1"/>
  <c r="L10785" i="1"/>
  <c r="K10786" i="1"/>
  <c r="L10786" i="1"/>
  <c r="K10787" i="1"/>
  <c r="L10787" i="1"/>
  <c r="K10788" i="1"/>
  <c r="L10788" i="1"/>
  <c r="K10789" i="1"/>
  <c r="L10789" i="1"/>
  <c r="K10790" i="1"/>
  <c r="L10790" i="1"/>
  <c r="K10791" i="1"/>
  <c r="L10791" i="1"/>
  <c r="K10792" i="1"/>
  <c r="L10792" i="1"/>
  <c r="K10793" i="1"/>
  <c r="L10793" i="1"/>
  <c r="K10794" i="1"/>
  <c r="L10794" i="1"/>
  <c r="K10795" i="1"/>
  <c r="L10795" i="1"/>
  <c r="K10796" i="1"/>
  <c r="L10796" i="1"/>
  <c r="K10797" i="1"/>
  <c r="L10797" i="1"/>
  <c r="K10798" i="1"/>
  <c r="L10798" i="1"/>
  <c r="K10799" i="1"/>
  <c r="L10799" i="1"/>
  <c r="K10800" i="1"/>
  <c r="L10800" i="1"/>
  <c r="K10801" i="1"/>
  <c r="L10801" i="1"/>
  <c r="K10684" i="1"/>
  <c r="L10684" i="1"/>
  <c r="M10684" i="1"/>
  <c r="K10818" i="1"/>
  <c r="L10818" i="1"/>
  <c r="K10819" i="1"/>
  <c r="L10819" i="1"/>
  <c r="K10820" i="1"/>
  <c r="L10820" i="1"/>
  <c r="K10821" i="1"/>
  <c r="L10821" i="1"/>
  <c r="K10822" i="1"/>
  <c r="L10822" i="1"/>
  <c r="K10823" i="1"/>
  <c r="L10823" i="1"/>
  <c r="K10824" i="1"/>
  <c r="L10824" i="1"/>
  <c r="K10825" i="1"/>
  <c r="L10825" i="1"/>
  <c r="K10826" i="1"/>
  <c r="L10826" i="1"/>
  <c r="K10827" i="1"/>
  <c r="L10827" i="1"/>
  <c r="K10828" i="1"/>
  <c r="L10828" i="1"/>
  <c r="K10829" i="1"/>
  <c r="L10829" i="1"/>
  <c r="K10830" i="1"/>
  <c r="L10830" i="1"/>
  <c r="K10831" i="1"/>
  <c r="L10831" i="1"/>
  <c r="K10832" i="1"/>
  <c r="L10832" i="1"/>
  <c r="K10815" i="1"/>
  <c r="L10815" i="1"/>
  <c r="K10816" i="1"/>
  <c r="L10816" i="1"/>
  <c r="K10817" i="1"/>
  <c r="L10817" i="1"/>
  <c r="K10685" i="1"/>
  <c r="L10685" i="1"/>
  <c r="M10685" i="1"/>
  <c r="K10834" i="1"/>
  <c r="L10834" i="1"/>
  <c r="K10835" i="1"/>
  <c r="L10835" i="1"/>
  <c r="K10836" i="1"/>
  <c r="L10836" i="1"/>
  <c r="K10837" i="1"/>
  <c r="L10837" i="1"/>
  <c r="K10838" i="1"/>
  <c r="L10838" i="1"/>
  <c r="K10833" i="1"/>
  <c r="L10833" i="1"/>
  <c r="K10850" i="1"/>
  <c r="L10850" i="1"/>
  <c r="K10851" i="1"/>
  <c r="L10851" i="1"/>
  <c r="K10852" i="1"/>
  <c r="L10852" i="1"/>
  <c r="K10853" i="1"/>
  <c r="L10853" i="1"/>
  <c r="K10854" i="1"/>
  <c r="L10854" i="1"/>
  <c r="K10855" i="1"/>
  <c r="L10855" i="1"/>
  <c r="K10856" i="1"/>
  <c r="L10856" i="1"/>
  <c r="K10857" i="1"/>
  <c r="L10857" i="1"/>
  <c r="K10858" i="1"/>
  <c r="L10858" i="1"/>
  <c r="K10859" i="1"/>
  <c r="L10859" i="1"/>
  <c r="K10860" i="1"/>
  <c r="L10860" i="1"/>
  <c r="K10861" i="1"/>
  <c r="L10861" i="1"/>
  <c r="K10862" i="1"/>
  <c r="L10862" i="1"/>
  <c r="K10863" i="1"/>
  <c r="L10863" i="1"/>
  <c r="K10864" i="1"/>
  <c r="L10864" i="1"/>
  <c r="K10865" i="1"/>
  <c r="L10865" i="1"/>
  <c r="K10866" i="1"/>
  <c r="L10866" i="1"/>
  <c r="K10867" i="1"/>
  <c r="L10867" i="1"/>
  <c r="K10868" i="1"/>
  <c r="L10868" i="1"/>
  <c r="K10869" i="1"/>
  <c r="L10869" i="1"/>
  <c r="K10870" i="1"/>
  <c r="L10870" i="1"/>
  <c r="K10871" i="1"/>
  <c r="L10871" i="1"/>
  <c r="K10872" i="1"/>
  <c r="L10872" i="1"/>
  <c r="K10873" i="1"/>
  <c r="L10873" i="1"/>
  <c r="K10874" i="1"/>
  <c r="L10874" i="1"/>
  <c r="K10875" i="1"/>
  <c r="L10875" i="1"/>
  <c r="K10876" i="1"/>
  <c r="L10876" i="1"/>
  <c r="K10877" i="1"/>
  <c r="L10877" i="1"/>
  <c r="K10839" i="1"/>
  <c r="L10839" i="1"/>
  <c r="K10840" i="1"/>
  <c r="L10840" i="1"/>
  <c r="K10841" i="1"/>
  <c r="L10841" i="1"/>
  <c r="K10842" i="1"/>
  <c r="L10842" i="1"/>
  <c r="K10843" i="1"/>
  <c r="L10843" i="1"/>
  <c r="K10844" i="1"/>
  <c r="L10844" i="1"/>
  <c r="K10845" i="1"/>
  <c r="L10845" i="1"/>
  <c r="K10846" i="1"/>
  <c r="L10846" i="1"/>
  <c r="K10847" i="1"/>
  <c r="L10847" i="1"/>
  <c r="K10848" i="1"/>
  <c r="L10848" i="1"/>
  <c r="K10849" i="1"/>
  <c r="L10849" i="1"/>
  <c r="K10689" i="1"/>
  <c r="L10689" i="1"/>
  <c r="M10689" i="1"/>
  <c r="K10690" i="1"/>
  <c r="L10690" i="1"/>
  <c r="M10690" i="1"/>
  <c r="K10691" i="1"/>
  <c r="L10691" i="1"/>
  <c r="M10691" i="1"/>
  <c r="K10692" i="1"/>
  <c r="L10692" i="1"/>
  <c r="M10692" i="1"/>
  <c r="K10693" i="1"/>
  <c r="L10693" i="1"/>
  <c r="M10693" i="1"/>
  <c r="K10694" i="1"/>
  <c r="L10694" i="1"/>
  <c r="M10694" i="1"/>
  <c r="K10695" i="1"/>
  <c r="L10695" i="1"/>
  <c r="M10695" i="1"/>
  <c r="K10696" i="1"/>
  <c r="L10696" i="1"/>
  <c r="M10696" i="1"/>
  <c r="K10697" i="1"/>
  <c r="L10697" i="1"/>
  <c r="M10697" i="1"/>
  <c r="K10698" i="1"/>
  <c r="L10698" i="1"/>
  <c r="M10698" i="1"/>
  <c r="K10700" i="1"/>
  <c r="L10700" i="1"/>
  <c r="M10700" i="1"/>
  <c r="K10701" i="1"/>
  <c r="L10701" i="1"/>
  <c r="M10701" i="1"/>
  <c r="K10702" i="1"/>
  <c r="L10702" i="1"/>
  <c r="M10702" i="1"/>
  <c r="K10703" i="1"/>
  <c r="L10703" i="1"/>
  <c r="M10703" i="1"/>
  <c r="K10704" i="1"/>
  <c r="L10704" i="1"/>
  <c r="M10704" i="1"/>
  <c r="K10705" i="1"/>
  <c r="L10705" i="1"/>
  <c r="M10705" i="1"/>
  <c r="K10706" i="1"/>
  <c r="L10706" i="1"/>
  <c r="M10706" i="1"/>
  <c r="K10707" i="1"/>
  <c r="L10707" i="1"/>
  <c r="M10707" i="1"/>
  <c r="K10708" i="1"/>
  <c r="L10708" i="1"/>
  <c r="M10708" i="1"/>
  <c r="K10709" i="1"/>
  <c r="L10709" i="1"/>
  <c r="M10709" i="1"/>
  <c r="K10710" i="1"/>
  <c r="L10710" i="1"/>
  <c r="M10710" i="1"/>
  <c r="K10711" i="1"/>
  <c r="L10711" i="1"/>
  <c r="M10711" i="1"/>
  <c r="K10712" i="1"/>
  <c r="L10712" i="1"/>
  <c r="M10712" i="1"/>
  <c r="K10713" i="1"/>
  <c r="L10713" i="1"/>
  <c r="M10713" i="1"/>
  <c r="K10714" i="1"/>
  <c r="L10714" i="1"/>
  <c r="M10714" i="1"/>
  <c r="K10715" i="1"/>
  <c r="L10715" i="1"/>
  <c r="M10715" i="1"/>
  <c r="K10716" i="1"/>
  <c r="L10716" i="1"/>
  <c r="M10716" i="1"/>
  <c r="K10717" i="1"/>
  <c r="L10717" i="1"/>
  <c r="M10717" i="1"/>
  <c r="K10718" i="1"/>
  <c r="L10718" i="1"/>
  <c r="M10718" i="1"/>
  <c r="K10719" i="1"/>
  <c r="L10719" i="1"/>
  <c r="M10719" i="1"/>
  <c r="K10720" i="1"/>
  <c r="L10720" i="1"/>
  <c r="M10720" i="1"/>
  <c r="K10721" i="1"/>
  <c r="L10721" i="1"/>
  <c r="M10721" i="1"/>
  <c r="K10722" i="1"/>
  <c r="L10722" i="1"/>
  <c r="M10722" i="1"/>
  <c r="K10723" i="1"/>
  <c r="L10723" i="1"/>
  <c r="M10723" i="1"/>
  <c r="K10724" i="1"/>
  <c r="L10724" i="1"/>
  <c r="M10724" i="1"/>
  <c r="K10725" i="1"/>
  <c r="L10725" i="1"/>
  <c r="M10725" i="1"/>
  <c r="K10726" i="1"/>
  <c r="L10726" i="1"/>
  <c r="M10726" i="1"/>
  <c r="K10727" i="1"/>
  <c r="L10727" i="1"/>
  <c r="M10727" i="1"/>
  <c r="K10728" i="1"/>
  <c r="L10728" i="1"/>
  <c r="M10728" i="1"/>
  <c r="K10729" i="1"/>
  <c r="L10729" i="1"/>
  <c r="M10729" i="1"/>
  <c r="K10730" i="1"/>
  <c r="L10730" i="1"/>
  <c r="M10730" i="1"/>
  <c r="K10731" i="1"/>
  <c r="L10731" i="1"/>
  <c r="M10731" i="1"/>
  <c r="K10732" i="1"/>
  <c r="L10732" i="1"/>
  <c r="M10732" i="1"/>
  <c r="K10733" i="1"/>
  <c r="L10733" i="1"/>
  <c r="M10733" i="1"/>
  <c r="K10734" i="1"/>
  <c r="L10734" i="1"/>
  <c r="M10734" i="1"/>
  <c r="K10735" i="1"/>
  <c r="L10735" i="1"/>
  <c r="M10735" i="1"/>
  <c r="K10736" i="1"/>
  <c r="L10736" i="1"/>
  <c r="M10736" i="1"/>
  <c r="K10737" i="1"/>
  <c r="L10737" i="1"/>
  <c r="M10737" i="1"/>
  <c r="K10738" i="1"/>
  <c r="L10738" i="1"/>
  <c r="M10738" i="1"/>
  <c r="K10739" i="1"/>
  <c r="L10739" i="1"/>
  <c r="M10739" i="1"/>
  <c r="K10740" i="1"/>
  <c r="L10740" i="1"/>
  <c r="M10740" i="1"/>
  <c r="K10741" i="1"/>
  <c r="L10741" i="1"/>
  <c r="M10741" i="1"/>
  <c r="K10742" i="1"/>
  <c r="L10742" i="1"/>
  <c r="M10742" i="1"/>
  <c r="K10743" i="1"/>
  <c r="L10743" i="1"/>
  <c r="M10743" i="1"/>
  <c r="K10744" i="1"/>
  <c r="L10744" i="1"/>
  <c r="M10744" i="1"/>
  <c r="K10745" i="1"/>
  <c r="L10745" i="1"/>
  <c r="M10745" i="1"/>
  <c r="K10746" i="1"/>
  <c r="L10746" i="1"/>
  <c r="M10746" i="1"/>
  <c r="K10747" i="1"/>
  <c r="L10747" i="1"/>
  <c r="M10747" i="1"/>
  <c r="K10748" i="1"/>
  <c r="L10748" i="1"/>
  <c r="M10748" i="1"/>
  <c r="K10749" i="1"/>
  <c r="L10749" i="1"/>
  <c r="M10749" i="1"/>
  <c r="K10750" i="1"/>
  <c r="L10750" i="1"/>
  <c r="M10750" i="1"/>
  <c r="K10878" i="1"/>
  <c r="L10878" i="1"/>
  <c r="M10878" i="1"/>
  <c r="K10879" i="1"/>
  <c r="L10879" i="1"/>
  <c r="M10879" i="1"/>
  <c r="K10880" i="1"/>
  <c r="L10880" i="1"/>
  <c r="M10880" i="1"/>
  <c r="K10881" i="1"/>
  <c r="L10881" i="1"/>
  <c r="M10881" i="1"/>
  <c r="K10882" i="1"/>
  <c r="L10882" i="1"/>
  <c r="M10882" i="1"/>
  <c r="K10883" i="1"/>
  <c r="L10883" i="1"/>
  <c r="M10883" i="1"/>
  <c r="K10884" i="1"/>
  <c r="L10884" i="1"/>
  <c r="M10884" i="1"/>
  <c r="K10885" i="1"/>
  <c r="L10885" i="1"/>
  <c r="M10885" i="1"/>
  <c r="K10886" i="1"/>
  <c r="L10886" i="1"/>
  <c r="M10886" i="1"/>
  <c r="K10887" i="1"/>
  <c r="L10887" i="1"/>
  <c r="M10887" i="1"/>
  <c r="K10888" i="1"/>
  <c r="L10888" i="1"/>
  <c r="M10888" i="1"/>
  <c r="K10889" i="1"/>
  <c r="L10889" i="1"/>
  <c r="M10889" i="1"/>
  <c r="K10890" i="1"/>
  <c r="L10890" i="1"/>
  <c r="M10890" i="1"/>
  <c r="K10891" i="1"/>
  <c r="L10891" i="1"/>
  <c r="M10891" i="1"/>
  <c r="K10892" i="1"/>
  <c r="L10892" i="1"/>
  <c r="M10892" i="1"/>
  <c r="K10893" i="1"/>
  <c r="L10893" i="1"/>
  <c r="M10893" i="1"/>
  <c r="K10894" i="1"/>
  <c r="L10894" i="1"/>
  <c r="M10894" i="1"/>
  <c r="K10895" i="1"/>
  <c r="L10895" i="1"/>
  <c r="M10895" i="1"/>
  <c r="K10896" i="1"/>
  <c r="L10896" i="1"/>
  <c r="M10896" i="1"/>
  <c r="K10897" i="1"/>
  <c r="L10897" i="1"/>
  <c r="M10897" i="1"/>
  <c r="K10898" i="1"/>
  <c r="L10898" i="1"/>
  <c r="M10898" i="1"/>
  <c r="K10899" i="1"/>
  <c r="L10899" i="1"/>
  <c r="M10899" i="1"/>
  <c r="K10900" i="1"/>
  <c r="L10900" i="1"/>
  <c r="M10900" i="1"/>
  <c r="K10901" i="1"/>
  <c r="L10901" i="1"/>
  <c r="M10901" i="1"/>
  <c r="K10902" i="1"/>
  <c r="L10902" i="1"/>
  <c r="M10902" i="1"/>
  <c r="K10903" i="1"/>
  <c r="L10903" i="1"/>
  <c r="M10903" i="1"/>
  <c r="K10904" i="1"/>
  <c r="L10904" i="1"/>
  <c r="M10904" i="1"/>
  <c r="K10905" i="1"/>
  <c r="L10905" i="1"/>
  <c r="M10905" i="1"/>
  <c r="K10906" i="1"/>
  <c r="L10906" i="1"/>
  <c r="M10906" i="1"/>
  <c r="K10907" i="1"/>
  <c r="L10907" i="1"/>
  <c r="M10907" i="1"/>
  <c r="K10908" i="1"/>
  <c r="L10908" i="1"/>
  <c r="M10908" i="1"/>
  <c r="K10909" i="1"/>
  <c r="L10909" i="1"/>
  <c r="M10909" i="1"/>
  <c r="K10910" i="1"/>
  <c r="L10910" i="1"/>
  <c r="M10910" i="1"/>
  <c r="K10911" i="1"/>
  <c r="L10911" i="1"/>
  <c r="M10911" i="1"/>
  <c r="K10971" i="1"/>
  <c r="M10971" i="1"/>
  <c r="K10972" i="1"/>
  <c r="M10972" i="1"/>
  <c r="K10973" i="1"/>
  <c r="M10973" i="1"/>
  <c r="K10974" i="1"/>
  <c r="M10974" i="1"/>
  <c r="K10975" i="1"/>
  <c r="M10975" i="1"/>
  <c r="K10976" i="1"/>
  <c r="M10976" i="1"/>
  <c r="K10977" i="1"/>
  <c r="M10977" i="1"/>
  <c r="K10978" i="1"/>
  <c r="M10978" i="1"/>
  <c r="K10979" i="1"/>
  <c r="M10979" i="1"/>
  <c r="K10980" i="1"/>
  <c r="M10980" i="1"/>
  <c r="K10981" i="1"/>
  <c r="M10981" i="1"/>
  <c r="K10982" i="1"/>
  <c r="M10982" i="1"/>
  <c r="K10983" i="1"/>
  <c r="M10983" i="1"/>
  <c r="K10984" i="1"/>
  <c r="M10984" i="1"/>
  <c r="K10985" i="1"/>
  <c r="M10985" i="1"/>
  <c r="K10959" i="1"/>
  <c r="M10959" i="1"/>
  <c r="K10960" i="1"/>
  <c r="M10960" i="1"/>
  <c r="K10961" i="1"/>
  <c r="M10961" i="1"/>
  <c r="K10962" i="1"/>
  <c r="M10962" i="1"/>
  <c r="K10963" i="1"/>
  <c r="M10963" i="1"/>
  <c r="K10964" i="1"/>
  <c r="M10964" i="1"/>
  <c r="K10965" i="1"/>
  <c r="M10965" i="1"/>
  <c r="K10966" i="1"/>
  <c r="M10966" i="1"/>
  <c r="K10967" i="1"/>
  <c r="M10967" i="1"/>
  <c r="K10968" i="1"/>
  <c r="M10968" i="1"/>
  <c r="K10969" i="1"/>
  <c r="M10969" i="1"/>
  <c r="K10970" i="1"/>
  <c r="M10970" i="1"/>
  <c r="K10912" i="1"/>
  <c r="L10912" i="1"/>
  <c r="M10912" i="1"/>
  <c r="K10913" i="1"/>
  <c r="L10913" i="1"/>
  <c r="M10913" i="1"/>
  <c r="K10914" i="1"/>
  <c r="L10914" i="1"/>
  <c r="M10914" i="1"/>
  <c r="K10915" i="1"/>
  <c r="L10915" i="1"/>
  <c r="M10915" i="1"/>
  <c r="K10916" i="1"/>
  <c r="L10916" i="1"/>
  <c r="M10916" i="1"/>
  <c r="K11072" i="1"/>
  <c r="L11072" i="1"/>
  <c r="K11073" i="1"/>
  <c r="L11073" i="1"/>
  <c r="K11074" i="1"/>
  <c r="L11074" i="1"/>
  <c r="K11075" i="1"/>
  <c r="L11075" i="1"/>
  <c r="K11076" i="1"/>
  <c r="L11076" i="1"/>
  <c r="K11077" i="1"/>
  <c r="L11077" i="1"/>
  <c r="K11078" i="1"/>
  <c r="L11078" i="1"/>
  <c r="K11079" i="1"/>
  <c r="L11079" i="1"/>
  <c r="K11080" i="1"/>
  <c r="L11080" i="1"/>
  <c r="K11088" i="1"/>
  <c r="L11088" i="1"/>
  <c r="K11089" i="1"/>
  <c r="L11089" i="1"/>
  <c r="K11090" i="1"/>
  <c r="L11090" i="1"/>
  <c r="K11091" i="1"/>
  <c r="L11091" i="1"/>
  <c r="K11092" i="1"/>
  <c r="L11092" i="1"/>
  <c r="K11093" i="1"/>
  <c r="L11093" i="1"/>
  <c r="K11094" i="1"/>
  <c r="L11094" i="1"/>
  <c r="K11095" i="1"/>
  <c r="L11095" i="1"/>
  <c r="K11096" i="1"/>
  <c r="L11096" i="1"/>
  <c r="K11097" i="1"/>
  <c r="L11097" i="1"/>
  <c r="K11098" i="1"/>
  <c r="L11098" i="1"/>
  <c r="K11099" i="1"/>
  <c r="L11099" i="1"/>
  <c r="K11100" i="1"/>
  <c r="L11100" i="1"/>
  <c r="K11101" i="1"/>
  <c r="L11101" i="1"/>
  <c r="K11102" i="1"/>
  <c r="L11102" i="1"/>
  <c r="K11103" i="1"/>
  <c r="L11103" i="1"/>
  <c r="K11104" i="1"/>
  <c r="L11104" i="1"/>
  <c r="K11105" i="1"/>
  <c r="L11105" i="1"/>
  <c r="K11106" i="1"/>
  <c r="L11106" i="1"/>
  <c r="K11107" i="1"/>
  <c r="L11107" i="1"/>
  <c r="K11108" i="1"/>
  <c r="L11108" i="1"/>
  <c r="K11081" i="1"/>
  <c r="L11081" i="1"/>
  <c r="K11082" i="1"/>
  <c r="L11082" i="1"/>
  <c r="K11083" i="1"/>
  <c r="L11083" i="1"/>
  <c r="K11084" i="1"/>
  <c r="L11084" i="1"/>
  <c r="K11085" i="1"/>
  <c r="L11085" i="1"/>
  <c r="K11086" i="1"/>
  <c r="L11086" i="1"/>
  <c r="K11087" i="1"/>
  <c r="L11087" i="1"/>
  <c r="K10917" i="1"/>
  <c r="L10917" i="1"/>
  <c r="M10917" i="1"/>
  <c r="K10918" i="1"/>
  <c r="L10918" i="1"/>
  <c r="M10918" i="1"/>
  <c r="K10919" i="1"/>
  <c r="L10919" i="1"/>
  <c r="M10919" i="1"/>
  <c r="K10920" i="1"/>
  <c r="L10920" i="1"/>
  <c r="M10920" i="1"/>
  <c r="K10921" i="1"/>
  <c r="L10921" i="1"/>
  <c r="M10921" i="1"/>
  <c r="K11113" i="1"/>
  <c r="L11113" i="1"/>
  <c r="K11114" i="1"/>
  <c r="L11114" i="1"/>
  <c r="K11115" i="1"/>
  <c r="L11115" i="1"/>
  <c r="K11116" i="1"/>
  <c r="L11116" i="1"/>
  <c r="K11109" i="1"/>
  <c r="L11109" i="1"/>
  <c r="K11110" i="1"/>
  <c r="L11110" i="1"/>
  <c r="K11111" i="1"/>
  <c r="L11111" i="1"/>
  <c r="K11112" i="1"/>
  <c r="L11112" i="1"/>
  <c r="K11117" i="1"/>
  <c r="L11117" i="1"/>
  <c r="K10922" i="1"/>
  <c r="L10922" i="1"/>
  <c r="M10922" i="1"/>
  <c r="K10923" i="1"/>
  <c r="L10923" i="1"/>
  <c r="M10923" i="1"/>
  <c r="K10924" i="1"/>
  <c r="L10924" i="1"/>
  <c r="M10924" i="1"/>
  <c r="K11132" i="1"/>
  <c r="L11132" i="1"/>
  <c r="K11133" i="1"/>
  <c r="L11133" i="1"/>
  <c r="K11134" i="1"/>
  <c r="L11134" i="1"/>
  <c r="K11135" i="1"/>
  <c r="L11135" i="1"/>
  <c r="K11136" i="1"/>
  <c r="L11136" i="1"/>
  <c r="K11137" i="1"/>
  <c r="L11137" i="1"/>
  <c r="K11138" i="1"/>
  <c r="L11138" i="1"/>
  <c r="K11139" i="1"/>
  <c r="L11139" i="1"/>
  <c r="K11118" i="1"/>
  <c r="L11118" i="1"/>
  <c r="K11119" i="1"/>
  <c r="L11119" i="1"/>
  <c r="K11120" i="1"/>
  <c r="L11120" i="1"/>
  <c r="K11121" i="1"/>
  <c r="L11121" i="1"/>
  <c r="K11122" i="1"/>
  <c r="L11122" i="1"/>
  <c r="K11123" i="1"/>
  <c r="L11123" i="1"/>
  <c r="K11124" i="1"/>
  <c r="L11124" i="1"/>
  <c r="K11125" i="1"/>
  <c r="L11125" i="1"/>
  <c r="K11126" i="1"/>
  <c r="L11126" i="1"/>
  <c r="K11127" i="1"/>
  <c r="L11127" i="1"/>
  <c r="K11128" i="1"/>
  <c r="L11128" i="1"/>
  <c r="K11129" i="1"/>
  <c r="L11129" i="1"/>
  <c r="K11130" i="1"/>
  <c r="L11130" i="1"/>
  <c r="K11131" i="1"/>
  <c r="L11131" i="1"/>
  <c r="K10925" i="1"/>
  <c r="L10925" i="1"/>
  <c r="M10925" i="1"/>
  <c r="K10926" i="1"/>
  <c r="L10926" i="1"/>
  <c r="M10926" i="1"/>
  <c r="K10927" i="1"/>
  <c r="L10927" i="1"/>
  <c r="M10927" i="1"/>
  <c r="K10928" i="1"/>
  <c r="L10928" i="1"/>
  <c r="M10928" i="1"/>
  <c r="K10929" i="1"/>
  <c r="L10929" i="1"/>
  <c r="M10929" i="1"/>
  <c r="K10930" i="1"/>
  <c r="L10930" i="1"/>
  <c r="M10930" i="1"/>
  <c r="K10931" i="1"/>
  <c r="L10931" i="1"/>
  <c r="M10931" i="1"/>
  <c r="K10932" i="1"/>
  <c r="L10932" i="1"/>
  <c r="M10932" i="1"/>
  <c r="K10933" i="1"/>
  <c r="L10933" i="1"/>
  <c r="M10933" i="1"/>
  <c r="K10934" i="1"/>
  <c r="L10934" i="1"/>
  <c r="M10934" i="1"/>
  <c r="K10935" i="1"/>
  <c r="L10935" i="1"/>
  <c r="M10935" i="1"/>
  <c r="K10936" i="1"/>
  <c r="L10936" i="1"/>
  <c r="M10936" i="1"/>
  <c r="K10937" i="1"/>
  <c r="L10937" i="1"/>
  <c r="M10937" i="1"/>
  <c r="K10938" i="1"/>
  <c r="L10938" i="1"/>
  <c r="M10938" i="1"/>
  <c r="K10939" i="1"/>
  <c r="L10939" i="1"/>
  <c r="M10939" i="1"/>
  <c r="K11143" i="1"/>
  <c r="L11143" i="1"/>
  <c r="K11140" i="1"/>
  <c r="L11140" i="1"/>
  <c r="K11141" i="1"/>
  <c r="L11141" i="1"/>
  <c r="K11142" i="1"/>
  <c r="L11142" i="1"/>
  <c r="K10940" i="1"/>
  <c r="L10940" i="1"/>
  <c r="M10940" i="1"/>
  <c r="K10941" i="1"/>
  <c r="L10941" i="1"/>
  <c r="M10941" i="1"/>
  <c r="K10942" i="1"/>
  <c r="L10942" i="1"/>
  <c r="M10942" i="1"/>
  <c r="K10943" i="1"/>
  <c r="L10943" i="1"/>
  <c r="M10943" i="1"/>
  <c r="K11153" i="1"/>
  <c r="L11153" i="1"/>
  <c r="K11154" i="1"/>
  <c r="L11154" i="1"/>
  <c r="K11155" i="1"/>
  <c r="L11155" i="1"/>
  <c r="K11156" i="1"/>
  <c r="L11156" i="1"/>
  <c r="K11157" i="1"/>
  <c r="L11157" i="1"/>
  <c r="K11158" i="1"/>
  <c r="L11158" i="1"/>
  <c r="K11159" i="1"/>
  <c r="L11159" i="1"/>
  <c r="K11160" i="1"/>
  <c r="L11160" i="1"/>
  <c r="K11161" i="1"/>
  <c r="L11161" i="1"/>
  <c r="K11162" i="1"/>
  <c r="L11162" i="1"/>
  <c r="K11163" i="1"/>
  <c r="L11163" i="1"/>
  <c r="K11164" i="1"/>
  <c r="L11164" i="1"/>
  <c r="K11144" i="1"/>
  <c r="L11144" i="1"/>
  <c r="K11145" i="1"/>
  <c r="L11145" i="1"/>
  <c r="K11146" i="1"/>
  <c r="L11146" i="1"/>
  <c r="K11147" i="1"/>
  <c r="L11147" i="1"/>
  <c r="K11148" i="1"/>
  <c r="L11148" i="1"/>
  <c r="K11149" i="1"/>
  <c r="L11149" i="1"/>
  <c r="K11150" i="1"/>
  <c r="L11150" i="1"/>
  <c r="K11151" i="1"/>
  <c r="L11151" i="1"/>
  <c r="K11152" i="1"/>
  <c r="L11152" i="1"/>
  <c r="K10944" i="1"/>
  <c r="L10944" i="1"/>
  <c r="M10944" i="1"/>
  <c r="K11166" i="1"/>
  <c r="L11166" i="1"/>
  <c r="K11165" i="1"/>
  <c r="L11165" i="1"/>
  <c r="K10945" i="1"/>
  <c r="L10945" i="1"/>
  <c r="M10945" i="1"/>
  <c r="K10946" i="1"/>
  <c r="L10946" i="1"/>
  <c r="M10946" i="1"/>
  <c r="K10947" i="1"/>
  <c r="L10947" i="1"/>
  <c r="M10947" i="1"/>
  <c r="K10948" i="1"/>
  <c r="L10948" i="1"/>
  <c r="M10948" i="1"/>
  <c r="K10949" i="1"/>
  <c r="L10949" i="1"/>
  <c r="M10949" i="1"/>
  <c r="K11172" i="1"/>
  <c r="L11172" i="1"/>
  <c r="K11173" i="1"/>
  <c r="L11173" i="1"/>
  <c r="K11167" i="1"/>
  <c r="L11167" i="1"/>
  <c r="K11168" i="1"/>
  <c r="L11168" i="1"/>
  <c r="K11169" i="1"/>
  <c r="L11169" i="1"/>
  <c r="K11170" i="1"/>
  <c r="L11170" i="1"/>
  <c r="K11171" i="1"/>
  <c r="L11171" i="1"/>
  <c r="K10950" i="1"/>
  <c r="L10950" i="1"/>
  <c r="M10950" i="1"/>
  <c r="K10951" i="1"/>
  <c r="L10951" i="1"/>
  <c r="M10951" i="1"/>
  <c r="K10952" i="1"/>
  <c r="L10952" i="1"/>
  <c r="M10952" i="1"/>
  <c r="K10953" i="1"/>
  <c r="L10953" i="1"/>
  <c r="M10953" i="1"/>
  <c r="K10954" i="1"/>
  <c r="L10954" i="1"/>
  <c r="M10954" i="1"/>
  <c r="K10955" i="1"/>
  <c r="L10955" i="1"/>
  <c r="M10955" i="1"/>
  <c r="K10956" i="1"/>
  <c r="L10956" i="1"/>
  <c r="M10956" i="1"/>
  <c r="K11174" i="1"/>
  <c r="L11174" i="1"/>
  <c r="K11175" i="1"/>
  <c r="L11175" i="1"/>
  <c r="K11176" i="1"/>
  <c r="L11176" i="1"/>
  <c r="K11177" i="1"/>
  <c r="L11177" i="1"/>
  <c r="K10957" i="1"/>
  <c r="L10957" i="1"/>
  <c r="M10957" i="1"/>
  <c r="K10958" i="1"/>
  <c r="L10958" i="1"/>
  <c r="M10958" i="1"/>
  <c r="K11179" i="1"/>
  <c r="L11179" i="1"/>
  <c r="K11180" i="1"/>
  <c r="L11180" i="1"/>
  <c r="K11181" i="1"/>
  <c r="L11181" i="1"/>
  <c r="K11182" i="1"/>
  <c r="L11182" i="1"/>
  <c r="K11183" i="1"/>
  <c r="L11183" i="1"/>
  <c r="K11184" i="1"/>
  <c r="L11184" i="1"/>
  <c r="K11185" i="1"/>
  <c r="L11185" i="1"/>
  <c r="K11186" i="1"/>
  <c r="L11186" i="1"/>
  <c r="K11187" i="1"/>
  <c r="L11187" i="1"/>
  <c r="K11188" i="1"/>
  <c r="L11188" i="1"/>
  <c r="K11189" i="1"/>
  <c r="L11189" i="1"/>
  <c r="K11190" i="1"/>
  <c r="L11190" i="1"/>
  <c r="K11191" i="1"/>
  <c r="L11191" i="1"/>
  <c r="K11192" i="1"/>
  <c r="L11192" i="1"/>
  <c r="K11178" i="1"/>
  <c r="L11178" i="1"/>
  <c r="K10986" i="1"/>
  <c r="L10986" i="1"/>
  <c r="M10986" i="1"/>
  <c r="K10987" i="1"/>
  <c r="L10987" i="1"/>
  <c r="M10987" i="1"/>
  <c r="K10988" i="1"/>
  <c r="L10988" i="1"/>
  <c r="M10988" i="1"/>
  <c r="K10989" i="1"/>
  <c r="L10989" i="1"/>
  <c r="M10989" i="1"/>
  <c r="K10990" i="1"/>
  <c r="L10990" i="1"/>
  <c r="M10990" i="1"/>
  <c r="K10991" i="1"/>
  <c r="L10991" i="1"/>
  <c r="M10991" i="1"/>
  <c r="K10992" i="1"/>
  <c r="L10992" i="1"/>
  <c r="M10992" i="1"/>
  <c r="K10993" i="1"/>
  <c r="L10993" i="1"/>
  <c r="M10993" i="1"/>
  <c r="K10994" i="1"/>
  <c r="L10994" i="1"/>
  <c r="M10994" i="1"/>
  <c r="K10995" i="1"/>
  <c r="L10995" i="1"/>
  <c r="M10995" i="1"/>
  <c r="K10996" i="1"/>
  <c r="L10996" i="1"/>
  <c r="M10996" i="1"/>
  <c r="K10997" i="1"/>
  <c r="L10997" i="1"/>
  <c r="M10997" i="1"/>
  <c r="K10998" i="1"/>
  <c r="L10998" i="1"/>
  <c r="M10998" i="1"/>
  <c r="K10999" i="1"/>
  <c r="L10999" i="1"/>
  <c r="M10999" i="1"/>
  <c r="K11000" i="1"/>
  <c r="L11000" i="1"/>
  <c r="M11000" i="1"/>
  <c r="K11001" i="1"/>
  <c r="L11001" i="1"/>
  <c r="M11001" i="1"/>
  <c r="K11002" i="1"/>
  <c r="L11002" i="1"/>
  <c r="M11002" i="1"/>
  <c r="K11003" i="1"/>
  <c r="L11003" i="1"/>
  <c r="M11003" i="1"/>
  <c r="K11004" i="1"/>
  <c r="L11004" i="1"/>
  <c r="M11004" i="1"/>
  <c r="K11005" i="1"/>
  <c r="L11005" i="1"/>
  <c r="M11005" i="1"/>
  <c r="K11006" i="1"/>
  <c r="L11006" i="1"/>
  <c r="M11006" i="1"/>
  <c r="K11007" i="1"/>
  <c r="L11007" i="1"/>
  <c r="M11007" i="1"/>
  <c r="K11008" i="1"/>
  <c r="L11008" i="1"/>
  <c r="M11008" i="1"/>
  <c r="K11009" i="1"/>
  <c r="L11009" i="1"/>
  <c r="M11009" i="1"/>
  <c r="K11010" i="1"/>
  <c r="L11010" i="1"/>
  <c r="M11010" i="1"/>
  <c r="K11011" i="1"/>
  <c r="L11011" i="1"/>
  <c r="M11011" i="1"/>
  <c r="K11012" i="1"/>
  <c r="L11012" i="1"/>
  <c r="M11012" i="1"/>
  <c r="K11013" i="1"/>
  <c r="L11013" i="1"/>
  <c r="M11013" i="1"/>
  <c r="K11014" i="1"/>
  <c r="L11014" i="1"/>
  <c r="M11014" i="1"/>
  <c r="K11015" i="1"/>
  <c r="L11015" i="1"/>
  <c r="M11015" i="1"/>
  <c r="K11016" i="1"/>
  <c r="L11016" i="1"/>
  <c r="M11016" i="1"/>
  <c r="K11017" i="1"/>
  <c r="L11017" i="1"/>
  <c r="M11017" i="1"/>
  <c r="K11018" i="1"/>
  <c r="L11018" i="1"/>
  <c r="M11018" i="1"/>
  <c r="K11019" i="1"/>
  <c r="L11019" i="1"/>
  <c r="M11019" i="1"/>
  <c r="K11020" i="1"/>
  <c r="L11020" i="1"/>
  <c r="M11020" i="1"/>
  <c r="K11021" i="1"/>
  <c r="L11021" i="1"/>
  <c r="M11021" i="1"/>
  <c r="K11022" i="1"/>
  <c r="L11022" i="1"/>
  <c r="M11022" i="1"/>
  <c r="K11023" i="1"/>
  <c r="L11023" i="1"/>
  <c r="M11023" i="1"/>
  <c r="K11024" i="1"/>
  <c r="L11024" i="1"/>
  <c r="M11024" i="1"/>
  <c r="K11025" i="1"/>
  <c r="L11025" i="1"/>
  <c r="M11025" i="1"/>
  <c r="K11026" i="1"/>
  <c r="L11026" i="1"/>
  <c r="M11026" i="1"/>
  <c r="K11027" i="1"/>
  <c r="L11027" i="1"/>
  <c r="M11027" i="1"/>
  <c r="K11028" i="1"/>
  <c r="L11028" i="1"/>
  <c r="M11028" i="1"/>
  <c r="K11029" i="1"/>
  <c r="L11029" i="1"/>
  <c r="M11029" i="1"/>
  <c r="K11030" i="1"/>
  <c r="L11030" i="1"/>
  <c r="M11030" i="1"/>
  <c r="K11031" i="1"/>
  <c r="L11031" i="1"/>
  <c r="M11031" i="1"/>
  <c r="K11032" i="1"/>
  <c r="L11032" i="1"/>
  <c r="M11032" i="1"/>
  <c r="K11033" i="1"/>
  <c r="L11033" i="1"/>
  <c r="M11033" i="1"/>
  <c r="K11034" i="1"/>
  <c r="L11034" i="1"/>
  <c r="M11034" i="1"/>
  <c r="K11035" i="1"/>
  <c r="L11035" i="1"/>
  <c r="M11035" i="1"/>
  <c r="K11036" i="1"/>
  <c r="L11036" i="1"/>
  <c r="M11036" i="1"/>
  <c r="K11037" i="1"/>
  <c r="L11037" i="1"/>
  <c r="M11037" i="1"/>
  <c r="K11038" i="1"/>
  <c r="L11038" i="1"/>
  <c r="M11038" i="1"/>
  <c r="K11039" i="1"/>
  <c r="L11039" i="1"/>
  <c r="M11039" i="1"/>
  <c r="K11040" i="1"/>
  <c r="L11040" i="1"/>
  <c r="M11040" i="1"/>
  <c r="K11041" i="1"/>
  <c r="L11041" i="1"/>
  <c r="M11041" i="1"/>
  <c r="K11042" i="1"/>
  <c r="L11042" i="1"/>
  <c r="M11042" i="1"/>
  <c r="K11043" i="1"/>
  <c r="L11043" i="1"/>
  <c r="M11043" i="1"/>
  <c r="K11044" i="1"/>
  <c r="L11044" i="1"/>
  <c r="M11044" i="1"/>
  <c r="K11045" i="1"/>
  <c r="L11045" i="1"/>
  <c r="M11045" i="1"/>
  <c r="K11046" i="1"/>
  <c r="L11046" i="1"/>
  <c r="M11046" i="1"/>
  <c r="K11047" i="1"/>
  <c r="L11047" i="1"/>
  <c r="M11047" i="1"/>
  <c r="K11048" i="1"/>
  <c r="L11048" i="1"/>
  <c r="M11048" i="1"/>
  <c r="K11049" i="1"/>
  <c r="L11049" i="1"/>
  <c r="M11049" i="1"/>
  <c r="K11050" i="1"/>
  <c r="L11050" i="1"/>
  <c r="M11050" i="1"/>
  <c r="K11051" i="1"/>
  <c r="L11051" i="1"/>
  <c r="M11051" i="1"/>
  <c r="K11052" i="1"/>
  <c r="L11052" i="1"/>
  <c r="M11052" i="1"/>
  <c r="K11053" i="1"/>
  <c r="L11053" i="1"/>
  <c r="M11053" i="1"/>
  <c r="K11054" i="1"/>
  <c r="L11054" i="1"/>
  <c r="M11054" i="1"/>
  <c r="K11055" i="1"/>
  <c r="L11055" i="1"/>
  <c r="M11055" i="1"/>
  <c r="K11056" i="1"/>
  <c r="L11056" i="1"/>
  <c r="M11056" i="1"/>
  <c r="K11057" i="1"/>
  <c r="L11057" i="1"/>
  <c r="M11057" i="1"/>
  <c r="K11058" i="1"/>
  <c r="L11058" i="1"/>
  <c r="M11058" i="1"/>
  <c r="K11059" i="1"/>
  <c r="L11059" i="1"/>
  <c r="M11059" i="1"/>
  <c r="K11060" i="1"/>
  <c r="L11060" i="1"/>
  <c r="M11060" i="1"/>
  <c r="K11061" i="1"/>
  <c r="L11061" i="1"/>
  <c r="M11061" i="1"/>
  <c r="K11062" i="1"/>
  <c r="L11062" i="1"/>
  <c r="M11062" i="1"/>
  <c r="K11063" i="1"/>
  <c r="L11063" i="1"/>
  <c r="M11063" i="1"/>
  <c r="K11064" i="1"/>
  <c r="L11064" i="1"/>
  <c r="M11064" i="1"/>
  <c r="K11065" i="1"/>
  <c r="L11065" i="1"/>
  <c r="M11065" i="1"/>
  <c r="K11066" i="1"/>
  <c r="L11066" i="1"/>
  <c r="M11066" i="1"/>
  <c r="K11067" i="1"/>
  <c r="L11067" i="1"/>
  <c r="M11067" i="1"/>
  <c r="K11068" i="1"/>
  <c r="L11068" i="1"/>
  <c r="M11068" i="1"/>
  <c r="K11069" i="1"/>
  <c r="L11069" i="1"/>
  <c r="M11069" i="1"/>
  <c r="K11070" i="1"/>
  <c r="L11070" i="1"/>
  <c r="M11070" i="1"/>
  <c r="K11193" i="1"/>
  <c r="L11193" i="1"/>
  <c r="M11193" i="1"/>
  <c r="K11194" i="1"/>
  <c r="L11194" i="1"/>
  <c r="M11194" i="1"/>
  <c r="K11195" i="1"/>
  <c r="L11195" i="1"/>
  <c r="M11195" i="1"/>
  <c r="K11196" i="1"/>
  <c r="L11196" i="1"/>
  <c r="M11196" i="1"/>
  <c r="K11197" i="1"/>
  <c r="L11197" i="1"/>
  <c r="M11197" i="1"/>
  <c r="K11198" i="1"/>
  <c r="L11198" i="1"/>
  <c r="M11198" i="1"/>
  <c r="K11199" i="1"/>
  <c r="L11199" i="1"/>
  <c r="M11199" i="1"/>
  <c r="K11200" i="1"/>
  <c r="L11200" i="1"/>
  <c r="M11200" i="1"/>
  <c r="K11231" i="1"/>
  <c r="M11231" i="1"/>
  <c r="K11232" i="1"/>
  <c r="M11232" i="1"/>
  <c r="K11233" i="1"/>
  <c r="M11233" i="1"/>
  <c r="K11234" i="1"/>
  <c r="M11234" i="1"/>
  <c r="K11235" i="1"/>
  <c r="M11235" i="1"/>
  <c r="K11236" i="1"/>
  <c r="M11236" i="1"/>
  <c r="K11237" i="1"/>
  <c r="M11237" i="1"/>
  <c r="K11238" i="1"/>
  <c r="M11238" i="1"/>
  <c r="K11239" i="1"/>
  <c r="M11239" i="1"/>
  <c r="K11240" i="1"/>
  <c r="M11240" i="1"/>
  <c r="K11241" i="1"/>
  <c r="M11241" i="1"/>
  <c r="K11242" i="1"/>
  <c r="M11242" i="1"/>
  <c r="K11243" i="1"/>
  <c r="M11243" i="1"/>
  <c r="K11244" i="1"/>
  <c r="M11244" i="1"/>
  <c r="K11245" i="1"/>
  <c r="M11245" i="1"/>
  <c r="K11246" i="1"/>
  <c r="M11246" i="1"/>
  <c r="K11247" i="1"/>
  <c r="M11247" i="1"/>
  <c r="K11248" i="1"/>
  <c r="M11248" i="1"/>
  <c r="K11222" i="1"/>
  <c r="M11222" i="1"/>
  <c r="K11223" i="1"/>
  <c r="M11223" i="1"/>
  <c r="K11224" i="1"/>
  <c r="M11224" i="1"/>
  <c r="K11225" i="1"/>
  <c r="M11225" i="1"/>
  <c r="K11226" i="1"/>
  <c r="M11226" i="1"/>
  <c r="K11227" i="1"/>
  <c r="M11227" i="1"/>
  <c r="K11228" i="1"/>
  <c r="M11228" i="1"/>
  <c r="K11229" i="1"/>
  <c r="M11229" i="1"/>
  <c r="K11230" i="1"/>
  <c r="M11230" i="1"/>
  <c r="K11201" i="1"/>
  <c r="L11201" i="1"/>
  <c r="M11201" i="1"/>
  <c r="K11202" i="1"/>
  <c r="L11202" i="1"/>
  <c r="M11202" i="1"/>
  <c r="K11349" i="1"/>
  <c r="L11349" i="1"/>
  <c r="K11348" i="1"/>
  <c r="L11348" i="1"/>
  <c r="K11350" i="1"/>
  <c r="L11350" i="1"/>
  <c r="K11351" i="1"/>
  <c r="L11351" i="1"/>
  <c r="K11352" i="1"/>
  <c r="L11352" i="1"/>
  <c r="K11353" i="1"/>
  <c r="L11353" i="1"/>
  <c r="K11354" i="1"/>
  <c r="L11354" i="1"/>
  <c r="K11355" i="1"/>
  <c r="L11355" i="1"/>
  <c r="K11356" i="1"/>
  <c r="L11356" i="1"/>
  <c r="K11357" i="1"/>
  <c r="L11357" i="1"/>
  <c r="K11358" i="1"/>
  <c r="L11358" i="1"/>
  <c r="K11203" i="1"/>
  <c r="L11203" i="1"/>
  <c r="M11203" i="1"/>
  <c r="K11363" i="1"/>
  <c r="L11363" i="1"/>
  <c r="K11364" i="1"/>
  <c r="L11364" i="1"/>
  <c r="K11365" i="1"/>
  <c r="L11365" i="1"/>
  <c r="K11366" i="1"/>
  <c r="L11366" i="1"/>
  <c r="K11367" i="1"/>
  <c r="L11367" i="1"/>
  <c r="K11368" i="1"/>
  <c r="L11368" i="1"/>
  <c r="K11369" i="1"/>
  <c r="L11369" i="1"/>
  <c r="K11370" i="1"/>
  <c r="L11370" i="1"/>
  <c r="K11371" i="1"/>
  <c r="L11371" i="1"/>
  <c r="K11372" i="1"/>
  <c r="L11372" i="1"/>
  <c r="K11373" i="1"/>
  <c r="L11373" i="1"/>
  <c r="K11374" i="1"/>
  <c r="L11374" i="1"/>
  <c r="K11375" i="1"/>
  <c r="L11375" i="1"/>
  <c r="K11376" i="1"/>
  <c r="L11376" i="1"/>
  <c r="K11359" i="1"/>
  <c r="L11359" i="1"/>
  <c r="K11360" i="1"/>
  <c r="L11360" i="1"/>
  <c r="K11361" i="1"/>
  <c r="L11361" i="1"/>
  <c r="K11362" i="1"/>
  <c r="L11362" i="1"/>
  <c r="K11204" i="1"/>
  <c r="L11204" i="1"/>
  <c r="M11204" i="1"/>
  <c r="K11205" i="1"/>
  <c r="L11205" i="1"/>
  <c r="M11205" i="1"/>
  <c r="K11382" i="1"/>
  <c r="L11382" i="1"/>
  <c r="K11383" i="1"/>
  <c r="L11383" i="1"/>
  <c r="K11384" i="1"/>
  <c r="L11384" i="1"/>
  <c r="K11385" i="1"/>
  <c r="L11385" i="1"/>
  <c r="K11386" i="1"/>
  <c r="L11386" i="1"/>
  <c r="K11387" i="1"/>
  <c r="L11387" i="1"/>
  <c r="K11388" i="1"/>
  <c r="L11388" i="1"/>
  <c r="K11389" i="1"/>
  <c r="L11389" i="1"/>
  <c r="K11390" i="1"/>
  <c r="L11390" i="1"/>
  <c r="K11391" i="1"/>
  <c r="L11391" i="1"/>
  <c r="K11377" i="1"/>
  <c r="L11377" i="1"/>
  <c r="K11378" i="1"/>
  <c r="L11378" i="1"/>
  <c r="K11379" i="1"/>
  <c r="L11379" i="1"/>
  <c r="K11380" i="1"/>
  <c r="L11380" i="1"/>
  <c r="K11381" i="1"/>
  <c r="L11381" i="1"/>
  <c r="K11392" i="1"/>
  <c r="L11392" i="1"/>
  <c r="K11393" i="1"/>
  <c r="L11393" i="1"/>
  <c r="K11394" i="1"/>
  <c r="L11394" i="1"/>
  <c r="K11395" i="1"/>
  <c r="L11395" i="1"/>
  <c r="K11206" i="1"/>
  <c r="L11206" i="1"/>
  <c r="M11206" i="1"/>
  <c r="K11207" i="1"/>
  <c r="L11207" i="1"/>
  <c r="M11207" i="1"/>
  <c r="K11208" i="1"/>
  <c r="L11208" i="1"/>
  <c r="M11208" i="1"/>
  <c r="K11401" i="1"/>
  <c r="L11401" i="1"/>
  <c r="K11402" i="1"/>
  <c r="L11402" i="1"/>
  <c r="K11403" i="1"/>
  <c r="L11403" i="1"/>
  <c r="K11404" i="1"/>
  <c r="L11404" i="1"/>
  <c r="K11405" i="1"/>
  <c r="L11405" i="1"/>
  <c r="K11406" i="1"/>
  <c r="L11406" i="1"/>
  <c r="K11407" i="1"/>
  <c r="L11407" i="1"/>
  <c r="K11396" i="1"/>
  <c r="L11396" i="1"/>
  <c r="K11397" i="1"/>
  <c r="L11397" i="1"/>
  <c r="K11398" i="1"/>
  <c r="L11398" i="1"/>
  <c r="K11399" i="1"/>
  <c r="L11399" i="1"/>
  <c r="K11400" i="1"/>
  <c r="L11400" i="1"/>
  <c r="K11209" i="1"/>
  <c r="L11209" i="1"/>
  <c r="M11209" i="1"/>
  <c r="K11210" i="1"/>
  <c r="L11210" i="1"/>
  <c r="M11210" i="1"/>
  <c r="K11211" i="1"/>
  <c r="L11211" i="1"/>
  <c r="M11211" i="1"/>
  <c r="K11408" i="1"/>
  <c r="L11408" i="1"/>
  <c r="K11409" i="1"/>
  <c r="L11409" i="1"/>
  <c r="K11212" i="1"/>
  <c r="L11212" i="1"/>
  <c r="M11212" i="1"/>
  <c r="K11213" i="1"/>
  <c r="L11213" i="1"/>
  <c r="M11213" i="1"/>
  <c r="K11214" i="1"/>
  <c r="L11214" i="1"/>
  <c r="M11214" i="1"/>
  <c r="K11215" i="1"/>
  <c r="L11215" i="1"/>
  <c r="M11215" i="1"/>
  <c r="K11216" i="1"/>
  <c r="L11216" i="1"/>
  <c r="M11216" i="1"/>
  <c r="K11217" i="1"/>
  <c r="L11217" i="1"/>
  <c r="M11217" i="1"/>
  <c r="K11410" i="1"/>
  <c r="L11410" i="1"/>
  <c r="K11411" i="1"/>
  <c r="L11411" i="1"/>
  <c r="K11218" i="1"/>
  <c r="L11218" i="1"/>
  <c r="M11218" i="1"/>
  <c r="K11413" i="1"/>
  <c r="L11413" i="1"/>
  <c r="K11414" i="1"/>
  <c r="L11414" i="1"/>
  <c r="K11415" i="1"/>
  <c r="L11415" i="1"/>
  <c r="K11416" i="1"/>
  <c r="L11416" i="1"/>
  <c r="K11417" i="1"/>
  <c r="L11417" i="1"/>
  <c r="K11412" i="1"/>
  <c r="L11412" i="1"/>
  <c r="K11219" i="1"/>
  <c r="L11219" i="1"/>
  <c r="M11219" i="1"/>
  <c r="K11220" i="1"/>
  <c r="L11220" i="1"/>
  <c r="M11220" i="1"/>
  <c r="K11221" i="1"/>
  <c r="L11221" i="1"/>
  <c r="M11221" i="1"/>
  <c r="K11438" i="1"/>
  <c r="L11438" i="1"/>
  <c r="K11439" i="1"/>
  <c r="L11439" i="1"/>
  <c r="K11418" i="1"/>
  <c r="L11418" i="1"/>
  <c r="K11419" i="1"/>
  <c r="L11419" i="1"/>
  <c r="K11420" i="1"/>
  <c r="L11420" i="1"/>
  <c r="K11421" i="1"/>
  <c r="L11421" i="1"/>
  <c r="K11422" i="1"/>
  <c r="L11422" i="1"/>
  <c r="K11423" i="1"/>
  <c r="L11423" i="1"/>
  <c r="K11424" i="1"/>
  <c r="L11424" i="1"/>
  <c r="K11425" i="1"/>
  <c r="L11425" i="1"/>
  <c r="K11426" i="1"/>
  <c r="L11426" i="1"/>
  <c r="K11427" i="1"/>
  <c r="L11427" i="1"/>
  <c r="K11428" i="1"/>
  <c r="L11428" i="1"/>
  <c r="K11429" i="1"/>
  <c r="L11429" i="1"/>
  <c r="K11430" i="1"/>
  <c r="L11430" i="1"/>
  <c r="K11431" i="1"/>
  <c r="L11431" i="1"/>
  <c r="K11432" i="1"/>
  <c r="L11432" i="1"/>
  <c r="K11433" i="1"/>
  <c r="L11433" i="1"/>
  <c r="K11434" i="1"/>
  <c r="L11434" i="1"/>
  <c r="K11435" i="1"/>
  <c r="L11435" i="1"/>
  <c r="K11436" i="1"/>
  <c r="L11436" i="1"/>
  <c r="K11437" i="1"/>
  <c r="L11437" i="1"/>
  <c r="K11249" i="1"/>
  <c r="L11249" i="1"/>
  <c r="M11249" i="1"/>
  <c r="K11250" i="1"/>
  <c r="L11250" i="1"/>
  <c r="M11250" i="1"/>
  <c r="K11251" i="1"/>
  <c r="L11251" i="1"/>
  <c r="M11251" i="1"/>
  <c r="K11252" i="1"/>
  <c r="L11252" i="1"/>
  <c r="M11252" i="1"/>
  <c r="K11253" i="1"/>
  <c r="L11253" i="1"/>
  <c r="M11253" i="1"/>
  <c r="K11254" i="1"/>
  <c r="L11254" i="1"/>
  <c r="M11254" i="1"/>
  <c r="K11255" i="1"/>
  <c r="L11255" i="1"/>
  <c r="M11255" i="1"/>
  <c r="K11256" i="1"/>
  <c r="L11256" i="1"/>
  <c r="M11256" i="1"/>
  <c r="K11257" i="1"/>
  <c r="L11257" i="1"/>
  <c r="M11257" i="1"/>
  <c r="K11258" i="1"/>
  <c r="L11258" i="1"/>
  <c r="M11258" i="1"/>
  <c r="K11259" i="1"/>
  <c r="L11259" i="1"/>
  <c r="M11259" i="1"/>
  <c r="K11260" i="1"/>
  <c r="L11260" i="1"/>
  <c r="M11260" i="1"/>
  <c r="K11261" i="1"/>
  <c r="L11261" i="1"/>
  <c r="M11261" i="1"/>
  <c r="K11262" i="1"/>
  <c r="L11262" i="1"/>
  <c r="M11262" i="1"/>
  <c r="K11263" i="1"/>
  <c r="L11263" i="1"/>
  <c r="M11263" i="1"/>
  <c r="K11264" i="1"/>
  <c r="L11264" i="1"/>
  <c r="M11264" i="1"/>
  <c r="K11265" i="1"/>
  <c r="L11265" i="1"/>
  <c r="M11265" i="1"/>
  <c r="K11266" i="1"/>
  <c r="L11266" i="1"/>
  <c r="M11266" i="1"/>
  <c r="K11267" i="1"/>
  <c r="L11267" i="1"/>
  <c r="M11267" i="1"/>
  <c r="K11268" i="1"/>
  <c r="L11268" i="1"/>
  <c r="M11268" i="1"/>
  <c r="K11269" i="1"/>
  <c r="L11269" i="1"/>
  <c r="M11269" i="1"/>
  <c r="K11270" i="1"/>
  <c r="L11270" i="1"/>
  <c r="M11270" i="1"/>
  <c r="K11271" i="1"/>
  <c r="L11271" i="1"/>
  <c r="M11271" i="1"/>
  <c r="K11272" i="1"/>
  <c r="L11272" i="1"/>
  <c r="M11272" i="1"/>
  <c r="K11273" i="1"/>
  <c r="L11273" i="1"/>
  <c r="M11273" i="1"/>
  <c r="K11274" i="1"/>
  <c r="L11274" i="1"/>
  <c r="M11274" i="1"/>
  <c r="K11275" i="1"/>
  <c r="L11275" i="1"/>
  <c r="M11275" i="1"/>
  <c r="K11276" i="1"/>
  <c r="L11276" i="1"/>
  <c r="M11276" i="1"/>
  <c r="K11277" i="1"/>
  <c r="L11277" i="1"/>
  <c r="M11277" i="1"/>
  <c r="K11278" i="1"/>
  <c r="L11278" i="1"/>
  <c r="M11278" i="1"/>
  <c r="K11279" i="1"/>
  <c r="L11279" i="1"/>
  <c r="M11279" i="1"/>
  <c r="K11280" i="1"/>
  <c r="L11280" i="1"/>
  <c r="M11280" i="1"/>
  <c r="K11281" i="1"/>
  <c r="L11281" i="1"/>
  <c r="M11281" i="1"/>
  <c r="K11282" i="1"/>
  <c r="L11282" i="1"/>
  <c r="M11282" i="1"/>
  <c r="K11283" i="1"/>
  <c r="L11283" i="1"/>
  <c r="M11283" i="1"/>
  <c r="K11284" i="1"/>
  <c r="L11284" i="1"/>
  <c r="M11284" i="1"/>
  <c r="K11285" i="1"/>
  <c r="L11285" i="1"/>
  <c r="M11285" i="1"/>
  <c r="K11286" i="1"/>
  <c r="L11286" i="1"/>
  <c r="M11286" i="1"/>
  <c r="K11287" i="1"/>
  <c r="L11287" i="1"/>
  <c r="M11287" i="1"/>
  <c r="K11288" i="1"/>
  <c r="L11288" i="1"/>
  <c r="M11288" i="1"/>
  <c r="K11289" i="1"/>
  <c r="L11289" i="1"/>
  <c r="M11289" i="1"/>
  <c r="K11290" i="1"/>
  <c r="L11290" i="1"/>
  <c r="M11290" i="1"/>
  <c r="K11291" i="1"/>
  <c r="L11291" i="1"/>
  <c r="M11291" i="1"/>
  <c r="K11292" i="1"/>
  <c r="L11292" i="1"/>
  <c r="M11292" i="1"/>
  <c r="K11293" i="1"/>
  <c r="L11293" i="1"/>
  <c r="M11293" i="1"/>
  <c r="K11294" i="1"/>
  <c r="L11294" i="1"/>
  <c r="M11294" i="1"/>
  <c r="K11295" i="1"/>
  <c r="L11295" i="1"/>
  <c r="M11295" i="1"/>
  <c r="K11296" i="1"/>
  <c r="L11296" i="1"/>
  <c r="M11296" i="1"/>
  <c r="K11297" i="1"/>
  <c r="L11297" i="1"/>
  <c r="M11297" i="1"/>
  <c r="K11298" i="1"/>
  <c r="L11298" i="1"/>
  <c r="M11298" i="1"/>
  <c r="K11299" i="1"/>
  <c r="L11299" i="1"/>
  <c r="M11299" i="1"/>
  <c r="K11300" i="1"/>
  <c r="L11300" i="1"/>
  <c r="M11300" i="1"/>
  <c r="K11301" i="1"/>
  <c r="L11301" i="1"/>
  <c r="M11301" i="1"/>
  <c r="K11302" i="1"/>
  <c r="L11302" i="1"/>
  <c r="M11302" i="1"/>
  <c r="K11303" i="1"/>
  <c r="L11303" i="1"/>
  <c r="M11303" i="1"/>
  <c r="K11304" i="1"/>
  <c r="L11304" i="1"/>
  <c r="M11304" i="1"/>
  <c r="K11305" i="1"/>
  <c r="L11305" i="1"/>
  <c r="M11305" i="1"/>
  <c r="K11306" i="1"/>
  <c r="L11306" i="1"/>
  <c r="M11306" i="1"/>
  <c r="K11307" i="1"/>
  <c r="L11307" i="1"/>
  <c r="M11307" i="1"/>
  <c r="K11308" i="1"/>
  <c r="L11308" i="1"/>
  <c r="M11308" i="1"/>
  <c r="K11309" i="1"/>
  <c r="L11309" i="1"/>
  <c r="M11309" i="1"/>
  <c r="K11310" i="1"/>
  <c r="L11310" i="1"/>
  <c r="M11310" i="1"/>
  <c r="K11311" i="1"/>
  <c r="L11311" i="1"/>
  <c r="M11311" i="1"/>
  <c r="K11312" i="1"/>
  <c r="L11312" i="1"/>
  <c r="M11312" i="1"/>
  <c r="K11313" i="1"/>
  <c r="L11313" i="1"/>
  <c r="M11313" i="1"/>
  <c r="K11314" i="1"/>
  <c r="L11314" i="1"/>
  <c r="M11314" i="1"/>
  <c r="K11315" i="1"/>
  <c r="L11315" i="1"/>
  <c r="M11315" i="1"/>
  <c r="K11316" i="1"/>
  <c r="L11316" i="1"/>
  <c r="M11316" i="1"/>
  <c r="K11317" i="1"/>
  <c r="L11317" i="1"/>
  <c r="M11317" i="1"/>
  <c r="K11318" i="1"/>
  <c r="L11318" i="1"/>
  <c r="M11318" i="1"/>
  <c r="K11319" i="1"/>
  <c r="L11319" i="1"/>
  <c r="M11319" i="1"/>
  <c r="K11320" i="1"/>
  <c r="L11320" i="1"/>
  <c r="M11320" i="1"/>
  <c r="K11321" i="1"/>
  <c r="L11321" i="1"/>
  <c r="M11321" i="1"/>
  <c r="K11322" i="1"/>
  <c r="L11322" i="1"/>
  <c r="M11322" i="1"/>
  <c r="K11323" i="1"/>
  <c r="L11323" i="1"/>
  <c r="M11323" i="1"/>
  <c r="K11324" i="1"/>
  <c r="L11324" i="1"/>
  <c r="M11324" i="1"/>
  <c r="K11325" i="1"/>
  <c r="L11325" i="1"/>
  <c r="M11325" i="1"/>
  <c r="K11326" i="1"/>
  <c r="L11326" i="1"/>
  <c r="M11326" i="1"/>
  <c r="K11327" i="1"/>
  <c r="L11327" i="1"/>
  <c r="M11327" i="1"/>
  <c r="K11328" i="1"/>
  <c r="L11328" i="1"/>
  <c r="M11328" i="1"/>
  <c r="K11329" i="1"/>
  <c r="L11329" i="1"/>
  <c r="M11329" i="1"/>
  <c r="K11330" i="1"/>
  <c r="L11330" i="1"/>
  <c r="M11330" i="1"/>
  <c r="K11331" i="1"/>
  <c r="L11331" i="1"/>
  <c r="M11331" i="1"/>
  <c r="K11332" i="1"/>
  <c r="L11332" i="1"/>
  <c r="M11332" i="1"/>
  <c r="K11333" i="1"/>
  <c r="L11333" i="1"/>
  <c r="M11333" i="1"/>
  <c r="K11334" i="1"/>
  <c r="L11334" i="1"/>
  <c r="M11334" i="1"/>
  <c r="K11335" i="1"/>
  <c r="L11335" i="1"/>
  <c r="M11335" i="1"/>
  <c r="K11336" i="1"/>
  <c r="L11336" i="1"/>
  <c r="M11336" i="1"/>
  <c r="K11337" i="1"/>
  <c r="L11337" i="1"/>
  <c r="M11337" i="1"/>
  <c r="K11338" i="1"/>
  <c r="L11338" i="1"/>
  <c r="M11338" i="1"/>
  <c r="K11339" i="1"/>
  <c r="L11339" i="1"/>
  <c r="M11339" i="1"/>
  <c r="K11340" i="1"/>
  <c r="L11340" i="1"/>
  <c r="M11340" i="1"/>
  <c r="K11341" i="1"/>
  <c r="L11341" i="1"/>
  <c r="M11341" i="1"/>
  <c r="K11342" i="1"/>
  <c r="L11342" i="1"/>
  <c r="M11342" i="1"/>
  <c r="K11343" i="1"/>
  <c r="L11343" i="1"/>
  <c r="M11343" i="1"/>
  <c r="K11344" i="1"/>
  <c r="L11344" i="1"/>
  <c r="M11344" i="1"/>
  <c r="K11345" i="1"/>
  <c r="L11345" i="1"/>
  <c r="M11345" i="1"/>
  <c r="K11346" i="1"/>
  <c r="L11346" i="1"/>
  <c r="M11346" i="1"/>
  <c r="K11347" i="1"/>
  <c r="L11347" i="1"/>
  <c r="M11347" i="1"/>
  <c r="K11441" i="1"/>
  <c r="L11441" i="1"/>
  <c r="M11441" i="1"/>
  <c r="K11442" i="1"/>
  <c r="L11442" i="1"/>
  <c r="M11442" i="1"/>
  <c r="K11443" i="1"/>
  <c r="L11443" i="1"/>
  <c r="M11443" i="1"/>
  <c r="K11444" i="1"/>
  <c r="L11444" i="1"/>
  <c r="M11444" i="1"/>
  <c r="K11445" i="1"/>
  <c r="L11445" i="1"/>
  <c r="M11445" i="1"/>
  <c r="K11446" i="1"/>
  <c r="L11446" i="1"/>
  <c r="M11446" i="1"/>
  <c r="K11447" i="1"/>
  <c r="L11447" i="1"/>
  <c r="M11447" i="1"/>
  <c r="K11448" i="1"/>
  <c r="L11448" i="1"/>
  <c r="M11448" i="1"/>
  <c r="K11449" i="1"/>
  <c r="L11449" i="1"/>
  <c r="M11449" i="1"/>
  <c r="K11450" i="1"/>
  <c r="L11450" i="1"/>
  <c r="M11450" i="1"/>
  <c r="K11451" i="1"/>
  <c r="L11451" i="1"/>
  <c r="M11451" i="1"/>
  <c r="K11452" i="1"/>
  <c r="L11452" i="1"/>
  <c r="M11452" i="1"/>
  <c r="K11453" i="1"/>
  <c r="L11453" i="1"/>
  <c r="M11453" i="1"/>
  <c r="K11454" i="1"/>
  <c r="L11454" i="1"/>
  <c r="M11454" i="1"/>
  <c r="K11455" i="1"/>
  <c r="L11455" i="1"/>
  <c r="M11455" i="1"/>
  <c r="K11456" i="1"/>
  <c r="L11456" i="1"/>
  <c r="M11456" i="1"/>
  <c r="K11457" i="1"/>
  <c r="L11457" i="1"/>
  <c r="M11457" i="1"/>
  <c r="K11458" i="1"/>
  <c r="L11458" i="1"/>
  <c r="M11458" i="1"/>
  <c r="K11459" i="1"/>
  <c r="L11459" i="1"/>
  <c r="M11459" i="1"/>
  <c r="K11460" i="1"/>
  <c r="L11460" i="1"/>
  <c r="M11460" i="1"/>
  <c r="K11536" i="1"/>
  <c r="M11536" i="1"/>
  <c r="K11511" i="1"/>
  <c r="M11511" i="1"/>
  <c r="K11512" i="1"/>
  <c r="M11512" i="1"/>
  <c r="K11513" i="1"/>
  <c r="M11513" i="1"/>
  <c r="K11514" i="1"/>
  <c r="M11514" i="1"/>
  <c r="K11515" i="1"/>
  <c r="M11515" i="1"/>
  <c r="K11516" i="1"/>
  <c r="M11516" i="1"/>
  <c r="K11517" i="1"/>
  <c r="M11517" i="1"/>
  <c r="K11518" i="1"/>
  <c r="M11518" i="1"/>
  <c r="K11519" i="1"/>
  <c r="M11519" i="1"/>
  <c r="K11520" i="1"/>
  <c r="M11520" i="1"/>
  <c r="K11521" i="1"/>
  <c r="M11521" i="1"/>
  <c r="K11522" i="1"/>
  <c r="M11522" i="1"/>
  <c r="K11523" i="1"/>
  <c r="M11523" i="1"/>
  <c r="K11524" i="1"/>
  <c r="M11524" i="1"/>
  <c r="K11525" i="1"/>
  <c r="M11525" i="1"/>
  <c r="K11526" i="1"/>
  <c r="M11526" i="1"/>
  <c r="K11527" i="1"/>
  <c r="M11527" i="1"/>
  <c r="K11528" i="1"/>
  <c r="M11528" i="1"/>
  <c r="K11529" i="1"/>
  <c r="M11529" i="1"/>
  <c r="K11530" i="1"/>
  <c r="M11530" i="1"/>
  <c r="K11531" i="1"/>
  <c r="M11531" i="1"/>
  <c r="K11532" i="1"/>
  <c r="M11532" i="1"/>
  <c r="K11533" i="1"/>
  <c r="M11533" i="1"/>
  <c r="K11534" i="1"/>
  <c r="M11534" i="1"/>
  <c r="K11535" i="1"/>
  <c r="M11535" i="1"/>
  <c r="K11461" i="1"/>
  <c r="L11461" i="1"/>
  <c r="M11461" i="1"/>
  <c r="K11462" i="1"/>
  <c r="L11462" i="1"/>
  <c r="M11462" i="1"/>
  <c r="K11463" i="1"/>
  <c r="L11463" i="1"/>
  <c r="M11463" i="1"/>
  <c r="K11648" i="1"/>
  <c r="L11648" i="1"/>
  <c r="K11649" i="1"/>
  <c r="L11649" i="1"/>
  <c r="K11650" i="1"/>
  <c r="L11650" i="1"/>
  <c r="K11651" i="1"/>
  <c r="L11651" i="1"/>
  <c r="K11640" i="1"/>
  <c r="L11640" i="1"/>
  <c r="K11641" i="1"/>
  <c r="L11641" i="1"/>
  <c r="K11642" i="1"/>
  <c r="L11642" i="1"/>
  <c r="K11643" i="1"/>
  <c r="L11643" i="1"/>
  <c r="K11644" i="1"/>
  <c r="L11644" i="1"/>
  <c r="K11645" i="1"/>
  <c r="L11645" i="1"/>
  <c r="K11646" i="1"/>
  <c r="L11646" i="1"/>
  <c r="K11647" i="1"/>
  <c r="L11647" i="1"/>
  <c r="K11653" i="1"/>
  <c r="L11653" i="1"/>
  <c r="K11654" i="1"/>
  <c r="L11654" i="1"/>
  <c r="K11655" i="1"/>
  <c r="L11655" i="1"/>
  <c r="K11656" i="1"/>
  <c r="L11656" i="1"/>
  <c r="K11657" i="1"/>
  <c r="L11657" i="1"/>
  <c r="K11658" i="1"/>
  <c r="L11658" i="1"/>
  <c r="K11659" i="1"/>
  <c r="L11659" i="1"/>
  <c r="K11660" i="1"/>
  <c r="L11660" i="1"/>
  <c r="K11661" i="1"/>
  <c r="L11661" i="1"/>
  <c r="K11662" i="1"/>
  <c r="L11662" i="1"/>
  <c r="K11663" i="1"/>
  <c r="L11663" i="1"/>
  <c r="K11664" i="1"/>
  <c r="L11664" i="1"/>
  <c r="K11665" i="1"/>
  <c r="L11665" i="1"/>
  <c r="K11464" i="1"/>
  <c r="L11464" i="1"/>
  <c r="M11464" i="1"/>
  <c r="K11465" i="1"/>
  <c r="L11465" i="1"/>
  <c r="M11465" i="1"/>
  <c r="K11466" i="1"/>
  <c r="L11466" i="1"/>
  <c r="M11466" i="1"/>
  <c r="K11467" i="1"/>
  <c r="L11467" i="1"/>
  <c r="M11467" i="1"/>
  <c r="K11468" i="1"/>
  <c r="L11468" i="1"/>
  <c r="M11468" i="1"/>
  <c r="K11469" i="1"/>
  <c r="L11469" i="1"/>
  <c r="M11469" i="1"/>
  <c r="K11470" i="1"/>
  <c r="L11470" i="1"/>
  <c r="M11470" i="1"/>
  <c r="K11669" i="1"/>
  <c r="L11669" i="1"/>
  <c r="K11666" i="1"/>
  <c r="L11666" i="1"/>
  <c r="K11667" i="1"/>
  <c r="L11667" i="1"/>
  <c r="K11668" i="1"/>
  <c r="L11668" i="1"/>
  <c r="K11471" i="1"/>
  <c r="L11471" i="1"/>
  <c r="M11471" i="1"/>
  <c r="K11472" i="1"/>
  <c r="L11472" i="1"/>
  <c r="M11472" i="1"/>
  <c r="K11473" i="1"/>
  <c r="L11473" i="1"/>
  <c r="M11473" i="1"/>
  <c r="K11474" i="1"/>
  <c r="L11474" i="1"/>
  <c r="M11474" i="1"/>
  <c r="K11475" i="1"/>
  <c r="L11475" i="1"/>
  <c r="M11475" i="1"/>
  <c r="K11476" i="1"/>
  <c r="L11476" i="1"/>
  <c r="M11476" i="1"/>
  <c r="K11477" i="1"/>
  <c r="L11477" i="1"/>
  <c r="M11477" i="1"/>
  <c r="K11478" i="1"/>
  <c r="L11478" i="1"/>
  <c r="M11478" i="1"/>
  <c r="K11479" i="1"/>
  <c r="L11479" i="1"/>
  <c r="M11479" i="1"/>
  <c r="K11480" i="1"/>
  <c r="L11480" i="1"/>
  <c r="M11480" i="1"/>
  <c r="K11673" i="1"/>
  <c r="L11673" i="1"/>
  <c r="K11674" i="1"/>
  <c r="L11674" i="1"/>
  <c r="K11670" i="1"/>
  <c r="L11670" i="1"/>
  <c r="K11671" i="1"/>
  <c r="L11671" i="1"/>
  <c r="K11672" i="1"/>
  <c r="L11672" i="1"/>
  <c r="K11481" i="1"/>
  <c r="L11481" i="1"/>
  <c r="M11481" i="1"/>
  <c r="K11482" i="1"/>
  <c r="L11482" i="1"/>
  <c r="M11482" i="1"/>
  <c r="K11483" i="1"/>
  <c r="L11483" i="1"/>
  <c r="M11483" i="1"/>
  <c r="K11484" i="1"/>
  <c r="L11484" i="1"/>
  <c r="M11484" i="1"/>
  <c r="K11485" i="1"/>
  <c r="L11485" i="1"/>
  <c r="M11485" i="1"/>
  <c r="K11486" i="1"/>
  <c r="L11486" i="1"/>
  <c r="M11486" i="1"/>
  <c r="K11487" i="1"/>
  <c r="L11487" i="1"/>
  <c r="M11487" i="1"/>
  <c r="K11488" i="1"/>
  <c r="L11488" i="1"/>
  <c r="M11488" i="1"/>
  <c r="K11489" i="1"/>
  <c r="L11489" i="1"/>
  <c r="M11489" i="1"/>
  <c r="K11490" i="1"/>
  <c r="L11490" i="1"/>
  <c r="M11490" i="1"/>
  <c r="K11491" i="1"/>
  <c r="L11491" i="1"/>
  <c r="M11491" i="1"/>
  <c r="K11679" i="1"/>
  <c r="L11679" i="1"/>
  <c r="K11680" i="1"/>
  <c r="L11680" i="1"/>
  <c r="K11681" i="1"/>
  <c r="L11681" i="1"/>
  <c r="K11682" i="1"/>
  <c r="L11682" i="1"/>
  <c r="K11683" i="1"/>
  <c r="L11683" i="1"/>
  <c r="K11684" i="1"/>
  <c r="L11684" i="1"/>
  <c r="K11675" i="1"/>
  <c r="L11675" i="1"/>
  <c r="K11676" i="1"/>
  <c r="L11676" i="1"/>
  <c r="K11677" i="1"/>
  <c r="L11677" i="1"/>
  <c r="K11678" i="1"/>
  <c r="L11678" i="1"/>
  <c r="K11492" i="1"/>
  <c r="L11492" i="1"/>
  <c r="M11492" i="1"/>
  <c r="K11493" i="1"/>
  <c r="L11493" i="1"/>
  <c r="M11493" i="1"/>
  <c r="K11494" i="1"/>
  <c r="L11494" i="1"/>
  <c r="M11494" i="1"/>
  <c r="K11495" i="1"/>
  <c r="L11495" i="1"/>
  <c r="M11495" i="1"/>
  <c r="K11496" i="1"/>
  <c r="L11496" i="1"/>
  <c r="M11496" i="1"/>
  <c r="K11497" i="1"/>
  <c r="L11497" i="1"/>
  <c r="M11497" i="1"/>
  <c r="K11687" i="1"/>
  <c r="L11687" i="1"/>
  <c r="K11688" i="1"/>
  <c r="L11688" i="1"/>
  <c r="K11689" i="1"/>
  <c r="L11689" i="1"/>
  <c r="K11690" i="1"/>
  <c r="L11690" i="1"/>
  <c r="K11691" i="1"/>
  <c r="L11691" i="1"/>
  <c r="K11692" i="1"/>
  <c r="L11692" i="1"/>
  <c r="K11685" i="1"/>
  <c r="L11685" i="1"/>
  <c r="K11686" i="1"/>
  <c r="L11686" i="1"/>
  <c r="K11498" i="1"/>
  <c r="L11498" i="1"/>
  <c r="M11498" i="1"/>
  <c r="K11499" i="1"/>
  <c r="L11499" i="1"/>
  <c r="M11499" i="1"/>
  <c r="K11500" i="1"/>
  <c r="L11500" i="1"/>
  <c r="M11500" i="1"/>
  <c r="K11501" i="1"/>
  <c r="L11501" i="1"/>
  <c r="M11501" i="1"/>
  <c r="K11694" i="1"/>
  <c r="L11694" i="1"/>
  <c r="K11695" i="1"/>
  <c r="L11695" i="1"/>
  <c r="K11696" i="1"/>
  <c r="L11696" i="1"/>
  <c r="K11697" i="1"/>
  <c r="L11697" i="1"/>
  <c r="K11693" i="1"/>
  <c r="L11693" i="1"/>
  <c r="K11502" i="1"/>
  <c r="L11502" i="1"/>
  <c r="M11502" i="1"/>
  <c r="K11503" i="1"/>
  <c r="L11503" i="1"/>
  <c r="M11503" i="1"/>
  <c r="K11504" i="1"/>
  <c r="L11504" i="1"/>
  <c r="M11504" i="1"/>
  <c r="K11505" i="1"/>
  <c r="L11505" i="1"/>
  <c r="M11505" i="1"/>
  <c r="K11506" i="1"/>
  <c r="L11506" i="1"/>
  <c r="M11506" i="1"/>
  <c r="K11507" i="1"/>
  <c r="L11507" i="1"/>
  <c r="M11507" i="1"/>
  <c r="K11508" i="1"/>
  <c r="L11508" i="1"/>
  <c r="M11508" i="1"/>
  <c r="K11509" i="1"/>
  <c r="L11509" i="1"/>
  <c r="M11509" i="1"/>
  <c r="K11510" i="1"/>
  <c r="L11510" i="1"/>
  <c r="M11510" i="1"/>
  <c r="K11731" i="1"/>
  <c r="L11731" i="1"/>
  <c r="K11698" i="1"/>
  <c r="L11698" i="1"/>
  <c r="K11699" i="1"/>
  <c r="L11699" i="1"/>
  <c r="K11700" i="1"/>
  <c r="L11700" i="1"/>
  <c r="K11701" i="1"/>
  <c r="L11701" i="1"/>
  <c r="K11702" i="1"/>
  <c r="L11702" i="1"/>
  <c r="K11703" i="1"/>
  <c r="L11703" i="1"/>
  <c r="K11704" i="1"/>
  <c r="L11704" i="1"/>
  <c r="K11705" i="1"/>
  <c r="L11705" i="1"/>
  <c r="K11706" i="1"/>
  <c r="L11706" i="1"/>
  <c r="K11707" i="1"/>
  <c r="L11707" i="1"/>
  <c r="K11708" i="1"/>
  <c r="L11708" i="1"/>
  <c r="K11709" i="1"/>
  <c r="L11709" i="1"/>
  <c r="K11710" i="1"/>
  <c r="L11710" i="1"/>
  <c r="K11711" i="1"/>
  <c r="L11711" i="1"/>
  <c r="K11712" i="1"/>
  <c r="L11712" i="1"/>
  <c r="K11713" i="1"/>
  <c r="L11713" i="1"/>
  <c r="K11714" i="1"/>
  <c r="L11714" i="1"/>
  <c r="K11715" i="1"/>
  <c r="L11715" i="1"/>
  <c r="K11716" i="1"/>
  <c r="L11716" i="1"/>
  <c r="K11717" i="1"/>
  <c r="L11717" i="1"/>
  <c r="K11718" i="1"/>
  <c r="L11718" i="1"/>
  <c r="K11719" i="1"/>
  <c r="L11719" i="1"/>
  <c r="K11720" i="1"/>
  <c r="L11720" i="1"/>
  <c r="K11721" i="1"/>
  <c r="L11721" i="1"/>
  <c r="K11722" i="1"/>
  <c r="L11722" i="1"/>
  <c r="K11723" i="1"/>
  <c r="L11723" i="1"/>
  <c r="K11724" i="1"/>
  <c r="L11724" i="1"/>
  <c r="K11725" i="1"/>
  <c r="L11725" i="1"/>
  <c r="K11726" i="1"/>
  <c r="L11726" i="1"/>
  <c r="K11727" i="1"/>
  <c r="L11727" i="1"/>
  <c r="K11728" i="1"/>
  <c r="L11728" i="1"/>
  <c r="K11729" i="1"/>
  <c r="L11729" i="1"/>
  <c r="K11730" i="1"/>
  <c r="L11730" i="1"/>
  <c r="K11537" i="1"/>
  <c r="L11537" i="1"/>
  <c r="M11537" i="1"/>
  <c r="K11538" i="1"/>
  <c r="L11538" i="1"/>
  <c r="M11538" i="1"/>
  <c r="K11539" i="1"/>
  <c r="L11539" i="1"/>
  <c r="M11539" i="1"/>
  <c r="K11540" i="1"/>
  <c r="L11540" i="1"/>
  <c r="M11540" i="1"/>
  <c r="K11541" i="1"/>
  <c r="L11541" i="1"/>
  <c r="M11541" i="1"/>
  <c r="K11542" i="1"/>
  <c r="L11542" i="1"/>
  <c r="M11542" i="1"/>
  <c r="K11543" i="1"/>
  <c r="L11543" i="1"/>
  <c r="M11543" i="1"/>
  <c r="K11544" i="1"/>
  <c r="L11544" i="1"/>
  <c r="M11544" i="1"/>
  <c r="K11545" i="1"/>
  <c r="L11545" i="1"/>
  <c r="M11545" i="1"/>
  <c r="K11546" i="1"/>
  <c r="L11546" i="1"/>
  <c r="M11546" i="1"/>
  <c r="K11547" i="1"/>
  <c r="L11547" i="1"/>
  <c r="M11547" i="1"/>
  <c r="K11548" i="1"/>
  <c r="L11548" i="1"/>
  <c r="M11548" i="1"/>
  <c r="K11549" i="1"/>
  <c r="L11549" i="1"/>
  <c r="M11549" i="1"/>
  <c r="K11550" i="1"/>
  <c r="L11550" i="1"/>
  <c r="M11550" i="1"/>
  <c r="K11551" i="1"/>
  <c r="L11551" i="1"/>
  <c r="M11551" i="1"/>
  <c r="K11552" i="1"/>
  <c r="L11552" i="1"/>
  <c r="M11552" i="1"/>
  <c r="K11553" i="1"/>
  <c r="L11553" i="1"/>
  <c r="M11553" i="1"/>
  <c r="K11554" i="1"/>
  <c r="L11554" i="1"/>
  <c r="M11554" i="1"/>
  <c r="K11555" i="1"/>
  <c r="L11555" i="1"/>
  <c r="M11555" i="1"/>
  <c r="K11556" i="1"/>
  <c r="L11556" i="1"/>
  <c r="M11556" i="1"/>
  <c r="K11557" i="1"/>
  <c r="L11557" i="1"/>
  <c r="M11557" i="1"/>
  <c r="K11558" i="1"/>
  <c r="L11558" i="1"/>
  <c r="M11558" i="1"/>
  <c r="K11559" i="1"/>
  <c r="L11559" i="1"/>
  <c r="M11559" i="1"/>
  <c r="K11562" i="1"/>
  <c r="L11562" i="1"/>
  <c r="M11562" i="1"/>
  <c r="K11563" i="1"/>
  <c r="L11563" i="1"/>
  <c r="M11563" i="1"/>
  <c r="K11564" i="1"/>
  <c r="L11564" i="1"/>
  <c r="M11564" i="1"/>
  <c r="K11565" i="1"/>
  <c r="L11565" i="1"/>
  <c r="M11565" i="1"/>
  <c r="K11566" i="1"/>
  <c r="L11566" i="1"/>
  <c r="M11566" i="1"/>
  <c r="K11567" i="1"/>
  <c r="L11567" i="1"/>
  <c r="M11567" i="1"/>
  <c r="K11568" i="1"/>
  <c r="L11568" i="1"/>
  <c r="M11568" i="1"/>
  <c r="K11569" i="1"/>
  <c r="L11569" i="1"/>
  <c r="M11569" i="1"/>
  <c r="K11570" i="1"/>
  <c r="L11570" i="1"/>
  <c r="M11570" i="1"/>
  <c r="K11571" i="1"/>
  <c r="L11571" i="1"/>
  <c r="M11571" i="1"/>
  <c r="K11572" i="1"/>
  <c r="L11572" i="1"/>
  <c r="M11572" i="1"/>
  <c r="K11573" i="1"/>
  <c r="L11573" i="1"/>
  <c r="M11573" i="1"/>
  <c r="K11574" i="1"/>
  <c r="L11574" i="1"/>
  <c r="M11574" i="1"/>
  <c r="K11575" i="1"/>
  <c r="L11575" i="1"/>
  <c r="M11575" i="1"/>
  <c r="K11576" i="1"/>
  <c r="L11576" i="1"/>
  <c r="M11576" i="1"/>
  <c r="K11577" i="1"/>
  <c r="L11577" i="1"/>
  <c r="M11577" i="1"/>
  <c r="K11578" i="1"/>
  <c r="L11578" i="1"/>
  <c r="M11578" i="1"/>
  <c r="K11579" i="1"/>
  <c r="L11579" i="1"/>
  <c r="M11579" i="1"/>
  <c r="K11580" i="1"/>
  <c r="L11580" i="1"/>
  <c r="M11580" i="1"/>
  <c r="K11581" i="1"/>
  <c r="L11581" i="1"/>
  <c r="M11581" i="1"/>
  <c r="K11582" i="1"/>
  <c r="L11582" i="1"/>
  <c r="M11582" i="1"/>
  <c r="K11583" i="1"/>
  <c r="L11583" i="1"/>
  <c r="M11583" i="1"/>
  <c r="K11584" i="1"/>
  <c r="L11584" i="1"/>
  <c r="M11584" i="1"/>
  <c r="K11585" i="1"/>
  <c r="L11585" i="1"/>
  <c r="M11585" i="1"/>
  <c r="K11586" i="1"/>
  <c r="L11586" i="1"/>
  <c r="M11586" i="1"/>
  <c r="K11587" i="1"/>
  <c r="L11587" i="1"/>
  <c r="M11587" i="1"/>
  <c r="K11588" i="1"/>
  <c r="L11588" i="1"/>
  <c r="M11588" i="1"/>
  <c r="K11589" i="1"/>
  <c r="L11589" i="1"/>
  <c r="M11589" i="1"/>
  <c r="K11590" i="1"/>
  <c r="L11590" i="1"/>
  <c r="M11590" i="1"/>
  <c r="K11591" i="1"/>
  <c r="L11591" i="1"/>
  <c r="M11591" i="1"/>
  <c r="K11592" i="1"/>
  <c r="L11592" i="1"/>
  <c r="M11592" i="1"/>
  <c r="K11593" i="1"/>
  <c r="L11593" i="1"/>
  <c r="M11593" i="1"/>
  <c r="K11594" i="1"/>
  <c r="L11594" i="1"/>
  <c r="M11594" i="1"/>
  <c r="K11595" i="1"/>
  <c r="L11595" i="1"/>
  <c r="M11595" i="1"/>
  <c r="K11596" i="1"/>
  <c r="L11596" i="1"/>
  <c r="M11596" i="1"/>
  <c r="K11597" i="1"/>
  <c r="L11597" i="1"/>
  <c r="M11597" i="1"/>
  <c r="K11598" i="1"/>
  <c r="L11598" i="1"/>
  <c r="M11598" i="1"/>
  <c r="K11599" i="1"/>
  <c r="L11599" i="1"/>
  <c r="M11599" i="1"/>
  <c r="K11600" i="1"/>
  <c r="L11600" i="1"/>
  <c r="M11600" i="1"/>
  <c r="K11601" i="1"/>
  <c r="L11601" i="1"/>
  <c r="M11601" i="1"/>
  <c r="K11602" i="1"/>
  <c r="L11602" i="1"/>
  <c r="M11602" i="1"/>
  <c r="K11603" i="1"/>
  <c r="L11603" i="1"/>
  <c r="M11603" i="1"/>
  <c r="K11604" i="1"/>
  <c r="L11604" i="1"/>
  <c r="M11604" i="1"/>
  <c r="K11605" i="1"/>
  <c r="L11605" i="1"/>
  <c r="M11605" i="1"/>
  <c r="K11606" i="1"/>
  <c r="L11606" i="1"/>
  <c r="M11606" i="1"/>
  <c r="K11607" i="1"/>
  <c r="L11607" i="1"/>
  <c r="M11607" i="1"/>
  <c r="K11608" i="1"/>
  <c r="L11608" i="1"/>
  <c r="M11608" i="1"/>
  <c r="K11609" i="1"/>
  <c r="L11609" i="1"/>
  <c r="M11609" i="1"/>
  <c r="K11610" i="1"/>
  <c r="L11610" i="1"/>
  <c r="M11610" i="1"/>
  <c r="K11611" i="1"/>
  <c r="L11611" i="1"/>
  <c r="M11611" i="1"/>
  <c r="K11612" i="1"/>
  <c r="L11612" i="1"/>
  <c r="M11612" i="1"/>
  <c r="K11613" i="1"/>
  <c r="L11613" i="1"/>
  <c r="M11613" i="1"/>
  <c r="K11614" i="1"/>
  <c r="L11614" i="1"/>
  <c r="M11614" i="1"/>
  <c r="K11615" i="1"/>
  <c r="L11615" i="1"/>
  <c r="M11615" i="1"/>
  <c r="K11616" i="1"/>
  <c r="L11616" i="1"/>
  <c r="M11616" i="1"/>
  <c r="K11617" i="1"/>
  <c r="L11617" i="1"/>
  <c r="M11617" i="1"/>
  <c r="K11618" i="1"/>
  <c r="L11618" i="1"/>
  <c r="M11618" i="1"/>
  <c r="K11619" i="1"/>
  <c r="L11619" i="1"/>
  <c r="M11619" i="1"/>
  <c r="K11620" i="1"/>
  <c r="L11620" i="1"/>
  <c r="M11620" i="1"/>
  <c r="K11621" i="1"/>
  <c r="L11621" i="1"/>
  <c r="M11621" i="1"/>
  <c r="K11622" i="1"/>
  <c r="L11622" i="1"/>
  <c r="M11622" i="1"/>
  <c r="K11623" i="1"/>
  <c r="L11623" i="1"/>
  <c r="M11623" i="1"/>
  <c r="K11624" i="1"/>
  <c r="L11624" i="1"/>
  <c r="M11624" i="1"/>
  <c r="K11625" i="1"/>
  <c r="L11625" i="1"/>
  <c r="M11625" i="1"/>
  <c r="K11626" i="1"/>
  <c r="L11626" i="1"/>
  <c r="M11626" i="1"/>
  <c r="K11627" i="1"/>
  <c r="L11627" i="1"/>
  <c r="M11627" i="1"/>
  <c r="K11628" i="1"/>
  <c r="L11628" i="1"/>
  <c r="M11628" i="1"/>
  <c r="K11629" i="1"/>
  <c r="L11629" i="1"/>
  <c r="M11629" i="1"/>
  <c r="K11630" i="1"/>
  <c r="L11630" i="1"/>
  <c r="M11630" i="1"/>
  <c r="K11631" i="1"/>
  <c r="L11631" i="1"/>
  <c r="M11631" i="1"/>
  <c r="K11632" i="1"/>
  <c r="L11632" i="1"/>
  <c r="M11632" i="1"/>
  <c r="K11633" i="1"/>
  <c r="L11633" i="1"/>
  <c r="M11633" i="1"/>
  <c r="K11634" i="1"/>
  <c r="L11634" i="1"/>
  <c r="M11634" i="1"/>
  <c r="K11635" i="1"/>
  <c r="L11635" i="1"/>
  <c r="M11635" i="1"/>
  <c r="K11636" i="1"/>
  <c r="L11636" i="1"/>
  <c r="M11636" i="1"/>
  <c r="K11637" i="1"/>
  <c r="L11637" i="1"/>
  <c r="M11637" i="1"/>
  <c r="K11638" i="1"/>
  <c r="L11638" i="1"/>
  <c r="M11638" i="1"/>
  <c r="K11639" i="1"/>
  <c r="L11639" i="1"/>
  <c r="M11639" i="1"/>
  <c r="K11732" i="1"/>
  <c r="L11732" i="1"/>
  <c r="M11732" i="1"/>
  <c r="K11733" i="1"/>
  <c r="L11733" i="1"/>
  <c r="M11733" i="1"/>
  <c r="K11734" i="1"/>
  <c r="L11734" i="1"/>
  <c r="M11734" i="1"/>
  <c r="K11735" i="1"/>
  <c r="L11735" i="1"/>
  <c r="M11735" i="1"/>
  <c r="K11737" i="1"/>
  <c r="M11737" i="1"/>
  <c r="K11736" i="1"/>
  <c r="M11736" i="1"/>
  <c r="K11739" i="1"/>
  <c r="L11739" i="1"/>
  <c r="M11739" i="1"/>
  <c r="K11740" i="1"/>
  <c r="L11740" i="1"/>
  <c r="M11740" i="1"/>
  <c r="K11741" i="1"/>
  <c r="L11741" i="1"/>
  <c r="M11741" i="1"/>
  <c r="K11742" i="1"/>
  <c r="M11742" i="1"/>
  <c r="K11743" i="1"/>
  <c r="M11743" i="1"/>
  <c r="K11744" i="1"/>
  <c r="L11744" i="1"/>
  <c r="M11744" i="1"/>
  <c r="K11745" i="1"/>
  <c r="L11745" i="1"/>
  <c r="M11745" i="1"/>
  <c r="K11746" i="1"/>
  <c r="L11746" i="1"/>
  <c r="M11746" i="1"/>
  <c r="K11747" i="1"/>
  <c r="L11747" i="1"/>
  <c r="M11747" i="1"/>
  <c r="K11748" i="1"/>
  <c r="L11748" i="1"/>
  <c r="M11748" i="1"/>
  <c r="K11749" i="1"/>
  <c r="L11749" i="1"/>
  <c r="M11749" i="1"/>
  <c r="K11791" i="1"/>
  <c r="M11791" i="1"/>
  <c r="K11792" i="1"/>
  <c r="M11792" i="1"/>
  <c r="K11793" i="1"/>
  <c r="M11793" i="1"/>
  <c r="K11794" i="1"/>
  <c r="M11794" i="1"/>
  <c r="K11795" i="1"/>
  <c r="M11795" i="1"/>
  <c r="K11796" i="1"/>
  <c r="M11796" i="1"/>
  <c r="K11797" i="1"/>
  <c r="M11797" i="1"/>
  <c r="K11798" i="1"/>
  <c r="M11798" i="1"/>
  <c r="K11799" i="1"/>
  <c r="M11799" i="1"/>
  <c r="K11800" i="1"/>
  <c r="M11800" i="1"/>
  <c r="K11801" i="1"/>
  <c r="M11801" i="1"/>
  <c r="K11802" i="1"/>
  <c r="M11802" i="1"/>
  <c r="K11803" i="1"/>
  <c r="M11803" i="1"/>
  <c r="K11804" i="1"/>
  <c r="M11804" i="1"/>
  <c r="K11805" i="1"/>
  <c r="M11805" i="1"/>
  <c r="K11806" i="1"/>
  <c r="M11806" i="1"/>
  <c r="K11807" i="1"/>
  <c r="M11807" i="1"/>
  <c r="K11808" i="1"/>
  <c r="M11808" i="1"/>
  <c r="K11809" i="1"/>
  <c r="M11809" i="1"/>
  <c r="K11810" i="1"/>
  <c r="M11810" i="1"/>
  <c r="K11811" i="1"/>
  <c r="M11811" i="1"/>
  <c r="K11812" i="1"/>
  <c r="M11812" i="1"/>
  <c r="K11813" i="1"/>
  <c r="M11813" i="1"/>
  <c r="K11814" i="1"/>
  <c r="M11814" i="1"/>
  <c r="K11815" i="1"/>
  <c r="M11815" i="1"/>
  <c r="K11816" i="1"/>
  <c r="M11816" i="1"/>
  <c r="K11817" i="1"/>
  <c r="M11817" i="1"/>
  <c r="K11750" i="1"/>
  <c r="M11750" i="1"/>
  <c r="K11751" i="1"/>
  <c r="M11751" i="1"/>
  <c r="K11752" i="1"/>
  <c r="M11752" i="1"/>
  <c r="K11753" i="1"/>
  <c r="M11753" i="1"/>
  <c r="K11754" i="1"/>
  <c r="M11754" i="1"/>
  <c r="K11755" i="1"/>
  <c r="M11755" i="1"/>
  <c r="K11756" i="1"/>
  <c r="M11756" i="1"/>
  <c r="K11757" i="1"/>
  <c r="M11757" i="1"/>
  <c r="K11758" i="1"/>
  <c r="M11758" i="1"/>
  <c r="K11759" i="1"/>
  <c r="M11759" i="1"/>
  <c r="K11760" i="1"/>
  <c r="M11760" i="1"/>
  <c r="K11761" i="1"/>
  <c r="M11761" i="1"/>
  <c r="K11762" i="1"/>
  <c r="M11762" i="1"/>
  <c r="K11763" i="1"/>
  <c r="M11763" i="1"/>
  <c r="K11764" i="1"/>
  <c r="M11764" i="1"/>
  <c r="K11765" i="1"/>
  <c r="M11765" i="1"/>
  <c r="K11766" i="1"/>
  <c r="M11766" i="1"/>
  <c r="K11767" i="1"/>
  <c r="M11767" i="1"/>
  <c r="K11768" i="1"/>
  <c r="M11768" i="1"/>
  <c r="K11769" i="1"/>
  <c r="M11769" i="1"/>
  <c r="K11770" i="1"/>
  <c r="M11770" i="1"/>
  <c r="K11771" i="1"/>
  <c r="M11771" i="1"/>
  <c r="K11772" i="1"/>
  <c r="M11772" i="1"/>
  <c r="K11773" i="1"/>
  <c r="M11773" i="1"/>
  <c r="K11774" i="1"/>
  <c r="M11774" i="1"/>
  <c r="K11775" i="1"/>
  <c r="M11775" i="1"/>
  <c r="K11776" i="1"/>
  <c r="M11776" i="1"/>
  <c r="K11777" i="1"/>
  <c r="M11777" i="1"/>
  <c r="K11778" i="1"/>
  <c r="M11778" i="1"/>
  <c r="K11779" i="1"/>
  <c r="M11779" i="1"/>
  <c r="K11780" i="1"/>
  <c r="M11780" i="1"/>
  <c r="K11781" i="1"/>
  <c r="M11781" i="1"/>
  <c r="K11782" i="1"/>
  <c r="M11782" i="1"/>
  <c r="K11783" i="1"/>
  <c r="M11783" i="1"/>
  <c r="K11784" i="1"/>
  <c r="M11784" i="1"/>
  <c r="K11785" i="1"/>
  <c r="M11785" i="1"/>
  <c r="K11786" i="1"/>
  <c r="M11786" i="1"/>
  <c r="K11787" i="1"/>
  <c r="M11787" i="1"/>
  <c r="K11788" i="1"/>
  <c r="M11788" i="1"/>
  <c r="K11789" i="1"/>
  <c r="M11789" i="1"/>
  <c r="K11790" i="1"/>
  <c r="M11790" i="1"/>
  <c r="K11818" i="1"/>
  <c r="M11818" i="1"/>
  <c r="K11819" i="1"/>
  <c r="L11819" i="1"/>
  <c r="M11819" i="1"/>
  <c r="K11820" i="1"/>
  <c r="L11820" i="1"/>
  <c r="M11820" i="1"/>
  <c r="K11821" i="1"/>
  <c r="L11821" i="1"/>
  <c r="M11821" i="1"/>
  <c r="K11822" i="1"/>
  <c r="L11822" i="1"/>
  <c r="M11822" i="1"/>
  <c r="K11823" i="1"/>
  <c r="L11823" i="1"/>
  <c r="M11823" i="1"/>
  <c r="K11824" i="1"/>
  <c r="L11824" i="1"/>
  <c r="M11824" i="1"/>
  <c r="K11841" i="1"/>
  <c r="M11841" i="1"/>
  <c r="K11842" i="1"/>
  <c r="M11842" i="1"/>
  <c r="K11843" i="1"/>
  <c r="M11843" i="1"/>
  <c r="K11844" i="1"/>
  <c r="M11844" i="1"/>
  <c r="K11845" i="1"/>
  <c r="M11845" i="1"/>
  <c r="K11846" i="1"/>
  <c r="M11846" i="1"/>
  <c r="K11847" i="1"/>
  <c r="M11847" i="1"/>
  <c r="K11848" i="1"/>
  <c r="M11848" i="1"/>
  <c r="K11849" i="1"/>
  <c r="M11849" i="1"/>
  <c r="K11850" i="1"/>
  <c r="M11850" i="1"/>
  <c r="K11851" i="1"/>
  <c r="M11851" i="1"/>
  <c r="K11852" i="1"/>
  <c r="M11852" i="1"/>
  <c r="K11853" i="1"/>
  <c r="M11853" i="1"/>
  <c r="K11854" i="1"/>
  <c r="M11854" i="1"/>
  <c r="K11855" i="1"/>
  <c r="M11855" i="1"/>
  <c r="K11856" i="1"/>
  <c r="M11856" i="1"/>
  <c r="K11857" i="1"/>
  <c r="M11857" i="1"/>
  <c r="K11825" i="1"/>
  <c r="M11825" i="1"/>
  <c r="K11826" i="1"/>
  <c r="M11826" i="1"/>
  <c r="K11827" i="1"/>
  <c r="M11827" i="1"/>
  <c r="K11828" i="1"/>
  <c r="M11828" i="1"/>
  <c r="K11829" i="1"/>
  <c r="M11829" i="1"/>
  <c r="K11830" i="1"/>
  <c r="M11830" i="1"/>
  <c r="K11831" i="1"/>
  <c r="M11831" i="1"/>
  <c r="K11832" i="1"/>
  <c r="M11832" i="1"/>
  <c r="K11833" i="1"/>
  <c r="M11833" i="1"/>
  <c r="K11834" i="1"/>
  <c r="M11834" i="1"/>
  <c r="K11835" i="1"/>
  <c r="M11835" i="1"/>
  <c r="K11836" i="1"/>
  <c r="M11836" i="1"/>
  <c r="K11837" i="1"/>
  <c r="M11837" i="1"/>
  <c r="K11838" i="1"/>
  <c r="M11838" i="1"/>
  <c r="K11839" i="1"/>
  <c r="M11839" i="1"/>
  <c r="K11840" i="1"/>
  <c r="M11840" i="1"/>
  <c r="K11858" i="1"/>
  <c r="M11858" i="1"/>
  <c r="K12031" i="1"/>
  <c r="L12031" i="1"/>
  <c r="M12031" i="1"/>
  <c r="K11859" i="1"/>
  <c r="L11859" i="1"/>
  <c r="M11859" i="1"/>
  <c r="K11860" i="1"/>
  <c r="L11860" i="1"/>
  <c r="M11860" i="1"/>
  <c r="K11861" i="1"/>
  <c r="L11861" i="1"/>
  <c r="M11861" i="1"/>
  <c r="K11877" i="1"/>
  <c r="M11877" i="1"/>
  <c r="K11878" i="1"/>
  <c r="M11878" i="1"/>
  <c r="K11879" i="1"/>
  <c r="M11879" i="1"/>
  <c r="K11880" i="1"/>
  <c r="M11880" i="1"/>
  <c r="K11881" i="1"/>
  <c r="M11881" i="1"/>
  <c r="K11882" i="1"/>
  <c r="M11882" i="1"/>
  <c r="K11883" i="1"/>
  <c r="M11883" i="1"/>
  <c r="K11884" i="1"/>
  <c r="M11884" i="1"/>
  <c r="K11885" i="1"/>
  <c r="M11885" i="1"/>
  <c r="K11886" i="1"/>
  <c r="M11886" i="1"/>
  <c r="K11887" i="1"/>
  <c r="M11887" i="1"/>
  <c r="K11888" i="1"/>
  <c r="M11888" i="1"/>
  <c r="K11889" i="1"/>
  <c r="M11889" i="1"/>
  <c r="K11890" i="1"/>
  <c r="M11890" i="1"/>
  <c r="K11891" i="1"/>
  <c r="M11891" i="1"/>
  <c r="K11892" i="1"/>
  <c r="M11892" i="1"/>
  <c r="K11893" i="1"/>
  <c r="M11893" i="1"/>
  <c r="K11894" i="1"/>
  <c r="M11894" i="1"/>
  <c r="K11895" i="1"/>
  <c r="M11895" i="1"/>
  <c r="K11896" i="1"/>
  <c r="M11896" i="1"/>
  <c r="K11897" i="1"/>
  <c r="M11897" i="1"/>
  <c r="K11898" i="1"/>
  <c r="M11898" i="1"/>
  <c r="K11862" i="1"/>
  <c r="M11862" i="1"/>
  <c r="K11863" i="1"/>
  <c r="M11863" i="1"/>
  <c r="K11864" i="1"/>
  <c r="M11864" i="1"/>
  <c r="K11865" i="1"/>
  <c r="M11865" i="1"/>
  <c r="K11866" i="1"/>
  <c r="M11866" i="1"/>
  <c r="K11867" i="1"/>
  <c r="M11867" i="1"/>
  <c r="K11868" i="1"/>
  <c r="M11868" i="1"/>
  <c r="K11869" i="1"/>
  <c r="M11869" i="1"/>
  <c r="K11870" i="1"/>
  <c r="M11870" i="1"/>
  <c r="K11871" i="1"/>
  <c r="M11871" i="1"/>
  <c r="K11872" i="1"/>
  <c r="M11872" i="1"/>
  <c r="K11873" i="1"/>
  <c r="M11873" i="1"/>
  <c r="K11874" i="1"/>
  <c r="M11874" i="1"/>
  <c r="K11875" i="1"/>
  <c r="M11875" i="1"/>
  <c r="K11876" i="1"/>
  <c r="M11876" i="1"/>
  <c r="K11899" i="1"/>
  <c r="L11899" i="1"/>
  <c r="M11899" i="1"/>
  <c r="K11900" i="1"/>
  <c r="L11900" i="1"/>
  <c r="M11900" i="1"/>
  <c r="K11901" i="1"/>
  <c r="L11901" i="1"/>
  <c r="M11901" i="1"/>
  <c r="K11902" i="1"/>
  <c r="L11902" i="1"/>
  <c r="M11902" i="1"/>
  <c r="K11903" i="1"/>
  <c r="L11903" i="1"/>
  <c r="M11903" i="1"/>
  <c r="K11904" i="1"/>
  <c r="L11904" i="1"/>
  <c r="M11904" i="1"/>
  <c r="K11905" i="1"/>
  <c r="L11905" i="1"/>
  <c r="M11905" i="1"/>
  <c r="K11906" i="1"/>
  <c r="L11906" i="1"/>
  <c r="M11906" i="1"/>
  <c r="K11907" i="1"/>
  <c r="L11907" i="1"/>
  <c r="M11907" i="1"/>
  <c r="K11908" i="1"/>
  <c r="L11908" i="1"/>
  <c r="M11908" i="1"/>
  <c r="K11909" i="1"/>
  <c r="L11909" i="1"/>
  <c r="M11909" i="1"/>
  <c r="K11912" i="1"/>
  <c r="M11912" i="1"/>
  <c r="K11913" i="1"/>
  <c r="M11913" i="1"/>
  <c r="K11914" i="1"/>
  <c r="M11914" i="1"/>
  <c r="K11915" i="1"/>
  <c r="M11915" i="1"/>
  <c r="K11916" i="1"/>
  <c r="M11916" i="1"/>
  <c r="K11917" i="1"/>
  <c r="M11917" i="1"/>
  <c r="K11918" i="1"/>
  <c r="M11918" i="1"/>
  <c r="K11919" i="1"/>
  <c r="M11919" i="1"/>
  <c r="K11910" i="1"/>
  <c r="M11910" i="1"/>
  <c r="K11911" i="1"/>
  <c r="M11911" i="1"/>
  <c r="K11920" i="1"/>
  <c r="L11920" i="1"/>
  <c r="M11920" i="1"/>
  <c r="K11921" i="1"/>
  <c r="L11921" i="1"/>
  <c r="M11921" i="1"/>
  <c r="K11922" i="1"/>
  <c r="L11922" i="1"/>
  <c r="M11922" i="1"/>
  <c r="K11923" i="1"/>
  <c r="L11923" i="1"/>
  <c r="M11923" i="1"/>
  <c r="K11924" i="1"/>
  <c r="L11924" i="1"/>
  <c r="M11924" i="1"/>
  <c r="K11925" i="1"/>
  <c r="L11925" i="1"/>
  <c r="M11925" i="1"/>
  <c r="K11926" i="1"/>
  <c r="L11926" i="1"/>
  <c r="M11926" i="1"/>
  <c r="K11927" i="1"/>
  <c r="L11927" i="1"/>
  <c r="M11927" i="1"/>
  <c r="K11928" i="1"/>
  <c r="L11928" i="1"/>
  <c r="M11928" i="1"/>
  <c r="K11929" i="1"/>
  <c r="L11929" i="1"/>
  <c r="M11929" i="1"/>
  <c r="K11930" i="1"/>
  <c r="L11930" i="1"/>
  <c r="M11930" i="1"/>
  <c r="K11931" i="1"/>
  <c r="L11931" i="1"/>
  <c r="M11931" i="1"/>
  <c r="K11932" i="1"/>
  <c r="L11932" i="1"/>
  <c r="M11932" i="1"/>
  <c r="K11933" i="1"/>
  <c r="L11933" i="1"/>
  <c r="M11933" i="1"/>
  <c r="K11947" i="1"/>
  <c r="M11947" i="1"/>
  <c r="K11948" i="1"/>
  <c r="M11948" i="1"/>
  <c r="K11949" i="1"/>
  <c r="M11949" i="1"/>
  <c r="K11950" i="1"/>
  <c r="M11950" i="1"/>
  <c r="K11951" i="1"/>
  <c r="M11951" i="1"/>
  <c r="K11952" i="1"/>
  <c r="M11952" i="1"/>
  <c r="K11953" i="1"/>
  <c r="M11953" i="1"/>
  <c r="K11934" i="1"/>
  <c r="M11934" i="1"/>
  <c r="K11935" i="1"/>
  <c r="M11935" i="1"/>
  <c r="K11936" i="1"/>
  <c r="M11936" i="1"/>
  <c r="K11937" i="1"/>
  <c r="M11937" i="1"/>
  <c r="K11938" i="1"/>
  <c r="M11938" i="1"/>
  <c r="K11939" i="1"/>
  <c r="M11939" i="1"/>
  <c r="K11940" i="1"/>
  <c r="M11940" i="1"/>
  <c r="K11941" i="1"/>
  <c r="M11941" i="1"/>
  <c r="K11942" i="1"/>
  <c r="M11942" i="1"/>
  <c r="K11943" i="1"/>
  <c r="M11943" i="1"/>
  <c r="K11944" i="1"/>
  <c r="M11944" i="1"/>
  <c r="K11945" i="1"/>
  <c r="M11945" i="1"/>
  <c r="K11946" i="1"/>
  <c r="M11946" i="1"/>
  <c r="K11954" i="1"/>
  <c r="L11954" i="1"/>
  <c r="M11954" i="1"/>
  <c r="K11955" i="1"/>
  <c r="M11955" i="1"/>
  <c r="K11957" i="1"/>
  <c r="L11957" i="1"/>
  <c r="M11957" i="1"/>
  <c r="K11958" i="1"/>
  <c r="L11958" i="1"/>
  <c r="M11958" i="1"/>
  <c r="K11961" i="1"/>
  <c r="M11961" i="1"/>
  <c r="K11962" i="1"/>
  <c r="M11962" i="1"/>
  <c r="K11959" i="1"/>
  <c r="M11959" i="1"/>
  <c r="K11960" i="1"/>
  <c r="M11960" i="1"/>
  <c r="K11963" i="1"/>
  <c r="L11963" i="1"/>
  <c r="M11963" i="1"/>
  <c r="K11972" i="1"/>
  <c r="M11972" i="1"/>
  <c r="K11973" i="1"/>
  <c r="M11973" i="1"/>
  <c r="K11974" i="1"/>
  <c r="M11974" i="1"/>
  <c r="K11975" i="1"/>
  <c r="M11975" i="1"/>
  <c r="K11976" i="1"/>
  <c r="M11976" i="1"/>
  <c r="K11977" i="1"/>
  <c r="M11977" i="1"/>
  <c r="K11978" i="1"/>
  <c r="M11978" i="1"/>
  <c r="K11979" i="1"/>
  <c r="M11979" i="1"/>
  <c r="K11980" i="1"/>
  <c r="M11980" i="1"/>
  <c r="K11981" i="1"/>
  <c r="M11981" i="1"/>
  <c r="K11982" i="1"/>
  <c r="M11982" i="1"/>
  <c r="K11983" i="1"/>
  <c r="M11983" i="1"/>
  <c r="K11984" i="1"/>
  <c r="M11984" i="1"/>
  <c r="K11985" i="1"/>
  <c r="M11985" i="1"/>
  <c r="K11986" i="1"/>
  <c r="M11986" i="1"/>
  <c r="K11987" i="1"/>
  <c r="M11987" i="1"/>
  <c r="K11988" i="1"/>
  <c r="M11988" i="1"/>
  <c r="K11989" i="1"/>
  <c r="M11989" i="1"/>
  <c r="K11964" i="1"/>
  <c r="M11964" i="1"/>
  <c r="K11965" i="1"/>
  <c r="M11965" i="1"/>
  <c r="K11966" i="1"/>
  <c r="M11966" i="1"/>
  <c r="K11967" i="1"/>
  <c r="M11967" i="1"/>
  <c r="K11968" i="1"/>
  <c r="M11968" i="1"/>
  <c r="K11969" i="1"/>
  <c r="M11969" i="1"/>
  <c r="K11970" i="1"/>
  <c r="M11970" i="1"/>
  <c r="K11971" i="1"/>
  <c r="M11971" i="1"/>
  <c r="K11990" i="1"/>
  <c r="L11990" i="1"/>
  <c r="M11990" i="1"/>
  <c r="K11991" i="1"/>
  <c r="L11991" i="1"/>
  <c r="M11991" i="1"/>
  <c r="K11992" i="1"/>
  <c r="L11992" i="1"/>
  <c r="M11992" i="1"/>
  <c r="K11993" i="1"/>
  <c r="L11993" i="1"/>
  <c r="M11993" i="1"/>
  <c r="K11994" i="1"/>
  <c r="L11994" i="1"/>
  <c r="M11994" i="1"/>
  <c r="K11995" i="1"/>
  <c r="L11995" i="1"/>
  <c r="M11995" i="1"/>
  <c r="K11996" i="1"/>
  <c r="L11996" i="1"/>
  <c r="M11996" i="1"/>
  <c r="K11997" i="1"/>
  <c r="L11997" i="1"/>
  <c r="M11997" i="1"/>
  <c r="K11998" i="1"/>
  <c r="L11998" i="1"/>
  <c r="M11998" i="1"/>
  <c r="K11999" i="1"/>
  <c r="L11999" i="1"/>
  <c r="M11999" i="1"/>
  <c r="K12000" i="1"/>
  <c r="L12000" i="1"/>
  <c r="M12000" i="1"/>
  <c r="K12001" i="1"/>
  <c r="L12001" i="1"/>
  <c r="M12001" i="1"/>
  <c r="K12002" i="1"/>
  <c r="L12002" i="1"/>
  <c r="M12002" i="1"/>
  <c r="K12003" i="1"/>
  <c r="L12003" i="1"/>
  <c r="M12003" i="1"/>
  <c r="K12004" i="1"/>
  <c r="L12004" i="1"/>
  <c r="M12004" i="1"/>
  <c r="K12005" i="1"/>
  <c r="L12005" i="1"/>
  <c r="M12005" i="1"/>
  <c r="K12006" i="1"/>
  <c r="L12006" i="1"/>
  <c r="M12006" i="1"/>
  <c r="K12007" i="1"/>
  <c r="L12007" i="1"/>
  <c r="M12007" i="1"/>
  <c r="K12008" i="1"/>
  <c r="L12008" i="1"/>
  <c r="M12008" i="1"/>
  <c r="K12009" i="1"/>
  <c r="L12009" i="1"/>
  <c r="M12009" i="1"/>
  <c r="K12010" i="1"/>
  <c r="L12010" i="1"/>
  <c r="M12010" i="1"/>
  <c r="K12011" i="1"/>
  <c r="L12011" i="1"/>
  <c r="M12011" i="1"/>
  <c r="K12012" i="1"/>
  <c r="L12012" i="1"/>
  <c r="M12012" i="1"/>
  <c r="K12013" i="1"/>
  <c r="L12013" i="1"/>
  <c r="M12013" i="1"/>
  <c r="K12014" i="1"/>
  <c r="L12014" i="1"/>
  <c r="M12014" i="1"/>
  <c r="K12015" i="1"/>
  <c r="L12015" i="1"/>
  <c r="M12015" i="1"/>
  <c r="K12016" i="1"/>
  <c r="L12016" i="1"/>
  <c r="M12016" i="1"/>
  <c r="K12247" i="1"/>
  <c r="M12247" i="1"/>
  <c r="K12248" i="1"/>
  <c r="M12248" i="1"/>
  <c r="K12249" i="1"/>
  <c r="M12249" i="1"/>
  <c r="K12250" i="1"/>
  <c r="M12250" i="1"/>
  <c r="K12251" i="1"/>
  <c r="M12251" i="1"/>
  <c r="K12252" i="1"/>
  <c r="M12252" i="1"/>
  <c r="K12253" i="1"/>
  <c r="M12253" i="1"/>
  <c r="K12254" i="1"/>
  <c r="M12254" i="1"/>
  <c r="K12255" i="1"/>
  <c r="M12255" i="1"/>
  <c r="K12256" i="1"/>
  <c r="M12256" i="1"/>
  <c r="K12257" i="1"/>
  <c r="M12257" i="1"/>
  <c r="K12258" i="1"/>
  <c r="M12258" i="1"/>
  <c r="K12259" i="1"/>
  <c r="M12259" i="1"/>
  <c r="K12260" i="1"/>
  <c r="M12260" i="1"/>
  <c r="K12261" i="1"/>
  <c r="M12261" i="1"/>
  <c r="K12262" i="1"/>
  <c r="M12262" i="1"/>
  <c r="K12263" i="1"/>
  <c r="M12263" i="1"/>
  <c r="K12264" i="1"/>
  <c r="M12264" i="1"/>
  <c r="K12265" i="1"/>
  <c r="M12265" i="1"/>
  <c r="K12266" i="1"/>
  <c r="M12266" i="1"/>
  <c r="K12267" i="1"/>
  <c r="M12267" i="1"/>
  <c r="K12268" i="1"/>
  <c r="M12268" i="1"/>
  <c r="K12269" i="1"/>
  <c r="M12269" i="1"/>
  <c r="K12270" i="1"/>
  <c r="M12270" i="1"/>
  <c r="K12271" i="1"/>
  <c r="M12271" i="1"/>
  <c r="K12272" i="1"/>
  <c r="M12272" i="1"/>
  <c r="K12273" i="1"/>
  <c r="M12273" i="1"/>
  <c r="K12274" i="1"/>
  <c r="M12274" i="1"/>
  <c r="K12275" i="1"/>
  <c r="M12275" i="1"/>
  <c r="K12276" i="1"/>
  <c r="M12276" i="1"/>
  <c r="K12277" i="1"/>
  <c r="M12277" i="1"/>
  <c r="K12278" i="1"/>
  <c r="M12278" i="1"/>
  <c r="K12279" i="1"/>
  <c r="M12279" i="1"/>
  <c r="K12280" i="1"/>
  <c r="M12280" i="1"/>
  <c r="K12281" i="1"/>
  <c r="M12281" i="1"/>
  <c r="K12282" i="1"/>
  <c r="M12282" i="1"/>
  <c r="K12283" i="1"/>
  <c r="M12283" i="1"/>
  <c r="K12284" i="1"/>
  <c r="M12284" i="1"/>
  <c r="K12285" i="1"/>
  <c r="M12285" i="1"/>
  <c r="K12286" i="1"/>
  <c r="M12286" i="1"/>
  <c r="K12287" i="1"/>
  <c r="M12287" i="1"/>
  <c r="K12288" i="1"/>
  <c r="M12288" i="1"/>
  <c r="K12289" i="1"/>
  <c r="M12289" i="1"/>
  <c r="K12290" i="1"/>
  <c r="M12290" i="1"/>
  <c r="K12291" i="1"/>
  <c r="M12291" i="1"/>
  <c r="K12292" i="1"/>
  <c r="M12292" i="1"/>
  <c r="K12293" i="1"/>
  <c r="M12293" i="1"/>
  <c r="K12294" i="1"/>
  <c r="M12294" i="1"/>
  <c r="K12295" i="1"/>
  <c r="M12295" i="1"/>
  <c r="K12296" i="1"/>
  <c r="M12296" i="1"/>
  <c r="K12297" i="1"/>
  <c r="M12297" i="1"/>
  <c r="K12298" i="1"/>
  <c r="M12298" i="1"/>
  <c r="K12299" i="1"/>
  <c r="M12299" i="1"/>
  <c r="K12300" i="1"/>
  <c r="M12300" i="1"/>
  <c r="K12301" i="1"/>
  <c r="M12301" i="1"/>
  <c r="K12302" i="1"/>
  <c r="M12302" i="1"/>
  <c r="K12303" i="1"/>
  <c r="M12303" i="1"/>
  <c r="K12304" i="1"/>
  <c r="M12304" i="1"/>
  <c r="K12305" i="1"/>
  <c r="M12305" i="1"/>
  <c r="K12306" i="1"/>
  <c r="M12306" i="1"/>
  <c r="K12307" i="1"/>
  <c r="M12307" i="1"/>
  <c r="K12308" i="1"/>
  <c r="M12308" i="1"/>
  <c r="K12309" i="1"/>
  <c r="M12309" i="1"/>
  <c r="K12310" i="1"/>
  <c r="M12310" i="1"/>
  <c r="K12311" i="1"/>
  <c r="M12311" i="1"/>
  <c r="K12312" i="1"/>
  <c r="M12312" i="1"/>
  <c r="K12313" i="1"/>
  <c r="M12313" i="1"/>
  <c r="K12314" i="1"/>
  <c r="M12314" i="1"/>
  <c r="K12315" i="1"/>
  <c r="M12315" i="1"/>
  <c r="K12316" i="1"/>
  <c r="M12316" i="1"/>
  <c r="K12317" i="1"/>
  <c r="M12317" i="1"/>
  <c r="K12318" i="1"/>
  <c r="M12318" i="1"/>
  <c r="K12131" i="1"/>
  <c r="M12131" i="1"/>
  <c r="K12132" i="1"/>
  <c r="M12132" i="1"/>
  <c r="K12133" i="1"/>
  <c r="M12133" i="1"/>
  <c r="K12134" i="1"/>
  <c r="M12134" i="1"/>
  <c r="K12135" i="1"/>
  <c r="M12135" i="1"/>
  <c r="K12136" i="1"/>
  <c r="M12136" i="1"/>
  <c r="K12137" i="1"/>
  <c r="M12137" i="1"/>
  <c r="K12138" i="1"/>
  <c r="M12138" i="1"/>
  <c r="K12139" i="1"/>
  <c r="M12139" i="1"/>
  <c r="K12140" i="1"/>
  <c r="M12140" i="1"/>
  <c r="K12141" i="1"/>
  <c r="M12141" i="1"/>
  <c r="K12142" i="1"/>
  <c r="M12142" i="1"/>
  <c r="K12143" i="1"/>
  <c r="M12143" i="1"/>
  <c r="K12144" i="1"/>
  <c r="M12144" i="1"/>
  <c r="K12145" i="1"/>
  <c r="M12145" i="1"/>
  <c r="K12146" i="1"/>
  <c r="M12146" i="1"/>
  <c r="K12147" i="1"/>
  <c r="M12147" i="1"/>
  <c r="K12148" i="1"/>
  <c r="M12148" i="1"/>
  <c r="K12149" i="1"/>
  <c r="M12149" i="1"/>
  <c r="K12150" i="1"/>
  <c r="M12150" i="1"/>
  <c r="K12151" i="1"/>
  <c r="M12151" i="1"/>
  <c r="K12152" i="1"/>
  <c r="M12152" i="1"/>
  <c r="K12153" i="1"/>
  <c r="M12153" i="1"/>
  <c r="K12154" i="1"/>
  <c r="M12154" i="1"/>
  <c r="K12155" i="1"/>
  <c r="M12155" i="1"/>
  <c r="K12156" i="1"/>
  <c r="M12156" i="1"/>
  <c r="K12157" i="1"/>
  <c r="M12157" i="1"/>
  <c r="K12158" i="1"/>
  <c r="M12158" i="1"/>
  <c r="K12159" i="1"/>
  <c r="M12159" i="1"/>
  <c r="K12160" i="1"/>
  <c r="M12160" i="1"/>
  <c r="K12161" i="1"/>
  <c r="M12161" i="1"/>
  <c r="K12162" i="1"/>
  <c r="M12162" i="1"/>
  <c r="K12163" i="1"/>
  <c r="M12163" i="1"/>
  <c r="K12164" i="1"/>
  <c r="M12164" i="1"/>
  <c r="K12165" i="1"/>
  <c r="M12165" i="1"/>
  <c r="K12166" i="1"/>
  <c r="M12166" i="1"/>
  <c r="K12167" i="1"/>
  <c r="M12167" i="1"/>
  <c r="K12168" i="1"/>
  <c r="M12168" i="1"/>
  <c r="K12169" i="1"/>
  <c r="M12169" i="1"/>
  <c r="K12170" i="1"/>
  <c r="M12170" i="1"/>
  <c r="K12171" i="1"/>
  <c r="M12171" i="1"/>
  <c r="K12172" i="1"/>
  <c r="M12172" i="1"/>
  <c r="K12173" i="1"/>
  <c r="M12173" i="1"/>
  <c r="K12174" i="1"/>
  <c r="M12174" i="1"/>
  <c r="K12175" i="1"/>
  <c r="M12175" i="1"/>
  <c r="K12176" i="1"/>
  <c r="M12176" i="1"/>
  <c r="K12177" i="1"/>
  <c r="M12177" i="1"/>
  <c r="K12178" i="1"/>
  <c r="M12178" i="1"/>
  <c r="K12179" i="1"/>
  <c r="M12179" i="1"/>
  <c r="K12180" i="1"/>
  <c r="M12180" i="1"/>
  <c r="K12181" i="1"/>
  <c r="M12181" i="1"/>
  <c r="K12182" i="1"/>
  <c r="M12182" i="1"/>
  <c r="K12183" i="1"/>
  <c r="M12183" i="1"/>
  <c r="K12184" i="1"/>
  <c r="M12184" i="1"/>
  <c r="K12185" i="1"/>
  <c r="M12185" i="1"/>
  <c r="K12186" i="1"/>
  <c r="M12186" i="1"/>
  <c r="K12187" i="1"/>
  <c r="M12187" i="1"/>
  <c r="K12188" i="1"/>
  <c r="M12188" i="1"/>
  <c r="K12189" i="1"/>
  <c r="M12189" i="1"/>
  <c r="K12190" i="1"/>
  <c r="M12190" i="1"/>
  <c r="K12191" i="1"/>
  <c r="M12191" i="1"/>
  <c r="K12192" i="1"/>
  <c r="M12192" i="1"/>
  <c r="K12193" i="1"/>
  <c r="M12193" i="1"/>
  <c r="K12194" i="1"/>
  <c r="M12194" i="1"/>
  <c r="K12195" i="1"/>
  <c r="M12195" i="1"/>
  <c r="K12196" i="1"/>
  <c r="M12196" i="1"/>
  <c r="K12197" i="1"/>
  <c r="M12197" i="1"/>
  <c r="K12198" i="1"/>
  <c r="M12198" i="1"/>
  <c r="K12199" i="1"/>
  <c r="M12199" i="1"/>
  <c r="K12200" i="1"/>
  <c r="M12200" i="1"/>
  <c r="K12201" i="1"/>
  <c r="M12201" i="1"/>
  <c r="K12202" i="1"/>
  <c r="M12202" i="1"/>
  <c r="K12203" i="1"/>
  <c r="M12203" i="1"/>
  <c r="K12204" i="1"/>
  <c r="M12204" i="1"/>
  <c r="K12205" i="1"/>
  <c r="M12205" i="1"/>
  <c r="K12206" i="1"/>
  <c r="M12206" i="1"/>
  <c r="K12207" i="1"/>
  <c r="M12207" i="1"/>
  <c r="K12208" i="1"/>
  <c r="M12208" i="1"/>
  <c r="K12209" i="1"/>
  <c r="M12209" i="1"/>
  <c r="K12210" i="1"/>
  <c r="M12210" i="1"/>
  <c r="K12211" i="1"/>
  <c r="M12211" i="1"/>
  <c r="K12212" i="1"/>
  <c r="M12212" i="1"/>
  <c r="K12213" i="1"/>
  <c r="M12213" i="1"/>
  <c r="K12214" i="1"/>
  <c r="M12214" i="1"/>
  <c r="K12215" i="1"/>
  <c r="M12215" i="1"/>
  <c r="K12216" i="1"/>
  <c r="M12216" i="1"/>
  <c r="K12217" i="1"/>
  <c r="M12217" i="1"/>
  <c r="K12218" i="1"/>
  <c r="M12218" i="1"/>
  <c r="K12219" i="1"/>
  <c r="M12219" i="1"/>
  <c r="K12220" i="1"/>
  <c r="M12220" i="1"/>
  <c r="K12221" i="1"/>
  <c r="M12221" i="1"/>
  <c r="K12222" i="1"/>
  <c r="M12222" i="1"/>
  <c r="K12223" i="1"/>
  <c r="M12223" i="1"/>
  <c r="K12224" i="1"/>
  <c r="M12224" i="1"/>
  <c r="K12225" i="1"/>
  <c r="M12225" i="1"/>
  <c r="K12226" i="1"/>
  <c r="M12226" i="1"/>
  <c r="K12227" i="1"/>
  <c r="M12227" i="1"/>
  <c r="K12228" i="1"/>
  <c r="M12228" i="1"/>
  <c r="K12229" i="1"/>
  <c r="M12229" i="1"/>
  <c r="K12230" i="1"/>
  <c r="M12230" i="1"/>
  <c r="K12231" i="1"/>
  <c r="M12231" i="1"/>
  <c r="K12232" i="1"/>
  <c r="M12232" i="1"/>
  <c r="K12233" i="1"/>
  <c r="M12233" i="1"/>
  <c r="K12234" i="1"/>
  <c r="M12234" i="1"/>
  <c r="K12235" i="1"/>
  <c r="M12235" i="1"/>
  <c r="K12236" i="1"/>
  <c r="M12236" i="1"/>
  <c r="K12237" i="1"/>
  <c r="M12237" i="1"/>
  <c r="K12238" i="1"/>
  <c r="M12238" i="1"/>
  <c r="K12239" i="1"/>
  <c r="M12239" i="1"/>
  <c r="K12240" i="1"/>
  <c r="M12240" i="1"/>
  <c r="K12241" i="1"/>
  <c r="M12241" i="1"/>
  <c r="K12242" i="1"/>
  <c r="M12242" i="1"/>
  <c r="K12243" i="1"/>
  <c r="M12243" i="1"/>
  <c r="K12244" i="1"/>
  <c r="M12244" i="1"/>
  <c r="K12245" i="1"/>
  <c r="M12245" i="1"/>
  <c r="K12246" i="1"/>
  <c r="M12246" i="1"/>
  <c r="K12017" i="1"/>
  <c r="L12017" i="1"/>
  <c r="M12017" i="1"/>
  <c r="K12018" i="1"/>
  <c r="L12018" i="1"/>
  <c r="M12018" i="1"/>
  <c r="K12019" i="1"/>
  <c r="L12019" i="1"/>
  <c r="M12019" i="1"/>
  <c r="K12020" i="1"/>
  <c r="L12020" i="1"/>
  <c r="M12020" i="1"/>
  <c r="K12021" i="1"/>
  <c r="L12021" i="1"/>
  <c r="M12021" i="1"/>
  <c r="K12022" i="1"/>
  <c r="L12022" i="1"/>
  <c r="M12022" i="1"/>
  <c r="K12023" i="1"/>
  <c r="L12023" i="1"/>
  <c r="M12023" i="1"/>
  <c r="K12024" i="1"/>
  <c r="L12024" i="1"/>
  <c r="M12024" i="1"/>
  <c r="K12025" i="1"/>
  <c r="L12025" i="1"/>
  <c r="M12025" i="1"/>
  <c r="K12026" i="1"/>
  <c r="L12026" i="1"/>
  <c r="M12026" i="1"/>
  <c r="K12334" i="1"/>
  <c r="L12334" i="1"/>
  <c r="K12335" i="1"/>
  <c r="L12335" i="1"/>
  <c r="K12336" i="1"/>
  <c r="L12336" i="1"/>
  <c r="K12337" i="1"/>
  <c r="L12337" i="1"/>
  <c r="K12338" i="1"/>
  <c r="L12338" i="1"/>
  <c r="K12339" i="1"/>
  <c r="L12339" i="1"/>
  <c r="K12340" i="1"/>
  <c r="L12340" i="1"/>
  <c r="K12341" i="1"/>
  <c r="L12341" i="1"/>
  <c r="K12342" i="1"/>
  <c r="L12342" i="1"/>
  <c r="K12343" i="1"/>
  <c r="L12343" i="1"/>
  <c r="K12344" i="1"/>
  <c r="L12344" i="1"/>
  <c r="K12345" i="1"/>
  <c r="L12345" i="1"/>
  <c r="K12346" i="1"/>
  <c r="L12346" i="1"/>
  <c r="K12347" i="1"/>
  <c r="L12347" i="1"/>
  <c r="K12348" i="1"/>
  <c r="L12348" i="1"/>
  <c r="K12349" i="1"/>
  <c r="L12349" i="1"/>
  <c r="K12350" i="1"/>
  <c r="L12350" i="1"/>
  <c r="K12351" i="1"/>
  <c r="L12351" i="1"/>
  <c r="K12319" i="1"/>
  <c r="L12319" i="1"/>
  <c r="K12320" i="1"/>
  <c r="L12320" i="1"/>
  <c r="K12321" i="1"/>
  <c r="L12321" i="1"/>
  <c r="K12322" i="1"/>
  <c r="L12322" i="1"/>
  <c r="K12323" i="1"/>
  <c r="L12323" i="1"/>
  <c r="K12324" i="1"/>
  <c r="L12324" i="1"/>
  <c r="K12325" i="1"/>
  <c r="L12325" i="1"/>
  <c r="K12326" i="1"/>
  <c r="L12326" i="1"/>
  <c r="K12327" i="1"/>
  <c r="L12327" i="1"/>
  <c r="K12328" i="1"/>
  <c r="L12328" i="1"/>
  <c r="K12329" i="1"/>
  <c r="L12329" i="1"/>
  <c r="K12330" i="1"/>
  <c r="L12330" i="1"/>
  <c r="K12331" i="1"/>
  <c r="L12331" i="1"/>
  <c r="K12332" i="1"/>
  <c r="L12332" i="1"/>
  <c r="K12333" i="1"/>
  <c r="L12333" i="1"/>
  <c r="K12027" i="1"/>
  <c r="L12027" i="1"/>
  <c r="M12027" i="1"/>
  <c r="K12028" i="1"/>
  <c r="L12028" i="1"/>
  <c r="M12028" i="1"/>
  <c r="K12029" i="1"/>
  <c r="L12029" i="1"/>
  <c r="M12029" i="1"/>
  <c r="K12030" i="1"/>
  <c r="L12030" i="1"/>
  <c r="M12030" i="1"/>
  <c r="K12379" i="1"/>
  <c r="L12379" i="1"/>
  <c r="K12380" i="1"/>
  <c r="L12380" i="1"/>
  <c r="K12381" i="1"/>
  <c r="L12381" i="1"/>
  <c r="K12382" i="1"/>
  <c r="L12382" i="1"/>
  <c r="K12383" i="1"/>
  <c r="L12383" i="1"/>
  <c r="K12384" i="1"/>
  <c r="L12384" i="1"/>
  <c r="K12385" i="1"/>
  <c r="L12385" i="1"/>
  <c r="K12386" i="1"/>
  <c r="L12386" i="1"/>
  <c r="K12387" i="1"/>
  <c r="L12387" i="1"/>
  <c r="K12388" i="1"/>
  <c r="L12388" i="1"/>
  <c r="K12389" i="1"/>
  <c r="L12389" i="1"/>
  <c r="K12390" i="1"/>
  <c r="L12390" i="1"/>
  <c r="K12391" i="1"/>
  <c r="L12391" i="1"/>
  <c r="K12392" i="1"/>
  <c r="L12392" i="1"/>
  <c r="K12352" i="1"/>
  <c r="L12352" i="1"/>
  <c r="K12353" i="1"/>
  <c r="L12353" i="1"/>
  <c r="K12354" i="1"/>
  <c r="L12354" i="1"/>
  <c r="K12355" i="1"/>
  <c r="L12355" i="1"/>
  <c r="K12356" i="1"/>
  <c r="L12356" i="1"/>
  <c r="K12357" i="1"/>
  <c r="L12357" i="1"/>
  <c r="K12358" i="1"/>
  <c r="L12358" i="1"/>
  <c r="K12359" i="1"/>
  <c r="L12359" i="1"/>
  <c r="K12360" i="1"/>
  <c r="L12360" i="1"/>
  <c r="K12361" i="1"/>
  <c r="L12361" i="1"/>
  <c r="K12362" i="1"/>
  <c r="L12362" i="1"/>
  <c r="K12363" i="1"/>
  <c r="L12363" i="1"/>
  <c r="K12364" i="1"/>
  <c r="L12364" i="1"/>
  <c r="K12365" i="1"/>
  <c r="L12365" i="1"/>
  <c r="K12366" i="1"/>
  <c r="L12366" i="1"/>
  <c r="K12367" i="1"/>
  <c r="L12367" i="1"/>
  <c r="K12368" i="1"/>
  <c r="L12368" i="1"/>
  <c r="K12369" i="1"/>
  <c r="L12369" i="1"/>
  <c r="K12370" i="1"/>
  <c r="L12370" i="1"/>
  <c r="K12371" i="1"/>
  <c r="L12371" i="1"/>
  <c r="K12372" i="1"/>
  <c r="L12372" i="1"/>
  <c r="K12373" i="1"/>
  <c r="L12373" i="1"/>
  <c r="K12374" i="1"/>
  <c r="L12374" i="1"/>
  <c r="K12375" i="1"/>
  <c r="L12375" i="1"/>
  <c r="K12376" i="1"/>
  <c r="L12376" i="1"/>
  <c r="K12377" i="1"/>
  <c r="L12377" i="1"/>
  <c r="K12378" i="1"/>
  <c r="L12378" i="1"/>
  <c r="K12394" i="1"/>
  <c r="L12394" i="1"/>
  <c r="K12395" i="1"/>
  <c r="L12395" i="1"/>
  <c r="K12396" i="1"/>
  <c r="L12396" i="1"/>
  <c r="K12397" i="1"/>
  <c r="L12397" i="1"/>
  <c r="K12032" i="1"/>
  <c r="L12032" i="1"/>
  <c r="M12032" i="1"/>
  <c r="K12033" i="1"/>
  <c r="L12033" i="1"/>
  <c r="M12033" i="1"/>
  <c r="K12034" i="1"/>
  <c r="L12034" i="1"/>
  <c r="M12034" i="1"/>
  <c r="K12035" i="1"/>
  <c r="L12035" i="1"/>
  <c r="M12035" i="1"/>
  <c r="K12036" i="1"/>
  <c r="L12036" i="1"/>
  <c r="M12036" i="1"/>
  <c r="K12037" i="1"/>
  <c r="L12037" i="1"/>
  <c r="M12037" i="1"/>
  <c r="K12038" i="1"/>
  <c r="L12038" i="1"/>
  <c r="M12038" i="1"/>
  <c r="K12039" i="1"/>
  <c r="L12039" i="1"/>
  <c r="M12039" i="1"/>
  <c r="K12040" i="1"/>
  <c r="L12040" i="1"/>
  <c r="M12040" i="1"/>
  <c r="K12041" i="1"/>
  <c r="L12041" i="1"/>
  <c r="M12041" i="1"/>
  <c r="K12042" i="1"/>
  <c r="L12042" i="1"/>
  <c r="M12042" i="1"/>
  <c r="K12043" i="1"/>
  <c r="L12043" i="1"/>
  <c r="M12043" i="1"/>
  <c r="K12044" i="1"/>
  <c r="L12044" i="1"/>
  <c r="M12044" i="1"/>
  <c r="K12045" i="1"/>
  <c r="L12045" i="1"/>
  <c r="M12045" i="1"/>
  <c r="K12046" i="1"/>
  <c r="L12046" i="1"/>
  <c r="M12046" i="1"/>
  <c r="K12411" i="1"/>
  <c r="L12411" i="1"/>
  <c r="K12412" i="1"/>
  <c r="L12412" i="1"/>
  <c r="K12413" i="1"/>
  <c r="L12413" i="1"/>
  <c r="K12414" i="1"/>
  <c r="L12414" i="1"/>
  <c r="K12415" i="1"/>
  <c r="L12415" i="1"/>
  <c r="K12416" i="1"/>
  <c r="L12416" i="1"/>
  <c r="K12417" i="1"/>
  <c r="L12417" i="1"/>
  <c r="K12418" i="1"/>
  <c r="L12418" i="1"/>
  <c r="K12419" i="1"/>
  <c r="L12419" i="1"/>
  <c r="K12420" i="1"/>
  <c r="L12420" i="1"/>
  <c r="K12421" i="1"/>
  <c r="L12421" i="1"/>
  <c r="K12422" i="1"/>
  <c r="L12422" i="1"/>
  <c r="K12423" i="1"/>
  <c r="L12423" i="1"/>
  <c r="K12424" i="1"/>
  <c r="L12424" i="1"/>
  <c r="K12425" i="1"/>
  <c r="L12425" i="1"/>
  <c r="K12426" i="1"/>
  <c r="L12426" i="1"/>
  <c r="K12427" i="1"/>
  <c r="L12427" i="1"/>
  <c r="K12428" i="1"/>
  <c r="L12428" i="1"/>
  <c r="K12429" i="1"/>
  <c r="L12429" i="1"/>
  <c r="K12430" i="1"/>
  <c r="L12430" i="1"/>
  <c r="K12431" i="1"/>
  <c r="L12431" i="1"/>
  <c r="K12432" i="1"/>
  <c r="L12432" i="1"/>
  <c r="K12433" i="1"/>
  <c r="L12433" i="1"/>
  <c r="K12434" i="1"/>
  <c r="L12434" i="1"/>
  <c r="K12435" i="1"/>
  <c r="L12435" i="1"/>
  <c r="K12436" i="1"/>
  <c r="L12436" i="1"/>
  <c r="K12437" i="1"/>
  <c r="L12437" i="1"/>
  <c r="K12438" i="1"/>
  <c r="L12438" i="1"/>
  <c r="K12439" i="1"/>
  <c r="L12439" i="1"/>
  <c r="K12440" i="1"/>
  <c r="L12440" i="1"/>
  <c r="K12441" i="1"/>
  <c r="L12441" i="1"/>
  <c r="K12442" i="1"/>
  <c r="L12442" i="1"/>
  <c r="K12443" i="1"/>
  <c r="L12443" i="1"/>
  <c r="K12444" i="1"/>
  <c r="L12444" i="1"/>
  <c r="K12445" i="1"/>
  <c r="L12445" i="1"/>
  <c r="K12446" i="1"/>
  <c r="L12446" i="1"/>
  <c r="K12447" i="1"/>
  <c r="L12447" i="1"/>
  <c r="K12448" i="1"/>
  <c r="L12448" i="1"/>
  <c r="K12449" i="1"/>
  <c r="L12449" i="1"/>
  <c r="K12450" i="1"/>
  <c r="L12450" i="1"/>
  <c r="K12451" i="1"/>
  <c r="L12451" i="1"/>
  <c r="K12452" i="1"/>
  <c r="L12452" i="1"/>
  <c r="K12453" i="1"/>
  <c r="L12453" i="1"/>
  <c r="K12454" i="1"/>
  <c r="L12454" i="1"/>
  <c r="K12455" i="1"/>
  <c r="L12455" i="1"/>
  <c r="K12456" i="1"/>
  <c r="L12456" i="1"/>
  <c r="K12457" i="1"/>
  <c r="L12457" i="1"/>
  <c r="K12398" i="1"/>
  <c r="L12398" i="1"/>
  <c r="K12399" i="1"/>
  <c r="L12399" i="1"/>
  <c r="K12400" i="1"/>
  <c r="L12400" i="1"/>
  <c r="K12401" i="1"/>
  <c r="L12401" i="1"/>
  <c r="K12402" i="1"/>
  <c r="L12402" i="1"/>
  <c r="K12403" i="1"/>
  <c r="L12403" i="1"/>
  <c r="K12404" i="1"/>
  <c r="L12404" i="1"/>
  <c r="K12405" i="1"/>
  <c r="L12405" i="1"/>
  <c r="K12406" i="1"/>
  <c r="L12406" i="1"/>
  <c r="K12407" i="1"/>
  <c r="L12407" i="1"/>
  <c r="K12408" i="1"/>
  <c r="L12408" i="1"/>
  <c r="K12409" i="1"/>
  <c r="L12409" i="1"/>
  <c r="K12410" i="1"/>
  <c r="L12410" i="1"/>
  <c r="K12047" i="1"/>
  <c r="L12047" i="1"/>
  <c r="M12047" i="1"/>
  <c r="K12048" i="1"/>
  <c r="L12048" i="1"/>
  <c r="M12048" i="1"/>
  <c r="K12049" i="1"/>
  <c r="L12049" i="1"/>
  <c r="M12049" i="1"/>
  <c r="K12050" i="1"/>
  <c r="L12050" i="1"/>
  <c r="M12050" i="1"/>
  <c r="K12051" i="1"/>
  <c r="L12051" i="1"/>
  <c r="M12051" i="1"/>
  <c r="K12052" i="1"/>
  <c r="L12052" i="1"/>
  <c r="M12052" i="1"/>
  <c r="K12053" i="1"/>
  <c r="L12053" i="1"/>
  <c r="M12053" i="1"/>
  <c r="K12054" i="1"/>
  <c r="L12054" i="1"/>
  <c r="M12054" i="1"/>
  <c r="K12055" i="1"/>
  <c r="L12055" i="1"/>
  <c r="M12055" i="1"/>
  <c r="K12056" i="1"/>
  <c r="L12056" i="1"/>
  <c r="M12056" i="1"/>
  <c r="K12057" i="1"/>
  <c r="L12057" i="1"/>
  <c r="M12057" i="1"/>
  <c r="K12058" i="1"/>
  <c r="L12058" i="1"/>
  <c r="M12058" i="1"/>
  <c r="K12059" i="1"/>
  <c r="L12059" i="1"/>
  <c r="M12059" i="1"/>
  <c r="K12060" i="1"/>
  <c r="L12060" i="1"/>
  <c r="M12060" i="1"/>
  <c r="K12061" i="1"/>
  <c r="L12061" i="1"/>
  <c r="M12061" i="1"/>
  <c r="K12475" i="1"/>
  <c r="L12475" i="1"/>
  <c r="K12476" i="1"/>
  <c r="L12476" i="1"/>
  <c r="K12477" i="1"/>
  <c r="L12477" i="1"/>
  <c r="K12478" i="1"/>
  <c r="L12478" i="1"/>
  <c r="K12479" i="1"/>
  <c r="L12479" i="1"/>
  <c r="K12480" i="1"/>
  <c r="L12480" i="1"/>
  <c r="K12481" i="1"/>
  <c r="L12481" i="1"/>
  <c r="K12482" i="1"/>
  <c r="L12482" i="1"/>
  <c r="K12483" i="1"/>
  <c r="L12483" i="1"/>
  <c r="K12484" i="1"/>
  <c r="L12484" i="1"/>
  <c r="K12485" i="1"/>
  <c r="L12485" i="1"/>
  <c r="K12486" i="1"/>
  <c r="L12486" i="1"/>
  <c r="K12487" i="1"/>
  <c r="L12487" i="1"/>
  <c r="K12488" i="1"/>
  <c r="L12488" i="1"/>
  <c r="K12489" i="1"/>
  <c r="L12489" i="1"/>
  <c r="K12490" i="1"/>
  <c r="L12490" i="1"/>
  <c r="K12491" i="1"/>
  <c r="L12491" i="1"/>
  <c r="K12492" i="1"/>
  <c r="L12492" i="1"/>
  <c r="K12493" i="1"/>
  <c r="L12493" i="1"/>
  <c r="K12494" i="1"/>
  <c r="L12494" i="1"/>
  <c r="K12495" i="1"/>
  <c r="L12495" i="1"/>
  <c r="K12496" i="1"/>
  <c r="L12496" i="1"/>
  <c r="K12497" i="1"/>
  <c r="L12497" i="1"/>
  <c r="K12498" i="1"/>
  <c r="L12498" i="1"/>
  <c r="K12499" i="1"/>
  <c r="L12499" i="1"/>
  <c r="K12500" i="1"/>
  <c r="L12500" i="1"/>
  <c r="K12501" i="1"/>
  <c r="L12501" i="1"/>
  <c r="K12502" i="1"/>
  <c r="L12502" i="1"/>
  <c r="K12503" i="1"/>
  <c r="L12503" i="1"/>
  <c r="K12504" i="1"/>
  <c r="L12504" i="1"/>
  <c r="K12505" i="1"/>
  <c r="L12505" i="1"/>
  <c r="K12506" i="1"/>
  <c r="L12506" i="1"/>
  <c r="K12507" i="1"/>
  <c r="L12507" i="1"/>
  <c r="K12508" i="1"/>
  <c r="L12508" i="1"/>
  <c r="K12509" i="1"/>
  <c r="L12509" i="1"/>
  <c r="K12510" i="1"/>
  <c r="L12510" i="1"/>
  <c r="K12511" i="1"/>
  <c r="L12511" i="1"/>
  <c r="K12512" i="1"/>
  <c r="L12512" i="1"/>
  <c r="K12513" i="1"/>
  <c r="L12513" i="1"/>
  <c r="K12458" i="1"/>
  <c r="L12458" i="1"/>
  <c r="K12459" i="1"/>
  <c r="L12459" i="1"/>
  <c r="K12460" i="1"/>
  <c r="L12460" i="1"/>
  <c r="K12461" i="1"/>
  <c r="L12461" i="1"/>
  <c r="K12462" i="1"/>
  <c r="L12462" i="1"/>
  <c r="K12463" i="1"/>
  <c r="L12463" i="1"/>
  <c r="K12464" i="1"/>
  <c r="L12464" i="1"/>
  <c r="K12465" i="1"/>
  <c r="L12465" i="1"/>
  <c r="K12466" i="1"/>
  <c r="L12466" i="1"/>
  <c r="K12467" i="1"/>
  <c r="L12467" i="1"/>
  <c r="K12468" i="1"/>
  <c r="L12468" i="1"/>
  <c r="K12469" i="1"/>
  <c r="L12469" i="1"/>
  <c r="K12470" i="1"/>
  <c r="L12470" i="1"/>
  <c r="K12471" i="1"/>
  <c r="L12471" i="1"/>
  <c r="K12472" i="1"/>
  <c r="L12472" i="1"/>
  <c r="K12473" i="1"/>
  <c r="L12473" i="1"/>
  <c r="K12474" i="1"/>
  <c r="L12474" i="1"/>
  <c r="K12062" i="1"/>
  <c r="L12062" i="1"/>
  <c r="M12062" i="1"/>
  <c r="K12063" i="1"/>
  <c r="L12063" i="1"/>
  <c r="M12063" i="1"/>
  <c r="K12064" i="1"/>
  <c r="L12064" i="1"/>
  <c r="M12064" i="1"/>
  <c r="K12065" i="1"/>
  <c r="L12065" i="1"/>
  <c r="M12065" i="1"/>
  <c r="K12066" i="1"/>
  <c r="L12066" i="1"/>
  <c r="M12066" i="1"/>
  <c r="K12067" i="1"/>
  <c r="L12067" i="1"/>
  <c r="M12067" i="1"/>
  <c r="K12068" i="1"/>
  <c r="L12068" i="1"/>
  <c r="M12068" i="1"/>
  <c r="K12069" i="1"/>
  <c r="L12069" i="1"/>
  <c r="M12069" i="1"/>
  <c r="K12070" i="1"/>
  <c r="L12070" i="1"/>
  <c r="M12070" i="1"/>
  <c r="K12071" i="1"/>
  <c r="L12071" i="1"/>
  <c r="M12071" i="1"/>
  <c r="K12072" i="1"/>
  <c r="L12072" i="1"/>
  <c r="M12072" i="1"/>
  <c r="K12073" i="1"/>
  <c r="L12073" i="1"/>
  <c r="M12073" i="1"/>
  <c r="K12074" i="1"/>
  <c r="L12074" i="1"/>
  <c r="M12074" i="1"/>
  <c r="K12075" i="1"/>
  <c r="L12075" i="1"/>
  <c r="M12075" i="1"/>
  <c r="K12076" i="1"/>
  <c r="L12076" i="1"/>
  <c r="M12076" i="1"/>
  <c r="K12077" i="1"/>
  <c r="L12077" i="1"/>
  <c r="M12077" i="1"/>
  <c r="K12078" i="1"/>
  <c r="L12078" i="1"/>
  <c r="M12078" i="1"/>
  <c r="K12079" i="1"/>
  <c r="L12079" i="1"/>
  <c r="M12079" i="1"/>
  <c r="K12080" i="1"/>
  <c r="L12080" i="1"/>
  <c r="M12080" i="1"/>
  <c r="K12081" i="1"/>
  <c r="L12081" i="1"/>
  <c r="M12081" i="1"/>
  <c r="K12552" i="1"/>
  <c r="L12552" i="1"/>
  <c r="K12553" i="1"/>
  <c r="L12553" i="1"/>
  <c r="K12554" i="1"/>
  <c r="L12554" i="1"/>
  <c r="K12555" i="1"/>
  <c r="L12555" i="1"/>
  <c r="K12556" i="1"/>
  <c r="L12556" i="1"/>
  <c r="K12557" i="1"/>
  <c r="L12557" i="1"/>
  <c r="K12558" i="1"/>
  <c r="L12558" i="1"/>
  <c r="K12559" i="1"/>
  <c r="L12559" i="1"/>
  <c r="K12560" i="1"/>
  <c r="L12560" i="1"/>
  <c r="K12561" i="1"/>
  <c r="L12561" i="1"/>
  <c r="K12562" i="1"/>
  <c r="L12562" i="1"/>
  <c r="K12563" i="1"/>
  <c r="L12563" i="1"/>
  <c r="K12564" i="1"/>
  <c r="L12564" i="1"/>
  <c r="K12565" i="1"/>
  <c r="L12565" i="1"/>
  <c r="K12566" i="1"/>
  <c r="L12566" i="1"/>
  <c r="K12567" i="1"/>
  <c r="L12567" i="1"/>
  <c r="K12568" i="1"/>
  <c r="L12568" i="1"/>
  <c r="K12569" i="1"/>
  <c r="L12569" i="1"/>
  <c r="K12570" i="1"/>
  <c r="L12570" i="1"/>
  <c r="K12571" i="1"/>
  <c r="L12571" i="1"/>
  <c r="K12572" i="1"/>
  <c r="L12572" i="1"/>
  <c r="K12573" i="1"/>
  <c r="L12573" i="1"/>
  <c r="K12574" i="1"/>
  <c r="L12574" i="1"/>
  <c r="K12575" i="1"/>
  <c r="L12575" i="1"/>
  <c r="K12576" i="1"/>
  <c r="L12576" i="1"/>
  <c r="K12577" i="1"/>
  <c r="L12577" i="1"/>
  <c r="K12578" i="1"/>
  <c r="L12578" i="1"/>
  <c r="K12579" i="1"/>
  <c r="L12579" i="1"/>
  <c r="K12580" i="1"/>
  <c r="L12580" i="1"/>
  <c r="K12581" i="1"/>
  <c r="L12581" i="1"/>
  <c r="K12582" i="1"/>
  <c r="L12582" i="1"/>
  <c r="K12583" i="1"/>
  <c r="L12583" i="1"/>
  <c r="K12584" i="1"/>
  <c r="L12584" i="1"/>
  <c r="K12585" i="1"/>
  <c r="L12585" i="1"/>
  <c r="K12586" i="1"/>
  <c r="L12586" i="1"/>
  <c r="K12587" i="1"/>
  <c r="L12587" i="1"/>
  <c r="K12588" i="1"/>
  <c r="L12588" i="1"/>
  <c r="K12589" i="1"/>
  <c r="L12589" i="1"/>
  <c r="K12590" i="1"/>
  <c r="L12590" i="1"/>
  <c r="K12591" i="1"/>
  <c r="L12591" i="1"/>
  <c r="K12592" i="1"/>
  <c r="L12592" i="1"/>
  <c r="K12593" i="1"/>
  <c r="L12593" i="1"/>
  <c r="K12594" i="1"/>
  <c r="L12594" i="1"/>
  <c r="K12595" i="1"/>
  <c r="L12595" i="1"/>
  <c r="K12596" i="1"/>
  <c r="L12596" i="1"/>
  <c r="K12597" i="1"/>
  <c r="L12597" i="1"/>
  <c r="K12598" i="1"/>
  <c r="L12598" i="1"/>
  <c r="K12599" i="1"/>
  <c r="L12599" i="1"/>
  <c r="K12600" i="1"/>
  <c r="L12600" i="1"/>
  <c r="K12601" i="1"/>
  <c r="L12601" i="1"/>
  <c r="K12602" i="1"/>
  <c r="L12602" i="1"/>
  <c r="K12603" i="1"/>
  <c r="L12603" i="1"/>
  <c r="K12604" i="1"/>
  <c r="L12604" i="1"/>
  <c r="K12605" i="1"/>
  <c r="L12605" i="1"/>
  <c r="K12606" i="1"/>
  <c r="L12606" i="1"/>
  <c r="K12607" i="1"/>
  <c r="L12607" i="1"/>
  <c r="K12608" i="1"/>
  <c r="L12608" i="1"/>
  <c r="K12609" i="1"/>
  <c r="L12609" i="1"/>
  <c r="K12610" i="1"/>
  <c r="L12610" i="1"/>
  <c r="K12611" i="1"/>
  <c r="L12611" i="1"/>
  <c r="K12612" i="1"/>
  <c r="L12612" i="1"/>
  <c r="K12613" i="1"/>
  <c r="L12613" i="1"/>
  <c r="K12614" i="1"/>
  <c r="L12614" i="1"/>
  <c r="K12615" i="1"/>
  <c r="L12615" i="1"/>
  <c r="K12616" i="1"/>
  <c r="L12616" i="1"/>
  <c r="K12514" i="1"/>
  <c r="L12514" i="1"/>
  <c r="K12515" i="1"/>
  <c r="L12515" i="1"/>
  <c r="K12516" i="1"/>
  <c r="L12516" i="1"/>
  <c r="K12517" i="1"/>
  <c r="L12517" i="1"/>
  <c r="K12518" i="1"/>
  <c r="L12518" i="1"/>
  <c r="K12519" i="1"/>
  <c r="L12519" i="1"/>
  <c r="K12520" i="1"/>
  <c r="L12520" i="1"/>
  <c r="K12521" i="1"/>
  <c r="L12521" i="1"/>
  <c r="K12522" i="1"/>
  <c r="L12522" i="1"/>
  <c r="K12523" i="1"/>
  <c r="L12523" i="1"/>
  <c r="K12524" i="1"/>
  <c r="L12524" i="1"/>
  <c r="K12525" i="1"/>
  <c r="L12525" i="1"/>
  <c r="K12526" i="1"/>
  <c r="L12526" i="1"/>
  <c r="K12527" i="1"/>
  <c r="L12527" i="1"/>
  <c r="K12528" i="1"/>
  <c r="L12528" i="1"/>
  <c r="K12529" i="1"/>
  <c r="L12529" i="1"/>
  <c r="K12530" i="1"/>
  <c r="L12530" i="1"/>
  <c r="K12531" i="1"/>
  <c r="L12531" i="1"/>
  <c r="K12532" i="1"/>
  <c r="L12532" i="1"/>
  <c r="K12533" i="1"/>
  <c r="L12533" i="1"/>
  <c r="K12534" i="1"/>
  <c r="L12534" i="1"/>
  <c r="K12535" i="1"/>
  <c r="L12535" i="1"/>
  <c r="K12536" i="1"/>
  <c r="L12536" i="1"/>
  <c r="K12537" i="1"/>
  <c r="L12537" i="1"/>
  <c r="K12538" i="1"/>
  <c r="L12538" i="1"/>
  <c r="K12539" i="1"/>
  <c r="L12539" i="1"/>
  <c r="K12540" i="1"/>
  <c r="L12540" i="1"/>
  <c r="K12541" i="1"/>
  <c r="L12541" i="1"/>
  <c r="K12542" i="1"/>
  <c r="L12542" i="1"/>
  <c r="K12543" i="1"/>
  <c r="L12543" i="1"/>
  <c r="K12544" i="1"/>
  <c r="L12544" i="1"/>
  <c r="K12545" i="1"/>
  <c r="L12545" i="1"/>
  <c r="K12546" i="1"/>
  <c r="L12546" i="1"/>
  <c r="K12547" i="1"/>
  <c r="L12547" i="1"/>
  <c r="K12548" i="1"/>
  <c r="L12548" i="1"/>
  <c r="K12549" i="1"/>
  <c r="L12549" i="1"/>
  <c r="K12550" i="1"/>
  <c r="L12550" i="1"/>
  <c r="K12551" i="1"/>
  <c r="L12551" i="1"/>
  <c r="K12082" i="1"/>
  <c r="L12082" i="1"/>
  <c r="M12082" i="1"/>
  <c r="K12083" i="1"/>
  <c r="L12083" i="1"/>
  <c r="M12083" i="1"/>
  <c r="K12084" i="1"/>
  <c r="L12084" i="1"/>
  <c r="M12084" i="1"/>
  <c r="K12085" i="1"/>
  <c r="L12085" i="1"/>
  <c r="M12085" i="1"/>
  <c r="K12086" i="1"/>
  <c r="L12086" i="1"/>
  <c r="M12086" i="1"/>
  <c r="K12087" i="1"/>
  <c r="L12087" i="1"/>
  <c r="M12087" i="1"/>
  <c r="K12088" i="1"/>
  <c r="L12088" i="1"/>
  <c r="M12088" i="1"/>
  <c r="K12089" i="1"/>
  <c r="L12089" i="1"/>
  <c r="M12089" i="1"/>
  <c r="K12090" i="1"/>
  <c r="L12090" i="1"/>
  <c r="M12090" i="1"/>
  <c r="K12091" i="1"/>
  <c r="L12091" i="1"/>
  <c r="M12091" i="1"/>
  <c r="K12092" i="1"/>
  <c r="L12092" i="1"/>
  <c r="M12092" i="1"/>
  <c r="K12093" i="1"/>
  <c r="L12093" i="1"/>
  <c r="M12093" i="1"/>
  <c r="K12094" i="1"/>
  <c r="L12094" i="1"/>
  <c r="M12094" i="1"/>
  <c r="K12095" i="1"/>
  <c r="L12095" i="1"/>
  <c r="M12095" i="1"/>
  <c r="K12096" i="1"/>
  <c r="L12096" i="1"/>
  <c r="M12096" i="1"/>
  <c r="K12097" i="1"/>
  <c r="L12097" i="1"/>
  <c r="M12097" i="1"/>
  <c r="K12098" i="1"/>
  <c r="L12098" i="1"/>
  <c r="M12098" i="1"/>
  <c r="K12099" i="1"/>
  <c r="L12099" i="1"/>
  <c r="M12099" i="1"/>
  <c r="K12100" i="1"/>
  <c r="L12100" i="1"/>
  <c r="M12100" i="1"/>
  <c r="K12101" i="1"/>
  <c r="L12101" i="1"/>
  <c r="M12101" i="1"/>
  <c r="K12102" i="1"/>
  <c r="L12102" i="1"/>
  <c r="M12102" i="1"/>
  <c r="K12629" i="1"/>
  <c r="L12629" i="1"/>
  <c r="K12630" i="1"/>
  <c r="L12630" i="1"/>
  <c r="K12631" i="1"/>
  <c r="L12631" i="1"/>
  <c r="K12632" i="1"/>
  <c r="L12632" i="1"/>
  <c r="K12633" i="1"/>
  <c r="L12633" i="1"/>
  <c r="K12634" i="1"/>
  <c r="L12634" i="1"/>
  <c r="K12635" i="1"/>
  <c r="L12635" i="1"/>
  <c r="K12636" i="1"/>
  <c r="L12636" i="1"/>
  <c r="K12637" i="1"/>
  <c r="L12637" i="1"/>
  <c r="K12638" i="1"/>
  <c r="L12638" i="1"/>
  <c r="K12639" i="1"/>
  <c r="L12639" i="1"/>
  <c r="K12640" i="1"/>
  <c r="L12640" i="1"/>
  <c r="K12641" i="1"/>
  <c r="L12641" i="1"/>
  <c r="K12642" i="1"/>
  <c r="L12642" i="1"/>
  <c r="K12643" i="1"/>
  <c r="L12643" i="1"/>
  <c r="K12644" i="1"/>
  <c r="L12644" i="1"/>
  <c r="K12645" i="1"/>
  <c r="L12645" i="1"/>
  <c r="K12646" i="1"/>
  <c r="L12646" i="1"/>
  <c r="K12647" i="1"/>
  <c r="L12647" i="1"/>
  <c r="K12648" i="1"/>
  <c r="L12648" i="1"/>
  <c r="K12649" i="1"/>
  <c r="L12649" i="1"/>
  <c r="K12650" i="1"/>
  <c r="L12650" i="1"/>
  <c r="K12651" i="1"/>
  <c r="L12651" i="1"/>
  <c r="K12652" i="1"/>
  <c r="L12652" i="1"/>
  <c r="K12653" i="1"/>
  <c r="L12653" i="1"/>
  <c r="K12654" i="1"/>
  <c r="L12654" i="1"/>
  <c r="K12655" i="1"/>
  <c r="L12655" i="1"/>
  <c r="K12656" i="1"/>
  <c r="L12656" i="1"/>
  <c r="K12657" i="1"/>
  <c r="L12657" i="1"/>
  <c r="K12658" i="1"/>
  <c r="L12658" i="1"/>
  <c r="K12659" i="1"/>
  <c r="L12659" i="1"/>
  <c r="K12660" i="1"/>
  <c r="L12660" i="1"/>
  <c r="K12661" i="1"/>
  <c r="L12661" i="1"/>
  <c r="K12662" i="1"/>
  <c r="L12662" i="1"/>
  <c r="K12663" i="1"/>
  <c r="L12663" i="1"/>
  <c r="K12664" i="1"/>
  <c r="L12664" i="1"/>
  <c r="K12665" i="1"/>
  <c r="L12665" i="1"/>
  <c r="K12617" i="1"/>
  <c r="L12617" i="1"/>
  <c r="K12618" i="1"/>
  <c r="L12618" i="1"/>
  <c r="K12619" i="1"/>
  <c r="L12619" i="1"/>
  <c r="K12620" i="1"/>
  <c r="L12620" i="1"/>
  <c r="K12621" i="1"/>
  <c r="L12621" i="1"/>
  <c r="K12622" i="1"/>
  <c r="L12622" i="1"/>
  <c r="K12623" i="1"/>
  <c r="L12623" i="1"/>
  <c r="K12624" i="1"/>
  <c r="L12624" i="1"/>
  <c r="K12625" i="1"/>
  <c r="L12625" i="1"/>
  <c r="K12626" i="1"/>
  <c r="L12626" i="1"/>
  <c r="K12627" i="1"/>
  <c r="L12627" i="1"/>
  <c r="K12628" i="1"/>
  <c r="L12628" i="1"/>
  <c r="K12103" i="1"/>
  <c r="L12103" i="1"/>
  <c r="M12103" i="1"/>
  <c r="K12104" i="1"/>
  <c r="L12104" i="1"/>
  <c r="M12104" i="1"/>
  <c r="K12105" i="1"/>
  <c r="L12105" i="1"/>
  <c r="M12105" i="1"/>
  <c r="K12106" i="1"/>
  <c r="L12106" i="1"/>
  <c r="M12106" i="1"/>
  <c r="K12107" i="1"/>
  <c r="L12107" i="1"/>
  <c r="M12107" i="1"/>
  <c r="K12108" i="1"/>
  <c r="L12108" i="1"/>
  <c r="M12108" i="1"/>
  <c r="K12109" i="1"/>
  <c r="L12109" i="1"/>
  <c r="M12109" i="1"/>
  <c r="K12110" i="1"/>
  <c r="L12110" i="1"/>
  <c r="M12110" i="1"/>
  <c r="K12674" i="1"/>
  <c r="L12674" i="1"/>
  <c r="K12675" i="1"/>
  <c r="L12675" i="1"/>
  <c r="K12676" i="1"/>
  <c r="L12676" i="1"/>
  <c r="K12677" i="1"/>
  <c r="L12677" i="1"/>
  <c r="K12678" i="1"/>
  <c r="L12678" i="1"/>
  <c r="K12679" i="1"/>
  <c r="L12679" i="1"/>
  <c r="K12680" i="1"/>
  <c r="L12680" i="1"/>
  <c r="K12681" i="1"/>
  <c r="L12681" i="1"/>
  <c r="K12682" i="1"/>
  <c r="L12682" i="1"/>
  <c r="K12683" i="1"/>
  <c r="L12683" i="1"/>
  <c r="K12684" i="1"/>
  <c r="L12684" i="1"/>
  <c r="K12685" i="1"/>
  <c r="L12685" i="1"/>
  <c r="K12686" i="1"/>
  <c r="L12686" i="1"/>
  <c r="K12687" i="1"/>
  <c r="L12687" i="1"/>
  <c r="K12688" i="1"/>
  <c r="L12688" i="1"/>
  <c r="K12689" i="1"/>
  <c r="L12689" i="1"/>
  <c r="K12690" i="1"/>
  <c r="L12690" i="1"/>
  <c r="K12691" i="1"/>
  <c r="L12691" i="1"/>
  <c r="K12692" i="1"/>
  <c r="L12692" i="1"/>
  <c r="K12693" i="1"/>
  <c r="L12693" i="1"/>
  <c r="K12694" i="1"/>
  <c r="L12694" i="1"/>
  <c r="K12695" i="1"/>
  <c r="L12695" i="1"/>
  <c r="K12696" i="1"/>
  <c r="L12696" i="1"/>
  <c r="K12697" i="1"/>
  <c r="L12697" i="1"/>
  <c r="K12698" i="1"/>
  <c r="L12698" i="1"/>
  <c r="K12666" i="1"/>
  <c r="L12666" i="1"/>
  <c r="K12667" i="1"/>
  <c r="L12667" i="1"/>
  <c r="K12668" i="1"/>
  <c r="L12668" i="1"/>
  <c r="K12669" i="1"/>
  <c r="L12669" i="1"/>
  <c r="K12670" i="1"/>
  <c r="L12670" i="1"/>
  <c r="K12671" i="1"/>
  <c r="L12671" i="1"/>
  <c r="K12672" i="1"/>
  <c r="L12672" i="1"/>
  <c r="K12673" i="1"/>
  <c r="L12673" i="1"/>
  <c r="K12111" i="1"/>
  <c r="L12111" i="1"/>
  <c r="M12111" i="1"/>
  <c r="K12112" i="1"/>
  <c r="L12112" i="1"/>
  <c r="M12112" i="1"/>
  <c r="K12113" i="1"/>
  <c r="L12113" i="1"/>
  <c r="M12113" i="1"/>
  <c r="K12114" i="1"/>
  <c r="L12114" i="1"/>
  <c r="M12114" i="1"/>
  <c r="K12115" i="1"/>
  <c r="L12115" i="1"/>
  <c r="M12115" i="1"/>
  <c r="K12116" i="1"/>
  <c r="L12116" i="1"/>
  <c r="M12116" i="1"/>
  <c r="K12117" i="1"/>
  <c r="L12117" i="1"/>
  <c r="M12117" i="1"/>
  <c r="K12118" i="1"/>
  <c r="L12118" i="1"/>
  <c r="M12118" i="1"/>
  <c r="K12119" i="1"/>
  <c r="L12119" i="1"/>
  <c r="M12119" i="1"/>
  <c r="K12120" i="1"/>
  <c r="L12120" i="1"/>
  <c r="M12120" i="1"/>
  <c r="K12121" i="1"/>
  <c r="L12121" i="1"/>
  <c r="M12121" i="1"/>
  <c r="K12122" i="1"/>
  <c r="L12122" i="1"/>
  <c r="M12122" i="1"/>
  <c r="K12123" i="1"/>
  <c r="L12123" i="1"/>
  <c r="M12123" i="1"/>
  <c r="K12124" i="1"/>
  <c r="L12124" i="1"/>
  <c r="M12124" i="1"/>
  <c r="K12125" i="1"/>
  <c r="L12125" i="1"/>
  <c r="M12125" i="1"/>
  <c r="K12126" i="1"/>
  <c r="L12126" i="1"/>
  <c r="M12126" i="1"/>
  <c r="K12127" i="1"/>
  <c r="L12127" i="1"/>
  <c r="M12127" i="1"/>
  <c r="K12128" i="1"/>
  <c r="L12128" i="1"/>
  <c r="M12128" i="1"/>
  <c r="K12129" i="1"/>
  <c r="L12129" i="1"/>
  <c r="M12129" i="1"/>
  <c r="K12130" i="1"/>
  <c r="L12130" i="1"/>
  <c r="M12130" i="1"/>
  <c r="K12704" i="1"/>
  <c r="L12704" i="1"/>
  <c r="K12705" i="1"/>
  <c r="L12705" i="1"/>
  <c r="K12706" i="1"/>
  <c r="L12706" i="1"/>
  <c r="K12707" i="1"/>
  <c r="L12707" i="1"/>
  <c r="K12708" i="1"/>
  <c r="L12708" i="1"/>
  <c r="K12709" i="1"/>
  <c r="L12709" i="1"/>
  <c r="K12710" i="1"/>
  <c r="L12710" i="1"/>
  <c r="K12711" i="1"/>
  <c r="L12711" i="1"/>
  <c r="K12712" i="1"/>
  <c r="L12712" i="1"/>
  <c r="K12713" i="1"/>
  <c r="L12713" i="1"/>
  <c r="K12714" i="1"/>
  <c r="L12714" i="1"/>
  <c r="K12715" i="1"/>
  <c r="L12715" i="1"/>
  <c r="K12716" i="1"/>
  <c r="L12716" i="1"/>
  <c r="K12717" i="1"/>
  <c r="L12717" i="1"/>
  <c r="K12718" i="1"/>
  <c r="L12718" i="1"/>
  <c r="K12719" i="1"/>
  <c r="L12719" i="1"/>
  <c r="K12720" i="1"/>
  <c r="L12720" i="1"/>
  <c r="K12721" i="1"/>
  <c r="L12721" i="1"/>
  <c r="K12722" i="1"/>
  <c r="L12722" i="1"/>
  <c r="K12723" i="1"/>
  <c r="L12723" i="1"/>
  <c r="K12724" i="1"/>
  <c r="L12724" i="1"/>
  <c r="K12725" i="1"/>
  <c r="L12725" i="1"/>
  <c r="K12726" i="1"/>
  <c r="L12726" i="1"/>
  <c r="K12727" i="1"/>
  <c r="L12727" i="1"/>
  <c r="K12728" i="1"/>
  <c r="L12728" i="1"/>
  <c r="K12699" i="1"/>
  <c r="L12699" i="1"/>
  <c r="K12700" i="1"/>
  <c r="L12700" i="1"/>
  <c r="K12701" i="1"/>
  <c r="L12701" i="1"/>
  <c r="K12702" i="1"/>
  <c r="L12702" i="1"/>
  <c r="K12703" i="1"/>
  <c r="L12703" i="1"/>
  <c r="K12729" i="1"/>
  <c r="L12729" i="1"/>
  <c r="M12729" i="1"/>
  <c r="K12730" i="1"/>
  <c r="L12730" i="1"/>
  <c r="M12730" i="1"/>
  <c r="K12731" i="1"/>
  <c r="L12731" i="1"/>
  <c r="M12731" i="1"/>
  <c r="K12732" i="1"/>
  <c r="L12732" i="1"/>
  <c r="M12732" i="1"/>
  <c r="K12733" i="1"/>
  <c r="L12733" i="1"/>
  <c r="M12733" i="1"/>
  <c r="K12734" i="1"/>
  <c r="L12734" i="1"/>
  <c r="M12734" i="1"/>
  <c r="K12735" i="1"/>
  <c r="L12735" i="1"/>
  <c r="M12735" i="1"/>
  <c r="K12736" i="1"/>
  <c r="L12736" i="1"/>
  <c r="M12736" i="1"/>
  <c r="K12737" i="1"/>
  <c r="L12737" i="1"/>
  <c r="M12737" i="1"/>
  <c r="K12738" i="1"/>
  <c r="L12738" i="1"/>
  <c r="M12738" i="1"/>
  <c r="K12739" i="1"/>
  <c r="L12739" i="1"/>
  <c r="M12739" i="1"/>
  <c r="K12740" i="1"/>
  <c r="L12740" i="1"/>
  <c r="M12740" i="1"/>
  <c r="K12741" i="1"/>
  <c r="L12741" i="1"/>
  <c r="M12741" i="1"/>
  <c r="K12742" i="1"/>
  <c r="L12742" i="1"/>
  <c r="M12742" i="1"/>
  <c r="K12743" i="1"/>
  <c r="L12743" i="1"/>
  <c r="M12743" i="1"/>
  <c r="K12744" i="1"/>
  <c r="L12744" i="1"/>
  <c r="M12744" i="1"/>
  <c r="K12827" i="1"/>
  <c r="M12827" i="1"/>
  <c r="K12828" i="1"/>
  <c r="M12828" i="1"/>
  <c r="K12829" i="1"/>
  <c r="M12829" i="1"/>
  <c r="K12830" i="1"/>
  <c r="M12830" i="1"/>
  <c r="K12831" i="1"/>
  <c r="M12831" i="1"/>
  <c r="K12832" i="1"/>
  <c r="M12832" i="1"/>
  <c r="K12833" i="1"/>
  <c r="M12833" i="1"/>
  <c r="K12834" i="1"/>
  <c r="M12834" i="1"/>
  <c r="K12835" i="1"/>
  <c r="M12835" i="1"/>
  <c r="K12836" i="1"/>
  <c r="M12836" i="1"/>
  <c r="K12837" i="1"/>
  <c r="M12837" i="1"/>
  <c r="K12838" i="1"/>
  <c r="M12838" i="1"/>
  <c r="K12839" i="1"/>
  <c r="M12839" i="1"/>
  <c r="K12840" i="1"/>
  <c r="M12840" i="1"/>
  <c r="K12841" i="1"/>
  <c r="M12841" i="1"/>
  <c r="K12842" i="1"/>
  <c r="M12842" i="1"/>
  <c r="K12843" i="1"/>
  <c r="M12843" i="1"/>
  <c r="K12844" i="1"/>
  <c r="M12844" i="1"/>
  <c r="K12845" i="1"/>
  <c r="M12845" i="1"/>
  <c r="K12846" i="1"/>
  <c r="M12846" i="1"/>
  <c r="K12847" i="1"/>
  <c r="M12847" i="1"/>
  <c r="K12848" i="1"/>
  <c r="M12848" i="1"/>
  <c r="K12849" i="1"/>
  <c r="M12849" i="1"/>
  <c r="K12850" i="1"/>
  <c r="M12850" i="1"/>
  <c r="K12851" i="1"/>
  <c r="M12851" i="1"/>
  <c r="K12852" i="1"/>
  <c r="M12852" i="1"/>
  <c r="K12853" i="1"/>
  <c r="M12853" i="1"/>
  <c r="K12854" i="1"/>
  <c r="M12854" i="1"/>
  <c r="K12855" i="1"/>
  <c r="M12855" i="1"/>
  <c r="K12856" i="1"/>
  <c r="M12856" i="1"/>
  <c r="K12857" i="1"/>
  <c r="M12857" i="1"/>
  <c r="K12858" i="1"/>
  <c r="M12858" i="1"/>
  <c r="K12859" i="1"/>
  <c r="M12859" i="1"/>
  <c r="K12860" i="1"/>
  <c r="M12860" i="1"/>
  <c r="K12861" i="1"/>
  <c r="M12861" i="1"/>
  <c r="K12862" i="1"/>
  <c r="M12862" i="1"/>
  <c r="K12863" i="1"/>
  <c r="M12863" i="1"/>
  <c r="K12864" i="1"/>
  <c r="M12864" i="1"/>
  <c r="K12865" i="1"/>
  <c r="M12865" i="1"/>
  <c r="K12796" i="1"/>
  <c r="M12796" i="1"/>
  <c r="K12797" i="1"/>
  <c r="M12797" i="1"/>
  <c r="K12798" i="1"/>
  <c r="M12798" i="1"/>
  <c r="K12799" i="1"/>
  <c r="M12799" i="1"/>
  <c r="K12800" i="1"/>
  <c r="M12800" i="1"/>
  <c r="K12801" i="1"/>
  <c r="M12801" i="1"/>
  <c r="K12802" i="1"/>
  <c r="M12802" i="1"/>
  <c r="K12803" i="1"/>
  <c r="M12803" i="1"/>
  <c r="K12804" i="1"/>
  <c r="M12804" i="1"/>
  <c r="K12805" i="1"/>
  <c r="M12805" i="1"/>
  <c r="K12806" i="1"/>
  <c r="M12806" i="1"/>
  <c r="K12807" i="1"/>
  <c r="M12807" i="1"/>
  <c r="K12808" i="1"/>
  <c r="M12808" i="1"/>
  <c r="K12809" i="1"/>
  <c r="M12809" i="1"/>
  <c r="K12810" i="1"/>
  <c r="M12810" i="1"/>
  <c r="K12811" i="1"/>
  <c r="M12811" i="1"/>
  <c r="K12812" i="1"/>
  <c r="M12812" i="1"/>
  <c r="K12813" i="1"/>
  <c r="M12813" i="1"/>
  <c r="K12814" i="1"/>
  <c r="M12814" i="1"/>
  <c r="K12815" i="1"/>
  <c r="M12815" i="1"/>
  <c r="K12816" i="1"/>
  <c r="M12816" i="1"/>
  <c r="K12817" i="1"/>
  <c r="M12817" i="1"/>
  <c r="K12818" i="1"/>
  <c r="M12818" i="1"/>
  <c r="K12819" i="1"/>
  <c r="M12819" i="1"/>
  <c r="K12820" i="1"/>
  <c r="M12820" i="1"/>
  <c r="K12821" i="1"/>
  <c r="M12821" i="1"/>
  <c r="K12822" i="1"/>
  <c r="M12822" i="1"/>
  <c r="K12823" i="1"/>
  <c r="M12823" i="1"/>
  <c r="K12824" i="1"/>
  <c r="M12824" i="1"/>
  <c r="K12825" i="1"/>
  <c r="M12825" i="1"/>
  <c r="K12826" i="1"/>
  <c r="M12826" i="1"/>
  <c r="K12745" i="1"/>
  <c r="L12745" i="1"/>
  <c r="M12745" i="1"/>
  <c r="K12746" i="1"/>
  <c r="L12746" i="1"/>
  <c r="M12746" i="1"/>
  <c r="K12747" i="1"/>
  <c r="L12747" i="1"/>
  <c r="M12747" i="1"/>
  <c r="K12748" i="1"/>
  <c r="L12748" i="1"/>
  <c r="M12748" i="1"/>
  <c r="K12749" i="1"/>
  <c r="L12749" i="1"/>
  <c r="M12749" i="1"/>
  <c r="K12750" i="1"/>
  <c r="L12750" i="1"/>
  <c r="M12750" i="1"/>
  <c r="K12751" i="1"/>
  <c r="L12751" i="1"/>
  <c r="M12751" i="1"/>
  <c r="K12752" i="1"/>
  <c r="L12752" i="1"/>
  <c r="M12752" i="1"/>
  <c r="K12753" i="1"/>
  <c r="L12753" i="1"/>
  <c r="M12753" i="1"/>
  <c r="K12754" i="1"/>
  <c r="L12754" i="1"/>
  <c r="M12754" i="1"/>
  <c r="K12755" i="1"/>
  <c r="L12755" i="1"/>
  <c r="M12755" i="1"/>
  <c r="K12873" i="1"/>
  <c r="L12873" i="1"/>
  <c r="K12874" i="1"/>
  <c r="L12874" i="1"/>
  <c r="K12875" i="1"/>
  <c r="L12875" i="1"/>
  <c r="K12876" i="1"/>
  <c r="L12876" i="1"/>
  <c r="K12866" i="1"/>
  <c r="L12866" i="1"/>
  <c r="K12867" i="1"/>
  <c r="L12867" i="1"/>
  <c r="K12868" i="1"/>
  <c r="L12868" i="1"/>
  <c r="K12869" i="1"/>
  <c r="L12869" i="1"/>
  <c r="K12870" i="1"/>
  <c r="L12870" i="1"/>
  <c r="K12871" i="1"/>
  <c r="L12871" i="1"/>
  <c r="K12872" i="1"/>
  <c r="L12872" i="1"/>
  <c r="K12756" i="1"/>
  <c r="L12756" i="1"/>
  <c r="M12756" i="1"/>
  <c r="K12757" i="1"/>
  <c r="L12757" i="1"/>
  <c r="M12757" i="1"/>
  <c r="K12758" i="1"/>
  <c r="L12758" i="1"/>
  <c r="M12758" i="1"/>
  <c r="K12759" i="1"/>
  <c r="L12759" i="1"/>
  <c r="M12759" i="1"/>
  <c r="K12760" i="1"/>
  <c r="L12760" i="1"/>
  <c r="M12760" i="1"/>
  <c r="K12761" i="1"/>
  <c r="L12761" i="1"/>
  <c r="M12761" i="1"/>
  <c r="K12892" i="1"/>
  <c r="L12892" i="1"/>
  <c r="K12893" i="1"/>
  <c r="L12893" i="1"/>
  <c r="K12894" i="1"/>
  <c r="L12894" i="1"/>
  <c r="K12895" i="1"/>
  <c r="L12895" i="1"/>
  <c r="K12878" i="1"/>
  <c r="L12878" i="1"/>
  <c r="K12879" i="1"/>
  <c r="L12879" i="1"/>
  <c r="K12880" i="1"/>
  <c r="L12880" i="1"/>
  <c r="K12881" i="1"/>
  <c r="L12881" i="1"/>
  <c r="K12882" i="1"/>
  <c r="L12882" i="1"/>
  <c r="K12883" i="1"/>
  <c r="L12883" i="1"/>
  <c r="K12884" i="1"/>
  <c r="L12884" i="1"/>
  <c r="K12885" i="1"/>
  <c r="L12885" i="1"/>
  <c r="K12886" i="1"/>
  <c r="L12886" i="1"/>
  <c r="K12887" i="1"/>
  <c r="L12887" i="1"/>
  <c r="K12888" i="1"/>
  <c r="L12888" i="1"/>
  <c r="K12889" i="1"/>
  <c r="L12889" i="1"/>
  <c r="K12890" i="1"/>
  <c r="L12890" i="1"/>
  <c r="K12891" i="1"/>
  <c r="L12891" i="1"/>
  <c r="K12762" i="1"/>
  <c r="L12762" i="1"/>
  <c r="M12762" i="1"/>
  <c r="K12897" i="1"/>
  <c r="L12897" i="1"/>
  <c r="K12896" i="1"/>
  <c r="L12896" i="1"/>
  <c r="K12763" i="1"/>
  <c r="L12763" i="1"/>
  <c r="M12763" i="1"/>
  <c r="K12764" i="1"/>
  <c r="L12764" i="1"/>
  <c r="M12764" i="1"/>
  <c r="K12765" i="1"/>
  <c r="L12765" i="1"/>
  <c r="M12765" i="1"/>
  <c r="K12766" i="1"/>
  <c r="L12766" i="1"/>
  <c r="M12766" i="1"/>
  <c r="K12767" i="1"/>
  <c r="L12767" i="1"/>
  <c r="M12767" i="1"/>
  <c r="K12768" i="1"/>
  <c r="L12768" i="1"/>
  <c r="M12768" i="1"/>
  <c r="K12769" i="1"/>
  <c r="L12769" i="1"/>
  <c r="M12769" i="1"/>
  <c r="K12770" i="1"/>
  <c r="L12770" i="1"/>
  <c r="M12770" i="1"/>
  <c r="K12771" i="1"/>
  <c r="L12771" i="1"/>
  <c r="M12771" i="1"/>
  <c r="K12772" i="1"/>
  <c r="L12772" i="1"/>
  <c r="M12772" i="1"/>
  <c r="K12773" i="1"/>
  <c r="L12773" i="1"/>
  <c r="M12773" i="1"/>
  <c r="K12774" i="1"/>
  <c r="L12774" i="1"/>
  <c r="M12774" i="1"/>
  <c r="K12775" i="1"/>
  <c r="L12775" i="1"/>
  <c r="M12775" i="1"/>
  <c r="K12776" i="1"/>
  <c r="L12776" i="1"/>
  <c r="M12776" i="1"/>
  <c r="K12777" i="1"/>
  <c r="L12777" i="1"/>
  <c r="M12777" i="1"/>
  <c r="K12778" i="1"/>
  <c r="L12778" i="1"/>
  <c r="M12778" i="1"/>
  <c r="K12924" i="1"/>
  <c r="L12924" i="1"/>
  <c r="K12925" i="1"/>
  <c r="L12925" i="1"/>
  <c r="K12926" i="1"/>
  <c r="L12926" i="1"/>
  <c r="K12927" i="1"/>
  <c r="L12927" i="1"/>
  <c r="K12928" i="1"/>
  <c r="L12928" i="1"/>
  <c r="K12929" i="1"/>
  <c r="L12929" i="1"/>
  <c r="K12930" i="1"/>
  <c r="L12930" i="1"/>
  <c r="K12931" i="1"/>
  <c r="L12931" i="1"/>
  <c r="K12932" i="1"/>
  <c r="L12932" i="1"/>
  <c r="K12933" i="1"/>
  <c r="L12933" i="1"/>
  <c r="K12934" i="1"/>
  <c r="L12934" i="1"/>
  <c r="K12935" i="1"/>
  <c r="L12935" i="1"/>
  <c r="K12936" i="1"/>
  <c r="L12936" i="1"/>
  <c r="K12937" i="1"/>
  <c r="L12937" i="1"/>
  <c r="K12938" i="1"/>
  <c r="L12938" i="1"/>
  <c r="K12939" i="1"/>
  <c r="L12939" i="1"/>
  <c r="K12940" i="1"/>
  <c r="L12940" i="1"/>
  <c r="K12941" i="1"/>
  <c r="L12941" i="1"/>
  <c r="K12942" i="1"/>
  <c r="L12942" i="1"/>
  <c r="K12943" i="1"/>
  <c r="L12943" i="1"/>
  <c r="K12944" i="1"/>
  <c r="L12944" i="1"/>
  <c r="K12945" i="1"/>
  <c r="L12945" i="1"/>
  <c r="K12946" i="1"/>
  <c r="L12946" i="1"/>
  <c r="K12947" i="1"/>
  <c r="L12947" i="1"/>
  <c r="K12948" i="1"/>
  <c r="L12948" i="1"/>
  <c r="K12949" i="1"/>
  <c r="L12949" i="1"/>
  <c r="K12950" i="1"/>
  <c r="L12950" i="1"/>
  <c r="K12951" i="1"/>
  <c r="L12951" i="1"/>
  <c r="K12952" i="1"/>
  <c r="L12952" i="1"/>
  <c r="K12953" i="1"/>
  <c r="L12953" i="1"/>
  <c r="K12954" i="1"/>
  <c r="L12954" i="1"/>
  <c r="K12955" i="1"/>
  <c r="L12955" i="1"/>
  <c r="K12956" i="1"/>
  <c r="L12956" i="1"/>
  <c r="K12957" i="1"/>
  <c r="L12957" i="1"/>
  <c r="K12958" i="1"/>
  <c r="L12958" i="1"/>
  <c r="K12959" i="1"/>
  <c r="L12959" i="1"/>
  <c r="K12960" i="1"/>
  <c r="L12960" i="1"/>
  <c r="K12961" i="1"/>
  <c r="L12961" i="1"/>
  <c r="K12962" i="1"/>
  <c r="L12962" i="1"/>
  <c r="K12963" i="1"/>
  <c r="L12963" i="1"/>
  <c r="K12964" i="1"/>
  <c r="L12964" i="1"/>
  <c r="K12965" i="1"/>
  <c r="L12965" i="1"/>
  <c r="K12966" i="1"/>
  <c r="L12966" i="1"/>
  <c r="K12967" i="1"/>
  <c r="L12967" i="1"/>
  <c r="K12968" i="1"/>
  <c r="L12968" i="1"/>
  <c r="K12969" i="1"/>
  <c r="L12969" i="1"/>
  <c r="K12970" i="1"/>
  <c r="L12970" i="1"/>
  <c r="K12971" i="1"/>
  <c r="L12971" i="1"/>
  <c r="K12972" i="1"/>
  <c r="L12972" i="1"/>
  <c r="K12898" i="1"/>
  <c r="L12898" i="1"/>
  <c r="K12899" i="1"/>
  <c r="L12899" i="1"/>
  <c r="K12900" i="1"/>
  <c r="L12900" i="1"/>
  <c r="K12901" i="1"/>
  <c r="L12901" i="1"/>
  <c r="K12902" i="1"/>
  <c r="L12902" i="1"/>
  <c r="K12903" i="1"/>
  <c r="L12903" i="1"/>
  <c r="K12904" i="1"/>
  <c r="L12904" i="1"/>
  <c r="K12905" i="1"/>
  <c r="L12905" i="1"/>
  <c r="K12906" i="1"/>
  <c r="L12906" i="1"/>
  <c r="K12907" i="1"/>
  <c r="L12907" i="1"/>
  <c r="K12908" i="1"/>
  <c r="L12908" i="1"/>
  <c r="K12909" i="1"/>
  <c r="L12909" i="1"/>
  <c r="K12910" i="1"/>
  <c r="L12910" i="1"/>
  <c r="K12911" i="1"/>
  <c r="L12911" i="1"/>
  <c r="K12912" i="1"/>
  <c r="L12912" i="1"/>
  <c r="K12913" i="1"/>
  <c r="L12913" i="1"/>
  <c r="K12914" i="1"/>
  <c r="L12914" i="1"/>
  <c r="K12915" i="1"/>
  <c r="L12915" i="1"/>
  <c r="K12916" i="1"/>
  <c r="L12916" i="1"/>
  <c r="K12917" i="1"/>
  <c r="L12917" i="1"/>
  <c r="K12918" i="1"/>
  <c r="L12918" i="1"/>
  <c r="K12919" i="1"/>
  <c r="L12919" i="1"/>
  <c r="K12920" i="1"/>
  <c r="L12920" i="1"/>
  <c r="K12921" i="1"/>
  <c r="L12921" i="1"/>
  <c r="K12922" i="1"/>
  <c r="L12922" i="1"/>
  <c r="K12923" i="1"/>
  <c r="L12923" i="1"/>
  <c r="K12779" i="1"/>
  <c r="L12779" i="1"/>
  <c r="M12779" i="1"/>
  <c r="K12780" i="1"/>
  <c r="L12780" i="1"/>
  <c r="M12780" i="1"/>
  <c r="K12781" i="1"/>
  <c r="L12781" i="1"/>
  <c r="M12781" i="1"/>
  <c r="K12782" i="1"/>
  <c r="L12782" i="1"/>
  <c r="M12782" i="1"/>
  <c r="K12783" i="1"/>
  <c r="L12783" i="1"/>
  <c r="M12783" i="1"/>
  <c r="K12784" i="1"/>
  <c r="L12784" i="1"/>
  <c r="M12784" i="1"/>
  <c r="K12785" i="1"/>
  <c r="L12785" i="1"/>
  <c r="M12785" i="1"/>
  <c r="K12983" i="1"/>
  <c r="L12983" i="1"/>
  <c r="K12984" i="1"/>
  <c r="L12984" i="1"/>
  <c r="K12985" i="1"/>
  <c r="L12985" i="1"/>
  <c r="K12986" i="1"/>
  <c r="L12986" i="1"/>
  <c r="K12987" i="1"/>
  <c r="L12987" i="1"/>
  <c r="K12988" i="1"/>
  <c r="L12988" i="1"/>
  <c r="K12989" i="1"/>
  <c r="L12989" i="1"/>
  <c r="K12990" i="1"/>
  <c r="L12990" i="1"/>
  <c r="K12991" i="1"/>
  <c r="L12991" i="1"/>
  <c r="K12992" i="1"/>
  <c r="L12992" i="1"/>
  <c r="K12993" i="1"/>
  <c r="L12993" i="1"/>
  <c r="K12994" i="1"/>
  <c r="L12994" i="1"/>
  <c r="K12995" i="1"/>
  <c r="L12995" i="1"/>
  <c r="K12996" i="1"/>
  <c r="L12996" i="1"/>
  <c r="K12997" i="1"/>
  <c r="L12997" i="1"/>
  <c r="K12998" i="1"/>
  <c r="L12998" i="1"/>
  <c r="K12999" i="1"/>
  <c r="L12999" i="1"/>
  <c r="K13000" i="1"/>
  <c r="L13000" i="1"/>
  <c r="K13001" i="1"/>
  <c r="L13001" i="1"/>
  <c r="K13002" i="1"/>
  <c r="L13002" i="1"/>
  <c r="K13003" i="1"/>
  <c r="L13003" i="1"/>
  <c r="K13004" i="1"/>
  <c r="L13004" i="1"/>
  <c r="K13005" i="1"/>
  <c r="L13005" i="1"/>
  <c r="K13006" i="1"/>
  <c r="L13006" i="1"/>
  <c r="K13007" i="1"/>
  <c r="L13007" i="1"/>
  <c r="K13008" i="1"/>
  <c r="L13008" i="1"/>
  <c r="K13009" i="1"/>
  <c r="L13009" i="1"/>
  <c r="K13010" i="1"/>
  <c r="L13010" i="1"/>
  <c r="K13011" i="1"/>
  <c r="L13011" i="1"/>
  <c r="K13012" i="1"/>
  <c r="L13012" i="1"/>
  <c r="K13013" i="1"/>
  <c r="L13013" i="1"/>
  <c r="K13014" i="1"/>
  <c r="L13014" i="1"/>
  <c r="K13015" i="1"/>
  <c r="L13015" i="1"/>
  <c r="K12973" i="1"/>
  <c r="L12973" i="1"/>
  <c r="K12974" i="1"/>
  <c r="L12974" i="1"/>
  <c r="K12975" i="1"/>
  <c r="L12975" i="1"/>
  <c r="K12976" i="1"/>
  <c r="L12976" i="1"/>
  <c r="K12977" i="1"/>
  <c r="L12977" i="1"/>
  <c r="K12978" i="1"/>
  <c r="L12978" i="1"/>
  <c r="K12979" i="1"/>
  <c r="L12979" i="1"/>
  <c r="K12980" i="1"/>
  <c r="L12980" i="1"/>
  <c r="K12981" i="1"/>
  <c r="L12981" i="1"/>
  <c r="K12982" i="1"/>
  <c r="L12982" i="1"/>
  <c r="K12786" i="1"/>
  <c r="L12786" i="1"/>
  <c r="M12786" i="1"/>
  <c r="K12787" i="1"/>
  <c r="L12787" i="1"/>
  <c r="M12787" i="1"/>
  <c r="K12788" i="1"/>
  <c r="L12788" i="1"/>
  <c r="M12788" i="1"/>
  <c r="K12789" i="1"/>
  <c r="L12789" i="1"/>
  <c r="M12789" i="1"/>
  <c r="K12790" i="1"/>
  <c r="L12790" i="1"/>
  <c r="M12790" i="1"/>
  <c r="K13026" i="1"/>
  <c r="L13026" i="1"/>
  <c r="K13027" i="1"/>
  <c r="L13027" i="1"/>
  <c r="K13028" i="1"/>
  <c r="L13028" i="1"/>
  <c r="K13029" i="1"/>
  <c r="L13029" i="1"/>
  <c r="K13030" i="1"/>
  <c r="L13030" i="1"/>
  <c r="K13031" i="1"/>
  <c r="L13031" i="1"/>
  <c r="K13032" i="1"/>
  <c r="L13032" i="1"/>
  <c r="K13033" i="1"/>
  <c r="L13033" i="1"/>
  <c r="K13034" i="1"/>
  <c r="L13034" i="1"/>
  <c r="K13035" i="1"/>
  <c r="L13035" i="1"/>
  <c r="K13016" i="1"/>
  <c r="L13016" i="1"/>
  <c r="K13017" i="1"/>
  <c r="L13017" i="1"/>
  <c r="K13018" i="1"/>
  <c r="L13018" i="1"/>
  <c r="K13019" i="1"/>
  <c r="L13019" i="1"/>
  <c r="K13020" i="1"/>
  <c r="L13020" i="1"/>
  <c r="K13021" i="1"/>
  <c r="L13021" i="1"/>
  <c r="K13022" i="1"/>
  <c r="L13022" i="1"/>
  <c r="K13023" i="1"/>
  <c r="L13023" i="1"/>
  <c r="K13024" i="1"/>
  <c r="L13024" i="1"/>
  <c r="K13025" i="1"/>
  <c r="L13025" i="1"/>
  <c r="K12791" i="1"/>
  <c r="L12791" i="1"/>
  <c r="M12791" i="1"/>
  <c r="K12792" i="1"/>
  <c r="L12792" i="1"/>
  <c r="M12792" i="1"/>
  <c r="K12793" i="1"/>
  <c r="L12793" i="1"/>
  <c r="M12793" i="1"/>
  <c r="K13042" i="1"/>
  <c r="L13042" i="1"/>
  <c r="K13043" i="1"/>
  <c r="L13043" i="1"/>
  <c r="K13044" i="1"/>
  <c r="L13044" i="1"/>
  <c r="K13045" i="1"/>
  <c r="L13045" i="1"/>
  <c r="K13046" i="1"/>
  <c r="L13046" i="1"/>
  <c r="K13047" i="1"/>
  <c r="L13047" i="1"/>
  <c r="K13048" i="1"/>
  <c r="L13048" i="1"/>
  <c r="K13049" i="1"/>
  <c r="L13049" i="1"/>
  <c r="K13050" i="1"/>
  <c r="L13050" i="1"/>
  <c r="K13051" i="1"/>
  <c r="L13051" i="1"/>
  <c r="K13052" i="1"/>
  <c r="L13052" i="1"/>
  <c r="K13053" i="1"/>
  <c r="L13053" i="1"/>
  <c r="K13054" i="1"/>
  <c r="L13054" i="1"/>
  <c r="K13036" i="1"/>
  <c r="L13036" i="1"/>
  <c r="K13037" i="1"/>
  <c r="L13037" i="1"/>
  <c r="K13038" i="1"/>
  <c r="L13038" i="1"/>
  <c r="K13039" i="1"/>
  <c r="L13039" i="1"/>
  <c r="K13040" i="1"/>
  <c r="L13040" i="1"/>
  <c r="K13041" i="1"/>
  <c r="L13041" i="1"/>
  <c r="K12794" i="1"/>
  <c r="L12794" i="1"/>
  <c r="M12794" i="1"/>
  <c r="K12795" i="1"/>
  <c r="L12795" i="1"/>
  <c r="M12795" i="1"/>
  <c r="K13059" i="1"/>
  <c r="L13059" i="1"/>
  <c r="K13060" i="1"/>
  <c r="L13060" i="1"/>
  <c r="K13061" i="1"/>
  <c r="L13061" i="1"/>
  <c r="K13062" i="1"/>
  <c r="L13062" i="1"/>
  <c r="K13055" i="1"/>
  <c r="L13055" i="1"/>
  <c r="K13056" i="1"/>
  <c r="L13056" i="1"/>
  <c r="K13057" i="1"/>
  <c r="L13057" i="1"/>
  <c r="K13058" i="1"/>
  <c r="L13058" i="1"/>
  <c r="K13063" i="1"/>
  <c r="L13063" i="1"/>
  <c r="M13063" i="1"/>
  <c r="K13064" i="1"/>
  <c r="L13064" i="1"/>
  <c r="M13064" i="1"/>
  <c r="K13065" i="1"/>
  <c r="L13065" i="1"/>
  <c r="M13065" i="1"/>
  <c r="K13066" i="1"/>
  <c r="L13066" i="1"/>
  <c r="M13066" i="1"/>
  <c r="K13067" i="1"/>
  <c r="L13067" i="1"/>
  <c r="M13067" i="1"/>
  <c r="K13190" i="1"/>
  <c r="M13190" i="1"/>
  <c r="K13191" i="1"/>
  <c r="M13191" i="1"/>
  <c r="K13192" i="1"/>
  <c r="M13192" i="1"/>
  <c r="K13193" i="1"/>
  <c r="M13193" i="1"/>
  <c r="K13194" i="1"/>
  <c r="M13194" i="1"/>
  <c r="K13195" i="1"/>
  <c r="M13195" i="1"/>
  <c r="K13196" i="1"/>
  <c r="M13196" i="1"/>
  <c r="K13197" i="1"/>
  <c r="M13197" i="1"/>
  <c r="K13198" i="1"/>
  <c r="M13198" i="1"/>
  <c r="K13199" i="1"/>
  <c r="M13199" i="1"/>
  <c r="K13200" i="1"/>
  <c r="M13200" i="1"/>
  <c r="K13201" i="1"/>
  <c r="M13201" i="1"/>
  <c r="K13202" i="1"/>
  <c r="M13202" i="1"/>
  <c r="K13203" i="1"/>
  <c r="M13203" i="1"/>
  <c r="K13204" i="1"/>
  <c r="M13204" i="1"/>
  <c r="K13205" i="1"/>
  <c r="M13205" i="1"/>
  <c r="K13206" i="1"/>
  <c r="M13206" i="1"/>
  <c r="K13207" i="1"/>
  <c r="M13207" i="1"/>
  <c r="K13208" i="1"/>
  <c r="M13208" i="1"/>
  <c r="K13209" i="1"/>
  <c r="M13209" i="1"/>
  <c r="K13210" i="1"/>
  <c r="M13210" i="1"/>
  <c r="K13211" i="1"/>
  <c r="M13211" i="1"/>
  <c r="K13212" i="1"/>
  <c r="M13212" i="1"/>
  <c r="K13213" i="1"/>
  <c r="M13213" i="1"/>
  <c r="K13214" i="1"/>
  <c r="M13214" i="1"/>
  <c r="K13215" i="1"/>
  <c r="M13215" i="1"/>
  <c r="K13216" i="1"/>
  <c r="M13216" i="1"/>
  <c r="K13217" i="1"/>
  <c r="M13217" i="1"/>
  <c r="K13218" i="1"/>
  <c r="M13218" i="1"/>
  <c r="K13219" i="1"/>
  <c r="M13219" i="1"/>
  <c r="K13220" i="1"/>
  <c r="M13220" i="1"/>
  <c r="K13221" i="1"/>
  <c r="M13221" i="1"/>
  <c r="K13222" i="1"/>
  <c r="M13222" i="1"/>
  <c r="K13223" i="1"/>
  <c r="M13223" i="1"/>
  <c r="K13224" i="1"/>
  <c r="M13224" i="1"/>
  <c r="K13225" i="1"/>
  <c r="M13225" i="1"/>
  <c r="K13226" i="1"/>
  <c r="M13226" i="1"/>
  <c r="K13227" i="1"/>
  <c r="M13227" i="1"/>
  <c r="K13228" i="1"/>
  <c r="M13228" i="1"/>
  <c r="K13229" i="1"/>
  <c r="M13229" i="1"/>
  <c r="K13230" i="1"/>
  <c r="M13230" i="1"/>
  <c r="K13231" i="1"/>
  <c r="M13231" i="1"/>
  <c r="K13232" i="1"/>
  <c r="M13232" i="1"/>
  <c r="K13233" i="1"/>
  <c r="M13233" i="1"/>
  <c r="K13234" i="1"/>
  <c r="M13234" i="1"/>
  <c r="K13235" i="1"/>
  <c r="M13235" i="1"/>
  <c r="K13236" i="1"/>
  <c r="M13236" i="1"/>
  <c r="K13237" i="1"/>
  <c r="M13237" i="1"/>
  <c r="K13238" i="1"/>
  <c r="M13238" i="1"/>
  <c r="K13239" i="1"/>
  <c r="M13239" i="1"/>
  <c r="K13240" i="1"/>
  <c r="M13240" i="1"/>
  <c r="K13241" i="1"/>
  <c r="M13241" i="1"/>
  <c r="K13242" i="1"/>
  <c r="M13242" i="1"/>
  <c r="K13243" i="1"/>
  <c r="M13243" i="1"/>
  <c r="K13244" i="1"/>
  <c r="M13244" i="1"/>
  <c r="K13245" i="1"/>
  <c r="M13245" i="1"/>
  <c r="K13246" i="1"/>
  <c r="M13246" i="1"/>
  <c r="K13247" i="1"/>
  <c r="M13247" i="1"/>
  <c r="K13248" i="1"/>
  <c r="M13248" i="1"/>
  <c r="K13249" i="1"/>
  <c r="M13249" i="1"/>
  <c r="K13250" i="1"/>
  <c r="M13250" i="1"/>
  <c r="K13251" i="1"/>
  <c r="M13251" i="1"/>
  <c r="K13252" i="1"/>
  <c r="M13252" i="1"/>
  <c r="K13253" i="1"/>
  <c r="M13253" i="1"/>
  <c r="K13254" i="1"/>
  <c r="M13254" i="1"/>
  <c r="K13255" i="1"/>
  <c r="M13255" i="1"/>
  <c r="K13256" i="1"/>
  <c r="M13256" i="1"/>
  <c r="K13257" i="1"/>
  <c r="M13257" i="1"/>
  <c r="K13258" i="1"/>
  <c r="M13258" i="1"/>
  <c r="K13259" i="1"/>
  <c r="M13259" i="1"/>
  <c r="K13260" i="1"/>
  <c r="M13260" i="1"/>
  <c r="K13261" i="1"/>
  <c r="M13261" i="1"/>
  <c r="K13262" i="1"/>
  <c r="M13262" i="1"/>
  <c r="K13263" i="1"/>
  <c r="M13263" i="1"/>
  <c r="K13264" i="1"/>
  <c r="M13264" i="1"/>
  <c r="K13265" i="1"/>
  <c r="M13265" i="1"/>
  <c r="K13266" i="1"/>
  <c r="M13266" i="1"/>
  <c r="K13267" i="1"/>
  <c r="M13267" i="1"/>
  <c r="K13268" i="1"/>
  <c r="M13268" i="1"/>
  <c r="K13269" i="1"/>
  <c r="M13269" i="1"/>
  <c r="K13270" i="1"/>
  <c r="M13270" i="1"/>
  <c r="K13271" i="1"/>
  <c r="M13271" i="1"/>
  <c r="K13272" i="1"/>
  <c r="M13272" i="1"/>
  <c r="K13273" i="1"/>
  <c r="M13273" i="1"/>
  <c r="K13274" i="1"/>
  <c r="M13274" i="1"/>
  <c r="K13275" i="1"/>
  <c r="M13275" i="1"/>
  <c r="K13276" i="1"/>
  <c r="M13276" i="1"/>
  <c r="K13110" i="1"/>
  <c r="M13110" i="1"/>
  <c r="K13111" i="1"/>
  <c r="M13111" i="1"/>
  <c r="K13112" i="1"/>
  <c r="M13112" i="1"/>
  <c r="K13113" i="1"/>
  <c r="M13113" i="1"/>
  <c r="K13114" i="1"/>
  <c r="M13114" i="1"/>
  <c r="K13115" i="1"/>
  <c r="M13115" i="1"/>
  <c r="K13116" i="1"/>
  <c r="M13116" i="1"/>
  <c r="K13117" i="1"/>
  <c r="M13117" i="1"/>
  <c r="K13118" i="1"/>
  <c r="M13118" i="1"/>
  <c r="K13119" i="1"/>
  <c r="M13119" i="1"/>
  <c r="K13120" i="1"/>
  <c r="M13120" i="1"/>
  <c r="K13121" i="1"/>
  <c r="M13121" i="1"/>
  <c r="K13122" i="1"/>
  <c r="M13122" i="1"/>
  <c r="K13123" i="1"/>
  <c r="M13123" i="1"/>
  <c r="K13124" i="1"/>
  <c r="M13124" i="1"/>
  <c r="K13125" i="1"/>
  <c r="M13125" i="1"/>
  <c r="K13126" i="1"/>
  <c r="M13126" i="1"/>
  <c r="K13127" i="1"/>
  <c r="M13127" i="1"/>
  <c r="K13128" i="1"/>
  <c r="M13128" i="1"/>
  <c r="K13129" i="1"/>
  <c r="M13129" i="1"/>
  <c r="K13130" i="1"/>
  <c r="M13130" i="1"/>
  <c r="K13131" i="1"/>
  <c r="M13131" i="1"/>
  <c r="K13132" i="1"/>
  <c r="M13132" i="1"/>
  <c r="K13133" i="1"/>
  <c r="M13133" i="1"/>
  <c r="K13134" i="1"/>
  <c r="M13134" i="1"/>
  <c r="K13135" i="1"/>
  <c r="M13135" i="1"/>
  <c r="K13136" i="1"/>
  <c r="M13136" i="1"/>
  <c r="K13137" i="1"/>
  <c r="M13137" i="1"/>
  <c r="K13138" i="1"/>
  <c r="M13138" i="1"/>
  <c r="K13139" i="1"/>
  <c r="M13139" i="1"/>
  <c r="K13140" i="1"/>
  <c r="M13140" i="1"/>
  <c r="K13141" i="1"/>
  <c r="M13141" i="1"/>
  <c r="K13142" i="1"/>
  <c r="M13142" i="1"/>
  <c r="K13143" i="1"/>
  <c r="M13143" i="1"/>
  <c r="K13144" i="1"/>
  <c r="M13144" i="1"/>
  <c r="K13145" i="1"/>
  <c r="M13145" i="1"/>
  <c r="K13146" i="1"/>
  <c r="M13146" i="1"/>
  <c r="K13147" i="1"/>
  <c r="M13147" i="1"/>
  <c r="K13148" i="1"/>
  <c r="M13148" i="1"/>
  <c r="K13149" i="1"/>
  <c r="M13149" i="1"/>
  <c r="K13150" i="1"/>
  <c r="M13150" i="1"/>
  <c r="K13151" i="1"/>
  <c r="M13151" i="1"/>
  <c r="K13152" i="1"/>
  <c r="M13152" i="1"/>
  <c r="K13153" i="1"/>
  <c r="M13153" i="1"/>
  <c r="K13154" i="1"/>
  <c r="M13154" i="1"/>
  <c r="K13155" i="1"/>
  <c r="M13155" i="1"/>
  <c r="K13156" i="1"/>
  <c r="M13156" i="1"/>
  <c r="K13157" i="1"/>
  <c r="M13157" i="1"/>
  <c r="K13158" i="1"/>
  <c r="M13158" i="1"/>
  <c r="K13159" i="1"/>
  <c r="M13159" i="1"/>
  <c r="K13160" i="1"/>
  <c r="M13160" i="1"/>
  <c r="K13161" i="1"/>
  <c r="M13161" i="1"/>
  <c r="K13162" i="1"/>
  <c r="M13162" i="1"/>
  <c r="K13163" i="1"/>
  <c r="M13163" i="1"/>
  <c r="K13164" i="1"/>
  <c r="M13164" i="1"/>
  <c r="K13165" i="1"/>
  <c r="M13165" i="1"/>
  <c r="K13166" i="1"/>
  <c r="M13166" i="1"/>
  <c r="K13167" i="1"/>
  <c r="M13167" i="1"/>
  <c r="K13168" i="1"/>
  <c r="M13168" i="1"/>
  <c r="K13169" i="1"/>
  <c r="M13169" i="1"/>
  <c r="K13170" i="1"/>
  <c r="M13170" i="1"/>
  <c r="K13171" i="1"/>
  <c r="M13171" i="1"/>
  <c r="K13172" i="1"/>
  <c r="M13172" i="1"/>
  <c r="K13173" i="1"/>
  <c r="M13173" i="1"/>
  <c r="K13174" i="1"/>
  <c r="M13174" i="1"/>
  <c r="K13175" i="1"/>
  <c r="M13175" i="1"/>
  <c r="K13176" i="1"/>
  <c r="M13176" i="1"/>
  <c r="K13177" i="1"/>
  <c r="M13177" i="1"/>
  <c r="K13178" i="1"/>
  <c r="M13178" i="1"/>
  <c r="K13179" i="1"/>
  <c r="M13179" i="1"/>
  <c r="K13180" i="1"/>
  <c r="M13180" i="1"/>
  <c r="K13181" i="1"/>
  <c r="M13181" i="1"/>
  <c r="K13182" i="1"/>
  <c r="M13182" i="1"/>
  <c r="K13183" i="1"/>
  <c r="M13183" i="1"/>
  <c r="K13184" i="1"/>
  <c r="M13184" i="1"/>
  <c r="K13185" i="1"/>
  <c r="M13185" i="1"/>
  <c r="K13186" i="1"/>
  <c r="M13186" i="1"/>
  <c r="K13187" i="1"/>
  <c r="M13187" i="1"/>
  <c r="K13188" i="1"/>
  <c r="M13188" i="1"/>
  <c r="K13189" i="1"/>
  <c r="M13189" i="1"/>
  <c r="K13068" i="1"/>
  <c r="L13068" i="1"/>
  <c r="M13068" i="1"/>
  <c r="K13069" i="1"/>
  <c r="L13069" i="1"/>
  <c r="M13069" i="1"/>
  <c r="K13070" i="1"/>
  <c r="L13070" i="1"/>
  <c r="M13070" i="1"/>
  <c r="K13277" i="1"/>
  <c r="L13277" i="1"/>
  <c r="K13278" i="1"/>
  <c r="L13278" i="1"/>
  <c r="K13279" i="1"/>
  <c r="L13279" i="1"/>
  <c r="K13280" i="1"/>
  <c r="L13280" i="1"/>
  <c r="K13281" i="1"/>
  <c r="L13281" i="1"/>
  <c r="K13282" i="1"/>
  <c r="L13282" i="1"/>
  <c r="K13283" i="1"/>
  <c r="L13283" i="1"/>
  <c r="K13284" i="1"/>
  <c r="L13284" i="1"/>
  <c r="K13285" i="1"/>
  <c r="L13285" i="1"/>
  <c r="K13286" i="1"/>
  <c r="L13286" i="1"/>
  <c r="K13287" i="1"/>
  <c r="L13287" i="1"/>
  <c r="K13288" i="1"/>
  <c r="L13288" i="1"/>
  <c r="K13289" i="1"/>
  <c r="L13289" i="1"/>
  <c r="K13290" i="1"/>
  <c r="L13290" i="1"/>
  <c r="K13291" i="1"/>
  <c r="L13291" i="1"/>
  <c r="K13292" i="1"/>
  <c r="L13292" i="1"/>
  <c r="K13293" i="1"/>
  <c r="L13293" i="1"/>
  <c r="K13294" i="1"/>
  <c r="L13294" i="1"/>
  <c r="K13295" i="1"/>
  <c r="L13295" i="1"/>
  <c r="K13296" i="1"/>
  <c r="L13296" i="1"/>
  <c r="K13297" i="1"/>
  <c r="L13297" i="1"/>
  <c r="K13298" i="1"/>
  <c r="L13298" i="1"/>
  <c r="K13299" i="1"/>
  <c r="L13299" i="1"/>
  <c r="K13300" i="1"/>
  <c r="L13300" i="1"/>
  <c r="K13301" i="1"/>
  <c r="L13301" i="1"/>
  <c r="K13302" i="1"/>
  <c r="L13302" i="1"/>
  <c r="K13303" i="1"/>
  <c r="L13303" i="1"/>
  <c r="K13304" i="1"/>
  <c r="L13304" i="1"/>
  <c r="K13305" i="1"/>
  <c r="L13305" i="1"/>
  <c r="K13306" i="1"/>
  <c r="L13306" i="1"/>
  <c r="K13071" i="1"/>
  <c r="L13071" i="1"/>
  <c r="M13071" i="1"/>
  <c r="K13072" i="1"/>
  <c r="L13072" i="1"/>
  <c r="M13072" i="1"/>
  <c r="K13073" i="1"/>
  <c r="L13073" i="1"/>
  <c r="M13073" i="1"/>
  <c r="K13074" i="1"/>
  <c r="L13074" i="1"/>
  <c r="M13074" i="1"/>
  <c r="K13075" i="1"/>
  <c r="L13075" i="1"/>
  <c r="M13075" i="1"/>
  <c r="K13076" i="1"/>
  <c r="L13076" i="1"/>
  <c r="M13076" i="1"/>
  <c r="K13077" i="1"/>
  <c r="L13077" i="1"/>
  <c r="M13077" i="1"/>
  <c r="K13078" i="1"/>
  <c r="L13078" i="1"/>
  <c r="M13078" i="1"/>
  <c r="K13079" i="1"/>
  <c r="L13079" i="1"/>
  <c r="M13079" i="1"/>
  <c r="K13080" i="1"/>
  <c r="L13080" i="1"/>
  <c r="M13080" i="1"/>
  <c r="K13081" i="1"/>
  <c r="L13081" i="1"/>
  <c r="M13081" i="1"/>
  <c r="K13319" i="1"/>
  <c r="L13319" i="1"/>
  <c r="K13320" i="1"/>
  <c r="L13320" i="1"/>
  <c r="K13321" i="1"/>
  <c r="L13321" i="1"/>
  <c r="K13322" i="1"/>
  <c r="L13322" i="1"/>
  <c r="K13323" i="1"/>
  <c r="L13323" i="1"/>
  <c r="K13324" i="1"/>
  <c r="L13324" i="1"/>
  <c r="K13325" i="1"/>
  <c r="L13325" i="1"/>
  <c r="K13326" i="1"/>
  <c r="L13326" i="1"/>
  <c r="K13327" i="1"/>
  <c r="L13327" i="1"/>
  <c r="K13328" i="1"/>
  <c r="L13328" i="1"/>
  <c r="K13329" i="1"/>
  <c r="L13329" i="1"/>
  <c r="K13330" i="1"/>
  <c r="L13330" i="1"/>
  <c r="K13331" i="1"/>
  <c r="L13331" i="1"/>
  <c r="K13332" i="1"/>
  <c r="L13332" i="1"/>
  <c r="K13333" i="1"/>
  <c r="L13333" i="1"/>
  <c r="K13334" i="1"/>
  <c r="L13334" i="1"/>
  <c r="K13335" i="1"/>
  <c r="L13335" i="1"/>
  <c r="K13336" i="1"/>
  <c r="L13336" i="1"/>
  <c r="K13337" i="1"/>
  <c r="L13337" i="1"/>
  <c r="K13338" i="1"/>
  <c r="L13338" i="1"/>
  <c r="K13339" i="1"/>
  <c r="L13339" i="1"/>
  <c r="K13340" i="1"/>
  <c r="L13340" i="1"/>
  <c r="K13341" i="1"/>
  <c r="L13341" i="1"/>
  <c r="K13342" i="1"/>
  <c r="L13342" i="1"/>
  <c r="K13343" i="1"/>
  <c r="L13343" i="1"/>
  <c r="K13344" i="1"/>
  <c r="L13344" i="1"/>
  <c r="K13345" i="1"/>
  <c r="L13345" i="1"/>
  <c r="K13346" i="1"/>
  <c r="L13346" i="1"/>
  <c r="K13347" i="1"/>
  <c r="L13347" i="1"/>
  <c r="K13348" i="1"/>
  <c r="L13348" i="1"/>
  <c r="K13349" i="1"/>
  <c r="L13349" i="1"/>
  <c r="K13350" i="1"/>
  <c r="L13350" i="1"/>
  <c r="K13307" i="1"/>
  <c r="L13307" i="1"/>
  <c r="K13308" i="1"/>
  <c r="L13308" i="1"/>
  <c r="K13309" i="1"/>
  <c r="L13309" i="1"/>
  <c r="K13310" i="1"/>
  <c r="L13310" i="1"/>
  <c r="K13311" i="1"/>
  <c r="L13311" i="1"/>
  <c r="K13312" i="1"/>
  <c r="L13312" i="1"/>
  <c r="K13313" i="1"/>
  <c r="L13313" i="1"/>
  <c r="K13314" i="1"/>
  <c r="L13314" i="1"/>
  <c r="K13315" i="1"/>
  <c r="L13315" i="1"/>
  <c r="K13316" i="1"/>
  <c r="L13316" i="1"/>
  <c r="K13317" i="1"/>
  <c r="L13317" i="1"/>
  <c r="K13318" i="1"/>
  <c r="L13318" i="1"/>
  <c r="K13082" i="1"/>
  <c r="L13082" i="1"/>
  <c r="M13082" i="1"/>
  <c r="K13083" i="1"/>
  <c r="L13083" i="1"/>
  <c r="M13083" i="1"/>
  <c r="K13084" i="1"/>
  <c r="L13084" i="1"/>
  <c r="M13084" i="1"/>
  <c r="K13085" i="1"/>
  <c r="L13085" i="1"/>
  <c r="M13085" i="1"/>
  <c r="K13086" i="1"/>
  <c r="L13086" i="1"/>
  <c r="M13086" i="1"/>
  <c r="K13087" i="1"/>
  <c r="L13087" i="1"/>
  <c r="M13087" i="1"/>
  <c r="K13088" i="1"/>
  <c r="L13088" i="1"/>
  <c r="M13088" i="1"/>
  <c r="K13089" i="1"/>
  <c r="L13089" i="1"/>
  <c r="M13089" i="1"/>
  <c r="K13370" i="1"/>
  <c r="L13370" i="1"/>
  <c r="K13371" i="1"/>
  <c r="L13371" i="1"/>
  <c r="K13372" i="1"/>
  <c r="L13372" i="1"/>
  <c r="K13373" i="1"/>
  <c r="L13373" i="1"/>
  <c r="K13374" i="1"/>
  <c r="L13374" i="1"/>
  <c r="K13375" i="1"/>
  <c r="L13375" i="1"/>
  <c r="K13376" i="1"/>
  <c r="L13376" i="1"/>
  <c r="K13377" i="1"/>
  <c r="L13377" i="1"/>
  <c r="K13378" i="1"/>
  <c r="L13378" i="1"/>
  <c r="K13379" i="1"/>
  <c r="L13379" i="1"/>
  <c r="K13380" i="1"/>
  <c r="L13380" i="1"/>
  <c r="K13381" i="1"/>
  <c r="L13381" i="1"/>
  <c r="K13382" i="1"/>
  <c r="L13382" i="1"/>
  <c r="K13383" i="1"/>
  <c r="L13383" i="1"/>
  <c r="K13384" i="1"/>
  <c r="L13384" i="1"/>
  <c r="K13385" i="1"/>
  <c r="L13385" i="1"/>
  <c r="K13386" i="1"/>
  <c r="L13386" i="1"/>
  <c r="K13387" i="1"/>
  <c r="L13387" i="1"/>
  <c r="K13388" i="1"/>
  <c r="L13388" i="1"/>
  <c r="K13389" i="1"/>
  <c r="L13389" i="1"/>
  <c r="K13390" i="1"/>
  <c r="L13390" i="1"/>
  <c r="K13351" i="1"/>
  <c r="L13351" i="1"/>
  <c r="K13352" i="1"/>
  <c r="L13352" i="1"/>
  <c r="K13353" i="1"/>
  <c r="L13353" i="1"/>
  <c r="K13354" i="1"/>
  <c r="L13354" i="1"/>
  <c r="K13355" i="1"/>
  <c r="L13355" i="1"/>
  <c r="K13356" i="1"/>
  <c r="L13356" i="1"/>
  <c r="K13357" i="1"/>
  <c r="L13357" i="1"/>
  <c r="K13358" i="1"/>
  <c r="L13358" i="1"/>
  <c r="K13359" i="1"/>
  <c r="L13359" i="1"/>
  <c r="K13360" i="1"/>
  <c r="L13360" i="1"/>
  <c r="K13361" i="1"/>
  <c r="L13361" i="1"/>
  <c r="K13362" i="1"/>
  <c r="L13362" i="1"/>
  <c r="K13363" i="1"/>
  <c r="L13363" i="1"/>
  <c r="K13364" i="1"/>
  <c r="L13364" i="1"/>
  <c r="K13365" i="1"/>
  <c r="L13365" i="1"/>
  <c r="K13366" i="1"/>
  <c r="L13366" i="1"/>
  <c r="K13367" i="1"/>
  <c r="L13367" i="1"/>
  <c r="K13368" i="1"/>
  <c r="L13368" i="1"/>
  <c r="K13369" i="1"/>
  <c r="L13369" i="1"/>
  <c r="K13090" i="1"/>
  <c r="L13090" i="1"/>
  <c r="M13090" i="1"/>
  <c r="K13091" i="1"/>
  <c r="L13091" i="1"/>
  <c r="M13091" i="1"/>
  <c r="K13092" i="1"/>
  <c r="L13092" i="1"/>
  <c r="M13092" i="1"/>
  <c r="K13093" i="1"/>
  <c r="L13093" i="1"/>
  <c r="M13093" i="1"/>
  <c r="K13094" i="1"/>
  <c r="L13094" i="1"/>
  <c r="M13094" i="1"/>
  <c r="K13095" i="1"/>
  <c r="L13095" i="1"/>
  <c r="M13095" i="1"/>
  <c r="K13096" i="1"/>
  <c r="L13096" i="1"/>
  <c r="M13096" i="1"/>
  <c r="K13097" i="1"/>
  <c r="L13097" i="1"/>
  <c r="M13097" i="1"/>
  <c r="K13098" i="1"/>
  <c r="L13098" i="1"/>
  <c r="M13098" i="1"/>
  <c r="K13099" i="1"/>
  <c r="L13099" i="1"/>
  <c r="M13099" i="1"/>
  <c r="K13100" i="1"/>
  <c r="L13100" i="1"/>
  <c r="M13100" i="1"/>
  <c r="K13101" i="1"/>
  <c r="L13101" i="1"/>
  <c r="M13101" i="1"/>
  <c r="K13102" i="1"/>
  <c r="L13102" i="1"/>
  <c r="M13102" i="1"/>
  <c r="K13103" i="1"/>
  <c r="L13103" i="1"/>
  <c r="M13103" i="1"/>
  <c r="K13104" i="1"/>
  <c r="L13104" i="1"/>
  <c r="M13104" i="1"/>
  <c r="K13105" i="1"/>
  <c r="L13105" i="1"/>
  <c r="M13105" i="1"/>
  <c r="K13106" i="1"/>
  <c r="L13106" i="1"/>
  <c r="M13106" i="1"/>
  <c r="K13107" i="1"/>
  <c r="L13107" i="1"/>
  <c r="M13107" i="1"/>
  <c r="K13108" i="1"/>
  <c r="L13108" i="1"/>
  <c r="M13108" i="1"/>
  <c r="K13109" i="1"/>
  <c r="L13109" i="1"/>
  <c r="M13109" i="1"/>
  <c r="K13395" i="1"/>
  <c r="L13395" i="1"/>
  <c r="K13396" i="1"/>
  <c r="L13396" i="1"/>
  <c r="K13397" i="1"/>
  <c r="L13397" i="1"/>
  <c r="K13398" i="1"/>
  <c r="L13398" i="1"/>
  <c r="K13399" i="1"/>
  <c r="L13399" i="1"/>
  <c r="K13400" i="1"/>
  <c r="L13400" i="1"/>
  <c r="K13401" i="1"/>
  <c r="L13401" i="1"/>
  <c r="K13402" i="1"/>
  <c r="L13402" i="1"/>
  <c r="K13403" i="1"/>
  <c r="L13403" i="1"/>
  <c r="K13404" i="1"/>
  <c r="L13404" i="1"/>
  <c r="K13405" i="1"/>
  <c r="L13405" i="1"/>
  <c r="K13406" i="1"/>
  <c r="L13406" i="1"/>
  <c r="K13407" i="1"/>
  <c r="L13407" i="1"/>
  <c r="K13408" i="1"/>
  <c r="L13408" i="1"/>
  <c r="K13409" i="1"/>
  <c r="L13409" i="1"/>
  <c r="K13410" i="1"/>
  <c r="L13410" i="1"/>
  <c r="K13411" i="1"/>
  <c r="L13411" i="1"/>
  <c r="K13412" i="1"/>
  <c r="L13412" i="1"/>
  <c r="K13413" i="1"/>
  <c r="L13413" i="1"/>
  <c r="K13414" i="1"/>
  <c r="L13414" i="1"/>
  <c r="K13415" i="1"/>
  <c r="L13415" i="1"/>
  <c r="K13416" i="1"/>
  <c r="L13416" i="1"/>
  <c r="K13417" i="1"/>
  <c r="L13417" i="1"/>
  <c r="K13418" i="1"/>
  <c r="L13418" i="1"/>
  <c r="K13391" i="1"/>
  <c r="L13391" i="1"/>
  <c r="K13392" i="1"/>
  <c r="L13392" i="1"/>
  <c r="K13393" i="1"/>
  <c r="L13393" i="1"/>
  <c r="K13394" i="1"/>
  <c r="L13394" i="1"/>
  <c r="K2" i="1"/>
  <c r="L2" i="1"/>
  <c r="M2" i="1"/>
  <c r="K3" i="1"/>
  <c r="L3" i="1"/>
  <c r="M3" i="1"/>
  <c r="K4" i="1"/>
  <c r="L4" i="1"/>
  <c r="M4" i="1"/>
  <c r="K5" i="1"/>
  <c r="L5" i="1"/>
  <c r="M5" i="1"/>
  <c r="K6" i="1"/>
  <c r="L6" i="1"/>
  <c r="M6" i="1"/>
  <c r="K7" i="1"/>
  <c r="L7" i="1"/>
  <c r="M7" i="1"/>
  <c r="K8" i="1"/>
  <c r="L8" i="1"/>
  <c r="M8" i="1"/>
  <c r="K9" i="1"/>
  <c r="L9" i="1"/>
  <c r="M9" i="1"/>
  <c r="K10" i="1"/>
  <c r="L10" i="1"/>
  <c r="M10" i="1"/>
  <c r="K11" i="1"/>
  <c r="L11" i="1"/>
  <c r="M11" i="1"/>
  <c r="K12" i="1"/>
  <c r="L12" i="1"/>
  <c r="M12" i="1"/>
  <c r="K13" i="1"/>
  <c r="L13" i="1"/>
  <c r="M13" i="1"/>
  <c r="K14" i="1"/>
  <c r="L14" i="1"/>
  <c r="M14" i="1"/>
  <c r="K15" i="1"/>
  <c r="L15" i="1"/>
  <c r="M15" i="1"/>
  <c r="K16" i="1"/>
  <c r="L16" i="1"/>
  <c r="M16" i="1"/>
  <c r="K17" i="1"/>
  <c r="L17" i="1"/>
  <c r="M17" i="1"/>
  <c r="K18" i="1"/>
  <c r="L18" i="1"/>
  <c r="M18" i="1"/>
  <c r="K19" i="1"/>
  <c r="L19" i="1"/>
  <c r="M19" i="1"/>
  <c r="K20" i="1"/>
  <c r="L20" i="1"/>
  <c r="M20" i="1"/>
  <c r="K21" i="1"/>
  <c r="L21" i="1"/>
  <c r="M21" i="1"/>
  <c r="K22" i="1"/>
  <c r="L22" i="1"/>
  <c r="M22" i="1"/>
  <c r="K23" i="1"/>
  <c r="L23" i="1"/>
  <c r="M23" i="1"/>
  <c r="K24" i="1"/>
  <c r="L24" i="1"/>
  <c r="M24" i="1"/>
  <c r="K25" i="1"/>
  <c r="L25" i="1"/>
  <c r="M25" i="1"/>
  <c r="K26" i="1"/>
  <c r="L26" i="1"/>
  <c r="M26" i="1"/>
  <c r="K27" i="1"/>
  <c r="L27" i="1"/>
  <c r="M27" i="1"/>
  <c r="K28" i="1"/>
  <c r="L28" i="1"/>
  <c r="M28" i="1"/>
  <c r="K29" i="1"/>
  <c r="L29" i="1"/>
  <c r="M29" i="1"/>
  <c r="K30" i="1"/>
  <c r="L30" i="1"/>
  <c r="M30" i="1"/>
  <c r="K31" i="1"/>
  <c r="L31" i="1"/>
  <c r="M31" i="1"/>
  <c r="K32" i="1"/>
  <c r="L32" i="1"/>
  <c r="M32" i="1"/>
  <c r="K33" i="1"/>
  <c r="L33" i="1"/>
  <c r="M33" i="1"/>
  <c r="K34" i="1"/>
  <c r="L34" i="1"/>
  <c r="M34" i="1"/>
  <c r="K35" i="1"/>
  <c r="L35" i="1"/>
  <c r="M35" i="1"/>
  <c r="K36" i="1"/>
  <c r="L36" i="1"/>
  <c r="M36" i="1"/>
  <c r="K37" i="1"/>
  <c r="L37" i="1"/>
  <c r="M37" i="1"/>
  <c r="K38" i="1"/>
  <c r="L38" i="1"/>
  <c r="M38" i="1"/>
  <c r="K39" i="1"/>
  <c r="L39" i="1"/>
  <c r="M39" i="1"/>
  <c r="K40" i="1"/>
  <c r="L40" i="1"/>
  <c r="M40" i="1"/>
  <c r="K41" i="1"/>
  <c r="L41" i="1"/>
  <c r="M41" i="1"/>
  <c r="K42" i="1"/>
  <c r="L42" i="1"/>
  <c r="M42" i="1"/>
  <c r="K43" i="1"/>
  <c r="L43" i="1"/>
  <c r="M43" i="1"/>
  <c r="K44" i="1"/>
  <c r="L44" i="1"/>
  <c r="M44" i="1"/>
  <c r="K45" i="1"/>
  <c r="L45" i="1"/>
  <c r="M45" i="1"/>
  <c r="K46" i="1"/>
  <c r="L46" i="1"/>
  <c r="M46" i="1"/>
  <c r="K47" i="1"/>
  <c r="L47" i="1"/>
  <c r="M47" i="1"/>
  <c r="K48" i="1"/>
  <c r="L48" i="1"/>
  <c r="M48" i="1"/>
  <c r="K49" i="1"/>
  <c r="L49" i="1"/>
  <c r="M49" i="1"/>
  <c r="K50" i="1"/>
  <c r="L50" i="1"/>
  <c r="M50" i="1"/>
  <c r="K51" i="1"/>
  <c r="L51" i="1"/>
  <c r="M51" i="1"/>
  <c r="K52" i="1"/>
  <c r="L52" i="1"/>
  <c r="M52" i="1"/>
  <c r="K53" i="1"/>
  <c r="L53" i="1"/>
  <c r="M53" i="1"/>
  <c r="K54" i="1"/>
  <c r="L54" i="1"/>
  <c r="M54" i="1"/>
  <c r="K55" i="1"/>
  <c r="L55" i="1"/>
  <c r="M55" i="1"/>
  <c r="K56" i="1"/>
  <c r="L56" i="1"/>
  <c r="M56" i="1"/>
  <c r="K57" i="1"/>
  <c r="L57" i="1"/>
  <c r="M57" i="1"/>
  <c r="K58" i="1"/>
  <c r="L58" i="1"/>
  <c r="M58" i="1"/>
  <c r="K59" i="1"/>
  <c r="L59" i="1"/>
  <c r="M59" i="1"/>
  <c r="K60" i="1"/>
  <c r="L60" i="1"/>
  <c r="M60" i="1"/>
  <c r="K61" i="1"/>
  <c r="L61" i="1"/>
  <c r="M61" i="1"/>
  <c r="K62" i="1"/>
  <c r="L62" i="1"/>
  <c r="M62" i="1"/>
  <c r="K63" i="1"/>
  <c r="L63" i="1"/>
  <c r="M63" i="1"/>
  <c r="K64" i="1"/>
  <c r="L64" i="1"/>
  <c r="M64" i="1"/>
  <c r="K65" i="1"/>
  <c r="L65" i="1"/>
  <c r="M65" i="1"/>
  <c r="K66" i="1"/>
  <c r="L66" i="1"/>
  <c r="M66" i="1"/>
  <c r="K67" i="1"/>
  <c r="L67" i="1"/>
  <c r="M67" i="1"/>
  <c r="K68" i="1"/>
  <c r="L68" i="1"/>
  <c r="M68" i="1"/>
  <c r="K69" i="1"/>
  <c r="L69" i="1"/>
  <c r="M69" i="1"/>
  <c r="K70" i="1"/>
  <c r="L70" i="1"/>
  <c r="M70" i="1"/>
  <c r="K71" i="1"/>
  <c r="L71" i="1"/>
  <c r="M71" i="1"/>
  <c r="K72" i="1"/>
  <c r="L72" i="1"/>
  <c r="M72" i="1"/>
  <c r="K73" i="1"/>
  <c r="L73" i="1"/>
  <c r="M73" i="1"/>
  <c r="K74" i="1"/>
  <c r="L74" i="1"/>
  <c r="M74" i="1"/>
  <c r="K75" i="1"/>
  <c r="L75" i="1"/>
  <c r="M75" i="1"/>
  <c r="K76" i="1"/>
  <c r="L76" i="1"/>
  <c r="M76" i="1"/>
  <c r="K77" i="1"/>
  <c r="L77" i="1"/>
  <c r="M77" i="1"/>
  <c r="K78" i="1"/>
  <c r="L78" i="1"/>
  <c r="M78" i="1"/>
  <c r="K79" i="1"/>
  <c r="L79" i="1"/>
  <c r="M79" i="1"/>
  <c r="K80" i="1"/>
  <c r="L80" i="1"/>
  <c r="M80" i="1"/>
  <c r="K81" i="1"/>
  <c r="L81" i="1"/>
  <c r="M81" i="1"/>
  <c r="K82" i="1"/>
  <c r="L82" i="1"/>
  <c r="M82" i="1"/>
  <c r="K83" i="1"/>
  <c r="L83" i="1"/>
  <c r="M83" i="1"/>
  <c r="K84" i="1"/>
  <c r="L84" i="1"/>
  <c r="M84" i="1"/>
  <c r="K85" i="1"/>
  <c r="L85" i="1"/>
  <c r="M85" i="1"/>
  <c r="K86" i="1"/>
  <c r="L86" i="1"/>
  <c r="M86" i="1"/>
  <c r="K87" i="1"/>
  <c r="L87" i="1"/>
  <c r="M87" i="1"/>
  <c r="K88" i="1"/>
  <c r="L88" i="1"/>
  <c r="M88" i="1"/>
  <c r="K89" i="1"/>
  <c r="L89" i="1"/>
  <c r="M89" i="1"/>
  <c r="K90" i="1"/>
  <c r="L90" i="1"/>
  <c r="M90" i="1"/>
  <c r="K91" i="1"/>
  <c r="L91" i="1"/>
  <c r="M91" i="1"/>
  <c r="K92" i="1"/>
  <c r="L92" i="1"/>
  <c r="M92" i="1"/>
  <c r="K93" i="1"/>
  <c r="L93" i="1"/>
  <c r="M93" i="1"/>
  <c r="K94" i="1"/>
  <c r="L94" i="1"/>
  <c r="M94" i="1"/>
  <c r="K95" i="1"/>
  <c r="L95" i="1"/>
  <c r="M95" i="1"/>
  <c r="K96" i="1"/>
  <c r="L96" i="1"/>
  <c r="M96" i="1"/>
  <c r="K97" i="1"/>
  <c r="L97" i="1"/>
  <c r="M97" i="1"/>
  <c r="K98" i="1"/>
  <c r="L98" i="1"/>
  <c r="M98" i="1"/>
  <c r="K99" i="1"/>
  <c r="L99" i="1"/>
  <c r="M99" i="1"/>
  <c r="K100" i="1"/>
  <c r="L100" i="1"/>
  <c r="M100" i="1"/>
  <c r="K101" i="1"/>
  <c r="L101" i="1"/>
  <c r="M101" i="1"/>
  <c r="K102" i="1"/>
  <c r="L102" i="1"/>
  <c r="M102" i="1"/>
  <c r="K103" i="1"/>
  <c r="L103" i="1"/>
  <c r="M103" i="1"/>
  <c r="K104" i="1"/>
  <c r="L104" i="1"/>
  <c r="M104" i="1"/>
  <c r="K105" i="1"/>
  <c r="L105" i="1"/>
  <c r="M105" i="1"/>
  <c r="K106" i="1"/>
  <c r="L106" i="1"/>
  <c r="M106" i="1"/>
  <c r="K107" i="1"/>
  <c r="L107" i="1"/>
  <c r="M107" i="1"/>
  <c r="K108" i="1"/>
  <c r="L108" i="1"/>
  <c r="M108" i="1"/>
  <c r="K109" i="1"/>
  <c r="L109" i="1"/>
  <c r="M109" i="1"/>
  <c r="K110" i="1"/>
  <c r="L110" i="1"/>
  <c r="M110" i="1"/>
  <c r="K111" i="1"/>
  <c r="L111" i="1"/>
  <c r="M111" i="1"/>
  <c r="K112" i="1"/>
  <c r="L112" i="1"/>
  <c r="M112" i="1"/>
  <c r="K113" i="1"/>
  <c r="L113" i="1"/>
  <c r="M113" i="1"/>
  <c r="K114" i="1"/>
  <c r="L114" i="1"/>
  <c r="M114" i="1"/>
  <c r="K115" i="1"/>
  <c r="L115" i="1"/>
  <c r="M115" i="1"/>
  <c r="K116" i="1"/>
  <c r="L116" i="1"/>
  <c r="M116" i="1"/>
  <c r="K117" i="1"/>
  <c r="L117" i="1"/>
  <c r="M117" i="1"/>
  <c r="K118" i="1"/>
  <c r="L118" i="1"/>
  <c r="M118" i="1"/>
  <c r="K119" i="1"/>
  <c r="L119" i="1"/>
  <c r="M119" i="1"/>
  <c r="K120" i="1"/>
  <c r="L120" i="1"/>
  <c r="M120" i="1"/>
  <c r="K121" i="1"/>
  <c r="L121" i="1"/>
  <c r="M121" i="1"/>
  <c r="K122" i="1"/>
  <c r="L122" i="1"/>
  <c r="M122" i="1"/>
  <c r="K123" i="1"/>
  <c r="L123" i="1"/>
  <c r="M123" i="1"/>
  <c r="K124" i="1"/>
  <c r="L124" i="1"/>
  <c r="M124" i="1"/>
  <c r="K125" i="1"/>
  <c r="L125" i="1"/>
  <c r="M125" i="1"/>
  <c r="K126" i="1"/>
  <c r="L126" i="1"/>
  <c r="M126" i="1"/>
  <c r="K127" i="1"/>
  <c r="L127" i="1"/>
  <c r="M127" i="1"/>
  <c r="K128" i="1"/>
  <c r="L128" i="1"/>
  <c r="M128" i="1"/>
  <c r="K129" i="1"/>
  <c r="L129" i="1"/>
  <c r="M129" i="1"/>
  <c r="K130" i="1"/>
  <c r="L130" i="1"/>
  <c r="M130" i="1"/>
  <c r="K131" i="1"/>
  <c r="L131" i="1"/>
  <c r="M131" i="1"/>
  <c r="K132" i="1"/>
  <c r="L132" i="1"/>
  <c r="M132" i="1"/>
  <c r="K133" i="1"/>
  <c r="L133" i="1"/>
  <c r="M133" i="1"/>
  <c r="K134" i="1"/>
  <c r="L134" i="1"/>
  <c r="M134" i="1"/>
  <c r="K135" i="1"/>
  <c r="L135" i="1"/>
  <c r="M135" i="1"/>
  <c r="K136" i="1"/>
  <c r="L136" i="1"/>
  <c r="M136" i="1"/>
  <c r="K137" i="1"/>
  <c r="L137" i="1"/>
  <c r="M137" i="1"/>
  <c r="K138" i="1"/>
  <c r="L138" i="1"/>
  <c r="M138" i="1"/>
  <c r="K139" i="1"/>
  <c r="L139" i="1"/>
  <c r="M139" i="1"/>
  <c r="K140" i="1"/>
  <c r="L140" i="1"/>
  <c r="M140" i="1"/>
  <c r="K141" i="1"/>
  <c r="L141" i="1"/>
  <c r="M141" i="1"/>
  <c r="K142" i="1"/>
  <c r="L142" i="1"/>
  <c r="M142" i="1"/>
  <c r="K143" i="1"/>
  <c r="L143" i="1"/>
  <c r="M143" i="1"/>
  <c r="K144" i="1"/>
  <c r="L144" i="1"/>
  <c r="M144" i="1"/>
  <c r="K145" i="1"/>
  <c r="L145" i="1"/>
  <c r="M145" i="1"/>
  <c r="K146" i="1"/>
  <c r="L146" i="1"/>
  <c r="M146" i="1"/>
  <c r="K147" i="1"/>
  <c r="L147" i="1"/>
  <c r="M147" i="1"/>
  <c r="K148" i="1"/>
  <c r="L148" i="1"/>
  <c r="M148" i="1"/>
  <c r="K149" i="1"/>
  <c r="L149" i="1"/>
  <c r="M149" i="1"/>
  <c r="K150" i="1"/>
  <c r="L150" i="1"/>
  <c r="M150" i="1"/>
  <c r="K151" i="1"/>
  <c r="L151" i="1"/>
  <c r="M151" i="1"/>
  <c r="K152" i="1"/>
  <c r="L152" i="1"/>
  <c r="M152"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K236" i="1"/>
  <c r="L236" i="1"/>
  <c r="M236" i="1"/>
  <c r="K237" i="1"/>
  <c r="L237" i="1"/>
  <c r="M237" i="1"/>
  <c r="K238" i="1"/>
  <c r="L238" i="1"/>
  <c r="M238" i="1"/>
  <c r="K239" i="1"/>
  <c r="L239" i="1"/>
  <c r="M239" i="1"/>
  <c r="K240" i="1"/>
  <c r="L240" i="1"/>
  <c r="M240" i="1"/>
  <c r="K241" i="1"/>
  <c r="L241" i="1"/>
  <c r="M241" i="1"/>
  <c r="K242" i="1"/>
  <c r="L242" i="1"/>
  <c r="M242" i="1"/>
  <c r="K243" i="1"/>
  <c r="L243" i="1"/>
  <c r="M243" i="1"/>
  <c r="K244" i="1"/>
  <c r="L244" i="1"/>
  <c r="M244" i="1"/>
  <c r="K245" i="1"/>
  <c r="L245" i="1"/>
  <c r="M245" i="1"/>
  <c r="K246" i="1"/>
  <c r="L246" i="1"/>
  <c r="M246" i="1"/>
  <c r="K247" i="1"/>
  <c r="L247" i="1"/>
  <c r="M247" i="1"/>
  <c r="K248" i="1"/>
  <c r="L248" i="1"/>
  <c r="M248" i="1"/>
  <c r="K249" i="1"/>
  <c r="L249" i="1"/>
  <c r="M249" i="1"/>
  <c r="K250" i="1"/>
  <c r="L250" i="1"/>
  <c r="M250" i="1"/>
  <c r="K251" i="1"/>
  <c r="L251" i="1"/>
  <c r="M251" i="1"/>
  <c r="K252" i="1"/>
  <c r="L252" i="1"/>
  <c r="M252" i="1"/>
  <c r="K253" i="1"/>
  <c r="L253" i="1"/>
  <c r="M253" i="1"/>
  <c r="K254" i="1"/>
  <c r="L254" i="1"/>
  <c r="M254" i="1"/>
  <c r="K255" i="1"/>
  <c r="L255" i="1"/>
  <c r="M255" i="1"/>
  <c r="K256" i="1"/>
  <c r="L256" i="1"/>
  <c r="M256" i="1"/>
  <c r="K257" i="1"/>
  <c r="L257" i="1"/>
  <c r="M257" i="1"/>
  <c r="K258" i="1"/>
  <c r="L258" i="1"/>
  <c r="M258" i="1"/>
  <c r="K259" i="1"/>
  <c r="L259" i="1"/>
  <c r="M259" i="1"/>
  <c r="K260" i="1"/>
  <c r="L260" i="1"/>
  <c r="M260" i="1"/>
  <c r="K261" i="1"/>
  <c r="L261" i="1"/>
  <c r="M261" i="1"/>
  <c r="K262" i="1"/>
  <c r="L262" i="1"/>
  <c r="M262" i="1"/>
  <c r="K263" i="1"/>
  <c r="L263" i="1"/>
  <c r="M263" i="1"/>
  <c r="K264" i="1"/>
  <c r="L264" i="1"/>
  <c r="M264" i="1"/>
  <c r="K265" i="1"/>
  <c r="L265" i="1"/>
  <c r="M265" i="1"/>
  <c r="K266" i="1"/>
  <c r="L266" i="1"/>
  <c r="M266" i="1"/>
  <c r="K267" i="1"/>
  <c r="L267" i="1"/>
  <c r="M267" i="1"/>
  <c r="K268" i="1"/>
  <c r="L268" i="1"/>
  <c r="M268" i="1"/>
  <c r="K269" i="1"/>
  <c r="L269" i="1"/>
  <c r="M269" i="1"/>
  <c r="K270" i="1"/>
  <c r="L270" i="1"/>
  <c r="M270" i="1"/>
  <c r="K271" i="1"/>
  <c r="L271" i="1"/>
  <c r="M271" i="1"/>
  <c r="K272" i="1"/>
  <c r="L272" i="1"/>
  <c r="M272" i="1"/>
  <c r="K273" i="1"/>
  <c r="L273" i="1"/>
  <c r="M273" i="1"/>
  <c r="K274" i="1"/>
  <c r="L274" i="1"/>
  <c r="M274" i="1"/>
  <c r="K275" i="1"/>
  <c r="L275" i="1"/>
  <c r="M275" i="1"/>
  <c r="K276" i="1"/>
  <c r="L276" i="1"/>
  <c r="M276" i="1"/>
  <c r="K277" i="1"/>
  <c r="L277" i="1"/>
  <c r="M277" i="1"/>
  <c r="K278" i="1"/>
  <c r="L278" i="1"/>
  <c r="M278" i="1"/>
  <c r="K279" i="1"/>
  <c r="L279" i="1"/>
  <c r="M279" i="1"/>
  <c r="K280" i="1"/>
  <c r="L280" i="1"/>
  <c r="M280" i="1"/>
  <c r="K281" i="1"/>
  <c r="L281" i="1"/>
  <c r="M281" i="1"/>
  <c r="K282" i="1"/>
  <c r="L282" i="1"/>
  <c r="M282" i="1"/>
  <c r="K283" i="1"/>
  <c r="L283" i="1"/>
  <c r="M283" i="1"/>
  <c r="K284" i="1"/>
  <c r="L284" i="1"/>
  <c r="M284" i="1"/>
  <c r="K285" i="1"/>
  <c r="L285" i="1"/>
  <c r="M285" i="1"/>
  <c r="K286" i="1"/>
  <c r="L286" i="1"/>
  <c r="M286" i="1"/>
  <c r="K287" i="1"/>
  <c r="L287" i="1"/>
  <c r="M287" i="1"/>
  <c r="K288" i="1"/>
  <c r="L288" i="1"/>
  <c r="M288" i="1"/>
  <c r="K289" i="1"/>
  <c r="L289" i="1"/>
  <c r="M289" i="1"/>
  <c r="K290" i="1"/>
  <c r="L290" i="1"/>
  <c r="M290" i="1"/>
  <c r="K291" i="1"/>
  <c r="L291" i="1"/>
  <c r="M291" i="1"/>
  <c r="K292" i="1"/>
  <c r="L292" i="1"/>
  <c r="M292" i="1"/>
  <c r="K293" i="1"/>
  <c r="L293" i="1"/>
  <c r="M293" i="1"/>
  <c r="K294" i="1"/>
  <c r="L294" i="1"/>
  <c r="M294" i="1"/>
  <c r="K295" i="1"/>
  <c r="L295" i="1"/>
  <c r="M295" i="1"/>
  <c r="K296" i="1"/>
  <c r="L296" i="1"/>
  <c r="M296" i="1"/>
  <c r="K297" i="1"/>
  <c r="L297" i="1"/>
  <c r="M297" i="1"/>
  <c r="K298" i="1"/>
  <c r="L298" i="1"/>
  <c r="M298" i="1"/>
  <c r="K299" i="1"/>
  <c r="L299" i="1"/>
  <c r="M299" i="1"/>
  <c r="K300" i="1"/>
  <c r="L300" i="1"/>
  <c r="M300" i="1"/>
  <c r="K301" i="1"/>
  <c r="L301" i="1"/>
  <c r="M301" i="1"/>
  <c r="K302" i="1"/>
  <c r="L302" i="1"/>
  <c r="M302" i="1"/>
  <c r="K303" i="1"/>
  <c r="L303" i="1"/>
  <c r="M303" i="1"/>
  <c r="K304" i="1"/>
  <c r="L304" i="1"/>
  <c r="M304" i="1"/>
  <c r="K305" i="1"/>
  <c r="L305" i="1"/>
  <c r="M305" i="1"/>
  <c r="K306" i="1"/>
  <c r="L306" i="1"/>
  <c r="M306" i="1"/>
  <c r="K307" i="1"/>
  <c r="L307" i="1"/>
  <c r="M307" i="1"/>
  <c r="K308" i="1"/>
  <c r="L308" i="1"/>
  <c r="M308" i="1"/>
  <c r="K309" i="1"/>
  <c r="L309" i="1"/>
  <c r="M309" i="1"/>
  <c r="K310" i="1"/>
  <c r="L310" i="1"/>
  <c r="M310" i="1"/>
  <c r="K311" i="1"/>
  <c r="L311" i="1"/>
  <c r="M311" i="1"/>
  <c r="K312" i="1"/>
  <c r="L312" i="1"/>
  <c r="M312" i="1"/>
  <c r="K313" i="1"/>
  <c r="L313" i="1"/>
  <c r="M313" i="1"/>
  <c r="K314" i="1"/>
  <c r="L314" i="1"/>
  <c r="M314" i="1"/>
  <c r="K315" i="1"/>
  <c r="L315" i="1"/>
  <c r="M315" i="1"/>
  <c r="K316" i="1"/>
  <c r="L316" i="1"/>
  <c r="M316" i="1"/>
  <c r="K317" i="1"/>
  <c r="L317" i="1"/>
  <c r="M317" i="1"/>
  <c r="K318" i="1"/>
  <c r="L318" i="1"/>
  <c r="M318" i="1"/>
  <c r="K319" i="1"/>
  <c r="L319" i="1"/>
  <c r="M319" i="1"/>
  <c r="K320" i="1"/>
  <c r="L320" i="1"/>
  <c r="M320" i="1"/>
  <c r="K321" i="1"/>
  <c r="L321" i="1"/>
  <c r="M321" i="1"/>
  <c r="K322" i="1"/>
  <c r="L322" i="1"/>
  <c r="M322" i="1"/>
  <c r="K323" i="1"/>
  <c r="L323" i="1"/>
  <c r="M323" i="1"/>
  <c r="K324" i="1"/>
  <c r="L324" i="1"/>
  <c r="M324" i="1"/>
  <c r="K325" i="1"/>
  <c r="L325" i="1"/>
  <c r="M325" i="1"/>
  <c r="K326" i="1"/>
  <c r="L326" i="1"/>
  <c r="M326" i="1"/>
  <c r="K327" i="1"/>
  <c r="L327" i="1"/>
  <c r="M327" i="1"/>
  <c r="K328" i="1"/>
  <c r="L328" i="1"/>
  <c r="M328" i="1"/>
  <c r="K329" i="1"/>
  <c r="L329" i="1"/>
  <c r="M329" i="1"/>
  <c r="K330" i="1"/>
  <c r="L330" i="1"/>
  <c r="M330" i="1"/>
  <c r="K331" i="1"/>
  <c r="L331" i="1"/>
  <c r="M331" i="1"/>
  <c r="K332" i="1"/>
  <c r="L332" i="1"/>
  <c r="M332" i="1"/>
  <c r="K333" i="1"/>
  <c r="L333" i="1"/>
  <c r="M333" i="1"/>
  <c r="K334" i="1"/>
  <c r="L334" i="1"/>
  <c r="M334" i="1"/>
  <c r="K335" i="1"/>
  <c r="L335" i="1"/>
  <c r="M335" i="1"/>
  <c r="K336" i="1"/>
  <c r="L336" i="1"/>
  <c r="M336" i="1"/>
  <c r="K337" i="1"/>
  <c r="L337" i="1"/>
  <c r="M337" i="1"/>
  <c r="K338" i="1"/>
  <c r="L338" i="1"/>
  <c r="M338" i="1"/>
  <c r="K339" i="1"/>
  <c r="L339" i="1"/>
  <c r="M339" i="1"/>
  <c r="K340" i="1"/>
  <c r="L340" i="1"/>
  <c r="M340" i="1"/>
  <c r="K341" i="1"/>
  <c r="L341" i="1"/>
  <c r="M341" i="1"/>
  <c r="K342" i="1"/>
  <c r="L342" i="1"/>
  <c r="M342" i="1"/>
  <c r="K343" i="1"/>
  <c r="L343" i="1"/>
  <c r="M343" i="1"/>
  <c r="K344" i="1"/>
  <c r="L344" i="1"/>
  <c r="M344" i="1"/>
  <c r="K345" i="1"/>
  <c r="L345" i="1"/>
  <c r="M345" i="1"/>
  <c r="K346" i="1"/>
  <c r="L346" i="1"/>
  <c r="M346" i="1"/>
  <c r="K347" i="1"/>
  <c r="L347" i="1"/>
  <c r="M347" i="1"/>
  <c r="K348" i="1"/>
  <c r="L348" i="1"/>
  <c r="M348" i="1"/>
  <c r="K349" i="1"/>
  <c r="L349" i="1"/>
  <c r="M349" i="1"/>
  <c r="K350" i="1"/>
  <c r="L350" i="1"/>
  <c r="M350" i="1"/>
  <c r="K351" i="1"/>
  <c r="L351" i="1"/>
  <c r="M351" i="1"/>
  <c r="K352" i="1"/>
  <c r="L352" i="1"/>
  <c r="M352" i="1"/>
  <c r="K353" i="1"/>
  <c r="L353" i="1"/>
  <c r="M353" i="1"/>
  <c r="K354" i="1"/>
  <c r="L354" i="1"/>
  <c r="M354" i="1"/>
  <c r="K355" i="1"/>
  <c r="L355" i="1"/>
  <c r="M355" i="1"/>
  <c r="K356" i="1"/>
  <c r="L356" i="1"/>
  <c r="M356" i="1"/>
  <c r="K357" i="1"/>
  <c r="L357" i="1"/>
  <c r="M357" i="1"/>
  <c r="K358" i="1"/>
  <c r="L358" i="1"/>
  <c r="M358" i="1"/>
  <c r="K359" i="1"/>
  <c r="L359" i="1"/>
  <c r="M359" i="1"/>
  <c r="K360" i="1"/>
  <c r="L360" i="1"/>
  <c r="M360" i="1"/>
  <c r="K361" i="1"/>
  <c r="L361" i="1"/>
  <c r="M361" i="1"/>
  <c r="K362" i="1"/>
  <c r="L362" i="1"/>
  <c r="M362" i="1"/>
  <c r="K363" i="1"/>
  <c r="L363" i="1"/>
  <c r="M363" i="1"/>
  <c r="K364" i="1"/>
  <c r="L364" i="1"/>
  <c r="M364" i="1"/>
  <c r="K365" i="1"/>
  <c r="L365" i="1"/>
  <c r="M365" i="1"/>
  <c r="K366" i="1"/>
  <c r="L366" i="1"/>
  <c r="M366" i="1"/>
  <c r="K367" i="1"/>
  <c r="L367" i="1"/>
  <c r="M367" i="1"/>
  <c r="K368" i="1"/>
  <c r="L368" i="1"/>
  <c r="M368" i="1"/>
  <c r="K369" i="1"/>
  <c r="L369" i="1"/>
  <c r="M369" i="1"/>
  <c r="K370" i="1"/>
  <c r="L370" i="1"/>
  <c r="M370" i="1"/>
  <c r="K371" i="1"/>
  <c r="L371" i="1"/>
  <c r="M371" i="1"/>
  <c r="K372" i="1"/>
  <c r="L372" i="1"/>
  <c r="M372" i="1"/>
  <c r="K373" i="1"/>
  <c r="L373" i="1"/>
  <c r="M373" i="1"/>
  <c r="K374" i="1"/>
  <c r="L374" i="1"/>
  <c r="M374" i="1"/>
  <c r="K375" i="1"/>
  <c r="L375" i="1"/>
  <c r="M375" i="1"/>
  <c r="K376" i="1"/>
  <c r="L376" i="1"/>
  <c r="M376" i="1"/>
  <c r="K377" i="1"/>
  <c r="L377" i="1"/>
  <c r="M377" i="1"/>
  <c r="K378" i="1"/>
  <c r="L378" i="1"/>
  <c r="M378" i="1"/>
  <c r="K379" i="1"/>
  <c r="L379" i="1"/>
  <c r="M379" i="1"/>
  <c r="K380" i="1"/>
  <c r="L380" i="1"/>
  <c r="M380" i="1"/>
  <c r="K381" i="1"/>
  <c r="L381" i="1"/>
  <c r="M381" i="1"/>
  <c r="K382" i="1"/>
  <c r="L382" i="1"/>
  <c r="M382" i="1"/>
  <c r="K383" i="1"/>
  <c r="L383" i="1"/>
  <c r="M383" i="1"/>
  <c r="K384" i="1"/>
  <c r="L384" i="1"/>
  <c r="M384" i="1"/>
  <c r="K385" i="1"/>
  <c r="L385" i="1"/>
  <c r="M385" i="1"/>
  <c r="K386" i="1"/>
  <c r="L386" i="1"/>
  <c r="M386" i="1"/>
  <c r="K387" i="1"/>
  <c r="L387" i="1"/>
  <c r="M387" i="1"/>
  <c r="K388" i="1"/>
  <c r="L388" i="1"/>
  <c r="M388" i="1"/>
  <c r="K389" i="1"/>
  <c r="L389" i="1"/>
  <c r="M389" i="1"/>
  <c r="K390" i="1"/>
  <c r="L390" i="1"/>
  <c r="M390" i="1"/>
  <c r="K391" i="1"/>
  <c r="L391" i="1"/>
  <c r="M391" i="1"/>
  <c r="K392" i="1"/>
  <c r="L392" i="1"/>
  <c r="M392" i="1"/>
  <c r="K393" i="1"/>
  <c r="L393" i="1"/>
  <c r="M393" i="1"/>
  <c r="K394" i="1"/>
  <c r="L394" i="1"/>
  <c r="M394" i="1"/>
  <c r="K395" i="1"/>
  <c r="L395" i="1"/>
  <c r="M395" i="1"/>
  <c r="K396" i="1"/>
  <c r="L396" i="1"/>
  <c r="M396" i="1"/>
  <c r="K397" i="1"/>
  <c r="L397" i="1"/>
  <c r="M397" i="1"/>
  <c r="K398" i="1"/>
  <c r="L398" i="1"/>
  <c r="M398" i="1"/>
  <c r="K399" i="1"/>
  <c r="L399" i="1"/>
  <c r="M399" i="1"/>
  <c r="K400" i="1"/>
  <c r="L400" i="1"/>
  <c r="M400" i="1"/>
  <c r="K401" i="1"/>
  <c r="L401" i="1"/>
  <c r="M401" i="1"/>
  <c r="K402" i="1"/>
  <c r="L402" i="1"/>
  <c r="M402" i="1"/>
  <c r="K403" i="1"/>
  <c r="L403" i="1"/>
  <c r="M403" i="1"/>
  <c r="K404" i="1"/>
  <c r="L404" i="1"/>
  <c r="M404" i="1"/>
  <c r="K405" i="1"/>
  <c r="L405" i="1"/>
  <c r="M405" i="1"/>
  <c r="K406" i="1"/>
  <c r="L406" i="1"/>
  <c r="M406" i="1"/>
  <c r="K407" i="1"/>
  <c r="L407" i="1"/>
  <c r="M407" i="1"/>
  <c r="K408" i="1"/>
  <c r="L408" i="1"/>
  <c r="M408" i="1"/>
  <c r="K409" i="1"/>
  <c r="L409" i="1"/>
  <c r="M409" i="1"/>
  <c r="K410" i="1"/>
  <c r="L410" i="1"/>
  <c r="M410" i="1"/>
  <c r="K411" i="1"/>
  <c r="L411" i="1"/>
  <c r="M411" i="1"/>
  <c r="K412" i="1"/>
  <c r="L412" i="1"/>
  <c r="M412" i="1"/>
  <c r="K413" i="1"/>
  <c r="L413" i="1"/>
  <c r="M413" i="1"/>
  <c r="K414" i="1"/>
  <c r="L414" i="1"/>
  <c r="M414" i="1"/>
  <c r="K415" i="1"/>
  <c r="L415" i="1"/>
  <c r="M415" i="1"/>
  <c r="K416" i="1"/>
  <c r="L416" i="1"/>
  <c r="M416" i="1"/>
  <c r="K417" i="1"/>
  <c r="L417" i="1"/>
  <c r="M417" i="1"/>
  <c r="K418" i="1"/>
  <c r="L418" i="1"/>
  <c r="M418" i="1"/>
  <c r="K419" i="1"/>
  <c r="L419" i="1"/>
  <c r="M419" i="1"/>
  <c r="K420" i="1"/>
  <c r="L420" i="1"/>
  <c r="M420" i="1"/>
  <c r="K421" i="1"/>
  <c r="L421" i="1"/>
  <c r="M421" i="1"/>
  <c r="K422" i="1"/>
  <c r="L422" i="1"/>
  <c r="M422" i="1"/>
  <c r="K423" i="1"/>
  <c r="L423" i="1"/>
  <c r="M423" i="1"/>
  <c r="K424" i="1"/>
  <c r="L424" i="1"/>
  <c r="M424" i="1"/>
  <c r="K425" i="1"/>
  <c r="L425" i="1"/>
  <c r="M425" i="1"/>
  <c r="K426" i="1"/>
  <c r="L426" i="1"/>
  <c r="M426" i="1"/>
  <c r="K427" i="1"/>
  <c r="L427" i="1"/>
  <c r="M427" i="1"/>
  <c r="K428" i="1"/>
  <c r="L428" i="1"/>
  <c r="M428" i="1"/>
  <c r="K429" i="1"/>
  <c r="L429" i="1"/>
  <c r="M429" i="1"/>
  <c r="K430" i="1"/>
  <c r="L430" i="1"/>
  <c r="M430" i="1"/>
  <c r="K431" i="1"/>
  <c r="L431" i="1"/>
  <c r="M431" i="1"/>
  <c r="K432" i="1"/>
  <c r="L432" i="1"/>
  <c r="M432" i="1"/>
  <c r="K433" i="1"/>
  <c r="L433" i="1"/>
  <c r="M433" i="1"/>
  <c r="K434" i="1"/>
  <c r="L434" i="1"/>
  <c r="M434" i="1"/>
  <c r="K435" i="1"/>
  <c r="L435" i="1"/>
  <c r="M435" i="1"/>
  <c r="K436" i="1"/>
  <c r="L436" i="1"/>
  <c r="M436" i="1"/>
  <c r="K437" i="1"/>
  <c r="L437" i="1"/>
  <c r="M437" i="1"/>
  <c r="K438" i="1"/>
  <c r="L438" i="1"/>
  <c r="M438" i="1"/>
  <c r="K439" i="1"/>
  <c r="L439" i="1"/>
  <c r="M439" i="1"/>
  <c r="K440" i="1"/>
  <c r="L440" i="1"/>
  <c r="M440" i="1"/>
  <c r="K441" i="1"/>
  <c r="L441" i="1"/>
  <c r="M441" i="1"/>
  <c r="K442" i="1"/>
  <c r="L442" i="1"/>
  <c r="M442" i="1"/>
  <c r="K443" i="1"/>
  <c r="L443" i="1"/>
  <c r="M443" i="1"/>
  <c r="K444" i="1"/>
  <c r="L444" i="1"/>
  <c r="M444" i="1"/>
  <c r="K445" i="1"/>
  <c r="L445" i="1"/>
  <c r="M445" i="1"/>
  <c r="K446" i="1"/>
  <c r="L446" i="1"/>
  <c r="M446" i="1"/>
  <c r="K447" i="1"/>
  <c r="L447" i="1"/>
  <c r="M447" i="1"/>
  <c r="K448" i="1"/>
  <c r="L448" i="1"/>
  <c r="M448" i="1"/>
  <c r="K449" i="1"/>
  <c r="L449" i="1"/>
  <c r="M449" i="1"/>
  <c r="K450" i="1"/>
  <c r="L450" i="1"/>
  <c r="M450" i="1"/>
  <c r="K451" i="1"/>
  <c r="L451" i="1"/>
  <c r="M451" i="1"/>
  <c r="K452" i="1"/>
  <c r="L452" i="1"/>
  <c r="M452" i="1"/>
  <c r="K453" i="1"/>
  <c r="L453" i="1"/>
  <c r="M453" i="1"/>
  <c r="K454" i="1"/>
  <c r="L454" i="1"/>
  <c r="M454" i="1"/>
  <c r="K455" i="1"/>
  <c r="L455" i="1"/>
  <c r="M455" i="1"/>
  <c r="K456" i="1"/>
  <c r="L456" i="1"/>
  <c r="M456" i="1"/>
  <c r="K457" i="1"/>
  <c r="L457" i="1"/>
  <c r="M457" i="1"/>
  <c r="K458" i="1"/>
  <c r="L458" i="1"/>
  <c r="M458" i="1"/>
  <c r="K459" i="1"/>
  <c r="L459" i="1"/>
  <c r="M459" i="1"/>
  <c r="K460" i="1"/>
  <c r="L460" i="1"/>
  <c r="M460" i="1"/>
  <c r="K461" i="1"/>
  <c r="L461" i="1"/>
  <c r="M461" i="1"/>
  <c r="K462" i="1"/>
  <c r="L462" i="1"/>
  <c r="M462" i="1"/>
  <c r="K463" i="1"/>
  <c r="L463" i="1"/>
  <c r="M463" i="1"/>
  <c r="K464" i="1"/>
  <c r="L464" i="1"/>
  <c r="M464" i="1"/>
  <c r="K465" i="1"/>
  <c r="L465" i="1"/>
  <c r="M465" i="1"/>
  <c r="K466" i="1"/>
  <c r="L466" i="1"/>
  <c r="M466" i="1"/>
  <c r="K467" i="1"/>
  <c r="L467" i="1"/>
  <c r="M467" i="1"/>
  <c r="K468" i="1"/>
  <c r="L468" i="1"/>
  <c r="M468" i="1"/>
  <c r="K469" i="1"/>
  <c r="L469" i="1"/>
  <c r="M469" i="1"/>
  <c r="K470" i="1"/>
  <c r="L470" i="1"/>
  <c r="M470" i="1"/>
  <c r="K471" i="1"/>
  <c r="L471" i="1"/>
  <c r="M471" i="1"/>
  <c r="K472" i="1"/>
  <c r="L472" i="1"/>
  <c r="M472" i="1"/>
  <c r="K473" i="1"/>
  <c r="L473" i="1"/>
  <c r="M473" i="1"/>
  <c r="K474" i="1"/>
  <c r="L474" i="1"/>
  <c r="M474" i="1"/>
  <c r="K475" i="1"/>
  <c r="L475" i="1"/>
  <c r="M475" i="1"/>
  <c r="K476" i="1"/>
  <c r="L476" i="1"/>
  <c r="M476" i="1"/>
  <c r="K477" i="1"/>
  <c r="L477" i="1"/>
  <c r="M477" i="1"/>
  <c r="K478" i="1"/>
  <c r="L478" i="1"/>
  <c r="M478" i="1"/>
  <c r="K479" i="1"/>
  <c r="L479" i="1"/>
  <c r="M479" i="1"/>
  <c r="K480" i="1"/>
  <c r="L480" i="1"/>
  <c r="M480" i="1"/>
  <c r="K481" i="1"/>
  <c r="L481" i="1"/>
  <c r="M481" i="1"/>
  <c r="K482" i="1"/>
  <c r="L482" i="1"/>
  <c r="M482" i="1"/>
  <c r="K483" i="1"/>
  <c r="L483" i="1"/>
  <c r="M483" i="1"/>
  <c r="K484" i="1"/>
  <c r="L484" i="1"/>
  <c r="M484" i="1"/>
  <c r="K485" i="1"/>
  <c r="L485" i="1"/>
  <c r="M485" i="1"/>
  <c r="K486" i="1"/>
  <c r="L486" i="1"/>
  <c r="M486" i="1"/>
  <c r="K487" i="1"/>
  <c r="L487" i="1"/>
  <c r="M487" i="1"/>
  <c r="K488" i="1"/>
  <c r="L488" i="1"/>
  <c r="M488" i="1"/>
  <c r="K489" i="1"/>
  <c r="L489" i="1"/>
  <c r="M489" i="1"/>
  <c r="K490" i="1"/>
  <c r="L490" i="1"/>
  <c r="M490" i="1"/>
  <c r="K491" i="1"/>
  <c r="L491" i="1"/>
  <c r="M491" i="1"/>
  <c r="K492" i="1"/>
  <c r="L492" i="1"/>
  <c r="M492" i="1"/>
  <c r="K493" i="1"/>
  <c r="L493" i="1"/>
  <c r="M493" i="1"/>
  <c r="K494" i="1"/>
  <c r="L494" i="1"/>
  <c r="M494" i="1"/>
  <c r="K495" i="1"/>
  <c r="L495" i="1"/>
  <c r="M495" i="1"/>
  <c r="K496" i="1"/>
  <c r="L496" i="1"/>
  <c r="M496" i="1"/>
  <c r="K497" i="1"/>
  <c r="L497" i="1"/>
  <c r="M497" i="1"/>
  <c r="K498" i="1"/>
  <c r="L498" i="1"/>
  <c r="M498" i="1"/>
  <c r="K499" i="1"/>
  <c r="L499" i="1"/>
  <c r="M499" i="1"/>
  <c r="K500" i="1"/>
  <c r="L500" i="1"/>
  <c r="M500" i="1"/>
  <c r="K501" i="1"/>
  <c r="L501" i="1"/>
  <c r="M501" i="1"/>
  <c r="K502" i="1"/>
  <c r="L502" i="1"/>
  <c r="M502" i="1"/>
  <c r="K503" i="1"/>
  <c r="L503" i="1"/>
  <c r="M503" i="1"/>
  <c r="K504" i="1"/>
  <c r="L504" i="1"/>
  <c r="M504" i="1"/>
  <c r="K505" i="1"/>
  <c r="L505" i="1"/>
  <c r="M505" i="1"/>
  <c r="K506" i="1"/>
  <c r="L506" i="1"/>
  <c r="M506" i="1"/>
  <c r="K507" i="1"/>
  <c r="L507" i="1"/>
  <c r="M507" i="1"/>
  <c r="K508" i="1"/>
  <c r="L508" i="1"/>
  <c r="M508" i="1"/>
  <c r="K509" i="1"/>
  <c r="L509" i="1"/>
  <c r="M509" i="1"/>
  <c r="K510" i="1"/>
  <c r="L510" i="1"/>
  <c r="M510" i="1"/>
  <c r="K511" i="1"/>
  <c r="L511" i="1"/>
  <c r="M511" i="1"/>
  <c r="K512" i="1"/>
  <c r="L512" i="1"/>
  <c r="M512" i="1"/>
  <c r="K513" i="1"/>
  <c r="L513" i="1"/>
  <c r="M513" i="1"/>
  <c r="K514" i="1"/>
  <c r="L514" i="1"/>
  <c r="M514" i="1"/>
  <c r="K515" i="1"/>
  <c r="L515" i="1"/>
  <c r="M515" i="1"/>
  <c r="K516" i="1"/>
  <c r="L516" i="1"/>
  <c r="M516" i="1"/>
  <c r="K517" i="1"/>
  <c r="L517" i="1"/>
  <c r="M517" i="1"/>
  <c r="K518" i="1"/>
  <c r="L518" i="1"/>
  <c r="M518" i="1"/>
  <c r="K519" i="1"/>
  <c r="L519" i="1"/>
  <c r="M519" i="1"/>
  <c r="K520" i="1"/>
  <c r="L520" i="1"/>
  <c r="M520" i="1"/>
  <c r="K521" i="1"/>
  <c r="L521" i="1"/>
  <c r="M521" i="1"/>
  <c r="K522" i="1"/>
  <c r="L522" i="1"/>
  <c r="M522" i="1"/>
  <c r="K523" i="1"/>
  <c r="L523" i="1"/>
  <c r="M523" i="1"/>
  <c r="K524" i="1"/>
  <c r="L524" i="1"/>
  <c r="M524" i="1"/>
  <c r="K525" i="1"/>
  <c r="L525" i="1"/>
  <c r="M525" i="1"/>
  <c r="K526" i="1"/>
  <c r="L526" i="1"/>
  <c r="M526" i="1"/>
  <c r="K527" i="1"/>
  <c r="L527" i="1"/>
  <c r="M527" i="1"/>
  <c r="K528" i="1"/>
  <c r="L528" i="1"/>
  <c r="M528" i="1"/>
  <c r="K529" i="1"/>
  <c r="L529" i="1"/>
  <c r="M529" i="1"/>
  <c r="K530" i="1"/>
  <c r="L530" i="1"/>
  <c r="M530" i="1"/>
  <c r="K531" i="1"/>
  <c r="L531" i="1"/>
  <c r="M531" i="1"/>
  <c r="K532" i="1"/>
  <c r="L532" i="1"/>
  <c r="M532" i="1"/>
  <c r="K533" i="1"/>
  <c r="L533" i="1"/>
  <c r="M533" i="1"/>
  <c r="K534" i="1"/>
  <c r="L534" i="1"/>
  <c r="M534" i="1"/>
  <c r="K535" i="1"/>
  <c r="L535" i="1"/>
  <c r="M535" i="1"/>
  <c r="K536" i="1"/>
  <c r="L536" i="1"/>
  <c r="M536" i="1"/>
  <c r="K537" i="1"/>
  <c r="L537" i="1"/>
  <c r="M537" i="1"/>
  <c r="K538" i="1"/>
  <c r="L538" i="1"/>
  <c r="M538" i="1"/>
  <c r="K539" i="1"/>
  <c r="L539" i="1"/>
  <c r="M539" i="1"/>
  <c r="K540" i="1"/>
  <c r="L540" i="1"/>
  <c r="M540" i="1"/>
  <c r="K541" i="1"/>
  <c r="L541" i="1"/>
  <c r="M541" i="1"/>
  <c r="K542" i="1"/>
  <c r="L542" i="1"/>
  <c r="M542" i="1"/>
  <c r="K543" i="1"/>
  <c r="L543" i="1"/>
  <c r="M543" i="1"/>
  <c r="K544" i="1"/>
  <c r="L544" i="1"/>
  <c r="M544" i="1"/>
  <c r="K545" i="1"/>
  <c r="L545" i="1"/>
  <c r="M545" i="1"/>
  <c r="K546" i="1"/>
  <c r="L546" i="1"/>
  <c r="M546" i="1"/>
  <c r="K547" i="1"/>
  <c r="L547" i="1"/>
  <c r="M547" i="1"/>
  <c r="K548" i="1"/>
  <c r="L548" i="1"/>
  <c r="M548" i="1"/>
  <c r="K549" i="1"/>
  <c r="L549" i="1"/>
  <c r="M549" i="1"/>
  <c r="K550" i="1"/>
  <c r="L550" i="1"/>
  <c r="M550" i="1"/>
  <c r="K551" i="1"/>
  <c r="L551" i="1"/>
  <c r="M551" i="1"/>
  <c r="K552" i="1"/>
  <c r="L552" i="1"/>
  <c r="M552" i="1"/>
  <c r="K553" i="1"/>
  <c r="L553" i="1"/>
  <c r="M553" i="1"/>
  <c r="K554" i="1"/>
  <c r="L554" i="1"/>
  <c r="M554" i="1"/>
  <c r="K555" i="1"/>
  <c r="L555" i="1"/>
  <c r="M555" i="1"/>
  <c r="K556" i="1"/>
  <c r="L556" i="1"/>
  <c r="M556" i="1"/>
  <c r="K557" i="1"/>
  <c r="L557" i="1"/>
  <c r="M557" i="1"/>
  <c r="K558" i="1"/>
  <c r="L558" i="1"/>
  <c r="M558" i="1"/>
  <c r="K559" i="1"/>
  <c r="L559" i="1"/>
  <c r="M559" i="1"/>
  <c r="K560" i="1"/>
  <c r="L560" i="1"/>
  <c r="M560" i="1"/>
  <c r="K561" i="1"/>
  <c r="L561" i="1"/>
  <c r="M561" i="1"/>
  <c r="K562" i="1"/>
  <c r="L562" i="1"/>
  <c r="M562" i="1"/>
  <c r="K563" i="1"/>
  <c r="L563" i="1"/>
  <c r="M563" i="1"/>
  <c r="K564" i="1"/>
  <c r="L564" i="1"/>
  <c r="M564" i="1"/>
  <c r="K565" i="1"/>
  <c r="L565" i="1"/>
  <c r="M565" i="1"/>
  <c r="K566" i="1"/>
  <c r="L566" i="1"/>
  <c r="M566" i="1"/>
  <c r="K567" i="1"/>
  <c r="L567" i="1"/>
  <c r="M567" i="1"/>
  <c r="K568" i="1"/>
  <c r="L568" i="1"/>
  <c r="M568" i="1"/>
  <c r="K569" i="1"/>
  <c r="L569" i="1"/>
  <c r="M569" i="1"/>
  <c r="K570" i="1"/>
  <c r="L570" i="1"/>
  <c r="M570" i="1"/>
  <c r="K571" i="1"/>
  <c r="L571" i="1"/>
  <c r="M571" i="1"/>
  <c r="K572" i="1"/>
  <c r="L572" i="1"/>
  <c r="M572" i="1"/>
  <c r="K573" i="1"/>
  <c r="L573" i="1"/>
  <c r="M573" i="1"/>
  <c r="K574" i="1"/>
  <c r="L574" i="1"/>
  <c r="M574" i="1"/>
  <c r="K575" i="1"/>
  <c r="L575" i="1"/>
  <c r="M575" i="1"/>
  <c r="K576" i="1"/>
  <c r="L576" i="1"/>
  <c r="M576" i="1"/>
  <c r="K577" i="1"/>
  <c r="L577" i="1"/>
  <c r="M577" i="1"/>
  <c r="K578" i="1"/>
  <c r="L578" i="1"/>
  <c r="M578" i="1"/>
  <c r="K579" i="1"/>
  <c r="L579" i="1"/>
  <c r="M579" i="1"/>
  <c r="K580" i="1"/>
  <c r="L580" i="1"/>
  <c r="M580" i="1"/>
  <c r="K581" i="1"/>
  <c r="L581" i="1"/>
  <c r="M581" i="1"/>
  <c r="K582" i="1"/>
  <c r="L582" i="1"/>
  <c r="M582" i="1"/>
  <c r="K583" i="1"/>
  <c r="L583" i="1"/>
  <c r="M583" i="1"/>
  <c r="K584" i="1"/>
  <c r="L584" i="1"/>
  <c r="M584" i="1"/>
  <c r="K585" i="1"/>
  <c r="L585" i="1"/>
  <c r="M585" i="1"/>
  <c r="K586" i="1"/>
  <c r="L586" i="1"/>
  <c r="M586" i="1"/>
  <c r="K587" i="1"/>
  <c r="L587" i="1"/>
  <c r="M587" i="1"/>
  <c r="K588" i="1"/>
  <c r="L588" i="1"/>
  <c r="M588" i="1"/>
  <c r="K589" i="1"/>
  <c r="L589" i="1"/>
  <c r="M589" i="1"/>
  <c r="K590" i="1"/>
  <c r="L590" i="1"/>
  <c r="M590" i="1"/>
  <c r="K591" i="1"/>
  <c r="L591" i="1"/>
  <c r="M591" i="1"/>
  <c r="K592" i="1"/>
  <c r="L592" i="1"/>
  <c r="M592" i="1"/>
  <c r="K593" i="1"/>
  <c r="L593" i="1"/>
  <c r="M593" i="1"/>
  <c r="K594" i="1"/>
  <c r="L594" i="1"/>
  <c r="M594" i="1"/>
  <c r="K595" i="1"/>
  <c r="L595" i="1"/>
  <c r="M595" i="1"/>
  <c r="K596" i="1"/>
  <c r="L596" i="1"/>
  <c r="M596" i="1"/>
  <c r="K597" i="1"/>
  <c r="L597" i="1"/>
  <c r="M597" i="1"/>
  <c r="K598" i="1"/>
  <c r="L598" i="1"/>
  <c r="M598" i="1"/>
  <c r="K599" i="1"/>
  <c r="L599" i="1"/>
  <c r="M599" i="1"/>
  <c r="K600" i="1"/>
  <c r="L600" i="1"/>
  <c r="M600" i="1"/>
  <c r="K601" i="1"/>
  <c r="L601" i="1"/>
  <c r="M601" i="1"/>
  <c r="K602" i="1"/>
  <c r="L602" i="1"/>
  <c r="M602" i="1"/>
  <c r="K603" i="1"/>
  <c r="L603" i="1"/>
  <c r="M603" i="1"/>
  <c r="K604" i="1"/>
  <c r="L604" i="1"/>
  <c r="M604" i="1"/>
  <c r="K605" i="1"/>
  <c r="L605" i="1"/>
  <c r="M605" i="1"/>
  <c r="K606" i="1"/>
  <c r="L606" i="1"/>
  <c r="M606" i="1"/>
  <c r="K607" i="1"/>
  <c r="L607" i="1"/>
  <c r="M607" i="1"/>
  <c r="K608" i="1"/>
  <c r="L608" i="1"/>
  <c r="M608" i="1"/>
  <c r="K609" i="1"/>
  <c r="L609" i="1"/>
  <c r="M609" i="1"/>
  <c r="K610" i="1"/>
  <c r="L610" i="1"/>
  <c r="M610" i="1"/>
  <c r="K611" i="1"/>
  <c r="L611" i="1"/>
  <c r="M611" i="1"/>
  <c r="K612" i="1"/>
  <c r="L612" i="1"/>
  <c r="M612" i="1"/>
  <c r="K613" i="1"/>
  <c r="L613" i="1"/>
  <c r="M613" i="1"/>
  <c r="K614" i="1"/>
  <c r="L614" i="1"/>
  <c r="M614" i="1"/>
  <c r="K615" i="1"/>
  <c r="L615" i="1"/>
  <c r="M615"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5" i="1"/>
  <c r="L625" i="1"/>
  <c r="M625" i="1"/>
  <c r="K626" i="1"/>
  <c r="L626" i="1"/>
  <c r="M626" i="1"/>
  <c r="K627" i="1"/>
  <c r="L627" i="1"/>
  <c r="M627" i="1"/>
  <c r="K628" i="1"/>
  <c r="L628" i="1"/>
  <c r="M628" i="1"/>
  <c r="K629" i="1"/>
  <c r="L629" i="1"/>
  <c r="M629" i="1"/>
  <c r="K630" i="1"/>
  <c r="L630" i="1"/>
  <c r="M630" i="1"/>
  <c r="K631" i="1"/>
  <c r="L631" i="1"/>
  <c r="M631" i="1"/>
  <c r="K632" i="1"/>
  <c r="L632" i="1"/>
  <c r="M632" i="1"/>
  <c r="K633" i="1"/>
  <c r="L633" i="1"/>
  <c r="M633" i="1"/>
  <c r="K634" i="1"/>
  <c r="L634" i="1"/>
  <c r="M634" i="1"/>
  <c r="K635" i="1"/>
  <c r="L635" i="1"/>
  <c r="M635"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6" i="1"/>
  <c r="L646" i="1"/>
  <c r="M646" i="1"/>
  <c r="K647" i="1"/>
  <c r="L647" i="1"/>
  <c r="M647" i="1"/>
  <c r="K648" i="1"/>
  <c r="L648" i="1"/>
  <c r="M648" i="1"/>
  <c r="K649" i="1"/>
  <c r="L649" i="1"/>
  <c r="M649" i="1"/>
  <c r="K650" i="1"/>
  <c r="L650" i="1"/>
  <c r="M650" i="1"/>
  <c r="K651" i="1"/>
  <c r="L651" i="1"/>
  <c r="M651" i="1"/>
  <c r="K652" i="1"/>
  <c r="L652" i="1"/>
  <c r="M652" i="1"/>
  <c r="K653" i="1"/>
  <c r="L653" i="1"/>
  <c r="M653" i="1"/>
  <c r="K654" i="1"/>
  <c r="L654" i="1"/>
  <c r="M654" i="1"/>
  <c r="K655" i="1"/>
  <c r="L655" i="1"/>
  <c r="M655"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69" i="1"/>
  <c r="L669" i="1"/>
  <c r="M669" i="1"/>
  <c r="K670" i="1"/>
  <c r="L670" i="1"/>
  <c r="M670" i="1"/>
  <c r="K671" i="1"/>
  <c r="L671" i="1"/>
  <c r="M671" i="1"/>
  <c r="K672" i="1"/>
  <c r="L672" i="1"/>
  <c r="M672" i="1"/>
  <c r="K673" i="1"/>
  <c r="L673" i="1"/>
  <c r="M673" i="1"/>
  <c r="K674" i="1"/>
  <c r="L674" i="1"/>
  <c r="M674" i="1"/>
  <c r="K675" i="1"/>
  <c r="L675" i="1"/>
  <c r="M675" i="1"/>
  <c r="K676" i="1"/>
  <c r="L676" i="1"/>
  <c r="M676" i="1"/>
  <c r="K677" i="1"/>
  <c r="L677" i="1"/>
  <c r="M677" i="1"/>
  <c r="K678" i="1"/>
  <c r="L678" i="1"/>
  <c r="M678" i="1"/>
  <c r="K679" i="1"/>
  <c r="L679" i="1"/>
  <c r="M679" i="1"/>
  <c r="K680" i="1"/>
  <c r="L680" i="1"/>
  <c r="M680" i="1"/>
  <c r="K681" i="1"/>
  <c r="L681" i="1"/>
  <c r="M681" i="1"/>
  <c r="K682" i="1"/>
  <c r="L682" i="1"/>
  <c r="M682" i="1"/>
  <c r="K683" i="1"/>
  <c r="L683" i="1"/>
  <c r="M683" i="1"/>
  <c r="K684" i="1"/>
  <c r="L684" i="1"/>
  <c r="M684" i="1"/>
  <c r="K685" i="1"/>
  <c r="L685" i="1"/>
  <c r="M685" i="1"/>
  <c r="K686" i="1"/>
  <c r="L686" i="1"/>
  <c r="M686" i="1"/>
  <c r="K687" i="1"/>
  <c r="L687" i="1"/>
  <c r="M687" i="1"/>
  <c r="K688" i="1"/>
  <c r="L688" i="1"/>
  <c r="M688" i="1"/>
  <c r="K689" i="1"/>
  <c r="L689" i="1"/>
  <c r="M689" i="1"/>
  <c r="K690" i="1"/>
  <c r="L690" i="1"/>
  <c r="M690" i="1"/>
  <c r="K691" i="1"/>
  <c r="L691" i="1"/>
  <c r="M691" i="1"/>
  <c r="K692" i="1"/>
  <c r="L692" i="1"/>
  <c r="M692" i="1"/>
  <c r="K693" i="1"/>
  <c r="L693" i="1"/>
  <c r="M693" i="1"/>
  <c r="K694" i="1"/>
  <c r="L694" i="1"/>
  <c r="M694" i="1"/>
  <c r="K695" i="1"/>
  <c r="L695" i="1"/>
  <c r="M695" i="1"/>
  <c r="K696" i="1"/>
  <c r="L696" i="1"/>
  <c r="M696" i="1"/>
  <c r="K697" i="1"/>
  <c r="L697" i="1"/>
  <c r="M697" i="1"/>
  <c r="K698" i="1"/>
  <c r="L698" i="1"/>
  <c r="M698" i="1"/>
  <c r="K699" i="1"/>
  <c r="L699" i="1"/>
  <c r="M699" i="1"/>
  <c r="K700" i="1"/>
  <c r="L700" i="1"/>
  <c r="M700" i="1"/>
  <c r="K701" i="1"/>
  <c r="L701" i="1"/>
  <c r="M701" i="1"/>
  <c r="K702" i="1"/>
  <c r="L702" i="1"/>
  <c r="M702" i="1"/>
  <c r="K703" i="1"/>
  <c r="L703" i="1"/>
  <c r="M703" i="1"/>
  <c r="K704" i="1"/>
  <c r="L704" i="1"/>
  <c r="M704" i="1"/>
  <c r="K705" i="1"/>
  <c r="L705" i="1"/>
  <c r="M705" i="1"/>
  <c r="K706" i="1"/>
  <c r="L706" i="1"/>
  <c r="M706" i="1"/>
  <c r="K707" i="1"/>
  <c r="L707" i="1"/>
  <c r="M707" i="1"/>
  <c r="K708" i="1"/>
  <c r="L708" i="1"/>
  <c r="M708" i="1"/>
  <c r="K709" i="1"/>
  <c r="L709" i="1"/>
  <c r="M709" i="1"/>
  <c r="K710" i="1"/>
  <c r="L710" i="1"/>
  <c r="M710" i="1"/>
  <c r="K711" i="1"/>
  <c r="L711" i="1"/>
  <c r="M711" i="1"/>
  <c r="K712" i="1"/>
  <c r="L712" i="1"/>
  <c r="M712" i="1"/>
  <c r="K713" i="1"/>
  <c r="L713" i="1"/>
  <c r="M713" i="1"/>
  <c r="K714" i="1"/>
  <c r="L714" i="1"/>
  <c r="M714" i="1"/>
  <c r="K715" i="1"/>
  <c r="L715" i="1"/>
  <c r="M715" i="1"/>
  <c r="K716" i="1"/>
  <c r="L716" i="1"/>
  <c r="M716" i="1"/>
  <c r="K717" i="1"/>
  <c r="L717" i="1"/>
  <c r="M717" i="1"/>
  <c r="K718" i="1"/>
  <c r="L718" i="1"/>
  <c r="M718" i="1"/>
  <c r="K719" i="1"/>
  <c r="L719" i="1"/>
  <c r="M719" i="1"/>
  <c r="K720" i="1"/>
  <c r="L720" i="1"/>
  <c r="M720" i="1"/>
  <c r="K721" i="1"/>
  <c r="L721" i="1"/>
  <c r="M721" i="1"/>
  <c r="K722" i="1"/>
  <c r="L722" i="1"/>
  <c r="M722" i="1"/>
  <c r="K723" i="1"/>
  <c r="L723" i="1"/>
  <c r="M723" i="1"/>
  <c r="K724" i="1"/>
  <c r="L724" i="1"/>
  <c r="M724" i="1"/>
  <c r="K725" i="1"/>
  <c r="L725" i="1"/>
  <c r="M725" i="1"/>
  <c r="K726" i="1"/>
  <c r="L726" i="1"/>
  <c r="M726" i="1"/>
  <c r="K727" i="1"/>
  <c r="L727" i="1"/>
  <c r="M727" i="1"/>
  <c r="K728" i="1"/>
  <c r="L728" i="1"/>
  <c r="M728" i="1"/>
  <c r="K729" i="1"/>
  <c r="L729" i="1"/>
  <c r="M729" i="1"/>
  <c r="K730" i="1"/>
  <c r="L730" i="1"/>
  <c r="M730" i="1"/>
  <c r="K731" i="1"/>
  <c r="L731" i="1"/>
  <c r="M731" i="1"/>
  <c r="K732" i="1"/>
  <c r="L732" i="1"/>
  <c r="M732" i="1"/>
  <c r="K733" i="1"/>
  <c r="L733" i="1"/>
  <c r="M733" i="1"/>
  <c r="K734" i="1"/>
  <c r="L734" i="1"/>
  <c r="M734" i="1"/>
  <c r="K735" i="1"/>
  <c r="L735" i="1"/>
  <c r="M735" i="1"/>
  <c r="K736" i="1"/>
  <c r="L736" i="1"/>
  <c r="M736" i="1"/>
  <c r="K737" i="1"/>
  <c r="L737" i="1"/>
  <c r="M737" i="1"/>
  <c r="K738" i="1"/>
  <c r="L738" i="1"/>
  <c r="M738" i="1"/>
  <c r="K739" i="1"/>
  <c r="L739" i="1"/>
  <c r="M739" i="1"/>
  <c r="K740" i="1"/>
  <c r="L740" i="1"/>
  <c r="M740" i="1"/>
  <c r="K741" i="1"/>
  <c r="L741" i="1"/>
  <c r="M741" i="1"/>
  <c r="K742" i="1"/>
  <c r="L742" i="1"/>
  <c r="M742" i="1"/>
  <c r="K743" i="1"/>
  <c r="L743" i="1"/>
  <c r="M743" i="1"/>
  <c r="K744" i="1"/>
  <c r="L744" i="1"/>
  <c r="M744" i="1"/>
  <c r="K745" i="1"/>
  <c r="L745" i="1"/>
  <c r="M745" i="1"/>
  <c r="K746" i="1"/>
  <c r="L746" i="1"/>
  <c r="M746" i="1"/>
  <c r="K747" i="1"/>
  <c r="L747" i="1"/>
  <c r="M747" i="1"/>
  <c r="K748" i="1"/>
  <c r="L748" i="1"/>
  <c r="M748" i="1"/>
  <c r="K749" i="1"/>
  <c r="L749" i="1"/>
  <c r="M749" i="1"/>
  <c r="K750" i="1"/>
  <c r="L750" i="1"/>
  <c r="M750" i="1"/>
  <c r="K751" i="1"/>
  <c r="L751" i="1"/>
  <c r="M751" i="1"/>
  <c r="K752" i="1"/>
  <c r="L752" i="1"/>
  <c r="M752" i="1"/>
  <c r="K753" i="1"/>
  <c r="L753" i="1"/>
  <c r="M753" i="1"/>
  <c r="K754" i="1"/>
  <c r="L754" i="1"/>
  <c r="M754" i="1"/>
  <c r="K755" i="1"/>
  <c r="L755" i="1"/>
  <c r="M755" i="1"/>
  <c r="K756" i="1"/>
  <c r="L756" i="1"/>
  <c r="M756" i="1"/>
  <c r="K757" i="1"/>
  <c r="L757" i="1"/>
  <c r="M757" i="1"/>
  <c r="K758" i="1"/>
  <c r="L758" i="1"/>
  <c r="M758" i="1"/>
  <c r="K759" i="1"/>
  <c r="L759" i="1"/>
  <c r="M759" i="1"/>
  <c r="K760" i="1"/>
  <c r="L760" i="1"/>
  <c r="M760" i="1"/>
  <c r="K761" i="1"/>
  <c r="L761" i="1"/>
  <c r="M761" i="1"/>
  <c r="K762" i="1"/>
  <c r="L762" i="1"/>
  <c r="M762" i="1"/>
  <c r="K763" i="1"/>
  <c r="L763" i="1"/>
  <c r="M763" i="1"/>
  <c r="K764" i="1"/>
  <c r="L764" i="1"/>
  <c r="M764" i="1"/>
  <c r="K765" i="1"/>
  <c r="L765" i="1"/>
  <c r="M765" i="1"/>
  <c r="K766" i="1"/>
  <c r="L766" i="1"/>
  <c r="M766" i="1"/>
  <c r="K767" i="1"/>
  <c r="L767" i="1"/>
  <c r="M767" i="1"/>
  <c r="K768" i="1"/>
  <c r="L768" i="1"/>
  <c r="M768" i="1"/>
  <c r="K769" i="1"/>
  <c r="L769" i="1"/>
  <c r="M769" i="1"/>
  <c r="K770" i="1"/>
  <c r="L770" i="1"/>
  <c r="M770" i="1"/>
  <c r="K771" i="1"/>
  <c r="L771" i="1"/>
  <c r="M771" i="1"/>
  <c r="K772" i="1"/>
  <c r="L772" i="1"/>
  <c r="M772" i="1"/>
  <c r="K773" i="1"/>
  <c r="L773" i="1"/>
  <c r="M773" i="1"/>
  <c r="K774" i="1"/>
  <c r="L774" i="1"/>
  <c r="M774" i="1"/>
  <c r="K775" i="1"/>
  <c r="L775" i="1"/>
  <c r="M775" i="1"/>
  <c r="K776" i="1"/>
  <c r="L776" i="1"/>
  <c r="M776" i="1"/>
  <c r="K777" i="1"/>
  <c r="L777" i="1"/>
  <c r="M777" i="1"/>
  <c r="K778" i="1"/>
  <c r="L778" i="1"/>
  <c r="M778" i="1"/>
  <c r="K779" i="1"/>
  <c r="L779" i="1"/>
  <c r="M779" i="1"/>
  <c r="K780" i="1"/>
  <c r="L780" i="1"/>
  <c r="M780" i="1"/>
  <c r="K781" i="1"/>
  <c r="L781" i="1"/>
  <c r="M781" i="1"/>
  <c r="K782" i="1"/>
  <c r="L782" i="1"/>
  <c r="M782" i="1"/>
  <c r="K783" i="1"/>
  <c r="L783" i="1"/>
  <c r="M783" i="1"/>
  <c r="K784" i="1"/>
  <c r="L784" i="1"/>
  <c r="M784" i="1"/>
  <c r="K785" i="1"/>
  <c r="L785" i="1"/>
  <c r="M785" i="1"/>
  <c r="K786" i="1"/>
  <c r="L786" i="1"/>
  <c r="M786" i="1"/>
  <c r="K787" i="1"/>
  <c r="L787" i="1"/>
  <c r="M787" i="1"/>
  <c r="K788" i="1"/>
  <c r="L788" i="1"/>
  <c r="M788" i="1"/>
  <c r="K789" i="1"/>
  <c r="L789" i="1"/>
  <c r="M789" i="1"/>
  <c r="K790" i="1"/>
  <c r="L790" i="1"/>
  <c r="M790" i="1"/>
  <c r="K791" i="1"/>
  <c r="L791" i="1"/>
  <c r="M791" i="1"/>
  <c r="K792" i="1"/>
  <c r="L792" i="1"/>
  <c r="M792" i="1"/>
  <c r="K793" i="1"/>
  <c r="L793" i="1"/>
  <c r="M793" i="1"/>
  <c r="K794" i="1"/>
  <c r="L794" i="1"/>
  <c r="M794" i="1"/>
  <c r="K795" i="1"/>
  <c r="L795" i="1"/>
  <c r="M795" i="1"/>
  <c r="K796" i="1"/>
  <c r="L796" i="1"/>
  <c r="M796" i="1"/>
  <c r="K797" i="1"/>
  <c r="L797" i="1"/>
  <c r="M797" i="1"/>
  <c r="K798" i="1"/>
  <c r="L798" i="1"/>
  <c r="M798" i="1"/>
  <c r="K799" i="1"/>
  <c r="L799" i="1"/>
  <c r="M799" i="1"/>
  <c r="K800" i="1"/>
  <c r="L800" i="1"/>
  <c r="M800" i="1"/>
  <c r="K801" i="1"/>
  <c r="L801" i="1"/>
  <c r="M801" i="1"/>
  <c r="K802" i="1"/>
  <c r="L802" i="1"/>
  <c r="M802" i="1"/>
  <c r="K803" i="1"/>
  <c r="L803" i="1"/>
  <c r="M803" i="1"/>
  <c r="K804" i="1"/>
  <c r="L804" i="1"/>
  <c r="M804" i="1"/>
  <c r="K805" i="1"/>
  <c r="L805" i="1"/>
  <c r="M805" i="1"/>
  <c r="K806" i="1"/>
  <c r="L806" i="1"/>
  <c r="M806" i="1"/>
  <c r="K807" i="1"/>
  <c r="L807" i="1"/>
  <c r="M807" i="1"/>
  <c r="K808" i="1"/>
  <c r="L808" i="1"/>
  <c r="M808" i="1"/>
  <c r="K809" i="1"/>
  <c r="L809" i="1"/>
  <c r="M809" i="1"/>
  <c r="K810" i="1"/>
  <c r="L810" i="1"/>
  <c r="M810" i="1"/>
  <c r="K811" i="1"/>
  <c r="L811" i="1"/>
  <c r="M811" i="1"/>
  <c r="K812" i="1"/>
  <c r="L812" i="1"/>
  <c r="M812" i="1"/>
  <c r="K813" i="1"/>
  <c r="L813" i="1"/>
  <c r="M813" i="1"/>
  <c r="K814" i="1"/>
  <c r="L814" i="1"/>
  <c r="M814" i="1"/>
  <c r="K815" i="1"/>
  <c r="L815" i="1"/>
  <c r="M815" i="1"/>
  <c r="K816" i="1"/>
  <c r="L816" i="1"/>
  <c r="M816" i="1"/>
  <c r="K817" i="1"/>
  <c r="L817" i="1"/>
  <c r="M817" i="1"/>
  <c r="K818" i="1"/>
  <c r="L818" i="1"/>
  <c r="M818" i="1"/>
  <c r="K819" i="1"/>
  <c r="L819" i="1"/>
  <c r="M819" i="1"/>
  <c r="K820" i="1"/>
  <c r="L820" i="1"/>
  <c r="M820" i="1"/>
  <c r="K821" i="1"/>
  <c r="L821" i="1"/>
  <c r="M821" i="1"/>
  <c r="K822" i="1"/>
  <c r="L822" i="1"/>
  <c r="M822" i="1"/>
  <c r="K823" i="1"/>
  <c r="L823" i="1"/>
  <c r="M823" i="1"/>
  <c r="K824" i="1"/>
  <c r="L824" i="1"/>
  <c r="M824" i="1"/>
  <c r="K825" i="1"/>
  <c r="L825" i="1"/>
  <c r="M825" i="1"/>
  <c r="K826" i="1"/>
  <c r="L826" i="1"/>
  <c r="M826" i="1"/>
  <c r="K827" i="1"/>
  <c r="L827" i="1"/>
  <c r="M827" i="1"/>
  <c r="K828" i="1"/>
  <c r="L828" i="1"/>
  <c r="M828" i="1"/>
  <c r="K829" i="1"/>
  <c r="L829" i="1"/>
  <c r="M829" i="1"/>
  <c r="K830" i="1"/>
  <c r="L830" i="1"/>
  <c r="M830" i="1"/>
  <c r="K831" i="1"/>
  <c r="L831" i="1"/>
  <c r="M831" i="1"/>
  <c r="K832" i="1"/>
  <c r="L832" i="1"/>
  <c r="M832" i="1"/>
  <c r="K833" i="1"/>
  <c r="L833" i="1"/>
  <c r="M833" i="1"/>
  <c r="K834" i="1"/>
  <c r="L834" i="1"/>
  <c r="M834" i="1"/>
  <c r="K835" i="1"/>
  <c r="L835" i="1"/>
  <c r="M835" i="1"/>
  <c r="K836" i="1"/>
  <c r="L836" i="1"/>
  <c r="M836" i="1"/>
  <c r="K837" i="1"/>
  <c r="L837" i="1"/>
  <c r="M837" i="1"/>
  <c r="K838" i="1"/>
  <c r="L838" i="1"/>
  <c r="M838" i="1"/>
  <c r="K839" i="1"/>
  <c r="L839" i="1"/>
  <c r="M839" i="1"/>
  <c r="K840" i="1"/>
  <c r="L840" i="1"/>
  <c r="M840" i="1"/>
  <c r="K841" i="1"/>
  <c r="L841" i="1"/>
  <c r="M841" i="1"/>
  <c r="K842" i="1"/>
  <c r="L842" i="1"/>
  <c r="M842" i="1"/>
  <c r="K843" i="1"/>
  <c r="L843" i="1"/>
  <c r="M843" i="1"/>
  <c r="K844" i="1"/>
  <c r="L844" i="1"/>
  <c r="M844" i="1"/>
  <c r="K845" i="1"/>
  <c r="L845" i="1"/>
  <c r="M845" i="1"/>
  <c r="K846" i="1"/>
  <c r="L846" i="1"/>
  <c r="M846" i="1"/>
  <c r="K847" i="1"/>
  <c r="L847" i="1"/>
  <c r="M847" i="1"/>
  <c r="K848" i="1"/>
  <c r="L848" i="1"/>
  <c r="M848" i="1"/>
  <c r="K849" i="1"/>
  <c r="L849" i="1"/>
  <c r="M849" i="1"/>
  <c r="K850" i="1"/>
  <c r="L850" i="1"/>
  <c r="M850" i="1"/>
  <c r="K851" i="1"/>
  <c r="L851" i="1"/>
  <c r="M851" i="1"/>
  <c r="K852" i="1"/>
  <c r="L852" i="1"/>
  <c r="M852" i="1"/>
  <c r="K853" i="1"/>
  <c r="L853" i="1"/>
  <c r="M853" i="1"/>
  <c r="K854" i="1"/>
  <c r="L854" i="1"/>
  <c r="M854" i="1"/>
  <c r="K855" i="1"/>
  <c r="L855" i="1"/>
  <c r="M855" i="1"/>
  <c r="K856" i="1"/>
  <c r="L856" i="1"/>
  <c r="M856" i="1"/>
  <c r="K857" i="1"/>
  <c r="L857" i="1"/>
  <c r="M857" i="1"/>
  <c r="K858" i="1"/>
  <c r="L858" i="1"/>
  <c r="M858" i="1"/>
  <c r="K859" i="1"/>
  <c r="L859" i="1"/>
  <c r="M859" i="1"/>
  <c r="K860" i="1"/>
  <c r="L860" i="1"/>
  <c r="M860" i="1"/>
  <c r="K861" i="1"/>
  <c r="L861" i="1"/>
  <c r="M861" i="1"/>
  <c r="K862" i="1"/>
  <c r="L862" i="1"/>
  <c r="M862" i="1"/>
  <c r="K863" i="1"/>
  <c r="L863" i="1"/>
  <c r="M863" i="1"/>
  <c r="K864" i="1"/>
  <c r="L864" i="1"/>
  <c r="M864" i="1"/>
  <c r="K865" i="1"/>
  <c r="L865" i="1"/>
  <c r="M865" i="1"/>
  <c r="K866" i="1"/>
  <c r="L866" i="1"/>
  <c r="M866" i="1"/>
  <c r="K867" i="1"/>
  <c r="L867" i="1"/>
  <c r="M867" i="1"/>
  <c r="K868" i="1"/>
  <c r="L868" i="1"/>
  <c r="M868" i="1"/>
  <c r="K869" i="1"/>
  <c r="L869" i="1"/>
  <c r="M869" i="1"/>
  <c r="K870" i="1"/>
  <c r="L870" i="1"/>
  <c r="M870" i="1"/>
  <c r="K871" i="1"/>
  <c r="L871" i="1"/>
  <c r="M871" i="1"/>
  <c r="K872" i="1"/>
  <c r="L872" i="1"/>
  <c r="M872" i="1"/>
  <c r="K873" i="1"/>
  <c r="L873" i="1"/>
  <c r="M873" i="1"/>
  <c r="K874" i="1"/>
  <c r="L874" i="1"/>
  <c r="M874" i="1"/>
  <c r="K875" i="1"/>
  <c r="L875" i="1"/>
  <c r="M875" i="1"/>
  <c r="K876" i="1"/>
  <c r="L876" i="1"/>
  <c r="M876" i="1"/>
  <c r="K877" i="1"/>
  <c r="L877" i="1"/>
  <c r="M877" i="1"/>
  <c r="K878" i="1"/>
  <c r="L878" i="1"/>
  <c r="M878" i="1"/>
  <c r="K879" i="1"/>
  <c r="L879" i="1"/>
  <c r="M879" i="1"/>
  <c r="K880" i="1"/>
  <c r="L880" i="1"/>
  <c r="M880" i="1"/>
  <c r="K881" i="1"/>
  <c r="L881" i="1"/>
  <c r="M881" i="1"/>
  <c r="K882" i="1"/>
  <c r="L882" i="1"/>
  <c r="M882" i="1"/>
  <c r="K883" i="1"/>
  <c r="L883" i="1"/>
  <c r="M883" i="1"/>
  <c r="K884" i="1"/>
  <c r="L884" i="1"/>
  <c r="M884" i="1"/>
  <c r="K885" i="1"/>
  <c r="L885" i="1"/>
  <c r="M885" i="1"/>
  <c r="K886" i="1"/>
  <c r="L886" i="1"/>
  <c r="M886" i="1"/>
  <c r="K887" i="1"/>
  <c r="L887" i="1"/>
  <c r="M887" i="1"/>
  <c r="K888" i="1"/>
  <c r="L888" i="1"/>
  <c r="M888" i="1"/>
  <c r="K889" i="1"/>
  <c r="L889" i="1"/>
  <c r="M889" i="1"/>
  <c r="K890" i="1"/>
  <c r="L890" i="1"/>
  <c r="M890" i="1"/>
  <c r="K891" i="1"/>
  <c r="L891" i="1"/>
  <c r="M891" i="1"/>
  <c r="K892" i="1"/>
  <c r="L892" i="1"/>
  <c r="M892" i="1"/>
  <c r="K893" i="1"/>
  <c r="L893" i="1"/>
  <c r="M893" i="1"/>
  <c r="K894" i="1"/>
  <c r="L894" i="1"/>
  <c r="M894" i="1"/>
  <c r="K895" i="1"/>
  <c r="L895" i="1"/>
  <c r="M895" i="1"/>
  <c r="K896" i="1"/>
  <c r="L896" i="1"/>
  <c r="M896" i="1"/>
  <c r="K897" i="1"/>
  <c r="L897" i="1"/>
  <c r="M897" i="1"/>
  <c r="K898" i="1"/>
  <c r="L898" i="1"/>
  <c r="M898" i="1"/>
  <c r="K899" i="1"/>
  <c r="L899" i="1"/>
  <c r="M899" i="1"/>
  <c r="K900" i="1"/>
  <c r="L900" i="1"/>
  <c r="M900" i="1"/>
  <c r="K901" i="1"/>
  <c r="L901" i="1"/>
  <c r="M901" i="1"/>
  <c r="K902" i="1"/>
  <c r="L902" i="1"/>
  <c r="M902" i="1"/>
  <c r="K903" i="1"/>
  <c r="L903" i="1"/>
  <c r="M903" i="1"/>
  <c r="K904" i="1"/>
  <c r="L904" i="1"/>
  <c r="M904" i="1"/>
  <c r="K905" i="1"/>
  <c r="L905" i="1"/>
  <c r="M905" i="1"/>
  <c r="K906" i="1"/>
  <c r="L906" i="1"/>
  <c r="M906" i="1"/>
  <c r="K907" i="1"/>
  <c r="L907" i="1"/>
  <c r="M907" i="1"/>
  <c r="K908" i="1"/>
  <c r="L908" i="1"/>
  <c r="M908"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8" i="1"/>
  <c r="L918" i="1"/>
  <c r="M918" i="1"/>
  <c r="K919" i="1"/>
  <c r="L919" i="1"/>
  <c r="M919" i="1"/>
  <c r="K920" i="1"/>
  <c r="L920" i="1"/>
  <c r="M920" i="1"/>
  <c r="K921" i="1"/>
  <c r="L921" i="1"/>
  <c r="M921" i="1"/>
  <c r="K922" i="1"/>
  <c r="L922" i="1"/>
  <c r="M922" i="1"/>
  <c r="K923" i="1"/>
  <c r="L923" i="1"/>
  <c r="M923" i="1"/>
  <c r="K924" i="1"/>
  <c r="L924" i="1"/>
  <c r="M924" i="1"/>
  <c r="K925" i="1"/>
  <c r="L925" i="1"/>
  <c r="M925" i="1"/>
  <c r="K926" i="1"/>
  <c r="L926" i="1"/>
  <c r="M926" i="1"/>
  <c r="K927" i="1"/>
  <c r="L927" i="1"/>
  <c r="M927" i="1"/>
  <c r="K928" i="1"/>
  <c r="L928" i="1"/>
  <c r="M928" i="1"/>
  <c r="K929" i="1"/>
  <c r="L929" i="1"/>
  <c r="M929" i="1"/>
  <c r="K930" i="1"/>
  <c r="L930" i="1"/>
  <c r="M930" i="1"/>
  <c r="K931" i="1"/>
  <c r="L931" i="1"/>
  <c r="M931" i="1"/>
  <c r="K932" i="1"/>
  <c r="L932" i="1"/>
  <c r="M932" i="1"/>
  <c r="K933" i="1"/>
  <c r="L933" i="1"/>
  <c r="M933" i="1"/>
  <c r="K934" i="1"/>
  <c r="L934" i="1"/>
  <c r="M934" i="1"/>
  <c r="K935" i="1"/>
  <c r="L935" i="1"/>
  <c r="M935" i="1"/>
  <c r="K936" i="1"/>
  <c r="L936" i="1"/>
  <c r="M936" i="1"/>
  <c r="K937" i="1"/>
  <c r="L937" i="1"/>
  <c r="M937" i="1"/>
  <c r="K938" i="1"/>
  <c r="L938" i="1"/>
  <c r="M938" i="1"/>
  <c r="K939" i="1"/>
  <c r="L939" i="1"/>
  <c r="M939" i="1"/>
  <c r="K940" i="1"/>
  <c r="L940" i="1"/>
  <c r="M940" i="1"/>
  <c r="K941" i="1"/>
  <c r="L941" i="1"/>
  <c r="M941" i="1"/>
  <c r="K942" i="1"/>
  <c r="L942" i="1"/>
  <c r="M942" i="1"/>
  <c r="K943" i="1"/>
  <c r="L943" i="1"/>
  <c r="M943" i="1"/>
  <c r="K944" i="1"/>
  <c r="L944" i="1"/>
  <c r="M944" i="1"/>
  <c r="K945" i="1"/>
  <c r="L945" i="1"/>
  <c r="M945" i="1"/>
  <c r="K946" i="1"/>
  <c r="L946" i="1"/>
  <c r="M946" i="1"/>
  <c r="K947" i="1"/>
  <c r="L947" i="1"/>
  <c r="M947" i="1"/>
  <c r="K948" i="1"/>
  <c r="L948" i="1"/>
  <c r="M948" i="1"/>
  <c r="K949" i="1"/>
  <c r="L949" i="1"/>
  <c r="M949" i="1"/>
  <c r="K950" i="1"/>
  <c r="L950" i="1"/>
  <c r="M950" i="1"/>
  <c r="K951" i="1"/>
  <c r="L951" i="1"/>
  <c r="M951" i="1"/>
  <c r="K952" i="1"/>
  <c r="L952" i="1"/>
  <c r="M952" i="1"/>
  <c r="K953" i="1"/>
  <c r="L953" i="1"/>
  <c r="M953" i="1"/>
  <c r="K954" i="1"/>
  <c r="L954" i="1"/>
  <c r="M954" i="1"/>
  <c r="K955" i="1"/>
  <c r="L955" i="1"/>
  <c r="M955" i="1"/>
  <c r="K956" i="1"/>
  <c r="L956" i="1"/>
  <c r="M956" i="1"/>
  <c r="K957" i="1"/>
  <c r="L957" i="1"/>
  <c r="M957" i="1"/>
  <c r="K958" i="1"/>
  <c r="L958" i="1"/>
  <c r="M958" i="1"/>
  <c r="K959" i="1"/>
  <c r="L959" i="1"/>
  <c r="M959" i="1"/>
  <c r="K960" i="1"/>
  <c r="L960" i="1"/>
  <c r="M960" i="1"/>
  <c r="K961" i="1"/>
  <c r="L961" i="1"/>
  <c r="M961" i="1"/>
  <c r="K962" i="1"/>
  <c r="L962" i="1"/>
  <c r="M962" i="1"/>
  <c r="K963" i="1"/>
  <c r="L963" i="1"/>
  <c r="M963" i="1"/>
  <c r="K964" i="1"/>
  <c r="L964" i="1"/>
  <c r="M964" i="1"/>
  <c r="K965" i="1"/>
  <c r="L965" i="1"/>
  <c r="M965" i="1"/>
  <c r="K966" i="1"/>
  <c r="L966" i="1"/>
  <c r="M966" i="1"/>
  <c r="K967" i="1"/>
  <c r="L967" i="1"/>
  <c r="M967" i="1"/>
  <c r="K968" i="1"/>
  <c r="L968" i="1"/>
  <c r="M968" i="1"/>
  <c r="K969" i="1"/>
  <c r="L969" i="1"/>
  <c r="M969" i="1"/>
  <c r="K970" i="1"/>
  <c r="L970" i="1"/>
  <c r="M970" i="1"/>
  <c r="K971" i="1"/>
  <c r="L971" i="1"/>
  <c r="M971" i="1"/>
  <c r="K972" i="1"/>
  <c r="L972" i="1"/>
  <c r="M972"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3" i="1"/>
  <c r="L983" i="1"/>
  <c r="M983" i="1"/>
  <c r="K984" i="1"/>
  <c r="L984" i="1"/>
  <c r="M984" i="1"/>
  <c r="K985" i="1"/>
  <c r="L985" i="1"/>
  <c r="M985" i="1"/>
  <c r="K986" i="1"/>
  <c r="L986" i="1"/>
  <c r="M986" i="1"/>
  <c r="K987" i="1"/>
  <c r="L987" i="1"/>
  <c r="M987" i="1"/>
  <c r="K988" i="1"/>
  <c r="L988" i="1"/>
  <c r="M988" i="1"/>
  <c r="K989" i="1"/>
  <c r="L989" i="1"/>
  <c r="M989" i="1"/>
  <c r="K990" i="1"/>
  <c r="L990" i="1"/>
  <c r="M990" i="1"/>
  <c r="K991" i="1"/>
  <c r="L991" i="1"/>
  <c r="M991" i="1"/>
  <c r="K992" i="1"/>
  <c r="L992" i="1"/>
  <c r="M992" i="1"/>
  <c r="K993" i="1"/>
  <c r="L993" i="1"/>
  <c r="M993" i="1"/>
  <c r="K994" i="1"/>
  <c r="L994" i="1"/>
  <c r="M994" i="1"/>
  <c r="K995" i="1"/>
  <c r="L995" i="1"/>
  <c r="M995" i="1"/>
  <c r="K996" i="1"/>
  <c r="L996" i="1"/>
  <c r="M996" i="1"/>
  <c r="K997" i="1"/>
  <c r="L997" i="1"/>
  <c r="M997" i="1"/>
  <c r="K998" i="1"/>
  <c r="L998" i="1"/>
  <c r="M998" i="1"/>
  <c r="K999" i="1"/>
  <c r="L999" i="1"/>
  <c r="M999" i="1"/>
  <c r="K1000" i="1"/>
  <c r="L1000" i="1"/>
  <c r="M1000" i="1"/>
  <c r="K1001" i="1"/>
  <c r="L1001" i="1"/>
  <c r="M1001" i="1"/>
  <c r="K1002" i="1"/>
  <c r="L1002" i="1"/>
  <c r="M1002" i="1"/>
  <c r="K1003" i="1"/>
  <c r="L1003" i="1"/>
  <c r="M1003" i="1"/>
  <c r="K1004" i="1"/>
  <c r="L1004" i="1"/>
  <c r="M1004" i="1"/>
  <c r="K1005" i="1"/>
  <c r="L1005" i="1"/>
  <c r="M1005" i="1"/>
  <c r="K1006" i="1"/>
  <c r="L1006" i="1"/>
  <c r="M1006" i="1"/>
  <c r="K1007" i="1"/>
  <c r="L1007" i="1"/>
  <c r="M1007" i="1"/>
  <c r="K1008" i="1"/>
  <c r="L1008" i="1"/>
  <c r="M1008" i="1"/>
  <c r="K1009" i="1"/>
  <c r="L1009" i="1"/>
  <c r="M1009" i="1"/>
  <c r="K1010" i="1"/>
  <c r="L1010" i="1"/>
  <c r="M1010" i="1"/>
  <c r="K1011" i="1"/>
  <c r="L1011" i="1"/>
  <c r="M1011" i="1"/>
  <c r="K1012" i="1"/>
  <c r="L1012" i="1"/>
  <c r="M1012" i="1"/>
  <c r="K1013" i="1"/>
  <c r="L1013" i="1"/>
  <c r="M1013" i="1"/>
  <c r="K1014" i="1"/>
  <c r="L1014" i="1"/>
  <c r="M1014" i="1"/>
  <c r="K1015" i="1"/>
  <c r="L1015" i="1"/>
  <c r="M1015" i="1"/>
  <c r="K1016" i="1"/>
  <c r="L1016" i="1"/>
  <c r="M1016" i="1"/>
  <c r="K1017" i="1"/>
  <c r="L1017" i="1"/>
  <c r="M1017"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6" i="1"/>
  <c r="L1026" i="1"/>
  <c r="M1026" i="1"/>
  <c r="K1027" i="1"/>
  <c r="L1027" i="1"/>
  <c r="M1027" i="1"/>
  <c r="K1028" i="1"/>
  <c r="L1028" i="1"/>
  <c r="M1028" i="1"/>
  <c r="K1029" i="1"/>
  <c r="L1029" i="1"/>
  <c r="M1029" i="1"/>
  <c r="K1030" i="1"/>
  <c r="L1030" i="1"/>
  <c r="M1030" i="1"/>
  <c r="K1031" i="1"/>
  <c r="L1031" i="1"/>
  <c r="M1031" i="1"/>
  <c r="K1032" i="1"/>
  <c r="L1032" i="1"/>
  <c r="M1032" i="1"/>
  <c r="K1033" i="1"/>
  <c r="L1033" i="1"/>
  <c r="M1033" i="1"/>
  <c r="K1034" i="1"/>
  <c r="L1034" i="1"/>
  <c r="M1034" i="1"/>
  <c r="K1035" i="1"/>
  <c r="L1035" i="1"/>
  <c r="M1035" i="1"/>
  <c r="K1036" i="1"/>
  <c r="L1036" i="1"/>
  <c r="M1036" i="1"/>
  <c r="K1037" i="1"/>
  <c r="L1037" i="1"/>
  <c r="M1037" i="1"/>
  <c r="K1038" i="1"/>
  <c r="L1038" i="1"/>
  <c r="M1038" i="1"/>
  <c r="K1039" i="1"/>
  <c r="L1039" i="1"/>
  <c r="M1039" i="1"/>
  <c r="K1040" i="1"/>
  <c r="L1040" i="1"/>
  <c r="M1040" i="1"/>
  <c r="K1041" i="1"/>
  <c r="L1041" i="1"/>
  <c r="M1041" i="1"/>
  <c r="K1042" i="1"/>
  <c r="L1042" i="1"/>
  <c r="M1042" i="1"/>
  <c r="K1043" i="1"/>
  <c r="L1043" i="1"/>
  <c r="M1043" i="1"/>
  <c r="K1044" i="1"/>
  <c r="L1044" i="1"/>
  <c r="M1044" i="1"/>
  <c r="K1045" i="1"/>
  <c r="L1045" i="1"/>
  <c r="M1045" i="1"/>
  <c r="K1046" i="1"/>
  <c r="L1046" i="1"/>
  <c r="M1046" i="1"/>
  <c r="K1047" i="1"/>
  <c r="L1047" i="1"/>
  <c r="M1047" i="1"/>
  <c r="K1048" i="1"/>
  <c r="L1048" i="1"/>
  <c r="M1048" i="1"/>
  <c r="K1049" i="1"/>
  <c r="L1049" i="1"/>
  <c r="M1049" i="1"/>
  <c r="K1050" i="1"/>
  <c r="L1050" i="1"/>
  <c r="M1050" i="1"/>
  <c r="K1051" i="1"/>
  <c r="L1051" i="1"/>
  <c r="M1051" i="1"/>
  <c r="K1052" i="1"/>
  <c r="L1052" i="1"/>
  <c r="M1052" i="1"/>
  <c r="K1053" i="1"/>
  <c r="L1053" i="1"/>
  <c r="M1053" i="1"/>
  <c r="K1054" i="1"/>
  <c r="L1054" i="1"/>
  <c r="M1054" i="1"/>
  <c r="K1055" i="1"/>
  <c r="L1055" i="1"/>
  <c r="M1055" i="1"/>
  <c r="K1056" i="1"/>
  <c r="L1056" i="1"/>
  <c r="M1056" i="1"/>
  <c r="K1057" i="1"/>
  <c r="L1057" i="1"/>
  <c r="M1057" i="1"/>
  <c r="K1058" i="1"/>
  <c r="L1058" i="1"/>
  <c r="M1058" i="1"/>
  <c r="K1059" i="1"/>
  <c r="L1059" i="1"/>
  <c r="M1059" i="1"/>
  <c r="K1060" i="1"/>
  <c r="L1060" i="1"/>
  <c r="M1060" i="1"/>
  <c r="K1061" i="1"/>
  <c r="L1061" i="1"/>
  <c r="M1061" i="1"/>
  <c r="K1062" i="1"/>
  <c r="L1062" i="1"/>
  <c r="M1062" i="1"/>
  <c r="K1063" i="1"/>
  <c r="L1063" i="1"/>
  <c r="M1063" i="1"/>
  <c r="K1064" i="1"/>
  <c r="L1064" i="1"/>
  <c r="M1064" i="1"/>
  <c r="K1065" i="1"/>
  <c r="L1065" i="1"/>
  <c r="M1065" i="1"/>
  <c r="K1066" i="1"/>
  <c r="L1066" i="1"/>
  <c r="M1066" i="1"/>
  <c r="K1067" i="1"/>
  <c r="L1067" i="1"/>
  <c r="M1067" i="1"/>
  <c r="K1068" i="1"/>
  <c r="L1068" i="1"/>
  <c r="M1068" i="1"/>
  <c r="K1069" i="1"/>
  <c r="L1069" i="1"/>
  <c r="M1069" i="1"/>
  <c r="K1070" i="1"/>
  <c r="L1070" i="1"/>
  <c r="M1070" i="1"/>
  <c r="K1071" i="1"/>
  <c r="L1071" i="1"/>
  <c r="M1071" i="1"/>
  <c r="K1072" i="1"/>
  <c r="L1072" i="1"/>
  <c r="M1072" i="1"/>
  <c r="K1073" i="1"/>
  <c r="L1073" i="1"/>
  <c r="M1073" i="1"/>
  <c r="K1074" i="1"/>
  <c r="L1074" i="1"/>
  <c r="M1074" i="1"/>
  <c r="K1075" i="1"/>
  <c r="L1075" i="1"/>
  <c r="M1075" i="1"/>
  <c r="K1076" i="1"/>
  <c r="L1076" i="1"/>
  <c r="M1076" i="1"/>
  <c r="K1077" i="1"/>
  <c r="L1077" i="1"/>
  <c r="M1077" i="1"/>
  <c r="K1078" i="1"/>
  <c r="L1078" i="1"/>
  <c r="M1078" i="1"/>
  <c r="K1079" i="1"/>
  <c r="L1079" i="1"/>
  <c r="M1079" i="1"/>
  <c r="K1080" i="1"/>
  <c r="L1080" i="1"/>
  <c r="M1080" i="1"/>
  <c r="K1081" i="1"/>
  <c r="L1081" i="1"/>
  <c r="M1081" i="1"/>
  <c r="K1082" i="1"/>
  <c r="L1082" i="1"/>
  <c r="M1082" i="1"/>
  <c r="K1083" i="1"/>
  <c r="L1083" i="1"/>
  <c r="M1083" i="1"/>
  <c r="K1084" i="1"/>
  <c r="L1084" i="1"/>
  <c r="M1084" i="1"/>
  <c r="K1085" i="1"/>
  <c r="L1085" i="1"/>
  <c r="M1085" i="1"/>
  <c r="K1086" i="1"/>
  <c r="L1086" i="1"/>
  <c r="M1086" i="1"/>
  <c r="K1087" i="1"/>
  <c r="L1087" i="1"/>
  <c r="M1087" i="1"/>
  <c r="K1088" i="1"/>
  <c r="L1088" i="1"/>
  <c r="M1088" i="1"/>
  <c r="K1089" i="1"/>
  <c r="L1089" i="1"/>
  <c r="M1089" i="1"/>
  <c r="K1090" i="1"/>
  <c r="L1090" i="1"/>
  <c r="M1090" i="1"/>
  <c r="K1091" i="1"/>
  <c r="L1091" i="1"/>
  <c r="M1091" i="1"/>
  <c r="K1092" i="1"/>
  <c r="L1092" i="1"/>
  <c r="M1092" i="1"/>
  <c r="K1093" i="1"/>
  <c r="L1093" i="1"/>
  <c r="M1093" i="1"/>
  <c r="K1094" i="1"/>
  <c r="L1094" i="1"/>
  <c r="M1094" i="1"/>
  <c r="K1095" i="1"/>
  <c r="L1095" i="1"/>
  <c r="M1095" i="1"/>
  <c r="K1096" i="1"/>
  <c r="L1096" i="1"/>
  <c r="M1096" i="1"/>
  <c r="K1097" i="1"/>
  <c r="L1097" i="1"/>
  <c r="M1097" i="1"/>
  <c r="K1098" i="1"/>
  <c r="L1098" i="1"/>
  <c r="M1098" i="1"/>
  <c r="K1099" i="1"/>
  <c r="L1099" i="1"/>
  <c r="M1099" i="1"/>
  <c r="K1100" i="1"/>
  <c r="L1100" i="1"/>
  <c r="M1100" i="1"/>
  <c r="K1101" i="1"/>
  <c r="L1101" i="1"/>
  <c r="M1101" i="1"/>
  <c r="K1102" i="1"/>
  <c r="L1102" i="1"/>
  <c r="M1102" i="1"/>
  <c r="K1103" i="1"/>
  <c r="L1103" i="1"/>
  <c r="M1103" i="1"/>
  <c r="K1104" i="1"/>
  <c r="L1104" i="1"/>
  <c r="M1104" i="1"/>
  <c r="K1105" i="1"/>
  <c r="L1105" i="1"/>
  <c r="M1105" i="1"/>
  <c r="K1106" i="1"/>
  <c r="L1106" i="1"/>
  <c r="M1106" i="1"/>
  <c r="K1107" i="1"/>
  <c r="L1107" i="1"/>
  <c r="M1107" i="1"/>
  <c r="K1108" i="1"/>
  <c r="L1108" i="1"/>
  <c r="M1108" i="1"/>
  <c r="K1109" i="1"/>
  <c r="L1109" i="1"/>
  <c r="M1109" i="1"/>
  <c r="K1110" i="1"/>
  <c r="L1110" i="1"/>
  <c r="M1110" i="1"/>
  <c r="K1111" i="1"/>
  <c r="L1111" i="1"/>
  <c r="M1111" i="1"/>
  <c r="K1112" i="1"/>
  <c r="L1112" i="1"/>
  <c r="M1112" i="1"/>
  <c r="K1113" i="1"/>
  <c r="L1113" i="1"/>
  <c r="M1113" i="1"/>
  <c r="K1114" i="1"/>
  <c r="L1114" i="1"/>
  <c r="M1114" i="1"/>
  <c r="K1115" i="1"/>
  <c r="L1115" i="1"/>
  <c r="M1115" i="1"/>
  <c r="K1116" i="1"/>
  <c r="L1116" i="1"/>
  <c r="M1116" i="1"/>
  <c r="K1117" i="1"/>
  <c r="L1117" i="1"/>
  <c r="M1117" i="1"/>
  <c r="K1118" i="1"/>
  <c r="L1118" i="1"/>
  <c r="M1118" i="1"/>
  <c r="K1119" i="1"/>
  <c r="L1119" i="1"/>
  <c r="M1119" i="1"/>
  <c r="K1120" i="1"/>
  <c r="L1120" i="1"/>
  <c r="M1120" i="1"/>
  <c r="K1121" i="1"/>
  <c r="L1121" i="1"/>
  <c r="M1121" i="1"/>
  <c r="K1122" i="1"/>
  <c r="L1122" i="1"/>
  <c r="M1122" i="1"/>
  <c r="K1123" i="1"/>
  <c r="L1123" i="1"/>
  <c r="M1123" i="1"/>
  <c r="K1124" i="1"/>
  <c r="L1124" i="1"/>
  <c r="M1124" i="1"/>
  <c r="K1125" i="1"/>
  <c r="L1125" i="1"/>
  <c r="M1125" i="1"/>
  <c r="K1126" i="1"/>
  <c r="L1126" i="1"/>
  <c r="M1126" i="1"/>
  <c r="K1127" i="1"/>
  <c r="L1127" i="1"/>
  <c r="M1127" i="1"/>
  <c r="K1128" i="1"/>
  <c r="L1128" i="1"/>
  <c r="M1128" i="1"/>
  <c r="K1129" i="1"/>
  <c r="L1129" i="1"/>
  <c r="M1129" i="1"/>
  <c r="K1130" i="1"/>
  <c r="L1130" i="1"/>
  <c r="M1130" i="1"/>
  <c r="K1131" i="1"/>
  <c r="L1131" i="1"/>
  <c r="M1131" i="1"/>
  <c r="K1132" i="1"/>
  <c r="L1132" i="1"/>
  <c r="M1132" i="1"/>
  <c r="K1133" i="1"/>
  <c r="L1133" i="1"/>
  <c r="M1133" i="1"/>
  <c r="K1134" i="1"/>
  <c r="L1134" i="1"/>
  <c r="M1134" i="1"/>
  <c r="K1135" i="1"/>
  <c r="L1135" i="1"/>
  <c r="M1135" i="1"/>
  <c r="K1136" i="1"/>
  <c r="L1136" i="1"/>
  <c r="M1136" i="1"/>
  <c r="K1137" i="1"/>
  <c r="L1137" i="1"/>
  <c r="M1137" i="1"/>
  <c r="K1138" i="1"/>
  <c r="L1138" i="1"/>
  <c r="M1138" i="1"/>
  <c r="K1139" i="1"/>
  <c r="L1139" i="1"/>
  <c r="M1139" i="1"/>
  <c r="K1140" i="1"/>
  <c r="L1140" i="1"/>
  <c r="M1140" i="1"/>
  <c r="K1141" i="1"/>
  <c r="L1141" i="1"/>
  <c r="M1141" i="1"/>
  <c r="K1142" i="1"/>
  <c r="L1142" i="1"/>
  <c r="M1142" i="1"/>
  <c r="K1143" i="1"/>
  <c r="L1143" i="1"/>
  <c r="M1143" i="1"/>
  <c r="K1144" i="1"/>
  <c r="L1144" i="1"/>
  <c r="M1144" i="1"/>
  <c r="K1145" i="1"/>
  <c r="L1145" i="1"/>
  <c r="M1145" i="1"/>
  <c r="K1146" i="1"/>
  <c r="L1146" i="1"/>
  <c r="M1146" i="1"/>
  <c r="K1147" i="1"/>
  <c r="L1147" i="1"/>
  <c r="M1147"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8" i="1"/>
  <c r="L1158" i="1"/>
  <c r="M1158" i="1"/>
  <c r="K1159" i="1"/>
  <c r="L1159" i="1"/>
  <c r="M1159" i="1"/>
  <c r="K1160" i="1"/>
  <c r="L1160" i="1"/>
  <c r="M1160" i="1"/>
  <c r="K1161" i="1"/>
  <c r="L1161" i="1"/>
  <c r="M1161" i="1"/>
  <c r="K1162" i="1"/>
  <c r="L1162" i="1"/>
  <c r="M1162" i="1"/>
  <c r="K1163" i="1"/>
  <c r="L1163" i="1"/>
  <c r="M1163" i="1"/>
  <c r="K1164" i="1"/>
  <c r="L1164" i="1"/>
  <c r="M1164" i="1"/>
  <c r="K1165" i="1"/>
  <c r="L1165" i="1"/>
  <c r="M1165" i="1"/>
  <c r="K1166" i="1"/>
  <c r="L1166" i="1"/>
  <c r="M1166" i="1"/>
  <c r="K1167" i="1"/>
  <c r="L1167" i="1"/>
  <c r="M1167" i="1"/>
  <c r="K1168" i="1"/>
  <c r="L1168" i="1"/>
  <c r="M1168" i="1"/>
  <c r="K1169" i="1"/>
  <c r="L1169" i="1"/>
  <c r="M1169" i="1"/>
  <c r="K1170" i="1"/>
  <c r="L1170" i="1"/>
  <c r="M1170" i="1"/>
  <c r="K1171" i="1"/>
  <c r="L1171" i="1"/>
  <c r="M1171" i="1"/>
  <c r="K1172" i="1"/>
  <c r="L1172" i="1"/>
  <c r="M1172" i="1"/>
  <c r="K1173" i="1"/>
  <c r="L1173" i="1"/>
  <c r="M1173" i="1"/>
  <c r="K1174" i="1"/>
  <c r="L1174" i="1"/>
  <c r="M1174" i="1"/>
  <c r="K1175" i="1"/>
  <c r="L1175" i="1"/>
  <c r="M1175" i="1"/>
  <c r="K1176" i="1"/>
  <c r="L1176" i="1"/>
  <c r="M1176" i="1"/>
  <c r="K1177" i="1"/>
  <c r="L1177" i="1"/>
  <c r="M1177" i="1"/>
  <c r="K1178" i="1"/>
  <c r="L1178" i="1"/>
  <c r="M1178" i="1"/>
  <c r="K1179" i="1"/>
  <c r="L1179" i="1"/>
  <c r="M1179"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1" i="1"/>
  <c r="L1191" i="1"/>
  <c r="M1191" i="1"/>
  <c r="K1192" i="1"/>
  <c r="L1192" i="1"/>
  <c r="M1192" i="1"/>
  <c r="K1193" i="1"/>
  <c r="L1193" i="1"/>
  <c r="M1193" i="1"/>
  <c r="K1194" i="1"/>
  <c r="L1194" i="1"/>
  <c r="M1194" i="1"/>
  <c r="K1195" i="1"/>
  <c r="L1195" i="1"/>
  <c r="M1195" i="1"/>
  <c r="K1196" i="1"/>
  <c r="L1196" i="1"/>
  <c r="M1196" i="1"/>
  <c r="K1197" i="1"/>
  <c r="L1197" i="1"/>
  <c r="M1197" i="1"/>
  <c r="K1198" i="1"/>
  <c r="L1198" i="1"/>
  <c r="M1198" i="1"/>
  <c r="K1199" i="1"/>
  <c r="L1199" i="1"/>
  <c r="M1199" i="1"/>
  <c r="K1200" i="1"/>
  <c r="L1200" i="1"/>
  <c r="M1200" i="1"/>
  <c r="K1201" i="1"/>
  <c r="L1201" i="1"/>
  <c r="M1201" i="1"/>
  <c r="K1202" i="1"/>
  <c r="L1202" i="1"/>
  <c r="M1202" i="1"/>
  <c r="K1203" i="1"/>
  <c r="L1203" i="1"/>
  <c r="M1203" i="1"/>
  <c r="K1204" i="1"/>
  <c r="L1204" i="1"/>
  <c r="M1204" i="1"/>
  <c r="K1205" i="1"/>
  <c r="L1205" i="1"/>
  <c r="M1205" i="1"/>
  <c r="K1206" i="1"/>
  <c r="L1206" i="1"/>
  <c r="M1206" i="1"/>
  <c r="K1207" i="1"/>
  <c r="L1207" i="1"/>
  <c r="M1207" i="1"/>
  <c r="K1208" i="1"/>
  <c r="L1208" i="1"/>
  <c r="M1208" i="1"/>
  <c r="K1209" i="1"/>
  <c r="L1209" i="1"/>
  <c r="M1209" i="1"/>
  <c r="K1210" i="1"/>
  <c r="L1210" i="1"/>
  <c r="M1210" i="1"/>
  <c r="K1211" i="1"/>
  <c r="L1211" i="1"/>
  <c r="M1211" i="1"/>
  <c r="K1212" i="1"/>
  <c r="L1212" i="1"/>
  <c r="M1212" i="1"/>
  <c r="K1213" i="1"/>
  <c r="L1213" i="1"/>
  <c r="M1213" i="1"/>
  <c r="K1214" i="1"/>
  <c r="L1214" i="1"/>
  <c r="M1214" i="1"/>
  <c r="K1215" i="1"/>
  <c r="L1215" i="1"/>
  <c r="M1215" i="1"/>
  <c r="K1216" i="1"/>
  <c r="L1216" i="1"/>
  <c r="M1216" i="1"/>
  <c r="K1217" i="1"/>
  <c r="L1217" i="1"/>
  <c r="M1217" i="1"/>
  <c r="K1218" i="1"/>
  <c r="L1218" i="1"/>
  <c r="M1218" i="1"/>
  <c r="K1219" i="1"/>
  <c r="L1219" i="1"/>
  <c r="M1219" i="1"/>
  <c r="K1220" i="1"/>
  <c r="L1220" i="1"/>
  <c r="M1220" i="1"/>
  <c r="K1221" i="1"/>
  <c r="L1221" i="1"/>
  <c r="M1221" i="1"/>
  <c r="K1222" i="1"/>
  <c r="L1222" i="1"/>
  <c r="M1222" i="1"/>
  <c r="K1223" i="1"/>
  <c r="L1223" i="1"/>
  <c r="M1223" i="1"/>
  <c r="K1224" i="1"/>
  <c r="L1224" i="1"/>
  <c r="M1224" i="1"/>
  <c r="K1225" i="1"/>
  <c r="L1225" i="1"/>
  <c r="M1225" i="1"/>
  <c r="K1226" i="1"/>
  <c r="L1226" i="1"/>
  <c r="M1226" i="1"/>
  <c r="K1227" i="1"/>
  <c r="L1227" i="1"/>
  <c r="M1227" i="1"/>
  <c r="K1228" i="1"/>
  <c r="L1228" i="1"/>
  <c r="M1228" i="1"/>
  <c r="K1229" i="1"/>
  <c r="L1229" i="1"/>
  <c r="M1229" i="1"/>
  <c r="K1230" i="1"/>
  <c r="L1230" i="1"/>
  <c r="M1230" i="1"/>
  <c r="K1231" i="1"/>
  <c r="L1231" i="1"/>
  <c r="M1231" i="1"/>
  <c r="K1232" i="1"/>
  <c r="L1232" i="1"/>
  <c r="M1232" i="1"/>
  <c r="K1233" i="1"/>
  <c r="L1233" i="1"/>
  <c r="M1233" i="1"/>
  <c r="K1234" i="1"/>
  <c r="L1234" i="1"/>
  <c r="M1234" i="1"/>
  <c r="K1235" i="1"/>
  <c r="L1235" i="1"/>
  <c r="M1235" i="1"/>
  <c r="K1236" i="1"/>
  <c r="L1236" i="1"/>
  <c r="M1236" i="1"/>
  <c r="K1237" i="1"/>
  <c r="L1237" i="1"/>
  <c r="M1237" i="1"/>
  <c r="K1238" i="1"/>
  <c r="L1238" i="1"/>
  <c r="M1238" i="1"/>
  <c r="K1239" i="1"/>
  <c r="L1239" i="1"/>
  <c r="M1239" i="1"/>
  <c r="K1240" i="1"/>
  <c r="L1240" i="1"/>
  <c r="M1240" i="1"/>
  <c r="K1241" i="1"/>
  <c r="L1241" i="1"/>
  <c r="M1241" i="1"/>
  <c r="K1242" i="1"/>
  <c r="L1242" i="1"/>
  <c r="M1242" i="1"/>
  <c r="K1243" i="1"/>
  <c r="L1243" i="1"/>
  <c r="M1243" i="1"/>
  <c r="K1244" i="1"/>
  <c r="L1244" i="1"/>
  <c r="M1244" i="1"/>
  <c r="K1245" i="1"/>
  <c r="L1245" i="1"/>
  <c r="M1245" i="1"/>
  <c r="K1246" i="1"/>
  <c r="L1246" i="1"/>
  <c r="M1246" i="1"/>
  <c r="K1247" i="1"/>
  <c r="L1247" i="1"/>
  <c r="M1247" i="1"/>
  <c r="K1248" i="1"/>
  <c r="L1248" i="1"/>
  <c r="M1248" i="1"/>
  <c r="K1249" i="1"/>
  <c r="L1249" i="1"/>
  <c r="M1249" i="1"/>
  <c r="K1250" i="1"/>
  <c r="L1250" i="1"/>
  <c r="M1250" i="1"/>
  <c r="K1251" i="1"/>
  <c r="L1251" i="1"/>
  <c r="M1251" i="1"/>
  <c r="K1252" i="1"/>
  <c r="L1252" i="1"/>
  <c r="M1252" i="1"/>
  <c r="K1253" i="1"/>
  <c r="L1253" i="1"/>
  <c r="M1253" i="1"/>
  <c r="K1254" i="1"/>
  <c r="L1254" i="1"/>
  <c r="M1254" i="1"/>
  <c r="K1255" i="1"/>
  <c r="L1255" i="1"/>
  <c r="M1255" i="1"/>
  <c r="K1256" i="1"/>
  <c r="L1256" i="1"/>
  <c r="M1256" i="1"/>
  <c r="K1257" i="1"/>
  <c r="L1257" i="1"/>
  <c r="M1257" i="1"/>
  <c r="K1258" i="1"/>
  <c r="L1258" i="1"/>
  <c r="M1258" i="1"/>
  <c r="K1259" i="1"/>
  <c r="L1259" i="1"/>
  <c r="M1259" i="1"/>
  <c r="K1260" i="1"/>
  <c r="L1260" i="1"/>
  <c r="M1260" i="1"/>
  <c r="K1261" i="1"/>
  <c r="L1261" i="1"/>
  <c r="M1261" i="1"/>
  <c r="K1262" i="1"/>
  <c r="L1262" i="1"/>
  <c r="M1262" i="1"/>
  <c r="K1263" i="1"/>
  <c r="L1263" i="1"/>
  <c r="M1263" i="1"/>
  <c r="K1264" i="1"/>
  <c r="L1264" i="1"/>
  <c r="M1264" i="1"/>
  <c r="K1265" i="1"/>
  <c r="L1265" i="1"/>
  <c r="M1265" i="1"/>
  <c r="K1266" i="1"/>
  <c r="L1266" i="1"/>
  <c r="M1266" i="1"/>
  <c r="K1267" i="1"/>
  <c r="L1267" i="1"/>
  <c r="M1267" i="1"/>
  <c r="K1268" i="1"/>
  <c r="L1268" i="1"/>
  <c r="M1268" i="1"/>
  <c r="K1269" i="1"/>
  <c r="L1269" i="1"/>
  <c r="M1269" i="1"/>
  <c r="K1270" i="1"/>
  <c r="L1270" i="1"/>
  <c r="M1270" i="1"/>
  <c r="K1271" i="1"/>
  <c r="L1271" i="1"/>
  <c r="M1271" i="1"/>
  <c r="K1272" i="1"/>
  <c r="L1272" i="1"/>
  <c r="M1272" i="1"/>
  <c r="K1273" i="1"/>
  <c r="L1273" i="1"/>
  <c r="M1273" i="1"/>
  <c r="K1274" i="1"/>
  <c r="L1274" i="1"/>
  <c r="M1274" i="1"/>
  <c r="K1275" i="1"/>
  <c r="L1275" i="1"/>
  <c r="M1275" i="1"/>
  <c r="K1276" i="1"/>
  <c r="L1276" i="1"/>
  <c r="M1276" i="1"/>
  <c r="K1277" i="1"/>
  <c r="L1277" i="1"/>
  <c r="M1277" i="1"/>
  <c r="K1278" i="1"/>
  <c r="L1278" i="1"/>
  <c r="M1278" i="1"/>
  <c r="K1279" i="1"/>
  <c r="L1279" i="1"/>
  <c r="M1279" i="1"/>
  <c r="K1280" i="1"/>
  <c r="L1280" i="1"/>
  <c r="M1280" i="1"/>
  <c r="K1281" i="1"/>
  <c r="L1281" i="1"/>
  <c r="M1281" i="1"/>
  <c r="K1282" i="1"/>
  <c r="L1282" i="1"/>
  <c r="M1282" i="1"/>
  <c r="K1283" i="1"/>
  <c r="L1283" i="1"/>
  <c r="M1283" i="1"/>
  <c r="K1284" i="1"/>
  <c r="L1284" i="1"/>
  <c r="M1284" i="1"/>
  <c r="K1285" i="1"/>
  <c r="L1285" i="1"/>
  <c r="M1285" i="1"/>
  <c r="K1286" i="1"/>
  <c r="L1286" i="1"/>
  <c r="M1286" i="1"/>
  <c r="K1287" i="1"/>
  <c r="L1287" i="1"/>
  <c r="M1287" i="1"/>
  <c r="K1288" i="1"/>
  <c r="L1288" i="1"/>
  <c r="M1288" i="1"/>
  <c r="K1289" i="1"/>
  <c r="L1289" i="1"/>
  <c r="M1289" i="1"/>
  <c r="K1290" i="1"/>
  <c r="L1290" i="1"/>
  <c r="M1290" i="1"/>
  <c r="K1291" i="1"/>
  <c r="L1291" i="1"/>
  <c r="M1291" i="1"/>
  <c r="K1292" i="1"/>
  <c r="L1292" i="1"/>
  <c r="M1292" i="1"/>
  <c r="K1293" i="1"/>
  <c r="L1293" i="1"/>
  <c r="M1293" i="1"/>
  <c r="K1294" i="1"/>
  <c r="L1294" i="1"/>
  <c r="M1294" i="1"/>
  <c r="K1295" i="1"/>
  <c r="L1295" i="1"/>
  <c r="M1295" i="1"/>
  <c r="K1296" i="1"/>
  <c r="L1296" i="1"/>
  <c r="M1296" i="1"/>
  <c r="K1297" i="1"/>
  <c r="L1297" i="1"/>
  <c r="M1297" i="1"/>
  <c r="K1298" i="1"/>
  <c r="L1298" i="1"/>
  <c r="M1298" i="1"/>
  <c r="K1299" i="1"/>
  <c r="L1299" i="1"/>
  <c r="M1299" i="1"/>
  <c r="K1300" i="1"/>
  <c r="L1300" i="1"/>
  <c r="M1300" i="1"/>
  <c r="K1301" i="1"/>
  <c r="L1301" i="1"/>
  <c r="M1301" i="1"/>
  <c r="K1302" i="1"/>
  <c r="L1302" i="1"/>
  <c r="M1302" i="1"/>
  <c r="K1303" i="1"/>
  <c r="L1303" i="1"/>
  <c r="M1303" i="1"/>
  <c r="K1304" i="1"/>
  <c r="L1304" i="1"/>
  <c r="M1304" i="1"/>
  <c r="K1305" i="1"/>
  <c r="L1305" i="1"/>
  <c r="M1305" i="1"/>
  <c r="K1306" i="1"/>
  <c r="L1306" i="1"/>
  <c r="M1306" i="1"/>
  <c r="K1307" i="1"/>
  <c r="L1307" i="1"/>
  <c r="M1307" i="1"/>
  <c r="K1308" i="1"/>
  <c r="L1308" i="1"/>
  <c r="M1308" i="1"/>
  <c r="K1309" i="1"/>
  <c r="L1309" i="1"/>
  <c r="M1309" i="1"/>
  <c r="K1310" i="1"/>
  <c r="L1310" i="1"/>
  <c r="M1310" i="1"/>
  <c r="K1311" i="1"/>
  <c r="L1311" i="1"/>
  <c r="M1311" i="1"/>
  <c r="K1312" i="1"/>
  <c r="L1312" i="1"/>
  <c r="M1312" i="1"/>
  <c r="K1313" i="1"/>
  <c r="L1313" i="1"/>
  <c r="M1313" i="1"/>
  <c r="K1314" i="1"/>
  <c r="L1314" i="1"/>
  <c r="M1314" i="1"/>
  <c r="K1315" i="1"/>
  <c r="L1315" i="1"/>
  <c r="M1315"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3" i="1"/>
  <c r="L1333" i="1"/>
  <c r="M1333" i="1"/>
  <c r="K1334" i="1"/>
  <c r="L1334" i="1"/>
  <c r="M1334" i="1"/>
  <c r="K1335" i="1"/>
  <c r="L1335" i="1"/>
  <c r="M1335" i="1"/>
  <c r="K1336" i="1"/>
  <c r="L1336" i="1"/>
  <c r="M1336" i="1"/>
  <c r="K1337" i="1"/>
  <c r="L1337" i="1"/>
  <c r="M1337" i="1"/>
  <c r="K1338" i="1"/>
  <c r="L1338" i="1"/>
  <c r="M1338" i="1"/>
  <c r="K1339" i="1"/>
  <c r="L1339" i="1"/>
  <c r="M1339" i="1"/>
  <c r="K1340" i="1"/>
  <c r="L1340" i="1"/>
  <c r="M1340" i="1"/>
  <c r="K1341" i="1"/>
  <c r="L1341" i="1"/>
  <c r="M1341" i="1"/>
  <c r="K1342" i="1"/>
  <c r="L1342" i="1"/>
  <c r="M1342" i="1"/>
  <c r="K1343" i="1"/>
  <c r="L1343" i="1"/>
  <c r="M1343" i="1"/>
  <c r="K1344" i="1"/>
  <c r="L1344" i="1"/>
  <c r="M1344" i="1"/>
  <c r="K1345" i="1"/>
  <c r="L1345" i="1"/>
  <c r="M1345" i="1"/>
  <c r="K1346" i="1"/>
  <c r="L1346" i="1"/>
  <c r="M1346"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8" i="1"/>
  <c r="L1358" i="1"/>
  <c r="M1358" i="1"/>
  <c r="K1359" i="1"/>
  <c r="L1359" i="1"/>
  <c r="M1359" i="1"/>
  <c r="K1360" i="1"/>
  <c r="L1360" i="1"/>
  <c r="M1360" i="1"/>
  <c r="K1361" i="1"/>
  <c r="L1361" i="1"/>
  <c r="M1361" i="1"/>
  <c r="K1362" i="1"/>
  <c r="L1362" i="1"/>
  <c r="M1362" i="1"/>
  <c r="K1363" i="1"/>
  <c r="L1363" i="1"/>
  <c r="M1363" i="1"/>
  <c r="K1364" i="1"/>
  <c r="L1364" i="1"/>
  <c r="M1364" i="1"/>
  <c r="K1365" i="1"/>
  <c r="L1365" i="1"/>
  <c r="M1365" i="1"/>
  <c r="K1366" i="1"/>
  <c r="L1366" i="1"/>
  <c r="M1366" i="1"/>
  <c r="K1367" i="1"/>
  <c r="L1367" i="1"/>
  <c r="M1367" i="1"/>
  <c r="K1368" i="1"/>
  <c r="L1368" i="1"/>
  <c r="M1368" i="1"/>
  <c r="K1369" i="1"/>
  <c r="L1369" i="1"/>
  <c r="M1369" i="1"/>
  <c r="K1370" i="1"/>
  <c r="L1370" i="1"/>
  <c r="M1370" i="1"/>
  <c r="K1371" i="1"/>
  <c r="L1371" i="1"/>
  <c r="M1371" i="1"/>
  <c r="K1372" i="1"/>
  <c r="L1372" i="1"/>
  <c r="M1372" i="1"/>
  <c r="K1373" i="1"/>
  <c r="L1373" i="1"/>
  <c r="M1373" i="1"/>
  <c r="K1374" i="1"/>
  <c r="L1374" i="1"/>
  <c r="M1374" i="1"/>
  <c r="K1375" i="1"/>
  <c r="L1375" i="1"/>
  <c r="M1375" i="1"/>
  <c r="K1376" i="1"/>
  <c r="L1376" i="1"/>
  <c r="M1376" i="1"/>
  <c r="K1377" i="1"/>
  <c r="L1377" i="1"/>
  <c r="M1377" i="1"/>
  <c r="K1378" i="1"/>
  <c r="L1378" i="1"/>
  <c r="M1378" i="1"/>
  <c r="K1379" i="1"/>
  <c r="L1379" i="1"/>
  <c r="M1379" i="1"/>
  <c r="K1380" i="1"/>
  <c r="L1380" i="1"/>
  <c r="M1380" i="1"/>
  <c r="K1381" i="1"/>
  <c r="L1381" i="1"/>
  <c r="M1381" i="1"/>
  <c r="K1382" i="1"/>
  <c r="L1382" i="1"/>
  <c r="M1382" i="1"/>
  <c r="K1383" i="1"/>
  <c r="L1383" i="1"/>
  <c r="M1383" i="1"/>
  <c r="K1384" i="1"/>
  <c r="L1384" i="1"/>
  <c r="M1384" i="1"/>
  <c r="K1385" i="1"/>
  <c r="L1385" i="1"/>
  <c r="M1385" i="1"/>
  <c r="K1386" i="1"/>
  <c r="L1386" i="1"/>
  <c r="M1386" i="1"/>
  <c r="K1387" i="1"/>
  <c r="L1387" i="1"/>
  <c r="M1387" i="1"/>
  <c r="K1388" i="1"/>
  <c r="L1388" i="1"/>
  <c r="M1388" i="1"/>
  <c r="K1389" i="1"/>
  <c r="L1389" i="1"/>
  <c r="M1389" i="1"/>
  <c r="K1390" i="1"/>
  <c r="L1390" i="1"/>
  <c r="M1390" i="1"/>
  <c r="K1391" i="1"/>
  <c r="L1391" i="1"/>
  <c r="M1391" i="1"/>
  <c r="K1392" i="1"/>
  <c r="L1392" i="1"/>
  <c r="M1392" i="1"/>
  <c r="K1393" i="1"/>
  <c r="L1393" i="1"/>
  <c r="M1393" i="1"/>
  <c r="K1394" i="1"/>
  <c r="L1394" i="1"/>
  <c r="M1394" i="1"/>
  <c r="K1395" i="1"/>
  <c r="L1395" i="1"/>
  <c r="M1395" i="1"/>
  <c r="K1396" i="1"/>
  <c r="L1396" i="1"/>
  <c r="M1396" i="1"/>
  <c r="K1397" i="1"/>
  <c r="L1397" i="1"/>
  <c r="M1397" i="1"/>
  <c r="K1398" i="1"/>
  <c r="L1398" i="1"/>
  <c r="M1398" i="1"/>
  <c r="K1399" i="1"/>
  <c r="L1399" i="1"/>
  <c r="M1399" i="1"/>
  <c r="K1400" i="1"/>
  <c r="L1400" i="1"/>
  <c r="M1400" i="1"/>
  <c r="K1401" i="1"/>
  <c r="L1401" i="1"/>
  <c r="M1401" i="1"/>
  <c r="K1402" i="1"/>
  <c r="L1402" i="1"/>
  <c r="M1402" i="1"/>
  <c r="K1403" i="1"/>
  <c r="L1403" i="1"/>
  <c r="M1403" i="1"/>
  <c r="K1404" i="1"/>
  <c r="L1404" i="1"/>
  <c r="M1404" i="1"/>
  <c r="K1405" i="1"/>
  <c r="L1405" i="1"/>
  <c r="M1405" i="1"/>
  <c r="K1406" i="1"/>
  <c r="L1406" i="1"/>
  <c r="M1406" i="1"/>
  <c r="K1407" i="1"/>
  <c r="L1407" i="1"/>
  <c r="M1407" i="1"/>
  <c r="K1408" i="1"/>
  <c r="L1408" i="1"/>
  <c r="M1408" i="1"/>
  <c r="K1409" i="1"/>
  <c r="L1409" i="1"/>
  <c r="M1409" i="1"/>
  <c r="K1410" i="1"/>
  <c r="L1410" i="1"/>
  <c r="M1410" i="1"/>
  <c r="K1411" i="1"/>
  <c r="L1411" i="1"/>
  <c r="M1411" i="1"/>
  <c r="K1412" i="1"/>
  <c r="L1412" i="1"/>
  <c r="M1412" i="1"/>
  <c r="K1413" i="1"/>
  <c r="L1413" i="1"/>
  <c r="M1413" i="1"/>
  <c r="K1414" i="1"/>
  <c r="L1414" i="1"/>
  <c r="M1414" i="1"/>
  <c r="K1415" i="1"/>
  <c r="L1415" i="1"/>
  <c r="M1415" i="1"/>
  <c r="K1416" i="1"/>
  <c r="L1416" i="1"/>
  <c r="M1416" i="1"/>
  <c r="K1417" i="1"/>
  <c r="L1417" i="1"/>
  <c r="M1417" i="1"/>
  <c r="K1418" i="1"/>
  <c r="L1418" i="1"/>
  <c r="M1418" i="1"/>
  <c r="K1419" i="1"/>
  <c r="L1419" i="1"/>
  <c r="M1419" i="1"/>
  <c r="K1420" i="1"/>
  <c r="L1420" i="1"/>
  <c r="M1420" i="1"/>
  <c r="K1421" i="1"/>
  <c r="L1421" i="1"/>
  <c r="M1421" i="1"/>
  <c r="K1422" i="1"/>
  <c r="L1422" i="1"/>
  <c r="M1422" i="1"/>
  <c r="K1423" i="1"/>
  <c r="L1423" i="1"/>
  <c r="M1423" i="1"/>
  <c r="K1424" i="1"/>
  <c r="L1424" i="1"/>
  <c r="M1424" i="1"/>
  <c r="K1425" i="1"/>
  <c r="L1425" i="1"/>
  <c r="M1425" i="1"/>
  <c r="K1426" i="1"/>
  <c r="L1426" i="1"/>
  <c r="M1426" i="1"/>
  <c r="K1427" i="1"/>
  <c r="L1427" i="1"/>
  <c r="M1427" i="1"/>
  <c r="K1428" i="1"/>
  <c r="L1428" i="1"/>
  <c r="M1428" i="1"/>
  <c r="K1429" i="1"/>
  <c r="L1429" i="1"/>
  <c r="M1429" i="1"/>
  <c r="K1430" i="1"/>
  <c r="L1430" i="1"/>
  <c r="M1430" i="1"/>
  <c r="K1431" i="1"/>
  <c r="L1431" i="1"/>
  <c r="M1431" i="1"/>
  <c r="K1432" i="1"/>
  <c r="L1432" i="1"/>
  <c r="M1432" i="1"/>
  <c r="K1433" i="1"/>
  <c r="L1433" i="1"/>
  <c r="M1433" i="1"/>
  <c r="K1434" i="1"/>
  <c r="L1434" i="1"/>
  <c r="M1434" i="1"/>
  <c r="K1435" i="1"/>
  <c r="L1435" i="1"/>
  <c r="M1435" i="1"/>
  <c r="K1436" i="1"/>
  <c r="L1436" i="1"/>
  <c r="M1436" i="1"/>
  <c r="K1437" i="1"/>
  <c r="L1437" i="1"/>
  <c r="M1437" i="1"/>
  <c r="K1438" i="1"/>
  <c r="L1438" i="1"/>
  <c r="M1438" i="1"/>
  <c r="K1439" i="1"/>
  <c r="L1439" i="1"/>
  <c r="M1439" i="1"/>
  <c r="K1440" i="1"/>
  <c r="L1440" i="1"/>
  <c r="M1440" i="1"/>
  <c r="K1441" i="1"/>
  <c r="L1441" i="1"/>
  <c r="M1441" i="1"/>
  <c r="K1442" i="1"/>
  <c r="L1442" i="1"/>
  <c r="M1442" i="1"/>
  <c r="K1443" i="1"/>
  <c r="L1443" i="1"/>
  <c r="M1443" i="1"/>
  <c r="K1444" i="1"/>
  <c r="L1444" i="1"/>
  <c r="M1444" i="1"/>
  <c r="K1445" i="1"/>
  <c r="L1445" i="1"/>
  <c r="M1445" i="1"/>
  <c r="K1446" i="1"/>
  <c r="L1446" i="1"/>
  <c r="M1446" i="1"/>
  <c r="K1447" i="1"/>
  <c r="L1447" i="1"/>
  <c r="M1447" i="1"/>
  <c r="K1448" i="1"/>
  <c r="L1448" i="1"/>
  <c r="M1448" i="1"/>
  <c r="K1449" i="1"/>
  <c r="L1449" i="1"/>
  <c r="M1449" i="1"/>
  <c r="K1450" i="1"/>
  <c r="L1450" i="1"/>
  <c r="M1450" i="1"/>
  <c r="K1451" i="1"/>
  <c r="L1451" i="1"/>
  <c r="M1451" i="1"/>
  <c r="K1452" i="1"/>
  <c r="L1452" i="1"/>
  <c r="M1452" i="1"/>
  <c r="K1453" i="1"/>
  <c r="L1453" i="1"/>
  <c r="M1453" i="1"/>
  <c r="K1454" i="1"/>
  <c r="L1454" i="1"/>
  <c r="M1454" i="1"/>
  <c r="K1455" i="1"/>
  <c r="L1455" i="1"/>
  <c r="M1455" i="1"/>
  <c r="K1456" i="1"/>
  <c r="L1456" i="1"/>
  <c r="M1456" i="1"/>
  <c r="K1457" i="1"/>
  <c r="L1457" i="1"/>
  <c r="M1457" i="1"/>
  <c r="K1458" i="1"/>
  <c r="L1458" i="1"/>
  <c r="M1458" i="1"/>
  <c r="K1459" i="1"/>
  <c r="L1459" i="1"/>
  <c r="M1459"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8" i="1"/>
  <c r="L1468" i="1"/>
  <c r="M1468" i="1"/>
  <c r="K1469" i="1"/>
  <c r="L1469" i="1"/>
  <c r="M1469" i="1"/>
  <c r="K1470" i="1"/>
  <c r="L1470" i="1"/>
  <c r="M1470" i="1"/>
  <c r="K1471" i="1"/>
  <c r="L1471" i="1"/>
  <c r="M1471" i="1"/>
  <c r="K1472" i="1"/>
  <c r="L1472" i="1"/>
  <c r="M1472" i="1"/>
  <c r="K1473" i="1"/>
  <c r="L1473" i="1"/>
  <c r="M1473" i="1"/>
  <c r="K1474" i="1"/>
  <c r="L1474" i="1"/>
  <c r="M1474" i="1"/>
  <c r="K1475" i="1"/>
  <c r="L1475" i="1"/>
  <c r="M1475" i="1"/>
  <c r="K1476" i="1"/>
  <c r="L1476" i="1"/>
  <c r="M1476" i="1"/>
  <c r="K1477" i="1"/>
  <c r="L1477" i="1"/>
  <c r="M1477" i="1"/>
  <c r="K1478" i="1"/>
  <c r="L1478" i="1"/>
  <c r="M1478" i="1"/>
  <c r="K1479" i="1"/>
  <c r="L1479" i="1"/>
  <c r="M1479" i="1"/>
  <c r="K1480" i="1"/>
  <c r="L1480" i="1"/>
  <c r="M1480" i="1"/>
  <c r="K1481" i="1"/>
  <c r="L1481" i="1"/>
  <c r="M1481" i="1"/>
  <c r="K4046" i="1"/>
  <c r="L4046" i="1"/>
  <c r="M4046" i="1"/>
  <c r="K9875" i="1"/>
  <c r="L9875" i="1"/>
  <c r="M9875" i="1"/>
  <c r="K5062" i="1"/>
  <c r="L5062" i="1"/>
  <c r="K3749" i="1"/>
  <c r="L3749" i="1"/>
  <c r="K6448" i="1"/>
  <c r="L6448" i="1"/>
  <c r="M6448" i="1"/>
  <c r="K5291" i="1"/>
  <c r="L5291" i="1"/>
  <c r="K9859" i="1"/>
  <c r="L9859" i="1"/>
  <c r="M9859" i="1"/>
  <c r="K10699" i="1"/>
  <c r="L10699" i="1"/>
  <c r="M10699" i="1"/>
  <c r="K1482" i="1"/>
  <c r="L1482" i="1"/>
  <c r="M1482" i="1"/>
  <c r="K9334" i="1"/>
  <c r="L9334" i="1"/>
  <c r="M9334" i="1"/>
  <c r="K8900" i="1"/>
  <c r="L8900" i="1"/>
  <c r="K7282" i="1"/>
  <c r="L7282" i="1"/>
  <c r="M7282" i="1"/>
  <c r="K11560" i="1"/>
  <c r="L11560" i="1"/>
  <c r="M11560" i="1"/>
  <c r="K4888" i="1"/>
  <c r="L4888" i="1"/>
  <c r="M4888" i="1"/>
  <c r="K11561" i="1"/>
  <c r="L11561" i="1"/>
  <c r="M11561" i="1"/>
  <c r="K2040" i="1"/>
  <c r="L2040" i="1"/>
  <c r="K4997" i="1"/>
  <c r="L4997" i="1"/>
  <c r="M1483" i="1"/>
  <c r="L1483" i="1"/>
  <c r="K1483" i="1"/>
  <c r="D1483" i="1" l="1"/>
  <c r="D1484" i="1"/>
  <c r="D1485" i="1"/>
  <c r="D1486" i="1"/>
  <c r="D1487" i="1"/>
  <c r="D1488" i="1"/>
  <c r="D1489" i="1"/>
  <c r="D1490" i="1"/>
  <c r="D1491" i="1"/>
  <c r="D1492" i="1"/>
  <c r="D1493" i="1"/>
  <c r="D1494" i="1"/>
  <c r="D1495"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496" i="1"/>
  <c r="D1497" i="1"/>
  <c r="D1498" i="1"/>
  <c r="D1499" i="1"/>
  <c r="D1500" i="1"/>
  <c r="D1501" i="1"/>
  <c r="D1502" i="1"/>
  <c r="D1503" i="1"/>
  <c r="D1504" i="1"/>
  <c r="D1505" i="1"/>
  <c r="D1506" i="1"/>
  <c r="D1507" i="1"/>
  <c r="D1508" i="1"/>
  <c r="D1509" i="1"/>
  <c r="D1510" i="1"/>
  <c r="D1511" i="1"/>
  <c r="D1512"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730" i="1"/>
  <c r="D1731" i="1"/>
  <c r="D1732" i="1"/>
  <c r="D1733" i="1"/>
  <c r="D1734" i="1"/>
  <c r="D1735" i="1"/>
  <c r="D1736" i="1"/>
  <c r="D1737" i="1"/>
  <c r="D1738" i="1"/>
  <c r="D1739" i="1"/>
  <c r="D1802" i="1"/>
  <c r="D1803" i="1"/>
  <c r="D1513" i="1"/>
  <c r="D1809" i="1"/>
  <c r="D1810" i="1"/>
  <c r="D1811" i="1"/>
  <c r="D1812" i="1"/>
  <c r="D1813" i="1"/>
  <c r="D1814" i="1"/>
  <c r="D1815" i="1"/>
  <c r="D1816" i="1"/>
  <c r="D1817" i="1"/>
  <c r="D1804" i="1"/>
  <c r="D1805" i="1"/>
  <c r="D1806" i="1"/>
  <c r="D1807" i="1"/>
  <c r="D1808" i="1"/>
  <c r="D1514" i="1"/>
  <c r="D1515" i="1"/>
  <c r="D1516" i="1"/>
  <c r="D1517" i="1"/>
  <c r="D1518" i="1"/>
  <c r="D1519" i="1"/>
  <c r="D1520" i="1"/>
  <c r="D1521" i="1"/>
  <c r="D1522" i="1"/>
  <c r="D1523" i="1"/>
  <c r="D1524" i="1"/>
  <c r="D1525" i="1"/>
  <c r="D1526" i="1"/>
  <c r="D1527" i="1"/>
  <c r="D1528" i="1"/>
  <c r="D1529" i="1"/>
  <c r="D1530" i="1"/>
  <c r="D1531" i="1"/>
  <c r="D1852" i="1"/>
  <c r="D1853"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4" i="1"/>
  <c r="D1532" i="1"/>
  <c r="D1533" i="1"/>
  <c r="D1534" i="1"/>
  <c r="D1535" i="1"/>
  <c r="D1536" i="1"/>
  <c r="D1537" i="1"/>
  <c r="D1538" i="1"/>
  <c r="D1539" i="1"/>
  <c r="D1540" i="1"/>
  <c r="D1541" i="1"/>
  <c r="D1542" i="1"/>
  <c r="D1543" i="1"/>
  <c r="D1870" i="1"/>
  <c r="D1871" i="1"/>
  <c r="D1872" i="1"/>
  <c r="D1873" i="1"/>
  <c r="D1874" i="1"/>
  <c r="D1875" i="1"/>
  <c r="D1876" i="1"/>
  <c r="D1877" i="1"/>
  <c r="D1878" i="1"/>
  <c r="D1879" i="1"/>
  <c r="D1855" i="1"/>
  <c r="D1856" i="1"/>
  <c r="D1857" i="1"/>
  <c r="D1858" i="1"/>
  <c r="D1859" i="1"/>
  <c r="D1860" i="1"/>
  <c r="D1861" i="1"/>
  <c r="D1862" i="1"/>
  <c r="D1863" i="1"/>
  <c r="D1864" i="1"/>
  <c r="D1865" i="1"/>
  <c r="D1866" i="1"/>
  <c r="D1867" i="1"/>
  <c r="D1868" i="1"/>
  <c r="D1869" i="1"/>
  <c r="D1544" i="1"/>
  <c r="D1545" i="1"/>
  <c r="D1546" i="1"/>
  <c r="D1547" i="1"/>
  <c r="D1548" i="1"/>
  <c r="D1549" i="1"/>
  <c r="D1550" i="1"/>
  <c r="D1551" i="1"/>
  <c r="D1552" i="1"/>
  <c r="D1889" i="1"/>
  <c r="D1890" i="1"/>
  <c r="D1891" i="1"/>
  <c r="D1892" i="1"/>
  <c r="D1893" i="1"/>
  <c r="D1894" i="1"/>
  <c r="D1895" i="1"/>
  <c r="D1896" i="1"/>
  <c r="D1897" i="1"/>
  <c r="D1898" i="1"/>
  <c r="D1880" i="1"/>
  <c r="D1881" i="1"/>
  <c r="D1882" i="1"/>
  <c r="D1883" i="1"/>
  <c r="D1884" i="1"/>
  <c r="D1885" i="1"/>
  <c r="D1886" i="1"/>
  <c r="D1887" i="1"/>
  <c r="D1888" i="1"/>
  <c r="D1553" i="1"/>
  <c r="D1554" i="1"/>
  <c r="D1555" i="1"/>
  <c r="D1903" i="1"/>
  <c r="D1904" i="1"/>
  <c r="D1905" i="1"/>
  <c r="D1899" i="1"/>
  <c r="D1900" i="1"/>
  <c r="D1901" i="1"/>
  <c r="D1902" i="1"/>
  <c r="D1556" i="1"/>
  <c r="D1557" i="1"/>
  <c r="D1558" i="1"/>
  <c r="D1559" i="1"/>
  <c r="D1919" i="1"/>
  <c r="D1920" i="1"/>
  <c r="D1921" i="1"/>
  <c r="D1922" i="1"/>
  <c r="D1906" i="1"/>
  <c r="D1907" i="1"/>
  <c r="D1908" i="1"/>
  <c r="D1909" i="1"/>
  <c r="D1910" i="1"/>
  <c r="D1911" i="1"/>
  <c r="D1912" i="1"/>
  <c r="D1913" i="1"/>
  <c r="D1914" i="1"/>
  <c r="D1915" i="1"/>
  <c r="D1916" i="1"/>
  <c r="D1917" i="1"/>
  <c r="D1918" i="1"/>
  <c r="D1560" i="1"/>
  <c r="D1561" i="1"/>
  <c r="D1562" i="1"/>
  <c r="D1563" i="1"/>
  <c r="D1564" i="1"/>
  <c r="D1931" i="1"/>
  <c r="D1932" i="1"/>
  <c r="D1933" i="1"/>
  <c r="D1934" i="1"/>
  <c r="D1923" i="1"/>
  <c r="D1924" i="1"/>
  <c r="D1925" i="1"/>
  <c r="D1926" i="1"/>
  <c r="D1927" i="1"/>
  <c r="D1928" i="1"/>
  <c r="D1929" i="1"/>
  <c r="D1930" i="1"/>
  <c r="D1565" i="1"/>
  <c r="D1566" i="1"/>
  <c r="D1567" i="1"/>
  <c r="D1568" i="1"/>
  <c r="D2027" i="1"/>
  <c r="D2028" i="1"/>
  <c r="D2029" i="1"/>
  <c r="D2030" i="1"/>
  <c r="D2031" i="1"/>
  <c r="D2032" i="1"/>
  <c r="D2033" i="1"/>
  <c r="D2034" i="1"/>
  <c r="D2035" i="1"/>
  <c r="D2036" i="1"/>
  <c r="D2037" i="1"/>
  <c r="D2038" i="1"/>
  <c r="D2039"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569" i="1"/>
  <c r="D1570" i="1"/>
  <c r="D1571" i="1"/>
  <c r="D2055" i="1"/>
  <c r="D2056" i="1"/>
  <c r="D2057" i="1"/>
  <c r="D2058" i="1"/>
  <c r="D2059" i="1"/>
  <c r="D2060" i="1"/>
  <c r="D2061" i="1"/>
  <c r="D2062" i="1"/>
  <c r="D2041" i="1"/>
  <c r="D2042" i="1"/>
  <c r="D2043" i="1"/>
  <c r="D2044" i="1"/>
  <c r="D2045" i="1"/>
  <c r="D2046" i="1"/>
  <c r="D2047" i="1"/>
  <c r="D2048" i="1"/>
  <c r="D2049" i="1"/>
  <c r="D2050" i="1"/>
  <c r="D2051" i="1"/>
  <c r="D2052" i="1"/>
  <c r="D2053" i="1"/>
  <c r="D2054" i="1"/>
  <c r="D2063" i="1"/>
  <c r="D2064" i="1"/>
  <c r="D2065" i="1"/>
  <c r="D2066" i="1"/>
  <c r="D2067" i="1"/>
  <c r="D2245" i="1"/>
  <c r="D2246" i="1"/>
  <c r="D2247" i="1"/>
  <c r="D2248" i="1"/>
  <c r="D2249" i="1"/>
  <c r="D2250" i="1"/>
  <c r="D2251" i="1"/>
  <c r="D2252" i="1"/>
  <c r="D2253" i="1"/>
  <c r="D2254" i="1"/>
  <c r="D2255" i="1"/>
  <c r="D2256" i="1"/>
  <c r="D2257" i="1"/>
  <c r="D2068" i="1"/>
  <c r="D2069" i="1"/>
  <c r="D2070" i="1"/>
  <c r="D2071" i="1"/>
  <c r="D2072" i="1"/>
  <c r="D2073" i="1"/>
  <c r="D2274" i="1"/>
  <c r="D2275" i="1"/>
  <c r="D2276" i="1"/>
  <c r="D2277" i="1"/>
  <c r="D2278" i="1"/>
  <c r="D2279" i="1"/>
  <c r="D2280" i="1"/>
  <c r="D2281" i="1"/>
  <c r="D2282" i="1"/>
  <c r="D2283" i="1"/>
  <c r="D2284" i="1"/>
  <c r="D2285" i="1"/>
  <c r="D2286" i="1"/>
  <c r="D2258" i="1"/>
  <c r="D2259" i="1"/>
  <c r="D2260" i="1"/>
  <c r="D2261" i="1"/>
  <c r="D2262" i="1"/>
  <c r="D2263" i="1"/>
  <c r="D2264" i="1"/>
  <c r="D2265" i="1"/>
  <c r="D2266" i="1"/>
  <c r="D2267" i="1"/>
  <c r="D2268" i="1"/>
  <c r="D2269" i="1"/>
  <c r="D2270" i="1"/>
  <c r="D2271" i="1"/>
  <c r="D2272" i="1"/>
  <c r="D2273" i="1"/>
  <c r="D2074" i="1"/>
  <c r="D2290" i="1"/>
  <c r="D2291" i="1"/>
  <c r="D2292" i="1"/>
  <c r="D2293" i="1"/>
  <c r="D2294" i="1"/>
  <c r="D2295" i="1"/>
  <c r="D2296" i="1"/>
  <c r="D2287" i="1"/>
  <c r="D2288" i="1"/>
  <c r="D2289" i="1"/>
  <c r="D2075" i="1"/>
  <c r="D2076" i="1"/>
  <c r="D2077" i="1"/>
  <c r="D2078" i="1"/>
  <c r="D2079" i="1"/>
  <c r="D2080" i="1"/>
  <c r="D2309" i="1"/>
  <c r="D2310" i="1"/>
  <c r="D2311" i="1"/>
  <c r="D2312" i="1"/>
  <c r="D2313" i="1"/>
  <c r="D2314" i="1"/>
  <c r="D2315" i="1"/>
  <c r="D2316" i="1"/>
  <c r="D2297" i="1"/>
  <c r="D2298" i="1"/>
  <c r="D2299" i="1"/>
  <c r="D2300" i="1"/>
  <c r="D2301" i="1"/>
  <c r="D2302" i="1"/>
  <c r="D2303" i="1"/>
  <c r="D2304" i="1"/>
  <c r="D2305" i="1"/>
  <c r="D2306" i="1"/>
  <c r="D2307" i="1"/>
  <c r="D2308" i="1"/>
  <c r="D2081" i="1"/>
  <c r="D2082" i="1"/>
  <c r="D2083" i="1"/>
  <c r="D2324" i="1"/>
  <c r="D2325" i="1"/>
  <c r="D2326" i="1"/>
  <c r="D2327" i="1"/>
  <c r="D2328" i="1"/>
  <c r="D2329" i="1"/>
  <c r="D2330" i="1"/>
  <c r="D2331" i="1"/>
  <c r="D2332" i="1"/>
  <c r="D2333" i="1"/>
  <c r="D2334" i="1"/>
  <c r="D2335" i="1"/>
  <c r="D2336" i="1"/>
  <c r="D2337" i="1"/>
  <c r="D2338" i="1"/>
  <c r="D2317" i="1"/>
  <c r="D2318" i="1"/>
  <c r="D2319" i="1"/>
  <c r="D2320" i="1"/>
  <c r="D2321" i="1"/>
  <c r="D2322" i="1"/>
  <c r="D2323" i="1"/>
  <c r="D2084" i="1"/>
  <c r="D2339" i="1"/>
  <c r="D2340" i="1"/>
  <c r="D2341" i="1"/>
  <c r="D2342" i="1"/>
  <c r="D2343" i="1"/>
  <c r="D2344" i="1"/>
  <c r="D2345" i="1"/>
  <c r="D2346" i="1"/>
  <c r="D2347" i="1"/>
  <c r="D2085" i="1"/>
  <c r="D2086" i="1"/>
  <c r="D2087" i="1"/>
  <c r="D2088" i="1"/>
  <c r="D2360" i="1"/>
  <c r="D2361" i="1"/>
  <c r="D2362" i="1"/>
  <c r="D2363" i="1"/>
  <c r="D2364" i="1"/>
  <c r="D2365" i="1"/>
  <c r="D2366" i="1"/>
  <c r="D2367" i="1"/>
  <c r="D2368" i="1"/>
  <c r="D2369" i="1"/>
  <c r="D2370" i="1"/>
  <c r="D2371" i="1"/>
  <c r="D2372" i="1"/>
  <c r="D2373" i="1"/>
  <c r="D2374" i="1"/>
  <c r="D2348" i="1"/>
  <c r="D2349" i="1"/>
  <c r="D2350" i="1"/>
  <c r="D2351" i="1"/>
  <c r="D2352" i="1"/>
  <c r="D2353" i="1"/>
  <c r="D2354" i="1"/>
  <c r="D2355" i="1"/>
  <c r="D2356" i="1"/>
  <c r="D2357" i="1"/>
  <c r="D2358" i="1"/>
  <c r="D2359" i="1"/>
  <c r="D2089" i="1"/>
  <c r="D2090" i="1"/>
  <c r="D2091" i="1"/>
  <c r="D2377" i="1"/>
  <c r="D2378" i="1"/>
  <c r="D2375" i="1"/>
  <c r="D2376" i="1"/>
  <c r="D2092" i="1"/>
  <c r="D2093" i="1"/>
  <c r="D2094" i="1"/>
  <c r="D2095" i="1"/>
  <c r="D2096" i="1"/>
  <c r="D2380" i="1"/>
  <c r="D2381" i="1"/>
  <c r="D2382" i="1"/>
  <c r="D2383" i="1"/>
  <c r="D2384" i="1"/>
  <c r="D2385" i="1"/>
  <c r="D2386" i="1"/>
  <c r="D2387" i="1"/>
  <c r="D2388" i="1"/>
  <c r="D2389" i="1"/>
  <c r="D2390" i="1"/>
  <c r="D2391" i="1"/>
  <c r="D2392" i="1"/>
  <c r="D2379" i="1"/>
  <c r="D2097" i="1"/>
  <c r="D2098" i="1"/>
  <c r="D2099" i="1"/>
  <c r="D2100" i="1"/>
  <c r="D2101" i="1"/>
  <c r="D2102" i="1"/>
  <c r="D2103" i="1"/>
  <c r="D2104" i="1"/>
  <c r="D2105" i="1"/>
  <c r="D2106" i="1"/>
  <c r="D2107" i="1"/>
  <c r="D2108" i="1"/>
  <c r="D2109" i="1"/>
  <c r="D2110" i="1"/>
  <c r="D2111" i="1"/>
  <c r="D2396" i="1"/>
  <c r="D2397" i="1"/>
  <c r="D2398" i="1"/>
  <c r="D2399" i="1"/>
  <c r="D2400" i="1"/>
  <c r="D2401" i="1"/>
  <c r="D2402" i="1"/>
  <c r="D2403" i="1"/>
  <c r="D2404" i="1"/>
  <c r="D2405" i="1"/>
  <c r="D2406" i="1"/>
  <c r="D2407" i="1"/>
  <c r="D2408" i="1"/>
  <c r="D2409" i="1"/>
  <c r="D2410" i="1"/>
  <c r="D2411" i="1"/>
  <c r="D2412" i="1"/>
  <c r="D2413" i="1"/>
  <c r="D2414" i="1"/>
  <c r="D2415" i="1"/>
  <c r="D2393" i="1"/>
  <c r="D2394" i="1"/>
  <c r="D2395" i="1"/>
  <c r="D2112" i="1"/>
  <c r="D2113" i="1"/>
  <c r="D2114" i="1"/>
  <c r="D2115" i="1"/>
  <c r="D2116" i="1"/>
  <c r="D2117" i="1"/>
  <c r="D2118" i="1"/>
  <c r="D2119" i="1"/>
  <c r="D2120" i="1"/>
  <c r="D2121" i="1"/>
  <c r="D2122" i="1"/>
  <c r="D2123" i="1"/>
  <c r="D2124" i="1"/>
  <c r="D2125" i="1"/>
  <c r="D2126" i="1"/>
  <c r="D2127" i="1"/>
  <c r="D2128"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16" i="1"/>
  <c r="D2417" i="1"/>
  <c r="D2418" i="1"/>
  <c r="D2419" i="1"/>
  <c r="D2420" i="1"/>
  <c r="D2421" i="1"/>
  <c r="D2422" i="1"/>
  <c r="D2423" i="1"/>
  <c r="D2424" i="1"/>
  <c r="D2425" i="1"/>
  <c r="D2426" i="1"/>
  <c r="D2427" i="1"/>
  <c r="D2428" i="1"/>
  <c r="D2429" i="1"/>
  <c r="D2430"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129" i="1"/>
  <c r="D2130" i="1"/>
  <c r="D2131" i="1"/>
  <c r="D2132" i="1"/>
  <c r="D2133" i="1"/>
  <c r="D2134" i="1"/>
  <c r="D2135" i="1"/>
  <c r="D2136"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471" i="1"/>
  <c r="D2472" i="1"/>
  <c r="D2473" i="1"/>
  <c r="D2474" i="1"/>
  <c r="D2475" i="1"/>
  <c r="D2503" i="1"/>
  <c r="D2504" i="1"/>
  <c r="D2505" i="1"/>
  <c r="D2506" i="1"/>
  <c r="D2622" i="1"/>
  <c r="D2623" i="1"/>
  <c r="D2624" i="1"/>
  <c r="D2625" i="1"/>
  <c r="D2626" i="1"/>
  <c r="D2627" i="1"/>
  <c r="D2628" i="1"/>
  <c r="D2629" i="1"/>
  <c r="D2630" i="1"/>
  <c r="D2631" i="1"/>
  <c r="D2632" i="1"/>
  <c r="D2633" i="1"/>
  <c r="D2634" i="1"/>
  <c r="D2635" i="1"/>
  <c r="D2636" i="1"/>
  <c r="D2637" i="1"/>
  <c r="D2638" i="1"/>
  <c r="D2639" i="1"/>
  <c r="D2640" i="1"/>
  <c r="D2641" i="1"/>
  <c r="D2642" i="1"/>
  <c r="D2507" i="1"/>
  <c r="D2683" i="1"/>
  <c r="D2684" i="1"/>
  <c r="D2685" i="1"/>
  <c r="D2686" i="1"/>
  <c r="D2687" i="1"/>
  <c r="D2688" i="1"/>
  <c r="D2689" i="1"/>
  <c r="D2690" i="1"/>
  <c r="D2691" i="1"/>
  <c r="D2692" i="1"/>
  <c r="D2693" i="1"/>
  <c r="D2694" i="1"/>
  <c r="D2695" i="1"/>
  <c r="D2696" i="1"/>
  <c r="D2697" i="1"/>
  <c r="D2698" i="1"/>
  <c r="D2699"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700" i="1"/>
  <c r="D2701" i="1"/>
  <c r="D2708" i="1"/>
  <c r="D2709" i="1"/>
  <c r="D2710" i="1"/>
  <c r="D2711" i="1"/>
  <c r="D2702" i="1"/>
  <c r="D2703" i="1"/>
  <c r="D2704" i="1"/>
  <c r="D2705" i="1"/>
  <c r="D2706" i="1"/>
  <c r="D2707"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12" i="1"/>
  <c r="D2713" i="1"/>
  <c r="D2714" i="1"/>
  <c r="D2715" i="1"/>
  <c r="D2716" i="1"/>
  <c r="D2717" i="1"/>
  <c r="D2718" i="1"/>
  <c r="D2719" i="1"/>
  <c r="D2720" i="1"/>
  <c r="D2721" i="1"/>
  <c r="D2722" i="1"/>
  <c r="D2723" i="1"/>
  <c r="D2724" i="1"/>
  <c r="D2508" i="1"/>
  <c r="D2509" i="1"/>
  <c r="D2773" i="1"/>
  <c r="D2774" i="1"/>
  <c r="D2775" i="1"/>
  <c r="D2776" i="1"/>
  <c r="D2777" i="1"/>
  <c r="D2778" i="1"/>
  <c r="D2779" i="1"/>
  <c r="D2780" i="1"/>
  <c r="D2781" i="1"/>
  <c r="D2782" i="1"/>
  <c r="D2783" i="1"/>
  <c r="D2784" i="1"/>
  <c r="D2785" i="1"/>
  <c r="D2786" i="1"/>
  <c r="D2787" i="1"/>
  <c r="D2788" i="1"/>
  <c r="D2789" i="1"/>
  <c r="D2790" i="1"/>
  <c r="D2754" i="1"/>
  <c r="D2755" i="1"/>
  <c r="D2756" i="1"/>
  <c r="D2757" i="1"/>
  <c r="D2758" i="1"/>
  <c r="D2759" i="1"/>
  <c r="D2760" i="1"/>
  <c r="D2761" i="1"/>
  <c r="D2762" i="1"/>
  <c r="D2763" i="1"/>
  <c r="D2764" i="1"/>
  <c r="D2765" i="1"/>
  <c r="D2766" i="1"/>
  <c r="D2767" i="1"/>
  <c r="D2768" i="1"/>
  <c r="D2769" i="1"/>
  <c r="D2770" i="1"/>
  <c r="D2771" i="1"/>
  <c r="D2772" i="1"/>
  <c r="D2797" i="1"/>
  <c r="D2798" i="1"/>
  <c r="D2799" i="1"/>
  <c r="D2800" i="1"/>
  <c r="D2801" i="1"/>
  <c r="D2802" i="1"/>
  <c r="D2803" i="1"/>
  <c r="D2804" i="1"/>
  <c r="D2805" i="1"/>
  <c r="D2806" i="1"/>
  <c r="D2807" i="1"/>
  <c r="D2808" i="1"/>
  <c r="D2809" i="1"/>
  <c r="D2810" i="1"/>
  <c r="D2791" i="1"/>
  <c r="D2792" i="1"/>
  <c r="D2793" i="1"/>
  <c r="D2794" i="1"/>
  <c r="D2795" i="1"/>
  <c r="D2796" i="1"/>
  <c r="D2510" i="1"/>
  <c r="D2511" i="1"/>
  <c r="D2824" i="1"/>
  <c r="D2825" i="1"/>
  <c r="D2826" i="1"/>
  <c r="D2827" i="1"/>
  <c r="D2828" i="1"/>
  <c r="D2829" i="1"/>
  <c r="D2830" i="1"/>
  <c r="D2831" i="1"/>
  <c r="D2832" i="1"/>
  <c r="D2833" i="1"/>
  <c r="D2834" i="1"/>
  <c r="D2835" i="1"/>
  <c r="D2836" i="1"/>
  <c r="D2837" i="1"/>
  <c r="D2838" i="1"/>
  <c r="D2839" i="1"/>
  <c r="D2840" i="1"/>
  <c r="D2841" i="1"/>
  <c r="D2842" i="1"/>
  <c r="D2811" i="1"/>
  <c r="D2812" i="1"/>
  <c r="D2813" i="1"/>
  <c r="D2814" i="1"/>
  <c r="D2815" i="1"/>
  <c r="D2816" i="1"/>
  <c r="D2817" i="1"/>
  <c r="D2818" i="1"/>
  <c r="D2819" i="1"/>
  <c r="D2820" i="1"/>
  <c r="D2821" i="1"/>
  <c r="D2822" i="1"/>
  <c r="D2823" i="1"/>
  <c r="D2512" i="1"/>
  <c r="D2513" i="1"/>
  <c r="D2847" i="1"/>
  <c r="D2848" i="1"/>
  <c r="D2849" i="1"/>
  <c r="D2850" i="1"/>
  <c r="D2851" i="1"/>
  <c r="D2852" i="1"/>
  <c r="D2853" i="1"/>
  <c r="D2854" i="1"/>
  <c r="D2843" i="1"/>
  <c r="D2844" i="1"/>
  <c r="D2845" i="1"/>
  <c r="D2846"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514"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883" i="1"/>
  <c r="D2884" i="1"/>
  <c r="D2885" i="1"/>
  <c r="D2515" i="1"/>
  <c r="D2516" i="1"/>
  <c r="D2517"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3000" i="1"/>
  <c r="D3001" i="1"/>
  <c r="D3002" i="1"/>
  <c r="D3003" i="1"/>
  <c r="D3004" i="1"/>
  <c r="D3005" i="1"/>
  <c r="D3006" i="1"/>
  <c r="D3007" i="1"/>
  <c r="D3008" i="1"/>
  <c r="D3009" i="1"/>
  <c r="D3010" i="1"/>
  <c r="D2982" i="1"/>
  <c r="D2983" i="1"/>
  <c r="D2984" i="1"/>
  <c r="D2985" i="1"/>
  <c r="D2986" i="1"/>
  <c r="D2987" i="1"/>
  <c r="D2988" i="1"/>
  <c r="D2989" i="1"/>
  <c r="D2990" i="1"/>
  <c r="D2991" i="1"/>
  <c r="D2992" i="1"/>
  <c r="D2993" i="1"/>
  <c r="D2994" i="1"/>
  <c r="D2995" i="1"/>
  <c r="D2996" i="1"/>
  <c r="D2997" i="1"/>
  <c r="D2998" i="1"/>
  <c r="D2999" i="1"/>
  <c r="D3011" i="1"/>
  <c r="D3012" i="1"/>
  <c r="D3013" i="1"/>
  <c r="D3014" i="1"/>
  <c r="D3095" i="1"/>
  <c r="D3096" i="1"/>
  <c r="D3097" i="1"/>
  <c r="D3098" i="1"/>
  <c r="D3099" i="1"/>
  <c r="D3100" i="1"/>
  <c r="D3101" i="1"/>
  <c r="D3102" i="1"/>
  <c r="D3103" i="1"/>
  <c r="D3104" i="1"/>
  <c r="D3105" i="1"/>
  <c r="D3106" i="1"/>
  <c r="D3107" i="1"/>
  <c r="D3108" i="1"/>
  <c r="D3015" i="1"/>
  <c r="D3016" i="1"/>
  <c r="D3017" i="1"/>
  <c r="D3018" i="1"/>
  <c r="D3019" i="1"/>
  <c r="D3020" i="1"/>
  <c r="D3021" i="1"/>
  <c r="D3022" i="1"/>
  <c r="D3023" i="1"/>
  <c r="D3024" i="1"/>
  <c r="D3025" i="1"/>
  <c r="D3026" i="1"/>
  <c r="D3027" i="1"/>
  <c r="D3028" i="1"/>
  <c r="D3127" i="1"/>
  <c r="D3128" i="1"/>
  <c r="D3129" i="1"/>
  <c r="D3130" i="1"/>
  <c r="D3131" i="1"/>
  <c r="D3132" i="1"/>
  <c r="D3133" i="1"/>
  <c r="D3134" i="1"/>
  <c r="D3135" i="1"/>
  <c r="D3136" i="1"/>
  <c r="D3137" i="1"/>
  <c r="D3138" i="1"/>
  <c r="D3139" i="1"/>
  <c r="D3140" i="1"/>
  <c r="D3141" i="1"/>
  <c r="D3142" i="1"/>
  <c r="D3109" i="1"/>
  <c r="D3110" i="1"/>
  <c r="D3111" i="1"/>
  <c r="D3112" i="1"/>
  <c r="D3113" i="1"/>
  <c r="D3114" i="1"/>
  <c r="D3115" i="1"/>
  <c r="D3116" i="1"/>
  <c r="D3117" i="1"/>
  <c r="D3118" i="1"/>
  <c r="D3119" i="1"/>
  <c r="D3120" i="1"/>
  <c r="D3121" i="1"/>
  <c r="D3122" i="1"/>
  <c r="D3123" i="1"/>
  <c r="D3124" i="1"/>
  <c r="D3125" i="1"/>
  <c r="D3126" i="1"/>
  <c r="D3029" i="1"/>
  <c r="D3030" i="1"/>
  <c r="D3145" i="1"/>
  <c r="D3146" i="1"/>
  <c r="D3147" i="1"/>
  <c r="D3148" i="1"/>
  <c r="D3149" i="1"/>
  <c r="D3150" i="1"/>
  <c r="D3151" i="1"/>
  <c r="D3152" i="1"/>
  <c r="D3143" i="1"/>
  <c r="D3144" i="1"/>
  <c r="D3031" i="1"/>
  <c r="D3032" i="1"/>
  <c r="D3033" i="1"/>
  <c r="D3034" i="1"/>
  <c r="D3035" i="1"/>
  <c r="D3036" i="1"/>
  <c r="D3037" i="1"/>
  <c r="D3038" i="1"/>
  <c r="D3039" i="1"/>
  <c r="D3040" i="1"/>
  <c r="D3041"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53" i="1"/>
  <c r="D3154" i="1"/>
  <c r="D3155" i="1"/>
  <c r="D3156" i="1"/>
  <c r="D3157" i="1"/>
  <c r="D3158" i="1"/>
  <c r="D3159" i="1"/>
  <c r="D3160" i="1"/>
  <c r="D3161" i="1"/>
  <c r="D3162" i="1"/>
  <c r="D3163" i="1"/>
  <c r="D3164" i="1"/>
  <c r="D3042" i="1"/>
  <c r="D3043" i="1"/>
  <c r="D3044" i="1"/>
  <c r="D3045" i="1"/>
  <c r="D3046" i="1"/>
  <c r="D3047" i="1"/>
  <c r="D3048" i="1"/>
  <c r="D3049" i="1"/>
  <c r="D3050" i="1"/>
  <c r="D3051" i="1"/>
  <c r="D3052" i="1"/>
  <c r="D3206" i="1"/>
  <c r="D3207" i="1"/>
  <c r="D3208" i="1"/>
  <c r="D3209" i="1"/>
  <c r="D3210" i="1"/>
  <c r="D3211" i="1"/>
  <c r="D3212" i="1"/>
  <c r="D3213" i="1"/>
  <c r="D3191" i="1"/>
  <c r="D3214" i="1"/>
  <c r="D3215" i="1"/>
  <c r="D3216" i="1"/>
  <c r="D3217" i="1"/>
  <c r="D3218" i="1"/>
  <c r="D3219" i="1"/>
  <c r="D3220" i="1"/>
  <c r="D3221" i="1"/>
  <c r="D3222" i="1"/>
  <c r="D3223" i="1"/>
  <c r="D3224" i="1"/>
  <c r="D3192" i="1"/>
  <c r="D3193" i="1"/>
  <c r="D3194" i="1"/>
  <c r="D3195" i="1"/>
  <c r="D3196" i="1"/>
  <c r="D3197" i="1"/>
  <c r="D3198" i="1"/>
  <c r="D3199" i="1"/>
  <c r="D3200" i="1"/>
  <c r="D3201" i="1"/>
  <c r="D3202" i="1"/>
  <c r="D3203" i="1"/>
  <c r="D3204" i="1"/>
  <c r="D3205" i="1"/>
  <c r="D3053" i="1"/>
  <c r="D3054" i="1"/>
  <c r="D3055" i="1"/>
  <c r="D3056" i="1"/>
  <c r="D3057" i="1"/>
  <c r="D3058" i="1"/>
  <c r="D3059" i="1"/>
  <c r="D3060" i="1"/>
  <c r="D3061" i="1"/>
  <c r="D3226" i="1"/>
  <c r="D3227" i="1"/>
  <c r="D3228" i="1"/>
  <c r="D3229" i="1"/>
  <c r="D3230" i="1"/>
  <c r="D3231" i="1"/>
  <c r="D3232" i="1"/>
  <c r="D3233" i="1"/>
  <c r="D3234" i="1"/>
  <c r="D3235" i="1"/>
  <c r="D3236" i="1"/>
  <c r="D3237" i="1"/>
  <c r="D3238" i="1"/>
  <c r="D3239" i="1"/>
  <c r="D3240" i="1"/>
  <c r="D3241" i="1"/>
  <c r="D3225" i="1"/>
  <c r="D3062" i="1"/>
  <c r="D3063" i="1"/>
  <c r="D3064" i="1"/>
  <c r="D3065" i="1"/>
  <c r="D3066" i="1"/>
  <c r="D3067" i="1"/>
  <c r="D3068" i="1"/>
  <c r="D3069" i="1"/>
  <c r="D3070" i="1"/>
  <c r="D3071" i="1"/>
  <c r="D3072" i="1"/>
  <c r="D3073" i="1"/>
  <c r="D3074" i="1"/>
  <c r="D3075" i="1"/>
  <c r="D3076" i="1"/>
  <c r="D3249" i="1"/>
  <c r="D3250" i="1"/>
  <c r="D3251" i="1"/>
  <c r="D3252" i="1"/>
  <c r="D3253" i="1"/>
  <c r="D3254" i="1"/>
  <c r="D3255" i="1"/>
  <c r="D3256" i="1"/>
  <c r="D3242" i="1"/>
  <c r="D3243" i="1"/>
  <c r="D3244" i="1"/>
  <c r="D3245" i="1"/>
  <c r="D3246" i="1"/>
  <c r="D3247" i="1"/>
  <c r="D3248" i="1"/>
  <c r="D3077" i="1"/>
  <c r="D3078" i="1"/>
  <c r="D3079" i="1"/>
  <c r="D3080" i="1"/>
  <c r="D3081" i="1"/>
  <c r="D3082" i="1"/>
  <c r="D3083" i="1"/>
  <c r="D3084" i="1"/>
  <c r="D3085" i="1"/>
  <c r="D3086" i="1"/>
  <c r="D3087" i="1"/>
  <c r="D3088" i="1"/>
  <c r="D3089" i="1"/>
  <c r="D3090" i="1"/>
  <c r="D3091" i="1"/>
  <c r="D3092" i="1"/>
  <c r="D3093" i="1"/>
  <c r="D3094"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379" i="1"/>
  <c r="D3380" i="1"/>
  <c r="D3381" i="1"/>
  <c r="D3382" i="1"/>
  <c r="D3383" i="1"/>
  <c r="D3384" i="1"/>
  <c r="D3385" i="1"/>
  <c r="D3665" i="1"/>
  <c r="D3666" i="1"/>
  <c r="D3667" i="1"/>
  <c r="D3668" i="1"/>
  <c r="D3669" i="1"/>
  <c r="D3670" i="1"/>
  <c r="D3671" i="1"/>
  <c r="D3672" i="1"/>
  <c r="D3673" i="1"/>
  <c r="D3674" i="1"/>
  <c r="D3675" i="1"/>
  <c r="D3676" i="1"/>
  <c r="D3677" i="1"/>
  <c r="D3678" i="1"/>
  <c r="D3679" i="1"/>
  <c r="D3680" i="1"/>
  <c r="D3681" i="1"/>
  <c r="D3386" i="1"/>
  <c r="D3682" i="1"/>
  <c r="D3683" i="1"/>
  <c r="D3684" i="1"/>
  <c r="D3685" i="1"/>
  <c r="D3686" i="1"/>
  <c r="D3687" i="1"/>
  <c r="D3387" i="1"/>
  <c r="D3388" i="1"/>
  <c r="D3389" i="1"/>
  <c r="D3711" i="1"/>
  <c r="D3712" i="1"/>
  <c r="D3713" i="1"/>
  <c r="D3714"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5" i="1"/>
  <c r="D3390" i="1"/>
  <c r="D3391" i="1"/>
  <c r="D3392" i="1"/>
  <c r="D3393" i="1"/>
  <c r="D3394" i="1"/>
  <c r="D3729" i="1"/>
  <c r="D3730" i="1"/>
  <c r="D3731" i="1"/>
  <c r="D3732" i="1"/>
  <c r="D3733" i="1"/>
  <c r="D3734" i="1"/>
  <c r="D3735" i="1"/>
  <c r="D3716" i="1"/>
  <c r="D3717" i="1"/>
  <c r="D3718" i="1"/>
  <c r="D3719" i="1"/>
  <c r="D3720" i="1"/>
  <c r="D3721" i="1"/>
  <c r="D3722" i="1"/>
  <c r="D3723" i="1"/>
  <c r="D3724" i="1"/>
  <c r="D3725" i="1"/>
  <c r="D3726" i="1"/>
  <c r="D3727" i="1"/>
  <c r="D3728" i="1"/>
  <c r="D3395" i="1"/>
  <c r="D3396" i="1"/>
  <c r="D3397" i="1"/>
  <c r="D3398" i="1"/>
  <c r="D3745" i="1"/>
  <c r="D3746" i="1"/>
  <c r="D3747" i="1"/>
  <c r="D3748" i="1"/>
  <c r="D3736" i="1"/>
  <c r="D3737" i="1"/>
  <c r="D3738" i="1"/>
  <c r="D3739" i="1"/>
  <c r="D3740" i="1"/>
  <c r="D3741" i="1"/>
  <c r="D3742" i="1"/>
  <c r="D3743" i="1"/>
  <c r="D3744" i="1"/>
  <c r="D3399" i="1"/>
  <c r="D3400" i="1"/>
  <c r="D3401" i="1"/>
  <c r="D3402" i="1"/>
  <c r="D3403" i="1"/>
  <c r="D3404" i="1"/>
  <c r="D3405" i="1"/>
  <c r="D3406" i="1"/>
  <c r="D3407" i="1"/>
  <c r="D3408" i="1"/>
  <c r="D3409" i="1"/>
  <c r="D3410" i="1"/>
  <c r="D3411" i="1"/>
  <c r="D3412" i="1"/>
  <c r="D3413" i="1"/>
  <c r="D3414" i="1"/>
  <c r="D3777" i="1"/>
  <c r="D3778" i="1"/>
  <c r="D3779" i="1"/>
  <c r="D3780" i="1"/>
  <c r="D3781" i="1"/>
  <c r="D3782" i="1"/>
  <c r="D3783" i="1"/>
  <c r="D3784"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85" i="1"/>
  <c r="D3415" i="1"/>
  <c r="D3416" i="1"/>
  <c r="D3417" i="1"/>
  <c r="D3418" i="1"/>
  <c r="D3419" i="1"/>
  <c r="D3420" i="1"/>
  <c r="D3795" i="1"/>
  <c r="D3796" i="1"/>
  <c r="D3797" i="1"/>
  <c r="D3798" i="1"/>
  <c r="D3799" i="1"/>
  <c r="D3800" i="1"/>
  <c r="D3801" i="1"/>
  <c r="D3802" i="1"/>
  <c r="D3786" i="1"/>
  <c r="D3787" i="1"/>
  <c r="D3788" i="1"/>
  <c r="D3789" i="1"/>
  <c r="D3790" i="1"/>
  <c r="D3791" i="1"/>
  <c r="D3792" i="1"/>
  <c r="D3793" i="1"/>
  <c r="D3794" i="1"/>
  <c r="D3421" i="1"/>
  <c r="D3422" i="1"/>
  <c r="D3423" i="1"/>
  <c r="D3424" i="1"/>
  <c r="D3425" i="1"/>
  <c r="D3426" i="1"/>
  <c r="D3427" i="1"/>
  <c r="D3813" i="1"/>
  <c r="D3814" i="1"/>
  <c r="D3803" i="1"/>
  <c r="D3804" i="1"/>
  <c r="D3805" i="1"/>
  <c r="D3806" i="1"/>
  <c r="D3807" i="1"/>
  <c r="D3808" i="1"/>
  <c r="D3809" i="1"/>
  <c r="D3810" i="1"/>
  <c r="D3811" i="1"/>
  <c r="D3812" i="1"/>
  <c r="D3428" i="1"/>
  <c r="D3429" i="1"/>
  <c r="D3430" i="1"/>
  <c r="D3431" i="1"/>
  <c r="D3432" i="1"/>
  <c r="D3433" i="1"/>
  <c r="D3434" i="1"/>
  <c r="D3435" i="1"/>
  <c r="D3436" i="1"/>
  <c r="D3437" i="1"/>
  <c r="D3438" i="1"/>
  <c r="D3439"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15" i="1"/>
  <c r="D3816" i="1"/>
  <c r="D3817" i="1"/>
  <c r="D3818" i="1"/>
  <c r="D3819" i="1"/>
  <c r="D3820" i="1"/>
  <c r="D3821" i="1"/>
  <c r="D3822" i="1"/>
  <c r="D3823" i="1"/>
  <c r="D3824" i="1"/>
  <c r="D3825" i="1"/>
  <c r="D3826" i="1"/>
  <c r="D3827" i="1"/>
  <c r="D3828" i="1"/>
  <c r="D3829" i="1"/>
  <c r="D3830" i="1"/>
  <c r="D3831" i="1"/>
  <c r="D3832" i="1"/>
  <c r="D3833" i="1"/>
  <c r="D3834" i="1"/>
  <c r="D3835"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624" i="1"/>
  <c r="D3625" i="1"/>
  <c r="D3626" i="1"/>
  <c r="D3627" i="1"/>
  <c r="D3628" i="1"/>
  <c r="D3629" i="1"/>
  <c r="D3630" i="1"/>
  <c r="D3631" i="1"/>
  <c r="D3632" i="1"/>
  <c r="D3633" i="1"/>
  <c r="D3634" i="1"/>
  <c r="D3635" i="1"/>
  <c r="D3636" i="1"/>
  <c r="D3637" i="1"/>
  <c r="D3638" i="1"/>
  <c r="D3639" i="1"/>
  <c r="D3640" i="1"/>
  <c r="D3641" i="1"/>
  <c r="D3642" i="1"/>
  <c r="D3643" i="1"/>
  <c r="D3440" i="1"/>
  <c r="D3441" i="1"/>
  <c r="D3442" i="1"/>
  <c r="D3443"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870" i="1"/>
  <c r="D3871" i="1"/>
  <c r="D3872" i="1"/>
  <c r="D3873" i="1"/>
  <c r="D3874" i="1"/>
  <c r="D3875" i="1"/>
  <c r="D3876" i="1"/>
  <c r="D3877" i="1"/>
  <c r="D3878"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519" i="1"/>
  <c r="D3520" i="1"/>
  <c r="D3521" i="1"/>
  <c r="D3522" i="1"/>
  <c r="D3523" i="1"/>
  <c r="D3524" i="1"/>
  <c r="D3525" i="1"/>
  <c r="D3526" i="1"/>
  <c r="D3527" i="1"/>
  <c r="D3528" i="1"/>
  <c r="D3529" i="1"/>
  <c r="D3530"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44" i="1"/>
  <c r="D3645" i="1"/>
  <c r="D3646" i="1"/>
  <c r="D3647" i="1"/>
  <c r="D3648" i="1"/>
  <c r="D3649" i="1"/>
  <c r="D3650" i="1"/>
  <c r="D3651" i="1"/>
  <c r="D3652" i="1"/>
  <c r="D3653" i="1"/>
  <c r="D3654" i="1"/>
  <c r="D3655" i="1"/>
  <c r="D3656" i="1"/>
  <c r="D3657" i="1"/>
  <c r="D3658" i="1"/>
  <c r="D3659" i="1"/>
  <c r="D3660" i="1"/>
  <c r="D3661" i="1"/>
  <c r="D3662" i="1"/>
  <c r="D3663" i="1"/>
  <c r="D3664" i="1"/>
  <c r="D3902" i="1"/>
  <c r="D3903" i="1"/>
  <c r="D3904" i="1"/>
  <c r="D3905" i="1"/>
  <c r="D3906" i="1"/>
  <c r="D3907" i="1"/>
  <c r="D3908" i="1"/>
  <c r="D3909" i="1"/>
  <c r="D3910" i="1"/>
  <c r="D3911" i="1"/>
  <c r="D3912" i="1"/>
  <c r="D3913" i="1"/>
  <c r="D4196" i="1"/>
  <c r="D4197" i="1"/>
  <c r="D4198"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9" i="1"/>
  <c r="D4200" i="1"/>
  <c r="D4201" i="1"/>
  <c r="D4202" i="1"/>
  <c r="D4203" i="1"/>
  <c r="D4204" i="1"/>
  <c r="D4205" i="1"/>
  <c r="D4206" i="1"/>
  <c r="D3914" i="1"/>
  <c r="D3915" i="1"/>
  <c r="D3916" i="1"/>
  <c r="D4215" i="1"/>
  <c r="D4216" i="1"/>
  <c r="D4217" i="1"/>
  <c r="D4218" i="1"/>
  <c r="D4219" i="1"/>
  <c r="D4220" i="1"/>
  <c r="D4221" i="1"/>
  <c r="D4222" i="1"/>
  <c r="D4223" i="1"/>
  <c r="D4224" i="1"/>
  <c r="D4225" i="1"/>
  <c r="D4226" i="1"/>
  <c r="D4227" i="1"/>
  <c r="D4228" i="1"/>
  <c r="D4207" i="1"/>
  <c r="D4208" i="1"/>
  <c r="D4209" i="1"/>
  <c r="D4210" i="1"/>
  <c r="D4211" i="1"/>
  <c r="D4212" i="1"/>
  <c r="D4213" i="1"/>
  <c r="D4214" i="1"/>
  <c r="D4229" i="1"/>
  <c r="D3917" i="1"/>
  <c r="D3918" i="1"/>
  <c r="D3919" i="1"/>
  <c r="D3920" i="1"/>
  <c r="D3921" i="1"/>
  <c r="D3922" i="1"/>
  <c r="D3923" i="1"/>
  <c r="D3924" i="1"/>
  <c r="D3925" i="1"/>
  <c r="D3926" i="1"/>
  <c r="D3927" i="1"/>
  <c r="D3928" i="1"/>
  <c r="D4231" i="1"/>
  <c r="D4232" i="1"/>
  <c r="D4233" i="1"/>
  <c r="D4234" i="1"/>
  <c r="D4235" i="1"/>
  <c r="D4236" i="1"/>
  <c r="D4237" i="1"/>
  <c r="D4238" i="1"/>
  <c r="D4239" i="1"/>
  <c r="D4240" i="1"/>
  <c r="D4241" i="1"/>
  <c r="D4242" i="1"/>
  <c r="D4243" i="1"/>
  <c r="D4244" i="1"/>
  <c r="D4245" i="1"/>
  <c r="D4246" i="1"/>
  <c r="D4247" i="1"/>
  <c r="D4230" i="1"/>
  <c r="D3929" i="1"/>
  <c r="D3930" i="1"/>
  <c r="D3931" i="1"/>
  <c r="D4249" i="1"/>
  <c r="D4250" i="1"/>
  <c r="D4251" i="1"/>
  <c r="D4252" i="1"/>
  <c r="D4253" i="1"/>
  <c r="D4254" i="1"/>
  <c r="D4248" i="1"/>
  <c r="D4255" i="1"/>
  <c r="D3932" i="1"/>
  <c r="D3933" i="1"/>
  <c r="D3934" i="1"/>
  <c r="D3935" i="1"/>
  <c r="D3936" i="1"/>
  <c r="D3937" i="1"/>
  <c r="D3938" i="1"/>
  <c r="D3939" i="1"/>
  <c r="D3940"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56" i="1"/>
  <c r="D4257" i="1"/>
  <c r="D4258" i="1"/>
  <c r="D4259" i="1"/>
  <c r="D4260" i="1"/>
  <c r="D4261" i="1"/>
  <c r="D4262" i="1"/>
  <c r="D4263" i="1"/>
  <c r="D4264" i="1"/>
  <c r="D3941" i="1"/>
  <c r="D3942" i="1"/>
  <c r="D3943" i="1"/>
  <c r="D3944"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298" i="1"/>
  <c r="D4299" i="1"/>
  <c r="D4328" i="1"/>
  <c r="D4329" i="1"/>
  <c r="D4330" i="1"/>
  <c r="D4331" i="1"/>
  <c r="D4332" i="1"/>
  <c r="D4333" i="1"/>
  <c r="D4334" i="1"/>
  <c r="D4335" i="1"/>
  <c r="D4336" i="1"/>
  <c r="D3945" i="1"/>
  <c r="D3946" i="1"/>
  <c r="D3947" i="1"/>
  <c r="D4358" i="1"/>
  <c r="D4359" i="1"/>
  <c r="D4360" i="1"/>
  <c r="D4361" i="1"/>
  <c r="D4362" i="1"/>
  <c r="D4363" i="1"/>
  <c r="D4364" i="1"/>
  <c r="D4365" i="1"/>
  <c r="D4366" i="1"/>
  <c r="D4367" i="1"/>
  <c r="D4368" i="1"/>
  <c r="D4369" i="1"/>
  <c r="D4370" i="1"/>
  <c r="D4371" i="1"/>
  <c r="D4372" i="1"/>
  <c r="D4373" i="1"/>
  <c r="D4374" i="1"/>
  <c r="D4375" i="1"/>
  <c r="D4376" i="1"/>
  <c r="D4337" i="1"/>
  <c r="D4338" i="1"/>
  <c r="D4339" i="1"/>
  <c r="D4340" i="1"/>
  <c r="D4341" i="1"/>
  <c r="D4342" i="1"/>
  <c r="D4343" i="1"/>
  <c r="D4344" i="1"/>
  <c r="D4345" i="1"/>
  <c r="D4346" i="1"/>
  <c r="D4347" i="1"/>
  <c r="D4348" i="1"/>
  <c r="D4349" i="1"/>
  <c r="D4350" i="1"/>
  <c r="D4351" i="1"/>
  <c r="D4352" i="1"/>
  <c r="D4353" i="1"/>
  <c r="D4354" i="1"/>
  <c r="D4355" i="1"/>
  <c r="D4356" i="1"/>
  <c r="D4357" i="1"/>
  <c r="D3996" i="1"/>
  <c r="D3997" i="1"/>
  <c r="D3998" i="1"/>
  <c r="D3999" i="1"/>
  <c r="D4000" i="1"/>
  <c r="D4001" i="1"/>
  <c r="D4002" i="1"/>
  <c r="D4003" i="1"/>
  <c r="D4004"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3948" i="1"/>
  <c r="D3949" i="1"/>
  <c r="D3950" i="1"/>
  <c r="D3951" i="1"/>
  <c r="D3952"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377" i="1"/>
  <c r="D4378" i="1"/>
  <c r="D4379" i="1"/>
  <c r="D4380"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4005" i="1"/>
  <c r="D4006" i="1"/>
  <c r="D4007" i="1"/>
  <c r="D4008" i="1"/>
  <c r="D4009" i="1"/>
  <c r="D4010" i="1"/>
  <c r="D4011" i="1"/>
  <c r="D4012" i="1"/>
  <c r="D4013" i="1"/>
  <c r="D4014" i="1"/>
  <c r="D4015" i="1"/>
  <c r="D4016" i="1"/>
  <c r="D4017" i="1"/>
  <c r="D4018"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407" i="1"/>
  <c r="D4539" i="1"/>
  <c r="D4540" i="1"/>
  <c r="D4541" i="1"/>
  <c r="D4542" i="1"/>
  <c r="D4543" i="1"/>
  <c r="D4528" i="1"/>
  <c r="D4529" i="1"/>
  <c r="D4530" i="1"/>
  <c r="D4531" i="1"/>
  <c r="D4532" i="1"/>
  <c r="D4533" i="1"/>
  <c r="D4534" i="1"/>
  <c r="D4535" i="1"/>
  <c r="D4536" i="1"/>
  <c r="D4537" i="1"/>
  <c r="D4538" i="1"/>
  <c r="D4544" i="1"/>
  <c r="D4545" i="1"/>
  <c r="D4546" i="1"/>
  <c r="D4547" i="1"/>
  <c r="D4555" i="1"/>
  <c r="D4556" i="1"/>
  <c r="D4557" i="1"/>
  <c r="D4558" i="1"/>
  <c r="D4559" i="1"/>
  <c r="D4560" i="1"/>
  <c r="D4548" i="1"/>
  <c r="D4549" i="1"/>
  <c r="D4550" i="1"/>
  <c r="D4551" i="1"/>
  <c r="D4552" i="1"/>
  <c r="D4553" i="1"/>
  <c r="D4554" i="1"/>
  <c r="D4563" i="1"/>
  <c r="D4564" i="1"/>
  <c r="D4565" i="1"/>
  <c r="D4561" i="1"/>
  <c r="D4562" i="1"/>
  <c r="D4408" i="1"/>
  <c r="D4569" i="1"/>
  <c r="D4570" i="1"/>
  <c r="D4571" i="1"/>
  <c r="D4572" i="1"/>
  <c r="D4573" i="1"/>
  <c r="D4574" i="1"/>
  <c r="D4575" i="1"/>
  <c r="D4576" i="1"/>
  <c r="D4577" i="1"/>
  <c r="D4578" i="1"/>
  <c r="D4579" i="1"/>
  <c r="D4580" i="1"/>
  <c r="D4581" i="1"/>
  <c r="D4582" i="1"/>
  <c r="D4566" i="1"/>
  <c r="D4567" i="1"/>
  <c r="D4568" i="1"/>
  <c r="D4585" i="1"/>
  <c r="D4586" i="1"/>
  <c r="D4583" i="1"/>
  <c r="D4584" i="1"/>
  <c r="D4409" i="1"/>
  <c r="D4588" i="1"/>
  <c r="D4589" i="1"/>
  <c r="D4590" i="1"/>
  <c r="D4591" i="1"/>
  <c r="D4592" i="1"/>
  <c r="D4593" i="1"/>
  <c r="D4594" i="1"/>
  <c r="D4595" i="1"/>
  <c r="D4596" i="1"/>
  <c r="D4597" i="1"/>
  <c r="D4598" i="1"/>
  <c r="D4599" i="1"/>
  <c r="D4587" i="1"/>
  <c r="D4600" i="1"/>
  <c r="D4602" i="1"/>
  <c r="D4603" i="1"/>
  <c r="D4604" i="1"/>
  <c r="D4601" i="1"/>
  <c r="D4605" i="1"/>
  <c r="D4606" i="1"/>
  <c r="D460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08" i="1"/>
  <c r="D4609" i="1"/>
  <c r="D4610" i="1"/>
  <c r="D4611" i="1"/>
  <c r="D4612" i="1"/>
  <c r="D4613" i="1"/>
  <c r="D4614" i="1"/>
  <c r="D4615" i="1"/>
  <c r="D4616" i="1"/>
  <c r="D4617"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6" i="1"/>
  <c r="D4497" i="1"/>
  <c r="D4499" i="1"/>
  <c r="D4500" i="1"/>
  <c r="D4501" i="1"/>
  <c r="D4502" i="1"/>
  <c r="D4503" i="1"/>
  <c r="D4504" i="1"/>
  <c r="D4505" i="1"/>
  <c r="D4506" i="1"/>
  <c r="D4507" i="1"/>
  <c r="D4508" i="1"/>
  <c r="D4509" i="1"/>
  <c r="D4510" i="1"/>
  <c r="D4511" i="1"/>
  <c r="D4512" i="1"/>
  <c r="D4513" i="1"/>
  <c r="D4514" i="1"/>
  <c r="D4515" i="1"/>
  <c r="D4516" i="1"/>
  <c r="D4517" i="1"/>
  <c r="D4646" i="1"/>
  <c r="D4647" i="1"/>
  <c r="D4648" i="1"/>
  <c r="D4649" i="1"/>
  <c r="D4650" i="1"/>
  <c r="D4651" i="1"/>
  <c r="D4652" i="1"/>
  <c r="D4653" i="1"/>
  <c r="D4644" i="1"/>
  <c r="D4645" i="1"/>
  <c r="D4410" i="1"/>
  <c r="D4411" i="1"/>
  <c r="D4412" i="1"/>
  <c r="D4413" i="1"/>
  <c r="D4414" i="1"/>
  <c r="D4415" i="1"/>
  <c r="D4416" i="1"/>
  <c r="D4417" i="1"/>
  <c r="D4418" i="1"/>
  <c r="D4419" i="1"/>
  <c r="D4420" i="1"/>
  <c r="D4421" i="1"/>
  <c r="D4422" i="1"/>
  <c r="D4423" i="1"/>
  <c r="D4493" i="1"/>
  <c r="D4494" i="1"/>
  <c r="D4495" i="1"/>
  <c r="D4498" i="1"/>
  <c r="D4518" i="1"/>
  <c r="D4519" i="1"/>
  <c r="D4520" i="1"/>
  <c r="D4521" i="1"/>
  <c r="D4522" i="1"/>
  <c r="D4523" i="1"/>
  <c r="D4524" i="1"/>
  <c r="D4525" i="1"/>
  <c r="D4526" i="1"/>
  <c r="D4527" i="1"/>
  <c r="D4658" i="1"/>
  <c r="D4659" i="1"/>
  <c r="D4660" i="1"/>
  <c r="D4654" i="1"/>
  <c r="D4655" i="1"/>
  <c r="D4656" i="1"/>
  <c r="D4657" i="1"/>
  <c r="D4452" i="1"/>
  <c r="D4453" i="1"/>
  <c r="D4454" i="1"/>
  <c r="D4661" i="1"/>
  <c r="D4662" i="1"/>
  <c r="D4663" i="1"/>
  <c r="D4998" i="1"/>
  <c r="D4999" i="1"/>
  <c r="D5000" i="1"/>
  <c r="D5001" i="1"/>
  <c r="D4989" i="1"/>
  <c r="D4990" i="1"/>
  <c r="D4991" i="1"/>
  <c r="D4992" i="1"/>
  <c r="D4993" i="1"/>
  <c r="D4994" i="1"/>
  <c r="D4995" i="1"/>
  <c r="D4996" i="1"/>
  <c r="D5002" i="1"/>
  <c r="D5003" i="1"/>
  <c r="D5004" i="1"/>
  <c r="D5005" i="1"/>
  <c r="D5006" i="1"/>
  <c r="D5007" i="1"/>
  <c r="D5008" i="1"/>
  <c r="D5009" i="1"/>
  <c r="D5010" i="1"/>
  <c r="D5011" i="1"/>
  <c r="D5012" i="1"/>
  <c r="D5013" i="1"/>
  <c r="D5014" i="1"/>
  <c r="D5015" i="1"/>
  <c r="D5016" i="1"/>
  <c r="D5028" i="1"/>
  <c r="D5029" i="1"/>
  <c r="D5030" i="1"/>
  <c r="D5031" i="1"/>
  <c r="D5032" i="1"/>
  <c r="D5033" i="1"/>
  <c r="D5034" i="1"/>
  <c r="D5035" i="1"/>
  <c r="D5036" i="1"/>
  <c r="D5037" i="1"/>
  <c r="D5038" i="1"/>
  <c r="D5039" i="1"/>
  <c r="D5040" i="1"/>
  <c r="D5017" i="1"/>
  <c r="D5018" i="1"/>
  <c r="D5019" i="1"/>
  <c r="D5020" i="1"/>
  <c r="D5021" i="1"/>
  <c r="D5022" i="1"/>
  <c r="D5023" i="1"/>
  <c r="D5024" i="1"/>
  <c r="D5025" i="1"/>
  <c r="D5026" i="1"/>
  <c r="D5027" i="1"/>
  <c r="D4664" i="1"/>
  <c r="D5050" i="1"/>
  <c r="D5051" i="1"/>
  <c r="D5052" i="1"/>
  <c r="D5053" i="1"/>
  <c r="D5054" i="1"/>
  <c r="D5055" i="1"/>
  <c r="D5056" i="1"/>
  <c r="D5057" i="1"/>
  <c r="D5058" i="1"/>
  <c r="D5059" i="1"/>
  <c r="D5060" i="1"/>
  <c r="D5061" i="1"/>
  <c r="D5063" i="1"/>
  <c r="D5064" i="1"/>
  <c r="D5065" i="1"/>
  <c r="D5066" i="1"/>
  <c r="D5067" i="1"/>
  <c r="D5068" i="1"/>
  <c r="D5069" i="1"/>
  <c r="D5070" i="1"/>
  <c r="D5071" i="1"/>
  <c r="D5072" i="1"/>
  <c r="D5073" i="1"/>
  <c r="D5074" i="1"/>
  <c r="D5075" i="1"/>
  <c r="D5041" i="1"/>
  <c r="D5042" i="1"/>
  <c r="D5043" i="1"/>
  <c r="D5044" i="1"/>
  <c r="D5045" i="1"/>
  <c r="D5046" i="1"/>
  <c r="D5047" i="1"/>
  <c r="D5048" i="1"/>
  <c r="D5049" i="1"/>
  <c r="D4665" i="1"/>
  <c r="D5085" i="1"/>
  <c r="D5086" i="1"/>
  <c r="D5087" i="1"/>
  <c r="D5088" i="1"/>
  <c r="D5089" i="1"/>
  <c r="D5090" i="1"/>
  <c r="D5091" i="1"/>
  <c r="D5092" i="1"/>
  <c r="D5093" i="1"/>
  <c r="D5094" i="1"/>
  <c r="D5096" i="1"/>
  <c r="D5097" i="1"/>
  <c r="D5098" i="1"/>
  <c r="D5099" i="1"/>
  <c r="D5100" i="1"/>
  <c r="D5101" i="1"/>
  <c r="D5102" i="1"/>
  <c r="D5103" i="1"/>
  <c r="D5104" i="1"/>
  <c r="D5095" i="1"/>
  <c r="D5076" i="1"/>
  <c r="D5077" i="1"/>
  <c r="D5078" i="1"/>
  <c r="D5079" i="1"/>
  <c r="D5080" i="1"/>
  <c r="D5081" i="1"/>
  <c r="D5082" i="1"/>
  <c r="D5083" i="1"/>
  <c r="D5084" i="1"/>
  <c r="D4666" i="1"/>
  <c r="D5111" i="1"/>
  <c r="D5112" i="1"/>
  <c r="D5113" i="1"/>
  <c r="D5114" i="1"/>
  <c r="D5115" i="1"/>
  <c r="D5116" i="1"/>
  <c r="D5117" i="1"/>
  <c r="D5118" i="1"/>
  <c r="D5119" i="1"/>
  <c r="D5120" i="1"/>
  <c r="D5121" i="1"/>
  <c r="D5122" i="1"/>
  <c r="D5123" i="1"/>
  <c r="D5124" i="1"/>
  <c r="D5125" i="1"/>
  <c r="D5126" i="1"/>
  <c r="D5127" i="1"/>
  <c r="D5128" i="1"/>
  <c r="D5129" i="1"/>
  <c r="D5105" i="1"/>
  <c r="D5106" i="1"/>
  <c r="D5107" i="1"/>
  <c r="D5108" i="1"/>
  <c r="D5109" i="1"/>
  <c r="D5110" i="1"/>
  <c r="D5130"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31" i="1"/>
  <c r="D5132" i="1"/>
  <c r="D5133" i="1"/>
  <c r="D5134" i="1"/>
  <c r="D4667" i="1"/>
  <c r="D5167" i="1"/>
  <c r="D5168" i="1"/>
  <c r="D5169" i="1"/>
  <c r="D5170" i="1"/>
  <c r="D5171" i="1"/>
  <c r="D5172" i="1"/>
  <c r="D5173" i="1"/>
  <c r="D5174" i="1"/>
  <c r="D5175" i="1"/>
  <c r="D5176" i="1"/>
  <c r="D5177" i="1"/>
  <c r="D5178" i="1"/>
  <c r="D5179" i="1"/>
  <c r="D5180" i="1"/>
  <c r="D5181" i="1"/>
  <c r="D5182" i="1"/>
  <c r="D5183" i="1"/>
  <c r="D5184" i="1"/>
  <c r="D5185" i="1"/>
  <c r="D5186" i="1"/>
  <c r="D5163" i="1"/>
  <c r="D5164" i="1"/>
  <c r="D5165" i="1"/>
  <c r="D5166" i="1"/>
  <c r="D4668" i="1"/>
  <c r="D5190" i="1"/>
  <c r="D5191" i="1"/>
  <c r="D5192" i="1"/>
  <c r="D5193" i="1"/>
  <c r="D5194" i="1"/>
  <c r="D5195" i="1"/>
  <c r="D5187" i="1"/>
  <c r="D5188" i="1"/>
  <c r="D5189" i="1"/>
  <c r="D4669"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2" i="1"/>
  <c r="D5293" i="1"/>
  <c r="D5294" i="1"/>
  <c r="D5295" i="1"/>
  <c r="D5296" i="1"/>
  <c r="D5297" i="1"/>
  <c r="D5298" i="1"/>
  <c r="D5299" i="1"/>
  <c r="D5300" i="1"/>
  <c r="D5301" i="1"/>
  <c r="D5302" i="1"/>
  <c r="D5303" i="1"/>
  <c r="D5304" i="1"/>
  <c r="D5305" i="1"/>
  <c r="D5306" i="1"/>
  <c r="D5307" i="1"/>
  <c r="D5308" i="1"/>
  <c r="D5309"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310" i="1"/>
  <c r="D4671" i="1"/>
  <c r="D4714" i="1"/>
  <c r="D4715" i="1"/>
  <c r="D4716" i="1"/>
  <c r="D4717" i="1"/>
  <c r="D4718" i="1"/>
  <c r="D4719" i="1"/>
  <c r="D4720" i="1"/>
  <c r="D4721" i="1"/>
  <c r="D4722" i="1"/>
  <c r="D4723" i="1"/>
  <c r="D4724" i="1"/>
  <c r="D4725" i="1"/>
  <c r="D4726" i="1"/>
  <c r="D4727" i="1"/>
  <c r="D4728" i="1"/>
  <c r="D4729" i="1"/>
  <c r="D4730" i="1"/>
  <c r="D4731"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670"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841" i="1"/>
  <c r="D4842" i="1"/>
  <c r="D4843" i="1"/>
  <c r="D4844" i="1"/>
  <c r="D4845" i="1"/>
  <c r="D4846" i="1"/>
  <c r="D4847" i="1"/>
  <c r="D4848" i="1"/>
  <c r="D4849" i="1"/>
  <c r="D4850" i="1"/>
  <c r="D4851" i="1"/>
  <c r="D4852" i="1"/>
  <c r="D4889" i="1"/>
  <c r="D4890" i="1"/>
  <c r="D4891" i="1"/>
  <c r="D4892" i="1"/>
  <c r="D4893" i="1"/>
  <c r="D4894" i="1"/>
  <c r="D4895" i="1"/>
  <c r="D4896" i="1"/>
  <c r="D4897" i="1"/>
  <c r="D4898" i="1"/>
  <c r="D4899" i="1"/>
  <c r="D4900" i="1"/>
  <c r="D4967" i="1"/>
  <c r="D4968" i="1"/>
  <c r="D4969" i="1"/>
  <c r="D4970" i="1"/>
  <c r="D4971" i="1"/>
  <c r="D4972" i="1"/>
  <c r="D4973" i="1"/>
  <c r="D4974" i="1"/>
  <c r="D4975" i="1"/>
  <c r="D4976" i="1"/>
  <c r="D4977" i="1"/>
  <c r="D4978" i="1"/>
  <c r="D4979" i="1"/>
  <c r="D4980" i="1"/>
  <c r="D4981" i="1"/>
  <c r="D4982" i="1"/>
  <c r="D4983" i="1"/>
  <c r="D4984" i="1"/>
  <c r="D4985" i="1"/>
  <c r="D4986" i="1"/>
  <c r="D4987" i="1"/>
  <c r="D4988" i="1"/>
  <c r="D5386" i="1"/>
  <c r="D5387" i="1"/>
  <c r="D5388" i="1"/>
  <c r="D5389" i="1"/>
  <c r="D5390" i="1"/>
  <c r="D5391" i="1"/>
  <c r="D5392" i="1"/>
  <c r="D5393" i="1"/>
  <c r="D5394" i="1"/>
  <c r="D5395" i="1"/>
  <c r="D5396" i="1"/>
  <c r="D5397" i="1"/>
  <c r="D5398" i="1"/>
  <c r="D5399" i="1"/>
  <c r="D5400" i="1"/>
  <c r="D5401" i="1"/>
  <c r="D5402" i="1"/>
  <c r="D5403" i="1"/>
  <c r="D5404" i="1"/>
  <c r="D5405" i="1"/>
  <c r="D5376" i="1"/>
  <c r="D5377" i="1"/>
  <c r="D5378" i="1"/>
  <c r="D5379" i="1"/>
  <c r="D5380" i="1"/>
  <c r="D5381" i="1"/>
  <c r="D5382" i="1"/>
  <c r="D5383" i="1"/>
  <c r="D5384" i="1"/>
  <c r="D5385" i="1"/>
  <c r="D4732" i="1"/>
  <c r="D4733" i="1"/>
  <c r="D4734" i="1"/>
  <c r="D4853" i="1"/>
  <c r="D4854" i="1"/>
  <c r="D4855" i="1"/>
  <c r="D4856" i="1"/>
  <c r="D5406" i="1"/>
  <c r="D5716" i="1"/>
  <c r="D5407" i="1"/>
  <c r="D5717" i="1"/>
  <c r="D5718" i="1"/>
  <c r="D5719" i="1"/>
  <c r="D5720" i="1"/>
  <c r="D5715" i="1"/>
  <c r="D5721" i="1"/>
  <c r="D5408" i="1"/>
  <c r="D5409" i="1"/>
  <c r="D5410" i="1"/>
  <c r="D5411" i="1"/>
  <c r="D5412" i="1"/>
  <c r="D5413" i="1"/>
  <c r="D5414" i="1"/>
  <c r="D5415" i="1"/>
  <c r="D5416" i="1"/>
  <c r="D5417" i="1"/>
  <c r="D5418" i="1"/>
  <c r="D5419"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22" i="1"/>
  <c r="D5723" i="1"/>
  <c r="D5724" i="1"/>
  <c r="D5725" i="1"/>
  <c r="D5726" i="1"/>
  <c r="D5727" i="1"/>
  <c r="D5760" i="1"/>
  <c r="D5420" i="1"/>
  <c r="D5421" i="1"/>
  <c r="D5422" i="1"/>
  <c r="D5423" i="1"/>
  <c r="D5424" i="1"/>
  <c r="D5767" i="1"/>
  <c r="D5761" i="1"/>
  <c r="D5762" i="1"/>
  <c r="D5763" i="1"/>
  <c r="D5764" i="1"/>
  <c r="D5765" i="1"/>
  <c r="D5766" i="1"/>
  <c r="D5768" i="1"/>
  <c r="D5425" i="1"/>
  <c r="D5426" i="1"/>
  <c r="D5427" i="1"/>
  <c r="D5428" i="1"/>
  <c r="D5429" i="1"/>
  <c r="D5430" i="1"/>
  <c r="D5431" i="1"/>
  <c r="D5432" i="1"/>
  <c r="D5433" i="1"/>
  <c r="D5434" i="1"/>
  <c r="D5435" i="1"/>
  <c r="D5436" i="1"/>
  <c r="D5437" i="1"/>
  <c r="D5774" i="1"/>
  <c r="D5775" i="1"/>
  <c r="D5776" i="1"/>
  <c r="D5777" i="1"/>
  <c r="D5778" i="1"/>
  <c r="D5779" i="1"/>
  <c r="D5780" i="1"/>
  <c r="D5781" i="1"/>
  <c r="D5769" i="1"/>
  <c r="D5770" i="1"/>
  <c r="D5771" i="1"/>
  <c r="D5772" i="1"/>
  <c r="D5773" i="1"/>
  <c r="D5438" i="1"/>
  <c r="D5439" i="1"/>
  <c r="D5440" i="1"/>
  <c r="D5441" i="1"/>
  <c r="D5442" i="1"/>
  <c r="D5443" i="1"/>
  <c r="D5444" i="1"/>
  <c r="D5445" i="1"/>
  <c r="D5446" i="1"/>
  <c r="D5447" i="1"/>
  <c r="D5448" i="1"/>
  <c r="D5798" i="1"/>
  <c r="D5799" i="1"/>
  <c r="D5800" i="1"/>
  <c r="D5801" i="1"/>
  <c r="D5802" i="1"/>
  <c r="D5803" i="1"/>
  <c r="D5804" i="1"/>
  <c r="D5782" i="1"/>
  <c r="D5783" i="1"/>
  <c r="D5784" i="1"/>
  <c r="D5785" i="1"/>
  <c r="D5786" i="1"/>
  <c r="D5787" i="1"/>
  <c r="D5788" i="1"/>
  <c r="D5789" i="1"/>
  <c r="D5790" i="1"/>
  <c r="D5791" i="1"/>
  <c r="D5792" i="1"/>
  <c r="D5793" i="1"/>
  <c r="D5794" i="1"/>
  <c r="D5795" i="1"/>
  <c r="D5796" i="1"/>
  <c r="D5797" i="1"/>
  <c r="D5449" i="1"/>
  <c r="D5450" i="1"/>
  <c r="D5451" i="1"/>
  <c r="D5452" i="1"/>
  <c r="D5453" i="1"/>
  <c r="D5454" i="1"/>
  <c r="D5455" i="1"/>
  <c r="D5456" i="1"/>
  <c r="D5457" i="1"/>
  <c r="D5458" i="1"/>
  <c r="D5459" i="1"/>
  <c r="D5460" i="1"/>
  <c r="D5461" i="1"/>
  <c r="D5462" i="1"/>
  <c r="D5463" i="1"/>
  <c r="D5464" i="1"/>
  <c r="D5814" i="1"/>
  <c r="D5815" i="1"/>
  <c r="D5816" i="1"/>
  <c r="D5817" i="1"/>
  <c r="D5818" i="1"/>
  <c r="D5819" i="1"/>
  <c r="D5820" i="1"/>
  <c r="D5821" i="1"/>
  <c r="D5822" i="1"/>
  <c r="D5823" i="1"/>
  <c r="D5824" i="1"/>
  <c r="D5805" i="1"/>
  <c r="D5806" i="1"/>
  <c r="D5807" i="1"/>
  <c r="D5808" i="1"/>
  <c r="D5809" i="1"/>
  <c r="D5810" i="1"/>
  <c r="D5811" i="1"/>
  <c r="D5812" i="1"/>
  <c r="D5813" i="1"/>
  <c r="D5465" i="1"/>
  <c r="D5466" i="1"/>
  <c r="D5828" i="1"/>
  <c r="D5829" i="1"/>
  <c r="D5825" i="1"/>
  <c r="D5826" i="1"/>
  <c r="D5827" i="1"/>
  <c r="D5467" i="1"/>
  <c r="D5468" i="1"/>
  <c r="D5469" i="1"/>
  <c r="D5470" i="1"/>
  <c r="D5471" i="1"/>
  <c r="D5472" i="1"/>
  <c r="D5473" i="1"/>
  <c r="D5474" i="1"/>
  <c r="D5475" i="1"/>
  <c r="D5476" i="1"/>
  <c r="D5477" i="1"/>
  <c r="D5478" i="1"/>
  <c r="D5479" i="1"/>
  <c r="D5480" i="1"/>
  <c r="D5481" i="1"/>
  <c r="D5482" i="1"/>
  <c r="D5483" i="1"/>
  <c r="D5834" i="1"/>
  <c r="D5835" i="1"/>
  <c r="D5836" i="1"/>
  <c r="D5830" i="1"/>
  <c r="D5831" i="1"/>
  <c r="D5832" i="1"/>
  <c r="D5833" i="1"/>
  <c r="D5484" i="1"/>
  <c r="D5485" i="1"/>
  <c r="D5486" i="1"/>
  <c r="D5487" i="1"/>
  <c r="D5488" i="1"/>
  <c r="D5489" i="1"/>
  <c r="D5490" i="1"/>
  <c r="D5491" i="1"/>
  <c r="D5492" i="1"/>
  <c r="D5840" i="1"/>
  <c r="D5841" i="1"/>
  <c r="D5842" i="1"/>
  <c r="D5843" i="1"/>
  <c r="D5844" i="1"/>
  <c r="D5845" i="1"/>
  <c r="D5846" i="1"/>
  <c r="D5847" i="1"/>
  <c r="D5848" i="1"/>
  <c r="D5837" i="1"/>
  <c r="D5838" i="1"/>
  <c r="D5839" i="1"/>
  <c r="D5493" i="1"/>
  <c r="D5494" i="1"/>
  <c r="D5495" i="1"/>
  <c r="D5496" i="1"/>
  <c r="D5497" i="1"/>
  <c r="D5498" i="1"/>
  <c r="D5499" i="1"/>
  <c r="D5500" i="1"/>
  <c r="D5501" i="1"/>
  <c r="D5502" i="1"/>
  <c r="D5503" i="1"/>
  <c r="D5504" i="1"/>
  <c r="D5505" i="1"/>
  <c r="D5506" i="1"/>
  <c r="D5507" i="1"/>
  <c r="D5508" i="1"/>
  <c r="D5509" i="1"/>
  <c r="D5510" i="1"/>
  <c r="D5511" i="1"/>
  <c r="D5512" i="1"/>
  <c r="D5513" i="1"/>
  <c r="D5514"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49" i="1"/>
  <c r="D5850" i="1"/>
  <c r="D5851" i="1"/>
  <c r="D5852" i="1"/>
  <c r="D5853" i="1"/>
  <c r="D5854" i="1"/>
  <c r="D5855" i="1"/>
  <c r="D5856" i="1"/>
  <c r="D5857" i="1"/>
  <c r="D5858" i="1"/>
  <c r="D5859" i="1"/>
  <c r="D5860"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892" i="1"/>
  <c r="D5893" i="1"/>
  <c r="D5894" i="1"/>
  <c r="D6093" i="1"/>
  <c r="D6094" i="1"/>
  <c r="D6095" i="1"/>
  <c r="D6096" i="1"/>
  <c r="D6097" i="1"/>
  <c r="D6091" i="1"/>
  <c r="D6092" i="1"/>
  <c r="D5895" i="1"/>
  <c r="D5896" i="1"/>
  <c r="D5897" i="1"/>
  <c r="D5898" i="1"/>
  <c r="D5899" i="1"/>
  <c r="D5900" i="1"/>
  <c r="D5901" i="1"/>
  <c r="D5902" i="1"/>
  <c r="D5903" i="1"/>
  <c r="D5904" i="1"/>
  <c r="D5905" i="1"/>
  <c r="D5906" i="1"/>
  <c r="D5907" i="1"/>
  <c r="D5908" i="1"/>
  <c r="D5909" i="1"/>
  <c r="D5910" i="1"/>
  <c r="D5911" i="1"/>
  <c r="D5912" i="1"/>
  <c r="D5913" i="1"/>
  <c r="D5914" i="1"/>
  <c r="D5915" i="1"/>
  <c r="D5916" i="1"/>
  <c r="D6113" i="1"/>
  <c r="D6114" i="1"/>
  <c r="D6115" i="1"/>
  <c r="D6116" i="1"/>
  <c r="D6117" i="1"/>
  <c r="D6118" i="1"/>
  <c r="D6119" i="1"/>
  <c r="D6120" i="1"/>
  <c r="D6121" i="1"/>
  <c r="D6122" i="1"/>
  <c r="D6123" i="1"/>
  <c r="D6124" i="1"/>
  <c r="D6098" i="1"/>
  <c r="D6099" i="1"/>
  <c r="D6100" i="1"/>
  <c r="D6101" i="1"/>
  <c r="D6102" i="1"/>
  <c r="D6103" i="1"/>
  <c r="D6104" i="1"/>
  <c r="D6105" i="1"/>
  <c r="D6106" i="1"/>
  <c r="D6107" i="1"/>
  <c r="D6108" i="1"/>
  <c r="D6109" i="1"/>
  <c r="D6110" i="1"/>
  <c r="D6111" i="1"/>
  <c r="D6112" i="1"/>
  <c r="D5917" i="1"/>
  <c r="D5918" i="1"/>
  <c r="D5919" i="1"/>
  <c r="D6130" i="1"/>
  <c r="D6131" i="1"/>
  <c r="D6132" i="1"/>
  <c r="D6133" i="1"/>
  <c r="D6134" i="1"/>
  <c r="D6135" i="1"/>
  <c r="D6136" i="1"/>
  <c r="D6137" i="1"/>
  <c r="D6138" i="1"/>
  <c r="D6139" i="1"/>
  <c r="D6140" i="1"/>
  <c r="D6125" i="1"/>
  <c r="D6126" i="1"/>
  <c r="D6127" i="1"/>
  <c r="D6128" i="1"/>
  <c r="D6129" i="1"/>
  <c r="D5920" i="1"/>
  <c r="D5921" i="1"/>
  <c r="D6144" i="1"/>
  <c r="D6145" i="1"/>
  <c r="D6146" i="1"/>
  <c r="D6147" i="1"/>
  <c r="D6148" i="1"/>
  <c r="D6149" i="1"/>
  <c r="D6150" i="1"/>
  <c r="D6141" i="1"/>
  <c r="D6142" i="1"/>
  <c r="D6143" i="1"/>
  <c r="D5922" i="1"/>
  <c r="D5923" i="1"/>
  <c r="D5924" i="1"/>
  <c r="D6160" i="1"/>
  <c r="D6151" i="1"/>
  <c r="D6152" i="1"/>
  <c r="D6153" i="1"/>
  <c r="D6154" i="1"/>
  <c r="D6155" i="1"/>
  <c r="D6156" i="1"/>
  <c r="D6157" i="1"/>
  <c r="D6158" i="1"/>
  <c r="D6159" i="1"/>
  <c r="D5925" i="1"/>
  <c r="D5926" i="1"/>
  <c r="D5927" i="1"/>
  <c r="D5928" i="1"/>
  <c r="D5929" i="1"/>
  <c r="D5930" i="1"/>
  <c r="D5931" i="1"/>
  <c r="D6167" i="1"/>
  <c r="D6168" i="1"/>
  <c r="D6169" i="1"/>
  <c r="D6170" i="1"/>
  <c r="D6171" i="1"/>
  <c r="D6172" i="1"/>
  <c r="D6173" i="1"/>
  <c r="D6174" i="1"/>
  <c r="D6175" i="1"/>
  <c r="D6176" i="1"/>
  <c r="D6177" i="1"/>
  <c r="D6178" i="1"/>
  <c r="D6179" i="1"/>
  <c r="D6161" i="1"/>
  <c r="D6162" i="1"/>
  <c r="D6163" i="1"/>
  <c r="D6164" i="1"/>
  <c r="D6165" i="1"/>
  <c r="D6166" i="1"/>
  <c r="D6183" i="1"/>
  <c r="D6184" i="1"/>
  <c r="D6185" i="1"/>
  <c r="D6186" i="1"/>
  <c r="D6187" i="1"/>
  <c r="D6180" i="1"/>
  <c r="D6181" i="1"/>
  <c r="D6182" i="1"/>
  <c r="D5932" i="1"/>
  <c r="D5933" i="1"/>
  <c r="D5934" i="1"/>
  <c r="D5935" i="1"/>
  <c r="D5936" i="1"/>
  <c r="D6188" i="1"/>
  <c r="D6196" i="1"/>
  <c r="D6197" i="1"/>
  <c r="D6198" i="1"/>
  <c r="D6189" i="1"/>
  <c r="D6190" i="1"/>
  <c r="D6191" i="1"/>
  <c r="D6192" i="1"/>
  <c r="D6193" i="1"/>
  <c r="D6194" i="1"/>
  <c r="D6195" i="1"/>
  <c r="D5937" i="1"/>
  <c r="D5938" i="1"/>
  <c r="D5939" i="1"/>
  <c r="D5940" i="1"/>
  <c r="D5941" i="1"/>
  <c r="D5942" i="1"/>
  <c r="D5943" i="1"/>
  <c r="D5944" i="1"/>
  <c r="D5945" i="1"/>
  <c r="D6199" i="1"/>
  <c r="D5946" i="1"/>
  <c r="D5947" i="1"/>
  <c r="D5948" i="1"/>
  <c r="D5949" i="1"/>
  <c r="D5950" i="1"/>
  <c r="D5951" i="1"/>
  <c r="D6205" i="1"/>
  <c r="D6206" i="1"/>
  <c r="D6200" i="1"/>
  <c r="D6201" i="1"/>
  <c r="D6202" i="1"/>
  <c r="D6203" i="1"/>
  <c r="D6204"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207" i="1"/>
  <c r="D6208" i="1"/>
  <c r="D6209" i="1"/>
  <c r="D6541" i="1"/>
  <c r="D6542" i="1"/>
  <c r="D6543" i="1"/>
  <c r="D6210" i="1"/>
  <c r="D6211" i="1"/>
  <c r="D6212"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44" i="1"/>
  <c r="D6545" i="1"/>
  <c r="D6546" i="1"/>
  <c r="D6547" i="1"/>
  <c r="D6548" i="1"/>
  <c r="D6549" i="1"/>
  <c r="D6550" i="1"/>
  <c r="D6551" i="1"/>
  <c r="D6552" i="1"/>
  <c r="D6553" i="1"/>
  <c r="D6554" i="1"/>
  <c r="D6555" i="1"/>
  <c r="D6556" i="1"/>
  <c r="D6557" i="1"/>
  <c r="D6213" i="1"/>
  <c r="D6214" i="1"/>
  <c r="D6215" i="1"/>
  <c r="D6597" i="1"/>
  <c r="D6598" i="1"/>
  <c r="D6599" i="1"/>
  <c r="D6600" i="1"/>
  <c r="D6601" i="1"/>
  <c r="D6602" i="1"/>
  <c r="D6592" i="1"/>
  <c r="D6593" i="1"/>
  <c r="D6594" i="1"/>
  <c r="D6595" i="1"/>
  <c r="D6596" i="1"/>
  <c r="D6216" i="1"/>
  <c r="D6217" i="1"/>
  <c r="D6603" i="1"/>
  <c r="D6218" i="1"/>
  <c r="D6219" i="1"/>
  <c r="D6220" i="1"/>
  <c r="D6621" i="1"/>
  <c r="D6622" i="1"/>
  <c r="D6623" i="1"/>
  <c r="D6624" i="1"/>
  <c r="D6625" i="1"/>
  <c r="D6626" i="1"/>
  <c r="D6627" i="1"/>
  <c r="D6628" i="1"/>
  <c r="D6629" i="1"/>
  <c r="D6630" i="1"/>
  <c r="D6631" i="1"/>
  <c r="D6632" i="1"/>
  <c r="D6633" i="1"/>
  <c r="D6604" i="1"/>
  <c r="D6605" i="1"/>
  <c r="D6606" i="1"/>
  <c r="D6607" i="1"/>
  <c r="D6608" i="1"/>
  <c r="D6609" i="1"/>
  <c r="D6610" i="1"/>
  <c r="D6611" i="1"/>
  <c r="D6612" i="1"/>
  <c r="D6613" i="1"/>
  <c r="D6614" i="1"/>
  <c r="D6615" i="1"/>
  <c r="D6616" i="1"/>
  <c r="D6617" i="1"/>
  <c r="D6618" i="1"/>
  <c r="D6619" i="1"/>
  <c r="D6620" i="1"/>
  <c r="D6221" i="1"/>
  <c r="D6222" i="1"/>
  <c r="D6643" i="1"/>
  <c r="D6644" i="1"/>
  <c r="D6645" i="1"/>
  <c r="D6646" i="1"/>
  <c r="D6647" i="1"/>
  <c r="D6648" i="1"/>
  <c r="D6649" i="1"/>
  <c r="D6650" i="1"/>
  <c r="D6651" i="1"/>
  <c r="D6652" i="1"/>
  <c r="D6634" i="1"/>
  <c r="D6635" i="1"/>
  <c r="D6636" i="1"/>
  <c r="D6637" i="1"/>
  <c r="D6638" i="1"/>
  <c r="D6639" i="1"/>
  <c r="D6640" i="1"/>
  <c r="D6641" i="1"/>
  <c r="D6642" i="1"/>
  <c r="D6223" i="1"/>
  <c r="D6224" i="1"/>
  <c r="D6225" i="1"/>
  <c r="D6226" i="1"/>
  <c r="D6227" i="1"/>
  <c r="D6228" i="1"/>
  <c r="D6229" i="1"/>
  <c r="D6230" i="1"/>
  <c r="D6681" i="1"/>
  <c r="D6682" i="1"/>
  <c r="D6683" i="1"/>
  <c r="D6684" i="1"/>
  <c r="D6685" i="1"/>
  <c r="D6686" i="1"/>
  <c r="D6687" i="1"/>
  <c r="D6688" i="1"/>
  <c r="D6689" i="1"/>
  <c r="D6690" i="1"/>
  <c r="D6691" i="1"/>
  <c r="D6692" i="1"/>
  <c r="D6693" i="1"/>
  <c r="D6694" i="1"/>
  <c r="D6695" i="1"/>
  <c r="D6696" i="1"/>
  <c r="D6697" i="1"/>
  <c r="D6698" i="1"/>
  <c r="D6699"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231" i="1"/>
  <c r="D6701" i="1"/>
  <c r="D6702" i="1"/>
  <c r="D6703" i="1"/>
  <c r="D6704" i="1"/>
  <c r="D6705" i="1"/>
  <c r="D6700" i="1"/>
  <c r="D6232" i="1"/>
  <c r="D6709" i="1"/>
  <c r="D6710" i="1"/>
  <c r="D6711" i="1"/>
  <c r="D6712" i="1"/>
  <c r="D6713" i="1"/>
  <c r="D6714" i="1"/>
  <c r="D6715" i="1"/>
  <c r="D6716" i="1"/>
  <c r="D6717" i="1"/>
  <c r="D6718" i="1"/>
  <c r="D6706" i="1"/>
  <c r="D6707" i="1"/>
  <c r="D6708" i="1"/>
  <c r="D6233" i="1"/>
  <c r="D6234" i="1"/>
  <c r="D6235" i="1"/>
  <c r="D6721" i="1"/>
  <c r="D6722" i="1"/>
  <c r="D6723" i="1"/>
  <c r="D6724" i="1"/>
  <c r="D6725" i="1"/>
  <c r="D6726" i="1"/>
  <c r="D6727" i="1"/>
  <c r="D6728" i="1"/>
  <c r="D6729" i="1"/>
  <c r="D6719" i="1"/>
  <c r="D6720" i="1"/>
  <c r="D6236" i="1"/>
  <c r="D6237" i="1"/>
  <c r="D6238" i="1"/>
  <c r="D6239" i="1"/>
  <c r="D6240" i="1"/>
  <c r="D6241" i="1"/>
  <c r="D6242" i="1"/>
  <c r="D6243" i="1"/>
  <c r="D6244" i="1"/>
  <c r="D6245" i="1"/>
  <c r="D6246" i="1"/>
  <c r="D6247" i="1"/>
  <c r="D6248" i="1"/>
  <c r="D6249" i="1"/>
  <c r="D6250" i="1"/>
  <c r="D6251" i="1"/>
  <c r="D6252" i="1"/>
  <c r="D6253" i="1"/>
  <c r="D6254" i="1"/>
  <c r="D6255"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785" i="1"/>
  <c r="D6786"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787"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7553" i="1"/>
  <c r="D7554" i="1"/>
  <c r="D7555" i="1"/>
  <c r="D7556" i="1"/>
  <c r="D7557" i="1"/>
  <c r="D7558" i="1"/>
  <c r="D7559" i="1"/>
  <c r="D7560" i="1"/>
  <c r="D7561" i="1"/>
  <c r="D7562" i="1"/>
  <c r="D7563" i="1"/>
  <c r="D7564" i="1"/>
  <c r="D7565" i="1"/>
  <c r="D7566" i="1"/>
  <c r="D7567" i="1"/>
  <c r="D7568" i="1"/>
  <c r="D7569" i="1"/>
  <c r="D7570" i="1"/>
  <c r="D7571" i="1"/>
  <c r="D7572" i="1"/>
  <c r="D7573" i="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D7622" i="1"/>
  <c r="D762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67" i="1"/>
  <c r="D7368" i="1"/>
  <c r="D7369" i="1"/>
  <c r="D7370" i="1"/>
  <c r="D7371" i="1"/>
  <c r="D7372" i="1"/>
  <c r="D7373" i="1"/>
  <c r="D7374" i="1"/>
  <c r="D7375" i="1"/>
  <c r="D7376" i="1"/>
  <c r="D7377" i="1"/>
  <c r="D7378" i="1"/>
  <c r="D7379" i="1"/>
  <c r="D7380" i="1"/>
  <c r="D7381" i="1"/>
  <c r="D7382" i="1"/>
  <c r="D7383" i="1"/>
  <c r="D7384" i="1"/>
  <c r="D7385" i="1"/>
  <c r="D7386" i="1"/>
  <c r="D7387" i="1"/>
  <c r="D7388" i="1"/>
  <c r="D7389" i="1"/>
  <c r="D7390" i="1"/>
  <c r="D7391" i="1"/>
  <c r="D7392" i="1"/>
  <c r="D7393" i="1"/>
  <c r="D7394" i="1"/>
  <c r="D7395" i="1"/>
  <c r="D7396" i="1"/>
  <c r="D7397" i="1"/>
  <c r="D7398" i="1"/>
  <c r="D7399" i="1"/>
  <c r="D7479" i="1"/>
  <c r="D7480" i="1"/>
  <c r="D7481" i="1"/>
  <c r="D7482" i="1"/>
  <c r="D7483" i="1"/>
  <c r="D7484" i="1"/>
  <c r="D7485" i="1"/>
  <c r="D7486" i="1"/>
  <c r="D7487" i="1"/>
  <c r="D7488" i="1"/>
  <c r="D7489" i="1"/>
  <c r="D7490" i="1"/>
  <c r="D7491" i="1"/>
  <c r="D7492" i="1"/>
  <c r="D7493" i="1"/>
  <c r="D8111"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8140" i="1"/>
  <c r="D8141" i="1"/>
  <c r="D8142" i="1"/>
  <c r="D8143" i="1"/>
  <c r="D8144" i="1"/>
  <c r="D8145" i="1"/>
  <c r="D8146" i="1"/>
  <c r="D8147" i="1"/>
  <c r="D8148" i="1"/>
  <c r="D8149" i="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D8198" i="1"/>
  <c r="D8199" i="1"/>
  <c r="D8200"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7750" i="1"/>
  <c r="D7751" i="1"/>
  <c r="D7752" i="1"/>
  <c r="D7753" i="1"/>
  <c r="D7754" i="1"/>
  <c r="D7755" i="1"/>
  <c r="D7756" i="1"/>
  <c r="D7757" i="1"/>
  <c r="D7758" i="1"/>
  <c r="D7759" i="1"/>
  <c r="D7760" i="1"/>
  <c r="D7761" i="1"/>
  <c r="D7762" i="1"/>
  <c r="D7763" i="1"/>
  <c r="D7764" i="1"/>
  <c r="D7765" i="1"/>
  <c r="D7766" i="1"/>
  <c r="D7767" i="1"/>
  <c r="D7768" i="1"/>
  <c r="D7769" i="1"/>
  <c r="D7770" i="1"/>
  <c r="D7771" i="1"/>
  <c r="D7772" i="1"/>
  <c r="D7773" i="1"/>
  <c r="D7774" i="1"/>
  <c r="D7775" i="1"/>
  <c r="D7776" i="1"/>
  <c r="D7798" i="1"/>
  <c r="D7799" i="1"/>
  <c r="D7800" i="1"/>
  <c r="D7801" i="1"/>
  <c r="D7802" i="1"/>
  <c r="D7803" i="1"/>
  <c r="D7804" i="1"/>
  <c r="D7805" i="1"/>
  <c r="D7806" i="1"/>
  <c r="D7807" i="1"/>
  <c r="D7808" i="1"/>
  <c r="D7809" i="1"/>
  <c r="D7810" i="1"/>
  <c r="D7811" i="1"/>
  <c r="D7812" i="1"/>
  <c r="D7813" i="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87" i="1"/>
  <c r="D7988" i="1"/>
  <c r="D7989" i="1"/>
  <c r="D7990" i="1"/>
  <c r="D7991" i="1"/>
  <c r="D7992" i="1"/>
  <c r="D7993" i="1"/>
  <c r="D7994" i="1"/>
  <c r="D7995" i="1"/>
  <c r="D7996" i="1"/>
  <c r="D7997" i="1"/>
  <c r="D7998" i="1"/>
  <c r="D7999" i="1"/>
  <c r="D8000" i="1"/>
  <c r="D8001" i="1"/>
  <c r="D8002" i="1"/>
  <c r="D8003" i="1"/>
  <c r="D8004" i="1"/>
  <c r="D8005" i="1"/>
  <c r="D8006" i="1"/>
  <c r="D8007" i="1"/>
  <c r="D8008" i="1"/>
  <c r="D8009" i="1"/>
  <c r="D8010" i="1"/>
  <c r="D8011" i="1"/>
  <c r="D8012" i="1"/>
  <c r="D8013" i="1"/>
  <c r="D8014" i="1"/>
  <c r="D8015" i="1"/>
  <c r="D8016" i="1"/>
  <c r="D8017"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4134" i="1"/>
  <c r="D8072" i="1"/>
  <c r="D8073" i="1"/>
  <c r="D8074" i="1"/>
  <c r="D8075" i="1"/>
  <c r="D8076" i="1"/>
  <c r="D8077" i="1"/>
  <c r="D8078" i="1"/>
  <c r="D8079" i="1"/>
  <c r="D8080" i="1"/>
  <c r="D8081" i="1"/>
  <c r="D8082" i="1"/>
  <c r="D8083" i="1"/>
  <c r="D8084" i="1"/>
  <c r="D8085" i="1"/>
  <c r="D8086" i="1"/>
  <c r="D8087" i="1"/>
  <c r="D8088" i="1"/>
  <c r="D8089" i="1"/>
  <c r="D8090" i="1"/>
  <c r="D8091" i="1"/>
  <c r="D8092" i="1"/>
  <c r="D7730" i="1"/>
  <c r="D7731" i="1"/>
  <c r="D7732" i="1"/>
  <c r="D7733" i="1"/>
  <c r="D7734" i="1"/>
  <c r="D7735" i="1"/>
  <c r="D7736" i="1"/>
  <c r="D7737" i="1"/>
  <c r="D7738" i="1"/>
  <c r="D7739" i="1"/>
  <c r="D7740" i="1"/>
  <c r="D7741" i="1"/>
  <c r="D7742" i="1"/>
  <c r="D7743" i="1"/>
  <c r="D7744" i="1"/>
  <c r="D7745" i="1"/>
  <c r="D7746" i="1"/>
  <c r="D7747" i="1"/>
  <c r="D7748" i="1"/>
  <c r="D7749"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01" i="1"/>
  <c r="D8202" i="1"/>
  <c r="D8203" i="1"/>
  <c r="D8204" i="1"/>
  <c r="D8205" i="1"/>
  <c r="D8206" i="1"/>
  <c r="D8207" i="1"/>
  <c r="D7777" i="1"/>
  <c r="D7778" i="1"/>
  <c r="D7779" i="1"/>
  <c r="D7780" i="1"/>
  <c r="D7781" i="1"/>
  <c r="D7782" i="1"/>
  <c r="D7783" i="1"/>
  <c r="D7784" i="1"/>
  <c r="D7785" i="1"/>
  <c r="D7786" i="1"/>
  <c r="D7787" i="1"/>
  <c r="D7788" i="1"/>
  <c r="D7789" i="1"/>
  <c r="D7790" i="1"/>
  <c r="D7791" i="1"/>
  <c r="D7792" i="1"/>
  <c r="D7793" i="1"/>
  <c r="D7794" i="1"/>
  <c r="D7795" i="1"/>
  <c r="D7796" i="1"/>
  <c r="D7797" i="1"/>
  <c r="D7955" i="1"/>
  <c r="D7956" i="1"/>
  <c r="D7957" i="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8018" i="1"/>
  <c r="D8019" i="1"/>
  <c r="D8020" i="1"/>
  <c r="D8021" i="1"/>
  <c r="D8022" i="1"/>
  <c r="D8093" i="1"/>
  <c r="D8094" i="1"/>
  <c r="D8095" i="1"/>
  <c r="D8096" i="1"/>
  <c r="D8097" i="1"/>
  <c r="D8098" i="1"/>
  <c r="D8099" i="1"/>
  <c r="D8100" i="1"/>
  <c r="D8101" i="1"/>
  <c r="D8102" i="1"/>
  <c r="D8103" i="1"/>
  <c r="D8104" i="1"/>
  <c r="D8105" i="1"/>
  <c r="D8106" i="1"/>
  <c r="D8107" i="1"/>
  <c r="D8108" i="1"/>
  <c r="D8109" i="1"/>
  <c r="D8110"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878" i="1"/>
  <c r="D8879" i="1"/>
  <c r="D8880" i="1"/>
  <c r="D8881" i="1"/>
  <c r="D8882" i="1"/>
  <c r="D8883" i="1"/>
  <c r="D8884" i="1"/>
  <c r="D8885" i="1"/>
  <c r="D8886" i="1"/>
  <c r="D8887" i="1"/>
  <c r="D8888" i="1"/>
  <c r="D8889" i="1"/>
  <c r="D8890" i="1"/>
  <c r="D8891" i="1"/>
  <c r="D8892" i="1"/>
  <c r="D8893" i="1"/>
  <c r="D8894" i="1"/>
  <c r="D8895" i="1"/>
  <c r="D8896" i="1"/>
  <c r="D8897" i="1"/>
  <c r="D8898" i="1"/>
  <c r="D8899" i="1"/>
  <c r="D8901" i="1"/>
  <c r="D8902" i="1"/>
  <c r="D8903" i="1"/>
  <c r="D8904" i="1"/>
  <c r="D8905" i="1"/>
  <c r="D8906" i="1"/>
  <c r="D8907" i="1"/>
  <c r="D8908" i="1"/>
  <c r="D8909" i="1"/>
  <c r="D8910" i="1"/>
  <c r="D8911" i="1"/>
  <c r="D8912" i="1"/>
  <c r="D8913" i="1"/>
  <c r="D8914" i="1"/>
  <c r="D8915" i="1"/>
  <c r="D8916"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326" i="1"/>
  <c r="D8327" i="1"/>
  <c r="D8328" i="1"/>
  <c r="D8329" i="1"/>
  <c r="D8330" i="1"/>
  <c r="D8331" i="1"/>
  <c r="D8332" i="1"/>
  <c r="D8333" i="1"/>
  <c r="D8334" i="1"/>
  <c r="D8335" i="1"/>
  <c r="D8336" i="1"/>
  <c r="D8337" i="1"/>
  <c r="D8338" i="1"/>
  <c r="D8339" i="1"/>
  <c r="D8340" i="1"/>
  <c r="D8341" i="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946" i="1"/>
  <c r="D8947" i="1"/>
  <c r="D8948" i="1"/>
  <c r="D8949" i="1"/>
  <c r="D8950" i="1"/>
  <c r="D8951" i="1"/>
  <c r="D8952" i="1"/>
  <c r="D8953" i="1"/>
  <c r="D8954" i="1"/>
  <c r="D8955" i="1"/>
  <c r="D8956" i="1"/>
  <c r="D8957" i="1"/>
  <c r="D8958" i="1"/>
  <c r="D8959" i="1"/>
  <c r="D8960" i="1"/>
  <c r="D8961" i="1"/>
  <c r="D8962" i="1"/>
  <c r="D8963" i="1"/>
  <c r="D8964" i="1"/>
  <c r="D8917" i="1"/>
  <c r="D8918" i="1"/>
  <c r="D8919" i="1"/>
  <c r="D8920" i="1"/>
  <c r="D8921" i="1"/>
  <c r="D8922" i="1"/>
  <c r="D8923" i="1"/>
  <c r="D8924" i="1"/>
  <c r="D8925" i="1"/>
  <c r="D8926" i="1"/>
  <c r="D8927" i="1"/>
  <c r="D8928" i="1"/>
  <c r="D8929" i="1"/>
  <c r="D8930" i="1"/>
  <c r="D8931" i="1"/>
  <c r="D8932" i="1"/>
  <c r="D8933" i="1"/>
  <c r="D8934" i="1"/>
  <c r="D8935" i="1"/>
  <c r="D8936" i="1"/>
  <c r="D8937" i="1"/>
  <c r="D8938" i="1"/>
  <c r="D8939" i="1"/>
  <c r="D8940" i="1"/>
  <c r="D8941" i="1"/>
  <c r="D8942" i="1"/>
  <c r="D8943" i="1"/>
  <c r="D8944" i="1"/>
  <c r="D8945" i="1"/>
  <c r="D8429" i="1"/>
  <c r="D8430" i="1"/>
  <c r="D8431" i="1"/>
  <c r="D8432" i="1"/>
  <c r="D8433" i="1"/>
  <c r="D8434" i="1"/>
  <c r="D8435" i="1"/>
  <c r="D8436" i="1"/>
  <c r="D8437" i="1"/>
  <c r="D8438" i="1"/>
  <c r="D8439" i="1"/>
  <c r="D8440" i="1"/>
  <c r="D8441" i="1"/>
  <c r="D8442" i="1"/>
  <c r="D8443" i="1"/>
  <c r="D8444" i="1"/>
  <c r="D8445" i="1"/>
  <c r="D8446" i="1"/>
  <c r="D8447" i="1"/>
  <c r="D8448"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D8726" i="1"/>
  <c r="D8727" i="1"/>
  <c r="D8728" i="1"/>
  <c r="D8729" i="1"/>
  <c r="D8730" i="1"/>
  <c r="D8731" i="1"/>
  <c r="D8732" i="1"/>
  <c r="D8733" i="1"/>
  <c r="D8734" i="1"/>
  <c r="D8735" i="1"/>
  <c r="D8736" i="1"/>
  <c r="D8737" i="1"/>
  <c r="D8738" i="1"/>
  <c r="D8739" i="1"/>
  <c r="D8740" i="1"/>
  <c r="D8741" i="1"/>
  <c r="D8742" i="1"/>
  <c r="D8824" i="1"/>
  <c r="D8825" i="1"/>
  <c r="D8826" i="1"/>
  <c r="D8827" i="1"/>
  <c r="D8828" i="1"/>
  <c r="D8829" i="1"/>
  <c r="D8830" i="1"/>
  <c r="D8831" i="1"/>
  <c r="D8832" i="1"/>
  <c r="D8833" i="1"/>
  <c r="D8834" i="1"/>
  <c r="D8835" i="1"/>
  <c r="D8836" i="1"/>
  <c r="D8837" i="1"/>
  <c r="D8965" i="1"/>
  <c r="D8966" i="1"/>
  <c r="D8967" i="1"/>
  <c r="D8968" i="1"/>
  <c r="D8969" i="1"/>
  <c r="D8970" i="1"/>
  <c r="D8971" i="1"/>
  <c r="D8972" i="1"/>
  <c r="D8973" i="1"/>
  <c r="D8974" i="1"/>
  <c r="D8975" i="1"/>
  <c r="D8976" i="1"/>
  <c r="D8977" i="1"/>
  <c r="D8978" i="1"/>
  <c r="D8979" i="1"/>
  <c r="D8980" i="1"/>
  <c r="D8981" i="1"/>
  <c r="D8982" i="1"/>
  <c r="D8983" i="1"/>
  <c r="D8984" i="1"/>
  <c r="D8985" i="1"/>
  <c r="D8986" i="1"/>
  <c r="D8987" i="1"/>
  <c r="D8988" i="1"/>
  <c r="D8989" i="1"/>
  <c r="D8990" i="1"/>
  <c r="D9194" i="1"/>
  <c r="D9195" i="1"/>
  <c r="D9196" i="1"/>
  <c r="D9197" i="1"/>
  <c r="D9198" i="1"/>
  <c r="D9199" i="1"/>
  <c r="D9200" i="1"/>
  <c r="D9201" i="1"/>
  <c r="D9202" i="1"/>
  <c r="D9203" i="1"/>
  <c r="D9204" i="1"/>
  <c r="D9205" i="1"/>
  <c r="D9206" i="1"/>
  <c r="D9207" i="1"/>
  <c r="D9208" i="1"/>
  <c r="D9209" i="1"/>
  <c r="D9210" i="1"/>
  <c r="D9211" i="1"/>
  <c r="D9212" i="1"/>
  <c r="D9213" i="1"/>
  <c r="D9214" i="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133" i="1"/>
  <c r="D9134" i="1"/>
  <c r="D9135" i="1"/>
  <c r="D9136" i="1"/>
  <c r="D9137" i="1"/>
  <c r="D9138" i="1"/>
  <c r="D9139" i="1"/>
  <c r="D9140" i="1"/>
  <c r="D9141" i="1"/>
  <c r="D9142" i="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D9176" i="1"/>
  <c r="D9177" i="1"/>
  <c r="D9178" i="1"/>
  <c r="D9179" i="1"/>
  <c r="D9180" i="1"/>
  <c r="D9181" i="1"/>
  <c r="D9182" i="1"/>
  <c r="D9183" i="1"/>
  <c r="D9184" i="1"/>
  <c r="D9185" i="1"/>
  <c r="D9186" i="1"/>
  <c r="D9187" i="1"/>
  <c r="D9188" i="1"/>
  <c r="D9189" i="1"/>
  <c r="D9190" i="1"/>
  <c r="D9191" i="1"/>
  <c r="D9192" i="1"/>
  <c r="D9193" i="1"/>
  <c r="D8991" i="1"/>
  <c r="D8992" i="1"/>
  <c r="D8993" i="1"/>
  <c r="D8994" i="1"/>
  <c r="D8995" i="1"/>
  <c r="D8996" i="1"/>
  <c r="D8997" i="1"/>
  <c r="D8998" i="1"/>
  <c r="D8999" i="1"/>
  <c r="D9000" i="1"/>
  <c r="D9001" i="1"/>
  <c r="D9002" i="1"/>
  <c r="D9003" i="1"/>
  <c r="D9401" i="1"/>
  <c r="D9402" i="1"/>
  <c r="D9403" i="1"/>
  <c r="D9404" i="1"/>
  <c r="D9405" i="1"/>
  <c r="D9406" i="1"/>
  <c r="D9407" i="1"/>
  <c r="D9408" i="1"/>
  <c r="D9409" i="1"/>
  <c r="D9410" i="1"/>
  <c r="D9411" i="1"/>
  <c r="D9412" i="1"/>
  <c r="D9413" i="1"/>
  <c r="D9414" i="1"/>
  <c r="D9415" i="1"/>
  <c r="D9416" i="1"/>
  <c r="D9417" i="1"/>
  <c r="D9418" i="1"/>
  <c r="D9419" i="1"/>
  <c r="D9420" i="1"/>
  <c r="D9421" i="1"/>
  <c r="D9385" i="1"/>
  <c r="D9386" i="1"/>
  <c r="D9387" i="1"/>
  <c r="D9388" i="1"/>
  <c r="D9389" i="1"/>
  <c r="D9390" i="1"/>
  <c r="D9391" i="1"/>
  <c r="D9392" i="1"/>
  <c r="D9393" i="1"/>
  <c r="D9394" i="1"/>
  <c r="D9395" i="1"/>
  <c r="D9396" i="1"/>
  <c r="D9397" i="1"/>
  <c r="D9398" i="1"/>
  <c r="D9399" i="1"/>
  <c r="D9400" i="1"/>
  <c r="D9004" i="1"/>
  <c r="D9005" i="1"/>
  <c r="D9006" i="1"/>
  <c r="D9007" i="1"/>
  <c r="D9008" i="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22" i="1"/>
  <c r="D9423" i="1"/>
  <c r="D9424" i="1"/>
  <c r="D9425" i="1"/>
  <c r="D9426" i="1"/>
  <c r="D9427" i="1"/>
  <c r="D9428" i="1"/>
  <c r="D9429" i="1"/>
  <c r="D9430" i="1"/>
  <c r="D9455" i="1"/>
  <c r="D9009" i="1"/>
  <c r="D9010" i="1"/>
  <c r="D9011" i="1"/>
  <c r="D9463" i="1"/>
  <c r="D9464" i="1"/>
  <c r="D9465" i="1"/>
  <c r="D9466" i="1"/>
  <c r="D9456" i="1"/>
  <c r="D9457" i="1"/>
  <c r="D9458" i="1"/>
  <c r="D9459" i="1"/>
  <c r="D9460" i="1"/>
  <c r="D9461" i="1"/>
  <c r="D9462" i="1"/>
  <c r="D9467" i="1"/>
  <c r="D9012" i="1"/>
  <c r="D9013" i="1"/>
  <c r="D9014" i="1"/>
  <c r="D9015" i="1"/>
  <c r="D9016" i="1"/>
  <c r="D9017" i="1"/>
  <c r="D9018" i="1"/>
  <c r="D9484" i="1"/>
  <c r="D9485" i="1"/>
  <c r="D9486" i="1"/>
  <c r="D9487" i="1"/>
  <c r="D9468" i="1"/>
  <c r="D9469" i="1"/>
  <c r="D9470" i="1"/>
  <c r="D9471" i="1"/>
  <c r="D9472" i="1"/>
  <c r="D9473" i="1"/>
  <c r="D9474" i="1"/>
  <c r="D9475" i="1"/>
  <c r="D9476" i="1"/>
  <c r="D9477" i="1"/>
  <c r="D9478" i="1"/>
  <c r="D9479" i="1"/>
  <c r="D9480" i="1"/>
  <c r="D9481" i="1"/>
  <c r="D9482" i="1"/>
  <c r="D9483" i="1"/>
  <c r="D9019" i="1"/>
  <c r="D9020" i="1"/>
  <c r="D9021" i="1"/>
  <c r="D9022" i="1"/>
  <c r="D9023" i="1"/>
  <c r="D9024" i="1"/>
  <c r="D9025" i="1"/>
  <c r="D9026" i="1"/>
  <c r="D9027" i="1"/>
  <c r="D9028" i="1"/>
  <c r="D9029" i="1"/>
  <c r="D9030" i="1"/>
  <c r="D9031" i="1"/>
  <c r="D9032" i="1"/>
  <c r="D9033" i="1"/>
  <c r="D9034" i="1"/>
  <c r="D9505" i="1"/>
  <c r="D9506" i="1"/>
  <c r="D9507" i="1"/>
  <c r="D9508" i="1"/>
  <c r="D9509" i="1"/>
  <c r="D9488" i="1"/>
  <c r="D9489" i="1"/>
  <c r="D9490" i="1"/>
  <c r="D9491" i="1"/>
  <c r="D9492" i="1"/>
  <c r="D9493" i="1"/>
  <c r="D9494" i="1"/>
  <c r="D9495" i="1"/>
  <c r="D9496" i="1"/>
  <c r="D9497" i="1"/>
  <c r="D9498" i="1"/>
  <c r="D9499" i="1"/>
  <c r="D9500" i="1"/>
  <c r="D9501" i="1"/>
  <c r="D9502" i="1"/>
  <c r="D9503" i="1"/>
  <c r="D9504" i="1"/>
  <c r="D9035" i="1"/>
  <c r="D9036" i="1"/>
  <c r="D9037" i="1"/>
  <c r="D9038" i="1"/>
  <c r="D9039" i="1"/>
  <c r="D9040" i="1"/>
  <c r="D9041" i="1"/>
  <c r="D9042" i="1"/>
  <c r="D9043" i="1"/>
  <c r="D9044" i="1"/>
  <c r="D9045" i="1"/>
  <c r="D9046" i="1"/>
  <c r="D9047" i="1"/>
  <c r="D9048" i="1"/>
  <c r="D9049" i="1"/>
  <c r="D9050" i="1"/>
  <c r="D9051" i="1"/>
  <c r="D9052" i="1"/>
  <c r="D9525" i="1"/>
  <c r="D9526" i="1"/>
  <c r="D9527" i="1"/>
  <c r="D9528" i="1"/>
  <c r="D9529" i="1"/>
  <c r="D9530" i="1"/>
  <c r="D9531" i="1"/>
  <c r="D9532" i="1"/>
  <c r="D9533" i="1"/>
  <c r="D9534" i="1"/>
  <c r="D9535" i="1"/>
  <c r="D9536" i="1"/>
  <c r="D9510" i="1"/>
  <c r="D9511" i="1"/>
  <c r="D9512" i="1"/>
  <c r="D9513" i="1"/>
  <c r="D9514" i="1"/>
  <c r="D9515" i="1"/>
  <c r="D9516" i="1"/>
  <c r="D9517" i="1"/>
  <c r="D9518" i="1"/>
  <c r="D9519" i="1"/>
  <c r="D9520" i="1"/>
  <c r="D9521" i="1"/>
  <c r="D9522" i="1"/>
  <c r="D9523" i="1"/>
  <c r="D9524"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556" i="1"/>
  <c r="D9557" i="1"/>
  <c r="D9558" i="1"/>
  <c r="D9559" i="1"/>
  <c r="D9560" i="1"/>
  <c r="D9561" i="1"/>
  <c r="D9562" i="1"/>
  <c r="D9563" i="1"/>
  <c r="D9564" i="1"/>
  <c r="D9565" i="1"/>
  <c r="D9566" i="1"/>
  <c r="D9567" i="1"/>
  <c r="D9568" i="1"/>
  <c r="D9569" i="1"/>
  <c r="D9570" i="1"/>
  <c r="D9571" i="1"/>
  <c r="D9537" i="1"/>
  <c r="D9538" i="1"/>
  <c r="D9539" i="1"/>
  <c r="D9540" i="1"/>
  <c r="D9541" i="1"/>
  <c r="D9542" i="1"/>
  <c r="D9543" i="1"/>
  <c r="D9544" i="1"/>
  <c r="D9545" i="1"/>
  <c r="D9546" i="1"/>
  <c r="D9547" i="1"/>
  <c r="D9548" i="1"/>
  <c r="D9549" i="1"/>
  <c r="D9550" i="1"/>
  <c r="D9551" i="1"/>
  <c r="D9552" i="1"/>
  <c r="D9553" i="1"/>
  <c r="D9554" i="1"/>
  <c r="D9555" i="1"/>
  <c r="D9080" i="1"/>
  <c r="D9081" i="1"/>
  <c r="D9082" i="1"/>
  <c r="D9083" i="1"/>
  <c r="D9084" i="1"/>
  <c r="D9085" i="1"/>
  <c r="D9086" i="1"/>
  <c r="D9087" i="1"/>
  <c r="D9088" i="1"/>
  <c r="D9089" i="1"/>
  <c r="D9090" i="1"/>
  <c r="D9091" i="1"/>
  <c r="D9092" i="1"/>
  <c r="D9093" i="1"/>
  <c r="D9585" i="1"/>
  <c r="D9586" i="1"/>
  <c r="D9587" i="1"/>
  <c r="D9588" i="1"/>
  <c r="D9572" i="1"/>
  <c r="D9573" i="1"/>
  <c r="D9574" i="1"/>
  <c r="D9575" i="1"/>
  <c r="D9576" i="1"/>
  <c r="D9577" i="1"/>
  <c r="D9578" i="1"/>
  <c r="D9579" i="1"/>
  <c r="D9580" i="1"/>
  <c r="D9581" i="1"/>
  <c r="D9582" i="1"/>
  <c r="D9583" i="1"/>
  <c r="D9584" i="1"/>
  <c r="D9094" i="1"/>
  <c r="D9095" i="1"/>
  <c r="D9096" i="1"/>
  <c r="D9097" i="1"/>
  <c r="D9098" i="1"/>
  <c r="D9099" i="1"/>
  <c r="D9100" i="1"/>
  <c r="D9101" i="1"/>
  <c r="D9102" i="1"/>
  <c r="D9103" i="1"/>
  <c r="D9104" i="1"/>
  <c r="D9105" i="1"/>
  <c r="D9106" i="1"/>
  <c r="D9107" i="1"/>
  <c r="D9108" i="1"/>
  <c r="D9109" i="1"/>
  <c r="D9110" i="1"/>
  <c r="D9111" i="1"/>
  <c r="D9112" i="1"/>
  <c r="D9113" i="1"/>
  <c r="D9597" i="1"/>
  <c r="D9598" i="1"/>
  <c r="D9599" i="1"/>
  <c r="D9589" i="1"/>
  <c r="D9590" i="1"/>
  <c r="D9591" i="1"/>
  <c r="D9592" i="1"/>
  <c r="D9593" i="1"/>
  <c r="D9594" i="1"/>
  <c r="D9595" i="1"/>
  <c r="D9596" i="1"/>
  <c r="D9114" i="1"/>
  <c r="D9115" i="1"/>
  <c r="D9116" i="1"/>
  <c r="D9117" i="1"/>
  <c r="D9118" i="1"/>
  <c r="D9119" i="1"/>
  <c r="D9120" i="1"/>
  <c r="D9121" i="1"/>
  <c r="D9122" i="1"/>
  <c r="D9123" i="1"/>
  <c r="D9124" i="1"/>
  <c r="D9125" i="1"/>
  <c r="D9126" i="1"/>
  <c r="D9127" i="1"/>
  <c r="D9128" i="1"/>
  <c r="D9129" i="1"/>
  <c r="D9130" i="1"/>
  <c r="D9131" i="1"/>
  <c r="D9132" i="1"/>
  <c r="D9633" i="1"/>
  <c r="D9634" i="1"/>
  <c r="D9635" i="1"/>
  <c r="D9636" i="1"/>
  <c r="D9637" i="1"/>
  <c r="D9638" i="1"/>
  <c r="D9639" i="1"/>
  <c r="D9640" i="1"/>
  <c r="D9641" i="1"/>
  <c r="D9642" i="1"/>
  <c r="D9643" i="1"/>
  <c r="D9644" i="1"/>
  <c r="D9645" i="1"/>
  <c r="D9646" i="1"/>
  <c r="D9647" i="1"/>
  <c r="D9648" i="1"/>
  <c r="D9649" i="1"/>
  <c r="D9650" i="1"/>
  <c r="D9651" i="1"/>
  <c r="D9652" i="1"/>
  <c r="D9653" i="1"/>
  <c r="D9654" i="1"/>
  <c r="D9655" i="1"/>
  <c r="D9656" i="1"/>
  <c r="D9657" i="1"/>
  <c r="D9658" i="1"/>
  <c r="D9659" i="1"/>
  <c r="D9660" i="1"/>
  <c r="D9661" i="1"/>
  <c r="D9600" i="1"/>
  <c r="D9601" i="1"/>
  <c r="D9602" i="1"/>
  <c r="D9603" i="1"/>
  <c r="D9604" i="1"/>
  <c r="D9605" i="1"/>
  <c r="D9606" i="1"/>
  <c r="D9607" i="1"/>
  <c r="D9608" i="1"/>
  <c r="D9609" i="1"/>
  <c r="D9610" i="1"/>
  <c r="D9611" i="1"/>
  <c r="D9612" i="1"/>
  <c r="D9613" i="1"/>
  <c r="D9614" i="1"/>
  <c r="D9615" i="1"/>
  <c r="D9616" i="1"/>
  <c r="D9617" i="1"/>
  <c r="D9618" i="1"/>
  <c r="D9619" i="1"/>
  <c r="D9620" i="1"/>
  <c r="D9621" i="1"/>
  <c r="D9622" i="1"/>
  <c r="D9623" i="1"/>
  <c r="D9624" i="1"/>
  <c r="D9625" i="1"/>
  <c r="D9626" i="1"/>
  <c r="D9627" i="1"/>
  <c r="D9628" i="1"/>
  <c r="D9629" i="1"/>
  <c r="D9630" i="1"/>
  <c r="D9631" i="1"/>
  <c r="D9632" i="1"/>
  <c r="D9245" i="1"/>
  <c r="D9246" i="1"/>
  <c r="D9247" i="1"/>
  <c r="D9248" i="1"/>
  <c r="D9249" i="1"/>
  <c r="D9250" i="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D9284" i="1"/>
  <c r="D9285" i="1"/>
  <c r="D9286" i="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D9320" i="1"/>
  <c r="D9321" i="1"/>
  <c r="D9322" i="1"/>
  <c r="D9323" i="1"/>
  <c r="D9324" i="1"/>
  <c r="D9325" i="1"/>
  <c r="D9326" i="1"/>
  <c r="D9327" i="1"/>
  <c r="D9328" i="1"/>
  <c r="D9329" i="1"/>
  <c r="D9330" i="1"/>
  <c r="D9331" i="1"/>
  <c r="D9332" i="1"/>
  <c r="D9333" i="1"/>
  <c r="D9335" i="1"/>
  <c r="D9336" i="1"/>
  <c r="D9337" i="1"/>
  <c r="D9338" i="1"/>
  <c r="D9339" i="1"/>
  <c r="D9340" i="1"/>
  <c r="D9341" i="1"/>
  <c r="D9342" i="1"/>
  <c r="D9343" i="1"/>
  <c r="D9344" i="1"/>
  <c r="D9345" i="1"/>
  <c r="D9346" i="1"/>
  <c r="D9347" i="1"/>
  <c r="D9348" i="1"/>
  <c r="D9349" i="1"/>
  <c r="D9350" i="1"/>
  <c r="D9351" i="1"/>
  <c r="D9352" i="1"/>
  <c r="D9353" i="1"/>
  <c r="D9354" i="1"/>
  <c r="D9355" i="1"/>
  <c r="D9356" i="1"/>
  <c r="D9357" i="1"/>
  <c r="D9358" i="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662" i="1"/>
  <c r="D9663" i="1"/>
  <c r="D9664" i="1"/>
  <c r="D9665" i="1"/>
  <c r="D9666" i="1"/>
  <c r="D9667" i="1"/>
  <c r="D9668" i="1"/>
  <c r="D9669" i="1"/>
  <c r="D9670" i="1"/>
  <c r="D9671" i="1"/>
  <c r="D9672" i="1"/>
  <c r="D9673" i="1"/>
  <c r="D9674" i="1"/>
  <c r="D9675" i="1"/>
  <c r="D9676" i="1"/>
  <c r="D9677" i="1"/>
  <c r="D9678" i="1"/>
  <c r="D9679" i="1"/>
  <c r="D9680" i="1"/>
  <c r="D9681" i="1"/>
  <c r="D9772" i="1"/>
  <c r="D9773" i="1"/>
  <c r="D9774" i="1"/>
  <c r="D9775" i="1"/>
  <c r="D9776" i="1"/>
  <c r="D9777" i="1"/>
  <c r="D9778" i="1"/>
  <c r="D9779" i="1"/>
  <c r="D9780" i="1"/>
  <c r="D9781" i="1"/>
  <c r="D9782" i="1"/>
  <c r="D9783" i="1"/>
  <c r="D9784" i="1"/>
  <c r="D9785" i="1"/>
  <c r="D9786" i="1"/>
  <c r="D9787" i="1"/>
  <c r="D9788" i="1"/>
  <c r="D9789" i="1"/>
  <c r="D9790" i="1"/>
  <c r="D9791" i="1"/>
  <c r="D9792" i="1"/>
  <c r="D9793" i="1"/>
  <c r="D9794" i="1"/>
  <c r="D9795" i="1"/>
  <c r="D9796" i="1"/>
  <c r="D9797" i="1"/>
  <c r="D9798" i="1"/>
  <c r="D9799" i="1"/>
  <c r="D9800" i="1"/>
  <c r="D9801" i="1"/>
  <c r="D9753" i="1"/>
  <c r="D9754" i="1"/>
  <c r="D9755" i="1"/>
  <c r="D9756" i="1"/>
  <c r="D9757" i="1"/>
  <c r="D9758" i="1"/>
  <c r="D9759" i="1"/>
  <c r="D9760" i="1"/>
  <c r="D9761" i="1"/>
  <c r="D9762" i="1"/>
  <c r="D9763" i="1"/>
  <c r="D9764" i="1"/>
  <c r="D9765" i="1"/>
  <c r="D9766" i="1"/>
  <c r="D9767" i="1"/>
  <c r="D9768" i="1"/>
  <c r="D9769" i="1"/>
  <c r="D9770" i="1"/>
  <c r="D9771" i="1"/>
  <c r="D9682" i="1"/>
  <c r="D9683" i="1"/>
  <c r="D9684" i="1"/>
  <c r="D9685" i="1"/>
  <c r="D9686" i="1"/>
  <c r="D9687" i="1"/>
  <c r="D9688" i="1"/>
  <c r="D9689" i="1"/>
  <c r="D9690" i="1"/>
  <c r="D9924" i="1"/>
  <c r="D9925" i="1"/>
  <c r="D9926" i="1"/>
  <c r="D9927" i="1"/>
  <c r="D9928" i="1"/>
  <c r="D9929" i="1"/>
  <c r="D9930" i="1"/>
  <c r="D9931" i="1"/>
  <c r="D9932" i="1"/>
  <c r="D9933" i="1"/>
  <c r="D9934" i="1"/>
  <c r="D9935" i="1"/>
  <c r="D9936" i="1"/>
  <c r="D9937" i="1"/>
  <c r="D9938" i="1"/>
  <c r="D9914" i="1"/>
  <c r="D9915" i="1"/>
  <c r="D9916" i="1"/>
  <c r="D9917" i="1"/>
  <c r="D9918" i="1"/>
  <c r="D9919" i="1"/>
  <c r="D9920" i="1"/>
  <c r="D9921" i="1"/>
  <c r="D9922" i="1"/>
  <c r="D9923" i="1"/>
  <c r="D9691" i="1"/>
  <c r="D9692" i="1"/>
  <c r="D9693" i="1"/>
  <c r="D9694" i="1"/>
  <c r="D9948" i="1"/>
  <c r="D9949" i="1"/>
  <c r="D9950" i="1"/>
  <c r="D9951" i="1"/>
  <c r="D9939" i="1"/>
  <c r="D9940" i="1"/>
  <c r="D9941" i="1"/>
  <c r="D9942" i="1"/>
  <c r="D9943" i="1"/>
  <c r="D9944" i="1"/>
  <c r="D9945" i="1"/>
  <c r="D9946" i="1"/>
  <c r="D9947" i="1"/>
  <c r="D9695" i="1"/>
  <c r="D9696" i="1"/>
  <c r="D9697" i="1"/>
  <c r="D9955" i="1"/>
  <c r="D9956" i="1"/>
  <c r="D9957" i="1"/>
  <c r="D9958" i="1"/>
  <c r="D9959" i="1"/>
  <c r="D9960" i="1"/>
  <c r="D9961" i="1"/>
  <c r="D9962" i="1"/>
  <c r="D9952" i="1"/>
  <c r="D9953" i="1"/>
  <c r="D9954" i="1"/>
  <c r="D9698" i="1"/>
  <c r="D9699" i="1"/>
  <c r="D9700" i="1"/>
  <c r="D9701" i="1"/>
  <c r="D9702" i="1"/>
  <c r="D9703" i="1"/>
  <c r="D9704" i="1"/>
  <c r="D9705" i="1"/>
  <c r="D9966" i="1"/>
  <c r="D9967" i="1"/>
  <c r="D9968" i="1"/>
  <c r="D9969" i="1"/>
  <c r="D9970" i="1"/>
  <c r="D9971" i="1"/>
  <c r="D9972" i="1"/>
  <c r="D9973" i="1"/>
  <c r="D9974" i="1"/>
  <c r="D9975" i="1"/>
  <c r="D9976" i="1"/>
  <c r="D9977" i="1"/>
  <c r="D9963" i="1"/>
  <c r="D9964" i="1"/>
  <c r="D9965" i="1"/>
  <c r="D9706" i="1"/>
  <c r="D9707" i="1"/>
  <c r="D9708" i="1"/>
  <c r="D9709" i="1"/>
  <c r="D9710" i="1"/>
  <c r="D9711" i="1"/>
  <c r="D9712" i="1"/>
  <c r="D9981" i="1"/>
  <c r="D9982" i="1"/>
  <c r="D9983" i="1"/>
  <c r="D9984" i="1"/>
  <c r="D9985" i="1"/>
  <c r="D9986" i="1"/>
  <c r="D9987" i="1"/>
  <c r="D9988" i="1"/>
  <c r="D9989" i="1"/>
  <c r="D9990" i="1"/>
  <c r="D9991" i="1"/>
  <c r="D9992" i="1"/>
  <c r="D9993" i="1"/>
  <c r="D9994" i="1"/>
  <c r="D9995" i="1"/>
  <c r="D9996" i="1"/>
  <c r="D9997" i="1"/>
  <c r="D9998" i="1"/>
  <c r="D9999" i="1"/>
  <c r="D10000" i="1"/>
  <c r="D10001" i="1"/>
  <c r="D10002" i="1"/>
  <c r="D10003" i="1"/>
  <c r="D10004" i="1"/>
  <c r="D10005" i="1"/>
  <c r="D10006" i="1"/>
  <c r="D9978" i="1"/>
  <c r="D9979" i="1"/>
  <c r="D9980" i="1"/>
  <c r="D9713" i="1"/>
  <c r="D9714" i="1"/>
  <c r="D9715" i="1"/>
  <c r="D9716" i="1"/>
  <c r="D9717" i="1"/>
  <c r="D10015" i="1"/>
  <c r="D10016" i="1"/>
  <c r="D10017" i="1"/>
  <c r="D10018" i="1"/>
  <c r="D10019" i="1"/>
  <c r="D10020" i="1"/>
  <c r="D10021" i="1"/>
  <c r="D10022" i="1"/>
  <c r="D10023" i="1"/>
  <c r="D10024" i="1"/>
  <c r="D10025" i="1"/>
  <c r="D10026" i="1"/>
  <c r="D10027" i="1"/>
  <c r="D10028" i="1"/>
  <c r="D10029" i="1"/>
  <c r="D10030" i="1"/>
  <c r="D10031" i="1"/>
  <c r="D10032" i="1"/>
  <c r="D10033" i="1"/>
  <c r="D10034" i="1"/>
  <c r="D10035" i="1"/>
  <c r="D10036" i="1"/>
  <c r="D10037" i="1"/>
  <c r="D10038" i="1"/>
  <c r="D10039" i="1"/>
  <c r="D10040" i="1"/>
  <c r="D10041" i="1"/>
  <c r="D10042" i="1"/>
  <c r="D10043" i="1"/>
  <c r="D10044" i="1"/>
  <c r="D10045" i="1"/>
  <c r="D10046" i="1"/>
  <c r="D10047" i="1"/>
  <c r="D10048" i="1"/>
  <c r="D10049" i="1"/>
  <c r="D10050" i="1"/>
  <c r="D10051" i="1"/>
  <c r="D10052" i="1"/>
  <c r="D10053" i="1"/>
  <c r="D10054" i="1"/>
  <c r="D10055" i="1"/>
  <c r="D10056" i="1"/>
  <c r="D10057" i="1"/>
  <c r="D10007" i="1"/>
  <c r="D10008" i="1"/>
  <c r="D10009" i="1"/>
  <c r="D10010" i="1"/>
  <c r="D10011" i="1"/>
  <c r="D10012" i="1"/>
  <c r="D10013" i="1"/>
  <c r="D10014" i="1"/>
  <c r="D9718" i="1"/>
  <c r="D9719" i="1"/>
  <c r="D9720" i="1"/>
  <c r="D9721" i="1"/>
  <c r="D9722" i="1"/>
  <c r="D9723" i="1"/>
  <c r="D9724" i="1"/>
  <c r="D10068" i="1"/>
  <c r="D10069" i="1"/>
  <c r="D10070" i="1"/>
  <c r="D10071" i="1"/>
  <c r="D10072" i="1"/>
  <c r="D10073" i="1"/>
  <c r="D10074" i="1"/>
  <c r="D10075" i="1"/>
  <c r="D10076" i="1"/>
  <c r="D10077" i="1"/>
  <c r="D10078" i="1"/>
  <c r="D10079" i="1"/>
  <c r="D10080" i="1"/>
  <c r="D10081" i="1"/>
  <c r="D10082" i="1"/>
  <c r="D10083" i="1"/>
  <c r="D10084" i="1"/>
  <c r="D10085" i="1"/>
  <c r="D10086" i="1"/>
  <c r="D10058" i="1"/>
  <c r="D10059" i="1"/>
  <c r="D10060" i="1"/>
  <c r="D10061" i="1"/>
  <c r="D10062" i="1"/>
  <c r="D10063" i="1"/>
  <c r="D10064" i="1"/>
  <c r="D10065" i="1"/>
  <c r="D10066" i="1"/>
  <c r="D10067" i="1"/>
  <c r="D9725" i="1"/>
  <c r="D9726" i="1"/>
  <c r="D9727" i="1"/>
  <c r="D9728" i="1"/>
  <c r="D9729" i="1"/>
  <c r="D9730" i="1"/>
  <c r="D9731" i="1"/>
  <c r="D9732" i="1"/>
  <c r="D9733" i="1"/>
  <c r="D9734" i="1"/>
  <c r="D10094" i="1"/>
  <c r="D10095" i="1"/>
  <c r="D10096" i="1"/>
  <c r="D10097" i="1"/>
  <c r="D10098" i="1"/>
  <c r="D10099" i="1"/>
  <c r="D10100" i="1"/>
  <c r="D10101" i="1"/>
  <c r="D10102" i="1"/>
  <c r="D10103" i="1"/>
  <c r="D10104" i="1"/>
  <c r="D10105" i="1"/>
  <c r="D10106" i="1"/>
  <c r="D10107" i="1"/>
  <c r="D10108" i="1"/>
  <c r="D10109" i="1"/>
  <c r="D10110" i="1"/>
  <c r="D10111" i="1"/>
  <c r="D10112" i="1"/>
  <c r="D10113" i="1"/>
  <c r="D10087" i="1"/>
  <c r="D10088" i="1"/>
  <c r="D10089" i="1"/>
  <c r="D10090" i="1"/>
  <c r="D10091" i="1"/>
  <c r="D10092" i="1"/>
  <c r="D10093" i="1"/>
  <c r="D9735" i="1"/>
  <c r="D9736" i="1"/>
  <c r="D9737" i="1"/>
  <c r="D9738" i="1"/>
  <c r="D9739" i="1"/>
  <c r="D9740" i="1"/>
  <c r="D9741" i="1"/>
  <c r="D9742" i="1"/>
  <c r="D9743" i="1"/>
  <c r="D9744" i="1"/>
  <c r="D9745" i="1"/>
  <c r="D9746" i="1"/>
  <c r="D9747" i="1"/>
  <c r="D9748" i="1"/>
  <c r="D10116" i="1"/>
  <c r="D10117" i="1"/>
  <c r="D10118" i="1"/>
  <c r="D10119" i="1"/>
  <c r="D10120" i="1"/>
  <c r="D10121" i="1"/>
  <c r="D10122" i="1"/>
  <c r="D10123" i="1"/>
  <c r="D10124" i="1"/>
  <c r="D10125" i="1"/>
  <c r="D10126" i="1"/>
  <c r="D10127" i="1"/>
  <c r="D10128" i="1"/>
  <c r="D10129" i="1"/>
  <c r="D10130" i="1"/>
  <c r="D10131" i="1"/>
  <c r="D10132" i="1"/>
  <c r="D10133" i="1"/>
  <c r="D10134" i="1"/>
  <c r="D10135" i="1"/>
  <c r="D10136" i="1"/>
  <c r="D10137" i="1"/>
  <c r="D10138" i="1"/>
  <c r="D10139" i="1"/>
  <c r="D10140" i="1"/>
  <c r="D10141" i="1"/>
  <c r="D10142" i="1"/>
  <c r="D10143" i="1"/>
  <c r="D10144" i="1"/>
  <c r="D10145" i="1"/>
  <c r="D10146" i="1"/>
  <c r="D10147" i="1"/>
  <c r="D10114" i="1"/>
  <c r="D10115" i="1"/>
  <c r="D9749" i="1"/>
  <c r="D9750" i="1"/>
  <c r="D9751" i="1"/>
  <c r="D9752" i="1"/>
  <c r="D10168" i="1"/>
  <c r="D10169" i="1"/>
  <c r="D10170" i="1"/>
  <c r="D10171" i="1"/>
  <c r="D10172" i="1"/>
  <c r="D10173" i="1"/>
  <c r="D10174" i="1"/>
  <c r="D10175" i="1"/>
  <c r="D10176" i="1"/>
  <c r="D10177" i="1"/>
  <c r="D10178" i="1"/>
  <c r="D10179" i="1"/>
  <c r="D10180" i="1"/>
  <c r="D10181" i="1"/>
  <c r="D10182" i="1"/>
  <c r="D10183" i="1"/>
  <c r="D10184" i="1"/>
  <c r="D10185" i="1"/>
  <c r="D10186" i="1"/>
  <c r="D10187" i="1"/>
  <c r="D10188" i="1"/>
  <c r="D10189" i="1"/>
  <c r="D10190" i="1"/>
  <c r="D10191" i="1"/>
  <c r="D10192" i="1"/>
  <c r="D10193" i="1"/>
  <c r="D10148" i="1"/>
  <c r="D10149" i="1"/>
  <c r="D10150" i="1"/>
  <c r="D10151" i="1"/>
  <c r="D10152" i="1"/>
  <c r="D10153" i="1"/>
  <c r="D10154" i="1"/>
  <c r="D10155" i="1"/>
  <c r="D10156" i="1"/>
  <c r="D10157" i="1"/>
  <c r="D10158" i="1"/>
  <c r="D10159" i="1"/>
  <c r="D10160" i="1"/>
  <c r="D10161" i="1"/>
  <c r="D10162" i="1"/>
  <c r="D10163" i="1"/>
  <c r="D10164" i="1"/>
  <c r="D10165" i="1"/>
  <c r="D10166" i="1"/>
  <c r="D10167" i="1"/>
  <c r="D9802" i="1"/>
  <c r="D9803" i="1"/>
  <c r="D9804" i="1"/>
  <c r="D9805" i="1"/>
  <c r="D9806" i="1"/>
  <c r="D9807" i="1"/>
  <c r="D9808" i="1"/>
  <c r="D9809" i="1"/>
  <c r="D9810" i="1"/>
  <c r="D9811" i="1"/>
  <c r="D9812" i="1"/>
  <c r="D9813" i="1"/>
  <c r="D9814" i="1"/>
  <c r="D9815" i="1"/>
  <c r="D9816" i="1"/>
  <c r="D9817" i="1"/>
  <c r="D9818" i="1"/>
  <c r="D9819" i="1"/>
  <c r="D9820" i="1"/>
  <c r="D9821" i="1"/>
  <c r="D9822" i="1"/>
  <c r="D9823" i="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60" i="1"/>
  <c r="D9861" i="1"/>
  <c r="D9862" i="1"/>
  <c r="D9863" i="1"/>
  <c r="D9864" i="1"/>
  <c r="D9865" i="1"/>
  <c r="D9866" i="1"/>
  <c r="D9867" i="1"/>
  <c r="D9868" i="1"/>
  <c r="D9869" i="1"/>
  <c r="D9870" i="1"/>
  <c r="D9871" i="1"/>
  <c r="D9872" i="1"/>
  <c r="D9873" i="1"/>
  <c r="D9874" i="1"/>
  <c r="D9876" i="1"/>
  <c r="D9877" i="1"/>
  <c r="D9878" i="1"/>
  <c r="D9879" i="1"/>
  <c r="D9880" i="1"/>
  <c r="D9881" i="1"/>
  <c r="D9882" i="1"/>
  <c r="D9883" i="1"/>
  <c r="D9884" i="1"/>
  <c r="D9885" i="1"/>
  <c r="D9886" i="1"/>
  <c r="D9887" i="1"/>
  <c r="D9888" i="1"/>
  <c r="D9889" i="1"/>
  <c r="D9890" i="1"/>
  <c r="D9891" i="1"/>
  <c r="D9892" i="1"/>
  <c r="D9893" i="1"/>
  <c r="D9894" i="1"/>
  <c r="D9895" i="1"/>
  <c r="D9896" i="1"/>
  <c r="D9897" i="1"/>
  <c r="D9898" i="1"/>
  <c r="D9899" i="1"/>
  <c r="D9900" i="1"/>
  <c r="D9901" i="1"/>
  <c r="D9902" i="1"/>
  <c r="D9903" i="1"/>
  <c r="D9904" i="1"/>
  <c r="D9905" i="1"/>
  <c r="D9906" i="1"/>
  <c r="D9907" i="1"/>
  <c r="D9908" i="1"/>
  <c r="D9909" i="1"/>
  <c r="D9910" i="1"/>
  <c r="D9911" i="1"/>
  <c r="D9912" i="1"/>
  <c r="D9913" i="1"/>
  <c r="D10194" i="1"/>
  <c r="D10195" i="1"/>
  <c r="D10196" i="1"/>
  <c r="D10197" i="1"/>
  <c r="D10198" i="1"/>
  <c r="D10199" i="1"/>
  <c r="D10200" i="1"/>
  <c r="D10201" i="1"/>
  <c r="D10202" i="1"/>
  <c r="D10203" i="1"/>
  <c r="D10204" i="1"/>
  <c r="D10205" i="1"/>
  <c r="D10206" i="1"/>
  <c r="D10207" i="1"/>
  <c r="D10208" i="1"/>
  <c r="D10209" i="1"/>
  <c r="D10210" i="1"/>
  <c r="D10211" i="1"/>
  <c r="D10212" i="1"/>
  <c r="D11440" i="1"/>
  <c r="D10387" i="1"/>
  <c r="D10388" i="1"/>
  <c r="D10389" i="1"/>
  <c r="D10390" i="1"/>
  <c r="D10391" i="1"/>
  <c r="D10392" i="1"/>
  <c r="D10393" i="1"/>
  <c r="D10394" i="1"/>
  <c r="D10395" i="1"/>
  <c r="D10396" i="1"/>
  <c r="D10397" i="1"/>
  <c r="D10398" i="1"/>
  <c r="D10399" i="1"/>
  <c r="D10400" i="1"/>
  <c r="D10401" i="1"/>
  <c r="D10402" i="1"/>
  <c r="D10403" i="1"/>
  <c r="D10404" i="1"/>
  <c r="D10405" i="1"/>
  <c r="D10406" i="1"/>
  <c r="D10407" i="1"/>
  <c r="D10408" i="1"/>
  <c r="D10409" i="1"/>
  <c r="D10410" i="1"/>
  <c r="D10411" i="1"/>
  <c r="D10412" i="1"/>
  <c r="D10413" i="1"/>
  <c r="D10414" i="1"/>
  <c r="D10339" i="1"/>
  <c r="D10340" i="1"/>
  <c r="D10341" i="1"/>
  <c r="D10342" i="1"/>
  <c r="D10343" i="1"/>
  <c r="D10344" i="1"/>
  <c r="D10345" i="1"/>
  <c r="D10346" i="1"/>
  <c r="D10347" i="1"/>
  <c r="D10348" i="1"/>
  <c r="D10349" i="1"/>
  <c r="D10350" i="1"/>
  <c r="D10351" i="1"/>
  <c r="D10352" i="1"/>
  <c r="D10353" i="1"/>
  <c r="D10354" i="1"/>
  <c r="D10355" i="1"/>
  <c r="D10356" i="1"/>
  <c r="D10357" i="1"/>
  <c r="D10358" i="1"/>
  <c r="D10359" i="1"/>
  <c r="D10360" i="1"/>
  <c r="D10361" i="1"/>
  <c r="D10362" i="1"/>
  <c r="D10363" i="1"/>
  <c r="D10364" i="1"/>
  <c r="D10365" i="1"/>
  <c r="D10366" i="1"/>
  <c r="D10367" i="1"/>
  <c r="D10368" i="1"/>
  <c r="D10369" i="1"/>
  <c r="D10370" i="1"/>
  <c r="D10371" i="1"/>
  <c r="D10372" i="1"/>
  <c r="D10373" i="1"/>
  <c r="D10374" i="1"/>
  <c r="D10375" i="1"/>
  <c r="D10376" i="1"/>
  <c r="D10377" i="1"/>
  <c r="D10378" i="1"/>
  <c r="D10379" i="1"/>
  <c r="D10380" i="1"/>
  <c r="D10381" i="1"/>
  <c r="D10382" i="1"/>
  <c r="D10383" i="1"/>
  <c r="D10384" i="1"/>
  <c r="D10385" i="1"/>
  <c r="D10386" i="1"/>
  <c r="D10480" i="1"/>
  <c r="D10213" i="1"/>
  <c r="D10214" i="1"/>
  <c r="D10215" i="1"/>
  <c r="D10216" i="1"/>
  <c r="D10217" i="1"/>
  <c r="D10218" i="1"/>
  <c r="D10219" i="1"/>
  <c r="D10220" i="1"/>
  <c r="D10221" i="1"/>
  <c r="D10222" i="1"/>
  <c r="D10223" i="1"/>
  <c r="D10224" i="1"/>
  <c r="D10225" i="1"/>
  <c r="D10226" i="1"/>
  <c r="D10227" i="1"/>
  <c r="D10228" i="1"/>
  <c r="D10229" i="1"/>
  <c r="D10230" i="1"/>
  <c r="D10494" i="1"/>
  <c r="D10495" i="1"/>
  <c r="D10481" i="1"/>
  <c r="D10482" i="1"/>
  <c r="D10483" i="1"/>
  <c r="D10484" i="1"/>
  <c r="D10485" i="1"/>
  <c r="D10486" i="1"/>
  <c r="D10487" i="1"/>
  <c r="D10488" i="1"/>
  <c r="D10489" i="1"/>
  <c r="D10490" i="1"/>
  <c r="D10491" i="1"/>
  <c r="D10492" i="1"/>
  <c r="D10493" i="1"/>
  <c r="D10496" i="1"/>
  <c r="D10231" i="1"/>
  <c r="D10232" i="1"/>
  <c r="D10233" i="1"/>
  <c r="D10234" i="1"/>
  <c r="D10517" i="1"/>
  <c r="D10518" i="1"/>
  <c r="D10519" i="1"/>
  <c r="D10520" i="1"/>
  <c r="D10521" i="1"/>
  <c r="D10522" i="1"/>
  <c r="D10523" i="1"/>
  <c r="D10524" i="1"/>
  <c r="D10525" i="1"/>
  <c r="D10526" i="1"/>
  <c r="D10497" i="1"/>
  <c r="D10498" i="1"/>
  <c r="D10499" i="1"/>
  <c r="D10500" i="1"/>
  <c r="D10501" i="1"/>
  <c r="D10502" i="1"/>
  <c r="D10503" i="1"/>
  <c r="D10504" i="1"/>
  <c r="D10505" i="1"/>
  <c r="D10506" i="1"/>
  <c r="D10507" i="1"/>
  <c r="D10508" i="1"/>
  <c r="D10509" i="1"/>
  <c r="D10510" i="1"/>
  <c r="D10511" i="1"/>
  <c r="D10512" i="1"/>
  <c r="D10513" i="1"/>
  <c r="D10514" i="1"/>
  <c r="D10515" i="1"/>
  <c r="D10516" i="1"/>
  <c r="D10235" i="1"/>
  <c r="D10530" i="1"/>
  <c r="D10531" i="1"/>
  <c r="D10527" i="1"/>
  <c r="D10528" i="1"/>
  <c r="D10529" i="1"/>
  <c r="D10532" i="1"/>
  <c r="D10236" i="1"/>
  <c r="D10237" i="1"/>
  <c r="D10238" i="1"/>
  <c r="D10239" i="1"/>
  <c r="D10240" i="1"/>
  <c r="D10241" i="1"/>
  <c r="D10242" i="1"/>
  <c r="D10243" i="1"/>
  <c r="D10244" i="1"/>
  <c r="D10245" i="1"/>
  <c r="D10246" i="1"/>
  <c r="D10247" i="1"/>
  <c r="D10248" i="1"/>
  <c r="D10249" i="1"/>
  <c r="D10544" i="1"/>
  <c r="D10545" i="1"/>
  <c r="D10546" i="1"/>
  <c r="D10547" i="1"/>
  <c r="D10548" i="1"/>
  <c r="D10549" i="1"/>
  <c r="D10533" i="1"/>
  <c r="D10534" i="1"/>
  <c r="D10535" i="1"/>
  <c r="D10536" i="1"/>
  <c r="D10537" i="1"/>
  <c r="D10538" i="1"/>
  <c r="D10539" i="1"/>
  <c r="D10540" i="1"/>
  <c r="D10541" i="1"/>
  <c r="D10542" i="1"/>
  <c r="D10543" i="1"/>
  <c r="D10250" i="1"/>
  <c r="D10559" i="1"/>
  <c r="D10560" i="1"/>
  <c r="D10561" i="1"/>
  <c r="D10562" i="1"/>
  <c r="D10563" i="1"/>
  <c r="D10564" i="1"/>
  <c r="D10550" i="1"/>
  <c r="D10551" i="1"/>
  <c r="D10552" i="1"/>
  <c r="D10553" i="1"/>
  <c r="D10554" i="1"/>
  <c r="D10555" i="1"/>
  <c r="D10556" i="1"/>
  <c r="D10557" i="1"/>
  <c r="D10558" i="1"/>
  <c r="D10251" i="1"/>
  <c r="D10252" i="1"/>
  <c r="D10253" i="1"/>
  <c r="D10254" i="1"/>
  <c r="D10255" i="1"/>
  <c r="D10256" i="1"/>
  <c r="D10257" i="1"/>
  <c r="D10258" i="1"/>
  <c r="D10259" i="1"/>
  <c r="D10260" i="1"/>
  <c r="D10261" i="1"/>
  <c r="D10262" i="1"/>
  <c r="D10263" i="1"/>
  <c r="D10264" i="1"/>
  <c r="D10265" i="1"/>
  <c r="D10266" i="1"/>
  <c r="D10267" i="1"/>
  <c r="D10268" i="1"/>
  <c r="D10269" i="1"/>
  <c r="D10270" i="1"/>
  <c r="D10271" i="1"/>
  <c r="D10272" i="1"/>
  <c r="D10273" i="1"/>
  <c r="D10274" i="1"/>
  <c r="D10275" i="1"/>
  <c r="D10593" i="1"/>
  <c r="D10594" i="1"/>
  <c r="D10595" i="1"/>
  <c r="D10596" i="1"/>
  <c r="D10565" i="1"/>
  <c r="D10566" i="1"/>
  <c r="D10567" i="1"/>
  <c r="D10568" i="1"/>
  <c r="D10569" i="1"/>
  <c r="D10570" i="1"/>
  <c r="D10571" i="1"/>
  <c r="D10572" i="1"/>
  <c r="D10573" i="1"/>
  <c r="D10574" i="1"/>
  <c r="D10575" i="1"/>
  <c r="D10576" i="1"/>
  <c r="D10577" i="1"/>
  <c r="D10578" i="1"/>
  <c r="D10579" i="1"/>
  <c r="D10580" i="1"/>
  <c r="D10581" i="1"/>
  <c r="D10582" i="1"/>
  <c r="D10583" i="1"/>
  <c r="D10584" i="1"/>
  <c r="D10585" i="1"/>
  <c r="D10586" i="1"/>
  <c r="D10587" i="1"/>
  <c r="D10588" i="1"/>
  <c r="D10589" i="1"/>
  <c r="D10590" i="1"/>
  <c r="D10591" i="1"/>
  <c r="D10592" i="1"/>
  <c r="D10276" i="1"/>
  <c r="D10277" i="1"/>
  <c r="D10278" i="1"/>
  <c r="D10279" i="1"/>
  <c r="D10280" i="1"/>
  <c r="D10281" i="1"/>
  <c r="D10282" i="1"/>
  <c r="D10283" i="1"/>
  <c r="D10284" i="1"/>
  <c r="D10285" i="1"/>
  <c r="D10286" i="1"/>
  <c r="D10287" i="1"/>
  <c r="D10288" i="1"/>
  <c r="D10289" i="1"/>
  <c r="D10290" i="1"/>
  <c r="D10291" i="1"/>
  <c r="D10292" i="1"/>
  <c r="D10293" i="1"/>
  <c r="D10294" i="1"/>
  <c r="D10295" i="1"/>
  <c r="D10296" i="1"/>
  <c r="D10297" i="1"/>
  <c r="D10606" i="1"/>
  <c r="D10607" i="1"/>
  <c r="D10608" i="1"/>
  <c r="D10609" i="1"/>
  <c r="D10610" i="1"/>
  <c r="D10611" i="1"/>
  <c r="D10612" i="1"/>
  <c r="D10613" i="1"/>
  <c r="D10614" i="1"/>
  <c r="D10615" i="1"/>
  <c r="D10616" i="1"/>
  <c r="D10617" i="1"/>
  <c r="D10618" i="1"/>
  <c r="D10619" i="1"/>
  <c r="D10597" i="1"/>
  <c r="D10598" i="1"/>
  <c r="D10599" i="1"/>
  <c r="D10600" i="1"/>
  <c r="D10601" i="1"/>
  <c r="D10602" i="1"/>
  <c r="D10603" i="1"/>
  <c r="D10604" i="1"/>
  <c r="D10605" i="1"/>
  <c r="D10298" i="1"/>
  <c r="D10299" i="1"/>
  <c r="D10300" i="1"/>
  <c r="D10301" i="1"/>
  <c r="D10302" i="1"/>
  <c r="D10303" i="1"/>
  <c r="D10304" i="1"/>
  <c r="D10305" i="1"/>
  <c r="D10306" i="1"/>
  <c r="D10623" i="1"/>
  <c r="D10624" i="1"/>
  <c r="D10625" i="1"/>
  <c r="D10620" i="1"/>
  <c r="D10621" i="1"/>
  <c r="D10622" i="1"/>
  <c r="D10307" i="1"/>
  <c r="D10308" i="1"/>
  <c r="D10309" i="1"/>
  <c r="D10310" i="1"/>
  <c r="D10311" i="1"/>
  <c r="D10312" i="1"/>
  <c r="D10313" i="1"/>
  <c r="D10314" i="1"/>
  <c r="D10315" i="1"/>
  <c r="D10316" i="1"/>
  <c r="D10317" i="1"/>
  <c r="D10634" i="1"/>
  <c r="D10635" i="1"/>
  <c r="D10636" i="1"/>
  <c r="D10637" i="1"/>
  <c r="D10638" i="1"/>
  <c r="D10626" i="1"/>
  <c r="D10627" i="1"/>
  <c r="D10628" i="1"/>
  <c r="D10629" i="1"/>
  <c r="D10630" i="1"/>
  <c r="D10631" i="1"/>
  <c r="D10632" i="1"/>
  <c r="D10633" i="1"/>
  <c r="D10318" i="1"/>
  <c r="D10319" i="1"/>
  <c r="D10320" i="1"/>
  <c r="D10321" i="1"/>
  <c r="D10322" i="1"/>
  <c r="D10323" i="1"/>
  <c r="D10324" i="1"/>
  <c r="D10325" i="1"/>
  <c r="D10326" i="1"/>
  <c r="D10327" i="1"/>
  <c r="D10328" i="1"/>
  <c r="D10329" i="1"/>
  <c r="D10330" i="1"/>
  <c r="D10331" i="1"/>
  <c r="D10332" i="1"/>
  <c r="D10333" i="1"/>
  <c r="D10334" i="1"/>
  <c r="D10335" i="1"/>
  <c r="D10336" i="1"/>
  <c r="D10337" i="1"/>
  <c r="D10338" i="1"/>
  <c r="D10663" i="1"/>
  <c r="D10664" i="1"/>
  <c r="D10665" i="1"/>
  <c r="D10666" i="1"/>
  <c r="D10667" i="1"/>
  <c r="D10668" i="1"/>
  <c r="D10669" i="1"/>
  <c r="D10670" i="1"/>
  <c r="D10671" i="1"/>
  <c r="D10672" i="1"/>
  <c r="D10673" i="1"/>
  <c r="D10674" i="1"/>
  <c r="D10675" i="1"/>
  <c r="D10676" i="1"/>
  <c r="D10677" i="1"/>
  <c r="D10678" i="1"/>
  <c r="D10679" i="1"/>
  <c r="D10680" i="1"/>
  <c r="D10681" i="1"/>
  <c r="D10682" i="1"/>
  <c r="D10683" i="1"/>
  <c r="D10639" i="1"/>
  <c r="D10640" i="1"/>
  <c r="D10641" i="1"/>
  <c r="D10642" i="1"/>
  <c r="D10643" i="1"/>
  <c r="D10644" i="1"/>
  <c r="D10645" i="1"/>
  <c r="D10646" i="1"/>
  <c r="D10647" i="1"/>
  <c r="D10648" i="1"/>
  <c r="D10649" i="1"/>
  <c r="D10650" i="1"/>
  <c r="D10651" i="1"/>
  <c r="D10652" i="1"/>
  <c r="D10653" i="1"/>
  <c r="D10654" i="1"/>
  <c r="D10655" i="1"/>
  <c r="D10656" i="1"/>
  <c r="D10657" i="1"/>
  <c r="D10658" i="1"/>
  <c r="D10659" i="1"/>
  <c r="D10660" i="1"/>
  <c r="D10661" i="1"/>
  <c r="D10662" i="1"/>
  <c r="D10415" i="1"/>
  <c r="D10416" i="1"/>
  <c r="D10417" i="1"/>
  <c r="D10418" i="1"/>
  <c r="D10419" i="1"/>
  <c r="D10420" i="1"/>
  <c r="D10421" i="1"/>
  <c r="D10422" i="1"/>
  <c r="D10423" i="1"/>
  <c r="D10424" i="1"/>
  <c r="D10425" i="1"/>
  <c r="D10426" i="1"/>
  <c r="D10427" i="1"/>
  <c r="D10428" i="1"/>
  <c r="D10429" i="1"/>
  <c r="D10430" i="1"/>
  <c r="D10431" i="1"/>
  <c r="D10432" i="1"/>
  <c r="D10433" i="1"/>
  <c r="D10434" i="1"/>
  <c r="D10435" i="1"/>
  <c r="D10436" i="1"/>
  <c r="D10437" i="1"/>
  <c r="D10438" i="1"/>
  <c r="D10439" i="1"/>
  <c r="D10440" i="1"/>
  <c r="D10441" i="1"/>
  <c r="D10442" i="1"/>
  <c r="D10443" i="1"/>
  <c r="D10444" i="1"/>
  <c r="D10445" i="1"/>
  <c r="D10446" i="1"/>
  <c r="D10447" i="1"/>
  <c r="D10448" i="1"/>
  <c r="D10449" i="1"/>
  <c r="D10450" i="1"/>
  <c r="D10451" i="1"/>
  <c r="D10452" i="1"/>
  <c r="D10453" i="1"/>
  <c r="D10454" i="1"/>
  <c r="D10455" i="1"/>
  <c r="D10456" i="1"/>
  <c r="D10457" i="1"/>
  <c r="D10458" i="1"/>
  <c r="D10459" i="1"/>
  <c r="D10460" i="1"/>
  <c r="D10461" i="1"/>
  <c r="D10462" i="1"/>
  <c r="D10463" i="1"/>
  <c r="D10464" i="1"/>
  <c r="D10465" i="1"/>
  <c r="D10466" i="1"/>
  <c r="D10467" i="1"/>
  <c r="D10468" i="1"/>
  <c r="D10469" i="1"/>
  <c r="D10470" i="1"/>
  <c r="D10471" i="1"/>
  <c r="D10472" i="1"/>
  <c r="D10473" i="1"/>
  <c r="D10474" i="1"/>
  <c r="D10475" i="1"/>
  <c r="D10476" i="1"/>
  <c r="D10477" i="1"/>
  <c r="D10478" i="1"/>
  <c r="D10479" i="1"/>
  <c r="D10686" i="1"/>
  <c r="D10687" i="1"/>
  <c r="D10688" i="1"/>
  <c r="D10753" i="1"/>
  <c r="D10754" i="1"/>
  <c r="D10755" i="1"/>
  <c r="D10751" i="1"/>
  <c r="D10752" i="1"/>
  <c r="D10758" i="1"/>
  <c r="D10759" i="1"/>
  <c r="D10760" i="1"/>
  <c r="D10761" i="1"/>
  <c r="D10762" i="1"/>
  <c r="D10763" i="1"/>
  <c r="D10764" i="1"/>
  <c r="D10756" i="1"/>
  <c r="D10757" i="1"/>
  <c r="D10766" i="1"/>
  <c r="D10767" i="1"/>
  <c r="D10768" i="1"/>
  <c r="D10769" i="1"/>
  <c r="D10770" i="1"/>
  <c r="D10771" i="1"/>
  <c r="D10772" i="1"/>
  <c r="D10773" i="1"/>
  <c r="D10774" i="1"/>
  <c r="D10765" i="1"/>
  <c r="D10775" i="1"/>
  <c r="D10776" i="1"/>
  <c r="D10777" i="1"/>
  <c r="D10778" i="1"/>
  <c r="D10779" i="1"/>
  <c r="D10780" i="1"/>
  <c r="D10781" i="1"/>
  <c r="D10782" i="1"/>
  <c r="D10783" i="1"/>
  <c r="D10784" i="1"/>
  <c r="D10802" i="1"/>
  <c r="D10803" i="1"/>
  <c r="D10804" i="1"/>
  <c r="D10805" i="1"/>
  <c r="D10806" i="1"/>
  <c r="D10807" i="1"/>
  <c r="D10808" i="1"/>
  <c r="D10809" i="1"/>
  <c r="D10810" i="1"/>
  <c r="D10811" i="1"/>
  <c r="D10812" i="1"/>
  <c r="D10813" i="1"/>
  <c r="D10814" i="1"/>
  <c r="D10785" i="1"/>
  <c r="D10786" i="1"/>
  <c r="D10787" i="1"/>
  <c r="D10788" i="1"/>
  <c r="D10789" i="1"/>
  <c r="D10790" i="1"/>
  <c r="D10791" i="1"/>
  <c r="D10792" i="1"/>
  <c r="D10793" i="1"/>
  <c r="D10794" i="1"/>
  <c r="D10795" i="1"/>
  <c r="D10796" i="1"/>
  <c r="D10797" i="1"/>
  <c r="D10798" i="1"/>
  <c r="D10799" i="1"/>
  <c r="D10800" i="1"/>
  <c r="D10801" i="1"/>
  <c r="D10684" i="1"/>
  <c r="D10818" i="1"/>
  <c r="D10819" i="1"/>
  <c r="D10820" i="1"/>
  <c r="D10821" i="1"/>
  <c r="D10822" i="1"/>
  <c r="D10823" i="1"/>
  <c r="D10824" i="1"/>
  <c r="D10825" i="1"/>
  <c r="D10826" i="1"/>
  <c r="D10827" i="1"/>
  <c r="D10828" i="1"/>
  <c r="D10829" i="1"/>
  <c r="D10830" i="1"/>
  <c r="D10831" i="1"/>
  <c r="D10832" i="1"/>
  <c r="D10815" i="1"/>
  <c r="D10816" i="1"/>
  <c r="D10817" i="1"/>
  <c r="D10685" i="1"/>
  <c r="D10834" i="1"/>
  <c r="D10835" i="1"/>
  <c r="D10836" i="1"/>
  <c r="D10837" i="1"/>
  <c r="D10838" i="1"/>
  <c r="D10833" i="1"/>
  <c r="D10850" i="1"/>
  <c r="D10851" i="1"/>
  <c r="D10852" i="1"/>
  <c r="D10853" i="1"/>
  <c r="D10854" i="1"/>
  <c r="D10855" i="1"/>
  <c r="D10856" i="1"/>
  <c r="D10857" i="1"/>
  <c r="D10858" i="1"/>
  <c r="D10859" i="1"/>
  <c r="D10860" i="1"/>
  <c r="D10861" i="1"/>
  <c r="D10862" i="1"/>
  <c r="D10863" i="1"/>
  <c r="D10864" i="1"/>
  <c r="D10865" i="1"/>
  <c r="D10866" i="1"/>
  <c r="D10867" i="1"/>
  <c r="D10868" i="1"/>
  <c r="D10869" i="1"/>
  <c r="D10870" i="1"/>
  <c r="D10871" i="1"/>
  <c r="D10872" i="1"/>
  <c r="D10873" i="1"/>
  <c r="D10874" i="1"/>
  <c r="D10875" i="1"/>
  <c r="D10876" i="1"/>
  <c r="D10877" i="1"/>
  <c r="D10839" i="1"/>
  <c r="D10840" i="1"/>
  <c r="D10841" i="1"/>
  <c r="D10842" i="1"/>
  <c r="D10843" i="1"/>
  <c r="D10844" i="1"/>
  <c r="D10845" i="1"/>
  <c r="D10846" i="1"/>
  <c r="D10847" i="1"/>
  <c r="D10848" i="1"/>
  <c r="D10849" i="1"/>
  <c r="D10689" i="1"/>
  <c r="D10690" i="1"/>
  <c r="D10691" i="1"/>
  <c r="D10692" i="1"/>
  <c r="D10693" i="1"/>
  <c r="D10694" i="1"/>
  <c r="D10695" i="1"/>
  <c r="D10696" i="1"/>
  <c r="D10697" i="1"/>
  <c r="D10698" i="1"/>
  <c r="D10700" i="1"/>
  <c r="D10701" i="1"/>
  <c r="D10702" i="1"/>
  <c r="D10703" i="1"/>
  <c r="D10704" i="1"/>
  <c r="D10705" i="1"/>
  <c r="D10706" i="1"/>
  <c r="D10707" i="1"/>
  <c r="D10708" i="1"/>
  <c r="D10709" i="1"/>
  <c r="D10710" i="1"/>
  <c r="D10711" i="1"/>
  <c r="D10712" i="1"/>
  <c r="D10713" i="1"/>
  <c r="D10714" i="1"/>
  <c r="D10715" i="1"/>
  <c r="D10716" i="1"/>
  <c r="D10717" i="1"/>
  <c r="D10718" i="1"/>
  <c r="D10719" i="1"/>
  <c r="D10720" i="1"/>
  <c r="D10721" i="1"/>
  <c r="D10722" i="1"/>
  <c r="D10723" i="1"/>
  <c r="D10724" i="1"/>
  <c r="D10725" i="1"/>
  <c r="D10726" i="1"/>
  <c r="D10727" i="1"/>
  <c r="D10728" i="1"/>
  <c r="D10729" i="1"/>
  <c r="D10730" i="1"/>
  <c r="D10731" i="1"/>
  <c r="D10732" i="1"/>
  <c r="D10733" i="1"/>
  <c r="D10734" i="1"/>
  <c r="D10735" i="1"/>
  <c r="D10736" i="1"/>
  <c r="D10737" i="1"/>
  <c r="D10738" i="1"/>
  <c r="D10739" i="1"/>
  <c r="D10740" i="1"/>
  <c r="D10741" i="1"/>
  <c r="D10742" i="1"/>
  <c r="D10743" i="1"/>
  <c r="D10744" i="1"/>
  <c r="D10745" i="1"/>
  <c r="D10746" i="1"/>
  <c r="D10747" i="1"/>
  <c r="D10748" i="1"/>
  <c r="D10749" i="1"/>
  <c r="D10750" i="1"/>
  <c r="D10878" i="1"/>
  <c r="D10879" i="1"/>
  <c r="D10880" i="1"/>
  <c r="D10881" i="1"/>
  <c r="D10882" i="1"/>
  <c r="D10883" i="1"/>
  <c r="D10884" i="1"/>
  <c r="D10885" i="1"/>
  <c r="D10886" i="1"/>
  <c r="D10887" i="1"/>
  <c r="D10888" i="1"/>
  <c r="D10889" i="1"/>
  <c r="D10890" i="1"/>
  <c r="D10891" i="1"/>
  <c r="D10892" i="1"/>
  <c r="D10893" i="1"/>
  <c r="D10894" i="1"/>
  <c r="D10895" i="1"/>
  <c r="D10896" i="1"/>
  <c r="D10897" i="1"/>
  <c r="D10898" i="1"/>
  <c r="D10899" i="1"/>
  <c r="D10900" i="1"/>
  <c r="D10901" i="1"/>
  <c r="D10902" i="1"/>
  <c r="D10903" i="1"/>
  <c r="D10904" i="1"/>
  <c r="D10905" i="1"/>
  <c r="D10906" i="1"/>
  <c r="D10907" i="1"/>
  <c r="D10908" i="1"/>
  <c r="D10909" i="1"/>
  <c r="D10910" i="1"/>
  <c r="D10911" i="1"/>
  <c r="D10971" i="1"/>
  <c r="D10972" i="1"/>
  <c r="D10973" i="1"/>
  <c r="D10974" i="1"/>
  <c r="D10975" i="1"/>
  <c r="D10976" i="1"/>
  <c r="D10977" i="1"/>
  <c r="D10978" i="1"/>
  <c r="D10979" i="1"/>
  <c r="D10980" i="1"/>
  <c r="D10981" i="1"/>
  <c r="D10982" i="1"/>
  <c r="D10983" i="1"/>
  <c r="D10984" i="1"/>
  <c r="D10985" i="1"/>
  <c r="D10959" i="1"/>
  <c r="D10960" i="1"/>
  <c r="D10961" i="1"/>
  <c r="D10962" i="1"/>
  <c r="D10963" i="1"/>
  <c r="D10964" i="1"/>
  <c r="D10965" i="1"/>
  <c r="D10966" i="1"/>
  <c r="D10967" i="1"/>
  <c r="D10968" i="1"/>
  <c r="D10969" i="1"/>
  <c r="D10970" i="1"/>
  <c r="D11071" i="1"/>
  <c r="D10912" i="1"/>
  <c r="D10913" i="1"/>
  <c r="D10914" i="1"/>
  <c r="D10915" i="1"/>
  <c r="D10916" i="1"/>
  <c r="D11072" i="1"/>
  <c r="D11073" i="1"/>
  <c r="D11074" i="1"/>
  <c r="D11075" i="1"/>
  <c r="D11076" i="1"/>
  <c r="D11077" i="1"/>
  <c r="D11078" i="1"/>
  <c r="D11079" i="1"/>
  <c r="D11080" i="1"/>
  <c r="D11088" i="1"/>
  <c r="D11089" i="1"/>
  <c r="D11090" i="1"/>
  <c r="D11091" i="1"/>
  <c r="D11092" i="1"/>
  <c r="D11093" i="1"/>
  <c r="D11094" i="1"/>
  <c r="D11095" i="1"/>
  <c r="D11096" i="1"/>
  <c r="D11097" i="1"/>
  <c r="D11098" i="1"/>
  <c r="D11099" i="1"/>
  <c r="D11100" i="1"/>
  <c r="D11101" i="1"/>
  <c r="D11102" i="1"/>
  <c r="D11103" i="1"/>
  <c r="D11104" i="1"/>
  <c r="D11105" i="1"/>
  <c r="D11106" i="1"/>
  <c r="D11107" i="1"/>
  <c r="D11108" i="1"/>
  <c r="D11081" i="1"/>
  <c r="D11082" i="1"/>
  <c r="D11083" i="1"/>
  <c r="D11084" i="1"/>
  <c r="D11085" i="1"/>
  <c r="D11086" i="1"/>
  <c r="D11087" i="1"/>
  <c r="D10917" i="1"/>
  <c r="D10918" i="1"/>
  <c r="D10919" i="1"/>
  <c r="D10920" i="1"/>
  <c r="D10921" i="1"/>
  <c r="D11113" i="1"/>
  <c r="D11114" i="1"/>
  <c r="D11115" i="1"/>
  <c r="D11116" i="1"/>
  <c r="D11109" i="1"/>
  <c r="D11110" i="1"/>
  <c r="D11111" i="1"/>
  <c r="D11112" i="1"/>
  <c r="D11117" i="1"/>
  <c r="D10922" i="1"/>
  <c r="D10923" i="1"/>
  <c r="D10924" i="1"/>
  <c r="D11132" i="1"/>
  <c r="D11133" i="1"/>
  <c r="D11134" i="1"/>
  <c r="D11135" i="1"/>
  <c r="D11136" i="1"/>
  <c r="D11137" i="1"/>
  <c r="D11138" i="1"/>
  <c r="D11139" i="1"/>
  <c r="D11118" i="1"/>
  <c r="D11119" i="1"/>
  <c r="D11120" i="1"/>
  <c r="D11121" i="1"/>
  <c r="D11122" i="1"/>
  <c r="D11123" i="1"/>
  <c r="D11124" i="1"/>
  <c r="D11125" i="1"/>
  <c r="D11126" i="1"/>
  <c r="D11127" i="1"/>
  <c r="D11128" i="1"/>
  <c r="D11129" i="1"/>
  <c r="D11130" i="1"/>
  <c r="D11131" i="1"/>
  <c r="D10925" i="1"/>
  <c r="D10926" i="1"/>
  <c r="D10927" i="1"/>
  <c r="D10928" i="1"/>
  <c r="D10929" i="1"/>
  <c r="D10930" i="1"/>
  <c r="D10931" i="1"/>
  <c r="D10932" i="1"/>
  <c r="D10933" i="1"/>
  <c r="D10934" i="1"/>
  <c r="D10935" i="1"/>
  <c r="D10936" i="1"/>
  <c r="D10937" i="1"/>
  <c r="D10938" i="1"/>
  <c r="D10939" i="1"/>
  <c r="D11143" i="1"/>
  <c r="D11140" i="1"/>
  <c r="D11141" i="1"/>
  <c r="D11142" i="1"/>
  <c r="D10940" i="1"/>
  <c r="D10941" i="1"/>
  <c r="D10942" i="1"/>
  <c r="D10943" i="1"/>
  <c r="D11153" i="1"/>
  <c r="D11154" i="1"/>
  <c r="D11155" i="1"/>
  <c r="D11156" i="1"/>
  <c r="D11157" i="1"/>
  <c r="D11158" i="1"/>
  <c r="D11159" i="1"/>
  <c r="D11160" i="1"/>
  <c r="D11161" i="1"/>
  <c r="D11162" i="1"/>
  <c r="D11163" i="1"/>
  <c r="D11164" i="1"/>
  <c r="D11144" i="1"/>
  <c r="D11145" i="1"/>
  <c r="D11146" i="1"/>
  <c r="D11147" i="1"/>
  <c r="D11148" i="1"/>
  <c r="D11149" i="1"/>
  <c r="D11150" i="1"/>
  <c r="D11151" i="1"/>
  <c r="D11152" i="1"/>
  <c r="D10944" i="1"/>
  <c r="D11166" i="1"/>
  <c r="D11165" i="1"/>
  <c r="D10945" i="1"/>
  <c r="D10946" i="1"/>
  <c r="D10947" i="1"/>
  <c r="D10948" i="1"/>
  <c r="D10949" i="1"/>
  <c r="D11172" i="1"/>
  <c r="D11173" i="1"/>
  <c r="D11167" i="1"/>
  <c r="D11168" i="1"/>
  <c r="D11169" i="1"/>
  <c r="D11170" i="1"/>
  <c r="D11171" i="1"/>
  <c r="D10950" i="1"/>
  <c r="D10951" i="1"/>
  <c r="D10952" i="1"/>
  <c r="D10953" i="1"/>
  <c r="D10954" i="1"/>
  <c r="D10955" i="1"/>
  <c r="D10956" i="1"/>
  <c r="D11174" i="1"/>
  <c r="D11175" i="1"/>
  <c r="D11176" i="1"/>
  <c r="D11177" i="1"/>
  <c r="D10957" i="1"/>
  <c r="D10958" i="1"/>
  <c r="D11179" i="1"/>
  <c r="D11180" i="1"/>
  <c r="D11181" i="1"/>
  <c r="D11182" i="1"/>
  <c r="D11183" i="1"/>
  <c r="D11184" i="1"/>
  <c r="D11185" i="1"/>
  <c r="D11186" i="1"/>
  <c r="D11187" i="1"/>
  <c r="D11188" i="1"/>
  <c r="D11189" i="1"/>
  <c r="D11190" i="1"/>
  <c r="D11191" i="1"/>
  <c r="D11192" i="1"/>
  <c r="D11178" i="1"/>
  <c r="D10986" i="1"/>
  <c r="D10987" i="1"/>
  <c r="D10988" i="1"/>
  <c r="D10989" i="1"/>
  <c r="D10990" i="1"/>
  <c r="D10991" i="1"/>
  <c r="D10992" i="1"/>
  <c r="D10993" i="1"/>
  <c r="D10994" i="1"/>
  <c r="D10995" i="1"/>
  <c r="D10996" i="1"/>
  <c r="D10997" i="1"/>
  <c r="D10998" i="1"/>
  <c r="D10999" i="1"/>
  <c r="D11000" i="1"/>
  <c r="D11001" i="1"/>
  <c r="D11002" i="1"/>
  <c r="D11003" i="1"/>
  <c r="D11004" i="1"/>
  <c r="D11005" i="1"/>
  <c r="D11006" i="1"/>
  <c r="D11007" i="1"/>
  <c r="D11008" i="1"/>
  <c r="D11009" i="1"/>
  <c r="D11010" i="1"/>
  <c r="D11011" i="1"/>
  <c r="D11012" i="1"/>
  <c r="D11013" i="1"/>
  <c r="D11014" i="1"/>
  <c r="D11015" i="1"/>
  <c r="D11016" i="1"/>
  <c r="D11017" i="1"/>
  <c r="D11018" i="1"/>
  <c r="D11019" i="1"/>
  <c r="D11020" i="1"/>
  <c r="D11021" i="1"/>
  <c r="D11022" i="1"/>
  <c r="D11023" i="1"/>
  <c r="D11024" i="1"/>
  <c r="D11025" i="1"/>
  <c r="D11026" i="1"/>
  <c r="D11027" i="1"/>
  <c r="D11028" i="1"/>
  <c r="D11029" i="1"/>
  <c r="D11030" i="1"/>
  <c r="D11031" i="1"/>
  <c r="D11032" i="1"/>
  <c r="D11033" i="1"/>
  <c r="D11034" i="1"/>
  <c r="D11035" i="1"/>
  <c r="D11036" i="1"/>
  <c r="D11037" i="1"/>
  <c r="D11038" i="1"/>
  <c r="D11039" i="1"/>
  <c r="D11040" i="1"/>
  <c r="D11041" i="1"/>
  <c r="D11042" i="1"/>
  <c r="D11043" i="1"/>
  <c r="D11044" i="1"/>
  <c r="D11045" i="1"/>
  <c r="D11046" i="1"/>
  <c r="D11047" i="1"/>
  <c r="D11048" i="1"/>
  <c r="D11049" i="1"/>
  <c r="D11050" i="1"/>
  <c r="D11051" i="1"/>
  <c r="D11052" i="1"/>
  <c r="D11053" i="1"/>
  <c r="D11054" i="1"/>
  <c r="D11055" i="1"/>
  <c r="D11056" i="1"/>
  <c r="D11057" i="1"/>
  <c r="D11058" i="1"/>
  <c r="D11059" i="1"/>
  <c r="D11060" i="1"/>
  <c r="D11061" i="1"/>
  <c r="D11062" i="1"/>
  <c r="D11063" i="1"/>
  <c r="D11064" i="1"/>
  <c r="D11065" i="1"/>
  <c r="D11066" i="1"/>
  <c r="D11067" i="1"/>
  <c r="D11068" i="1"/>
  <c r="D11069" i="1"/>
  <c r="D11070" i="1"/>
  <c r="D11193" i="1"/>
  <c r="D11194" i="1"/>
  <c r="D11195" i="1"/>
  <c r="D11196" i="1"/>
  <c r="D11197" i="1"/>
  <c r="D11198" i="1"/>
  <c r="D11199" i="1"/>
  <c r="D11200" i="1"/>
  <c r="D11231" i="1"/>
  <c r="D11232" i="1"/>
  <c r="D11233" i="1"/>
  <c r="D11234" i="1"/>
  <c r="D11235" i="1"/>
  <c r="D11236" i="1"/>
  <c r="D11237" i="1"/>
  <c r="D11238" i="1"/>
  <c r="D11239" i="1"/>
  <c r="D11240" i="1"/>
  <c r="D11241" i="1"/>
  <c r="D11242" i="1"/>
  <c r="D11243" i="1"/>
  <c r="D11244" i="1"/>
  <c r="D11245" i="1"/>
  <c r="D11246" i="1"/>
  <c r="D11247" i="1"/>
  <c r="D11248" i="1"/>
  <c r="D11222" i="1"/>
  <c r="D11223" i="1"/>
  <c r="D11224" i="1"/>
  <c r="D11225" i="1"/>
  <c r="D11226" i="1"/>
  <c r="D11227" i="1"/>
  <c r="D11228" i="1"/>
  <c r="D11229" i="1"/>
  <c r="D11230" i="1"/>
  <c r="D11201" i="1"/>
  <c r="D11202" i="1"/>
  <c r="D11349" i="1"/>
  <c r="D11348" i="1"/>
  <c r="D11350" i="1"/>
  <c r="D11351" i="1"/>
  <c r="D11352" i="1"/>
  <c r="D11353" i="1"/>
  <c r="D11354" i="1"/>
  <c r="D11355" i="1"/>
  <c r="D11356" i="1"/>
  <c r="D11357" i="1"/>
  <c r="D11358" i="1"/>
  <c r="D11203" i="1"/>
  <c r="D11363" i="1"/>
  <c r="D11364" i="1"/>
  <c r="D11365" i="1"/>
  <c r="D11366" i="1"/>
  <c r="D11367" i="1"/>
  <c r="D11368" i="1"/>
  <c r="D11369" i="1"/>
  <c r="D11370" i="1"/>
  <c r="D11371" i="1"/>
  <c r="D11372" i="1"/>
  <c r="D11373" i="1"/>
  <c r="D11374" i="1"/>
  <c r="D11375" i="1"/>
  <c r="D11376" i="1"/>
  <c r="D11359" i="1"/>
  <c r="D11360" i="1"/>
  <c r="D11361" i="1"/>
  <c r="D11362" i="1"/>
  <c r="D11204" i="1"/>
  <c r="D11205" i="1"/>
  <c r="D11382" i="1"/>
  <c r="D11383" i="1"/>
  <c r="D11384" i="1"/>
  <c r="D11385" i="1"/>
  <c r="D11386" i="1"/>
  <c r="D11387" i="1"/>
  <c r="D11388" i="1"/>
  <c r="D11389" i="1"/>
  <c r="D11390" i="1"/>
  <c r="D11391" i="1"/>
  <c r="D11377" i="1"/>
  <c r="D11378" i="1"/>
  <c r="D11379" i="1"/>
  <c r="D11380" i="1"/>
  <c r="D11381" i="1"/>
  <c r="D11392" i="1"/>
  <c r="D11393" i="1"/>
  <c r="D11394" i="1"/>
  <c r="D11395" i="1"/>
  <c r="D11206" i="1"/>
  <c r="D11207" i="1"/>
  <c r="D11208" i="1"/>
  <c r="D11401" i="1"/>
  <c r="D11402" i="1"/>
  <c r="D11403" i="1"/>
  <c r="D11404" i="1"/>
  <c r="D11405" i="1"/>
  <c r="D11406" i="1"/>
  <c r="D11407" i="1"/>
  <c r="D11396" i="1"/>
  <c r="D11397" i="1"/>
  <c r="D11398" i="1"/>
  <c r="D11399" i="1"/>
  <c r="D11400" i="1"/>
  <c r="D11209" i="1"/>
  <c r="D11210" i="1"/>
  <c r="D11211" i="1"/>
  <c r="D11408" i="1"/>
  <c r="D11409" i="1"/>
  <c r="D11212" i="1"/>
  <c r="D11213" i="1"/>
  <c r="D11214" i="1"/>
  <c r="D11215" i="1"/>
  <c r="D11216" i="1"/>
  <c r="D11217" i="1"/>
  <c r="D11410" i="1"/>
  <c r="D11411" i="1"/>
  <c r="D11218" i="1"/>
  <c r="D11413" i="1"/>
  <c r="D11414" i="1"/>
  <c r="D11415" i="1"/>
  <c r="D11416" i="1"/>
  <c r="D11417" i="1"/>
  <c r="D11412" i="1"/>
  <c r="D11219" i="1"/>
  <c r="D11220" i="1"/>
  <c r="D11221" i="1"/>
  <c r="D11438" i="1"/>
  <c r="D11439" i="1"/>
  <c r="D11418" i="1"/>
  <c r="D11419" i="1"/>
  <c r="D11420" i="1"/>
  <c r="D11421" i="1"/>
  <c r="D11422" i="1"/>
  <c r="D11423" i="1"/>
  <c r="D11424" i="1"/>
  <c r="D11425" i="1"/>
  <c r="D11426" i="1"/>
  <c r="D11427" i="1"/>
  <c r="D11428" i="1"/>
  <c r="D11429" i="1"/>
  <c r="D11430" i="1"/>
  <c r="D11431" i="1"/>
  <c r="D11432" i="1"/>
  <c r="D11433" i="1"/>
  <c r="D11434" i="1"/>
  <c r="D11435" i="1"/>
  <c r="D11436" i="1"/>
  <c r="D11437" i="1"/>
  <c r="D11249" i="1"/>
  <c r="D11250" i="1"/>
  <c r="D11251" i="1"/>
  <c r="D11252" i="1"/>
  <c r="D11253" i="1"/>
  <c r="D11254" i="1"/>
  <c r="D11255" i="1"/>
  <c r="D11256" i="1"/>
  <c r="D11257" i="1"/>
  <c r="D11258" i="1"/>
  <c r="D11259" i="1"/>
  <c r="D11260" i="1"/>
  <c r="D11261" i="1"/>
  <c r="D11262" i="1"/>
  <c r="D11263" i="1"/>
  <c r="D11264" i="1"/>
  <c r="D11265" i="1"/>
  <c r="D11266" i="1"/>
  <c r="D11267" i="1"/>
  <c r="D11268" i="1"/>
  <c r="D11269" i="1"/>
  <c r="D11270" i="1"/>
  <c r="D11271" i="1"/>
  <c r="D11272" i="1"/>
  <c r="D11273" i="1"/>
  <c r="D11274" i="1"/>
  <c r="D11275" i="1"/>
  <c r="D11276" i="1"/>
  <c r="D11277" i="1"/>
  <c r="D11278" i="1"/>
  <c r="D11279" i="1"/>
  <c r="D11280" i="1"/>
  <c r="D11281" i="1"/>
  <c r="D11282" i="1"/>
  <c r="D11283" i="1"/>
  <c r="D11284" i="1"/>
  <c r="D11285" i="1"/>
  <c r="D11286" i="1"/>
  <c r="D11287" i="1"/>
  <c r="D11288" i="1"/>
  <c r="D11289" i="1"/>
  <c r="D11290" i="1"/>
  <c r="D11291" i="1"/>
  <c r="D11292" i="1"/>
  <c r="D11293" i="1"/>
  <c r="D11294" i="1"/>
  <c r="D11295" i="1"/>
  <c r="D11296" i="1"/>
  <c r="D11297" i="1"/>
  <c r="D11298" i="1"/>
  <c r="D11299" i="1"/>
  <c r="D11300" i="1"/>
  <c r="D11301" i="1"/>
  <c r="D11302" i="1"/>
  <c r="D11303" i="1"/>
  <c r="D11304" i="1"/>
  <c r="D11305" i="1"/>
  <c r="D11306" i="1"/>
  <c r="D11307" i="1"/>
  <c r="D11308" i="1"/>
  <c r="D11309" i="1"/>
  <c r="D11310" i="1"/>
  <c r="D11311" i="1"/>
  <c r="D11312" i="1"/>
  <c r="D11313" i="1"/>
  <c r="D11314" i="1"/>
  <c r="D11315" i="1"/>
  <c r="D11316" i="1"/>
  <c r="D11317" i="1"/>
  <c r="D11318" i="1"/>
  <c r="D11319" i="1"/>
  <c r="D11320" i="1"/>
  <c r="D11321" i="1"/>
  <c r="D11322" i="1"/>
  <c r="D11323" i="1"/>
  <c r="D11324" i="1"/>
  <c r="D11325" i="1"/>
  <c r="D11326" i="1"/>
  <c r="D11327" i="1"/>
  <c r="D11328" i="1"/>
  <c r="D11329" i="1"/>
  <c r="D11330" i="1"/>
  <c r="D11331" i="1"/>
  <c r="D11332" i="1"/>
  <c r="D11333" i="1"/>
  <c r="D11334" i="1"/>
  <c r="D11335" i="1"/>
  <c r="D11336" i="1"/>
  <c r="D11337" i="1"/>
  <c r="D11338" i="1"/>
  <c r="D11339" i="1"/>
  <c r="D11340" i="1"/>
  <c r="D11341" i="1"/>
  <c r="D11342" i="1"/>
  <c r="D11343" i="1"/>
  <c r="D11344" i="1"/>
  <c r="D11345" i="1"/>
  <c r="D11346" i="1"/>
  <c r="D11347" i="1"/>
  <c r="D11441" i="1"/>
  <c r="D11442" i="1"/>
  <c r="D11443" i="1"/>
  <c r="D11444" i="1"/>
  <c r="D11445" i="1"/>
  <c r="D11446" i="1"/>
  <c r="D11447" i="1"/>
  <c r="D11448" i="1"/>
  <c r="D11449" i="1"/>
  <c r="D11450" i="1"/>
  <c r="D11451" i="1"/>
  <c r="D11452" i="1"/>
  <c r="D11453" i="1"/>
  <c r="D11454" i="1"/>
  <c r="D11455" i="1"/>
  <c r="D11456" i="1"/>
  <c r="D11457" i="1"/>
  <c r="D11458" i="1"/>
  <c r="D11459" i="1"/>
  <c r="D11460" i="1"/>
  <c r="D11536" i="1"/>
  <c r="D11511" i="1"/>
  <c r="D11512" i="1"/>
  <c r="D11513" i="1"/>
  <c r="D11514" i="1"/>
  <c r="D11515" i="1"/>
  <c r="D11516" i="1"/>
  <c r="D11517" i="1"/>
  <c r="D11518" i="1"/>
  <c r="D11519" i="1"/>
  <c r="D11520" i="1"/>
  <c r="D11521" i="1"/>
  <c r="D11522" i="1"/>
  <c r="D11523" i="1"/>
  <c r="D11524" i="1"/>
  <c r="D11525" i="1"/>
  <c r="D11526" i="1"/>
  <c r="D11527" i="1"/>
  <c r="D11528" i="1"/>
  <c r="D11529" i="1"/>
  <c r="D11530" i="1"/>
  <c r="D11531" i="1"/>
  <c r="D11532" i="1"/>
  <c r="D11533" i="1"/>
  <c r="D11534" i="1"/>
  <c r="D11535" i="1"/>
  <c r="D11461" i="1"/>
  <c r="D11462" i="1"/>
  <c r="D11463" i="1"/>
  <c r="D11648" i="1"/>
  <c r="D11649" i="1"/>
  <c r="D11650" i="1"/>
  <c r="D11651" i="1"/>
  <c r="D11640" i="1"/>
  <c r="D11641" i="1"/>
  <c r="D11642" i="1"/>
  <c r="D11643" i="1"/>
  <c r="D11644" i="1"/>
  <c r="D11645" i="1"/>
  <c r="D11646" i="1"/>
  <c r="D11647" i="1"/>
  <c r="D11652" i="1"/>
  <c r="D11653" i="1"/>
  <c r="D11654" i="1"/>
  <c r="D11655" i="1"/>
  <c r="D11656" i="1"/>
  <c r="D11657" i="1"/>
  <c r="D11658" i="1"/>
  <c r="D11659" i="1"/>
  <c r="D11660" i="1"/>
  <c r="D11661" i="1"/>
  <c r="D11662" i="1"/>
  <c r="D11663" i="1"/>
  <c r="D11664" i="1"/>
  <c r="D11665" i="1"/>
  <c r="D11464" i="1"/>
  <c r="D11465" i="1"/>
  <c r="D11466" i="1"/>
  <c r="D11467" i="1"/>
  <c r="D11468" i="1"/>
  <c r="D11469" i="1"/>
  <c r="D11470" i="1"/>
  <c r="D11669" i="1"/>
  <c r="D11666" i="1"/>
  <c r="D11667" i="1"/>
  <c r="D11668" i="1"/>
  <c r="D11471" i="1"/>
  <c r="D11472" i="1"/>
  <c r="D11473" i="1"/>
  <c r="D11474" i="1"/>
  <c r="D11475" i="1"/>
  <c r="D11476" i="1"/>
  <c r="D11477" i="1"/>
  <c r="D11478" i="1"/>
  <c r="D11479" i="1"/>
  <c r="D11480" i="1"/>
  <c r="D11673" i="1"/>
  <c r="D11674" i="1"/>
  <c r="D11670" i="1"/>
  <c r="D11671" i="1"/>
  <c r="D11672" i="1"/>
  <c r="D11481" i="1"/>
  <c r="D11482" i="1"/>
  <c r="D11483" i="1"/>
  <c r="D11484" i="1"/>
  <c r="D11485" i="1"/>
  <c r="D11486" i="1"/>
  <c r="D11487" i="1"/>
  <c r="D11488" i="1"/>
  <c r="D11489" i="1"/>
  <c r="D11490" i="1"/>
  <c r="D11491" i="1"/>
  <c r="D11679" i="1"/>
  <c r="D11680" i="1"/>
  <c r="D11681" i="1"/>
  <c r="D11682" i="1"/>
  <c r="D11683" i="1"/>
  <c r="D11684" i="1"/>
  <c r="D11675" i="1"/>
  <c r="D11676" i="1"/>
  <c r="D11677" i="1"/>
  <c r="D11678" i="1"/>
  <c r="D11492" i="1"/>
  <c r="D11493" i="1"/>
  <c r="D11494" i="1"/>
  <c r="D11495" i="1"/>
  <c r="D11496" i="1"/>
  <c r="D11497" i="1"/>
  <c r="D11687" i="1"/>
  <c r="D11688" i="1"/>
  <c r="D11689" i="1"/>
  <c r="D11690" i="1"/>
  <c r="D11691" i="1"/>
  <c r="D11692" i="1"/>
  <c r="D11685" i="1"/>
  <c r="D11686" i="1"/>
  <c r="D11498" i="1"/>
  <c r="D11499" i="1"/>
  <c r="D11500" i="1"/>
  <c r="D11501" i="1"/>
  <c r="D11694" i="1"/>
  <c r="D11695" i="1"/>
  <c r="D11696" i="1"/>
  <c r="D11697" i="1"/>
  <c r="D11693" i="1"/>
  <c r="D11502" i="1"/>
  <c r="D11503" i="1"/>
  <c r="D11504" i="1"/>
  <c r="D11505" i="1"/>
  <c r="D11506" i="1"/>
  <c r="D11507" i="1"/>
  <c r="D11508" i="1"/>
  <c r="D11509" i="1"/>
  <c r="D11510" i="1"/>
  <c r="D11731" i="1"/>
  <c r="D11698" i="1"/>
  <c r="D11699" i="1"/>
  <c r="D11700" i="1"/>
  <c r="D11701" i="1"/>
  <c r="D11702" i="1"/>
  <c r="D11703" i="1"/>
  <c r="D11704" i="1"/>
  <c r="D11705" i="1"/>
  <c r="D11706" i="1"/>
  <c r="D11707" i="1"/>
  <c r="D11708" i="1"/>
  <c r="D11709" i="1"/>
  <c r="D11710" i="1"/>
  <c r="D11711" i="1"/>
  <c r="D11712" i="1"/>
  <c r="D11713" i="1"/>
  <c r="D11714" i="1"/>
  <c r="D11715" i="1"/>
  <c r="D11716" i="1"/>
  <c r="D11717" i="1"/>
  <c r="D11718" i="1"/>
  <c r="D11719" i="1"/>
  <c r="D11720" i="1"/>
  <c r="D11721" i="1"/>
  <c r="D11722" i="1"/>
  <c r="D11723" i="1"/>
  <c r="D11724" i="1"/>
  <c r="D11725" i="1"/>
  <c r="D11726" i="1"/>
  <c r="D11727" i="1"/>
  <c r="D11728" i="1"/>
  <c r="D11729" i="1"/>
  <c r="D11730" i="1"/>
  <c r="D11537" i="1"/>
  <c r="D11538" i="1"/>
  <c r="D11539" i="1"/>
  <c r="D11540" i="1"/>
  <c r="D11541" i="1"/>
  <c r="D11542" i="1"/>
  <c r="D11543" i="1"/>
  <c r="D11544" i="1"/>
  <c r="D11545" i="1"/>
  <c r="D11546" i="1"/>
  <c r="D11547" i="1"/>
  <c r="D11548" i="1"/>
  <c r="D11549" i="1"/>
  <c r="D11550" i="1"/>
  <c r="D11551" i="1"/>
  <c r="D11552" i="1"/>
  <c r="D11553" i="1"/>
  <c r="D11554" i="1"/>
  <c r="D11555" i="1"/>
  <c r="D11556" i="1"/>
  <c r="D11557" i="1"/>
  <c r="D11558" i="1"/>
  <c r="D11559" i="1"/>
  <c r="D11562" i="1"/>
  <c r="D11563" i="1"/>
  <c r="D11564" i="1"/>
  <c r="D11565" i="1"/>
  <c r="D11566" i="1"/>
  <c r="D11567" i="1"/>
  <c r="D11568" i="1"/>
  <c r="D11569" i="1"/>
  <c r="D11570" i="1"/>
  <c r="D11571" i="1"/>
  <c r="D11572" i="1"/>
  <c r="D11573" i="1"/>
  <c r="D11574" i="1"/>
  <c r="D11575" i="1"/>
  <c r="D11576" i="1"/>
  <c r="D11577" i="1"/>
  <c r="D11578" i="1"/>
  <c r="D11579" i="1"/>
  <c r="D11580" i="1"/>
  <c r="D11581" i="1"/>
  <c r="D11582" i="1"/>
  <c r="D11583" i="1"/>
  <c r="D11584" i="1"/>
  <c r="D11585" i="1"/>
  <c r="D11586" i="1"/>
  <c r="D11587" i="1"/>
  <c r="D11588" i="1"/>
  <c r="D11589" i="1"/>
  <c r="D11590" i="1"/>
  <c r="D11591" i="1"/>
  <c r="D11592" i="1"/>
  <c r="D11593" i="1"/>
  <c r="D11594" i="1"/>
  <c r="D11595" i="1"/>
  <c r="D11596" i="1"/>
  <c r="D11597" i="1"/>
  <c r="D11598" i="1"/>
  <c r="D11599" i="1"/>
  <c r="D11600" i="1"/>
  <c r="D11601" i="1"/>
  <c r="D11602" i="1"/>
  <c r="D11603" i="1"/>
  <c r="D11604" i="1"/>
  <c r="D11605" i="1"/>
  <c r="D11606" i="1"/>
  <c r="D11607" i="1"/>
  <c r="D11608" i="1"/>
  <c r="D11609" i="1"/>
  <c r="D11610" i="1"/>
  <c r="D11611" i="1"/>
  <c r="D11612" i="1"/>
  <c r="D11613" i="1"/>
  <c r="D11614" i="1"/>
  <c r="D11615" i="1"/>
  <c r="D11616" i="1"/>
  <c r="D11617" i="1"/>
  <c r="D11618" i="1"/>
  <c r="D11619" i="1"/>
  <c r="D11620" i="1"/>
  <c r="D11621" i="1"/>
  <c r="D11622" i="1"/>
  <c r="D11623" i="1"/>
  <c r="D11624" i="1"/>
  <c r="D11625" i="1"/>
  <c r="D11626" i="1"/>
  <c r="D11627" i="1"/>
  <c r="D11628" i="1"/>
  <c r="D11629" i="1"/>
  <c r="D11630" i="1"/>
  <c r="D11631" i="1"/>
  <c r="D11632" i="1"/>
  <c r="D11633" i="1"/>
  <c r="D11634" i="1"/>
  <c r="D11635" i="1"/>
  <c r="D11636" i="1"/>
  <c r="D11637" i="1"/>
  <c r="D11638" i="1"/>
  <c r="D11639" i="1"/>
  <c r="D11732" i="1"/>
  <c r="D11733" i="1"/>
  <c r="D11734" i="1"/>
  <c r="D11735" i="1"/>
  <c r="D11737" i="1"/>
  <c r="D11736" i="1"/>
  <c r="D11738" i="1"/>
  <c r="D11739" i="1"/>
  <c r="D11740" i="1"/>
  <c r="D11741" i="1"/>
  <c r="D11742" i="1"/>
  <c r="D11743" i="1"/>
  <c r="D11744" i="1"/>
  <c r="D11745" i="1"/>
  <c r="D11746" i="1"/>
  <c r="D11747" i="1"/>
  <c r="D11748" i="1"/>
  <c r="D11749" i="1"/>
  <c r="D11791" i="1"/>
  <c r="D11792" i="1"/>
  <c r="D11793" i="1"/>
  <c r="D11794" i="1"/>
  <c r="D11795" i="1"/>
  <c r="D11796" i="1"/>
  <c r="D11797" i="1"/>
  <c r="D11798" i="1"/>
  <c r="D11799" i="1"/>
  <c r="D11800" i="1"/>
  <c r="D11801" i="1"/>
  <c r="D11802" i="1"/>
  <c r="D11803" i="1"/>
  <c r="D11804" i="1"/>
  <c r="D11805" i="1"/>
  <c r="D11806" i="1"/>
  <c r="D11807" i="1"/>
  <c r="D11808" i="1"/>
  <c r="D11809" i="1"/>
  <c r="D11810" i="1"/>
  <c r="D11811" i="1"/>
  <c r="D11812" i="1"/>
  <c r="D11813" i="1"/>
  <c r="D11814" i="1"/>
  <c r="D11815" i="1"/>
  <c r="D11816" i="1"/>
  <c r="D11817" i="1"/>
  <c r="D11750" i="1"/>
  <c r="D11751" i="1"/>
  <c r="D11752" i="1"/>
  <c r="D11753" i="1"/>
  <c r="D11754" i="1"/>
  <c r="D11755" i="1"/>
  <c r="D11756" i="1"/>
  <c r="D11757" i="1"/>
  <c r="D11758" i="1"/>
  <c r="D11759" i="1"/>
  <c r="D11760" i="1"/>
  <c r="D11761" i="1"/>
  <c r="D11762" i="1"/>
  <c r="D11763" i="1"/>
  <c r="D11764" i="1"/>
  <c r="D11765" i="1"/>
  <c r="D11766" i="1"/>
  <c r="D11767" i="1"/>
  <c r="D11768" i="1"/>
  <c r="D11769" i="1"/>
  <c r="D11770" i="1"/>
  <c r="D11771" i="1"/>
  <c r="D11772" i="1"/>
  <c r="D11773" i="1"/>
  <c r="D11774" i="1"/>
  <c r="D11775" i="1"/>
  <c r="D11776" i="1"/>
  <c r="D11777" i="1"/>
  <c r="D11778" i="1"/>
  <c r="D11779" i="1"/>
  <c r="D11780" i="1"/>
  <c r="D11781" i="1"/>
  <c r="D11782" i="1"/>
  <c r="D11783" i="1"/>
  <c r="D11784" i="1"/>
  <c r="D11785" i="1"/>
  <c r="D11786" i="1"/>
  <c r="D11787" i="1"/>
  <c r="D11788" i="1"/>
  <c r="D11789" i="1"/>
  <c r="D11790" i="1"/>
  <c r="D11818" i="1"/>
  <c r="D11819" i="1"/>
  <c r="D11820" i="1"/>
  <c r="D11821" i="1"/>
  <c r="D11822" i="1"/>
  <c r="D11823" i="1"/>
  <c r="D11824" i="1"/>
  <c r="D11841" i="1"/>
  <c r="D11842" i="1"/>
  <c r="D11843" i="1"/>
  <c r="D11844" i="1"/>
  <c r="D11845" i="1"/>
  <c r="D11846" i="1"/>
  <c r="D11847" i="1"/>
  <c r="D11848" i="1"/>
  <c r="D11849" i="1"/>
  <c r="D11850" i="1"/>
  <c r="D11851" i="1"/>
  <c r="D11852" i="1"/>
  <c r="D11853" i="1"/>
  <c r="D11854" i="1"/>
  <c r="D11855" i="1"/>
  <c r="D11856" i="1"/>
  <c r="D11857" i="1"/>
  <c r="D11825" i="1"/>
  <c r="D11826" i="1"/>
  <c r="D11827" i="1"/>
  <c r="D11828" i="1"/>
  <c r="D11829" i="1"/>
  <c r="D11830" i="1"/>
  <c r="D11831" i="1"/>
  <c r="D11832" i="1"/>
  <c r="D11833" i="1"/>
  <c r="D11834" i="1"/>
  <c r="D11835" i="1"/>
  <c r="D11836" i="1"/>
  <c r="D11837" i="1"/>
  <c r="D11838" i="1"/>
  <c r="D11839" i="1"/>
  <c r="D11840" i="1"/>
  <c r="D11858" i="1"/>
  <c r="D12031" i="1"/>
  <c r="D11859" i="1"/>
  <c r="D11860" i="1"/>
  <c r="D11861" i="1"/>
  <c r="D11877" i="1"/>
  <c r="D11878" i="1"/>
  <c r="D11879" i="1"/>
  <c r="D11880" i="1"/>
  <c r="D11881" i="1"/>
  <c r="D11882" i="1"/>
  <c r="D11883" i="1"/>
  <c r="D11884" i="1"/>
  <c r="D11885" i="1"/>
  <c r="D11886" i="1"/>
  <c r="D11887" i="1"/>
  <c r="D11888" i="1"/>
  <c r="D11889" i="1"/>
  <c r="D11890" i="1"/>
  <c r="D11891" i="1"/>
  <c r="D11892" i="1"/>
  <c r="D11893" i="1"/>
  <c r="D11894" i="1"/>
  <c r="D11895" i="1"/>
  <c r="D11896" i="1"/>
  <c r="D11897" i="1"/>
  <c r="D11898" i="1"/>
  <c r="D11862" i="1"/>
  <c r="D11863" i="1"/>
  <c r="D11864" i="1"/>
  <c r="D11865" i="1"/>
  <c r="D11866" i="1"/>
  <c r="D11867" i="1"/>
  <c r="D11868" i="1"/>
  <c r="D11869" i="1"/>
  <c r="D11870" i="1"/>
  <c r="D11871" i="1"/>
  <c r="D11872" i="1"/>
  <c r="D11873" i="1"/>
  <c r="D11874" i="1"/>
  <c r="D11875" i="1"/>
  <c r="D11876" i="1"/>
  <c r="D11899" i="1"/>
  <c r="D11900" i="1"/>
  <c r="D11901" i="1"/>
  <c r="D11902" i="1"/>
  <c r="D11903" i="1"/>
  <c r="D11904" i="1"/>
  <c r="D11905" i="1"/>
  <c r="D11906" i="1"/>
  <c r="D11907" i="1"/>
  <c r="D11908" i="1"/>
  <c r="D11909" i="1"/>
  <c r="D11912" i="1"/>
  <c r="D11913" i="1"/>
  <c r="D11914" i="1"/>
  <c r="D11915" i="1"/>
  <c r="D11916" i="1"/>
  <c r="D11917" i="1"/>
  <c r="D11918" i="1"/>
  <c r="D11919" i="1"/>
  <c r="D11910" i="1"/>
  <c r="D11911" i="1"/>
  <c r="D11920" i="1"/>
  <c r="D11921" i="1"/>
  <c r="D11922" i="1"/>
  <c r="D11923" i="1"/>
  <c r="D11924" i="1"/>
  <c r="D11925" i="1"/>
  <c r="D11926" i="1"/>
  <c r="D11927" i="1"/>
  <c r="D11928" i="1"/>
  <c r="D11929" i="1"/>
  <c r="D11930" i="1"/>
  <c r="D11931" i="1"/>
  <c r="D11932" i="1"/>
  <c r="D11933" i="1"/>
  <c r="D11947" i="1"/>
  <c r="D11948" i="1"/>
  <c r="D11949" i="1"/>
  <c r="D11950" i="1"/>
  <c r="D11951" i="1"/>
  <c r="D11952" i="1"/>
  <c r="D11953" i="1"/>
  <c r="D11934" i="1"/>
  <c r="D11935" i="1"/>
  <c r="D11936" i="1"/>
  <c r="D11937" i="1"/>
  <c r="D11938" i="1"/>
  <c r="D11939" i="1"/>
  <c r="D11940" i="1"/>
  <c r="D11941" i="1"/>
  <c r="D11942" i="1"/>
  <c r="D11943" i="1"/>
  <c r="D11944" i="1"/>
  <c r="D11945" i="1"/>
  <c r="D11946" i="1"/>
  <c r="D11954" i="1"/>
  <c r="D11955" i="1"/>
  <c r="D11956" i="1"/>
  <c r="D11957" i="1"/>
  <c r="D11958" i="1"/>
  <c r="D11961" i="1"/>
  <c r="D11962" i="1"/>
  <c r="D11959" i="1"/>
  <c r="D11960" i="1"/>
  <c r="D11963" i="1"/>
  <c r="D11972" i="1"/>
  <c r="D11973" i="1"/>
  <c r="D11974" i="1"/>
  <c r="D11975" i="1"/>
  <c r="D11976" i="1"/>
  <c r="D11977" i="1"/>
  <c r="D11978" i="1"/>
  <c r="D11979" i="1"/>
  <c r="D11980" i="1"/>
  <c r="D11981" i="1"/>
  <c r="D11982" i="1"/>
  <c r="D11983" i="1"/>
  <c r="D11984" i="1"/>
  <c r="D11985" i="1"/>
  <c r="D11986" i="1"/>
  <c r="D11987" i="1"/>
  <c r="D11988" i="1"/>
  <c r="D11989" i="1"/>
  <c r="D11964" i="1"/>
  <c r="D11965" i="1"/>
  <c r="D11966" i="1"/>
  <c r="D11967" i="1"/>
  <c r="D11968" i="1"/>
  <c r="D11969" i="1"/>
  <c r="D11970" i="1"/>
  <c r="D11971" i="1"/>
  <c r="D11990" i="1"/>
  <c r="D11991" i="1"/>
  <c r="D11992" i="1"/>
  <c r="D11993" i="1"/>
  <c r="D11994" i="1"/>
  <c r="D11995" i="1"/>
  <c r="D11996" i="1"/>
  <c r="D11997" i="1"/>
  <c r="D11998" i="1"/>
  <c r="D11999" i="1"/>
  <c r="D12000" i="1"/>
  <c r="D12001" i="1"/>
  <c r="D12002" i="1"/>
  <c r="D12003" i="1"/>
  <c r="D12004" i="1"/>
  <c r="D12005" i="1"/>
  <c r="D12006" i="1"/>
  <c r="D12007" i="1"/>
  <c r="D12008" i="1"/>
  <c r="D12009" i="1"/>
  <c r="D12010" i="1"/>
  <c r="D12011" i="1"/>
  <c r="D12012" i="1"/>
  <c r="D12013" i="1"/>
  <c r="D12014" i="1"/>
  <c r="D12015" i="1"/>
  <c r="D12016" i="1"/>
  <c r="D12247" i="1"/>
  <c r="D12248" i="1"/>
  <c r="D12249" i="1"/>
  <c r="D12250" i="1"/>
  <c r="D12251" i="1"/>
  <c r="D12252" i="1"/>
  <c r="D12253" i="1"/>
  <c r="D12254" i="1"/>
  <c r="D12255" i="1"/>
  <c r="D12256" i="1"/>
  <c r="D12257" i="1"/>
  <c r="D12258" i="1"/>
  <c r="D12259" i="1"/>
  <c r="D12260" i="1"/>
  <c r="D12261" i="1"/>
  <c r="D12262" i="1"/>
  <c r="D12263" i="1"/>
  <c r="D12264" i="1"/>
  <c r="D12265" i="1"/>
  <c r="D12266" i="1"/>
  <c r="D12267" i="1"/>
  <c r="D12268" i="1"/>
  <c r="D12269" i="1"/>
  <c r="D12270" i="1"/>
  <c r="D12271" i="1"/>
  <c r="D12272" i="1"/>
  <c r="D12273" i="1"/>
  <c r="D12274" i="1"/>
  <c r="D12275" i="1"/>
  <c r="D12276" i="1"/>
  <c r="D12277" i="1"/>
  <c r="D12278" i="1"/>
  <c r="D12279" i="1"/>
  <c r="D12280" i="1"/>
  <c r="D12281" i="1"/>
  <c r="D12282" i="1"/>
  <c r="D12283" i="1"/>
  <c r="D12284" i="1"/>
  <c r="D12285" i="1"/>
  <c r="D12286" i="1"/>
  <c r="D12287" i="1"/>
  <c r="D12288" i="1"/>
  <c r="D12289" i="1"/>
  <c r="D12290" i="1"/>
  <c r="D12291" i="1"/>
  <c r="D12292" i="1"/>
  <c r="D12293" i="1"/>
  <c r="D12294" i="1"/>
  <c r="D12295" i="1"/>
  <c r="D12296" i="1"/>
  <c r="D12297" i="1"/>
  <c r="D12298" i="1"/>
  <c r="D12299" i="1"/>
  <c r="D12300" i="1"/>
  <c r="D12301" i="1"/>
  <c r="D12302" i="1"/>
  <c r="D12303" i="1"/>
  <c r="D12304" i="1"/>
  <c r="D12305" i="1"/>
  <c r="D12306" i="1"/>
  <c r="D12307" i="1"/>
  <c r="D12308" i="1"/>
  <c r="D12309" i="1"/>
  <c r="D12310" i="1"/>
  <c r="D12311" i="1"/>
  <c r="D12312" i="1"/>
  <c r="D12313" i="1"/>
  <c r="D12314" i="1"/>
  <c r="D12315" i="1"/>
  <c r="D12316" i="1"/>
  <c r="D12317" i="1"/>
  <c r="D12318" i="1"/>
  <c r="D12131" i="1"/>
  <c r="D12132" i="1"/>
  <c r="D12133" i="1"/>
  <c r="D12134" i="1"/>
  <c r="D12135" i="1"/>
  <c r="D12136" i="1"/>
  <c r="D12137" i="1"/>
  <c r="D12138" i="1"/>
  <c r="D12139" i="1"/>
  <c r="D12140" i="1"/>
  <c r="D12141" i="1"/>
  <c r="D12142" i="1"/>
  <c r="D12143" i="1"/>
  <c r="D12144" i="1"/>
  <c r="D12145" i="1"/>
  <c r="D12146" i="1"/>
  <c r="D12147" i="1"/>
  <c r="D12148" i="1"/>
  <c r="D12149" i="1"/>
  <c r="D12150" i="1"/>
  <c r="D12151" i="1"/>
  <c r="D12152" i="1"/>
  <c r="D12153" i="1"/>
  <c r="D12154" i="1"/>
  <c r="D12155" i="1"/>
  <c r="D12156" i="1"/>
  <c r="D12157" i="1"/>
  <c r="D12158" i="1"/>
  <c r="D12159" i="1"/>
  <c r="D12160" i="1"/>
  <c r="D12161" i="1"/>
  <c r="D12162" i="1"/>
  <c r="D12163" i="1"/>
  <c r="D12164" i="1"/>
  <c r="D12165" i="1"/>
  <c r="D12166" i="1"/>
  <c r="D12167" i="1"/>
  <c r="D12168" i="1"/>
  <c r="D12169" i="1"/>
  <c r="D12170" i="1"/>
  <c r="D12171" i="1"/>
  <c r="D12172" i="1"/>
  <c r="D12173" i="1"/>
  <c r="D12174" i="1"/>
  <c r="D12175" i="1"/>
  <c r="D12176" i="1"/>
  <c r="D12177" i="1"/>
  <c r="D12178" i="1"/>
  <c r="D12179" i="1"/>
  <c r="D12180" i="1"/>
  <c r="D12181" i="1"/>
  <c r="D12182" i="1"/>
  <c r="D12183" i="1"/>
  <c r="D12184" i="1"/>
  <c r="D12185" i="1"/>
  <c r="D12186" i="1"/>
  <c r="D12187" i="1"/>
  <c r="D12188" i="1"/>
  <c r="D12189" i="1"/>
  <c r="D12190" i="1"/>
  <c r="D12191" i="1"/>
  <c r="D12192" i="1"/>
  <c r="D12193" i="1"/>
  <c r="D12194" i="1"/>
  <c r="D12195" i="1"/>
  <c r="D12196" i="1"/>
  <c r="D12197" i="1"/>
  <c r="D12198" i="1"/>
  <c r="D12199" i="1"/>
  <c r="D12200" i="1"/>
  <c r="D12201" i="1"/>
  <c r="D12202" i="1"/>
  <c r="D12203" i="1"/>
  <c r="D12204" i="1"/>
  <c r="D12205" i="1"/>
  <c r="D12206" i="1"/>
  <c r="D12207" i="1"/>
  <c r="D12208" i="1"/>
  <c r="D12209" i="1"/>
  <c r="D12210" i="1"/>
  <c r="D12211" i="1"/>
  <c r="D12212" i="1"/>
  <c r="D12213" i="1"/>
  <c r="D12214" i="1"/>
  <c r="D12215" i="1"/>
  <c r="D12216" i="1"/>
  <c r="D12217" i="1"/>
  <c r="D12218" i="1"/>
  <c r="D12219" i="1"/>
  <c r="D12220" i="1"/>
  <c r="D12221" i="1"/>
  <c r="D12222" i="1"/>
  <c r="D12223" i="1"/>
  <c r="D12224" i="1"/>
  <c r="D12225" i="1"/>
  <c r="D12226" i="1"/>
  <c r="D12227" i="1"/>
  <c r="D12228" i="1"/>
  <c r="D12229" i="1"/>
  <c r="D12230" i="1"/>
  <c r="D12231" i="1"/>
  <c r="D12232" i="1"/>
  <c r="D12233" i="1"/>
  <c r="D12234" i="1"/>
  <c r="D12235" i="1"/>
  <c r="D12236" i="1"/>
  <c r="D12237" i="1"/>
  <c r="D12238" i="1"/>
  <c r="D12239" i="1"/>
  <c r="D12240" i="1"/>
  <c r="D12241" i="1"/>
  <c r="D12242" i="1"/>
  <c r="D12243" i="1"/>
  <c r="D12244" i="1"/>
  <c r="D12245" i="1"/>
  <c r="D12246" i="1"/>
  <c r="D12017" i="1"/>
  <c r="D12018" i="1"/>
  <c r="D12019" i="1"/>
  <c r="D12020" i="1"/>
  <c r="D12021" i="1"/>
  <c r="D12022" i="1"/>
  <c r="D12023" i="1"/>
  <c r="D12024" i="1"/>
  <c r="D12025" i="1"/>
  <c r="D12026" i="1"/>
  <c r="D12334" i="1"/>
  <c r="D12335" i="1"/>
  <c r="D12336" i="1"/>
  <c r="D12337" i="1"/>
  <c r="D12338" i="1"/>
  <c r="D12339" i="1"/>
  <c r="D12340" i="1"/>
  <c r="D12341" i="1"/>
  <c r="D12342" i="1"/>
  <c r="D12343" i="1"/>
  <c r="D12344" i="1"/>
  <c r="D12345" i="1"/>
  <c r="D12346" i="1"/>
  <c r="D12347" i="1"/>
  <c r="D12348" i="1"/>
  <c r="D12349" i="1"/>
  <c r="D12350" i="1"/>
  <c r="D12351" i="1"/>
  <c r="D12319" i="1"/>
  <c r="D12320" i="1"/>
  <c r="D12321" i="1"/>
  <c r="D12322" i="1"/>
  <c r="D12323" i="1"/>
  <c r="D12324" i="1"/>
  <c r="D12325" i="1"/>
  <c r="D12326" i="1"/>
  <c r="D12327" i="1"/>
  <c r="D12328" i="1"/>
  <c r="D12329" i="1"/>
  <c r="D12330" i="1"/>
  <c r="D12331" i="1"/>
  <c r="D12332" i="1"/>
  <c r="D12333" i="1"/>
  <c r="D12027" i="1"/>
  <c r="D12028" i="1"/>
  <c r="D12029" i="1"/>
  <c r="D12030" i="1"/>
  <c r="D12379" i="1"/>
  <c r="D12380" i="1"/>
  <c r="D12381" i="1"/>
  <c r="D12382" i="1"/>
  <c r="D12383" i="1"/>
  <c r="D12384" i="1"/>
  <c r="D12385" i="1"/>
  <c r="D12386" i="1"/>
  <c r="D12387" i="1"/>
  <c r="D12388" i="1"/>
  <c r="D12389" i="1"/>
  <c r="D12390" i="1"/>
  <c r="D12391" i="1"/>
  <c r="D12392" i="1"/>
  <c r="D12352" i="1"/>
  <c r="D12353" i="1"/>
  <c r="D12354" i="1"/>
  <c r="D12355" i="1"/>
  <c r="D12356" i="1"/>
  <c r="D12357" i="1"/>
  <c r="D12358" i="1"/>
  <c r="D12359" i="1"/>
  <c r="D12360" i="1"/>
  <c r="D12361" i="1"/>
  <c r="D12362" i="1"/>
  <c r="D12363" i="1"/>
  <c r="D12364" i="1"/>
  <c r="D12365" i="1"/>
  <c r="D12366" i="1"/>
  <c r="D12367" i="1"/>
  <c r="D12368" i="1"/>
  <c r="D12369" i="1"/>
  <c r="D12370" i="1"/>
  <c r="D12371" i="1"/>
  <c r="D12372" i="1"/>
  <c r="D12373" i="1"/>
  <c r="D12374" i="1"/>
  <c r="D12375" i="1"/>
  <c r="D12376" i="1"/>
  <c r="D12377" i="1"/>
  <c r="D12378" i="1"/>
  <c r="D12393" i="1"/>
  <c r="D12394" i="1"/>
  <c r="D12395" i="1"/>
  <c r="D12396" i="1"/>
  <c r="D12397" i="1"/>
  <c r="D12032" i="1"/>
  <c r="D12033" i="1"/>
  <c r="D12034" i="1"/>
  <c r="D12035" i="1"/>
  <c r="D12036" i="1"/>
  <c r="D12037" i="1"/>
  <c r="D12038" i="1"/>
  <c r="D12039" i="1"/>
  <c r="D12040" i="1"/>
  <c r="D12041" i="1"/>
  <c r="D12042" i="1"/>
  <c r="D12043" i="1"/>
  <c r="D12044" i="1"/>
  <c r="D12045" i="1"/>
  <c r="D12046" i="1"/>
  <c r="D12411" i="1"/>
  <c r="D12412" i="1"/>
  <c r="D12413" i="1"/>
  <c r="D12414" i="1"/>
  <c r="D12415" i="1"/>
  <c r="D12416" i="1"/>
  <c r="D12417" i="1"/>
  <c r="D12418" i="1"/>
  <c r="D12419" i="1"/>
  <c r="D12420" i="1"/>
  <c r="D12421" i="1"/>
  <c r="D12422" i="1"/>
  <c r="D12423" i="1"/>
  <c r="D12424" i="1"/>
  <c r="D12425" i="1"/>
  <c r="D12426" i="1"/>
  <c r="D12427" i="1"/>
  <c r="D12428" i="1"/>
  <c r="D12429" i="1"/>
  <c r="D12430" i="1"/>
  <c r="D12431" i="1"/>
  <c r="D12432" i="1"/>
  <c r="D12433" i="1"/>
  <c r="D12434" i="1"/>
  <c r="D12435" i="1"/>
  <c r="D12436" i="1"/>
  <c r="D12437" i="1"/>
  <c r="D12438" i="1"/>
  <c r="D12439" i="1"/>
  <c r="D12440" i="1"/>
  <c r="D12441" i="1"/>
  <c r="D12442" i="1"/>
  <c r="D12443" i="1"/>
  <c r="D12444" i="1"/>
  <c r="D12445" i="1"/>
  <c r="D12446" i="1"/>
  <c r="D12447" i="1"/>
  <c r="D12448" i="1"/>
  <c r="D12449" i="1"/>
  <c r="D12450" i="1"/>
  <c r="D12451" i="1"/>
  <c r="D12452" i="1"/>
  <c r="D12453" i="1"/>
  <c r="D12454" i="1"/>
  <c r="D12455" i="1"/>
  <c r="D12456" i="1"/>
  <c r="D12457" i="1"/>
  <c r="D12398" i="1"/>
  <c r="D12399" i="1"/>
  <c r="D12400" i="1"/>
  <c r="D12401" i="1"/>
  <c r="D12402" i="1"/>
  <c r="D12403" i="1"/>
  <c r="D12404" i="1"/>
  <c r="D12405" i="1"/>
  <c r="D12406" i="1"/>
  <c r="D12407" i="1"/>
  <c r="D12408" i="1"/>
  <c r="D12409" i="1"/>
  <c r="D12410" i="1"/>
  <c r="D12047" i="1"/>
  <c r="D12048" i="1"/>
  <c r="D12049" i="1"/>
  <c r="D12050" i="1"/>
  <c r="D12051" i="1"/>
  <c r="D12052" i="1"/>
  <c r="D12053" i="1"/>
  <c r="D12054" i="1"/>
  <c r="D12055" i="1"/>
  <c r="D12056" i="1"/>
  <c r="D12057" i="1"/>
  <c r="D12058" i="1"/>
  <c r="D12059" i="1"/>
  <c r="D12060" i="1"/>
  <c r="D12061" i="1"/>
  <c r="D12475" i="1"/>
  <c r="D12476" i="1"/>
  <c r="D12477" i="1"/>
  <c r="D12478" i="1"/>
  <c r="D12479" i="1"/>
  <c r="D12480" i="1"/>
  <c r="D12481" i="1"/>
  <c r="D12482" i="1"/>
  <c r="D12483" i="1"/>
  <c r="D12484" i="1"/>
  <c r="D12485" i="1"/>
  <c r="D12486" i="1"/>
  <c r="D12487" i="1"/>
  <c r="D12488" i="1"/>
  <c r="D12489" i="1"/>
  <c r="D12490" i="1"/>
  <c r="D12491" i="1"/>
  <c r="D12492" i="1"/>
  <c r="D12493" i="1"/>
  <c r="D12494" i="1"/>
  <c r="D12495" i="1"/>
  <c r="D12496" i="1"/>
  <c r="D12497" i="1"/>
  <c r="D12498" i="1"/>
  <c r="D12499" i="1"/>
  <c r="D12500" i="1"/>
  <c r="D12501" i="1"/>
  <c r="D12502" i="1"/>
  <c r="D12503" i="1"/>
  <c r="D12504" i="1"/>
  <c r="D12505" i="1"/>
  <c r="D12506" i="1"/>
  <c r="D12507" i="1"/>
  <c r="D12508" i="1"/>
  <c r="D12509" i="1"/>
  <c r="D12510" i="1"/>
  <c r="D12511" i="1"/>
  <c r="D12512" i="1"/>
  <c r="D12513" i="1"/>
  <c r="D12458" i="1"/>
  <c r="D12459" i="1"/>
  <c r="D12460" i="1"/>
  <c r="D12461" i="1"/>
  <c r="D12462" i="1"/>
  <c r="D12463" i="1"/>
  <c r="D12464" i="1"/>
  <c r="D12465" i="1"/>
  <c r="D12466" i="1"/>
  <c r="D12467" i="1"/>
  <c r="D12468" i="1"/>
  <c r="D12469" i="1"/>
  <c r="D12470" i="1"/>
  <c r="D12471" i="1"/>
  <c r="D12472" i="1"/>
  <c r="D12473" i="1"/>
  <c r="D12474" i="1"/>
  <c r="D12062" i="1"/>
  <c r="D12063" i="1"/>
  <c r="D12064" i="1"/>
  <c r="D12065" i="1"/>
  <c r="D12066" i="1"/>
  <c r="D12067" i="1"/>
  <c r="D12068" i="1"/>
  <c r="D12069" i="1"/>
  <c r="D12070" i="1"/>
  <c r="D12071" i="1"/>
  <c r="D12072" i="1"/>
  <c r="D12073" i="1"/>
  <c r="D12074" i="1"/>
  <c r="D12075" i="1"/>
  <c r="D12076" i="1"/>
  <c r="D12077" i="1"/>
  <c r="D12078" i="1"/>
  <c r="D12079" i="1"/>
  <c r="D12080" i="1"/>
  <c r="D12081" i="1"/>
  <c r="D12552" i="1"/>
  <c r="D12553" i="1"/>
  <c r="D12554" i="1"/>
  <c r="D12555" i="1"/>
  <c r="D12556" i="1"/>
  <c r="D12557" i="1"/>
  <c r="D12558" i="1"/>
  <c r="D12559" i="1"/>
  <c r="D12560" i="1"/>
  <c r="D12561" i="1"/>
  <c r="D12562" i="1"/>
  <c r="D12563" i="1"/>
  <c r="D12564" i="1"/>
  <c r="D12565" i="1"/>
  <c r="D12566" i="1"/>
  <c r="D12567" i="1"/>
  <c r="D12568" i="1"/>
  <c r="D12569" i="1"/>
  <c r="D12570" i="1"/>
  <c r="D12571" i="1"/>
  <c r="D12572" i="1"/>
  <c r="D12573" i="1"/>
  <c r="D12574" i="1"/>
  <c r="D12575" i="1"/>
  <c r="D12576" i="1"/>
  <c r="D12577" i="1"/>
  <c r="D12578" i="1"/>
  <c r="D12579" i="1"/>
  <c r="D12580" i="1"/>
  <c r="D12581" i="1"/>
  <c r="D12582" i="1"/>
  <c r="D12583" i="1"/>
  <c r="D12584" i="1"/>
  <c r="D12585" i="1"/>
  <c r="D12586" i="1"/>
  <c r="D12587" i="1"/>
  <c r="D12588" i="1"/>
  <c r="D12589" i="1"/>
  <c r="D12590" i="1"/>
  <c r="D12591" i="1"/>
  <c r="D12592" i="1"/>
  <c r="D12593" i="1"/>
  <c r="D12594" i="1"/>
  <c r="D12595" i="1"/>
  <c r="D12596" i="1"/>
  <c r="D12597" i="1"/>
  <c r="D12598" i="1"/>
  <c r="D12599" i="1"/>
  <c r="D12600" i="1"/>
  <c r="D12601" i="1"/>
  <c r="D12602" i="1"/>
  <c r="D12603" i="1"/>
  <c r="D12604" i="1"/>
  <c r="D12605" i="1"/>
  <c r="D12606" i="1"/>
  <c r="D12607" i="1"/>
  <c r="D12608" i="1"/>
  <c r="D12609" i="1"/>
  <c r="D12610" i="1"/>
  <c r="D12611" i="1"/>
  <c r="D12612" i="1"/>
  <c r="D12613" i="1"/>
  <c r="D12614" i="1"/>
  <c r="D12615" i="1"/>
  <c r="D12616" i="1"/>
  <c r="D12514" i="1"/>
  <c r="D12515" i="1"/>
  <c r="D12516" i="1"/>
  <c r="D12517" i="1"/>
  <c r="D12518" i="1"/>
  <c r="D12519" i="1"/>
  <c r="D12520" i="1"/>
  <c r="D12521" i="1"/>
  <c r="D12522" i="1"/>
  <c r="D12523" i="1"/>
  <c r="D12524" i="1"/>
  <c r="D12525" i="1"/>
  <c r="D12526" i="1"/>
  <c r="D12527" i="1"/>
  <c r="D12528" i="1"/>
  <c r="D12529" i="1"/>
  <c r="D12530" i="1"/>
  <c r="D12531" i="1"/>
  <c r="D12532" i="1"/>
  <c r="D12533" i="1"/>
  <c r="D12534" i="1"/>
  <c r="D12535" i="1"/>
  <c r="D12536" i="1"/>
  <c r="D12537" i="1"/>
  <c r="D12538" i="1"/>
  <c r="D12539" i="1"/>
  <c r="D12540" i="1"/>
  <c r="D12541" i="1"/>
  <c r="D12542" i="1"/>
  <c r="D12543" i="1"/>
  <c r="D12544" i="1"/>
  <c r="D12545" i="1"/>
  <c r="D12546" i="1"/>
  <c r="D12547" i="1"/>
  <c r="D12548" i="1"/>
  <c r="D12549" i="1"/>
  <c r="D12550" i="1"/>
  <c r="D12551" i="1"/>
  <c r="D12082" i="1"/>
  <c r="D12083" i="1"/>
  <c r="D12084" i="1"/>
  <c r="D12085" i="1"/>
  <c r="D12086" i="1"/>
  <c r="D12087" i="1"/>
  <c r="D12088" i="1"/>
  <c r="D12089" i="1"/>
  <c r="D12090" i="1"/>
  <c r="D12091" i="1"/>
  <c r="D12092" i="1"/>
  <c r="D12093" i="1"/>
  <c r="D12094" i="1"/>
  <c r="D12095" i="1"/>
  <c r="D12096" i="1"/>
  <c r="D12097" i="1"/>
  <c r="D12098" i="1"/>
  <c r="D12099" i="1"/>
  <c r="D12100" i="1"/>
  <c r="D12101" i="1"/>
  <c r="D12102" i="1"/>
  <c r="D12629" i="1"/>
  <c r="D12630" i="1"/>
  <c r="D12631" i="1"/>
  <c r="D12632" i="1"/>
  <c r="D12633" i="1"/>
  <c r="D12634" i="1"/>
  <c r="D12635" i="1"/>
  <c r="D12636" i="1"/>
  <c r="D12637" i="1"/>
  <c r="D12638" i="1"/>
  <c r="D12639" i="1"/>
  <c r="D12640" i="1"/>
  <c r="D12641" i="1"/>
  <c r="D12642" i="1"/>
  <c r="D12643" i="1"/>
  <c r="D12644" i="1"/>
  <c r="D12645" i="1"/>
  <c r="D12646" i="1"/>
  <c r="D12647" i="1"/>
  <c r="D12648" i="1"/>
  <c r="D12649" i="1"/>
  <c r="D12650" i="1"/>
  <c r="D12651" i="1"/>
  <c r="D12652" i="1"/>
  <c r="D12653" i="1"/>
  <c r="D12654" i="1"/>
  <c r="D12655" i="1"/>
  <c r="D12656" i="1"/>
  <c r="D12657" i="1"/>
  <c r="D12658" i="1"/>
  <c r="D12659" i="1"/>
  <c r="D12660" i="1"/>
  <c r="D12661" i="1"/>
  <c r="D12662" i="1"/>
  <c r="D12663" i="1"/>
  <c r="D12664" i="1"/>
  <c r="D12665" i="1"/>
  <c r="D12617" i="1"/>
  <c r="D12618" i="1"/>
  <c r="D12619" i="1"/>
  <c r="D12620" i="1"/>
  <c r="D12621" i="1"/>
  <c r="D12622" i="1"/>
  <c r="D12623" i="1"/>
  <c r="D12624" i="1"/>
  <c r="D12625" i="1"/>
  <c r="D12626" i="1"/>
  <c r="D12627" i="1"/>
  <c r="D12628" i="1"/>
  <c r="D12103" i="1"/>
  <c r="D12104" i="1"/>
  <c r="D12105" i="1"/>
  <c r="D12106" i="1"/>
  <c r="D12107" i="1"/>
  <c r="D12108" i="1"/>
  <c r="D12109" i="1"/>
  <c r="D12110" i="1"/>
  <c r="D12674" i="1"/>
  <c r="D12675" i="1"/>
  <c r="D12676" i="1"/>
  <c r="D12677" i="1"/>
  <c r="D12678" i="1"/>
  <c r="D12679" i="1"/>
  <c r="D12680" i="1"/>
  <c r="D12681" i="1"/>
  <c r="D12682" i="1"/>
  <c r="D12683" i="1"/>
  <c r="D12684" i="1"/>
  <c r="D12685" i="1"/>
  <c r="D12686" i="1"/>
  <c r="D12687" i="1"/>
  <c r="D12688" i="1"/>
  <c r="D12689" i="1"/>
  <c r="D12690" i="1"/>
  <c r="D12691" i="1"/>
  <c r="D12692" i="1"/>
  <c r="D12693" i="1"/>
  <c r="D12694" i="1"/>
  <c r="D12695" i="1"/>
  <c r="D12696" i="1"/>
  <c r="D12697" i="1"/>
  <c r="D12698" i="1"/>
  <c r="D12666" i="1"/>
  <c r="D12667" i="1"/>
  <c r="D12668" i="1"/>
  <c r="D12669" i="1"/>
  <c r="D12670" i="1"/>
  <c r="D12671" i="1"/>
  <c r="D12672" i="1"/>
  <c r="D12673" i="1"/>
  <c r="D12111" i="1"/>
  <c r="D12112" i="1"/>
  <c r="D12113" i="1"/>
  <c r="D12114" i="1"/>
  <c r="D12115" i="1"/>
  <c r="D12116" i="1"/>
  <c r="D12117" i="1"/>
  <c r="D12118" i="1"/>
  <c r="D12119" i="1"/>
  <c r="D12120" i="1"/>
  <c r="D12121" i="1"/>
  <c r="D12122" i="1"/>
  <c r="D12123" i="1"/>
  <c r="D12124" i="1"/>
  <c r="D12125" i="1"/>
  <c r="D12126" i="1"/>
  <c r="D12127" i="1"/>
  <c r="D12128" i="1"/>
  <c r="D12129" i="1"/>
  <c r="D12130" i="1"/>
  <c r="D12704" i="1"/>
  <c r="D12705" i="1"/>
  <c r="D12706" i="1"/>
  <c r="D12707" i="1"/>
  <c r="D12708" i="1"/>
  <c r="D12709" i="1"/>
  <c r="D12710" i="1"/>
  <c r="D12711" i="1"/>
  <c r="D12712" i="1"/>
  <c r="D12713" i="1"/>
  <c r="D12714" i="1"/>
  <c r="D12715" i="1"/>
  <c r="D12716" i="1"/>
  <c r="D12717" i="1"/>
  <c r="D12718" i="1"/>
  <c r="D12719" i="1"/>
  <c r="D12720" i="1"/>
  <c r="D12721" i="1"/>
  <c r="D12722" i="1"/>
  <c r="D12723" i="1"/>
  <c r="D12724" i="1"/>
  <c r="D12725" i="1"/>
  <c r="D12726" i="1"/>
  <c r="D12727" i="1"/>
  <c r="D12728" i="1"/>
  <c r="D12699" i="1"/>
  <c r="D12700" i="1"/>
  <c r="D12701" i="1"/>
  <c r="D12702" i="1"/>
  <c r="D12703" i="1"/>
  <c r="D12729" i="1"/>
  <c r="D12730" i="1"/>
  <c r="D12731" i="1"/>
  <c r="D12732" i="1"/>
  <c r="D12733" i="1"/>
  <c r="D12734" i="1"/>
  <c r="D12735" i="1"/>
  <c r="D12736" i="1"/>
  <c r="D12737" i="1"/>
  <c r="D12738" i="1"/>
  <c r="D12739" i="1"/>
  <c r="D12740" i="1"/>
  <c r="D12741" i="1"/>
  <c r="D12742" i="1"/>
  <c r="D12743" i="1"/>
  <c r="D12744" i="1"/>
  <c r="D12827" i="1"/>
  <c r="D12828" i="1"/>
  <c r="D12829" i="1"/>
  <c r="D12830" i="1"/>
  <c r="D12831" i="1"/>
  <c r="D12832" i="1"/>
  <c r="D12833" i="1"/>
  <c r="D12834" i="1"/>
  <c r="D12835" i="1"/>
  <c r="D12836" i="1"/>
  <c r="D12837" i="1"/>
  <c r="D12838" i="1"/>
  <c r="D12839" i="1"/>
  <c r="D12840" i="1"/>
  <c r="D12841" i="1"/>
  <c r="D12842" i="1"/>
  <c r="D12843" i="1"/>
  <c r="D12844" i="1"/>
  <c r="D12845" i="1"/>
  <c r="D12846" i="1"/>
  <c r="D12847" i="1"/>
  <c r="D12848" i="1"/>
  <c r="D12849" i="1"/>
  <c r="D12850" i="1"/>
  <c r="D12851" i="1"/>
  <c r="D12852" i="1"/>
  <c r="D12853" i="1"/>
  <c r="D12854" i="1"/>
  <c r="D12855" i="1"/>
  <c r="D12856" i="1"/>
  <c r="D12857" i="1"/>
  <c r="D12858" i="1"/>
  <c r="D12859" i="1"/>
  <c r="D12860" i="1"/>
  <c r="D12861" i="1"/>
  <c r="D12862" i="1"/>
  <c r="D12863" i="1"/>
  <c r="D12864" i="1"/>
  <c r="D12865" i="1"/>
  <c r="D12796" i="1"/>
  <c r="D12797" i="1"/>
  <c r="D12798" i="1"/>
  <c r="D12799" i="1"/>
  <c r="D12800" i="1"/>
  <c r="D12801" i="1"/>
  <c r="D12802" i="1"/>
  <c r="D12803" i="1"/>
  <c r="D12804" i="1"/>
  <c r="D12805" i="1"/>
  <c r="D12806" i="1"/>
  <c r="D12807" i="1"/>
  <c r="D12808" i="1"/>
  <c r="D12809" i="1"/>
  <c r="D12810" i="1"/>
  <c r="D12811" i="1"/>
  <c r="D12812" i="1"/>
  <c r="D12813" i="1"/>
  <c r="D12814" i="1"/>
  <c r="D12815" i="1"/>
  <c r="D12816" i="1"/>
  <c r="D12817" i="1"/>
  <c r="D12818" i="1"/>
  <c r="D12819" i="1"/>
  <c r="D12820" i="1"/>
  <c r="D12821" i="1"/>
  <c r="D12822" i="1"/>
  <c r="D12823" i="1"/>
  <c r="D12824" i="1"/>
  <c r="D12825" i="1"/>
  <c r="D12826" i="1"/>
  <c r="D12745" i="1"/>
  <c r="D12746" i="1"/>
  <c r="D12747" i="1"/>
  <c r="D12748" i="1"/>
  <c r="D12749" i="1"/>
  <c r="D12750" i="1"/>
  <c r="D12751" i="1"/>
  <c r="D12752" i="1"/>
  <c r="D12753" i="1"/>
  <c r="D12754" i="1"/>
  <c r="D12755" i="1"/>
  <c r="D12873" i="1"/>
  <c r="D12874" i="1"/>
  <c r="D12875" i="1"/>
  <c r="D12876" i="1"/>
  <c r="D12866" i="1"/>
  <c r="D12867" i="1"/>
  <c r="D12868" i="1"/>
  <c r="D12869" i="1"/>
  <c r="D12870" i="1"/>
  <c r="D12871" i="1"/>
  <c r="D12872" i="1"/>
  <c r="D12877" i="1"/>
  <c r="D12756" i="1"/>
  <c r="D12757" i="1"/>
  <c r="D12758" i="1"/>
  <c r="D12759" i="1"/>
  <c r="D12760" i="1"/>
  <c r="D12761" i="1"/>
  <c r="D12892" i="1"/>
  <c r="D12893" i="1"/>
  <c r="D12894" i="1"/>
  <c r="D12895" i="1"/>
  <c r="D12878" i="1"/>
  <c r="D12879" i="1"/>
  <c r="D12880" i="1"/>
  <c r="D12881" i="1"/>
  <c r="D12882" i="1"/>
  <c r="D12883" i="1"/>
  <c r="D12884" i="1"/>
  <c r="D12885" i="1"/>
  <c r="D12886" i="1"/>
  <c r="D12887" i="1"/>
  <c r="D12888" i="1"/>
  <c r="D12889" i="1"/>
  <c r="D12890" i="1"/>
  <c r="D12891" i="1"/>
  <c r="D12762" i="1"/>
  <c r="D12897" i="1"/>
  <c r="D12896" i="1"/>
  <c r="D12763" i="1"/>
  <c r="D12764" i="1"/>
  <c r="D12765" i="1"/>
  <c r="D12766" i="1"/>
  <c r="D12767" i="1"/>
  <c r="D12768" i="1"/>
  <c r="D12769" i="1"/>
  <c r="D12770" i="1"/>
  <c r="D12771" i="1"/>
  <c r="D12772" i="1"/>
  <c r="D12773" i="1"/>
  <c r="D12774" i="1"/>
  <c r="D12775" i="1"/>
  <c r="D12776" i="1"/>
  <c r="D12777" i="1"/>
  <c r="D12778" i="1"/>
  <c r="D12924" i="1"/>
  <c r="D12925" i="1"/>
  <c r="D12926" i="1"/>
  <c r="D12927" i="1"/>
  <c r="D12928" i="1"/>
  <c r="D12929" i="1"/>
  <c r="D12930" i="1"/>
  <c r="D12931" i="1"/>
  <c r="D12932" i="1"/>
  <c r="D12933" i="1"/>
  <c r="D12934" i="1"/>
  <c r="D12935" i="1"/>
  <c r="D12936" i="1"/>
  <c r="D12937" i="1"/>
  <c r="D12938" i="1"/>
  <c r="D12939" i="1"/>
  <c r="D12940" i="1"/>
  <c r="D12941" i="1"/>
  <c r="D12942" i="1"/>
  <c r="D12943" i="1"/>
  <c r="D12944" i="1"/>
  <c r="D12945" i="1"/>
  <c r="D12946" i="1"/>
  <c r="D12947" i="1"/>
  <c r="D12948" i="1"/>
  <c r="D12949" i="1"/>
  <c r="D12950" i="1"/>
  <c r="D12951" i="1"/>
  <c r="D12952" i="1"/>
  <c r="D12953" i="1"/>
  <c r="D12954" i="1"/>
  <c r="D12955" i="1"/>
  <c r="D12956" i="1"/>
  <c r="D12957" i="1"/>
  <c r="D12958" i="1"/>
  <c r="D12959" i="1"/>
  <c r="D12960" i="1"/>
  <c r="D12961" i="1"/>
  <c r="D12962" i="1"/>
  <c r="D12963" i="1"/>
  <c r="D12964" i="1"/>
  <c r="D12965" i="1"/>
  <c r="D12966" i="1"/>
  <c r="D12967" i="1"/>
  <c r="D12968" i="1"/>
  <c r="D12969" i="1"/>
  <c r="D12970" i="1"/>
  <c r="D12971" i="1"/>
  <c r="D12972" i="1"/>
  <c r="D12898" i="1"/>
  <c r="D12899" i="1"/>
  <c r="D12900" i="1"/>
  <c r="D12901" i="1"/>
  <c r="D12902" i="1"/>
  <c r="D12903" i="1"/>
  <c r="D12904" i="1"/>
  <c r="D12905" i="1"/>
  <c r="D12906" i="1"/>
  <c r="D12907" i="1"/>
  <c r="D12908" i="1"/>
  <c r="D12909" i="1"/>
  <c r="D12910" i="1"/>
  <c r="D12911" i="1"/>
  <c r="D12912" i="1"/>
  <c r="D12913" i="1"/>
  <c r="D12914" i="1"/>
  <c r="D12915" i="1"/>
  <c r="D12916" i="1"/>
  <c r="D12917" i="1"/>
  <c r="D12918" i="1"/>
  <c r="D12919" i="1"/>
  <c r="D12920" i="1"/>
  <c r="D12921" i="1"/>
  <c r="D12922" i="1"/>
  <c r="D12923" i="1"/>
  <c r="D12779" i="1"/>
  <c r="D12780" i="1"/>
  <c r="D12781" i="1"/>
  <c r="D12782" i="1"/>
  <c r="D12783" i="1"/>
  <c r="D12784" i="1"/>
  <c r="D12785" i="1"/>
  <c r="D12983" i="1"/>
  <c r="D12984" i="1"/>
  <c r="D12985" i="1"/>
  <c r="D12986" i="1"/>
  <c r="D12987" i="1"/>
  <c r="D12988" i="1"/>
  <c r="D12989" i="1"/>
  <c r="D12990" i="1"/>
  <c r="D12991" i="1"/>
  <c r="D12992" i="1"/>
  <c r="D12993" i="1"/>
  <c r="D12994" i="1"/>
  <c r="D12995" i="1"/>
  <c r="D12996" i="1"/>
  <c r="D12997" i="1"/>
  <c r="D12998" i="1"/>
  <c r="D12999" i="1"/>
  <c r="D13000" i="1"/>
  <c r="D13001" i="1"/>
  <c r="D13002" i="1"/>
  <c r="D13003" i="1"/>
  <c r="D13004" i="1"/>
  <c r="D13005" i="1"/>
  <c r="D13006" i="1"/>
  <c r="D13007" i="1"/>
  <c r="D13008" i="1"/>
  <c r="D13009" i="1"/>
  <c r="D13010" i="1"/>
  <c r="D13011" i="1"/>
  <c r="D13012" i="1"/>
  <c r="D13013" i="1"/>
  <c r="D13014" i="1"/>
  <c r="D13015" i="1"/>
  <c r="D12973" i="1"/>
  <c r="D12974" i="1"/>
  <c r="D12975" i="1"/>
  <c r="D12976" i="1"/>
  <c r="D12977" i="1"/>
  <c r="D12978" i="1"/>
  <c r="D12979" i="1"/>
  <c r="D12980" i="1"/>
  <c r="D12981" i="1"/>
  <c r="D12982" i="1"/>
  <c r="D12786" i="1"/>
  <c r="D12787" i="1"/>
  <c r="D12788" i="1"/>
  <c r="D12789" i="1"/>
  <c r="D12790" i="1"/>
  <c r="D13026" i="1"/>
  <c r="D13027" i="1"/>
  <c r="D13028" i="1"/>
  <c r="D13029" i="1"/>
  <c r="D13030" i="1"/>
  <c r="D13031" i="1"/>
  <c r="D13032" i="1"/>
  <c r="D13033" i="1"/>
  <c r="D13034" i="1"/>
  <c r="D13035" i="1"/>
  <c r="D13016" i="1"/>
  <c r="D13017" i="1"/>
  <c r="D13018" i="1"/>
  <c r="D13019" i="1"/>
  <c r="D13020" i="1"/>
  <c r="D13021" i="1"/>
  <c r="D13022" i="1"/>
  <c r="D13023" i="1"/>
  <c r="D13024" i="1"/>
  <c r="D13025" i="1"/>
  <c r="D12791" i="1"/>
  <c r="D12792" i="1"/>
  <c r="D12793" i="1"/>
  <c r="D13042" i="1"/>
  <c r="D13043" i="1"/>
  <c r="D13044" i="1"/>
  <c r="D13045" i="1"/>
  <c r="D13046" i="1"/>
  <c r="D13047" i="1"/>
  <c r="D13048" i="1"/>
  <c r="D13049" i="1"/>
  <c r="D13050" i="1"/>
  <c r="D13051" i="1"/>
  <c r="D13052" i="1"/>
  <c r="D13053" i="1"/>
  <c r="D13054" i="1"/>
  <c r="D13036" i="1"/>
  <c r="D13037" i="1"/>
  <c r="D13038" i="1"/>
  <c r="D13039" i="1"/>
  <c r="D13040" i="1"/>
  <c r="D13041" i="1"/>
  <c r="D12794" i="1"/>
  <c r="D12795" i="1"/>
  <c r="D13059" i="1"/>
  <c r="D13060" i="1"/>
  <c r="D13061" i="1"/>
  <c r="D13062" i="1"/>
  <c r="D13055" i="1"/>
  <c r="D13056" i="1"/>
  <c r="D13057" i="1"/>
  <c r="D13058" i="1"/>
  <c r="D13063" i="1"/>
  <c r="D13064" i="1"/>
  <c r="D13065" i="1"/>
  <c r="D13066" i="1"/>
  <c r="D13067" i="1"/>
  <c r="D13190" i="1"/>
  <c r="D13191" i="1"/>
  <c r="D13192" i="1"/>
  <c r="D13193" i="1"/>
  <c r="D13194" i="1"/>
  <c r="D13195" i="1"/>
  <c r="D13196" i="1"/>
  <c r="D13197" i="1"/>
  <c r="D13198" i="1"/>
  <c r="D13199" i="1"/>
  <c r="D13200" i="1"/>
  <c r="D13201" i="1"/>
  <c r="D13202" i="1"/>
  <c r="D13203" i="1"/>
  <c r="D13204" i="1"/>
  <c r="D13205" i="1"/>
  <c r="D13206" i="1"/>
  <c r="D13207" i="1"/>
  <c r="D13208" i="1"/>
  <c r="D13209" i="1"/>
  <c r="D13210" i="1"/>
  <c r="D13211" i="1"/>
  <c r="D13212" i="1"/>
  <c r="D13213" i="1"/>
  <c r="D13214" i="1"/>
  <c r="D13215" i="1"/>
  <c r="D13216" i="1"/>
  <c r="D13217" i="1"/>
  <c r="D13218" i="1"/>
  <c r="D13219" i="1"/>
  <c r="D13220" i="1"/>
  <c r="D13221" i="1"/>
  <c r="D13222" i="1"/>
  <c r="D13223" i="1"/>
  <c r="D13224" i="1"/>
  <c r="D13225" i="1"/>
  <c r="D13226" i="1"/>
  <c r="D13227" i="1"/>
  <c r="D13228" i="1"/>
  <c r="D13229" i="1"/>
  <c r="D13230" i="1"/>
  <c r="D13231" i="1"/>
  <c r="D13232" i="1"/>
  <c r="D13233" i="1"/>
  <c r="D13234" i="1"/>
  <c r="D13235" i="1"/>
  <c r="D13236" i="1"/>
  <c r="D13237" i="1"/>
  <c r="D13238" i="1"/>
  <c r="D13239" i="1"/>
  <c r="D13240" i="1"/>
  <c r="D13241" i="1"/>
  <c r="D13242" i="1"/>
  <c r="D13243" i="1"/>
  <c r="D13244" i="1"/>
  <c r="D13245" i="1"/>
  <c r="D13246" i="1"/>
  <c r="D13247" i="1"/>
  <c r="D13248" i="1"/>
  <c r="D13249" i="1"/>
  <c r="D13250" i="1"/>
  <c r="D13251" i="1"/>
  <c r="D13252" i="1"/>
  <c r="D13253" i="1"/>
  <c r="D13254" i="1"/>
  <c r="D13255" i="1"/>
  <c r="D13256" i="1"/>
  <c r="D13257" i="1"/>
  <c r="D13258" i="1"/>
  <c r="D13259" i="1"/>
  <c r="D13260" i="1"/>
  <c r="D13261" i="1"/>
  <c r="D13262" i="1"/>
  <c r="D13263" i="1"/>
  <c r="D13264" i="1"/>
  <c r="D13265" i="1"/>
  <c r="D13266" i="1"/>
  <c r="D13267" i="1"/>
  <c r="D13268" i="1"/>
  <c r="D13269" i="1"/>
  <c r="D13270" i="1"/>
  <c r="D13271" i="1"/>
  <c r="D13272" i="1"/>
  <c r="D13273" i="1"/>
  <c r="D13274" i="1"/>
  <c r="D13275" i="1"/>
  <c r="D13276" i="1"/>
  <c r="D13110" i="1"/>
  <c r="D13111" i="1"/>
  <c r="D13112" i="1"/>
  <c r="D13113" i="1"/>
  <c r="D13114" i="1"/>
  <c r="D13115" i="1"/>
  <c r="D13116" i="1"/>
  <c r="D13117" i="1"/>
  <c r="D13118" i="1"/>
  <c r="D13119" i="1"/>
  <c r="D13120" i="1"/>
  <c r="D13121" i="1"/>
  <c r="D13122" i="1"/>
  <c r="D13123" i="1"/>
  <c r="D13124" i="1"/>
  <c r="D13125" i="1"/>
  <c r="D13126" i="1"/>
  <c r="D13127" i="1"/>
  <c r="D13128" i="1"/>
  <c r="D13129" i="1"/>
  <c r="D13130" i="1"/>
  <c r="D13131" i="1"/>
  <c r="D13132" i="1"/>
  <c r="D13133" i="1"/>
  <c r="D13134" i="1"/>
  <c r="D13135" i="1"/>
  <c r="D13136" i="1"/>
  <c r="D13137" i="1"/>
  <c r="D13138" i="1"/>
  <c r="D13139" i="1"/>
  <c r="D13140" i="1"/>
  <c r="D13141" i="1"/>
  <c r="D13142" i="1"/>
  <c r="D13143" i="1"/>
  <c r="D13144" i="1"/>
  <c r="D13145" i="1"/>
  <c r="D13146" i="1"/>
  <c r="D13147" i="1"/>
  <c r="D13148" i="1"/>
  <c r="D13149" i="1"/>
  <c r="D13150" i="1"/>
  <c r="D13151" i="1"/>
  <c r="D13152" i="1"/>
  <c r="D13153" i="1"/>
  <c r="D13154" i="1"/>
  <c r="D13155" i="1"/>
  <c r="D13156" i="1"/>
  <c r="D13157" i="1"/>
  <c r="D13158" i="1"/>
  <c r="D13159" i="1"/>
  <c r="D13160" i="1"/>
  <c r="D13161" i="1"/>
  <c r="D13162" i="1"/>
  <c r="D13163" i="1"/>
  <c r="D13164" i="1"/>
  <c r="D13165" i="1"/>
  <c r="D13166" i="1"/>
  <c r="D13167" i="1"/>
  <c r="D13168" i="1"/>
  <c r="D13169" i="1"/>
  <c r="D13170" i="1"/>
  <c r="D13171" i="1"/>
  <c r="D13172" i="1"/>
  <c r="D13173" i="1"/>
  <c r="D13174" i="1"/>
  <c r="D13175" i="1"/>
  <c r="D13176" i="1"/>
  <c r="D13177" i="1"/>
  <c r="D13178" i="1"/>
  <c r="D13179" i="1"/>
  <c r="D13180" i="1"/>
  <c r="D13181" i="1"/>
  <c r="D13182" i="1"/>
  <c r="D13183" i="1"/>
  <c r="D13184" i="1"/>
  <c r="D13185" i="1"/>
  <c r="D13186" i="1"/>
  <c r="D13187" i="1"/>
  <c r="D13188" i="1"/>
  <c r="D13189" i="1"/>
  <c r="D13068" i="1"/>
  <c r="D13069" i="1"/>
  <c r="D13070" i="1"/>
  <c r="D13277" i="1"/>
  <c r="D13278" i="1"/>
  <c r="D13279" i="1"/>
  <c r="D13280" i="1"/>
  <c r="D13281" i="1"/>
  <c r="D13282" i="1"/>
  <c r="D13283" i="1"/>
  <c r="D13284" i="1"/>
  <c r="D13285" i="1"/>
  <c r="D13286" i="1"/>
  <c r="D13287" i="1"/>
  <c r="D13288" i="1"/>
  <c r="D13289" i="1"/>
  <c r="D13290" i="1"/>
  <c r="D13291" i="1"/>
  <c r="D13292" i="1"/>
  <c r="D13293" i="1"/>
  <c r="D13294" i="1"/>
  <c r="D13295" i="1"/>
  <c r="D13296" i="1"/>
  <c r="D13297" i="1"/>
  <c r="D13298" i="1"/>
  <c r="D13299" i="1"/>
  <c r="D13300" i="1"/>
  <c r="D13301" i="1"/>
  <c r="D13302" i="1"/>
  <c r="D13303" i="1"/>
  <c r="D13304" i="1"/>
  <c r="D13305" i="1"/>
  <c r="D13306" i="1"/>
  <c r="D13071" i="1"/>
  <c r="D13072" i="1"/>
  <c r="D13073" i="1"/>
  <c r="D13074" i="1"/>
  <c r="D13075" i="1"/>
  <c r="D13076" i="1"/>
  <c r="D13077" i="1"/>
  <c r="D13078" i="1"/>
  <c r="D13079" i="1"/>
  <c r="D13080" i="1"/>
  <c r="D13081" i="1"/>
  <c r="D13319" i="1"/>
  <c r="D13320" i="1"/>
  <c r="D13321" i="1"/>
  <c r="D13322" i="1"/>
  <c r="D13323" i="1"/>
  <c r="D13324" i="1"/>
  <c r="D13325" i="1"/>
  <c r="D13326" i="1"/>
  <c r="D13327" i="1"/>
  <c r="D13328" i="1"/>
  <c r="D13329" i="1"/>
  <c r="D13330" i="1"/>
  <c r="D13331" i="1"/>
  <c r="D13332" i="1"/>
  <c r="D13333" i="1"/>
  <c r="D13334" i="1"/>
  <c r="D13335" i="1"/>
  <c r="D13336" i="1"/>
  <c r="D13337" i="1"/>
  <c r="D13338" i="1"/>
  <c r="D13339" i="1"/>
  <c r="D13340" i="1"/>
  <c r="D13341" i="1"/>
  <c r="D13342" i="1"/>
  <c r="D13343" i="1"/>
  <c r="D13344" i="1"/>
  <c r="D13345" i="1"/>
  <c r="D13346" i="1"/>
  <c r="D13347" i="1"/>
  <c r="D13348" i="1"/>
  <c r="D13349" i="1"/>
  <c r="D13350" i="1"/>
  <c r="D13307" i="1"/>
  <c r="D13308" i="1"/>
  <c r="D13309" i="1"/>
  <c r="D13310" i="1"/>
  <c r="D13311" i="1"/>
  <c r="D13312" i="1"/>
  <c r="D13313" i="1"/>
  <c r="D13314" i="1"/>
  <c r="D13315" i="1"/>
  <c r="D13316" i="1"/>
  <c r="D13317" i="1"/>
  <c r="D13318" i="1"/>
  <c r="D13082" i="1"/>
  <c r="D13083" i="1"/>
  <c r="D13084" i="1"/>
  <c r="D13085" i="1"/>
  <c r="D13086" i="1"/>
  <c r="D13087" i="1"/>
  <c r="D13088" i="1"/>
  <c r="D13089" i="1"/>
  <c r="D13370" i="1"/>
  <c r="D13371" i="1"/>
  <c r="D13372" i="1"/>
  <c r="D13373" i="1"/>
  <c r="D13374" i="1"/>
  <c r="D13375" i="1"/>
  <c r="D13376" i="1"/>
  <c r="D13377" i="1"/>
  <c r="D13378" i="1"/>
  <c r="D13379" i="1"/>
  <c r="D13380" i="1"/>
  <c r="D13381" i="1"/>
  <c r="D13382" i="1"/>
  <c r="D13383" i="1"/>
  <c r="D13384" i="1"/>
  <c r="D13385" i="1"/>
  <c r="D13386" i="1"/>
  <c r="D13387" i="1"/>
  <c r="D13388" i="1"/>
  <c r="D13389" i="1"/>
  <c r="D13390" i="1"/>
  <c r="D13351" i="1"/>
  <c r="D13352" i="1"/>
  <c r="D13353" i="1"/>
  <c r="D13354" i="1"/>
  <c r="D13355" i="1"/>
  <c r="D13356" i="1"/>
  <c r="D13357" i="1"/>
  <c r="D13358" i="1"/>
  <c r="D13359" i="1"/>
  <c r="D13360" i="1"/>
  <c r="D13361" i="1"/>
  <c r="D13362" i="1"/>
  <c r="D13363" i="1"/>
  <c r="D13364" i="1"/>
  <c r="D13365" i="1"/>
  <c r="D13366" i="1"/>
  <c r="D13367" i="1"/>
  <c r="D13368" i="1"/>
  <c r="D13369" i="1"/>
  <c r="D13090" i="1"/>
  <c r="D13091" i="1"/>
  <c r="D13092" i="1"/>
  <c r="D13093" i="1"/>
  <c r="D13094" i="1"/>
  <c r="D13095" i="1"/>
  <c r="D13096" i="1"/>
  <c r="D13097" i="1"/>
  <c r="D13098" i="1"/>
  <c r="D13099" i="1"/>
  <c r="D13100" i="1"/>
  <c r="D13101" i="1"/>
  <c r="D13102" i="1"/>
  <c r="D13103" i="1"/>
  <c r="D13104" i="1"/>
  <c r="D13105" i="1"/>
  <c r="D13106" i="1"/>
  <c r="D13107" i="1"/>
  <c r="D13108" i="1"/>
  <c r="D13109" i="1"/>
  <c r="D13395" i="1"/>
  <c r="D13396" i="1"/>
  <c r="D13397" i="1"/>
  <c r="D13398" i="1"/>
  <c r="D13399" i="1"/>
  <c r="D13400" i="1"/>
  <c r="D13401" i="1"/>
  <c r="D13402" i="1"/>
  <c r="D13403" i="1"/>
  <c r="D13404" i="1"/>
  <c r="D13405" i="1"/>
  <c r="D13406" i="1"/>
  <c r="D13407" i="1"/>
  <c r="D13408" i="1"/>
  <c r="D13409" i="1"/>
  <c r="D13410" i="1"/>
  <c r="D13411" i="1"/>
  <c r="D13412" i="1"/>
  <c r="D13413" i="1"/>
  <c r="D13414" i="1"/>
  <c r="D13415" i="1"/>
  <c r="D13416" i="1"/>
  <c r="D13417" i="1"/>
  <c r="D13418" i="1"/>
  <c r="D13391" i="1"/>
  <c r="D13392" i="1"/>
  <c r="D13393" i="1"/>
  <c r="D13394"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4046" i="1"/>
  <c r="D9875" i="1"/>
  <c r="D5062" i="1"/>
  <c r="D3749" i="1"/>
  <c r="D6448" i="1"/>
  <c r="D5291" i="1"/>
  <c r="D9859" i="1"/>
  <c r="D10699" i="1"/>
  <c r="D1482" i="1"/>
  <c r="D9334" i="1"/>
  <c r="D8900" i="1"/>
  <c r="D7282" i="1"/>
  <c r="D11560" i="1"/>
  <c r="D4888" i="1"/>
  <c r="D11561" i="1"/>
  <c r="D2040" i="1"/>
  <c r="D4997" i="1"/>
</calcChain>
</file>

<file path=xl/sharedStrings.xml><?xml version="1.0" encoding="utf-8"?>
<sst xmlns="http://schemas.openxmlformats.org/spreadsheetml/2006/main" count="89116" uniqueCount="30578">
  <si>
    <t>字詞名</t>
  </si>
  <si>
    <t>辭條別名</t>
  </si>
  <si>
    <t>字數</t>
  </si>
  <si>
    <t>字詞號</t>
  </si>
  <si>
    <t>部首字</t>
  </si>
  <si>
    <t>總筆畫數</t>
  </si>
  <si>
    <t>部首外筆畫數</t>
  </si>
  <si>
    <t>多音排序</t>
  </si>
  <si>
    <t>注音一式</t>
  </si>
  <si>
    <t>變體類型 1:變 2:又音 3:語音 4:讀音 5:或讀</t>
  </si>
  <si>
    <t>變體注音</t>
  </si>
  <si>
    <t>漢語拼音</t>
  </si>
  <si>
    <t>變體漢語拼音</t>
  </si>
  <si>
    <t>相似詞</t>
  </si>
  <si>
    <t>相反詞</t>
  </si>
  <si>
    <t>釋義</t>
  </si>
  <si>
    <t>多音參見訊息</t>
  </si>
  <si>
    <t>八</t>
  </si>
  <si>
    <t xml:space="preserve">八 </t>
  </si>
  <si>
    <t>ㄅㄚ</t>
  </si>
  <si>
    <t xml:space="preserve">  </t>
  </si>
  <si>
    <t>bā</t>
  </si>
  <si>
    <t>[名]_x000D_
1.介於七與九之間的自然數。如：「六、七、八、九……」。大寫作「捌」，阿拉伯數字作「8」。_x000D_
2.姓。如漢代有西域人八滑。_x000D_
3.二一四部首之一。_x000D_
[形]_x000D_
表示數量是八的。如：「八字」、「八方」。_x000D_
[副]_x000D_
形容多數或多方面。如：「四通八達」。_x000D_
（「八」字口語連用在去聲字前讀成陽平，如：「八號」、「八拜」。）</t>
  </si>
  <si>
    <t>扒</t>
  </si>
  <si>
    <t xml:space="preserve">手 </t>
  </si>
  <si>
    <t>[動]
1.剝開。如：「把橘子扒開來吃。」
2.扯掉。如：「扒衣裳」。
3.挖開、刨開。如：「扒土」、「扒堤」。
4.用手攀住東西。如：「扒著欄杆」、「你扒住，不然會掉下去。」</t>
  </si>
  <si>
    <t>(二)ㄆㄚˊ pá（00584）</t>
  </si>
  <si>
    <t>叭</t>
  </si>
  <si>
    <t xml:space="preserve">口 </t>
  </si>
  <si>
    <t>[名]_x000D_
參見「喇叭」條。_x000D_
[擬]_x000D_
模擬汽車、機車的喇叭聲。如：「忽聽叭的一聲，嚇了我一跳！」</t>
  </si>
  <si>
    <t>巴</t>
  </si>
  <si>
    <t xml:space="preserve">己 </t>
  </si>
  <si>
    <t>[名]
1.國名。春秋時所建的國家，故城約在今大陸地區四川省東部。
2.量詞。計算大氣壓力的單位。為英語bar的音譯。每平方公尺受力十萬牛噸，即每平方公分受力一百萬達因的壓力稱為「一巴」，其千分之一稱為「毫巴」。也譯作「巴爾」。
3.姓。如漢代有巴祗。
[動]
1.期望、盼望。如：「巴望」。元．秦𥳑夫《東堂老》第二折：「凍剌剌窯中巴不到那明，痛親眷敲門都沒個應。」
2.努力營求。《二刻拍案驚奇》卷二六：「守了一世書窗，指望巴個出身，多少掙些家私。」
3.接近、貼近。《水滸傳》第三回：「前不巴村，後不巴店。」《紅樓夢》第九九回：「巴著窗戶眼兒一瞧，原來寶妹妹坐在炕沿上，寶兄弟站在地上。」
[綴]
1.附屬在物體下面、後面的東西。如：「尾巴」、「下巴」。
2.指因乾燥、溼稠凝結成塊的東西。如：「鍋巴」、「泥巴」、「鹽巴」。</t>
  </si>
  <si>
    <t>吧</t>
  </si>
  <si>
    <t>[名]_x000D_
酒吧。為英文bar的音譯。如：「吧檯」、「吧女」、「鋼琴酒吧」。_x000D_
[動]_x000D_
吸。如：「他吧了一口菸，緩和一下情緒。」_x000D_
[擬]_x000D_
模擬短暫的爆裂聲。如：「吧！吧！吧！打了三槍。」</t>
  </si>
  <si>
    <t>(二)˙ㄅㄚ ba（00036）</t>
  </si>
  <si>
    <t>芭</t>
  </si>
  <si>
    <t xml:space="preserve">艸 </t>
  </si>
  <si>
    <t>[名]
1.一種香草。《楚辭．屈原．九歌．禮魂》：「成禮兮會鼓，傳芭兮代舞。」宋．洪興祖．補注：「芭，巫所持香草名也。」
2.參見「芭蕉」條。
3.一種有刺的竹子。通「笆」。
4.花。通「葩」。
5.姓。如夏朝有芭莨。</t>
  </si>
  <si>
    <t>疤</t>
  </si>
  <si>
    <t xml:space="preserve">疒 </t>
  </si>
  <si>
    <t>[名]
1.瘡口或傷口癒合後所留下的痕跡。明．張自烈《正字通．疒部》：「疤，俗呼瘡痕曰：『疤』。本作瘢。」如：「刀疤」、「瘡疤」。
2.類似傷疤的痕跡。如：「鍋底有個疤。」、「這牆上怎麼坑坑疤疤的？」</t>
  </si>
  <si>
    <t>羓</t>
  </si>
  <si>
    <t xml:space="preserve">羊 </t>
  </si>
  <si>
    <t>[名]
1.乾肉。《集韻．平聲．麻韻》：「羓，腊屬。」如：「羓子」、「羊羓」。《新五代史．卷七二．四夷附錄》：「契丹破其腹，去其腸胃，實之以鹽，載而北。晉人謂之『帝羓』焉。」
2.泛指一般乾製食品。宋．楊萬里〈初食太原生蒲萄時十二月二日〉詩：「淮北蒲萄十月熟，縱可作羓也無肉。」</t>
  </si>
  <si>
    <t>粑</t>
  </si>
  <si>
    <t xml:space="preserve">米 </t>
  </si>
  <si>
    <t>[名]
譯音用字。參見「糌粑」條。
[綴]
表乾扁的食物。如：「鍋粑」。</t>
  </si>
  <si>
    <t>笆</t>
  </si>
  <si>
    <t xml:space="preserve">竹 </t>
  </si>
  <si>
    <t>[名]_x000D_
1.一種有刺的竹子，即棘竹。《玉篇．竹部》：「笆，竹有刺。」_x000D_
2.用竹枝或竹片編成的片狀物。俗稱為「竹籬笆」。唐．白居易〈秦中吟．買花〉：「上張幄幕庇，旁織笆籬護。」也稱為「籬笆」。</t>
  </si>
  <si>
    <t>豝</t>
  </si>
  <si>
    <t xml:space="preserve">豕 </t>
  </si>
  <si>
    <t>[名]
1.母豬。《說文解字．豕部》：「豝，牝豕也。」《詩經．召南．騶虞》：「彼茁者葭，壹發五豝。」
2.豬二歲稱為「豝」。《說文解字．豕部》：「豝，一曰：『二歲豕，能相杷拏者也。』」</t>
  </si>
  <si>
    <t>鈀</t>
  </si>
  <si>
    <t xml:space="preserve">金 </t>
  </si>
  <si>
    <t>[名]
（palladium，Pd）化學元素。原子序46。色白如銀，可製合金，與鉑同產，因熔點較鉑低，故從白金礦中提取。可作為氫化反應的觸媒。</t>
  </si>
  <si>
    <t>(一)ㄅㄚˇ bǎ（00024）</t>
  </si>
  <si>
    <t>捌</t>
  </si>
  <si>
    <t>[名]
1.八的大寫。
2.一種農具。即無齒杷，用來推聚晒穀場上稻穀的器具。漢．史游《急就篇》卷三：「捃、穫、秉、把、插、捌、杷……。」唐．顏師古．注：「無齒為捌，有齒為杷。」
[動]
剝開、分開。同「扒」。</t>
  </si>
  <si>
    <t>拔</t>
  </si>
  <si>
    <t>ㄅㄚˊ</t>
  </si>
  <si>
    <t>bá</t>
  </si>
  <si>
    <t>[動]
1.拉出、抽出。如：「拔草」、「拔旗」、「拔劍」。《孟子．盡心上》：「楊子取為我，拔一毛而利天下不為也。」
2.吸取。如：「拔毒」、「拔出膿來」。
3.除去。如：「拔禍根」、「拔去眼中釘，肉中刺」。
4.選出。如：「提拔」、「選拔」。《漢書．卷七五．李尋傳》：「閉絕私路，拔進英雋。」
5.特出。《孟子．公孫丑上》：「出於其類，拔乎其萃。」《文選．孔稚珪．北山移文》：「夫以耿介拔俗之標，瀟灑出塵之想。」
6.拉高。如：「拔起嗓門尖叫。」
7.動搖、改變。如：「堅忍不拔」、「牢不可拔」。《易經．乾卦．文言》：「樂則行之，憂則違之，確乎其不可拔。」
8.攻取、占領。如：「連拔五城」。《孫子．謀攻》：「殺士三分之一，而城不拔者，此攻之災也。」
9.矯治。如：「用藥膏將扭傷的脖子拔直。」
[名]
括，箭的尾端。《詩經．秦風．駟驖》：「公曰：『左之。』舍拔則獲。」漢．毛亨．傳：「拔，矢末也。」
[副]
急速。《禮記．少禮》：「毋拔來，毋報往。」漢．鄭玄．注：「報讀為赴疾之赴，拔、赴皆疾也。」</t>
  </si>
  <si>
    <t>茇</t>
  </si>
  <si>
    <t>[名]
草根。《說文解字．艸部》：「茇，草根也。」《淮南子．墬形》：「凡根茇草者，生於庶草。」
[動]
在草叢中休息住宿。《詩經．召南．甘棠》：「蔽芾甘棠，勿翦勿伐，召伯所茇。」</t>
  </si>
  <si>
    <t>(二)ㄅㄟˋ bèi（00180）</t>
  </si>
  <si>
    <t>胈</t>
  </si>
  <si>
    <t xml:space="preserve">肉 </t>
  </si>
  <si>
    <t>[名]
1.大腿上的細毛。《史記．卷一一七．司馬相如傳》：「心煩於慮而身親其勞，躬胝無胈，膚不生毛。」司馬貞索隱引韋昭曰：「胈，其中小毛也。」
2.大腿股的白肉。《莊子．天下》：「禹親自操橐耜，而九雜天下之川，腓無胈，脛無毛。」唐．成玄英．疏：「（禹）勘苦執勞，形容毀悴，遂使腓股無肉，膝脛無毛。」</t>
  </si>
  <si>
    <t>軷</t>
  </si>
  <si>
    <t xml:space="preserve">車 </t>
  </si>
  <si>
    <t>[動]
祭告路神。《說文解字．車部》：「軷，出將有事於道，必先告其神。立壇四通，尌茅以依神為軷。」《詩經．大雅．生民》：「取蕭祭脂，取羝以軷。」漢．毛亨．傳：「軷，道祭也。」</t>
  </si>
  <si>
    <t>(二)（又音）ㄅㄛˊ bó（00058）</t>
  </si>
  <si>
    <t>菝</t>
  </si>
  <si>
    <t>[名]
1.菝葀：古代一種象徵祥瑞的草。《廣韻．入聲．末韻》：「菝：菝葀，瑞草。」
2.菝葜：植物名。百合科菝葜屬，攀緣灌木。地下莖呈塊根狀，質堅硬。莖有刺。葉互生，闊卵形或近圓形，掌狀脈五至七條，繖形花序單生葉腋，總梗長二十至二十五公厘，花被片六枚，黃綠色。漿果球形，紅熟。根、莖均可入藥。明．李時珍《本草綱目．卷一五．草部．菝葜》：「此草莖蔓強堅短小，故名菝葜。而江浙人謂之菝葜根，亦曰金剛根，楚人謂之鐵菱角，皆狀其堅有尖刺也。」</t>
  </si>
  <si>
    <t>跋</t>
  </si>
  <si>
    <t xml:space="preserve">足 </t>
  </si>
  <si>
    <t>[動]
1.陸地行走稱為「跋」。如：「跋山涉水」。《詩經．鄘風．載馳》：「大夫跋涉，我心則憂。」漢．毛亨．傳：「草行曰跋，水行曰涉。」
2.踐踏。如：「跋胡疐尾」、「跋前疐後」。
3.迴轉。唐．李商隱〈偶成轉韻七十二句贈四同舍〉詩：「韓公堆上跋馬時，迴望秦川樹如薺。」《資治通鑑．卷一九一．唐紀七．高祖武德九年》：「（建成、元吉）覺變，即跋馬東歸宮府。」元．胡三省．注：「跋馬者，搖駷馬銜，偏促一轡，又以兩足搖鼓馬腹，使之迴走。」
[名]
1.文體名。寫於書籍、文章、字畫或碑帖等後面言簡意賅的文字稱為「跋」。跋文內容多屬評介、鑑定或考據等性質。
2.姓。如五代後梁有跋異。</t>
  </si>
  <si>
    <t>鈸</t>
  </si>
  <si>
    <t>[名]
樂器名，打擊樂器。銅製。由兩個中間凸起的圓形銅片相撞擊發聲。一般直徑從十五至六十九公分不等，亞洲民間亦有十一公分以下尺寸，而有小鈸、大鈸、低鈸之分。傳統上常用於民間音樂與戲曲。也稱為「銅鈸」。</t>
  </si>
  <si>
    <t>(二)（又音）ㄅㄛˊ bó（00059）</t>
  </si>
  <si>
    <t>魃</t>
  </si>
  <si>
    <t xml:space="preserve">鬼 </t>
  </si>
  <si>
    <t>[名]
傳說中造成旱災的鬼神。《說文解字．鬼部》：「魃，旱鬼也。」《詩經．大雅．雲漢》：「旱魃為虐，如惔如焚。」漢．毛亨．傳：「魃，旱神也。」</t>
  </si>
  <si>
    <t>鼥</t>
  </si>
  <si>
    <t xml:space="preserve">鼠 </t>
  </si>
  <si>
    <t>[名]
鼧鼥：動物名。松鼠科。體粗壯，四肢短小。毛皮柔軟珍貴，可製裘衣，輕暖而不易溼透。也稱為「土撥鼠」。</t>
  </si>
  <si>
    <t>把</t>
  </si>
  <si>
    <t>ㄅㄚˇ</t>
  </si>
  <si>
    <t>bǎ</t>
  </si>
  <si>
    <t>[動]
1.握住、拿著。《說文解字．手部》：「把，握也。」如：「把手言歡」、「把住欄干」。唐．孟浩然〈過故人莊〉詩：「開筵面場圃，把酒話桑麻。」
2.看守。如：「把守」、「把關」。唐．貫休〈古塞下曲〉七首之一：「下營依遁甲，分帥把河隍。」《水滸傳》第六一回：「守門的左右約有四五十軍士，簇捧著一個把門的官人在那里坐定。」
3.給與。《儒林外史》第四七回：「虞家小廝又悄悄的從後門叫了一個賣草的，把他四個錢。」
4.抱著小孩大小便。如：「把屎」、「把尿」。
[名]
量詞：(1)計算有柄、有把手器物的單位。如：「一把刀」、「兩把傘」。(2)計算成束的長條狀物品的單位。如：「一把蔥」、「兩把筷子」、「三把火把」。(3)計算手所能盈握數量的單位。如：「一把鹽」、「兩把花生米」。(4)計算手部動作的單位。如：「推他一把」、「拉你一把」。(5)計算火的單位。如：「放一把火」、「一把怒火」、「一把無名火」。
[形]
表示約數。如：「丈把長」、「個把鐘頭」。《儒林外史》第二回：「李老爹這幾年在新任老爺手裡著實跑起來了，怕不一年要尋千把銀子。」
[介]
1.將：(1)表示處理、處置的意思。如：「把門關上」、「把臉洗淨」。(2)表示致使、導致的意思。如：「把他惹惱了」、「把你氣哭了」、「把我急瘋了」。
2.被。元．蕭德祥《殺狗勸夫》第二折：「這明明是天賜我兩個橫財，不取了他的，倒把別人取了去。」</t>
  </si>
  <si>
    <t>(二)ㄅㄚˋ bà（00026）(三)ㄅㄞˇ bǎi（00137）</t>
  </si>
  <si>
    <t>[名]
1.古時一種兵車。《說文解字．金部》：「鈀，兵車也。」
2.武器名。狀似耙，有柄。《西遊記》第一九回：「那怪真個舉起鈀，著氣力築將來。」也稱為「釘耙」。
3.一種農具。同「耙」。
[動]
扒、掘。元．無名氏《來生債》第一折：「你都來做甚麼？怎麼鈀我的門限？說著也不聽，你還鈀哩！鈀出我的銀子來了！」</t>
  </si>
  <si>
    <t>(二)ㄅㄚ bā（00012）</t>
  </si>
  <si>
    <t>靶</t>
  </si>
  <si>
    <t xml:space="preserve">革 </t>
  </si>
  <si>
    <t>[名]
1.皮製的馬韁。《說文解字．革部》：「靶，轡革也。」《漢書．卷六四下．王襃傳》：「王良執靶，韓哀附輿。」
2.射擊的目標。如：「打靶」、「靶子」、「飛靶」。
3.柄。同「把」。《北齊書．卷三三．徐之才傳》：「又有以骨為刀子靶者，五色班斕。」</t>
  </si>
  <si>
    <t>ㄅㄚˋ</t>
  </si>
  <si>
    <t>bà</t>
  </si>
  <si>
    <t>[名]
1.柄，器具上便於手拿的部分。如：「槍把」、「刀把」。唐．陸德明《經典釋文．卷一一．禮記音義之一》：「把中，音霸，手執處也。」也稱為「把兒」、「把子」。
2.花、葉或果實等的梗子。如：「花把兒」、「葉把兒」。</t>
  </si>
  <si>
    <t>(一)ㄅㄚˇ bǎ（00023）(三)ㄅㄞˇ bǎi（00137）</t>
  </si>
  <si>
    <t>弝</t>
  </si>
  <si>
    <t xml:space="preserve">弓 </t>
  </si>
  <si>
    <t>[名]
1.弓中央手握的部分。元．熊忠《古今韻會舉要．去聲．禡韻》：「弝，弓弣中手執處也。」
2.柄。唐．李賀〈申胡子觱篥歌〉：「朔客騎白馬，劍弝懸蘭纓。」</t>
  </si>
  <si>
    <t>爸</t>
  </si>
  <si>
    <t xml:space="preserve">父 </t>
  </si>
  <si>
    <t>[名]
稱謂。子女對父親的稱呼，一般疊稱為「爸爸」。《集韻．上聲．果韻》：「爸，爹、父也。」</t>
  </si>
  <si>
    <t>耙</t>
  </si>
  <si>
    <t xml:space="preserve">耒 </t>
  </si>
  <si>
    <t xml:space="preserve">又音 </t>
  </si>
  <si>
    <t>(一)之又音。</t>
  </si>
  <si>
    <t>(一)ㄆㄚˊ pá（00587）</t>
  </si>
  <si>
    <t>伯</t>
  </si>
  <si>
    <t xml:space="preserve">人 </t>
  </si>
  <si>
    <t>[名]_x000D_
古稱諸侯的盟主。通「霸」。《左傳．成公二年》：「樹德而濟同欲焉，五伯之霸也。」唐．孔穎達．正義：「伯者，長也。言為諸侯之長也。鄭玄云：『天子衰，諸侯興，故曰霸。霸，把也。言把持王者之政教。』故其字或作伯，或作霸也。」_x000D_
[動]_x000D_
稱霸、統領。通「霸」。《戰國策．秦策一》：「文王伐崇，武王伐紂，齊桓任戰而伯天下。」《荀子．儒效》：「用萬乘之國，則舉錯而定，一朝而伯。」</t>
  </si>
  <si>
    <t>(一)（讀音）ㄅㄛˊ bó（00062）(二)（語音）ㄅㄞˇ bǎi（00134）</t>
  </si>
  <si>
    <t>罷</t>
  </si>
  <si>
    <t xml:space="preserve">网 </t>
  </si>
  <si>
    <t>[動]
1.遣放有罪的人。《說文解字．网部》：「罷，遣有罪也。」
2.停止。如：「罷工」、「欲罷不能」。
3.免除、廢止。如：「罷免」、「罷官」。
4.終了。《楚辭．屈原．離騷》：「時曖曖將罷兮，結幽蘭而延佇。」
[副]
1.完畢。如：「吃罷」、「做罷」。
2.表示時間，相當於「時」、「後」的意思。唐．杜甫〈懷舊〉詩：「老罷知明鏡，悲來望白雲。」
[歎]
表示失望、忿恨，常疊用。《清平山堂話本．快嘴李翠蓮記》：「張員外道：『罷！罷！這樣媳婦久后必被敗壞門風。』」</t>
  </si>
  <si>
    <t>(二)˙ㄅㄚ ba（00039）(三)ㄆㄧˊ pí（00843）</t>
  </si>
  <si>
    <t>矲</t>
  </si>
  <si>
    <t xml:space="preserve">矢 </t>
  </si>
  <si>
    <t>[形]
短小。同「罷」。漢．揚雄《方言》卷一〇：「矲，短也。……桂林之中謂短矲；矲，通語也。」參見「矲矮」、「矲雉」等條。或讀為ㄅㄞˇ bǎi。</t>
  </si>
  <si>
    <t>霸</t>
  </si>
  <si>
    <t xml:space="preserve">雨 </t>
  </si>
  <si>
    <t>[名]_x000D_
1.古時候諸侯的首領。如：「春秋五霸」。《管子．兵法》：「故夫兵雖非備道至德也，然而所以輔王成霸。今代之用兵者不然，不知兵權者也。」《孟子．告子下》：「五霸者，摟諸侯以伐諸侯者也。」_x000D_
2.在地方上為非作歹、作惡稱雄的人。如：「惡霸」。《水滸傳》第三七回：「我這裡有三霸，哥哥不知，一發說與哥哥知道。」《紅樓夢》第四回：「無奈薛家原係金陵一霸，倚財仗勢，眾豪奴將我小主人竟打死了。」_x000D_
3.河川名。即霸水。源出於大陸地區陝西省藍田縣西北，注入渭水。也作「灞」。_x000D_
[動]_x000D_
1.把持、稱雄。如：「獨霸一方」。《論語．憲問》：「管仲相桓公，霸諸侯，一匡天下。」《史記．卷七．項羽本紀》：「所當者破，所擊者服，未嘗敗北，遂霸有天下。」_x000D_
2.能力超越他人。《史記．卷四七．孔子世家》：「孔子為政必霸。」南朝梁．劉勰《文心雕龍．事類》：「主佐合德，文采必霸。」_x000D_
[形]_x000D_
1.專橫的、殘暴的。《隋書．卷四二．列傳．李德林》：「有教無類，童子羞於霸功，見德思齊，狂夫成於聖業。」宋．劉克莊〈庚申召對〉：「臣惟國家三數年來，凶相弄權，以富彊自詭，輔聖天子而行霸政，為天下宰而設騙局。」_x000D_
2.超拔的。清．夏孫桐〈南樓令．殘葉下寒階〉詞：「夕陽澹金臺，銷沉幾霸才。」_x000D_
[副]_x000D_
強橫無理。如：「霸占」、「霸據」。</t>
  </si>
  <si>
    <t>(二)ㄆㄛˋ pò（00631）</t>
  </si>
  <si>
    <t>灞</t>
  </si>
  <si>
    <t xml:space="preserve">水 </t>
  </si>
  <si>
    <t>[名]
河川名。即灞水，今稱灞河。源出陝西省西安市藍田縣，流經西安市灞橋區，向北注入渭河。灞水上有橋，古時長安送行者，多至此折柳贈別。</t>
  </si>
  <si>
    <t>壩</t>
  </si>
  <si>
    <t xml:space="preserve">土 </t>
  </si>
  <si>
    <t>[名]
1.築在河上或湖口狹處，用以擋水並提高水位的建築物。《集韻．去聲．禡韻》：「壩，堰也。」如：「水壩」、「大壩」。
2.水利工程中用以鞏固堤防的建築物。如：「丁壩」。宋．單鍔〈吳中水利書〉：「其河自西壩至東壩十六里有餘。」
3.參見「壩子」條。
4.地名用字。是漢藏語族固有且慣用的地名詞彙，常見於長城以南及西南各省區市，如陝西寶雞市留壩縣的留壩、西藏昌都市左貢縣壩子、四川綿陽市轄江油市的雁門壩，及福建泉州市轄南安市的壩子口等。</t>
  </si>
  <si>
    <t>˙ㄅㄚ</t>
  </si>
  <si>
    <t>ba</t>
  </si>
  <si>
    <t>[助]
1.用於句末：(1)表示商量、請求等語氣。如：「給我吧！」(2)表示指使。如：「快走吧！」(3)表示同意。如：「好吧！」(4)表示推測。如：「明天該不會下雨吧？」(5)表示感嘆。如：「算了吧！」
2.用於句中，表示停頓。只用於對舉的句型中，表示猶疑、兩難的語氣。如：「做吧，沒有工夫；不做吧，又急著要用。」</t>
  </si>
  <si>
    <t>(一)ㄅㄚ bā（00005）</t>
  </si>
  <si>
    <t>杷</t>
  </si>
  <si>
    <t xml:space="preserve">木 </t>
  </si>
  <si>
    <t>(一)（讀音）ㄆㄚˊ pá（00585）(三)（語音）˙ㄆㄚ pa（00595）</t>
  </si>
  <si>
    <t>琶</t>
  </si>
  <si>
    <t xml:space="preserve">玉 </t>
  </si>
  <si>
    <t>(一)（讀音）ㄆㄚˊ pá（00588）(三)（語音）˙ㄆㄚ pa（00596）</t>
  </si>
  <si>
    <t>用於句末，用法同「吧」(二)。</t>
  </si>
  <si>
    <t>(一)ㄅㄚˋ bà（00031）(三)ㄆㄧˊ pí（00843）</t>
  </si>
  <si>
    <t>癶</t>
  </si>
  <si>
    <t xml:space="preserve">癶 </t>
  </si>
  <si>
    <t>ㄅㄛ</t>
  </si>
  <si>
    <t>bō</t>
  </si>
  <si>
    <t>[形]
足剌癶：兩個腳掌向外張開行走的樣子。《說文解字．癶部》：「癶，足剌癶也。」
[動]
行走。五代周．衛元嵩《元包經．卷二．少陽四》：「漸，辵之癶。」唐．蘇源明．傳：「足有所行也。」唐．李江．注：「癶，行也。」
[名]
二一四部首之一。</t>
  </si>
  <si>
    <t>撥</t>
  </si>
  <si>
    <t>[動]
1.橫向推開或排除。如：「撥草」、「撥雲見日」。
2.用手轉動、挑動或拉動。如：「撥鐘」、「撥弦」、「撥轉馬頭」。
3.扭轉。《公羊傳．哀公十四年》：「撥亂世，反諸正。」
4.提出部分發放。如：「撥一筆基金給孤兒院。」
5.碰觸撞擊。唐．岑參〈走馬川行奉送出師西征〉詩：「將軍金甲夜不脫，半夜軍行戈相撥。」
[名]
1.挑動、彈動弦索樂器的用具。唐．白居易〈琵琶行〉：「曲終收撥當心畫，四弦一聲如裂帛。」
2.量詞。計算成批或分組人群的單位。如：「有一撥人馬剛打這裡經過。」、「分成兩撥人進行工作。」</t>
  </si>
  <si>
    <t>蹳</t>
  </si>
  <si>
    <t>[動]
踢踏、踢落。《集韻．入聲．末韻》：「蹳，足跋物。」《漢書．卷四一．夏侯嬰傳》：「漢王急，馬罷，虜在後，常蹳兩兒棄之。」</t>
  </si>
  <si>
    <t>鱍</t>
  </si>
  <si>
    <t xml:space="preserve">魚 </t>
  </si>
  <si>
    <t>參見「鱍鱍」條。</t>
  </si>
  <si>
    <t>波</t>
  </si>
  <si>
    <t>[名]
1.水因湧流或風力振盪所產生的起伏現象。如：「水波」、「海波」。
2.比喻目光。如：「眼波」、「秋波」。《文選．宋玉．神女賦》：「望余帷而延視兮，若流波之將瀾。」
3.物理學上指由彈性體振動所產生像波浪一樣起落的現象。如：「音波」、「電波」。
4.永字八法之一。唐．張彥遠《法書要錄．卷一．王右軍題衛夫人筆陣圖後》：「每作一波，常三過折筆。」也稱為「捺」、「磔」。
5.量詞。計算接續情勢的單位。如：「第三波」、「一波又一波的攻勢。」
6.姓。如漢代有波儁。
[動]
1.跑。如：「奔波」。明．李翊《俗呼小錄》卷一：「跑謂之波。」
2.逃。《法苑珠林．卷二六》引南齊．王琰《冥祥記》：「蘇峻之亂，都邑人士皆東西波遷。」《樂府詩集．卷二五．企喻歌辭．橫吹曲辭五．四曲之一》：「鷂子經天飛，群雀兩向波。」
[助]
元曲科白中常用作語助詞，置於句中或句末。同「吧」。元．王實甫《西廂記．第三本．第一折》：「心波學士！我願為之，並不推辭，自有言語。」</t>
  </si>
  <si>
    <t>(二)（又音）ㄆㄛ pō（00597）</t>
  </si>
  <si>
    <t>玻</t>
  </si>
  <si>
    <t>參見「玻璃」條。</t>
  </si>
  <si>
    <t>啵</t>
  </si>
  <si>
    <t>[動]
親吻。如：「啵一下臉頰」。
[助]
表示商榷或祈使的語尾助詞。如：「弟兄們，努力幹啵。」</t>
  </si>
  <si>
    <t>(二)（又音）˙ㄅㄛ bo（00129）</t>
  </si>
  <si>
    <t>菠</t>
  </si>
  <si>
    <t>參見「菠菜」條。</t>
  </si>
  <si>
    <t>碆</t>
  </si>
  <si>
    <t xml:space="preserve">石 </t>
  </si>
  <si>
    <t>[名]
射鳥用的石製箭頭。《集韻．平聲．戈韻》：「碆，石也。可為矢鏃。」
[動]
用石製箭頭繫於絲弦上，射擊飛鳥。《史記．卷四〇．楚世家》：「出寶弓，碆新繳，射噣鳥於東海。」</t>
  </si>
  <si>
    <t>(二)（又音）ㄆㄛˊ pó（00604）</t>
  </si>
  <si>
    <t>砵</t>
  </si>
  <si>
    <t>參見「砵酒」條。</t>
  </si>
  <si>
    <t>缽</t>
  </si>
  <si>
    <t xml:space="preserve">缶 </t>
  </si>
  <si>
    <t>[名]
1.梵語ｐāｔｒａ音譯的省稱。出家人盛飯食的器具。《晉書．卷九五．藝術列傳．佛圖澄》：「澄即取缽盛水，燒香咒之。」
2.泛稱可盛酒、裝東西或洗滌東西的圓形金屬或陶瓷用具。如：「酒缽」、「飯缽」。</t>
  </si>
  <si>
    <t>趵</t>
  </si>
  <si>
    <t>[擬]_x000D_
模擬腳踏地的聲音。《玉篇．足部》：「趵，足擊聲。」_x000D_
[動]_x000D_
用腳踩踏。《廣韻．入聲．覺韻》：「趵，足擊。」</t>
  </si>
  <si>
    <t>(一)ㄅㄠˋ bào（00228）</t>
  </si>
  <si>
    <t>般</t>
  </si>
  <si>
    <t xml:space="preserve">舟 </t>
  </si>
  <si>
    <t>參見「般若」條。</t>
  </si>
  <si>
    <t>(一)ㄅㄢ bān（00241）(二)ㄆㄢˊ pán（00711）</t>
  </si>
  <si>
    <t>剝</t>
  </si>
  <si>
    <t xml:space="preserve">刀 </t>
  </si>
  <si>
    <t xml:space="preserve">讀音 </t>
  </si>
  <si>
    <t>[動]
1.脫落。《廣雅．釋詁》：「剝，脫也。」《莊子．人間世》：「夫柤梨橘柚果蓏之屬，實熟則剝。」北魏．酈道元《水經注．穀水注》：「文字剝缺，不復可識。」
2.脫去。唐．白居易〈新樂府．杜陵叟〉：「剝我身上帛，奪我口中粟。」《水滸傳》第四三回：「朱貴慌忙攔住，李逵方纔住了手就士兵身上，剝了兩件衣服穿上。」
3.除去物體外表的皮殼。如：「剝橘子」、「剝花生」、「抽絲剝繭」。
4.強制除去。如：「剝削」、「剝奪」。〈後漢書．卷七八．宦者傳．序〉：「狗馬飾雕文，土木被緹繡。皆剝割萌黎，競恣奢欲。」
[名]
《易經》卦名。六十四卦之一。坤（☷）下艮（☶）上，剝落之象。</t>
  </si>
  <si>
    <t>(二)（語音）ㄅㄠ bāo（00210）</t>
  </si>
  <si>
    <t>嶓</t>
  </si>
  <si>
    <t xml:space="preserve">山 </t>
  </si>
  <si>
    <t>參見「嶓冢」條。</t>
  </si>
  <si>
    <t>餑</t>
  </si>
  <si>
    <t xml:space="preserve">食 </t>
  </si>
  <si>
    <t>[名]
1.煮茶所得的精華。茶煮好後浮在表面上的泡，稱為「沫」。輕的沫稱為「花」，在湯中層層混合的茶沫稱為「餑」。唐．陸羽《茶經．卷下．五之煮》：「凡酌置諸碗，令沫、餑均。沫、薄，湯之華也。華之薄者曰：『沫』，厚者曰：『餑』，細輕者曰：『花』。」
2.麵食。參見「餑餑」條。</t>
  </si>
  <si>
    <t>嚗</t>
  </si>
  <si>
    <t>[擬]_x000D_
1.模擬發怒的聲音。《集韻．入聲．覺韻》：「嚗，怒聲。」_x000D_
2.模擬物體迸裂的聲音。唐．段成式《酉陽雜俎．卷一四．諾皋記上》：「柳氏遽取（胡桃）翫之掌中，遂長，初如拳如碗，驚顧之際，已如盤矣，嚗然分為兩扇。」</t>
  </si>
  <si>
    <t>犮</t>
  </si>
  <si>
    <t xml:space="preserve">犬 </t>
  </si>
  <si>
    <t>ㄅㄛˊ</t>
  </si>
  <si>
    <t>bó</t>
  </si>
  <si>
    <t>[形]
狗行走的樣子。《說文解字．犬部》「犮」字．清．段玉裁．注：「犮，犬走貌。」
[動]
拔除。通「拔」。《周禮．秋官．司寇》：「赤犮氏。」漢．鄭玄．注：「赤犮猶言捇拔也。」</t>
  </si>
  <si>
    <t>(一)ㄅㄚˊ bá（00017）</t>
  </si>
  <si>
    <t>(一)ㄅㄚˊ bá（00020）</t>
  </si>
  <si>
    <t>白</t>
  </si>
  <si>
    <t xml:space="preserve">白 </t>
  </si>
  <si>
    <t>(一)之讀音。</t>
  </si>
  <si>
    <t>(一)（語音）ㄅㄞˊ bái（00132）</t>
  </si>
  <si>
    <t>百</t>
  </si>
  <si>
    <t>參見「百色縣」條。</t>
  </si>
  <si>
    <t>(一)（語音）ㄅㄞˇ bǎi（00133）</t>
  </si>
  <si>
    <t>[名]
1.兄長。古人以為兄弟長幼排行的次序，伯最大。
2.稱謂：(1)尊稱父親的哥哥。如：「大伯」、「二伯」。(2)尊稱丈夫的哥哥為「伯」。(3)尊稱年齡或輩分較高的人。如：「老伯」、「世伯」。
3.古代封建制度裡，公、侯、伯、子、男等爵位的第三等。
4.用以稱擅長某種才藝的人。如：「詩伯」、「畫伯」。
5.姓。如春秋時晉國有伯宗，楚國有伯州犁。</t>
  </si>
  <si>
    <t>(二)（語音）ㄅㄞˇ bǎi（00134）(三)ㄅㄚˋ bà（00030）</t>
  </si>
  <si>
    <t>泊</t>
  </si>
  <si>
    <t>[動]
1.船隻靠岸。如：「泊舟」、「泊岸」、「停泊」。唐．杜牧〈泊秦淮〉詩：「煙籠寒水月籠沙，夜泊秦淮近酒家。」
2.棲止、停留。如：「漂泊」。唐．陳子昂〈古意題徐令壁〉詩：「聞君太平世，棲泊靈臺側。」
[名]
湖沼。如：「湖泊」、「梁山泊」、「楊柳泊」。
[形]
恬靜、淡漠。如：「淡泊」。《後漢書．卷五〇下．蔡邕傳》：「明哲泊焉，不失所寧。」</t>
  </si>
  <si>
    <t>(二)（又音）ㄆㄛˋ pò（00618）</t>
  </si>
  <si>
    <t>拍</t>
  </si>
  <si>
    <t>[名]
肩胛。通「膊」。《周禮．天官．醢人》：「豚拍魚醢。」</t>
  </si>
  <si>
    <t>(一)（語音）ㄆㄞ pāi（00632）(二)（讀音）ㄆㄛˋ pò（00619）(三)ㄆㄚ pā（00579）</t>
  </si>
  <si>
    <t>佰</t>
  </si>
  <si>
    <t>(一)（語音）ㄅㄞˇ bǎi（00135）(三)ㄇㄛˋ mò（01074）</t>
  </si>
  <si>
    <t>帛</t>
  </si>
  <si>
    <t xml:space="preserve">巾 </t>
  </si>
  <si>
    <t>[名]
1.絲織品的總稱。如：「帛書」、「絹帛」、「帛畫」。《孟子．梁惠王上》：「五十者可以衣帛矣。」
2.姓。如漢代有帛敞。</t>
  </si>
  <si>
    <t>柏</t>
  </si>
  <si>
    <t>[名]
1.柏科植物的總稱。常綠喬木。性耐寒，葉小、鱗形，紋理細密，是上好材質。有扁柏、側柏、檜柏、羅漢柏等數種。
2.姓。如周代有柏景。</t>
  </si>
  <si>
    <t>(二)（語音）ㄅㄞˇ bǎi（00136）</t>
  </si>
  <si>
    <t>舶</t>
  </si>
  <si>
    <t>[名]
大船。如：「船舶」。《廣韻．入聲．陌韻》：「舶，海中大船。」北魏．酈道元《水經注．江水注》：「昔孫權裝大船，名之曰『長安』，亦曰『大舶』，載坐直之士三千人。」</t>
  </si>
  <si>
    <t>鉑</t>
  </si>
  <si>
    <t>[名]_x000D_
1.金屬薄片。通「箔」。《集韻．入聲．鐸韻》：「鉑，金薄也。」_x000D_
2.（platinum，Pt）化學元素。原子序78。金屬元素之一。色灰白，有光澤，延展性極佳，不受酸鹼的侵蝕，可供製造化學用具和度量衡用器，也可作裝飾品，在化學工業上常用作觸媒。也稱為「白金」。</t>
  </si>
  <si>
    <t>箔</t>
  </si>
  <si>
    <t>[名]
1.金屬打成的薄片。如：「錫箔」、「鋁箔包」。《宋史．卷一〇．仁宗本紀二》：「八月戊戌，禁以金箔飾佛像。」
2.祭祀時焚化的用紙。如：「冥箔」。
3.用細竹或蘆草編成的養蠶器具。如：「蠶箔」。《齊民要術．卷五．種桑柘》：「比至再眠，常須三箔；中箔上安蠶。」注：「下箔障土氣，上箔防塵埃。」唐．韓愈、李正封〈晚秋郾城夜會聯句〉：「暮鳥已安巢，春蠶看滿箔。」
4.簾子。唐．白居易〈長恨歌〉：「攬衣推枕起徘徊，珠箔銀屏迤邐開。」</t>
  </si>
  <si>
    <t>彴</t>
  </si>
  <si>
    <t xml:space="preserve">彳 </t>
  </si>
  <si>
    <t>參見「彴約」條。</t>
  </si>
  <si>
    <t>(一)ㄓㄨㄛˊ zhuó（08030）</t>
  </si>
  <si>
    <t>瓝</t>
  </si>
  <si>
    <t xml:space="preserve">瓜 </t>
  </si>
  <si>
    <t>[名]
1.小瓜。《爾雅．釋草》宋．邢昺．疏：「瓞，一名瓝，小瓜也。」
2.一莖九葉的草。《爾雅．釋草》：「瓝，九葉。」</t>
  </si>
  <si>
    <t>孛</t>
  </si>
  <si>
    <t xml:space="preserve">子 </t>
  </si>
  <si>
    <t>[副]
臉部變色。同「勃」。如：「孛然大怒」。
[綴]
置於名詞前。如：「孛老」（為元劇中的年老男性）。</t>
  </si>
  <si>
    <t>(二)ㄅㄟˋ bèi（00171）</t>
  </si>
  <si>
    <t>勃</t>
  </si>
  <si>
    <t xml:space="preserve">力 </t>
  </si>
  <si>
    <t>[形]
1.繁盛。如：「蓬勃」、「生氣勃勃」。
2.變色。《論語．鄉黨》：「君召使擯，色勃如也。」
[名]
衝擊產生的浪花。北魏．酈道元《水經注．江水注》：「灘頭白勃堅相持，倏忽沒淪別無期。」
[副]
突然。參見「勃然」條。</t>
  </si>
  <si>
    <t>浡</t>
  </si>
  <si>
    <t>[動]
1.湧出。《淮南子．原道》：「原流泉浡，沖而徐盈。」漢．高誘．注：「浡，涌也。」
2.興起。通「勃」。《爾雅．釋詁下》：「浡，作也。」
[名]
即渤海。同「渤」。</t>
  </si>
  <si>
    <t>悖</t>
  </si>
  <si>
    <t xml:space="preserve">心 </t>
  </si>
  <si>
    <t>[形]
旺盛。通「勃」。《左傳．莊公十一年》：「禹湯罪己，其興也悖焉。」</t>
  </si>
  <si>
    <t>(二)ㄅㄟˋ bèi（00172）</t>
  </si>
  <si>
    <t>挬</t>
  </si>
  <si>
    <t>[動]
拔。《廣韻．入聲．沒韻》：「挬，拔也。」《淮南子．覽冥》：「挬拔其本，蕪棄其本。」</t>
  </si>
  <si>
    <t>郣</t>
  </si>
  <si>
    <t xml:space="preserve">邑 </t>
  </si>
  <si>
    <t>[名]
1.隆起的地。《說文解字．邑部》：「郣，地之起者曰『郣』。」
2.塵土。《說文解字．邑部》「郣」字．清．段玉裁．注：「今俗謂粉之細者曰勃，皆即郣字。」
3.地名。春秋時齊國屬地。</t>
  </si>
  <si>
    <t>桲</t>
  </si>
  <si>
    <t>[名]
一種農具。即用來打穀的連枷。《玉篇．木部》：「桲，今連枷，所以打穀也。」</t>
  </si>
  <si>
    <t>荸</t>
  </si>
  <si>
    <t>(一)ㄅㄧˊ bí（00317）</t>
  </si>
  <si>
    <t>脖</t>
  </si>
  <si>
    <t>[名]
頭與身體相連的部分。即頸項。俗稱為「脖子」。</t>
  </si>
  <si>
    <t>渤</t>
  </si>
  <si>
    <t>參見「渤海」條。</t>
  </si>
  <si>
    <t>葧</t>
  </si>
  <si>
    <t>[名]
1.花蕊。明．張自烈《正字通．艸部》：「花蕊也，通作勃。麻花俗作『麻勃』，即麻蕊也。」
2.同「荸」。參見「荸薺」條。
[形]
茂盛。同「勃」。如：「蓊葧」。</t>
  </si>
  <si>
    <t>馞</t>
  </si>
  <si>
    <t xml:space="preserve">香 </t>
  </si>
  <si>
    <t>[形]
香氣濃郁。《集韻．入聲．沒韻》：「馞，香盛也。」</t>
  </si>
  <si>
    <t>鵓</t>
  </si>
  <si>
    <t xml:space="preserve">鳥 </t>
  </si>
  <si>
    <t>參見「鵓鴿」、「鵓鴣」等條。</t>
  </si>
  <si>
    <t>𩱚</t>
  </si>
  <si>
    <t xml:space="preserve">鬲 </t>
  </si>
  <si>
    <t>(一)（語音）ㄆㄨ pū（00986）</t>
  </si>
  <si>
    <t>瓟</t>
  </si>
  <si>
    <t>參見「瓟瓜」條。</t>
  </si>
  <si>
    <t>(二)ㄆㄠˊ páo（00677）</t>
  </si>
  <si>
    <t>雹</t>
  </si>
  <si>
    <t>(一)ㄅㄠˊ báo（00213）</t>
  </si>
  <si>
    <t>骲</t>
  </si>
  <si>
    <t xml:space="preserve">骨 </t>
  </si>
  <si>
    <t>[名]
一種獸骨製的箭頭。《廣韻．上聲．巧韻》：「骲，骨鏃。」也稱為「骲頭」。</t>
  </si>
  <si>
    <t>博</t>
  </si>
  <si>
    <t xml:space="preserve">十 </t>
  </si>
  <si>
    <t>[形]_x000D_
1.廣大、眾多的意思。《廣韻．入聲．鐸韻》：「博，廣也、大也、通也。」如：「廣博」、「地大物博」。_x000D_
2.比喻見識廣大。如：「淵博」。《荀子．修身》：「多聞曰博；少聞曰淺。」_x000D_
[名]_x000D_
姓。如漢代有博子勞。_x000D_
[動]_x000D_
1.賭錢。《論語．陽貨》：「子曰：『飽食終日，無所用心，難矣哉！不有博奕者乎？為之猶賢乎已！』」《史記．卷八六．刺客列傳．荊軻》：「魯句踐與荊軻博。」_x000D_
2.獲取。如：「博得同情」、「博得美人心」。</t>
  </si>
  <si>
    <t>搏</t>
  </si>
  <si>
    <t>[動]
1.雙方相撲打鬥。如：「搏鬥」。《左傳．僖公二十八年》：「晉侯夢與楚子搏。」
2.用手撲打。如：「搏擊」。
3.拍擊。唐．李渤〈辨石鐘山記〉：「微風鼓浪，水石相搏，聲如洪鐘。」
4.攫取、拾取。《史記．卷八七．李斯傳》：「鑠金百溢，盜跖不搏。」
[名]
參見「脈搏」條。</t>
  </si>
  <si>
    <t>猼</t>
  </si>
  <si>
    <t>[名]
1.古時的一種狗。《廣韻．入聲．鐸韻》：「猼，犬名。」
2.傳說中的野獸。同「𧳵」。《集韻．入聲．鐸韻》：「猼，獸名；似人有翼。」</t>
  </si>
  <si>
    <t>(二)ㄆㄠˊ páo（00684）</t>
  </si>
  <si>
    <t>膊</t>
  </si>
  <si>
    <t>[名]_x000D_
1.身體肩以下手腕以上的部位。近肩部分稱為「上膊」，近手部分稱為「下膊」。如：「胳膊」。唐．孟棨《本事詩．嘲戲》：「國初，長孫太尉見歐陽率更，姿形麼陋，嘲之曰：『聳膊成山字，埋肩畏出頭，誰言麟閣上，畫此一獮猴。』」《西遊記》第一九回：「看看戰到天將曉，那妖精兩膊覺酸麻。」《陝西通志．卷六六．人物十二》引《馬志》：「姑患病，久不痊，忽聞肉香，欲食甚急。氏割左膊肉，深至骨，以奉姑，病隨愈。」_x000D_
2.泛指人的上身。如：「赤膊」、「打赤膊」。南朝梁．元帝《金樓子．卷一．箴戒》：「左右見之有斂眉者，大怒，令此人袒膊正立，以矛刺膊洞過。」唐．周賀〈贈胡僧〉詩：「背經來漢地，袒膊過冬天。」《水滸傳》第二回：「只見空地上一個後生脫膊著，刺著一身青龍，銀盤也似一個面皮，約有十八、九歲，拿條棒在那里使。」</t>
  </si>
  <si>
    <t>薄</t>
  </si>
  <si>
    <t>[形]
1.不厚的。《詩經．小雅．小旻》：「如臨深淵，如履薄冰。」
2.稀疏的。南朝梁．何遜〈入塞示南府同僚詩〉：「薄雲巖際出，初月波中上。」
3.貧瘠、不肥沃。如：「薄田」。
4.微不足道。如：「薄禮」、「薄技」。
5.卑賤。如：「出身微薄」。
6.不敦厚。如：「刻薄」、「薄情」。
7.不尊重。如：「輕薄」。
[名]
1.草木叢生的地方。《文選．鮑照．蕪城賦》：「灌莽杳而無際，叢薄紛其相依。」
2.簾子。《禮記．曲禮上》：「帷薄之外不趨，堂上不趨，執玉不趨。」
3.姓。如明代有薄珏。
[動]
1.減輕、減損。《左傳．成公十八年》：「禁淫慝，薄賦斂，宥罪戾。」
2.迫近、接近。《文選．李密．陳情表》：「日薄西山，氣息奄奄。」
3.附著。《楚辭．屈原．九章．涉江》：「腥臊並御，芳不薄兮。」
4.侵入。《荀子．天論》：「故水旱未至而飢，寒暑未薄而疾。」
5.鄙視。如：「厚此薄彼」、「妄自菲薄」。《史記．卷六五．孫子吳起傳》：「其母死，起終不歸。曾子薄之，而與起絕。」
[副]
輕微的。《論語．衛靈公》：「躬自厚而薄責於人。」</t>
  </si>
  <si>
    <t>(二)（語音）ㄅㄠˊ báo（00214）(三)ㄅㄛˋ bò（00124）</t>
  </si>
  <si>
    <t>簙</t>
  </si>
  <si>
    <t>[名]
古代一種賭博的遊戲。二人相對而坐，棋枰分十二道，棋子十二枚，六白六黑；相傳是上古烏曹發明的。《說文解字．竹部》：「簙，局戲也。六箸十二棋也。……古者烏曹作簙。」參見「博戲」條。《楚辭．宋玉．招魂》：「菎蔽象棋，有六簙些。」</t>
  </si>
  <si>
    <t>鎛</t>
  </si>
  <si>
    <t>[名]
1.即鎛鱗。古代懸掛樂器、鐘的橫木上，用黃金塗飾，刻有龍圖的金花。《說文解字．金部》：「鎛，鎛鱗也。鐘上橫木上金華也。」清．段玉裁．注：「然則橫木刻為龍，而以黃金涂之，光華爛然，是之謂鎛鱗。」
2.古時鋤頭一類的農具。《說文解字．金部》：「鎛，……一曰田器。」《詩經．周頌．臣工》：「命我眾人，庤乃錢鎛。」漢．鄭玄．箋：「錢，銚；鎛，鎒。」
3.樂器名。打擊樂器。即大鐘。古代的一種形制接近於鐘的打擊樂器，無甬有鈕，但不像鐘口呈弧狀，為平口。器身橫截面為橢圓形或圓形。《周禮．春官．宗伯》：「鎛師。」唐．賈公彥．疏：「鎛，如鐘而大。」</t>
  </si>
  <si>
    <t>餺</t>
  </si>
  <si>
    <t>參見「餺飥」條。</t>
  </si>
  <si>
    <t>簿</t>
  </si>
  <si>
    <t>[名]
1.用細竹或蘆草編成的養蠶器具。《集韻．入聲．鐸韻》：「簿，蠶具。」
2.簾子。同「箔」。明．張自烈《正字通．竹部》：「簿，簾簿。亦作箔。」</t>
  </si>
  <si>
    <t>(一)ㄅㄨˋ bù（00574）</t>
  </si>
  <si>
    <t>髆</t>
  </si>
  <si>
    <t>[名]
肩胛骨。《說文解字．骨部》：「髆，肩甲也。」《後漢書．卷四二．東平憲王蒼傳》：「并遺宛馬一匹，血從前髆上小孔中出。」</t>
  </si>
  <si>
    <t>欂</t>
  </si>
  <si>
    <t>參見「欂櫨」條。</t>
  </si>
  <si>
    <t>礴</t>
  </si>
  <si>
    <t>參見「槃礴」、「磅礴」等條。</t>
  </si>
  <si>
    <t>鑮</t>
  </si>
  <si>
    <t>[名]
1.樂器名，打擊樂器。即大鐘。《儀禮．大射》：「笙磬西面，其南笙鍾，其南鑮，皆南陳。」漢．鄭玄．注：「鑮，如鍾而大，奏樂以鼓鑮為節。」也稱為「鎛」。
2.鋤田的農具。漢．劉熙《釋名．釋用器》：「鑮，亦鋤類也。」</t>
  </si>
  <si>
    <t>菔</t>
  </si>
  <si>
    <t>參見「蘆菔」條。</t>
  </si>
  <si>
    <t>(二)ㄈㄨˊ fú（01815）</t>
  </si>
  <si>
    <t>駁</t>
  </si>
  <si>
    <t xml:space="preserve">馬 </t>
  </si>
  <si>
    <t>[形]
1.馬的毛色不純。《說文解字．馬部》：「駁，馬色不純。」
2.引申為顏色雜亂或事務紛雜的意思。如：「斑駁」、「踳駁」、「舛駁」。
[動]
1.爭辯事理，否定別人的意見。如：「反駁」、「辯駁」。《紅樓夢》第五五回：「倘或他要駁我的事，你可別分辯。」
2.載卸貨物。如：「駁運」、「駁貨」。</t>
  </si>
  <si>
    <t>僰</t>
  </si>
  <si>
    <t>[名]
中國古代少數民族之一。參見「僰人」條。</t>
  </si>
  <si>
    <t>蔔</t>
  </si>
  <si>
    <t>(二)之讀音。</t>
  </si>
  <si>
    <t>(二)（語音）˙ㄅㄛ bo（00130）</t>
  </si>
  <si>
    <t>踣</t>
  </si>
  <si>
    <t>[動]
1.跌倒。如：「踣地不起」。《聊齋志異．卷一．勞山道士》：「頭觸硬壁，驀然而踣。」
2.倒斃。《國語．魯語上》：「紂踣于京。」
3.暴屍。《周禮．秋官．掌戮》：「凡殺人者踣諸市，肆之三日。」</t>
  </si>
  <si>
    <t>駮</t>
  </si>
  <si>
    <t>[名]
傳說中的猛獸。《山海經．西山經》：「中曲之山有獸焉，其狀如馬而白身黑尾，一角，虎牙爪，音如鼓音，其名曰：『駮』，是食虎豹。」
[動]
1.駁正、非難。參見「駮議」條。
2.矛盾、違逆。《後漢書．卷二四．馬援傳》：「條奏越律與漢律駮者十餘事，與越人申明舊制以約束之。」
3.辯論、提出異議。《漢書．卷八三．薛宣傳》：「宣謂修三年服少能行之者，兄弟相駮不可，修遂竟服，繇是兄弟不和。」
[形]
1.顏色雜亂。如：「斑駮」。
2.雜亂。《荀子．王霸》：「粹而王，駮而霸。」</t>
  </si>
  <si>
    <t>謈</t>
  </si>
  <si>
    <t xml:space="preserve">言 </t>
  </si>
  <si>
    <t>(一)ㄆㄛˋ pò（00628）(二)（(一)之又音）ㄅㄠˋ bào（00232）</t>
  </si>
  <si>
    <t>懪</t>
  </si>
  <si>
    <t>參見「懪懪」條。</t>
  </si>
  <si>
    <t>爆</t>
  </si>
  <si>
    <t xml:space="preserve">火 </t>
  </si>
  <si>
    <t>[動]
用火烤乾。《集韻．入聲．鐸韻》：「爆，火乾也。」
[形]
爆爍：枝葉稀疏不密。《詩經．大雅．桑柔》：「捋采其劉。」漢．鄭玄．箋：「及已將採之，則葉爆爍而疏。」</t>
  </si>
  <si>
    <t>(一)ㄅㄠˋ bào（00235）</t>
  </si>
  <si>
    <t>襮</t>
  </si>
  <si>
    <t xml:space="preserve">衣 </t>
  </si>
  <si>
    <t>[名]
衣領。《詩經．唐風．揚之水》：「素衣朱襮，從子于沃。」
[動]
表明、暴露的意思。參見「表襮」條。</t>
  </si>
  <si>
    <t>鸔</t>
  </si>
  <si>
    <t>[名]
動物名。一種水鳥。外形像鷺鷥而頸子較短，腹部和翅膀呈紫白色，背部綠色。</t>
  </si>
  <si>
    <t>濼</t>
  </si>
  <si>
    <t>[名]
湖泊。通「泊」。《大宋宣和遺事．亨集》：「直奔梁山濼上。」</t>
  </si>
  <si>
    <t>(一)ㄌㄨㄛˋ luò（03826）(三)（(二)之又音）ㄆㄛˋ pò（00629）</t>
  </si>
  <si>
    <t>襏</t>
  </si>
  <si>
    <t>參見「襏襫」條。</t>
  </si>
  <si>
    <t>糪</t>
  </si>
  <si>
    <t>[名]
半生半熟的飯。《廣韻．入聲．麥韻》：「糪，飯半生貌。」</t>
  </si>
  <si>
    <t>跛</t>
  </si>
  <si>
    <t>ㄅㄛˇ</t>
  </si>
  <si>
    <t>bǒ</t>
  </si>
  <si>
    <t>[形]_x000D_
腳有殘疾，走起來身體歪歪斜斜，不能平衡。如：「跛腳」。《穀梁傳．成公十年》：「衛孫良夫跛。」《太平廣記．卷一二七．盧叔敏》引《逸史》：「驅跛牛者，乃殺盧生賊也。」宋．梅堯臣〈田家語〉詩：「盲跛不能耕，死亡在遲速。」_x000D_
[名]_x000D_
腳有殘疾的人。《北史．卷三．魏本紀．高祖孝文帝》：「路見眇跛，停駕親問，賜衣食，復終身。」明．吳寛〈榆〉詩：「古人無棄物，守圃常用跛。」</t>
  </si>
  <si>
    <t>(二)ㄅㄧˋ bì（00400）</t>
  </si>
  <si>
    <t>簸</t>
  </si>
  <si>
    <t>[動]
1.用畚箕搖動，使米起落，以除去米糠。《詩經．大雅．生民》：「或舂或揄，或簸或蹂。」
2.搖動。《文選．張衡．西京賦》：「爾乃振天維，衍地絡，蕩川瀆，簸林薄。」
3.蹧蹋、花費。《儒林外史》第四回：「不過要簸掉我幾兩銀子，好把屋後的那一塊田賣與他。」</t>
  </si>
  <si>
    <t>(二)ㄅㄛˋ bò（00128）</t>
  </si>
  <si>
    <t>北</t>
  </si>
  <si>
    <t xml:space="preserve">匕 </t>
  </si>
  <si>
    <t>ㄅㄛˋ</t>
  </si>
  <si>
    <t>bò</t>
  </si>
  <si>
    <t>(一)（語音）ㄅㄟˇ běi（00164）(三)ㄅㄟˋ bèi（00166）</t>
  </si>
  <si>
    <t>㓦</t>
  </si>
  <si>
    <t>參見「㓦劃」條。</t>
  </si>
  <si>
    <t>亳</t>
  </si>
  <si>
    <t xml:space="preserve">亠 </t>
  </si>
  <si>
    <t>[名]
1.地名。商湯建都於此。約在今大陸地區河南省商邱縣。
2.國名。故城在今大陸地區安徽省亳縣。《廣韻．入聲．鐸韻》：「亳，國名，春秋時陳地。漢為沛之譙縣，魏為譙郡，晉為南兗州，齊為亳州。」</t>
  </si>
  <si>
    <t>捭</t>
  </si>
  <si>
    <t>[動]
分開。通「擘」。《禮記．禮運》：「夫禮之初，始諸飲食其燔黍、捭豚……。」唐．孔穎達．正義：「或捭析豚肉，加於燒石之上而孰之，故云：『捭豚』。」</t>
  </si>
  <si>
    <t>(一)ㄅㄞˇ bǎi（00138）</t>
  </si>
  <si>
    <t>播</t>
  </si>
  <si>
    <t>[動]
1.下種，將種子撒在土裡。《詩經．周頌．載芟》：「播厥百穀，實函斯活。」漢．鄭玄．箋：「播，猶種也。」
2.宣揚、傳布。《周禮．春官．大司樂》：「凡六樂者，文之以五聲，播之以八音。」唐．魏徵〈論時政疏〉：「仁者播其惠，信者效其忠。」
3.放送。如：「轉播」、「衛星直播」、「三臺聯播」、「歌曲點播」。
4.分開、分散。《書經．禹貢》：「又北播為九河，同為逆河，入于海。」《禮記．禮運》：「播五行於四時。」唐．孔穎達．正義：「播謂播散五行金、木、水、火、土之氣於春夏秋冬之時也。」
5.遷移、逃亡。如：「播遷」。《後漢書．卷九．孝獻帝紀．贊曰》：「獻生不辰，身播國屯。」唐．章懷太子．注：「播，遷也。」《金史．卷二八．禮志一》：「宣宗南播，疆宇日蹙。」
6.搖動。《莊子．人間世》：「鼓筴播精，足以食十人。」唐．成玄英．疏：「筴，小箕也。精，米也。言其掃市場，鼓其筴，播揚土，簡精麤也。」《文明小史》第四六回：「勞航芥在房裡被風浪顛播的十分難過。」</t>
  </si>
  <si>
    <t>參見「薄荷」條。</t>
  </si>
  <si>
    <t>(一)（讀音）ㄅㄛˊ bó（00094）(二)（語音）ㄅㄠˊ báo（00214）</t>
  </si>
  <si>
    <t>薜</t>
  </si>
  <si>
    <t>[名]
1.一種藥草。《爾雅．釋草》：「薜，山蘄。」
2.山麻，生於山中。《爾雅．釋草》：「薜，山麻。」
[動]
破裂。通「劈」。《周禮．冬官考工記．瓬人》：「凡陶瓬之事，髻墾薜暴，不入市。」</t>
  </si>
  <si>
    <t>(一)ㄅㄧˋ bì（00411）</t>
  </si>
  <si>
    <t>擘</t>
  </si>
  <si>
    <t>[名]
1.大拇指。《爾雅．釋魚》：「蝮虺，博三寸，首大如擘。」晉．郭璞．注：「頭大如人擘指。」
2.比喻特別優秀的人物。如：「巨擘」。
[動]
分開、分裂。唐．白居易〈長恨歌〉：「釵留一股合一扇，釵擘黃金合分鈿。」宋．吳文英〈祝英臺近．翦紅情〉詞：「玉纖曾擘黃柑，柔香繫幽素。」</t>
  </si>
  <si>
    <t>蘗</t>
  </si>
  <si>
    <t>參見「黃蘗」條。</t>
  </si>
  <si>
    <t>參見「簸箕」條。</t>
  </si>
  <si>
    <t>(一)ㄅㄛˇ bǒ（00118）</t>
  </si>
  <si>
    <t>˙ㄅㄛ</t>
  </si>
  <si>
    <t>bo</t>
  </si>
  <si>
    <t>(一)ㄅㄛ bō（00046）</t>
  </si>
  <si>
    <t xml:space="preserve">語音 </t>
  </si>
  <si>
    <t>參見「蘿蔔」條。</t>
  </si>
  <si>
    <t>(一)（讀音）ㄅㄛˊ bó（00106）</t>
  </si>
  <si>
    <t>掰</t>
  </si>
  <si>
    <t>ㄅㄞ</t>
  </si>
  <si>
    <t>bāi</t>
  </si>
  <si>
    <t>[動]
1.用雙手使勁將東西分開。《紅樓夢》第六〇回：「便把手內的糕一塊一塊的掰了，擲打著雀兒頑。」
2.胡扯、亂吹。如：「瞎掰」、「亂掰」。</t>
  </si>
  <si>
    <t>ㄅㄞˊ</t>
  </si>
  <si>
    <t>bái</t>
  </si>
  <si>
    <t>[名]
1.像雪或乳汁般素淨的顏色。
2.代表五行中金的顏色。如天地四方的西方、一年四季的秋、五臟的肺等。《說文解字．白部》：「白，西方色也。」
3.罰酒的杯子。也泛指一般酒杯。《漢書．卷一〇〇．敘傳上》：「及趙、李諸侍中皆引滿舉白，談笑大噱。」《文選．左思．吳都賦》：「飛觴舉白。」唐．李善．注：「白，罰爵名也。」
4.戲劇裡的對話。如：「道白」、「對白」。
5.姓。如唐代有白居易、白行簡，元代有白樸。
6.二一四部首之一。
[動]
1.告訴。《樂府詩集．卷七三．雜曲歌辭十三．古辭．焦仲卿妻》：「便可白公姥，及時相遣歸。」
2.在書信末署名下的敬語，用於平輩或晚輩。唐．韓愈〈答李翊書〉：「聊相為言之。愈白。」
3.晨光初發，天明。宋．蘇軾〈赤壁賦〉：「相與枕藉乎舟中，不知東方之既白。」
4.彰明、表明。如：「真相大白」、「含冤莫白」。
5.揭穿，專指戳穿謊言。元．王曄《桃花女．楔子》：「我周公在卦鋪裡面，你自喚他出來，白他謊，討他銀子去。」
6.表示輕視或不滿的動作。如：「白了他一眼。」
[形]
1.白色的。如：「白紙」、「白布」、「藍天白雲」。
2.潔淨的。如：「潔白」。
3.淺顯的。如：「白話」、「淺白」。
4.率直、誠實。如：「坦白」。
5.沒有添加任何東西的。如：「白飯」、「白開水」。
6.錯誤的。如：「寫白字」。
7.表示輕視或不滿的樣子。如：「白眼」。
8.以合法掩護非法，以正當掩護不法的。與「黑」相對。如：「白道」。
[副]
1.徒然。如：「白跑一趟」、「白來」、「白費」。《紅樓夢》第六〇回：「沒的惹人笑話自己獃，白給人做粗活。」
2.不付代價而得到好處。如：「白吃白喝」。
3.就是、完全、實在。《金瓶梅》第一一回：「家中好不無人，只靠著我逐日出來供唱，……也要往宅裡看看姑娘，白不得個閒。」</t>
  </si>
  <si>
    <t>(二)（讀音）ㄅㄛˊ bó（00060）</t>
  </si>
  <si>
    <t>ㄅㄞˇ</t>
  </si>
  <si>
    <t>bǎi</t>
  </si>
  <si>
    <t>[名]
1.數目字。十的十倍。《說文解字．白部》：「百，十十也，从一白。數十十為一百。」大寫為「佰」。
2.姓。如古時有百倏，戰國時有百丰。
[形]
1.眾多。如：「百病不侵」。
2.總指一切所有的詞。《詩經．邶風．雄雉》：「百爾君子，不知德行。」</t>
  </si>
  <si>
    <t>(二)（讀音）ㄅㄛˊ bó（00061）</t>
  </si>
  <si>
    <t>[名]
稱謂。稱丈夫的哥哥。如：「大伯子」、「二伯子」。</t>
  </si>
  <si>
    <t>(一)（讀音）ㄅㄛˊ bó（00062）(三)ㄅㄚˋ bà（00030）</t>
  </si>
  <si>
    <t>[名]
1.百的大寫。如：「壹佰參拾伍元整」。
2.職官名。古時軍隊中掌管一百人的指揮官。《史記．卷四八．陳涉世家》：「躡足行伍之間，俛仰仟佰之中。」唐．司馬貞．索隱：「仟佰謂千人百人之長也。」</t>
  </si>
  <si>
    <t>(二)（讀音）ㄅㄛˊ bó（00065）(三)ㄇㄛˋ mò（01074）</t>
  </si>
  <si>
    <t>(一)之語音。</t>
  </si>
  <si>
    <t>(一)（讀音）ㄅㄛˊ bó（00067）</t>
  </si>
  <si>
    <t>(一)[介]1.之又音。</t>
  </si>
  <si>
    <t>(一)ㄅㄚˇ bǎ（00023）(二)ㄅㄚˋ bà（00026）</t>
  </si>
  <si>
    <t>[動]
1.兩手橫開向外旁擊。《說文解字．手部》：「捭，兩手擊也。」
2.開。參見「捭闔」條。</t>
  </si>
  <si>
    <t>(二)ㄅㄛˋ bò（00122）</t>
  </si>
  <si>
    <t>擺</t>
  </si>
  <si>
    <t>[動]
1.搖動。如：「擺動」、「搖擺」。唐．杜牧〈歎花〉詩：「如今風擺花狼籍，綠葉成陰子滿枝。」
2.陳列、布置。如：「擺設」、「擺地攤」。《紅樓夢》第六三回：「因飯後平兒還席，說紅香圃太熱，便在榆蔭堂中擺了幾席新酒佳肴。」
3.故意顯示。如：「擺闊」、「擺架子」、「擺臉色」。
4.算計、陷害。如：「擺了一道」。《儒林外史》第四回：「把劉先生貶為青田知縣，又用毒藥擺死了。」
[名]
搖動的物體。如：「鐘擺」。</t>
  </si>
  <si>
    <t>襬</t>
  </si>
  <si>
    <t>[名]
上衣、長袍和裙子等下緣的部分。如：「下襬」、「裙襬」、「前襬」、「後襬」。</t>
  </si>
  <si>
    <t>(一)ㄅㄟ bēi（00163）</t>
  </si>
  <si>
    <t>拜</t>
  </si>
  <si>
    <t>ㄅㄞˋ</t>
  </si>
  <si>
    <t>bài</t>
  </si>
  <si>
    <t>[動]
1.一種禮節行為：(1)對人低頭拱手行禮，或兩手扶地跪下磕頭。如：「交拜」、「叩拜」。《左傳．僖公三十二年》：「卜偃使大夫拜曰：『君命大事，將有西師過軼我，擊之必大捷焉。』」(2)對神明的行禮。有時合掌，有時執香。如：「入廟參拜」、「吃齋拜佛」。
2.為訪問人或看望人的客氣用語。如：「回拜」、「拜見」。
3.祝賀。如：「拜壽」、「拜賀」。
4.任官、授職。晉．李密〈陳情表〉：「臣以供養無主，辭不赴命，詔書特下，拜臣郎中，尋蒙國恩，除臣洗馬。」《三國演義》第四回：「卓見邕大喜，一月三遷其官，拜為侍中，甚見親厚。」
[名]
1.姓。如宋代有拜瑚。
2.電腦上八個位元合成的一組，稱為「拜」。為英文byte的音譯。如：「在早期，倚天中文系統中，一個中文字元占了兩個拜。」</t>
  </si>
  <si>
    <t>唄</t>
  </si>
  <si>
    <t>[名]
印度詠經或唱讚都稱為「唄」，在中國只有唱讚稱為「唄」。南朝梁．簡文帝〈吳郡石像碑〉：「頂禮歸依，歌唄贊德。」</t>
  </si>
  <si>
    <t>(二)˙ㄅㄟ bei（00200）</t>
  </si>
  <si>
    <t>敗</t>
  </si>
  <si>
    <t xml:space="preserve">攴 </t>
  </si>
  <si>
    <t>[名]_x000D_
1.戰爭失利。《三國志．卷一〇．魏書．荀彧荀攸賈詡傳．賈詡》：「太祖不從，軍遂無利。」南朝宋．裴松之．注：「至於赤壁之敗，蓋有運數。」宋．蘇洵〈六國論〉：「趙嘗五戰于秦，二敗而三勝。」_x000D_
2.事不成功。如：「不計成敗」、「失敗為成功之母」。_x000D_
[動]_x000D_
1.打敗、戰勝。《史記．卷四七．孔子世家》：「吳敗越王句踐會稽。」_x000D_
2.被打敗。《史記．卷九二．淮陰侯列傳》：「至彭城，漢兵敗散而還。」_x000D_
3.破壞。《左傳．成公二年》：「若之何其以病，敗君之大事也。」《史記．卷九二．淮陰侯列傳》：「夫功者難成而易敗，時者難得而易失也。」_x000D_
4.毀壞、損壞。如：「屋敗梁頹」。《書經．大禹謨》：「侮慢自賢，反道敗德。」_x000D_
5.腐爛。《論語．鄉黨》：「魚餒而肉敗不食。」宋．邢昺．疏：「郭璞云：『敗、臭壞也。』」_x000D_
6.衰落。如：「家敗人亡」。_x000D_
7.解除、消除。如：「敗毒」、「敗火」。_x000D_
[形]_x000D_
1.被打敗的。如：「敗軍之將」。_x000D_
2.凋殘的。如：「枯枝敗葉」、「殘花敗柳」。宋．柳永〈夜半樂．凍雲黯淡天氣〉詞：「敗荷零落，衰楊掩映。」</t>
  </si>
  <si>
    <t>稗</t>
  </si>
  <si>
    <t xml:space="preserve">禾 </t>
  </si>
  <si>
    <t>[名]
植物名。禾本科稗屬。「水稗」之俗稱，參見「水稗」條。
[形]
卑賤、微小。如：「稗說」、「稗官野史」。</t>
  </si>
  <si>
    <t>粺</t>
  </si>
  <si>
    <t>[名]
細舂的精米、白米。《詩經．大雅．召旻》：「彼疏斯粺，胡不自替，職兄斯引。」漢．毛亨．傳：「彼宜食疏，今反食精粺。」三國魏．嵇康〈答向子期難養生論〉：「聵者忘味，則糟糠與精粺等甘。」</t>
  </si>
  <si>
    <t>杯</t>
  </si>
  <si>
    <t>ㄅㄟ</t>
  </si>
  <si>
    <t>bēi</t>
  </si>
  <si>
    <t>[名]
1.一種盛酒、水、茶等液體的器皿。《儒林外史》第一回：「王冕左手持杯，右手持著天上的星，向秦老道：『你看貫索犯文昌，一代文人有厄！』」
2.競賽優勝的獎品，也借指競賽。如：「獎杯」、「世界杯」。今多用「盃」字。
3.量詞。計算杯裝物的單位。如：「一杯水」、「兩杯麵粉」。</t>
  </si>
  <si>
    <t>盃</t>
  </si>
  <si>
    <t xml:space="preserve">皿 </t>
  </si>
  <si>
    <t>[名]
1.一種盛酒、水、茶等液體的器皿。同「杯」。漢．司馬遷〈報任少卿書〉：「僕與李陵俱居門下，素非能相善也，趨舍異路，未嘗銜盃酒，接殷勤之餘歡。」
2.競賽優勝的獎品，也借指競賽。同「杯」。如：「獎盃」、「世界盃」。
3.量詞。以盃的容量作為計算的單位。三國魏．嵇康〈與山巨源絕交書〉：「濁酒一盃，彈琴一曲，志願畢矣！」</t>
  </si>
  <si>
    <t>桮</t>
  </si>
  <si>
    <t>[名]
盛湯、酒等液體的器皿。同「杯」。《說文解字．木部》：「桮，㔶也。」清．段玉裁．注：「古以桮盛羹，桮圈是也。」《史記．卷七．項羽本紀》：「必欲烹而翁，則幸分我一桮羹。」明．宋徵輿〈小重山．春流半繞鳳凰臺〉詞：「十年花月夜，汎金桮。玉簫嗚咽畫船開。」</t>
  </si>
  <si>
    <t>卑</t>
  </si>
  <si>
    <t>[形]_x000D_
1.低下、低微。如：「卑賤」、「天尊地卑」。南朝梁．沈約〈恩倖傳論〉：「人主謂其身卑位薄，以為權不得重。」_x000D_
2.衰微、沒落。《國語．周語上》：「王室其將卑乎？」_x000D_
3.簡陋。漢．張衡〈東京賦〉：「慕唐虞之茅茨，思夏后之卑室。」_x000D_
4.品格低劣。《孟子．公孫丑上》：「行乎國政，如彼其久也；功烈，如彼其卑也。」_x000D_
5.謙恭。如：「謙卑」、「卑躬屈膝」、「卑詞厚禮」。_x000D_
[名]_x000D_
低下的地方。如：「登高必自卑」。_x000D_
[動]_x000D_
1.使簡陋、低俗。《論語．秦伯》：「卑宮室而盡力乎溝洫。」宋．邢昺．疏：「言禹卑下所居之宮室而盡力以治田間之溝洫。」_x000D_
2.輕視、藐視。《國語．晉語四》：「秦、晉匹也，何以卑我？」</t>
  </si>
  <si>
    <t>俾</t>
  </si>
  <si>
    <t>(一)ㄅㄧˋ bì（00366）</t>
  </si>
  <si>
    <t>庳</t>
  </si>
  <si>
    <t xml:space="preserve">广 </t>
  </si>
  <si>
    <t>[形]
1.低下。《史記．卷一一九．循吏傳．孫叔敖傳》：「楚民俗好庳車。」
2.短小。《周禮．地官．大司徒》：「其民豐肉而庳。」
[名]
眾水聚集的地方。漢．揚雄《太玄經．卷一．增卦》：「澤庳其容，眾潤攸同。」</t>
  </si>
  <si>
    <t>(一)ㄅㄧˋ bì（00367）</t>
  </si>
  <si>
    <t>埤</t>
  </si>
  <si>
    <t>[形]
低下。通「卑」。《字彙．土部》：「埤，音悲。與卑同。汙下也。」《荀子．非相》：「故君子之於言無厭。鄙夫反是：好其實不恤其文，是以終身不免埤汙傭俗。」</t>
  </si>
  <si>
    <t>(一)ㄆㄧˋ pì（00860）(二)ㄅㄧˋ bì（00368）(三)ㄆㄧˊ pí（00833）</t>
  </si>
  <si>
    <t>椑</t>
  </si>
  <si>
    <t>參見「椑柿」條。</t>
  </si>
  <si>
    <t>(二)ㄆㄧˊ pí（00837）</t>
  </si>
  <si>
    <t>萆</t>
  </si>
  <si>
    <t>[名]
一種草。蒿類。《集韻．平聲．支韻》：「萆，一曰：『蒿類』。」</t>
  </si>
  <si>
    <t>(二)ㄅㄧˋ bì（00370）</t>
  </si>
  <si>
    <t>碑</t>
  </si>
  <si>
    <t>[名]
1.豎起來的大石塊或木柱。古代用來觀測日影、拴綁牲口、引棺入穴等。上或有穿孔。《說文解字．石部》：「碑，豎石也。」清．段玉裁．注：「《聘禮》鄭注曰：『宮必有碑，所以識日景，引陰陽也；凡碑引物者宗廟則麗牲焉；其材，宮廟以石，窆用木。』」
2.刻上文字或圖案的石塊，豎立起來作為標誌，或紀念之用。如：「界碑」、「里程碑」、「紀念碑」。
3.文體名。刻在石上的文詞，用以頌揚功德，或記載死者的行誼等。如：「北魏嵩高靈廟碑」、「東魏敬史君碑」。
4.碑刻的書法資料。指將碑的正面（碑陽）、背面（碑陰）、兩旁（碑側）、上頭（碑額）、下座（碑趺）上面的文字搨摹下來，以供書法臨寫。如：「禮器碑」、「曹全碑」、「北魏張猛龍碑」。</t>
  </si>
  <si>
    <t>箄</t>
  </si>
  <si>
    <t>[名]
古代置於甑底，防止食物掉落鍋中的竹蓆。南朝宋．劉義慶《世說新語．夙惠》：「炊忘箸箄，飯落釜中。」</t>
  </si>
  <si>
    <t>(一)ㄆㄞˊ pái（00637）</t>
  </si>
  <si>
    <t>鞞</t>
  </si>
  <si>
    <t>[名]
牛鞞：縣名。漢代時設置，約在今大陸地區四川省簡陽縣東。《廣韻．平聲．支韻》：「鞞，牛鞞縣，在蜀。」</t>
  </si>
  <si>
    <t>(一)ㄅㄧㄥˇ bǐng（00545）</t>
  </si>
  <si>
    <t>鵯</t>
  </si>
  <si>
    <t>參見「鵯鵊」、「鵯鶋」等條。</t>
  </si>
  <si>
    <t>背</t>
  </si>
  <si>
    <t>[動]
負荷。如：「背負重任」、「背小孩」。《紅樓夢》第四七回：「你老人家嫌乏，我背了你老人家去。」</t>
  </si>
  <si>
    <t>(一)ㄅㄟˋ bèi（00168）</t>
  </si>
  <si>
    <t>揹</t>
  </si>
  <si>
    <t>[動]
負荷。同「背」。如：「揹黑鍋」。</t>
  </si>
  <si>
    <t>悲</t>
  </si>
  <si>
    <t>[動]
1.哀傷。唐．李白〈將進酒〉：「君不見高堂明鏡悲白髮，朝如青絲暮成雪。」唐．杜甫〈登高〉詩：「萬里悲秋常作客，百年多病獨登臺。」
2.思念、顧念。《詩經．豳風．東山》：「我東日歸，我心西悲。」《漢書．卷一．高帝紀下》：「謂沛父兄曰：『游子悲故鄉。吾雖都關中，萬歲之後，吾魂魄猶思沛。』」
[名]
1.哀痛。如：「忍悲」、「含悲」、「樂極生悲」。唐．白居易〈新樂府．上陽白髮人〉：「憶昔吞悲別親族，扶入車中不教哭。」
2.佛學中拔除眾生痛苦的行為、心境。如：「慈悲」。
[形]
1.哀傷的。《詩經．豳風．七月》：「女心傷悲，殆及公子同歸。」
2.淒厲的。如：「悲曲」、「悲聲」。唐．杜甫〈自京赴奉先縣詠懷五百字〉詩：「暖客貂鼠裘，悲管逐清瑟。」</t>
  </si>
  <si>
    <t>藣</t>
  </si>
  <si>
    <t>[名]
1.一種草。《說文解字．艸部》：「藣，艸也。」
2.旄舞時舞者所執的牛尾，像藣草，故稱為「藣」。《爾雅．釋器》：「旄謂之『藣』。」宋．邢昺．疏：「旄，牛尾，一名藣，舞者所執也。」</t>
  </si>
  <si>
    <t>[名]
裙子的別名。漢．揚雄《方言》卷四：「裙，陳魏之間謂之『帔』，自關而東謂之『襬』。」</t>
  </si>
  <si>
    <t>(二)ㄅㄞˇ bǎi（00140）</t>
  </si>
  <si>
    <t>ㄅㄟˇ</t>
  </si>
  <si>
    <t>běi</t>
  </si>
  <si>
    <t>[名]
1.方位名。與「南」相對。如：「東西南北」、「漠北」。
2.敗逃的軍隊。漢．李陵〈答蘇武書〉：「斬將搴旗，追奔逐北。」
[形]
在北方或從北來的。如：「北方」、「北國」、「北風」。《詩經．邶風．北風》：「北風其涼，雨雪其雱。」
[動]
1.向北行。《呂氏春秋．孟春紀．孟春》：「東風解凍，蟄蟲始振，魚上冰，獺祭魚，候鴈北。」
2.失敗、敗逃。如：「敗北」。《韓非子．五蠹》：「魯人從君戰，三戰三北。」
[副]
向北，表示行動的方向。如：「北上」、「北征」。晉．陸機〈漢高祖功臣頌〉：「京索既扼，引師北討。」</t>
  </si>
  <si>
    <t>(二)（讀音）ㄅㄛˋ bò（00119）(三)ㄅㄟˋ bèi（00166）</t>
  </si>
  <si>
    <t>鉳</t>
  </si>
  <si>
    <t>[名]
（berkelium，Bk）化學元素。原子序97。金屬放射性元素之一，屬於錒系元素，最穩定的鉳-247的半衰期約為一千四百年。為人造超鈾元素。大陸地區譯為錇。</t>
  </si>
  <si>
    <t>ㄅㄟˋ</t>
  </si>
  <si>
    <t>bèi</t>
  </si>
  <si>
    <t>[動]
違反、背叛。通「背」。《說文解字．北部》：「北，乖也，从二人相背也。」《戰國策．齊策六》：「食人炊骨，士無反北之心，是孫臏、吳起之兵也。」</t>
  </si>
  <si>
    <t>(一)（語音）ㄅㄟˇ běi（00164）(二)（讀音）ㄅㄛˋ bò（00119）</t>
  </si>
  <si>
    <t>邶</t>
  </si>
  <si>
    <t>[名]
國名。周武王滅商後，封紂王之子武庚於邶。其地約在今河南省湯陰縣東南。</t>
  </si>
  <si>
    <t>[名]
1.胸部的後面，從後腰以上到頸下的部位。
2.物體的反面或後面。如：「山背」、「刀背」。
[動]
1.用背部對著。如：「背著太陽」、「背山面海」、「背水一戰」。
2.離開、拋棄。如：「離鄉背井」。《商君書．君臣》：「今世君不然，釋法而以知，背功而以譽。」
3.違反。如：「背約」、「棄理背義」、「背信忘義」。
4.死亡、去世。《文選．李密．陳情表》：「生孩六月，慈父見背。」《晉書．卷七九．謝安傳》：「（玄）上延亡叔臣安、亡兄臣靖，數月之間，相係殂背。」
5.躲避、瞞著。如：「你是不是背著我幹了什麼壞事？」
6.記憶。如：「背臺詞」。《儒林外史》第一三回：「或一天遇著那小子書背不熟，小姐就要督責他念到天亮。」
7.裝潢字畫或書冊，即裱褙。宋．范公偁《過庭錄》：「然絹地朽爛為數十片，無能修之者。李因薦一匠者，酬傭直四十千，就書室背之。」
[形]
1.運氣不好。如：「走背運」、「手氣背」。
2.聽力不好。如：「耳背」、「背聽」。
3.僻靜的。如：「背街小巷」。元．宮大用《范張雞黍》第一折：「既然賢弟要去，其路也不背，同往赴會去便了。」</t>
  </si>
  <si>
    <t>(二)ㄅㄟ bēi（00159）</t>
  </si>
  <si>
    <t>偝</t>
  </si>
  <si>
    <t>[動]
離棄、拋棄。《集韻．去聲．隊韻》：「偝，違也。」《禮記．坊記》：「利祿先死者而後生者，則民不偝。」
[副]
背向。《禮記．投壺》：「毋偝立，毋踰言。」漢．鄭玄．注：「偝者，不正鄉前也。」</t>
  </si>
  <si>
    <t>褙</t>
  </si>
  <si>
    <t>[名]
短衣。《集韻．去聲．隊韻》：「褙，襦也。」
[動]
裝貼書畫。參見「裱褙」條。</t>
  </si>
  <si>
    <t>[名]
彗星的古稱之一。《公羊傳．昭公十七年》：「冬，有星孛於大辰。孛者何？彗星也。」</t>
  </si>
  <si>
    <t>(一)ㄅㄛˊ bó（00073）</t>
  </si>
  <si>
    <t>[動]
1.違背、違反。《荀子．性惡》：「皆反於性而悖於情也。」《國語．周語上》：「而後王斟酌焉，是以事行而不悖。」
2.衝突、矛盾。《淮南子．脩務》：「聖人憂民如此其明也，而稱以無為，豈不悖哉！」</t>
  </si>
  <si>
    <t>(一)ㄅㄛˊ bó（00076）</t>
  </si>
  <si>
    <t>誖</t>
  </si>
  <si>
    <t>[動]
1.違背。《漢書．卷九七．外戚傳下．孝成趙皇后傳》：「殘滅繼嗣以危宗廟，誖天犯祖，無為天下母之義。」
2.迷惑。《漢書．卷六二．司馬遷傳》：「愍學者不達其意而師誖，乃論六家之要。」</t>
  </si>
  <si>
    <t>貝</t>
  </si>
  <si>
    <t xml:space="preserve">貝 </t>
  </si>
  <si>
    <t>[名]
1.有甲殼的軟體動物。如蛤類、螺類等。
2.古代用貝殼做貨幣，稱為「貝貨」。漢．桓寬《鹽鐵論．錯幣》：「夏后以玄貝，周人以紫石，後世或金錢刀布。」
3.樂器名。一種吹奏樂器。今藏、蒙一帶，常將貝螺尖端磨穿為吹嘴，在梵樂中使用，音色渾厚。《舊唐書．卷二九．音樂志二》：「貝，蠡也，容可吹之以節樂，亦出南蠻。」
4.貝多或貝多羅樹的簡稱。佛教徒或以其葉寫經。唐．皮日休〈奉和魯望寒夜訪寂上人次韻〉：「數葉貝書松火暗，一聲金磬檜煙深。」
5.姓。如宋代有貝欽世，明代有貝秉。
6.二一四部首之一。</t>
  </si>
  <si>
    <t>狽</t>
  </si>
  <si>
    <t>[名]
傳說中的一種狼屬野獸。前腳很短，與狼相附而行。參見「狼狽」條。</t>
  </si>
  <si>
    <t>萯</t>
  </si>
  <si>
    <t>參見「萯陽」條。</t>
  </si>
  <si>
    <t>(一)ㄈㄨˋ fù（01883）</t>
  </si>
  <si>
    <t>鋇</t>
  </si>
  <si>
    <t>[名]_x000D_
（barium，Ba）化學元素。原子序56。屬鹼土金屬。約占地殼的百分之零點零五，呈銀白色或淡黃色。具延展性，容易與氧化合，化合物具有利用價值，如醫學上以硫酸鋇作為顯影劑。</t>
  </si>
  <si>
    <t>怫</t>
  </si>
  <si>
    <t>[形]
違反。通「悖」。參見「怫異」條。</t>
  </si>
  <si>
    <t>(一)ㄈㄨˊ fú（01781）(三)ㄈㄟˋ fèi（01575）</t>
  </si>
  <si>
    <t>牬</t>
  </si>
  <si>
    <t xml:space="preserve">牛 </t>
  </si>
  <si>
    <t>[名]
體長的牛，稱為「牬」。《爾雅．釋畜》：「體長牬。」邢昺疏引《經典釋文》曰：「凡牛之身長者名牬。」</t>
  </si>
  <si>
    <t>[名]
開白花的陵苕，即凌霄花。《爾雅．釋草》：「苕，陵苕。黃華，蔈；白華，茇。」宋．邢昺．疏：「苕，一名陵苕。……黃花名蔈，白華名茇，別華色之名也。」參見「凌霄花」條。
[副]
參見「茇茇」條。</t>
  </si>
  <si>
    <t>(一)ㄅㄚˊ bá（00015）</t>
  </si>
  <si>
    <t>倍</t>
  </si>
  <si>
    <t>[動]_x000D_
1.違背、反叛。《說文解字．人部》：「倍，反也。」《禮記．緇衣》：「信以結之，則民不倍。」《史記．卷七．項羽本紀》：「今秦嘉倍陳王而立景駒，逆無道。」_x000D_
2.背向、背著。《戰國策．趙策三》：「天子弔，主人必將倍殯柩。」《史記．卷九二．淮陰侯列傳》：「兵法右倍山陵，前左水澤。」_x000D_
3.增加與原數相等的量。《孟子．公孫丑上》：「故事半古之人，功必倍之。」南朝梁．劉勰《文心雕龍．鎔裁》：「夫美錦製衣，修短有度。雖翫其采，不倍領袖。」_x000D_
[量]_x000D_
計算照原數再加上一個或幾個全數的單位。如：「十倍」、「六是三的兩倍」、「年所得增加一倍。」漢．賈誼〈過秦論〉：「嘗以十倍之地，百萬之眾，叩關而攻秦。」《糊塗世界》卷六：「你老爺拚出三年的澆用，我可以給他去走條路，雖然不能說是一本萬利，這兩、三倍的利錢是有的。」_x000D_
[副]_x000D_
更加、益增。如：「勇氣倍增」、「倍受恩寵」。唐．王維〈九月九日憶山東兄弟〉詩：「獨在異鄉為異客，每逢佳節倍思親。」</t>
  </si>
  <si>
    <t>焙</t>
  </si>
  <si>
    <t>[動]
用微火加熱使東西乾燥。如：「烘焙」、「焙茶」。唐．皮日休〈寄懷南陽潤卿〉詩：「醉來渾忘移花處，病起空聞焙藥香。」清．陳章〈採茶歌〉：「焙成粒粒比蓮心，誰知儂比蓮心苦。」</t>
  </si>
  <si>
    <t>碚</t>
  </si>
  <si>
    <t>[名]
1.花苞。南朝梁．簡文帝〈有所傷〉詩三首之三：「入林看碚礧，春至定無賒。」
2.地名用字。如大陸地區四川重慶市的北碚，湖北省宜昌市西北的蝦蟆碚。</t>
  </si>
  <si>
    <t>蓓</t>
  </si>
  <si>
    <t>[名]
參見「蓓蕾」條。</t>
  </si>
  <si>
    <t>被</t>
  </si>
  <si>
    <t>[名]_x000D_
1.被子。睡眠時蓋在身上的東西。《楚辭．宋玉．招魂》：「翡翠珠被，爛齊光些。」_x000D_
2.姓。如春秋時鄭國有被瞻、吳國有被離。_x000D_
[動]_x000D_
1.覆蓋。《楚辭．宋玉．招魂》：「皋蘭被徑兮斯路漸。」_x000D_
2.蒙受、遭遇。《孟子．離婁上》：「今有仁心仁聞，而民不被其澤。」《戰國策．齊策四》：「寡人不祥，被於宗廟之祟。」_x000D_
3.及，達到。《書經．禹貢》：「東漸于海，西被于流沙。」_x000D_
4.配上。南朝梁．劉勰《文心雕龍．樂府》：「詩官採言，樂盲被律，志感絲篁，氣變金石。」_x000D_
[副]_x000D_
因為。《水滸傳》第五回：「被此間有座山，喚做桃花山，近來山上有兩個大王紮了寨柵，聚集著五七百人，打家劫舍。」_x000D_
[助]_x000D_
表被動性，用在動詞前構成被動詞組。如：「被選」、「被害」。《史記．卷八四．屈原賈生傳》：「信而見疑，忠而被謗，能無怨乎？」三國蜀．諸葛亮〈後出師表〉：「然涉險被創，危然後安。」</t>
  </si>
  <si>
    <t>(二)ㄆㄧ pī（00812）</t>
  </si>
  <si>
    <t>婢</t>
  </si>
  <si>
    <t xml:space="preserve">女 </t>
  </si>
  <si>
    <t>(一)ㄅㄧˋ bì（00369）</t>
  </si>
  <si>
    <t>貏</t>
  </si>
  <si>
    <t xml:space="preserve">豸 </t>
  </si>
  <si>
    <t>(一)ㄅㄧˇ bǐ（00329）</t>
  </si>
  <si>
    <t>琲</t>
  </si>
  <si>
    <t>[名]
貫珠。即成串的珠子。《廣韻．上聲．賄韻》：「琲，珠五百枚。」《文選．卷五．賦．左思．吳都賦》：「珠琲闌干。」李善注引《史記》：「琲，貫也。珠十貫為一琲。」</t>
  </si>
  <si>
    <t>輩</t>
  </si>
  <si>
    <t>[名]
1.家族的世代、長幼的行次。如：「長輩」、「平輩」、「晚輩」、「前輩」。
2.同類、同等級的人。引申為某物之類。如：「汝輩」、「鼠輩」。南朝宋．劉義慶《世說新語．德行》：「賊相謂曰：『我輩無義之人，而入有義之國！』」唐．杜甫〈自京赴奉先縣詠懷五百字〉詩：「顧惟螻蟻輩，但自求其穴。」
3.量詞。計算輩分的單位。如：「他大我兩輩，是我的叔公。」
[動]
比較。《後漢書．卷七六．循吏傳．序》：「邊鳳，延篤先後為京兆尹，時人以輩前世趙（廣漢）、張（敞）。」</t>
  </si>
  <si>
    <t>備</t>
  </si>
  <si>
    <t>[動]
事先安排好，有所預防。如：「準備」、「預備」。《書經．說命》中：「惟事事乃其有備，有備無患。」
[形]
完備、齊全。《史記．卷七七．魏公子傳》：「吾所以待侯生者備矣，天下莫不聞。」
[副]
盡、皆，完全的意思。《禮記．月令》：「乃命冢宰，農事備收。」
[名]
設施。如：「裝備」、「配備」。</t>
  </si>
  <si>
    <t>𣖾</t>
  </si>
  <si>
    <t>植物名。漆樹科漆樹屬，落葉喬木。樹披灰褐色而有赤褐色斑點。葉螺旋狀互生，奇數羽狀複葉。圓錐花叢出自枝梢，有灰褐色細毛密生，花瓣白色，倒卵狀長橢圓形。核果扁圓形，外面有灰白色短軟毛密生。《玉篇．木部》：「𣖾，木名。出蜀中。八月中吐穗如鹽狀，可食，味酸美也。」也稱為「鹽膚木」。</t>
  </si>
  <si>
    <t>犕</t>
  </si>
  <si>
    <t>[動]
1.將鞍具套在牲畜身上。《說文解字．牛部》：「犕，《易》曰：『犕牛乘馬。』」《玉篇．牛部》：「犕，服也，以鞍裝馬也。」
2.心服。通「服」。《後漢書．卷七一．皇甫嵩傳》：「卓風令御史中丞已下皆拜以屈嵩，既而抵手言曰：『義真犕未乎？』」
[名]
1.八歲的牛。《玉篇．牛部》：「犕，牛八歲也。」
2.老牛。明．張自烈《正字通．牛部》：「犕，老牛也。」</t>
  </si>
  <si>
    <t>糒</t>
  </si>
  <si>
    <t>[名]
乾飯。《史記．卷一〇九．李將軍傳》：「大將軍使長史持糒醪遺廣，因問廣、食其失道狀，青欲上書報天子軍曲折。」《文選．陸機．弔魏武帝文》：「徽清絃而獨奏，進脯糒而誰嘗？」</t>
  </si>
  <si>
    <t>憊</t>
  </si>
  <si>
    <t>[形]
精神極度疲困。如：「疲憊不堪」。清．蔣士銓〈鳴機夜課圖記〉：「女本弱，今勞瘁過諸兄，憊矣。」</t>
  </si>
  <si>
    <t>鞴</t>
  </si>
  <si>
    <t>[名]
車絥。馬車上的飾物。《廣韻．去聲．至韻》：「鞴，《說文》曰：『車絥也。』」
[動]
將鞍轡等裝備套於馬上。元．關漢卿《竇娥冤》第二折：「我一馬難將兩鞍鞴。」《初刻拍案驚奇》卷三：「鞴著一疋好馬，腰束弓箭短劍，一鞭獨行。」</t>
  </si>
  <si>
    <t>僻</t>
  </si>
  <si>
    <t>(一)（讀音）ㄆㄧˋ pì（00863）</t>
  </si>
  <si>
    <t>避</t>
  </si>
  <si>
    <t xml:space="preserve">辵 </t>
  </si>
  <si>
    <t>(一)ㄅㄧˋ bì（00412）</t>
  </si>
  <si>
    <t>臂</t>
  </si>
  <si>
    <t>(一)ㄅㄧˋ bì（00413）</t>
  </si>
  <si>
    <t>奰</t>
  </si>
  <si>
    <t xml:space="preserve">大 </t>
  </si>
  <si>
    <t>[形]
壯大。《玉篇．大部》：「奰，壯也。」《淮南子．墬形》：「食木者多力而奰。」
[動]
1.怨怒。《詩經．大雅．蕩》：「內奰于中國，覃及鬼方。」漢．毛亨．傳：「不醉而怒曰奰。」唐．元結〈二風詩．亂風詩．至惑〉：「上下隔塞，人神怨奰。」
2.逼迫。南朝陳．無名氏〈代陳司空答貞陽侯書〉：「賊臣侯景，內奰中國，掘剪公室，鞭撻寓縣。」</t>
  </si>
  <si>
    <t>˙ㄅㄟ</t>
  </si>
  <si>
    <t>bei</t>
  </si>
  <si>
    <t>[助]
語尾助詞。如：「既然不懂，你就好好學唄。」</t>
  </si>
  <si>
    <t>(一)ㄅㄞˋ bài（00142）</t>
  </si>
  <si>
    <t>勹</t>
  </si>
  <si>
    <t xml:space="preserve">勹 </t>
  </si>
  <si>
    <t>ㄅㄠ</t>
  </si>
  <si>
    <t>bāo</t>
  </si>
  <si>
    <t>[動]
包裹。「包」的本字。《說文解字．勹部》：「勹，裹也，象人曲行，有所包裹。」清．段玉裁．注：「今字『包』行，而『勹』廢矣。」
[名]
二一四部首之一。</t>
  </si>
  <si>
    <t>包</t>
  </si>
  <si>
    <t>[動]
1.裹紮、容納其中。如：「包裝」、「包容」、「無所不包」。《詩經．召南．野有死麕》：「野有死麕，白茅包之。」
2.圍住。如：「士兵分兩路包過去了。」
3.藏。《漢書．卷九七．外戚傳上．孝武李夫人傳》：「包紅顏而弗明。」顏師古注引晉灼曰：「包，藏也。」
4.保證、擔保。如：「包你滿意」、「包管沒事」。元．鄭廷玉《楚昭公》第一折：「只怕我伯嚭身上，包殺的他尿流屁滾。」
5.負責。如：「包打聽」、「一手包辦」。
6.承攬。如：「承包」、「發包工程」。
7.約定專用。如：「包車」、「包場子」。
[名]
1.裝東西的袋子。如：「皮包」、「書包」、「荷包」、「腰包」。
2.氈製的圓頂帳篷。如：「蒙古包」。
3.物體或身體上鼓起的疙瘩。如：「頭上撞腫了一個包。」
4.一種麵粉做成的食物。如：「麵包」、「包子」。
5.量詞。計算成包的物品的單位。如：「一包糖果」、「十包水泥」。
6.姓。如漢代有包咸，宋代有包拯。</t>
  </si>
  <si>
    <t>孢</t>
  </si>
  <si>
    <t>參見「孢子」、「胞囊孢子」等條。</t>
  </si>
  <si>
    <t>炮</t>
  </si>
  <si>
    <t>[動]
1.一種烹飪法。在旺火上急炒。用於快炒肉片、肉丁等。如：「炮羊肉」、「炮炒雞丁」。《意林．卷一》引《韓非子》：「熾爐炮肉盡赤，而髮尚繞，臣罪三也。」《金瓶梅詞話》第三四回：「第二道又是四碗嗄飯：一甌兒濾蒸的燒鴨、一甌兒水晶膀蹄、一甌兒白煠豬肉、一甌兒炮炒的腰子。」
2.把東西置於器物上烘乾。如：「將鞋子放在爐臺上炮乾。」</t>
  </si>
  <si>
    <t>(一)ㄆㄠˊ páo（00675）(二)ㄆㄠˋ pào（00688）</t>
  </si>
  <si>
    <t>枹</t>
  </si>
  <si>
    <t>參見「枹木」條。</t>
  </si>
  <si>
    <t>(一)ㄈㄨ fū（01766）(二)（(一)之又音）ㄈㄨˊ fú（01818）</t>
  </si>
  <si>
    <t>苞</t>
  </si>
  <si>
    <t>[名]
1.花或花序基部之退化葉或葉狀結構。如：「含苞待放」。
2.蓆草。可用來編織席子、草鞋等。
[動]
1.將東西包裹起來。通「包」。
2.容納。晉．左思〈魏都賦〉：「巷苞諸公，都護之堂，殿居綺窗。」
3.總攬。三國魏．何晏〈景福殿賦〉：「兼苞博落，不常一象。」
[形]
草木茂盛。如：「竹苞松茂」。</t>
  </si>
  <si>
    <t>胞</t>
  </si>
  <si>
    <t>[名]
1.胞衣。包裹在胎兒外面的薄膜。《漢書．卷九七．外戚傳下．孝成趙皇后傳》：「宮曰：『善臧我兒胞，丞知是何等兒也！』」唐．顏師古．注：「胞謂胎之衣也。」
2.同父母所生的兄弟姊妹。《文選．東方朔．答客難》：「同胞之徒，無所容居、其故何也？」
3.今稱同國或同民族的人。如：「同胞」。
4.病瘡。《戰國策．楚策四》：「夫癘雖癰腫胞疾，上比前世，未至絞纓射股。下比近代，未至擢筋而餓死也。」</t>
  </si>
  <si>
    <t>鞄</t>
  </si>
  <si>
    <t>[名]
軟皮做成的小箱子。如：「提鞄」。</t>
  </si>
  <si>
    <t>(一)ㄆㄠˊ páo（00681）</t>
  </si>
  <si>
    <t>齙</t>
  </si>
  <si>
    <t xml:space="preserve">齒 </t>
  </si>
  <si>
    <t>[動]
牙齒突露。《玉篇．齒部》：「齙，露齒。」《資治通鑑．卷二六八．後梁紀三．均王乾化三年》：「蜀太子元膺，豭喙齙齒，目視不正。」</t>
  </si>
  <si>
    <t>(二)（讀音）ㄆㄠˊ páo（00683）</t>
  </si>
  <si>
    <t>(一)（讀音）ㄅㄛ bō（00053）</t>
  </si>
  <si>
    <t>煲</t>
  </si>
  <si>
    <t>[動]
用慢火熬煮食物。如：「煲粥」、「煲湯」、「雞煲飯」。</t>
  </si>
  <si>
    <t>褒</t>
  </si>
  <si>
    <t>[動]
1.穿著寬大的衣服。《說文解字．衣部》：「褒，衣博裾。」
2.稱揚、讚許。與「貶」相對而言。《公羊傳．隱公元年》：「與公盟者眾矣，曷為獨褒乎此？」南朝梁．蕭統〈文選序〉：「頌者所以游揚德業，褒讚成功。」
[名]
1.獎賞。《新唐書．卷一六二．呂元膺傳》：「請明枉直，以顯褒懲。」
2.國名。周代時所建，故地在今大陸地區陝西省褒城縣東南。也稱為「有褒」。
[形]
大。《淮南子．主術》：「一人被之而不褒，萬人蒙之而不褊。」《漢書．卷八三．朱博傳》：「官屬多褒衣大袑，不中節度，自今掾史衣皆令去地三寸。」</t>
  </si>
  <si>
    <t>ㄅㄠˊ</t>
  </si>
  <si>
    <t>báo</t>
  </si>
  <si>
    <t>[名]
空中水蒸氣遇冷凝結成的冰粒或冰塊。此種粒塊直徑達五公釐或以上，常伴夏季暴雨降下。也稱為「冰雹」、「雹子」。
[動]
投擲、拍打。通「撲」。《敦煌變文集新書．卷五．孟姜女變文》：「姜女自雹哭黃天，只恨賢夫亡太早。」</t>
  </si>
  <si>
    <t>(二)（又音）ㄅㄛˊ bó（00088）</t>
  </si>
  <si>
    <t>㈠[形]1、2、4的語音。</t>
  </si>
  <si>
    <t>(一)（讀音）ㄅㄛˊ bó（00094）(三)ㄅㄛˋ bò（00124）</t>
  </si>
  <si>
    <t>保</t>
  </si>
  <si>
    <t>ㄅㄠˇ</t>
  </si>
  <si>
    <t>bǎo</t>
  </si>
  <si>
    <t>[動]
1.養護、守衛、不使受損。如：「保護」、「保衛」、「保健」、「保全」。《詩經．大雅．崧高》：「南土是保。」
2.承擔、負責。如：「保荐」、「保險」。《周禮．地官．大司徒》：「令五家為比，使之相保。」
3.仗恃。《左傳．僖公二十三年》：「保君父之命，而享其生祿。」
4.妥為收藏。《黃帝內經素問．卷三．靈蘭祕典論》：「黃帝乃擇吉日良兆而藏靈蘭之室以保焉。」
5.舉薦。《三國演義》第九三回：「叡曰：『卿自舉之。』真乃保太原陽曲人──姓郭，名淮。」
[名]
1.責任保證。如：「人保」、「鋪保」。
2.伙計、傭工。如：「酒保」。
3.職官名。即太保。古時三公之一，管理皇宮裡的教育。《書經．君奭．序》：「召公為保，周公為師。」
4.舊時地方的組織：(1)基層組織，五家為保。(2)參見「保甲法」條。
5.姓。如明代有保睿，清代有保希賢。</t>
  </si>
  <si>
    <t>堡</t>
  </si>
  <si>
    <t>[名]
1.用土石築成的小城。《十六國春秋輯補．卷四〇．前秦錄．苻登傳》：「據險築堡以自固。」
2.工事堅固的陣地。如：「碉堡」、「橋頭堡」、「灘頭堡」。
3.北方人稱村落為「堡」。如：「張家堡」。</t>
  </si>
  <si>
    <t>(二)（又音）ㄆㄨˋ pù（01014）</t>
  </si>
  <si>
    <t>媬</t>
  </si>
  <si>
    <t>參見「媬姆」條。</t>
  </si>
  <si>
    <t>葆</t>
  </si>
  <si>
    <t>[名]
1.叢生的草。《漢書．卷六三．武五子傳．燕剌王劉旦傳》：「當此之時，頭如蓬葆。」唐．顏師古．注：「草叢生曰：『葆』。」
2.鼓上的裝飾物。《三國演義》第四九回：「竿尖上用雞羽為葆，以招風信。」
3.通「堡」。《呂氏春秋．慎行論．疑似》：「與諸侯約，為高葆，禱於王路。」
4.姓。如明代有葆光先。
[動]
1.隱藏、掩蔽。《管子．水地》：「故其民諂諛葆詐，巧佞而好利。」
2.守。通「保」。《墨子．非攻》：「濟三江五湖，而葆之會稽。」
3.保持。通「保」。參見「葆真」條。</t>
  </si>
  <si>
    <t>褓</t>
  </si>
  <si>
    <t>參見「襁褓」條。</t>
  </si>
  <si>
    <t>飽</t>
  </si>
  <si>
    <t>[動]
1.滿足。如：「一飽眼福」。《國語．越語上》：「美其服，飽其食。」
2.充滿。晉．陸機〈豪士賦序〉：「心翫居常之安，耳飽從諛之說。」
[副]
1.吃足的。《論語．陽貨》：「飽食終日，無所用心，難矣哉！」
2.充足、充分。如：「飽學」、「飽和」、「飽經世故」、「飽歷風霜」。
[名]
1.吃得滿足的狀態。《論語．學而》：「君子食無求飽，居無求安。」
2.姓。如宋代有飽安盈。</t>
  </si>
  <si>
    <t>鴇</t>
  </si>
  <si>
    <t>[名]_x000D_
1.動物名。一種候鳥。鳥綱涉禽類雁形目。頭小，頸長，無後趾。外形似雁而略大，背部羽毛有斑紋。不善飛翔而善涉水。_x000D_
2.舊稱開設妓院的女人。如：「老鴇」、「鴇母」。_x000D_
3.毛色黑白相間的馬。《詩經．鄭風．大叔于田》：「叔于田，乘乘鴇。雨服齊首，兩驂如手。」也稱為「駁」。</t>
  </si>
  <si>
    <t>寶</t>
  </si>
  <si>
    <t xml:space="preserve">宀 </t>
  </si>
  <si>
    <t>[名]
1.珍貴的東西。如：「珠寶」、「國寶」、「傳家之寶」。《禮記．禮運》：「故天不愛其道，地不愛其寶，人不愛其情。」
2.舊時錢幣。如：「元寶」、「通寶」。
3.璽印。舊時天子御璽、諸侯封璽都稱「寶」。《詩經．大雅．崧高》：「錫爾介圭，以作爾寶。」
4.姓。漢代有寶忠，元代有寶魯。
[形]
1.珍貴的。如：「寶刀」、「寶劍」。
2.稱君主或神、道、佛有關事物。如：「寶位」、「寶符」、「寶塔」、「寶剎」。
3.尊稱他人。如：「寶眷」、「貴寶號」。</t>
  </si>
  <si>
    <t>刨</t>
  </si>
  <si>
    <t>ㄅㄠˋ</t>
  </si>
  <si>
    <t>bào</t>
  </si>
  <si>
    <t>[動]
削刮成碎屑。通「鉋」。如：「刨皮」、「刨木頭」。</t>
  </si>
  <si>
    <t>(一)ㄆㄠˊ páo（00672）</t>
  </si>
  <si>
    <t>抱</t>
  </si>
  <si>
    <t>[名]
1.胸懷、志趣。《宋書．卷六九．列傳．范曄》：「然區區丹抱，不負夙心。」
2.量詞。計算兩臂可圍持的單位。如：「一抱草」、「一抱書」。
3.姓。如北魏有抱嶷、抱老壽。
[動]
1.用手臂摟起。如：「抱孩子」、「抱薪救火」。清．紀昀《閱微草堂筆記．卷四．灤陽消夏錄四》：「剨然有聲後壁半圯，乃左挈妻，右抱子。」
2.養育。《兒女英雄傳》第三三回：「往後來倆姑奶奶再都抱了娃子，那個不用幾尺粗布呢？」
3.孵化。如：「抱蛋」、「抱窩」。
4.懷藏在內。如：「抱怨」、「抱病」。
5.守護。《孟子．萬章下》：「抱關擊柝者，皆有常職以食於上。」
6.環繞。如：「環山抱水」。宋．陸游〈書事〉詩：「聞道輿圖次第還，黃河依舊抱潼關。」
7.拋擲、丟棄。《史記．卷一三．三代世表》：「褚先生曰：『抱之山中，山者養之。』」</t>
  </si>
  <si>
    <t>菢</t>
  </si>
  <si>
    <t>[動]
禽鳥孵卵。唐．韓愈〈薦士〉詩：「鶴翎不天生，變化在啄菢。」明．徐光啟《農政全書．卷四一．牧養．六畜》：「養雞不菢法：母雞下卵時，日逐食內夾以麻子餵之，則常生卵不菢。」</t>
  </si>
  <si>
    <t>鉋</t>
  </si>
  <si>
    <t>[名]_x000D_
1.裝有利刃，用以削平的工具，如削平木材的鉋子，削平銅鐵的鋼鉋等。_x000D_
2.刷馬毛的鐵刷。如：「馬鉋」。_x000D_
[動]_x000D_
1.用鉋子削平東西。如：「請把這塊木料鉋薄一些。」_x000D_
2.鋤地使平。如：「鉋地」。元．張國賓《薛仁貴》第一折：「諸葛亮鋤田鉋地，劉先生織席編履，那等的人題他做甚麼？」</t>
  </si>
  <si>
    <t>鮑</t>
  </si>
  <si>
    <t>[名]
1.鹽醃的鹹魚，味腥臭。《史記．卷一二九．貨殖傳》：「鮐鮆千斤，鯫千石，鮑千鈞。」
2.動物名。軟體動物門腹足綱。肉質鮮美，可食。貝殼橢圓形，可入藥。也稱為「鰒魚」、「石決明」。
3.姓。如春秋時齊國有鮑叔牙，南朝宋有鮑照。</t>
  </si>
  <si>
    <t>[動]
跳躍。《集韻．去聲．效韻》：「趵，跳躍也。」如：「趵突」。</t>
  </si>
  <si>
    <t>(二)ㄅㄛ bō（00051）</t>
  </si>
  <si>
    <t>豹</t>
  </si>
  <si>
    <t>[名]
1.動物名。哺乳綱食肉目。似虎較小，毛黃褐色，背有黑圓斑。性凶猛，能上樹捕食其他獸類，傷害人畜。也稱為「豹子」。
2.姓。如三國時魏國有豹皮公。</t>
  </si>
  <si>
    <t>報</t>
  </si>
  <si>
    <t>[名]
1.由某種前因而得的結果。如：「善報」、「惡報」。
2.音信、消息。如：「捷報」、「情報」。
3.新聞紙或刊物。如：「日報」、「晚報」。
[動]
1.告訴。如：「報信」、「報佳音」。
2.回應、酬答。《詩經．衛風．木瓜》：「投我以木桃，報之以瓊瑤。」《荀子．宥坐》：「為善者天報之以福，為不善者天報之以禍。」
3.答覆。如漢代司馬遷有〈報任少卿書〉。
4.下淫上。《左傳．宣公三年》：「文公報鄭子之妃。」晉．杜預．注：「漢律：『淫季父之妻，曰報。』」
5.論罪處刑。《韓非子．五蠹》：「以為直於君而曲於父，報而罪之。」《漢書．卷六七．胡建傳》：「知吏賊傷奴，辟報故不窮審。」顏師古注引蘇林曰：「報，論也。斷獄為報。」</t>
  </si>
  <si>
    <t>暴</t>
  </si>
  <si>
    <t xml:space="preserve">日 </t>
  </si>
  <si>
    <t>[動]
1.急遽、猛烈。《說文解字．日部》：「暴，疾有所趣也。」《詩經．邶風．終風》：「終風且暴，顧我則笑。」漢．鄭玄．箋：「暴，疾也。」
2.欺凌。《荀子．性惡》：「則夫彊者害弱而奪之，眾者暴寡而譁之。」
3.毀壞、蹧蹋。如：「暴殄天物」、「自暴自棄」。
4.空手搏鬥。《論語．述而》：「暴虎馮河，死而無悔者，吾不與也。」宋．邢昺．疏：「空手搏虎為暴虎。」
5.鼓起、突出。如：「他氣得頭上的青筋都暴出來了。」
[形]
1.殘酷凶惡。如：「殘暴」、「暴虐」、「暴行」。
2.急躁的。《荀子．彊國》：「威有三：有道德之威者，有暴察之威者，有狂妄之威者。」唐．楊倞．注：「暴察，謂暴急嚴察也。」
3.急驟的、猛烈的。如：「暴風」、「暴雨」、「暴飲暴食」。
[名]
姓。戰國時韓國有暴鳶，漢代有暴勝之。</t>
  </si>
  <si>
    <t>(二)ㄆㄨˋ pù（01015）</t>
  </si>
  <si>
    <t>(一)ㄆㄛˋ pò（00628）(三)（(一)之又音）ㄅㄛˊ bó（00109）</t>
  </si>
  <si>
    <t>儤</t>
  </si>
  <si>
    <t>參見「儤直」條。</t>
  </si>
  <si>
    <t>瀑</t>
  </si>
  <si>
    <t>[動]
水激飛。《文選．郭璞．江賦》：「揮弄灑珠，拊拂瀑沫。」
[名]
河川名。即瀑河，位大陸地區河北省境內。
[形]
迅疾的。如：「瀑風」、「瀑雨」。</t>
  </si>
  <si>
    <t>(一)ㄆㄨˋ pù（01016）</t>
  </si>
  <si>
    <t>[動]
1.因火或受熱猛然炸裂或迸出。《紅樓夢》第四九回：「怪道昨兒晚上燈花爆了又爆，結了又結，原來應到今日。」
2.突然、猛迅發生。如：「戰事爆發」。
3.一種烹飪法。將食物用大火熱油快炒，並頻頻以鍋鏟翻攪材料，至食物剛熟即起鍋，比炒所需的時間更短。如：「爆肚兒」、「醬爆雞丁」、「蔥爆牛肉」。</t>
  </si>
  <si>
    <t>(二)ㄅㄛˊ bó（00111）</t>
  </si>
  <si>
    <t>犦</t>
  </si>
  <si>
    <t>[名]
動物名。即犎牛。背脊上有肉隆起如橐駝，據說可健行三百餘里而不須休息。《爾雅．釋畜》：「犦牛。」晉．郭璞．注：「即犎牛也。領上肉犦胅起高二尺許，狀如橐駝，肉鞍一邊。健行者，日三百餘里。」</t>
  </si>
  <si>
    <t>虣</t>
  </si>
  <si>
    <t xml:space="preserve">虍 </t>
  </si>
  <si>
    <t>[名]
古時一種猛獸。《文選．鮑照．蕪城賦》：「伏虣藏虎，乳血飧膚。」唐．李善．注：「虣，古文暴字，蒲到切。虣或為甝，《爾雅》曰：『甝，白虎。』」
[形]
急躁、暴虐。《周禮．地官．大司徒》：「以刑教中，則民不虣。」</t>
  </si>
  <si>
    <t>扳</t>
  </si>
  <si>
    <t>ㄅㄢ</t>
  </si>
  <si>
    <t>bān</t>
  </si>
  <si>
    <t>[動]
1.向某一方向拉。如：「向上扳開」。
2.將物體反轉過來。《紅樓夢》第二六回：「寶玉纔走上來，要扳他的身子，只見黛玉的奶娘並兩個婆子卻跟了進來，說：『妹妹睡覺呢，等醒了再請來。』」
3.挽回頹勢。如：「將比數扳平」。</t>
  </si>
  <si>
    <t>(二)ㄆㄢ pān（00704）</t>
  </si>
  <si>
    <t>班</t>
  </si>
  <si>
    <t>[動]
1.古代將玉質的信物中分為二，雙方各執其一以為信。《說文解字．玨部》：「班，分端玉。」《書經．舜典》：「既月乃日，覲四岳群牧，班瑞于群后。」
2.分開、分別。參見「班馬」條。
3.分予、贈給。《後漢書．卷二四．馬援傳》：「（援）乃散盡（貨殖財產）以班昆弟、故舊，身衣羊裘、皮褲。」
4.頒布。《漢書．卷九九．王莽傳》中：「秋，遣五威將王奇等十二人，班符命於天下。」南朝梁．劉勰《文心雕龍．史傳》：「自周命維新，姬公定法，紬三正以班歷，貫四時以聯事。」
5.回、還。如：「班師回朝」。南朝宋．劉義慶《世說新語．德行》：「遂班軍而回還，一郡並獲全。」
6.相等、等同。《孟子．公孫丑上》：「伯夷、伊尹於孔子，若是班乎？」漢．趙岐．注：「班，齊等之貌也。」
[名]
1.工作或學習人員的分組組別。如：「甲班」、「初級班」、「才藝班」、「進修班」。
2.行業中的小團體。如：「戲班」。
3.軍隊中編制的單位。屬於排，通常由十人組成。
4.行列、行次。如：「排班」。《文選．張衡．東京賦》：「然後百辟乃入，司儀辨等，尊卑以班。」三國吳．薛綜．注：「班，位次也。謂尊卑有等差也。」
5.按時間分成的工作段落。如：「上班」、「值班」、「加班」、「三班制」。
6.量詞：(1)計算人群的單位。如：「一班人馬」。(2)計算交通工具定時開動的單位。如：「這家航空公司每週有三班飛機飛往歐洲。」(3)計算班級的單位。如：「我們學校有二十五班學生。」(4)計算工作時段的單位。如：「這星期加了三班工作。」
7.姓。如漢代有班彪、班超、班昭。
[形]
定時開動的。如：「班機」、「班車」。清．徐珂《清稗類鈔．舟車類．班船》：「江蘇之稱航船，曰：『班船』。喻其往來有定，更番為代也。」</t>
  </si>
  <si>
    <t>斑</t>
  </si>
  <si>
    <t xml:space="preserve">文 </t>
  </si>
  <si>
    <t>[名]
1.雜色的點或花紋。《說文解字．文部》：「辬，駁文也。」清．段玉裁．注：「斑者，辬之俗。今乃斑行而辬廢矣。」如：「白斑」、「紅斑」。唐．宋之問〈晚泊湘江〉詩：「唯餘望鄉淚，更染竹成斑。」
2.痕跡。元．錢惟善〈和季文山齋早春〉詩：「落梅風細小窗寒，石上餘香點點斑。」
3.一小部分。如：「可見一斑」。
[形]
1.灰白。顏色雜而不純。如：「斑白」。唐．韋應物〈淮上喜會梁川故人〉詩：「歡笑情如舊，蕭疏鬢已斑。」
2.雜亂。《楚辭．屈原．離騷》：「紛總總其離合兮，斑陸離其上下。」漢．王逸．注：「斑，亂貌。」</t>
  </si>
  <si>
    <t>[名]
1.樣、種類。如：「那般」、「萬般無奈」、「百般勸解」、「如此這般」。元．關漢卿《救風塵》第一折：「無般不曉，無般不會。」
2.人名。少皞之子。《山海經．海內經》：「少皞生般，般是始為弓矢。」
[動]
還、返回。通「班」。參見「般師」條。
[形]
同樣的。如：「兄弟般的友誼」、「姊妹般的感情」。</t>
  </si>
  <si>
    <t>(二)ㄆㄢˊ pán（00711）(三)ㄅㄛ bō（00052）</t>
  </si>
  <si>
    <t>搬</t>
  </si>
  <si>
    <t>[動]
1.使出力氣移動較笨重或較大物體的位置。如：「搬動」、「搬移」。
2.遷移。如：「搬家」、「你家搬到那裡去了？」
3.表演、扮演。如：「搬演」。《永樂大典戲文三種．張協狀元．第一出》：「狀元張協傳，前回曾演，汝輩搬成。」
4.挑撥。如：「搬弄是非」。元．狄君厚《介子推》第二折：「送的個前家兒惹罪遭殃，搬得個親夫主出乖弄醜。」</t>
  </si>
  <si>
    <t>瘢</t>
  </si>
  <si>
    <t>[名]
1.瘡痕、疤痕。《漢書．卷八．宣帝紀》「刑者不可息」句下顏師古注引李斐曰：「若黥劓者，雖欲改過，其創瘢不可復滅也。」漢．蔡琰〈胡笳十八拍〉：「塞上黃蒿兮枝枯葉乾，沙場白骨兮刀痕箭瘢。」
2.皮膚上的斑點。如：「雀瘢」。也作「斑」。
3.過失、罪惡。《新唐書．卷九七．魏徵傳》：「好則鑽皮出羽，惡則洗垢索瘢。」</t>
  </si>
  <si>
    <t>螌</t>
  </si>
  <si>
    <t xml:space="preserve">虫 </t>
  </si>
  <si>
    <t>參見「螌蝥」條。</t>
  </si>
  <si>
    <t>斒</t>
  </si>
  <si>
    <t>參見「斒斕」條。</t>
  </si>
  <si>
    <t>頒</t>
  </si>
  <si>
    <t xml:space="preserve">頁 </t>
  </si>
  <si>
    <t>[動]
1.賜給、發給。如：「頒獎」、「頒發」。《文選．潘岳．馬汧督誄》：「司勛頒爵，亦兆後昆。」《宋史．卷三六五．岳飛傳》：「凡有頒犒，均給軍吏，秋毫不私。」
2.宣布、公布。如：「頒布」、「部頒課程標準」。《禮記．明堂位》：「頒度量而天下大服。」《文選．張衡．東京賦》：「乃營三宮，布教頒常。」
[形]
黑白相間。通「斑」。如：「頭髮頒白」。</t>
  </si>
  <si>
    <t>坂</t>
  </si>
  <si>
    <t>ㄅㄢˇ</t>
  </si>
  <si>
    <t>bǎn</t>
  </si>
  <si>
    <t>[名]
山坡、斜坡。通「阪」。如：「山坂」、「峭坂」。《文選．曹操．苦寒行》：「羊腸坂詰屈，車輪為之摧。」宋．戴復古〈夜宿田家〉詩：「雨行山崦黃泥坂，夜扣田家白皮扉。」</t>
  </si>
  <si>
    <t>阪</t>
  </si>
  <si>
    <t xml:space="preserve">阜 </t>
  </si>
  <si>
    <t>[名]
1.山坡。《說文解字．阜部》：「阪，坡者曰阪。」《漢書．卷四五．蒯通傳》：「必相率而降，猶如阪上走丸也。」唐．元稹〈當來日大難行〉：「當來日大難行。前有阪，後有坑。」
2.山腰小路。《說文解字．阜部》：「阪，一曰山脅也。」唐．劉長卿〈奉和李大夫同呂評事太行苦熱行〉：「朝辭羊腸阪，夕望貝丘郭。」</t>
  </si>
  <si>
    <t>板</t>
  </si>
  <si>
    <t>[名]
1.片狀的木料。如：「木板」、「板畫」。
2.呈薄片或扁平狀的物體。如：「銅板」、「墊板」、「腳板」。
3.拍板。用於戲曲伴奏和樂器合奏，常與板鼓合用，由鼓手兼操。
4.音樂的節拍。如：「板眼」、「快板」、「慢板」。
5.棺木的代稱。《紅樓夢》第一三回：「看板時，幾副杉木板皆不中用。」
6.量詞。計算受杖刑笞打次數的單位。如：「來人呀！拖下去打四十大板！」
7.通「闆」。如：「老板」。
8.《詩經．大雅》的篇名，共八章。根據〈詩序〉：「板，凡伯刺厲王也。」指勸戒厲王之詩。首章二句為：「上帝板板，下民卒癉。」
9.電腦網路的討論區。經常劃分不同的主題，讓使用者表達意見，進行討論。每一個主題討論區即稱為「板」。也稱作「版」。
[形]
呆滯不活潑或固執不變。如：「呆板」、「古板」。
[動]
繃緊。如：「板著臉」、「板起面孔訓人」。</t>
  </si>
  <si>
    <t>昄</t>
  </si>
  <si>
    <t>[形]
大。《說文解字．日部》：「昄，大也。」《詩經．大雅．卷阿》：「爾土宇昄章，亦孔之厚矣。」漢．毛亨．傳：「昄，大也。」</t>
  </si>
  <si>
    <t>版</t>
  </si>
  <si>
    <t xml:space="preserve">片 </t>
  </si>
  <si>
    <t>[名]
1.木片或片狀的器物。《說文解字．片部》：「版，片也。」清．段玉裁．注：「凡施於宮室器用者，皆曰版。今字作板。」
2.古時築牆所用的木夾板。如：「版築」。《史記．卷八二．田單傳》：「田單知士卒之可用，乃身操版插，與士卒分功。」
3.簡牘的通稱。《管子．宙合》：「故退身不舍端，修業不息版。」唐．尹知章．注：「版，牘也。」
4.戶籍、圖籍。《周禮．天官．司會》：「凡在書契版圖者之貳。」漢．鄭玄．注：「版，戶籍也。」《論語．鄉黨》：「式負版者。」三國魏．何晏．集解：「負版者，持邦國之圖籍。」
5.印刷所用的版式，上面拼組或刻鑄著既定的文字或圖形。如木版、鉛版、鋅版、銅版等印刷。
6.版本。如：「宋版書」。
7.量詞：(1)計算報紙頁面的單位。如：「今天的報紙共有十六版。」(2)計算同一作品不同時期出版的單位。如：「這本書已出至十二版。」
8.書籍版本的簡稱。如：「原版影印」、「宋版老子」、「鼎文版史記」。
9.報紙或雜誌的版別。如：「國際版」、「體育版」、「經濟版」。
10.電腦網路的討論區。經常劃分不同的主題，讓使用者表達意見，進行討論。每一個主題討論區即稱為「版」。也稱為「板」。</t>
  </si>
  <si>
    <t>粄</t>
  </si>
  <si>
    <t>[名]
1.碎米製成的餅。《廣韻．上聲．緩韻》：「粄，屑米餅也。」《通志．卷八二．宗室傳五》：「鈞，字宣禮，年五歲，所生區貴人病，便加慘悴，左右依常以五色粄飴之，不肯食，曰：『須待姨差。』」
2.一種米製的食品。如：「粄條」、「過年吃的甜年糕，客家人稱為『甜粄』。」</t>
  </si>
  <si>
    <t>舨</t>
  </si>
  <si>
    <t>[名]
舢舨：小船。也作「舢板」。參見「舢板」條。</t>
  </si>
  <si>
    <t>鈑</t>
  </si>
  <si>
    <t>[名]
1.形狀似餅的金、銀塊。《爾雅．釋器》：「鉼金謂之鈑。」如：「金鈑」、「銀鈑」。明．宋應星《天工開物．卷下．五金》：「（銀）當其合瑣碎而成鈑錠，去庛偽而造精純。」
2.板狀的金屬塊。如：「鋼鈑」、「鋁鈑」。</t>
  </si>
  <si>
    <t>蝂</t>
  </si>
  <si>
    <t>參見「蝜蝂」條。</t>
  </si>
  <si>
    <t>闆</t>
  </si>
  <si>
    <t xml:space="preserve">門 </t>
  </si>
  <si>
    <t>參見「老闆」條。</t>
  </si>
  <si>
    <t>爿</t>
  </si>
  <si>
    <t xml:space="preserve">爿 </t>
  </si>
  <si>
    <t>ㄅㄢˋ</t>
  </si>
  <si>
    <t>bàn</t>
  </si>
  <si>
    <t>[名]
1.江蘇方言。量詞：(1)計算店鋪的單位。相當於「家」、「間」等。如：「一爿店」。《文明小史》第一〇回：「一路言來語去，不知不覺已到了昨日所住的那爿小客棧內。」(2)計算田地的單位。相當於「塊」、「片」等。如：「父親留下的就只剩那一爿田了。」
2.整體中的部分。如：「一刀下去，將賊砍成兩半爿！」</t>
  </si>
  <si>
    <t>(一)ㄑㄧㄤˊ qiáng（06554）</t>
  </si>
  <si>
    <t>半</t>
  </si>
  <si>
    <t>[形]
1.二分之一的。如：「半數」、「半邊」、「半碗飯」、「年過半百」。
2.在……中間。如：「半夜」、「半路」、「半山腰」。唐．張繼〈楓橋夜泊〉詩：「姑蘇城外寒山寺，夜半鐘聲到客船。」
3.比喻極少。如：「一星半點」、「一分半鐘」。
[副]
部分、不完全的。如：「半成品」、「半生不熟」、「半新不舊」、「一知半解」。
[名]
事物二分之一的部分。如：「剖半」、「一半」。《莊子．天下》：「一尺之捶，日取其半，萬世不竭。」</t>
  </si>
  <si>
    <t>伴</t>
  </si>
  <si>
    <t>[名]
同在一起的人。如：「伴侶」、「老伴」、「夥伴」。《三國志．卷四〇．蜀書．李嚴傳》：「吾與孔明俱受寄託，憂深責重，思得良伴。」
[動]
1.陪同、依隨。如：「伴我良宵」。唐．杜甫〈奉酬李都督表丈早春作〉詩：「轉添愁伴客，更覺老隨人。」宋．周邦彥〈瑞龍吟．章臺路〉詞：「知誰伴、名園露飲，東城閒步。」
2.和聲。如：「你歌我伴」。
[副]
1.陪著。如：「伴讀」、「伴遊」。
2.和著。如：「伴奏」、「伴唱」。</t>
  </si>
  <si>
    <t>拌</t>
  </si>
  <si>
    <t>[動]
1.調和。如：「拌勻」、「拌菜」、「攪拌」、「乾拌麵」。《水滸傳》第四三回：「將十數瓶酒，把肉大塊切了，卻將些蒙汗藥拌在裡面。」
2.爭吵、鬥嘴。《紅樓夢》第一〇〇回：「兩口子拌起來就說咱們使了他家的銀錢。」《兒女英雄傳》第七回：「忽然聽得女子進來，隔著排插說道：『姑娘，你聽到這隔壁又拌起來了。』」</t>
  </si>
  <si>
    <t>(二)ㄆㄢˋ pàn（00725）</t>
  </si>
  <si>
    <t>絆</t>
  </si>
  <si>
    <t xml:space="preserve">糸 </t>
  </si>
  <si>
    <t>[名]
勒馬的繩子。《北史．卷二六．宋隱傳》：「軍人有盜馬絆者，斬而循，於是三軍震懼，莫敢犯法。」
[動]
1.行動時，被東西給纏住或擋住。如：「絆倒」。《水滸傳》第六九回：「那馬卻待回頭，背後絆馬索齊起，將馬絆倒。」
2.引申為約束、纏累的意思。如：「羈絆」。唐．杜甫〈曲江〉詩二首之一：「細推物理須行樂，何用浮名絆此身。」宋．蘇軾〈送春〉詩：「夢裡青春可得追，欲將詩句絆餘暉。」</t>
  </si>
  <si>
    <t>扮</t>
  </si>
  <si>
    <t>[動]
1.裝飾、化妝。如：「打扮」、「裝扮」。
2.喬裝、化裝。如：「裝神扮鬼」、「女扮男裝」。元．關漢卿《竇娥冤》第一折：「淨扮賽盧醫上。」《儒林外史》第四〇回：「穿了七條裙子，扮做小老媽的模樣。」</t>
  </si>
  <si>
    <t>魬</t>
  </si>
  <si>
    <t>[名]
動物名。即鰈。一種底棲魚類。體扁而闊，兩眼位於體同側，常橫臥海底。也稱為「比目魚」。明．張自烈《正字通．魚部》：「魬，比目魚，名版魚，俗改作魬。」</t>
  </si>
  <si>
    <t>辦</t>
  </si>
  <si>
    <t xml:space="preserve">辛 </t>
  </si>
  <si>
    <t>[動]
1.處理事務。如：「辦事」、「公事公辦」、「經辦」。
2.創設、經營。如：「興辦」、「創辦」、「辦工廠」、「辦學校」。
3.懲罰。如：「依法究辦」、「嚴辦」、「查辦」。《三國志．卷四四．蜀書．費褘傳》：「君信可人，必能辦賊者也。」
4.購買。如：「採辦」、「辦貨」。
5.具備。如：「辦酒席」。元．劉唐卿《降桑椹》第四折：「俺一家兒辦誠心酬謝天和地。」</t>
  </si>
  <si>
    <t>瓣</t>
  </si>
  <si>
    <t>[名]
1.瓜類的種子。《說文解字．瓜部》：「瓣，瓜中實也。」晉．傅玄〈瓜賦〉：「細肌密理，多瓤少瓣。」晉．干寶《搜神記》卷一：「（徐光）從人乞瓜，其主勿與。便從索瓣，杖地種之。」
2.瓜果或球莖等中有薄膜隔開或可依其紋理分開的部分。如：「橘瓣」、「蒜瓣」。
3.花片。如：「花瓣」。《警世通言．卷三．王安石三難蘇學士》：「他也不曉得黃州菊花落瓣，也怪他不得！」
4.瓣膜的簡稱。如：「三尖瓣」。
5.量詞：(1)計算花瓣、葉片或水果、球莖等所分成小塊的單位。如：「這個橘子一共有十二瓣。」(2)計算物件成為瓣狀或破碎後的部分的單位。如：「將蘋果切成四瓣。」、「這瓷瓶被摔成好幾瓣。」</t>
  </si>
  <si>
    <t>奔</t>
  </si>
  <si>
    <t>ㄅㄣ</t>
  </si>
  <si>
    <t>bēn</t>
  </si>
  <si>
    <t>[動]
1.急走。如：「狂奔」、「奔跑」、「奔馳」。《詩經．周頌．清廟》：「駿奔走在廟，不顯不承，無射於人斯。」
2.趕赴、赴投。如：「疲於奔命」。《左傳．襄公十五年》：「鄭公孫夏，如晉奔喪，子蟜送葬。」
3.逃走、逃亡。如：「林冲夜奔」。《左傳．隱公元年》：「五月辛丑，大叔出奔共。」三國魏．李康〈運命論〉：「卒散於陣，民奔于邑，城池無藩籬之固，山川無溝阜之勢。」
4.私自出走與相戀者結合。《詩經．王風．大車》：「豈不爾思，畏子不奔。」《史記．卷一一七．司馬相如列傳》：「文君夜亡奔相如，相如乃與馳歸成都。」
[形]
快走的、急馳的。如：「奔瀑」。漢．枚乘〈七發〉：「誠奮厥武，如振如怒，沌沌渾渾，狀如奔馬。」唐．魏徵〈論時政疏〉：「載舟覆舟，所宜深慎。奔車朽索，其可忽乎？」
[名]
姓。如五代時後晉有奔洪進。</t>
  </si>
  <si>
    <t>(二)ㄅㄣˋ bèn（00273）</t>
  </si>
  <si>
    <t>錛</t>
  </si>
  <si>
    <t>[名]
一種向內砍刺、削平木頭的工具。柄長，體呈單斜面或雙斜面，頂端有斧刃。青銅錛始見殷商，春秋戰國時數量增多，有不少流傳至後代。也稱為「錛子」、「錛鋤」。
[動]
用錛子砍削。如：「把這塊大木頭錛開。」</t>
  </si>
  <si>
    <t>賁</t>
  </si>
  <si>
    <t>[形]
富於勇力而行走迅速。《廣韻．平聲．魂韻》：「賁，勇也。」《墨子．備梯》：「令賁士、主將皆聽城鼓之音而出。」
[名]
1.參見「賁門」條。
2.姓。如春秋時魯國有賁浦。</t>
  </si>
  <si>
    <t>(一)ㄅㄧˋ bì（00404）(三)ㄈㄣˋ fèn（01671）</t>
  </si>
  <si>
    <t>本</t>
  </si>
  <si>
    <t>ㄅㄣˇ</t>
  </si>
  <si>
    <t>běn</t>
  </si>
  <si>
    <t>[名]
1.草木的根幹。《說文解字．木部》：「木下曰本。」《呂氏春秋．士容論．辯士》：「是以畝廣以平，則不喪本。」漢．高誘．注：「本，根也。」
2.事物的本原、根源。如：「本末倒置」、「變本加厲」。《論語．學而》：「君子務本，本立而道生。」
3.母金、資金。如：「成本」、「股本」、「夠本」、「賠本」、「將本圖利」、「一本萬利」。
4.書籍、字畫、碑帖等。如：「讀本」、「版本」、「刻本」、「拓本」、「手抄本」、「精裝本」。
5.演出的底本。如：「腳本」、「話本」、「劇本」。
6.古代奏達皇帝的文書。如：「奏本」、「修本」。
7.量詞：(1)計算書籍、簿冊等的單位。如：「五本書」、「三本帳簿」。(2)計算戲曲分段的單位。如：「西廂記第四本」。(3)計算影片攝製成的膠卷的單位。如：「這部影片長達八大本。」
8.姓。如明代有本高。
[動]
根據、依憑。如：「一本初衷」。唐．柳宗元〈答韋中立論師道書〉：「本之春秋以求其斷。」
[形]
1.主要的、中心的。如：「本體」、「本位」、「校本部」。
2.起初的、原來的。如：「本能」、「本名」、「江山易改，本性難移」。
3.現在的、目前的。如：「本月」、「本年度」。
[副]
本來、原來。《史記．卷八．高祖本紀》：「本定天下，諸將及（項）籍也。」《文選．李密．陳情表》：「本圖宦達，不矜名節。」
[代]
稱自己或自己這方。如：「本人」、「本庭」、「本籍」、「本報訊」。《淮南子．氾論》：「立之于本朝之上，倚之于三公之位。」</t>
  </si>
  <si>
    <t>苯</t>
  </si>
  <si>
    <t>[名]
一種有機化合物。結構為平面六邊形的碳氫化合物，屬芳香族。無色透明的液體，易燃，有毒，有特殊氣味。從煤、石油蒸餾而得，可供作燃料或溶劑。用於製造苯乙烯、苯酚等。</t>
  </si>
  <si>
    <t>畚</t>
  </si>
  <si>
    <t xml:space="preserve">田 </t>
  </si>
  <si>
    <t>[名]
用草繩或竹片編成的盛土器具。如：「畚箕」、「畚斗」。《公羊傳．宣公六年》：「趙盾已朝而出，與諸大夫立於朝，有人荷畚。」
[動]
用畚箕撮取東西。如：「畚土」、「畚草」。</t>
  </si>
  <si>
    <t>坌</t>
  </si>
  <si>
    <t>ㄅㄣˋ</t>
  </si>
  <si>
    <t>bèn</t>
  </si>
  <si>
    <t>[名]
灰塵。《說文解字．土部》：「坌，塵也。」金．元好問〈戊戌十月山陽雨夜〉詩二首之二：「霏霏散浮煙，靄靄集微坌。」
[動]
1.聚集。如：「坌集」。唐．元稹〈說劍〉詩：「君今困泥滓，我亦坌塵垢。」
2.方言。翻、刨的意思。如：「坌土」、「坌地」。《通俗編．雜字》引《廣異記》：「載鷙獸搏狂牛事云：『牛自埋身于土，獸坌成潭。』」
3.塵土撒落在物體上。《北史．卷九二．恩倖傳．齊諸宦者傳》：「（諸閹）飛鞭競走，十數為群，馬塵必坌諸貴。」
[形]
1.笨重、不靈活。通「笨」。元．馬致遠《陳摶高臥》第二折：「我其實戴不的幞頭緊，穿不的朝衣坌。倒不如我這拂黃塵的布袍。漉渾酒的綸巾。」
2.愚蠢。通「笨」。元．關漢卿《陳母教子》第一折：「我似那靈禽在後，你這等坌鳥先飛。」
3.粗糙的。通「笨」。元．王曄《桃花女》第一折：「您穿的輕紗異錦，俺穿的是坌絹的這粗紬。」
4.粗重。通「笨」。元．秦𥳑夫《剪髮待賓》第一折：「常著我左肩，那在這右肩，與人家做生活，打些坌活。」</t>
  </si>
  <si>
    <t>[動]
1.直往、投向。如：「各奔前程」、「投奔自由」、「直奔目的地」。《紅樓夢》第四回：「薛蟠見母親如此說，情知扭不過的，只得吩咐人夫；一路奔榮國府來。」
2.年齡接近於……。《紅樓夢》第七六回：「我們雖然年輕，已經是十來年的夫妻，也奔四十歲的人了。」</t>
  </si>
  <si>
    <t>(一)ㄅㄣ bēn（00266）</t>
  </si>
  <si>
    <t>逩</t>
  </si>
  <si>
    <t>[動]
前往、直趨。《字彙．辵部》：「逩，逋悶切，奔去聲。逩走也。」元．關漢卿《救風塵》第三折：「我假意兒瞞，虛科兒噴，著言廝有家難逩。」</t>
  </si>
  <si>
    <t>笨</t>
  </si>
  <si>
    <t>[形]
1.理解能力不強或記憶能力不佳。如：「笨蛋」、「愚笨」。
2.不靈巧、不靈活。如：「笨手笨腳」。《兒女英雄傳》第一三回：「我的嘴笨，也說不上個甚麼來。」
3.龐大沉重。如：「笨重」。《清史稿．卷一四九．交通志一》：「有鐵路，則機器可入，笨貨可出。」</t>
  </si>
  <si>
    <t>邦</t>
  </si>
  <si>
    <t>ㄅㄤ</t>
  </si>
  <si>
    <t>bāng</t>
  </si>
  <si>
    <t>[名]
1.古時諸侯的封土，大的稱為「邦」，小的稱為「國」。《周禮．天官．大宰》：「大宰之職，掌建邦之六典，以佐王治邦國。」漢．鄭玄．注：「大曰邦，小曰國，邦之所居亦曰國。」
2.泛稱國家。如：「友邦」、「鄰邦」、「聯邦」、「盟邦」、「多難興邦」。《文選．丘遲．與陳伯之書》：「故知霜露所均，不育異類；姬漢舊邦，無所雜種。」</t>
  </si>
  <si>
    <t>梆</t>
  </si>
  <si>
    <t>[名]
1.巡更或號召群眾時，用來敲擊的器具。以竹、木製成。如：「木梆」、「竹梆」。也稱為「梆子」。
2.參見「梆子」條。</t>
  </si>
  <si>
    <t>傍</t>
  </si>
  <si>
    <t>[動]
臨近。如：「傍午」、「傍晚」。</t>
  </si>
  <si>
    <t>(一)ㄅㄤˋ bàng（00289）(二)ㄆㄤˊ páng（00753）</t>
  </si>
  <si>
    <t>幫</t>
  </si>
  <si>
    <t>[動]
1.佐助、輔助。如：「幫助」、「幫忙」。《水滸傳》第七回：「智深道：『我來幫你廝打！』」《儒林外史》第五一回：「只見下水頭支支查查又搖了一隻小船來幫著泊。」
2.附和。如：「幫腔」。《儒林外史》第一八回：「浦墨卿走上去幫了幾句。」
[名]
1.物體旁邊豎起的部分。如：「鞋幫」、「船幫」。元．關漢卿《拜月亭》第一折：「這一對繡鞋兒分不得幫和底。」
2.同性質的人因政治或經濟等目的而組成的團體。如：「幫會」、「馬幫」、「丐幫」。
3.量詞。計算成批、成群事物的單位。如：「一幫人馬」。</t>
  </si>
  <si>
    <t>綁</t>
  </si>
  <si>
    <t>ㄅㄤˇ</t>
  </si>
  <si>
    <t>bǎng</t>
  </si>
  <si>
    <t>[動]
用繩索纏繞或綑紮。如：「綑綁」、「繫綁」、「反綁」。《三國演義》第六三回：「眾軍向前，用索綁縛住。」</t>
  </si>
  <si>
    <t>榜</t>
  </si>
  <si>
    <t>[名]
1.張貼在公共場所的通告。如：「榜文」、「榜帖」。《三國演義》第一回：「恰纔見公攪榜而嘆，故此相問。」
2.揭示錄取名單的公告。如：「榜單」、「排行榜」。《儒林外史》第二回：「弟今年正月初一日夢見看會試榜，弟中在上面是不消說了。」
[動]
告示、揭示。《聊齋志異．卷一一．王者》：「至廟前，見一瞽者，形貌奇異，自榜云：『能知心事』。因求卜筮。」</t>
  </si>
  <si>
    <t>(二)ㄅㄥˋ bèng（00312）</t>
  </si>
  <si>
    <t>牓</t>
  </si>
  <si>
    <t>[名]
1.揭示牌。通「榜」。《宋書．卷五．文帝本紀》：「府州佐史並稱臣，請題牓諸門，一依宮省，上不許。」唐．杜甫〈宣政殿退朝晚出左掖〉詩：「天門日射黃金牓，春殿晴曛赤羽旗。」
2.張貼在公共場所的告示。《北齊書．卷四九．方伎傳．馬嗣明傳》：「從駕往晉陽，至遼陽山中，數處見牓，云有人家女病，若有能治差者，購錢十萬。」
3.參見「牓子」條。</t>
  </si>
  <si>
    <t>膀</t>
  </si>
  <si>
    <t>[名]
1.肩部和肩以下、肘以上的部位。如：「肩膀」、「膀子」。
2.鳥禽類的兩翼。如：「翅膀」。</t>
  </si>
  <si>
    <t>(二)ㄆㄤˊ páng（00755）(三)ㄅㄤˋ bàng（00291）(四)ㄆㄤ pāng（00745）</t>
  </si>
  <si>
    <t>並</t>
  </si>
  <si>
    <t xml:space="preserve">一 </t>
  </si>
  <si>
    <t>ㄅㄤˋ</t>
  </si>
  <si>
    <t>bàng</t>
  </si>
  <si>
    <t>[動]
依傍。通「傍」。《史記．卷六．秦始皇本紀》：「北據河為塞，並陰山至遼東。」唐．張守節．正義：「從河傍陰山，東至遼東。」明．歸有光〈先妣事略〉：「由千墩浦而南，直橋並小港以東，居人環聚，盡周氏也。」</t>
  </si>
  <si>
    <t>(一)ㄅㄧㄥˋ bìng（00550）</t>
  </si>
  <si>
    <t>玤</t>
  </si>
  <si>
    <t>[名]
1.次於玉的美石。說文解字：「玤，石之次玉者，以為系璧。」段玉裁．注：「系璧，蓋為小璧，系帶閒，縣左右佩物也。」
2.地名。春秋時虢地，在今大陸地區河南省澠池縣境。《左傳．莊公二十一年》：「虢公為王宮于玤。」晉．杜預．注：「玤，虢地。」</t>
  </si>
  <si>
    <t>蚌</t>
  </si>
  <si>
    <t>[名]
動物名。軟體動物門斧足綱。體軟有殼，大者長八九寸，能產珠，殼可製器。也稱為「二枚貝」、「蛤蚌」、「蛤蜊」。</t>
  </si>
  <si>
    <t>(二)（又音）ㄅㄥˋ bèng（00308）</t>
  </si>
  <si>
    <t>旁</t>
  </si>
  <si>
    <t xml:space="preserve">方 </t>
  </si>
  <si>
    <t>[動]
依靠、臨近。《漢書．卷六九．趙充國傳》：「匈奴大發十餘萬騎，南旁塞，至符奚廬山，欲入為寇。」唐．顏師古．注：「旁，依也。」</t>
  </si>
  <si>
    <t>(一)ㄆㄤˊ páng（00751）</t>
  </si>
  <si>
    <t>[動]
靠近、依附。如：「依山傍水」、「傍柳而眠」。唐．柳宗元〈漁翁〉詩：「漁翁夜傍西巖宿，曉汲清湘燃楚竹。」</t>
  </si>
  <si>
    <t>(二)ㄆㄤˊ páng（00753）(三)ㄅㄤ bāng（00278）</t>
  </si>
  <si>
    <t>徬</t>
  </si>
  <si>
    <t>[動]
在旁隨行。《周禮．地官．牛》：「凡會同軍旅行役，共其兵車之牛，與其牽徬以載公任器。」漢．鄭玄．注：「居其前曰牽，居其旁曰徬。」</t>
  </si>
  <si>
    <t>(一)ㄆㄤˊ páng（00754）</t>
  </si>
  <si>
    <t>蒡</t>
  </si>
  <si>
    <t>[名]
1.桔梗科「薺苨」之古稱。多年生草本，花冠青紫色，蒴果圓形。《爾雅．釋草》：「蒡，隱荵。」晉．郭璞．注：「似蘇有毛，今江東呼為隱荵，藏以為葅，亦可瀹食。」
2.菊科「牛蒡」，即「蒡翁菜」之別稱。參見「牛蒡」條。</t>
  </si>
  <si>
    <t>參見「弔膀子」條。</t>
  </si>
  <si>
    <t>(一)ㄅㄤˇ bǎng（00284）(二)ㄆㄤˊ páng（00755）(四)ㄆㄤ pāng（00745）</t>
  </si>
  <si>
    <t>磅</t>
  </si>
  <si>
    <t>[名]
1.量詞。英制計量的單位。一磅等於零點四五三六公斤。也稱為「英磅」。
2.秤。如：「磅秤」、「地磅」、「過磅」。
[動]
用磅秤稱重量。如：「磅體重」、「磅一磅」。</t>
  </si>
  <si>
    <t>(二)ㄅㄥˋ bèng（00313）(三)ㄆㄤ pāng（00746）</t>
  </si>
  <si>
    <t>謗</t>
  </si>
  <si>
    <t>[動]
1.以不實的言詞中傷別人，破壞其名譽。《說文解字．言部》：「謗，毀也。」清．段玉裁．注：「謗之言旁也，旁，溥也。大言之過其實。」如：「毀謗」、「譏謗」。《國語．周語上》：「厲王虐，國人謗王。」三國吳．韋昭．注：「謗，誹也。」《史記．卷六五．孫子吳起傳》：「吳起殺其謗己者三十餘人，而東出衛郭門。」
2.詛咒。《左傳．昭公二十七年》：「楚郤宛之難，國言未已，進胙者莫不謗令尹。」晉．杜預．注：「謗，詛也。」</t>
  </si>
  <si>
    <t>鎊</t>
  </si>
  <si>
    <t>[名]
英國的貨幣名稱。為英語pound的音譯。自西元一九七一年起，改為十進位制，一鎊合為一百新便士，舊幣一先令合二十五便士，常用拉丁文名稱的首字￡表示英鎊。</t>
  </si>
  <si>
    <t>棓</t>
  </si>
  <si>
    <t>[名]
1.棍、杖。通「棒」。《淮南子．詮言》：「王子慶忌死於劍，羿死於桃棓。」《聊齋志異．卷四．羅剎海市》：「武士數十騎，皆雕弧，荷白棓，晃耀填擁。」
2.一種農具。即連枷。農家用來打穀去殼的器具。漢．揚雄《方言》卷五：「僉，…自關而西謂之棓，或謂之柫。」晉．郭璞．注：「僉，今連枷，所以打穀者。」</t>
  </si>
  <si>
    <t>(一)ㄆㄡˇ pǒu（00702）</t>
  </si>
  <si>
    <t>棒</t>
  </si>
  <si>
    <t>[名]
1.粗木棍。如：「木棒」、「球棒」。《魏書．卷七四．尒朱榮傳》：「人馬逼戰，刀不如棒。」
2.棒球比賽中依序上場的打擊者，或接力賽跑輪番上陣的選手。如：「強棒」、「第一棒」、「第二棒」、「第四棒投手指定打擊」。
3.引申為工作的傳承或責任的替換。如：「交棒」、「接棒人」。
4.西藏早期宗教的俗稱。為Bon的音譯。略似於中國的巫、道，所奉者為丹巴嘉饒（智者大師），分左右兩派，棒屬右派，近於喇嘛紅教，以鎮壓妖魔、幻術為主。衣冠皆黑衣，故有黑教之稱。當地人稱為「棒」。也稱為「崩薄」、「頗母」。
[動]
用棍子打。《北齊書．卷一二．孝成十二王傳．瑯琊王儼傳》：「其或遲違，則赤棒棒之。」
[形]
形容技術高、能力強。如：「他的書法寫得真棒！」</t>
  </si>
  <si>
    <t>祊</t>
  </si>
  <si>
    <t xml:space="preserve">示 </t>
  </si>
  <si>
    <t>ㄅㄥ</t>
  </si>
  <si>
    <t>bēng</t>
  </si>
  <si>
    <t>[名]
1.門內旁邊設祭處。《詩經．小雅．楚茨》：「祝祭于祊，祀事孔明。」
2.正祭次日，祭先祖於廟門內之旁稱為「祊」。《禮記．禮器》：「設祭于堂，為祊乎外。」漢．鄭玄．注：「祊祭，明日之繹祭也。謂之祊者，於廟門之旁，因名焉。」
3.地名。春秋時魯邑。在今大陸地區山東省費縣東南。</t>
  </si>
  <si>
    <t>崩</t>
  </si>
  <si>
    <t>[動]
1.倒塌。如：「崩塌」、「天崩地裂」。《詩經．小雅．十月之交》：「百川沸騰，山冢崒崩。」唐．李白〈蜀道難〉：「地崩山摧壯士死，然後天梯石棧相鉤連。」
2.毀壞。《論語．陽貨》：「君子三年不為禮，禮必壞；三年不為樂，樂必崩。」《漢書．卷八八．儒林傳．序》：「今禮廢樂崩，朕甚愍焉！」
3.滅亡。《史記．卷一三〇．太史公自序》：「非兵不彊，非德不昌，黃帝、湯、武以興，桀、紂、二世以崩，可不慎歟？」
4.古稱天子之死。如：「駕崩」、「崩殂」。《禮記．曲禮下》：「天子死曰崩，諸侯曰薨。」《史記．卷一〇九．李將軍傳》：「孝景崩，武帝立，左右以為廣名將也，於是廣以上郡太守為未央衛尉。」</t>
  </si>
  <si>
    <t>弸</t>
  </si>
  <si>
    <t>(一)ㄆㄥˊ péng（00780）</t>
  </si>
  <si>
    <t>繃</t>
  </si>
  <si>
    <t>[動]
1.纏束。《說文解字．糸部》：「繃，束也。」
2.拉緊。如：「拔河時，把繩子繃得緊緊的。」
3.衣物的撐緊。如：「衣服緊繃在身上。」
4.間隔疏鬆的縫綴。如：「先把口袋繃在衣服上，等會兒再細細的縫。」
5.勉強支持。如：「繃場面」。《西遊記》第二二回：「就把喫奶的氣力也使盡了，只繃得個手平。」
[名]
背負嬰兒、孩童所用的寬布帶。《廣韻．平聲．耕韻》：「繃，束兒衣。」《漢書．卷八．宣帝紀》「曾孫雖在襁褓」句下唐．顏師古．注：「襁，即今之小兒繃。」</t>
  </si>
  <si>
    <t>(二)ㄅㄥˇ běng（00305）(三)ㄅㄥˋ bèng（00310）</t>
  </si>
  <si>
    <t>絣</t>
  </si>
  <si>
    <t>[名]
古代氐人以不同顏色絲線混織成的布匹。《說文解字．糸部》：「絣，氐人殊縷布也。」
[動]
1.編織。如：「絣繡」。明．袁宏道〈舒大家誌石銘〉：「朝絣暮織，為余叔督家政，甚勤苦。」
2.延續。《後漢書．卷四〇．班彪傳下》：「將絣萬嗣，煬洪暉，奮景炎，扇遺風，播芳烈。」
3.纏、綑。《水滸傳》第二〇回：「身穿一領黑綠羅襖，下面腿絣護膝。」《喻世明言．卷一五．史弘肇龍虎君臣會》：「罪人入獄，教獄子絣在廊上。」</t>
  </si>
  <si>
    <t>甭</t>
  </si>
  <si>
    <t xml:space="preserve">用 </t>
  </si>
  <si>
    <t>ㄅㄥˊ</t>
  </si>
  <si>
    <t>béng</t>
  </si>
  <si>
    <t>[副]
本為北方方言「不用」二字的合文，後作為單字。表示不用、不必的意思。如：「您甭客氣！」、「甭說了！」</t>
  </si>
  <si>
    <t>琫</t>
  </si>
  <si>
    <t>ㄅㄥˇ</t>
  </si>
  <si>
    <t>běng</t>
  </si>
  <si>
    <t>[名]
古代佩刀鞘口上的飾物。有金有玉，表示身分的不同。《詩經．小雅．瞻彼洛矣》：「君子至止，鞞琫有珌。」</t>
  </si>
  <si>
    <t>菶</t>
  </si>
  <si>
    <t>參見「菶菶」條。</t>
  </si>
  <si>
    <t>[動]
板著，指臉部表情僵硬。如：「繃著臉兒生氣。」</t>
  </si>
  <si>
    <t>(一)ㄅㄥ bēng（00300）(三)ㄅㄥˋ bèng（00310）</t>
  </si>
  <si>
    <t>泵</t>
  </si>
  <si>
    <t>ㄅㄥˋ</t>
  </si>
  <si>
    <t>bèng</t>
  </si>
  <si>
    <t>一種用以增加液體的壓力，用來移動液體的裝置，即是對流體作功的機械。也稱為「幫浦」。</t>
  </si>
  <si>
    <t>迸</t>
  </si>
  <si>
    <t>[動]
1.散走。《後漢書．卷三二．樊宏傳》：「時飢荒之餘，人庶流迸，家戶且盡。」
2.向外四散。唐．白居易〈琵琶行〉：「銀瓶乍破水漿迸，鐵騎突出刀槍鳴。」《紅樓夢》第四七回：「滿眼金星亂迸，身不由己，便倒下了。」
3.裂開。如：「水桶迸了一道縫兒。」《儒林外史》第五一回：「只聽格喳的一聲，那來棍迸為六段。」
4.湧出。《文選．潘岳．寡婦賦》：「口嗚咽以失聲兮，淚橫迸而霑衣。」</t>
  </si>
  <si>
    <t>(二)ㄅㄧㄥˇ bǐng（00541）</t>
  </si>
  <si>
    <t>(一)ㄅㄤˋ bàng（00287）</t>
  </si>
  <si>
    <t>堋</t>
  </si>
  <si>
    <t>[動]
喪葬時，下棺於土。《說文解字．土部》：「堋，喪葬下土也。」《左傳．昭公十二年》：「司墓之室有當道者，毀之則朝而堋，弗毀則日中而堋。」</t>
  </si>
  <si>
    <t>(二)ㄆㄥˊ péng（00779）</t>
  </si>
  <si>
    <t>[動]
裂開、爆裂。如：「拉鍊繃了！」、「繃了道細縫」、「別吹了，再吹就要繃啦！」</t>
  </si>
  <si>
    <t>(一)ㄅㄥ bēng（00300）(二)ㄅㄥˇ běng（00305）</t>
  </si>
  <si>
    <t>蹦</t>
  </si>
  <si>
    <t>[動]
跳躍。如：「胡蹦亂跳」、「連蹦帶跳」、「這一蹦，蹦了四五尺高。」</t>
  </si>
  <si>
    <t>[名]
1.船槳。《楚辭．屈原．九章．涉江》：「乘舲船余上沅兮，齊吳榜以擊汰。」漢．王逸．注：「吳榜，船櫂也。」
2.船。如：「放榜」。唐．李賀〈馬〉詩二三首之一〇：「催榜渡烏江，神騅泣向風。」
[動]
1.鞭打、擊打。《史記．卷八九．張耳陳餘傳》：「吏治榜笞數千。」《新唐書．卷一六七．王播傳》：「窮治其姦，皆榜死。」
2.使船前進。如：「榜舟」。唐．張籍〈書懷寄元郎中〉詩：「吟君釣客詞中說，便欲南歸榜小船。」</t>
  </si>
  <si>
    <t>(一)ㄅㄤˇ bǎng（00281）</t>
  </si>
  <si>
    <t>「過磅」的「磅」的又音。</t>
  </si>
  <si>
    <t>(一)ㄅㄤˋ bàng（00292）(三)ㄆㄤ pāng（00746）</t>
  </si>
  <si>
    <t>屄</t>
  </si>
  <si>
    <t xml:space="preserve">尸 </t>
  </si>
  <si>
    <t>ㄅㄧ</t>
  </si>
  <si>
    <t>bī</t>
  </si>
  <si>
    <t>[名]
女子的外生殖器。《字彙．尸部》：「屄，女人陰戶。」</t>
  </si>
  <si>
    <t>偪</t>
  </si>
  <si>
    <t>[動]
侵迫。同「逼」。《左傳．僖公五年》：「桓莊之族何罪，而以為戮，不唯偪乎？」《孟子．滕文公上》：「草木暢茂，禽獸繁殖；五穀不登，禽獸偪人。」
[名]
即行縢。包裹在足脛上，使跳騰輕便。俗稱為「綁腿」。《詩經．小雅．采菽》「赤芾在股，邪幅在下」句下漢．毛亨．傳：「幅，偪也，所以自偪束也。」漢．鄭玄．箋：「邪幅，如今行縢也，偪束其脛，自足至膝，故曰在下。」《禮記．內則》：「偪屨著綦。」</t>
  </si>
  <si>
    <t>(二)ㄈㄨˊ fú（01821）</t>
  </si>
  <si>
    <t>幅</t>
  </si>
  <si>
    <t>行縢。即綁腿。《廣韻．入聲．職韻》：「幅，行縢名。」《左傳．桓公二年》：「帶裳幅舄。」</t>
  </si>
  <si>
    <t>(一)ㄈㄨˊ fú（01823）</t>
  </si>
  <si>
    <t>逼</t>
  </si>
  <si>
    <t>[動]
1.威脅、強迫。如：「逼債」、「催逼」、「咄咄逼人」、「逼上梁山」。《樂府詩集．卷七三．雜曲歌辭十三．古辭．焦仲卿妻．序》：「其家逼之，乃沒水而死。」
2.接近、迫近。如：「逼視」。宋．蘇洵〈心術論〉：「袒裼而案劍，則烏獲不敢逼。」清．袁枚〈祭妹文〉：「舊事填膺，思之棲梗。如影歷歷，逼取便逝。」
[形]
狹窄。《文選．曹植．七啟》：「於是人稠網密，地逼勢脅。」
[副]
非常。如：「逼真」、「逼肖」。</t>
  </si>
  <si>
    <t>(二)（又音）ㄅㄧˋ bì（00397）</t>
  </si>
  <si>
    <t>ㄅㄧˊ</t>
  </si>
  <si>
    <t>bí</t>
  </si>
  <si>
    <t>參見「荸薺」條。</t>
  </si>
  <si>
    <t>(二)（又音）ㄅㄛˊ bó（00080）</t>
  </si>
  <si>
    <t>鼻</t>
  </si>
  <si>
    <t xml:space="preserve">鼻 </t>
  </si>
  <si>
    <t>[名]
1.動物的呼吸器官之一，主司嗅覺。
2.器物上隆起或突出供把握的部分。如：「門鼻」、「印鼻」。
3.針孔。北周．庾信〈七夕賦〉：「縷條緊而貫矩，針鼻細而穿空。」
4.地理學上指陸地突出海面的尖端部分。如：「鵝鑾鼻」。也稱為「岬」。
5.二一四部首之一。
[形]
開始的。如：「鼻祖」。</t>
  </si>
  <si>
    <t>匕</t>
  </si>
  <si>
    <t>ㄅㄧˇ</t>
  </si>
  <si>
    <t>bǐ</t>
  </si>
  <si>
    <t>[名]
1.古人舀取食物的器具，相當於現代的湯匙、勺子之類。《禮記．檀弓下》：「非刀匕是共，又敢與知防是以飲之也。」南朝梁．吳均《續齊諧記．清溪廟神》：「文韶亦答以銀碗、白琉璃匕各一枚。」
2.二一四部首之一。</t>
  </si>
  <si>
    <t>比</t>
  </si>
  <si>
    <t xml:space="preserve">比 </t>
  </si>
  <si>
    <t>[動]
1.較量。晉．張華〈鷦鷯賦〉：「將以上方不足，而下比有餘。」漢．賈誼〈過秦論〉：「試使山東之國與陳涉度長絜大，比權量力，則不可同年而語矣。」
2.媲美。《三國演義》第三六回：「此人每嘗自比管仲、樂毅。」
3.依照、仿照。如：「比著葫蘆畫瓢」。《戰國策．齊策四》：「食之，比門下之客。」
4.用手勢摹擬動作。《紅樓夢》第二九回：「因為寶姐姐要看獃雁，我比給他看，不想失了手。」
5.打譬喻。《紅樓夢》第三四回：「別說多了，只拿前兒琪官的事比給你們聽。」
6.表示勝負結果的對比。如：「競賽結果為五比一。」
7.同類的兩量相除，求出前量為後量的幾倍或幾分之幾，以A:B或A/B表示。
[名]
1.《詩經》六義之一。即譬喻。〈詩大序〉：「《詩》有六義焉，一曰風，二曰賦，三曰比，四曰興，五曰雅，六曰頌。」
2.事例。《禮記．王制》：「眾疑赦之，必察小大之比以成之。」漢．鄭玄．注：「已行故事曰比。」
3.比利時的簡稱。
4.二一四部首之一。
[介]
比較程度、性狀的差別。如：「你有很多地方比我強。」</t>
  </si>
  <si>
    <t>(二)ㄅㄧˋ bì（00330）(三)ㄆㄧˊ pí（00816）</t>
  </si>
  <si>
    <t>沘</t>
  </si>
  <si>
    <t>[名]
河川名。即今河南省焦作市泌陽縣的泌河，於焦作市武陟縣境注入黃河。</t>
  </si>
  <si>
    <t>妣</t>
  </si>
  <si>
    <t>[名]
對已故母親的敬稱。如：「先妣」、「如喪考妣」。《說文解字．女部》：「妣，歿母也。」《禮記．曲禮下》：「生曰父、曰母、曰妻，死曰考、曰妣、曰嬪。」</t>
  </si>
  <si>
    <t>秕</t>
  </si>
  <si>
    <t>[名]
穀類植物所結的果實，虛有外殼，裡面卻是中空的，稱為「秕」或「秕穀」。《說文解字．禾部》：「秕，不成粟也。」《書經．仲虺之誥》：「若苗之有莠，若粟之有秕。」宋．蘇軾〈稼說〉：「故富人之稼常美，少秕而多實，久藏而不腐。」俗稱為「癟子」。
[形]
1.穀物中空不飽滿的。如：「秕子」。
2.不好的、有名無實的。如：「秕政」。</t>
  </si>
  <si>
    <t>佊</t>
  </si>
  <si>
    <t>[形]
邪惡的。民國．章太炎《新方言．釋言》：「今人呼邪人為佊人，俗誤書痞。」</t>
  </si>
  <si>
    <t>彼</t>
  </si>
  <si>
    <t>[代]
1.那、那個、那裡。與「此」相對。如：「彼時」、「彼處」、「厚此薄彼」。《戰國策．趙策》：「彼秦者，棄禮義而上首功之國也。」《文選．王粲．贈士孫文始詩》：「橫此大江，淹彼南汜。」
2.他。如：「彼等」、「彼輩」、「知己知彼」。《史記．卷六二．管晏傳》：「方吾在縲紲中，彼不知我也。夫子既已感悟而贖我，是知己。」唐．韓愈〈師說〉：「彼與彼年相若也，道相似也。」</t>
  </si>
  <si>
    <t>咇</t>
  </si>
  <si>
    <t>[形]
咇㘉：將出聲的樣子。《文選．王襃．洞簫賦》：「啾咇㘉而將吟兮，行鍖銋以龢囉。」唐．李善．注：「咇㘉，聲出貌。」</t>
  </si>
  <si>
    <t>(一)ㄅㄧㄝˊ bié（00427）(三)ㄅㄧˋ bì（00345）</t>
  </si>
  <si>
    <t>筆</t>
  </si>
  <si>
    <t>[名]_x000D_
1.寫字、畫圖的用具。如：「毛筆」、「鋼筆」、「蠟筆」、「水彩筆」。《太平廣記．卷一五八．陰君文字》引《玉堂閒話》：「以筆墨畫紙，作九個圍子。」《儒林外史》第五五回：「他取了一管敗筆，蘸飽了墨，把紙相了一會，一氣就寫了一行。」_x000D_
2.筆畫。如：「起筆」、「筆順」、「走筆至此」。《晉書．卷八〇．列傳．王羲之》：「論者稱其筆勢，以為飄若浮雲，矯若驚龍。」《兒女英雄傳》第二九回：「一面想，一面看那匾上的字，只見那縱橫波磔，一筆筆寫的儼如鐵畫銀鉤。」_x000D_
3.文章、書畫等創作的技巧。漢．王充《論衡．自紀》：「口辯者其言深，筆敏者其文沉。」宋．沈括《夢溪筆談．卷一七．書畫》：「江南中主時，有北苑使董源善畫，尤工秋嵐遠景，多寫江南真山，不為奇峭之筆。」宋．陸游《老學庵筆記》卷六：「有柟木版揭梁間甚大，書杜詩，筆亦雄勁，體雜顏、柳，不知何人書，墨挺然出版上甚異。」_x000D_
4.文章、書畫等創作作品。如：「驚人之筆」。宋．沈括《夢溪筆談．卷一七．書畫》：「藏書畫者，多取空名，偶傳為鍾、王、顧、陸之筆，見者爭售，此所謂『耳鑒』。」_x000D_
5.古稱無韻、實用之文為「筆」。《南史．卷五七．列傳．沈約》：「謝玄暉善為詩，任彥昇工於筆，約兼而有之，然不能過也。」南朝梁．劉勰《文心雕龍．總術》：「今之常言，有文有筆，以為無韻者筆也，有韻者文也。」_x000D_
[量]_x000D_
1.計算書畫運筆的單位。如：「畫幾筆潑墨山水」。《平妖傳》第一三回：「想就時，急將此氣落墨，一筆而成。」_x000D_
2.計算漢字筆畫數的單位。如：「『文』這個字共有四筆。」_x000D_
3.計算書面文辭所記錄事項的單位。如：「這兩筆資料錯誤。」「歷史上會記上一筆。」《元刊雜劇三十種．新編岳孔目借鐵柺李還魂》：「案卷里添一筆便違條。」_x000D_
4.計算金錢、款項、交易等的單位。如：「一筆錢」、「今日談成兩筆生意。」《儒林外史》第五二回：「到三個月上，毛二鬍子替他把這一筆銀子討回，銀色又足，平子又好，陳正公滿心歡喜。」《二十年目睹之怪現狀》第九六回：「這筆款子等你的爸爸死了，就本利一律清算歸還。」_x000D_
[動]_x000D_
寫作、記述。《史記．卷四七．孔子世家》：「至於為春秋，筆則筆，削則削，子夏之徒不能贊一辭。」《北史．卷四〇．列傳．韓麒麟》：「顯宗曰：『臣仰遭明時，直筆無懼，又不受金，安眠美食，此優於遷、固也。』」清．趙翼《甌北詩話．卷一一．摘句》：「今摘取古來佳句沁人心脾者，隨所得筆之。」</t>
  </si>
  <si>
    <t>鄙</t>
  </si>
  <si>
    <t>[名]
1.古代地方區域名稱。五百家為「鄙」。《說文解字．邑部》「鄙」字．清．段玉裁．注：「鄙，五百家也。」《周禮．地官．遂人》：「五家為鄰，五鄰為里，四里為酇，五酇為鄙。」
2.邊遠地區。《左傳．隱公元年》：「既而大叔命西鄙、北鄙貳於己。」晉．杜預．注：「鄙，鄭邊邑。」唐．韓愈〈爭臣論〉：「行古人之道，居於晉之鄙。」
3.郊外。《國語．齊語》：「參其國而伍其鄙。」三國吳．韋昭．注：「國，郊以內也。……鄙，郊以外。」
[動]
輕視、瞧不起。《左傳．宣公十四年》：「過我而不假道，鄙我也。」
[形]
1.粗俗、低賤。如：「卑鄙」、「鄙陋」。《左傳．莊公十年》：「肉食者鄙，未能遠謀。」漢．張衡〈東京賦〉：「鄙哉予乎！習非而遂迷也。」三國魏．陳琳〈飲馬長城窟行〉：「君今出語一何鄙！」
2.自謙之詞。如：「鄙人」、「鄙見」。漢．劉向《古列女傳．卷六．趙津女娟》：「君欲殺之，妾願以鄙軀易父之死。」</t>
  </si>
  <si>
    <t>(二)（又音）ㄅㄧˋ bì（00419）</t>
  </si>
  <si>
    <t>參見「貏豸」條。</t>
  </si>
  <si>
    <t>(二)（又音）ㄅㄟˋ bèi（00188）</t>
  </si>
  <si>
    <t>ㄅㄧˋ</t>
  </si>
  <si>
    <t>bì</t>
  </si>
  <si>
    <t>[動]
1.親近。《周禮．夏官．形方氏》：「使小國事大國，大國比小國。」漢．鄭玄．注：「比，猶親也。」
2.緊靠、相並。如：「比肩而行」、「比鄰而居」、「櫛次鱗比」。
3.結黨營私。如：「朋比為奸」。《論語．為政》：「君子周而不比，小人比而不周。」
[副]
1.最近、近來。唐．韓愈〈祭十二郎文〉：「比得軟腳病，往往而劇。」
2.及、等到。宋．岳飛〈良馬對〉：「比行百里，始奮迅。」《聊齋志異．卷二．陸判》：「比醒，則殘燭昏黃，鬼客已去。」
3.連連、屢屢。《史記．卷九．呂太后本紀》：「又比殺三趙王。」《漢書．卷五．景帝紀》：「間者歲比不登，民多乏食。」
[名]
1.《易經》卦名。六十四卦之一。坤（☷）下坎（☵）上。《易經．比卦．彖曰》：「比，吉也；比，輔也。」
2.古代地方組織名稱。五家為「比」。《周禮．地官．族師》：「五家為比，十家為聯。……使之相保相受。」</t>
  </si>
  <si>
    <t>(一)ㄅㄧˇ bǐ（00320）(三)ㄆㄧˊ pí（00816）</t>
  </si>
  <si>
    <t>庇</t>
  </si>
  <si>
    <t>[動]
1.遮蔽、掩蓋。如：「庇蔭」、「包庇」。《說文解字．广部》：「庇，蔭也。」唐．韓愈〈感春〉詩三首之一：「藤陰已可庇，落蕊還漫漫。」
2.保護。如：「庇護」、「庇佑」。《文選．陸倕．石闕銘》：「克明俊德，大庇生民。」《文選．謝靈運．擬魏太子鄴中應瑒詩》：「晚節值眾賢，會同庇天宇。」</t>
  </si>
  <si>
    <t>吡</t>
  </si>
  <si>
    <t>參見「吡吡」條。</t>
  </si>
  <si>
    <t>(二)ㄆㄧˇ pǐ（00848）</t>
  </si>
  <si>
    <t>芘</t>
  </si>
  <si>
    <t>[動]
蔭蔽。通「庇」。《莊子．人間世》：「南伯子綦遊乎商之丘，見大木焉，有異。結駟千乘，隱將芘其所藾。」《宋史．卷四二一．李庭芝傳》：「陳宜中請誅文，虎似道芘之。」</t>
  </si>
  <si>
    <t>(二)ㄆㄧˊ pí（00820）</t>
  </si>
  <si>
    <t>狴</t>
  </si>
  <si>
    <t>參見「狴犴」條。</t>
  </si>
  <si>
    <t>陛</t>
  </si>
  <si>
    <t>[名]_x000D_
1.臺階、階梯。《說文解字．阜部》：「陛，升高陛也。」清．段玉裁．注：「自卑而可以登高者謂之陛。」漢．賈誼〈上疏陳政事〉：「陛九級上，廉遠地，則堂高。」_x000D_
2.古代宮殿的最高階，天子坐以聽政之處。《史記．卷八六．刺客列傳．荊軻》：「至陛，秦舞陽色變振恐，群臣怪之。」</t>
  </si>
  <si>
    <t>梐</t>
  </si>
  <si>
    <t>參見「梐枑」、「梐梱」等條。</t>
  </si>
  <si>
    <t>蜌</t>
  </si>
  <si>
    <t>[名]
動物名。蚌類，殼形長而狹。《爾雅．釋魚》：「蜌，螷。」晉．郭璞．注：「今江東呼蚌長而狹者為螷。」俗稱為「馬刀」。</t>
  </si>
  <si>
    <t>蓖</t>
  </si>
  <si>
    <t>參見「蓖麻」條。</t>
  </si>
  <si>
    <t>篦</t>
  </si>
  <si>
    <t>[名]
用竹片、牛骨或金屬等製成的細齒梳子，用以除去髮垢，或插在頭上當髮飾。唐．杜甫〈水宿遣興奉呈群公〉詩：「耳聾須畫字，髮短不勝篦。」唐．白居易〈琵琶行〉：「鈿頭雲篦擊節碎，血色羅裙翻酒汙。」</t>
  </si>
  <si>
    <t>鎞</t>
  </si>
  <si>
    <t>[名]
1.釵。《集韻．平聲．齊韻》：「鎞，釵也。」《全唐詩．卷八〇六．寒山詩三〇三首之三五》：「羅袖盛梅子，金鎞挑筍芽。」
2.古代用來治眼病的器械。《北史．卷八四．孝行傳．張元傳》：「其夜夢見一老翁，以金鎞療其祖目。」</t>
  </si>
  <si>
    <t>(一)ㄆㄧ pī（00810）</t>
  </si>
  <si>
    <t>必</t>
  </si>
  <si>
    <t>[副]
1.一定、肯定。如：「未必」、「務必」、「言必信，行必果。」《左傳．隱公元年》：「多行不義必自斃，子姑待之！」唐．李白〈將進酒〉：「天生我材必有用，千金散盡還復來。」
2.假設、如果。《論語．顏淵》：「必不得已而去，於斯三者何先？」《史記．卷八一．廉頗藺相如傳》：「王必無人，臣願奉璧往使。」
[動]
堅定、果決。《荀子．彊國》：「其刑罰重而信，其誅殺猛而必。」《韓非子．內儲說上》：「是以刑罰不必，則禁令不行。」
[名]
姓。宋代有必贊，明代有必沙。</t>
  </si>
  <si>
    <t>泌</t>
  </si>
  <si>
    <t>(一)ㄇㄧˋ mì（01376）</t>
  </si>
  <si>
    <t>怭</t>
  </si>
  <si>
    <t>[形]
傲慢、不莊重。《玉篇．心部》：「怭，慢也。」</t>
  </si>
  <si>
    <t>邲</t>
  </si>
  <si>
    <t>[名]
地名。春秋時鄭地，故址在今大陸地區河南省滎陽縣東北。</t>
  </si>
  <si>
    <t>[擬]_x000D_
咇咇剝剝：模擬火燒所發出的爆裂聲。如：「忽聞外頭一陣咇咇剝剝聲，原來是路旁那堆垃圾不知怎的燒了起來！」</t>
  </si>
  <si>
    <t>(一)ㄅㄧㄝˊ bié（00427）(二)ㄅㄧˇ bǐ（00326）</t>
  </si>
  <si>
    <t>珌</t>
  </si>
  <si>
    <t>[名]
佩刀刀鞘下端的裝飾物。《詩經．小雅．瞻彼洛矣》：「君子至止，鞞琫有珌。」漢．毛亨．傳：「珌，下飾。」</t>
  </si>
  <si>
    <t>柲</t>
  </si>
  <si>
    <t>[名]
古代兵器的柄，後亦指器物的柄。《說文解字．木部》：「柲，欑也。」清．段玉裁．注：「戈戟矛柄皆用積竹杖，不比他柄用木而已。……柲之引伸為凡柄之偁。」《周禮．冬官考工記．廬人》：「戈柲，六尺有六寸。」</t>
  </si>
  <si>
    <t>苾</t>
  </si>
  <si>
    <t>[形]
芳香。《大戴禮記．曾子疾病》：「與君子遊，苾乎如入蘭芷之室。」</t>
  </si>
  <si>
    <t>毖</t>
  </si>
  <si>
    <t>[動]
1.謹慎。如：「懲前毖後」。《書經．畢命》：「毖殷頑民，遷于洛邑。」唐．孔穎達．正義：「惟殷頑民，恐其叛亂，故徒於洛邑。」
2.辛勞。《書經．大誥》：「無毖于恤，不可不成。」唐．孔穎達．正義：「言無勞于征伐之憂也。」
[形]
泉水流動的樣子。《詩經．邶風．泉水》：「毖彼泉水，亦流于淇。」漢．鄭玄．箋：「泉水流而入淇。」《文選．左思．魏都賦》：「溫泉毖涌而自浪，華清蕩邪而難老。」</t>
  </si>
  <si>
    <t>祕</t>
  </si>
  <si>
    <t xml:space="preserve">或讀 </t>
  </si>
  <si>
    <t>(一)之或讀。</t>
  </si>
  <si>
    <t>(一)ㄇㄧˋ mì（01378）</t>
  </si>
  <si>
    <t>秘</t>
  </si>
  <si>
    <t>1.譯音用字，如秘魯。_x000D_
2.(一)之或讀。</t>
  </si>
  <si>
    <t>(一)ㄇㄧˋ mì（01379）</t>
  </si>
  <si>
    <t>閟</t>
  </si>
  <si>
    <t>[動]
關閉、深閉。《說文解字．門部》：「閟，閉門也。」清．段玉裁．注：「引申為凡閉之偁。」宋．文天祥〈正氣歌〉：「陰房闐鬼火，春院閟天黑。」明．高啟《高太史鳧藻集．卷四．南宮生傳》：「患求者眾，遂自閟，希復執筆。」
[形]
幽深的。如：「閟宮」。宋．曹勛〈驀山溪．烏龍雲洞神護紅塵外〉詞：「松露閟，紫煙深。」清．王士禎〈聖安寺僧聯句〉：「肅肅僧寮清，穆穆禪宮閟。」</t>
  </si>
  <si>
    <t>鉍</t>
  </si>
  <si>
    <t>[名]
（bismuth，Bi）化學元素。原子序83。色白微紅，純鉍是柔軟的金屬，不純時質地堅脆，易熔，可製備易熔的合金及藥品。</t>
  </si>
  <si>
    <t>飶</t>
  </si>
  <si>
    <t>[名]
食物的香味。《說文解字．食部》：「飶，食之香也。」《詩經．周頌．載芟》：「有飶其香，邦家之光。」漢．毛亨．傳：「飶，芬香也。」</t>
  </si>
  <si>
    <t>馝</t>
  </si>
  <si>
    <t>參見「馝馞」條。</t>
  </si>
  <si>
    <t>駜</t>
  </si>
  <si>
    <t>[形]
馬肥大而強壯。《詩經．魯頌．有駜》：「有駜有駜，駜彼乘黃。」漢．毛亨．傳：「駜，馬肥彊貌。」</t>
  </si>
  <si>
    <t>鮅</t>
  </si>
  <si>
    <t>[名]
動物名。硬骨魚綱。似鯶而小，赤眼。也稱為「鱒」。</t>
  </si>
  <si>
    <t>佛</t>
  </si>
  <si>
    <t>[動]
輔佐。通「弼」。《詩經．周頌．敬之》：「佛時仔肩，示我顯德行。」漢．鄭玄．箋：「佛，輔也。」
[名]
姓。如春秋時魯國有佛肸，明代有佛正。</t>
  </si>
  <si>
    <t>(一)ㄈㄛˊ fó（01542）(三)ㄈㄨˊ fú（01778）</t>
  </si>
  <si>
    <t>拂</t>
  </si>
  <si>
    <t>[動]
輔助。通「弼」。參見「拂士」條。</t>
  </si>
  <si>
    <t>(一)ㄈㄨˊ fú（01782）</t>
  </si>
  <si>
    <t>費</t>
  </si>
  <si>
    <t>[名]
地名。春秋時魯季氏邑，故址約在今大陸地區山東省費縣西南。</t>
  </si>
  <si>
    <t>(一)ㄈㄟˋ fèi（01578）</t>
  </si>
  <si>
    <t>鄪</t>
  </si>
  <si>
    <t>[名]
地名。春秋時魯邑，故址在今大陸地區山東省費縣。</t>
  </si>
  <si>
    <t>畀</t>
  </si>
  <si>
    <t>[動]
1.賜與、給予。《詩經．小雅．巷伯》：「取彼譖人，投畀豺虎，豺虎不食。」《左傳．隱公三年》：「王崩，周人將畀虢公政。」
2.酬答。《詩經．鄘風．干旄》：「彼姝者子，何以畀之。」</t>
  </si>
  <si>
    <t>痹</t>
  </si>
  <si>
    <t>同「痺」。</t>
  </si>
  <si>
    <t>箅</t>
  </si>
  <si>
    <t>[名]
平而有孔隙的竹器，墊在鍋底，以便蒸食物之用。《說文解字．竹部》：「箅，所以蔽甑底。」俗稱為「箅子」。</t>
  </si>
  <si>
    <t>襣</t>
  </si>
  <si>
    <t>[名]
古代一種合襠的貼身褲子。漢．揚雄《方言》卷四：「無襱之褲謂之襣。」晉．郭璞．注：「褲無踦者，即今犢鼻褌也。」《玉篇．衣部》：「襣，犢襣，以全三尺布作，形如牛鼻，相如所著也。」</t>
  </si>
  <si>
    <t>[動]
1.使。如：「俾能自立」。《左傳．成公十三年》：「俾我惠公，用能奉祀于晉。」《楚辭．屈原．九章．惜誦》：「俾山川以備御兮，命咎繇使聽直。」
2.服從。《書經．武成》：「華夏蠻貊，罔不率俾。」《文選．漢武帝．賢良詔》：「日月所燭，罔不率俾。」</t>
  </si>
  <si>
    <t>(二)（又音）ㄅㄟ bēi（00150）</t>
  </si>
  <si>
    <t>[名]
 參見「有庳」條。
[形]
房屋低下。《左傳．襄公三十一年》：「僑聞文公之為盟主也，宮室卑庳，無觀臺榭。」</t>
  </si>
  <si>
    <t>(二)ㄅㄟ bēi（00151）</t>
  </si>
  <si>
    <t>[名]
低下潮溼的地方。《國語．晉語八》：「木不危生，松柏不生埤。」</t>
  </si>
  <si>
    <t>(一)ㄆㄧˋ pì（00860）(三)ㄆㄧˊ pí（00833）(四)ㄅㄟ bēi（00152）</t>
  </si>
  <si>
    <t>[名]
1.古代罪犯妻女沒入官家為奴，稱為「婢」。如：「官婢」。《周禮．秋官．司厲》：「其奴，男子入于罪隸，女子入于舂槁。」漢．鄭玄．注：「今之為奴婢，古之罪人也。」
2.舊稱供使喚的丫頭。如：「婢女」。宋．范成大〈清遠店〉詩：「屠婢殺奴官不問，大書黥面罰猶輕。」
3.古代女子自稱的謙詞。《左傳．僖公二十二年》：「寡君之使婢子，侍執巾櫛。」晉．杜預．注：「婢子，婦人之卑稱也。」</t>
  </si>
  <si>
    <t>(二)（又音）ㄅㄟˋ bèi（00186）</t>
  </si>
  <si>
    <t>[名]
簑衣，即雨衣。《說文解字．艸部》：「萆，雨衣，一曰衰衣。」
[動]
隱蔽。通「蔽」。《史記．卷九二．淮陰侯傳》：「選輕騎二千人，人持一赤幟，從閒道萆山而望趙軍。」裴駰集解引如淳曰：「萆，音蔽，依山自覆蔽。」</t>
  </si>
  <si>
    <t>(一)ㄅㄟ bēi（00154）</t>
  </si>
  <si>
    <t>痺</t>
  </si>
  <si>
    <t>[名]
一種神經性疾病。肢體失去感覺，不能隨意活動。如：「小兒麻痺」。古字作「痹」。
[動]
麻木、感覺遲鈍。唐．楊嗣復〈丞相禮部尚書文公權德輿文集序〉：「元和五年冬，執政暴疾，既瘖且痺，未旬日而公作相。」宋．歐陽修〈憎蒼蠅賦〉：「欲瞑而復警，臂已痺而猶攘。」古字作「痹」。</t>
  </si>
  <si>
    <t>睥</t>
  </si>
  <si>
    <t xml:space="preserve">目 </t>
  </si>
  <si>
    <t>參見「睥睨」條。</t>
  </si>
  <si>
    <t>裨</t>
  </si>
  <si>
    <t>[動]
1.增加、幫助。如：「裨益」、「無裨於事」。《國語．晉語八》：「子若能以忠信贊君，而裨諸侯之闕。」
2.修補。南朝梁．王琰《冥祥記．趙泰》：「乃遣泰為水官監作吏，將二千餘人，運沙裨岸。」</t>
  </si>
  <si>
    <t>(二)ㄆㄧˊ pí（00839）</t>
  </si>
  <si>
    <t>綼</t>
  </si>
  <si>
    <t>[名]
衣裳邊幅的裝飾。《儀禮．既夕禮》：「縓綼緆。」漢．鄭玄．注：「飾裳在幅曰綼。」民國．章太炎《新方言．釋器》：「今人謂衣裳邊角純緣曰綼。」</t>
  </si>
  <si>
    <t>髀</t>
  </si>
  <si>
    <t>[名]
1.膝部以上的大腿骨，或指大腿。《文選．李斯．上書秦始皇》：「夫擊甕叩缶，彈箏搏髀。」《漢書．卷四八．賈誼傳》：「屠牛坦一朝解十二牛，……至於髖髀之所，非斤則斧。」唐．顏師古．注：「髀，股骨也。」
2.古時用來測量日影的表。如商、周之時的《周髀算經》。《晉書．卷一一．天文志上》：「髀，股也；股者，表也。」</t>
  </si>
  <si>
    <t>敝</t>
  </si>
  <si>
    <t>[形]_x000D_
1.破的、舊的。如：「敝帚自珍」、「棄之如敝屣」。《論語．子罕》：「衣敝縕袍與衣狐貉者立，而不恥者，其由也與。」宋．錢公輔〈義田記〉：「昔晏平仲敝車羸馬，桓子曰：『是隱君之賜也。』」_x000D_
2.疲倦。同「疲」。如：「敝於奔命」。宋．司馬光〈赤壁之戰〉：「曹操之眾，遠來疲敝。」_x000D_
3.自謙之詞。用於對別人指稱和自己相關的事物。如：「敝校」、「敝姓」。《左傳．僖公二十六年》：「寡君聞君親舉玉趾，將辱於敝邑。」_x000D_
[動]_x000D_
1.失敗。《左傳．僖公十年》：「帝許我罰有罪矣，敝於韓。」晉．杜預．注：「敝，敗也。」_x000D_
2.毀壞。清．李文炤〈勤訓〉：「夫天地之化，日新則不敝。」</t>
  </si>
  <si>
    <t>弊</t>
  </si>
  <si>
    <t xml:space="preserve">廾 </t>
  </si>
  <si>
    <t>[名]_x000D_
1.害處、毛病。如：「有利無弊」、「興利除弊」。《史記．卷七八．春申君列傳》：「兩虎相與鬥而駑犬受其弊，不如善楚。」宋．蘇洵〈六國論〉：「六國破滅，非兵不利，戰不善，弊在賂秦。」_x000D_
2.欺詐蒙騙、奸偽非法之事。如：「營私舞弊」。《西遊記》第九九回：「八戒道：『只說凡人會作弊，原來這佛面前的金剛也會作弊。他奉佛旨，教送我們東回，怎麼到此半路上就丟下我們？』」《紅樓夢》第一四回：「如這些無頭緒，荒亂推託偷閒竊取等弊，次日一概都蠲了。」_x000D_
[形]_x000D_
1.疲困、衰落。三國蜀．諸葛亮〈出師表〉：「益州罷弊，此誠危急存亡之秋也。」《新五代史．卷二七．唐臣傳．劉延朗》：「是時，高祖悉握精兵在北，饋運芻糧，遠近勞弊。」《五代史平話．周史．卷上》：「體知河北諸郡，頻年兵革，凋弊已甚。」_x000D_
2.破舊、破敗。三國魏．曹丕〈典論論文〉：「里語曰：『家有弊帚，享之千金。』斯不自見之患也。」唐．皇甫枚《溫京兆》：「有黃冠老而且傴，弊衣曳杖，將橫絕其間，騶人呵不能止。」宋．沈括《夢溪筆談．卷五．樂律一》：「嘗有人於土中得一朽弊搗帛杵，不識，持歸以示鄰里，大小聚觀，莫不怪愕，不知何物。」_x000D_
[動]_x000D_
敗、衰敗。《楚辭．屈原．天問》：「胡終弊于有扈，牧夫牛羊？」宋．蘇軾〈潮州韓文公廟碑〉：「自東漢以來，道喪文弊，異端並起。」</t>
  </si>
  <si>
    <t>幣</t>
  </si>
  <si>
    <t>[名]
1.有標準價格、可作交易媒介的東西。如：「錢幣」、「紙幣」、「金幣」、「外幣」。《漢書．卷二四．食貨志下》：「於是乎量資幣，權輕重，以救民。」唐．顏師古．注：「凡言幣者皆所以通貨物，易有無也。故金之與錢，皆名為幣也。」
2.財物的總稱。《管子．國蓄》：「以珠玉為上幣，以黃金為中幣，以刀布為下幣。」《戰國策．秦策五》：「令庫具車，廄具馬，府具幣。」漢．高誘．注：「幣，貨財也。」
3.古時以束帛為祭祀或贈送賓客的禮物，稱為「幣」。後為禮物的泛稱。《書經．召詔》：「我非敢勤，惟恭奉幣，用供王能祈天永命。」漢．孔安國．傳：「言我非敢獨勤而已，惟恭敬奉其幣帛，用供待王，能求天長命。」</t>
  </si>
  <si>
    <t>蔽</t>
  </si>
  <si>
    <t>[動]
1.遮蓋、擋住。如：「衣不蔽體」、「浮雲蔽白日」。《楚辭．屈原．九歌．國殤》：「旌蔽日兮敵若雲，矢交墜兮士爭先。」《晉書．卷九四．隱逸傳．陶潛傳》：「環堵蕭然，不蔽風日。」
2.遮掩、保護。如：「掩蔽」、「蔽護」。《史記．卷七．項羽本紀》：「項伯亦拔劍起舞，常以身翼蔽沛公，莊不得擊。」
3.受阻隔、欺騙。如：「蔽塞」、「蒙蔽」。《楚辭．屈原．卜居》：「竭知盡忠，而蔽鄣於讒。」《戰國策．齊策一》：「宮婦左右，莫不私王，朝廷之臣，莫不畏王，四境之內，莫不有求於王，由此觀之，王之蔽甚矣！」
4.總括。《論語．為政》：「詩三百，一言以蔽之，曰：『思無邪』。」
[名]
障礙、毛病。《論語．陽貨》：「子曰：『由也，女聞六言六蔽矣乎？』」《隋書．卷三二．經籍志一》：「譊譊成俗，而不知變，此學者之蔽也。」</t>
  </si>
  <si>
    <t>(二)ㄈㄨˊ fú（01836）</t>
  </si>
  <si>
    <t>斃</t>
  </si>
  <si>
    <t>[動]
1.倒下、仆倒。《左傳．成公二年》：「射其右，斃于車中。」《左傳．定公八年》：「籍丘子鉏擊之，與一人俱斃。」晉．杜預．注：「斃，仆也。」
2.死。如：「倒斃」、「擊斃」、「槍斃」。《國語．晉語二》：「驪姬與犬肉，犬斃；飲小臣酒，亦斃。」
3.傾覆、失敗。《左傳．隱公元年》：「公曰：『多行不義必自斃，子姑待之。』」</t>
  </si>
  <si>
    <t>鷩</t>
  </si>
  <si>
    <t>[名]
動物名。鳥綱雞形目。形與雉相似，羽毛美麗，產於大陸地區西南部山野。《爾雅．釋鳥》：「鷩雉。」晉．郭璞．注：「似山雞而小冠，背毛黃，腹下赤，項綠色鮮明。」也稱為「錦雞」。</t>
  </si>
  <si>
    <t>(二)（又音）ㄅㄧㄝ biē（00423）</t>
  </si>
  <si>
    <t>閉</t>
  </si>
  <si>
    <t>[動]
1.關上、合上。如：「閉門」、「閉目」。《禮記．禮運》：「故外戶而不閉，是謂『大同』。」
2.阻塞不通。如：「閉氣」、「閉塞」。《易經．坤卦．文言曰》：「天地變化，草木蕃。天地閉，賢人隱。」
3.停止、終結。如：「閉會」、「閉市」、「閉幕」。
4.禁止、斷絕。《左傳．僖公十五年》：「晉饑，秦輸之粟；秦饑，晉閉之糴。」《史記．卷二四．樂書》：「樂者，所以象德也；禮者，所以閉淫也。」
[名]
姓。如明代有閉魯。</t>
  </si>
  <si>
    <t>畢</t>
  </si>
  <si>
    <t>[名]_x000D_
1.古代用以捕捉鳥、兔的長柄小網。《說文解字．𠦒部》：「畢，田网也。」清．段玉裁．注：「謂田獵之网也。」《莊子．胠篋》：「夫弓弩畢弋機變之知多；則鳥亂於上矣。」_x000D_
2.簡札。《爾雅．釋器》：「簡謂之畢。」宋．邢昺．疏：「簡，竹簡也。古未有紙，載文於簡，謂之簡扎，一名畢。」《禮記．學記》：「今之教者，呻其佔畢，多其訊。」_x000D_
3.星宿名。二十八星宿之一，為西方白虎七宿的第五宿。_x000D_
4.星官名，畢宿之首，由八顆星組成，在西方屬金牛座。《詩經．小雅．漸漸之石》：「月離于畢，俾滂沱矣。」漢．司馬相如〈長門賦〉：「觀眾星之行列兮，畢昴出於東方。 」_x000D_
5.姓。如宋代有畢昇，清代有畢沅。_x000D_
[動]_x000D_
1.用網捕捉。《詩經．小雅．鴛鴦》：「鴛鴦于飛，畢之羅之。」漢．毛亨．傳：「於其飛乃畢掩而羅之。」_x000D_
2.結束、終止。如：「今日事，今日畢。」《孟子．滕文公上》：「公事畢，然後敢治私事。」唐．元稹《鶯鶯傳》：「言畢，翩然而逝。」_x000D_
[副]_x000D_
全部、一齊。如：「原形畢露」、「群賢畢至」。唐．韓愈〈進學解〉：「方今聖賢相逢，治具畢張。」</t>
  </si>
  <si>
    <t>嗶</t>
  </si>
  <si>
    <t>參見「嗶嗶剝剝」、「嗶嘰」等條。</t>
  </si>
  <si>
    <t>彃</t>
  </si>
  <si>
    <t>[動]
射。《說文解字．弓部》：「彃，射也。」清．段玉裁．注：「彃，射者，弓弩發於身而中於遠也。」《楚辭．屈原．天問》：「羿焉彃日，烏焉解羽。」南朝梁．劉勰《文心雕龍．辨騷》：「康回傾地，夷羿彃日。」
[名]
弦。《集韻．入聲．質韻》：「彃，一曰：『弦』也。」</t>
  </si>
  <si>
    <t>蓽</t>
  </si>
  <si>
    <t>[名]
1.荊竹樹枝之類所編成的籬笆或遮擋物。通「篳」。《集韻．入聲．質韻》：「蓽，荊也。」晉．陶淵明〈止酒〉詩：「步止蓽門裡，好味止園葵。」
2.參見「蓽茇」條。</t>
  </si>
  <si>
    <t>篳</t>
  </si>
  <si>
    <t>[名]
1.本指以荊條編成的籬笆、門扉或其他遮擋物。後泛指以荊條或竹子編成的器物。如：「篳門」。
2.參見「篳篥」條。</t>
  </si>
  <si>
    <t>縪</t>
  </si>
  <si>
    <t>[名]
1.古時帽冠上的接縫處。《儀禮．既夕禮》：「冠六升，外縪，纓條屬厭。」漢．鄭玄．注：「縪，謂縫著於武也。」唐．賈公彥．疏：「武謂冠卷，以冠前後皆縫著於武……若凶冠，從武下外縫之，謂之外縪。」
2.古時遮蔽膝蓋用的朝服，多以柔皮製成。通「韠」。</t>
  </si>
  <si>
    <t>蹕</t>
  </si>
  <si>
    <t>[名]
1.古時帝王出行時，實施交通管制，禁止人車通行，稱為「蹕」。《史記．卷一〇二．張釋之傳》：「縣人來，聞蹕，匿橋下。」《三國志．卷一．魏書．武帝紀》：「夏四月，天子命王設天子旌旗，出入稱警蹕。」
2.泛指帝王出行時止宿的地方。如：「駐蹕」。</t>
  </si>
  <si>
    <t>饆</t>
  </si>
  <si>
    <t>參見「饆饠」條。</t>
  </si>
  <si>
    <t>韠</t>
  </si>
  <si>
    <t xml:space="preserve">韋 </t>
  </si>
  <si>
    <t>[名]
古時遮蔽膝蓋用的朝服，多以柔皮製成。《說文解字．韋部》：「韠，韍也。所以蔽前者，以韋，下廣二尺，上廣一尺，其頸五寸。一命縕韠，再命赤韠。」《詩經．檜風．素冠》：「庶見素韠兮，我心蘊結兮，聊與子如一兮。」</t>
  </si>
  <si>
    <t>湢</t>
  </si>
  <si>
    <t>[名]
浴室。《禮記．內則》：「外內不共井，不共湢浴。」漢．鄭玄．注：「湢，浴室也。」
[形]
整肅。參見「湢然」條。</t>
  </si>
  <si>
    <t>愊</t>
  </si>
  <si>
    <t>[形]
1.至誠。大徐《說文解字．心部》：「愊，誠志也。」《漢書．卷三六．楚元王劉交傳》：「發憤悃愊，信有憂國之心。」唐．顏師古．注：「悃愊，至誠也。」《新唐書．卷一八二．劉瑑傳》：「諫罷武宗方士，言多懇愊。」
2.心中鬱結。參見「愊抑」、「愊憶」等條。</t>
  </si>
  <si>
    <t>揊</t>
  </si>
  <si>
    <t>[動]_x000D_
擊。清．王念孫《廣雅疏證．卷三上．釋詁》：「揊，擊也。」_x000D_
[擬]_x000D_
模擬撞擊聲。《廣韻．入聲．職韻》：「揊，擊聲。」唐．崔湜〈野燎賦〉：「或霍濩以燐亂，戶轟嗃而揊拍。」</t>
  </si>
  <si>
    <t>煏</t>
  </si>
  <si>
    <t>[動]
方言。用火烘乾。《玉篇．火部》：「煏，火乾也。」《齊民要術．卷五．伐木》：「凡非時之木，水漚一月，或火煏取乾，蟲皆不生。」《佩文韻府．卷七一．隊韻》：「張鳳翼〈喜雨賦〉：『潤物優游不破塊兮，睠彼疆場靡煏焙兮。』」</t>
  </si>
  <si>
    <t>楅</t>
  </si>
  <si>
    <t>(一)ㄈㄨˊ fú（01824）</t>
  </si>
  <si>
    <t>(一)ㄅㄧ bī（00316）</t>
  </si>
  <si>
    <t>腷</t>
  </si>
  <si>
    <t>參見「腷腷膊膊」、「腷臆」等條。</t>
  </si>
  <si>
    <t>詖</t>
  </si>
  <si>
    <t>[形]
1.偏頗、不公正。漢．王充《論衡．自然》：「德彌薄者信彌衰，心險而行詖，則犯約而負教。」唐．柳宗元〈送賈山人南遊序〉：「言未嘗詖，行未嘗怪。」
2.諂媚。《漢書．卷八四．翟方進傳》：「（翟）義父故丞相方進，險詖陰賊。」唐．顏師古．注：「詖，佞也。」</t>
  </si>
  <si>
    <t>[副]
歪斜、偏倚。《禮記．曲禮上》：「遊毋倨，立毋跛。」唐．孔穎達．正義：「跛，偏也，謂挈舉一足，一足蹋也。立宜如齊，雙足並立不得偏也。」</t>
  </si>
  <si>
    <t>(一)ㄅㄛˇ bǒ（00117）</t>
  </si>
  <si>
    <t>髲</t>
  </si>
  <si>
    <t xml:space="preserve">髟 </t>
  </si>
  <si>
    <t>[名]
假髮。漢．劉熙《釋名．釋首飾》：「髲，被也。髮少者得以被助其髮也。」南朝宋．劉義慶《世說新語．賢媛》：「湛頭髮委地，下為二髲。」《三國志．卷五三．吳書．薛綜傳》：「珠崖之廢，起於長吏睹其好髮，髡取為髲。」</t>
  </si>
  <si>
    <t>骳</t>
  </si>
  <si>
    <t>參見「骫骳」條。</t>
  </si>
  <si>
    <t>愎</t>
  </si>
  <si>
    <t>[形]
任性、固執。如：「剛愎自用」。《左傳．哀公二十六年》：「君愎而虐。」宋．胡銓〈戊午上高宗封事〉：「則檜之遂非狠愎，已自可見。」</t>
  </si>
  <si>
    <t>[名]
1.美飾。《易經．賁卦．上九》：「白賁，無咎。」唐．孔穎達．正義：「以自為飾而無憂患。」
2.《易經》卦名。六十四卦之一。離（☲）下艮（☶）上。象徵著可以有小利，且可以有所往的意思。
[形]
華麗的、光潔的。參見「賁如」、「賁然」等條。
[副]
形容貴賓駕臨。參見「賁臨」條。</t>
  </si>
  <si>
    <t>(二)ㄅㄣ bēn（00268）(三)ㄈㄣˋ fèn（01671）</t>
  </si>
  <si>
    <t>皕</t>
  </si>
  <si>
    <t>[名]
二百稱為「皕」。《說文解字．皕部》：「皕，二百也。」如：「皕宋樓」。</t>
  </si>
  <si>
    <t>弼</t>
  </si>
  <si>
    <t>[動]
1.輔助。《字彙．弓部》：「弼，輔也，助也，正也。」《書經．益稷》：「予違汝弼，汝無面從。」漢．孔安國．傳：「我違道，汝當以義輔正我。」《新唐書．卷九七．魏徵傳》：「徵蹈履仁義，以弼朕躬。」
2.矯正過失。如：「匡弼」。《晉書．卷三．武帝紀》：「擇其能正色弼違匡救不逮者，以兼此選。」
[名]
1.古時用來矯正弓弩的器具。《荀子．臣道》「謂之拂」句下唐．楊倞．注：「拂，讀為弼。弼，所以輔正弓弩者也。」
2.職官名。輔佐元首的官員。《禮記．文王世子》：「設四輔及三公。」唐．孔穎達．正義：「其四輔者，案《尚書大傳》云：『古者天子必有四鄰，前曰疑，後曰丞，左曰輔，右曰弼。』」</t>
  </si>
  <si>
    <t>辟</t>
  </si>
  <si>
    <t>[名]
君主。《書經．洪範》：「惟辟作福，惟辟作威，惟辟玉食。」
[動]
1.徵召。《後漢書．卷三五．鄭玄傳》：「靈帝末，黨禁解，大將軍何進聞而辟之。」《三國志．卷二一．魏書．王粲傳》：「太祖辟為丞相掾，賜爵關內侯。」
2.驅除、屏除。如：「辟邪」。《楚辭．屈原．遠遊》：「風伯為余先驅兮，氛埃辟而清涼。」漢．王逸．注：「掃除之也。」明．陳繼儒《李公子傳》：「忽有執公子衣者曰：『願辟人，臣有所言，公子不憶於陵時乎？』」
3.躲開、迴避。通「避」。《左傳．僖公二十八年》：「微楚之惠不及此，退三舍辟之，所以報也。」《禮記．儒行》：「儒有內稱不辟親，外舉不辟怨。」</t>
  </si>
  <si>
    <t>(二)ㄆㄧˋ pì（00862）</t>
  </si>
  <si>
    <t>廦</t>
  </si>
  <si>
    <t>[名]
牆垣地。《玉篇．广部》：「廦，屋牆也，垣也。今作壁。」《睡虎地秦墓竹簡．封診式．穴盜》：「東、北去廦各四尺，高一尺。」</t>
  </si>
  <si>
    <t>壁</t>
  </si>
  <si>
    <t>[名]
1.牆垣。如：「銅牆鐵壁」。《史記．卷一一七．司馬相如傳》：「家居徒四壁立。」唐．李白〈長干行〉二首之一：「低頭向暗壁，千喚不一迴。」
2.器物或生物的組織，有維持保護的功用。如：「爐壁」、「胃壁」、「細胞壁」。
3.險峻陡峭的山石。如：「懸崖峭壁」。唐．李白〈蜀道難〉：「連峰去天不盈尺，枯松倒挂倚絕壁。」
4.軍隊駐守的營壘。如：「堅壁清野」、「壁壘分明」。《史記．卷七．項羽本紀》：「諸侯軍救鉅鹿下者十餘壁。」《漢書．卷一．高帝紀上》：「自稱使者，晨馳入張耳、韓信壁，而奪之軍。」
5.邊、方面。元．關漢卿《救風塵》第一折：「那壁姨姨，敢是趙盼兒麼？」元．羅貫中《風雲會》第四折：「文官每這壁，武官每那壁，斟玉液，住金杯。」
6.星座名。二十八星宿之一。北方玄武七宿的最末宿，有星兩顆。《孫子．火攻》：「發火有時，起火有日。時者，天之燥也。日者，宿在箕、壁、翼、軫也。」也稱為「東壁」。
[動]
駐紮、駐屯。《史記．卷七七．魏公子傳》：「魏王恐，使人止晉鄙，留軍壁鄴，名為救趙，實持兩端以觀望。」
[副]
像壁一樣陡峭的。如：「壁立千仞」。</t>
  </si>
  <si>
    <t>嬖</t>
  </si>
  <si>
    <t>[動]_x000D_
1.寵愛。晉．王嘉《拾遺記》卷五：「初，帝深嬖李夫人。」唐．陳鴻《長恨傳》：「繇是治其容，敏其詞，婉變萬態，以中上意。上益嬖焉。」_x000D_
2.得寵。《左傳．成公十七年》：「胥童以胥克之廢也，怨郤氏，而嬖於厲公。」《新唐書．卷二〇七．宦者列傳上．高力士》：「初，太子瑛廢，武惠妃方嬖。」_x000D_
[名]_x000D_
舊指出身卑微而受寵幸的人。如：「便嬖」。《玉篇．女部》：「嬖，賤而獲幸者。」《左傳．成公十七年》：「晉厲公侈，多外嬖。」晉．杜預．注：「外嬖，愛幸大夫。」《新五代史．卷六三．十國世家．前蜀》：「唐襲，建之嬖也，元膺易之，屢謔于朝。」《東周列國志》第四七回：「不如立公子樂。其母，君之嬖也。」_x000D_
[形]_x000D_
受到寵愛的。如：「嬖妾」、「嬖姬」。《墨子．魯問》：「魯君之嬖人死，魯君為之誄，魯人因說而用之。」《三國志．卷六五．吳書．王樓賀韋華傳．王蕃》：「又中書丞陳聲，晧之嬖臣，數譖毀蕃。」</t>
  </si>
  <si>
    <t>參見「薜荔」、「薜羅」等條。</t>
  </si>
  <si>
    <t>(二)ㄅㄛˋ bò（00125）</t>
  </si>
  <si>
    <t>[動]_x000D_
1.躲開。如：「避雨」、「避暑」、「避風港」、「退避三舍」。晉．陶淵明〈桃花源記〉：「先世避秦時亂，率妻子邑人來此絕境，不復出焉。」唐．李白〈蜀道難〉：「朝避猛虎，夕避長蛇。」_x000D_
2.隱去、離開。如：「避世」、「避諱」。《史記．卷八六．刺客列傳．荊軻》：「荊軻坐定，太子避席頓首。」_x000D_
3.免、防止。如：「避雷針」、「避孕」。《呂氏春秋．季冬紀．介立》：「脆弱者拜請以避死。」漢．高誘．注：「避，猶免也。」_x000D_
4.讓。漢．鼂錯〈論貴粟疏〉：「今海內為一，土地人民之眾，不避湯、禹。」唐．杜甫〈飲中八僊歌〉：「左相日興費萬錢，飲如長鯨吸百川，銜杯樂聖稱避賢。」</t>
  </si>
  <si>
    <t>(二)（又音）ㄅㄟˋ bèi（00197）</t>
  </si>
  <si>
    <t>[名]
1.人體解剖學上指從肩胛到腕骨的部分。
2.動物的前肢。如：「螳臂」、「猿臂」。</t>
  </si>
  <si>
    <t>(二)（又音）ㄅㄟˋ bèi（00198）</t>
  </si>
  <si>
    <t>璧</t>
  </si>
  <si>
    <t>[名]
1.古代一種玉器。扁平，圓形，中央有圓孔。《詩經．衛風．淇奧》：「有匪君子，如金如錫，如圭如璧。」《二刻拍案驚奇》卷一七：「詞人墨客得了此箋，猶如拱璧。」
2.玉的通稱。如：「白璧無瑕」、「完璧歸趙」。《韓非子．解老》：「和氏之璧，不飾以五采；隋侯之珠，不飾以銀黃。」
[動]
餽贈不受，退還原物。如：「敬璧」、「璧還」。明．張居正〈答豫所呂相公〉：「使旋附候厚惠，不敢當，輒以璧諸使者，統惟鑒原。」
[形]
1.美好的。如：「璧人」。
2.形圓如璧的。如：「璧日」、「璧月」。</t>
  </si>
  <si>
    <t>襞</t>
  </si>
  <si>
    <t>[名]
1.衣服上摺疊的痕跡或皺紋。唐．段成式《酉陽雜俎．卷六．藝絕》：「張遂置釣於巾襞中。」
2.腸、胃等內部器官上的皺摺。如：「胃皺襞」、「環狀皺襞」。
[動]
摺疊。晉．左思〈嬌女〉詩：「上下絃柱際，文史輒卷襞。」唐．王勃〈銅雀妓〉詩二首之一：「錦衾不復襞，羅衣誰再縫。」</t>
  </si>
  <si>
    <t>繴</t>
  </si>
  <si>
    <t>[名]
一種捕捉鳥獸的網，網子會自動覆蓋。《爾雅．釋器》：「繴，謂之罿，罿，謂之罬也；罬，謂之罦，罦，覆車也。」晉．郭璞．注：「今之翻車也，有兩轅，中施罥以捕鳥。」邢昺疏引孫炎曰：「覆車網，可以掩兔者也。一物五名，方言異也。」</t>
  </si>
  <si>
    <t>躄</t>
  </si>
  <si>
    <t>[動]_x000D_
仆倒、跌倒。晉．釋法顯《佛國記》卷下：「王來見之，迷悶躄地，諸臣以水灑面，良久乃蘇。」_x000D_
[名]_x000D_
瘸腿，兩腳殘廢不能走。《禮記．王制》：「瘖、聾、跛、躄、斷者、侏儒、百工，各以其器食之。」唐．孔穎達．正義：「躄，謂足不能行。」漢．枚乘〈七發〉：「當是之時，雖有淹病滯疾，猶將伸傴起躄，發瞽披聾而觀望之也。」</t>
  </si>
  <si>
    <t>碧</t>
  </si>
  <si>
    <t>[名]
青綠色的美石。《說文解字．玉部》：「碧，石之青美者。」《莊子．外物》：「萇弘死於蜀，藏其血，三年而化為碧。」唐．成玄英．疏：「碧，玉也。」
[形]
青綠色的。如：「碧草」、「碧波盪漾」。唐．白居易〈長恨歌〉：「蜀江水碧蜀山青，聖主朝朝暮暮情。」唐．李商隱〈常娥〉詩：「常娥應悔偷靈藥，碧海青天夜夜心。」</t>
  </si>
  <si>
    <t>(一)ㄅㄧˇ bǐ（00328）</t>
  </si>
  <si>
    <t>觱</t>
  </si>
  <si>
    <t xml:space="preserve">角 </t>
  </si>
  <si>
    <t>[名]
樂器名。參見「觱達」、「觱篥」條。
[形]
泉水湧出的樣子。參見「觱沸」條。</t>
  </si>
  <si>
    <t>贔</t>
  </si>
  <si>
    <t>參見「贔風」、「贔屭」等條。</t>
  </si>
  <si>
    <t>憋</t>
  </si>
  <si>
    <t>ㄅㄧㄝ</t>
  </si>
  <si>
    <t>biē</t>
  </si>
  <si>
    <t>[動]
1.壓抑、強忍著。如：「憋氣」、「憋尿」。
2.悶在心中。如：「心裡憋得慌。」、「有困難便說，不要憋在心裡。」
3.心中暗自盤算。多含有負面的意義。如：「我怎知他心中憋什麼鬼胎？」</t>
  </si>
  <si>
    <t>(一)ㄅㄧˋ bì（00381）</t>
  </si>
  <si>
    <t>鱉</t>
  </si>
  <si>
    <t>[名]
動物名。脊椎動物亞門爬蟲綱龜鱉目。外形像龜，背甲呈灰黑色，有軟皮。腹部白色或淡黃色。頸部甚長，四肢粗短，有厚蹼。多棲息於湖沼等溫、熱帶水域。背甲圓形，邊緣柔軟，肉供食用，甲殼可入藥。也稱為「團魚」、「甲魚」、「王八」、「黿魚」。</t>
  </si>
  <si>
    <t>別</t>
  </si>
  <si>
    <t>ㄅㄧㄝˊ</t>
  </si>
  <si>
    <t>bié</t>
  </si>
  <si>
    <t>[動]
1.分離、離開。如：「告別」、「暫別」、「永別」、「臨別依依」、「久別重逢」。唐．李商隱〈無題〉詩：「相見時難別亦難，東風無力百花殘。」
2.區分、分辨。如：「辨別」、「鑑別」、「識別證」、「分門別類」。《史記．卷一二六．滑稽傳．褚少孫補西門豹傳》：「三子之才能，誰最賢哉？辨治者當能別之。」
3.用別針或大頭針等固定物品。如：「別上一朵胸花。」、「把紀念章別在胸前。」
4.插著、卡住。如：「把門拴別上！」、「上衣口袋別著一隻鋼筆。」
5.折、轉。如：「別起腿來」、「別過臉去」。《清平山堂話本．花燈轎蓮女成佛記》：「小官只不肯說，別了面皮，朝裡壁睡了。」
[名]
1.類。如：「性別」、「國別」、「派別」、「職別」。
2.差距、分別。如：「天淵之別」。宋．王安石〈論陶冶人才〉：「蓋古者有賢不肖之分，而無流品之別。」
3.姓。如南北朝有別浦，宋代有別之杰。
[形]
1.另外的。如：「別人」、「別家」、「別稱」、「別處」。
2.特殊、與眾不同。如：「別格」。元．關漢卿《玉鏡臺》第二折：「小姐比昨日打扮的又別，真神仙中人也。」
[副]
1.另、外。如：「別具匠心」、「別開生面」、「別樹一幟」。五代十國南唐．李煜〈相見歡．無言獨上西樓〉詞：「翦不斷，理還亂，是離愁，別是一般滋味在心頭。」宋．司馬光〈與王介甫書〉：「徒欲別出新意，以自為功名耳。此其為害已甚矣。」
2.不要。表勸阻或禁止的意思。如：「別走！」、「別生氣！」、「別打岔！」、「別理她！」
3.莫非、莫不是。表揣測的意味，常與「是」連用。如：「別是我猜錯了？」</t>
  </si>
  <si>
    <t>莂</t>
  </si>
  <si>
    <t>[名]
古代的契約寫在簡帛上，從中剖開，雙方各執一半，以為憑證，稱為「莂」。亦泛指券書、合同。漢．劉熙《釋名．釋書契》：「莂，別也。大書中央，中破別之也。」</t>
  </si>
  <si>
    <t>[形]
咇茀：香氣濃郁。《文選．司馬相如．上林賦》：「肸蠁布寫，䁆薆咇茀。」晉．郭璞．注：「香氣盛，馝馞也。」唐．李善．注：「馝馞，咇茀音義同。」</t>
  </si>
  <si>
    <t>(二)ㄅㄧˇ bǐ（00326）(三)ㄅㄧˋ bì（00345）</t>
  </si>
  <si>
    <t>蛂</t>
  </si>
  <si>
    <t>[名]
動物名。一種害蟲。屬甲蟲類，體呈綠色。《爾雅．釋蟲》：「蛂，蟥蛢。」晉．郭璞．注：「甲蟲也。大如虎豆，綠色。今江東呼黃蛢。」</t>
  </si>
  <si>
    <t>襒</t>
  </si>
  <si>
    <t>[動]
擦拭。參見「襒席」條。</t>
  </si>
  <si>
    <t>蹩</t>
  </si>
  <si>
    <t>參見「蹩躠」條。</t>
  </si>
  <si>
    <t>癟</t>
  </si>
  <si>
    <t>ㄅㄧㄝˇ</t>
  </si>
  <si>
    <t>biě</t>
  </si>
  <si>
    <t>[形]
1.凹下去、不飽滿。如：「肚子餓癟了。」
2.物體逐漸縮小。如：「皮球漏氣，越來越癟了。」
[動]
1.使凹下去。如：「癟嘴」。
2.倒閉。如：「長時間這樣入不敷出，咱們的公司非癟不可。」
3.難堪、使窘迫。如：「缺錢的日子裡，大夥可癟了。」、「遲遲不發餉，真是癟人！」。</t>
  </si>
  <si>
    <t>彆</t>
  </si>
  <si>
    <t>ㄅㄧㄝˋ</t>
  </si>
  <si>
    <t>biè</t>
  </si>
  <si>
    <t>[名]
弓末彎曲的地方。《說文解字．弓部》：「彆，弓戾也。」《詩經．小雅．采薇》「象弭魚服」句下漢．鄭玄．箋：「弭，弓反末彆者。」
[動]
1.執拗。如：「彆扭」。《水滸傳》第三五回：「要換座頭，便是趙官家，老爺也彆鳥不換。」
2.改變他人的想法、意見。如：「彆不過他，只好順從了。」
3.強忍住。同「憋」。《喻世明言．卷三九．汪信之一死救全家》：「因與哥哥汪孚酒中爭論一句閒話，彆口氣，隻身逕走出門。」《紅樓夢》第七一回：「又羞又氣，一時抓尋不著頭腦，彆得臉紫脹。」</t>
  </si>
  <si>
    <t>杓</t>
  </si>
  <si>
    <t>ㄅㄧㄠ</t>
  </si>
  <si>
    <t>biāo</t>
  </si>
  <si>
    <t>[名]
1.勺子的柄。《說文解字．木部》：「杓，枓柄也。」清．段玉裁．注：「枓柄者，勺柄也。勺謂之枓，勺柄謂之杓。」
2.北斗七星的柄，指第五到第七顆星。《淮南子．天文》：「斗杓為小歲，正月建寅。」漢．高誘．注：「斗，第一星至第四為魁，第五至第七為杓。」《老殘遊記》第一二回：「那北斗正斜倚在紫微垣的西邊，上面杓在上，魁在下。」
[動]
1.拉開。《淮南子．道應》：「孔子勁杓國門之關，而不肯以力聞。」漢．高誘．注：「杓，引也。古者縣門下，從上杓引之者難也。」
2.擊。《淮南子．兵略》：「故淩人者勝，待人者敗，為人杓者死。」漢．高誘．注：「杓，所擊也。」</t>
  </si>
  <si>
    <t>(二)ㄕㄠˊ sháo（08873）</t>
  </si>
  <si>
    <t>髟</t>
  </si>
  <si>
    <t>[形]
形容毛髮垂披。《文選．潘岳．秋興賦》：「斑鬢髟以承弁兮，素髮颯以垂領。」
[名]
二一四部首之一。</t>
  </si>
  <si>
    <t>(二)ㄕㄢ shān（08910）</t>
  </si>
  <si>
    <t>彪</t>
  </si>
  <si>
    <t>[名]
1.老虎身上的斑紋。《說文解字．虎部》：「彪，虎文也。」
2.老虎。北周．庾信〈枯樹賦〉：「熊彪顧盼，魚龍起伏。」
3.姓。如春秋時衛國有彪傒、彪夫，宋代有彪居正。
[動]
1.文采顯現。漢．揚雄《法言．君子》：「或問：『君子言則成文，動則成德，何以也』曰：『以其弸中而彪外也。』」晉．李軌．注：「弸，滿也。彪，文也。積行內滿，文辭外發。」晉．張華〈勵志詩〉：「體之以質，彪之以文。」
2.明悟。漢．蔡邕〈處士圈典碑〉：「童蒙來求，彪之用文。」
[形]
健壯如虎。如：「彪形大漢。」《北史．卷五四．斛律金傳》：「光字明月，馬面彪身，神爽雄傑。」</t>
  </si>
  <si>
    <t>颩</t>
  </si>
  <si>
    <t xml:space="preserve">風 </t>
  </si>
  <si>
    <t>[動]
1.丟棄。元．王實甫《西廂記．第二本．楔子》：「颩了僧伽帽，袒下我這偏衫。」
2.揮打。元．馬致遠〈耍孩兒．近來時買得匹蒲梢騎套．三煞〉：「休教鞭颩著馬眼，休教鞭擦損毛衣。」</t>
  </si>
  <si>
    <t>(二)ㄉㄧㄡ diū（02216）(三)ㄘㄨㄛ cuō（09840）</t>
  </si>
  <si>
    <t>滮</t>
  </si>
  <si>
    <t>[形]
水流動的樣子。《詩經．小雅．白華》：「滮池北流，浸彼稻田。」漢．毛亨．傳：「滮，流貌。」唐．李翶〈江州南湖堤銘〉：「漭漭南陂，冬乾夏滮，九江暴漲，潛潮逆流。」</t>
  </si>
  <si>
    <t>猋</t>
  </si>
  <si>
    <t>[形]
犬急奔。《說文解字．犬部》：「猋，犬走貌。」
[副]
迅急前往。《楚辭．屈原．九歌．雲中君》：「靈皇皇兮既降，猋遠舉兮雲中。」漢．王逸．注：「猋，去疾貌也。」《續漢書．第一〇．天文志上》：「是時光武將兵數千人赴救昆陽，奔擊二公，并力猋發，號呼聲動天地，虎豹驚怖敗振。」
[名]
暴風。同「飆」。《禮記．月令》：「猋風暴雨總至，藜莠蓬蒿並興。」</t>
  </si>
  <si>
    <t>飆</t>
  </si>
  <si>
    <t>[名]
1.暴風。《漢書．卷八七．揚雄傳上》：「風發飆拂，神騰鬼趡。」晉．陸雲〈南征賦〉：「狂飆起而妄駭，行雲藹而芊眠。」
2.風。《晉書．卷五四．陸機傳》：「落葉俟微飆以隕，而風之力蓋寡；孟嘗遭雍門以泣，而琴之感以末。」唐．白居易〈立秋夕有懷夢得〉詩：「是夕涼飆起，閒境入幽情。」
[動]
如暴風一樣的行動。如：「飆車」、「股票狂飆」。</t>
  </si>
  <si>
    <t>摽</t>
  </si>
  <si>
    <t>[動]
1.揮之使離去。《孟子．萬章下》：「摽使者出諸大門之外。」
2.拋落、丟棄。《公羊傳．莊公十三年》：「已盟，曹子摽劍而去之。」
3.擊。《左傳．哀公十二年》：「長木之斃，無不摽也。」元．李壽卿《伍員吹簫》第二折：「千金寶劍賽吳鉤，一片精光射斗牛……隨身偏壯忠臣膽，入手能摽逆子頭。」
[名]
標記、記號。通「標」。參見「摽幟」條。</t>
  </si>
  <si>
    <t>(二)ㄆㄧㄠˇ piǎo（00896）(三)ㄅㄧㄠˋ biào（00462）</t>
  </si>
  <si>
    <t>熛</t>
  </si>
  <si>
    <t>[名]
火焰。《史記．卷九二．淮陰侯傳》：「天下之士雲合霧集，魚鱗雜遝，熛至風起。」《唐書．卷二二〇．東夷傳．高麗傳》：「士縱火焚西南，熛延城中，屋幾盡。」
[形]
迅速、疾速。如：「熛風」。
[副]
突然、驟然。如：「熛起」。</t>
  </si>
  <si>
    <t>標</t>
  </si>
  <si>
    <t>[名]
1.樹梢。《玉篇．木部》：「標，木末也。」《文選．盧諶．贈劉琨詩》：「綿綿女蘿，施于松標。」
2.末尾。指非根本的事物。如：「治標」。《管子．霸言》：「大本而小標。」唐．尹知章．注：「標，末也。」《淮南子．天文》：「物類相動，本標相應。」
3.表記、符號。如：「商標」、「路標」、「音標」、「游標」、「浮標」。唐．李白〈蜀道難〉：「上有六龍回日之高標，下有衝波逆折之回川。」
4.旗幟。宋．陶穀《清異錄．卷四．火龍標》：「梁祖自初起，每令左右持大赤旗，緩急之際，用以揮軍，祖自目為火龍標。」
5.準則、榜樣。《晉書．卷八〇．王羲之傳》：「楨之曰：『亡叔一時之標，公是千載之英。』」《封神演義》第二回：「且君為臣之標率，君不向道，臣下將化之。」
6.授給競賽中優勝者的獎勵品。如：「錦標」、「奪標」。宋．吳自牧《夢粱錄．卷一．八日祠山聖誕》：「其龍舟遠列成行，而先進者得捷取標賞，聲喏而退，餘者以錢酒支犒也。」
7.對一定數量的工程或商品，照一定的標準估定的價目。如：「底標」、「投標」、「開標」、「招標」。
8.清末陸軍編制，以三營為一標，相當於今日陸軍的團。
[動]
1.特出、揭舉。如：「標榜」、「標新立異」。南朝梁．劉勰《文心雕龍．明詩》：「唯嵇志清峻，阮旨遙深，故能標焉。」唐．李白〈明堂賦〉：「遠則標熊耳以作揭，豁龍門以開關。」
2.表明、顯示。如：「標示」、「標明」、「標價」。《醒世恆言．卷四．灌園叟晚逢仙女》：「梅標清骨，蘭挺幽芳。」
3.出標子比價競取。如：「標會」、「標購」。
[形]
才能出眾，很有本事的樣子。元．李文蔚《圯橋進履》第三折：「我做大將甚是標，兵書戰策不曾學，聽的廝殺推害病，正是買賣歸來汗未消。」元．無名氏《延安府》第二折：「我做廚子實是標，偏能蒸作快烹炰。」</t>
  </si>
  <si>
    <t>(二)ㄆㄧㄠˇ piǎo（00897）</t>
  </si>
  <si>
    <t>蔈</t>
  </si>
  <si>
    <t>[名]
1.開黃色花朵的凌霄花。《爾雅．釋草》：「苕，陵苕。黃華，蔈；白華，茇。」宋．邢昺．疏：「苕，一名陵苕。……黃花名蔈，白華名茇，別華色之名也。」
2.無根的水中草。通「薸」。《淮南子．墬形》：「容華生蔈，蔈生萍藻，萍藻生浮草。」</t>
  </si>
  <si>
    <t>膘</t>
  </si>
  <si>
    <t>[名]
1.牛小腹兩旁的肉。《說文解字．肉部》：「膘，牛脅後髀前合革肉也。」
2.肥肉。元．秦𥳑夫《趙禮讓肥》第二折：「我這裡骨崖崖欲行還倒，我是個餓損的人有甚麼脂膘。」《西遊記》第四回：「那些天馬見了他，泯耳攢蹄，倒養得肉膘肥滿。」</t>
  </si>
  <si>
    <t>瘭</t>
  </si>
  <si>
    <t>參見「瘭疽」條。</t>
  </si>
  <si>
    <t>鏢</t>
  </si>
  <si>
    <t>[名]
1.舊時一種金屬暗器。形似矛頭，長短輕重不一，可投擲，具殺傷力。如：「飛鏢」、「毒鏢」。《兒女英雄傳》第一五回：「他把手裡這枝鏢，迎著那枝鏢發出去，打個正著！」
2.古代委託鏢局保護運送的行李或財物。如：「失鏢」、「索鏢」、「走鏢」。</t>
  </si>
  <si>
    <t>颮</t>
  </si>
  <si>
    <t>[名]
扶搖而上的風。同「飆」。《說文解字．風部》：「颮，古文飆。」</t>
  </si>
  <si>
    <t>(一)ㄆㄠˊ páo（00682）</t>
  </si>
  <si>
    <t>麃</t>
  </si>
  <si>
    <t xml:space="preserve">鹿 </t>
  </si>
  <si>
    <t>[形]
參見「麃麃」條。
[動]
除去田間雜草。《詩經．周頌．載芟》：「驛驛其達，有厭其傑；厭厭其苗，綿綿其麃。」漢．毛亨．傳：「麃，耘也。」</t>
  </si>
  <si>
    <t>(二)ㄆㄠˊ páo（00685）</t>
  </si>
  <si>
    <t>儦</t>
  </si>
  <si>
    <t>參見「儦儦」條。</t>
  </si>
  <si>
    <t>瀌</t>
  </si>
  <si>
    <t>參見「瀌瀌」條。</t>
  </si>
  <si>
    <t>藨</t>
  </si>
  <si>
    <t>[名]_x000D_
植物名：(1)薔薇科懸鉤子屬，「茅莓」、「紅莓消」之古稱，參見「茅莓」條。《爾雅．釋草》：「藨，麃。」晉．郭璞．注：「麃，即莓也。今江東呼為藨莓。子似覆葐而大，赤，酢甜可啖。」明．李時珍《本草綱目．卷一八．草部．蓬蘽》：「一種蔓小於蓬虆，一枝三葉，葉面青，背淡白而微有毛，開小白花，四月實熟，其色紅如櫻桃者，俗名&amp;9A6C._104_0.gif;田藨，即《爾雅》所謂藨者也。」(2)豆科鹿藿屬，「鹿藿」之古稱，參見「鹿藿」條。_x000D_
[動]_x000D_
除草。通「穮」、「麃」。晉．張華〈勵志詩〉：「如彼南畝，力耒既勤，藨蔉致功，必有豐殷。」</t>
  </si>
  <si>
    <t>臕</t>
  </si>
  <si>
    <t>[名]
肥肉或肥厚的脂肪。《樂府詩集．卷二五．橫吹曲辭五．企喻歌辭四曲之二》：「放馬大澤中，草好馬著臕。」《警世通言．卷二四．玉堂春落難逢夫》：「只看他這等黃瘦，一棍打在那裡？等他臕滿肉肥，那時打他不遲。」</t>
  </si>
  <si>
    <t>穮</t>
  </si>
  <si>
    <t>[動]
耘田、除草。《左傳．昭公元年》：「譬如農夫，是穮是蔉；雖有饑饉，必有豐年。」晉．杜預．注：「穮，耘也。」</t>
  </si>
  <si>
    <t>鑣</t>
  </si>
  <si>
    <t>[名]
1.馬口中所含的鐵環。《說文解字．金部》：「鑣，馬銜也。」《楚辭．劉向．九歎．離世》：「斷鑣銜以馳騖兮，暮去次而敢止。」《文選．傅毅．舞賦》：「龍驤橫舉，揚鑣飛沫；馬材不同，各相傾奪。」
2.馬、坐騎。唐．李嶠〈侍宴長寧公主東莊應制〉詩：「承恩咸已醉，戀賞未還鑣。」明．陸世廉《西臺記》第四齣：「你還記得患難相從有謝翶，今日裡天上人間不共鑣。」
3.舊時一種用來投擲的金屬暗器。通「鏢」。如：「飛鑣」、「毒鑣」、「子母鑣」。</t>
  </si>
  <si>
    <t>爂</t>
  </si>
  <si>
    <t>[形]
輕脆。《周禮．地官．草人》：「輕爂用犬。」漢．鄭玄．注：「輕爂，輕脆者。」</t>
  </si>
  <si>
    <t>表</t>
  </si>
  <si>
    <t>ㄅㄧㄠˇ</t>
  </si>
  <si>
    <t>biǎo</t>
  </si>
  <si>
    <t>[名]
1.外衣。《說文解字．衣部》：「表，上衣也。」清．段玉裁．注：「上衣者，衣之在外者也。」明．袁宏道〈雨後遊六橋記〉：「諸友白其內者皆去表。」
2.標識。《管子．君臣上》：「民有疑惑貳豫之心，而上不能匡，則百姓之與間，猶揭表而令之止也。」唐．尹知章．注：「表，謂以本為標，有所告示也。」
3.事物外在的一面。如：「外表」、「江表」、「虛有其表」、「出人意表」。《左傳．僖公五年》：「虢，虞之表也。虢亡虞必從之。」《文選．潘岳．西征賦》：「或從容傅會，望表知裡。」
4.模範、榜樣。如：「表率」、「為人師表」。《文選．班固．幽通賦》：「保身遺名，民之表兮。」
5.古代臣子呈給帝王的一種奏章。如三國蜀諸葛亮的〈出師表〉、李密的〈陳情表〉。明．徐師曾〈文體明辨序說．表〉：「古者獻言於君，皆稱上書。漢定禮儀，乃有四品，其三曰表，然但用以陳請而已。後世因之，其用寖廣。」
6.石碑。《漢書．卷七五．李尋傳》：「千里立表，萬里連紀。」
7.墓表、墓誌。如宋代歐陽修的〈瀧岡阡表〉。
8.分格或分項以列記事物的文件。如：「報表」、「課表」、「統計表」、「調查表」、「史記十二諸侯年表」。
9.人除正名以外的其他字號。《醒世恆言．卷七．錢秀才錯占鳳凰儔》：「（高贊）接口就問說：『此位就是令親顏大官人？前日不曾問得貴表。』錢青道：『年幼無表。』」
10. 計時器或計量器。如：「手表」、「電表」。《紅樓夢》第一九回：「寶玉命取表來看時，果然針已指亥正。」也作「錶」。
11. 表親。如：「姑表」、「姨表」、「老表」。
12. 泛指行為不檢點的婦女，也多專指妓女。通「婊」。
13. 姓。如明代有表貢。
[動]
1.加上外衣。《論語．鄉黨》：「當暑，袗絺綌，必表而出之。」三國魏．何晏．箋：「必表而出之，加上衣。」
2.顯揚、獎勵。《史記．卷五五．留侯世家》：「今陛下能封聖人之墓、表賢者之閭、式智者之門乎？」《文選．司馬遷．報任少卿書》：「恨私心有所不盡，鄙陋沒世而文彩不表於後世也。」
3.傳達、宣布、告訴。如：「閒話不表」、「略表心意」。《漢書．卷六五．東方朔傳》：「又詔中尉、左右內史，表屬縣草田，欲以償鄠杜之民。」《二刻拍案驚奇》卷二五：「真正是沒頭的公事，表過不提。」
4.上奏章奏明某事。《三國志．卷三五．蜀書．諸葛亮傳》：「亮自表後主。」
5.上表推薦。《三國志．卷四七．吳書．吳主傳》：「曹公表權為討虜將軍。」
6.鑒察。如：「惟天可表」。《董西廂》卷七：「負心的天地表！天地表！」
7.裝潢修補書畫。通「裱」。《儒林外史》第三三回：「我表了個手卷在此，願捐的寫在上面。」</t>
  </si>
  <si>
    <t>俵</t>
  </si>
  <si>
    <t>[動]
分給、分派。《集韻．去聲．笑韻》：「俵，分與也。」宋．蘇軾〈奏浙西災傷第一狀〉：「巡門俵米，攔街散粥，終不能救。」元．劉時中〈端正好．眾生靈套．倘秀才〉曲：「比及燒昏鈔先行擺布，散夫錢僻靜處俵與。」</t>
  </si>
  <si>
    <t>婊</t>
  </si>
  <si>
    <t>參見「婊子」條。</t>
  </si>
  <si>
    <t>裱</t>
  </si>
  <si>
    <t>[名]
婦人綴於上衣的領巾。《玉篇．衣部》：「裱，人領巾。」
[動]
裝潢、裝飾字畫或書籍。參見「裱褙」、「裱糊」等條。《初刻拍案驚奇》卷二七：「明日將一幅紙畫的芙蓉來，施在院中張掛，以答謝昨日之齋。院主受了，便把來裱在一格素屏上面。」</t>
  </si>
  <si>
    <t>錶</t>
  </si>
  <si>
    <t>[名]
比時鐘小，可隨身攜帶的計時器。如：「手錶」、「懷錶」。也作「表」。</t>
  </si>
  <si>
    <t>褾</t>
  </si>
  <si>
    <t>[名]
袖端。《廣韻．上聲．小韻》：「褾，袖端。」唐．張彥遠《法書要錄．卷二．論書表》：「有一好事年少．故作精白紗裓，著詣子敬，子敬便取書之，草正諸體悉備，兩袖及褾略同。」
[動]
裝潢書畫。元．陶宗儀《南村輟耕錄．卷二三．書畫褾軸》：「南唐則褾以迴鸞墨錦，籤以潢紙。」</t>
  </si>
  <si>
    <t>ㄅㄧㄠˋ</t>
  </si>
  <si>
    <t>biào</t>
  </si>
  <si>
    <t>[動]
1.彼此胳膊相互鉤連在一起。如：「他們倆摽著胳膊走。」
2.互相勾結、依附在一起。如：「他們最近不知有何意圖，老摽在一起。」
3.將物體捆綁勒緊在一處。如：「桌子的腿鬆了，用繩子摽住吧！」</t>
  </si>
  <si>
    <t>(一)ㄅㄧㄠ biāo（00440）(二)ㄆㄧㄠˇ piǎo（00896）</t>
  </si>
  <si>
    <t>鰾</t>
  </si>
  <si>
    <t>[名]
1.魚胞，大多數魚類的特殊器官。位於胸部中間，內有空氣，可以自由漲縮以調節魚體的比重，使魚在水中能上升或下沉。而非洲肺魚的鰾，內壁上布滿微血管，在乾旱的季節可以像高等脊椎動物的肺一般呼吸空氣。
2.參見「鰾膠」條。
[動]
方言。用鰾膠黏上。如：「桌腳斷了，趕緊將它鰾上吧！」</t>
  </si>
  <si>
    <t>砭</t>
  </si>
  <si>
    <t>ㄅㄧㄢ</t>
  </si>
  <si>
    <t>biān</t>
  </si>
  <si>
    <t>[名]
古時用來治病的石針。參見「砭石」條。
[動]
1.古人用石針扎刺肌膚治病。《新唐書．卷七六．后妃傳上．則天武皇后傳》：「帝頭眩不能視，侍醫張文仲、秦鳴鶴曰：『風上逆，砭頭血可愈。』」
2.救治。唐．韓愈〈喜侯喜至贈張籍張徹〉詩：「又如心中疾，針石非所砭。」宋．蘇軾〈擇勝亭銘〉：「我銘斯亭，以砭世盲。」
3.刺、刺痛。宋．歐陽修〈秋聲賦〉：「其氣慄冽，砭人肌骨」。</t>
  </si>
  <si>
    <t>猵</t>
  </si>
  <si>
    <t>參見「猵獺」條。</t>
  </si>
  <si>
    <t>(二)ㄆㄧㄢˋ piàn（00932）</t>
  </si>
  <si>
    <t>楄</t>
  </si>
  <si>
    <t>(一)ㄆㄧㄢˊ pián（00926）</t>
  </si>
  <si>
    <t>蝙</t>
  </si>
  <si>
    <t>參見「蝙蝠」條。</t>
  </si>
  <si>
    <t>(二)（又音）ㄅㄧㄢˇ biǎn（00481）</t>
  </si>
  <si>
    <t>編</t>
  </si>
  <si>
    <t>[動]
1.連結、交叉組織。如：「編髮」、「編草蓆」。《楚辭．屈原．九章．悲回風》：「糾思心以為纕兮，編愁苦以為膺。」宋．蕭立之〈送人之常德〉詩：「編蓬便結溪上宅，採桃為薪食桃實。」
2.順次排列。如：「編列」、「編組」、「編排」、「編印」。《史記．卷八二．田單傳》：「（田單）與士卒分功，妻妾編於行伍之閒，盡散飲食饗士。」
3.蒐集整理。如：「編書」、「新編」、「彙編」、「編字典」。唐．元稹〈樂府古題序〉：「而纂者，由詩傳而下十七名，盡編為樂錄。」
4.創作。如：「編歌」、「編曲」、「編劇本」。
5.捏造、用謊話騙人。如：「瞎編」、「編一套謊言。」《紅樓夢》第一九回：「我把你爛了嘴的，我就知道你是編我呢！」
[名]
1.貫串書籍的繩索。《史記．卷四七．孔子世家》：「讀《易》，韋編三絕。」
2.古代書籍以簡牘編聯而成，所以書一冊稱為「一編」。如：「人手一編」。《漢書．卷四〇．張良傳》：「出一編書。」唐．顏師古．注：「編謂聯次之也。聯簡牘以為書，故云：『一編』。」
3.泛指書籍。如：「巨編大著」。唐．韓愈〈進學解〉：「口不絕吟於六藝之文，手不停披於百家之編。」
4.量詞：(1)計算書籍章節編目的單位。如：「《老殘遊記》共分三編。」(2)計算同類型或相似的書籍分套成編的單位。如：「《四部叢刊》分初編、續編、三編。」
5.姓。如東漢有編訢。</t>
  </si>
  <si>
    <t>鯿</t>
  </si>
  <si>
    <t>[名]
動物名。硬骨魚綱。體寬而扁，頭小鱗細，銀灰色。味美可食，產於淡水中，與魴相似。</t>
  </si>
  <si>
    <t>箯</t>
  </si>
  <si>
    <t>[名]
1.竹製的轎子。《說文解字．竹部》：「箯，竹輿也。」
2.用竹子編成，用來盛飯的器具。漢．史游《急就篇》卷三：「𥫱篅箯筥䉛箅篝。」唐．顏師古．注：「竹器之盛飯者，大曰箯，小曰筥。」</t>
  </si>
  <si>
    <t>鞭</t>
  </si>
  <si>
    <t>[動]
以鞭子抽打。如：「鞭打」、「鞭屍」。《說文解字．革部》：「鞭，毆也。」《浮生六記．卷二．閒情記趣》：「神定，捉蝦蟆，鞭數十，驅之別院。」
[名]
1.一種皮製的長軟器具，用來驅使牲口或打人。如：「馬鞭」、「皮鞭」、「鞭長莫及」。也稱為「鞭子」。
2.一種古代的兵器。以鐵打造，有節，無刀刃。如：「鋼鞭」、「竹節鞭」、「三棱鞭」。
3.成串的爆竹。如：「鞭炮」。《兒女英雄傳》第二八回：「兩掛千頭百子旺鞭，放得震地價響。」
4.指長條形類似鞭子的物品。如：「教鞭」。
5.俗稱雄性動物的生殖器官。如：「牛鞭」、「鹿鞭」。元．關漢卿《裴度還帶》第四折：「今宵洞房花燭夜，試看狀元一條鞭。」</t>
  </si>
  <si>
    <t>邊</t>
  </si>
  <si>
    <t>[名]
1.指兩國或兩地區的交界處或近交界處。如：「守邊」、「戍邊」、「墾邊」。
2.兩旁。如：「河邊」、「路邊」、「岸邊」。
3.四周、周圍。如：「桌邊」、「床邊」、「邊緣」。
4.際限、盡頭。如：「苦海無邊，回頭是岸。」、「遠在天邊，近在眼前。」唐．杜甫〈登高〉詩：「無邊落木蕭蕭下，不盡長江袞袞來。」
5.方向。如：「左邊」、「前邊」、「東邊」、「外邊」。
6.物體或衣裙邊緣的裝飾。如：「鏡邊」、「滾邊」、「鑲邊」、「花邊」。
7.頭緒。如：「說了半天，還摸不著邊兒。」
8.幾何學中夾成角或構成多角形的線段，稱為「邊」。如：「等邊三角形」。
9.量詞。計算物體邊側的單位。如：「三邊形」、「五邊形」。
10. 姓。如東漢有邊韶，明代有邊維新。
[副]
1.偏、不正。《禮記．檀弓上》：「齊衰不以邊坐，大功不以服勤。」漢．鄭玄．注：「邊，偏倚。」
2.表方位。相當於「裡」、「內」、「中」等字。唐．高適〈信安王幕府詩〉：「大漠風沙裡，長城雨雪邊。」宋．楊萬里〈新青讀樊川〉詩：「九千刻裡春長雨，萬點紅邊花又空。」
3.一面。常用「邊……邊……」的語式表達。如：「邊做邊學」、「邊走邊吃」、「邊吃飯邊看電視」。</t>
  </si>
  <si>
    <t>籩</t>
  </si>
  <si>
    <t>[名]
古代祭祀或宴會上用來盛果實、肉乾等的竹編器具。《說文解字．竹部》：「籩，竹豆也。」清．朱駿聲《說文通訓定聲．先部》：「豆盛溼物，籩盛乾物，豆重而籩輕。」《周禮．天官．籩人》：「籩人掌四籩之實。」漢．鄭玄．注：「籩，竹器如豆者，其容實皆四升。」《國語．周語中》：「品其百籩，修其簠簋。」</t>
  </si>
  <si>
    <t>扁</t>
  </si>
  <si>
    <t xml:space="preserve">戶 </t>
  </si>
  <si>
    <t>ㄅㄧㄢˇ</t>
  </si>
  <si>
    <t>biǎn</t>
  </si>
  <si>
    <t>[名]
1.寬而薄的東西。如：「鴨肉扁」、「鵝肉扁」。
2.供題字用的長方形木板或石板，通常高懸在門上或牆上。通「匾」。《宋史．卷二四三．后妃傳下．憲聖慈烈吳皇后傳》：「近嘗夢至一亭，扁曰：『侍康』。」
3.姓。如戰國時代的名醫扁鵲。
[形]
形狀寬而薄的。如：「扁平」。《後漢書．卷八五．東夷傳．三韓傳》：「兒生欲令其頭扁，皆押之以石。」《老殘遊記》第六回：「你們把我扁皮箱裡，還有一件白狐一裹圓的袍子，取出來送到鐵老爺屋子裡去。」
[副]
不成器，有輕視的意味。如：「不要把人家看扁了。」、「門縫裡看人，把人給瞧扁了。」
[動]
揍。如：「被扁」、「扁一頓」、「小心我等一下扁你！」</t>
  </si>
  <si>
    <t>(二)ㄆㄧㄢ piān（00912）</t>
  </si>
  <si>
    <t>匾</t>
  </si>
  <si>
    <t xml:space="preserve">匸 </t>
  </si>
  <si>
    <t>[名]
1.供題字用的長方形木板或石板，通常高懸在門上、牆上。如：「匾額」、「橫匾」。《紅樓夢》第八回：「個個都好。怎麼寫的這們好了，明兒也替我寫一個匾。」
2.圓形淺邊的竹器，形似小篩子。如：「竹匾」、「針線匾」。</t>
  </si>
  <si>
    <t>惼</t>
  </si>
  <si>
    <t>[形]
心胸狹窄、性情急躁。通「褊」。《廣韻．上聲．銑韻》：「惼，愝惼，性狹。」《莊子．山木》：「方舟而濟於河，有虛船來觸舟，雖有惼心之人，不怒。」</t>
  </si>
  <si>
    <t>萹</t>
  </si>
  <si>
    <t>[名]
萹豆：植物名。豆科扁豆屬，「扁豆」之古稱。參見「扁豆」條。</t>
  </si>
  <si>
    <t>(一)ㄆㄧㄢ piān（00915）</t>
  </si>
  <si>
    <t>碥</t>
  </si>
  <si>
    <t>[名]
1.舊稱登車時用來踏腳的石頭。《玉篇．石部》：「碥，將登車履石也。」《廣韻．上聲．銑韻》：「碥，乘車石也。」
2.險灘中斜出的山塊或土塊。明．張自烈《正字通．石部》：「碥，水疾崖傾曰碥。」
3.地名用字。如大陸地區四川省的閻王碥、燕子碥都是水路險地。</t>
  </si>
  <si>
    <t>稨</t>
  </si>
  <si>
    <t>[名]
稨豆。植物名。豆科扁豆屬，「扁豆」之古稱。參見「扁豆」條。</t>
  </si>
  <si>
    <t>褊</t>
  </si>
  <si>
    <t>[形]
1.衣服狹小。《說文解字．衣部》：「褊，衣小也。」漢．王充《論衡．自紀》：「夫形大，衣不得褊。」
2.狹小、狹隘。如：「褊心」、「褊小」、「褊狹」。唐．杜甫〈負薪行〉：「面妝首飾雜啼痕，地褊衣寒困石根。」
3.急躁。如：「褊急」、「褊躁」。《晉書．卷四二．王濬傳》：「吾始懼鄧艾之事，畏禍及，不得無言，亦不能遣諸胸中，是吾褊也。」</t>
  </si>
  <si>
    <t>(一)ㄆㄧㄢˊ pián（00927）</t>
  </si>
  <si>
    <t>(一)ㄅㄧㄢ biān（00467）</t>
  </si>
  <si>
    <t>窆</t>
  </si>
  <si>
    <t xml:space="preserve">穴 </t>
  </si>
  <si>
    <t>[名]
墳、墓穴。如：「孤窆」、「野窆」。《新唐書．卷七七．后妃列傳下．章敬吳太后》：「啟故窆，貌澤若生，衣皆赭色，見者嘆異。」《宋史．卷三一二．列傳．王珪》：「詔真、揚二州發卒護其窆。」
[動]
將棺木葬入墓穴裡，即埋葬。《後漢書．卷八一．獨行列傳．范式》：「既至壙，將窆，而柩不肯進。」唐．韓愈〈祭十二郎文〉：「斂不憑其棺，窆不臨其穴。」</t>
  </si>
  <si>
    <t>貶</t>
  </si>
  <si>
    <t>[動]
1.降低、減少。如：「貶值」、「自貶身價」。《左傳．僖公二十一年》：「貶食省用，務穡勸分。」
2.官員降級任用。《孟子．告子下》：「一不朝則貶其爵，再不朝則削其地。」唐．韓愈〈左遷至藍關示姪孫湘〉詩：「一封朝奏九重天，夕貶潮陽路八千。」
3.指出缺點，給予低微的評價。與「褒」相對而言。《新唐書．卷一三九．房琯傳．贊曰》：「唐名儒多言琯德器，有王佐材，而史載行事，亦少貶矣。」宋．王禹偁〈對雪〉詩：「褒貶無一詞，豈得為良史？」
4.挖苦。如：「他喜歡用話貶人家，常把人貶得一個子兒都不值。」
[名]
對他人過失的批評。晉．范甯〈春秋穀梁傳序〉：「片言之貶，辱過市朝之撻。」</t>
  </si>
  <si>
    <t>卞</t>
  </si>
  <si>
    <t xml:space="preserve">卜 </t>
  </si>
  <si>
    <t>ㄅㄧㄢˋ</t>
  </si>
  <si>
    <t>biàn</t>
  </si>
  <si>
    <t>[名]
1.地名。春秋時魯邑，故址在今大陸地區山東省泗水縣東五十里。《春秋．僖公十七年》：「秋，夫人姜氏會齊侯于卞。」
2.姓。如春秋時楚國有卞和，明代有卞玉京。
[形]
性情急躁。如：「卞急」。《新唐書．卷一六一．張薦傳》：「性躁卞，儻蕩無檢。」</t>
  </si>
  <si>
    <t>汴</t>
  </si>
  <si>
    <t>[名]_x000D_
1.河川名。為黃河支流，水道屢經變遷，今所稱汴水約在大陸地區河南省滎陽縣境。也稱為「汴河」。_x000D_
2.大陸地區河南省開封市的別稱。_x000D_
3.姓。如宋代有汴壽。</t>
  </si>
  <si>
    <t>忭</t>
  </si>
  <si>
    <t>[形]
喜樂。《廣韻．去聲．線韻》：「忭，喜貌。」如：「欣忭」、「晤談甚忭」。唐．薛逢〈元日樓前觀仗〉詩二首之二：「欲識普恩無遠近，萬方歡忭一聲雷。」
[副]
愉悅、快樂。晉．華嶠〈賀武帝疾瘳表〉：「上下同慶，不覺忭舞。」唐．白居易〈為宰相賀殺賊表〉：「止戈之期，翹足可待。無任喜慶忭躍之至。」
[動]
歡樂。宋．蘇軾〈喜雨亭記〉：「商賈相與歌於市，農夫相與忭於野。」</t>
  </si>
  <si>
    <t>抃</t>
  </si>
  <si>
    <t>[動]
1.拍手、鼓掌。《呂氏春秋．仲夏紀．古樂》：「有倕作為鼙鐘磬……帝嚳乃令人抃。」漢．高誘．注：「兩手相擊曰『抃』。」《宋書．卷六四．何承天傳》：「曉示安危，居以樂土，宜其歌抃就路，視遷如歸。」
2.搏擊、擊鬥。漢．揚雄《法言．淵騫》：「秦悼武、烏獲、任鄙，扛鼎抃牛，非絕力邪？」</t>
  </si>
  <si>
    <t>苄</t>
  </si>
  <si>
    <t>參見「苄基」條。</t>
  </si>
  <si>
    <t>弁</t>
  </si>
  <si>
    <t>[名]
1.古代男子所戴的帽子。《文選．曹植．七啟》：「冠皮弁，被文裘。」《文選．顏延年．皇太子釋奠會作詩》：「肴乾酒澄，端服整弁。」
2.古時候的一種低級軍官，或軍官的侍從。如：「武弁」、「馬弁」。《儒林外史》第三九回：「傳下將令，叫各弁在轅門聽候。」
3.姓。如春秋時魯國有弁嚴子，明代有弁志中。
[形]
驚懼、害怕。《漢書．卷九九．王莽傳下》：「乃壬午餔時，有列風雷雨發屋折木之變，予甚弁焉！予甚栗焉！予甚恐焉！」唐．顏師古．注：「弁，疾也。一曰弁，撫手也，言驚懼也。」
[動]
1.置放。指放在前面或上面。清．龔自珍〈送徐鐵孫序〉：「乃書是言，以弁君之詩之耑。」
2.以手搏擊。《漢書．卷七〇．甘延壽傳》：「試弁，為期鬥，以材力愛幸。」顏師古注引孟康曰：「弁，手搏。」</t>
  </si>
  <si>
    <t>(二)ㄆㄢˊ pán（00708）</t>
  </si>
  <si>
    <t>閞</t>
  </si>
  <si>
    <t>[名]
門柱上的方形木頭。《說文解字．門部》：「閞，門欂櫨也。」清．段玉裁．注：「欂櫨，柱上枅也。枅，屋欂櫨也。閞則門柱上枅之名。」</t>
  </si>
  <si>
    <t>鴘</t>
  </si>
  <si>
    <t>[名]
1.幼鷹的羽毛色澤。《玉篇．鳥部》：「鴘，鷹鷂二年色。」《集韻．上聲．獼韻》：「鴘，鷹隼二歲，色赤。」
2.動物名。即鷂鷹。一種似鷹而小的猛禽。背青灰色，腹白而赤，嘴、爪銳利。性凶狠，能疾飛，以逐捕小鳥為食。《字彙．鳥部》：「鴘，鷹鷂。」</t>
  </si>
  <si>
    <t>釆</t>
  </si>
  <si>
    <t xml:space="preserve">釆 </t>
  </si>
  <si>
    <t>[動]
分別、辨別。《說文解字．釆部》：「釆，辨別也。象獸指爪分別也。」今字作「辨」，古因形似而訛誤為「平」。
[名]
二一四部首之一。</t>
  </si>
  <si>
    <t>便</t>
  </si>
  <si>
    <t>[形]_x000D_
1.順、順利、方便。如：「便利」、「不便之處」。《史記．卷一〇九．李將軍傳》：「就善水草屯，舍止，人人自便。」宋．陸游〈初發夷陵〉詩：「今朝喜處君知否？三丈黃旗舞便風。」_x000D_
2.簡單的、非正式的。如：「便服」、「便鞋」、「便條紙」、「家常便飯」。_x000D_
3.靈敏、輕巧、敏捷。《莊子．應帝王》：「猿狙之便。」唐．韓愈〈送李愿歸盤谷序〉：「曲眉豐頰，清聲而便體，秀外而惠中。」_x000D_
[動]_x000D_
1.適宜、合宜。如：「便於攜帶」。《南史．卷三五．顧覬之傳》：「率皆即日不宜於人，方來未便於公，名與實反，有乖政體。」_x000D_
2.有利於。《韓非子．孤憤》：「虧法以利私，耗國以便家。」《史記．卷七十七．信陵君列傳》：「將在外，主令有所不受，以便國家。」_x000D_
3.熟習。《三國志．卷七．魏書．呂布傳》：「布便弓馬，膂力過人，號為飛將。」《隋書．卷五〇．郭榮傳》：「孝先於上流縱天筏以擊浮橋，護令榮督便水者引取其筏。」_x000D_
4.排泄屎、尿。如：「便尿」。《漢書．卷五九．張湯傳》：「（安世）為光祿勛，郎有醉小便殿上。」_x000D_
[名]_x000D_
1.方便的時候。如：「便中請來個電話。」、「得便就幫你送過去。」_x000D_
2.機會。《文選．賈誼．過秦論》：「因利乘便，宰割天下，分裂河山。」唐．李華〈弔古戰場文〉：「吾想夫北風振漢，胡兵伺便；主將驕敵，期門受戰。」_x000D_
3.屎、尿等的排泄物。如：「大便」、「小便」、「糞便」。_x000D_
[副]_x000D_
1.即、就。《三國志．卷四七．吳書．吳主權傳》：「又司馬懿前來入舒，旬日便退。」《紅樓夢》第四回：「每日或飯後，或晚間，薛姨媽便過來，或與賈母閒談，或和王夫人相敘。」_x000D_
2.豈、難道。表反問的語氣。宋．文同〈可笑口號七章之一〉：「若無書籍兼圖畫，便不教人白髮生？」《董西廂》卷八：「姑舅做親，便不敗壞風俗？」_x000D_
[連]_x000D_
縱然、即使。宋．柳永〈雨霖鈴．寒蟬淒切〉詞：「便縱有、千種風情，更與何人說。」</t>
  </si>
  <si>
    <t>(二)ㄆㄧㄢˊ pián（00920）</t>
  </si>
  <si>
    <t>緶</t>
  </si>
  <si>
    <t>[動]
將麻、草一類東西交錯編成辮子狀。《說文解字．糸部》：「緶，交枲也。」清．段玉裁．注：「謂以枲二股交辮之也。交絲為辮，交枲為緶。」
[名]
指長條形的編織物。通「辮」。如：「草帽緶」、「蒜緶子」、「髮緶兒」。</t>
  </si>
  <si>
    <t>(二)ㄆㄧㄢˊ pián（00922）</t>
  </si>
  <si>
    <t>遍</t>
  </si>
  <si>
    <t>[形]_x000D_
全部、整個。形容到處都是。如：「遍體鱗傷」、「漫山遍野」、「哀鴻遍野」。宋．張俞〈蠶婦〉詩：「遍身羅綺者，不是養蠶人。」明．湯顯祖《牡丹亭》第七齣：「夢回鶯囀，亂煞年光遍。」_x000D_
[副]_x000D_
沒有一處遺漏的。如：「遍布」、「遍歷」。唐．王維〈九月九日憶山東兄弟〉詩：「遙知兄弟登高處，遍插茱萸少一人。」《五代史平話．周史．卷上》：「宣赦已畢，遍行天下。」_x000D_
[動]_x000D_
布滿。漢．劉向《說苑．卷九．正諫》：「凡為不善遍於物不自知者，無天禍必有人害。」唐．劉禹錫〈宣上人遠寄和禮部王侍郎放榜後詩因而繼和〉：「一日聲名遍天下，滿城桃李屬春官。」_x000D_
[量]_x000D_
計算動作頭尾經歷的單位。唐．韓愈〈張中丞傳後敘〉：「巡曰：『吾於書讀不過三遍，終身不忘也。』」《紅樓夢》第一回：「空空道人聽如此話，思忖半晌，將這《石頭記》再細閱一遍。」</t>
  </si>
  <si>
    <t>(二)（語音）ㄆㄧㄢˋ piàn（00933）</t>
  </si>
  <si>
    <t>艑</t>
  </si>
  <si>
    <t>[名]
船。《宋書．卷八三．吳喜傳》：「從西還，大艑小艒，爰及草舫，錢米布絹，無船不滿。」《新唐書．卷九〇．劉政會傳》：「賈入倡家，踐其血乃覺，乘艑亡。」</t>
  </si>
  <si>
    <t>辡</t>
  </si>
  <si>
    <t>[動]
罪犯相互爭辯、辯論。《說文解字．辡部》：「辡，罪人相與訟也。」</t>
  </si>
  <si>
    <t>辨</t>
  </si>
  <si>
    <t>[動]
1.分別、判別。如：「辨別」、「分辨」、「明辨是非」、「雌雄莫辨」。《荀子．榮辱》：「目辨白黑美惡，耳辨音聲清濁。」唐．杜甫〈秋雨歎〉三首之二：「去馬來牛不復辨，濁涇清渭何當分。」
2.爭論是非曲直。通「辯」。《戰國策．趙策三》：「鄂侯爭之急，辨之疾，故脯鄂侯。」晉．陶淵明〈飲酒詩〉二〇首之五：「此還有真意，欲辨已忘言。」
[名]
文體名。如唐代柳宗元的〈桐葉封弟辨〉。也作「辯」。</t>
  </si>
  <si>
    <t>辮</t>
  </si>
  <si>
    <t>[名]
1.分股編成長條狀的頭髮。如：「髮辮」、「垂辮」、「結辮」。《文選．丘遲．與陳伯之書》：「夜郎、滇池，解辮請辭。」《紅樓夢》第三回：「頭上週圍一轉的短髮都結成小辮，紅絲結束，共攢至頂中胎髮，總編一根大辮，黑亮如漆。」
2.編成像辮子般的條狀物。通「緶」。如：「草辮」、「繩辮」、「絲辮」。
[動]
編織、編結。《文選．張衡．思玄賦》：「襲溫恭之黻衣兮，被禮義之繡裳；辮貞亮以為鞶兮，雜伎藝以為珩。」唐．李白〈對雪醉後贈王歷陽〉詩：「有身莫犯飛龍鱗，有手莫辮猛虎鬚。」</t>
  </si>
  <si>
    <t>辯</t>
  </si>
  <si>
    <t>[動]
1.爭論是非曲直。如：「辯護」、「辯駁」、「狡辯」、「強辯」。《孟子．滕文公下》：「孟子曰：『予豈好辯哉？予不得已也。』」明．宋濂〈送東陽馬生序〉：「與之論辯，言和而色怡。」
2.判別、分別。通「辨」。《易經．履卦．象曰》：「履，君子以辯上下，定民志。」《後漢書．卷四九．仲長統傳》：「苟目能辯色，耳能辯聲，口能辯味，體能辯寒溫者，將皆以脩絜為諱惡。」
3.變化。通「變」。《莊子．逍遙遊》：「若夫乘天地之正，而御六氣之辯，以遊無窮者，彼且惡乎待哉。」唐．成玄英．疏：「辯者，變也。」
[形]
善於辯說的。如：「辯士」、「辯才無礙」。
[名]
1.巧言。《戰國策．秦策一》：「迷於言，惑於語，沉於辯，溺於辭。」《史記．卷七四．孟子荀卿傳》：「而趙亦有公孫龍為堅白同異之辯。」
2.文體名。如唐代韓愈的〈諱辯〉。也作「辨」。</t>
  </si>
  <si>
    <t>變</t>
  </si>
  <si>
    <t>[動]
1.更改。如：「千變萬化」、「一成不變」。《史記．卷一二九．貨殖傳》：「乘扁舟浮於江湖，變名易姓。」
2.移動。《禮記．檀弓上》：「夫子之病革矣，不可以變。」《文選．陸機．文賦》：「或虎變而獸擾，或龍見而鳥瀾。」
[名]
1.突發的動亂。《史記．卷九二．淮陰侯傳》：「善遇之，使自為守。不然，變生。」《宋史．卷四二一．李庭芝傳》：「庭芝聞變，赴蓮池，水淺不得死。」
2.災異。《禮記．曾子問》：「丘止柩就道右，止哭以聽變。」《漢書．卷八一．張禹傳》：「上懼變異數見。」
3.權術。隋．王通《文中子．卷七．述史》：「非君子不可與語變。」
[形]
奇特的、怪誕的。如：「變象」。《楚辭．屈原．九章．思美人》：「吾且儃佪以娛憂兮，觀南人之變態。」</t>
  </si>
  <si>
    <t>汃</t>
  </si>
  <si>
    <t>ㄅㄧㄣ</t>
  </si>
  <si>
    <t>bīn</t>
  </si>
  <si>
    <t>[名]
1.古代傳說中西方極遠處的河川。《說文解字．水部》：「汃，西極之水也」。
2.古代西方極遠的國家。《說文解字．水部》：「汃，《爾雅》曰：『西至汃國，謂四極。』」《廣韻．平聲．真韻》：「汃，西方極遠之國。」</t>
  </si>
  <si>
    <t>(一)ㄆㄚˋ pà（00590）</t>
  </si>
  <si>
    <t>份</t>
  </si>
  <si>
    <t>[形]
文質兼備。同「彬」。《說文解字．人部》：「份，文質備也。《論語》曰：『文質份份。』彬，古文份。」</t>
  </si>
  <si>
    <t>(一)ㄈㄣˋ fèn（01684）</t>
  </si>
  <si>
    <t>邠</t>
  </si>
  <si>
    <t>[名]
國名。周的祖先公劉所立。故地約在今大陸地區陝西省彬縣。通「豳」。
[形]
參見「邠如」條。</t>
  </si>
  <si>
    <t>玢</t>
  </si>
  <si>
    <t>[名]
一種玉。《玉篇．玉部》：「玢，玉名。」
[形]
形容玉石美好的紋理。也稱為「玢豳」。《集韻．平聲．真韻》：「玢，玉文理貌。」《文選．司馬相如．上林賦》：「玟玉旁唐，玢豳文鱗。」李善注引郭璞曰：「玢豳，文理貌也。」</t>
  </si>
  <si>
    <t>彬</t>
  </si>
  <si>
    <t xml:space="preserve">彡 </t>
  </si>
  <si>
    <t>[形]
參見「彬彬」條。
[名]
姓。如唐代有彬霽。</t>
  </si>
  <si>
    <t>斌</t>
  </si>
  <si>
    <t>[形]
通「彬」。參見「斌斌」條。</t>
  </si>
  <si>
    <t>稟</t>
  </si>
  <si>
    <t>(一)ㄅㄧㄥˇ bǐng（00544）(三)ㄌㄧㄣˇ lǐn（03645）</t>
  </si>
  <si>
    <t>賓</t>
  </si>
  <si>
    <t>[名]
1.客人。與「主」相對。如：「來賓」、「貴賓」、「喧賓奪主」、「賓至如歸」。《詩經．小雅．鹿鳴》：「我有嘉賓，鼓瑟吹笙。」南朝宋．鮑照〈代東門行〉：「離聲斷客情，賓御皆涕零。」
2.姓。如春秋時齊國有賓須無。
[動]
1.以禮對待。《淮南子．氾論》：「乃矯鄭伯之命，犒以十二牛，賓秦師而卻之。」
2.歸順、服從。《國語．楚語上》：「蠻、夷、戎、狄，其不賓也久矣。」《漢書．卷六八．霍光傳》：「百姓充實，四夷賓服。」</t>
  </si>
  <si>
    <t>(二)ㄅㄧㄣˋ bìn（00518）</t>
  </si>
  <si>
    <t>儐</t>
  </si>
  <si>
    <t>[動]
敬。《禮記．禮運》：「祖廟所以本仁也，山川所以儐鬼神也，五祀所以本事也。」
[名]
接待賓客的人。《聊齋志異．卷一．狐嫁女》：「公若為儐，執半主禮。」</t>
  </si>
  <si>
    <t>(一)ㄅㄧㄣˋ bìn（00519）</t>
  </si>
  <si>
    <t>濱</t>
  </si>
  <si>
    <t>[名]
水邊。如：「湖濱」。《書經．禹貢》：「厥土白墳，海濱廣斥。」漢．孔安國．傳：「濱，涯也。」《史記．卷八四．屈原賈生傳》：「屈原至於江濱，被髮行吟澤畔。」（此字於吳語中音ㄅㄤ，如：「洋涇濱」。）
[動]
臨近、接近。如：「濱海」。《國語．齊語》：「夫管夷吾射寡人中鉤，是以濱於死。」三國吳．韋昭．注：「濱，近也。」《史記．卷一二九．貨殖傳》：「而鄒、魯濱洙、泗，猶有周公遺風。」</t>
  </si>
  <si>
    <t>檳</t>
  </si>
  <si>
    <t>參見「檳榔」條。</t>
  </si>
  <si>
    <t>(二)（又音）ㄅㄧㄥ bīng（00532）</t>
  </si>
  <si>
    <t>蠙</t>
  </si>
  <si>
    <t>(一)ㄆㄧㄣˊ pín（00946）</t>
  </si>
  <si>
    <t>繽</t>
  </si>
  <si>
    <t>參見「繽紛」條。</t>
  </si>
  <si>
    <t>鑌</t>
  </si>
  <si>
    <t>參見「鑌鐵」條。</t>
  </si>
  <si>
    <t>豳</t>
  </si>
  <si>
    <t>[名]
1.國名。周的祖先公劉所立。通「邠」。
2.山名。位於大陸地區陝西省邠縣南。</t>
  </si>
  <si>
    <t>瀕</t>
  </si>
  <si>
    <t>[名]
水邊。《墨子．尚賢下》：「是故昔者舜耕於歷山，陶於河瀕。」《漢書．卷八九．龔遂傳》：「海瀕遐遠，不霑聖化。」
[動]
臨近、迫近。如：「瀕臨」、「瀕危」、「西瀕印度洋」。清．蔣士銓〈鳴機夜課圖記〉：「十二月，先府君即世，母哭瀕死者十餘次。」</t>
  </si>
  <si>
    <t>(二)（又音）ㄆㄧㄣˊ pín（00940）</t>
  </si>
  <si>
    <t>ㄅㄧㄣˋ</t>
  </si>
  <si>
    <t>bìn</t>
  </si>
  <si>
    <t>[動]
擯棄。通「擯」。《莊子．徐无鬼》：「先生居山林，食茅栗，厭蔥韭，以賓寡人。」《列子．楊朱》：「名固不可去，名固不可賓邪？」</t>
  </si>
  <si>
    <t>(一)ㄅㄧㄣ bīn（00509）</t>
  </si>
  <si>
    <t>[動]
1.導引、接待賓客。《玉篇．人部》：「儐，出接賓曰儐。」《周禮．春官．大宗伯》：「王命諸侯，則儐。」
2.擺設、陳列。《詩經．小雅．常棣》：「儐爾籩豆，飲酒之飫。」漢．毛亨．傳：「儐，陳。」
3.排斥。通「擯」。《戰國策．趙策二》：「六國從親以儐畔秦，令天下之將相，相與會於洹水之上。」《漢書．卷六四上．主父偃傳》：「（主父偃）游齊諸子間，諸儒生相與排儐，不容於齊。」</t>
  </si>
  <si>
    <t>(二)ㄅㄧㄣ bīn（00510）</t>
  </si>
  <si>
    <t>擯</t>
  </si>
  <si>
    <t>[動]
1.遺棄、排斥。如：「擯於門外」、「擯而不用」。《後漢書．卷八〇．文苑傳下．趙壹傳》：「而恃才倨傲，為鄉黨所擯，乃作解擯。」唐．章懷太子．注：「擯，斥也。」
2.導引。通「儐」。《周禮．秋官．小行人》：「凡四方之使者，大客則擯，小客則受其幣而聽其辭。」</t>
  </si>
  <si>
    <t>殯</t>
  </si>
  <si>
    <t xml:space="preserve">歹 </t>
  </si>
  <si>
    <t>[名]
稱已殮而停著未葬的靈柩。晉．陸機〈挽歌〉詩三首之一：「舍爵兩楹位，啟殯進靈輀。」《清史稿．卷九三．禮志十二》：「其在外聞喪者，訃至，易服，哭，奔喪。至家憑殯哭，翌日成服。」
[動]
1.停放靈柩待葬。《左傳．僖公三十二年》：「冬，晉文公卒，庚辰，將殯于曲沃。」《禮記．檀弓上》：「夏后氏殯於東階之上，則猶在阼也。」
2.掩埋。《文選．孔稚珪．北山移文》：「道帙長殯，法筵久埋。」</t>
  </si>
  <si>
    <t>臏</t>
  </si>
  <si>
    <t>[名]
膝蓋骨。《史記．卷五．秦本紀》：「王與孟說舉鼎，絕臏。」唐．張守節．正義：「臏，脛骨。」也稱為「臏骨」。
[動]
削去膝蓋骨。《荀子．正論》：「詈侮捽搏，捶笞臏腳。」唐．楊倞．注：「臏腳，謂刖其膝骨也。」</t>
  </si>
  <si>
    <t>鬢</t>
  </si>
  <si>
    <t>[名]
近耳旁兩頰上的頭髮。如：「兩鬢半白」。唐．白居易〈長恨歌〉：「雲鬢花顏金步搖，芙蓉帳暖度春宵。」宋．蘇軾〈江城子．十年生死兩茫茫〉詞：「縱使相逢應不識，塵滿面，鬢如霜。」</t>
  </si>
  <si>
    <t>髕</t>
  </si>
  <si>
    <t>[名]
1.髕骨，即膝蓋骨。《說文解字．骨部》：「髕，膝耑也。」《黃帝內經素問．卷一四．刺禁論》：「刺膝髕出液為跛。」
2.古代削去膝蓋骨的刑罰。《漢書．卷二三．刑法志》：「髕罰之屬五百，宮罰之屬三百，大辟之罰其屬二百。」</t>
  </si>
  <si>
    <t>冫</t>
  </si>
  <si>
    <t xml:space="preserve">冫 </t>
  </si>
  <si>
    <t>ㄅㄧㄥ</t>
  </si>
  <si>
    <t>bīng</t>
  </si>
  <si>
    <t>[名]
二一四部首之一。</t>
  </si>
  <si>
    <t>并</t>
  </si>
  <si>
    <t xml:space="preserve">干 </t>
  </si>
  <si>
    <t>[名]
1.參見「并州」條。
2.大陸地區山西省太原市的別稱。</t>
  </si>
  <si>
    <t>(一)ㄅㄧㄥˋ bìng（00546）</t>
  </si>
  <si>
    <t>屏</t>
  </si>
  <si>
    <t>參見「屏營」條。</t>
  </si>
  <si>
    <t>(一)ㄆㄧㄥˊ píng（00965）(二)ㄅㄧㄥˇ bǐng（00540）</t>
  </si>
  <si>
    <t>栟</t>
  </si>
  <si>
    <t>參見「栟櫚」、「栟柑」條。</t>
  </si>
  <si>
    <t>(二)（又音）ㄆㄧㄥˊ píng（00966）</t>
  </si>
  <si>
    <t>冰</t>
  </si>
  <si>
    <t>[名]
1.水在攝氏零度以下所凝結成的固體。晉．陸機〈苦寒行〉：「凝冰結重澗，積雪被長巒。」《紅樓夢》第六四回：「因寶玉素昔秉賦柔脆，雖暑月不敢用冰，只以新汲井水將茶連壺浸在盆內，不時更換，取其涼意而已。」
2.姓。如明代有冰如鑑。
[動]
1.使用冰塊或利用冰箱以防腐或減低溫度。如：「把這塊肉冰起來。」
2.比喻受人冷淡、不加注意，或不受重用。如：「他被冰了許多年，現在才受重用。」
[形]
1.寒冷。如：「冰涼」、「冰冷」。
2.清高的、純潔的。如：「冰心」。
3.白嫩如冰的。如：「冰肌」、「冰膚」。
4.冷酷、沒感情。如：「她的態度很冰，很難應付。」</t>
  </si>
  <si>
    <t>兵</t>
  </si>
  <si>
    <t>[名]
1.武器。如：「秣馬厲兵」、「短兵相接」。《說文解字．廾部》：「兵，械也。」《周禮．夏官．司兵》：「掌五兵五盾，各辨其物與其等，以待軍事。」漢．鄭玄．注：「鄭司農云：『五兵者：戈、殳、戟、酋矛、夷矛。』」《孟子．梁惠王上》：「填然鼓之，兵刃既接，棄甲曳兵而走。」
2.戰士、軍隊。如：「調兵遣將」、「按兵不動」、「精兵政策」。《戰國策．趙策三》：「秦攻趙於長平，大破之，引兵而歸。」《文選．江淹．雜體詩．盧中郎》：「信陵佩魏印，秦兵不敢出。」
3.軍事、戰爭，或有關於軍事、戰爭的事情。如：「紙上談兵」、「談笑用兵」。《左傳．隱公三年》：「公子州吁，嬖人之子也，有寵而好兵。」三國魏．鍾會〈檄蜀文〉：「益州先主以命世英才，興兵新野。」
4.專指軍隊中最基層的成員。如：「炮兵」、「騎兵」、「步兵」、「號兵」、「傳令兵」。</t>
  </si>
  <si>
    <t>掤</t>
  </si>
  <si>
    <t>[名]
箭筒蓋。《詩經．鄭風．大叔于田》：「抑釋掤忌，抑鬯弓忌。」唐．陸德明《經典釋文．卷五．毛詩音義上》：「掤，音冰。所以覆矢也。馬云：『櫝丸蓋也。』杜預云：『櫝丸，箭筩也。』」</t>
  </si>
  <si>
    <t>(一)ㄅㄧㄣ bīn（00512）</t>
  </si>
  <si>
    <t>丙</t>
  </si>
  <si>
    <t>ㄅㄧㄥˇ</t>
  </si>
  <si>
    <t>bǐng</t>
  </si>
  <si>
    <t>[名]
1.天干的第三位。
2.用來排列次序等第，在甲、乙之後，表示第三。如：「丙班」、「丙等」。
3.火的別稱。如火災稱為「付丙」。《淮南子．天文》：「其日丙丁。」漢．高誘．注：「丙丁，皆火也。」
4.姓。如漢代有丙吉。</t>
  </si>
  <si>
    <t>怲</t>
  </si>
  <si>
    <t>[形]
憂慮。《廣韻．上聲．梗韻》：「怲，憂也。」參見「怲怲」條。</t>
  </si>
  <si>
    <t>邴</t>
  </si>
  <si>
    <t>[名]
1.地名。春秋時鄭邑。故地在今大陸地區山東省費縣東南。《廣韻．上聲．梗韻》：「邴，邑名，在泰山。」
2.姓。如春秋時齊國有邴師，晉代有邴郁。
[形]
愉悅、喜悅。參見「邴邴」條。</t>
  </si>
  <si>
    <t>炳</t>
  </si>
  <si>
    <t>[形]
顯著、光明。如：「功業彪炳」。《易經．革卦．象曰》：「大人虎變，其文炳也。」《文選．班固．寶鼎詩》：「寶鼎見兮色紛縕，煥其炳兮被龍文。」
[副]
明白。《漢書．卷三六．楚元王傳》：「決斷狐疑，分別猶豫，使是非炳然可知。」南朝宋．劉義慶《世說新語．文學》：「三乘佛家滯義，支道林分判，使三乘炳然。」
[動]
持拿、執握。通「秉」。《文選．曹丕．與朝歌令吳質書》：「古人思炳燭夜遊，良有以也。」《文選．謝惠連．雪賦》：「燎薰鑪兮炳明燭，酌桂酒兮揚清曲。」</t>
  </si>
  <si>
    <t>柄</t>
  </si>
  <si>
    <t>[名]
1.本指斧頭的把手處，後來凡器物上可執之處都稱為「柄」。如：「刀柄」、「傘柄」。
2.量詞。計算有柄器物的單位。如：「一柄鋤頭」、「兩柄大刀」。
3.植物葉片下方、花下方或子房下方以及蘭花花粉塊、真菌子實體下方似帶狀或柱狀的組織。如：「花柄」、「葉柄」。
4.言語或行為可被人當作攻擊、要挾的事情，或作為取笑的話題。如：「把柄」、「話柄」、「笑柄」。
5.根本。《國語．齊語》：「治國家不失其柄，弗若也。」唐．白居易〈與元九書〉：「五帝三皇所以直道而行，垂拱而理者，揭此以為大柄，決此以為大竇也。」
6.權力。漢．班彪〈王命論〉：「故雖遭罹厄會，竊其權柄。」唐．韓愈〈謁衡嶽廟遂宿嶽寺題門樓〉詩：「火維地荒足妖怪，天假神柄專其雄。」
[動]
執掌、操持。如：「柄國」、「柄政」。</t>
  </si>
  <si>
    <t>(二)（又音）ㄅㄧㄥˋ bìng（00551）</t>
  </si>
  <si>
    <t>昺</t>
  </si>
  <si>
    <t>[形]
光明、明亮。《抱朴子．外編．行品》：「文彪昺而備體，獨澄見以入神者。」
[名]
人名用字。如宋代有邢昺。</t>
  </si>
  <si>
    <t>秉</t>
  </si>
  <si>
    <t>[名]
1.成把、成束的穀物。《說文解字．又部》：「秉，禾束也。」《詩經．小雅．甫田》：「彼有遺秉，此有滯穗。」南朝梁．范縝〈神滅論〉：「豈不以僧有多稌之期，友無遺秉之報？」
2.量詞。古代計算容量的單位。十六斛為「一秉」。《集韻．上聲．梗韻》：「秉，或曰粟十六斛為秉。」《論語．雍也》：「冉子與之粟五秉。」
3.權柄。通「柄」。《管子．小匡》：「治國不失秉，臣不如也。」《史記．卷七九．范睢蔡澤傳》：「吾聞先生相李兌，曰『百日之內持國秉』，有之乎？」
4.姓。如漢代有秉寬。
[動]
1.用手執握。《文選．古詩十九首．生年不滿百》：「晝短苦夜長，何不秉燭遊！」
2.保持、堅持。唐．皇甫冉〈太常魏博士遠出賊庭江外相逢因敘其事〉詩：「秉節身常苦，求仁志不違。」元．劉時中〈端正好．眾生靈遭魔障套．三煞〉：「這相公主見宏深，秉心仁恕。」
3.主持、掌握。《詩經．小雅．節南山》：「秉國之均，四方是維。」《新唐書．卷八四．李密傳》：「（王儒信）勸讓自為大冢宰，總秉眾務，收密權。」
4.根據、依循。如：「秉公處理」。</t>
  </si>
  <si>
    <t>[動]
1.排除。《論語．堯曰》：「子曰：『尊五美，屏四惡，斯可以從政矣。』」南朝梁．劉勰《文心雕龍．情采》：「正采耀乎朱藍，間色屏於紅紫。」
2.斥退。《戰國策．秦策三》：「秦王屏左右，宮中虛無人。」《史記．卷七七．魏公子傳》：「侯生乃屏人閒語曰：『嬴聞晉鄙之兵符，常在王臥內。』」
3.退避、隱藏。如：「屏居」、「屏跡」。宋．王安石〈答孫莘老書〉：「丘園自屏，煩公遠屈，衰疾不獲奉迓。」
4.停止、壓制。如：「屏住呼吸」、「屏息靜觀」。《論語．鄉黨》：「屏氣似不息者，出降一等逞顏色怡怡如也。」
5.放逐。《禮記．王制》：「屏之四方，唯其所之。」宋．蘇軾〈答王莊叔〉二首之一：「某罪廢遠屏，有玷知識。」</t>
  </si>
  <si>
    <t>(一)ㄆㄧㄥˊ píng（00965）(三)ㄅㄧㄥ bīng（00527）</t>
  </si>
  <si>
    <t>[動]
驅逐、排除。通「屏」。《禮記．大學》：「唯仁人放流之，迸諸四夷，不與同中國。」漢．鄭玄．注：「皇云：『迸，猶屏也。』」</t>
  </si>
  <si>
    <t>(一)ㄅㄥˋ bèng（00307）</t>
  </si>
  <si>
    <t>鉼</t>
  </si>
  <si>
    <t>[名]
金鈑，餅狀的金屬板。《爾雅．釋器》：「鉼金謂之鈑」。明．張自烈《正字通．金部》：「鉼，傾金銀形似餅者。」</t>
  </si>
  <si>
    <t>餅</t>
  </si>
  <si>
    <t>[名]
1.用米粉或麵粉做成扁圓形的食品。如：「月餅」、「燒餅」、「蔥油餅」。《漢書．卷八．宣帝紀》：「每買餅，所從買家輒大讎，亦以是自怪。」
2.扁圓形如餅的東西。如：「柿餅」、「鐵餅」。</t>
  </si>
  <si>
    <t>[名]_x000D_
天賦的資質。如：「天賦異稟」。宋．朱熹〈大學章句序〉：「然其氣質之稟或不能齊，是以不能皆有以知其性之所有而全之也。」_x000D_
[動]_x000D_
1.承受。《書經．說命》：「王言惟作命不言，臣下罔攸稟令。」漢．孔安國．傳：「稟，受也。」《左傳．昭公二十六年》：「先王所稟於天地，以為其民也。」_x000D_
2.下對上、卑對尊、或民眾對官署的陳述。如：「稟告」、「稟明原委」。《宋書．卷四二．列傳．劉穆之》：「賓客輻輳，求訴百端，內外諮稟，盈階滿室。」《儒林外史》第一回：「翟頭役稟過了本官，那知縣時仁，發出二十四兩銀子來。」</t>
  </si>
  <si>
    <t>(二)（(一)之又音）ㄅㄧㄣ bīn（00508）(三)ㄌㄧㄣˇ lǐn（03645）</t>
  </si>
  <si>
    <t>參見「鞞琫」條。</t>
  </si>
  <si>
    <t>(二)ㄅㄟ bēi（00157）</t>
  </si>
  <si>
    <t>ㄅㄧㄥˋ</t>
  </si>
  <si>
    <t>bìng</t>
  </si>
  <si>
    <t>[動]
1.合。通「併」。《文選．曹冏．六代論》：「自此之後，轉相攻伐，吳并於越，晉分為三魯，滅於楚，鄭兼於韓。」
2.兼有。《文選．陸機．謝平原內史表》：「非臣毀宗，夷族所能上報，喜懼參并，悲慚哽結。」《文選．謝靈運．擬魏太子鄴中集詩序》：「天下良辰美景，賞心樂事，四者難并。」
[副]
1.一齊。通「並」。《戰國策．燕策二》：「（蚌、鷸）兩者不肯相舍，漁者得而并禽之。」《文選．左思．吳都賦》：「蓋象琴筑并奏，笙竽俱唱。」
2.用於否定詞之前，以加強否定語氣，帶有反駁的意味。通「並」。如：「你以為他笨，我并不認為如此。」
[連]
而且。通「並」。如：「我支持這項決定，并加以宣導。」</t>
  </si>
  <si>
    <t>(二)ㄅㄧㄥ bīng（00526）</t>
  </si>
  <si>
    <t>併</t>
  </si>
  <si>
    <t>[動]
1.合在一起。如：「合併」、「歸併」。《史記．卷五．秦本紀》：「周室微，諸侯力政，爭相併。」《儒林外史》第三三回：「杜少卿在家又住了半年多，銀子用的差不多了，思量把自己住的房子併與本家，要到南京去住。」
2.排除。通「摒」。《管子．霸形》：「於是伐鐘磬之縣，併歌舞之樂，宮中虛無人。」《荀子．彊國》：「併己之私欲必以道。」唐．楊倞．注：「併讀曰屏，棄也。屏棄私欲遵達公義也。」
3.拚命。《三國演義》第二八回：「飛曰：『你背了兄長，降了曹操，封侯賜爵。今又來賺我！我今與你併個死活！』」《西遊記》第五八回：「兩人比併真假，打至南海，又打到天宮。」
[副]
一齊。通「並」。《漢書．卷四八．賈誼傳》：「天下殽亂，高皇帝與諸公併起，非有仄室之勢以豫席之也。」宋．陳與義〈中牟道中〉詩二首之二：「如何得與涼風約，不共塵沙一併來。」</t>
  </si>
  <si>
    <t>偋</t>
  </si>
  <si>
    <t>[名]
隱僻無人的地方。《廣韻．去聲．勁韻》：「偋，隱僻也，無人處。」
[動]
排除、丟棄。通「摒」。《荀子．榮辱》：「恭儉者，偋五兵也。雖有戈矛之刺，不如恭儉之利也。」</t>
  </si>
  <si>
    <t>摒</t>
  </si>
  <si>
    <t>[動]
排除。《集韻．去聲．勁韻》：「摒，除也。」如：「摒棄」、「摒斥」。</t>
  </si>
  <si>
    <t>[動]
1.併合。如：「並案處理」。《楚辭．東方朔．七諫．自悲》：「冰炭不可以相並兮，吾固知乎命之不長。」唐．柳宗元〈駮復讎議〉：「旌與誅，莫得而並焉。」
2.兩種或兩種以上的事物並排著。《莊子．馬蹄》：「夫至德之世，同與禽獸居，族與萬物並，惡乎知君子小人哉！」
[副]
1.一起、同時。如：「相提並論」、「異說並起」。《禮記．中庸》：「萬物並育而不相害，道並行而不相悖。」《孟子．滕文公上》：「賢者與民並耕而食，饔飧而治。」
2.用於否定詞前，以加強否定語氣。相當於「絕」、「決」。如：「事情並非如此。」、「你別誤會，我並無惡意。」元．秦𥳑夫《剪髮待賓》第一折：「母親嚴教，並不敢喫酒。」
3.皆、俱。《戰國策．秦策一》：「文士並飭，諸侯亂惑。」南朝宋．劉義慶《世說新語．德行》：「遂班軍而還，一郡並獲全。」
[連]
且、而且。如：「這個案子，保證能完成，並能做得盡善盡美。」
[介]
相當於「連」、「同」。如：「並此淺近的原理亦不能明。」《漢書．卷四七．代孝王劉參傳》：「徙代王於清河，是為剛王。並前在代凡立四十年薨。」</t>
  </si>
  <si>
    <t>(二)ㄅㄤˋ bàng（00285）</t>
  </si>
  <si>
    <t>(一)ㄅㄧㄥˇ bǐng（00537）</t>
  </si>
  <si>
    <t>病</t>
  </si>
  <si>
    <t>[名]
1.指生物體發生不健康的現象。亦指生理或心理方面產生不正常的狀態。如：「疾病」、「肝病」、「心病」、「相思病」、「病入膏肓」。
2.瑕疵、短處。如：「語病」、「通病」、「弊病」。《三國志．卷八．魏書．張魯傳》：「皆教以誠信不欺詐，有病自首其過。」
[動]
1.生病、患病。如：「她病了三天，變得相當憔悴。」《韓非子．外儲說左上》：「軍人有病疽者，吳起跪而自吮其膿。」清．蔣士銓〈鳴機夜課圖記〉：「銓每病，母即抱銓行一室中，未嘗寢。」
2.為其所苦。《左傳．襄公二十四年》：「范宣子為政，諸侯之幣重，鄭人病之。」
3.損害。如：「禍國病民」。《戰國策．東周策》：「君若欲害之，不若一為下水，以病其所種。」
4.憂慮。《論語．衛靈公》：「君子病無能焉，不病人之不己知也。」
5.恨、怨恨。《南史．卷一四．宋宗室及諸王傳下．文帝諸子傳》：「初，元皇后性忌，以潘氏見幸，恚恨致崩。故劭深病潘氏及濬。」
6.指責、不滿。《後漢書．卷七四上．袁紹傳》：「度德而讓，古人所貴，諸君獨何病焉？」
[形]
1.有病的。如：「病容」、「病人」、「病夫」。
2.枯乾的。唐．杜甫〈薄遊〉詩：「病葉多先墜，寒花只暫香。」唐．劉禹錫〈酬樂天揚州初逢席上見贈〉詩：「沉舟側畔千帆過，病樹前頭萬木春。」
3.疲憊。唐．柳宗元〈種樹郭橐駝傳〉：「又何以蕃吾生而安吾性耶？故病且怠。」</t>
  </si>
  <si>
    <t>寎</t>
  </si>
  <si>
    <t>[名]
1.一種臥而善驚，不能酣睡的精神病。《說文解字．㝱部》：「寎，臥驚病也。」《廣韻．去聲．映韻》：「寎，驚病。」
2.稱嗜睡的症狀為「寎」。明．張自烈《正字通．宀部》：「寎，多寐也。」
3.參見「寎月」條。</t>
  </si>
  <si>
    <t>逋</t>
  </si>
  <si>
    <t>ㄅㄨ</t>
  </si>
  <si>
    <t>bū</t>
  </si>
  <si>
    <t>[動]
1.逃走、逃亡。《說文解字．辵部》：「逋，亡也。」《左傳．僖公十五年》：「六年其逋，逃歸其國而棄其家。」明．徐弘祖《徐霞客遊記．卷一〇上．滇遊日記十三》：「訊其來何以故？曰：『悉檀長老命來候相公者。』余知僕逋。」
2.拖欠。如：「逋租」、「逋債」。元．周霆震〈埋怨樹〉詩：「朝旴械繫逮詞訟，夕敝鞭撲逋稅錢。」</t>
  </si>
  <si>
    <t>晡</t>
  </si>
  <si>
    <t>[名]
申時。約當午後三時至五時。一般泛指下午或黃昏。通「餔」。《廣韻．平聲．模韻》：「晡，申時。」漢．馬第伯〈封禪儀記〉：「早食上，晡後到天門。」《五代史平話．晉史．卷下》：「高行周跳馬出戰，自午至晡，彼此各有勝敗。」</t>
  </si>
  <si>
    <t>餔</t>
  </si>
  <si>
    <t>[動]_x000D_
1.傍晚進食，猶吃晚餐。《說文解字．食部》：「餔，申時食也。」_x000D_
2.吃。《莊子．盜跖》：「盜跖乃方休卒徒大山之陽，膾人肝而餔之。」宋．蘇軾〈超然臺記〉：「餔糟啜漓，皆可以醉。」_x000D_
[名]_x000D_
申時。指下午三點到五點。或泛指黃昏時分。通「晡」。《後漢書．卷四九．王充王符仲長統列傳．王符》：「非朝餔不得通，非意氣不得見。」唐．章懷太子．注：「《說文》曰：『餔，謂日加申時也。』」</t>
  </si>
  <si>
    <t>(二)ㄅㄨˋ bù（00573）</t>
  </si>
  <si>
    <t>轐</t>
  </si>
  <si>
    <t>ㄅㄨˊ</t>
  </si>
  <si>
    <t>bú</t>
  </si>
  <si>
    <t>[名]
車底板下扣住橫軸的裝置。用來支撐車軸，狀似伏兔。《說文解字．車部》：「轐，車伏兔也。」</t>
  </si>
  <si>
    <t>醭</t>
  </si>
  <si>
    <t xml:space="preserve">酉 </t>
  </si>
  <si>
    <t>[名]
1.醋、酒或醬油等放久後，表面上所生的白點黴菌。唐．白居易〈臥疾來早晚〉詩：「酒甕全生醭，歌筵半委塵。」也稱為「醭兒」。
2.泛指一般物體所長的白色黴菌。宋．楊萬里〈風雨〉詩：「梅天筆墨都生醭，棐几文書懶拂塵。」</t>
  </si>
  <si>
    <t>(二)（又音）ㄆㄨˊ pú（01002）</t>
  </si>
  <si>
    <t>卜</t>
  </si>
  <si>
    <t>ㄅㄨˇ</t>
  </si>
  <si>
    <t>bǔ</t>
  </si>
  <si>
    <t>[名]
1.古人灼燒龜甲或牛骨，辨視其裂紋以推斷事情吉凶的行為。如：「占卜」、「龜卜」。
2.泛指一般預測吉凶的方法。如：「卜卦」。清．王漁洋〈灞橋寄內〉詩二首之二：「閨中若問金錢卜，秋雨秋風過灞橋。」
3.掌管問卜之事的人。《楚辭．屈原．卜居》：「心煩慮亂，不知所從，往見太卜鄭詹尹。」《禮記．王制》：「凡執技以事上者，祝史射御醫卜及百工。」
4.古劇角色名稱。飾演老婦人，如今戲中的老旦。如：「卜兒」。《永樂大典戲文三種．宦門子弟錯立身．第五出》：「（末卜商量介）萬事不由人計較，一生都是命安排。」
5.姓。如春秋時衛國有卜商，清代有卜舜牟。
6.二一四部首之一。
[動]
1.灼龜占卦。《左傳．僖公四年》：「初，晉獻公欲以驪姬為夫人，卜之不吉。」
2.預料、事先推斷。如：「未卜先知」、「勝敗可卜」。《史記．卷六五．孫子吳起傳》：「試延以公主，起有留心則必受之，無留心則必辭矣。以此卜之。」
3.選擇。如：「卜居」、「卜鄰」。《左傳．昭公三年》：「非宅是卜，唯鄰是卜。」宋．陸游〈呂從事夫人方氏墓誌銘〉：「以潦水齧墓趾，改卜於舊墓少東二百步。」</t>
  </si>
  <si>
    <t>鳪</t>
  </si>
  <si>
    <t>[名]
一種腹部赤黃的野雉。《爾雅．釋鳥》：「鳪，雉。」晉．郭璞．注：「黃色，鳴自呼。」宋．邢昺．疏：「云鳪雉者，雉之黃色、鳴自呼者名鳪。」</t>
  </si>
  <si>
    <t>埔</t>
  </si>
  <si>
    <t>(一)ㄆㄨˇ pǔ（01007）</t>
  </si>
  <si>
    <t>捕</t>
  </si>
  <si>
    <t>[動]
1.捉拿、擒住。如：「逮捕」、「緝捕」、「拒捕」、「拘捕」。《文選．張衡．四愁詩．序》：「下吏收捕，盡服擒諸豪俠。」
2.獵取。《文選．揚雄．長楊賦》：「張羅罔罝罘，捕熊羆豪豬。」《文選．束晳．補亡詩六首之一》：「淩波赴汨，噬魴捕鯉。」
[名]
1.古代的基層治安人員。如：「巡捕」、「捕快」。
2.姓。如漢代有捕巡。</t>
  </si>
  <si>
    <t>(二)（又音）ㄅㄨˋ bù（00571）</t>
  </si>
  <si>
    <t>哺</t>
  </si>
  <si>
    <t>[動]
餵食。如：「哺乳」、「嗷嗷待哺」。三國魏．陳琳〈飲馬長城窟行〉：「生男慎莫舉，生女哺用脯。」《文選．盧諶．贈劉琨詩》：「相彼反哺，尚在翔禽。」
[名]
在口中咀嚼的食物。《莊子．馬蹄》：「含哺而熙，鼓腹而遊。」《史記．卷三三．魯周公世家》：「然我一沐三捉髮，一飯三吐哺，起以待士，猶恐失天下之賢人。」</t>
  </si>
  <si>
    <t>(二)（(一)之又音）ㄅㄨˋ bù（00572）(三)（(一)之又音）ㄆㄨˇ pǔ（01008）</t>
  </si>
  <si>
    <t>補</t>
  </si>
  <si>
    <t>[動]
1.將破裂、破損的地方修好。如：「補衣」、「補破網」、「亡羊補牢」、「煉石補天」。唐．杜甫〈佳人〉詩：「侍婢賣珠迴，牽蘿補茅屋。」
2.添足所缺少的。如：「補充」、「填補」、「添補」。《國語．越語上》：「去民之所惡，補民之不足。」
3.填入空缺的職位、名次等。如：「候補」、「遞補」。《漢書．卷八八．儒林傳．序》：「太常擇民年十八以上儀狀端正者，補博士弟子。」《老殘遊記》第三回：「玉佐臣要補曹州府了。」
4.助益、裨益。如：「於事無補」、「不無小補」。漢．王充《論衡．自紀》：「為世用者，百篇無害；不為用者，一章無補。」
5.補救、彌補。《詩經．大雅．烝民》：「袞職有闕，維仲山甫補之。」漢．毛亨．傳：「仲山甫補之，善補過也。」漢．鼂錯〈賢良文學對策〉：「救主之失，補主之過，揚主之美，明主之功。」
[名]
1.營養的食品。如：「冬令進補」、「十全大補湯」。
2.姓。如唐代有補珍珠。</t>
  </si>
  <si>
    <t>不</t>
  </si>
  <si>
    <t>ㄅㄨˋ</t>
  </si>
  <si>
    <t>bù</t>
  </si>
  <si>
    <t>[副]
1.否定詞。有不是、未、非等義。如：「不能」、「不法」、「不久」、「不容易」、「不好吃」、「拿不動」。
2.與「就」連用，表示有所選擇的意思。如：「晚上回到家的消遣，不是看書，就是聽音樂。」
[助]
1.用於句末，表示疑問的語氣。如：「醫生，請問他的身體狀況好不？」
2.用來加強語氣，往往與「好」字連用。如：「這齣戲好不精彩！」、「誤會澄清了，心情好不輕鬆！」
3.置於句中，用來調整音節，沒有特殊含義。《詩經．小雅．車攻》：「徒御不驚，大庖不盈。」漢．毛亨．傳：「不驚，驚也；不盈，盈也。」《楚辭．宋玉．招魂》：「被文服纖，麗而不奇些。」漢．王逸．注：「不奇，奇也。」
（「不」字在去聲字之前，變讀為陽平。）</t>
  </si>
  <si>
    <t>(二)ㄈㄡˇ fǒu（01597）(三)ㄈㄡ fōu（01591）(四)ㄈㄨ fū（01759）</t>
  </si>
  <si>
    <t>布</t>
  </si>
  <si>
    <t>[名]
1.棉麻或絲綢織品的總稱。如：「棉布」、「紗布」、「帆布」、「布帛」。《孟子．滕文公上》：「許子必織布然後衣乎？」
2.古代的錢幣。《詩經．衛風．氓》：「氓之蚩蚩，抱布貿絲。」漢．毛亨．傳：「布，幣也。」《史記．卷三十．平準書》：「虞夏之幣……或錢，或布，或刀，或龜貝。」
3.姓。如元代有布景范。
[動]
1.宣告。如：「發布」、「頒布」、「宣布」、「開誠布公」。《文選．陳琳．為袁紹檄豫州》：「布告天下，咸使知聖朝有拘逼之難如律令。」
2.陳述。《左傳．成公十三年》：「敢盡布之執事，俾執事實圖利之。」《南史．卷六一．陳伯之傳》：「聊布往懷，君其詳之。」
3.設置、陳設。如：「布局」、「布署」、「布下圈套」、「警方已布下天羅地網，任歹徒插翅也難飛。」《文選．沈約．奏彈王源》：「雖除舊布新，而斯風未殄。」
4.分散、散布。如：「遍布」、「烏雲密布」、「星羅棋布」。《史記．卷一一〇．匈奴傳》：「（單于）見畜布野而無人牧者，怪之，乃攻亭。」《三國演義》第八〇回：「伏睹魏王，自登位以來，德布四方，仁及萬物。」</t>
  </si>
  <si>
    <t>佈</t>
  </si>
  <si>
    <t>[動]
1.遍及、散滿。通「布」。《廣韻．去聲．暮韻》：「佈，布遍也。」《紅樓夢》第九回：「詬誶謠諑，佈滿書房內外。」
2.宣布、宣告。通「布」。如：「佈告欄」、「佈道大會」、「公佈法令」。
3.安排、設置。通「布」。如：「佈陣」、「佈防」、「佈地雷」。
4.敬奉。參見「佈菜」條。</t>
  </si>
  <si>
    <t>怖</t>
  </si>
  <si>
    <t>[動]
1.恐懼、害怕。《淮南子．詮言》：「故福至則喜，禍至則怖。」《文選．張衡．南都賦》：「憚夔龍兮，怖蛟螭。」
2.恐嚇。《後漢書．卷四一．第五倫傳》：「其巫祝有依託鬼神詐怖愚民，皆案論之。」《宋史．卷三六六．劉錡傳》：「夏人兒啼，輒怖之曰：『劉都護來！』」</t>
  </si>
  <si>
    <t>鈽</t>
  </si>
  <si>
    <t>[名]
（plutonium，Pu）化學元素。原子序94。一種具毒性的人造放射性金屬元素，為超鈾元素。僅微量存在於鈾礦中，可用中子撞擊鈾-238而得鈽-239，可作為核子反應爐的燃料，並製造核子武器。大陸地區譯為鈈。</t>
  </si>
  <si>
    <t>步</t>
  </si>
  <si>
    <t xml:space="preserve">止 </t>
  </si>
  <si>
    <t>[動]
1.行、走，用腳走路。如：「散步」、「平步青雲」、「安步當車」。《書經．武成》：「王朝步自周，于征伐商。」《莊子．田子方》：「夫子步亦步，夫子趨亦趨。」
2.追隨、跟從、仿效。如：「步其後塵」。《國語．周語下》：「目以處義，足以步目，今晉侯視遠而足高，目不在體，而足不步目，其心必異矣。」明．湯顯祖《南柯記》第四二齣：「步影尋蹤，皆如所夢。」
3.推算。《文選．陸機．演連珠五〇首之四七》：「是以儀天步晷，而脩短可量。」
[名]
1.腳步，走路時兩腳前後的距離。如：「小碎步」、「輕移蓮步」、「寸步不離」。《孟子．梁惠王上》：「或百步而後止，或五十步而後止。」《荀子．勸學》：「故不積蹞步，無以至千里。」
2.量詞：(1)古代計算長度的單位。歷代規定不一，或為六尺，或為六尺四寸。《新唐書．卷三七．地理志一》：「皇城長千九百一十五步，廣千二百步。」(2)計算邁步次數的單位。如：「向前走五步。」(3)計算事情步驟的單位。如：「做任何事第一步是要先打好基礎。」
3.階段。表示程度。如：「走一步，算一步。」《紅樓夢》第六七回：「我任憑怎麼沒見世面，也到不了這步田地，因送的東西少，就生氣傷心。」
4.所處的境況、境地。如：「少時不努力，才落到這一地步。」
5.氣運、時運。如：「國步惟艱」。《詩經．小雅．白華》：「天步艱難，之子不猶。」
6.碼頭，水邊泊船的地方。通「埠」。南朝梁．任昉《述異記》卷下：「吳江中又有魚步、龜步，湘中有靈妃步。」唐．韓愈〈正議大夫尚書左丞孔公墓誌銘〉：「蕃舶之至泊步，有下碇之稅。」
7.姓。如三國時吳國有步騭。</t>
  </si>
  <si>
    <t>(一)ㄅㄨˇ bǔ（00562）</t>
  </si>
  <si>
    <t>(一)ㄅㄨˇ bǔ（00563）(三)（(一)之又音）ㄆㄨˇ pǔ（01008）</t>
  </si>
  <si>
    <t>[動]
給予食物、餵食。《國語．越語上》：「國之孺子之遊者，無不餔也，無不歠也，必問其名。」《漢書．卷一．高帝紀》：「呂后與兩子居田中，有一老父過請飲，呂后因餔之。」唐．顏師古．注：「以食食人亦謂之餔。」
[名]
參見「餔子」條。</t>
  </si>
  <si>
    <t>(一)ㄅㄨ bū（00556）</t>
  </si>
  <si>
    <t>[名]
1.書寫用的本子，或登記事物的冊子。如：「帳簿」、「筆記簿」、「作文簿」、「點名簿」。《史記．卷一〇二．張釋之傳》：「上問上林尉諸禽獸簿，十餘問，尉左右視，盡不能對。」《漢書．卷八．宣帝紀》：「上計簿，具文而已。」
2.文狀、狀子。如：「對簿公堂」。《漢書．卷五四．李廣傳》：「大將軍長史急責廣之莫府上簿。廣曰：『諸校尉亡罪，乃我自失道，吾今自上簿。』」
3.笏板，古代上朝所持用的手板。《三國志．卷三八．蜀書．秦宓傳》：「宓以簿擊頰。」
4.職官名。主簿的簡稱。《明史．卷一五八．吳訥傳》：「父遵，任沅陵簿，坐事繫京師。」
[動]
清查、列冊登記。《魏書．卷二．太祖紀》：「自河已南，諸部悉平。簿其珍寶畜產，名馬三十餘萬匹，牛羊四百餘萬頭。」</t>
  </si>
  <si>
    <t>(二)ㄅㄛˊ bó（00098）</t>
  </si>
  <si>
    <t>部</t>
  </si>
  <si>
    <t>[名]
1.中央政府院以下的行政機關名稱。如：「教育部」、「外交部」。
2.專指機關中分別擔任不同職務的單位。如：「出版部」、「編輯部」。
3.指將整體條理劃分，進而歸納成的各個類別。漢．許慎〈說文解字序〉：「分別部居，不相雜廁也。」《晉書．卷九二．文苑傳．李充傳》：「于時典籍混亂，充刪除煩重，以類相從，分作四部，甚有條貫，秘閣以為永制。」
4.全體中的一些分子。如：「局部」、「部分」。
5.部首。如：「二一四部首系統的第一部是『一』部，最後一部是『龠』部。」
6.軍隊的領導機構或其所在地。如：「連部」、「營部」、「師部」、「總部」、「司令部」。
7.部隊、軍隊。《史記．卷一一〇．匈奴傳》：「漢將軍王恢部出代擊胡輜重，聞單于還，兵多，不敢出。」《後漢書．卷一．光武帝紀上》：「昆陽即破，一日之閒，諸部亦矣。」
8.量詞：(1)計算書籍、影視戲劇等的單位。如：「一部辭典」、「兩部單元劇」、「三部電影」。(2)計算車輛或機器等的單位。如：「一部摩托車」、「三部推土機」。
[動]
1.統率。如：「所部者眾」。《史記．卷七．項羽本紀》：「春，漢王部五諸侯兵，凡五十六萬人，東伐楚。」
2.布置、安排。參見「部署」條。</t>
  </si>
  <si>
    <t>蔀</t>
  </si>
  <si>
    <t>[名]
1.用來遮蔽光線的東西。《易經．豐卦．九四》：「豐其蔀，日中見斗。」三國魏．王弼．注：「蔀，覆曖鄣光明之物也。」
2.量詞。古代計算曆法的單位。參見「蔀法」條。
[動]
用席子覆蓋。《易經．豐卦．上六》：「豐其屋，蔀其家。」三國魏．王弼．注：「既豐其屋，又蔀其家，屋厚家覆，誾之甚也。」</t>
  </si>
  <si>
    <t>篰</t>
  </si>
  <si>
    <t>[名]
1.簡牘、簡冊之類。《玉篇．竹部》：「篰，竹牘也。」
2.用細竹片編成的竹器。如：「竹篰」。宋．朱熹《朱文公文集．卷一八．按唐仲友第三狀》：「去年有客人販到鮝鮭一舡，凡數百篰。」</t>
  </si>
  <si>
    <t>埠</t>
  </si>
  <si>
    <t>[名]
1.碼頭，停泊船隻的地方。明．張自烈《正字通．土部》：「埠，舶船埠頭。」如：「港埠」。
2.通商的口岸。如：「商埠」、「開埠」。
3.地方、城市。如：「本埠」、「外埠」、「埠際」。清．徐珂《清稗類鈔．棍騙類．販豬仔》：「所往之地，大抵為新加坡、庇能等埠。」</t>
  </si>
  <si>
    <t>(二)（又音）ㄈㄨˋ fù（01869）</t>
  </si>
  <si>
    <t>ㄆㄚ</t>
  </si>
  <si>
    <t>pā</t>
  </si>
  <si>
    <t>[擬]_x000D_
模擬拍擊或爆裂的聲音。《紅樓夢》第二一回：「正猶豫間，湘雲果在身後看見，一手摝著辮子，便伸手來『拍』的一下，從手中將胭脂打落。」也作「㕷」、「啪」。</t>
  </si>
  <si>
    <t>(一)（語音）ㄆㄞ pāi（00632）(二)（讀音）ㄆㄛˋ pò（00619）(四)ㄅㄛˊ bó（00064）</t>
  </si>
  <si>
    <t>㕷</t>
  </si>
  <si>
    <t>[擬]_x000D_
模擬拍擊或爆裂的聲音。如：「㕷的一聲，蚊子被打死了。」「燈泡㕷的一聲燒壞了。」也作「拍」、「啪」。</t>
  </si>
  <si>
    <t>(二)（又音）ㄆㄧㄚ piā（00872）</t>
  </si>
  <si>
    <t>啪</t>
  </si>
  <si>
    <t>[擬]_x000D_
模擬拍擊或爆裂的聲音。如：「他盛怒之下，『啪』的一聲，用力地拍了桌子。」「爆竹劈里啪啦響了起來。」也作「㕷」、「拍」。</t>
  </si>
  <si>
    <t>(二)（又音）ㄆㄧㄚ piā（00873）</t>
  </si>
  <si>
    <t>趴</t>
  </si>
  <si>
    <t>[動]
1.身體向下倒伏。如：「趴在地上。」
2.身體向前彎曲靠在物體上。如：「午休時間，大夥都趴在桌上小憩片刻。」</t>
  </si>
  <si>
    <t>葩</t>
  </si>
  <si>
    <t>[名]
花。《玉篇．艸部》：「葩，華也。」如：「豔葩」、「奇葩異卉」。漢．無名氏〈古詩〉三首之三：「新樹蘭蕙葩，雜用杜蘅草。」《紅樓夢》第五回：「一個是閬苑仙葩，一個是美玉無瑕。」
[形]
華麗。唐．韓愈〈進學解〉：「易奇而法，詩正而葩。」明．湯顯祖《牡丹亭．第七齣》：「論六經，《詩經》最葩，閨門內許多風雅。」</t>
  </si>
  <si>
    <t>ㄆㄚˊ</t>
  </si>
  <si>
    <t>pá</t>
  </si>
  <si>
    <t>[動]
1.掘、挖。如：「扒土」、「扒洞」、「他在地裡扒出土豆兒來。」
2.拾。《西遊記》第一四回：「悟空道：『你小時不曾在我面前扒柴？不曾在我臉上挑菜？』」《儒林外史》第三回：「若是家門口這些做田的，扒糞的，不過是平頭百姓。」
3.撓、抓、搔。如：「扒癢兒。」
4.趴伏。《儒林外史》第五回：「桌子底下一個貓就扒在他腿上，嚴監生一靴頭子踢開了。」
5.攀登、爬行。《三國演義》第九〇回：「洞內孟獲宗黨，皆棄宮闕，扒山越嶺而走。」《老殘遊記》第一九回：「有膽子的快來跟三爺碰碰，沒膽子的替我四個爪子一齊往外扒！」
6.用慢火將食物煨爛。如：「扒白菜」、「扒羊肉」。</t>
  </si>
  <si>
    <t>(一)ㄅㄚ bā（00002）</t>
  </si>
  <si>
    <t>[名]
1.參見「枇杷」條。
2.一種用來聚攏或散開穀物的農具。漢．王襃〈僮約〉：「屈竹作杷，削治鹿盧。」宋．蘇軾〈吳中田婦歎〉：「霜風來時雨如瀉，杷頭出菌鐮生衣。」</t>
  </si>
  <si>
    <t>(二)（(一)之又音）˙ㄅㄚ ba（00037）(三)（語音）˙ㄆㄚ pa（00595）</t>
  </si>
  <si>
    <t>爬</t>
  </si>
  <si>
    <t xml:space="preserve">爪 </t>
  </si>
  <si>
    <t>[動]
1.昆蟲、爬蟲類動物等往前移動，或人以手足伏地而行。如：「爬出門外」、「吃了蒼蠅爬過的東西，容易拉肚子。」
2.攀登。如：「爬樹」、「爬山」、「爬竿比賽」。元．紀君祥《趙氏孤兒》第二折：「他！他！他！只貪著目前受用，全不省爬的高來可也跌的來腫。」
3.搔、抓。唐．韓愈〈試大理評事王君墓誌銘〉：「攝監察御史觀察判官，櫛垢爬癢，民獲蘇醒。」唐．白居易．〈自詠老身示諸家屬〉詩：「支分閒事了，爬背向陽眠。」</t>
  </si>
  <si>
    <t>[名]
1.一種簡單的舊式農具，由一條橫木上附平排尖齒（鐵齒或木齒），加上長柄構成，可使地面土塊平整、地上物聚攏或散開。
2.一種機械化的農具，為耙地所用的作業機，種類頗多，主要有圓盤耙、彈簧耙、釘齒耙、迴轉耕耘器、刀耙等。
[動]
使用耙子平整土地，或將穀物聚攏、散開。如：「把這塊地耙鬆之後，就可種些蔬菜或水果。」「他將晒穀場上的穀子耙開了晒。」</t>
  </si>
  <si>
    <t>(二)（又音）ㄅㄚˋ bà（00029）</t>
  </si>
  <si>
    <t>參見「琵琶」條。</t>
  </si>
  <si>
    <t>(二)（(一)之又音）˙ㄅㄚ ba（00038）(三)（語音）˙ㄆㄚ pa（00596）</t>
  </si>
  <si>
    <t>筢</t>
  </si>
  <si>
    <t>[名]
農家取草的竹器，一般多為五齒。《字彙．竹部》：「筢，五齒筢，用以取草也。」也稱為「筢子」。</t>
  </si>
  <si>
    <t>ㄆㄚˋ</t>
  </si>
  <si>
    <t>pà</t>
  </si>
  <si>
    <t>[擬]_x000D_
模擬波濤相激盪的聲音。《文選．卷四．賦．張衡．南都賦》：「流湍投濈，砏汃輣軋。」唐．李善．注：「砏汃輣軋，波相激之聲也。」唐．韓愈、孟郊〈征蜀聯句〉：「獠江息澎汃，戍寒絕朝乘。」</t>
  </si>
  <si>
    <t>(二)ㄅㄧㄣ bīn（00502）</t>
  </si>
  <si>
    <t>帊</t>
  </si>
  <si>
    <t>[名]
1.用二幅或三幅帛拼成的大巾。《廣韻．去聲．禡韻》：「《通俗文》曰：『帛三幅曰帊。』」《南史．卷八．梁本紀》：「梁王詧使以布帊纏屍，斂以蒲席。」
2.幞，即頭巾。《廣韻．去聲．禡韻》：「帊，帊幞。」
3.帳子。元．周伯琦《六書正譌．卷四．禡韻》：「帊，一曰帳也。」
4.手巾。通「帕」。《三國志．卷二一．魏書．王粲傳》：「觀人圍棋，局壞，粲為覆之。棋者不信，以帊蓋局，使更以他局為之。」</t>
  </si>
  <si>
    <t>怕</t>
  </si>
  <si>
    <t>[動]
1.恐懼、害怕。如：「貪生怕死」、「有人很怕打雷。」唐．杜甫〈麗春〉詩：「如何貴此重，卻怕有人知。」
2.擔心、憂慮。如：「我怕你累著了。」「我怕他別有用心。」
[副]
1.可能、或許、大概。表估計。如：「這堆橘子怕有十來斤吧！」《儒林外史》第二六回：「他怕不也有二十五六歲，他對人自說二十一歲。」
2.豈、難道。表反問。《初刻拍案驚奇》卷三八：「我怕不要周全？只是關著財利上事，連夫妻兩個，心肝不託著五臟的。」《老殘遊記》第五回：「他再有個長短，這家業怕不是眾親族一分？」
3.如果、倘若。《永樂大典戲文三種．小孫屠．第三出》：「梅香，怕有賞春佳客來買酒，你與我安排了酒器，整頓則個。」《董西廂》卷五：「可憐我四海無家獨自個，怕得工夫肯略來看覷我麼？」
[名]
姓。如唐代有怕善，宋代有怕籛。</t>
  </si>
  <si>
    <t>帕</t>
  </si>
  <si>
    <t>[名]_x000D_
1.舊時的頭巾。《廣韻．入聲．轄韻》：「帕，帕額，首飾。」元．王逢〈歎病駝〉詩：「老奚首帕短褲靴，手持鞭策涕泗沱。」_x000D_
2.用來擦拭的方形小巾，常隨身攜帶。如：「手帕」、「香帕」。宋．釋文瑩《湘山野錄》卷中：「『汝哭何因無淚？』漸曰：『以帕拭乾。』」_x000D_
3.帷帳。元．陳旅〈題春宮倦繡圖〉詩：「綠樹垂垂護寶闌，床頭翠帕羃雙環。」_x000D_
[動]_x000D_
纏、裹繞。唐．韓愈〈元和聖德詩〉：「以錦纏股，以紅帕首。」</t>
  </si>
  <si>
    <t>袙</t>
  </si>
  <si>
    <t>[名]
頭巾。通「帕」。《續漢書志．第三〇．輿服志下》：「秦雄諸侯，乃加其武將首飾為絳袙，以表貴賤，其後稍稍作顏題。」</t>
  </si>
  <si>
    <t>˙ㄆㄚ</t>
  </si>
  <si>
    <t>pa</t>
  </si>
  <si>
    <t>(一)（讀音）ㄆㄚˊ pá（00585）(二)（(一)之又音）˙ㄅㄚ ba（00037）</t>
  </si>
  <si>
    <t>(一)（讀音）ㄆㄚˊ pá（00588）(二)（(一)之又音）˙ㄅㄚ ba（00038）</t>
  </si>
  <si>
    <t>ㄆㄛ</t>
  </si>
  <si>
    <t>pō</t>
  </si>
  <si>
    <t>(一)ㄅㄛ bō（00044）</t>
  </si>
  <si>
    <t>坡</t>
  </si>
  <si>
    <t>[名]
地勢傾斜的地方。如：「山坡」、「斜坡」、「陡坡」、「緩坡」、「向陽坡」。
[形]
傾斜。如：「坡度」。</t>
  </si>
  <si>
    <t>陂</t>
  </si>
  <si>
    <t>參見「陂陀」條。</t>
  </si>
  <si>
    <t>(一)ㄆㄧˊ pí（00830）</t>
  </si>
  <si>
    <t>頗</t>
  </si>
  <si>
    <t>[形]
不平正。如：「偏頗」。《楚辭．屈原．離騷》：「舉賢而授能兮，循繩墨而不頗。」</t>
  </si>
  <si>
    <t>(二)ㄆㄛˇ pǒ（00614）</t>
  </si>
  <si>
    <t>癹</t>
  </si>
  <si>
    <t>[動]
用腳將草踩平。《說文解字．癶部》：「癹，以足蹋夷艸。」
[形]
癹骫：形容枝條盤曲交錯。《漢書．卷五七．司馬相如傳上》：「崔錯癹骫，坑衡閜砢。」</t>
  </si>
  <si>
    <t>潑</t>
  </si>
  <si>
    <t>[動]
澆、灑。如：「潑水」、「潑灑」。宋．華岳〈驟雨〉詩：「牛尾烏雲潑濃墨，牛頭風雨翩車軸。」《紅樓夢》第四三回：「尤氏笑道：『你瞧他興的這樣兒！我勸你收著些兒好。太滿了，就要潑出來的。』」
[形]
1.蠻橫不講理。如：「撒潑」、「潑辣」。元．無名氏《冤家債主》第一折：「引著些個潑男潑女相扶策，你！你！你！則待每日上花臺。」《西遊記》第四回：「巨靈神厲聲高叫道：『那潑猴！你認得我麼？』」
2.靈活生動。如：「活潑」。
3.自貶之詞。卑賤、窮苦的意思。元．秦𥳑夫《東堂老》第三折：「我其實可便顧不得你窮親潑故。」元．楊訥《劉行首》第一折：「我這般窮身潑命誰瞅問？蓬頭垢面妝痴鈍。」</t>
  </si>
  <si>
    <t>婆</t>
  </si>
  <si>
    <t>ㄆㄛˊ</t>
  </si>
  <si>
    <t>pó</t>
  </si>
  <si>
    <t>[名]
1.老年的婦女。《廣韻．平聲．戈韻》：「婆，老母稱也。」如：「老婆婆」、「老太婆」。
2.以往對某些職業婦女的稱呼。如：「媒婆」、「產婆」、「接生婆」。
3.稱丈夫的母親。如：「婆婆」、「公婆」。《儒林外史》第三回：「婆媳兩個，都來坐著吃了飯。」
4.祖母輩。如：「外婆」、「姑婆」、「姨婆」。</t>
  </si>
  <si>
    <t>(一)ㄅㄛ bō（00048）</t>
  </si>
  <si>
    <t>番</t>
  </si>
  <si>
    <t>[名]
姓。如西漢有番系，東漢有番辰。</t>
  </si>
  <si>
    <t>(一)ㄈㄢ fān（01606）(二)ㄆㄢ pān（00705）</t>
  </si>
  <si>
    <t>鄱</t>
  </si>
  <si>
    <t>[名]
鄱陽：(1)湖泊名。參見「鄱陽湖」條。(2)縣名。位於大陸地區江西省鄱陽湖東岸。</t>
  </si>
  <si>
    <t>皤</t>
  </si>
  <si>
    <t>[形]
1.白。元．呂止庵〈後庭花．儒冠兩鬢皤〉曲：「儒冠兩鬢皤，青衫老淚多。」
2.白髮的。如：「皤叟」、「皤翁」。唐．白居易〈白髮〉詩：「白髮生來三十年，而今鬚鬢盡皤然。」
3.大的。唐．杜牧〈雨中作〉詩：「濁醪氣色嚴，皤腹瓶甖古。」
[動]
凸出。《左傳．宣公二年》：「睅其目，皤其腹，棄甲而復。」</t>
  </si>
  <si>
    <t>搫</t>
  </si>
  <si>
    <t>[動]
1.掃除、清除。清．王念孫《廣雅疏證．卷三下．釋詁》：「搫，除也。」《文選．潘岳．射雉賦》：「爾乃搫場拄翳，停僮蔥翠。」李善注引徐爰曰：「射者聞有雉聲，便除地為場。」
2.披散。《廣韻．平聲．戈韻》：「搫，披散也。」</t>
  </si>
  <si>
    <t>(一)ㄆㄢˊ pán（00715）</t>
  </si>
  <si>
    <t>繁</t>
  </si>
  <si>
    <t>[名]
姓。如東漢有繁欽。</t>
  </si>
  <si>
    <t>(一)ㄈㄢˊ fán（01634）</t>
  </si>
  <si>
    <t>叵</t>
  </si>
  <si>
    <t>ㄆㄛˇ</t>
  </si>
  <si>
    <t>pǒ</t>
  </si>
  <si>
    <t>[副]
1.「不可」二字的合音。如：「居心叵測」。《後漢書．卷七五．呂布傳》：「（呂）布目（劉）備曰：『大耳兒，最叵信！』」
2.遂、故、於是。表原因。《後漢書．卷一三．隗囂傳》：「帝知其終不為用，叵欲討之。」</t>
  </si>
  <si>
    <t>尀</t>
  </si>
  <si>
    <t xml:space="preserve">寸 </t>
  </si>
  <si>
    <t>參見「尀耐」條。</t>
  </si>
  <si>
    <t>笸</t>
  </si>
  <si>
    <t>參見「笸籃」、「笸籮」等條。</t>
  </si>
  <si>
    <t>鉕</t>
  </si>
  <si>
    <t>[名]
（promethium，Pm）化學元素。原子序61。金屬放射性元素之一。不存在自然界中，是利用鈾分裂或中子撞擊釹-146而得。已知有十四種同位素，以鉕-147最有用處，可作為太空探測器的熱源，和人造衛星的輔助動力。</t>
  </si>
  <si>
    <t>[副]
1.略微。《史記．卷一三．三代世表．太史公曰》：「自殷以前諸侯不可得而譜，周以來乃頗可著。」南朝梁．劉勰《文心雕龍．詮賦》：「秦世不文，頗有雜賦。」
2.甚、很、非常。唐．王維〈終南別業〉詩：「中歲頗好道，晚家南山陲。」清．袁枚〈答靖海侯〉：「自知獲戾，頗覺悚惶。」
3.可。表疑問的語氣。《晉書．卷七九．謝安傳》：「既出，（桓）溫問左右：『頗嘗見我有如此客不？』」《洛陽伽藍記．卷三．菩提寺》：「上古以來，頗有此事否？」
4.不可。通「叵」。《敦煌變文集新書．卷三．降魔變文》：「過去百千諸佛，皆曾止住其中，說法度人，量塵沙而頗算。」
[名]
姓。如明代有頗廷相。</t>
  </si>
  <si>
    <t>(一)ㄆㄛ pō（00600）</t>
  </si>
  <si>
    <t>駊</t>
  </si>
  <si>
    <t>參見「駊騀」條。</t>
  </si>
  <si>
    <t>朴</t>
  </si>
  <si>
    <t>ㄆㄛˋ</t>
  </si>
  <si>
    <t>pò</t>
  </si>
  <si>
    <t>[名]
1.樹木的外皮。《說文解字．木部》：「朴，木皮。」《太平御覽．卷三八二．人事部．醜丈夫》：「崔駰〈博徒論〉：『膚如桑朴，足如熊蹄。』」
2.植物名。榆科朴樹屬，落葉喬木。高可達二十公尺，葉卵形，粗鋸齒緣，基略圓形至闊楔形，歪斜。花雜性，雄花序聚繖狀著枝條下部，雌花或兩性花單生或簇生枝條上方葉腋。果球形，熟時澄黃色。樹皮和花可供藥用，木材可製器物。也稱為「沙朴」。</t>
  </si>
  <si>
    <t>(二)ㄆㄨˊ pú（00987）(三)ㄆㄧㄠˊ piáo（00890A）</t>
  </si>
  <si>
    <t>釙</t>
  </si>
  <si>
    <t>[名]
（polonium，Po）化學元素。原子序84。為放射性金屬元素之一，半衰期約一百三十八天。西元一八九八年，由居禮夫人發現。鈾礦及錫石中有微量的釙存在。</t>
  </si>
  <si>
    <t>(一)ㄅㄛˊ bó（00063）</t>
  </si>
  <si>
    <t>(一)（語音）ㄆㄞ pāi（00632）(三)ㄆㄚ pā（00579）(四)ㄅㄛˊ bó（00064）</t>
  </si>
  <si>
    <t>珀</t>
  </si>
  <si>
    <t>參見「琥珀」條。</t>
  </si>
  <si>
    <t>迫</t>
  </si>
  <si>
    <t>[動]
1.接近。《說文解字．辵部》：「迫，近也。」《楚辭．屈原．離騷》：「吾令羲和弭節令，望崦嵫而勿迫。」《文選．司馬遷．報任少卿書》：「涉旬月，迫冬季。」
2.強逼。如：「壓迫」、「被迫投降」。《左傳．哀公十五年》：「迫孔悝於廁，強盟之。」《莊子．刻意》：「感而後應，迫而後動。」
3.催促。晉．陶淵明〈雜詩〉：「日月不肯遲，四時相催迫。」唐．杜甫〈戲題畫山水圖歌〉：「能事不受相促迫，王宰始肯留真跡。」
4.摧殘、殘害。《呂氏春秋．仲春紀．貴生》：「辱莫大於不義，故不義迫生也。」
[形]
1.狹窄。《後漢書．卷二三．竇融傳》：「當今西州地埶局迫，人兵離散，易以輔人，難以自建。」
2.困窘。宋．蘇軾〈杭州上執政書〉二首之一：「計窮理迫，須至控告。」
[副]
危急、緊急。如：「迫不及待」、「迫切需要」。《莊子．山木》：「夫以利合者，迫窮禍患相棄。」</t>
  </si>
  <si>
    <t>胉</t>
  </si>
  <si>
    <t>[名]
脊椎骨兩旁的肋骨。《儀禮．士喪禮》：「其實特豚，四鬄、去蹄、兩胉、脊、肺。」《文選．張衡．東京賦》：「毛炰豚胉，亦有和羹。」</t>
  </si>
  <si>
    <t>粕</t>
  </si>
  <si>
    <t>參見「糟粕」條。</t>
  </si>
  <si>
    <t>魄</t>
  </si>
  <si>
    <t>[名]
1.人的精氣。《說文解字．鬼部》：「魄，陰神也。」如：「精魄」、「勾魂攝魄」、「驚心動魄」、「失魂落魄」、「魂飛魄散」。《左傳．宣公十五年》：「不及十年，原叔必有大咎，天奪之魄矣。」元．關漢卿《一枝花．攀出牆朵朵花套．尾》：「三魂歸地府，七魄喪冥幽。」
2.農曆月初時始見的月光。通「霸」。漢．王充《論衡．譋時》：「月三日魄，八日弦，十五日望。」
3.月亮。唐．盧仝〈月蝕〉詩：「初露半個璧，漸吐滿輪魄。」
4.酒渣、渣滓。通「粕」。《莊子．天道》：「然則君之所讀者，古人之糟魄已夫！」</t>
  </si>
  <si>
    <t>(二)ㄊㄨㄛˋ tuò（02834）</t>
  </si>
  <si>
    <t>破</t>
  </si>
  <si>
    <t>[動]
1.毀壞、使碎裂。如：「家破人亡」、「破釜沉舟」。《荀子．勸學》：「風至笤折，卵破子死。」唐．杜甫〈春望〉詩：「國破山河在，城春草木深。」
2.突破、破除。如：「破戒」、「破紀錄」。《紅樓夢》第一回：「雖不敢說強似前代所有書中之人，但事跡原委亦可以消愁破悶。」
3.擊敗、攻下。如：「破城」、「大破敵軍」。《史記．卷七．項羽本紀》：「又聞沛公已破咸陽，項羽大怒，使當陽君等擊關。」
4.剖開、劈開。如：「勢如破竹」、「乘風破浪」、「將西瓜破成兩半。」
5.剖析、分析。參見「破題」條。
6.揭穿，使真相大白。《喻世明言．卷一五．史弘肇龍虎君臣會》：「一似你先時破我的肉是狗肉，幾乎教我不撰一文。」《老殘遊記》第五回：「齊心齊意要破這一案。」
7.花費、消耗。如：「破財」、「破費」。唐．溫庭筠〈蘇小小歌〉：「買蓮莫破券，買酒莫解金。」
8.盡、窮盡。唐．杜甫〈奉贈韋左丞丈二十二韻〉：「讀書破萬卷，下筆如有神。」
9.使完整的東西受到損壞而不完整。如：「踏破鐵鞋無覓處，得來全不費工夫。」
10.穿、透、揭穿。如：「識破」、「點破」、「說破」、「一語道破」、「看破紅塵」。
[形]
1.形容受到損壞而殘破的東西。如：「破船」、「破鞋」、「破布」。
2.差勁、低劣。如：「他的數學非常破。」、「你這套破理論少說為妙，免得被人嘲笑。」
[名]
唐宋燕樂大曲的後半部。其中以舞蹈為主，樂器伴奏，或有歌唱。因其節拍急促繁碎，故稱為「破」。唐．白居易〈臥聽法曲霓裳〉詩：「朦朧閒夢初成後，宛轉柔聲入破時。」《警世通言．卷三〇．金明池吳清逢愛愛》：「唱一個嬌滴滴的曲兒，舞一個妖媚媚的破兒。」也稱為「曲破」。</t>
  </si>
  <si>
    <t>哱</t>
  </si>
  <si>
    <t>參見「哱羅」、「哱息」等條。</t>
  </si>
  <si>
    <t>蒪</t>
  </si>
  <si>
    <t>[名]
植物名。指蒪苴。薑科薑屬，「蘘荷」之古稱。參見「蘘荷」條。</t>
  </si>
  <si>
    <t>[動]
大呼自己冤枉。《說文解字．言部》：「謈，大嘑自冤也。」
[名]
呼喊冤屈的聲音。《漢書．卷六五．東方朔傳》：「上令倡監榜舍人。舍人不勝痛，呼謈。」唐．顏師古．注：「謂痛切而叫呼也。……謈，自冤痛之聲也。舍人榜痛，乃呼云謈。」</t>
  </si>
  <si>
    <t>(二)（(一)之又音）ㄅㄠˋ bào（00232）(三)（(一)之又音）ㄅㄛˊ bó（00109）</t>
  </si>
  <si>
    <t>(二)之又音。</t>
  </si>
  <si>
    <t>(一)ㄌㄨㄛˋ luò（03826）(二)ㄅㄛˊ bó（00114）</t>
  </si>
  <si>
    <t>醱</t>
  </si>
  <si>
    <t>[動]
1.將酒再次重釀。唐．李白〈襄陽歌〉：「遙看漢水鴨頭綠，恰似葡萄初醱醅。」
2.參見「醱酵」條。</t>
  </si>
  <si>
    <t>[名]_x000D_
農曆每月月初始見的月光。大徐本《說文解字．月部》：「霸，月始生霸然也。承大月二日，承小月三日。」《漢書．卷二一．律曆志下》：「惟四月哉生霸。」</t>
  </si>
  <si>
    <t>(一)ㄅㄚˋ bà（00033）</t>
  </si>
  <si>
    <t>ㄆㄞ</t>
  </si>
  <si>
    <t>pāi</t>
  </si>
  <si>
    <t>[動]
1.用手掌輕打。如：「拍手」、「拍掉灰塵」。《韓非子．功名》：「一手獨拍，雖疾無聲。」《樂府詩集．卷七三．雜曲歌辭十三．古辭．焦仲卿妻》：「舉手拍馬鞍，嗟嘆使心傷。」
2.照相。如：「他們商量如何拍一張好的相片，來參加攝影比賽。」
3.發、發送。如：「拍電報」。
4.巴結、奉承。如：「拍馬屁」。
[名]
1.擊打東西的器具。如：「球拍」、「蒼蠅拍」。
2.樂曲的節奏。如：「節拍」。
3.量詞。計算音樂節奏的單位。如：「半拍」、「這首兒歌每小節有四拍。」《舊唐書．卷一九〇．文苑傳下．王維傳》：「人有得奏樂圖，不知其名，維視之曰：『霓裳第三疊第一拍也。』」</t>
  </si>
  <si>
    <t>(二)（讀音）ㄆㄛˋ pò（00619）(三)ㄆㄚ pā（00579）(四)ㄅㄛˊ bó（00064）</t>
  </si>
  <si>
    <t>俳</t>
  </si>
  <si>
    <t>ㄆㄞˊ</t>
  </si>
  <si>
    <t>pái</t>
  </si>
  <si>
    <t>[名]
1.雜戲。《說文解字．人部》：「俳，戲也。」清．段玉裁．注：「以其戲言之謂之俳，以其音樂言之謂之倡，亦謂之優，其實一物也。」《史記．卷八十七．李斯傳》：「是時二世在甘泉，方作觳抵優俳之觀。」
2.表演雜耍或滑稽戲的人。參見「俳倡」、「俳優」等條。
3.一種注重音律、講求字句對仗工整的文體。參見「俳體」條。
[形]
滑稽、幽默。如：「俳謔」。《北史．卷八十三．文苑傳．李文博傳》：「通侻不持威儀，好為俳諧雜說。人多愛狎之。」
[動]
參見「俳佪」條。</t>
  </si>
  <si>
    <t>排</t>
  </si>
  <si>
    <t>[動]
1.推、擠開。《說文解字．手部》：「排，擠也。」如：「排山倒海」、「獨排眾議」。《文選．孔稚圭．北山移文》：「將欲排巢父，拉許由。」《水滸傳》第六二回：「（盧俊義）被浪裡白跳張順排翻小船，倒撞下水去。」
2.消除、除去。如：「排憂解難」。南唐．李煜〈浪淘沙．往事只堪哀詞〉：「往事只堪哀，對景難排。」
3.擯斥、排斥。如：「排擠」、「排擯」。宋．陸游〈夜讀范至能攬轡錄言中原父老見使者多揮涕感其事作絕句〉：「公卿有黨排宗澤，帷幄無人用岳飛。」
4.疏導、疏通。《孟子．滕文公上》：「決汝、漢，排淮、泗，而注之江。」
5.一個接著一個，依照順序擺列。如：「排隊」、「排字」、「把桌椅排整齊。」唐．白居易〈春題湖上〉詩：「松排山面千重翠，月點波心一顆珠。」
6.安置、設置。如：「安排」。《水滸傳》第四一回：「當日穆弘叫莊客宰了一頭黃牛，殺了十數個豬羊雞鵝魚鴨，珍肴異饌，排下筵席，管待眾頭領。」
7.練習演戲。如：「排演」、「排練」、「排戲」、「彩排」。
8.汽、機車換檔。如：「手排」、「自排」。
[名]
1.排成的橫列。如：「前排」、「他個子高，總是坐在後排。」
2.量詞。計算成列人或物的單位。如：「兩排行道樹」、「九排座位」、「站成一排」。
3.陸軍的編制單位。四班為一排，四排為一連。
4.用竹子或木頭編排而成的水上交通工具。如：「竹排」、「木排」。
5.排骨肉的簡稱。或指切成扁平狀的肉片。如：「牛排」、「豬排」、「雞排」。
6.排球隊的簡稱。如：「女排」、「男排」。
[形]
橫列在一起的。如：「排簫」、「排鼓」。</t>
  </si>
  <si>
    <t>(二)ㄆㄞˇ pǎi（00639）</t>
  </si>
  <si>
    <t>徘</t>
  </si>
  <si>
    <t>參見「徘徊」條。</t>
  </si>
  <si>
    <t>牌</t>
  </si>
  <si>
    <t>[名]
1.揭示板或標誌。如：「門牌」、「車牌」、「招牌」。
2.商標。如：「櫻花牌瓦斯爐」、「大同牌電扇」。
3.古代的符信或憑證。如：「功牌」、「腰牌」。《宋史．卷三六五．岳飛傳》：「而後言飛孤軍不可久留，乞令班師。一日奉十二金字牌，飛憤惋泣下。」
4.神位、牌位。指置於廳堂或神龕等處，上面刻寫著神仙或祖先的名諱，專供人膜拜或祭祀的木板。如：「靈牌」、「神主牌」。
5.一種古代的兵器，即盾牌。如：「籐牌」、「擋箭牌」。《資治通鑑．卷二二二．唐紀三十八．肅宗寶應元年》：「（馬璘）遂單騎奮擊，奪賊兩牌，突入萬眾中。」
6.賭具或娛樂用品。如：「打牌」、「橋牌」、「紙牌」、「撲克牌」。
7.詞或曲的曲調名稱。如：「詞牌」、「曲牌」。</t>
  </si>
  <si>
    <t>[名]
大筏，以竹木編成，可浮於水上。《後漢書．卷一七．岑彭傳》：「九年，公孫述遣其將任滿、田戎、程汎，將數萬人乘枋箄下江關，擊破馮駿及田鴻、李玄等。」</t>
  </si>
  <si>
    <t>(二)ㄅㄟ bēi（00156）</t>
  </si>
  <si>
    <t>簰</t>
  </si>
  <si>
    <t>[名]
竹筏。《南史．卷八〇．賊臣傳．陳寶應傳》：「但命為簰，俄而水盛，乘流放之，突其水柵。」</t>
  </si>
  <si>
    <t>ㄆㄞˇ</t>
  </si>
  <si>
    <t>pǎi</t>
  </si>
  <si>
    <t>[名]
舊時搬家用的車子。參見「排子車」條。
[動]
方言。將鞋子撐大，便於合乎某種形狀。如：「將那兩雙鞋排一排！」</t>
  </si>
  <si>
    <t>(一)ㄆㄞˊ pái（00634）</t>
  </si>
  <si>
    <t>𠂢</t>
  </si>
  <si>
    <t xml:space="preserve">丿 </t>
  </si>
  <si>
    <t>ㄆㄞˋ</t>
  </si>
  <si>
    <t>pài</t>
  </si>
  <si>
    <t>[名]
水的分流。《說文解字．𠂢部》：「𠂢，水之邪流別也。」</t>
  </si>
  <si>
    <t>派</t>
  </si>
  <si>
    <t>[名]
1.江河支流。《文選．王儉．褚淵碑文》：「出江派而風翔，入京師而雷動。」唐．王維〈漢江臨汎〉詩：「楚塞三湘接，荊門九派通。」
2.人、事或學術的分支系統。如：「學派」、「黨派」、「詩派」。《文選．劉孝標．廣絕交論》：「然則利交同源，派流則異。」
3.作風或氣度。如：「派頭」、「氣派」、「正派」。
4.量詞。計算派別的單位。如：「這兩派畫家的畫風迥然不同。」
5.一種西式烘焙食品。為英語pie的音譯。如：「蘋果派」、「檸檬派」。
[動]
1.分配。如：「攤派」、「輪派」。《紅樓夢》第四三回：「老祖宗只把他姐兒兩個交給兩位太太，一位占一個，派多派少，每位替出一分就是了。」
2.差遣、任用。如：「委派」、「選派」、「派兵支援」、「派人送去」。《紅樓夢》第七回：「先派兩個小子，送了這秦相公家去。」
3.安排。如：「派上用場」。《紅樓夢》第九六回：「這屋子是要你派的。一概親友不請，也不排筵席；待寶玉好了，過了功服然後再擺席請人。」
4.指責。如：「派不是」。《紅樓夢》第五二回：「有的不是，都派在我們身上，又說我們不教爺禮了。」</t>
  </si>
  <si>
    <t>湃</t>
  </si>
  <si>
    <t>參見「湃湃」、「澎湃」等條。</t>
  </si>
  <si>
    <t>坯</t>
  </si>
  <si>
    <t>ㄆㄟ</t>
  </si>
  <si>
    <t>pēi</t>
  </si>
  <si>
    <t>[名]
1.一堆山丘。《爾雅．釋山》：「山：三襲，陟；再成，英；一成，坯。」
2.未經燒煉的磚瓦陶器。本作「坏」。如：「陶坯」、「瓦坯」、「壞坯」。</t>
  </si>
  <si>
    <t>(二)（又音）ㄆㄧ pī（00802）</t>
  </si>
  <si>
    <t>呸</t>
  </si>
  <si>
    <t>[歎]
表示憤怒或鄙斥的感嘆詞。如：「呸！一派胡言。」《水滸傳》第三回：「魯達聽了，道：『呸！俺只道那鄭大官人，卻原來是殺豬的鄭屠！』」</t>
  </si>
  <si>
    <t>胚</t>
  </si>
  <si>
    <t>[名]
1.婦女懷孕一月稱為「胚」。《說文解字．肉部》：「胚，婦孕一月也。」
2.初期發育的生物體，如鳥卵受精，卵黃上所生的小圓點稱為「胚」；植物的核果中的仁也稱為「胚」。
3.粗具輪廓而尚未完成的器物。通「坏」。如：「瓷胚」、「陶胚」、「粗胚」。</t>
  </si>
  <si>
    <t>衃</t>
  </si>
  <si>
    <t xml:space="preserve">血 </t>
  </si>
  <si>
    <t>[名]
赤黑色的瘀血。《說文解字．血部》：「衃，凝血也。」《黃帝內經素問．卷三．五臟生成篇》：「黑如炱者死，赤如衃者死。」自注：「衃血，謂敗惡凝聚之血，色赤黑也。」</t>
  </si>
  <si>
    <t>(二)ㄈㄡˊ fóu（01595）</t>
  </si>
  <si>
    <t>披</t>
  </si>
  <si>
    <t>(一)ㄆㄧ pī（00811）</t>
  </si>
  <si>
    <t>醅</t>
  </si>
  <si>
    <t>[名]
沒過濾的酒。《廣韻．平聲．灰韻》：「醅，酒未漉也。」唐．杜甫〈客至〉詩：「盤餐市遠無兼味，樽酒家貧只舊醅。」唐．白居易〈問劉十九〉詩：「綠螘新醅酒，紅泥小火爐。」</t>
  </si>
  <si>
    <t>坏</t>
  </si>
  <si>
    <t>ㄆㄟˊ</t>
  </si>
  <si>
    <t>péi</t>
  </si>
  <si>
    <t>[名]
1.未經燒成的磚瓦陶器。《說文解字．土部》：「坏，一曰瓦未燒。」如：「土坏」、「陶坏」。
2.低矮的山丘、土堆。宋．范成大〈長安閘〉詩：「千車擁孤隧，萬馬盤一坏。」
3.牆壁。《漢書．卷八七．揚雄傳下》：「故士或自盛以橐，或鑿坏以遁。」顏師古注引應劭曰：「坏，壁也。」唐．杜甫〈秋日荊南述懷三十韻〉：「賢非夢傅野，隱類鑿顏坏。」
[動]
用土封塞空隙。《禮記．月令》：「蟄蟲坏戶，殺氣浸盛。」</t>
  </si>
  <si>
    <t>(二)ㄏㄨㄞˋ huài（▲05081）</t>
  </si>
  <si>
    <t>阫</t>
  </si>
  <si>
    <t>[名]
牆。《集韻．平聲．灰韻》：「阫，牆也。」《莊子．庚桑楚》：「正晝為盜，日中穴阫。」</t>
  </si>
  <si>
    <t>邳</t>
  </si>
  <si>
    <t>[名]_x000D_
1.古地名。商湯左相仲虺的封地。故址位於大陸地區山東省滕縣以南。_x000D_
2.參見「邳縣」條。_x000D_
3.姓。如漢有信都邳彤。_x000D_
[形]_x000D_
大。通「丕」。《文選．卷一一．賦．何晏．景福殿賦》：「櫺檻邳張，鉤錯矩成。」唐．李善．注：「邳或為丕。孔安國《尚書傳》曰：『丕，大也。』」</t>
  </si>
  <si>
    <t>培</t>
  </si>
  <si>
    <t>[動]
1.滋養，在植物根部加上泥土和肥料。如：「栽培」、「培育」。《禮記．中庸》：「故栽者培之，傾者覆之。」《呂氏春秋．士容論．辯士》：「熟有耰也，必務其培。」
2.增補修治。《禮記．喪服四制》：「喪不過三年，苴衰不補，墳墓不培。」
[名]
1.屋後的牆。《淮南子．齊俗》：「顏闔、魯君欲相之而不肯，使人以幣先焉，鑿培而遁之。」漢．高誘．注：「培，屋後牆也。」
2.為保護植物或牆堤等，在基部堆上泥土，以防倒塌的措施。唐．柳宗元〈種樹郭橐駝傳〉：「凡植木之性，其本欲舒，其培欲平。」</t>
  </si>
  <si>
    <t>(二)ㄆㄡˇ pǒu（00700）</t>
  </si>
  <si>
    <t>陪</t>
  </si>
  <si>
    <t>[名]_x000D_
1.重疊的土堆。《說文解字．阜部》：「陪，重土也。」_x000D_
2.輔佐事業的人。《詩經．大雅．蕩》：「爾德不明，以無陪無卿。」《魏書．卷二．太祖紀》：「周姬之末，下凌上替，以號自定，以位制祿，卿世其官，大夫遂事，陽德不暢，議發家陪，故釁由此起，兵由此作。」_x000D_
3.陪客。《紅樓夢》第三九回：「老太太說了，還要擺酒還史妹妹的席，叫咱們作陪呢。」_x000D_
[動]_x000D_
1.伴隨。如：「陪伴」、「陪同」、「陪嫁」。唐．杜甫〈別房太尉墓〉詩：「對棋陪謝傅，把劍覓徐君。」唐．朱慶餘〈早梅〉詩：「天然根性異，萬物盡難陪。」_x000D_
2.輔助。《史記．卷一〇．孝文本紀》：「若舉有德以陪朕之不能終，是社稷之靈，天下之福也。」唐．韓愈〈司徒兼侍中中書令贈太尉許國公神道碑銘〉：「常山幽都，孰陪孰扶，天施不留，其討不逋。」_x000D_
3.補償、彌補，通「賠」。唐．白居易〈得甲牛觝乙馬死請償馬價甲云在放牧處相觝請陪半價乙不伏〉：「請徵律典，當陪半價，勿聽過求。」宋．羅大經《鶴林玉露》卷一〇：「問妾所自來，涕泣不肯言。固問之，乃言其父有官因綱運欠折，鬻妾以為陪償之計。」_x000D_
4.虧損、損失，通「賠」。《雜劇三種．葫蘆先生》：「低處望高處，怪人還要求人；大蟲欺小蟲，陪錢又須陪氣。」《三國演義》第五五回：「周郎妙計安天下，陪了夫人又折兵。」</t>
  </si>
  <si>
    <t>毰</t>
  </si>
  <si>
    <t xml:space="preserve">毛 </t>
  </si>
  <si>
    <t>參見「毰毸」條。</t>
  </si>
  <si>
    <t>賠</t>
  </si>
  <si>
    <t>[動]_x000D_
1.補償、彌補。《醒世姻緣傳》第一七回：「你若再還不肯，寧可我照數賠你罷了。」《紅樓夢》第八一回：「沒什麼說的，你好好兒的賠我們的魚罷！」_x000D_
2.虧損、損失。《紅樓夢》第八回：「何苦我白賠在裡面。」《兒女英雄傳》第三三回：「自從父親出去這趟，不曾成得名，不曾立得業，倒吃了許多辛苦，賠了若干銀錢。」</t>
  </si>
  <si>
    <t>裴</t>
  </si>
  <si>
    <t>[形]
形容衣服很長。《說文解字．衣部》：「裴，長衣貌。」
[動]
猶豫不決。通「徘」。參見「裴回」條。
[名]
姓。如晉朝有裴楷，唐朝有裴度。</t>
  </si>
  <si>
    <t>妃</t>
  </si>
  <si>
    <t>ㄆㄟˋ</t>
  </si>
  <si>
    <t>pèi</t>
  </si>
  <si>
    <t>[動]
婚配。《左傳．文公十四年》：「子叔姬妃齊昭公，生舍。」唐．陸德明《經典釋文．卷一六．春秋左氏音義之二》：「妃，音配，本亦作配。」</t>
  </si>
  <si>
    <t>(一)ㄈㄟ fēi（01543）</t>
  </si>
  <si>
    <t>配</t>
  </si>
  <si>
    <t>[名]_x000D_
1.酒的色澤。《說文解字．酉部》：「配，酒色也。」_x000D_
2.夫妻。參見「配偶」條。_x000D_
3.妻子。如：「元配」、「繼配」。《詩經．大雅．皇矣》：「天立厥配，受命既固。」《鏡花緣》第一〇回：「俟他年長，代為擇配，完其終身。」_x000D_
[動]_x000D_
1.媲美。《玉篇．酉部》：「配，匹也；媲也。」《楚辭．屈原．大招》：「德譽配天，萬民理只。」_x000D_
2.結合、配合。《易經．繫辭上》：「廣大配天地，變通配四時。」《孟子．公孫丑上》：「其為氣也，配義與道，無是餒也。」_x000D_
3.男女結婚。《詩經．衛風．竹竿》：「淇水浟浟，檜楫松舟。」漢．毛亨．傳：「舟楫相配得水而行，男女相配得禮而備。」_x000D_
4.女子結婚。如：「許配」。《三國演義》第六回：「丞相有女，欲配將軍之子。」《儒林外史》第三七回：「他家世兄賠嫁來的一個丫頭，他就配了姓嚴的管家了。」_x000D_
5.分發、安排。如：「配銷」、「支配」、「分配」。《舊唐書．卷九八．列傳．裴耀卿》：「耀卿躬自條理，科配得所。」_x000D_
6.充軍、流放罪人到遠方。如：「發配」、「刺配」。元．張國賓《合汗衫》第一折：「改做誤傷人命，脊杖了六十，迭配殺門島去了。」《水滸傳》第八回：「今小人遭這場橫事，配去滄州，生死存亡未保。」_x000D_
7.依適當的標準或比例，加以調和或製作。如：「配藥」、「調配」、「配眼鏡」。元．陶宗儀《南村輟耕錄．卷二四．黃道婆》：「至於錯紗配色，綜線挈花，各有其法，以故織成被褥帶帨。」_x000D_
8.補足缺失。如：「配貨」、「配零件」、「配塊玻璃」。_x000D_
9.陪襯、襯托。如：「紅花雖美，還需綠葉配。」_x000D_
10.使牲畜交合。如：「配種」、「交配」。_x000D_
[副]_x000D_
夠資格、夠得上。如：「只有他才配稱世界球王。」晉．左思〈魏都賦〉：「元勳配管敬之績，歌鍾析邦君之肆。」《紅樓夢》第四九回：「這一件衣裳也只配他穿。別人穿了，實在不配。」</t>
  </si>
  <si>
    <t>沛</t>
  </si>
  <si>
    <t>[名]
1.水草叢生的地方。《孟子．滕文公下》：「園囿、汙地，沛澤多而禽獸至。」《管子．揆度》：「燒山林，破增藪，焚沛澤，逐禽獸。」
2.參見「沛縣」條。
3.姓。如商代子姓國有沛氏。
[副]
旺盛、盛大。如：「充沛」。《孟子．梁惠王上》：「天油然作雲，沛然下雨，則苗浡然興之矣。」宋．文天祥〈正氣歌〉：「於人曰浩然，沛乎塞蒼冥。」</t>
  </si>
  <si>
    <t>肺</t>
  </si>
  <si>
    <t>參見「肺肺」條。</t>
  </si>
  <si>
    <t>(一)ㄈㄟˋ fèi（01581）</t>
  </si>
  <si>
    <t>旆</t>
  </si>
  <si>
    <t>[名]
1.古代旌旗末端形似燕尾的下垂飾物。《詩經．小雅．六月》：「織文鳥章，白旆央央。」《文選．沈約．鍾山詩應西陽王教詩》：「君王挺逸趣，羽旆臨崇基。」唐．李善．注：「旆，旌旗之垂者。」
2.旗幟的通稱。南朝宋．顏延之〈請立渾天儀表〉：「值大軍旋旆，渾儀在路。」明．于謙〈山行〉詩：「酒旆搖村舍，鐘聲出寺樓。」
[形]
參見「旆旆」條。</t>
  </si>
  <si>
    <t>霈</t>
  </si>
  <si>
    <t>[名]
1.大雨或指及時雨。如：「甘霈」、「霈霖」。唐．韓愈、孟郊〈秋雨聯句〉：「禽情初嘯儔，礎色微收霈。」
2.比喻恩澤。唐．李邕〈淄州刺史謝上表〉：「雨露深仁，霑霈及於蕭艾。」唐．柳宗元〈代韋中丞賀元和大赦表〉：「霈澤斯降，膏潤無遺。」
[形]
雨勢盛大。唐．李白〈明堂賦〉：「于斯之時，雲油雨霈。」</t>
  </si>
  <si>
    <t>帔</t>
  </si>
  <si>
    <t>[名]
1.下裳，即裙子。漢．揚雄《方言》卷四：「裙，陳魏之間謂之帔。」
2.古代婦女披在肩上的無袖衣飾，即今之披肩。漢．劉熙《釋名．釋衣服》：「帔，披也。披之肩背，不及下也。」唐．白居易〈霓裳羽衣歌〉：「虹裳霞帔步搖冠，鈿瓔纍纍珮珊珊。」《紅樓夢》第五回：「詩後又畫一盆茂蘭，旁有一位鳳冠霞帔的美人。」</t>
  </si>
  <si>
    <t>佩</t>
  </si>
  <si>
    <t>[名]
古人繫在腰帶上的一種裝飾品。如：「玉佩」。《詩經．鄭風．女曰雞鳴》：「知子之來之，雜佩以贈之。」也作「珮」。
[動]
1.繫物在衣帶或衣服上。如：「佩劍」、「佩玉」、「那警員身上佩帶一把手槍。」《晉書．卷三六．張華傳》：「吾少時有相者言，吾年出六十，位登三事，當得寶劍佩之。」
2.敬仰信服。如：「欽佩」、「敬佩」。南朝梁．江淹〈建平王謝玉環刀等啟〉：「垂光既深，銘佩更積。」</t>
  </si>
  <si>
    <t>珮</t>
  </si>
  <si>
    <t>[名]
玉佩。通「佩」。《文選．江淹．雜體詩．謝法曹》：「雜珮雖可贈，疏華竟無陳。」</t>
  </si>
  <si>
    <t>茷</t>
  </si>
  <si>
    <t>[名]
古代旌旗末端像燕尾的裝飾物。通「旆」。《左傳．定公四年》：「分康叔以大路、少帛、綪茷、旃旌、大呂。」唐．孔穎達．正義：「茷即旆也。」</t>
  </si>
  <si>
    <t>(一)ㄈㄚˊ fá（01531）</t>
  </si>
  <si>
    <t>淠</t>
  </si>
  <si>
    <t>(一)ㄆㄧˋ pì（00858）</t>
  </si>
  <si>
    <t>轡</t>
  </si>
  <si>
    <t>[名]
1.控制牛、馬等牲口的韁繩。《禮記．曲禮上》：「執策分轡，驅之五步而立。」唐．孔穎達．正義：「轡，御馬索也。」《史記．卷七七．魏公子傳》：「市人皆觀公子執轡，從騎皆竊罵侯生。」
2.指韁繩與套在牲口嘴中的銜勒。如：「鞍轡」、「轡頭」。</t>
  </si>
  <si>
    <t>泡</t>
  </si>
  <si>
    <t>ㄆㄠ</t>
  </si>
  <si>
    <t>pāo</t>
  </si>
  <si>
    <t>[名]
1.量詞。計算屎尿的單位。如：「撒一泡尿」。
2.鼓起且鬆軟的東西。如：「眼泡兒」、「豆腐泡兒」。
3.地名用字。小湖泊的意思。如大陸地區黑龍江省有蓮花泡、吉林省有月亮泡。
[形]
膨鬆、腫脹。參見「泡泡」條。</t>
  </si>
  <si>
    <t>(一)ㄆㄠˋ pào（00687）</t>
  </si>
  <si>
    <t>拋</t>
  </si>
  <si>
    <t>[動]
1.棄而不顧。如：「把困難拋在腦後。」、「拋頭顱、灑熱血。」《後漢書．卷一四．宗室四王三侯傳．安成孝侯賜傳》：「賜與顯子信賣田宅，同拋財產，結客報吏。」
2.投擲。如：「拋錨」、「拋繡球」、「拋物線」、「拋磚引玉」。明．何景明〈津市打魚歌〉：「小船取速不取多，往來拋網如擲梭。」
3.甩落。如：「跑到第四圈，他已經把其他人遠遠的拋在後頭。」
4.露出、顯露。如：「拋頭露面」。</t>
  </si>
  <si>
    <t>脬</t>
  </si>
  <si>
    <t>[名]
1.膀胱。《二刻拍案驚奇》卷一七：「揭開屋瓦，將一豬脬緊緊紮在細竹管上。」俗稱為「尿脬」。
2.量詞。計算尿屎的單位。如：「一脬尿」。也作「泡」。</t>
  </si>
  <si>
    <t>ㄆㄠˊ</t>
  </si>
  <si>
    <t>páo</t>
  </si>
  <si>
    <t>[動]_x000D_
1.挖掘。如：「刨洞」、「刨坑」。元．關漢卿《陳母教子．楔子》：「打牆處刨出一窖金銀來。」《兒女英雄傳》第一九回：「這姑娘天生半分不認錯；一字不饒人；拉口子要見血；刨樹要搜根兒的脾氣。」_x000D_
2.減去、除去。如：「總收入刨掉成本和各項雜支，便是淨收入。」《兒女英雄傳》第三三回：「就讓刨除佃戶的人工飯食、牲口口糧去，只怕也不止這幾兩銀子。」</t>
  </si>
  <si>
    <t>(二)ㄅㄠˋ bào（00223）</t>
  </si>
  <si>
    <t>庖</t>
  </si>
  <si>
    <t>[名]
1.廚房。《孟子．梁惠王上》：「是以君子遠庖廚也。」《禮記．王制》：「天子諸侯，無事，則歲三田。一為乾豆，二為賓客，三為充君之庖。」
2.廚師。如：「名庖」。《莊子．養生主》：「良庖歲更刀，割也。」</t>
  </si>
  <si>
    <t>咆</t>
  </si>
  <si>
    <t>[動]
野獸怒吼。《淮南子．覽冥》：「熊羆匍匐邱山磛巖，虎豹襲穴而不敢咆。」唐．杜甫〈課伐木〉詩：「空荒咆熊羆，乳獸待人肉。」</t>
  </si>
  <si>
    <t>[動]
1.燒、烤。如：「炮烙」、「烹羊炮羔」。《詩經．小雅．瓠葉》：「有兔斯首，炮之燔之。」《左傳．昭公二十七年》：「令尹炮之，盡滅郤氏之族黨。」
2.以火烘焙藥材。如：「炮煎」。《金瓶梅詞話》第四九回：「胡僧說：『形如雞卵，色似鵝黃。三次老君炮煉，王母親手傳方。』」《西遊記》第二回：「祖師道：『此是有為有作，採陰補陽，攀弓踏弩，摩臍過氣，用方炮製，燒茅打鼎，進紅鉛，煉秋石，並服婦乳之類。』」</t>
  </si>
  <si>
    <t>(二)ㄆㄠˋ pào（00688）(三)ㄅㄠ bāo（00204）</t>
  </si>
  <si>
    <t>炰</t>
  </si>
  <si>
    <t>[動]
以火燒烤食物。《詩經．小雅．六月》：「飲御諸友，炰鱉膾鯉。」漢．楊惲〈報孫會宗書〉：「田家作苦，歲時伏臘，亨羊炰羔，斗酒自勞。」
[名]
烤熟的食物。《文選．枚乘．七發》：「旨酒嘉肴，羞炰膾炙，以御賓客。」
[形]
參見「炰烋」條。</t>
  </si>
  <si>
    <t>[名]
杓子。通「瓠」、「匏」。《廣韻．入聲．肴韻》：「瓟，似瓠，可為飲器。」《楚辭．劉向．九歎．愍命》：「莞芎棄於澤洲兮，瓟瓥蠹於筐簏。」漢．王逸．注：「瓟，匏也。」</t>
  </si>
  <si>
    <t>(一)ㄅㄛˊ bó（00087）</t>
  </si>
  <si>
    <t>袍</t>
  </si>
  <si>
    <t>[名]_x000D_
1.寬長而有棉絮夾裡的外衣。如：「袍服」、「外袍」、「長袍馬褂」。《詩經．秦風．無衣》：「豈曰無衣，與子同袍。」《論語．子罕》：「衣敝縕袍與衣狐貉者立，而不恥者，其由也與。」_x000D_
2.泛稱長衣。如：「錦袍」、「戰袍」、「旗袍」、「浴袍」。元．馬致遠《陳摶高臥》第二折：「我其實戴不的幞頭緊，穿不的朝衣坌，倒不如我這拂黃塵的布袍，漉渾酒的綸巾。」《三國演義》第六回：「洪急扶操下馬，脫去袍鎧，負操渡水。」_x000D_
3.衣服前襟。《公羊傳．哀公十四年》：「反袂拭面涕沾袍。」漢．何休．解詁：「袍，衣前襟也。」</t>
  </si>
  <si>
    <t>匏</t>
  </si>
  <si>
    <t>[名]
1.植物名。一種葫蘆。果實圓大而扁，晒乾之後可當涉水的交通工具，從中剖開亦可做盛水的容器。
2.樂器名。古笙竽以匏為座，故此類樂器稱為「匏」，與金、石、土、革、絲、木、竹合稱為「八音」。南朝梁．蕭統〈文選序〉：「譬陶匏異器，並為入耳之娛。」
3.姓。如漢代有匏敏。</t>
  </si>
  <si>
    <t>跑</t>
  </si>
  <si>
    <t>[動]
獸用腳掘地。《西京雜記》卷四：「滕公駕至東都門，馬鳴跼不肯前，以足跑地久之。」</t>
  </si>
  <si>
    <t>(一)ㄆㄠˇ pǎo（00686）</t>
  </si>
  <si>
    <t>[名]
使皮革柔軟的工匠。《說文解字．革部》：「鞄，柔革工也。」</t>
  </si>
  <si>
    <t>(二)ㄅㄠ bāo（00208）</t>
  </si>
  <si>
    <t>[名]
具有突起、持續時間僅數分鐘（至少兩分鐘）、風速驟減等特徵的強風。有時亦指整個強烈的地方性風暴而言，包括風、雲、降水、雷及閃電。
[形]
風大而急。《文選．班固．答賓戲》：「遊說之徒，風颮電激，並起而救之。」</t>
  </si>
  <si>
    <t>(二)ㄅㄧㄠ biāo（00447）</t>
  </si>
  <si>
    <t>(一)（語音）ㄅㄠ bāo（00209）</t>
  </si>
  <si>
    <t>參見「猼且」條。</t>
  </si>
  <si>
    <t>(一)ㄅㄛˊ bó（00092）</t>
  </si>
  <si>
    <t>[名]
1.動物名。哺乳綱偶蹄目獐鹿屬。大眼睛大耳朵，頸長尾短，後肢比前肢略長，臀部灰白色。雄的頭頂長角。食野果、青草、菌類等，分布於歐、亞兩洲。肉可吃，毛皮可做墊褥、皮革等。也稱為「獐麃」。
2.麋鹿。《史記．卷一二．孝武本紀》：「其明年，郊雍，獲一角獸，若麃然。」裴駰集解引韋昭曰：「楚人謂麋為麃。」</t>
  </si>
  <si>
    <t>(一)ㄅㄧㄠ biāo（00448）</t>
  </si>
  <si>
    <t>ㄆㄠˇ</t>
  </si>
  <si>
    <t>pǎo</t>
  </si>
  <si>
    <t>[動]
1.快走。如：「長跑」、「短跑」。
2.逃走、躲避。如：「跑掉」、「逃跑」、「跑得了和尚，跑不了廟。」
3.往、到。如：「你們都跑這兒來了。」《老殘遊記》第二〇回：「我們都是齊河縣人，跑到這省裡，受他們這種氣，真受不住！」
4.物體離開應當的位置。如：「風把我的帽子吹跑了。」
5.為某事奔走忙碌。如：「跑新聞」、「跑生意」、「跑碼頭」、「跑單幫」。
6.走運。《儒林外史》第二回：「李老爹這幾年在新任老爺手裡著實跑起來了，怕不一年要尋千把銀子。」</t>
  </si>
  <si>
    <t>(二)ㄆㄠˊ páo（00680）</t>
  </si>
  <si>
    <t>ㄆㄠˋ</t>
  </si>
  <si>
    <t>pào</t>
  </si>
  <si>
    <t>[名]_x000D_
1.在液體上漂浮，內含氣體的球狀物。大的稱為「泡」，小的稱為「沫」。如：「肥皂泡」。《金剛般若波羅蜜經》：「一切有為法，如夢幻泡影。」清．紀昀《閱微草堂筆記．卷五．灤陽消夏錄五》：「無罪無福之人，聽其游行於墟墓，餘氣未盡則存，餘氣漸消則滅，如露珠水泡，倏有倏無。」_x000D_
2.泡狀物。如：「電燈泡」。_x000D_
3.因皮膚受傷而起的水泡。如：「他的大腿被熱水燙到，已經起泡了。」《水滸傳》第八回：「林冲走不到三二里，腳上泡被新草鞋打破了，鮮血淋漓，正走不動。」_x000D_
[量]_x000D_
1.計算動作次數的單位。相當於「番」、「回」、「陣」。《官場現形記》第四七回：「童子良經他這一泡恭維，便覺他說的話，果然不錯。」_x000D_
2.計算茶葉沖浸次數的單位。如：「這茶已經是第二泡。」_x000D_
[動]_x000D_
1.用水沖浸。如：「泡飯」、「泡衣服」。《紅樓夢》第六〇回：「當時來至蘅蕪苑中，正值寶釵、黛玉、薛姨媽等吃飯，鶯兒自去泡茶。」_x000D_
2.在人事物上耗費時間或精力。如：「泡妞」、「泡舞廳」、「要考試了，你還泡在網咖。」</t>
  </si>
  <si>
    <t>(二)ㄆㄠ pāo（00669）</t>
  </si>
  <si>
    <t>[名]
1.武器名。一種發射鐵石彈丸或炮彈的重型兵器。火力強，射程遠，極具殺傷力和破壞力。如：「大炮」、「開炮」、「高射炮」、「迫擊炮」。
2.爆竹。如：「鞭炮」。</t>
  </si>
  <si>
    <t>(一)ㄆㄠˊ páo（00675）(二)ㄅㄠ bāo（00204）</t>
  </si>
  <si>
    <t>疱</t>
  </si>
  <si>
    <t>參見「疱疹」條。</t>
  </si>
  <si>
    <t>砲</t>
  </si>
  <si>
    <t>[名]
1.同「炮」。
2.堪輿風水書上的術語。地面隆起稱為「墩」，較墩小者稱為「砲」。《儒林外史》第四五回：「你看！這是三尖峰。那邊來路遠哩！從浦口山上發脈，一個墩，一個砲；一個墩，一個砲；一個墩，一個砲；彎彎曲曲，骨裡骨碌，一路接著滾了來。」
3.量詞。《鏡花緣》第六六回：「共響四砲，這是四海昇平。外面如此熱鬧，你們二位也該升帳了。」</t>
  </si>
  <si>
    <t>皰</t>
  </si>
  <si>
    <t xml:space="preserve">皮 </t>
  </si>
  <si>
    <t>[名]
面部所生的小顆粒，因皮脂腺分泌旺盛，阻塞毛細孔而產生，俗稱為「粉刺」。如：「面皰」。</t>
  </si>
  <si>
    <t>奅</t>
  </si>
  <si>
    <t>[名]
1.虛大、張大。《說文解字．大部》：「奅，大也。」清．段玉裁．注：「此謂虛之大。」
2.炮石。明．張自烈《正字通．大部》：「奅、砲、礮同。《廣韻》：『軍戰石也。』」
[動]
廣東方言。指說大話欺騙人。明．張自烈《正字通．大部》：「《方言》：『以大言冒人曰奅。』」如說大話稱為「車大奅」，說大話的人稱為「大奅佬」。</t>
  </si>
  <si>
    <t>𣶐</t>
  </si>
  <si>
    <t>[動]
用水浸物。通「泡」。如：「𣶐飯」。</t>
  </si>
  <si>
    <t>剖</t>
  </si>
  <si>
    <t>ㄆㄡ</t>
  </si>
  <si>
    <t>pōu</t>
  </si>
  <si>
    <t>(一)ㄆㄡˇ pǒu（00699）</t>
  </si>
  <si>
    <t>抔</t>
  </si>
  <si>
    <t>ㄆㄡˊ</t>
  </si>
  <si>
    <t>póu</t>
  </si>
  <si>
    <t>[動]
用雙手捧物。《廣韻．平聲．侯韻》：「抔，手掬物也。」如：「抔土」、「抔飲」。
[名]
量詞。計算雙手捧取物品的單位。相當於「捧」、「握」、「把」。《漢書．卷五〇．張釋之傳》：「假令愚民取長陵一抔土，陛下且何以加其法虖？」唐．劉禹錫〈平蔡州〉詩三首之三：「妖童擢髮不足數，血汙城西一抔土。」</t>
  </si>
  <si>
    <t>捊</t>
  </si>
  <si>
    <t>[動]
引聚、聚集。《詩經．大雅．綿》「捄之陾陾，度之薨薨」句下漢．鄭玄．箋：「捄，捊也。」唐．孔穎達．正義：「《說文》云：『捊，引取也。』故以捄為捊，言捊取壤土。」</t>
  </si>
  <si>
    <t>掊</t>
  </si>
  <si>
    <t>[動]
1.用手或工具挖土。如：「掊坑」、「掊洞」。《新唐書．卷五三．食貨志三》：「大和初，歲旱河涸，掊沙而進，米多耗，抵死甚眾。」
2.聚斂、搜括。《新唐書．卷一二九．嚴挺之傳》：「蜀雖號富饒，而峻掊亟斂，閭里為空。」
[名]
量詞。計算雙手捧取物品的單位。通「抔」。漢．王充《論衡．譋時》：「如泰山失火，沃以一杯之水；河決千里，塞以一掊之土，能勝之乎？」</t>
  </si>
  <si>
    <t>(二)ㄆㄡˇ pǒu（00701）</t>
  </si>
  <si>
    <t>裒</t>
  </si>
  <si>
    <t>[動]
1.聚集。《詩經．小雅．常棣》：「原隰裒矣，兄弟求矣。」漢．毛亨．傳：「裒，聚也。」《續資治通鑑．卷八六．宋紀八十六．哲宗元符三年》：「盡裒所編類文書，納之禁中。」
2.減去。參見「裒多益寡」條。
3.俘虜。《詩經．商頌．殷武》：「深入其阻，裒荊之旅。」漢．鄭玄．箋：「克其軍率而俘虜其士眾。」
[形]
眾多。《詩經．周頌．般》：「敷天之下，裒時之對，時周之命。」漢．鄭玄．箋：「裒，眾也。」</t>
  </si>
  <si>
    <t>ㄆㄡˇ</t>
  </si>
  <si>
    <t>pǒu</t>
  </si>
  <si>
    <t>[動]
1.中分、從中間分開。《漢書．卷一．高帝紀下》：「甲申，始剖符封功，臣曹參等為通侯。」
2.破開。如：「剖腹」、「解剖」。《莊子．盜跖》：「子胥沉江，比干剖心。」
3.分析、辨明。如：「剖析」、「剖白」。《文選．張衡．思玄賦》：「通人闇於好惡兮，豈昏惑而能剖？」唐．李善．注：「剖，分明也。」
4.研磨、治理。《楚辭．東方朔．七諫．謬諫》：「和抱璞而泣血兮，安得良工而剖之。」</t>
  </si>
  <si>
    <t>(二)（又音）ㄆㄡ pōu（00694）</t>
  </si>
  <si>
    <t>[名]
1.墳墓、小土丘。漢．揚雄《方言》卷一三：「冢，秦晉之間謂之墳，或謂之培。」
2.田側。《呂氏春秋．士容論．辯士》：「高培則拔。」漢．高誘．注：「培，田側也。」</t>
  </si>
  <si>
    <t>(一)ㄆㄟˊ péi（00652）</t>
  </si>
  <si>
    <t>[動]
1.打破、擊破。如：「掊斗折衡」。《莊子．逍遙遊》：「吾為其無用而掊之。」
2.打擊、抨擊。《莊子．胠篋》：「掊擊聖人，縱舍盜賊，而天下始治矣。」</t>
  </si>
  <si>
    <t>(一)ㄆㄡˊ póu（00697）</t>
  </si>
  <si>
    <t>[名]_x000D_
古人自高而下，鋪在懸絕不平處的踏板，作為墊腳之用。《公羊傳．成公二年》：「踊于棓而闚客。」漢．何休．解詁：「凡無高下，有絕，加躡板，曰棓。齊人語。」</t>
  </si>
  <si>
    <t>(二)ㄅㄤˋ bàng（00295）</t>
  </si>
  <si>
    <t>瓿</t>
  </si>
  <si>
    <t xml:space="preserve">瓦 </t>
  </si>
  <si>
    <t>[名]
1.陶製小甕。《戰國策．東周策》：「夫鼎者，非效醯壺醬瓿耳，可懷挾提挈以至齊者。」
2.古代銅製器皿，圓腹、斂口、圈足，用以盛水酒。盛行於商周時期。</t>
  </si>
  <si>
    <t>ㄆㄢ</t>
  </si>
  <si>
    <t>pān</t>
  </si>
  <si>
    <t>[動]
1.攀折。明．高明《琵琶記．蔡公逼伯喈赴試》：「香徑裡扳殘草色，雕闌畔折損花容。」
2.攀附。通「攀」。《楚辭．嚴忌．哀時命》：「往者不可扳援兮，倈者不可與期。」《二刻拍案驚奇》卷六：「金家父母見說了，慚愧不敢當，回覆媒媽道：『我家什麼家當，敢去扳他？』」</t>
  </si>
  <si>
    <t>(一)ㄅㄢ bān（00238）</t>
  </si>
  <si>
    <t>參見「番禺縣」條。</t>
  </si>
  <si>
    <t>(一)ㄈㄢ fān（01606）(三)ㄆㄛˊ pó（00605）</t>
  </si>
  <si>
    <t>潘</t>
  </si>
  <si>
    <t>[名]
1.淘米汁，俗稱為「洗米水」。《左傳．哀公十四年》：「使疾，而遺之潘沐。」晉．杜預．注：「潘，米汁，可以沐頭。」《新唐書．卷二〇．禮樂志十》：「以盆盛潘及沐盤，升自西階，授沐者，沐者執潘及盤入。」
2.水流盤旋、溢洄的地方。《管子．五輔》：「導水潦，利陂溝，決潘渚，潰泥滯。」《列子．黃帝》：「止水之潘為淵。」
3.姓。如晉朝有潘岳。</t>
  </si>
  <si>
    <t>攀</t>
  </si>
  <si>
    <t>[動]
1.抓住物體往上爬。如：「攀登」、「攀爬」、「攀樹」。《三國志．卷二八．魏書．鄧艾傳》：「將士皆攀木緣崖，魚貫而進。」
2.依附。如：「高攀」。《史記．卷一〇八．韓長孺傳》：「有如太后宮車即晏駕，大王尚誰攀乎？」《後漢書．卷一．光武帝紀上》：「其計固望其攀龍鱗，附鳳翼，以成其所志耳。」
3.牽連、牽扯。如：「誣攀」、「攀扯」、「攀供」。《三國演義》第一〇〇回：「孔明曰：『他倒救你，你反攀他。』」
4.摘、折。如：「攀折」。唐．李白〈江夏送張丞〉詩：「藉草依流水，攀花贈遠人。」</t>
  </si>
  <si>
    <t>ㄆㄢˊ</t>
  </si>
  <si>
    <t>pán</t>
  </si>
  <si>
    <t>[形]
樂、歡樂。《詩經．小雅．小弁》：「弁彼鸒斯，歸飛提提。」漢．毛亨．傳：「弁，樂也。」</t>
  </si>
  <si>
    <t>(一)ㄅㄧㄢˋ biàn（00489）</t>
  </si>
  <si>
    <t>柈</t>
  </si>
  <si>
    <t>[名]
盤子。同「盤」、「槃」。《南史．卷一五．劉穆之傳》：「穆之乃令廚人以金柈貯檳榔一斛以進之。」唐．杜甫〈十月一日〉詩：「蒸裹如千室，焦糟幸一柈。」</t>
  </si>
  <si>
    <t>(二)ㄆㄢˋ pàn（00727）</t>
  </si>
  <si>
    <t>胖</t>
  </si>
  <si>
    <t>[形]
安泰寬舒。《禮記．大學》：「富潤屋，德潤身，心廣體胖。」</t>
  </si>
  <si>
    <t>(一)ㄆㄤˋ pàng（00760）</t>
  </si>
  <si>
    <t>[動]
1.般桓：徘徊、流連不進。《文選．傅毅．舞賦》：「或有宛足鬱怒，般桓不發。」唐．李善．注：「言馬按足緩步，鬱怒，氣遲留不發也。」也作「盤桓」。
2.喜、樂。《荀子．賦》：「忠臣危殆，讒人般矣。」
[副]
大。《孟子．公孫丑上》：「般樂怠敖，是自求禍也。」
[名]
《詩經．周頌》的篇名。共一章。根據〈詩序〉：「〈般〉，巡守而祀四嶽河海也。」指武王巡狩而祭河嶽之詩。本章二句為：「於皇時周，陟其高山。」</t>
  </si>
  <si>
    <t>(一)ㄅㄢ bān（00241）(三)ㄅㄛ bō（00052）</t>
  </si>
  <si>
    <t>幋</t>
  </si>
  <si>
    <t>[名]
覆衣大巾或頭巾。《說文解字．巾部》：「幋，覆衣大巾也，或以為首幋。」</t>
  </si>
  <si>
    <t>媻</t>
  </si>
  <si>
    <t>參見「媻姍」條。</t>
  </si>
  <si>
    <t>槃</t>
  </si>
  <si>
    <t>[名]
1.古時用來盛水的木製托盤。《禮記．內則》：「少者奉槃，長者奉水，請沃盥。」
2.盤子。同「盤」。如：「珠槃」、「夷槃」。宋．蘇軾〈日喻〉：「日之狀如銅槃。」宋．陸游〈除夜〉詩：「守歲全家夜不眠，杯槃狼籍向燈前。」
3.古時一種似盤子的樂器。《詩經．衛風．考槃》：「考槃在澗，碩人之寬。」</t>
  </si>
  <si>
    <t>[形]
不正。《玉篇．手部》：「搫，手不正也。」</t>
  </si>
  <si>
    <t>(二)ㄆㄛˊ pó（00608）</t>
  </si>
  <si>
    <t>磐</t>
  </si>
  <si>
    <t>[名]
巨大的石頭。《玉篇．石部》：「磐，大石也。」
[動]
徘徊不去。通「盤」。《後漢書．卷四一．宋意傳》：「室第相望，久磐京邑，婚姻之盛，過於本朝。」</t>
  </si>
  <si>
    <t>盤</t>
  </si>
  <si>
    <t>[名]
1.一種銅製的盛水器。圓形，淺腹，盛行於商周時期。小盤可用以盥洗，大盤可用以沐浴。如春秋時代的魚龍紋盤。
2.一種盛放物品的淺底器皿。如：「瓷盤」、「菜盤」、「托盤」、「餐盤」。
3.形狀像盤而作為承托或旋轉用的東西。如：「棋盤」、「算盤」、「方向盤」。
4.買賣行情的價格。如：「開盤」、「底盤」、「收盤」、「崩盤」。
5.量詞：(1)計算盤形物的單位。如：「三盤水果」。(2)計算棋局段落的單位。如：「下兩盤棋」。(3)計算盤形物數量的單位。如：「一盤蚊香」。(4)大陸地區計算錄音帶或錄影帶卷數的單位。如：「一盤錄音帶」、「兩盤錄影帶」。
6.事物的根本所在。如：「地盤」、「根盤」。
7.姓。如明代有盤銘。
[動]
1.纏繞。如：「盤辮子」、「蟒蛇盤樹」。
2.迴旋。如：「盤馬彎弓」。
3.使屈曲相交。如：「盤腿」、「盤膝」。
4.詳加探詢或清點。如：「盤貨」、「盤點」、「盤問」、「盤根究底」。
5.算計。《初刻拍案驚奇》卷一五：「那陳秀才這三百兩債務，衛朝奉有心要盤他這所莊房，等閒再不叫人來討。」
[形]
曲折的、纏繞的。如：「盤根錯節」。</t>
  </si>
  <si>
    <t>縏</t>
  </si>
  <si>
    <t>[名]
小繡囊。《禮記．內則》：「婦事舅姑……右佩箴、管、線、纊、施縏、袠。」漢．鄭玄．注：「縏，小囊也。」</t>
  </si>
  <si>
    <t>鞶</t>
  </si>
  <si>
    <t>[名]
1.皮革製成的大腰帶，古人用來佩玉。《說文解字．革部》：「鞶，大帶也。」通稱為「鞶帶」。
2.古人用來盛放手巾細物的小繡囊。似今之荷包。《禮記．內則》：「夙夜無愆，視諸衿囊。」漢．鄭玄．注：「鞶，鞶囊也。男鞶革，女鞶絲，所以盛帨巾之屬。」</t>
  </si>
  <si>
    <t>磻</t>
  </si>
  <si>
    <t>參見「磻溪」條。</t>
  </si>
  <si>
    <t>蟠</t>
  </si>
  <si>
    <t>[動]
盤伏、盤曲。《文選．左思．蜀都賦》：「潛龍蟠於沮澤，應鳴鼓而興雨。」
[形]
彎曲的、扭曲的。唐．李白〈詠山樽〉詩二首之一：「蟠木不彫飾，且將斤斧疏。」</t>
  </si>
  <si>
    <t>蹣</t>
  </si>
  <si>
    <t>參見「蹣跚」條。</t>
  </si>
  <si>
    <t>(一)ㄇㄢˊ mán（01229）</t>
  </si>
  <si>
    <t>判</t>
  </si>
  <si>
    <t>ㄆㄢˋ</t>
  </si>
  <si>
    <t>pàn</t>
  </si>
  <si>
    <t>[動]
1.分、分開。唐．柳宗元〈封建論〉：「遂判為十二，合為七國。」
2.區別、分辨。《莊子．天下》：「判天地之美，析萬物之理。」
3.分明、辨明。如：「存亡未判」。宋．蘇洵〈六國論〉：「故不戰而強弱勝負已判矣。」
4.決斷是非曲直。如：「審判」、「判刑」、「判案」。
5.古稱高位兼低職或出任地方官。如唐代宰相判六軍十二衛事，宋以宰相判樞密院。《宋史．卷三一二．韓琦傳》：「除鎮安武勝軍節度使、司徒兼侍中、判相州。」
[名]
1.審判訴訟的判決文書。《新唐書．卷一二六．李元紘傳》：「元紘大署判後曰：『南山可移，判不可搖也。』」
2.斷語。《紅樓夢》第五回：「後面便是一座古廟，裡面有一美人在內獨坐看經。其判云：『勘破三春景不長，緇衣頓改昔年妝。可憐繡戶侯門女，獨臥青燈古佛旁。』」
3.文體的一種。仿判獄的文詞，可見其推理、辯駁的能力。科舉取士，亦以試判。清．徐師曾《文體明辨序說．判》：「今世理官斷獄，例有參詞，而設科取士，亦試以判，其體皆用四六，則其習由來久矣。」
[形]
分別的樣子。如：「判然有別」。</t>
  </si>
  <si>
    <t>泮</t>
  </si>
  <si>
    <t>[動]
1.冰解凍。《詩經．邶風．匏有苦葉》：「士如歸妻，迨冰未泮。」
2.分開、分別。《史記．卷九七．陸賈傳》：「自天地剖泮未始有也。」
[名]
1.古代天子、諸侯舉行宴會的宮殿。《詩經．魯頌．泮水》：「魯侯戾止，在泮飲酒。」
2.古代的學校。如：「泮宮」。《聊齋志異．卷二．嬰寧》：「王子服，莒之羅店人。早孤。絕惠，十四入泮。」</t>
  </si>
  <si>
    <t>[動]
1.捐棄、捨棄。同「拚」。漢．揚雄《方言》卷一〇：「拌，棄也。楚凡揮棄物謂之拌。」
2.分開、割開。通「判」。《呂氏春秋．仲秋紀．論威》：「今以木擊木則拌，以水投水則散。」《史記．卷一二八．褚少孫補．龜策傳》：「鐫石拌蚌，傳賣於市。」唐．司馬貞．索隱：「拌音判。判，割也。」</t>
  </si>
  <si>
    <t>(一)ㄅㄢˋ bàn（00260）</t>
  </si>
  <si>
    <t>叛</t>
  </si>
  <si>
    <t xml:space="preserve">又 </t>
  </si>
  <si>
    <t>[動]
背離、違反。如：「叛國」、「叛亂」、「背叛」、「反叛」。《左傳．隱公四年》：「眾叛親離，難以濟矣。」唐．李白〈猛虎行〉：「一輸一失關下兵，朝降夕叛幽薊城。」</t>
  </si>
  <si>
    <t>[名]
古書上一種樹木。宋．司馬光《類篇．卷一六．柈》：「柈，木名。」</t>
  </si>
  <si>
    <t>(一)ㄆㄢˊ pán（00709）</t>
  </si>
  <si>
    <t>牉</t>
  </si>
  <si>
    <t>[動]
分開、分離。同「判」。《楚辭．屈原．九章．惜誦》：「背膺牉以交痛兮，心鬱結而紆軫。」
[名]
一半。多被借來指夫婦中的任何一方。參見「牉合」條。</t>
  </si>
  <si>
    <t>袢</t>
  </si>
  <si>
    <t>[名]
白色的內衣。《詩經．鄘風．君子偕老》：「蒙彼縐絺，是紲袢也。」
[形]
炎熱。宋．范成大〈夔門即事〉詩：「峽行風物不堪論，袢暑驕陽雜瘴氛。」</t>
  </si>
  <si>
    <t>(二)（又音）ㄈㄢˊ fán（01618）</t>
  </si>
  <si>
    <t>畔</t>
  </si>
  <si>
    <t>[名]
1.田界。《左傳．襄公二十五年》：「行無越思，如農之有畔。」
2.邊側、旁側。如：「湖畔」、「枕畔」、「橋畔」。《文選．古詩十九首．青青河畔草》：「青青河畔草，鬱鬱園中柳。」
[動]
違背、背叛。同「叛」。《論語．雍也》：「君子博學於文，約之以禮，亦可以弗畔矣夫。」《漢書．卷一．高帝紀上》：「及聞漢王并關中，而齊、梁畔之，羽大怒。」</t>
  </si>
  <si>
    <t>頖</t>
  </si>
  <si>
    <t>參見「頖宮」條。</t>
  </si>
  <si>
    <t>拚</t>
  </si>
  <si>
    <t>[動]
1.捐棄。清．陳善〈蝶戀花．萬化途中〉詞：「噩夢中年拚怨斷。一往淒迷，事與浮雲幻。」
2.豁出去。如：「拚命」、「拚死」。
3.爭鬥。如：「拚個你死我活。」</t>
  </si>
  <si>
    <t>盼</t>
  </si>
  <si>
    <t>[形]
眼睛黑白分明。《說文解字．目部》：「盼，白黑分也。」《詩經．衛風．碩人》：「巧笑倩兮，美目盼兮。」
[動]
1.看。如：「左顧右盼」、「目略微盼」。
2.希望。如：「盼望」、「苦盼」。元．王實甫《西廂記．第一本．楔子》：「盼不到博陵舊塚，血淚灑杜鵑紅。」
3.眷顧。《宋書．卷四四．謝晦傳》：「臣昔因時幸，過蒙先眷，內聞政事，外經戎旅，與羨之、亮等同被齒盼。」</t>
  </si>
  <si>
    <t>襻</t>
  </si>
  <si>
    <t>[名]
1.衣服上用布做成的鈕扣圈套。也稱為「紐襻兒」、「扣襻」。
2.與鈕襻形狀、作用相似的東西。如用人力拉車，套在肩上的布帶或皮帶。也稱為「襻帶」、「襻兒」。
[動]
縫、縫綴。如：「這被套裂了，麻煩襻上幾針。」</t>
  </si>
  <si>
    <t>濆</t>
  </si>
  <si>
    <t>ㄆㄣ</t>
  </si>
  <si>
    <t>pēn</t>
  </si>
  <si>
    <t>[動]
噴水。通「噴」。如：「濆灑」。明．袁宏道〈場屋後記〉：「竹之內為池，珠泉濆出，蘆花如雪浪。」</t>
  </si>
  <si>
    <t>(一)ㄈㄣˊ fén（01672）</t>
  </si>
  <si>
    <t>噴</t>
  </si>
  <si>
    <t>[動]
1.急遽湧射而出。如：「噴水」、「噴氣」、「噴火」。
2.吐出。如：「噴雲吐霧。」《戰國策．楚策四》：「驥於是俛而噴，仰而鳴，聲達於天。」
[形]
具湧射功能的。如：「噴壺」、「噴泉」、「噴嘴」。</t>
  </si>
  <si>
    <t>(二)ㄆㄣˋ pèn（00740）(三)ㄈㄣˋ fèn（01692）</t>
  </si>
  <si>
    <t>歕</t>
  </si>
  <si>
    <t xml:space="preserve">欠 </t>
  </si>
  <si>
    <t>[動]
吐、噴出。元．紀君祥《趙氏孤兒》第一折：「見孤兒額顱上汗津津，口角頭乳食歕。」</t>
  </si>
  <si>
    <t>(二)（又音）ㄆㄣˋ pèn（00741）</t>
  </si>
  <si>
    <t>盆</t>
  </si>
  <si>
    <t>ㄆㄣˊ</t>
  </si>
  <si>
    <t>pén</t>
  </si>
  <si>
    <t>[名]
1.底略小而口大，形狀像盤而較深的容器，用陶、木、金屬等製成。如：「臉盆」、「澡盆」。《莊子．至樂》：「莊子則方箕踞，鼓盆而歌。」
2.形狀似盆，用來盛物的器具。如：「花盆」、「菜盆」。
3.量詞。計算盆裝物的單位。如：「一盆花」、「兩盆水」。
[動]
浸染、浸淹。《禮記．祭義》：「及良日，夫人繅，三盆手。」</t>
  </si>
  <si>
    <t>湓</t>
  </si>
  <si>
    <t>[動]
水漲滿溢出。參見「湓涌」、「湓溢」等條。
[名]
河川名。位於大陸地區江西省，源出瑞昌縣清湓山，流經九江縣注入長江。</t>
  </si>
  <si>
    <t>ㄆㄣˋ</t>
  </si>
  <si>
    <t>pèn</t>
  </si>
  <si>
    <t>[動]
氣味撲鼻。如：「噴鼻」、「噴香」。
[名]
1.稱蔬果、魚蝦等正大量上市的時期。如：「楊桃正在噴兒上。」
2.北方方言。量詞。計算農作物在一定時期內成熟或開花次數的單位。如：「二噴棉花」、「頭噴稻米」。</t>
  </si>
  <si>
    <t>(一)ㄆㄣ pēn（00736）(三)ㄈㄣˋ fèn（01692）</t>
  </si>
  <si>
    <t>(一)ㄆㄣ pēn（00737）</t>
  </si>
  <si>
    <t>乓</t>
  </si>
  <si>
    <t>ㄆㄤ</t>
  </si>
  <si>
    <t>pāng</t>
  </si>
  <si>
    <t>參見「乒乓」條。</t>
  </si>
  <si>
    <t>汸</t>
  </si>
  <si>
    <t>[名]
古代的河流。《山海經．南山經》：「箕尾之山，其尾踆于東海，多沙石。汸水出焉，而南流注于淯。」
[形]
水勢盛大。參見「汸汸」條。</t>
  </si>
  <si>
    <t>滂</t>
  </si>
  <si>
    <t>[形]
水湧出的樣子。如：「滂湃」、「滂沱」。
[動]
湧流。宋．蘇軾〈贈寫御容妙善師〉詩：「幅巾常服儼不動，孤臣入門涕自滂。」</t>
  </si>
  <si>
    <t>[形]
肌肉浮腫。《集韻．平聲．唐韻》：「膀，脹也。」如：「眼皮兒哭得膀膀的。」</t>
  </si>
  <si>
    <t>(一)ㄅㄤˇ bǎng（00284）(二)ㄆㄤˊ páng（00755）(三)ㄅㄤˋ bàng（00291）</t>
  </si>
  <si>
    <t>[形]_x000D_
廣大無邊際。參見「磅礴」條。_x000D_
[擬]_x000D_
參見「磅硠」條。</t>
  </si>
  <si>
    <t>(一)ㄅㄤˋ bàng（00292）(二)ㄅㄥˋ bèng（00313）</t>
  </si>
  <si>
    <t>尨</t>
  </si>
  <si>
    <t xml:space="preserve">尢 </t>
  </si>
  <si>
    <t>ㄆㄤˊ</t>
  </si>
  <si>
    <t>páng</t>
  </si>
  <si>
    <t>[形]
1.色雜不純。《左傳．閔公二年》：「衣之尨服，遠其躬也。」
2.指眉髮斑白。《文選．張衡．思玄賦》：「尉尨眉而郎潛兮，逮三葉而遘武。」
3.雜亂。如：「語言尨雜」。
4.巨大。同「龐」。如：「尨然」。</t>
  </si>
  <si>
    <t>(二)ㄇㄤˊ máng（01273）(三)ㄇㄥˊ méng（01290）</t>
  </si>
  <si>
    <t>厖</t>
  </si>
  <si>
    <t xml:space="preserve">厂 </t>
  </si>
  <si>
    <t>[形]
1.大。《文選．司馬相如．封禪文》：「湛恩厖鴻，易豐也。」唐．李善．注：「厖、鴻，皆大也。」唐．韓愈〈元和聖德詩〉：「天錫皇帝，厖臣碩輔。」
2.雜亂。如：「厖雜」。《書經．周官》：「推賢讓賢，庶官乃和，不和政厖。」唐．皮日休〈憶洞庭觀步十韻〉：「仙犬聲音古，遺民意緒厖。」</t>
  </si>
  <si>
    <t>(二)ㄇㄤˊ máng（01274）</t>
  </si>
  <si>
    <t>庬</t>
  </si>
  <si>
    <t>[形]
大。通「厖」、「龐」。</t>
  </si>
  <si>
    <t>(一)ㄇㄥˇ měng（01321）(二)ㄇㄤˊ máng（01275）</t>
  </si>
  <si>
    <t>彷</t>
  </si>
  <si>
    <t>參見「彷徨」、「彷徉」等條。</t>
  </si>
  <si>
    <t>(二)ㄈㄤˇ fǎng（01713）</t>
  </si>
  <si>
    <t>[名]
1.側、邊。如：「兩旁」、「路旁」。唐．杜甫〈兵車行〉：「道旁過者問行人，行人但云點行頻。」
2.輔佐、幫助。《楚辭．屈原．九章．惜誦》：「吾使厲神占之兮，曰有志極而無旁。」漢．王逸．注：「旁，輔也。」
3.漢字的偏旁。如：「立人旁」、「豎心旁」、「『張』是弓字旁的張，而非立早章。」
4.姓。如秦末有旁君。
[形]
1.側面的。如：「旁邊」。《史記．卷八．高祖本紀》：「老父已去，高祖適從旁舍來。」
2.別的、其他的。如：「旁人」、「沒旁的話」。
3.歧出的。如：「主幹旁枝」。
4.不正的、偏邪的。如：「旁門左道」。《荀子．議兵》：「旁辟曲私之屬為之化而公，矜糾收繚之屬為之化而調。」唐．楊倞．注：「旁，偏頗也。」
[副]
1.邊側的。表方位。如：「旁觀」、「旁聽」。《文選．張衡．西京賦》：「徒觀其城郭之制，則旁開三門。」
2.廣泛、普遍的。如：「旁徵博引」。《書經．太甲上》：「旁求俊彥，啟迪後人。」《三國志．卷一．魏書．武帝紀》：「旁施勤教，恤慎刑獄。」</t>
  </si>
  <si>
    <t>(二)ㄅㄤˋ bàng（00288）</t>
  </si>
  <si>
    <t>雱</t>
  </si>
  <si>
    <t>[形]
雨雪下得大的樣子。《詩經．邶風．北風》：「北風其涼，雨雪其雱。」</t>
  </si>
  <si>
    <t>[名]
1.側、邊。通「旁」。《史記．卷一二六．滑稽傳．淳于髡傳》：「賜酒大王之前，執法在傍。」
2.漢字的偏旁。《水滸傳》第二回：「後來發跡，便將氣毬那字去了毛傍，添作立人，便改作姓高名俅。」
3.姓。如唐代有傍企本。
[形]
1.別的、其他的。通「旁」。《後漢書．卷一三．隗囂傳》：「自今以後，手書相聞，勿用傍人解構之言。」
2.不正的。通「旁」。北齊．顏之推《顏氏家訓．風操》：「偏傍之書，死有歸殺。」
[副]
廣泛、普遍的。通「旁」。《墨子．尚同中》：「己有善，傍薦之。」</t>
  </si>
  <si>
    <t>(一)ㄅㄤˋ bàng（00289）(三)ㄅㄤ bāng（00278）</t>
  </si>
  <si>
    <t>參見「徬徨」條。</t>
  </si>
  <si>
    <t>(二)ㄅㄤˋ bàng（00290）</t>
  </si>
  <si>
    <t>參見「膀胱」條。</t>
  </si>
  <si>
    <t>(一)ㄅㄤˇ bǎng（00284）(三)ㄅㄤˋ bàng（00291）(四)ㄆㄤ pāng（00745）</t>
  </si>
  <si>
    <t>螃</t>
  </si>
  <si>
    <t>參見「螃蟹」條。</t>
  </si>
  <si>
    <t>篣</t>
  </si>
  <si>
    <t>[名]
1.竹製的畚箕。《廣韻．平聲．唐韻》：「篣，竹箕。」
2.參見「篣竹」條。</t>
  </si>
  <si>
    <t>(二)ㄆㄥˊ péng（00794）</t>
  </si>
  <si>
    <t>逄</t>
  </si>
  <si>
    <t>[名]
姓。如周代有逄同，漢代有逄安。</t>
  </si>
  <si>
    <t>(二)ㄈㄥˊ féng（▲01738）</t>
  </si>
  <si>
    <t>龐</t>
  </si>
  <si>
    <t>[形]
1.高大。如：「龐大」。唐．柳宗元〈三戒．黔之驢〉：「形之龐也類有德，聲之宏也類有能。」
2.雜亂。《舊唐書．卷一三一．列傳．李勉》：「汴州水陸所湊，邑居龐雜，號為難理。」
[名]
1.面貌、臉蛋。如：「面龐」、「臉龐」。元．王實甫《西廂記．第二本．第二折》：「衣冠濟楚龐兒俊，可知道引動俺鶯鶯。」
2.姓。如戰國時魏國有龐涓。</t>
  </si>
  <si>
    <t>ㄆㄤˋ</t>
  </si>
  <si>
    <t>pàng</t>
  </si>
  <si>
    <t>[形]
身體豐肥、脂肪多。如：「肥胖」、「胖娃兒」。《文明小史》第二六回：「原來是一位女學生身體太胖了，椅子不結實，腿兒折了，幾乎仰翻過去。」</t>
  </si>
  <si>
    <t>(二)ㄆㄢˊ pán（00710）</t>
  </si>
  <si>
    <t>亨</t>
  </si>
  <si>
    <t>ㄆㄥ</t>
  </si>
  <si>
    <t>pēng</t>
  </si>
  <si>
    <t>[動]
煮。為「烹」的本字。《廣韻．平聲．庚韻》：「亨，煮也。俗作『烹』。」《周禮．天官．內饔》：「割亨煎和之事。」漢．鄭玄．注：「亨，煮也。」</t>
  </si>
  <si>
    <t>(一)ㄏㄥ hēng（04916）(二)（(一)之又音）ㄏㄥˊ héng（04919）</t>
  </si>
  <si>
    <t>烹</t>
  </si>
  <si>
    <t>[動]
1.一種烹飪方法。將食物入沸油半煎炸至熟，加佐料後略一沸滾即成。《左傳．昭公二十年》：「水火醯醢鹽梅以烹魚肉，燀之以薪。」
2.古代一種以鼎煮人的酷刑。《戰國策．趙策三》：「然吾將使秦王烹醢梁王。」《新唐書．卷八五．竇建德傳》：「河間久拒守，多殺士，今力窮而下，請烹之。」
3.殺、滅。《淮南子．說林》：「狡兔得而獵犬烹，高鳥盡而強弩藏。」《史記．卷六．秦始皇本紀》：「烹滅彊暴，振救黔首，周定四極。」
[名]
餚饌。宋．陸游〈故里〉詩：「芋魁菰首君無笑，老子看來是大烹。」</t>
  </si>
  <si>
    <t>泙</t>
  </si>
  <si>
    <t>參見「泙湃」、「泙泙」等條。</t>
  </si>
  <si>
    <t>怦</t>
  </si>
  <si>
    <t>[擬]_x000D_
模擬心跳聲。如：「緊張得連怦怦的心跳聲都聽得見。」_x000D_
[形]_x000D_
忠誠的。《楚辭．宋玉．九辯》：「私自憐兮何極，心怦怦兮諒直。」宋．洪興祖．補注：「怦，一曰忠謹貌。」</t>
  </si>
  <si>
    <t>抨</t>
  </si>
  <si>
    <t>[動]
1.拉弓。唐．杜甫〈自閬州領妻子卻赴蜀山行〉詩三首之三：「轉石驚魑魅，抨弓落狖鼯。」唐．李賀〈猛虎行〉：「長戈莫舂，長弩莫抨。」
2.批評、攻擊、彈劾。如：「抨擊」。《新唐書．卷一三〇．陽嶠傳》：「楊再思素與嶠善，知其意不樂彈抨事。」</t>
  </si>
  <si>
    <t>砰</t>
  </si>
  <si>
    <t>[擬]_x000D_
1.模擬重物落地或撞擊的巨大聲響。如：「砰的一聲，他用力關上門。」_x000D_
2.模擬槍枝發射的聲音。如：「砰的一聲，他被射中了。」</t>
  </si>
  <si>
    <t>軯</t>
  </si>
  <si>
    <t>[擬]_x000D_
模擬車行聲、雷聲等。《集韻．平聲．耕韻》：「軯，車馬聲。」漢．張衡〈思玄賦〉：「豐隆軯其震霆兮，列缺曄其照夜。」</t>
  </si>
  <si>
    <t>閛</t>
  </si>
  <si>
    <t>[擬]_x000D_
模擬關門的聲音。漢．揚雄《法言．問道》：「開之廓然見四海，閉之閛然不睹牆之裡。」《聊齋志異．卷一一．陳雲棲》：「但見室門閛然而合。」</t>
  </si>
  <si>
    <t>駍</t>
  </si>
  <si>
    <t>[擬]_x000D_
模擬車馬聲。《集韻．平聲．耕韻》：「軯，車馬聲。或从馬。」</t>
  </si>
  <si>
    <t>恲</t>
  </si>
  <si>
    <t>[動]
顯現、流露。《淮南子．齊俗》：「故禮因人情而為之節文，而仁發恲以見容。」
[形]
1.慷慨、激動。《文選．王粲．從軍詩五首之二》：「夙夜自恲性，思逝若抽縈。」唐．李善．注：「《廣雅》曰：『恲，忼慨也。』」
2.參見「恲恲」條。</t>
  </si>
  <si>
    <t>淜</t>
  </si>
  <si>
    <t>[動]
涉水過河。《說文解字．水部》：「淜，無舟渡河也。」
[擬]
參見「淜滂」條。</t>
  </si>
  <si>
    <t>硼</t>
  </si>
  <si>
    <t>參見「硼砰」條。</t>
  </si>
  <si>
    <t>(一)ㄆㄥˊ péng（00782）</t>
  </si>
  <si>
    <t>漰</t>
  </si>
  <si>
    <t>[擬]
參見「漰沛」條。</t>
  </si>
  <si>
    <t>磞</t>
  </si>
  <si>
    <t>[動]_x000D_
擊石。《玉篇．石部》：「磞，擊石也。」_x000D_
[副]_x000D_
受到刺激而倒地。清．孔尚任《桃花扇》第二七齣：「香君懼怕，磞死在地。」_x000D_
[擬]_x000D_
模擬斷弦的聲音。《紅樓夢》第八七回：「正議論時，聽得君弦磞的一聲斷了。」</t>
  </si>
  <si>
    <t>澎</t>
  </si>
  <si>
    <t>參見「澎湃」、「澎濞」等條。</t>
  </si>
  <si>
    <t>(二)ㄆㄥˊ péng（00791）</t>
  </si>
  <si>
    <t>芃</t>
  </si>
  <si>
    <t>ㄆㄥˊ</t>
  </si>
  <si>
    <t>péng</t>
  </si>
  <si>
    <t>[形]
1.草木茂盛。《說文解字．艸部》：「芃，艸盛也。」《詩經．鄘風．載馳》：「我行其野，芃芃其麥。」《清史稿．卷九十七．樂志四》：「蓊鬱元雲渰宸楓，大雨時行黍稷芃。」
2.獸毛蓬鬆雜亂。《詩經．小雅．何草不黃》：「有芃者狐，率彼幽草。」</t>
  </si>
  <si>
    <t>朋</t>
  </si>
  <si>
    <t xml:space="preserve">月 </t>
  </si>
  <si>
    <t>[名]
1.友人。如：「親朋好友」、「朋友」。
2.量詞。古代計算貨幣的單位。《詩經．小雅．菁菁者莪》：「既見君子，錫我百朋。」
3.姓。如宋代有朋山、朋水。
[動]
1.集結。如：「朋比為奸」。宋．劉克莊〈鵲橋仙．閣中芸冷〉詞：「不交平勃，不遊田竇，也不朋他牛李。」
2.相比、相類。《詩經．唐風．椒聊》：「彼其之子，碩大無朋。」</t>
  </si>
  <si>
    <t>倗</t>
  </si>
  <si>
    <t>[動]
輔助。《說文解字．人部》：「倗，輔也。」
[名]
姓。如西漢時有倗宗。</t>
  </si>
  <si>
    <t>[名]
1.用來掛箭靶的短牆。北周．庾信〈北園射堂新成詩〉：「轉剪初調筈，橫弓先望堋。」《新唐書．卷五〇．兵志》：「諸軍皆近營為堋，士有便習者，教試之，及第者有賞。」
2.堤壩，用來堵水灌溉。北魏．酈道元《水經注．江水注》：「江水又噱鞶安縣，縣有桃關、漢武帝祠，李冰作大堰于此，雍江作堋，堋有左右，口謂之湔堋。」元．虞集〈會試策問〉：「故鄭渠鑿而秦人富，蜀堋成而陸海興。」</t>
  </si>
  <si>
    <t>(一)ㄅㄥˋ bèng（00309）</t>
  </si>
  <si>
    <t>[形]
弓強的樣子。《說文解字．弓部》：「朋，弓彊貌。」
[動]
充滿、蓄積。參見「弸中彪外」條。</t>
  </si>
  <si>
    <t>(二)（又音）ㄅㄥ bēng（00299）</t>
  </si>
  <si>
    <t>棚</t>
  </si>
  <si>
    <t>[名]
1.樓閣。《隋書．卷六二．柳彧》：「高棚跨路，廣幕陵雲。」
2.用竹木和茅草搭蓋而成的蓬架，有遮陽擋雨的功能。如：「涼棚」、「草棚」。唐．陸龜蒙〈江南秋懷寄華陽山人〉詩：「餓烏窺食案，鬥鼠落書棚。」</t>
  </si>
  <si>
    <t>[名]
（boron，B）化學元素。原子序5。非金屬固體元素之一。純品由人工製成，有褐色非晶形粉末及堅硬的結晶形二種。常作為核反應爐的中子吸收劑用作催化劑，可及供製催化劑、陶瓷、合金、溫度計等。</t>
  </si>
  <si>
    <t>(二)ㄆㄥ pēng（00772）</t>
  </si>
  <si>
    <t>輣</t>
  </si>
  <si>
    <t>[名]
兵車、戰車。《說文解字．車部》：「輣，兵車也。」《史記．卷一一八．淮南衡山傳》：「王乃使孝客江都人救赫、陳喜作輣車鏃矢。」《漢書．卷一〇〇．敘傳下》：「戎車七征，衝輣閑閑。」</t>
  </si>
  <si>
    <t>鬅</t>
  </si>
  <si>
    <t>[形]
頭髮散亂。如：「鬅頭垢面」。</t>
  </si>
  <si>
    <t>鵬</t>
  </si>
  <si>
    <t>[名]
古書上記載的一種大鳥，傳說能一飛數千里。《莊子．逍遙遊》：「北冥有魚，其名為鯤，鯤之大不知其幾千里也，化而為鳥，其名為鵬，鵬之背不知其幾千里也。怒而飛，其翼若垂天之雲。」</t>
  </si>
  <si>
    <t>逢</t>
  </si>
  <si>
    <t>[擬]
參見「逢逢」條。
[名]
姓。如夏朝有逢蒙。</t>
  </si>
  <si>
    <t>(一)ㄈㄥˊ féng（01738）</t>
  </si>
  <si>
    <t>蓬</t>
  </si>
  <si>
    <t>[名]
1.植物名。菊科飛蓬屬，「飛蓬」之古稱。參見「飛蓬」條。
2.姓。如漢代有蓬球。
[形]
散亂的樣子。如：「蓬頭垢面」。漢．揚雄〈長楊賦〉：「頭蓬不暇梳，飢不及餐。」</t>
  </si>
  <si>
    <t>髼</t>
  </si>
  <si>
    <t>參見「髼鬆」條。</t>
  </si>
  <si>
    <t>篷</t>
  </si>
  <si>
    <t>[名]
1.在車、船上的遮蔽物，用竹片或油布等搭設而成。如：「車篷」、「船篷」。
2.船帆。《三國演義》第四九回：「那篷墮落下水，其船便橫。」《警世通言．卷一一．蘇知縣羅衫再合》：「拽起滿篷，倒使轉向黃天蕩去。」
3.借指船。唐．皮日休〈寄懷南陽潤卿〉詩：「何事對君猶有愧，一篷衝雪返華陽。」</t>
  </si>
  <si>
    <t>彭</t>
  </si>
  <si>
    <t>[名]
1.地名。春秋鄭邑。故址約在今大陸地區河南省中牟縣境內。
2.姓。如清代有彭孫貽。</t>
  </si>
  <si>
    <t>參見「澎湖縣」、「澎浪磯」、「澎湖群島」等條。</t>
  </si>
  <si>
    <t>(一)ㄆㄥ pēng（00775）</t>
  </si>
  <si>
    <t>膨</t>
  </si>
  <si>
    <t>參見「膨脹」條。</t>
  </si>
  <si>
    <t>蟛</t>
  </si>
  <si>
    <t>參見「蟛螖」、「蟛蜞」等條。</t>
  </si>
  <si>
    <t>[名]
竹籠的別稱。漢．揚雄《方言》卷一三：「籠，南楚江沔之間謂之篣。」
[動]
鞭笞、擊打。《後漢書．卷三三．虞延傳》：「陰氏屢請，獲一書輒加篣二百。」唐．皮日休〈十原系述．原親〉：「吾觀夫今之世誨其子者，必檟肌篣骨，傷愛毀性以為教。」</t>
  </si>
  <si>
    <t>(一)ㄆㄤˊ páng（00757）</t>
  </si>
  <si>
    <t>捧</t>
  </si>
  <si>
    <t>ㄆㄥˇ</t>
  </si>
  <si>
    <t>pěng</t>
  </si>
  <si>
    <t>[動]
1.用兩手托物。如：「捧碗」、「捧茶」。《後漢書．卷三三．朱浮傳》：「此猶河濱之人捧土以塞孟津，多見其不知量也。」
2.捫、按。如：「捧腹大笑」。《莊子．天運》：「故西施病心而臏其里，其里之醜人見而笑之，歸亦捧心而臏其里。」
3.讚揚、奉承他人或代為吹噓。如：「捧場」、「他被捧上天了。」
[名]
量詞。計算兩手捧承物品的單位。如：「捧著一捧花」。</t>
  </si>
  <si>
    <t>椪</t>
  </si>
  <si>
    <t>ㄆㄥˋ</t>
  </si>
  <si>
    <t>pèng</t>
  </si>
  <si>
    <t>參見「椪柑」條。</t>
  </si>
  <si>
    <t>碰</t>
  </si>
  <si>
    <t>[動]
1.物體與物相撞擊。如：「相碰」、「碰傷了手」。
2.遇到。如：「碰見」、「碰到」。
3.試探、嘗試。如：「碰運氣」、「碰機會」。
4.招惹。《紅樓夢》第五五回：「何苦你們先來碰在這釘子上？」《兒女英雄傳》第二二回：「其實咱們離開不到一年，瞧瞧你們在外頭，倒碰出多少不順心的事來。」</t>
  </si>
  <si>
    <t>踫</t>
  </si>
  <si>
    <t>[動]
徒步渡水。《集韻．平聲．銜韻》：「踫，涉也。」</t>
  </si>
  <si>
    <t>匹</t>
  </si>
  <si>
    <t>ㄆㄧ</t>
  </si>
  <si>
    <t>pī</t>
  </si>
  <si>
    <t>[名]_x000D_
量詞。計算馬、騾、驢等牲畜的單位。如：「馬匹」、「一匹馬」、「兩匹驢」、「單槍匹馬」。</t>
  </si>
  <si>
    <t>(一)ㄆㄧˇ pǐ（00845）</t>
  </si>
  <si>
    <t>丕</t>
  </si>
  <si>
    <t>[形]_x000D_
大。《書經．大禹謨》：「予懋乃德，嘉乃丕績。」《史記．卷一一七．司馬相如列傳》：「天下之壯觀，王者之丕業。」_x000D_
[副]_x000D_
大，表示程度深。《北史．卷一二．隋本紀．煬帝》：「朕又聞之，安安而能遷，民用丕變。」《宋史．卷一三三．樂志八》：「丕闡文德，靡忘發揚。」_x000D_
[動]_x000D_
遵奉、秉持。漢．班固〈典引〉：「汪汪乎丕天之大律，其疇能亙之哉！」_x000D_
[連]_x000D_
乃。《書經．禹貢》：「三危既宅，三苗丕敘。」_x000D_
[名]_x000D_
姓。如春秋時晉國有丕鄭。</t>
  </si>
  <si>
    <t>伾</t>
  </si>
  <si>
    <t>參見「伾伾」條。</t>
  </si>
  <si>
    <t>(一)ㄆㄟ pēi（00643）</t>
  </si>
  <si>
    <t>狉</t>
  </si>
  <si>
    <t>[名]
狸子。《集韻．平聲．脂韻》：「狉，狸子。」
[副]
參見「狉狉」條。</t>
  </si>
  <si>
    <t>秠</t>
  </si>
  <si>
    <t>[名]
一種殼中有二米的黑黍。《詩經．大雅．生民》：「誕降嘉種，維秬維秠，維穈維芑。」唐．孔穎達．正義：「秬是黑麥之大名，秠是黑麥之中有二米者，別名之為秠。」</t>
  </si>
  <si>
    <t>駓</t>
  </si>
  <si>
    <t>[名]
黃白雜毛的馬。《詩經．魯頌．駉》：「有騅有駓，有騂有騏。」漢．鄭玄．箋：「黃白雜毛曰駓。」</t>
  </si>
  <si>
    <t>批</t>
  </si>
  <si>
    <t>[名]
1.上級回覆下級且有所評論的公文。《儒林外史》第六回：「嚴貢生看了這批，那頭上的火直冒了有十幾丈，隨即寫呈到府裡去告。」
2.附注在文件或書籍上的評語。如：「眉批」。
3.棉麻等在未捻成線或繩時的細縷。如：「麻批」、「線批」。
4.量詞。計算成群的人或物品的單位。如：「一批旅客」、「三大批木材」。
[動]
1.用手擊打。《左傳．莊公十二年》：「遇仇牧于門，批而殺之。」
2.觸碰、攻擊。如：「批亢擣虛」。《戰國策．燕策三》：「奈何以見陵之怨，欲批其逆鱗哉！」
3.排除、排解。《史記．卷七九．范雎蔡澤傳》：「治亂彊兵，批患折難。」
4.分開、分解。如：「把財產批成兩部分。」
5.在文件或文章上直接注明意見和評斷。如：「批可」、「批閱」、「批准」。
6.判斷、評論。如：「批評」、「批判」。
7.一種烹飪刀法。橫面薄削。元．關漢卿《望月亭》第三折：「這魚不宜那水煮油煎，則是那薄批細切。」
8.大量買賣。如：「批貨」、「批發」。《鏡花緣》第三二回：「這個貨單拿到大戶人家，不過三兩日就可批完。」</t>
  </si>
  <si>
    <t>砒</t>
  </si>
  <si>
    <t>[名]_x000D_
（arsenic，As）化學元素。原子序33。非金屬元素之一，為灰色有光的結晶體，可作藥用，有劇毒。</t>
  </si>
  <si>
    <t>紕</t>
  </si>
  <si>
    <t>[名]
織布時，經緯線沒織好的地方。引申為錯誤。如：「紕繆」、「紕漏」。
[形]
布帛等織品線或接縫處脫散。如：「線紕了」。</t>
  </si>
  <si>
    <t>(二)ㄆㄧˊ pí（00824）</t>
  </si>
  <si>
    <t>鈚</t>
  </si>
  <si>
    <t>(一)ㄆㄧˊ pí（00826）</t>
  </si>
  <si>
    <t>[名]
1.一種箭鏃。《集韻．平聲．齊韻》：「《方言》：『箭鏃廣長而薄鎌謂之錍。』或作鈚、鎞。」
2.箭鏃形的刀。古代醫生用來治療眼疾的手術用具。明．張自烈《正字通．金部》：「《方書》：『刀似箭鏃者曰鎞。』《涅盤經》：『有盲人為治目，故造詣良醫。是時良醫即以金鎞刮其眼膜。』」《北史．卷八四．孝行傳．張元傳》：「其夜夢見一老翁，以金鎞療其祖目。」</t>
  </si>
  <si>
    <t>(二)ㄅㄧˋ bì（00340）</t>
  </si>
  <si>
    <t>[動]
1.將衣物搭在肩背上。如：「披羊皮的狼」。《文選．曹丕．雜詩二首之一》：「展轉不能寐，披衣起彷徨。」《三國演義》第三八回：「頭戴綸巾，身披鶴氅。」
2.打開、翻開。如：「披卷」、「披襟」、「披肝瀝膽」。唐．韓愈〈進學解〉：「先生口不絕吟於六藝之文，手不停披於百家之編。」
3.剖開、揭露。《漢書．卷五一．枚乘傳》：「臣乘願披腹心而效愚忠，唯大王少加意念惻怛之心於臣乘言。」《二十年目睹之怪現狀》第八四回：「一紙私函將意去，五中深慮向君披。」
4.分開、拆裂。《史記．卷七九．范雎蔡澤傳》：「木實繁者披其枝，披其枝者傷其心。」
5.分散、散開。如：「披頭散髮」、「披髮左衽」。《明史．卷一．太祖本紀一》：「羽翼既披，平江勢孤，立破矣。」</t>
  </si>
  <si>
    <t>(二)（又音）ㄆㄟ pēi(00647)</t>
  </si>
  <si>
    <t>[動]
1.分散。通「披」。《論語．憲問》：「微管仲，吾其被髮左衽矣！」
2.加衣於身而不束帶。通「披」。《楚辭．屈原．九歌．國殤》：「操吳戈兮被犀甲。」</t>
  </si>
  <si>
    <t>(一)ㄅㄟˋ bèi（00185）</t>
  </si>
  <si>
    <t>鈹</t>
  </si>
  <si>
    <t>[名]
1.針砭用的長針。《說文解字．金部》：「鈹，大鍼。」清．段玉裁．注：「玄應曰：『醫家用以破癰。』」
2.一種兩邊有刃而用刀鞘套著的劍。《說文解字．金部》：「一曰劍而刀裝者。」清．段玉裁．注：「劍兩刃，刀一刃，而裝不同。實劍而用刀削裹之是曰鈹。」
3.長矛。漢．揚雄《方言》卷九：「錟謂之鈹。」晉．郭璞．注：「今江東呼大矛為鈹。」</t>
  </si>
  <si>
    <t>(一)ㄆㄧˊ pí（00832）</t>
  </si>
  <si>
    <t>劈</t>
  </si>
  <si>
    <t>[動]
1.用刀斧等從縱面將物體破開。如：「劈柴」、「劈成兩半」、「直劈而下」。唐．白居易〈潯陽三題．溢浦竹〉詩：「剖劈青琅玕，家家蓋牆屋。」宋．樂雷發〈烏烏歌〉：「請君為我焚卻離騷賦，我亦為君劈碎太極圖。」
2.雷電擊毀。如：「天打雷劈」。
3.朝著、對著。如：「劈面」、「劈頭」。《水滸傳》第三八回：「李逵聽了，便把魚汁劈臉潑將出去，淋那酒保一身。」</t>
  </si>
  <si>
    <t>(二)ㄆㄧˇ pǐ（00854）</t>
  </si>
  <si>
    <t>霹</t>
  </si>
  <si>
    <t>[名]
參見「霹靂」條。
[動]
雷擊劈折。如：「電擊雷霹」。唐．杜甫〈敬寄族弟唐十八使君〉詩：「雷霆霹長松，骨大卻生筋。」</t>
  </si>
  <si>
    <t>ㄆㄧˊ</t>
  </si>
  <si>
    <t>pí</t>
  </si>
  <si>
    <t>參見「皋比」條。</t>
  </si>
  <si>
    <t>(一)ㄅㄧˇ bǐ（00320）(二)ㄅㄧˋ bì（00330）</t>
  </si>
  <si>
    <t>阰</t>
  </si>
  <si>
    <t>[名]
山名。約在古代楚國南部。《楚辭．屈原．離騷》：「朝搴阰之木蘭兮，夕攬洲之宿莽。」宋．洪興祖．補注：「山在楚南。」</t>
  </si>
  <si>
    <t>玭</t>
  </si>
  <si>
    <t>(一)ㄆㄧㄣˊ pín（00937）(二)（(一)之又音）ㄆㄧㄢˊ pián（00919）</t>
  </si>
  <si>
    <t>枇</t>
  </si>
  <si>
    <t>參見「枇杷」條。</t>
  </si>
  <si>
    <t>[名]
植物名。錦葵科錦葵屬。「錦葵」、「露葵」、「芘芣」之古稱，參見「錦葵」條。</t>
  </si>
  <si>
    <t>(一)ㄅㄧˋ bì（00333）</t>
  </si>
  <si>
    <t>毗</t>
  </si>
  <si>
    <t>[動]
1.輔助、輔佐。如：「毗輔」、「毗佐」。《書經．微子之命》：「永綏厥位，毗予一人。」
2.連接。如：「毗鄰」、「毗連」。</t>
  </si>
  <si>
    <t>毘</t>
  </si>
  <si>
    <t>同「毗」。</t>
  </si>
  <si>
    <t>蚍</t>
  </si>
  <si>
    <t>參見「蚍蜉」條。</t>
  </si>
  <si>
    <t>[名]
衣冠的緣飾。《禮記．玉藻》：「縞冠素紕，既祥之冠也。」
[動]
在衣冠或旗幟邊緣繡上花邊。《詩經．鄘風．干旄》：「素絲紕之，良馬四之。」</t>
  </si>
  <si>
    <t>(一)ㄆㄧ pī（00808）</t>
  </si>
  <si>
    <t>琵</t>
  </si>
  <si>
    <t>[名]
箭頭較薄而闊，箭桿較長的箭。唐．杜甫〈七月三日亭午已後校熱退晚加小涼穩睡有詩因論壯年樂事戲呈元二十一曹長〉詩：「長鈚逐狡兔，突羽當滿月。」</t>
  </si>
  <si>
    <t>(二)（又音）ㄆㄧ pī（00809）</t>
  </si>
  <si>
    <t>膍</t>
  </si>
  <si>
    <t>[名]
牛羊等反芻動物的胃。如：「膍胵」。《莊子．庚桑楚》：「臘者之有膍胲，可散而不可散也。」
[動]
賜予。《詩經．小雅．采菽》：「樂只君子，福祿膍之。」</t>
  </si>
  <si>
    <t>貔</t>
  </si>
  <si>
    <t>[名]
一種猛獸。似虎，毛灰白色。《書經．牧誓》：「如虎如貔。」漢．孔安國．傳：「貔，執夷，虎屬也。」</t>
  </si>
  <si>
    <t>皮</t>
  </si>
  <si>
    <t>[名]
1.動植物體表的一層組織。如：「獸皮」、「皮開肉綻」、「樹皮」。
2.物的表面。唐．韓愈〈題于賓客莊〉詩：「榆莢車前蓋地皮，薔薇蘸水筍穿籬。」
3.很薄的東西。如：「鐵皮」、「粉皮」、「豆腐皮」。
4.包裝東西的外皮，以為保護或美觀用。如：「封皮」、「書皮」。
5.姓。如唐代有皮日休。
6.二一四部首之一。
[形]
1.皮製的。如：「皮鞋」、「皮箱」、「皮筏」。
2.厚顏、沒有羞恥心。《喻世明言．卷二三．張舜美燈宵得麗女》：「訕語時，口要緊；刮涎處，臉須皮。」
3.性情頑劣不聽話。如：「這孩子好皮。」
4.有彈性的。如：「皮球」、「皮蛋」。</t>
  </si>
  <si>
    <t>[名]
1.山坡。《文選．古詩十九首．冉冉生孤竹》：「千里遠結婚，悠悠隔山陂。」明．徐弘祖《徐霞客遊記．卷二下．楚遊日記》：「土人環石為陂，壅成巨潭，以灌山塍。」
2.池塘、湖泊。《淮南子．說林》：「十頃之陂，可以灌四十頃。」《文選．司馬相如．上林賦》：「日出東沼，入乎西陂。」</t>
  </si>
  <si>
    <t>(二)ㄆㄛ pō（00599）</t>
  </si>
  <si>
    <t>疲</t>
  </si>
  <si>
    <t>[形]
1.勞累，困乏的樣子。如：「精疲力盡」。《紅樓夢》第一九回：「且說榮寧二府中，因連日用盡心力，真是人人力倦，各各神疲。」
2.瘦弱或衰老。《管子．小匡》：「故使天下諸侯以疲馬犬羊為幣。」
3.商品價格低落，買賣的情況稀少。如：「外匯市場行情疲軟。」
[動]
1.使勞累。《左傳．成公十六年》：「奸時以動，而疲民以逞。」
2.厭倦。如：「樂此不疲」。</t>
  </si>
  <si>
    <t>[名]_x000D_
（beryllium，Be）化學元素。原子序4。鹼土金屬元素之一。色白，有延展性，是最輕的金屬之一，鈹鋁合金，質堅而輕，應用於飛機、火箭的製造。X射線透入性高，可用以製造X射線管，受α粒子撞擊時可產生中子，也用在原子能工業中。但產量很少，不敷需求。</t>
  </si>
  <si>
    <t>(二)ㄆㄧ pī（00813）</t>
  </si>
  <si>
    <t>[名]
1.低牆。唐．杜甫〈題省中院壁〉詩：「掖垣竹埤梧十尋，洞門對霤常陰陰。」
2.灌溉用的蓄水池。多用於地名。參見「埤頭鄉」、「虎頭埤」條。
[動]
增加。《詩經．邶風．北門》：「王事適我，政事一埤益我。」南朝宋．鮑照〈登大雷岸與妹書〉：「削長埤短，可數百里。」</t>
  </si>
  <si>
    <t>(一)ㄆㄧˋ pì（00860）(二)ㄅㄧˋ bì（00368）(四)ㄅㄟ bēi（00152）</t>
  </si>
  <si>
    <t>啤</t>
  </si>
  <si>
    <t>參見「啤酒」條。</t>
  </si>
  <si>
    <t>郫</t>
  </si>
  <si>
    <t>參見「郫縣」條。</t>
  </si>
  <si>
    <t>陴</t>
  </si>
  <si>
    <t>[名]
城上的短牆。《文選．丘遲．與陳伯之書》：「撫絃登陴，豈不愴悢。」</t>
  </si>
  <si>
    <t>[名]
1.橢圓形的盛酒器。《說文解字．木部》：「椑，圜榼也。」《漢書．卷六一．張騫傳》「以其頭為飲器」句下唐．顏師古．注：「椑榼，即今之偏榼，所以盛酒耳，非用飲者也。」
2.斧柄。《玉篇．木部》：「椑，齊人謂斧柯為椑。」</t>
  </si>
  <si>
    <t>(一)ㄅㄟ bēi（00153）</t>
  </si>
  <si>
    <t>脾</t>
  </si>
  <si>
    <t>[名]
1.內臟之一。參見「脾臟」條。
2.參見「脾氣」條。</t>
  </si>
  <si>
    <t>[形]
1.小的。《文選．張衡．西京賦》：「爾乃商賈百族，裨販夫婦。」
2.副的、偏的。《三國志．卷五六．吳書．呂範傳》：「曹公至赤壁，（呂範）與周瑜等俱拒破之，拜裨將軍，領彭澤太守。」《晉書．卷五九．東海王越傳》：「自頃胡寇內逼，偏裨失利。」
[名]
姓。如春秋時鄭國有裨諶。</t>
  </si>
  <si>
    <t>(一)ㄅㄧˋ bì（00373）</t>
  </si>
  <si>
    <t>蜱</t>
  </si>
  <si>
    <t>[名]
動物名。節肢動物門蜘蛛綱。身體呈橢圓形，頭胸部和腹部合在一起，有四對腳。有許多種類，多附著於動物皮面，吸吮血液為生。</t>
  </si>
  <si>
    <t>鼙</t>
  </si>
  <si>
    <t xml:space="preserve">鼓 </t>
  </si>
  <si>
    <t>[名]
1.古代軍隊中作戰時使用的戰鼓。《禮記．樂記》：「君子聽鼓鼙之聲，則思將帥之臣。」唐．白居易〈長恨歌〉：「漁陽鼙鼓動地來，驚破霓裳羽衣曲。」
2.指戰鼓聲。唐．毛文錫〈甘州遍．春光好〉詞：「邊聲四起，愁聞戍角與征鼙。」</t>
  </si>
  <si>
    <t>蠯</t>
  </si>
  <si>
    <t>[名]
狹長的蚌蛤。《集韻．平聲．佳韻》：「蠯，蚌狹而長者。」《周禮．天官．鱉人》：「祭祀共蠯，蠃蚳以授醢人。」</t>
  </si>
  <si>
    <t>[形]
勞乏、困倦。通「疲」。《淮南子．俶真》：「神盡而形有餘，故罷馬之死也，剝之若槁。」《文選．賈誼．過秦論》：「兵革不休，士民罷敝。」</t>
  </si>
  <si>
    <t>(一)ㄅㄚˋ bà（00031）(二)˙ㄅㄚ ba（00039）</t>
  </si>
  <si>
    <t>羆</t>
  </si>
  <si>
    <t>[名]
一種大熊。毛皮呈黃白雜文。能爬樹、游泳，具強大力氣。《爾雅．釋獸》：「羆，如熊，黃白文。」晉．郭璞．注：「似熊而長頭高腳，猛憨多力，能拔樹木。」</t>
  </si>
  <si>
    <t>ㄆㄧˇ</t>
  </si>
  <si>
    <t>pǐ</t>
  </si>
  <si>
    <t>[名]_x000D_
1.量詞。計算布帛類紡織品的單位。如：「一匹布」、「兩匹綢子」。_x000D_
2.朋友。《禮記．緇衣》：「唯君子能好其正，小人毒其正。」漢．鄭玄．注：「正當為匹字之誤。匹謂知識朋友。」_x000D_
[動]_x000D_
1.配合、匹配。《左傳．桓公十年》：「匹夫無罪。」唐．孔穎達．正義：「庶人惟夫妻相匹。」漢．董仲舒《春秋繁露．楚莊王》：「百物皆有合偶，偶之合之，仇之匹之，善矣。」_x000D_
2.比較、相比。《莊子．逍遙遊》：「彭祖乃今以久特聞，眾人匹之，不亦悲乎？」_x000D_
[形]_x000D_
1.地位對等、實力相當。《左傳．僖公二十三年》：「秦晉匹也，何以卑我？」_x000D_
2.單獨的。如：「匹婦」。《孟子．梁惠王下》：「此匹夫之勇，敵一人者也。」</t>
  </si>
  <si>
    <t>(二)ㄆㄧ pī（00799）</t>
  </si>
  <si>
    <t>庀</t>
  </si>
  <si>
    <t>[動]
1.治理。《集韻．上聲．紙韻》：「庀，治也。」《國語．魯語下》：「卿大夫朝考其職，晝講其庶政，夕序其業，夜庀其家事，而後即安。」
2.具備。《左傳．襄公五年》：「宰庀家器為葬備。」晉．杜預．注：「庀，具也。」《聊齋志異．卷一一．黃英》：「鳩工庀料，土木大作。」</t>
  </si>
  <si>
    <t>仳</t>
  </si>
  <si>
    <t>[動]
分別、分離。如：「仳離」、「仳別」。</t>
  </si>
  <si>
    <t>[動]
詆毀。《莊子．列禦寇》：「中德也者，有以自好也，而吡其所不為者也。」</t>
  </si>
  <si>
    <t>(一)ㄅㄧˋ bì（00332）</t>
  </si>
  <si>
    <t>疋</t>
  </si>
  <si>
    <t xml:space="preserve">疋 </t>
  </si>
  <si>
    <t>[名]
量詞。計算布帛類紡織品的單位。同「匹」。如：「兩疋布」。</t>
  </si>
  <si>
    <t>(二)ㄧㄚˇ yǎ（10750）(三)ㄕㄨ shū（09077）</t>
  </si>
  <si>
    <t>圮</t>
  </si>
  <si>
    <t>[動]
毀壞、傾倒。如：「傾圮」、「圮墳」。</t>
  </si>
  <si>
    <t>否</t>
  </si>
  <si>
    <t>[名]
1.《易經》卦名。六十四卦之一。坤（☷）下乾（☰）上。象天地不交，萬物不通之義。
2.壞、惡。如：「否極泰來」。《詩經．大雅．抑》：「於呼小子，未知臧否。」《文選．諸葛亮．出師表》：「宮中府中，俱為一體，陟罰臧否，不宜異同。」
[形]
不好、惡劣的。如：「否德」。漢．桓寬《鹽鐵論．復古》：「窮夫否婦，不知國家之慮。」
[動]
貶斥。如：「臧否人物」。</t>
  </si>
  <si>
    <t>(一)ㄈㄡˇ fǒu（01598）</t>
  </si>
  <si>
    <t>痞</t>
  </si>
  <si>
    <t>[名]
1.慢性脾臟腫大，腹內如生硬塊，故稱為「痞塊」。《玉篇．疒部》：「痞，腹內結病。」
2.中醫稱腹胸間氣血阻塞不順暢的症狀。《南齊書．卷五三．良政傳．虞愿傳》：「食逐夷積多，胸腹痞脹，氣將絕。」
3.胡作非為的人。如：「地痞」、「痞子」。</t>
  </si>
  <si>
    <t>嚭</t>
  </si>
  <si>
    <t>[名]
人名用字。如春秋時吳國有伯嚭。</t>
  </si>
  <si>
    <t>參見「劈柴」條。</t>
  </si>
  <si>
    <t>(一)ㄆㄧ pī（00814）</t>
  </si>
  <si>
    <t>癖</t>
  </si>
  <si>
    <t>[名]
1.病名。中醫上指腹內生硬塊，消化不良的病症。《玉篇．疒部》：「癖，食不消。」《抱朴子．內篇．極言》：「凡食過則結積聚，飲過則成痰癖。」
2.習性、嗜好。如：「潔癖」、「書癖」、「睡癖」。</t>
  </si>
  <si>
    <t>(二)（又音）ㄆㄧˋ pì（00866）</t>
  </si>
  <si>
    <t>屁</t>
  </si>
  <si>
    <t>ㄆㄧˋ</t>
  </si>
  <si>
    <t>pì</t>
  </si>
  <si>
    <t>[名]
由肛門排出的臭氣。如：「臭屁」、「放屁」、「屁滾尿流」。
[形]
形容令人不屑的。如：「屁話」。</t>
  </si>
  <si>
    <t>媲</t>
  </si>
  <si>
    <t>[動]
匹配、比得上。如：「媲美」。唐．韓愈〈醉贈張祕書〉詩：「險語破鬼膽，高詞媲皇墳。」</t>
  </si>
  <si>
    <t>[名]
河川名：(1)在大陸地區安徽省境內。源出霍山縣西南，流經六安縣，至正陽縣流入淮水。(2)在大陸地區河南省境。有二源：一源於守軍山，一源自金泉山，匯流成雙幅河，而後注入淮河。俗稱為「白鷺水」、「白露河」。
[副]
船行走的樣子。《詩經．大雅．棫樸》：「淠彼涇舟，烝徒楫之。」漢．毛亨．傳：「淠，舟行貌。」</t>
  </si>
  <si>
    <t>(二)（又音）ㄆㄟˋ pèi（00667）</t>
  </si>
  <si>
    <t>濞</t>
  </si>
  <si>
    <t>[擬]_x000D_
模擬水流洶湧奔至所發出的聲音。《說文解字．水部》：「濞，水暴至聲。」漢．司馬相如〈上林賦〉：「滂濞沆溉。」晉．左思〈吳都賦〉：「濞焉洶洶，隱焉礚礚。」_x000D_
[名]_x000D_
河川名。位於大陸地區雲南省境內，其流注入瀾滄江。</t>
  </si>
  <si>
    <t>參見「埤堄」條。</t>
  </si>
  <si>
    <t>(二)ㄅㄧˋ bì（00368）(三)ㄆㄧˊ pí（00833）(四)ㄅㄟ bēi（00152）</t>
  </si>
  <si>
    <t>副</t>
  </si>
  <si>
    <t>[動]
剖開、裂開。《詩經．大雅．生民》：「不坼不副，無菑無害。」《禮記．曲禮上》：「為天子削瓜者副之，巾以絺。」</t>
  </si>
  <si>
    <t>(一)ㄈㄨˋ fù（01885）</t>
  </si>
  <si>
    <t>[名]
1.法度、刑法。如：「大辟」。《詩經．大雅．板》：「民之多辟，無自立辟。」漢．毛亨．傳：「辟，法也。」漢．桓寬《鹽鐵論．周秦》：「故立法制辟，若臨萬仞之壑。」
2.荒遠幽隱的地方。《戰國策．秦策一》：「今夫蜀，西辟之國，而戎狄之長也。」《史記．卷四七．孔子世家》：「景公問孔子曰：『昔秦穆公國小處辟，其霸何也？』」
[動]
1.開拓。通「闢」。《詩經．大雅．江漢》：「式辟四方，徹我疆土。」《孟子．梁惠王上》：「欲辟土地，朝秦楚，蒞中國而撫四夷也。」
2.排除、駁斥。通「闢」。如：「辟除」、「辟謠」、「辟邪說」。
3.比喻。通「譬」。《荀子．王霸》：「是過者也，過猶不及也；辟之是猶立直木而求其景之枉也。」
4.捶胸。通「擗」。《詩經．邶風．柏舟》：「靜言思之，寤辟有摽。」
5.偏頗、偏私。《管子．任法》：「卿相不得翦其私，群臣不得辟其所親愛。」
[形]
乖僻、偏邪。通「僻」。《莊子．秋水》：「行殊乎俗，不多辟異。」《禮記．玉藻》：「故君子在車，則聞鸞和之聲，行則鳴佩玉，是以非辟之心，無自入也。」</t>
  </si>
  <si>
    <t>(一)ㄅㄧˋ bì（00407）</t>
  </si>
  <si>
    <t>[形]
1.偏遠的、幽隱的。如：「偏僻」、「窮鄉僻壤」。唐．白居易〈琵琶行〉：「潯陽地僻無音樂，終歲不聞絲竹聲。」
2.奇異而不常見的。如：「冷僻」。
3.邪惡不正的。如：「邪僻」。《紅樓夢》第二九回：「及如今稍明時事，又看了些邪書僻傳。」</t>
  </si>
  <si>
    <t>(二)（語音）ㄅㄟˋ bèi（00196）</t>
  </si>
  <si>
    <t>澼</t>
  </si>
  <si>
    <t>[動]
洴澼：漂洗。《莊子．逍遙遊》：「我世世為洴澼絖，不過數金，今一朝而鬻技百金，請與之。」</t>
  </si>
  <si>
    <t>擗</t>
  </si>
  <si>
    <t>[動]
1.用手捶拍胸部。《廣韻．入聲．陌韻》：「擗，撫心也。」《孝經．喪親章》：「擗踊哭泣，哀以送之。」
2.掰開、拂開。如：「擗玉米」。《楚辭．屈原．九歌．湘夫人》：「罔薜荔兮為帷，擗蕙櫋兮既張。」</t>
  </si>
  <si>
    <t>(一)ㄆㄧˇ pǐ（00855）</t>
  </si>
  <si>
    <t>甓</t>
  </si>
  <si>
    <t>[名]
磚的一種名稱。漢．司馬相如〈長門賦〉：「緻錯石之瓴甓兮，象玳瑁之文章。」《晉書．卷六六．列傳．陶侃》：「侃在州無事，輒朝運百甓於齋外，暮運於齋內。」</t>
  </si>
  <si>
    <t>譬</t>
  </si>
  <si>
    <t>[動]
1.用比喻的方法來說明。如：「譬喻」、「譬如」。《論語．子張》：「子貢曰：『譬之宮牆，賜之牆也及肩，闚見家室之好。』」
2.告訴、說明、使知曉。《後漢書．卷四七．班超慱》：「超譬軍士曰：『月氏兵雖多，然數千里踰蔥領來，非有運輸，何足憂也。』」
3.了解、明白。《後漢書．卷二九．鮑永傳．論曰》：「若乃言之者雖誠，而聞之者未譬，豈苟進之悅。」
[名]
比喻。《詩經．大雅．抑》：「取譬不遠，昊天不忒。」漢．許慎〈說文解字序〉：「形聲者，以事為名，取譬相成。」</t>
  </si>
  <si>
    <t>闢</t>
  </si>
  <si>
    <t>[動]
1.開墾。如：「開天闢地」。《文選．司馬相如．上林賦》：「地可墾闢，悉為農郊，以贍萌隸。」
2.駁斥、摒除。如：「闢謠」。《荀子．解蔽》：「是以闢耳目之欲，而遠蚊蝱之聲。」宋．王安石〈答司馬諫議書〉：「闢邪說，難壬人，不為拒諫。」</t>
  </si>
  <si>
    <t>潎</t>
  </si>
  <si>
    <t>[形]
形容魚在水中游的樣子。《集韻．去聲．祭韻》：「潎，魚游貌。」《文選．潘岳．秋興賦》：「澡秋水之涓涓兮，玩游鯈之潎潎。」</t>
  </si>
  <si>
    <t>(二)ㄆㄧㄝ piē（00876）</t>
  </si>
  <si>
    <t>ㄆㄧㄚ</t>
  </si>
  <si>
    <t>piā</t>
  </si>
  <si>
    <t>(一)ㄆㄚ pā（00580）</t>
  </si>
  <si>
    <t>(一)ㄆㄚ pā（00581）</t>
  </si>
  <si>
    <t>氕</t>
  </si>
  <si>
    <t xml:space="preserve">气 </t>
  </si>
  <si>
    <t>ㄆㄧㄝ</t>
  </si>
  <si>
    <t>piē</t>
  </si>
  <si>
    <t>氫的最輕同位素。質量數1，原子由一個質子和一個電子組成。普通的氫中含有百分之九十九點九八的氕，是氫中含量最多的同位素，故不常用，而直接稱為「氫」。</t>
  </si>
  <si>
    <t>覕</t>
  </si>
  <si>
    <t xml:space="preserve">見 </t>
  </si>
  <si>
    <t>[動]
迅速的看一眼。通「瞥」。《莊子．徐无鬼》：「是以一人之斷制利天下，譬之猶一覕也。」</t>
  </si>
  <si>
    <t>(一)ㄇㄧㄝˋ miè（01394）</t>
  </si>
  <si>
    <t>[形]
潎洌：形容水勢相沖激的樣子。《文選．司馬相如．上林賦》：「橫流逆折，轉騰潎洌。」</t>
  </si>
  <si>
    <t>(一)ㄆㄧˋ pì（00871）</t>
  </si>
  <si>
    <t>撇</t>
  </si>
  <si>
    <t>[動]_x000D_
1.不顧、拋棄。如：「撇開了家」、「撇在一邊」。《西遊記》第四回：「原來悟空觔斗雲，比眾不同，十分快疾，把個金星撇在腦後，先至南天門外。」明．湯顯祖《牡丹亭》第三二齣：「你秀才郎為客偏情絕，料不是虛脾把盟誓撇。」_x000D_
2.拂拭。《史記．卷七四．孟子荀卿列傳．孟軻》：「適趙，平原君側行撇席；如燕，昭王擁彗先驅。」漢．王襃〈洞簫賦〉：「愴然累欷，撇涕抆淚。」_x000D_
3.丟、甩落。《警世通言．卷一一．蘇知縣羅衫再合》：「徐用道：『哥哥撇下手中兇器，兄弟方好放手。』」《紅樓夢》第六二回：「彩雲賭氣一頓包起來，乘人不見時，來至園中，都撇在河內，順水沉的沉、漂的漂了。」_x000D_
4.由液體表面刮舀出來。如：「撇泡沫」。唐．劉言史〈與孟郊洛北野泉上煎茶〉詩：「敲石取鮮火，撇泉避腥鱗。」清．李光庭《鄉言解頤．卷五．物部下．開門七事》：「沉了一船芝麻，水面上撇油花，棄大而見小也。」_x000D_
5.違背、違拗。《水滸傳》第二回：「倘或留住在家中，倒惹得孩兒們不學好了。待不收留他，又撇不過柳大郎面皮。」</t>
  </si>
  <si>
    <t>(二)ㄆㄧㄝˇ piě（00880）</t>
  </si>
  <si>
    <t>瞥</t>
  </si>
  <si>
    <t>[動]
眼光掠過、很快的看一下。如：「匆匆一瞥」、「瞥了他一眼」。《梁書．卷三十三．王筠傳》：「雖偶見瞥觀，皆即疏記。」明．湯顯祖《牡丹亭》第五四齣：「聲息兒恁怔忡，把門兒偷瞥。」
[形]
快速的、突然的。如：「瞥地」、「瞥然」。</t>
  </si>
  <si>
    <t>丿</t>
  </si>
  <si>
    <t>ㄆㄧㄝˇ</t>
  </si>
  <si>
    <t>piě</t>
  </si>
  <si>
    <t>[名]
1.一左撇的筆畫。
2.二一四部首之一。</t>
  </si>
  <si>
    <t>[名]_x000D_
書法向左斜下的一筆，永字八法中稱為「掠」。如：「點、橫、豎、撇」。《通俗編．數目》：「朱子〈與劉子澄書〉：『聖賢已是八字打開了，人自不領會，卻向外狂走耳。』按：今有『八字不見一撇』之諺，似又因于此語。」清．王夫之〈示姪孫生蕃〉詩：「人字兩撇捺，原與禽字異。」_x000D_
[量]_x000D_
計算撇狀物的單位。如：「兩撇鬍子」。清．馮班《鈍吟雜錄》卷六：「『人』字加三撇是古『升』字。」《官場現形記》第二七回：「那氣色更覺不對了，兩隻手氣得冰冷，兩撇鼠鬚一根根都蹺了起來。」_x000D_
[動]_x000D_
斜向一邊，做出形狀像書法「撇」的動作。《金瓶梅詞話》第八一回：「我莫不胳膊兒往外撇？不如賣弔了是一場事。」《醒世姻緣傳》第三三回：「被他娘變了臉，一手扯將過來，胳膊上扭了兩把，他就撇著嘴待哭。」</t>
  </si>
  <si>
    <t>(一)ㄆㄧㄝ piē（00877）</t>
  </si>
  <si>
    <t>嫳</t>
  </si>
  <si>
    <t>ㄆㄧㄝˋ</t>
  </si>
  <si>
    <t>piè</t>
  </si>
  <si>
    <t>[形]
1.性子急且易怒。《說文解字．女部》：「嫳，易使怒也。」
2.輕薄的樣子。《廣韻．入聲．屑韻》：「嫳，輕薄之貌。」如：「嫳屑」。</t>
  </si>
  <si>
    <t>票</t>
  </si>
  <si>
    <t>ㄆㄧㄠ</t>
  </si>
  <si>
    <t>piāo</t>
  </si>
  <si>
    <t>[形]
矯捷。通「嫖」(二)。如：「票姚」。</t>
  </si>
  <si>
    <t>(一)ㄆㄧㄠˋ piào（00904）</t>
  </si>
  <si>
    <t>僄</t>
  </si>
  <si>
    <t>(一)ㄆㄧㄠˋ piào（00906）</t>
  </si>
  <si>
    <t>漂</t>
  </si>
  <si>
    <t>[動]
1.浮在液體面上，呈靜止狀態或隨水流方向而動。如：「漂浮」、「漂流」、「漂動」。《史記．卷六．秦始皇本紀》：「伏尸百萬，流血漂鹵。」
2.吹動、隨風而動。通「飄」。《管子．形勢》：「風，漂物者也。風之所漂，不避貴賤美惡。」《宋書．卷五〇．列傳．胡藩》：「至河東，暴風漂藩重艦渡北岸，索虜牽得此艦，取其器物。」
3.泛指流浪、居無定所或移動不定。同「飄」。如：「漂泊」、「北漂青年」。漢．王襃〈洞簫賦〉：「頹唐遂往，長辭遠逝，漂不還兮。」唐．杜甫〈送高司直尋封閬州〉詩：「伏枕聞別離，疇能忍漂寓。」</t>
  </si>
  <si>
    <t>(二)ㄆㄧㄠˇ piǎo（00895）(三)ㄆㄧㄠˋ piào（00907）</t>
  </si>
  <si>
    <t>彯</t>
  </si>
  <si>
    <t>[名]
帶子。唐．張濛〈鎮國軍節度使李公功德頌．序〉：「乃剔鑊鼓為兵，撤氈彯為甲。」
[動]
1.飄。《文選．木華．海賦》：「彯沙礐石。」
2.棄。《文選．袁淑．效曹子建樂府白馬篇》：「彯節去函谷，投珮出甘泉。」</t>
  </si>
  <si>
    <t>嘌</t>
  </si>
  <si>
    <t>[形]
疾速。《詩經．檜風．匪風》：「匪風飄兮，匪車嘌兮。」
[動]
說。明．湯顯祖《牡丹亭》第一四齣：「教他有人問著休胡嘌！」</t>
  </si>
  <si>
    <t>嫖</t>
  </si>
  <si>
    <t>[形]
矯捷、輕捷。如：「嫖疾」。唐．李元紘〈綠墀怨〉詩：「征馬噪金珂，嫖姚向北河。」</t>
  </si>
  <si>
    <t>(一)ㄆㄧㄠˊ piáo（00891）</t>
  </si>
  <si>
    <t>翲</t>
  </si>
  <si>
    <t xml:space="preserve">羽 </t>
  </si>
  <si>
    <t>[動]
高飛。《廣韻．平聲．宵韻》：「翲，高飛。」
[形]
輕。唐．柳宗元〈鞭賈〉：「舉之翲然若揮虛焉。」</t>
  </si>
  <si>
    <t>螵</t>
  </si>
  <si>
    <t>參見「螵蛸」條。</t>
  </si>
  <si>
    <t>飄</t>
  </si>
  <si>
    <t>[名]
1.旋風。參見「飄風」條。
2.書名。美國作家宓西爾的小說名著《Gone with the Wind》的中文譯名。以美國南北戰爭為背景，透過女主角郝思嘉的感情事件，穿插種族間的矛盾糾葛，頗能反映當時社會狀況。西元一九三九年拍成同名電影，中文譯名改為「亂世佳人」。
[動]
1.隨風擺動或飛揚。如：「飄動」、「飄揚」、「旗正飄飄」。隋．楊廣〈宴東堂〉詩：「清音出歌扇，浮香飄舞衣。」
2.隨風吹送。如：「飄香」。唐．白居易〈長恨歌〉：「驪宮高處入青雲，仙樂風飄處處聞。」
3.吹起來。唐．白居易〈落花〉詩：「桃飄火燄燄，梨墮雪漠漠」宋．姜夔〈昔遊〉詩：「疾風吹大片，忽若亂飄瓦。」
4.泛指流浪、居無定所或移動不定。同「漂」。 如：「飄泊」、「飄盪」。唐．韓愈〈祭河南張員外文〉：「我落陽山，以尹鼯猱；君飄臨武，山林之牢。」明．高啟〈施君眠雲堂〉詩：「浩然身欲飄，若乘無倪舟；朝至乎帝郷，夕返乎仙洲。」</t>
  </si>
  <si>
    <t>ㄆㄧㄠˊ</t>
  </si>
  <si>
    <t>piáo</t>
  </si>
  <si>
    <t>[名]
姓。</t>
  </si>
  <si>
    <t>(一)ㄆㄛˋ pò（00616）(二)ㄆㄨˊ pú（00987）</t>
  </si>
  <si>
    <t>[動]_x000D_
到特定場所進行性交易。如：「吃喝嫖賭」。《文明小史》第二三回：「我們又不是真正嫖婊子，不過叫幾個局，擺檯把酒，聚聚幾個同志。」</t>
  </si>
  <si>
    <t>(二)ㄆㄧㄠ piāo（00887）</t>
  </si>
  <si>
    <t>瓢</t>
  </si>
  <si>
    <t>[名]
1.用來舀取水酒等物的勺子。傳統多以葫蘆或木頭製成。如：「酒瓢」、「湯瓢」。唐．元結〈石魚湖上醉歌〉：「我持長瓢坐巴丘，酌飲四座以散愁。」
2.量詞。計算瓢裝物的單位。《論語．雍也》：「一簞食，一瓢飲。」唐．許渾〈秋日赴闕題潼關驛樓〉詩：「紅葉晚蕭蕭，長亭酒一瓢。」</t>
  </si>
  <si>
    <t>殍</t>
  </si>
  <si>
    <t>ㄆㄧㄠˇ</t>
  </si>
  <si>
    <t>piǎo</t>
  </si>
  <si>
    <t>[動]
餓死於路上。《玉篇．歹部》：「殍，餓死也。」《資治通鑑．卷八九．晉紀十一．愍帝建興四年》：「河東平陽大蝗，民流殍者什五六。」
[名]
餓死的人。《孟子．盡心下》：「君子用其一緩其二，用其二而民有殍，用其三而父子離。」漢．桓寬《鹽鐵論．水早》：「孟子曰：『野有餓殍。』」</t>
  </si>
  <si>
    <t>莩</t>
  </si>
  <si>
    <t>[名]
餓死的人。通「殍」。《孟子．梁惠王上》：「民有飢色，野有餓莩。」</t>
  </si>
  <si>
    <t>(一)ㄈㄨˊ fú（01800）</t>
  </si>
  <si>
    <t>[動]
1.用水沖洗。《史記．卷九二．淮陰侯列傳》：「信釣於城下，諸母漂，有一母見信飢，飯信，竟漂數十日。」裴駰集解引韋昭曰：「以水擊絮為漂。」
2.用水加上化學藥劑，而使物品變得潔白。如：「漂白」、「漂染」。
3.中醫將某些藥材用流水或以經常換水方式浸漂，以除去其毒性、雜質、腥味等。如：「漂朱砂」。</t>
  </si>
  <si>
    <t>(一)ㄆㄧㄠ piāo（00884）(三)ㄆㄧㄠˋ piào（00907）</t>
  </si>
  <si>
    <t>[動]
落下。《詩經．召南．摽有梅》：「摽有梅，其實七兮。」《聊齋志異．卷一〇．胭脂》：「怨摽梅而思吉士，遂離倩女之魂。」</t>
  </si>
  <si>
    <t>(一)ㄅㄧㄠ biāo（00440）(三)ㄅㄧㄠˋ biào（00462）</t>
  </si>
  <si>
    <t>[動]
落下。通「摽」。《集韻．去聲．笑韻》：「標，落也。」</t>
  </si>
  <si>
    <t>(一)ㄅㄧㄠ biāo（00442）</t>
  </si>
  <si>
    <t>瞟</t>
  </si>
  <si>
    <t>[動]
用眼斜看。如：「他瞟了我一眼。」、「立正時，目光向前直視，不可亂瞟！」</t>
  </si>
  <si>
    <t>篻</t>
  </si>
  <si>
    <t>[名]
一種中心堅實強勁的竹子。可製弓弩武器。《文選．卷五．賦．左思．吳都賦》：「柚梧有篁，篻簩有叢。」李善注引《異物志》：「篻竹大如戟槿，實中勁強。」</t>
  </si>
  <si>
    <t>縹</t>
  </si>
  <si>
    <t>[名]
青白色的綢布。《楚辭．王襃．九懷．通路》：「紅采兮騂衣，翠縹兮為裳。」
[形]
淡青色。即月白色。清．錢謙益〈後飲酒〉詩七首之一：「但餘六長瓶，味甘色復縹。」</t>
  </si>
  <si>
    <t>(二)（又音）ㄆㄧㄠˋ piào（00909）</t>
  </si>
  <si>
    <t>醥</t>
  </si>
  <si>
    <t>[名]
清酒。《文選．左思．蜀都賦》：「觴以清醥，鮮以紫鱗。」宋．沈端節〈念奴嬌．湖山照影〉詞：「餘芳難並，破愁惟有馨醥。」
[形]
酒清。宋．歐陽修〈答呂公著見贈〉詩：「醁醅寒且醥，清唱婉而遲。」</t>
  </si>
  <si>
    <t>顠</t>
  </si>
  <si>
    <t>[形]
1.頭髮斑白。《廣韻．上聲．小韻》：「顠，髮白。」
2.頭髮雜亂。《楚辭．王逸．九思．憫上》：「鬚髮薴悴兮顠鬢白，思靈澤兮一膏沐。」宋．洪興祖．補注：「顠，髮亂貌。」</t>
  </si>
  <si>
    <t>皫</t>
  </si>
  <si>
    <t>[形]
1.白色。《玉篇．白部》：「皫，白色也。」
2.色澤不美的。明．張自烈《正字通．白部》：「皫，凡物色不澤美者皆曰皫。」《禮記．內則》：「鳥皫色而沙鳴鬱，豕望視而交睫腥。」</t>
  </si>
  <si>
    <t>ㄆㄧㄠˋ</t>
  </si>
  <si>
    <t>piào</t>
  </si>
  <si>
    <t>[名]
1.紙幣。如：「鈔票」。
2.印的或寫的用來作為憑證的紙張。如：「郵票」、「股票」、「車票」、「戲票」。
3.歹徒稱綁架來的人質為「票」。如：「肉票」、「撕票」。
4.指非職業性質的演出。如：「玩票」。
5.量詞：(1)計算大批人或物的單位。如：「一票人」。(2)計算交易次數的單位。如：「一票買賣」。</t>
  </si>
  <si>
    <t>(二)ㄆㄧㄠ piāo（00882）</t>
  </si>
  <si>
    <t>剽</t>
  </si>
  <si>
    <t>[動]
1.搶奪。《史記．卷一二二．酷吏傳．義縱傳》：「義縱者，河東人也，為少年時，嘗與張次公俱攻剽為群盜。」
2.竊取。如：「剽襲」、「剽竊」。
3.殲滅。如：「剽匪有功。」
[形]
1.輕捷。《周禮．冬官考工記．弓人》：「則其為獸必剽。」清．徐珂《清稗類鈔．戰事類．謝忠愍與粵寇戰於天津》：「手執黃旗，左右指揮，迅奮剽疾。」
2.勇悍。《後漢書．卷六四．史弼傳》：「外聚剽輕不逞之徒，內荒酒樂。」《文選．曹植．白馬篇》：「狡捷過猴猿，勇剽若豹螭。」
3.輕薄、輕浮。唐．柳宗元〈答韋中立論師道書〉：「故吾每為文章，未嘗敢以輕心掉之，懼其剽而不留也。」</t>
  </si>
  <si>
    <t>[形]
1.輕捷。如：「僄狡」。《荀子．議兵》：「輕利僄遫，卒如飄風。」
2.輕薄。《荀子．修身》：「怠慢僄棄，則炤之以禍災。」</t>
  </si>
  <si>
    <t>(二)（又音）ㄆㄧㄠ piāo（00883）</t>
  </si>
  <si>
    <t>[動]
1.不付帳。如：「漂帳」。《品花寶鑑》第八回：「我們並不是沒有帶錢，想漂你的開發。」
2.指事情失敗，希望落空。《官場現形記》第一一回：「等到飯後，仍無消息，戴大理就同跟班說：『不要漂了罷？』」《兒女英雄傳》第三二回：「今日之下他倒作了你老人家的嫡親兒女，我這乾女兒可倒漂了，我越想越有點子眼兒熱。」
[形]
參見「漂亮」條。</t>
  </si>
  <si>
    <t>(一)ㄆㄧㄠ piāo（00884）(二)ㄆㄧㄠˇ piǎo（00895）</t>
  </si>
  <si>
    <t>慓</t>
  </si>
  <si>
    <t>[形]
輕捷。《廣韻．去聲．笑韻》：「慓，急疾。」如：「慓悍」。</t>
  </si>
  <si>
    <t>(一)ㄆㄧㄠˇ piǎo（00900）</t>
  </si>
  <si>
    <t>驃</t>
  </si>
  <si>
    <t>[名]
有白色斑點的黃馬。如：「黃驃」、「追雲驃」。《廣韻．去聲．笑韻》：「驃，馬黃白色。」唐．杜甫〈徒步歸行〉：「妻子山中哭向天，須公櫪上追風驃。」
[形]
1.馬跑得很快的樣子。如：「驃騎」。《水滸傳》第三二回：「走驃騎聞香須住馬，使風帆知味也停舟。」
2.形容人驍勇強悍。如：「驃悍」。</t>
  </si>
  <si>
    <t>片</t>
  </si>
  <si>
    <t>ㄆㄧㄢ</t>
  </si>
  <si>
    <t>piān</t>
  </si>
  <si>
    <t>[名]
扁平的東西。如：「相片兒」、「唱片兒」、「畫片兒」、「電影片兒」。</t>
  </si>
  <si>
    <t>(一)ㄆㄧㄢˋ piàn（00931）</t>
  </si>
  <si>
    <t>[形]
小。如：「一葉扁舟」。</t>
  </si>
  <si>
    <t>(一)ㄅㄧㄢˇ biǎn（00912）</t>
  </si>
  <si>
    <t>偏</t>
  </si>
  <si>
    <t>[形]
1.傾斜、不中正。如：「偏心」、「偏見」、「不偏不倚」。《書經．洪範》：「無偏無陂，遵王之義。」唐．白居易〈長恨歌〉：「雲髻半偏新睡覺，花冠不整下堂來。」
2.不周全的、片面的。《禮記．樂記》：「樂極則憂，禮粗則偏矣。」
3.不是中心地帶、荒僻的。如：「偏遠」、「偏僻」。晉．陶淵明〈飲酒詩〉二〇首之五：「問君何能爾？心遠地自偏。」
4.深、多。唐．元稹〈酬竇校書二十韻〉：「音徽千里斷，魂夢兩情偏。」
[副]
1.傾於某一面的、不公平的。《漢書．卷九四．匈奴傳上》：「朕聞天不頗覆，地不偏載。」
2.表示故意跟外來要求相反的。如：「他要我去，我偏不去。」
3.表示出乎意料之外或與意願相反的。如：「屋漏偏遭連夜雨。」唐．無名氏〈伊川歌．第三〉：「可憐閨裡月，偏照漢家營。」
4.恰巧、正好。唐．皇甫冉〈曾東遊以詩寄之〉詩：「正是揚帆時，偏逢江上客。」
[動]
表示「吃過飯」的客套話。《紅樓夢》第一四回：「鳳姐纔吃飯，見他們來了，便笑道：『好長腿子，快上來罷！』寶玉道：『我們偏了。』」
[名]
姓。如漢代有偏呂。</t>
  </si>
  <si>
    <t>媥</t>
  </si>
  <si>
    <t>[形]
身子靈巧輕便的樣子。《說文解字．女部》：「媥，輕貌。」</t>
  </si>
  <si>
    <t>參見「萹蓄」條。</t>
  </si>
  <si>
    <t>(二)ㄅㄧㄢˇ biǎn（00477）</t>
  </si>
  <si>
    <t>篇</t>
  </si>
  <si>
    <t>[名]
1.書籍、簡冊。《說文解字．竹部》：「篇，書也。」清．段玉裁．注：「書，箸也，箸於簡牘者也，亦謂之篇。古曰篇，漢人亦曰卷。」南朝齊．謝朓〈酬德賦〉：「登金華以問道，得石室之名篇。」
2.首尾完整的文章。如：「通篇及義」。唐．韓愈〈送靈師〉詩：「少小涉書史，早能綴文篇。」
3.量詞。計算文章或詩作的單位。如：「一篇論文」、「詩三百篇」。《三國志．卷二一．魏書．王粲傳》：「著詩、賦、論、議、垂六十篇。」唐．杜甫〈飲中八僊歌〉：「李白一斗詩百篇，長安市上酒家眠。」</t>
  </si>
  <si>
    <t>翩</t>
  </si>
  <si>
    <t>[動]
快速的飛。《說文解字．羽部》：「翩，疾飛也。」晉．陸雲〈答吳王上將顧處微〉詩九首之八：「翩彼日月，逝猶駭電。」宋．蘇軾〈虢國夫人夜遊圖〉詩：「佳人自鞚玉花驄，翩如驚燕踏飛龍。」
[形]
1.搖曳飄忽的樣子。三國魏．曹植〈洛神賦〉：「其形也，翩若驚鴻，婉若遊龍。」晉．陶淵明〈答龐參軍詩〉：「翩彼方舟，容裔江中。」
2.舉止灑脫的樣子。晉．張華〈女史箴〉：「美者自美，翩以取尤，冶容求好，君子所讎。」</t>
  </si>
  <si>
    <t>平</t>
  </si>
  <si>
    <t>ㄆㄧㄢˊ</t>
  </si>
  <si>
    <t>pián</t>
  </si>
  <si>
    <t>[動]
辨別。參見「平章百姓」條。</t>
  </si>
  <si>
    <t>(一)ㄆㄧㄥˊ píng（00956）</t>
  </si>
  <si>
    <t>(一)ㄆㄧㄣˊ pín（00937）(三)（(一)之又音）ㄆㄧˊ pí（00818）</t>
  </si>
  <si>
    <t>[名]
姓。如漢代有便樂成。</t>
  </si>
  <si>
    <t>(一)ㄅㄧㄢˋ biàn（00493）</t>
  </si>
  <si>
    <t>楩</t>
  </si>
  <si>
    <t>[名]
一種古書上的樹木。《玉篇．木部》：「楩，楩木，似豫樟。」《墨子．公輸》：「荊有長松、文、梓楩、柟、豫章。」《漢書．卷五七．司馬相如傳》：「其北則陰林巨樹，楩柟豫章，桂椒木蘭。」唐．顏師古．注：「楩，即今黃楩木也。」</t>
  </si>
  <si>
    <t>[名]
用針縫合編織物。《玉篇．系部》：「緶，縫衣也。」唐．王建〈宮詞〉詩一〇〇首之四七：「緶得紅羅手帕子，中心細畫一雙蟬。」</t>
  </si>
  <si>
    <t>(一)ㄅㄧㄢˋ biàn（00494）</t>
  </si>
  <si>
    <t>胼</t>
  </si>
  <si>
    <t>[名]
手上因勞動摩擦而形成的厚繭。如：「胼胝」。唐．皮日休〈魯望昨以五百言見貽過有褒美內揣庸陋彌增愧悚因成一千言上述吾唐文物之盛次敘相得之歡亦迭和之微旨也〉詩：「苟無切玉刀，難除指上胼。」
[動]
手上因勞動摩擦致使皮膚形成厚繭。唐．王建〈去婦〉詩：「新婦去年胼手足，衣不暇縫蠶廢簇。」宋．洪咨夔〈漩口〉詩：「兩犍力不齊，手胼後者鞭。」</t>
  </si>
  <si>
    <t>駢</t>
  </si>
  <si>
    <t>[動]_x000D_
1.兩馬並駕一車。《說文解字．馬部》：「駢，駕二馬也。」_x000D_
2.兩匹馬並行。唐．薛濤〈送鄭眉州〉詩：「雙旌千騎駢東陌，獨有羅敷望上頭。」_x000D_
3.兩物並列。宋．曹勛〈出入塞詩．序〉：「聞南使過，駢肩引頸，氣哽不得語。」_x000D_
[形]_x000D_
1.兩物相連的。如：「駢拇枝指」。_x000D_
2.有對偶的。如：「駢句」。唐．柳宗元〈乞巧文〉：「駢四儷六，錦心繡口。」_x000D_
[副]_x000D_
1.齊併的。唐．韓愈〈雜說〉：「故雖有名馬，祗辱于奴隸人之手，駢死于槽櫪之間，不以千里稱也。」_x000D_
2.表示並聯的性質狀態。唐．柳宗元〈游黃溪記〉：「祠之上兩山牆立，如丹碧之華葉駢植。」_x000D_
[名]_x000D_
1.地名。春秋時齊邑，故地約在今大陸地區山東省臨朐縣。_x000D_
2.文體名。講究句式整齊、對仗工整、辭藻華麗的文體。如：「駢文」、「駢體文」。_x000D_
3.姓。如春秋時齊有駢邑。</t>
  </si>
  <si>
    <t>骿</t>
  </si>
  <si>
    <t>[名]
1.肋骨並連成一片。《說文解字．骨部》：「骿，並脅也。」《國語．晉語四》：「聞其骿脅，欲觀其狀。」
2.手掌腳底所生的繭。通「胼」。如：「骿胝」。</t>
  </si>
  <si>
    <t>[名]
1.方木。《說文解字．木部》：「楄，楄部，方木也。」《左傳．昭公二十五年》：「唯是楄柎所以藉幹者。」唐．孔穎達．正義：「木以藉脅，明是棺中答床也。」
2.扁額。通「扁」。清．姚鼐〈快雨堂記〉：「一日，得尚書書『快雨堂』舊楄，甚喜。」
3.一種古書上的樹木。《廣韻．平聲．先韻》：「楄，木名。」《山海經．中山經》：「堵山，神天愚居之，是多怪風雨。其上有木焉，名曰：『天楄』。」</t>
  </si>
  <si>
    <t>(二)（又音）ㄅㄧㄢ biān（00466）</t>
  </si>
  <si>
    <t>參見「褊褼」條。</t>
  </si>
  <si>
    <t>(二)ㄅㄧㄢˇ biǎn（00480）</t>
  </si>
  <si>
    <t>諞</t>
  </si>
  <si>
    <t>[形]
花言巧語的。《書經．秦誓》：「惟截截善諞言，俾君子易辭。」
[動]
自誇、誇耀。元．關漢卿《陳母教子》第二折：「我勸這世上人休把這口忒諞過了。」</t>
  </si>
  <si>
    <t>(二)（又音）ㄆㄧㄢˇ piǎn（00930）</t>
  </si>
  <si>
    <t>蹁</t>
  </si>
  <si>
    <t>[形]
1.走路腳不正。《玉篇．足部》：「蹁，足不正。」
2.泛指一般姿勢歪斜。漢．賈誼．《新書．卷六．容經》：「若夫立而技，生而蹁……，皆禁也。」</t>
  </si>
  <si>
    <t>ㄆㄧㄢˇ</t>
  </si>
  <si>
    <t>piǎn</t>
  </si>
  <si>
    <t>(一)ㄆㄧㄢˊ pián（00928）</t>
  </si>
  <si>
    <t>ㄆㄧㄢˋ</t>
  </si>
  <si>
    <t>piàn</t>
  </si>
  <si>
    <t>[名]
1.薄而扁平的東西。如：「肉片」、「洋鐵片」。
2.量詞：(1)計算薄而成片的東西的單位。如：「一片樹葉」、「兩片土司」。(2)計算地面物的單位。如：「一片樹林」、「門前兩側各有一片草地。」
3.印有姓名或可供通信的紙片。如：「名片」、「明信片」。
4.二一四部首之一。
[動]
將厚物以刀橫著或斜著切成薄片狀。如：「片肉」。《老殘遊記》第六回：「我們那裡有人送的兩隻山雞，都已經片出來了。」
[形]
1.微少的。如：「片簡殘牘」、「隻字片語」。唐．韓愈〈贈徐州族姪〉詩：「一名雖云就，片祿不足充。」
2.單一的。如：「片面」。《論語．顏淵》：「片言可以折獄者，其由也與？」
3.短暫的。如：「片刻」、「片晌」。</t>
  </si>
  <si>
    <t>(二)ㄆㄧㄢ piān（00911）</t>
  </si>
  <si>
    <t>參見「猵狙」條。</t>
  </si>
  <si>
    <t>(一)ㄅㄧㄢ biān（00465）</t>
  </si>
  <si>
    <t>(一)（讀音）ㄅㄧㄢˋ biàn（00495）</t>
  </si>
  <si>
    <t>騙</t>
  </si>
  <si>
    <t>[動]
1.騎、跨乘。如：「騙腿兒」。元．張國賓《合汗衫》第二折：「只待要急煎煎挾橐攜囊，穩拍拍乘舟騙馬。」
2.用謊話或不正當手段讓人吃虧、上當。如：「欺騙」、「騙錢」。《水滸傳》第四五回：「那婦人又道：『我老公不是好惹的，你卻要騙我。倘若他得知，卻不饒你。』」《老殘遊記》第一回：「依愚見看來，這等人恐怕不是辦事的人，是用幾句文明的話頭騙幾個錢用用罷了。」
[名]
詐欺的行為。如：「行騙」。
[形]
詐欺的。如：「騙術」、「騙局」。</t>
  </si>
  <si>
    <t>拼</t>
  </si>
  <si>
    <t>ㄆㄧㄣ</t>
  </si>
  <si>
    <t>pīn</t>
  </si>
  <si>
    <t>[動]
1.將零星的事物綴合，使相連屬。如：「拼版」、「拼圖」、「東拼西湊」。
2.豁出去。如：「拼死」、「拼到底」。</t>
  </si>
  <si>
    <t>姘</t>
  </si>
  <si>
    <t>[動]_x000D_
非法定配偶而發生性關係。如：「西門慶和王六兒在第一次邂逅後，兩人就姘上了。」《廣韻．平聲．耕韻》：「《蒼頡篇》曰：『男女私合曰姘。』」_x000D_
[形]_x000D_
與人私合的。如：「姘夫」、「姘婦」。</t>
  </si>
  <si>
    <t>ㄆㄧㄣˊ</t>
  </si>
  <si>
    <t>pín</t>
  </si>
  <si>
    <t>[名]
1.蚌的別名。《說文解字．玉部》「玭」字．清．段玉裁．注：「玭，本是蚌名……。韋昭曰：『玭，蚌也。』」
2.蚌珠、珍珠。《文選．何晏．景福殿賦》：「流羽毛之威蕤，垂環玭之琳琅。」</t>
  </si>
  <si>
    <t>(二)（(一)之又音）ㄆㄧㄢˊ pián（00919）(三)（(一)之又音）ㄆㄧˊ pí（00818）</t>
  </si>
  <si>
    <t>貧</t>
  </si>
  <si>
    <t>[形]
1.生活窮困的。如：「貧戶」、「貧民」。唐．元結〈賊退示官吏〉詩：「城小賊不屠，人貧傷可憐。」明．宋濂〈送東陽馬生序〉：「余幼時即嗜學，家貧，無從致書以觀。」
2.缺乏的、不足的。如：「貧血」。
3.話多可厭的。如：「貧嘴」。
[動]
使窮困、不足。《荀子．天論》：「彊本而節用，則天不能貧。」
[名]
窮困的生活環境。《論語．衛靈公》：「君子憂道不憂貧。」北魏．賈思勰〈齊民要術序〉：「力能勝貧，謹能勝禍。」</t>
  </si>
  <si>
    <t>頻</t>
  </si>
  <si>
    <t>[副]
屢次的、接連的。如：「捷報頻傳」。《後漢書．卷五七．李雲傳》：「是時地數震裂，眾災頻降。」唐．杜甫〈蜀相〉詩：「三顧頻煩天下計，兩朝開濟老臣心。」
[形]
急迫。《詩經．大雅．桑柔》：「於乎有哀，國步斯頻。」
[名]
1.頻率的簡稱。如：「高頻」、「超高頻」。
2.姓。如漢代有頻暢。</t>
  </si>
  <si>
    <t>(一)ㄅㄧㄣ bīn（00517）</t>
  </si>
  <si>
    <t>嚬</t>
  </si>
  <si>
    <t>[動]
憂愁不樂而皺眉。通「顰」。《韓非子．內儲說上》：「吾聞明主之愛，一嚬一笑；嚬有為嚬，而笑有為笑。」唐．韓愈〈柳州羅池廟碑〉：「慰我民兮，不嚬以笑。」</t>
  </si>
  <si>
    <t>蘋</t>
  </si>
  <si>
    <t>[名]
植物名。蘋科蘋屬。「田字草」、「白蘋」之古稱。參見「白蘋」條。</t>
  </si>
  <si>
    <t>(二)ㄆㄧㄥˊ píng（00977）</t>
  </si>
  <si>
    <t>顰</t>
  </si>
  <si>
    <t>[動]
皺眉。如：「顰眉」、「顰蹙」。唐．李白〈怨情〉詩：「美人捲珠簾，深坐顰蛾眉。」唐．李賀〈夜坐吟〉：「西風羅幕生翠波，鉛華笑妾顰青娥。」
[形]
皺著眉頭，憂愁不樂的樣子。唐．駱賓王〈王昭君〉詩：「古鏡菱花暗，愁眉柳葉顰。」</t>
  </si>
  <si>
    <t>嬪</t>
  </si>
  <si>
    <t>[名]
1.古代對婦人的美稱。《周禮．天官．大宰》：「七曰嬪婦，化治絲枲。」漢．鄭玄．注：「嬪，婦人之美稱也。」
2.古代帝王的妻妾之一。也指宮中的女官。如：「嬪妃」、「九嬪」。《禮記．曲禮下》：「天子有后，有夫人，有世婦，有嬪，有妻，有妾。」唐．顧況〈宮詞〉五首之二：「玉樓天半起笙歌，風送宮嬪笑語和。」
[動]
出嫁、為人婦。《書經．堯典》：「降二女于媯汭，嬪于虞。」</t>
  </si>
  <si>
    <t>矉</t>
  </si>
  <si>
    <t>[動]
1.因恨而瞪眼張目。《說文解字．目部》：「矉，恨張目也。」
2.皺眉。同「顰」。《莊子．天運》：「故西施病心而矉其里，其里之醜人，見而美之。」唐．李白〈效古〉詩二首之二：「娥眉不可妒，況乃效其矉。」</t>
  </si>
  <si>
    <t>[名]
蚌的別名。亦指蚌珠、珍珠。《宋書．卷六七．謝靈運傳》：「聆泗川之浮磬，翫夷水之蠙珠。」</t>
  </si>
  <si>
    <t>(二)（又音）ㄅㄧㄣ bīn（00513）</t>
  </si>
  <si>
    <t>品</t>
  </si>
  <si>
    <t>ㄆㄧㄣˇ</t>
  </si>
  <si>
    <t>pǐn</t>
  </si>
  <si>
    <t>[形]
眾多的。《說文解字．品部》：「品，眾庶也。」《易經．乾卦．彖曰》：「雲行雨施，品物流行。」
[名]
1.某一類東西的總稱。如：「物品」、「食品」、「成品」、「商品」。
2.事物的種類。《書經．禹貢》：「厥貢惟金三品。」孔安國．傳：「金、銀、銅也。」南朝梁．劉勰《文心雕龍．原道》：「傍及萬品，動植皆文。」
3.等級。如：「上品」、「極品」、「詩品」。
4.古代官制中的階級。如：「一品」、「官品」。元．關漢卿《碧玉簫．秋景堪題曲》：「官品極，到底成何濟！」
5.人的德性。如：「人品」、「學品」。
6.姓。如明代有品嵒。
[動]
1.評量、評斷好壞優劣。如：「品詩」、「品文」。
2.吹奏樂器。如：「品竹」、「品簫」。</t>
  </si>
  <si>
    <t>牝</t>
  </si>
  <si>
    <t>ㄆㄧㄣˋ</t>
  </si>
  <si>
    <t>pìn</t>
  </si>
  <si>
    <t>[名]
1.雌性動物。《說文解字．牛部》：「牝，畜母也。」如：「牝牡」。《淮南子．時則》：「游牝別其群。」
2.谿谷。《大戴禮記．易本命》：「高者為生，下者為死；丘陵為牡，谿谷為牝。」唐．韓愈〈贈崔立之評事〉詩：「可憐無益費精神，有似黃金擲虛牝。」
3.女子陰戶。《二刻拍案驚奇》卷三五：「馬氏晚間取湯澡牝，正要上床與蔡鳳鳴快活。」
[形]
雌性的。如：「牝馬」。《書經．牧誓》：「牝雞無晨。」</t>
  </si>
  <si>
    <t>聘</t>
  </si>
  <si>
    <t xml:space="preserve">耳 </t>
  </si>
  <si>
    <t>[動]
1.古代諸侯國間遣使通問。《左傳．宣公十年》：「季文子初聘于齊。」
2.以禮徵招、恭請。今多指請人來任職做事。如：「約聘」、「徵聘」。《孟子．萬章上》：「伊尹耕於有莘之野，而樂堯舜之道焉，……湯使人以幣聘之。」《禮記．月令》：「勉諸侯，聘名士，禮賢者。」
3.訂婚。明．歸有光〈先妣事略〉：「有光補學弟子，十六年而有婦，孺人所聘者也。」
[名]
訂婚。或指訂婚時男方贈與女方的信物和禮物。如：「大聘」、「小聘」、「下聘」。</t>
  </si>
  <si>
    <t>(二)ㄆㄧㄥˋ pìng（00978）</t>
  </si>
  <si>
    <t>乒</t>
  </si>
  <si>
    <t>ㄆㄧㄥ</t>
  </si>
  <si>
    <t>pīng</t>
  </si>
  <si>
    <t>[名]_x000D_
參見「乒乓」條。_x000D_
[擬]_x000D_
模擬東西碰撞的聲音。如：「乒乒乓乓」。</t>
  </si>
  <si>
    <t>甹</t>
  </si>
  <si>
    <t>[名]
輕財重義的俠士。同「俜」。《說文解字．丂部》：「甹，俠也。三輔謂輕財者為甹。」清．段玉裁．注：「今人謂輕生曰甹命，即此甹字。」</t>
  </si>
  <si>
    <t>俜</t>
  </si>
  <si>
    <t>[名]
俠客。同「甹」。《說文解字．人部》：「俜，俠也。」
[形]
參見「伶俜」條。</t>
  </si>
  <si>
    <t>娉</t>
  </si>
  <si>
    <t>參見「娉婷」、「娉娉褭褭」條。</t>
  </si>
  <si>
    <t>艵</t>
  </si>
  <si>
    <t xml:space="preserve">色 </t>
  </si>
  <si>
    <t>[名]
青白色。《說文解字．色部》：「艵，縹色也。」清．段玉裁．注：「縹者，帛青白色也。」
[形]
美好的樣子。通「頩」。《說文解字．色部》「艵」字．清．段玉裁．注：「《玉篇》引《楚辭》：『玉色艵以晚顏。』今〈遠遊〉作『頩』，『頩』與『艵』同也。……〈遠遊〉：『玉色艵以晚顏。』謂光澤鮮好。」</t>
  </si>
  <si>
    <t>(二)（又音）ㄆㄧㄥˊ píng（00969）</t>
  </si>
  <si>
    <t>頩</t>
  </si>
  <si>
    <t>[形]
1.生氣變臉色的樣子。《文選．宋玉．神女賦》：「頩薄怒以自恃兮，曾不可乎犯干。」唐．李善．注：「方言曰：『頩，怒色青貌。』」宋．蘇軾〈紅梅〉詩三首之三：「丹鼎奪胎那是寶，玉人頩頰更多姿。」
2.美好的樣子。《楚辭．屈原．遠遊》：「玉色頩以晚顏兮，精醇粹而始壯。」宋．趙令畤〈菩薩蠻．春風試手先梅蕊〉詞：「春風試手先梅蕊，頩姿冷豔明沙水。」</t>
  </si>
  <si>
    <t>ㄆㄧㄥˊ</t>
  </si>
  <si>
    <t>píng</t>
  </si>
  <si>
    <t>[形]
1.不高不低、不凸出的。如：「平地」、「平房」、「平沙」。唐．王維〈觀獵〉詩：「迴看射雕處，千里暮雲平。」宋．陸游〈初發夷陵〉詩：「山平水遠蒼茫外，地闢天開指顧中。」
2.協調的。《左傳．襄公二十九年》：「五聲和，八風平。」
3.均等的。如：「平均」、「平等」。
4.安寧的。如：「心平氣和」、「風平浪靜」。唐．王灣〈次北固山下〉詩：「潮平兩岸闊，風正一帆懸。」
5.沒有戰爭的。如：「和平」、「太平」。唐．韓愈〈爭臣論〉：「閔其時之不平，人之不乂。」
6.尋常的。如：「平日」、「平時」、「平常」。
7.不分勝負的。如：「平手」。
8.缺少變化的。如：「聲音低平」。
[副]
1.公正的、無偏倚的。如：「平分」、「平反」。
2.不高不低的。如：「平推」、「平剷」。
[動]
1.使安定、征服。如：「平亂」、「跨海平魔」。唐．李白〈子夜吳歌．秋歌〉：「何日平胡虜，良人罷遠征。」
2.媾和、和好。《左傳．桓公八年》：「秋，隨及楚平，楚子將不許。」
3.壓抑。如：「怨氣難平」。
4.犁平、輾平、推平。如：「去將地平一平。」
[名]
1.平上去入四聲之一。參見「平聲」條。
2.大陸地區北平市的簡稱。如：「王兄今日赴平公幹。」
3.姓。如漢代有平當。</t>
  </si>
  <si>
    <t>(二)ㄆㄧㄢˊ pián（00918）</t>
  </si>
  <si>
    <t>坪</t>
  </si>
  <si>
    <t>[名]
1.平廣的地方。也當為具有此種環境的地名。如：「草坪」、「七里坪」、「阿姆坪」。
2.量詞。日本計算土地面積的單位。一坪合三點三零五七九平方公尺，二九三四坪為一甲。臺灣目前民間仍沿用之。</t>
  </si>
  <si>
    <t>枰</t>
  </si>
  <si>
    <t>[名]
1.棋盤。《文選．韋昭．博奕論》：「然其所志，不出一枰之上，所務不過方罫之閒。」《聊齋志異．卷一一．書痴》：「因使治棋枰、樗蒲之具，日與遨戲。」
2.一種古書上的樹木。《文選．司馬相如．上林賦》：「沙棠櫟櫧，華楓枰櫨。」李善注引郭璞曰：「枰，平仲木也。」</t>
  </si>
  <si>
    <t>苹</t>
  </si>
  <si>
    <t>[名]
1.在水面飄浮生長的一種植物。同「萍」。《說文解字．艸部》：「苹，萍也，無根，浮水而生者。」《大戴禮記．夏小正》：「湟潦生苹。」
2.藾蕭，一種古書上的植物，屬白蒿類。《爾雅．釋草》：「苹，藾蕭。」晉．郭璞．注：「今藾蒿也，初生亦可食。」《詩經．小雅．鹿鳴》：「呦呦鹿鳴，食野之苹。」
3.同「蘋」(二)。</t>
  </si>
  <si>
    <t>秤</t>
  </si>
  <si>
    <t>[名]
衡量物體輕重的工具。如：「天秤」。</t>
  </si>
  <si>
    <t>(一)ㄔㄥˋ chèng（08524）</t>
  </si>
  <si>
    <t>評</t>
  </si>
  <si>
    <t>[動]
議論、判定。如：「評定」、「評論」、「評理」。南朝宋．劉義慶《世說新語．品藻》：「論者評之，以為喬雖高韻，而檢不匝。」
[名]
1.議論、判定的文字或言語。如：「文評」、「詩評」、「影評」、「書評」。《南史．卷七二．文學傳．鍾嶸傳》：「嶸品古今詩為評，言其優劣。」
2.文體名。指史家褒貶之詞，即「史評」。名稱本不統一，如《史記》的「太史公曰」、班固《漢書》的「贊」、范曄《後漢書》的「論」，至陳壽的《三國志》始見用「評」。</t>
  </si>
  <si>
    <t>萍</t>
  </si>
  <si>
    <t>[名]
植物名。浮萍科浮萍屬，「浮萍」之古稱。參見「浮萍」條。
[形]
比喻行蹤不定，難以自主的。如：「萍蹤」。</t>
  </si>
  <si>
    <t>洴</t>
  </si>
  <si>
    <t>[動]_x000D_
參見「洴澼絖」條。_x000D_
[擬]_x000D_
模擬水聲或鑼鼓聲。如：「洴淜」。明．徐霖《繡襦記》第三一齣：「洴洴澎澎，叮叮咚咚，打著鐃鈸，持齋把素念彌陀。」</t>
  </si>
  <si>
    <t>帡</t>
  </si>
  <si>
    <t>[動]
覆蓋。《集韻．平聲．青韻》：「帡，覆蓋也。」清．洪昇《長生殿》第三七齣：「更斷魂落魄蒙帡覆。」
[名]
帳幔、帷幕。如：「帡幪」、「帡幃」。</t>
  </si>
  <si>
    <t>[名]
1.當門的小牆。即照壁。《爾雅．釋宮》：「屏謂之樹。」晉．郭璞．注：「小牆當門中。」《淮南子．時則》：「授車以級，皆正設于屏外。」漢．高誘．注：「屏，樹垣也。」
2.泛指像牆的遮蔽物。《詩經．小雅．桑扈》：「君子樂胥，萬邦之屏。」唐．白居易〈冷泉亭記〉：「山樹為蓋，巖石為屏。」
3.屏風。如：「素屏一張」。南朝宋．劉義慶《世說新語．言語》：「北窗作琉璃屏，實密似疏。」
4.字畫裱成的條幅，通常以四幅或八幅為一組。如：「畫屏」、「字屏」。《老殘遊記》第九回：「抬頭看見北牆上掛著四輻大屏，草書寫得龍飛鳳舞。」
[動]
1.保護、做為屏障。《國語．齊語》：「君有此士也三萬人，以方行於天下，以誅無道，以屏周室，天下大國之君莫之能禦。」唐．元稹〈贈鄭餘慶太保制〉：「而今而後，誰其屏余？」
2.隱瞞、蒙蔽。呂氏春秋《慎行論．慎行》：「亡夫太子建，殺連尹奢，屏王之耳目。」</t>
  </si>
  <si>
    <t>(二)ㄅㄧㄥˇ bǐng（00540）(三)ㄅㄧㄥ bīng（00527）</t>
  </si>
  <si>
    <t>(一)ㄅㄧㄥ bīng（00528）</t>
  </si>
  <si>
    <t>荓</t>
  </si>
  <si>
    <t>[名]
植物名。豆科胡枝子屬，「鐵掃帚」之古稱。參見「鐵掃帚」條。
[動]
使役。《詩經．大雅．桑柔》：「民有肅心，荓云不逮。」漢．毛亨．傳：「荓，使也。」</t>
  </si>
  <si>
    <t>瓶</t>
  </si>
  <si>
    <t>[名]
1.古代指比缶小的取水或裝食物的容器。《詩經．小雅．蓼莪》：「瓶之罄矣，惟罍之恥。」唐．白居易〈琵琶行〉：「銀瓶乍破水漿迸，鐵騎突出刀槍鳴。」
2.泛指頸長、腹大的容器。可裝水、酒或其他液體。一般為瓷或玻璃製品。如：「花瓶」、「酒瓶」。宋．許棐〈泥孩兒〉詩：「雙罩紅紗廚，嬌立瓶花底。」
3.量詞。計算瓶裝物的單位。如：「一瓶紹興酒」、「兩瓶啤酒」。
4.姓。如漢代有瓶丘聚。</t>
  </si>
  <si>
    <t>(一)ㄆㄧㄥ pīng（00954）</t>
  </si>
  <si>
    <t>蛢</t>
  </si>
  <si>
    <t>[名]
一種甲蟲。形似金龜子。《玉篇．虫部》：「蛢，甲蟲也。」</t>
  </si>
  <si>
    <t>缾</t>
  </si>
  <si>
    <t>[名]_x000D_
口小腹大的容器，可用以裝酒或其他東西。通「瓶」。晉．陶淵明〈歸去來兮辭．序〉：「余家貧，耕植不足以自給；幼稚盈室，缾無儲粟，生生所資，未見其術。」</t>
  </si>
  <si>
    <t>軿</t>
  </si>
  <si>
    <t>[名]_x000D_
1.古代一種有帷幕的車子，亦特指婦女所乘的車子。《後漢書．卷七四上．袁紹劉表列傳．袁紹上》：「輜軿柴轂，填接街陌。」宋．蘇軾〈陌上花〉詩三首之二：「陌上山花無數開，路人爭看翠軿來。」_x000D_
2.比併、拼合。《警世通言．卷二二．宋小官團圓破氈笠》：「客人若要看壽板，小店有真正婺源加料雙軿的在裡面。」_x000D_
[擬]_x000D_
參見「軿訇」條。</t>
  </si>
  <si>
    <t>蓱</t>
  </si>
  <si>
    <t>[名]
1.同「萍」。
2.一種蒿類植物。通「苹」。南朝宋．謝靈運〈擬魏太子鄴中集〉詩八首之七：「自從食蓱來，唯見今日美。」
3.雨神屏翳的簡稱。《楚辭．屈原．天問》：「蓱號起雨，何以興之？」</t>
  </si>
  <si>
    <t>鵧</t>
  </si>
  <si>
    <t>參見「鵧鷑」條。</t>
  </si>
  <si>
    <t>馮</t>
  </si>
  <si>
    <t>[動]
1.馬跑得很快。《說文解字．馬部》：「馮，馬行疾也。」
2.徒步涉水。《詩經．小雅．小旻》：「不敢暴虎，不敢馮河。」
3.侵犯。《周禮．夏官．大司馬》：「馮弱犯寡，則眚之。」《左傳．襄公十三年》：「君子稱其功以加小人，小人伐其技以馮君子。」
4.登、乘。《楚辭．屈原．九章．悲回風》：「馮崑崙以瞰霧兮，隱岷山以清江。」宋．蘇軾〈赤壁賦〉：「浩浩乎如馮虛御風，而不知其所止。」
5.依據、依靠。通「憑」。《漢書．卷四三．酈食其傳》：「韓信聞食其馮軾下齊七十餘城，乃夜度兵平原襲齊。」
[副]
大、盛。《左傳．昭公五年》：「今君奮焉，震電馮怒。」《楚辭．屈原．天問》：「鮌何所營，禹何所成，康回馮怒，墜何故以東南傾？」</t>
  </si>
  <si>
    <t>(一)ㄈㄥˊ féng（01742）</t>
  </si>
  <si>
    <t>憑</t>
  </si>
  <si>
    <t>[動]
1.靠、依靠。如：「憑欄」。唐．杜甫〈登岳陽樓〉詩：「戎馬關山北，憑軒涕泗流。」宋．寇準〈書河上亭壁〉詩：「岸闊檣稀波渺茫，獨憑危檻思何長。」
2.依據、託賴。五代十國南唐．李煜〈清平樂．別來春半〉詞：「雁來音信無憑，路遙歸夢難成。」
3.煩請。唐．白居易〈新樂府．草茫茫〉：「憑君回首向南望，漢文葬在霸陵原。」
4.任、隨。《紅樓夢》第七回：「憑你什麼名醫仙藥，從不見一點兒效。」</t>
  </si>
  <si>
    <t>參見「蘋果」條。</t>
  </si>
  <si>
    <t>(一)ㄆㄧㄣˊ pín（00942）</t>
  </si>
  <si>
    <t>ㄆㄧㄥˋ</t>
  </si>
  <si>
    <t>pìng</t>
  </si>
  <si>
    <t>[動]_x000D_
舊時指女子出嫁。唐．孫棨《北里志．王團兒》：「總角為人所誤，聘一過客。云入京赴調選，及挈至京置之，於是客紿而去。」宋．孫光憲《北夢瑣言．卷七．劉道濟幽窗夢》：「有一客官人，寄寓於此室。女有美才，貧而未聘。」</t>
  </si>
  <si>
    <t>(一)ㄆㄧㄣˋ pìn（00949）</t>
  </si>
  <si>
    <t>攴</t>
  </si>
  <si>
    <t>ㄆㄨ</t>
  </si>
  <si>
    <t>pū</t>
  </si>
  <si>
    <t>[動]
輕擊。《說文解字．攴部》：「攴，小擊也。」
[名]
二一四部首之一。</t>
  </si>
  <si>
    <t>仆</t>
  </si>
  <si>
    <t>[動]
1.跌倒而伏在地上。《漢書．卷四七．梁孝王傳》：「貪生畏死，即詐僵仆陽病。」
2.傾倒、橫陳。唐．柳宗元〈永州韋使君新堂記〉：「或立或仆。」宋．王安石〈遊褒禪山記〉：「有碑仆道，其文漫滅。」</t>
  </si>
  <si>
    <t>(二)（又音）ㄈㄨˋ fù（01858）</t>
  </si>
  <si>
    <t>扑</t>
  </si>
  <si>
    <t>[動]_x000D_
1.擊打。如：「鞭扑」。《史記．卷八六．刺客列傳．荊軻》：「（高漸離）舉筑扑秦皇帝，不中。」_x000D_
2.擊敗。通「仆」。《史記．卷四．周本紀》：「秦破韓魏，扑師武。」裴駰集解引徐廣曰：「扑，一作仆。」_x000D_
[名]_x000D_
戒尺或刑杖。《書經．舜典》：「鞭作官刑，扑作教刑。」《漢書．卷三一．陳勝項籍傳．項籍》：「履至尊而制六合，執敲扑以鞭笞天下。」</t>
  </si>
  <si>
    <t>痡</t>
  </si>
  <si>
    <t>[動]
疲病。《詩經．周南．卷耳》：「我馬瘏矣，我僕痡矣，云何吁矣。」唐．李華〈弔古戰場文〉：「漢傾天下，財殫力痡。」</t>
  </si>
  <si>
    <t>鋪</t>
  </si>
  <si>
    <t>[動]
1.陳設、布置。《禮記．樂記》：「鋪筵席，陳尊俎。」唐．張九齡〈餞王司馬入計同用洲字〉詩：「別筵鋪柳岸，征棹倚蘆洲。」
2.攤開、展平。如：「鋪床」。唐．白居易〈與元九書〉：「歲暮鮮歡，夜長無睡，引筆鋪紙，悄然燈前。」
[名]
用來安裝門環的底盤，形狀像鈸。《文選．司馬相如．長門賦》：「擠玉戶以撼金鋪兮，聲噌吰而似鍾音。」唐．李賀〈惱公〉詩：「井檻淋清漆，門鋪綴白銅。」
[形]
排列的。《南史．卷三十四．顏延之傳》：「君詩若鋪錦列繡，亦雕繢滿眼。」
[副]
普遍。《文選．班固．典引》：「鋪觀二代洪纖之度，其賾可探也。」</t>
  </si>
  <si>
    <t>(二)ㄆㄨˋ pù（01018）</t>
  </si>
  <si>
    <t>撲</t>
  </si>
  <si>
    <t>[動]
1.擊打。《淮南子．說林》：「蔭不祥之木，為雷電所撲。」
2.輕拂。唐．岑參〈韋員外家花樹歌〉：「朝回花底恆會客，花撲玉缸春酒香。」
3.（翅膀）在空氣中連續拍擊。如：「那蜻蜓在窗戶上猛撲著翅膀。」
4.拍除。《老殘遊記》第八回：「跟隨人替他把身上雪撲了又撲，然後把驢子牽來，重復騎上，慢慢的行。」
5.向前猛衝。如：「飛蛾撲火」、「撲地而滅」。《水滸傳》第二三回：「那大蟲咆哮性發起來，翻身又只一撲，撲將來。」
6.捕捉。唐．杜牧〈秋夕〉詩：「紅燭秋光冷畫屏，輕羅小扇撲流螢。」
7.塗敷、附著。如：「撲粉」、「撲在面上」。
8.偷。《喻世明言．卷一五．史弘肇龍虎君臣會》：「這郭大郎因在東京不如意，曾撲了潘八娘子釵子。」
9.以錢擲地賭輸贏。《喻世明言．卷一五．史弘肇龍虎臣君會》：「昨夜迫劃得幾文錢，買這魚來撲，指望贏個錢去養老娘。」
[名]
1.輕拍或拂拭的工具。如：「粉撲」、「毯撲」。
2.刑杖。《後漢書．卷六一．左雄傳》：「孝明皇帝始有撲罰，皆非古典。」
3.圍棋術語。一種圍棋的犧牲打，故意奉送對方一子或兩子，藉以提回遠較此數為多的敵子的手段。</t>
  </si>
  <si>
    <t>噗</t>
  </si>
  <si>
    <t>參見「噗哧」條。</t>
  </si>
  <si>
    <t>[動]
食物煮沸時，溢出湯汁。如：「米湯𩱚出來了，快熄火吧！」</t>
  </si>
  <si>
    <t>(二)（讀音）ㄅㄛˊ bó（00086）</t>
  </si>
  <si>
    <t>ㄆㄨˊ</t>
  </si>
  <si>
    <t>pú</t>
  </si>
  <si>
    <t>[名]
1.質樸。通「樸」。《楚辭．屈原．卜居》：「吾寧悃悃款款，朴以忠乎？將送往勞來，斯無窮乎？」
2.姓。
[形]
1.樸實、敦厚。如：「朴素」。《莊子．山木》：「其民愚而朴，少私而寡欲。」
2.大、壯。《楚辭．屈原．天問》：「恆秉季德，焉得夫朴牛。」漢．王逸．注：「朴，大也。」</t>
  </si>
  <si>
    <t>(一)ㄆㄛˋ pò（00616）(三)ㄆㄧㄠˊ piáo（00890A）</t>
  </si>
  <si>
    <t>匍</t>
  </si>
  <si>
    <t>參見「匍匐」條。</t>
  </si>
  <si>
    <t>莆</t>
  </si>
  <si>
    <t>[名]
1.古書上的一種水草。《楚辭．屈原．天問》：「咸播秬黍，莆雚是營。」漢．王逸．注：「言禹平治水土，萬民皆得耕種黑黍於雚蒲之地，盡為良田也。」
2.參見「莆田縣」條。
3.姓。如宋代有莆森。</t>
  </si>
  <si>
    <t>(一)ㄈㄨˇ fǔ（01843）</t>
  </si>
  <si>
    <t>脯</t>
  </si>
  <si>
    <t>[名]
胸部。如：「胸脯」、「雞脯」。</t>
  </si>
  <si>
    <t>(一)ㄈㄨˇ fǔ（01844）</t>
  </si>
  <si>
    <t>葡</t>
  </si>
  <si>
    <t>參見「葡萄」條。</t>
  </si>
  <si>
    <t>酺</t>
  </si>
  <si>
    <t>[動]
會聚飲酒。《史記．卷四三．趙世家》：「行賞大赦，置酒酺五日。」南朝梁．宗懍〈荊楚歲時記．正月〉：「元日至於月晦，並為酺聚飲食。」
[名]
會帶來災害的神。《周禮．地官．族師》：「春秋祭酺亦如之。」漢．鄭玄．注：「酺者，為人物災害之神也。」</t>
  </si>
  <si>
    <t>蒲</t>
  </si>
  <si>
    <t>[名]
1.植物名：(1)香蒲科香蒲屬，香蒲的簡稱。參見「香蒲」條。(2)天南星科菖蒲屬，「白菖」或「菖蒲」、「蒲子」之古稱。參見「白菖」條。(3)蒲柳的簡稱。參見「蒲柳」條。
2.地名：(1)春秋時衛國屬地。故地約在今大陸地區河南省長垣縣境。(2)春秋時晉國屬地。故地約在今大陸地區山西省永濟縣。
3.姓。如清代有蒲松齡。</t>
  </si>
  <si>
    <t>蒱</t>
  </si>
  <si>
    <t>[名]
古代一種賭博遊戲，類似現今的擲骰子。《南史．卷六二．朱异傳》：「年十餘，好群眾蒱博，頗為鄉黨所患。」也稱為「摴蒱」。</t>
  </si>
  <si>
    <t>菩</t>
  </si>
  <si>
    <t>參見「菩提」條。</t>
  </si>
  <si>
    <t>僕</t>
  </si>
  <si>
    <t>[名]
供人使喚的工役或車夫。如：「奴僕」、「僕人」。《詩經．小雅．正月》：「屢顧爾僕，不輸爾載。」唐．崔塗〈巴山道中除夜書懷〉詩：「漸與骨肉遠，轉於僮僕親。」
[代]
引申為自謙之詞。《文選．司馬遷．報任少卿書》：「僕雖罷駑，亦嘗側聞長者之遺風矣。」《文選．曹植．與楊德祖書》：「僕少小好為文章，迄至於今。」
[動]
駕車。《論語．子路》：「子適衛，冉有僕。」</t>
  </si>
  <si>
    <t>墣</t>
  </si>
  <si>
    <t>[名]
土塊。《國語．吳語》：「王寐，疇枕王以墣而去之。」《淮南子．說林》：「土勝水者，非以一墣塞江也。」</t>
  </si>
  <si>
    <t>璞</t>
  </si>
  <si>
    <t>[名]
1.未經琢磨加工的玉石。《孟子．梁惠王下》：「今有璞玉於此，雖萬鎰，必使玉人彫琢之。」晉．傅玄〈馬鈞傳〉：「美玉所以見誣為石，荊和所以抱璞而哭之也。」
2.比喻人純樸的本質。如：「反璞歸真」。</t>
  </si>
  <si>
    <t>樸</t>
  </si>
  <si>
    <t>[名]
1.未加工成器的木材。《說文解字．木部》：「樸，木素也。」清．段玉裁．注：「以木為質，未彫飾，如瓦器之坯然。」漢．王充《論衡．量知》：「無刀斧之斷者謂之樸。」
2.本真。《老子》第二八章：「為天下谷，常德乃足，復歸於樸。」
3.貨物的成本。《商君書．墾令》：「貴酒肉之價，重其租，令十倍其樸。」
[形]
篤厚、簡而厚重的。如：「樸素」、「簡樸」、「樸拙」。《老子》第五七章：「我無事而民自富，我無欲而民自樸。」唐．杜牧〈答莊充書〉：「是以意全勝者，辭愈樸而文愈高。」</t>
  </si>
  <si>
    <t>濮</t>
  </si>
  <si>
    <t>[名]
1.河川名：(1)約在今大陸地區河南省滑縣與正津縣境。即春秋時所謂桑間濮上之濮。(2)約在今大陸地區山東省濮縣南。此二水於今皆已湮沒。
2.中國古代少數民族之一。故居約在今大陸地區湖南省境內。如春秋時有百濮。
3.縣名。位在大陸地區山東省之西境。黃河斜貫境內，縣跨黃河兩岸，物產以棉花為大宗。今大陸地區已廢此縣。</t>
  </si>
  <si>
    <t>襆</t>
  </si>
  <si>
    <t>[名]
1.巾帕。同「幞」。
2.行李、包袱。《聊齋志異．卷一．畫皮》：「太原王生，早行，遇一女郎，抱襆獨奔，甚艱於步。」</t>
  </si>
  <si>
    <t>(一)ㄅㄨˊ bú（00558）</t>
  </si>
  <si>
    <t>蹼</t>
  </si>
  <si>
    <t>[名]
水鳥或爬蟲類趾間的薄膜。如：「鵝蹼」、「鴨蹼」。《爾雅．釋鳥》：「鳧鴈醜，其足蹼。」</t>
  </si>
  <si>
    <t>鏷</t>
  </si>
  <si>
    <t>[名]
1.未經鍛鍊的銅鐵。晉．張協〈七命〉八首之四：「銷踰羊頭，鏷越鍛成。」
2.（protactinium，Pa）化學元素。原子序91。為放射性元素之一。色銀灰，鐳礦物中含鏷，可用化學法證實。</t>
  </si>
  <si>
    <t>纀</t>
  </si>
  <si>
    <t>[名]
古代諸侯、士大夫居家所穿深衣的下裳。《說文解字．糸部》：「纀，常削幅謂之纀。」《爾雅．釋器》：「裳削幅謂之纀。」晉．郭璞．注：「削殺其幅，深衣之裳。」</t>
  </si>
  <si>
    <t>浦</t>
  </si>
  <si>
    <t>ㄆㄨˇ</t>
  </si>
  <si>
    <t>pǔ</t>
  </si>
  <si>
    <t>[名]
1.河岸、水邊。《呂氏春秋．孝行覽．本味》：「江浦之橘，雲夢之柚。」宋．王安石〈題燕侍郎山水圖〉詩：「往時濯足蕩湘浦，獨上九嶷尋二女。」
2.泛指池塘等水面。如：「荷浦」、「蓮浦」。宋．蘇軾〈澄邁驛通潮閣〉詩二首之一：「貪看白鷺橫秋浦，不覺青林沒晚潮。」宋．姜夔〈念奴嬌．鬧紅一舸〉詞：「只恐舞衣寒易落，愁入西風南浦。」
3.河川主、支流匯合處或入海口。唐．李白〈荊門浮舟望蜀江〉詩：「流目浦煙夕，揚帆海月生。」宋．柳永〈煮海歌〉：「年年春夏潮盈浦，潮退刮泥成島嶼。」
4.姓。如三國時魏國有浦仁裕。</t>
  </si>
  <si>
    <t>[名]
閩粵方言。泛指平坦的地方。如：「埔里」、「平埔」、「草埔」、「大埔」。</t>
  </si>
  <si>
    <t>(二)（又音）ㄅㄨˇ bǔ（00561）</t>
  </si>
  <si>
    <t>(一)ㄅㄨˇ bǔ（00563）(二)（(一)之又音）ㄅㄨˋ bù（00572）</t>
  </si>
  <si>
    <t>圃</t>
  </si>
  <si>
    <t xml:space="preserve">囗 </t>
  </si>
  <si>
    <t>[名]
1.種植蔬菜、花卉或瓜果的園地。如：「菜圃」、「花圃」、「園圃」。唐．孟浩然〈過故人莊〉詩：「開筵面場圃，把酒話桑麻。」
2.以種植蔬菜、花卉、瓜果為業的人。《論語．子路》：「吾不如老圃。」
3.泛指一般供學習的場所。如：「學圃」、「書圃」、「藝圃」。</t>
  </si>
  <si>
    <t>溥</t>
  </si>
  <si>
    <t>[形]
1.廣大的。《詩經．大雅．公劉》：「瞻彼溥原，迺陟南岡。」
2.普遍。同「普」。《詩經．小雅．北山》：「溥天之下，莫非王土。」</t>
  </si>
  <si>
    <t>普</t>
  </si>
  <si>
    <t>[形]
廣大而周遍。如：「普通」、「普遍」、「普及」。《孟子．萬章上》：「普天之下，莫非王土。」
[名]
1.普魯士的簡稱。如：「普法戰爭」。
2.姓。如元代有普恩，明代有普泰。</t>
  </si>
  <si>
    <t>譜</t>
  </si>
  <si>
    <t>[名]
1.記載人、事、物而分類編列的書。如：「家譜」、「年譜」。
2.記錄一些準則與範例，讓人模仿學習的書冊。如：「書譜」、「棋譜」。
3.特指樂曲旋律的紀錄本子。如：「樂譜」、「背譜」。
4.大致的規矩或原則。如：「這話愈說愈離譜。」、「經你一說明，我心裡大概有個譜了。」
5.架子、排場。如：「擺譜」。
[動]
1.按歌詞編寫樂曲。如：「譜曲」。
2.記錄世系。《史記．卷一三．三代世系表》：「自殷以前諸侯不可得而譜。」
3.陳述。清．納蘭性德〈翦湘雲．電急流光〉詞：「欲譜頻年離恨，言已盡，恨未消。」</t>
  </si>
  <si>
    <t>鐠</t>
  </si>
  <si>
    <t>[名]
（praseodymium，Pr）化學元素。原子序59。為稀土金屬之一，與釹同雜存於礦物中，產量極少。鐠化合物可用以製造有色玻璃、陶瓷和搪瓷，也可用作催化劑。</t>
  </si>
  <si>
    <t>ㄆㄨˋ</t>
  </si>
  <si>
    <t>pù</t>
  </si>
  <si>
    <t>(一)ㄅㄠˇ bǎo（00216）</t>
  </si>
  <si>
    <t>[動]
1.晒。同「曝」。《孟子．滕文公上》：「曾子曰：『不可。江漢以濯之，秋陽以暴之，皜皜乎不可尚已。』」
2.顯露。宋．蘇洵〈六國論〉：「思厥先祖父，暴霜露，斬荊棘，以有尺寸之地，子孫視之不甚惜。」</t>
  </si>
  <si>
    <t>(一)ㄅㄠˋ bào（00231）</t>
  </si>
  <si>
    <t>參見「瀑布」條。</t>
  </si>
  <si>
    <t>(二)ㄅㄠˋ bào（00234）</t>
  </si>
  <si>
    <t>曝</t>
  </si>
  <si>
    <t>[動]
在陽光底下晒。《戰國策．燕策二》：「今者臣來過易水，蚌方出曝。」</t>
  </si>
  <si>
    <t>[名]
1.商店。如：「金鋪」、「雜貨鋪」。唐．張籍〈送楊少尹赴鳳翔〉詩：「得錢祗了還書鋪，借宅常時事藥欄。」
2.驛站、郵亭。清．顧炎武《日知錄．卷一七．驛傳》：「今時十里一鋪，設卒以遞公文。」
3.量詞。古代計算里程的單位。十里為一鋪。《初刻拍案驚奇》卷三：「行得一二鋪，遙望見少年在百步外。」
4.床位。如：「床鋪」、「臥鋪」、「上鋪」、「下鋪」。</t>
  </si>
  <si>
    <t>(一)ㄆㄨ pū（00983）</t>
  </si>
  <si>
    <t>媽</t>
  </si>
  <si>
    <t>ㄇㄚ</t>
  </si>
  <si>
    <t>mā</t>
  </si>
  <si>
    <t>[名]
稱謂：(1)對母親的稱呼，常疊用。如：「媽媽」、「爸媽」。(2)對與母親同輩的女性尊長的稱呼。如：「舅媽」、「姨媽」、「姑媽」。(3)北方人對僕婦的稱呼。同「嬤」。如：「張媽」、「奶媽」。(4)對年長婦女的尊稱。如：「大媽」。</t>
  </si>
  <si>
    <t>螞</t>
  </si>
  <si>
    <t>參見「螞螂」條。</t>
  </si>
  <si>
    <t>(一)ㄇㄚˇ mǎ（01034）(三)ㄇㄚˋ mà（01039）</t>
  </si>
  <si>
    <t>摩</t>
  </si>
  <si>
    <t>參見「摩挲」條。</t>
  </si>
  <si>
    <t>(一)ㄇㄛˊ mó（01047）</t>
  </si>
  <si>
    <t>嬤</t>
  </si>
  <si>
    <t>參見「嬤嬤」條。</t>
  </si>
  <si>
    <t>麻</t>
  </si>
  <si>
    <t xml:space="preserve">麻 </t>
  </si>
  <si>
    <t>ㄇㄚˊ</t>
  </si>
  <si>
    <t>má</t>
  </si>
  <si>
    <t>[名]_x000D_
1.以韌皮纖維為主要用途之草本植物的統稱。其莖部的韌皮纖維長而堅韌，可供紡織用。其果實可為飼料或榨油用。種類甚多，有大麻、黃麻、業麻、苧麻、亞麻等，中國古來即有種植。_x000D_
2.大麻科「大麻」的別名，參見「大麻」條。_x000D_
3.喪服。如：「緦麻」、「披麻戴孝」。_x000D_
4.姓。如春秋時齊國有麻嬰，明代有麻三衡。_x000D_
5.二一四部首之一。_x000D_
[動]_x000D_
知覺喪失或變得遲鈍。如：「麻醉」、「麻木」。《水滸傳》第三二回：「那三、四個村漢看了，手顫腳麻，那裡敢上前來。」_x000D_
[形]_x000D_
1.聽到、看到或想到某事時，引起的不舒服感覺。如：「肉麻」、「頭皮發麻」。_x000D_
2.表面有瘢痕而粗糙的。如：「麻子」、「麻臉」。_x000D_
3.煩多而瑣碎。如：「密密麻麻」、「麻煩」。_x000D_
4.用麻加工製成的。如：「麻紗」、「麻鞋」。_x000D_
5.知覺發麻的。如：「麻辣」、「酸麻」。</t>
  </si>
  <si>
    <t>痲</t>
  </si>
  <si>
    <t>[名]
參見「痲瘋」條。
[形]
因出天花所留下瘢痕的。通「麻」。如：「痲子」。
[動]
知覺喪失或變得遲鈍。通「麻」。如：「痲木」、「痲醉」。</t>
  </si>
  <si>
    <t>麼</t>
  </si>
  <si>
    <t>[助]
置於語尾，表疑問的語氣。如：「幹麼」。</t>
  </si>
  <si>
    <t>(一)ㄇㄛˊ mó（01046）(二)˙ㄇㄚ ma（01041）(四)˙ㄇㄜ me（01102）</t>
  </si>
  <si>
    <t>嘛</t>
  </si>
  <si>
    <t>[助]
用作句末語助詞。如：「幹嘛」。</t>
  </si>
  <si>
    <t>(二)（語音）˙ㄇㄚ ma（01042）</t>
  </si>
  <si>
    <t>犘</t>
  </si>
  <si>
    <t>[名]
原產於大陸地區巴中地區的一種大牛。唐．柳宗元〈同劉二十八院長述舊言懷感時書事奉寄澧州張員外使君五十二韻之作因其韻增至八十通贈二君子〉詩：「岸蘆翻毒蜃，磎竹鬥狂犘。」</t>
  </si>
  <si>
    <t>蟆</t>
  </si>
  <si>
    <t>[名]
參見「蝦蟆」條。</t>
  </si>
  <si>
    <t>(二)（又音）˙ㄇㄚ ma（01043）</t>
  </si>
  <si>
    <t>馬</t>
  </si>
  <si>
    <t>ㄇㄚˇ</t>
  </si>
  <si>
    <t>mǎ</t>
  </si>
  <si>
    <t>[名]_x000D_
1.動物名。四肢強健，每肢僅有一蹄，善跑，能載重行遠。草食性，性溫和。_x000D_
2.計數的工具。通「碼」。如：「籌馬」、「法馬」。_x000D_
3.姓。如漢代有馬融，元代有馬致遠。_x000D_
4.二一四部首之一。</t>
  </si>
  <si>
    <t>傌</t>
  </si>
  <si>
    <t>[名]
象棋遊戲中，紅色棋子「馬」作「傌」，以示區別於黑子的「馬」。</t>
  </si>
  <si>
    <t>(一)ㄇㄚˋ mà（01036）</t>
  </si>
  <si>
    <t>嗎</t>
  </si>
  <si>
    <t>參見「嗎啡」、「嗎呼」等條。</t>
  </si>
  <si>
    <t>(一)˙ㄇㄚ ma（01040）</t>
  </si>
  <si>
    <t>瑪</t>
  </si>
  <si>
    <t>參見「瑪瑙」條。</t>
  </si>
  <si>
    <t>碼</t>
  </si>
  <si>
    <t>[名]
1.用來記數的符號或器物。如：「號碼」、「密碼」、「頁碼」、「砝碼」。
2.量詞：(1)計算長度的單位。為英語yard的音譯。一碼等於零點九一四四公尺。(2)計算事情的單位。如：「兩碼事」。(3)計算利率的單位。即零點二五個百分點。如：「銀行最近將放款利率調降了一碼。」</t>
  </si>
  <si>
    <t>參見「螞蟻」、「螞蟥」等條。</t>
  </si>
  <si>
    <t>(二)ㄇㄚ mā（01020）(三)ㄇㄚˋ mà（01039）</t>
  </si>
  <si>
    <t>鎷</t>
  </si>
  <si>
    <t>[名]
德國科學家於西元一九二五年誤認發現原子序43的新元素，當時命名為鎷（masurium，Ma），但一九三七年美國科學家證明為誤，而由新發現的鎝所取代。</t>
  </si>
  <si>
    <t>ㄇㄚˋ</t>
  </si>
  <si>
    <t>mà</t>
  </si>
  <si>
    <t>[名]
漢代刑罰之一。《漢書．卷四八．賈誼傳》：「今自王侯三公之貴，……而令與眾庶同黥、劓、髡、刖、笞、傌、棄市之法。」三國魏．蘇林．注：「傌，音罵。」</t>
  </si>
  <si>
    <t>(二)ㄇㄚˇ mǎ（01030）</t>
  </si>
  <si>
    <t>禡</t>
  </si>
  <si>
    <t>[名]
古時出兵，在駐紮地敬祀神祇的一種祭典。《說文解字．示部》：「禡，師行所止，恐有慢其神，下而祀之曰禡。」《禮記．王制》：「禡於所征之地。」漢．鄭玄．注：「禡，師祭也，為兵禱。」</t>
  </si>
  <si>
    <t>罵</t>
  </si>
  <si>
    <t>[動]
向別人說粗話、重話以示侮辱或責備。如：「責罵」、「叫罵」、「指桑罵槐」。《史記．卷五五．留侯世家》：「陛下輕士善罵，臣等義不受辱，故恐而亡匿。」《西遊記》第二五回：「你偷吃了他的果子，就受他些氣兒，讓他罵幾句便也罷了，怎麼又推倒他的樹！」</t>
  </si>
  <si>
    <t>參見「螞蚱」條。</t>
  </si>
  <si>
    <t>(一)ㄇㄚˇ mǎ（01034）(二)ㄇㄚ mā（01020）</t>
  </si>
  <si>
    <t>˙ㄇㄚ</t>
  </si>
  <si>
    <t>ma</t>
  </si>
  <si>
    <t>[助]
1.表疑問語氣。《老殘遊記》第三回：「看見老殘，喚道：『先生，先生，你會看喉嚨嗎？』」
2.表停頓語氣，有提示下文的作用。如：「這個嗎，讓我再考慮考慮。」、「若你一定要這樣嗎，我也沒辦法。」</t>
  </si>
  <si>
    <t>(二)ㄇㄚˇ mǎ（01031）</t>
  </si>
  <si>
    <t>[助]
表疑問語氣。同「嗎」(一)。唐．李中〈聽蟬寄朐山孫明府〉詩：「不知陶靖節，還動此心麼？」</t>
  </si>
  <si>
    <t>(一)ㄇㄛˊ mó（01046）(三)ㄇㄚˊ má（01025）(四)˙ㄇㄜ me（01102）</t>
  </si>
  <si>
    <t>[名]
參見「喇嘛」條。
[助]
表疑問語氣。同「嗎」(一)。</t>
  </si>
  <si>
    <t>(一)（讀音）ㄇㄚˊ má（01026）</t>
  </si>
  <si>
    <t>(一)ㄇㄚˊ má（01028）</t>
  </si>
  <si>
    <t>摸</t>
  </si>
  <si>
    <t>ㄇㄛ</t>
  </si>
  <si>
    <t>mō</t>
  </si>
  <si>
    <t>[動]
1.用手接觸或撫摩。如：「摸骨」、「撫摸」。《三國志．卷二九．魏書．方技傳．華佗傳》：「佗視脈，曰：『胎已死矣。』使人手摸知所在。」《儒林外史》第二回：「醒了摸一摸頭，就像還有些熱。」
2.揣測、通過試探而了解。如：「我摸準了他的脾氣。」
3.掏。《老殘遊記》第一六回：「那老兒便從懷裡摸出個皮靴頁兒來。」
4.偷取。如：「偷雞摸狗」。
5.抓、玩。如：「摸四圈」。《程乙本紅樓夢》第五三回：「趕圍棋摸牌作戲。」
6.逗留、拖延。如：「他動作緩慢，摸了半天才出門。」</t>
  </si>
  <si>
    <t>(二)（(一)之又音）ㄇㄠ māo（01156）(三)ㄇㄛˊ mó（01052）</t>
  </si>
  <si>
    <t>無</t>
  </si>
  <si>
    <t>ㄇㄛˊ</t>
  </si>
  <si>
    <t>mó</t>
  </si>
  <si>
    <t>參見「南無」條。</t>
  </si>
  <si>
    <t>(一)ㄨˊ wú（11249）</t>
  </si>
  <si>
    <t>[形]
細小。《列子．湯問》：「江浦之間生麼蟲，其名曰：『焦螟』。」</t>
  </si>
  <si>
    <t>(二)˙ㄇㄚ ma（01041）(三)ㄇㄚˊ má（01025）(四)˙ㄇㄜ me（01102）</t>
  </si>
  <si>
    <t>[動]
1.兩物接觸後，來回擦動。如：「摩擦」。《易經．繫辭上》：「是故剛柔相摩，八卦相盪。」
2.互相切磋。如：「觀摩」。《禮記．學記》：「相觀而善之謂摩。」
3.撫摸。如：「摩弄」、「撫摩」。《陳書．卷二六．徐陵傳》：「家人攜以候之，寶誌手摩其頂。」
4.消滅。通「磨」。《文選．司馬遷．報任少卿書》：「古者富貴而名摩滅，不可勝記，唯倜儻非常之人稱焉。」
5.接近、迫近。如：「摩天大樓」。
6.猜測。如：「揣摩」。</t>
  </si>
  <si>
    <t>(二)ㄇㄚ mā（01021）</t>
  </si>
  <si>
    <t>磨</t>
  </si>
  <si>
    <t>[動]
1.摩擦而使物品光滑或銳利。如：「磨光」、「磨刀」。
2.將物研細。如：「磨細」、「磨粉」、「磨墨」。
3.消滅、泯滅。《後漢書．卷八九．南匈奴傳》：「嗚呼！千里之差，興自毫端，失得之源，百世不磨矣。」
4.糾纏不休。如：「你真是會磨，竟然讓他答應了！」《三俠五義》第五回：「連包興在旁也由的暗笑：『老爺今日叫瘋子磨住了。』」
[名]
艱難、阻礙。如：「好事多磨」。
[形]
糾纏不休的。如：「磨功」。</t>
  </si>
  <si>
    <t>(二)ㄇㄛˋ mò（01096）</t>
  </si>
  <si>
    <t>魔</t>
  </si>
  <si>
    <t>[名]_x000D_
1.佛教指修道的障害、破壞者。如：「魔由心生」。《妙法蓮華經．卷二．譬喻品第三》：「我墮疑網故，謂是魔所為。」_x000D_
2.一般指能害人性命、迷惑人的鬼怪。元．石君寶《紫雲亭》第三折：「我本是個邪祟妖魔，他那俏魂靈倒將咱著末。」《西遊記》第二七回：「屍魔三戲唐三藏，聖僧恨逐美猴王。」_x000D_
3.如妖魔般的惡人。如：「色魔」、「惡魔」。_x000D_
4.難以抗拒的、無法抵擋的對象。如：「病魔」、「睡魔」。宋．蘇軾〈子玉家宴用前韻見寄復答之〉：「詩病逢春轉深痼，愁魔得酒蹔奔忙。」_x000D_
5.使人迷戀的癖好，亦指過度迷戀某事物的人。唐．白居易〈白髮〉詩：「書魔昏兩眼，酒病沉四肢。」明．張岱〈自為墓誌銘〉：「少為紈褲子弟，極愛繁華，好精舍，……兼以茶淫橘虐，書蠹詩魔，勞碌半生，皆成夢幻。」_x000D_
[形]_x000D_
1.神祕而不可思議的。如：「魔術」、「魔法」、「魔鏡」。_x000D_
2.可怕的、凶惡的。如：「魔掌」、「魔爪」。</t>
  </si>
  <si>
    <t>蘑</t>
  </si>
  <si>
    <t>參見「蘑菇」條。</t>
  </si>
  <si>
    <t>劘</t>
  </si>
  <si>
    <t>[動]
1.切、削。漢．王充《論衡．彿騤》：「砥石劘厲，欲求銛也。」
2.引申為直言勸諫。《漢書．卷五一．賈山等傳．贊曰》：「賈山自下劘上。」
3.迫近。唐．杜甫〈壯遊〉詩：「氣劘屈賈壘，目短曹劉牆。」</t>
  </si>
  <si>
    <t>[動]
仿效。同「摹」。《新唐書．卷九三．李靖傳》：「又敕摸詔本，還賜彥芳。」</t>
  </si>
  <si>
    <t>(一)ㄇㄛ mō（01044）(二)（(一)之又音）ㄇㄠ māo（01156）</t>
  </si>
  <si>
    <t>嫫</t>
  </si>
  <si>
    <t>參見「嫫母」條。</t>
  </si>
  <si>
    <t>模</t>
  </si>
  <si>
    <t>[名]
1.範式、榜樣。如：「楷模」、「模範」。《晉書．卷四一．劉寔傳》：「可謂國之碩老，邦之宗模。」
2.姓。如宋代有模造成。
[動]
仿效。如：「模仿」。《資治通鑑．卷六五．漢紀五十七．獻帝建安十三年》：「今兄既不能法柳下惠和光同塵於內，則宜模范蠡遷化於外。」</t>
  </si>
  <si>
    <t>(二)ㄇㄨˊ mú（01495）</t>
  </si>
  <si>
    <t>摹</t>
  </si>
  <si>
    <t>[動]
1.仿效、照樣做。如：「摹字」、「摹畫」、「摹帖」。宋．姜夔《續書譜．臨摹》：「惟初學者不得不摹，亦以節度其手，易於成就。」
2.描述。如：「摹狀」、「摹述」。《文選．江淹．別賦》：「誰能摹暫離之狀，寫永訣之情者乎？」</t>
  </si>
  <si>
    <t>膜</t>
  </si>
  <si>
    <t>1.參見「膜拜」條。
2.(一)之又音。</t>
  </si>
  <si>
    <t>(一)ㄇㄛˋ mò（01089）</t>
  </si>
  <si>
    <t>糢</t>
  </si>
  <si>
    <t>[名]
餅類食品。通「饃」。如：「烤糢」、「肉湯泡糢」。
[形]
參見「糢糊」條。</t>
  </si>
  <si>
    <t>謨</t>
  </si>
  <si>
    <t>[名]
1.謀略、計畫。如：「良謨」、「宏謨」、「嘉謨嘉獻」。唐．羅隱〈題磻溪垂釣圖〉詩：「呂望當年展廟謨，直鉤釣國更誰如？」
2.姓。如晉朝時大夏有謨固。
[動]
無。宋．馬令《南唐書．卷二一．黨與傳下．查文徽傳》：「越人謨信，未可速進。」</t>
  </si>
  <si>
    <t>饃</t>
  </si>
  <si>
    <t>[名]
餅類食品。如：「牛肉湯泡饃」、「饃饃」。</t>
  </si>
  <si>
    <t>譕</t>
  </si>
  <si>
    <t>[形]
有謀略的。謨的古字。《集韻．平聲．模韻》：「謨，古作譕。」《管子．形勢》：「譕臣者可以遠舉，顧憂者可與致道。」</t>
  </si>
  <si>
    <t>抹</t>
  </si>
  <si>
    <t>ㄇㄛˇ</t>
  </si>
  <si>
    <t>mǒ</t>
  </si>
  <si>
    <t>[動]
1.塗掉。如：「塗抹」。《紅樓夢》第三八回：「寶玉不待湘雲動手，便代將『湘』字抹了，改了一個『霞』字。」
2.擦拭。如：「抹桌子」、「抹眼淚」。
3.塗敷。如：「抹藥」、「抹粉」。宋．蘇軾〈飲湖上初晴後雨〉詩二首之二：「欲把西湖比西子，淡妝濃抹總相宜。」宋．秦觀〈滿庭芳．山抹微雲〉詞：「山抹微雲，天連衰草，畫角聲斷譙門。」
4.玩牌。《紅樓夢》第七回：「一時吃過飯，尤氏、鳳姐、秦氏抹骨牌。」
5.除去。如：「抹殺」、「抹零兒」。
6.放、拉。如：「他就抹下臉來，生氣了。」
7.割。《紅樓夢》第九二回：「把帶的小刀子往脖子裡一抹，也就抹死了。」
8.捻。《儒林外史》第三三回：「韋四太爺兩手抹著鬍子，哈哈大笑。」
9.看、瞄。《董西廂》卷一：「見人不住偷睛抹。」《西遊記》第三三回：「那怪急回頭，抹了他一眼。」</t>
  </si>
  <si>
    <t>(二)ㄇㄛˋ mò（01065）</t>
  </si>
  <si>
    <t>万</t>
  </si>
  <si>
    <t>ㄇㄛˋ</t>
  </si>
  <si>
    <t>mò</t>
  </si>
  <si>
    <t>參見「万俟」條。</t>
  </si>
  <si>
    <t>(二)ㄨㄢˋ wàn（▲11494）</t>
  </si>
  <si>
    <t>末</t>
  </si>
  <si>
    <t>[名]
1.物體的尾端、頂梢。《孟子．梁惠王上》：「明足以察秋毫之末。」唐．李頎〈聽董大彈胡笳聲兼寄語弄房給事〉詩：「迸泉颯颯飛木末，野鹿呦呦走堂下。」
2.事物的最後階段。如：「歲末」、「二十世紀之末」。《禮記．月令》：「是月之末。」《漢書．卷八八．儒林傳．序》：「宣帝末，增倍之。」
3.後。與「前」相對。南朝梁．蕭統〈文選序〉：「荀、宋表之於前，賈、馬繼之於末。」
4.不重要、非根本的事物。如：「捨本逐末」、「本末倒置」。漢．王符《潛夫論．務本》：「凡為治之大體，莫善於抑末而務本。」
5.碎屑、細粉。如：「藥末」、「粉末」。
6.元雜劇裡扮演中年男子的角色，為後來的「生」。如：「正末」、「副末」。
7.姓。如漢代有末振將。
[形]
1.最後的。如：「末年」、「末世」、「末路」。唐．白居易〈新樂府．上陽白髮人〉：「玄宗末歲初選入，入時十六今六十。」
2.卑微的、不重要的。南朝梁．江淹〈從建平王遊紀南城詩〉：「恭承此嘉惠，末官至南荊。」
[副]
沒。《禮記．檀弓下》：「不忍一日末有所歸也。」
[助]
語氣詞。同「麼」。元．無名氏《黃花峪》第一折：「小二哥，有乾淨的閣子末？」</t>
  </si>
  <si>
    <t>沫</t>
  </si>
  <si>
    <t>[名]
1.液體形成而浮於表面的小泡。如：「泡沫」、「肥皂沫」、「茶沫兒」。
2.口水。如：「口沫」、「唾沫」、「飛沫」、「垂涎流沫」。
[動]
停止、終止。《楚辭．屈原．離騷》：「芬至今猶未沫。」南朝梁．鍾嶸〈詩品序〉：「風流未沫，亦文章之中興也。」</t>
  </si>
  <si>
    <t>[動]_x000D_
1.用水泥或石灰塗平。如：「抹牆」、「抹灰」。_x000D_
2.繞。如：「拐彎抹角」。《醒世恆言．卷一五．赫大卿遺恨鴛鴦絛》：「抹過林子，顯出一個大寺院來。」_x000D_
3.弦樂器彈奏法，食指向內為抹。唐．白居易〈琵琶行〉：「輕攏慢撚抹復挑，初為霓裳後六么。」</t>
  </si>
  <si>
    <t>(一)ㄇㄛˇ mǒ（01061）</t>
  </si>
  <si>
    <t>妺</t>
  </si>
  <si>
    <t>參見「妺嬉」條。</t>
  </si>
  <si>
    <t>茉</t>
  </si>
  <si>
    <t>參見「茉莉」條。</t>
  </si>
  <si>
    <t>秣</t>
  </si>
  <si>
    <t>[名]
餵牛馬的穀粟等飼料。如：「糧秣」。《老殘遊記．自敘》：「馬與牛，終歲勤苦，食不過芻秣。」
[動]
1.餵牲口。《左傳．成公十六年》：「秣馬利兵。」唐．韓愈．送李愿歸盤谷序：「膏吾車兮秣吾馬。」
2.牲口咀嚼食物。《荀子．勸學》：「伯牙鼓琴，而六馬仰秣。」</t>
  </si>
  <si>
    <t>袜</t>
  </si>
  <si>
    <t>[名]
婦女所使用的抹胸、肚兜。隋．煬帝〈喜春遊歌〉：「錦袖淮南舞，寶袜楚宮腰。」也稱為「袜胸」、「袜腹」。</t>
  </si>
  <si>
    <t>(二)ㄨㄚˋ wà（▲11325）</t>
  </si>
  <si>
    <t>靺</t>
  </si>
  <si>
    <t>參見「靺鞨」條。</t>
  </si>
  <si>
    <t>沒</t>
  </si>
  <si>
    <t>[動]
1.沉入水中。如：「沉沒」。南朝宋．劉義慶《世說新語．自新》：「處即刺殺虎，又入水擊蛟，蛟或浮或沒，行數十里，處與之俱。」
2.沉埋、掩覆。如：「積雪沒脛」、「水深沒膝」。唐．白居易〈錢唐湖春行〉：「亂花漸欲迷人眼，淺草纔能沒馬蹄。」
3.消失、隱而不見。如：「出沒」、「湮沒」、「泯沒」。《文選．蘇武．詩四首之三》：「參辰皆已沒，去去從此辭。」宋．蘇軾〈澄邁驛通潮閣〉詩二首之二：「杳杳天低鶻沒處，青山一髮是中原。」
4.終了、結束。如：「沒世」。唐．元稹《鶯鶯傳》：「則沒身之誓，其有終矣！」
5.扣收財物。如：「沒收」、「吞沒財物」。《三國志．卷四十七．吳書．吳主權傳》：「淵果斬彌等，送其首于魏，沒其兵資。」
6.死。通「歿」。《易經．繫辭下》：「包犧氏沒，神農氏作。」《文選．賈誼．過秦論》：「始皇既沒，餘威震于殊俗。」</t>
  </si>
  <si>
    <t>(二)ㄇㄟˊ méi（01114）</t>
  </si>
  <si>
    <t>歿</t>
  </si>
  <si>
    <t>[動]
死。如：「病歿」、「戰歿」。唐．白居易〈新樂府．杏為梁〉：「碧砌紅軒色未乾，去年身歿今移主。」唐．韓愈〈祭十二郎文〉：「中年，兄歿南方，吾與汝俱幼。」</t>
  </si>
  <si>
    <t>歾</t>
  </si>
  <si>
    <t>[動]
死。通「歿」。</t>
  </si>
  <si>
    <t>[名]
田東西向的疆界。通「陌」。《漢書．卷八一．匡衡傳》：「鄉本田隄封三千一百頃，南以閩佰為界。」唐．顏師古．注：「佰者，田之東西界也。閩者，陌之名也。」</t>
  </si>
  <si>
    <t>(一)（讀音）ㄅㄛˊ bó（00065）(二)（語音）ㄅㄞˇ bǎi（00135）</t>
  </si>
  <si>
    <t>陌</t>
  </si>
  <si>
    <t>[名]
1.田間東西向的小路。另有一說為南北向。如：「阡陌縱橫」。《史記．卷五．秦本紀》：「為田開阡陌。」司馬貞索隱引《風俗通》：「南北曰阡，東西曰陌。河東以東西為阡，南北為陌。」漢．曹操〈短歌行〉：「越陌度阡，枉用相存。」後泛指小路。晉．陶淵明〈詠荊軻〉詩：「素驥鳴廣陌，慷慨送我行。」
2.市中街道。《後漢書．卷七四上．袁紹傳》：「士無貴賤，與之抗禮，輜軿柴轂，填接街陌。」唐．王昌齡〈閨怨〉詩：「忽見陌頭楊柳色，悔教夫婿覓封侯。」
[副]
突然。同「驀」。《劉知遠諸宮調．第二》：「正是相別，陌聞人叫。」《三國志平話．卷中》：「眾官未吃，陌聞一聲響亮若雷。」</t>
  </si>
  <si>
    <t>貊</t>
  </si>
  <si>
    <t>[名]_x000D_
古代中國北方的一支民族。《書經．武成》：「華夏蠻貊，罔不率俾。」漢．李陵〈答蘇武書〉：「蠻貊之人尚猶嘉子之節，況為天下之主乎！」</t>
  </si>
  <si>
    <t>冒</t>
  </si>
  <si>
    <t xml:space="preserve">冂 </t>
  </si>
  <si>
    <t>參見「冒頓」條。</t>
  </si>
  <si>
    <t>(一)ㄇㄠˋ mào（01182）</t>
  </si>
  <si>
    <t>脈</t>
  </si>
  <si>
    <t>1.(一)之又音。
2.通「眽」。參見「脈脈」條。</t>
  </si>
  <si>
    <t>(一)ㄇㄞˋ mài（01108）</t>
  </si>
  <si>
    <t>眽</t>
  </si>
  <si>
    <t>[動]
斜視。《廣韻．入聲．麥韻》：「眽，《說文》曰：『目邪視也。』」
[形]
參見「眽眽」條。</t>
  </si>
  <si>
    <t>(二)（又音）ㄇㄞˋ mài（01109）</t>
  </si>
  <si>
    <t>覛</t>
  </si>
  <si>
    <t>[動]
察看。《國語．周語上》：「古者，太史順時覛土，陽癉憤盈。」</t>
  </si>
  <si>
    <t>霢</t>
  </si>
  <si>
    <t>參見「霢霢」、「霢霂」等條。</t>
  </si>
  <si>
    <t>麥</t>
  </si>
  <si>
    <t xml:space="preserve">麥 </t>
  </si>
  <si>
    <t>(一)（語音）ㄇㄞˋ mài（01110）</t>
  </si>
  <si>
    <t>莫</t>
  </si>
  <si>
    <t>[副]
1.表示禁止的用語，相當於「勿」、「毋」。如：「非請莫入」、「閒言莫說」。《三國志．卷二九．魏書．方技傳．華佗傳》：「君有急病見於面，莫多飲酒。」唐．李白〈將進酒〉：「人生得意須盡歡，莫使金樽空對月。」
2.沒有。《論語．憲問》：「子曰：『莫我知也夫。』」《孟子．梁惠王上》：「晉國，天下莫強焉，叟之所知也。」
3.不能、不可。如：「變化莫測」、「莫測高深」。
[名]
姓。如北魏有莫含，清代有莫友芝。</t>
  </si>
  <si>
    <t>(二)ㄇㄨˋ mù（01513）</t>
  </si>
  <si>
    <t>漠</t>
  </si>
  <si>
    <t>[名]
廣大而無水草、無人定居的積沙地帶。如：「大漠」、「沙漠」。唐．杜甫〈詠懷古跡〉詩五首之三：「一去紫臺連朔漠，獨留青冢向黃昏。」
[副]
不關心或不相關的樣子。如：「漠視」、「漠不關心」。宋．王安石〈論陶冶人才〉：「學者亦漠然自以禮樂刑政為有司之事，而非己所當知也。」
[形]
參見「漠漠」條。</t>
  </si>
  <si>
    <t>寞</t>
  </si>
  <si>
    <t>[形]
清靜、冷清。如：「落寞」、「寂寞」。</t>
  </si>
  <si>
    <t>幕</t>
  </si>
  <si>
    <t>[名]
沙漠。通「漠」。《史記．卷一一〇．匈奴傳》：「單于聞之，遠其輜重，以精兵待於幕北。」</t>
  </si>
  <si>
    <t>(一)ㄇㄨˋ mù（01516）</t>
  </si>
  <si>
    <t>鄚</t>
  </si>
  <si>
    <t>[名]
地名。戰國時越國都邑，漢朝改置縣，故址在今大陸地區河北省任丘縣北四十四里鄚州鎮。</t>
  </si>
  <si>
    <t>嗼</t>
  </si>
  <si>
    <t>[形]
寂靜無聲。《楚辭．嚴忌．哀時命》：「聊竄端而匿兮，嗼寂默而無聲。」《呂氏春秋．孝行覽．首時》：「飢馬盈廄，嗼然未見芻也。」</t>
  </si>
  <si>
    <t>[名]
1.動、植物體內像薄皮的組織。如：耳膜、橫膈膜、竹內膜等。
2.像膜的薄皮物。如：笛膜、油膜、鼓膜等。
3.由脂質雙層分子組成的細胞構造，可區隔細胞或胞器的內外部。如：細胞膜、內質網膜等。英文為membrane。</t>
  </si>
  <si>
    <t>(二)（又音）ㄇㄛˊ mó（01056）</t>
  </si>
  <si>
    <t>瘼</t>
  </si>
  <si>
    <t>[名]
疾病、痛苦。《說文解字．疒部》：「瘼，病也。」《宋史．卷四三七．儒林傳七．魏了翁傳》：「戢吏姦，詢民瘼，舉刺不避權右，風采肅然。」</t>
  </si>
  <si>
    <t>貘</t>
  </si>
  <si>
    <t>1.動物名。古籍中的食鐵獸。一說為白豹。《說文解字．豸部》：「貘，似熊而黃黑色，出蜀中。」《爾雅．釋獸》：「貘，白豹。」晉．郭璞．注：「似熊，小頭庳腳，黑白駁，能舐食銅鐵及竹骨。……或曰豹白色者別名『貘』。」《廣韻．入聲．陌韻》：「貘，食鐵獸，似熊，黃黑色。一曰白豹。」
2.動物名。哺乳綱奇蹄目。其體小於驢，皮厚似犀。毛短，頸粗，眼小，鼻突出長於下脣，屈伸自由，前肢四趾，後肢三趾。</t>
  </si>
  <si>
    <t>鏌</t>
  </si>
  <si>
    <t>參見「鏌釾」條。</t>
  </si>
  <si>
    <t>驀</t>
  </si>
  <si>
    <t>[動]
1.上馬乘騎。《文選．左思．吳都賦》：「驀六駮，追飛生。」
2.跨越、越過。唐．李賀〈送沈亞之歌〉：「雄光寶礦獻春卿，煙底驀波乘一葉。」元．無名氏《黃花峪》第一折：「我這裡登峻嶺，驀淺崗。」
[副]
忽然。如：「驀然回首」。宋．張炎〈解連環．楚江空晚〉詞：「暮雨相呼，怕驀地、玉關重見。」元．鄭光祖《倩女離魂》第二折：「我驀聽得馬嘶人語鬧喧嘩，掩映在垂楊下。」</t>
  </si>
  <si>
    <t>貉</t>
  </si>
  <si>
    <t>[名]
古代中國稱北方的一支外族為「貉」。《孟子．告子下》：「欲輕之於堯舜之道者，大貉、小貉也。」《荀子．勸學》：「干、越、夷、貉之子，生而同聲，長而異俗，教使之然也。」</t>
  </si>
  <si>
    <t>(一)（讀音）ㄏㄜˊ hé（04750）(二)（語音）ㄏㄠˊ háo（04798）</t>
  </si>
  <si>
    <t>塺</t>
  </si>
  <si>
    <t>(一)ㄇㄟˊ méi（01133）</t>
  </si>
  <si>
    <t>[名]
兩塊圓形的石盤相合，當中有軸，推轉上面一石，用來碾碎穀物的器具。也稱為「磨盤」。如：「石磨」、「磨房」。
[動]
1.推動磨子將穀物碾平。如：「磨豆腐」、「磨豆漿」。
2.掉轉，多指車輛。如：「巷子太窄，沒法子磨車。」</t>
  </si>
  <si>
    <t>(一)ㄇㄛˊ mó（01048）</t>
  </si>
  <si>
    <t>墨</t>
  </si>
  <si>
    <t xml:space="preserve">黑 </t>
  </si>
  <si>
    <t>[名]
1.書畫用的黑色顏料。如：「石墨」、「筆墨」。元．王實甫《西廂記．第三本．第二折》：「一緘情淚紅猶溼，滿紙春愁墨未乾。」
2.書畫用的各色顏料。如：「藍墨」、「紅墨」。
3.文字、文章或知識。如：「胸無點墨」、「惜墨如金」、「舞文弄墨」。
4.字畫的代稱。如：「墨寶」。宋．歐陽修〈唐顏魯公法帖〉：「此本墨蹟在予亡友王子野家。」
5.古代肉刑之一。在罪人臉上刺刻染墨。《書經．呂刑》：「墨辟疑赦，其罰百鍰。」漢．孔安國．傳：「刻其顙而涅之曰墨刑。」
6.墨家的簡稱。如：「儒墨」。《孟子．滕文公下》：「天下之言，不歸楊則歸墨。」
7.姓。如戰國時宋國有墨翟。
[形]
1.黑色如墨的。如：「墨菊」、「墨綠」。《孟子．滕文公上》：「君薨，聽於冢宰，歠粥，面深墨。」
2.貪汙的。如：「墨吏」。</t>
  </si>
  <si>
    <t>嘿</t>
  </si>
  <si>
    <t>[形]_x000D_
沉靜無聲。同「默」。《史記．卷八六．刺客列傳．荊軻》：「魯句踐怒而叱之，荊軻嘿而逃去，遂不復會。」</t>
  </si>
  <si>
    <t>(二)ㄏㄟ hēi（04784）</t>
  </si>
  <si>
    <t>默</t>
  </si>
  <si>
    <t>[副]
1.沉靜無聲、不出聲。如：「默而不語」。唐．韓愈〈謁衡嶽廟遂宿嶽寺題門樓〉詩：「潛心默禱若有應，豈非正直能成通？」宋．王禹偁〈黃岡竹樓記〉：「手執周易一卷，焚香默坐，消遣世慮。」
2.暗中。如：「潛移默化」。唐．杜甫〈自京赴奉先縣詠懷五百字〉詩：「默思失業途，因念遠戍卒。」
3.憑記憶讀出或寫出。如：「默誦」、「默寫」。
[名]
姓。如明代有默思道。</t>
  </si>
  <si>
    <t>嚜</t>
  </si>
  <si>
    <t>參見「嚜嚜」條。</t>
  </si>
  <si>
    <t>(二)˙ㄇㄜ me（01103）</t>
  </si>
  <si>
    <t>纆</t>
  </si>
  <si>
    <t>[名]
兩股合編成的繩子。《莊子．駢拇》：「附離不比膠漆，約束不以纆索。」《史記．卷八四．屈原賈生傳》：「夫禍之與福兮，何異糾纆。」</t>
  </si>
  <si>
    <t>˙ㄇㄜ</t>
  </si>
  <si>
    <t>me</t>
  </si>
  <si>
    <t>[助]
語助詞。表有所斟酌語氣。如：「不要你的錢麼，你又硬塞過來。」
[綴]
參見「甚麼」、「這麼」、「那麼」等條。</t>
  </si>
  <si>
    <t>(一)ㄇㄛˊ mó（01046）(二)˙ㄇㄚ ma（01042）(三)ㄇㄚˊ má（01025）</t>
  </si>
  <si>
    <t>[助]
表示有所決定的語助詞。如：「他既然來了嚜，當然要請他做下去。」</t>
  </si>
  <si>
    <t>(一)ㄇㄛˋ mò（01100）</t>
  </si>
  <si>
    <t>埋</t>
  </si>
  <si>
    <t>ㄇㄞˊ</t>
  </si>
  <si>
    <t>mái</t>
  </si>
  <si>
    <t>[動]
1.葬。如：「活埋」、「埋葬」。《文選．鮑照．蕪城賦》：「莫不埋魂幽石，委骨窮塵。」清．袁枚〈祭妹文〉：「汝死我葬，我死誰埋？汝倘有靈，可能告我？」
2.藏起來使不明顯。如：「埋藏」、「埋伏」、「埋沒」、「埋名」。唐．李白〈登金陵鳳凰臺〉詩：「吳宮花草埋幽徑，晉代衣冠成古丘。」五代十國南唐．李煜〈浪淘沙．往事只堪哀〉詞：「金鎖已沉埋，壯氣蒿萊。」</t>
  </si>
  <si>
    <t>(二)ㄇㄢˊ mán（01219）</t>
  </si>
  <si>
    <t>薶</t>
  </si>
  <si>
    <t>[動]
埋藏。同「埋」。《漢書．卷三六．楚元王劉交傳》：「又多殺宮人，生薶工匠，計以萬數。」北周．庾信〈小園賦〉：「鎮宅神以薶石，厭山精而照鏡。」</t>
  </si>
  <si>
    <t>(二)ㄨㄛ wō（11332）</t>
  </si>
  <si>
    <t>霾</t>
  </si>
  <si>
    <t>[名]
懸浮於空氣中之煙、塵等微粒聚集形成的昏暗現象。唐．盧綸〈送惟良上人歸江南〉詩：「苦霧沉山影，陰霾發海光。」《紅樓夢》第七八回：「塵霾斂兮星高，溪山麗兮月午。」
[動]
1.大風揚塵土，從上而下。《詩經．邶風．終風》：「終風且霾，惠然肯來。」
2.覆藏。通「埋」。《楚辭．屈原．九歌．國殤》：「霾兩輪兮縶四馬，援玉枹兮擊鳴鼓。」</t>
  </si>
  <si>
    <t>買</t>
  </si>
  <si>
    <t>ㄇㄞˇ</t>
  </si>
  <si>
    <t>mǎi</t>
  </si>
  <si>
    <t>[動]
1.以金錢購進物產。如：「買田」、「買書」、「買空賣空」。唐．白居易〈琵琶行〉：「商人重利輕別離，前月浮梁買茶去。」唐．柳渾〈牡丹〉詩：「近來無奈牡丹何，數十千錢買一顆。」
2.求取。《南史．卷六九．虞荔傳》：「寄聞之歎曰：『美盛德之形容，以申擊壤之情耳，吾豈買名求仕者乎？』」宋．蘇軾〈荔枝歎〉：「爭新買寵各出意，今年鬥品充官茶。」
[名]
姓。如五代有買叔午，宋代有買天英。</t>
  </si>
  <si>
    <t>ㄇㄞˋ</t>
  </si>
  <si>
    <t>mài</t>
  </si>
  <si>
    <t>[名]
1.分布人與動物周身，使血液流通而循環不窮的血管。如：「動脈」、「靜脈」。
2.像血脈一樣，有條理分支的事物。如：「葉脈」、「山脈」、「礦脈」。唐．韋莊〈漁塘十六韻〉：「洛水分餘脈，穿巖出石稜。」
3.血統支系。如：「一脈單傳」。
4.脈搏。如：「脈診」、「把脈」。漢．王符《潛夫論．述赦》：「凡治病者必先知脈之虛實。」</t>
  </si>
  <si>
    <t>(二)（又音）ㄇㄛˋ mò（01078）</t>
  </si>
  <si>
    <t>(一)ㄇㄛˋ mò（01079）</t>
  </si>
  <si>
    <t>[名]
1.禾本科植物的通稱。一年生或二年生草本植物。夏月開花結實，種子可用來磨麵粉，製糖或釀酒。種類甚多，有黑麥、燕麥、小麥、大麥等。
2.姓。如隋代有麥鐵杖。
3.二一四部首之一。</t>
  </si>
  <si>
    <t>(二)（讀音）ㄇㄛˋ mò（01082）</t>
  </si>
  <si>
    <t>賣</t>
  </si>
  <si>
    <t>[動]
1.出售貨物以換錢。如：「賣貨」、「賣花」。唐．聶夷中．〈詠田家〉詩：「二月賣新綠，五月糶新穀。」明．劉基〈賣柑者言〉：「杭有賣果者，善藏柑，涉寒暑不潰。」
2.背地害人以利己。如：「賣國」、「賣友求榮」。《史記．卷八七．李斯傳》：「微趙君，幾為丞相所賣。」
3.炫耀、顯露。如：「賣弄」、「賣乖」、「倚老賣老」。《莊子．天地》：「子非夫博學以擬聖，於于以蓋眾，獨弦哀歌，以賣名聲於天下者乎？」
[名]
姓。如明代有賣廷傑。</t>
  </si>
  <si>
    <t>勱</t>
  </si>
  <si>
    <t>[動]
勉力。《書經．立政》：「繼自今立政，其勿以憸人，其惟吉士用勱相我國家。」</t>
  </si>
  <si>
    <t>邁</t>
  </si>
  <si>
    <t>[動]_x000D_
1.遠行。《詩經．小雅．小宛》：「我日斯邁，而月斯征。」晉．左思〈吳都賦〉：「濆薄沸騰，寂寥長邁。」_x000D_
2.巡行、巡守。《詩經．周頌．時邁》：「時邁其邦，昊天其子之。」《後漢書．卷四八．楊李翟應霍爰徐列傳．應奉》：「今大駕東邁，巡省許都，拔出險難，其命惟新。」_x000D_
3.逝、往。《書經．泰誓》：「我心之憂，日月愈邁，若弗云來。」宋．范仲淹〈寄題峴山羊公祠堂〉詩：「堙滅皆無聞，空悲歲月邁。」_x000D_
4.超過。如：「超古邁今」。《三國志．卷二五．魏書．辛毗楊阜高堂隆傳．高堂隆》：「三王可邁，五帝可越。」元．蒲道源〈閑居紀事〉詩二首之二：「冠笄年既邁，受幣方交親。」_x000D_
5.跨。如：「邁過青春」。《兒女英雄傳》第一六回：「順著那房脊，邁步如飛，連三跨五，霎時間不見蹤影。」《文明小史》第一六回：「朝南走到大觀樓底下，認得是爿茶館，遂即邁步登樓。」_x000D_
[形]_x000D_
1.衰老。如：「衰邁」、「頹邁」。《後漢書．卷六五．皇甫張段列傳．皇甫規》：「若謂臣年少官輕，不足用者，凡諸敗將，非官爵之不高，年齒之不邁。臣不勝至誠，沒死自陳。」唐．陳子昂〈臨邛縣令封君遺愛碑〉：「我君云邁，誰其嗣之？」唐．吳畦〈唐贈左散騎常侍汝南韓公神道碑〉：「今齒髮云邁，桑榆足悲。」_x000D_
2.豪放。如：「爽邁」、「雄邁」。唐．元稹〈唐故工部員外郎杜君墓係銘〉：「詞氣豪邁而風調清深，屬對律切而脫棄凡近。」《二刻拍案驚奇》卷一一：「是日焦大郎安排晚飯與滿生同喫，滿生一席之間，談吐如流，更加酒興豪邁，痛飲不醉。」_x000D_
[副]_x000D_
1.勉力。通「勱」。《書經．大禹謨》：「皋陶邁種德，德乃降。」南朝梁．劉勰《文心雕龍．宗經》：「邁德樹聲，莫不師聖。」_x000D_
2.奮發。如：「勇往邁進」。_x000D_
[名]_x000D_
姓。如明代有邁文麟。_x000D_
[量]_x000D_
計算長度或時速的單位。即英里。為英語mile的音譯。清．李鴻章《李文忠公選集．光緒十六年三月初四日午刻．寄譯署海署》：「查該艦鐵板厚五寸，高五十英尺，喫水深二十六尺，寬四十尺，長三百六十尺，機器三副，極快，每點行二十邁。」清．鄭觀應《南遊日記．五月二十日》：「牌示行二百七十六邁，由香港往西貢計程九百一十邁。」</t>
  </si>
  <si>
    <t>ㄇㄟˊ</t>
  </si>
  <si>
    <t>méi</t>
  </si>
  <si>
    <t>[動]
1.無。如：「沒緣」、「沒良心」。唐．韋莊〈女冠子．四月十七〉詞：「除卻天邊月，沒人知。」元．鍾嗣成〈一枝花．生居天地間套．牧羊關〉曲：「胎中疾，沒藥醫。」
2.不如。如：「我沒你有錢」、「你沒我快」。
[副]
未。如：「沒來」、「沒說」。</t>
  </si>
  <si>
    <t>(一)ㄇㄛˋ mò（01071）</t>
  </si>
  <si>
    <t>玫</t>
  </si>
  <si>
    <t>[名]
1.美石。唐．釋玄應《一切經音義．卷二．大般涅槃經》：「石之美好曰：『玫』，圓好曰：『瑰』。」
2.參見「玫瑰」條。</t>
  </si>
  <si>
    <t>枚</t>
  </si>
  <si>
    <t>[名]
1.樹幹。《詩經．周南．汝墳》：「遵彼汝墳，伐其條枚。」唐．杜甫〈雨〉詩：「鮫館如鳴杼，樵舟豈伐枚。」
2.古代行軍時，兵士橫銜於口中，以防止言語的箸。如：「銜枚疾走」。《詩經．豳風．東山》：「制彼裳衣，勿士行枚。」
3.量詞：(1)計算形體較小物品的單位。相當於「個」。如：「一枚銅板」、「兩枚郵票」。《文選．謝惠連．祭古冢文》：「棺上有五銖錢百餘枚。」《儒林外史》第二回：「只有周、梅二位的茶杯裡有兩枚生紅棗，其餘都是清茶。」(2)計算火箭、彈藥的單位。如：「一枚炸彈」、「兩枚火箭」。
4.姓。如漢代有枚乘。
[副]
一個一個的。如：「不勝枚舉」。</t>
  </si>
  <si>
    <t>苺</t>
  </si>
  <si>
    <t>同「莓」。</t>
  </si>
  <si>
    <t>梅</t>
  </si>
  <si>
    <t>[名]
1.植物名。薔薇科李屬，落葉喬木。性耐寒。葉卵形，先端尾狀漸尖，鋸齒緣。早春開花，花單生或二朵聚生，花瓣五片，色紅或白，芳香。核果近球形，外被細毛，味酸，可食。各地均有栽培。
2.姓。宋代有梅堯臣，明代有梅鼎祚。</t>
  </si>
  <si>
    <t>莓</t>
  </si>
  <si>
    <t>參見「草莓」條。</t>
  </si>
  <si>
    <t>脢</t>
  </si>
  <si>
    <t>[名]
裡脊肉。指牛、豬等背脊兩旁條狀的瘦肉。如：「脢子肉」。</t>
  </si>
  <si>
    <t>酶</t>
  </si>
  <si>
    <t>[名]
由活細胞產生的有機物質。具有催化力，生命現象中的各種複雜化學反應，均賴其助而得以進行。也稱為「酵素」。</t>
  </si>
  <si>
    <t>霉</t>
  </si>
  <si>
    <t>[名]
衣物、食品等因受溼熱所生的黴菌，有時為灰黑色的小點。如：「發霉」、「長霉」。
[動]
發霉。《紅樓夢》第四〇回：「若有時都拿出來，送這劉親家兩疋，做一個帳子我掛，下剩的配上裡子，做些夾背心給丫頭們穿，白收著霉壞了。」</t>
  </si>
  <si>
    <t>鋂</t>
  </si>
  <si>
    <t>[名]
1.以一大環貫二小環而成的金屬鎖鏈。《詩經．齊風．盧令》：「盧重鋂，其人美且偲。」漢．毛亨．傳：「鋂，一環貫二。」
2.（americium，Am）化學元素。原子序為95。為人造的放射性元素，銀白色的結晶形固體。與氧、鹵素、鋰等能生成化合物。可用於輻射化學上的研究及電子儀器上。</t>
  </si>
  <si>
    <t>眉</t>
  </si>
  <si>
    <t>[名]
1.人的前額與上眼瞼連接處，橫形高超生有細毛的部分。如：「眉毛」、「八字眉」、「橫眉豎眼」、「舉案齊眉」。
2.泛稱上端為「眉」。如：「書眉」。
3.姓。如春秋時代有眉間尺。</t>
  </si>
  <si>
    <t>湄</t>
  </si>
  <si>
    <t>[名]
水邊、岸邊。《詩經．秦風．蒹葭》：「所謂伊人，在水之湄。」元．周密〈繡鸞鳳花犯．楚江湄〉詞：「楚江湄，湘娥乍見，無言灑清淚。」</t>
  </si>
  <si>
    <t>嵋</t>
  </si>
  <si>
    <t>參見「峨嵋山」條。</t>
  </si>
  <si>
    <t>郿</t>
  </si>
  <si>
    <t>[名]
地名：(1)周時郿邑，故址約位在今大陸地區陝西省郿縣東北。(2)春秋時魯邑，故址約位於今大陸地區山東省東平縣境。</t>
  </si>
  <si>
    <t>楣</t>
  </si>
  <si>
    <t>[名]
1.屋簷口椽端的封簷板。《宋書．卷六七．謝靈運傳》：「因丹霞以赬楣，附碧雲以翠椽。」
2.門框的上橫部分。如：「門楣」、「倒楣」。《楚辭．屈原．九歌．湘夫人》：「桂棟兮蘭橑，辛夷楣兮藥房。」唐．陳鴻《長恨傳》：「男不封侯女作妃，看女卻為門上楣。」
3.兩柱之間所架的橫木，即屋梁。《儀禮．鄉射禮》：「序則物當棟，堂則物當楣。」</t>
  </si>
  <si>
    <t>媒</t>
  </si>
  <si>
    <t>[名]
1.介紹婚姻的人。如：「媒妁」、「媒人」。《禮記．坊記》：「故男女無媒不交，無幣不相見。」唐．秦韜玉〈貧女〉詩：「蓬門未識綺羅香，擬託良媒亦自傷。」
2.借指聯繫雙方的事物。如：「病媒」、「蟲媒」。《文選．枚乘．七發》：「洞房清宮，命曰寒熱之媒。」唐．韓愈〈詠雪贈張籍〉詩：「助留風作黨，勸坐火為媒。」
3.介紹。南朝梁．劉勰《文心雕龍．辨騷》：「豐隆求宓妃，鴆鳥媒娀女。」宋．楊萬里〈過百家渡〉詩：「園花落盡路花開，白白紅紅各自媒。」</t>
  </si>
  <si>
    <t>煤</t>
  </si>
  <si>
    <t>[名]
古代植物埋藏地下，分解而成的含碳物質。主要成分是碳、氫、氧和氮。色黑、質堅。按形成階段和碳化程度的不同，主要可分為泥煤、褐煤、煙煤和無煙煤四種。可為燃料及化學原料。也稱為「石炭」、「煤炭」。</t>
  </si>
  <si>
    <t>腜</t>
  </si>
  <si>
    <t>[名]
婦女懷孕初的徵兆。《說文解字．肉部》：「腜，婦孕始兆。」
[形]
美好。《文選．左思．魏都賦》：「腜腜坰野，奕奕菑畝。」</t>
  </si>
  <si>
    <t>禖</t>
  </si>
  <si>
    <t>[名]
1.古代求子的祭祀。《玉篇．示部》：「禖，求子祭。」
2.求子所祭之神。《漢書．卷六三．武五子傳．戾太子劉據傳》：「初，上年二十九乃得太子，甚喜，為立禖。」唐．柳宗元〈天對〉：「嚳、狄禱禖，契形於胞。」</t>
  </si>
  <si>
    <t>[名]
細塵。《楚辭．劉向．九歎．惜賢》：「俟時風之清激兮，愈氛霧其如塺。」</t>
  </si>
  <si>
    <t>(二)（又音）ㄇㄛˋ mò（01095）</t>
  </si>
  <si>
    <t>糜</t>
  </si>
  <si>
    <t>參見「糜子」條。</t>
  </si>
  <si>
    <t>(一)ㄇㄧˊ mí（01341）</t>
  </si>
  <si>
    <t>黴</t>
  </si>
  <si>
    <t>[名]
泛指物體表面由許多菌絲錯綜而成的菌絲體，多見於腐朽的動植物上或受潮、受汙的食品、器物上。初生時為白色的菌絲，菌柄突出，上生孢子，有紅、黃、綠、黑等顏色。成熟後隨風飄散。
[動]
因發黴而敗壞。如：「黴壞」。
[形]
面部黝黑。《淮南子．脩務》：「神農憔悴，堯瘦臞，舜黴黑，禹胼胝。」</t>
  </si>
  <si>
    <t>每</t>
  </si>
  <si>
    <t xml:space="preserve">毋 </t>
  </si>
  <si>
    <t>ㄇㄟˇ</t>
  </si>
  <si>
    <t>měi</t>
  </si>
  <si>
    <t>[形]
各個。如：「每人」、「每件」、「每時每刻」。
[副]
1.常、往往。《文選．諸葛亮．出師表》：「每與臣論此事。」《晉書．卷六二．祖逖傳》：「祖逖，……年十四五猶未知書，諸兄每憂之。」
2.凡是、只要。如：「每逢佳節倍思親」。宋．歐陽修〈蝶戀花．誰道閒情拋棄久〉詞：「誰道閒情拋棄久。每到春來，惆悵還依舊。」
[名]
姓。如漢代有每當時。</t>
  </si>
  <si>
    <t>挴</t>
  </si>
  <si>
    <t>[動]
1.貪求。《楚辭．屈原．天問》「穆王巧梅」句下宋．洪興祖．補注：「《方言》云：『梅，貪也，亡改切，其字從手。』」
2.慚愧。漢．揚雄《方言》卷二：「挴，……，愧也。」</t>
  </si>
  <si>
    <t>美</t>
  </si>
  <si>
    <t>[形]_x000D_
1.漂亮、好看。如：「華美」、「貌美」、「美男子」、「她長得十分甜美。」_x000D_
2.好、善。如：「美德」、「鮮美」、「完美」、「價廉物美」、「盡善盡美」。_x000D_
3.得意。如：「少臭美了！」_x000D_
[名]_x000D_
1.漂亮的女子。《詩經．鄭風．野有蔓草》：「有美一人，清揚婉兮。」_x000D_
2.泛指好的德性、事物等。如：「君子有成人之美」。《管子．五行》：「然後天地之美生。」_x000D_
3.美育的簡稱。如：「德、智、體、群、美，五育並重。」_x000D_
4.美國的簡稱。如：「中、美、英、法。」_x000D_
5.美洲的簡稱。如：「南美」、「北美」、「歐美國家」。_x000D_
[動]_x000D_
1.誇讚、褒獎。如：「讚美」。《韓非子．五蠹》：「然則今有美堯、舜、湯、武、禹之道於當今之世者，必為新聖笑矣。」_x000D_
2.使變善變好。如：「養顏美容」。</t>
  </si>
  <si>
    <t>渼</t>
  </si>
  <si>
    <t>[名]
水的波紋。《玉篇．水部》：「渼，水波也。」</t>
  </si>
  <si>
    <t>鎂</t>
  </si>
  <si>
    <t>[名]
（magnesium，Mg）化學元素。原子序12。質輕，色銀白，在空氣中燃燒時會發出強光，鎂粉可用來做照明彈、煙火及照相用的閃光粉；鎂與鋁的合金則是製造飛機的重要材料。</t>
  </si>
  <si>
    <t>浼</t>
  </si>
  <si>
    <t>[動]_x000D_
1.玷汙。《孟子．萬章下》：「爾為爾，我為我，雖袒裼裸裎於我側，爾焉能浼我哉！」_x000D_
2.請託、請求。《聊齋志異．卷二．聶小倩》：「妾少誦《楞嚴經》，今強半遺忘，浼求一卷，夜暇，就兄正之。」</t>
  </si>
  <si>
    <t>媺</t>
  </si>
  <si>
    <t>[形]
善。同「美」。宋．陸游〈吳氏書樓記〉：「則民殷俗媺，兵寢刑厝，如唐虞三代。」</t>
  </si>
  <si>
    <t>沬</t>
  </si>
  <si>
    <t>ㄇㄟˋ</t>
  </si>
  <si>
    <t>mèi</t>
  </si>
  <si>
    <t>[名]
1.地名。春秋時衛邑，故址在今大陸地區河南省淇縣。
2.微明之光。《易經．豐卦．九三》：「豐其沛，日中見沬。」唐．陸德明《經典釋文．卷二．周易音義》：「沬，微昧之光也。」</t>
  </si>
  <si>
    <t>妹</t>
  </si>
  <si>
    <t>[名]
1.稱謂：(1)對同父母所生而比自己年幼的女子的稱呼。如：「么妹」、「姊妹」、「兄妹」。南朝梁．無名氏〈木蘭詩〉二首之一：「阿姊聞妹來，當戶理紅妝。」(2)對同輩中較年幼的女子的稱呼。如：「表妹」、「堂妹」。
2.女子對同輩的自謙之詞。如：「小妹我年幼無知，請多多指教。」
3.泛指少女。《西遊記》第九五回：「這寶幢下乃月宮太陰星君，兩邊的仙妹是月裡嫦娥。」</t>
  </si>
  <si>
    <t>昧</t>
  </si>
  <si>
    <t>[形]
1.昏暗、不明。如：「曖昧」。《楚辭．屈原．離騷》：「惟夫黨人之偷樂兮，路幽昧以險隘。」
2.糊塗。如：「愚昧」、「蒙昧」。
[動]
1.隱藏。如：「拾金不昧」。
2.違背。如：「不要昧著良心做事。」《水滸傳》第四四回：「我想他回薊州探母參師，期約百日便回。今經日久，不知信息，莫非昧信不來？」
3.冒犯、冒著。如：「冒昧」。《韓非子．初見秦》：「臣昧死，願望見大王，言所以破天下之從。」</t>
  </si>
  <si>
    <t>眛</t>
  </si>
  <si>
    <t>[形]
眼睛看不清楚的樣子。《說文解字．目部》：「眛，目不明也。」</t>
  </si>
  <si>
    <t>寐</t>
  </si>
  <si>
    <t>[動]
睡。如：「假寐」、「夢寐以求」。《詩經．小雅．小宛》：「夙興夜寐，毋忝爾所生。」《公羊傳．僖公二年》：「寡人夜者寢而不寐。」</t>
  </si>
  <si>
    <t>魅</t>
  </si>
  <si>
    <t>[名]
傳說中作祟害人的鬼怪。如：「魑魅」、「鬼魅」。《文選．鮑照．蕪城賦》：「木魅山鬼，野鼠城狐，風嗥雨嘯，昏見晨趨。」《洛陽伽藍記．卷四．法雲寺》：「當時婦人著綵衣者，皆指其狐魅。」
[動]
迷惑。《說郛．卷六〇．玄中記》：「能知千里外事，善蠱魅，使人迷惑。」</t>
  </si>
  <si>
    <t>袂</t>
  </si>
  <si>
    <t>[名]
衣袖。如：「連袂前往」。《左傳．宣公十四年》：「楚子聞之，投袂而起。」唐．白居易〈長恨歌〉：「風吹仙袂飄飄舉，猶似霓裳羽衣舞。」</t>
  </si>
  <si>
    <t>痗</t>
  </si>
  <si>
    <t>[名]
病。唐．劉禹錫〈謁柱山會禪師〉詩：「安能咎往事，且欲去沉痗。」《聊齋志異．卷七．梅女》：「年十六歲，無問名者，父母憂念成痗。」
[動]
憂傷。《詩經．衛風．伯兮》：「願言思伯，使我心痗。」</t>
  </si>
  <si>
    <t>媚</t>
  </si>
  <si>
    <t>[動]
1.奉承、取悅、討好。如：「諂媚」。《國語．周語上》：「若是，乃能媚於神而和於民。」《史記．卷一二五．佞幸傳．序》：「非獨女以色媚，而士宦亦有之。」
2.愛。《詩經．大雅．下武》：「媚茲一人。」三國魏．繁欽〈定情〉詩：「我既媚君姿，君亦悅我顏。」
[形]
嬌豔、美好、可愛。如：「嬌媚」、「嫵媚」、「風光明媚」。《文選．陸機．文賦》：「石韞玉而山輝，水懷珠而川媚。」</t>
  </si>
  <si>
    <t>瑁</t>
  </si>
  <si>
    <t>參見「玳瑁」條。</t>
  </si>
  <si>
    <t>(二)ㄇㄠˋ mào（01185）</t>
  </si>
  <si>
    <t>蝐</t>
  </si>
  <si>
    <t>[名]
蝳蝐：動物名。即玳瑁。脊椎動物爬蟲類。背甲黃褐色，有美麗斑紋，可做裝飾品。</t>
  </si>
  <si>
    <t>韎</t>
  </si>
  <si>
    <t>[動]
用茜草染皮革。《說文解字．韋部》：「韎，茅蒐染韋也。」
[名]
1.茜草。可作染料。《玉篇．韋部》：「韎，茅蒐，染草也。」《晉書．卷二五．輿服志》：「韋弁，制似皮弁，頂上尖，韎草染之，色如淺絳。」
2.古代東夷的樂音。《周禮．春官．鞮鞻氏》：「鞮鞻氏掌四夷之樂。」漢．鄭玄．注：「四夷之樂，東方曰韎，南方曰任，西方曰株離，北方曰禁。」
[形]
紅色的。《左傳．成公十六年》：「方事之殷也，有韎韋之跗注，君子也。」晉．杜預．注：「韎，赤色。」</t>
  </si>
  <si>
    <t>謎</t>
  </si>
  <si>
    <t>(一)ㄇㄧˊ mí（01340）(二)（(一)之又音）ㄇㄧˋ mì（01389）</t>
  </si>
  <si>
    <t>ㄇㄠ</t>
  </si>
  <si>
    <t>māo</t>
  </si>
  <si>
    <t>(一)ㄇㄛ mō（01044）(三)ㄇㄛˊ mó（01052）</t>
  </si>
  <si>
    <t>貓</t>
  </si>
  <si>
    <t>[名]
動物名。哺乳綱食肉目。面圓齒銳，耳殼短小，眼大，瞳孔會因光線強弱而變大小，聽視覺都很敏銳，四肢較短，腳有銳爪，掌有肉墊，行動敏捷，善捕鼠。
[動]
北平方言。指躲藏。如：「他貓起來了，害大夥兒找不著。」</t>
  </si>
  <si>
    <t>毛</t>
  </si>
  <si>
    <t>ㄇㄠˊ</t>
  </si>
  <si>
    <t>máo</t>
  </si>
  <si>
    <t>[名]_x000D_
1.動植物表皮或果實表皮所生的絲狀物。如：「羊毛」、「羽毛」、「桃子的果皮上被覆一層細毛。」_x000D_
2.特指人身上的鬚髮。如：「眉毛」、「鬢毛」、「睫毛」。《漢書．卷六五．東方朔傳》：「咄！口無毛，聲謷謷，（尻）益高。」_x000D_
3.地面上可發育生長之地被植物或作物的泛稱，多指五穀、蔬菜。如：「不毛之地」。《管子．七臣七主》：「夫男不田，女不緇，工技力於無用，而欲土地之毛，倉庫滿實，不可得也。」_x000D_
4.借指走獸、獸類。《禮記．樂記》：「羽者嫗伏，毛者孕鬻。」_x000D_
5.我國錢幣中「角」的俗稱。如一角稱為「一毛」。_x000D_
6.姓。如漢代有毛亨。_x000D_
7.二一四部首之一。_x000D_
[形]_x000D_
1.驚慌失措的樣子。如：「把他嚇毛了。」_x000D_
2.生氣、發怒、急躁的樣子。如：「毛毛躁躁」、「別把我惹毛了！」《官場現形記》第一五回：「若把老爺弄毛了，他一動氣，要頂真辦起來，你們吃得住嗎？」_x000D_
3.粗糙的、未加工的。如：「毛米」、「毛貨」、「毛胚」。_x000D_
4.約略、不純的。如：「毛利」、「毛重」。_x000D_
5.小。如：「毛驢」、「毛孩子」、「毛丫頭」、「毛毛雨」。</t>
  </si>
  <si>
    <t>旄</t>
  </si>
  <si>
    <t>[名]
1.古代竿頭上飾有犛牛尾的旗幟。《書經．牧誓》：「右秉白旄以麾。」《文選．曹植．洛神賦》：「左倚采旄，右蔭桂旗。」
2.借指旄牛。《文選．司馬相如．上林賦》：「其獸則𧴄旄貘犛。」</t>
  </si>
  <si>
    <t>(二)ㄇㄠˋ mào（01177）</t>
  </si>
  <si>
    <t>髦</t>
  </si>
  <si>
    <t>[名]
1.毛髮中較長者稱為「髦」。《爾雅．釋言》：「髦，選也。」宋．邢昺．疏：「毛中之長毫，曰髦。」
2.比喻出眾的人才。唐．太宗〈令河北淮南諸州舉人詔〉：「江淮吳會，英髦斯在。」
3.古代孩童下垂至眉的髮式。《詩經．鄘風．柏舟》：「髧彼兩髦，實維我儀。」漢．毛亨．傳：「髦者，髮至眉，子事父母之飾。」
4.獸類頭頸上的長毛。《淮南子．原道》：「馬被髦而全足者，天也。」《山海經．南山經》：「有獸焉，其狀如狸而有髦。」
5.古代用犛牛尾作裝飾的旗幟。通「旄」。《文選．張協．七命八首之三》：「建雲髦，啟雄芒。」唐．李善．注：「髦，與旄古字通。」
[形]
流行的、時興的。參見「時髦」條。</t>
  </si>
  <si>
    <t>矛</t>
  </si>
  <si>
    <t xml:space="preserve">矛 </t>
  </si>
  <si>
    <t>[名]
1.古代一種直刺兵器。長柄，有青銅或鐵製的利刃。如：「長矛」。《文選．枚乘．七發》：「白刃磑磑，矛戟交錯。」《三國演義》第二八回：「隨即披挂持矛上馬，引一千餘人，逕出北門。」
2.二一四部首之一。</t>
  </si>
  <si>
    <t>茅</t>
  </si>
  <si>
    <t>[名]
1.植物名。禾本科白茅屬，「白茅」之古稱，參見「白茅」條。
2.姓。如秦代有茅焦。</t>
  </si>
  <si>
    <t>茆</t>
  </si>
  <si>
    <t>通「茅」。</t>
  </si>
  <si>
    <t>(一)ㄇㄠˇ mǎo（01172）</t>
  </si>
  <si>
    <t>堥</t>
  </si>
  <si>
    <t>[名]
前高後低的小土山。《廣韻．平聲．豪韻》：「堥，前高後下，丘名。」</t>
  </si>
  <si>
    <t>(二)ㄇㄡˊ móu（01200）</t>
  </si>
  <si>
    <t>髳</t>
  </si>
  <si>
    <t>[名]
1.長垂至眉的頭髮。《說文解字．髟部》：「髳，髮至眉也。」
2.中國古代少數民族之一，多分布在大陸地區川南一帶。《書經．牧誓》：「及庸、蜀、羌、髳、微、盧彭、濮人。」漢．孔安國．傳：「八國皆蠻夷戎狄屬文王者，……髳、微在巴蜀。」</t>
  </si>
  <si>
    <t>(二)ㄇㄥˊ méng（01296）</t>
  </si>
  <si>
    <t>蝥</t>
  </si>
  <si>
    <t>[名]
1.動物名。節肢動物門昆蟲綱。專蝕害稻根。同「蟊」。也稱為「根白蛆」。
2.參見「斑蝥」條。</t>
  </si>
  <si>
    <t>蟊</t>
  </si>
  <si>
    <t>[名]
動物名。節肢動物昆蟲綱。一種專吃稻根的害蟲。</t>
  </si>
  <si>
    <t>犛</t>
  </si>
  <si>
    <t>(一)ㄌㄧˊ lí（03406）</t>
  </si>
  <si>
    <t>氂</t>
  </si>
  <si>
    <t>(一)ㄌㄧˊ lí（03407）</t>
  </si>
  <si>
    <t>錨</t>
  </si>
  <si>
    <t>[名]
鐵製的停船器具。一端有兩個或兩個以上的鉤爪，另一端上有鐵鍊相連在船上。拋到水中或岸上，可以使船停泊不動。</t>
  </si>
  <si>
    <t>卯</t>
  </si>
  <si>
    <t xml:space="preserve">卩 </t>
  </si>
  <si>
    <t>ㄇㄠˇ</t>
  </si>
  <si>
    <t>mǎo</t>
  </si>
  <si>
    <t>[名]
1.地支的第四位。
2.時辰名。約當早晨五點到七點。
3.古代官署例定在卯時進行的報到點名等活動的代稱。如點名稱為「點卯」，點名冊稱為「卯簿」、「卯冊」。《水滸傳》第一〇一回：「一日，王慶五更入衙畫卯，幹辦完了執事，閒步出城南。」
4.參見「卯眼」條。
[動]
對上。如：「他倆卯上了。」</t>
  </si>
  <si>
    <t>泖</t>
  </si>
  <si>
    <t>[名]
1.停滯不湍急的水流。宋．何薳《春渚紀聞．卷七．三泖》：「今觀所謂三泖，皆漫水巨浸……或謂泖是水死絕處，故江左人目水之停滀不湍者為卯（泖）。」
2.河川名。在大陸地區江蘇省，源出太湖，有上泖、中泖、下泖，匯集為泖湖。</t>
  </si>
  <si>
    <t>禾本科白茅屬，「茅」、「白茅」之古稱，參見「白茅」條。</t>
  </si>
  <si>
    <t>(二)ㄇㄠˊ máo（01162A）</t>
  </si>
  <si>
    <t>昴</t>
  </si>
  <si>
    <t>[名]
星宿名。二十八宿之一，為白虎七宿的第四宿。《詩經．召南．小星》：「嘒彼小星，維參與昴。」《文選．司馬相如．長門賦》：「畢昴出於東方。」</t>
  </si>
  <si>
    <t>鉚</t>
  </si>
  <si>
    <t>參見「鉚釘」條。</t>
  </si>
  <si>
    <t>芼</t>
  </si>
  <si>
    <t>ㄇㄠˋ</t>
  </si>
  <si>
    <t>mào</t>
  </si>
  <si>
    <t>[名]
雜在羹湯中的菜。《文選．潘岳．西征賦》：「而菜蔬芼實，水物惟錯。」
[動]
摘取。《詩經．周南．關雎》：「參差荇菜，左右芼之。」</t>
  </si>
  <si>
    <t>眊</t>
  </si>
  <si>
    <t>[名]
老人。《漢書．卷六．武帝紀》：「哀夫老眊孤寡鰥獨或匱於衣食，甚憐愍焉。」
[形]
眼睛看不清楚的樣子。《孟子．離婁上》：「胸中不正，則眸子眊焉。」</t>
  </si>
  <si>
    <t>[形]
1.毛長。《爾雅．釋獸》：「旄毛狗足。」晉．郭璞．注：「旄，毛㺜長。」
2.老。《史記．卷七八．春申君傳．太史公曰》：「（春申君）後制於李園，旄矣。」
3.昏亂。通「耄」。《戰國策．楚策一》：「水漿無入口，瘨而殫悶，旄不知人。」
[名]
老人。通「耄」。《禮記．射義》：「旄期稱道不亂。」</t>
  </si>
  <si>
    <t>(一)ㄇㄠˊ máo（01159）</t>
  </si>
  <si>
    <t>耄</t>
  </si>
  <si>
    <t xml:space="preserve">老 </t>
  </si>
  <si>
    <t>[形]
1.年老。《國語．周語下》：「爾老耄矣。」宋．宋濂〈送東陽馬生序〉：「今雖耄老，未有所成，猶幸預君子之列，而承天子之寵光。」
2.昏亂。《書經．微子》：「吾家耄遜于荒。」</t>
  </si>
  <si>
    <t>毣</t>
  </si>
  <si>
    <t>[形]
1.美好。《廣韻．入聲．覺韻》：「毣，好貌。」
2.毛溼潤的樣子。《廣韻．入聲．覺韻》：「毣，一曰毛濡也。」《北史．卷四一．楊播傳》：「白羊頭毣禿，羖䍽頭生角。」
3.參見「毣毣」條。</t>
  </si>
  <si>
    <t>毷</t>
  </si>
  <si>
    <t>參見「毷氉」條。</t>
  </si>
  <si>
    <t>茂</t>
  </si>
  <si>
    <t>[形]
1.繁盛、旺盛。如：「茂盛」、「茂密」、「根深葉茂」。晉．王羲之〈三月三日蘭亭詩序〉：「此地有崇山峻嶺，茂林修竹，又有清流激湍，映帶左右。」
2.豐盛優美。如：「圖文並茂」。《楚辭．屈原．離騷》：「夫維聖哲以茂行兮，苟得用此下士。」《漢書．卷三六．楚元王劉交傳》：「資質淑茂，道術通明。」
[動]
勸勉。通「懋」。《詩經．小雅．節南山》：「方茂爾惡，相爾矛矣。」
[名]
姓。如漢代有茂員。</t>
  </si>
  <si>
    <t>(二)（又音）ㄇㄡˋ mòu（01208）</t>
  </si>
  <si>
    <t>[動]
1.由下往上或往外透出、發散。如：「冒煙」、「冒氣」、「冒汗」。
2.衝犯、不顧。如：「冒險」、「冒犯」、「衝冒」。《文選．司馬遷．報任少卿書》：「張空拳，冒白刃，北嚮爭死敵者。」宋．華岳〈驟雨〉詩：「慌忙冒雨急渡溪，雨勢驟晴山又綠。」
3.假稱、假託。如：「冒名」、「假冒」。《漢書．卷五五．衛青傳》：「青有同母兄衛長君及姊子夫，子夫自平陽公主家得幸武帝，故青冒姓為衛氏。」
[副]
鹵莽、莽撞。如：「冒犯」、「冒進」。
[名]
姓。如元代有冒致中，清代有冒襄。</t>
  </si>
  <si>
    <t>(二)ㄇㄛˋ mò（01077）</t>
  </si>
  <si>
    <t>帽</t>
  </si>
  <si>
    <t>[名]
1.戴在頭上，用來裝飾、保暖或保護頭部的東西。如：「草帽」、「遮陽帽」。唐．杜光庭《虯髯客傳》：「脫衣去帽，乃十八九佳麗人也。」
2.器物的頂罩，作用或形狀像帽子。如：「筆帽」、「螺絲帽」。《聊齋志異．卷二．口技》：「折紙戢戢然，拔筆擲帽丁丁然。」</t>
  </si>
  <si>
    <t>媢</t>
  </si>
  <si>
    <t>[動]
憎恨、嫉妒。《新唐書．卷一四五．竇參傳》：「通玄等特以東宮恩舊進，昵而不禮，見贄驟擢，頗媢恨。」宋．無名氏《梅妃傳》：「或非命，均其媢忌自取。」
[形]
善妒的。如：「媢婦」。</t>
  </si>
  <si>
    <t>[名]
古代天子接見諸侯所執的玉。明．張自烈《正字通．玉部》：「諸侯即位，天子賜以命圭，圭上邪銳，瑁方四寸，其下亦邪刻之，闊狹長短如圭頭，諸侯執圭來朝，天子以瑁之刻處，冒彼圭頭，以齊瑞信，猶今之合符然。」</t>
  </si>
  <si>
    <t>(一)ㄇㄟˋ mèi（01152）</t>
  </si>
  <si>
    <t>袤</t>
  </si>
  <si>
    <t>[名]
土地南北的長度。《文選．揚雄．羽獵賦．序》：「北繞黃山濱渭而東，周袤數百里。」《新唐書．卷九三．李靖傳》：「築卻月城，延袤十餘里，為掎角。」</t>
  </si>
  <si>
    <t>(二)（又音）ㄇㄡˋ mòu（01209）</t>
  </si>
  <si>
    <t>楙</t>
  </si>
  <si>
    <t>[名]
植物名。薔薇科木瓜屬，「木瓜」之古稱，參見「木瓜」條。《爾雅．釋木》：「楙，木瓜。」晉．郭璞．注：「實如小瓜，酢可食。」
[形]
林木茂盛的樣子。《漢書．卷二一．律曆志上》：「助蕤賓君主種物使長大楙盛也。」</t>
  </si>
  <si>
    <t>(二)（又音）ㄇㄡˋ mòu（01210）</t>
  </si>
  <si>
    <t>瞀</t>
  </si>
  <si>
    <t>[形]_x000D_
1.眼睛看不清楚的樣子。《莊子．徐无鬼》：「予少而自遊於六合之內，予適有瞀病。」《晉書．卷一一．天文志上》：「天了無質，仰而瞻之，高遠無極，眼瞀精絕，故蒼蒼然也。」_x000D_
2.愚昧無知。《荀子．儒效》：「其愚陋溝瞀，而冀人之以己為知也。」_x000D_
[副]_x000D_
混亂。《北史．卷三九．列傳．房法壽》：「真偽混淆，是非瞀亂。」_x000D_
[名]_x000D_
姓。如春秋時莒有瞀胡。</t>
  </si>
  <si>
    <t>(二)（又音）ㄇㄡˋ mòu（01211）</t>
  </si>
  <si>
    <t>蓩</t>
  </si>
  <si>
    <t>[名]
毒草。《說文解字．艸部》：「蓩，毒草也。」</t>
  </si>
  <si>
    <t>懋</t>
  </si>
  <si>
    <t>[副]
勤勉努力的。《書經．盤庚下》：「無戲怠，懋建大命。」《國語．周語中》：「叔父其懋昭明德，物將自至。」
[動]
勸勉。《國語．晉語四》：「懋穡勸分，省用足財。」三國吳．韋昭．注：「懋，勉也。」
[形]
1.盛大的。如：「懋勛」、「懋績」。唐．李適〈汾陰后土祠作〉詩：「號令垂懋典，舊經備闕文。」
2.美。《後漢書．卷三．章帝紀》：「郡國所上符瑞，合於圖書者數百千所。烏呼懋哉！」
[名]
姓。如明代有懋國輔。</t>
  </si>
  <si>
    <t>(二)（又音）ㄇㄡˋ mòu（01212）</t>
  </si>
  <si>
    <t>貿</t>
  </si>
  <si>
    <t>[動]
1.交換、交易。《詩經．衛風．氓》：「氓之蚩蚩，抱布貿絲。」唐．柳宗元〈鈷鉧潭記〉：「不勝官租私券之委積，既芟山而更居，願以潭上田貿財以緩禍。」
2.買賣。如：「貿易」。
3.變易。北周．庾信〈擬連珠〉：「蓋聞市朝遷貿，山川悠遠，是以狐兔所處。」《北史．卷六四．韋孝寬等傳．論曰》：「雖陵谷遷貿，終以雅正自居。」
4.錯雜。南朝宋．裴駰〈史記集解序〉：「考較此書，文句不同，有多有少，莫辯其實，而世之惑者，定彼從此，是非相貿，真偽舛雜。」
[副]
冒失、莽撞。如：「貿然」。
[名]
姓。如漢代有貿充國。</t>
  </si>
  <si>
    <t>(二)（又音）ㄇㄡˋ mòu（01213）</t>
  </si>
  <si>
    <t>鄮</t>
  </si>
  <si>
    <t>[名]
縣名。秦置，故址在今大陸地區浙江省鄞縣。</t>
  </si>
  <si>
    <t>貌</t>
  </si>
  <si>
    <t>[名]
1.長相、面容。如：「容貌」、「相貌」、「其貌不揚」、「花容月貌」、「相貌堂堂」。
2.外表、外觀。如：「外貌」、「全貌」。
3.模樣、姿態。如：「怒貌」、「醉貌」。《文選．賈誼．鵩鳥賦》：「止于坐隅兮，貌閑暇。」
4.姓。如周代有貌辨。
[動]
描繪、描摹。通「邈」。《新唐書．卷七六．后妃傳上．楊貴妃傳》：「命工貌妃於別殿，朝夕往，必為鯁欷。」《聊齋志異．卷二．阿寶》：「遂貌其呆狀，相郵傳作醜語，而名之曰：『孫痴』。」</t>
  </si>
  <si>
    <t>牟</t>
  </si>
  <si>
    <t>ㄇㄡˊ</t>
  </si>
  <si>
    <t>móu</t>
  </si>
  <si>
    <t>[形]
1.形容牛叫聲。《說文解字．牛部》：「牟，牛鳴也。」唐．韓愈、孟郊〈征蜀聯句〉：「椎肥牛呼牟。」
2.大。《呂氏春秋．有始覽．謹聽》：「賢者之道，牟而難知，妙而難見。」
[動]
1.獲取。如：「牟取」、「牟利」。《史記．卷二八．平準書》：「富商大賈無所牟大利。則反本。」
2.齊等。通「侔」。《漢書．卷五七．司馬相如傳下》：「德牟往初，功無與二。」
[名]
1.大麥。通「麰」。《詩經．周頌．思文》：「貽我來牟，帝命率育。」
2.姓。如宋代有牟景先。</t>
  </si>
  <si>
    <t>侔</t>
  </si>
  <si>
    <t>[動]
1.相等。《文選．任昉．王文憲集序》：「一言之譽，東陵侔於西山。」唐．陳鴻《長恨傳》：「姊妹封國夫人，富埒王宮，車服邸第，與大長公主侔矣。」
2.獲取。同「牟」。《韓非子．五蠹》：「蓄積待時而侔農夫之利。」</t>
  </si>
  <si>
    <t>眸</t>
  </si>
  <si>
    <t>[名]
1.眼珠，眼睛裡的瞳仁。如：「眼眸」。宋．李清照〈鳳凰臺上憶吹簫．香冷金猊〉詞：「記取樓前綠水，應念我、終日凝眸。」
2.眼睛。如：「明眸皓齒」。</t>
  </si>
  <si>
    <t>蛑</t>
  </si>
  <si>
    <t>[名]
1.吃禾苗的害蟲。唐．柳宗元〈遊南亭夜還敘志七十韻〉：「螟蛑願親燎，茶菫甘自薅。」今作「蟊」。
2.參見「蝤蛑」條。</t>
  </si>
  <si>
    <t>麰</t>
  </si>
  <si>
    <t>[名]
大麥。《孟子．告子上》：「今夫麰麥，播種而耰之。」</t>
  </si>
  <si>
    <t>鴾</t>
  </si>
  <si>
    <t>[名]
參見「鴾母」條。</t>
  </si>
  <si>
    <t>[名]
1.土製的鍋。《禮記．內則》「非餕莫之敢飲食」句下唐．孔穎達．正義：「堥，土釜也。今以木為器，象土釜之形。」
2.瓦壺。《周禮．天官．瘍醫》「凡療瘍以五毒攻之」句下漢．鄭玄．注：「有五毒之藥，作之合黃堥。」唐．賈公彥．疏：「今時合和丹藥者，皆用黃瓦缶為之，亦名黃堥。」</t>
  </si>
  <si>
    <t>(一)ㄇㄠˊ máo（01163）</t>
  </si>
  <si>
    <t>鍪</t>
  </si>
  <si>
    <t>[名]
1.古代的一種炊具。清．王念孫《廣雅疏證．卷七下．釋器》：「鍪，釜也。」
2.古代士兵所戴的頭盔。《戰國策．韓策一》：「甲、盾、鞮、鍪、鐵幕、……，無不畢具。」</t>
  </si>
  <si>
    <t>鞪</t>
  </si>
  <si>
    <t>[名]
頭盔。《漢書．卷七六．韓延壽傳》：「令騎士兵車四面營陳，被甲鞮鞪居馬上，抱弩負籣。」</t>
  </si>
  <si>
    <t>謀</t>
  </si>
  <si>
    <t>[動]
1.籌劃、計議、商議。如：「謀劃」、「圖謀」、「不謀而合」。《左傳．隱公九年》：「冬，公會齊侯于防，謀伐宋也。」
2.營求。如：「謀生」、「謀職」。《論語．衛靈公》：「君子謀道不謀食。」三國魏．曹植〈鰕䱇篇〉：「俯觀上路人，勢利惟是謀。」
3.暗中算計、陷害。《論語．季氏》：「而謀動干戈於邦內。」《水滸傳》第四一回：「我又不與你有殺父之讎，你如何定要謀我？」
[名]
計策、策略。如：「陰謀」、「計謀」、「有勇無謀」、「足智多謀」。《書經．大禹謨》：「無稽之言勿聽，弗詢之謀勿庸。」《論語．衛靈公》：「巧言亂德，小不忍則亂大謀。」
[形]
有策略的。如：「謀士」、「謀臣」。</t>
  </si>
  <si>
    <t>繆</t>
  </si>
  <si>
    <t>[動]
1.固結。《莊子．庚桑楚》：「內韄者不可繆而捉。」
2.參見「綢繆」條。</t>
  </si>
  <si>
    <t>(二)ㄇㄧㄠˋ miào（01415）(三)ㄇㄧㄡˋ miù（01416）(四)ㄇㄨˋ mù（01522）(五)ㄌㄧㄠˊ liáo（03521）</t>
  </si>
  <si>
    <t>牡</t>
  </si>
  <si>
    <t>ㄇㄡˇ</t>
  </si>
  <si>
    <t>mǒu</t>
  </si>
  <si>
    <t>(一)ㄇㄨˇ mǔ（01502）</t>
  </si>
  <si>
    <t>某</t>
  </si>
  <si>
    <t>[代]
1.不指名的人或事物的代稱。如：「某甲」、「某人」。《文選．顏延之．陶徵士誄》：「元嘉四年月日，卒于尋陽縣之某里。」《文選．任昉．宣德皇后令》：「今遣某位某某甲等，率茲百辟人致其誠。」
2.我，自稱之詞。《三國演義》第七回：「某雖不才，願請軍出城，以決一戰。」《警世通言．卷三二．杜十娘怒沉百寶箱》：「某相遇之初，每聞絕調，輒不禁神魂之飛動。」</t>
  </si>
  <si>
    <t>畝</t>
  </si>
  <si>
    <t>(一)ㄇㄨˇ mǔ（01504）</t>
  </si>
  <si>
    <t>ㄇㄡˋ</t>
  </si>
  <si>
    <t>mòu</t>
  </si>
  <si>
    <t>(一)ㄇㄠˋ mào（01181）</t>
  </si>
  <si>
    <t>(一)ㄇㄠˋ mào（01186）</t>
  </si>
  <si>
    <t>(一)ㄇㄠˋ mào（01187）</t>
  </si>
  <si>
    <t>(一)ㄇㄠˋ mào（01188）</t>
  </si>
  <si>
    <t>(一)ㄇㄠˋ mào（01190）</t>
  </si>
  <si>
    <t>(一)ㄇㄠˋ mào（01191）</t>
  </si>
  <si>
    <t>屘</t>
  </si>
  <si>
    <t>ㄇㄢ</t>
  </si>
  <si>
    <t>mān</t>
  </si>
  <si>
    <t>[形]_x000D_
臺灣地區用來指稱同輩親屬中排行最末者。</t>
  </si>
  <si>
    <t>顢</t>
  </si>
  <si>
    <t>(一)（讀音）ㄇㄢˊ mán（01230）</t>
  </si>
  <si>
    <t>姏</t>
  </si>
  <si>
    <t>ㄇㄢˊ</t>
  </si>
  <si>
    <t>mán</t>
  </si>
  <si>
    <t>[名]
稱年老的婦女。《廣韻．平聲．談韻》：「姏，老女稱。」《新唐書．卷一四五．王縉傳》：「性貪冒，縱親戚尼姏招納財賄，猥屑相稽，若市賈然。」</t>
  </si>
  <si>
    <t>悗</t>
  </si>
  <si>
    <t>[形]
1.困惑。《呂氏春秋．審分覽．審分》：「夫說以智通，而實以過悗。」
2.煩躁鬱悶。《黃帝素問靈樞經．卷六．五亂》：「清濁相干，亂于胸中，是謂大悗。」</t>
  </si>
  <si>
    <t>(二)ㄇㄣˇ měn（01256）</t>
  </si>
  <si>
    <t>鞔</t>
  </si>
  <si>
    <t>[動]
將皮革或布面框附固定在物體四周。如：「鞔鼓」、「鞔鞋」。</t>
  </si>
  <si>
    <t>(二)（又音）ㄨㄢˇ wǎn（11481）</t>
  </si>
  <si>
    <t>參見「埋怨」條。</t>
  </si>
  <si>
    <t>(一)ㄇㄞˊ mái（01104）</t>
  </si>
  <si>
    <t>漫</t>
  </si>
  <si>
    <t>[形]
水廣大的樣子。《集韻．平聲．桓聲》：「漫，水廣大貌。」
[動]
盈滿。宋．蘇軾〈寓居定惠院之東雜花滿山有海棠一株土人不知貴也〉詩：「嫣然一笑竹籬間，桃李漫山總麤俗。」</t>
  </si>
  <si>
    <t>(一)ㄇㄢˋ màn（01237）</t>
  </si>
  <si>
    <t>蔓</t>
  </si>
  <si>
    <t>參見「蔓菁」條。</t>
  </si>
  <si>
    <t>(一)ㄇㄢˋ màn（01244）</t>
  </si>
  <si>
    <t>謾</t>
  </si>
  <si>
    <t>[動]
1.欺騙。如：「謾上不謾下」。唐．柳宗元〈罵尸蟲文〉：「譖下謾上，恆其心術，妒人之能，幸人之失。」
2.詆毀。《荀子．非相》：「鄉則不若，偝則謾之。」
[形]
慧黠、靈巧。漢．揚雄《方言》卷一：「虔儇，慧也。秦謂之謾。」</t>
  </si>
  <si>
    <t>(二)ㄇㄢˋ màn（01246）</t>
  </si>
  <si>
    <t>饅</t>
  </si>
  <si>
    <t>參見「饅頭」條。</t>
  </si>
  <si>
    <t>鬘</t>
  </si>
  <si>
    <t>[形]_x000D_
頭髮秀美。《說文解字．髟部》：「䰓，髮貌。」清．段玉裁．注：「玄應曰：『凡鬘字皆當作䰓。』」《集韻．平聲．桓韻》：「鬘，髮美貌。」明．孫承宗〈殫忠樓閱雪貽馬大將軍滄淵〉詩：「鬘雲琪樹新驚眼，冷蕊疏枝正滿頭。」_x000D_
[名]_x000D_
以線貫穿成的環狀物，用來裝飾頭部或身體。以花朵串成的稱「花鬘」。如：「鬘飾」。《大方廣佛華嚴經綱要．卷二五．十迴向品第二五之三》：「第七施鬘。鬘者，貫華如環，而為首飾。」唐．玄奘《大唐西域記．卷一．迦畢試國》：「天祠數十所，異道千餘人，或露形，或塗灰，連絡髑髏以為冠鬘。」</t>
  </si>
  <si>
    <t>鰻</t>
  </si>
  <si>
    <t>[名]_x000D_
動物名。體圓柱狀而細長，頭尖，皮厚，富黏液，滑溜難抓。背面黑，腹側白，無腹鰭，背鰭、臀鰭和尾鰭連在一起。生活在淡水中，游至海中產卵。俗稱為「白鱔」。</t>
  </si>
  <si>
    <t>慲</t>
  </si>
  <si>
    <t>[形]
糊塗。《說文解字．心部》：「忘也，慲兜也。」清．段玉裁．注：「疑當作『慲兜』，忘也。慲兜，蓋古語忘之貌也，猶今人曰糊塗不省事。」
[動]
欺瞞。《淮南子．俶真》：「於是萬民乃始慲觟離跂，各欲行其知偽。」</t>
  </si>
  <si>
    <t>樠</t>
  </si>
  <si>
    <t>[名]
植物名。榆科榆屬，「榔榆」之古稱，參見「榔榆」條。樹心似松，亦俗稱「松心木」。《漢書．卷九六．西域傳下．烏孫國》：「山多松樠。」唐．顏師古．注：「樠，木名，其心似松。」
[形]
汁液滲出的樣子。《莊子．人間世》：「以為門戶則液樠。」唐．陸德明《經典釋文．卷二六．莊子音義上》：「樠，謂脂出樠樠然也。」</t>
  </si>
  <si>
    <t>瞞</t>
  </si>
  <si>
    <t>[動]
欺騙、隱藏事實的真相。如：「欺瞞」、「隱瞞」、「實不相瞞」。</t>
  </si>
  <si>
    <t>[動]
踰越。如：「蹣山渡水」。</t>
  </si>
  <si>
    <t>(二)ㄆㄢˊ pán（00722）</t>
  </si>
  <si>
    <t>參見「顢頇」條。</t>
  </si>
  <si>
    <t>(二)（語音）ㄇㄢ mān（01215）</t>
  </si>
  <si>
    <t>矕</t>
  </si>
  <si>
    <t>(一)ㄇㄢˇ mǎn（01234）</t>
  </si>
  <si>
    <t>蠻</t>
  </si>
  <si>
    <t>[名]_x000D_
中國南方種族的舊稱。《禮記．王制》：「南方曰蠻，雕題交趾，有不火食者矣。」唐．王勃〈滕王閣序〉：「襟三江而帶五湖，控蠻荊而引甌越。」_x000D_
[形]_x000D_
1.強橫、不通情理。如：「蠻橫」、「蠻不講理」。《文明小史》第五六回：「你近來如何越弄越頑固，越學越野蠻了？」_x000D_
2.文明發展程度上，處於較原始狀態的。《後漢書．卷三二．樊宏陰識列傳．樊宏》：「化自聖躬，流及蠻荒，匈奴遣伊秩訾王大車且渠來入就學。」北齊．顏之推《顏氏家訓．勉學》：「齊有宦者內參田鵬鸞，本蠻人也。」_x000D_
[副]_x000D_
1.強悍、粗野。如：「蠻幹」、「胡擾蠻纏」。《二刻拍案驚奇》卷二二：「省得他自家蠻做出事來，不免用個計較哄他在圈套中了，再作道理。」_x000D_
2.很、挺、十分。通「滿」。如：「蠻好的！」、「蠻可怕的。」《海上花列傳》第三回：「三先生也蠻明白哚！俚真真用脫仔倒罷哉，耐看俚阿有倽用場嗄？」</t>
  </si>
  <si>
    <t>滿</t>
  </si>
  <si>
    <t>ㄇㄢˇ</t>
  </si>
  <si>
    <t>mǎn</t>
  </si>
  <si>
    <t>[動]
1.充盈、全部充實。如：「充滿」、「填滿」。唐．杜甫〈秋興〉詩八首之四：「西望瑤池降王母，東來紫氣滿函關。」
2.達到某一限度。如：「期滿」、「不滿一歲」。《文選．古詩十九首．生年不滿百》：「生年不滿百，常懷千歲憂。」《封神演義》第六〇回：「只見營外來一道人，身不滿八尺，面如瓜皮，獠牙巨口。」
3.切合心意。如：「滿意」、「不滿現狀」。
[形]
1.全、遍、整個。如：「滿面春風」、「滿城風雨」、「滿腹經綸」。唐．白居易〈琵琶行〉：「淒淒不似向前聲，滿座重聞皆掩泣。」宋．葉紹翁〈遊園不值〉詩：「春色滿園關不住，一枝紅杏出牆來。」
2.充足、完備、美好。如：「完滿」、「圓滿」、「幸福美滿」、「精神飽滿」。
3.驕傲。如：「自滿」。《書經．大禹謨》：「滿招損，謙受益。」
[副]
很、十分。如：「滿厲害」、「滿不錯」、「滿像樣」。
[名]
1.中國少數民族之一。本為女真族後裔，清太祖改稱為「滿洲族」。
2.姓。如晉朝有滿奮。</t>
  </si>
  <si>
    <t>[動]
1.視、看。《文選．馬融．長笛賦》：「長矕遠引，旋復迴皇。」唐．韓愈〈贈張籍〉詩：「顧視窗壁間，親戚競覘矕。」
2.被、覆。《文選．班固．答賓戲》：「浮英華湛道德，矕龍虎之文舊矣。」</t>
  </si>
  <si>
    <t>(二)（又音）ㄇㄢˊ mán（01231）</t>
  </si>
  <si>
    <t>曼</t>
  </si>
  <si>
    <t>ㄇㄢˋ</t>
  </si>
  <si>
    <t>màn</t>
  </si>
  <si>
    <t>[動]
1.延長。《漢書．卷二二．禮樂志》：「德施大，世曼壽。」
2.張、展。《楚辭．屈原．九章．哀郢》：「曼余目以流觀兮，冀壹反之何時？」
[形]
1.長。《淮南子．氾論》：「侯同曼聲之歌，憤於志，積於內，盈而發音。」《文選．王襃．四子講德論》：「但懸曼矰，蒲苴不能以射。」
2.美、柔美。如：「妙歌曼舞」。《漢書．卷五七．司馬相如傳上》：「鄭女曼姬，被阿錫，揄紵縞。」
[名]
姓。如漢代有曼滿。</t>
  </si>
  <si>
    <t>(二)（又音）ㄨㄢˋ wàn（11492）</t>
  </si>
  <si>
    <t>僈</t>
  </si>
  <si>
    <t>[動]
輕視怠慢。《韓非子．難三》：「廣廷嚴居，眾人之所肅也，晏室獨處，曾史之所僈也。」
[形]
怠惰。《荀子．不苟》：「君子寬而不僈。」</t>
  </si>
  <si>
    <t>[動]_x000D_
1.水滿而外溢。《新唐書．卷一七六．列傳．張籍》：「其流波漫。」_x000D_
2.蒙、覆蓋。宋．洪邁《夷堅乙志．卷三．混沌燈》：「令其僕買大竹作燈毬，漫以黑紙，挂于几桉之側。」_x000D_
[形]_x000D_
1.遍布的、充滿的。如：「漫山遍野」、「漫天大霧」。_x000D_
2.放縱不加拘束。如：「浪漫」、「散漫」、「漫不經心」。《明史．卷二一二．戚繼光列傳》：「諸鎮入衛之兵，嫌非統屬，漫無紀律。」_x000D_
3.模糊不可辨認的樣子。宋．王安石〈遊褒禪山記〉：「有碑仆道，其文漫滅。」_x000D_
4.長、遠。如：「漫漫長夜」。《文選．古詩十九首．涉江采芙蓉》：「還顧望舊鄉，長路漫浩浩。」_x000D_
[副]_x000D_
1.徒、空、枉。唐．杜甫〈有客〉詩：「漫勞車馬駐江干。」宋．陸游〈謝池春．壯歲從戎〉詞：「漫悲歌、傷懷弔古。」_x000D_
2.莫、不要。如：「漫說是他，就是你去也不成。」唐．張謂〈贈趙使君美人〉詩：「羅敷獨向東方去，漫學他家作使君。」_x000D_
3.隨便、胡亂。唐．杜甫〈聞官軍收河南河北〉詩：「卻看妻子愁何在？漫卷詩書喜欲狂。」《聊齋志異．卷二．蓮香》：「生疑其妒，漫應之。」</t>
  </si>
  <si>
    <t>(二)ㄇㄢˊ mán（01220）</t>
  </si>
  <si>
    <t>慢</t>
  </si>
  <si>
    <t>[形]
1.怠惰。《說文解字．心部》：「慢，惰也。」
2.驕傲、不禮貌的。如：「傲慢」、「輕慢」、「侮慢」。
3.速度低、不快的。如：「慢車」、「動作很慢」。
[副]
1.遲緩的。如：「請慢走」。唐．白居易〈琵琶行〉：「輕攏慢撚抹復挑，初為霓裳後六么。」
2.從緩、稍緩。如：「且慢生氣，先聽聽他怎麼說。」、「慢點兒告訴他，過陣子再說吧！」
[動]
輕侮、輕視。《左傳．襄公三十一年》：「大官大邑，所以庇身也，我遠而慢之。」唐．韓愈〈答馮宿書〉：「雖不肖人至，未嘗敢以貌慢之。」
[名]
宋詞的體制。長調稱為「慢」，以調長聲緩得名。如聲聲慢、揚州慢、木蘭花慢等。</t>
  </si>
  <si>
    <t>墁</t>
  </si>
  <si>
    <t>[名]
1.塗刷牆壁的工具。唐．陸德明《經典釋文．卷二九．爾雅音義上中》：「鏝，又作墁。杇，李云：『泥鏝一名杇，塗工之作具。』」
2.壁上的塗飾。《孟子．滕文公下》：「毀瓦畫墁，其志將以求食也。」
[動]
用磚石鋪地。如：「墁地」。</t>
  </si>
  <si>
    <t>鄤</t>
  </si>
  <si>
    <t>[名]
地名。春秋時鄭地，故地在今大陸地區河南省氾水縣境。</t>
  </si>
  <si>
    <t>幔</t>
  </si>
  <si>
    <t>[名]
1.布幕、帳幕。如：「窗幔」、「布幔」。《墨子．非攻下》：「幔幕惟蓋，三軍之用。」《紅樓夢》第二三回：「遣人進去各處收拾打掃，安設簾幔床帳。」
2.古代酒店的招牌。唐．薛能〈和楊中丞早春即事〉詩：「戍客烽樓迴，文君酒幔斜。」</t>
  </si>
  <si>
    <t>獌</t>
  </si>
  <si>
    <t>[名]
古代的一種猛獸。《爾雅．釋獸》：「貙獌似貍。」唐．柳宗元〈酬韶州裴曹長使君寄道州呂八大使因以見示二十韻〉：「泥沙潛虺蜮，榛莽鬥豺獌。」</t>
  </si>
  <si>
    <t>(二)（又音）ㄨㄢˋ wàn（11493）</t>
  </si>
  <si>
    <t>嫚</t>
  </si>
  <si>
    <t>[動]
輕視、侮辱。通「慢」。《左傳．昭公二十年》：「為暴君使也，其言僭嫚於鬼神。」《漢書．卷三七．季布傳》：「單于嘗為書嫚呂太后。」
[形]
1.傲慢無禮。通「慢」。《漢書．卷一．高帝紀下》：「陛下嫚而侮人。」《新五代史．卷四三．雜傳．氏叔琮傳》：「晉王遣使致書太祖求成，太祖以晉書詞嫚，乃遣叔琮與賀德倫等攻之。」
2.懈怠、怠惰。通「慢」。《淮南子．主術》：「是以器械不苦，而職事不嫚。」清．徐珂《清稗類鈔．奴婢類．張去瑕示飭約於諸僮》：「見諸僮惰嫚，輒歎曰：『此健僕不職，主幼也。』」</t>
  </si>
  <si>
    <t>[名]
藤本或蔓性植物細長而能攀繞他物的莖。如：「藤蔓」。唐．孟郊〈亂離〉詩：「直松摧高柯，弱蔓將何依？」唐．柳宗元〈至小邱西小石潭記〉：「青樹翠蔓，蒙絡搖綴。」
[動]
延伸、滋長。如：「蔓延」。《左傳．隱公元年》：「無使滋蔓，蔓，難圖也。」</t>
  </si>
  <si>
    <t>(二)ㄇㄢˊ mán（01221）</t>
  </si>
  <si>
    <t>縵</t>
  </si>
  <si>
    <t>[名]
1.沒有花紋圖案的絲綢。漢．董仲舒《春秋繁露．度制》：「庶人衣縵。」
2.沒有裝飾的車子。《國語．晉語五》：「乘縵、不舉，策於上帝。」三國吳．韋昭．注：「縵，車無文。」</t>
  </si>
  <si>
    <t>[動]
侮慢。《漢書．卷八四．翟方進傳》：「不遵禮儀，輕謾宰相。」
[形]
1.傲慢。《漢書．卷五六．董仲舒傳》：「故桀紂暴謾，讒賊並進，賢知隱伏。」
2.猥褻淫亂。《漢書．卷九七．外戚傳下．孝成許皇后》：「長書有誖謾，發覺，天子使廷尉孔光持節賜廢后藥，自殺。」
[副]
1.空、徒。通「漫」。唐．戴叔倫〈過賈誼舊居〉詩：「謾有長書憂漢室，空將哀些弔沅湘。」宋．李清照〈漁家傲．天接雲濤連曉霧〉詞：「我報路長嗟日暮，學詩謾有驚人句。」
2.任意、隨便。通「漫」。唐．姚合〈送王求〉詩：「願君似醉腸，莫謾生憂慼。」宋．辛棄疾〈上西平．九衢中〉詞：「凍吟應笑，羔兒無分謾煎茶。」</t>
  </si>
  <si>
    <t>(一)ㄇㄢˊ mán（01222）</t>
  </si>
  <si>
    <t>鏝</t>
  </si>
  <si>
    <t>[名]
1.塗抹牆壁所用的工具。唐．韓愈〈圬者王承福傳〉：「故吾不敢一日捨鏝以嬉。」
2.本稱銅錢的背面為「鏝兒」。後借指銅幣、錢鈔。元．無名氏《陳州糶米》第三折：「他兩個在俺家裡使錢，我要一奉十，好生撒鏝。」元．李文蔚《燕青博魚》第二折：「憑著我六文家銅鏝，博的是這三尺金鱗魚也。」</t>
  </si>
  <si>
    <t>悶</t>
  </si>
  <si>
    <t>ㄇㄣ</t>
  </si>
  <si>
    <t>mēn</t>
  </si>
  <si>
    <t>[形]_x000D_
1.空間密閉、空氣不流通。如：「悶熱」、「天氣酷熱，房間好悶。」_x000D_
2.聲音不響亮。如：「那人說話怎麼悶聲悶氣的？」_x000D_
3.形容不靈活或不作聲的樣子。如：「悶頭悶腦」。_x000D_
[動]_x000D_
1.密閉使不透氣。如：「悶飯」、「把菜再悶一會兒。」同「燜」。_x000D_
2.長時間待在一處。如：「別老悶在家裡，到外頭走走吧！」_x000D_
3.藏放。如：「有話就說出來，不要悶在心裡。」</t>
  </si>
  <si>
    <t>(一)ㄇㄣˋ mèn（01258）</t>
  </si>
  <si>
    <t>燜</t>
  </si>
  <si>
    <t>(一)ㄇㄣˋ mèn（01259）</t>
  </si>
  <si>
    <t>門</t>
  </si>
  <si>
    <t>ㄇㄣˊ</t>
  </si>
  <si>
    <t>mén</t>
  </si>
  <si>
    <t>[名]
1.建築物或車、船等可以開關的出入口，也指設於出入口能關閉的裝置。如：「房門」、「車門」、「拱門」、「城門」、「鐵捲門」。
2.形狀或作用像門的物體。如：「閘門」、「活門」、「水門」。
3.人體身上的孔竅。如：「肛門」。《浮生六記．卷六．養生記逍》：「謹守四門，眼耳鼻口。」
4.家族、門第。如：「寒門」、「豪門」。《北史．卷二九．劉昶傳》：「唯能是寄，不必拘門。」
5.學派、宗派。如：「佛門」、「獨門絕活」。漢．王充《論衡．問孔》：「論者皆云：『孔門之徒，七十子之才，勝今之儒。』」
6.關鍵、要點、方法。如：「竅門」、「不二法門」。《老子》第一章：「玄之又玄，眾妙之門。」
7.類別。如：「分門別類」、「五花八門」。
8.生物學上分類系統所用的等級之一。如：「脊椎動物門」、「原生動物門」。
9.量詞：(1)計算科學、技藝門類的單位。如：「一門功課」、「兩門技術」。(2)計算大炮的單位。如：「三門大炮」。(3)計算親戚家數的單位。如：「他有兩門親家。」
10.姓。如明代有門克新。
11.二一四部首之一。</t>
  </si>
  <si>
    <t>們</t>
  </si>
  <si>
    <t>[綴]
常附於名詞或人稱代名詞下，為表示多數的詞綴。如：「我們」、「朋友們」、「孩子們」。
[名]
參見「圖們江」條。</t>
  </si>
  <si>
    <t>(二)（語音）˙ㄇㄣ men（01261）</t>
  </si>
  <si>
    <t>捫</t>
  </si>
  <si>
    <t>[動]
1.撫、摸。如：「捫心自問」。宋．陸游〈午睡起遇急雨〉詩：「揩眼捫髯破晝眠，闌邊小立獨幽然。」
2.持、執。明．徐弘祖《徐霞客遊記．卷三下．粵西遊日記二》：「捫石投水中，淵淵不遽及底。」</t>
  </si>
  <si>
    <t>鍆</t>
  </si>
  <si>
    <t>[名]
（mendelevium，Md）化學元素。原子序101。金屬元素之一。於迴旋加速器中以α粒子（氦核）撞擊鑀而得之，化性類似稀土元素中的銩。</t>
  </si>
  <si>
    <t>璊</t>
  </si>
  <si>
    <t>[名]
赤色玉。清．厲鶚《東城雜記．卷上．葉居仲》：「萬神寂寞綿綿存，中有一物光燉燉；化為真人朱冠褌，手執赤符如瓊璊。」</t>
  </si>
  <si>
    <t>穈</t>
  </si>
  <si>
    <t>[名]
一種幼苗為赤紅色的穀類。《集韻．平聲．脂韻》：「穈，赤苗曰穈。」宋．沈括《夢溪筆談．卷二六．藥議》：「秬、秠、穈、𦬊皆黍屬，以色為別，丹黍謂之穈。」</t>
  </si>
  <si>
    <t>亹</t>
  </si>
  <si>
    <t>[名]
地名用字。如大陸地區青海省的亹源縣。</t>
  </si>
  <si>
    <t>(一)ㄨㄟˇ wěi（11417）</t>
  </si>
  <si>
    <t>ㄇㄣˇ</t>
  </si>
  <si>
    <t>měn</t>
  </si>
  <si>
    <t>[形]
忘情的樣子。《莊子．大宗師》：「悗乎忘其言。」《韓非子．忠孝》：「古者黔首悗密蠢愚。」</t>
  </si>
  <si>
    <t>(一)ㄇㄢˊ mán（01217）</t>
  </si>
  <si>
    <t>惛</t>
  </si>
  <si>
    <t>ㄇㄣˋ</t>
  </si>
  <si>
    <t>mèn</t>
  </si>
  <si>
    <t>[形]
憂悶的樣子。《晏子春秋．內篇．問上》：「吳越受令，荊楚惛憂。」</t>
  </si>
  <si>
    <t>(一)ㄏㄨㄣ hūn（05199）</t>
  </si>
  <si>
    <t>[形]
心中不愉快。如：「煩悶」、「鬱悶」、「苦悶」。
[名]
不暢快的心緒。如：「排憂解悶」。唐．杜甫〈江亭〉詩：「故枺歸未得，排悶強裁詩。」</t>
  </si>
  <si>
    <t>(二)ㄇㄣ mēn（01248）</t>
  </si>
  <si>
    <t>[動]
一種烹飪方法。緊蓋鍋蓋，用鍋內的蒸氣和溫度將食物煮熟或燉爛。如：「燜菜」、「燜肉」。</t>
  </si>
  <si>
    <t>(二)（又音）ㄇㄣ mēn（01249）</t>
  </si>
  <si>
    <t>懣</t>
  </si>
  <si>
    <t>[形]
煩悶、鬱悶。《禮記．問喪》：「哭踊無數，惻怛之心，痛疾之意，悲哀志懣氣盛。」《資治通鑑．卷二五一．唐紀六十七．懿宗咸通十年》：「龐勛憂懣不知所為，但禱神飯僧而已。」
[動]
憤恨。如：「憤懣」。《魏書．卷一九下．南安王楨傳》：「聞之惋懣，實乖本圖。」</t>
  </si>
  <si>
    <t>˙ㄇㄣ</t>
  </si>
  <si>
    <t>men</t>
  </si>
  <si>
    <t>(一)（讀音）ㄇㄣˊ mén（01251）</t>
  </si>
  <si>
    <t>汒</t>
  </si>
  <si>
    <t>ㄇㄤˊ</t>
  </si>
  <si>
    <t>máng</t>
  </si>
  <si>
    <t>[形]
模糊、茫然。同「茫」。《莊子．秋水》：「今吾聞莊子之言，汒焉異之。」</t>
  </si>
  <si>
    <t>邙</t>
  </si>
  <si>
    <t>[名]
1.地名。古代都邑，在今大陸地區河南省洛陽北邙山上。
2.參見「北邙山」條。</t>
  </si>
  <si>
    <t>忙</t>
  </si>
  <si>
    <t>[形]
1.事情繁多，沒有空閒。如：「繁忙」、「工作忙」。
2.急迫、慌張。如：「匆忙」、「不慌不忙」、「手忙腳亂」。
[副]
趕緊。《儒林外史》第三回：「胡屠戶忙躲進女兒房裡，不敢出來。鄰居各自散了。」
[動]
做，急迫不停的做。如：「最近你都忙些什麼？」《老殘遊記》第五回：「見老董事也忙完，就緩緩的走出，找著老董閒話。」
[名]
姓。如明代有忙義。</t>
  </si>
  <si>
    <t>杗</t>
  </si>
  <si>
    <t>[名]
屋頂的正梁。唐．韓愈〈進學解〉：「夫大木為杗，細木為桷。」</t>
  </si>
  <si>
    <t>芒</t>
  </si>
  <si>
    <t>[名]
1.植物名。禾本科芒屬，「芒草」之古稱，參見「芒草」條。
2.草木或穀實上的細刺。如：「稻芒」、「麥芒」。
3.刀劍鋒利的部分。漢．司馬相如〈喻巴蜀檄〉：「故使鋒芒挫縮，厥圖不果。」
4.四射的光線。如：「光芒萬丈」。元．虞集〈記夢中〉詩三首之一：「出海雲霞九色芒，金容滉樣水中央。」
5.姓。如戰國時有魏相芒卯。</t>
  </si>
  <si>
    <t>盲</t>
  </si>
  <si>
    <t>[形]
1.眼睛看不見的。如：「盲人」、「盲胞」。《漢書．卷六〇．杜周傳》：「欽字子夏，少好經書，家富而目偏盲。」
2.比喻不明事理。漢．王充《論衡．謝短》：「夫知今不知古，謂之盲瞽。」
[名]
1.眼睛看不見東西的人。俗稱為「瞎子」。如：「問道於盲」。漢．王充《論衡．自紀》：「觀讀之者，曉然若盲之開目，聆然若聾之通耳。」
2.缺少某方面知識的人。如：「文盲」、「電腦盲」。
3.專指文盲。如：「脫盲教育」。
[動]
看不見、分辨不清。如：「夜盲」、「色盲」。《老子》第一二章：「五色令人目盲，五音令人耳聾。」
[副]
胡亂、未經考慮的。如：「盲從」、「盲動」。</t>
  </si>
  <si>
    <t>氓</t>
  </si>
  <si>
    <t xml:space="preserve">氏 </t>
  </si>
  <si>
    <t>[名]
1.古代稱庶民為「氓」。《詩經．衛風．氓》：「氓之蚩蚩，抱布貿絲。」漢．鄭玄．箋：「氓，民也。」《孟子．滕文公上》：「遠方之人，聞君行仁政，願受一廛而為氓。」
2.《詩經．衛風》的篇名。共六章。根據〈詩序〉：「〈氓〉，刺時也。」或亦指棄婦自傷之詩。首章二句為：「氓之蚩蚩，抱布貿絲。」
3.參見「流氓」條。</t>
  </si>
  <si>
    <t>(二)（又音）ㄇㄥˊ méng（01291）</t>
  </si>
  <si>
    <t>盳</t>
  </si>
  <si>
    <t>[名]
同「盲」。明．張自烈《正字通．目部》：「盳，俗盲字。」</t>
  </si>
  <si>
    <t>茫</t>
  </si>
  <si>
    <t>[形]
廣大、模糊不明。如：「渺茫」、「人海茫茫」。
[副]
1.悵然無所知的樣子。如：「茫然」。
2.全然。如：「茫無頭緒」、「茫無所知」。
[名]
姓。如宋代有茫端臣。</t>
  </si>
  <si>
    <t>硭</t>
  </si>
  <si>
    <t>[名]
一種中藥材，即硭硝。白色晶體，溶於水。由無水硫酸鈉溶於水溶液結晶而得，可用製碳酸鈉、礦泉水及醫療藥品等。</t>
  </si>
  <si>
    <t>鋩</t>
  </si>
  <si>
    <t>[名]
1.刀劍最鋒利的部分。如：「寒鋩」、「鋒鋩」。唐．韓愈〈祭田橫墓文〉：「何五百人之擾擾，而不能脫夫子於劍鋩。」也作「芒」。
2.泛指物體的尖端部分。宋．陸游〈試筆〉詩二首之二：「紅絲玉斗紫毫鋩，歲晚相從味更長。」
3.光芒、光輝。唐．張說〈羽林恩召觀御書王太尉碑〉詩：「魚龍生意態，鉤劍動鋩輝。」</t>
  </si>
  <si>
    <t>[名]
多毛的狗。《詩經．召南．野有死麕》：「舒而脫脫兮，無感我帨兮，無使尨也吠。」《聊齋志異．卷一〇．胭脂》：「感帨驚尨，鼠有皮胡若此？」</t>
  </si>
  <si>
    <t>(一)ㄆㄤˊ páng（00747）(三)ㄇㄥˊ méng（01290）</t>
  </si>
  <si>
    <t>[形]
1.豐厚。如：「敦厖自勸」、「隆厖之封」。
2.昏昧。如：「厖蒙」。</t>
  </si>
  <si>
    <t>(一)ㄆㄤˊ páng（00748）</t>
  </si>
  <si>
    <t>[形]
豐厚。通「厖」。《詩經．商頌．長發》：「受小共大共，為下國駿庬，何天之龍。」</t>
  </si>
  <si>
    <t>(一)ㄇㄥˇ měng（01321）(三)ㄆㄤˊ páng（00749）</t>
  </si>
  <si>
    <t>哤</t>
  </si>
  <si>
    <t>[形]
言語雜亂。《國語．齊語》：「管子對曰：『四民者，勿使雜處，雜處則其言哤，其事易。』」</t>
  </si>
  <si>
    <t>牻</t>
  </si>
  <si>
    <t>[名]
毛色黑白相雜的牛。《說文解字．牛部》：「牻，白黑雜毛牛。」</t>
  </si>
  <si>
    <t>痝</t>
  </si>
  <si>
    <t>[形]
為病所困的樣子。《廣韻．平聲．江韻》：「痝，病困。」
[動]
飲酒過量，為酒所困。《集韻．平聲．江韻》：「痝，一曰病酒。」
[副]
浮腫的樣子。《黃帝內經素問．卷九．評熱病論》：「有病腎風者，面胕痝然壅，害於言。」</t>
  </si>
  <si>
    <t>蛖</t>
  </si>
  <si>
    <t>參見「蛖螻」條。</t>
  </si>
  <si>
    <t>駹</t>
  </si>
  <si>
    <t>[名]
1.面、額白色的馬。《說文解字．馬部》：「馬面顙皆白也。」
2.毛色駁雜的祭牲。《周禮．秋官．犬人》：「凡幾珥沉辜用駹可也。」唐．賈公彥．疏：「駹謂雜色牲。」
3.青馬。《漢書．卷九四．匈奴傳下》：「匈奴騎，其西方盡白，東方盡駹，北方盡驪，南方盡騂馬。」唐．顏師古．注：「駹，青馬也。」</t>
  </si>
  <si>
    <t>蘉</t>
  </si>
  <si>
    <t>[動]
勉力。《書經．洛誥》：「汝乃是不蘉，乃時惟不永哉！」</t>
  </si>
  <si>
    <t>鸏</t>
  </si>
  <si>
    <t>[名]
古代一種屬鳩類的鳥。《集韻．平聲．江韻》：「鸏，鳩類。」</t>
  </si>
  <si>
    <t>(一)ㄇㄥˊ méng（01314）(二)（(一)之又音）ㄇㄥˇ měng（01331）</t>
  </si>
  <si>
    <t>莽</t>
  </si>
  <si>
    <t>ㄇㄤˇ</t>
  </si>
  <si>
    <t>mǎng</t>
  </si>
  <si>
    <t>[名]
1.植物名。八角茴香科八角茴香屬，「莽草」之古稱，參見「莽草」條。
2.叢生的草地。東周戰國．宋玉〈風賦〉：「蹶石伐木，梢殺林莽。」《聊齋志異．卷一．賈兒》：「兒薄暮潛入何氏園，伏莽中，將以探狐所在。」
[形]
粗率、冒失的。如：「莽夫」、「莽漢」、「魯莽」。</t>
  </si>
  <si>
    <t>漭</t>
  </si>
  <si>
    <t>參見「漭漭」、「漭沆」等條。</t>
  </si>
  <si>
    <t>𣙷</t>
  </si>
  <si>
    <t>[名]
𣙷果：植物名。漆樹科檬果屬，「芒果」之古稱。參見「芒果」條。</t>
  </si>
  <si>
    <t>蟒</t>
  </si>
  <si>
    <t>[名]
動物名。蟒蛇科蟒屬。一種無毒牙的大蛇，長二丈以上，有鱗，體黃褐色，腹白。多產於熱帶及亞熱帶水邊，捕食獸類。肉可食，皮可製裝飾品。俗稱為「蟒蛇」。
[形]
繡有蟒蛇圖案的。如：「蟒服」、「蟒袍」。</t>
  </si>
  <si>
    <t>硥</t>
  </si>
  <si>
    <t>[形]
石塊高大的樣子。《集韻．上聲．講韻》：「硥，石貌。」</t>
  </si>
  <si>
    <t>茻</t>
  </si>
  <si>
    <t>[名]
叢生的草。通「莽」。《說文解字．艸部》：「茻，眾艸也。」</t>
  </si>
  <si>
    <t>矇</t>
  </si>
  <si>
    <t>ㄇㄥ</t>
  </si>
  <si>
    <t>mēng</t>
  </si>
  <si>
    <t>[動]
1.欺騙。如：「別說瞎話矇人。」
2.胡亂猜對或得到。如：「我能得獎是矇上的。」</t>
  </si>
  <si>
    <t>(一)ㄇㄥˊ méng（01311）</t>
  </si>
  <si>
    <t>ㄇㄥˊ</t>
  </si>
  <si>
    <t>méng</t>
  </si>
  <si>
    <t>參見「尨茸」條。</t>
  </si>
  <si>
    <t>(一)ㄆㄤˊ páng（00747）(二)ㄇㄤˊ máng（01273）</t>
  </si>
  <si>
    <t>(一)ㄇㄤˊ máng（01268）</t>
  </si>
  <si>
    <t>甿</t>
  </si>
  <si>
    <t>[名]
1.舊指農民。《說文解字．田部》：「甿，田民也。」《周禮．地官．遂人》：「凡治野，以下劑致甿，以田里安甿，以樂昏擾甿，以土宜教甿。」《史記．卷六．秦始皇本紀》：「陳涉，罋牖繩樞之子，甿隸之人，而遷徙之徒，才能不及中人。」
2.愚昧無知的人。《管子．輕重甲》：「桓公憂北郭民之貧，召管子而問曰：『北郭者，盡屨縷之甿也。』」</t>
  </si>
  <si>
    <t>虻</t>
  </si>
  <si>
    <t>[名]
昆蟲綱雙翅目虻科動物的通稱。頭闊、眼大、體粗壯多毛，小者體形如家蠅，大者體形如熊蜂，有刺吸式口器，吸食牛等牲畜血液，有時也吸食人血。</t>
  </si>
  <si>
    <t>罞</t>
  </si>
  <si>
    <t>[名]
捕麋鹿的網。《爾雅．釋器》：「麋罟謂之罞。」</t>
  </si>
  <si>
    <t>雺</t>
  </si>
  <si>
    <t>[名]
霧氣。《爾雅．釋天》：「天氣下，地不應，曰：『雺』。」</t>
  </si>
  <si>
    <t>[形]
草木叢生繁茂的樣子。《爾雅．釋詁》：「覭髳，茀離也。」晉．郭璞．注：「謂草木之叢茸翳薈也。」</t>
  </si>
  <si>
    <t>(一)ㄇㄠˊ máo（01164）</t>
  </si>
  <si>
    <t>霿</t>
  </si>
  <si>
    <t>[名]
霧氣。《說文解字．雨部》：「天氣下地不應曰：『霿』。」唐．柳宗元〈唐鐃歌鼓吹曲．奔鯨沛〉：「手援天矛，截脩鱗，披攘蒙霿，開海門。」
[形]
天色昏暗不清。《說文解字．雨部》：「霿，晦也。」如：「原野昏霿」。</t>
  </si>
  <si>
    <t>莔</t>
  </si>
  <si>
    <t>[名]
植物名。百合科貝母屬，「貝母」之古稱，參見「貝母」條。《爾雅．釋草》：「莔，貝母。」</t>
  </si>
  <si>
    <t>萌</t>
  </si>
  <si>
    <t>[名]
1.草木初生的芽。《說文解字．艸部》：「萌，艸芽也。」唐．韓愈、劉師服、侯喜、軒轅彌明〈石鼎聯句〉：「秋瓜未落蒂，凍芋強抽萌。」
2.事物發生的開端或徵兆。《韓非子．說林上》：「聖人見微以知萌，見端以知末。」漢．蔡邕〈對詔問灾異八事〉：「以杜漸防萌，則其救也。」
3.人民。通「氓」。如：「萌黎」、「萌隸」。
4.姓。如五代時蜀有萌慮。
[動]
1.發芽。如：「萌芽」。《楚辭．王逸．九思．傷時》：「明風習習兮龢暖，百草萌兮華榮。」
2.發生。如：「故態復萌」。《管子．牧民》：「惟有道者，能備患於未形也，故禍不萌。」《三國演義》第一回：「若萌異心，必獲惡報。」</t>
  </si>
  <si>
    <t>盟</t>
  </si>
  <si>
    <t>[動]
立約起誓。《左傳．昭公十三年》：「諸侯將以甲戌盟，寡君知不得事君矣，請君無勤。」《史記．卷六五．孫子吳起傳》：「與其母訣，齧臂而盟曰：『起不為卿相，不復入衛。』」
[名]
1.誓約。如：「海誓山盟」。宋．陸游〈釵頭鳳．紅酥手〉詞：「山盟雖在，錦書難託。莫！莫！莫！」
2.文體名。古代的約誓之詞。清．徐師曾〈文體明辨序說．盟〉：「按《禮記》：『蒞物曰盟。』劉勰云：『盟者，明也，祝告於神明者也。』亦稱曰誓，謂約信之詞也。」
3.蒙古、青海等地合數個部落或旗而成的行政區域。如：「昭烏達盟」。
[形]
有信約關係的。如：「同盟國」、「盟軍」。</t>
  </si>
  <si>
    <t>(二)ㄇㄥˋ mèng（01333A）</t>
  </si>
  <si>
    <t>嫇</t>
  </si>
  <si>
    <t>參見「瑩嫇」條。</t>
  </si>
  <si>
    <t>(二)ㄇㄧㄥˊ míng（01481）</t>
  </si>
  <si>
    <t>蒙</t>
  </si>
  <si>
    <t>[動]
1.覆蓋、遮著。如：「蒙上一張紙。」
2.欺騙、瞞騙。如：「蒙騙」。《左傳．僖公二十四年》：「上下相蒙。」
3.冒。《漢書．卷五一．賈山傳》：「故切直之言，明主所欲急聞，忠臣之所以蒙死而竭知也。」《漢書．卷四九．鼂錯傳》：「故能使其眾蒙矢石，赴湯火，視死如生。」
4.受到、承受，表示感敬。如：「蒙您照料，十分感謝。」《文選．李密．陳情表》：「尋蒙國恩，除臣洗馬。」
5.遭受、遭遇。如：「蒙難」。《易經．明夷卦．彖曰》：「內文明而外柔順，以蒙大難。」《元史．卷六五．河渠志二》：「黃河決溢，千里蒙害。」
[名]
1.昏昧無知的心智。如：「啟蒙」。《黃帝內經素問．卷一一．舉痛論》：「令驗於己而發蒙解惑，可得而聞乎？」
2.孩童。如：「童蒙」。
3.《易經》卦名。六十四卦之一。坎（☵）下艮（☶）上。進退兩難，不知所適之象。
4.蒙古的簡稱。如：「蒙藏」。
5.姓。如秦朝有蒙恬。</t>
  </si>
  <si>
    <t>濛</t>
  </si>
  <si>
    <t>[形]
下著小雨的樣子。《詩經．豳風．東山》：「我徂東山，慆慆不歸；我來自東，零雨其濛。」
[動]
籠罩。唐．武元衡〈和楊弘微春日曲江南望〉詩：「煙濛宮樹晚，花咽石泉流。」《太平廣記．卷四一八．張魯女》：「張魯之女，曾浣衣於山下，有白霧濛身，因而孕焉。」</t>
  </si>
  <si>
    <t>懞</t>
  </si>
  <si>
    <t>[形]
樸實忠厚。《管子．五輔》：「敦懞純固，以備禍亂。」《西遊記》第二三回：「那獃子雖是心性愚頑，郤只是一味懞直。」</t>
  </si>
  <si>
    <t>(二)ㄇㄥˇ měng（▲01332）</t>
  </si>
  <si>
    <t>幪</t>
  </si>
  <si>
    <t>[動]
遮蓋。通「蒙」。宋．趙師俠〈點絳脣．日暖風暄〉詞：「瑩徹精神，映月唯宜夜，幪香帕，倩風扶下，碎玉殘妝卸。」</t>
  </si>
  <si>
    <t>(二)ㄇㄥˇ měng（01329）</t>
  </si>
  <si>
    <t>檬</t>
  </si>
  <si>
    <t>[名]
1.古代一種樹木，似槐，葉黃。《玉篇．木部》：「檬，木名，似槐，葉黃。」
2.參見「檸檬」條。</t>
  </si>
  <si>
    <t>氋</t>
  </si>
  <si>
    <t>參見「氋氃」條。</t>
  </si>
  <si>
    <t>曚</t>
  </si>
  <si>
    <t>參見「曚曨」條。</t>
  </si>
  <si>
    <t>朦</t>
  </si>
  <si>
    <t>參見「朦朧」條。</t>
  </si>
  <si>
    <t>礞</t>
  </si>
  <si>
    <t>參見「礞石」條。</t>
  </si>
  <si>
    <t>[名]_x000D_
盲人。《詩經．大雅．靈臺》：「鼉鼓逢逢，矇瞍奏公。」_x000D_
[形]_x000D_
失明、眼睛看不見。元．朱凱《昊天塔》第一折：「你聽了我聲音耳不聾，你覷了我容顏眼不矇。」</t>
  </si>
  <si>
    <t>(二)ㄇㄥ mēng（01289）</t>
  </si>
  <si>
    <t>艨</t>
  </si>
  <si>
    <t>參見「艨艟」條。</t>
  </si>
  <si>
    <t>饛</t>
  </si>
  <si>
    <t>[形]
器皿裝滿東西的樣子。《說文解字．食部》：「饛，盛器滿貌。」《詩經．小雅．大東》：「有饛簋飧，有捄棘匕。」</t>
  </si>
  <si>
    <t>[名]
古時一種水鳥。《說文解字．鳥部》：「鸏，水鳥名。」</t>
  </si>
  <si>
    <t>(二)（(一)之又音）ㄇㄥˇ měng（01331）(三)ㄇㄤˊ máng（01282）</t>
  </si>
  <si>
    <t>甍</t>
  </si>
  <si>
    <t>[名]
屋脊。《文選．左思．蜀都賦》：「比屋連甍，千廡萬室。」唐．王勃〈滕王閣序〉：「披繡闥，俯雕甍。」</t>
  </si>
  <si>
    <t>瞢</t>
  </si>
  <si>
    <t>[形]
1.眼睛看不清楚的樣子。《說文解字．苜部》：「瞢，目不明也。」唐．李白〈上安州李長史書〉：「青白其眼，瞢而前行。」
2.晦暗不明。《楚辭．屈原．天問》：「冥昭瞢闇，誰能極之。」唐．柳宗元〈唐鐃歌鼓吹曲．戰武牢〉：「命之瞢，卑以斮。」
3.羞愧的。《文選．左思．魏都賦》：「有靦瞢容，神惢形茹。」
4.憂悶。《左傳．襄公十四年》：「不與於會，亦無瞢焉。」</t>
  </si>
  <si>
    <t>懵</t>
  </si>
  <si>
    <t>參見「懵懵」、「懵憒」等條。</t>
  </si>
  <si>
    <t>(一)ㄇㄥˇ měng（01332）</t>
  </si>
  <si>
    <t>鄳</t>
  </si>
  <si>
    <t>[名]
縣名。西漢置，治所約在今大陸地區河南省羅山縣西南。</t>
  </si>
  <si>
    <t>(二)（(一)之又音）ㄇㄥˇ měng（01327）(三)（(一)之又音）ㄇㄧㄥˇ mǐng（01491）</t>
  </si>
  <si>
    <t>儚</t>
  </si>
  <si>
    <t>參見「儚儚」條。</t>
  </si>
  <si>
    <t>鄸</t>
  </si>
  <si>
    <t>[名]
地名。春秋時曹邑，故址約在今大陸地區山東省曹縣北。</t>
  </si>
  <si>
    <t>ㄇㄥˇ</t>
  </si>
  <si>
    <t>měng</t>
  </si>
  <si>
    <t>[形]
混沌不分的樣子。如：「庬澒」。</t>
  </si>
  <si>
    <t>(二)ㄇㄤˊ máng（01275）(三)ㄆㄤˊ páng（00749）</t>
  </si>
  <si>
    <t>猛</t>
  </si>
  <si>
    <t>[形]
1.勇敢、勇武。如：「勇猛」、「威猛」。漢．高祖〈大風歌〉：「大風起兮雲飛揚，威加海內兮歸故鄉，安得猛士兮守四方。」
2.凶惡、凶暴。如：「凶猛」、「猛虎」、「猛獸」。
3.劇烈、強烈。如：「猛烈」、「藥性很猛」。唐．皮日休〈桃花賦〉：「狂風猛雨，一陣紅去。」
[副]
1.急遽、急速。如：「突飛猛進」。
2.忽然、突然。如：「猛然回頭」。元．鄭廷玉《忍字記》第一折：「我若是前街上猛撞見，若是後巷裡廝逢著。」《醒世恆言．卷四．灌園叟晚逢仙女》：「玉人盡日懨懨地，猛被笙歌驚破睡。」
[名]
姓。如春秋時宋有猛獲。</t>
  </si>
  <si>
    <t>蜢</t>
  </si>
  <si>
    <t>參見「蚱蜢」條。</t>
  </si>
  <si>
    <t>艋</t>
  </si>
  <si>
    <t>參見「舴艋」條。</t>
  </si>
  <si>
    <t>錳</t>
  </si>
  <si>
    <t>[名]
（manganese，Mn）化學元素。原子序25。灰色金屬，質脆而硬。可用以製造錳鋼、錳銅等合金。</t>
  </si>
  <si>
    <t>瓾</t>
  </si>
  <si>
    <t>[名]
甑的索帶。《淮南子．說山》：「弊箄甑瓾，在袡茵之上，雖貪者不搏。」漢．高誘．注：「瓾，甑帶。」</t>
  </si>
  <si>
    <t>(一)ㄇㄥˊ méng（01318）(三)（(一)之又音）ㄇㄧㄥˇ mǐng（01491）</t>
  </si>
  <si>
    <t>鼆</t>
  </si>
  <si>
    <t xml:space="preserve">黽 </t>
  </si>
  <si>
    <t>[名]
1.古代的一種昆蟲。《集韻．上聲．耿韻》：「鼆，蟲名。」
2.地名。春秋魯邑。也稱為「句鼆」。</t>
  </si>
  <si>
    <t>參見「幪幪」條。</t>
  </si>
  <si>
    <t>(一)ㄇㄥˊ méng（01305）</t>
  </si>
  <si>
    <t>蠓</t>
  </si>
  <si>
    <t>[名]
昆蟲綱雙翅目蠓科的泛稱。體小，翅寬短，有翅斑。口器刺吸式，能叮咬人、畜，發生痛癢及丘疹，傳播寄生蟲。約有二十餘種。</t>
  </si>
  <si>
    <t>(一)ㄇㄥˊ méng（01314）(三)ㄇㄤˇ mǎng（01282）</t>
  </si>
  <si>
    <t>參見「懵懂」條。</t>
  </si>
  <si>
    <t>(二)ㄇㄥˊ méng（01317）</t>
  </si>
  <si>
    <t>孟</t>
  </si>
  <si>
    <t>ㄇㄥˋ</t>
  </si>
  <si>
    <t>mèng</t>
  </si>
  <si>
    <t>[形]
1.兄弟姊妹中排行最大的。《說文解字．子部》：「孟，長也。」《左傳．隱公元年》：「傅惠公元妃孟子。」唐．孔穎達．正義：「孟、仲、叔、季，兄弟姊妹長幼之別字也。」
2.鹵莽的、誇大的。如：「孟浪」。《管子．任法》：「奇術技藝之人，莫敢高言孟行，以過其情。」
[名]
1.四季中每季的第一個月。《逸周書．卷六．周月》：「歲有春夏秋冬，各有孟仲季，以名十有二月。」唐．韓愈〈岳陽樓別竇司直〉詩：「時當冬之孟，隙竅縮寒漲。」
2.孟子或《孟子》一書的簡稱。如：「孔孟」、「論孟」。
3.姓。如戰國時鄒有孟軻。</t>
  </si>
  <si>
    <t>[名]
參見「盟津」條。</t>
  </si>
  <si>
    <t>(一)ㄇㄥˊ méng（01300）</t>
  </si>
  <si>
    <t>夢</t>
  </si>
  <si>
    <t xml:space="preserve">夕 </t>
  </si>
  <si>
    <t>[名]_x000D_
1.睡眠時因腦部的意識活動，而引起的幻覺、幻象。引申為想像、渴望。如：「美夢成真」。《莊子．齊物論》：「覺而後知其夢也。」_x000D_
2.姓。如宋代有夢仲才。_x000D_
[動]_x000D_
作夢。《論語．述而》：「吾不復夢見周公。」唐．李白〈古風〉詩五九首之九：「莊周夢胡蝶，胡蝶為莊周。」_x000D_
[形]_x000D_
虛幻的。如：「不切實際的夢想。」</t>
  </si>
  <si>
    <t>咪</t>
  </si>
  <si>
    <t>ㄇㄧ</t>
  </si>
  <si>
    <t>mī</t>
  </si>
  <si>
    <t>參見「咪咪」條。</t>
  </si>
  <si>
    <t>眯</t>
  </si>
  <si>
    <t>[動]
眼皮微合。同「瞇」。明．張自烈《正字通．目部》：「眯，俗作瞇。」</t>
  </si>
  <si>
    <t>(一)ㄇㄧˇ mǐ（01358）</t>
  </si>
  <si>
    <t>瞇</t>
  </si>
  <si>
    <t>[動]
眼瞼上下微閉。如：「他瞇著眼一直望向走廊前端。」</t>
  </si>
  <si>
    <t>冞</t>
  </si>
  <si>
    <t xml:space="preserve">冖 </t>
  </si>
  <si>
    <t>ㄇㄧˊ</t>
  </si>
  <si>
    <t>mí</t>
  </si>
  <si>
    <t>[副]
1.深。如：「冞入其阻」。
2.越、更。唐．方干〈送許溫〉詩：「壯歲分冞切，少年心正同。」元．馬端臨〈文獻通考自序〉：「晉時分州為十九，自晉以後，為州冞多，所統冞狹。」</t>
  </si>
  <si>
    <t>迷</t>
  </si>
  <si>
    <t>[動]
1.困惑、惑亂。如：「財迷心竅」。《易經．坤卦》：「君子有攸往，先迷後得。」
2.媚惑。《文選．宋玉．登徒子好色賦．序》：「嫣然一笑，惑陽城，迷下蔡。」《警世通言．卷二八．白娘子永鎮雷峰塔》：「奉勸世人休愛色，愛色之人被色迷。」
3.分不清方向。如：「迷路」。《左傳．哀公二年》：「晉趙鞅納衛大子于戚，宵迷。」
4.沉醉、陶醉。如：「著迷」、「入迷」、「沉迷」。
[形]
1.分辨不清、令人困惑的。如：「迷途」、「迷宮」。
2.心中昏亂、意識模糊。如：「意亂情迷」。
[名]
心醉於某種事物的人。如：「影迷」、「球迷」、「歌迷」。</t>
  </si>
  <si>
    <t>[名]
1.影射事物或文字的隱語。如：「猜謎」、「燈謎」。
2.令人難以明白、理解的事理。如：「宇宙的神祕奧妙，對人類來說仍是個謎。」</t>
  </si>
  <si>
    <t>(二)（(一)之又音）ㄇㄧˋ mì（01389）(三)（(一)之又音）ㄇㄟˋ mèi（01155）</t>
  </si>
  <si>
    <t>[名]
1.濃稠的稀飯。漢．曹操〈苦寒行〉：「擔囊行取薪，斧冰持作糜。」《水滸傳》第四七回：「那老人篩下兩碗白酒，盛一碗糕糜，叫石秀吃了。」
2.姓。如三國時魏國有糜信。
[動]
1.耗、費。唐．韓愈〈進學解〉：「猶且月費俸錢，歲糜廩粟。」
2.毀傷。戰國燕．麴武〈報燕太子書〉：「今太子欲滅悁悁之恥，除久久之恨，此實臣所當糜軀碎首而不避也。」
[形]
爛、腐敗。如：「他的生活十分糜爛。」</t>
  </si>
  <si>
    <t>(二)ㄇㄟˊ méi（01134）</t>
  </si>
  <si>
    <t>麋</t>
  </si>
  <si>
    <t>[名]
1.動物名。脊椎動物哺乳綱偶蹄目。與鹿同類而稍大，雄麋青黑色，頭生枝角，雌麋呈褐色，體略小。
2.眉毛。通「眉」。《荀子．非相》：「伊尹之狀，面無須麋。」
3.水邊。通「湄」。《詩經．小雅．巧言》：「彼何人斯，居河之麋。」
4.姓。如宋代有麋鍇。</t>
  </si>
  <si>
    <t>醚</t>
  </si>
  <si>
    <t>[名]
化學上指由一個氧原子連結兩個烴基而成的有機化合物，多為液體。如：「乙醚」。</t>
  </si>
  <si>
    <t>蘪</t>
  </si>
  <si>
    <t>[名]
蘪蕪：植物名。即蘄茝。繖形科假蛇床子屬，草本。莖中空，葉似芹葉。秋日開白色小花，複繖形花序。《爾雅．釋草》：「蘄茝，蘪蕪。」</t>
  </si>
  <si>
    <t>醾</t>
  </si>
  <si>
    <t>參見「酴醾」條。</t>
  </si>
  <si>
    <t>縻</t>
  </si>
  <si>
    <t>[名]
1.牽引牛的繩子。《說文解字．糸部》：「縻，牛轡也。」《文選．潘岳．藉田賦》：「坻場染屨，洪縻在手。」
2.姓。如商代有縻元。
[動]
繫縛、牽絆。《三國志．卷二八．魏書．諸葛誕傳》：「今三叛相聚於孤城之中，天其或者將使同就戮，吾當以全策縻之，可坐而制也。」宋．蘇軾〈僧惠勤初罷僧職〉詩：「既為物所縻，遂與吾輩同。」</t>
  </si>
  <si>
    <t>彌</t>
  </si>
  <si>
    <t>[動]
1.充滿。《史記．卷一一七．司馬相如傳》：「於是乎離宮別館，彌山跨谷。」
2.填補。如：「彌補」。漢．邊讓〈章華臺賦〉：「登瑤臺以回望兮，冀彌日而消憂。」
[副]
1.更加。如：「日久彌新」。《論語．子罕》：「仰之彌高，鑽之彌堅。」
2.遍布的。如：「煙霧彌漫」。
3.久。如：「彌久」。
4.遠。《文選．張衡．西京賦》：「前開唐中，彌望廣潒。」
[名]
姓。如宋代有彌遜。</t>
  </si>
  <si>
    <t>禰</t>
  </si>
  <si>
    <t>[名]
姓。如漢代有禰衡。</t>
  </si>
  <si>
    <t>(一)ㄋㄧˇ nǐ（03023）</t>
  </si>
  <si>
    <t>瀰</t>
  </si>
  <si>
    <t>[形]
水深滿的樣子。《詩經．邶風．匏有苦葉》：「有瀰濟盈，有鷕雉鳴。」
[副]
滿。同「彌」。如：「煙霧瀰漫」。</t>
  </si>
  <si>
    <t>(二)ㄇㄧˇ mǐ（01365）</t>
  </si>
  <si>
    <t>獼</t>
  </si>
  <si>
    <t>參見「獼猴」條。</t>
  </si>
  <si>
    <t>靡</t>
  </si>
  <si>
    <t xml:space="preserve">非 </t>
  </si>
  <si>
    <t>[動]_x000D_
1.分、散。《易經．中孚．九二》：「我有好爵，吾與爾靡之。」唐．孔穎達．正義：「靡，散也。……若我有好爵，吾願與爾賢者分散而共之。」《墨子．尚同中》：「是故靡分天下，設以為萬諸侯國君，使從事乎一同其國之義。」_x000D_
2.耗費、浪費。如：「靡費」。《墨子．節葬下》：「此為輟民之事，靡民之財，不可勝記也。」《漢書．卷二四．食貨志上》：「生之者甚少而靡之者甚多，天下財產何得不蹶！」_x000D_
3.破碎、腐爛。《淮南子．說山》：「比干以忠靡其體，被誅者必非忠也。」_x000D_
4.消滅、滅盡。《楚辭．劉向．九歎．怨思》：「芳懿懿而終敗兮，名靡散而不彰。」漢．枚乘〈上書諫吳王〉：「太山之霤穿石，殫極之綆斷幹。水非石之鑽，索非木之鋸，漸靡使之然也。」</t>
  </si>
  <si>
    <t>(一)ㄇㄧˇ mǐ（01366）</t>
  </si>
  <si>
    <t>攠</t>
  </si>
  <si>
    <t>[名]
鐘受撞擊之處。《周禮．冬官考工記．鳧氏》：「鍾帶謂之篆，篆間謂之枚，枚謂之景，于上之攠謂之隧。」</t>
  </si>
  <si>
    <t>爢</t>
  </si>
  <si>
    <t>[形]
爛。通「糜」。《說文解字．火部》：「爢，爛也。」
[名]
碎末。《楚辭．屈原．離騷》：「折瓊枝以為羞兮，精瓊爢以為粻。」</t>
  </si>
  <si>
    <t>蘼</t>
  </si>
  <si>
    <t>參見「蘼藿」、「蘼蕪」等條。</t>
  </si>
  <si>
    <t>麛</t>
  </si>
  <si>
    <t>[名]
1.初生的小鹿。《禮記．內則》：「秋宜犢麛膳膏腥，冬宜鮮羽膳膏羶。」唐．元稹〈青雲驛〉詩：「山鹿藏窟穴，虎豹吞其麛。」
2.通稱幼小的野獸。三國魏．劉劭〈七華〉：「煮丹穴之卵……，臠麒麟之麛。」</t>
  </si>
  <si>
    <t>米</t>
  </si>
  <si>
    <t>ㄇㄧˇ</t>
  </si>
  <si>
    <t>mǐ</t>
  </si>
  <si>
    <t>[名]
1.去殼的穀實，今專指稻實。如：「稻米」、「白米」、「糯米」、「糙米」。《孔子家語．卷二．致思》：「常食藜藿之實，為親負米百里之外。」
2.去掉皮殼的種子、果仁。如：「花生米」。
3.借指食物。如：「他病得很重，水米不進。」
4.成粒似米的東西。如：「蝦米」。
5.量詞。表示長度的法制單位。俗稱「公尺」。
6.姓。如唐代有米嘉勞。
7.二一四部首之一。</t>
  </si>
  <si>
    <t>敉</t>
  </si>
  <si>
    <t>[動]
安撫、平定。如：「敉亂」。《清史稿．卷八三．禮志二》：「嘉慶十八年，林清變起，計日敉平。」</t>
  </si>
  <si>
    <t>[動]
東西進入眼中，使眼睛一時睜不開。《莊子．天運》：「老聃曰：『夫播穅眯目，則天地四方易位矣。』」明．李時珍《本草綱目．卷三六．木部．桑》：「雜物眯眼，新桑根皮洗淨搥爛，入眼撥之自出。」</t>
  </si>
  <si>
    <t>(二)ㄇㄧ mī（01336）</t>
  </si>
  <si>
    <t>羋</t>
  </si>
  <si>
    <t>[擬]
(一)之讀音。
[名]
姓。如戰國時齊國有羋嬰。</t>
  </si>
  <si>
    <t>(一)ㄇㄧㄝ miē（01392）</t>
  </si>
  <si>
    <t>蝆</t>
  </si>
  <si>
    <t>[名]
1.螳螂。漢．揚雄《方言》卷一一：「螳蜋謂之髦，或謂之虰或謂之蝆蝆。」
2.蛀食米穀的黑色小蟲。《爾雅．釋蟲》：「蛄䗐，強蝆。」晉．郭璞．注：「今米穀中蠹小黑蟲是也。建平人呼為蝆子。」</t>
  </si>
  <si>
    <t>弭</t>
  </si>
  <si>
    <t>[名]
1.無綵繳纏飾，末端以骨、角鑲嵌的弓。《說文解字．弓部》：「弭，弓無緣可以解轡紛者。」桂馥義證引孫炎曰：「弭謂不以繳束，骨飾兩頭者也。」
2.弓的末端。《廣韻．上聲．紙韻》：「弭，弓末。」《詩經．小雅．采薇》：「四牧翼翼，象弭魚服。」
3.地名。春秋時鄭地，約在今大陸地區河南省密縣境。
4.姓。如漢代有弭彊。
[動]
1.停止、平息、消除。《左傳．成公十六年》：「若之何，憂猶未弭。」《後漢書．卷八〇．文苑傳下．趙壹傳》：「下則抗論當世，消弭時災。」
2.安撫。通「敉」。《史記．卷四六．田敬仲完世家》：「夫治國家而弭人民者，無若乎五音者。」
3.遺忘。《文選．江淹．雜體詩．潘黃門》：「俯仰未能弭，尋念非但一。」</t>
  </si>
  <si>
    <t>渳</t>
  </si>
  <si>
    <t>[動]
1.飲歃。《說文解字．水部》：「渳，飲歃也，从水弭聲。」
2.浴屍。《周禮．春官．小宗伯》：「王崩，大肆，以秬鬯渳。」</t>
  </si>
  <si>
    <t>葞</t>
  </si>
  <si>
    <t>[名]
植物名。蘿藦科白薇屬，「白薇」之古稱，參見「白薇」條。明．李時珍《本草綱目．卷一七．草部．莽草》：「時珍曰：『葞音尾，白薇也。薇、葞字音相近爾。』」</t>
  </si>
  <si>
    <t>濔</t>
  </si>
  <si>
    <t>[形]
水滿的樣子。《說文解字．水部》：「濔，滿也。」</t>
  </si>
  <si>
    <t>(一)[形]之又音。</t>
  </si>
  <si>
    <t>(一)ㄇㄧˊ mí（01349）</t>
  </si>
  <si>
    <t>[動]_x000D_
1.順勢倒下。如：「所向披靡」。《左傳．莊公十年》：「吾視其轍亂，望其旗靡，故逐之。」晉．潘岳〈閒居賦〉：「訓若風行，應如草靡。」_x000D_
2.沒有。《詩經．鄘風．柏舟》：「髧彼兩髦，實維我儀，之死矢靡它。」晉．陶潛〈桃花源詩〉：「春蠶收長絲，秋熟靡王稅。」明．歸有光〈先妣事略〉：「室靡棄物，家無閒人。」_x000D_
[形]_x000D_
1.奢侈。如：「奢靡」、「浮靡」。《戰國策．楚策四》：「專淫逸侈靡，不顧國政，郢都必危矣。」《逸周書．卷三．文傳解》：「人君之行，不為驕侈，不為泰靡，不淫于美，括柱茅茨，為民愛費。」_x000D_
2.細小、細緻。《韓非子．解老》：「凡理者，方圓、短長、麤靡、堅脆之分也，故理定而後物可得道也。」《楚辭．宋玉．招魂》：「靡顏膩理，遺視矊些。」漢．王逸．注：「靡，緻也。」《漢書．卷八九．循吏傳．黃霸》：「米鹽靡密，初若煩碎。」_x000D_
3.華麗、美好。《南史．卷二二．列傳．王曇首》：「筠又能用強韻，每公宴並作，辭必妍靡。」宋．蘇軾〈論養士〉：「靡衣玉食以館於上者，何可勝數！」_x000D_
[副]_x000D_
無、不。《詩經．小雅．節南山》：「不弔昊天，亂靡有定。」宋．陸游〈刪定官供職謝啟〉：「是以鄙夫深文而不知還，儒者高談而靡適用。」</t>
  </si>
  <si>
    <t>(二)ㄇㄧˊ mí（01351）</t>
  </si>
  <si>
    <t>灖</t>
  </si>
  <si>
    <t>[形]
水流動的樣子。《淮南子．原道》：「上漏下濕，潤浸北房，雪霜滖灖，浸潭苽蔣。」</t>
  </si>
  <si>
    <t>冖</t>
  </si>
  <si>
    <t>ㄇㄧˋ</t>
  </si>
  <si>
    <t>mì</t>
  </si>
  <si>
    <t>[動]
覆蓋。《說文解字．冖部》：「冖，覆也。」
[名]
二一四部首之一。</t>
  </si>
  <si>
    <t>塓</t>
  </si>
  <si>
    <t>[動]
塗抹。《左傳．襄公三十一年》：「圬人以時塓館公室，諸侯賓至甸設庭燎。」《新唐書．卷二二五．逆臣傳上．史思明傳》：「又敕朝義築三角城居糧，終日畢，未塓而思明至。」</t>
  </si>
  <si>
    <t>幎</t>
  </si>
  <si>
    <t>[名]
覆蓋器物的布巾。《呂氏春秋．貴直論．知化》：「吾何面以見子胥於地下，乃為幎以冒而死。」
[動]
覆蓋。《淮南子．原道》：「舒之幎於六合，卷之不盈於一握。」
[副]
均勻的樣子。《周禮．冬官考工記．輪人》：「望而視其輪，欲其幎爾而下迆也。」漢．鄭玄．注：「幎，均致貌也。」</t>
  </si>
  <si>
    <t>鼏</t>
  </si>
  <si>
    <t xml:space="preserve">鼎 </t>
  </si>
  <si>
    <t>[名]
1.古代覆蓋酒樽的布巾。《玉篇．鼎部》：「鼏，覆樽巾也。」《禮記．禮器》：「犧尊疏布鼏。」
2.鼎蓋。《玉篇．鼎部》：「鼏，鼎蓋。」《儀禮．士喪禮》：「右人左執匕，抽扃予左手兼執之，取鼏委于鼎北，加扃不坐。」</t>
  </si>
  <si>
    <t>冪</t>
  </si>
  <si>
    <t>[名]
1.覆蓋器物的布巾。《儀禮．公食大夫禮》：「簠有蓋冪，凡炙無醬。」《遼史．卷五二．禮志五》：「冊案置褥左，去冪蓋。」
2.數學上指同一數自乘若干次的乘方。如2自乘四次，就是2的四次冪。
[動]
覆蓋。《周禮．天官．冪人》：「祭祀以疏布巾冪八尊。」清．紀昀《閱微草堂筆記．卷二．灤陽消夏錄二》：「愁煙低冪朱扉雙，酸風微戞玉女窗。」</t>
  </si>
  <si>
    <t>日</t>
  </si>
  <si>
    <t>[名]
人名用字。如漢代有金日磾。</t>
  </si>
  <si>
    <t>(一)ㄖˋ rì（09177）</t>
  </si>
  <si>
    <t>汨</t>
  </si>
  <si>
    <t>參見「汨羅江」條。</t>
  </si>
  <si>
    <t>糸</t>
  </si>
  <si>
    <t>[名]
1.細絲。《說文解字．糸部》：「糸，細絲也。」
2.二一四部首之一。</t>
  </si>
  <si>
    <t>(二)ㄙ sī（▲09948）</t>
  </si>
  <si>
    <t>[名]
1.輕快的水流。《說文解字．水部》：「泌，俠流也。」清．段玉裁．注：「俠流者，輕快之流，如俠士然。」
2.泉水。《詩經．陳風．衡門》：「泌之洋洋，可以樂飢。」漢．毛亨．傳：「泌，泉水。」
[動]
液體由小孔滲出。如：「分泌」。</t>
  </si>
  <si>
    <t>(二)（又音）ㄅㄧˋ bì（00342）</t>
  </si>
  <si>
    <t>宓</t>
  </si>
  <si>
    <t>[形]
安寧。《說文解字．宀部》：「宓，安也。」</t>
  </si>
  <si>
    <t>(二)ㄈㄨˊ fú（01812）</t>
  </si>
  <si>
    <t>[形]_x000D_
1.隱閉不明顯的、不讓人知或不公開的。如：「神祕」、「隱祕」、「祕密」。《史記．卷五六．陳丞相世家》：「高帝既出，其計祕，世莫得聞。」唐．王孝通〈上緝古算經表〉：「其理幽而微，其形祕而約。」_x000D_
2.罕見的、稀奇的。 漢．張衡〈西京賦〉：「祕舞更奏，妙材騁伎。」《新唐書．卷七六．后妃列傳上．楊貴妃》：「奇服祕玩，變化若神。」_x000D_
[動]_x000D_
1.隱瞞、隱藏、收藏。《三國志．卷一四．魏書．程郭董劉蔣劉傳．董昭》：「祕而不露，使權得志，非計之上。」《太平廣記．卷三五八．王宙》引《離魂記》：「其家以事不正，祕之，惟親戚間有潛知之者。」清．洪昇《長生殿》第一一齣：「向有《霓裳羽衣》仙樂一部，久祕月宮，未傳人世。」_x000D_
2.閉塞、閉結。宋．朱熹〈葉永卿吳唐卿周得之李深子〉：「向承錄示藥方，極感留念，今腳氣已漸輕，祕結卻變成滑洩矣。」明．朱橚《普濟方．卷三九．大臟腑門．大便祕澀不通》：「燥則潤之，澀則滑之，祕則通之，約則緩之，各有成法。」_x000D_
[名]_x000D_
1.祕書的簡稱。如：「文祕」、「主祕」。_x000D_
2.姓。如漢代有祕彭祖。</t>
  </si>
  <si>
    <t>(二)（又音）ㄅㄧˋ bì（00350）</t>
  </si>
  <si>
    <t>同「祕」（一）。</t>
  </si>
  <si>
    <t>(二)（又音）ㄅㄧˋ bì（00351）</t>
  </si>
  <si>
    <t>密</t>
  </si>
  <si>
    <t>[形]
1.不稀疏的。如：「稠密」、「綿密」、「濃密」。
2.不宣露的。如：「隱密」、「密函」、「密令」。《易經．繫辭上》：「幾事不密則害成。」
3.暱近的、親近的。如：「親密」、「密友」。
4.細微周到。如：「細密」、「周密」、「嚴密」。
[名]
1.隱藏不公開的事。如：「保密」、「祕密」、「機密」。
2.姓。如漢代有密忠。
[副]
暗中。如：「密報」、「密告」、「密訪」。</t>
  </si>
  <si>
    <t>滵</t>
  </si>
  <si>
    <t>[形]
水急湍流的樣子。《集韻．入聲．質韻》：「滵，水流疾貌。」《史記．卷一一七．司馬相如傳》：「洶涌滂㵒，滭浡滵汩。」</t>
  </si>
  <si>
    <t>蜜</t>
  </si>
  <si>
    <t>[名]
蜜蜂採取花中甘液所釀成的甜汁。如：「蜂蜜」、「花蜜」。
[形]
甜美、動人的。如：「甜蜜」、「甜言蜜語」。</t>
  </si>
  <si>
    <t>嘧</t>
  </si>
  <si>
    <t>參見「嘧啶」條。</t>
  </si>
  <si>
    <t>蔤</t>
  </si>
  <si>
    <t>[名]
荷的地下莖。《文選．何晏．景福殿賦》：「茄蔤倒植，吐被芙蕖。」明．李時珍《本草綱目．卷三三．果部．蓮藕》：「以蓮子種者生遲，藕芽種者最易發。其芽穿泥成白蒻，即蔤也。」</t>
  </si>
  <si>
    <t>謐</t>
  </si>
  <si>
    <t>[形]_x000D_
安寧、寧靜。如：「安謐」、「靜謐」。_x000D_
[動]_x000D_
靜止。唐．王勃〈拜南郊頌〉：「王良聳策，雲藏星謐。」</t>
  </si>
  <si>
    <t>峚</t>
  </si>
  <si>
    <t>山名。即峚山。約位在陝西省商洛市商南縣境內。</t>
  </si>
  <si>
    <t>覓</t>
  </si>
  <si>
    <t>[動]
尋求、尋找。如：「覓食」、「尋覓」。宋．辛棄疾〈永遇樂．千古江山〉詞：「千古江山，英雄無覓，孫仲謀處。」《紅樓夢》第三回：「無故尋愁覓恨，有時似傻如狂。」</t>
  </si>
  <si>
    <t>幦</t>
  </si>
  <si>
    <t>[名]_x000D_
古代車前橫木上的覆蓋物。《公羊傳．昭公二十五年》：「以幦為席。」漢．何休．解詁：「幦，車覆笭。」</t>
  </si>
  <si>
    <t>(一)ㄇㄧˊ mí（01340）(三)（(一)之又音）ㄇㄟˋ mèi（01155）</t>
  </si>
  <si>
    <t>蠠</t>
  </si>
  <si>
    <t>參見「蠠沒」條。</t>
  </si>
  <si>
    <t>乜</t>
  </si>
  <si>
    <t xml:space="preserve">乙 </t>
  </si>
  <si>
    <t>ㄇㄧㄝ</t>
  </si>
  <si>
    <t>miē</t>
  </si>
  <si>
    <t>[動]
瞇眼斜視。元．關漢卿《望江亭》第三折：「那廝也忒懵懂玉山低趄，著鬼祟醉眼乜斜。」</t>
  </si>
  <si>
    <t>(二)ㄋㄧㄝˋ niè（03037）</t>
  </si>
  <si>
    <t>[擬]_x000D_
模擬羊叫的聲音。如：「羋！羋！羋！牧童趕著羊群往山腳下去了。」</t>
  </si>
  <si>
    <t>(二)ㄇㄧˇ mǐ（01359）</t>
  </si>
  <si>
    <t>咩</t>
  </si>
  <si>
    <t>[擬]_x000D_
模擬羊叫的聲音。同「羋」。如：「小羊咩咩的叫著。」</t>
  </si>
  <si>
    <t>ㄇㄧㄝˋ</t>
  </si>
  <si>
    <t>miè</t>
  </si>
  <si>
    <t>[動]
隱而不相見。《說文解字．見部》：「覕，蔽不相見也。」</t>
  </si>
  <si>
    <t>(二)ㄆㄧㄝ piē（00875）</t>
  </si>
  <si>
    <t>滅</t>
  </si>
  <si>
    <t>[動]
1.撲熄、熄掉。如：「撲滅」、「熄滅」、「滅火」、「燈滅了」。
2.除盡、除絕。如：「消滅」、「殲滅」。《國語．晉語五》：「國之良也，滅其前惡。」
3.消失、消逝、絕盡。如：「幻滅」、「破滅」、「湮滅」、「自生自滅」。唐．柳宗元〈江雪〉詩：「千山鳥飛絕，萬逕人蹤滅。」
4.淹沒。如：「滅頂」。《呂氏春秋．開春論．愛類》：「河出孟門，大溢逆流，無有丘陵沃衍平原高阜，盡皆滅之。」</t>
  </si>
  <si>
    <t>蔑</t>
  </si>
  <si>
    <t>[動]
1.輕侮。如：「侮蔑」、「輕蔑」。南朝梁．沈約〈奏彈王源〉：「蔑祖辱親，於事為甚。」
2.誣陷、陷害。如：「誣蔑」。
3.拋棄。《左傳．襄公二十五年》：「今陳忘周之大德，蔑我大惠。」《國語．周語中》：「不奪民時，不蔑民功。」
[形]
卑微。如：「微蔑」。
[副]
無、沒有。如：「蔑以復加」、「蔑不有成」。</t>
  </si>
  <si>
    <t>篾</t>
  </si>
  <si>
    <t>[名]
1.竹子剖成的細薄片。《玉篇．竹部》：「篾，竹皮也。」如：「竹篾」。
2.用蘆葦或藤類等的莖劈成的細長薄片。如：「韋篾兒」。《西遊記》第二三回：「四片黃藤篾，長短八條繩。」
[形]
用竹片或蘆葦片等編成的。《書經．顧命》：「牖間南嚮，敷重篾席。」唐．唐彥謙〈蟹〉詩：「扳罾拖網取賽多，篾簍挑將水邊貨。」</t>
  </si>
  <si>
    <t>幭</t>
  </si>
  <si>
    <t>[名]
覆蓋物體的巾布。清．朱駿聲《說文通訓定聲．泰部》：「幭者，覆物之巾。覆車、覆衣、覆體之具皆得稱幭。」</t>
  </si>
  <si>
    <t>蠛</t>
  </si>
  <si>
    <t>參見「蠛蠓」條。</t>
  </si>
  <si>
    <t>衊</t>
  </si>
  <si>
    <t>[名]
汙血。《說文解字．血部》：「衊，汙血也。」
[動]
1.捏造罪名，陷害他人。如：「汙衊」、「誣衊」。
2.塗抹。《新唐書．卷二〇五．列女傳．崔繪妻盧傳》：「是夕，出自竇，糞穢衊面。」</t>
  </si>
  <si>
    <t>喵</t>
  </si>
  <si>
    <t>ㄇㄧㄠ</t>
  </si>
  <si>
    <t>miāo</t>
  </si>
  <si>
    <t>[擬]_x000D_
模擬貓叫的聲音。如：「小貓喵喵叫個不停。」</t>
  </si>
  <si>
    <t>苗</t>
  </si>
  <si>
    <t>ㄇㄧㄠˊ</t>
  </si>
  <si>
    <t>miáo</t>
  </si>
  <si>
    <t>[名]
1.初生未開花的穀類植株。如：「禾苗」、「麥苗」、「秧苗」、「稻苗」。
2.初生的植物或指植物的嫩莖、嫩葉。如：「樹苗」、「花苗」、「豆苗」、「蒜苗」。
3.初生的動物。如：「魚苗」、「豬苗」。
4.事情的端緒。如：「愛苗」、「禍苗」。
5.露出地面的礦產。如：「玉苗」、「礦苗」。
6.中國少數民族之一。分布在大陸地區貴州、湖南、雲南等地。
7.疫苗，能使動物體產生免疫力的微生物劑。如：「卡介苗」。
8.姓。如漢代有苗蒲。</t>
  </si>
  <si>
    <t>描</t>
  </si>
  <si>
    <t>[動]
1.依樣摹畫。如：「描摹」。明．湯顯祖《牡丹亭》第一四齣：「三分春色描來易，一段傷心畫出難。」《紅樓夢》第四二回：「原先蓋這園子，就有一張細緻圖樣，雖是匠工描的，那地步方向是不錯的。」
2.反覆塗寫。如：「越描越黑」。</t>
  </si>
  <si>
    <t>瞄</t>
  </si>
  <si>
    <t>[動]
注視。如：「瞄準」、「瞄了一眼」。</t>
  </si>
  <si>
    <t>杪</t>
  </si>
  <si>
    <t>ㄇㄧㄠˇ</t>
  </si>
  <si>
    <t>miǎo</t>
  </si>
  <si>
    <t>[名]
1.樹枝末端。如：「木杪」、「樹杪」。
2.末端、末尾。如：「歲杪」、「月杪」。南朝梁．吳均〈征客〉詩：「鞚中懸明月，劍杪照蓮花。」
[形]
細微。通「渺」。《後漢書．卷二八下．馮衍傳》：「闊略杪小之禮，蕩佚人閒之事。」</t>
  </si>
  <si>
    <t>眇</t>
  </si>
  <si>
    <t>[動]
1.瞎了一隻眼。亦指全盲。《南史．卷一二．后妃傳下．梁元帝徐妃傳》：「妃以帝眇一目，每知帝將至，必為半面妝以俟。」宋．蘇軾〈日喻〉：「生而眇者不識日。」
2.凝注、細視。《漢書．卷一〇〇．敘傳上》：「若乃牙、曠清耳於管絃，離婁眇目於豪分。」唐．顏師古．注：「眇，細視也。」
[形]
1.幽遠、高遠。《楚辭．屈原．九章．哀郢》：「眇不知其所蹠。順風波以從流兮，焉洋洋而為客。」唐．韓愈〈合江亭〉詩：「瞰臨眇空闊，綠淨不可唾。」
2.微小、卑微。《莊子．德充符》：「眇乎小哉，所以屬於人也。」《漢書．卷七．昭帝紀》：「詔曰：『朕以眇身獲保宗廟，戰戰栗栗，夙興夜寐，修古帝王之事，通保傅，傳《孝經》、《論語》、《尚書》，未云有明。』」</t>
  </si>
  <si>
    <t>秒</t>
  </si>
  <si>
    <t>[名]
1.稻穀的芒。《說文解字．禾部》：「秒，禾芒也。」如：「禾秒」、「麥秒」。
2.時間的名稱。六十秒為一分。
3.量詞：(1)計算時間的單位。六十秒為一分。如：「他花了十二秒時間跑完一百公尺。」(2)計算弧、角的單位。六十秒為一分，六十分為一度。(3)計算經緯度的單位。六十秒為一分。</t>
  </si>
  <si>
    <t>渺</t>
  </si>
  <si>
    <t>[形]_x000D_
微小、細小。如：「微渺」、「渺小」。_x000D_
[副]_x000D_
模糊不清，難以預期掌握的。如：「渺若煙雲」、「音信渺茫」。_x000D_
[動]_x000D_
1.動盪、飄流。唐．吳融〈情〉詩：「依依脈脈兩如何，細似輕絲渺似波。」_x000D_
2.消逝。如：「仙人已渺」。《聊齋志異．卷七．甄后》：「入室，則女已渺，呼嫗問之，嫗亦不知所去。」</t>
  </si>
  <si>
    <t>緲</t>
  </si>
  <si>
    <t>參見「縹緲」條。</t>
  </si>
  <si>
    <t>淼</t>
  </si>
  <si>
    <t>[形]
水流廣大的樣子。《楚辭．屈原．九章．哀郢》：「當陵陽之焉至兮，淼南渡之焉如。」</t>
  </si>
  <si>
    <t>藐</t>
  </si>
  <si>
    <t>[動]
輕視。如：「藐視」。《孟子．盡心下》：「說大人則藐之，勿視其巍巍然。」
[形]
幼小。《文選．潘岳．寡婦賦．序》：「孤女藐焉始孩，斯亦生民之至艱，而荼毒之極哀也。」
[副]
遙遠。《楚辭．屈原．九章．悲回風》：「藐蔓蔓之不可量兮，縹綿綿之不可紆。」《文選．庾信．哀江南賦．序》：「藐是流離，至于暮齒。」</t>
  </si>
  <si>
    <t>邈</t>
  </si>
  <si>
    <t>[形]
久遠、遙遠。《楚辭．屈原．九章．懷沙》：「湯禹久遠兮，邈而不可慕。」唐．李白〈古風〉詩五九首之一六：「吳水深萬丈，楚山邈千重。」
[動]
1.凌駕。《抱朴子．外篇．尚博》：「廄馬千駟，而騏驥有邈群之價。」唐．李白〈月下獨酌〉詩四首之一：「永結無情遊，相期邈雲漢。」
2.輕視。通「藐」。漢．劉向〈戰國策書錄〉：「上小堯舜，下邈三王。」晉．陸機〈謝平原內史表〉：「振景拔跡，顧邈同列。」</t>
  </si>
  <si>
    <t>妙</t>
  </si>
  <si>
    <t>ㄇㄧㄠˋ</t>
  </si>
  <si>
    <t>miào</t>
  </si>
  <si>
    <t>[形]
1.美好。如：「美妙」、「絕妙好辭」。《漢書．卷九七．外戚傳上．孝武李夫人傳》：「平陽主因言延年有女弟，上乃召見之，實妙麗善舞。」宋．蘇軾〈紅梅〉詩三首之二：「也知造物含深意，故與施朱發妙姿。」
2.神奇、奇巧。如：「巧妙」、「奇妙」、「奧妙」、「玄妙」、「微妙」。
3.有趣的。如：「這個點子真妙！」
4.幼小。漢．王符《潛夫論．思賢》：「皇后兄弟，主婿外孫，年雖童妙，未脫桎梏」唐．錢起〈送傅管記赴蜀軍〉詩：「賜璧腰金應可料，才略縱橫年且妙。」
[名]
1.精微深奧的事理。《老子》第一章：「故常無欲，以觀其妙。」唐．白居易〈動靜交相養賦〉：「故老氏觀妙，顏氏知幾。」
2.姓。如明代有妙齡。</t>
  </si>
  <si>
    <t>廟</t>
  </si>
  <si>
    <t>[名]
1.古時用來祭祀祖宗的屋舍。如：「太廟」、「祖廟」、「家廟」。
2.供奉神佛的屋舍。如：「神廟」、「寺廟」、「土地廟」。</t>
  </si>
  <si>
    <t>[名]
姓。如元代有繆主一。</t>
  </si>
  <si>
    <t>(一)ㄇㄡˊ móu（01204）(三)ㄇㄧㄡˋ miù（01416）(四)ㄇㄨˋ mù（01522）(五)ㄌㄧㄠˊ liáo（03521）</t>
  </si>
  <si>
    <t>ㄇㄧㄡˋ</t>
  </si>
  <si>
    <t>miù</t>
  </si>
  <si>
    <t>[名]
錯誤。通「謬」。《漢書．卷五六．董仲舒傳》：「今陰陽錯繆，氛氣充塞，群生寡遂，黎民未濟。」
[形]
錯誤的。通「謬」。如：「繆論」。《莊子．盜跖》：「多辭繆說，不耕而食，不織而衣。」
[副]
詐偽。《漢書．卷五七．司馬相如傳上》：「臨邛令繆為恭敬，日往朝相如。」</t>
  </si>
  <si>
    <t>(一)ㄇㄡˊ móu（01204）(二)ㄇㄧㄠˋ miào（01415）(四)ㄇㄨˋ mù（01522）(五)ㄌㄧㄠˊ liáo（03521）</t>
  </si>
  <si>
    <t>謬</t>
  </si>
  <si>
    <t>[形]
1.不實的、荒唐的。如：「荒謬」。《史記．卷七．項羽本紀．太史公曰》：「乃引『天亡我，非用兵之罪也』，豈不謬哉！」《舊五代史．卷一〇五．漢書．宗室傳．湘陰公贇傳》：「馮道謂曰：『吾平生不為謬語。』」
2.亂。《禮記．中庸》：「考諸三王而不謬。」
[名]
1.錯誤。宋．曾鞏〈說苑目錄序〉：「正其脫謬，疑者闕之。」
2.狂妄的人。三國魏．曹丕〈典論．論郤儉等事〉：「古今愚謬，豈唯一人哉？」
[副]
偽詐。《史記．卷七九．范雎蔡澤傳》：「應侯知蔡澤之欲困己以說，復謬曰：『何為不可。』」
[動]
差失。《漢書．卷六二．司馬遷傳》：「差以毫釐，謬以千里。」</t>
  </si>
  <si>
    <t>宀</t>
  </si>
  <si>
    <t>ㄇㄧㄢˊ</t>
  </si>
  <si>
    <t>mián</t>
  </si>
  <si>
    <t>[名]
1.古代一種四面有牆，上有覆蓋，內有堂有室的深屋。《說文解字．宀部》：「宀，交覆深屋也。」清．段玉裁．注：「古者屋四注，東西與南北，皆交覆也，有堂有屋，是為深屋。」
2.二一四部首之一。</t>
  </si>
  <si>
    <t>眠</t>
  </si>
  <si>
    <t>[動]
1.睡。如：「安眠」。唐．韋應物〈秋夜寄丘二十二員外〉詩：「山空松子落，幽人應未眠。」
2.昆蟲因蛻皮或入冬後藏伏不動不食。如：「蠶眠」、「冬眠」。
3.裝死。《山海經．東山經》：「有獸焉，其狀如菟而鳥喙，鴟目蛇尾，見人則眠。」
[形]
1.偃伏的。如：「眠柳」。
2.橫擺的、平放的。如：「眠琴」。</t>
  </si>
  <si>
    <t>瞑</t>
  </si>
  <si>
    <t>睡，同「眠」。《文選．嵇康．養生論》：「內懷殷憂，則達旦不瞑。」</t>
  </si>
  <si>
    <t>(三)ㄇㄧㄢˋ miàn（01445）(一)ㄇㄧㄥˊ míng（01484）(二)（(一)之又音）ㄇㄧㄥˇ mǐng（01490）</t>
  </si>
  <si>
    <t>棉</t>
  </si>
  <si>
    <t>[名]
植物名。木棉科「木棉」和錦葵科「棉花」、「陸地棉」及「草棉」等種子具棉毛之植物的統稱。參見「木棉」、「草棉」條。
[形]
1.用棉絮製的。如：「棉衣」、「棉被」。
2.微薄。同「綿」。如：「棉薄」、「棉力」、「棉薄之力」。清．徐珂《清稗類鈔．棍騙類．騙押櫃銀》：「吾力棉，未能為子有所籌。」《官場現形記》第三三回：「兄弟只好勉竭棉力，捐一百銀子，附附驥的了。」</t>
  </si>
  <si>
    <t>綿</t>
  </si>
  <si>
    <t>[副]
1.連續不斷。如：「綿延」、「連綿」。
2.細密的。如：「綿密」。
[名]
1.精細的絲絮。如：「絲綿」。《晉書．卷二四．職官志》：「秋絹二百匹，綿二百斤。」唐．韓愈〈河南令張君墓誌銘〉：「度支符州，折民戶租，歲徵綿六千屯。」
2.棉花、棉絮，同「棉」。明．歸有光〈先妣事略〉：「孺人之吳家橋，則治木綿，入則，則緝纑，燈火熒熒，每至夜分。」
3.形狀、質地像綿的物體。如：「海綿」。宋．陸游〈醉中懷眉山舊游〉詩：「想見東郊攜手日，海棠如雪柳飛綿。」
4.《詩經．大雅》的篇名。共九章。根據〈詩序〉：「〈綿〉，文王之興，本由大王也。」乃嘉美太王及文王之詩。首章二句為：「綿綿瓜瓞，民之初生。」
5.姓。如晉朝有綿思。
[形]
微薄、微弱。同「棉」。如：「綿薄之力」。《漢書．卷六四上．嚴朱吾丘主父徐嚴終王賈傳．嚴助》：「且越人綿力薄材，不能陸戰。」《新唐書．卷一五四．列傳．李晟》：「淮南兵綿弱，鄆人素易之。」</t>
  </si>
  <si>
    <t>矊</t>
  </si>
  <si>
    <t>[形]
1.瞳仁黝黑的樣子。《廣韻．平聲．仙韻》：「矊，瞳子黑。」
2.含情脈脈的樣子。《楚辭．宋玉．招魂》：「靡顏膩理，遺視矊些。」</t>
  </si>
  <si>
    <t>(二)（又音）ㄇㄧㄢˇ miǎn（01442）</t>
  </si>
  <si>
    <t>媔</t>
  </si>
  <si>
    <t>[形]
眼睛美麗的樣子。《集韻．平聲．僊韻》：「媔，目美貌。」《楚辭．屈原．大招》：「青色直眉，美目媔只。」</t>
  </si>
  <si>
    <t>(二)ㄇㄧㄢˇ miǎn（01438）</t>
  </si>
  <si>
    <t>蝒</t>
  </si>
  <si>
    <t>[名]
動物名。即蚱蟬。昆蟲綱蟬科。體長約四公分，色黑，翅膀透明。夏天早上始鳴。喜棲息橘子樹上。明．李時珍《本草綱目．卷四一．蟲部．蚱蟬》：「時珍曰：『夏月始鳴，大而色黑者，蚱蟬也。又曰蝒，曰馬蜩。』」</t>
  </si>
  <si>
    <t>櫋</t>
  </si>
  <si>
    <t>[名]
屋檐的橫板。《說文解字．木部》：「櫋，屋櫋聯也。」《楚辭．屈原．九歌．湘夫人》：「罔薛荔兮為帷，擗蕙櫋兮既張。」</t>
  </si>
  <si>
    <t>丏</t>
  </si>
  <si>
    <t>ㄇㄧㄢˇ</t>
  </si>
  <si>
    <t>miǎn</t>
  </si>
  <si>
    <t>[動]
壅蔽不見。《說文解字．丏部》：「丏，不見也。」
[名]
古代避箭的短牆。《字彙．一部》：「丏，避箭短牆也。」</t>
  </si>
  <si>
    <t>沔</t>
  </si>
  <si>
    <t>[名]
河川名。在大陸地區陝西省沔縣境，為漢水的上流。
[形]
水流充滿的樣子。《詩經．小雅．沔水》：「沔彼流水，朝宗于海。」唐．李白〈送黃鐘之鄱陽謁張使君序〉：「湖水演沔，勗哉是行。」</t>
  </si>
  <si>
    <t>眄</t>
  </si>
  <si>
    <t>[動]_x000D_
1.斜視。《樂府詩集．卷三九．相和歌辭十四．古辭．豔歌行》：「語卿且勿眄，水清石自見。」唐．張廷珪〈彈棋賦〉：「夫局勢將畢，觀者逾樂。兩敵相持，三顧而作。劃去者箭飛，分索者星落。眄四隅之豁然，若萬里之清廓。」_x000D_
2.泛指望、看。唐．李冶〈感興〉詩：「仰看明月翻含意，俯眄流波欲寄詞。」《北史．卷四三．列傳．張彝》：「彝少而豪放，出入殿庭，步眄高上，無所顧忌。」</t>
  </si>
  <si>
    <t>免</t>
  </si>
  <si>
    <t xml:space="preserve">儿 </t>
  </si>
  <si>
    <t>[動]
1.避開、脫逃。如：「避免」、「倖免於難」。《禮記．曲禮上》：「臨財毋苟得，臨難毋苟免。」
2.去除、省去。如：「免除」、「免費」、「減免」、「免稅」。
3.脫去。《左傳．哀公十六年》：「而又掩面以絕民望，不亦甚乎，乃免冑而進。」
4.罷黜、革除。如：「罷免」、「黜免」。《漢書．卷四．文帝紀》：「遂免丞相勃，遣就國。」
[名]
姓。如漢代有免乙。</t>
  </si>
  <si>
    <t>(二)ㄨㄣˋ wèn（11514）</t>
  </si>
  <si>
    <t>俛</t>
  </si>
  <si>
    <t>[形]
勤勞、努力。同「勉」。《禮記．表記》：「俛焉日有孳孳，斃而后已。」</t>
  </si>
  <si>
    <t>(一)ㄈㄨˇ fǔ（01854）</t>
  </si>
  <si>
    <t>勉</t>
  </si>
  <si>
    <t>[動]
1.強迫人去做能力不夠、或不願意做的事。如：「勉強」。
2.鼓勵。如：「勸勉」、「嘉勉」、「互勉」。
[形]
勤奮、努力。如：「勤勉」、「奮勉」。</t>
  </si>
  <si>
    <t>娩</t>
  </si>
  <si>
    <t>[動]
婦女生產。如：「分娩」。</t>
  </si>
  <si>
    <t>(一)ㄨㄢˇ wǎn（11478）</t>
  </si>
  <si>
    <t>冕</t>
  </si>
  <si>
    <t>[名]
1.古時大夫以上的王侯所戴的禮帽。《字彙．冂部》：「古者諸侯、大夫皆有冕，但以旒之多寡別耳。」
2.專指王冠。如：「加冕典禮」。</t>
  </si>
  <si>
    <t>鮸</t>
  </si>
  <si>
    <t>[名]
動物名。魚綱石首魚科。體延長，灰褐色。頭尖長，口大，牙尖銳。尾矛狀。為中、下層近海魚類，以小魚、蝦類為食。主要供鮮食。</t>
  </si>
  <si>
    <t>(二)（又音）ㄨㄢˇ wǎn（11482）</t>
  </si>
  <si>
    <t>偭</t>
  </si>
  <si>
    <t>[動]
違背。《楚辭．屈原．離騷》：「固時俗之工巧兮，偭規矩而改錯。」</t>
  </si>
  <si>
    <t>湎</t>
  </si>
  <si>
    <t>[動]
沉迷於酒。《漢書．卷二七．五行志中之下》：「京房易傳曰：『君湎于酒，淫于色，賢人潛，國家危，厥異流水赤也。』」</t>
  </si>
  <si>
    <t>愐</t>
  </si>
  <si>
    <t>[形]
勤勉。《說文解字．心部》：「愐，勉也。」
[動]
思念。《廣韻．上聲．獮韻》：「愐，思也。」</t>
  </si>
  <si>
    <t>[動]
嫉妒。《集韻．上聲．獮韻》：「媔，妒也。」</t>
  </si>
  <si>
    <t>(一)ㄇㄧㄢˊ mián（01423）</t>
  </si>
  <si>
    <t>腼</t>
  </si>
  <si>
    <t>參見「腼腆」條。</t>
  </si>
  <si>
    <t>緬</t>
  </si>
  <si>
    <t>[名]
1.細絲。《說文解字．心部》：「緬，微絲也。」元．戴侗《六書故．卷三〇．工事》：「緬，彌袞切，細不絕也。《說文》曰：『微絲也。』今之絡者，別其絲，最細者為緬，次曰大緬，凡緬以為緯。」
2.緬甸的簡稱。如：「中緬公路」。
[副]
遠。五代十國後蜀．毛熙震〈河滿子．寂寞芳菲暗度〉詞：「緬懷舊歡多少事，轉添春思，難平。」
[動]
紮。《兒女英雄傳》第四回：「他先挽了挽袖子，把那佛青粗布衫子的衿子，往一旁一緬。」</t>
  </si>
  <si>
    <t>靦</t>
  </si>
  <si>
    <t xml:space="preserve">面 </t>
  </si>
  <si>
    <t>參見「靦腆」條。</t>
  </si>
  <si>
    <t>(一)ㄊㄧㄢˇ tiǎn（02724）</t>
  </si>
  <si>
    <t>(一)ㄇㄧㄢˊ mián（01422）</t>
  </si>
  <si>
    <t>面</t>
  </si>
  <si>
    <t>ㄇㄧㄢˋ</t>
  </si>
  <si>
    <t>miàn</t>
  </si>
  <si>
    <t>[名]
1.臉部。如：「面貌」、「顏面」、「臉面」。《左傳．襄公三十一年》：「人心之不同，如其面焉。」
2.物體的外表或上部的一層。如：「路面」、「水面」、「地面」、「封面」。
3.方向、部位。如：「正面」、「片面」、「全面」、「四面八方」。
4.量詞：(1)計算平面物的單位。如：「一面國旗」、「兩面鏡子」、「三面牆」。(2)計算見面次數的單位。如：「見過一面」。
5.景況、情況。如：「場面」、「局面」、「世面」。
6.幾何學上稱線在空間移動而成的形跡，有長、寬度而無厚度。如：「平面」。
7.二一四部首之一。
[動]
1.見、相見。如：「見面」。《禮記．曲禮上》：「夫為人子者，出必告，反必面。」宋．蘇軾〈與任德翁〉：「年月不面，思企深劇。」
2.向著、對著。如：「背山面水」、「面壁思過」。《列子．湯問》：「北山愚公者，年且九十，面山而居。」
[副]
當面。如：「耳提面命」、「面授機宜」。《漢書．卷八九．循吏傳．龔遂傳》：「面刺王過，王至掩耳起走。」</t>
  </si>
  <si>
    <t>麵</t>
  </si>
  <si>
    <t>[名]
1.由麥子研磨成粉或再加工而成的食品。如：「麵粉」、「麵條」。《說文解字．麥部》：「麵，麥屑末也」。
2.泛指研磨成粉末狀而可食用的食品。如：「豆麵」、「玉米麵」、「藥麵」。</t>
  </si>
  <si>
    <t>參見「瞑眩」條。</t>
  </si>
  <si>
    <t>(四)ㄇㄧㄢˊ mián（01419A）(一)ㄇㄧㄥˊ míng（01484）(二)（(一)之又音）ㄇㄧㄥˇ mǐng（01490）</t>
  </si>
  <si>
    <t>民</t>
  </si>
  <si>
    <t>ㄇㄧㄣˊ</t>
  </si>
  <si>
    <t>mín</t>
  </si>
  <si>
    <t>[名]
人、人類、百姓。如：「人民」、「平民」、「庶民」。《書經．五子之歌》：「民惟邦本，本固邦寧。」</t>
  </si>
  <si>
    <t>岷</t>
  </si>
  <si>
    <t>參見「岷江」條。</t>
  </si>
  <si>
    <t>珉</t>
  </si>
  <si>
    <t>[名]
似玉的美石。《荀子．法行》：「君子之所以貴玉而賤珉者，何也？」</t>
  </si>
  <si>
    <t>罠</t>
  </si>
  <si>
    <t>[名]
1.釣魚的繩子。同「緍」。《說文解字．网部》：「罠，所以釣也。」清．段玉裁．注：「按系部曰『緍，釣魚繫也』，此曰『罠所以釣也』，然則緍、罠古今字。」
2.捕獸用的網。《廣韻．平聲．真韻》：「罠，彘網。」《文選．左思．吳都賦》：「罠蹄連綱。」唐．李善．注：「罠，麋網也。」</t>
  </si>
  <si>
    <t>緡</t>
  </si>
  <si>
    <t>[名]
1.釣魚用的繩線。《詩經．召南．何彼襛矣》：「其釣維何，維絲伊緡。」《文選．左思．吳都賦》：「結輕舟而競逐，迎潮水而振緡。」
2.舊時穿錢的繩子。晉．王融〈永明九年策秀才文〉：「既龜貝積寢，緡繈專用。」
3.成串的錢。唐．張籍〈賈客樂〉詩：「金多眾中為上客，夜夜算緡眠獨遲。」</t>
  </si>
  <si>
    <t>忞</t>
  </si>
  <si>
    <t>[動]
自我勉勵振奮。《說文解字．心部》：「忞，自勉彊也。」</t>
  </si>
  <si>
    <t>玟</t>
  </si>
  <si>
    <t>[名]
美石。同「珉」。《禮記．玉藻》：「士佩瓀玟，而縕組綬。」唐．孔穎達．正義：「瓀玟，石次玉者。」</t>
  </si>
  <si>
    <t>(一)ㄨㄣˊ wén（11501）</t>
  </si>
  <si>
    <t>旻</t>
  </si>
  <si>
    <t>[名]
1.秋天。通「旼」。《說文解字．日部》：「旻，秋天也。」《書經．多士》：「旻天大降喪于殷。」
2.天空。晉．陶淵明〈自祭文〉：「茫茫大塊，悠悠高旻。」</t>
  </si>
  <si>
    <t>旼</t>
  </si>
  <si>
    <t>參見「旼旼」條。</t>
  </si>
  <si>
    <t>痻</t>
  </si>
  <si>
    <t>[名]
病。《詩經．大雅．桑柔》：「多我覯痻。」漢．鄭玄．箋：「痻，病也。」</t>
  </si>
  <si>
    <t>閩</t>
  </si>
  <si>
    <t>[名]
1.中國古代少數民族之一，分布在今大陸地區福建省及浙江省東部一帶。
2.朝代名。（西元892～946）十國之一，王審知所建，據有福建地方，為南唐李璟所滅。
3.大陸地區福建省的簡稱。</t>
  </si>
  <si>
    <t>(二)（又音）ㄇㄧㄣˇ mǐn（01471）</t>
  </si>
  <si>
    <t>皿</t>
  </si>
  <si>
    <t>ㄇㄧㄣˇ</t>
  </si>
  <si>
    <t>mǐn</t>
  </si>
  <si>
    <t>[名]
1.裝盛東西的器具，多指碗碟杯盤。如：「器皿」。
2.二一四部首之一。</t>
  </si>
  <si>
    <t>(二)（又音）ㄇㄧㄥˇ mǐng（01487）</t>
  </si>
  <si>
    <t>泯</t>
  </si>
  <si>
    <t>[動]
消除、消滅。如：「泯滅」、「泯沒」。唐．杜甫〈贈鄭十八〉詩：「古人日已遠，青史字不泯。」</t>
  </si>
  <si>
    <t>抿</t>
  </si>
  <si>
    <t>[動]
1.用小刷子蘸水或油梳理頭髮。《紅樓夢》第四二回：「不覺後悔，不該令他抿上鬢去。」
2.合上雙脣。《紅樓夢》第八回：「黛玉磕著瓜子兒，只抿著嘴笑。」
3.收攏。如：「小鳥兒抿翅膀」、「兔子抿耳朵」。
4.稍張嘴脣啜飲。《兒女英雄傳》第三七回：「拿起酒來，脣邊抿了抿，欲又放下了。」</t>
  </si>
  <si>
    <t>笢</t>
  </si>
  <si>
    <t>[名]
1.竹子外表的青皮。《說文解字．竹部》：「笢，竹膚也。」清．段玉裁．注：「膚，皮也，竹膚曰笢，亦曰筍。」
2.梳理頭髮的工具。即抿子。明．張自烈《正字通．竹部》：「笢，今之澤髮騣刷曰笢。」也稱為「梳子」、「攏子」。</t>
  </si>
  <si>
    <t>湣</t>
  </si>
  <si>
    <t>[名]
古代諡號用字。通「閔」。《集韻．上聲．準韻》：「湣，諡也。史記齊有湣王。」</t>
  </si>
  <si>
    <t>愍</t>
  </si>
  <si>
    <t>[動]
憐恤、哀憐。如：「憐愍」。《文選．李密．陳情表》：「祖母劉愍臣孤弱，躬親撫養。」
[名]
1.憂傷。《楚辭．屈原．九章．惜誦》：「惜誦以致愍兮，發憤以抒情。」
2.禍亂。《文選．班固．幽通賦》：「巨滔天而泯夏兮，考遘愍以行謠。」</t>
  </si>
  <si>
    <t>暋</t>
  </si>
  <si>
    <t>[形]
強橫。《書經．康誥》：「暋不畏死，罔弗憝。」</t>
  </si>
  <si>
    <t>敏</t>
  </si>
  <si>
    <t>[形]
1.疾速、靈巧。如：「敏捷」、「靈敏」。
2.聰慧。如：「聰敏」、「敏慧」。《論語．顏淵》：「回雖不敏，請事斯語矣。」《新唐書．卷九六．房玄齡傳》：「玄齡幼警敏，貫綜墳籍。」
[副]
勤奮、勤勉。《論語．述而》：「我非生而知之者，好古敏以求之者也。」《漢書．卷六五．東方朔傳》：「此士所以日夜孳孳，敏行而不敢怠也。」
[名]
才能。《國語．齊語》：「盡其四支之敏，以從事於田野。」</t>
  </si>
  <si>
    <t>鰵</t>
  </si>
  <si>
    <t>[名]_x000D_
動物名：（1）鮨科。上下頜無犬齒，後鼻孔為一垂直裂紋。體紅色，有許多黑眼斑。鰓蓋骨有二棘，常居岩礁區海域。（2）鱈魚的別稱。參見「鱈魚」條。</t>
  </si>
  <si>
    <t>閔</t>
  </si>
  <si>
    <t>[動]
1.憐恤。通「愍」。《詩經．豳風．東山序》：「君子之於人，序其情而閔其勞。」《漢書．卷五四．蘇建傳》：「武年老，子前坐事死，上閔之。」
2.擔心、憂心。《孟子．公孫丑上》：「宋人有閔其苗之不長而揠之者。」漢．王充《論衡．問孔》：「閔道不行，失孔子情矣。」
[名]
1.憂患。《詩經．邶風．柏舟》：「覯閔既多，受侮不少。」《文選．李密．陳情表》：「臣以險釁，夙遭閔凶。」
2.姓。如唐代有閔頊。
[形]
強悍。通「暋」。《孟子．萬章下》：「殺越人于貨，閔不畏死。」</t>
  </si>
  <si>
    <t>憫</t>
  </si>
  <si>
    <t>[動]
1.哀憐。如：「悲天憫人」、「其情可憫」。唐．韓愈〈圬者王承福傳〉：「吾之心憫焉，是故擇其力之可能者行焉。」
2.憂傷。《孟子．公孫丑上》：「阨窮而不憫。」《資治通鑑．卷一七一．陳紀五．宣宗太建五年》：「帝以問陸令萱，令萱憫默不對。」</t>
  </si>
  <si>
    <t>黽</t>
  </si>
  <si>
    <t>[副]
勤勉、努力。《詩經．小雅．十月之交》：「黽勉從事，不敢告勞。」宋．蘇軾〈賜文武百寮太師文彥愽已下上第一表請舉樂不許批答〉：「顧未深明吾意，三復太息，難於黽從。」
[名]
二一四部首之一。</t>
  </si>
  <si>
    <t>僶</t>
  </si>
  <si>
    <t>參見「僶勉」條。</t>
  </si>
  <si>
    <t>澠</t>
  </si>
  <si>
    <t>參見「澠池」條。</t>
  </si>
  <si>
    <t>(二)ㄕㄥˊ shéng（09032）</t>
  </si>
  <si>
    <t>(一)ㄇㄧㄣˊ mín（01456）</t>
  </si>
  <si>
    <t>名</t>
  </si>
  <si>
    <t>ㄇㄧㄥˊ</t>
  </si>
  <si>
    <t>míng</t>
  </si>
  <si>
    <t>[名]
1.人的稱號。如：「尊姓大名」、「請問芳名」。
2.事物的稱號。如：「地名」。《管子．心術上》：「物固有形、形固有名。」
3.聲譽。如：「盛名」、「令名」。
4.表示概念的名稱。《老子》第一章：「名可名，非常名。」《荀子．正名》：「名無固宜，約之以命，約定俗成，謂之宜。」
5.量詞：(1)計算人的單位。如：「學生十名，缺席一名。」(2)計算排名的單位。如：「全班第十名。」
[動]
指稱、形容。如：「莫名其妙」、「無以名之」。
[形]
1.有名的。如：「名人」、「名馬」。
2.貴重的、出色的。如：「名器」、「名酒」。</t>
  </si>
  <si>
    <t>洺</t>
  </si>
  <si>
    <t>參見「洺河」條。</t>
  </si>
  <si>
    <t>茗</t>
  </si>
  <si>
    <t>[名]
本指較晚採取的茶葉，現為茶的通稱。如：「品茗」、「香茗」。</t>
  </si>
  <si>
    <t>(二)（又音）ㄇㄧㄥˇ mǐng（01488）</t>
  </si>
  <si>
    <t>酩</t>
  </si>
  <si>
    <t>(一)ㄇㄧㄥˇ mǐng（01489）</t>
  </si>
  <si>
    <t>銘</t>
  </si>
  <si>
    <t>[名]
文體名。刻在器物或石碑上，警惕自己或讚頌他人的文字。如：「座右銘」、「墓誌銘」。
[動]
刻鏤。如：「永銘心版」。唐．柳宗元〈謝除柳州刺史表〉：「銘心鏤骨，無報上天。」《三國演義》第六〇回：「金石之言，當銘肺腑。」</t>
  </si>
  <si>
    <t>明</t>
  </si>
  <si>
    <t>[動]
1.通曉。如：「明瞭」、「明白」、「他是個深明大義的人。」
2.使通曉。《左傳．僖公二十二年》：「明恥教戰，求殺敵也。」
3.昭示、彰顯。《禮記．郊特牲》：「天垂象，聖人則之郊，所以明天道也。」
4.發亮。《詩經．齊風．雞鳴》：「東方明矣，朝既昌矣。」
[形]
1.光亮的。如：「明月」、「明亮」。《文選．謝惠連．秋懷詩》：「皎皎天月明。」
2.清晰的。《漢書．卷五二．韓安國傳》：「清水明鏡，不可以形逃。」
3.聰慧、悟性很高。如：「聰明」、「明智」。《文選．陳琳．檄吳將校部曲文》：「夫見機而作，不處凶危，上聖之明也。」
4.公開的、顯露的。如：「明槍易躲，暗箭難防。」
5.才德高顯的。如：「明主」、「明君」。
6.磊落的。如：「明人不做暗事」。
7.乾淨、整潔。如：「窗明几淨」。
8.顯著的。如：「明顯」、「明效」。
9.時序在後的。如：「明天」、「明年」。
[名]
1.視覺、目力。《禮記．檀弓上》：「子夏喪其子而喪其明。」三國魏．王粲〈贈文叔良〉詩：「視明聽聰，靡事不惟。」
2.陽。相對於「陰」。《史記．卷一．五帝本紀》：「順天地之紀，幽明之占，死生之說，存亡之難。」
3.神靈。如：「神明」。
4.朝代名。參見「明朝」條。
5.姓。如清代有明耀光。</t>
  </si>
  <si>
    <t>冥</t>
  </si>
  <si>
    <t>[形]
1.幽暗。如：「幽冥」。《漢書．卷二七．五行志下之上》：「夷伯，世大夫，正晝雷，其廟獨冥。」
2.愚昧、不明事理。如：「冥頑不靈」。
3.與人死後有關的。如：「冥婚」、「冥器」。
[動]
1.遠離。晉．陶淵明〈辛丑歲七月赴假還江陵夜行塗中〉詩：「閑居三十載，遂與塵事冥。」
2.暗合、默契。魏．高允〈徵士頌〉：「神與理冥，形隨流浪。」
[名]
1.地獄。如：「唐太宗入冥記」。《後漢書．卷二八下．馮衍傳》：「傷誠善之無辜兮，齎此恨而入冥。」
2.海。《莊子．逍遙遊》：「北冥有魚，其名為鯤，鯤之大不知其幾千里也。」
3.姓。如漢代有冥都。</t>
  </si>
  <si>
    <t>溟</t>
  </si>
  <si>
    <t>[形]
1.下小雨的樣子。《說文解字．水部》：「溟，小雨溟溟也，从水冥聲。」
2.水色黝黑的。《列子．湯問》：「有溟海者，天池也。」
[名]
海。《文選．張協．雜詩一〇首之一〇》：「雲根臨八極，雨足灑四溟。」唐．陳子昂〈感遇〉詩三八首之一七：「仲尼溺東魯，伯陽遁西溟。」</t>
  </si>
  <si>
    <t>鄍</t>
  </si>
  <si>
    <t>[名]
地名。春秋時虞邑地，後屬晉，故址約在今大陸地區山西省平陸縣東北。</t>
  </si>
  <si>
    <t>參見「嫈嫇」條。</t>
  </si>
  <si>
    <t>(一)ㄇㄥˊ méng（01301）</t>
  </si>
  <si>
    <t>蓂</t>
  </si>
  <si>
    <t>參見「蓂莢」條。</t>
  </si>
  <si>
    <t>暝</t>
  </si>
  <si>
    <t>[形]
1.幽暗、昏暗。宋．張先〈木蘭花．龍頭舴艋吳兒競〉詞：「行雲去後遙山暝，已放笙歌池院靜。」
2.天晚的。唐．李白〈菩薩蠻．平林漠漠煙如織〉詞：「暝色入高樓，有人樓上愁。」</t>
  </si>
  <si>
    <t>(二)ㄇㄧㄥˋ mìng（01493）</t>
  </si>
  <si>
    <t>[動]
閉目。如：「死不瞑目」。《晉書．卷九四．楊軻傳》：「潁川荀鋪，好奇之士也，造而談經，軻瞑目不答。」
[形]
昏暗。唐．李白〈涇川送族弟錞〉詩：「望極落日盡，秋深瞑猿悲。」宋．陸游〈風雲晝晦夜遂大雪〉詩：「草木盡偃伏，道路瞑不分。」</t>
  </si>
  <si>
    <t>(四)ㄇㄧㄢˊ mián（01419A）(三)ㄇㄧㄢˋ miàn（01445）(二)（(一)之又音）ㄇㄧㄥˇ mǐng（01490）</t>
  </si>
  <si>
    <t>螟</t>
  </si>
  <si>
    <t>參見「螟蛾」、「螟蛉」等條。</t>
  </si>
  <si>
    <t>鳴</t>
  </si>
  <si>
    <t>[動]
1.昆蟲鳥獸發聲。如：「蟬鳴」、「雞鳴」、「猿鳴」。
2.泛指一切發聲。如：「雷鳴」、「孤掌難鳴」。《禮記．學記》：「叩之以小者則小鳴，叩之以大者則大鳴。」
3.敲擊。如：「鳴鐘」、「鳴鑼」。《論語．先進》：「小子鳴鼓而攻之可也。」
4.著稱、聲名遠聞。《元史．卷一九〇．楊載傳》：「亦以文鳴於江東，紆餘豐潤，學者多傳之。」
5.宣洩。唐．韓愈〈送孟東野序〉：「大凡物不得其平則鳴。」
6.表示。如：「鳴謝」。</t>
  </si>
  <si>
    <t>ㄇㄧㄥˇ</t>
  </si>
  <si>
    <t>mǐng</t>
  </si>
  <si>
    <t>(一)ㄇㄧㄣˇ mǐn（01457）</t>
  </si>
  <si>
    <t>(一)ㄇㄧㄥˊ míng（01474）</t>
  </si>
  <si>
    <t>參見「酩酊」條。</t>
  </si>
  <si>
    <t>(二)（又音）ㄇㄧㄥˊ míng（01475）</t>
  </si>
  <si>
    <t>(一)ㄇㄧㄥˊ míng（01484）(四)ㄇㄧㄢˊ mián（01419A）(三)ㄇㄧㄢˋ miàn（01445）</t>
  </si>
  <si>
    <t>(一)ㄇㄥˊ méng（01318）(二)（(一)之又音）ㄇㄥˇ měng（01327）</t>
  </si>
  <si>
    <t>命</t>
  </si>
  <si>
    <t>ㄇㄧㄥˋ</t>
  </si>
  <si>
    <t>mìng</t>
  </si>
  <si>
    <t>[動]
1.差遣、下命令。如：「命人送信」。唐．柳宗元〈始得西山宴游記〉：「遂命僕人過湘江，緣染溪。」
2.取定。如：「命名」、「命題」。
3.以為。如：「自命不凡」。
[名]
1.生物生存的機能。如：「生命」、「性命」。《文選．李密．陳情表》：「人命危淺，朝不慮夕。」
2.先天注定的窮通得失本分，不是後天所能改變的。《論語．顏淵》：「死生有命，富貴在天。」漢．王充《論衡．命義》：「操行善惡者，性也；禍福吉凶者，命也。」
3.上級對下級的指示。如：「遵命」、「奉命」。《左傳．成公十三年》：「寡人帥以聽命，唯好是求。」</t>
  </si>
  <si>
    <t>[名]
夜。唐．王維〈藍田山石門精舍〉詩：「暝宿長林下，焚香臥瑤席。」
[動]
入暮。《樂府詩集．卷七三．雜曲歌辭十三．古辭．焦仲卿妻》：「晻晻日欲暝，愁思出門啼。」</t>
  </si>
  <si>
    <t>(一)ㄇㄧㄥˊ míng（01483）</t>
  </si>
  <si>
    <t>獏</t>
  </si>
  <si>
    <t>ㄇㄨˊ</t>
  </si>
  <si>
    <t>mú</t>
  </si>
  <si>
    <t>[名]
古代一種野獸。《集韻．平聲．模韻》：「獏，獸名。」</t>
  </si>
  <si>
    <t>參見「模子」、「模樣」等條。</t>
  </si>
  <si>
    <t>(一)ㄇㄛˊ mó（01054）</t>
  </si>
  <si>
    <t>氁</t>
  </si>
  <si>
    <t>[名]
厚密光澤的毛織品。元．陶宗儀《南村輟耕錄．卷一一．采繪法》：「氁綾，用紫花底，紫粉搭花樣。」</t>
  </si>
  <si>
    <t>母</t>
  </si>
  <si>
    <t>ㄇㄨˇ</t>
  </si>
  <si>
    <t>mǔ</t>
  </si>
  <si>
    <t>[名]_x000D_
1.稱謂：(1)對媽媽的稱呼。如：「母奶」、「母愛」、「父母」。《詩經．小雅．蓼莪》：「父兮生我，母兮鞠我。」(2)對女性長輩的尊稱。如：「姑母」、「祖母」、「師母」。_x000D_
2.老婦。《史記．卷九二．淮陰侯列傳》：「信釣於城下，諸母漂，有一母見信飢，飯信，竟漂數十日。」_x000D_
3.能有所滋衍的事物。如：「酒母」、「字母」。元．熊朋來《瑟譜》卷一：「凡六五辨音，調絲則絲有其音，吹竹則竹有其音，如字韻之母。」_x000D_
4.根源、根本。如：「失敗為成功之母」。明．胡直〈少保趙文肅公傳〉：「本然者，即良知也，此萬事之母，百行之主。」_x000D_
[形]_x000D_
1.雌性的。如：「母牛」、「母雞」。_x000D_
2.原本的。如：「母國」、「母校」。</t>
  </si>
  <si>
    <t>坶</t>
  </si>
  <si>
    <t>[名]
地名用字。如桃園市復興區有阿坶坪。</t>
  </si>
  <si>
    <t>(二)ㄇㄨˋ mù（01511）</t>
  </si>
  <si>
    <t>拇</t>
  </si>
  <si>
    <t>[名]
手和腳的大指。如：「拇指」。《莊子．駢拇》：「駢拇枝指，出乎性哉，而侈於德。」</t>
  </si>
  <si>
    <t>姆</t>
  </si>
  <si>
    <t>[名]
1.古代稱以婦道教人的女教師為「姆」。《儀禮．士昏禮》：「姆纚笄宵衣在其右。」漢．鄭玄．注：「姆，婦人年五十無子，出而不復嫁，能以婦道教人者。」
2.替人撫育或照顧小孩的婦女。如：「保姆」、「乳姆」。唐．韓愈〈殿中少監馬君墓誌〉：「姆抱幼子立側，眉眼如畫，髮漆黑，肌肉玉雪可念。」</t>
  </si>
  <si>
    <t>鉧</t>
  </si>
  <si>
    <t>參見「鈷鉧」條。</t>
  </si>
  <si>
    <t>[名]
1.雄性的鳥獸。《集韻．上聲．姥韻》：「牡，雄禽曰牡。」《詩經．小雅．信南山》：「祭以清酒，從以騂牡，享于祖考。」《論語．堯曰》：「予小子履敢用玄牡，敢昭告于皇皇后帝。」
2.古代鎖器的一部分。明．張自烈《正字通．牛部》：「牡，門關鍵。」《漢書．卷二七．五行志中之上》：「成帝元延元年正月，長安章城門門牡自亡，函谷關次門牡亦自亡。」</t>
  </si>
  <si>
    <t>(二)（又音）ㄇㄡˇ mǒu（01205）</t>
  </si>
  <si>
    <t>姥</t>
  </si>
  <si>
    <t>[名]
1.替人養育或照顧小孩的婦人。同「姆」。如：「保姥」、「乳姥」。
2.老婦。《晉書．卷八〇．王羲之傳》：「會稽有孤居姥養一鵝，善鳴，求市未能得。」</t>
  </si>
  <si>
    <t>(二)ㄌㄠˇ lǎo（03272）</t>
  </si>
  <si>
    <t>[名]
1.量詞。計算面積的單位。一公畝等於一百平方公尺，一市畝等於六千平方市尺。古代以縱橫五尺為方步，二百四十方步為畝。《孟子．梁惠王上》：「五畝之宅，樹之以桑，五十者可以衣帛矣。」
2.田壟，田中高起的地方。《詩經．小雅．信南山》：「我疆我理，南東其畝。」</t>
  </si>
  <si>
    <t>(二)（又音）ㄇㄡˇ mǒu（01207）</t>
  </si>
  <si>
    <t>木</t>
  </si>
  <si>
    <t>ㄇㄨˋ</t>
  </si>
  <si>
    <t>mù</t>
  </si>
  <si>
    <t>[名]
1.樹、木本植物的通稱。如：「草木」、「樹木」、「花木扶疏」。
2.木材。如：「朽木不可雕」、「棺木」、「壽木」。《書經．說命上》：「說復于王曰：『惟木從繩則正，從諫則聖。』」
3.棺材。如：「行將就木」。
4.五行之一。參見「五行」條。
5.木星的簡稱。
6.姓。如晉朝有木華。
7.二一四部首之一。
[形]
1.用木材製成的。如：「木椅」、「木屋」。
2.性情樸實。如：「剛毅木訥」。《新五代史．卷二二．梁臣傳．牛存節傳》：「存節為人木彊忠謹，太祖愛之。」
3.沒有知覺的。如：「麻木」。
4.呆笨的。如：「鈍頭木腦」。
[動]
失去知覺、感覺。《紅樓夢》第一〇回：「賈瑞聽了，身上已木了半邊。」</t>
  </si>
  <si>
    <t>沐</t>
  </si>
  <si>
    <t>[動]
1.洗髮。《莊子．田子方》：「孔子見老聃，老聃新沐，方將被髮而乾，熟然似非人。」
2.承受。唐．劉長卿〈送嚴維赴河南充嚴中丞幕府〉詩：「何當舉嚴助，遍沐漢朝恩。」
3.休假。《文選．沈約．酬謝宣城朓詩》：「晨趨朝建禮，晚沐臥效園。」
[名]
1.洗髮的米汁。《史記．卷四九．外戚世家》：「姊去我西時，與我決於傳舍中，丐沐沐我，請食飯我，乃去。」
2.姓。如漢代有沐寵。</t>
  </si>
  <si>
    <t>霂</t>
  </si>
  <si>
    <t>參見「霢霂」條。</t>
  </si>
  <si>
    <t>目</t>
  </si>
  <si>
    <t>[名]
1.眼睛。如：「耳聰目明」、「魚目混珠」、「賞心悅目」、「眉清目秀」。《詩經．衛風．碩人》：「巧笑倩兮，美目盼兮。」
2.條款、細則。如：「項目」、「條目」、「細目」。《論語．顏淵》：「顏淵問仁，子曰：『克己復禮為仁……。』顏淵曰：『請問其目。』」
3.列在書本前供方便查尋的條文。如：「書目」、「篇目」、「目次」、「四庫全書總目」。
4.名稱、標題。如：「品目」、「名目」、「題目」。
5.首領。如：「頭目」。
6.生物學中分類的階層名稱，由一群親緣關係相近之科所組成。如：「界、門、綱、目、科、屬、種。」也稱為「部」。
7.二一四部首之一。
[動]
稱呼。《穀梁傳．隱公元年》：「以其目君，知其為弟也。」</t>
  </si>
  <si>
    <t>苜</t>
  </si>
  <si>
    <t>參見「苜蓿」條。</t>
  </si>
  <si>
    <t>鉬</t>
  </si>
  <si>
    <t>[名]
（molybdenum，Mo）化學元素。原子序42。為質堅的銀白色金屬，具高抗腐蝕及抗磨損性。在空氣中不易變化。主要存在於輝鉬礦及鉬鉛礦中。可供製鉬鋼、無線電真空管中燈絲的支架及其他特殊用途。</t>
  </si>
  <si>
    <t>[名]
地名。周武王打敗商紂的地方，故址約在今大陸地區河南省淇縣南。《說文解字．土部》：「坶，朝歌南七十里地，武王與紂戰于坶野。」</t>
  </si>
  <si>
    <t>(一)ㄇㄨˇ mǔ（01498）</t>
  </si>
  <si>
    <t>牧</t>
  </si>
  <si>
    <t>[動]
1.放飼牲畜。如：「牧牛」、「牧羊」。唐．杜甫〈新安吏〉詩：「掘壕不到水，牧馬役亦輕。」
2.修養。《易經．謙卦．象曰》：「謙謙君子，卑以自牧也。」唐．魏徵〈諫太宗十思疏〉：「念高危，則思謙沖而自牧。」
3.治理、統治。《荀子．成相》：「請牧祺，明有基。」《新唐書．卷一一八．裴潾傳》：「陛下以孝安宗廟，以仁牧黎庶。」
[名]
1.放飼牲畜的人。《左傳．昭公七年》：「馬有圉，牛有牧。」唐．段文昌〈平淮西碑〉：「牧除害馬，農去蟊賊。」
2.放養牲畜的地方。如：「牧場」、「牧地」。
3.畜牧業的簡稱。如：「農、林、漁、牧」。</t>
  </si>
  <si>
    <t>[名]
1.「暮」的本字。指日落、黃昏時候。《詩經．齊風．東方未明》：「不能辰夜，不夙則莫。」宋．張元幹〈石州慢．雨急雲飛〉詞：「雨急雲飛，瞥然驚散，莫天涼月。」
2.一種蔬菜。《詩經．魏風．汾沮洳》：「彼汾沮洳，言采其莫。」
[形]
晚、遲。通「暮」。《論語．先進》：「莫春者，春服既成。」</t>
  </si>
  <si>
    <t>(一)ㄇㄛˋ mò（01083）</t>
  </si>
  <si>
    <t>募</t>
  </si>
  <si>
    <t>[動]
廣求、召集。如：「招募」、「募捐」、「募款」。《荀子．議兵》：「若夫招近募選，隆執詐，尚功利之兵，則勝不勝無常。」</t>
  </si>
  <si>
    <t>墓</t>
  </si>
  <si>
    <t>[名]
埋葬死者的地方。如：「墳墓」、「公墓」。唐．白居易〈續古〉詩一〇首之二：「古墓何代人，不知姓與名。」</t>
  </si>
  <si>
    <t>[名]
1.垂掛的簾幔。如：「罩幕」、「簾幕」、「黑幕」。唐．李賀〈夜坐吟〉：「西風羅幕生翠波，鉛華笑妾顰青蛾。」宋．周邦彥〈瑞鶴仙．悄郊原帶郭〉詞：「驚飆動幕，扶殘醉，遶紅藥。」
2.篷帳、營帳。如：「帳幕」、「幄幕」。《漢書．卷五十四．蘇建傳》：「徑萬里兮度沙幕，為君將兮奮匈奴。」宋．姜夔〈翠樓吟．月冷龍沙〉詞：「新翻胡部曲，聽氈幕、元戎歌吹。」
3.幕府的簡稱。指古代將帥或行政官的府署。如：「幕客」、「入幕之賓」。明．袁宏道〈徐文長傳〉：「中丞胡公宗憲聞之，客諸幕。」
4.幕府中辦理文書或其他助理人員。《文明小史》第三九回：「寫封信給錢縣令，叫他趕緊辭了這個劣幕，另換妥人。」
5.戲劇中的一個大段落，當臺幕降落時，表示布幕的更換或時間的流逝，或同時表示兩者。如：「全劇共四幕」。
6.量詞。計算舞臺劇幕布起落次數的單位。如：「獨幕劇」、「三幕劇」。
[動]
覆蓋。《莊子．則陽》：「推而強之，解朝服而幕之。」</t>
  </si>
  <si>
    <t>(二)ㄇㄛˋ mò（01086）</t>
  </si>
  <si>
    <t>慕</t>
  </si>
  <si>
    <t>[動]
1.思念、想念。如：「思慕」。《孟子．萬章上》：「大孝終身慕父母，五十而慕者，予於大舜見之矣。」《董西廂》卷一：「一時間見了他，十分地慕想他。」
2.愛羨、敬仰。如：「羨慕」、「愛慕」、「仰慕」。《莊子．徐无鬼》：「蟻慕羊肉，羊肉羶也。」
[名]
姓。如宋代有慕洧。</t>
  </si>
  <si>
    <t>暮</t>
  </si>
  <si>
    <t>[名]
傍晚、太陽將落的時候。如：「日暮」。唐．杜甫〈石壕吏〉詩：「暮投石壕村，有吏夜捉人。」
[形]
1.天晚的。如：「暮煙」、「暮色」。
2.晚、將盡的。如：「暮年」、「暮春」、「天寒歲暮」。
3.衰頹的。如：「暮氣沉沉」。</t>
  </si>
  <si>
    <t>睦</t>
  </si>
  <si>
    <t>[動]
厚待、親近。如：「敦親睦鄰」。《禮記．坊記》：「睦於父母之黨，可謂孝矣。」唐．歐陽詹〈自明誠論〉：「遊於鄉，可以睦閭里而寧訟爭。」
[形]
和氣的。如：「和睦」。《書經．堯典》：「九族既睦，平章百姓。」
[名]
1.和順。《禮記．禮運》：「大道之行也，天下為公，選賢與能，講信修睦。」
2.姓。如北齊時有睦豫。</t>
  </si>
  <si>
    <t>穆</t>
  </si>
  <si>
    <t>[形]
1.溫和、和諧。如：「和穆」、「安穆」。《詩經．大雅．烝民》：「吉甫作誦，穆如清風。」宋．蘇軾〈和勸農〉詩：「獸蹤交締，鳥喙諧穆。」
2.恭敬、肅敬。如：「肅穆」。《禮記．曲禮》：「天子穆穆，諸侯皇皇。」
3.美好。《呂氏春秋．仲冬紀．至忠》：「申公子培其忠也，可謂穆行矣。」《晉書．卷九三．外戚傳．王濛傳》：「豈可令涇渭混流，虧清穆之風。」
[名]
1.古代宗廟神位排列的次序，左為昭，右為穆。《左傳．僖公五年》：「虢仲、虢叔，王季之穆也。」
2.姓。如漢代有穆生。</t>
  </si>
  <si>
    <t>[名]
古代宗廟的位次。《禮記．大傳》：「序以昭繆，別之以禮義，人道竭矣。」《漢書．卷五六．董仲舒傳》：「上下不和，則陰陽繆盩而妖孽生矣。」</t>
  </si>
  <si>
    <t>(一)ㄇㄡˊ móu（01204）(二)ㄇㄧㄠˋ miào（01415）(三)ㄇㄧㄡˋ miù（01416）(五)ㄌㄧㄠˊ liáo（03521）</t>
  </si>
  <si>
    <t>鶩</t>
  </si>
  <si>
    <t>(一)ㄨˋ wù（11298）</t>
  </si>
  <si>
    <t>伐</t>
  </si>
  <si>
    <t>ㄈㄚ</t>
  </si>
  <si>
    <t>fā</t>
  </si>
  <si>
    <t>[動]
1.砍。如：「伐木」、「砍伐」。《左傳．僖公二十八年》：「遂伐其木，以益其兵。」
2.征討、攻打。《左傳．莊公十年》：「十年春，齊師伐我。公將戰，曹劌請見。」
3.自誇。《論語．公冶長》：「願無伐善，無施勞。」《淮南子．脩務》：「事成而身弗伐，功立而名弗有。」
4.割除。《聊齋志異．卷一．嬌娜》：「然症雖危，可治，但膚塊已凝，非伐皮削肉不可。」
[名]
1.功績、功勞。《左傳．莊公二十八年》：「則可以威民而懼戎，且旌君伐。」《資治通鑑．卷九七．晉紀十九．穆帝永和元年》：「今戎事方興，勛伐既多，官未可滅。」
2.媒人。《儒林外史》第六回：「周親家家，就是靜齋先生執柯作伐。」</t>
  </si>
  <si>
    <t>(二)（又音）ㄈㄚˊ fá（01529）</t>
  </si>
  <si>
    <t>法</t>
  </si>
  <si>
    <t>在「沒法兒」、「想個法兒」等語詞中的音讀。</t>
  </si>
  <si>
    <t>(一)ㄈㄚˇ fǎ（01536）(二)ㄈㄚˊ fá（01534）</t>
  </si>
  <si>
    <t>發</t>
  </si>
  <si>
    <t>[動]
1.放射。如：「彈無虛發」、「百發百中」。
2.生長、產生。如：「發芽」。唐．王維〈相思〉詩：「紅豆生南國，秋來發故枝。」
3.開始、啟動。如：「發動」、「先發制人」、「一觸即發」。
4.興起。如：「發跡」。《孟子．告子下》：「舜發於畎畝之中。」
5.起程。如：「出發」。宋．柳永〈雨霖鈴．寒蟬淒切〉詞：「留戀處，蘭舟催發。」《聊齋志異．卷一．青鳳》：「一家皆移什物赴新居，而妾留守，明日即發。」
6.啟發。如：「振聾發聵」。《論語．述而》：「不憤不啟，不悱不發。」
7.現露。《禮記．中庸》：「喜怒哀樂之未發，謂之中。」《戰國策．魏策四》：「此三子者，皆布衣之士也，懷怒未發。」
8.送出、付出。如：「發放」、「發錢」、「散發傳單」。
[名]
量詞：(1)計算槍、炮、子彈等數量的單位。如：「手槍裡還剩下四發子彈。」(2)計算槍、炮、子彈等發射數量的單位。如：「射炮十二發」。</t>
  </si>
  <si>
    <t>瞂</t>
  </si>
  <si>
    <t>[名]
盾也。《說文解字．盾部》：「瞂，盾也。」漢．揚雄《方言》卷九：「盾，自關而東，或謂之瞂，或謂之干，關西謂之盾。」《抱朴子．外篇．疾謬》：「利口者扶強而黨勢，辯給者借鍒以刺瞂。」</t>
  </si>
  <si>
    <t>乏</t>
  </si>
  <si>
    <t>ㄈㄚˊ</t>
  </si>
  <si>
    <t>fá</t>
  </si>
  <si>
    <t>[動]
1.欠缺。如：「乏味」、「缺乏」。唐．劉叉〈雪車〉詩：「遠戍久乏糧，太倉誰為運紅粟？」
2.沒有。如：「乏人問津」、「回天乏術」。
[形]
1.貧窮。如：「貧乏」。漢．桓寬《鹽鐵論．力耕》：「昔禹水湯旱，百姓匱乏。」
2.疲勞。如：「疲乏」、「困乏」、「人困馬乏」。</t>
  </si>
  <si>
    <t>(一)ㄈㄚ fā（01524）</t>
  </si>
  <si>
    <t>垡</t>
  </si>
  <si>
    <t>[動]
耕田翻土。《廣韻．入聲．月韻》：「垡，耕土。」</t>
  </si>
  <si>
    <t>[形]
草葉盛茂的樣子。《說文解字．艸部》：「茷，艸葉多。」唐．柳宗元〈始得西山宴游記〉：「遂命僕過湘江，緣染溪，斫榛莽，焚茅茷，窮山之高而止。」</t>
  </si>
  <si>
    <t>(二)ㄆㄟˋ pèi（00666）</t>
  </si>
  <si>
    <t>筏</t>
  </si>
  <si>
    <t>[名]
以竹、木或塑膠筒等材料併排編成，用來渡河或航行的簡易交通工具。如：「木筏」、「膠筏」。也稱為「筏子」。</t>
  </si>
  <si>
    <t>閥</t>
  </si>
  <si>
    <t>[名]
1.功績、功勞。《新唐書．卷一三三．張守珪傳》：「（獻誠）子煦，積閥亦至夏州節度使。」
2.家世地位、門第。如：「名閥」、「世閥」。《新唐書．卷一六三．柳公綽傳》：「子孫眾盛，實為名閥。」
3.引申為擁有某種支配力量或勢力的人物或家族。如：「財閥」、「學閥」。
4.氣體或液體流動途中，可以控制流量大小、流動方向、流動與否的裝置。</t>
  </si>
  <si>
    <t>參見「法子」條。</t>
  </si>
  <si>
    <t>(一)ㄈㄚˇ fǎ（01536）(三)ㄈㄚ fā（01525）</t>
  </si>
  <si>
    <t>罰</t>
  </si>
  <si>
    <t>[名]
犯法的人所受的罪刑。如：「刑罰」、「責罰」。《書經．呂刑》：「墨罰之屬千，劓罰之屬千。」
[動]
1.懲治。如：「處罰」、「懲罰」。南朝宋．劉義慶《世說新語．德行》：「有一老翁犯法，謝以醇酒罰之。」
2.出錢贖罪。如：「罰鍰」。《史記．卷一〇二．張釋之傳》：「一人犯蹕，當罰金。」</t>
  </si>
  <si>
    <t>ㄈㄚˇ</t>
  </si>
  <si>
    <t>fǎ</t>
  </si>
  <si>
    <t>[名]_x000D_
1.律令。如：「法令」、「法律」。《韓非子．定法》：「法者，憲令著於官府。」_x000D_
2.制度。《禮記．曲禮下》：「祭祀之禮，居喪之服，哭泣之位，皆如其國之故，謹修其法而審行之。」_x000D_
3.範式、原則。如：「文法」、「語法」。_x000D_
4.途徑。如：「方法」、「辦法」。_x000D_
5.佛、道等的道理。如：「佛法」、「法壇」。《五燈會元．卷六．谷山藏禪師》：「法尚應捨，何況非法？」_x000D_
6.方術、技巧。如：「道士作法」、「魔法」。_x000D_
7.法國的簡稱。舊音ㄈㄚˋ fà。如：「中法戰爭」、「英法戰爭」。_x000D_
8.姓。如漢代有法雄。_x000D_
[動]_x000D_
仿效。《周易．繫辭上》：「知崇禮卑，崇效天，卑法地，天地設位，而易行乎其中矣。」_x000D_
[形]_x000D_
1.可為法則的。如：「法書」、「法帖」。_x000D_
2.屬於佛家的。如：「法衣」、「法號」。</t>
  </si>
  <si>
    <t>(二)ㄈㄚˊ fá（01534）(三)ㄈㄚ fā（01525）</t>
  </si>
  <si>
    <t>砝</t>
  </si>
  <si>
    <t>參見「砝碼」條。</t>
  </si>
  <si>
    <t>鍅</t>
  </si>
  <si>
    <t>[名]
（francium，Fr）化學元素。原子序87。為放射性鹼金屬元素之一。由法國科學家培雷（Marguerite Perey）所發現。培雷以致癌老鼠作實驗，發現鍅較易集中於腫瘤中，認為鍅可用於治療學上。大陸地區譯為鈁。</t>
  </si>
  <si>
    <t>髮</t>
  </si>
  <si>
    <t>[名]
1.人類頭上的毛。如：「頭髮」、「白髮」、「黑髮」、「毫髮無傷」。《孝經．開宗明義章》：「身體髮膚，受之父母，不敢毀傷，孝之始也。」唐．杜甫〈贈衛八處士〉詩：「少壯能幾時，鬢髮各已蒼。」
2.比喻為山上的草木。《莊子．逍遙遊》：「窮髮之北，有冥海者，天池也。」
3.姓。如漢代有髮福。</t>
  </si>
  <si>
    <t>琺</t>
  </si>
  <si>
    <t>ㄈㄚˋ</t>
  </si>
  <si>
    <t>fà</t>
  </si>
  <si>
    <t>參見「琺瑯」條。</t>
  </si>
  <si>
    <t>ㄈㄛˊ</t>
  </si>
  <si>
    <t>fó</t>
  </si>
  <si>
    <t>[名]
1.佛陀的簡稱。參見「佛陀」條。《西遊記》第八回：「但見那三千諸佛、五百阿羅、八大金剛、無邊菩薩，一個個都執著幢幡寶蓋。」
2.參見「佛教」條。
[形]
如佛一般的仁慈、和氣。如：「佛口蛇心」。</t>
  </si>
  <si>
    <t>(二)ㄅㄧˋ bì（00358）(三)ㄈㄨˊ fú（01778）</t>
  </si>
  <si>
    <t>ㄈㄟ</t>
  </si>
  <si>
    <t>fēi</t>
  </si>
  <si>
    <t>[名]
1.配偶。《左傳．桓公二年》：「嘉耦曰妃，怨耦曰仇，古之命也。」
2.稱古代天子的配偶，且地位僅次后者為「妃」。如：「貴妃」、「妃子」。
3.太子或諸侯的配偶。如：「王妃」、「太子妃」。《左傳．哀公元年》：「今聞夫差，次有臺榭陂池焉，宿有妃嬙嬪御焉。」《新唐書．卷一八．禮樂志八》：「皇太子納妃。」
4.對女神的尊稱。如：「天妃」、「湘妃」。《楚辭．劉向．九歎．愍命》：「逐下袟于後堂兮，迎宓妃于伊雒。」漢．王逸．注：「宓妃神女，蓋伊洛水之精也。」</t>
  </si>
  <si>
    <t>(二)ㄆㄟˋ pèi（00657）</t>
  </si>
  <si>
    <t>非</t>
  </si>
  <si>
    <t>[形]_x000D_
1.不對的、不善的。如：「非分之想」。《書經．康誥》：「封敬哉，無作怨，勿用非謀非彞。」《莊子．盜跖》：「鮑焦飾行非世，抱木而死。」_x000D_
2.不同的。《左傳．僖公十年》：「神不歆非類，民不祀非族。」《文選．曹丕．與朝歌令吳質書》：「節同時異，物是人非。」_x000D_
[動]_x000D_
1.以為不好、不對。《墨子．非攻上》：「今有一人，入人園圃，竊其桃李，眾聞則非之，上為政者得則罰之。」_x000D_
2.反對、詆毀。如：「以古非今」。《荀子．修身》：「故非我而當者，吾師也；是我而當者，吾友也。」《孝經．五刑章》：「非聖人者無法，非孝者無親。」_x000D_
3.不是。《莊子．秋水》：「非梧桐不止，非練實不食，非醴泉不飲。」《文選．司馬相如．喻巴蜀檄》：「當行者或亡逃自賊殺，亦非人臣之節也。」_x000D_
[副]_x000D_
不。如：「非同小可」、「非去不可」。《荀子．宥坐》：「夫芷蘭生於深林，非以無人而不芳。」_x000D_
[名]_x000D_
1.過失、惡行。如：「為非作歹」、「明辨是非」。《莊子．盜跖》：「強足以距敵，辯足以飾非。」《文選．任昉．王文憲集序》：「約己不以廉物，弘量不以容非。」_x000D_
2.阿非利加洲的簡稱。如：「亞非地帶」、「中非技術合作」。_x000D_
3.二一四部首之一。</t>
  </si>
  <si>
    <t>(二)ㄈㄟˇ fěi（01561）</t>
  </si>
  <si>
    <t>婓</t>
  </si>
  <si>
    <t>1.婓婓：來來往往的樣子。《說文解字．女部》：「往來婓婓也。」清．段玉裁．注：「〈小雅〉毛傳曰：『騑騑行不止貌，與婓音義皆同。』」
2.女神。通「妃」。《文選．左思．蜀都賦》：「娉江婓，與神遊。」</t>
  </si>
  <si>
    <t>啡</t>
  </si>
  <si>
    <t>參見「咖啡」、「嗎啡」等條。</t>
  </si>
  <si>
    <t>斐</t>
  </si>
  <si>
    <t>[名]
姓。春秋時晉有斐豹。</t>
  </si>
  <si>
    <t>(一)ㄈㄟˇ fěi（01564）</t>
  </si>
  <si>
    <t>菲</t>
  </si>
  <si>
    <t>[形]
參見「芳菲」、「菲菲」等條。
[名]
菲律賓的簡稱。如：「中菲關係」。</t>
  </si>
  <si>
    <t>(一)ㄈㄟˇ fěi（01566）(三)ㄈㄟˋ fèi（01585）</t>
  </si>
  <si>
    <t>扉</t>
  </si>
  <si>
    <t>[名]
1.門扇。《文選．古詩十九首．凜凜歲云暮》：「徙倚懷感傷，垂涕沾雙扉。」唐．王維〈山居即事〉詩：「寂寞掩柴扉，蒼茫對落暉。」
2.比喻像門的東西。如：「心扉」。
3.置於最前面的。如：「扉頁」。</t>
  </si>
  <si>
    <t>裶</t>
  </si>
  <si>
    <t>參見「裶裶」條。</t>
  </si>
  <si>
    <t>蜚</t>
  </si>
  <si>
    <t>[動]
在空中騰行。通「飛」。《史記．卷四〇．楚世家》：「三年不蜚，蜚將沖天。」
[形]
沒有根據、不實的。通「飛」。如：「流言蜚語」。</t>
  </si>
  <si>
    <t>(一)ㄈㄟˇ fěi（01568）</t>
  </si>
  <si>
    <t>緋</t>
  </si>
  <si>
    <t>[名]
紅色的綢布。《新唐書．卷二四．車服志》：「景雲中，詔衣紫者魚袋以金飾之，衣緋者以銀飾之。」
[形]
紅色的。明．于謙〈村舍桃花〉詩：「短牆不解遮春意，露出緋桃半樹花。」</t>
  </si>
  <si>
    <t>霏</t>
  </si>
  <si>
    <t>[形]
1.雨雪綿密的樣子。如：「細雨霏霏」。《詩經．邶風．北風》：「北風其喈，雨雪其霏。」
2.雲飛的樣子。南朝宋．謝靈運〈石壁精舍還湖中作〉詩：「林壑斂暝色，雲霞收夕霏。」
[動]
飄揚。《晉書．卷八〇．王羲之傳》：「煙霏露結，狀若斷而還連。」
[名]
雲氣。宋．歐陽修〈醉翁亭記〉：「若夫日出而林霏開，雲歸而巖穴暝。」</t>
  </si>
  <si>
    <t>馡</t>
  </si>
  <si>
    <t>[形]
香氣散逸的樣子。參見「馡馡」條。</t>
  </si>
  <si>
    <t>騑</t>
  </si>
  <si>
    <t>[名]
1.古代駕車的馬，在兩旁的稱為「騑」，也稱為「驂」（一說：左驂、右騑）。《說文解字．馬部》：「騑，驂也，旁馬也。」
2.泛稱馬。《文選．班彪．北征賦》：「紛吾去此舊都兮，騑遲遲以歷茲。」</t>
  </si>
  <si>
    <t>飛</t>
  </si>
  <si>
    <t xml:space="preserve">飛 </t>
  </si>
  <si>
    <t>[動]
1.鳥類及昆蟲類或航空機械騰行於空中。如：「飛行」、「飛航」。唐．王勃〈滕王閣序〉：「落霞與孤鶩齊飛，秋水共長天一色。」唐．岑參〈寄左省杜拾遺〉詩：「白髮悲花落，青雲羨鳥飛。」
2.飄揚。唐．杜甫〈寒食〉詩：「寒食江村路，風花高下飛。」唐．韓翃〈寒食〉詩：「春城無處不飛花，寒城東風御柳斜。」
3.散發。《文選．江淹．別賦》：「日下壁而沉彩，月上軒而飛光。」
[形]
1.疾速。如：「飛瀑」。唐．李白〈望廬山瀑布水〉詩二首之二：「飛流直下三千尺，疑是銀河落九天。」
2.高入空中的。南朝梁．張正見〈臨高臺〉詩：「飛棟臨黃鶴，高窗度白雲。」
3.沒有根據的。參見「飛語」條。
4.意料之外的。參見「飛禍」條。
[副]
疾速的。如：「飛奔」、「飛逝」。
[名]
二一四部首之一。</t>
  </si>
  <si>
    <t>肥</t>
  </si>
  <si>
    <t>ㄈㄟˊ</t>
  </si>
  <si>
    <t>féi</t>
  </si>
  <si>
    <t>[形]
1.脂肪較多，肌肉豐滿。一般用來形容動物。如：「肥胖」、「肥豬」、「肥肉」。《禮記．禮運》：「膚革充盈，人之肥也。」
2.豐裕充足。《禮記．禮運》：「父子篤，兄弟睦，夫婦和，家之肥也。」
3.腴美。唐．韓愈〈送李愿歸盤谷序〉：「盤谷之間，泉甘而土肥。」
4.飽滿。宋．李清照〈如夢令．昨夜雨疏風驟〉詞：「知否，知否，應是綠肥紅瘦。」
5.利益豐厚的。如：「肥缺」。
6.衣服寬鬆。如：「袖子太肥了。」
[動]
在田地上施用養料。如：「肥田」。
[名]
1.肥馬。《漢書．卷二四．食貨志上》：「乘堅策肥，履絲曳縞。」
2.農地的營養劑。如：「施肥」、「有機肥」。
3.利益。如：「分肥」。
4.人、畜的糞便。如：「水肥」、「堆肥」。
5.姓。如漢代有肥親。</t>
  </si>
  <si>
    <t>淝</t>
  </si>
  <si>
    <t>參見「淝水」條。</t>
  </si>
  <si>
    <t>蜰</t>
  </si>
  <si>
    <t>[名]
動物名。指蜰蟲。節肢動物門昆蟲綱。身體扁平，好乾燥，藏於板壁、草蓆縫隙間，吸人畜之血，傳染疾病。</t>
  </si>
  <si>
    <t>腓</t>
  </si>
  <si>
    <t>[名]
1.脛後肌肉突出之處。俗稱為「腿肚」。
2.斷足之刑。如：「腓辟」。《周禮．秋官．司刑》「刖罪五百，殺罪五百」句下唐．賈公彥．疏：「咎繇改臏作腓，至周改腓作刖。」
[動]
1.病變。《詩經．小雅．四月》：「秋日淒淒，百卉具腓。」南朝梁．元帝〈秋風搖落〉：「秋風起兮寒鴈歸，寒蟬鳴兮秋草腓。」
2.迴避。《詩經．小雅．采薇》：「君子所及，小人所腓。」</t>
  </si>
  <si>
    <t>ㄈㄟˇ</t>
  </si>
  <si>
    <t>fěi</t>
  </si>
  <si>
    <t>[動]
詆毀、誹謗。通「誹」。《荀子．解蔽》：「故群臣去忠而事私，百姓怨非而不用。」</t>
  </si>
  <si>
    <t>(一)ㄈㄟ fēi（01544）</t>
  </si>
  <si>
    <t>匪</t>
  </si>
  <si>
    <t xml:space="preserve">匚 </t>
  </si>
  <si>
    <t>[名]
1.形狀像篋的方形竹器，可用來盛物。今作「篚」。《說文解字．匚部》：「匪，器似竹篋。」
2.強盜賊寇。如：「土匪」、「盜匪」、「綁匪」。
[形]
有文彩的樣子。通「斐」。《詩經．衛風．淇奧》：「有匪君子，充耳琇瑩，會弁如星。」
[副]
不。《詩經．大雅．烝民》：「夙夜匪懈，以事一人。」《詩經．邶風．柏舟》：「我心匪石，不可轉也。」</t>
  </si>
  <si>
    <t>悱</t>
  </si>
  <si>
    <t>[形]
心裡有意見想表露卻說不出來的樣子。《論語．述而》：「不憤不啟，不悱不發。」唐．白居易〈與元九書〉：「既憤悱之氣思有所洩，遂追就前志，勉為此書。」</t>
  </si>
  <si>
    <t>參見「斐斐」、「斐然」等條。</t>
  </si>
  <si>
    <t>(二)ㄈㄟ fēi（01547）</t>
  </si>
  <si>
    <t>棐</t>
  </si>
  <si>
    <t>[名]
使弓弦端正不曲屈的器具。《說文解字．木部》：「棐，輔也。」清．段玉裁．注：「棐，蓋弓檠之類。」
[動]
輔助。《書經．大誥》：「越天棐忱，爾時罔敢易法，矧今天降戾于周邦。」
[形]
薄。同「菲」。《漢書．卷六三．武五子傳．燕剌王劉旦傳》：「毋作棐德，毋乃廢備。」</t>
  </si>
  <si>
    <t>[名]
一種菜。《爾雅．釋草》：「菲，蒠菜。」晉．郭璞．注：「菲草，生下溼地，似蕪菁，華紫赤色，可食。」
[形]
微薄的。如：「菲薄」、「菲酌」、「菲儀」。《兒女英雄傳》第二回：「裡面卻用赤金鑲成，再用漆罩了一層，這分禮可就不菲。」</t>
  </si>
  <si>
    <t>(二)ㄈㄟ fēi（01548）(三)ㄈㄟˋ fèi（01585）</t>
  </si>
  <si>
    <t>榧</t>
  </si>
  <si>
    <t>[名]
植物名。紅豆杉科榧屬，常綠大喬木。高可達二十五公尺。葉線形，長十一至二十五公厘，先端短凸尖，背面具二條氣孔帶。種實橢圓形，長二十至四十五公厘，核果狀，假種皮完全包被種子，紫褐色，被白粉。木理甚美，有香氣，為建築及製器之上材。也稱為「野杉」、「玉榧」、「玉山果」。</t>
  </si>
  <si>
    <t>[名]
動物名。踳類。一種有害的昆蟲。形橢圓，發惡臭，食稻花。</t>
  </si>
  <si>
    <t>(二)ㄈㄟ fēi（01551）</t>
  </si>
  <si>
    <t>翡</t>
  </si>
  <si>
    <t>參見「翡翠」條。</t>
  </si>
  <si>
    <t>誹</t>
  </si>
  <si>
    <t>[動]
議論人非，並毀壞其名譽。如：「誹謗」、「怨誹」。《後漢書．卷六七．黨錮傳．序》：「誹訕朝廷，疑亂風俗。」</t>
  </si>
  <si>
    <t>篚</t>
  </si>
  <si>
    <t>[名]
古代盛物用的方形竹器。南朝宋．劉義慶《世說新語．棲逸》：「筐篚苞苴，故當輕於天下之寶耳。」</t>
  </si>
  <si>
    <t>朏</t>
  </si>
  <si>
    <t>[名]
1.未盛明時的月光。《說文解字．月部》：「朏，月未盛之明也，从月出。周書曰：『丙午朏。』」
2.每月初三，上弦月的月光。《書經．召誥》：「越若來三月，惟丙午朏，越三日戊申、太保朝至于洛，卜它。」</t>
  </si>
  <si>
    <t>吠</t>
  </si>
  <si>
    <t>ㄈㄟˋ</t>
  </si>
  <si>
    <t>fèi</t>
  </si>
  <si>
    <t>[動]
狗叫稱為「吠」。如：「蜀犬吠日」、「狂吠」。《孟子．公孫丑上》：「雞鳴狗吠相聞而達乎四境，而齊有其民矣。」漢．王符《潛夫論．賢難》：「一犬吠形，百犬吠聲。」</t>
  </si>
  <si>
    <t>沸</t>
  </si>
  <si>
    <t>[動]
1.液體受熱而產生氣泡、上下翻滾。如：「滾沸」、「沸騰」。《詩經．大雅．盪》：「如蜩如螗，如沸如羹。」
2.水沫激盪。唐．李白〈望廬山瀑布水〉詩二首之一：「飛珠散輕霞，流沫沸穹石。」
3.動盪。唐．韓愈〈石鼓歌〉：「周綱陵遲四海沸，宣王憤起揮干戈。」
4.喧鬧。宋．陸游〈丁酉上元〉詩：「鼓吹連天沸五門，燈山萬炬動黃昏。」
[形]
1.熱度極高或向上湧動的。如：「沸湯」、「沸泉」、「沸水」。
2.嘈雜的。宋．歐陽修〈漁家傲．十二月嚴凝天地閉〉詞：「增豪氣，直教耳熱笙歌沸。」
[名]
滾燙的液體。《荀子．議兵》：「以卵擊石，以指撓沸，若赴水火。」</t>
  </si>
  <si>
    <t>(二)ㄈㄨˊ fú（01780）</t>
  </si>
  <si>
    <t>參見「怫恚」、「怫然」等條。</t>
  </si>
  <si>
    <t>(一)ㄈㄨˊ fú（01781）(二)ㄅㄟˋ bèi（00178）</t>
  </si>
  <si>
    <t>狒</t>
  </si>
  <si>
    <t>參見「狒狒」條。</t>
  </si>
  <si>
    <t>胇</t>
  </si>
  <si>
    <t>[名]
同「肺」。《詩經．大雅．桑柔》「自有肺腸」句下漢．鄭玄．箋：「肺，又作胇。」</t>
  </si>
  <si>
    <t>[動]
1.花用錢財。如：「花費」、「縻費」。
2.花用、消耗。如：「費力」、「費心」、「費勁」。《三國演義》第一七回：「曹兵十七萬，日費糧食浩大。」
3.應用廣泛。《禮記．中庸》：「君子之道費而隱。」
[形]
言詞煩瑣。《禮記．緇衣》：「口費而煩。」
[名]
1.財用、款項。如：「旅費」、「經費」、「公費」。
2.地名。春秋魯邑。在今大陸地區山東省魚臺縣西南。
3.姓。如春秋時有費無極，漢有費長房。</t>
  </si>
  <si>
    <t>(二)ㄅㄧˋ bì（00360）</t>
  </si>
  <si>
    <t>鐨</t>
  </si>
  <si>
    <t>[名]
（fermium，Fm）化學元素。原子序100。一種人造的放射性元素。最早於西元一九五二年在氫彈爆後的碎片中發現。今可在核子反應爐中製造取得。</t>
  </si>
  <si>
    <t>芾</t>
  </si>
  <si>
    <t>[形]
1.草木茂盛的樣子。如：「荒茅芾芾」。《詩經．召南．甘棠》：「蔽芾甘棠，勿翦勿伐。」宋．王禹偁〈茶園十二韻〉詩：「蔽芾餘千本，青蔥共一園。」後比喻庇蔭。宋．蘇軾〈寶月大師塔銘〉：「錦城之東，松柏森然，子孫如林，蔽芾其陰。」
2.植物幼嫩或樹葉初生的樣子。《詩經．小雅．我行其野》：「我行其野，蔽芾其樗。」宋．蘇軾〈和趙景貺栽檜〉詩：「乃知蔽芾初，甚要封植勤。」</t>
  </si>
  <si>
    <t>(二)ㄈㄨˊ fú（01776）</t>
  </si>
  <si>
    <t>[名]
位於動物胸腔左右兩側負責氣體交換（吸入氧並供應至血液中及排出二氧化碳）的器官。由於人類心臟占據胸腔左側的部分空間，因此左肺較小，分為上、下二葉；右肺則較大，分為上、中、下三葉。也稱為「肺臟」。</t>
  </si>
  <si>
    <t>(二)ㄆㄟˋ pèi（00660）</t>
  </si>
  <si>
    <t>厞</t>
  </si>
  <si>
    <t>[形]
隱蔽的。《禮記．喪大記》：「甸人取所徹廟之西北厞薪，用爨之。」</t>
  </si>
  <si>
    <t>剕</t>
  </si>
  <si>
    <t>[名]
古代一種斷腳的刑名。《書經．呂刑》：「剕辟疑赦，其罰倍差，閱實其罪。」</t>
  </si>
  <si>
    <t>屝</t>
  </si>
  <si>
    <t>[名]
草鞋。唐．陸龜蒙〈襲美先輩以龜蒙所獻五百言既蒙見和復示榮唱至於千字提獎之重蔑有稱實再抒鄙懷用伸酬謝〉詩：「觸雨妨屝屨，臨流泥江蘺。」《資治通鑑．卷二二三．唐紀三十九．代宗永泰元年》：「以糧儲屝屨之資，充疲人貢賦，歲可減國租之半。」</t>
  </si>
  <si>
    <t>[名]
草鞋。通「屝」。《樂府詩集．卷三八．相和歌辭十三．古辭．孤兒行》：「手為錯，足下無菲。」</t>
  </si>
  <si>
    <t>(一)ㄈㄟˇ fěi（01566）(二)ㄈㄟ fēi（01548）</t>
  </si>
  <si>
    <t>痱</t>
  </si>
  <si>
    <t>[名]
1.常在夏天高溫悶熱環境下，出汗過多而蒸發不暢，導致汗孔堵塞，汗管破裂，汗液外溢滲入周圍組織，引起淺表性炎症反應而發出很癢的小紅疹，也稱為「痱子」。
2.風痱。偏癱症的古稱。《漢書．卷五二．竇田灌韓傳．灌夫》：「嬰良久乃聞有劾，即陽病痱，不食欲死。」</t>
  </si>
  <si>
    <t>鯡</t>
  </si>
  <si>
    <t>[名]
鱸形目鯡科魚類的通稱。體長約一尺，魚鱗粗大，柔軟易剝，口闊，下顎骨突出，齒細軟，背青藍色，腹銀白。棲於外洋，早春至近海產卵。</t>
  </si>
  <si>
    <t>廢</t>
  </si>
  <si>
    <t>[動]
1.停止、捨棄。如：「廢除」、「廢止」、「廢寢忘食」。《論語．雍也》：「力不足者，中道而廢。」《孟子．梁惠王上》：「對曰：『然則廢釁鐘與？』」
2.衰敗、毀壞。《孟子．離婁上》：「其天下也以不仁，國之所以廢興存亡者亦然。」
[形]
1.敗壞的。如：「廢屋」、「廢車」。
2.無用的。如：「廢物」、「廢水」。
3.生理障礙的疾病。指聾、啞、跛足等。如：「殘廢」。《莊子．讓王》：「左手攫之，則右手廢。」
[名]
已停止或衰落的事物。宋．范仲淹〈岳陽樓記〉：「越明年，政通人和，百廢具興。」</t>
  </si>
  <si>
    <t>癈</t>
  </si>
  <si>
    <t>[名]_x000D_
1.身體傷殘。指視覺、聽覺、語言、肢體方面失能。今多作「廢」。《周禮．地官司徒．族師》：「辨其貴賤、老幼、廢疾可任者。」唐．賈公彥．疏：「癈疾，謂癈與人事疾病。」_x000D_
2.久治不癒的疾病。《說文．疒部》：「癈，固病也。」宋．樓鑰〈范忠宣集原序〉：「公時在瞽癈風痺中，知上果用我，亦欲感激自奮而病不可為矣。」_x000D_
[動]_x000D_
廢棄。漢．王充《論衡．答佞》：「假令甲有高行奇知，名聲顯聞，將恐人君召問，扶而勝己，欲故癈不言，常騰譽之。」《冊府元龜．卷八六九．總錄部．博弈》：「或篤於好尚，遂成沉癖，癈事棄業，怠政墮官。」宋．汪應辰〈與朱元晦〉：「某承乏無補，重以目疾癈事，丐祠未獲，當再請也。」</t>
  </si>
  <si>
    <t>膹</t>
  </si>
  <si>
    <t>(一)ㄈㄣˋ fèn（01693）</t>
  </si>
  <si>
    <t>ㄈㄡ</t>
  </si>
  <si>
    <t>fōu</t>
  </si>
  <si>
    <t>[名]
姓。如晉朝有不準。</t>
  </si>
  <si>
    <t>(一)ㄅㄨˋ bù（00565）(二)ㄈㄡˇ fǒu（01597）(四)ㄈㄨ fū（01759）</t>
  </si>
  <si>
    <t>紑</t>
  </si>
  <si>
    <t>[形]
色澤鮮明、潔白。《詩經．周頌．絲衣》：「絲衣其紑，載弁俅俅。」</t>
  </si>
  <si>
    <t>芣</t>
  </si>
  <si>
    <t>ㄈㄡˊ</t>
  </si>
  <si>
    <t>fóu</t>
  </si>
  <si>
    <t>[形]
花朵繁盛的樣子。《說文解字．艸部》：「芣，華盛。」
[名]
參見「芣苡」條。</t>
  </si>
  <si>
    <t>罘</t>
  </si>
  <si>
    <t>(二)ㄈㄨˊ fú（01819）</t>
  </si>
  <si>
    <t>[名]
蚍衃：一種似葵的植物。《爾雅．釋草》：「荍，蚍衃。」晉．郭璞．注：「今荊葵也。似葵，紫色。謝氏云：『小草。多華，少葉，葉又翹起。』」</t>
  </si>
  <si>
    <t>(一)ㄆㄟ pēi（00646）</t>
  </si>
  <si>
    <t>浮</t>
  </si>
  <si>
    <t>(一)ㄈㄨˊ fú（01796）</t>
  </si>
  <si>
    <t>ㄈㄡˇ</t>
  </si>
  <si>
    <t>fǒu</t>
  </si>
  <si>
    <t>[助]
1.表示否定。同「否」。《史記．卷一〇一．袁盎鼂錯傳》：「上問曰：『道軍所來，聞鼂錯死，吳楚罷不？』」
2.表示疑問、未定。同「否」。晉．陶淵明〈遊斜川〉詩：「未知從今去，當復如此不？」唐．李白〈秋浦歌〉一七首之一：「寄言向江水，汝意憶儂不？」</t>
  </si>
  <si>
    <t>(一)ㄅㄨˋ bù（00565）(三)ㄈㄡ fōu（01591）(四)ㄈㄨ fū（01759）</t>
  </si>
  <si>
    <t>[副]
不同意。相當於口語中的「不」字。如：「否認」、「否決」。《戰國策．魏策四》：「否，非若是也。」
[助]
1.不然。如：「否則」。
2.用在問句句尾，表示詢問。如：「知道否？」</t>
  </si>
  <si>
    <t>(二)ㄆㄧˇ pǐ（00851）</t>
  </si>
  <si>
    <t>缶</t>
  </si>
  <si>
    <t>[名]
1.盛酒漿的瓦器，腹大口小，有蓋。《說文解字．缶部》：「缶，瓦器，所以盛酒漿。」
2.樂器名，打擊樂器。古代一種瓦製的敲擊樂器，稱「擊缶」。《詩經．陳風．宛丘》：「坎其擊缶，宛丘之道。」唐．孔穎達．正義：「此云擊缶，則缶是樂器。」《舊唐書．卷二九．音樂志二》：「缶，如足盆，古西戎之樂，秦俗應而用之。其形似覆盆，以四杖擊之。」
3.二一四部首之一。</t>
  </si>
  <si>
    <t>缹</t>
  </si>
  <si>
    <t>[動]
烹煮、蒸煮。《齊民要術．卷八．蒸缹法》：「缹豬肉法，……於銅鐺中缹之，一行肉，一行擘蔥，渾豉白鹽薑椒，如是次第布訖，下水缹之。」</t>
  </si>
  <si>
    <t>复</t>
  </si>
  <si>
    <t xml:space="preserve">夊 </t>
  </si>
  <si>
    <t>ㄈㄡˋ</t>
  </si>
  <si>
    <t>fòu</t>
  </si>
  <si>
    <t>同「復」(二)。</t>
  </si>
  <si>
    <t>(一)ㄈㄨˋ fù（01871）</t>
  </si>
  <si>
    <t>復</t>
  </si>
  <si>
    <t>(一)[副]之又音。</t>
  </si>
  <si>
    <t>(一)ㄈㄨˋ fù（01872）</t>
  </si>
  <si>
    <t>反</t>
  </si>
  <si>
    <t>ㄈㄢ</t>
  </si>
  <si>
    <t>fān</t>
  </si>
  <si>
    <t>[名]
翻案。《漢書．卷二四．食貨志下》：「楊可告緡遍天下，中家以上大氐皆遇告。杜周治之，獄少反者。」</t>
  </si>
  <si>
    <t>(一)ㄈㄢˇ fǎn（01638）(三)ㄈㄢˋ fàn（01640）</t>
  </si>
  <si>
    <t>帆</t>
  </si>
  <si>
    <t>參見「帆布」條。</t>
  </si>
  <si>
    <t>(一)ㄈㄢˊ fán（01615）</t>
  </si>
  <si>
    <t>犿</t>
  </si>
  <si>
    <t>[形]
連犿：宛轉的樣子。《莊子．天下》：「其書雖瑰瑋，而連犿無傷也。」</t>
  </si>
  <si>
    <t>[名]_x000D_
舊時對邊境少數民族或外國的稱呼。元．周達觀《真臘風土記．異事》：「余鄉人薛氏，居番三十五年矣。」《明史．卷一〇．英宗前本紀》：「都督同知李安充總兵官，僉都御史王翺參贊軍務，討松潘祈命簇叛番。」_x000D_
[量]_x000D_
1.計算次數的單位。相當於「回」、「次」。如：「三番兩次」、「思考一番」、「白費一番苦心」。《南史．卷三二．列傳．張邵》：「父邵使士南陽宗少文談繫象，往復數番。」宋．張炎〈高陽臺．接葉巢鶯〉詞：「能幾番游，看花又是明年。」_x000D_
2.計算倍數的單位。如：「連續幾天的漲停板，使他持有的股票價值翻兩番。」_x000D_
3.計算片、塊狀物品的單位。《百喻經．卷四．夫婦食餅共為要喻》：「昔有夫婦有三番餅，夫婦共分各食一餅，餘一番在。」北周．庾信〈謝趙王賚乾魚啟〉：「某啟，蒙賚乾魚十番。」_x000D_
4.計算字畫的單位。《新唐書．卷一六三．列傳．柳公綽》：「其遷少師，宣宗召至御座前，書紙三番，作真、行、草三體。」宋．葉紹翁《四朝聞見錄．甲集．九里松用金字》：「翌日取入，欲自為御書，黼黻湖山，命筆研書數十番。」_x000D_
5.用於計算事物的類別。如：「成就一番功業」。《儒林外史》第四一回：「轉眼長夏已過，又是新秋，清風戒寒，那秦淮河另是一番景致。」《兒女英雄傳》第一回：「得意人逢失意事，一番歡喜一番愁。」_x000D_
[動]_x000D_
輪流更替。《舊唐書．卷九七．列傳．張說》：「旬日，得精兵一十三萬人，分繫諸衛，更番上下，以實京師。」《新唐書．卷一二六．列傳．杜暹》：「暹率當番衛士繕三宮城，浚池，督役不少懈。」_x000D_
[形]_x000D_
1.外國的、外族的。如：「番船」、「番茄」、「番椒」、「番薯」。《明史．卷二〇四．列傳．陳九疇》：「邊臣怵利害，拱手聽命，致內屬番人勾連接引，以至於今。」《三國演義》第八八回：「只見帳中燈燭熒煌，孟優並番兵盡皆醉倒。」_x000D_
2.反過來。通「反」。元．關漢卿《蝴蝶夢》第三折：「叫化的剩飯重煎再煎，補衲的破襖兒番穿了正穿。」</t>
  </si>
  <si>
    <t>(二)ㄆㄢ pān（00705）(三)ㄆㄛˊ pó（00605）</t>
  </si>
  <si>
    <t>幡</t>
  </si>
  <si>
    <t>[名]
一種狹長、垂直懸掛的旗幟。《史記．卷一一七．司馬相如傳》：「垂絳幡之素蜺兮，載雲氣而上浮。」清．張惠言〈木蘭花慢．一春長〉詞：「正風避重簾，雨迴深幕，雲護輕幡。」</t>
  </si>
  <si>
    <t>蕃</t>
  </si>
  <si>
    <t>[名]_x000D_
舊時對外國或邊境少數民族的稱呼。通「番」。《舊唐書．卷一三三．列傳．李晟》：「乃上書請理不用命者，兼備耕以積粟，攘卻西蕃，上皆從之。」明．丘濬《大學衍義補．卷一四三．治國平天下之要》：「蕃之義，以其最在外為藩籬，故以蕃為稱，後世通謂外國為蕃。」_x000D_
 [形]_x000D_
來自外國或外族的。通「番」。如：「蕃茄」、「蕃薯」。</t>
  </si>
  <si>
    <t>(一)ㄈㄢˊ fán（01625）</t>
  </si>
  <si>
    <t>旛</t>
  </si>
  <si>
    <t>[名]
1.狹長而下垂的旗幟。《說文解字．㫃部》：「旛，旛胡也。謂旗幅之下垂者。」
2.泛指旌旗。唐．劉禹錫〈西塞山懷古〉詩：「千尋鐵鎖沉江底，一片降旛出石頭。」</t>
  </si>
  <si>
    <t>翻</t>
  </si>
  <si>
    <t>[動]
1.反轉、覆轉。如：「翻身」、「車翻了」。唐．杜甫〈白帝〉詩：「白帝城中雲出門，白帝城下雨翻盆。」
2.掀動。如：「翻書」、「翻報紙」。
3.越過。如：「翻山越嶺」。
4.改變。如：「花樣翻新」、「翻供」、「翻案」、「翻臉」。
5.將某種語言文字譯成另一種語言文字。如：「把這段英文翻成中文。」
6.飛翔。如：「眾鳥翻飛」。唐．李白〈天台曉望〉詩：「雲垂大鵬翻，波動巨鼇沒。」
[副]
反而。唐．司空曙〈雲陽館與韓紳宿別〉詩：「乍見翻疑夢，相悲各問年。」《喻世明言．卷四十．沈小霞相會出師表》：「忠臣翻受奸臣制，骯髒英雄淚滿襟。」</t>
  </si>
  <si>
    <t>繙</t>
  </si>
  <si>
    <t>[副]
反覆。《莊子．天道》：「往見老聃，而老聃不許，於是繙十二經以說。」
[動]
將某種語言文字譯成另一種語言文字。通「翻」。如：「繙譯」。
[名]
旗子。唐．儲光羲〈昭聖觀〉詩：「扶橑盡蟠木，步檐多畫繙。」</t>
  </si>
  <si>
    <t>轓</t>
  </si>
  <si>
    <t>[名]
1.古代車箱兩旁的障蔽物。《漢書．卷五．景帝紀》：「令長吏二千石車朱兩轓，千石至六百石朱左轓。」唐．顏師古．注：「轓，應劭曰：『車耳反出，所以為之藩屏，翳塵泥也。』」《續漢書志．第六．禮儀志下》：「車皆去輔轓，疏布惡輪。」
2.借指車。南朝齊．謝朓〈三日侍宴曲水代人應詔詩〉：「華轓徒駕，長纓未飾。」</t>
  </si>
  <si>
    <t>籓</t>
  </si>
  <si>
    <t>[名]
1.大畚箕。《廣韻．平聲．元韻》：「籓，大箕。」
2.屏障。宋．蘇軾〈答新蘇州黃龍圖啟〉：「金華玉堂，帝左右之高選；武林茂苑，江東南之要籓。」</t>
  </si>
  <si>
    <t>凡</t>
  </si>
  <si>
    <t xml:space="preserve">丶 </t>
  </si>
  <si>
    <t>ㄈㄢˊ</t>
  </si>
  <si>
    <t>fán</t>
  </si>
  <si>
    <t>[形]
1.平庸、平常。如：「平凡」、「非凡」、「自命不凡」。清．洪昇《長生殿》第三八齣：「我聽你這琵琶，非同凡手。」
2.塵世的、世俗的。如：「凡間」。唐．李中〈寄廬山簡寂觀重道者〉詩：「似醒一夢歸凡世，空向彤霞寄夢頻。」《西遊記》第二回：「去時凡骨凡胎重，得道身輕體亦輕。」
[名]
1.大旨、綱要。如：「發凡起例」。《漢書．卷八七．揚雄傳下》：「僕嘗倦談，不能一二其詳，請略舉凡，而客自覽其切焉。」
2.塵世間。如：「仙凡路隔」、「天仙下凡」。
[副]
1.概括之詞。如：「凡是有生命之物，都稱生物。」
2.總共。如：「全書凡二十章。」《文選．司馬遷．報任少卿書》：「凡百三十篇。」唐．柳宗元〈愚溪詩序〉：「愚泉凡六穴，皆出山下平地。」</t>
  </si>
  <si>
    <t>[名]
1.掛在船桅上，利用風力使船行駛前進的布幔。如：「揚帆」、「船帆」。《老殘遊記》第一回：「又有兩枝新桅，掛著一扇簇新的帆。」
2.借指船。唐．溫庭筠〈憶江南．梳洗罷〉詞：「梳洗罷，獨倚望江南，過盡千帆皆不是。」宋．蘇軾〈次前韻送劉景文〉詩：「何時歸帆泝江水，春酒一變甘棠湖。」</t>
  </si>
  <si>
    <t>(二)ㄈㄢ fān（01604）</t>
  </si>
  <si>
    <t>釩</t>
  </si>
  <si>
    <t>[名]
（vanadium，V)化學元素。原子序23。為銀白色的金屬，具延展性。主要以化合物形式存在礦石中。用於釩鋼的製造，可提高硬度及強度。</t>
  </si>
  <si>
    <t>氾</t>
  </si>
  <si>
    <t>[名]
1.地名。春秋時鄭國邑地。南氾故地約在今大陸地區河南省襄城縣南；東氾故地約在今大陸地區河南省中牟縣南。
2.姓。如漢代有氾勝之。</t>
  </si>
  <si>
    <t>(一)ㄈㄢˋ fàn（01643）</t>
  </si>
  <si>
    <t>(一)ㄆㄢˋ pàn（00729）</t>
  </si>
  <si>
    <t>笲</t>
  </si>
  <si>
    <t>[名]
古代一種盛物的竹器。《禮記．昏義》：「贊見婦於舅姑，執笲棗栗段脩以見。」唐．陸德明《經典釋文．卷一四．禮記音義之四》：「笲，器名，以葦若竹為之，其形如莒，衣之以青繒，以盛棗、栗、腶脩之屬。」</t>
  </si>
  <si>
    <t>煩</t>
  </si>
  <si>
    <t>[形]
1.躁悶。如：「煩悶」、「心煩氣躁」。唐．于邵〈晚秋陪盧侍御遊石橋序〉：「是以幽求人境之外，將蕩滌煩慮。」
2.繁雜、眾多。同「繁」。《書經．說命》：「禮煩則亂，事神則難。」《淮南子．主術》：「刑錯而不用，法省而不煩。」
[動]
勞動他人的敬詞。如：「煩您轉達」。《左傳．僖公三十年》：「若亡鄭而有益於君，敢以煩執事。」</t>
  </si>
  <si>
    <t>薠</t>
  </si>
  <si>
    <t>[名]
一種似莎而大的草。《漢書．卷五七．司馬相如傳上》：「其高燥則生葴析包荔，薜莎青薠。」顏師古注引張揖曰：「青薠似莎而大，生江湖，雁所食。」</t>
  </si>
  <si>
    <t>墦</t>
  </si>
  <si>
    <t>[名]
墳墓。《孟子．離婁下》：「卒之東郭墦間之祭者，乞其餘。」明．孫仁孺《東郭記》第二二齣：「家僮，可把禮物擺下，早出了東郭，到此墦間也。」</t>
  </si>
  <si>
    <t>燔</t>
  </si>
  <si>
    <t>[動]
炙烤、焚燒。《詩經．小雅．瓠葉》：「有兔斯首，炮之燔之。」《水滸傳》第一〇八回：「卻被山上將火箭火把亂打射下來，草房柴車上，都燔燒起來。」
[名]
宗廟祭祀所用的熟肉。通「膰」。《左傳．襄公二十二年》：「見於嘗酎，與執燔焉。」</t>
  </si>
  <si>
    <t>璠</t>
  </si>
  <si>
    <t>[名]
寶玉。晉．陸雲〈答顧秀才〉詩五首之五：「有斐君子，如珪如璠。」</t>
  </si>
  <si>
    <t>[名]_x000D_
1.屏障、籬落。《詩．大雅．崧高》：「四國于蕃，四方于宣。」漢．鄭玄．箋：「四國有難，則往扞禦之，為之蕃屏；四方恩澤不至，則往宣暢之。」宋．魏了翁《春秋左傳要義．卷一一．圃植瓜蓏囿養禽獸》：「成十八年築鹿囿，然則圃以蕃為之，所以樹果蓏；囿則築牆為之，所以養禽獸。」_x000D_
2.古代君王所分封的侯國。通「藩」。晉．左思〈魏都賦〉：「搦秦起趙，威振八蕃，則信陵之名若蘭芬也。」《宋書．卷三二．五行志三》：「時孝武年四歲，而簡文居蕃，四海宅心。」_x000D_
[形]_x000D_
1.茂盛。《說文解字．艸部》：「蕃，艸茂也。」《易經．坤卦》：「《文言》曰：天地變化，草木蕃。」_x000D_
2.眾多。通「繁」。唐．柳宗元〈種樹郭橐駝傳〉：「視駝所種樹，或移徒，無不活；且碩茂蚤茂實以蕃。」_x000D_
[動]_x000D_
1.滋生、繁殖。《左傳．僖公二十二年》：「將建諸君，其禮焉，男女同姓，其生不蕃。」唐．宋之問〈溫泉莊臥病寄楊七炯〉詩：「夏餘鳥獸蕃，秋末禾黍熟。」_x000D_
2.屏蔽、保障。通「藩」。《書經．微子之命》：「欽哉！往敷乃訓，慎乃服命，率由典常，以蕃王室。」《抱朴子．外篇．逸民》：「干木不荷戈戍境，築壘疆場，而有蕃魏之功。」</t>
  </si>
  <si>
    <t>(二)ㄈㄢ fān（01608）</t>
  </si>
  <si>
    <t>膰</t>
  </si>
  <si>
    <t>[名]
宗廟祭祀所用的熟肉。《左傳．成公十三年》：「祀有執膰，戎有受脤，神之大節也。」《史記．卷四七．孔子世家》：「魯今且郊，如致膰乎大夫，則吾猶可以止。」</t>
  </si>
  <si>
    <t>羳</t>
  </si>
  <si>
    <t>[名]
腹部為黃色的羊。《說文解字．羊部》：「羳，黃腹羊也。」明．李時珍《本草綱目．卷五〇．獸部．黃羊》：「羳羊，《爾雅》謂之羳，出西番也。」</t>
  </si>
  <si>
    <t>藩</t>
  </si>
  <si>
    <t>[名]
1.籬笆。如：「藩籬」。《易經．大壯卦．九三》：「羝羊觸藩，不能退。」宋．范成大〈復自姑蘇過苑陵至鄧步出陸〉詩：「漿家饋食槿為藩，酒市停驂竹廡門。」
2.古代諸侯王的封國、屬地。如：「藩國」。《文選．曹植．贈白馬王彪詩．序》：「後有司以二王歸藩，道路宜異宿止。」
3.姓。如漢代有藩嚮。
[動]
屏障、保衛。《文選．左思．詠史詩八首之三》：「吾希段干木，偃息藩魏君。」</t>
  </si>
  <si>
    <t>蹯</t>
  </si>
  <si>
    <t>[名]
獸類的足掌。《左傳．文公元年》：「王請食熊蹯而死，弗聽。」《戰國策．趙策三》：「人有置係蹄者而得虎，虎怒，決蹯而去。」</t>
  </si>
  <si>
    <t>鐇</t>
  </si>
  <si>
    <t>[名]
1.寬刃的斧頭。《玉篇．金部》：「鐇，廣刃斧也。」
2.鏟。《後漢書．卷八〇．文苑傳上．杜篤傳》：「田田相如，鐇钁株林。」</t>
  </si>
  <si>
    <t>樊</t>
  </si>
  <si>
    <t>[名]
1.關鳥獸的籠子。《莊子．養生主》：「澤雉十步一啄，百步一飲，不蘄畜乎樊中。」
2.籬笆。通「藩」。《詩經．小雅．青蠅》：「營營青蠅，止于樊。」漢．毛亨．傳：「樊，藩也。」
3.姓。如唐代有樊宗師。
[動]
搭籬笆圍繞保護。《詩經．齊風．東方未明》：「折柳樊圃，狂夫瞿瞿。」宋．范成大〈四時田園雜興〉詩六十首之十：「已插棘針樊筍徑，更鋪魚網蓋櫻桃。」</t>
  </si>
  <si>
    <t>礬</t>
  </si>
  <si>
    <t>參見「明礬」條。</t>
  </si>
  <si>
    <t>蠜</t>
  </si>
  <si>
    <t>[名]_x000D_
動物名。一種昆蟲。類似蚱蜢而較肥大。</t>
  </si>
  <si>
    <t>[形]
1.多、眾多。如：「繁星點點」、「繁文縟節」。《荀子．議兵》：「高城深池，不足以為固；嚴令繁刑，不足以為威。」唐．李商隱〈石榴〉詩：「榴枝婀娜榴實繁，榴膜輕明榴子鮮。」
2.複雜。如：「繁雜」、「繁重」。南朝梁．劉勰《文心雕龍．鎔裁》：「游心竄句，極繁之體。」
3.茂盛、興盛。如：「枝葉繁盛」、「地方繁榮」。宋．王安石〈即事〉詩：「徑暖草如積，山晴花更繁。」</t>
  </si>
  <si>
    <t>(二)ㄆㄛˊ pó（00609）</t>
  </si>
  <si>
    <t>瀿</t>
  </si>
  <si>
    <t>[動]
水大量流溢。《玉篇．水部》：「瀿，水暴溢也。」《集韻．平聲．元韻》：「瀿，楚人謂水暴溢為瀿。」</t>
  </si>
  <si>
    <t>蘩</t>
  </si>
  <si>
    <t>[名]
植物名。菊科艾屬，「蔞蒿」之古稱，參見「蔞蒿」條。</t>
  </si>
  <si>
    <t>颿</t>
  </si>
  <si>
    <t>[動]
馬疾馳。《說文解字．馬部》：「颿，馬疾步也。」
[名]
掛在船上的幔。同「帆」。《文選．左思．吳都賦》：「樓船舉風颿過肆，果布輻湊而常然。」清．項廷紀〈綺羅香．簾影移香〉詞：「記西園撲蝶歸來，又南浦片颿初去。」</t>
  </si>
  <si>
    <t>ㄈㄢˇ</t>
  </si>
  <si>
    <t>fǎn</t>
  </si>
  <si>
    <t>[動]
1.翻轉。《孟子．公孫丑上》：「以齊王，由反手也。」
2.回來、返回。通「返」。《戰國策．衛策》：「衛君以其言告邊境，智伯果起兵而襲衛，至境而反。」
3.歸還、退還。通「返」。《孟子．梁惠王下》：「王速出令，反其旄倪，止其重器。」
4.背叛、造反。《國語．周語下》：「視遠，日絕其義；足高，日棄其德；言爽，日反其信；聽淫，日離其名。」
5.類推。《論語．述而》：「舉一隅不以三隅反，則不復也。」
6.反省。《孟子．公孫丑上》：「自反而不縮，雖褐寬博，吾不惴焉。」
7.即反切。傳統漢字的一種注音方式。用兩個字拼成一個字的讀音。即用上一個字的聲母，和下一個字的韻母相拼，如：「東，德紅反。」
[形]
相反。《漢書．卷三五．荊燕吳傳．吳王劉濞》：「高祖召濞相之，曰：『若狀有反相。』」
[副]
反而。《詩經．邶風．谷風》：「不我能慉，反以我為讎。」《荀子．王制》：「是彊者之所以反弱也。」</t>
  </si>
  <si>
    <t>(二)ㄈㄢ fān（01603）(三)ㄈㄢˋ fàn（01640）</t>
  </si>
  <si>
    <t>返</t>
  </si>
  <si>
    <t>[動]
1.回來。如：「流連忘返」、「去而復返」。唐．樓穎〈西施石〉詩：「一去姑蘇不復返，岸旁桃李為誰春。」
2.歸還。晉．干寶《搜神記》卷四：「俟汝至石頭城，返汝簪。」《聊齋志異．卷九．喬女》：「宰按之，果真，窮治諸無賴，盡返所取。」
3.折回。如：「迴光返照」。
4.更換。《呂氏春秋．孝行覽．慎人》：「孔子烈然，返瑟而弦。」</t>
  </si>
  <si>
    <t>ㄈㄢˋ</t>
  </si>
  <si>
    <t>fàn</t>
  </si>
  <si>
    <t>做買賣，通「販」。《荀子．儒效》：「積反貨而為商賈，積禮義而為君子。」</t>
  </si>
  <si>
    <t>(一)ㄈㄢˇ fǎn（01638）(二)ㄈㄢ fān（01603）</t>
  </si>
  <si>
    <t>販</t>
  </si>
  <si>
    <t>[名]
做小買賣的人。如：「布販」、「菜販」、「攤販」、「小販」。
[動]
1.賣。如：「販魚」。《三國志．卷三二．蜀書．先主備傳》：「先主少孤，與母販履織席為業。」《舊唐書．卷二〇〇．黃巢傳》：「（巢）本以販鹽為事。」
2.買進。《水滸傳》第四四回：「因隨叔父來外鄉販羊馬賣，不想叔父半途亡故。」《紅樓夢》第四八回：「趕端陽節前，我順路販些紙劄香扇來賣。」</t>
  </si>
  <si>
    <t>飯</t>
  </si>
  <si>
    <t>[名]
1.煮熟穀類的食物。如：「白米飯」、「糯米飯」、「稀飯」。
2.每天定時吃的正餐。如：「早飯」、「晚飯」。
[動]
1.吃。《論語．述而》：「飯疏食飲水，曲肱而枕之，樂亦在其中也。」
2.拿食物給別人吃。《史記．卷九二．淮陰侯傳》：「有一母見信飢，飯信。」
3.餵飼動物。《莊子．田子方》：「百里奚爵祿不入於心，故飯牛而牛肥。」《文選．鄒陽．獄中上書自明》：「𡩋戚飯牛車下，而桓公任之以國。」</t>
  </si>
  <si>
    <t>[動]
1.大水漫溢。如：「氾濫」。《漢書．卷六．武帝紀》：「河水決濮陽，氾郡十六。」《明史．卷八三．河渠志一》：「明年復決陽武，氾陳州、中牟……十一州縣。」
2.泛行、漂浮。通「泛」。《國語．晉語三》：「是故氾舟於河，歸糴於晉。」晉．陸雲〈答車茂安書〉：「氾船長驅，一舉千里。」
[副]
1.廣博、普遍。通「汎」。《莊子．天下》：「墨子氾愛兼利而非鬥，其道不怒。」《楚辭．劉向．九歎．思古》：「且倘佯而氾觀。」
2.淺顯、普通。《晉書．卷四六．劉頌傳》：「雖嘗抗疏陳辭，氾論政體，猶未悉所見，指言得失。」</t>
  </si>
  <si>
    <t>(二)ㄈㄢˊ fán（01617）</t>
  </si>
  <si>
    <t>犯</t>
  </si>
  <si>
    <t>[動]
1.侵害、干擾、沖撞。如：「侵犯」、「干犯」、「冒犯」、「人不犯我，我不犯人。」《國語．晉語八》：「忠不可暴，信不可犯。」
2.抵觸、違背。如：「犯法」、「犯規」、「違法犯紀」。《周禮．夏官．大司馬》：「犯令陵正，則杜之。」
3.發生。如：「他愛說謊的老毛病又犯了。」《紅樓夢》第一一五回：「你們忒不留神，二爺犯了病也不來回我。」
4.冒著。宋．蘇軾〈岐亭〉詩五首之一：「知我犯寒來，呼酒意頗多。」
5.落進、落到。元．無名氏《神奴兒》第三折：「我兒也，你今日犯到我這衙門裡來。」《老殘遊記》第五回：「或者說話說的不得法，犯到他手裡，也是一個死。」
[名]
有罪的人。如：「主犯」、「從犯」、「罪犯」、「嫌犯」。
[副]
值得。如：「犯不著」。《紅樓夢》第七五回：「四丫頭也不犯囉唕你，卻是誰呢？」</t>
  </si>
  <si>
    <t>范</t>
  </si>
  <si>
    <t>[名]
1.法則。通「範」。《爾雅．釋詁上》：「範，常也。」唐．陸德明《經典釋文．卷二九．爾雅音義上》：「範，音犯。字或作范，同。」
2.鑄造器物的模型。通「範」。《荀子．彊國》：「刑范正，金錫美，工治巧，火齊得。」唐．楊倞．注：「刑、范，鑄劍規模之器也。」
3.姓。如宋代有范仲淹。</t>
  </si>
  <si>
    <t>笵</t>
  </si>
  <si>
    <t>[名]
1.竹製的模型。《說文解字．竹部》「笵」字．清．段玉裁．注：「《通俗文》曰：『規模曰笵。』玄應曰：『以土曰型，以金曰鎔，以木曰模，以竹曰笵。』一物材別也。」
2.法則、規範。通「範」。《玉篇．竹部》：「笵，楷式也，與範同。」</t>
  </si>
  <si>
    <t>範</t>
  </si>
  <si>
    <t>[名]
1.鑄造器物的模型。《集韻．去聲．范韻》：「範，模也。」宋．沈括《夢溪筆談．卷一八．技藝》：「欲印則以一鐵範置鐵板上，乃密布字印，滿鐵範為一板。」
2.法式、法則。如：「典範」、「規範」。
3.界限。如：「範圍」。
4.姓。如漢代有範依。
[形]
可為法式的、可效法的。如：「範本」、「範文」。
[動]
防止、限制。如：「防範」。</t>
  </si>
  <si>
    <t>汎</t>
  </si>
  <si>
    <t>[動]
漂浮。通「泛」。三國魏．王粲〈從軍〉詩五首之二：「汎舟蓋長川，陳卒被隰埛。」
[副]
普遍、廣泛。通「泛」。《論語．學而》：「汎愛眾，而親仁。」《南齊書．卷四一．周顒傳》：「汎涉百家，長於佛理。」
[名]
姓。如漢代有汎嶷。</t>
  </si>
  <si>
    <t>梵</t>
  </si>
  <si>
    <t>[名]
1.古印度思想中的世界創造原理。為梵語brahma的音譯。古印度婆羅門教認為梵是無所不在的最高實體，修行者最終極的目的就是與之合一。將其神格化則成為宇宙間最高的神，佛教將其歸為天界中的一類。
2.梵語的簡稱。如：「梵漢對音」。
[形]
1.表示和古印度有關的。如：「梵語」、「梵文」。
2.表示和佛教有關的。如：「梵輪」、「梵寺」。
3.清靜。《維摩詰所說經．卷一．方便品第二》：「示有妻子常修梵行。」</t>
  </si>
  <si>
    <t>泛</t>
  </si>
  <si>
    <t>[動]
1.漂浮。如：「泛舟」。唐．杜甫〈奉贈太常張卿均二十韻〉：「萍泛無休日，桃陰想舊蹊。」宋．陸游〈謝池春．壯歲從戎〉詞：「功名夢斷，卻泛扁舟吳楚。」
2.呈現、透著。如：「他臉上泛了一層紅光。」、「那條水溝泛著一陣陣惡臭。」
[形]
不切實。如：「空泛」、「浮泛」。
[副]
廣博、普遍。如：「廣泛」。《文選．司馬相如．上林賦》：「於是乎周覽泛觀，縝紛軋芴。」晉．陶淵明〈讀山海經〉詩一三首之一：「泛覽周王傳，流觀山海圖。」</t>
  </si>
  <si>
    <t>(二)ㄈㄥˇ fěng（01743）</t>
  </si>
  <si>
    <t>軬</t>
  </si>
  <si>
    <t>[名]
車篷。《集韻．上聲．阮韻》：「軬，車上篷。」</t>
  </si>
  <si>
    <t>分</t>
  </si>
  <si>
    <t>ㄈㄣ</t>
  </si>
  <si>
    <t>fēn</t>
  </si>
  <si>
    <t>[動]
1.將整體變成若干部分，或使聯在一起的事物離開。與「合」相對。如：「分割」、「劃分」、「分離」。《論語．泰伯》：「三分天下有其二，以服事殷周之德。」三國魏．劉楨〈贈五官中郎將〉詩四首之二：「逝者如流水，哀此遂離分。」
2.配與、給與。《左傳．莊公十年》：「衣食所安，弗敢專也，必以分人。」《史記．卷一〇九．李將軍列傳》：「廣廉，得賞賜輒分其麾下。」
3.分擔。如：「分憂解勞」。《史記．卷六五．孫子吳起列傳．吳起》：「與士卒分勞苦。」
4.辨別。《論語．微子》：「四體不勤，五穀不分。」《呂氏春秋．慎行傳．察傳》：「是非之經，不可不分。」
[形]
1.由總機構中分出來的。如：「分局」、「分隊」、「分校」、「分公司」。
2.清楚的、明白的。如：「是非分明」。唐．杜甫〈新婚別〉詩：「妾身未分明，何以拜姑嫜？」
[名]
1.區別、不一樣之處。《荀子．不苟》：「是君子、小人之分也。」
2.成績或競賽勝負的記數。如：「滿分」、「零分」。
3.時間的名稱。六十分為一小時。
4.量詞：(1)計算重量的單位。一兩的百分之一。(2)計算地積的單位。一畝的十分之一。(3)計算貨幣的單位。一元的百分之一。(4)計算時間的單位。六十分為一小時。如：「他花了數分的時間完成這項實驗。」(5)計算角度的單位。一度的六十分之一。(6)計算程度深淺的單位。如：「一分努力，一分收穫。」「逢人只說三分話。」
5.數學上用來表示分數，或直接指分數。如：「二分之一」、「百分之一」、「約分」。</t>
  </si>
  <si>
    <t>(二)ㄈㄣˋ fèn（01683）</t>
  </si>
  <si>
    <t>吩</t>
  </si>
  <si>
    <t>參見「吩咐」條。</t>
  </si>
  <si>
    <t>芬</t>
  </si>
  <si>
    <t>[名]_x000D_
1.香氣。如：「含芳吐芬」。《楚辭．屈原．離騷》：「芳菲菲而難虧兮，芬至今猶未沬。」晉．傅咸〈感別賦〉：「分綢繆而日新，蘭蕙含芬。」_x000D_
2.借指好名聲、好德性。《文選．陸機．文賦》：「詠世德之駿烈，誦先人之清芬。」《晉書．卷七四．列傳．桓彝》：「揚芬千載之上，淪骨九泉之下。」_x000D_
3.姓。如周代有芬質。_x000D_
[形]_x000D_
隆起的樣子。通「墳」。《管子．地員》：「青怵以肥，芬然若灰。」唐．尹知章．注：「芬然，壤起貌。」_x000D_
[副]_x000D_
眾多。通「紛」。《漢書．卷二二．禮樂志》：「羽旄殷盛，芬哉芒芒。」唐．顏師古．注：「芬亦謂眾多。」</t>
  </si>
  <si>
    <t>氛</t>
  </si>
  <si>
    <t>[名]
1.氣的通稱。如：「祥氛」、「妖氛」、「氣氛」。《國語．晉語一》：「獻公田，見翟柤之氛，歸寑不寐。」
2.景象、氣象。如：「戰氛熾烈」。</t>
  </si>
  <si>
    <t>衯</t>
  </si>
  <si>
    <t>參見「衯衯」條。</t>
  </si>
  <si>
    <t>翂</t>
  </si>
  <si>
    <t>參見「翂翂」條。</t>
  </si>
  <si>
    <t>紛</t>
  </si>
  <si>
    <t>[名]
1.爭執。如：「糾紛」、「排難解紛」。《晉書．卷九二．文苑傳．袁宏傳》：「謀解時紛，功濟宇內。」
2.姓。如戰國時魏有紛疆。
[動]
擾亂、打擾。《墨子．尚同》中：「當此之時，本無有敢紛天子之教者。」《聊齋志異．卷一．嬌娜》：「家君恐交遊紛意念，故謝客耳。」
[副]
眾多。如：「大雪紛飛」。</t>
  </si>
  <si>
    <t>酚</t>
  </si>
  <si>
    <t>[名]
一種白色結晶物。能自空氣中吸收水分而自行液化。味灼，有特殊臭味，腐蝕力極強，有毒。工業上用於木材之防腐、殺菌及製成高分子塑膠。俗稱為「石炭酸」。</t>
  </si>
  <si>
    <t>雰</t>
  </si>
  <si>
    <t>[名]
1.霧氣。《玉篇．雨部》：「雰，霧氣也。」《黃帝內經素問．卷二一．六元正紀大論》：「大寒迺至，川澤嚴凝，寒雰結為霜雪。」
2.氣的通稱。唐．李紳〈華山慶雲見〉詩：「氣色含珠日，晴光吐翠雰。」</t>
  </si>
  <si>
    <t>棻</t>
  </si>
  <si>
    <t>[名]
有香味的樹木。《集韻．平聲．文韻》：「梤，《說文》：『香木也。亦作棻。』」
[形]
茂盛。《文選．班固．西都賦》：「五穀垂穎，桑麻鋪棻。」</t>
  </si>
  <si>
    <t>饙</t>
  </si>
  <si>
    <t>[動]
蒸飯，米煮半熟後以箕漉出再蒸熟。清．朱駿聲《說文通訓定聲．屯部》：「饙，滫飯也。如今北方蒸飯，先以米下水一涫漉出，再蒸勻熟之。下水涫之曰饙，再蒸之曰餾。」《詩經．大雅．泂酌》：「挹彼注茲，可以饙饎。」</t>
  </si>
  <si>
    <t>汾</t>
  </si>
  <si>
    <t>ㄈㄣˊ</t>
  </si>
  <si>
    <t>fén</t>
  </si>
  <si>
    <t>參見「汾河」條。</t>
  </si>
  <si>
    <t>弅</t>
  </si>
  <si>
    <t>(一)ㄈㄣˋ fèn（01685）</t>
  </si>
  <si>
    <t>妢</t>
  </si>
  <si>
    <t>參見「妢胡」條。</t>
  </si>
  <si>
    <t>枌</t>
  </si>
  <si>
    <t>[名]
植物名。榆科榆屬，「白榆」之古稱，參見「白榆」條。</t>
  </si>
  <si>
    <t>秎</t>
  </si>
  <si>
    <t>(一)ㄈㄣˋ fèn（01687）</t>
  </si>
  <si>
    <t>蚡</t>
  </si>
  <si>
    <t>[名]
1.同「鼢」。《說文解字．鼠部》：「鼢，地中行鼠，伯勞所化也，……或从虫、分。」
2.人名用字。如漢代時田蚡。</t>
  </si>
  <si>
    <t>棼</t>
  </si>
  <si>
    <t>[名]_x000D_
1.短梁。《三國志．卷四九．吳書．劉繇太史慈士燮傳．太史慈》：「賊於屯裡緣樓上行詈，以手持樓棼，慈引弓射之，矢貫手著棼，圍外萬人莫不稱善。」_x000D_
2.麻布。《周禮．春官宗伯．巾車》：「素車棼蔽，犬幦素飾，小服皆素。」漢．鄭玄．注：「棼，讀為薠，薠麻以為蔽。」_x000D_
[動]_x000D_
使紊亂。《左傳．隱公四年》：「臣聞以德和民不聞以亂。以亂，猶治絲而棼之也。」</t>
  </si>
  <si>
    <t>鼢</t>
  </si>
  <si>
    <t>[名]
參見「鼢鼠」條。</t>
  </si>
  <si>
    <t>ㄈㄣˋ</t>
  </si>
  <si>
    <t>fèn</t>
  </si>
  <si>
    <t>[形]
大。《詩經．大雅．靈臺》：「虡業維樅，賁鼓維鏞。」唐．孔穎達．正義：「賁，大也。故謂為賁鼓。」</t>
  </si>
  <si>
    <t>(一)ㄅㄧˋ bì（00404）(二)ㄅㄣ bēn（00268）</t>
  </si>
  <si>
    <t>[名]
1.水邊、岸邊。《詩經．大雅．常武》：「鋪敦淮濆，仍執醜虜。」漢．毛亨．傳：「濆，涯。」
2.河川名。在大陸地區河南省郾城縣，是汝水的支流。</t>
  </si>
  <si>
    <t>(二)ㄆㄣ pēn（00735）</t>
  </si>
  <si>
    <t>墳</t>
  </si>
  <si>
    <t>[名]
1.用土築成高起的墓。如：「墳墓」。宋．蘇軾〈江城子．十年生死兩茫茫〉詞：「千里孤墳，無處話淒涼。」
2.堤防、高地。《詩經．周南．汝墳》：「遵彼汝墳，伐其條枚。」漢．毛亨．傳：「墳，大防也。」《楚辭．屈原．九章．哀郢》：「登大墳以遠望兮，以舒吾憂心。」清．王夫之．通釋：「墳，隄岸也。」
3.古代的經書典籍。如：「三墳五典」。
[形]
大的。《詩經．小雅．苕之華》：「牂羊墳首，三星在罶。」漢．毛亨．傳：「墳，大也。」</t>
  </si>
  <si>
    <t>(二)ㄈㄣˋ fèn（01691）</t>
  </si>
  <si>
    <t>幩</t>
  </si>
  <si>
    <t>[名]
馬御兩旁的綢條飾物。《詩經．衛風．碩人》：「四牡有驕，朱幩鑣鑣，翟茀以朝。」漢．毛亨．傳：「幩，飾也。人君以朱纏鑣扇汗，且以為飾。」</t>
  </si>
  <si>
    <t>蕡</t>
  </si>
  <si>
    <t>[名]_x000D_
雜草的香氣。《說文解字．艸部》：「蕡，雜香艸。」_x000D_
[形]_x000D_
草木果實很多的樣子。《玉篇．艸部》：「蕡，草木多實。」《詩經．周南．桃夭》：「桃之夭夭，有蕡其實。」漢．毛亨．傳：「蕡，實貌。」_x000D_
[動]_x000D_
擾亂。《墨子．天志下》：「故墨子言曰：『是蕡我者。則豈有以異是蕡黑白甘苦之辯者哉！』」</t>
  </si>
  <si>
    <t>羵</t>
  </si>
  <si>
    <t>[名]
傳說中土裡的怪物。《國語．魯語下》：「水之怪物曰龍、罔象，土之怪曰羵羊。」</t>
  </si>
  <si>
    <t>鼖</t>
  </si>
  <si>
    <t>[名]
古代的軍用大鼓，長八尺。《說文解字．鼓部》：「鼖，大鼓謂之鼖。鼖八尺而兩面，以鼓軍事。」《明史．卷六二．樂志二》：「序屆夏首兮風氣薰，禮嚴時祫兮戛擊鐘鼖。」</t>
  </si>
  <si>
    <t>轒</t>
  </si>
  <si>
    <t>參見「轒櫓」、「轒轀」等條。</t>
  </si>
  <si>
    <t>豶</t>
  </si>
  <si>
    <t>[名]
閹割過的豬。《說文解字．豕部》：「豶，羠豕也。」清．段玉裁．注：「羠，騬羊也；騬，犗馬也；犗，騬牛也。皆去勢之謂也。」《北史．卷六九．陸通傳》：「郡界有豕生數子，經旬而死。其家又有豶，遂乳養之。」</t>
  </si>
  <si>
    <t>黂</t>
  </si>
  <si>
    <t>[名]
1.麻的果實。《爾雅．釋草》：「黂，枲實。」俗稱為「麻子」。
2.結實的麻。《淮南子．說山》：「見黂而求成布。」漢．高誘．注：「黂，麻之有實者，可以為布。」
3.麻絮。《列子．楊朱》：「昔者宋國有田夫，常衣縕黂。」</t>
  </si>
  <si>
    <t>焚</t>
  </si>
  <si>
    <t>[動]
1.燒。如：「玩火自焚」、「憂心如焚」。《春秋．桓公七年》：「七年春二月己亥，焚咸丘。」
2.古代刑罰之一。炮烙人犯。《書經．泰誓上》：「焚炙忠良，刳剔孕婦。」《周禮．秋官．掌戮》：「凡殺其親者焚之。」
[形]
乾。如：「焚風」。</t>
  </si>
  <si>
    <t>(二)ㄈㄣˋ fèn（01688）</t>
  </si>
  <si>
    <t>粉</t>
  </si>
  <si>
    <t>ㄈㄣˇ</t>
  </si>
  <si>
    <t>fěn</t>
  </si>
  <si>
    <t>[名]
1.擦在臉部的細末狀化妝品。《說文解字．米部》：「粉，傅面者也。」如：「脂粉」、「香粉」。《文選．宋玉．登徒子好色賦》：「東家之子，增之一分則太長，減之一分則太短，著粉則太白，施朱則太赤。」
2.細末。明．張自烈《正字通．米部》：「凡物磑之如屑者皆名粉。」如：「花粉」、「麵粉」、「胡椒粉」、「洗衣粉」。
[動]
1.塗抹、塗飾。如：「粉刷」。漢．揚雄《太玄經．卷五．視》：「粉其題䪻，雨其屋須，視無姝。」
2.碾碎、碎爛。如：「粉身碎骨」。《新五代史．卷七四．四夷附錄》：「乃發其墓，粉其骨而颺之。」
[形]
1.白色的。如：「粉蝶兒」。《儒林外史》第六回：「頭戴紗帽，身穿圓領補服，腳下粉底皂靴。」
2.北平方言。指猥褻的、淫穢的。如：「粉曲」、「粉戲」。</t>
  </si>
  <si>
    <t>[名]
1.個人在社會中所擁有的名位、職責與權利的範圍。如：「身分」、「本分」。《禮記．禮運》：「男有分，女有歸。」
2.情誼、關係。如：「情分」、「緣分」。《文選．曹植．贈白馬王彪詩》：「恩愛苟不虧，在遠分日親。」元．秦𥳑夫《東堂老．楔子》：「老夫與居士，通家往來，三十餘年，情同膠漆，分若陳、雷。」
3.成分。如：「糖分」、「養分」。
4.整體中一個單位。同「份」。如：「部分」、「我的分」。</t>
  </si>
  <si>
    <t>(一)ㄈㄣ fēn（01652）</t>
  </si>
  <si>
    <t>[名]
1.整體中的一個單位。如：「股份」。
2.量詞。計算定量事物的單位。如：「一份工作」、「兩份薪水」、「一份報紙」、「三份資料」、「兩份甜點」。</t>
  </si>
  <si>
    <t>(二)ㄅㄧㄣ bīn（00503）</t>
  </si>
  <si>
    <t>[形]
山丘高起的樣子。《莊子．知北遊》：「知北遊於元水之上，登隱弅之丘，而適遭無為謂焉。」</t>
  </si>
  <si>
    <t>(二)（又音）ㄈㄣˊ fén（01664）</t>
  </si>
  <si>
    <t>忿</t>
  </si>
  <si>
    <t>[動]
憤怒、怨恨。如：「忿怒」、「忿恨難平」。《戰國策．秦策五》：「王兵勝而不驕，伯主約而不忿。」</t>
  </si>
  <si>
    <t>[名]
收穫。《管子．立政》：「歲雖凶旱，有所秎穫，司空之事也。」</t>
  </si>
  <si>
    <t>(二)（又音）ㄈㄣˊ fén（01667）</t>
  </si>
  <si>
    <t>[動]
僵仆、敗壞。通「僨」。《左傳．襄公二十四年》：「象有齒，以焚其身，賄也。」唐．陸德明《經典釋文．卷一八．春秋左氏音義之四》：「服虔云：『焚，讀曰僨。僨，僵也。』」</t>
  </si>
  <si>
    <t>(一)ㄈㄣˊ fén（01681）</t>
  </si>
  <si>
    <t>僨</t>
  </si>
  <si>
    <t>[動]
1.倒仆。《左傳．隱公三年》：「庚戌，鄭伯之車僨于濟。」《呂氏春秋．似順論．慎小》：「明日有人能僨南門之外表者，仕長大夫。」
2.覆敗、敗壞。《禮記．大學》：「此謂一言僨事，一人定國。」
3.參見「僨興」條。</t>
  </si>
  <si>
    <t>憤</t>
  </si>
  <si>
    <t>[動]
1.心中想了解卻有困難。《論語．述而》：「不憤不啟，不悱不發。」
2.因心中不滿而動怒、生氣。如：「憤恨」、「憤怒」。唐．駱賓王〈代徐敬業討武氏檄〉：「是用氣憤風雲，志安社稷。」
[名]
仇恨。如：「化除私憤」。《宋史．卷二五五．列傳．張永德》：「張侍中誅我宗黨殆盡，希中以法，報私憤爾。」</t>
  </si>
  <si>
    <t>[動]
土地隆起。《左傳．僖公四年》：「公祭之地，地墳。」
[形]
土質肥沃。《書經．禹貢》：「厥土黑墳，厥草惟繇，厥木惟條。」</t>
  </si>
  <si>
    <t>(一)ㄈㄣˊ fén（01673）</t>
  </si>
  <si>
    <t>參見「嚏噴」條。</t>
  </si>
  <si>
    <t>(一)ㄆㄣ pēn（00736）(二)ㄆㄣˋ pèn（00740）</t>
  </si>
  <si>
    <t>[名]
肉羹。《說文解字．肉部》：「膹，𦞦也。」漢．桓寬《鹽鐵論．散不足》：「鷇膹鴈羹。」
[動]
1.切熟肉。《廣韻．上聲．吻韻》：「膹，切熟肉也。」
2.粗切生肉。漢．史游《急就篇》卷三：「膹膾炙胾各有形。」唐．顏師古．注：「膹，麤切生肉也。」
3.鬱積。通「憤」。《黃帝內經素問．卷二二．至真要大論》：「諸氣膹鬱，皆屬於肺。」</t>
  </si>
  <si>
    <t>(二)（又音）ㄈㄟˋ fèi（01590）</t>
  </si>
  <si>
    <t>奮</t>
  </si>
  <si>
    <t>[動]
1.鳥振動翅膀。《廣韻．去聲．問韻》：「奮，鳥張毛羽奮奞也。」《禮記．樂記》：「然後草木茂，區萌達，羽翼奮。」《淮南子．時則》：「鳴鳩奮其羽，戴鵀降于桑。」
2.舉起、振動。如：「奮筆疾書」。《淮南子．氾論》：「身自奮袂執銳，以為百姓請命于皇天。」《文選．楊惲．報孫會宗書》：「奮袖低昂，頓足起舞。」
3.振作。如：「振奮」。《淮南子．說林》：「人莫不奮身于其所不足。以兔之走使犬如馬，則逮日歸風。」
4.發揚。《禮記．樂記》：「奮至德之光，動四氣之和。」
5.拚命、勇不顧身。如：「奮不顧身」。
[名]
姓。如春秋時楚有奮揚。</t>
  </si>
  <si>
    <t>糞</t>
  </si>
  <si>
    <t>[動]
1.掃、棄。《說文解字．𠦒部》：「糞，棄除也。」《左傳．昭公三年》：「自子之歸也，小人糞除先人之敝廬，曰子其將來。」宋．陸游〈智者寺興造記〉：「事廢不舉，地茀不糞，棟撓柱腐。」
2.施肥。《禮記．月令》：「可以糞田疇，可以美土疆。」
[名]
1.屎，動物的肛門排泄物。如：「鳥糞」、「牛糞」。元．馬致遠〈耍孩兒．近來時買得匹蒲梢騎套．四煞〉：「拋糞時教乾處拋，尿綽時教淨處尿。」
2.肥料。明．徐光啟《農政全書．卷六．農事．營治上》：「劚起宿土，雜以蒿草，火燎之，以絕蟲類，併得為糞。」</t>
  </si>
  <si>
    <t>瀵</t>
  </si>
  <si>
    <t>[動]
水自地下噴湧而出。《爾雅．釋水》：「瀵，大出尾下。」宋．邢昺．疏：「尾，猶底也。言源深大出於底下者名瀵。」唐．劉禹錫〈機汲記〉：「雖瀵湧於庭，莫尚其霈洽也。」
[名]
噴湧出的泉水。《列子．湯問》：「山名壺領，狀若甔甀，頂有口……有水湧出，名曰神瀵。」</t>
  </si>
  <si>
    <t>匚</t>
  </si>
  <si>
    <t>ㄈㄤ</t>
  </si>
  <si>
    <t>fāng</t>
  </si>
  <si>
    <t>[名]
1.古代一種盛物的器具。《說文解字．匚部》：「匚，受物之器。」
2.二一四部首之一。</t>
  </si>
  <si>
    <t>方</t>
  </si>
  <si>
    <t>[名]
1.四個角都是九十度的四邊形。如：「正方形」、「長方形」。
2.區域。如：「地方」、「遠方」。
3.古代稱地為「方」。《淮南子．本經》：「戴圓履方，抱表懷繩。」漢．高誘．注：「圓，天也；方，地也。」
4.位置、地位的一邊或一面。如：「東方」、「四面八方」、「對方」、「我方」、「雙方」。
5.法子、辦法。如：「方法」、「千方百計」、「教導有方」。
6.治病的藥單、配藥的單子。如：「藥方」、「偏方」、「祕方」、「處方」。《鏡花緣》第二九回：「此跌打損傷第一奇方。」
7.數學上的乘方。如：「平方」、「立方」。
8.量詞。計算方形物品的單位。相當於「塊」、「個」。如：「匾額一方」、「一方手帕」、「三方圖章」。
9.姓。如明代有方孝孺。
10. 二一四部首之一。
[形]
1.方形的。如：「方桌」、「方陣」。
2.某一地的。如：「方音」、「方言」、「方志」。
3.正直。如：「品行方正」。《老子》第五八章：「是以聖人方而不割，廉而不劌。」《漢書．卷五六．董仲舒傳》：「悼王道之不昭，故舉賢良方正之士。」
[副]
1.才、始。如：「書到用時方恨少」、「如夢方醒」。《紅樓夢》第四回：「今年方四十上下，只有薛蟠一子。」
2.正、適。如：「來日方長」、「方興未艾」。《論語．季氏》：「及其壯也，血氣方剛，戒之在鬥。」
3.將。《後漢書．卷一七．馮異傳》：「璽書勞異曰：『方論功賞，以答大勛。』」《資治通鑑．卷六五．漢紀五十七．獻帝建安十三年》：「今治水軍八十萬眾，方與將軍會獵於吳。」
[介]
當、在。《莊子．人間世》：「方今之時，僅免刑焉。」《漢書．卷六六．楊敞傳》：「惲家方隆盛時，乘朱輪者十人。」</t>
  </si>
  <si>
    <t>邡</t>
  </si>
  <si>
    <t>[名]
什邡縣：縣名。位四川省。</t>
  </si>
  <si>
    <t>坊</t>
  </si>
  <si>
    <t>[名]
1.街道、里巷。多用作街巷名。如：「街坊」。《北史．卷一五．魏諸宗室傳．昭成子孫傳》：「淮南人相率投附者三千餘家，置之城東汝水之側，名曰歸義坊。」唐．白居易〈寄張十八〉詩：「迢迢青槐街，相去八九坊。」
2.泛指市區中的商店。
3.較小規模的工作場所。如：「磨坊」、「工作坊」、「染坊」、「酒坊」。
4.紀念表彰人物或表示美觀的建築物。如：「牌坊」、「忠孝坊」、「貞節坊」。明．徐弘祖《徐霞客遊記．卷一〇上．滇遊日記十二》：「山門內有古坊，曰雲隱寺。」</t>
  </si>
  <si>
    <t>(二)ㄈㄤˊ fáng（01706）</t>
  </si>
  <si>
    <t>妨</t>
  </si>
  <si>
    <t>何妨的妨的又音。</t>
  </si>
  <si>
    <t>(一)ㄈㄤˊ fáng（01707）</t>
  </si>
  <si>
    <t>枋</t>
  </si>
  <si>
    <t>[名]
1.古代的一種樹木，木質堅硬，可製車。《說文解字．木部》：「枋，木。可作車。」
2.方形的木柱。明．徐光啟《農政全書．卷三三．蠶桑．蠶事圖譜》：「蠶架，閣蠶盤筐具也。以細枋四莖豎之，高可八九尺；上下以竹通作橫桄十層。」</t>
  </si>
  <si>
    <t>芳</t>
  </si>
  <si>
    <t>[名]
1.花草的香氣。《說文解字．艸部》：「芳，香艸。」清．段玉裁．注：「香艸當作艸香。」漢．武帝〈秋風辭〉：「蘭有秀兮菊有芳，懷佳人兮不能忘。」唐．柳宗元〈南中榮橘柚〉詩：「密林耀朱綠，晚歲有餘芳。」
2.香草、花草。如：「孤芳自賞」。唐．白居易〈賦得古原草送別〉詩：「遠芳侵古道，晴翠連荒城。」宋．羅願《爾雅翼．卷二．茝》：「王逸章句曰：『行清潔者佩芳。』」
3.比喻美好的德性或聲譽。如：「流芳百世」。
[形]
1.對人的敬稱。如：「芳翰」、「芳儀」、「芳名」。
2.美好的。如：「芳姿」、「芳辰」。南朝宋．劉鑠〈擬行行重行行詩〉：「芳年有華月，佳人無還期。」</t>
  </si>
  <si>
    <t>肪</t>
  </si>
  <si>
    <t>(一)ㄈㄤˊ fáng（01710）</t>
  </si>
  <si>
    <t>鈁</t>
  </si>
  <si>
    <t>[名]
古時一種方口的量器。《說文解字．金部》：「鈁，方鐘也。」</t>
  </si>
  <si>
    <t>ㄈㄤˊ</t>
  </si>
  <si>
    <t>fáng</t>
  </si>
  <si>
    <t>[名]
堤坊。《禮記．經解》：「以舊坊為無所用而壞之者，必有水敗。」
[動]
防範、防止。同「防」。《禮記．坊記》：「故君子禮以坊德，刑以坊淫，命以坊欲。」</t>
  </si>
  <si>
    <t>(一)ㄈㄤ fāng（01700）</t>
  </si>
  <si>
    <t>[動]
損害、阻礙。如：「妨害」、「妨礙」。《左傳．隱公三年》：「且夫賤妨貴，少陵長，遠間親，新間舊，小加大，淫破義，所謂六逆也。」唐．韓愈〈落齒〉詩：「叉牙妨食物，顛倒怯漱水。」</t>
  </si>
  <si>
    <t>(二)ㄈㄤ fāng（01701）</t>
  </si>
  <si>
    <t>防</t>
  </si>
  <si>
    <t>[名]
1.堤、壩。《說文解字．阜部》：「防，隄也。」《周禮．地官．稻人》：「以瀦畜水，以防止水。」
2.要塞。《史記．卷六九．蘇秦傳》：「民力罷敝，雖有長城、鉅防，惡足以為塞？」唐．白居易〈與仕明詔〉：「卿久鎮邊防，初膺閫寄。」
3.戒備的事。如：「冬防」、「海防」、「國防」。
4.姓。如漢代有防廣。
[動]
1.築堤。《周禮．冬官考工記．匠人》：「善溝者水漱之，善防者水淫之。」
2.戒備。如：「防備」、「提防」、「以防萬一」、「保密防諜」。</t>
  </si>
  <si>
    <t>房</t>
  </si>
  <si>
    <t>[名]_x000D_
1.居室的全體，也稱為房子或房屋。如：「樓房」、「平房」。宋．梅堯臣〈杜鵑〉詩：「月樹啼方急，山房客未眠。」《水滸傳》第三二回：「廳上放著三把虎皮交椅，後面有百十間草房。」《警世通言．卷三一．趙春兒重旺曹家莊》：「在墳邊左近，有一所空房要賣，只要五十兩銀子。」_x000D_
2.居室中的一間。如：「書房」、「臥房」、「閨房」、「客房」。三國魏．曹丕〈燕歌行〉：「賤妾煢煢守空房，憂來思君不敢忘，不覺淚下霑衣裳。」《太平廣記．卷二三六．隋煬帝》引《紀聞》：「又殿內房中，不燃膏火，懸大珠一百二十以照之，光比白日。」_x000D_
3.構造或作用像房子的物體。如：「蜂房」、「蓮房」、「花房」。北周．庾信〈詠園花〉詩：「燕送歸菱井，蜂銜上蜜房。」唐．柳宗元〈柳州山水近治可游者記〉：「其宇下有流石成形，如肺肝，如茄房。」_x000D_
4.家族的分支。《新唐書．卷七五．宰相世系表五上》：「大房白麟後絕，第三房叔夜後無聞。」《警世通言．卷二五．桂員外途窮懺悔》：「我有遠房親族在會稽地方。向因家貧久不來往。」《儒林外史》第一六回：「恰好三房的阿叔過來催房子，匡超人丟下酒，向阿叔作揖下跪。」 _x000D_
5.妻室、妻子。《晉書．卷三三．列傳．石苞》：「後房百數，皆曳紈繡，珥金翠。」《喻世明言．卷一．蔣興哥重會珍珠衫》：「這平氏到是明媒正娶，又且平氏年長一歲，讓平氏為正房，王氏反做偏房。」《儒林外史》第五回：「明日我若死了，就把你扶正做個填房。」_x000D_
6.姓。如唐代有房玄齡、房琯。_x000D_
[量]_x000D_
1.舊時計算妻妾的單位。《喻世明言．卷二二．木綿菴鄭虎臣報冤》：「只我家相公要討一房側室，你若願意，我攛掇多把幾貫錢鈔與你。」《儒林外史》第二八回：「我們風流人物，只要才子佳人會合，一房兩房，何足為奇？」_x000D_
2.計算親事、親戚家數的單位。如：「有三房親戚」、「五房兄弟」。《喻世明言．卷九．裴晉公義還原配》：「某幼年定下一房親事，因屢任南方，未成婚配。」《紅樓復夢》第八五回：「況且我家兩房兄弟得道，已是古今創聞。」_x000D_
3.計算花朵、果實的單位。宋．陸游《老學庵筆記》卷三：「蜀孟氏時，苑中忽生百合花一本，數百房，皆並蒂。」宋．王溥《唐會要．卷一〇〇．雜錄》：「葉護獻馬乳葡萄一房，長二尺，子亦稍大，其色紫。」_x000D_
4.計算形狀、結構似房的物品的單位。唐．李洞〈山居喜友人見訪〉詩：「看待詩人無別物，半潭秋水一房山。」明．李時珍《本草綱目．卷三九．蟲部一．大黃蜂》：「一房蜂兒五、六斗至一石，揀狀如蠶蛹瑩白者，以鹽炒暴乾，寄入京洛以為方物。」</t>
  </si>
  <si>
    <t>[名]
動物體內的油脂。如：「脂肪」。《文選．曹丕．與鍾大理書》：「白如截肪，黑譬純漆。」元．陶宗儀《南村輟耕錄．卷二六．鵰傳》：「啄胔扼吭，裂肪絕筋。」</t>
  </si>
  <si>
    <t>(二)（又音）ㄈㄤ fāng（01704）</t>
  </si>
  <si>
    <t>魴</t>
  </si>
  <si>
    <t>[名]
動物名。魚綱鯉科。銀灰色。體形似鯿，胸平，背部隆起。草食性，為淡水經濟魚類之一。</t>
  </si>
  <si>
    <t>仿</t>
  </si>
  <si>
    <t>ㄈㄤˇ</t>
  </si>
  <si>
    <t>fǎng</t>
  </si>
  <si>
    <t>[動]
1.效法。如：「仿古」、「模仿」、「效仿」。
2.似、像。如：「年紀相仿」、「他長的和他叔叔極為相仿。」</t>
  </si>
  <si>
    <t>參見「彷彿」條。</t>
  </si>
  <si>
    <t>(一)ㄆㄤˊ páng（00750）</t>
  </si>
  <si>
    <t>放</t>
  </si>
  <si>
    <t>[動]
1.依據。《論語．里仁》：「放於利而行，多怨。」
2.至。《孟子．梁惠王下》：「南放於琅邪。」
3.仿效。《後漢書．卷四十．班彪傳上》：「據坤靈之正位，放太紫之圓方。」宋．蘇軾〈上韓太尉書〉：「皆依放儒術六經之言，而取其近似者以為口實。」</t>
  </si>
  <si>
    <t>(一)ㄈㄤˋ fàng（01722）</t>
  </si>
  <si>
    <t>昉</t>
  </si>
  <si>
    <t>[動]
太陽剛出來。明．張自烈《正字通．日部》：「昉，日初明也。」
[副]
始。《列子．黃帝》：「既出，果得珠焉。眾昉同疑。」晉．張湛．注：「昉，始也。」</t>
  </si>
  <si>
    <t>瓬</t>
  </si>
  <si>
    <t>[名]
製造陶、瓦器的人。《說文解字．瓦部》：「瓬，周家搏埴之工也。」《周禮．冬官考工記．瓬人》：「瓬人為簋，實一觳，崇尺。」</t>
  </si>
  <si>
    <t>倣</t>
  </si>
  <si>
    <t>[動]
仿效、學習。同「仿」。唐．韓愈〈論佛骨表〉：「轉相倣效，惟恐後時。」</t>
  </si>
  <si>
    <t>舫</t>
  </si>
  <si>
    <t>[名]
1.並連的兩船。《爾雅．釋言》：「舫，舟也。」晉．郭璞．注：「並兩船。」《太平御覽．卷七七〇．舟部．舸》：「遂解舫為單舸，一日一夜行五六百里，遂得免。」
2.船的通稱。如：「遊舫」、「畫舫」。唐．韋應物〈夕次盱眙縣〉詩：「落帆逗淮鎮，停舫臨孤驛。」</t>
  </si>
  <si>
    <t>紡</t>
  </si>
  <si>
    <t>[名]
柔軟細密的絲織品。如：「杭紡」。《儀禮．聘禮》：「賓裼，迎大夫賄，用束紡。」
[動]
將絲、麻、棉等抽成線紗。《晉書．卷九〇．良吏傳．吳隱之傳》：「裁留身糧，其餘悉分振親族，家人績紡以供朝夕。」</t>
  </si>
  <si>
    <t>訪</t>
  </si>
  <si>
    <t>[動]_x000D_
1.詢問、徵詢。《左傳．哀公十一年》：「季孫欲以田賦，使冉有訪諸仲尼。」《宋書．卷七五．列傳．王僧達》：「內慮於己，外訪於親，以為天地之仁，施不期報，再造之恩，不可妄屬。」_x000D_
2.調查、偵察。如：「明察暗訪」。《三國志．卷一二．魏書．崔毛徐何刑鮑司馬傳．崔琰》：「太祖狐疑，以函令密訪於外。」《舊五代史．卷一一二．周書．太祖本紀三》：「遣偽宰相宋齊丘宴昌祚於別館，又令訪昌祚在湖南遭變之時，亡失綱運之數，命依數償之。」_x000D_
3.尋求、探尋。《晉書．卷九一．儒林列傳．序》：「於是傍求蠹簡，博訪遺書。」宋．蘇軾〈石鐘山記〉：「至唐李渤始訪其遺蹤，得雙石於潭上。」_x000D_
4.探望、拜望。如：「探訪」、「拜訪」。《宋史．卷四五九．卓行列傳．巢谷》：「谷獨慨然自眉山誦言欲徒步訪兩蘇，聞者皆笑其狂。」元．耶律楚材〈贈蒲察元帥〉詩七首之一：「閑騎白馬思無窮，來訪西城綠髮翁。」_x000D_
[名]_x000D_
姓。如唐代有訪式。</t>
  </si>
  <si>
    <t>髣</t>
  </si>
  <si>
    <t>參見「髣髴」條。</t>
  </si>
  <si>
    <t>ㄈㄤˋ</t>
  </si>
  <si>
    <t>fàng</t>
  </si>
  <si>
    <t>[動]
1.逐。如：「流放」。《楚辭．屈原．漁父．序》：「屈原放逐在江湘之閒，憂愁歎吟，儀容變易。」
2.棄。《三國志．卷四四．蜀書．姜維傳》：「尋被後主敕令，乃投戈放甲。」
3.放縱、任由。如：「放聲高歌」、「放言高論」。《孟子．告子上》：「舍其路而弗由，放其心而不知求，哀哉！」
4.安置。如：「陳放」、「安放」。《水滸傳》第二一回：「一桶盤拖上樓來，放在春臺上。」
5.發出。如：「施放」、「鳴放」。《三國演義》第五回：「堅取箭，連放兩箭，皆被華雄躲過。」
6.開、展。如：「心花怒放」、「百花開放」。
7.在一定時間後停止。如：「放學」、「放工」。
8.任官職，多指京官外任而言。如：「外放」、「下放」。《兒女英雄傳》第四〇回：「賞了頭等官加了個副都統銜，放了烏里雅蘇臺的參贊大臣了。」
9.弄，置於「仔細」、「明白」、「聰明」等詞前，有提請注意的意思。如：「放明白些」、「放聰明點」。元．關漢卿《蝴蝶夢》第三折：「哥哥，你丟我時，放仔細些，我肚子上有個癤子哩。」
10. 打網球、排球、乒乓球時的偷襲。如：「他在網前放小球，漂亮極了！」
[形]
放蕩、不拘束。如：「豪放」、「狂放」、「奔放」。</t>
  </si>
  <si>
    <t>(二)ㄈㄤˇ fǎng（01714）</t>
  </si>
  <si>
    <t>丰</t>
  </si>
  <si>
    <t xml:space="preserve">丨 </t>
  </si>
  <si>
    <t>ㄈㄥ</t>
  </si>
  <si>
    <t>fēng</t>
  </si>
  <si>
    <t>[形]
1.草木茂盛的樣子。《說文解字．生部》：「丰，艸盛丰丰也。」
2.容貌美好或豐滿的樣子。《詩經．鄭風．丰》：「子之丰兮，俟我乎巷兮。」
[名]
1.神態、風韻。通「風」。如：「丰姿」、「丰采」、「丰儀」。
2.《詩經．鄭風》的篇名。共四章。根據〈詩序〉：「〈丰〉，刺亂也。」或亦指女子初不欲嫁其人，既乃悔而從之之詩。首章三句為：「子之丰兮，俟我乎巷兮；悔予不送兮。」</t>
  </si>
  <si>
    <t>封</t>
  </si>
  <si>
    <t>[名]
1.包好的或用來裝東西的紙袋。如：「賞封」、「信封」、「拆封」。
2.量詞。計算包裹或裝上封套物件的單位。如：「一封信」。唐．高適〈送李少府貶峽中王少府貶長沙〉詩：「巫峽啼猿數行淚，衡陽歸雁幾封書。」《紅樓夢》第二回：「至次日早有雨村遣人送了兩封銀子……答謝甄家娘子。」
3.疆界。《左傳．僖公三十年》：「（晉）又欲肆其西封。」晉．杜預．注：「封，疆也。」
4.姓。唐代有封演。
[動]
1.密閉、緘合。如：「大雪封山」、「封住洞口」。《後漢書．卷六．順帝紀》：「而遠獻大珠，以求幸媚，今封以還之。」唐．白居易〈秦中吟．買花〉：「水灑復泥封，移來色如故。」
2.封閉、禁止使用。如：「查封」。《史記．卷六．秦始皇本紀》：「沛公遂入咸陽，封宮室府庫，還軍霸上。」
3.限制。如：「故步自封」。
4.舊時帝王以土地、爵位、名號授給王族或有功的人。《孟子．告子下》：「周公之封於魯，為方百里也。」《史記．卷七七．魏公子傳》：「安釐王即位，封公子為信陵君。」
5.聚土築墳。《易經．繫辭下》：「古之葬者，厚衣之以薪，葬之中野，不封不樹。」唐．孔穎達．正義：「不積土為墳，是不封也。」《禮記．樂記》：「封王子比干之墓，釋箕子之囚。」
6.天子築壇祭天。《管子．地數》：「封於泰山，禪於梁父。封禪之王，七十二家。」
7.富厚、增加。《國語．楚語上》：「是聚民利以自封而瘠民也。」三國吳．韋昭．注：「封，厚也。」唐．杜甫〈風疾舟中伏枕書懷三十六韻奉呈湖南親友〉詩：「春草封歸恨，源花費獨尋。」
8.圍棋中以破壞對手的通道而對其實施封鎖的下法。</t>
  </si>
  <si>
    <t>犎</t>
  </si>
  <si>
    <t>[名]
犎牛：古代一種背上肉隆起像駱駝的野牛。《爾雅．釋畜》「犦牛」句下晉．郭璞．注：「即犎牛也。領上肉犦胅起，高二尺許，狀如橐駝，肉鞍一邊，健行者日三百餘里，今交州合浦徐聞縣出此牛。」</t>
  </si>
  <si>
    <t>葑</t>
  </si>
  <si>
    <t>[名]
植物名。十字花科蕓薹屬，「蕪菁」、「蔓菁」之古稱。《說文解字．艸部》：「葑，須從。」段玉裁注引〈坊記〉：「葑，蔓菁也，陳宋之閒謂之葑。」也稱為「蔓菁」。參見「蕪菁」、「蔓菁」條。</t>
  </si>
  <si>
    <t>風</t>
  </si>
  <si>
    <t>[名]
1.流動的空氣。如：「春風」、「秋風」、「樹欲靜而風不止，子欲養而親不待。」
2.景象。如：「風光」、「風景」。
3.習氣、習俗。如：「校風」、「移風易俗」、「傷風敗俗」、「世風日下，人心不古。」
4.神態、作為、氣韻。如：「作風」、「風度」、「風格」。《魏書．卷四十五．杜銓傳》：「銓學涉有長者風，與盧玄、高允等同被徵為中書博士。」
5.消息。如：「口風」、「通風報信」、「聞風而來」。《水滸傳》第四九回：「顧大嫂道：『伯伯，你的樂阿舅透風與我們了。』」
6.事端。如：「風波」。
7.榮寵。如：「爭風吃醋」。
8.《詩經》六義之一。指《詩經．國風》中收集的民俗歌謠。《詩經．大序》：「故《詩》有六義焉，一曰風，二曰賦，三曰比，四曰興，五曰雅，六日頌。」
9.泛指民謠、歌謠。《漢書．卷三〇．藝文志》：「自孝武立樂府而采歌謠，於是有代趙之謳，秦楚之風。」南朝梁．劉勰《文心雕龍．樂府》：「匹夫庶婦，謳吟土風，詩官採言，樂盲被律。」
10.中醫上稱某些病症為「風」。如：「風溼」、「風寒」、「羊癲風」。
11.姓。如春秋時楚國有風胡子。
12.二一四部首之一。
[動]
1.借風力的吹拂使東西乾燥或潔淨。如：「風乾」、「風雞」、「晒乾風淨」。
2.動物雌雄相誘。如：「風馬牛不相及」。
[形]
傳說沒有根據的。如：「風聞」、「風言風語」。</t>
  </si>
  <si>
    <t>(二)ㄈㄥˋ fèng（01748）</t>
  </si>
  <si>
    <t>楓</t>
  </si>
  <si>
    <t>[名]_x000D_
植物名：（1）包括「三角楓」、「五角楓」、「青楓」等一群落葉喬木之俗稱。葉對生，掌狀裂。繖房或圓錐花序。翅果二枚相連，張開成鈍角或銳角。也稱為「槭」、「槭樹」。（2）楓香之古稱，參見「楓香」條。秋間葉落前，葉色由黃而紅，甚為美觀，故常栽培為庭園樹。俗稱為「楓樹」。</t>
  </si>
  <si>
    <t>瘋</t>
  </si>
  <si>
    <t>[形]
精神失常的、不正常的。如：「瘋子」、「瘋言瘋語」。
[動]
癲狂、神經錯亂。《紅樓夢》第四二回：「你瞧瞧這寶丫頭瘋了，審問我什麼？」</t>
  </si>
  <si>
    <t>諷</t>
  </si>
  <si>
    <t>(一)ㄈㄥˋ fèng（01749）</t>
  </si>
  <si>
    <t>峰</t>
  </si>
  <si>
    <t>[名]
1.高而尖的山頭。如：「頂峰」、「高峰」、「顛峰」。宋．蘇軾〈題西林壁〉詩：「橫看成嶺側成峰，遠近高低總不同。」
2.形似山頭高起的部分。如：「駝峰」、「波峰」。</t>
  </si>
  <si>
    <t>烽</t>
  </si>
  <si>
    <t>[名]
古代邊防警報、求援用的煙火信號。《史記．卷一一七．司馬相如傳》：「夫邊郡之士，聞烽舉燧燔，皆攝弓而馳，荷兵而走。」唐．杜甫〈秦州雜詩〉二〇首之一八：「警急烽常報，傳聲檄屢飛。」</t>
  </si>
  <si>
    <t>蜂</t>
  </si>
  <si>
    <t>[名]
昆蟲綱膜翅目蜂類的泛稱。共含六科，約一萬二千多種。體長約一至三公分，會飛，多有毒刺，能蜇人，常群居一起。較常見的有蜜蜂、黃蜂等。</t>
  </si>
  <si>
    <t>鋒</t>
  </si>
  <si>
    <t>[名]
1.兵器銳利的部分。如：「刀鋒」、「劍鋒」。
2.泛指器物的尖端部分。如：「筆鋒」、「針鋒」。
3.借指刀、劍等兵器。《史記．卷九二．淮陰侯傳》：「且天下銳精持鋒欲為陛下所為者甚眾，顧力不能耳。」晉．陸機〈從軍行〉：「飛鋒無絕影，鳴鏑自相和。」
4.軍隊的前列或在前領導的人。如：「先鋒」、「前鋒」。
5.銳利的情勢。如：「詞鋒」、「禪鋒」。《史記．卷九二．淮陰侯傳》：「此乘勝而去國遠鬥，其鋒不可當。」
6.氣象學上指密度、溫度、溼度等性質不同的兩氣團間之交界面或交替帶。如：「冷鋒」、「暖鋒」。
[形]
銳利的。如：「鋒刃」。</t>
  </si>
  <si>
    <t>豐</t>
  </si>
  <si>
    <t xml:space="preserve">豆 </t>
  </si>
  <si>
    <t>[形]
1.厚、多。如：「豐富」、「豐衣足食」。《文選．陸機．辯亡論下》：「其器利，其財豐。」
2.大。如：「豐功偉業」。《列子．楊朱》：「豐屋美服，厚味姣色。」
3.肥美、飽滿。如：「豐腴」、「豐滿」。唐．韓愈〈送李愿歸盤谷序〉：「入耳而不煩，曲眉豐頰。」
4.富饒。如：「豐饒」。《文選．張衡．西京賦》：「地沃野豐，百物殷阜。」《南史．卷五十四．梁簡文帝諸子傳．南郡王大連傳》：「會稽豐沃，糧仗山積。」
5.茂盛。宋．歐陽修〈秋聲賦〉：「豐草綠縟而爭茂，佳木蔥蘢而可悅。」
[動]
使厚多。《國語．晉語一》：「義以生利，利以豐民。」
[名]
1.古代用以承酒觶的禮器，形似豆而較低。《儀禮．公食大夫》：「飲酒實于觶，加于豐。」
2.《易經》卦名。六十四卦之一。離（☲）下震（☳）上。象大之義。
3.姓。如宋代有豐稷。</t>
  </si>
  <si>
    <t>灃</t>
  </si>
  <si>
    <t>參見「灃水」條。</t>
  </si>
  <si>
    <t>酆</t>
  </si>
  <si>
    <t>[名]_x000D_
1.地名。周文王所都，故址位於今大陸地區陝西省西安市西南部。_x000D_
2.姓。如宋代有酆去奢。</t>
  </si>
  <si>
    <t>ㄈㄥˊ</t>
  </si>
  <si>
    <t>féng</t>
  </si>
  <si>
    <t>[動]
1.遭遇、碰上。如：「逢年過節」。《詩經．邶風．柏舟》：「薄言往愬，逢彼之怒。」
2.遇見。如：「相逢」、「久別重逢」。
3.用言語或行動討好別人。如：「逢迎」。《孟子．告子下》：「今之大夫皆逢君之惡。」《遼史．卷一〇一．蕭胡篤傳》：「胡篤長于騎射，見天祚好游畋，每言從禽之樂，以逢其意。」
[名]
姓。如漢代有逢萌。</t>
  </si>
  <si>
    <t>(二)ㄆㄥˊ péng（00786）</t>
  </si>
  <si>
    <t>摓</t>
  </si>
  <si>
    <t>[動]
1.用線織補衣服。同「縫」。《集韻．平聲．鍾韻》：「縫，說文：『以鍼紩衣也。』亦作摓。」
2.奉上。同「捀」。《史記．卷一二八．褚少孫補龜策傳》：「夫摓策定數，灼龜觀兆，變化無窮，是以擇賢而用占焉，可謂聖人重事者乎！」</t>
  </si>
  <si>
    <t>縫</t>
  </si>
  <si>
    <t>[動]
以針線綴補。如：「縫合傷口」。唐．孟郊〈遊子吟〉：「臨行密密縫，意恐遲遲歸。」</t>
  </si>
  <si>
    <t>(二)ㄈㄥˋ fèng（01752）</t>
  </si>
  <si>
    <t>渢</t>
  </si>
  <si>
    <t>參見「渢渢」條。</t>
  </si>
  <si>
    <t>[名]
姓。如春秋時鄭國有馮簡子，漢代有馮衍。</t>
  </si>
  <si>
    <t>(二)ㄆㄧㄥˊ píng（00975）</t>
  </si>
  <si>
    <t>ㄈㄥˇ</t>
  </si>
  <si>
    <t>fěng</t>
  </si>
  <si>
    <t>[動]
1.覆。參見「泛駕」條。
2.敗。《漢書．卷二四．食貨志上》：「殘賊公行，莫之或止；大命將泛，莫之振救。」
3.翻。《史記．卷九．呂太后本紀》：「齊王起，孝惠亦起，取卮欲俱為壽，太后迺恐，自起泛孝惠卮。」</t>
  </si>
  <si>
    <t>(一)ㄈㄢˋ fàn（01650）</t>
  </si>
  <si>
    <t>覂</t>
  </si>
  <si>
    <t xml:space="preserve">襾 </t>
  </si>
  <si>
    <t>[動]
1.覆。參見「覂駕」條。
2.缺乏。《新唐書．卷一五四．李晟傳》：「時敖廥單覂，乃使張彧假京兆少尹，多署吏，調畿內賦，不淹旬，芻米告具。」</t>
  </si>
  <si>
    <t>唪</t>
  </si>
  <si>
    <t>[動]
1.大笑。《說文解字．口部》：「唪，大笑也。」
2.誦唸。《紅樓夢》第二五回：「可巧王夫人見賈環下了學，命他來抄個金剛咒唪誦。」</t>
  </si>
  <si>
    <t>奉</t>
  </si>
  <si>
    <t>ㄈㄥˋ</t>
  </si>
  <si>
    <t>fèng</t>
  </si>
  <si>
    <t>[動]
1.拱捧。《左傳．成公二年》：「再拜稽首，奉觴加璧以進。」《韓非子．和氏》：「楚人和氏得玉璞楚山中，奉而獻之厲王。」
2.進獻。如：「奉獻」。《周禮．地官．大司徒》：「祀五帝，奉牛牲，羞其肆。」
3.敬受。如：「奉命」、「奉諭」。
4.推崇、擁戴。如：「奉為圭臬」。南朝宋．劉義慶《世說新語．賢媛》：「秦末大亂，東陽人欲奉嬰為主。」
5.信仰、遵循。如：「信奉」。《左傳．哀公六年》：「吾子奉義而行者也，若我可，不必亡一大夫。」
6.討好、巴結。如：「奉承」。宋．無名氏《梅妃傳》：「力士方奉太真，且畏其勢。」《儒林外史》第一〇回：「晚生只是個直言，並不肯阿諛趨奉。」
7.供養、侍候。如：「奉養」、「侍奉」、「奉親」。
8.祭祀。如：「供奉」。《北史．卷二〇．穆崇傳》：「道武異之，命崇立祀，子孫世奉焉。」唐．高郢〈再上諫造章敬寺書〉：「陛下奉先思孝，興福除禍。」
[名]
1.官員的薪資。同「俸」。《漢書．卷八．宣帝紀》：「今小吏皆勤事而奉祿薄，欲其毋侵漁百姓，難矣。」
2.姓。如漢代有奉揮。
[副]
自己的言行與他人有關時的敬詞。如：「奉勸」、「奉陪」、「奉送啟程」。</t>
  </si>
  <si>
    <t>俸</t>
  </si>
  <si>
    <t>[名]
薪資。以前單指官員所得的薪資、酬勞。如：「薪俸」、「月俸」、「高官厚俸」。《儒林外史》第七回：「到七日上，李老爺果然奉旨出獄，只罰了三個月的俸。」</t>
  </si>
  <si>
    <t>[動]
1.吹、吹風。如：「春風風人，夏雨雨人。」《孟子．公孫丑下》：「有寒疾不可以風。」宋．蘇軾〈與孫叔靜〉：「屬飲藥汗不可以風，未即諸謝，又枉使旌。」
2.婉言勸諫。通「諷」。《史記．卷五八．梁孝王世家》：「而王與任王后以此使人風止李太后。」《漢書．卷五七．司馬相如傳下》：「以風天子，且因宣其使指，令百姓皆知天子意。」</t>
  </si>
  <si>
    <t>(一)ㄈㄥ fēng（01727）</t>
  </si>
  <si>
    <t>[動]
1.譏刺。如：「諷刺」、「嘲諷」、「譏諷」。
2.誦讀。如：「諷經念佛」。
3.委婉勸諫。《文選．揚雄．甘泉賦》：「正月從上甘泉還，奏甘泉賦以諷。」</t>
  </si>
  <si>
    <t>(二)（又音）ㄈㄥ fēng（01730）</t>
  </si>
  <si>
    <t>鳳</t>
  </si>
  <si>
    <t>[名]
1.參見「鳳凰」條。
2.姓。如漢代有鳳綱。</t>
  </si>
  <si>
    <t>賵</t>
  </si>
  <si>
    <t>[名]
送給喪家助喪的物品。《集韻．去聲．送韻》：「賵，贈死之物。」《公羊傳．隱公元年》：「車馬曰賵，貨財曰賻，衣被曰襚。」
[動]
以車、馬等物助人辦喪事。《儀禮．既夕禮》：「公賵玄纁束馬兩。」漢．鄭玄．注：「賵，所以助主人送葬也。」</t>
  </si>
  <si>
    <t>[名]
1.縫合的地方。如：「衣縫」、「鞋縫」。《水滸傳》第二回：「頭戴遮塵暖帽，身穿直縫寬衫。」
2.空隙。如：「門縫」、「牆縫」、「裂縫」。唐．鄭巢〈題崔行先石室別墅〉詩：「桂蔭生野菌，石縫結寒澌。」</t>
  </si>
  <si>
    <t>(一)ㄈㄥˊ féng（01740）</t>
  </si>
  <si>
    <t>夫</t>
  </si>
  <si>
    <t>ㄈㄨ</t>
  </si>
  <si>
    <t>fū</t>
  </si>
  <si>
    <t>[名]
1.古代稱成年男子為「夫」，後泛稱男子。《說文解字．夫部》：「夫，丈夫也。」清．徐灝．箋：「男子已冠之偁也。」如：「征夫」、「懦夫」。《孟子．萬章下》：「耕者之所獲，一夫百畝。」
2.泛指一般人。如：「千夫所指」、「萬夫莫敵」、「匹夫」。
3.夫婿。如：「姊夫」、「前夫」、「亡夫」。《樂府詩集．卷二十八．相和歌辭三．無名氏．陌上桑詩》：「使君自有婦，羅敷自有夫。」
4.從事某種勞動的人。如：「漁夫」、「農夫」、「車夫」、「挑夫」、「樵夫」。</t>
  </si>
  <si>
    <t>(二)ㄈㄨˊ fú（01771）</t>
  </si>
  <si>
    <t>伕</t>
  </si>
  <si>
    <t>[名]
任勞役、做粗重工作的人。同「夫」。如：「車伕」、「力伕」。</t>
  </si>
  <si>
    <t>荴</t>
  </si>
  <si>
    <t>[動]
飄散。《漢書．卷九七．外戚傳上．孝武李夫人傳》：「函荾荴以俟風兮，芳雜襲以彌章。」顏師古注引孟康曰：「夫人之色如春華含荾敷散，以待風也。」</t>
  </si>
  <si>
    <t>趺</t>
  </si>
  <si>
    <t>[名]
腳背。同「跗」。《北史．卷九〇．藝術傳下．馬嗣明傳》：「嗣明為灸兩足趺上各三七壯，便愈。」
[動]
盤腿而坐。宋．蘇軾〈將往終南和子由見寄〉詩：「終朝危坐學僧趺，閉門不出閑履鳧。」</t>
  </si>
  <si>
    <t>鈇</t>
  </si>
  <si>
    <t>[名]
1.斬草的鍘刀。《說文解字．金部》：「鈇，斫莝刀也。」清．段玉裁．注：「莝者，斬芻也。」
2.古代一種斬人的刑具。《漢書．卷七六．尹翁歸傳》：「不中程，輒笞督，極者至以鈇自剄而死。」《新唐書．卷七六．后妃傳上．則天武皇后傳》：「宗姓侯王及它骨骾臣將相駢頸就鈇，血丹狴戶。」
3.斧頭。《列子．說符》：「人有亡鈇者，意其鄰之子。」</t>
  </si>
  <si>
    <t>麩</t>
  </si>
  <si>
    <t>[名]
小麥磨成麵粉後所留下的皮殼、碎屑。《說文解字．麥部》：「麩，小麥屑皮也。」《太平御覽．卷八五三．飲食部．麩》：「五月五日至後，可糴麩，至冬以養馬。」也稱為「麩皮」、「麩子」。</t>
  </si>
  <si>
    <t>[名]
花萼上的蒂。《詩經．小雅．常棣》：「常棣之華，鄂不韡韡。」</t>
  </si>
  <si>
    <t>(一)ㄅㄨˋ bù（00565）(二)ㄈㄡˇ fǒu（01597）(三)ㄈㄡ fōu（01591）</t>
  </si>
  <si>
    <t>孚</t>
  </si>
  <si>
    <t>[動]
孵卵。同「孵」。《淮南子．人間》：「夫任者先避之，見終始微矣，夫鴻鵠之未孚於卵也。」</t>
  </si>
  <si>
    <t>(一)ㄈㄨˊ fú（01794）</t>
  </si>
  <si>
    <t>稃</t>
  </si>
  <si>
    <t>[名]
1.穀殼。《廣韻．平聲．虞韻》：「稃，穀皮。」《水滸傳》第二五回：「我前日要糴些麥稃，一地裡沒糴處。」
2.禾本科植物子房基部的小鱗片，為花冠退化變形而成。</t>
  </si>
  <si>
    <t>孵</t>
  </si>
  <si>
    <t>[動]
鳥類伏卵生雛，蟲魚由產卵到出生幼兒，或指以人工方法使卵內胚胎發育成雛的過程，統稱為「孵」。如：「孵化」、「孵育」、「孵卵」。</t>
  </si>
  <si>
    <t>柎</t>
  </si>
  <si>
    <t>[名]
1.器物的底座。如：「鼓柎」、「鐘柎」。
2.花房、花萼。《山海經．西山經》：「有木焉，員葉而白柎，赤華而黑理，其實如枳，食之宜子孫。」晉．郭璞．注：「今江東人呼草木子房為柎……一曰柎，花下鄂。」南朝梁．沈約〈八詠詩．會圃臨春風〉：「氛氳桃李花，青柎含素萼。」</t>
  </si>
  <si>
    <t>胕</t>
  </si>
  <si>
    <t>[名]
1.足。《集韻．平聲．虞韻》：「跗，足也。或作胕。」
2.指皮膚。同「膚」。《戰國策．楚策四》：「蹄申膝折，尾湛胕潰。」</t>
  </si>
  <si>
    <t>(一)ㄈㄨˊ fú（01811A）</t>
  </si>
  <si>
    <t>跗</t>
  </si>
  <si>
    <t>[名]
1.腳背。《玉篇．足部》：「跗，足上也。」《莊子．秋水》：「赴水則接腋持頤，蹶泥則沒足滅跗。」
2.足、腳。《集韻．平聲．虞韻》：「跗，足也。」漢．王充《論衡．宣漢》：「古之露首，今冠章甫；怙之跣跗，今履商舄。」
3.花萼、花托。同「柎」。《管子．地員》：「朱跗黃實。」宋．孫光憲〈望梅花．數枝開與短牆平〉詞：「數枝開與短牆平，見雪萼，紅跗相映。」
4.器物的底座。同「柎」。《續漢書志．第七．祭祀志上》：「距石下皆有石跗，入地四尺。」《元史．卷六八．禮樂志二》：「虡趺青龍籍地，以綠油臥梯二，加兩跗焉。」</t>
  </si>
  <si>
    <t>(一)ㄈㄨˊ fú（01818）(三)ㄅㄠ bāo（00205）</t>
  </si>
  <si>
    <t>尃</t>
  </si>
  <si>
    <t>[動]
散布。通「敷」。《史記．卷一一七．司馬相如傳》：「旁魄四塞，雲尃霧散。」</t>
  </si>
  <si>
    <t>敷</t>
  </si>
  <si>
    <t>[動]
1.散布、傳布。《書經．大禹謨》：「文命敷於四海，祇承于帝。」唐．皮日休〈十原系述．原弈〉：「舜不忍伐，而敷之文德，然後有苗格焉。」
2.陳述。《詩經．商頌．長發》：「敷奏其勇，不震不動，不戁不竦，百祿是總。」南朝宋．謝靈運〈山居賦〉：「研書賞理，敷文奏懷。」
3.鋪設、展開。《書經．顧命》：「牖間南嚮，敷重篾席。」《楚辭．屈原．離騷》：「跪敷衽以陳辭兮，耿吾既得此中正。」
4.塗抹。如：「敷臉」、「敷藥」。《紅樓夢》第三四回：「寶姑娘送去的藥，我給二爺敷上了，比先好些了。」
5.足夠。如：「入不敷出」。《三國演義》第三〇回：「若遷延日月，糧草不敷，事可憂矣。」</t>
  </si>
  <si>
    <t>鄜</t>
  </si>
  <si>
    <t>參見「鄜縣」條。</t>
  </si>
  <si>
    <t>膚</t>
  </si>
  <si>
    <t>[名]
身體的表皮。如：「皮膚」、「切膚之痛」。《詩經．衛風．碩人》：「手如柔荑，膚如凝脂。」唐．李華〈弔古戰場文〉：「繒纊無溫，墮指裂膚。」
[形]
1.表面的、浮淺的。如：「膚淺」、「膚泛」。《南齊書．卷三九．陸澄傳》：「澄諛聞膚見，貽撓後昆，上掩皇明，下籠朝識，請以見事免澄所居官。」
2.大。《詩經．小雅．六月》：「薄伐玁狁，以奏膚公。」漢．毛亨．傳：「膚，大。公，功也。」</t>
  </si>
  <si>
    <t>ㄈㄨˊ</t>
  </si>
  <si>
    <t>fú</t>
  </si>
  <si>
    <t>[助]
1.文言文中的發語詞，表提示作用。《論語．季氏》：「夫顓臾，昔者先王以為東蒙主，且在邦域之中矣。」《孟子．離婁上》：「夫國君好仁，天下無敵。」
2.文言文中用於句末，表示感嘆或疑問。《論語．子罕》：「子在川上曰：『逝者如斯夫，不舍晝夜。』」《史記．卷四七．孔子世家》：「孔子曰：『吾歌，可夫？』」
3.文言文中用於句中，無義。《禮記．檀弓下》：「穆公曰：『仁夫公子重耳。』」
[代]
文言文中指示代名詞。《左傳．襄公二十六年》：「子木曰：『夫獨無族姻乎？』」《漢書．卷四八．賈誼傳》：「彼且為我亡，故吾得與之俱存；夫將為我危，故吾得與之皆安。」
[形]
文言文中指示形容詞。相當於「此」、「彼」。《左傳．成公十六年》：「夫二人者，魯國社稷之臣也。」《論語．先進》：「夫人不言，言必有中。」</t>
  </si>
  <si>
    <t>(一)ㄈㄨ fū（01753）</t>
  </si>
  <si>
    <t>扶</t>
  </si>
  <si>
    <t>[動]
1.用手支持，使人、物或自己不倒。如：「扶老攜幼」、「攙扶」。《荀子．勸學》：「蓬生麻中，不扶而直。」《三國演義》第五〇回：「焦頭爛額者扶策而行。」
2.幫助、輔佐。如：「濟弱扶貧」。《戰國策．宋衛策》：「若扶梁伐趙，以害趙國，則寡人不忍也。」《水滸傳》第六三回：「天地咸扶，鬼神共佑。」
3.倚、仗。《漢書．卷一．高帝紀上》：「不如更遣長者扶義而西，告諭秦父兄。」《新唐書．卷八五．竇建德傳》：「大王奮布衣，起漳南，隋之列城莫不爭附者，以能杖順扶義，安四方也。」
4.護送。如：「扶靈」。唐．杜甫〈別蔡十四著作〉詩：「主人薨城府，扶櫬歸咸秦。」
5.循、沿。三國魏．曹植〈仙人篇〉：「玉樹扶道生，白虎夾門樞。」晉．陶淵明〈桃花源記〉：「既出，得其船，便扶向路，處處誌之。」
[名]
姓。如漢代有扶嘉。</t>
  </si>
  <si>
    <t>芙</t>
  </si>
  <si>
    <t>參見「芙蕖」、「芙蓉」等條。</t>
  </si>
  <si>
    <t>蚨</t>
  </si>
  <si>
    <t>參見「青蚨」、「蚨蝶」等條。</t>
  </si>
  <si>
    <t>巿</t>
  </si>
  <si>
    <t>[名]
古代一種繫於腰間，遮於官服或禮服下裳前的服飾。同「紱」、「韍」。《說文解字．巿部》：「巿，韠也。上古衣蔽前而已，巿以象之。天子朱巿，諸侯赤巿。」也稱為「蔽膝」、「圍腰」。</t>
  </si>
  <si>
    <t>[名]
古代衣服上的蔽膝，有的以皮韋製成。通「韍」。《詩經．小雅．采菽》：「赤芾在股，邪幅在下。」漢．鄭玄．箋：「芾，大古蔽膝之象也，冕服謂之芾，其他服謂之韠，以韋為之。」</t>
  </si>
  <si>
    <t>(一)ㄈㄟˋ fèi（01580）</t>
  </si>
  <si>
    <t>弗</t>
  </si>
  <si>
    <t>[副]
不。如：「自嘆弗如」。《左傳．隱公三年》：「教之以義方，弗納於邪。」
[動]
去災求福。同「祓」。《詩經．大雅．生民》：「生民如何，克禋克祀，以弗無子。」漢．鄭玄．注：「弗之言祓也……以祓除其無子之疾，而得其福也。」</t>
  </si>
  <si>
    <t>參見「仿佛」條。</t>
  </si>
  <si>
    <t>(一)ㄈㄛˊ fó（01542）(二)ㄅㄧˋ bì（00358）</t>
  </si>
  <si>
    <t>刜</t>
  </si>
  <si>
    <t>[動]
用刀砍擊。《左傳．昭公二十六年》：「苑子刜林雍，斷其足，鑋而乘於他車以歸。」唐．柳宗元〈桂州裴中丞作訾家洲亭記〉：「伐惡木，刜奧草。」</t>
  </si>
  <si>
    <t>參見「沸沸」條。</t>
  </si>
  <si>
    <t>(一)ㄈㄟˋ fèi（01574）</t>
  </si>
  <si>
    <t>[形]
憂鬱。《說文解字．心部》：「怫，鬱也。」
[動]
滯留、鬱結。《黃帝內經素問．卷二一．六元正紀大論》：「其病氣怫於上。」清．全祖望〈重浚鄞三喉水道議〉：「久在湖中，則水性怫而不暢。」</t>
  </si>
  <si>
    <t>(二)ㄅㄟˋ bèi（00178）(三)ㄈㄟˋ fèi（01575）</t>
  </si>
  <si>
    <t>[名]
撣拭塵埃或驅除蚊蠅的用具。如：「拂子」。漢．徐淑〈又報嘉書〉：「今奉旄牛尾拂一枚。」《南史．卷四五．陳顯達傳》：「麈尾蠅拂是王、謝家物，汝不須捉此自逐。」
[動]
1.抹拭。《儀禮．士昏禮》：「主人拂几。」
2.輕輕掠過、擦過。如：「春風拂面」。唐．李白〈清平調〉：「雲想衣裳花想容，春風拂檻露華濃。」《紅樓夢》第四九回：「聞得一陣寒香拂鼻。」
3.甩動、抖動。如：「拂袖而去」。《西遊記》第七一回：「那菩薩將柳枝連拂幾點甘露，霎時間，煙火俱無，黃沙絕跡。」
4.違反、違逆。《孟子．告子下》：「勞其筋骨，餓其體膚，空乏其身，行拂亂其所為。」《文明小史》第四八回：「只因難拂你老先生一片為好的意思。」</t>
  </si>
  <si>
    <t>(二)ㄅㄧˋ bì（00359）</t>
  </si>
  <si>
    <t>咈</t>
  </si>
  <si>
    <t>[動]
違背、違逆。《書經．微子》：「乃罔畏畏，咈其耇長，舊有位人。」
[副]
忿怒。通「艴」。《警世通言．卷二二．宋小官團圓破氈笠》：「那人咈然不樂道：『客人既發了個好心，卻又做脫身之計。』」
[形]
不然。《書經．堯典》：「帝曰：『吁！咈哉。』」</t>
  </si>
  <si>
    <t>岪</t>
  </si>
  <si>
    <t>[形]
山腰上的路。《說文解字．山部》：「岪，山脅道也。」清．段玉裁．注：「脅者，兩膀也。山如人體，其兩旁曰脅。」
[名]
山勢曲折的樣子。《楚辭．淮南小山．招隱士》：「坱兮軋，山曲岪。」</t>
  </si>
  <si>
    <t>彿</t>
  </si>
  <si>
    <t>氟</t>
  </si>
  <si>
    <t>[名]
（fluorine，F）化學元素。原子序9，鹵族元素之一。呈淡黃色，有特殊臭味。是電負度最大的元素，化學性質相當活潑。性劇毒，具腐蝕性，可燃。</t>
  </si>
  <si>
    <t>艴</t>
  </si>
  <si>
    <t>參見「艴然」條。</t>
  </si>
  <si>
    <t>紼</t>
  </si>
  <si>
    <t>[名]
1.亂麻。《說文解字．糸部》：「紼，亂枲也。」清．段玉裁．注：「亂枲者，亂麻也。可以裝衣，可以然火，可以緝之為索。」
2.大的繩索。《詩經．小雅．采菽》：「汎汎楊舟，紼纚維之。」漢．毛亨．傳：「紼，繂也。」唐．孔穎達．正義：「孫炎曰：『繂，大索也。』」
3.送葬時拉引靈柩入墓穴的繩索。《玉篇．糸部》：「紼，引棺索也。」《禮記．曲禮上》：「適墓不登壟，助喪必執紼。」</t>
  </si>
  <si>
    <t>髴</t>
  </si>
  <si>
    <t>[名]
婦人的頭飾。《廣韻．入聲．物韻》：「髴，婦人首飾。」宋．歐陽修〈班班林間鳩寄內〉詩：「又云子亦病，蓬首不加髴。」
[副]
參見「髣髴」條。</t>
  </si>
  <si>
    <t>伏</t>
  </si>
  <si>
    <t>[動]
1.趴，身體向前傾靠在物體上。如：「倒伏」、「伏案」。《禮記．曲禮上》：「坐毋箕，寢毋伏。」
2.隱藏、隱匿。如：「蟄伏」、「危機四伏」、「晝伏夜出」。《老子》第五八章：「禍兮福之所倚，福兮禍之所伏。」
3.降服、使屈服。如：「降龍伏虎」、「制伏」。
4.低落下去。如：「伏地挺身」、「此起彼伏」。
5.承認、承受。如：「伏罪」、「伏法」。《文選．班彪．王命論》：「遇折足之凶，伏斧鉞之誅。」
6.佩服、信服。同「服」。唐．白居易〈琵琶行〉：「曲罷曾教善才伏，妝成每被秋娘妒。」
[形]
隱藏不露的。《文選．左思．蜀都賦》：「漏江伏流潰其阿。」
[名]
參見「伏日」條。
[副]
對尊長自謙的敬辭。《文選．枚乘．七發》：「伏聞太子玉體不安，亦少閒乎？」《漢書．卷四．文帝紀》：「臣伏計之，大王奉高祖宗廟最宜稱。」</t>
  </si>
  <si>
    <t>洑</t>
  </si>
  <si>
    <t>[名]
迴流、漩渦。北魏．酈道元《水經注．沔水注》：「夏水急盛，川多湍洑。」
[形]
潛流在地下的。如：「洑流」。唐．李頎〈與諸公遊濟瀆泛舟〉詩：「洑泉數眼沸，平地流清通。」
[動]
游泳、泅水。如：「洑上水」。</t>
  </si>
  <si>
    <t>茯</t>
  </si>
  <si>
    <t>參見「茯苓」條。</t>
  </si>
  <si>
    <t>袱</t>
  </si>
  <si>
    <t>[名]
用來包裹、覆蓋衣物的方形布塊。《紅樓夢》第三四回：「走至鏡臺，揭起錦袱一照，只見腮上通紅。」也稱為「包袱」。</t>
  </si>
  <si>
    <t>[名]
誠信。《詩經．大雅．下武》：「成王之孚，下土之式。」
[動]
使人信服。《左傳．莊公十年》：「小信未孚，神弗福也。」</t>
  </si>
  <si>
    <t>(二)ㄈㄨ fū（01760）</t>
  </si>
  <si>
    <t>俘</t>
  </si>
  <si>
    <t>[名]
作戰時所擒獲的敵人。如：「俘虜」。《左傳．僖公二十八年》：「丁未，獻楚俘于王，駟介百乘，徒兵千。鄭伯傅王，用平禮也。」《孔子家語．卷一．相魯》：「裔夷之俘，敢以兵亂之。」
[動]
擄獲。《左傳．成公十三年》：「俘我王官，翦我羈馬。」《明史．卷一．太祖本紀一》：「元將徹里不花憚不敢攻，而日俘良民以邀賞。」</t>
  </si>
  <si>
    <t>[動]
1.漂在水上或飄在空中。如：「漂浮」、「懸浮」。《詩經．小雅．菁菁》：「汎汎楊舟，載沉載浮。」唐．陳羽〈喜雪上竇相公〉詩：「千門萬戶雪花浮，點點無聲落瓦溝。」
2.顯現。如：「浮現」、「臉上浮著微笑。」
3.超過。如：「人浮於事」。《禮記．坊記》：「故君子與其使食浮於人也，寧使人浮於食。」
[形]
1.在水上或空中的。如：「富貴於我如浮雲」。《文選．左思．吳都賦》：「陵鯉若獸，浮石若桴。」
2.表面的。如：「浮土」、「浮面」。
3.虛而不實的。如：「浮名」、「浮文」。
4.輕佻、不沉著。如：「輕浮」、「心浮氣躁」。</t>
  </si>
  <si>
    <t>(二)（又音）ㄈㄡˊ fóu（01596）</t>
  </si>
  <si>
    <t>垺</t>
  </si>
  <si>
    <t>[名]
外城。同「郛」。《玉篇．土部》：「垺，郭也。正作郛。」
[形]
盛大。《莊子．秋水》：「夫精，小之微也；垺，大之殷也。」唐．陸德明《經典釋文．卷二七．莊子音義中》：「徐（邈）音孚，謂盛也。」</t>
  </si>
  <si>
    <t>郛</t>
  </si>
  <si>
    <t>[名]
外城。《左傳．隱公五年》：「伐宋，入其郛，以報東門之役。」</t>
  </si>
  <si>
    <t>桴</t>
  </si>
  <si>
    <t>[名]
1.房屋前後簷的橫梁，俗稱為「二梁」。《文選．班固．西都賦》：「列棼橑以布翼，荷棟桴而高驤。」
2.鼓槌。同「枹」。《韓非子．功名》：「至治之國，君若桴，臣若鼓。」《禮記．禮運》：「汙尊而抔飲，蕢桴而土鼓，猶若可以致其敬於鬼神。」
3.用木、竹編排成的木筏或竹筏。《論語．公冶長》：「子曰：『道不行，乘桴浮於海，從我者其由與！』」</t>
  </si>
  <si>
    <t>[名]
1.指禾本科蘆葦屬，蘆葦稈內壁上之薄膜。
2.蘆莖裡的薄膜。《漢書．卷五三．景十三王傳．中山靖王劉勝傳》：「今群臣非有葭莩之親，鴻毛之重。」唐．顏師古．注：「晉灼曰：『莩，葭裡之白皮也，皆取喻於輕薄也。』」</t>
  </si>
  <si>
    <t>(二)ㄆㄧㄠˇ piǎo（00894）</t>
  </si>
  <si>
    <t>罦</t>
  </si>
  <si>
    <t>[名]
捕鳥獸的網。《詩經．王風．兔爰》：「有兔爰爰，雉離于罦。」《後漢書．卷六〇上．馬融傳》：「罦罝羅羉，彌綸阬澤。」</t>
  </si>
  <si>
    <t>蜉</t>
  </si>
  <si>
    <t>參見「蜉蝣」條。</t>
  </si>
  <si>
    <t>沷</t>
  </si>
  <si>
    <t>[形]
寒冷。《玉篇．水部》：「沷，寒也。」
[動]
疏通水流。明．張自烈《正字通．水部》：「沷，渫也，通流也。」</t>
  </si>
  <si>
    <t>帗</t>
  </si>
  <si>
    <t>[名]
古代用五采繒帛製成的舞具。《隋書．卷一五．音樂志下》：「文舞六十四人……十六人執帗，十六人執旄。」《清史稿．卷九六．樂志三》：「盈庭萬舞兮，帗低昂。」</t>
  </si>
  <si>
    <t>祓</t>
  </si>
  <si>
    <t>[名]
1.除災求福的祭祀。《說文解字．示部》：「祓，除惡祭也。」
2.福。《爾雅．釋詁下》：「祿、祉、履、戩、祓、禧、禠、祜，福也。」
[動]
1.掃除、消除。《國語．周語上》：「先王知大事之必以眾濟也，是故祓除其心，以和惠民。」宋．姜夔〈翠樓吟．月冷龍沙〉詞：「天涯情味，仗酒祓清愁，花銷英氣。」
2.洗滌。《管子．小匡》：「至於堂阜之上，鮑叔祓而浴之三。」</t>
  </si>
  <si>
    <t>紱</t>
  </si>
  <si>
    <t>[名]
1.繫印環用的絲繩。《集韻．入聲．勿韻》：「紱，綬也。」《漢書．卷九四．匈奴傳下》：「將率既至，授單于印紱。」
2.古代衣裳前的蔽膝。通「韍」。《易經．困卦．九二》：「困于酒食，朱紱方來，利用享。」唐．孔穎達．正義：「紱，祭服也。」《聊齋志異．卷一一．王者》：「見有王者，珠冠繡紱，南面坐。」</t>
  </si>
  <si>
    <t>韍</t>
  </si>
  <si>
    <t>[名]
古代衣裳前的蔽膝，用熟皮製成。形制、圖案、顏色按身分、等級不同而有區別。《禮記．玉藻》：「一命縕韍幽衡，再命赤韍幽衡。」《漢書．卷九九．王莽傳上》：「於是莽稽首再拜，受綠韍袞冕衣裳。」</t>
  </si>
  <si>
    <t>黻</t>
  </si>
  <si>
    <t xml:space="preserve">黹 </t>
  </si>
  <si>
    <t>[名]
1.古代禮服上所刺繡的花紋，青黑相間，如兩己相背之形；一說兩弓相背之形。《書經．益稷》：「藻火粉米，黼黻絺繡。」漢．孔安國．傳：「黻為兩己相背。黻音弗，黑與青謂之黻。」
2.古代一種繫於腰間，遮於官服或禮服前的蔽膝。通「韍」。《論語．泰伯》：「惡衣服，而致美乎黻冕。」宋．邢昺．疏：「黻，蔽膝也。」《新唐書．卷二四．車服志》：「黻以繒為之，隨裳色。」
3.繫印的絲帶。通「紱」。唐．陳子昂〈唐水衡監亟李府君墓誌銘〉：「黃黻不貴，拱璧為輕。」</t>
  </si>
  <si>
    <t>泭</t>
  </si>
  <si>
    <t>[名]
木筏或竹筏。《爾雅．釋水》：「士特舟，庶人乘泭。」《楚辭．屈原．九章．惜往日》：「乘氾泭以下流兮，無舟楫而自備。」</t>
  </si>
  <si>
    <t>苻</t>
  </si>
  <si>
    <t>[名]
1.植物名。茄科茄屬，「白英」之古稱，參見「白英」條。
2.姓。如十六國時前秦有苻堅。</t>
  </si>
  <si>
    <t>符</t>
  </si>
  <si>
    <t>[名]
1.古代用為憑信的器物，刻字在竹、木、金、玉、銅之上，剖為兩半，各執其一，相合以為徵信。如：「虎符」。《史記．卷八．高祖紀》：「乃論功，與諸列侯剖符行封。」
2.文件、憑證。北齊．顏之推《冤魂志．徐鐵臼》：「我母訴怨於天，今得天曹符，來取鐵杵。」
3.祥瑞的徵兆。《後漢書．卷四．孝和帝等紀．贊曰》：「抑沒祥符，登顯時德。」
4.標記、記號。如：「音符」、「符號」。
5.一種道士用來避邪、驅使鬼神的神祕文字。如：「符咒」。《抱朴子．內篇．登陟》：「帶昇山符，出門作周身三五法。」
6.姓。如唐代有符令奇。
[動]
相合、吻合。如：「符合」、「名實相符」。南朝梁．劉勰《文心雕龍．明詩》：「三百之蔽，義歸無邪，持之為訓，有符焉爾。」</t>
  </si>
  <si>
    <t>[形]
浮腫。《集韻．平聲．虞韻》：「胕，腫也。」《山海經．西山經》：「有草焉，其名曰黃雚，其狀如樗，其葉如麻，白華而赤實，其狀如赭，浴之已疥，又可以已胕。」晉．郭璞．注：「治胕腫也；音符。」《黃帝內經素問．卷二〇．五常政大論》：「寒熱胕腫。」唐．王冰．注：「胕腫謂腫滿，按之不起。」</t>
  </si>
  <si>
    <t>(二)ㄈㄨ fū（01764）</t>
  </si>
  <si>
    <t>[名]
姓。如春秋時魯國有宓不齊。</t>
  </si>
  <si>
    <t>(一)ㄇㄧˋ mì（01377）</t>
  </si>
  <si>
    <t>虙</t>
  </si>
  <si>
    <t>[名]
姓。伏羲氏之後。</t>
  </si>
  <si>
    <t>服</t>
  </si>
  <si>
    <t>[名]
1.衣裝、衣裳的總稱。如：「制服」、「禮服」、「便服」。
2.喪衣。如古代居喪的服制，以斬衰、齊衰、大功、小功、緦麻為五服。《魏書．卷八七．節義傳．石文德傳》：「文德祖父苗以家財殯葬，持服三年，奉養宣妻二十餘載。」
3.喪事、居喪期間。《史記．卷一〇七．魏其武安侯傳》：「吾欲與仲孺過魏其侯，會仲孺有服。」《紅樓夢》第九六回：「若說服裡娶親，當真使不得。」
4.量詞。計算中藥服用劑量的單位。如：「他吃了三服藥，病全好了。」
5.姓。如漢代有服徹。
[動]
1.穿著、穿戴。《漢書．卷九九．王莽傳上》：「周公服天子之冕，南面而朝群臣。」
2.吃、進食。《禮記．曲禮下》：「醫不三世，不服其藥。」《史記．卷一〇五．扁鵲倉公傳》：「即令更服丸藥，出入六日，病已。」
3.欽佩、順從。如：「佩服」、「心服口服」。《論語．為政》：「舉直錯諸枉，則民服。」
4.使折服、使降服。如：「以德服人」。
5.擔任、從事、承擔。如：「服役」、「服刑」。《論語．為政》：「有事，弟子服其勞，有酒食，先生饌。」
6.習慣、適應。如：「水土不服」。《楚辭．屈原．九章．思美人》：「固朕形之不服兮，然容與而狐疑。」</t>
  </si>
  <si>
    <t>參見「萊菔」條。</t>
  </si>
  <si>
    <t>(一)ㄅㄛˊ bó（00103）</t>
  </si>
  <si>
    <t>箙</t>
  </si>
  <si>
    <t>[名]
盛箭用的器具。以竹、木或獸皮等製成。《周禮．夏官．司弓矢》：「中春獻弓弩，中秋獻矢箙。」唐．李賀〈黃家洞〉詩：「黑幡三點銅鼓鳴，高作猿啼搖箭箙。」</t>
  </si>
  <si>
    <t>鵩</t>
  </si>
  <si>
    <t>[名]
一種鳥。形似鴞，夜發出惡聲，古人以為不祥之鳥。</t>
  </si>
  <si>
    <t>[名]
鼓槌。《左傳．成公二年》：「左并轡，右援枹而鼓，馬逸不能止，師從止。」《楚辭．屈原．九歌．東皇太一》：「揚枹兮拊鼓，疏緩節兮安歌。」</t>
  </si>
  <si>
    <t>(二)（(一)之又音）ㄈㄨ fū（01766）(三)ㄅㄠ bāo（00205）</t>
  </si>
  <si>
    <t>[名]
捕鳥獸用的網。《文選．張衡．東京賦》：「雖系以隤牆填塹，亂以收罝解罘，卒無補於風規，祇以昭其愆尤。」唐．白居易〈想東遊五十韻〉：「蛾須遠燈燭，兔勿近罝罘。」</t>
  </si>
  <si>
    <t>(二)（又音）ㄈㄡˊ fóu（01594）</t>
  </si>
  <si>
    <t>涪</t>
  </si>
  <si>
    <t>參見「涪江」條。</t>
  </si>
  <si>
    <t>[名]
參見「偪陽」條。
[動]
屈服。通「伏」。《三國志．卷三五．蜀書．諸葛亮傳》：「又荊州之民附操者，偪兵勢耳，非心服也。」</t>
  </si>
  <si>
    <t>(一)ㄅㄧ bī（00315）</t>
  </si>
  <si>
    <t>匐</t>
  </si>
  <si>
    <t>[名]
1.布帛或紙張的寬度。《左傳．襄公二十八年》：「且夫富如布帛之有幅焉，為之制度，使無遷也。」
2.泛指寬度。如：「振幅」、「幅員廣闊」。
3.文章或書畫的分量。如：「篇幅」。
4.布帛、衣服的邊緣。如：「邊幅」。《儀禮．喪服》：「凡衰外削幅，裳內削幅。」唐．賈公彥．疏：「云衰外削幅者，謂縫之邊幅向外，裳內削幅者，亦謂縫之邊幅向內。」
5.量詞。計算圖畫、布帛等平面物的單位。如：「一幅畫」、「三幅掛圖」、「她用兩幅布做了條床單。」</t>
  </si>
  <si>
    <t>(二)ㄅㄧ bī（00315A）</t>
  </si>
  <si>
    <t>[名]
1.古代盛列弓箭的器具。《儀禮．鄉射禮》：「命弟子設楅。」漢．鄭玄．注：「楅，猶幅也，所以承笴齊矢者。」
2.參見「楅衡」條。</t>
  </si>
  <si>
    <t>(二)（又音）ㄅㄧˋ bì（00396）</t>
  </si>
  <si>
    <t>葍</t>
  </si>
  <si>
    <t>[名]
一種莖有惡臭的植物。《詩經．小雅．我行其野》：「我行其野，言采其葍。」漢．毛亨．傳：「葍，惡菜也。」</t>
  </si>
  <si>
    <t>福</t>
  </si>
  <si>
    <t>[名]
1.富貴壽考的統稱。或泛稱吉祥幸運的事。如：「享福」、「迎春納福」、「造福人群」。《韓非子．解老》：「必成功則富與貴，全壽富貴之謂福。」
2.運氣、機會。如：「口福」、「眼福」、「耳福」。
3.祭祀用的酒或肉。《國語．晉語二》：「驪姬受福，乃寘鴆于酒。」
4.姓。如唐代有福信。
[動]
1.神佑、佑助。《左傳．莊公十年》：「小信未孚，神弗福也。」
2.古代婦女行禮時，將手放在腰部合拳敬拜稱為「福」。《喻世明言．卷一．蔣興哥重會珍珠衫》：「婆子千恩萬謝的福了一回，便道：『今日老身偶有盃水酒，將來與大娘消遣。』」
[形]
幸運的。如：「福星福將」。</t>
  </si>
  <si>
    <t>蝠</t>
  </si>
  <si>
    <t>輻</t>
  </si>
  <si>
    <t>[名]
車輪中連接車轂和輪圈的直木。《老子》第一一章：「三十輻共一轂，當有無，有車之用。」唐．柳宗元〈封建論〉：「邦群后，布濩星羅，四周於天下，輪運而輻集。」</t>
  </si>
  <si>
    <t>鶝</t>
  </si>
  <si>
    <t>[名]
動物名。鳥綱戴勝目。體長尺許，色黃褐或灰紅色，頭頂有金黃色大羽冠，嘴細長，稍彎曲，尾有羽十根，色黑。也稱為「戴勝」。《廣韻．入聲．屋韻》：「鶝，戴勝別名。」</t>
  </si>
  <si>
    <t>鳧</t>
  </si>
  <si>
    <t>[名]
動物名。鳥綱雁形目。狀如鴨而略大。體長二尺許，嘴扁，腳短，趾間有蹼，翼長能飛翔，常群居於湖沼中。也稱為「野鴨」。</t>
  </si>
  <si>
    <t>綍</t>
  </si>
  <si>
    <t>[名]
1.下葬時拉引棺木入墓穴的繩子。同「紼」。《周禮．地官．遂人》：「及葬，帥而屬六綍。」《禮記．雜記下》：「升正柩，諸侯執綍五百人。」
2.大繩。《禮記．緇衣》：「王言如綸，其出如綍。」</t>
  </si>
  <si>
    <t>榑</t>
  </si>
  <si>
    <t>[名]
榑桑：傳說中的神木，生長於日出的地方。《說文解字．木部》：「榑，榑桑，神木，日所出也。」</t>
  </si>
  <si>
    <t>縛</t>
  </si>
  <si>
    <t>[動]
1.用繩捆綁。如：「手無縛雞之力」。《左傳．文公二年》：「晉襄公縛秦囚，使萊駒以戈斬之。」
2.拘束、約束。唐．白居易〈遊平原贈晦叔〉詩：「且喜身無縛，終漸鬢有絲。」《紅樓夢》第一四回：「且生得才貌雙全，風流瀟灑，不為官俗國體所縛。」
[名]
用來綑束的繩子。《左傳．僖公六年》：「武王親釋其縛，受其璧而祓之。」《史記．卷九二．淮陰侯傳》：「信乃解其縛，東鄉對，西鄉坐，師事之。」</t>
  </si>
  <si>
    <t>澓</t>
  </si>
  <si>
    <t>[名]
1.潛流在地下的水。通「洑」。《集韻．入聲．屋韻》：「澓，伏流也。或從伏。」
2.姓。如漢代有澓仲翁。
[動]
水迴流。晉．郭璞〈江賦〉：「迅澓增澆，涌湍疊躍。」</t>
  </si>
  <si>
    <t>鍑</t>
  </si>
  <si>
    <t>(一)ㄈㄨˋ fù（01877）</t>
  </si>
  <si>
    <t>[名]_x000D_
古時車廂旁邊的帘子。《周禮．春官宗伯．巾車》：「木車蒲蔽，犬䄙尾櫜疏飾小服皆疏。」_x000D_
[動]_x000D_
擦拭。通「拂」。《史記．卷八六．刺客列傳．荊軻》：「太子逢迎，卻行為導，跪而蔽席。」</t>
  </si>
  <si>
    <t>(一)ㄅㄧˋ bì（00379）</t>
  </si>
  <si>
    <t>父</t>
  </si>
  <si>
    <t>ㄈㄨˇ</t>
  </si>
  <si>
    <t>fǔ</t>
  </si>
  <si>
    <t>[名]
1.古代對男子的美稱。《廣韻．平聲．麌韻》：「父，尼父，尚父，皆男子之美稱。」《文選．成公綏．嘯賦》：「鍾期棄琴而改聽，孔父忘味而不食。」
2.野老的通稱。如：「漁父」。《文選．潘岳．藉田賦》：「有邑老田父或進而稱曰：『蓋損益隨時，理有常然。』」</t>
  </si>
  <si>
    <t>(一)ㄈㄨˋ fù（01857）</t>
  </si>
  <si>
    <t>斧</t>
  </si>
  <si>
    <t xml:space="preserve">斤 </t>
  </si>
  <si>
    <t>[名]
1.砍物的工具。《孟子．梁惠王上》：「斧斤以時入山林，材木不可勝用也。」
2.古代殺人用的兵器或刑具。《文選．班彪．王命論》：「遇折足之凶，伏斧鉞之誅。」《聊齋志異．卷一．青鳳》：「倘宥鳳也，刀鋸鈇鉞，小生願身受之。」
[動]
以斧砍物。漢．曹操〈苦寒行〉：「擔囊行取薪，斧冰持作糜。」《聊齋志異．卷八．小翠》：「公怒，斧其門。」</t>
  </si>
  <si>
    <t>釜</t>
  </si>
  <si>
    <t>[名]
古代的一種烹飪器具。即今之鐵鍋。如：「破釜沉舟」。三國魏．曹植〈七步詩〉：「萁在釜下然，豆在釜中泣。」</t>
  </si>
  <si>
    <t>滏</t>
  </si>
  <si>
    <t>參見「滏陽河」條。</t>
  </si>
  <si>
    <t>甫</t>
  </si>
  <si>
    <t>[名]
1.男子的美稱。《說文解字．用部》：「甫，男子之美偁也。」《儀禮．士冠禮》：「曰伯某甫，仲、叔、季，唯其所當。」
2.參見「臺甫」條。
3.姓。如明代有甫輊。
[副]
1.起初、開始。《周禮．春官宗伯．小宗伯》：「卜葬兆，甫竁，亦如之。」
2.剛剛、方才。如：「驚魂甫定」。明．徐弘祖《徐霞客遊記．卷八下．滇遊日記九》：「乃投寓於李老家，時甫過午也。」《清史稿．卷四一八．列傳．毛昶熙》：「今日巨寇甫平，兵戈未息，滇、黔、秦、隴，烽火驚心；皖、豫、直、東，瘡痍滿目。」</t>
  </si>
  <si>
    <t>郙</t>
  </si>
  <si>
    <t>[名]
漢代的一座亭閣。故址約在今大陸地區陝西省略陽縣西。</t>
  </si>
  <si>
    <t>參見「萐莆」條。</t>
  </si>
  <si>
    <t>(二)ㄆㄨˊ pú（00989）</t>
  </si>
  <si>
    <t>[名]
1.乾肉。如：「鹿脯」、「肉脯」。《論語．鄉黨》：「沽酒市脯不食，不撒薑食，不多食。」
2.經過糖漬再晾乾的果肉。如：「桃脯」、「杏脯」、「瓜脯」。《晉書．卷六二．祖逖傳》：「玄酒忘勞甘瓠脯，何以詠恩歌且舞。」
[動]
刑殺人後再把他的骨肉碎割，晒成肉乾。《戰國策．趙策三》：「鄂侯爭之急，辨之疾，故脯鄂侯。」</t>
  </si>
  <si>
    <t>(二)ㄆㄨˊ pú（00990）</t>
  </si>
  <si>
    <t>輔</t>
  </si>
  <si>
    <t>[名]
1.車兩旁的夾木。《說文解字．車部》：「輔，《春秋傳》曰：『輔車相依。』」《詩經．小雅．正月》：「其車既載，乃棄爾輔。」《續漢書志．第六．禮儀志下》：「車皆去輔轓，疏布惡輪。」
2.臉頰。漢．張衡〈七辯〉：「靨輔巧笑，清眸流眄。」
3.參見「畿輔」條。
4.姓。如漢代有輔狼。
[動]
扶持、幫助。如：「相輔相成」。《論語．顏淵》：「君子以文會友，以友輔仁。」《孟子．滕文公上》：「放勛日勞之，來之，匡之，直之，輔之，翼之，使自得之。」</t>
  </si>
  <si>
    <t>簠</t>
  </si>
  <si>
    <t>[名]
古代祭祀宴饗時，用來盛稻粱、黍稷的器具。《周禮．地官．舍人》：「凡祭祀，共簠簋實之陳之。」</t>
  </si>
  <si>
    <t>黼</t>
  </si>
  <si>
    <t>[名]_x000D_
古代禮服上所刺繡的花紋，半黑半白，如斧之形。《說文解字．黹部》：「黼，白與黑相次文。」《書經．益稷》：「作會、宗彞、藻、火、粉、米、黼、黻、絺、繡。」唐．孔穎達．正義：「（黼）蓋半白半黑似斧，刃白而身黑。」</t>
  </si>
  <si>
    <t>府</t>
  </si>
  <si>
    <t>[名]
1.儲藏文書或財物的地方。《說文解字．广部》「府」字．清．段玉裁．注：「文書所藏之處曰府。」《孟子．告子下》：「今之事君者，皆曰我能為君辟土地，充府庫。」
2.官署，官員辦公的地方。如：「官府」、「首府」、「總統府」。《文選．諸葛亮．出師表》：「宮中府中，俱為一體。」
3.古代介於省、縣間的地方行政機構。如：「開封府」、「徐州府」。
4.達官顯貴的住所。如：「王府」。《紅樓夢》第二回：「路北，東是寧國府，西是榮國府。」
5.尊稱別人的居處。如：「尊府」、「貴府」、「造府請教」。
6.泛指人、物聚集的地方。《文選．陸機．文賦》：「遊文章之林府，嘉麗藻之彬彬。」
7.姓。如漢代有府悝。</t>
  </si>
  <si>
    <t>拊</t>
  </si>
  <si>
    <t>[動]
1.撫摸。《漢書．卷三五．吳王劉濞傳》：「獨悔，業已拜，因拊其背。」《文選．曹植．雜詩六首之六》：「拊劍西南望，思欲赴太山。」
2.拍打、輕擊。《書經．益稷》：「予擊石拊石，百獸率舞。」《左傳．襄公二十五年》：「公拊楹而歌。」
3.撫育。通「撫」。《詩經．小雅．蓼莪》：「母兮鞠我，拊我畜我。」
4.撫慰、撫恤。《左傳．宣公十二年》：「王巡三軍，拊而勉之。」《戰國策．齊策四》：「今君有區區之薛，不拊愛子其民。」
[名]
1.器物的把柄。《禮記．少儀》：「刀卻，刃授穎，削授拊。」
2.古代一種打擊樂器，即搏拊。《周禮．春官．大師》：「帥瞽登歌，令奏擊拊。」</t>
  </si>
  <si>
    <t>弣</t>
  </si>
  <si>
    <t>[名]
弓把的中央。《廣韻．平聲．麌韻》：「弣，弓把中也。」《禮記．曲禮上》：「右手執簫，左手承弣。」</t>
  </si>
  <si>
    <t>俯</t>
  </si>
  <si>
    <t>[動]
低頭、低下。與「仰」相對。《易經．繫辭上》：「仰以觀於天文，俯以察於地理。」《孟子．盡心上》：「仰不愧於天，俯不怍於人。」
[副]
舊時公文書信中請求允許的謙辭。如：「俯允」、「俯念」。</t>
  </si>
  <si>
    <t>腑</t>
  </si>
  <si>
    <t>[名]
中醫指人體內主飲食的消化、吸收、轉輸和排泄器官的總稱。如胃、膽、三焦、膀胱、大小腸等稱為「六腑」。</t>
  </si>
  <si>
    <t>腐</t>
  </si>
  <si>
    <t>[形]
1.爛的、壞的。如：「腐草」、「腐鼠」。南朝宋．劉義慶《世說新語．方正》：「今猶俎上腐肉，任人膾截耳！」
2.迂闊不開通的。如：「腐見」、「迂腐」。《史記．卷九一．黥布傳》：「然而陛下謂何腐儒，為天下安用腐儒，何也？」
3.豆腐製的。如：「腐皮」、「腐乳」。
[動]
朽爛、臭敗。《呂氏春秋．季春紀．數盡》：「流水不腐，戶樞不螻。」《荀子．勸學》：「肉腐出蟲，魚枯生蠹；怠慢忘身，禍災乃作。」
[名]
1.宮刑。《史記．卷八五．呂不韋傳》：「呂不韋乃進嫪毐，詐令人以腐罪告之。」
2.朽爛敗壞的東西。《晉書．卷四九．阮籍等傳．史臣曰》：「舐痔兼車，鳴鳶吞腐。」
3.豆腐。《幼學瓊林．卷三．飲食類》：「腐乃淮南所為。」</t>
  </si>
  <si>
    <t>[動]
低頭。同「俯」。《文選．賈誼．過秦論》：「百越之君，俛首係頸，委命下吏。」《文選．曹植．雜詩六首之四》：「俛仰歲將暮，榮耀難久恃。」</t>
  </si>
  <si>
    <t>(二)ㄇㄧㄢˇ miǎn（01430）</t>
  </si>
  <si>
    <t>撫</t>
  </si>
  <si>
    <t>[動]_x000D_
1.輕輕的摸。如：「撫摸」。《禮記．內則》：「適子庶子見於外寢，撫其首，咳而名之。」晉．陶淵明〈歸去來辭〉：「景翳翳以將入，撫孤松而盤桓。」《聊齋志異．卷四．促織》：「日將暮，取兒稿葬，近撫之，氣息惙然，喜寘榻上，半夜復甦。」_x000D_
2.握、按。《晏子春秋．內篇．雜上》：「其僕將馳，晏子撫其手曰：『徐之，疾不必生，徐不必死。』」《孟子．梁惠王下》：「夫撫劍疾視曰：『彼焉敢當我哉？』」_x000D_
3.拍、擊。《書經．舜典》：「予擊石撫石，百獸率舞。」北周．庾信〈哀江南賦．序〉：「陸士衡聞而撫掌，是所甘心。」_x000D_
4.彈奏、撥弄。《韓非子．十過》：「因靜坐撫琴而寫之。」《淮南子．脩務》：「然而搏琴撫弦，參彈復徽，……不失一弦。」_x000D_
5.安慰。如：「安撫」、「撫慰」。《國語．晉語一》：「君行，太子從以撫軍也。」《史記．卷九二．淮陰侯列傳》：「方今為將軍計，莫如案甲休兵，鎮趙撫其孤。」_x000D_
6.養育、保護。如：「撫養」、「撫育」。《後漢書．卷八四．列女傳．程文矩妻》：「穆姜慈愛溫仁，撫字益隆。」_x000D_
7.據有、占有。漢．王符《潛夫論．論榮》：「處隸圉不足以為恥，撫四海不足以為榮。」《三國演義》第七三回：「今已撫有兩川之地，可以應天順人，即皇帝位。」_x000D_
8.照顧、對待。明．歸有光〈項脊軒志〉：「嫗，先大母婢也，乳二世，先妣撫之甚厚。」_x000D_
[名]_x000D_
巡撫的簡稱。如：「浙撫」。《禎朝詔疏．奏議．卷九．保東南以裕安攘疏》：「江撫宜駐九江，贛撫宜駐吉安。」清．徐珂《清稗類鈔．獄訟類．順治辛丑奏銷案》：「蘇撫朱國治強愎自用，造欠冊達部，號曰抗糧。」</t>
  </si>
  <si>
    <t>頫</t>
  </si>
  <si>
    <t>[動]
低頭、低下。同「俯」。《漢書．卷三一．陳勝項籍傳．贊曰》：「百粵之君頫首係頸，委命下吏。」《文選．曹植．七啟》：「頫眺流星，仰觀八隅。」</t>
  </si>
  <si>
    <t>ㄈㄨˋ</t>
  </si>
  <si>
    <t>fù</t>
  </si>
  <si>
    <t>[名]
1.稱謂：(1)對爸爸的稱呼。如：「父親」、「養父」、「家父」、「繼父」。《詩經．小雅．蓼莪》：「父兮生我，母兮鞠我。」(2)用以尊稱親族中男性的長輩。如：「伯父」、「叔父」、「舅父」、「祖父」。
2.二一四部首之一。</t>
  </si>
  <si>
    <t>(二)ㄈㄨˇ fǔ（01837）</t>
  </si>
  <si>
    <t>(一)ㄆㄨ pū（00980）</t>
  </si>
  <si>
    <t>訃</t>
  </si>
  <si>
    <t>[名]
報喪的文字。唐．柳宗元〈虞鳴鶴誄〉：「捧訃號呼，匍匐增悲。」
[動]
報喪、告喪。如：「訃告」。漢．王充《論衡．書虛》：「齊亂，公薨，三月乃訃。」</t>
  </si>
  <si>
    <t>赴</t>
  </si>
  <si>
    <t xml:space="preserve">走 </t>
  </si>
  <si>
    <t>[動]
1.前往、投向、奔向。如：「單刀赴會」、「共赴國難」。《文選．曹植．白馬篇》：「捐驅赴國難，視死忽如歸。」
2.告喪。同「訃」。《左傳．文公十四年》：「凡崩、薨，不赴則不書；禍、福，不告亦不書。」《禮記．檀弓上》：「伯高死於衛，赴於孔子。」
3.游泳。同「洑」。《莊子．秋水》：「赴水則接腋持頤。」唐．成玄英．疏：「游泳則接腋持頤。」《水滸傳》第三八回：「張順再跳下水裡，赴將開去。」</t>
  </si>
  <si>
    <t>付</t>
  </si>
  <si>
    <t>[動]
1.授予、交給。如：「交付」、「託付」。《漢書．卷九二．游俠傳．原涉傳》：「具記衣被棺木，下至飯含之物，分付諸客。」
2.支出錢財。如：「付款」、「付帳」、「繳付」。
[名]
量詞。計算成組成套物品的單位。通「副」。如：「一付眼鏡」、「兩付碗筷」。</t>
  </si>
  <si>
    <t>咐</t>
  </si>
  <si>
    <t>參見「吩咐」、「囑咐」等條。</t>
  </si>
  <si>
    <t>附</t>
  </si>
  <si>
    <t>[動]
1.依傍。如：「依附」。《史記．卷四七．孔子世家》：「魯小弱，附於楚則晉怒，附於晉則楚來伐。」
2.歸依。如：「趨附」、「歸附」。《淮南子．主術》：「所任者得其人，則國家治，上下和，群臣親，百姓附。」
3.黏著不分開。如：「附著」。明．徐弘祖《徐霞客遊記．卷四下．黔遊日記二》：「有一石脊，自洞頂附壁直垂而下。」
4.靠近、親近。如：「附在他耳邊低語。」
5.應和。如：「附和」、「附議」。
6.相合、符合。《史記．卷七〇．張儀傳》：「是我一舉而名實附也。」《文選．左思．三都賦序》：「風謠歌舞，各附其俗。」
7.寄。參見「附書」條。
[副]
連帶的、外加的。如：「附屬」、「附帶」、「附設」。</t>
  </si>
  <si>
    <t>祔</t>
  </si>
  <si>
    <t>[動]
1.奉新死者的神主入廟，與先祖合祭。《說文解字．示部》：「祔，後死者合食於先祖。」《左傳．僖公三十三年》：「凡君薨，卒哭而祔。」《明史．卷一五．孝宗本紀》：「己酉，憲宗神主祔太廟。」
2.子孫的棺木附葬在祖墳裡。《南史．卷五三．梁武帝諸子傳．豫章王綜傳》：「後梁人盜其柩來奔，武帝猶以子禮祔葬陵次。」</t>
  </si>
  <si>
    <t>蚹</t>
  </si>
  <si>
    <t>[名]
1.蛇腹下可使蛇向前爬行的橫鱗。《廣韻．去聲．遇韻》：「蚹，蛇腹下橫鱗可行者。」《莊子．齊物論》：「吾所待，又有待而然者邪？吾待蛇蚹蜩翼邪？」
2.蝸牛。《爾雅．釋魚》：「蚹蠃螔蝓。」晉．郭璞．注：「即蝸牛也。」</t>
  </si>
  <si>
    <t>駙</t>
  </si>
  <si>
    <t>[名]
古時稱駕副車或備用的馬。《韓非子．外儲說右下》：「擅芻水之利也，然馬過於圃池，而駙馬敗者，非芻水之利不足也，德分於圃池也。」《文選．張衡．東京賦》：「駙承華之蒲梢，飛流蘇之騷殺。」</t>
  </si>
  <si>
    <t>鮒</t>
  </si>
  <si>
    <t>[名]_x000D_
動物名。即鯽。鯉目鯉科。形似鯉魚，背鰭基底較短，口側無鬚。骨多，味美。</t>
  </si>
  <si>
    <t>阜</t>
  </si>
  <si>
    <t>[名]
1.土山。漢．劉熙．《釋名．釋山》：「土山曰阜。」《文選．張協．七命》：「登翠阜，臨丹谷。」
2.大陸。《詩經．小雅．天保》：「如山如阜，如岡如陵。」漢．毛亨．傳：「大陸曰阜。」
3.二一四部首之一。
[形]
1.旺盛。《詩經．鄭風．大叔于田》：「叔在藪，火烈具阜。」漢．毛亨．傳：「阜，盛也。」
2.豐厚。如：「物阜民豐」。《國語．周語中》：「不義則利不阜，不祥則福不降。」
3.肥碩、壯大。《詩經．秦風．駟鐵》：「駟驖孔阜，六轡在手。」漢．毛亨．傳：「阜，大也。」
4.安康。唐．錢鏐〈投龍文〉：「自統制山河，主臨吳越，民安俗阜，道泰時康。」
[動]
使豐富。《孔子家語．卷八．辯樂》：「南風之時兮，可以阜吾民之財兮。」</t>
  </si>
  <si>
    <t>(一)ㄅㄨˋ bù（00578）</t>
  </si>
  <si>
    <t>蛗</t>
  </si>
  <si>
    <t>參見「蛗螽」條。</t>
  </si>
  <si>
    <t>[動]
1.行於故道。《說文解字．夊部》：「复，行故道也。」
2.同「復」(一)。</t>
  </si>
  <si>
    <t>(二)ㄈㄡˋ fòu（01601）</t>
  </si>
  <si>
    <t>[動]
1.返、還。《爾雅．釋言》：「復，返也。」《左傳．僖公四年》：「昭王南征而不復。」
2.還原，再回到原來的樣子。如：「恢復」、「康復」、「回復」、「收復」。《史記．卷七六．平原君虞卿傳》：「三去相，三復位。」南朝宋．劉義慶《世說新語．方正》：「我令卿復君臣之好，何以猶絕？」
3.回報，多指仇恨而言。如：「報復」、「復仇」。《左傳．定公四年》：「（伍員）謂申包胥曰：『我必復楚國。』」
4.免附徭役或賦稅。《墨子．號令》：「男女老小，先分守者，人賜錢千，復之三歲。」《漢書．卷一．高帝紀上》：「蜀漢民給軍事勞苦，復勿租稅二歲。」
[副]
再、又。如：「去而復返」、「舊病復發」、「死灰復燃」。唐．李白〈將進酒〉：「君不見黃河之水天上來，奔流到海不復回。」
[助]
無義。有補充或調整音節的作用。南朝梁．無名氏〈木蘭詩〉二首之一：「唧唧復唧唧，木蘭當戶織。」唐．杜甫〈贈衛八處士〉詩：「今夕復何夕？共此燈燭光。」
[名]
1.《易經》卦名。六十四卦之一。震（☳）下坤（☷）上。機運循環之象。
2.姓。如元代有復見心。</t>
  </si>
  <si>
    <t>(二)ㄈㄡˋ fòu（01602）</t>
  </si>
  <si>
    <t>腹</t>
  </si>
  <si>
    <t>[形]
厚。《說文解字．肉部》：「腹，厚也。」《禮記．月令》：「冰方盛，水澤腹堅，命取冰。」
[名]
1.指動物的胸腔與骨盤之間的部位，俗稱為「肚子」。如：「果腹」、「捧腹大笑」。
2.泛稱中心部位。如：「山腹」、「瓶腹」。唐．杜甫〈南池〉詩：「呀然閬城南，枕帶巴江腹。」
3.比喻內心深處。如：「推心置腹」、「口蜜腹劍」。
4.正面、前面。《新五代史．卷六二．十國世家．南唐世家》：「吾無水戰之具，而使淮兵斷正陽浮橋，則我背腹受敵。」
5.姓。如戰國時趙國有腹擊。
[動]
懷抱。《詩經．小雅．蓼莪》：「顧我復我，出入腹我。」</t>
  </si>
  <si>
    <t>複</t>
  </si>
  <si>
    <t>[名]
有夾裡的衣服。《說文解字．衣部》：「複，重衣也。」《三國志．卷一一．魏書．袁張涼國田王邴管傳．管寧》：「寧常著皁帽，布襦褲，布裙，隨時單複。」
[形]
1.有夾層的。《隋書．卷五五．列傳．尒朱敞》：「敞再拜哀求，長孫氏愍之，藏於複壁。」
2.相重、重疊。如：「重複」、「複賽」、「山重水複」。漢．張衡〈東京賦〉：「複廟重屋，八達九房。」宋．陸游〈遊山西村〉詩：「山重水複疑無路，柳暗花明又一村。」
3.不是單一的。與「單」相對。如：「複數」、「複眼」、「複姓」、「複利」。
4.繁雜的。如：「繁複」、「錯綜複雜」。
[副]
再、又。如：「複習」、「複檢」、「複審」、「重複思考」。</t>
  </si>
  <si>
    <t>蝮</t>
  </si>
  <si>
    <t>[名]
動物名。一種毒蛇。脊椎動物門爬蟲類有鱗目。具管狀毒牙，長尺餘。頭大，呈三角形，全身灰褐色，有斑紋。也稱為「蝮蛇」、「土虺蛇」。</t>
  </si>
  <si>
    <t>輹</t>
  </si>
  <si>
    <t>[名]
古代車箱下面和軸相鉤連的木頭。《左傳．僖公十五年》：「車說其輹，火焚其旗。」晉．杜預．注：「輹，車下縛也。」唐．孔穎達．正義：「輹，車下伏兔也。今人謂之車屐，形如伏兔，以繩縛於軸，因名縛也。」</t>
  </si>
  <si>
    <t>[名]
古代一種炊具，似釜而大口。《說文解字．金部》：「鍑，釜大口者。」《漢書．卷九四．匈奴傳下》：「胡地秋冬莖寒，春夏甚風，多齎鬴鍑薪炭，重不可勝。」</t>
  </si>
  <si>
    <t>(二)（又音）ㄈㄨˊ fú（01835）</t>
  </si>
  <si>
    <t>覆</t>
  </si>
  <si>
    <t>[動]
1.翻倒、傾倒。如：「翻覆」、「水可載舟，亦可覆舟。」《論語．子罕》：「雖覆一簣，進，吾往也。」《漢書．卷四八．賈誼傳》：「前車覆，後車誡。」
2.反轉。如：「反覆無常」、「翻來覆去」。唐．杜甫〈貧交行〉：「翻手作雲覆手雨，紛紛輕薄何須數。」
3.毀滅、消滅。如：「傾覆」、「顛覆」。《論語．陽貨》：「惡鄭聲之亂雅樂也，惡利口之覆邦家者。」《新唐書．卷一三六．列傳．李光弼》：「光弼用兵，謀定而後戰，能以少覆眾。」
4.回答。通「復」。如：「答覆」、「覆信」。《文明小史》第二九回：「這時逢瓜代回國，到京覆命，請假修墓來的。」
5.審察、詳察。《舊唐書．卷一一〇．列傳．鄧景山》：「以鎮撫紀綱為己任，檢覆軍吏隱沒者。」
6.遮蓋、掩蔽。如：「覆蓋」。《莊子．德充符》：「夫天無不覆，地無不載。」《聊齋志異．卷五．陽武侯》：「見舍上鴉鵲群集，競以翼覆漏處。」
7.埋伏、襲擊。《左傳．桓公十二年》：「楚人坐其北門，而覆諸山下。」《魏書．卷八九．酷吏列傳．李洪之》：「乃夜密遣騎分部覆諸要路，有犯禁者，輒捉送州。」
8.反而。《詩經．小雅．節南山》：「不懲其心，覆怨其正。」
[副]
重、再。通「複」。如：「重覆」。《後漢書．卷四〇．班彪列傳下》：「亦以寵靈文武，貽燕後昆，覆以懿鑠，豈其為身而有顓辭也？」《老殘遊記》第一七回：「宮保只有派白太尊覆審的話，並沒有叫閣下回省的示諭，此案未了，斷不能走。」</t>
  </si>
  <si>
    <t>馥</t>
  </si>
  <si>
    <t>[形]
香味濃郁。宋．魏了翁〈滿江紅．秋意冷然〉詞：「水拍池塘鴻雁聚，露濃庭畹芝蘭馥。」
[名]
香氣。南朝梁．元帝〈揚州梁安寺碑〉：「旃檀散馥，無復圓覺之風。」宋．蘇軾〈千秋歲．淺霜侵綠〉詞：「秋露重，真珠落袖沾餘馥。」
[動]
散發。唐．申歡〈兜玄國懷歸〉詩：「風軟景和煦，異香馥林塘。」宋．黃定〈鷓鴣天．間世文章萬選錢〉詞：「雍容草罷明堂詔，留取天香馥壽筵。」</t>
  </si>
  <si>
    <t>鰒</t>
  </si>
  <si>
    <t>[名]
動物名。軟體動物門腹足綱鮑螺科。貝殼呈扁橢圓形，體呈淡黃色，橢圓形，長二寸許。肉可食，味鮮美。也稱為「鮑魚」。</t>
  </si>
  <si>
    <t>負</t>
  </si>
  <si>
    <t>[動]
1.憑恃、憑藉。《說文解字．貝部》：「負，恃也。」《左傳．襄公十四年》：「昔秦人負恃其眾，貪於土地，逐我諸戎。」《北史．卷一二．隋煬帝本紀．史臣曰》：「負其富強之資，思逞無厭之欲。」
2.靠、背對。如：「負山面海」。
3.以肩背物。如：「負薪」、「負荊請罪」。《韓非子．喻老》：「王壽負書而行，見徐馮於周塗。」
4.擔荷、承擔。如：「身負重任」。
5.享有。如：「久負盛名」。
6.虧欠、拖欠。如：「負債」。《漢書．卷八〇．宣元六王傳．淮陽憲王劉欽傳》：「負責數百萬，願王為償。」
7.背棄、違背。如：「辜負」、「忘恩負義」。唐．李白〈白頭吟〉：「古來得意不相負，祗今惟見青陵臺。」《喻世明言．卷八．吳保安棄家贖友》：「今彼在生死之際，以性命托我，我何忍負之？」
8.遭受。如：「負傷」。
[名]
1.責任。如：「如釋重負」。
2.失敗。如：「勝負分明」、「不分勝負」。
[形]
與正相反的。如：「負電」、「負極」、「負數」。</t>
  </si>
  <si>
    <t>偩</t>
  </si>
  <si>
    <t>[動]
1.依照。《集韻．上聲．有韻》：「偩，依也。」《禮記．樂記》：「禮樂偩天地之情，達神明之德。」漢．鄭玄．注：「偩，猶依像也。」
2.依恃。《淮南子．詮言》：「好勇則輕敵而簡備，自偩而辭助。」</t>
  </si>
  <si>
    <t>[名]
1.一種藥草。即王萯。《說文解字．艸部》：「萯，王萯也。」《禮記．月令》：「王瓜生，苦菜秀。」漢．鄭玄．注：「今〈月令〉云：『王萯生。』」
2.一種草。《管子．地員》：「其種大萯細萯，白莖青秀以蔓。」唐．尹知章．注：「萯，草名。」</t>
  </si>
  <si>
    <t>(二)ㄅㄟˋ bèi（00176）</t>
  </si>
  <si>
    <t>蝜</t>
  </si>
  <si>
    <t>[形]
1.助理的。如：「副手」、「副使」、「副官」。
2.居第二位的、居次的。如：「副總統」、「副班長」
3.附帶的。如：「副作用」、「副產品」。
4.次要的。如：「副業」、「副食品」。
[名]
1.量詞。計算成套成組物品的單位。如：「一副碗筷」、「兩副耳環」、「三副眼鏡」。俗作「付」。
2.輔助的職務或擔任輔佐職務的人。如：「大副」、「二副」。
3.古代用假髮製成的髮髻稱為「副貳」。簡稱為「副」。《詩經．鄘風．君子偕老》：「君子偕者，副笄六珈。」漢．毛亨．傳：「副者，后夫人之首飾，編髮為之。」
[動]
1.輔助、輔佐。《晉書．卷六九．周顗傳》：「顗參副朝右，職掌詮衡，當敬慎德音，式是百辟。」
2.符合、相稱。如：「名副其實」。《後漢書．卷六一．黃瓊傳》：「陽春之曲，和者必寡；盛名之下，其實難副。」</t>
  </si>
  <si>
    <t>(二)ㄆㄧˋ pì（00861）</t>
  </si>
  <si>
    <t>富</t>
  </si>
  <si>
    <t>[形]
1.財物充裕、充足。如：「富裕」、「富有」、「富饒」、「富足」。《後漢書．卷八〇．文苑傳上．杜篤傳》：「昔在強秦，爰初開畔，霸自歧、廱，國富人衍。」
2.包容很多的。如：「富麗堂皇」、「文富辭豐」。
3.壯盛。南朝陳．周弘讓《答王裒書》：「昔吾壯日，及弟富年。」
[名]
1.財產、財物。如：「財富」。《禮記．大學》：「富潤屋，德潤身，心廣體胖。」
2.姓。如東周有富辰。
[動]
使豐裕。如：「富國強兵」。《論語．子路》：「冉有曰：『既庶矣，又何加焉？』曰：『富之。』」</t>
  </si>
  <si>
    <t>褔</t>
  </si>
  <si>
    <t>[動]_x000D_
充滿。清．王念孫《廣雅疏證．卷一下．釋詁》：「褔，盈也。」_x000D_
[量]_x000D_
計算衣物的單位。唐．顏師古《匡謬正俗．卷六．副》：「今俗呼一襲為一褔衣，蓋取其充備之意，非以覆蔽形體為名也。」</t>
  </si>
  <si>
    <t>婦</t>
  </si>
  <si>
    <t>[名]_x000D_
1.已嫁女子。《正字通．女部》：「婦，女子已嫁曰婦。」唐．王昌齡〈閨怨〉詩：「閨中少婦不曾愁，春日凝妝上翠樓。」_x000D_
2.妻。如：「夫婦」。《樂府詩集．卷七三．雜曲歌辭十三．古辭．焦仲卿妻》：「十七為君婦，心中常苦悲。」元．關漢卿《竇娥冤》第二折：「他本是張郎婦，又做了李郎妻。」_x000D_
3.兒子的妻子。《禮記．雜記下》：「婦見舅姑，兄弟姑姊妹皆立于堂下。」《新唐書．卷一八．禮樂志八》：「舅姑即席，婦執笲棗、栗入。」_x000D_
4.女性的通稱。如：「婦孺皆知」、「老弱婦孺」。_x000D_
[形]_x000D_
有關女性的。如：「婦科」。《宋史．卷三五．孝宗本紀三》：「十一月戊辰朔，禁臣庶之家婦飾僭擬。」</t>
  </si>
  <si>
    <t>傅</t>
  </si>
  <si>
    <t>[動]_x000D_
1.輔助。《左傳．桓公二年》：「惠之二十四年，晉始亂，故封桓叔于曲沃，靖侯之孫欒賓傅之。」《史記．卷五五．留侯世家》：「子房雖病，彊臥而傅太子。」_x000D_
2.教導、教授。《孟子．滕文公下》：「有楚大夫於此，欲其子之齊語也，則使齊人傅諸？使楚人傅諸？」《淮南子．人間》：「楚王悅之，因命太子建守城父，命伍子奢傅之。」_x000D_
3.附著、依附。《左傳．僖公十四年》：「皮之不存，毛將安傅？」《晉書．卷九二．文苑列傳．左思》：「至若此賦，擬議數家，傅辭會義，抑多精緻。」明．馮琦〈戊子湖廣鄉試錄序〉：「夫以古語為今文，非今也；以今事傅古義，非古也。」_x000D_
4.敷抹、塗抹。如：「傅粉施朱」。《後漢書．卷八三．逸民列傳．梁鴻》：「今乃衣綺縞，傅粉墨，豈鴻所願哉？」《新唐書．卷一三六．列傳．李光弼》：「身被數創，肅宗躬為傅藥。」明．李時珍《本草綱目．卷一八上．草部七．葛》引《千金方》：「癤子初起：葛蔓燒灰，水調傅之，即消。」_x000D_
5.攜帶。《後漢書．卷二一．任李萬邳劉耿列傳．耿純》：「選敢死二千人，俱持彊弩，各傅三矢。」《宋史．卷三三一．列傳．沈遘》：「邊人驩激，執弓傅矢，唯恐不得進。」_x000D_
[名]_x000D_
1.教師，教導傳授技藝或學業的人。如：「師傅」。《史記．卷八四．屈原賈生列傳．賈誼》：「於是天子後亦疏之，不用其議，乃以賈生為長沙王太傅。」_x000D_
2.姓。如晉朝時有傅玄。</t>
  </si>
  <si>
    <t>賻</t>
  </si>
  <si>
    <t>[動]
以財物幫助人辦喪事。《玉篇．貝部》：「賻，以財助喪也。」唐．柳宗元〈尚書戶部侍郎王君先太夫人河間劉氏誌文〉：「天子使中謁者臨問其家，賻以布帛。」宋．蘇軾〈上韓魏公乞葬董傳書〉：「軾與之故舊在京師者數人，相與出錢賻其家。」
[名]
助喪的財物。《左傳．隱公三年》：「武氏子來求賻，王未葬也。」南朝宋．顏延之〈陶徵士誄〉：「式尊遺占，存不願豐，沒無求贍，省訃卻賻。」</t>
  </si>
  <si>
    <t>賦</t>
  </si>
  <si>
    <t>[動]
1.徵收。《說文解字．貝部》：「賦，斂也。」漢．鼂錯〈論貴粟疏〉：「賦斂不時，朝令而暮改。」
2.給與、授與。如：「賦與」、「天賦異稟」。《漢書．卷一一．哀帝紀》：「太皇太后詔外家王氏田非冢塋，皆以賦貧民。」
3.吟詠、寫作。如：「橫槊賦詩」。《文選．司馬遷．報任少卿書》：「屈原放逐，乃賦離騷。」晉．陶淵明〈自祭文〉：「捽兀窮廬，酣飲賦詩。」
4.分布、散布。《詩經．大雅．烝民》：「天子是若，明命使賦。」漢．毛亨．傳：「賦，布也。」
[名]
1.稅收。如：「稅賦」、「田賦」。《漢書．卷一一．哀帝紀》：「民貲不滿十萬，皆無出今年租賦。」
2.《詩經》六義之一。鋪陳直言其事，有別於比喻和托物起興。南朝梁．劉勰《文心雕龍．詮賦》：「《詩》有六義，其二曰賦。賦者，鋪也，鋪采摛文，體物寫志也。」
3.文體名。介於詩與散文之間的韻文，多用來寫景敘事。盛行於漢魏六朝。如：「詩、詞、歌、賦。」《史記．卷八四．屈原賈生傳》：「及渡湘水，為賦以弔屈原。」唐．李白〈大獵賦〉：「白以為賦者古詩之流，辭欲壯麗，義歸博達。」
4.資質。如：「稟賦」。</t>
  </si>
  <si>
    <t>耷</t>
  </si>
  <si>
    <t>ㄉㄚ</t>
  </si>
  <si>
    <t>dā</t>
  </si>
  <si>
    <t>[名]
大耳朵。《集韻．入聲．盍韻》：「耷，大耳曰耷。」</t>
  </si>
  <si>
    <t>答</t>
  </si>
  <si>
    <t>[動]
1.應允、對答。如：「答應」。
2.理睬、打招呼。如：「答理」。
[擬]
參見「答答」條。
[名]
姓。如古代有陶邑大夫答子，為答姓之始。</t>
  </si>
  <si>
    <t>(一)ㄉㄚˊ dá（01905）</t>
  </si>
  <si>
    <t>搭</t>
  </si>
  <si>
    <t>[動]
1.掛、披掛。《字彙．手部》：「搭，掛也。」宋．林逋〈湖山小隱〉詩：「步穿僧徑出，肩搭道衣歸。」
2.覆蓋。如：「他身上搭著一條毛毯。」
3.架設、架起。如：「搭橋」、「搭帳棚」。唐．韓偓〈夜深〉詩：「夜深斜搭鞦韆索，樓閣朦朧煙雨中。」
4.連接、接著。如：「兩條電線已搭上了。」《紅樓夢》第三〇回：「纔要搭言，也趁勢兒取個笑。」
5.鉤、牽引。如：「勾搭」。《水滸傳》第四六回：「枯草裡舒出兩把撓鉤，正把時遷一撓鉤搭住。」
6.配合。如：「搭配」、「兩種藥搭著服用。」
7.參預、加入。如：「搭伙」。元．張國賓《合汗衫》第四折：「我也到那裡去搭一份齋，追薦我亡夫張孝友去來。」
8.乘坐。如：「搭車」、「搭船」。
9.按。《清平山堂話本．快嘴李翠蓮記》：「張狼因父母做主，只得含淚寫了休書，兩邊搭了手印。」
[名]
1.披在身上的短衣。宋．林逋〈深居雜興〉詩六首之一：「中有病夫披白搭，瘦行清坐詠遺篇。」
2.姓。如元代有搭海。</t>
  </si>
  <si>
    <t>嗒</t>
  </si>
  <si>
    <t>[擬]_x000D_
模擬馬蹄聲或機槍連續射擊的聲音。如：「嗒嗒的馬蹄聲」、「機槍嗒嗒地響」。</t>
  </si>
  <si>
    <t>(一)ㄊㄚˋ tà（02445）</t>
  </si>
  <si>
    <t>褡</t>
  </si>
  <si>
    <t>[名]
1.無袖的衣服。如背心稱為「背褡」。
2.盛物的囊袋。如：「錢褡」。</t>
  </si>
  <si>
    <t>噠</t>
  </si>
  <si>
    <t>[擬]_x000D_
噠噠，擬聲詞：(1)模擬馬蹄聲。如：「馬蹄噠噠地響。」也作「嗒嗒」。(2)模擬機槍掃射的聲音。如：「機關槍正噠噠地掃射敵軍的陣營。」也作「嗒嗒」。</t>
  </si>
  <si>
    <t>(一)ㄉㄚˊ dá（01909）</t>
  </si>
  <si>
    <t>躂</t>
  </si>
  <si>
    <t>參見「蹓躂」條。</t>
  </si>
  <si>
    <t>(一)ㄊㄚˋ tà（02437）</t>
  </si>
  <si>
    <t>打</t>
  </si>
  <si>
    <t>ㄉㄚˊ</t>
  </si>
  <si>
    <t>dá</t>
  </si>
  <si>
    <t>[名]
量詞。計算物品的單位。為英文dozen的音譯。十二個為一打。如：「一打毛巾」、「兩打鉛筆」。</t>
  </si>
  <si>
    <t>(一)ㄉㄚˇ dǎ（01912）</t>
  </si>
  <si>
    <t>怛</t>
  </si>
  <si>
    <t>[動]
1.悲痛、憂傷。《詩經．檜風．匪風》：「顧瞻周道，中心怛兮。」
2.驚恐、畏懼。唐．獨孤及〈代書寄上李廣州〉詩：「推誠魚鱉信，持正魑魅怛。」
3.威嚇、恐嚇。唐．柳宗元〈三戒．臨江之麋〉：「群犬垂涎，揚尾皆來，其人怒怛之。」
[名]
懼怕。《文選．左思．魏都賦》：「顧非累卵於疊棋，焉至觀形而懷怛。」</t>
  </si>
  <si>
    <t>呾</t>
  </si>
  <si>
    <t>[動]
1.相呵笑。唐．韓愈〈幽州節度判官贈給事中清河張君墓誌銘〉：「我銘以貞之，不肖者之呾也。」
2.歌唱時用手或足打節拍。元．喬吉〈喬牌兒．鳳求凰琴慢彈套〉：「鳳求凰琴慢彈，鶯求友曲休呾。」</t>
  </si>
  <si>
    <t>妲</t>
  </si>
  <si>
    <t>參見「妲己」條。</t>
  </si>
  <si>
    <t>靼</t>
  </si>
  <si>
    <t>[名]
1.質地柔軟的皮革。《說文解字．革部》：「靼，柔革也。」
2.參見「韃靼」條。</t>
  </si>
  <si>
    <t>荅</t>
  </si>
  <si>
    <t>[名]
小豆。《說文解字．艸》：「荅，小尗也。」清．王念孫《廣雅疏證．卷十上．釋草》：「小豆，荅也。」
[形]
厚重。《漢書．卷九一．貨殖傳．巴寡婦清傳》：「文采千匹，荅布皮革千石。」唐．顏師古．注：「麤厚之布也，其價賤，故與皮革同其量耳，非白疊也。荅者，厚重之貌。」</t>
  </si>
  <si>
    <t>[動]
1.應對、回覆別人的問題。如：「回答」、「答覆」、「笑而不答」。
2.接受他人的恩惠而加以回報。如：「報答」、「答謝」。</t>
  </si>
  <si>
    <t>(二)ㄉㄚ dā（01893）</t>
  </si>
  <si>
    <t>溚</t>
  </si>
  <si>
    <t>[名]
焦油的舊稱。參見「煤溚」條。</t>
  </si>
  <si>
    <t>瘩</t>
  </si>
  <si>
    <t>(一)（語音）˙ㄉㄚ da（01914）</t>
  </si>
  <si>
    <t>達</t>
  </si>
  <si>
    <t>[動]
1.通。如：「直達車」、「四通八達」。《呂氏春秋．孟春紀．重己》：「理塞則氣不達，味眾珍則胃充，胃充則中大鞔。」
2.到。《書經．禹貢》：「浮于淮泗、達于河。」唐．杜甫〈月夜憶舍弟〉詩：「寄書長不達，況乃未休兵。」
3.實現、完成。如：「目的已達」。
4.表現。如：「詞不達意」。
5.通曉事理。《論語．雍也》：「賜也達，於從政乎何有？」
6.告訴。如：「傳達」、「轉達」。
[形]
1.顯達、顯貴。如：「達官貴人」。《文選．李密．陳情表》：「本圖宦達，不矜名節。」
2.常行不變。如：「達德」、「達道」。《禮記．三年問》：「夫三年之喪，天下之達喪也。」
3.豁達、宏達。如：「達人」、「達見」。
[副]
遍。《書經．召誥》：「若翼日乙卯，周公朝至于洛，則達觀于新邑營。」
[名]
姓。如春秋時齊國有達子，明代有達云。</t>
  </si>
  <si>
    <t>(二)ㄊㄚˋ tà（02434）</t>
  </si>
  <si>
    <t>[名]
嚈噠：中國古代的西方國家。《集韻．入聲．曷韻》：「噠，嚈噠，西夷國名。」《北史．卷四．魏本紀．肅宗孝明帝》：「是歲（神龜二年），吐谷渾、宕昌、嚈噠等國並遣使朝貢。」</t>
  </si>
  <si>
    <t>(二)ㄉㄚ dā（01897）</t>
  </si>
  <si>
    <t>繨</t>
  </si>
  <si>
    <t>(一)（語音）˙ㄉㄚ da（01915）</t>
  </si>
  <si>
    <t>韃</t>
  </si>
  <si>
    <t>參見「韃靼」、「韃子」等條。</t>
  </si>
  <si>
    <t>ㄉㄚˇ</t>
  </si>
  <si>
    <t>dǎ</t>
  </si>
  <si>
    <t>[動]_x000D_
1.敲擊、捶擊、毆打。如：「打棒球」、「打鐵趁熱」。唐．杜甫〈十二月一日〉詩三首之二：「打鼓發船何郡郎，新亭舉目風景切。」《負曝閑談》第九回：「幸虧孫老六還有點家數，隨即跳上波羅蓋，跟著喇嘛僧你一拳我一拳的打起來了。」《說岳全傳》第三回：「你若不肯倍我們頑，就打你這狗頭。」_x000D_
2.攻擊、戰鬥。如：「打仗」。《水滸傳》第二回：「快備我的馬來。如今便先去打史家莊，後取華陰縣。」《三國演義》第一九回：「操即令曹仁引三千兵打沛城。」_x000D_
3.消除、除去。如：「打火英雄」。元．朱震亨《丹溪治法心要．卷三．心痛》：「打蟲方：楝根、檳榔、鶴虱，夏取汁飲，冬煎濃湯，下萬靈丸最好。」《無明羅剎集》卷下：「如有象群處大林中四邊火起。……時最大象挽於樹枝，以打火滅導道令過得離火難。」_x000D_
4.發出、放出。如：「打電報」、「打信號」、「打電話」。《警世通言．卷二八．白娘子永鎮雷峰塔》：「只聽得一聲響，卻是青天裡打一個霹靂，眾人都驚倒了！」《儒林外史》第三四回：「那響馬賊數十人，齊聲打了一個忽哨，飛奔前來。」_x000D_
5.指身體不自主地做出動作。如：「打瞌睡」、「打哈欠」、「打寒噤」、「打呼嚕」。元．無名氏《陳州糶米》第三折：「如今那普天下人盡言，道一個包龍圖暗暗的私行，諕得些官吏每兢兢打戰。」《警世通言．卷三六．皂角林大王假形》：「忽然打一個噴涕，廳上廳下人都打噴涕。」《醒世姻緣傳》第一回：「晁大舍送客回來，剛剛跨進大門，猶似被人劈面一掌，通身打了一個冷噤。」_x000D_
6.注入、刺入。如：「打針」、「打點滴」、「給車胎打氣」。《兒女英雄傳》第三回：「在風門、肝俞、腎俞、三里，四個穴道，打了四針。」《醒世恆言．卷二〇．張廷秀逃生救父》：「叫徐氏嘴對嘴打氣，接連打了十數口氣，只見咽喉氣轉，手足展施。」_x000D_
7. 做、製作。如：「打造」、「打毛衣」、「打一條項鍊」。《水滸傳》第四回：「好生打一條六十二斤的水磨禪杖與師父。」《紅樓夢》第六四回：「於是二人商議著，使人看房子、打首飾，給二姐兒置買妝奩及新房中應用床帳等物。」《醒世姻緣傳》第五七回：「那人慘白鬍鬚，打著辮子，寡骨瘦臉，凸暴著兩個眼。」《兒女英雄傳》第五回：「又拿了一根大繩出來，往公子的胸前一搭，向後抄手，繞了三、四道，打了一個死扣兒。」_x000D_
8.舉、持。如：「打燈籠」。《三國演義》第一回：「忽見一彪軍馬，盡打紅旗，當頭來到，截住去路。」《紅樓夢》第一三回：「早有大明宮掌宮內相戴權，先備了祭禮遣人來，次後坐了大轎，打傘鳴鑼，親來上祭。」_x000D_
9.汲取、盛取。《醒世恆言．卷二五．獨孤生歸途鬧夢》：「那心兒裡就是十五、六個吊桶打水，七上八落的跳一個不止。」《西遊記》第五六回：「這老楊的兒子忙入裡面，叫起他妻來，打米煮飯。」_x000D_
10.捕捉、獵取。宋．汪元量〈湖州歌〉九八首之一七：「手中明鏡拋船上，半揭篷窗看打魚。」《水滸傳》第二回：「小人們不敢上山打捕野味，那討來賣？」《西遊記》第一三回：「我在這裡住人，專倚打些狼虎為生，捉些蛇蟲過活。」_x000D_
11.割取、砍取。《西遊記》第八五回：「八戒，你去打馬草的，怎麼這般狼狽回來？想是山上人家人看護，不容你打草麼？」《儒林外史》第三八回：「只得左近人家傭工，替人挑土打柴。」_x000D_
12.購買。如：「打年貨」、「打車票」。《儒林外史》第一一回：「數錢去鎮上打了三斤一方肉。」《醒世姻緣傳》第七八回：「連忙打肉殺雞，沽酒做菜，定蒸餅，買火燒。」清．劉獻廷《廣陽雜記》卷五：「買物曰打米、曰打肉。」_x000D_
13. 轉動、撥動。如：「打方向盤」。清．胡天游〈漁家傲．歲月等閒歸一睡〉詞：「一葉身隨風打舵，九迴腸似天旋磨，心事近來堪問麼，鐙影過，轉教歸夢無心做。」《兒女英雄傳》第三三回：「及至他問我丈人多少地，應收多少高粱、麥子、穀子，我丈人不用打算盤，說的數目卻又合那算法本子上不差上下。」_x000D_
14. 鑿開、揭開。如：「打開鍋蓋」、「打一口井」。《平妖傳》第四〇回：「只須帶五百名掘子手，在城北打一個地洞，直入貝州城內。」_x000D_
15. 破開、摔開。如：「雞飛蛋打」、「他不小心把碗打了，碎了一地！」_x000D_
16. 印上、畫上、刻上。如：「打樣」、「打郵戳」。《水滸傳》第八回：「林冲當下看人寫了，借過筆來，去年月下押個花字，打個手模。」《三寶太監西洋記通俗演義》第六七回：「碑上打著一行大字，說道：『西洋金眼國忠孝之墓。』」《紅樓夢》第二八回：「炕上兩個丫頭打粉線，黛玉彎著腰拿著剪子裁什麼呢。」_x000D_
17. 塗抹。如：「打蠟」、「打粉底」、「打亮光漆」。_x000D_
18. 定出、立定、盤算。如：「打分數」、「打基礎」、「精打細算」。《綠野仙蹤》第六回：「他今日做這般刀斬斧斷的事，可知他平日心中也不知打過幾千回稿兒。」《八仙得道》第五三回：「結果，不但把背城的資本，一博而空，還欠了人家一大筆錢，立下筆據，限期償還。這一來，就不怕他不從繼母身上打算了。」_x000D_
19.使用、採用。如：「打比喻」、「打官腔」。《西遊記》第二五回：「徒弟息怒。我們是出家人，休打誑語，莫喫昧心食。果然喫了他的，陪他個禮罷。何苦這般抵賴？」《官場現形記》第一七回：「當面怕弄僵，還是寫信的好；你寫信只管打官話，是不怕他出首的。」《兒女英雄傳》第三七回：「只聽他打著一口的常州鄉談道：『底樣臥，底樣臥。』」_x000D_
20.擔任、從事。如：「打零工」、「打游擊」。《文明小史》第五一回：「四、五個家人，十幾個打雜的，一大群人趁了長江輪船。」_x000D_
21.搭乘、乘坐。《西遊記》第四九回：「正都在河邊上吵鬧，忽聽得河中間高叫：『孫大聖不要打船，花費人家財物。我送你師徒們過去。』」《紅樓夢》第一一九回：「咱們說定了幾時，我叫女婿打了車來接了去。」《海上花列傳》第五回：「蓮生接來揩了一把，方吩咐來安打轎回去。」_x000D_
22.振作、提起。《金瓶梅詞話》第六一回：「那李瓶兒在房中身上不方便，請了半日，纔請了來，恰似風兒刮倒的一般，強打著精神，陪西門慶坐。」《紅樓夢》第七六回：「我少不得打起精神來對一句，只是再不能似這一句了。」_x000D_
23.設置。《金瓶梅詞話》第九四回：「這雪娥一領進入一個門戶，半間房子裡面，打著土炕。炕上坐著個五、六十歲的婆子，還有個十七、八頂老丫頭。」《醒世姻緣傳》第七五回：「眼下又要娶親，小小一個院子，東邊一間小房，打著煤爐，是做飯的去處。」_x000D_
24.猜測。《小五義》第二三回：「你打啞謎，我如何猜得著你的心事哪！」《鏡花緣》第八〇回：「紫芝道：『你還是談天？還是打謎？』」《醒世姻緣傳》第五八回：「『孩子跑在哥面前』，打四書五字。」_x000D_
[名]_x000D_
1.武術、武功。如：「武打」、「教打」、「練打」。_x000D_
2.姓。如宋代的丹流國有打擊。_x000D_
[介]_x000D_
自、從。如：「您打哪裡來？」、「打現在起，我要發奮用功。」《金瓶梅詞話》第二回：「兀的誰家大官人，打這屋簷下過？」《紅樓夢》第五二回：「周哥，錢哥，咱們打這角門走罷，省得到了老爺的書房門口又下來。」</t>
  </si>
  <si>
    <t>(二)ㄉㄚˊ dá（01899）</t>
  </si>
  <si>
    <t>大</t>
  </si>
  <si>
    <t>ㄉㄚˋ</t>
  </si>
  <si>
    <t>dà</t>
  </si>
  <si>
    <t>[形]
1.在體積、面積、容量、數量、強度、深度、力量等方面超過一般，或超過比較的對象。與「小」相對而言。如：「大山」、「大河」、「大雨」、「眼睛大」、「力氣大」、「雷聲大，雨點小。」
2.最年長的、排行第一的。如：「大哥」、「大伯」、「大媽」。
3.表示尊敬之詞。如：「拜讀大作」、「尊姓大名」。
4.不平常、重要的、偉大的。《文選．石崇．思歸引序》：「余少有大志，夸邁流俗。」《文選．袁宏．三國名臣序贊》：「雖大旨同歸，所託或乖。」
5.時間上更前或更後，有強調的意味。如：「大前天」、「大後天」、「大年初一」。
[副]
1.表程度深。如：「大吃一驚」、「大快人心」、「大搞活動」、「天已大亮」、「大有出息」。
2.與「不」字連用，表次數少或程度淺。如：「她不大出門見人的。」、「他不大愛抽菸。」、「小侄兒還不大會講話。」
3.很、非常。《漢書．卷六八．霍光傳》：「長公主大以是怨光。」
4.差不多、不很精確。如：「大約」、「大概」、「大略」。
[名]
1.與「小」相對之詞。《孟子．梁惠王上》：「小國不可以敵大。」
2.年紀較大的人。如：「你們一家大小都要來吃喜酒喔！」
3.姓。如唐代有大明，金代有大興國。
4.二一四部首之一。
[動]
誇耀、自以為是。如：「誇大」。《禮記．表記》：「是故君子不自大其事，不自尚其功。」</t>
  </si>
  <si>
    <t>(二)ㄉㄞˋ dài（01930）(三)ㄊㄞˋ tài（02476）</t>
  </si>
  <si>
    <t>˙ㄉㄚ</t>
  </si>
  <si>
    <t>da</t>
  </si>
  <si>
    <t>參見「疙瘩」條。</t>
  </si>
  <si>
    <t>(二)（讀音）ㄉㄚˊ dá（01907）</t>
  </si>
  <si>
    <t>參見「紇繨」條。</t>
  </si>
  <si>
    <t>(二)（讀音）ㄉㄚˊ dá（01910）</t>
  </si>
  <si>
    <t>嘚</t>
  </si>
  <si>
    <t>ㄉㄜ</t>
  </si>
  <si>
    <t>dē</t>
  </si>
  <si>
    <t>[動]_x000D_
嘮叨。參見「嘚啵」條。_x000D_
[擬]_x000D_
1.模擬馬蹄踏地的聲音。如：「嘚！嘚！嘚！遠方響起陣陣的馬蹄聲。」_x000D_
2.趕驢、騾等牲口前進的吆喝聲。如：「王老頭往驢屁股一揮鞭，叫道：『嘚──走！』」</t>
  </si>
  <si>
    <t>得</t>
  </si>
  <si>
    <t>ㄉㄜˊ</t>
  </si>
  <si>
    <t>dé</t>
  </si>
  <si>
    <t>[動]
1.獲、取。與「失」相對而言。如：「鷸蚌相爭，漁翁得利。」《孟子．告子上》：「求則得之，舍則失之。」
2.演算產生結果。如：「三三得九。」
3.遇。如：「得便」、「得空即前往拜訪。」
4.契合、適宜。如：「得體」、「得法」。漢．王襃〈聖主得賢臣頌〉：「聚精會神，相得益章。」
5.快意、滿足。《史記．卷六二．管晏傳》：「意氣揚揚，甚自得也。」
6.可以、能夠。如：「得過且過」、「不得抽菸！」、「得饒人處且饒人」、「所有員工均得摸彩。」
7.用於談話終了之時，表反對、禁止或同意。如：「得了，別再出餿主意了！」、「得，我們就照你的方法去做。」
[副]
相當於「何」、「豈」、「那」、「怎」、「難道」等，表示反詰的語氣。唐．杜甫〈後苦寒行〉二首之二：「巴東之峽生凌澌，彼蒼迴斡人得知。」
[助]
置於動詞之後，無義。唐．杜甫〈絕句漫興〉詩九首之二：「恰似春風相欺得，夜來吹折數枝花。」</t>
  </si>
  <si>
    <t>(二)ㄉㄟˇ děi（01953）(三)˙ㄉㄜ de（01922）(四)ㄉㄞˇ dǎi（01927）</t>
  </si>
  <si>
    <t>德</t>
  </si>
  <si>
    <t>[名]
1.人類共同遵循的規範。《論語．述而》：「德之不脩，學之不講。」
2.品行、作風。《論語．顏淵》：「君子之德風，小人之德草。草上之風必偃。」
3.恩澤、恩惠。《論語．憲問》：「子曰：『何以報德？以直報怨，以德報德。』」《孟子．公孫丑上》：「且以文王之德，百年而後崩，猶未洽於天下。」
4.心意、信念。如：「一心一德」、「離心離德」。
5.德意志聯邦共和國的簡稱。
6.姓。如漢代西域有德若國，後人以國為姓，簡姓德。
[動]
感激、感恩。《左傳．成公三年》：「王曰：『然則德我乎？』」《聊齋志異．卷一．王成》：「主人聞而德之，贈金五兩，慰之使歸。」
[形]
好的、善的。如：「德政」、「德譽」。《文選．袁宏．三國名臣序贊》：「恂恂德心，汪汪軌度。」</t>
  </si>
  <si>
    <t>地</t>
  </si>
  <si>
    <t>˙ㄉㄜ</t>
  </si>
  <si>
    <t>de</t>
  </si>
  <si>
    <t>[助]
結構助詞。用在副詞之後。同「的」。如：「慢慢地吃」、「好好地玩」、「雨勢漸漸地小了。」</t>
  </si>
  <si>
    <t>(一)ㄉㄧˋ dì（02134）</t>
  </si>
  <si>
    <t>底</t>
  </si>
  <si>
    <t>[助]
結構助詞。用在名詞或代名詞後面，表示所有的意思。同「的」。如：「我底書」、「他底筆」。</t>
  </si>
  <si>
    <t>(一)ㄉㄧˇ dǐ（02123）</t>
  </si>
  <si>
    <t>的</t>
  </si>
  <si>
    <t>[助]
1.結構助詞：(1)置於形容詞後。如：「美麗的風景」、「聰明的小孩」。(2)置於名詞或代名詞後，表示所屬、所有的關係。如：「我的書」、「太陽的光」。(3)置於修飾片語或子句後。如：「他寄來的信，我昨天收到。」、「那賣花的人沒零錢找。」(4)置於副詞後。同「地」。如：「慢慢的走」、「高高的飛」。
2.句尾助詞：置於句尾，表示肯定或加強的語氣。如：「這樣做是不可以的！」、「你不是這樣講的！」</t>
  </si>
  <si>
    <t>(一)ㄉㄧˋ dì（02140）(二)ㄉㄧˊ dí（02102）</t>
  </si>
  <si>
    <t>[助]_x000D_
用於動詞、形容詞後面，表示結果或性狀。如：「跑得快」、「美得冒泡」。</t>
  </si>
  <si>
    <t>(一)ㄉㄜˊ dé（01917）(二)ㄉㄟˇ děi（01953）(四)ㄉㄞˇ dǎi（01927）</t>
  </si>
  <si>
    <t>呆</t>
  </si>
  <si>
    <t>ㄉㄞ</t>
  </si>
  <si>
    <t>dāi</t>
  </si>
  <si>
    <t>[形]
1.痴愚、笨傻。如：「呆子」、「呆頭呆腦」。元．宮大用《范張雞黍》第二折：「我待學踰垣的段干木，非為𢠳。垂釣的嚴子陵，不是呆。」
2.反應不靈敏。如：「呆滯」、「呆板」。
[動]
發愣。《水滸傳》第五回：「魯智深……一壺酒、一盤肉，都吃了，太公對席看見，呆了半晌。」程乙本《紅樓夢》第三二回：「寶玉正出了神，見襲人和他說話，並未看出是誰，只管呆著臉。」
[副]
表情死板、神志恍惚。如：「呆笑」、「呆望」、「他目睹那場車禍，簡直嚇呆了！」</t>
  </si>
  <si>
    <t>(二)（又音）ㄞˊ ái（10315）</t>
  </si>
  <si>
    <t>待</t>
  </si>
  <si>
    <t>[動]
逗留、停留。如：「這些銀兩夠你在此地待上十天半個月的。」《兒女英雄傳》第三七回：「候選教官，因選補無期，家裡又待不住，便帶了兒子來京。」</t>
  </si>
  <si>
    <t>(一)ㄉㄞˋ dài（01948）</t>
  </si>
  <si>
    <t>獃</t>
  </si>
  <si>
    <t>[形]
痴愚。《儒林外史》第一三回：「獃兄弟，這又沒主意了。」今作「呆」。</t>
  </si>
  <si>
    <t>(二)（又音）ㄞˊ ái（10320）</t>
  </si>
  <si>
    <t>歹</t>
  </si>
  <si>
    <t>ㄉㄞˇ</t>
  </si>
  <si>
    <t>dǎi</t>
  </si>
  <si>
    <t>[名]
1.壞事、惡事。如：「為非作歹」。
2.二一四部首之一。
[形]
惡、不好。如：「他並無歹意，請大家放心。」《紅樓夢》第一七、一八回：「你不用同我好一陣歹一陣的，要惱，就撂開手。」</t>
  </si>
  <si>
    <t>(二)ㄜˋ è（10266）</t>
  </si>
  <si>
    <t>[動]
遭受。如：「他作惡多端，得了報應也是應該的。」</t>
  </si>
  <si>
    <t>(一)ㄉㄜˊ dé（01917）(二)ㄉㄟˇ děi（01953）(三)˙ㄉㄜ de（01922）</t>
  </si>
  <si>
    <t>傣</t>
  </si>
  <si>
    <t>[名]
中國少數民族之一。參見「傣族」條。</t>
  </si>
  <si>
    <t>逮</t>
  </si>
  <si>
    <t>[動]
方言。捉。如：「逮到」、「逮住」、「官兵逮強盜」。</t>
  </si>
  <si>
    <t>(一)ㄉㄞˋ dài（01941）(三)ㄉㄧˋ dì（02150）</t>
  </si>
  <si>
    <t>ㄉㄞˋ</t>
  </si>
  <si>
    <t>dài</t>
  </si>
  <si>
    <t>參見「大夫」條。</t>
  </si>
  <si>
    <t>(一)ㄉㄚˋ dà（01913）(三)ㄊㄞˋ tài（02476）</t>
  </si>
  <si>
    <t>汏</t>
  </si>
  <si>
    <t>[動]
方言。指刷、沖洗。如：「汏衣服」。
[名]
波濤。《楚辭．屈原．九章．涉江》：「乘舲船余上沅兮，齊吳榜以擊汏。」</t>
  </si>
  <si>
    <t>軑</t>
  </si>
  <si>
    <t>[名]
1.車軸前端的帽蓋。通常為圓管狀，用金屬製成。《說文解字．車部》：「軑，車輨也。」《楚辭．屈原．離騷》：「屯余車其千乘兮，齊玉軑而並馳。」
2.車輪、輪子。清．王念孫《廣雅疏證．卷七下．釋器》：「軑，輪也。」唐．韓愈、孟郊〈秋雨聯句〉：「深路倒羸驂，弱途擁行軑。」</t>
  </si>
  <si>
    <t>代</t>
  </si>
  <si>
    <t>[名]
1.歷史的階段、分期。如：「朝代」、「古代」、「唐代」、「現代」。《禮記．禮運》：「大道之行也，與三代之英，丘未之逮也，而有志焉。」
2.泛指時間。如：「年代」、「時代」。
3.量詞。計算輩分的單位。如：「他家四代祖孫都從事同一行業。」
4.繼任的人。《宋史．卷四一六．余玠傳》：「戎帥欲舉統制姚世安為代。」
5.國名：(1)戰國時的國家，為趙襄子所滅，故址約在今大陸地區河北省蔚縣東北。(2)五胡十六國鮮卑拓跋氏所建。約在今大陸地區山西、內蒙古一帶，後為前秦所滅。
6.姓。如宋代有代淵。
[動]
1.替代、替換。如：「代課」、「越俎代庖」。《史記．卷七．項羽本紀》：「彼可取而代也。」
2.交替、輪流。《文選．張衡．東京賦》：「於是春秋改節，四時迭代。」
3.接替、繼承。《左傳．莊公八年》：「齊侯使連稱，管至父戍葵丘，瓜時而往，曰：『及瓜而代。』」漢．王充《論衡．偶會》：「父歿而子嗣，姑死而婦代。」
[副]
輪流更換。如：「人才代興」、「新陳代謝」。</t>
  </si>
  <si>
    <t>岱</t>
  </si>
  <si>
    <t>[名]
泰山別稱為「岱山」、「岱宗」，簡稱為「岱」。是五嶽中的東嶽，位在大陸地區山東省泰安縣北。《公羊傳．桓公十六年》：「越在岱陰，屬負茲，舍不即罪爾。」《文選．張衡．東京賦》：「乘輿巡乎岱嶽，勸稼穡於原陸。」</t>
  </si>
  <si>
    <t>玳</t>
  </si>
  <si>
    <t>袋</t>
  </si>
  <si>
    <t>[名]
1.裝東西的器物。如：「口袋」、「背袋」、「衣袋」、「布袋」。
2.具有容納或盛裝作用的部位或器具。如：「腦袋」、「旱煙袋」。
3.量詞。計算袋裝物的單位。如：「他買了一袋米。」、「他一天抽兩袋煙。」</t>
  </si>
  <si>
    <t>貸</t>
  </si>
  <si>
    <t>[動]
1.借。如：「借貸」、「貸款」、「昨天我向他告貸一百萬元。」
2.施與。《左傳．文公十六年》：「宋饑，竭其粟而貸之。」《後漢書．卷四．和帝紀》：「甲子，詔賑貸并州四郡貧民。」
3.推卸。如：「責無旁貸」。
4.寬恕。如：「寬貸」、「你們明知故犯，定要嚴懲不貸。」</t>
  </si>
  <si>
    <t>(二)ㄊㄜˋ tè（02455）</t>
  </si>
  <si>
    <t>黛</t>
  </si>
  <si>
    <t>[名]
1.青黑色的顏料，古時女子用以畫眉。《楚辭．屈原．大招》：「粉白黛黑，施芳澤只。」
2.婦女的眉。南朝梁．元帝〈代舊姬有怨〉詩：「怨黛舒還斂，啼紅拭復垂。」
3.美女。唐．白居易〈長恨歌〉：「回眸一笑百媚生，六宮粉黛無顏色。」
[形]
青黑色的。唐．韋莊〈三用韻〉：「晚日舒霞綺，遙天倚黛岑。」</t>
  </si>
  <si>
    <t>隶</t>
  </si>
  <si>
    <t xml:space="preserve">隶 </t>
  </si>
  <si>
    <t>[動]
及、到。同「逮」。《說文解字．隶部》：「隶，及也。……從後及之也。」
[名]
二一四部首之一。</t>
  </si>
  <si>
    <t>埭</t>
  </si>
  <si>
    <t>[名]
1.防水的土壩。《晉書．卷七九．謝玄傳》：「堰呂梁水，樹柵，立七埭為派，擁二岸之流，以利運漕，自此公私利便。」
2.地名用字。如大陸地區安徽省的石埭，浙江省的鐘埭。
3.吳語。量詞。計算來回次數的單位。相當於「回」、「趟」。《海上花列傳》第二回：「我教娘姨到棧房裡看仔耐幾埭，說是勿曾來。」</t>
  </si>
  <si>
    <t>[動]
1.及、趕上、達到。如：「力有未逮」。《論語．里仁》：「古者言之不出，恥躬之不逮也。」
2.追捕、捉拿。《漢書．卷七六．趙廣漢傳》：「禹坐要斬，請逮捕廣漢。」《明史．卷一六五．丁瑄傳》：「田主訴於縣，縣逮（鄧）茂七。不赴。」
[介]
及、到。表時間。《左傳．成公十三年》：「昔逮我獻公及穆公相好，勠力同心。」</t>
  </si>
  <si>
    <t>(二)ㄉㄞˇ dǎi（01929）(三)ㄉㄧˋ dì（02150）</t>
  </si>
  <si>
    <t>靆</t>
  </si>
  <si>
    <t>參見「靉靆」條。</t>
  </si>
  <si>
    <t>殆</t>
  </si>
  <si>
    <t>[形]
1.危險、不安。《論語．為政》：「學而不思則罔，思而不學則殆。」《孫子．謀攻》：「知彼知己，百戰不殆。……不知彼，不知己，每戰必殆。」
2.疲乏、疲困。《莊子．養生主》：「吾生也有涯，而知也無涯。以有涯隨無涯，殆已。」《聊齋志異．卷二．鳳陽士人》：「郎君星馳夜半，人畜想當俱殆。」
[副]
1.大概、恐怕、也許。表示推測或不肯定的語氣。《孟子．梁惠王上》：「殆有甚焉，緣木求魚，雖不得魚，無後災。」唐．陳鴻《長恨傳》：「時夜殆半，休侍衛於東西廂，獨侍上。」
2.幾乎、將近、差不多。表示設想的語氣。《文選．孔融．論盛孝章書》：「海內知識，零落殆盡。」
3.近似。《漢書．卷六九．趙充國傳》：「而賢以為可奪其畜產，虜其妻子，此殆空言，非至計也。」</t>
  </si>
  <si>
    <t>迨</t>
  </si>
  <si>
    <t>[動]
及、等到。《詩經．召南．摽有梅》：「求我庶士，迨其吉兮。」唐．柳宗元〈三戒．序〉：「竊時以肆暴，然卒迨於禍。」
[介]
趁、乘。表示時間。《詩經．邶風．匏有苦葉》：「士如歸妻，迨冰未泮。」《文選．陸機．弔魏武帝文》：「迨營魄之未離，假餘息乎音翰。」</t>
  </si>
  <si>
    <t>怠</t>
  </si>
  <si>
    <t>[形]
1.鬆懈、懶惰。如：「怠惰」、「懈怠」。唐．韓愈〈原毀〉：「怠者不能修，而忌者畏人修。」
2.輕慢不莊重。如：「怠慢」。《漢書．卷三六．楚元王劉交傳》：「醴酒不設，王之意怠。」
3.疲倦、疲累。如：「倦怠」。</t>
  </si>
  <si>
    <t>紿</t>
  </si>
  <si>
    <t>[動]
1.欺誑、欺騙。《漢書．卷三五．吳王劉濞傳》：「東越即紿吳王，吳王出勞軍，使人鏦殺吳王。」《五代史平話．晉史．卷上》：「當紿信入賀，使武士縛信斬之，夷其三族，便是『敗也蕭何』也。」
2.至、進到。《淮南子．氾論》：「出百死而紿一生，以爭天下之權。」漢．高誘．注：「紿，至也。」</t>
  </si>
  <si>
    <t>駘</t>
  </si>
  <si>
    <t>參見「駘蕩」條。</t>
  </si>
  <si>
    <t>(一)ㄊㄞˊ tái（02468）</t>
  </si>
  <si>
    <t>[動]
1.等候。《左傳．隱公元年》：「多行不義，必自斃，子姑待之。」《文選．古詩十九首．生年不滿百》：「為樂當及時，何能待來茲。」
2.防備、抵禦。《易經．繫辭下》：「上棟下宇，以待風雨。」《史記．卷七三．白起王翦傳》：「廉頗堅壁以待秦，秦數挑戰，趙兵不出。」
3.依恃、憑靠。《商君書．農戰》：「國待農戰而安，主待農戰而尊。」
4.對待、照顧。如：「優待」、「款待」、「招待」、「待客之道」、「待人接物」。
5.將要、打算。如：「正待出外，卻下起大雨來了。」宋．辛棄疾〈最高樓．相思苦〉詞：「待不飲，奈何君有恨；待痛飲，奈何吾有病。」元．鄭光祖《倩女離魂》第二折：「你道我為甚麼私離繡榻，待和伊同走天涯。」
[助]
置於句末或句中的語氣詞。相當於「啊」。宋．何夢桂〈沁園春．孔蓋蜺旌〉詞：「問韶光九十，何如今待！」</t>
  </si>
  <si>
    <t>(二)ㄉㄞ dāi（01924）</t>
  </si>
  <si>
    <t>帶</t>
  </si>
  <si>
    <t>[名]
1.繫衣服或紮東西所用的長條物。如「衣帶」、「腰帶」、「鞋帶」。《詩經．衛風．有狐》：「心之憂矣，之子無帶。」漢．毛亨．傳：「帶，所以申束衣。」也稱為「帶子」。
2.泛指長條狀的物體。如：「海帶」、「臍帶」、「光帶」、「磁帶」、「輸送帶」。
3.地球表面依緯度劃分的氣候區。如：「溫帶」、「熱帶」、「寒帶」、「亞熱帶」。
4.地區、區域。如：「林帶」、「高山地帶」、「沿海一帶」。
5.一種婦科症狀。如：「白帶」、「赤帶」。《史記．卷一〇五．扁鵲倉公傳》：「扁鵲名聞天下，過邯鄲，聞貴婦人，即為帶下醫。」
6.姓。如戰國時有帶陀。
[動]
1.佩掛。《史記．卷六．秦始皇本紀》：「己酉，王冠，帶劍。長信侯毐作亂而覺。」
2.隨身攜著、拿著。如：「自帶乾糧」、「帶著錢包」。
3.附帶、連帶、順便做。如：「連說帶笑」、「記得幫我帶口信！」、「出去時把門帶上。」
4.含著、呈現。如：「面帶愁容」、「說話帶刺」、「帶異樣眼光」。唐．白居易〈長恨歌〉：「玉容寂寞淚闌干，梨花一枝春帶雨。」
5.率領、引導。如：「帶兵」、「帶路」、「帶隊」、「帶頭」。
6.圍繞、環繞。《文選．陸機．辯亡論下》：「長江制其區宇，峻山帶其封域。」元．王實甫《西廂記．第一本．第一折》：「這河帶齊梁，分秦晉，隘幽燕。」</t>
  </si>
  <si>
    <t>蝳</t>
  </si>
  <si>
    <t>參見「蝳蝐」條。</t>
  </si>
  <si>
    <t>(一)ㄉㄨˊ dú（02277）</t>
  </si>
  <si>
    <t>戴</t>
  </si>
  <si>
    <t xml:space="preserve">戈 </t>
  </si>
  <si>
    <t>[動]
1.把東西附加在頭、面、胸、臂等處。如：「戴花」、「戴帽子」、「戴眼鏡」。
2.以頭頂著。如：「披星戴月」、「不共戴天之仇」。《文選．何晏．景福殿賦》：「迫而察之，若仰崇山而戴垂雲。」
3.擁護、推崇。如：「愛戴」、「擁戴」。《文選．張衡．東京賦》：「息肩於大漢，而欣戴高祖。」
[名]
姓。如漢代有戴德、戴聖，治《禮記》傳世，世稱為「大戴」、「小戴」。</t>
  </si>
  <si>
    <t>襶</t>
  </si>
  <si>
    <t>參見「褦襶」條。</t>
  </si>
  <si>
    <t>ㄉㄟˇ</t>
  </si>
  <si>
    <t>děi</t>
  </si>
  <si>
    <t>[副]
應該、必須、需要。如：「你總得讓我把話說完。」《紅樓夢》第六六回：「出了月就起身，得半個工夫纔回來。」</t>
  </si>
  <si>
    <t>(一)ㄉㄜˊ dé（01917）(三)˙ㄉㄜ de（01922）(四)ㄉㄞˇ dǎi（01927）</t>
  </si>
  <si>
    <t>刀</t>
  </si>
  <si>
    <t>ㄉㄠ</t>
  </si>
  <si>
    <t>dāo</t>
  </si>
  <si>
    <t>[名]
1.武器名。一種用來砍殺，頗具殺傷力的兵器。如：「大刀」、「寶刀」、「軍刀」、「武士刀」。
2.切、削、剪、刻、割、斬的工具。多以鋼鐵製成。如：「菜刀」、「鍘刀」、「剪刀」、「鐮刀」、「雕刻刀」。
3.古代的錢幣。外形如刀。《史記．卷三〇．平準書》：「農、工、商交易之路通，而龜貝金錢刀布之幣興焉。」
4.量詞：(1)計算切割次數的單位。如：「老屠戶在那塊豬肉上劃了幾刀。」(2)計算紙張的單位。一百張為一刀。如：「一刀稿紙」。
5.姓。如明代有刀幹孟。
6.二一四部首之一。</t>
  </si>
  <si>
    <t>忉</t>
  </si>
  <si>
    <t>[形]
憂心忡忡。《廣韻．平聲．豪韻》：「忉，憂心貌。」</t>
  </si>
  <si>
    <t>叨</t>
  </si>
  <si>
    <t>[動]
話多、饒舌。如：「嘮叨」、「叨叨」。</t>
  </si>
  <si>
    <t>(二)ㄊㄠ tāo（02486）</t>
  </si>
  <si>
    <t>舠</t>
  </si>
  <si>
    <t>[名]
1.刀形的小船。南朝梁．劉勰《文心雕龍．夸飾》：「是以言峻則嵩高極天，論狹則河不容舠。」宋．陸游〈齋中夜坐有感〉詩：「浣花江色綠如黛，春波灩灩浮輕舠。」
2.一種大酒杯。唐．李德裕〈述夢詩四十韻〉：「無聊燃密炬，誰復勸金舠。」自注：「酒器中大者呼為舠。賓僚顧形跡，未曾以此相勸。」</t>
  </si>
  <si>
    <t>氘</t>
  </si>
  <si>
    <t>[名]
氫的一種同位素。其原子核中含有一中子及一質子，比氫原子核多一個中子，其質量較氫原子核約重一倍。也稱為「重氫」。</t>
  </si>
  <si>
    <t>捯</t>
  </si>
  <si>
    <t>ㄉㄠˊ</t>
  </si>
  <si>
    <t>dáo</t>
  </si>
  <si>
    <t>[動]
1.方言。指兩手交替將繩線拉回或繞好。如：「捯線」。
2.方言。指尋究線索。如：「這案子已捯出點頭緒來了。」</t>
  </si>
  <si>
    <t>倒</t>
  </si>
  <si>
    <t>ㄉㄠˇ</t>
  </si>
  <si>
    <t>dǎo</t>
  </si>
  <si>
    <t>[動]
1.人或豎立的物體因本身或外來因素而橫躺下來。如：「跌倒」、「摔倒」、「臥倒」、「大水沖倒龍王廟」。《文選．司馬相如．上林賦》：「弓不虛發，應聲而倒。」
2.垮臺、失敗。如：「倒閉」、「倒臺」。《三國志．魏書．卷九．曹爽傳》「夷三族」句下裴松之注引魏略：「卿用讀書何為耶！於今日卿等門戶倒矣！」《二十年目睹之怪現狀》第一〇八回：「我們的生意，已經倒了。」
3.聲音沙啞。如：「聽說那位名演員近日嗓子倒了，正在休息當中。」
4.北平方言：(1)指商家把整批貨物或全部店裡的物品頂讓給別人。如：「將鋪子倒出去。」《儒林外史》第五二回：「我東頭街上談家當鋪折了本，要倒與人。現在有半樓貨，值得一千六百兩。」(2)指轉移、更換、對調。如：「倒手」、「兩張桌子對倒一下。」</t>
  </si>
  <si>
    <t>(二)ㄉㄠˋ dào（01967）</t>
  </si>
  <si>
    <t>島</t>
  </si>
  <si>
    <t>[名]
海中或湖中被水圍繞的小陸地。《史記．卷九四．田儋傳》：「田橫懼誅，而與其徒屬五百餘人入海，居島中。」</t>
  </si>
  <si>
    <t>搗</t>
  </si>
  <si>
    <t>[動]
1.撞擊。如：「搗米」、「搗藥」、「叩頭如搗蒜」。
2.捶打。如：「搗衣」。
3.攻擊、攻打。如：「直搗敵人的巢穴」。
4.擾亂、攪亂。如：「搗亂」、「搗鬼」、「搗麻煩」。
5.損毀、破壞。《西遊記》第二五回：「我把你這猢猴！怎麼弄手段搗了我的灶。」</t>
  </si>
  <si>
    <t>導</t>
  </si>
  <si>
    <t>[動]
1.帶領、指引。如：「疏導」、「引導」、「導航」。《國語．周語上》：「是故為川者，決之使導；為民者，宣之使言。」
2.教育、啟發。如：「指導」、「開導」、「勸導」。《孟子．盡心上》：「西伯善養老者，制其田里，教之樹畜，導其妻子，使養其老。」《國語．晉語二》：「夫長國者唯知哀樂喜怒之節，是以導民。」
3.傳送。如：「導電」、「導熱」、「傳導」。</t>
  </si>
  <si>
    <t>(二)（讀音）ㄉㄠˋ dào（01971）</t>
  </si>
  <si>
    <t>擣</t>
  </si>
  <si>
    <t>[動]
1.舂、撞擊。如：「擣米」、「擣藥」。
2.搥擊。唐．韓愈〈春雪〉詩：「城險疑懸布，砧寒未擣綃。」
3.攻破。《史記．卷六五．孫子吳起傳》：「批亢擣虛，形格勢禁，則自為解耳。」</t>
  </si>
  <si>
    <t>禱</t>
  </si>
  <si>
    <t>[動]
1.祭神而有所求。如：「禱告」、「祈禱」。《史記．卷四七．孔子世家》：「紇與顏氏女野合而生孔子，禱於尼丘得孔子。」唐．柳宗元〈太白山祠堂碑〉：「故歲水旱則禱之，寒暑乖候則禱之，厲疾祟降則禱之。」
2.請求。《董西廂》卷三：「昨日亂軍至寺，夫人禱我退賊之策。」
3.書信中的敬詞。表盼望和請求。如：「盼禱」、「為禱」。《儒林外史》第二二回：「明幸駕少留片刻，以便趨教。至禱！至禱！」</t>
  </si>
  <si>
    <t>到</t>
  </si>
  <si>
    <t>ㄉㄠˋ</t>
  </si>
  <si>
    <t>dào</t>
  </si>
  <si>
    <t>[動]
1.抵達、到達。如：「火車到站」、「支票到期」、「堅持到底」。《文選．江淹．恨賦》：「人生到此，天道寧論。」
2.往、去。如：「到非洲叢林探險。」、「我晚上到你家拜訪。」
[形]
周密。如：「若有不到之處，尚請多多包涵！」《晉書．卷三二．后妃傳下．康獻褚皇后傳》：「所奏懇到，形于翰墨，執省未究，以悲以懼。」《文選．袁宏．三國名臣序贊》：「君親自然，匪由名教，敬授既同，情禮兼到。」
[名]
姓。如南朝宋有到彥之。</t>
  </si>
  <si>
    <t>[動]
1.上下前後相反，或互相更換。《詩經．齊風．東方未明》：「顛之倒之，自公召之。」《朱子語類．卷七一．易．復》：「如人善端初萌，正欲靜以養之，方能盛大。若如公說，卻是倒了。」
2.把物體或液體傾倒出來。如：「倒茶水」、「倒垃圾」。唐．韓愈〈岳陽樓別竇司直〉詩：「開筵交履舄，爛漫倒家釀。」
3.向後退。如：「倒車」、「倒退」。
4.違逆、不順。《韓非子．難言》：「且至言忤於耳而倒於心，非賢聖莫能聽。」《呂氏春秋．季夏紀．明理》：「故至亂之化，君臣相賊，長少相殺，父子相忍，弟兄相誣，知交相倒。」
[副]
1.反而。表出乎意料之外。《紅樓夢》第二二回：「你連多少大生日都料理過了，這會子倒沒了主意。」《兒女英雄傳》第一七回：「你老人家不說今日要歇半天兒嗎？怎的倒這麼早就來了。」
2.卻。《朱子語類．卷三九．論語．先進篇上》：「如今人恁地文理細密，倒未必好，寧可是白直粗疏底人。」《紅樓夢》第一九回：「你倒說說，我還要怎麼留你？我自己也難說了。」
3.反過來、相反的。如：「海水倒灌」、「倒掛金鉤」。唐．徐凝〈杭州祝濤頭〉詩二首之二：「倒打錢塘郭，長驅白浪花。」</t>
  </si>
  <si>
    <t>(一)ㄉㄠˇ dǎo（01960）</t>
  </si>
  <si>
    <t>悼</t>
  </si>
  <si>
    <t>[動]
1.悲哀、傷感。《詩經．衛風．氓》：「靜言思之，躬自悼矣。」《漢書．卷四八．賈誼．贊曰》：「使時見用，功化必盛。為庸臣所害。甚可悼痛。」
2.憐惜、惋惜。如：「惋悼」、「嗟悼」。
3.畏懼、恐懼。《莊子．山木》：「及其得柘棘枳枸之間也，危行側視，振動悼慄。」</t>
  </si>
  <si>
    <t>盜</t>
  </si>
  <si>
    <t>[名]
竊取或搶奪財物的人。如：「強盜」、「海盜」。《禮記．禮運》：「是故謀閉而不興，盜竊亂賊而不作。」《論語．陽貨》：「色厲而內荏，譬諸小人，其猶穿窬之盜也與。」
[動]
偷取、竊取。亦指用不正當的手段謀取。如：「掩耳盜鈴」。《荀子．不苟》：「是姦人將以盜名於晻世者也，險莫大焉。」</t>
  </si>
  <si>
    <t>道</t>
  </si>
  <si>
    <t>[名]
1.路途、途徑。如：「鐵道」、「河道」、「國道高速公路」。《論語．泰伯》：「士不可以不弘毅，任重而道遠。」
2.方法、道理。如：「頭頭是道」、「以其人之道，還治其人之身」。《禮記．中庸》：「果能此道矣！雖愚必明，雖柔必強。」
3.真理。《論語．里仁》：「子曰：『朝聞道，夕死可矣！』」
4.思想、學說。如：「老莊之道」。《論語．里仁》：「子曰：『參乎！吾道一以貫之。』」
5.技藝、技巧。《論語．子張》：「雖小道，必有可觀者焉。致遠恐泥，是以君子不為也。」
6.中國古代的一個思想流派。參見「道家」條。
7.中國主要的宗教之一。參見「道教」條。
8.道士的簡稱。如：「老道」、「貧道」、「一僧一道」。
9.宗教的教義、義理。如：「學道」、「得道」、「傳道」、「布道」。
10.古代行政區域名稱：(1)唐太宗貞觀時代分天下為十道，後增為十五道，相當於現在的省。(2)清代和民初在省下設道。
11.量詞：(1)計算條狀物的單位。如：「三道黃線」、「一道閃電」。(2)計算有出入口設施的單位。如：「兩道門」、「多道關卡」。(3)計算題目、命令等的單位。相當於「則」、「條」。如：「十道題目」、「下一道命令」。(4)計算工作次數的單位。如：「省一道手續」、「上了兩道油漆」。(5)計算菜餚的單位。如：「總共有十二道菜。」
12.姓。如春秋時楚國有道朔。
[動]
1.說、談。如：「常言道」、「一語道破」、「能言善道」、「說長道短」。《論語．季氏》：「樂節禮樂，樂道人之善，樂多賢友。」
2.用言語表示心意、情意。如：「道喜」、「道賀」、「道歉」、「道謝」。
3.以為、認為、料想。如：「我道是誰呢？原來是你來了！」《紅樓夢》第一一六回：「眾人都見他忽笑忽悲，也不解是何意，只道是他的舊病。」
4.引導、指引。通「導」。《論語．為政》：「道之以德，齊之以禮，有恥且格。」明．馬中錫〈中山狼傳〉：「趙簡子大獵於中山，虞人道前，鷹犬羅後。」
[介]
由、從。《管子．禁藏》：「故凡治亂之情，皆道上始。」《史記．卷八．高祖本紀》：「太尉周勃道太原入，定代地。」</t>
  </si>
  <si>
    <t>(一)（語音）ㄉㄠˇ dǎo（01963）</t>
  </si>
  <si>
    <t>翢</t>
  </si>
  <si>
    <t>[名]
大旗。同「纛」。《爾雅．釋言》：「翢，纛也。」晉．郭璞．注：「今之羽葆幢。」《集韻．平聲．豪韻》：「纛，舞者所執幢。或作翢。」</t>
  </si>
  <si>
    <t>(二)ㄓㄡ zhōu（07742）</t>
  </si>
  <si>
    <t>稻</t>
  </si>
  <si>
    <t>[名]
1.植物名。禾本科稻屬，一年生草本。莖高三、四尺，結實累累成穗，有水稻和旱稻兩種。穎果橢圓，有硬殼，去殼後就是大米。以其黏性而言，可分蓬萊稻、在來稻兩種。若以成熟的先後順序言，又可分早稻、晚稻兩種。為亞洲國家重要的糧食作物。
2.姓。如春秋時秦國有稻黃。</t>
  </si>
  <si>
    <t>蹈</t>
  </si>
  <si>
    <t>[動]
1.踩踏、踐踏。如：「赴湯蹈火」、「重蹈覆轍」。《書經．君牙》：「心之憂危，若蹈虎尾，涉于春冰。」
2.頓腳、跳動。如：「手舞足蹈」。唐．李商隱〈韓碑〉詩：「愈拜稽首蹈且舞，金石刻畫臣能為。」
3.投身、投入。《史記．卷八三．魯仲連鄒陽傳》：「彼即肆然而為帝，過而為政於天下，則連有蹈東海而死耳，吾不忍為之民也。」
4.遵循、實踐、履行。如：「循規蹈矩」。《穀梁傳．隱公元年》：「若隱者可謂輕千乘之國，蹈道則未也。」唐．韓愈〈爭臣論〉：「夫不以所居之時不一，而所蹈之德不同也。」</t>
  </si>
  <si>
    <t>幬</t>
  </si>
  <si>
    <t>[動]
覆蓋。《左傳．襄公二十九年》：「德至矣哉！大矣！如天之無不幬也，如地之無不載也。」</t>
  </si>
  <si>
    <t>(二)ㄔㄡˊ chóu（08336）</t>
  </si>
  <si>
    <t>燾</t>
  </si>
  <si>
    <t>(一)ㄊㄠˊ táo（02510）</t>
  </si>
  <si>
    <t>翿</t>
  </si>
  <si>
    <t>[名]
古時舞者所持的羽扇。《詩經．王風．君子揚揚》：「君子陶陶，左執翿，右招我由敖。」</t>
  </si>
  <si>
    <t>(二)（又音）ㄊㄠˊ táo（02512）</t>
  </si>
  <si>
    <t>纛</t>
  </si>
  <si>
    <t>[名]_x000D_
1.以氂牛尾或雉尾為裝飾的大旗，古時多用在喪葬大事及顯貴人家。《周禮．地官司徒．鄉師》：「及葬，執纛以與匠師御柩而治役。」_x000D_
2.舞者所持的羽毛。《爾雅．釋言》：「纛，翳也。」邢昺疏引孫炎曰：「纛，舞者所持羽也。」_x000D_
3.軍中的大旗。《周書．卷一七．列傳．劉亮》：「亮乃將二十騎，先豎纛於近城高嶺，即馳入城中。」</t>
  </si>
  <si>
    <t>(二)（又音）ㄉㄨˊ dú（02279）</t>
  </si>
  <si>
    <t>唗</t>
  </si>
  <si>
    <t>ㄉㄡ</t>
  </si>
  <si>
    <t>dōu</t>
  </si>
  <si>
    <t>[歎]
憤怒斥責的聲音。多用於早期的小說和戲曲。元．吳昌齡《張天師》第一折：「這女人是從那裡來的，必然是妖精鬼怪。唗！」</t>
  </si>
  <si>
    <t>都</t>
  </si>
  <si>
    <t>[副]
1.皆。概括全部的意思。如：「都好」、「都是」。
2.還、尚且、甚至。如：「他都如此說了，你又能如何呢！」、「他一動都不動，活像個木頭人似的。」
3.業已、已經。有加重語氣的意味。如：「誤會都造成了，你懊悔也沒用！」
[助]
發語詞，無義。《書經．堯典》：「驩兜曰：『都！共工方鳩僝功。』」</t>
  </si>
  <si>
    <t>(一)ㄉㄨ dū（02272）</t>
  </si>
  <si>
    <t>兜</t>
  </si>
  <si>
    <t>[名]
1.一種帽子。明．瞿佑《歸田詩話．宋故宮》：「元廢宋宮為佛寺，西僧皆戴紅兜帽也。」《紅樓夢》第四九回：「見探春正從秋爽齋出來，圍著大紅猩猩氈斗蓬，帶著觀音兜。」
2.穿戴在胸前的衣物。如：「肚兜」、「圍兜」。
3.衣服等物的小口袋，可用來裝東西。如：「褲兜」。《水滸傳》第三八回：「又搶了別人賭的十來兩銀子，都摟在布衫兜裡。」
4.竹轎。元．馬致遠《漢宮秋》第二折：「往常時翠轎香兜，兀自倦朱簾揭繡。」
[動]
1.用雙手或衣襟、裙襬等攏住東西。《西遊記》第二四回：「他卻串枝分葉，敲了三個果，兜在襟中。」
2.繞、轉。如：「兜圈子」。
3.承擔。如：「你放手去做，若有問題我會幫你兜著。」
4.招攬。如：「兜售」、「兜攬」、「兜生意」。</t>
  </si>
  <si>
    <t>篼</t>
  </si>
  <si>
    <t>[名]
1.以竹製成，登山時用的轎子。明．張自烈《正字通．竹部》：「篼，竹輿也，箯之別名，俗謂之篼子。」也稱為「篼子」。
2.竹片、柳條等編成的器具，可用以盛物。如：「背篼」。</t>
  </si>
  <si>
    <t>斗</t>
  </si>
  <si>
    <t xml:space="preserve">斗 </t>
  </si>
  <si>
    <t>ㄉㄡˇ</t>
  </si>
  <si>
    <t>dǒu</t>
  </si>
  <si>
    <t>[名]
1.量詞。計算容量的單位。十升為一斗，十斗為一石。《漢書．卷二一．律曆志上》：「十升為斗……斗者，聚升之量也。」《紅樓夢》第四二回：「如今這一個裡頭裝了兩斗御田粳米。」
2.酒器。《詩經．大雅．行葦》：「酌以大斗。」《史記．卷七．項羽本紀》：「玉斗一雙，欲與亞父。」
3.形狀像斗的器具。如：「漏斗」、「熨斗」、「米斗」、「菸斗」。
4.星座名：(1)二十八星宿之一。北方玄武七宿的第一宿，有六顆星，通稱為「南斗」。(2)北斗七星。
5.圓形的指紋。參見「斗箕」、「斗紋」等條。
6.姓。如宋代有斗蓋。
7.二一四部首之一。
[形]
1.比喻小。如：「斗室」、「斗城」。
2.比喻大。南朝梁．簡文帝〈七勵〉：「至如牽鉤壯氣，斗膽豪心。」
3.險峻、陡峭。通「陡」。《史記．卷二八．封禪書》：「成山斗入海，最居齊東北隅，以迎日出云。」明．徐弘祖《徐霞客遊記．卷一下．閩遊日記》：「蓋是山四面斗削，惟一線為暗磴，百丈為明梯。」
[副]
驟然、突然。唐．韓愈〈答張十一功曹〉詩：「吟君詩罷看雙鬢，斗覺霜毛一半加。」</t>
  </si>
  <si>
    <t>抖</t>
  </si>
  <si>
    <t>[動]
1.顫動。如：「發抖」、「顫抖」。《兒女英雄傳》第一三回：「把個管獄的典史，登時嚇得渾身亂抖。」
2.振動。如：「抖落一身的灰塵。」《兒女英雄傳》第四回：「誰想那女子放下石頭，把手上、身上的土，拍了拍抖了抖。」
3.振奮、鼓起。參見「抖擻」條。
4.俗稱得志、得意為「抖」。多含諷刺的意味。如：「靠著逢迎拍馬的技倆，沒幾年他便抖起來了。」《紅樓夢》第六〇回：「你老把威風抖一抖，以後也好爭別的禮。」
5.揭穿。如：「事情抖開了，對大家都沒有好處。」</t>
  </si>
  <si>
    <t>蚪</t>
  </si>
  <si>
    <t>參見「蝌蚪」條。</t>
  </si>
  <si>
    <t>陡</t>
  </si>
  <si>
    <t>[形]_x000D_
1.坡度峻峭，近於垂直。如：「陡峭」、「又高又陡」。《老殘遊記》第八回：「一邊是陡山，一邊是深谷。」_x000D_
2.嚴密。宋．秦醇《譚意哥傳》：「陡帳垂絲，清風射牖，疏簾透月，銀鴨噴香。」_x000D_
[副]_x000D_
突然、驟然。如：「天氣陡變」。《紅樓夢》第九七回：「且說寶玉回來，舊病陡發，更加昏憒，連飲食也不能進了。」</t>
  </si>
  <si>
    <t>豆</t>
  </si>
  <si>
    <t>ㄉㄡˋ</t>
  </si>
  <si>
    <t>dòu</t>
  </si>
  <si>
    <t>[名]
1.古代盛食品的器皿。器淺似盤，圈足，多數有蓋。盛行於商周時期，後亦作為禮器。《說文解字．豆部》：「豆，古食肉器也。」《詩經．大雅．生民》：「卬盛于豆，于豆于登。」漢．鄭玄．箋：「祀天用瓦豆，陶器質也。」
2.雙子葉植物豆科的泛稱。草本、木本均有。葉多複葉，間或為單葉，互生，通常具托葉。花為蝶形，或兩側對稱，有些為輻射對稱。果為莢果，種子無胚乳，間或含少量胚乳。約一萬六千種，產世界各地。用途極廣，供食用、藥用或觀賞等。
3.姓。如漢代有豆如意，清代有豆文武。
4.二一四部首之一。</t>
  </si>
  <si>
    <t>逗</t>
  </si>
  <si>
    <t>[動]
1.停止不前。如：「逗留」。《文選．張衡．思玄賦》：「亂弱水之潺湲兮，逗華陰之湍渚。」
2.惹、引弄。如：「娃娃被逗得笑了起來。」、「這娃兒很逗人憐愛。」
[名]
句讀。如：「逗點」、「逗號」。</t>
  </si>
  <si>
    <t>荳</t>
  </si>
  <si>
    <t>[名]
雙子葉植物的一科。種類甚多，實皆結莢。同「豆」。</t>
  </si>
  <si>
    <t>脰</t>
  </si>
  <si>
    <t>[名]
頸項、脖子。《公羊傳．莊公十二年》：「萬怒，搏閔公，絕其脰。」</t>
  </si>
  <si>
    <t>痘</t>
  </si>
  <si>
    <t>[名]
1.皮膚上因病所生的豆狀膿疱。如：「痘瘡」、「水痘」。
2.青春期因皮脂分泌旺盛，導致皮脂腺阻塞而在皮膚上所形成的丘疹。如：「青春痘」。</t>
  </si>
  <si>
    <t>餖</t>
  </si>
  <si>
    <t>參見「餖飣」條。</t>
  </si>
  <si>
    <t>鬥</t>
  </si>
  <si>
    <t xml:space="preserve">鬥 </t>
  </si>
  <si>
    <t>[動]
1.相爭。如：「械鬥」、「明爭暗鬥」。《論語．季氏》：「血氣方剛，戒之在鬥。」
2.使動物相鬥。如：「鬥狗」、「鬥雞」、「鬥蛐蛐兒」。
3.競賽、比賽。如：「鬥智」、「鬥棋」、「鬥法」。《喻世明言．卷二六．沈小官一鳥害七命》：「這畜生只除天上有，果係世間無，將他各處去鬥，俱鬥他不過，成百十貫贏得。」
4.拼湊、湊集。如：「把這些小碎布鬥成一個袋子。」《金瓶梅》第一回：「都鬥分子，來與武松人情。」《喻世明言．卷三．新橋市韓五賣春情》：「我們鬥分銀子，與你作賀。」
5.惹、引弄。通「逗」。元．馬致遠《漢宮秋》第一折：「休煩惱吾當且是耍，鬥卿來便當真假。」
[名]
1.姓。如黃帝時有鬥苞，春秋時楚國有鬥伯比。
2.二一四部首之一。</t>
  </si>
  <si>
    <t>竇</t>
  </si>
  <si>
    <t>[名]
1.孔穴、縫隙。南朝宋．劉義慶《世說新語．排調》：「君口中何為開狗竇？」
2.人體內某些器官或組織內部的凹陷處。如：「鼻竇」。
3.姓。如漢代有竇嬰、竇憲。</t>
  </si>
  <si>
    <t>讀</t>
  </si>
  <si>
    <t>[名]
句中語意未完，讀時須停頓的地方。如：「句讀」。也作「逗」。</t>
  </si>
  <si>
    <t>(一)ㄉㄨˊ dú（02289）</t>
  </si>
  <si>
    <t>丹</t>
  </si>
  <si>
    <t>ㄉㄢ</t>
  </si>
  <si>
    <t>dān</t>
  </si>
  <si>
    <t>[名]
1.赤色的礦石，可以製成顏料。《書經．禹貢》：「杶幹栝柏，礪砥砮丹。」
2.精煉配製的藥劑。如：「仙丹」、「靈丹妙藥」、「九轉還魂丹」。
3.姓。如漢代有丹玉。
[形]
1.紅色的。如：「丹楓」、「丹脣」、「丹砂」。
2.赤誠的。如：「丹心」、「丹忱」。</t>
  </si>
  <si>
    <t>眈</t>
  </si>
  <si>
    <t>[副]
眈眈：注視、逼視的樣子。如：「虎視眈眈」。</t>
  </si>
  <si>
    <t>耽</t>
  </si>
  <si>
    <t>[動]
1.延遲、滯留。如：「耽誤」、「耽擱」。
2.沉迷。如：「耽溺」。《文選．枚乘．七發》：「意者久耽安樂，日夜無極。」清．張爾岐〈辨志〉：「耽口體之養，徇耳目之娛。」
[形]
1.耳朵大而下垂。《淮南子．墬形》：「夸父耽耳，在其北方。」
2.快樂。《禮記．中庸》：「兄弟既翕，和樂且耽。」漢．鄭玄．注：「亦樂也。」</t>
  </si>
  <si>
    <t>酖</t>
  </si>
  <si>
    <t>[動]
嗜酒、喜好喝酒。《說文解字．酉部》：「酖，樂酒也。」</t>
  </si>
  <si>
    <t>(二)ㄓㄣˋ zhèn（07859）</t>
  </si>
  <si>
    <t>聃</t>
  </si>
  <si>
    <t>[動]
沉迷。通「耽」。《列子．楊朱》：「方其聃于色也，屏親昵，絕交遊。」
[形]
耳朵大且長。宋．蘇軾〈補禪月羅漢贊〉九首之二：「聃耳屬肩，綺眉覆顴。」
[名]
中國古代哲學家老子李耳的字。也稱為「老聃」。</t>
  </si>
  <si>
    <t>湛</t>
  </si>
  <si>
    <t>[形]
快樂。《詩經．小雅．鹿鳴》：「鼓瑟鼓琴，和樂且湛。」</t>
  </si>
  <si>
    <t>(一)ㄓㄢˋ zhàn（07803）</t>
  </si>
  <si>
    <t>愖</t>
  </si>
  <si>
    <t>[形]
逸樂。《大戴禮記．卷一一．少閒》：「優以繼愖，政出自家門，此之謂失政也。」</t>
  </si>
  <si>
    <t>(一)ㄔㄣˊ chén（08423）</t>
  </si>
  <si>
    <t>單</t>
  </si>
  <si>
    <t>[形]
1.單獨、一個。與「複」相對。如：「單身貴族」、「單槍匹馬」。唐．韓愈〈祭十二郎文〉：「兩世一身，形單影隻。」
2.奇數的。與「雙」相對。如：「單數」、「單日」、「單號」。
3.薄弱、孤零。《後漢書．卷一九．耿恭傳》：「耿恭以單兵固守孤城，當匈奴之衝。」南朝梁．鍾嶸〈詩品序〉：「寒客衣單，孀閨淚盡。」
4.不複雜、少變化。如：「簡單」、「單純」、「單調」。
5.零的代稱。宋．史達祖〈西江月．三十六宮月冷〉詞：「三十六宮月冷，百單八顆香懸。」《京本通俗小說．志誠張主管》：「至今那一串一百單八顆數珠，不知下落。」
6.衣物是孤層的。如：「單衣」、「單褲」。
[名]
1.記載事物的紙張。如：「名單」、「帳單」、「稅單」、「傳單」。
2.單層的布或衣物。如：「被單」、「床單」、「褥單」。
[副]
1.僅、只。如：「單靠我一個人的力量是不夠的。」、「單說不做，是不會成功的。」《紅樓夢》第五二回：「他是忍不住的，一時氣了，或打或罵，依舊嚷來不好。所以單告訴你。」
2.孤獨的、獨自一人的。如：「單打獨鬥」。《後漢書．卷八二．方術傳上．李郃傳》：「和帝即位，分遣使者，皆微服單行。」</t>
  </si>
  <si>
    <t>(二)ㄕㄢˋ shàn（08949）(三)ㄔㄢˊ chán（08354）</t>
  </si>
  <si>
    <t>鄲</t>
  </si>
  <si>
    <t>參見「邯鄲」條。</t>
  </si>
  <si>
    <t>殫</t>
  </si>
  <si>
    <t>[動]
竭盡。如：「殫思竭慮」。《漢書．卷六〇．杜欽傳》：「殫天下之財以奉淫侈，匱萬姓之力以從耳目。」唐．柳宗元〈捕蛇者說〉：「殫其地之出，竭其廬之入，號呼而轉徒，饑渴而頓踣。」</t>
  </si>
  <si>
    <t>癉</t>
  </si>
  <si>
    <t>參見「火癉」條。</t>
  </si>
  <si>
    <t>(一)ㄉㄢˋ dàn（02039）</t>
  </si>
  <si>
    <t>襌</t>
  </si>
  <si>
    <t>[名]
無襯裡的衣裳。《禮記．玉藻》：「襌為絅。」漢．鄭玄．注：「有衣裳而無裡。」</t>
  </si>
  <si>
    <t>簞</t>
  </si>
  <si>
    <t>[名]
盛飯的圓形竹器。如：「簞瓢屢空」、「簞食壺漿」。《論語．雍也》：「賢哉回也！一簞食，一瓢飲，在陋巷，人不堪其憂，回也不改其樂。」</t>
  </si>
  <si>
    <t>儋</t>
  </si>
  <si>
    <t>[動]
擔負、負荷。同「擔」。《漢書．卷八七．揚雄傳下》：「析人之圭，儋人之爵，懷人之符，分人之祿。」南朝宋．劉義慶《世說新語．黜免》：「上人箸百尺樓上，儋梯將去。」
[名]
1.盛物的器具。《聊齋志異．卷一．王成》：「王喜，遂行，購鶉盈儋，復入郡。」
2.儋縣：縣名。隸屬大陸地區海南特別行政區，在海南島西岸。
3.姓。如周代有儋翩。</t>
  </si>
  <si>
    <t>擔</t>
  </si>
  <si>
    <t>[動]
1.用肩膀挑東西。如：「擔水」。《戰國策．秦策一》：「羸縢履蹻，負書擔橐。」
2.參見「扁擔」條。
3.負責、承當。如：「擔風險」、「這責任我恐怕擔不起。」《紅樓夢》第六七回：「人家陪著你走了二三千里的路程，受了四五個月的辛苦，而且在路上又替你擔了多少的驚怕沉重。」</t>
  </si>
  <si>
    <t>(二)ㄉㄢˋ dàn（02044）</t>
  </si>
  <si>
    <t>甔</t>
  </si>
  <si>
    <t>[名]
可容一石的瓦器。《史記．卷一二九．貨殖傳》：「漿千甔、屠牛羊彘千皮。」</t>
  </si>
  <si>
    <t>(二)（又音）ㄉㄢˋ dàn（02045）</t>
  </si>
  <si>
    <t>抌</t>
  </si>
  <si>
    <t>ㄉㄢˇ</t>
  </si>
  <si>
    <t>dǎn</t>
  </si>
  <si>
    <t>[動]
擊。《說文解字．手部》：「抌，深擊也。」清．段玉裁．注：「刺客列傳：『左手把其袖，右手揕其匈。』揕即抌字。徐廣曰：『一作抗。』按：抗乃抌之訛耳。」《列子．黃帝》：「攩㧙挨抌，亡所不為。」</t>
  </si>
  <si>
    <t>(二)（又音）ㄓㄣˇ zhěn（07841）</t>
  </si>
  <si>
    <t>紞</t>
  </si>
  <si>
    <t>[名]_x000D_
垂於冠冕兩旁，懸繫玉瑱的綵線。《左傳．桓公二年》：「袞冕黻珽，帶裳幅舄，衡紞紘綎，昭其度也。」_x000D_
[擬]_x000D_
參見「紞紞」、「紞如」等條。</t>
  </si>
  <si>
    <t>黕</t>
  </si>
  <si>
    <t>[名]
黑色汙垢。《楚辭．宋玉．九辯》：「竊不自聊而願忠兮，或黕點而汙之。」
[形]
烏黑、黝黑。《文選．潘岳．藉田賦》：「青壇蔚其嶽立兮，翠幕黕以雲布。」</t>
  </si>
  <si>
    <t>疸</t>
  </si>
  <si>
    <t>參見「黃疸」條。</t>
  </si>
  <si>
    <t>亶</t>
  </si>
  <si>
    <t>[副]
誠然、真實、實在。《詩經．小雅．常棣》：「宜爾家室，樂爾妻帑。是究是圖，亶其然乎。」
[名]
姓。如漢代有亶誦。</t>
  </si>
  <si>
    <t>撢</t>
  </si>
  <si>
    <t>[動]
用撢子或其他東西輕拍，拂去塵土。如：「撢一撢灰塵。」</t>
  </si>
  <si>
    <t>(二)ㄊㄢˋ tàn（02577）</t>
  </si>
  <si>
    <t>撣</t>
  </si>
  <si>
    <t>[動]
1.提持。《說文解字．手部》：「撣，提持也。」清．段玉裁．注：「提持，猶縣持也。」
2.拂去塵土。《老殘遊記》第一二回：「翠花掌燭，翠環捧硯，我來撣灰。」</t>
  </si>
  <si>
    <t>(二)ㄕㄢˋ shàn（08951）</t>
  </si>
  <si>
    <t>膽</t>
  </si>
  <si>
    <t>[名]
1.內臟器官之一。近肝臟右半葉，所儲膽汁，黃綠色、味苦，助消化。也稱為「膽囊」。
2.勇氣，古人以為勇氣由膽發出。如：「膽怯」、「壯膽」。
3.器物的內部，可容納水、空氣等。如：「球膽」、「瓶膽」、「熱水瓶的內膽」。</t>
  </si>
  <si>
    <t>石</t>
  </si>
  <si>
    <t>ㄉㄢˋ</t>
  </si>
  <si>
    <t>dàn</t>
  </si>
  <si>
    <t>[名]_x000D_
量詞：(1)計算容量的單位。公制一石等於十斗。也稱為「公石」。(2)古代計算重量的單位。漢．鼂錯〈論貴粟疏〉：「數石之重，中人弗勝，不為奸邪所利，一日弗得而飢寒至，是故明君貴五穀而賤金玉。」《戰國策．齊策四》：「大王據千乘之地，而建千石鍾，萬石虡。」</t>
  </si>
  <si>
    <t>(一)ㄕˊ shí（08708）</t>
  </si>
  <si>
    <t>旦</t>
  </si>
  <si>
    <t>[名]
1.天剛亮的時候。如：「枕戈待旦」、「通宵達旦」。《文選．左思．蜀都賦》：「晨鳧旦至，候鴈銜蘆。」
2.白天。漢．揚雄〈解嘲〉：「旦握權則為卿相，夕失勢則為匹夫。」
3.指農曆初一日。《南齊書．卷九．禮志上》：「秦人以十月旦為歲首。」《藝文類聚．卷四》：「邯鄲之民以正月之旦獻鳩於簡子。……簡子曰：『正旦放生，示有恩也。』」
4.（某一）日、天。如：「元旦」、「旦旦」、「一旦」。
5.光亮，明亮。〈卿雲歌〉：「日月光華，旦復旦兮。」
6.戲劇中扮演婦女的角色。如：「老旦」、「花旦」、「小旦」、「武旦」、「刀馬旦」。</t>
  </si>
  <si>
    <t>但</t>
  </si>
  <si>
    <t>[副]
1.僅、只。如：「但願如此」。唐．李白〈蜀道難〉：「但見悲鳥號古木，雄飛雌從繞林間。」唐．李商隱〈無題〉詩：「曉鏡但愁雲鬢改，夜吟應覺月光寒。」
2.只要。唐．王昌齡〈出塞〉詩二首之一：「但使龍城飛將在，不教胡馬度陰山。」元．王實甫《西廂記．第二本．第一折》：「但出閨門，影兒般不離身。」
3.只有、唯有。宋．蘇軾〈行香子．一葉舟輕〉詞：「但遠山長，雲山亂，曉山青。」
4.凡、所有。元．關漢卿《玉鏡臺》第一折：「則見脂粉馨香，環佩丁當，藕絲嫩新織仙裳，但風流都在他身上。」
5.儘管。如：「但說無妨」。
[連]
不過、可是。如：「你雖然聰明，但也要努力才能成功。」
[名]
姓。如漢代有但欽。</t>
  </si>
  <si>
    <t>鉭</t>
  </si>
  <si>
    <t>[名]_x000D_
（tantalum，Ta）化學元素。原子序73。金屬元素之一，色白如銀，富延展性，具抗鹼、抗酸性。多存於鈮礦中，鎢礦與某些稀土礦中亦含少量。可用於製造化工器材及真空管、超短波發射器等電工材料。醫療上用來製成薄片或細線，縫補被破壞的組織。碳化鉭熔點高，極堅硬，可製切削工具。</t>
  </si>
  <si>
    <t>膻</t>
  </si>
  <si>
    <t>參見「膻中」條。</t>
  </si>
  <si>
    <t>(一)ㄕㄢ shān（08927A）</t>
  </si>
  <si>
    <t>𤺺</t>
  </si>
  <si>
    <t>[動]
詬病。《禮記．緇衣》：「有國者章善𤺺惡，以示民厚，則民情不貳。」</t>
  </si>
  <si>
    <t>繵</t>
  </si>
  <si>
    <t>[名]
束腰的大帶。《廣韻．上聲．旱韻》：「繵，束腰大帶。」</t>
  </si>
  <si>
    <t>(一)ㄔㄢˊ chán（08370）</t>
  </si>
  <si>
    <t>淡</t>
  </si>
  <si>
    <t>[形]_x000D_
1.味道不鹹、不重。如：「淡水湖」、「粗茶淡飯」、「這湯太淡了！」_x000D_
2.稀薄、不濃厚。如：「淡酒」、「雲淡風輕」。《莊子．山林》：「君子之交淡若水，小人之交甘若醴。」_x000D_
3.色淺。如：「淡黃色」。_x000D_
4.不熱心。如：「冷淡」、「淡淡地應了一聲。」_x000D_
5.不旺盛。如：「淡季」、「淡月」、「生意清淡」。_x000D_
[副]_x000D_
淺、不深。如：「淡妝濃抹」、「淡掃蛾眉」。_x000D_
[名]_x000D_
1.北方方言。指無聊、無意義的話。如：「瞎扯淡」。《儒林外史》第四回：「眾人慌了，求張鄉紳……說情，知縣准了，早堂帶進，罵了幾句，扯了一個淡，趕了出去。」_x000D_
2.姓。如明代宦官劉謹，仗勢欺人，同州一帶劉姓恥與劉謹同姓，遂改姓為淡。</t>
  </si>
  <si>
    <t>啖</t>
  </si>
  <si>
    <t>[動]
1.吃。如：「啖飯」、「啖粥」。《初刻拍案驚奇》卷三：「煽起炭火做煎餅自啖，連啖了百餘個。」清．洪昇《長生殿》第二八齣：「癩蝦蟆妄想天鵝啖。」
2.給人食物吃。《漢書．卷七二．王吉傳》：「東家有大棗樹垂吉庭中，吉婦取棗以啖吉。」唐．顏師古．注：「啖，謂使食之。」唐．李白〈俠客行〉：「將炙啖朱亥，持觴勸侯嬴。」
3.誘使別人聽從自己。《新唐書．卷一四九．劉晏傳》：「其有口舌者，率以利啖之，使不得有所訾短。」
[名]
姓。如五胡十六國時前秦有啖鐵，唐代有啖助。</t>
  </si>
  <si>
    <t>氮</t>
  </si>
  <si>
    <t>[名]
（nitrogen，N）化學元素。原子序7。氮氣是一種無色無臭的氣體，占空氣成分的五分之四，不能自燃，也不能助燃。可以用來製造氨、硝酸和氮肥，又可以填充電燈泡，液態氮是常用的低溫冷卻劑。</t>
  </si>
  <si>
    <t>餤</t>
  </si>
  <si>
    <t>[名]
一種捲肉的薄餅，可切而進獻與人。明．張自烈《正字通．食部》：「餤，餅屬。唐賜進士有紅綾餤，南唐有玲瓏餤，皆餅也。」
[動]
1.吃。同「啖」、「啗」。唐．杜牧〈罪言〉：「至於有圍急，食盡，餤屍以戰。」《聊齋志異．卷八．畫馬》：「夜不甚餤芻豆，意甚病。」
2.以利相誘。《史記．卷四三．趙世家》：「秦非愛趙而憎齊也，欲亡韓而吞二周，故以齊餤天下。」</t>
  </si>
  <si>
    <t>(二)ㄊㄢˊ tán（02542）</t>
  </si>
  <si>
    <t>啗</t>
  </si>
  <si>
    <t>[動]
1.吃。同「啖」。《史記．卷七．項羽本紀》：「樊噲覆其盾於地，加彘肩上，拔劍切而啗之。」宋．岳飛〈良馬對〉：「臣有二馬，日啗芻豆數斗，飲泉一斛，然非精潔即不受。」
2.以利誘惑他人。《聊齋志異．卷二．紅玉》：「君重啗之，必合諧允。」</t>
  </si>
  <si>
    <t>萏</t>
  </si>
  <si>
    <t>參見「菡萏」條。</t>
  </si>
  <si>
    <t>窞</t>
  </si>
  <si>
    <t>[名]
深洞。《易經．坎卦．初六》：「習坎，入于坎窞，凶。」</t>
  </si>
  <si>
    <t>蛋</t>
  </si>
  <si>
    <t>[名]_x000D_
1.鳥類和爬蟲類所生帶有硬殼的卵，受精之後可孵出小動物。如：「雞蛋」、「蛇蛋」、「下蛋」。_x000D_
2.形狀像蛋的東西。如：「臉蛋兒」、「山藥蛋」。_x000D_
3.斥責或罵人的話。用以比喻人或動作。如：「笨蛋」、「壞蛋」、「完蛋」、「糊塗蛋」。清．徐珂《清稗類鈔．飲食類．京師食品》：「北人罵人之辭，輒有蛋字，曰渾蛋，曰吵蛋，曰倒蛋，曰黃巴蛋，故於肴饌之蛋字，輒避之。」《紅樓復夢》第九〇回：「你相與這個臭忘八，你算瞎了眼，倒了運！你快些給我滾蛋！」《老殘遊記》第一四回；「誰知這些渾蛋還有許多蹲在屋頂上不肯下來呢！」_x000D_
4.中國南方沿海少數民族之一。同「蜑」。如：「胡夷蛋蠻」。《宋史．卷三一．高宗本紀八》：「閏月丙午，罷廉州貢珠，縱蛋丁自便。」</t>
  </si>
  <si>
    <t>髧</t>
  </si>
  <si>
    <t>[形]
頭髮下垂的樣子。《詩經．鄘風．柏舟》：「髧彼兩髦，實維我儀，之死矢靡它。」</t>
  </si>
  <si>
    <t>僤</t>
  </si>
  <si>
    <t>[副]
盛、厚。《詩經．大雅．桑柔》：「我生不辰，逢天僤怒。」漢．毛亨．傳：「僤，厚也。」</t>
  </si>
  <si>
    <t>潬</t>
  </si>
  <si>
    <t>[名]
沙灘。《爾雅．釋水》：「潬，沙出。」晉．郭璞．注：「今江東呼水中沙堆為潬。」《北齊書．卷四二．陽斐傳》：「又移津於白馬，中河起石潬，兩岸造關城，累年乃就。」
[形]
潬潬：輾轉互動的樣子。南朝梁．劉勰《文心雕龍．封禪》：「圖曰：『潬潬噅噅，棼棼雉雉，萬物盡化。』言至德所被也。」</t>
  </si>
  <si>
    <t>(二)（又音）ㄊㄢ tān（02531）</t>
  </si>
  <si>
    <t>憚</t>
  </si>
  <si>
    <t>[動]
怕、畏懼。《楚辭．屈原．離騷》：「豈余身之憚殃兮，恐皇輿之敗績。」《晉書．卷四五．劉毅傳》：「毅幼有孝行，少厲清節，然好臧否人物，王公貴人望風憚之。」</t>
  </si>
  <si>
    <t>彈</t>
  </si>
  <si>
    <t>[名]
1.彈弓藉彈力發射出的小鐵丸。如：「彈丸」、「泥彈」。南朝陳．徐陵〈紫騮馬〉詩：「角弓連兩兔，珠彈落雙鴻。」
2.內裝火藥，具殺傷力和毀滅性的爆炸物。如：「子彈」、「炸彈」、「原子彈」、「手榴彈」。
3.彈弓。《戰國策．楚策四》：「左挾彈，右攝丸。」漢．劉向《說苑．卷一一．善說》：「彈之狀如弓，而以竹為弦。」
4.鳥類、爬蟲類等帶有硬殼的卵。同「蛋」。元．無名氏《漁樵記》第二折：「麻雀抱鵝彈，木伴哥生娃娃。」</t>
  </si>
  <si>
    <t>(二)ㄊㄢˊ tán（02553）</t>
  </si>
  <si>
    <t>[名]
因勞累而生的疾病。《詩經．大雅．板》：「上帝板板，下民卒癉。」
[動]
憎恨。《書經．畢命》：「彰善癉惡，樹之風聲。」</t>
  </si>
  <si>
    <t>(二)ㄉㄢ dān（02006）</t>
  </si>
  <si>
    <t>蜑</t>
  </si>
  <si>
    <t>[名]
中國南方少數民族之一。居住於大陸地區廣東、福建沿海一帶。終年舟居，以捕魚或行船為業。唐．柳宗元〈嶺南節度饗軍堂記〉：「胡夷蜑蠻，睢盱就列者千人以上。」</t>
  </si>
  <si>
    <t>誕</t>
  </si>
  <si>
    <t>[形]
1.行為放蕩或怪異。如：「放誕」、「怪誕」、「荒誕不經」。
2.大的。《後漢書．卷一．光武帝紀．贊曰》：「光武誕命，靈貺自甄。」
[名]
1.虛妄不實的言語。漢．劉向《說苑．卷八．尊賢》：「口銳者多誕而寡信，後恐不驗也。」
2.生日。如：「壽誕」、「華誕」。
[動]
1.出生。如：「誕生」。《晉書．卷九二．文苑傳．袁宏傳》：「云獲麟於此野，誕靈物以瑞德，奚授體於虞者！」
2.誇口而言。晉．陶淵明〈讀山海經〉詩一三首之九：「夸父誕宏志，乃與日競走。」
[副]
大大的。《書經．湯誥》：「王歸自克夏，至于亳，誕告萬方。」
[助]
發語詞，無義。《詩經．大雅．生民》：「誕彌厥月，先生如達。」</t>
  </si>
  <si>
    <t>澹</t>
  </si>
  <si>
    <t>[形]
1.恬靜而寡欲。《漢書．卷五七．司馬相如傳》：「泊乎無為，澹乎自持。」
2.安靜。《老子》第二〇章：「澹兮其若海，飂兮若無止。」
3.清淡、不濃烈。漢．王充《論衡．自紀》：「狄牙和膳，肴無澹味。」
4.水波蕩漾。唐．白居易〈酬夢得早秋夜對月見寄〉詩：「庭蕪淒白露，池色澹金波。」
[名]
姓。如明代有澹文昇。</t>
  </si>
  <si>
    <t>(二)ㄊㄢˊ tán（02554）</t>
  </si>
  <si>
    <t>憺</t>
  </si>
  <si>
    <t>[副]
安逸、安適。《淮南子．本經》：「憺然無欲而民自樸，無禨祥而民不夭。」南朝宋．謝靈運〈石壁精舍還湖中作詩〉：「清暉能娛人，游子憺忘歸。」
[動]
1.安定。《淮南子．俶真》：「蜂蠆螫指而神不能憺。」漢．高誘．注：「憺，定也。」
2.震動、使畏懼。《漢書．卷五四．李廣傳》：「是以名聲暴於夷貉，威稜憺乎鄰國。」</t>
  </si>
  <si>
    <t>[名]
1.用扁擔所挑的物品。《列子．湯問》：「遂率子孫荷擔者三夫，叩石墾壤，箕畚運於渤海之尾。」
2.肩負的責任。如：「重擔」。
3.量詞。計算成挑物品的單位。如：「一擔米」、「兩擔柴」、「三擔賀禮」。</t>
  </si>
  <si>
    <t>(一)ㄉㄢ dān（02010）</t>
  </si>
  <si>
    <t>(一)ㄉㄢ dān（02011）</t>
  </si>
  <si>
    <t>㩐</t>
  </si>
  <si>
    <t>ㄉㄣˋ</t>
  </si>
  <si>
    <t>dèn</t>
  </si>
  <si>
    <t>[動]
突然使勁用力拉。如：「別使大勁兒，小心把線㩐斷了。」</t>
  </si>
  <si>
    <t>當</t>
  </si>
  <si>
    <t>ㄉㄤ</t>
  </si>
  <si>
    <t>dāng</t>
  </si>
  <si>
    <t>[動]_x000D_
1.擔任。如：「當記者」、「當教員」。_x000D_
2.主管、管理。如：「當位」、「當權」、「當政」。《紅樓夢》第六回：「這位鳳姑娘，今年不過十八、九歲罷了，就這等有本事，當這樣的家，可是難得的！」_x000D_
3.承受。如：「不敢當」、「敢做敢當」、「當之無愧」。_x000D_
4.適合、相稱。如：「門當戶對」、「旗鼓相當」。_x000D_
5.面對、對著。如：「當面談話」、「當機立斷」、「當仁不讓」、「首當其衝」、「當著大家道個歉，把事情了了。」_x000D_
6.輪值。如：「當班」。《左傳．宣公十二年》：「右廣初駕，數及日中；左則受之，以至于昏。內官序當其夜，以待不虞。不可謂無備。」_x000D_
7.當作、作為 。如：「安步當車」、「寒夜客來茶當酒」。_x000D_
8.判決、判處。《史記．卷一〇二．張釋之馮唐列傳．張釋之》：「此人親驚吾馬，吾馬賴柔和，令他馬，固不敗傷我乎？而廷尉乃當之罰金！」_x000D_
[代]_x000D_
彼、那。指在事情發生的時間內。如：「當年」、「當時」、「當天」。_x000D_
[介]_x000D_
1.表示動作行為的方向。漢．王充《論衡．變動》：「盛夏之時，當風而立；隆冬之月，嚮日而坐。」_x000D_
2.表示動作行為的時間。《孟子．滕文公上》：「當堯之時，天下猶未平。」《史記．卷七．項羽本紀》：「當是時，項羽兵四十萬，在新豐鴻門；沛公兵十萬，在霸上。」_x000D_
[副]_x000D_
應該。如：「出門在外，當用則用，不必太節省。」《韓非子．初見秦》：「秦當霸而不霸，天下固以量秦之謀臣一矣。」《史記．卷八七．李斯列傳》：「安得亡國之言！此非人臣所當議也！」_x000D_
[擬]_x000D_
模擬撞擊金屬器物的聲音。如：「當！當！當！這是寺廟傳來的鐘聲。」_x000D_
[名]_x000D_
頂端。如瓜蒂稱為「瓜當」，屋簷頂端的蓋瓦頭稱為「瓦當」。</t>
  </si>
  <si>
    <t>(二)ㄉㄤˋ dàng（02068）(三)ㄉㄤˇ dǎng（02055）</t>
  </si>
  <si>
    <t>噹</t>
  </si>
  <si>
    <t>[擬]_x000D_
模擬撞擊金屬器物所發出的聲音。《兒女英雄傳》第二二回：「只聽得噹噹噹一片鑼響，嘩啦啦扯起船篷，那些船家叫著號兒，點了一篙，那船便離了岸。」</t>
  </si>
  <si>
    <t>璫</t>
  </si>
  <si>
    <t>[名]
1.古人在帽前以金或銀製成的華麗裝飾物。如：「金璫」、「銀璫」。
2.戴在耳垂上的珠玉。《文選．曹植．洛神賦》：「無微情以效愛兮，獻江南之明璫。」南朝梁．劉勰《文心雕龍．雜文》：「唯士衡運思，理新文敏，而裁章置句，廣於舊篇，豈慕朱仲四寸之璫乎！」
3.漢代宦官帽子上的裝飾品。後用以比喻宦官。如：「奸璫」、「權璫」。</t>
  </si>
  <si>
    <t>襠</t>
  </si>
  <si>
    <t>[名]
褲子兩片腿管相連的地方。如：「褲襠」、「開襠褲」。</t>
  </si>
  <si>
    <t>簹</t>
  </si>
  <si>
    <t>參見「篔簹」條。</t>
  </si>
  <si>
    <t>鐺</t>
  </si>
  <si>
    <t>參見「鋃鐺」、「鐺鐺」等條。</t>
  </si>
  <si>
    <t>(二)ㄔㄥ chēng（08491）</t>
  </si>
  <si>
    <t>党</t>
  </si>
  <si>
    <t>ㄉㄤˇ</t>
  </si>
  <si>
    <t>dǎng</t>
  </si>
  <si>
    <t>[名]
姓。如宋代有党進。</t>
  </si>
  <si>
    <t>瓽</t>
  </si>
  <si>
    <t>(一)ㄉㄤˋ dàng（02067）</t>
  </si>
  <si>
    <t>[動]
1.匹敵、抵抗。通「擋」。如：「螳臂當車」、「銳不可當」。《史記．卷八一．廉頗藺相如列傳》：「言兵事，以天下莫能當。」唐．王維〈老將行〉：「一身轉戰三千里，一劍曾當百萬師。」
2.偏袒。通「黨」。《莊子．天下〉：「公而不當，易而無私。」</t>
  </si>
  <si>
    <t>(一)ㄉㄤ dāng（02047）(二)ㄉㄤˋ dàng（02068）</t>
  </si>
  <si>
    <t>擋</t>
  </si>
  <si>
    <t>[動]_x000D_
1.遮蔽。如：「擋太陽」、「擋風遮雨」。_x000D_
2.攔阻、抵擋。如：「擋駕」、「擋箭牌」、「兵來將擋，水來土掩。」《兒女英雄傳》第四〇回：「你看這可不叫作運氣來了，崑崙山也擋不住麼。」</t>
  </si>
  <si>
    <t>檔</t>
  </si>
  <si>
    <t>[名]_x000D_
1.存放公文、卷宗的櫥架。如：「歸檔」、「清檔」、「存檔」。_x000D_
2.檔案的簡稱。如：「建檔」、「查檔」。_x000D_
3.電影或戲劇節目放映演出的時段。如：「接檔」、「上檔」、「下檔」、「黃金檔」、「八點檔」。_x000D_
4.排檔汽車等變速器的簡稱。如：「換檔」、「低速檔」。_x000D_
5.指時間或空間的空隙。如：「空檔」、「填檔」。_x000D_
6.貨品的等級或價位。如：「低檔貨」、「高檔產品」。_x000D_
7.組合的夥伴。如：「搭檔」、「拍檔」、「父子檔」、「兄弟檔」。_x000D_
8.攤位。如：「魚檔」、「大排檔」。_x000D_
9.量詞：(1)計算娛樂節目演出期間的單位。如：「下一檔戲」、「作了三檔秀」。(2)計算事物、事件的單位。相當於「碼」、「件」。如：「為了這檔事，我四處奔波，可真累壞了！」</t>
  </si>
  <si>
    <t>(二)（又音）ㄉㄤˋ dàng（02069）</t>
  </si>
  <si>
    <t>黨</t>
  </si>
  <si>
    <t>[名]
1.志同道合的人所組成的有組織、有主義的團體。如：「政黨」、「革命黨」。
2.因利害關係而結成的小團體。如：「結黨營私」、「狐群狗黨」。《左傳．僖公九年》：「臣聞亡人無黨，有黨必有讎。」漢．桓寬《鹽鐵論．禁耕》：「眾邪群聚，私門成黨。」
3.朋友、同輩。指意氣相投的人。唐．韓愈〈山石〉詩：「嗟哉吾黨二三子，安得至老不更歸。」
4.古代地方的組織名稱。以五百家為一黨。《周禮．地官．大司徒》：「五族為黨。」漢．鄭玄．注：「族，百家；黨，五百家。」《禮記．學記》：「股之教者，家有塾，黨有庠，術有序，國有學。」
5.親族、姻戚。如：「父黨」、「母黨」。
6.姓。如明代有黨還醇。
[動]
偏袒、偏私。《書經．洪範》：「無偏無黨，王道蕩蕩。」《論語．述而》：「吾聞君子不黨，君子亦黨乎？」
[形]
正直的。同「讜」。如：「黨言」、「黨論」。</t>
  </si>
  <si>
    <t>攩</t>
  </si>
  <si>
    <t>[動]
1.阻攔。同「擋」。《警世通言．卷二八．白娘子永鎮雷峰塔》：「許宣道：『你是鬼怪，不許入來。』攩住了門不放他。」
2.抵擋、抵禦。金聖歎刪本《水滸傳》第三二回：「且把酒來攩寒。」
3.搥打。《列子．黃帝》：「既而狎侮欺詒，攩㧙挨抌，亡所不為。」</t>
  </si>
  <si>
    <t>讜</t>
  </si>
  <si>
    <t>[名]
1.正直的言論。《玉篇．言部》：「讜，直言也，善言也。」
2.敢於直言無諱的人。唐．李白〈經亂離後天恩流夜郎憶舊遊書懷贈江夏韋太守良宰〉詩：「公卿如犬羊，忠讜醢與葅。」
[形]
正直的。如：「讜論」。南朝梁．劉勰《文心雕龍．奏啟》：「有表奏確切，號為讜言。」</t>
  </si>
  <si>
    <t>宕</t>
  </si>
  <si>
    <t>ㄉㄤˋ</t>
  </si>
  <si>
    <t>dàng</t>
  </si>
  <si>
    <t>[動]
拖延、延遲。如：「懸宕」、「延宕」。《二十年目睹之怪現狀》第五二回：「這一百吊，暫時宕一宕，我再想法子報銷。」
[形]
行為放蕩不受拘束。通「蕩」。三國魏．曹植〈七哀詩〉：「借問歎者誰，言是宕子妻。」宋．蘇軾〈王子立墓誌銘〉：「人人自重，不敢嬉宕。」
[名]
石洞、礦坑。《文選．左思．蜀都賦》：「外負銅梁於宕渠，內函要害於膏腴。」明．徐弘祖《徐霞客遊記．卷二下．楚遊日記》：「兼茅中自時有偃宕，疑為虎穴。」</t>
  </si>
  <si>
    <t>逿</t>
  </si>
  <si>
    <t>[動]
1.跌倒。《漢書．卷八八．儒林傳．王式傳》：「式恥之，陽醉逿墜。」唐．顏師古．注：「逿，失據而倒也。」
2.搖撼、振盪。《史記．卷一〇五．扁鵲倉公傳》：「周身熱，脈盛者，為重陽；重陽者，逿心主。」裴駰集解引徐廣曰：「逿，盪也。謂病盪心者，猶刺其心。」</t>
  </si>
  <si>
    <t>碭</t>
  </si>
  <si>
    <t>[名]
1.有紋理的石頭。《文選．何晏．景福殿賦》：「墉垣碭基，其光昭昭。」李善注引《說文》曰：「碭，文石也。」
2.山名。即碭山。在大陸地區安徽省碭山縣東南。
3.姓。如漢代有碭魯賜。
[動]
振盪。《莊子．庚桑楚》：「吞舟之魚，碭而失水，則蟻能苦之。」
[形]
大、廣。《淮南子．本經》：「當此之時，玄玄至碭而運照。」漢．高誘．注：「碭，大也。盛德之君，恩仁廣大，遍照四海也。」</t>
  </si>
  <si>
    <t>蕩</t>
  </si>
  <si>
    <t>[動]_x000D_
1.搖動、擺動。唐．駱賓王〈櫂歌行〉：「鏡花搖芰日，衣麝入荷風。葉密舟難蕩，蓮疏浦易空。」宋．姜夔〈揚州慢．淮左名都〉詞：「二十四橋仍在，波心蕩、冷月無聲。」《說岳全傳》第四九回：「正在觀看，忽見水面上一隻小船，使著雙槳，望著岸邊蕩來。」_x000D_
2.動亂、擾亂。《荀子．勸學》：「是故權利不能傾也，群眾不能移也，天下不能蕩也。」《呂氏春秋．孟冬紀．孟冬》：「無或作為淫巧以蕩上心，必功致，為上物。」《太平廣記．卷三六一．素娥》引《甘澤謠》：「某非他怪，乃花月之妖。上帝遣求，亦以多言蕩公之心，將興李氏。」_x000D_
3.碰觸、衝撞。唐．柳宗元〈三戒．黔之驢〉：「虎大駭遠遁，……稍近益狎，蕩倚衝冒，驢不勝怒，蹄之。」《水滸傳》第一〇七回：「楊志等遵令。擂鼓三通，眾將上前，蕩開賊將西方門旗，殺將入去。」《型世言》第二五回：「那女子早被箱子一蕩，也滾落水，狠扯箱子。」_x000D_
4.清空、去除。《魏書．卷二四．列傳．崔玄伯》：「譬琴瑟不調，必改而更張；法度不平，亦須蕩而更制。」唐．杜甫〈白鳧行〉：「故畦遺穗已蕩盡，天寒歲暮波濤中。」《西遊記》第六九回：「行者笑道：『賢弟不知！此藥利痰順氣，蕩肚中凝滯之寒熱。』」_x000D_
5.毀壞、敗壞。《國語．周語下》：「夫周，高山、廣川、大藪也，故能生是良材，而幽王蕩以為魁陵、糞土、溝瀆，其有悛乎？」唐．吳融〈沃焦山賦〉：「若然者，不惟九土潰而全墮，抑亦三光蕩而崩離。」《遼史．卷三四．兵衛志上》：「沿途民居、園囿、桑柘，必夷伐焚蕩。」_x000D_
6.閒逛。《西遊記》第六回：「他因沒事幹管理，東遊西蕩。朕又恐別生事端，著他代管蟠桃園。」《醒世恆言．卷三九．汪大尹火焚寶蓮寺》：「一路胡思亂想，行一步，懶一步，慢騰騰的蕩至寺中。」_x000D_
[形]_x000D_
1.放縱不受拘束。如：「放蕩」、「浪蕩子」。《論語．陽貨》：「古之狂也肆，今之狂也蕩。」《列子．楊朱》：「恣耳目之所娛，窮意慮之所為，熙熙然以至於死，此天民之逸蕩者也。」_x000D_
2.平坦。如：「坦蕩」。《詩經．齊風．載驅》：「魯道有蕩，齊子翱翔。」_x000D_
3.廣大無邊際。《左傳．襄公二十九年》：「為之歌豳，曰：『美哉！蕩哉！樂而不淫，其周公之東乎？』」晉．陸雲〈愁霖賦〉：「高岸渙其無崖兮，平原蕩而為淵。」唐．李絳〈兵部尚書王紹神道碑〉：「聖運啟兮大人造，王氣蕩兮英風掃。」_x000D_
[名]_x000D_
1.積水長草的淺水湖。如：「魚蕩」、「蘆花蕩」。宋．范成大〈晚春田園雜興十二絕〉之二：「湖蓮舊蕩藕新翻，小小荷錢沒漲痕。」《水滸傳》第一九回：「何濤與巡檢商議道：『這湖泊裡港汊又多，路徑甚雜；抑且水蕩陂塘，不知深淺。』」_x000D_
2.《詩經．大雅》的篇名。共八章。根據〈詩序〉：「蕩，召穆公傷周室大壞也。厲王無道，蕩蕩無綱紀文章，故作是詩也。」指假文王語氣，以彰殷人之惡，而明周人得國之正也。首章二句為：「蕩蕩上帝，下民之辟。」</t>
  </si>
  <si>
    <t>盪</t>
  </si>
  <si>
    <t>[動]
1.洗滌、洗淨。北齊．顏之推《顏氏家訓．序致》：「習若自然，卒難洗盪。」明．張岱〈岱志〉：「江北地土，其中多有千巖萬壑，特無九年洪水為之盪滌漱剔，一出其真面目耳。」
2.掃除、掃蕩。《後漢書．卷四〇．班彪傳下》：「西盪河源，東澹海漘。」《宋書．卷七七．顏師伯傳》：「苟思達、龐孟虯等又追虜至杜梁，虜眾多，四面俱合，平面參軍童太壹及苟思達等並單騎出盪，應手披靡。」
3.擺動、搖動。如：「盪舟」、「盪鞦韆」。南朝梁．江淹〈悼室人〉詩一〇首之二：「帳裡春風盪，簷前還燕拂。」
4.交替、推移。《易經．繫辭上》：「是故剛柔相摩，八卦相盪。」</t>
  </si>
  <si>
    <t>簜</t>
  </si>
  <si>
    <t>[名]
1.大竹子。《說文解字．竹部》：「簜，大竹也。」《書經．禹貢》：「篠簜既敷，厥草惟夭，厥木惟喬。」漢．孔安國．傳：「篠，竹箭。簜，大竹。」
2.笙簫一類的樂器。《說文解字．竹部》「簜」字．清．段玉裁．注：「以竹成器亦曰簜。笙簫皆用小竹，而云簜者，大之也。」</t>
  </si>
  <si>
    <t>[名]
1.大盆。《說文解字．瓦部》：「瓽，大盆也。」《廣韻．去聲．宕韻》：「瓽，大甕。」
2.以磚砌成的井壁。《漢書．卷九二．游俠傳．陳遵傳》：「一旦叀礙，為瓽所轠，身提黃泉，骨肉為泥。」</t>
  </si>
  <si>
    <t>(二)（又音）ㄉㄤˇ dǎng（02054）</t>
  </si>
  <si>
    <t>[形]_x000D_
1.合宜。如：「恰當」、「適當」、「妥當」、「若有不當之處，請多指教。」《禮記．樂記》：「夫古者天地順而四時當，民有德而五穀昌。」_x000D_
2.同一。_x000D_
[動]_x000D_
1.用物品向當鋪抵押借錢。如：「典當」、「質當」。《儒林外史》第三六回：「拿幾件衣服當了。」_x000D_
2.視、認為。如：「不該錯將好人當壞人！」「你當我是傻子？居然敢賣我贗品！」_x000D_
3.成績不及格。或以為來源是借用橋牌術語「down」。如：「這一科我沒考好，準被當！」_x000D_
[名]_x000D_
1.圈套、詭計。如：「害人的勾當」。《紅樓夢》第九二回：「我一時失腳，上了他的當。」_x000D_
2.抵押在當鋪的物品。如：「贖當」。</t>
  </si>
  <si>
    <t>(一)ㄉㄤ dāng（02047）(三)ㄉㄤˇ dǎng（02055）</t>
  </si>
  <si>
    <t>(一)ㄉㄤˇ dǎng（02057）</t>
  </si>
  <si>
    <t>登</t>
  </si>
  <si>
    <t>ㄉㄥ</t>
  </si>
  <si>
    <t>dēng</t>
  </si>
  <si>
    <t>[動]
1.上、升。由低處到高處。如：「登山」、「登峰造極」、「一步登天」、「捷足先登」。《禮記．中庸》：「君子之道，辟如行遠必自邇，辟如登高必自卑。」宋．陳與義〈臨江仙．憶昔午橋橋上飲〉詞：「閒登小閣看新晴。古今多少事，漁唱起三更。」
2.進用、提拔。《管子．小匡》：「退而察問其鄉里，以觀其所能，而無大過，登以為上卿之佐。」唐．韓愈〈八月十五夜贈張功曹〉詩：「昨者州前搥大鼓，嗣皇繼聖登夔皋。」
3.成熟。《孟子．滕文公上》：「五穀不登，禽獸偪人。」宋．蘇軾〈荔支歎〉：「雨順風調百穀登，民不飢寒為上瑞。」
4.記錄、刊載。如：「登記」、「登報」、「登帳」、「刊登」。
5.科舉考試合格被錄取。唐．鄭谷〈贈劉神童〉詩：「還家雖解喜，登第未知榮。」《新唐書．卷一六八．劉禹錫傳》：「登博學弘詞科，工文章。」
6.收取別人物品時的敬詞。如：「拜登厚賜」。
7.北方方言。指穿。如：「腳登長筒靴」。《文明小史》第四九回：「上面套著棗紅鐵線紗夾馬褂，底下登著緞靴。」
[名]
姓。如三國時蜀國有登定。</t>
  </si>
  <si>
    <t>噔</t>
  </si>
  <si>
    <t>[擬]_x000D_
模擬穿硬底鞋踩踏在地上所發出的聲音。如：「他噔噔噔的朝這邊跑來！」「只聽到樓板『咯噔！咯噔！』地響，令人毛骨悚然！」</t>
  </si>
  <si>
    <t>燈</t>
  </si>
  <si>
    <t>[名]
1.照明或作為他用的發光器具。如：「電燈」、「日光燈」、「紅綠燈」。
2.燃燒液體或氣體，用來對他物加熱的器具。如：「酒精燈」、「本生燈」。
3.佛法導向光明坦途，趨避邪惡黑暗，故稱佛法為「燈」。唐．杜甫〈望牛頭寺〉詩：「傳燈無白日，布地有黃金。」</t>
  </si>
  <si>
    <t>㲪</t>
  </si>
  <si>
    <t>參見「毾㲪」條。</t>
  </si>
  <si>
    <t>簦</t>
  </si>
  <si>
    <t>[名]
古代禦雨的器具，猶如現在的雨傘。《說文解字．竹部》：「簦，笠蓋也。」清．段玉裁．注：「笠而有柄如蓋也，即今之雨繖。」《史記．卷七六．平原君虞卿傳》：「虞卿者，游說之士也。躡蹻檐簦說趙孝成王。」裴駰集解引徐廣曰：「簦，長柄笠。笠有柄者謂之簦。」</t>
  </si>
  <si>
    <t>鐙</t>
  </si>
  <si>
    <t>[名]
1.照明用具。同「燈」。清．陳澧〈水龍吟．詞仙曾駐峰頭〉詞：「賸出山迴望，鐙明佛屋，有閑僧睡。」
2.古代的飲食器具。通「豋」。《儀禮．公食大夫禮》：「大羹湆不和，實于鐙。」漢．鄭玄．注：「瓦豆謂之鐙。」</t>
  </si>
  <si>
    <t>(一)ㄉㄥˋ dèng（02087）</t>
  </si>
  <si>
    <t>豋</t>
  </si>
  <si>
    <t>[名]
古代盛肉食的器具，亦作為禮器之用。唐．高宗〈宗廟薦享別奠詔〉：「自今以後，宗廟薦享，爵及簠簋豋鉶，各宜別奠。」</t>
  </si>
  <si>
    <t>等</t>
  </si>
  <si>
    <t>ㄉㄥˇ</t>
  </si>
  <si>
    <t>děng</t>
  </si>
  <si>
    <t>[名]
1.品級、次第。如：「上等」、「甲等」、「劣等」、「高人一等」。
2.種、類。如：「何等人物」、「這等事情」。《紅樓夢》第一一五回：「在弟是庸庸碌碌一等愚人，忝附同名。」
3.表類數之詞：(1)表複數。如：「我等」、「爾等」、「一干人等」、「紐約、倫敦、東京等世界金融中心。」(2)表列舉不盡。如：「我每天單是孩子的事都忙昏了，其他如廚房等等的事就更不用說了。」
4.一種小型的秤。用來稱金、銀、藥物等少量物品的衡器。《警世通言．卷二二．宋小官團圓破氈笠》：「便取出銀子，剛剛一塊，討等來一稱。」《初刻拍案驚奇》卷二二：「大等秤進，小等秤出。」俗稱為「等子」、「戥子」。
[動]
1.待、候。如：「等車」、「等一會兒」。《西遊記》第一四回：「你往那裡去來？教我行又不敢行，動又不敢動，只管在此等你。」
2.相同、相齊。如：「相等」、「等於」、「均等」、「平等」、「高低不等」。</t>
  </si>
  <si>
    <t>戥</t>
  </si>
  <si>
    <t>參見「戥子」條。</t>
  </si>
  <si>
    <t>凳</t>
  </si>
  <si>
    <t xml:space="preserve">几 </t>
  </si>
  <si>
    <t>ㄉㄥˋ</t>
  </si>
  <si>
    <t>dèng</t>
  </si>
  <si>
    <t>[名]
無靠背的坐具。如：「板凳」、「長凳」。《紅樓夢》第六二回：「都走來看時，果見湘雲臥於山石僻處一個石凳子上，業經香夢沉酣。」</t>
  </si>
  <si>
    <t>澄</t>
  </si>
  <si>
    <t>[動]
使沉澱、清澈。如：「把這盆水澄一澄。」</t>
  </si>
  <si>
    <t>(一)ㄔㄥˊ chéng（08519）</t>
  </si>
  <si>
    <t>墱</t>
  </si>
  <si>
    <t>[名]
1.棧道。《文選．張衡．西京賦》：「即乃珍臺蹇產以極壯；墱道邐倚以正東。」《讀史方輿紀要．卷三九．山西一．五臺》：「危墱于霄，喬林拂日。」
2.排水道。《文選．左思．魏都賦》：「墱流十二，同源異口。畜為屯雲，泄為行雨。」北魏．酈道元《水經注．濁漳水注》：「魏武王又堨漳水迴流東注，號天井堰，二十里中作十二墱，墱相去三百步，令互相灌注。」</t>
  </si>
  <si>
    <t>嶝</t>
  </si>
  <si>
    <t>[名]
登山的小路。《字彙．山部》：「嶝，登陟之道。」《樂府詩集．卷三二．相和歌辭七．南朝宋．沈約．從軍行》：「雲縈九折嶝，風卷萬里波。」</t>
  </si>
  <si>
    <t>鄧</t>
  </si>
  <si>
    <t>[名]
1.國名。曼姓。周時所建。故址在今大陸地區河南省鄧縣，後為楚所滅。《說文解字．邑部》：「鄧，曼姓之國，今屬南陽。」
2.地名：(1)春秋時魯地，在今大陸地區山東省汶河以南，運河以北一帶。《左傳．隱公十年》：「公會齊侯、鄭伯于中丘，癸丑，盟于鄧，為師期。」晉．杜預．注：「鄧，魯地。」(2)春秋時蔡地，約在今大陸地區河南省郾城縣東南。(3)戰國時魏邑，約在今大陸地區河南省孟縣西南。《史記．卷五．秦本紀》：「（昭襄王）十六年，左更錯取軹及鄧。」張守節正義引《括地志》：「故鄧城在懷州河陽縣西三十一里，並六國時魏邑也。」
3.姓。如三國時魏國有鄧艾，清代有鄧廷楨。</t>
  </si>
  <si>
    <t>隥</t>
  </si>
  <si>
    <t>[名]
1.階梯、石階。通「蹬」。《說文解字．阜部》：「隥，仰也。」清．段玉裁．注：「仰者舉也。登陟之道曰隥。」《新唐書．卷八三．諸帝公主傳．中宗八女傳》：「司農卿趙履溫為繕治，累石肖華山，隥彴橫邪，回淵九折，以石瀵水。」
2.山坡、險坡。《玉篇．阜部》：「隥，險阪也。」《穆天子傳》卷四：「天子南還，升于長松之隥。」</t>
  </si>
  <si>
    <t>磴</t>
  </si>
  <si>
    <t>[名]
石階。宋．蘇軾〈徑山道中次韻答周長官兼贈蘇寺丞〉詩：「南望功臣山，雲外盤飛磴。」清．蔣士銓《冬青樹》第二九齣：「都認做鬼門關程途幽渺，哪知是俺上青雲梯磴逍遙。」</t>
  </si>
  <si>
    <t>瞪</t>
  </si>
  <si>
    <t>[動]
1.惡意的看人。常表示憤恨或不滿。如：「這個路人很不高興的瞪了對方一眼。」
2.睜大眼睛直視。如：「他把眼睛都瞪圓了。」《晉書．卷九四．隱逸列傳．郭文》：「文瞪眸不轉，跨躡華堂如行林野。」
[副]
怒目而視。《舊唐書．卷一九〇．文苑列傳下．杜甫》：「甫性褊躁，無器度，恃恩放恣，常憑醉登武之床，瞪視武曰：『嚴挺之乃有此兒。』」</t>
  </si>
  <si>
    <t>蹬</t>
  </si>
  <si>
    <t>[動]
1.腳底踩在某物，用力往前跳。《西遊記》第七回：「將身一蹤，跳出丹爐，唿喇的一聲，蹬倒八卦爐。」《兒女英雄傳》第三一回：「藍嫂你聽聽，不是貓把瓦蹬下來了哇！」
2.穿。《兒女英雄傳》第三一回：「在帳子裡穿好了衣服，下了床，蹬上鞋子。」</t>
  </si>
  <si>
    <t>[名]
掛在馬鞍兩旁，讓騎馬的人踏腳用的東西。明．張自烈《正字通．金部》：「鐙，今馬鐙，馬鞍兩旁足所踏也。」唐．韓偓〈馬上見〉詩：「和裙穿玉鐙，隔袖把金鞭。」《紅樓夢》第六九回：「老頭子細說原委，賈璉只在鐙中跌足。」</t>
  </si>
  <si>
    <t>(二)ㄉㄥ dēng（02075）</t>
  </si>
  <si>
    <t>氐</t>
  </si>
  <si>
    <t>ㄉㄧ</t>
  </si>
  <si>
    <t>dī</t>
  </si>
  <si>
    <t>[名]
1.中國古代西方少數民族之一。商、周以至魏晉南北朝時分布在今大陸地區陝西、甘肅、四川一帶。東晉時曾建前秦、後涼等國。
2.星座名。二十八星宿之一。東方蒼龍七宿的第三宿，共有四顆星。
[動]
俯、垂下。通「低」。《漢書．卷二四．食貨志下》：「而商賈或墆財役貧，轉轂百數，廢居居邑，封君皆氐首仰給焉。」唐．顏師古．注：「氐首，猶俯首也。」</t>
  </si>
  <si>
    <t>(二)ㄉㄧˇ dǐ（02122）</t>
  </si>
  <si>
    <t>低</t>
  </si>
  <si>
    <t>[形]
1.上下距離小，或離地面近。與「高」相對。如：「低處」、「低空飛過」。《文選．謝朓．敬亭山詩》：「交藤荒且蔓，樛枝聳復低。」宋．文天祥〈正氣歌．序〉：「單扉低小，白間短窄。」
2.低下。指身分、能力、程度等而言。唐．李白〈登黃山凌歊臺送族弟溧陽尉濟充泛舟赴華陰〉詩：「空手無壯士，窮居使人低。」
3.價較便宜的。宋．蘇軾〈和文與可洋川園池三十首．金橙徑〉詩：「金橙縱復里人知，不見鱸魚價自低。」
4.形容興趣不高或情緒不好。如：「只要下雨天，我出門的興致就低了。」、「自從落榜後，他的情緒一直很低。」
5.形容聲音很小。如：「你說話的聲音太低了，別人可能聽不清楚。」
[動]
1.俯、向下彎。如：「低身」、「低頭不語」。
2.放低、垂落。《文選．謝惠連．雪賦》：「願低帷以昵帎，念解珮而褫紳。」唐．李端〈代棄婦答賈客〉詩：「鳴環動珮恩無盡，掩袖低巾淚不流。」
[副]
1.低矮的。如：「夜幕低垂」、「黃昏時，太陽低懸在海平面上。」
2.輕聲的。宋．姜夔〈過垂虹〉詩：「自作新詞韻最嬌，小紅低唱我吹簫。」</t>
  </si>
  <si>
    <t>羝</t>
  </si>
  <si>
    <t>[名]
公羊。《漢書．卷五四．蘇武傳》：「乃徙武北海上無人處，使牧羝，羝乳乃得歸。」唐．顏師古．注：「羝，牡羊也。」《文選．郭璞．遊仙詩七首之一》：「進則保龍見，退為觸藩羝。」</t>
  </si>
  <si>
    <t>袛</t>
  </si>
  <si>
    <t>[名]
袛裯：貼身的內衣。《說文解字．衣部》：「袛，袛裯，短衣也。」《後漢書．卷三一．羊續傳》：「其資藏唯有布衾、敝袛裯，鹽、麥數斛而已。」</t>
  </si>
  <si>
    <t>堤</t>
  </si>
  <si>
    <t>(一)ㄊㄧˊ tí（02626）</t>
  </si>
  <si>
    <t>提</t>
  </si>
  <si>
    <t>[動]_x000D_
1.投擲。《戰國策．燕策三》：「（荊軻）乃引其匕首提秦王。不中，中柱。」《史記．卷八六．刺客列傳．荊軻》：「是時侍醫夏無且以其所奉藥囊提荊軻也。」_x000D_
2.參見「提防」、「提溜」等條。</t>
  </si>
  <si>
    <t>(一)ㄊㄧˊ tí（02627）(三)ㄕˊ shí（08722）</t>
  </si>
  <si>
    <t>鍉</t>
  </si>
  <si>
    <t>[名]
1.歃血器。《廣韻．平聲．齊韻》：「鍉，歃血器。」《後漢書．卷二三．隗囂傳》：「祝畢，有司穿次于庭，牽馬操刀，奉盤錯鍉，遂割牲而盟。」
2.中醫九針之一。參見「鍉針」條。</t>
  </si>
  <si>
    <t>(二)ㄉㄧˊ dí（02120）(三)ㄔˊ chí（08190）</t>
  </si>
  <si>
    <t>鞮</t>
  </si>
  <si>
    <t>[名]
1.古代用皮革製成的鞋子。即靴。《廣韻．上聲．齊韻》：「鞮，革履。」漢．桓寬《鹽鐵論．散不足》：「古者庶人賤騎繩控，革鞮皮廌而已。」唐．韓翃〈送巴州楊使君〉詩：「前驅錦帶魚皮鞮，側佩金璋虎頭綬。」
2.中國古代西北一帶外族的稱呼。唐．釋慧琳《一切經音義．卷八五．辯正論音》：「鞮，比狄、西戎號也。」
3.職官名。參見「鞮鞻」條。
4.姓。如春秋時晉國有邑名銅鞮，後人以地名為姓。</t>
  </si>
  <si>
    <t>菂</t>
  </si>
  <si>
    <t>[名]
蓮花的果實，即蓮子。《文選．王延壽．魯靈光殿賦》：「綠房紫菂，窋吒垂珠。」</t>
  </si>
  <si>
    <t>滴</t>
  </si>
  <si>
    <t>[名]
1.點狀的液體。如：「水滴」、「雨滴」、「汗滴」。
2.量詞。計算液體下滴數量的單位。如：「幾滴雨」、「兩滴眼淚」、「數滴汗水」。
[動]
液體呈點狀往下掉。如：「汗水直往下滴。」、「滴上眼藥水。」南唐．李煜〈憶江南．多少淚〉詞：「心事莫將和淚滴，鳳笙休向月明吹。」宋．陸游〈江上對酒作〉詩：「把酒不能飲，苦淚滴酒觴。」</t>
  </si>
  <si>
    <t>鏑</t>
  </si>
  <si>
    <t>[名]
（dysprosium，Dy）化學元素。原子序66。稀土金屬元素之一。有銀色光澤，不具腐蝕性，可溶於稀酸之中。與水和鹵素反應緩慢，故在潮溼空氣中不起反應。產量甚微，係以鈣還原氟化鏑而得。</t>
  </si>
  <si>
    <t>(一)ㄉㄧˊ dí（02115）</t>
  </si>
  <si>
    <t>磾</t>
  </si>
  <si>
    <t>[名]
1.黑石。可用來染繒，產於琅琊山。《集韻．平聲．齊韻》：「磾，黑石，可染繒。出琅琊。」
2.人名用字。如漢代有金日磾。</t>
  </si>
  <si>
    <t>狄</t>
  </si>
  <si>
    <t>ㄉㄧˊ</t>
  </si>
  <si>
    <t>dí</t>
  </si>
  <si>
    <t>[名]
1.中國古代北方的民族。因主要居住在北方，故通稱為「北狄」。秦、漢以後成為中原對北方各族的泛稱。《書經．仲虺之誥》：「東征，西夷怨；南征，北狄怨。」《禮記．王制》：「北方曰狄，衣羽毛，穴居，有不粒食者矣。」
2.姓。如唐代有狄仁傑。</t>
  </si>
  <si>
    <t>荻</t>
  </si>
  <si>
    <t>[名]
1.植物名。禾本科芒屬，多年生草本。地下莖蔓延，地上莖細而直立，高六十至一百六十公分，葉互生，線形，長二十至五十公分，葉緣粗糙。圓錐花序頂生，小穗被毛，無芒，紫色。生長於水邊或原野，與蘆同類。莖可織席，亦可作造紙原料。
2.姓。如漢代有荻赦之。</t>
  </si>
  <si>
    <t>[副]
確、真、實在。如：「的確」。宋．賀鑄〈點絳脣．一幅霜綃〉詞：「掩妝無語，的是銷凝處。」元．白樸《牆頭馬上》第二折：「又不比秦樓夜讌金釵客，這的擔著利害。」
[形]
確實的、可靠的。如：「的保」、「的款」。</t>
  </si>
  <si>
    <t>(一)ㄉㄧˋ dì（02140）(三)˙ㄉㄜ de（01921）</t>
  </si>
  <si>
    <t>靮</t>
  </si>
  <si>
    <t>[名]
控馬的韁繩。《禮記．少儀》：「牛則執紖，馬則執靮。」漢．鄭玄．注：「紖、靮皆所以繫制之者。」</t>
  </si>
  <si>
    <t>苖</t>
  </si>
  <si>
    <t>[名]
植物名。蓼科羊蹄屬，「羊蹄」之古稱。參見「羊蹄」條。</t>
  </si>
  <si>
    <t>迪</t>
  </si>
  <si>
    <t>[動]
1.開導、引導。《書經．太甲上》：「旁求俊彥，啟迪後人。」唐．孔穎達．正義：「乃旁求俊彥之人置之於位，令人開導後人。」
2.進用、任用。《詩經．大雅．桑柔》：「維此良人，弗求弗迪，維彼忍心，是顧是復。」漢．鄭玄．箋：「國有善人，王不求索，不進用之。」
3.實踐、實行。漢．揚雄《法言．先知》：「為國不迪其法而望其效，譬諸算乎！」晉．李軌．注：「迪，蹈。夫算者，不運籌策不能定其數；治國者，不蹈法度不能致其治。」
4.遵從、依循。《漢書．卷一〇〇．敘傳下》：「漢迪於秦，有革有因。」
[助]
發語詞，無義。有調節音節的作用。《書經．君奭》：「迪惟前人光，施于我沖子。」</t>
  </si>
  <si>
    <t>笛</t>
  </si>
  <si>
    <t>[名]
1.樂器名，吹管樂器。古代屬八音的竹類樂器，多為橫吹。亦名為「篴」。今在考古中所發現用動物的獸骨，所製成的吹管樂器，直吹，也被稱為骨笛。現有木、竹、金屬、塑膠等不同材質。
2.噴氣發聲的發音器，其響聲尖銳。如：「警笛」、「汽笛」。</t>
  </si>
  <si>
    <t>滌</t>
  </si>
  <si>
    <t>[動]
1.洗濯。如：「洗滌」。《漢書．卷五七．司馬相如傳上》：「相如身自著犢鼻褌，與庸保雜作，滌器於市中。」
2.清掃。《詩經．豳風．七月》：「九月肅霜，十月滌場，朋酒斯饗，曰殺羔羊。」
3.去除。如：「從今以後，我要滌除惡習，奮發向上。」《文選．張衡．東京賦》：「進明德而崇業，滌饕餮之貪欲。」</t>
  </si>
  <si>
    <t>嘀</t>
  </si>
  <si>
    <t>參見「嘀咕」、「嘀嘀咕咕」等條。</t>
  </si>
  <si>
    <t>嫡</t>
  </si>
  <si>
    <t>[名]
1.正妻。《幼學瓊林．卷二．夫婦類》：「正妻謂之嫡。」也稱為「嫡室」。
2.嫡子。指正妻所生之子。《左傳．文公十七年》：「歸生佐寡君之嫡夷，以請陳侯于楚而朝諸君。」
[形]
1.正宗的、不是旁支的。如：「嫡妻」、「嫡嗣」、「嫡系」、「嫡長子」、「嫡脈相傳」。
2.家族中血統最近的。如：「嫡親」、「嫡堂兄弟」。</t>
  </si>
  <si>
    <t>適</t>
  </si>
  <si>
    <t>[名]_x000D_
1.正妻所生的兒子。同「嫡」。《左傳．文公十八年》：「殺適立庶，市人皆哭，魯人謂之哀姜。」《公羊傳．隱公元年》：「立適以長，不以賢。」漢．何休．解詁：「適謂適夫人之子。」_x000D_
2.敵人。通「敵」。《墨子．旗幟》：「諸守牲格者，三出卻適，守以令召賜食前，予大旗。」《史記．卷八二．田單列傳》：「夫始如處女，適人開戶；後如脫兔，適不及距。」_x000D_
[動]_x000D_
專主、作主。《詩經．衛風．伯兮》：「首如飛蓬，豈無膏沐，誰適為容。」漢．毛亨．傳：「適，主也。」</t>
  </si>
  <si>
    <t>(一)ㄕˋ shì（08774）</t>
  </si>
  <si>
    <t>敵</t>
  </si>
  <si>
    <t>[名]
仇人。如：「大敵當前」、「分清敵我」、「敵眾我寡」、「敵暗我明」。
[動]
抵擋、抵抗。如：「寡不敵眾」。漢．曹操〈讓縣自明本志令〉：「孤自度勢，實不敵之。」
[形]
1.敵對的、因利害衝突而不相容的。如：「敵軍」、「敵方」、「敵意」。
2.相等的、相當的。如：「勢均力敵」。唐．元稹〈代曲江老人百韻〉：「李杜詩篇敵，蘇張筆力勻。」</t>
  </si>
  <si>
    <t>樀</t>
  </si>
  <si>
    <t>參見「樀樀」條。</t>
  </si>
  <si>
    <t>甋</t>
  </si>
  <si>
    <t>[名]
瓴甋：磚。清．王念孫《廣雅疏證．卷七上．釋宮》：「瓴甋，磚也。」宋．晁補之〈坐進庵賦〉：「上蒙稿秸，下履瓴甋。」</t>
  </si>
  <si>
    <t>蹢</t>
  </si>
  <si>
    <t>[名]
獸蹄。《詩經．小雅．漸漸之石》：「有豕白蹢，烝涉波矣。」</t>
  </si>
  <si>
    <t>(一)ㄓˊ zhí（07515）</t>
  </si>
  <si>
    <t>[名]
1.箭頭。《續資治通鑑．卷一七．宋紀十七．太宗淳化四年》：「銷銅鐘為箭鏑，伐木為竿。」
2.箭。《文選．丘遲．與陳伯之書》：「如何一旦為奔亡之虜，聞鳴鏑而股戰，對穹廬以屈膝，又何劣邪！」明．李玉《占花魁》第二三齣：「歎當初早不用鴻門計，把孤身冒鏑當鋒，時不利。」</t>
  </si>
  <si>
    <t>(二)ㄉㄧ dī（02098）</t>
  </si>
  <si>
    <t>翟</t>
  </si>
  <si>
    <t>[名]_x000D_
1.長尾的山雉。唐．王勃〈乾元殿頌〉：「境懷春翟，野散秋螟。」_x000D_
2.古代樂舞所用的雉羽。《詩經．邶風．簡兮》：「左手執籥，右手秉翟。」漢．張衡〈東京賦〉：「冠華秉翟，列舞八佾。」_x000D_
3.中國古代北方的民族。同「狄」。《禮記．檀弓下》：「晉獻公之喪，秦穆公使人弔公子重耳。」漢．鄭玄．注：「獻公殺其世子申生，重耳避難出奔，是時在翟，就弔之。」_x000D_
4.人名用字。如戰國時墨子名翟。</t>
  </si>
  <si>
    <t>(一)ㄓㄞˊ zhái（07694）</t>
  </si>
  <si>
    <t>藋</t>
  </si>
  <si>
    <t>參見「藋粱」條。</t>
  </si>
  <si>
    <t>(一)ㄉㄧㄠˋ diào（02212）</t>
  </si>
  <si>
    <t>糴</t>
  </si>
  <si>
    <t>[動]
買入穀物。與「糶」相對。元．陳泰〈集民謠〉二首之一：「縣官催租吏胥急，糴粟輸官莫論直。」
[名]
姓。如春秋時晉國有糴筏。</t>
  </si>
  <si>
    <t>鸐</t>
  </si>
  <si>
    <t>[名]
長尾山雉。《爾雅．釋鳥》：「翟鳥山雉。」晉．郭璞．注：「尾長者。」</t>
  </si>
  <si>
    <t>[名]
箭鏃、箭頭。同「鏑」。《漢書．卷三一．項籍傳》：「墮名城，殺豪俊，收天下之兵聚之咸陽，銷鋒鍉鑄以為金人十二，以弱天下之民。」</t>
  </si>
  <si>
    <t>(一)ㄉㄧ dī（02094）(三)ㄔˊ chí（08190）</t>
  </si>
  <si>
    <t>覿</t>
  </si>
  <si>
    <t>[動]
1.以禮相見。《春秋．莊公二十四年》：「八月丁丑，夫人姜氏入。戊寅，大夫宗婦覿，同幣。」《論語．鄉黨》：「私覿，愉愉如也。」
2.見。《易經．困卦．初六》：「入于幽谷，三歲不覿。」南朝梁．劉勰《文心雕龍．誄碑》：「論其人也，曖乎若可覿；道其哀也，悽焉如可傷：此其旨也。」
3.拜訪、探視。唐．王維〈藍田山石門精舍〉詩：「笑謝桃源人，花紅復來覿。」</t>
  </si>
  <si>
    <t>ㄉㄧˇ</t>
  </si>
  <si>
    <t>dǐ</t>
  </si>
  <si>
    <t>[名]
根本、基礎。同「柢」。《詩經．小雅．節南山》：「尹氏大師，維周之氐。」漢．毛亨．傳：「氐，本也。」
[副]
總括之詞。同「抵」。漢．司馬遷〈報任少卿書〉：「詩三百篇，大氐賢聖發憤之所為作也。」</t>
  </si>
  <si>
    <t>(一)ㄉㄧ dī（02088）</t>
  </si>
  <si>
    <t>[名]
1.器物或物體的最下部分。如：「鞋底」、「碗底」、「海底」、「井底」。
2.根源、底細。如：「謎底」、「揭底」、「摸底兒」、「尋根究底」。
3.末了、盡頭。如：「年底」、「月底」。
4.草稿、原本。如：「草底」、「存底」、「留個底兒」。
5.基本組成部分。如：「班底」、「紅底金字」。
[動]
到達。如：「終底於成」、「無所底極」。
[代]
何？什麼。表疑問。如：「干卿底事？」宋．蘇軾〈謝人見和前篇〉詩二首之二：「得酒強歡愁底事，閉門高臥定誰家？」</t>
  </si>
  <si>
    <t>(二)˙ㄉㄜ de（01920）</t>
  </si>
  <si>
    <t>坻</t>
  </si>
  <si>
    <t>參見「寶坻縣」條。</t>
  </si>
  <si>
    <t>(二)ㄔˊ chí（08181）</t>
  </si>
  <si>
    <t>抵</t>
  </si>
  <si>
    <t>[動]
1.擋、抗拒。如：「抵擋。」《水滸傳》第六三回：「如今宋江領了兵圍城，賊寇浩大，不可抵敵。」
2.排擠。《漢書．卷八七．揚雄傳下》：「（范雎）激卬萬乘之主，界涇陽、抵穰侯而代之，當也。」《後漢書．卷二八上．桓譚馮衍列傳．桓譚》：「性嗜倡樂，簡易不修威儀，而憙非毀俗儒，由是多見排抵。」
3.衝突、觸犯。如：「你的話前後抵觸，矛盾極了！」《漢書．卷四．文帝紀》：「此細民之愚，無知抵死，朕甚不取。」
4.價值相當，可互相頂換。如：「抵債」、「一命抵一命」。唐．杜甫〈春望〉詩：「烽火連三月，家書抵萬金。」
5.互相抵消。如：「收支相抵」。宋．晏殊〈清平樂．春花秋草〉詞：「總把千山眉黛掃，未抵別愁多少。」清．孫奇逢《中州人物考．卷五．方正．常知州維翰》：「然停賦則病國，吾願輸家財抵之。」
6.頂、支撐。如：「手抵著下巴。」「用根棍子把門抵住。」
7.到達。如：「安抵家門」、「行抵某處」。《史記．卷六．秦始皇本紀》：「遂從井陘抵九原。」
8.投擲。漢．張衡〈東京賦〉：「藏金於山，抵璧於谷。」</t>
  </si>
  <si>
    <t>(二)ㄓˇ zhǐ（07536）</t>
  </si>
  <si>
    <t>邸</t>
  </si>
  <si>
    <t>[名]_x000D_
1.古代諸侯入京，朝見天子的住所。《史記．卷七九．范雎蔡澤傳》：「（范雎）敝衣閒步之邸，見須賈。」《漢書．卷四．文帝紀》：「代王謝曰：『至邸而議之。』」唐．顏師古．注：「郡國朝宿之舍，在京師者率名邸。」_x000D_
2.高級官員的住所。如：「府邸」、「官邸」、「私邸」。《漢書．卷六四上．朱買臣傳》：「初，買臣免，待詔，常從會稽守邸者寄居飯食。」_x000D_
3.舊稱諸侯王。《北史．卷四三．列傳．張彝》：「王甚美其才，與河內張衡俱見禮重，晉邸稱為二張焉。」唐．元稹〈授薛昌朝等王傅等制〉：「擇才以佐諸邸，選士以列東朝。」_x000D_
4.旅館。《宋史．卷四三〇．道學傳．黃榦傳》：「時大雪，既至而熹它出，榦因留客邸。」_x000D_
5.屏風。《周禮．天官．掌次》：「王大旅上帝，則張氈案，設皇邸。」唐．賈公彥．疏：「邸謂以版為屏風，又以鳳皇羽飾之，此謂王坐所置也。」_x000D_
6.器物的底部。通「底」。《周禮．春官．典瑞》：「四圭有邸，以祀天、旅上帝。」_x000D_
7.姓。如漢代有邸桂，明代有邸鵬。</t>
  </si>
  <si>
    <t>弤</t>
  </si>
  <si>
    <t>[名]
雕花的弓。《孟子．萬章上》：「干戈，朕；琴，朕；弤，朕。二嫂使治朕棲。」漢．趙岐．注：「弤，彫弓也。天子曰彫弓，堯禪舜天下，故賜之彫弓也。」</t>
  </si>
  <si>
    <t>阺</t>
  </si>
  <si>
    <t>[名]
山坡。《文選．宋玉．高唐賦》：「登巉巖而下望兮，臨大阺之蓄水。」《後漢書．卷一六．寇恂傳》：「及漢軍退，峻亡歸故營，復助囂拒隴阺。」</t>
  </si>
  <si>
    <t>柢</t>
  </si>
  <si>
    <t>[名]
1.樹根。《說文解字．木部》：「柢，木根也。」如：「根深柢固」。《文選．張衡．西京賦》：「久流長則難竭，柢深則難朽。」宋．陸游〈秋夜遣懷〉詩：「心如秋燕不安巢，跡似春萍本無柢。」
2.引申為本源、基礎。《廣韻．上聲．薺韻》：「柢，本也。」。《文選．左思．吳都賦》：「霸王之所根柢，開國之所基趾。」</t>
  </si>
  <si>
    <t>牴</t>
  </si>
  <si>
    <t>[動]_x000D_
1.牛、羊等有角的獸類用角碰撞。《廣韻．上聲．薺韻》：「牴，角觸。」清．高宗〈鬪牛歌題劉松年畫〉：「五溪蠻俗雖有此。」自注引毛奇齡《蠻司合誌》：「兩牛低頭相牴，未分勝負。」_x000D_
2.觸犯、衝突。如：「牴觸」、「牴牾」。《大正藏．史傳部．明．智旭．見聞錄》：「負債人聞其病篤，因念云：『我本無心負彼。因彼態太惡。故謾相牴耳。』」</t>
  </si>
  <si>
    <t>砥</t>
  </si>
  <si>
    <t>[名]
質地細緻、縝密的磨刀石。《書經．禹貢》：「礪砥砮丹。」漢．孔安國．傳：「砥細於礪，皆磨石也。」《淮南子．說山》：「厲利劍者必以柔砥。」
[動]
1.磨。《孫子．九地》「疾戰則存，不疾戰則亡者，為死地」句下宋．何延錫．注：「砥甲礪刃，并氣一力。」《淮南子．脩務》：「弓待檠而後能調，劍待砥而後能利。」
2.修養、磨鍊。《淮南子．道應》：「文王砥德修改，三年而天下二垂歸之。」《史記．卷六一．伯夷傳》：「閭巷之人，欲砥行立名者，非附青雲之士，惡能施于後世哉？」</t>
  </si>
  <si>
    <t>詆</t>
  </si>
  <si>
    <t>[動]
1.譴責、抨擊。宋．蘇軾〈潮州韓文公廟碑〉：「作書詆佛譏君王，要觀南海窺衡湘。」《紅樓夢》第一一五回：「弟聞得世兄也詆盡流俗，性情中另有一番見解。」
2.毀謗、誣蔑。如：「詆毀」。《漢書．卷三六．楚元王劉交傳》：「巧言醜詆，流言飛文，譁於民間。」宋．王安石〈讀墨〉詩：「詠言以自警，吾詩非好詆。」
3.欺騙。《漢書．卷六十五．東方朔傳》：「朔擅詆欺天子從官，當棄市。」</t>
  </si>
  <si>
    <t>觝</t>
  </si>
  <si>
    <t>[動]
觸犯、衝突。同「牴」、「抵」。《淮南子．說山》：「兕牛之動以觝觸，物莫措其所脩，而用其短也。」</t>
  </si>
  <si>
    <t>ㄉㄧˋ</t>
  </si>
  <si>
    <t>dì</t>
  </si>
  <si>
    <t>[名]
1.人類萬物棲息生長的場所。有時直接指地球。如：「大地」、「天地」、「地心」。《易經．繫辭下》：「仰則觀象於天，俯則觀法於地。」
2.陸地。如：「高地」、「窪地」、「山地」、「地下水」。唐．李白〈靜夜思〉詩：「床前明月光，疑是地上霜。」
3.田地、土地。如：「耕地」、「荒地」、「薄地」、「地盡其利」。
4.場所。如：「發祥地」、「目的地」、「根據地」、「所在地」、「置之死地而後生。」
5.區域。如：「本地」、「外地」、「腹地」、「殖民地」、「臺灣各地」。
6.地位、位置。如：「留餘地」、「易地而處」。《晉書．卷八四．王恭傳》：「自負才地高華，恆有宰輔之望。」
7.心意、意志的領域。如：「頗有見地。」《宋史．卷四三八．儒林傳．何基傳》：「榦告以必有真實心地、刻苦工夫而後可，基悚惕受命。」
8.本質、質地、底子。南朝梁．劉勰《文心雕龍．定勢》：「譬五色之錦，各以本采為地矣。」
9.路程。如：「這裡距離省城約有三十里地。」唐．李白〈妾薄命〉詩：「長門一步地，不肯暫迴車。」
[助]
1.用於副詞語尾。如：「忽地」、「驀地」。
2.置於「立」、「坐」、「臥」等動詞之後。相當於「著」。元．王實甫《西廂記．第一本．第一折》：「山門下立地，看有甚麼人來？」</t>
  </si>
  <si>
    <t>(二)˙ㄉㄜ de（01919）</t>
  </si>
  <si>
    <t>弟</t>
  </si>
  <si>
    <t>[名]
1.稱謂：(1)稱同胞男子先生者為「兄」，後生者為「弟」。如：「么弟」、「胞弟」、「令弟」、「舍弟」。《左傳．隱公元年》：「蔓草猶不可除，況君之寵弟乎？」也稱為「弟弟」。(2)稱親戚中同輩而年紀比自己小的男子。如：「堂弟」、「表弟」、「妻弟」、「族弟」。(3)古代亦稱女子後生者為「弟」。即妹。《孟子．萬章上》：「於衛主讎由彌子之妻，與子路之妻兄弟也。」《史記．卷五十六．陳丞相世家》：「樊噲，帝之故人也，功多，且及乃呂后弟呂嬃之夫。」(4)對同輩朋友的自稱。如：「愚弟」、「閣下海量，小弟自嘆弗如！」《紅樓夢》第二回：「雨村忙亦笑問：『老兄何日到此，弟竟不知。』」(5)稱年少於己者的同輩朋友。如：「仁弟」、「賢弟」。
2.次序、等第。《呂氏春秋．貴直論．原亂》：「亂必有弟：大亂五、小亂三。」《漢書．卷八三．朱博傳》：「徙雲陽、平陵縣，以高弟入為長安令。」
3.門徒、學生。如：「弟子」、「徒弟」。唐．賈至〈工部侍郎李公集序〉：「可謂孔門之弟，洙泗遺徒。」</t>
  </si>
  <si>
    <t>(二)ㄊㄧˋ tì（02644）</t>
  </si>
  <si>
    <t>娣</t>
  </si>
  <si>
    <t>[名]
1.古代女子同事一夫，年長者稱年幼者為「娣」。《爾雅．釋親》：「女子同出，謂先生為姒，後生為娣。」晉．郭璞．注：「同出謂俱嫁事一夫。」《詩經．大雅．韓奕》：「諸娣從之，祁祁如雲。」
2.古時泛稱妹妹。《國語．晉語一》：「（驪姬）生奚齊，其娣生卓子。」三國吳．韋昭．注：「女子同生，謂後生為娣。」
3.古時稱丈夫的弟媳為「娣」。《儀禮．喪服》：「《傳》曰：『娣姒婦者，弟長也。』」漢．鄭玄．注：「娣姒婦者，兄弟之妻相名也。長婦謂稚婦為娣婦，娣婦謂長婦為姒婦。」</t>
  </si>
  <si>
    <t>第</t>
  </si>
  <si>
    <t>[名]
1.次序、等級。如：「次第」、「等第」。《後漢書．卷九．孝獻帝紀》：「九月甲午，試儒生四十餘人，上第賜位郎中，次太子舍人，下第者罷之。」
2.用於整數數詞之前。表事物的順序或等級。如：「第一」、「第二」。
3.科第。科舉榜上的次第。如：「登第」、「落第」、「及第」。唐．韓愈〈柳子厚墓誌銘〉：「雖少年已成人，能取進士第，嶄然見頭角。」
4.古時指王公大臣或富貴人家的住宅。如：「府第」、「宅第」、「書香門第」。唐．柳宗元〈梓人傳〉：「裴封叔之第，在光德里。」
[動]
1.評定。《漢書．卷六四下．王襃傳》：「所幸宮館，輒為歌頌，第其高下，以差賜帛。」
2.科舉考試應試及格。唐．岑參〈送胡象落第歸王屋別業〉詩：「看君尚少年，不第莫悽然。」唐．白居易〈與元九書〉：「既第之後，雖專於科試，亦不廢詩。」
[副]
但、儘管。《史記．卷六五．孫子吳起傳》：「君第重射，臣能令君勝。」</t>
  </si>
  <si>
    <t>睇</t>
  </si>
  <si>
    <t>[動]
1.微微斜視。《玉篇．目部》：「睇，傾視。」《楚辭．屈原．九章．懷沙》：「離婁微睇兮，瞽以為無明。」
2.看、注視。晉．陶淵明〈閒情賦〉：「仰睇天路，俯促鳴絃。」清．莊棫〈蝶戀花．城上斜陽依綠樹〉詞：「凝睇窺君君莫誤，幾多心事從君許。」</t>
  </si>
  <si>
    <t>玓</t>
  </si>
  <si>
    <t>參見「玓瓅」條。</t>
  </si>
  <si>
    <t>[名]_x000D_
箭靶的中心。如：「目的」、「標的」。《荀子．勸學》：「是故質的張而弓矢至焉，林木茂而斧斤至焉。」漢．王充《論衡．超奇》：「論之應理，猶矢之中的。」</t>
  </si>
  <si>
    <t>(二)ㄉㄧˊ dí（02102）(三)˙ㄉㄜ de（01921）</t>
  </si>
  <si>
    <t>杕</t>
  </si>
  <si>
    <t>[形]
樹木孤高獨立的樣子。《詩經．唐風．有杕之杜》：「有杕之杜，生于道左。」</t>
  </si>
  <si>
    <t>(二)ㄉㄨㄛˋ duò（02330）</t>
  </si>
  <si>
    <t>釱</t>
  </si>
  <si>
    <t>[名]
1.一種古代的刑具。加之於犯人腳上的鐵鐐，稱為「釱」。《漢書．卷六六．陳萬年傳》：「或私解脫鉗釱，衣服不如法，輒加罪笞。」唐．顏師古．注：「鉗在頸，釱在足，皆以鐵為之。」
2.車轄，車軸端頭的鐵鍵。《漢書．卷八七．揚雄傳上》：「陳眾車於東阬兮，肆玉釱而下馳。」唐．李頎〈鄭櫻桃歌〉：「鳴鼙走馬接飛鳥，銅釱瑟瑟隨去塵。」
3.化學元素。釔的舊譯。
[動]
套上腳鐐。《史記．卷三〇．平準書》：「敢私鑄鐵器煮鹽者，釱左趾，沒入其器物。」司馬貞索隱引張斐〈漢晉律序〉云：「狀如跟衣，著左足下，重六斤，以代臏，至魏武改以代刖也。」</t>
  </si>
  <si>
    <t>帝</t>
  </si>
  <si>
    <t>[名]
1.天子、君主。如：「稱帝」、「先帝」、「三皇五帝」。《戰國策．趙策三》：「秦所以急圍趙者，前與齊湣王爭強為帝。」
2.天神，宇宙的主宰。如：「上帝」、「天帝」、「玉皇大帝」。《左傳．僖公十年》：「夷吾無禮，余得請於帝矣。」
3.泛指其他尊貴的神。《漢書．卷一．高帝紀上》：「吾子，白帝子也，化為蛇，當道，今者赤帝子斬之。」</t>
  </si>
  <si>
    <t>蒂</t>
  </si>
  <si>
    <t>[名]
1.果實與枝莖相連的部分。如：「根深蒂固」、「瓜熟蒂落」。明．楊繼盛〈書付尾箕兩兒〉：「心為一身之主，如樹之根，如果之蒂，最不可先壞了心。」
2.引申為末尾。如：「勿將菸蒂隨地亂扔！」</t>
  </si>
  <si>
    <t>禘</t>
  </si>
  <si>
    <t>[名]
古代重大的祭典之一。《禮記．王制》：「天子諸侯宗廟之祭，春曰礿，夏曰禘，秋曰嘗，冬曰烝。」</t>
  </si>
  <si>
    <t>碲</t>
  </si>
  <si>
    <t>[名]
（tellurium，Te）化學元素。原子序52。類金屬元素之一。不易傳熱但可導電，具金屬性質。溶於濃硫酸、硝酸、氫氧化鉀及氰化鉀等溶液，但不溶於水。為銀白色柱狀的結晶體，質脆，具金屬光澤，或為灰棕色的粉末。以二氧化硫還原其氧化物可得碲。金屬和合金中加少量碲，可改進機械性能及增強硬度。鉛含少量的碲，可製電纜及化工設備的保護層。碲和若干碲化合物則可為半導體材料。</t>
  </si>
  <si>
    <t>締</t>
  </si>
  <si>
    <t>[動]
1.結、結合、訂立。如：「締交」、「締約」、「締結」。
2.建立、建造。如：「締創」、「締造」。《西京雜記》卷六：「（劉）歆欲撰漢書，編錄漢事，未得締構而亡。」
3.約束、制止。如：「取締不法商人。」</t>
  </si>
  <si>
    <t>諦</t>
  </si>
  <si>
    <t>[名]
道理、義理。如：「妙諦」、「真諦」。
[副]
仔細、詳細。如：「諦視」、「凝神諦聽」。《三國志．卷一六．杜畿傳》：「民嘗辭訟，有相告者，畿親見為陳大義，遣令歸諦思之，若意有所不盡，更來詣府。」
[動]
詳審、細察。《關尹子．九藥》：「諦毫末者不見天地之大，審小音者不聞雷霆之聲。」《新唐書．卷一〇六．劉祥道傳》：「日薄事叢，有司不及研諦。」</t>
  </si>
  <si>
    <t>棣</t>
  </si>
  <si>
    <t>[名]
1.植物名。薔薇科李屬，「郁李」、「棠棣」、「常棣」之古稱。參見「郁李」條。《爾雅．釋木》：「常棣，棣。」晉．郭璞．注：「今山中有棣樹，子如櫻桃，可食。」也稱為「常棣」、「唐棣」。
2.年紀比自己小的男子。通「弟」。如「賢弟」也作「賢棣」。
3.姓。如漢代有棣立。</t>
  </si>
  <si>
    <t>(二)ㄊㄧˋ tì（02657）</t>
  </si>
  <si>
    <t>參見「逮逮」條。</t>
  </si>
  <si>
    <t>(一)ㄉㄞˋ dài（01941）(二)ㄉㄞˇ dǎi（01929）</t>
  </si>
  <si>
    <t>蝃</t>
  </si>
  <si>
    <t>參見「蝃蝀」條。</t>
  </si>
  <si>
    <t>遞</t>
  </si>
  <si>
    <t>[動]
傳送。如：「郵遞」、「投遞」、「呈遞」、「遞眼色」。唐．杜甫〈宿青草湖〉詩：「寒冰爭倚薄，雲月遞微明。」
[副]
1.更迭、交替。《呂氏春秋．季春紀．先己》：「當今之世，巧謀並行，詐術遞用。」
2.順著次序。如：「遞增」、「遞降」、「遞減」。</t>
  </si>
  <si>
    <t>遰</t>
  </si>
  <si>
    <t>[動]
去、前往。《說文解字．辵部》：「遰，去也。」《大戴禮記．夏小正》：「九月遰鴻鴈。」漢．戴德．傳：「遰，往也。」清．李調元．注：「遰，去也。北來則曰鄉，南去則曰遰。」
[形]
迢遰：高邈、深遠。北魏．酈道元《水經注．洛水注》：「東北流逕雲中塢，左上迢遰層峻，流煙半垂，纓帶山阜，故埠受其名渠谷。」也作「迢遞」。
[副]
依序、依次。通「遞」。唐．王維〈謝弟縉新授左散騎常侍狀〉：「陛下均平布政，中外遰遷，尚錄前勞，仍收舊齒，使備顧問。」</t>
  </si>
  <si>
    <t>踶</t>
  </si>
  <si>
    <t>[動]
踢、踏。《莊子．馬蹄》：「喜則交頸相靡，怒則分背相踶。」《文選．左思．魏都賦》：「雲雀踶甍而矯首，壯翼摛鏤於青霄。」</t>
  </si>
  <si>
    <t>(二)ㄓˋ zhì（07598）</t>
  </si>
  <si>
    <t>爹</t>
  </si>
  <si>
    <t>ㄉㄧㄝ</t>
  </si>
  <si>
    <t>diē</t>
  </si>
  <si>
    <t>[名]
稱謂：(1)子女對父親的稱呼。《儒林外史》第一六回：「匡超人走到跟前，叫一聲『爹！兒子回來了！』上前磕了頭。」(2)對年長者的尊稱。如：「請問老爹尊姓大名？」(3)祖父的俗稱。如：「阿爹聽到小孫子的哭泣聲，趕忙過去抱起他。」(4)僕人、妻妾對男主人，或平民百姓對官吏的尊稱。元．關漢卿《魯齋郎．楔子》：「比及爹有這個心，小人打聽在肚裡了。」《金瓶梅》第六九回：「話說文嫂兒到家，平安說：『爹在對門房子裡。進去稟報。』西門慶正在書房中，和溫秀坐的，見玳安，隨即出來小客位內坐下。」</t>
  </si>
  <si>
    <t>嗲</t>
  </si>
  <si>
    <t>[形]
形容聲音或姿態嬌媚造作。如：「嗲聲嗲氣」。</t>
  </si>
  <si>
    <t>凸</t>
  </si>
  <si>
    <t xml:space="preserve">凵 </t>
  </si>
  <si>
    <t>ㄉㄧㄝˊ</t>
  </si>
  <si>
    <t>dié</t>
  </si>
  <si>
    <t>(一)ㄊㄨˊ tú（02764）(三)（(一)之又音）ㄊㄨ tū（02759）(四)ㄍㄨˇ gǔ（04164）</t>
  </si>
  <si>
    <t>佚</t>
  </si>
  <si>
    <t>[副]
輪流、更替。如：「佚興」、「佚起」。《穀梁傳．文公十一年》：「弟兄三人，佚宕中國。」晉．范甯．注：「佚，猶更也。」</t>
  </si>
  <si>
    <t>(一)ㄧˋ yì（10609）</t>
  </si>
  <si>
    <t>柣</t>
  </si>
  <si>
    <t>[名]
桔柣：春秋時鄭都的城門名稱。《左傳．莊公二十八年》：「秋，子元以車六百乘伐鄭，入於桔柣之門。」晉．杜預．注：「桔柣，鄭遠郊之門也。」</t>
  </si>
  <si>
    <t>(一)ㄓˊ zhí（07499）</t>
  </si>
  <si>
    <t>昳</t>
  </si>
  <si>
    <t>[動]
太陽過午西斜。《漢書．卷九二．游俠傳．原涉傳》：「諸客奔走市價，至日昳皆會。」
[名]
太陽偏西的時刻。清．徐珂《清稗類鈔．藝術類．傅青主善書畫》：「知其嗜酒，乃與痛飲，自晡至昳，始罷席。」</t>
  </si>
  <si>
    <t>(二)ㄧˋ yì（10611）</t>
  </si>
  <si>
    <t>迭</t>
  </si>
  <si>
    <t>[動]
1.輪流、更替。如：「更迭」。《詩經．邶風．柏風》：「日居月諸，胡迭而微。」
2.止。《水滸傳》第一回：「奔到廊下，只見真人向前，叫苦不迭。」
3.及、達到。宋．吳文英〈瑞鶴仙．淚荷拋碎璧〉詞：「對小山不迭，寸眉愁碧。」《董西廂》卷二：「一個走不迭和尚，被小校活拿。」
[副]
1.交替、輪流。《文選．沈約．宋書謝靈運傳論》：「剛柔迭用，喜慍分情。」
2.屢次、接連。如：「迭遭挫敗」。《文選．司馬相如．上林賦》：「族居遞奏，金鼓迭起。」《文選．干寶．晉紀總論》：「國政迭移於亂人，禁兵外散於四方。」</t>
  </si>
  <si>
    <t>瓞</t>
  </si>
  <si>
    <t>[名]
小瓜。《詩經．大雅．綿》：「綿綿瓜瓞，民之初生，自土沮漆。」宋．辛棄疾〈念奴嬌．看公風骨〉詞：「世上兒曹都蓄縮，凍芋旁堆秋瓞。」</t>
  </si>
  <si>
    <t>跌</t>
  </si>
  <si>
    <t>[動]
1.失足傾倒。如：「跌了一跤」、「天雨路滑，小心跌倒。」
2.落下、降低。如：「股市下跌」、「最近市場上的物價跌了不少。」
3.差失。《荀子．王霸》：「楊朱哭衢涂曰：『此夫過舉，蹞步而覺，跌千里者夫，哀哭之。』」
4.頓足、跺腳。《三國演義》第九回：「（王）允仰面跌足，半晌不語。」《二刻拍案驚奇》卷五：「喜得個神宗跌腳歡忭。」
[形]
形容文字、言語頓挫波折。如：「跌宕」。唐．韓愈〈岳陽樓別竇司直〉詩：「鬼神非人世，節奏頗跌踼。」</t>
  </si>
  <si>
    <t>垤</t>
  </si>
  <si>
    <t>[名]
1.螞蟻穴口的小土堆。《詩經．豳風．東山》：「鸛鳴于垤，婦歎于室。」漢．毛亨．傳：「垤，螘塚也。」《韓非子．姦劫弒臣》：「夫世愚學之人，比有術之士也，猶螘垤之比大陵也，其相去遠矣。」
2.小土堆。《孟子．公孫丑上》：「泰山之於丘垤，河海之於行潦，類也。」《呂氏春秋．似順論．慎小》：「人之情不蹶於山，而蹶於垤。」</t>
  </si>
  <si>
    <t>咥</t>
  </si>
  <si>
    <t>[動]
咬。清．王念孫《廣雅疏證．卷三下．釋詁》：「咥，齧也。」《易經．履卦》：「履虎尾，不咥人，亨。」明．馬中錫〈中山狼傳〉：「是狼為虞人所窘，求救于我，我實生之，今反欲咥我。」</t>
  </si>
  <si>
    <t>(一)ㄒㄧˋ xì（06856）</t>
  </si>
  <si>
    <t>峌</t>
  </si>
  <si>
    <t>[形]
峌嵲：高峻的樣子。《文選．木華．海賦》：「則有崇島巨鼇，峌嵲孤亭。」</t>
  </si>
  <si>
    <t>臷</t>
  </si>
  <si>
    <t xml:space="preserve">至 </t>
  </si>
  <si>
    <t>[名]
1.老年人。同「耋」。《集韻．入聲．屑韻》：「《說文》：『年八十曰耋。』或不省。亦作臷。」
2.赤黑色的馬。《漢書．卷二八．地理志上》：「及車轔、四臷、小戎之篇，皆言車馬田狩之事。」
[形]
老。《漢書．卷八一．孔光傳》：「臣光智謀淺短，犬馬齒臷，誠恐一旦顛仆，無以報稱。」三國魏．吳質〈答魏太子牋〉：「時邁齒臷，猶欲觸匈奮首，展其割裂之用也。」</t>
  </si>
  <si>
    <t>(二)ㄓˋ zhì（07546）</t>
  </si>
  <si>
    <t>耋</t>
  </si>
  <si>
    <t>[名]
1.高齡、高壽。《說文解字．老部》：「耋，年八十曰耋。」
2.泛指老年人。唐．劉禹錫〈唐故尚書主客員外郎盧公集序〉：「三至郎署，坐成遺耋。」</t>
  </si>
  <si>
    <t>絰</t>
  </si>
  <si>
    <t>[名]
古代喪服上用麻葛布做成的帶子。戴在頭上稱為「首絰」，束在腰間稱為「腰絰」。《儀禮．喪服》：「喪服，斬衰裳，苴絰，杖，絞帶。」漢．鄭玄．注：「麻在首、在要皆曰絰。首絰象緇布冠之缺項，要絰象大帶。」
[動]
穿著喪服。《禮記．檀弓上》：「孔子之喪，二三子皆絰而出。」</t>
  </si>
  <si>
    <t>螲</t>
  </si>
  <si>
    <t>參見「螲蟷」條。</t>
  </si>
  <si>
    <t>惵</t>
  </si>
  <si>
    <t>[副]
懼怕、恐懼的樣子。《後漢書．卷一〇．皇后紀上．章德竇皇后紀》：「自是宮房惵息，后愛日隆。」唐．章懷太子．注：「惵，懼也。」《文選．班固．東都賦》：「惵然意下，捧手欲辭。」</t>
  </si>
  <si>
    <t>堞</t>
  </si>
  <si>
    <t>[名]
城牆上的齒狀矮牆。《左傳．襄公六年》：「甲寅，堙之環城，傅於堞。」晉．杜預．注：「堞，女牆也。」南朝宋．鮑照〈蕪城賦〉：「是以板築雉堞之殷，井幹烽櫓之勤，格高五獄，袤廣三墳，崒若斷岸，矗似長雲。」</t>
  </si>
  <si>
    <t>喋</t>
  </si>
  <si>
    <t>1.參見「喋囁」、「喋喋不休」等條。
2.踐踏。通「蹀」。《漢書．卷四．文帝紀》：「新喋血京師。」唐．顏師古．注：「喋，本字當作蹀。蹀，謂履涉之耳。」</t>
  </si>
  <si>
    <t>(二)ㄓㄚˊ zhá（07620）</t>
  </si>
  <si>
    <t>楪</t>
  </si>
  <si>
    <t>[名]
1.底部平而淺，用來盛食物等的小盤子。《太平廣記．卷二二〇．劉錄事》：「乃寘（珠）於茶甌中，以楪覆之。食未半，怪覆甌楪傾側。」清．紀昀《閱微草堂筆記．卷四．灤陽消夏錄四》：「則几設色小楪，縱橫狼藉，畫筆亦濡染幾遍，圖已成矣。」也作「碟」。
2.量詞。計算碟裝物的單位。唐．白居易〈七年元日對酒〉詩五首之三：「三杯藍尾酒，一楪膠牙餳。」《太平廣記．卷二二〇．劉錄事》：「劉初食鱠數楪，忽似小哽，因咯，出一骨珠子大如豆。」</t>
  </si>
  <si>
    <t>牒</t>
  </si>
  <si>
    <t>[名]_x000D_
1.古代用來書寫的小而薄的竹簡或木片。《墨子．公輸》：「於是見公輸盤，子墨子解帶為城，以牒為械。」《漢書．卷五一．路溫舒傳》：「溫舒取澤中蒲，截以為牒，編用寫書。」_x000D_
2.官方文書或證件。如：「最後通牒」。《左傳．昭公二十五年》：「右師不敢對，受牒而退。」金．麻九疇〈許方村即事〉詩：「撲慘官始威，牒煩民更玩。」_x000D_
3.各種紀錄文件。《史記．卷一三〇．太史公自序》：「維三代尚矣，年紀不可考，蓋取之譜牒舊聞。」_x000D_
4.訟狀。《魏書．卷四一．源子恭傳》：「比加採訪，略無證明，尋其表狀，又復莫落，案牒推理，實有所疑。」清．紀昀《閱微草堂筆記．卷四．灤陽消夏錄四》：「今乃知曾投此牒，豈得罪鬼神，使我受笞耶？」_x000D_
5.綿織品。《後漢書．卷四九．王符傳》：「且其徒御僕妾，皆服文組綵牒，錦繡綺紈。」</t>
  </si>
  <si>
    <t>碟</t>
  </si>
  <si>
    <t>[名]
1.底部平而淺，用以盛裝食物的小盤。如：「瓷碟」。《水滸傳》第三七回：「取三分飯食羹湯菜蔬，教他三個喫了，莊客收了碗碟，自入裡面去。」也稱為「碟子」。
2.像碟狀的物體。如：「飛碟」、「光碟」。
3.量詞。計算碟裝物的單位。如：「兩碟瓜子」、「三碟糖果」。</t>
  </si>
  <si>
    <t>褋</t>
  </si>
  <si>
    <t>[名]
單衣。《楚辭．屈原．九歌．湘夫人》：「捐余袂兮江中，遺余褋兮澧浦。」唐．皮日休〈九諷系述．捨慕〉：「以兗衣為褋兮，以黎邱為墟。」</t>
  </si>
  <si>
    <t>蝶</t>
  </si>
  <si>
    <t>[名]
動物名。昆蟲綱鱗翅目。體形小，四翅大，多彩色。頭上有對複眼，兩個單眼，複眼間的觸角專司感覺。頭下的口器，可吸食花蜜。胸前長三對步行腳。喜在花間飛舞，傳播花粉。種類很多，有粉蝶、黃蝶、鳳蝶等。</t>
  </si>
  <si>
    <t>艓</t>
  </si>
  <si>
    <t>[名]
小船。《宋書．卷七四．沈攸之傳》：「輕艓一萬，截其津要。」唐．杜甫〈最能行〉：「富豪有錢駕大舸，貧窮取給行艓子。」</t>
  </si>
  <si>
    <t>諜</t>
  </si>
  <si>
    <t>[名]
1.刺探敵人消息與內情的人。如：「間諜」。《左傳．宣公八年》：「晉人獲秦諜，殺諸絳市，六日而蘇。」《資治通鑑．卷二六三．唐紀七十九．昭宗天復二年》：「募有能入城為諜者，騎士馬景請行。」
2.官府的記錄文件。即譜諜。通「牒」。《漢書．卷二二．禮樂志》：「齊房產草，九莖連葉，宮童效異，披圖案諜。」
[動]
祕密打探軍政等情報。《左傳．桓公十二年》：「羅人欲伐之，使伯嘉諜之，三巡數之。」《新唐書．卷一三三．王忠嗣傳》：「乃營木剌、蘭山，諜虛實。」
[形]
多言。通「喋」。參見「諜諜」條。</t>
  </si>
  <si>
    <t>蹀</t>
  </si>
  <si>
    <t>[動]
蹈、踏。如：「蹀血」。《淮南子．俶真》：「足蹀陽阿之舞，而手會綠水之趨。」</t>
  </si>
  <si>
    <t>鰈</t>
  </si>
  <si>
    <t>[名]
動物名。脊椎動物亞門硬骨魚綱鰈形目。體側扁，長橢圓形，有細鱗。兩眼位於體右側，常以左側橫臥海底，為底棲性魚類。主產於溫帶及寒帶，以北方較多。也稱為「比目魚」。</t>
  </si>
  <si>
    <t>跕</t>
  </si>
  <si>
    <t>參見「跕跕」條。</t>
  </si>
  <si>
    <t>(一)ㄊㄧㄝ tiē（02668）</t>
  </si>
  <si>
    <t>墆</t>
  </si>
  <si>
    <t>[動]
停滯、積聚。《漢書．卷二四．食貨志下》：「而富商賈或墆財役貧，轉轂百數，廢居居邑，封君皆氐首仰給焉。」宋．羅泌《路史．卷一．中三皇紀．地皇氏》：「是故能天運地墆，而輪轉無廢。」</t>
  </si>
  <si>
    <t>嵽</t>
  </si>
  <si>
    <t>參見「嵽嵲」條。</t>
  </si>
  <si>
    <t>褶</t>
  </si>
  <si>
    <t>[名]_x000D_
即夾衣。中間無綿絮的雙層衣服。《儀禮．士喪禮》：「襚者以褶，則必有裳。」《禮記．玉藻》：「襌為絅，帛為褶。」漢．鄭玄．注：「褶，有表裡而無著。」</t>
  </si>
  <si>
    <t>(二)ㄒㄩㄝˊ xué（07339A）(三)ㄓㄜˊ zhé（07663）(四)（(二)之又音）ㄒㄧˊ xí（06815）</t>
  </si>
  <si>
    <t>疊</t>
  </si>
  <si>
    <t>[動]
1.堆聚、累積。如：「堆疊」、「疊羅漢」、「疊石為山」。宋．文天祥〈正氣歌．序〉：「惡氣雜出，時則為穢氣，疊是數氣，當之者鮮不為厲。」
2.用手折疊。如：「疊被」。《紅樓夢》第七一回：「鳳姐在樓上看著人收送來的新圍屏，只有平兒在房裡與鳳姐疊衣服。」
3.振、振動。《文選．左思．吳都賦》：「鉦鼓疊山，火烈熛林。」《鏡花緣》第一九回：「只好疊著精神，穩著步兒，探著腰兒，挺著胸兒，直著頸兒，一步一趨，望前而行。」
4.擊、輕敲。《文選．謝朓．鼓吹曲》：「凝笳翼高蓋，疊鼓送華輈。」唐．李善．注：「小擊鼓謂之疊。」
[名]
1.量詞：(1)計算重疊堆積物的單位。如：「一疊紙」、「兩疊文件」。(2)計算層層山巒的單位。唐．許渾〈歲暮自廣江至新興往復中題峽山寺〉詩四首之二：「水曲巖千疊，雲重樹百層。」(3)計算歷史劃分時期的單位。《文選．左思．吳都賦》：「雖累葉百疊，而富彊相繼。」(4)計算樂曲章節的重複吟唱或演奏的單位。如：「陽關三疊」。唐．白居易〈聽歌．何滿子〉：「一曲四調歌八疊，從頭便是斷腸聲。」清．洪昇《長生殿》第一六齣：「霓裳散序昨已奏過，羽衣第二疊，可曾演熟？」
2.日本人稱室內鋪地的蓆子為「疊」，並以二疊合為一坪，用來計算室內的大小。
[形]
一層一層的。如：「疊峰」、「疊浪」、「重巖疊嶂」。
[副]
重複。宋．岳飛〈奉詔移偽齊檄〉：「驛騎交馳，羽檄疊至。」《清史稿．卷二二．穆宗本紀二》：「丙辰，以水旱疊見，詔修省。」</t>
  </si>
  <si>
    <t>㲲</t>
  </si>
  <si>
    <t>[名]
精細毛織布。《廣韻．入聲．怗韻》：「㲲，細毛布。」唐．王維〈與蘇盧二員外期遊方丈寺而蘇不至因有是作〉詩：「手巾花㲲淨，香帔稻畦成。」</t>
  </si>
  <si>
    <t>刁</t>
  </si>
  <si>
    <t>ㄉㄧㄠ</t>
  </si>
  <si>
    <t>diāo</t>
  </si>
  <si>
    <t>[形]
狡猾、狡詐。如：「刁蠻」、「大膽刁民」。《文明小史》第三九回：「諸城的百姓也實在刁的很。」
[動]
1.嘴裡銜著。同「叼」。《兒女英雄傳》第四回：「可巧見他刁著一根小煙袋兒，交叉著手，靠著窗臺兒，在那裡歇腿兒呢！」
2.拐去、搶走。如：「刁風拐月」。
[名]
姓。如東晉有刁協，五代有刁光胤。</t>
  </si>
  <si>
    <t>叼</t>
  </si>
  <si>
    <t>[動]
用嘴銜物。如：「那人叼著香菸，一付吊兒郎當的模樣。」</t>
  </si>
  <si>
    <t>凋</t>
  </si>
  <si>
    <t>[動]
1.枯萎。《文選．左思．蜀都賦》：「迎隆冬而不凋，常曄曄以猗猗。」唐．杜牧〈寄揚州韓綽判官〉詩：「青山隱隱水迢迢，秋盡江南草木凋。」
2.衰落、衰頹。《文選．潘岳．懷舊賦》：「不幸短命，父子凋殞。」宋．陸游〈樓上醉書〉詩：「八年梁益凋朱顏，三更撫枕忽大叫。」</t>
  </si>
  <si>
    <t>彫</t>
  </si>
  <si>
    <t>[動]
1.刻鏤。《莊子．天道》：「覆載天地刻彫眾形而不為巧，此之謂天樂。」
2.枯萎、零落。通「凋」。《論語．子罕》：「子曰：『歲寒然後知松柏之後彫也。』」
3.疲勞、傷殘。《三國志．卷三．魏書．明帝紀》：「于時百姓彫弊，四海分崩。」
[形]
經雕飾的。如：「彫牆」、「彫弓」。</t>
  </si>
  <si>
    <t>琱</t>
  </si>
  <si>
    <t>[動]
1.磨製玉器。《集韻．平聲．蕭韻》：「琱，說文：『治玉也。』」
2.刻鏤。通「雕」、「彫」。《漢書．卷九〇．酷吏傳．序》：「漢興，破觚而為圜，斲琱而為樸，號為罔漏吞舟之魚。」
3.雕畫彩飾。《漢書．卷七二．貢禹傳》：「牆塗而不琱，木摩而不刻。」
[形]
經雕飾的。《鏡花緣》第一〇回：「身穿白布箭衣，頭上束著白布漁婆巾，臂上跨著一張琱弓。」</t>
  </si>
  <si>
    <t>碉</t>
  </si>
  <si>
    <t>[名]
用石料築成的建築物。《玉篇．石部》：「碉，石室。」如：「明碉暗堡」。宋．李新〈答李丞用其韻〉：「頑雲垂翼山碉暗，喬麥饒花雪嶺開。」《清史稿．卷三一八．阿桂傳》：「（阿桂）進逼僧格宗，突入毀其碉。」</t>
  </si>
  <si>
    <t>雕</t>
  </si>
  <si>
    <t xml:space="preserve">隹 </t>
  </si>
  <si>
    <t>[名]
1.鷲的別名。同「鵰」。唐．王維〈觀獵〉詩：「迴看射雕處，千里暮雲平。」
2.指雕刻的技術或成品。如：「竹雕」、「木雕」、「玉雕」、「浮雕」。
3.姓。如漢代有雕延年。
[動]
刻鏤。如：「雕塑」、「雕刻」。《論語．公冶長》：「朽木不可雕也，糞土之牆不可杇也。」
[形]
1.經彩畫裝飾的。如：「雕欄玉砌」、「雕梁畫棟」。宋．蘇軾〈超然臺記〉：「去雕牆之美，而庇采椽之居。」
2.狡詐的。通「刁」。《管子．七法》：「一體之治者，去奇說，禁雕俗也。」</t>
  </si>
  <si>
    <t>鵰</t>
  </si>
  <si>
    <t>[名]
動物名。鳥綱鷹科鷹形目猛禽類。嘴呈鉤狀，羽毛褐色，腳被羽毛直達趾間。視力極強，以捕食小動物為生。也稱為「鷲」、「老鵰」。</t>
  </si>
  <si>
    <t>鯛</t>
  </si>
  <si>
    <t>[名]
動物名。脊椎動物亞門硬骨魚綱鱸目。體側扁，呈紅色或淡紅色，背部微凸，頭大口小，生活在熱帶至溫帶沿海。俗稱為「銅盆魚」、「嘉鱲魚」。</t>
  </si>
  <si>
    <t>蛁</t>
  </si>
  <si>
    <t>[名]
蟬。漢．揚雄《太玄經．卷五．飾卦》：「次八，蛁鳴喁喁，血出其口。」</t>
  </si>
  <si>
    <t>貂</t>
  </si>
  <si>
    <t>[名]_x000D_
1.動物名。嘴尖，體細長，四肢短小。耳朵呈三角形，聽覺敏銳。尾粗，毛長寸許，色黃或紫黑，毛皮輕暖珍貴。_x000D_
2.姓。如漢代有貂蟬。</t>
  </si>
  <si>
    <t>屌</t>
  </si>
  <si>
    <t>ㄉㄧㄠˇ</t>
  </si>
  <si>
    <t>diǎo</t>
  </si>
  <si>
    <t>[名]_x000D_
1.男性外生殖器的俗稱。《字彙．尸部》：「屌，男子陰名。」_x000D_
2.粗鄙低俗的話。《董西廂》卷三：「怎背誦華嚴經呵？禿屌！」《歧路燈》第六七回：「這卻可笑了，那棄產收值是我近來的常事，稀鬆平常，關甚麼屌哩！」《大清全傳》第八二回：「聽夥計一說，氣的他沖沖大怒，說：『好一箇屌進的你，喫了飯不給錢，你還這様無禮。』」</t>
  </si>
  <si>
    <t>鳥</t>
  </si>
  <si>
    <t>[名]
1.男性的生殖器。同「屌」。明．馮夢龍《古今譚概．卷一七．容悅部．洗鳥》：「大學士萬安老而陰痿，徽人倪進賢以藥劑湯洗之，得為庶吉士，授御史。時人目為洗鳥御史。」
2.罵人的粗穢語。《水滸傳》第三五回：「不換便罷，沒可得鳥嚇他！」</t>
  </si>
  <si>
    <t>(一)ㄋㄧㄠˇ niǎo（03062）</t>
  </si>
  <si>
    <t>弔</t>
  </si>
  <si>
    <t>ㄉㄧㄠˋ</t>
  </si>
  <si>
    <t>diào</t>
  </si>
  <si>
    <t>[動]
1.祭奠死者。如：「弔唁」、「弔喪」。《莊子．至樂》：「莊子妻死，惠子弔之。」《史記．卷八四．屈原賈生傳》：「及渡湘水，為賦以弔屈原。」
2.慰問遭遇不幸的人或團體。《左傳．莊公十一年》：「秋，宋大水，公使弔焉。」唐．韓愈〈後廿九日復上書〉：「古之士，三月不仕則相弔。」
3.哀傷、憐憫。《詩經．檜風．匪風》：「顧瞻周道，中心弔兮。」漢．毛亨．傳：「弔，傷也。」《左傳．襄公十四年》：「有君不弔，有臣不敏。」晉．杜預．注：「弔，恤也。」
4.求取、提取。同「吊」。漢．王充《論衡．自紀》：「不鬻智以干祿，不辭爵以弔名。」《醒世恆言．卷二九．盧太學詩酒傲王侯》：「監中弔出盧柟主僕，徑去檢驗鈕成尸首。」
[名]
量詞。古代計算錢幣的單位。一千個制錢或值一千個制錢的銅幣數量為一弔；北平人稱一百文為「一弔」。《紅樓夢》第五七回：「前兒我悄悄的把綿衣服叫人當了幾弔錢盤纏。」</t>
  </si>
  <si>
    <t>吊</t>
  </si>
  <si>
    <t>[動]
1.懸掛。如：「懸吊」、「吊頸」、「上吊」。
2.收回、扣留。如：「他因違規駕駛而被吊銷執照。」
3.提取。如：「吊卷」。
4.到喪家慰問祭奠。同「弔」。如：「吊祭」、「哀吊」。
[形]
懸掛的。如：「吊鐘」、「吊燈」、「吊橋」。
[名]
量詞。古代計算錢幣的單位。同「弔」。</t>
  </si>
  <si>
    <t>銱</t>
  </si>
  <si>
    <t>參見「銱子」、「釕銱兒」等條。</t>
  </si>
  <si>
    <t>掉</t>
  </si>
  <si>
    <t>[動]
1.落下。如：「飛機失事，聽說掉在這附近海域。」《紅樓夢》第八二回：「嘆了一回氣，掉了幾點淚。」
2.遺失、遺漏。如：「掉了錢包」、「這裡掉了幾個字，記得補上去。」
3.減退、剝落。如：「掉色」、「掉漆」。
4.擺動、搖動。如：「尾大不掉」。宋．真山民〈春行〉：「東風若欲招人醉，頻掉橋西賣酒旗。」
5.回轉、轉動。如：「將車頭掉過來。」宋．陸游〈送王季嘉赴湖南漕司主管官〉詩：「王子掉頭去，長沙萬里餘。」
6.對換、替換。如：「掉換」、「掉包」。
[助]
置動詞之後，表示動作完成。如：「燒掉」、「丟掉」、「除掉」、「忘掉」。</t>
  </si>
  <si>
    <t>釣</t>
  </si>
  <si>
    <t>[動]
1.用餌引誘魚類或其他水生動物上鉤。如：「釣魚」、「釣蝦」。
2.騙取、誘取。如：「沽名釣譽」。《淮南子．主術》：「虞君好寶，而晉獻以璧馬釣之。」
[名]
1.釣鉤的簡稱。如：「等魚兒上釣。」
2.姓。如宋代有釣宏。</t>
  </si>
  <si>
    <t>誂</t>
  </si>
  <si>
    <t>[副]
突然。《淮南子．兵略》：「況以三軍之眾，赴水火而不還踵乎，雖誂合刃於天下，誰敢在於上者。」</t>
  </si>
  <si>
    <t>(一)ㄊㄧㄠˇ tiǎo（02694）</t>
  </si>
  <si>
    <t>銚</t>
  </si>
  <si>
    <t>[名]
一種小型炊具。有柄及出水口，用來燒開水或熬煮東西。《說文解字．金部》：「銚，溫器也。」清．段玉裁．注：「今煮物瓦器，謂之銚子。」明．張自烈《正字通．金部》：「銚，今釜之小而有柄有流者亦曰銚。」如：「瓦銚」、「茶銚」、「酒銚」、「藥銚」。也稱為「銚子」。</t>
  </si>
  <si>
    <t>(一)ㄧㄠˊ yáo（10812）</t>
  </si>
  <si>
    <t>調</t>
  </si>
  <si>
    <t>[動]
1.職務更動。如：「調職」、「調差」、「轉調」、「外調」。《史記．卷一〇一．袁盎鼂錯傳》：「然袁盎亦以數直諫，不得久居中，調為隴西都尉。」
2.派遣、安排。如：「調度」、「調兵遣將」。《漢書．卷八．宣帝紀》：「秋，大發興調關東輕車銳卒，選郡國吏三百石伉健習騎射者，皆從軍。」
3.互換。如：「對調」、「調換」、「調位置」。
4.提取。如：「借調」、「抽調」、「調卷宗」、「調病歷」。
[名]
1.樂律、韻律。《淮南子．氾論》：「事猶琴瑟，每絃改調。」《新唐書．卷一八三．鄭綮傳》：「綮本善詩，其語多俳諧，故使落調。」
2.調式的類別和主音高度。如：「Ｃ大調」、「Ｄ大調」。
3.語言中字音的高低升降。如：「陽平調」、「去聲調」、「入聲調」。
4.說話、讀書或朗誦的腔調。如：「南腔北調」、「鄉音鄉調」。
5.言詞、意見。如：「論調」、「老調」、「陳腔濫調」。
6.人的風格才情或思想情感。如：「格調」、「情調」。《晉書．卷五一．王接傳》：「王接才調秀出，見賞知音。」唐．元稹〈酬翰林白學士代書一百韻〉：「脫俗殊常調，潛工大有為。」
7.戶稅。《新唐書．卷五一．食貨志一》：「唐之始時，授人以口分、世業田，而取之以租、庸、調之法。……丁隨鄉所出，歲輸絹二匹，綾、絁二丈，布加五之一，綿三兩，麻三斤，非蠶鄉則輸銀十四兩，謂之調。」</t>
  </si>
  <si>
    <t>(一)ㄊㄧㄠˊ tiáo（02689）</t>
  </si>
  <si>
    <t>蓧</t>
  </si>
  <si>
    <t>[名]
古時用來除草的農具。以竹或草本的枝條編成。《論語．微子》：「子路從而後，遇丈人，以杖荷蓧。」</t>
  </si>
  <si>
    <t>窵</t>
  </si>
  <si>
    <t>參見「窵遠」條。</t>
  </si>
  <si>
    <t>參見「蔏藋」條。</t>
  </si>
  <si>
    <t>(二)ㄉㄧˊ dí（02117）</t>
  </si>
  <si>
    <t>乣</t>
  </si>
  <si>
    <t>ㄉㄧㄡ</t>
  </si>
  <si>
    <t>diū</t>
  </si>
  <si>
    <t>參見「乣軍」條。</t>
  </si>
  <si>
    <t>丟</t>
  </si>
  <si>
    <t>[動]
1.遺失、失去。如：「丟臉」、「丟飯碗」、「丟三落四」、「丟了錢包」。
2.扔、拋棄。如：「不要隨地亂丟紙屑、果皮！」元．無名氏《抱妝盒》第三折：「金水橋撲通的丟下個半生半死小孩兒。」《水滸傳》第二九回：「聽得撲同的一聲響，可憐這婦人正被直丟在大酒缸。」
3.遞、投送。如：「丟眼色」、「丟眉弄眼」。
4.擱置。《兒女英雄傳》第一七回：「褚一官便丟下這裡的事，忙著穿衣服、戴帽子。」</t>
  </si>
  <si>
    <t>銩</t>
  </si>
  <si>
    <t>[名]
（thulium，Tm）化學元素。原子序69。稀土金屬元素之一。質軟，銀白色。可溶於酸中，與水作用緩慢。其鹽類呈綠色。主要存於稀土礦石中，一般以離子交換法取得。</t>
  </si>
  <si>
    <t>[動]
1.拋擲。元．高安道〈哨遍．暖日和風套．一煞〉：「凹了也難收救，四邊廂土糝，八下裡磚颩。」
2.斜視。元．高安道〈哨遍．暖日和風套．七煞〉：「喝破子把腔兒莽誕，打訛的將納老胡颩。」
[形]
扭扭捏捏的樣子。元．高安道〈哨遍．暖日和風套．三煞〉：「妝旦不抹颩，蠢身軀似水牛。」元．無名氏〈耍孩兒．昨朝有客套．十二煞〉：「盼得他來到，早涎涎澄澄，抹抹颩颩。」</t>
  </si>
  <si>
    <t>(一)ㄅㄧㄠ biāo（00436）(三)ㄘㄨㄛ cuō（09840）</t>
  </si>
  <si>
    <t>拈</t>
  </si>
  <si>
    <t>ㄉㄧㄢ</t>
  </si>
  <si>
    <t>diān</t>
  </si>
  <si>
    <t>[動]
將物品放置手中，估量輕重。通「掂」。如：「他拈了拈小石塊，隨手打了個水漂兒。」《孤本元明雜劇．大劫牢．第一折》：「也不索晝夜思量心內想，也不索拈斤播兩顯耀我這英雄猛將。」</t>
  </si>
  <si>
    <t>(一)ㄋㄧㄢˊ nián（03083）(二)ㄋㄧㄢˇ niǎn（03088）</t>
  </si>
  <si>
    <t>敁</t>
  </si>
  <si>
    <t>參見「敁敪」條。</t>
  </si>
  <si>
    <t>掂</t>
  </si>
  <si>
    <t>[動]
1.用手估量物體的輕重。元．喬吉〈水仙子．為友人作〉曲：「稅錢比茶船上欠，斤兩去等秤上掂。」《紅樓夢》第五一回：「麝月聽了，便放下戥子，揀了一塊，掂了一掂。」
2.折斷。明．賈仲名《對玉梳．楔子》：「又有這玉梳兒一枚，是妾平日所愛之珍，掂做兩半，君收一半，妾留一半。」</t>
  </si>
  <si>
    <t>傎</t>
  </si>
  <si>
    <t>[動]
顛倒、錯亂。《穀梁傳．僖公二十八年》：「晉文公之行事為已傎矣！」</t>
  </si>
  <si>
    <t>滇</t>
  </si>
  <si>
    <t>[名]
1.大陸地區雲南省的簡稱。秦漢時，雲南省為滇國地，故簡稱為「滇」。
2.湖泊名。參見「滇池」條。
3.國名。戰國時楚威王大將莊蹻所建，故址在今大陸地區雲南省東部滇池附近。
4.姓。如漢代有滇零、滇良。</t>
  </si>
  <si>
    <t>瘨</t>
  </si>
  <si>
    <t>[動]
1.病、使困苦。《詩經．大雅．雲漢》：「胡寧瘨我以旱，憯不知其故。」
2.暈倒。《戰國策．楚策一》：「（申包胥）七日不得告，水漿無入口，瘨而殫悶，旄不知人。」</t>
  </si>
  <si>
    <t>蹎</t>
  </si>
  <si>
    <t>[動]
顛仆、跌倒。通「顛」。《荀子．正論》：「蹎跌碎折，不待頃矣。」《漢書．卷七二．貢禹傳》：「誠恐一旦蹎仆氣竭，不復自還，洿席薦於宮室，骸骨棄捐，孤魂不歸。」</t>
  </si>
  <si>
    <t>顛</t>
  </si>
  <si>
    <t>[名]_x000D_
1.頭頂。《墨子．脩身》：「華髮隳顛，而猶弗舍者，其唯聖人乎！」清．孫詒讓．閒詁：「隳顛，即禿頂。」_x000D_
2.最高的地方、頂端。同「巔」。如：「山顛」、「樹顛」、「塔顛」。_x000D_
3.額頭。《詩經．秦風．車鄰》：「有車鄰鄰，有馬白顛。」_x000D_
4.根本。晉．陸機〈文賦〉：「如失機而後會，恆操末以續顛。」_x000D_
5.姓。如春秋時晉國有顛頡。_x000D_
[動]_x000D_
1.震盪、搖動。如：「這條山路崎嶇不平，車子顛得很厲害。」_x000D_
2.跌落、墜落。《論語．季氏》：「危而不持，顛而不扶，則將焉用彼相矣。」《漢書．卷二七．五行志中之上》：「自上下者為崩，厥應泰山之石顛而下。」_x000D_
3.倒置。《詩經．齊風．東方未明》：「東方未明，顛倒衣裳，顛之倒之，自公召之。」漢．劉向〈九歎．愍命〉：「今反表以為裡兮，顛裳以為衣。」_x000D_
4.發狂。通「癲」。宋．蘇軾〈李公擇求黃鶴樓詩因記舊所聞於馮當世者〉詩：「無功暴得喜欲顛，神人戲汝真可憐。」_x000D_
5.大吵大鬧。《二刻拍案驚奇》卷二〇：「巢氏倚了病勢，要死要活的顛了一場。」</t>
  </si>
  <si>
    <t>攧</t>
  </si>
  <si>
    <t>[動]
1.跌。《五代史平話．梁史．卷上》：「將這孩兒要頓放烏鳶巢內，便是攧下來，他怎生更活！」《喻世明言．卷一五．史弘肇龍虎君臣會》：「正看裡，被康、張二聖用手打推攧將下峭壁巖崖裡去。」
2.頓足、跺腳。《董西廂》卷六：「君瑞攀鞍空自攧，道得個冤家寧耐些。」元．關漢卿〈侍香金童．春閨院宇套．么〉：「鳳幃冷落，鴛衾虛設。玉筍頻搓，繡鞋重攧。」
3.投、擲。《五代史平話．漢史．卷上》：「知遠又將這錢去入頭共賭，不數攧又被那六個秀才贏了。」</t>
  </si>
  <si>
    <t>巔</t>
  </si>
  <si>
    <t>[名]
山頂。《詩經．唐風．采苓》：「采苓采苓，首陽之巔。」
[形]
最高的。如：「巔峰」、「巔頂」。</t>
  </si>
  <si>
    <t>癲</t>
  </si>
  <si>
    <t>[形]_x000D_
形容精神錯亂、言行失常。如：「癲狂」、「瘋癲」。《南史．卷四四．齊武帝諸子列傳．魚復侯子響》：「蠻曰：『殿下癲如雷，敢相隨邪？』」_x000D_
[名]_x000D_
參見「癲癇」條。</t>
  </si>
  <si>
    <t>典</t>
  </si>
  <si>
    <t>ㄉㄧㄢˇ</t>
  </si>
  <si>
    <t>diǎn</t>
  </si>
  <si>
    <t>[名]
1.五帝時的書，指重要的文獻、簡冊。《左傳．昭公十二年》：「是能讀三墳五典，八索九丘。」
2.國家的常法。《周禮．天官．大宰》：「大宰之職，掌建邦之六典，以佐王治邦國。」
3.可作為依據或模範的書。如：「字典」、「引經據典」。
4.可遵守的法度、準則。《文選．劉琨．勸進表》：「中興之兆，圖讖垂典，自京畿隕喪，九服崩離，天下囂然，無所歸懷。」
5.典禮、儀式。如：「慶典」、「大典」、「盛典」。
6.前代的故事、制度、文物。如：「用典」、「數典忘祖」。
7.姓。如三國時魏國有典韋。
[動]
1.掌管、治理。如：「典試」、「典獄」。《三國志．卷六二．吳書．是儀傳》：「到見親任，專典機密。」
2.以物品質押貸款。如：「典當」。唐．杜甫〈曲江〉詩二首之二：「朝回日日典春衣，每日江頭盡醉歸。」
[形]
文雅、雅緻。如：「典雅」。南朝梁．蕭統〈答玄圃園講誦啟令〉：「辭典文豔。」</t>
  </si>
  <si>
    <t>痶</t>
  </si>
  <si>
    <t>參見「痶腳」條。</t>
  </si>
  <si>
    <t>碘</t>
  </si>
  <si>
    <t>[名]
（iodine，I）化學元素。原子序53。為非金屬固體的鹵素，有毒性和腐蝕性，易昇華。不溶於水，但溶於有機溶劑。多存於海水及鹽泉中，為黑色結晶體，可供醫藥、照像、顏料等用。碘也是合成甲狀腺激素的主要成分。可調整細胞的氧化作用，影響人體的基本代謝率。</t>
  </si>
  <si>
    <t>點</t>
  </si>
  <si>
    <t>[名]
1.小的痕跡。如：「斑點」、「汙點」。
2.小水珠、小滴的液體。如：「珠點」、「小雨點」。
3.一種字形筆畫。用筆觸紙即起稱為「點」。如：「三點水」。元．關漢卿《望江亭》第三折：「妾身須識個撇、豎、點、劃。」
4.句讀的標誌。如：「逗點」、「標點」。
5.點心食品的簡稱。如：「西點」、「茶點」、「糕點」、「早點」。
6.計時的單位。一個小時稱為「一點」。如：「中午十二點」。
7.規定的時間。如：「準點」、「誤點」、「鐘點」。
8.一定的地方或標準。如：「終點」、「起點」、「冰點」、「沸點」。
9.事物的某一部分或某一方面。如：「優點」、「缺點」、「重點」、「弱點」。
10.量詞。計算條文項目的單位。如：「這個主題，可分下列三點來說明。」
11.幾何學上稱沒有長、寬、厚、薄，而只有位置的為「點」。
12.小數點。如33.5讀作三十三點五。
[動]
1.引火。如：「點火」、「點燃」、「點燈」。
2.指定。如：「點菜」、「點歌」、「點播節目」。
3.逐個檢覈、查對。如：「點貨」、「點名」、「清點」、「盤點」。
4.觸到物體立即離開。如：「蜻蜓點水」、「以腳點地」。
5.使液體滴下。如：「點眼藥水」。
6.指示、暗示。如：「點化」、「點出主題」、「一點就醒」、「他聽了，知道是在點這件事情。」
7.裝飾襯托。如：「裝點」、「點染」、「點綴」。三國魏．何晏〈景福殿賦〉：「點以銀黃，爍以琅玕。」
[形]
形容少許的。如：「吃點東西吧！」、「一點小事別在意！」</t>
  </si>
  <si>
    <t>佃</t>
  </si>
  <si>
    <t>ㄉㄧㄢˋ</t>
  </si>
  <si>
    <t>diàn</t>
  </si>
  <si>
    <t>[名]
承租他人田地耕種，或為他人傭耕的人。明．張自烈《正字通．人部》：「佃，代耕農也。」《宋史．卷一七三．食貨志》：「稽其畝步，訂其主佃，亦莫如鄉都之便也。」
[動]
承租土地。《晉書．卷二六．食貨志》：「又廣開水田，募貧民佃之。」</t>
  </si>
  <si>
    <t>(二)ㄊㄧㄢˊ tián（02705）</t>
  </si>
  <si>
    <t>甸</t>
  </si>
  <si>
    <t>[名]
1.郊外。《左傳．襄公二十一年》：「將逃罪，罪重於郊甸。」晉．杜預．注：「郭外曰郊，郊外曰甸。」南朝齊．謝朓〈晚登三山還望京邑詩〉：「喧鳥覆春洲，雜英滿芳甸。」
2.田野的產物。《禮記．少儀》：「臣為君喪，納貨貝於君，則曰納甸於有司。」漢．鄭玄．注：「甸，謂田野之物。」
[動]
治理。《書經．多士》：「乃命爾先祖成湯革夏，俊民甸四方。」《詩經．小雅．信南山》：「信彼南山，維禹甸之。」漢．毛亨．傳：「甸，治也。」</t>
  </si>
  <si>
    <t>(二)ㄊㄧㄢˊ tián（02706）</t>
  </si>
  <si>
    <t>鈿</t>
  </si>
  <si>
    <t>[名]
1.用金銀珠寶鑲製成的花形飾物。唐．白居易〈琵琶行〉：「鈿頭雲篦擊節碎，血色羅裙翻酒汙。」唐．韋莊〈清平樂．何處遊女〉詞：「妝成不整金鈿，含羞待月鞦韆。」
2.用貝殼鑲製成的飾物。如：「螺鈿」。
3.吳語。指錢或硬幣。如：「銅鈿」、「車鈿」、「房鈿」、「船鈿」。
[動]
以珠玉貝殼等鑲嵌器物。《魏書．卷一一〇．食貨志》：「詔中尚方作黃金合盤十二具，徑二尺二寸，鏤以白銀，鈿以玫瑰。」《北史．卷九五．赤土傳》：「王榻後作一木龕，以金銀五香木雜鈿之。」
[形]
以金銀珠寶為飾的。如：「鈿箏」、「鈿車」、「鈿盒」。</t>
  </si>
  <si>
    <t>(二)（又音）ㄊㄧㄢˊ tián（02708）</t>
  </si>
  <si>
    <t>店</t>
  </si>
  <si>
    <t>[名]
1.陳列貨物以出售的地方。如：「布店」、「商店」、「書店」、「連鎖店」。
2.旅館。如：「住店」。宋．蘇軾〈岐亭道上見梅花戲贈季常〉詩：「野店初嘗竹葉酒，江雲欲落豆秸灰。」</t>
  </si>
  <si>
    <t>坫</t>
  </si>
  <si>
    <t>[名]
1.古代君主會盟宴饗時，於獻禮完畢，作為放回酒杯用的土臺，高可屏蔽。《論語．八佾》：「邦君樹塞門，管氏亦樹塞門，邦君為兩君之好，有反坫，管氏亦有反坫。」
2.堂角、屋隅。《儀禮．士冠禮》：「執以待于西坫南。」
3.屋內儲藏食物的地方。《禮記．內則》：「天子之閣，左達五，右達五，公侯伯於房中五，大夫於閣三，士於坫一。」</t>
  </si>
  <si>
    <t>阽</t>
  </si>
  <si>
    <t>[動]
臨危、危險。《漢書．卷四．文帝紀》：「草木群生之物皆有自樂，而吾百姓鰥寡孤獨窮困之人或阽於死亡，而莫之省憂。」顏師古注引如淳曰：「阽，近邊欲墮之意。」《後漢書．卷五九．張衡傳》：「阽身以徼幸，固貪夫之所為，未得而豫喪也。」</t>
  </si>
  <si>
    <t>(二)（又音）ㄧㄢˊ yán（10970）</t>
  </si>
  <si>
    <t>玷</t>
  </si>
  <si>
    <t>[名]
1.玉上的瑕疵、斑點。《詩經．大雅．抑》：「白圭之玷，尚可磨也。」
2.缺點、過失。《詩經．大雅．抑》：「斯言之玷，不可為也。」《喻世明言．卷二七．金玉奴棒打薄情郎》：「卻拜個團頭做岳丈，可不是終身之玷！」
[動]
1.汙辱、弄髒。如：「玷汙」、「有玷家聲」。元．鄭光祖《倩女離魂》第二折：「你今私自趕來，有玷風化，是何道理？」清．蔣士銓《冬青樹》第二九齣：「惜朝內無人匡諫，以致成彼高名，玷俺君德。」
2.謙詞。自謙讓職務蒙受汙辱之意。如：「久玷官職，又乏政績，實在汗顏！」唐．杜甫〈春日江村〉詩五首之三：「豈知牙齒落，名玷薦賢中。」</t>
  </si>
  <si>
    <t>扂</t>
  </si>
  <si>
    <t>[名]
門閂。《集韻．上聲．忝韻》：「扂，戶牡。」唐．韓愈〈進學解〉：「夫大木為杗，細木為桷，欂櫨侏儒，椳闑扂楔，各得其宜，施以成室者，匠氏之工也。」</t>
  </si>
  <si>
    <t>痁</t>
  </si>
  <si>
    <t>[名]
瘧疾。《說文解字．疒部》：「痁，有熱瘧。」清．段玉裁．注：「痁，有熱無寒之瘧也。」《資治通鑑．卷二一一．唐紀二十七．玄宗開元四年》：「（姚崇）以病痁謁告，上遣使問飲食起居狀，日數十輩。」
[動]
1.患瘧疾。《左傳．昭公二十年》：「公遽見之，執其手曰：『余知而無罪也，人復而所。』齊侯疥，遂痁。」
2.瀕臨危險。通「阽」。《禮記．曾子問》：「且君子行禮，不以人之親痁患。」漢．王符《潛夫論．思賢》：「三代以下，皆以支羅服烝穬麥合藥，病日痁而遂死也。」</t>
  </si>
  <si>
    <t>惦</t>
  </si>
  <si>
    <t>[動]
思念、掛念。如：「惦記」。《紅樓夢》第一一回：「你別在這裡只管這們著，倒招的媳婦也心裡不好。太太那裡又惦著你。」</t>
  </si>
  <si>
    <t>踮</t>
  </si>
  <si>
    <t>[動]
抬起腳跟而腳尖著地。如：「他人長得矮小，在人群中得踮起腳才能看到前面。」</t>
  </si>
  <si>
    <t>奠</t>
  </si>
  <si>
    <t>[動]
1.祭獻，用祭品祭神或向死者致祭。《說文解字．丌部》：「奠，置祭也。」清．袁枚〈祭妹文〉：「哭汝既不聞汝言，奠汝又不見汝食。」
2.進獻。《楚辭．屈原．九歌．東皇太一》：「蕙肴蒸兮蘭藉，奠桂酒兮椒漿。」唐．韓愈〈元和聖德詩〉：「奠璧獻斝，眾樂驚作。」
3.置放、安置。《禮記．內則》：「其相授則女受以篚，其無篚則皆坐，奠之而後取之。」
4.定、建立。如：「奠基」、「奠都南京」。《書經．禹貢》：「禹敷土隨山刊木，奠高山大川。」
[名]
祭品。唐．韓愈〈祭十二郎文〉：「乃能銜哀致誠，使建中遠具時羞之奠，告汝十二郎之靈。」唐．元稹〈遣悲懷〉詩三首之一：「今日俸錢過十萬，與君營奠復營齋。」</t>
  </si>
  <si>
    <t>電</t>
  </si>
  <si>
    <t>[名]_x000D_
1.一種物質固有的能，亦為自然界基本現象之一，有正電（陽電）、負電（陰電）兩種性質。兩種電相觸，或失去均衡時，會發生放電作用，可產生光和熱。如：「閃電」、「靜電」、「導電」、「停電」。_x000D_
2.電報或電話、電臺的簡稱。如：「回電」、「急電」、「賀電」、「根據外電報導」。_x000D_
3.比喻被特定對象所吸引而產生的微妙情愫。如：「來電的感覺真是筆墨難以形容！」_x000D_
[動]_x000D_
1.觸電。如：「我被這臺洗衣機電了一下。」_x000D_
2.打電話或打電報。如：「這件事必須電請上級裁示。」_x000D_
3.遭人修理。如：「他一時失言，被朋友電得哭笑不得。」_x000D_
[形]_x000D_
藉電流以發動或使用的。如：「電梯」、「電燈」、「電冰箱」。_x000D_
[副]_x000D_
1.迅速如電的。如：「風馳電掣」。《晉書．卷六七．列傳．溫嶠》：「今躬率所統，為士卒先，催進諸軍，一時電擊。」_x000D_
2.明快的。唐．李白〈天長節度使鄂州刺史韋公德政碑〉：「秀骨嶽立，英謀電斷。」</t>
  </si>
  <si>
    <t>殿</t>
  </si>
  <si>
    <t xml:space="preserve">殳 </t>
  </si>
  <si>
    <t>[名]
1.高大的廳堂。如：「宮殿」、「佛殿」、「金鑾殿」、「森羅殿」、「大雄寶殿」。
2.行軍時保護全軍的最後一個部隊。《左傳．襄公二十六年》：「晉人寘諸戎車之殿，以為謀主。」《文選．張衡．東京賦》：「殿未出乎城闕，旆已反乎郊畛。」李善注引薛綜曰：「殿，後軍也。」
[形]
最後的。如：「殿軍」、「殿後」。
[動]
1.鎮定、鎮守。《詩經．小雅．采菽》：「殿天子之邦。」《論語．雍也》：「孟之反不伐，奔而殿。」
2.收尾、結束。宋．蘇軾〈雨晴後步至四望亭下〉詩：「殷懃木芍藥，獨自殿餘春。」</t>
  </si>
  <si>
    <t>澱</t>
  </si>
  <si>
    <t>[名]
1.沉積的渣滓、淤泥。《宋史．卷九二．河渠志》：「今第見水即以杷濬之，水當隨杷改趨直河，苟置數千杷，則諸河淺澱，皆非所患。」
2.藍色染料。用藍葉浸水調和石灰沉澱而製成。元．周德清〈塞鴻秋．長江萬里白如練〉曲：「長江萬里白如練，淮山數點青如澱。」
[動]
淤積、沉浸。如：「沉澱」。宋．沈括《夢溪筆談．卷二五．雜志》：「而汴渠有二十年不浚，歲歲堙澱。」清．徐珂《清稗類鈔．詼諧類．回湯豆腐乾》：「豆腐，以黃豆為之。造法：水浸磨漿，濾去滓，煎成，澱以鹽鹵汁，就釜收之。」</t>
  </si>
  <si>
    <t>癜</t>
  </si>
  <si>
    <t>[名]
中醫上指皮膚出現紫色或白色的小點，久而蔓延成疔。明．張自烈《正字通．疒部》：「癜，癜風，斑片也，有紫白二種。」俗稱為「白癜風」、「紫癜風」。</t>
  </si>
  <si>
    <t>墊</t>
  </si>
  <si>
    <t>[動]
1.將東西襯在下面或鋪在上面，使加高、加厚或平整。《紅樓夢》第七二回：「鳳姐道：『我又不等著啣口墊背，忙了什麼！』」《兒女英雄傳》第二〇回：「這一個褥子薄，再墊個坐褥罷！」
2.填補空缺。如：「趕快拿個節目來墊檔，以免開天窗！」、「正戲未上演前，先墊一段小戲。」
3.代人或託人暫付款項。《老殘遊記》第一四回：「但是我行篋中所有頗不敷用，要請你老哥墊一墊，到了省城，我就還你。」《二十年目睹之怪現狀》第六三回：「倘使我們老爺，不肯拏出錢來，就是家人們代湊著先墊起來，也可以使得。」
4.陷入、下沉。如：「墊沒」、「墊溺」。《漢書．卷九十九．王莽傳下》：「武功中水鄉民三舍墊為池。」
[名]
鋪在下面的東西。如：「鞋墊」、「坐墊」、「靠墊」、「軟墊」、「床墊」、「氣墊」。</t>
  </si>
  <si>
    <t>靛</t>
  </si>
  <si>
    <t xml:space="preserve">青 </t>
  </si>
  <si>
    <t>[名]_x000D_
1.一種天然的青色染料，用藍草的葉子浸水加石灰沉澱而成。也稱為「靛青」、「藍靛」、「藍澱」。_x000D_
2.藍色與紫色混合而成的顏色。如：「彩虹有紅、橙、黃、綠、藍、靛、紫七個顏色。」</t>
  </si>
  <si>
    <t>簟</t>
  </si>
  <si>
    <t>[名]
竹席。《說文解字．竹部》：「簟，竹席也。」宋．歐陽修〈臨江仙．柳下輕雷池上雨〉詞：「玉鉤垂下簾旌，涼波不動簟紋平，水精雙枕，傍有墮釵橫。」</t>
  </si>
  <si>
    <t>驔</t>
  </si>
  <si>
    <t>[名]
脊毛黃色的黑馬。《說文解字．馬部》：「驔，驪馬黃脊。」《詩經．魯頌．駉》：「駉駉牡馬，在坰之野，薄言駉者，有駰有騢，有驔有魚，以車袪袪。」</t>
  </si>
  <si>
    <t>丁</t>
  </si>
  <si>
    <t>ㄉㄧㄥ</t>
  </si>
  <si>
    <t>dīng</t>
  </si>
  <si>
    <t>[名]
1.天干的第四位。
2.排列次序的等第。在甲、乙、丙之後，表示第四級，或較差的等級。
3.成年男子。如：「壯丁」、「男丁」、「單丁」。
4.人、人口。如：「添丁」、「幫丁」、「人丁單薄」。《南史．卷三三．何承天傳》：「計丁課仗，勿使有闕。」
5.僕役，或指從事某些勞動或職業的人。如：「園丁」、「庖丁」、「家丁」。
6.方形的小塊。如：「雞丁」、「肉丁」、「補丁」、「將小黃瓜切丁。」
7.姓。如漢代有丁令威，清代有丁汝昌。
[動]
當、遭逢。如：「丁憂」、「丁外艱」、「丁內艱」。
[形]
1.壯盛的。如：「丁年」。
2.極少的、極小的。如：「他的身子還很硬朗，一丁點兒毛病都沒有。」</t>
  </si>
  <si>
    <t>(二)ㄓㄥ zhēng（07907）</t>
  </si>
  <si>
    <t>仃</t>
  </si>
  <si>
    <t>參見「伶仃」條。</t>
  </si>
  <si>
    <t>叮</t>
  </si>
  <si>
    <t>[動]
1.蚊、蟻或蜜蜂等昆蟲螫咬人畜。如：「被蚊子叮了。」
2.再三吩咐。如：「叮嚀」、「叮囑」。
[擬]
參見「叮噹」、「叮叮噹噹」、「叮叮咚咚」等條。</t>
  </si>
  <si>
    <t>玎</t>
  </si>
  <si>
    <t>[擬]_x000D_
模擬玉石相碰撞的聲音。如：「玎璫」、「玲玎」。</t>
  </si>
  <si>
    <t>疔</t>
  </si>
  <si>
    <t>病名。一種毛囊及毛囊周圍組織的細菌感染症。形狀類似豌豆。初起形如粟粒，上有白色膿頭，腫硬劇痛，患者易發寒熱。</t>
  </si>
  <si>
    <t>盯</t>
  </si>
  <si>
    <t>[動]
集中精神或目光，注意的看。通「釘」。如：「盯住他，別讓他跑了！」、「他盯著電視螢光幕看，一步也不肯離開，深怕錯過精彩的情節。」</t>
  </si>
  <si>
    <t>町</t>
  </si>
  <si>
    <t>[名]
地名用字。如臺北市的西門町和東門町，大陸地區雲南省的畹町鎮。</t>
  </si>
  <si>
    <t>(一)ㄊㄧㄥˇ tǐng（02757）</t>
  </si>
  <si>
    <t>釘</t>
  </si>
  <si>
    <t>[名]
由鋼鐵或竹木作成，為尖頭細長形，可貫穿物體，使結合牢固的東西。如：「鐵釘」、「螺絲釘」。也稱為「釘子」。
[動]
1.集中精神注視、看守。如：「釘著他看」、「緊迫釘人」。
2.督促、監督。如：「你得釘著他寫功課，免得他又偷懶了！」</t>
  </si>
  <si>
    <t>(二)ㄉㄧㄥˋ dìng（02269）</t>
  </si>
  <si>
    <t>耵</t>
  </si>
  <si>
    <t>ㄉㄧㄥˇ</t>
  </si>
  <si>
    <t>dǐng</t>
  </si>
  <si>
    <t>參見「耵聹」條。</t>
  </si>
  <si>
    <t>(二)（又音）ㄊㄧㄥ tīng（02730）</t>
  </si>
  <si>
    <t>酊</t>
  </si>
  <si>
    <t>頂</t>
  </si>
  <si>
    <t>[名]
1.頭的最上部。如：「頭頂」、「禿頂」、「摩頂放踵」。
2.物體最高、最上面的部分。如：「山頂」、「屋頂」、「塔頂」。
3.量詞。計算帽子、轎子等的單位。如：「一頂草帽」、「兩頂斗笠」。《紅樓夢》第一四回：「堂客算來亦有十來頂大轎，三、四十頂小轎。」
[動]
1.以頭承戴。如：「頂天立地」。《水滸傳》第五回：「跨了戒刀，提了禪杖，頂了衣包，便出寨來。」
2.抵住、支撐。《水滸傳》第二五回：「我便一頭頂住那婆子。」《西遊記》第四四回：「我家里燒火的，也是他；掃地的，也是他；頂門的，也是他。」
3.以言相抵。如：「頂嘴」、「頂撞」。《儒林外史》第四三回：「憑著官叫他說甚麼，就是甚麼，那裡還敢頂一句。」《文明小史》第三一回：「寧波的教案，辦得太軟了，官倒沒事，只百姓吃了虧，要是能夠頂上幾句也好些。」
4.冒著、迎面對著。如：「頂風而行」、「她頂著雨匆匆離去。」
5.代替、遞補。如：「頂替」、「頂名」。《文明小史》第二二回：「且說胡道臺補缺的風聲出去，就有幾位候補道想頂他銀圓局的差使。」
6.財產的出價承受，或標價出讓。如：「他新近頂了一家店，不久就要開張。」
[副]
最、非常。如：「頂好」、「頂多」、「頂合適」、「頂喜歡」。《老殘遊記二編》第四回：「刷洗鍋碗是我的差使，這還罷了，頂難受是清早上掃屋子裡的地！」</t>
  </si>
  <si>
    <t>鼎</t>
  </si>
  <si>
    <t>[名]_x000D_
1.古代用來烹煮食物的金屬器具。圓腹、三足兩耳，亦有四足的方鼎。盛行於商、周時代。《說文解字．鼎部》：「鼎，三足兩耳，和五味之寶器也。」漢．王充《論衡．譴告》：「釀酒於罌，烹肉於鼎，皆欲其氣味調得也。」_x000D_
2.祭祀的禮器。《漢書．卷二五．郊祀志上》：「鼎宜視宗禰，臧於帝庭，以合明應。」_x000D_
3.古代傳國的寶器。相傳夏禹鑄九鼎以為傳受帝位的重器。《禮記．祭統》：「夫鼎有銘，銘者，自名也。自名以稱揚其先祖之美，而明著之後世者也。」《漢書．卷二五．郊祀志上》：「禹收九牧之金，鑄九鼎，象九州。」_x000D_
4.比喻國家政權或帝位。《左傳．宣公三年》：「周雖德衰，天命未改，鼎之輕重，未可問也。」《五代史平話．漢史．卷上》：「惜乎天道好還，得國之後，坐席未溫，而郭威睥睨其間，已挈漢鼎而為周矣。」《儒林外史》第一回：「不數年間，吳王削平禍亂，定鼎應天，天下一統，建國號大明，年號洪武。」_x000D_
5.比喻三公、宰相、重臣等高位。《後漢書．卷三三．朱馮虞鄭周列傳．朱浮》：「即位以來，不用舊典；信刺舉之官，黜鼎輔之任。」《北史．卷九二．恩幸列傳．序》：「若乃心利錐刀，居臺鼎之任；智昏菽麥，當機衡之重。」_x000D_
6.古代烹殺罪人的刑具。東周戰國．燕丹〈與傅麴武書〉：「故有刎喉不顧，據鼎不避者，斯豈樂死而忘生哉，其心有所守也。」宋．文天祥〈正氣歌〉：「鼎鑊甘如飴，求之不可得。」_x000D_
7.煉丹煮藥的器具。《西遊記》第一七回：「講的是立鼎安爐，摶砂煉汞；白雪黃芽，傍門外道。」明．梅鼎祚《玉合記》第一三齣：「早除卻花魔酒病，慣聞他鶴唳猿聲，守清夜藥罏丹鼎。」_x000D_
8.《易經》卦名。六十四卦之一。巽（☴）下離（☲）上。去故取新之象。_x000D_
9.福建方言。指鍋子。如稱廚房為「鼎間」，稱鍋蓋為「鼎蓋」。_x000D_
10.量詞。《管子．輕重乙》：「其有親戚者，必遺之酒四石，肉四鼎；其無親戚者，必遺其妻子酒三石，肉三鼎。」《金史．卷三〇．禮志三》：「每室羊豕各一鼎，皆設扃幂。」_x000D_
11.二一四部首之一。_x000D_
[形]_x000D_
大。如：「鼎言」、「鼎臣」。《官場現形記》第二四回：「你一到京，打聽人家，像他這樣大名鼎鼎，還怕有不曉得的？」《老殘遊記》第一七回：「弟擬拔出風塵，納為簉室，請兄鼎力維持，身價若干，如數照繳云云。」_x000D_
[動]_x000D_
更改、更新。《易經．雜卦》：「革，去故也。鼎，取新也。」漢．魏伯陽《參同契．君臣御政》：「御政之首，鼎新革故。」《隋書．卷五八．列傳．許善心》引隋．許善心〈神雀頌〉：「質文鼎革，沿習因成。祥圖瑞史，赫赫明明。」_x000D_
[副]_x000D_
1.鼎有三足，引申為三方並立。《三國志．卷六一．吳書．潘濬陸凱傳．陸凱》：「近者漢之衰末，三家鼎立。」《晉書．卷八七．列傳．涼武昭王李玄盛》：「昔漢運將終，三國鼎峙，鈞天之曆，數鍾皇晉。」_x000D_
2.方、正。《漢書．卷四八．賈誼傳》：「天子春秋鼎盛，行義未過。」宋．黃庭堅〈次韻子瞻武昌西山〉：「山川悠遠莫浪許，富貴崢嶸今鼎來。」</t>
  </si>
  <si>
    <t>定</t>
  </si>
  <si>
    <t>ㄉㄧㄥˋ</t>
  </si>
  <si>
    <t>dìng</t>
  </si>
  <si>
    <t>[形]
1.確切的、不改變的。如：「定理」、「定義」、「定律」、「定局」、「定論」。
2.不動的。如：「定產」、「定業」。
3.規定的。如：「定量」、「定時」、「定期」。
[動]
1.固定、使固定。如：「定住」、「定影」。
2.使平靜、使穩固。如：「平定」、「安邦定國」。
3.使確定、不更改。如：「底定」、「決定」、「否定」、「裁定」。
4.約定、訂立。如：「定約」、「制定」、「訂定」。
[副]
1.究竟、到底。表疑問。南朝宋．劉義慶《世說新語．言語》：「卿云艾艾，定是幾艾？」唐．李白〈答族姪僧中孚贈玉泉仙人掌茶〉詩：「舉世未見之，其名定誰傳？」
2.必然。如：「定能成功」、「定死無疑」。唐．杜甫〈寄高適〉詩：「定知相見日，爛漫倒芳樽。」
[名]
姓。如明代有定伯安。</t>
  </si>
  <si>
    <t>啶</t>
  </si>
  <si>
    <t>碇</t>
  </si>
  <si>
    <t>[名]
繫船的石墩或鐵錨。唐．韓愈〈正議大夫尚書左丞孔公墓誌銘〉：「蕃舶之至泊步，有下碇之稅。」
[動]
船停泊放錨以固定船身。如：「碇泊」。宋．蘇軾《東坡志林．卷一．記遊．記過合浦》：「是日六月晦，無月，碇宿大海中。」</t>
  </si>
  <si>
    <t>錠</t>
  </si>
  <si>
    <t>[名]
1.製成塊狀的金屬或藥物。如：「銀錠」、「金錠」、「鋼錠」、「萬應錠」、「止痛錠」。《初刻拍案驚奇》卷一：「約得百兩，便熔成一大錠。」
2.量詞。計算塊狀物的單位。如：「一錠墨」、「兩錠白銀」。
3.用紙或錫箔糊成元寶狀的祭奠用品。如：「冥錠」、「香燭紙錠」。
4.紡車或紡紗機上繞紗的機件。如：「紗錠」、「錠子」。</t>
  </si>
  <si>
    <t>訂</t>
  </si>
  <si>
    <t>[動]
1.協商後立下（條約、規章等）。如：「擬訂」、「訂約」。
2.修正。如：「增訂」、「補訂」、「修訂」、「校訂」。
3.事先預約。如：「訂報」、「預訂」、「訂位」、「訂貨」。
4.用線、釘子等把書頁等穿連成冊。如：「裝訂」、「訂書機」、「將這疊紙訂成一本筆記簿。」</t>
  </si>
  <si>
    <t>[動]
1.以釘、針貫物，用以固定東西，或是將分散的物品連結起來。如：「釘書機」。
2.以針線連綴衣物。如：「釘扣子」。</t>
  </si>
  <si>
    <t>(一)ㄉㄧㄥ dīng（02259）</t>
  </si>
  <si>
    <t>飣</t>
  </si>
  <si>
    <t>鋌</t>
  </si>
  <si>
    <t>[名]
1.未經冶煉鑄造的銅鐵。《說文解字．金部》：「鋌，銅鐵璞也。」《文選．張協．七命》：「邪谿之鋌，赤山之精。」
2.金銀鎔鑄成一定的形式。通「錠」。《南史．卷五三．廬陵威王續傳》：「至內庫閱珍物，見金鋌。」《金史．卷四八．食貨志三》：「舊例銀每鋌五十兩，其直百貫。」</t>
  </si>
  <si>
    <t>(一)ㄊㄧㄥˇ tǐng（02755）</t>
  </si>
  <si>
    <t>ㄉㄨ</t>
  </si>
  <si>
    <t>dū</t>
  </si>
  <si>
    <t>[名]
1.大城市。如：「花都」、「港都」、「通都大邑」。
2.中央政府及地方政府的所在地。如：「首都」、「國都」、「京都」、「行都」。
3.姓。如漢代有都稽，明代有都穆。
[動]
1.定都。《史記．卷七．項羽本紀》：「項王自立為西楚霸王，王九郡，都彭城。」
2.居。《漢書．卷六五．東方朔傳》：「蘇秦、張儀一當萬乘之主，而都卿相之位。」
3.總計。《文選．曹丕．與吳質書》：「頃撰其遺文，都為一集。」
[形]
優雅、優美。《詩經．鄭風．有女同車》：「彼美孟姜，洵美且都。」《聊齋志異．卷一．嬌娜》：「一少年出，丰采甚都。」</t>
  </si>
  <si>
    <t>(二)ㄉㄡ dōu（01980）</t>
  </si>
  <si>
    <t>嘟</t>
  </si>
  <si>
    <t>參見「嘟嘟」、「嘟嚕」等條。</t>
  </si>
  <si>
    <t>闍</t>
  </si>
  <si>
    <t>[名]
城門上的平臺。《詩經．鄭風．出其東門》：「出其闉闍，有女如荼。」漢．毛亨．傳：「闍，城臺也。」唐．孔穎達．正義：「闍，是城上之臺，謂當門臺也。」</t>
  </si>
  <si>
    <t>(二)ㄕㄜˊ shé（08828）</t>
  </si>
  <si>
    <t>督</t>
  </si>
  <si>
    <t>[動]
1.監察、考核、審視。如：「監督」、「督導」、「督戰」。《管子．心術上》：「故事督乎法，法出乎權。」唐．尹知章．注：「督，察也。謂以法察事。」
2.催促。如：「督促」。《後漢書．卷三五．張純傳》：「督委輸，監諸將營。」唐．章懷太子．注：「督，促也。」
3.責備。如：「督過」。漢．王充《論衡．寒溫》：「父子相怒，夫妻相督。」
[名]
1.大將。《後漢書．卷四六．郭躬傳》：「軍征，校尉一統於督。」唐．章懷太子．注：「督，謂大將。」《三國志．卷三五．諸葛亮傳》：「將軍向寵，性行淑均，曉暢軍事，試用於昔日，先帝稱之曰能，是以眾議舉寵為督。」
2.職官名。具監察及指揮權責的官員。如：「監督」、「都督」、「總督」。
3.中醫上指人體的奇經八脈之一。是陽經經脈的總綱。
4.姓。如春秋時晉國有督戎。</t>
  </si>
  <si>
    <t>毒</t>
  </si>
  <si>
    <t>ㄉㄨˊ</t>
  </si>
  <si>
    <t>dú</t>
  </si>
  <si>
    <t>[名]_x000D_
1.禍害。如：「封建餘毒」。《書經．盤庚》：「汝不和吉言于百姓，惟汝自生毒。」《漢書．卷五六．董仲舒傳》：「其遺毒餘烈，至今未滅。」《後漢書．卷七八．宦者列傳．鄭眾》：「凡稱善士，莫不離被災毒。」_x000D_
2.會危害身體健康的物質。如：「中毒」。晉．潘岳〈馬汧督誄〉：「而蜂蠆有毒，驟失小利。」《老殘遊記》第一八回：「差你往齊東村，明查暗訪這十三條命案是否服毒？有什麼別樣案情？」_x000D_
3.指毒品。能讓人成癮並危害健康甚或生命的麻醉品。包括嗎啡、海洛因、古柯鹼等。如：「販毒」、「吸毒」、「反毒運動」。_x000D_
[動]_x000D_
1.怨恨。《列子．湯問》：「仙聖毒之，訴之於帝。」唐．柳宗元〈捕蛇者說〉：「若毒之乎？余將告於蒞事者，更若役，復若賦，則何如？」_x000D_
2.傷害、殘害。唐．杜甫〈夏夜歎〉詩：「永日不可暮，炎蒸毒我腸。」明．屠隆《曇花記》第三二齣：「曹操，你當時翦滅王室，荼毒生靈，覷天子如小兒，辱公卿如奴隸，你今日英雄那裡去了。」_x000D_
3.以毒物殺害。《山海經．西山經》：「有白石焉，其名曰礜，可以毒鼠。」《明史．卷二八九．忠義列傳一．孫燧列傳》：「惡巡撫王哲不附己，毒之，得疾，踰年死。」_x000D_
4.投毒。《左傳．襄公十四年》：「秦人毒涇上流，師人多死。」《宋史．卷三六六．列傳．劉錡》：「錡遣人毒潁上流及草中，戒軍士雖渴死，毋得飲于河者；飲，夷其族。」_x000D_
[形]_x000D_
1.含有毒素對健康或生命有危害的。如：「毒品」、「毒蛇」、「毒藥」。《漢書．卷六四下．嚴朱吾丘主父徐嚴終王賈傳．賈捐之》：「霧露氣溼，多毒草蟲蛇水土之害，人未見虜，戰士自死。」《後漢書．卷八六．南蠻西南夷列傳．西南夷》：「招呼諸君長，多釀毒酒。」_x000D_
2.凶狠、猛烈。如：「狠毒」、「虎毒不食子」。《晉書．卷一〇五．石勒載記下》：「孤往日厭卿老拳，卿亦飽孤毒手。」《紅樓夢》第三〇回：「這麼熱天，毒日頭地下晒壞了他。」_x000D_
[副]_x000D_
狠狠地。《三國演義》第四六回：「子敬豈不知公瑾今日毒打黃公覆，乃其計耶？」《初刻拍案驚奇》卷一三：「父親便將小的毒咬一口，咬落耳朵。」</t>
  </si>
  <si>
    <t>碡</t>
  </si>
  <si>
    <t>參見「碌碡」條。</t>
  </si>
  <si>
    <t>[名]
蝳蜍：蜘蛛的別稱。漢．揚雄《方言》卷一一：「鼅鼄，……，北燕、朝鮮、洌水之間謂之蝳蜍。」《玉篇．蟲部》：「蝳，蝳蜍，肥大蜘蛛。」</t>
  </si>
  <si>
    <t>(二)ㄉㄞˋ dài（01950）</t>
  </si>
  <si>
    <t>(一)ㄉㄠˋ dào（01978）</t>
  </si>
  <si>
    <t>頓</t>
  </si>
  <si>
    <t>(一)ㄉㄨㄣˋ dǔn（02383）</t>
  </si>
  <si>
    <t>獨</t>
  </si>
  <si>
    <t>[形]
孤單的、單一的。如：「獨子」、「獨木」。《文選．司馬遷．報任少卿書》：「今僕不幸早失父母，無兄弟之親，獨身孤立。」
[副]
1.僅、但、唯、只。如：「獨善其身」。《禮記．禮運》：「故人不獨親其親，不獨子其子。」
2.偏偏。《樂府詩集．卷三八．相和歌辭十三．古辭．孤兒行》：「孤子遇生，命獨當苦！」《文選．司馬遷．報任少卿書》：「身非木石，獨與法吏為伍？」
3.一個人的。如：「獨奏」。唐．杜甫〈月夜〉詩：「今夜鄜州月，閨中只獨看。」
4.專斷、一意孤行。如：「獨斷」、「獨裁」。
[名]
1.老而無子。《史記．卷一一七．司馬相如傳》：「恤鰥寡，存孤獨。」《初刻拍案驚奇》卷二〇：「縱教血染鵑紅，彼蒼不念煢獨。」</t>
  </si>
  <si>
    <t>韣</t>
  </si>
  <si>
    <t>[名]
裝弓的套子。《說文解字．韋》：「韣，弓衣也。」《禮記．少儀》：「弓則以左手屈韣執拊，劍則啟櫝蓋襲之，加夫橈與劍焉。」宋．梅堯臣〈田家語〉詩：「三丁籍一壯，惡使操弓韣。」</t>
  </si>
  <si>
    <t>髑</t>
  </si>
  <si>
    <t>參見「髑髏」條。</t>
  </si>
  <si>
    <t>瀆</t>
  </si>
  <si>
    <t>[動]
1.輕慢、不敬。如：「褻瀆」。《禮記．少儀》：「毋拔來，毋報往，毋瀆神，毋循枉。」《鏡花緣》第一七回：「婢子以此細事上瀆高賢，真是貽笑大方。」
2.貪求。《左傳．昭公十三年》：「晉有羊舌鮒者，瀆貨無厭，亦將及矣，為此役也，子若以君命賜之，其已。」
[名]
1.水溝。如：「溝瀆」。《史記．卷八四．屈原賈生傳》：「彼尋常之汙瀆兮，豈能容吞舟之魚！」唐．司馬貞．索隱：「瀆，小渠也。」
2.注海的大河。《爾雅．釋水》：「江、河、淮、濟為四瀆，四瀆者，發源注海者也。」《韓非子．五蠹》：「中古之世，天下大水，而鯀禹決瀆。」
3.姓。如漢代有瀆弘之。</t>
  </si>
  <si>
    <t>櫝</t>
  </si>
  <si>
    <t>[名]
1.木製的盒子。《論語．季氏》：「虎兕出於柙，龜玉毀於櫝中，是誰之過與？」宋．陸游〈自述〉詩：「遺經在櫝傳家學，大字書牆作座銘。」
2.棺材。《漢書．卷六七．楊王孫傳》：「昔帝堯之葬也，窾木為櫝，葛藟為緘，其穿下不亂泉，上不泄殠。」
[動]
封藏、收藏。《國語．鄭語》：「乃布幣焉而策告之，龍亡而漦在，櫝而藏之，傳效之。」唐．孫樵〈書褒城驛壁〉：「當愁醉醲，當飢飽鮮，囊帛櫝金，笑與秩終。」</t>
  </si>
  <si>
    <t>殰</t>
  </si>
  <si>
    <t>[動]
動物未出生時，在胎中死去。《字彙．歹部》：「殰，未及生而胎敗也。」《禮記．樂記》：「胎生者不殰，而卵生者不殈，則樂之道歸焉耳。」</t>
  </si>
  <si>
    <t>犢</t>
  </si>
  <si>
    <t>[名]
1.小牛。如：「初生之犢不畏虎。」宋．陸游〈春晚即事〉詩四首之四：「老農愛犢行泥緩，幼婦憂蠶采葉忙。」
2.姓。如戰國時齊國有犢牧。</t>
  </si>
  <si>
    <t>牘</t>
  </si>
  <si>
    <t>[名]
1.古代用以書寫文字的木片。如：「簡牘」。《漢書．卷六三．武五子傳．廣陵厲王劉胥傳》：「佩玉環，簪筆持牘趨謁。」唐．顏師古．注：「犢，木簡也。」南朝梁．劉勰《文心雕龍．神思》：「子建援牘如口誦，仲宣舉筆似宿構。」
2.文書、書籍。如：「文牘」、「連篇累牘」。《後漢書．卷六二．荀淑傳》：「所見篇牘，一覽多能誦記。」
3.信札。如：「尺牘」。《儒林外史》第三三回：「小姪菲才寡學，大人誤採虛名，恐其有玷薦牘。」</t>
  </si>
  <si>
    <t>[動]_x000D_
1.照著文字唸。如：「誦讀」、「朗讀」、「宣讀」。_x000D_
2.閱讀、看書。如：「讀經」、「讀者」、「閱讀」。《史記．卷四七．孔子世家》：「余讀孔氏書，想見其為人。」_x000D_
3.學習、專攻。如：「他目前在臺北讀大學。」「他讀理科，並不是自己的意願。」_x000D_
[名]_x000D_
文字的唸法、讀音。如：「異讀」、「一字二讀」。</t>
  </si>
  <si>
    <t>(二)ㄉㄡˋ dòu（01995）</t>
  </si>
  <si>
    <t>贕</t>
  </si>
  <si>
    <t>[動]
鳥獸未出生時，在胎中死去。《玉篇．卵部》：「卵內敗也。」《淮南子．原道》：「獸胎不贕，鳥卵不毈。」漢．高誘．注：「胎不成獸曰贕。」</t>
  </si>
  <si>
    <t>黷</t>
  </si>
  <si>
    <t>[名]
汙垢。南朝宋．傅亮〈潘尚書僕射表〉：「上增國垢，下招私黷。」
[形]
汙穢。《文選．孔稚珪．北山移文》：「乍迴跡以心染，或先貞而後黷。」
[動]
1.輕慢、不恭敬。《書經．說命》：「黷于祭祀。」《後漢書．卷五二．崔駰傳》：「進不黨以讚己，退不黷於庸人。」
2.貪求。《南史．卷四九．劉懷珍傳》：「及累為州郡，頗黷財賄。」唐．柳宗元〈封建論〉：「列侯驕盈，黷貨事戎。」
3.輕妄、濫用。如：「窮兵黷武」。唐．柳宗元〈駮復讎議〉：「誅其可旌，茲謂濫，黷刑甚矣。」</t>
  </si>
  <si>
    <t>讟</t>
  </si>
  <si>
    <t>[動]
1.怨恨。《說文解字．誩部》：「讟，痛怨也。」《北史．卷三二．崔挺傳》：「陳既主昏於上，人讟於下。」
2.詆毀、誹謗。《左傳．宣公十二年》：「民不罷勞，君無怨讟。」晉．杜預．注：「讟，謗也。」《隋書．卷七五．儒林傳．何妥傳》：「屈辱既加，則有怨恨，謗讟之言出矣。」
[名]
毀謗、怨恨的話。《文選．張衡．思玄賦》：「且獲讟于群弟兮，啟金縢而後信。」</t>
  </si>
  <si>
    <t>肚</t>
  </si>
  <si>
    <t>ㄉㄨˇ</t>
  </si>
  <si>
    <t>dǔ</t>
  </si>
  <si>
    <t>[名]
俗稱動物的胃為「肚」。《集韻．上聲．姥韻》：「肚，胃也。」如：「牛肚」、「豬肚」、「羊肚」。</t>
  </si>
  <si>
    <t>(一)ㄉㄨˋ dù（02300）</t>
  </si>
  <si>
    <t>堵</t>
  </si>
  <si>
    <t>[名]
1.牆壁。晉．陶淵明〈五柳先生傳〉：「環堵蕭然，不蔽風日。」唐．柳宗元〈梓人傳〉：「畫宮於堵盈尺，而曲盡其制。」
2.量詞。計算牆壁的單位。如：「一堵牆」。唐．張祜〈遊天台山〉詩：「回首望四明，矗若城一堵。」
3.姓。如春秋時鄭國有堵叔。
[動]
1.阻塞。如：「堵塞」、「堵住破洞」。
2.以言語頂撞或遏阻別人。《紅樓夢》第三七回：「當著眾人，太太自為又增了光，堵了眾人的嘴，太太越發喜歡了。」</t>
  </si>
  <si>
    <t>睹</t>
  </si>
  <si>
    <t>[動]
看見。如：「有目共睹」、「睹物思人」。《莊子．秋水》：「始吾弗信，今我睹子之難窮也，吾非至於子之門，則殆矣。」《紅樓夢》第九九回：「賈母等一則怕他招受寒暑，二則恐他睹景傷情。」</t>
  </si>
  <si>
    <t>賭</t>
  </si>
  <si>
    <t>[名]
用財物作為爭輸贏的不正當娛樂。如：「賭博」、「好賭」、「嗜賭如命」。《聊齋志異．卷三．賭符》：「倘能戒賭，我為汝覆之。」
[動]
爭勝負、比輸贏。元．關漢卿《竇娥冤》第二折：「要看什麼天喜到命，只賭本事，做得去自去做。」《老殘遊記》第一九回：「吳二浪子急於要賭，連忙說：『萬不會誤的！』」</t>
  </si>
  <si>
    <t>裻</t>
  </si>
  <si>
    <t>[名]
衣背接縫處。《說文解字．衣部》：「裻，背縫。」《國語．晉語一》：「是故使申生伐東山，衣之偏裻之衣，佩之以金玦。」</t>
  </si>
  <si>
    <t>篤</t>
  </si>
  <si>
    <t>[形]_x000D_
1.忠厚、誠實。如：「篤實」。《禮記．中庸》：「不顯惟德，百辟其刑之，是故君子篤恭而天下平。」《聊齋志異．卷六．蕙芳》：「馬生其名混，其業褻，蕙芳奚取哉？於此見仙人之貴樸訥誠篤也。」_x000D_
2.病勢沉重。《史記．卷七九．范睢蔡澤列傳．范睢》：「昭王彊起應侯，應侯遂稱病篤。」晉．李密〈陳情表〉：「臣欲奉詔奔馳，則劉病日篤。」_x000D_
3.深厚、豐厚。《後漢書．卷一三．隗囂公孫述列傳．隗囂》：「帝報以手書曰：『……自今以後，手書相聞，勿用傍人解構之言。』自是恩禮愈篤。」《宋史．卷三三九．列傳．蘇轍》：「轍與兄進退出處，無不相同，患難之中，友愛彌篤。」_x000D_
4.真確、允當。南朝梁．劉勰《文心雕龍．才略》：「但俗情抑揚，雷同一響，遂令文帝以位尊減才，思王以勢窘益價，未為篤論也。」_x000D_
[副]_x000D_
1.專一、切實。《禮記．儒行》：「儒有博學而不窮，篤行而不倦。」《南齊書．卷五四．高逸列傳．沈驎士》：「吳興沈驎士英風夙挺，峻節早樹，貞粹稟於天然，綜博生乎篤習。」_x000D_
2.甚、深、非常地。《漢書．卷七一．雋疏于薛平彭傳．疏廣》：「上疏乞骸骨，上以其年篤老，皆許之。」南朝梁．鍾嶸《詩品．序》：「曹公父子，篤好斯文。」《南疆逸史．卷二．紹宗紀略》：「上嘗與決事，篤念舊恩，不遺纖微。」_x000D_
[動]_x000D_
堅持、固守。《論語．泰伯》：「篤信好學，守死善道。」《管子．君臣下》：「君子行於禮，則上尊而民順。小民篤於農，則財厚而備足。」《後漢書．卷二六．伏侯宋蔡馮趙牟韋列傳．侯霸》：「篤志好學，師事九江太守房元，治《穀梁春秋》，為元都講。」_x000D_
[名]_x000D_
姓。如元代有篤列圖。</t>
  </si>
  <si>
    <t>杜</t>
  </si>
  <si>
    <t>ㄉㄨˋ</t>
  </si>
  <si>
    <t>dù</t>
  </si>
  <si>
    <t>[名]
1.植物名：(1)松科冷杉屬，「冷杉」之古稱，參見「冷杉」條。(2)薔薇科梨屬，「棠梨」、「杜梨」之古稱，參見「棠梨」條。(3)馬兜鈴科細辛屬，「杜蘅」之古稱，參見「杜蘅」條。
2.姓。如唐代有杜甫、杜牧。
[動]
1.堵塞、阻絕。如：「杜塞」、「杜絕」。《戰國策．秦策一》：「杜左右之口，天下莫之能伉。」《史記．卷六八．商君列傳》：「公子虔杜門不出已八年矣，君又殺祝懽而黥公孫賈。」
2.排斥、拒絕。《後漢書．卷七四上．袁紹劉表列傳．袁紹上》：「今賞加無勞，以攜有德；杜黜忠功，以疑眾望。」《南史．卷五．齊本紀．廢帝鬱林王》：「依違杜諫，乃止。」</t>
  </si>
  <si>
    <t>[名]
腹部。《玉篇．肉部》：「肚，腹肚。」宋．蘇軾〈鳳翔八觀詩．石鼓歌〉：「細觀初以指畫肚，欲讀嗟如箝在口。」</t>
  </si>
  <si>
    <t>(二)ㄉㄨˇ dǔ（02293）</t>
  </si>
  <si>
    <t>妒</t>
  </si>
  <si>
    <t>[動]
因別人勝過自己而內心忌恨。如：「妒忌」。《列子．說符》：「爵高者人妒之，官人者主惡之。」《文選．鄒陽．獄中上書自明》：「故女無美惡，入宮見妒，士無賢不肖，入朝見嫉。」</t>
  </si>
  <si>
    <t>度</t>
  </si>
  <si>
    <t>[名]
1.表示物質的相關性質所達到的狀況。如：「長度」、「硬度」、「溼度」、「密度」、「酸度」。
2.法制、規範。如：「制度」、「法度」。漢．揚雄〈長楊賦〉：「亦所以奉太尊之烈，遵文武之度。」
3.標準。如：「尺度」、「限度」。《國語．周語下》：「用物過度妨於財，正害財匱妨於樂。」唐．韓愈〈重雲李觀疾贈之〉詩：「天行失其度，陰氣來干陽。」
4.人的器量、胸懷。如：「器度」。《史記．卷八．高祖本紀》：「常有大度，不事家人生產作業。」
5.外表、儀態。如：「風度」、「態度」。《聊齋志異．卷一一．陳雲棲》：「生因竊往。扣其關，果有女道士三四人，謙喜承迎，儀度皆潔。」
6.量詞：(1)計算依一定標準劃分的單位。如：「耗電三百度」、「今天氣溫高達攝氏三十六度。」(2)計算次數的單位。如：「再度光臨」。《北史．卷四〇．列傳．李彪》：「彪前後六度銜命。」
7.數學上指：(1)計算圓弧及角的單位。圓周的三百六十分之一為弧的一度；一度的弧所對的中心角，為角度的一度。(2)物體的長、寬、高。如：「三度空間」。
8.姓。如漢代有度尚。
[動]
1.過、經歷。如：「度日如年」、「光陰虛度」。
2.由此岸到彼岸。同「渡」。《漢書．卷四八．賈誼傳》：「若夫經制不定，是猶度江河亡維楫。」
3.通過、跨越。同「渡」。《史記．卷九四．田儋列傳》：「用蒯通計，度平原，襲破齊歷下軍。」唐．王之渙〈涼州詞〉：「羌笛何須怨楊柳，春光不度玉門關。」</t>
  </si>
  <si>
    <t>(二)ㄉㄨㄛˋ duò（02338）</t>
  </si>
  <si>
    <t>渡</t>
  </si>
  <si>
    <t>[動]
1.過河、由此岸到彼岸。如：「渡河」、「渡海」。唐．李華〈弔古戰場文〉：「萬里奔走，連年暴露。沙草晨牧，河冰夜渡。」
2.通過、跨越。如：「渡過難關」。《史記．卷八．高祖本紀》：「淮陰已受命東，未渡平原。」宋．蘇軾〈梅花〉詩二首之一：「一夜東風吹石裂，半隨飛雪渡關山。」
3.交付、轉手。如：「引渡」、「讓渡」。
[名]
坐船過河的地方。《晉書．卷三四．杜預傳》：「預又以孟津渡險，有覆沒之患，請建河橋于富平津。」唐．王維〈歸嵩山作〉詩：「荒城臨古渡，落日滿秋山。」</t>
  </si>
  <si>
    <t>鍍</t>
  </si>
  <si>
    <t>[動]
用電解的方法將一種金屬塗在他種金屬的外表。如：「電鍍」、「鍍銀」。《玉篇．金部》：「鍍，金鍍物也。」《水滸傳》第一三回：「身披一副鐵葉攢成鎧甲，腰繫一條鍍金獸面束帶。」</t>
  </si>
  <si>
    <t>斁</t>
  </si>
  <si>
    <t>[動]
敗壞。《漢書．卷八三．薛宣傳》：「得其人則萬姓欣喜，百僚說服；不得其人則大職墮斁，王功不興。」唐．李華〈弔古戰場文〉：「秦漢而還，多事四夷，中州耗斁，無世無之。」</t>
  </si>
  <si>
    <t>(一)ㄧˋ yì（10669）</t>
  </si>
  <si>
    <t>簬</t>
  </si>
  <si>
    <t>[名]
一種可製箭桿的竹子。《字彙．竹部》：「簬，美竹，可為箭者。」</t>
  </si>
  <si>
    <t>蠹</t>
  </si>
  <si>
    <t>[名]
1.蛀蟲。《說文解字．䖵部》「蠹」字．清．段玉裁．注：「在木中食木者也。」如：「木蠹」。唐．李賀〈堂堂〉詩：「十年粉蠹生畫梁，飢蟲不食堆碎黃。」
2.從中敗損或侵耗財物的人。《左傳．襄公二十七年》：「兵民之殘也，財用之蠹。」《商君書．修權》：「秩官之吏，隱下以漁百姓，此民之蠹也。」
[動]
蛀爛、腐蝕。《呂氏春秋．季春紀．季春》：「因智而明之，流水不腐，戶樞不蠹，動也。」唐．韓愈〈雜詩〉：「豈殊蠹書蟲，生死文字間。」</t>
  </si>
  <si>
    <t>多</t>
  </si>
  <si>
    <t>ㄉㄨㄛ</t>
  </si>
  <si>
    <t>duō</t>
  </si>
  <si>
    <t>[形]
1.豐富、不少。如：「多事之秋」、「友直、友諒、友多聞。」《文選．潘岳．楊荊州誄》：「多才豐藝，強記洽聞。」
2.有餘。如：「一年多」、「十萬多人」。
[副]
1.經常。如：「多讀多寫」。《文選．孔融．薦禰衡表》：「若衡等輩，不可多得。」
2.非常。表程度高。如：「多謝」、「好得多」、「快得多」。
3.大部分。表數量大。《孟子．梁惠王下》：「諸侯多謀伐寡人者。」《洛陽伽藍記．卷四．法雲寺》：「王侯第宅，多題為寺。」
4.過分、不必要。如：「多疑」、「多管閒事」。
5.只、只是。《論語．子張》：「多見其不知量也。」唐．徐凝〈獨住僧〉詩：「多應獨住山林慣，唯照寒泉自剃頭。」
[動]
1.稱美、稱讚。《史記．卷一〇〇．季布傳》：「當是時，諸公皆多季布能摧剛為柔，朱家亦以此名聞當世。」《漢書．卷六八．霍光傳》：「眾庶莫不多光。」
2.勝、超過。明．湯顯祖《紫簫記》第一〇齣：「想他才似相如，貌多王粲。」
[名]
姓。如商代有多父鼎。</t>
  </si>
  <si>
    <t>(二)ㄉㄨㄛˊ duó（02311）</t>
  </si>
  <si>
    <t>哆</t>
  </si>
  <si>
    <t>參見「哆嗦」條。</t>
  </si>
  <si>
    <t>(二)ㄔㄜˇ chě（08265）</t>
  </si>
  <si>
    <t>掇</t>
  </si>
  <si>
    <t>(一)ㄉㄨㄛˊ duó（02313）</t>
  </si>
  <si>
    <t>ㄉㄨㄛˊ</t>
  </si>
  <si>
    <t>duó</t>
  </si>
  <si>
    <t>[副]
何等、如何。表疑問、感嘆的語氣。如：「多好」、「多高」、「帶大一個孩子是多麼不容易啊！」</t>
  </si>
  <si>
    <t>(一)ㄉㄨㄛ duō（02308）</t>
  </si>
  <si>
    <t>剟</t>
  </si>
  <si>
    <t>[動]
1.用刀刺或割。《史記．卷八九．張耳陳餘傳》：「吏治榜笞數千、刺剟，身無可擊者，終不復言。」《漢書．卷四八．賈誼傳》：「盜者剟寢戶之簾，搴兩廟之器。」
2.削減、刪除。《商君書．定分》：「有敢剟定法令，損益一字以上，罪死不赦。」</t>
  </si>
  <si>
    <t>[動]
1.拾取。《詩經．周南．芣苢》：「采采芣苢，薄言掇之。」《韓非子．五蠹》：「鑠金百溢，盜跖不掇。」
2.採摘。《文選．曹操．短歌行》：「明明如月，何時可掇？」宋．歐陽修〈豐樂亭記〉：「掇幽芳而蔭喬木，風霜冰雪，刻露清秀。」
3.擇取。唐．白居易〈與元九書〉：「博搜精掇，編而次之。」
4.搬、端。《水滸傳》第二六回：「武松掇條凳子，卻坐在橫頭。」《儒林外史》第四回：「嚴家家人掇了一個食盒來，又提了一瓶酒。」
5.調轉、扭轉。明．王世貞《鳴鳳記》第五齣：「那時我就掇身轉來，就如奉承嚴家一般奉承他了。」
[形]
短。《莊子．秋水》：「掇而不跂，知時无止。」晉．郭象．注：「掇，猶短也。」</t>
  </si>
  <si>
    <t>(二)（又音）ㄉㄨㄛ duō（02310）</t>
  </si>
  <si>
    <t>毲</t>
  </si>
  <si>
    <t>[名]
古代蠻夷所編的毛織品。《集韻．入聲．末韻》：「毲，蠻夷織毛罽也。」《後漢書．卷八六．南蠻西南夷傳．西南夷傳》：「知染采文繡，罽毲帛疊，蘭干細布，織成文章綾錦。」</t>
  </si>
  <si>
    <t>敪</t>
  </si>
  <si>
    <t>裰</t>
  </si>
  <si>
    <t>[動]
縫補破衣。《廣韻．入聲．末韻》：「裰，補綴破衣也。」
[名]
參見「直裰」條。</t>
  </si>
  <si>
    <t>剫</t>
  </si>
  <si>
    <t>[動]
裁割、加工木材。《廣韻．入聲．鐸韻》：「剫，治木也。」</t>
  </si>
  <si>
    <t>奪</t>
  </si>
  <si>
    <t>[動]
1.強取。如：「搶奪」。《水滸傳》第六七回：「殺去東京，奪了鳥位子，卻不強似在這里鳥亂！」
2.削除、使失去。如：「剝奪」、「褫奪」。唐．皮日休〈十原系述．原刑〉：「苟有過，必諭之；諭而不可，奪其政。」
3.爭取。如：「爭奪」、「奪標」。清．洪昇《長生殿》第五齣：「繡幕雕軒，珠繞翠圍，爭妍奪俊。」
4.做決定。如：「定奪」、「裁奪」。
5.錯過。《孟子．梁惠王上》：「百畝之田，勿奪其時，數口之家可以無饑矣。」
6.衝過。如：「奪門而出」、「淚水奪眶而出」。
7.耀眼、眩目。如：「光彩奪目」。《紅樓夢》第二三回：「賈政一舉目，見寶玉站在跟前，神彩飄逸，秀色奪人。」
8.脫漏、漏掉。如：「訛奪」。《後漢書．卷六七．黨錮傳．李膺傳》：「本謂膺賢，遣子師之，豈可以漏奪名籍，苟安而已！」</t>
  </si>
  <si>
    <t>襗</t>
  </si>
  <si>
    <t>(一)ㄗㄜˊ zé（09464）</t>
  </si>
  <si>
    <t>鐸</t>
  </si>
  <si>
    <t>[名]
1.樂器名，打擊樂器。一種大鈴，通常為有柄有鈴舌，振舌發聲。古代用來宣佈政教法令或示警。材質多為金屬製或木製。如：「鈴鐸」、「木鐸」。
2.姓。如春秋時晉國有鐸遏寇。</t>
  </si>
  <si>
    <t>朵</t>
  </si>
  <si>
    <t>ㄉㄨㄛˇ</t>
  </si>
  <si>
    <t>duǒ</t>
  </si>
  <si>
    <t>[名]
1.植物的花或苞。如：「花朵」。唐．白居易〈新春江次〉詩：「粉片妝梅朵，金絲刷柳條。」
2.量詞。計算花或雲彩等團狀物的單位。如：「一朵花」、「幾朵白雲」、「浪花一朵朵」。唐．杜甫〈江畔獨步尋花七絕句〉之六：「黃四娘家花滿蹊，千朵萬朵壓枝低。」
[動]
參見「朵頤」條。</t>
  </si>
  <si>
    <t>垛</t>
  </si>
  <si>
    <t>[名]
1.建築物突出的部分。如：「城垛」、「門垛子」。明．湯顯祖《牡丹亭》第二四齣：「蒼苔滑擦，倚逗著斷垣低垛，因何蝴蝶門兒落合？」
2.箭靶。如：「射垛」。《太平廣記．卷二五〇．鄧玄挺》：「又嘗與謝佑同射，先自矜敏手，及至對射，數十發皆不中垛。」</t>
  </si>
  <si>
    <t>(一)ㄉㄨㄛˋ duò（02336）</t>
  </si>
  <si>
    <t>趓</t>
  </si>
  <si>
    <t>[動]
隱藏。如：「潛潛趓趓」。宋．陳德武〈清平樂．嬌聲嬌語〉詞：「趓在綠陰深處。」</t>
  </si>
  <si>
    <t>躲</t>
  </si>
  <si>
    <t xml:space="preserve">身 </t>
  </si>
  <si>
    <t>[動]
1.隱藏、藏身。如：「躲開」、「躲貓貓」。《醒世恆言．卷三．賣油郎獨占花魁》：「家中大小，躲得沒半個影兒。」
2.避開。如：「躲雨」、「躲避」、「明槍易躲，暗箭難防」。宋．陸游〈沁園春．孤鶴歸飛〉詞：「躲盡危機，消殘壯志，短艇湖中閒采蓴。」</t>
  </si>
  <si>
    <t>埵</t>
  </si>
  <si>
    <t>[名]
1.堅硬的土。《說文解字．土部》：「埵，堅土也。」
2.鎔冶金屬的器具。《淮南子．齊俗》：「鑪橐埵坊設，非巧冶不能以治金。」漢．高誘．注：「鑪、橐、埵皆冶具。」</t>
  </si>
  <si>
    <t>綞</t>
  </si>
  <si>
    <t>參見「綞子」條。</t>
  </si>
  <si>
    <t>鬌</t>
  </si>
  <si>
    <t>[名]
小孩剪髮後所餘留的頭髮。《禮記．內則》：「三月之末，擇日翦髮為鬌。」唐．孔穎達．正義：「三月翦髮所留不翦者謂之鬌。」</t>
  </si>
  <si>
    <t>(二)（又音）ㄉㄨㄛˋ duò（02348）</t>
  </si>
  <si>
    <t>嚲</t>
  </si>
  <si>
    <t>[形]
下垂的樣子。元．白樸《梧桐雨》第一折：「我把你半嚲的肩兒憑，他把個百媚臉兒擎。」</t>
  </si>
  <si>
    <t>灺</t>
  </si>
  <si>
    <t>ㄉㄨㄛˋ</t>
  </si>
  <si>
    <t>duò</t>
  </si>
  <si>
    <t>(一)ㄒㄧㄝˋ xiè（06949）</t>
  </si>
  <si>
    <t>[名]
控制行船方向的設備，多裝置在船尾。同「舵」。《淮南子．說林》：「心所說，毀舟為杕；心所欲，毀鐘為鐸。」</t>
  </si>
  <si>
    <t>(一)ㄉㄧˋ dì（02141）</t>
  </si>
  <si>
    <t>馱</t>
  </si>
  <si>
    <t>[名]
1.牲畜背上載負的東西。宋．陸游〈短歌示諸稚〉詩：「再歸又六年，疲馬欣解馱。」
2.量詞。計算牲口所載負物品的單位。如：「錦緞二十馱」、「接連進了十幾馱貨，倉庫都滿了。」</t>
  </si>
  <si>
    <t>(一)ㄊㄨㄛˊ tuó（02822）</t>
  </si>
  <si>
    <t>咄</t>
  </si>
  <si>
    <t>[動]
斥責、怒罵。《管子．形勢解》：「烏集之交，初雖相驩，後必相咄。」《聊齋志異．卷二．聶小倩》：「女云：『夜無知者。』甯又咄之。」
[歎]
1.表示呵叱。《史記．卷一二六．滑稽傳．褚少孫補郭舍人傳》：「郭舍人疾言罵之曰：『咄！老女子！何不疾行！』」
2.表示痛惜。《漢書．卷五四．李廣傳》：「立政曰：『咄！少卿良苦！』」</t>
  </si>
  <si>
    <t>柮</t>
  </si>
  <si>
    <t>參見「榾柮」條。</t>
  </si>
  <si>
    <t>飿</t>
  </si>
  <si>
    <t>參見「餶飿」條。</t>
  </si>
  <si>
    <t>剁</t>
  </si>
  <si>
    <t>[動]
用刀斬、切。如：「剁肉」、「剁餃子餡」。《聊齋志異．卷一．妖術》：「鬼益怒，吼如雷，轉身復剁。」</t>
  </si>
  <si>
    <t>[動]
堆積。如：「快把那些稻草綑垛起來！」
[名]
合攏成堆的東西。如：「草垛」、「柴火垛」。《儒林外史》第五二回：「那八塊方磚，齊齊整整，疊作一垛在階沿上，有四尺來高。」</t>
  </si>
  <si>
    <t>(一)ㄉㄨㄛˇ duǒ（02322）</t>
  </si>
  <si>
    <t>跺</t>
  </si>
  <si>
    <t>[動]
以腳用力踏地。《紅樓夢》第三四回：「林黛玉急的跺腳。」</t>
  </si>
  <si>
    <t>[動]
1.考慮、推測。如：「審度」、「揣度」。《詩經．大雅．抑》：「神之格思，不可度思矧可射思。」
2.測量。如：「量度」。漢．文帝〈議佐百姓詔〉：「夫度田非益寡，而計民未加益。」</t>
  </si>
  <si>
    <t>(一)ㄉㄨˋ dù（02302）</t>
  </si>
  <si>
    <t>踱</t>
  </si>
  <si>
    <t>[動]_x000D_
一步一步慢慢地走。常用來表示處在悠閒或思慮的狀態中。如：「踱方步」、「踱來踱去」。《文明小史》第三四回：「到第四日上，有一個秀才……躬身曲背的踱進店來。」</t>
  </si>
  <si>
    <t>柁</t>
  </si>
  <si>
    <t>[名]
置於船後，控制行進方向的設備。同「舵」。《紅樓夢》第五回：「只有一個機，乃木居士掌柁。」</t>
  </si>
  <si>
    <t>舵</t>
  </si>
  <si>
    <t>[名]
1.泛指交通工具上控制方向的設備。如：「升降舵」、「方向舵」。《老殘遊記》第一回：「樓下四人專管轉舵的事。」
2.比喻奮鬥的方針或憑藉。如：「把握住你人生之舵。」</t>
  </si>
  <si>
    <t>陊</t>
  </si>
  <si>
    <t>[動]
崩落、墜落。如：「陊落」。《文選．張衡．西京賦》：「程巧致功，期不陁陊。」三國吳．薛綜．注：「言皆程擇好匠，令盡致其功，夫既牢又固不傾陊也。」</t>
  </si>
  <si>
    <t>跢</t>
  </si>
  <si>
    <t>[動]
用力踏地。清．孔尚任《桃花扇》第三八齣：「今夜揚州城陷，逃到此間，聞的皇帝已走，跢了跢腳，跳下江去了。」</t>
  </si>
  <si>
    <t>惰</t>
  </si>
  <si>
    <t>[形]
懈怠、懶散。如：「惰性」。《書經．盤庚》：「惰農自安，不昏作勞。」</t>
  </si>
  <si>
    <t>墯</t>
  </si>
  <si>
    <t>[動]
墜落、掉落。《後漢書．卷二四．馬援傳》：「仰視飛鳶跕跕墯水中。」
[形]
懈怠、懶散。《新唐書．卷一六九．韋貫之傳》：「有司弛墯不力，正可黜慢官，懲不恪，擇可任者繕完之。」</t>
  </si>
  <si>
    <t>墮</t>
  </si>
  <si>
    <t>[動]
落、掉。如：「墮落」、「墮入海中」。《史記．卷五五．留侯世家》：「有一老父，衣褐，至良所，直墮其履圯下。」
[形]
怠慢。通「惰」。如：「墮民」。</t>
  </si>
  <si>
    <t>(二)ㄏㄨㄟ huī（05097）</t>
  </si>
  <si>
    <t>嶞</t>
  </si>
  <si>
    <t>[形]
山狹而長。《詩經．周頌．般》：「嶞山喬嶽，允猶翕河。」</t>
  </si>
  <si>
    <t>(一)ㄉㄨㄛˇ duǒ（02327）</t>
  </si>
  <si>
    <t>追</t>
  </si>
  <si>
    <t>ㄉㄨㄟ</t>
  </si>
  <si>
    <t>duī</t>
  </si>
  <si>
    <t>[名]
鐘紐。《孟子．盡心下》：「高子曰：『禹之聲，尚文王之聲。』孟子曰：『何以言之？』曰：『以追蠡。』」漢．趙岐．注：「追，鐘鈕也。鈕磨齧處深矣。蠡，欲絕之貌也。」
[動]
雕、雕琢。《詩經．大雅．棫樸》：「追琢其章，金玉其相。」《周禮．天官．追師》：「掌王后之首服，為副編次追衡笄。」漢．鄭玄．注：「追，猶治也。」</t>
  </si>
  <si>
    <t>(一)ㄓㄨㄟ zhuī（08074）</t>
  </si>
  <si>
    <t>堆</t>
  </si>
  <si>
    <t>[名]
1.積聚成小山的東西。如：「土堆」、「瓦礫堆」、「柴火堆」。
2.量詞。計算堆積物、成群人的單位。如：「一堆土」、「兩堆人」。
3.地名用字。如屏東縣的六堆，大陸地區四川省奉節縣東瞿塘峽口的灩澦堆。
[動]
1.積聚。如：「堆恨成仇」。
2.用手或工具把東西聚積起來。如：「把白菜堆在院子裡。」、「把書堆在桌子上。」</t>
  </si>
  <si>
    <t>敦</t>
  </si>
  <si>
    <t>[動]
催逼、逼迫。《詩經．邶風．北門》：「王事敦我，政事一埤遺我。」
[副]
孤獨的樣子。《詩經．豳風．東山》：「敦彼獨宿，亦在車下。」</t>
  </si>
  <si>
    <t>(一)ㄉㄨㄣ dūn（02373）(二)ㄉㄨㄣˋ dǔn（02387）(四)ㄉㄨㄟˋ duì（02353）</t>
  </si>
  <si>
    <t>兌</t>
  </si>
  <si>
    <t>ㄉㄨㄟˋ</t>
  </si>
  <si>
    <t>duì</t>
  </si>
  <si>
    <t>[動]
1.交換。如：「兌換」。唐．丁仙芝〈餘杭醉歌贈吳山人〉詩：「十千兌得餘杭酒，二月春城長命杯。」
2.憑票據支付或領取現金。如：「兌現」、「匯兌」、「擠兌」。
3.攙入。如：「這水太燙了，兌點冷水進去。」
4.拚、搏。《京本通俗小說．錯斬崔寧》：「你這剪徑的毛團！我須是認得你。做這老性命著與你兌了罷！」
[名]
《易經》卦名：(1)八卦之一。卦形是☱，代表沼澤。(2)六十四卦之一。兌（☱）下兌（☱）上。象亨通而利於守正之義。</t>
  </si>
  <si>
    <t>[名]
古代用來盛黍、稷、稻、粱等的器具。形狀多種，一般為三短足，圓腹，二環耳，有蓋。有的蓋子也能翻轉過來使用。圈足的敦，蓋上多有捉手。流行於春秋戰國時期。《禮記．明堂位》：「有虞氏之兩敦，夏后氏之四連。」漢．鄭玄．注：「敦，黍稷器。」</t>
  </si>
  <si>
    <t>(一)ㄉㄨㄣ dūn（02373）(二)ㄉㄨㄣˋ dǔn（02387）(三)ㄉㄨㄟ duī（02351）</t>
  </si>
  <si>
    <t>憝</t>
  </si>
  <si>
    <t>[動]
怨恨、憎惡。《書經．康誥》：「殺越人于貨，暋不畏死，罔弗憝。」
[形]
凶惡、奸惡。《文選．潘岳．西征賦》：「慍韓馬之大憝，阻關谷以稱亂。」《新唐書．卷一五四．李晟傳》：「晟蕩夷兇憝，而市不易廛。」</t>
  </si>
  <si>
    <t>錞</t>
  </si>
  <si>
    <t>[名]
矛戟柄末端的平底金屬套。《詩經．秦風．小戎》：「俴駟孔群，厹矛鋈錞，蒙伐有苑。」《淮南子．說林》：「錞之與刃，孰先弊也？」漢．高誘．注：「錞，矜下銅鐏也。」</t>
  </si>
  <si>
    <t>(一)ㄔㄨㄣˊ chún（08641）</t>
  </si>
  <si>
    <t>隊</t>
  </si>
  <si>
    <t>[名]
1.行列。如：「車隊」、「排隊」。
2.集合多人而成的團體。如：「排球隊」、「探險隊」、「消防隊」、「游擊隊」。
3.軍旅、部卒。如：「軍隊」、「部隊」。
4.量詞。計算成隊的人或物的單位。如：「一隊人馬」。明．徐弘祖《徐霞客遊記．卷四上．粵西遊日記四》：「洞之西垂，又有石柱一隊，外自洞口排列，抵洞後西界，別成長榭。」</t>
  </si>
  <si>
    <t>碓</t>
  </si>
  <si>
    <t>[名]
舂米的用具。《廣韻．去聲．隊韻》：「碓，杵臼。」宋．陸游〈小舟游近村捨舟步歸〉詩四首之一：「數家茅屋自成村，地碓聲中晝掩門。」《西遊記》第一九回：「那怪撲的跪下，望空似搗碓的一般，只管磕頭。」</t>
  </si>
  <si>
    <t>對</t>
  </si>
  <si>
    <t>[動]
1.回答地位高的人所提的問題或接續他們的說話。《左傳．隱公元年》：「公問之。對曰：『小人有母，皆嘗小人之食矣，未嘗君之羹。』」
2.一般的應答。如：「無言以對」。
3.對待、看待。如：「對人誠懇」。
4.朝著、向著。如：「槍口對準靶子」、「面對面」、「對著天空」。《文選．曹操．短歌行》：「對酒當歌，人生幾何？」
5.相合、投合。如：「對症下藥」。
6.比照檢查。如：「校對」、「對指紋」、「對身分證」。
7.調整使合標準。如：「將焦距對好」。
8.攙入。如：「再對些熱水進去，否則太冷了。」
9.使兩種事物配合在一起。如：「把門對上」、「對對子」。
10. 雙方抗爭起來。如：「他們怒目相向，對起來了。」
[名]
1.成雙的人或物。如：「他們正好配成對。」
2.對聯的簡稱。如：「對子」、「門對」、「喜對」。
3.量詞。計算成雙的人或物的單位。如：「一對鐲子」、「三對夫妻」。
[形]
1.對面的。如：「對岸」、「對方」。
2.正確、正常的。如：「數目不對」、「神色不對」。
[介]
表示動作的對象。如：「他對你說什麼？」、「我對環境不熟。」</t>
  </si>
  <si>
    <t>薱</t>
  </si>
  <si>
    <t>[形]
草木茂盛。《文選．張衡．西京賦》：「鬱蓊薆薱。」唐．李善．注：「皆草木盛貌也。」</t>
  </si>
  <si>
    <t>懟</t>
  </si>
  <si>
    <t>[動]
怨恨、埋怨。如：「怨懟」、「忿懟」。《左傳．僖公二十四年》：「盍亦求之，以死誰懟？」《聊齋志異．卷一．王成》：「主人懟曰：『我言如何，子乃急自鬻也？』」</t>
  </si>
  <si>
    <t>耑</t>
  </si>
  <si>
    <t xml:space="preserve">而 </t>
  </si>
  <si>
    <t>ㄉㄨㄢ</t>
  </si>
  <si>
    <t>duān</t>
  </si>
  <si>
    <t>[名]
1.事物的起始。通「端」。《漢書．卷三〇．藝文志》：「言感物造耑，材知深美。」
2.器物的尖端。《周禮．冬官考工記．磬氏》：「已上則摩其旁，已下則摩其耑。」</t>
  </si>
  <si>
    <t>(二)ㄓㄨㄢ zhuān（08083）</t>
  </si>
  <si>
    <t>端</t>
  </si>
  <si>
    <t xml:space="preserve">立 </t>
  </si>
  <si>
    <t>[名]_x000D_
1.事物的兩頭皆稱為「端」。如：「尖端」、「末端」、「筆端」。《論語．子罕》：「我叩其兩端而竭焉。」明．徐弘祖《徐霞客遊記．卷三下．粵西遊日記二》：「岐中倒垂一乳，長數丈，其端空懸，水由端涓涓下。」_x000D_
2.事物的起始、原因。如：「開端」、「發端」、「事端」、「挑起戰端」。《孟子．公孫丑》：「惻隱之心，仁之端也。」《史記．卷七七．魏公子列傳》：「今有難，無他端而欲赴秦軍，譬若以肉投餒虎，何功之有哉？」《三國演義》第一六回：「公若應之，是疲於奔命，而又結怨於人；若其不允，是棄親而啟兵端也。」_x000D_
3.項目、方面。如：「鬼計多端」、「變化萬端」、「舉其一端」。《儒林外史》第三四回：「是這等樣，天下無妻子的人或者也少幾個，也是培補元氣之一端。」_x000D_
4.心思、思緒。南朝宋．劉義慶《世說新語．言語》：「衛洗馬初欲渡江，形神慘悴語左右云：『見此芒芒，不覺百端交集。』」唐．杜甫〈自京赴奉先縣詠懷五百字〉詩：「憂端齊終南，澒洞不可掇。」_x000D_
5.古代布帛的長度單位。通常一端約等於一匹。《初刻拍案驚奇》卷一：「除了文若虛，每人送緞子二端。」《儒林外史》第四二回：「次日，大爺備了八把點銅壺、兩瓶山羊血、四端苗錦、六簍貢茶，叫人挑著。」_x000D_
6.姓。如明代有端孝思。_x000D_
[形]_x000D_
正、直、不歪斜。如：「舉止端正」、「品行不端」。《禮記．玉藻》：「目容端，口容止。」《孟子．離婁下》：「夫尹公之他，端人也，其取友必端矣。」《醒世姻緣傳》第一三回：「將詳文書冊，俱一一寫得端正，批上簽了花押。」_x000D_
[動]_x000D_
1.以手托物。如：「端碗」、「端菜上桌」。《醒世姻緣傳》第五六回：「他起五更睡半夜，與主母梳頭纏腳，洗面穿衣，端茶掇飯，再也沒些怨聲。」_x000D_
2.擺。如：「端架子」、「把問題都端到檯面上討論」。_x000D_
[副]_x000D_
1.到底、究竟。宋．王安石〈龍泉寺石井〉詩二首之二：「四海旱多霖雨少，此中端有臥龍無？」宋．陸游〈幽事〉詩：「餘年端有幾？風月且婆娑。」_x000D_
2.果真。宋．蘇軾〈水龍吟．小舟橫截春江〉詞：「武昌南岸，昔遊應記。料多情夢裡，端來見我，也參差是。」</t>
  </si>
  <si>
    <t>短</t>
  </si>
  <si>
    <t>ㄉㄨㄢˇ</t>
  </si>
  <si>
    <t>duǎn</t>
  </si>
  <si>
    <t>[形]
長的相反詞：(1)指距離或長度小。如：「短刀」、「短裙」。(2)指時間少。如：「晝長夜短」。《書經．堯典》：「日短星昴，以正仲冬。」(3)指才氣少。如：「短才」。《晉書．卷六二．劉琨傳》：「以臣愚短，當此至難，憂如循環，不遑寢食。」
[名]
過失、缺點。如：「護短」、「揭短」、「說長道短」、「截長補短」。
[動]
1.缺少。《官話指南．卷二．官商吐屬》：「我這兒短了兩隻白皮箱。」
2.說別人壞話。《史記．卷八四．屈原賈生傳》：「令尹子蘭聞之大怒，卒使上官大夫短屈原於頃襄王，頃襄王怒而遷之。」
3.搶劫。《儒林外史》第四回：「嚴鄉紳執意不肯，把小的的驢和米同稍袋都叫人短了家去。」</t>
  </si>
  <si>
    <t>段</t>
  </si>
  <si>
    <t>ㄉㄨㄢˋ</t>
  </si>
  <si>
    <t>duàn</t>
  </si>
  <si>
    <t>[名]
1.量詞：(1)計算長條物分成若干部分的單位。如：「兩段木頭」、「把這線剪成數小段。」(2)計算具有延續性質事物段落的單位。如：「一段路」、「一段情」、「一段話」、「一段時間」。
2.工廠、工礦或鐵公路組織中的一種任務編組。如：「工務段」、「機務段」。
3.姓。如唐代有段成式，清代有段玉裁。</t>
  </si>
  <si>
    <t>腶</t>
  </si>
  <si>
    <t>[名]
腶脩：加以薑桂，捶擣所製成的肉乾。《集韻．去聲．換韻》：「腶，腶脩，捶脯施薑桂也。」《禮記．郊特牲》：「大饗尚腶脩而已矣。」《新唐書．卷一六四．歸崇敬傳》：「學生謁師，贄用腶脩一束，酒一壺，衫布一裁，色如師所服。」</t>
  </si>
  <si>
    <t>碫</t>
  </si>
  <si>
    <t>[名]
磨刀石。《廣韻．去聲．換韻》：「碫，礪石。」</t>
  </si>
  <si>
    <t>緞</t>
  </si>
  <si>
    <t>[名]
質地厚密，一面平滑有光彩的絲織品。如：「錦緞」、「綢緞」。</t>
  </si>
  <si>
    <t>毈</t>
  </si>
  <si>
    <t>[動]
孵不出小鳥。《淮南子．原道》：「獸胎不贕，鳥卵不毈。」漢．高誘．注：「卵不成鳥曰毈。」</t>
  </si>
  <si>
    <t>鍛</t>
  </si>
  <si>
    <t>[動]
將金屬放入火中燒紅，再用鐵錘搥打。如：「鍛鍊」、「鍛造」、「鍛工」、「鍛接」。《書經．費誓》：「備乃弓矢，鍛乃戈矛，礪乃鋒刃，無敢不善。」《晉書．卷四九．嵇康傳》：「初，康居貧，嘗與向秀共鍛於大樹之下，以自贍給。」
[名]
磨刀石。同「碫」。《詩經．大雅．公劉》：「涉渭為亂，取厲取鍛。」漢．毛亨．傳：「鍛，石也。」</t>
  </si>
  <si>
    <t>斷</t>
  </si>
  <si>
    <t>[動]
1.截開。如：「砍斷」、「割斷」。《易經．繫辭下》：「斷木為杵。」
2.隔絕、不延續。如：「中斷」、「望斷」、「斷了音訊」、「恩斷義絕」。唐．白居易〈後宮詞〉：「紅顏未老恩先斷，斜倚熏籠坐到明。」
3.戒除。如：「斷菸」、「斷奶」、「斷酒」。
4.決定、判定。如：「診斷」、「當機立斷」、「優柔寡斷」。《漢書．卷六八．霍光傳》：「當斷不斷，反受其亂。」
[副]
絕對的。如：「斷無此理」、「此事斷然做不得。」</t>
  </si>
  <si>
    <t>籪</t>
  </si>
  <si>
    <t>[名]
插置在水中，便於捕捉魚、蝦、螃蟹等的竹柵。如：「魚籪」。</t>
  </si>
  <si>
    <t>惇</t>
  </si>
  <si>
    <t>ㄉㄨㄣ</t>
  </si>
  <si>
    <t>dūn</t>
  </si>
  <si>
    <t>[形]
篤厚、信實。如：「風惇俗厚」。《書經．舜典》：「柔遠能邇，惇德允元。」漢．孔安國．傳：「敦，厚也。」
[動]
1.勸勉。《文選．班固．西都賦》：「命夫惇誨故老、名儒、師傅，講論乎六藝，稽合乎同異。」
2.重視、推崇。《書經．武成》：「惇信明義，崇德報功，垂拱而天下治。」</t>
  </si>
  <si>
    <t>[動]
1.督理。如：「敦促」。《孟子．公孫丑下》：「前日不知虞之不肖，使虞敦匠事。」《抱朴子．外篇．安貧》：「今吾子督余以誨盜之業，敦余以召賊之策。」
2.和睦、使融洽。如：「敦親睦鄰」。
[形]
質樸、篤厚。如：「敦厚」。《孟子．萬章下》：「故聞柳下惠之風者，鄙夫寬，薄夫敦。」漢．王符《潛夫論．實貢》：「夫修身慎行，敦方正直，清廉潔白，恬淡無為，化之本也。」
[副]
誠懇。如：「敦聘」、「敦請」。
[名]
姓。如春秋時衛國有敦治。</t>
  </si>
  <si>
    <t>(二)ㄉㄨㄣˋ dǔn（02387）(三)ㄉㄨㄟ duī（02351）(四)ㄉㄨㄟˋ duì（02353）</t>
  </si>
  <si>
    <t>墩</t>
  </si>
  <si>
    <t>[名]
1.沙土堆成的高丘。如：「土墩」、「沙墩」。
2.用來支撐、墊物的粗壯木石或磚石所砌成的基礎。如：「橋墩」、「木墩」、「門墩」、「石墩」。
3.量詞。計算叢生植物的單位。同「叢」、「束」。如：「一墩麻條」。
4.術數用語。指隆起的地形。《儒林外史》第四五回：「從浦口山上發脈，一個墩，一個砲。」</t>
  </si>
  <si>
    <t>燉</t>
  </si>
  <si>
    <t>[形]
火勢旺盛。《玉篇．火部》：「燉，火盛貌。」
[名]
燉煌：地名。參見「敦煌」條。</t>
  </si>
  <si>
    <t>(一)ㄉㄨㄣˋ dǔn（02388）</t>
  </si>
  <si>
    <t>蹲</t>
  </si>
  <si>
    <t>[動]
1.彎曲兩腿，臀部虛坐而不著地。如：「蹲踞」、「蹲下」。
2.留、閒居。《老殘遊記》第一回：「這麼長天大日的，老殘，你蹲在家裡做甚？」</t>
  </si>
  <si>
    <t>(二)ㄘㄨㄣˊ cún（09906）</t>
  </si>
  <si>
    <t>盹</t>
  </si>
  <si>
    <t>ㄉㄨㄣˇ</t>
  </si>
  <si>
    <t>dǔn</t>
  </si>
  <si>
    <t>[名]
時間很短的睡眠。如：「打盹兒」、「醒盹兒」。元．喬吉《揚州夢》第二折：「適纔剛打了一個盹，又早晚了也。」
[動]
閉目小睡。《董西廂》卷七：「中袖與枕頭兒都是淚痕，一夜家無眠白日盹。」元．王實甫《西廂記．第二本．第一折》：「紅娘呵，我只索搭伏定鮫綃枕頭兒上盹。」</t>
  </si>
  <si>
    <t>躉</t>
  </si>
  <si>
    <t>[動]
整批的購入。如：「現躉現賣」。《里語徵實．卷上．一字徵實》引《人生要覽》：「貴時卸丟，賤時躉。」
[副]
成批的。如：「躉售」、「躉買」。</t>
  </si>
  <si>
    <t>沌</t>
  </si>
  <si>
    <t>ㄉㄨㄣˋ</t>
  </si>
  <si>
    <t>dùn</t>
  </si>
  <si>
    <t>參見「混沌」條。</t>
  </si>
  <si>
    <t>庉</t>
  </si>
  <si>
    <t>[名]
樓牆。《說文解字．广部》：「庉，樓牆也。」
[擬]
參見「庉庉」條。</t>
  </si>
  <si>
    <t>(二)ㄊㄨㄣˊ tún（02869A）</t>
  </si>
  <si>
    <t>囤</t>
  </si>
  <si>
    <t>[名]
用竹篾、荊柳條、稻草等編成或用竹蓆所圍成的盛糧器具。如：「米囤」、「麥囤」。唐．貫休〈山居〉詩二四首之一七：「且為小囤盛紅粟，別有珍禽勝白鷗。」《老殘遊記》第一四回：「囤子裡的散糧被亂人搶了一個精光，只有潑灑在地上的，掃了掃，還有兩三擔糧食。」</t>
  </si>
  <si>
    <t>(二)ㄊㄨㄣˊ tún（02871）</t>
  </si>
  <si>
    <t>鈍</t>
  </si>
  <si>
    <t>[形]
1.不銳利。如：「鈍刀」、「鈍器」。
2.笨、呆、蠢。如：「遲鈍」、「愚鈍」、「魯鈍」。元．楊景賢《劉行首》第三折：「休笑我妝鈍妝呆，看了幾千場柳凋花謝。」</t>
  </si>
  <si>
    <t>飩</t>
  </si>
  <si>
    <t>參見「餛飩」條。</t>
  </si>
  <si>
    <t>(二)（又音）ㄊㄨㄣˊ tún（02874）</t>
  </si>
  <si>
    <t>[動]
1.以頭或足叩地。如：「頓首」、「頓腳」。唐．杜甫〈兵車行〉：「牽衣頓足攔道哭，哭聲直上干雲霄。」
2.暫停、停留。如：「停頓」。《文選．郭璞．遊仙詩七首之四》：「六龍安可頓，運流有代謝。」
3.安置、放置。如：「安頓」。宋．楊萬里〈城頭秋望〉詩二首之一：「秋光好處頓胡床，旋喚茶甌淺著湯。」
4.整治。如：「整頓」。《資治通鑑．卷二．周紀二．顯王四十八年》：「夫賢者，其德足以敦化正俗，其才足以頓綱振紀。」
5.屯兵、駐紮。通「屯」。《韓非子．五蠹》：「萬乘之國，莫敢自頓於堅城之下，而使強敵裁其弊也。」
[形]
1.疲倦。如：「困頓」、「委頓」。《孫子．謀攻》：「必以全爭於天下，故兵不頓而利可全。」
2.鈍、不鋒利。漢．賈誼〈治安策〉：「屠牛坦一朝解十二牛，而芒刃不頓者，所排擊剝割，皆眾理解也。」
3.傾倒、毀壞。《資治通鑑．卷六五．漢紀五十七．獻帝建安十三年》：「舟船戰具，頓廢不脩。」
[名]
1.量詞。計算吃飯、斥責等行為次數的單位。如：「吃一頓飯」、「痛打一頓」。
2.姓。如漢代有頓琦。
[副]
立刻、突然。如：「頓悟」、「茅塞頓開」。《紅樓夢》第五回：「勘破三春景不長，緇衣頓改昔年妝。」</t>
  </si>
  <si>
    <t>(二)ㄉㄨˊ dú（02280）</t>
  </si>
  <si>
    <t>噸</t>
  </si>
  <si>
    <t>[量]_x000D_
1.表示質量和重量的單位。公制一公噸等於一千公斤；在英制中，一噸等於一千零一十六點零四六九公斤，也稱為「長噸」；但在美加地區，一噸等於九百零七點一八四七公斤，也稱為「短噸」。_x000D_
2.計算船艙容積的單位。一噸等於一百立方英尺或二點八三立方公尺。_x000D_
3.計算船載貨體積的單位。一噸等於四十立方英尺或一點一三二八立方公尺。</t>
  </si>
  <si>
    <t>盾</t>
  </si>
  <si>
    <t>[名]
1.一種抵禦敵人矢刃等攻擊，保護己身安全的兵器。如：「盾牌」、「籐盾」、「金劍神盾」。
2.比喻支持或援助的力量。如：「深厚的民意基礎是他強而有力的後盾。」
3.盾形的物品。多用作獎牌或紀念品。如：「銀盾」、「金盾」。
4.荷蘭、越南、印尼等國貨幣單位的簡稱。</t>
  </si>
  <si>
    <t>(二)（又音）ㄕㄨㄣˇ shǔn（09155）</t>
  </si>
  <si>
    <t>遁</t>
  </si>
  <si>
    <t>[動]
1.逃走。如：「逃遁」、「尿遁」、「地遁」、「遠遁」。《左傳．襄公十八年》：「丙寅晦，齊師夜遁。」
2.逃避。《史記．卷一二二．酷吏傳．序》：「昔天下之網嘗密矣，然姦偽萌起，其極也，上下相遁，至於不振。」
3.隱匿。《後漢書．卷八一．范冉傳》：「因遁身逃命於梁沛之間，徒行敝服，賣卜於市。」</t>
  </si>
  <si>
    <t>[形]
不明朗、不開通。通「沌」。如：「渾敦」。</t>
  </si>
  <si>
    <t>(一)ㄉㄨㄣ dūn（02373）(三)ㄉㄨㄟ duī（02351）(四)ㄉㄨㄟˋ duì（02353）</t>
  </si>
  <si>
    <t>[動]
烹調方法：(1)將食物加水，用文火慢煮使爛熟。如：「清燉」、「燉雞」。(2)將食物放入盅或陶罐中，隔水以慢火煨煮使材料熟軟。如：「鳳爪燉冬菇」。</t>
  </si>
  <si>
    <t>(二)ㄉㄨㄣ dūn（02375）</t>
  </si>
  <si>
    <t>遯</t>
  </si>
  <si>
    <t>[名]
《易經》卦名。六十四卦之一。艮（☶）下乾（☰）上，表隱退之象。
[動]
逃。同「遁」。如：「遯走」、「遯跡山林」。</t>
  </si>
  <si>
    <t>冬</t>
  </si>
  <si>
    <t>ㄉㄨㄥ</t>
  </si>
  <si>
    <t>dōng</t>
  </si>
  <si>
    <t>[名]_x000D_
1.一年四季中的最後一季。農曆指立冬至立春的時期，一般而言氣溫較低。若以北半球氣候論，概指十一月或十二月至翌年的二月或三月期間。如：「寒冬」、「殘冬」、「冬天」。_x000D_
2.姓。如三國時有冬逢。</t>
  </si>
  <si>
    <t>咚</t>
  </si>
  <si>
    <t>[擬]_x000D_
模擬撞擊或敲鼓的聲音。如：「咕咚一聲」、「咚咚的鼓聲」。</t>
  </si>
  <si>
    <t>氡</t>
  </si>
  <si>
    <t>[名]
（radon，Rn）化學元素。原子序86。全部同位素都具放射性，為一種鈍氣。可從鐳放射性衰變中以氣體射氣的形式獲得。在醫學上通常用來治療惡性腫瘤。也稱為「鐳射氣」。</t>
  </si>
  <si>
    <t>鼕</t>
  </si>
  <si>
    <t>[擬]_x000D_
模擬敲鼓、敲門等的聲音。如：「鼓聲鼕鼕」、「鼕鼕鼕……，一陣急促的敲門聲，驚醒了屋內熟睡的人們。」唐．劉禹錫〈同白二十二贈王山人〉詩：「笑聽鼕鼕朝暮鼓，只能催得市朝人。」</t>
  </si>
  <si>
    <t>東</t>
  </si>
  <si>
    <t>[名]
1.方位名。日出的一方。與「西」相對。《書經．禹貢》：「南至于華陰，東至于底柱。」
2.主人。由於古時主位在東，客位在西，所以稱主人為「東」。如：「房東」、「店東」。唐．杜甫〈偪仄行贈畢曜〉詩：「東家蹇驢許借我，泥滑不敢騎朝天。」
3.請客出錢的人。如：「今天我作東，請大家吃飯。」
4.姓。如元代有東良會。</t>
  </si>
  <si>
    <t>涷</t>
  </si>
  <si>
    <t>(一)ㄉㄨㄥˋ dòng（02406）</t>
  </si>
  <si>
    <t>蝀</t>
  </si>
  <si>
    <t>(二)（又音）ㄉㄨㄥˋ dòng（02408）</t>
  </si>
  <si>
    <t>董</t>
  </si>
  <si>
    <t>ㄉㄨㄥˇ</t>
  </si>
  <si>
    <t>dǒng</t>
  </si>
  <si>
    <t>[名]
1.董事或董事長的簡稱。如：「校董」、「常董」、「李董」。
2.參見「古董」條。
3.姓。如漢代有董仲舒。
[動]
1.監督。如：「董理」。《書經．大禹謨》：「戒之用休，董之用威。」《文選．陸機．漢高祖功臣頌》：「肅肅荊王，董我三軍。」
2.匡正。《後漢書．卷六七．岑晊傳》：「雖在閭里，慨然有董正天下之志。」唐．魏徵〈論時政疏〉：「雖董之以嚴刑，震之以威怒。」</t>
  </si>
  <si>
    <t>懂</t>
  </si>
  <si>
    <t>[動]
明白、了解。如：「懂道理」、「懂事」、「看懂了」。
[形]
參見「瞢懂」條。</t>
  </si>
  <si>
    <t>侗</t>
  </si>
  <si>
    <t>ㄉㄨㄥˋ</t>
  </si>
  <si>
    <t>dòng</t>
  </si>
  <si>
    <t>[名]
中國少數民族之一。參見「侗族」條。</t>
  </si>
  <si>
    <t>(一)ㄊㄨㄥˊ tóng（02884）</t>
  </si>
  <si>
    <t>洞</t>
  </si>
  <si>
    <t>[名]
1.深穴。如：「壁洞」、「山洞」。
2.穿破的孔。如：「衣服破了一個洞。」
3.口語中用來代替數目字的「零」。如：「洞洞拐」。
[動]
深察。南朝梁．劉勰《文心雕龍．宗經》：「洞性靈之奧區，極文章之骨髓者也。」
[副]
透澈、明白。如：「洞悉」、「洞察」。</t>
  </si>
  <si>
    <t>(二)ㄊㄨㄥˊ tóng（02885）</t>
  </si>
  <si>
    <t>恫</t>
  </si>
  <si>
    <t>參見「恫喝」、「恫嚇」等條。</t>
  </si>
  <si>
    <t>(一)ㄊㄨㄥ tōng（02880）</t>
  </si>
  <si>
    <t>垌</t>
  </si>
  <si>
    <t>[名]_x000D_
地名用字。如：廣東有「儒垌」、廣西有「麻垌鎮」。</t>
  </si>
  <si>
    <t>(二)ㄊㄨㄥˊ tóng（02886）</t>
  </si>
  <si>
    <t>峒</t>
  </si>
  <si>
    <t>[名]
1.早期大陸地區海南島黎族政治組織的名稱。各峒以山嶺、河流為界，有固定的地域。如：「峒長」。
2.地名用字：(1)苗、傜、僮、侗等民族的聚居區域。分布在大陸地區廣西、貴州等部分山區。如「苗峒」、「黃峒」。(2)山洞。如：「峒中」、「吉峒坪」。</t>
  </si>
  <si>
    <t>(一)ㄊㄨㄥˊ tóng（02888）</t>
  </si>
  <si>
    <t>胴</t>
  </si>
  <si>
    <t>[名]_x000D_
人或動物的軀幹。如：「胴體」。</t>
  </si>
  <si>
    <t>凍</t>
  </si>
  <si>
    <t>[名]
1.食物湯汁或含有膠質材料的汁液等，凝結成的半固體。如：「魚凍」、「肉凍」、「果凍」。
2.姓。如明代有凍秦。
[動]
1.液體或含水分的東西遇冷而凝結。如：「冰凍」、「冷凍」、「天寒地凍」。《禮記．月令》：「孟冬之月，……水始冰，地始凍。」唐．李賀〈贈陳商〉詩：「柴門車轍凍，日下榆影瘦。」
2.受冷或感到冷。如：「凍得發抖。」</t>
  </si>
  <si>
    <t>[名]
1.河川名。源出大陸地區山西省長子縣發鳩山而注入黃河。
2.暴雨。《楚辭．屈原．九歌．大司命》：「令飄風兮先驅，使涷雨兮灑塵。」</t>
  </si>
  <si>
    <t>(二)（又音）ㄉㄨㄥ dōng（02395）</t>
  </si>
  <si>
    <t>棟</t>
  </si>
  <si>
    <t>[名]
1.房屋的正梁。《左傳．襄公三十一年》：「子於鄭國，棟也。」《國語．魯語上》：「不厚其棟，不能任重。」
2.量詞。計算房屋建築物的單位。如：「一棟房屋」。</t>
  </si>
  <si>
    <t>(一)ㄉㄨㄥ dōng（02396）</t>
  </si>
  <si>
    <t>動</t>
  </si>
  <si>
    <t>[動]
1.事物改變原來位置或脫離靜止狀態。與「靜」相對。如：「別動我的東西！」、「風吹草動」、「動一動，比較不冷」。
2.使用。如：「動筆」、「動刀」、「動腦筋」、「動心思」。
3.有所作為、開始做。如：「大家肯合作，動起來就快了！」、「動工」、「動身」。
4.觸發、感觸。如：「動怒」、「動人」、「感動」、「心動」。
5.吃。如：「他向來不動葷腥。」
[副]
1.每每、往往。如：「動輒得咎」。唐．杜甫〈贈衛八處士〉詩：「人生不相見，動如參與商。」唐．白居易〈與元微之書〉：「每一獨往，動彌旬日。」
2.用在動詞之後，表示效果。如：「提不動」、「你說動他了嗎？」。</t>
  </si>
  <si>
    <t>湩</t>
  </si>
  <si>
    <t>[名]
乳汁。《穆天子傳》卷四：「具牛羊之湩，以洗天子之足。」《後漢書．卷八一．獨行傳．李善傳》：「親自哺養，乳為生湩。」唐．章懷太子．注：「湩，乳汁也。」</t>
  </si>
  <si>
    <t>它</t>
  </si>
  <si>
    <t>ㄊㄚ</t>
  </si>
  <si>
    <t>tā</t>
  </si>
  <si>
    <t>[名]_x000D_
蛇。《玉篇．它部》：「它，蛇也。」_x000D_
[代]_x000D_
第三人稱代詞。代指人以外的動物、植物或事物。如：「桂花很香，可以用它來泡茶。」_x000D_
[形]_x000D_
1.別的、其他的。如：「敢有它志」。《荀子．議兵》：「是故刑罰省而威流，無它故焉，由其道故也。」南朝宋．劉義慶《世說新語．方正》：「它人能令疏親，臣不能使親疏。」_x000D_
2.虛指。用在動詞後面。如：「吃它一頓再走」、「何不試它一回」。</t>
  </si>
  <si>
    <t>(二)（(一)之又音）ㄊㄨㄛ tuō（02794）(三)ㄊㄨㄛˊ tuó（02807）</t>
  </si>
  <si>
    <t>佗</t>
  </si>
  <si>
    <t>[代]
同「他」。《說文解字．人部》「它」字．清．段玉裁．注：「其字或叚佗為之，又俗作他。」《文選．陸機．文賦》：「佗日殆可謂曲盡其妙。」</t>
  </si>
  <si>
    <t>(一)ㄊㄨㄛ tuō（02795）(二)ㄊㄨㄛˊ tuó（02808）</t>
  </si>
  <si>
    <t>鉈</t>
  </si>
  <si>
    <t>[名]
（thallium，Tl）化學元素。原子序81。金屬元素之一。不溶於水，可溶於硝酸和硫酸。鉈化合物有毒。可用為光電管、溫度計及光學玻璃的原料。天然的鉈以微量存於鐵、鋅等硫化物礦中。</t>
  </si>
  <si>
    <t>他</t>
  </si>
  <si>
    <t>[代]
第三人稱代名詞。指稱你我以外的第三人。《三國演義》第一〇回：「王方欺他年幼，躍馬迎戰。」《老殘遊記二編》第二回：「且等今晚試試他的口氣，他若肯了，不怕他師父不肯。」
[形]
另外的、別的。如：「他人」、「他日」、「他家的事」。《詩經．鄭風．褰裳》：「子不我思，豈無他士？」
[副]
其他方面的。如：「早已他去，不知所終。」
[名]
別的方面或其餘的事。《詩經．小雅．小旻》：「人知其一，莫知其他。」《孟子．梁惠王下》：「王顧左右而言他。」
[助]
用於句中當襯字，無所指。如：「唱他幾句」、「喝他幾杯」。《醒世恆言．卷三五．徐老僕義憤成家》：「聞得販漆這項道路頗有利息，況又在近處，何不去試他一試？」有時綴以「這」、「那」。如：「投宿於他這旅舍。」「看他那天氣好像要下雨。」亦可綴「這個」。如：「我恨就恨他這個冰天雪地。」</t>
  </si>
  <si>
    <t>(二)（又音）ㄊㄨㄛ tuō（02796）</t>
  </si>
  <si>
    <t>她</t>
  </si>
  <si>
    <t>[代]
女性第三人稱。如：「她是我妹妹。」</t>
  </si>
  <si>
    <t>牠</t>
  </si>
  <si>
    <t>[代]
用於動物的第三人稱代名詞。如：「那頭小牛好可愛，大家爭相和牠合照！」</t>
  </si>
  <si>
    <t>(二)（又音）ㄊㄨㄛ tuō（02797）</t>
  </si>
  <si>
    <t>祂</t>
  </si>
  <si>
    <t>[代]
1.西方宗教在華傳教時，用作對上帝、耶穌等的第三人稱代名詞。如：「祂就是真理，信祂得永生。」
2.泛指一般神明的第三人稱代名詞。</t>
  </si>
  <si>
    <t>趿</t>
  </si>
  <si>
    <t>參見「趿拉」條。</t>
  </si>
  <si>
    <t>(一)ㄙㄚˋ sà（09987）</t>
  </si>
  <si>
    <t>靸</t>
  </si>
  <si>
    <t>[動]
1.拖著鞋子。《儒林外史》第四回：「那日在這裡住，鞋也沒有一雙，夏天靸著個蒲窩子，歪腿爛腳的。」
2.穿。《紅樓夢》第一四回：「又有十三眾尼僧搭繡衣，靸紅鞋，在靈前默誦接引諸咒，十分熱鬧。」</t>
  </si>
  <si>
    <t>(二)ㄙㄚˇ sǎ（09983）</t>
  </si>
  <si>
    <t>塌</t>
  </si>
  <si>
    <t>[動]
1.（底部）脫落。如：「桶底都塌下來了！」「包子蒸得太過火，都塌在蒸籠上了！」
2.（支架）垮落。如：「倒塌」、「坍塌」。明．無名氏《那吒三變》第四折：「喚雨的注雨如傾，呼風的狂風亂吼，天摧地塌，拔樹撼山。」《三國演義》第七八回：「操急拔劍望空砍去，忽然一聲響亮，震塌殿宇西南一角。」
3.凹陷。如：「瘦得兩眼都塌進去了！」元．無名氏《黃花峪》第一折：「我見他磣可可脣齒綻，血模糊打塌鼻梁。」《儒林外史》第三九回：「那裡禁得蕭雲仙的彈子打來，打得鼻塌嘴歪，無處躲避。」
4.氣勢衰落。如：「爐子裡久不添炭，火就塌了！」《兒女英雄傳》第一五回：「只是我想大丈夫仗本事幹功名，一下腳就講究花錢，塌了銳氣了。」</t>
  </si>
  <si>
    <t>搨</t>
  </si>
  <si>
    <t>[動]
流汗溼透衣服貼在身上。如：「溼透的汗衫搨在身上了！」</t>
  </si>
  <si>
    <t>(一)ㄊㄚˋ tà（02439）</t>
  </si>
  <si>
    <t>褟</t>
  </si>
  <si>
    <t>[名]
1.綴在衣物上的花邊。如：「褟縧子」、「褟邊兒」。
2.貼身穿的短衫。如：「汗褟兒」。</t>
  </si>
  <si>
    <t>塔</t>
  </si>
  <si>
    <t>ㄊㄚˇ</t>
  </si>
  <si>
    <t>tǎ</t>
  </si>
  <si>
    <t>[名]
1.形高頂尖的建築物，築於佛寺內用以藏舍利和經卷等。源出於印度。層數多為單數，用木、磚、石等材料建成。也稱為「佛圖」、「浮圖」、「浮屠」、「窣堵波」。
2.高聳而形狀似塔的建築物。如：「燈塔」、「水塔」、「瞭望塔」、「金字塔」。
3.一種西式點心。為英語tart的音譯。指上層無皮露餡的小甜餅或水果派。如：「蛋塔」、「椰子塔」。</t>
  </si>
  <si>
    <t>鎝</t>
  </si>
  <si>
    <t>[名]
（technetium，Tc）化學元素。原子序43。是人工合成的放射性金屬元素。地殼中含有從鈾自發裂變產生的極少量的鎝，由於壽命較短，故不可能存有原生鎝。鎝化合物和合金具有很好的防腐蝕性能。中國大陸譯為「鍀」。</t>
  </si>
  <si>
    <t>(一)ㄙㄚˋ sà（09992）</t>
  </si>
  <si>
    <t>獺</t>
  </si>
  <si>
    <t>(一)ㄊㄚˋ tà（02449）</t>
  </si>
  <si>
    <t>拓</t>
  </si>
  <si>
    <t>ㄊㄚˋ</t>
  </si>
  <si>
    <t>tà</t>
  </si>
  <si>
    <t>[動]
用紙墨摹印碑刻、銅器、甲骨等。方法是先在物體上蒙上一層薄紙（通常是棉紙或宣紙），再用髮束等物，予以拍打，依陰陽紋顯現凹凸紋路，然後上墨，以顯出所欲摹印的文字或圖像。通「搨」。如：「拓印」、「拓本」。</t>
  </si>
  <si>
    <t>(一)ㄊㄨㄛˋ tuò（02830）</t>
  </si>
  <si>
    <t>沓</t>
  </si>
  <si>
    <t>[動]
相合。《文選．揚雄．羽獵賦》：「天與地沓。」
[副]
眾多而重複。如：「雜沓」、「紛至沓來」。
[名]
量詞。計算重疊的書、紙的單位。如：「他將舊報紙一沓一沓的整理好。」《里語徵實．卷上．一字徵實》引《避暑錄話》：「晏元獻平居不棄一紙，雖封皮亦十百為沓。猶今之言一套也。書稱幾沓本此。」</t>
  </si>
  <si>
    <t>涾</t>
  </si>
  <si>
    <t>參見「涾沱」條。</t>
  </si>
  <si>
    <t>誻</t>
  </si>
  <si>
    <t>參見「誻誻」條。</t>
  </si>
  <si>
    <t>踏</t>
  </si>
  <si>
    <t>[動]
1.用腳踩著地或東西。如：「踏步」、「踏水車」、「踐踏」、「腳踏實地」。
2.跟隨。《喻世明言．卷三六．宋四公大鬧禁魂張》：「我妝做丞局，後面踏將你來，你喫擺番了。」
3.實地勘驗。如：「踏勘」。《元史．卷一〇二．刑法志一》：「諸郡縣災傷，過時而不申，或申不以實，及按治官不以時檢踏，皆罪之。」</t>
  </si>
  <si>
    <t>鞜</t>
  </si>
  <si>
    <t>[名]
皮鞋。《文選．揚雄．長楊賦》：「躬服節儉，綈衣不弊，革鞜不穿。」</t>
  </si>
  <si>
    <t>濌</t>
  </si>
  <si>
    <t>參見「濌濌」條。</t>
  </si>
  <si>
    <t>狧</t>
  </si>
  <si>
    <t>[動]
狗以舌舔吃東西。《說文解字．犬部》：「狧，犬食也。」《漢書．卷三五．吳王劉濞傳》：「語有之曰：『狧糠及米。』」</t>
  </si>
  <si>
    <t>[形]
挑達：(1)往來自由。《廣韻．入聲．曷韻》：「達，挑達，往來貌。」唐．王維〈贈吳官〉詩：「不如儂家任挑達，草屩撈蝦富春渚。」(2)行為輕薄放縱。晉．干寶《搜神記》卷五：「蔣子文者，廣陵人也，嗜酒好色，挑達無度。」也作「佻達」、「佻㒓」。</t>
  </si>
  <si>
    <t>(一)ㄉㄚˊ dá（01908）</t>
  </si>
  <si>
    <t>㒓</t>
  </si>
  <si>
    <t>參見「佻㒓」條。</t>
  </si>
  <si>
    <t>撻</t>
  </si>
  <si>
    <t>[動]
用棍、鞭等拍打。如：「鞭撻」。
[形]
勇武。《詩經．商頌．殷武》：「撻彼殷武，奮伐荊楚。」</t>
  </si>
  <si>
    <t>[動]
1.失足跌倒。如：「滑躂」。《玉篇．足部》：「躂，足跌也。」
2.踏。如：「踢躂」。</t>
  </si>
  <si>
    <t>(二)ㄉㄚ dā（01898）</t>
  </si>
  <si>
    <t>闥</t>
  </si>
  <si>
    <t>[名]
門。如：「重閨幽闥」、「連闥洞房」、「排闥而入」。</t>
  </si>
  <si>
    <t>[動]
1.以紙墨摹印碑帖。通「拓」。如：「搨摹」、「搨本」。唐．王建〈原上新居〉詩一三首之一一：「古碣憑人搨，閒詩任客吟。」
2.吳語。隨便的寫寫畫畫。《初刻拍案驚奇》卷一：「免不得是沈石田、文衡山、祝枝山搨子幾筆，便直上兩數銀子。」</t>
  </si>
  <si>
    <t>(二)ㄊㄚ tā（02421）</t>
  </si>
  <si>
    <t>榻</t>
  </si>
  <si>
    <t>[名]
狹長的矮床。如：「籐榻」、「軟榻」。《樂府詩集．卷七三．雜曲歌辭十三．古辭．焦仲卿妻》：「移我瑠璃榻，出置前窗下。」</t>
  </si>
  <si>
    <t>遢</t>
  </si>
  <si>
    <t>參見「邋遢」條。</t>
  </si>
  <si>
    <t>毾</t>
  </si>
  <si>
    <t>蹋</t>
  </si>
  <si>
    <t>[動]
1.腳著地或踩物。通「踏」。清．汪兆鏞〈憶舊游．隱林梢半角〉詞：「隱林梢半角，危榭荒臺，蹋碎涼煙。」
2.參見「蹧蹋」條。</t>
  </si>
  <si>
    <t>闒</t>
  </si>
  <si>
    <t>[名]
1.樓上的單扇門。《說文解字．門部》：「闒，樓上戶也。」
2.門樓上的屋子。《廣韻．入聲．盍韻》：「闒，門樓上屋。」</t>
  </si>
  <si>
    <t>參見「嗒然」、「嗒喪」等條。</t>
  </si>
  <si>
    <t>(二)ㄉㄚ dā（01895）</t>
  </si>
  <si>
    <t>漯</t>
  </si>
  <si>
    <t>[名]
河川名。古時黃河的一支流。其故道自今大陸地區河南省涉縣分出，行今黃河之北，經河北省而入山東省，於今黃河之南，東流入海。因河道屢有變遷，文獻上記載時有不同，舊跡今已不存。</t>
  </si>
  <si>
    <t>(二)ㄌㄨㄛˋ luò（03824）</t>
  </si>
  <si>
    <t>遝</t>
  </si>
  <si>
    <t>參見「雜遝」條。</t>
  </si>
  <si>
    <t>嚃</t>
  </si>
  <si>
    <t>[動]
大口吃喝。《禮記．曲禮上》：「毋嚃羹。」漢．鄭玄．注：「嚃為不嚼菜。」</t>
  </si>
  <si>
    <t>[名]
動物名。哺乳動物綱食肉目。分水獺、海獺、旱獺三種。</t>
  </si>
  <si>
    <t>(二)（又音）ㄊㄚˇ tǎ（02425）</t>
  </si>
  <si>
    <t>闟</t>
  </si>
  <si>
    <t>[擬]_x000D_
模擬物體墮落的聲音。《通俗編．聲音》引《韓詩外傳》：「闟然投鐮于地。」</t>
  </si>
  <si>
    <t>(一)ㄒㄧˋ xì（06868）</t>
  </si>
  <si>
    <t>忒</t>
  </si>
  <si>
    <t>ㄊㄜˋ</t>
  </si>
  <si>
    <t>tè</t>
  </si>
  <si>
    <t>[副]
過分、過甚。通「太」。元．關漢卿《救風塵》第一折：「那做丈夫的忒老實。」《初刻拍案驚奇》卷七：「官家作戲，忒沒道理！」
[動]
1.變更。《文選．王粲．贈士孫文始詩》：「龍雖勿用，志亦靡忒。」
2.差錯、失誤。《易經．豫卦．彖曰》：「故日月不過，而四時不忒。」
[形]
凶惡。《文選．陳琳．為袁紹檄豫州》：「而操遂承資跋扈，肆行凶忒。」</t>
  </si>
  <si>
    <t>鋱</t>
  </si>
  <si>
    <t>[名]
（terbium，Tb）化學元素。原子序65。鑭系元素之一。金屬鋱呈銀灰色，在室溫下會被空氣和水慢慢氧化。用於高溫燃料電池和雷射材料。</t>
  </si>
  <si>
    <t>忑</t>
  </si>
  <si>
    <t>參見「忐忑」條。</t>
  </si>
  <si>
    <t>貣</t>
  </si>
  <si>
    <t>[動]
乞求。《荀子．儒效》：「今有人於此，屑然藏千溢之寶，雖行貣而食，人謂之富矣。」</t>
  </si>
  <si>
    <t>[動]_x000D_
失誤、差錯。通「忒」。《禮記．月令》：「乃命大史，守典奉法，司天日月星辰之行，宿離不貸。」宋．俞文豹《吹劍錄外集》：「今二先生以道統自任，以師嚴自居，別白是否，分毫不貸。」</t>
  </si>
  <si>
    <t>(一)ㄉㄞˋ dài（01937）</t>
  </si>
  <si>
    <t>特</t>
  </si>
  <si>
    <t>[形]
1.與眾不同的、超出一般的。如：「獨特」、「特等」、「奇特」。
2.雄性的。如：「特牛」、「特牲」。
[副]
1.特別。如：「特地」、「特意」。《文選．李密．陳情表》：「況臣孤苦，特為尤甚！」
2.只、但。如：「不特」、「非特」。
[名]
1.配偶。《詩經．鄘風．柏舟》：「髧彼兩髦，實維我特。」
2.特務。如：「匪特」、「敵特」。</t>
  </si>
  <si>
    <t>慝</t>
  </si>
  <si>
    <t>[名]
1.邪惡。《詩經．大雅．民勞》：「式遏寇虐，無俾作慝。」
2.壞人。《資治通鑑．卷二三二．唐紀四十八．德宗貞元元年》：「實眾慝驚心之日，群生改觀之時。」元．胡三省．注：「眾慝，猶言眾惡也。」
3.災害。《國語．晉語八》：「蠱之慝，穀之飛實生之。」
[動]
改變。通「忒」。《詩經．鄘風．柏舟》：「髧彼兩髦，實維我特，之死矢靡慝。」</t>
  </si>
  <si>
    <t>螣</t>
  </si>
  <si>
    <t>[名]
一種專食苗葉的小青蟲。元．元好問〈雁門道中書所見〉詩：「食禾有百螣，擇肉非一虎。」</t>
  </si>
  <si>
    <t>(一)ㄊㄥˊ téng（02615）</t>
  </si>
  <si>
    <t>台</t>
  </si>
  <si>
    <t>ㄊㄞ</t>
  </si>
  <si>
    <t>tāi</t>
  </si>
  <si>
    <t>地名用字。大陸地區浙江省台州、天台山。或讀為ㄊㄞˊ tái。</t>
  </si>
  <si>
    <t>(二)ㄧˊ yí（10517）(三)ㄊㄞˊ tái（▲02470）</t>
  </si>
  <si>
    <t>苔</t>
  </si>
  <si>
    <t>參見「舌苔」條。</t>
  </si>
  <si>
    <t>(一)ㄊㄞˊ tái（02464）</t>
  </si>
  <si>
    <t>胎</t>
  </si>
  <si>
    <t>[名]
1.人或其他哺乳動物母體內的幼體。如：「懷胎」、「胚胎」、「胎兒」、「雙胞胎」。
2.量詞。計算生育次數的單位。如：「頭胎」、「第二胎」。
3.器物的粗胚。如：「泥胎」。
4.衣服、被褥等的夾襯物。如：「棉花胎」。
5.事物的根源。如：「禍胎」。
6.參見「輪胎」條。</t>
  </si>
  <si>
    <t>抬</t>
  </si>
  <si>
    <t>ㄊㄞˊ</t>
  </si>
  <si>
    <t>tái</t>
  </si>
  <si>
    <t>[動]_x000D_
1.舉起、提高。如：「抬頭挺胸」、「高抬貴手」、「哄抬物價」。_x000D_
2.兩人以上共同舉起東西。如：「抬轎子」、「抬擔架」。《三國演義》第七回：「屍首已被劉表軍士扛抬入城去了。」_x000D_
3.互相爭辯。如：「少跟我抬槓」、「三人抬不過個『理』字」。</t>
  </si>
  <si>
    <t>邰</t>
  </si>
  <si>
    <t>[名]
1.國名。后稷所封。故址約在今大陸地區陝西省武功縣西南。
2.姓。如明代有邰茂質。</t>
  </si>
  <si>
    <t>[名]
植物名，苔蘚類植物下之一大群。配子體具假根及假葉，綠色。孢子體寄生於配子體上。</t>
  </si>
  <si>
    <t>(二)ㄊㄞ tāi（02460）</t>
  </si>
  <si>
    <t>炱</t>
  </si>
  <si>
    <t>[名]
煙氣凝結而成的黑灰。如：「煤炱」、「松炱」。</t>
  </si>
  <si>
    <t>跆</t>
  </si>
  <si>
    <t>[動]
踢踏、踐踏。如：「跆籍」、「跆拳」。</t>
  </si>
  <si>
    <t>颱</t>
  </si>
  <si>
    <t>參見「颱風」條。</t>
  </si>
  <si>
    <t>[名]
1.劣馬。《楚辭．宋玉．九辯》：「卻騏驥而不乘兮，策駑駘而取路。」北周．庾信〈代人致乞致仕表〉：「臣又聞驅奔效駕，先輟於羸駘。」
2.比喻庸才。隋．江總〈勞酒賦〉：「謬陳力而策駘，豈酬恩于暮年。」
[動]
脫除、脫落。《後漢書．卷四二．崔寔傳》：「自數世以來，政多恩貸，馭委其轡，馬駘其銜。」</t>
  </si>
  <si>
    <t>(二)ㄉㄞˋ dài（01947）</t>
  </si>
  <si>
    <t>鮐</t>
  </si>
  <si>
    <t>[名]
動物名。脊椎動物亞門硬骨魚類條鰭亞綱。體呈紡錘形，尾柄兩側具有隆起稜；背鰭及臀鰭後方具有離鰭。體的橫斷面近於橢圓形，青綠色，上部有波狀紋，下部無斑點。生活在海裡，屬洄游性魚類。</t>
  </si>
  <si>
    <t>臺</t>
  </si>
  <si>
    <t>[名]
1.高而平，可供眺望四方的建築物。如：「瞭望臺」、「亭臺樓閣」。
2.在公共場所中，凡高出地面可供人活動或表演的設備。如：「主席臺」、「舞臺」。
3.器物的底座。如：「硯臺」、「鍋臺」、「燭臺」。
4.機構名稱。古代可指中央機關。如：「中臺」、「省臺」。今日可指觀測天象或發送電訊的機構。如：「氣象臺」、「天文臺」、「電視臺」、「廣播電臺」。
5.對人尊稱的敬辭。如：「兄臺」、「尊臺」。
6.量詞。計算機器或電子設備的單位。如：「一臺機器」、「兩臺電視」。
7.臺灣的簡稱。
8.姓。如漢代有臺佟，宋代有臺號。</t>
  </si>
  <si>
    <t>儓</t>
  </si>
  <si>
    <t>[名]
1.古代對下層奴僕的稱謂。清．王念孫《廣雅疏證．卷一下．釋詁》：「儓，臣也。」唐．元結〈戲規〉：「彼牧兒望次山，猶儓隸不敢干其主。」
2.古時對農夫輕視的稱呼。漢．揚雄《方言》卷三：「儓，農夫之醜稱也。南楚凡罵庸賤謂之『田儓』。」</t>
  </si>
  <si>
    <t>嬯</t>
  </si>
  <si>
    <t>[形]
遲鈍、痴笨。《說文解字．女部》：「嬯，遲鈍也。從女臺聲。」清．段玉裁．注：「今人謂痴如是。」</t>
  </si>
  <si>
    <t>檯</t>
  </si>
  <si>
    <t>[名]
桌子或像桌子的器物。如：「櫃檯」、「寫字檯」、「梳妝檯」。</t>
  </si>
  <si>
    <t>薹</t>
  </si>
  <si>
    <t>[名]
1.植物名：(1)莎草科薹草屬，一群薹草屬植物之混稱。多年生草本。稈三稜狀圓柱形，高十至一百二十公分，葉狹長線形，小穗單生或組成穗狀圓錐花序，雌花生於先出葉形成之囊內。堅果雙凸形或三稜形。葉可製笠帽、蓑衣等。也稱為「笠菅」。(2)十字花科蕓薹屬，「油菜」、「蕓薹」之古稱。參見「油菜」條。
2.蒜、韭菜、油菜等植物生長到某一階段時，中央部分所長出來的莖，頂上會開花結實，可採來當蔬菜。如：「蒜薹」、「韭菜薹」。</t>
  </si>
  <si>
    <t>籉</t>
  </si>
  <si>
    <t>[名]
笠。《文選．謝朓．在郡臥病呈沈尚書詩》：「連陰盛農節，籉笠聚東菑。」</t>
  </si>
  <si>
    <t>ㄊㄞˋ</t>
  </si>
  <si>
    <t>tài</t>
  </si>
  <si>
    <t>[形]
至高無上的。通「太」、「泰」。清．江沅《說文釋例．卷上．釋字例．大》：「古兄作『大』，不作『太』、『泰』。《易》之『大極』，《春秋》之『大子』、『大上』，《尚書》之『大誓』、『大王王季』，《史》、《漢》之『大上皇』、『大后』，後人皆讀為太。或徑改本書，作『太』及『泰』。」</t>
  </si>
  <si>
    <t>(一)ㄉㄚˋ dà（01913）(二)ㄉㄞˋ dài（01930）</t>
  </si>
  <si>
    <t>忕</t>
  </si>
  <si>
    <t>[形]
奢侈。《晉書．卷三三．何曾傳》：「劉毅等數劾奏曾侈忕無度。」《文選．張衡．西京賦》：「有憑虛公子，心侈體忕。」</t>
  </si>
  <si>
    <t>(二)ㄕˋ shì（08745）</t>
  </si>
  <si>
    <t>太</t>
  </si>
  <si>
    <t>[副]
1.過甚。如：「太多」、「太熱」、「太客氣了！」
2.形容程度極高（多用於肯定）。如：「太偉大了！」、「太精細了！」
3.很（多用於否定）。如：「不太好」、「不太妙」。
[形]
1.極、最。如：「太古」、「太始」。
2.高或大。如：「太學」、「太空」。
3.身分、輩分最高或更高的。如：「太老伯」、「太老師」、「太夫人」。
[名]
稱謂：(1)用以尊稱輩分極高的長輩。如：「祖太」、「阿太」。(2)參見「太太」條。</t>
  </si>
  <si>
    <t>汰</t>
  </si>
  <si>
    <t>[動]
沖洗、除去無用的事物。如：「淘汰」、「汰舊換新」、「汰弱留強」。
[形]
過分的。如：「汰侈」、「奢汰」。</t>
  </si>
  <si>
    <t>肽</t>
  </si>
  <si>
    <t>[名]
在生化學中，兩個胺基酸脫去一分子水縮合後得到一個以肽鍵相連的二肽；以此類推，由多個胺基酸縮合而成為多肽。</t>
  </si>
  <si>
    <t>鈦</t>
  </si>
  <si>
    <t>[名]
（titanium，Ti）化學元素。原子序22。金屬元素之一。帶銀灰色光澤。在地殼中貯量豐富。不溶於水，質堅韌而輕，耐腐蝕性強，延展性大。航空工業可使用純鈦或鈦合金，可用為醫療器材的化學鍍層，金屬陶瓷及金屬、陶瓷間的硬焊亦可用及。</t>
  </si>
  <si>
    <t>泰</t>
  </si>
  <si>
    <t>[形]
1.順適如意、命運亨通。如：「泰運」。
2.舒適、安樂。如：「福體康泰」、「國泰民安」。
3.奢侈。如：「驕泰」、「奢泰」。
4.暢通。如：「天地交泰」。
5.極。如：「泰西」。
[副]
甚。通「太」。如：「泰過」。
[名]
1.《易經》卦名。六十四卦之一。乾（☰）下坤（☷）上。為天地交而二氣通之象。
2.泰國的簡稱。</t>
  </si>
  <si>
    <t>態</t>
  </si>
  <si>
    <t>[名]
1.情狀。如：「事態」、「形態」、「姿態」。
2.語法學上指通過一定的語法形式表示行為動作與主體的關係。一般分為兩種：(1)主動態：行為動作由主體發出。如：「他玩球。」(2)被動態：動作由主體承受。如：「球被他玩。」中文的被動態常用「被」、「給」等虛詞來表示。</t>
  </si>
  <si>
    <t>呔</t>
  </si>
  <si>
    <t>˙ㄊㄞ</t>
  </si>
  <si>
    <t>tai</t>
  </si>
  <si>
    <t>[歎]
促使對方注意的吆喝聲。《戲考大全．珠簾寨》：「呔！將珠寶留下，放你過去！」</t>
  </si>
  <si>
    <t>夲</t>
  </si>
  <si>
    <t>ㄊㄠ</t>
  </si>
  <si>
    <t>tāo</t>
  </si>
  <si>
    <t>[動]
急速進趨。《說文解字．食部》：「夲，進趣也。」清．段玉裁．注：「趣，疾也。」
[形]
往來相見的樣子。《字彙．大部》：「夲，往來見貌。」</t>
  </si>
  <si>
    <t>[動]
1.貪。常用於功名、功勞之上。《宋史．卷三六〇．宗澤傳》：「當時固有阿意順旨以叨富貴者，亦有不相詭隨以獲罪戾者。」元．高文秀《澠池會》第二折：「不說那定國謀、安邦計，到與我個濫叨功名彌天罪。」
2.受人好處。如：「叨光」、「叨教」。
[副]
自謙的話。忝，表非分、過分。如：「叨擾」。三國蜀．諸葛亮〈街亭之敗戮馬謖上疏〉：「臣以弱才，叨竊非據，親秉旄鉞，以厲三軍。」元．張翥〈西內應制即事〉詩：「老臣叨視草，進罷益沾巾。」</t>
  </si>
  <si>
    <t>(二)ㄉㄠ dāo（01956）</t>
  </si>
  <si>
    <t>弢</t>
  </si>
  <si>
    <t>[名]
1.裝弓的袋子。《國語．齊語》：「弢無弓，服無矢。」
2.裝東西的套子。《新唐書．卷九三．李靖傳》：「其舊物有佩筆，以木為管弢。」
3.兵法。通「韜」。如：「六弢」、「弢略」。
[動]
隱藏。通「韜」。《文選．陸機．漢高祖功臣頌》：「弢跡匿光。」</t>
  </si>
  <si>
    <t>掏</t>
  </si>
  <si>
    <t>[動]
1.伸進去拿。如：「掏名片」、「掏槍」、「掏錢」。
2.從某個空間中取出東西。如：「掏腰包」、「掏耳朵」。
3.挖。如：「掏個洞」。</t>
  </si>
  <si>
    <t>滔</t>
  </si>
  <si>
    <t>[動]
瀰漫。如：「白浪滔天」。
[形]
大水滾滾不絕的樣子。參見「滔滔」條。</t>
  </si>
  <si>
    <t>慆</t>
  </si>
  <si>
    <t>[動]
1.娛悅、取悅。《左傳．昭公元年》：「君子之近琴瑟以儀節也，非以慆心也。」
2.懷疑。《左傳．昭公二十七年》：「天命不慆久矣。」
3.過。《詩經．唐風．蟋蟀》：「今我不樂，日月其慆。」
4.隱藏。通「韜」。《左傳．昭公三年》：「以樂慆憂」。
[副]
怠惰。如：「慆淫」、「慆慢」。</t>
  </si>
  <si>
    <t>搯</t>
  </si>
  <si>
    <t>[動]
1.探取。同「掏」。唐．韓愈〈貞曜先生墓誌銘〉：「及其為詩，劌目鉥心，刃迎縷解，鉤章棘句，搯擢胃腎。」
2.叩、擊。《國語．魯語下》：「請無瘠色，無洵涕，無搯膺。」</t>
  </si>
  <si>
    <t>謟</t>
  </si>
  <si>
    <t>[動]
疑惑。《左傳．昭公二十六年》：「天道不謟，不貳其命。」晉．杜預．注：「謟，疑也。」</t>
  </si>
  <si>
    <t>韜</t>
  </si>
  <si>
    <t>[名]
1.劍套。《說文解字．韋部》：「韜，劍衣也。」
2.裝弓的袋子。《詩經．小雅．彤弓》「彤弓弨兮，受言櫜之」句下漢．毛亨．傳：「櫜，韜也。」唐．陸德明《經典釋文．卷六．毛詩音義中》：「韜，本又作弢，弓衣也。」
3.兵法。如：「韜略」、「六韜」。
[動]
隱藏。如：「韜光養晦」。</t>
  </si>
  <si>
    <t>絛</t>
  </si>
  <si>
    <t>[名]
用絲編成的繩帶。如：「絲絛」。《西遊記》第二回：「穿一領紅色衣，勒一條黃絛。」《初刻拍案驚奇》卷一：「約得百兩，使熔成一大錠，把一綜紅線，結成一絛，繫在錠腰。」</t>
  </si>
  <si>
    <t>濤</t>
  </si>
  <si>
    <t>(一)ㄊㄠˊ táo（02509）</t>
  </si>
  <si>
    <t>饕</t>
  </si>
  <si>
    <t>參見「饕餮」條。</t>
  </si>
  <si>
    <t>匋</t>
  </si>
  <si>
    <t>ㄊㄠˊ</t>
  </si>
  <si>
    <t>táo</t>
  </si>
  <si>
    <t>[名]
瓦器。同「陶」。《說文解字．缶部》：「古者昆吾作匋。」清．段玉裁．注：「今字作陶，陶行而匋廢矣。」</t>
  </si>
  <si>
    <t>淘</t>
  </si>
  <si>
    <t>[動]
1.加水攪動，以淨除顆粒狀東西中的髒物或雜質。如：「淘米」、「淘金」、「浪淘沙」。
2.舀出髒物，藉以挖深或疏通。如：「淘井」、「淘水溝」。
3.損耗。如：「淘神」、「把身子淘空了。」
[形]
頑皮。如：「淘氣」、「這孩子淘得很！」</t>
  </si>
  <si>
    <t>啕</t>
  </si>
  <si>
    <t>參見「嚎啕」條。</t>
  </si>
  <si>
    <t>陶</t>
  </si>
  <si>
    <t>[名]
1.用黏土燒製的器物。如：「黑陶」、「彩陶」。
2.姓。如晉代有陶潛。
[動]
1.製造陶器。如：「陶冶」。《孟子．告子下》：「萬室之國，一人陶，則可乎？」
2.比喻培養、教育。如：「陶鑄性情」、「熏陶」。
3.暢通。《文選．枚乘．七發》：「陶陽氣，蕩春心。」</t>
  </si>
  <si>
    <t>(二)ㄧㄠˊ yáo（10817）</t>
  </si>
  <si>
    <t>萄</t>
  </si>
  <si>
    <t>(二)（又音）˙ㄊㄠ tao（02515）</t>
  </si>
  <si>
    <t>綯</t>
  </si>
  <si>
    <t>[名]
繩索。《詩經．豳風．七月》：「晝爾于茅，宵爾索綯。」</t>
  </si>
  <si>
    <t>騊</t>
  </si>
  <si>
    <t>參見「騊駼」條。</t>
  </si>
  <si>
    <t>洮</t>
  </si>
  <si>
    <t>[動]
1.盥洗。《書經．顧命》：「甲子，王乃洮頮水。」唐．孔穎達．正義：「頮是洗面，知洮為盥手。」
2.淘洗。通「淘」。如：「洮米」。
[名]
參見「洮河」條。</t>
  </si>
  <si>
    <t>(二)ㄧㄠˊ yáo（10809）</t>
  </si>
  <si>
    <t>咷</t>
  </si>
  <si>
    <t>參見「號咷」、「嚎咷」等條。</t>
  </si>
  <si>
    <t>桃</t>
  </si>
  <si>
    <t>[名]
1.植物名。薔薇科李屬，落葉小喬木。葉橢圓狀披針形至倒卵狀披針形，先端漸尖，細鋸齒緣。腋芽常三枚並生，兩側為花芽，中間為葉芽，春初開花，有白、紅二色。核果圓形或扁平，頂端有小突尖，外被毛，味酸可口。
2.形狀像桃子的東西。如：「壽桃」、「麵桃」。
3.生日的代稱。如：「桃觴」。
4.姓。如戰國有桃應。
[形]
用核桃製成的。如：「桃酥」。</t>
  </si>
  <si>
    <t>逃</t>
  </si>
  <si>
    <t>[動]
1.離開、跑走。如：「逃跑」、「逃走」、「畏罪潛逃」。《後漢書．卷七九．儒林傳下．謝該傳》：「猥使良才抱樸而逃」。
2.躲避。如：「逃避」。《孟子．公孫丑上》：「不目逃。」唐．杜甫〈飛仙閣〉詩：「浮生有定分，飢飽豈可逃？」</t>
  </si>
  <si>
    <t>鞀</t>
  </si>
  <si>
    <t>[名]
樂器名，打擊樂器。古代的一種鼓。形制為鼓穿在木柄上，鼓框左右用繩繫著兩個珠狀物，手搖木柄，珠狀物來回敲擊鼓面而發聲。類似民間流行的撥浪鼓。隨柄上所穿鼓數的不同，而有路鞀、靈鞀、雷鞀的分別。一般為一至四面鼓。本用於宗廟社稷祭儀的雅樂中，漢唐以後，也用於宮廷的燕樂中。</t>
  </si>
  <si>
    <t>[名]
1.大波浪。如：「驚濤駭浪」、「波濤洶湧」。
2.似波濤的聲音。如：「松濤」。</t>
  </si>
  <si>
    <t>(二)（又音）ㄊㄠ tāo（02495）</t>
  </si>
  <si>
    <t>[動]
1.普照天下。《說文解字．火部》：「燾，溥覆照也。」
2.覆蓋。同「幬」。《史記．卷三一．吳太伯世家》：「德至矣哉！大矣，如天之無不燾也，如地之無不載也。」</t>
  </si>
  <si>
    <t>(二)（又音）ㄉㄠˋ dào（01976）</t>
  </si>
  <si>
    <t>檮</t>
  </si>
  <si>
    <t>參見「檮昧」、「檮杌」等條。</t>
  </si>
  <si>
    <t>(一)ㄉㄠˋ dào（01977）</t>
  </si>
  <si>
    <t>討</t>
  </si>
  <si>
    <t>ㄊㄠˇ</t>
  </si>
  <si>
    <t>tǎo</t>
  </si>
  <si>
    <t>[動]
1.征伐。如：「討賊」、「東征西討」。
2.索取。《儒林外史》第一四回：「滿天討價，就地還錢。」
3.請求。如：「討飯」、「討饒」、「討教」。
4.招惹。如：「討人憐」、「討厭」、「自討苦吃」。
5.娶。如：「討老婆」。《初刻拍案驚奇》卷二六：「我又不是你師父討的，我怕他做甚！」
6.找。《喻世明言．卷一五．史弘肇龍虎君臣會》：「不則一日，到西京河南府，討了個下處。」
7.研究。如：「討論」、「商討」。</t>
  </si>
  <si>
    <t>套</t>
  </si>
  <si>
    <t>ㄊㄠˋ</t>
  </si>
  <si>
    <t>tào</t>
  </si>
  <si>
    <t>[名]
1.加在東西外面的罩蓋物。如：「筆套」、「手套」、「被套」、「書套」。
2.拴繫牲口以拉車的皮繩或麻繩組。如：「大車套」、「牲口套」。
3.繩圈兒。如：「活套兒」、「繩套」。
4.技巧、動作、事件等。如：「老套」、「俗套」。
5.河流或山脈轉折彎曲的地方。如：「河套」。
6.量詞。計算成組事物的單位。如：「兩套洋裝」、「一套理論」。
[動]
1.加罩。如：「套件外衣」。
2.用套拴繫。如：「套車」、「套馬」。
3.綁住、限制住。如：「套住手腳」、「套牢」。
4.互相配合、銜接或重疊。如：「套招」、「套色」。
5.用言語設計問出實情。如：「拿話套他」。
6.模仿。如：「套公式」。
7.拉攏。如：「套交情」。
8.獲取。如：「套利」。
9.房屋向一端發展。如：「裡間兒開個門兒，又套出一間耳房來。」
[形]
1.成組的。如：「套房」。
2.罩在外面的。如：「套鞋」、「套褲」。</t>
  </si>
  <si>
    <t>偷</t>
  </si>
  <si>
    <t>ㄊㄡ</t>
  </si>
  <si>
    <t>tōu</t>
  </si>
  <si>
    <t>[動]
1.竊取。如：「偷錢」、「偷東西」。
2.抽出、挪出（時間）。如：「偷空」、「偷閒」。
[名]
竊取東西的人。如：「小偷」。
[副]
私下、暗地裡。如：「偷看」、「偷聽」。
[形]
1.苟且敷衍。如：「偷安」。
2.刻薄、不厚道。《論語．泰伯》：「故舊不遺，則民不偷。」</t>
  </si>
  <si>
    <t>媮</t>
  </si>
  <si>
    <t>[形]
巧黠。《左傳．文公十八年》：「齊君之語媮。」
[副]
苟且。《文選．曹植．雜詩七首之六》：「烈士多悲心，小人媮自閑。」
[動]
輕視、輕忽。《左傳．襄公三十年》：「晉未可媮也。」</t>
  </si>
  <si>
    <t>(二)ㄩˊ yú（11600）</t>
  </si>
  <si>
    <t>鍮</t>
  </si>
  <si>
    <t>[名]
黃銅。《新唐書．卷二二一．西域傳下．康傳》：「綿地四千里，山周其外，土沃，產鍮、水精。」也稱為「鍮石」、「真鍮」。</t>
  </si>
  <si>
    <t>亠</t>
  </si>
  <si>
    <t>ㄊㄡˊ</t>
  </si>
  <si>
    <t>tóu</t>
  </si>
  <si>
    <t>投</t>
  </si>
  <si>
    <t>[動]
1.扔、擲。如：「投球」、「投籃」、「投石子」。
2.放進去。如：「投入」、「投票」、「投資」。
3.跳進去。如：「投江」、「投井」、「自投羅網」。
4.發向、映照。如：「眾人把目光都投向牆上的壁畫。」、「竹影散投在窗紙上。」
5.寄發。如：「投遞」、「投稿」、「投郵」。
6.前往、走向、迎向。如：「投宿」、「投降」、「棄暗投明」。
7.合。如：「情投意合」、「意氣相投」。
8.奔靠。如：「投奔」、「投靠親友」、「走投無路」。《三國演義》第二回：「玄德、關、張三人往代州投劉恢。」
9.接近、靠近。如：「投暮」。唐．孟郊〈題林校書花嚴寺書窗〉詩：「擬古投松坐，就明開紙疏。」
10.甩、揮。如：《左傳．宣公十四年》：「楚子聞之，投袂而起。」
11.拋棄。如：「投閒置散」。《後漢書．卷三二．樊宏陰識列傳．樊宏》：「然猶投戈講蓺，息馬論道。」
12.用。如：「投藥」。
13.贈送。如：《詩經．衛風．木瓜》：「投我以木瓜，報之以瓊琚。」
14.迎合。如：「投其所好」。</t>
  </si>
  <si>
    <t>酘</t>
  </si>
  <si>
    <t>[動]
1.酒再釀。《集韻．平聲．侯韻》：「酘，酒再釀。」
2.北平方言：(1)清洗。如：「這衣裳還帶著肥皂沫兒呢，再酘酘。」(2)搓洗。如：「把毛巾酘酘晾上。」</t>
  </si>
  <si>
    <t>骰</t>
  </si>
  <si>
    <t>參見「骰子」條。</t>
  </si>
  <si>
    <t>(二)（語音）ㄕㄞˇ shǎi（08853）</t>
  </si>
  <si>
    <t>頭</t>
  </si>
  <si>
    <t>[名]
1.人或動物脖子以上的部分。如：「人頭」、「牛頭」。
2.頭髮或髮式。如：「剪頭」、「剃頭」、「平頭」、「三分頭」。
3.首領。如：「他喜歡做頭。」唐．韓愈〈論淮西事宜狀〉：「或被分割隊伍，隸屬諸頭。」
4.頂端或末稍。如：「山頭」、「將那竹子頭削尖。」
5.事情的端始或結束點。如：「你先提個頭吧！」、「衝過頭了！」、「從頭開始」、「善惡到頭終有報」。
6.物體殘餘的部分。如：「請把那塊布頭兒拿來看看！」
7.賭博或交易中所抽取的錢財。如：「抽頭」。《水滸傳》第三八回：「小張乙道：『討頭的，拾錢的，和那把門的，都被他打倒在裡面。』」
8.人的代稱。如：「蒼頭」、「老實頭」、「冤大頭」。
9.量詞：(1)計算牛、驢、騾、羊、豬等牲畜或似頭之物的單位。如：「一頭牛」、「三頭羊」、「兩頭蒜」。(2)計算事情的單位。如：「一頭好親事」。《水滸傳》第四五回：「只要證盟懺疏，也是了當一頭事。」
10.方位：(1)表示上、中等方位。如：「街頭行人多」、「夜頭風起覺神來。」(2)表示邊、前等方位。如：「潯陽江頭」。唐．杜甫〈兵車行〉：「君不見青海頭，古來白骨無人收。」宋．歐陽修〈田家〉詩：「林外鳴鳩春雨歇，屋頭初日杏花繁。」
[形]
1.最前的。如：「頭獎」、「頭功」、「頭幾排」。
2.在先的。如：「頭兩天」、「頭幾年」。</t>
  </si>
  <si>
    <t>(二)˙ㄊㄡ tou（02526）</t>
  </si>
  <si>
    <t>黈</t>
  </si>
  <si>
    <t xml:space="preserve">黃 </t>
  </si>
  <si>
    <t>ㄊㄡˇ</t>
  </si>
  <si>
    <t>tǒu</t>
  </si>
  <si>
    <t>[名]
黃色。《集韻．去聲．厚韻》：「黈，黃色。」
[動]
增。參見「黈益」條。</t>
  </si>
  <si>
    <t>透</t>
  </si>
  <si>
    <t>ㄊㄡˋ</t>
  </si>
  <si>
    <t>tòu</t>
  </si>
  <si>
    <t>[動]
1.一物體穿過另一物體。如：「滲透」、「刺透」、「陽光穿透了樹葉，灑了一地的燦爛。」
2.暗地裡報訊。如：「到時候，還煩你多少透一點訊息。」
3.顯露。如：「白裡透紅」。
[副]
形容澈底而充分的程度。如：「熟透」、「摸透」、「看透」、「苦透」、「恨透」、「冷透」。</t>
  </si>
  <si>
    <t>˙ㄊㄡ</t>
  </si>
  <si>
    <t>tou</t>
  </si>
  <si>
    <t>[綴]
詞尾：(1)接名詞。如：「罐頭」、「拳頭」、「舌頭」。(2)接動詞。如：「念頭」、「說頭」。(3)接形容詞。如：「甜頭」、「準頭」。(4)接方位詞。如：「後頭」、「上頭」、「外頭」。</t>
  </si>
  <si>
    <t>(一)ㄊㄡˊ tóu（02523）</t>
  </si>
  <si>
    <t>坍</t>
  </si>
  <si>
    <t>ㄊㄢ</t>
  </si>
  <si>
    <t>tān</t>
  </si>
  <si>
    <t>[動]
倒塌毀壞。如：「牆坍了！」、「房坍了！」《兒女英雄傳》第二回：「把個不曾奉憲查收的新工，排山也似價坍了下來！」</t>
  </si>
  <si>
    <t>怹</t>
  </si>
  <si>
    <t>[代]
第三人稱的尊稱。如：「新年裡，祝福母親怹老人家，福體康泰，萬事如意。」</t>
  </si>
  <si>
    <t>探</t>
  </si>
  <si>
    <t>[動]
1.試。《論語．季氏》：「見善如不及，見不善如探湯。」
2.伸出。如：「探頭探腦」、「探手出去」。</t>
  </si>
  <si>
    <t>(一)ㄊㄢˋ tàn（02573）</t>
  </si>
  <si>
    <t>貪</t>
  </si>
  <si>
    <t>[動]
1.愛財，不擇手段的求取財物。如：「貪贓枉法」、「貪貨棄命」、「貪汙」。
2.對各種事物不知滿足的追求。如：「貪玩」、「貪於飲食」。
3.片面的追求。如：「貪圖」、「貪便宜」。
[形]
占取不正當利益的。如：「貪官汙吏」。</t>
  </si>
  <si>
    <t>(一)ㄉㄢˋ dàn（02036）</t>
  </si>
  <si>
    <t>嘽</t>
  </si>
  <si>
    <t>參見「嘽嘽」、「嘽緩」等條。</t>
  </si>
  <si>
    <t>(二)ㄔㄢˇ chǎn（08388）</t>
  </si>
  <si>
    <t>灘</t>
  </si>
  <si>
    <t>[名]
1.指江、河、湖、海等水淺時露出，水深時淹沒的淤積平地。如：「海灘」、「沙灘」。唐．白居易〈遊悟真寺詩〉：「手拄青竹杖，足踏白石灘。」
2.江河中水淺石多而水流湍急的地方。北魏．酈道元《水經注．江水注》：「峽中有瞿塘、黃龕二灘，夏水迴復，沿泝所忌。」唐．崔道融〈溪夜〉詩：「漁人拋得釣筒盡，卻放輕舟下急灘。」
3.量詞。計算擴散成片的糊狀物或液體的單位。如：「一灘血」、「一灘爛泥」。</t>
  </si>
  <si>
    <t>攤</t>
  </si>
  <si>
    <t>[動]
1.鋪開、擺開。《水滸傳》第三回：「地上攤著十數個膏藥。」
2.公開而無所隱瞞。如：「讓我們把話攤開來說。」
3.一種烹飪方法。將糊狀物在鍋中鋪平成薄片狀進行煎烤。如：「攤春捲皮」、「攤煎餅」。
4.分擔、分配。如：「攤錢」、「均攤任務」。
5.遇到、碰上。多指不如意的事情。如：「攤到這麻煩，可真受不了！」、「算你家吉星高照，差點沒攤了人命。」
[名]
1.設在路旁、夜市等處，隨地陳列貨物零售的地方。如：「麵攤」、「水果攤」、「小吃攤」。《老殘遊記》第一二回：「兩邊擺地攤，售賣農家器具。」
2.量詞。(1)表示概量。猶堆。如：「一攤泥」、「一攤肉」、「一攤人潮」。(2)表示一個攤位。如：「在他的攤子旁邊是一攤賣綠豆湯的，有時比他早到，有時比他晚來。」</t>
  </si>
  <si>
    <t>癱</t>
  </si>
  <si>
    <t>[動]
1.肢體發生麻痺現象。如：「自從中風以來，他左邊的身子整個都癱了。」
2.躺坐。如：「走了半天的路，一回來，他整個人就癱在沙發上了。」
[形]
極度疲倦，無法動彈。如：「我已經癱了，別再叫我做事了。」
[名]
參見「癱瘓」條。</t>
  </si>
  <si>
    <t>倓</t>
  </si>
  <si>
    <t>ㄊㄢˊ</t>
  </si>
  <si>
    <t>tán</t>
  </si>
  <si>
    <t>[副]
安然不疑的樣子。《荀子．仲尼》：「倓然見管仲之能足以託國也。」</t>
  </si>
  <si>
    <t>郯</t>
  </si>
  <si>
    <t>[名]
1.國名。周封少昊之後於此，後滅於越。故城約在今大陸地區山東省郯城縣西南。
2.姓。如元代有郯韶。</t>
  </si>
  <si>
    <t>惔</t>
  </si>
  <si>
    <t>[動]
灼燒。《詩經．大雅．雲漢》：「旱魃為虐，如惔如焚。」</t>
  </si>
  <si>
    <t>痰</t>
  </si>
  <si>
    <t>[名]
從呼吸道、口腔或喉嚨表面排出的黏液。可能含有唾液、膿、微生物、血液或吸入的微粒等。平常量少，肺部或氣管生病時，量則增加。如：「吐痰」、「濃痰」。</t>
  </si>
  <si>
    <t>談</t>
  </si>
  <si>
    <t>[動]
說話或討論。如：「抵掌而談」、「促膝長談」、「紙上談兵」、「會談」、「和談」。《孟子．離婁下》：「蚤起，施後良人之所之，遍國中無與立談者。」宋．岳飛〈滿江紅．怒髮衝冠〉詞：「壯志饑餐胡虜肉，笑談渴飲匈奴血。」
[名]
1.所說的話。如：「奇談」、「美談」、「老生常談」、「無稽之談」。《文選．曹植．與楊德祖書》：「吾常歎此達言，以為美談。」
2.姓。如漢代有談巴。</t>
  </si>
  <si>
    <t>錟</t>
  </si>
  <si>
    <t>[名]
長矛。《說文解字．金部》：「錟，長矛也。」</t>
  </si>
  <si>
    <t>(二)ㄒㄧㄢ xiān（07081）</t>
  </si>
  <si>
    <t>[動]
進、進入。《詩經．小雅．巧言》：「盜言孔甘，亂是用餤。」漢．毛亨．傳：「餤，進也。」</t>
  </si>
  <si>
    <t>(一)ㄉㄢˋ dàn（02029）</t>
  </si>
  <si>
    <t>覃</t>
  </si>
  <si>
    <t>[動]
延及、蔓延。《詩經．周南．葛覃》：「葛之覃兮，施于中谷。」南朝梁．劉勰《文心雕龍．頌讚》：「比類寓意，又覃及細物矣。」
[副]
深。如：「覃思」、「覃深」。</t>
  </si>
  <si>
    <t>(二)ㄑㄧㄣˊ qín（06519）</t>
  </si>
  <si>
    <t>潭</t>
  </si>
  <si>
    <t>[名]
1.深水池。如：「日月潭」、「百花潭」、「龍潭虎穴」。北魏．酈道元《水經注．江水注》：「春冬之時，則素湍綠潭，迴清倒影。」
2.水邊。南朝宋．鮑照〈贈傅都曹別〉詩：「輕鴻戲江潭，孤鴈集洲沚。」
3.姓。如明代有潭玉瑞。</t>
  </si>
  <si>
    <t>憛</t>
  </si>
  <si>
    <t>[動]
憂愁、憂思。《集韻．平聲．覃韻》：「憛，憂意。」</t>
  </si>
  <si>
    <t>𨝸</t>
  </si>
  <si>
    <t>[名]
國名。在今山東省章丘縣西。春秋時為齊所滅。《說文解字．邑部》：「𨝸，國也。齊桓公之所滅。」</t>
  </si>
  <si>
    <t>蟫</t>
  </si>
  <si>
    <t>[名]
動物名。節肢動物昆蟲綱。性喜陰暗，食害衣服、書本等。也稱為「白魚」。</t>
  </si>
  <si>
    <t>罈</t>
  </si>
  <si>
    <t>[名]
1.口小肚大的瓦製容器。如：「酒罈」、「骨灰罈」。
2.量詞。計算罈裝物的單位。如：「兩罈酒」、「一罈醬菜」。</t>
  </si>
  <si>
    <t>譚</t>
  </si>
  <si>
    <t>[形]
安而放縱的樣子。《大戴禮記．子張問入官》：「富恭有本能圖，脩業居久而譚。」
[名]
1.言論。同「談」。如：「天方夜譚」、「風俗奇譚」。
2.姓。如清代有譚嗣同。</t>
  </si>
  <si>
    <t>醰</t>
  </si>
  <si>
    <t>[形]
醇厚。《文選．左思．魏都賦》：「沐浴福應，宅心醰粹。」</t>
  </si>
  <si>
    <t>藫</t>
  </si>
  <si>
    <t>[名]
植物名。紅藻類杉苔科鹿角菜屬。「鹿角菜」之古稱。參見「鹿角菜」條。《玉篇．艸部》：「藫，海藻也，又名海羅。如亂髮，生海水中。」也稱為「恭摍」、「海羅」。</t>
  </si>
  <si>
    <t>鐔</t>
  </si>
  <si>
    <t>[名]
1.劍鼻，指劍柄與劍身連接，兩旁外凸如鼻的部分。《莊子．說劍》：「天子之劍，以……晉魏為脊，周宋為鐔。」
2.古代一種似劍而小的兵器。《漢書．卷七六．韓延壽傳》：「延壽又取官銅物，候月蝕鑄作刀劍鉤鐔。」</t>
  </si>
  <si>
    <t>[動]
1.用彈弓發射。《左傳．宣公二年》：「從臺上彈人，而觀其辟丸也。」《呂氏春秋．仲春季．貴生》：「以隋侯之珠，彈千仞之雀。」
2.敲擊。《戰國策．齊策四》：「食以草具，居有頃，倚柱彈其劍，歌曰：『長鋏歸來乎！食無魚。』」
3.撥弄或按弄樂器。如：「彈吉他」、「彈琵琶」。唐．劉長卿〈聽彈琴〉詩：「古調雖自愛，今人多不彈。」
4.糾劾、檢舉。《漢書．卷八四．翟方進傳》：「（方進）十餘年間至宰相，據法以彈咸等，皆罷退之。」《宋書．卷八七．蕭惠開傳》：「偃任遇甚隆，惠開不為之屈，偃怒，使門下推彈之。」
5.鬆、緊或伸縮東西，使產生力量。如：「彈棉花」、「彈球」。
6.掉落。如：「英雄有淚不輕彈。」
7.撥動天平上的準星，以稱重量。元．無名氏《陳州糶米》第一折：「拏來上天平彈著。少少少，你這銀子則十四兩。」</t>
  </si>
  <si>
    <t>(一)ㄉㄢˋ dàn（02038）</t>
  </si>
  <si>
    <t>參見「澹臺」條。</t>
  </si>
  <si>
    <t>(一)ㄉㄢˋ dàn（02042）</t>
  </si>
  <si>
    <t>壇</t>
  </si>
  <si>
    <t>[名]
1.古代用來舉行祭祀的高臺。如：「天壇」、「地壇」。《禮記．祭義》：「祭日於壇」。
2.古代朝會盟誓及封拜大將所設的高臺。如：「登壇拜將」。
3.某些宗教舉行法事的處所。如：「壇場」、「神壇」、「七星壇」、「設壇禮佛」。
4.用土堆砌成的矮臺子。如：「花壇」。
5.某種團體的總稱。如：「文壇」、「影壇」、「體壇」。</t>
  </si>
  <si>
    <t>檀</t>
  </si>
  <si>
    <t>[名]
1.植物名：(1)指檀香。參見「檀香」條。(2)指青檀。榆科青檀屬，落葉喬木。高可十餘公尺。樹皮淺灰色，有小皮孔，葉為螺旋狀排列，卵形。材質堅硬細緻，供家具、農具、建材等用材。(3)指紫檀。豆科紫檀屬。產於亞洲東南部，木材淡紅色，質亦堅硬緻密，可為家具、建材等。
2.佛教指布施。為六度之一。為梵語ｄāｎａ的音譯。全譯作「檀那」、「陀那」。
3.姓。如戰國時魯有檀弓。
[形]
淺紅色的。如：「檀色」、「檀口」。</t>
  </si>
  <si>
    <t>蕁</t>
  </si>
  <si>
    <t>[名]
植物名。知母之古稱。百合科知母屬，多年生草本。地下莖根橫走，葉細長叢生，有平行脈。穗狀花序多花，花常二至三朵簇生，花被片六枚，黃綠色或青紫色。蒴果長卵形。地下根莖可入藥，具解熱、潤腎燥、清心肺等效用。產大陸地區東北、內蒙至蒙古及韓國。
[動]
火勢向上燃燒。《淮南子．天文》：「火上蕁，水下流。」</t>
  </si>
  <si>
    <t>(二)ㄒㄩㄣˊ xún（07430）</t>
  </si>
  <si>
    <t>曇</t>
  </si>
  <si>
    <t>[動]
雲氣布於天空。《廣韻．平聲．覃韻》：「曇，雲布。」
[名]
1.雲氣。元．曾瑞〈罵玉郎過感皇恩採茶歌．長天遠水秋光淡〉曲：「暮雲曇，曉山嵐，六合為我一茅庵。」
2.胡語音譯。與梵語dharma對等，為法的意思。如：「阿毗曇」。</t>
  </si>
  <si>
    <t>忐</t>
  </si>
  <si>
    <t>ㄊㄢˇ</t>
  </si>
  <si>
    <t>tǎn</t>
  </si>
  <si>
    <t>坦</t>
  </si>
  <si>
    <t>[動]
露出。如：「坦胸露背」。唐．杜甫〈江亭〉詩：「坦腹江亭暖，長吟野望時。」
[形]
1.寬平、平穩。如：「坦途」、「平坦」。
2.心地寬廣，沒有私心。《論語．述而》：「君子坦蕩蕩，小人長戚戚。」
[名]
1.舊稱女婿。如稱賢婿為「賢坦」，尊稱他人的女婿為「令坦」。
2.姓。如宋代有坦中庸。</t>
  </si>
  <si>
    <t>袒</t>
  </si>
  <si>
    <t>[動]
1.裸露。如：「袒腹」、「袒胸」。《左傳．莊公八年》：「袒而示之背。」
2.偏護。如：「偏袒」、「袒護」。唐．柳宗元〈奉平淮夷雅表〉：「士獲厥心，太袒高驤。」《清史稿．卷四二八．秦定三傳》：「福濟所恃惟兩軍，難左右袒，軍飢且渙。」
3.表露、表白。如：「袒懷」、「袒露心事」。</t>
  </si>
  <si>
    <t>儃</t>
  </si>
  <si>
    <t>[形]
參見「儃儃」條。</t>
  </si>
  <si>
    <t>(一)ㄔㄢˊ chán（08367）(三)ㄕㄢˋ shàn（08955）</t>
  </si>
  <si>
    <t>菼</t>
  </si>
  <si>
    <t>[名]
1.荻。《詩經．衛風．碩人》：「鱣鮪發發，葭菼揭揭。」
2.介於青白之間的顏色。《詩經．王風．大車》：「大車檻檻，毳衣如菼。」</t>
  </si>
  <si>
    <t>毯</t>
  </si>
  <si>
    <t>[名]
一種可以鋪陳開來的棉毛織物。用來保暖或裝飾。如：「毛毯」、「地毯」、「壁毯」。</t>
  </si>
  <si>
    <t>嗿</t>
  </si>
  <si>
    <t>[形]
眾多。《詩經．周頌．載芟》：「有嗿其饁，思媚其婦。」</t>
  </si>
  <si>
    <t>醓</t>
  </si>
  <si>
    <t>[名]
肉醬。《詩經．大雅．行葦》：「醓醢以薦，或燔或炙。」</t>
  </si>
  <si>
    <t>禫</t>
  </si>
  <si>
    <t>[名]
父母喪期服滿，脫除孝服的祭禮。《說文解字．示部》：「禫，除服祭也。」元．王實甫《西廂記．第一本．第二折》：「這是崔相國小姐至孝，為報父母之恩，又是老相公禫日，就脫孝服，所以做好事。」</t>
  </si>
  <si>
    <t>黮</t>
  </si>
  <si>
    <t>參見「黮闇」條。</t>
  </si>
  <si>
    <t>炭</t>
  </si>
  <si>
    <t>ㄊㄢˋ</t>
  </si>
  <si>
    <t>tàn</t>
  </si>
  <si>
    <t>[名]
1.含碳物質在不完全燃燒或加熱時所得到的殘留物。《說文解字．火部》：「炭，燒木餘也。」如：「焦炭」、「木炭」。
2.方言。指煤。《史記．卷四九．外戚世家》：「（少君）至宜陽，為其主入山作炭，（寒）暮臥岸下百餘人，岸崩，盡壓殺臥者，少君獨得脫，不死。」《正字通．火部》：「炭，石炭。今西北所燒之煤，即石炭。」
3.姓。如漢代有炭虬。</t>
  </si>
  <si>
    <t>湠</t>
  </si>
  <si>
    <t>參見「湠漫」條。</t>
  </si>
  <si>
    <t>碳</t>
  </si>
  <si>
    <t>[名]
（carbon，C）化學元素。原子序6。非金屬元素之一。是構成有機物的主要成分，大量存在於生物體中；自然界的碳元素以鑽石、石墨和無定形碳的形式存在。常溫下，化學性質穩定；高溫時，則能與許多元素發生反應，形成許多化合物。在工業和醫藥上的用途甚廣。</t>
  </si>
  <si>
    <t>羰</t>
  </si>
  <si>
    <t>參見「羰基」條。</t>
  </si>
  <si>
    <t>[動]
1.尋求。如：「尋幽探勝」、「探路」、「鑽探」。唐．姚合〈莊居野行〉：「採玉上山顛，探珠入水府。」
2.推究。如：「試探其本」、「探究本源」。
3.打聽。如：「探聽」、「探底細」。
4.試測。如：「探他的口氣。」
5.看望。如：「探友」、「探親」。唐．李商隱〈無題〉詩：「蓬山此去無多路，青鳥殷勤為探看。」
[名]
擔任偵察工作的人。如：「偵探」、「密探」。</t>
  </si>
  <si>
    <t>(二)ㄊㄢ tān（02529）</t>
  </si>
  <si>
    <t>嘆</t>
  </si>
  <si>
    <t>[動]
1.呼出長氣，以發抒心中的憂悶感傷。如：「哀嘆」、「感嘆」、「仰天長嘆」、「嘆息」。《詩經．王風．中谷有蓷》：「有女仳離，󺟑其嘆矣！󺟑其嘆矣，遇人之艱難矣！」
2.稱讚。通「歎」。如：「嘆為觀止」。《浮生六記．卷五．中山紀歷》：「慶雲見於西方，……觀者莫不嘆為奇瑞。」</t>
  </si>
  <si>
    <t>歎</t>
  </si>
  <si>
    <t>[動]
1.心中喜悅，發而吟詠。如：「吟歎」、「詠歎」。《禮記．樂記》：「清廟之瑟，朱弦而疏越，壹倡而三歎，有遺音者矣。」
2.讚美。如：「歎賞」。《禮記．郊特牲》：「賓入大門而奏肆夏，示易以敬也。卒爵而樂闋，孔子屢歎之。」漢．鄭玄．注：「美此禮也。」漢．無名氏〈四坐且莫諠〉詩：「從風入君懷，四坐莫不歎。」
3.嘆息。通「嘆」。如：「悲歎」、「嗟歎」。《封神演義》第一回：「上天垂象皆如此，徒令英雄歎不平。」
[名]
古代的一種詩歌體裁。如《樂府詩集》收有〈古遺歎〉、〈昭君歎〉等是。</t>
  </si>
  <si>
    <t>舕</t>
  </si>
  <si>
    <t xml:space="preserve">舌 </t>
  </si>
  <si>
    <t>參見「舚舕」條。</t>
  </si>
  <si>
    <t>[動]
探索。通「探」。《說文解字．手部》：「撢，探也。」《周禮．夏官．撢人》「掌誦王志道，國之政事」句下唐．賈公彥．疏：「撢取王之此志，又道國之政事。」</t>
  </si>
  <si>
    <t>(一)ㄉㄢˇ dǎn（02017）</t>
  </si>
  <si>
    <t>湯</t>
  </si>
  <si>
    <t>ㄊㄤ</t>
  </si>
  <si>
    <t>tāng</t>
  </si>
  <si>
    <t>[名]_x000D_
1.熱水、沸水。如：「揚湯止沸」、「赴湯蹈火」。《論語．季氏》：「孔子曰：『見善如不及，見不善如探湯。』」《水滸傳》第二回：「莊客點上燈火，一面提湯來洗了腳。」_x000D_
2.食物烹煮後所得的汁液。如：「雞湯」、「高湯」、「紅燒牛肉的湯拿來拌飯，又香又好吃。」_x000D_
3.具有多量汁水的菜餚。如：「蛋花湯」、「青菜豆腐湯」。_x000D_
4.藥材加水煎熬成的汁液。如：「湯劑」、「湯藥」。《史記．卷一〇五．扁鵲倉公傳》：「齊中大夫病齲齒，臣意灸其左大陽明脈，即為苦參湯，日嗽三升，出入五六日，病已。」_x000D_
5.古代一種置人於沸水中烹死的刑罰。《漢書．卷五四．蘇建傳》：「今得殺身自效，雖蒙斧鉞湯鑊，誠甘樂之。」_x000D_
6.溫泉。如：「溫湯」、「錢湯」。_x000D_
7.人名。商朝的開國君主。也稱為「商湯」、「成湯」。_x000D_
8.姓。如明代有湯顯祖。_x000D_
[動]_x000D_
1.用熱水燙熟或溫熱食物。《山海經．西山經》：「湯其酒百樽，嬰以百珪百璧。」_x000D_
2.接觸、碰觸。《董西廂》卷五：「三五日來不湯個水米，教俺難戀世。」元．石君寶《秋胡戲妻》第三折：「你湯我一湯，拷了你那腰截骨。」</t>
  </si>
  <si>
    <t>(二)ㄕㄤ shāng（09008）</t>
  </si>
  <si>
    <t>鐋</t>
  </si>
  <si>
    <t>參見「鐋鑼」條。</t>
  </si>
  <si>
    <t>蹚</t>
  </si>
  <si>
    <t>[動]
1.在有水草或泥巴的地面行走。如：「蹚渾水」、「你最好繞道而行，別蹚著水過來！」
2.踐踏。如：「這些高麗草坪全給牛蹚壞了。」</t>
  </si>
  <si>
    <t>鏜</t>
  </si>
  <si>
    <t>[名]_x000D_
樂器名，打擊樂器。即小鏜鑼。一種形似小銅盤的樂器。俗稱為「鏜兒」。_x000D_
[擬]_x000D_
模擬鐘鼓聲或鑼聲。《詩經．邶風．擊鼓》：「擊鼓其鏜，踴躍用兵。」</t>
  </si>
  <si>
    <t>(二)ㄊㄤˊ táng（02597）</t>
  </si>
  <si>
    <t>唐</t>
  </si>
  <si>
    <t>ㄊㄤˊ</t>
  </si>
  <si>
    <t>táng</t>
  </si>
  <si>
    <t>[名]
1.朝代名：(1)傳說中帝堯的時代。(2)參見「唐朝」條。(3)參見「後唐」條。(4)參見「南唐」條。
2.中國的別稱。如：「唐裝」、「唐人街」。
3.庭院中的道路。《詩經．陳風．防有鵲巢》：「中唐有甓。」《文選．張衡．東京賦》：「植華平於春圃，豐朱草於中唐。」
4.姓。如明代有唐順之。
[形]
1.廣大。《文選．枚乘．七發》：「浩唐之心，遁佚之志，其奚由至哉？」
2.參見「荒唐」條。
3.參見「唐突」條。
[副]
虛、空。如：「功不唐捐」。</t>
  </si>
  <si>
    <t>溏</t>
  </si>
  <si>
    <t>[形]
不凝結，呈半液體狀態的。如：「溏便」、「溏心」、「溏薄」。</t>
  </si>
  <si>
    <t>塘</t>
  </si>
  <si>
    <t>[名]
1.堤岸，後亦用為地名。如：「堤塘」、「河塘」、「海塘」、「錢塘」、「瞿塘」。北周．庾信〈哀江南賦〉：「連茂苑于海陵，跨橫塘于江浦。」
2.水池、池子。如：「水塘」、「池塘」。唐．杜甫〈和裴迪登新津寺寄王侍郎〉詩：「蟬聲集古寺，鳥影度寒塘。」
3.浴池。如：「洗澡塘」。</t>
  </si>
  <si>
    <t>搪</t>
  </si>
  <si>
    <t>[動]
1.抵禦、招架。如：「搪風冒雨」、「水來土搪」。
2.敷衍、應付。如：「搪塞」、「搪差事」。
3.混、騙。《警世通言．卷六．俞仲舉題詩遇上皇》：「每日早間，問店小二討些湯洗了面便出門，長篇見宰相，短卷謁公卿，搪得幾碗酒吃。」
4.把泥土或塗料均勻的塗在器物上。如：「搪爐子」。
5.冒昧、冒犯。如：「搪突」。</t>
  </si>
  <si>
    <t>煻</t>
  </si>
  <si>
    <t>[動]
烘焙。《說文解字．火部》「煨」字．清．段玉裁．注：「今俗謂以火溫出冬間花曰唐花，即煻字也。」
[名]
熱灰。《集韻．平聲．唐韻》：「熱灰謂之煻煨。」明．李時珍《本草綱目．卷一一．金石部．食鹽》：「崔中臣鍊鹽黑丸方：鹽末一升，納粗瓷瓶中，實築泥頭，初以煻火燒，漸漸加炭火，勿令瓶破。」</t>
  </si>
  <si>
    <t>榶</t>
  </si>
  <si>
    <t>[名]
1.榶棣：古書上所記載的一種樹木。《廣韻．平聲．唐韻》：「榶，榶棣，木名。」
2.碗。《荀子．正論》：「故魯人以榶，衛人用柯，齊人用一革，土地形制不同者，械用備飾不可不異也。」唐．楊倞．注：「或曰：《方言》云：『碗謂之榶，盂謂之柯。』」</t>
  </si>
  <si>
    <t>蓎</t>
  </si>
  <si>
    <t>[名]
蓎蒙：植物名。松蘿科松蘿屬，「松蘿」、「女蘿」之古稱，參見「松蘿」條。《玉篇．艸部》：「蓎，蓎蒙，女蘿。」</t>
  </si>
  <si>
    <t>糖</t>
  </si>
  <si>
    <t>[名]
1.由甘蔗、甜菜、米、麥等提製成的甜性物質。如：「蔗糖」、「葡萄糖」。
2.有糖成分的食品。如：「花生糖」、「情人糖」。
3.食用糖的通稱。如：「白糖」、「紅糖」、「冰糖」。
[形]
1.用糖製成的。如：「糖水」、「糖衣」。
2.甜的、像糖一樣甜的。如：「糖味」、「糖舌蜜口」。</t>
  </si>
  <si>
    <t>螗</t>
  </si>
  <si>
    <t>參見「螗蜩」條。</t>
  </si>
  <si>
    <t>赯</t>
  </si>
  <si>
    <t xml:space="preserve">赤 </t>
  </si>
  <si>
    <t>[名]
紅色。《廣韻．平聲．唐韻》：「赯，赤色。」
[形]
紅潤的。如：「這人身高八尺，紫赯臉兒。」</t>
  </si>
  <si>
    <t>醣</t>
  </si>
  <si>
    <t>[名]
有機化合物中的碳水化合物，為多羥醛或多羥酮和其衍生物或聚合物。依其複雜程度，一般可分為單醣、雙醣、寡醣和多醣。為人體產生熱能的主要物質。如葡萄糖、蔗糖、乳糖、澱粉等。</t>
  </si>
  <si>
    <t>堂</t>
  </si>
  <si>
    <t>[名]
1.正房、大廳。如：「廳堂」、「登堂入室」。《論語．先進》：「由也升堂矣，未入於室也。」
2.以前官府辦公、審訊、舉行典禮的地方。如：「明堂」、「政事堂」、「大堂」。
3.用於廳堂名稱。有時也含有某一世系的意義。如：「養志堂」、「三槐堂」。
4.專門用途的房屋。如：「課堂」、「食堂」、「禮堂」、「佛堂」、「紀念堂」。
5.同祖父的親屬。參見「堂兄弟」、「堂姪」等條。
6.量詞：(1）計算成套物品的單位。如：「一堂瓷器」、「兩堂家具」。(2）計算課程分節的單位。如：「一堂課」。
7.用於商店的名號。如：「同仁堂」、「回春堂」。
[形]
宏偉。如：「富麗堂皇」。</t>
  </si>
  <si>
    <t>棠</t>
  </si>
  <si>
    <t>[名]
1.植物名。薔薇科梨屬，「棠梨」之古稱。參見「棠梨」條。
2.姓。如春秋時有棠衣若。</t>
  </si>
  <si>
    <t>膛</t>
  </si>
  <si>
    <t>[名]
1.胸腔。如：「胸膛」、「開膛破肚」。
2.物體中空的部分。如：「槍膛」、「炮膛」。</t>
  </si>
  <si>
    <t>螳</t>
  </si>
  <si>
    <t>參見「螳螂」條。</t>
  </si>
  <si>
    <t>[名]
一種機器加工的方法。參見「鏜床」、「鏜孔」等條。</t>
  </si>
  <si>
    <t>(一)ㄊㄤ tāng（02581）</t>
  </si>
  <si>
    <t>餳</t>
  </si>
  <si>
    <t>(一)[名]之又音。</t>
  </si>
  <si>
    <t>(一)ㄒㄧㄥˊ xíng（07244）</t>
  </si>
  <si>
    <t>帑</t>
  </si>
  <si>
    <t>ㄊㄤˇ</t>
  </si>
  <si>
    <t>tǎng</t>
  </si>
  <si>
    <t>[名]
1.貯藏錢財的府庫。漢．邯鄲淳《笑林．漢世老人》：「田宅沒官，貨財充於內帑矣。」《舊唐書．卷一七九．鄭綮傳》：「罷郡，有錢千緡，寄州帑。」
2.國有的錢財、公款。如：「公帑」、「國帑」。《漢書．卷九四．匈奴傳下》：「以為虛費府帑。」《儒林外史》第九回：「這項銀子，非贓非帑，何以便行監禁？」</t>
  </si>
  <si>
    <t>(一)ㄋㄨˊ nú（03122）</t>
  </si>
  <si>
    <t>倘</t>
  </si>
  <si>
    <t>[連]
或然、如果。如：「倘然」、「倘若」。《儒林外史》第三回：「何不把范進的卷子再看一遍？倘有一線之明，也可憐他苦志。」</t>
  </si>
  <si>
    <t>(二)ㄔㄤˊ cháng（08453）</t>
  </si>
  <si>
    <t>淌</t>
  </si>
  <si>
    <t>[動]
流下、流出。如：「淌血」、「淌眼淚」、「天氣悶熱，一大堆學生都擠在一塊兒考試，裡外煎熬，個個滿頭淌汗。」</t>
  </si>
  <si>
    <t>惝</t>
  </si>
  <si>
    <t>(一)ㄔㄤˇ chǎng（08465）</t>
  </si>
  <si>
    <t>躺</t>
  </si>
  <si>
    <t>[動]
平臥。如：「躺平」、「躺下」、「若覺得累，可以進去躺會兒。」</t>
  </si>
  <si>
    <t>儻</t>
  </si>
  <si>
    <t>[形]
參見「倜儻」條。
[連]
如果、倘若。同「倘」。《史記．卷六一．伯夷傳》：「儻所謂天道，是邪？非邪？」《文選．曹植．王仲宣誄》：「儻獨有靈，游魂泰素。」</t>
  </si>
  <si>
    <t>戃</t>
  </si>
  <si>
    <t>參見「戃慌」條。</t>
  </si>
  <si>
    <t>爣</t>
  </si>
  <si>
    <t>參見「爣閬」條。</t>
  </si>
  <si>
    <t>曭</t>
  </si>
  <si>
    <t>[形]
日光不明朗的樣子。《廣韻．上聲．蕩韻》：「曭，日不明。」《楚辭．屈原．遠遊》：「時曖曃其曭莽兮，召玄武而奔屬。」</t>
  </si>
  <si>
    <t>矘</t>
  </si>
  <si>
    <t>[形]
眼睛無神，茫然直視的樣子。《說文解字．目部》：「矘，目無精直視也。」《後漢書．卷三四．梁統傳》：「（梁冀）為人鳶肩豺目，洞精矘眄。」</t>
  </si>
  <si>
    <t>钂</t>
  </si>
  <si>
    <t>參見「钂鈀」、「钂叉」等條。</t>
  </si>
  <si>
    <t>趟</t>
  </si>
  <si>
    <t>ㄊㄤˋ</t>
  </si>
  <si>
    <t>tàng</t>
  </si>
  <si>
    <t>[名]
量詞：(1)計算走動的次數的單位。相當於「遍」、「次」、「回」。如：「我已經去過三趟了，他總是不在家。」(2)計算打拳次數的單位。相當於「套」。如：「一早起來，打了幾趟拳，覺得精神好多了。」</t>
  </si>
  <si>
    <t>燙</t>
  </si>
  <si>
    <t>[動]
1.被高熱的東西或火所傷。如：「燙傷」、「燙嘴」。《紅樓夢》第三五回：「寶玉自己燙了手，倒不覺的。」
2.用熱水或火溫物。如：「把酒燙一燙。」
3.利用高熱使物體產生變化。如：「燙髮」、「燙衣服」。
4.一種烹調方法。將材料在滾水中快煮後撈出。如：「將魷魚燙熟後切片。」
[形]
溫度高。如：「這水太燙了」、「額頭好燙，一定發燒了。」</t>
  </si>
  <si>
    <t>疼</t>
  </si>
  <si>
    <t>ㄊㄥˊ</t>
  </si>
  <si>
    <t>téng</t>
  </si>
  <si>
    <t>[形]
痛。如：「頭疼」、「肚子疼」。
[動]
愛憐。如：「爺爺、奶奶最疼我了。」、「這孩子乖巧又伶俐，怪惹人疼的。」</t>
  </si>
  <si>
    <t>幐</t>
  </si>
  <si>
    <t>[名]
囊。《說文解字．巾部》：「幐，囊也。」《宋書．卷六八．武二王傳．南郡王義宣傳》：「乃於內戎服，幐囊盛糧。」《新唐書．卷一九八．儒學傳．序》：「官幐私楮，喪脫幾盡。」</t>
  </si>
  <si>
    <t>滕</t>
  </si>
  <si>
    <t>[動]
水流向上噴湧。《玉篇．水部》：「滕，《詩》曰：『百川沸滕。』水上涌也。」
[名]
1.國名。西周諸侯國之一。故址約在今大陸地區山東省滕縣一帶。
2.姓。如明代有滕宗智。</t>
  </si>
  <si>
    <t>參見「螣蛇」條。</t>
  </si>
  <si>
    <t>(二)ㄊㄜˋ tè（02458）</t>
  </si>
  <si>
    <t>縢</t>
  </si>
  <si>
    <t>[動]
封閉、纏束。《詩經．秦風．小戎》：「交韔二弓，竹閉緄縢。」漢．毛亨．傳：「縢，約也。」
[名]
1.繩索。《詩經．魯頌．閟宮》：「公車千乘，朱英綠縢。」《續漢書志．第三〇．輿服志下》：「乘輿以縢貫曰珠。」
2.綁腿布。《戰國策．秦策一》：「羸縢履蹻，負書擔橐。」
3.囊。通「幐」。《後漢書．卷七九．儒林傳上．序》：「大則連為帷蓋，小乃制為縢囊。」《遼史．卷五二．禮志五》：「負銀罌，捧縢，履黃道行。」</t>
  </si>
  <si>
    <t>謄</t>
  </si>
  <si>
    <t>[動]
複寫、抄寫。如：「謄稿」、「謄清」、「謄寫」。</t>
  </si>
  <si>
    <t>藤</t>
  </si>
  <si>
    <t>[名]
1.植物名。棕櫚科黃藤屬，「白藤」、「黃藤」之俗稱，參見「白藤」條。
2.蔓生植物的卷鬚或莖。如：「葡萄藤」、「南瓜藤」。
3.姓。如明代有藤文澤。</t>
  </si>
  <si>
    <t>騰</t>
  </si>
  <si>
    <t>[動]
1.奔馳、跳躍。如：「萬馬奔騰」、「舉國歡騰」。《明史．卷三〇九．流賊傳．李自成傳》：「有一馬儳行列者斬之，馬騰入田苗者斬之。」
2.上升。如：「升騰」、「火氣上騰」。
3.驅馳、乘騎。《楚辭．屈原．離騷》：「路脩遠以多艱兮，騰眾車使徑待。」唐．杜甫〈苦雨奉寄隴西公兼呈王徵士〉詩：「願騰六尺駒，背若孤征鴻。」
4.蒸。《西遊記》第七七回：「我有些兒寒濕氣的病，要他騰騰。」
5.挪移。如：「這幾天我得騰出時間來看書。」、「媽媽要我騰出一間屋子來堆書。」《儒林外史》第二〇回：「弟婦一倒了頭，家裡一個錢也沒有，我店裡是騰不出來。」
[名]
姓。如漢代有騰撫。</t>
  </si>
  <si>
    <t>籐</t>
  </si>
  <si>
    <t>[名]
1.竹製的器具。《集韻．平聲．登韻》：「籐，竹器。」
2.棕櫚科「水籐屬」、「黃籐屬」、「巨籐屬」等約十餘屬其莖部的泛稱，常用製家具、藤杖、藤席及各式編織工藝品等。
3.泛指蔓生植物的卷鬚或莖。同「藤」。南朝齊．謝朓〈與江水曹至干濱戲〉詩：「花枝聚如雪，垂籐散猶網。」</t>
  </si>
  <si>
    <t>剔</t>
  </si>
  <si>
    <t>ㄊㄧ</t>
  </si>
  <si>
    <t>tī</t>
  </si>
  <si>
    <t>[動]
1.將骨頭上的肉刮除下來。如：「請把骨肉剔淨好熬湯。」
2.從縫隙中往外挑。如：「剔牙」。
3.挑出不合標準的。如：「剔除惡習」、「先把筆試成績較差的人剔出來。」</t>
  </si>
  <si>
    <t>踢</t>
  </si>
  <si>
    <t>[動]
用腳觸擊。如：「踢皮球」、「踢他一腳。」</t>
  </si>
  <si>
    <t>梯</t>
  </si>
  <si>
    <t>[名]
木階，登高的器具或設備。如：「樓梯」、「竹梯」、「電梯」、「雲梯」。
[形]
形狀像樓梯一樣。如：「梯田」。
[動]
爬。唐．元稹《鶯鶯傳》：「既望之夕，張因梯甚樹而踰焉。」</t>
  </si>
  <si>
    <t>荑</t>
  </si>
  <si>
    <t>ㄊㄧˊ</t>
  </si>
  <si>
    <t>tí</t>
  </si>
  <si>
    <t>[名]
1.草木初生時的嫩芽。《文選．郭璞．遊仙詩七首之一》：「臨源挹清波，陵岡掇丹荑。」唐．白居易〈東牆夜合樹去秋為風雨所摧今年花時悵然有感〉詩：「碧荑紅樓今何在？風雨飄將去不回。」
2.借指女子柔細的手。如：「柔荑」、「香荑」。</t>
  </si>
  <si>
    <t>(二)ㄧˊ yí（10531）</t>
  </si>
  <si>
    <t>偍</t>
  </si>
  <si>
    <t>[形]
鬆懈緩慢。《荀子．修身》：「少見曰陋，難進曰偍。」</t>
  </si>
  <si>
    <t>[名]_x000D_
1.在江、河、湖、海邊修築的防水建築物，以阻止水患，多用土或石修砌而成。如：「河堤」、「海堤」、「防波堤」。《老殘遊記》第一三回：「這些堤裡百姓怎樣好呢？須得給錢，叫他們搬開纔好。」_x000D_
2.陶瓷瓶的底座。《淮南子．詮言》：「蓼菜成行，瓶甌有堤。」漢．高誘．注：「堤，瓶甌下安也。」_x000D_
[動]_x000D_
修築堤防。宋．蘇軾〈禹之所以通水之法〉：「今也堤之而廬民甚上，所謂愛尺寸而忘千里也。」</t>
  </si>
  <si>
    <t>(二)（又音）ㄉㄧ dī（02092）</t>
  </si>
  <si>
    <t>[動]
1.用手懸空拿著。如：「提燈」、「提水桶」、「提筆寫作」。
2.從下往上移。如：「提升」、「提高」。
3.把預定時間往前移。如：「提前」、「提早」。
4.領取。如：「提貨」、「提款」。
5.舉出、揭示。如：「提名」、「提議」、「提要」、「提意見」。
6.振作。如：「提振精神」、「提神醒腦」。
7.說、談。如：「提到」、「提及」、「舊事重提」、「這事不提也罷！」
8.警覺。《紅樓夢》第六三回：「他也不是好意的，少不得也要常提著些兒。」
[名]
1.舀酒、油等的長柄器具。如：「酒提」、「油提」。
2.姓。如春秋時晉國有提彌明，清代有提橋。</t>
  </si>
  <si>
    <t>(二)ㄉㄧ dī（02093）(三)ㄕˊ shí（08722）</t>
  </si>
  <si>
    <t>媞</t>
  </si>
  <si>
    <t>參見「媞媞」條。</t>
  </si>
  <si>
    <t>隄</t>
  </si>
  <si>
    <t>[名]
以土石修築，用來防水的建築物。同「堤」。如：「隄塘」、「土隄」、「石隄」。</t>
  </si>
  <si>
    <t>禔</t>
  </si>
  <si>
    <t>[動]
安。《說文解字．示部》：「禔，安也。」漢．揚雄《法言．修身》：「或問士何如斯可以禔身？」
[名]
福。《漢書．卷五七．司馬相如傳下》：「遐邇一體，中外禔福，不亦康乎？」</t>
  </si>
  <si>
    <t>緹</t>
  </si>
  <si>
    <t>[名]
丹紅色的絲織物。《說文解字．糸部》：「緹，帛丹黃色也。」南朝宋．鮑照〈學古詩〉：「衿服雜緹繢，首飾亂珍瓊。」
[形]
橘紅色的。《史記．卷一二六．滑稽傳．褚少孫補西門豹傳》：「為治齋宮河上，張緹絳帷，女居其中。」《文選．劉楨．贈五官中郎將詩四首之四》：「明月照緹幕，華燈散炎輝。」</t>
  </si>
  <si>
    <t>醍</t>
  </si>
  <si>
    <t>參見「醍醐」條。</t>
  </si>
  <si>
    <t>題</t>
  </si>
  <si>
    <t>[名]
1.額頭。《說文解字．頁部》：「題，額也。」《韓非子．解老》：「弟子曰：『是黑牛也，而白在其題。』」
2.詩文、演講或一件事情所標立的一項名目。如：「標題」、「詩題」、「文題」。
3.考試時要求解答的問題。如：「選擇題」、「試題」、「問答題」。
4.量詞。計算題目的單位。如：「十題問答題」、「兩題申論題」。
[動]
1.簽署、寫在上面。如：「題名」、「題詩」、「題字」。
2.述說。同「提」。元．張國賓《薛仁貴》第一折：「諸葛亮鋤田鉋地，劉先生織席編履，那等的人題他做甚麼？」</t>
  </si>
  <si>
    <t>騠</t>
  </si>
  <si>
    <t>參見「駃騠」條。</t>
  </si>
  <si>
    <t>鶗</t>
  </si>
  <si>
    <t>參見「鶗鴃」條。</t>
  </si>
  <si>
    <t>鯷</t>
  </si>
  <si>
    <t>[名]
1.動物名。魚綱鯷科。銀灰色，體長側扁，體側有一條銀白色縱帶。為群集於淺海的小型魚類。盛產於東海、黃海。也稱為「黑背鰮」。
2.中國古代種族之一。分布於東方海中。《漢書．卷二八．地理志下》：「會稽海外有東鯷人，分為二十餘國，以歲時來獻見云。」</t>
  </si>
  <si>
    <t>啼</t>
  </si>
  <si>
    <t>[動]
1.號哭。如：「啼哭」。《穀梁傳．僖公十八年》：「麗姬下堂而啼。」《三國志．卷二九．魏書．方技傳．華佗傳》：「東陽陳叔山小男二歲得疾，下利常先啼，日以羸困。」
2.鳥獸的鳴叫。如：「虎嘯猿啼」。唐．張繼〈楓橋夜泊〉詩：「月落烏啼霜滿天，江楓漁火對愁眠。」宋．辛棄疾〈賀新郎．綠樹聽鵜鴃〉詞：「啼到春歸無尋處，苦恨芳菲都歇。」</t>
  </si>
  <si>
    <t>蹄</t>
  </si>
  <si>
    <t>[名]
1.獸足趾端的角質變形物，後借以通稱獸足。如：「馬蹄」、「牛蹄」。
2.古代的一種捕獸器。如：「筌蹄」。
[動]
踢。唐．柳宗元〈三戒．黔之驢〉：「驢不勝怒，蹄之。」</t>
  </si>
  <si>
    <t>稊</t>
  </si>
  <si>
    <t>[名]
1.一種實如小米，形似稗的野草。元．曾瑞〈哨遍．人性善皆由天命套．么〉：「把閑花野草都鋤淨，尚又怕稊稗交生。」
2.楊柳樹重新長出的枝葉。《易經．大過卦．九二》：「枯楊生稊。」唐．李白〈雉朝飛〉詩：「枯楊枯楊爾生稊，我獨七十而孤棲。」</t>
  </si>
  <si>
    <t>綈</t>
  </si>
  <si>
    <t>[名]
古代一種光滑細澤的厚絲織品。可用來製袍、寫字等。《說文解字．糸部》：「綈，厚繒也。」晉．左思〈嬌女詩〉：「執書愛綈素，誦習矜所獲。」</t>
  </si>
  <si>
    <t>鵜</t>
  </si>
  <si>
    <t>參見「鵜鶘」條。</t>
  </si>
  <si>
    <t>體</t>
  </si>
  <si>
    <t>ㄊㄧˇ</t>
  </si>
  <si>
    <t>tǐ</t>
  </si>
  <si>
    <t>[名]
1.人體或其他動物的全身。如：「身體」、「肉體」、「人體」。
2.身體的各部分。如：「肢體」、「上體」、「五體投地」。《論語．微子》：「四體不勤。」《史記．卷七．項羽本紀》：「乃自刎而死。王翳取其頭，……最其後，郎中騎楊喜、騎司馬呂馬童、郎中呂勝、楊武各得其一體。」
3.事物的本質形態或主要部分。如：「固體」、「液體」、「主體」、「物體」。
4.文章的體裁。如：「駢體」、「散體」、「賦體」、「文體」。
5.文字書寫的形式。如：「字體」、「草體」、「楷體」。
6.數學上指立體的形狀。如：「正方體」、「長方體」、「圓柱體」。
7.哲學上指本體。如：「中學為體，西學為用。」
[動]
1.實行。如：「身體力行」。《淮南子．氾論》：「故聖人以身體之。」
2.設身處地，為人著想。如：「體諒」、「體恤民情」。清．林覺民〈與妻訣別書〉：「汝體吾此心。」
[副]
親身的。如：「體驗」、「體會」、「體認」。</t>
  </si>
  <si>
    <t>ㄊㄧˋ</t>
  </si>
  <si>
    <t>tì</t>
  </si>
  <si>
    <t>[名]
儒家稱敬順兄長、友愛兄弟的倫理道德為「弟」。同「悌」。《禮記．大學》：「孝者所以事君也，弟者所以事長也。」
[動]
敬愛兄長。同「悌」。《論語．學而》：「其為人也孝弟，而好犯上者鮮矣。」
[副]
但、且。《史記．卷一．五帝本紀．太史公曰》：「顧弟弗深考，其所表見皆不虛。」</t>
  </si>
  <si>
    <t>(一)ㄉㄧˋ dì（02135）</t>
  </si>
  <si>
    <t>剃</t>
  </si>
  <si>
    <t>[動]
除去，多指削掉毛髮。如：「剃頭」、「剃髮」、「剃鬍子」。《水滸傳》第四回：「剃髮人只一刀，盡皆剃了。」</t>
  </si>
  <si>
    <t>涕</t>
  </si>
  <si>
    <t>[名]
1.眼淚。如：「痛哭流涕」、「感激涕零」。唐．陳子昂〈登幽州臺歌〉：「念天地之悠悠，獨愴然而涕下。」
2.鼻涕。漢．王襃〈僮約〉：「目淚下落，鼻涕長一尺。」</t>
  </si>
  <si>
    <t>悌</t>
  </si>
  <si>
    <t>[動]
1.敬重兄長。《孟子．滕文公下》：「入則孝，出則悌。」
2.友愛兄弟。如：「友悌」。</t>
  </si>
  <si>
    <t>銻</t>
  </si>
  <si>
    <t>[名]
（antimony，Sb）化學元素。原子序51。金屬元素之一。一般銻呈銀灰色，性脆，具冷脹性。無定形銻呈灰色，由鹵化銻電解製得。可用來製造印刷合金（鉛字）與軸承合金等。超純銻的金屬間化合物是重要的半導體及紅外線探測器材料。</t>
  </si>
  <si>
    <t>倜</t>
  </si>
  <si>
    <t>參見「倜儻」條。</t>
  </si>
  <si>
    <t>惕</t>
  </si>
  <si>
    <t>[動]
小心謹慎，隨時警覺。如：「警惕」。《易經．乾卦．九三》：「君子終日乾乾，夕惕若厲。」《文選．潘岳．悼亡詩三首之一》：「悵怳如或存，周遑忡驚惕。」</t>
  </si>
  <si>
    <t>裼</t>
  </si>
  <si>
    <t>[名]
包覆嬰兒的被褥。《詩經．小雅．斯干》：「乃生女子，載寢之地，載衣之裼。」漢．毛亨．傳：「裼，褓也。」</t>
  </si>
  <si>
    <t>(二)ㄒㄧˊ xí（06819）</t>
  </si>
  <si>
    <t>鬄</t>
  </si>
  <si>
    <t>[名]
假髮。《莊子．天地》：「禿而施鬄，病而求醫。」
[動]
剔除毛髮。《漢書．卷六二．司馬遷傳》：「其次鬄毛髮嬰金鐵受辱。」《宋史．卷三六一．張浚傳》：「兀朮僅以身免，亟鬄其須髯遁歸。」</t>
  </si>
  <si>
    <t>逖</t>
  </si>
  <si>
    <t>[形]
遙遠的、遠方的。《說文解字．辵部》：「逖，遠也。」《隋書．卷一四．音樂志中》：「百蠻非眾，八荒非逖，同作堯人，俱包禹跡。」
[動]
遠離。《書經．多方》：「我則致天之罰，離逖爾土。」《漢書．卷八五．谷永傳》：「誅逐仁賢，離逖骨肉。」</t>
  </si>
  <si>
    <t>屜</t>
  </si>
  <si>
    <t>[名]
1.桌櫃中可以隨意抽動、存放物品的隔層。如：「抽屜」。北周．庾信〈鏡賦〉：「暫設妝奩，還抽鏡屜。」
2.蒸籠的簡稱。如蒸籠的隔層稱為「籠屜」，蓋子稱為「屜帽」。</t>
  </si>
  <si>
    <t>啻</t>
  </si>
  <si>
    <t>(一)ㄔˋ chì（08215）</t>
  </si>
  <si>
    <t>替</t>
  </si>
  <si>
    <t xml:space="preserve">曰 </t>
  </si>
  <si>
    <t>[動]
1.廢除。《說文解字．竝部》：「替，廢也。」如：「替廢」。《詩經．小雅．楚茨》：「子子孫孫，勿替引之。」《楚辭．屈原．九章．懷沙》：「刓方以為圜兮，常度未替。」
2.衰敗、衰落。如：「衰替」、「興替」。《晉書．卷一一一．慕容暐載記》：「風頹化替，莫相糾攝。」
3.代替。如：「更替」、「替換」、「他因冒名頂替，而被取消比賽資格。」
[介]
1.為。如：「你有今天的成就，大家都替你高興。」、「兒孫自有兒孫福，你別替孩子們操心了。」
2.向、對。《初刻拍案驚奇》卷二六：「我是替你說過了，方住此的。」《儒林外史》第二五回：「你不去，同令郎在我這裡喫了飯，我回來還有話替你說。」
[連]
和、與。《初刻拍案驚奇》卷二七：「一院中的人沒一個不替他相好，說得來的。」</t>
  </si>
  <si>
    <t>[副]
通、達。《漢書．卷二一．律曆志上》：「正月，乾之九三，萬物棣通。」顏師古注引孟康曰：「棣謂通意也。」</t>
  </si>
  <si>
    <t>(一)ㄉㄧˋ dì（02149）</t>
  </si>
  <si>
    <t>摘</t>
  </si>
  <si>
    <t>[動]
1.侵擾。《後漢書．卷一三．隗囂公孫述列傳．隗囂》：「西侵羌戎，東摘濊貊。」
2.發動、啟動。清．厲鶚〈新正五日將赴西林臯亭探梅之約晩晴志喜〉詩：「花風吹第一，明發摘船行。」
3.開發、開闢。宋．陸游〈答方寺丞啟〉：「捫參歷井，久困客遊，煮海摘山，屢乘使傳。」
4.揭發。《魏書．卷八八．良吏傳．宋世景》：「民間之事，巨細必知，發姦摘伏，有若神明。」</t>
  </si>
  <si>
    <t>(一)ㄓㄞ zhāi（07692）</t>
  </si>
  <si>
    <t>擿</t>
  </si>
  <si>
    <t>[動]
1.挑取、挑出。如：「擿出」。《漢書．卷八．宣帝紀》：「其令三輔毋得以春夏擿巢探卵，彈射飛鳥。」
2.揭發、揭露。如：「發姦擿伏」。《新唐書．卷二〇六．外戚傳．楊國忠傳》：「國忠已得志，則窮擿林甫姦事，碎其家。」</t>
  </si>
  <si>
    <t>(一)ㄓˊ zhí（07514）</t>
  </si>
  <si>
    <t>殢</t>
  </si>
  <si>
    <t>[動]
1.滯留、逗留。《字彙．歹部》：「殢，滯也。」唐．羅隱〈西京崇德里居〉詩：「進乏梯媒退又難，強隨豪貴殢長安。」
2.纏綿、糾纏。唐．李山甫〈柳〉詩一〇首之九：「強扶柔態酒難醒，殢著春風別有情。」清．洪昇《長生殿》第一九齣：「到日三竿不臨朝，外人不知呵，都只說殢君王是我這庸姿劣貌。」
3.沉迷、沉溺。如：「殢酒」。唐．杜牧〈送別〉詩：「莫殢酒盃閒過日，碧雲深處是佳期。」明．劉兌〈金童玉女嬌紅記〉：「這些時尋芳人散日平西，俺正是殢春情樂意忘歸。」</t>
  </si>
  <si>
    <t>薙</t>
  </si>
  <si>
    <t>[動]
1.除草。宋．蘇軾〈甘露寺〉詩：「薙草得斷碑，斬崖出金棺。」《資治通鑑．卷二六三．唐紀七十九．昭宗天復二年》：「朱全忠遣人薙城外草以困城中。」
2.削髮。通「剃」。如：「薙髮」。</t>
  </si>
  <si>
    <t>嚏</t>
  </si>
  <si>
    <t>參見「噴嚏」條。</t>
  </si>
  <si>
    <t>籊</t>
  </si>
  <si>
    <t>[形]
修長纖細的。《詩經．衛風．竹竿》：「籊籊竹竿，以釣于淇。」</t>
  </si>
  <si>
    <t>趯</t>
  </si>
  <si>
    <t>[名]
一種書寫方法。運筆至轉彎鉤處，先輕頓，再轉筆而出。清．錢泳《履園叢話．卷一一上．書學．隸書》：「迨鍾傅一出，又將漢隸變為轉折，畫平豎直，間用鉤趯，漸成楷法，謂之真書。」
[形]
參見「趯趯」條。
[動]
踢。唐．呂巖〈絕句〉：「趯倒葫蘆掉卻琴，倒行直上臥牛岑。」唐．段成式《酉陽雜俎．卷五．詭習》：「張芬曾為韋南康親隨行軍，曲藝過人，……常於福感寺趯鞠，高及半塔，彈力五斗。」</t>
  </si>
  <si>
    <t>(二)ㄩㄝˋ yuè（11755）</t>
  </si>
  <si>
    <t>怗</t>
  </si>
  <si>
    <t>ㄊㄧㄝ</t>
  </si>
  <si>
    <t>tiē</t>
  </si>
  <si>
    <t>[動]
平服、平定。《公羊傳．僖公四年》：「桓公救中國而攘夷狄，卒怗荊，以此為王者之事也。」
[副]
安靜。《太平廣記．卷四五六．餘干縣令》：「又灌百斛，乃怗然無聲。」</t>
  </si>
  <si>
    <t>(二)ㄓㄢ zhān（07773）</t>
  </si>
  <si>
    <t>帖</t>
  </si>
  <si>
    <t>[動]
1.順服、馴伏。通「貼」。如：「帖服」、「俯首帖耳」。宋．薛季宣〈跋蠟虎圖〉詩：「請君懸之政事堂，坐令帖伏犬與羊。」
2.黏。通「貼」。如：「帖花黃」。元．無名氏《陳州糶米》第一折：「有朝事發丟下頭，拚著帖個大膏藥。」
[形]
穩當、適切。如：「妥帖」。
[名]
姓。如明代有帖晏。</t>
  </si>
  <si>
    <t>(二)ㄊㄧㄝˇ tiě（02669）(三)ㄊㄧㄝˋ tiè（02672）</t>
  </si>
  <si>
    <t>貼</t>
  </si>
  <si>
    <t>[動]
1.黏附。如：「貼郵票」、「張貼」、「剪貼」。《紅樓夢》第五回：「寶玉抬頭，先看見一幅畫貼在上面，畫的人物甚好。」
2.挨近、接近。如：「緊貼」、「貼身」、「貼近」。宋．晏殊〈拂霓裳．樂秋天〉詞：「風日好，數行新雁貼寒煙。」
3.順服、服從。如：「部屬們對他十分服貼。」
4.補助。如：「補貼」、「貼現」、「哥哥每月貼他五十元。」
5.虧損、賠損。如：「倒貼」、「他貼了老本，還是無法挽救這家公司。」
6.在電腦應用程式中將此畫面的資料剪下，拷貝到另一畫面的動作。為英語paste的意譯。
7.質押、典當。唐．李嶠〈諫建白馬坂大像疏〉：「亦有賣舍貼田，以供王役。」
[形]
適切、妥當。如：「妥貼」、「貼切」。
[名]
1.戲劇角色中正旦以外的次要旦角稱為「貼」。元曲中稱為「貼旦」、「副旦」，明傳奇稱為「貼」。
2.一種油炸或火烤成的食物，底部焦香，表面熟軟。如：「鍋貼」。</t>
  </si>
  <si>
    <t>[動]
1.拖著鞋子走路。《集韻．入聲．帖韻》：「跕，行曳履。」《史記．卷一二九．貨殖傳》：「女子則鼓鳴瑟，跕屣，游媚貴富，入後宮，遍諸侯。」南朝宋．裴駰．集解：「瓚曰：『躡跟為跕也。』」《漢書．卷二八．地理志下》：「女子彈弦跕躧。」唐．顏師古．注：「躧字與屣同。屣謂小履之無跟者也。跕謂輕躡之也。」
2.貼近、貼著水面而飛。唐．宋之問〈為韋特進已下祭汝南王文〉：「鳶忌南而跕水，鴈愛北而隨車。」</t>
  </si>
  <si>
    <t>(二)ㄉㄧㄝˊ dié（02183）</t>
  </si>
  <si>
    <t>ㄊㄧㄝˇ</t>
  </si>
  <si>
    <t>tiě</t>
  </si>
  <si>
    <t>[名]
1.應酬用的書柬。如：「請帖」、「謝帖」。《儒林外史》第一〇回：「你回他我們不在家，留下了帖罷。」
2.量詞。計算藥劑的單位。如：「一帖藥」。</t>
  </si>
  <si>
    <t>(一)ㄊㄧㄝ tiē（02666）(三)ㄊㄧㄝˋ tiè（02672）</t>
  </si>
  <si>
    <t>鐵</t>
  </si>
  <si>
    <t>[名]
1.（iron，Fe）化學元素。原子序26。銀白色的金屬元素，富延展性，容易導電傳熱。受電磁感應會產生磁性。在潮溼空氣中容易生鏽。加熱後能與許多化學元素反應，鍛冶成各式材料，為煉鋼的主要原料，是應用最廣的金屬。大多存在於火成岩中。人體中若飲食長期缺乏鐵質會引起貧血。
2.兵器。如：「手無寸鐵」。漢．李陵〈答蘇武書〉：「兵盡矢窮，人無尺鐵，猶復徒首奮呼？」
3.姓。如隋朝時有鐵士雄。
[形]
1.堅固、堅硬。如：「鐵拳」、「銅牆鐵壁」、「金城鐵郭」。
2.堅定不變的。如：「鐵石心腸」、「鐵證如山」。南朝梁．劉勰《文心雕龍．祝盟》：「劉琨鐵誓，精貫霏霜。」
3.強硬、勁悍精銳。如：「鐵蹄」。唐．駱賓王〈代徐敬業討武氏檄〉：「鐵騎成群，玉軸相接。」
[副]
必定。如：「鐵定」、「鐵不是」。</t>
  </si>
  <si>
    <t>驖</t>
  </si>
  <si>
    <t>[名]
毛色赤黑的馬。《說文解字．馬部》：「驖，馬赤黑色。」《詩經．秦風．駟驖》：「駟驖孔阜，六轡在手。」</t>
  </si>
  <si>
    <t>ㄊㄧㄝˋ</t>
  </si>
  <si>
    <t>tiè</t>
  </si>
  <si>
    <t>[名]
1.寫在紙、帛上的書信、詩、文等手書墨蹟。如王羲之的〈喪亂帖〉、〈快雪時晴帖〉。
2.臨摹學習的書畫拓本或影印本。如：「碑帖」、「字帖」、「畫帖」。宋．蘇軾〈虔州呂倚承事年八十三讀書作詩不已好收古今帖貧甚至食不足〉詩：「家藏古今帖，墨色照箱筥。」
3.文書、契據。南朝梁．無名氏〈木蘭詩〉二首之一：「昨夜見軍帖，可汗大點兵。」
4.唐、宋、元科舉時代，稱應試題目為「帖」，從經文中帖出數字而得。如：「試帖」。</t>
  </si>
  <si>
    <t>(一)ㄊㄧㄝ tiē（02666）(二)ㄊㄧㄝˇ tiě（02669）</t>
  </si>
  <si>
    <t>餮</t>
  </si>
  <si>
    <t>佻</t>
  </si>
  <si>
    <t>ㄊㄧㄠ</t>
  </si>
  <si>
    <t>tiāo</t>
  </si>
  <si>
    <t>[形]
輕薄、不莊重。如：「佻㒓」、「輕佻」。《資治通鑑．卷五九．漢紀五十一．靈帝中平六年》：「帝以辯輕佻無威儀，欲立協。」
[動]
竊取。《國語．周語中》：「而卻至佻天之功以為己力，不亦難乎？」《抱朴子．外篇．刺驕》：「或佻竊虛名，而躬自為之。」</t>
  </si>
  <si>
    <t>(一)ㄊㄧㄠˊ tiáo（02685）</t>
  </si>
  <si>
    <t>庣</t>
  </si>
  <si>
    <t>[形]
不滿的樣子。《廣韻．平聲．蕭韻》：「庣，不滿之貌。」
[名]
凹下的地方。《漢書．卷二一．律曆志上》：「其法用銅，方尺而圜其外，旁有庣焉。其上為斛，其下為斗。」唐．顏師古．注：「庣，不滿之處也。」</t>
  </si>
  <si>
    <t>恌</t>
  </si>
  <si>
    <t>[形]
輕薄放縱。《詩經．小雅．鹿鳴》：「視民不恌，君子是則是傚。」唐．李商隱〈送從翁從東川弘農尚書幕〉詩：「薄俗誰其激，斯民已甚恌。」</t>
  </si>
  <si>
    <t>挑</t>
  </si>
  <si>
    <t>[動]
1.揀選。如：「挑選」、「挑剔」、「挑毛病」。《紅樓夢》第一〇二回：「挑了個風清日暖的日子，帶了好幾個家人，手內持著器械到園踹看動靜。」
2.用肩擔物。如：「挑柴」、「肩挑」、「挑水」。《水滸傳》第二回：「鎖上前後門，挑了擔兒，跟在馬後。」</t>
  </si>
  <si>
    <t>(二)ㄊㄧㄠˇ tiǎo（02691）</t>
  </si>
  <si>
    <t>祧</t>
  </si>
  <si>
    <t>[名]
1.祖廟。《左傳．襄公二十三年》：「紇不佞，失守宗祧，敢告不弔。」
2.古代遠祖神位所遷往的宗廟稱為「祧」。《周禮．春官．守祧》：「守祧掌守先王先公之廟祧。」漢．鄭玄．注：「遷主所藏曰祧。」
3.繼承上代的人。如：「承祧」、「守祧」。
[動]
1.遷廟。《新唐書．卷一三．禮樂志》：「已祧之主，不得復入太廟。」《宋史．卷一二三．禮志二十六》：「僖祖及文懿皇后神主既祧，準禮不諱，忌日亦請依唐睿宗祧遷故事廢之。」
2.承繼。《聊齋志異．卷二．俠女》：「且身已向暮，旦夕犯霧露，深以祧續為憂耳。」《老殘遊記二編》第六回：「不怕等二老歸天後再還宗，或是兼祧兩姓俱可。」</t>
  </si>
  <si>
    <t>岧</t>
  </si>
  <si>
    <t>ㄊㄧㄠˊ</t>
  </si>
  <si>
    <t>tiáo</t>
  </si>
  <si>
    <t>參見「岧岧」、「岧嶢」等條。</t>
  </si>
  <si>
    <t>苕</t>
  </si>
  <si>
    <t>[名]
1.植物名：(1)紫葳科紫葳屬，「紫葳」、「凌霄花」之古稱。《詩經．小雅．苕之華》：「苕之華，芸其黃矣；心之憂矣，維其傷矣！」參見「紫葳」條。也稱為「凌苕」、「凌霄」、「陵苕」。(2)豆科蠶豆屬，「野豌豆」之古稱。參見「野豌豆」條。(3)藜科地膚屬，「地膚」、「掃帚」之古稱。參見「掃帚」條。
2.蘆葦的花穗。《荀子．勸學》：「以羽為巢，而編之以髮，繫之葦苕。風至苕折，卵破子死。」唐．楊倞．注：「苕，葦之秀也。」</t>
  </si>
  <si>
    <t>迢</t>
  </si>
  <si>
    <t>[形]
遙遠。如：「迢遞」、「迢迢」、「迢遙」、「迢遠」。</t>
  </si>
  <si>
    <t>笤</t>
  </si>
  <si>
    <t>參見「笤帚」條。</t>
  </si>
  <si>
    <t>髫</t>
  </si>
  <si>
    <t>[名]_x000D_
小孩額前垂下的頭髮。如：「黃髮垂髫」。晉．陶淵明〈祭程氏妹文〉：「我年二六，爾纔九齡，爰從靡識，撫髫相成。」</t>
  </si>
  <si>
    <t>齠</t>
  </si>
  <si>
    <t>[動]
兒童換牙。晉．陶淵明〈祭從弟敬遠文〉：「相及齠齒，並罹偏咎，斯情實深，斯愛實厚。」
[形]
孩童時期的。如：「齠年」、「齠齡」。唐．白居易〈送毛仙翁〉詩：「紺髮絲並緻，齠容花共妍。」
[名]
兒童額前垂下的頭髮。通「髫」。如：「垂齠」。《文選．張協．七命》：「玄齠巷歌，黃髮擊壤。」</t>
  </si>
  <si>
    <t>參見「佻佻」條。</t>
  </si>
  <si>
    <t>(二)ㄊㄧㄠ tiāo（02674）</t>
  </si>
  <si>
    <t>條</t>
  </si>
  <si>
    <t>[名]
1.細長的樹枝。如：「柳條」、「枝條」。唐．李白〈折楊柳〉詩：「攀條折春色，遠寄龍庭前。」
2.長條形的物體。如：「線條」、「麵條」、「便條」、「油條」。
3.項目、條目。如：「條款」、「條例」、「法條」。
4.次序、系統。如：「有條不紊」、「井井有條」。
5.量詞：(1)計算條狀物的單位。如：「一條魚」、「兩條線」、「三條香菸」、「五條裙子」。(2)計算文書分項的單位。如：「《民法》共有一二二五條。」
[形]
1.長。《書經．禹貢》：「厥草惟繇，厥木惟條。」
2.暢通無阻。如：「條暢洞達」。《戰國策．魏策一》：「地四平，諸侯四通，條達幅輳，無有名山大川之阻。」</t>
  </si>
  <si>
    <t>鰷</t>
  </si>
  <si>
    <t>參見「鰷魚」條。</t>
  </si>
  <si>
    <t>蜩</t>
  </si>
  <si>
    <t>[名]
蟬。《詩經．豳風．七月》：「四月秀葽，五月鳴蜩。」《莊子．逍遙遊》：「蜩與學鳩笑之曰：『我決起而飛，搶榆枋時則不至，而控於地而已矣。』」</t>
  </si>
  <si>
    <t>[動]
1.合適、和諧。《淮南子．說林》：「梨橘棗栗不同味，而皆調於口。」《漢書．卷五六．董仲舒傳》：「竊譬之琴瑟不調，甚者必解而更張之，乃可鼓也。」
2.使和解。如：「調解」、「調停」、「協調」。《資治通鑑．卷四四．漢紀三十六．光武帝建武二十四年》：「但畏長者家兒或在左右，或與從事，殊難得調，介介獨惡是耳！」
3.平均。如：「調劑」。《漢書．卷二四．食貨志下》：「以臨萬貨，以調盈虛，以收奇羨，則官富貴而末民困，六矣。」
4.混合、配合。如：「調色」、「調味」、「調配」。《新唐書．卷二〇二．文藝傳中．李白傳》：「帝賜食，親為調羹。」
5.嘲笑、戲弄、挑逗。南朝宋．劉義慶《世說新語．排調》：「康僧淵目深而鼻高，王丞相每調之。」《醒世恆言．卷一〇．劉小官雌雄兄弟》：「老嫗看見桑茂標致，將言語調弄他。」
[形]
和暢、正常。如：「風調雨順」。</t>
  </si>
  <si>
    <t>(二)ㄉㄧㄠˋ diào（02209）</t>
  </si>
  <si>
    <t>鞗</t>
  </si>
  <si>
    <t>[名]
轡，馬韁繩。《字彙．革部》：「鞗，革轡也，御者所執，以絲曰轡，以革曰鞗。」《詩經．小雅．蓼蕭》：「既見君子，鞗革忡忡。」</t>
  </si>
  <si>
    <t>ㄊㄧㄠˇ</t>
  </si>
  <si>
    <t>tiǎo</t>
  </si>
  <si>
    <t>[動]
1.引動、舉起。如：「挑眉立目」。《紅樓夢》第八一回：「探春把竿子一挑，往地下一撩，卻是活迸的。」
2.用長形或尖形器具撥動。如：「挑火」、「挑刺」、「挑燈夜讀」。唐．白居易〈長恨歌〉：「夕殿螢飛思悄然，孤燈挑盡未成眠。」
3.一種刺繡針法。用針挑起經線或緯線，將線從下穿過。如：「挑花」。《聊齋志異．卷四．辛十四娘》：「曰：『十四娘近在閨中作什麼生？』女低應曰：『閒來只挑繡。』」
4.一種彈奏指法。手指反手回撥稱為「挑」。唐．白居易〈琵琶行〉：「輕攏慢撚抹復挑，初為霓裳後六么。」
5.搬弄、煽動。如：「挑撥」、「挑戰」。《文選．司馬遷．報任少卿書》：「垂餌虎口，橫挑彊胡，仰億萬之師。」
6.引誘、逗弄。通「誂」。如：「挑逗」、「挑弄」。《聊齋志異．卷二．鳳陽士人》：「士人注視麗者，屢以游詞相挑。」
[名]
一種書寫筆法。運筆向下，稍作停頓；向上提筆稍挫，扭鋒順勢挑出而收筆。</t>
  </si>
  <si>
    <t>(一)ㄊㄧㄠ tiāo（02677）</t>
  </si>
  <si>
    <t>朓</t>
  </si>
  <si>
    <t>[名]
古代稱農曆月底月亮出現在西方時為「朓」。《說文解字．月部》：「朓，晦而月見西方謂之朓。」南朝宋．謝莊〈月賦〉：「朒朓警闕，朏魄示沖。」</t>
  </si>
  <si>
    <t>(二)ㄊㄧㄠˋ tiào（02692A）</t>
  </si>
  <si>
    <t>窕</t>
  </si>
  <si>
    <t>[形]
1.深邃。《說文解字．穴部》：「窕，深肆極也。」晉．郭璞〈江賦〉：「爰有包山洞庭，巴陵地道，潛逵傍通，幽岫窈窕。」清．王筠《說文句讀》卷一四：「深肆，蓋即深邃。」
2.間隙、不充滿。《荀子．賦》：「充盈大宇而不窕，入郤穴而不偪者與？」《呂氏春秋．仲夏紀．適音》：「不充則不詹，不詹則窕。」漢．高誘．注：「窕，不滿密也。」
3.微細、輕小。《左傳．昭公二十一年》：「天子省風以作樂，器以鐘之，輿以行之。小者不窕，大者不槬。則和於物。」晉．杜預．注：「窕，細不滿。」唐．杜牧〈昔事文皇帝三十二韻〉：「周鐘既窕槬，黥陣亦瘢痕。」
4.虛假、不實在。《韓非子．難二》：「語言辨，聽之說，不度於義，謂之窕言。」
5.輕薄、不莊重。通「佻」。《左傳．成公十六年》：「楚師輕窕，固壘而待之三日必退。」
[動]
挑逗、誘惑。通「挑」。《文選．卷三四．七．枚乘．七發》：「雜裾垂髾，目窕心與。」唐．李善．注：「窕，當為挑。」</t>
  </si>
  <si>
    <t>[動]
引誘、挑逗。《說文解字．言部》：「誂，相呼誘也。」《戰國策．秦策一》：「楚人有兩妻者，人誂其長者，詈之；誂其少者，少者許之。」也作「挑」。</t>
  </si>
  <si>
    <t>(二)ㄉㄧㄠˋ diào（02207）</t>
  </si>
  <si>
    <t>䠷</t>
  </si>
  <si>
    <t>[形]
身材修長。《廣韻．上聲．篠韻》：「䠷，身長貌。」如：「身材高䠷」。</t>
  </si>
  <si>
    <t>嬥</t>
  </si>
  <si>
    <t>[形]
身材修長而美好。《說文解字．女部》：「嬥，直好貌。」
[名]
古代流行在巴蜀一帶的歌舞。《集韻．上聲．筱韻》：「嬥，一曰巴歌。」
[動]
跳舞。《文選．左思．魏都賦》：「或明發而嬥歌，或浮泳而卒歲。」</t>
  </si>
  <si>
    <t>眺</t>
  </si>
  <si>
    <t>ㄊㄧㄠˋ</t>
  </si>
  <si>
    <t>tiào</t>
  </si>
  <si>
    <t>[動]
1.眼睛邪視。《說文解字．目部》：「眺，目不正也。」《文選．潘岳．射雉賦》：「亦有目不步體，邪眺旁剔。」
2.遠望。如：「眺望」、「登高遠眺」。唐．杜甫〈喜晴〉詩：「出郭眺四郊，肅肅春增華。」</t>
  </si>
  <si>
    <t>跳</t>
  </si>
  <si>
    <t>[動]
1.以腳蹬地，使身體往上或向前的動作。如：「跳躍」、「跳遠」、「雞飛狗跳」。《水滸傳》第二三回：「那一陣風過處，只聽得亂樹背後，撲地一聲響，跳出一隻弔睛白額大虫來。」
2.振動。如：「心跳」、「心驚肉跳」、「眼跳」。《浮生六記．卷一．閨房記樂》：「握其腕，暖尖滑膩，胸中不覺怦怦作跳。」
3.越過。如：「跳行」、「跳級」、「這一頁跳過去不看。」
4.脫離、逃出。如：「跳出火坑」。《紅樓夢》第五回：「萬望先以情欲聲色等事警其痴頑，或能使彼跳出迷人圈子，然後入於正路。」</t>
  </si>
  <si>
    <t>覜</t>
  </si>
  <si>
    <t>[動]
1.古代諸侯每三年舉行聘問相見的禮節。《說文解字．見部》：「覜，諸侯三年大相聘曰覜。」《左傳．昭公五年》：「朝聘有珪，享覜有璋。」
2.遠望。通「眺」。《後漢書．卷五九．張衡傳》：「流目覜夫衡阿兮，睹有黎之圮墳。」《文選．左思．魏都賦》：「抗旗亭之嶢薛，侈所覜之博大。」</t>
  </si>
  <si>
    <t>糶</t>
  </si>
  <si>
    <t>[動]
出售穀物。《韓非子．內儲說下》：「韓昭侯之時，黍種嘗貴，甚少有，昭侯令人覆廩，廩吏果竊黍種而糶之甚多。」唐．聶夷中〈詠田家〉詩：「二月賣新絲，五月糶新穀。」</t>
  </si>
  <si>
    <t>天</t>
  </si>
  <si>
    <t>ㄊㄧㄢ</t>
  </si>
  <si>
    <t>tiān</t>
  </si>
  <si>
    <t>[名]
1.日月星辰所羅列的空間，即天空。如：「碧海青天」、「頂天立地」。唐．韓愈〈原道〉：「坐井而觀天，曰天小者，非天小也。」
2.一晝夜的時間。如：「昨天」、「今天」、「大後天」、「一天」。
3.白天或一天中的某一段時間。如：「三天三夜」、「三更天」。宋．程顥〈春日偶成〉詩：「雲淡風輕近午天，傍花隨柳過前川。」
4.時節、季節。如：「春天」、「三伏天」、「黃梅天」。
5.氣候。如：「晴天」、「陰天」、「大熱天」、「下雨天」。
6.自然。如：「人定勝天」、「樂天知命」。《莊子．天道》：「是故古之明大道者，先明天而道德次之。」
7.指宇宙萬物的主宰。有時指大自然、有時指命運、有時指天神等。如：「生死有命，富貴在天。」、「謀事在人，成事在天。」、「不怨天，不尤人。」《書經．泰誓中》：「天視自我民視，天聽自我民聽。」
8.指神靈所住的世界。如：「升天」、「歸天」。
9.不可或缺或最重要的事物。如：「以夫為天」。《漢書．卷四十三．酈食其傳》：「王者以民為天，而民以食為天。」
10. 量詞。計算時間的單位。一天有二十四小時。如：「這項工作限你三十天時間完成，不得拖延。」
[形]
1.自然的、天然的。如：「天才」、「天險」、「天籟」、「天性」。
2.數目極大的。如：「天價」、「天量」、「天文數字」。
3.騰空架設的、駕於空中的。如：「天橋」、「天窗」、「天棚」。
[副]
很、非常。如：「天大的好消息」、「天大的新聞」。</t>
  </si>
  <si>
    <t>添</t>
  </si>
  <si>
    <t>[動]
增加。如：「添飯」、「增添」、「添件衣服」。宋．辛棄疾〈瑞鷓鴣．膠膠擾擾幾時休〉詞：「先自一身愁不了，那堪愁上更添愁。」《紅樓夢》第四〇回：「鴛鴦便坐下了，婆子們添上碗筷來。」</t>
  </si>
  <si>
    <t>酟</t>
  </si>
  <si>
    <t>[動]
調和。《集韻．平聲．沾韻》：「酟，和也。」</t>
  </si>
  <si>
    <t>田</t>
  </si>
  <si>
    <t>ㄊㄧㄢˊ</t>
  </si>
  <si>
    <t>tián</t>
  </si>
  <si>
    <t>[名]
1.土地。如：「稻田」、「梯田」、「瓜田李下」、「蔗田」。《左傳．僖公二十八年》：「我執曹君，而分曹魏之田以賜宋人。」《孟子．梁惠王上》：「百畝之田，勿奪其時。」
2.可開採某些資源的地帶。如：「煤田」、「鹽田」。
3.姓。如戰國時魏有田子方。
4.二一四部首之一。
[動]
1.耕種。通「佃」。《漢書．卷一．高帝紀上》：「故秦苑囿園池，令民得田之。」
2.打獵。通「畋」。如：「田獵」。《詩經．鄭風．大叔于田》：「大叔于田，乘乘馬，執轡如組，兩驂如舞。」《國語．齊語》：「田、狩、罼、弋，不聽國政。」</t>
  </si>
  <si>
    <t>[動]
1.耕種。《史記．卷六九．蘇秦傳》：「南有碣石、鴈門之饒，北有棗栗之利，民雖不佃作而足於棗栗矣。」南朝梁．劉勰《文心雕龍．議對》：「佃穀先曉於農，斷訟務精於律。」
2.打獵。通「田」、「畋」。《易經．繫辭下》：「作結繩而為罔罟，以佃以漁。」</t>
  </si>
  <si>
    <t>(一)ㄉㄧㄢˋ diàn（02232）</t>
  </si>
  <si>
    <t>[動]
狩獵。通「畋」、「田」。《周禮．春官．小宗伯》：「若大甸，則帥有司而饁獸于郊，遂頒禽。」唐．賈公彥．疏：「大甸者，天子四時田獵也。」</t>
  </si>
  <si>
    <t>(一)ㄉㄧㄢˋ diàn（02233）</t>
  </si>
  <si>
    <t>畋</t>
  </si>
  <si>
    <t>[動]
1.耕種。《書經．多方》：「今爾尚宅爾宅，畋爾田，爾曷不惠王熙天之命？」唐．孔穎達．正義：「治田謂之畋，猶捕魚謂之漁，今人以營田求食謂之畋食，即此畋。」
2.狩獵。如：「畋獵」。《書經．五子之歌》：「乃盤遊無度，畋于有洛之表，十旬弗反。」《文選．司馬相如．子虛賦》：「楚使子虛使於齊，王悉發車騎與使者出畋。」李善注引司馬彪曰：「畋，獵也。」</t>
  </si>
  <si>
    <t>(一)ㄉㄧㄢˋ diàn（02234）</t>
  </si>
  <si>
    <t>恬</t>
  </si>
  <si>
    <t>[形]
1.安適、安然。如：「恬適」。《淮南子．精神》：「氣志虛靜恬愉而省嗜欲。」
2.安靜、清靜。如：「恬靜」。《紅樓夢》第一〇二回：「路上風恬浪靜，合家不必掛念。」
3.淡泊。如：「恬淡」。
[動]
淡漠。《韓非子．解老》：「所謂廉者，必生死之命也，輕恬資財也。」《晉書．卷四九．謝鯤傳》：「莫不服其遠暢，而恬於榮辱。」</t>
  </si>
  <si>
    <t>甜</t>
  </si>
  <si>
    <t xml:space="preserve">甘 </t>
  </si>
  <si>
    <t>[名]_x000D_
像糖或蜜的味道。如：「酸甜苦辣」。_x000D_
[形]_x000D_
1.味道像糖或蜜的。如：「這西瓜真甜！」_x000D_
2.美好。如：「甜蜜」、「甜言蜜語」、「她的聲音很甜美。」_x000D_
[副]_x000D_
安穩、酣熟。如：「她睡得很甜。」宋．楊萬里〈夜雨不寐〉詩：「更長酒力短，睡甜詩思苦。」</t>
  </si>
  <si>
    <t>湉</t>
  </si>
  <si>
    <t>參見「湉湉」、「澶湉」等條。</t>
  </si>
  <si>
    <t>填</t>
  </si>
  <si>
    <t>[動]
1.補塞。如：「填充」、「裝填」。《戰國策．趙策四》：「十五歲矣。雖少，願及未填溝壑而託之。」
2.充滿。如：「義憤填膺」。《文選．江淹．恨賦》：「置酒欲飲，悲來填膺。」
3.填寫。如：「填表」、「填詞」、「填日期」。明．徐渭《雌木蘭》第一齣：「軍書十卷，書書卷卷把俺爺來填。」
[擬]
形容擊鼓聲。《孟子．梁惠王上》：「填然鼓之，兵刃既接，棄甲曳兵而走。」《隋書．卷一四．音樂志中》：「設虡設業，鞉鼓填填。」</t>
  </si>
  <si>
    <t>搷</t>
  </si>
  <si>
    <t>[動]
敲擊。《楚辭．宋玉．招魂》：「竽瑟狂會，搷鳴鼓些。」</t>
  </si>
  <si>
    <t>磌</t>
  </si>
  <si>
    <t>[擬]
形容落石的聲音。《集韻．平聲．先韻》：「磌，石落聲。」《公羊傳．僖公十六年》：「霣石記聞，聞其磌然。」
[名]
柱下石。清．王念孫《廣雅疏證．卷七上．釋宮》：「磌，礩也。」疏證：「《太平御覽》引《說文》云：『礩，柱下石也。』」</t>
  </si>
  <si>
    <t>闐</t>
  </si>
  <si>
    <t>[動]
充塞、充滿。《史記．卷一二〇．鄭當時傳》：「始翟公為廷尉，賓客闐門。」
[形]
參見「闐闐」條。</t>
  </si>
  <si>
    <t>忝</t>
  </si>
  <si>
    <t>ㄊㄧㄢˇ</t>
  </si>
  <si>
    <t>tiǎn</t>
  </si>
  <si>
    <t>[動]
羞辱、汙蔑。《詩經．小雅．小宛》：「夙興夜寐，毋忝爾所生。」
[副]
自稱的謙詞。有輕賤、侮辱的意思。如：「忝居」、「忝為人師」、「忝列門牆」。《西遊記》第九回：「孩兒叨賴母親福庇，忝中狀元，欽賜遊街。」</t>
  </si>
  <si>
    <t>舔</t>
  </si>
  <si>
    <t>[動]
用舌頭觸碰或沾取東西。如：「舔嘴巴」、「舔冰棒」、「他被小狗舔得一臉的口水。」</t>
  </si>
  <si>
    <t>殄</t>
  </si>
  <si>
    <t>[動]
1.盡、滅絕。如：「殄滅」。《後漢書．卷四七．班超傳》：「彼不知我多少，必大震怖，可殄盡也。」
2.浪費、糟蹋。如：「暴殄天物」。</t>
  </si>
  <si>
    <t>淟</t>
  </si>
  <si>
    <t>參見「淟涊」、「淟濁」等條。</t>
  </si>
  <si>
    <t>㥏</t>
  </si>
  <si>
    <t>參見「㥏墨」條。</t>
  </si>
  <si>
    <t>腆</t>
  </si>
  <si>
    <t>[形]_x000D_
1.豐盛、豐厚。如：「腆儀」。明．徐弘祖《徐霞客遊記．卷六上．滇遊日記四》：「抵殿東廂，則築居亦為拉出矣。遂就燕飲。其婦所備肴饌甚腆。」_x000D_
2.善、美好。《禮記．郊特牲》：「幣必誠，辭無不腆。」_x000D_
3.害羞的樣子。參見「腼腆」條。_x000D_
4.不知羞恥的。南朝梁．沈約〈奏彈王源〉：「明目腆顏，曾無愧焉。」_x000D_
[動]_x000D_
凸出、挺出。如：「腆著胸脯」。《儒林外史》第三回：「屠戶橫披了衣服，腆著肚子去了。」</t>
  </si>
  <si>
    <t>餂</t>
  </si>
  <si>
    <t>[動]
探取、套騙。《孟子．盡心下》：「士未可以言而言，是以言餂之。」《聊齋志異．卷二．紅玉》：「誠恐宋人餂我。」</t>
  </si>
  <si>
    <t>[形]
慚愧的。《文選．左思．魏都賦》：「有靦瞢容，神惢形茹。」
[動]
厚顏、不以為恥。《南史．卷六一．陳伯之傳》：「將軍獨靦顏借命，驅馳氈裘之長，寧不哀哉！」</t>
  </si>
  <si>
    <t>(二)ㄇㄧㄢˇ miǎn（01441）</t>
  </si>
  <si>
    <t>掭</t>
  </si>
  <si>
    <t>ㄊㄧㄢˋ</t>
  </si>
  <si>
    <t>tiàn</t>
  </si>
  <si>
    <t>[動]
1.撥動、剔出。如：「掭燈火」。《初刻拍案驚奇》卷二三：「立起身來，幸得殘燈未息，重掭亮了。」
2.用毛筆蘸墨。如：「掭筆」。《西遊記》第三回：「那判官慌忙捧筆，飽掭濃墨。」</t>
  </si>
  <si>
    <t>瑱</t>
  </si>
  <si>
    <t>[名]
古代繫於冠冕兩側，垂在耳旁，用以塞耳的玉飾。《說文解字．玉部》：「瑱，以玉充耳也。」《左傳．昭公二十六年》：「以幣錦二兩，縛一如瑱。」晉．杜預．注：「瑱，充耳。」唐．孔穎達．正義：「禮以一絛五采橫冕上，兩頭下垂，繫黃綿，綿下又縣玉為瑱以塞耳。」《戰國策．齊策四》：「徹其環瑱，至老不嫁，以養父母。」也稱為「充耳」。
[動]
充填。《文選．郭璞．江賦》：「金精玉英瑱其裡，瑤珠怪石琗其表。」</t>
  </si>
  <si>
    <t>舚</t>
  </si>
  <si>
    <t>[動]
吐舌。唐．韓愈〈喜侯喜至贈張籍張徹〉詩：「雜作承間聘，交驚舌互舚。」</t>
  </si>
  <si>
    <t>汀</t>
  </si>
  <si>
    <t>ㄊㄧㄥ</t>
  </si>
  <si>
    <t>tīng</t>
  </si>
  <si>
    <t>[名]
水邊平地或河流中的小沙洲。如：「汀洲」、「綠汀」。唐．王勃〈滕王閣序〉：「鶴汀鳧渚，窮島嶼之縈迴。」宋．陸游〈夜泊水村〉詩：「記取江湖泊船處，臥聞新雁落寒汀。」俗讀為ㄉㄧㄥ（dīng）。</t>
  </si>
  <si>
    <t>朾</t>
  </si>
  <si>
    <t>[名]
地名。春秋時宋國屬地。故址約在今大陸地區河南省淮陽縣西北。</t>
  </si>
  <si>
    <t>(一)ㄉㄧㄥˇ dǐng（02260）</t>
  </si>
  <si>
    <t>桯</t>
  </si>
  <si>
    <t>[名]
床前的桌子。如：「桯凳」。《說文解字．木部》：「桯，床前几。」清．段玉裁．注：「古者坐於床而隱於几，……此床前之几，與席前之几不同，謂之桯者，言其平也。」</t>
  </si>
  <si>
    <t>(二)ㄧㄥˊ yíng（11190）</t>
  </si>
  <si>
    <t>鞓</t>
  </si>
  <si>
    <t>[名]
皮帶。唐．杜牧〈分司東都寓居履道叨承川尹劉侍郎大夫恩知上四十韻〉：「脛細摧新履，腰羸減舊鞓。」《宋史．卷一五三．輿服志五》：「詔中書舍人、諫議大夫、待制、殿中少監許繫紅鞓犀帶，不佩魚。」</t>
  </si>
  <si>
    <t>綎</t>
  </si>
  <si>
    <t>[名]
佩玉的絲帶。《說文解字．糸部》：「綎，系綬也。」《後漢書．卷六〇下．蔡邕傳》：「濟濟多士，端委縉綎。」</t>
  </si>
  <si>
    <t>聽</t>
  </si>
  <si>
    <t>[動]
1.用耳朵收受聲音。如：「聆聽」、「聽音樂」、「傾聽」。《禮記．檀弓下》：「有婦人哭於墓者而哀，夫子式而聽之。」
2.採信、取信。如：「聽信」。《戰國策．齊策一》：「士尉以證靖郭君，靖郭君不聽，士尉辭而去。」《宋史．卷四四二．文苑傳四．蘇舜欽傳》：「而大臣歸咎于刑獄之濫，陛下聽之，故肆赦天下以為禳救。」
3.等候、等待。明．徐渭《雌木蘭》第二齣：「念其勞役多年，令馳還鄉，休息三月，仍聽取用。」
4.順從、服從。如：「聽從」、「言聽計從」。《韓非子．五蠹》：「民固驕於愛，聽於威矣。」
[名]
1.耳聞的事情。《文選．諸葛亮．出師表》：「誠宜開張聖聽，以光先帝遺德。」
2.廳堂。通「廳」。南朝宋．劉義慶《世說新語．黜免》：「大司馬府聽前有一老槐，甚扶疏。」
3.量詞。計算罐頭食品的單位。為英語tin的音譯。如：「一聽奶粉」。
4.姓。如唐代有聽姓。</t>
  </si>
  <si>
    <t>(二)ㄊㄧㄥˋ tìng（02758）</t>
  </si>
  <si>
    <t>廳</t>
  </si>
  <si>
    <t>[名]
1.屋內的正堂。如：「大廳」、「正廳」。
2.聚會、招待客人的房間或場所。如：「客廳」、「餐廳」、「舞廳」、「交誼廳」。
3.從事某些工作或表演的場所或店堂。如：「理髮廳」、「音樂廳」。
4.官府辦公的地方。如：「辦公廳」。清．徐珂《清稗類鈔．飲食類．某孝廉飯於蔣文恪邸》：「屬僕曰：『第送詣某書記廳，云昨己面語相公。』」
5.現代政府機關所轄的機構。如：「教育廳」、「農林廳」、「建設廳」。
6.清代府下所設與州、縣同級的地方行政單位。如清代在臺灣設有淡水廳、噶瑪蘭廳等。《清史稿．卷一一六．職官志三》：「初治明制，府廳、州、縣及各衛武學並置學官。」</t>
  </si>
  <si>
    <t>廷</t>
  </si>
  <si>
    <t xml:space="preserve">廴 </t>
  </si>
  <si>
    <t>ㄊㄧㄥˊ</t>
  </si>
  <si>
    <t>tíng</t>
  </si>
  <si>
    <t>[名]
1.君主時代，國君辦事與發布政令的地方。如：「朝廷」、「宮廷」。《史記．卷八一．廉頗藺相如傳》：「秦王齋五日後，乃設九賓禮於廷，引趙使者藺相如。」唐．杜甫〈自京赴奉先縣詠懷五百字〉詩：「彤庭所分帛，本自寒女出。」
2.地方官吏辦事的處所。如：「縣廷」。唐．韓愈〈為裴相公讓官表〉：「移官府廷，因佐戎幕。」
3.庭院。通「庭」。漢．王充《論衡．論死》：「滿堂盈廷，填塞巷路。」</t>
  </si>
  <si>
    <t>庭</t>
  </si>
  <si>
    <t>[名]
1.廳堂、正房。《說文解字．广部》：「庭，宮中也。」清．段玉裁．注：「宮者，室也。室之中曰庭。」《論語．季氏》：「嘗獨立，鯉趨而過庭。」
2.院子、大廳臺階前的空地。如：「庭院」。《文選．古詩十九首．庭中有奇樹》：「庭中有奇樹，綠葉發華滋。」
3.泛稱寬闊的地方。如：「大庭廣眾」。
4.審理訴訟案件的場所。如：「法庭」、「開庭」、「民事庭」。
5.額頭。如：「天庭飽滿」、「庭闕不張」。</t>
  </si>
  <si>
    <t>莛</t>
  </si>
  <si>
    <t>[名]
1.草莖。《說文解字．艸部》：「莛，莖也。」如：「麥莛兒」。《漢書．卷六五．東方朔傳》：「以筦闚天，以蠡測海，以莛撞鐘。」
2.房屋上的橫梁。《莊子．齊物論》：「故為是舉莛與楹，厲與西施，恢恑憰怪，道通為一。」</t>
  </si>
  <si>
    <t>蜓</t>
  </si>
  <si>
    <t>參見「蜻蜓」、「蝘蜓」等條。</t>
  </si>
  <si>
    <t>筳</t>
  </si>
  <si>
    <t>[名]_x000D_
1.紡紗、絡絲或捲棉條的器具。清．朱駿聲《說文通訓定聲．鼎部》：「筳，所以絡絲者，蘇俗謂之篗頭，筳即其四周挺如柵者。」也稱為「錠」、「錠子」、「筳子」。_x000D_
2.小的竹枝或木枝。《漢書．卷九九．王莽傳中》：「莽使太醫、尚方與巧屠共刳剝之，量度五藏，以竹筳導其脈，知所終始，云可以治病。」《六臣註文選．卷四五．東方朔．答客難》：「以管窺天，以蠡測海，以筳撞鐘。」唐．張銑．注：「筳，小木枝也。」</t>
  </si>
  <si>
    <t>霆</t>
  </si>
  <si>
    <t>[名]
1.突然暴起的雷聲。《說文解字．雨部》：「霆，雷餘聲也鈴鈴，所以挺出萬物。」如：「雷霆」。
2.閃電。《玉篇．雨部》：「霆，電也。」《淮南子．兵略》：「疾雷不及塞耳，疾霆不暇掩目。」</t>
  </si>
  <si>
    <t>鼮</t>
  </si>
  <si>
    <t>[名]
動物名。哺乳動物齧齒目。身上有花紋如豹。</t>
  </si>
  <si>
    <t>亭</t>
  </si>
  <si>
    <t>[名]
1.秦漢時的地方治安機構。《史記．卷一〇九．李將軍傳》：「嘗夜從一騎出，從人田間飲，還至霸陵亭，霸陵尉醉，呵止廣。」
2.古代建在路旁的公家房舍，以便旅客投宿休息。唐．李白〈菩薩蠻．平林漠漠煙如織〉詞：「何處是歸程？長亭更短亭！」
3.守望敵情的處所。三國魏．王粲〈七哀詩〉三首之三：「登城望亭燧，翩翩飛戍旗。」
4.有頂無牆，供人憩息、觀賞的建築物，多築在花園或路旁。如：「涼亭」、「茅亭」。宋．歐陽修〈醉翁亭記〉：「峰回路轉，有亭翼然，臨於泉上者，醉翁亭也。」
5.一種供辦公或營業使用的小型房子。如：「票亭」、「郵亭」、「電話亭」。</t>
  </si>
  <si>
    <t>停</t>
  </si>
  <si>
    <t>[動]
1.中止。如：「停辦」、「停止」、「雨停了」。
2.止留、暫時居留。如：「停留」。《三國演義》第一〇六回：「雨水不住，營中泥濘，軍不可停，請移於前面山上。」
3.放置、擱置。如：「停放」。《後漢書．卷八一．獨行傳．范式傳》：「遂停柩移時，乃見有素車白馬，號哭而來。」《儒林外史》第二六回：「把棺材就停在房子中間，開了幾日喪。」
[副]
穩當、妥貼。《西遊記》第三回：「悟空將金冠、金甲、雲履都穿戴停當。」《儒林外史》第五回：「當下商議已定，一切辦的停妥。」</t>
  </si>
  <si>
    <t>渟</t>
  </si>
  <si>
    <t>[動]
水流停止不動。唐．柳宗元〈游黃溪記〉：「其略若剖大甕，側立千尺，溪水積焉，黛蓄膏渟，來若白虹，沉沉無聲。」</t>
  </si>
  <si>
    <t>婷</t>
  </si>
  <si>
    <t>[形]
美好的樣子。參見「娉婷」、「婷婷」等條。</t>
  </si>
  <si>
    <t>葶</t>
  </si>
  <si>
    <t>參見「葶藶」條。</t>
  </si>
  <si>
    <t>𡈼</t>
  </si>
  <si>
    <t>ㄊㄧㄥˇ</t>
  </si>
  <si>
    <t>tǐng</t>
  </si>
  <si>
    <t>[形]
善、美好。《說文解字．𡈼部》：「𡈼，善也。」清．段玉裁．注：「人各事其事，是善也。」
[動]
挺立。《說文解字．𡈼部》：「𡈼，一曰象物出地挺生也。」清．朱駿聲《說文通訓定聲．鼎部》：「按此字從人立土上，會意。挺，立也。與立同誼。望、廷皆從此為義。」</t>
  </si>
  <si>
    <t>(二)ㄖㄣˊ rén（▲09216）</t>
  </si>
  <si>
    <t>侹</t>
  </si>
  <si>
    <t>[形]
1.長的樣子。《說文解字．人部》：「侹，長貌。」
2.平直。參見「侹侹」條。</t>
  </si>
  <si>
    <t>挺</t>
  </si>
  <si>
    <t>[動]
1.拔出。《說文解字．手部》：「挺，拔也。」《戰國策．魏策四》：「挺劍而起。」《三國演義》第一回：「張飛挺丈八蛇矛直出。」
2.撐直。如：「挺胸」、「挺著脖子」。
3.勉強支撐。如：「挺不住」、「他病了！還是硬挺著不肯休息。」
[形]
1.直的。如：「西裝筆挺」。
2.獨特、傑出。如：「英俊挺拔」。漢．班固〈為第五倫薦謝夷吾疏〉：「竊見鉅鹿太守會稽謝夷吾，出自東州，厥土塗泥，而英資挺特，奇偉秀出。」南朝齊．孔稚珪〈祭外兄張長史文〉：「惟君之德，高明秀挺。」
[副]
很、甚。如：「他人緣挺好。」、「她待人挺和氣。」、「她看起來挺高興的樣子。」《兒女英雄傳》第三一回：「挺長挺深的一個大口子，鮮血直流的呢？」
[名]
量詞。計算機槍數量的單位。如：「十挺機關槍」。</t>
  </si>
  <si>
    <t>珽</t>
  </si>
  <si>
    <t>[名]
大圭。古代天子上朝所執的玉版。《說文解字．玉部》：「珽，大圭。長三尺，抒上，終葵首。」《資治通鑑．卷一七一．陳紀五．宣帝太建四年》：「護既入，如帝所戒讀酒誥；未畢，帝以玉珽自後擊之，護踣於地。」</t>
  </si>
  <si>
    <t>梃</t>
  </si>
  <si>
    <t>[名]
1.棍棒。如：「箠梃」。《孟子．梁惠王上》：「殺人以梃與刃，有以異乎？」唐．柳宗元〈封建論〉：「負鋤梃謫戍之徒，圜視而合從，大呼而成群。」
2.量詞。古代計算竿狀物的單位。唐．韓愈〈藍田縣丞廳壁記〉：「庭有老槐四行，南牆鉅竹千梃，儼立若相持。」</t>
  </si>
  <si>
    <t>脡</t>
  </si>
  <si>
    <t>[名]
直條狀的乾肉。《公羊傳．昭公二十五年》：「高子執簞食與四脡脯。」《清史稿．卷五一一．列女傳四．林守仁妻王傳》：「母去兒無恐，但歲時具杯酒，一脡肉，母當歸，不相嚇也。」
[形]
直的。參見「脡脡」、「脡直」等條。</t>
  </si>
  <si>
    <t>艇</t>
  </si>
  <si>
    <t>[名]
1.輕便狹長的小船。如：「快艇」、「汽艇」、「救生艇」。
2.像艇的較大型船隻。如：「飛艇」、「砲艇」、「潛水艇」、「豪華遊艇」。</t>
  </si>
  <si>
    <t>[副]
走得很快的樣子。《左傳．文公十七年》：「鋌而走險，急何能擇！」晉．杜預．注：「鋌，疾走貌。」唐．李華〈弔古戰場文〉：「鳥飛不下，獸鋌亡群。」</t>
  </si>
  <si>
    <t>(二)ㄉㄧㄥˋ dìng（02271）</t>
  </si>
  <si>
    <t>頲</t>
  </si>
  <si>
    <t>[形]
1.頭長而直的樣子。《說文解字．頁部》：「頲，狹頭頲也。」
2.直的。《爾雅．釋詁下》：「頲，直也。」</t>
  </si>
  <si>
    <t>[名]
1.田界、田間小路。《莊子．人間世》：「彼且為無町畦，亦與之為無町畦。」唐．成玄英．疏：「町，畔也。」
2.田地。《文選．卷二．賦．張衡．西京賦》：「篠簜敷衍，編町成篁。」李善引薛綜注：「町，謂畎畝。」</t>
  </si>
  <si>
    <t>(二)ㄉㄧㄥ dīng（02258）</t>
  </si>
  <si>
    <t>ㄊㄧㄥˋ</t>
  </si>
  <si>
    <t>tìng</t>
  </si>
  <si>
    <t>[動]
1.治理、處理。如：「垂簾聽政」。《周禮．天官．小宰》：「以聽官府之六計。」
2.裁決、裁斷。如：「聽獄」。《論語．顏淵》：「聽訟，吾猶人也，必也使無訟乎？」
3.任由、任憑。如：「聽其自然」、「悉聽尊便」、「聽天由命」。《西遊記》第九回：「這江州有個金山寺、焦山寺，聽你在那個寺裡去。」</t>
  </si>
  <si>
    <t>(一)ㄊㄧㄥ tīng（02734）</t>
  </si>
  <si>
    <t>ㄊㄨ</t>
  </si>
  <si>
    <t>tū</t>
  </si>
  <si>
    <t>(一)ㄊㄨˊ tú（02764）(二)（(一)之又音）ㄉㄧㄝˊ dié（02157）(四)ㄍㄨˇ gǔ（04146）</t>
  </si>
  <si>
    <t>禿</t>
  </si>
  <si>
    <t>[形]
1.形容物體沒有毛、髮、草木、枝葉等。如：「禿子」、「禿頭」、「禿山」、「禿樹」。
2.物體尖端鈍粗、不尖銳。如：「禿針」、「禿筆」。
3.首尾不完整。如：「禿頭文章」、「這篇文章結尾有點禿了。」</t>
  </si>
  <si>
    <t>鵚</t>
  </si>
  <si>
    <t>參見「鵚鶖」條。</t>
  </si>
  <si>
    <t>廜</t>
  </si>
  <si>
    <t>[名]
廜㢝：(1)用草築成的房子。元．袁桷〈次韻繼學途中竹枝詞〉一〇首之四：「土屋苫草成廜㢝，前床翁媼後小姑。」(2)一種酒。宋．陸游〈立春前一日作〉詩：「重溫壽酒廜㢝釅，探借春盤餅餌香。」</t>
  </si>
  <si>
    <t>嶀</t>
  </si>
  <si>
    <t>[名]
山名。位在浙江省紹興市轄嵊州市北。清．顧祖禹《讀史方輿紀要．卷九二．浙江四．紹興府》：「嶀山在（嵊）縣北四十里。《輿地志》：『……嶀、嵊二山參差相對，為絕勝處。』」</t>
  </si>
  <si>
    <t>ㄊㄨˊ</t>
  </si>
  <si>
    <t>tú</t>
  </si>
  <si>
    <t>[形]
高出的、突出的。「凹」的相反。如：「凸眼」、「凸透鏡」。唐．陸龜蒙〈奉酬襲美先輩吳中苦雨一百韻〉：「先夸屋舍好，又恃頭角凸。」《浮生六記．卷二．閒情記趣》：「以土礫凸者為邱，凹者為壑。」</t>
  </si>
  <si>
    <t>(二)（(一)之又音）ㄉㄧㄝˊ dié（02157）(三)（(一)之又音）ㄊㄨ tū（02759）(四)ㄍㄨˇ gǔ（04146）</t>
  </si>
  <si>
    <t>怢</t>
  </si>
  <si>
    <t>[動]
忽視。《後漢書．卷五二．崔駰傳》：「習亂安危，怢不自睹。」《文選．王襃．四子講德論》：「故美玉蘊於碔砆，凡人視之怢焉。」</t>
  </si>
  <si>
    <t>突</t>
  </si>
  <si>
    <t>[動]
1.凸起、高出周圍。如：「突起」、「突出」。明．徐弘祖《徐霞客遊記．卷五上．滇遊日記一》：「南崖有亭前突，北崖橫倚樓。」
2.猛衝、衝撞。如：「突圍」。《文選．班固．西都賦》：「窮虎奔突，狂兕觸蹷。」《文選．王延壽．魯靈光殿賦．序》：「遭漢中微，盜賊奔突。」
3.觸犯、冒犯。元．白樸《梧桐雨》第二折：「等不的俺筵上笙歌散，可不氣丕丕冒突天顏。」
4.穿通、攻破。《左傳．僖公二十五年》：「鄭子展、子產帥車七百乘，伐陳。宵突陳城，遂入之。」
[名]
煙囪。如：「煙突」、「曲突徙薪」。元．盧琦〈漁樵共話圖〉詩：「我渴魚可羹，爾歸突未煙。」
[副]
忽然、猝然。如：「突飛猛進」、「突如其來」。《後漢書．卷六六．陳蕃傳》：「蕃時年七十，聞難作，將官屬諸生八十餘，人並拔刃，突入承明門。」</t>
  </si>
  <si>
    <t>葖</t>
  </si>
  <si>
    <t>[名]
植物名。十字花科萊菔屬。根部肥大，肉質。基生葉及下部莖生葉大頭羽狀中裂，長八至三十公分，莖上部葉片長橢圓形，鋸齒緣或全緣。總狀花序頂生及腋生，花白色或粉紫色。長角果圓柱形，先端喙狀。參見「蘿蔔」條。《爾雅．釋草》：「葖，蘆萉。」晉．郭璞．注：「萉宜為菔。蘆菔，蕪菁屬。紫華大根，俗呼雹葖。」宋．邢昺．疏：「紫花菘也，俗呼溫菘，似蕪菁大根。一名葖，俗呼雹葖；一名蘆菔，今謂之蘿蔔是也。」</t>
  </si>
  <si>
    <t>鼵</t>
  </si>
  <si>
    <t>[名]
一種喜與鳥同穴的鼠。《爾雅．釋鳥》：「鳥鼠同穴，其鳥為鵌，其鼠為鼵。」晉．郭璞．注：「鼵如人家鼠而短尾，鵌似鵽而小，黃黑色。穴入地三、四尺，鼠在內，鳥在外。」</t>
  </si>
  <si>
    <t>涂</t>
  </si>
  <si>
    <t>[名]
1.道路。通「塗」、「途」。《戰國策．趙策三》：「魯人投其籥，不果納，不得入於魯，將之薛，假涂於鄒。」《漢書．卷二二．禮樂志》：「大朱涂廣，夷石為堂。」
2.姓。如宋代有涂天明、涂正勝。</t>
  </si>
  <si>
    <t>悇</t>
  </si>
  <si>
    <t>[動]
憂愁。《玉篇．心部》：「悇，憂也。」《集韻．平聲．模韻》：「悇，苦憂也。」</t>
  </si>
  <si>
    <t>荼</t>
  </si>
  <si>
    <t>[名]
1.植物名。即苦菜。菊科苦菜苣屬，「苦菜」之古稱，參見「苦菜」條。
2.茅、蘆的白花。《詩經．鄭風．出其東門》：「出其闉闍，有女如荼。」漢．鄭玄．箋：「荼，茅秀，物之輕者，飛行無常。」</t>
  </si>
  <si>
    <t>(二)ㄕㄨ shū（09060）</t>
  </si>
  <si>
    <t>途</t>
  </si>
  <si>
    <t>[名]
1.道路。如：「旅途」、「半途而廢」。《文選．陶淵明．歸去來辭》：「寔迷途其未遠，覺今是而昨非。」
2.方面、範圍。如：「用途」。</t>
  </si>
  <si>
    <t>稌</t>
  </si>
  <si>
    <t>[名]
植物名。即糯。禾木科稻屬，為稻之栽培品種之一，一年生草本。莖高約一尺，中空有節。葉細長而尖，有平行脈，互生。秋月開花，穗狀花序。米富黏性，供食用、製糕及釀酒用。也稱為「糯稻」。參見「稻」條。</t>
  </si>
  <si>
    <t>塗</t>
  </si>
  <si>
    <t>[名]
1.泥。清．王念孫《廣雅疏證．卷三下．釋詁》：「塗，泥也。」如：「泥塗」。《莊子．秋水》：「此龜者，寧其死為留骨而貴乎？寧其生而曳尾於塗中乎？」
2.道路。通「途」。《論語．陽貨》：「孔子時其亡也，而往拜之，遇諸塗。」《孟子．梁惠王上》：「塗有餓莩而不知發。」
3.姓。如漢代有塗禪。
[動]
1.粉刷、敷抹。如：「塗飾」。《史記．卷八六．刺客列傳．豫讓》：「乃變名姓為刑人，入宮塗廁，中挾匕首，欲以刺襄子。」宋．陸游〈阿姥〉詩：「猶有塵埃嫁時鏡，東塗西抹不成妝。」
2.擦去、抹去。如：「塗改」、「這幾個字一塗掉，整篇文章便顯得乾淨俐落。」
3.隨意畫、寫。如：「塗鴉」。
4.沾汙、汙染。《莊子．讓王》：「其並乎周以塗吾身也，不如避之以絜吾行。」</t>
  </si>
  <si>
    <t>嵞</t>
  </si>
  <si>
    <t>[名]
嵞山：(1)今會稽山。位在大陸地區浙江省中部一帶，相傳夏禹大會諸侯於此，故改名為「會稽山」。《說文解字．屾部》：「嵞，會稽山也。」清．段玉裁．注：「蓋大禹以前名嵞山，大禹以後則名會稽山，故許以今名釋古名也。」(2)國名。古塗山國，故址約在今大陸地區安徽省懷遠縣東南，相傳大禹娶嵞山國女，會諸侯於此。《說文解字．屾部》：「嵞，一曰：『九江當涂也。民俗以辛、壬、癸、甲之日嫁娶。』」</t>
  </si>
  <si>
    <t>酴</t>
  </si>
  <si>
    <t>[名]
1.酒麴。《說文解字．酉部》：「酴，酒母也。」清．段玉裁．注：「今之酵也。」今稱為「酵母」。
2.參見「酴醾」條。</t>
  </si>
  <si>
    <t>駼</t>
  </si>
  <si>
    <t>參見「騊駼」、「騉駼」等條。</t>
  </si>
  <si>
    <t>鵌</t>
  </si>
  <si>
    <t>[名]
一種喜與鼠同穴而居的鳥。《爾雅．釋鳥》：「鳥鼠同穴，其鳥為鵌，其鼠為鼵。」晉．郭璞．注：「鼵如人家鼠而短尾，鵌似鵽而小。黃黑色，穴入地三四尺，鼠在內，鳥在外。」</t>
  </si>
  <si>
    <t>徒</t>
  </si>
  <si>
    <t>[動]
步行。《說文解字．辵部》：「徒，步行也。」《易經．賁卦．初九》：「賁其趾，舍車而徒。」
[名]
1.步卒、兵卒。《詩經．魯頌．閟宮》：「公徒三萬。」《左傳．隱公四年》：「諸侯之師，敗鄭徒兵，取其禾而還。」
2.人，多指壞人。如：「暴徒」、「匪徒」、「不法之徒」。
3.服膺、信仰某一宗教或學說的人。如：「信徒」、「教徒」、「基督徒」、「佛教徒」。
4.門人、弟子。如：「學徒」、「門徒」、「徒弟」。《論語．先進》：「非吾徒也。小子鳴鼓而攻之，可也。」
5.一種拘禁犯人，強服勞役的刑罰。如：「無期徒刑」、「他被判有期徒刑二年，得併科罰金。」
[形]
空的，不憑藉什麼的。如：「徒手搏虎」、「徒手體操」。
[副]
1.但、僅。如：「徒增煩惱」。《孟子．公孫丑上》：「非徒無益，而又害之。」漢．曹操〈讓縣自明本志令〉：「孤非徒對諸君說此也，常以語妻妾，皆令深知此意。」
2.白白的、平白。如：「徒然」、「徒勞無功」、「徒託空言」。漢．無名氏〈長歌行〉：「少小不努力，老大徒傷悲。」
3.卻、竟然。《莊子．天地》：「吾聞之夫子，事求可，功求成，用力少，見功多者，聖人之道。今徒不然。」《荀子．子道》：「吾以夫子為無所不知，夫子徒有所不知。」</t>
  </si>
  <si>
    <t>跿</t>
  </si>
  <si>
    <t>[動]
跿䞤：光著腳。《戰國策．韓策一》：「虎摯之士，跿䞤科頭，貫頤奮戟者，至不可勝計也。」</t>
  </si>
  <si>
    <t>屠</t>
  </si>
  <si>
    <t>[動]_x000D_
1.宰殺牲畜。如：「屠宰」。《史記．卷九五．樊酈滕灌列傳．樊噲》：「舞陽侯樊噲者，沛人也。以屠狗為事，與高祖俱隱。」_x000D_
2.殘殺、殺戮。如：「屠城」。《史記．卷七．項羽本紀》：「項羽引兵，西屠咸陽。」南朝梁．劉孝標〈辯命論〉：「楚師屠漢卒，雎河鯁其流。」_x000D_
[名]_x000D_
1.以宰殺牲畜為職業的人。《史記．卷八六．刺客列傳．荊軻》：「荊軻既至燕，愛燕之狗屠及善擊筑者高漸離。」_x000D_
2.姓。如晉代有屠蒯。</t>
  </si>
  <si>
    <t>(二)ㄔㄨˊ chú（08537）</t>
  </si>
  <si>
    <t>瘏</t>
  </si>
  <si>
    <t>[動]
生病。《詩經．周南．卷耳》：「陟彼砠矣，我馬瘏矣，我僕痡矣，云何吁矣。」漢．毛亨．傳：「瘏，病也。」</t>
  </si>
  <si>
    <t>菟</t>
  </si>
  <si>
    <t>參見「於菟」條。</t>
  </si>
  <si>
    <t>(一)ㄊㄨˋ tù（02793）</t>
  </si>
  <si>
    <t>腯</t>
  </si>
  <si>
    <t>[形]
肥碩。本專指豬隻肥美，後泛指牲畜肥實壯碩。段注本《說文解字．肉部》：「腯，牛羊曰肥，豕曰腯。」《左傳．桓公六年》：「吾牲牷肥腯，粢盛豐備。」晉．杜預．注：「腯，亦肥也。」晉．左思〈吳都賦〉：「露往霜來，日月其除，草木節解，鳥獸腯膚。」</t>
  </si>
  <si>
    <t>圖</t>
  </si>
  <si>
    <t>[名]_x000D_
1.由各種線條、形狀、色彩等描繪成的形象或畫面。如：「地圖」、「設計圖」、「插圖」、「草圖」。_x000D_
2.疆域。如：「版圖」。唐．杜甫〈秦州雜詩〉二〇首之三：「州圖領同谷，驛道出流沙。」_x000D_
3.欲念。晉．陸機〈五等論〉：「故彊晉收其請隧之圖，暴楚頓觀鼎之志。」唐．杜甫〈過南嶽入洞庭湖〉詩：「帝子留遺恨，曹公屈壯圖。」_x000D_
[動]_x000D_
1.繪畫、描繪。《南史．卷八．梁本紀．元帝》：「自圖宣尼像，為之贊而書之。」《西遊記》第三二回：「我記得他的模樣，曾將他師徒畫了一個影，圖了一個形，你可拿去。」_x000D_
2.策劃、考慮。如：「圖謀」。《史記．卷八六．刺客列傳．曹沬》：「今魯城壞，即壓齊境，君其圖之！」宋．曾鞏〈宜黃縣學記〉：「天子圖當世之務，而以學為先，於是天下之學乃得立。」_x000D_
3.謀取、謀求。如：「貪圖」、「唯利是圖」。《戰國策．秦策四》：「韓、魏從，而天下可圖也。」《紅樓夢》第七〇回：「放風箏圖的是這一樂，所以又說放晦氣。」</t>
  </si>
  <si>
    <t>土</t>
  </si>
  <si>
    <t>ㄊㄨˇ</t>
  </si>
  <si>
    <t>tǔ</t>
  </si>
  <si>
    <t>[名]
1.地面砂泥等的混合物。如：「泥土」、「黏土」、「黑土」、「積土成山」。《書經．禹貢》：「厥貢惟土五色。」
2.地域、疆域。如：「國土」、「領土」、「疆土」。《詩經．小雅．北山》：「溥天之下，莫非王土。」《左傳．隱公十年》：「以王命討不庭，不貪其土。」
3.鄉里。如：「故土」。《後漢書．卷四七．班超傳》：「超自以久在絕域，年老思土。」唐．劉威〈旅懷〉詩：「老將何面還吾土，夢有驚魂在楚鄉。」
4.五行之一。參見「五行」條。
5.二一四部首之一。
[形]
1.本地的、地方性的、區域的。如：「土產」、「土貨」、「土話」。
2.古老傳統的。如：「土方法」、「土法煉鋼」。
3.不合潮流的。如：「土裡土氣」、「他的穿著很土。」</t>
  </si>
  <si>
    <t>吐</t>
  </si>
  <si>
    <t>[動]
1.使東西從口中出來。如：「吐痰」、「吐哺」。《水滸傳》第六回：「見洒家是個和尚，他道不利市，吐一口唾走入去了。」
2.發出、說出。如：「吐露」、「堅不吐實」、「一吐為快」。唐．白居易〈慈烏夜啼〉詩：「慈烏失其母，啞啞吐哀音。」
3.釋放、放出。如：「窗外的夜來香吐放出濃郁的芳香。」
4.摒棄、拋棄。《左傳．僖公五年》：「若晉取虞，而明德以薦馨香，神其吐之乎？」
[名]
文詞、言詞。如：「吐屬典雅」。《南史．卷五二．梁宗室傳下．始興忠武王憺傳》：「暎弟曄字通明，美姿容，善談吐。」</t>
  </si>
  <si>
    <t>(二)ㄊㄨˋ tù（02790）</t>
  </si>
  <si>
    <t>芏</t>
  </si>
  <si>
    <t>[名]
植物名。即江芏。莎草科，多年生草本。分布於亞、非、大洋洲的熱帶地區，及大陸地區南部沿海各省。葉片短少，葉鞘長。生於海邊或沼澤低窪地，是改良鹽鹼地的優良品種。其莖的纖維可製紙、織蓆。也稱為「芏草」、「鹹水草」。</t>
  </si>
  <si>
    <t>釷</t>
  </si>
  <si>
    <t>[名]
（thorium，Th）化學元素。原子序90。屬於錒系的金屬元素，存在於釷石礦中。還原氟化釷、二氧化釷，電解氯化釷，亦可得金屬釷。具延展性、放射性，不溶於水和鹼，但溶於酸。空氣中由銀白色變成暗灰色或黑色，為核能原料。在高溫的空氣中會發光，可用於製造太陽燈。</t>
  </si>
  <si>
    <t>ㄊㄨˋ</t>
  </si>
  <si>
    <t>tù</t>
  </si>
  <si>
    <t>[動]
1.由胃逆出。如：「吐血」、「嘔吐」、「上吐下瀉」。
2.把吞沒的東西退還。如：「吐出贓款」、「歸你的，自拿去；不歸你的，請全數吐出來吧！」</t>
  </si>
  <si>
    <t>(一)ㄊㄨˇ tǔ（02787）</t>
  </si>
  <si>
    <t>兔</t>
  </si>
  <si>
    <t>[名]
動物名。脊椎動物哺乳類兔形目。草食性動物。耳大，尾短向上翹，上脣中裂，後腿較前腿長。毛色為灰、白或褐色。有家兔、野兔兩種。俗稱為「兔子」。</t>
  </si>
  <si>
    <t>堍</t>
  </si>
  <si>
    <t>[名]
靠近橋頭兩端的地方。如：「橋堍」。宋．吳文英〈西子妝慢．流水麴塵〉詞：「笑拈芳草不知名，乍淩波，斷橋西堍。」</t>
  </si>
  <si>
    <t>參見「菟葵」、「菟裘」等條。</t>
  </si>
  <si>
    <t>(二)ㄊㄨˊ tú（02783）</t>
  </si>
  <si>
    <t>ㄊㄨㄛ</t>
  </si>
  <si>
    <t>tuō</t>
  </si>
  <si>
    <t>(一)ㄊㄚ tā（02411）(三)ㄊㄨㄛˊ tuó（02807）</t>
  </si>
  <si>
    <t>[代]
同「它」。《文選．曹丕．燕歌行》：「慊慊思歸戀故鄉，何為淹留寄佗方？」</t>
  </si>
  <si>
    <t>(二)ㄊㄨㄛˊ tuó（02808）(三)ㄊㄚ tā（02412）</t>
  </si>
  <si>
    <t>(一)ㄊㄚ tā（02414）</t>
  </si>
  <si>
    <t>(一)ㄊㄚ tā（02416）</t>
  </si>
  <si>
    <t>拖</t>
  </si>
  <si>
    <t>[動]
1.牽拉。如：「拖拽」、「拖人下水」、「火車頭後面拖著十節車箱。」
2.垂著、搭著。如：「拖著兩條大辮子。」唐．溫庭筠〈張靜婉採蓮歌〉：「蘭膏墜髮紅玉春，燕釵拖頸拋盤雲。」
3.延宕。如：「拖延」、「拖時間」、「拖拖拉拉」。</t>
  </si>
  <si>
    <t>托</t>
  </si>
  <si>
    <t>[動]_x000D_
1.用手掌承舉。如：「托腮」、「托著茶盤」。《水滸傳》第二回：「沒多時，就廳上放開條桌子，莊客托出一桶盤，四樣菜蔬，一盤牛肉。」_x000D_
2.用手上下推舉。如：「排球一次你可托幾下？」_x000D_
3.襯、墊。如：「下面托一層毛毯。」_x000D_
4.陪襯。如：「襯托」、「烘雲托月」、「紅花雖好，也要有綠葉的烘托。」_x000D_
5.寄託。通「託」。如：「托兒所」。宋．辛棄疾〈瑞鶴仙．雁霜寒透幕〉詞：「瑤池舊約，鱗鴻更仗誰托？」_x000D_
6.借故推辭。通「託」。如：「推托」、「假托」。_x000D_
7.依靠。通「託」。如：「托福」。_x000D_
[名]_x000D_
承受東西的座子。如：「槍托」、「花托」、「茶托兒」。《水滸傳》第四回：「真長老與趙員外眾人茶罷，收了盞托。」_x000D_
[量]_x000D_
表示真空壓力的單位。一托等於一毫米汞柱高的壓力。</t>
  </si>
  <si>
    <t>侂</t>
  </si>
  <si>
    <t>[動]
交託、寄託。同「託」。《說文解字．人部》：「侂，寄也。」清．段玉裁．注：「此與託音義皆同。」《玉篇．人部》：「侂，寄也。《論語》云：『可以侂六尺之孤。』」民國．章太炎《檢論．卷五．述圖》：「古之畫者侂於工師，今之畫者侂於名士。」</t>
  </si>
  <si>
    <t>託</t>
  </si>
  <si>
    <t>[動]
1.寄託。如：「託售」、「託兒所」。唐．杜甫〈大麥行〉：「安得如鳥有羽翅，託身白雲還故鄉。」
2.委任。如：「託付」、「委託」。《論語．泰伯》：「可以託六尺之孤，可以寄百里之命。」
3.請求、幫助。如：「請託」、「懇託」。《儒林外史》第四回：「三房裡曾託我說媒，我替他講西鄉裡封大戶家，好不有錢。」
4.借故推諉躲避。如：「推託」、「假託」。《後漢書．卷五三．姜肱傳》：「肱託以他辭，終不言盜。」
5.依賴。如：「託福」、「託庇」。《三國演義》第一〇六回：「臣託陛下洪福，必擒公孫淵以獻陛下。」</t>
  </si>
  <si>
    <t>飥</t>
  </si>
  <si>
    <t>魠</t>
  </si>
  <si>
    <t>[名]
古代指某些大口的魚類。《說文解字．魚部》：「魠，哆口魚也。」清．段玉裁．注：「哆者，張口也。……《廣雅》曰：『魧，魠也。』以魠為名，取開祏之意。」</t>
  </si>
  <si>
    <t>侻</t>
  </si>
  <si>
    <t>[形]
1.簡易。《晏子春秋．內篇．諫下》：「聖人之服，中侻而不駔，可以導眾。」《淮南子．本經》：「其言略而循理，其行侻而順情。」漢．高誘．注：「侻，簡易也。」
2.坦率而不羈小節。《新唐書．卷一〇二．李百藥傳》：「性疏侻，喜劇飲。」
[動]
脫離、離開。通「脫」。《老子》第三六章：「魚不可侻於淵，國之利器不可以示人。」</t>
  </si>
  <si>
    <t>(二)ㄊㄨㄟˋ tuì（02845）</t>
  </si>
  <si>
    <t>梲</t>
  </si>
  <si>
    <t>[名]
棍、棒。《說文解字．木部》：「梲，木杖也。」《淮南子．說山》：「執彈而招鳥，揮梲而呼狗，欲致之，顧反走。」</t>
  </si>
  <si>
    <t>(一)ㄓㄨㄛˊ zhuó（08049）</t>
  </si>
  <si>
    <t>脫</t>
  </si>
  <si>
    <t>[動]
1.取下、解下、除去。如：「脫衣」、「脫鞋」、「脫水」、「脫脂」。唐．杜甫〈阻雨不得歸瀼西甘林〉詩：「令兒快搔背，脫我頭上簪。」
2.掉落。如：「脫皮」、「脫髮」。《文選．謝莊．月賦》：「洞庭始波，木葉微脫。」
3.離開、避開。如：「脫節」、「脫軌」、「擺脫」、「逃脫」。《抱朴子．外篇．用刑》：「猶長劍不可倒捉，巨魚不可脫淵也。」《史記．卷三三．魯周公世家》：「桓子詐而得脫。」
4.漏掉、缺漏。如：「脫漏」。《漢書．卷三〇．藝文志》：「書缺簡脫，禮壞樂崩。」
5.變賣或推銷東西。如：「這件珠寶因價格昂貴，很難脫手。」
[形]
1.動作迅速。如：「動如脫兔」。元．王實甫《麗春堂》第一折：「撲的呵箭飛金電，脫的呵馬過似飛熊。」
2.疏略、輕慢。如：「疏脫」。《左傳．僖公三十三年》：「輕則寡謀，無禮則脫。」
3.率性不受拘束。如：「灑脫」。
[副]
或者。表推想。《後漢書．卷一五．李通傳》：「事既未然，脫可免禍。」</t>
  </si>
  <si>
    <t>(二)ㄊㄨㄟˋ tuì（02846）</t>
  </si>
  <si>
    <t>ㄊㄨㄛˊ</t>
  </si>
  <si>
    <t>tuó</t>
  </si>
  <si>
    <t>[名]_x000D_
橐它：駱駝。通「駝」。《漢書．卷九六．西域傳上．鄯善國》：「民隨畜牧逐水草，有驢馬，多橐它。」</t>
  </si>
  <si>
    <t>(二)（(一)之又音）ㄊㄨㄛ tuō（02794）(一)ㄊㄚ tā（02411）</t>
  </si>
  <si>
    <t>[動]
負荷。《漢書．卷六九．趙充國傳》：「以一馬自佗負三十日食。」</t>
  </si>
  <si>
    <t>(一)ㄊㄨㄛ tuō（02795）(三)ㄊㄚ tā（02412）</t>
  </si>
  <si>
    <t>沱</t>
  </si>
  <si>
    <t>[名]
1.水灣，多用於地名。如：「朱家沱」、「石盤沱」。北周．庾信〈將命使北始渡瓜步江詩〉：「輴軒臨磧岸，旌節映江沱。」
2.參見「沱江」條。
[形]
1.水勢盛大。參見「滂沱」條。
2.流淚的樣子。《易經．離卦．象曰》：「出涕沱若，戚嗟若。」</t>
  </si>
  <si>
    <t>坨</t>
  </si>
  <si>
    <t>[名]
1.圓形塊狀物，或成堆成團的東西。如：「秤坨」、「蠟坨子」、「泥坨子」。
2.露天的晒鹽場。《清史稿．卷一二三．食貨志四》：「得鹽則貯之官地，奉天謂之倉，長蘆謂之坨。」
3.量詞。計算土、糞等較小堆東西的單位。如：「兩坨土」、「一坨糞便」。</t>
  </si>
  <si>
    <t>岮</t>
  </si>
  <si>
    <t>[形]
岥岮：傾斜不平的樣子。《字彙．山部》：「岮，岥岮，不平之貌。」《文選．潘岳．西征賦》：「覓陛殿之餘基，裁岥岮以隱嶙。」唐．李善．注：「岥岮，頹貌也。」</t>
  </si>
  <si>
    <t>陀</t>
  </si>
  <si>
    <t>[形]
傾側、不平。參見「陂陀」條。
[名]
1.團狀物。《西遊記》第七四回：「把棍子望小妖頭上砑了一砑，可憐，就砑得像一個肉陀！」
2.一種玩具。參見「陀螺」條。</t>
  </si>
  <si>
    <t>砣</t>
  </si>
  <si>
    <t>[名]
1.石製的碾輪。如：「碾砣」。《字彙．石部》：「砣，碾輪石也。」
2.古代拋擲遊戲用的磚塊。同「堶」。《集韻．平聲．戈韻》：「堶，飛磚戲也。或作砣。」
3.秤錘。如：「秤砣」。</t>
  </si>
  <si>
    <t>紽</t>
  </si>
  <si>
    <t>[名]
量詞。古代計算絲的單位。五絲為一紽。清．王念孫《廣雅疏證．卷四上．釋詁》：「紽，數也。」疏證：「紽、緎、總，皆數也。五絲為紽，四紽為緎，四緎為總。」《玉篇．糸部》：「紽，絲數也。」《詩經．召南．羔羊》：「羔羊之皮，素絲五紽。」漢．毛亨．傳：「紽，數也。」</t>
  </si>
  <si>
    <t>酡</t>
  </si>
  <si>
    <t>[動]
因飲酒而臉色泛紅。《楚辭．宋玉．招魂》：「美人既醉，朱顏酡些。」宋．陸游〈題嚴州王秀才山水枕屏〉詩：「驛亭沃酒醉臉酡，長笛腰鼓雜巴歌。」
[形]
紅潤的、泛紅的。《水滸傳》第五三回：「蒼然古貌，鶴髮酡顏。」</t>
  </si>
  <si>
    <t>跎</t>
  </si>
  <si>
    <t>參見「蹉跎」條。</t>
  </si>
  <si>
    <t>駝</t>
  </si>
  <si>
    <t>[名]
參見「駱駝」條。
[動]
背負。通「馱」。如：「駝運」。《孤本元明雜劇．流星馬．第一折》：「他有一匹馬，背駝三將，入水如踏平地，日行千里流星馬，此乃是無敵之騎。」《文明小史》第二一回：「當夜兩人做了交割，清抱駝錢駝了兩次才完。」
[形]
背部彎曲的。如：「彎腰駝背」。</t>
  </si>
  <si>
    <t>鴕</t>
  </si>
  <si>
    <t>參見「鴕鳥」條。</t>
  </si>
  <si>
    <t>鮀</t>
  </si>
  <si>
    <t>[名]
動物名。即鰵。硬骨魚綱條鰭亞綱鱸形目鮨科。體紅褐色，有許多黑色眼斑。上下頜無犬齒，後鼻孔為一垂直裂紋，鰓蓋骨有二棘。常居岩礁區海域。</t>
  </si>
  <si>
    <t>阤</t>
  </si>
  <si>
    <t>[形]
陂阤：險阻不平坦的。《史記．卷一一七．司馬相如傳》：「登陂阤之長阪兮，坌入曾宮之嵯峨。」</t>
  </si>
  <si>
    <t>(二)ㄓˋ zhì（07552）(三)ㄧˇ yǐ（10559）</t>
  </si>
  <si>
    <t>堶</t>
  </si>
  <si>
    <t>[名]
古代拋擲遊戲用的磚瓦。《玉篇．土部》：「堶，飛磚也。」宋．梅堯臣〈依韻和禁煙近事之什〉詩：「窈窕踏歌相把袂，輕浮賭勝各飛堶。」</t>
  </si>
  <si>
    <t>[動]
背負、背載。如：「馱運」。唐．李白〈對酒〉詩：「蒲萄酒，金叵羅，吳姬十五細馬馱。」《精忠岳傳》第三九回：「張保將高寵尸首馱在背上。」</t>
  </si>
  <si>
    <t>(二)ㄉㄨㄛˋ duò（02331）</t>
  </si>
  <si>
    <t>橐</t>
  </si>
  <si>
    <t>[名]
1.袋子。如：「囊橐充盈」。《詩經．大雅．公劉》：「迺裹餱糧，于橐于囊。」《戰國策．秦策一》：「負書擔橐。」
2.古代冶煉時，用於鼓風的器具，即風箱。《淮南子．本經》：「鼓橐吹埵，以銷銅鐵。」漢．高誘．注：「橐，冶鑪排橐也。」三國魏．曹丕〈劍銘〉：「五色充鑪，巨橐自鼓。」
[動]
用袋子裝藏。漢．王充《論衡．書虛》：「吳王夫差殺伍子胥，煮之於鑊，乃以鴟夷橐投之於江。」清．徐珂《清稗類鈔．鑒賞類．許四山藏乳彝》：「掘之，得一銅器……乃橐以入城。」
[擬]
參見「橐橐」條。</t>
  </si>
  <si>
    <t>驒</t>
  </si>
  <si>
    <t>[名]
毛色呈鱗狀斑紋的青黑色馬。《說文解字．馬部》：「驒，青驪白鱗，文如鼉魚也。」清．段玉裁．注：「青黑色的馬，起白片如鱗然。」《爾雅．釋畜》：「青驪鱗驒。」晉．郭璞．注：「色有深淺，斑駁隱粼，今之連錢驄。」</t>
  </si>
  <si>
    <t>鼉</t>
  </si>
  <si>
    <t>[名]
動物名。爬蟲綱鼉科。長約二公尺餘，背部暗褐色，有六橫列角質鱗，具黃斑和黃條。腹面灰色，有黃灰色小斑和橫條。尾部有灰黑相間的環紋，四足，前肢五指無蹼，後肢四趾具蹼，穴居於池沼底部，以魚、蛙、鳥、鼠為食。為大陸地區特產動物，分布於長江下游、太湖流域一帶。皮可製鼓。也稱為「鼉龍」、「靈鼉」、「豬婆龍」、「揚子鱷」。</t>
  </si>
  <si>
    <t>妥</t>
  </si>
  <si>
    <t>ㄊㄨㄛˇ</t>
  </si>
  <si>
    <t>tuǒ</t>
  </si>
  <si>
    <t>[副]
1.穩當、周全。如：「妥當」、「妥善安排」、「妥為照料」。《新唐書．卷一九七．循吏傳．韋仁壽傳》：「於是官得其人，民去歎愁，就妥定。」
2.適宜、合適。如：「這件事情恐怕不妥。」、「他說話欠妥，常引起公憤。」
3.完備、齊備。如：「這件事情已經辦妥了。」
[動]
1.安穩。《紅樓夢》第六八回：「你這一去且在園裡住兩天，等我設個法子回明白了，那時再見方妥。」
2.掉落、垂下。唐．杜甫〈重過何氏〉詩五首之一：「花妥鶯捎蝶，溪喧獺趁魚。」宋．石孝友〈點絳脣．日薄風遲〉詞：「日薄風遲，柳眠無力花枝妥。」
[名]
姓。如清代有妥得璘。</t>
  </si>
  <si>
    <t>庹</t>
  </si>
  <si>
    <t>[名]
1.量詞。計算長度的單位。為成人平伸兩臂，兩手間的距離。《康熙字典．广部》引《字彙補》：「兩腕引長謂之庹。」
2.姓。如明代有庹五常。
[動]
以兩臂平伸測量長度。如：「你庹庹看這竹竿有多長？」《直語補證．庹》：「以手量物長短曰庹。」</t>
  </si>
  <si>
    <t>媠</t>
  </si>
  <si>
    <t>[形]
美好。如：「婑媠」。《文選．曹植．七啟》：「收亂髮兮拂蘭澤，行媠服兮揚幽若。」李善注引《說文》曰：「媠，南楚之名謂好也。」</t>
  </si>
  <si>
    <t>(二)ㄉㄨㄛˋ duò（▲02344）</t>
  </si>
  <si>
    <t>橢</t>
  </si>
  <si>
    <t>[名]
狹長或長圓形的器物。《說文解字．木部》：「橢，車笭中橢橢器也。」清．朱駿聲《說文通訓定聲．隨部》：「橢，凡狹長之器皆得曰橢。」
[形]
狹長的、長圓形的。如：「橢圓形」。宋．蘇軾〈張近幾仲有龍尾子石硯以銅劍易之〉詩：「我家銅劍如赤蛇，君家石硯蒼璧橢而窪。」</t>
  </si>
  <si>
    <t>ㄊㄨㄛˋ</t>
  </si>
  <si>
    <t>tuò</t>
  </si>
  <si>
    <t>[動]
1.開展、擴充。如：「開拓」、「拓展」。
2.開墾。如：「拓荒」。</t>
  </si>
  <si>
    <t>(二)ㄊㄚˋ tà（02426）</t>
  </si>
  <si>
    <t>柝</t>
  </si>
  <si>
    <t>[名]
舊時巡夜人打更所敲擊的木梆。如：「重門擊柝」。南朝梁．無名氏〈木蘭詩〉二首之一：「朔氣傳金柝，寒光照鐵衣。」清．孔尚任《桃花扇》第三五齣：「棲鳥頻叫，擊柝連聲，女牆邊，側耳聽。」
[動]
開拓。《淮南子．原道》：「廓四方，柝八極。」漢．王符《潛夫論．救邊》：「武皇帝攘夷柝境，面數千里。」</t>
  </si>
  <si>
    <t>跅</t>
  </si>
  <si>
    <t>參見「跅弛」條。</t>
  </si>
  <si>
    <t>唾</t>
  </si>
  <si>
    <t>[名]
口水、口液。如：「唾沫」、「唾液」。《文選．揚雄．解嘲》：「顩頤折頞，涕唾流沫。」《董西廂》卷三：「秀才家，平生餓，無那，空倚著門兒嚥唾。」
[動]
1.吐口水。有輕視、鄙棄的意思。如：「唾罵」、「唾棄」。《戰國策．趙策四》：「太后明謂左右：『有復言令長安君為質者，老婦必唾其面。』」
2.吐。《韓非子．外儲說左上》：「魯人有自喜者，見長年飲酒，不能釂則唾之，亦效唾之。」唐．韓愈〈太學博士李君墓誌銘〉：「發且止，唾血數十升以斃。」</t>
  </si>
  <si>
    <t>參見「落魄」條。</t>
  </si>
  <si>
    <t>(一)ㄆㄛˋ pò（00624）</t>
  </si>
  <si>
    <t>蘀</t>
  </si>
  <si>
    <t>[名]
草木脫落下來的皮或葉。《說文解字．艸部》：「蘀，草木凡皮葉落，陊地為蘀。」《詩經．豳風．七月》：「八月其穫，十月隕蘀。」</t>
  </si>
  <si>
    <t>籜</t>
  </si>
  <si>
    <t>[名]
竹皮、筍殼。如：「竹籜」、「筍籜」。南朝梁．沈約〈休沐寄懷詩〉：「紫籜開綠篠，白鳥映青疇。」唐．杜甫〈嚴鄭公宅同詠竹〉詩：「綠竹半含籜，新梢纔出牆。」</t>
  </si>
  <si>
    <t>推</t>
  </si>
  <si>
    <t>ㄊㄨㄟ</t>
  </si>
  <si>
    <t>tuī</t>
  </si>
  <si>
    <t>[動]
1.用力往前或往外移動物體。如：「推車」、「推門」。唐．李白〈襄陽歌〉：「玉山自倒非人推。」
2.順著遷移。《易經．繫辭下》：「寒暑相推而歲成焉。」
3.根據已知尋究其他。如：「推算」、「推論」、「以此類推」。《漢書．卷三六．楚元王劉交傳》：「有意其推本之也。」
4.擴充、擴展。如：「推行」、「推銷」、「推廣教育」。《孟子．公孫丑上》：「推惡惡之心。」
5.選擇、荐舉。如：「推選」、「推舉」。《禮記．儒行》：「推賢而進達之。」
6.辭讓、讓與。如：「推讓」。《史記．卷九二．淮陰侯傳》：「推食食我。」
7.藉口、假托。如：「推托」、「推卸」、「推三阻四」。《警世通言．卷二八．白娘子永鎮雷峰塔》：「又推個事故，卻來白娘子家取傘。」
8.尊崇、讚許。如：「推崇」、「推許」。《晉書．卷四一．劉寔傳》：「天下所共推，則天下士也。」
9.除去。如：「推陳出新」。</t>
  </si>
  <si>
    <t>蓷</t>
  </si>
  <si>
    <t>[名]
植物名。脣形科茺蔚屬，「茺蔚」、「益母草」之古稱。參見「茺蔚」條。</t>
  </si>
  <si>
    <t>隤</t>
  </si>
  <si>
    <t>ㄊㄨㄟˊ</t>
  </si>
  <si>
    <t>tuí</t>
  </si>
  <si>
    <t>[動]_x000D_
1.崩墜、墜落。東周戰國．宋玉〈高唐賦〉：「磐石險峻，傾崎崖隤。」《太平廣記．卷四〇〇．李員》引《宣室志》：「夜有甚雨，隤其堂之北垣。」_x000D_
2.敗壞。《漢書．卷五四．李廣蘇建傳．李廣》：「路窮絕兮矢刃摧，士眾滅兮名已隤。」漢．司馬遷〈報任少卿書〉：「李陵既生降，隤其家聲，而僕又佴之蠶室，重為天下觀笑。」_x000D_
3.降臨。《漢書．卷八七．揚雄傳上》引漢．揚雄〈河東賦〉：「因茲以勒崇垂鴻，發祥隤祉。」唐．顏師古．注：「隤，降也。」唐．韋元旦〈游神泉詩序〉：「垂拱元夏，隤祥應運，非醴泉歟？」_x000D_
[名]_x000D_
疝氣。漢．劉熙《釋名．釋疾病》：「陰腫曰隤，氣下隤也。」《黃帝內經素問．卷二．陰陽別論》：「三陽別論，發寒熱下為癰腫，及為痿厥……，其傳為隤疝。」</t>
  </si>
  <si>
    <t>蹪</t>
  </si>
  <si>
    <t>[動]
顛仆、跌倒。《集韻．平聲．灰韻》：「蹪，楚人謂躓仆為蹪。」《淮南子．人間》：「人莫蹪於山，而蹪於蛭，是故人皆輕小害。」</t>
  </si>
  <si>
    <t>頹</t>
  </si>
  <si>
    <t>[動]
1.崩壞、倒塌。《禮記．檀弓上》：「泰山其頹乎！梁木其壞乎！」《文選．鮑照．蕪城賦》：「通池既已夷，峻隅又已頹。」
2.落、墜。《文選．潘岳．寡婦賦》：「四節流兮忽代序，歲云暮兮日西頹。」《新唐書．卷一三八．李嗣業傳》：「嗣業提步士升山，頹石四面以擊賊。」
3.衰敗、敗壞。《文選．諸葛亮．出師表》：「親小人，遠賢士，此後漢所以傾頹也。」
[形]
1.崩塌的。如：「頹垣斷壁」。
2.委靡不振的樣子。如：「頹廢」、「頹喪」。
[副]
恭順、安詳。《禮記．檀弓上》：「敗而后稽顙，頹乎其順也。」漢．鄭玄．注：「頹，順也。」《北史．卷八三．文苑傳．庾信傳》：「身長八尺，腰帶十圍，容止頹然，有過人者。」</t>
  </si>
  <si>
    <t>魋</t>
  </si>
  <si>
    <t>[名]
動物名。狀似小熊，短毛，赤黃色，俗稱為「赤熊」。《爾雅．釋獸》：「魋如小熊，竊毛而黃。」晉．郭璞．注：「今建平山中有此獸，狀如熊而小，毛麆淺赤黃色，俗呼為『赤熊』，即魋也。」明．李時珍《本草綱目．卷五一．獸部．熊》：「小而色黃赤者，魋也，建平人呼魋為赤熊。」
[形]
1.魁梧高大。晉．陸雲〈贈顧尚書詩〉：「麗容魋翕，孔好已張。」
2.惡劣。元．王氏〈粉蝶兒．江景蕭疏套．二煞〉：「伴著這魋人物，便似冤魂般相纏。」</t>
  </si>
  <si>
    <t>僓</t>
  </si>
  <si>
    <t>ㄊㄨㄟˇ</t>
  </si>
  <si>
    <t>tuǐ</t>
  </si>
  <si>
    <t>[形]
嫻雅。《說文解字．人部》：「僓，嫺也。」清．段玉裁．注：「嫺者，雅也。」
[副]
自在不受拘束。《莊子．外物》：「月固不勝火，於是乎有僓然而道盡。」晉．郭象．注：「唯僓然無矜，遺形自得，道乃盡也。」唐．成玄英．疏：「僓然，放任不矜之貌。」</t>
  </si>
  <si>
    <t>腿</t>
  </si>
  <si>
    <t>[名]
1.脛（小腿）和股（大腿）的總稱。是人或動物用來行走或支持軀體的部位。如：「玉腿」、「拔腿就跑」、「盤腿而坐」。
2.器物底部如腿一般，用來支撐物體的部分。如：「桌腿」、「椅腿」。
3.火腿的簡稱。如：「雲腿」、「宣腿」。</t>
  </si>
  <si>
    <t>ㄊㄨㄟˋ</t>
  </si>
  <si>
    <t>tuì</t>
  </si>
  <si>
    <t>[形]
1.舒緩的樣子。《集韻．去聲．太韻》：「侻，舒緩貌。」
2.合宜的。《文選．宋玉．神女賦》：「嫷被服，侻薄裝。」唐．李善．注：「侻，可也，言薄裝正相堪可。」</t>
  </si>
  <si>
    <t>(一)ㄊㄨㄛ tuō（02804）</t>
  </si>
  <si>
    <t>[動]
蟬、蛇等動物脫去皮殼，或指人死超生。通「蛻」。《莊子．玉樂》：「蝴蝶胥也化而為蟲，生於灶下，其狀若脫。」《聊齋志異．卷二．珠兒》：「冤閉窮泉，不得脫化。」
[副]
寬舒、舒展、身心愉悅。《淮南子．精神》：「今夫繇者，揭钁臿，負籠土，鹽汗交流，喘息薄喉，當此之時，得茠越下，則脫然而喜矣。」漢．高誘．注：「脫，舒也。言繇人之得小休息，則氣得舒，故喜也。」</t>
  </si>
  <si>
    <t>(一)ㄊㄨㄛ tuō（02806）</t>
  </si>
  <si>
    <t>蛻</t>
  </si>
  <si>
    <t>[動]_x000D_
1.脫去、掉落。如：「蛻皮」。《淮南子．說林》：「蟬飲而不食，三十日而蛻。」三國魏．曹植〈神龜賦〉：「蛇折鱗于平皋，龍蛻骨于深谷。」_x000D_
2.變化。如：「蛻化」。_x000D_
3.道家稱修道成仙，魂魄飛離，空遺身軀為「蛻」。後亦指人死。《抱朴子．內篇．論仙》：「下士先死後蛻，謂之尸解仙。」宋．蘇軾〈和陶詠二疏〉詩：「已蛻則兩忘，身後誰毀譽。」_x000D_
[名]_x000D_
動物所脫下的皮膚或外殼。如：「蟬蛻」、「蛇蛻」。明．李時珍《本草綱目．卷三九．蟲部．蠶》：「蠶之屎曰沙，皮曰蛻。」</t>
  </si>
  <si>
    <t>(二)（又音）ㄕㄨㄟˋ shuì（09145）</t>
  </si>
  <si>
    <t>駾</t>
  </si>
  <si>
    <t>[動]
1.馬受驚嚇而急奔。《說文解字．馬部》：「駾，馬行疾來貌也。」
2.泛指迅速奔走。《詩經．大雅．綿》：「混夷駾矣，維其喙矣。」漢．毛亨．傳：「駾，突。」唐．李華〈潤州丹陽縣復練塘頌序〉：「西戎既駾矣，生人舒息。」</t>
  </si>
  <si>
    <t>退</t>
  </si>
  <si>
    <t>[動]
1.向後倒行、移動。與「進」相對。如：「後退」、「撤退」、「進退兩難」、「以退為進」、「學如逆水行舟，不進則退。」
2.畏縮。如：「退縮不前」。《論語．先進》：「求也退，故進之。」
3.謙讓。如：「謙退」、「退讓」。《晉書．卷三七．宗室列傳．安平獻王孚》：「宣帝執政，常自退損。」
4.離去、離開。如：「退席」、「遲到早退」、「功成身退」。
5.辭去職務。如：「退休」。《史記．卷三一．吳太伯世家》：「子胥退而耕於野。」宋．王安石〈上仁宗皇帝言事書〉：「不敢以其不勝任而輒退之。」
6.取消、解除。如：「退約」、「退租」、「退婚」。《紅樓夢》第一六回：「聞得父母退了前夫，它便一根麻繩，悄悄的自縊了。」
7.脫去、除去。如：「退毛」。《西遊記》第二三回：「把他且浸在後邊淨水池中，浸退了毛衣，使鹽醃著，使陰天下酒。」
8.減損、消失、衰減。如：「退燒」、「退色」、「衰退」。《左傳．昭公三年》：「火中，寒暑乃退。」宋．蘇軾〈雪後書北臺壁〉詩二首之二：「老病自嗟詩力退，空吟冰柱憶劉叉。」
9.歸還。如：「退貨」、「退票」、「多退少補」。《紅樓夢》第五七回：「這丫頭今兒不瘋了！怎麼去了幾日，忽然變了一個人。我明兒必回老太太，退回你去，我不敢要你了。」</t>
  </si>
  <si>
    <t>褪</t>
  </si>
  <si>
    <t>(一)ㄊㄨㄣˋ tùn（02879）</t>
  </si>
  <si>
    <t>湍</t>
  </si>
  <si>
    <t>ㄊㄨㄢ</t>
  </si>
  <si>
    <t>tuān</t>
  </si>
  <si>
    <t>[名]_x000D_
急流。如：「飛湍」、「奔湍」。南朝宋．謝靈運〈七里瀨〉詩：「孤客傷逝湍，徒旅苦奔峭。」_x000D_
[形]_x000D_
水流迅急。如：「湍急」、「湍流」。《孟子．告子上》：「性猶湍水也，決諸東方則東流，決諸西方則西流。」唐．李白〈江上答崔宣城〉詩：「問我將何事，湍波歷幾重？」</t>
  </si>
  <si>
    <t>貒</t>
  </si>
  <si>
    <t>[名]
一種外形似豬的動物。即豬獾。體形肥大，行動遲鈍。短尾、尖嘴，擅掘洞，穴居。明．張自烈《正字通．豸部》：「貒，豬獾，一名獾㹠，狀似小豬，體肥，行鈍，穴居，足尾短，褐毛，尖喙，能孔地，食蟲肉。」</t>
  </si>
  <si>
    <t>剸</t>
  </si>
  <si>
    <t>ㄊㄨㄢˊ</t>
  </si>
  <si>
    <t>tuán</t>
  </si>
  <si>
    <t>[動]
割截。《禮記．文王世子》：「其刑罪則纖剸。」漢．鄭玄．注：「剸，割也。」《文選．王襃．聖主得賢臣頌》：「水斷蛟龍，陸剸犀革。」</t>
  </si>
  <si>
    <t>(二)ㄓㄨㄢ zhuān（08086）</t>
  </si>
  <si>
    <t>漙</t>
  </si>
  <si>
    <t>[形]
露水豐沛的樣子。《詩經．鄭風．野有蔓草》：「野有蔓草，零露漙兮。」漢．毛亨．傳：「漙漙然盛多也。」</t>
  </si>
  <si>
    <t>慱</t>
  </si>
  <si>
    <t>[形]
愁苦憂勞的樣子。參見「慱慱」條。</t>
  </si>
  <si>
    <t>摶</t>
  </si>
  <si>
    <t>[動]
1.捏聚搓揉成團。如：「摶弄」、「摶土」、「摶麵」。《文選．枚乘．七發》：「楚苗之食，安胡之變飰，摶之不解，一啜而散。」
2.憑藉。《莊子．逍遙遊》：「摶扶搖而上九萬里。」明．張四維《雙烈記》第三〇齣：「夾攻裡外施英勇，看他鵬翮怎摶風，管教墮吾計中。」
3.集聚、結合。《管子．內業》：「摶氣如神，萬物被存。」《商君書．農戰》：「摶民力以待外事，然後患可以去而王可致也。」</t>
  </si>
  <si>
    <t>團</t>
  </si>
  <si>
    <t>[名]
1.圓球形物體。如：「粉團」、「紙團」、「蒲團」、「麵團」。
2.有組織的一群人，可以一起運作或活動。如：「社團」、「馬戲團」、「旅行團」、「合唱團」。
3.聚合物。如：「疑團」、「冷氣團」、「星團」。
4.軍隊編組建制的單位。歷代不一。陸軍介於師、旅之間，三營為一團，現已取消不用。
5.量詞。計算團狀物的單位。如：「一團毛線」、「兩團泥巴」。
[動]
1.搓弄、揉合。如：「團泥球」、「團紙團」。漢．崔寔〈四民月令〉：「齊人呼寒食為冷節，以麴為蒸餅樣，團棗附之，名曰棗糕。」
2.聚集、結合。如：「團結」。唐．張說〈東都酺宴〉詩四首之三：「爭馳群鳥散，鬥伎百花團。」
3.估量、猜度。《董西廂》卷六：「舊日做下的衣服件件小，眼謾眉低胸乳高，管有兀誰廝般著，我團著這妮子做破大手腳。」</t>
  </si>
  <si>
    <t>篿</t>
  </si>
  <si>
    <t>[名]
圓形的竹器。《說文解字．竹部》：「篿，圜竹器也。」清．段玉裁．注：「盛物之器而圜者。」</t>
  </si>
  <si>
    <t>(二)ㄓㄨㄢ zhuān（08090）</t>
  </si>
  <si>
    <t>糰</t>
  </si>
  <si>
    <t>[名]
以米或粉等製成的圓球形食品。如：「飯糰」、「湯糰」、「糯米糰」。唐．白居易〈寒食日過棗糰店〉詩：「寒食棗糰店，春低楊柳枝。」</t>
  </si>
  <si>
    <t>畽</t>
  </si>
  <si>
    <t>ㄊㄨㄢˇ</t>
  </si>
  <si>
    <t>tuǎn</t>
  </si>
  <si>
    <t>[名]
田界相接的地方。明．張自烈《正字通．田部》：「周區為町，接町為畽。」</t>
  </si>
  <si>
    <t>疃</t>
  </si>
  <si>
    <t>[名]
1.禽獸踐踏的地方。《說文解字．田部》：「疃，禽獸所踐處也。」宋．黃庭堅〈觀祕閣蘇子美題壁詩〉：「姑蘇麋鹿疃，風月在書堂。」
2.村莊、屯。多用於地名。如大陸地區河北省的賈家疃。元．孟漢卿《魔合羅》第四折：「怎把走村串疃貨郎兒，屈勘做了圖財致命殺人賊！」《水滸傳》第六三回：「在庾家疃一字兒擺成陣勢。」</t>
  </si>
  <si>
    <t>彖</t>
  </si>
  <si>
    <t xml:space="preserve">彐 </t>
  </si>
  <si>
    <t>ㄊㄨㄢˋ</t>
  </si>
  <si>
    <t>tuàn</t>
  </si>
  <si>
    <t>[動]
判斷。宋．歐陽修〈新營小齋鑿地爐輒成五言三十七韻〉：「魯冊謹會盟，周公彖凶吉。」
[名]
易經斷定卦義之辭。《易經．乾卦．彖曰》唐．孔穎達．正義：「夫子所作彖辭，統論一卦之義，或說其卦之德，或說其卦之義，或說其卦之名。……案：褚氏、莊氏並云：『彖，斷也。斷定一卦之義，所以名為彖也。』」</t>
  </si>
  <si>
    <t>褖</t>
  </si>
  <si>
    <t>參見「褖衣」條。</t>
  </si>
  <si>
    <t>吞</t>
  </si>
  <si>
    <t>ㄊㄨㄣ</t>
  </si>
  <si>
    <t>tūn</t>
  </si>
  <si>
    <t>[動]
1.不加以咀嚼就整個嚥下去。如：「吞服藥丸」、「狼吞虎嚥」、「囫圇吞棗」。《晉書．卷九五．藝術傳．單道開傳》：「恆服細石子，一吞數枚，日一服，或多或少。」唐．杜甫〈渼陂行〉：「鼉作鯨吞不復知，惡風白浪何嗟及。」
2.兼併、消滅。如：「侵吞」、「獨吞」。漢．桓寬《鹽鐵論．輕重》：「其後彊吞弱大兼小，并為六國。」《三國演義》第三三回：「袁紹存日，常有吞遼東之心。」
3.包含、容納。如：「氣吞山河」。《文選．陸機．辯亡論上》：「喟然有吞江滸之志，一宇宙之氣。」宋．范仲淹〈岳陽樓記〉：「銜遠山，吞長江，浩浩湯湯。」
[名]
姓。如漢代有吞景雲。</t>
  </si>
  <si>
    <t>涒</t>
  </si>
  <si>
    <t>[動]
吃了又吐出來。《說文解字．水部》：「涒，食已而復吐之。」
[名]
參見「涒灘」條。</t>
  </si>
  <si>
    <t>(二)ㄐㄩㄣ jūn（06157A）(三)（(二)之又音）ㄩㄣ yūn（11813）</t>
  </si>
  <si>
    <t>啍</t>
  </si>
  <si>
    <t>參見「啍啍」條。</t>
  </si>
  <si>
    <t>暾</t>
  </si>
  <si>
    <t>[名]
早晨初升的太陽。《楚辭．屈原．九歌．東君》：「暾將出兮東方，照吾檻兮扶桑。」
[形]
暖、熱。清．徐珂《清稗類鈔．諫諍類．某侍衛譎諫游畋》：「且戶灶銜接，炎暾之盛，十倍京師。」</t>
  </si>
  <si>
    <t>𪏆</t>
  </si>
  <si>
    <t>[名]
黃色。《集韻．平聲．魂韻》：「𪏆，黃色。」</t>
  </si>
  <si>
    <t>屯</t>
  </si>
  <si>
    <t xml:space="preserve">屮 </t>
  </si>
  <si>
    <t>ㄊㄨㄣˊ</t>
  </si>
  <si>
    <t>tún</t>
  </si>
  <si>
    <t>[動]
1.聚集、儲存。如：「屯集」、「屯積」、「聚草屯糧」。《楚辭．屈原．離騷》：「屯車其千乘兮，齊玉軑而並馳。」
2.駐軍防守。如：「屯兵」、「屯紮」。唐．李商隱〈行次西郊作一百韻〉：「但聞虜騎入，不見漢兵屯。」
3.駐軍在戍地墾荒耕種。如：「屯田」。《漢書．卷七九．馮奉世傳》：「於是遣奉世將萬二千人騎，以將屯為名。」唐．顏師古．注：「且云領兵屯田。」
4.堆疊、阻擋。如：「大雪屯門」、「水來土屯」。《水滸傳》第二三回：「屯街塞巷，都來看迎大蟲。」
[名]
1.村莊。如大陸地區遼寧瀋陽的皇姑屯。《紅樓夢》第三九回：「他是鄉屯裡的人，老實，那裡擱的住你打趣他！」
2.軍營。《管子．輕重乙》：「請以令發師置屯籍農。」《文選．張衡．西京賦》：「衛尉入屯，警夜巡晝。」</t>
  </si>
  <si>
    <t>(二)ㄓㄨㄣ zhūn（08106）(三)ㄔㄨㄣˊ chún（08636A）</t>
  </si>
  <si>
    <t>[形]
形容火熾盛的樣子。《爾雅．釋天》：「風與火為庉。」宋．邢昺．疏：「庉庉熾盛之貌。」</t>
  </si>
  <si>
    <t>(一)ㄉㄨㄣˋ dǔn（02379A）</t>
  </si>
  <si>
    <t>忳</t>
  </si>
  <si>
    <t>[形]
憂苦煩悶的樣子。《楚辭．屈原．離騷》：「忳鬱邑余侘傺兮，吾獨窮困乎此時也。」漢．王逸．注：「忳，憂貌。」</t>
  </si>
  <si>
    <t>[動]
積聚、儲存。如：「囤貨」、「囤糧」、「囤積居奇」。《儒林外史》第二一回：「牛老把囤下來的幾石糧食變賣了。」</t>
  </si>
  <si>
    <t>(一)ㄉㄨㄣˋ dǔn（02380）</t>
  </si>
  <si>
    <t>芚</t>
  </si>
  <si>
    <t>[名]
一種蔬菜，類似莧菜。《玉篇．艸部》：「芚，菜。似莧，可食。」
[形]
草木初生的樣子。《集韻．平聲．魂韻》：「芚，木始生貌。」漢．揚雄《法言．寡見》：「春木之芚兮，援我手之鶉兮。」</t>
  </si>
  <si>
    <t>軘</t>
  </si>
  <si>
    <t>[名]
一種古代兵車。參見「軘車」條。</t>
  </si>
  <si>
    <t>(一)ㄉㄨㄣˋ dǔn（02382）</t>
  </si>
  <si>
    <t>魨</t>
  </si>
  <si>
    <t>[名]
動物名。即河豚。脊椎亞門硬骨魚綱。口小腹大，體呈圓筒形。無鱗或有刺鱗，背淡蒼色。種類很多。肉味鮮美，但內臟、血液等含有毒素，誤食則往往致死。</t>
  </si>
  <si>
    <t>豚</t>
  </si>
  <si>
    <t>[名]
小豬。亦泛指豬。《孟子．梁惠王上》：「雞、豚、狗、彘之畜，無失其時。」宋．陸游〈遊西山村〉詩：「莫笑農家臘酒渾，豐年留客足雞豚。」</t>
  </si>
  <si>
    <t>臀</t>
  </si>
  <si>
    <t>[名]
1.人或某些動物身後兩腿上端與腰相連的部位。俗稱為「屁股」。《易經．夬卦．九四》：「臀無膚，其行次且。」《國語．周語下》：「且吾聞成公之生也，其母夢神規其臀以墨。」
2.器物的底部。《周禮．冬官考工記．栗氏》：「其臀一寸，其實一豆。」</t>
  </si>
  <si>
    <t>汆</t>
  </si>
  <si>
    <t>ㄊㄨㄣˇ</t>
  </si>
  <si>
    <t>tǔn</t>
  </si>
  <si>
    <t>[動]
1.漂流。《字彙．水部》：「汆，水推物也。」明．無名氏《白兔記》第二齣：「淺水灘頭，汆下一個坐婆來。」
2.用油炸。如：「油汆豆腐」、「油汆花生」。清．徐珂《清稗類鈔．飲食類．汆豬肉皮》：「豬肉皮略泡，入沸油汆之。」</t>
  </si>
  <si>
    <t>(二)ㄘㄨㄢ cuān（09891）</t>
  </si>
  <si>
    <t>ㄊㄨㄣˋ</t>
  </si>
  <si>
    <t>tùn</t>
  </si>
  <si>
    <t>[動]
1.脫下、脫掉。如：「褪下鐲子」。元．王實甫《西廂記．第二本．第一折》：「羅衣寬褪，能消幾度黃昏？」《儒林外史》第三九回：「惡和尚道：『你褪了帽子罷！』老和尚含著眼淚，自己除了帽子。」
2.消減、消失。如：「褪色」。《京本通俗小說．碾玉觀音》：「腮邊紅褪青梅小，口角黃消乳燕飛。」
3.凋謝。宋．蘇軾〈蝶戀花．花褪殘紅青杏小〉詞：「花褪殘紅青杏小，燕子飛時，綠水人家繞。」宋．辛棄疾〈生查子．梅子褪花時〉詞：「梅子褪花時，直與黃梅接。」
4.藏放。如：「袖子裡褪了一封信。」元．無名氏《百花亭》第一折：「懷揣十大曲，袖褪樂章集。」
5.退。元．楊顯之《瀟湘雨》第一折：「待趨前，還褪後，我則索慌忙施禮半含羞。」《警世通言．卷二三．樂小舍𢬵生覓偶》：「見他趨前褪後，神情不定，心上也覺可憐。」</t>
  </si>
  <si>
    <t>(二)（又音）ㄊㄨㄟˋ tuì（02850）</t>
  </si>
  <si>
    <t>ㄊㄨㄥ</t>
  </si>
  <si>
    <t>tōng</t>
  </si>
  <si>
    <t>[動]
傷痛、哀痛。《詩經．大雅．桑柔》：「哀恫中國，具贅卒荒。」《文選．張衡．思玄賦》：「尚前良之遺風兮，恫後辰而無及。」
[名]
悲痛。《聊齋志異．卷二．嬰寧》：「君倘不惜煩賣，使地下人消此怨恫。」</t>
  </si>
  <si>
    <t>(二)ㄉㄨㄥˋ dòng（02401）</t>
  </si>
  <si>
    <t>痌</t>
  </si>
  <si>
    <t>[名]
痛苦。如：「痌瘝在抱」。
[動]
哀痛、悲痛。唐．皇甫湜〈韓文公墓誌銘〉：「令望絕邪，痌此四方。」</t>
  </si>
  <si>
    <t>通</t>
  </si>
  <si>
    <t>[形]_x000D_
1.沒有堵塞，可以穿過的。如：「水管不通了。」_x000D_
2.流暢、暢達。如：「暢通」、「四通八達」、「你的作文寫得不夠通順。」《老殘遊記》第一回：「當年也曾讀過幾句詩書，因八股文章做得不通，所以學也未曾進得一個。」_x000D_
3.順利。如：「星運亨通」。宋．范仲淹〈岳陽樓記〉：「政通人和，百廢具興。」_x000D_
4.靈活、不閉塞。如：「圓通」、「開通」。_x000D_
5.淵博。如：「通人」、「博學通儒」。_x000D_
6.共同的。如：「好逸惡勞是一般人的通病。」《孟子．滕文公上》：「天下之通義也。」_x000D_
7.整個、全部。如：「通宵」、「通盤考量」。《孟子．離婁下》：「匡章通國皆稱不孝焉，夫子與之遊，又從而禮貌之，敢問何也？」_x000D_
[副]_x000D_
全、都。如：「通通上去」。《紅樓夢》第二八回：「他說的我通不懂，怎麼不該罰！」_x000D_
[動]_x000D_
1.到達。如：「通到」、「通往」。《國語．晉語二》：「道遠難通，望大難走。」_x000D_
2.往來、交往。如：「通商」、「通航」、「互通有無」。《漢書．卷三七．季布欒布田叔傳．季布》：「吾聞曹丘生非長者，勿與通。」_x000D_
3.報告、使知曉。如：「通知」、「通報」。《史記．卷四八．陳涉世家》：「自辯數，乃置，不肯為通。」_x000D_
4.明白、了解。如：「通曉」、「精通」。《漢書．卷七二．王貢兩龔鮑傳．王吉》：「今使俗吏得任子弟，率多驕驁，不通古今。」_x000D_
5.發生不正常的性關係。如：「通姦」、「私通」。《左傳．桓公十八年》：「公會齊侯于濼，遂及文姜如齊，齊侯通焉。」《漢書．卷五五．衛青霍去病傳．衛青》：「季與主家僮衛媼通，生青。」_x000D_
[名]_x000D_
1.熟悉某種事物的人。如：「中國通」、「萬事通」、「數學通」。_x000D_
2.量詞：(1)計算文書、電訊的單位。如：「一通電話」、「三通電報」。(2)計算敲擊鐘鼓次數的單位。如：「擂鼓三通」。</t>
  </si>
  <si>
    <t>同</t>
  </si>
  <si>
    <t>ㄊㄨㄥˊ</t>
  </si>
  <si>
    <t>tóng</t>
  </si>
  <si>
    <t>[動]
1.會合、聚集。《說文解字．𠔼部》：「同，合會也。」如：「會同」。唐．錢起〈送鍾評事應宏詞下第東歸〉詩：「勸君稍盡離筵酒，千里佳期難再同。」
2.統一、齊一。《書經．舜典》：「協時月正日，同律度量衡。」宋．陸游〈示兒〉詩：「死去元知萬事空，但悲不見九州同。」
3.一齊分享、從事等。如：「同甘苦，共患難。」《孫子．謀攻》：「不知三軍之事，而同三軍之政者，則軍士惑矣。」
4.贊成。如：「贊同」、「同意」。
[形]
一樣的。如：「同類」、「相同」、「同工同酬」。
[副]
一起、共同。如：「有福同享，有難同當。」唐．李白〈長干行〉二首之一：「同居長干里，兩小無嫌猜。」
[連]
和、與、跟。如：「有事同你商量。」、「我同他一起去看電影。」
[名]
1.和諧、和平。如：「促進世界大同」。《禮記．禮運》：「是故謀閉而不興，盜竊亂賊而不作，故外戶而不閉，是謂大同。」
2.契約。如：「合同」。
3.姓。如唐代有同谷。</t>
  </si>
  <si>
    <t>(二)ㄊㄨㄥˋ tòng（02912）</t>
  </si>
  <si>
    <t>參見「倥侗」條。</t>
  </si>
  <si>
    <t>(二)ㄉㄨㄥˋ dòng（02399）</t>
  </si>
  <si>
    <t>參見「澒洞」、「洪洞縣」等條。</t>
  </si>
  <si>
    <t>(一)ㄉㄨㄥˋ dòng（02400）</t>
  </si>
  <si>
    <t>[名]
垌冢：地名。位於湖北省。</t>
  </si>
  <si>
    <t>(一)ㄉㄨㄥˋ dòng（02402）</t>
  </si>
  <si>
    <t>哃</t>
  </si>
  <si>
    <t>[動]
妄下言論。《玉篇．口部》：「哃，妄語也。」清．吳騫《拜經樓詩話》卷一：「正如里塾小兒學作對句，以字多者為能，盲師矜喝，瞽子哃疑，宜其謂七言最難合作，甚於五律也。」</t>
  </si>
  <si>
    <t>參見「崆峒山」條。</t>
  </si>
  <si>
    <t>(二)ㄉㄨㄥˋ dòng（02403）</t>
  </si>
  <si>
    <t>桐</t>
  </si>
  <si>
    <t>參見「泡桐」、「梧桐」、「油桐」等條。</t>
  </si>
  <si>
    <t>茼</t>
  </si>
  <si>
    <t>參見「茼蒿」條。</t>
  </si>
  <si>
    <t>酮</t>
  </si>
  <si>
    <t>[名]
含羰基的有機化合物。可從酸類的鈣鹽或鋇鹽乾餾而得，或由二級醇氧化而得。易起加成反應，可為優良溶劑，或為製造紡織品、油漆等的原料。</t>
  </si>
  <si>
    <t>銅</t>
  </si>
  <si>
    <t>[名]_x000D_
（copper，Cu）化學元素。原子序29。金屬元素之一。呈紅棕色，柔韌有金屬光澤，富延展性，為良好的導電、導熱體。在潮溼空氣中，表面會慢慢氧化形成綠色的鹼式碳酸銅，俗稱為「銅綠」。易與其他金屬形成合金，今廣泛運用於工業、工程與藝術等方面，可製貨幣及種種器械等；亦可供製導線及電鑄板，為不可或缺的材料。</t>
  </si>
  <si>
    <t>鮦</t>
  </si>
  <si>
    <t>[名]
動物名。即鱧。鱧目鱧科。體呈圓柱狀，灰棕色或深褐色，腹部白色，背有暗褐色縱帶，側邊有大塊暗色斑紋。口大，頭部似蛇。肉食性。清．徐珂《清稗類鈔．動物類．鱧》：「鱧，可食，形長體圓，頭尾幾相等，細鱗黑色，有斑文，腹背兩鰭。……亦名鮦魚，俗名烏魚。」</t>
  </si>
  <si>
    <t>佟</t>
  </si>
  <si>
    <t>[名]
姓。如清代有佟世南。</t>
  </si>
  <si>
    <t>彤</t>
  </si>
  <si>
    <t>[動]
用紅色顏料塗飾器物。《說文解字．彡部》：「彤，丹飾也。」漢．桓寬《鹽鐵論．散不足》：「唯瑚璉觴豆，而後彫文彤漆。」
[形]
赤紅色的。《詩經．邶風．靜女》：「靜女其孌，貽我彤管。」宋．李清照〈減字木蘭花．賣花擔上〉詞：「賣花擔上，買得一枝春欲放，淚染輕勻，猶帶彤霞曉露痕。」
[名]
姓。如周代有彤伯。</t>
  </si>
  <si>
    <t>童</t>
  </si>
  <si>
    <t>[名]
1.古代獲罪入官為奴的男子。《說文解字．䇂部》：「童，男有辠曰奴，奴曰童，女曰妾。」《漢書．卷九一．貨殖傳．巴寡婦淸》：「羊彘千雙，童手指千。」顏師古注引孟康曰：「童，奴婢也。」
2.未成年的僕役。通「僮」。如：「書童」、「家童」。晉．李密〈陳情表〉：「內無應門五尺之僮。」
3.小孩，未成年的人。如：「牧童」、「兒童」、「童叟無欺」。《孟子．盡心上》：「孩提之童，無不知愛其親者。」
4.愚昧、無知的人。《國語．晉語四》：「聾聵不可使聽，童昏不可使謀。」
5.姓。如漢代有童仲玉。
[形]
1.幼小的、年幼的。如：「童玩」、「童裝」。《續漢書志．第一三．五行志一》：「桓帝之初，京都童謠曰：『城上烏，尾畢逋。公為吏，子為徒。』」
2.未成年的、未曾有性行為經歷的。如：「童男」、「童女」、「童貞」。
3.光禿的。如：「童山濯濯」。唐．韓愈〈進學解〉：「頭童齒豁，竟死何裨。」</t>
  </si>
  <si>
    <t>僮</t>
  </si>
  <si>
    <t>[名]
1.未成年的人。《說文解字．人部》：「僮，未冠也。」《左傳．哀公十一年》：「公為與其嬖僮汪錡乘皆死，皆殯。孔子曰：『能執干戈以衛社稷，可無殤也。』」唐．陸德明《經典釋文．卷二〇．春秋左氏音義之六》：「八歲至十九歲為殤。」
2.奴僕、奴婢。如：「家僮」、「書僮」。《文選．李密．陳情表》：「外無期功強近之親，內無應門五尺之僮。」唐．柳宗元〈三戒．永某氏之鼠〉：「購僮羅捕之，殺鼠如丘。」
3.姓。如漢代有僮尹。</t>
  </si>
  <si>
    <t>(二)ㄓㄨㄤˋ zhuàng（08126）</t>
  </si>
  <si>
    <t>潼</t>
  </si>
  <si>
    <t>參見「潼潼」、「潼關」等條。</t>
  </si>
  <si>
    <t>氃</t>
  </si>
  <si>
    <t>參見「氋氃」、「氃氋」等條。</t>
  </si>
  <si>
    <t>橦</t>
  </si>
  <si>
    <t>[名]
一種樹木。其花可織為布。《廣韻．平聲．東韻》：「橦，木名。花可為布。」</t>
  </si>
  <si>
    <t>(二)ㄔㄨㄤˊ chuáng（08658）(三)ㄔㄨㄥ chōng（08674）</t>
  </si>
  <si>
    <t>曈</t>
  </si>
  <si>
    <t>參見「曈曈」、「曈曨」等條。</t>
  </si>
  <si>
    <t>朣</t>
  </si>
  <si>
    <t>參見「朣朦」、「朣朧」等條。</t>
  </si>
  <si>
    <t>瞳</t>
  </si>
  <si>
    <t>[名]
眼珠。如：「瞳孔」、「瞳仁」。《史記．卷七．項羽本紀．太史公曰》：「吾聞之周生曰：『舜目蓋重瞳子』，又聞項羽亦重瞳子。」唐．李白〈登廣武古戰場懷古〉詩：「項王氣蓋世，紫電明雙瞳。」</t>
  </si>
  <si>
    <t>罿</t>
  </si>
  <si>
    <t>[名]
一種用來捕捉鳥獸的網。《詩經．王風．兔爰》：「有兔爰爰，雉離于罿。」《文選．張華．鷦鷯賦》：「鷹鸇過猶俄翼，尚何懼於罿罻？」唐．李善．注：「罿、罻皆網也。」</t>
  </si>
  <si>
    <t>(二)（又音）ㄔㄨㄥ chōng（08675）</t>
  </si>
  <si>
    <t>穜</t>
  </si>
  <si>
    <t>[名]
先種後熟的農作物。《周禮．天官．內宰》：「上春，詔王后帥六宮之人而生穜稑之種，而獻之于王。」鄭玄注引鄭司農云：「先種後孰謂之穜，後種先孰謂之稑。」</t>
  </si>
  <si>
    <t>艟</t>
  </si>
  <si>
    <t>赨</t>
  </si>
  <si>
    <t>[形]
紅色。《管子．地員》：「其種大苗，細苗，赨莖，黑秀，箭長。」唐．尹知章．注：「赨，即赤也。」</t>
  </si>
  <si>
    <t>捅</t>
  </si>
  <si>
    <t>ㄊㄨㄥˇ</t>
  </si>
  <si>
    <t>tǒng</t>
  </si>
  <si>
    <t>[動]
1.戳、刺扎。如：「捅穿」、「捅破」、「他無故被捅了一刀。」、「這孩子把紙窗捅了一個窟窿。」
2.說穿、揭露。如：「他將所有的事情都捅了出來。」
3.招惹。如：「捅婁子」、「捅馬蜂窩」。</t>
  </si>
  <si>
    <t>桶</t>
  </si>
  <si>
    <t>[名]
1.圓形的盛物器。如：「木桶」、「水桶」、「汽油桶」。
2.量詞。計算桶裝物的單位。如：「一桶水」、「兩桶汽油」。</t>
  </si>
  <si>
    <t>統</t>
  </si>
  <si>
    <t>[名]
1.絲的頭緒。《淮南子．泰族》：「繭之性為絲，然非得工女煮以熱湯而抽其統紀，則不能成絲。」
2.相繼不絕的體系、關係。如：「血統」、「傳統」、「法統」。《戰國策．秦策三》：「天下繼其統，守其業，傳之無窮。」
3.綱紀、綱要。《荀子．臣道》：「端慤以為統，禮義以為文。」
4.姓。如元代有統古興。
[動]
率領、總理。如：「統率」。《戰國策．齊策四》：「願君顧先王之宗廟，姑反國統萬人乎。」《三國演義》第二回：「張梁統其眾，與我軍相拒。」
[副]
總合、綜合。如：「統計」、「統謀」、「統籌」、「統稱」。宋．朱熹《大學章句》：「前四章統論綱領旨趣，後六章細論條目功夫。」
[形]
圓而中空。通「筒」。如：「短統襪」、「長統馬靴」。</t>
  </si>
  <si>
    <t>筒</t>
  </si>
  <si>
    <t>[名]
1.竹管。漢．王充《論衡．量知》：「截竹為筒，破以為牒，加筆墨之跡，乃成文字。」唐．杜甫〈引水〉詩：「白帝城西萬竹蟠，接筒引水喉不乾。」
2.中空的管狀物。如：「筆筒」、「煙筒」、「火箭筒」。
3.量詞。計算筒裝物的單位。如：「每張桌子有一筒筷子。」</t>
  </si>
  <si>
    <t>ㄊㄨㄥˋ</t>
  </si>
  <si>
    <t>tòng</t>
  </si>
  <si>
    <t>[名]
巷弄、小街道。如：「胡同」。</t>
  </si>
  <si>
    <t>(一)ㄊㄨㄥˊ tóng（02883）</t>
  </si>
  <si>
    <t>衕</t>
  </si>
  <si>
    <t xml:space="preserve">行 </t>
  </si>
  <si>
    <t>[名]
參見「衚衕」條。</t>
  </si>
  <si>
    <t>痛</t>
  </si>
  <si>
    <t>[動]
1.疼。如：「牙痛」、「頭痛」、「肚子痛」。唐．白居易〈新樂府．新豐折臂翁〉：「至今風雨陰寒夜，直到天明痛不眠。」
2.悲傷、傷悼。如：「哀痛」、「悲痛」。《史記．卷五．秦本紀》：「寡人思念先君之意，常痛於心。」
3.憐惜、憐愛。宋．晁沖之〈陸元釣寄日注茶〉詩：「爭新鬥試誇擊拂，風俗移人可深痛。」《聊齋志異．卷一〇．胭脂》：「堂下相遇，靦然含涕，似有痛惜之詞，而未可言也。」
4.憎恨。《國語．楚語下》：「又能上下說於鬼神，順道其欲惡，使神無有怨痛於楚國。」《史記．卷九二．淮陰侯傳》：「秦父兄怨此三人，痛入骨髓。」
[副]
極、盡情、澈底。如：「痛罵」、「痛飲」、「痛快」、「痛改前非」。《管子．七臣七主》：「姦臣痛言人情以驚主。」唐．尹知章．注：「痛，甚極之辭。」</t>
  </si>
  <si>
    <t>慟</t>
  </si>
  <si>
    <t>[副]
過度悲傷。如：「慟哭」。《論語．先進》：「顏淵死，子哭之慟。」《南史．卷七五．隱逸傳上．顧歡傳》：「歡早孤，讀《詩》至『哀哀父母』，輒執書慟泣，由是受學者廢蓼莪篇，不復講焉。」</t>
  </si>
  <si>
    <t>那</t>
  </si>
  <si>
    <t>ㄋㄚ</t>
  </si>
  <si>
    <t>nā</t>
  </si>
  <si>
    <t>[名]
姓。如明代有那鑒。</t>
  </si>
  <si>
    <t>(一)ㄋㄚˋ nà（02930）(二)ㄋㄟˋ nèi（02953）(三)ㄋㄚˇ nǎ（02920）(四)ㄋㄟˇ něi（02949）(六)ㄋㄨㄛˊ nuó（03131）</t>
  </si>
  <si>
    <t>南</t>
  </si>
  <si>
    <t>ㄋㄚˊ</t>
  </si>
  <si>
    <t>ná</t>
  </si>
  <si>
    <t>(一)ㄋㄢˊ nán（02979）</t>
  </si>
  <si>
    <t>拏</t>
  </si>
  <si>
    <t>[動]
1.執持。《說文解字．手部》：「拏，持也。」《警世通言．卷三七．萬秀娘仇報山亭兒》：「拏起一條柱杖，看著尹宗落夾背便打。」
2.拘捕。通「拿」。《太平廣記．卷三〇三．鄭仁鈞》：「且拏我入城，投楊氏姐。」</t>
  </si>
  <si>
    <t>拿</t>
  </si>
  <si>
    <t>[動]
1.用手取物或持物。《老殘遊記》第四回：「一手提著燈籠，一手拿著個雙紅名帖。」
2.捕捉。如：「緝拿」、「捉拿人犯」。《兒女英雄傳》第三四回：「你這孩子，纔叫狗拿耗子呢！」
3.用。《儒林外史》第一回：「老爺拿帖子請你，自然是好意。」
4.要挾、為難。《紅樓夢》第九一回：「因怕金桂拿他，所以不敢透漏。」
5.掌握、主持。如：「拿權」、「拿主意」。
6.裝模作樣。如：「拿翹」、「拿架子」。《鏡花緣》第二回：「一味花言巧語，這樣拿腔作勢未免太過分了。」
[介]
把。《文明小史》第二四回：「他幸而聲名不大，外國人不拿他放在心上。」</t>
  </si>
  <si>
    <t>ㄋㄚˇ</t>
  </si>
  <si>
    <t>nǎ</t>
  </si>
  <si>
    <t>[代]
表示疑問。如：「他去那裡了？」唐．王建〈寒食行〉：「紙錢那得到黃泉？」
[副]
怎。宋．辛棄疾〈瑞鷓鴣．膠膠擾擾幾時休〉詞：「那堪愁上更添愁。」</t>
  </si>
  <si>
    <t>(一)ㄋㄚˋ nà（02930）(二)ㄋㄟˋ nèi（02953）(四)ㄋㄟˇ něi（02949）(五)ㄋㄚ nā（02916）(六)ㄋㄨㄛˊ nuó（03131）</t>
  </si>
  <si>
    <t>哪</t>
  </si>
  <si>
    <t>[代]
表示疑問。如：「哪天？」、「哪裡人？」
[副]
怎，表示反問。如：「哪知」、「哪能」。</t>
  </si>
  <si>
    <t>(二)ㄋㄟˇ něi（02950）(三)ㄋㄨㄛˊ nuó（03133）(四)˙ㄋㄚ na（02933A）</t>
  </si>
  <si>
    <t>內</t>
  </si>
  <si>
    <t xml:space="preserve">入 </t>
  </si>
  <si>
    <t>ㄋㄚˋ</t>
  </si>
  <si>
    <t>nà</t>
  </si>
  <si>
    <t>[動]_x000D_
接納、收容。通「納」。《孟子．公孫丑上》：「非所以內交於孺子之父母也，非所以要譽於鄉黨朋友也。」《荀子．富國》：「婚姻娉內，送逆無禮。」《史記．卷八四．屈原賈生列傳．屈原》：「懷王怒，不聽，亡走趙，趙不內，復之秦，竟死於秦而歸葬。」</t>
  </si>
  <si>
    <t>(一)ㄋㄟˋ nèi（02952）</t>
  </si>
  <si>
    <t>吶</t>
  </si>
  <si>
    <t>[動]
大聲喊叫。《三國演義》第四五回：「鳴鼓吶喊而進。」
[形]
說話遲鈍、不流利。《漢書．卷七二．鮑宣傳》：「臣宣吶鈍於辭。」唐．顏師古．注：「吶亦訥字也。」唐．柳宗元〈與李睦州論服氣書〉：「今愚甚吶，不能多言。」</t>
  </si>
  <si>
    <t>衲</t>
  </si>
  <si>
    <t>[名]
1.僧、和尚。唐．戴叔倫〈題橫山寺〉詩：「老衲供茶碗，斜陽送客舟。」
2.僧衣。唐．戴叔倫〈寄贈翠巖奉上人〉詩：「挂衲雲林淨，翻經石榻涼。」《紅樓夢．第二五》：「破衲芒鞋無住跡，腌臢更有滿頭瘡。」
[動]
縫補、縫織。宋．劉克莊〈同孫季蕃遊淨居諸庵〉詩：「戒衣皆自衲，因講始停針。」</t>
  </si>
  <si>
    <t>納</t>
  </si>
  <si>
    <t>[動]_x000D_
1.收。《詩經．豳風．七月》：「九月築場圃，十月納禾稼。」《史記．卷八六．刺客列傳．荊軻》：「今秦已虜韓王，盡納其地。」_x000D_
2.交、獻。如：「納稅」、「繳納」。《春秋．莊公二十二年》：「東，公如齊納幣。」漢．桓寬《鹽鐵論．本議》：「農人納其獲，女工效其功。」_x000D_
3.容、受。如：「笑納」、「接納」。《左傳．文公十六年》：「諸侯誰納我？」《南史．卷四二．齊高帝諸子列傳上．豫章文獻王嶷》：「坦懷納善，側席思政。」_x000D_
4.引入。《儀禮．燕禮》：「小臣納卿大夫，卿大夫皆入門右北面東上。」漢．鄭玄．注：「納者，以公命引而入也。」_x000D_
5.娶。如：「納妾」。《易經．蒙卦．九二》：「包蒙吉，納婦吉，子克家。」《後漢書．卷一〇．皇后紀上．光烈陰皇后紀》：「更始元年六月，遂納后於宛當成里，時年十九。」_x000D_
6.穿、著。《禮記．曲禮上》：「跪而遷屨，俯而納屨。」_x000D_
7.縫補。漢．王充《論衡．程材》：「刺繡之師能縫帷裳，納縷之工不能織錦。」《水滸傳》第二三回：「武松穿了一領納紅紬襖，戴著個白范陽氈笠兒。」</t>
  </si>
  <si>
    <t>訥</t>
  </si>
  <si>
    <t>(一)ㄋㄜˋ nè（02933）</t>
  </si>
  <si>
    <t>軜</t>
  </si>
  <si>
    <t>[名]
兩驂馬內側繫貫於軾前繫環的韁繩。《說文解字．車部》：「軜，驂馬內轡繫軾前者。」《詩經．秦風．小戎》：「龍盾之合，鋈以觼軜。」漢．毛亨．傳：「軜，驂內轡也。」</t>
  </si>
  <si>
    <t>鈉</t>
  </si>
  <si>
    <t>[名]
（sodium，Na）化學元素。原子序11。鹼金屬元素之一。銀白色，質軟具延展性。在空氣中極易氧化，遇水則劇烈反應產生氫氣，需貯存於石油中。主要以化合物型態存在，如食鹽。亦可做還原劑及熱交換劑，用途甚廣。</t>
  </si>
  <si>
    <t>魶</t>
  </si>
  <si>
    <t>[名]
1.一種似鱉無甲的魚。《廣韻．入聲．合韻》：「魶，魚名。似鱉無甲，有尾，口在腹下。」
2.即鯢。形似鮎，聲音如嬰兒。《集韻．入聲．盍韻》：「魶，鯢也，似鮎，四足，聲如嬰兒。」明．李時珍《本草綱目．卷四四．鱗部．鯢魚》：「《釋名》：『人魚、魶魚。時珍曰：如小兒，故名。』」</t>
  </si>
  <si>
    <t>[形]
指示詞。指比較遠的人、事、物。相對於「這」。如：「我很喜歡那個人。」、「那件東西你要不要？」宋．辛棄疾〈醜奴兒．千峰雲起〉詞：「山那畔，別有人間。」
[連]
表承接、轉折的語氣。如：「你要是沒空，那我找別人陪我去。」</t>
  </si>
  <si>
    <t>(二)ㄋㄟˋ nèi（02953）(三)ㄋㄚˇ nǎ（02920）(四)ㄋㄟˇ něi（02949）(五)ㄋㄚ nā（02916）(六)ㄋㄨㄛˊ nuó（03131）</t>
  </si>
  <si>
    <t>娜</t>
  </si>
  <si>
    <t>[名]
女子名字的用字。如：「麗娜」、「安娜」。</t>
  </si>
  <si>
    <t>(一)ㄋㄨㄛˊ nuó（03134）</t>
  </si>
  <si>
    <t>捺</t>
  </si>
  <si>
    <t>[動]
1.用手重按。如：「捺手印」。《儒林外史》第三九回：「將隻手捺著左眼，飛跑出來。」
2.壓抑。如：「按捺不住」。《儒林外史》第二回：「周進只得捺定性子，坐著教導。」
3.截留、擱置。《二十年目睹之怪現狀》第四八回：「於是又在臬司和撫臺那裡，設法耽擱，這裡面已經不知捺了多少日子了。」
[名]
一種書法筆法。筆畫向右斜下，近末端處微有波折。永字八法稱為「磔」。《老殘遊記》第一一回：「一撇一捺。」</t>
  </si>
  <si>
    <t>˙ㄋㄚ</t>
  </si>
  <si>
    <t>na</t>
  </si>
  <si>
    <t>[助]
表疑問。《兒女英雄傳》第七回：「人家大師傅叫我住這兒勸你，可沒說准你出這個門兒，你那兒走哇？守著錢糧兒過去，你又走哪？」</t>
  </si>
  <si>
    <t>(一)ㄋㄚˇ nǎ（02921）(二)ㄋㄟˇ něi（02950）(三)ㄋㄨㄛˊ nuó（03133）</t>
  </si>
  <si>
    <t>ㄋㄜˋ</t>
  </si>
  <si>
    <t>nè</t>
  </si>
  <si>
    <t>[形]
1.話少而謹慎。《論語．里仁》：「君子欲訥於言，而敏於行。」
2.言語遲鈍、不善言辭。如：「木訥」。《老子》第四五章：「大直若屈，大巧若拙，大辯若訥。」《晉書．卷九二．文苑列傳．左思》：「貌寢，口訥，而辭藻壯麗。」</t>
  </si>
  <si>
    <t>(二)（又音）ㄋㄚˋ nà（02926）</t>
  </si>
  <si>
    <t>眲</t>
  </si>
  <si>
    <t>[動]
鄙視。《集韻．入聲．陌韻》：「眲，輕視也。」《列子．黃帝》：「顧見商丘開年老力弱，面目黎黑，衣冠不檢，莫不眲之。」</t>
  </si>
  <si>
    <t>呢</t>
  </si>
  <si>
    <t>˙ㄋㄜ</t>
  </si>
  <si>
    <t>ne</t>
  </si>
  <si>
    <t>[助]
1.表示疑問的語氣。如：「怎麼辦呢？」《兒女英雄傳》第三二回：「那狀元夫人又是怎麼件事呢？」《老殘遊記》第一一回：「何以還有人信服他呢？」
2.表示加強、確定的語氣。如：「撐把傘，外面正下著雨呢！」</t>
  </si>
  <si>
    <t>(一)ㄋㄧˊ ní（03001）</t>
  </si>
  <si>
    <t>乃</t>
  </si>
  <si>
    <t>ㄋㄞˇ</t>
  </si>
  <si>
    <t>nǎi</t>
  </si>
  <si>
    <t>[代]
1.你、你的。如：「乃母」、「乃兄」。宋．陸游〈示兒〉詩：「王師北定中原日，家祭無忘告乃翁。」
2.他、他的。《周禮．天官．小宰》：「各脩乃職。」
[動]
是。如：「失敗乃成功之母。」《史記．卷八．高祖本紀》：「呂公女乃呂后也，生孝惠帝。」《水滸傳》第二三回：「眾上戶道：『真乃英雄好漢！』」
[連]
1.然後、於是。《史記．卷七七．魏公子傳》：「侯生視公子色終不變，乃謝客就車。」
2.卻。《漢書．卷三五．吳王劉濞傳》：「不改過自新，乃益驕恣。」
3.而。《荀子．正論》：「然則鬥與不鬥邪，亡於辱之與不辱也，乃在於惡之與不惡也。」
4.若、如果。《孟子．公孫丑上》：「乃所願，則學孔子也。」
[副]
1.竟、居然。《列子．湯問》：「人之巧乃可與造化者同功乎？」《史記．卷一〇二．張釋之傳》：「而廷尉乃當之罰金！」
2.才、始。《禮記．月令》：「是月也，日夜分，雷乃發聲。」《文選．楊惲．報孫會宗書》：「於今乃睹子之志矣。」
[助]
語助詞。用於發語或轉折。《書經．大禹謨》：「帝德廣運，乃聖乃神，乃武乃文。」</t>
  </si>
  <si>
    <t>奶</t>
  </si>
  <si>
    <t>[名]
1.乳房的俗稱。
2.乳汁。如：「牛奶」、「餵奶」、「吃母奶的孩子免疫力較強。」
[動]
哺乳，引申為撫養。《紅樓夢》第二〇回：「把你奶了這麼大，到如今吃不著奶了，把我丟在一旁。」
[形]
嬰兒階段的。如：「奶名」、「奶娃兒」。</t>
  </si>
  <si>
    <t>氖</t>
  </si>
  <si>
    <t>[名]
（neon，Ne）化學元素。原子序10。非金屬元素之一。無色無臭，無刺激性。大氣中含量極少，不易與其他元素化合。可用以製造霓虹燈。</t>
  </si>
  <si>
    <t>釢</t>
  </si>
  <si>
    <t>[名]
化學元素。釹的舊譯。</t>
  </si>
  <si>
    <t>迺</t>
  </si>
  <si>
    <t>[代]
1.你。《史記．卷九七．陸賈傳》：「迺公居馬上而得之，安事詩書。」
2.此、這。《晏子春秋．外篇．重而異者》：「五子不滿隅，一子可滿朝，非迺子耶？」
[連]
於是。同「乃」。《後漢書．卷八九．南匈奴傳》：「時單于與中郎將杜崇不相平，迺上書告崇。」
[副]
竟然、居然。同「乃」。《宋史．卷四一六．余玠傳》：「儒者中迺有此人！」
[名]
姓。如元代有迺穆泰。</t>
  </si>
  <si>
    <t>嬭</t>
  </si>
  <si>
    <t>[名]
1.乳房。通「奶」。《玉篇．女部》：「嬭，乳也。」
2.母親。清．王念孫《廣雅疏證．卷六下．釋親》：「嬭，母也。」</t>
  </si>
  <si>
    <t>奈</t>
  </si>
  <si>
    <t>ㄋㄞˋ</t>
  </si>
  <si>
    <t>nài</t>
  </si>
  <si>
    <t>[動]
1.堪、經得起。通「耐」。《太平廣記．卷二三七．同昌公主》：「稍過度，則熇蒸之氣不可奈。」
2.對付、安頓、處置。通常與「何」連用。《國語．晉語二》：「吾君老矣，國家多難，伯氏不出，奈吾君何？」
[連]
表示意外轉折的語氣。如：「怎奈計畫不周，以致發生困難。」、「他本性不壞，無奈交友不慎，而誤入歧途。」</t>
  </si>
  <si>
    <t>柰</t>
  </si>
  <si>
    <t>[名]
植物名。薔薇科蘋果屬，「蘋果」之古稱。參見「蘋果」條。
[動]
通「奈」。參見「柰何」條。</t>
  </si>
  <si>
    <t>萘</t>
  </si>
  <si>
    <t>[名]
(Naphthalene）為揮發性的白色結晶片。有煤焦油臭味。不溶於水，易發揮昇華，可自煤黑油蒸餾而得。常用來製造樟腦丸等防腐劑、染料、樹脂等。</t>
  </si>
  <si>
    <t>錼</t>
  </si>
  <si>
    <t>[名]
（neptunium，Np）化學元素。原子序93。金屬元素之一。銀白色，溶於鹽酸，為強還原劑，是第一個人造超鈾元素。主要使用於中子探測儀器中。大陸地區譯為鎿。</t>
  </si>
  <si>
    <t>耐</t>
  </si>
  <si>
    <t>[動]
忍受、承受。如：「忍耐」、「吃苦耐勞」。南唐．李煜〈浪淘沙．簾外雨潺潺〉詞：「簾外雨潺潺，春意闌珊，羅衾不耐五更寒。」
[副]
經久、持久。如：「耐穿」、「耐用」。
[名]
1.古代的一種刑罰。只剃去鬢鬚而不剃髮的輕刑。《漢書．卷一．高帝紀下》：「春，令郎中有罪耐以上，請之。」
2.本事。如：「能耐」。</t>
  </si>
  <si>
    <t>鼐</t>
  </si>
  <si>
    <t>[名]_x000D_
大鼎。《爾雅．釋器》：「鼎絕大謂之鼐。」《詩經．周頌．絲衣》：「鼐鼎及鼒。」漢．毛亨．傳：「大鼎謂之鼐。」《宋史．卷一〇四．禮志七》：「八年，用方士言，鑄神霄九鼎成，曰太極飛雲洞劫之鼐、蒼壺祀天貯醇酒之鼎。」</t>
  </si>
  <si>
    <t>褦</t>
  </si>
  <si>
    <t>ㄋㄟˇ</t>
  </si>
  <si>
    <t>něi</t>
  </si>
  <si>
    <t>[代]
表示疑問。通「哪」。為「那（ㄋㄚˇ）一」合音成ㄋㄞˇ，再轉成ㄋㄟˇ。如：「王維是那朝代的人？」《儒林外史》第一回：「縣裡人那個不曉得？」</t>
  </si>
  <si>
    <t>(一)ㄋㄚˋ nà（02930）(二)ㄋㄟˋ nèi（02953）(三)ㄋㄚˇ nǎ（02920）(五)ㄋㄚ nā（02916）(六)ㄋㄨㄛˊ nuó（03131）</t>
  </si>
  <si>
    <t>[代]
表示疑問。為「哪（ㄋㄚˇ）一」合音成ㄋㄞˇ，再轉成ㄋㄟˇ。如：「哪天我們去看場電影？」</t>
  </si>
  <si>
    <t>(一)ㄋㄚˇ nǎ（02921）(三)ㄋㄨㄛˊ nuó（03133）(四)˙ㄋㄚ na（02933A）</t>
  </si>
  <si>
    <t>餒</t>
  </si>
  <si>
    <t>[名]
1.飢餓。如：「飢餒」。《太平廣記．卷八二．呂翁》：「吾家本山東，良田數頃，足以禦寒餒，何苦求祿。」
2.受飢餓的人。《後漢書．卷三四．梁統傳》：「每有飢饉，輒載租穀於城門，賑與貧餒，不宣己惠。」
[動]
1.使受餓。《孟子．梁惠王下》：「比其反也，則凍餒其妻子。」
2.沮喪、失去勇氣。如：「勝不驕，敗不餒。」
3.腐爛。《論語．鄉黨》：「魚餒而肉敗，不食。」三國魏．何晏．集解：「魚敗曰餒。」
[形]
空、乏。南朝梁．劉勰《文心雕龍．事類》：「有學飽而才餒，有才富而學貧。」</t>
  </si>
  <si>
    <t>ㄋㄟˋ</t>
  </si>
  <si>
    <t>nèi</t>
  </si>
  <si>
    <t>[名]
1.裡，相對於「外」。如：「室內」、「國內」。唐．韓愈〈祭鱷魚文〉：「四海之外，六合之內，皆撫而有之。」
2.心裡、心意。如：「內咎」、「內省」。唐．白居易〈六年春贈分司東都諸公〉詩：「我為同州牧，內愧無才術。」
3.妻妾。如：「內人」、「內子」。《西遊記》第六〇回：「江湖中說你是條好漢，原來是個懼內的庸夫。」
4.婦女、女色。《南史．卷五十五．曹景宗傳》：「景宗好內，妓妾至數百。」
5.宮廷、朝廷。如：「宮廷大內」。《史記．卷一二〇．汲黯傳》：「以數切諫，不得久留內，遷為東海太守。」
6.寢室、房間。《漢書．卷四九．鼂錯傳》：「先為築室，家有一堂二內。」
7.臟腑。如：「內臟」。《紅樓夢》第七三回：「登時四肢五內，一齊皆不自在起來。」
8.姓。如漢代有內宣之。
[動]
親近。《易經．泰卦》：「內君子而外小人，君子道長，小人道消也。」</t>
  </si>
  <si>
    <t>(二)ㄋㄚˋ nà（02922）</t>
  </si>
  <si>
    <t>[代]
指示詞。單數用法，指比較遠的人、事、物。為「那（ㄋㄚˋ）一」合音成ㄋㄞˋ，再轉成ㄋㄟˋ。如：「我很欣賞那個人。」</t>
  </si>
  <si>
    <t>(一)ㄋㄚˋ nà（02930）(三)ㄋㄚˇ nǎ（02920）(四)ㄋㄟˇ něi（02949）(五)ㄋㄚ nā（02916）(六)ㄋㄨㄛˊ nuó（03131）</t>
  </si>
  <si>
    <t>孬</t>
  </si>
  <si>
    <t>ㄋㄠ</t>
  </si>
  <si>
    <t>nāo</t>
  </si>
  <si>
    <t>[形]
1.不好、壞。《字彙．子部》：「孬，不好也。」如：「孬運」。
2.懦弱、無膽識。如：「孬種」。</t>
  </si>
  <si>
    <t>怓</t>
  </si>
  <si>
    <t>ㄋㄠˊ</t>
  </si>
  <si>
    <t>náo</t>
  </si>
  <si>
    <t>[形]
亂。《詩經．大雅．民勞》：「無縱詭隋，以謹惽怓。」漢．毛亨．傳：「惽怓，大亂也。」</t>
  </si>
  <si>
    <t>呶</t>
  </si>
  <si>
    <t>[動]
大聲喧鬧。《說文解字．口部》：「呶，讙聲也。」《詩經．小雅．賓之初筵》：「賓既醉止，載號載呶。」</t>
  </si>
  <si>
    <t>峱</t>
  </si>
  <si>
    <t>[名]
山名。約在山東省淄博市臨淄區南。</t>
  </si>
  <si>
    <t>硇</t>
  </si>
  <si>
    <t>[名]
硇砂：一種礦物。呈皮殼狀或粉塊狀。無色或白色，間帶紅褐色。具貝殼狀斷口。通常出現在火山作用中。可供中藥使用，在工業及農業上亦有廣泛用途。</t>
  </si>
  <si>
    <t>猱</t>
  </si>
  <si>
    <t>[名]
1.動物名。猿屬。體矮小，尾金色，臂長柔軟，善攀緣而輕捷，上下如飛。楚人稱為「沐猴」。也稱為「獶」、「狨」。
2.一種彈琴指法。彈琴時為使左手按音圓潤富有韻味，按指在弦上往復移動，使琴聲微顫。移動較小則顫音微細，稱為「吟」，移動較大則顫音顯著，稱為「猱」。這種指法多用於節奏徐緩之處，有飛猱、退猱、撞猱、長猱、細猱等。</t>
  </si>
  <si>
    <t>撓</t>
  </si>
  <si>
    <t>[動]
1.攪擾、阻擾。如：「阻撓」。《左傳．成公十三年》：「離散我兄弟，撓亂我同盟。」《莊子．駢拇》：「自虞氏招仁義以撓天下也，天下莫不奔命於仁義。」
2.屈服、屈曲。如：「屈撓」、「百折不撓」。《國語．晉語二》：「抑撓志以從君，為廢人以自利也。」
3.抓、搔。如：「撓癢」、「抓耳撓腮」。《水滸傳》第三一回：「我的本事不要箱兒裡去取，正是撓著我的癢處。」</t>
  </si>
  <si>
    <t>橈</t>
  </si>
  <si>
    <t>[名]
船槳。五代十國後蜀．歐陽炯〈南鄉子．畫舸停橈〉詞：「畫舸停橈，槿花林外竹橫橋。」
[動]
1.彎曲。《列子．湯問》：「汨流之中，綸不絕，鉤不伸，竿不橈。」《新唐書．卷一三二．吳兢傳》：「橈直就曲，斲方為刓。」
2.曲解、歪曲。《漢書．卷九〇．酷吏傳．周陽由傳》：「所愛者，橈法活之，所憎者，曲法滅之。」
3.冤屈。《禮記．月令》：「斬殺必當，毋或枉橈。」《史記．卷五三．蕭相國世家》：「上已橈功臣。」
4.擾亂。《易經．說卦》：「動萬物者莫疾乎雷，橈萬物者莫疾乎風。」
5.削弱。《漢書．卷一．高帝紀》：「項羽數侵奪漢甬道，漢軍乏食，與酈食其謀橈楚權。」</t>
  </si>
  <si>
    <t>譊</t>
  </si>
  <si>
    <t>[動]_x000D_
喧譁、呼叫。《說文解字．言部》：「恚嘑也。」五代十國．徐鍇．繫傳：「聲高噪獰也。」《晉書．卷五〇．列傳．庾純》：「臨時諠譊，遂至荒越。」</t>
  </si>
  <si>
    <t>鐃</t>
  </si>
  <si>
    <t>[名]
樂器名，古代金屬擊樂器：(1)青銅製，形似鈴無舌，體短而闊，有中空的短柄可安木把。一般以大、中、小三件為一組，用以止息擊鼓。《周禮．地官司徒．鼓人》：「以金鐃止鼓，以金鐸通鼓。」漢．鄭玄．注：「鐃如鈴無舌，有秉，執而鳴之，以止擊鼓。」(2)銅製擊樂器。一副兩片，形狀像鈸，但中間隆起部分較小。《清史稿．卷一〇一．樂志八》：「鐃，笵銅為之，面徑一尺二寸。中隆起，穿孔貫紃，左右合擊。」
[動]
攪擾。通「撓」。《莊子．天道》：「萬物無足以鐃心者，故靜也。」</t>
  </si>
  <si>
    <t>憹</t>
  </si>
  <si>
    <t>見「懊憹」條。</t>
  </si>
  <si>
    <t>(二)ㄋㄨㄥˊ nóng（03152）</t>
  </si>
  <si>
    <t>獶</t>
  </si>
  <si>
    <t>[名]
動物名。即獼猴。猿屬。體矮小，尾金色，臂長，善攀爬。《禮記．樂記》：「獶雜子女，不知父子。」漢．鄭玄．注：「獶，獮猴也。」也稱為「猱」、「狨」。</t>
  </si>
  <si>
    <t>惱</t>
  </si>
  <si>
    <t>ㄋㄠˇ</t>
  </si>
  <si>
    <t>nǎo</t>
  </si>
  <si>
    <t>[動]
1.氣恨、發怒。如：「惱恨」、「氣惱」。《儒林外史》第六回：「嚴貢生越發惱得暴躁如雷。」
2.撩撥、逗弄。宋．蘇軾〈蝶戀花．花褪殘紅青杏小〉詞：「笑漸不聞聲漸悄，多情卻被無情惱。」宋．楊萬里〈釣雪舟倦睡〉詩：「無端卻被梅花惱，特地吹香破夢魂。」
[形]
煩憂、苦悶。如：「煩惱」、「苦惱」。</t>
  </si>
  <si>
    <t>瑙</t>
  </si>
  <si>
    <t>腦</t>
  </si>
  <si>
    <t>[名]
1.頭髓，為高等動物神經系統的主要部分，掌管知覺、運動、思維、判斷、記憶等的器官。
2.人的頭部。如：「腦袋」、「搖頭晃腦」。《淮南子．俶真》：「雲臺之高，墮者折脊碎腦。」唐．杜甫〈畫鶻行〉：「側腦看青霄，寧為眾禽沒。」
3.物體的中心部分。宋．道潛〈次韻子瞻飯別〉詩：「鈴閣追隨半月強，葵心菊腦厭甘涼。」
4.形狀或顏色像腦髓的東西。如：「樟腦」、「豆腐腦」。</t>
  </si>
  <si>
    <t>淖</t>
  </si>
  <si>
    <t>ㄋㄠˋ</t>
  </si>
  <si>
    <t>nào</t>
  </si>
  <si>
    <t>[名]
爛泥。如：「泥淖」。《左傳．成公十六年》：「欒、范以其族夾公行，陷于淖。」《聊齋志異．卷一．王成》：「見往來行人，踐淖沒脛，心畏苦之。」
[形]
溼潤。《管子．地員》：「五粟之狀，淖而不肕。」</t>
  </si>
  <si>
    <t>鬧</t>
  </si>
  <si>
    <t>[動]
1.喧嚷、嘈雜。如：「喧鬧」、「吵鬧」、「當年的餿水油事件著實鬧了好一陣子。」
2.生、發生。如：「鬧饑荒」、「鬧水災」、「鬧瘟疫」、「這屋子鬧鬼。」
3.發洩、發作。如：「鬧彆扭」、「鬧情緒」。《紅樓夢》第五七回：「寶玉聽了一個『林』字，便滿床鬧起來。」
4.擾亂。如：「鬧場」、「鬧事」。《紅樓夢》第六〇回：「偏那趙不死的又和我鬧了一場。」
5.戲耍、開玩笑。如：「胡鬧」、「鬧洞房」、「別鬧了」。
6.弄、搞。如：「鬧革命」、「鬧得大家不歡而散。」《紅樓夢》第五七回：「都是你鬧的，還得你來治。」《兒女英雄傳》第一〇回：「如今事情鬧這麼田地。」
[形]
1.擾嚷不安靜。如：「鬧市」、「鬧區」、「鬧哄哄」。
2.濃盛。宋．宋祁〈玉樓春．東城漸覺風光好〉詞：「綠楊煙外曉寒輕，紅杏枝頭春意鬧。」</t>
  </si>
  <si>
    <t>臑</t>
  </si>
  <si>
    <t>(一)ㄖㄨˊ rú（09286）(三)ㄦˊ ér（10462）</t>
  </si>
  <si>
    <t>譨</t>
  </si>
  <si>
    <t>ㄋㄡˊ</t>
  </si>
  <si>
    <t>nóu</t>
  </si>
  <si>
    <t>參見「譨譨」條。</t>
  </si>
  <si>
    <t>䨲</t>
  </si>
  <si>
    <t>[名]
幼兔。《魏書．卷九一．術藝傳．江式傳》：「小兔為䨲，神虫為蠶。」</t>
  </si>
  <si>
    <t>耨</t>
  </si>
  <si>
    <t>ㄋㄡˋ</t>
  </si>
  <si>
    <t>nòu</t>
  </si>
  <si>
    <t>[名]
除草的農具。《漢書．卷九九．王莽傳》：「予之南巡，必躬載耨，每縣則媷，以勸南偽。」
[動]
除草。如：「深耕易耨」。《孟子．梁惠王上》：「彼奪其民時，使不得耕耨，以養其父母。」</t>
  </si>
  <si>
    <t>檽</t>
  </si>
  <si>
    <t>[名]
一種樹木。外形似槲樕但較小，皮可用作染料。《玉篇．木部》：「檽，木名，皮可染。」</t>
  </si>
  <si>
    <t>囡</t>
  </si>
  <si>
    <t>ㄋㄢ</t>
  </si>
  <si>
    <t>nān</t>
  </si>
  <si>
    <t>[名]
吳語。指小女孩，或泛指小孩子。如：「小囡囡」。清．王應奎《柳南隨筆》卷三：「漁家日住湖中，自無不肌粗面黑。間有生女瑩白者，名曰白囡。」</t>
  </si>
  <si>
    <t>男</t>
  </si>
  <si>
    <t>ㄋㄢˊ</t>
  </si>
  <si>
    <t>nán</t>
  </si>
  <si>
    <t>[名]
1.男人，與「女」相對。《禮記．禮運》：「男有分，女有歸。」
2.兒子。如：「長男」。《左傳．哀公三年》：「南氏生男，則以告於君與大夫而立之。」唐．杜甫〈石壕吏〉詩：「一男附書至，二男新戰死。」
3.兒子在父母前的自稱。宋．歐陽修〈瀧岡阡表〉：「十有五日乙亥，男推誠保德崇仁翊戴功臣，觀文殿學士，特進行兵部尚書。」
4.古代封建制度五等爵的最末一等，即男爵。《禮記．王制》：「王者之制祿爵，公、侯、伯、子、男凡五等。」
5.姓。如明代有男斌。</t>
  </si>
  <si>
    <t>柟</t>
  </si>
  <si>
    <t>[名]
植物名。即楠木。樟科雅楠或楨楠屬，「楠木」之古稱，參見「楠木」條。</t>
  </si>
  <si>
    <t>[名]
1.方位名。與「北」相對。如：「坐北朝南」、「大江南北」。《詩經．小雅．何人斯》：「胡不自南？」
2.南方的樂曲。《禮記．文王世子》：「胥鼓南。」漢．鄭玄．注：「南，南夷之樂也。」
3.姓。如唐代有南霽雲。
[動]
向南行、向南移動。《周禮．地官．大司徒》：「日南則景短，多暑。」《宋史．卷四二八．道學傳二．楊時傳》：「其歸也，顥目送之曰：『吾道南矣！』」
[形]
南邊的。如：「南岸」、「南極」。《陳書．卷二一．王固傳》：「魏人以南人嗜魚，大設罟網。」</t>
  </si>
  <si>
    <t>(二)ㄋㄚˊ ná（02917）</t>
  </si>
  <si>
    <t>喃</t>
  </si>
  <si>
    <t>參見「喃喃」、「呢喃」等條。</t>
  </si>
  <si>
    <t>楠</t>
  </si>
  <si>
    <t>[名]
植物名。「柟」、「楠木」之古稱，參見「楠木」條。</t>
  </si>
  <si>
    <t>蝻</t>
  </si>
  <si>
    <t>[名]
蝗的幼蟲。形體似成蟲而略小，頭大，有翅芽，經五、六次蛻皮，發育為成蟲。常成群吃稻、麥、玉米等禾本科作物。</t>
  </si>
  <si>
    <t>(二)（又音）ㄋㄢˇ nǎn（02987）</t>
  </si>
  <si>
    <t>諵</t>
  </si>
  <si>
    <t>參見「諵諵」條。</t>
  </si>
  <si>
    <t>難</t>
  </si>
  <si>
    <t>[形]_x000D_
不容易、艱困。如：「難關」、「這個問題很難。」《論語．子路》：「為君難，為臣亦不易。」_x000D_
[副]_x000D_
1.不容易、艱難。如：「難辦」、「難處」、「難學」。晉．干寶〈晉紀總論〉：「基廣則難傾，根深則難拔。」_x000D_
2.不好、不可、不能。如：「難看」、「難吃」、「難聞」、「難聽」、「難言之隱」、「難保無事」。《戰國策．中山策》：「且張登之為人也，善以微計薦中山之君久矣，難信以為利。」漢．高誘．注：「不可信其言以為己利也。」_x000D_
[動]_x000D_
陷滯、困住。如：「他們用計難住他，讓他走不開。」《左傳．哀公十二年》：「今吳不行禮於衛，而藩其君舍以難之。」_x000D_
[名]_x000D_
不容易的事。《玉篇．隹部》：「難，不易之稱。」《後漢書．卷二六．伏侯宋蔡馮趙牟韋列傳．伏湛》：「陛下捨近務遠，棄易求難，四方疑怪，百姓恐懼，誠臣之所惑也。」《元史．卷三五．文宗本紀四》：「及遷同知儲政院事，即就職，僥倖巧宦，避難就易。」</t>
  </si>
  <si>
    <t>(二)ㄋㄢˋ nàn（02989）</t>
  </si>
  <si>
    <t>赧</t>
  </si>
  <si>
    <t>ㄋㄢˇ</t>
  </si>
  <si>
    <t>nǎn</t>
  </si>
  <si>
    <t>[形]
害羞慚愧而臉紅。如：「赧顏」、「羞赧」。《孟子．滕文公下》：「觀其色赧赧然，非由之所知也。」唐．沈既濟《任氏傳》：「鄭子赧而隱。」</t>
  </si>
  <si>
    <t>腩</t>
  </si>
  <si>
    <t>[名]
1.牛肚子上或肋骨附近柔軟的嫩肉。如：「牛腩」。
2.以調味品浸漬的肉。《齊民要術．卷九．炙法》：「腩炙：羊、牛、獐、鹿肉皆得，方寸臠切，蔥白研令碎，和鹽豉汁，僅令相淹，少時便炙。」</t>
  </si>
  <si>
    <t>(一)ㄋㄢˊ nán（02982）</t>
  </si>
  <si>
    <t>戁</t>
  </si>
  <si>
    <t>[形]
敬畏、恐懼。《詩經．商頌．長發》：「敷奏其勇，不震不動；不戁不竦，百祿是總。」</t>
  </si>
  <si>
    <t>ㄋㄢˋ</t>
  </si>
  <si>
    <t>nàn</t>
  </si>
  <si>
    <t>[名]
1.災禍。如：「災難」、「海難」、「多災多難」、「大難臨頭」。《左傳．桓公六年》：「君姑脩政，而親兄弟之國，庶免於難。」
2.仇敵。《戰國策．秦策一》：「臣聞天下，陰燕陽魏，連荊固齊，收餘韓成，從將西南，以與秦為難。」《史記．卷七〇．張儀傳》：「楚嘗與秦構難，戰於漢中。」
3.叛亂。如：「發難」、「兵難」。《公羊傳．隱公四年》：「請作難。」
[形]
遭遇災難的。如：「難民」、「難胞」。
[動]
1.質問、責備。如：「非難」、「問難」、「責難」。《左傳．隱公元年》：「不言出奔，難之也。」
2.辯駁、辯論。《史記．卷八一．廉頗藺相如傳》：「嘗與其父奢言兵事，奢不能難也，然不謂善。」</t>
  </si>
  <si>
    <t>(一)ㄋㄢˊ nán（02984）</t>
  </si>
  <si>
    <t>嫩</t>
  </si>
  <si>
    <t>ㄋㄣˋ</t>
  </si>
  <si>
    <t>nèn</t>
  </si>
  <si>
    <t>[形]
1.初生柔弱的樣子。如：「嫩芽」、「嬌嫩」。唐．杜甫〈奉酬李都督表丈早春作〉詩：「紅入桃花嫩，青歸柳葉新。」《紅樓夢》第七七回：「就如同一盆纔抽出嫩箭來的蘭花，一送到豬窩裡去一般。」
2.柔軟。如：「細皮嫩肉」、「杏仁上面包著一層嫩皮兒。」
3.經驗少、不老練。如：「他太嫩了。」、「她臉皮嫩，不敢上場。」《醒世恆言．卷三．賣油郎獨占花魁》：「做小娘的不是個軟殼雞蛋，怎的這般嫩得緊？」
4.指食物烹調時間短暫，易於咀嚼的。如：「青椒牛肉要炒得嫩才好吃。」
[副]
1.顏色輕淡。如：「嫩黃」、「嫩綠」。唐．白居易〈山石榴寄元九〉詩：「千房萬葉一時新，嫩紫殷紅鮮麴塵。」
2.輕微、微薄。如：「嫩涼」。宋．辛棄疾〈念奴嬌．江南盡處〉詞：「還似籬落孤山，嫩寒清曉。」</t>
  </si>
  <si>
    <t>囊</t>
  </si>
  <si>
    <t>ㄋㄤˊ</t>
  </si>
  <si>
    <t>náng</t>
  </si>
  <si>
    <t>[名]
1.口袋、袋子。如：「行囊」、「香囊」、「錦囊」、「探囊取物」。唐．杜甫〈重贈鄭鍊〉詩：「鄭子將行罷使臣，囊無一物獻尊親。」
2.似袋子的東西。如：「膽囊」、「毛囊」、「氣囊」。《紅樓夢》第三回：「縱然生得好皮囊，腹內原來草莽。」
3.姓。如春秋時楚國有囊瓦。
[動]
用袋子盛裝物品。《聊齋志異．卷一．王成》：「囊貨就路，中途遇雨，衣履浸濡。」
[副]
如囊包物般的。如：「囊括四海」。</t>
  </si>
  <si>
    <t>曩</t>
  </si>
  <si>
    <t>ㄋㄤˇ</t>
  </si>
  <si>
    <t>nǎng</t>
  </si>
  <si>
    <t>[名]
從前、往日。如：「曩昔」、「曩者」。《韓非子．外儲說左下》：「寡人曩不知子，今知矣。」</t>
  </si>
  <si>
    <t>攮</t>
  </si>
  <si>
    <t>[動]
1.推。《醒世姻緣傳》第一回：「計氏趕將來要打，或將計氏乘機推一交，攮兩步。」
2.刺、戳。如：「他被攮了一刀。」《儒林外史》第六回：「半夜裡不見了鎗頭子，攮到賊肚裡。」
[形]
罵人糊塗愚笨。《儒林外史》第九回：「狗攮的奴才！你睜開驢眼看看燈籠上的字！船是那家的船！」《紅樓夢》第九六回：「糊塗狗攮的，還不給爺和賴大爺磕頭呢！」</t>
  </si>
  <si>
    <t>齉</t>
  </si>
  <si>
    <t>ㄋㄤˋ</t>
  </si>
  <si>
    <t>nàng</t>
  </si>
  <si>
    <t>[形]
鼻子阻塞，發音不清楚。如：「齉鼻子」、「感冒流鼻水，鼻子發齉。」</t>
  </si>
  <si>
    <t>囔</t>
  </si>
  <si>
    <t>˙ㄋㄤ</t>
  </si>
  <si>
    <t>nang</t>
  </si>
  <si>
    <t>參見「嘟囔」條。</t>
  </si>
  <si>
    <t>能</t>
  </si>
  <si>
    <t>ㄋㄥˊ</t>
  </si>
  <si>
    <t>néng</t>
  </si>
  <si>
    <t>[名]_x000D_
1.傳說中的動物。如熊，足似鹿。《說文解字．能部》：「能，熊屬，足似鹿。」唐．韓愈〈憶昨行和張十一〉詩：「近者三姦悉破碎，羽窟無底幽黃能。」_x000D_
2.能力、才幹。如：「逞能」、「智能」。《論語．子罕》：「夫子聖者與？何其多能也。」《文選．沈約．宋書謝靈運傳論》：「並摽能擅美，獨映當時。」_x000D_
3.人才、有才能的人。《禮記．禮運》：「選賢與能，講信脩睦。」《文選．司馬遷．報任少卿書》：「招賢進能，顯巖穴之士。」_x000D_
4.用途、功用。唐．柳宗元〈愚溪詩序〉：「可以染也，名之以其能，故謂之染溪。」_x000D_
5.一種日本古典戲劇。由猿樂發展的歌舞劇，以動作、表情和音樂表現。如：「夢幻能」、「修羅能」。_x000D_
6.物質運動的能量。因運動形式不同而有電能、熱能、機械能、化學能、原子能等。能量間可互相轉換，以功率為計算單位。也稱為「能量」。_x000D_
[形]_x000D_
有才幹的。如：「能人」、「能者多勞」。《孟子．公孫丑上》：「賢者在位，能者在職。」_x000D_
[動]_x000D_
1.可以做、有才幹。《論語．先進》：「非曰能之，願學焉。」《荀子．勸學》：「假舟楫者，非能水也，而絕江河。」_x000D_
2.投契、睦。《詩經．大雅．民勞》：「柔遠能邇，以定我王。」《史記．卷五三．蕭相國世家》：「何素不與曹參相能。」_x000D_
3.及、到。《戰國策．趙策一》：「韓與秦接境壤界，其地不能千里。」_x000D_
[副]_x000D_
1.可以、能夠。如：「你現在能不能去？」《論語．述而》：「聞義不能徙，不善不能改，是吾憂也。」唐．杜甫〈贈衛八處士〉詩：「少壯能幾時？鬢髮各已蒼。」_x000D_
2.只、僅僅。唐．杜甫〈月〉詩：「只益丹心苦，能添白髮明。」宋．蘇軾〈舟中夜起〉詩：「此生忽忽憂患裡，清境過眼能須臾。」_x000D_
3.寧、寧可。宋．蘇軾〈六和寺沖師閘山溪為水軒〉詩：「出山定被江潮涴，能為山僧更少留。」元．喬吉《金錢記》第一折：「能為君子儒，莫為小人儒。」</t>
  </si>
  <si>
    <t>儜</t>
  </si>
  <si>
    <t>[形]
弱小、軟弱。《宋書．卷六二．王微傳》：「吾本儜人，加疹意惛，一旦聞此，便惶怖矣。」
[代]
用於尊稱他人。通「您」。《老殘遊記》第一二回：「今日總算他鄉遇故知，儜也該做首詩，我們拜讀拜讀。」</t>
  </si>
  <si>
    <t>尼</t>
  </si>
  <si>
    <t>ㄋㄧˊ</t>
  </si>
  <si>
    <t>ní</t>
  </si>
  <si>
    <t>[名]
1.本是梵語陰性語尾。如比丘尼、沙彌尼。漢語用來泛稱出家女眾。如：「僧尼」、「削髮為尼」。《聊齋志異．卷五．武技》：「纔一交手，尼便呵止。」
2.姓。如明代有尼養德。</t>
  </si>
  <si>
    <t>泥</t>
  </si>
  <si>
    <t>[名]
1.水和土的混合物。如：「泥巴」、「汙泥」。《文選．古詩十九首．東城高且長》：「思為雙飛燕，銜泥巢君屋。」《老殘遊記》第一四回：「這裡許多人用蒲包裝泥，預備堵城門。」
2.搗碎、壓碎調勻像泥狀的東西。如：「棗泥」、「印泥」、「芋泥」、「蒜泥」。
[動]
1.沾汙、弄髒。如：「衣服泥了要換掉。」明．湯顯祖《牡丹亭》第一〇齣：「踏草怕泥新繡襪，惜花疼煞小金鈴。」
2.塗飾、塗抹。南朝宋．劉義慶《世說新語．汰侈》：「王以赤石脂泥壁。」宋．范成大〈四時田園雜興〉詩六〇首之五一：「屋上添高一把茅，密泥房壁似僧寮。」</t>
  </si>
  <si>
    <t>(二)ㄋㄧˋ nì（03024）</t>
  </si>
  <si>
    <t>怩</t>
  </si>
  <si>
    <t>參見「忸怩」條。</t>
  </si>
  <si>
    <t>[名]
一種毛織物。如：「呢絨」、「呢料」。也稱為「呢子」。
[形]
參見「呢喃」條。</t>
  </si>
  <si>
    <t>(二)˙ㄋㄜ ne（02935）</t>
  </si>
  <si>
    <t>妮</t>
  </si>
  <si>
    <t>[名]
1.婢女。如：「婢妮」。《大宋宣和遺事．利集》：「帝觀翫，忽有一妮婢，衣褐衣，口稱韋夫人遣來。」
2.小女孩，有愛憐或鄙視的意思。如：「小妮子」。</t>
  </si>
  <si>
    <t>鈮</t>
  </si>
  <si>
    <t>[名]
（niobium，Nb）化學元素。原子序41。金屬元素之一。銀白色，存於鈮鉭鐵礦，有延展性和良好的超導性。室溫下相當穩定，高溫中能與氧、氫和鹵素反應，可用作除氣劑。主要用於製造耐高溫的合金鋼及真空管，也可用於增加鋼的強度。因可與鈾調和，且能耐鹼金屬腐蝕、不易與熱中子作用，故用於核子反應器的外殼。</t>
  </si>
  <si>
    <t>兒</t>
  </si>
  <si>
    <t>[名]
姓。通「倪」。如漢代有兒寬。</t>
  </si>
  <si>
    <t>(一)ㄦˊ ér（10465）</t>
  </si>
  <si>
    <t>倪</t>
  </si>
  <si>
    <t>[形]
弱小。《孟子．梁惠王下》：「王速出今，反其旄倪。」
[名]
1.孩童。《舊唐書．卷九．玄宗本紀下》：「於時垂髫之倪，皆知禮讓。」
2.頭緒、際崖。如：「端倪」。《莊子．秋水》：「又何以知毫末之足以定至細之倪。」唐．韓愈〈南海神廟碑〉：「乾端坤倪，軒豁呈露。」
3.姓。如元代有倪瓚。
[代]
吳語。指我、我們。《海上花列傳》第一回：「照應倪妹子，阿有倽勿好。」
[動]
區分。《莊子．秋水》：「惡至而倪貴賤，惡至而倪小大。」</t>
  </si>
  <si>
    <t>堄</t>
  </si>
  <si>
    <t>郳</t>
  </si>
  <si>
    <t>[名]
國名。曹姓，周時邾顏封肥於郳，始建國，為周的附庸，後為楚所滅。故城約在今山東省滕縣，一說在山東省嶧城鎮。也稱為「小邾子」、「小邾婁」。</t>
  </si>
  <si>
    <t>猊</t>
  </si>
  <si>
    <t>參見「狻猊」條。</t>
  </si>
  <si>
    <t>婗</t>
  </si>
  <si>
    <t>參見「嫛婗」條。</t>
  </si>
  <si>
    <t>輗</t>
  </si>
  <si>
    <t>[名]
古代大車車轅與橫木相連接的插銷。《說文解字．車部》：「輗，大車轅耑持衡者也。」清．段玉裁．注：「轅與衡相接之關鍵也。」《論語．為政》：「大車無輗，小車無軏，其何以行之哉？」《文選．王襃．四子講德論》：「乘輅而歌，倚輗而聽之。」</t>
  </si>
  <si>
    <t>霓</t>
  </si>
  <si>
    <t>[名]
1.與虹同時出現的彩色圓弧外圈。《楚辭．王襃．九懷．蓄英》：「修余兮袿衣，騎霓兮南上。」唐．杜甫〈泛溪〉詩：「練練峰上雪，纖纖雲表霓。」也稱為「副虹」。
2.姓。如明代有霓濟。</t>
  </si>
  <si>
    <t>麑</t>
  </si>
  <si>
    <t>[名]
1.狻麑：即獅子。也作「狻猊」。
2.小鹿。通「麛」。唐．柳宗元〈三戒．臨江之麑〉：「麋麑稍大，忘己之麋也。」</t>
  </si>
  <si>
    <t>鯢</t>
  </si>
  <si>
    <t>參見「鯢魚」條。</t>
  </si>
  <si>
    <t>齯</t>
  </si>
  <si>
    <t>[名]
老人齒落後再生的新牙，為長壽的象徵。宋．蘇軾〈青溪〉詞：「朝市合兮雜耄齯，挾簞瓢兮佩鋤犁。」也稱為「齯齒」。</t>
  </si>
  <si>
    <t>你</t>
  </si>
  <si>
    <t>ㄋㄧˇ</t>
  </si>
  <si>
    <t>nǐ</t>
  </si>
  <si>
    <t>[代]
第二人稱，亦指對方。如：「你好嗎」、「你死我活」。《周書．卷五〇．異域傳下．突厥傳》：「你能作幾年可汗？」《老殘遊記》第一三回：「你瞧！這孩子傻不傻？」</t>
  </si>
  <si>
    <t>妳</t>
  </si>
  <si>
    <t>[名]_x000D_
母。宋．梁克家《淳熙三山志．卷四〇．土俗類二．&amp;f2f82_.png;時．元日》：「序拜：……農、販下戶：『罷』呼父，『妳』呼母，其黨類及在巳下，呼之曰『叔』、『伯』，曰『嫂』。」元． 蕭德祥《殺狗勸夫》第一折：「現如今爹爹、妳妳都亡盡，但願哥哥、嫂嫂休嗔忿。」_x000D_
[代]_x000D_
用於女性的第二人稱。</t>
  </si>
  <si>
    <t>柅</t>
  </si>
  <si>
    <t>[名]
置於車下阻止車子行進的木頭。《易經．姤卦．初六》：「繫于金柅。」唐．劉禹錫〈絕編生墓表〉：「制動也有柅，變道也亡方。」金．劉迎〈晚到八達嶺下達旦乃止〉詩：「行行非我令，柅亦豈吾使。」
[動]
阻止、遏止。唐．白居易〈不能忘情吟．序〉：「事來攪情，情動不可柅。」《舊五代史．卷九三．晉書．盧質等傳．史臣曰》：「唯玉羽之貞退，雲叟之肥遯，足可以柅奔競之風，激高尚之節也。」</t>
  </si>
  <si>
    <t>旎</t>
  </si>
  <si>
    <t>參見「旎旎」、「旖旎」等條。</t>
  </si>
  <si>
    <t>孴</t>
  </si>
  <si>
    <t>[形]
眾多。《文選．王延壽．魯靈光殿賦》：「芝栭羅以戢孴，枝牚杈枒而斜據。」</t>
  </si>
  <si>
    <t>儗</t>
  </si>
  <si>
    <t>[動]
1.僭越、超過。如：「僭儗」。《漢書．卷四七．文三王傳．梁孝王劉武傳》：「出稱警，入言蹕，儗於天子。」《新唐書．卷二四．車服志》：「武德四年，始著車輿、衣服之令，上得兼下，下不得儗上。」
2.比擬。通「擬」。《禮記．曲禮下》：「儗人必於其倫。」《漢書．卷二九．溝洫志》：「且褒斜材木竹箭之饒，儗於巴蜀。」
3.摹仿、仿照。《新唐書．卷二二四．叛臣傳下．高駢傳》：「新聲度曲，以儗鈞天。」宋．陸游〈秋晚歲登戲作〉詩：「菊花香滿把，聊得儗陶潛。」</t>
  </si>
  <si>
    <t>擬</t>
  </si>
  <si>
    <t>[動]
1.揣度、估量。《易經．繫辭上》：「擬之而後言，議之而後動，擬議以成其變化。」《紅樓夢》第九四回：「究竟那些人能彀回家不能，未知著落，亦難虛擬。」
2.比照、相比。《荀子．不苟》：「言已之光美，擬於舜禹，參於天地，非夸誕也。」南朝梁．沈約〈長安有狹斜行〉：「咸陽不足稱，臨淄孰能擬。」
3.摹擬、仿效。南朝宋．劉義慶《世說新語．言語》：「撒鹽空中差可擬。」《紅樓夢》第四五回：「遂成『代別離』一首，擬『春江花月夜』之格，乃名其詞曰『秋窗風雨夕』。」
4.比劃。《漢書．卷五四．蘇建傳》：「復舉劍擬之，武不動。」
5.打算、想要。唐．秦韜玉〈貧女〉詩：「蓬門未識綺羅香，擬托良媒益自傷。」宋．李清照〈武陵春．風住塵香花已盡〉詞：「聞說雙溪春尚好，也擬泛輕舟。」
6.起草、編寫。如：「草擬」、「如擬」。《醒世恆言．卷二五．獨孤生歸途鬧夢》：「那白氏把心中之事，擬成歌曲。」</t>
  </si>
  <si>
    <t>薿</t>
  </si>
  <si>
    <t>參見「薿薿」條。</t>
  </si>
  <si>
    <t>[名]
1.先父的祠廟。《公羊傳．隱公元年》：「惠公者何，隱之考也。」漢．何休．解詁：「生稱父，死稱考，入廟稱禰。」
2.地名。春秋時鄭地。故址約在今大陸地區山東省荷澤縣西。</t>
  </si>
  <si>
    <t>(二)ㄇㄧˊ mí（01348）</t>
  </si>
  <si>
    <t>ㄋㄧˋ</t>
  </si>
  <si>
    <t>nì</t>
  </si>
  <si>
    <t>[動]
1.固執、拘泥。如：「泥古不化」。《荀子．君道》：「知明制度權物稱用之為不泥也。」
2.留滯。《論語．子張》：「雖小道必有可觀者焉，致遠恐泥，是以君子不為也。」《老殘遊記》第一七回：「翠環仍泥著不肯去，眼看著人瑞，有求救的意思。」
3.用軟言柔語相求。唐．元稹〈遣悲懷〉詩三首之一：「顧我無衣搜畫篋，泥他沽酒拔金釵。」唐．皇甫枚《飛煙傳》：「郎心應似琴心怨，脈脈春情更泥誰。」</t>
  </si>
  <si>
    <t>(一)ㄋㄧˊ ní（02999）</t>
  </si>
  <si>
    <t>昵</t>
  </si>
  <si>
    <t>[動]_x000D_
親近。通「暱」。如：「親昵」。《晉書．卷四五．任愷傳》：「（愷）性忠正，以社稷為己任，帝器而昵之，政事多諮焉。」明．徐弘祖《徐霞客遊記．卷五上．滇遊日記二》：「其人不習漢語，而素昵彞風，故勾引為易。」</t>
  </si>
  <si>
    <t>逆</t>
  </si>
  <si>
    <t>[動]
1.迎接。《書經．顧命》：「以二干戈，虎賁百人，逆子釗於南門之外。」宋．蘇軾〈留侯論〉：「楚莊王伐鄭，鄭伯肉袒牽羊以逆。」
2.接受。《左傳．昭公二十五年》：「有司逆命，公之使速殺之。」
3.違背、不順從。如：「忤逆」、「忠言逆耳」。《孟子．離婁上》：「順天者存，逆天者亡。」宋．歐陽修〈縱囚論〉：「不立異以為高，不逆情以干譽。」
4.抗拒、抵抗。《戰國策．齊策三》：「恐秦兼天下而臣其君，故專兵一志於逆秦。」
[形]
1.不順的。如：「逆境」。
2.倒出的。如：「批其逆鱗」。
[副]
1.反、倒。如：「倒行逆施」、「反向逆行」。唐．杜甫〈復愁〉詩一二首之一：「野鶻翻窺草，村船逆上溪。」
2.預先。如：「逆料」。三國蜀．諸葛亮〈聞孫權破曹休魏兵東下關中虛弱上言〉：「凡事如是，難可逆見。」
[名]
背叛者。如：「討逆」。晉．劉琨〈與石勒書〉：「得主則為義兵，附逆則為賊眾。」</t>
  </si>
  <si>
    <t>匿</t>
  </si>
  <si>
    <t>[動]
1.隱瞞。《書經．盤庚上》：「王播告之修，不匿厥指。」《三國志．卷一五．魏書．司馬朗傳》：「監試者以其身體壯大，疑朗匿年。」
2.隱藏、躲避。如：「逃匿」、「銷聲匿跡」。《呂氏春秋．審應覽．重言》：「桓公、管仲雖善匿，弗能隱矣。」《漢書．卷五二．灌夫傳》：「乃匿其家，竊出上書。」</t>
  </si>
  <si>
    <t>暱</t>
  </si>
  <si>
    <t>[動]
親近。如：「親暱」。《左傳．隱公元年》：「不義不暱，厚將崩。」《文選．李康．運命論》：「叔孫豹之暱豎牛也，禍成於庚宗。」</t>
  </si>
  <si>
    <t>惄</t>
  </si>
  <si>
    <t>[形]
憂思。《詩經．小雅．小弁》：「我心憂傷，惄焉如擣。」《文選．張衡．思玄賦》：「溫風翕其增熱兮，惄鬱悒其難聊。」</t>
  </si>
  <si>
    <t>溺</t>
  </si>
  <si>
    <t>[動]
1.淹沒、沒於水中。如：「溺斃」、「人溺己溺」。《孟子．離婁上》：「嫂溺不援，是豺狼也。」
2.陷於危境中。如：「陷溺」。《孟子．離婁上》：「天下溺，援之以道。」《文選．司馬相如．難蜀父老》：「夫拯民於沉溺，奉至尊之休德。」
3.沉迷無節制。如：「溺於酒色」。南朝梁．劉勰《文心雕龍．神思》：「理鬱者苦貧，辭溺者傷亂。」《新五代史．卷三七．伶官傳．序》：「夫禍患常積於忽微，而智勇多困於所溺，豈獨伶人也哉？」
[副]
過分不當。如：「溺愛」。</t>
  </si>
  <si>
    <t>(二)ㄋㄧㄠˋ niào（03070）</t>
  </si>
  <si>
    <t>睨</t>
  </si>
  <si>
    <t>[動]
斜著眼睛看。如：「睥睨」、「睨視」。《史記．卷一〇九．李將軍傳》：「廣佯死，睨其旁有一胡兒騎善馬。」宋．文天祥〈酹江月．水天空闊〉詞：「睨柱吞嬴，回旗走懿，千古衝冠髮。」</t>
  </si>
  <si>
    <t>膩</t>
  </si>
  <si>
    <t>[形]
1.食物中油脂多。如：「油膩」、「肥膩」、「這鍋豬腳膩的很。」
2.細緻、滑潤。如：「細膩」、「滑膩」。《楚辭．宋玉．招魂》：「靡顏膩理，遺視矊些。」唐．吳融〈木筆花〉詩：「嫩如新竹管初齊，粉膩紅輕樣可攜。」
3.親近。如：「膩友」。
[名]
汙垢、汙穢。如：「垢膩」。晉．潘岳〈皇女誄〉：「手澤未改，領膩如初。」
[動]
1.黏著、糾纏。如：「小孩子病了，一直膩著媽媽。」
2.因食物中油脂多，使人不想吃。如：「肥肉膩人。」
[副]
厭煩。如：「那些話聽都聽膩了。」、「天天吃肉，你不膩哦！」《紅樓夢》第一九回：「我那裡去呢？見了別人就怪膩的。」</t>
  </si>
  <si>
    <t>嶷</t>
  </si>
  <si>
    <t>參見「嶷嶷」、「嶷岌」等條。</t>
  </si>
  <si>
    <t>(一)ㄧˊ yí（10549）</t>
  </si>
  <si>
    <t>捏</t>
  </si>
  <si>
    <t>ㄋㄧㄝ</t>
  </si>
  <si>
    <t>niē</t>
  </si>
  <si>
    <t>[動]
1.用手指將軟東西搓捻成某種形狀。如：「捏麵人」、「捏餃子」、「捏泥人兒」。元．王實甫《西廂記．第一本．第二折》：「頭直上只少個圓光，卻便似捏塑來的僧伽像。」
2.用拇指與其餘手指夾住。如：「捏鼻子」、「捏緊線頭」、「捏一把冷汗」。
3.握住。元．鄭光祖《㑳梅香》第一折：「俺捏住這玉佩，慢慢的行將去。」
4.虛構、牽強附會。如：「捏造事實」。《紅樓夢》第八六回：「今爾遠來，並非目睹，何得捏詞妄控。」</t>
  </si>
  <si>
    <t>捻</t>
  </si>
  <si>
    <t>[動]
捏，用拇指與其餘手指夾住。唐．裴說〈聞砧〉詩：「愁捻銀針信手縫，惆悵無人試寬窄。」《紅樓夢》第六回：「寶玉紅漲了臉，把他的手一捻。」</t>
  </si>
  <si>
    <t>(一)ㄋㄧㄢˇ niǎn（03090）</t>
  </si>
  <si>
    <t>苶</t>
  </si>
  <si>
    <t>ㄋㄧㄝˊ</t>
  </si>
  <si>
    <t>nié</t>
  </si>
  <si>
    <t>[形]
疲倦、疲累。唐．杜甫〈詠懷詩〉二首之一：「疲苶苟懷策，棲屑無所施。」</t>
  </si>
  <si>
    <t>ㄋㄧㄝˋ</t>
  </si>
  <si>
    <t>niè</t>
  </si>
  <si>
    <t>[名]
姓。如明代有蒙古酋長乜先。</t>
  </si>
  <si>
    <t>(一)ㄇㄧㄝ miē（01391）</t>
  </si>
  <si>
    <t>痆</t>
  </si>
  <si>
    <t>[名]
瘡痕、傷疤。唐．韓愈、孟郊〈征蜀聯句〉：「念齒慰黴黧，視傷悼瘢痆。」明．湯顯祖《牡丹亭》第七齣：「比似你懸了梁，損頭髮；刺了股，添疤痆。有甚光華？」</t>
  </si>
  <si>
    <t>涅</t>
  </si>
  <si>
    <t>[名]
可用作黑色染料的礦物，即礬石。《荀子．勸學》：「白沙在涅，與之俱黑。」《淮南子．俶真》：「今涅染緇，則黑於涅；以藍染青，則青於藍。」
[動]
用黑色染、染黑。如：「涅面」、「涅字」。《論語．陽貨》：「不曰白乎，涅而不緇。」晉．陶淵明〈自祭文〉：「寵非己榮，涅豈吾緇。」</t>
  </si>
  <si>
    <t>臬</t>
  </si>
  <si>
    <t xml:space="preserve">自 </t>
  </si>
  <si>
    <t>[名]
1.箭靶子。如：「射臬」。《文選．張衡．東京賦》：「桃弧棘矢，所發無臬。」
2.古代測量日影方位的桿柱，用以計算時間。《文選．陸倕．石闕銘》：「陳圭置臬，瞻星揆地。」《明史．卷二五．天文志一》：「若表臬者，即考工匠人置槷之法，識日出入之影，參諸日中之影，以正方位。」
3.標準、法度。如：「奉為圭臬」。《書經．康誥》：「汝陳時臬，司師茲殷罰有倫。」
[形]
終、極限。三國魏．王粲〈游海賦〉：「其深不測，其廣無臬。」</t>
  </si>
  <si>
    <t>嵲</t>
  </si>
  <si>
    <t>臲</t>
  </si>
  <si>
    <t>參見「臲卼」條。</t>
  </si>
  <si>
    <t>闑</t>
  </si>
  <si>
    <t>[名]
古代門中央所豎的短木。《禮記．玉藻》：「君入門，介拂闑。」唐．韓愈〈進學解〉：「欂櫨侏儒，椳闑扂楔，各得其宜。」</t>
  </si>
  <si>
    <t>鎳</t>
  </si>
  <si>
    <t>[名]
（nickel，Ni）化學元素。原子序28。呈銀白色，質地堅硬，有磁性與延展性，可塑性高。在空氣中形成鎳的氧化物保護層，難溶於鹽酸、硫酸，易溶於硝酸，具有良好抗強鹼、抗氧化與抗腐蝕等特性。主要存於鎳黃鐵礦與含鎳的紅土礦中。多用於合金、電鍍、硬幣、陶瓷、電子線路與催化劑。</t>
  </si>
  <si>
    <t>喦</t>
  </si>
  <si>
    <t>[動]
多話。通「讘」。《說文解字．品部》：「喦，多言也。」清．段玉裁．注：「此與言部讘音義皆同。」《玉篇．品部》：「喦，曳喦，爭言也。」</t>
  </si>
  <si>
    <t>(二)ㄐㄧˊ jí（05390）</t>
  </si>
  <si>
    <t>敜</t>
  </si>
  <si>
    <t>[動]
閉塞、封閉。《說文解字．攴部》：「敜，塞也。」《書經．費誓》：「敜乃阱，無敢傷牿。」漢．孔安國．傳：「阱，穿地陷獸，當以土室敜之。」</t>
  </si>
  <si>
    <t>隉</t>
  </si>
  <si>
    <t>參見「阢隉」條。</t>
  </si>
  <si>
    <t>業</t>
  </si>
  <si>
    <t>(一)[名]6.之又音。</t>
  </si>
  <si>
    <t>(一)ㄧㄝˋ yè（10774）</t>
  </si>
  <si>
    <t>踂</t>
  </si>
  <si>
    <t>[名]
兩腳相併攏而不能交錯的疾病。《字彙．足部》：「踂，足不相過，一云聚合不解。」《穀梁傳．昭公二十年》：「兩足不能相過，齊謂之綦，楚謂之踂，衛謂之輒。」</t>
  </si>
  <si>
    <t>摰</t>
  </si>
  <si>
    <t>[形]
危險、不安。《周禮．冬官考工記．輪人》：「轂小而長則柞，大而短則摰。」漢．鄭玄．注：「鄭司農云：『摰讀為槷，謂輻危槷也。』玄謂小而長則菑中弱，大而短則轂末不堅。」</t>
  </si>
  <si>
    <t>聶</t>
  </si>
  <si>
    <t>[動]_x000D_
附在耳邊小聲說話。《說文解字．耳部》：「聶，附耳私小語也。」《莊子．大宗師》：「瞻明聞之聶許。」唐．成玄英．疏：「聶，附耳私語也。」_x000D_
[名]_x000D_
姓。如戰國時代韓國有聶政。</t>
  </si>
  <si>
    <t>攝</t>
  </si>
  <si>
    <t>[形]
安定的。《集韻．入聲．帖韻》：「攝，攝然，安也。」《漢書．卷六四上．嚴助傳》：「天下攝然，人安其生。」</t>
  </si>
  <si>
    <t>(一)ㄕㄜˋ shè（08849）</t>
  </si>
  <si>
    <t>囁</t>
  </si>
  <si>
    <t>參見「呫囁」、「囁嚅」等條。</t>
  </si>
  <si>
    <t>(二)（又音）ㄓㄜˊ zhé（07672）</t>
  </si>
  <si>
    <t>躡</t>
  </si>
  <si>
    <t>[動]
1.踩踏。《史記．卷九二．淮陰侯傳》：「張良、陳平躡漢王足。」《聊齋志異．卷一．青鳳》：「生隱躡蓮鉤，女急斂足，亦無慍怒。」
2.登上。《文選．左思．詠史詩八首之二》：「世胄躡高位，英俊沉下僚。」《漢書．卷八七．揚雄傳上》：「梁弱水之濎濴兮，躡不周之逶蛇。」
3.放輕腳步行走。如：「躡手躡腳」。《程乙本紅樓夢》第四四回：「打的那丫頭一個趔趄，便躡腳兒走了。」
4.追隨、跟蹤。如：「躡蹤」。《三國志．卷五八．吳書．陸遜傳》：「抗使輕兵躡之。」《聊齋志異．卷四．胡四相公》：「忽一少年騎青駒，躡其後。」
5.穿著。宋．司馬光〈訓儉示康〉：「走卒類士服，農夫躡絲屨。」
[名]
古代織布機的踏板。晉．傅玄〈馬先生傳〉：「舊綾機五十綜者五十躡，六十綜者六十躡，先生患其喪功費日，乃皆易以十二躡。」</t>
  </si>
  <si>
    <t>鑷</t>
  </si>
  <si>
    <t>[名]
1.拔除毛髮或夾取細小東西的鉗子。晉．左思〈白髮賦〉：「願戢子之手，攝子之鑷。」也稱為「鑷子」。
2.古代婦女修容的工具，亦用為首飾或髮夾。如：「花鑷」、「金鑷」。《南齊書．卷二〇．皇后傳．文安王皇后傳》：「而后床帷陳設故舊，釵鑷十餘枚。」南朝梁．江洪〈詠歌姬〉詩：「寶鑷間珠花，分明靚妝點。」
[動]
用鑷子夾取東西或拔取毛髮。如：「將砝碼鑷到天秤上。」晉．左思〈白髮賦〉：「以此見疵，將拔將鑷。」唐．韋莊〈鑷白〉詩：「白髮太無情，朝朝鑷又生。」</t>
  </si>
  <si>
    <t>顳</t>
  </si>
  <si>
    <t>[名]
顳顬：顳骨，頭骨之一。在頂骨下方位於兩耳上前方的部位，形狀扁平。《廣韻．入聲．葉韻》：「顳，顳顬，鬢骨。」</t>
  </si>
  <si>
    <t>孽</t>
  </si>
  <si>
    <t>[名]_x000D_
1.非正室所生的兒子。如：「孤臣孽子」。《公羊傳．襄公二十七年》：「夫負羈縶，執鈇鑕，從君東西南北，則是臣僕庶孽之事也。」漢．何休．解詁：「庶孽，眾賤子，猶樹之有孽生。」《史記．卷六八．商君列傳》：「商君者，衛之諸庶孽公子也。」_x000D_
2.災禍。如：「災孽」。《左傳．昭公十年》：「蘊利生孽，姑使無蘊乎。」《新唐書．卷九七．列傳．魏徵》：「今旱熯之災，遠被郡國；凶醜之孽，起於轂下。」_x000D_
3.惡因、罪過。如：「孽障」、「造孽」、「罪孽深重」。《董西廂》卷三：「多情彼此難割捨，都緣只是自家孽。」《紅樓夢》第三一回：「少作些孽罷！」_x000D_
4.亂黨、禍害。如：「餘孽」、「妖孽」。唐．韓愈〈與鄂州柳中丞書〉：「淮右殘孽，尚守巢窟。」_x000D_
[形]_x000D_
壞、禍。如：「孽種」、「孽根禍胎」。</t>
  </si>
  <si>
    <t>櫱</t>
  </si>
  <si>
    <t>[名]
1.樹木砍伐後長出的新芽。《書經．盤庚上》：「若顛木之有由櫱。」《國語．魯語上》：「山不槎櫱，澤不伐夭。」
2.泛指枝幹新長的枝芽。《孟子．告子上》：「是其日夜之所息，雨露之所潤，非無萌櫱之生焉。」</t>
  </si>
  <si>
    <t>糱</t>
  </si>
  <si>
    <t>[名]
釀酒的酵母。《禮記．禮運》：「故禮之於人也，猶酒之有糱也。」唐．杜甫〈歸來〉詩：「憑誰給麴糱，細酌老江干。」
[動]
釀成、造成。《漢書．卷五四．李廣傳》：「今舉事一不幸，全軀保妻子之臣隨而媒糱其短，誠可痛也！」</t>
  </si>
  <si>
    <t>籋</t>
  </si>
  <si>
    <t>[名]
用於夾取或拔除事物的器具，即鑷子。《說文解字．竹部》：「籋，箝也。」清．段玉裁．注：「夾取之器曰籋，今人以銅作之，謂之鑷子。」宋．陳瓘〈蝶戀花．有個胡兒模樣別〉詞：「籋子鑷來，須有千堆雪。」
[動]
1.用籋拔除或夾取。宋．蘇軾〈和孫叔靜兄弟李端叔唱和〉詩：「病骨瘦欲折，霜髯籋更疏。」
2.輕踏。通「躡」。《漢書．卷二二．禮樂志》：「籋浮雲，晻上馳。」顏師古注引蘇林曰：「籋音躡。言天馬上躡浮雲也。」</t>
  </si>
  <si>
    <t>齧</t>
  </si>
  <si>
    <t>[動]
1.啃、咬。《漢書．卷五四．蘇建傳》：「天雨雪，武臥齧雪與旃毛並咽之，數日不死。」唐．杜甫〈哀江頭〉詩：「輦前才人帶弓箭，白馬嚼齧黃金勒。」
2.侵蝕。《戰國策．魏策二》：「昔王季歷葬於楚山之尾，戀水齧其墓。」宋．陸游〈秋日出遊戲作〉詩二首之二：「薄雲韜日未成雨，野水齧沙爭赴溪。」
[名]
1.缺口。《淮南子．人間》：「夫牆之壞也於隙，劍之折必有齧。」
2.姓。如唐堯時代有賢人齧缺。</t>
  </si>
  <si>
    <t>ㄋㄧㄠˇ</t>
  </si>
  <si>
    <t>niǎo</t>
  </si>
  <si>
    <t>[名]
1.脊椎動物門的一個大類。卵生，體溫恆定，全身被羽毛。嘴內無齒，用肺呼吸。前肢變化為翅膀，能飛行，後肢為腳，用以行走或站立。一般鳥類均會飛翔，但亦有雙翼退化不能飛的，如雞、鴨、鵝、駝鳥等。種類繁多，遍布世界各地。
2.二一四部首之一。</t>
  </si>
  <si>
    <t>(二)ㄉㄧㄠˇ diǎo（02201）</t>
  </si>
  <si>
    <t>蔦</t>
  </si>
  <si>
    <t>[名]_x000D_
植物名。桑寄生科槲寄生屬及梨果寄生屬，寄生性小灌木。包括「槲寄生」、「華南桑寄生」、「桑寄生」等多種植物，寄生於桑、榆等樹上；直立，下部有時橫臥，高約六十公分。葉長橢圓狀披針形、卵形至卵圓形。花單性，雌雄異株，綠白色（槲寄生屬）或兩性，紫紅色（梨果寄生屬）。果實球形。全株入藥，補肝腎，強筋骨。也稱為「桑寄生」。</t>
  </si>
  <si>
    <t>裊</t>
  </si>
  <si>
    <t>[形]
柔軟美好。如：「裊娜」、「裊裊婷婷」。漢．王延壽〈王孫賦〉：「緣百仞之高木，攀窈裊之長枝。」
[動]
1.搖曳、擺動。元．王實甫《西廂記．第二本．第一折》：「風裊篆煙不捲簾，雨打梨花深閉門。」明．陳子龍〈訴衷情．小桃枝下試羅裳〉詞：「風乍暖，日初長，裊垂楊。」
2.繚繞。如：「裊繞」。宋．柳永〈雪梅香．景蕭索〉詞：「漁市孤煙裊寒碧，水村殘葉舞愁紅。」</t>
  </si>
  <si>
    <t>嬝</t>
  </si>
  <si>
    <t>[形]
細長柔軟。通「裊」。如：「嬝娜」。
[動]
搖曳。通「裊」。明．高濂《玉簪記》第一六齣：「抱琴彈向月明中，香嬝金猊動，人在蓬萊第幾宮？」</t>
  </si>
  <si>
    <t>嫋</t>
  </si>
  <si>
    <t>[形]
1.嬌柔美好。通「裊」。如：「嫋娜」。《史記．卷一一七．司馬相如傳》：「柔橈嬛嬛，嫵媚姌嫋。」
2.音調悠揚婉轉。如：「餘音嫋嫋」。宋．蘇軾〈觀臺詩〉：「殘磬風中嫋，孤燈雪後青。」
[動]
搖擺、擺動。通「裊」。晉．陸雲〈為顧彥先贈婦往返〉詩四首之二：「雅步嫋纖腰，巧笑發皓齒。」唐．白居易〈答元八宗簡同遊曲江後明日見贈〉詩：「水禽翻白羽，風荷嫋翠莖。」</t>
  </si>
  <si>
    <t>褭</t>
  </si>
  <si>
    <t>[動]
1.以繩索控馬。《說文解字．衣部》：「褭，以組帶馬也。」
2.繚繞。通「裊」。唐．羅鄴〈鶯〉詩：「何事離人不堪聽，灞橋斜日褭垂楊。」
3.搖曳、搖擺。通「裊」。宋．陳深〈西江月．龍沫流芳旎旎〉詞：「銀葉初溫火緩，金猊靜褭煙微。」
4.吹拂。清．譚獻〈桂枝香．瑤流自碧〉詞：「簾波澹處留人景，褭西風數聲長笛。」
[形]
柔軟美好。通「裊」、「嫋」。唐．元稹〈春餘遣興〉詩：「簾開斜照入，樹褭游絲上。」</t>
  </si>
  <si>
    <t>嬲</t>
  </si>
  <si>
    <t>[動]
1.戲弄。宋．韓駒〈送子飛弟歸荊南〉詩：「弟妹乘羊車，堂前走相嬲。」
2.擾亂、糾纏。《文選．嵇康．與山巨源絕交書》：「足下若嬲之不置，不過欲為官得人，以益時用耳。」《二十年目睹之怪現狀》第二六回：「我也聽見繼之、述農都說你，喜歡嬲人家說新聞故事。」</t>
  </si>
  <si>
    <t>尿</t>
  </si>
  <si>
    <t>ㄋㄧㄠˋ</t>
  </si>
  <si>
    <t>niào</t>
  </si>
  <si>
    <t>[名]
人或動物經腎臟過濾分泌，由尿道排泄的液體。即小便。如：「溺尿」、「撒尿」、「他們嚇得屁滾尿流，落荒而逃。」
[動]
排尿。如：「尿床」、「嬰兒沒生病卻哭鬧得厲害時，通常不是肚子餓，就是把尿布尿溼了。」</t>
  </si>
  <si>
    <t>[名]
小便。通「尿」。如：「便溺」、「尿溺」、「撒一泡溺」。《莊子．人間世》：「夫愛馬者，以筐盛矢，以蜄盛溺。」《紅樓夢》第七回：「兩日沒得水，得了半碗水給主子喝，他自己喝馬溺。」
[動]
撒溺。通「尿」。《史記．卷七九．范雎蔡澤傳》：「賓客醉者醉，更溺雎，故僇辱以懲後，令無妄言者。」《西遊記》第四五回：「那獃子揭衣服，忽喇喇，就似呂梁洪倒下坂來，沙沙的溺了一砂盆。」</t>
  </si>
  <si>
    <t>(一)ㄋㄧˋ nì（03030）</t>
  </si>
  <si>
    <t>妞</t>
  </si>
  <si>
    <t>ㄋㄧㄡ</t>
  </si>
  <si>
    <t>niū</t>
  </si>
  <si>
    <t>[名]_x000D_
用以稱呼女孩或指女孩。《兒女英雄傳》第二八回：「舅太太也笑道：『妞妞手兒拙，也不會作個好活計，親家太太慢慢兒的調理他罷。』」《孽海花》第二六回：「宮裡喚金妃做大妞兒，寶妃做二妞兒，都生得清麗文秀。」</t>
  </si>
  <si>
    <t>牛</t>
  </si>
  <si>
    <t>ㄋㄧㄡˊ</t>
  </si>
  <si>
    <t>niú</t>
  </si>
  <si>
    <t>[名]_x000D_
1.動物名。脊椎動物哺乳綱偶蹄目。體形碩大，性情溫馴而力氣大，尾巴尖端有長毛，為草食性反芻類家畜。能供拉車、耕田，肉與乳皆可食用，而骨、皮、角等可做器具使用。_x000D_
2.星宿名。二十八星宿之一，北方玄武七宿的第二宿。_x000D_
3.星官名。牛宿之首，共有六顆星，在西方屬摩羯座。《晉書．卷一一．天文志上》：「牽牛六星，天之關梁，主犧牲事。」也稱為「牽牛」。但與俗稱「牽牛星」的河鼓二為不相干的星名。_x000D_
4.二一四部首之一。_x000D_
5.姓。如唐代有牛僧孺。_x000D_
[形]_x000D_
固執、倔強。如：「牛脾氣」、「牛性子」。《紅樓夢》第一七回：「眾人見寶玉牛心，都怪他獃痴不改。」</t>
  </si>
  <si>
    <t>忸</t>
  </si>
  <si>
    <t>ㄋㄧㄡˇ</t>
  </si>
  <si>
    <t>niǔ</t>
  </si>
  <si>
    <t>[動]
習慣、熟習。《新唐書．卷一一九．白居易傳》：「又神策雜募市人，不忸于役，脫奔逃相動，諸軍必搖。」
[形]
參見「忸怩」條。</t>
  </si>
  <si>
    <t>扭</t>
  </si>
  <si>
    <t>[動]
1.手握緊東西而旋轉。如：「扭乾衣服」、「扭開門把」。元．無名氏《硃砂擔》第二折：「我這領布衫著雨淋溼了也，你與我扭一扭。」
2.回轉、掉轉。如：「扭頭就走」、「扭過臉來」。《水滸傳》第一三回：「周謹在馬上聽得腦後弓弦響，扭轉身來，便把傍牌來迎，卻早接個空。」
3.抓、揪住。如：「扭打在一起」、「警察扭住小偷不放」。《官場現形記》第三一回：「大眾見他二人扭在一處，只得一齊住手，過來相勸。」
4.身體左右搖擺。如：「小孩學步時還不會控制力道，走起路來總是扭來扭去的。」《西遊記》第二二回：「這條河若論老孫去時，只消把腰兒扭一扭，就過去了。」
5.用力過猛使筋骨或肌肉折轉而受傷。如：「小心別扭了腰。」、「扭傷腳踝」。
6.違逆、不順從。《紅樓夢》第四回：「薛蟠見母親如此說，情知扭不過，只得吩咐人夫，一路奔榮國府而來。」</t>
  </si>
  <si>
    <t>狃</t>
  </si>
  <si>
    <t>[動]
1.習慣、安於。唐．劉禹錫〈答饒州元使君書〉：「其民牟利鬥力，狃於輕悍，故用暴虐聞。」宋．蘇軾〈教戰守策〉：「步趨動作，使其四體狃於寒暑之變。」
2.拘泥、因襲。如：「狃於成見」、「狃於積習」。《水滸後傳》三七回：「陛下當枕戈達旦，以報父兄之仇，不可聽信庸人，狃於和議。」
3.貪、貪圖。如：「勿狃於急效」。宋．蘇軾〈代張方平諫用兵書〉：「故使狃於功利，慮患不深。」</t>
  </si>
  <si>
    <t>杻</t>
  </si>
  <si>
    <t>[名]
植物名。冬青科冬青屬。常綠小喬木。葉互生，卵形，近全緣或先端具不明鋸齒。聚繖花序單生葉腋，花白色。果球形，紅熟。木質堅硬，可作車與弓幹。《詩經．唐風．山有樞》：「山有栲，隰有杻。」唐．孔穎達．正義引晉．陸機．疏：「杻，檍也。葉似杏而尖，白色，皮正赤，為木多曲少直，枝葉茂好，二月中葉疏，華如練而細蕊正白。……人或謂之牛筋，或謂之檍，材可為弓弩幹也。」也稱為「長梗冬青」、「刻脈冬青」。</t>
  </si>
  <si>
    <t>(一)ㄔㄡˇ chǒu（08342）</t>
  </si>
  <si>
    <t>紐</t>
  </si>
  <si>
    <t>[名]_x000D_
1.器物可抓住的部位。如：「印紐」、「秤紐」、「門紐」。《淮南子．說林》：「龜紐之璽，賢者以為佩。」《晉書．卷二五．輿服志》：「又有秦始皇藍田玉璽，螭獸紐，在六璽之外，文曰『受天之命，皇帝壽昌』。」_x000D_
2.衣服的扣子。如：「紐扣」。《禮記．玉藻》：「居士錦帶，弟子縞帶，并紐約用組。」唐．孔穎達．正義：「紐謂帶之交結之處，以屬其紐；約者謂以物穿紐，約結其帶。」《土風錄．卷三．紐襻》：「衣紐之牝者曰紐襻。」_x000D_
3.控制事物的關鍵或機鍵。《莊子．人間世》：「是萬物之化也，禹舜之所紐也。」唐．李嶠〈攀龍臺碑〉：「若乃提六合之樞紐，扣二儀之鐍鑰。」_x000D_
4.聲韻學上指「聲紐」。如：「幫紐」、「滂紐」、「非紐」。清．梁國治《欽定音韻述微．凡例》：「字紐以三十六母為序。」_x000D_
5.量詞。《晉書．卷六．元帝紀》：「三月，慕容廆奉送玉璽三紐。」《說郛．卷七八．硯譜》：「黃帝得玉一紐，治為墨海，其上篆文曰：『帝鴻氏之硯。』」_x000D_
6.姓。如隋代有紐士雄。_x000D_
[動]_x000D_
1.綁、繫結。南朝齊．孔稚珪〈北山移文〉：「至其紐金章，綰墨綬，跨屬城之雄，冠百里之首。」明．李昌祺《剪燈餘話．卷四．江廟泥神記》：「有淑人兮邦之媛，珮明月兮紐蘭荃。」_x000D_
2.旋轉、回轉。通「扭」。《北史．卷七．齊本紀．顯祖文宣帝》：「或聚棘為馬，紐草為索，逼遣乘騎，牽引來去，流血灑地，以為娛樂。」《水滸傳》第四回：「話說當下魯提轄紐過身來看時，拖扯的不是別人，卻是渭州酒樓上救了的金老。」_x000D_
3.更改、改變。宋．司馬光〈奏為乞不將米折青苗錢狀〉：「若不能如此，須欲作青苗錢俵散之時，即乞不以元糶價貴賤，更不紐作見錢，只據所散與人戶石斗。」明．王行〈送李玄修詩序〉：「茍有別也，雖不能無惘然於分手之時，然終不紐其相聚之懽而為無益之戚矣！」_x000D_
4.補充、輔助。宋．朱長文《墨池編．卷一．唐林罕小説序》：「其篆文下及注中易字，便以隸書為音；如稍難者，則紐以四聲；四聲不足，乃加切韻。使學者簡而易從，渙然冰釋。」元．劉仁本〈慶元路玄妙觀重修道藏記〉：「中函靈祕洞玄之章，金科玉字之典，挾以天龍威勇之神，紐以尻輪環轉之柱，金碧焜燿，驚心駭睫。」</t>
  </si>
  <si>
    <t>鈕</t>
  </si>
  <si>
    <t>[名]_x000D_
1.器物抓提的部位。如：「印鈕」、「鎖鈕」。《晉書．卷二五．輿服志》：「皇太子金璽龜鈕，朱黃綬。」《二刻拍案驚奇》卷三九：「細看那鏡小小只有四五寸，面上精光閃爍，背上鼻鈕四傍，隱起窮奇饕餮魚龍波浪之形。」_x000D_
2.扣繫衣物的東西。通「紐」。如：「鈕釦」。《水滸傳》第二七回：「敞開胸脯，露出桃紅紗主腰，上面一色金鈕。」《紅樓夢》第二一回：「剛解開了鈕子，被襲人將手推開，又自扣了。」_x000D_
3.控制器物的關鍵。如：「電鈕」、「旋鈕」、「按鈕」。_x000D_
4.量詞。《南齊書．卷一八．祥瑞志》：「十年，蘭陵民齊伯生於六合山獲金璽一鈕，文曰『年予主』。」《宋史．卷一五四．輿服志六》：「至和二年，初，太宗以玉寶二鈕賜太祖之子德芳。」_x000D_
5.姓。如東晉時有鈕滔。_x000D_
[動]_x000D_
繫、扣上。《官場現形記》第五五回：「把長衣披在身上，來不及鈕扣子，拿扎腰攔腰一捆，拖了一雙鞋。」清．徐珂《清稗類鈔．風俗類．北人毀身求財》：「又一日，五道廟三岔路口，有黑衣快靴之群惡少洶洶自北來，中有衵服而外衣不鈕者一人，面血淋漓。」</t>
  </si>
  <si>
    <t>拗</t>
  </si>
  <si>
    <t>ㄋㄧㄡˋ</t>
  </si>
  <si>
    <t>niù</t>
  </si>
  <si>
    <t>[形]
固執、倔強。如：「他的脾氣真拗。」《警世通言．卷四．拗相公飲恨半山堂》：「因他性子執拗，主意一定，佛菩薩也勸他不轉，人皆呼為拗相公。」</t>
  </si>
  <si>
    <t>(一)ㄠˋ ào（10376）(二)ㄠˇ ǎo（10371）(四)ㄩˋ yù（11660）</t>
  </si>
  <si>
    <t>蔫</t>
  </si>
  <si>
    <t>ㄋㄧㄢ</t>
  </si>
  <si>
    <t>niān</t>
  </si>
  <si>
    <t>[形]
精神委靡不振。如：「蔫溜溜」、「蔫不悄聲」、「氣索神蔫」、「他病了，氣色顯得有點蔫。」</t>
  </si>
  <si>
    <t>(一)ㄧㄢ yān（10946）</t>
  </si>
  <si>
    <t>年</t>
  </si>
  <si>
    <t>ㄋㄧㄢˊ</t>
  </si>
  <si>
    <t>nián</t>
  </si>
  <si>
    <t>[名]
1.相當於地球環繞太陽一周所需的時間。參見「太陽年」條。
2.收成、年成。如：「豐年」、「歉年」、「年景」。《新唐書．卷九九．列傳．戴冑》：「七月以來，霖潦未止，濱河南北，田正洿下，年之有亡未可知。」
3.年節。如：「過年」。宋．陳師道〈早春〉詩：「度臘不成雪，迎年遽得春。」《儒林外史》第一一回：「新年正月，公子回家拜祖父、母親的年回來。」
4.歲數、年齡。如：「盛年」、「延年益壽」、「年輕力壯」。唐．杜甫〈暮歸〉詩：「年過半百不稱意，明日看雲還杖藜。」
5.時代、時期。如：「八十年代」、「康熙年間」。唐．杜甫〈寄題江外草堂〉詩：「經營上元始，斷手寶應年。」
6.人生中的某時期。如：「童年」、「青少年」、「壯年」、「老年」。
7.量詞。計算時間的單位。一年有十二個月。如：「這件事要花四年才能完成。」
8.姓。如清代有年羹堯。
[形]
1.每年。如：「年鑑」、「年表」、「年刊」、「年產量」。
2.年節的。如：「年糕」、「年畫」、「辦年貨」。</t>
  </si>
  <si>
    <t>哖</t>
  </si>
  <si>
    <t>參見「噍吧哖事件」條。</t>
  </si>
  <si>
    <t>[動]
1.用手指夾取、捏取。如：「拈鬮」、「拈香」、「拈花微笑」。唐．杜甫〈絕句漫興〉詩九首之七：「舍西柔桑葉可拈，江畔細麥復纖纖。」《紅樓夢》第四〇回：「裡面盛著一排十根玉簪花棒，拈了一根，遞與平兒。」
2.耍弄、習弄。元．張國賓《合汗衫》第三折：「自家陳豹，年長一十八歲，膂力過人，十八般武藝，無有不拈，無有不會。」</t>
  </si>
  <si>
    <t>(二)ㄋㄧㄢˇ niǎn（03088）(三)ㄉㄧㄢ diān（02217）</t>
  </si>
  <si>
    <t>粘</t>
  </si>
  <si>
    <t>[動]_x000D_
1.附著。同「黏」。如：「麥芽糖粘得她衣服都是。」唐．杜甫〈贈王二十四侍御契四十韻〉：「稍稍息勞筋，網聚粘圓鯽。」宋．王禹偁〈杏花〉詩七首之一：「紅芳紫萼怯春寒，蓓蕾粘枝密作團。」_x000D_
2.糊貼。同「黏」。如：「粘海報」、「粘郵票」。《喻世明言．卷二．陳御史巧勘金釵鈿》：「有些磨壞的去處，再把些飯兒粘得硬硬的，墨兒塗得黑黑的。」《初刻拍案驚奇》卷二一：「恐店主人忘了，遂於沿路上令王吉于牆壁粘手榜。」_x000D_
[名]_x000D_
姓。如明代有粘鵬。</t>
  </si>
  <si>
    <t>鮎</t>
  </si>
  <si>
    <t>同「鯰」。</t>
  </si>
  <si>
    <t>黏</t>
  </si>
  <si>
    <t xml:space="preserve">黍 </t>
  </si>
  <si>
    <t>[動]
1.膠附、黏住。如：「黏貼」、「黏照片」、「黏郵票」。漢．王褒〈僮約〉：「黏雀張烏，結網捕魚。」
2.糾纏。如：「這小孩子很黏人。」
[形]
有黏性的。如：「黏液」、「黏土」。唐．白居易〈三謠．朱藤謠〉：「泥黏雪滑，足力不堪。」
[名]
1.一種圍棋下法。將兩顆棋子相連接，以鞏固陣地與解除對方威脅或進攻。
2.詩句平仄協調稱為「黏」，失調稱為「失黏」。</t>
  </si>
  <si>
    <t>鯰</t>
  </si>
  <si>
    <t>[名]
鯰目鯰科魚類的統稱。頭大而扁，嘴闊，上下頜有四根長鬚，無鱗，皮膚多黏液。背蒼黑色，腹白，背鰭、胸鰭上棘刺有毒。約有二千五百多種，分布於世界各地。生長於河湖池沼中，白晝棲伏水底泥中，夜晚出來活動，以小魚、貝類、蛙類等維生。</t>
  </si>
  <si>
    <t>ㄋㄧㄢˇ</t>
  </si>
  <si>
    <t>niǎn</t>
  </si>
  <si>
    <t>[動]
用手指搓揉。通「捻」。如：「拈線」、「拈燈心」。《紅樓夢》第一〇五回：「賈政在外，心驚肉跳，拈鬚搓手的等候旨意。」</t>
  </si>
  <si>
    <t>(一)ㄋㄧㄢˊ nián（03083）(三)ㄉㄧㄢ diān（02217）</t>
  </si>
  <si>
    <t>淰</t>
  </si>
  <si>
    <t>[形]
水面無波的樣子。《廣韻．上聲．豏韻》：「淰，水無波也。」
[名]
一種用以撈取水底淤泥的農具。明．張自烈《正字通．水部》：「淰，農具，取水底淤泥曰淰。」</t>
  </si>
  <si>
    <t>(二)ㄕㄣˇ shěn（08990）</t>
  </si>
  <si>
    <t>[動]
1.用手指搓揉。如：「捻繩」、「捻鬍子」。《西遊記》第三八回：「你可把他都捻就了觔，單擺在那四十里路上兩旁，教那些人不放鷹犬，拿回城去。」
2.驅趕。如：「將那條狗捻走。」《醒世姻緣傳》第七八回：「再要扯謊，伊老哥你打了他不算，我捻了他不給他房住。」
[名]
1.用手指將紙、線搓揉成條狀物。如：「燈捻」、「麻捻」、「藥捻子」。《兒女英雄傳》第四回：「右手拿著一個火紙捻兒。」
2.參見「捻匪」條。</t>
  </si>
  <si>
    <t>(二)ㄋㄧㄝ niē（03035）</t>
  </si>
  <si>
    <t>輦</t>
  </si>
  <si>
    <t>[名]
1.以人力挽行、推拉的車。《史記．卷一二九．貨殖傳》：「卓氏見虜略，獨夫妻推輦，行詣遷處。」
2.古代皇帝的坐車，亦指貴族富豪的車子。唐．杜甫〈哀江頭〉詩：「昭陽殿裡第一人，同輦隨君侍君側。」《初刻拍案驚奇》卷二五：「長安中富貴之家，豪傑之士，輦輸金帛求聘他為偶的，不知其數。」
3.借指京城、京都。如：「輦轂之下」。《文選．左思．吳都賦》：「都輦殷而四奧來暨。」《京本通俗小說．錯斬崔寧》：「帝輦之下，怎容你這胡行！」
[動]
1.搭乘、乘坐。《荀子．大略》：「天子召諸侯，諸侯輦輿就馬，禮也。」
2.運載。《左傳．莊公十二年》：「以車輦其母。」唐．李商隱〈井泥四十韻〉：「工人三五輩，輦出土與泥。」</t>
  </si>
  <si>
    <t>攆</t>
  </si>
  <si>
    <t>[動]
1.驅逐、趕走。如：「把這隻狗攆走。」《紅樓夢》第五八回：「我們攆他，他不出去。」
2.追趕。如：「攆得上」、「攆不上」、「他攆上前，幫她提東西。」</t>
  </si>
  <si>
    <t>撚</t>
  </si>
  <si>
    <t>[動]
1.用手指捏取、夾取。如：「撚花」、「撚香」。《聊齋志異．卷二．嬰寧》：「有女郎攜婢，撚梅花一枝。」
2.握、拿。唐．杜牧〈重送〉詩：「手撚金僕姑，腰懸玉轆轤。」《水滸傳》第六回：「那漢撚著朴刀來鬥和尚。」
3.用手指揉搓。唐．韓偓〈詠手〉詩：「背人細撚垂臙鬢，向鏡輕勻襯臉霞。」
4.蹈蹂、踐踏。《淮南子．兵略》：「前後不相撚，左右不相干。」
5.驅逐、驅趕。《喻世明言．卷二．陳御史巧勘金釵鈿》：「魯公子聽小姐縊死，還道是做成的圈套，撚他出門。」
6.一種彈奏琵琶的手法。揉弄、撥弄。唐．白居易〈琵琶行〉：「輕攏慢撚抹復挑，初為霓裳後六么。」清．孔尚任《桃花扇》第二八齣：「舊桃花劉郎又撚，料得新吳宮西施不願。」</t>
  </si>
  <si>
    <t>碾</t>
  </si>
  <si>
    <t>[名]
用來滾壓、研磨或去除稻殼的器具。如：「石碾」、「藥碾」。宋．陸游〈十一月上七日蔬飯騾嶺小店〉詩：「建谿小春初出碾，一碗細乳浮銀粟。」
[動]
1.滾壓、軋碎。如：「碾米」、「碾茶」。唐．秦韜玉〈天街〉詩：「寶馬競隨朝暮客，香車爭碾古今塵。」宋．陸游〈卜算子．驛外斷橋邊〉詞：「零落成泥碾作塵，只有香如故。」
2.雕琢、琢磨。唐．李賀〈春懷引〉：「蟾蜍碾玉挂明弓，捍撥裝金打仙鳳。」《京本通俗小說．碾玉觀音》：「就叫崔寧下手，不過兩個月，碾成了這個玉觀音。」</t>
  </si>
  <si>
    <t>輾</t>
  </si>
  <si>
    <t>[動]
1.以旋轉輪子軋碎、壓平。通「碾」。如：「輾穀」。
2.專指車輪的軋壓。如：「輾斃」、「輾傷」。唐．趙嘏〈哭李進士〉詩：「牽馬街中哭送君，靈車輾雪隔城聞。」</t>
  </si>
  <si>
    <t>(一)ㄓㄢˇ zhǎn（07790）</t>
  </si>
  <si>
    <t>廿</t>
  </si>
  <si>
    <t>ㄋㄧㄢˋ</t>
  </si>
  <si>
    <t>niàn</t>
  </si>
  <si>
    <t>[名]
二十。秦．李斯〈泰山刻石〉：「皇帝臨立，作制明法，臣下脩飭，廿有六年。」唐．杜甫〈客堂〉詩：「舊疾廿載來，衰年得無足。」</t>
  </si>
  <si>
    <t>念</t>
  </si>
  <si>
    <t>[動]
1.惦記。如：「思念」、「掛念」、「想念」。唐．白居易〈傷遠行賦〉：「但母念子之心，心可測而可量。」
2.憶念。佛教指將心清楚放在對象上而不忘失。如：「念佛」、「念施」。《大安般守意經．卷下》：「念出入息。」
3.吟誦、誦讀。通「唸」。如：「念書」、「念經」、「念咒」。《紅樓夢》第一四回：「說著，便吩咐彩明念花名冊，按名一個一個喚進來看視。」
4.讀、研習。如：「你現在念幾年級？」「他一念完中學，就開始工作了。」
5.反反覆覆述說著。如：「念叨」、「念念有詞」、「她嘴巴一直念個不停。」
6.記住。《論語．公冶長》：「伯夷、叔齊，不念舊惡，怨是用希。」
7.憐愛。唐．李賀〈勉愛行二首送小季之盧山〉詩二首之二：「江干幼客真可念，郊原晚吹悲號號。」宋．李清照〈鳳凰臺上憶吹簫．香冷金猊〉詞：「記取樓前綠水，應念我終日凝眸。」
[名]
1.極短的時間。如：「一念頃」、「念念分明」。《阿毘達磨俱舍釋論》卷一六：「偈曰：『一念。』釋曰：『此上品忍但一剎那，無長時。』」
2.念頭、想法。如：「雜念」、「一念之仁」。《紅樓夢》第四回：「這馮公子，空喜一場，一念未遂，反花了錢，送了命。」
3.二十。通「廿」。明．湯顯祖《牡丹亭》第三九齣：「湊著個韶陽小道姑，年方念八，頗有風情。」
4.姓。如北周有念賢。</t>
  </si>
  <si>
    <t>埝</t>
  </si>
  <si>
    <t>[名]
防水而築的小土堤。《老殘遊記》第一三回：「這個河的毛病是太窄了，非放寬了不能安靜，必得廢了民埝，退守大堤。」</t>
  </si>
  <si>
    <t>唸</t>
  </si>
  <si>
    <t>[動]
吟誦、誦讀。如：「唸書」、「唸經」、「唸咒」。《文明小史》第二八回：「我天天唸佛，又念救苦救難的高王觀世音經。」</t>
  </si>
  <si>
    <t>恁</t>
  </si>
  <si>
    <t>ㄋㄧㄣˊ</t>
  </si>
  <si>
    <t>nín</t>
  </si>
  <si>
    <t>[代]
第二人稱。通「你」、「您」。《董西廂》卷四：「說恁心聰，算來有分咱家共。」明．王世貞《鳴鳳記》第一四齣：「縱然恁哀鳴千狀，我此心斷易不轉。」</t>
  </si>
  <si>
    <t>(一)ㄖㄣˋ rèn（09239）</t>
  </si>
  <si>
    <t>您</t>
  </si>
  <si>
    <t>[代]
第二人稱。你的敬稱。多用於長輩。亦泛指你們。如：「您好？」、「您老人家要保重身體。」元．張國賓《合汗衫》第一折：「您言冬至我言春。」</t>
  </si>
  <si>
    <t>娘</t>
  </si>
  <si>
    <t>ㄋㄧㄤˊ</t>
  </si>
  <si>
    <t>niáng</t>
  </si>
  <si>
    <t>[名]_x000D_
1.少女。如：「姑娘」。《玉篇．女部》：「娘，少女之號。」《樂府詩集．卷四四．清商曲辭一．晉宋齊辭．子夜歌四二首之六》：「見娘善容媚，願得結金蘭。」_x000D_
2.稱謂。稱母親。通「孃」。如：「爹娘」。《水滸傳》第四二回：「我的哥哥又在別人家做長工，如何養得我娘快樂？」_x000D_
3.妻子。如：「娘子」、「老闆娘」。《警世通言．卷一三．三現身包龍圖斷冤》：「我教押司娘嫁這小孫押司，是肯也不？」_x000D_
4.對長輩或已婚婦女的通稱。如：「大娘」、「婆娘」、「姨娘」。唐．蔣防《霍小玉傳》：「長安有媒鮑十一娘者，故薛駙馬家青衣也。」_x000D_
5.舊時奴僕對女主人的敬稱。《金瓶梅》第二三回：「娘是小的一個主兒，娘不高抬貴手，小的一時兒存站不的。」_x000D_
6.罵人的話。語句中插入「娘」字，表示憎惡或怨恨。元．石君寶《紫雲庭》第二折：「俺兩處各心碎，是有遭間阻的也不似俺不吉利，兀的是甚末娘別離！」《水滸傳》第五回：「那大王卻待掙扎，魯智深把右手捏起拳頭，駡一聲『直娘賊』！」</t>
  </si>
  <si>
    <t>孃</t>
  </si>
  <si>
    <t>[名]
母親。《玉篇．女部》：「孃，母也。」如：「爹孃」。唐．杜甫〈兵車行〉：「耶孃妻子走相送，塵埃不見咸陽橋。」</t>
  </si>
  <si>
    <t>釀</t>
  </si>
  <si>
    <t>ㄋㄧㄤˋ</t>
  </si>
  <si>
    <t>niàng</t>
  </si>
  <si>
    <t>[動]
1.利用發酵方法製造。如：「釀造」、「釀蜜」、「自釀」。《史記．卷七五．孟嘗君傳》：「迺多釀酒，買肥牛。」唐．杜甫〈遣意〉詩二首之一：「衰年催釀黍，細雨更移橙。」
2.逐漸孕育而成。如：「醞釀」、「釀成大禍」。《紅樓夢》第三三回：「明日釀到他弒君弒父，你們纔不勸不成！」
[名]
酒。如：「佳釀」、「陳釀」。《晉書．卷七七．何充傳》：「令人欲傾家釀。」《宋史．卷四四二．文苑傳四．蘇舜欽傳》：「渚茶野釀，足以銷憂。」</t>
  </si>
  <si>
    <t>甯</t>
  </si>
  <si>
    <t>ㄋㄧㄥˊ</t>
  </si>
  <si>
    <t>níng</t>
  </si>
  <si>
    <t>[動]
願、盼望。通「寧」。《說文解字．用部》：「甯，所願也。」如：「甯可」、「甯願」。《漢書．卷二二．禮樂志》：「穰穰復正直往甯。」唐．顏師古．注：「甯，願也。言獲福既多，歸於正道，克當往日所願也。」</t>
  </si>
  <si>
    <t>(一)ㄋㄧㄥˋ nìng（03117）</t>
  </si>
  <si>
    <t>𧑗</t>
  </si>
  <si>
    <t>參見「𧑗蝦」條。</t>
  </si>
  <si>
    <t>寧</t>
  </si>
  <si>
    <t>[形]_x000D_
安定。如：「安寧」。《詩經．小雅．常棣》：「喪亂既平，既安且寧。」《遼史．卷三一．營衛志上》：「隨陽遷徙，歲無寧居。」_x000D_
[動]_x000D_
1.省視、問安。如：「歸寧」。唐．韓愈〈贈張童子序〉：「童子請於其官之長，隨父而寧母。」_x000D_
2.回家。《喻世明言．卷二六．沈小官一鳥害七命》：「沈昱并原告人，寧家聽候。」_x000D_
3.平息。唐．李嶠〈為水潦災異陳情表〉：「以寧眾口之囂謗，以答三靈之譴咎。」_x000D_
[副]_x000D_
1.情願、寧願。表示選擇後的結果。如：「寧可」、「寧死不屈」、「寧缺毋濫」。《論語．八佾》：「禮與其奢也，寧儉。」《史記．卷七．項羽本紀》：「吾寧鬥智，不能鬥力。」_x000D_
2.豈、難道。《戰國策．趙策三》：「十人而從一人者，寧力不勝，智不若耶？」唐．王勃〈滕王閣序〉：「老當益壯，寧移白首之心？」_x000D_
3.乃、竟然。《詩經．大雅．瞻卬》：「心之憂矣，寧自今矣。」《三國志．卷二七．魏書．徐胡二王傳．胡質》：「胡通達，長者也，寧有子孫不？」_x000D_
[名]_x000D_
清朝以南京為江寧府治，故簡稱為「寧」。如：「寧漢分裂」。_x000D_
[助]_x000D_
語氣助詞，無義。如：「寧耐」。《左傳．襄公三十一年》：「賓至如歸，無寧菑害。」</t>
  </si>
  <si>
    <t>(二)ㄋㄧㄥˋ nìng（03118）</t>
  </si>
  <si>
    <t>擰</t>
  </si>
  <si>
    <t>[動]
1.絞、扭轉。如：「把毛巾擰乾才可掛起來。」《兒女英雄傳》第三五回：「忙叫柳條兒擰了個熱手巾來擦了擦臉。」
2.用手指夾住皮肉旋轉。如：「擰耳朵」、「再調皮搗蛋就擰你嘴巴！」《紅樓夢》第八回：「寶釵也忍不住，笑著把黛玉腮上一擰。」</t>
  </si>
  <si>
    <t>(二)ㄋㄧㄥˇ nǐng（03115）(三)ㄋㄧㄥˋ nìng（03120）</t>
  </si>
  <si>
    <t>嚀</t>
  </si>
  <si>
    <t>參見「叮嚀」條。</t>
  </si>
  <si>
    <t>獰</t>
  </si>
  <si>
    <t>[形]
1.凶惡、凶暴。如：「獰笑」、「面目猙獰」。唐．韓愈〈初南食貽元十八協律〉：「惟蛇舊所識，實憚口眼獰。」
2.凶猛。唐．貫休〈觀懷素草書歌〉：「醉來把筆獰如虎，粉壁素屏不問主。」宋．蘇軾〈書韓幹牧馬圖〉詩：「龍顱鳳頸獰且妍，奇姿逸德隱駑頑。」
[動]
怒吼、咆哮。唐．韋莊〈觀浙西相府畋遊〉詩：「紫袍日照金鵝鬥，紅旆風吹畫虎獰。」</t>
  </si>
  <si>
    <t>檸</t>
  </si>
  <si>
    <t>參見「檸檬」條。</t>
  </si>
  <si>
    <t>聹</t>
  </si>
  <si>
    <t>鬡</t>
  </si>
  <si>
    <t>參見「鬇鬡」條。</t>
  </si>
  <si>
    <t>凝</t>
  </si>
  <si>
    <t>[動]
1.液體結成固體或氣體變成液體。如：「凝結」。《易經．坤卦．象曰》：「履霜堅冰，陰始凝也。」唐．岑參〈走馬川行奉送出師西征〉詩：「幕中草檄硯水凝。」
2.聚集、凝集。如：「凝聚」。唐．王勃〈滕王閣序〉：「潦水盡而寒潭清，煙光凝而暮山紫。」宋．歐陽修〈漁家傲．九月霜秋秋已盡〉詞：「雲欲凝，雁來應有吾鄉信。」
3.成、形成。《書經．皋陶謨》：「撫于五辰，庶幾其凝。」漢．孔安國．傳：「凝，成也。」南朝梁．劉勰《文心雕龍．原道》：「龍鳳以藻繪呈瑞，虎豹以炳蔚凝姿。」
4.鞏固。《荀子．議兵》：「兼并易能也，唯堅凝之難焉。」
5.止、停。唐．孫處玄〈句〉詩：「日側南澗幽，風凝北林暮。」宋．盧祖皋〈望江南．疏雨過〉詞：「因看胡蝶著雙飛，凝扇立多時。」
[副]
1.注意力專注或集中。如：「凝思」、「凝望」。唐．白居易〈霓裳羽衣歌〉：「當時乍見驚心目，凝視諦聽殊未足。」
2.徐緩。《文選．謝朓．鼓吹曲》：「凝笳翼高蓋，疊鼓送華輈。」唐．白居易〈長恨歌〉：「緩歌謾舞凝絲竹，盡日君王看不足。」
[形]
1.盛美、華麗。唐．韓愈〈幽懷〉詩：「凝妝耀洲渚，繁吹蕩人心。」
2.肅重、莊嚴。《淮南子．兵略》：「湫漻如秋，典凝如冬。」《新唐書．卷一二四．宋璟傳》：「璟風度凝遠，人莫涯其量。」</t>
  </si>
  <si>
    <t>ㄋㄧㄥˇ</t>
  </si>
  <si>
    <t>nǐng</t>
  </si>
  <si>
    <t>[動]
用力扭轉。如：「擰緊螺絲。」「把水龍頭擰開。」
[副]
弄錯、弄僵。多表示在某種情境下，想法、做法與願望或實際情況相悖。如：「說擰了」、「鬧擰了」。《兒女英雄傳》第三八回：「我是把兩樣東西的名兒記擰了。」《二十年目睹之怪現狀》第六三回：「左弄右弄，不知怎樣弄擰了，就撤了任，鬧了一身的虧空。」</t>
  </si>
  <si>
    <t>(一)ㄋㄧㄥˊ níng（03108）(三)ㄋㄧㄥˋ nìng（03120）</t>
  </si>
  <si>
    <t>佞</t>
  </si>
  <si>
    <t>ㄋㄧㄥˋ</t>
  </si>
  <si>
    <t>nìng</t>
  </si>
  <si>
    <t>[名]_x000D_
1.才、才能。常為自謙之詞。《左傳．僖公十五年》：「寡人不佞，能合其眾而不能離也。」宋．陳亮〈上孝宗皇帝第一書〉：「臣不佞，自少有驅馳四方之志。」_x000D_
2.善於花言巧語巴結的人。如：「奸佞」、「邪佞」。《喻世明言．卷四〇．沈小霞相會出師表》：「詩中有借虜除佞之語，意在不軌。」_x000D_
[動]_x000D_
1.巧言善辯、諂媚。如：「佞諂」。《史記．卷一二五．佞幸列傳．韓嫣》：「嫣善騎射，善佞。」_x000D_
2.迷惑、困惑。唐．元稹〈和李校書新題樂府．立部伎〉：「奸聲入耳佞人心，侏儒飽飯夷齊餓。」_x000D_
3.沉迷於、迷戀。如：「佞佛」。《晉書．卷七七．列傳．何充》：「二郗諂於道，二何佞於佛。」清．葉德輝《書林清話．卷一〇．藏書偏好宋元刻之癖》：「此則佞宋之癖，入於膏肓。」_x000D_
[形]_x000D_
善於巧辯奉承的。如：「佞人」、「佞臣」。《史記．卷四．周本紀》：「石父為人佞巧，善諛好利，王用之。」</t>
  </si>
  <si>
    <t>[名]
姓。如周代有甯越。</t>
  </si>
  <si>
    <t>(二)ㄋㄧㄥˊ níng（03105）</t>
  </si>
  <si>
    <t>[名]
姓。如漢代有寧成。</t>
  </si>
  <si>
    <t>(一)ㄋㄧㄥˊ níng（03107）</t>
  </si>
  <si>
    <t>濘</t>
  </si>
  <si>
    <t>[名]
路上淤積的汙水和爛泥。如：「泥濘」。《左傳．僖公十五年》：「戰于韓原，晉戎馬還濘而止。」晉．杜預．注：「濘，泥也。」《新唐書．卷一〇九．楊再思傳》：「再思入朝，有車陷于濘，叱牛不前。」
[動]
滯泥、困陷。《管子．地員》：「不濘車輪，不汙手足。」</t>
  </si>
  <si>
    <t>[形]
倔強、固執。如：「擰性」、「這小孩子脾氣真擰。」《兒女英雄傳》第四〇回：「玉格這孩子，真個的，這怎麼擰啊！」</t>
  </si>
  <si>
    <t>(一)ㄋㄧㄥˊ níng（03108）(二)ㄋㄧㄥˇ nǐng（03115）</t>
  </si>
  <si>
    <t>奴</t>
  </si>
  <si>
    <t>ㄋㄨˊ</t>
  </si>
  <si>
    <t>nú</t>
  </si>
  <si>
    <t>[名]
1.古代本指獲罪入官服雜役的人，後泛指奴僕。如：「奴隸」、「奴婢」。《論語．微子》：「箕子為之奴，比干諫而死。」唐．杜甫〈哀王孫〉詩：「問之不肯道姓名，但道困苦乞為奴。」
2.男女自稱的謙詞。如：「奴家」。《敦煌變文集新書．卷五．王昭君變文》：「遠指白雲呼且住，聽奴一曲別鄉關。」明．高明《琵琶記．五娘勸解公婆爭吵》：「奴自有些金珠，解當充糧米。」
3.對人鄙視、輕蔑的稱呼。如：「守財奴」、「賣國奴」。《晉書．卷一〇三．劉曜載記》：「叛逆胡奴！要當生縛此奴，然後斬劉貢。」
4.姓。如明代有奴管。
[動]
驅使、役使。如：「奴役」。唐．韓愈〈原道〉：「入者主之，出者奴之。」</t>
  </si>
  <si>
    <t>[名]
1.兒子、子孫。通「孥」。《詩經．小雅．常棣》：「宜爾室家，樂爾妻帑。」漢．毛亨．傳：「帑，子也。」
2.妻與子的合稱。通「孥」。《左傳．文公六年》：「賈季奔狄，宣子使臾駢送其帑。」晉．杜預．注：「帑，妻子也。」</t>
  </si>
  <si>
    <t>(二)ㄊㄤˇ tǎng（02599）</t>
  </si>
  <si>
    <t>孥</t>
  </si>
  <si>
    <t>[名]
1.兒女。如：「妻孥」。《國語．鄭語》：「君若以周難之故，寄孥與賄焉，不敢不許。」宋．秦觀〈贈張潛道〉詩：「獨攜三尺琴，笑別妻與孥。」
2.妻與子女的統稱。唐．韓愈〈祭十二郎文〉：「請歸取其孥。」
3.古代獲罪入官供役使的人，後泛指奴僕。通「奴」。《後漢書．卷四八．楊終傳》：「太宗至仁，除去收孥。」宋．蘇轍〈次韻子瞻遊孤山訪惠懃惠思〉詩：「肩輿山下更傳呼，翩然獨往不攜孥。」</t>
  </si>
  <si>
    <t>笯</t>
  </si>
  <si>
    <t>[名]
鳥籠。《說文解字．竹部》：「笯，鳥籠也。」《楚辭．屈原．九章．懷沙》：「鳳皇在笯兮，雞鶩翔舞。」</t>
  </si>
  <si>
    <t>駑</t>
  </si>
  <si>
    <t>[名]
劣馬、能力低劣的馬。《玉篇．馬部》：「駑，最下馬也。」《楚辭．東方朔．七諫．謬諫》：「駑駿雜而不分兮。」
[形]
1.低劣、不好的。《戰國策．秦策四》：「天下莫強於秦、楚，今聞大王欲伐楚，此猶兩虎相鬥，而駑犬受其弊。」南朝宋．劉義慶《世說新語．品藻》：「駑牛可以負重致遠。」
2.軟弱無力。《文選．嵇康．與山巨源絕交書》：「性復疏懶，筋駑肉緩。」
3.比喻才力淺薄、愚鈍無能。如：「駑才」、「駑鈍」。《史記．卷八一．廉頗藺相如傳》：「相如雖駑，獨畏廉將軍哉？」《文選．司馬遷．報任少卿書》：「僕雖罷駑，亦嘗側聞長者之遺風矣。」</t>
  </si>
  <si>
    <t>努</t>
  </si>
  <si>
    <t>ㄋㄨˇ</t>
  </si>
  <si>
    <t>nǔ</t>
  </si>
  <si>
    <t>[動]
1.勤勉、盡力。如：「努力讀書」、「努力加餐飯」。
2.突起、鼓出。如：「努嘴」、「努著眼睛」。唐．彥謙〈采桑女〉詩：「春風吹蠶細如蟻，桑芽纔纔努青鴉嘴。」《紅樓夢》第六七回：「旁邊紫鵑將嘴向床後桌上一努，寶玉會意，往那裡一瞧。」
[副]
用力過猛而受傷。《水滸傳》第一〇〇回：「你眾人枉費了力，箭頭不發，努折箭桿。」《程乙本紅樓夢》第七五回：「這也彀了，且別貪力，仔細努傷著。」</t>
  </si>
  <si>
    <t>弩</t>
  </si>
  <si>
    <t>[名]
用機械力量發射的硬弓。如：「連弩」、「萬弩齊發」、「劍拔弩張」。《史記．卷一〇八．韓長孺傳》：「且彊弩之極，矢不能穿魯縞。」《文選．賈誼．過秦論》：「良將勁弩，守要害之處。」</t>
  </si>
  <si>
    <t>砮</t>
  </si>
  <si>
    <t>[名]
1.可製箭頭的石頭。《說文解字．石部》：「砮，石，可以為矢鏃。」《文選．左思．蜀都賦》：「其中則有青珠、黃環、碧砮、芒消。」唐．李善．注：「砮可作箭鏃，禹貢梁州厥貢砮石。」
2.石製的箭頭。《國語．魯語下》：「仲尼在陳，有隼集于陳侯之庭而死，楛矢貫之，石砮其長尺有咫。」三國吳．韋昭．注：「砮，鏃也，以石為之。」</t>
  </si>
  <si>
    <t>怒</t>
  </si>
  <si>
    <t>ㄋㄨˋ</t>
  </si>
  <si>
    <t>nù</t>
  </si>
  <si>
    <t>[動]
1.氣憤、生氣。如：「怒嗔」、「憤怒」、「惱怒」。《淮南子．天文》：「怒而觸不周之山，天柱折，地維絕。」唐．杜甫〈石壕吏〉詩：「吏呼一何怒，婦啼一何苦！」
2.譴責。《韓非子．五蠹》：「今有不才之子，父母怒之弗為改。」《禮記．內則》：「姑教之，若不可教而後怒之。」漢．鄭玄．注：「怒，譴責也。」
[名]
憤怒的情緒。如：「惱羞成怒」。《論語．雍也》：「不遷怒，不貳過。」
[形]
1.氣憤的、憤怒的。如：「怒氣衝天」、「怒火攻心」。
2.強健、雄勁。《後漢書．卷六七．黨錮傳．賈彪傳》：「賈氏三虎，偉節最怒。」唐．段成式《酉陽雜俎續集．卷五．寺塔記》：「吳道子白晝地獄變，筆力勁怒。」
3.聲勢浩大、勁急。如：「怒濤」、「怒潮洶湧」。
[副]
1.旺盛。如：「心花怒放」。《莊子．外物》：「草木怒生。」
2.奮發。《莊子．逍遙遊》：「怒而飛，其翼若垂天之雲。」唐．韓愈〈燕河南府秀才得生字〉詩：「怒起簸羽翮，引吭吐鏗轟。」</t>
  </si>
  <si>
    <t>傉</t>
  </si>
  <si>
    <t>[名]
姓。有三字姓庫傉官，後改為庫姓。</t>
  </si>
  <si>
    <t>ㄋㄨㄛˊ</t>
  </si>
  <si>
    <t>nuó</t>
  </si>
  <si>
    <t>[動]
移動。同「挪」。《清平山堂話本．快嘴李翠蓮記》：「新人那步過高堂。」
[形]
1.多。《詩經．小雅．桑扈》：「受福不那。」漢．鄭玄．箋：「那，多也。」
2.安定。《詩經．小雅．魚藻》：「有那其居。」漢．鄭玄．箋：「那，安貌。」
[代]
如何、奈何。《左傳．宣公二年》：「棄甲則那？」晉．杜預．注：「那猶何也。」唐．杜甫〈夜歸〉詩：「白頭老罷舞復歌，杖藜不睡誰能那？」
[名]
《詩經．商頌》的篇名。共一章。根據〈詩序〉：「〈那〉，祀成湯也。」指頌揚祭祀湯王典禮的音樂和諧美盛之詩。本章二句為：「猗與那與，置我鞀鼓。」</t>
  </si>
  <si>
    <t>(一)ㄋㄚˋ nà（02930）(二)ㄋㄟˋ nèi（02953）(三)ㄋㄚˇ nǎ（02920）(四)ㄋㄟˇ něi（02949）(五)ㄋㄚ nā（02916）</t>
  </si>
  <si>
    <t>挪</t>
  </si>
  <si>
    <t>[動]
1.推移、移動。如：「挪開」、「挪一下位置好嗎？」元．王實甫《西廂記．第一本．第一折》：「慢俄延，投至到櫳門兒前面，剛挪了一步遠。」《紅樓夢》第一三回：「邢夫人等忙叫寶玉攙住，命人挪椅子來與他坐。」
2.借貸、移用。如：「挪借」、「挪用公款」。《儒林外史》第五二回：「他向日挪我的五十兩銀子，得便叫他算還給我。」
3.兩手互相搓摩。如：「搓挪」。</t>
  </si>
  <si>
    <t>參見「哪吒」條。</t>
  </si>
  <si>
    <t>(一)ㄋㄚˇ nǎ（02921）(二)ㄋㄟˇ něi（02950）(四)˙ㄋㄚ na（02933A）</t>
  </si>
  <si>
    <t>[形]
纖細柔美。如：「嫋娜」、「婀娜」。</t>
  </si>
  <si>
    <t>(二)ㄋㄚˋ nà（02931）</t>
  </si>
  <si>
    <t>挼</t>
  </si>
  <si>
    <t>[動]
1.搓揉、摩擦。如：「挼搓」。唐．韓愈〈讀東方朔雜事〉詩：「瞻相北斗柄，兩手自相挼。」清．洪昇《長生殿》第四齣：「驀然揭起鴛幃，星眼倦還挼。」
2.撫玩、玩弄。五代唐．薛昭蘊〈小重山．春到長門春草青〉詞：「不勝情，手挼裙帶遶花行。」</t>
  </si>
  <si>
    <t>(二)ㄏㄨㄟ huī（05088）</t>
  </si>
  <si>
    <t>儺</t>
  </si>
  <si>
    <t>[動]
迎神賽會以樂舞驅逐疫鬼。《論語．鄉黨》：「鄉人儺，朝服而立于阼階。」
[形]
柔美的樣子。參見「猗儺」條。</t>
  </si>
  <si>
    <t>㛂</t>
  </si>
  <si>
    <t>ㄋㄨㄛˇ</t>
  </si>
  <si>
    <t>nuǒ</t>
  </si>
  <si>
    <t>參見「婐㛂」條。</t>
  </si>
  <si>
    <t>掿</t>
  </si>
  <si>
    <t>ㄋㄨㄛˋ</t>
  </si>
  <si>
    <t>nuò</t>
  </si>
  <si>
    <t>[動]
1.握、持拿。《七國春秋平話．卷上》：「手掿宣花月斧，腰懸打將鐵鞭。」《水滸傳》第四回：「把兩隻袖子掿在手裡，上下左右，使了一回。」
2.捏、揉。元．關漢卿《調風月》第一折：「便似一團兒掿成官定粉。」元．趙善慶〈寨兒令．舞態輕〉曲：「舞態輕，曲聲清，生香玉骨粉掿成。」
3.挑戰。如：「掿戰」。《水滸傳》第一一四回：「王仁卻掿花榮出戰。」</t>
  </si>
  <si>
    <t>喏</t>
  </si>
  <si>
    <t>[名]
應答聲。同「諾」。晉．干寶《搜神記》卷一九：「二更中，有來至廟門者，呼曰：『何銅！』銅應喏。」
[歎]
含有指示意思的語氣。如：「喏！那不是你的衣服嗎？」</t>
  </si>
  <si>
    <t>(一)ㄖㄜˇ rě（09180）</t>
  </si>
  <si>
    <t>諾</t>
  </si>
  <si>
    <t>[動]
答應、允許。如：「一呼百諾」。《詩經．魯頌．閟宮》：「莫敢不諾。」《荀子．王霸》：「刑賞已諾，信乎天下矣。」
[名]
1.允諾的話。如：「一諾千金」、「輕諾寡信」。《論語．顏淵》：「子路無宿諾。」唐．杜甫〈敬贈鄭諫議十韻〉：「將期一諾重，欻使寸心傾。」
2.古代批字或簽字於文書後面，表示許可。《後漢書．卷六七．黨錮傳．序》：「汝南太守范孟博、南陽宗資主畫諾。」《南史．卷四三．齊高帝諸子傳下．江夏王鋒傳》：「五歲，高帝使學鳳尾諾，一學即工。」
3.表示同意的應答聲。如：「連連稱諾」。《論語．陽貨》：「諾，吾將仕矣。」《史記．卷七．項羽本紀》：「謂沛公曰：『旦日不可不蚤自來謝項王。』沛公曰：『諾。』」</t>
  </si>
  <si>
    <t>鍩</t>
  </si>
  <si>
    <t>[名]
（nobelium，No)化學元素。原子序102。錒系元素之一，是以重離子加速器加速碳核以撞擊鋦，而產生的人工合成化學元素。因半衰期極短，無法確知其性質及用途。</t>
  </si>
  <si>
    <t>搦</t>
  </si>
  <si>
    <t>[動]
1.壓抑。《文選．左思．魏都賦》：「搦秦起魏，威振八蕃。」
2.握、持。如：「搦管」。《三國魏．曹植．幽思賦》：「搦素筆而慷慨，揚大雅之哀吟。」《董西廂》卷二：「緊搦著鐵棒。」
3.撫、摩。《文選．班固．答賓戲》：「當此之時，搦朽磨鈍，鈆刀皆能一斷。」唐．段成式《酉陽雜俎．卷九．盜俠》：「乃舉手搦腦後，五丸墜地焉。」
4.挑惹、挑釁。如：「搦戰」、「單搦」。《薛仁貴征遼事略》：「躍馬橫鎗搦眾官百姓。」元．陳以仁《存孝打虎》第三折：「不索你搦咱，更怕你會征伐。」
5.捕捉。《北齊書．卷一五．厙狄干傳》：「士文聞之，令人捕搦，捶楚盈前，而哭者彌甚。」《敦煌變文集新書．卷五．李陵變文》：「四面圍之，一時搦取。」</t>
  </si>
  <si>
    <t>懦</t>
  </si>
  <si>
    <t>[形]
1.軟弱、怯弱。如：「柔懦」、「懦夫」、「膽小懦弱」。《左傳．僖公二年》：「宮之奇之為人也，懦而不能強諫。」
2.柔軟。《韓非子．內儲說上》：「水形懦，故人多溺。」晉．夏侯湛〈玄鳥賦〉：「拾柔草以自藉，採懦毛以為蓐。」
[動]
拙、不擅。《漢書．卷五八．兒寬傳》：「善屬文，懦於武。」</t>
  </si>
  <si>
    <t>糯</t>
  </si>
  <si>
    <t>[名]
一種稻米。糯稻的米粒稱糯米，可分為圓粒形的「圓糯」和長粒形的「長糯」（或稱「尖糯」）。黏性大，多用來製成年糕、麻糬、湯圓、油飯、八寶飯、粽子等，亦可釀酒。</t>
  </si>
  <si>
    <t>渜</t>
  </si>
  <si>
    <t>ㄋㄨㄢˇ</t>
  </si>
  <si>
    <t>nuǎn</t>
  </si>
  <si>
    <t>[名]
溫水。《儀禮．士喪禮》：「浴用巾，挋用浴衣，渜濯棄于坎。」唐．賈公彥．疏：「潘水既經溫煮，名之為渜；已將沐浴，謂之為濯。」</t>
  </si>
  <si>
    <t>餪</t>
  </si>
  <si>
    <t>[動]
親友餽贈食物給初嫁女。《廣韻．上聲．緩韻》：「餪，女嫁三日送食曰餪。」</t>
  </si>
  <si>
    <t>暖</t>
  </si>
  <si>
    <t>[形]
溫和、溫暖。如：「春暖花開」。《墨子．節用中》：「冬服紺緅之衣，輕且暖。」宋．歐陽修〈采桑子．春深雨過西湖好〉詞：「蝶亂蜂喧，晴日催花暖欲然。」
[動]
使冷的變溫熱。如：「暖酒」、「把手伸過來暖一下。」</t>
  </si>
  <si>
    <t>(二)ㄒㄩㄢ xuān（07361）</t>
  </si>
  <si>
    <t>黁</t>
  </si>
  <si>
    <t>ㄋㄨㄣˊ</t>
  </si>
  <si>
    <t>nún</t>
  </si>
  <si>
    <t>[名]
芳香之氣。唐．皮日休〈奉和魯望玩金鸂鶒戲贈〉詩：「鏤羽彫毛迥出群，溫黁飄出麝臍熏。」</t>
  </si>
  <si>
    <t>農</t>
  </si>
  <si>
    <t xml:space="preserve">辰 </t>
  </si>
  <si>
    <t>ㄋㄨㄥˊ</t>
  </si>
  <si>
    <t>nóng</t>
  </si>
  <si>
    <t>[動]
1.種植、耕種。漢．鼂錯〈論貴粟疏〉：「貧生於不足，不足生於不農。」
2.努力、勤勉。《左傳．襄公十三年》：「小人農力以事其上，是以上下有禮。」三國魏．嵇康〈答難養生論〉：「五穀易殖，農而可久。」
[名]
1.耕種事業。如：「士、農、工、商」。漢．鼂錯〈論貴粟疏〉：「方今之務，莫若使民務農而已矣。」
2.耕種的人。如：「花農」、「菜農」、「果農」。《論語．子路》：「吾不如老農。」
[形]
耕種的、農作的。如：「農具」、「農舍」、「不失農時」。</t>
  </si>
  <si>
    <t>儂</t>
  </si>
  <si>
    <t>[代]
1.吳語。我，表第一人稱。如：「儂家」。《樂府詩集．卷四四．清商曲辭一．晉宋齊辭．子夜歌四二首之一九》：「歡愁儂亦慘，郎笑我便喜。」《紅樓夢》第二七回：「儂今葬花人笑痴，他年葬儂知是誰？」
2.稱他人。《南史．卷四五．王敬則傳》：「常歎負情儂，郎今果行許。」唐．韓愈〈瀧吏〉詩：「比聞此州囚，亦在生還儂。」
[名]
姓。如宋代有儂智高。</t>
  </si>
  <si>
    <t>濃</t>
  </si>
  <si>
    <t>[形]
1.多、盛、密。如：「濃厚」、「濃雲密布」。南朝梁．簡文帝〈奉答南平康王賚朱櫻〉詩：「花茂蝶爭飛，枝濃鳥相失。」唐．李白〈清平調〉三首之一：「雲想衣裳花想容，春風拂檻露華濃。」
2.味道、顏色、感情等深厚的。如：「濃郁」、「濃茶」、「濃妝豔抹」、「濃情密意」。南朝宋．鮑照〈代陳思王京洛篇〉：「古來共歇薄，君意豈獨濃？」唐．李賀〈昌谷讀書示巴童〉詩：「蟲響燈光薄，宵寒藥氣濃。」
3.酣暢、程度深的。如：「遊興正濃」。宋．陸游〈凌雲醉歸作〉詩：「玻璃春滿琉璃鍾，宦情苦薄酒興濃。」</t>
  </si>
  <si>
    <t>[形]
心亂煩悶的樣子。《集韻．平聲．江韻》：「憹，心亂也。」</t>
  </si>
  <si>
    <t>(一)ㄋㄠˊ náo（02964）</t>
  </si>
  <si>
    <t>噥</t>
  </si>
  <si>
    <t>[動]
小聲說話。如：「咕噥」、「唧噥」。《老殘遊記》第一〇回：「聽他們又喁喁噥噥了好久，璵姑方回。」</t>
  </si>
  <si>
    <t>膿</t>
  </si>
  <si>
    <t>[名]
傷口因細菌感染，組織遭其腐敗分解而成的黃白色汁液。如：「化膿」、「流膿」。《史記．卷一〇五．扁鵲倉公列傳》：「此病疽也，內發於腸胃之間，後五日當臃腫，後八日嘔膿死。」
[副]
腐爛。《齊民要術．卷二．水稻》：「稻曲長七八寸，陳草復起，以鎌侵水芟之，草悉膿死。」
[形]
肥厚。《文選．曹植．七啟》：「玄熊素膚，肥豢膿肌。」</t>
  </si>
  <si>
    <t>穠</t>
  </si>
  <si>
    <t>[形]
1.花木繁盛。如：「穠華」。宋．陸游〈湖上今歲遊人頗盛戲作〉詩四首之一：「龍船看罷日平西，柳闇花穠步步迷。」《西遊記》第八〇回：「削壁懸崖峻，薜蘿草木穠。」
2.豔麗、華麗。唐．元稹〈山枇杷〉詩：「穠姿秀色人皆愛，怨媚羞容我偏別。」《紅樓夢》第七八回：「穠歌豔舞不成歡，列陣挽戈為自得。」
3.肥美、豐滿。如：「穠纖合度」。唐．陳鴻《長恨傳》：「鬢髮膩理，纖穠中度，舉止閑冶，如漢武帝李夫人。」</t>
  </si>
  <si>
    <t>襛</t>
  </si>
  <si>
    <t>[形]
1.衣服厚重的樣子。《說文解字．衣部》：「襛，衣厚貌。」
2.美盛。如：「襛華」。《詩經．召南．何彼襛矣》：「何彼襛矣，唐棣之華。」
3.肥胖、豐滿。《文選．曹植．洛神賦》：「襛纖得衷，脩短合度。」</t>
  </si>
  <si>
    <t>醲</t>
  </si>
  <si>
    <t>[形]
1.酒味醇厚。《鏡花緣》第二三回：「是酒也，非一類也，……上等者，其味醲。」
2.厚、重。《韓非子．難勢》：「夫有盛雲醲霧之勢而不能乘遊者，螾螘之材薄也。」</t>
  </si>
  <si>
    <t>弄</t>
  </si>
  <si>
    <t>ㄋㄨㄥˋ</t>
  </si>
  <si>
    <t>nòng</t>
  </si>
  <si>
    <t>[動]_x000D_
1.把玩、玩賞。《詩經．小雅．斯干》：「乃生男子，載寢之床，載衣之裳，載弄之璋。」唐．李白〈別山僧〉詩：「何處名僧到水西？乘舟弄月宿涇溪。」_x000D_
2.遊戲、耍弄。《左傳．定公三年》：「君以弄馬之故，隱君身，棄國家。」唐．李白〈長干行〉二首之一：「郎騎竹馬來，遶床弄青梅。」宋．上官融《友會談叢》卷上：「京師貨藥者多假弄獅子、猢孫為戲，聚集市人。」_x000D_
3.做、從事。《官話指南．卷二．官商吐屬》：「然後就叫店家打洗臉水、沏茶、弄飯吃。」《兒女英雄傳》第一四回：「你莫管，照我的話弄去就是了。」_x000D_
4.處理、探察、追究。如：「這件事一定要弄清楚才行！」《紅樓夢》第九九回：「不知道怎麼部裡沒有弄明白。如今就是鬧破了，也是官官相護的。」《文明小史》第一二回：「總是你們沒有弄清，快去查明了來。」_x000D_
5.尋求、取得。《兒女英雄傳》第四〇回：「我因為今年是你師母正壽，所以又弄了倆人，合上個八旬慶壽的意思。」《紅樓夢》第五九回：「只是要你們齊心打夥兒弄幾個錢回家受用，若不隨我，我也不管了。」《文明小史》第四八回：「其時已在上燈時分，房間都被人家佔了去了，好容易等了一會，才弄到一個小房間。」_x000D_
6.搖動、攪動。如：「這消息把大家弄得人心惶惶。」元．白樸《牆頭馬上》第二折：「怕露驚宿鳥，風弄庭槐。」《官場現形記》第五回：「不該應要錢的心太狠了，直弄得民怨沸騰，有無數商人，來省上控。」_x000D_
7.與人淫亂、姦汙。晉．干寶《搜神記》卷七：「元康中，貴游子弟相與為散髮裸身之飲，對弄婢妾。」《南史．卷五五．列傳．曹景宗》：「本以為戲，而部下多剽輕，因弄人婦女，奪人財貨。帝頗知之，景宗懼乃止。」《紅樓夢》第六七回：「鳳姐兒道：『你二爺在外頭弄了人，你知道不知道？』」_x000D_
8.演奏樂器。如：「弄笛」、「弄簫」。唐．李白〈邯鄲南亭觀妓〉詩：「歌鼓燕趙兒，魏姝弄鳴絲。」唐．王涯〈秋夜曲〉：「銀箏夜久殷勤弄，心怯空房不忍歸。」_x000D_
9.妝飾、修飾。晉．趙至〈與嵇茂齊書〉：「翱翔倫黨之間，弄姿帷房之裡。」唐．溫庭筠〈菩薩蠻．小山重疊金明滅〉詞：「懶起畫娥眉，弄妝梳洗遲。」_x000D_
[名]_x000D_
樂曲。如：「江南弄」、「梅花三弄」。《韓非子．難三》：「且中期之所官，琴瑟也。絃不調，弄不明，中期之任也。」三國魏．嵇康〈琴賦〉：「改韻易調，奇弄乃發。」_x000D_
[量]_x000D_
計算樂曲或演奏次數的單位。《晉書．卷八一．列傳．桓宣》：「帝命伊吹笛。伊神色無迕，即吹為一弄。」元．戴表元〈次韻和蔚師鑑師春懷〉：「愁是雲陰喜是晴，春遊何處不關情？黃雞亭館琴三弄，青果杯盤酒數行。」明．何景明〈岳陽城中聞笛〉詩：「何處笛聲三四弄，坐聽疑隔楚江濆。」</t>
  </si>
  <si>
    <t>(二)（讀音）ㄌㄨㄥˋ lòng（03873）</t>
  </si>
  <si>
    <t>女</t>
  </si>
  <si>
    <t>ㄋㄩˇ</t>
  </si>
  <si>
    <t>nǚ</t>
  </si>
  <si>
    <t>[名]
1.女子，與「男」相對。如：「才女」、「男女平等」。《詩經．周南．關雎》：「窈窕淑女，君子好逑。」《晉書．卷九七．四夷傳．南蠻傳》：「貴女賤男，同姓為婚。」
2.女兒。如：「生兒育女」。唐．杜甫〈兵車行〉：「生女猶是嫁比鄰，生男埋沒隨百草。」
3.星宿名。二十八宿之一，北方玄武七宿的第三宿。
4.星官名。女宿之首，有4正星，5增星，在西方屬寶瓶座。也稱為「寶婺」、「須女」、「婺女」。《晉書．卷一二．天文志中》：「懷帝永嘉六年七月，熒惑、歲星、太白聚牛、女之間。」
5.二一四部首之一。
[形]
1.女性的、雌性的。如：「女道士」。《太平廣記．卷三八五．崔紹》：「畜一女貓，常往來紹家捕鼠。」
2.幼小、柔弱。《詩經．豳風．七月》：「猗彼女桑。」</t>
  </si>
  <si>
    <t>(二)ㄋㄩˋ nǜ（03162）</t>
  </si>
  <si>
    <t>籹</t>
  </si>
  <si>
    <t>參見「粔籹」條。</t>
  </si>
  <si>
    <t>(二)ㄓㄨㄤ zhuāng（▲08118）</t>
  </si>
  <si>
    <t>釹</t>
  </si>
  <si>
    <t>[名]
（neodymium，Nd）化學元素。原子序60。稀土金屬元素之一。屬鑭系元素，呈銀白色，質軟具延展性，化性較活潑，可溶於稀酸中。在空氣中變灰白，形成氧化物，故須儲存於鈍氣或石油中，以防腐蝕或生鏽。遇熱水呈劇烈反應，釋放出氫。廣泛應用於雷射材料，如釹玻璃雷射。亦用於製造光學玻璃、有色陶瓷、玻璃、搪瓷及特殊合金等。</t>
  </si>
  <si>
    <t>ㄋㄩˋ</t>
  </si>
  <si>
    <t>nǜ</t>
  </si>
  <si>
    <t>[動]
將女兒許配給他人。《左傳．桓公十一年》：「宋雍氏女於鄭莊公，曰雍姑。」《聊齋志異．卷六．江城》：「臨江高蕃，少慧，儀容秀美。十四歲入邑庠，富室爭女之。」</t>
  </si>
  <si>
    <t>(一)ㄋㄩˇ nǚ（03159）(三)ㄖㄨˇ rǔ（09294）</t>
  </si>
  <si>
    <t>恧</t>
  </si>
  <si>
    <t>[動]
羞慚、慚愧。如：「慚恧」。《文選．嵇康．幽憤詩》：「內負宿心，外恧良朋。」唐．柳宗元〈乞巧文〉：「言語譎詭，令臣縮恧。」</t>
  </si>
  <si>
    <t>衄</t>
  </si>
  <si>
    <t>[動]
1.鼻子出血稱為「衄」，後泛指出血。如：「鼻衄」、「耳衄」。漢．張機《傷寒論．卷一．辨脈法》：「脈浮，鼻中燥者，必衄也。」明．李時珍《本草綱目．卷三上．百病主治藥．吐血衄血》：「口鼻併出曰腦衄，九竅俱出曰大衄。」也稱為「衄血」。
2.挫敗。如：「敗衄」。《文選．曹植．求自試表》：「流聞東軍失備，師徒小衄。」《宋史．卷二五四．趙贊傳》：「贊獨持重，自秋涉冬，未嘗挫衄。」
3.畏縮。《宋史．卷二八九．高瓊傳》：「范廷召、桑贊所將邊兵臨敵退衄。」《遼史．卷七三．蕭敵魯傳》：「敵魯有膽略，聞敵所在即馳赴，親冒矢石，前後戰未嘗少衄，必勝乃止。」</t>
  </si>
  <si>
    <t>朒</t>
  </si>
  <si>
    <t>[名]
農曆月初月亮在東方出現的情形。《文選．謝莊．月賦》：「朒朓警闕，朏魄示沖。」唐．盧肇〈海潮賦．序〉：「其朒其朓，則潮亦隨之。」
[形]
不足、欠缺。《九章算術》卷七「盈不足」句下晉．劉徽．注：「盈者謂之朓，不足者謂之朒。」《鏡花緣》第七六回：「此是盈朒算法，極其容易。」
[動]
1.畏縮、不伸。如：「肭縮」。《漢書．卷二七．五行志下之下》：「王侯縮朒不任事，臣下弛縱，故月行遲也。」
2.扭傷、折傷。《水滸傳》第四二回：「有幾個攧翻了的，也有閃朒腿的，扒得起來奔命。」</t>
  </si>
  <si>
    <t>虐</t>
  </si>
  <si>
    <t>ㄋㄩㄝˋ</t>
  </si>
  <si>
    <t>nüè</t>
  </si>
  <si>
    <t>[動]
1.殘害。《孟子．梁惠王下》：「今燕虐其民，王往而征之。」
2.輕視。唐．柳宗元〈與友人論為文書〉：「而又榮古虐今者，比肩疊跡，大抵生則不遇，死而垂聲者眾焉。」
[形]
1.殘忍。如：「虐政」、「虐吏」。北齊．顏之推《顏氏家訓．後娶》：「繼親虐則兄弟為讎。」
2.猛烈。《文選．陸機．演連珠五〇首之四七》：「臣聞虐暑薰天，不減堅冰之寒。」宋．陸游〈雪中尋梅〉詩二首之二：「幽香淡淡影疏疏，雪虐風饕亦自如。」
3.過分。如：「謔而不虐」。《遼史．卷九〇．蕭塔剌葛傳》：「何戲之虐也！」
[名]
1.殘暴。如：「助紂為虐」。《晉書．卷四二．王渾傳》：「刑獄得無冤濫，守長得無侵虐。」
2.災禍、災害。《書經．盤庚中》：「殷降大虐。」南朝齊．蕭子良〈密啟武帝〉：「播植既周，繼以旱虐。」
[副]
苛刻、嚴苛。如：「虐待」。《史記．卷六．秦始皇本紀》：「貪戾無厭，虐殺不已。」</t>
  </si>
  <si>
    <t>瘧</t>
  </si>
  <si>
    <t>參見「瘧疾」條。</t>
  </si>
  <si>
    <t>謔</t>
  </si>
  <si>
    <t>[動]
開玩笑、戲弄調笑。如：「戲謔」、「嘲謔」、「謔而不虐」。《詩經．鄭風．溱洧》：「伊其相謔，贈之以勺藥。」唐．李白〈將進酒〉：「陳王昔時宴平樂，斗酒十千恣歡謔。」</t>
  </si>
  <si>
    <t>拉</t>
  </si>
  <si>
    <t>ㄌㄚ</t>
  </si>
  <si>
    <t>lā</t>
  </si>
  <si>
    <t>[動]
1.摧折。如：「摧枯拉朽」。《漢書．卷五一．賈鄒枚路傳．鄒陽》：「范雎拉脅折齒於魏，卒為應侯。」
2.挽、牽引。如：「拉車」、「拉手」。
3.招、邀約。如：「拉人作伴」。三國蜀．諸葛亮〈黃陵廟記〉：「于是情好日密，相拉總師。」
4.延長、拖長。如：「拉長距離」。
5.攀交、攏絡。如：「拉交情」、「拉關係」。
6.招攬、撮合。如：「拉客」、「拉生意」、「拉廣告」。
7.演奏弦樂器的方法。如：「拉胡琴」、「拉小提琴」、「拉手風琴」。
8.排泄。如：「拉稀」、「拉屎」、「拉肚子」。</t>
  </si>
  <si>
    <t>啦</t>
  </si>
  <si>
    <t>[擬]
形容歌唱、歡呼時的聲音。如：「這首歌怎麼這麼多啦字，唱起來啦個不停。」</t>
  </si>
  <si>
    <t>(二)˙ㄌㄚ la（03184）</t>
  </si>
  <si>
    <t>喇</t>
  </si>
  <si>
    <t>[擬]
形容風、雨等的聲音。如：「嘩喇」、「呼喇喇」。明．湯顯祖《牡丹亭》第四三齣：「風喇喇，陣旗飄。」</t>
  </si>
  <si>
    <t>(一)ㄌㄚˇ lǎ（03175）</t>
  </si>
  <si>
    <t>旯</t>
  </si>
  <si>
    <t>ㄌㄚˊ</t>
  </si>
  <si>
    <t>lá</t>
  </si>
  <si>
    <t>參見「旮旯」條。</t>
  </si>
  <si>
    <t>剌</t>
  </si>
  <si>
    <t>[動]
劃開、割開。如：「剌劃」、「剌開」、「他一不小心，手被剌了一道口子。」</t>
  </si>
  <si>
    <t>(一)ㄌㄚˋ là（03176）</t>
  </si>
  <si>
    <t>邋</t>
  </si>
  <si>
    <t>參見「邋遢」條。或讀為ㄌㄚ lā。</t>
  </si>
  <si>
    <t>(二)ㄌㄧㄝˋ liè（03513）</t>
  </si>
  <si>
    <t>ㄌㄚˇ</t>
  </si>
  <si>
    <t>lǎ</t>
  </si>
  <si>
    <t>參見「喇叭」、「喇嘛」等條。</t>
  </si>
  <si>
    <t>(二)ㄌㄚ lā（03171）</t>
  </si>
  <si>
    <t>ㄌㄚˋ</t>
  </si>
  <si>
    <t>là</t>
  </si>
  <si>
    <t>[動]
違戾、乖張。《漢書．卷六〇．杜周傳》：「外戚親屬無乖剌之心，關東諸侯無強大之國。」</t>
  </si>
  <si>
    <t>(二)ㄌㄚˊ lá（03173）</t>
  </si>
  <si>
    <t>瘌</t>
  </si>
  <si>
    <t>參見「瘌痢」條。</t>
  </si>
  <si>
    <t>(二)˙ㄌㄚ la（03185）</t>
  </si>
  <si>
    <t>蝲</t>
  </si>
  <si>
    <t>參見「蝲蛄」條。</t>
  </si>
  <si>
    <t>落</t>
  </si>
  <si>
    <t>[動]
1.遺漏、忘記。如：「丟三落四」、「我的皮匣子落在家裡了。」
2.掉在後面、跟不上。如：「我們一夥人登山，他總是落在後頭。」</t>
  </si>
  <si>
    <t>(一)ㄌㄨㄛˋ luò（03820）(二)ㄌㄠˋ lào（03282）</t>
  </si>
  <si>
    <t>辣</t>
  </si>
  <si>
    <t>[名]_x000D_
像薑、胡椒、辣椒等所帶有的刺激性味道。如：「酸甜苦辣」。_x000D_
[形]_x000D_
1.辛辣。如：「朝天椒很辣。」_x000D_
2.高溫、熱烈。如：「火辣辣」、「盛夏的烈日辣得令人難以消受。」_x000D_
3.狠毒。如：「心狠手辣」。《京本通俗小說．錯斬崔寧》：「欲待信來，他平白與我沒半句言語，大娘子又過得好，怎麼便下得這等狠心辣手？」《老殘遊記》第四回：「玉大人官卻是個清官，辦案也實在盡力，只是手段太辣些。」</t>
  </si>
  <si>
    <t>臘</t>
  </si>
  <si>
    <t>[名]
1.歲終時合祭眾神的祭祀。《說文解字．肉部》：「臘，冬至後三戌，臘祭百神。」《後漢書．卷四六．陳寵傳》：「閉門不出入，猶用漢家祖臘。」
2.陰曆十二月稱為「臘月」。唐．李頻〈湘口送友人〉詩：「零落梅花過殘臘，故園歸醉及新年。」《鏡花緣》第七回：「遊來遊去，業已半載，轉瞬臘盡春初。」
3.僧受戒得度的年歲。唐．劉禹錫〈唐故衡嶽律大師湘潭唐興寺儼公碑〉：「問年八十二，問臘六十一。」《景德傳燈錄．卷四．第一世法融禪師》：「壽六十四，臘四十一。」
4.醃製的肉類。如：「燒臘」。</t>
  </si>
  <si>
    <t>蠟</t>
  </si>
  <si>
    <t>[名]
1.動、植物或礦物所分泌的油質，不溶於水，易熔化，具可塑性，可用來防水或製作蠟燭。如：「蜂蠟」、「石蠟」。
2.蠟燭。唐．皮日休〈春夕酒醒〉詩：「夜半醒來紅蠟短，一枝寒淚作珊瑚。」
[動]
以蠟塗抹。《晉書．卷四九．阮籍傳》：「或有詣阮，正見自蠟屐，因自歎曰：『未知一生當著幾量屐！』」唐．劉禹錫〈送僧仲剬東遊兼寄呈靈澈上人〉詩：「講罷同尋相鶴經，閒來共蠟登山屐。」
[形]
淡黃似蠟的顏色。如：「蠟梅」、「蠟櫻」。</t>
  </si>
  <si>
    <t>鑞</t>
  </si>
  <si>
    <t>[名]
錫與鉛的合金，用來焊接金屬或製作器物。也稱為「焊錫」、「白鑞」。</t>
  </si>
  <si>
    <t>˙ㄌㄚ</t>
  </si>
  <si>
    <t>la</t>
  </si>
  <si>
    <t>[助]_x000D_
了（˙ㄌㄜ）、啊（˙ㄚ）二字的合音，作用同「了」（˙ㄌㄜ），但語氣較重。如：「好啦！」、「他來啦！」、「別作夢啦！」《老殘遊記二編》第三回：「心肝寶貝，你別跑，你的話我知道一半啦！這有什麼害臊呢？」《負曝閑談》第二八回：「尹仁便呲牙裂嘴的說道：『汪老爺，您別鬧啦！』」</t>
  </si>
  <si>
    <t>(一)ㄌㄚ lā（03170）</t>
  </si>
  <si>
    <t>[名]
疤瘌：疤、瘡痕。如：「那道舊疤瘌，依稀可見。」</t>
  </si>
  <si>
    <t>(一)ㄌㄚˋ là（03177）</t>
  </si>
  <si>
    <t>咯</t>
  </si>
  <si>
    <t>˙ㄌㄛ</t>
  </si>
  <si>
    <t>lo</t>
  </si>
  <si>
    <t>[助]
語末助詞。如：「來咯！」、「當然咯！」</t>
  </si>
  <si>
    <t>(一)ㄌㄨㄛˋ luò（03814）(三)ㄍㄜ gē（03924）(四)（(三)之又音）ㄍㄜˊ gé（03934）(五)（(一)之又音）ㄎㄚˇ kǎ（04404）</t>
  </si>
  <si>
    <t>仂</t>
  </si>
  <si>
    <t>ㄌㄜˋ</t>
  </si>
  <si>
    <t>lè</t>
  </si>
  <si>
    <t>[名]
零餘的數目。《禮記．王制》：「祭用數之仂。」</t>
  </si>
  <si>
    <t>扐</t>
  </si>
  <si>
    <t>[名]
兩指之間。《說文解字．手部》：「扐，易筮，再扐而後卦。」《易經．繫辭上》：「歸奇於扐以象閏。五歲再閏，故再扐而後卦。」</t>
  </si>
  <si>
    <t>阞</t>
  </si>
  <si>
    <t>[名]
地的脈理。《說文解字．阜部》：「阞，地理也。」《周禮．冬官考工記．匠人》：「凡溝逆地阞謂之不行。」</t>
  </si>
  <si>
    <t>肋</t>
  </si>
  <si>
    <t>[名]
肋骨的簡稱。如：「左肋」、「右肋」、「雞肋」。</t>
  </si>
  <si>
    <t>(二)（語音）ㄌㄟˋ lèi（03249）</t>
  </si>
  <si>
    <t>泐</t>
  </si>
  <si>
    <t>[名]
水石的紋理。《說文解字．水部》：「泐，水之理也。」
[動]
1.石頭依其脈理而散裂。《周禮．冬官．考工記》：「石有時以泐，水有時以凝。」
2.雕刻、銘刻。如：「泐石」、「泐碑」。
3.書寫。常用於信函中。清．袁枚〈答長州明府楊鏡村書〉：「特泐數行，上塵清聽。」</t>
  </si>
  <si>
    <t>勒</t>
  </si>
  <si>
    <t>[名]_x000D_
1.有嚼口的馬絡頭。《漢書．卷九四．匈奴傳下》：「鞍勒一具，馬十五匹。」唐．杜甫〈哀江頭〉詩：「輦前才人帶弓箭，白馬嚼齧黃金勒。」_x000D_
2.書法中橫畫的筆法。宋．陳思《書苑菁華．卷二．書法下．永字八法》：「橫為勒。」_x000D_
3.姓。如漢代有勒尊。_x000D_
[動]_x000D_
1.駕御。如：「勒馬長城」。_x000D_
2.約束、限制。《後漢書．卷二四．馬援列傳》：「廖性寬緩，不能教勒子孫。」明．徐弘祖《徐霞客遊記．卷五下．滇遊日記三》：「而盤江自橋頭南下，為越州後橫亙山所勒，轉而東流。」_x000D_
3.統率、率領。《後漢書．卷一．光武帝紀上》：「親勒六軍，大陳戎馬。」《三國演義》第二回：「可召四方英雄之士，勒兵來京。」_x000D_
4.強制、強迫。《隋書．卷二四．食貨志》：「開皇三年，……，又於河西勒百姓立堡，營田積穀。」元．無名氏《鴛鴦被》第四折：「只為那舉債文書，我畫的有親筆跡，因此上被強勒為妻室。」_x000D_
5.刻、寫。如：「勒石」、「勒碑」。宋．陸游〈夜泊水村〉詩：「腰間羽箭久凋零，太息燕然未勒銘。」《京本通俗小說．碾玉觀音》：「真個在時，你勒軍令狀來。」</t>
  </si>
  <si>
    <t>(二)ㄌㄟ lēi（03223）</t>
  </si>
  <si>
    <t>垃</t>
  </si>
  <si>
    <t>參見「垃圾」條。</t>
  </si>
  <si>
    <t>埒</t>
  </si>
  <si>
    <t>[名]
1.矮牆、短牆。《說文解字．土部》：「埒，庳垣也。」如：「埒垣」。
2.界線、界限。如：「界埒」、「埒內」、「埒外」。《淮南子．精神》：「休息于無委曲之隅，而游敖于無形埒之野。」
3.山間水流。《列子．湯問》：「一源分為四埒，注於山下。」
[動]
相等、均等。《史記．卷三〇．平準書》：「富埒天子。」唐．陳鴻《長恨傳》：「姊妹封國夫人，富埒王室。」</t>
  </si>
  <si>
    <t>捋</t>
  </si>
  <si>
    <t>[動]
拔除。如：「捋虎鬚」。</t>
  </si>
  <si>
    <t>(二)ㄌㄩˇ lǚ（03887）(三)ㄌㄨㄛ luō（03786）</t>
  </si>
  <si>
    <t>哷</t>
  </si>
  <si>
    <t>[動]
雞鳴。《集韻．入聲．薛韻》：「哷，雞鳴也。」</t>
  </si>
  <si>
    <t>樂</t>
  </si>
  <si>
    <t>[形]_x000D_
歡喜、愉悅。如：「快樂」、「歡樂」、「樂事」。《論語．學而》：「有朋自遠方來，不亦樂乎！」_x000D_
[名]_x000D_
1.快樂的事或態度。如：「人生一大樂」。《左傳．隱公元年》：「其樂也融融。」《論語．雍也》：「回也不改其樂。」_x000D_
2.泛指聲色情事。《國語．越語下》：「今吳王淫於樂而忘其百姓。」_x000D_
[動]_x000D_
1.笑。如：「把一屋子的人都逗樂了！」_x000D_
2.喜愛。如：「樂於助人」、「樂於行善」。</t>
  </si>
  <si>
    <t>(一)ㄩㄝˋ yuè（11743）(三)ㄌㄠˋ lào（03287）(四)ㄧㄠˋ yào（10854）</t>
  </si>
  <si>
    <t>了</t>
  </si>
  <si>
    <t xml:space="preserve">亅 </t>
  </si>
  <si>
    <t>˙ㄌㄜ</t>
  </si>
  <si>
    <t>le</t>
  </si>
  <si>
    <t>[助]
1.置於動詞後，表示動作的結束。如：「到了」、「天黑了」、「吃了再走」。宋．蘇軾〈念奴嬌．大江東去〉詞：「遙想公瑾當年，小喬初嫁了，雄姿英發。」
2.置於句末或句中停頓處。表示不耐煩、勸止等意思。如：「走了，還談這些幹什麼？」、「別哭了，事情會好轉的。」、「好了，吵了一天還不夠！」</t>
  </si>
  <si>
    <t>(一)ㄌㄧㄠˇ liǎo（03539）</t>
  </si>
  <si>
    <t>來</t>
  </si>
  <si>
    <t>ㄌㄞˊ</t>
  </si>
  <si>
    <t>lái</t>
  </si>
  <si>
    <t>[動]_x000D_
1.從別處移動至此處。與「去」、「往」相對而言。《論語．學而》：「有朋自遠方來，不亦樂乎？」《鏡花緣》第一回：「只見魁星後面又來了四位仙長，形容相貌，與眾不同。」_x000D_
2.臨到、發生。如：「這下問題來了！」「事情一來，忙昏頭了！」南朝梁．江淹〈恨賦〉：「置酒欲飲，悲來填膺。」唐．韋莊〈湘中作〉詩：「否去泰來終可待，夜寒休唱飯牛歌。」《舊五代史．卷九八．晉書．列傳．安重榮》：「仰認睿旨，深惟匿瑕，其如天道人心，至務勝殘去虐，須知機不可失，時不再來。」_x000D_
3.表示從過去某個時間點持續到現在。《太平廣記．卷三三三．崔咸》引《通幽記》：「吾舍小娘子，亡來三日，昨夜方歛。」《三國演義》第三回：「肅見布曰：『賢弟別來無恙！』」清．紀昀《閱微草堂筆記．卷四．灤陽消夏錄四》：「古來祈夢斷獄之事，余謂皆事後之附會也述之。」_x000D_
4.替代某個動詞，表示做某種動作。如：「亂來」、「來杯咖啡」、「我報告完了，換你來。」「你拿茶具，桌墊我自己來。」《董西廂》卷一：「教惺惺浪兒每都伏咱，不曾胡來，俏倬是生涯。」《二十年目睹之怪現狀》第七〇回：「聽說那一位小姐，雅的是琴棋書畫，俗的是寫算操作，沒有一件不來的。」_x000D_
5.置於動詞後，表示動作趨向說話者所在之處。如：「捷報傳來，舉國歡騰。」《平妖傳》第一回：「直待南林菴老僧請出一位揭諦尊神，布了天羅地網，遣神將擒來。」《醒世姻緣傳》第一回：「今日將銀錢自己上門送來，連文約也不敢收領。」_x000D_
[形]_x000D_
1.未來的、下一次的。如：「來年」、「來生」。《三國演義》第一回：「來日收拾軍器，但恨無馬匹可乘。」《警世通言．卷六．俞仲舉題詩遇上皇》：「今科不中來科中。」《鏡花緣》第五回：「曾降敕旨，令百花於來晨黎明齊放，以供玩賞。」_x000D_
2.用於數詞或量詞之間，表約略的意思。如：「三十來歲」、「二十來斤」。《祖堂集．卷八．青林和尚》：「五百來人在這裡，莫是不為向上事？」《醒世姻緣傳》第二二回：「利上加利，待到了十來個月，連本錢三、四倍的算將出來。」_x000D_
[助]_x000D_
1.接於形容詞、時間詞等之後，表示某個時候。唐．杜甫〈送李校書二十六韻〉：「小來習性懶，晚節慵轉劇。」《三國演義》第七七回：「適來所言，皆傳聞之事，未足深信。」明．高明《琵琶記》第二一齣：「適來聽得他公婆知道，卻又痛心都害了病。」_x000D_
2.接於動詞之前，表示要做某事。如：「我來唱首歌。」「你來看店。」《金史．卷七七．列傳．宗弼》：「臣構言，今來畫疆，合以淮水中流為界，西有唐、鄧州割屬上國。」《鏡花緣》第一三回：「青天白日，你們這些強盜敢來打劫！」清．孔尚任《桃花扇》第一六齣：「你來幫一幫，也不妨事，只要小心著。」_x000D_
3.接於動詞或動詞詞組之後，表示來的目的。如：「我探望你來了。」「我上課來了。」清．孔尚任《桃花扇》第二九齣：「你就是阮鬍子，今日報讎來了。」_x000D_
4.與「得」或「不」連用，表是否有能力。如：「這事我做得來。」《醒世姻緣傳》第一六回：「況且錢財都有個分定，怎強求得來！」《鏡花緣》第三六回：「這國王恁般狠毒，明是冤家對頭，躲還躲不來，怎敢親近？」_x000D_
5.用於數詞之後，表列舉。如：「一來念他初犯，二來念他年輕，此次暫且饒了他。」《平妖傳》第一三回：「我等一來不可逆天，二來不可忘了指點之恩。」《醒世姻緣傳》第六回：「你可拘束了他同到任去，一來遠避了他，二來帝都所在，那妖魂也不敢隨去。」_x000D_
6.當口語中的襯字，以補足語氣或描摹情態。如：「正月裡來，迎春花兒開。」「不愁吃來，不愁穿。」_x000D_
[名]_x000D_
姓。如周代有來章，唐代有來俊臣。</t>
  </si>
  <si>
    <t>(二)ㄌㄞˋ lài（03212）</t>
  </si>
  <si>
    <t>倈</t>
  </si>
  <si>
    <t>[名]
1.對人的泛稱。有賤視的意思。元．戴善甫《風光好》第二折：「梅香！兀那月下閒行的，正是那倈！」
2.戲曲中扮演小孩的角色。元．王實甫《西廂記．第四本．第二折》：「倈云：『奶奶知道你和姐姐去花園裡去，如今要打。』」元．孟漢卿《魔合羅．楔子》：「正末扮李德昌同旦、倈上云：『自家李德昌是也。』」</t>
  </si>
  <si>
    <t>淶</t>
  </si>
  <si>
    <t>[名]
淶水：河川名。源於大陸地區河北省淶陽縣西境，東流至易縣注入易水。</t>
  </si>
  <si>
    <t>郲</t>
  </si>
  <si>
    <t>[名]
地名。春秋時鄭屬地，故址約在今大陸地區河南省滎陽縣境。</t>
  </si>
  <si>
    <t>崍</t>
  </si>
  <si>
    <t>[名]
崍山：山名。在大陸地區四川省灌縣西，邛水發源處。也稱為「邛崍山」。</t>
  </si>
  <si>
    <t>徠</t>
  </si>
  <si>
    <t>[動]
從某處到此處。同「來」(一)。如：「招徠」。</t>
  </si>
  <si>
    <t>(二)ㄌㄞˋ lài（03214）</t>
  </si>
  <si>
    <t>猍</t>
  </si>
  <si>
    <t>[名]
中國少數民族之一，散布於大陸地區廣西。</t>
  </si>
  <si>
    <t>棶</t>
  </si>
  <si>
    <t>[名]
棶木：植物名。四照花科棶木屬，落葉喬木。葉對生，橢圓形卵狀，全緣或有不整齊之波狀細齒。繖房狀聚繖花序頂生，被柔毛，花白色。核果球形，暗紫色，內藏兩枚種子。種子供作榨油之用。樹皮可入藥，材質細緻、堅硬，是優良的建築材料。也稱為「椋子木」。</t>
  </si>
  <si>
    <t>萊</t>
  </si>
  <si>
    <t>[名]
1.植物名。藜科藜屬，一年生草本。葉卵形，質柔形闊，邊緣呈鋸齒狀。有香氣，嫩葉可食。也稱為「藜」。
2.不耕種而蔓草叢生的田地。《周禮．地官．縣師》：「而辨其夫家人民田萊之數。」
3.雜草、穢草。《詩經．小雅．十月之交》：「徹我牆屋，田卒汙萊。」唐．孔穎達．正義：「萊者，草穢之名。」
4.國名。春秋時為齊靈公所滅。故址約在今大陸地區山東省黃縣東南。
5.姓。如春秋時晉國有萊駒。
[動]
除草。《周禮．地官．山虞》：「若大田獵，則萊山田之野。」</t>
  </si>
  <si>
    <t>錸</t>
  </si>
  <si>
    <t>[名]
（rhenium，Re）化學元素。原子序75。是一種過渡金屬元素，在自然界含量少，分散於輝鉬礦中。熔點高達攝氏三千一百八十度。耐高溫、耐腐蝕，具良好機械性能，電阻高。常用來製造電燈燈絲，人造衛星及火箭的外殼等。</t>
  </si>
  <si>
    <t>騋</t>
  </si>
  <si>
    <t>[名]
高七尺以上的馬。《說文解字．馬部》：「騋，馬七尺為騋。」</t>
  </si>
  <si>
    <t>鶆</t>
  </si>
  <si>
    <t>[名]
鶆䴈：動物名。鶆䴈目鶆䴈科。似鴕鳥，但較小，不會飛。有三支腳趾。善游泳。為一夫多妻制。以植物、軟體動物、蜥蜴等為食。產於南美洲。</t>
  </si>
  <si>
    <t>鯠</t>
  </si>
  <si>
    <t>[名]
鰣魚的別名。明．張自烈《正字通．魚部》：「鯠，鰣魚別名。」</t>
  </si>
  <si>
    <t>ㄌㄞˋ</t>
  </si>
  <si>
    <t>lài</t>
  </si>
  <si>
    <t>同「徠」(二)。</t>
  </si>
  <si>
    <t>(一)ㄌㄞˊ lái（03199）</t>
  </si>
  <si>
    <t>勑</t>
  </si>
  <si>
    <t>(二)ㄔˋ chì（▲08213）</t>
  </si>
  <si>
    <t>[動]
慰勞、安撫。《晉書．卷六二．劉琨傳》：「琨撫循勞徠，甚得物情。」</t>
  </si>
  <si>
    <t>(一)ㄌㄞˊ lái（03204）</t>
  </si>
  <si>
    <t>睞</t>
  </si>
  <si>
    <t>[形]_x000D_
目中瞳仁不正。《說文解字．目部》：「睞，目童子不正也。」_x000D_
[動]_x000D_
1.看。南朝宋．謝靈運〈登上戍石鼓山〉詩：「極目睞左闊，迴顧眺右狹。」唐．劉禹錫〈昏鏡詞并引〉：「今來市者，必歷鑒周睞，求與己宜。」_x000D_
2.旁視，斜眼看。《文選．卷一九．賦．曹植．洛神賦》：「明眸善睞，靨輔承權。」唐．李善．注：「睞，旁視也。」</t>
  </si>
  <si>
    <t>賚</t>
  </si>
  <si>
    <t>[動]
賞賜、賜予。《書經．湯誓》：「予其大賚汝。」《聊齋志異．卷四．促織》：「撫軍亦厚賚成。」
[名]
《詩經．周頌》的篇名。共一章。根據〈詩序〉：「〈賚〉，大封於廟也。〈賚〉，予也。言所以錫予善人也。」指武王克殷，歸告文王之廟之詩。本章二句為：「文王既勤止，我應受之。」</t>
  </si>
  <si>
    <t>厲</t>
  </si>
  <si>
    <t>[名]_x000D_
痲瘋病。同「癩」。《戰國策．秦策三》：「漆身而為厲，被髮而為狂。」《史記．卷八六．刺客列傳．豫讓》：「豫讓又漆身為厲，吞炭為啞，使形狀不可知。」</t>
  </si>
  <si>
    <t>(一)ㄌㄧˋ lì（03477）</t>
  </si>
  <si>
    <t>賴</t>
  </si>
  <si>
    <t>[動]
1.依靠。如：「依賴」、「仰賴」、「信賴」。《孝經．開宗明義章》：「一人有慶，兆民賴之。」
2.留在某處不動。如：「賴床」、「自己走！別賴在媽媽身上。」
3.不承認錯誤或推卸責任。如：「天理昭彰！你賴不掉的。」《水滸傳》第二九回：「贓物正在你箱子內搜出來，如何賴得過？」
4.拖欠。《老殘遊記》第一九回：「我家有的是錢，從來沒賴過人的帳。」
5.訛指、誣認。如：「誣賴」。《紅樓夢》第八六回：「實是誤傷，怎麼賴人？」
[形]
不好、壞。如：「這部影集播出後，風評還真不賴。」
[副]
幸虧、幸而。唐．韋應物〈溫泉行〉：「弊裘羸馬凍欲死，賴遇主人杯酒多。」唐．錢起〈罷章陵令山居過中峰道者〉詩二首之二：「賴遇無心雲，不笑歸來晚。」
[名]
1.餘利、利潤。《國語．齊語》：「相語以利，相示以賴。」
2.姓。漢代有賴先，清代有賴文光。</t>
  </si>
  <si>
    <t>瀨</t>
  </si>
  <si>
    <t>[名]
沙或石上淺而急的流水。《楚辭．屈原．九歌．湘君》：「石瀨兮淺淺，飛龍兮翩翩。」唐．柳宗元〈袁家渴記〉：「衝濤旋瀨，退貯谿谷。」</t>
  </si>
  <si>
    <t>藾</t>
  </si>
  <si>
    <t>[名]
1.一種草。《爾雅．釋草》：「苹，藾蕭。」晉．郭璞．注：「今藾蒿也。初生亦可食。」
2.蔭。《莊子．人間世》：「南伯子綦游乎商之丘，見大木焉，有異，結駟千乘，隱將芘其所藾。」唐．陸德明《經典釋文．卷二六．莊子音義上》：「向云：『藾，蔭也』，可以蔭芘千乘也。」</t>
  </si>
  <si>
    <t>癩</t>
  </si>
  <si>
    <t>[名]_x000D_
1.病名。即麻瘋。參見「麻瘋」條。《二刻拍案驚奇》卷三一：「不想自此之後，喇虎渾身生起癩來，起床不得。」清．徐珂《清稗類鈔．譏諷類．大瘋歌》：「粵南為瘴癘之鄉，有大麻瘋，一名癩，到處流行。」_x000D_
2.生癬或疥瘡而使毛髮脫落的狀況。如：「他因頭上長癬，毛髮脫落成了癩子。」_x000D_
[形]_x000D_
不好。通「賴」。如：「東西有好有癩。」</t>
  </si>
  <si>
    <t>籟</t>
  </si>
  <si>
    <t>[名]
1.樂器名，吹管樂器：(1)古代的一種管樂器。三孔。《說文解字．竹部》：「籟，三孔龠也。大者謂之笙，其中謂之籟，小者謂之箹。」(2)簫。《史記．卷一一七．司馬相如列傳》：「吹鳴籟。」裴駰集解引《漢書音義》：「籟，簫也。」
2.本指從孔竅中所發出的聲音，後泛指一切的聲音。如：「天籟」、「人籟」、「萬籟俱寂」。南朝梁．劉勰《文心雕龍．原道》：「至於林籟結響，調如竽瑟。」晉．王羲之〈蘭亭〉詩二首之一：「群籟雖參差，適我無非新。」</t>
  </si>
  <si>
    <t>ㄌㄟ</t>
  </si>
  <si>
    <t>lēi</t>
  </si>
  <si>
    <t>[動]
1.以繩索繫緊而用力拉扯。如：「勒緊」、「勒死」。
2.使向上緊附。《儒林外史》第四二回：「自己把兩個袖子只管往上勒。」</t>
  </si>
  <si>
    <t>(一)ㄌㄜˋ lè（03192）</t>
  </si>
  <si>
    <t>累</t>
  </si>
  <si>
    <t>ㄌㄟˊ</t>
  </si>
  <si>
    <t>léi</t>
  </si>
  <si>
    <t>[名]
繩索。通「縲」。《莊子．外物》：「夫揭竿累，趣灌瀆，守鯢鮒，其於得大魚難矣。」唐．成玄英．疏：「累，細繩也。」
[動]
綑綁。《孟子．梁惠王下》：「若殺其父兄，係累其子弟。」
[形]
參見「累贅」條。</t>
  </si>
  <si>
    <t>(一)ㄌㄟˇ lěi（03239）(二)ㄌㄟˋ lèi（03251）</t>
  </si>
  <si>
    <t>嫘</t>
  </si>
  <si>
    <t>[名]
姓。西陵氏女嫘祖，為黃帝正妃，後世以嫘為氏。</t>
  </si>
  <si>
    <t>蔂</t>
  </si>
  <si>
    <t>[名]
1.古人用來盛土的一種竹器，底深而有蓋。漢．桓寬《鹽鐵論．詔聖》：「劓鼻盈蔂，斷足盈車。」
2.一種登山用具。通「欙」。《淮南子．脩務》：「水之用舟，沙之用鳩，泥之用輴，山之用蔂。」</t>
  </si>
  <si>
    <t>縲</t>
  </si>
  <si>
    <t>[名]
繫綁人犯或物品的大繩。《集韻．平聲．脂韻》：「縲，大索。」</t>
  </si>
  <si>
    <t>雷</t>
  </si>
  <si>
    <t>[名]
1.大氣放電時，激盪空氣所發出的巨響。如：「春雷」、「打雷」。
2.武器名。一種爆炸性的火器。如：「水雷」、「地雷」、「魚雷」、「掃雷」。
3.姓。如漢代有雷義。
[副]
1.比喻聲音很大。《楚辭．屈原．卜居》：「黃鐘毀棄，瓦釜雷鳴。」
2.比喻迅捷。唐．柳宗元〈晉問〉：「千里雷馳，重馬輕車。」</t>
  </si>
  <si>
    <t>擂</t>
  </si>
  <si>
    <t>[動]
1.研磨。如：「擂沙」、「擂藥」。
2.搥打、敲擊。如：「擂鼓」、「擂胸」。</t>
  </si>
  <si>
    <t>(二)ㄌㄟˋ lèi（03253）</t>
  </si>
  <si>
    <t>檑</t>
  </si>
  <si>
    <t>[名]
古代用於防衛的一種圓柱形大木頭，作戰時從高處推下攻擊敵人，俗稱為「滾木」。《資治通鑑．卷二五二．唐紀六十八．懿宗咸通十一年》：「立戰棚，具砲檑，造器備。」元．胡三省．注：「檑，檑木也。自城上下之以壓敵。」</t>
  </si>
  <si>
    <t>鐳</t>
  </si>
  <si>
    <t>[名]
1.（radium，Ra）化學元素。原子序88。鹼土金屬元素之一，西元一八九八年由居禮夫婦從瀝青礦中分離而得。銀白色，有光澤，具很強的放射性，能不斷放出大量的熱。鐳及其鹽類在學術及醫療上極為重要，放射線可破壞動物體的組織，並能殺死細菌，是治療癌症的重要物質。
2.瓶、壺之類的器具。晉．潘岳〈馬汧督誄〉：「寘壺鐳瓶甒以偵之。」</t>
  </si>
  <si>
    <t>羸</t>
  </si>
  <si>
    <t>[形]
1.瘦弱。如：「羸馬」。《南史．卷四六．周盤龍傳》：「形甚羸而臨軍勇果，諸將莫逮。」唐．司空圖〈商山〉詩二首之一：「清溪一路照羸身，不似雲臺畫像人。」
2.疲憊。如：「羸兵」、「羸憊」。《三國志．卷五八．吳書．陸遜傳》：「羸弊日久，難以待變。」
3.破舊。《漢書．卷九二．游俠傳．陳遵傳》：「公府掾史率皆羸車小馬，不上鮮明，而遵獨極輿馬衣服之好。」
[動]
以繩索鉤取、纏繞。《易經．大壯卦．九三》：「羝羊觸藩，羸其角。」唐．孔穎達．正義：「羸，拘羸纏繞也。」</t>
  </si>
  <si>
    <t>罍</t>
  </si>
  <si>
    <t>[名]
古代一種盛酒或水的容器。外形像壺，小口、兩耳、深腹、有蓋，表面並刻有雲雷紋形為飾。《詩經．周南．卷耳》：「我姑酌彼金罍，維以不永懷。」清．蔣士銓〈鳴機夜課圖記〉：「吾母脫簪珥，治酒漿，盤罍間未嘗有儉色。」</t>
  </si>
  <si>
    <t>纍</t>
  </si>
  <si>
    <t>[名]
1.大繩索。《漢書．卷五四．李廣傳》：「以劍斫絕纍，欲刺虎。」
2.姓。如春秋時晉國有纍彪。
[動]
1.綑綁、囚繫。唐．李翶〈楊烈婦傳〉：「蓋將掠其玉帛，俘纍其男女。」
2.纏繞。《詩經．周南．樛木》：「南有樛木，葛藟纍之。」
[形]
參見「纍纍」條。</t>
  </si>
  <si>
    <t>轠</t>
  </si>
  <si>
    <t>[名]
車。《集韻．上聲．旨韻》：「轠，轤車。」
[動]
碰擊。《漢書．卷九二．游俠傳．陳遵傳》：「一旦叀礙，為瓽所轠。」唐．顏師古．注：「轠，擊也。言瓶忽縣礙不得下，而為井瓽所擊，則破碎也。」
[形]
連續不絕。元．熊忠《古今韻會舉要．平聲．灰韻》：「轠，不絕也。」《文選．揚雄．羽獵賦》：「繽紛往來，轠轤不絕。」李善注引孟康曰：「轠轤，連屬貌。」</t>
  </si>
  <si>
    <t>㶟</t>
  </si>
  <si>
    <t>ㄌㄟˇ</t>
  </si>
  <si>
    <t>lěi</t>
  </si>
  <si>
    <t>參見「㶟水」條。</t>
  </si>
  <si>
    <t>(二)（又音）ㄌㄟˊ léi（11909）</t>
  </si>
  <si>
    <t>耒</t>
  </si>
  <si>
    <t>[名]
1.古代木製耕具上的曲柄。《易經．繫辭下》：「斲木為耜，楺木為耒。」
2.需用手推耕的犁。《韓非子．五蠹》：「因釋其耒而守株，冀復得兔。」《文選．沈約．齊故安陸昭王碑文》：「耕夫釋耒，桑婦下機。」
3.二一四部首之一。</t>
  </si>
  <si>
    <t>誄</t>
  </si>
  <si>
    <t>[動]
1.累述死者生前的功德以示哀悼並封以稱號。《禮記．檀弓上》：「魯哀公誄孔丘曰：『天不遣耆老，莫相予位焉。嗚呼哀哉，尼父！』」
2.禱述功德以求福。《論語．述而》：「誄曰：『禱爾于上下神祇。』」
[名]
文體名。一種哀祭文，是敘述死者生前德行、功業的韻文。如：「哀誄」、「銘誄」。</t>
  </si>
  <si>
    <t>[動]
1.堆積、集聚。如：「累積」、「日積月累」。《史記．卷四．周本紀》：「西伯積善累德，諸侯皆嚮之。」
2.增加。《韓非子．五蠹》：「雖倍賞累罰而不免於亂。」
[形]
1.屢次、連續。如：「累次」、「經年累月」。《史記．卷四七．孔子世家》：「累世不能殫其學，當年不能究其禮。」唐．杜甫〈贈衛八處士〉詩：「主稱會面難，一舉累十觴。」
2.重疊的。《楚辭．宋玉．招魂》：「層臺累榭，臨高山些。」《史記．卷七九．范雎傳》：「秦王之國，危於累卵。」
[副]
頻頻。《後漢書．卷六五．段熲傳》：「久亂并涼，累侵三輔。」《晉書．卷八四．楊佺期傳》：「累戰皆捷，斬獲千計。」</t>
  </si>
  <si>
    <t>(二)ㄌㄟˋ lèi（03251）(三)ㄌㄟˊ léi（03224）</t>
  </si>
  <si>
    <t>蜼</t>
  </si>
  <si>
    <t>參見「蜼彞」條。</t>
  </si>
  <si>
    <t>磊</t>
  </si>
  <si>
    <t>[形]
1.眾多石塊累積在一起。《楚辭．屈原．九歌．山鬼》：「采三秀兮於山間，石磊磊兮葛蔓蔓。」《文選．古詩十九首．青青陵上栢》：「青青陵上栢，磊磊澗中石。」
2.高大。唐．韓愈〈記夢〉詩：「隆樓傑閣磊嵬高，天風飄飄吹我過。」</t>
  </si>
  <si>
    <t>蕾</t>
  </si>
  <si>
    <t>[名]
含苞未開的花。如：「花蕾」、「蓓蕾」。</t>
  </si>
  <si>
    <t>儡</t>
  </si>
  <si>
    <t>[形]_x000D_
1.敗壞、損毀。唐．劉禹錫〈猶子蔚適越誡〉：「若知彞器乎！……苟措非其所，一有毫髮之傷，儡然與破甑為伍矣。」_x000D_
2.清瘦、憔悴。《文選．潘岳．寡婦賦》：「容貌儡以頓悴兮，左右悽其相慜。」_x000D_
[名]_x000D_
參見「傀儡」條。</t>
  </si>
  <si>
    <t>壘</t>
  </si>
  <si>
    <t>[名]
1.軍營中防守的掩蔽體或城堡。如：「壁壘」、「堡壘」。
2.棒、壘球比賽中，提示選手跑步得分的標示物。如：「一、二壘有人。」
3.姓。如晉代有壘錫。
[動]
用土、石或磚等堆砌起來。通「累」。如：「壘牆」。唐．姚合〈武功縣中作〉詩三〇首之二八：「壘階溪石淨，燒竹灶煙輕。」</t>
  </si>
  <si>
    <t>(二)ㄌㄩˋ lǜ（03903）</t>
  </si>
  <si>
    <t>藟</t>
  </si>
  <si>
    <t>[名]
1.藤葛類蔓生的草。《詩經．周南．樛木》：「南有樛木，葛藟纍之。」
2.含苞未開的花。同「蕾」。宋．范成大〈丙午新正書懷〉詩一〇首之七：「蕉心翠展一冬在，梅藟粉融連夜開。」宋．陸游〈小園〉詩：「晨露每看花藟坼，夕陽頻見樹陰移。」
[動]
纏繞。唐．王績〈古意〉詩六首之三：「漁人遞往還，網罟相縈藟。」</t>
  </si>
  <si>
    <t>礧</t>
  </si>
  <si>
    <t>[名]
大石。《文選．王延壽．魯靈光殿賦》：「蔥翠紫蔚，礧碨瑰瑋。」</t>
  </si>
  <si>
    <t>(二)ㄌㄟˋ lèi（▲03254）</t>
  </si>
  <si>
    <t>礨</t>
  </si>
  <si>
    <t>[名]
礨空：小洞穴。《莊子．秋水》：「計四海之在天地之間也，不似礨空之在大澤乎？」</t>
  </si>
  <si>
    <t>欙</t>
  </si>
  <si>
    <t>[名]
古代走山路所乘坐的交通工具。《說文解字．木部》：「欙，山行所乘者。……陸行乘車，山行乘欙。」</t>
  </si>
  <si>
    <t>ㄌㄟˋ</t>
  </si>
  <si>
    <t>lèi</t>
  </si>
  <si>
    <t>參見「肋條」、「肋巴扇兒」等條。</t>
  </si>
  <si>
    <t>(一)（讀音）ㄌㄜˋ lè（03190）</t>
  </si>
  <si>
    <t>淚</t>
  </si>
  <si>
    <t>[名]
從眼睛流出來的液體。如：「流淚」、「落淚」。俗稱為「眼淚」、「淚水」。</t>
  </si>
  <si>
    <t>[動]
1.操勞、使疲勞。如：「累得直不起腰來。」、「別累著了老人家！」
2.牽涉、牽連。如：「拖累」、「連累」、「受累」、「累及他人」。《左傳．隱公十一年》：「相時而動，無累後人。」《新唐書．卷九六．房玄齡傳》：「漢王諒反，坐累，徙上郡。」
3.耗損、虧欠。如：「虧累」。《聊齋志異．卷四．促織》：「不終歲，薄產累盡。」
4.傷害。《書經．旅獒》：「不矜細行，終累大德。」唐．韓愈〈上張僕射第二書〉：「小何傷於面目，大何累於形軀者哉。」
5.託咐。《韓非子．外儲說右上》：「吾欲以國累子，子必勿泄也。」《漢書．卷八四．翟方進傳》：「天其累我以民。」唐．顏師古．注：「累，託也。」
[形]
疲勞。如：「勞累」、「疲累」、「我好累！」
[名]
1.負擔。如：「家累」。《呂氏春秋．審分覽．審分》：「主無所避其累矣。」漢．高誘．注：「累，猶負也。」唐．皮日休〈鹿門隱書六十篇〉：「古之官人也，以天下為己累，故己憂之。」
2.憂患、禍害。《戰國策．秦策一》：「本漢中南邊為楚利，此國累也。」漢．高誘．注：「累，憂。」
3.弊病、過失。《文選．曹丕．典論論文》：「蓋君子審己以度人，故能免于斯累而作論文。」南朝宋．劉義慶《世說新語．雅量》：「同是一累，而未判其得失。」</t>
  </si>
  <si>
    <t>(一)ㄌㄟˇ lěi（03239）(三)ㄌㄟˊ léi（03224）</t>
  </si>
  <si>
    <t>酹</t>
  </si>
  <si>
    <t>[動]
以酒灑地而祭。唐．李白〈山人勸酒〉詩：「舉觴酹巢由，洗耳何獨清。」宋．蘇軾〈念奴嬌．大江東去〉詞：「人間如夢，一尊還酹江月。」</t>
  </si>
  <si>
    <t>參見「擂臺」條。</t>
  </si>
  <si>
    <t>(一)ㄌㄟˊ léi（03229）</t>
  </si>
  <si>
    <t>礌</t>
  </si>
  <si>
    <t>參見「礌石」條。</t>
  </si>
  <si>
    <t>類</t>
  </si>
  <si>
    <t>[名]
1.由許多相同或相似的人事物綜合而歸屬成的種別。如：「人類」、「菌類」、「敗類」、「非我族類」。
2.事理。《孟子．告子上》：「心不若人，則不知惡，此之謂不知類也。」
3.法則、榜樣。《楚辭．屈原．九章．懷沙》：「明告君子，吾將以為類兮。」《禮記．緇衣》：「下之事上也，身不正，言不信，則義不壹，行無類也。」
4.量詞。計算事物類別的單位。如：「兩類情況」、「三類貨物」。
5.姓。如宋代有類演。
[動]
相似。如：「相類」、「畫虎類犬」。
[副]
大概、大抵。如：「類皆如此」。《漢書．卷七六．尹翁歸傳》：「類常如翁歸言，無有遺脫緩於小弱，急於豪彊。」</t>
  </si>
  <si>
    <t>纇</t>
  </si>
  <si>
    <t>[名]
1.絲的纏結。唐．白居易〈和微之春日投簡陽明洞天五十韻〉：「柳眼黃絲纇，花房絳蠟珠。」
2.瑕疵、缺點。《淮南子．氾論》：「明月之珠，不能無纇。」
3.花苞、蓓蕾。宋．梅堯臣〈湖州寒食陪太守南園宴〉詩：「寒食二月三月交，紅桃破纇柳染梢。」宋．晏殊〈鳳銜盃．柳條花纇惱青春〉詞：「柳條花纇惱青春，更那堪、飛絮紛紛。」
[形]
乖戾。《左傳．昭公二十八年》：「貪惏無饜，忿纇無期。」</t>
  </si>
  <si>
    <t>禷</t>
  </si>
  <si>
    <t>[動]
因特別事故祭祀天神。《新唐書．卷一六．禮樂志六》：「乃禷于昊天上帝。」</t>
  </si>
  <si>
    <t>撈</t>
  </si>
  <si>
    <t>ㄌㄠ</t>
  </si>
  <si>
    <t>lāo</t>
  </si>
  <si>
    <t>[動]
1.從水中取出東西。如：「撈魚」、「撈蝦」、「打撈」。唐．舒元輿〈坊州按獄〉詩：「山禿逾高採，水窮益深撈。」
2.獲得、以不正當的手段取得。如：「撈油水」、「他趁機撈了一筆。」</t>
  </si>
  <si>
    <t>(一)ㄌㄠˊ láo（03263）</t>
  </si>
  <si>
    <t>牢</t>
  </si>
  <si>
    <t>ㄌㄠˊ</t>
  </si>
  <si>
    <t>láo</t>
  </si>
  <si>
    <t>[名]
1.飼養牲畜的圈欄。《說文解字．牛部》：「牢，閑，養牛馬圈也。」如：「亡羊補牢」。《詩經．大雅．公劉》：「執豕于牢，酌之用匏。」
2.監獄。如：「坐牢」、「監牢」、「牢獄之災」。《文選．司馬遷．報任少卿書》：「故有畫地為牢，勢不可入。」
3.古代祭祀用的牲畜。如：「太牢」、「少牢」。《漢書．卷二五．郊祀志上》：「雍之諸祠自此興。用三百牢於鄜畤。」
4.姓。如漢代有牢梁。
[形]
堅固。如：「牢固」、「牢不可破」。唐．韓愈〈贈劉師服〉詩：「羨君齒牙牢且潔，大肉硬餅如刀截。」</t>
  </si>
  <si>
    <t>哰</t>
  </si>
  <si>
    <t>參見「哰哰」條。</t>
  </si>
  <si>
    <t>勞</t>
  </si>
  <si>
    <t>[動]
1.辛勤、努力做事。如：「勞動」、「操勞」、「不勞而獲」。《國語．越語下》：「未盛而驕，不勞而矜其功。」
2.煩擾，為請人幫忙的客套話。如：「勞煩」、「勞駕」、「偏勞」。
[名]
1.成績、功勛。如：「功勞」、「汗馬之勞」。《史記．卷八一．廉頗藺相如傳》：「我為趙將，有攻城野戰之大功，而藺相如徒以口舌為勞，而位居我上。」
2.辛苦、疲累。如：「積勞成疾」、「吃苦耐勞」。《漢書．卷六九．趙充國傳》：「以逸擊勞，取勝之道也。」
3.勞動者的簡稱。如：「勞資關係」、「勞資雙方」、「勞資糾紛」。
4.姓。如漢代有勞丙。
[形]
辛勤、疲倦。如：「勤勞」、「疲勞」。</t>
  </si>
  <si>
    <t>(二)ㄌㄠˋ lào（03283）</t>
  </si>
  <si>
    <t>僗</t>
  </si>
  <si>
    <t>[助]
北方罵人常用的語詞，無義。如：「僗什子」。元．王實甫《西廂記．第一本．第四折》：「舉名的班首真呆僗，覷著法聰頭做金磬敲。」</t>
  </si>
  <si>
    <t>參見「撈什子」條。</t>
  </si>
  <si>
    <t>(二)ㄌㄠ lāo（03258）</t>
  </si>
  <si>
    <t>嘮</t>
  </si>
  <si>
    <t>參見「嘮叨」、「嘮嘮」等條。</t>
  </si>
  <si>
    <t>嶗</t>
  </si>
  <si>
    <t>[名]
山名。位於山東省青島市嶗山區境內。</t>
  </si>
  <si>
    <t>癆</t>
  </si>
  <si>
    <t>[名]
因結核菌所引起的傳染病。如：「肺癆」、「腸癆」。《紅樓夢》第七八回：「寶玉屋裡有個晴雯，……前日又病倒了十幾天，叫大夫瞧，說是女兒癆。」</t>
  </si>
  <si>
    <t>轑</t>
  </si>
  <si>
    <t>[動]
用器具刮物，使其有聲。《漢書．卷三六．楚元王劉交傳》：「嫂厭叔與客來，陽為羹盡，轑釜，客以故去。」唐．顏師古．注：「以勺轢釜，令為聲也。」</t>
  </si>
  <si>
    <t>(一)ㄌㄠˇ lǎo（03277）</t>
  </si>
  <si>
    <t>醪</t>
  </si>
  <si>
    <t>[名]
混含渣滓的濁酒。《說文解字．酉部》：「醪，汁滓酒也。」《文選．劉伶．酒德頌》：「先生於是方捧甖承槽，銜杯漱醪。」</t>
  </si>
  <si>
    <t>老</t>
  </si>
  <si>
    <t>ㄌㄠˇ</t>
  </si>
  <si>
    <t>lǎo</t>
  </si>
  <si>
    <t>[名]
1.年長的人。如：「扶老攜幼」、「敬老尊賢」。
2.對長輩的尊稱。如：「劉老」、「于老」。
3.老子及其哲學的簡稱。如：「老莊」、「佛老」。《史記．卷六三．老子韓非傳》：「申子之學本於黃老而主刑名，著書二篇，號曰申子。」
4.姓。如宋代有老佐、老麻。
5.二一四部首之一。
[動]
1.尊敬。《孟子．梁惠王上》：「老吾老以及人之老，幼吾幼以及人之幼。」
2.退休。《左傳．隱公三年》：「桓公立，（石碏）乃老。」晉．杜預．注：「老，致仕也。」《金史．卷六六．始祖以下諸子傳》：「勗髭鬢頓白，因上表請老。」
[形]
1.年紀大。如：「老兵」、「老人」。宋．蘇軾〈吉祥寺賞牡丹〉詩：「人老簪花不自羞，花應羞上老人頭。」
2.熟練、經驗豐富。如：「老手」、「老練」、「老江湖」。
3.陳舊、過時。如：「老米」、「老式」、「老套」。
4.年久的。如：「老交情」、「老主顧」、「老字號」。
5.原來的。如：「老地方」、「老規矩」、「老話題」。
6.加在稱呼、姓氏上，表示尊敬或親暱。如：「老師」、「老闆」、「老李」、「老王」。
[副]
1.總是、常常。如：「老是頭痛。」、「你老是挑我的毛病。」
2.很、極。如：「老遠」、「老早」。
[綴]
1.加在兄弟姊妹排行的次序上。如：「老大」、「老二」、「老么」。
2.加在動物名稱上。如：「老鷹」、「老虎」、「老鼠」。</t>
  </si>
  <si>
    <t>佬</t>
  </si>
  <si>
    <t>[名]_x000D_
廣東人對成年男子的稱呼，如：「大佬」。《清稗類鈔．方言類．廣州方言》：「村佬，性情言語舉止衣服帶有土氣者也。」後引申為對某種人粗俗的稱呼。如：「和事佬」、「北方佬」、「南方佬」。有時作為對人語帶譏諷或輕視的稱呼，如：「闊佬」、「鄉巴佬」。</t>
  </si>
  <si>
    <t>狫</t>
  </si>
  <si>
    <t>參見「犵狫族」條。</t>
  </si>
  <si>
    <t>參見「姥姥」條。</t>
  </si>
  <si>
    <t>(一)ㄇㄨˇ mǔ（01503）</t>
  </si>
  <si>
    <t>栳</t>
  </si>
  <si>
    <t>參見「栲栳」、「栳栳」、「栳樟」等條。</t>
  </si>
  <si>
    <t>銠</t>
  </si>
  <si>
    <t>[名]
（rhodium，Rh）化學元素。原子序45。過渡金屬元素之一，存於鋨銥礦和鉑礦中。銀白色金屬，性硬、耐磨，通常鍍在探照燈及反射鏡上，並且可用來製造熱電偶及鉑銠合金等。化學上常用作觸媒。</t>
  </si>
  <si>
    <t>潦</t>
  </si>
  <si>
    <t>[形]
雨下很大的樣子。《禮記．曲禮上》：「水潦降，不獻魚鱉。」
[名]
積水。《禮記．曲禮上》：「送葬不避塗潦。」《韓非子．外儲說右上》：「天雨，廷中有潦，太子遂驅車至於茆門。」</t>
  </si>
  <si>
    <t>(一)ㄌㄠˋ lào（03286）(三)ㄌㄧㄠˊ liáo（03525）</t>
  </si>
  <si>
    <t>橑</t>
  </si>
  <si>
    <t>[名]
1.屋椽。《廣韻．上聲．皓韻》：「橑，簷前木。」《楚辭．屈原．九歌．湘夫人》：「桂棟兮蘭橑，辛夷楣兮藥房。」
2.傘蓋的弓形骨架。《廣韻．平聲．蕭韻》：「橑，蓋骨也。」《淮南子．說林》：「蓋非橑不能蔽日，輪非輻不能追疾。」
3.薪火、柴火。《管子．侈靡》：「雕卵然後瀹之，雕橑然後爨之。」漢．王充《論衡．書虛》：「析橑，斧斬其足，卒為守者。」</t>
  </si>
  <si>
    <t>[名]
車篷的骨架。《說文解字．車部》：「轑，車蓋弓也。」漢．劉熙《釋名．釋車》：「轑，蓋叉也，如屋構橑也。」</t>
  </si>
  <si>
    <t>(二)ㄌㄠˊ láo（03267）</t>
  </si>
  <si>
    <t>鐒</t>
  </si>
  <si>
    <t>[名]_x000D_
（lawrencium，Lr）化學元素。原子序103。是人工合成的放射性元素。</t>
  </si>
  <si>
    <t>烙</t>
  </si>
  <si>
    <t>ㄌㄠˋ</t>
  </si>
  <si>
    <t>lào</t>
  </si>
  <si>
    <t>[動]
1.用燒熱的金屬在牛馬或物體上留下標誌。如：「烙印」。
2.熨、燙。如：「烙衣服」。
3.將食物放在燒熱的鍋上烤熟。如：「烙餅」。《儒林外史》第一回：「王冕自到廚下烙了一斤麵餅，炒了一盤韭菜，自捧出來陪著。」</t>
  </si>
  <si>
    <t>(二)（讀音）ㄌㄨㄛˋ luò（03815）</t>
  </si>
  <si>
    <t>絡</t>
  </si>
  <si>
    <t>參見「絡子」條。</t>
  </si>
  <si>
    <t>(一)ㄌㄨㄛˋ luò（03818）</t>
  </si>
  <si>
    <t>酪</t>
  </si>
  <si>
    <t>[名]
1.以動物乳汁所製成的半凝固食品。如：「乳酪」、「牛酪」。
2.以果實熬煮而成的糊狀物。如：「杏仁酪」、「核桃酪」。</t>
  </si>
  <si>
    <t>(一)（讀音）ㄌㄨㄛˋ luò（03819）</t>
  </si>
  <si>
    <t>[名]
參見「落子」、「蓮花落」等條。
[動]
1.降落。如：「鳥兒落在樹上。」
2.(一)[動]之又音。</t>
  </si>
  <si>
    <t>(一)ㄌㄨㄛˋ luò（03820）(三)ㄌㄚˋ là（03179）</t>
  </si>
  <si>
    <t>[動]
慰問。如：「慰勞」、「勞軍」。《儀禮．覲禮》：「北面立，王勞之，再拜稽首。」宋．張舜民〈打麥〉詩：「曲終厭飫勞童僕，豈信田家未入脣。」</t>
  </si>
  <si>
    <t>(一)ㄌㄠˊ láo（03261）</t>
  </si>
  <si>
    <t>澇</t>
  </si>
  <si>
    <t>[名]
1.水災。如：「防旱防澇」。《三國志．卷一六．魏書．任蘇杜鄭倉傳．鄭渾》：「郡界下溼，患水澇，百姓飢乏。」唐．丁仙芝〈贈朱中書〉詩：「十年種田濱五湖，十年遭澇盡為蕪。」
2.波濤。《文選．卷一二．賦．木華．海賦》：「飛澇相磢，激勢相沏。」唐．李善．注：「澇，大波也。」唐．宋昱〈樟亭觀濤〉詩：「激流起平地，吹澇上侵空。」</t>
  </si>
  <si>
    <t>嫪</t>
  </si>
  <si>
    <t>[動]
愛惜、眷戀。唐．釋玄應《一切經音義．卷二八．正法花經》：「嫪，婟也。謂戀不能去也。」唐．韓愈〈薦士〉詩：「念將決焉去，感物增戀嫪。」
[名]
姓。如戰國時秦國有嫪毐。</t>
  </si>
  <si>
    <t>[動]
淹水，雨多成災。通「澇」。《莊子．秋水》：「禹之時十年九潦，而水弗為加益。」《後漢書．卷六．孝順帝紀》：「比年水潦，民食不贍。」</t>
  </si>
  <si>
    <t>(二)ㄌㄠˇ lǎo（03275）(三)ㄌㄧㄠˊ liáo（03525）</t>
  </si>
  <si>
    <t>[名]
地名用字。如大陸地區河北省有樂亭、山東省有樂陵。</t>
  </si>
  <si>
    <t>(一)ㄩㄝˋ yuè（11743）(二)ㄌㄜˋ lè（03197）(四)ㄧㄠˋ yào（10854）</t>
  </si>
  <si>
    <t>摟</t>
  </si>
  <si>
    <t>ㄌㄡ</t>
  </si>
  <si>
    <t>lōu</t>
  </si>
  <si>
    <t>[動]_x000D_
1.把散在面前的東西聚攏過來。如：「待我把這些穀子摟一摟。」_x000D_
2.把衣服提挽起來。如：「他把下襬一摟，擺個金雞獨立的架式。」_x000D_
3.搜刮。_x000D_
4.招徠。如：「摟攬」、「摟生意」。</t>
  </si>
  <si>
    <t>(一)ㄌㄡˊ lóu（03294）(三)ㄌㄡˇ lǒu（03305）</t>
  </si>
  <si>
    <t>婁</t>
  </si>
  <si>
    <t>ㄌㄡˊ</t>
  </si>
  <si>
    <t>lóu</t>
  </si>
  <si>
    <t>[形]
空、中空。《說文解字．女部》：「婁，空也。」如：「婁空」。
[動]
收斂。《詩經．小雅．角弓》：「莫肯下遺，式居婁驕。」漢．鄭玄．箋：「婁，斂也。」
[名]
1.星宿名。二十八宿之一。西方白虎七宿的第二宿，有三顆星。
2.姓。如西漢有婁壽，唐代有婁師德。</t>
  </si>
  <si>
    <t>(二)ㄌㄩˇ lǚ（03888）</t>
  </si>
  <si>
    <t>僂</t>
  </si>
  <si>
    <t>[名]
1.彎曲的背部。如：「佝僂」。唐．柳宗元〈種樹郭橐駝傳〉：「病僂，隆然伏行。」
2.姓。如春秋時齊國有僂堙。
[動]
背向前微傾，以示恭敬。《左傳．昭公七年》：「一命而僂，再命而傴，三命而俯。」晉．杜預．注：「俯共於傴，傴共於僂。」</t>
  </si>
  <si>
    <t>漊</t>
  </si>
  <si>
    <t>[名]
河川名。即漊水。源出於湖北省恩施土家族苗族自治州鶴峰縣，東南流經湖南省張家界市慈利縣，注入澧水。</t>
  </si>
  <si>
    <t>廔</t>
  </si>
  <si>
    <t>[形]
屋中窗牖通明的樣子。《說文解字．广部》：「廔，屋麗廔也。」清．段玉裁．注：「謂在屋在牆囪牖穿通之貌。」</t>
  </si>
  <si>
    <t>慺</t>
  </si>
  <si>
    <t>[形]
1.歡悅、高興。《廣韻．平聲．虞韻》：「慺，悅也。」
2.恭敬、謹慎。《玉篇．心部》：「慺，謹敬也。」《抱朴子．外篇．尚博》：「於是以其所不解者為虛誕，慺誠以為爾，未必違情以傷物也。」</t>
  </si>
  <si>
    <t>(二)ㄌㄩˇ lǚ（03889）</t>
  </si>
  <si>
    <t>[動]
攏合、牽聚。《說文解字．手部》：「摟，曳聚也。」《孟子．告子下》：「五霸者，摟諸侯以伐諸侯者也。」</t>
  </si>
  <si>
    <t>(二)ㄌㄡ lōu（03288）(三)ㄌㄡˇ lǒu（03305）</t>
  </si>
  <si>
    <t>嘍</t>
  </si>
  <si>
    <t>參見「嘍囉」條。</t>
  </si>
  <si>
    <t>(二)˙ㄌㄡ lou（03314）</t>
  </si>
  <si>
    <t>樓</t>
  </si>
  <si>
    <t>[名]
1.兩層以上的房屋。如：「樓房」、「高樓大廈」。唐．韋莊〈菩薩蠻．如今卻憶江南樂〉詞：「騎馬倚斜橋，滿樓紅袖招。」宋．林升〈題臨安邸〉詩：「山外青山樓外樓，西湖歌舞幾時休？」
2.樓房的一層。如：「地下樓」、「第五樓」。
3.在樓房中的辦公室。如：「律師樓」、「寫字樓」。
4.姓。如秦代有樓緩，漢代有樓堭。</t>
  </si>
  <si>
    <t>蔞</t>
  </si>
  <si>
    <t>參見「蔞蒿」、「蔞鵝」、「蔞葉」等條。</t>
  </si>
  <si>
    <t>窶</t>
  </si>
  <si>
    <t>參見「甌窶」條。</t>
  </si>
  <si>
    <t>(一)ㄐㄩˋ jù（06065）</t>
  </si>
  <si>
    <t>螻</t>
  </si>
  <si>
    <t>參見「螻蛄」、「螻蟈」等條。</t>
  </si>
  <si>
    <t>耬</t>
  </si>
  <si>
    <t>[名]
一種農具。《廣韻．平聲．侯韻》：「耬，種具。」參見「耬車」條。</t>
  </si>
  <si>
    <t>艛</t>
  </si>
  <si>
    <t>[名]
甲板上建有樓室的船隻。《梁書．卷一一．呂僧珍傳》：「悉取檀溪材竹，裝為艛艦，葺之以茅。」《新五代史．卷七三．四夷附錄》：「世宗自乾寧軍御龍舟，艛船戰艦，首尾數十里，至益津關，降其守將。」</t>
  </si>
  <si>
    <t>鞻</t>
  </si>
  <si>
    <t>參見「鞮鞻」條。</t>
  </si>
  <si>
    <t>髏</t>
  </si>
  <si>
    <t>塿</t>
  </si>
  <si>
    <t>ㄌㄡˇ</t>
  </si>
  <si>
    <t>lǒu</t>
  </si>
  <si>
    <t>[名]
1.塵土。清．王念孫《廣雅疏證．卷九下．釋地》：「塿，土也。」
2.小土丘。漢．揚雄《方言》卷一三：「冢，……自關而東謂之丘，小者謂之塿。」</t>
  </si>
  <si>
    <t>[動]
用手臂攏抱著。《孟子．告子下》：「踰東家牆而摟其處子。」《紅樓夢》第四〇回：「寶玉早滾到賈母懷裡，賈母笑的摟著寶玉叫『心肝』。」</t>
  </si>
  <si>
    <t>(一)ㄌㄡˊ lóu（03294）(二)ㄌㄡ lōu（03288）</t>
  </si>
  <si>
    <t>嶁</t>
  </si>
  <si>
    <t>[名]
山峰。《後漢書．卷六〇上．馬融傳》：「輕訬趬悍，廋疏嶁領，犯歷嵩巒。」章懷太子注引《字林》曰：「嶁，山顛也。」</t>
  </si>
  <si>
    <t>簍</t>
  </si>
  <si>
    <t>[名]
1.用竹或荊條等編成有孔的盛物器具。如：「魚簍」、「字紙簍」。唐．唐彥謙〈蟹〉詩：「扳拖網取賽多，篾簍挑將水邊貨。」
2.量詞。計算簍裝物的單位。如：「一簍香蕉」、「兩簍橘子」。</t>
  </si>
  <si>
    <t>陋</t>
  </si>
  <si>
    <t>ㄌㄡˋ</t>
  </si>
  <si>
    <t>lòu</t>
  </si>
  <si>
    <t>[形]
1.容貌醜。《玉篇．阜部》：「陋，醜猥也。」如：「醜陋」。《舊唐書．卷一三五．盧杞傳》：「杞貌陋而色如藍。」
2.狹隘、狹窄。《論語．雍也》：「一簞食，一瓢飲，在陋巷，人不堪其憂。」唐．劉禹錫〈陋室銘〉：「斯是陋室，惟吾德馨。」
3.粗劣、不好的。如：「陋規」、「陋習」、「陋俗」。
4.學識淺薄。如：「孤陋寡聞」。《荀子．勸學》：「則末世窮年，不免為陋儒而已。」
5.卑賤、微賤。《管子．牧民》：「不明鬼神，則陋民不悟。」《北齊書．卷四十五．文苑傳．樊遜傳》：「門族寒陋，訪第必不成，乞補員外司馬督。」
6.吝嗇。《漢書．卷二八．地理志下》：「其民有先王遺教，君子深思，小人儉陋。」
[動]
輕視。《史記．卷三八．宋微子世家》：「今殷民乃陋淫神祇之祀。」文選．張衡〈東京賦〉：「苟有胸而無心，不能節之以禮，宜其陋今而榮古矣。」</t>
  </si>
  <si>
    <t>漏</t>
  </si>
  <si>
    <t>[名]
1.古代的一種計時器。《說文解字．水部》：「漏，以銅受水刻節，晝夜百節。」《紅樓夢》第五四回：「或緊或慢，或如殘漏之滴，或如迸豆之疾。」
2.空孔、隙縫。《淮南子．脩務》：「禹耳參漏，是謂大通。」漢．高誘．注：「漏，穴也。」
3.常流膿水、不能收口的膿瘍。如：「痔漏」。《太平廣記．卷二六六．崔祕》：「醫療至經年，其鏃自出，其瘡成漏，終身不痊。」
4.姓。如明代有漏瑜。
[動]
1.液體自縫中流出或滲入。如：「漏雨」、「漏油」。唐．杜甫〈茅屋為秋風所破歌〉：「床頭屋漏無乾處，雨腳如麻未斷絕。」
2.洩露。如：「走漏消息」。《左傳．僖公二年》：「齊寺人貂始漏師于多魚。」晉．杜預．注：「傳言貂於此始擅貴寵，漏洩桓公軍事，為齊亂張本。」
3.遺忘、疏略。如：「遺漏」。《隋書．卷二五．刑法志》：「彪約所製，無刑法篇；臧、蕭之書，又多漏略。」
4.逃避。如：「漏稅」。
5.誘引。《水滸傳》第八八回：「原來番將不輸，特地耍賣個破綻，漏他來趕。」
[形]
破爛、簡陋。《荀子．儒效》：「雖隱於窮閻漏屋，人莫不貴之，道誠存也。」宋．陸游〈夢中作詩〉：「斷碑零落苔俱遍，漏壁微茫字半存。」</t>
  </si>
  <si>
    <t>瘺</t>
  </si>
  <si>
    <t>同「瘻」。</t>
  </si>
  <si>
    <t>瘻</t>
  </si>
  <si>
    <t>[名]
1.一種脖子腫大的症狀。《說文解字．疒部》：「瘻，頸腫也。」唐．柳宗元〈捕蛇者說〉：「可以已大風、攣踠、瘻、癘，去死肌，殺三蟲。」
2.常流膿水、不能收口的膿瘍。如：「肛瘻」、「痔瘻」。
[動]
膨脹、腫脹。《淮南子．說山》：「貍頭愈鼠，雞頭已瘻。」</t>
  </si>
  <si>
    <t>(二)ㄌㄩˊ lǘ（03877）</t>
  </si>
  <si>
    <t>鏤</t>
  </si>
  <si>
    <t>[動]_x000D_
1.雕刻。《爾雅．釋器》：「金謂之鏤，木謂之刻。」如：「鏤金刻玉」。《左傳．哀公元年》：「器不彤鏤，宮室不觀。」_x000D_
2.疏通。《漢書．卷五七．司馬相如傳下》：「徼牂牁，鏤靈山。」唐．顏師古．注：「鏤，謂疏通之以開道也。」_x000D_
[名]_x000D_
1.可供刻鏤的硬鐵。《書經．禹貢》：「厥貢璆、鐵、銀、鏤、砮磬。」漢．孔安國．傳：「鏤，剛鐵。」_x000D_
2.釜的別名。漢．揚雄《方言》卷五：「鍑，……江、淮、陳、楚之間謂之錡，或謂之鏤，吳、揚之間謂之鬲。」_x000D_
3.孔穴、隙縫。《宋書．卷二七．符瑞志上》：「生禹於石紐，虎鼻大口，兩耳參鏤。」</t>
  </si>
  <si>
    <t>露</t>
  </si>
  <si>
    <t>[動]
1.顯現。如：「露出馬腳」、「衣角外露」。
2.洩漏。如：「露了口風」。《後漢書．卷七一．皇甫嵩傳》：「角等知事已露，晨夜馳敕諸方，一時俱起。」</t>
  </si>
  <si>
    <t>(一)ㄌㄨˋ lù（03780）</t>
  </si>
  <si>
    <t>˙ㄌㄡ</t>
  </si>
  <si>
    <t>lou</t>
  </si>
  <si>
    <t>[助]
用於句尾，表示提醒注意或語氣完結。如：「下雨嘍！」、「放學嘍！」、「下班嘍！」、「散會嘍！」、「吃飯嘍！」</t>
  </si>
  <si>
    <t>(一)ㄌㄡˊ lóu（03295）</t>
  </si>
  <si>
    <t>惏</t>
  </si>
  <si>
    <t>ㄌㄢˊ</t>
  </si>
  <si>
    <t>lán</t>
  </si>
  <si>
    <t>同「婪」。</t>
  </si>
  <si>
    <t>(二)ㄌㄧㄣˊ lín（03625）</t>
  </si>
  <si>
    <t>婪</t>
  </si>
  <si>
    <t>[動]
貪愛。《說文解字．女部》：「婪，貪也。」如：「貪婪」。唐．韓愈〈月蝕〉詩：「婪酣大肚遭一飽，飢腸徹死無由鳴。」</t>
  </si>
  <si>
    <t>嵐</t>
  </si>
  <si>
    <t>[名]
山中的霧氣。如：「山嵐」、「曉嵐」。元．張養浩〈水仙子．一江煙水照晴嵐〉曲：「一江煙水照晴嵐，兩岸人家接畫簷。」</t>
  </si>
  <si>
    <t>闌</t>
  </si>
  <si>
    <t>[名]_x000D_
1.門前的遮欄。《說文解字．門部》：「闌，門遮也。」漢．王充《論衡．謝短》：「挂蘆索於戶上，畫虎於門闌。」_x000D_
2.欄杆。五代十國．李煜〈浪淘沙．簾外雨潺潺〉詞：「獨自暮憑闌，無限江山，別時容易見時難。」_x000D_
3.手鐲類的飾品。明．陶宗儀《元氏掖庭侈政》：「一人獻柳金簡、翠腕闌。」_x000D_
4.姓。如隋代有闌榮。_x000D_
[動]_x000D_
遮止、阻隔。《馬王堆漢墓帛書．戰國縱橫家書．朱己謂魏王章》：「晉國去梁千里，有河山以闌之。」_x000D_
[形]_x000D_
1.將盡、晚。常用於酒和時間。如：「酒闌」、「歲闌」。唐．杜甫〈羌村〉詩三首之一：「夜闌更秉燭，相對如夢寐。」_x000D_
2.衰落。南朝宋．鮑照〈園中秋散〉詩：「流枕商聲苦，騷殺年志闌。」唐．白居易〈詠懷詩〉：「白髮滿頭歸得也，詩情酒興漸闌珊。」_x000D_
[副]_x000D_
擅自、妄。《漢書．卷一〇．成帝紀》：「走入橫城門，闌入尚方掖門。」顏師古注引應劭曰：「無符籍妄入宮曰闌。」</t>
  </si>
  <si>
    <t>瀾</t>
  </si>
  <si>
    <t>[名]
大波浪。《說文解字．水部》：「瀾，大波為瀾。」如：「力挽狂瀾」、「波瀾壯闊」。《孟子．盡心上》：「觀水有術，必觀其瀾。」漢．趙岐．注：「瀾，水中大波也。」</t>
  </si>
  <si>
    <t>(二)ㄌㄢˋ làn（03345）</t>
  </si>
  <si>
    <t>攔</t>
  </si>
  <si>
    <t>[動]
阻擋。如：「攔阻」、「攔截」。《水滸傳》第三回：「店主人那裡敢出來攔他。」
[介]
當、對著。如：「攔腰一抱」。《紅樓夢》第八一回：「倒像背地裡有人把我攔頭一棍，疼的眼睛前頭漆黑。」</t>
  </si>
  <si>
    <t>斕</t>
  </si>
  <si>
    <t>[形]
顏色多彩、錯雜。《集韻．平聲．山韻》：「斕，斒斕，色不純。」如：「斑斕」。</t>
  </si>
  <si>
    <t>瓓</t>
  </si>
  <si>
    <t>參見「瓓玕」條。</t>
  </si>
  <si>
    <t>欄</t>
  </si>
  <si>
    <t>[名]
1.豢養家畜所圍的圈牢。如：「牛欄」、「羊欄」。《晉書．卷九四．隱逸傳．董京傳》：「魚懸獸欄，鄙夫知之。」
2.闌干。五代十國南唐．李煜〈虞美人．春花秋月何時了〉詞：「雕欄玉砌應猶在，只是朱顏改。」
3.表格中區分項目的格子。如：「備註欄」、「性別欄」、「薪資欄」。
4.書刊報章依內容、性質區分的版面。如：「廣告欄」、「專欄」。</t>
  </si>
  <si>
    <t>蘭</t>
  </si>
  <si>
    <t>[名]
1.植物名：(1)蘭科蕙蘭屬，「建蘭」之古稱。參見「建蘭」條。(2)菊科蘭澤屬，「澤蘭」、「蘭草」之古稱。參見「澤蘭」條。《漢書．卷五七．司馬相如傳上》：「其東則有蕙圃，衡蘭芷若。」唐．顏師古．注：「蘭，即今所澤蘭也。」
2.姓。如漢代有蘭廣。</t>
  </si>
  <si>
    <t>襴</t>
  </si>
  <si>
    <t>[名]
舊時上衣和下裳相連的衣服。《集韻．平聲．寒韻》：「襴，衣與裳連。」元．王實甫《西廂記．第二本．第二折》：「烏紗小帽耀人明，白襴淨，角帶傲黃鞓。」</t>
  </si>
  <si>
    <t>籣</t>
  </si>
  <si>
    <t>[名]
裝弓箭的袋子。《說文解字．竹部》：「籣，所以盛弩矢，人所負也。」《漢書．卷七六．韓延壽傳》：「被甲鞮鞪，抱弩負籣。」唐．顏師古．注：「籣，盛弩矢者也，其形如木桶。」</t>
  </si>
  <si>
    <t>讕</t>
  </si>
  <si>
    <t>[動]
1.抵賴、不承認。《說文解字．言部》：「讕，抵讕也。」清．段玉裁．注：「今俗語云抵賴也。」《漢書．卷四七．文三王傳．梁懷王劉揖傳》：「王陽病抵讕，置辭驕嫚。」《新唐書．卷九四．張亮傳》：「亮讕辭曰：『囚等畏死見誣耳。』」
2.誣陷。《玉篇．言部》：「讕，誣言相加被也。」漢．董仲舒《春秋繁露．深察名號》：「則是非之情，不可以相讕已。」王福清．注：「讕，誣言相加。」</t>
  </si>
  <si>
    <t>鑭</t>
  </si>
  <si>
    <t>[名]
（lanthanum，La）化學元素。原子序57。稀土金屬元素之一。為銀白色的軟金屬，在空氣中氧化極快，與鐵的合金可製造火石，其化合物亦具利用價值，可為火箭推進劑及還原劑使用。</t>
  </si>
  <si>
    <t>㲯</t>
  </si>
  <si>
    <t>參見「㲯毿」條。</t>
  </si>
  <si>
    <t>藍</t>
  </si>
  <si>
    <t>[名]
1.深青色。像晴空般的顏色。如：「蔚藍」、「湛藍」。唐．白居易〈憶江南詞〉三首之一：「日出江花紅勝火，春來江水綠如藍。」
2.植物名：(1)馬鞭草科海州常山屬，「大青」之古稱，參見「大青」條。(2)十字花科菘藍屬。一至二年生草本，基生葉蓮座狀，長橢圓形，花序圓錐狀，花黃色。短角果扁橢圓形。全草入藥，亦供提取藍色染料。(3)蓼科蓼屬，一年生草本。葉互生，卵形或橢圓形，穗狀花序長二至五公分，花被五深裂，淡紅色。瘦果寬卵形。可作染料。也稱為「蓼藍」。
3.姓。如戰國時有藍諸。
[形]
1.藍色的。如：「藍天白雲」。唐．李嘉祐〈登秦嶺〉詩：「漢闕青門遠，高山藍水流。」
2.參見「藍縷」條。</t>
  </si>
  <si>
    <t>礛</t>
  </si>
  <si>
    <t>(一)ㄐㄧㄢ jiān（05763）</t>
  </si>
  <si>
    <t>襤</t>
  </si>
  <si>
    <t>[名]
沒有邊飾的衣服。《說文解字．衣部》：「襤，無緣衣也。」
[形]
破舊不堪的。參見「襤褸」條。</t>
  </si>
  <si>
    <t>籃</t>
  </si>
  <si>
    <t>[名]
1.藤、竹等物所編成的盛物器。如：「竹籃」、「菜籃」。《紅樓夢》第五九回：「他卻一行走，一行編花籃。」
2.裝置在籃球架上供作投球目標的帶網鐵圈。如：「籃圈」、「投籃」、「進籃」。
3.量詞。計算籃裝物的單位。如：「一籃水果」。</t>
  </si>
  <si>
    <t>䰐</t>
  </si>
  <si>
    <t>參見「䰐鬖」條。</t>
  </si>
  <si>
    <t>罱</t>
  </si>
  <si>
    <t>ㄌㄢˇ</t>
  </si>
  <si>
    <t>lǎn</t>
  </si>
  <si>
    <t>[名]
一種捕魚的網狀器具。《玉篇．网部》：「罱，夾魚具。」《集韻．上聲．感韻》：「罱，取魚具。」
[動]
撈取。如：「農夫罱河泥來肥田。」</t>
  </si>
  <si>
    <t>壈</t>
  </si>
  <si>
    <t>[形]
坎壈：不平、不順利。《集韻．上聲．感韻》：「壈，坎壈，不平。一曰失志也。」《楚辭．劉向．九歎．怨思》：「惟鬱鬱之憂毒兮，志坎壈而不違。」漢．王逸．注：「坎壈，不遇貌。」</t>
  </si>
  <si>
    <t>爁</t>
  </si>
  <si>
    <t>(一)ㄌㄢˋ làn（03344）</t>
  </si>
  <si>
    <t>覽</t>
  </si>
  <si>
    <t>[動]
1.觀看、眺望。如：「觀覽」、「遊覽」、「一覽無遺」。《楚辭．屈原．離騷》：「覽椒蘭其若茲兮，又況揭車與江離。」
2.閱讀。如：「閱覽」、「瀏覽」、「博覽群書」。《韓非子．外儲說左上》：「人主覽其文而忘有用。」
3.接受、採取。《戰國策．齊策一》：「大王覽其說，而不察其至實。」漢．高誘．注：「覽，受。」</t>
  </si>
  <si>
    <t>攬</t>
  </si>
  <si>
    <t>[動]_x000D_
1.把持。如：「獨攬」、「包攬」。唐．李白〈愁陽春賦〉：「若使春光可攬而不滅兮，吾欲贈天涯之佳人。」_x000D_
2.引進、招徠。如：「延攬人才」、「招攬生意」。_x000D_
3.採摘、採取。《楚辭．屈原．離騷》：「朝搴阰之木蘭兮，夕攬洲之宿莽。」漢．王逸．注：「攬，采也。」_x000D_
4.提、牽。如：「攬裙」、「攬轡」。《文選．古詩十九首．明月何皎皎》：「憂愁不能寐，攬衣起徘徊。」</t>
  </si>
  <si>
    <t>欖</t>
  </si>
  <si>
    <t>參見「橄欖」條。</t>
  </si>
  <si>
    <t>纜</t>
  </si>
  <si>
    <t>[名]
1.繫船用的繩索。《文選．謝靈運．鄰里相送方山詩》：「解纜及流潮，懷舊不能發。」唐．李善．注：「纜，維船索也。」
2.由許多細股絞扭而成的粗繩或繩狀物。如：「纜繩」、「電纜」、「鋼纜」。
[動]
繫、綁。元．王實甫《西廂記．第一本．第一折》：「竹索纜浮橋，水上蒼龍偃。」《水滸傳》第一五回：「籬外高懸沽酒旆，柳陰閑纜釣魚船。」</t>
  </si>
  <si>
    <t>懶</t>
  </si>
  <si>
    <t>[形]
1.怠惰、不勤勉。如：「懶人」、「懶惰」。
2.淡薄。宋．袁去華〈雨中花．江上西風晚〉詞：「向老來，功名心事懶，客裡愁難遣。」
[動]
懈怠。《南史．卷三三．范泰傳》：「吾少懶學問，年三十許，始有尚耳。」
[副]
不想、不願意。如：「好吃懶做」、「懶得跟你一般見識。」</t>
  </si>
  <si>
    <t>濫</t>
  </si>
  <si>
    <t>ㄌㄢˋ</t>
  </si>
  <si>
    <t>làn</t>
  </si>
  <si>
    <t>[動]
1.水漫溢。《孟子．滕文公下》：「水逆行，氾濫於中國。」
2.過度、失當。如：「寧缺勿濫」。《左傳．僖公二十三年》：「刑之不濫，君之明也。」《論語．衛靈公》：「君子固窮，小人窮斯濫矣。」
[副]
輕率、隨意。如：「濫罰」、「濫賞」、「濫用職權」。《紅樓夢》第二八回：「這麼濫飲，易醉而無味。」
[名]
誇大不實的辭句。《文選．陸機．文賦》：「或清虛以婉約，每除煩而去濫。」</t>
  </si>
  <si>
    <t>[動]
1.焚燒。《集韻．上聲．敢韻》：「爁，火焚也。」明．賈仲名《蕭淑蘭》第二折：「將韓王殿忽然火爁，藍橋驛平空水渰。」
2.燒烤。元．王實甫《西廂記．第二本．楔子》：「這些時吃菜饅頭委實口淡，五千人也不索炙𤍿煎爁。」</t>
  </si>
  <si>
    <t>(二)（又音）ㄌㄢˇ lǎn（03337）</t>
  </si>
  <si>
    <t>[名]_x000D_
洗米水。清．王念孫《廣雅疏證．卷八上．釋器》：「泔、潘，瀾也。」疏證：「淅米汁也。」_x000D_
[形]_x000D_
參見「瀾漫」、「瀾汗」條。</t>
  </si>
  <si>
    <t>(一)ㄌㄢˊ lán（03319）</t>
  </si>
  <si>
    <t>爛</t>
  </si>
  <si>
    <t>[形]
1.食物熟透而鬆軟。《呂氏春秋．孝行覽．本味》：「故久而不弊，熟而不爛，甘而不噥。」《紅樓夢》第一一回：「說有好吃的要幾樣，還要很爛的。」
2.腐敗的、破舊的。如：「爛蘋果」、「破銅爛鐵」。
3.光明、顯著。如：「燦爛」、「絢爛」。《詩經．鄭風．女曰雞鳴》：「子興視夜，明星有爛。」《漢書．卷九九．王莽傳上》：「四年于茲，功德爛然。」
4.紊亂沒頭緒。如：「爛攤子」、「一本爛帳」。
5.形容人不好、差勁。如：「你這個人太爛了！」
[副]
極、過分。如：「爛熟」、「爛醉」。《儒林外史》第三回：「你是個爛忠厚沒用的人，所以這些話我不得不教導你。」
[動]
1.腐敗。如：「潰爛」、「海枯石爛」。《文選．陳琳．檄吳將校部曲文》：「十萬之師，土崩魚爛。」
2.燒灼。《漢書．卷六八．霍光傳》：「曲突徙薪亡恩澤，燋頭爛額為上客耶？」</t>
  </si>
  <si>
    <t>啷</t>
  </si>
  <si>
    <t>ㄌㄤ</t>
  </si>
  <si>
    <t>lāng</t>
  </si>
  <si>
    <t>參見「啷噹」條。</t>
  </si>
  <si>
    <t>郎</t>
  </si>
  <si>
    <t>ㄌㄤˊ</t>
  </si>
  <si>
    <t>láng</t>
  </si>
  <si>
    <t>[名]
1.秦漢時起，官多稱為「郎」。如：「侍郎」、「尚書郎」。《漢書．卷六八．霍光傳》：「時年十餘歲，任光為郎。」
2.對男子的美稱。如：「周郎」、「少年郎」。南朝宋．劉義慶《世說新語．雅量》：「王家諸郎，亦皆可嘉。」唐．李白〈橫江詞〉六首之五：「郎今欲渡緣何事？如此風波不可行。」
3.婦女對丈夫或情人的稱呼。如：「郎有情，妹有意。」南朝宋．劉義慶《世說新語．賢媛》：「生縱不得與郗郎同室，死寧不同穴！」唐．李白〈長干行〉：「郎騎竹馬來，遶床弄青梅。」
4.僕役對主人的稱呼。《新唐書．卷一二四．宋璟傳》：「君非其家奴，何郎之云？」
5.女子也稱為「郎」。如：「女郎」。
6.姓。如漢代有郎顗。</t>
  </si>
  <si>
    <t>浪</t>
  </si>
  <si>
    <t>參見「浪浪」、「滄浪」等條。</t>
  </si>
  <si>
    <t>(一)ㄌㄤˋ làng（03368）</t>
  </si>
  <si>
    <t>狼</t>
  </si>
  <si>
    <t>[名]
1.動物名。哺乳綱食肉目犬科。形狀似犬，毛為青灰色，頭銳喙尖，後腳稍短。嗅覺靈敏，聽覺佳。性凶狠狡猾，晝伏夜出，會襲擊人畜。
2.中國古代的少數民族之一。約聚集在大陸地區廣東、廣西兩省的交界處。
3.星名。即天狼星。《史記．卷二七．天官書》：「其東有大星曰狼。」
4.姓。如春秋時晉國有狼瞫。</t>
  </si>
  <si>
    <t>琅</t>
  </si>
  <si>
    <t>[名]
1.參見「琅玕」條。
2.姓。如春秋時齊國有琅過。
[形]
潔白的。唐．皮日休〈奉和魯望白菊〉詩：「已過重陽半月天，琅華千點照寒煙。」</t>
  </si>
  <si>
    <t>桹</t>
  </si>
  <si>
    <t>[名]
漁人用來驅魚的長木棒。通「榔」。《文選．潘岳．西征賦》：「纖經連白，鳴桹厲響。」
[擬]
參見「桹桹」條。</t>
  </si>
  <si>
    <t>莨</t>
  </si>
  <si>
    <t>[名]
一種草。莖葉皆粗硬，穗如粟，可採食。也稱為「莨尾」。</t>
  </si>
  <si>
    <t>(二)ㄌㄧㄤˊ liáng（03656）</t>
  </si>
  <si>
    <t>廊</t>
  </si>
  <si>
    <t>[名]
屋前簷下通行的走道。如：「走廊」、「長廊」。</t>
  </si>
  <si>
    <t>稂</t>
  </si>
  <si>
    <t>[名]
一種野草。其莖葉似禾而不結實，常雜生於禾粟中，損害禾苗的生長。</t>
  </si>
  <si>
    <t>嫏</t>
  </si>
  <si>
    <t>參見「嫏嬛」條。</t>
  </si>
  <si>
    <t>瑯</t>
  </si>
  <si>
    <t>同「琅」。</t>
  </si>
  <si>
    <t>榔</t>
  </si>
  <si>
    <t>[名]
1.參見「檳榔」、「榔榆」等條。
2.漁人用來驅魚的長木棍。宋．史達祖〈湘江靜．暮草堆青雲浸浦〉詞：「漁榔四起，沙鷗未落，怕愁沾詩句。」</t>
  </si>
  <si>
    <t>筤</t>
  </si>
  <si>
    <t>[名]
1.車後用竹子編成的篷蓋。《廣韻．平聲．唐韻》：「筤，車籃。」
2.初生的嫩竹。參見「蒼筤」條。</t>
  </si>
  <si>
    <t>螂</t>
  </si>
  <si>
    <t>參見「螳螂」、「蟑螂」等條。</t>
  </si>
  <si>
    <t>閬</t>
  </si>
  <si>
    <t>(一)ㄌㄤˇ lǎng（03367）(二)（(一)之又音）ㄌㄤˋ làng（03371）</t>
  </si>
  <si>
    <t>鋃</t>
  </si>
  <si>
    <t>參見「鋃鐺」條。</t>
  </si>
  <si>
    <t>駺</t>
  </si>
  <si>
    <t>[名]
尾毛白色的馬。《爾雅．釋畜》：「尾白，駺。」晉．郭璞．注：「但尾毛白。」</t>
  </si>
  <si>
    <t>羹</t>
  </si>
  <si>
    <t>[名]
不羹：地名。春秋時地，故址在今大陸地區河南省襄陽縣東南。《左傳．昭公十一年》：「楚子城陳、蔡、不羹。」晉．杜預．注：「襄陽縣東南有不羹城，定陵西北有不羹亭。」</t>
  </si>
  <si>
    <t>(一)ㄍㄥ gēng（04119）</t>
  </si>
  <si>
    <t>朗</t>
  </si>
  <si>
    <t>ㄌㄤˇ</t>
  </si>
  <si>
    <t>lǎng</t>
  </si>
  <si>
    <t>[形]
明亮。如：「明朗」、「晴朗」。晉．王羲之〈三月三日蘭亭詩序〉：「天朗氣清，惠風和暢。」
[副]
響亮。如：「朗誦」、「朗讀」。《文選．孫綽．遊天台山賦》：「凝思幽巖，朗詠長川。」</t>
  </si>
  <si>
    <t>烺</t>
  </si>
  <si>
    <t>[形]
明亮、明朗。通「朗」。明．張自烈《正字通．火部》：「烺，明也，與朗通。」唐．柳宗元〈答韋中立論師道書〉：「及長，乃知文者以明道，是固不苟為炳炳烺烺，務采色、夸聲音而以為能也。」</t>
  </si>
  <si>
    <t>[形]
1.高大。《文選．張衡．思玄賦》：「集太微之閬閬。」李善注引《字林》：「閬，高貌。」唐．白居易〈和微之詩．和送劉道士遊天台〉詩：「閬宮縹緲間，鈞樂依稀聞。」
2.空曠。《莊子．外物》：「胞有重閬，心有天遊。」唐．成玄英．疏：「閬，空也。言人腹內空虛，故容藏胃，藏胃空虛，故通氣液。」</t>
  </si>
  <si>
    <t>(二)（(一)之又音）ㄌㄤˋ làng（03371）(三)（(一)之又音）ㄌㄤˊ láng（03361）</t>
  </si>
  <si>
    <t>ㄌㄤˋ</t>
  </si>
  <si>
    <t>làng</t>
  </si>
  <si>
    <t>[名]
1.大的水波。如：「海浪」、「巨浪」。唐．李白〈行路難〉三首之一：「長風破浪會有時，直挂雲帆濟滄海。」
2.凡物因振動而起伏如浪的都稱為「浪」。如：「聲浪」、「麥浪」。唐．陸龜蒙〈樵人十詠〉一〇首之五：「爭推好林浪，共約歸時節。」
3.姓。如晉代有浪逢。
[形]
放縱不拘、放蕩不正。如：「浪蕩」、「浪子」。《初刻拍案驚奇》卷一九：「此婦堅貞之性，數年以來，老僧頗識之，彼是不肯作浪語的。」《西湖佳話．雷峰怪跡》：「心猿意馬馳千里，浪蝶狂蜂鬧五更。」
[副]
1.虛妄、空。如：「浪得虛名」。唐．李白〈嘲王歷陽不肯飲酒〉詩：「浪撫一張琴，虛栽五株柳。」
2.輕率、隨意。如：「浪費」。唐．張籍〈贈王祕書〉詩：「不曾浪出謁公侯，唯向花間水畔遊。」</t>
  </si>
  <si>
    <t>(二)ㄌㄤˊ láng（03349）</t>
  </si>
  <si>
    <t>埌</t>
  </si>
  <si>
    <t>參見「壙埌」條。</t>
  </si>
  <si>
    <t>蒗</t>
  </si>
  <si>
    <t>參見「蒗蕖」條。</t>
  </si>
  <si>
    <t>(一)ㄌㄤˇ lǎng（03367）(三)（(一)之又音）ㄌㄤˊ láng（03361）</t>
  </si>
  <si>
    <t>愣</t>
  </si>
  <si>
    <t>ㄌㄥ</t>
  </si>
  <si>
    <t>lēng</t>
  </si>
  <si>
    <t>參見「愣兒」條。</t>
  </si>
  <si>
    <t>(一)ㄌㄥˋ lèng（03380）</t>
  </si>
  <si>
    <t>崚</t>
  </si>
  <si>
    <t>ㄌㄥˊ</t>
  </si>
  <si>
    <t>léng</t>
  </si>
  <si>
    <t>參見「崚峭」、「崚嶒」等條。</t>
  </si>
  <si>
    <t>棱</t>
  </si>
  <si>
    <t>[名]
木材的四角交接處稱為「棱」。《說文解字．木部》：「棱，柧也。」
[形]
威嚴。《後漢書．卷六六．王允傳》：「允性剛棱疾惡。」</t>
  </si>
  <si>
    <t>稜</t>
  </si>
  <si>
    <t>[名]
1.物體兩面相交所形成的一個頂角。如：「稜角」。
2.物體面上凸起的條紋。如：「稜角」。宋．蘇軾〈鹽官部役戲呈同事兼寄述古〉詩：「新月照水水欲冰，夜霜穿屋衣生稜。」
3.威稜：威嚴。《漢書．卷五四．李廣傳》：「是以名聲暴於夷貉，威稜憺乎鄰國。」</t>
  </si>
  <si>
    <t>薐</t>
  </si>
  <si>
    <t>楞</t>
  </si>
  <si>
    <t>[名]
1.物體的緣角。同「稜」。如：「楞角」、「三楞鏡」。
2.佛經翻譯用字。如：《楞伽經》、《楞嚴經》。</t>
  </si>
  <si>
    <t>(二)ㄌㄥˋ lèng（03381）</t>
  </si>
  <si>
    <t>冷</t>
  </si>
  <si>
    <t>ㄌㄥˇ</t>
  </si>
  <si>
    <t>lěng</t>
  </si>
  <si>
    <t>[形]
1.寒、涼、溫度低。如：「今天天氣好冷！」《莊子．則陽》：「夫凍者假衣於春，暍者反冬乎冷風。」唐．白居易〈長恨歌〉：「鴛鴦瓦冷霜華重，翡翠衾寒誰與共？」
2.淡漠、不熱烈。南朝梁．武帝〈淨業賦〉：「心清冷其若冰，志皎潔其如雪。」
3.寂靜、寂寞。如：「冷冷清清」。唐．白居易〈晚出西郊〉詩：「散吏閒如客，貧州冷似村。」
4.閒散。唐．杜甫〈醉時歌〉：「諸公袞袞登臺省，廣文先生官獨冷。」
5.鄙視、譏刺。如：「冷言冷語」、「冷眼旁觀」。
6.不受歡迎的、無人過問的。如：「冷門」、「冷貨」。
[副]
突然。《紅樓夢》第九一回：「冷不防外面往裡一吹，把薛蝌嚇了一大跳！」
[名]
姓。如漢代有冷壽光。</t>
  </si>
  <si>
    <t>怔</t>
  </si>
  <si>
    <t>ㄌㄥˋ</t>
  </si>
  <si>
    <t>lèng</t>
  </si>
  <si>
    <t>[動]
發呆、發愣。通「愣」。《紅樓夢》第二六回：「寶玉怔了半天，方解過來。」《文明小史》第五二回：「見了饒鴻生的面，便問你姓饒麼？饒鴻生怔了一怔。」</t>
  </si>
  <si>
    <t>(一)ㄓㄥ zhēng（07909）</t>
  </si>
  <si>
    <t>[形]
痴呆。如：「愣小子」、「愣頭愣腦」。
[動]
失神、發呆。如：「乍聞惡耗，他竟愣在那裡一動也不動的。」</t>
  </si>
  <si>
    <t>(二)ㄌㄥ lēng（03372）</t>
  </si>
  <si>
    <t>同「愣」。</t>
  </si>
  <si>
    <t>(一)ㄌㄥˊ léng（03377）</t>
  </si>
  <si>
    <t>哩</t>
  </si>
  <si>
    <t>ㄌㄧ</t>
  </si>
  <si>
    <t>lī</t>
  </si>
  <si>
    <t>參見「哩嚕」、「哩哩囉囉」等條。</t>
  </si>
  <si>
    <t>(二)˙ㄌㄧ li（03496）(三)ㄌㄧˇ lǐ（03422）</t>
  </si>
  <si>
    <t>浬</t>
  </si>
  <si>
    <t>ㄌㄧˊ</t>
  </si>
  <si>
    <t>lí</t>
  </si>
  <si>
    <t>[名]
泥浬：古波斯人名。《集韻．平聲．之韻》：「浬，泥浬，波斯酋長名。」</t>
  </si>
  <si>
    <t>(一)ㄌㄧˇ lǐ（03421）</t>
  </si>
  <si>
    <t>狸</t>
  </si>
  <si>
    <t>[名]
同「貍」。《廣韻．平聲．之韻》：「貍，野貓。狸，俗。」</t>
  </si>
  <si>
    <t>梩</t>
  </si>
  <si>
    <t>[名]
鍬、臿之類的挖土器具。《孟子．滕文公上》：「蓋歸反虆梩而掩之。」漢．趙岐．注：「虆、梩，籠臿之屬，可以取土者也。」</t>
  </si>
  <si>
    <t>貍</t>
  </si>
  <si>
    <t>[名]
動物名。脊椎動物門哺乳綱食肉目犬科。形體似狐而較小，色灰褐，體毛雜黃色且有斑點。尖嘴，四肢甚短，尾粗長而蓬鬆。穴居近村野地，晝伏夜出，捕食雞、鴨等小動物。</t>
  </si>
  <si>
    <t>漓</t>
  </si>
  <si>
    <t>[形]
溼透的樣子。如：「汗水淋漓」。
[動]
淺薄、刻薄。《北史．卷八六．循吏傳．序》：「後之為吏，與世沉浮，叔季澆漓，姦巧多緒。」</t>
  </si>
  <si>
    <t>璃</t>
  </si>
  <si>
    <t>參見「玻璃」、「琉璃」等條。</t>
  </si>
  <si>
    <t>縭</t>
  </si>
  <si>
    <t>[名]
古代女子出嫁時配帶的彩巾。《詩經．豳風．東山》：「親結其縭，九十其儀。」漢．毛亨．傳：「縭，婦人之褘也。母戒女，施衿結帨。」</t>
  </si>
  <si>
    <t>醨</t>
  </si>
  <si>
    <t>[名]
薄酒。《說文解字．酉部》：「醨，薄酒也。」《史記．卷八四．屈原賈生傳》：「眾人皆醉，何不餔其糟而啜其醨。」清．紀昀《閱微草堂筆記．卷二三．灤陽續錄五》：「肆中村釀薄醨，殊不足辱杯斝。」
[形]
淺薄、不敦厚。《舊唐書．卷一三．德宗本紀下》：「然而王霸跡殊，淳醨代變。」唐．皮日休〈請韓文公配饗太學書〉：「文中子之末，降及貞觀、開元，其傳者醨，其繼者淺。」</t>
  </si>
  <si>
    <t>離</t>
  </si>
  <si>
    <t>[動]
1.分別、分開。如：「離群索居」。《呂氏春秋．仲夏紀．大客》：「渾渾沌沌，離則復合，合則復離，是謂天常。」唐．白居易〈琵琶行〉：「商人重利輕別離，前月浮梁買茶去。」
2.距、相隔。如：「我家離火車站很近。」《三國演義》第一六回：「轅門離中軍一百五十步。」
3.背叛。如：「背離」、「乖離」、「離經叛道」。《左傳．隱公四年》：「阻兵無眾，安忍無親，眾叛親離，難以濟矣。」
4.遭受、觸犯。《韓非子．五蠹》：「夫離法者罪，而諸先生以文學取。」《史記．卷三五．管蔡世家》：「必去曹，無離曹禍。」
5.缺少。如：「做蛋糕，離不了麵粉與蛋。」
[名]
1.《易經》卦名：(1)八卦之一。卦形為☲。其象為火、日、電。(2)六十四卦之一。離（☲）下離（☲）上。象以陰柔之質而得中正之義。
2.姓。如五胡十六國時後燕有離班。</t>
  </si>
  <si>
    <t>灕</t>
  </si>
  <si>
    <t>[動]
滲流。《漢書．卷八七．揚雄傳上》：「雲䬠䬠而來迎兮，澤滲灕而下降。」
[名]
參見「灕江」條。</t>
  </si>
  <si>
    <t>蘺</t>
  </si>
  <si>
    <t>[名]
1.參見「江蘺」條。
2.用竹或樹枝編成的柵欄。通「籬」。《漢書．卷三一．陳勝項籍傳．贊曰》：「乃使蒙恬北築藩城而守藩蘺，卻匈奴七百餘里。」</t>
  </si>
  <si>
    <t>䍦</t>
  </si>
  <si>
    <t>[名]
古時的一種頭巾。參見「羃䍦」條。</t>
  </si>
  <si>
    <t>籬</t>
  </si>
  <si>
    <t>[名]
以竹或樹枝編成的柵欄。如：「竹籬」。晉．陶淵明〈飲酒詩〉：「採菊東籬下，悠然見南山。」南朝宋．沈約〈宿東園詩〉：「槿籬疏復密，荊扉新且故。」</t>
  </si>
  <si>
    <t>梨</t>
  </si>
  <si>
    <t>[名]
植物名。薔薇科梨屬，「梨樹」之簡稱，參見「梨樹」條。
[動]
分離、分割。通「剺」。《漢書．卷八七．揚雄傳下》：「分梨單于，磔裂屬國。」《後漢書．卷一九．耿弇列傳》：「匈奴聞秉卒，舉國號哭，或至梨面流血。」</t>
  </si>
  <si>
    <t>犁</t>
  </si>
  <si>
    <t>[名]
1.耕翻土地所用的農具。《廣韻．平聲．齊韻》：「犁，墾田器。」
2.姓。如春秋時齊國有犁彌。
[動]
1.耕土、翻土。《文選．古詩十九首．去者日以疏》：「古墓犁為田，松柏摧為薪。」宋．蘇舜欽〈城南感懷呈永叔〉詩：「去年水後旱，田畝不及犁。」
2.摧毀。《漢書．卷九四．匈奴傳下》：「固已犁其庭，掃其閭。」《明史．卷一三五．葉兌傳》：「然後進攻平江，犁其心腹。」
[形]
黑色的。《戰國策．秦策一》：「形容枯槁，面目犁黑。」唐．李白〈魯郡堯祠送竇明府薄華還西京〉詩：「朝策犁眉騧，舉鞭力不堪。」</t>
  </si>
  <si>
    <t>蜊</t>
  </si>
  <si>
    <t>參見「蛤蜊」條。</t>
  </si>
  <si>
    <t>菞</t>
  </si>
  <si>
    <t>同「黎」。</t>
  </si>
  <si>
    <t>黎</t>
  </si>
  <si>
    <t>[形]_x000D_
1.眾多的。如：「黎庶」。《詩經．大雅．雲漢》：「周餘黎民，靡有孑遺。」_x000D_
2.黑色的。通「黧」。《荀子．堯問》：「舍佚而為勞，顏色黎黑而不失其所。」_x000D_
[副]_x000D_
及、將。參見「黎明」條。_x000D_
[名]_x000D_
1.中國少數民族之一。分布於大陸地區廣東、廣西兩省，而以海南島黎母嶺下人數最多。《國語．楚語下》：「及少皞之衰也，九黎亂德。」_x000D_
2.古國名。殷商時的諸侯國，商末為周文王所滅。故城在今大陸地區山西省長治縣西南。_x000D_
3.姓。如北周時有黎景熙。</t>
  </si>
  <si>
    <t>藜</t>
  </si>
  <si>
    <t>[名]
植物名。藜科藜屬，「蔏藋」、「白藜」之古稱。參見「蔏藋」條。</t>
  </si>
  <si>
    <t>黧</t>
  </si>
  <si>
    <t>[名]_x000D_
黑中帶著蠟黃的顏色。《廣韻．平聲．齊韻》：「黧，黑而黃也。」《韓非子．外儲說左上》：「手足胼胝，面目黧黑，勞有功者也。」宋．沈遘〈道中見新月寄內〉詩：「朱顏最先黧，綠髮次第蒼。」</t>
  </si>
  <si>
    <t>剺</t>
  </si>
  <si>
    <t>[動]
割、劃。唐．杜甫〈哀王孫〉詩：「花門剺面請雪恥，慎勿出口他人狙。」《新唐書．卷二〇七．宦者傳上．楊思勗傳》：「所得俘，必剝面、剺腦、褫髮皮以示人。」</t>
  </si>
  <si>
    <t>嫠</t>
  </si>
  <si>
    <t>[名]
寡婦。《左傳．昭公二十四年》：「嫠不恤其緯，而憂宗周之隕。」晉．杜預．注：「嫠，寡婦也。」《後漢書．卷八一．獨行傳．劉翊傳》：「鄉族貧者，死亡則為具殯葬，嫠獨則助營妻娶。」</t>
  </si>
  <si>
    <t>漦</t>
  </si>
  <si>
    <t>[動]
順流。《說文解字．水部》：「漦，順流也。」
[名]
龍或魚的唾液。《國語．鄭語》：「卜請其漦而藏之，吉。」三國吳．韋昭．注：「漦，龍所吐沫，龍之精氣也。」《文選．班固．幽通賦》：「震鱗漦于夏庭兮，匝三正而滅姬。」</t>
  </si>
  <si>
    <t>參見「犛牛」條。</t>
  </si>
  <si>
    <t>(二)（又音）ㄇㄠˊ máo（01167）</t>
  </si>
  <si>
    <t>[名]
1.同「犛」。參見「犛牛」條。明．徐弘祖《徐霞客遊記．卷七下．滇遊日記七》：「其地多氂，尾大而有力，亦能負重。」
2.馬尾。《淮南子．說山》：「執而不釋，馬氂截玉。」漢．高誘．注：「氂，馬尾也。」
3.長毛。《列子．湯問》：「昌以氂懸蝨於牖，南面而望之，旬日之閒浸大也，三年之後如車輪焉。」《後漢書．卷一七．岑彭傳》：「狗吠不驚，足下生氂。」
4.硬而捲曲的毛。同「斄」。《漢書．卷九九．王莽傳中》：「好厚履高冠，以氂裝衣。」唐．顏師古．注：「毛之強曲者曰氂。」</t>
  </si>
  <si>
    <t>(二)（又音）ㄇㄠˊ máo（01168）</t>
  </si>
  <si>
    <t>釐</t>
  </si>
  <si>
    <t xml:space="preserve">里 </t>
  </si>
  <si>
    <t>[名]
1.量詞：(1)度量衡計算單位。舊制中，公制一釐等於千分之一公尺的長度，或百分之一公畝的地積，或萬分之一公斤。(2)計算地積的單位。一釐等於百分之一畝。(3)計算重量的單位。一釐等於千分之一兩。(4)計算利率的單位。年利率一釐是本金的百分之一，月利率一釐是本金的千分之一。
2.寡婦。通「嫠」。《文選．張協．七命》：「煢釐為之擗摽，孀老為之嗚咽。」
3.姓。如五胡十六國時後秦有釐豔。
[動]
1.治理。《書經．堯典》：「允釐百工，庶績咸熙。」漢．孔安國．傳：「釐，治。工，官。」《資治通鑑．卷一七一．陳紀五．宣帝太建六年》：「群臣表請，累旬乃止。命太子總釐庶政。」
2.改正、改變。《後漢書．卷三四．梁統傳》：「議者以為隆刑峻法，非明王急務，施行日久，豈一朝所釐？」《梁書．卷三八．賀琛傳》：「今若釐其風而正其失，易於反掌。」
3.賜予。《詩經．大雅．既醉》：「其僕維何？釐爾女士。」漢．毛亨．傳：「釐，予也。」</t>
  </si>
  <si>
    <t>(二)ㄒㄧ xī（06796）</t>
  </si>
  <si>
    <t>斄</t>
  </si>
  <si>
    <t>[名]
硬而捲曲的毛。《說文解字．犛部》：「斄，彊曲毛也，可以箸起衣。」</t>
  </si>
  <si>
    <t>罹</t>
  </si>
  <si>
    <t>[動]
遭遇、遭受。如：「罹禍」、「罹難」。《漢書．卷五八．公孫弘傳》：「君不幸罹霜露之疾，何恙不已。」《三國演義》第四四回：「若罹兵革之禍，必有歸怨於我，故決計請降耳。」
[名]
憂愁、憂患。《詩經．王風．兔爰》：「我生之後，逢此百罹。」唐．柳宗元〈佩韋賦〉：「苟縱直而不羈兮，乃變罹而禍仍。」</t>
  </si>
  <si>
    <t>麗</t>
  </si>
  <si>
    <t>參見「高麗」條。</t>
  </si>
  <si>
    <t>(一)ㄌㄧˋ lì（03489）</t>
  </si>
  <si>
    <t>釃</t>
  </si>
  <si>
    <t>[動]
用水清理酒渣。《集韻．平聲．支韻》：「釃，以水&amp;4364_.gif;糟。」
[名]
薄酒。通「醨」。《楚辭．屈原．漁父》：「眾人皆醉，何不餔其糟而歠其釃。」</t>
  </si>
  <si>
    <t>(一)ㄙ sī（08705）</t>
  </si>
  <si>
    <t>驪</t>
  </si>
  <si>
    <t>[名]
純黑色的馬。《說文解字．馬部》：「驪，馬深黑色。」《詩經．魯頌．駉》：「有驪有黃，以車彭彭。」
[副]
並列。《文選．張衡．西京賦》：「驪駕四鹿，芝蓋九葩。」三國吳．薛綜．注：「驪，猶羅列駢駕之也。」</t>
  </si>
  <si>
    <t>鸝</t>
  </si>
  <si>
    <t>參見「黃鸝」條。</t>
  </si>
  <si>
    <t>鱺</t>
  </si>
  <si>
    <t>[名]
一種外形似蛇的魚。《玉篇．魚部》：「鱺，魚似蛇，無鱗甲，其氣辟蠹蟲也。」</t>
  </si>
  <si>
    <t>蠡</t>
  </si>
  <si>
    <t>[名]
用瓠瓜做成的水瓢。《廣韻．平聲．戈韻》：「蠡，瓠瓢也。」《漢書．卷六五．東方朔傳》：「語曰：『以筦闚天，以蠡測海，以莛撞鐘。』」</t>
  </si>
  <si>
    <t>(一)ㄌㄧˇ lǐ（03434）</t>
  </si>
  <si>
    <t>劙</t>
  </si>
  <si>
    <t>[動]
割、劃。《荀子．彊國》：「剝脫之，砥厲之，則劙盤盂、刎牛馬忽然耳。」《聊齊志異．卷四．念秧》：「或有劙囊刺橐，攫貨於市，行人回首，財貨已空，此非鬼蜮之尤者耶？」</t>
  </si>
  <si>
    <t>李</t>
  </si>
  <si>
    <t>ㄌㄧˇ</t>
  </si>
  <si>
    <t>lǐ</t>
  </si>
  <si>
    <t>[名]
1.植物名。薔薇科李屬，落葉喬木。葉互生，倒披針形或倒卵形，先端突尖，基部楔形，葉緣鈍鋸齒狀。春天開白花，花常三朵簇生。核果圓卵形，光滑無毛，熟時為紅紫色或黃色，味酸，可供生食或作蜜餞用。
2.姓。如唐太宗李世民。</t>
  </si>
  <si>
    <t>里</t>
  </si>
  <si>
    <t>[名]
1.居所、居處。《詩經．鄭風．將仲子》：「將仲子兮，無踰我里。」《孟子．離婁下》：「去三年不反，然後收其田里。」
2.街坊、巷弄。《後漢書．卷五四．楊震列傳》：「連里竟街，雕修繕飾，窮極巧技。」唐．韓愈〈柳子厚墓誌銘〉：「今夫平居里巷相慕悅，酒食游戲相徵逐。」
3.故鄉。如：「故里」。南朝梁．江淹〈別賦〉：「割慈忍愛，離邦去里。」
4.今地方政府行政區域之一。在鎮之下，鄰之上，與村平行。
5.量詞。古代用於表示長度的單位。不同年代有不同的定義方式，例如在漢代，以三百六十步為一里。
6.內部。通「裡」。元．馬致遠〈四塊玉．佐國心〉曲：「命里無時莫剛求，隨時過遣休生受。」
7.二一四部首之一。</t>
  </si>
  <si>
    <t>俚</t>
  </si>
  <si>
    <t>[形]
1.鄙俗。《漢書．卷六二．司馬遷傳．贊曰》：「辨而不華，質而不俚。」《文選．王襃．四子講德論》：「俚人不識，寡見尟聞。」
2.通俗的、民間流行的。如：「俚語」、「俚歌」。
[動]
依託、聊賴。《漢書．卷三七．季布等傳．贊曰》：「夫婢妾賤人，感概而自殺，非能勇也，其畫無俚之至耳。」顏師古注引晉灼曰：「此為其計畫無所聊賴，至於自殺耳。」
[名]
中國古代少數民族之一。主要分布於大陸地區廣東西南沿海及廣西東南等地。</t>
  </si>
  <si>
    <t>[名]
量詞。計算海面距離的單位。一浬約為一千八百五十二公尺。也稱為「海里」。</t>
  </si>
  <si>
    <t>(二)ㄌㄧˊ lí（03383）</t>
  </si>
  <si>
    <t>[名]
量詞。英制計算長度的單位。一哩等於一千六百零九公尺。今作「英里」。</t>
  </si>
  <si>
    <t>(一)ㄌㄧ lī（03382）(二)˙ㄌㄧ li（03496）</t>
  </si>
  <si>
    <t>娌</t>
  </si>
  <si>
    <t>參見「妯娌」條。</t>
  </si>
  <si>
    <t>理</t>
  </si>
  <si>
    <t>[動]
1.雕琢玉石。《韓非子．和氏》：「王乃使玉人理其璞而得寶焉。」《戰國策．秦策三》：「鄭人謂玉，未理者璞。」
2.修整、整治、使整齊。如：「整理」、「治理」、「理家」、「管理」。
3.辦事、處置。如：「辦理」、「處理」、「代理」。
4.對別人的言行有所反應。如：「答理」、「理會」、「不理不睬」。
5.溫習、熟習。如：「書不理不熟。」明．無名氏《鬧銅臺．楔子》：「英雄貫滿東京府，曾理兵書習六韜。」
[名]
1.條紋、紋路。如：「肌理」、「紋理」。唐．段成式《酉陽雜俎．卷一〇．物異》：「建城縣出燃石，色黃理疏，以水灌之則熱，安鼎其上，可以炊也。」
2.事物的規律、意旨。如：「天理」、「公理」、「真理」、「義理」、「定理」。
3.順序、層次。如：「有條有理」。《荀子．儒效》：「井井兮有理也。」
4.物理學科或自然學科。如：「理化」、「理工」。
5.姓。如殷商時代有理徵。</t>
  </si>
  <si>
    <t>喱</t>
  </si>
  <si>
    <t>[名]_x000D_
英美的重量單位。</t>
  </si>
  <si>
    <t>裡</t>
  </si>
  <si>
    <t>[名]
1.衣服內層的襯布。《詩經．邶風．綠衣》：「綠兮衣兮，綠衣黃裡。」《禮記．內則》：「褻衣衾不見裡。」
2.內部。如：「裡應外合」。《左傳．僖公二十八年》：「若其不捷，表裡山河，必無害也。」南朝梁．庾肩吾〈奉使北徐州參丞御〉：「雲邊開鞏樹，霧裡識嶢峰。」
3.指一定的空間範圍。如：「這裡」、「那裡」。
4.指一定的時間範圍。如：「夜裡」、「暑假裡」。
[助]
句末語氣詞，無義。同「哩」。宋．辛棄疾〈謁金門．山共水〉詞：「因甚無個阿鵲地，沒工夫說裡！」</t>
  </si>
  <si>
    <t>鋰</t>
  </si>
  <si>
    <t>[名]
（lithium，Li）化學元素。原子序3。鹼金屬元素之一。銀灰色，遇水則反應產生氫氣，須儲存於石油中。用以製造鋰電池、鋰離子電池、鋰鹽，於冶金過程中有脫氧、脫硫等作用。</t>
  </si>
  <si>
    <t>鯉</t>
  </si>
  <si>
    <t>[名]
1.動物名。鯉目鯉科。體長，側扁而肥，被銀鱗，體表呈網狀紋。口內無齒，前端有二對鬚。雜食性，產於淡水水域。肉質鮮美。
2.參見「鯉素」條。</t>
  </si>
  <si>
    <t>豊</t>
  </si>
  <si>
    <t>[名]
古代祭祀用的禮器。《說文解字．豊部》：「豊，行禮之器也。」</t>
  </si>
  <si>
    <t>澧</t>
  </si>
  <si>
    <t>[名]
河川名：(1)源出大陸地區河南省桐柏縣西北的胎簪山，流經沘源縣，南流入唐河。(2)在大陸地區湖南省，分南、北、中三源：中源出自大陸地區湖南省桑植縣西北栗山綠水河；南源出自大陸地區永順縣北萬笏山上洞；北源出自大陸地區龍山縣東北，三源會合注入洞庭湖。
[形]
甘美。通「醴」。如：「澧泉」。</t>
  </si>
  <si>
    <t>禮</t>
  </si>
  <si>
    <t>[名]
1.人類的行為規範。《禮記．曲禮上》：「夫禮者，所以定親疏，決嫌疑，別同異，明是非也。」
2.規矩恭敬的態度或行為。如：「行禮」、「有禮」。《左傳．僖公三十年》：「以其無禮於晉，且貳於楚也。」
3.儀式。如：「典禮」、「婚禮」、「喪禮」、「成年禮」。
4.表敬意的贈品。如：「千里送鵝毛，禮輕情意重。」《晉書．卷七七．陸曄傳》：「及受禮，唯酒一斗，鹿肉一柈。」
5.儒家的經典。參見「三禮」條。
6.姓。如漢代有禮賢。
[動]
1.祭。《儀禮．覲禮》：「禮月與四瀆於北門外，禮山川丘陵於西門外。」《文選．揚雄．甘泉賦》：「集乎禮神之囿，登乎頌祇之堂。」
2.尊敬、厚待。如：「禮賢下士」。《呂氏春秋．開春論．察賢》：「魏文侯師卜子夏，友田子方，禮段干木。」</t>
  </si>
  <si>
    <t>醴</t>
  </si>
  <si>
    <t>[名]
1.甜酒。《玉篇．酉部》：「醴，甜酒也。」《呂氏春秋．孟春紀．重己》：「其為飲食酏醴也，足以適味充虛而已矣。」漢．高誘．注：「醴者，以櫱與黍相體，不以麴也，濁而甜耳。」
2.甘泉。《文選．張衡．思玄賦》：「飲青岑之玉醴兮，餐沆瀣以為粻。」宋．蘇軾〈參寥上人初得智果院會者十六人分韻賦詩軾得心字〉詩：「雲崖有淺井，玉醴常半尋。」</t>
  </si>
  <si>
    <t>鱧</t>
  </si>
  <si>
    <t>[名]
動物名。鱧目鱧科。體呈圓柱狀，灰棕色或深褐色。腹部白色，背部有暗褐色縱帶，側邊有大塊暗色斑紋。口大，頭部似蛇頭。肉食性。</t>
  </si>
  <si>
    <t>[動]
蟲子蛀食木頭。《說文解字．〇部》：「蠡，蟲齧木中也。」清．段玉裁．注：「此非蟲名，乃謂蠹之食木曰蠡也。」
[形]
器物用久剝落、腐蝕的樣子。明．張自烈《正字通．虫部》：「凡器物用久剝落若蟲蝕者謂之蠡。」</t>
  </si>
  <si>
    <t>(二)ㄌㄧˊ lí（03416）</t>
  </si>
  <si>
    <t>邐</t>
  </si>
  <si>
    <t>參見「邐迤」條。</t>
  </si>
  <si>
    <t>力</t>
  </si>
  <si>
    <t>ㄌㄧˋ</t>
  </si>
  <si>
    <t>lì</t>
  </si>
  <si>
    <t>[名]
1.改變物體運動狀態（靜止或運行速度）的效能稱為「力」，計算單位為「牛頓」。如：「動力」、「向心力」、「離心力」、「地心引力」。
2.人和動物體內筋肉運動所產生的效能。如：「臂力」、「體力」。《詩經．邶風．簡兮》：「有力如虎，執轡如組。」
3.一切事物所具有的效能或作用。如：「火力」、「風力」、「水力」。
4.才能、能力。如：「智力」、「實力」、「理解力」、「量力而為」。
5.權勢。如：「權力」。《孟子．公孫丑上》：「以力服人者，非心服也。」
6.以力氣供人役使的僮僕。如：「苦力」。
7.姓。如宋代有力起。
8.二一四部首之一。
[副]
盡力、拚命。如：「力爭上游」。《漢書．卷九五．南粵傳》：「樓船力攻燒敵。」</t>
  </si>
  <si>
    <t>屴</t>
  </si>
  <si>
    <t>參見「屴崱」條。</t>
  </si>
  <si>
    <t>荔</t>
  </si>
  <si>
    <t>[名]
1.植物名。即馬藺。鳶尾科鳶尾屬，多年生草本。根莖粗壯，根細長而堅韌。葉線形，質硬無劍脊，長可達四十公分。花一至三朵頂生花莖先端，具三枚葉狀苞片，花被片六枚，淡藍色，外輪三枚之中部具黃紋。蒴果紡錘形，具三稜，種子入藥。清．王念孫《廣雅疏證．卷一〇上．釋草》：「馬薤，荔也。」疏證：「蠡、藺、荔，一聲之轉，故張氏注〈子虛賦〉謂之馬荔、馬荔猶言馬藺也。荔，葉似薤而大，則馬薤之所名也。」
2.參見「荔枝」條。</t>
  </si>
  <si>
    <t>立</t>
  </si>
  <si>
    <t>[動]_x000D_
1.直身站著。如：「站立」、「立正」。《孟子．梁惠王上》：「王立於沼上。」_x000D_
2.豎起。如：「豎立」、「立竿見影」。《水滸傳》第三一回：「又將兩扇門立在牆邊，先去吹滅了燈火。」_x000D_
3.設置。如：「立廟」、「私立小學」。《書經．周官》：「立太師、太傅、太保。」_x000D_
4.制定、訂定。如：「立法」、「立案」、「立憲」。_x000D_
5.建樹、成就。如：「立威」、「三十而立」。《左傳．襄公二十四年》：「大上有立德，其次有立功，其次有立言。」_x000D_
6.存在。如：「獨立」、「誓不兩立」。_x000D_
[副]_x000D_
即刻。如：「立刻」。《史記．卷八六．刺客列傳．荊軻》：「劍堅，故不可立拔。」_x000D_
[名]_x000D_
1.姓。如春秋時魯國有立如子。_x000D_
2.二一四部首之一。</t>
  </si>
  <si>
    <t>苙</t>
  </si>
  <si>
    <t>[名]
1.植物名。繖形科當歸屬。「白芷」之古稱，參見「白芷」條。《集韻．入聲．緝韻》：「苙，藥草，白芷也。」
2.豬圈。《孟子．盡心下》：「如追放豚，既入其苙，又從而招之。」</t>
  </si>
  <si>
    <t>粒</t>
  </si>
  <si>
    <t>[名]
1.米粒。《列子．湯問》：「剖粒為餌，引盈車之魚。」漢．劉楨〈答魏太子丕借廓落帶書〉：「嘉禾始熟，而農夫先嘗其粒。」
2.顆粒狀的東西。如：「砂粒」、「鹽粒」。
3.量詞。計算顆粒狀物的單位。如：「一粒砂子」、「兩粒藥丸」。唐．李紳〈古風〉詩二首之一：「春種一粒粟，秋成萬顆子。」
[動]
進食、以米糧為食。《書經．益稷》：「暨稷播奏庶艱食鮮食，懋遷有無化居，烝民乃粒，萬邦作乂。」北齊．顏之推《顏氏家訓．涉務》：「夫食為民天，民非食不生矣，三日不粒，父子不能相存。」</t>
  </si>
  <si>
    <t>笠</t>
  </si>
  <si>
    <t>[名]
用竹皮或竹葉編成，可以擋雨遮陽的帽子。如：「斗笠」、「竹笠」。《詩經．周頌．哀耜》：「其笠伊糾，其鎛斯趙。」漢．毛亨．傳：「笠，所以禦暑雨也。」唐．柳宗元〈江雪〉詩：「孤舟蓑笠翁，獨釣寒江雪。」</t>
  </si>
  <si>
    <t>蒞</t>
  </si>
  <si>
    <t>[動]
光臨、來到。如：「蒞臨」、「蒞會」。《國語．周語上》：「是故祓除其心，以和惠民，考中度衷以蒞之。」《孟子．梁惠王上》：「欲辟土地，朝秦、楚，蒞中國而撫四夷也。」
[形]
參見「蒞蒞」條。</t>
  </si>
  <si>
    <t>鴗</t>
  </si>
  <si>
    <t>[名]_x000D_
動物名。即翠鳥。體小，比麻雀稍大。頭大，尾短。口喙直長，白頸紅嘴，羽多青翠。多生活於湖沼水邊的樹林，以捕食魚蝦為生。因擅捕魚，也稱為「魚狗」。《爾雅．釋鳥》：「鴗，天狗。」晉．郭璞．注：「小鳥也，青似翠，食魚，江東呼為水狗。」</t>
  </si>
  <si>
    <t>吏</t>
  </si>
  <si>
    <t>[名]
1.在政府機關中處理公務的人員。如：「官吏」、「酷吏」、「貪官汙吏」。《史記．卷一二六．滑稽傳》：「即使吏卒共抱大巫嫗投之河中。」
2.姓。如漢代有吏宗。</t>
  </si>
  <si>
    <t>利</t>
  </si>
  <si>
    <t>[名]
1.好處、益處。如：「利益」、「福利」、「漁翁得利」。《論語．里仁》：「君子喻於義，小人喻於利。」
2.從本金生出的子錢。如：「利息」、「利潤」、「紅利」、「高利貸」。
3.姓。如漢代有利乾。
[動]
有益於。如：「利人利己」。
[形]
1.鋒銳。如：「銳利」、「鋒利」。《孟子．公孫丑下》：「兵革非不堅利也，米粟非不多也。」
2.祥瑞、順利。如：「大吉大利」。《史記．卷八．高祖本紀》：「東陽𡩋君、沛公引兵西，與戰蕭西，不利。」</t>
  </si>
  <si>
    <t>俐</t>
  </si>
  <si>
    <t>參見「俐亮」、「俐落」等條。</t>
  </si>
  <si>
    <t>猁</t>
  </si>
  <si>
    <t>參見「猞猁孫」條。</t>
  </si>
  <si>
    <t>琍</t>
  </si>
  <si>
    <t>[名]
譯音用字。常用於西洋人名的翻譯。如：「瑪琍亞」、「維多琍亞」。</t>
  </si>
  <si>
    <t>莉</t>
  </si>
  <si>
    <t>痢</t>
  </si>
  <si>
    <t>[名]
病名。一種由細菌或阿米巴原蟲所感染的腸道炎症。患者有強烈的腹瀉及腹絞痛，解便頻繁且稀薄，嚴重時便中有血，並伴隨著電解質和水分的流失，而導致嚴重虛脫。也稱為「痢疾」。</t>
  </si>
  <si>
    <t>沴</t>
  </si>
  <si>
    <t>[形]
水流不順暢。《說文解字．水部》：「沴，水不利也。」
[名]
惡氣、災病。唐．殷堯藩〈冬至酬劉使君〉詩：「漸喜一陽從地復，卻憐群沴逐冰消。」宋．文天祥〈正氣歌〉：「如此再寒暑，百沴自辟易。」</t>
  </si>
  <si>
    <t>例</t>
  </si>
  <si>
    <t>[名]
可供比照或依據的標準。如：「慣例」、「體例」、「範例」、「史無前例」。
[動]
比類、比照。如：「以古例今」、「以此例彼」。
[副]
按規定的、照常的。如：「例行公事」。</t>
  </si>
  <si>
    <t>栵</t>
  </si>
  <si>
    <t>[名]
1.植物名。即茅栗。殼斗科板栗屬，落葉小喬木。幼枝有柔毛，葉倒卵狀橢圓形至長橢圓形，粗鋸齒緣，背面被灰色腺鱗。雄花序穗狀，雌花單生或混生於雄花序基部，殼斗密生銳刺，刺上有疏毛。堅果闊卵圓形，可食，木材可供薪用。《爾雅．釋木》：「栵，栭。」晉．郭璞．注：「今江東亦呼為栭栗。」明．李時珍《本草綱目．卷二九．果部．栗》：「栗之大者為板栗，……小如指頂者為茅栗，即《爾雅》所謂栭栗也。一名栵栗。可炒食之。」也稱為「茅栗」。
2.成行而生的樹木。《詩經．大雅．皇矣》：「脩之平之，其灌其栵。」明．方以智《物理小識．卷九．草木類上．枸橘》：「枸橘穰綯間，溝泥種成栵。」</t>
  </si>
  <si>
    <t>戾</t>
  </si>
  <si>
    <t>[形]
1.兇狠暴烈。如：「暴戾」。《北史．卷六三．蘇綽傳》：「然其性狠戾，不切世要，求名太甚。」
2.勁疾。《文選．潘岳．秋興賦》：「庭樹槭以灑落兮，勁風戾而吹帷。」唐．李善．注：「戾，勁疾之貌。」
[動]
1.到達。《詩經．大雅．旱麓》：「鳶飛戾天，魚躍于淵。」唐．劉禹錫〈飛鳶操〉詩：「鷹隼儀形螻蟻心，雖能戾天何足貴。」
2.違背。《淮南子．覽冥》：「舉事戾蒼天，發號逆四時。」
[名]
罪過。《左傳．文公四年》：「君辱貺之，其敢干大禮以自取戾。」晉．杜預．注：「戾，罪也。」</t>
  </si>
  <si>
    <t>悷</t>
  </si>
  <si>
    <t>[形]
悲傷。《集韻．去聲．霽韻》：「悷，懍悷，悲貌。」《楚辭．宋玉．九辯》：「靚杪秋之遙夜兮，心繚悷而有哀。」</t>
  </si>
  <si>
    <t>捩</t>
  </si>
  <si>
    <t>[名]
彈琵琶所用的弦撥。《廣韻．去聲．霽韻》：「捩，琵琶撥也。」南朝梁．簡文帝〈詠內人晝眠〉詩：「攀鉤落綺障，插捩舉琵琶。」</t>
  </si>
  <si>
    <t>(一)ㄌㄧㄝˋ liè（03510）</t>
  </si>
  <si>
    <t>唳</t>
  </si>
  <si>
    <t>[動]
鳥類高聲鳴叫。如：「風聲鶴唳」。《晉書．卷五四．陸機傳》：「華亭鶴唳，豈可復聞乎！」清．黃叔璥《臺海使槎錄．卷一．風信》：「又饑鳶高唳，海雀驚飛，則踰日必風。」</t>
  </si>
  <si>
    <t>綟</t>
  </si>
  <si>
    <t>[形]
青綠色。《東觀漢記．卷四．百官表》：「印綬漢制公侯紫綬，九卿青綬。建武元年，復設諸侯王金璽綟綬，公侯金印紫綬。」</t>
  </si>
  <si>
    <t>鬲</t>
  </si>
  <si>
    <t>[名]
1.一種古代的炊具。圓口，似鼎有三足，足部中空，便於加熱炊煮。《說文解字．鬲部》：「鬲，鼎屬也，實五觳，斗二升曰觳。象腹交文，三足。」《漢書．卷二五．郊祀志上》：「禹收九牧之金，鑄九鼎，……，其空足曰鬲。」
2.一種古代喪葬時所用的瓦瓶。《禮記．喪大記》：「陶人出重鬲，管人受沐。」
3.二一四部首之一。</t>
  </si>
  <si>
    <t>(一)ㄍㄜˊ gé（03946）</t>
  </si>
  <si>
    <t>鎘</t>
  </si>
  <si>
    <t>[名]
一種鼎。古代用來炊煮食物的器具。同「鬲」。唐．王維〈胡居士臥病遺米因贈〉詩：「床上無氈臥，鎘中有粥否？」</t>
  </si>
  <si>
    <t>(一)ㄍㄜˊ gé（03952）</t>
  </si>
  <si>
    <t>栗</t>
  </si>
  <si>
    <t>[名]
1.植物名。殼斗科板栗屬，「板栗」及「栵」之混稱，參見「板栗」條。
2.姓。如漢代有栗融。
[動]
畏懼。通「慄」。《論語．八佾》：「哀公問社於宰我……，曰使民戰栗。」《漢書．卷六六．公孫劉田王楊蔡陳鄭傳．楊敞》：「眾毀所歸，不寒而栗。」
[形]
1.堅固。《禮記．聘義》：「夫昔者君子比德於玉焉，溫潤而澤，仁也；縝密以栗，知也。」漢．鄭玄．注：「栗，堅貌。」
2.敬謹、戒慎。《書經．舜典》：「直而溫，寬而栗。」唐．孔穎達．正義：「謂矜莊嚴。栗者，謹敬也。」
3.威嚴。《司馬法．卷四．嚴位》：「凡戰之道：位欲嚴；政欲栗。」</t>
  </si>
  <si>
    <t>傈</t>
  </si>
  <si>
    <t>[名]
中國少數民族之一。參見「傈僳族」條。</t>
  </si>
  <si>
    <t>溧</t>
  </si>
  <si>
    <t>參見「溧水」條。</t>
  </si>
  <si>
    <t>慄</t>
  </si>
  <si>
    <t>[動]
因恐懼而發抖。如：「戰慄」、「不寒而慄」。《詩經．秦風．黃鳥》：「臨其穴，惴惴其慄。」唐．孟郊〈石淙〉詩十首之八：「古駭毛髮慄，險驚視聽乖。」</t>
  </si>
  <si>
    <t>篥</t>
  </si>
  <si>
    <t>參見「觱篥」條。</t>
  </si>
  <si>
    <t>厤</t>
  </si>
  <si>
    <t>[動]
治理、研治。《說文解字．厂部》：「厤，治也。」《莊子．天下》：「厤物之意，曰：『至大無外，謂之大一；至小無內，謂之小一。』」
[名]
記載歲時的書籍。《玉篇．日部》：「曆，古本作厤。」同「曆」。南朝梁．鮑照〈河清頌〉：「素狐玄玉，聿肇符命；朴牛大螾，爰定祥厤。」</t>
  </si>
  <si>
    <t>歷</t>
  </si>
  <si>
    <t>[動]
1.經過。如：「歷劫」、「歷險」、「歷盡滄桑」。
2.踰越。《呂氏春秋．孟冬紀．安死》：「徑庭歷級，非禮也。」明．徐弘祖《徐霞客遊記．卷一上．遊雁宕山日記》：「一步一喘，數里，始歷高巔。」
[形]
1.過去、已經過的。如：「歷代」、「歷屆」、「歷史」、「歷年」。《文選．沈約．宋書謝靈運傳論》：「至於先士茂製，諷高歷賞。」
2.分明的、清晰的。如：「歷歷在目」、「往事歷歷」。唐．崔顥〈黃鶴樓〉詩：「晴川歷歷漢陽樹，春草萋萋鸚鵡洲。」
[名]
過去的經驗。如：「學歷」、「資歷」、「履歷」。
[副]
遍、盡。《周禮．夏官．量人》：「凡宰祭與鬱人受斝，歷而皆飲之。」唐．李商隱〈詠史〉詩：「歷覽前賢國與家，成由勤儉破由奢。」</t>
  </si>
  <si>
    <t>曆</t>
  </si>
  <si>
    <t>[名]
1.推算歲時節氣的方法。如：「時憲曆」、「四分曆」、「太初曆」。《淮南子．本經》：「星月之行，可以曆推得也。」
2.記載年、月、日、節氣等的書冊。如：「日曆」、「月曆」。《樂府詩集．卷七三．雜曲歌辭十三．古辭．焦仲卿妻》：「視曆復開書，便利此月內。」《舊唐書．卷三二．曆志一》：「玄宗召見，令造新曆。」
3.年代、壽命。《漢書．卷一四．諸侯王表》：「周過其曆，秦不及期。」</t>
  </si>
  <si>
    <t>瀝</t>
  </si>
  <si>
    <t>[動]
1.滴下、灑落。《說文解字．水部》：「瀝，水下滴瀝也。」如：「嘔心瀝血」。《文選．王延壽．魯靈光殿賦》：「動滴瀝以成響，殷雷應其若驚。」《喻世明言．卷二四．楊思溫燕山逢故人》：「思厚以酒瀝地為誓：『若負前言，在路盜賊殺戮，在水巨浪覆舟。』」
2.過濾使滲出。如：「瀝酒」。唐．段成式《酉陽雜俎．卷四．境異》：「阿薩部多獵蟲鹿，剖其肉，重疊之，以石壓瀝汁。」
[名]
水或酒的殘汁。《史記．卷一二六．滑稽傳．淳于髡傳》：「侍酒於前，時賜餘瀝。」宋．歐陽修〈憎蒼蠅賦〉：「杯盂殘瀝，砧几餘腥。」</t>
  </si>
  <si>
    <t>壢</t>
  </si>
  <si>
    <t>[名]
1.坑洞。《集韻．入聲．錫韻》：「壢，坑也。」
2.地名用字。如臺灣有中壢、內壢。</t>
  </si>
  <si>
    <t>嚦</t>
  </si>
  <si>
    <t>[擬]
形容鳥類鳴叫的聲音。元．王實甫《西廂記．第一本．第一折》：「恰便似嚦嚦鶯聲花外囀。」明．徐弘祖《徐霞客遊記．卷一上．遊天台山日記》：「鶴巢於上，傳聲嘹嚦。」</t>
  </si>
  <si>
    <t>櫪</t>
  </si>
  <si>
    <t>[名]
1.馬槽，泛指馬房。漢．曹操〈步出夏門行〉：「老驥伏櫪，志在千里。」唐．岑參〈玉門關蓋將軍歌〉：「櫪上昂昂皆駿駒，桃花叱撥價最殊。」
2.同「櫟」。唐．韓愈〈山石〉詩：「山紅澗碧紛爛漫，時見松櫪皆十圍。」</t>
  </si>
  <si>
    <t>轣</t>
  </si>
  <si>
    <t>參見「轣轆」條。</t>
  </si>
  <si>
    <t>靂</t>
  </si>
  <si>
    <t>參見「霹靂」條。</t>
  </si>
  <si>
    <t>詈</t>
  </si>
  <si>
    <t>[動]
責罵。《說文解字．网部》：「詈，罵也。」《書經．無逸》：「或告之曰，小人怨汝詈汝。」《楚辭．屈原．離騷》：「女嬃之嬋媛兮，申申其詈予。」</t>
  </si>
  <si>
    <t>[名]
1.粗的磨刀石。《詩經．大雅．公劉》：「取厲取鍛。」《史記．卷一八．高祖功臣侯者年表》：「使河如帶，泰山若厲。」
2.疾病、災禍。《詩經．大雅．瞻邛》：「孔填不寧，降此大厲。」
3.姓。如漢代有厲溫，清代有厲鶚。
[動]
1.磨之使利。通「礪」。《荀子．性惡》：「鈍金必將待礱厲然後利。」唐．柳宗元〈弔屈原文〉：「何先生之凜凜兮，厲鍼石而從之。」
2.勉勵、激勵。《三國志．卷三五．蜀書．諸葛亮傳》：「親秉旄鉞，以厲三軍。」
3.奮起、振奮。《文選．曹植．贈白馬王彪詩》：「歸鳥赴喬林，翩翩厲羽翼。」
[形]
1.嚴肅、嚴格。《論語．述而》：「子溫而厲。」唐．韓愈〈答尉遲生書〉：「行峻而言厲，心醇而氣和。」
2.猛烈。如：「厲害」。《莊子．齊物論》：「厲風濟，則眾竅為虛。」《文選．古詩十九首．凜凜歲云暮》：「涼風率已厲，游子寒無衣。」
3.凶惡的。如：「厲鬼」。</t>
  </si>
  <si>
    <t>(二)ㄌㄞˋ lài（03217）</t>
  </si>
  <si>
    <t>勵</t>
  </si>
  <si>
    <t>[動]
1.奮發、振作。《字彙．力部》：「勵，勉力也。」《南史．卷二四．王韶之傳》：「夙夜勤勵，政績甚美。」
2.勸勉、鼓舞。如：「鼓勵」、「獎勵」。《國語．吳語》：「請王勵士，以奮其朋勢。」
[名]
姓。如清代有勵廷儀。</t>
  </si>
  <si>
    <t>癘</t>
  </si>
  <si>
    <t>[名]
1.惡瘡。《禮記．月令》：「行春令則蝗蟲為敗，水泉咸竭，民多疥癘。」
2.瘟疫。《左傳．哀公元年》：「在國，天有菑癘。」晉．杜預．注：「癘，疾疫也。」</t>
  </si>
  <si>
    <t>礪</t>
  </si>
  <si>
    <t>[名]
粗的磨刀石。《荀子．勸學》：「故木受繩則直，金就礪則利。」
[動]
1.磨利、磨治。《書經．費誓》：「礪乃鋒刃，無敢不善。」《史記．卷六六．伍子胥傳》：「勝自礪劍，人問曰：『何以為？』勝曰：『欲以殺子西。』」
2.參見「砥礪」條。</t>
  </si>
  <si>
    <t>糲</t>
  </si>
  <si>
    <t>[名]
糙米。《廣韻．去聲．泰韻》：「糲，麤米。」唐．韓愈〈山石〉詩：「鋪床拂席置羹飯，疏糲亦足飽我飢。」《明史．卷三〇九．李自成傳》：「自成不好酒色，脫粟粗糲，與其下共甘苦。」
[形]
粗糙的。如：「糲飯」、「糲糧」。明．徐弘祖《徐霞客遊記．卷八上．滇遊日記八》：「其石質粗糲，洞形亦無曲折之致。」</t>
  </si>
  <si>
    <t>蠣</t>
  </si>
  <si>
    <t>參見「牡蠣」條。</t>
  </si>
  <si>
    <t>隸</t>
  </si>
  <si>
    <t>[名]
1.古代稱地位卑賤或供人役使的人。如：「奴隸」、「皁隸」。唐．釋慧琳《一切經音義．卷六．大般若波羅蜜多經》：「隸，賤屬也，僕也。」
2.一種字體。即隸書。相傳為秦代程邈所創，由小篆減省而成。
3.姓。如漢代有隸延之。
[動]
1.附屬。如：「隸屬」。唐．杜甫〈自京赴奉先縣詠懷五百字〉詩：「生常免租稅，名不隸征伐。」宋．蘇軾〈率子廉傳〉：「晚隸南嶽觀為道士。」
2.學習。明．湯顯祖《紫簫記》第六齣：「俺將此詞送到杜秋娘別院，隸習一番。」</t>
  </si>
  <si>
    <t>瓅</t>
  </si>
  <si>
    <t>櫟</t>
  </si>
  <si>
    <t>[名]
植物名，殼斗科麻櫟屬：(1)「麻櫟」、「柞樹」之古稱，參見「柞樹」條。(2)約三十種麻櫟屬樹木之混稱。也稱為「橡樹」、「橡斗」。參見「橡樹」條。</t>
  </si>
  <si>
    <t>礫</t>
  </si>
  <si>
    <t>[名]
小石頭。《說文解字．石部》：「礫，小石也。」如：「沙礫」、「瓦礫」。唐．柳宗元〈袁家渴記〉：「其旁多巖洞，其下多白礫。」</t>
  </si>
  <si>
    <t>轢</t>
  </si>
  <si>
    <t>[動]
1.車輪輾過。《說文解字．車部》：「轢，車所踐也。」《文選．張衡．西京賦》：「當足見碾，值輪被轢。」三國吳．薛綜．注：「足所蹈為碾，車所加為轢。」
2.欺凌。《呂氏春秋．慎大覽．慎大》：「干辛任威，凌轢諸侯以及兆民。」
3.用器具刮物，使其發聲。《文選．張衡．西京賦》：「轢輻輕騖，容於一扉。」三國吳．薛綜．注：「馭車欲馬疾，以箠櫟於輻，使有聲也。」</t>
  </si>
  <si>
    <t>躒</t>
  </si>
  <si>
    <t>[動]
動、跳躍。《玉篇．足部》：「躒，動也。」唐．劉禹錫〈答柳子厚書〉：「氣為幹，文為支。跨躒古今，鼓行乘空。」</t>
  </si>
  <si>
    <t>(二)ㄌㄨㄛˋ luò（03827）</t>
  </si>
  <si>
    <t>[形]
1.美好、華美。如：「豔麗」、「天生麗質」。《楚辭．宋玉．招魂》：「被文服纖，麗而不奇些。」《文選．揚雄．羽獵賦》：「麗哉！神聖，處於玄宮。」
2.成雙的。通「儷」。《周禮．夏官．校人》：「麗馬一圉，八麗一師。」漢．鄭玄．注：「麗，耦也。」
[動]
附著。《易經．離卦．彖曰》：「離，麗也。日月麗乎天，百穀草木麗乎土。」《後漢書．卷五九．張衡傳》：「夫戰國交爭，戎車競驅，君若綴旒，人無所麗。」</t>
  </si>
  <si>
    <t>(二)ㄌㄧˊ lí（03411）</t>
  </si>
  <si>
    <t>儷</t>
  </si>
  <si>
    <t>[名]
配偶。如：「賢伉儷」。《左傳．成公十一年》：「鳥獸猶不失儷。」
[形]
1.成雙成對的。如：「儷影」。
2.文字成對偶、對仗的。如：「儷辭」、「儷句」。</t>
  </si>
  <si>
    <t>攦</t>
  </si>
  <si>
    <t>[動]
1.折斷。《集韻．去聲．霽韻》：「攦，折也。」《莊子．胠篋》：「毀絕鉤繩而棄規矩，攦工倕之指，而天下始人有其巧矣。」
2.甩、搖擺。《警世通言．卷二四．玉堂春落難逢夫》：「三官茶罷，就要走。故意攦出兩定銀子來，都是五兩頭細絲。」</t>
  </si>
  <si>
    <t>酈</t>
  </si>
  <si>
    <t>[名]
1.地名。春秋時魯地。《左傳．僖公元年》：「公子友帥師敗莒師于酈。」晉．杜預．注：「酈，魯地。」
2.姓。如漢代有酈食其。</t>
  </si>
  <si>
    <t>欐</t>
  </si>
  <si>
    <t>[名]
屋梁。《玉篇．木部》：「欐，梁棟名。」《列子．湯問》：「餘音繞梁欐，三日不絕。」</t>
  </si>
  <si>
    <t>盭</t>
  </si>
  <si>
    <t>[形]
1.凶暴乖戾。《說文解字．弦部》：「盭，弼戾也。」清．段玉裁．注：「按此乖戾正字，今則戾行而盭廢矣。」《史記．卷一一七．司馬相如傳》：「舉踵思慕，若枯旱之望雨，盭夫為之垂涕，況乎上聖又惡能已？」
2.綠色的。《漢書．卷一九．百官公卿表上》：「諸侯王，高帝初置，金璽盭綬，掌治其國。」唐．顏師古．注：「如淳曰：『盭，綠也，以綠為質。』」</t>
  </si>
  <si>
    <t>攭</t>
  </si>
  <si>
    <t>[形]
雲氣旋轉的樣子。《荀子．賦》：「忽兮其極之遠也，攭兮其相逐而反也。」</t>
  </si>
  <si>
    <t>(二)ㄌㄨㄛˇ luǒ（03812）</t>
  </si>
  <si>
    <t>˙ㄌㄧ</t>
  </si>
  <si>
    <t>li</t>
  </si>
  <si>
    <t>[助]
置於句末，表示肯定的語氣。《京本通俗小說．西山一窟鬼》：「休取笑，若嫁得這個官人，可知好哩！」元．無名氏《衣襖車》第二折：「你見麼，兀那一個番將，敲冰飲馬哩！」</t>
  </si>
  <si>
    <t>(一)ㄌㄧ lī（03382）(三)ㄌㄧˇ lǐ（03422）</t>
  </si>
  <si>
    <t>倆</t>
  </si>
  <si>
    <t>ㄌㄧㄚˇ</t>
  </si>
  <si>
    <t>liǎ</t>
  </si>
  <si>
    <t>[形]
兩個。如：「哥倆好」、「小夫妻倆」。《老殘遊記》第一五回：「叫他們姐兒倆打開蓋捲睡當中，好不好？」</t>
  </si>
  <si>
    <t>(一)ㄌㄧㄤˇ liǎng（03667）</t>
  </si>
  <si>
    <t>咧</t>
  </si>
  <si>
    <t>ㄌㄧㄝ</t>
  </si>
  <si>
    <t>liē</t>
  </si>
  <si>
    <t>[助]
用於句末，相當於「哪」、「哩」、「啦」。《老殘遊記》第一三回：「那不得罪人麼，快別哭咧！」</t>
  </si>
  <si>
    <t>(二)ㄌㄧㄝˊ lié（03499）(三)ㄌㄧㄝˇ liě（03500）</t>
  </si>
  <si>
    <t>ㄌㄧㄝˊ</t>
  </si>
  <si>
    <t>lié</t>
  </si>
  <si>
    <t>參見「咧咧」條。</t>
  </si>
  <si>
    <t>(一)ㄌㄧㄝ liē（03498）(三)ㄌㄧㄝˇ liě（03500）</t>
  </si>
  <si>
    <t>ㄌㄧㄝˇ</t>
  </si>
  <si>
    <t>liě</t>
  </si>
  <si>
    <t>[動]
嘴角向兩旁張開。如：「咧嘴大笑」、「齜牙咧嘴」。</t>
  </si>
  <si>
    <t>(一)ㄌㄧㄝ liē（03498）(二)ㄌㄧㄝˊ lié（03499）</t>
  </si>
  <si>
    <t>列</t>
  </si>
  <si>
    <t>ㄌㄧㄝˋ</t>
  </si>
  <si>
    <t>liè</t>
  </si>
  <si>
    <t>[名]
1.行次。《左傳．僖公二十二年》：「既濟，而未成列。」《禮記．喪大記》：「火三列，黼三列。」唐．孔穎達．正義：「列，行也。」
2.位次、職位。《論語．季氏》：「陳力就列，不能者止。」《史記．卷八四．屈原賈生傳》：「上官大夫與之同列，爭寵而心害其能。」
3.類。如：「這不在討論之列。」、「他們公司開發出新系列的產品。」
4.量詞。計算成行成列的人或物的單位。如：「一列火車」、「營房前站著一列士兵。」
5.姓。如戰國時有列禦寇。
[動]
1.分解、分開。通「裂」。《漢書．卷八五．谷永傳》：「列土封疆非為諸侯，皆以為民也。」
2.依次排比。如：「排列」、「陳列」、「列隊」。晉．陶淵明〈詠荊軻詩〉：「飲餞易水上，四座列群英。」
3.安排、放入。如：「大家的意見均列入紀錄。」
[形]
各、眾。如：「列國」、「列祖列宗」。《紅樓夢》第六二回：「我來了，全仗列位扶持。」
[副]
一一的。如：「列舉」。</t>
  </si>
  <si>
    <t>冽</t>
  </si>
  <si>
    <t>[形]
寒冷。如：「凜冽」。唐．柳宗元〈至小邱西小石潭記〉：「伐竹取道，下見小潭，水尤清冽。」明．孫仁孺《東郭記》第二二齣：「暮光又早生新月，野曠西風冽。」</t>
  </si>
  <si>
    <t>洌</t>
  </si>
  <si>
    <t>[形]
1.清澈。宋．歐陽修〈醉翁亭記〉：「釀泉為酒，泉香而酒洌。」
2.寒冷。通「冽」。《詩經．小雅．大東》：「有洌氿泉，無浸穫薪。」漢．毛亨．傳：「洌，寒意也。」《文選．宋玉．高唐賦》：「紬大絃而雅聲流，洌風過而增悲哀。」</t>
  </si>
  <si>
    <t>烈</t>
  </si>
  <si>
    <t>[形]_x000D_
1.威猛、強勁。《左傳．昭公二十年》：「夫火烈，民望而畏之，故鮮死焉。」《後漢書．卷七〇．鄭孔荀列傳．鄭太》：「以膠固之眾，當解合之埶，猶以烈風掃彼枯葉。」_x000D_
2.剛直、正義。如：「烈士」。《史記．卷八六．刺客列傳．聶政》：「非獨政能也，乃其姊亦烈女也。」_x000D_
3.嚴厲、嚴酷。《淮南子．齊俗》：「曾參之養親也，若事嚴主烈君。」漢．高誘．注：「烈，酷也。」_x000D_
4.光明、顯赫。《詩經．周頌．雝》：「既右烈考，亦右文母。」《國語．晉語九》：「君有烈名，臣無叛質。」三國吳．韋昭．注：「烈，明也。」_x000D_
5.味道或成分很濃、很重。如：「烈酒」。唐．沈亞之〈夢遊仙賦〉：「襲烈蕙之芳風，送麗音於遼耳。」_x000D_
[名]_x000D_
1.功業。《孟子．公孫丑上》：「行乎國政如彼其久也，功烈如彼其卑也。」_x000D_
2.為正義而犧牲性命的人。如：「革命先烈」。_x000D_
3.毒、禍害。《漢書．卷五八．公孫弘卜式兒寬傳．公孫弘》：「若湯之旱，則桀之餘烈也。」_x000D_
4.姓。如秦代有烈裔。_x000D_
[動]_x000D_
燃燒。《孟子．滕文公上》：「舜使益掌火，益烈山澤而焚之。」元．李壽卿《度柳翠．楔子》：「明朝是汝父周年，自當來烈紙焚錢。」</t>
  </si>
  <si>
    <t>裂</t>
  </si>
  <si>
    <t>[名]
裁剪後剩餘的布帛。《說文解字．衣部》：「裂，繒餘也。」
[動]
1.割、撕、破。如：「破裂」、「裂開」。《禮記．內則》：「衣裳綻裂，紉咸請補綴。」《後漢書．卷八一．獨行傳．范式傳》：「乃裂素為書，以遺巨卿。」
2.分散。如：「分裂」、「四分五裂」。《莊子．天下》：「後世之學者，不幸不見天地之純，古人之大體，術道將為天下裂。」
3.分配、劃分。《墨子．尚賢中》：「般爵以貴之，裂地以封之。」《戰國策．秦策五》：「大王裂趙之半以賂秦。」</t>
  </si>
  <si>
    <t>趔</t>
  </si>
  <si>
    <t>參見「趔趄」條。</t>
  </si>
  <si>
    <t>颲</t>
  </si>
  <si>
    <t>[形]
風勢強勁。南朝梁．武帝〈孝思賦〉：「旅雁鳴而哀哀，朔風鼓而颲颲。」</t>
  </si>
  <si>
    <t>鴷</t>
  </si>
  <si>
    <t>[名]
啄木鳥。《爾雅．釋鳥》：「鴷，斲木。」晉．郭璞．注：「口如錐，長數寸，常斲樹食蟲，因名云。」</t>
  </si>
  <si>
    <t>劣</t>
  </si>
  <si>
    <t>[形]
1.壞、不好。如：「劣等」、「劣勢」、「優劣」、「土豪劣紳」。
2.少。《三國志．卷六一．吳書．陸凱傳》：「臣闇於大理，文不及義，智慧淺劣。」
3.虛弱。三國魏．曹植〈辯道論〉：「壽命長短，骨體強劣，各有人焉。」
[副]
僅、恰好。《宋書．卷四五．劉懷慎傳》：「德願善御車，嘗立兩柱，使其中劣通車軸，……打牛奔從柱間直過。」</t>
  </si>
  <si>
    <t>[動]
1.扭轉。唐．韓愈〈送窮文〉：「捩手覆羹，轉喉觸諱。」
2.折斷。唐．陸龜蒙〈引泉詩〉：「凌風捩桂柁，隔霧馳犀船。」
[名]
機器發動、撥轉的關鍵。如：「機捩」。《封神演義》第四七回：「撥迴關捩頭頭看，看破虛空物物明。」</t>
  </si>
  <si>
    <t>(二)ㄌㄧˋ lì（03457）</t>
  </si>
  <si>
    <t>脟</t>
  </si>
  <si>
    <t>[名]
1.肋骨部分的肌肉。《說文解字．肉部》：「脟，脅肉也。」
2.腸子上的脂肪。《說文解字．肉部》：「一曰脟，腸間肥也。」清．段玉裁．注：「腸脂謂之脟。」</t>
  </si>
  <si>
    <t>(二)ㄌㄨㄢˇ luǎn（03838）</t>
  </si>
  <si>
    <t>獵</t>
  </si>
  <si>
    <t>[動]_x000D_
1.追捕禽獸。《詩經．魏風．伐檀》：「不狩不獵，胡瞻爾庭有縣貆兮。」_x000D_
2.探求、尋求。南朝梁．劉勰《文心雕龍．辨騷》：「中巧者獵其豔辭，吟諷者銜其山川。」唐．李白〈大獵賦〉：「頓天網以掩之，獵賢俊以御極。」_x000D_
3.吹拂、掠過。東周戰國．宋玉〈風賦〉：「獵蕙草，離秦衡，概新夷，被荑楊。」宋．歐陽修〈漁家傲．昨日採花花欲盡〉詞：「隔花聞道潮來近，風獵紫荷聲又緊。」_x000D_
4.踐踏。通「躐」。《荀子．議兵》：「不殺老弱，不獵禾稼。」唐．楊倞．注：「獵與躐同，踐也。」_x000D_
[形]_x000D_
打獵的。如：「獵人」、「獵犬」、「獵鷹」。_x000D_
[擬]_x000D_
模擬風聲。南朝宋．鮑照〈還都道中作〉詩：「鱗鱗夕雲起，獵獵曉風遒。」</t>
  </si>
  <si>
    <t>[形]
邋邋：旌旗搖動的樣子。《古文苑．卷一．周宣王石鼓文》：「君子員員，邋邋員斿。」
[動]
踐踏、踰越。同「躐」。清．毛奇齡〈復陸雅坪編修問降一等書〉：「夫闌階邋級與堂上通呼吸，已屬怪事，而況限之在降階一等之地。」</t>
  </si>
  <si>
    <t>(一)ㄌㄚˊ lá（03174）</t>
  </si>
  <si>
    <t>躐</t>
  </si>
  <si>
    <t>[動]
1.踐踏。《楚辭．屈原．九歌．國殤》：「凌余陣兮躐余行，左驂殪兮右刃傷。」
2.踰越、超越。如：「躐等」。《新唐書．卷八三．諸帝公主傳．高宗三女傳》：「有所論薦，或自寒冗躐進至侍從，旋踵將相。」
3.持。《後漢書．卷五二．崔駰傳》：「當其無事，則躐纓整襟，規矩其步。」唐．章懷太子．注：「言持纓整襟，修其容止。」</t>
  </si>
  <si>
    <t>鬣</t>
  </si>
  <si>
    <t>[名]
1.鬍鬚。《左傳．昭公七年》：「楚子享公于新臺，使長鬣者相。」晉．杜預．注：「鬣，鬚也。」
2.獸頸上的長毛。《禮記．明堂位》：「夏后氏駱馬黑鬣，……周人黃馬蕃鬣。」《文選．曹植．七啟》：「哮闞之獸，張牙奮鬣。」
3.鳥頭上的毛。《文選．枚乘．七發》：「鵷鶵鳼鶄，翠鬣紫纓。」
4.魚類頷旁的小鬐。《宋史．卷六二．五行志．水志下》：「有巨魚，高數丈，……轉鬣而傍艦皆覆。」
5.松針。唐．段成式《酉陽雜俎．卷一八．木篇》：「成式修行里私第，大堂前有五鬣松兩株，大財如碗。」
6.掃帚。《禮記．少儀》：「拚席不以鬣，執箕膺擖。」唐．孔穎達．正義：「鬣謂掃地帚也。」</t>
  </si>
  <si>
    <t>撩</t>
  </si>
  <si>
    <t>ㄌㄧㄠ</t>
  </si>
  <si>
    <t>liāo</t>
  </si>
  <si>
    <t>[動]
1.提、掀、揭。如：「撩開簾子」、「撩起裙襬」。元．石君寶《秋胡戲妻》第四折：「我這裡便破步撩衣，走向前來。」
2.用手舀水甩灑。如：「菜販往菜上撩水。」
3.北平方言。指瞥、略看。如：「朝那屋裡撩了一眼。」</t>
  </si>
  <si>
    <t>(一)ㄌㄧㄠˊ liáo（03527）</t>
  </si>
  <si>
    <t>聊</t>
  </si>
  <si>
    <t>ㄌㄧㄠˊ</t>
  </si>
  <si>
    <t>liáo</t>
  </si>
  <si>
    <t>[名]
1.樂事、興趣。《楚辭．王逸．九思．逢尤》：「心煩憒兮意無聊，嚴載駕兮出戲遊。」漢．王延壽．注：「聊，樂也。」
2.姓。如漢代有聊倉。
[動]
1.藉、依賴。如：「民不聊生」。《文選．王粲．登樓賦》：「登茲樓以四望兮，聊暇日以銷憂。」
2.閒談。如：「聊天」、「閒聊」。
[副]
姑且、暫且。如：「聊備一格」、「聊表寸心」。宋．范成大〈四時田園雜興〉詩六〇首之三五：「無力買田聊種水，近來湖面亦收租。」</t>
  </si>
  <si>
    <t>漻</t>
  </si>
  <si>
    <t>[形]
1.清澈幽深。《莊子．天地》：「夫道，淵乎其居也，漻乎其清也。」
2.清靜、寂靜。《韓非子．主道》：「故曰：『寂乎其無位而處，漻乎莫得其所。』」《文選．司馬相如．上林賦》：「悠遠長懷，寂漻無聲，肆乎永歸。」</t>
  </si>
  <si>
    <t>寥</t>
  </si>
  <si>
    <t>[形]_x000D_
1.冷清、寂靜。唐．孟浩然〈夜歸鹿門山歌〉：「巖扉松徑長寂寥，惟有幽人夜來去。」_x000D_
2.稀疏。如：「寥若晨星」。晉．周祗〈枇杷賦〉：「望之冥濛，即之疏寥。」《文選．卷二七．詩．謝朓．京路夜發詩》：「曉星正寥落，晨光復泱漭。」唐．李善．注：「寥落，星稀之貌也。」_x000D_
3.高遠、空曠。《楚辭．屈原．遠遊》：「下崢嶸而無地兮，上寥廓而無天。」_x000D_
4.姓。如明代有寥貴。</t>
  </si>
  <si>
    <t>憀</t>
  </si>
  <si>
    <t>[動]
依賴。《淮南子．兵略》：「上下不相寧，吏民不相憀。」漢．高誘．注：「憀，賴。」
[名]
悲恨。唐．陸龜蒙〈自遣詩〉三〇首之一四：「誰使寒鴉意緒嬌，雲晴山晚動情憀。」</t>
  </si>
  <si>
    <t>[動]
纏繞。通「繚」。《漢書．卷五七．司馬相如傳上》：「錯翡翠之葳蕤，繆繞玉綏。」唐．顏師古．注：「繆繞，相纏結也。」</t>
  </si>
  <si>
    <t>(一)ㄇㄡˊ móu（01204）(二)ㄇㄧㄠˋ miào（01415）(三)ㄇㄧㄡˋ miù（01416）(四)ㄇㄨˋ mù（01522）</t>
  </si>
  <si>
    <t>飂</t>
  </si>
  <si>
    <t>參見「飂戾」、「飂飂」等條。</t>
  </si>
  <si>
    <t>膋</t>
  </si>
  <si>
    <t>[名]
脂肪。《詩經．小雅．信南山》：「執其鸞刀，以啟其毛，取其血膋。」漢．鄭玄．箋：「膋，脂膏也。」</t>
  </si>
  <si>
    <t>僚</t>
  </si>
  <si>
    <t>[名]
1.官吏。如：「官僚」。《書經．皋陶謨》：「百僚師師，百工惟時。」漢．孔安國．傳：「僚，工皆官也。」
2.一起共事的人。如：「同僚」。南朝宋．劉義慶《世說新語．雅量》：「邵在群卒，雍盛集僚屬，自圍棋。」
3.姓。如春秋時魯國有僚祖。</t>
  </si>
  <si>
    <t>參見「潦倒」、「潦草」等條。</t>
  </si>
  <si>
    <t>(一)ㄌㄠˋ lào（03286）(二)ㄌㄠˇ lǎo（03275）</t>
  </si>
  <si>
    <t>寮</t>
  </si>
  <si>
    <t>[名]
1.小窗。南朝梁．簡文帝〈序愁賦〉：「玩飛花之入戶，看斜暉之度寮。」清．孔尚任《桃花扇》第四〇齣：「問秦淮舊日窗寮，破紙迎風，壞檻當潮。」
2.簡陋的屋舍。如：「菜寮」、「工寮」、「菇寮」。宋．陸游〈貧居〉詩：「囊空如客路，屋窄似僧寮。」
3.官吏。通「僚」。唐．皮日休〈何武傳〉：「雖劇寮貴吏，皆得辱殺之。」</t>
  </si>
  <si>
    <t>[動]
1.整理。《說文解字．手部》：「撩，理之也。」如：「撩髮」、「撩理」。
2.拿取。《廣韻．平聲．蕭韻》：「撩，取物。」《北齊書．卷三二．陸法和傳》：「凡人取果，宜待熟時，不撩自落。」
3.挑弄、逗引。如：「姿態撩人」。宋．陸游〈二月三日春色粲然步至湖上〉詩：「梅花隔水香撩客，野鳥穿林語喚人。」《水滸傳》第二六回：「何九叔見他不做聲，倒捏兩把汗。卻把些話來撩他。」
[形]
紛亂。如：「眼花撩亂」。</t>
  </si>
  <si>
    <t>(二)ㄌㄧㄠ liāo（03516）</t>
  </si>
  <si>
    <t>嘹</t>
  </si>
  <si>
    <t>[形]
聲音清脆悠揚。參見「嘹唳」、「嘹喨」等條。</t>
  </si>
  <si>
    <t>獠</t>
  </si>
  <si>
    <t>[動]
夜間打獵。《廣韻．平聲．蕭韻》：「獠，夜獵也。」《文選．司馬相如．子虛賦》：「眇眇忽忽若神仙之髣髴，於是乃相與獠於蕙圃。」
[名]
罵人的話。指兇悍的人。《新唐書．卷一〇五．褚遂良傳》：「武氏從幄後呼曰：『何不撲殺此獠？』」
[形]
面貌凶惡。如：「青面獠牙」。</t>
  </si>
  <si>
    <t>嫽</t>
  </si>
  <si>
    <t>[動]
遊戲、逗弄。《廣韻．平聲．蕭韻》：「嫽，相嫽戲也。」
[形]
美好。如：「嫽妙」、「嫽俏」。《文選．傅毅．舞賦》：「貌嫽妙以妖蠱兮，紅顏曄其揚華。」李善注引毛萇《詩傳》曰：「嫽，好貌。」</t>
  </si>
  <si>
    <t>燎</t>
  </si>
  <si>
    <t>參見「燎漿泡」條。</t>
  </si>
  <si>
    <t>(一)ㄌㄧㄠˋ liào（03549）(二)ㄌㄧㄠˇ liǎo（03541）</t>
  </si>
  <si>
    <t>遼</t>
  </si>
  <si>
    <t>[形]
1.遙遠。如：「遼遠」。《文選．盧諶．贈劉琨詩》：「曷云塗遼，曾不咫步。」宋．陸游〈居山〉詩：「遼天渺歸鶴，千載付茫茫。」
2.久遠。三國魏．阮籍〈詠懷詩〉八二首之八一：「人生樂長久，百年自言遼。」
3.開闊。如：「遼闊」。唐．白居易〈截樹〉詩：「開懷東南望，目遠心遼然。」
[名]
1.朝代名。參見「遼朝」條。
2.河川名。參見「遼河」條。
3.遼寧省的簡稱。</t>
  </si>
  <si>
    <t>療</t>
  </si>
  <si>
    <t>[動]
1.醫治。如：「治療」、「診療」。《周禮．天官．瘍醫》：「凡療瘍，以五毒攻之，以五氣養之。」
2.解除、解救。如：「療貧」。三國魏．曹植〈遠遊篇〉：「瓊蕊可療飢，仰首吸朝霞。」</t>
  </si>
  <si>
    <t>繚</t>
  </si>
  <si>
    <t>[動]
1.纏繞、圍繞。如：「繚繞」。《楚辭．屈原．九歌．湘夫人》：「芷葺兮荷屋，繚之兮杜衡。」《文選．班固．西都賦》：「繚以周牆，四百餘里。」
2.一種縫紉方法。用針把布邊斜著縫起來。如：「繚縫」、「繚貼邊」、「繚衣裳」。
[名]
圍牆。《聊齋志異．卷七．金和尚》：「每一門內，四繚連屋，皆此輩列而居。」</t>
  </si>
  <si>
    <t>鐐</t>
  </si>
  <si>
    <t>[名]
1.純美的白銀。《爾雅．釋器》：「白金謂之銀，其美者謂之鐐。」
2.有孔的鑪。如：「茶鐐」。《廣韻．平聲．蕭韻》：「鐐，有孔鑪。」
3.繫足的刑具。《老殘遊記》第一七回：「你上他這腳鐐手銬，是什麼意思？」</t>
  </si>
  <si>
    <t>(二)（又音）ㄌㄧㄠˋ liào（03551）</t>
  </si>
  <si>
    <t>飉</t>
  </si>
  <si>
    <t>[形]
風勢微弱。晉．陸機〈羽扇賦〉：「翮媥媥以微振，風飉飉以垂婉。」</t>
  </si>
  <si>
    <t>鷯</t>
  </si>
  <si>
    <t>參見「鷯鶉」、「鷦鷯」等條。</t>
  </si>
  <si>
    <t>敹</t>
  </si>
  <si>
    <t>[動]
縫紉、修補。如：「敹貼邊」。《書經．費誓》：「善敹乃甲冑，敿乃干。」唐．孔穎達．正義：「敹，謂穿徹之，謂甲繩有斷絕，當使敹理穿治之。」</t>
  </si>
  <si>
    <t>ㄌㄧㄠˇ</t>
  </si>
  <si>
    <t>liǎo</t>
  </si>
  <si>
    <t>[動]
1.明白、懂得。如：「一目了然」。宋．陸游〈醉歌〉：「心雖了是非，口不給唯諾。」
2.完畢、結束。如：「不了了之」、「責任未了」。《老殘遊記》第一九回：「今日大案已了，我明日一早進城銷差去了。」
[副]
1.完全。與否定語「不」、「無」等連用。有「一點也不……」的意思。如：「了無新意」、「了無生趣」。
2.與「得」、「不」等連用，表示可能或不可能。如：「辦得了」、「寫不了」。
[形]
聰明、慧黠。如：「小時了了，大未必佳。」</t>
  </si>
  <si>
    <t>(二)˙ㄌㄜ le（03198）</t>
  </si>
  <si>
    <t>釕</t>
  </si>
  <si>
    <t>[名]
1.金飾之器。《廣韻．上聲．篠韻》：「釕，釕鈌，帶頭飾。」《新唐書．卷二二五．逆臣列傳下．黃巢》：「使沙陀以五百騎釕轡藻韉，望賊陣縱而遁，賊以為怯。」
2.（ruthenium，Ru）化學元素。原子序44。銀灰色，質堅而脆，熔點極高，多存在於鉑礦中。與鋨、銥等金屬元素製成合金。可用來作觸媒、首飾、電接觸器、合金等。</t>
  </si>
  <si>
    <t>(二)ㄌㄧㄠˋ liào（03546）</t>
  </si>
  <si>
    <t>[動]
焚燒。《書經．盤庚上》：「若火之燎於原，不可嚮邇，其猶可撲滅。」唐．吳筠〈覽古〉詩一四首之一：「秦皇燎儒術，方冊靡孑遺。」</t>
  </si>
  <si>
    <t>(一)ㄌㄧㄠˋ liào（03549）(三)ㄌㄧㄠˊ liáo（03531）</t>
  </si>
  <si>
    <t>瞭</t>
  </si>
  <si>
    <t>[動]
明白、清楚。如：「明瞭」、「瞭解」。
[形]
眼睛明亮。《孟子．離婁上》：「胸中正，則眸子瞭焉。」漢．趙岐．注：「瞭，明也。」</t>
  </si>
  <si>
    <t>(二)ㄌㄧㄠˋ liào（03550）</t>
  </si>
  <si>
    <t>蓼</t>
  </si>
  <si>
    <t>[名]
植物名。蓼科蓼屬，「水蓼」之古稱，參見「水蓼」條。</t>
  </si>
  <si>
    <t>(一)ㄌㄨˋ lù（03783）</t>
  </si>
  <si>
    <t>尥</t>
  </si>
  <si>
    <t>ㄌㄧㄠˋ</t>
  </si>
  <si>
    <t>liào</t>
  </si>
  <si>
    <t>[動]
1.走路時足脛相交。《說文解字．尢部》：「尥，行脛相交也。」
2.跛行。元．戴侗《六書故．卷九．人》：「今人謂筋骨弱，舉足不隨為尥掉。」
3.牲口用後腿往後踢。參見「尥蹶子」條。</t>
  </si>
  <si>
    <t>料</t>
  </si>
  <si>
    <t>[名]
1.可供製造、使用或參考的事物。如：「材料」、「原料」、「香料」、「顏料」、「史料」、「資料」。
2.詩文、講話的題材。如：「笑料」、「詩料」。
3.禽畜所食用或供給植物養分的物品。如：「肥料」、「草料」、「飼料」。
4.人的材質。如：「他不是塊讀書的料。」
5.量詞。計算中藥一定劑量的單位。《紅樓夢》第三回：「我這裡正配丸藥呢，叫他們多配一料就是了。」
[動]
1.估量、猜度。如：「預料」、「不出所料」、「料事如神」。宋．辛棄疾〈賀新郎．甚笑吾衰矣〉詞：「我見青山多嫵媚，料青山、見我應如是。」
2.稱量、計算、清點。《國語．周語上》：「宣王既喪南國之師，乃料民於太原。」三國吳．韋昭．注：「料，數也。」
3.照顧、處理。如：「照料」、「料理」。《三國志．卷三七．蜀書．龐統傳》：「使天下太平，當與卿共料四海之士。」
4.丟掉、扔下。通「撂」。元．無名氏《抱妝盒》第二折：「別人家的哇哇，料在金水橋河下便了。」《醒世恆言．卷三七．杜子春三入長安》：「我何不把這銀子料在水裡，也砰地響一聲？」</t>
  </si>
  <si>
    <t>參見「釕銱兒」條。</t>
  </si>
  <si>
    <t>(一)ㄌㄧㄠˇ liǎo（03540）</t>
  </si>
  <si>
    <t>廖</t>
  </si>
  <si>
    <t>[名]
姓。如漢代有廖顗。</t>
  </si>
  <si>
    <t>撂</t>
  </si>
  <si>
    <t>[動]
1.放、扔、撇開。《紅樓夢》第二八回：「黛玉便把剪子一撂，說道：『理他呢，過一會就好了。』」
2.弄倒、摔。如：「他兩三下就把對手撂倒。」</t>
  </si>
  <si>
    <t>[名]
火把、火燭。《詩經．小雅．庭燎》：「夜未央，庭燎之光。」漢．毛亨．傳：「庭燎，大燭。」
[動]
烘烤。《後漢書．卷一七．馮異傳》：「異抱薪，鄧禹熱火，光武對灶燎衣。」唐．章懷太子．注：「燎，炙也。」
[形]
顯明。《詩經．陳風．月出》：「月出照兮，佼人燎兮。」</t>
  </si>
  <si>
    <t>(二)ㄌㄧㄠˇ liǎo（03541）(三)ㄌㄧㄠˊ liáo（03531）</t>
  </si>
  <si>
    <t>[副]
遠看。如：「瞭望」。</t>
  </si>
  <si>
    <t>(一)ㄌㄧㄠˇ liǎo（03542）</t>
  </si>
  <si>
    <t>(一)ㄌㄧㄠˊ liáo（03535）</t>
  </si>
  <si>
    <t>溜</t>
  </si>
  <si>
    <t>ㄌㄧㄡ</t>
  </si>
  <si>
    <t>liū</t>
  </si>
  <si>
    <t>[動]
1.私自離開或進入。如：「溜課」、「溜回家」。《紅樓夢》第九七回：「一面想著，已溜到裡間屋子門口，偷偷兒的瞧。」
2.滑動、滑落。如：「溜冰」、「溜滑梯」。
3.鑽迎、賣弄、討好。《紅樓夢》第七一回：「你想想你那老子娘，在那邊管家爺們跟前比我們還更會溜呢！」
4.看、瞟。《紅樓夢》第二六回：「那賈芸一面走，一面拿眼把紅玉一溜。」
5.一種烹飪方法。用旺火沸油炒過或炸好食物，加糖或醋，勾芡後速炒成熟，汁液黏裹住食物。如：「醋溜白菜」。
[副]
形容詞詞尾，表示程度深。如：「烏溜溜」、「酸溜溜」、「光溜溜」。</t>
  </si>
  <si>
    <t>(一)ㄌㄧㄡˋ liù（03578）</t>
  </si>
  <si>
    <t>流</t>
  </si>
  <si>
    <t>ㄌㄧㄡˊ</t>
  </si>
  <si>
    <t>liú</t>
  </si>
  <si>
    <t>[名]
1.水的通稱。《史記．卷四．周本紀》：「武王渡河，中流，白魚躍入王舟中，武王俯取以祭。」唐．李白〈望廬山瀑布水〉詩二首之二：「飛流直下三千尺，疑是銀河落九天。」
2.像水流的東西。如：「氣流」、「暖流」、「電流」、「車流」。
3.派別。如：「九流十家」。《漢書．卷一〇〇．敘傳下》：「群言紛亂，諸子相騰。秦人是滅，漢修其缺，劉向司籍，九流以別。」
4.品類、等級。如：「上流」、「名流」、「第一流」。
[動]
1.移動。如：「人口外流」。《易經．乾卦．九五》：「水流溼，火就燥。」唐．李白〈黃鶴樓送孟浩然之廣陵〉詩：「孤帆遠影碧山盡，唯見長江天際流。」
2.留傳、散布。如：「流芳萬世」。《孟子．公孫丑上》：「德之流行，速於置郵而傳命。」
3.趨向。如：「流於形式」。《文選．曹丕．典論論文》：「貧賤則懾於飢寒，富貴則流於逸樂。」
4.放逐。《國語．周語上》：「王不聽，於是國莫敢出言，三年，乃流王於彘。」南朝宋．劉義慶《世說新語．任誕》：「宜流之海外，以正風教。」
5.放縱。《國語．晉語一》：「肆侈不違，流志而行，無所不疚，是以及亡而不獲追鑒。」
[形]
1.往來不定的。如：「流雲」、「流民」。
2.快速通過的、運轉不停的。如：「流星」、「流年」。宋．蔣捷〈一翦梅．一片春愁待酒澆〉詞：「流光容易把人拋，紅了櫻桃，綠了芭蕉。」
3.意外的、不明來處的。如：「流矢」、「流彈」。
4.沒有根據的。如：「流言」、「流譽」。</t>
  </si>
  <si>
    <t>琉</t>
  </si>
  <si>
    <t>參見「琉璃」、「琉璃瓦」等條。</t>
  </si>
  <si>
    <t>硫</t>
  </si>
  <si>
    <t>[名]
（sulfur；sulphur，S）化學元素。原子序16。非金屬元素之一。為淺黃色的結晶體，不傳熱、電，易燃，能直接與大多數的金屬化合。工業上用來製硫酸、火藥、火柴、硫化橡膠、殺蟲劑等，醫學上也用來治療皮膚病。俗稱為「硫黃」。</t>
  </si>
  <si>
    <t>旒</t>
  </si>
  <si>
    <t>[名]
1.旗子上垂下來的綵帶。《玉篇．㫃部》：「旒，旌旗垂者。」《史記．卷二四．樂書》：「龍旂九旒，天子之旌也。」
2.冠冕上垂懸的珠玉。明．張自烈《正字通．方部》：「旒，以絲繩貫玉，垂冕前後也。」《後漢書．卷二六．蔡茂傳》：「賜以三公之服，黼黻冕旒。」</t>
  </si>
  <si>
    <t>鎏</t>
  </si>
  <si>
    <t>[名]
成色佳的金子。《集韻．平聲．尤韻》：「鎏，美金謂之鎏。」</t>
  </si>
  <si>
    <t>留</t>
  </si>
  <si>
    <t>[動]
1.停止。《史記．卷四一．越王句踐世家》：「可疾去矣，慎毋留！」《漢書．卷三一．陳勝項籍傳》：「北救趙，至安陽，留不進。」
2.不使離開。如：「慰留」。《孟子．公孫丑下》：「孟子去齊宿於晝，有欲為王留行者。」《三國演義》第八二回：「昔子瑜在柴桑時，孔明來吳，孤欲使子瑜留之。」
3.保存、保留。如：「留餘地」、「留鬍子」。《墨子．非儒下》：「於是厚其禮，留其封，敬見而不問其道。」
4.遺下。如：「遺留」、「祖先留下豐富的遺產。」
5.注意。如：「留心」、「留意」、「留神」。</t>
  </si>
  <si>
    <t>榴</t>
  </si>
  <si>
    <t>參見「石榴」條。</t>
  </si>
  <si>
    <t>遛</t>
  </si>
  <si>
    <t>[動]
停留、不前進。《漢書．卷九四．匈奴傳上》：「上以虎牙將軍不至期，詐增鹵獲，而祁連知虜在前，逗遛不進，皆下吏自殺。」</t>
  </si>
  <si>
    <t>(二)ㄌㄧㄡˋ liù（03579）</t>
  </si>
  <si>
    <t>瘤</t>
  </si>
  <si>
    <t>[名]
身體組織或器官因細胞增生所長的贅生物。如：「肉瘤」、「腫瘤」。《晉書．卷五九．列傳．趙王倫》：「倫目上有瘤，時以為妖焉。」</t>
  </si>
  <si>
    <t>鎦</t>
  </si>
  <si>
    <t>[名]
1.同「劉」。《玉篇．金部》：「鎦，古劉字。」
2.（lutetium，Lu）化學元素。原子序71。稀土金屬元素之一。硬度高、密度高、熔點高，存在於磷釔礦和黑稀金礦等稀土金屬礦中，可用離子交換技術分離和提純。大陸地區譯為鑥。</t>
  </si>
  <si>
    <t>餾</t>
  </si>
  <si>
    <t>[動]
1.再次蒸煮。南朝宋．劉義慶《世說新語．夙惠》：「太丘問：『炊何不餾？』元方、季方長跪曰：『大人與客語，乃俱竊聽，炊忘箸箄，飯今成糜。』」
2.參見「蒸餾」條。</t>
  </si>
  <si>
    <t>(二)（又音）ㄌㄧㄡˋ liù（03582）</t>
  </si>
  <si>
    <t>飀</t>
  </si>
  <si>
    <t>[名]
風吹動的聲音。《文選．左思．吳都賦》：「與風颻颺，䬀瀏颼飀。」</t>
  </si>
  <si>
    <t>騮</t>
  </si>
  <si>
    <t>參見「驊騮」條。</t>
  </si>
  <si>
    <t>鶹</t>
  </si>
  <si>
    <t>參見「鶹鷅」、「鵂鶹」等條。</t>
  </si>
  <si>
    <t>劉</t>
  </si>
  <si>
    <t>[名]
1.斧、鉞一類的兵器。明．張自烈《正字通．刀部》：「劉，鉞屬。」《書經．顧命》：「一人冕執劉，立于東堂。」
2.姓。如明代有劉基。
[動]
殺戮。《書經．盤庚上》：「重我民，無盡劉。」《文選．張衡．思玄賦》：「瞰瑤谿之赤岸兮，弔祖江之見劉。」唐．李善．注：「劉，殺也。」
[形]
枝葉稀疏、零落。《詩經．大雅．桑柔》：「捋采其劉，瘼此下民。」</t>
  </si>
  <si>
    <t>瀏</t>
  </si>
  <si>
    <t>[形]
1.水流清澈。《說文解字．水部》：「瀏，流清貌。」
2.清涼。《文選．曹植．與吳季重書》：「得所來訊，文采委曲，曄若春榮，瀏若清風。」
[副]
1.水深的樣子。《詩經．鄭風．秦洧》：「溱與洧，瀏其清矣。」
2.風勢疾速。《楚辭．劉向．九歎．逢紛》：「白露紛以塗塗兮，秋風瀏以蕭蕭。」</t>
  </si>
  <si>
    <t>懰</t>
  </si>
  <si>
    <t>[形]
1.美好。《詩經．陳風．月出》：「月出皓兮，佼人懰兮。」
2.憂怨。參見「懰慄」條。</t>
  </si>
  <si>
    <t>疁</t>
  </si>
  <si>
    <t>[動]
焚燒田地上的草木而後播種。《說文解字．田部》：「疁，燒穜也。」清．段玉裁．注：「謂焚其草木而下種，蓋治山田之法為然。」
[名]
姓。如宋代有疁子耕。</t>
  </si>
  <si>
    <t>鏐</t>
  </si>
  <si>
    <t>[名]
質地純美的黃金。《爾雅．釋器》：「黃金謂之璗，其美者謂之鏐。」宋．王安石〈賜衣帶等謝表〉：「出大庭之顯服，束以精鏐。」</t>
  </si>
  <si>
    <t>柳</t>
  </si>
  <si>
    <t>ㄌㄧㄡˇ</t>
  </si>
  <si>
    <t>liǔ</t>
  </si>
  <si>
    <t>[名]
1.植物名。楊柳科柳屬，落葉喬木。樹枝細長，柔軟下垂。葉互生，線狀披針形，尾端尖銳，邊緣有細鋸齒。花密生呈穗狀，種子有毛，成熟時柳絮飛散如雪。一般供作觀賞、行道樹。
2.星座名。二十八星宿之一。為南方朱雀七宿的第三宿，共有八顆星。
3.姓。如唐代有柳宗元。</t>
  </si>
  <si>
    <t>綹</t>
  </si>
  <si>
    <t>[名]
1.絲縷編成的線，主要用來繫東西。唐．沈佺期〈七夕曝衣篇〉：「上有仙人長命綹，中看玉女迎歡繡。」
2.量詞。計算絲、線、髮、鬚等的單位。如：「三綹絲線」。元．秦𥳑夫《剪髮待賓》第二折：「兀那街市上一個婆婆，手裡拿著一綹兒頭髮，不知是賣的？不知是買的？」
[動]
輕拂。《兒女英雄傳》第三三回：「下巴頦兒底下，又沒甚麼，可儘著申三個指頭，在那裡綹鬍子似的不住手的綹。」</t>
  </si>
  <si>
    <t>罶</t>
  </si>
  <si>
    <t>[名]
捕魚的器具。《詩經．小雅．魚麗》：「魚麗于罶，鱨鯊。」</t>
  </si>
  <si>
    <t>六</t>
  </si>
  <si>
    <t>ㄌㄧㄡˋ</t>
  </si>
  <si>
    <t>liù</t>
  </si>
  <si>
    <t>[名]
介於五與七之間的自然數。大寫作「陸」，阿拉伯數字作「6」。</t>
  </si>
  <si>
    <t>(二)ㄌㄨˋ lù（03747）</t>
  </si>
  <si>
    <t>陸</t>
  </si>
  <si>
    <t>[名]
六的大寫。</t>
  </si>
  <si>
    <t>(一)ㄌㄨˋ lù（03773）</t>
  </si>
  <si>
    <t>[名]
1.水流。漢．杜篤〈首陽山賦〉：「青羅落漠而上覆，穴溜滴瀝而下通。」唐．白居易〈溪中早春〉詩：「西澗冰已消，春溜含新碧。」
2.屋簷滴水的地方。《左傳．宣公二年》：「三進及溜，而後視之。」唐．孔穎達．正義：「溜謂簷下水溜之處。」
3.向下直瀉的水。唐．上官昭容〈遊長寧公主流杯池〉詩二五首之二〇：「瀑溜晴疑雨，叢篁晝似昏。」
4.列。如：「這一溜有五棟房子。」
[形]
流利、順暢、不結巴。如：「這名外籍生來臺灣好幾年了，國語說得很溜！」元．無名氏《百花亭》第二折：「皂頭巾裹著額顱，斑竹籃提在手，叫歌聲習演的腔兒溜。」</t>
  </si>
  <si>
    <t>(二)ㄌㄧㄡ liū（03552）</t>
  </si>
  <si>
    <t>[動]
1.緩步而走、隨便走走。如：「閒時不妨到外面遛一會兒。」
2.牽著或帶著寵物慢慢走。如：「遛馬」、「遛鳥」。</t>
  </si>
  <si>
    <t>(一)ㄌㄧㄡˊ liú（03560）</t>
  </si>
  <si>
    <t>蹓</t>
  </si>
  <si>
    <t>霤</t>
  </si>
  <si>
    <t>[名]
1.屋簷上流下的水。《文選．潘岳．悼亡詩三首之一》：「春風緣隙來，晨霤承檐滴。」
2.向下流的水。《文選．枚乘．上書諫吳王》：「太山之霤穿石，殫極之綆斷幹。」
3.屋簷。《禮記．玉藻》：「頤霤垂拱，視下而聽上。」唐．孔穎達．正義：「頤霤者，霤，屋簷，身俯，故頭臨前，垂頤如屋霤。」
4.裝在屋簷下接雨水的槽管。《禮記．檀弓上》：「既葬各以其服除，池視重霤。」漢．鄭玄．注：「承霤以木為之，用行水。」</t>
  </si>
  <si>
    <t>(一)ㄌㄧㄡˊ liú（03563）</t>
  </si>
  <si>
    <t>鷚</t>
  </si>
  <si>
    <t>[名]
動物名。體小，嘴細長。鳴聲悅耳。善步行，亦能飛上高空。《爾雅．釋鳥》：「鷚，天鸙。」晉．郭璞．注：「大如鷃雀，色似鶉，好高飛作聲，今江東名之天鷚。」</t>
  </si>
  <si>
    <t>帘</t>
  </si>
  <si>
    <t>ㄌㄧㄢˊ</t>
  </si>
  <si>
    <t>lián</t>
  </si>
  <si>
    <t>[名]
1.酒店門前懸掛的旗幟。《集韻．平聲．鹽韻》：「帘，酒家幟。」唐．李中〈江邊吟〉：「閃閃酒帘招醉客，深深綠樹隱啼鶯。」
2.布幔或竹片等做成遮蔽門窗的東西。同「簾」。如：「門帘」、「窗帘」、「竹帘」。</t>
  </si>
  <si>
    <t>連</t>
  </si>
  <si>
    <t>[動]
接合、接續。如：「接二連三」、「藕斷絲連」。《莊子．讓王》：「民相連而從之，遂成國於岐山之下。」《文選．蘇武．詩四首之一》：「況我連枝樹，與子同一身。」
[介]
把、將。如：「你連那份報紙一起拿來。」、「再不安分點，連你一塊兒處罰！」
[連]
1.甚至、就是。《老殘遊記》第二回：「連一根針跌在地下都聽得見響！」
2.和、及。《兒女英雄傳》第五回：「一失手，連盅子帶酒掉在地下。」
[名]
1.軍隊的編制單位。三排為一連。
2.姓。如民國有連橫。</t>
  </si>
  <si>
    <t>漣</t>
  </si>
  <si>
    <t>[名]
水面的小波紋。如：「漣漪」。宋．周敦頤〈愛蓮說〉：「予獨愛蓮之出淤泥而不染，濯清漣而不妖。」
[形]
參見「漣漣」條。</t>
  </si>
  <si>
    <t>嗹</t>
  </si>
  <si>
    <t>[副]
嗹嘍：言語煩絮的樣子。《廣韻．平聲．先韻》：「嗹，嗹嘍，言語繁絮貌。」
[助]
詞曲中的襯字。用法同「呀」、「呼」等字。明．湯顯祖《南柯記》第六齣：「哩嗹花囉能堪聽，孤魯子頭嗑得精。」</t>
  </si>
  <si>
    <t>璉</t>
  </si>
  <si>
    <t>[名]
參見「瑚璉」條。
[形]
連續。通「連」。《文選．何晏．景福殿賦》：「既櫛比而欑集，又宏璉以豐敞。」</t>
  </si>
  <si>
    <t>(二)ㄌㄧㄢˇ liǎn（03606）</t>
  </si>
  <si>
    <t>槤</t>
  </si>
  <si>
    <t>[名]
1.古代祭祀中盛黍稷的禮器。《說文解字．木部》：「槤，胡槤也。」也作「璉」。
2.一種生於大陸地區南方，形似枇杷的樹木。《玉篇．木部》：「槤，木名。」
3.關門的橫木。即門閂。《玉篇．木部》：「槤，橫關木也。」</t>
  </si>
  <si>
    <t>蓮</t>
  </si>
  <si>
    <t>[名]_x000D_
植物名。「荷花」之別稱。參見「荷花」條。也稱為「荷」、「芙蕖」。</t>
  </si>
  <si>
    <t>褳</t>
  </si>
  <si>
    <t>[名]
一種布製的長形袋子。參見「搭連」條。</t>
  </si>
  <si>
    <t>謰</t>
  </si>
  <si>
    <t>參見「謰語」條。</t>
  </si>
  <si>
    <t>鰱</t>
  </si>
  <si>
    <t>[名]
動物名。脊椎動物亞門硬骨魚綱鯉目鯉科。體側扁而較高，呈紡錘形。鱗細，色灰白，稱為「白鰱」。其性活潑，善跳躍。體色較黑者稱為「黑鰱」，因頭較大，也稱為「大頭鰱」。後者性較溫和。均以浮游生物為主食，棲息在淡水河川或湖泊中。是我國重要的淡水養殖魚類之一。</t>
  </si>
  <si>
    <t>廉</t>
  </si>
  <si>
    <t>[形]
1.正直不貪、有節操。如：「清廉」、「廉潔」。《莊子．讓王》：「人犯其難，我享其利，非廉也。」唐．姚合〈新昌里〉詩：「近貧日益廉，近富日益貪。」
2.便宜。如：「物美價廉」。宋．王禹偁〈黃州新建小竹樓記〉：「以其價廉而工省也。」
3.疏略、簡略。唐．韓愈〈原毀〉：「其責人也詳，其待己也廉。」
[名]
1.旁邊、側邊。《儀禮．鄉飲酒禮》：「設席于堂廉東上。」漢．鄭玄．注：「側邊曰廉。」宋．蘇軾〈與呂仲甫等同泛湖遊北山〉詩：「世人騖朝市，獨向溪山廉。」
2.姓。如戰國時趙國有廉頗。
[動]
考察。《管子．正世》：「人君不廉而變，則暴人不勝，邪亂不止。」</t>
  </si>
  <si>
    <t>磏</t>
  </si>
  <si>
    <t>[名]
紅色的磨刀石。《說文解字．石部》：「磏，厲石也。赤色。」</t>
  </si>
  <si>
    <t>濂</t>
  </si>
  <si>
    <t>參見「濂溪」條。</t>
  </si>
  <si>
    <t>臁</t>
  </si>
  <si>
    <t>[名]
脛的兩旁，即小腿兩側。如：「臁瘡」、「臁骨」。</t>
  </si>
  <si>
    <t>簾</t>
  </si>
  <si>
    <t>[名]
用竹片、布帛等編製成遮蔽門窗的用具。如：「門簾」、「窗簾」、「竹簾」、「垂簾聽政」。唐．杜甫〈客夜〉詩：「入簾殘月影，高枕遠江聲。」</t>
  </si>
  <si>
    <t>鬑</t>
  </si>
  <si>
    <t>參見「鬑鬑」條。</t>
  </si>
  <si>
    <t>鐮</t>
  </si>
  <si>
    <t>[名]
收割農作物和割除雜草的工具。形狀彎曲如鉤。宋．范成大〈刈麥行〉：「腰鐮刈熟趁晴歸，明朝雨來麥帶泥。」也稱為「鐮刀」。</t>
  </si>
  <si>
    <t>零</t>
  </si>
  <si>
    <t>[名]
漢代羌族。約據有今大陸地區青海一帶。</t>
  </si>
  <si>
    <t>(一)ㄌㄧㄥˊ líng（03697）</t>
  </si>
  <si>
    <t>奩</t>
  </si>
  <si>
    <t>[名]
1.盛裝婦女梳妝用品的小匣子。如：「粉奩」。《後漢書．卷一〇．皇后紀上．光烈陰皇后紀》：「會畢，帝從席前伏御床，視太后鏡奩中物，感動悲涕。」
2.女子陪嫁的衣物。《清平山堂話本．快嘴李翠蓮記》：「今朝隨你寫休書，搬去妝奩莫要怨。」</t>
  </si>
  <si>
    <t>憐</t>
  </si>
  <si>
    <t>[動]
1.憐憫、同情。如：「可憐」、「同病相憐」。《史記．卷七．項羽本紀》：「縱江東父兄憐而王我，我何面目見之？」北周．庾信〈擬詠懷詩〉二七首之三：「自憐才智盡，空傷年鬢秋。」
2.愛、疼惜。如：「憐惜」、「我見猶憐」。唐．元稹〈遣悲懷〉詩三首之一：「謝公最小偏憐女，嫁與黔婁百事乖。」</t>
  </si>
  <si>
    <t>聯</t>
  </si>
  <si>
    <t>[動]_x000D_
1.連接、接續。通「連」。如：「蟬聯」。漢．張衡〈西京賦〉：「繚垣綿聯，四百餘里。」_x000D_
2.結、結合。如：「聯盟」、「聯姻」、「珠聯璧合」。_x000D_
[名]_x000D_
1.詩文中每兩句成對者稱為「聯」。如：「對聯」、「門聯」。《紅樓夢》第一七回：「賈政拈髯沉吟，意欲也題一聯。」_x000D_
2.量詞。計算票券等分聯的單位。如：「開立一式三聯的統一發票。」、「我買了兩聯獎券。」_x000D_
3.姓。如晉代有聯謙。</t>
  </si>
  <si>
    <t>蘞</t>
  </si>
  <si>
    <t>[名]
一種枝葉繁盛細密的草。《詩經．唐風．葛生》：「葛生蒙楚，蘞蔓于野。」唐．孔穎達．正義：「陸璣．疏云：『蘞似栝樓，葉盛而細，其子正黑如燕薁，不可食也。』」</t>
  </si>
  <si>
    <t>(一)ㄌㄧㄢˋ liàn（03620）</t>
  </si>
  <si>
    <t>ㄌㄧㄢˇ</t>
  </si>
  <si>
    <t>liǎn</t>
  </si>
  <si>
    <t>[名]
(一)[名]之又音。</t>
  </si>
  <si>
    <t>(一)ㄌㄧㄢˊ lián（03588）</t>
  </si>
  <si>
    <t>膦</t>
  </si>
  <si>
    <t>[形]
膦軟：無力的樣子。《廣韻．上聲．獮韻》：「膦，膦軟，無力。」</t>
  </si>
  <si>
    <t>(二)ㄌㄧㄣˊ lín（03637）</t>
  </si>
  <si>
    <t>臉</t>
  </si>
  <si>
    <t>[名]
1.面部。如：「臉頰」、「洗臉」。唐．王昌齡〈采蓮曲〉二首之二：「荷葉羅裙一色裁，芙蓉向臉兩邊開。」
2.情面、面子。如：「丟臉」、「賞臉」、「無臉見人」。《儒林外史》第五二回：「設或將來虧折了，不彀還你，那時叫我拿甚麼臉來見你？」
3.面部的表情、態度。如：「變臉」、「翻臉」。</t>
  </si>
  <si>
    <t>湅</t>
  </si>
  <si>
    <t>ㄌㄧㄢˋ</t>
  </si>
  <si>
    <t>liàn</t>
  </si>
  <si>
    <t>[動]
練絲，將生絲煮熟。通「練」。《玉篇．水部》：「湅，煮絲絹熟也。」《周禮．冬官考工記．&amp;91dd._104_0.gif;氏》：「&amp;91dd._104_0.gif;氏湅絲以涗水。」</t>
  </si>
  <si>
    <t>煉</t>
  </si>
  <si>
    <t>[動]
1.用火燒或高溫加熱等法，使物質去掉雜質，變得精純或堅硬。如：「煉油」、「提煉」。漢．王充《論衡．談天》：「銷煉五石補蒼天。」
2.用火久熬，炮製藥石。如：「煉藥」、「煉丹」。
3.燒。如：「真金不怕火煉」。</t>
  </si>
  <si>
    <t>楝</t>
  </si>
  <si>
    <t>[名]
植物名。楝科楝屬，「苦楝」、「苦楝子」之簡稱，參見「苦楝子」條。</t>
  </si>
  <si>
    <t>練</t>
  </si>
  <si>
    <t>[動]_x000D_
1.將生絲煮熟，使柔軟潔白。如：「練絲」。《周禮．天官冢宰．染人》：「春暴練，夏纁玄。」漢．鄭玄．注：「暴練，練其素而暴之。」宋．蘇軾〈宥老楮〉詩：「黃繒練成素，黝面沬作玉。」_x000D_
2.訓練。《史記．卷六九．蘇秦列傳》：「練士厲兵，在大王之所用之。」《北史．卷一〇．周本紀．高祖武帝》：「惡衣菲食，繕甲練兵。」_x000D_
3.反覆學習。如：「練舞」、「練球」。_x000D_
[名]_x000D_
1.柔軟潔白的絲絹。如：「江平如練」、「瀑布像條白練。」《左傳．襄公三年》：「使鄧廖帥組甲三百，被練三千，以侵吳。」_x000D_
2.姓。如唐代有練何。_x000D_
[副]_x000D_
熟悉、精熟。《南史．卷二二．列傳．王曇首》：「好學，練悉朝典。」《紅樓夢》第五回：「世事洞明皆學問，人情練達即文章。」</t>
  </si>
  <si>
    <t>鍊</t>
  </si>
  <si>
    <t>[動]
1.用火燒或高溫加熱等方法，使物質去除雜質，變得精純或堅硬。通「煉」。《抱朴子．內篇．金丹》：「黃金入火，百鍊不消。」《元史．卷一〇四．刑法志三》：「諸出銅之地，民間敢私鍊者禁之。」
2.用火久熬，炮製藥石。通「煉」。《文選．江淹．雜體詩．王徵君》：「鍊藥矚虛幌，汎瑟臥遙帷。」
3.斟酌字句使美好精確。如：「鍊字」。唐．杜荀鶴〈閒居書事〉詩：「鬢白祗應秋鍊句，眼昏多為夜抄書。」
4.訓練、磨練。如：「鍛鍊」。《抱朴子．內篇．金丹》：「服此二物，鍊人身體。」唐．孟郭〈小隱吟〉：「鍊性靜棲白，洗情深寄玄。」
[名]
金屬環相連而成的繩狀物。如：「鐵鍊」、「鎖鍊」。</t>
  </si>
  <si>
    <t>僆</t>
  </si>
  <si>
    <t>[名]
1.小雞。《爾雅．釋畜》：「未成雞，僆。」晉．郭璞．注：「江東呼雞少者曰僆。」
2.雙胞胎。漢．揚雄《方言》卷三：「陳楚之間，凡人獸乳而雙產謂之釐孳，秦晉之間謂之僆子。」</t>
  </si>
  <si>
    <t>鏈</t>
  </si>
  <si>
    <t>[名]
金屬環相連而成的繩狀物。如：「鐵鏈」、「鎖鏈」。</t>
  </si>
  <si>
    <t>殮</t>
  </si>
  <si>
    <t>[動]
為死者更衣入棺。《玉篇．歹部》：「殮，殯殮也。入棺也。」如：「大殮」、「入殮」。</t>
  </si>
  <si>
    <t>斂</t>
  </si>
  <si>
    <t>[動]
1.聚集、收集。如：「斂財」。唐．王勃〈餞韋兵曹〉詩：「川霽浮煙斂，山明落照移。」《聊齋志異．卷一一．竹青》：「訊知其由，斂貲送歸。」
2.約束、節制。如：「收斂」、「斂容」。《漢書．卷七六．張敞傳》：「此言尊貴所以自斂制，不從恣之義也。」《紅樓夢》第九七回：「寶玉見了父親，神志略斂些，片時清楚，也沒什麼大差。」
3.退縮。參見「斂手」、「斂足」等條。
4.為死者更衣入棺。通「殮」。如：「殯斂」。宋．錢公輔〈義田記〉：「歿之日，身無以為斂，子無以為喪。」
[名]
1.賦稅。《孟子．盡心上》：「易其田疇，薄其稅斂。」《資治通鑑．卷二五二．唐紀六十八．僖宗乾符二年》：「民之困於重斂者爭歸之，數月之間，眾至數萬。」
2.姓。如五代時有斂憲。</t>
  </si>
  <si>
    <t>襝</t>
  </si>
  <si>
    <t>參見「襝衽」條。</t>
  </si>
  <si>
    <t>瀲</t>
  </si>
  <si>
    <t>[名]
水邊。《文選．潘岳．西征賦》：「華蓮爛於淥沼，青蕃蔚乎翠瀲。」
[形]
水滿溢而波動的樣子。宋．蘇軾〈飲湖上初晴後雨〉詩二首之二：「水光瀲灩晴方好，山色空濛雨亦奇。」</t>
  </si>
  <si>
    <t>參見「白蘞」條。</t>
  </si>
  <si>
    <t>(二)ㄌㄧㄢˊ lián（03605）</t>
  </si>
  <si>
    <t>戀</t>
  </si>
  <si>
    <t>[動]
1.愛慕、思慕。如：「戀愛」、「單戀」。
2.眷念不捨。如：「留戀」、「眷戀」。《文選．蘇武．詩四首之四》：「征夫懷遠路，遊子戀故鄉。」晉．陶淵明〈歸園田居〉詩五首之一：「羈鳥戀舊林，池魚思故淵。」
[名]
姓。如漢代有戀秘。</t>
  </si>
  <si>
    <t>攣</t>
  </si>
  <si>
    <t>(一)ㄌㄩㄢˊ lüán（03908）</t>
  </si>
  <si>
    <t>林</t>
  </si>
  <si>
    <t>ㄌㄧㄣˊ</t>
  </si>
  <si>
    <t>lín</t>
  </si>
  <si>
    <t>[名]
1.樹木或竹子叢生之處。如：「竹林」、「山林」、「松林」、「防風林」。唐．柳宗元〈三戒．黔之驢〉：「虎見之，尨然大物也，以為神，蔽林間窺之。」
2.泛指同類的人或事物薈聚之所。如：「儒林」、「碑林」、「藝林」。漢．司馬遷〈報任少卿書〉：「士有此五者，然後可以託於世而列於君子之林矣。」
3.林業的簡稱。如：「農、林、漁、牧」。
4.姓。如清代有林則徐。
[副]
眾多。如：「工廠林立」。</t>
  </si>
  <si>
    <t>淋</t>
  </si>
  <si>
    <t>[動]
澆。如：「淋溼」、「淋雨」。唐．韓愈〈石鼓歌〉：「雨淋日炙野火燎，鬼物守護煩撝呵。」《紅樓夢》第三〇回：「讓我隔著門縫兒瞧瞧，可開就開，要不可開，叫他淋著去。」</t>
  </si>
  <si>
    <t>參見「惏悷」條。</t>
  </si>
  <si>
    <t>(一)ㄌㄢˊ lán（03315）</t>
  </si>
  <si>
    <t>琳</t>
  </si>
  <si>
    <t>[名]
美玉。《說文解字．玉部》：「琳，美玉也。」《文選．司馬相如．上林賦》：「玫瑰碧琳，珊瑚叢生。」</t>
  </si>
  <si>
    <t>痳</t>
  </si>
  <si>
    <t>[名]
1.疝病。《說文解字．疒部》：「痳，疝病也。」
2.淋症，一種小便困難的症狀。《玉篇．疒部》：「痳，小便難也。」</t>
  </si>
  <si>
    <t>綝</t>
  </si>
  <si>
    <t>參見「綝纚」條。</t>
  </si>
  <si>
    <t>(一)ㄔㄣ chēn（08408）</t>
  </si>
  <si>
    <t>霖</t>
  </si>
  <si>
    <t>[名]
連續下三天以上的雨稱為「霖」。《說文解字．雨部》：「霖，凡雨，三日已往為霖。」如：「久旱逢甘霖」。唐．元稹〈桐花〉詩：「商弦廉以臣，臣作旱天霖。」</t>
  </si>
  <si>
    <t>粼</t>
  </si>
  <si>
    <t>參見「粼粼」條。</t>
  </si>
  <si>
    <t>潾</t>
  </si>
  <si>
    <t>[形]
水清澈的樣子。唐．杜甫〈雜述〉：「泰山冥冥崒以高，泗水潾潾瀰以清。」</t>
  </si>
  <si>
    <t>鄰</t>
  </si>
  <si>
    <t>[名]
1.戶籍編制單位。古代多以五家為一鄰，現則為里以下的單位。《說文解字．邑部》：「鄰，五家為鄰。」《周禮．地官．遂人》：「五家為鄰，五鄰為里。」
2.住處相近的人家。如：「左鄰右舍」、「敦親睦鄰」。唐．王勃〈杜少府之任蜀州〉詩：「海內存知己，天涯若比鄰。」
3.親近的人。《書經．益稷》：「欽四鄰，庶頑讒說若不在時，侯以明之，撻以記之。」漢．孔安國．傳：「四近，前後左右之臣。」《論語．里仁》：「子曰：『德不孤，必有鄰。』」
[動]
接近。《後漢書．卷二五．卓茂傳．論曰》：「夫厚性寬中近於仁，犯而不校鄰於恕。」《清史稿．卷三三五．富僧阿傳》：「黑龍江北鄰俄羅斯，康熙二十九年與定界。」
[形]
附近的、接壤的。如：「鄰國」、「鄰居」、「鄰座」、「鄰村」。</t>
  </si>
  <si>
    <t>嶙</t>
  </si>
  <si>
    <t>參見「嶙峋」條。</t>
  </si>
  <si>
    <t>遴</t>
  </si>
  <si>
    <t>[動]
謹慎選擇。如：「遴選」。《新唐書．卷一一七．魏玄同傳》：「太平多士，則遴柬髦俊而使之。」</t>
  </si>
  <si>
    <t>(二)ㄌㄧㄣˋ lìn（03651）</t>
  </si>
  <si>
    <t>燐</t>
  </si>
  <si>
    <t>[名]
1.夜晚在野地裡常見的忽隱忽現的青色火光，是燐化氫遇到空氣燃燒所產生。《封神演義》第五六回：「孰知天意歸周主，十萬貔貅化鬼燐。」俗稱為「鬼火」。
2.化學元素。同「磷」。</t>
  </si>
  <si>
    <t>璘</t>
  </si>
  <si>
    <t>[名]
玉的色澤、光彩。《玉篇．玉部》：「璘，玉色、光彩。」</t>
  </si>
  <si>
    <t>[名]
一種無色氣體。易燃（自燃點攝氏38度），有刺鼻味，劇毒。也稱為「磷化氫」。</t>
  </si>
  <si>
    <t>(一)ㄌㄧㄢˇ liǎn（03607）</t>
  </si>
  <si>
    <t>磷</t>
  </si>
  <si>
    <t>[名]
（phosphorus，P）化學元素。原子序15。為非金屬元素之一。能自己發光，遇空氣即自燃。常見的同素異形體有白磷（黃磷）及紅磷（赤磷）二種。動物的神經、腦及骨骼組織中均含有此一成分，亦是植物營養的重要成分之一。磷的化合物可用來治療佝僂症、軟骨病等。</t>
  </si>
  <si>
    <t>瞵</t>
  </si>
  <si>
    <t>[動]
注視。如：「瞵盼」、「虎視鷹瞵」。《文選．左思．吳都賦》：「鷹瞵鶚視。」</t>
  </si>
  <si>
    <t>轔</t>
  </si>
  <si>
    <t>[名]
1.車輪。《儀禮．既夕禮》「遷于袒用軸」句下漢．鄭玄．注：「軸，狀如轉轔。」唐．賈公彥．疏：「漢時名轉軸為轉轔。轔，輪也。」
2.門檻。《淮南子．說山》：「牛車絕轔。」漢．高誘．注：「楚人謂門切為轔。」
[擬]
形容車子行走時的聲音。《楚辭．屈原．九歌．大司命》：「乘龍兮轔轔，高駝兮沖天。」漢．王逸．注：「轔轔，車聲。」唐．杜甫〈兵車行〉詩：「車轔轔，馬簫簫，行人弓箭各在腰。」</t>
  </si>
  <si>
    <t>麟</t>
  </si>
  <si>
    <t>[名]
1.大公鹿。《說文解字．鹿部》：「麟，大牡鹿也。」《文選．張衡．東京賦》：「解罘放麟。」三國吳．薛綜．注：「大鹿曰麟。」
2.參見「麒麟」條。
3.《詩經．周南》的篇名。亦作〈麟之趾〉。共三章。根據〈詩序〉：「〈麟之趾〉，〈關雎〉之應也。」或亦指頌美公侯子孫盛多之詩。首章三句為：「〈麟之趾〉，振振公子，于嗟麟兮。」
4.姓。如清代有麟慶。</t>
  </si>
  <si>
    <t>鱗</t>
  </si>
  <si>
    <t>[名]
1.魚類或爬蟲類等身體表面所密覆的角質或骨質的薄片組織，具有保護身體的作用。如：「魚鱗」、「蛇鱗」。
2.魚類的總稱。《史記．卷一一七．司馬相如傳》：「四面風德，二方之君，鱗集仰流，願得受號者，以億計。」南朝梁．陶弘景〈答謝中書書〉：「夕日欲穨，沉鱗競躍。」
3.姓。如春秋時宋國有鱗朱。
[形]
鱗狀的。如：「鱗莖」、「魚鱗癬」。</t>
  </si>
  <si>
    <t>臨</t>
  </si>
  <si>
    <t xml:space="preserve">臣 </t>
  </si>
  <si>
    <t>[動]_x000D_
1.從高處往下看。如：「居高臨下」。《詩經．大雅．大明》：「上帝臨女，無貳爾心。」漢．鄭玄．箋：「臨，視也。」三國魏．阮籍〈詠懷〉詩一七首之六：「登高臨四野，北望青山阿。」_x000D_
2.來到。如：「光臨」、「蒞臨」、「親臨」、「雙喜臨門」。《楚辭．屈原．遠遊》：「朝發軔於太儀兮，夕始臨乎於微閭。」_x000D_
3.靠近、依傍。如：「臨窗而坐」、「臨門一腳」。《漢書．卷二七．五行志下之上》：「先是文惠王初都咸陽，廣大宮室，南臨渭，北臨涇。」_x000D_
4.面對、遇到。如：「臨陣磨槍」、「臨危不亂」。《論語．述而》：「必也臨事而懼，好謀而成者也。」三國蜀．諸葛亮〈出師表〉：「臨表涕泣，不知所云。」《儒林外史》第三〇回：「只為緣慳分淺，遇不著一個知己，所以對月傷懷，臨風灑淚！」_x000D_
5.依著書畫範本摹仿。如：「臨碑」、「臨帖」。明．湯顯祖《牡丹亭》第七齣：「學生自會臨書，春香還勞把筆。」_x000D_
6.統治。《書經．大禹謨》：「臨下以簡，御眾以寬。」《管子．八觀》：「置法出令，臨眾用民。」_x000D_
7.照、照耀。《尸子．卷上．明堂》：「天高明，然後能燭臨萬物。」唐．杜甫〈春宿左省〉詩：「星臨萬戶動，月傍九霄多。」_x000D_
8.給、加。唐．魏元同〈請吏部各擇寮屬疏〉：「臨之以利，以察其廉。」宋．歐陽修〈縱囚論〉：「及施恩德以臨之，可使變而為君子。」_x000D_
[副]_x000D_
將、正、當。如：「臨行」、「臨終」、「臨時抱佛腳」。《史記．卷一二三．大宛列傳》：「臨死謂其父昆莫曰：『必以岑娶為太子，無令他人代之。』」唐．白居易〈長恨歌〉：「臨別殷勤重寄詞，詞中有誓兩心知。」_x000D_
[名]_x000D_
1.《易經》卦名。六十四卦之一。兌（☱）下坤（☷）上，表在上臨下之義。_x000D_
2.姓。如漢代有臨孝存。</t>
  </si>
  <si>
    <t>（二）ㄌㄧㄣˋ</t>
  </si>
  <si>
    <t>菻</t>
  </si>
  <si>
    <t>ㄌㄧㄣˇ</t>
  </si>
  <si>
    <t>lǐn</t>
  </si>
  <si>
    <t>[名]
蒿類植物的總稱。《說文解字．艸部》：「菻，蒿屬。」</t>
  </si>
  <si>
    <t>[名]
穀倉。通「廩」。《新唐書．卷八四．李密傳》：「今稟無見糧，難以持久。」</t>
  </si>
  <si>
    <t>(一)ㄅㄧㄥˇ bǐng（00544）(二)（(一)之又音）ㄅㄧㄣ bīn（00508）</t>
  </si>
  <si>
    <t>凜</t>
  </si>
  <si>
    <t>[形]
1.寒冷。如：「凜冽」、「凜凜」。《文選．潘岳．閑居賦》：「凜秋暑退，熙春寒往。」唐．韓琮〈秋晚信州推院親友或責無書即事寄答〉詩：「月寒深夜桂，霜凜近秋松。」
2.嚴肅、令人敬畏的樣子。通「懍」。如：「大義凜然」、「凜不可犯」。《宋史．卷四〇一．辛棄疾傳》：「孰謂公死？凜凜猶生。」唐．孟郊〈送韓愈從軍〉詩：「淒淒天地秋，凜凜軍馬令。」</t>
  </si>
  <si>
    <t>廩</t>
  </si>
  <si>
    <t>[名]
1.糧倉。如：「倉廩」、「義廩」。唐．皮日休〈貧居秋日〉詩：「門小愧車馬，廩空慚雀鼠。」
2.糧食。《管子．問》：「問死事之寡其餼廩何如。」唐．尹知章．注：「廩，米粟之屬。」宋．蘇軾〈和公濟飲湖上〉詩：「與君歌舞樂豐年，喚取千夫食陳廩。」
3.俸祿。如：「廩粟」、「廩稍」。宋．蘇軾〈答楊君素〉：「奉別忽四年，薄廩維絆，歸計未成。」
[動]
儲藏、積聚。《管子．山國軌》：「泰春，民之且所用者，君已廩之矣。」唐．尹知章．注：「廩，藏也。」</t>
  </si>
  <si>
    <t>懍</t>
  </si>
  <si>
    <t>[動]
敬、畏。《文選．潘岳．關中詩》：「主憂臣勞，孰不祗懍？」
[形]
危懼。《書經．五子之歌》：「予臨兆民，懍乎若朽索之馭六馬。」漢．孔安國．傳：「懍，危貌。」</t>
  </si>
  <si>
    <t>吝</t>
  </si>
  <si>
    <t>ㄌㄧㄣˋ</t>
  </si>
  <si>
    <t>lìn</t>
  </si>
  <si>
    <t>[動]
1.憾恨。《說文解字．口部》：「吝，恨惜也。」《後漢書．卷二四．馬援傳》：「援與妻子生訣，無悔吝之心。」
2.貪戀。《新唐書．卷九六．杜如晦傳》：「玄齡身處要地，不吝權，善始以終，此其成令名者。」
[形]
捨不得、小器。如：「吝嗇」、「吝惜」。《書經．仲虺之誥》：「用人惟己，改過不吝。」《論語．泰伯》：「如有周公之才之美，使驕且吝，其餘不足觀也已。」</t>
  </si>
  <si>
    <t>賃</t>
  </si>
  <si>
    <t>[動]
1.僱用。《左傳．襄公二十七年》：「崔氏之亂，申鮮虞來奔，僕賃於野。」唐．韓愈〈與于襄陽書〉：「愈今者惟朝夕芻米僕賃之資是急，不過費閤下一朝之享而足也。」
2.租借。如：「租賃」。唐．張籍〈贈令狐博士〉詩：「久為博士誰能識，自到長安賃舍居。」《文明小史》第七回：「自己只住得一進廳房，其餘的賃與兩家親戚同住。」</t>
  </si>
  <si>
    <t>(二)（讀音）ㄖㄣˋ rèn（09242）</t>
  </si>
  <si>
    <t>[形]
貪吝。通「吝」。《漢書．卷五三．景十三王傳．魯恭王劉餘傳》：「子安王光嗣，初好音樂輿馬，晚節遴，唯恐不足於財。」唐．顏師古．注：「遴，與吝同，猶言貪嗇也。」</t>
  </si>
  <si>
    <t>(一)ㄌㄧㄣˊ lín（03634）</t>
  </si>
  <si>
    <t>藺</t>
  </si>
  <si>
    <t>[名]
1.植物名。燈心科燈心草屬，「燈心草」之古稱。參見「燈心草」條。
2.姓。如戰國時趙國有藺相如。</t>
  </si>
  <si>
    <t>躪</t>
  </si>
  <si>
    <t>[動]
踐踏。如：「蹂躪」。《文選．司馬相如．上林賦》：「躪玄鶴，亂昆雞。」李善注引郭璞曰：「躪，踐也。」</t>
  </si>
  <si>
    <t>良</t>
  </si>
  <si>
    <t xml:space="preserve">艮 </t>
  </si>
  <si>
    <t>ㄌㄧㄤˊ</t>
  </si>
  <si>
    <t>liáng</t>
  </si>
  <si>
    <t>[形]
1.善、美好。如：「良師」、「優良」、「良宵」。《楚辭．屈原．九歌．東皇太一》：「吉日兮辰良，穆將愉兮上皇。」
2.賢明。如：「賢良」。唐．韓愈〈原毀〉：「嘗試語於眾曰：『某良士，某良士。』其應者必其人之與也。」
3.天生的、本能的。如：「良知」、「良能」。
[名]
1.善良的人。如：「除暴安良」。《史記．卷一〇六．吳王濞傳》：「誅罰良善，日以益甚。」
2.姓。如春秋時鄭國有良霄。
[副]
1.確實、果然，表示肯定。《史記．卷四三．趙世家》：「諸將以為趙氏孤兒良已死，皆喜。」《文選．曹丕．與吳質書》：「古人思炳燭夜遊，良有以也。」
2.很、甚。如：「良久」、「感觸良多」。《警世通言．卷三二．杜十娘怒沉百寶箱》：「仁兄所見良是。」</t>
  </si>
  <si>
    <t>俍</t>
  </si>
  <si>
    <t>[名]
良工。《集韻．平聲．陽韻》：「俍，良工也。」
[形]
好、善。《莊子．庚桑楚》：「夫工乎天而俍乎人者，唯全人能之。」</t>
  </si>
  <si>
    <t>參見「薯莨」條。</t>
  </si>
  <si>
    <t>(一)ㄌㄤˊ láng（03353）</t>
  </si>
  <si>
    <t>踉</t>
  </si>
  <si>
    <t>參見「跳踉」條。</t>
  </si>
  <si>
    <t>(二)ㄌㄧㄤˋ liàng（03675）</t>
  </si>
  <si>
    <t>亮</t>
  </si>
  <si>
    <t>參見「亮陰」條。</t>
  </si>
  <si>
    <t>(一)ㄌㄧㄤˋ liàng（03672）</t>
  </si>
  <si>
    <t>涼</t>
  </si>
  <si>
    <t>[形]
1.冷、微寒。如：「涼水」、「涼風」。《詩經．邶風．北風》：「北風其涼，雨雪其雱。」三國魏．曹丕〈燕歌行〉：「秋風蕭瑟天氣涼，草木搖落露為霜。」
2.冷清、不熱鬧。如：「荒涼」。《金史．卷八八．列傳．移剌道》：「咸平卿故鄉，地涼事少，老者所宜。」
3.惆悵、悲苦。如：「淒涼」。南朝梁．江淹〈別賦〉：「巡曾楹而空揜，撫錦幕而虛涼。」
4.淡薄、不善。如：「世態炎涼」。《左傳．莊公三十二年》：「虢多涼德，其何土之能得。」
[動]
失望、灰心。《兒女英雄傳》第一回：「登時倒抽了一口氣，涼了半截。」
[名]
1.感冒、風寒。如：「受涼」。《紅樓夢》第一〇九回：「就怕他也像晴雯著了涼。」
2.朝代名。東晉十六國中，先後據有今大陸地區甘肅之地者，國號皆稱為「涼」，有前涼、後涼等。
3.姓。如三國時魏國有涼茂。</t>
  </si>
  <si>
    <t>(二)ㄌㄧㄤˋ liàng（03677）</t>
  </si>
  <si>
    <t>諒</t>
  </si>
  <si>
    <t>參見「諒陰」條。</t>
  </si>
  <si>
    <t>(一)ㄌㄧㄤˋ liàng（03679）</t>
  </si>
  <si>
    <t>輬</t>
  </si>
  <si>
    <t>參見「轀輬」條。</t>
  </si>
  <si>
    <t>梁</t>
  </si>
  <si>
    <t>[名]
1.橋。如：「橋梁」。唐．杜甫〈自京赴奉先縣詠懷五百字〉詩：「河梁幸未拆，枝撐聲窸窣。」
2.架在柱上，用來支撐屋頂的橫木。如：「棟梁」、「餘音繞梁」。《後漢書．卷六二．陳寔傳》：「時歲荒民儉，有盜夜入其室，止於梁上。」
3.物體隆起的部分。如：「脊梁」、「鼻梁」、「山梁」。《文明小史》第九回：「（傅知府）穿了一件家人們的長褂子，一雙雙梁的鞋子，不坐轎子。」
4.朝代名：(1)南朝蕭衍所建（西元502～556）。建都建康。參見「南朝」條。(2)見「後梁」條。
5.姓。如春秋時晉國有梁益。</t>
  </si>
  <si>
    <t>粱</t>
  </si>
  <si>
    <t>[名]
1.精美的食物。《左傳．哀公十三年》：「粱則無矣，麤則有之。」唐．孔穎達．正義：「食以稻粱為貴，故以粱表精。」唐．杜甫〈醉時歌〉：「甲第紛紛厭粱肉，廣文先生飯不足。」
2.植物名。禾本科狗尾草屬，「小米」、「穀子」之古稱，參見「小米」、「穀子」條。</t>
  </si>
  <si>
    <t>量</t>
  </si>
  <si>
    <t>[動]
1.以工具來計算物體的長短、大小或其他性質。如：「量身高」、「量溫度」、「量體重」。《莊子．胠篋》：「為之斗斛以量之，則並與斗斛而竊之。」
2.商酌、考慮。如：「考量」。《後漢書．卷六八．許劭傳》：「其多所裁量若此。」宋．朱熹〈有懷南軒老兄呈伯崇擇之二友〉詩二首之一：「惟應微密處，猶欲細商量。」</t>
  </si>
  <si>
    <t>(二)ㄌㄧㄤˋ liàng（03680）</t>
  </si>
  <si>
    <t>糧</t>
  </si>
  <si>
    <t>[名]
1.穀類食物。如：「乾糧」、「雜糧」。《周禮．地官．廩人》：「凡邦有會同師役之事，則治其糧與其食。」《新唐書．卷一．高祖本紀》：「煬帝征遼東，遣高祖督運糧於懷遠鎮。」
2.賦稅、田賦。如：「納糧」。《明史．卷七八．食貨志二》：「瀅對以太祖嘗折納稅糧於陝西、浙江，民以為便。」</t>
  </si>
  <si>
    <t>兩</t>
  </si>
  <si>
    <t>ㄌㄧㄤˇ</t>
  </si>
  <si>
    <t>liǎng</t>
  </si>
  <si>
    <t>[名]
1.量詞：(1)計算重量的單位。公制一兩等於十分之一公斤；一臺兩等於十六分之一臺斤。(2)計算車輛的單位。通「輛」。《書經．牧誓．序》：「戎車三百兩。」
2.數目字，表一對、一雙之意。如：「兩本書」、「兩姊妹」。唐．李白〈長干行〉二首之一：「同居長干里，兩小無嫌猜。」
[副]
雙方、彼此。如：「兩敗俱傷」、「模棱兩可」。《三國志．卷一〇．魏書．荀攸傳》：「今兄弟遘惡，此勢不兩全。」
[形]
幾、若干，表約略之詞。如：「兩下子」、「過兩天再看看！」</t>
  </si>
  <si>
    <t>參見「伎倆」條。</t>
  </si>
  <si>
    <t>(二)ㄌㄧㄚˇ liǎ（03497）</t>
  </si>
  <si>
    <t>啢</t>
  </si>
  <si>
    <t>[名]
量詞。英美計算重量的單位。即盎司。是英文ounce的舊譯。</t>
  </si>
  <si>
    <t>裲</t>
  </si>
  <si>
    <t>參見「裲襠」條。</t>
  </si>
  <si>
    <t>緉</t>
  </si>
  <si>
    <t>[名]
1.相交的兩股繩子。清．朱駿聲《說文通訓定聲．壯部》：「緉，絞也，……繩單曰紉，兩股曰纆，亦曰緉。」
2.量詞。古代計算成雙鞋子的單位。三國魏．曹植〈冬至獻履襪頌表〉：「並獻文履七緉，襪百副。」宋．陸游〈廣慧法師贊〉：「一緉草鞋，到處行腳。」</t>
  </si>
  <si>
    <t>魎</t>
  </si>
  <si>
    <t>參見「魍魎」條。</t>
  </si>
  <si>
    <t>ㄌㄧㄤˋ</t>
  </si>
  <si>
    <t>liàng</t>
  </si>
  <si>
    <t>[形]
1.明朗、光亮。如：「晶亮」、「明亮」、「烏黑亮麗」。《文選．嵇康．雜詩》：「皎皎亮月，麗于高隅。」
2.聲音響亮清澈。如：「宏亮」、「嘹亮」。元．尚仲賢《單鞭奪槊》第三折：「則聽的語如鐘，喝一聲響亮春雷動。」
3.忠貞正直。如：「高風亮節」。《文選．諸葛亮．出師表》：「此悉貞亮死節之臣也。」
[動]
顯露、展示。如：「亮牌」、「亮相」。《兒女英雄傳》第一五回：「亮了兵器，就交起手來。」</t>
  </si>
  <si>
    <t>(二)ㄌㄧㄤˊ liáng（03658）</t>
  </si>
  <si>
    <t>喨</t>
  </si>
  <si>
    <t>參見「嘹喨」條。</t>
  </si>
  <si>
    <t>悢</t>
  </si>
  <si>
    <t>[形]
悲傷、惆悵。《文選．李陵．與蘇武詩三首之三》：「徘徊蹊路側，悢悢不得辭。」《文選．趙至．與稽茂齊書》：「臨書悢然，知復何云。」</t>
  </si>
  <si>
    <t>參見「踉蹌」條。</t>
  </si>
  <si>
    <t>(一)ㄌㄧㄤˊ liáng（03657）</t>
  </si>
  <si>
    <t>倞</t>
  </si>
  <si>
    <t>[形]
1.遙遠。《集韻．去聲．漾韻》：「倞，遠也。」
2.明亮。清．朱駿聲《說文通訓定聲．壯部》：「倞，明也。字亦作亮。」
[動]
索求。《禮記．郊特牲》：「祊之為言倞也。」漢．鄭玄．注：「倞，猶索也。」</t>
  </si>
  <si>
    <t>(二)ㄐㄧㄥˋ jìng（05956）</t>
  </si>
  <si>
    <t>[動]
1.置物於通風處，以降低熱度。如：「把茶涼一下。」《新唐書．卷四六．百官志一》：「凡戎器，色別而異處，以衛尉幕士暴涼之。」
2.輔助、輔佐。《詩經．大雅．大明》：「維師尚父，時維鷹揚，涼彼武王。」</t>
  </si>
  <si>
    <t>(一)ㄌㄧㄤˊ liáng（03659）</t>
  </si>
  <si>
    <t>晾</t>
  </si>
  <si>
    <t>[動]
把東西曝晒或置於通風處使其乾燥。元．石君寶《秋胡戲妻》第三折：「我這一會兒熱了也，脫下我這衣服來，我試晾一晾咱。」元．谷子敬《城南柳》第一折：「似這等風吹日晾，雪壓霜欺。」</t>
  </si>
  <si>
    <t>[動]
1.相信。《詩經．鄘風．柏舟》：「母也天只，不諒人只。」《喻世明言．卷一九．楊謙之客舫遇俠僧》：「雖然如此，卻也諒得過這個和尚是個有信行的好漢，決無誑言之事。」
2.寬恕、體察。如：「原諒」、「見諒」、「體諒」。宋．陳亮〈酌古論三．諸葛孔明下〉：「孔明距今且千載矣，未有能諒其心者。」
[形]
信實、誠信。《論語．季氏》：「友直、友諒、友多聞，益矣。」宋．王安石〈懷張唐公〉詩：「直諒多為世所排，有懷長向我前開。」
[副]
推想、料想之意。如：「諒必」、「諒可」。《喻世明言．卷四〇．沈小霞相會出師表》：「你是書禮之家，諒無再醮之事。」
[名]
姓。如戰國時趙國有諒毅。</t>
  </si>
  <si>
    <t>(二)ㄌㄧㄤˊ liáng（03660）</t>
  </si>
  <si>
    <t>[名]
1.計算物體數量的器具。如斗、斛等。《廣韻．去聲．漾韻》：「量，合、斗、斛。」《漢書．卷二一．律歷志上》：「量者，龠、合、升、斗、斛也，所以量多少也。」
2.能容納事物的限度。如：「容量」、「器量」。《三國志．卷三五．蜀書．諸葛亮傳》：「時左將軍劉備以亮有殊量，乃三顧亮於草廬之中。」宋．劉子翬〈夜飲〉詩：「沉沉玉巵酒，量淺難負荷。」
3.數量、數目。如：「含量」、「流量」、「重量」、「降雨量」。
[動]
估計、審度。如：「不自量力」、「量入為出」。《孟子．公孫丑上》：「量敵而後進，慮勝而後會。」</t>
  </si>
  <si>
    <t>(一)ㄌㄧㄤˊ liáng（03664）</t>
  </si>
  <si>
    <t>輛</t>
  </si>
  <si>
    <t>[名]
量詞。計算車子的單位。如：「一輛車」、「六輛馬車」。《水滸傳》第一六回：「只見松林裡一字兒擺著七輛江州車兒。」</t>
  </si>
  <si>
    <t>拎</t>
  </si>
  <si>
    <t>ㄌㄧㄥ</t>
  </si>
  <si>
    <t>līng</t>
  </si>
  <si>
    <t>[動]
提。如：「他手上拎著一籃水果。」《廣韻．平聲．青韻》：「拎，手懸捻物。」</t>
  </si>
  <si>
    <t>伶</t>
  </si>
  <si>
    <t>ㄌㄧㄥˊ</t>
  </si>
  <si>
    <t>líng</t>
  </si>
  <si>
    <t>[名]
1.舊稱表演歌舞、戲劇的人。如：「紅伶」、「女伶」、「名伶」。
2.中國少數民族之一。屬西南僰撣族系，散布於大陸地區廣西北部山區深處，以種山、狩獵為生。
3.姓。如黃帝時有伶倫。
[形]
1.靈巧、聰慧。如：「伶牙俐齒」。《紅樓夢》第六八回：「妹妹這樣伶透人，要肯真心幫助我，我也得個膀臂。」
2.參見「伶仃」條。</t>
  </si>
  <si>
    <t>泠</t>
  </si>
  <si>
    <t>[形]
1.清澈、明淨。唐．韓愈〈和崔舍人詠月二十韻〉：「浩蕩英華溢，蕭疏物象泠。」
2.聲音清越。《文選．陸機．文賦》：「文徽徽以溢目，音泠泠而盈耳。」唐．李郢〈江亭春霽〉詩：「金磬泠泠水南寺，上方僧室翠微連。」
3.清和、柔和。《呂氏春秋．士容論．任地》：「子能使子之野盡為泠風乎？」
[名]
1.以演戲為職業的人。通「伶」。如：「泠人」。
2.姓。如周代有泠州鳩。
[動]
了然悟解。《淮南子．脩務》：「受教一言，精神曉泠。」漢．高誘．注：「曉，明；泠，猶了也。」</t>
  </si>
  <si>
    <t>囹</t>
  </si>
  <si>
    <t>參見「囹圄」條。</t>
  </si>
  <si>
    <t>玲</t>
  </si>
  <si>
    <t>參見「玲瓏」條。</t>
  </si>
  <si>
    <t>苓</t>
  </si>
  <si>
    <t>[名]
參見「茯苓」、「豬苓」等條。
[動]
散落。通「零」。《漢書．卷一〇〇．敘傳上》：「得氣者蕃滋，失時者苓落。」唐．顏師古．注：「苓與零同。」</t>
  </si>
  <si>
    <t>瓴</t>
  </si>
  <si>
    <t>[名]
1.盛水的瓦器。《淮南子．脩務》：「今夫救火者，汲水而趍之，或以甕瓴，或以盆盂。」
2.屋頂上仰鋪的瓦，形狀像溝，可導水。元．戴侗《六書故．卷二八．工事》：「瓴，牝瓦仰蓋者，仰瓦受覆瓦之流，所謂瓦溝也。」也稱為「瓦溝」。</t>
  </si>
  <si>
    <t>羚</t>
  </si>
  <si>
    <t>參見「羚羊」條。</t>
  </si>
  <si>
    <t>聆</t>
  </si>
  <si>
    <t>[動]
傾耳細聽。如：「聆聽」。《文選．張衡．思玄賦》：「聆廣樂之九奏兮，展洩洩以肜肜。」唐．李善．注：「聆，聽也。」《文選．謝靈運．登池上樓詩》：「傾耳聆波瀾，舉目眺嶇嶔。」</t>
  </si>
  <si>
    <t>蛉</t>
  </si>
  <si>
    <t>參見「螟蛉」、「蜻蛉」等條。</t>
  </si>
  <si>
    <t>笭</t>
  </si>
  <si>
    <t>[名]
1.橫在車前後兩旁，用來禦風塵的車闌。通「軨」。《說文解字．竹部》：「笭，車笭也。」清．朱駿聲《說文通訓定聲．坤部》：「笭，車笭也。按車前後兩旁，禦風塵者。」
2.竹籠。清．王念孫《廣雅疏證．卷八上．釋器》：「笭，籠也。」</t>
  </si>
  <si>
    <t>翎</t>
  </si>
  <si>
    <t>[名]
1.箭尾的羽飾。《玉篇．羽部》：「翎，箭羽也。」
2.鳥類的羽毛。唐．褚載〈鶴〉詩：「欲洗霜翎下澗邊，卻嫌菱刺汙香泉。」
3.昆蟲的翅膀。唐．溫庭筠〈春日野行〉詩：「蝶翎朝粉盡，鴉背夕陽多。」
4.清代官員禮冠上用來區別品級的羽飾。如：「藍翎」、「花翎」。也稱為「翎子」。</t>
  </si>
  <si>
    <t>舲</t>
  </si>
  <si>
    <t>[名]
有窗牖的小船。《楚辭．屈原．九章．涉江》：「乘舲船余上沅兮，齊吳榜以擊汰。」漢．王逸．注：「舲船，船有窗牖者。」</t>
  </si>
  <si>
    <t>詅</t>
  </si>
  <si>
    <t>[動]
1.賣。清．王念孫《廣雅疏證．卷三上．釋詁》：「詅，賣也。」北齊．顏之推《顏氏家訓．文章》：「吾見世人，至無才思，自謂清華，流布醜拙，亦以眾矣，江南號為詅痴符。」王利器．集解：「詅痴符，猶後人之言賣痴騃。」
2.巧言吹噓。明．張自烈《正字通．言部》：「詅，蓋市人鬻物于市誇號之曰詅。」</t>
  </si>
  <si>
    <t>軨</t>
  </si>
  <si>
    <t>[名]
1.橫在車前後兩旁，用來禦風塵的車闌。《楚辭．宋玉．九辯》：「倚結軨兮長太息，涕潺湲兮下霑軾。」
2.車輪。《禮記．曲禮上》：「君車將駕，則僕執策立於馬前。已駕，僕展軨效駕。」
3.車軸上的裝飾。《文選．張衡．東京賦》：「重輪貳轄，疏轂飛軨。」李善注引薛綜曰：「飛軨，以緹紬廣八尺，長柱地．畫左青龍、右白虎，繫軸頭，取兩邊飾。」
4.車子。《文選．揚雄．劇秦美新》：「式軨軒旂旗以示之，揚和鷥肆夏以節之。」唐．李善．注：「軨、軒皆車也。」</t>
  </si>
  <si>
    <t>[名]
1.數的空位，亦指小於所有正數，大於所有負數的數。阿拉伯數字作「0」。
2.不成整數、餘數。如：「零頭」、「零存整付」。
3.姓。如明代有零混。
[動]
降下、落下。如：「凋零」、「飄零」、「感激涕零」。《文選．古詩十九首．迢迢牽牛星》：「終日不成章，泣涕零如雨。」《儒林外史》第三五回：「兼之蒲柳之姿，望秋先零。」
[形]
1.緩緩落下的樣子。《詩經．豳風．東山》：「我來自東，零雨其濛。」
2.零碎、零散。如：「零錢」。《紅樓夢》第六九回：「何必受這些零氣，不如一死，倒還乾淨。」</t>
  </si>
  <si>
    <t>(二)ㄌㄧㄢˊ lián（03601）</t>
  </si>
  <si>
    <t>鈴</t>
  </si>
  <si>
    <t>[名]
1.一種金屬製的中空器具。內置鐵舌或鐵丸，搖動時因相互撞擊而發出清脆的響聲。如：「鈴鐺」、「手搖鈴」。
2.叫喚人的音響器具。如：「電鈴」、「門鈴」、「鬧鈴」。</t>
  </si>
  <si>
    <t>鴒</t>
  </si>
  <si>
    <t>參見「鶺鴒」條。</t>
  </si>
  <si>
    <t>齡</t>
  </si>
  <si>
    <t>[名]
歲數、年數。如：「年齡」、「高齡」、「婚齡」、「學齡」。晉．左思〈悼離贈妹〉詩二首之一：「自我不見，於今二齡。」唐．楊烱〈王勃集序〉：「嗟乎促齡，材氣未盡，歿而不朽，君子貴焉。」</t>
  </si>
  <si>
    <t>凌</t>
  </si>
  <si>
    <t>[名]
1.積冰。《文選．張衡．思玄賦》：「魚矜鱗而并凌兮，鳥登木而失條。」唐．李善．注：「凌，冰也。」
2.姓。如唐代有凌準。
[動]
1.登、升。唐．李白〈書情題蔡舍人雄〉詩：「凌山採芳蓀，愧無橫草功。」
2.駕、乘。《文選．張衡．思玄賦》：「凌驚雷之砊礚兮，弄狂電之淫裔。」唐．李善．注：「凌，乘也。」宋．蘇軾〈赤壁賦〉：「縱一葦之所如，凌萬頃之茫然。」
3.踰越、超過。通「陵」。《呂氏春秋．仲秋紀．論威》：「雖有江河之險則凌之，雖有大山之塞則陷之。」北齊．顏之推〈古意〉詩二首之一：「作賦凌屈原，讀書誇左史。」
4.逼近、壓倒。《文選．曹植．白馬篇》：「長驅蹈匈奴，左顧凌鮮卑。」
5.欺侮、侵犯。《楚辭．屈原．九歌．國殤》：「凌余陣兮躐余行，左驂殪兮右刃傷。」漢．王逸．注：「凌，犯也。」唐．柳宗元〈駁復仇議〉：「讎天子之法，而戕奉法之吏，是悖驁而凌上也。」</t>
  </si>
  <si>
    <t>淩</t>
  </si>
  <si>
    <t>[動]
1.乘。通「凌」。《楚辭．屈原．九章．哀郢》：「淩陽侯之汎濫兮，忽翱翔之焉薄。」漢．王逸．注：「淩，乘也。」
2.跨越。通「凌」。漢．蔡邕〈述行賦〉：「登長坂以淩高兮，陟蔥山之嶢陘。」
3.侵逼、欺侮。通「凌」。《管子．權修》：「上下淩節，而求百姓之尊主政令，不可得也。」《史記．卷一二四．游俠傳．序》：「豪暴侵淩孤弱，恣欲自快，游俠亦醜之。」
[名]
姓。如三國時吳國有淩統。</t>
  </si>
  <si>
    <t>㥄</t>
  </si>
  <si>
    <t>[動]
1.哀憐。唐．元結〈演興．閔岭中〉詩：「久懹懹以㥄惋，卻遲迴而永歎。」
2.驚恐。《淮南子．兵略》：「建鼓不出庫，諸侯莫不慴㥄沮膽其處。」《文選．張衡．西京賦》：「百禽㥄遽，騤瞿奔觸。」唐．李善．注：「㥄，猶怖也。」</t>
  </si>
  <si>
    <t>陵</t>
  </si>
  <si>
    <t>[名]
1.大土山。如：「丘陵」、「山陵」。《左傳．僖公三十二年》：「殽有二陵焉。」三國魏．曹植〈鰕䱇篇〉：「駕言登五嶽，然後小陵丘。」
2.帝王的墳墓。如：「陵寢」、「十三陵」。唐．杜牧〈登樂遊原〉詩：「看取漢家何事業，五陵無樹起秋風。」《儒林外史》第三〇回：「中間坐一個看陵的太監，穿著蟒袍。」
3.姓。如明代有陵茂。
[動]
1.登、升。《左傳．成公二年》：「齊侯親鼓，士陵城。三日，取龍。」北魏．溫子昇〈為西河王謝太尉表〉：「將短翮難以陵高，駑乘無由致遠。」
2.超越、踰越。如：「陵駕」。《禮記．學記》：「不陵節而施之謂孫。」《文選．陳琳．檄吳將校部曲文》：「自以兵強國富，勢陵京城。」
3.欺侮、侵犯。通「凌」。如：「陵辱」。《左傳．隱公三年》：「且夫賤妨貴，少陵長，遠間親，新間舊。」漢．王符《潛夫論．忠貴》：「而乃欲任其私知，竊君威德，以陵下民。」
4.淬礪。《荀子．君道》：「兵刃不待陵而勵。」王先謙．集解：「陵謂厲兵刃也。」</t>
  </si>
  <si>
    <t>菱</t>
  </si>
  <si>
    <t>[名]
植物名。菱科菱屬，「菱角」、「薢茩」之古稱或簡稱。參見「薢茩」條。</t>
  </si>
  <si>
    <t>綾</t>
  </si>
  <si>
    <t>[名]
比緞細薄，有花紋的絲織品。如：「紅綾」、「綾羅綢緞」。</t>
  </si>
  <si>
    <t>輘</t>
  </si>
  <si>
    <t>[動]
車輪輾過。《集韻．平聲．蒸韻》：「輘，車轢也。」</t>
  </si>
  <si>
    <t>鯪</t>
  </si>
  <si>
    <t>[名]
古代傳說中的大怪魚。背腹有刺，其大可吞舟。《楚辭．屈原．天問》：「鯪魚何所？」宋．洪興祖．補注：「鯪，音陵。《山海經》：『西海中近列姑射山有陵魚，人面人手，魚身，見則風濤起。』」</t>
  </si>
  <si>
    <t>霝</t>
  </si>
  <si>
    <t>[動]
1.降雨。《說文解字．雨部》：「霝，雨𩂣也。」清．段玉裁．注：「霝落，雨曰霝𩂣。」
2.落、墮。《廣韻．平聲．青韻》：「霝，落也、墮也。」
[形]
1.空。清．王念孫《廣雅疏證．卷三下．釋詁》：「霝，空也。」疏證：「凡言霝者，皆中空之義。」
2.好的、善的。通「靈」、「令」。明．張自烈《正字通．雨部》：「霝，與令通。霝始霝終，即令始令終。」</t>
  </si>
  <si>
    <t>酃</t>
  </si>
  <si>
    <t>參見「酃淥」、「酃湖」、「酃縣」等條。</t>
  </si>
  <si>
    <t>櫺</t>
  </si>
  <si>
    <t>[名]
1.門或窗檻、欄杆上雕花的格子。《文選．班固．西都賦》：「舍櫺檻而卻倚，若顛墜而復稽。」
2.屋檐。南朝宋．謝靈運〈山居賦〉：「夏涼寒燠，隨時取適，階基回互，橑櫺乘隔。」</t>
  </si>
  <si>
    <t>蘦</t>
  </si>
  <si>
    <t>[名]
植物名。薯蕷科薯蕷屬，多年生纏繞藤本。塊莖單生，球形或圓錐形。莖左旋，光滑。葉寬卵形或心狀卵形，葉腋常具珠芽。花單性，穗狀花序。蒴果長橢圓形，具三翅。塊莖外側褐色，內黃赤色，入藥，主治惡腫瘡毒等症狀。《說文解字．艸部》：「蘦，大苦也。」現稱「黃獨」、「黃藥子」。</t>
  </si>
  <si>
    <t>靈</t>
  </si>
  <si>
    <t>[名]
1.事神的女巫。《楚辭．屈原．九歌．東皇太一》：「靈偃蹇兮姣服，芳菲菲兮滿堂。」漢．王逸．注：「靈，謂巫也。」
2.鬼神。《詩經．商頌．殷武》：「赫赫厥聲，濯濯厥靈。」唐．孔穎達．正義：「其見尊敬如神靈也。」明．徐弘祖《徐霞客遊記．卷四下．黔遊日記二》：「此山靈招我，不可失也。」
3.魂魄。如：「靈魂」。南朝梁．江淹〈待罪江南思北歸賦〉：「願歸靈於上國，雖坎軻而不惜身。」清．林覺民〈與妻訣別書〉：「則吾之死，吾靈尚依依汝旁也，汝不必以無侶悲。」
4.人的精神。南朝梁．劉勰《文心雕龍．情采》：「若乃綜述性靈，敷寫器象。」
5.最精明能幹者。《書經．泰誓上》：「惟人，萬物之靈。」
6.靈柩的簡稱。如：「停靈」、「守靈」。《兒女英雄傳》第一七回：「那口靈就拱在堂屋正中，姑娘跪在靈右，候著還禮。」
7.姓。如戰國時晉國有靈輒。
[動]
1.明曉事理。《莊子．天地》：「大惑者終身不解，大愚者終身不靈。」
2.保佑。《國語．吳語》：「孤豈敢自多，先王之鍾鼓，寔式靈之。」
[形]
1.神妙、奇異。《文選．謝靈運．登江中孤嶼詩》：「表靈物莫賞，蘊真誰為傳。」
2.應驗。《老殘遊記》第四回：「你老不信，試試我的話，看靈不靈？」
3.機敏、不呆滯。如：「機靈」、「心靈手巧」。明．徐弘祖《徐霞客遊記．卷一〇上．滇遊日記十三》：「無霓裳而骨節皆靈，掩鮫綃而丰神獨迥。」
4.美好、善。《文選．潘岳．閑居賦》：「竹木蓊藹，靈果參差。」唐．白居易〈修香山寺記〉：「靈跡勝概，靡不周覽。」</t>
  </si>
  <si>
    <t>醽</t>
  </si>
  <si>
    <t>參見「醽醁」條。</t>
  </si>
  <si>
    <t>欞</t>
  </si>
  <si>
    <t>[名]
1.長木。《玉篇．木部》：「欞，長木也。」
2.門或窗檻、欄杆上雕花的方格子。同「櫺」。元．熊忠《古今韻會舉要．平聲．青韻》：「櫺，通作欞。」唐．常袞〈貞懿皇后哀冊文〉：「輅升玉綴，軒𡙇珠欞。」</t>
  </si>
  <si>
    <t>領</t>
  </si>
  <si>
    <t>ㄌㄧㄥˇ</t>
  </si>
  <si>
    <t>lǐng</t>
  </si>
  <si>
    <t>[名]
1.頸部。《孟子．梁惠王上》：「如有不嗜殺人者，則天下之民皆引領而望之矣。」
2.衣服圍護頸部的部分。如：「領子」、「衣領」。《荀子．勸學》：「若挈裘領，詘五指而頓之，順者不可勝數也。」
3.大綱、要點。如：「提綱挈領」、「要領」。
4.量詞。古代計算上衣、袍子或被子等的單位。《漢書．卷六八．霍光傳》：「賜金錢、繒絮，繡被百領，衣五十篋。」
[動]
1.統率。如：「率領」。《漢書．卷六六．楊敞傳》：「爵為通侯，總領從官。」
2.受取。如：「領情」、「領餉」、「失物招領」。宋．蘇軾〈與楊濟甫〉二首之二：「遠蒙厚惠蜀紙藥物等，一一如數領訖。」
3.曉悟、了解。如：「領會」、「領悟」。晉．陶淵明〈飲酒詩〉二〇首之一三：「醒醉還相笑，發言各不領。」
4.引導。如：「帶領」、「引領」。唐．元結〈宿洄溪翁宅〉詩：「老翁八十猶能行，將領兒孫行拾稼。」
[形]
所管轄的。如：「領土」、「領空」、「領海」。</t>
  </si>
  <si>
    <t>嶺</t>
  </si>
  <si>
    <t>[名]
1.有道路可通的山頂。晉．王羲之〈三月三日蘭亭詩序〉：「此地有崇山峻嶺，茂林修竹。」
2.連綿不斷的山。如：「北嶺」、「大興安嶺」、「南嶺」、「秦嶺」。宋．蘇軾〈題西林壁〉詩：「橫看成嶺側成峰，遠近高低無一同。」
3.大陸地區五嶺的簡稱。《漢書．卷九五．南粵傳》：「士卒大疫，兵不能隃嶺。」《晉書．卷九〇．良吏傳．吳隱之傳》：「朝廷欲革嶺南之弊，隆安中，以隱之為龍驤將軍。」</t>
  </si>
  <si>
    <t>另</t>
  </si>
  <si>
    <t>ㄌㄧㄥˋ</t>
  </si>
  <si>
    <t>lìng</t>
  </si>
  <si>
    <t>[副]
再、分別。如：「另有他用」、「另行通知」、「另請高明」、「另當別論」。</t>
  </si>
  <si>
    <t>令</t>
  </si>
  <si>
    <t>[名]
1.命令、法令。如：「軍令」、「人事命令」。《孟子．梁惠王下》：「王速出令，反其旄倪。」
2.時節。如：「節令」、「夏令」。《鏡花緣》第三九回：「喜得正是小陽春當令，還不甚冷。」
3.職官名。古代稱某些中央機關的長官為令，如尚書令、中書令；也指地方行政首長為令，如縣令；某些下屬機關的主官也稱令，如太子家令、掖庭令、太樂令等。
4.詞、曲中小令的簡稱。
5.姓。如漢代有令勉。
[動]
1.發布命令。《論語．子路》：「其身正，不令而行，其身不正，雖令不從。」
2.使、讓。《戰國策．趙策四》：「有復言令長安君為質者，老婦必唾其面。」漢．李陵〈答蘇武書〉：「令先君之嗣，更成戎狄之族，又自悲矣。」
[形]
1.好的、善的。如：「令德」、「令譽」。《詩經．大雅．卷阿》：「如圭如璋，令聞令望。」漢．鄭玄．箋：「令，善也。」
2.敬辭。用以尊稱他人的親屬或有關係的人，今人都只限用於尊稱對方之親屬或有關係的人。如：「令尊」、「令郎」、「令堂」、「令婿」。</t>
  </si>
  <si>
    <t>嚕</t>
  </si>
  <si>
    <t>ㄌㄨ</t>
  </si>
  <si>
    <t>lū</t>
  </si>
  <si>
    <t>參見「嚕囌」、「哩嚕」等條。</t>
  </si>
  <si>
    <t>玈</t>
  </si>
  <si>
    <t xml:space="preserve">玄 </t>
  </si>
  <si>
    <t>ㄌㄨˊ</t>
  </si>
  <si>
    <t>lú</t>
  </si>
  <si>
    <t>[形]
黑色的。《左傳．僖公二十八年》：「彤弓一，彤矢百，玈弓矢千。」</t>
  </si>
  <si>
    <t>盧</t>
  </si>
  <si>
    <t>[名]
1.盛飯的器具。《說文解字．皿部》：「盧，盧飯器也。」
2.古代摴蒲賭戲中，五子俱黑為盧，為最勝之采。《晉書．卷八五．劉毅傳》：「既而四子俱黑，其一子轉躍未定，裕厲聲喝之，即成盧焉。」
3.姓。如唐代有盧照鄰。
[形]
黑色的。《書經．文侯之命》：「盧弓一，盧矢百。」漢．孔安國．傳：「盧，黑也。」</t>
  </si>
  <si>
    <t>瀘</t>
  </si>
  <si>
    <t>參見「瀘水」條。</t>
  </si>
  <si>
    <t>廬</t>
  </si>
  <si>
    <t>[名]
1.簡陋的房舍。如：「茅廬」。《漢書．卷二四．食貨志上》：「餘二十畮以為廬舍。」《文選．諸葛亮．出師表》：「先帝不以臣卑鄙，猥自枉屈，三顧臣於草廬之中。」
2.姓。如明代有廬坦。</t>
  </si>
  <si>
    <t>壚</t>
  </si>
  <si>
    <t>[名]
1.黑色而質地堅實的土壤。《說文解字．土部》：「壚，黑剛土也。」《呂氏春秋．士容論．辨士》：「凡耕之道，必始於壚。」
2.酒店中置放酒罈的土臺子。如：「當壚賣酒」。南朝宋．劉義慶《世說新語．傷逝》：「乘軺車，經黃公酒壚下過。」唐．韋應物〈酒肆行〉：「繁絲急管一時合，他壚鄰肆何寂然。」
3.燃火用的器具。宋．陸游〈山行過僧菴不入〉詩：「茶壚煙起知高興，棋子聲疏識苦心。」</t>
  </si>
  <si>
    <t>嚧</t>
  </si>
  <si>
    <t>[擬]
形容喚豬的聲音。《廣韻．平聲．模韻》：「嚧，呼豬聲也。」</t>
  </si>
  <si>
    <t>爐</t>
  </si>
  <si>
    <t>[名]
供燃燒用的設備、器具。如：「電爐」、「圍爐」、「瓦斯爐」。宋．王安石〈夜直〉詩：「金爐香燼漏聲殘，翦翦輕風陣陣寒。」也稱為「爐子」。</t>
  </si>
  <si>
    <t>櫨</t>
  </si>
  <si>
    <t>[名]
1.斗拱，架在柱上以支撐屋梁的方木。《淮南子．本經》：「標枺欂櫨，以相支持。」漢．高誘．注：「櫨，柱上柎，即梁上短柱也。」
2.植物名。漆樹科黃櫨屬，落葉喬木。高三至七公尺。單葉互生，卵形或倒卵形，先端圓鈍，全緣，兩面被灰色柔毛。圓錐花序頂生，花雜性，花梗纖細，多數不孕花於開花後其花梗更加伸長，花瓣長二至三公厘。核果扁腎形，紅熟。木材提供黃色染料，亦入藥，味苦性寒。也稱為「黃櫨」。</t>
  </si>
  <si>
    <t>蘆</t>
  </si>
  <si>
    <t>參見「蘆葦」條。</t>
  </si>
  <si>
    <t>臚</t>
  </si>
  <si>
    <t>[名]
1.皮膚。《說文解字．肉部》：「臚，皮也。」
2.上腹部。《廣韻．平聲．魚韻》：「臚，腹前曰臚。」漢．史游《急就篇》卷四：「寒氣泄注腹臚脹。」唐．柳宗元〈志從父弟宗直殯〉：「得上氣病，臚脹奔逆。」
[動]
陳列。《廣韻．平聲．魚韻》：「臚，陳序也。」《史記．卷一五．六國年表》：「臚於郊祀。」
[形]
流傳的、傳述的。《國語．晉語六》：「風聽臚言於市。」</t>
  </si>
  <si>
    <t>罏</t>
  </si>
  <si>
    <t>[名]
1.一種形似瓶子的盛酒器具。《玉篇．缶部》：「罏，罍也。」明．袁宏道〈戊戌除夕〉詩：「石小聚香多，罏焦聽酒沸。」
2.爐子。通「爐」。唐．鄭谷〈題興善寺寂上人院〉詩：「臘高興故疾，罏暖發餘香。」宋．陸游〈共語〉詩：「黃金已作飛煙去，痴漢終身守藥罏。」</t>
  </si>
  <si>
    <t>艫</t>
  </si>
  <si>
    <t>[名]
船頭。《漢書．卷六．武帝紀》：「舳艫千里，薄樅陽而出。」顏師古注引李斐曰：「艫，船前頭刺櫂處也。」《文選．謝惠連．西陵遇風獻康樂詩》：「迴塘隱艫枻，遠望絕形音。」</t>
  </si>
  <si>
    <t>纑</t>
  </si>
  <si>
    <t>[名]
1.用來織布的麻線。《說文解字．糸部》：「纑，布縷也。」清．段玉裁．注：「言布縷者以別乎絲縷也。績之而成縷，可以為布，是曰纑。」元．趙孟頫《題耕織圖．織．九月》：「教女學紡纑，舉足疾且輕。」
2.紵麻類的植物，可以織成布匹。《史記．卷一二九．貨殖傳》：「夫山西饒材、竹、穀、纑、旄、玉石。」裴駰集解引徐廣曰：「纑，紵屬，可以為布。」
[動]
練麻。《孟子．滕文公下》：「彼身織屨，妻辟纑以易之也。」漢．趙岐．注：「緝績其麻曰辟，練其麻曰纑。」</t>
  </si>
  <si>
    <t>轤</t>
  </si>
  <si>
    <t>參見「轆轤」條。</t>
  </si>
  <si>
    <t>鑪</t>
  </si>
  <si>
    <t>[名]
1.火爐，可供燃燒以盛火的器具。通「爐」。《說文解字．金部》：「鑪，方鑪也。」清．段玉裁．注：「凡燃炭之器曰鑪。」如：「香鑪」。《漢書．卷四八．賈誼傳》：「且夫天地為鑪，造化為工，陰陽為炭，萬物為銅。」
2.酒店前，四邊隆起以放置酒罈的臺子。《史記．卷一一七．司馬相如傳》：「買一酒舍酤酒，而令文君當鑪。」裴駰集解引韋昭曰：「鑪，酒肆也。以土為墮，邊高似鑪。」</t>
  </si>
  <si>
    <t>顱</t>
  </si>
  <si>
    <t>[名]
1.頭骨。亦泛指頭部。《文選．潘岳．射雉賦》：「欣余志之精銳，擬青顱而點項。」
2.額頭。《後漢書．卷六〇上．馬融傳》：「祋殳狂擊，頭陷顱碎。」唐．章懷太子．注：「顱，額也。」</t>
  </si>
  <si>
    <t>鸕</t>
  </si>
  <si>
    <t>參見「鸕鶿」條。</t>
  </si>
  <si>
    <t>鱸</t>
  </si>
  <si>
    <t>[名]
動物名。脊椎動物亞門硬骨魚綱鱸形目。頭大，體狹長。巨口細鱗，下顎稍突出。背部淡蒼色，腹部白色，體側及背鰭有黑斑。性凶猛，以魚蝦為食。常棲於近海，夏季由海溯河，冬季由河入海。可供食用。</t>
  </si>
  <si>
    <t>鹵</t>
  </si>
  <si>
    <t xml:space="preserve">鹵 </t>
  </si>
  <si>
    <t>ㄌㄨˇ</t>
  </si>
  <si>
    <t>lǔ</t>
  </si>
  <si>
    <t>[名]
1.具有鹼性，不適宜耕種的土地。《說文解字．鹵部》：「鹵，西方鹹地也。」
2.自然生成的鹽。《說文解字．鹽部》：「鹽，鹵也。天生曰鹵，人生曰鹽。」《史記．卷一二九．貨殖傳》：「山東食海鹽，山西食鹽鹵。」
3.大盾。通「櫓」。《戰國策．中山策》：「大破二國之軍，流血漂鹵。」《文選．左思．吳都賦》：「干鹵殳鋋。」李善注引劉逵曰：「干、鹵，皆楯也。」
4.姓。如漢代有鹵公孺。
5.二一四部首之一。
[形]
1.粗率、直率。如：「粗鹵」。《莊子．則陽》：「君為政焉勿鹵莽，治民焉勿滅裂。」
2.愚鈍、笨拙。通「魯」。《文選．劉楨．贈五官中郎將詩四首之四》：「小臣信頑鹵，僶俛安能追！」《抱朴子．外篇．勖學》：「經術深則高才者洞達，鹵鈍者醒悟。」
[動]
掠奪、強取。通「擄」。《史記．卷一〇六．吳王濞傳》：「今卬等又重逆無道，燒宗廟，鹵御物，朕甚痛之。」裴駰集解引如淳曰：「鹵，抄掠也。」《漢書．卷六九．趙充國傳》：「鹵馬牛羊十萬餘頭，車四千餘兩。」</t>
  </si>
  <si>
    <t>滷</t>
  </si>
  <si>
    <t>[動]
一種烹飪方法。用醬油、蔥、薑、酒等佐料，加水烹煮食物，使之入味。如：「滷蛋」、「滷牛肉」、「滷豆腐」。</t>
  </si>
  <si>
    <t>磠</t>
  </si>
  <si>
    <t>參見「磠砂」條。</t>
  </si>
  <si>
    <t>虜</t>
  </si>
  <si>
    <t>[動]
1.捉住、擒獲。《說文解字．毌部》：「虜，獲也。」《史記．卷九二．淮陰侯傳》：「於是漢兵夾擊，大破虜趙軍。」
2.搶奪、掠取。《史記．卷一〇八．韓長孺傳》：「匈奴虜略千餘人及畜產而去。」晉．張載〈七哀詩〉二首之一：「珠柙離玉體，珍寶見剽虜。」
[名]
1.爭戰中俘獲的敵人。如：「俘虜」。《詩經．大雅．常武》：「鋪敦淮濆，仍執醜虜。」
2.奴隸、僕人。《韓非子．說難》：「伊尹為宰，百里奚為虜。」《史記．卷八七．李斯傳》：「慈母有敗子而嚴家無格虜。」
3.對敵人輕蔑的稱呼。宋．蘇軾〈念奴嬌．大江東去〉詞：「羽扇綸巾談笑間，強虜灰飛煙滅。」《喻世明言．卷三十九．汪信之一死救全家》：「官府只慮我北去通虜，決不疑在近地。」</t>
  </si>
  <si>
    <t>(二)（又音）ㄌㄨㄛˇ luǒ（03807）</t>
  </si>
  <si>
    <t>擄</t>
  </si>
  <si>
    <t>[動]
搶奪、俘虜。如：「擄人勒贖」。《東觀漢記．卷九．馮異傳》：「更始諸將，縱橫暴虐，所至擄掠，百姓失望。」《水滸傳》第三二回：「恭人被清風山強人擄去了。」</t>
  </si>
  <si>
    <t>(二)（又音）ㄌㄨㄛˇ luǒ（03808）</t>
  </si>
  <si>
    <t>魯</t>
  </si>
  <si>
    <t>[形]
愚鈍、笨拙。如：「魯鈍」。《論語．先進》：「參也魯。」三國魏．何晏．集解：「孔曰：『魯，鈍也。』」清．全祖望〈呂語集粹序〉：「言先生少時甚魯，讀書不能成誦。」
[名]
1.國名。參見「魯國」條。
2.大陸地區山東省的簡稱。
3.姓。如戰國時齊國有魯仲連，三國時吳國有魯肅。</t>
  </si>
  <si>
    <t>櫓</t>
  </si>
  <si>
    <t>[名]
1.城上供防禦而無頂蓋的瞭望樓。《玉篇．木部》：「櫓，城上守禦望樓。」《晉書．卷八一．朱伺傳》：「伺又率諸軍圍守之，遂重柴繞城，作高櫓，以勁弩下射之，又斷其水道。」
2.划水使船前進的器具。明．張自烈《正字通．木部》：「槳，行舟具，長大曰櫓，短小曰槳。」《三國志．卷五四．吳書．呂蒙傳》：「使白衣搖櫓，作商賈人服，晝夜兼行。」唐．徐鉉〈過江〉詩：「登艫望城遠，搖櫓過江遲。」
3.古代的兵器。即大盾、大戟。《左傳．襄公十年》：「狄虒彌建大車之輪，而蒙之以甲，以為櫓。」晉．杜預．注：「櫓，大盾也。」《晉書．卷一．宣帝紀》：「起土山地道，楯櫓鉤橦，發矢石雨下，晝夜攻之。」</t>
  </si>
  <si>
    <t>鑥</t>
  </si>
  <si>
    <t>[名]
化學元素鎦（lutetium，Lu）的大陸地區用詞。</t>
  </si>
  <si>
    <t>ㄌㄨˋ</t>
  </si>
  <si>
    <t>lù</t>
  </si>
  <si>
    <t>[名]
1.國名。周代時位於今大陸地區安徽省六安縣北，一說在今大陸地區安徽舒城縣東南六十里處。
2.姓。皋陶之後，以國為氏。</t>
  </si>
  <si>
    <t>(一)ㄌㄧㄡˋ liù（03575）</t>
  </si>
  <si>
    <t>甪</t>
  </si>
  <si>
    <t>[名]
1.一種野獸。《字彙．用部》：「甪，獸名。」
2.同「角」(三)。</t>
  </si>
  <si>
    <t>角</t>
  </si>
  <si>
    <t>參見「角里」條。</t>
  </si>
  <si>
    <t>(一)ㄐㄧㄠˇ jiǎo（05648）(二)ㄐㄩㄝˊ jué（06085）</t>
  </si>
  <si>
    <t>彔</t>
  </si>
  <si>
    <t>[動]
雕刻木材。《廣韻．入聲．屋韻》：「彔，刻木也。」</t>
  </si>
  <si>
    <t>淥</t>
  </si>
  <si>
    <t>[形]
清澈。漢．張衡〈東京賦〉：「於東則洪池清篽，淥水澹澹。」
[名]
河川名，湘江的支流。發源於江西省萍鄉市蓮花縣北部，西流經湖南省醴陵市，於株洲市株洲縣城淥口鎮注入湘江。</t>
  </si>
  <si>
    <t>琭</t>
  </si>
  <si>
    <t>[名]
玉。《廣韻．入聲．屋韻》：「琭，玉名。」</t>
  </si>
  <si>
    <t>菉</t>
  </si>
  <si>
    <t>(一)（語音）ㄌㄩˋ lǜ（03897）</t>
  </si>
  <si>
    <t>氯</t>
  </si>
  <si>
    <t>(一)ㄌㄩˋ lǜ（03898）</t>
  </si>
  <si>
    <t>逯</t>
  </si>
  <si>
    <t>[形]
走路謹慎的樣子。《說文解字．辵部》：「逯，行謹逯逯也。」
[副]
隨意的、無目的的。《淮南子．精神》：「渾然而往，逯然而來。」漢．高誘．注：「逯，謂無所為忽然往來也。」
[名]
姓。如漢代有逯並。</t>
  </si>
  <si>
    <t>祿</t>
  </si>
  <si>
    <t>[名]
1.福、善。如：「福祿」、「嘉祿」。《晏子春秋．內篇．問上十》：「是以神民俱順，而山川納祿。」
2.俸給、官俸。如：「俸祿」、「無功不受祿」。《漢書．卷四九．鼂錯傳》：「受祿不過其量，不以亡能居尊顯之位。」</t>
  </si>
  <si>
    <t>碌</t>
  </si>
  <si>
    <t>[形]
1.小石眾多的樣子。《廣韻．入聲．屋韻》：「碌，多石貌。」
2.繁忙。如：「忙碌」、「勞碌」。《西遊記》第二二回：「這一向在途中奔碌，未及致謝。」
[副]
參見「碌碌」條。</t>
  </si>
  <si>
    <t>睩</t>
  </si>
  <si>
    <t>[形]
敬謹注視的樣子。《楚辭．宋玉．招魂》：「蛾眉曼睩，目騰光些。」明．湯顯祖《紫釵記》第四四齣：「愁凝睩，秦雲黯待成飛絮，誰說與玉肌生粟？」</t>
  </si>
  <si>
    <t>盝</t>
  </si>
  <si>
    <t>[名]
裝脂粉等物的小盒子。唐．白居易〈宿杜曲花下〉詩：「籃輿為臥舍，漆盝是行廚。」《新唐書．卷一八〇．李德裕傳》：「敬宗立，侈用無度，詔浙西上脂盝妝具。」
[動]
下滲、過濾。《周禮．冬官考工記．&amp;91dd._104_0.gif;氏》：「清其灰而盝之，而揮之。」明．方以智《物理小識．卷七．金石類》：「日月蒸入，盝之澄之，重者在下，鉛硝煎之，白金出矣。」</t>
  </si>
  <si>
    <t>綠</t>
  </si>
  <si>
    <t>(一)（語音）ㄌㄩˋ lǜ（03899）</t>
  </si>
  <si>
    <t>醁</t>
  </si>
  <si>
    <t>[名]
美酒。唐．李白〈敘舊贈江陽宰陸調〉詩：「多沽新豐醁，滿載剡溪船。」宋．蘇軾〈寄周安孺茶〉詩：「自云葉家白，頗勝中山醁。」</t>
  </si>
  <si>
    <t>錄</t>
  </si>
  <si>
    <t>[動]
1.抄寫、謄寫。明．張自烈《正字通．金部》：「錄，謄寫曰錄。」如：「謄錄」。
2.記載。如：「記錄」、「登錄」。《三國志．卷三．魏書．明帝紀》：「遂進軍幸壽春，錄諸將功，封賞各有差。」晉．王羲之〈三月三日蘭亭詩序〉：「故列敘時人，錄其所述。」
3.採納、採取。如：「錄用」。唐．韓愈〈送諸葛覺往隨州讀書〉詩：「屢為丞相言，雖懇不見錄。」
[名]
1.記載事物的書籍、簿冊。如：「筆錄」、「言行錄」、「備忘錄」。清．黃宗羲〈陳定生先生墓誌銘〉：「是時有百官圖、邪黨錄、天鑒錄、同志錄、點將錄，依之以盡殺朝廷之士。」
2.姓。如上古時有錄圖。</t>
  </si>
  <si>
    <t>騄</t>
  </si>
  <si>
    <t>參見「騄駬」條。</t>
  </si>
  <si>
    <t>籙</t>
  </si>
  <si>
    <t>[名]
1.圖書、冊籍。如：「圖籙」。《新唐書．卷八八．裴寂傳》：「隋政不綱，天下搖亂，公姓名已著謠籙。」
2.道家用的符咒。如：「符籙」。《新唐書．卷八．宣宗紀．贊曰》：「而躬受道家之籙，服藥以求長年。」</t>
  </si>
  <si>
    <t>鹿</t>
  </si>
  <si>
    <t>[名]
1.動物名。哺乳綱偶啼目鹿科。體型細長，腿長，褐色毛，性溫順，雄者有角。棲息於沙漠、凍原、沼澤和高山坡等地區。肉可食，皮可製革，角可供作裝飾品。
2.方形的糧倉。《國語．吳語》：「市無赤米，而囷鹿空虛。」三國吳．韋昭．注：「員曰囷，方曰鹿。」
3.比喻帝位、政權。《史記．卷九二．淮陰侯傳》：「秦失其鹿，天下共逐之。」唐．溫庭筠〈過五丈原〉詩：「下國臥龍空誤主，中原逐鹿不因人。」
4.姓。如漢代有鹿旗。
5.二一四部首之一。</t>
  </si>
  <si>
    <t>漉</t>
  </si>
  <si>
    <t>[動]_x000D_
1.竭盡、使乾涸。《禮記．月令》：「是月也，毋竭川澤，毋漉陂池，毋焚山林。」漢．王充《論衡．指瑞》：「巢剝卵破，屏竄不翔；林焚池漉，伏匿不遊。」_x000D_
2.水慢慢地下滲。《戰國策．楚策四》：「漉汁灑地，白汗交流。」《史記．卷一一七．司馬相如列傳》：「滋液滲漉，何生不育。」_x000D_
3.瀝出、過濾。三國魏．曹植〈七步詩〉：「煮豆持作羹，漉豉以為汁。」晉．陶淵明〈歸園田居〉詩五首之五：「漉我新熟酒，隻雞招近局。」_x000D_
4.淘取、疏浚。宋．文同〈秋日田家〉詩：「淘漉溝源築野塘，滿坡煙草臥牛羊。」《宋史．卷九七．河渠志七》：「今欲發四百九十萬工，於農隙接續開鑿，又移壯城百人，以備撩漉濬治。」</t>
  </si>
  <si>
    <t>摝</t>
  </si>
  <si>
    <t>[動]
振、搖。《周禮．夏官．大司馬》：「二鼓摝鐸。」漢．鄭玄．注：「掩上振之為摝。」</t>
  </si>
  <si>
    <t>䍡</t>
  </si>
  <si>
    <t>參見「䍡𦌊」條。</t>
  </si>
  <si>
    <t>簏</t>
  </si>
  <si>
    <t>[名]
竹子編成的箱子。如：「字紙簏」、「書簏」。《楚辭．劉向．九歎．愍命》：「莞芎棄於澤洲兮，瓟瓥蠹於筐簏。」漢．王逸．注：「方為筐，圓為簏。」</t>
  </si>
  <si>
    <t>轆</t>
  </si>
  <si>
    <t>參見「轆轤」、「轆轆」等條。</t>
  </si>
  <si>
    <t>麓</t>
  </si>
  <si>
    <t>[名]
山腳。如：「山麓」、「南麓」。元．虞集〈寄幻庵主者〉詩：「朝遊武夷麓，莫入匡廬岑。」</t>
  </si>
  <si>
    <t>硉</t>
  </si>
  <si>
    <t>參見「硉兀」條。</t>
  </si>
  <si>
    <t>[名]
1.高出水面的平地。如：「大陸」、「登陸」。宋．王安石〈書任村馬鋪〉詩：「投老經過身獨在，當時洲渚今平陸。」
2.旱路、陸路。如：「水陸交通」。《墨子．非樂上》：「舟用之水，車用之陸。」
3.姓。如宋代有陸九淵。
[動]
跳躍。《莊子．馬蹄》：「齕草飲水，翹足而陸，此馬之真性也。」</t>
  </si>
  <si>
    <t>(二)ㄌㄧㄡˋ liù（03577）</t>
  </si>
  <si>
    <t>稑</t>
  </si>
  <si>
    <t>[名]
後種先熟的稻穀。《廣韻．入聲．屋韻》：「稑，穜稑，先種後熟曰穜；後種先熟曰稑。」《周禮．天官．內宰》：「上春，詔王后帥六宮之人，而生穜稑之種，而獻之于王。」</t>
  </si>
  <si>
    <t>輅</t>
  </si>
  <si>
    <t>[名]
車前的橫木。《說文解字．車部》：「輅，車軨前橫木也。」《史記．卷九九．劉敬傳》：「婁敬脫輓輅，衣其羊裘。」唐．司馬貞．索隱：「輅者，鹿車前橫木，二人前輓，一人後推之。」</t>
  </si>
  <si>
    <t>賂</t>
  </si>
  <si>
    <t>[動]
1.贈送財物給人。《左傳．桓公二年》：「以郜大鼎賂公。」《北史．卷七〇．杜杲傳》：「并賂黔中數州地，仍請畫野分疆，永敦鄰好。」
2.行賄，贈送財物而有所求。如：「賄賂」。《晉書．卷七九．謝安傳》：「賊厚賂泓，使云『南軍已敗』。泓偽許之。」
[名]
財物。《左傳．莊公二十八年》：「數之以王命，取賂而還。」《文選．司馬遷．報任少卿書》：「家貧，貨賂不足以自贖。」</t>
  </si>
  <si>
    <t>路</t>
  </si>
  <si>
    <t>[名]
1.道路，供人馬舟車等行走的途徑。如：「陸路」、「水路」、「高速公路」。宋．岳飛〈滿江紅．怒髮衝冠〉詞：「三十功名塵與土，八千里路雲和月。」
2.條理、紋理。如：「思路」、「紋路」。南朝梁．沈約〈瑞石像銘〉：「心路照通，有感斯順。」
3.方法、途徑。如：「生路」、「活路」。唐．王勃〈滕王閣序〉：「無路請纓，等終軍之弱冠。」
4.種類。如：「他們是那一路人？」《西遊記》第五一回：「這一路拳，走得似錦上添花。」
5.地區、區域。《三國演義》第一五回：「自是東路皆平，令叔孫靜守之。」《儒林外史》第四一回：「這一日燒香回來，人見他是下路打扮，跟了他後面走的就有百十人。」
6.路線。如：「五路公車」。《水滸傳》第五〇回：「今日宋江分兵做四路，來打本莊。」
7.姓。如漢代有路溫舒。</t>
  </si>
  <si>
    <t>潞</t>
  </si>
  <si>
    <t>[名]
河川名。即怒江。源於西藏，南流經雲南，經緬甸注入印度洋。</t>
  </si>
  <si>
    <t>璐</t>
  </si>
  <si>
    <t>[名]
美玉。《玉篇．玉部》：「璐，美玉也。」《楚辭．屈原．九章．涉江》：「冠切雲之崔嵬，被明月兮珮寶璐。」</t>
  </si>
  <si>
    <t>[名]
1.靠近地面的水蒸氣，夜間遇冷而凝結成的小水珠。《楚辭．屈原．離騷》：「朝飲木蘭之墜露兮，夕餐秋菊之落英。」唐．杜甫〈月夜憶舍弟〉詩：「露從今夜白，月是故鄉明。」
2.芳香可飲的酒或液體。如：「玫瑰露」、「果子露」。
3.姓。如漢代有露平。
[動]
表現、顯現。如：「顯露」、「表露」、「暴露」、「原形畢露」。</t>
  </si>
  <si>
    <t>(二)ㄌㄡˋ lòu（03313）</t>
  </si>
  <si>
    <t>鷺</t>
  </si>
  <si>
    <t>[名]
動物名。鸛形目鷺科。似鶴略小，羽白，翅寬，頸腳皆長，嘴長而直，頭頂有細長白毛。棲息於水邊，捕魚為食。</t>
  </si>
  <si>
    <t>僇</t>
  </si>
  <si>
    <t>[動]
侮辱。如：「僇辱」。《史記．卷八二．田單傳》：「吾懼燕人掘吾城外冢墓，僇先人，可為寒心。」</t>
  </si>
  <si>
    <t>[形]
長大的樣子。《詩經．小雅．蓼莪》：「蓼蓼者莪，匪莪伊蒿。」漢．鄭玄．箋：「蓼蓼，長大貌。」</t>
  </si>
  <si>
    <t>(二)ㄌㄧㄠˇ liǎo（03543）</t>
  </si>
  <si>
    <t>戮</t>
  </si>
  <si>
    <t>[動]
1.刑殺。如：「殺戮」。唐．李白〈擬恨賦〉：「及夫李斯受戮，神氣黯然。」
2.侮辱、羞辱。唐．杜甫〈行次昭陵〉詩：「直詞寧戮辱，賢路不崎嶇。」
3.合、併。《墨子．尚賢中》：「聿求元聖，與之戮力同心。」南朝梁．劉勰《文心雕龍．祝盟》：「共存亡，戮心力。」</t>
  </si>
  <si>
    <t>穋</t>
  </si>
  <si>
    <t>[名]
後種先熟的稻穀。《詩經．豳風．七月》：「黍稷重穋，禾麻菽麥。」漢．毛亨．傳：「後熟曰重，先熟曰穋。」</t>
  </si>
  <si>
    <t>ㄌㄨㄛ</t>
  </si>
  <si>
    <t>luō</t>
  </si>
  <si>
    <t>[動]
用手抓住東西的某一部分，向別的部分移動壓取。如：「捋汗」、「捋袖子」、「捋臂捲袖」。</t>
  </si>
  <si>
    <t>(一)ㄌㄜˋ lè（03195）(二)ㄌㄩˇ lǚ（03887）</t>
  </si>
  <si>
    <t>攞</t>
  </si>
  <si>
    <t>[動]
1.收攏、拉攏。元．李文蔚《燕青博魚》第三折：「穿的那衣服，拖天掃地的，一腳踹著，不險些兒絆倒了？攞起衣服來，走走走。」元．無名氏《來生債．楔子》：「我攞了這文書，點個燈來燒了者。」
2.撕扯。元．無名氏《爭報恩》第一折：「等我點個燈來，攞下這窗戶上紙來，做個紙撚兒點著。」</t>
  </si>
  <si>
    <t>囉</t>
  </si>
  <si>
    <t>參見「囉嗦」條。</t>
  </si>
  <si>
    <t>(一)ㄌㄨㄛˊ luó（03795）</t>
  </si>
  <si>
    <t>腡</t>
  </si>
  <si>
    <t>ㄌㄨㄛˊ</t>
  </si>
  <si>
    <t>luó</t>
  </si>
  <si>
    <t>[名]
指紋。《廣韻．平聲．戈韻》：「腡，手指文也。」</t>
  </si>
  <si>
    <t>螺</t>
  </si>
  <si>
    <t>[名]
1.腹足類軟體動物的通稱。藏身於錐形、紡錘形或扁橢圓形的硬殼中，殼上有迴旋紋路。如：「田螺」、「海螺」。
2.螺形的指紋。宋．蘇軾〈怪石供〉：「其文如人指上螺。」
3.螺製的器物。《南史．卷七八．夷貊傳上．海南諸國傳》：「吹螺擊鼓。」北周．庾信〈園庭詩〉：「香螺酌美酒，枯蚌藉蘭殽。」</t>
  </si>
  <si>
    <t>鏍</t>
  </si>
  <si>
    <t>[名]
一種古代用來溫熱東西的器具。《集韻．平聲．戈韻》：「鏍，溫器。」</t>
  </si>
  <si>
    <t>騾</t>
  </si>
  <si>
    <t>[名]
動物名。為雄驢與雌馬交配所生，兼二者之長。耳長、鬃短、蹄小，尾端有一簇毛。體大、結實。耐力及抗病力皆強，力大，可負重行遠。</t>
  </si>
  <si>
    <t>羅</t>
  </si>
  <si>
    <t>[名]
1.用來捕捉的網子。如：「天羅地網」。《詩經．王風．兔爰》：「有兔爰爰，雉離于羅。」
2.質地輕軟的絲織品。如：「綾羅綢緞」。《戰國策．齊策四》：「下宮糅羅紈，曳綺縠，而士不得以為緣。」
3.一種濾東西的器具。似篩而邊較深寬，下蒙以密網，可用來播麵粉或過濾流質。
4.姓。如元代有羅貫中。
[動]
1.捕捉。如：「門可羅雀」。《詩經．小雅．鴛鴦》：「鴛鴦于飛，畢之羅之。」
2.招致、延攬。《漢書．卷九九．王莽傳上》：「網羅天下異能之士。」《三國演義》第一〇回：「公之鄉人姓郭名嘉，字奉孝，乃當今賢士，不羅而致之？」
3.囊括、涵蓋。如：「包羅萬象」。《莊子．天下》：「萬物畢羅，莫足以歸。」
4.陳列、分布。如：「羅列」、「星羅棋布」。《文選．班固．西都賦》：「列卒周匝，星羅雲布。」</t>
  </si>
  <si>
    <t>儸</t>
  </si>
  <si>
    <t>參見「儸儸」條。</t>
  </si>
  <si>
    <t>[名]
1.小兒語。《廣韻．平聲．歌韻》：「囉，小兒語也。」
2.參見「嘍囉」條。
[助]
歌曲中的襯字。《雍熙樂府．卷一五．黃鶯兒．唱一會囉哩囉曲》：「唱一會囉哩囉，論清閑誰似我？」</t>
  </si>
  <si>
    <t>(二)ㄌㄨㄛ luō（03788）</t>
  </si>
  <si>
    <t>玀</t>
  </si>
  <si>
    <t>參見「豬玀」條。</t>
  </si>
  <si>
    <t>蘿</t>
  </si>
  <si>
    <t>參見「蘿蔔」、「女蘿」等條。</t>
  </si>
  <si>
    <t>邏</t>
  </si>
  <si>
    <t>[動]
巡視偵察。如：「巡邏」。《晉書．卷九五．藝術傳．戴洋傳》：「昨朝大霧晏風，當有怨賊報仇，攻圍諸侯，誠宜遠偵邏。」
[名]
1.巡邏人員、兵卒。《晉書．卷三四．羊祜傳》：「於是戍邏減半，分以墾田八百餘頃，大獲其利。」《新唐書．卷八四．李密傳》：「密羸行入關，為邏所獲，與支黨護送帝所。」
2.山或溪的邊緣。唐．杜甫〈送賈閣老出汝州〉詩：「宮殿青門隔，雲山紫邏深。」宋．范成大〈中巖〉詩：「赤巖倚彾𢓳，翠邏森戍削。」</t>
  </si>
  <si>
    <t>籮</t>
  </si>
  <si>
    <t>[名]
1.方底圓口的竹器，可用來盛物。《集韻．平聲．戈韻》：「江南謂筐底方上圜曰籮。」
2.一種過濾東西的器具。通「羅」。似篩而邊較寬深，下蒙以密網，可用來播麵粉或過濾流質。</t>
  </si>
  <si>
    <t>鑼</t>
  </si>
  <si>
    <t>樂器名，打擊樂器。為銅製的淺平圓盤，用槌敲擊以發聲，形制各地不同，種類繁多，用途廣泛。</t>
  </si>
  <si>
    <t>饠</t>
  </si>
  <si>
    <t>覶</t>
  </si>
  <si>
    <t>參見「覶縷」條。</t>
  </si>
  <si>
    <t>砢</t>
  </si>
  <si>
    <t>ㄌㄨㄛˇ</t>
  </si>
  <si>
    <t>luǒ</t>
  </si>
  <si>
    <t>參見「磊砢」條。</t>
  </si>
  <si>
    <t>(二)ㄎㄜ kē（04412）</t>
  </si>
  <si>
    <t>倮</t>
  </si>
  <si>
    <t>[動]
裸露。同「裸」。《史記．卷三．殷本紀》：「以酒為池，縣肉為林，使男女倮相逐其間，為長夜之飲。」《三國志．卷五三．吳書．薛綜傳》：「日南郡男女倮體，不以為羞。」</t>
  </si>
  <si>
    <t>裸</t>
  </si>
  <si>
    <t>[動]
赤露身體。如：「全裸」、「裸露」。《漢書．卷八十六．王嘉傳》：「大臣括髮關械，裸躬就笞，非所以重國褒宗廟也。」
[形]
袒露的。如：「裸照」、「裸體」、「赤裸裸」。</t>
  </si>
  <si>
    <t>臝</t>
  </si>
  <si>
    <t>同「裸」。</t>
  </si>
  <si>
    <t>(一)ㄌㄨˇ lǔ（03742）</t>
  </si>
  <si>
    <t>(一)ㄌㄨˇ lǔ（03743）</t>
  </si>
  <si>
    <t>蓏</t>
  </si>
  <si>
    <t>[名]
草本或蔓生植物所結的果實。《說文解字．艸部》：「蓏，在木曰果，在地曰蓏。」《韓非子．外儲說右下》：「今發五苑之蓏蔬棗栗，足以活民。」</t>
  </si>
  <si>
    <t>瘰</t>
  </si>
  <si>
    <t>[名]
瘰癧：病名。古代稱頸項間的淋巴結核症為「瘰癧」。患部會出現緩慢的化膿性膿疱與瘻管。《廣韻．上聲．果韻》：「瘰，瘰癧，病筋結也。」</t>
  </si>
  <si>
    <t>蠃</t>
  </si>
  <si>
    <t>參見「蜾蠃」條。</t>
  </si>
  <si>
    <t>[形]
沒有羽毛。《字彙．手部》：「攭，無毛羽貌。」</t>
  </si>
  <si>
    <t>(一)ㄌㄧˋ lì（03495）</t>
  </si>
  <si>
    <t>洛</t>
  </si>
  <si>
    <t>ㄌㄨㄛˋ</t>
  </si>
  <si>
    <t>luò</t>
  </si>
  <si>
    <t>[名]
1.參見「洛水」條。
2.大陸地區洛陽的簡稱。
3.姓。如明代有洛忠。</t>
  </si>
  <si>
    <t>[動]
由喉頭用力清出異物來。如：「咯血」。</t>
  </si>
  <si>
    <t>(二)˙ㄌㄛ lo（03186）(三)ㄍㄜ gē（03924）(四)（(三)之又音）ㄍㄜˊ gé（03934）(五)（(一)之又音）ㄎㄚˇ kǎ（04404）</t>
  </si>
  <si>
    <t>參見「炮烙」條。</t>
  </si>
  <si>
    <t>(一)（語音）ㄌㄠˋ lào（03279）</t>
  </si>
  <si>
    <t>珞</t>
  </si>
  <si>
    <t>參見「瓔珞」條。</t>
  </si>
  <si>
    <t>硌</t>
  </si>
  <si>
    <t>[名]
山上的大石。《玉篇．石部》：「硌，山上大石。」</t>
  </si>
  <si>
    <t>(一)ㄍㄜˋ gè（03965）</t>
  </si>
  <si>
    <t>[名]
1.綿絮、粗綿。《說文解字．糸部》：「絡，絮也。」
2.網。《文選．張衡．西京賦》：「振天維，衍地絡。」李善注引薛綜曰：「絡，網也。」
3.繩索。唐．王勃〈乾元殿頌〉：「祥飛井絡，震鱗題瑞朔之元。」
4.馬籠頭。南朝梁．簡文帝〈西齋行馬詩〉：「晨風白金絡，桃花紫玉珂。」唐．李白〈陌上桑〉詩：「五馬如飛龍，青絲結金絡。」
5.瓜果內的網狀纖維。如：「橘絡」、「絲瓜絡」。
6.中醫上指人體的血管和神經系統。如：「經絡」、「脈絡」。
[動]
1.纏繞。宋．陸游〈山園書觸目〉詩：「瘦篁穿石竅，古蔓絡松身。」
2.包羅。《文選．班固．西都賦》：「罘網連紘，籠山絡野。」
3.套住。唐．李賀〈莫愁曲〉：「青絲繫五馬，黃金絡雙牛。」
4.維繫、聯繫。如：「聯絡」、「籠絡人心」。</t>
  </si>
  <si>
    <t>(二)ㄌㄠˋ lào（03280）</t>
  </si>
  <si>
    <t>[名]
以動物乳汁所製成的半凝固食品。明．張自烈《正字通．酉部》：「酪，牛馬乳所造。」如：「乳酪」、「牛酪」。</t>
  </si>
  <si>
    <t>(二)（語音）ㄌㄠˋ lào（03281）</t>
  </si>
  <si>
    <t>[動]
1.脫落、凋墜。唐．李白〈古風〉詩五九首之一四：「木落秋草黃，登高望戎虜。」宋．秦觀〈一斛珠．碧雲寥廓〉詞：「江山滿眼今非昨，紛紛木葉風中落。」
2.掉下、降低。如：「落淚」、「落價」。唐．李商隱〈常娥〉詩：「雲母屏風燭影深，長河漸落曉星沉。」宋．蘇軾〈後赤壁賦〉：「山高月小，水落石出。」
3.陷入、掉入。晉．陶淵明〈歸園田居詩〉五首之一：「誤落塵網中，一去三十年。」《晉書．卷五四．陸雲傳》：「於水中顧見其影，因大笑落水，人救獲免。」
4.除去。唐．劉長卿〈戲贈干越尼子歌〉：「厭向春江空浣沙，龍宮落髮披袈裟。」《宋史．卷三〇四．劉師道傳》：「幾道既擢第，事泄，詔落其籍，永不預舉。」
5.掉在後面。唐．李白〈流夜郎贈辛判官〉詩：「氣岸遙凌豪士前，風流肯落他人後。」
6.衰敗。如：「衰落」、「家道中落」。清．蔣士銓〈鳴機夜課圖記〉：「越二載，生銓，家益落，歷困苦窮乏，人所不能堪者。」
7.停留。如：「落腳」、「話音未落」。唐．劉長卿〈入桂渚次砂牛石穴〉詩：「片帆落桂渚，獨夜依楓林。」
8.留下。如：「落款」、「不落痕跡」。
9.得到。《紅樓夢》第三四回：「伏侍一場，大家落個平安，也算是造化了。」
10.歸屬。如：「重擔落在誰身上？」唐．杜甫〈將適吳楚留別章使君〉詩：「不意青草湖，扁舟落吾手。」
[形]
1.掉下的、凋零的。如：「落英繽紛」。唐．白居易〈長恨歌〉：「西宮南苑多秋草，落葉滿階紅不掃。」
2.餘留的。《石點頭．卷四．瞿鳳奴情愆死蓋》：「我只當做個老丫頭，情愿以大作小，服事你終身。拾些殘頭落腳，量不占住你正扇差徭，一舉兩得，可好麼？」
3.稀疏、冷清的。如：「寥落」、「疏落」。《史記．卷一二〇．鄭當時傳》：「家貧，賓客益落。」
4.伶俐。如：「俐落」。
[名]
1.人所聚居的地方。如：「村落」、「部落」。唐．杜甫〈兵車行〉：「君不聞漢家山東二百州，千村萬落生荊杞。」
2.停留、停頓的地方。如：「下落」、「著落」。
3.量詞。計算成堆成疊物品的單位。如：「一落書」、「兩落碗」。
4.姓。如漢代有落閎。</t>
  </si>
  <si>
    <t>(二)ㄌㄠˋ lào（03282）(三)ㄌㄚˋ là（03179）</t>
  </si>
  <si>
    <t>雒</t>
  </si>
  <si>
    <t>[名]
1.河川名。即洛河。源出大陸地區陝西省雒南縣冢嶺山，流經河南省鞏縣注入黃河。
2.姓。如明代有雒僉。</t>
  </si>
  <si>
    <t>駱</t>
  </si>
  <si>
    <t>[名]
1.黑色鬃毛的白馬。《說文解字．馬部》：「駱，馬白色黑鬣尾也。」
2.姓。如唐代有駱賓王。</t>
  </si>
  <si>
    <t>馲</t>
  </si>
  <si>
    <t>[名]
馲駝：即駱駝。漢．揚雄《方言》卷七：「凡以驢馬馲駝載物者謂之負他。」</t>
  </si>
  <si>
    <t>(一)ㄓㄜˊ zhé（07660）</t>
  </si>
  <si>
    <t>[名]
漯河：城市名。位於大陸地區河南省。</t>
  </si>
  <si>
    <t>(一)ㄊㄚˋ tà（02446）</t>
  </si>
  <si>
    <t>犖</t>
  </si>
  <si>
    <t>[名]
1.毛色不純的牛。《說文解字．牛部》：「犖，駁牛也。」清．段玉裁．注：「馬色不純曰駁。」唐．陸龜蒙〈雜諷〉詩九首之二：「斯為朽關鍵，怒犖抉以入。」
2.斑斕的色彩。《文選．司馬相如．上林賦》：「赤瑕駁犖，雜臿其間。」晉．郭璞．注：「駁犖，采點。」
3.地名。春秋時宋地，約在今大陸地區河南省淮陽縣西北。
[形]
分明、顯著。《史記．卷二七．天官書》：「兵征大宛，星茀招搖，此其犖犖大者。」</t>
  </si>
  <si>
    <t>[名]
河川名。發源於今大陸地區山東省濟南市，東流為小青河，北流注入濟水。</t>
  </si>
  <si>
    <t>(二)ㄅㄛˊ bó（00114）(三)（(二)之又音）ㄆㄛˋ pò（00629）</t>
  </si>
  <si>
    <t>[動]
超絕、優越。《文選．孔融．荐禰衡表》：「淑質貞亮，英才卓躒。」唐．李善．注：「卓躒，絕異也。」</t>
  </si>
  <si>
    <t>(一)ㄌㄧˋ lì（03488）</t>
  </si>
  <si>
    <t>巒</t>
  </si>
  <si>
    <t>ㄌㄨㄢˊ</t>
  </si>
  <si>
    <t>luán</t>
  </si>
  <si>
    <t>[名]
1.尖銳的小山。《說文解字．山部》：「巒，山小而銳。」《楚辭．屈原．九章．悲回風》：「登石巒以遠望兮，路眇眇之默默。」宋．洪興祖．補注：「山少而銳曰巒。」
2.連綿不斷的山群。如：「層巒」。唐．杜牧〈過華清宮〉絕句三首之三：「雲中亂拍祿山舞，風過重巒下笑聲。」</t>
  </si>
  <si>
    <t>孌</t>
  </si>
  <si>
    <t>[形]
美好。《詩經．邶風．靜女》：「靜女其孌，貽我彤管。」</t>
  </si>
  <si>
    <t>(二)（又音）ㄌㄩㄢˇ lüǎn（03909）</t>
  </si>
  <si>
    <t>孿</t>
  </si>
  <si>
    <t>[名]
雙胞胎。《說文解字．子部》：「孿，一乳兩子也。」
[形]
雙生的。《戰國策．韓策三》：「夫孿子之相似者，唯其母知之而已。」</t>
  </si>
  <si>
    <t>(二)（又音）ㄌㄩㄢˊ lüán（03907）</t>
  </si>
  <si>
    <t>欒</t>
  </si>
  <si>
    <t>[名]
1.植物名。無患子科欒樹屬，「欒樹」之古稱。參見「欒樹」條。
2.建築物中置於柱子上用以承載橫梁重量的弓形曲木。漢．張衡〈西京賦〉：「跱遊極於浮柱，結重欒以相承。」三國吳．薛綜．注：「欒，柱上曲木，兩頭受櫨者。」
3.鐘口的兩角。《周禮．冬官．考工記》：「鳧氏為鍾，兩欒謂之銑。」唐．賈公彥．疏：「欒、銑一物，俱謂鍾兩角。古之樂器應律之鍾，狀如今之鈴，不圜，故有兩角也。」
4.姓。如漢代有欒布。
[形]
參見「團欒」條。</t>
  </si>
  <si>
    <t>羉</t>
  </si>
  <si>
    <t>[名]
捕捉野豬的網子。《後漢書．卷六〇上．馬融傳》：「罦罝羅羉，彌綸阮澤，皋牢陵山。」唐．章懷太子．注：「羉，彘網也。」</t>
  </si>
  <si>
    <t>臠</t>
  </si>
  <si>
    <t>[動]
把肉切割、分解成肉塊。《漢書．卷九九．王莽傳下》：「軍人分裂莽身，支節肌骨臠分，爭相殺者數十人。」
[形]
參見「臠臠」條。</t>
  </si>
  <si>
    <t>(二)（又音）ㄌㄩㄢˇ lüǎn（03910）</t>
  </si>
  <si>
    <t>灤</t>
  </si>
  <si>
    <t>參見「灤河」條。</t>
  </si>
  <si>
    <t>鑾</t>
  </si>
  <si>
    <t>[名]
1.繫在君王車駕上的鈴鐺。《說文解字．金部》：「鑾，人君乘車，四馬鑣，八鑾，鈴象鸞鳥之聲，聲龢則敬也。」《南齊書．卷三．武帝本紀》：「鳴青鑾於東郊，冕朱紘而蒞事。」
2.君王的車駕，亦借指君王。清．孔尚任《桃花扇》第一五齣：「江浦迎鑾，願領貔貅，扶新主持節復讎。」</t>
  </si>
  <si>
    <t>鸞</t>
  </si>
  <si>
    <t>[名]
1.傳說中的一種神鳥，似鳳凰。《說文解字．鳥部》：「鸞，赤神靈之精也。赤色，五采，雞形，鳴中五音，頌聲作則至。」《山海經．西山經》：「有鳥焉，其狀如翟而五采文，名曰鸞鳥，見則天下安寧。」
2.繫在馬上的鈴鐺。通「鑾」。《楚辭．屈原．離騷》：「揚雲霓之晻藹兮，鳴玉鸞之啾啾。」
3.姓。如戰國時趙國有鸞繳。</t>
  </si>
  <si>
    <t>卵</t>
  </si>
  <si>
    <t>ㄌㄨㄢˇ</t>
  </si>
  <si>
    <t>luǎn</t>
  </si>
  <si>
    <t>[名]_x000D_
1.卵生動物的蛋。如：「魚卵」、「蟻卵」、「殺雞取卵」。_x000D_
2.雌性生殖細胞的一種，負責與精子結合進行受精，常見於具有卵細胞的個體。如：「卵子」、「排卵」</t>
  </si>
  <si>
    <t>[動]
切割。同「臠」。《廣韻．上聲．獮韻》：「脟，割也。」</t>
  </si>
  <si>
    <t>(一)ㄌㄧㄝˋ liè（03511）</t>
  </si>
  <si>
    <t>亂</t>
  </si>
  <si>
    <t>ㄌㄨㄢˋ</t>
  </si>
  <si>
    <t>luàn</t>
  </si>
  <si>
    <t>[形]_x000D_
1.無條理秩序的。如：「亂兵」、「混亂」、「快刀斬亂麻」。_x000D_
2.煩雜、不安寧。如：「心緒煩亂」。南朝宋．鮑照〈採菱歌〉七首之三：「愁心不可盪，春思亂如麻。」_x000D_
3.動盪、不安定。如：「亂邦」。《詩經．周南．關雎．序》：「亂世之音，怨以怒，其政乖。」_x000D_
4.有秩序、能治理的。《書經．泰誓中》：「予有亂臣十人，同心同德。」_x000D_
[名]_x000D_
1.叛變、造反的行為。如：「平亂」。《史記．卷八七．李斯列傳》：「於是楚戍卒陳勝、吳廣等乃作亂。」_x000D_
2.古代樂曲的最後一章。《論語．泰伯》：「師摯之始，關雎之亂，洋洋乎盈耳哉！」_x000D_
[動]_x000D_
1.混淆。如：「以假亂真」。《後漢書．卷一一．劉玄劉盆子列傳．劉盆子》：「恐其眾與莽兵亂，乃皆朱其眉以相識別。」_x000D_
2.破壞、改變。如：「搗亂」。《論語．衛靈公》：「小不忍則亂大謀。」唐．韓愈〈張中丞傳後敘〉：「巡就戮時，顏色不亂，陽陽如常。」_x000D_
3.發生不正常的性關係。如：「淫亂」。《史記．卷一一〇．匈奴列傳》：「義渠戎王與宣太后亂，有二子。」_x000D_
[副]_x000D_
1.任意、隨便。如：「亂來」、「亂跑」、「亂說話」。_x000D_
2.很、非常。如：「亂沒原則」、「亂有意思的」。</t>
  </si>
  <si>
    <t>掄</t>
  </si>
  <si>
    <t>ㄌㄨㄣ</t>
  </si>
  <si>
    <t>lūn</t>
  </si>
  <si>
    <t>[動]
揮動、旋動。如：「掄刀」、「掄拳」。《兒女英雄傳》第十六回：「鄧九公聽了，掄起大巴掌來，把桌子拍的山響。」</t>
  </si>
  <si>
    <t>(一)ㄌㄨㄣˊ lún（03844）</t>
  </si>
  <si>
    <t>侖</t>
  </si>
  <si>
    <t>ㄌㄨㄣˊ</t>
  </si>
  <si>
    <t>lún</t>
  </si>
  <si>
    <t>[名]
條理。</t>
  </si>
  <si>
    <t>倫</t>
  </si>
  <si>
    <t>[名]
1.常理，人與人之間的正常關係。《說文解字．人部》：「倫，道也。」如：「五倫」、「天倫之樂」。《孟子．滕文公上》：「人倫明於上，小民親於下。」
2.條理、順序。如：「語無倫次」。《書經．舜典》：「八音克諧，無相奪倫。」
3.輩、類。《文選．賈誼．過秦論》：「吳起、孫臏、帶佗、兒良、王廖、田忌、廉頗、趙奢之倫制其兵。」
4.姓。如唐代有倫元慶。
[動]
比較、匹敵。唐．陳子昂〈堂弟孜墓志銘〉：「實為時輩所高，而莫敢與倫也。」</t>
  </si>
  <si>
    <t>淪</t>
  </si>
  <si>
    <t>[名]
水面上的小波紋。《說文解字．水部》：「淪，小波為淪。」唐．韓愈〈送惠師〉詩：「崔崒沒雲表，陂陀浸湖淪。」
[動]
1.沉沒、隱沒。如：「沉淪」。《史記．卷一二．孝武本紀》：「周德衰，宋之社亡，鼎乃淪伏而不見。」
2.陷入、流落。如：「淪陷」、「淪落」。《淮南子．精神》：「淪於不測，入於無閒，以不同形相嬗也。」《文選．江淹．雜體詩．左記室》：「韓公淪賣藥，梅生隱市門。」
3.滅亡、喪失。如：「淪亡」、「淪喪」。唐．白居易〈贈樊著作〉詩：「每惜若人輩，身死名亦淪。」</t>
  </si>
  <si>
    <t>[動]
選擇。《說文解字．手部》：「掄，擇也。」《國語．晉語八》：「君掄賢人之後，有常位於國者而立之。」</t>
  </si>
  <si>
    <t>(二)ㄌㄨㄣ lūn（03840）</t>
  </si>
  <si>
    <t>崙</t>
  </si>
  <si>
    <t>參見「崑崙」條。</t>
  </si>
  <si>
    <t>圇</t>
  </si>
  <si>
    <t>參見「囫圇」條。</t>
  </si>
  <si>
    <t>㷍</t>
  </si>
  <si>
    <t>[名]
有機化合物「苯」的舊稱。</t>
  </si>
  <si>
    <t>綸</t>
  </si>
  <si>
    <t>[名]
1.青色的絲帶。《說文解字．糸部》：「綸，糾青絲綬也。」《後漢書．卷四九．仲長統傳》：「身無半通青綸之命，而竊三辰龍章之服。」
2.釣魚用的絲線。戰國楚．宋玉〈釣賦〉：「所謂善釣者，其竿非竹，其綸非絲。」南朝陳．陰鏗〈江津送劉光祿不及〉詩：「林寒正下葉，釣晚欲收綸。」
3.皇帝的旨意。唐．王勃〈春思賦〉：「朝昇玉署調天紀，夕憩金閨奉帝綸。」
4.姓。如三國時魏國有綸直。</t>
  </si>
  <si>
    <t>(二)ㄍㄨㄢ guān（04312）</t>
  </si>
  <si>
    <t>論</t>
  </si>
  <si>
    <t>[名]
1.《論語》的簡稱。如：「論孟導讀」。
2.姓。如唐代有論惟明。</t>
  </si>
  <si>
    <t>(一)ㄌㄨㄣˋ lùn（03851）</t>
  </si>
  <si>
    <t>輪</t>
  </si>
  <si>
    <t>[名]_x000D_
1.裝在車、船或機器上可供旋轉運作的圓形物體。如：「車輪」、「齒輪」、「滑輪」、「滾輪」。_x000D_
2.輪船的簡稱。如：「渡輪」、「客輪」、「貨輪」、「油輪」。_x000D_
3.周圍、邊緣。如：「耳輪」、「輪廓」。《南史．卷四六．列傳．曹武》：「晚節在雍州，致見錢七千萬，皆厚輪大郭。」_x000D_
4.電影排演的次序。如：「首輪電影」。_x000D_
5.量詞：(1)計算時間的單位。十二年為一輪。如：「他倆的年紀差了一輪。」(2)計算圓形物體的單位，如日、月。《封神演義》第六三回：「門依雙輪日月，照耀一望山川。」《儒林外史》第四一回：「過了一回，回頭看，見一輪明月升上來，照得滿船雪亮。」_x000D_
6.姓。如春秋時齊國有輪扁。_x000D_
[動]_x000D_
依次更替轉換。如：「輪班」。《紅樓夢》第七七回：「這會子輪到自己用，反倒各處求人去了。」_x000D_
[形]_x000D_
高大。如：「美輪美奐」。</t>
  </si>
  <si>
    <t>ㄌㄨㄣˋ</t>
  </si>
  <si>
    <t>lùn</t>
  </si>
  <si>
    <t>[動]_x000D_
1.分析、研議。如：「談論」、「議論」、「討論」。三國蜀．諸葛亮〈出師表〉：「先帝在時，每與臣論此事，未嘗不歎息痛恨於桓靈也。」_x000D_
2.評定、推斷。如：「論罪」、「以小論大」。《史記．卷七．項羽本紀》：「宋義論武信君之軍必敗，居數日，軍果敗。」_x000D_
3.敘述、陳述。如：「一概而論」、「相提並論」。《淮南子．脩務》：「書傳之微者，唯聖人能論之。」_x000D_
4.依據、按照。如：「論理」、「論件計酬」。《史記．卷五三．蕭相國世家》：「漢五年，既殺項羽定天下，論功行封。」_x000D_
5.比作、視同、處理。如：「以棄權論」、「以作廢論」、「告訴乃論」。_x000D_
6.顧及、考慮。如：「不論是非」、「無論如何」。唐．李賀〈公莫舞歌〉：「漢王今日頒秦印，絕臏刳腸臣不論。」_x000D_
[名]_x000D_
1.主張、學說。如：「相對論」。宋．沈括《夢溪筆談．卷二六．藥議》：「世俗似此之論甚多，皆謬說。」_x000D_
2.文體名。主要以對人或事的議論為內容。南朝梁．劉勰《文心雕龍．論說》：「論也者，彌綸群言，而精研一理者也。」</t>
  </si>
  <si>
    <t>(二)ㄌㄨㄣˊ lún（03849）</t>
  </si>
  <si>
    <t>隆</t>
  </si>
  <si>
    <t>ㄌㄨㄥˊ</t>
  </si>
  <si>
    <t>lóng</t>
  </si>
  <si>
    <t>[形]
1.豐富、盛大。如：「隆重」。《淮南子．繆稱》：「趙宣孟以束脯免其軀，禮不隆而德有餘。」
2.深厚。如：「隆冬」、「隆恩」、「隆情厚誼」。
3.興起、興盛。如：「興隆」、「隆盛」。
4.高起的。如：「隆起」。《史記．卷八．高祖本紀》：「高祖為人，隆準而龍顏，美須髯。」
[動]
1.增高。如：「隆鼻」。《戰國策．齊策一》：「雖隆薛之城到於天，猶之無益也。」
2.崇尚、尊崇。《荀子．勸學》：「學之經莫速乎好其人，隆禮次之。」宋．王之道〈漁家傲．老老恩波今及老〉詞：「隆孝道，慕踰五十前王少。」
[擬]
形容雷聲或爆炸聲。如：「只聽到轟隆一聲巨響，整排房子夷為平地。」漢．王充《論衡．雷虛》：「隆隆之聲，天怒之音，若人之呴吁矣！」</t>
  </si>
  <si>
    <t>癃</t>
  </si>
  <si>
    <t>[名]
小便不通暢的症狀。《黃帝內經素問．卷七．宣明五氣篇》：「膀胱不利為癃。」
[形]
彎腰駝背、老態龍鍾的樣子。《晏子春秋．內篇．問下》：「公所見癃老者七十人。」</t>
  </si>
  <si>
    <t>窿</t>
  </si>
  <si>
    <t>參見「窟窿」條。</t>
  </si>
  <si>
    <t>龍</t>
  </si>
  <si>
    <t xml:space="preserve">龍 </t>
  </si>
  <si>
    <t>[名]
1.傳說中一種極具靈性的動物。頭生角、鬚，身長，有鱗、爪。《說文解字．龍部》：「龍，鱗蟲之長，能幽能明，能細能巨，能短能長，春分而登天，秋分而潛淵。」
2.古代帝王的象徵。漢．王充《論衡．紀妖》：「祖龍死，謂始皇也。祖，人之本；龍，人君之象也。」
3.比喻首領或豪傑才俊。如：「人中之龍」。《史記．卷六三．老子韓非傳》：「吾今日見老子，其猶龍邪！」
4.古生物學上指有腳、尾的巨大爬蟲類。如：「恐龍」、「雷龍」、「暴龍」、「翼手龍」。
5.像龍形的長條物。如：「水龍」、「車水馬龍」。
6.人造化學纖維紡織品的簡稱。如：「尼龍」、「達克龍」。
7.姓。如秦代有龍且。
8.二一四部首之一。
[形]
皇帝的。如：「龍床」、「龍袍」、「龍顏」、「龍心大悅」。</t>
  </si>
  <si>
    <t>瀧</t>
  </si>
  <si>
    <t>[形]
1.下雨的樣子。《說文解字．水部》：「瀧，雨瀧瀧貌。」清．段玉裁．注：「瀧瀧，雨滴貌也。」
2.湍急。唐．賈島〈寄韓潮州愈〉詩：「隔嶺篇章來華岳，出關書信過瀧流。」
[名]
湍急的水流。如：「奔瀧」、「飛瀧」。
[動]
浸漬、浸溼。漢．王充《論衡．自紀》：「筆瀧漉而雨集，言溶㵠而泉出。」</t>
  </si>
  <si>
    <t>(二)ㄕㄨㄤ shuāng（09171）</t>
  </si>
  <si>
    <t>嚨</t>
  </si>
  <si>
    <t>參見「喉嚨」條。</t>
  </si>
  <si>
    <t>巃</t>
  </si>
  <si>
    <t>參見「巃嵷」條。</t>
  </si>
  <si>
    <t>瓏</t>
  </si>
  <si>
    <t>參見「瓏玲」、「瓏瓏」等條。</t>
  </si>
  <si>
    <t>櫳</t>
  </si>
  <si>
    <t>[名]
1.畜養禽獸的籠子。《廣韻．平聲．東韻》：「櫳，檻也，養獸所也。」
2.窗戶、窗牖。《文選．謝惠連．七月七日夜詠牛女詩》：「落日隱檐楹，升月照簾櫳。」
3.房舍。唐．韋莊〈荷葉杯．絕代佳人難得〉詞：「碧天無路信難通，惆悵舊房櫳。」</t>
  </si>
  <si>
    <t>蘢</t>
  </si>
  <si>
    <t>[名]
植物名。蓼科蓼屬，一年生草本。莖高六十至七十公分。葉互生，呈披針形或長橢圓形。夏秋之間開紅紫色或白色的花。也稱為「馬蓼」。</t>
  </si>
  <si>
    <t>曨</t>
  </si>
  <si>
    <t>參見「曨曨」、「曚曨」等條。</t>
  </si>
  <si>
    <t>朧</t>
  </si>
  <si>
    <t>參見「朧明」、「朦朧」等條。</t>
  </si>
  <si>
    <t>礱</t>
  </si>
  <si>
    <t>[名]
一種用來磨去穀殼的器具。形狀似磨，具有齒痕，多以木料製成。
[動]
1.磨。《荀子．性惡》：「鈍金必將待礱厲然後利。」宋．陸游〈夜投山家〉詩四首之四：「房櫳深深績火明，垣屋蕭蕭礱穀聲。」
2.切磋、砥礪。唐．韓愈、孟郊〈納涼聯句〉：「殷勤相勸勉，左右加礱斲。」</t>
  </si>
  <si>
    <t>矓</t>
  </si>
  <si>
    <t>參見「矇矓」條。</t>
  </si>
  <si>
    <t>聾</t>
  </si>
  <si>
    <t>[名]
聽覺遲鈍或無法聽到聲音的症狀。《說文解字．耳部》：「聾，無聞也。」《左傳．僖公二十四年》：「耳不聽五聲之和為聾。」
[形]
1.聽覺遲鈍或聽不到聲音。如：「耳聾」。《宋書．卷五三．庾登之傳》：「不痴不聾，不為姑公。」
2.昏昧不明。《左傳．宣公十四年》：「鄭昭、宋聾，晉使不害，我則必死。」晉．杜預．注：「聾，闇也。」</t>
  </si>
  <si>
    <t>籠</t>
  </si>
  <si>
    <t>[名]
1.用來盛裝或覆蓋東西的竹編器具。如：「茶籠」、「蒸籠」、「燈籠」。
2.關住鳥獸或拘禁人犯的器物。如：「鳥籠」、「兔籠」、「牢籠」、「囚籠」、「鴿子籠」。
[動]
1.包羅、囊括。《史記．卷三〇．平準書》：「大農之諸官盡籠天下之貨物，貴即賣之，賤則買之。」
2.遮住、覆蓋。如：「籠罩」。唐．杜牧〈泊秦淮〉詩：「煙籠寒水月籠沙，夜泊秦淮近酒家。」
3.以權術駕馭人。《列子．黃帝》：「聖人以智籠群愚，亦猶狙公之以智籠眾狙也。」</t>
  </si>
  <si>
    <t>(二)ㄌㄨㄥˇ lǒng（03872）</t>
  </si>
  <si>
    <t>儱</t>
  </si>
  <si>
    <t>ㄌㄨㄥˇ</t>
  </si>
  <si>
    <t>lǒng</t>
  </si>
  <si>
    <t>參見「儱侗」條。</t>
  </si>
  <si>
    <t>壟</t>
  </si>
  <si>
    <t>[名]
1.墳墓。《戰國策．齊策四》：「昔者秦攻齊，令曰：『有敢去柳下季壟五十步而樵采者，死不赦。』」《禮記．曲禮上》：「適墓不登壟，助葬必執紼。」漢．鄭玄．注：「壟，冢也。」
2.田埂、田界。《史記．卷四八．陳涉世家》：「輟耕之壟上，悵恨久之。」
3.田中種植作物的條形土堆。如：「寬壟密植」。唐．王建〈雉將雛〉詩：「麥壟淺淺難蔽身，遠去戀雛低怕人。」</t>
  </si>
  <si>
    <t>攏</t>
  </si>
  <si>
    <t>[動]
1.聚集、靠近。如：「圍攏」、「靠攏」、「拉攏」、「他笑得嘴都合不攏了。」
2.整理、梳理。唐．韓偓〈信筆〉詩：「睡髻休頻攏，春眉忍更長。」
3.一種弦樂器彈奏指法。用手將弦撫按住。唐．白居易〈琵琶行〉：「輕攏慢撚抹復挑，初為霓裳後六么。」</t>
  </si>
  <si>
    <t>隴</t>
  </si>
  <si>
    <t>[名]
1.田埂、田間高地。通「壟」。《史記．卷七．項羽本紀．太史公曰》：「羽非有尺寸乘埶，起隴畝之中，三年，遂將五諸侯滅秦。」唐．白居易〈觀刈麥〉詩：「夜來南風起，小麥覆隴黃。」
2.大陸地區甘肅省的簡稱。</t>
  </si>
  <si>
    <t>[名]
舊稱淺底的竹器為「箱」，深而有蓋的為「籠」。如：「藥籠」。
[動]
(一)[動]之又音。</t>
  </si>
  <si>
    <t>(一)ㄌㄨㄥˊ lóng（03867）</t>
  </si>
  <si>
    <t>ㄌㄨㄥˋ</t>
  </si>
  <si>
    <t>lòng</t>
  </si>
  <si>
    <t>[名]
小巷。如：「巷弄」。《南史．卷五．齊廢帝鬱林王本紀》：「出西弄，遇弒。」</t>
  </si>
  <si>
    <t>(一)（語音）ㄋㄨㄥˋ nòng（03158）</t>
  </si>
  <si>
    <t>閭</t>
  </si>
  <si>
    <t>ㄌㄩˊ</t>
  </si>
  <si>
    <t>lǘ</t>
  </si>
  <si>
    <t>[名]
1.里巷的門。《周禮．地官．鄉大夫》：「國有大故，則令民各守其閭，以待政令。」
2.泛指門。如：「倚閭而望」。《荀子．大略》：「慶者在堂，弔者在閭。」唐．楊倞．注：「閭，門也。」
3.泛指鄉里。《新唐書．卷一九七．循吏傳．薛元賞傳》：「都市多俠少年，以黛墨鑱膚，夸詭力，剽奪坊閭。」
4.姓。如漢代有閭譚。</t>
  </si>
  <si>
    <t>櫚</t>
  </si>
  <si>
    <t>參見「棕櫚」條。</t>
  </si>
  <si>
    <t>氀</t>
  </si>
  <si>
    <t>[名]
毛織的氈類。《後漢書．卷九〇．烏桓鮮卑傳．烏桓傳》：「婦人能刺韋作文繡，織氀毼。」</t>
  </si>
  <si>
    <t>參見「痀瘻」條。</t>
  </si>
  <si>
    <t>(一)ㄌㄡˋ lòu（03311）</t>
  </si>
  <si>
    <t>貗</t>
  </si>
  <si>
    <t>(一)ㄐㄩˋ jù（06067）</t>
  </si>
  <si>
    <t>驢</t>
  </si>
  <si>
    <t>[名]
動物名。哺乳綱奇蹄目馬科。似馬而小，耳頰較馬長，短鬣，毛多為灰褐色，尾部像牛尾。性溫馴，能負物及供坐騎。俗稱為「驢子」。
[形]
笨拙、土氣、愚蠢。如：「瞧他那副驢樣子，真好笑！」</t>
  </si>
  <si>
    <t>呂</t>
  </si>
  <si>
    <t>ㄌㄩˇ</t>
  </si>
  <si>
    <t>lǚ</t>
  </si>
  <si>
    <t>[名]
1.脊椎骨。同「膂」。《說文解字．呂部》：「呂，脊骨也。」
2.參見「律呂」條。
3.姓。如春秋時秦國有呂不韋，宋代有呂惠卿。</t>
  </si>
  <si>
    <t>侶</t>
  </si>
  <si>
    <t>[名]
同伴。如：「伴侶」、「情侶」。《文選．王襃．四子講德論》：「於是相與結侶，攜手俱游。」
[動]
結為同伴。宋．蘇軾〈赤壁賦〉：「況吾與子漁樵於江渚之上，侶魚蝦而友麋鹿。」</t>
  </si>
  <si>
    <t>郘</t>
  </si>
  <si>
    <t>[名]
古代的亭子名稱。《玉篇．邑部》：「郘，鄨縣亭名。」</t>
  </si>
  <si>
    <t>梠</t>
  </si>
  <si>
    <t>[名]
安裝在屋檐上的橫木，用以聯接屋椽，使之齊平。通「楣」。宋．王安石〈後元豐行〉：「水秧綿綿復多稌，龍骨長乾掛梁梠。」</t>
  </si>
  <si>
    <t>鋁</t>
  </si>
  <si>
    <t>[名]
（aluminium，Al）化學元素。原子序13。金屬元素之一。其色銀白，質輕不鏽，富延展性，傳熱及導電性極佳。可加工製成電線、鋁箔、日常用器皿等，鋁合金可作為飛機、汽車、船舶等的結構材料，用途廣泛。</t>
  </si>
  <si>
    <t>旅</t>
  </si>
  <si>
    <t>[名]
1.軍隊的編制單位。現代陸軍編制為師轄旅，旅轄營，亦有直屬軍團的獨立旅。
2.軍隊。如：「軍旅」、「勁旅」。《書經．大禹謨》：「班師振旅。」《詩經．大雅．皇矣》：「斯怒，爰整其旅。」
3.商賈。《禮記．月令》：「易關市，來商旅。」漢．鄭玄．注：「商旅，賈客也。」
4.《易經》卦名。六十四卦之一。艮（☶）下離（☲）上，表羈旅之意。
5.姓。如漢代有旅卿。
[動]
客居、寄居。如：「旅居」。《左傳．莊公二十二年》：「羈旅之臣，幸若獲宥。」
[形]
1.客居外地的。如：「旅情」、「旅夜」。《文選．謝朓．之宣城出新林浦向版橋詩》：「旅思倦搖搖，孤遊昔已屢。」
2.供旅客所居的。如：「旅店」、「旅舍」。南朝宋．謝靈運〈遊南亭詩〉：「久痗昏墊苦，旅館眺郊歧。」</t>
  </si>
  <si>
    <t>膂</t>
  </si>
  <si>
    <t>[名]
1.脊椎骨。《說文解字．呂部》：「呂，脊骨也。膂，篆文呂。」明．方孝孺〈指喻〉：「近拇之指，皆為之痛，若剟刺狀，肢體心膂無不病者。」
2.比喻重要的地位。《書經．君牙》：「今命爾予翼，作股肱心膂。」晉．庾亮〈讓中書監表〉：「而使內處心膂，外總兵權，以此求治，未之聞也。」
3.比喻居中的地點。晉．常璩《華陽國志．卷一〇中．犍為士女》：「孝子隗通為母汲江膂水。」</t>
  </si>
  <si>
    <t>[動]
1.採取。《詩經．周南．芣苢》：「采采芣苢，薄言捋之。」
2.用手指順著抹過去，使物體平順、光溜。如：「捋鬍鬚」。《樂府詩集．卷二八．相和歌辭三．無名氏．陌上桑》：「行者見羅敷，下擔捋髭鬚。」
3.拿取。《聊齋志異．卷二．巧娘》：「婦欲捋衣視生，一振衣，書落榻上。」</t>
  </si>
  <si>
    <t>(一)ㄌㄜˋ lè（03195）(三)ㄌㄨㄛ luō（03786）</t>
  </si>
  <si>
    <t>[副]
多次、屢次。《說文解字．女部》「婁」字清．段玉裁．注：「婁，婁之義又為數也。此正如窗牖、麗廔之多孔也，而轉其音為力住切。俗乃加尸旁為屢字。古有婁無屢也。」《漢書．卷六四上．嚴朱吾丘主父徐嚴終王賈傳．嚴助》：「朝廷多事，婁舉賢良文學之士。」</t>
  </si>
  <si>
    <t>(一)ㄌㄡˊ lóu（03289）</t>
  </si>
  <si>
    <t>[名]
姓。《集韻．上聲．噳韻》：「慺，姓也。」</t>
  </si>
  <si>
    <t>(一)ㄌㄡˊ lóu（03293）</t>
  </si>
  <si>
    <t>屢</t>
  </si>
  <si>
    <t>[副]
每每、經常、數次。如：「屢試不爽」、「屢見不鮮」。《詩經．小雅．正月》：「屢顧爾僕，不輸爾載。」宋．陸游．〈送范舍人還朝〉詩：「酒醒客散獨悽然，枕上屢揮憂國淚。」</t>
  </si>
  <si>
    <t>褸</t>
  </si>
  <si>
    <t>[名]
衣襟。漢．揚雄《方言》卷四：「褸謂之衽。」晉．郭璞．注：「衣襟也。或曰裳際也。」
[形]
衣服破敝。《玉篇．衣部》：「褸，衣壞也。」如：「衣衫襤褸」。</t>
  </si>
  <si>
    <t>縷</t>
  </si>
  <si>
    <t>[名]
1.線、麻線。《說文解字．糸部》：「縷，線也。」《孟子．滕文公上》：「麻縷絲絮輕重同，則賈相若。」宋．蘇軾〈赤壁賦〉：「餘音嫋嫋，不絕如縷。」
2.量詞。計算纖細條狀物的單位。如：「一縷頭髮」、「一縷炊煙」。《紅樓夢》第一八回：「軟襯三春草，柔拖一縷香。」
[動]
刺繡。唐．白居易〈繡觀音菩薩讚．序〉：「紉針縷綵，絡金綴珠。」《水滸傳》第九六回：「星冠攢玉，鶴氅縷金。」
[副]
詳細的。如：「縷析」、「縷述」。《文選．枚乘．七發》：「雖有心略辭給，固未能縷形其所由然也。」</t>
  </si>
  <si>
    <t>履</t>
  </si>
  <si>
    <t>[名]
1.鞋子。如：「草履」、「削足適履」。《莊子．讓王》：「原憲華冠縰履，杖藜而應門。」
2.腳步。如：「步履」。《聊齋志異．卷一．畫壁》：「回顧，則垂髫兒，囅然竟去，履即從之。」
3.個人的行為操守。《晉書．卷六七．溫嶠等傳．史臣曰》：「太真性履純深，譽流邦族。」
4.領土。《左傳．僖公四年》：「賜我先君履，東至于海，西至于河。」晉．杜預．注：「履，所踐履之界。」
5.《易經》卦名。六十四卦之一。兌（☱）下乾（☰）上。表行履的禮儀之意。
6.姓。如春秋時晉國有履鞮。
[動]
1.踐踏、踩。《詩經．小雅．小旻》：「如臨深淵，如履薄冰。」宋．蘇軾〈後赤壁賦〉：予乃攝衣而上，履巉巖，披蒙茸。」
2.實行。如：「履行」、「履約」。《禮記．表記》：「處其位而不履其事，則亂也。」
3.經歷。《後漢書．卷五九．張衡傳》：「親履艱難者知下情，備經險易者達物偽。」《南史．卷七五．隱逸傳上．宗少文傳》：「凡所游履，皆圖之于室。」
4.居、處。《莊子．天道》：「而愚知處宜，貴踐履位。」漢．劉向《新序．卷四．雜事》：「夫執國之柄，履民之上。」</t>
  </si>
  <si>
    <t>律</t>
  </si>
  <si>
    <t>ㄌㄩˋ</t>
  </si>
  <si>
    <t>lǜ</t>
  </si>
  <si>
    <t>[名]
1.法令、法則。如：「法律」。《易經．師卦．初六》：「師出以律，否臧凶。」南朝梁．劉勰《文心雕龍．議對》：「田穀先曉於農，斷訟務精於律。」
2.格式、規則。如：「定律」、「格律」。《淮南子．覽冥》：「以治日月之行律，治陰陽之氣。」唐．杜甫〈遣悶戲呈路十九曹長〉詩：「晚節漸於詩律細，誰家數去酒杯寬。」
3.中國古代音樂十二律中的陽律。如：「律呂」。
4.節奏。如：「旋律」、「音律」、「韻律」。
5.律詩的簡稱。如：「五律」、「七律」。
6.姓。如漢代有律子公。
[動]
1.約束。如：「嚴以律己，寬以待人。」《韓非子．難四》：「五伯兼并，而以桓律人，則是皆無貞廉也。」《金史卷一一〇．楊雲翼傳》：「自律甚嚴，其待人則寬。」
2.效法、遵守。《禮記．中庸》：「上律天時，下襲水土。」唐．劉禹錫〈和李六侍御文宣王廟釋奠作〉詩：「有心律天道，無位救陵夷。」
[形]
山勢高大險峻。參見「律律」條。</t>
  </si>
  <si>
    <t>嵂</t>
  </si>
  <si>
    <t>參見「嵂崒」條。</t>
  </si>
  <si>
    <t>率</t>
  </si>
  <si>
    <t>[名]
1.比例中相比的數。如：「效率」、「速率」、「百分率」。
2.準則、法度。《南史．卷五九．列傳．王僧孺》：「竟陵王子良嘗夜集學士，刻燭為詩，四韻者則刻一寸，以此為率。」
[動]
計算。晉．江統〈徙戎論〉：「且關中之人，百餘萬口，率其少多，戎狄居半，處之與遷，必須口實。」</t>
  </si>
  <si>
    <t>(一)ㄕㄨㄞˋ shuài（09138）(二)ㄕㄨㄛˋ shuò（09124）</t>
  </si>
  <si>
    <t>[名]
植物名。禾本科屬。「藎草」之古稱，參見「藎草」條。</t>
  </si>
  <si>
    <t>(二)（讀音）ㄌㄨˋ lù（03753）</t>
  </si>
  <si>
    <t>[名]
（chlorine，Cl）化學元素。原子序17。非金屬鹵族元素之一。氯氣為黃綠色腐蝕性氣體，比空氣重，有毒，具臭味。可供漂白、消毒等用途。</t>
  </si>
  <si>
    <t>(二)（又音）ㄌㄨˋ lù（03754）</t>
  </si>
  <si>
    <t>[名]
一種像青草、樹葉的顏色，可用藍色和黃色顏料混合而成。《說文解字．糸部》：「綠，帛青黃色也。」宋．楊萬里〈江水〉詩：「水色本正白，積深自成綠。」
[形]
1.綠色的。如：「綠苔」、「紅花綠葉」、「綠意盎然」。
2.形容因生氣、著急或驚嚇時的臉部表情。如：「看到這麼多學生不及格，老師氣得臉都綠了。」
[動]
變成綠色。唐．王維〈送別〉詩：「春草年年綠，王孫歸不歸？」宋．蔣捷〈一翦梅．一片春愁待酒澆〉詞：「紅了櫻桃，綠了芭蕉。」</t>
  </si>
  <si>
    <t>(二)（讀音）ㄌㄨˋ lù（03760）</t>
  </si>
  <si>
    <t>慮</t>
  </si>
  <si>
    <t>[名]
1.謀思、打算。《論語．衛靈公》：「人無遠慮，必有近憂。」
2.心思、意念。《孟子．告子下》：「困於心，衡於慮，而後作。」《楚辭．屈原．卜居》：「心煩慮亂，不知所從。」
3.姓。如春秋時有慮癸。
[動]
1.思考、謀算。如：「考慮」。《詩經．小雅．雨無正》：「旻天疾威，弗慮弗圖。」漢．鄭玄．注：「慮、圖，皆謀也。」《漢書．卷六〇．杜周傳》：「微詣大將軍莫府，國家政謀，鳳常與欽慮之。」
2.擔憂、憂愁。如：「顧慮」、「憂慮」。《漢書．卷二九．溝洫志》：「浩浩洋洋，慮殫為河。」唐．顏師古．注：「慮，猶恐也。」三國蜀．諸葛亮〈聞孫權破曹休魏兵東下關中虛弱上言〉：「先王慮漢賊不兩立，王業不偏安，故託臣以討賊也。」
3.審察。《聊齋志異．卷七．冤獄》：「令方慮囚，忽一人直上公堂，怒目視令而大罵。」</t>
  </si>
  <si>
    <t>濾</t>
  </si>
  <si>
    <t>[動]
去除雜質使之更純淨。如：「過濾」。唐．白居易〈送文暢上人東遊〉詩：「山宿馴溪虎，江行濾水蟲。」</t>
  </si>
  <si>
    <t>鑢</t>
  </si>
  <si>
    <t>[動]_x000D_
1.磨治。《說文解字．金部》：「鑢，厝銅鐵也。」清．段玉裁．注：「厲銅鐵謂之鑢。」宋．王讜《唐語林．卷五．補遺》：「紹夔食訖，出懷中錯鑢磬數處，其聲遂絕。」_x000D_
2.反省。漢．揚雄《太玄經．卷四．大》：「次二，大其慮，躬自鑢。」晉．范望．注：「鑢以治邪，躬身也，自治其身。」_x000D_
[名]_x000D_
1.磋治骨角鋼鐵的器具。《禮記．大學》：「如切如磋，如琢如磨。」宋．朱熹．章句：「磋以鑢鍚，磨以沙石，皆治物使其滑澤也。」_x000D_
2.姓。如春秋時楚國有鑢金。</t>
  </si>
  <si>
    <t>參見「鬱壘」條。</t>
  </si>
  <si>
    <t>(一)ㄌㄟˇ lěi（03244）</t>
  </si>
  <si>
    <t>掠</t>
  </si>
  <si>
    <t>ㄌㄩㄝˋ</t>
  </si>
  <si>
    <t>lüè</t>
  </si>
  <si>
    <t>[動]
1.奪取、搶劫。《左傳．昭公二十年》：「斬刈民力，輸掠其聚。」晉．杜預．注：「掠，奪取也。」
2.輕拂、輕拭而過。唐．吳融〈燕雛〉詩：「掠水身猶重，偎風力尚微。」宋．蘇軾〈後赤壁賦〉：「有孤鶴橫江東來，……戛然長鳴，掠予舟而西也。」
[名]
書法的長撇稱為「掠」。唐．柳宗元〈永字八法頌〉：「掠，左出而鋒輕。」</t>
  </si>
  <si>
    <t>略</t>
  </si>
  <si>
    <t>[名]
1.計謀、計劃。如：「謀略」、「方略」、「戰略」、「策略」。
2.概要、重點。如：「要略」、「史略」。《孟子．滕文公上》：「此其大略也。」
3.姓。如三國時吳國有略統。
[動]
1.經營、治理。《左傳．昭公七年》：「天子經略，諸侯正封，古之制也。」
2.奪取、攻占。《淮南子．兵略》：「攻城略地，莫不降下。」
3.省去、簡化。如：「省略」、「忽略」。南朝梁．蕭統〈文選序〉：「老莊之作，管孟之流，蓋以立意為宗，不以能文為本，今之所撰，又以略諸。」
[形]
簡要的。如：「略表」、「略圖」。《荀子．非相》：「傳者久則論略，近則論詳。」
[副]
大致、稍微。如：「約略估計」、「略有所聞」、「略知一二」。《文選．司馬遷．報任少卿書》：「書不能悉意，略陳固陋。」</t>
  </si>
  <si>
    <t>鋝</t>
  </si>
  <si>
    <t>[名]
量詞。古代計算重量的單位。約合六兩。《說文解字．金部》：「鋝，十一銖二十五分銖之十三也。《周禮》曰：『重三鋝。』北方以二十兩為鋝。」</t>
  </si>
  <si>
    <t>ㄌㄩㄢˊ</t>
  </si>
  <si>
    <t>lüán</t>
  </si>
  <si>
    <t>(一)ㄌㄨㄢˊ luán（03830）</t>
  </si>
  <si>
    <t>[動]
1.牽繫、連繫。《說文解字．手部》：「攣，係也。」《易經．中孚．九五》：「有孚攣如，無咎。」唐．孔穎達．正義：「攣如者，相牽繫不絕之名也。」明．陸采《懷香記》第四〇齣：「赤繩早攣雙踵，並締茲蘿。」或讀為ㄌㄨㄢˊ luán。
2.手、足因抽搐而彎曲不能伸直。《集韻．去聲．線韻》：「攣，手足曲病。」如：「痙攣」。《三國志．卷二．魏書．文帝紀》「冬十月，授楊彪光祿大夫」句下裴松之注引《續漢書》曰：「彪見漢祚將終，自以累世為三公，恥為魏臣，遂稱足攣，不復行。」或讀為ㄌㄨㄢˊ luán。</t>
  </si>
  <si>
    <t>(二)（又音）ㄌㄧㄢˋ liàn（03622）</t>
  </si>
  <si>
    <t>ㄌㄩㄢˇ</t>
  </si>
  <si>
    <t>lüǎn</t>
  </si>
  <si>
    <t>(一)ㄌㄨㄢˊ luán（03829）</t>
  </si>
  <si>
    <t>(一)ㄌㄨㄢˊ luán（03833）</t>
  </si>
  <si>
    <t>旮</t>
  </si>
  <si>
    <t>ㄍㄚ</t>
  </si>
  <si>
    <t>gā</t>
  </si>
  <si>
    <t>釓</t>
  </si>
  <si>
    <t>ㄍㄚˊ</t>
  </si>
  <si>
    <t>gá</t>
  </si>
  <si>
    <t>[名]_x000D_
（gadolinium，Gd）化學元素。原子序64。稀土金屬元素之一。銀白色。在潮溼空氣中會與水起作用，產生氧化膜。能溶於稀酸中，具鐵磁性及延展性。其氧化物與硫化物都呈淡紅色。可用於微波技術、彩色顯示器螢光料、核能工業及配製特種合金等。</t>
  </si>
  <si>
    <t>嘎</t>
  </si>
  <si>
    <t>[擬]
形容短促而響亮的聲音。如：「電風扇嘎的一聲停住了。」</t>
  </si>
  <si>
    <t>(二)ㄍㄚˊ gá（03915）</t>
  </si>
  <si>
    <t>軋</t>
  </si>
  <si>
    <t>[動]_x000D_
1.擁擠。如：「不要一堆人軋在門口。」_x000D_
2.結交。如：「軋朋友」。_x000D_
3.舊時指發生不正當性關係的同居。《文明小史》第一六回：「剛才這個女人，名字叫做廣東阿二，十三、四歲上，曾在學堂裡讀過一年的外國書，不曉得怎麼到了十七、八歲上，竟而改變了脾氣，專門軋姘頭、弔膀子。」_x000D_
4.同時進行多種工作。如：「軋戲」、「事情這麼多，我們要先安排好時間，不然會軋不過來。」_x000D_
5.使用支票周轉現金。如：「軋頭寸」、「軋支票」。_x000D_
[擬]_x000D_
形容物體因轉動碾壓所發出的聲音。元．劉秉忠〈駞車行〉：「駞頂丁當響巨鈴，萬車軋軋一齊鳴。」《警世通言．卷一三．三現身包龍圖斷冤》：「說言未了，見大江中畫船一隻，櫓聲咿軋，自上流而下。」</t>
  </si>
  <si>
    <t>(一)ㄧㄚˋ yà（10729）(三)ㄓㄚˊ zhá（07617）</t>
  </si>
  <si>
    <t>參見「嘎調」、「嘎嘎兒」等條。</t>
  </si>
  <si>
    <t>(一)ㄍㄚ gā（03913）</t>
  </si>
  <si>
    <t>噶</t>
  </si>
  <si>
    <t>[名]
譯音用字。為藏文譯音所常用。如：「噶當派」、「噶廈」。</t>
  </si>
  <si>
    <t>(二)ㄍㄜˊ gé（03955）</t>
  </si>
  <si>
    <t>玍</t>
  </si>
  <si>
    <t>ㄍㄚˇ</t>
  </si>
  <si>
    <t>gǎ</t>
  </si>
  <si>
    <t>[形]
1.性情乖僻。如：「這人脾氣玍得很，說也說不聽。」
2.調皮。如：「這小孩子很玍。」</t>
  </si>
  <si>
    <t>尬</t>
  </si>
  <si>
    <t>ㄍㄚˋ</t>
  </si>
  <si>
    <t>gà</t>
  </si>
  <si>
    <t>參見「尷尬」條。</t>
  </si>
  <si>
    <t>(二)（又音）ㄐㄧㄝˋ jiè（05599）</t>
  </si>
  <si>
    <t>價</t>
  </si>
  <si>
    <t>˙ㄍㄚ</t>
  </si>
  <si>
    <t>ga</t>
  </si>
  <si>
    <t>[助]_x000D_
結構助詞。相當於「地」。《朱子語類．卷ㄧ〇四．學四．自論為學功夫》：「某而今看聖人說話，見聖人之心，成片價從面前過。」《老殘遊記》第二回：「那荷葉初枯，擠的船嗤嗤價響。」</t>
  </si>
  <si>
    <t>(一)ㄐㄧㄚˋ jià（05531）</t>
  </si>
  <si>
    <t>戈</t>
  </si>
  <si>
    <t>ㄍㄜ</t>
  </si>
  <si>
    <t>gē</t>
  </si>
  <si>
    <t>[名]
1.武器名。為長柄橫刃的平頭戟。如：「枕戈待旦」、「干戈」。《書經．費誓》：「備乃弓矢，鍛乃戈矛，礪乃鋒刃，無敢不善。」晉．熊遠〈因災異上疏〉：「臣子之責，宜在枕戈，為王前驅。」
2.戰爭。《後漢書．卷一三．公孫述傳》：「偃武息戈，卑辭事漢。」唐．杜甫〈秦州雜詩〉二〇首之一九：「鳳林戈未息，魚海路常難。」
3.譯音用字。為蒙古、滿洲話譯音所常用。如：「戈壁」、「戈什」。
4.姓。如宋代有戈彥，明代有戈尚友。
5.二一四部首之一。</t>
  </si>
  <si>
    <t>肐</t>
  </si>
  <si>
    <t>[名]
從肩膀到手的部分。如：「肐膊」。</t>
  </si>
  <si>
    <t>疙</t>
  </si>
  <si>
    <t>參見「疙瘩」、「疙瘩湯」等條。</t>
  </si>
  <si>
    <t>紇</t>
  </si>
  <si>
    <t>參見「紇繨」、「紇刺星」等條。</t>
  </si>
  <si>
    <t>(一)ㄏㄜˊ hé（04741）</t>
  </si>
  <si>
    <t>[名]
參見「咯噠」條。
[擬]
形容喉頭聲響、雞叫聲、笑聲等。如：「只聽見他喉頭咯的一聲，把藥丸吞下去了。」</t>
  </si>
  <si>
    <t>(一)ㄌㄨㄛˋ luò（03814）(二)˙ㄌㄛ lo（03186）(四)（(三)之又音）ㄍㄜˊ gé（03934）(五)（(一)之又音）ㄎㄚˇ kǎ（04404）</t>
  </si>
  <si>
    <t>胳</t>
  </si>
  <si>
    <t>[名]
1.腋下。《說文解字．肉部》：「胳，亦下也。」清．段玉裁．注：「亦、腋，古今字。」
2.從肩膀到手的部分。通「肐」。如：「胳膊」、「胳臂」。</t>
  </si>
  <si>
    <t>擱</t>
  </si>
  <si>
    <t>[動]
1.放置、安放。如：「擱置」。《紅樓夢》第五七回：「我看見你文具裡頭有兩三面鏡子，你把那面小菱花的給我留下罷。我擱在枕頭旁邊，睡著好照。」
2.停留、停滯。如：「延擱」、「耽擱」。
3.添上、加上。如：「咖啡中多擱些糖。」
4.承受。《三俠五義》第六回：「瞧你老爺們這個勁兒，立刻給我個眼裡插棒槌，也要我們擱的住呀！」</t>
  </si>
  <si>
    <t>牁</t>
  </si>
  <si>
    <t>參見「牂牁」條。</t>
  </si>
  <si>
    <t>哥</t>
  </si>
  <si>
    <t>[名]
1.歌曲。《說文解字．可部》：「哥，聲也。从二可，古文以為歌字。」清．段玉裁．注：「漢書多用哥為歌。」晉．傅玄〈節賦〉：「黃鍾唱哥，九韶興舞。」
2.稱謂： (1)用以稱兄長。如：「大哥」、「哥哥」。(2)用以稱同輩的男性。如：「老哥」、「小哥」。
[助]
用於句末的語尾助詞。常出現於宋元戲曲中，相當於「啊」。元．鄧玉賓〈叨叨令．想這堆金積玉〉曲：「為家私費盡些擔山力，你省的也麼哥。」</t>
  </si>
  <si>
    <t>歌</t>
  </si>
  <si>
    <t>[動]_x000D_
1.唱。按樂曲或節拍來發聲。如：「高歌一曲」、「引吭高歌」。《詩經．魏風．園有桃》：「心之憂矣，我歌且謠。」_x000D_
2.頌揚。如：「歌功頌德」。《漢書．卷六二．司馬遷傳》：「夫天下稱周公，言其能論歌文武之德，宣周召之風。」唐．李白〈天長節度使鄂州刺史韋公德政碑〉：「噫大塊之氣，歌炎漢之風。」_x000D_
[名]_x000D_
1.合樂的曲調。如：「民歌」、「俚歌」、「漁歌」。《書經．舜典》：「詩言志，歌永言。」《後漢書．卷八三．逸民列傳．梁鴻》：「因東出關，過京師，作五噫之歌。」_x000D_
2.一種詩歌體裁。屬於能唱的韻文。如〈長恨歌〉、〈子夜歌〉等。</t>
  </si>
  <si>
    <t>割</t>
  </si>
  <si>
    <t>[動]
1.用刀切開。如：「割傷」、「割肉」、「任人宰割」。《莊子．盜跖》：「介子推至忠也，自割其股，以食文公。」唐．李賀〈楊生青花紫石硯歌〉：「端州石工巧如神，踏天磨刀割紫雲。」
2.分開、劃分。如：「分割」。《戰國策．秦策四》：「三國之兵深矣，寡人欲割河東而講。」唐．杜甫〈望嶽〉詩：「造化鍾神秀，陰陽割昏曉。」
3.斷絕、捨棄。如：「割愛」。漢．王充《論衡．本性》：「長大之後，禁情割欲，勉厲為善矣。」
[名]
災害。《書經．大誥》：「天降割于我家。」</t>
  </si>
  <si>
    <t>鴿</t>
  </si>
  <si>
    <t>[名]_x000D_
動物名。與鳩同類，記憶力極強，飛翔迅速，經訓諫可用以傳書信。</t>
  </si>
  <si>
    <t>革</t>
  </si>
  <si>
    <t>ㄍㄜˊ</t>
  </si>
  <si>
    <t>gé</t>
  </si>
  <si>
    <t>[名]
1.去毛且經過加工處理的獸皮。《說文解字．革部》：「獸皮治去其毛曰革。」如：「皮革」。《詩經．召南．羔羊》：「羔羊之革，素絲五緎。」
2.人體肌膚上的厚皮。《禮記．禮運》：「四體既正，膚革充盈，人之肥也。」
3.古代軍人所穿的甲冑。如：「金革」、「兵革」。《史記．卷二三．禮書》：「故堅革利兵不足以為勝，高城深池不足以為固，嚴令繁刑不足以為威。」
4.《易經》卦名。六十四卦之一。離（☲）下兌（☱）上，表去故、變革之象。
5.姓。如漢代有革鑒，明代有革從時。
6.二一四部首之一。
7.中國古代樂器「八音」分類法之一，通常以製作材質來分，此處泛指皮革類樂器，如鼓之屬一類的敲擊樂器。《周禮．春官．大師》：「皆播之以八音：金、石、土、革、絲、木、匏、竹。」
[動]
1.變更、改換。如：「改革」、「洗心革面」。晉．桓玄〈鸚鵡賦〉：「革好音以遷善，效言語以自騁。」
2.除去。如：「革職」。北齊．劉晝《劉子．卷九．風俗》：「立禮教以革其弊性，風移俗易而天下正矣。」</t>
  </si>
  <si>
    <t>(二)ㄐㄧˊ jí（05364）</t>
  </si>
  <si>
    <t>挌</t>
  </si>
  <si>
    <t>[動]
擊。《說文解字．手部》：「挌，擊也。」如：「挌殺猛獸」。</t>
  </si>
  <si>
    <t>1.因噎氣或吃得太飽，胃中氣體從口中逆出所發出的聲音。通「嗝」。如：「打飽咯」。
2.(三)之又音。</t>
  </si>
  <si>
    <t>(一)ㄌㄨㄛˋ luò（03814）(二)˙ㄌㄛ lo（03186）(三)ㄍㄜ gē（03924）(五)（(一)之又音）ㄎㄚˇ kǎ（04404）</t>
  </si>
  <si>
    <t>格</t>
  </si>
  <si>
    <t>[名]
1.長枝條。北周．庾信〈小園賦〉：「草樹溷淆，枝格相交。」
2.方形的空框或用線條組成的四方形。如：「窗格」、「方格」。
3.架子的分層。如：「這期的雜誌，就放在書架的第三格。」
4.量詞。計算容器刻度的單位。如：「這感冒藥水每次喝一格的量，三餐飯後服用。」
5.標準、法式。如：「資格」、「規格」、「合格」、「破格」。
6.人品、氣量、風度、情操的泛稱。如：「人格」、「品格」。宋．蘇軾〈答陳履常〉二首之二：「不獨以見作者之格，且足以知風政之多瑕，而高躅之難繼也。」
7.修辭的方法稱為「格」。如：「譬喻格」、「誇張格」。
8.姓。如漢代有格班，隋代有格處仁。
[動]
1.匡正、改正。《書經．冏命》：「繩愆糾謬，格其非心。」《孟子．離婁上》：「惟大人能格君心之非。」
2.匹敵、抵抗。《史記．卷七十．張儀傳》：「無以異於驅群羊而攻猛虎，虎之與羊不格明矣。」
3.阻礙、阻止。《史記．卷六五．孫子吳起傳》：「批亢擣虛，形格勢禁，則自為解耳。」
4.打鬥、擊殺。如：「格鬥」、「格殺」。《三國志．卷一九．魏書．任城威王彰傳》：「膂力過人，手格猛獸，不避險阻。」
5.窮究。《禮記．大學》：「致知在格物，物格而后知至。」
6.至、來。《書經．堯典》：「光被四表，格於上下。」宋．蘇軾〈賀時宰啟〉：「歡聲格於九天，乖氣消於萬彙。」
7.感通。《書經．說命下》：「佑我烈祖，格於皇天。」南朝梁．裴子野．宋略樂志敘：「先王作樂崇德，以格神人。」</t>
  </si>
  <si>
    <t>茖</t>
  </si>
  <si>
    <t>參見「茖蔥」條。</t>
  </si>
  <si>
    <t>觡</t>
  </si>
  <si>
    <t>[名]
有分枝的鹿角。《玉篇．角部》：「觡，麋角有枝曰觡，無枝曰角。」《文選．郭璞．江賦》：「或鹿觡象鼻，或虎狀龍顏。」</t>
  </si>
  <si>
    <t>閣</t>
  </si>
  <si>
    <t>[名]
1.古代一種類似樓的建築物。屋分兩層，底層為支撐層，上層立於支撐平座上，四周圍起，有窗，視野高闊，通風良好。常建於園林中以供休憩。亦供置物藏書用。如：「樓閣」。唐．杜牧〈阿房宮賦〉：「五步一樓，十步一閣。」
2.古代一種在住宅屋內所隔出的夾室或夾層。夾室指東西廂房後所隔出之空間，夾層指主屋內以樓板隔出的上層部分。如：「閣樓」。
3.特指古代國立的藏書樓。如：「文淵閣」、「天祿閣」、「文瀾閣」。
4.女子的房間。如：「出閣」、「閨閣」。
5.內閣的簡稱。如：「閣揆」、「組閣」。
6.姓。如唐代有閣輔。</t>
  </si>
  <si>
    <t>骼</t>
  </si>
  <si>
    <t>[名]
骨頭的通稱。如：「骨骼」。《禮記．月令》：「掩骼埋胔。」</t>
  </si>
  <si>
    <t>郃</t>
  </si>
  <si>
    <t>參見「郃陽縣」條。</t>
  </si>
  <si>
    <t>(一)ㄏㄜˊ hé（04725）</t>
  </si>
  <si>
    <t>蛤</t>
  </si>
  <si>
    <t>參見「蛤蜊」、「文蛤」等條。</t>
  </si>
  <si>
    <t>(二)ㄏㄚˊ há（04714）</t>
  </si>
  <si>
    <t>閤</t>
  </si>
  <si>
    <t>[名]
1.邊門，大門旁的小門。《說文解字．門部》：「閤，門旁戶也。」漢．無名氏〈古詩〉五首之一：「新人從門入，故人從閤去。」《漢書．卷七六．韓延壽傳》：「是日移病不聽事，因入臥傳舍，閉閤思過。」
2.樓房。通「閣」。唐．白行簡《李娃傳》：「娃自閤中聞之，謂侍兒曰。」
3.指女子的寢室。通「閣」。如：「閨閤」、「蘭房椒閤」。
4.宮室、宮殿。《三國志．卷五四．吳書．魯肅傳》：「肅將入閤拜，權起禮之。」</t>
  </si>
  <si>
    <t>(二)ㄏㄜˊ hé（04727）</t>
  </si>
  <si>
    <t>搿</t>
  </si>
  <si>
    <t>[動]
兩手合抱。如：「那人被搿住了，動彈不得。」</t>
  </si>
  <si>
    <t>頜</t>
  </si>
  <si>
    <t>[名]
構成口腔上下部位的骨骼、肌肉組織稱為「頜」，分為上頜、下頜。</t>
  </si>
  <si>
    <t>(二)（又音）ㄏㄢˋ hàn（04892）</t>
  </si>
  <si>
    <t>韐</t>
  </si>
  <si>
    <t>參見「韎韐」條。</t>
  </si>
  <si>
    <t>[名]
1.人體的經穴。位於脊骨第七椎下兩旁各一寸五分處的經穴。《三國志．卷二九．魏書．方技傳．華佗傳》：「太祖苦頭風，每發，心亂目眩，佗針鬲，隨手而差。」
2.人名用字。如殷末有賢人膠鬲。</t>
  </si>
  <si>
    <t>(二)ㄌㄧˋ lì（03460）</t>
  </si>
  <si>
    <t>嗝</t>
  </si>
  <si>
    <t>[名]
因噎氣或吃得太飽，胃中氣體從口中逆出所發出的聲音。如：「打嗝」、「打飽嗝」。</t>
  </si>
  <si>
    <t>隔</t>
  </si>
  <si>
    <t>[動]
1.遮斷、阻塞。《說文解字．阜部》：「隔，塞也。」如：「阻隔」、「分隔」。《後漢書．卷三三．鄭弘傳》：「帝問知其故，遂聽置雲母屏風，分隔其閒。」
2.距離、間隔。如：「相隔千里」、「隔兩天再說吧！」。《新唐書．卷一．高祖本紀》：「今江都隔遠，後期奈何？」唐．李商隱〈無題〉詩：「劉郎已恨蓬山遠，更隔蓬山一萬重。」
3.改變、變異。《續漢書志．第二三．郡國志五》贊曰：「稱號遷隔，封割糾紛。」</t>
  </si>
  <si>
    <t>槅</t>
  </si>
  <si>
    <t>[名]
1.大車的軛。《說文解字．木部》：「槅，大車枙。」《文選．張衡．西京賦》：「商旅聯槅，隱隱展展。」
2.物架的分層。《紅樓夢》第一七回：「一槅一槅，或有貯書處，或有設鼎處，或安置筆硯處，或供設瓶花、或安放盆景處。」</t>
  </si>
  <si>
    <t>膈</t>
  </si>
  <si>
    <t>[名]
分隔動物體腔的膜狀組織。例如分隔胸腔與腹腔的膜狀肌肉，稱為「膈膜」、「橫膈膜」。</t>
  </si>
  <si>
    <t>翮</t>
  </si>
  <si>
    <t>(一)ㄏㄜˊ hé（04751）</t>
  </si>
  <si>
    <t>[名]
（cadmium，Cd）化學元素。原子序48。過渡金屬元素之一。鎘常雜於鋅礦中，故製鋅時兼可得鎘。鎘比鋅先析出，經收集、溶解、沉澱、鍛燒、還原、蒸餾等過程，可得純鎘。色銀白，富延展性。供金屬工業之用，亦用作保險絲、燈絲、顏料及充填蛀齒之物等。鎘中毒會引起痛痛病。</t>
  </si>
  <si>
    <t>(二)ㄌㄧˋ lì（03461）</t>
  </si>
  <si>
    <t>裓</t>
  </si>
  <si>
    <t>[名]
衣服的前襟。唐．柳宗元〈送文暢上人登五臺遂遊河朔序〉：「然後蔑衣裓之贈，委財施之會不顧矣。」</t>
  </si>
  <si>
    <t>葛</t>
  </si>
  <si>
    <t>[名]
1.植物名。豆科葛屬，多年生蔓草。莖細長，複葉闊大，花紫赤色，結實成莢。根可入藥，亦可取出澱粉，供食用及製糊用。纖維可織布及作造紙原料。
2.夏天所穿的衣服。宋．辛棄疾〈水調歌頭．萬事幾時足〉詞：「一葛一裘經歲，一缽一瓶終日。」
3.國名。夏朝所封的諸侯國。嬴姓。故城在今大陸地區河南省葵兵縣東北。</t>
  </si>
  <si>
    <t>(二)ㄍㄜˇ gě（03962）</t>
  </si>
  <si>
    <t>[名]
譯音用字。為藏文譯音所常用。如：「噶大克」、「噶倫」。</t>
  </si>
  <si>
    <t>(一)ㄍㄚˊ gá（03916）</t>
  </si>
  <si>
    <t>轕</t>
  </si>
  <si>
    <t>參見「轇轕」條。</t>
  </si>
  <si>
    <t>合</t>
  </si>
  <si>
    <t>ㄍㄜˇ</t>
  </si>
  <si>
    <t>gě</t>
  </si>
  <si>
    <t>參見「公合」條。</t>
  </si>
  <si>
    <t>(一)ㄏㄜˊ hé（04724）</t>
  </si>
  <si>
    <t>個</t>
  </si>
  <si>
    <t>參見「自個兒」條。</t>
  </si>
  <si>
    <t>(一)ㄍㄜˋ gè（03968）(二)˙ㄍㄜ ge（03970）</t>
  </si>
  <si>
    <t>哿</t>
  </si>
  <si>
    <t>(一)ㄎㄜˇ kě（04437）</t>
  </si>
  <si>
    <t>笴</t>
  </si>
  <si>
    <t>[名]
1.箭桿。《廣韻．上聲．哿韻》：「笴，箭莖也。」唐．段成式《酉陽雜俎．卷一．忠志》：「太宗虯鬚，嘗戲張弓挂矢，好用四羽大笴，長常箭一膚，射洞門闔。」
2.借指箭。宋．陸游〈萬里橋江上習射〉詩：「丈夫未死誰能料？一笴他年下百城。」</t>
  </si>
  <si>
    <t>舸</t>
  </si>
  <si>
    <t>[名]
大船。唐．王勃〈滕王閣序〉：「舸艦彌津，青雀黃龍之軸。」宋．歐陽修〈採桑子．春深雨過西湖好〉詞：「蘭橈畫舸悠悠去，疑是神仙。」</t>
  </si>
  <si>
    <t>[名]
姓。如晉代有葛洪。</t>
  </si>
  <si>
    <t>(一)ㄍㄜˊ gé（03954）</t>
  </si>
  <si>
    <t>蓋</t>
  </si>
  <si>
    <t>[名]
1.地名。戰國時齊邑，漢置蓋縣，北齊廢。故城約位於今大陸地區山東省沂水縣西北。
2.姓。如漢代有蓋寬饒。</t>
  </si>
  <si>
    <t>(一)ㄍㄞˋ gài（03981）(三)ㄏㄜˊ hé（04747）</t>
  </si>
  <si>
    <t>各</t>
  </si>
  <si>
    <t>ㄍㄜˋ</t>
  </si>
  <si>
    <t>gè</t>
  </si>
  <si>
    <t>[代]
指代一定群體中的不同個體本身。如：「各自」。《論語．公冶長》：「盍各言爾志？」
[形]
每。如：「各個」。《史記．卷一二三．大宛傳》：「令外國客遍觀各倉庫府藏之積。」</t>
  </si>
  <si>
    <t>[動]
碰到堅硬不平的東西而引起損傷或痛苦。清．蒲松齡《富貴神仙》第三回：「自己鋪下草，找了一塊半頭磚，嫌硌頭，又使衣服墊。」</t>
  </si>
  <si>
    <t>(二)ㄌㄨㄛˋ luò（03817）</t>
  </si>
  <si>
    <t>鉻</t>
  </si>
  <si>
    <t>[名]
1.鉤子。《玉篇．金部》：「鉻，鉤。」《抱朴子．外篇．君道》：「文則琳琅墮於筆端，武則鉤鉻摧於指掌。」
2.（chromium，Cr）化學元素。原子序24。過渡金屬元素之一，色灰黑如鋼，質堅，鎔點頗高，接觸空氣不起氧化，其化合物可作顏料。</t>
  </si>
  <si>
    <t>虼</t>
  </si>
  <si>
    <t>參見「虼蚤」條。</t>
  </si>
  <si>
    <t>[名]
1.量詞。計算單獨的人或物的單位。如：「二個饅頭」、「一個理想」。
2.參見「個子」、「個兒」等條。
[形]
單獨的。如：「個人」、「個性」。
[代]
此、這。如：「個中滋味」、「個中好手」。
[助]
用於動詞與補語之間，以加強語氣，無義。如：「見個面」、「哭個不停」。</t>
  </si>
  <si>
    <t>(二)˙ㄍㄜ ge（03970）(三)ㄍㄜˇ gě（03958）</t>
  </si>
  <si>
    <t>箇</t>
  </si>
  <si>
    <t>參見「箇舊縣」條。</t>
  </si>
  <si>
    <t>˙ㄍㄜ</t>
  </si>
  <si>
    <t>ge</t>
  </si>
  <si>
    <t>量詞及助詞「個」的輕讀。如：「這個人」、「那個地方」、「家中添個小孩就熱鬧多了！」</t>
  </si>
  <si>
    <t>(一)ㄍㄜˋ gè（03968）(三)ㄍㄜˇ gě（03958）</t>
  </si>
  <si>
    <t>垓</t>
  </si>
  <si>
    <t>ㄍㄞ</t>
  </si>
  <si>
    <t>gāi</t>
  </si>
  <si>
    <t>[名]
1.荒遠之地。《說文解字．土部》：「垓，兼晐八極地也。」清．段玉裁．注：「兼備八極之地謂之垓。」宋．王安石〈和王微之登高齋〉詩三首之一：「書成不得斷國論，但此空語傳八垓。」
2.界限、邊際。漢．揚雄〈衛尉箴〉：「重垠累垓，以難不律。」
3.數目字。古代以十兆為經，十經為垓。見《太平御覽．卷七五〇．工藝部．數》。</t>
  </si>
  <si>
    <t>陔</t>
  </si>
  <si>
    <t>[名]
1.石階的次序。《說文解字．阜部》：「陔，階次也。」
2.重、層。如：「九陔」。《漢書．卷二五．郊祀志上》：「祠壇放亳忌泰一壇，三陔。」
3.田中高地。《文選．束晳．補亡詩六首之一》：「循彼南陔，言采其蘭。」唐．劉禹錫〈和州送錢侍御自宣州幕拜官便於華州覲省〉詩：「蘭陔行可採，蓮府猶回瞪。」</t>
  </si>
  <si>
    <t>荄</t>
  </si>
  <si>
    <t>[名]
草根。《說文解字．艸部》：「荄，草根也。」宋．蘇軾〈冬至日獨遊吉祥寺〉詩：「井底微陽回未回，蕭蕭寒雨濕枯荄。」</t>
  </si>
  <si>
    <t>該</t>
  </si>
  <si>
    <t>[副]
應當。如：「應該」。《老殘遊記》第一六回：「我們這時該睡了。」
[代]
指上述提到過的人或事物。如：「該處」、「該項」。
[動]
1.具備、兼備。漢．蔡邕〈司空袁逢碑〉：「信可謂兼三才而該剛柔。」
2.囊括、網羅。《文選．曹植．與楊德祖書》：「吾王於是設天網以該之，頓八紘以掩之。」
3.欠。如：「該帳」。《儒林外史》第五三回：「他該我幾兩銀子，我要向他取討。」
4.注定。元．白樸《牆頭馬上》第二折：「合是姻緣簿上該。」</t>
  </si>
  <si>
    <t>賅</t>
  </si>
  <si>
    <t>[動]
兼備、齊全。《莊子．齊物論》：「百骸、九竅、六藏，賅而存焉。」
[形]
充足、完備的。如：「言簡意賅」。</t>
  </si>
  <si>
    <t>改</t>
  </si>
  <si>
    <t>ㄍㄞˇ</t>
  </si>
  <si>
    <t>gǎi</t>
  </si>
  <si>
    <t>[動]
修改、修正錯誤。如：「批改」、「改衣服」、「朝令夕改」、「知錯能改，善莫大焉。」
[名]
姓。如秦代有改產。</t>
  </si>
  <si>
    <t>丐</t>
  </si>
  <si>
    <t>ㄍㄞˋ</t>
  </si>
  <si>
    <t>gài</t>
  </si>
  <si>
    <t>[動]
1.乞求。《字彙．一部》：「丐，乞也。」《史記．卷四九．外戚世家》：「丐沐沐我，請食飯我。」
2.給予。唐．韓愈〈江南西道觀察史贈左散騎常侍太原王公墓誌銘〉：「又出庫錢二千萬，以丐貧民遭旱不能供稅者。」
[名]
乞食的人。如：「乞丐」。唐．柳宗元〈寄許京兆孟容書〉：「皁隸傭丐，皆得上父母邱墓。」</t>
  </si>
  <si>
    <t>鈣</t>
  </si>
  <si>
    <t>[名]
（calcium，Ca）化學元素。原子序20。鹼土金屬元素之一，銀白色，有光澤，稍硬於鉛，有延展性，潮溼空氣中氧化甚速。化學性質活潑，在自然界中以化合物存在。人體內存在於血漿和骨骼中。在煉鋼時可作為脫氧劑。</t>
  </si>
  <si>
    <t>溉</t>
  </si>
  <si>
    <t>[動]
1.灌注。《說文解字．水部》：「溉，灌注也。」如：「灌溉」。《史記．卷二十九．河渠書》：「其後漕稍多，而渠下之民頗得以溉田矣。」
2.洗滌。漢．王充《論衡．幸偶》：「皆之水也，或溉鼎釜，或澡腐臭。」</t>
  </si>
  <si>
    <t>概</t>
  </si>
  <si>
    <t>[名]
1.古代量穀物時，刮平斗斛的器具。《新唐書．卷二二四．叛臣傳上．梁崇義傳》：「以概量業於市，力能舒鉤。」
2.度量、品格。如：「氣概」。《三國演義》第三八回：「飄飄然有神仙之概。」
3.大略的情況。如：「梗概」。
[動]
1.刮平。《北史．卷二一．燕鳳等傳．論曰》：「將器盈必概，陰害貽禍，何斯人而遭斯酷乎？」
2.總括。如：「以此一端，可概其餘。」
[形]
約略。如：「概況」、「概念」。
[副]
1.大略。如：「整件事情的經過，大概就是這樣了。」
2.一律。如：「貨物出門，概不退換。」</t>
  </si>
  <si>
    <t>[名]
1.茅草。《說文解字．艸部》：「蓋，苫也。」《左傳．襄公十四年》：「乃祖吾離被苫蓋，蒙荊棘，以來歸我先君。」
2.有覆蓋功能的東西。如：「鍋蓋」、「鋪蓋」、「冠蓋相望」。《孔子家語．卷二．致思》：「孔子將行，雨而無蓋。」
[動]
1.覆蓋、遮蔽。如：「蓋被子」。《淮南子．說林》：「日月欲明，而浮雲蓋之。」
2.加上去、加在上面。如：「蓋章」、「蓋手印」、「蓋郵戳」。
3.超越。如：「英雄蓋世」。《史記．卷六．秦始皇本紀》：「功蓋五帝，澤及牛馬。」
4.搭建、構築。如：「蓋房子」、「蓋停車場」。
5.吹牛、胡扯。如：「少蓋了！」《朱子語類．卷三九．論語．先進篇上》：「這是大賢以上，聖人之事，他便把來蓋人，其疏曠多如此。」
[副]
大概。《論語．里仁》：「蓋有之矣，我未之見也。」
[連]
1.發語詞，提起下文，無義。《史記．卷一〇．孝文本紀》：「蓋天下萬物之萌生，靡不有死。」
2.乃是、實在是。《孝經．天子章》：「蓋天子之孝也。」《史記．卷四七．孔子世家》：「孔子母死，乃殯五父之衢，蓋其慎也。」</t>
  </si>
  <si>
    <t>(二)ㄍㄜˇ gě（03963）(三)ㄏㄜˊ hé（04747）</t>
  </si>
  <si>
    <t>戤</t>
  </si>
  <si>
    <t>[動]
1.典押物品借貸錢財。《初刻拍案驚奇》卷三一：「不若將前面房子再去戤典他幾兩銀子來殯葬大郎。」
2.冒牌圖利。參見「影戤」條。
3.倚靠。《二刻拍案驚奇》卷一：「相傳此經值價不少。徒然守著他，救不得飢餓，真是戤米囤餓殺了。把他去當米，誠是算計。」《負曝閑談》第四回：「趕忙把手裡的雨傘往紅木炕床旁邊牆角上一戤。」</t>
  </si>
  <si>
    <t>給</t>
  </si>
  <si>
    <t>ㄍㄟˇ</t>
  </si>
  <si>
    <t>gěi</t>
  </si>
  <si>
    <t>[動]
1.交付。如：「我給他一本書。」
2.用某種動作對待別人。如：「給他一個教訓。」、「再給他一次機會吧！」
[介]
1.與。如：「送給」、「借給」、「留給」。
2.替、為。如：「你給我拿些吃的！」
3.向。如：「快給他道謝。」
4.被。如：「大家都給他騙了。」
[助]
加強語氣。如：「你給我閉嘴！」</t>
  </si>
  <si>
    <t>(一)ㄐㄧˇ jǐ（05410）</t>
  </si>
  <si>
    <t>咎</t>
  </si>
  <si>
    <t>ㄍㄠ</t>
  </si>
  <si>
    <t>gāo</t>
  </si>
  <si>
    <t>[名]
1.大鼓。通「鼛」。《後漢書．卷六〇上．馬融傳》：「伐咎鼓，撞華鍾，獵徒縱，赴榛叢。」
2.姓。如虞舜時有咎繇。</t>
  </si>
  <si>
    <t>(一)ㄐㄧㄡˋ jiù（05721）</t>
  </si>
  <si>
    <t>櫜</t>
  </si>
  <si>
    <t>[名]
收藏盔甲、弓箭的囊袋。《左傳．昭公元年》：「伍舉知其有備也，請垂櫜而入。」晉．杜預．注：「垂櫜示無弓。」
[動]
收藏、儲存。《詩經．小雅．彤弓》：「彤弓弨兮，受言櫜之。」</t>
  </si>
  <si>
    <t>鼛</t>
  </si>
  <si>
    <t>[名]
樂器名，打擊樂器。即大鼓。為古代徵召役事或役事完畢時所打擊的樂器。《周禮．地官司徒．鼓人》：「以鼛鼓鼓役事。」</t>
  </si>
  <si>
    <t>羔</t>
  </si>
  <si>
    <t>[名]
1.小羊。《說文解字．羊部》：「羔，羊子也。」如：「羔子」。
2.幼小的生物。如：「鹿羔」。金．元好問〈種松〉詩：「百錢買松羔，植之我東牆。」
[形]
1.幼小的。如：「迷途羔羊」。
2.黑羊皮製的。《論語．鄉黨》：「緇衣羔裘。」</t>
  </si>
  <si>
    <t>糕</t>
  </si>
  <si>
    <t>[名]
用米、麥或豆類磨成的粉，加水、蛋或牛奶等調為糊狀物，蒸烤成的塊狀食品。如：「年糕」、「蛋糕」、「綠豆糕」。</t>
  </si>
  <si>
    <t>高</t>
  </si>
  <si>
    <t xml:space="preserve">高 </t>
  </si>
  <si>
    <t>[形]
1.上下距離遠的。與「低」相對。如：「山高水深」、「高樓大廈」。
2.超越一般水準的、等級在上的。如：「高等教育」、「高級」、「高手」。
3.優良。如：「高材生」。
4.價格貴的。如：「高價」。
5.年紀老的。如：「高齡」。
6.聲音尖銳激昂的。如：「高歌」。
[名]
1.物體直立時上下的長度。如：「身高」。
2.高的地方。如：「居高臨下」、「登高望遠」。
3.姓。如唐代有高適。
4.二一四部首之一。
[動]
尊崇、敬重。《韓非子．五蠹》：「以其不收也外之，而高其輕世也。」</t>
  </si>
  <si>
    <t>膏</t>
  </si>
  <si>
    <t>[名]
1.肥肉、油脂。如：「焚膏繼晷」。《金史．卷六六．始祖以下諸子傳．宗室傳．摑保傳》：「摑保洞腹見膏，恐昭祖知之，乃然薪取膏以為炙。」
2.濃稠的糊狀物。如：「牙膏」、「藥膏」、「枇杷膏」。
3.比喻恩澤。《孟子．離婁下》：「今也為臣諫則不行，言則不聽，膏澤不下於民。」
4.古代稱心臟與橫膈膜間的部位。如：「病入膏肓」。《左傳．成公十年》：「居肓之上，膏之下。」晉．杜預．注：「心下為膏。」
[形]
美好的。如：「膏田沃野」。《禮記．禮運》：「故天降膏露，地出醴泉。」</t>
  </si>
  <si>
    <t>(二)ㄍㄠˋ gào（04009）</t>
  </si>
  <si>
    <t>篙</t>
  </si>
  <si>
    <t>[名]
撐船的竹竿或木棍。如：「撐篙」。明．孫承宗〈漁家〉詩：「呵凍提篙手未蘇，滿船涼月雪模糊。」</t>
  </si>
  <si>
    <t>皋</t>
  </si>
  <si>
    <t>[名]
1.水邊的低地。《左傳．襄公二十五年》：「町原防，牧隰皋。」《漢書．卷五一．賈山傳》：「江皋河瀕，雖有惡種，無不猥大。」
2.水田。《文選．潘岳．秋興賦》：「耕東皋之沃壤兮，輸黍稷之餘稅。」唐．李善．注：「水田曰皋。」
3.高地。《楚辭．屈原．九章．涉江》：「步余馬兮山皋，邸余車兮方林。」
4.姓。如漢代有皋誨。
[形]
高大。通「高」。《禮記．明堂位》：「大廟天子明堂，庫門天子皋門。」
[助]
置於句首，表示拉長而緩慢的語氣。《禮記．禮運》：「及其死也，升屋而號，告曰：『皋！某復！』」</t>
  </si>
  <si>
    <t>槔</t>
  </si>
  <si>
    <t>參見「桔槔」條。</t>
  </si>
  <si>
    <t>韟</t>
  </si>
  <si>
    <t>[名]
裝弓的套子。《管子．兵法》：「九曰舉韟章，則載食而駕。」</t>
  </si>
  <si>
    <t>睪</t>
  </si>
  <si>
    <t>[名]
參見「睪丸」條。
[形]
高大。同「皋」。《列子．天瑞》：「望其壙，睪如也。」</t>
  </si>
  <si>
    <t>(一)ㄧˋ yì（10664）</t>
  </si>
  <si>
    <t>睾</t>
  </si>
  <si>
    <t>同「睪」。</t>
  </si>
  <si>
    <t>杲</t>
  </si>
  <si>
    <t>ㄍㄠˇ</t>
  </si>
  <si>
    <t>gǎo</t>
  </si>
  <si>
    <t>[形]
明亮的樣子。《說文解字．木部》：「杲，明也。」《詩經．衛風．伯兮》：「其雨其雨，杲杲出日。」
[名]
姓。如元代有杲元啟。</t>
  </si>
  <si>
    <t>搞</t>
  </si>
  <si>
    <t>[動]
做、從事。如：「搞砸」、「搞好」、「搞社團」。</t>
  </si>
  <si>
    <t>槁</t>
  </si>
  <si>
    <t>[形]
乾癟枯瘦的。如：「枯槁」、「槁木死灰」。《墨子．耕柱》：「舍今之人而譽先王，是譽槁骨也」。
[名]
枯木。《商君書．弱民》：「秦師至鄢郢，舉若振槁。」</t>
  </si>
  <si>
    <t>暠</t>
  </si>
  <si>
    <t>[副]
明亮潔白。《廣韻．上聲．皓韻》：「暠，明白也。」《漢書．卷五七．司馬相如傳下》：「暠然白首戴勝而穴處兮，亦幸有三足烏為之使。」</t>
  </si>
  <si>
    <t>稿</t>
  </si>
  <si>
    <t>[名]
1.稻草等植物的莖稈。《廣韻．上聲．皓韻》：「稿，禾稈。」《史記．卷五三．蕭相國世家》：「願令民得入田，毋收稿為禽獸食。」
2.未完成或已完成的文字、圖畫等。如：「草稿」、「畫稿」、「定稿」、「投稿」。
3.模樣。《紅樓夢》第二九回：「我看哥兒的這個形容身段，言談舉動，怎麼就同當日國公爺一個稿子。」</t>
  </si>
  <si>
    <t>縞</t>
  </si>
  <si>
    <t>[名]
白色的絲織品。漢．鼂錯〈論貴粟疏〉：「乘堅策肥，履絲曳縞。」
[形]
白色的。如：「縞素」。《詩經．鄭風．出其東門》：「縞衣綦巾，聊樂我員。」</t>
  </si>
  <si>
    <t>鎬</t>
  </si>
  <si>
    <t>[名]
類似鋤頭的農具，用來掘土。也稱為「十字鎬」。</t>
  </si>
  <si>
    <t>(一)ㄏㄠˋ hào（04814）</t>
  </si>
  <si>
    <t>攪</t>
  </si>
  <si>
    <t>[動]
1.作、弄。通「搞」。《文明小史》第四〇回：「你們終身的事，我也管不得許多，隨你攪去便了。」
2.造成、促成。如：「你攪了這爛攤子，看你怎麼收拾！」</t>
  </si>
  <si>
    <t>(一)ㄐㄧㄠˇ jiǎo（05670）</t>
  </si>
  <si>
    <t>告</t>
  </si>
  <si>
    <t>ㄍㄠˋ</t>
  </si>
  <si>
    <t>gào</t>
  </si>
  <si>
    <t>[動]
1.訴說、報告。如：「告訴」、「告退」。《詩經．大雅．江漢》：「經營四方，告成于王。」
2.請求。如：「告饒」、「告假」、「告貸」。《國語．魯語上》：「國有饑饉，卿出告糴，古之制也。」
3.揭發、提出訴訟。如：「告狀」、「控告」。《韓非子．姦劫弒臣》：「商君說秦孝公以變法易俗，而明公道，賞告姦，困末作而利本事。」
[名]
1.對大眾宣布的語言或文字。如：「公告」、「廣告」、「文告」。
2.訴訟的兩方。如：「原告」、「被告」。
3.休假。宋．蘇軾〈乞郡劄子〉：「遣使存問，賜告養疾。」
4.姓。如戰國時有告不害。</t>
  </si>
  <si>
    <t>(二)ㄍㄨˋ gù（04185）</t>
  </si>
  <si>
    <t>郜</t>
  </si>
  <si>
    <t>[名]
1.國名。周的姬姓諸侯之一，春秋時為宋所滅。故址位於今山東省城武縣東南。
2.地名。春秋時晉邑。約位於今大陸地區山西省祁縣西方。
3.姓。如清代有郜璉。</t>
  </si>
  <si>
    <t>誥</t>
  </si>
  <si>
    <t>[動]
上位者告諭下位者。《易經．姤卦．象曰》：「天下有風，姤，后以施命誥四方。」
[名]
文體名。古代用來告誡他人的文字，後成為君王諭令臣下的專用文體。如：「康誥」、「洛誥」、「酒誥」。</t>
  </si>
  <si>
    <t>鋯</t>
  </si>
  <si>
    <t>[名]
（zirconium，Zr）化學元素。原子序40。過渡金屬元素之一。銀灰色有光澤，質地堅硬，具延展性。抗酸、鹼性強，耐腐蝕。可作為抗腐蝕性結構材料或製造外科器材。</t>
  </si>
  <si>
    <t>[動]
1.潤滑、潤澤。《詩經．曹風．下泉》：「芃芃黍苗，陰雨膏之。」唐．韓愈〈送李愿歸盤谷序〉：「膏吾車兮秣吾馬，從子於盤兮終吾身以徜徉。」
2.蘸、沾。如：「膏筆」、「膏墨」。元．馮惟敏《不伏老》第一折：「題紙散下來了，俺子索磨的墨濃，膏的筆飽。」</t>
  </si>
  <si>
    <t>(一)ㄍㄠ gāo（03990）</t>
  </si>
  <si>
    <t>勾</t>
  </si>
  <si>
    <t>ㄍㄡ</t>
  </si>
  <si>
    <t>gōu</t>
  </si>
  <si>
    <t>[名]_x000D_
1.彎曲的器具。同「鉤」。如：「衣勾」、「魚勾」。_x000D_
2.一種書寫符號，表示刪除、截取或答案正確。如：「書寫正確的請打勾。」_x000D_
3.姓。如宋代有勾濤。_x000D_
[動]_x000D_
1.挑動、引起。元．張可久〈醉太平．金華洞冷〉曲：「數枝黃菊勾詩興，一川紅葉迷仙徑。」《紅樓夢》第九五回：「偶沾寒氣，勾起舊病。」_x000D_
2.選取、徵調。元．石君寶《秋胡戲妻》第一折：「今奉上司差遣，著我勾秋胡當軍，走一遭去。」_x000D_
3.刪掉、取消。如：「新愁舊恨，一筆勾銷。」元．關漢卿《竇娥冤》第一折：「舊恩愛一筆勾，新夫妻兩意投，枉教人笑破口。」_x000D_
4.暗地相通。如：「勾結」。《喻世明言．卷四〇．沈小霞相會出師表》：「沈鍊因失職怨望，教浩等煽妖作幻，勾虜謀逆。」_x000D_
5.描繪。如：「勾勒」、「勾出輪廓來。」_x000D_
6.一種烹飪方法。用芡粉或麵粉使菜餚、湯汁濃稠。如：「勾滷」、「勾芡」。_x000D_
7.表示身體某部位彎曲。如：「嘴角一勾」。《兒女英雄傳》第一四回：「他方纔站起來，含著煙袋，笑嘻嘻的勾了勾頭。」_x000D_
8.如鉤狀連結的動作。如：「手勾手」、「打勾勾」。_x000D_
[形]_x000D_
彎曲的。如：「鷹勾鼻」。《韓詩外傳》卷七：「鳥之美羽勾啄者，鳥畏之。」</t>
  </si>
  <si>
    <t>(二)ㄍㄡˋ gòu（04028）</t>
  </si>
  <si>
    <t>构</t>
  </si>
  <si>
    <t>同「構」。明．張自烈《正字通．木部》：「构，俗構字。」</t>
  </si>
  <si>
    <t>句</t>
  </si>
  <si>
    <t>[動]
1.屈曲、彎曲。《說文解字．句部》：「句，曲也。」晉．傅玄〈鷹賦〉：「句爪縣芒，足如枯荊。」
2.謙恭。清．王念孫《廣雅疏證．卷一下．釋詁》：「句，下也。」《大戴禮記．曾子立事》：「與其倨也，寧句。」北周．盧辯．注：「句，以喻敬。」
3.搜捕、拘拿。如：「句魂」。
[名]
1.鉤子。同「鉤」。如：「釣句」。
2.姓。如春秋時越王句踐。
[副]
繫絆、停滯。唐．白居易〈春題湖上〉詩：「未能拋得杭州去，一半句留是此湖。」</t>
  </si>
  <si>
    <t>(一)ㄐㄩˋ jù（06041）(三)ㄍㄡˋ gòu（04029）</t>
  </si>
  <si>
    <t>枸</t>
  </si>
  <si>
    <t>[形]
彎曲的。《荀子．性惡》：「故枸木必將待檃栝烝矯然後直。」唐．楊倞．注：「枸，讀為鉤，曲也。」</t>
  </si>
  <si>
    <t>(一)ㄍㄡˇ gǒu（04024）(二)ㄐㄩˇ jǔ（06019）</t>
  </si>
  <si>
    <t>袧</t>
  </si>
  <si>
    <t>[名]
古代一種兩側有縐摺的喪服。《玉篇．衣部》：「袧，喪服。」《儀禮．喪服》：「凡衰，外削幅，裳，內削幅，幅三袧。」漢．鄭玄．注：「袧者，謂辟兩側，空中央也。」</t>
  </si>
  <si>
    <t>鉤</t>
  </si>
  <si>
    <t>[名]_x000D_
1.形狀彎曲，具有探取、懸掛、連接等功能的器具。如：「釣鉤」、「掛鉤」。漢．劉向《新序．卷五．雜事》：「管仲射小白，中其帶鉤。」《樂府詩集．卷二八．相和歌辭三．古辭．陌上桑》：「青絲為籠係，桂枝為籠鉤。」_x000D_
2.武器名。古代一種似劍而彎曲的兵器。《漢書．卷七六．趙尹韓張兩王傳．韓延壽》：「延壽又取官銅物，侯月蝕鑄作刀劍鉤鐔。」_x000D_
3.一種末端彎曲的書寫筆法。_x000D_
4.姓。如宋代有鉤光祖。_x000D_
[動]_x000D_
1.用鉤子掛住拉起。如：「衣服不小心被鉤住了。」_x000D_
2.更改、變動。《後漢書．卷四六．郭陳列傳．陳寵》：「寵又鉤校律令條法，溢於甫刑者除之。」_x000D_
3.扣留。《後漢書．卷二七．伏侯宋蔡馮趙牟韋列傳．吳良》：「車府令徐匡鉤就車，收御者送獄。」_x000D_
4.研究探求。《易經．繫辭上》：「探賾索隱，鉤深致遠。」_x000D_
5.描繪。同「勾」。如：「鉤出輪廓來。」_x000D_
6.編織、縫紉。如：「鉤圍巾」、「鉤邊」。_x000D_
[形]_x000D_
彎曲的。如：「鉤爪」。《戰國策．西周策》：「少焉氣力倦，弓撥矢鉤，一發不中，前功盡矣。」_x000D_
[副]_x000D_
停滯、逗留。如：「鉤留」。</t>
  </si>
  <si>
    <t>區</t>
  </si>
  <si>
    <t>[形]
彎曲的。通「句」。《禮記．樂記》：「然後草木茂，區萌達。」唐．孔穎達．正義：「屈生曰區者，謂鉤曲而生出，菽豆是也。」</t>
  </si>
  <si>
    <t>(一)ㄑㄩ qū（06618）(二)ㄡ ōu（10390）</t>
  </si>
  <si>
    <t>溝</t>
  </si>
  <si>
    <t>[名]
水道、凹槽。如：「田溝」、「陰溝」、「壕溝」。《周禮．冬官考工記．匠人》：「九夫為井，井間廣四尺，深四尺謂之溝。」
[動]
挖通、疏通。《管子．度地》：「地高則溝之，下則隄之，命之曰金城。」</t>
  </si>
  <si>
    <t>篝</t>
  </si>
  <si>
    <t>[名]
盛器物的竹籠。《史記．卷一二六．滑稽傳．淳于髡傳》：「甌窶滿篝，汙邪滿車，五穀蕃熟，穰穰滿家。」
[動]
罩住。《史記．卷四八．陳涉世家》：「又閒令吳廣之次所旁叢祠中，夜篝火，狐鳴呼曰：『大楚興，陳勝王。』」</t>
  </si>
  <si>
    <t>韝</t>
  </si>
  <si>
    <t>[名]
皮製的護臂套。《說文解字．韋部》：「韝，臂衣也。」《文選．李陵．答蘇武書》：「韋韝毳幙，以禦風雨，羶肉酪漿，以充飢渴。」</t>
  </si>
  <si>
    <t>緱</t>
  </si>
  <si>
    <t>[名]
1.纏劍柄的繩索。《廣韻．平聲．侯韻》：「緱，刀劍頭纏絲為緱。」宋．蘇軾〈武昌銅劍歌〉：「蘇子得之何所為，蒯緱彈鋏詠新詩。」
2.姓。如明代有緱謙。</t>
  </si>
  <si>
    <t>岣</t>
  </si>
  <si>
    <t>ㄍㄡˇ</t>
  </si>
  <si>
    <t>gǒu</t>
  </si>
  <si>
    <t>參見「岣嶁」、「岣嶁碑」等條。</t>
  </si>
  <si>
    <t>狗</t>
  </si>
  <si>
    <t>[名]
1.食肉犬科動物的通稱。種類很多，嗅覺和聽覺都很靈敏，可訓練來追蹤、守衛、導盲、救生或飼為寵物，且性忠誠，為人類之友。
2.姓。如漢代有狗未央。
[動]
諂媚奉承。如：「底下的人專會狗著他。」</t>
  </si>
  <si>
    <t>耇</t>
  </si>
  <si>
    <t>[名]
背彎曲，面有壽斑的高壽老人。《文選．于令升．晉紀總論》：「內睦九族，外尊事黃耇。」</t>
  </si>
  <si>
    <t>參見「枸杞」、「枸骨」等條。</t>
  </si>
  <si>
    <t>(二)ㄐㄩˇ jǔ（06019）(三)ㄍㄡ gōu（04013）</t>
  </si>
  <si>
    <t>苟</t>
  </si>
  <si>
    <t>[副]
姑且、暫且。如：「苟同」、「苟安」、「苟延殘喘」。《禮記．曲禮上》：「臨財毋苟得，臨難毋苟免。」唐．柳宗元〈哭連州凌員外司馬〉詩：「恬死百憂盡，苟生萬慮滋。」
[形]
隨便、草率。如：「一絲不苟」。
[連]
1.如果、假設。《論語．里仁》：「苟志於仁矣，無惡也。」唐．柳宗元〈與韓愈論史官書〉：「道苟直，雖死不可回也。」
2.乃、才。《楚辭．屈原．離騷》：「夫惟聖哲以茂行兮，苟得用此下土。」
[名]
姓。如漢代有苟參。</t>
  </si>
  <si>
    <t>笱</t>
  </si>
  <si>
    <t>[名]
竹製的捕魚器具。《說文解字．句部》：「笱，曲竹捕魚笱也。」《詩經．邶風．谷風》：「毋逝我梁，毋發我笱。」</t>
  </si>
  <si>
    <t>茩</t>
  </si>
  <si>
    <t>參見「薢茩」條。</t>
  </si>
  <si>
    <t>ㄍㄡˋ</t>
  </si>
  <si>
    <t>gòu</t>
  </si>
  <si>
    <t>[動]
探取。如：「他伸長了手去勾架上的書。」
[副]
足夠。同「夠」。元．馬致遠《漢宮秋》第一折：「刷選室女，已選勾九十九名。」</t>
  </si>
  <si>
    <t>(一)ㄍㄡ gōu（04010）</t>
  </si>
  <si>
    <t>同「勾」(二)。</t>
  </si>
  <si>
    <t>(一)ㄐㄩˋ jù（06041）(二)ㄍㄡ gōu（04012）</t>
  </si>
  <si>
    <t>夠</t>
  </si>
  <si>
    <t>[副]
1.表示達到一定的數目。如：「這點錢不夠買件衣服。」、「這瓶飲料只夠一個人喝。」
2.表示達到適當程度。如：「夠快」、「夠好」、「菜夠不夠鹹？」、「戲演得夠不夠棒？」
3.膩、厭煩。如：「受夠」、「大魚大肉我已經吃夠了。」、「這種話我聽夠了。」</t>
  </si>
  <si>
    <t>雊</t>
  </si>
  <si>
    <t>[動]
雄雉鳴叫。《說文解字．隹部》：「雊，雄雉鳴也。」《詩經．小雅．小弁》：「雉之朝雊，尚求其雌。」</t>
  </si>
  <si>
    <t>垢</t>
  </si>
  <si>
    <t>[名]
1.骯髒的東西。如：「汙垢」、「牙垢」、「油垢」。《文選．陸機．演連珠五〇首之一三》：「朗璞蒙垢，不能吐輝。」
2.瑕疵、缺點。唐．韓愈〈進學解〉：「爬羅剔抉，刮垢磨光。」
3.恥辱。《文選．曹植．上責躬應詔詩表》：「忍垢苟全，則犯詩人胡顏之譏。」
[形]
不清潔的。如：「蓬頭垢面」。</t>
  </si>
  <si>
    <t>姤</t>
  </si>
  <si>
    <t>[形]
1.美好的。《管子．地員》：「士女皆好，其民工巧，其泉黃白，其人夷姤。」
2.邪惡的。《文選．張衡．思玄賦》：「咨姤嫮之難並兮，想依韓以流亡。」唐．李善．注：「姤，惡也。」
[名]
《易經》卦名。六十四卦之一。卦形為巽（☴）下乾（☰）上，象柔、剛相遇之義。</t>
  </si>
  <si>
    <t>逅</t>
  </si>
  <si>
    <t>(一)ㄏㄡˋ hòu（04833）</t>
  </si>
  <si>
    <t>詬</t>
  </si>
  <si>
    <t>[名]
恥辱。《說文解字．言部》：「詬，謑詬，恥也。」《楚辭．屈原．離騷》：「屈心而抑志兮，忍尤而攘詬。」《史記．卷六六．伍子胥傳》：「員為人剛戾忍詬，能成大事。」
[動]
指責、責罵。如：「詬罵」、「為人所詬病。」《左傳．哀公八年》：「曹人詬之，不行。」</t>
  </si>
  <si>
    <t>冓</t>
  </si>
  <si>
    <t>[動]
架積木材。《說文解字．冓部》：「冓，交積材也。」清．段玉裁．注：「高注《淮南》曰：『構，架也，木材相乘也。』……今字構行而冓癈矣。」
[名]
內室，宮室的深密處。《詩經．鄘風．牆有茨》：「中冓之言，不可道也。」《漢書．卷四七．文三王傳．梁懷王劉揖傳》：「是故帝王之意，不窺人閨門之私，聽聞中冓之言。」</t>
  </si>
  <si>
    <t>搆</t>
  </si>
  <si>
    <t>[動]
1.引起、造成。同「構」。如：「搆疾」、「搆怨」。《孟子．告子下》：「吾聞秦楚搆兵，我將見楚王說而罷之。」
2.搭建。如：「搆木為巢」。
3.觸及。如：「藥品應放在小孩搆不著的地方才安全。」</t>
  </si>
  <si>
    <t>媾</t>
  </si>
  <si>
    <t>[名]
原指表親相互締結為婚，後泛指婚姻。《易經．屯卦．象曰》：「乘馬斑如，匪寇婚媾。」
[動]
1.交配、交合。如：「交媾」。
2.議和、講和。如：「媾和」。《史記．卷七六．平原君虞卿傳》：「秦既解邯鄲圍，而趙王入朝，使趙郝約事於秦，割六縣而媾。」</t>
  </si>
  <si>
    <t>遘</t>
  </si>
  <si>
    <t>[動]
1.遇見、遭遇。《說文解字．辵部》：「遘，遇也。」《聊齋志異．卷一．青鳳》：「適與婢子戲，遘此大厄。」
2.製造、造成。同「構」。《文選．王粲．七哀詩二首之一》：「西京亂無象，豺虎方遘患。」</t>
  </si>
  <si>
    <t>構</t>
  </si>
  <si>
    <t>[動]
1.搭蓋、建築。如：「構築」、「構屋結舍」。《淮南子．氾論》：「築土構木，以為宮室」。
2.結集、造成。如：「構怨」。《詩經．小雅．四月》：「我日構禍，曷云能穀！」《荀子．勸學》：「邪穢在身，怨之所構。」
3.策畫、運用。如：「構思」。
4.設計陷害。如：「構陷」。《淮南子．說林》：「紂醢梅伯，文王與諸侯構之。」
5.挑撥離間。《左傳．僖公三十三年》：「彼實構吾二君，寡君若得而食之，不厭。」《文選．李康．運命論》：「得失不能疑其志，讒構不能離其交。」
[名]
1.建築物。晉．陸雲〈歲暮賦〉：「悲山林之杳藹兮，痛華構之丘荒。」明．徐弘祖《徐霞客遊記．卷六下．滇遊日記五》：「此古迦葉殿近因頂有新構，遂稱此為寺云。」
2.組織。如：「結構」、「架構」、「機構」。</t>
  </si>
  <si>
    <t>覯</t>
  </si>
  <si>
    <t>[動]
1.遇見、遭遇。通「遘」、「逅」。《說文解字．見部》：「覯，遇見也。」《詩經．大雅．公劉》：「迺陟南岡，乃覯于京。」晉．陶淵明〈答龐參軍詩〉：「我求良友，實覯懷人。」
2.造成、構成。同「構」。《左傳．成公六年》：「郇瑕氏土薄水淺，其惡易覯。」</t>
  </si>
  <si>
    <t>購</t>
  </si>
  <si>
    <t>[動]_x000D_
1.懸賞。《說文解字．貝部》：「購，以財有所求也。」《史記．卷九二．淮陰侯列傳》：「信乃令軍中勿殺廣武君，有能生得者購千金。」_x000D_
2.買。如：「採購」、「郵購」。清．龔自珍〈病梅館記〉：「予購三百盆，皆病者，無一完者。」_x000D_
3.交好、聯合。通「媾」。《史記．卷八六．刺客列傳．荊軻》：「請西約三晉，南連齊、楚，北購於單于。」</t>
  </si>
  <si>
    <t>彀</t>
  </si>
  <si>
    <t>[動]
拉滿弓，準備射箭。《說文解字．弓部》：「彀，張弩也。」《列子．湯問》：「甘繩，古之善射者，彀弓而獸伏鳥下。」
[名]
1.箭所能及的範圍。《莊子．德充符》：「遊於羿之彀中，中央者中地也。」
2.比喻勢力範圍。五代漢．王定保《唐摭言．卷一．述進士上篇》：「嘗私幸端門，見新進士綴行而出，喜曰：『天下英雄入吾彀中矣。』」
[形]
善射的。《漢書．卷五〇．馮唐傳》：「選車千三百乘，彀騎萬三千匹。」《宋史．卷四五一．忠義傳六．張世傑傳》：「元帥阿朮載彀士以火矢攻之，世傑兵亂，無敢發碇。」
[副]
足夠。同「夠」。《儒林外史》第二回：「合攏了不彀一個月飯食。」</t>
  </si>
  <si>
    <t>干</t>
  </si>
  <si>
    <t>ㄍㄢ</t>
  </si>
  <si>
    <t>gān</t>
  </si>
  <si>
    <t>[名]_x000D_
1.武器名。用來阻擋刀箭、護衛身軀的盾牌。《書經．牧誓》：「稱爾戈，比爾干，立爾矛，予其誓。」《韓非子．五蠹》：「乃修教三年，執干戚舞，有苗乃服。」_x000D_
2.參見「天干」條。_x000D_
3.水畔、岸邊。《詩經．魏風．伐檀》：「坎坎伐檀兮，寘之河之干兮。」唐．杜甫〈有客〉詩：「豈有文章驚海內，謾勞車馬駐江干。」_x000D_
4.經脫水加工製成的乾燥食品。通「乾」。如：「筍干」、「豆腐干」。_x000D_
5.成群有關係的人。《紅樓夢》第五九回：「那婆子深妒襲人、晴雯一干人。」《初刻拍案驚奇》卷二〇：「那一干囚犯，初時見獄中寬縱，已自起心越牢。」_x000D_
6.姓。如晉代有干寶。_x000D_
7.二一四部首之一。_x000D_
[動]_x000D_
1.冒犯、觸犯。如：「干犯」。《左傳．文公四年》：「君辱貺之，其敢干大禮以自取戾。」明．張居正〈請戒諭群臣疏〉：「以朝廷為必可背，以法紀為必可干，則我祖宗憲典甚嚴，朕不敢赦。」_x000D_
2.求取、營求。《論語．為政》：「子張學干祿。」《公羊傳．定公四年》：「伍子胥父誅乎楚，挾弓而去楚，以干闔廬。」_x000D_
3.強行參預。如：「干涉」、「干預」。《南史．卷二三．列傳．王彧》：「奐子彪凶愚，頗干時政，士人咸切齒。」清．徐珂《清稗類鈔．帝德類．咸豐季年三奸伏誅》：「三奸盤結，同干大政。」_x000D_
4.相關、有關聯。如：「相干」。《水滸傳》第五二回：「莊客李大救主，誤打死人，非干我事。」《初刻拍案驚奇》卷三三：「這不干我伯父事，是伯娘不肯認我，拿了我的合同文書，抵死賴了。」</t>
  </si>
  <si>
    <t>玕</t>
  </si>
  <si>
    <t>[名]
似玉的美石。參見「琅玕」條。</t>
  </si>
  <si>
    <t>杆</t>
  </si>
  <si>
    <t>[名]
1.細長形的棍狀物。如：「欄杆」、「旗杆」、「球杆」。
2.量詞。計算揮杆次數的單位。如：「共打了一百三十二杆。」</t>
  </si>
  <si>
    <t>肝</t>
  </si>
  <si>
    <t>[名]
高等動物的消化器官之一。參見「肝臟」條。</t>
  </si>
  <si>
    <t>矸</t>
  </si>
  <si>
    <t>[名]
丹矸：硫和汞的化合物。《荀子．正論》：「加之以丹矸，重之以曾青。」唐．楊倞．注：「丹矸，丹砂也。」</t>
  </si>
  <si>
    <t>虷</t>
  </si>
  <si>
    <t>[動]
侵犯。《漢書．卷七二．鮑宣傳》：「白虹虷日，連陰不雨。」</t>
  </si>
  <si>
    <t>(一)ㄏㄢˊ hán（04852）</t>
  </si>
  <si>
    <t>竿</t>
  </si>
  <si>
    <t>[名]
1.竹幹、竹莖。可截取供使用。如：「竹竿」。《詩經．衛風．竹竿》：「籊籊竹竿，以釣于淇。」《文選．賈誼．過秦論》：「斬木為兵，揭竿為旗。」
2.量詞。計算竹子的單位。宋．蘇軾〈贈惠山僧惠表〉詩：「敧枕落花餘幾片，閉門新竹自千竿。」《西遊記》第一三回：「一徑野花香襲體，數竿幽竹綠依依。」</t>
  </si>
  <si>
    <t>酐</t>
  </si>
  <si>
    <t>[名]
化學上稱能與水化合成酸或鹼的氧化物。如：「酸酐」。</t>
  </si>
  <si>
    <t>甘</t>
  </si>
  <si>
    <t>[形]
1.甜美的。如：「味香甘甜」。《莊子．山木》：「直木先伐，甘井先竭。」清．洪昇《長生殿》第一五齣：「海南荔子味尤甘，楊娘娘偏喜啖。」
2.美好。《詩經．小雅．甫田》：「以祁甘雨，以介我稷黍，以穀我士女。」《左傳．昭公十一年》：「幣重而言甘，誘我也。」
[名]
1.美味的食物。《孟子．梁惠王上》：「為肥甘不足於口與？」晉．陶淵明〈有會而作詩〉：「菽麥實所羨，孰敢慕甘肥？」
2.姓。如秦代有甘茂。
3.二一四部首之一。
[動]
順遂。《左傳．莊公九年》：「管召讎也，請受而甘心焉。」
[副]
樂意、情願、自願。如：「甘願」、「甘拜下風」、「自甘墮落」。《詩經．齊風．雞鳴》：「蟲飛薨薨，甘與子同夢。」</t>
  </si>
  <si>
    <t>泔</t>
  </si>
  <si>
    <t>[名]
淘米的水。宋．蘇軾〈鳳翔八觀詩．東湖〉：「有山禿如赭，有水濁如泔。」
[動]
一種調理食物的方法。用米汁浸漬食品。《荀子．大略》：「曾子食魚有餘，曰：『泔之。』門人曰：『泔之傷人，不若奧之。』」
[形]
參見「泔淡」條。</t>
  </si>
  <si>
    <t>坩</t>
  </si>
  <si>
    <t>[名]
1.罐甕之類盛食物的陶土器。唐．陸龜蒙〈京口與友生話別〉詩：「蜀酒時傾瓿，吳蝦遍發坩。」
2.參見「坩堝」條。</t>
  </si>
  <si>
    <t>柑</t>
  </si>
  <si>
    <t>[名]
植物名。芸香科柑桔屬，一群「柑果」供食用之柑桔屬果樹之混稱，包括「蜜柑」、「椪柑」、「橘」等。常綠灌木或小喬木。莖高約四至五公尺。葉互生，橢圓或長橢圓形，鋸齒緣狀。果扁球形，果皮粗糙，成熟後呈金黃色，味甘美。樹皮、葉子、花、果皮、種子等都可入藥。此類植物的果實也稱為「柑」。如：「椪柑」、「金柑」。</t>
  </si>
  <si>
    <t>(二)ㄑㄧㄢˊ qián（06466）</t>
  </si>
  <si>
    <t>苷</t>
  </si>
  <si>
    <t>[名]
1.甘草。《說文解字．艸部》：「苷，甘草也。」
2.參見「糖苷類」、「核苷」、「核苷酸」等條。</t>
  </si>
  <si>
    <t>疳</t>
  </si>
  <si>
    <t>[名]
中醫上指局部潰爛、化膿的症狀。如：「牙疳」、「下疳」。</t>
  </si>
  <si>
    <t>乾</t>
  </si>
  <si>
    <t>[形]
1.沒有水分或缺乏水分的。與「溼」相對。如：「乾柴」、「乾毛巾」。
2.枯竭。如：「外強中乾」。
3.聲音清脆響亮。唐．岑參〈虢州西亭陪端公宴集〉詩：「開瓶酒色嫩，踏地葉聲乾。」
4.結拜認來的親屬關係。如：「乾媽」、「乾爹」。
[名]
經脫水加工製成的乾燥食品。如：「餅乾」、「牛肉乾」、「鹹菜乾」。
[動]
1.變乾燥。如：「油漆未乾」。
2.竭盡、乾涸。如：「乾杯」。《山海經．北山經》：「教水出焉，西流注于河，是水冬乾而夏流。」
3.怠慢、置之不理。《兒女英雄傳》第三〇回：「從今日起，且乾著他，不理他，他兩個自然該有些著慌。」
[副]
1.沒有剩餘。如：「他把人家的積蓄都榨乾了。」
2.徒然、白白的。如：「乾等」、「乾瞪眼」。《紅樓夢》第一二回：「熱鍋上螞蟻一般，只是乾轉。」
3.表面的、形式的。如：「乾笑」。《水滸傳》第二五回：「當下那婦人乾號了半夜。」</t>
  </si>
  <si>
    <t>(一)ㄑㄧㄢˊ qián（06473）</t>
  </si>
  <si>
    <t>尷</t>
  </si>
  <si>
    <t>(二)（又音）ㄐㄧㄢ jiān（05762）</t>
  </si>
  <si>
    <t>皯</t>
  </si>
  <si>
    <t>ㄍㄢˇ</t>
  </si>
  <si>
    <t>gǎn</t>
  </si>
  <si>
    <t>[形]
皮膚黝黑粗糙。《列子．黃帝》：「焦然肌色皯黣，昏然五情爽惑。」</t>
  </si>
  <si>
    <t>桿</t>
  </si>
  <si>
    <t>[名]
1.細長形的棍狀物。如：「筆桿」、「槍桿」。
2.量詞。計算細長物的單位。如：「兩桿槍」、「一桿秤」。</t>
  </si>
  <si>
    <t>稈</t>
  </si>
  <si>
    <t>[名]
禾本科植物的莖，常中空有節。《說文解字．禾部》：「稈，禾莖也。」如：「稻稈」、「麥稈」、「高粱稈」。也稱為「稈子」。</t>
  </si>
  <si>
    <t>趕</t>
  </si>
  <si>
    <t>[動]
1.加速行動。如：「趕路」、「趕夜工」。
2.在後面驅策。如：「趕牛」、「趕鴨子」。《恨海》第五回：「車夫趕著牲口，逕投南道上去了。」
3.從後面追。如：「追趕」、「迎頭趕上」。
4.趁著。《金瓶梅》第二二回：「今日趕娘不在家，要和你會會兒。」《儒林外史》第三九回：「趕熱好吃。」
5.恰好遇到、碰上。如：「整修房屋偏趕上颳颱風，真是天公不作美。」
[形]
急促。如：「這次行程安排的太趕了。」
[介]
等到。如：「現在時間太晚了，趕明兒個我再去替你辦這件事。」《紅樓夢》第七七回：「已遣人去，趕晚就有回信的。」</t>
  </si>
  <si>
    <t>敢</t>
  </si>
  <si>
    <t>[形]_x000D_
有膽識、毫不畏懼人的。如：「果敢」。《荀子．非十二子》：「齊給速通，不爭先人，剛毅勇敢，不以傷人。」_x000D_
[副]_x000D_
1.有膽量、不畏懼。如：「敢作敢當」。《史記．卷七七．魏公子列傳》：「吾攻趙旦暮且下，而諸侯敢救者，已拔趙，必移兵先擊之。」_x000D_
2.表示冒昧。如：「敢請」。唐．李白〈為宋中丞自薦表〉：「不勝慺慺之至，敢陳薦以聞。」《水滸傳》第一六回：「敢問軍師用甚計策，賺得本人上山？」_x000D_
3.豈。《左傳．昭公三十一年》：「若得從君而歸，則固臣之願也，敢有異心！」_x000D_
4.莫非、大概。元．關漢卿《竇娥冤》第一折：「你敢是不肯，故意將錢鈔哄我？」《水滸傳》第五三回：「不是我，你敢錯認了！」</t>
  </si>
  <si>
    <t>澉</t>
  </si>
  <si>
    <t>[名]
1.參見「澉浦」條。
2.姓。如明代有澉仁亮。</t>
  </si>
  <si>
    <t>撖</t>
  </si>
  <si>
    <t>[名]
姓。如明代有撖大經。</t>
  </si>
  <si>
    <t>橄</t>
  </si>
  <si>
    <t>感</t>
  </si>
  <si>
    <t>[動]
1.震撼。《說文解字．心部》：「感，動人心也。」如：「感動」。《易經．咸卦．彖曰》：「聖人感人心而天下和平。」
2.接觸、引起。如：「感染」。《紅樓夢》第四二回：「太夫人並無別症，不過偶感一點風涼。」
3.覺得。如：「頗感意外」、「深感不安」。
4.互相影響、應和。《易經．咸卦．彖曰》：「天地感而萬物化生。」
5.傷嘆。如：「感嘆」。《文選．陶淵明．歸去來辭》：「善萬物之得時，感吾生之行休。」唐．杜甫〈春望〉詩：「感時花濺淚，恨別鳥驚心。」
6.對別人所給的好處表示謝意。如：「感恩」、「感激」、「銘感五內」。《文選．張華．答何劭詩二首之二》：「是用感嘉貺，寫心出中誠。」宋．歐陽修〈代贈田文初〉詩：「感君一顧重千金，贈君白璧為妾心。」
[名]
1.受到外來刺激所引起的情緒反應。如：「快感」、「好感」、「百感交集」。晉．陸機〈愍思賦．序〉：「故作此賦，以紓慘惻之感。」
2.某種自我認知的看法或想法。如：「幽默感」、「責任感」、「自卑感」、「成就感」。</t>
  </si>
  <si>
    <t>(二)ㄏㄢˋ hàn（04886）</t>
  </si>
  <si>
    <t>擀</t>
  </si>
  <si>
    <t>[動]
用棍棒來回輾平、壓薄。如：「擀麵」、「擀餃子皮」。</t>
  </si>
  <si>
    <t>簳</t>
  </si>
  <si>
    <t>[名]
一種細竹子。可製為箭桿。唐．李賀〈長平箭頭歌〉：「白翎金簳雨中盡，直餘三脊殘狼牙。」</t>
  </si>
  <si>
    <t>旰</t>
  </si>
  <si>
    <t>ㄍㄢˋ</t>
  </si>
  <si>
    <t>gàn</t>
  </si>
  <si>
    <t>[名]
晚上，日落的時候。《說文解字．日部》：「旰，晚也。」《後漢書．卷七九．儒林傳上．尹敏傳》：「與班彪親善，每相遇，輒日旰忘食，夜分不寢。」《文選．謝朓．詶王晉安詩》：「拂霧朝青閣，日旰坐彤闈。」</t>
  </si>
  <si>
    <t>骭</t>
  </si>
  <si>
    <t>[名]
小腿骨。《廣韻．去聲．諫韻》：「骭，脛骨。」《新唐書．卷二二二．南蠻傳上．南詔傳上》：「衣青布短褲，露骭。」</t>
  </si>
  <si>
    <t>倝</t>
  </si>
  <si>
    <t>[形]
日出時光芒四射的樣子。《說文解字．倝部》：「倝，日始出，光倝倝也。」</t>
  </si>
  <si>
    <t>幹</t>
  </si>
  <si>
    <t>[名]
1.築牆時支撐在牆兩端的木材。同「榦」。《說文解字．木部》：「榦，築牆耑木也。」清．段玉裁．注：「榦，俗作幹。」漢．揚雄《法言．五百》：「經營，然後之幹楨之克立也。」
2.事物的主體部分。如：「軀幹」、「樹幹」、「骨幹」。
3.事情。如：「有何貴幹？」《水滸傳》第一四回：「都頭有甚公幹到這里？」
4.才能。《三國志．卷六二．吳書．胡綜傳》：「沖平和有文幹，天紀中為中書令。」
5.姓。如宋代有幹沖。
[形]
主要的。如：「幹道」、「幹線」、「幹部」。
[動]
從事、營求。如：「他是幹那一行的？」《三國演義》第九二回：「他兩個是吾子姪輩，尚且爭先幹功。」</t>
  </si>
  <si>
    <t>(二)ㄏㄢˊ hán（04858）</t>
  </si>
  <si>
    <t>榦</t>
  </si>
  <si>
    <t>[名]
1.築牆時支撐在牆兩側的柱子。《說文解字．木部》：「榦，築牆耑木也。」《資治通鑑．卷二一三．唐紀二十九．玄宗開元十五年》：「板榦裁立，吐蕃猝至，城中相顧失色，莫有鬥志。」
2.事物的主體部分。《淮南子．主術》：「枝不得大於榦，末不得強於本。」</t>
  </si>
  <si>
    <t>(二)ㄏㄢˊ hán（04859）</t>
  </si>
  <si>
    <t>淦</t>
  </si>
  <si>
    <t>[動]
水滲入船中。《說文解字．水部》：「淦，水入船中也。」
[名]
1.河川名。發源於大陸地區江西省清江縣東南離嶺，北流經紫淦山入贛江。
2.姓。如明代有淦君鼎。</t>
  </si>
  <si>
    <t>紺</t>
  </si>
  <si>
    <t>[形]
微紅帶深青的。《說文解字．糸部》：「紺，帛深青而揚赤色也。」《文選．禰衡．鸚鵡賦》：「紺趾丹觜，綠衣翠衿。」</t>
  </si>
  <si>
    <t>贛</t>
  </si>
  <si>
    <t>[名]
1.大陸地區江西省的簡稱。
2.贛江：河川名。位於大陸地區江西省境內，有二源：西源為章水，源出江西省崇義縣聶都山；東源為貢水，源出福建省長汀縣。二水在贛縣北會合，乃稱贛江，北流注入鄱陽湖。
3.贛縣：縣名。位於大陸地區江西省南部。貢水、章水在此匯流，為贛南水陸交通中心，商業繁榮。</t>
  </si>
  <si>
    <t>(二)ㄍㄨㄥˋ gòng（04396）</t>
  </si>
  <si>
    <t>灨</t>
  </si>
  <si>
    <t>同「贛」。</t>
  </si>
  <si>
    <t>根</t>
  </si>
  <si>
    <t>ㄍㄣ</t>
  </si>
  <si>
    <t>gēn</t>
  </si>
  <si>
    <t>[名]_x000D_
1.植物的器官，大多向地下生長，具有固定、吸收水分及無機鹽的功能，某些種類，亦有貯藏養分的功能。如：「落葉歸根」。三國魏．曹植〈七步詩〉：「本自同根生，相煎何太急。」唐．李白〈為吳王謝責赴行在遲滯表〉：「流波思其舊浦，落葉墜於本根。」_x000D_
2.物體的基部、下部。如：「耳根」、「牙根」。唐．白居易〈早春〉詩：「滿庭田地溼，薺葉生牆根。」_x000D_
3.事物的本源。如：「禍根」、「病根」、「追根究底」。唐．獨孤及〈夢遠遊賦〉：「止水不波，浮雲無根。」宋．蘇軾〈李氏山房藏書記〉：「而後生科舉之士，皆束書不觀，遊談無根，此又何也。」_x000D_
4.事物的存底。如：「票根」、「存根」。_x000D_
5.姓。如周代有根牟子。_x000D_
[量]_x000D_
計算細長形物體的單位。如：「一根棍子」、「三根筷子」。_x000D_
[動]_x000D_
深植。《孟子．盡心上》：「君子所性，仁義禮智根於心。」_x000D_
[副]_x000D_
澈底的。如：「根絕」、「根除」。</t>
  </si>
  <si>
    <t>跟</t>
  </si>
  <si>
    <t>[名]
1.腳的後部。《說文解字．足部》：「跟，足踵也。」如：「腳後跟」。
2.鞋子的後部。如：「鞋跟」。
[動]
隨行、隨侍。《儒林外史》第三回：「范舉人先走，胡屠戶和鄰居跟在後面。」《紅樓夢》第四三回：「我茗烟跟二爺這幾年，二爺的心事我沒有不知道的。」
[介]
1.和、與。如：「我跟他一道去。」、「班長有事要跟大家商量。」
2.對、向。如：「我跟他說過了。」</t>
  </si>
  <si>
    <t>哏</t>
  </si>
  <si>
    <t>ㄍㄣˊ</t>
  </si>
  <si>
    <t>gén</t>
  </si>
  <si>
    <t>[名]
滑稽的言詞或動作。如：「逗哏」、「抓哏」。
[形]
可笑有趣。如：「你瞧，那個小丑的樣子多哏哪！」</t>
  </si>
  <si>
    <t>(二)ㄏㄣ hēn（04895）</t>
  </si>
  <si>
    <t>艮</t>
  </si>
  <si>
    <t>ㄍㄣˇ</t>
  </si>
  <si>
    <t>gěn</t>
  </si>
  <si>
    <t>[形]
1.食物堅韌不脆。如：「艮蘿蔔不好吃。」
2.耿直的。如：「這個人真艮！」
3.衣飾簡略無華彩。如：「他的衣物一向都是這麼艮的。」
4.語言粗率、不婉轉。如：「他的話太艮了。」</t>
  </si>
  <si>
    <t>(一)ㄍㄣˋ gèn（04085）</t>
  </si>
  <si>
    <t>亙</t>
  </si>
  <si>
    <t xml:space="preserve">二 </t>
  </si>
  <si>
    <t>ㄍㄣˋ</t>
  </si>
  <si>
    <t>gèn</t>
  </si>
  <si>
    <t>[動]
時間或空間延續不斷。如：「亙古」、「橫亙」、「綿亙數里」。《樂府詩集．卷四一．相和歌辭十六．南朝宋．鮑照．東武吟行》：「密途亙萬里，寧歲猶七奔。」
[副]
窮盡。《文選．張衡．南都賦》：「貯水渟洿，亙望無涯。」唐．李善．注：「亙，竟也。」
[名]
姓。如漢代有亙寬。</t>
  </si>
  <si>
    <t>(二)（又音）ㄍㄥˋ gèng（04129）</t>
  </si>
  <si>
    <t>[名]
1.《易經》卦名：(1)八卦之一。卦形為☶。象徵山。(2)六十四卦之一。艮（☶）下艮（☶）上。象動靜不失其時，則其道光明。
2.方位名。指東北方。《後漢書．卷五二．崔駰傳》：「遂翕翼以委命兮，受符守乎艮維。」唐．章懷太子．注：「艮，東北之位。」唐．歐陽詹〈棧道銘〉：「秦之坤，蜀之艮，連高夾深，九州之險也。」
3.姓。如漢代有艮當。
4.二一四部首之一。
[動]
靜止。《易經．艮卦．彖曰》：「艮，止也。」
[形]
堅固、堅硬。清．王念孫《廣雅疏證．卷一下．釋詁》：「艮，堅也。」疏證：「說卦傳云：『艮為山，為小石，皆堅之義也。』今俗語猶謂物堅不可拔曰艮。」</t>
  </si>
  <si>
    <t>(二)ㄍㄣˇ gěn（04083）</t>
  </si>
  <si>
    <t>茛</t>
  </si>
  <si>
    <t>[名]
植物名。毛茛科毛茛屬，多年生草本。全草被白色粗毛，多生於溼地、畦畔、路旁。莖直立，圓筒狀，中空。葉互生，圓心形，三深裂或中裂不達基部，表面光滑，葉背多毛。夏季開黃花，花瓣五枚。聚合果近球形，瘦果扁平。全株有毒，葉及種子主治惡瘡癰腫。也稱為「毛茛」、「毛建」、「水茛」。</t>
  </si>
  <si>
    <t>亢</t>
  </si>
  <si>
    <t>ㄍㄤ</t>
  </si>
  <si>
    <t>gāng</t>
  </si>
  <si>
    <t>[名]
脖子、咽喉。《說文解字．亢部》：「亢，人頸也。」《漢書．卷三二．張耳陳餘傳》：「乃仰絕亢而死。」唐．顏師古．注：「亢者，總謂頸耳。」</t>
  </si>
  <si>
    <t>(一)ㄎㄤˋ kàng（04542）</t>
  </si>
  <si>
    <t>笐</t>
  </si>
  <si>
    <t>[名]
1.竹列。《說文解字．竹部》：「笐，竹列也。」
2.一種竹製的弦樂器。《集韻．平聲．唐韻》：「笐，樂器，有弦。」</t>
  </si>
  <si>
    <t>扛</t>
  </si>
  <si>
    <t>[動]_x000D_
用兩手舉起重物。《後漢書．卷八二．方術列傳下．費長房》：「長房使人取之，不能勝，又令十人扛之，猶不舉。」唐．韓愈〈病中贈張十八〉詩：「龍文百斛鼎，筆力可獨扛。」</t>
  </si>
  <si>
    <t>(二)ㄎㄤˊ káng（04539）</t>
  </si>
  <si>
    <t>杠</t>
  </si>
  <si>
    <t>[名]
1.旗竿。《集韻．平聲．江韻》：「杠，旌旗干。」《儀禮．士喪禮》：「竹杠長三尺，置于宇西階上。」唐．韓愈〈病中贈張十八〉詩：「牛羊滿田野，解旆束空杠。」
2.小橋。《文選．左思．魏都賦》：「石杠飛梁，出控漳渠。」李善注引郭璞曰：「石杠謂石橋。」</t>
  </si>
  <si>
    <t>(二)ㄍㄤˋ gàng（04107）</t>
  </si>
  <si>
    <t>肛</t>
  </si>
  <si>
    <t>參見「肛門」條。</t>
  </si>
  <si>
    <t>缸</t>
  </si>
  <si>
    <t>[名]
1.一種盛裝、儲藏東西的容器。圓形、寬口、腹大、底小。舊時用陶、瓷、玻璃等製成，現代亦有塑膠製成。如：「醬缸」、「水缸」、「魚缸」。
2.像缸一樣的器物。如：「汽缸」、「茶缸」、「菸灰缸」。</t>
  </si>
  <si>
    <t>釭</t>
  </si>
  <si>
    <t>[名]
1.車轂口穿軸用的金屬圈。《說文解字．金部》：「釭，車轂中鐵也。」
2.燈。《文選．江淹．別賦》：「夏簟清兮晝不暮，冬釭凝兮夜何長。」元．王實甫《西廂記．第三本．第二折》：「絳臺高，金荷小，銀釭猶燦。」</t>
  </si>
  <si>
    <t>岡</t>
  </si>
  <si>
    <t>[名]
山脊、山嶺。如：「山岡」。《書經．胤征》：「火炎崑岡，玉石俱焚。」《楚辭．王逸．九思．守志》：「陟玉巒兮逍遙，覽高岡兮嶢嶢。」</t>
  </si>
  <si>
    <t>(二)（又音）ㄍㄤˇ gǎng（04104）</t>
  </si>
  <si>
    <t>剛</t>
  </si>
  <si>
    <t>[形]
1.堅硬的。《齊民要術．卷一〇．梓棪》：「《異物志》曰：『梓棪大十圍，材貞勁，非利剛截不能剋。』」唐．柳宗元〈貞符詩．序〉：「齒利者齧，爪剛者決。」
2.強勁的。如：「剛強」。《論語．季氏》：「及其壯也，血氣方剛，戒之在鬥。」
3.正直無私。如：「剛正不阿」。
[副]
1.表示時間，指情況或行動不久前才發生過，相當於「才」、「方才」。如：「天剛亮，媽媽就起床幹活了。」
2.恰好。如：「剛好」。
[名]
姓。如清代有剛林。</t>
  </si>
  <si>
    <t>掆</t>
  </si>
  <si>
    <t>[動]
舉。同「扛」。玉篇．手部：「掆，舉。」</t>
  </si>
  <si>
    <t>崗</t>
  </si>
  <si>
    <t>同「岡」。</t>
  </si>
  <si>
    <t>(二)ㄍㄤˇ gǎng（04105）</t>
  </si>
  <si>
    <t>犅</t>
  </si>
  <si>
    <t>[名]
公牛。明．李時珍《本草綱目．卷五〇．獸部．牛》：「《釋名》：牛之牡者曰牯、曰特、曰犅。」</t>
  </si>
  <si>
    <t>綱</t>
  </si>
  <si>
    <t>[名]
1.維繫網的粗繩。《說文解字．糸部》：「綱，網紘也。」《書經．盤庚上》：「若網在綱，有條而不紊。」唐．杜甫〈又觀打魚〉詩：「蒼江魚子清晨集，設網提綱取魚急。」
2.文章、言論或事物的主要部分。如：「大綱」、「總綱」、「提綱挈領」。《詩經．大雅．卷阿》：「豈弟君子，四方為綱。」《紅樓夢》第五六回：「自家雖是興利節用為綱，然亦不可太過。」
3.秩序、法紀。如：「綱紀」、「綱常」。《史記．卷九二．淮陰侯列傳》：「秦之綱絕而維弛，山東大擾，異姓并起，英俊烏集。」《晉書．卷二九．五行志下》：「近習用事，漸亂國綱。」
4.舊時成批運送貨物的組織。如：「鹽綱」、「茶綱」、「生辰綱」。《新唐書．卷五三．食貨志三》：「（何）晏為歇艎支江船二千艘，每船受千斛，十船為綱，每綱三百人，篙工五十。」
5.生物學上分類系統所用的階級之一，分階於門之下，由一群親緣關係相近之「目」所組成。如：「哺乳綱」、「界、門、綱、目、科、屬、種。」</t>
  </si>
  <si>
    <t>鋼</t>
  </si>
  <si>
    <t>[名]
鐵和碳的合金。比生鐵堅韌，比熟鐵質硬。依含碳量可分為柔鋼、建築用鋼及硬鋼等，是工業上極重要的材料。</t>
  </si>
  <si>
    <t>(二)ㄍㄤˋ gàng（04109）</t>
  </si>
  <si>
    <t>罡</t>
  </si>
  <si>
    <t>參見「罡風」、「天罡」等條。</t>
  </si>
  <si>
    <t>堽</t>
  </si>
  <si>
    <t>[名]
1.山脊、山嶺。同「岡」。《廣韻．平聲．唐韻》：「崗，又作堽，並俗。」《五代史平話．梁史．卷上》：「那樹林深處見一個小小地莊舍，僻靜田地裡，前臨剪徑道，背靠殺人堽。」
2.參見「堽頭」條。</t>
  </si>
  <si>
    <t>韁</t>
  </si>
  <si>
    <t>(一)ㄐㄧㄤ jiāng（05701）</t>
  </si>
  <si>
    <t>ㄍㄤˇ</t>
  </si>
  <si>
    <t>gǎng</t>
  </si>
  <si>
    <t>(一)ㄍㄤ gāng（04094）</t>
  </si>
  <si>
    <t>[名]
1.(一)之又音。
2.高起如小山的土坡。如：「黃土崗」。
3.守衛、值勤時的處所。如：「崗哨」、「站崗」。
4.比喻職責、本分。如：「每個人都應堅守自己的工作崗位。」</t>
  </si>
  <si>
    <t>(一)ㄍㄤ gāng（04097）</t>
  </si>
  <si>
    <t>港</t>
  </si>
  <si>
    <t>[名]
1.河流或海灣深曲處，可以停泊船隻的口岸。如：「海港」、「商港」、「軍港」。
2.大陸地區香港的簡稱。如：「港九」、「港澳」。</t>
  </si>
  <si>
    <t>ㄍㄤˋ</t>
  </si>
  <si>
    <t>gàng</t>
  </si>
  <si>
    <t>同「槓」。</t>
  </si>
  <si>
    <t>(一)ㄍㄤ gāng（04090）</t>
  </si>
  <si>
    <t>槓</t>
  </si>
  <si>
    <t>[名]
1.較粗的棍子。如：「木槓」、「鐵槓」。
2.一種體操器材。如：「單槓」、「雙槓」、「高低槓」。
3.作為標記或刪除的線條。如：「槓子」、「老師批改作文十分用心，凡是有錯誤的地方，都會畫紅槓。」
[動]
1.把刀等有刃器具，在皮、布、石磨擦，使刃鋒利。如：「槓刀」。
2.劃線條以示標記或刪除。如：「他把文意不通的句子槓掉了。」
3.吵嘴，自以為是而好與人爭辯。如：「他今天和我槓上了。」《文明小史》第一七回：「如今久別相逢，難為情見面就抬槓，只得趁勢打住話頭，另談別事。」</t>
  </si>
  <si>
    <t>[動]
把刀在皮、布、磨刀石等上磨或重新打造，使刀變利。如：「你把刀子拿去鋼一鋼。」</t>
  </si>
  <si>
    <t>(一)ㄍㄤ gāng（04100）</t>
  </si>
  <si>
    <t>戇</t>
  </si>
  <si>
    <t>(一)ㄓㄨㄤˋ zhuàng（08129）</t>
  </si>
  <si>
    <t>更</t>
  </si>
  <si>
    <t>ㄍㄥ</t>
  </si>
  <si>
    <t>gēng</t>
  </si>
  <si>
    <t>[動]
1.改換、改變。如：「更改」、「變更」。唐．王維〈秋夜曲〉：「桂魄初生秋露微，輕羅已薄未更衣。」唐．元稹〈估客樂〉詩：「自茲相將去，誓死意不更。」
2.調換、交替。如：「更代」、「交更」。《左傳．昭公三年》：「景公欲更晏子之宅。」《浮生六記．卷二．閒情記趣》：「多編數屏，隨意遮攔，恍如綠陰滿窗，透風蔽日，紆迴曲折，隨時可更，故曰活花屏。」
3.經歷、經過。如：「少不更事」。《漢書．卷六一．張騫李廣利傳．張騫》：「漢方欲事滅胡，聞此言，欲通使，道必更匈奴中，乃募能使者。」唐．柳宗元〈小石城山記〉：「更千百年，不得一售其伎，是固勞而無用，神者倘不宜如是，則其果無乎？」宋．陸游〈春夜讀書感懷〉詩：「悲哉白髮翁，世事已飽更。」
4.抵償、償還。《史記．卷三〇．平準書》：「悉巴、蜀租賦不足以更之，乃募豪民田南夷，入粟縣官，而內受錢於都內。」《淮南子．詮言訓》：「功之成也不足以更責，事之敗也不足以敝身。」
[名]
1.古代表示夜間計時的單位。一夜分為五更，每更約兩小時。如：「更深半夜」、「三更燈火五更雞」。五代十國．李煜〈浪淘沙．簾外雨潺潺〉詞：「簾外雨潺潺，春意闌珊，羅衾不耐五更寒。」
2.指更鼓聲。唐．王維〈冬晚對雪憶胡居士家〉詩：「寒更傳曉箭，清鏡覽衰顏。」宋．孫光憲〈更漏子．聽寒更〉詞：「聽寒更，聞遠雁，半夜蕭娘深院。」
3.古代年長致仕而經驗豐富的長老。如：「三老五更」。
4.古代一種替代徭役的名稱。如：「更賦」。
5.姓。如戰國時魏國有更羸。</t>
  </si>
  <si>
    <t>(二)ㄐㄧㄥ jīng（05916）(三)ㄍㄥˋ gèng（04131）</t>
  </si>
  <si>
    <t>粳</t>
  </si>
  <si>
    <t>[名]
一種稻米類型。葉片較狹而短，色深綠，莖稈較矮、較堅硬。穀粒呈短圓形，內外穎上細毛多而長，米飯煮起來較軟。粳稻一般學術上稱為「日本型稻」或「中國型稻」，其米粒直鏈性澱粉含量為百分之十八至二十五。俗稱的「蓬萊米」，即屬於粳稻類型。</t>
  </si>
  <si>
    <t>(二)（語音）ㄐㄧㄥ jīng（05917）</t>
  </si>
  <si>
    <t>庚</t>
  </si>
  <si>
    <t>[名]_x000D_
1.天干的第七位。_x000D_
2.年齡、年歲。如：「同庚」、「貴庚」。_x000D_
3.姓。如唐代有庚季良。_x000D_
[動]_x000D_
償付。《禮記．檀弓下》：「季子皐葬其妻，犯人之禾。申祥以告曰：『請庚之。』」漢．鄭玄．注：「庚，償也。」</t>
  </si>
  <si>
    <t>焿</t>
  </si>
  <si>
    <t>[名]
常見的臺灣民俗食品：(1)一種需經勾芡、加料的濃稠羹湯。作法雖似傳統的羹，但在「魷魚焿」、「肉焿」上多用此字。吳瀛濤《臺灣民俗．第九章．食住．飲食攤》：「焿類：魷魚焿、肉焿、蠔仔焿。」(2)指用來煮成焿的魚或肉的材料。外表需裹以魚漿，事先煮熟待用。</t>
  </si>
  <si>
    <t>賡</t>
  </si>
  <si>
    <t>[動]_x000D_
抵償。《管子．國蓄》：「智者有什倍人之功，愚者有不賡本之事。」唐．尹知章．注：「賡，猶償也。」_x000D_
[副]_x000D_
連續、繼續。《書經．益稷》：「乃賡載歌曰：『元首明哉，股肱良哉。』」漢．孔安國．傳：「賡，續。」唐．李白〈明堂賦〉：「千里鼓舞，百寮賡歌。」</t>
  </si>
  <si>
    <t>鶊</t>
  </si>
  <si>
    <t>參見「鶬鶊」條。</t>
  </si>
  <si>
    <t>耕</t>
  </si>
  <si>
    <t>[動]
1.犁田、種植。如：「耕田」、「耕地」。《論語．微子》：「長沮、桀溺耦而耕，孔子過之。」
2.比喻謀生。如：「舌耕」、「筆耕」。《文選．任昉．為蕭揚州薦士表》：「既筆耕為養，亦傭書成學。」
[形]
從事耕種的。如：「耕叟」。南朝梁．沈約〈齊故安陸昭王碑〉：「耕夫釋耒，桑婦下機。」</t>
  </si>
  <si>
    <t>(二)（語音）ㄐㄧㄥ jīng（05931）</t>
  </si>
  <si>
    <t>緪</t>
  </si>
  <si>
    <t>[名]
粗大的繩索。《說文解字．糸部》：「緪，大索也。」清．王士禎〈愁霖行〉：「涒灘之歲陰氣凝，愁霖不絕如貫緪。」
[動]
繃急琴弦。《楚辭．屈原．九歌．東君》：「緪瑟兮交鼓，簫鍾兮瑤虡。」漢．王逸．注：「緪，急張絃也。」</t>
  </si>
  <si>
    <t>[名]_x000D_
用肉、菜等勾芡煮成的濃湯。《左傳．隱公元年》：「未嘗君之羹，請以遺之。」三國魏．曹植〈七步詩〉：「煮豆持作羹，漉鼓以為汁。」_x000D_
[動]_x000D_
一種烹飪方法。材料加水或高湯煮滾，用芡粉勾芡成薄糊狀。</t>
  </si>
  <si>
    <t>(二)ㄌㄤˊ láng（03364）</t>
  </si>
  <si>
    <t>埂</t>
  </si>
  <si>
    <t>ㄍㄥˇ</t>
  </si>
  <si>
    <t>gěng</t>
  </si>
  <si>
    <t>[名]
1.小坑。《玉篇．土部》：「埂，小坑也。」
2.田地裡可供行走及區劃田界的小土堤或小路。如：「田埂」、「土埂」。</t>
  </si>
  <si>
    <t>郠</t>
  </si>
  <si>
    <t>[名]
地名。春秋時莒邑。約在今大陸地區山東省沂水縣境。</t>
  </si>
  <si>
    <t>哽</t>
  </si>
  <si>
    <t>[動]
1.因情緒激動，而發不出聲音來。如：「哽咽」。《南史．卷一四．宋宗室及諸王傳下．文帝諸子傳》：「因把姬手南望慟哭，左右莫不哀哽。」
2.噎住、無法下嚥。《抱朴子．外篇．任能》：「故口不容而強吞之者必哽。」</t>
  </si>
  <si>
    <t>梗</t>
  </si>
  <si>
    <t>[名]
1.植物的枝莖。如：「花梗」、「菜梗」。《戰國策．齊策三》：「吾西岸之土也，土則復西岸耳，今子東國之桃梗也。」唐．杜甫〈舟中出江陵南浦奉寄鄭少尹審〉詩：「鳴螿隨汎梗，別燕起秋菰。」
2.大概。如：「梗概」。《文選．張衡．東京賦》：「故粗為賓言其梗概如此。」
[動]
1.阻塞。如：「從中作梗」。《北史．卷六七．令狐整傳》：「先是州縣生梗，長吏多不得之官，寄政於總管府。」《聊齋志異．卷一一．陳雲棲》：「音耗遂梗，久不如黃省問。」
2.向上挺直。《紅樓夢》第二三回：「鳳姐聽了，把頭一梗。」
[形]
剛正直爽。如：「梗直」、「風骨梗正」。</t>
  </si>
  <si>
    <t>綆</t>
  </si>
  <si>
    <t>[名]
汲水所用的繩子。《左傳．襄公九年》：「具綆缶，備水器。」晉．杜預．注：「綆，汲索。」唐．劉禹錫〈武陵觀火詩〉：「操綆不暇汲，循牆還避踰。」</t>
  </si>
  <si>
    <t>骾</t>
  </si>
  <si>
    <t>[動]
骨頭卡在喉嚨裡。《說文解字．骨部》：「骾，食骨留咽中也。」如：「如骾在喉」。
[形]
耿直。《漢書．卷六〇．杜周傳》：「王氏世權日久，朝無骨骾之臣。」明．陸采《懷香記》第一四齣：「明為軍機，豈容暫停。既承君命，若抗辭推避非忠骾。」</t>
  </si>
  <si>
    <t>鯁</t>
  </si>
  <si>
    <t>[名]_x000D_
1.魚骨、魚刺。《說文解字．魚部》：「鯁，魚骨也。」_x000D_
2.禍害。《國語．晉語六》：「今治政而內亂，不可謂德；除鯁而避彊，不可謂刑。」《後漢書．卷六五．皇甫張段列傳．段熲》：「昔先零作寇，……始服終叛，至今為鯁。」_x000D_
[動]_x000D_
1.魚骨刺在喉嚨中。《廣韻．上聲．梗韻》：「鯁，刺在喉。」如：「骨鯁在喉，不吐不快。」《禮記．內則》：「魚去乙。」漢．鄭玄．注：「今東海容魚有骨名乙，在目旁，狀如篆乙，食之鯁人不可出。」_x000D_
2.阻塞不通。南朝梁．庾肩吾〈亂後行經吳郵亭詩〉：「獯戎鯁伊洛，雜種亂轘轅。」宋．蘇軾〈張文定公墓誌銘〉：「餉道一鯁，兵安所仰食？」_x000D_
[形]_x000D_
正直、耿直。《史記．卷八六．刺客列傳．專諸》：「方今吳外困于楚，而內空無骨鯁之臣，是無如我何。」《隋書．卷三九．列傳．陰壽》：「性剛鯁，有不可奪之志。」</t>
  </si>
  <si>
    <t>耿</t>
  </si>
  <si>
    <t>[形]
1.明亮的、光大的。如：「耿月」。《書經．立政》：「以覲文王之耿光，以揚武王之大烈。」
2.正直不阿的。如：「耿介」、「耿直」。唐．韓愈〈南山詩〉：「參差相疊重，剛耿陵宇宙。」
3.悲傷、悲痛。《梁書．卷二七．殷鈞傳》：「知比諸德，哀頓為過，又所進殆無一溢，甚以酸耿。」
[動]
照耀。《國語．晉語三》：「若入，必伯諸侯以見天子，其光耿於民矣。」宋．陸游〈西村〉詩：「一首清詩記今夕，細雲新月耿黃昏。」
[名]
姓。如漢代有耿壽昌。</t>
  </si>
  <si>
    <t>頸</t>
  </si>
  <si>
    <t>[名]
脖子的後面部分。如：「脖頸兒」。</t>
  </si>
  <si>
    <t>(一)ㄐㄧㄥˇ jǐng（05940）</t>
  </si>
  <si>
    <t>ㄍㄥˋ</t>
  </si>
  <si>
    <t>gèng</t>
  </si>
  <si>
    <t>(一)ㄍㄣˋ gèn（04084）</t>
  </si>
  <si>
    <t>堩</t>
  </si>
  <si>
    <t>[名]
道路。《儀禮．既夕禮》：「唯君命止柩於堩，其餘則否。」《禮記．雜記下》：「非從柩與反哭，無免於堩。」漢．鄭玄．注：「堩，道路也。」</t>
  </si>
  <si>
    <t>[副]_x000D_
1.愈甚、越發。表示加重一層的語氣。如：「更好」、「更加努力」。唐．李白〈宣州謝朓樓餞別校書叔雲〉詩：「抽刀斷水水更流，舉杯銷愁愁更愁。」清．龔自珍〈己亥雜詩〉三一五首之五：「落紅不是無情物，化作春泥更護花。」_x000D_
2.再、復。唐．王之渙〈登鸛雀樓〉詩：「欲窮千里目，更上一層樓。」《紅樓夢》第一二〇回：「雨村聽著卻不明白，知仙機也不便更問。」_x000D_
3.竟然、終於。《全唐詩．卷七九八．花蕊夫人．述國亡詩》：「十四萬人齊解甲，更無一個是男兒。」_x000D_
4.豈、難道、那裡。唐．杜甫〈春日梓州登樓〉詩二首之二：「戰場今始定，移柳更能存。」《水滸傳》第一一〇回：「此是人之常情，更待多說？」_x000D_
5.縱使、即使、不論怎樣。五代十國．李煜〈清平樂．別來春半〉詞：「離恨恰如春草，更行更遠還生。」宋．柳永〈如魚水．輕靄浮空〉詞：「更歸去，偏歷鑾坡鳳沼，此景也難忘。」_x000D_
6.反而。漢．王充《論衡．奇怪》：「儒者稱聖人之生，不因人氣，更稟精於天。」</t>
  </si>
  <si>
    <t>(一)ㄍㄥ gēng（04111）(二)ㄐㄧㄥ jīng（05916）</t>
  </si>
  <si>
    <t>夃</t>
  </si>
  <si>
    <t xml:space="preserve">夂 </t>
  </si>
  <si>
    <t>ㄍㄨ</t>
  </si>
  <si>
    <t>gū</t>
  </si>
  <si>
    <t>[名]
購買物品時多得的東西。《說文解字．夂部》：「夃，秦人市買多得為夃。」</t>
  </si>
  <si>
    <t>估</t>
  </si>
  <si>
    <t>[動]
評定、推算。如：「估價」、「估計」、「評估」。《儒林外史》第五二回：「我前日新買了一匹馬，身材倒也還好，你估一估，值個甚麼價？」《兒女英雄傳》第一〇回：「那金銀的數目多少，都料估得出來。」</t>
  </si>
  <si>
    <t>(二)（(一)之又音）ㄍㄨˇ gǔ（04156）(三)ㄍㄨˋ gù（04188）</t>
  </si>
  <si>
    <t>沽</t>
  </si>
  <si>
    <t>[動]
1.買。如：「沽酒」。《紅樓夢》第二回：「意欲到那村肆中沽飲三杯，以助野趣。」
2.賣。如：「待價而沽」。《論語．子罕》：「有美玉於斯，韞櫝而藏諸？求善賈而沽諸？」
3.釣取、謀取。如：「沽名釣譽」。《文選．范曄．逸民傳論》：「彼雖硜硜有類沽名者，然而蟬蛻囂埃之中，自致寰區之外，異夫飾智巧以逐浮利者乎？」
[名]
參見「沽河」條。
[形]
粗略、簡略。《禮記．檀弓上》：「杜橋之母喪，宮中無相，以為沽也。」</t>
  </si>
  <si>
    <t>咕</t>
  </si>
  <si>
    <t>參見「咕嘟」、「咕咚」、「咕嚕」等條。</t>
  </si>
  <si>
    <t>姑</t>
  </si>
  <si>
    <t>[名]
1.稱謂：(1)婦女對丈夫母親的稱呼。如：「舅姑」、「翁姑」。《左傳．昭公二十八年》：「伯石始生，子容之母走謁諸姑。」漢．王充《論衡．偶會》：「父歿而子嗣，姑死而婦代。」(2)婦女對丈夫姐妹的稱呼。如：「姑嫂」、「大姑」、「小姑」。《樂府詩集．卷七三．雜曲歌辭十三．古辭．焦仲卿妻》：「卻與小姑別，淚落連珠子。」唐．李白〈去婦詞〉：「回頭語小姑，莫嫁如兄夫。」(3)子女對父親姐妹的稱呼。如：「姑媽」。《新唐書．卷一一五．狄仁傑傳》：「且姑姪與母子孰親？」
2.泛稱婦女。如：「小姑獨處」。《呂氏春秋．先識覽．先識》：「商王大亂，沉于酒德，辟遠箕子，爰近姑與息。」
3.出家修行的女子。如：「尼姑」、「道姑」。元．關漢卿《望江亭》第一折：「逐朝每日到俺這觀裡來，與貧姑攀話。」
4.姓。如春秋時越國有姑浮。
[副]
暫且。如：「姑且一試」。《左傳．隱公元年》：「多行不義必自斃，子姑待之。」</t>
  </si>
  <si>
    <t>蛄</t>
  </si>
  <si>
    <t>參見「螻蛄」、「蟪蛄」等條。</t>
  </si>
  <si>
    <t>酤</t>
  </si>
  <si>
    <t>[名]
酒。《詩經．商頌．烈祖》：「既載清酤，賚我思成。」《文選．左思．蜀都賦》：「酌清酤，割芳鮮，飲御酣，賓旅旋。」
[動]
1.買酒。《韓非子．外儲說右上》：「或令孺子懷錢挈壺罋而往酤。」唐．李頎〈送陳章甫〉詩：「東門酤酒飲我曹，心輕萬事如鴻毛。」
2.賣酒。《史記．卷一一七．司馬相如傳》：「盡賣其車騎，買一酒舍酤酒，而令文君當鑪。」《資治通鑑．卷一六．漢紀八．景帝中二年》：「夏，四月，地震。旱，禁酤酒。」元．胡三省．注：「酤，謂賣酒也。」</t>
  </si>
  <si>
    <t>菇</t>
  </si>
  <si>
    <t>[名]
菌類。如：「香菇」、「草菇」、「蘑菇」。</t>
  </si>
  <si>
    <t>鈷</t>
  </si>
  <si>
    <t>[名]
（cobalt，Co）化學元素。原子序27。過渡金屬元素之一。堅如鎳，色白而微紅，有延展性。可用於製造特種鋼和超耐熱合金，也可作玻璃和瓷器的藍色顏料。放射性鈷能代替鐳治療惡性腫瘤。</t>
  </si>
  <si>
    <t>(一)ㄍㄨˇ gǔ（04160）</t>
  </si>
  <si>
    <t>鴣</t>
  </si>
  <si>
    <t>參見「鷓鴣」、「鵓鴣」等條。</t>
  </si>
  <si>
    <t>呱</t>
  </si>
  <si>
    <t>(一)（語音）ㄨㄚ wā（11306）(三)ㄍㄨㄚ guā（04198）</t>
  </si>
  <si>
    <t>孤</t>
  </si>
  <si>
    <t>[形]
1.幼年喪父或無父母。如：「孤兒」。《管子．輕重》：「民生而無父母，謂之孤子。」《禮記．王制》：「少而無父者謂之孤。」
2.單獨。如：「孤雁」、「孤身前往」。唐．王維〈使至塞上〉詩：「大漠孤煙直，長河落日圓。」
3.特出、怪異。如：「孤僻」。《樂府詩集．卷四一．相和歌辭十六．南朝宋．鮑照．東武吟行》：「時事一朝異，孤績誰復論。」
[名]
1.戲劇中扮演官吏的角色。如：「淨扮孤」。宋．吳自牧《夢粱錄．卷二〇．妓樂》：「副淨色發喬，副末色打諢。或添一人，名曰『裝孤』。」
2.姓。如明代有孤啟。
[代]
古代王侯的自稱。《左傳．僖公三十三年》：「秦伯……曰：『孤違蹇叔，以辱二三子，孤之罪也。』」《禮記．曲禮下》：「庶方小侯，入天子之國曰某人，於外曰子，自稱曰孤。」
[動]
背棄、辜負。同「辜」。《文選．李陵．答蘇武書》：「陵雖孤恩，漢亦負德。」《三國演義》第三〇回：「一則不孤他仰望之心，二來也不負我遠來之意。」</t>
  </si>
  <si>
    <t>柧</t>
  </si>
  <si>
    <t>[名]
棱角。《說文解字．木部》：「柧，棱也。」清．段玉裁．注：「柧與棱二字互訓，……《通俗文》曰：『木四方為棱，八棱為柧。』」</t>
  </si>
  <si>
    <t>罛</t>
  </si>
  <si>
    <t>[名]
大漁網。《詩經．衛風．碩人》：「北流活活，施罛濊濊。」</t>
  </si>
  <si>
    <t>軱</t>
  </si>
  <si>
    <t>[名]
大骨。《莊子．養生主》：「技經肯綮之未嘗，而況大軱乎？」唐．成玄英．疏：「軱，大骨也。」</t>
  </si>
  <si>
    <t>菰</t>
  </si>
  <si>
    <t>[名]
1.植物名。禾本科菰屬，「菰菜」、「茭白筍」之古稱，參見「菰菜」條。
2.中國大陸江南地區稱菌類植物為「菰」。同「菇」。</t>
  </si>
  <si>
    <t>觚</t>
  </si>
  <si>
    <t>[名]
1.古代盛酒的器具，具有八個稜角。《說文解字．角部》：「觚，鄉飲酒之爵也。」《文選．劉伶．酒德頌》：「止則操卮執觚。」
2.稜角。《漢書．卷二五．郊祀志下》：「甘泉泰畤紫壇，八觚宣通象八法。」《新唐書．卷八〇．太宗諸子傳．曹王明傳》：「皋嘗自創意為欹器，以髤木上出五觚，下銳圓，為盂形。」
3.古代書寫的木簡。《文選．陸機．文賦》：「或操觚以率爾，或含毫而邈然。」唐．李善．注：「觚，木之方者，古人用之以書，猶今之簡也。」唐．劉禹錫〈劉氏集略說〉：「居江湖間，喜與屬詞者游，謬以為可教，視長者所行止，必操觚從之。」</t>
  </si>
  <si>
    <t>家</t>
  </si>
  <si>
    <t>[名]
對女子的尊稱。同「姑」。《後漢書．卷八四．列女傳．曹世叔妻傳》：「扶風曹世叔妻者，同郡班彪之女也，名昭……。帝數召入宮，令皇后諸貴人師事焉，號曰大家。」</t>
  </si>
  <si>
    <t>(一)ㄐㄧㄚ jiā（05489）</t>
  </si>
  <si>
    <t>骨</t>
  </si>
  <si>
    <t>參見「骨朵兒」條。</t>
  </si>
  <si>
    <t>(一)ㄍㄨˇ gǔ（04170）(三)ㄍㄨˊ gú（04154）</t>
  </si>
  <si>
    <t>辜</t>
  </si>
  <si>
    <t>[名]
1.罪、過錯。如：「無辜」、「死有餘辜」。《書經．大禹謨》：「與其殺不辜，寧失不經。」《明史．卷二．太祖本紀二》：「君則有罪，民復何辜？」
2.姓。如宋代有辜甫。
[動]
背負、虧欠。如：「辜負」。宋．周邦彥〈一寸金．州夾倉崖〉詞：「風輪雨橶，終辜前約。」</t>
  </si>
  <si>
    <t>箍</t>
  </si>
  <si>
    <t>[名]
束緊物體的環狀物。如：「頭箍」、「鐵箍」。《二十年目睹之怪現狀》第五六回：「夏作人沒法，又不曾裝好假辮子，只得把老婆的髭子，打了一條假辮，裝在涼帽箍裡面。」
[動]
束緊、勒緊。《儒林外史》第四回：「把那五十斤牛肉都堆在枷上，臉和頸子箍的緊緊的，只剩得兩個眼睛，在縣前示眾。」</t>
  </si>
  <si>
    <t>轂</t>
  </si>
  <si>
    <t>參見「轂轆」條。</t>
  </si>
  <si>
    <t>(一)ㄍㄨˇ gǔ（04182）</t>
  </si>
  <si>
    <t>ㄍㄨˊ</t>
  </si>
  <si>
    <t>gú</t>
  </si>
  <si>
    <t>參見「骨頭」、「骨碌」等條。</t>
  </si>
  <si>
    <t>(一)ㄍㄨˇ gǔ（04170）(二)ㄍㄨ gū（04150）</t>
  </si>
  <si>
    <t>古</t>
  </si>
  <si>
    <t>ㄍㄨˇ</t>
  </si>
  <si>
    <t>gǔ</t>
  </si>
  <si>
    <t>[名]
1.過去久遠的時代。與「今」相對。如：「古今中外」、「自古以來」。《呂氏春秋．仲冬季．長見》：「故審知今則可知古，知古則可知後。」唐．李賀〈古悠悠行〉：「今古何處盡，千歲隨風飄。」
2.過去的事物。如：「貴古賤今」、「信而好古」。《宋史．卷二六二．劉溫叟傳》：「儒者泥古，致詳於形名度數間，而不知清濁輕重之用。」
3.古體詩。如：「五古」、「七古」。
4.姓。如漢代有古霸。
[形]
1.過去的、舊的。如：「古人」、「古事」。元．馬致遠〈天淨沙．枯藤老樹昏鴉〉曲：「古道西風瘦馬，夕陽西下，斷腸人在天涯。」
2.質樸。如：「古樸」、「人心不古」。宋．蘇軾〈書黃子思詩集後〉：「獨韋應物、柳宗元發纖穠於簡古，寄至味於澹泊，非餘子所及也。」</t>
  </si>
  <si>
    <t>(一)ㄍㄨ gū（04133）(三)ㄍㄨˋ gù（04188）</t>
  </si>
  <si>
    <t>牯</t>
  </si>
  <si>
    <t>[名]
1.母牛。《玉篇．牛部》：「牯，牝牛。」
2.割去生殖器的公牛。明．張自烈《正字通．牛部》：「牯，俗呼牡牛曰牯。」</t>
  </si>
  <si>
    <t>罟</t>
  </si>
  <si>
    <t>[名]
網的總稱。清．王念孫《廣雅疏證．卷七下．釋器》：「罔謂之罟。」疏證：「此罔魚及鳥獸之通名。」《孟子．梁惠王上》：「數罟不入洿池，魚鱉不可勝食也。」
[動]
用網捕捉魚或鳥獸。晉．傅玄〈羽籥舞歌〉：「羲皇之初，天地開元。罔罟禽獸，群黎以安。」</t>
  </si>
  <si>
    <t>詁</t>
  </si>
  <si>
    <t>[動]
用現代的語言解釋古語或方言。《說文解字．言部》：「詁，訓故言也。」
[名]
字詞的解釋。宋．陸游〈萬卷樓記〉：「同字而異詁，同辭而異義。」</t>
  </si>
  <si>
    <t>(二)ㄍㄨ gū（04140）</t>
  </si>
  <si>
    <t>嘏</t>
  </si>
  <si>
    <t>[名]
1.福祉。《詩經．魯頌．閟宮》：「天錫公純嘏，眉壽保魯。」《清史稿．卷九七．樂志四》：「如南山壽，集嘏斯純。」
2.對主人祝福的言詞。如：「嘏辭」。《禮記．禮運》：「脩其祝嘏，以降上神與其先祖。」</t>
  </si>
  <si>
    <t>(二)ㄐㄧㄚˇ jiǎ（05520）</t>
  </si>
  <si>
    <t>䀇</t>
  </si>
  <si>
    <t>[名]
古代一種烹飪的器具。《說文解字．皿部》：「䀇，器也。」</t>
  </si>
  <si>
    <t>盬</t>
  </si>
  <si>
    <t>[名]
鹽池。《廣韻．上聲．姥韻》：「盬，鹽池。」
[動]
1.吸食。《左傳．僖公二十八年》：「晉侯夢與楚子搏，楚子伏己而盬其腦。」
2.停止。《詩經．唐風．鴇羽》：「王事靡盬，不能蓺稷黍。」
[形]
不堅固。《漢書．卷四五．息夫躬傳》：「簡練戎士，繕修干戈，器用盬惡，孰當督之！」</t>
  </si>
  <si>
    <t>[動]
突出、鼓起。通「鼓」。如：「凸著肚子」。</t>
  </si>
  <si>
    <t>(一)ㄊㄨˊ tú（02764）(二)（(一)之又音）ㄉㄧㄝˊ dié（02157）(三)（(一)之又音）ㄊㄨ tū（02759）</t>
  </si>
  <si>
    <t>𠑹</t>
  </si>
  <si>
    <t>[形]
壅蔽。《說文解字．𠑹部》：「𠑹，廱蔽也。」</t>
  </si>
  <si>
    <t>汩</t>
  </si>
  <si>
    <t>[動]_x000D_
1.亂。《抱朴子．外篇．用刑》：「夫法不立，則庶事汩矣。」宋．王安石〈送潮州呂使君〉詩：「有若大顛者，高材能動人。亦勿與為禮，聽之汩彞倫。」_x000D_
2.埋沒、消滅。唐．韓愈〈雜說〉：「感震電，神變化，水下土，汩陵谷。」明．徐弘祖《徐霞客遊記．卷一〇上．滇遊日記十二》：「自橋為水汩，乃取道翁溪。」_x000D_
[副]_x000D_
水急流的樣子。《楚辭．屈原．九章．懷沙》：「浩浩沅湘，分流汩兮。」</t>
  </si>
  <si>
    <t>(二)ㄩˋ yù（11648）</t>
  </si>
  <si>
    <t>谷</t>
  </si>
  <si>
    <t xml:space="preserve">谷 </t>
  </si>
  <si>
    <t>[名]
1.兩山間的水道或低地。如：「山谷」、「河谷」。《墨子．節用中》：「為大川廣谷之不可濟，於是利為舟楫。」《三國演義》第九〇回：「孔明棄車步行。忽到一山，望見一谷，形如長蛇，皆危峭石壁，並無樹木。」
2.窮困。《詩經．大雅．桑柔》：「人亦有言，進退維谷。」
3.姓。如漢代有谷吉。
4.二一四部首之一。</t>
  </si>
  <si>
    <t>(二)ㄩˋ yù（11653）</t>
  </si>
  <si>
    <t>股</t>
  </si>
  <si>
    <t>[名]
1.大腿。《左傳．僖公二十二年》：「公傷股，門官殲焉。」
2.事物的一部分，或指集合資金的一份。如：「合股」、「拆股」、「持股」。
3.機關或社團中的單位名稱。如：「文書股」、「總務股」。
4.與股票有關的。如：「股市」、「股友」。
5.直角三角形中較長的直角邊。
6.量詞：(1)計算力氣或氣體等的單位。如：「一股勁」、「一股幽香」。(2)計算條狀物的單位。如：「這條繩子是用三股粗麻編成的。」(3)計算成批人群的單位。如：「一股殘匪」。(4)計算股份的單位。如：「他擁有一千股。」</t>
  </si>
  <si>
    <t>羖</t>
  </si>
  <si>
    <t>[名]
黑色的公羊。《說文解字．羊部》：「羖，夏羊牡曰羖。」《爾雅．釋畜》：「牝羖。」晉．郭璞．注：「今人便以牂羖為白黑羊。」</t>
  </si>
  <si>
    <t>[名]
1.動物體內支持身體的支架組織。如：「筋骨」、「接骨」、「脊椎骨」、「脫胎換骨」。
2.支撐物體的架子。如：「龍骨」、「鋼骨」、「傘骨」。
3.氣概、風格。如：「傲骨」、「風骨」。唐．王維〈少年行〉四首之二：「孰知不向邊庭苦，縱死猶聞俠骨香。」
4.姓。如隋代有骨儀。
5.二一四部首之一。</t>
  </si>
  <si>
    <t>(二)ㄍㄨ gū（04150）(三)ㄍㄨˊ gú（04154）</t>
  </si>
  <si>
    <t>滑</t>
  </si>
  <si>
    <t>參見「滑稽」條。</t>
  </si>
  <si>
    <t>(一)ㄏㄨㄚˊ huá（05014）</t>
  </si>
  <si>
    <t>榾</t>
  </si>
  <si>
    <t>餶</t>
  </si>
  <si>
    <t>鶻</t>
  </si>
  <si>
    <t>參見「鶻鵃」、「鶻鳩」等條。</t>
  </si>
  <si>
    <t>(二)ㄏㄨˊ hú（04971）</t>
  </si>
  <si>
    <t>淈</t>
  </si>
  <si>
    <t>[動]
攪亂使其混濁。《楚辭．屈原．漁父》：「世人皆濁，何不淈其泥而揚其波？」漢．揚雄《法言．吾子》：「女惡華丹之亂窈窕也，書惡淫辭之淈法度也。」</t>
  </si>
  <si>
    <t>鼓</t>
  </si>
  <si>
    <t>[名]
1.樂器名，打擊樂器。用皮革蒙在中空木桶上所製成的樂器之泛稱，常以手、木棒或鼓槌擊奏。其形狀大小不一，聲音因其大小、深淺各有不同音量與音色。
2.二一四部首之一。
[動]
1.敲擊、拍擊、彈奏。如：「鼓掌」、「鼓琴」、「鼓瑟」。《詩經．小雅．白華》：「鼓鐘于宮，聲聞于外。」唐．孟郊〈上張徐州〉詩：「願鼓空桑弦，永使萬物和。」
2.振動。如：「鼓動風潮」。《易經．繫辭上》：「鼓之以雷霆，潤之以風雨。」晉．潘尼〈後園頌〉：「翔鳥鼓翼，游魚載浮。」
3.激勵、使振作。如：「鼓勵」、「鼓舞士氣」。</t>
  </si>
  <si>
    <t>臌</t>
  </si>
  <si>
    <t>[動]
膨脹。如：「臌脹」。
[名]
一種腸內發酵、蓄積氣體使腹部脹起如鼓的病。有氣臌、水臌兩種。</t>
  </si>
  <si>
    <t>瞽</t>
  </si>
  <si>
    <t>[名]
1.瞎眼的人。《莊子．逍遙遊》：「瞽者無以與乎文章之觀。」《元史．卷一〇五．刑法志四》：「諸瞽者毆人，因傷致死，杖一百七，徵燒埋銀給苦主。」
2.古代的樂官。《書經．胤征》：「瞽奏鼓，嗇夫馳，庶人走。」
3.沒有見識、無觀察力的人。《荀子．勸學》：「故未可與言而言謂之傲，可與言而不言謂之隱，不觀氣色而言謂之瞽。」</t>
  </si>
  <si>
    <t>賈</t>
  </si>
  <si>
    <t>[名]
做生意的人、商人。如：「書賈」、「商賈」、「行商坐賈」。《論語．子罕》：「韞匱而藏諸，求善賈而沽諸。」唐．李益〈江南曲〉：「嫁得瞿塘賈，朝朝誤妾期。」
[動]
1.買入。《左傳．昭公二十九年》：「平子每歲賈馬。」
2.賣出。如：「餘勇可賈」。
3.招致。如：「賈禍」、「賈怨」。</t>
  </si>
  <si>
    <t>(一)ㄐㄧㄚˇ jiǎ（05522）</t>
  </si>
  <si>
    <t>榖</t>
  </si>
  <si>
    <t>[名]
植物名。桑科構樹屬。「楮」、「構樹」之古稱，參見「楮」條。</t>
  </si>
  <si>
    <t>穀</t>
  </si>
  <si>
    <t>[名]
1.糧食作物的總稱。如：「百穀」、「五穀」。《史記．卷五十五．留侯世家》：「留侯性多病，即道引不食穀。」唐．顏仁郁〈農家〉詩：「時人不識農家苦，將謂田中穀自生。」
2.俸祿。《詩經．小雅．天保》：「天保定爾，俾爾戩穀。」漢．毛亨．傳：「戩，福也。穀，祿也。」《孟子．滕文公上》：「經界不正，井地不鈞，穀祿不平。」
3.姓。如漢代有穀思。
[動]
1.養育。《戰國策．齊策六》：「乃布令求百姓之饑寒者收穀之。」三國魏．曹植〈賞罰令〉：「穀千駑馬，不如養一驥。」
2.生存、生長。《詩經．王風．大車》：「穀則異室，死則同穴。」《後漢書．卷五九．張衡傳》：「發昔夢於木禾兮，穀崑崙之高岡。」
[形]
美善的。《詩經．陳風．東門之枌》：「穀旦于差，南方之原。」《管子．禁藏》：「氣情不營，則耳目穀，衣食足。」</t>
  </si>
  <si>
    <t>[名]
1.車輪中心的圓木。《老子》第一一章：「三十輻共一轂，當其無，有車之用。」《楚辭．屈原．九歌．國殤》：「操吳戈兮被犀甲，車錯轂兮短兵接。」
2.借指車。《文選．丘遲．與陳伯之書》：「朱輪華轂，擁旄萬里，何其壯也！」</t>
  </si>
  <si>
    <t>(二)ㄍㄨ gū（04153）</t>
  </si>
  <si>
    <t>鵠</t>
  </si>
  <si>
    <t>[名]
箭靶的中心目標。如：「鵠的」、「中鵠」。《禮記．射義》：「故射者各射己之鵠。」</t>
  </si>
  <si>
    <t>(一)ㄏㄨˊ hú（04974）</t>
  </si>
  <si>
    <t>蠱</t>
  </si>
  <si>
    <t>[名]
1.毒害人的小蟲。《新唐書．卷二〇四．方技傳．甄權傳》：「腹有蠱，誤食髮而然。」
2.以符咒等詛咒、害人的邪術。《漢書．卷四五．江充傳》：「是時，上春秋高，疑左右皆為蠱祝詛，有與亡，莫敢訟其冤者。」
3.《易經》卦名。六十四卦之一。巽（☴）下艮（☶）上。象上下不交之象。
[動]
迷惑。如：「蠱惑人心」。《左傳．莊公二十八年》：「楚令尹子元欲蠱文夫人，為館於其宮側而振萬焉」。《墨子．非儒下》：「孔某盛容脩飾以蠱世，弦歌鼓舞以聚徒。」</t>
  </si>
  <si>
    <t>ㄍㄨˋ</t>
  </si>
  <si>
    <t>gù</t>
  </si>
  <si>
    <t>[動]
規勸。參見「忠告」條。
[名]
參見「告朔」條。</t>
  </si>
  <si>
    <t>(一)ㄍㄠˋ gào（04005）</t>
  </si>
  <si>
    <t>梏</t>
  </si>
  <si>
    <t>[名]
一種古代的刑具。套在人犯的手上限制其行動。《說文解字．木部》：「梏，手械也。」如：「桎梏」。清．徐珂《清稗類鈔．武略類．轉菴和尚說韓大任就撫》：「置之獄，乃夜毀梏踰垣出，亡走滇南。」
[動]
套上、銬住、拘禁。《左傳．襄公六年》：「子蕩怒，以弓梏華弱于朝。」晉．杜預．注：「張弓以貫其頸，若械之在手，故曰梏。」</t>
  </si>
  <si>
    <t>牿</t>
  </si>
  <si>
    <t>[名]
圈養牛馬的地方。《說文解字．牛部》：「牿，牛馬牢也。」</t>
  </si>
  <si>
    <t>參見「估衣」條。</t>
  </si>
  <si>
    <t>(一)ㄍㄨ gū（04133）(二)（(一)之又音）ㄍㄨˇ gǔ（04156）</t>
  </si>
  <si>
    <t>固</t>
  </si>
  <si>
    <t>[形]_x000D_
1.結實、堅硬。如：「牢固」、「穩固」、「堅固」。《文選．古詩十九首．明月皎夜光》：「良無磐石固，虛名復何益？」_x000D_
2.堅定、確定。《韓非子．五蠹》：「罰莫如重而必，使民畏之；法莫如一而固，使民知之。」_x000D_
[動]_x000D_
1.安定。如：「鞏固國防」。《國語．魯語上》：「晉始伯而欲固諸侯，故解有罪之地以分諸侯。」《史記．卷五五．留侯世家》：「王何不燒絕所過棧道，示天下無還心，以固項王意？」_x000D_
2.禁閉。《漢書．卷八七．揚雄傳下》：「是以欲談者宛舌而固聲，欲行者擬足而投跡。」《三國志．卷一九．魏書．任城陳蕭王傳．陳思王植》：「國之綱紀，本無禁固諸國通問之詔也。」_x000D_
[副]_x000D_
1.堅決、堅持、極力。如：「固守」。《書經．大禹謨》：「禹拜稽首固辭。」《老殘遊記》第四回：「那人再三固讓。老殘仍送出大門，看那人上馬去了。」_x000D_
2.原來、一向。如：「固有道德」。《孟子．梁惠王上》：「百姓皆以王為愛也，臣固知王之不忍也。」_x000D_
3.當然、誠然。唐．柳宗元〈封建論〉：「州縣之設，固不可華也。」《聊齋志異．卷一一．王大》：「諂者固可誅，謬者亦可恨也。」_x000D_
4.姑且、暫且。《老子》第三六章：「將欲歙之，必固張之；將欲弱之，必固強之。」_x000D_
[名]_x000D_
姓。如春秋時晉國有固來。</t>
  </si>
  <si>
    <t>故</t>
  </si>
  <si>
    <t>[名]
1.原因、根由。如：「托故」、「無緣無故」、「不知何故」。《左傳．隱公元年》：「公語之故，且告之悔。」
2.意外的事情、事件。如：「變故」、「事故」、「家庭多故」。《左傳．昭公二十五年》：「昭伯問家故，盡對。」晉．杜預．注：「故，事也。」
3.好友、舊識。如：「沾親帶故」、「一見如故」。《隋書．卷七〇．李密傳》：「乃散家產，賙贍親故。」
4.過去的事物。如：「溫故知新」。《文選．班昭．東征賦》：「遂去故而就新兮，志愴悢而懷悲。」
[動]
死亡。如：「病故」、「身故」、「已故」、「父母早故」。
[形]
1.原來的、以前的。如：「故鄉」、「故國」、「故交」。《楚辭．宋玉．招魂》：「魂兮歸來，反故居些。」唐．王維〈春中田園作〉詩：「歸燕識故巢，舊人看新曆。」
2.死去的。如：「故總統」。
[副]
1.本來、從前。《左傳．昭公十三年》：「又奪成然邑而使為郊尹，蔓成然故事蔡公。」《荀子．性惡》：「凡禮義者，是生於聖人之偽，非故生於人之性也。」
2.有意、存心。如：「明知故犯」、「故弄玄虛」。南朝宋．劉義慶《世說新語．政事》：「我今故與林公來相看，望卿擺撥常物，應對玄言。」元．無名氏《陳州糶米》第一折：「他也故違了皇宣命，都是些吃倉廒的鼠耗，咂膿血的蒼蠅。」
3.仍舊、依然。《史記．卷四．周本紀》：「褒姒不好笑，幽王欲其笑萬方，故不笑。」唐．杜甫〈絕句漫興〉九首之三：「熟知茅齋絕低小，江上燕子故來頻。」
[連]
因此、所以。《論語．先進》：「求也退，故進之；由也兼人，故退之。」《史記．卷一．五帝本紀》：「余并論次，擇其言尤雅者，故著為本紀書首。」</t>
  </si>
  <si>
    <t>崮</t>
  </si>
  <si>
    <t>[名]
四周陡峭，頂端較平坦的山。如大陸地區山東省有抱犢崮、晏崮。</t>
  </si>
  <si>
    <t>痼</t>
  </si>
  <si>
    <t>[形]
根深蒂固，難以治療矯正的。如：「痼疾」、「痼習」、「痼癖」。</t>
  </si>
  <si>
    <t>錮</t>
  </si>
  <si>
    <t>[動]
1.熔鑄銅鐵來填塞孔隙。《說文解字．金部》：「錮，鑄塞也。」《漢書．卷三六．楚元王劉交傳》：「使其中有可欲，雖錮南山猶有隙，使其無可欲，雖無石椁，又何慼焉？」
2.禁止。《後漢書．卷二八上．桓譚傳》：「是以先帝禁人二業，錮商賈不得宦為吏。」
3.囚禁、監禁。《後漢書．卷五二．崔駰傳》：「董卓以是收烈付郿獄，錮之，鋃鐺鐵鎖。」
4.關、閉。《聊齋志異．卷一．嬌娜》：「宅何久錮？」</t>
  </si>
  <si>
    <t>雇</t>
  </si>
  <si>
    <t>[動]
1.出錢請人做事。如：「約雇」、「聘雇」。《京本通俗小說．菩薩蠻》：「忿一口氣，回店歇了一夜，早起算還了房宿錢，雇人挑了行李。」
2.租。如：「雇車」、「雇船」。《儒林外史》第四一回：「吵的船家同那戴破氈帽的漢子做好做歹，雇了一乘轎子。」《老殘遊記》第二〇回：「卻說老殘次日雇了一匹驢，馱了一個被搭子，吃了早飯，就往泰山東路行去。」
[形]
受雇的。如：「雇員」。宋．蘇軾〈乞罷宿州修城狀〉：「召募雇夫及物料，合用錢一萬九千餘貫。」</t>
  </si>
  <si>
    <t>僱</t>
  </si>
  <si>
    <t>[動]
1.出錢請人做事。如：「僱佣人」、「他僱人整修房子。」《警世通言．卷二四．玉堂春落難逢夫》：「把磚頭瓦片用布包裹，假充銀兩，放在皮箱裡面，收拾打扮停當，僱了兩個小廝跟隨，就要起身。」《彭公案》第一四回：「爹爹，你花錢僱了一箇教習，竟敢打我兒，今日在明化鎮被他欺我太甚，我是要報仇的。」
2.租。如：「僱車」、「僱船」。《初刻拍案驚奇》卷二一：「即忙收拾行李，僱了兩個牲口，做一路回來。」《紅樓夢》第一九回：「又命他哥哥去，或僱一乘小轎，或僱一輛小車，送寶玉回去。」</t>
  </si>
  <si>
    <t>顧</t>
  </si>
  <si>
    <t>[動]
1.回首、回頭看。《說文解字．頁部》：「顧，還視也。」《史記．卷八一．廉頗藺相如傳》：「相如顧召趙御史書曰：『某年月日，秦王為趙王擊缶。』」
2.看、張望。如：「環顧」、「相顧一笑」、「左顧右盼」。《孟子．離婁下》：「乞其餘，不足，又顧而之他。」
3.拜訪、探望。如：「三顧茅廬」。宋．王安石〈示耿天騭〉詩：「望公時顧我，於此暢幽悁。」
4.關注、照應。如：「顧此失彼」、「奮不顧身」。《詩經．魏風．碩鼠》：「三歲貫女，莫我肯顧。」《紅樓夢》第一〇八回：「為著我們家連連的出些不好事，所以我也顧不來。」
[副]
1.反而。《戰國策．秦策一》：「今三川周室，天下之市朝也，而王不爭焉，顧爭於戎狄，去王業遠矣。」清．彭端淑〈為學一首示子姪〉：「人之立志，顧不如蜀鄙之僧哉？」
2.豈、難道。《漢書．卷三七．季布傳》：「且僕與足下俱楚人，使僕游揚足下名於天下，顧不美乎？」宋．陸游〈邵武縣興造記〉：「非君之才有餘，顧能若是哉？」
[連]
1.不過、但是。《戰國策．燕策三》：「吾每念，常痛於骨髓，顧計不知所出耳。」《史記．卷九二．淮陰侯傳》：「此在兵法，顧諸君不察耳。」
2.乃。表示轉折以承上文的關係。《戰國策．趙策一》：「雖強大不能得之於小弱，而小弱顧能得之強大乎？」《後漢書．卷二四．馬援傳》：「帝復笑曰：『卿非刺客，顧說客耳。』」
[名]
姓。如清代有顧炎武。</t>
  </si>
  <si>
    <t>瓜</t>
  </si>
  <si>
    <t>ㄍㄨㄚ</t>
  </si>
  <si>
    <t>guā</t>
  </si>
  <si>
    <t>[名]
1.葫蘆科植物的總稱。種類很多，葉掌狀，莖末端卷曲，可攀爬蔓生。多開黃色花，果實可食用。如黃瓜、西瓜、冬瓜等。
2.二一四部首之一。</t>
  </si>
  <si>
    <t>參見「咭咭呱呱」條。</t>
  </si>
  <si>
    <t>(一)（語音）ㄨㄚ wā（11306）(二)（讀音）ㄍㄨ gū（04142）</t>
  </si>
  <si>
    <t>刮</t>
  </si>
  <si>
    <t>[動]
1.用刀削去物體表面的東西。如：「刮鬍子」、「刮魚鱗」。唐．韓愈〈進學解〉：「刮垢磨光，蓋有幸而獲選。」
2.擦拭。如：「刮目相看」。《資治通鑑．卷三九．漢紀三十一．淮陽王更始元年》：「更始羞怍，俛首刮席，不敢視。」
3.比喻剝削、聚斂。如：「搜刮財物」。《新唐書．卷二一三．藩鎮淄青橫海傳．程日華傳》：「馬瘠，士飢死，刺史不棄豪髮卹吾急，今刮地以去，吾等何望？」
4.吹襲。同「颳」。唐．無名氏〈冬〉詩：「浩汗霜風刮天地，溫泉火井無生意。」
5.比喻訓斥、責罵。如：「他被上司刮了一頓。」</t>
  </si>
  <si>
    <t>括</t>
  </si>
  <si>
    <t>[動]
1.捆束、收攏。《禮記．喪大記》：「括髮以麻，婦人髽帶麻于房中。」明．謝良《中山狼傳》：「入狼於囊，遂括囊口，肩舉驢上。」
2.包含。如：「總括」、「概括」。《文選．揚雄．羽獵賦》：「野盡山窮，囊括其雌雄。」唐．白居易〈初授拾遺〉詩：「杜甫陳子昂，才名括天地。」
3.搜尋、搜求。如：「搜括」。《新唐書．卷二〇二．文藝傳中．蕭穎士傳》：「奉使括遺書趙、衛間。」
[名]
箭末端搭扣弦的部分。同「栝」。《書經．太甲上》：「若虞機張，往省括於度，則釋。」唐．孔穎達．正義：「括，謂矢末。」《孔子家語．卷五．子路初見》：「括而羽之，鏃而礪之，其入之不亦深乎？」</t>
  </si>
  <si>
    <t>(二)（又音）ㄎㄨㄛˋ kuò（04580）</t>
  </si>
  <si>
    <t>栝</t>
  </si>
  <si>
    <t>[名]
1.箭末端搭扣弦的部分。《集韻．入聲．末韻》：「栝，矢栝築弦處。」《淮南子．兵略》：「夫栝，淇衛箘簬，載以銀錫，雖有薄縞之幨，腐荷之矰，然猶不能獨射也。」漢．高誘．注：「栝，箭栝也。」
2.即檜。清．王念孫《廣雅疏證．卷一〇上．釋木》：「栝，柏也。」疏證：「栝，與檜同。《爾雅》云：『檜，柏葉松身。』是栝即柏之別種，故以栝為柏也。」唐．杜甫〈別張十三建封〉詩：「雖當霰雪嚴，未覺栝柏枯。」
3.參見「檃栝」條。</t>
  </si>
  <si>
    <t>䒷</t>
  </si>
  <si>
    <t>參見「䒷蔞」條。</t>
  </si>
  <si>
    <t>适</t>
  </si>
  <si>
    <t>[形]
迅速。《說文解字．辵部》：「适，疾也。」</t>
  </si>
  <si>
    <t>(二)（又音）ㄎㄨㄛˋ kuò（04581）(三)ㄕˋ shì（▲08774）</t>
  </si>
  <si>
    <t>聒</t>
  </si>
  <si>
    <t>[動]
喧譁、吵耳。《文選．嵇康．與山巨源絕交書》：「或賓客盈座，鳴聲聒耳。」宋．王安石〈和惠思歲二日二絕〉之一：「為嫌歸舍兒童聒，故就僧房借榻眠。」</t>
  </si>
  <si>
    <t>筈</t>
  </si>
  <si>
    <t>[名]
箭的末端搭扣弦的部分。同「栝」。唐．陸龜蒙〈奉酬襲美先輩吳中苦雨一百韻〉：「譬如飾箭材，尚欠鏃與筈。」</t>
  </si>
  <si>
    <t>颳</t>
  </si>
  <si>
    <t>[動]
吹襲。如：「颳風」、「颱風把樹颳倒了。」</t>
  </si>
  <si>
    <t>鴰</t>
  </si>
  <si>
    <t>參見「鶬鴰」、「老鴰」等條。</t>
  </si>
  <si>
    <t>蝸</t>
  </si>
  <si>
    <t>參見「蝸牛」條。</t>
  </si>
  <si>
    <t>緺</t>
  </si>
  <si>
    <t>[名]
1.繫印環的紫青色絲繩。《說文解字．糸部》：「緺，綬紫青色也。」《史記．卷一二六．滑稽傳．褚少孫補衛青傳》：「及其拜為二千石，佩青緺出宮門，行謝主人。」
2.量詞。計算髮髻的單位。五代十國南唐．李煜〈長相思．雲一緺〉詞：「雲一緺，玉一梭，澹澹衫兒薄薄羅，輕顰雙黛螺。」宋．張樞〈清平樂．鳳樓人獨〉詞：「曉奩懶試脂鉛，一緺鸞髻微偏。」</t>
  </si>
  <si>
    <t>騧</t>
  </si>
  <si>
    <t>[名]
黑嘴的黃馬。《說文解字．馬部》：「騧，黃馬黑喙。」《詩經．秦風．小戎》：「四牡孔阜，六轡在手，騏騮是中，騧驪是驂。」</t>
  </si>
  <si>
    <t>劀</t>
  </si>
  <si>
    <t>[動]
刮掉爛肉膿血。《說文解字．刀部》：「劀，刮去惡創肉也。」《周禮．天官．瘍醫》：「瘍醫掌腫瘍、潰瘍、金瘍、折瘍之祝藥劀殺之齊。」漢．鄭玄．注：「劀，刮去膿血。」</t>
  </si>
  <si>
    <t>剮</t>
  </si>
  <si>
    <t>ㄍㄨㄚˇ</t>
  </si>
  <si>
    <t>guǎ</t>
  </si>
  <si>
    <t>[動]
一種古代的刑罰。將人體慢慢削割至死。如：「千刀萬剮」。《喻世明言．卷二六．沈小官一鳥害七命》：「黃大保、小保，貪財殺父，不分首從，俱各淩遲處死，剮二百四十刀，分屍五段，梟首示眾。」也稱為「凌遲」。</t>
  </si>
  <si>
    <t>寡</t>
  </si>
  <si>
    <t>[形]
少。《說文解字．宀部》：「寡，少也。」如：「沉默寡言」、「寡不敵眾」。《易經．繫辭下》：「吉人之辭寡，躁人之辭多。」
[名]
丈夫已死的婦女。《詩經．小雅．鴻鴈》：「爰及矜人，哀此鰥寡。」《禮記．禮運》：「矜寡孤獨廢疾者，皆有所養。」
[代]
古代王侯的自稱。《孟子．梁惠王上》：「寡人之於國也，盡心焉耳矣。」漢．趙岐．注：「王侯自稱孤寡。」元．關漢卿《單刀會》第三折：「俺哥哥稱孤道寡世無雙。」</t>
  </si>
  <si>
    <t>卦</t>
  </si>
  <si>
    <t>ㄍㄨㄚˋ</t>
  </si>
  <si>
    <t>guà</t>
  </si>
  <si>
    <t>[名]
古代卜筮所用的符號。相傳為伏羲氏所創，以陰爻（⚋）陽爻（⚊）相配合，每卦三爻，形成八卦，八卦互相搭配，演為六十四卦。古人觀卦象以定吉凶。</t>
  </si>
  <si>
    <t>挂</t>
  </si>
  <si>
    <t>[動]_x000D_
1.區別、劃分。《說文解字．手部》：「挂，畫也。」清．段玉裁．注：「古本多作畫者，此等皆有分別畫出之意。」《淮南子．氾論》：「伯余之初作衣也，緂麻索縷，手經指挂，其成猶網羅。」_x000D_
2.謀求。《莊子．漁父》：「好經大事，變更易常，以挂功名，謂之叨。」_x000D_
3.懸吊。通「掛」。《文選．木華．海賦》：「於是候勁風揭百尺，維長綃，挂帆席，望濤遠決，冏然鳥逝。」唐．李白〈行路難〉三首之一：「長風破浪會有時，直挂雲帆濟滄海。」_x000D_
4.登記。宋．蘇軾〈次韻范純父涵星硯月石風林屏詩〉：「上書挂名豈待我，獨立自可當雷霆。」_x000D_
5.觸犯、違背。《文選．曹植．責躬詩》：「舉挂時網，動亂國經。」清．袁枚《隨園詩話》卷九：「青樓金蕊先以事挂法，一時交好，無能為之道地。」</t>
  </si>
  <si>
    <t>掛</t>
  </si>
  <si>
    <t>[動]
1.懸吊。如：「牆上掛了一幅水墨畫。」、「掛羊頭，賣狗肉」。
2.牽念、懸念。如：「掛心」、「牽腸掛肚」。《紅樓夢》第二八回：「幸虧寶玉被一個林黛玉纏綿住了，心心念念只掛著林黛玉。」
3.佩戴、穿戴。如：「掛孝」。《薛仁貴征遼事略》：「其人年少，虎體人形，腕懸鐵簡身掛綠袍。」
4.登記。如：「掛失」、「掛號」。
5.將話筒放回電話機上切斷通訊。如：「她一氣之下掛了電話，讓對方沒有解釋的機會。」、「電話請暫時不要掛，我找專家來回答你！」
6.打電話。如：「請記得掛電話回家，你家人有事找你！」
7.帶著。如：「臉上掛著笑容。」
8.死、完蛋。如：「他出車禍掛了」、「他一上場就掛了，使比賽提前結束。」
[名]
量詞。計算成套或成串物品的單位。如：「一掛念珠」。《老殘遊記》第四回：「選了一掛雙套飛車，趕進城去。」
[形]
用來懸吊的。如：「掛鉤」、「掛鐘」、「掛圖」。</t>
  </si>
  <si>
    <t>罣</t>
  </si>
  <si>
    <t>[動]
1.牽絆、阻礙。《玉篇．网部》：「罣，罣礙也。」元．馬致遠〈青杏子．世事飽諳多套．賺煞〉：「兀的不快活煞，喬公事心頭再不罣。」
2.懸掛。《廣韻．去聲．霽韻》：「罣，挂也。」宋．姜夔〈好事近．涼夜摘花鈿〉詞：「朝來碧縷放長穿，釵頭罣層玉。」</t>
  </si>
  <si>
    <t>絓</t>
  </si>
  <si>
    <t>[動]
受阻礙、牽絆。《玉篇．糸部》：「絓，止也，有行礙也。」《淮南子．兵略》：「飛鳥不動，不絓網羅。」</t>
  </si>
  <si>
    <t>詿</t>
  </si>
  <si>
    <t>[動]
1.擾亂、貽誤。《說文解字．言部》：「詿，誤也。」《史記．卷一〇六．吳王濞傳》：「漢有賊臣……絕先帝功臣，進任姦宄，詿亂天下，欲危社稷。」《漢書．卷四．文帝紀》：「濟北王背德反上，詿誤吏民，為大逆。」
2.欺騙。《漢書．卷九九．王莽傳上》：「即有所間非，則臣莽當被詿上誤朝之罪。」</t>
  </si>
  <si>
    <t>罫</t>
  </si>
  <si>
    <t>[名]
棋盤上的方格子。清．徐珂《清稗類鈔．藝術類．蒙古棋》：「蒙古棋者，局縱橫八線，為六十四罫。」</t>
  </si>
  <si>
    <t>(一)ㄏㄨㄚˋ huà（05027）</t>
  </si>
  <si>
    <t>褂</t>
  </si>
  <si>
    <t>[名]
外衣。如：「短褂」、「長袍馬褂」。《清會典．卷八〇．禮部．儀制清吏司三》：「服有袍，有褂。朝服蟒袍外，皆加補褂，冬則應服端罩者加端罩。」《老殘遊記》第三回：「本日在大街上買了一疋繭綢，又買了一件大呢馬褂面子，拿回寓去叫個成衣匠做一身棉袍子馬褂。」</t>
  </si>
  <si>
    <t>郭</t>
  </si>
  <si>
    <t>ㄍㄨㄛ</t>
  </si>
  <si>
    <t>guō</t>
  </si>
  <si>
    <t>[名]
1.城牆外再築的一道城牆。即外城。唐．孟浩然〈過故人莊〉詩：「綠樹村邊合，青山郭外斜。」《三國演義》第二回：「適督郵行部至縣，玄德出郭迎接。」
2.物體的外部。通「廓」。《宋書．卷七五．顏竣傳》：「元嘉中鑄四銖錢，輪郭形制，與五銖同。」
3.姓。如唐代有郭子儀。</t>
  </si>
  <si>
    <t>崞</t>
  </si>
  <si>
    <t>參見「崞山」、「崞縣」等條。</t>
  </si>
  <si>
    <t>渦</t>
  </si>
  <si>
    <t>參見「渦河」條。</t>
  </si>
  <si>
    <t>(一)ㄨㄛ wō（11328）</t>
  </si>
  <si>
    <t>堝</t>
  </si>
  <si>
    <t>參見「坩堝」條。</t>
  </si>
  <si>
    <t>過</t>
  </si>
  <si>
    <t>[名]
1.(一)之又音。
2.姓。如漢代有過晏。</t>
  </si>
  <si>
    <t>(一)ㄍㄨㄛˋ guò（04245）</t>
  </si>
  <si>
    <t>鍋</t>
  </si>
  <si>
    <t>[名]
烹煮食物或加熱用的器具。如：「飯鍋」、「鍋爐」、「砂鍋」、「快鍋」。
[形]
屬於鍋子的。如：「鍋蓋」。</t>
  </si>
  <si>
    <t>嘓</t>
  </si>
  <si>
    <t>參見「嘓都嘓都」、「嘓嘓」等條。</t>
  </si>
  <si>
    <t>蟈</t>
  </si>
  <si>
    <t>參見「蟈蟈兒」、「螻蟈」等條。</t>
  </si>
  <si>
    <t>國</t>
  </si>
  <si>
    <t>ㄍㄨㄛˊ</t>
  </si>
  <si>
    <t>guó</t>
  </si>
  <si>
    <t>[名]
1.古代稱諸侯或君王的封地為「國」。如：「魯國」、「齊國」。《易經．師卦．上六》：「大君有命，開國承家，小人勿用。」唐．柳宗元〈封建論〉：「漢興，天子之政行於郡，不行於國，制其守宰，不制其侯王。」
2.有土地、人民、主權的團體。如：「中國」、「美國」。
3.城市。《孟子．離婁下》：「遍國中無與立談者。」
4.地方。如：「水鄉澤國」。唐．王維〈相思〉詩：「紅豆生南國，秋來發故枝。」
5.姓。如春秋時齊國有國佐。
[形]
1.代表國家的。如：「國旗」、「國歌」。
2.本國的。如：「國人」、「國土」、「愛用國貨」。</t>
  </si>
  <si>
    <t>聝</t>
  </si>
  <si>
    <t>同「馘」。</t>
  </si>
  <si>
    <t>摑</t>
  </si>
  <si>
    <t>[動]
用手掌打人的臉。如：「摑了他一巴掌。」</t>
  </si>
  <si>
    <t>幗</t>
  </si>
  <si>
    <t>[名]
1.古代婦女頭上的巾帕、髮飾。清．鄭珍《說文新附考》卷三：「幗，婦人首飾。」《晉書．卷二五．輿服志》：「公特進侯卿校世婦、中二千石二千石夫人紺繒幗。」唐．李白〈贈張相鎬〉詩二首之一：「醜虜安足紀，可貽幗與巾。」
2.參見「巾幗」條。</t>
  </si>
  <si>
    <t>馘</t>
  </si>
  <si>
    <t xml:space="preserve">首 </t>
  </si>
  <si>
    <t>[動]
古代戰爭時割取敵人左耳以獻功。《左傳．宣公二年》：「俘二百五十人，馘百人。」唐．太宗〈令諸州剗削京觀詔〉：「鋒刃之下，恣情翦馘。」
[名]
被割下的左耳。《詩經．魯頌．泮水》：「矯矯虎臣，在泮獻馘。」《左傳．僖公二十八年》：「獻俘授馘，飲至大賞。」</t>
  </si>
  <si>
    <t>(二)ㄒㄩˋ xù（07314）</t>
  </si>
  <si>
    <t>虢</t>
  </si>
  <si>
    <t>[名]
1.國名。周代所建：(1)西虢。周文王之弟虢仲的封地，故址約在今大陸地區陝西省寶雞縣。平王東遷，西虢徙至上陽，稱為「南虢」，故址在今大陸地區河南省陝縣東南。(2)東虢。周文王之弟虢叔的封地，故址在今河南省滎陽縣。(3)北虢。虢仲後裔的封地，故址在今大陸地區山西省平陸縣。
2.姓。如春秋時晉國有虢射。</t>
  </si>
  <si>
    <t>㶁</t>
  </si>
  <si>
    <t>參見「㶁㶁」條。</t>
  </si>
  <si>
    <t>果</t>
  </si>
  <si>
    <t>ㄍㄨㄛˇ</t>
  </si>
  <si>
    <t>guǒ</t>
  </si>
  <si>
    <t>[名]
1.植物所結的實。如：「水果」、「乾果」。《韓非子．五蠹》：「民食果、蓏、蚌、蛤，腥、臊、惡、臭，而傷害腹胃，民多疾病。」
2.事情的成效或結局。如：「成果」、「惡果」、「自食其果」、「前因後果」。
3.姓。如明代有果琳。
[動]
1.飽、充實。如：「果腹」。
2.實現。晉．陶淵明〈桃花源記〉：「南陽劉子驥，高尚士也，聞之欣然，親往。未果，尋病終。」《聊齋志異．卷一．嬌娜》：「又慮翁媼不肯離幼子，終日言義不果。」
[形]
堅決。《論語．子路》：「言必信，行必果。」《三國志．卷一〇．魏書．荀彧傳》：「審配專而無謀，逢紀果而自用。」
[副]
確實、的確。《戰國策．楚策一》：「齊之反趙、魏之後，而楚果弗與地，則五國之事困也。」《禮記．中庸》：「果能此道矣，雖愚必明，雖柔必強。」
[連]
假若、若是。《史記．卷四三．趙世家》：「是以聖人果可以利其國，不一其用。」</t>
  </si>
  <si>
    <t>猓</t>
  </si>
  <si>
    <t>參見「猓玀」、「猓猓」等條。</t>
  </si>
  <si>
    <t>粿</t>
  </si>
  <si>
    <t>[名]_x000D_
1.用米製成的食品或糕點。元．王禎《農書．穀譜．集八．果屬．銀杏》：「惟炮煮作粿食為美。」明．陳嘉謨《本草蒙筌．卷三．草部下．佛耳草》：「夏開花黃色，葉與馬齒莧類，細小微有白毛，俗呼黃蒿。人每收採搗爛，和米粉作粿，柔韌而香美可嘗。」_x000D_
2.民間常見的食品。用米或其他食材製成，口味多種。如：「芋粿」、「粉粿」、「碗粿」、「油蔥粿」。</t>
  </si>
  <si>
    <t>裹</t>
  </si>
  <si>
    <t>[動]
1.纏繞、包紮。如：「裹傷口」。《兒女英雄傳》第二八回：「一手把著新郎的手，用一根紅紙裹的新秤桿兒，把那塊蓋頭往下一挑。」
2.包羅、囊括。《呂氏春秋．孟春紀．本生》：「其於物無不受也，無不裹也，若天地然。」
[名]
包封的物品。如：「今天郵差送來一件包裹。」</t>
  </si>
  <si>
    <t>蜾</t>
  </si>
  <si>
    <t>輠</t>
  </si>
  <si>
    <t>[名]
車上的盛油器，用來塗軸，可使車軸潤滑容易運轉。《集韻．上聲．果韻》：「輠，筩也，車盛膏器。」</t>
  </si>
  <si>
    <t>餜</t>
  </si>
  <si>
    <t>[名]
米麵製成的食品。如：「清明餜」、「蠶繭餜」、「油炸餜」。</t>
  </si>
  <si>
    <t>槨</t>
  </si>
  <si>
    <t>[名]
棺材外面的套棺。如：「棺槨」。《西京雜記》卷六：「魏襄王冢，皆以文石為槨，高八尺許，廣狹容四十人。」</t>
  </si>
  <si>
    <t>ㄍㄨㄛˋ</t>
  </si>
  <si>
    <t>guò</t>
  </si>
  <si>
    <t>[動]
1.經、歷。《論語．憲問》：「子擊磬於衛，有荷蕢而過孔氏之門者。」唐．劉禹錫〈酬樂天揚州初逢席上見贈〉詩：「沉舟側畔千帆過，病樹前頭萬木春。」
2.度。如：「過節」、「過生日」。唐．杜荀鶴〈亂後宿南陵廢寺寄沈明府〉詩：「男兒仗劍酬恩在，未肯徒然過一生。」
3.超出、超越。如：「過分」、「過期」。《論語．公冶長》：「由也好勇過我，無所取材。」《文選．曹植．白馬篇》：「狡捷過猴猿，勇剽若豹螭。」
4.去。漢．曹操〈精列〉詩：「年之暮，奈何時過，時來微。」唐．杜甫〈阻雨不得歸瀼西甘林〉詩：「三伏適已過，驕陽化為霖。」
5.死亡、逝世。如：「過世」。《文選．曹植．贈白馬王彪詩》：「存者忽復過，亡沒身自衰。」《二十年目睹之怪現狀》第五回：「說是劉老爺子接了家報，老太太過了。」
6.轉移。如：「過戶」、「過帳」。
7.忍受、領受。如：「難過」、「心裡不好過。」
8.拜訪。《史記．卷七七．魏公子傳》：「臣有客在市屠中，願枉車騎過之。」清．魏禧〈大鐵椎傳〉：「(高信之)長子燦七歲，少同學，故嘗與過宋將軍。」
[副]
太、甚。如：「過獎」。唐．韓愈〈圬者王承福傳〉：「然吾有饑焉，謂其自為也過多，其為人也過少。」《紅樓夢》第五六回：「這是老太太過謙了！」
[名]
1.錯誤。如：「不貳過」、「知過能改」、「勇於改過」。《商君書．開塞》：「夫過有厚薄，則刑有輕重。」《孟子．公孫丑下》：「然則盛人且有過與？」
2.量詞。計算動作次數的單位。晉．陸雲〈與兄平原書〉：「前後讀兄文，一再過，便上口語。」《清史稿．卷四八六．文苑傳三．何紹基傳》：「初學顏真卿，遍臨漢、魏各碑至千百過。」
[助]
1.與「來」、「去」等連用，表示動作的趨向。如：「走過來」、「跳過去」。
2.用於動詞後，表示曾經或已經的意思。如：「看過」、「聽過」、「付過帳」、「吃過晚餐」。</t>
  </si>
  <si>
    <t>(二)ㄍㄨㄛ guō（04226）</t>
  </si>
  <si>
    <t>乖</t>
  </si>
  <si>
    <t>ㄍㄨㄞ</t>
  </si>
  <si>
    <t>guāi</t>
  </si>
  <si>
    <t>[形]
1.彆扭、性情怪異。如：「乖僻」、「乖戾」。
2.形容懂事、聽話。如：「乖巧」、「這孩子真乖！」
[動]
1.違背、不合。如：「名實相乖」。唐．韓愈〈五箴．行箴〉：「行與義乖，言與法違。」
2.分離。《史記．卷一一〇．匈奴傳》：「漢使兩使者，一弔單于，一弔右賢王，欲以乖國。」《聊齋志異．卷二．鳳陽士人》：「鸞鳳久乖，圓在今夕。」
[名]
聰明、機伶。如：「賣乖」、「上一次當，學一次乖。」《文明小史》第二九回：「原來如此！這樣辦法，俺也學著個乖了。」</t>
  </si>
  <si>
    <t>𠦬</t>
  </si>
  <si>
    <t>[名]
背脊。《說文解字．垂部》：「𠦬，背呂也。」清．段玉裁．注：「猶俗云背脊也。」</t>
  </si>
  <si>
    <t>𠁥</t>
  </si>
  <si>
    <t>ㄍㄨㄞˇ</t>
  </si>
  <si>
    <t>guǎi</t>
  </si>
  <si>
    <t>[名]
羊角。《說文解字．𠁥部》：「𠁥，羊角也。」</t>
  </si>
  <si>
    <t>拐</t>
  </si>
  <si>
    <t>[動]
1.用詐術騙走人或財物。如：「誘拐」。《儒林外史》第四一回：「沈瓊枝便把鹽商騙他做妾，他拐了東西逃走的話，說了一遍。」
2.轉彎。如：「拐彎抹角」。《老殘遊記》第三回：「進了大門，望西一拐便是三間客廳。」
[副]
瘸腿走路。如：「他形容憔悴，一拐一拐的走在路上。」《西遊記》第一回：「猴王縱身跳起，拐呀拐的走了兩遍。」
[名]
手杖。通「枴」。《紅樓夢》第一三回：「賈珍此時也有些病症在身，二則過於悲痛了，因拄個拐，踱了進來。」</t>
  </si>
  <si>
    <t>枴</t>
  </si>
  <si>
    <t>[名]
用來支撐身體，幫助行走的手杖。如：「鐵枴」、「枴杖」。</t>
  </si>
  <si>
    <t>巜</t>
  </si>
  <si>
    <t xml:space="preserve">巛 </t>
  </si>
  <si>
    <t>ㄍㄨㄞˋ</t>
  </si>
  <si>
    <t>guài</t>
  </si>
  <si>
    <t>[名]
田間的水道。《說文解字．巛部》：「巜，水流澮澮也。方百里為巜，廣二尋深二仞。」</t>
  </si>
  <si>
    <t>(二)（又音）ㄎㄨㄞˋ kuài（04592）</t>
  </si>
  <si>
    <t>夬</t>
  </si>
  <si>
    <t>[名]
《易經》卦名。六十四卦之一。乾（☰）下兌（☱）上。象決斷之義。</t>
  </si>
  <si>
    <t>怪</t>
  </si>
  <si>
    <t>[形]
奇異的。如：「怪模怪樣」、「奇形怪狀」。唐．賈島〈暮過山村〉詩：「怪禽啼曠野，落日恐行人。」
[名]
1.奇異、不尋常的事物。《論語．述而》：「子不語：怪、力、亂、神。」
2.神話傳說中的妖魔之類。如：「鬼怪」、「妖怪」。《文選．班彪．王命論》：「震電晦冥，有龍蛇之怪。」
3.姓。如黃帝時有怪義。
[動]
1.驚訝、疑忌。《墨子．貴義》：「子墨子南遊使衛，關中載書甚多，弦唐子見而怪之。」《文選．東方朔．答客難》：「海內定國家安是遇其時者也，子又何怪之邪？」
2.責備、埋怨。如：「責怪」、「怪罪」。《荀子．正論》：「今世俗之為說者，不怪朱、象，而非堯、舜，豈不過甚矣哉？」《儒林外史》第三回：「論這事，只該怪我們金老爺。」
[副]
很、甚。如：「這娃兒怪討人喜歡的！」《紅樓夢》第四二回：「眾人愛你伶俐，今兒我也怪疼你的了。」</t>
  </si>
  <si>
    <t>壞</t>
  </si>
  <si>
    <t>[動]
毀。《漢書．卷三〇．藝文志》：「武帝末，魯共王壞孔子宅，欲以廣其宮。」</t>
  </si>
  <si>
    <t>(一)ㄏㄨㄞˋ huài（05081）</t>
  </si>
  <si>
    <t>圭</t>
  </si>
  <si>
    <t>ㄍㄨㄟ</t>
  </si>
  <si>
    <t>guī</t>
  </si>
  <si>
    <t>[名]
1.古代諸侯在大典時所持的一種玉器。《說文解字．土部》：「圭，瑞玉也，上圜下方。」清．段玉裁．注：「圭之制，上不正圜。以對下方言之，故曰上圜。」《史記．卷三三．魯周公世家》：「周公北面立，戴璧秉圭，告于太王、王季、文王。」
2.古代測日影的器具。如：「日圭」、「圭表」、「圭臬」。
3.姓。如春秋時鄭國有圭媯。</t>
  </si>
  <si>
    <t>洼</t>
  </si>
  <si>
    <t>[名]
姓。如漢代有洼丹。</t>
  </si>
  <si>
    <t>(一)ㄨㄚ wā（11308）</t>
  </si>
  <si>
    <t>邽</t>
  </si>
  <si>
    <t>[名]
1.縣名。漢代所置：(1)隴西有上邽，在今大陸地區甘肅省天水縣境。(2)宏農有下邽，在今大陸地區陝西省渭南縣境。
2.姓。如春秋時魯國有邽巽。</t>
  </si>
  <si>
    <t>珪</t>
  </si>
  <si>
    <t>玉圭。同「圭」。</t>
  </si>
  <si>
    <t>窐</t>
  </si>
  <si>
    <t>[名]
1.古時蒸飯用的瓦器底下的小孔穴。《楚辭．嚴忌．哀時命》：「璋珪雜於甑窐兮，隴廉與孟娵同宮。」漢．王逸．注：「窐，甑土孔。」
2.古代位於門旁的圭形小洞。《南史．卷四．齊高帝本紀》：「（王）敬則自窐中以（蒼梧王）首見帝，帝猶不信，乃於牆上投進其首。」</t>
  </si>
  <si>
    <t>(二)ㄨㄚ wā（11310）</t>
  </si>
  <si>
    <t>硅</t>
  </si>
  <si>
    <t>[名]
化學元素。矽的舊譯。</t>
  </si>
  <si>
    <t>閨</t>
  </si>
  <si>
    <t>[名]
1.上圓下方的小門。《說文解字．門部》：「閨，特立之戶，上圜下方，有似圭。」《荀子．解蔽》：「俯而出城門，以為小之閨也，酒亂其神也。」
2.宮中的小門。《爾雅．釋宮》：「宮中之門謂之闈，其小者謂之閨。」
3.女子所住的內室。如：「香閨」、「獨守空閨」。唐．白居易〈長恨歌〉：「楊家有女初長成，養在深閨人未識。」
[形]
婦女的。如：「閨房」、「閨友」。</t>
  </si>
  <si>
    <t>鮭</t>
  </si>
  <si>
    <t>[名]
鮭目鮭科中某些魚類的泛稱。具洄游性，產於北方水域。成熟時自海洋返回淡水河川生殖，幼魚孵化後，再進入海洋。在海洋中時，體呈銀白色或銀灰色，返回淡水河口後，體色變紅。太平洋鮭屬產卵後隨即死亡，大西洋鮭則部分可重回海洋。產量以美、加、日、俄最多，是重要的食用魚。</t>
  </si>
  <si>
    <t>(二)ㄒㄧㄝˊ xié（06944）</t>
  </si>
  <si>
    <t>皈</t>
  </si>
  <si>
    <t>參見「皈依」條。</t>
  </si>
  <si>
    <t>規</t>
  </si>
  <si>
    <t>[名]
1.畫圓的器具。《玉篇．夫部》：「規，正圜之器也。」如：「圓規」、「兩腳規」。
2.法度、條文。如：「條規」、「校規」、「法規」、「教規」。
3.成例。如：「墨守成規」、「革除陋規」。
4.姓。如明代有規恂。
[動]
1.謀劃、謀求。《商君書．錯法》：「是以明君之使其民也，使必盡力以規其功。」宋．蘇軾〈相度準備賑濟第三狀〉：「各欲廣行收糴，以規厚利。」
2.矯正、勸勉。如：「規過勸善」。《左傳．昭公十六年》：「是先無刑罰也，子寧以他規我。」
3.效法。唐．韓愈〈進學解〉：「上規姚姒，渾渾無涯。」</t>
  </si>
  <si>
    <t>槻</t>
  </si>
  <si>
    <t>[名]
植物名。即梣。木犀科白蠟樹屬，「白蠟樹」之古稱，參見「白蠟樹」條。</t>
  </si>
  <si>
    <t>溈</t>
  </si>
  <si>
    <t>同「媯」。</t>
  </si>
  <si>
    <t>媯</t>
  </si>
  <si>
    <t>[名]
1.參見「媯河」、「媯汭」等條。
2.姓。如漢代有媯昌。</t>
  </si>
  <si>
    <t>傀</t>
  </si>
  <si>
    <t>[形]
1.高大。《說文解字．人部》：「傀，偉也。」《聊齋志異．卷八．司文郎》：「有少年遊寺中，白服裙帽，望之傀然。」
2.怪異。《廣韻．平聲．灰韻》：「傀，怪異。」《文選．郭璞．江賦》：「珍怪之所化產，傀奇之所窟宅。」</t>
  </si>
  <si>
    <t>(一)ㄎㄨㄟˇ kuǐ（04632）</t>
  </si>
  <si>
    <t>瑰</t>
  </si>
  <si>
    <t>[名]
1.質地僅次於玉的美石。如：「瓊瑰」。
2.參見「玫瑰」條。
[形]
1.奇偉的、珍奇的。如：「瑰材」、「瑰奇」、「瑰寶」。
2.美好的。《文選．傅毅．舞賦》：「軼態橫出，瑰姿譎起。」</t>
  </si>
  <si>
    <t>龜</t>
  </si>
  <si>
    <t xml:space="preserve">龜 </t>
  </si>
  <si>
    <t>[名]
1.動物名。爬行綱龜鱉目龜科。身體橢圓而扁，腹、背皆有硬殼。頭似蛇，四肢短，頭、尾和腳都可縮入甲殼內。行動遲緩，性耐飢渴，壽命長達百年之上。其肉可食，殼可入藥。古時常灼龜甲以占卜，故稱為「靈物」。
2.罵人的話。唐朝樂戶戴綠頭巾，後因龜的頭部亦為綠色，故用以比喻開設妓院的男子，及妻子不貞的人為「龜」。元．陶宗儀《南村輟耕錄．卷二八．廢家子孫詩》：「宅眷皆為撐目兔，舍人總作縮頭龜。……夫兔撐目望月而孕，則婦女之不夫而妊也。」清．徐珂《清稗類鈔．娼妓類．天津之妓》：「北幫女閭自稱曰店，其龜、鴇曰掌櫃。」
3.二一四部首之一。</t>
  </si>
  <si>
    <t>(二)ㄐㄩㄣ jūn（06163）(三)ㄑㄧㄡ qiū（06409）</t>
  </si>
  <si>
    <t>歸</t>
  </si>
  <si>
    <t>[動]
1.女子出嫁稱為「歸」。《詩經．周南．桃夭》：「之子于歸，宜其室家。」宋．辛棄疾〈鵲橋仙．松岡避暑〉詞：「東家娶婦，西家歸女。」
2.返回。如：「歸國」、「歸家」。
3.還給。如：「完璧歸趙」、「物歸原主」。
4.依附、趨向。如：「眾望所歸」、「殊途同歸」。《史記．卷五六．陳丞相世家》：「聞漢王之能用人，故歸大王。」
5.屬於、由。如：「這事不歸我管。」
6.聚、合併。如：「歸併」、「總歸一句話」、「把這類書歸在一起。」
7.置於兩個相同詞的中間，表示語義的歸類。如：「橋歸橋，路歸路，不可把兩件事混為一談。」
[名]
姓。如明代有歸有光。</t>
  </si>
  <si>
    <t>(二)ㄎㄨㄟˋ kuì（04648）</t>
  </si>
  <si>
    <t>氿</t>
  </si>
  <si>
    <t>ㄍㄨㄟˇ</t>
  </si>
  <si>
    <t>guǐ</t>
  </si>
  <si>
    <t>[名]
水邊乾枯的土。《說文解字．水部》：「氿，水厓枯土也。」
[形]
由旁側流出的。《詩經．小雅．大東》：「有冽氿泉，無浸穫薪。」漢．毛亨．傳：「側出曰氿泉。」</t>
  </si>
  <si>
    <t>宄</t>
  </si>
  <si>
    <t>[動]
姦邪、作亂。《說文解字．宀部》：「宄，姦也。外為盜，內為宄。」清．段玉裁．注：「姦宄者通偁，內外者析言之也。凡盜起外為姦，中出為宄。」明．余繼登《典故紀聞》卷七：「毋習賭博，毋奸宄竊盜。」
[名]
泛指壞人、歹徒。《三國志．卷四七．吳書．吳主權傳》：「況今姦宄競逐，豺狼滿道。」</t>
  </si>
  <si>
    <t>軌</t>
  </si>
  <si>
    <t>[名]
1.車行的痕跡。《廣韻．上聲．旨韻》：「軌，車跡也。」唐．柳宗元〈辯侵伐論〉：「周道既壞，兵車之軌交於天下，而罕知侵伐之端焉。」
2.車子兩輪間的距離。《禮記．中庸》：「今天下車同軌，書同文，行同倫。」
3.火車、星體等運行的路線。如：「鐵軌」。《淮南子．本經》：「五星循軌而不失其行。」
4.法度、常規。如：「常軌」、「步入正軌」。《淮南子．原道》：「是故聖人一度循軌，不變其宜，不易其常。」
5.姓。如周代有軌革。
[動]
遵照、依循。《尹文子．大道下》：「心不畏時之禁，行不軌時之法，此大亂之道也。」《後漢書．卷三〇下．襄楷傳》：「臣竊見去歲五月，熒惑入太微，犯帝坐，出端門，不軌常道。」</t>
  </si>
  <si>
    <t>匭</t>
  </si>
  <si>
    <t>[名]
小匣子、小箱子。如：「票匭」、「投匭」。《新唐書．卷一一八．李中敏傳》：「上書者將納於匭，有司先審其副，有不可，輒卻之。」</t>
  </si>
  <si>
    <t>庋</t>
  </si>
  <si>
    <t>(一)ㄐㄧˇ jǐ（05403）</t>
  </si>
  <si>
    <t>庪</t>
  </si>
  <si>
    <t>[動]
收藏、埋藏。清．姚鼐〈寶扇樓後記〉：「朱子潁家有聖祖仁皇帝之賜扇，作寶扇之樓，庪焉。」</t>
  </si>
  <si>
    <t>佹</t>
  </si>
  <si>
    <t>[動]
重疊、累積。《文選．司馬相如．上林賦》：「攢立叢倚，連卷欐佹。」
[形]
奇異的。如：「佹詞」。《荀子．賦》：「天下不治，請陳佹詩。」《文選．王延壽．魯靈光殿賦》：「倔佹雲起，嶔崟離摟。」
[副]
偶然、忽然。如：「佹得佹失」。明．徐弘祖《徐霞客遊記．卷四上．粵西遊日記三》：「於是平疇曲塍間，怪石森森，佹離佹合，高下不一。」</t>
  </si>
  <si>
    <t>恑</t>
  </si>
  <si>
    <t>[副]
變異、詐詭。《莊子．齊物論》：「恢恑憰怪，道通為一。」唐．成玄英．疏：「恑者，奇變之稱。」</t>
  </si>
  <si>
    <t>垝</t>
  </si>
  <si>
    <t>[形]
毀壞的、坍塌的。如：「垝牆」。《聊齋志異．卷一．畫皮》：「心疑所作，乃踰垝垣，則室門亦閉。」</t>
  </si>
  <si>
    <t>姽</t>
  </si>
  <si>
    <t>[形]
優雅美好。《文選．宋玉．神女賦》：「既姽嫿於幽靜兮，又婆娑乎人間。」</t>
  </si>
  <si>
    <t>詭</t>
  </si>
  <si>
    <t>[動]
1.責求、要求。《說文解字．言部》：「詭，責也。」《後漢書．卷七六．循吏傳．孟嘗傳》：「先時宰守並多貪穢，詭人採求，不知紀極，珠遂漸徙於交阯郡界。」
2.違反、違背。如：「言行相詭」。《文選．班固．幽通賦》：「變化故而相詭兮，孰云預其終始。」
[形]
1.欺詐、狡猾。如：「詭計」、「詭策」。《孫子．計》：「兵者，詭道也，故能而示之不能。」
2.奇異、特殊。如：「詭異」、「詭譎」。《管子．法禁》：「詭俗異禮，大言法行。」《南史．卷五五．康絢傳》：「水中怪物，隨流而下，或人頭魚身，或龍形馬首，殊類詭狀，不可勝名。」</t>
  </si>
  <si>
    <t>觤</t>
  </si>
  <si>
    <t>[形]
羊角不齊，一長一短的稱為「觤」。《說文解字．角部》：「觤，羊角不齊也。」《爾雅．釋畜》：「角不齊，觤。」</t>
  </si>
  <si>
    <t>癸</t>
  </si>
  <si>
    <t>[名]
1.天干的末位。
2.婦女的月經。參見「癸水」條。
3.姓。如宋代有癸仲。</t>
  </si>
  <si>
    <t>湀</t>
  </si>
  <si>
    <t>[名]
湀闢：通流的大河。亦泛指流水。清．張惠言〈黃山賦〉：「然後湀闢會流，交注群輸。」</t>
  </si>
  <si>
    <t>鬼</t>
  </si>
  <si>
    <t>[名]
1.人死後的靈魂。如：「鬼魂」、「鬼怪」、「鬼使神差」、「有錢能使鬼推磨」。
2.有某種嗜好、行為或癖性不好的人。如：「酒鬼」、「賭鬼」、「小氣鬼」、「冒失鬼」。
3.詭計、噱頭。如：「搞鬼」、「搗鬼」。《紅樓夢》第五三回：「那又是你鳳姑娘的鬼，那裡就窮到如此。」
4.星宿名。二十八星宿之一，為南方朱雀七宿的第二宿。
5.星官名，鬼宿之首，由四顆星與M44星團組成，在西方屬巨蟹座。《晉書．卷一一．天文志上》：「輿鬼五星，天目也，主視，明察姦謀。」也稱為「輿鬼」。
6.姓。如黃帝時有鬼臾區。
7.二一四部首之一。
[形]
1.狡詐的、陰險的、不光明的。如：「鬼主意」、「鬼計多端」。
2.機靈的、靈巧的。如：「鬼靈精」。
3.惡劣的、糟糕的。如：「鬼天氣」、「這是什麼鬼地方啊？」
[副]
胡亂的、隨便的。如：「鬼混」、「鬼畫符」。</t>
  </si>
  <si>
    <t>晷</t>
  </si>
  <si>
    <t>[名]
1.日光、日影。《說文解字．日部》：「晷，日景也。」《漢書．卷一〇〇．敘傳下》：「應天順民，五星同晷。」唐．韓愈〈進學解〉：「焚膏油以繼晷，恆兀兀以窮年。」
2.利用日影來測定時刻的儀器。如：「立晷測影」。也稱為「日規」。
3.時光、時間。如：「日無暇晷」。晉．潘尼〈贈陸機出為吳王郎中令詩〉六首之六：「寸晷惟寶，豈無璵璠。」</t>
  </si>
  <si>
    <t>簋</t>
  </si>
  <si>
    <t>[名]
古代祭祀時盛黍稷的圓形器皿。《周禮．地官．舍人》：「凡祭祀，共簠簋，實之陳之。」漢．鄭玄．注：「方曰簠，圓曰簋，盛黍稷稻粱器。」漢．王符《潛夫論．讚學》：「夫瑚簋之器，朝祭之服，其始也，乃山野之木，蠶繭之絲耳。」</t>
  </si>
  <si>
    <t>炔</t>
  </si>
  <si>
    <t>ㄍㄨㄟˋ</t>
  </si>
  <si>
    <t>guì</t>
  </si>
  <si>
    <t>[形]
冒煙的樣子。《集韻．入聲．屑韻》：「炔，煙貌。」
[名]
姓。如春秋時齊國有炔欽。</t>
  </si>
  <si>
    <t>(二)ㄑㄩㄝ quē（06657）</t>
  </si>
  <si>
    <t>炅</t>
  </si>
  <si>
    <t>[名]
姓。如漢代有炅橫。</t>
  </si>
  <si>
    <t>(一)ㄐㄩㄥˇ jiǒng（06197）</t>
  </si>
  <si>
    <t>桂</t>
  </si>
  <si>
    <t>[名]
1.參見「肉桂」、「桂樹」等條。
2.傳說月中有桂樹，故以桂借指月亮。唐．李嶠〈人日侍宴大明宮恩賜綵縷人勝應制〉詩：「桂吐半輪迎此夜，蓂開七葉應今朝。」
3.姓。如漢代有桂褒。</t>
  </si>
  <si>
    <t>貴</t>
  </si>
  <si>
    <t>[形]
1.價錢高。如：「昂貴」。唐．杜甫〈歲晏行〉：「去年米貴闕軍食，今年米賤太傷農。」
2.地位崇高、優越。如：「貴族」。《聊齋志異．卷二．張誠》：「納以其貴公子，未敢仰視。」
3.品質高。如：「高貴」、「華貴」。
4.敬辭。如：「貴姓」、「貴國」、「貴寶地」。《水滸傳》第三回：「望乞恕罪，高抬貴手。」
[動]
注重、重視。如：「學貴有恆」、「人貴自立」。漢．鼂錯〈論貴粟疏〉：「是故明君貴五穀而賤金玉。」
[名]
1.尊顯的人或地位。如：「權貴」。《論語．里仁》：「富與貴，是人之所欲也；不以其道得之，不處也。」
2.大陸地區貴州省的簡稱。
3.姓。如漢代有貴遷。</t>
  </si>
  <si>
    <t>匱</t>
  </si>
  <si>
    <t>[名]
儲放東西的箱子。同「櫃」。《書經．金縢》：「公歸，乃納冊于金縢之匱中。」唐．韓愈〈送權秀才序〉：「伯樂之廄多良馬，卞和之匱多美玉。」</t>
  </si>
  <si>
    <t>(一)ㄎㄨㄟˋ kuì（04640）</t>
  </si>
  <si>
    <t>櫃</t>
  </si>
  <si>
    <t>[名]
收藏東西的箱櫥。如：「衣櫃」、「錢櫃」、「櫥櫃」。唐．白居易〈題文集櫃〉詩：「破柏作書櫃，櫃牢柏復堅。」也稱為「櫃子」、「櫃兒」。</t>
  </si>
  <si>
    <t>瞶</t>
  </si>
  <si>
    <t>[名]
盲人、瞎子。三國魏．阮籍〈詠懷詩〉八二首之五七：「世有此聾瞶，芒芒將焉如。」
[形]
愚昧、糊塗。如：「昏瞶」。</t>
  </si>
  <si>
    <t>(二)（又音）ㄎㄨㄟˋ kuì（04644）</t>
  </si>
  <si>
    <t>鞼</t>
  </si>
  <si>
    <t>[名]
有紋彩的皮革。《說文解字．革部》：「鞼，革繡也。」《墨子．節用中》：「凡天下群百工，輪車鞼匏，陶冶梓匠，使各從事其所能。」
[動]
折斷。《淮南子．原道》：「疏達而不悖，堅強而不鞼。」</t>
  </si>
  <si>
    <t>跪</t>
  </si>
  <si>
    <t>[動]
屈膝著地。如：「下跪」、「跪坐」、「跪拜」、「跪地求饒」。《史記．卷六五．孫子吳起傳》：「婦人左右前後跪起，皆中規矩繩墨，無敢出聲。」
[名]
腳。《荀子．勸學》：「蟹六跪而二螯。」《韓非子．內儲說下》：「門者刖跪請曰：『足下無意賜之餘隸乎？』」</t>
  </si>
  <si>
    <t>會</t>
  </si>
  <si>
    <t>參見「會稽」條。</t>
  </si>
  <si>
    <t>(一)ㄏㄨㄟˋ huì（05134）(二)ㄏㄨㄟˇ huǐ（05116）(三)ㄎㄨㄞˋ kuài（04597）</t>
  </si>
  <si>
    <t>劊</t>
  </si>
  <si>
    <t>(一)ㄎㄨㄞˋ kuài（04599）</t>
  </si>
  <si>
    <t>檜</t>
  </si>
  <si>
    <t>(一)ㄎㄨㄞˋ kuài（04605）</t>
  </si>
  <si>
    <t>禬</t>
  </si>
  <si>
    <t>[名]
1.去除疾病災禍的祭祀。《周禮．天官．女祝》：「掌以時招梗禬之事，以除疾殃。」
2.古代諸侯聚合財貨以相救濟之禮。《周禮．秋官．大行人》：「賀慶以贊諸侯之喜，致禬以補諸侯之災。」</t>
  </si>
  <si>
    <t>襘</t>
  </si>
  <si>
    <t>[名]
衣領交叉的地方。《左傳．昭公十一年》：「衣有襘，帶有結。」晉．杜預．注：「襘，領會。」</t>
  </si>
  <si>
    <t>劌</t>
  </si>
  <si>
    <t>[動]
傷、割。《禮記．聘義》：「廉而不劌，義也。」元．虞集〈悅生堂記〉：「內劌其心，外伐其形。」</t>
  </si>
  <si>
    <t>嶡</t>
  </si>
  <si>
    <t>[形]
山崛起的樣子。《字彙．山部》：「嶡，山嶡起貌。」</t>
  </si>
  <si>
    <t>(二)ㄐㄩㄝˊ jué（06095）</t>
  </si>
  <si>
    <t>鱖</t>
  </si>
  <si>
    <t>[名]
動物名。魚綱鱸科。體側扁，顏色淡黃帶褐，具不規則的黑色斑紋。口大有細鱗，背鰭具硬棘，為凶猛的魚類。喜食魚蝦，大陸地區各大河流、湖泊均產。肉質鮮嫩美味，為淡水食用魚類之一。也稱為「花鯽」、「桂魚」。</t>
  </si>
  <si>
    <t>(二)（又音）ㄐㄩㄝˊ jué（06100）</t>
  </si>
  <si>
    <t>官</t>
  </si>
  <si>
    <t>ㄍㄨㄢ</t>
  </si>
  <si>
    <t>guān</t>
  </si>
  <si>
    <t>[名]
1.在政府機關擔任公職的人。《字彙．宀部》：「官，宦也。」如：「縣官」、「法官」、「貪官汙吏」。《書經．咸有一德》：「任官惟賢材，左右惟其人。」
2.宦吏的居處。《論語．子張》：「不見宗廟之美，百官之富。」
3.職位、官職。如：「辭官歸隱」。漢．王充《論衡．命祿》：「智慮深而無財，才能高而無官。」
4.對人的尊稱。如：「看官」、「客官」。
5.生物體中負責某種獨立機能的組織。如：「器官」、「感官」、「五官」。《孟子．告子上》：「耳目之官不思而蔽於物，物交物則引之而已矣。」
6.姓。如宋代有官熙。
[動]
1.任命、授職。《禮記．學記》：「君子大德不官，大道不器。」漢．曹操〈論吏士行能令〉：「故明君不官無功之臣，不賞不戰之士。」
2.任職。《禮記．雜記下》：「管仲死，桓公使為之服。官於大夫者之為之服也，自管仲始也。」
[形]
國家的、政府的。如：「官費」、「官倉」、「官方說法」。《文選．任昉．王文憲集序》：「春秋三十有八七年五月三日，薨於建康官舍。」</t>
  </si>
  <si>
    <t>倌</t>
  </si>
  <si>
    <t>[名]
1.古代稱執役的小臣。《說文解字．人部》：「倌，小臣也。」《詩經．鄘風．定之方中》：「命彼倌人，星言夙駕，說于桑田。」
2.以前稱在茶坊、飯館等服雜役的人。如：「堂倌」。
3.舊時農村中飼養牲畜的人。如：「羊倌」、「牛倌」、「豬倌」。</t>
  </si>
  <si>
    <t>棺</t>
  </si>
  <si>
    <t>[名]
裝斂屍體的器具。如：「棺材」、「蓋棺論定」。《論語．先進》：「鯉也死，有棺而無椁，吾不徒行以為之椁。」</t>
  </si>
  <si>
    <t>冠</t>
  </si>
  <si>
    <t>[名]
1.帽子。如：「皇冠」、「鳳冠」、「桂冠」、「怒髮衝冠」。《左傳．哀公十五年》：「君子死，冠不免。」
2.位於頂端像帽子的東西。如：「雞冠」、「花冠」。南朝陳．徐陵〈鬥雞〉詩：「花冠已衝力，芥爪復驚媒。」</t>
  </si>
  <si>
    <t>(二)ㄍㄨㄢˋ guàn（04332）</t>
  </si>
  <si>
    <t>矜</t>
  </si>
  <si>
    <t>[名]
老而無妻的人。通「鰥」。《詩經．大雅．烝民》：「不侮矜寡，不畏彊禦。」《禮記．禮運》：「矜、寡、孤、獨、廢、疾者，皆有所養。」
[動]
生病、患病。通「瘝」。《詩經．小雅．何草不黃》：「何草不玄，何人不矜。」《後漢書．卷四．孝和帝紀》：「朕寤寐恫矜，思弭憂釁。」</t>
  </si>
  <si>
    <t>(一)ㄐㄧㄣ jīn（05834）(三)ㄑㄧㄣˊ qín（06512）</t>
  </si>
  <si>
    <t>莞</t>
  </si>
  <si>
    <t>[名]
1.植物名：(1)莎草科藨草屬，多年生草本，根莖粗壯。生於池沼、澤畔。莖圓柱形，高五十至八十公分，下部具三、四片葉鞘，最上方葉鞘著有葉片。長側枝聚繖花序側生，輻射枝多枚，小穗單生或二至三枚簇生，褐色。莖可用來編織器物。也稱為「水蔥」。(2)繖形科當歸屬，「白芷」之古稱。參見「白芷」條。
2.用莞織成的蓆子。《詩經．小雅．斯干》：「下莞上簟，乃安斯寢。」漢．鄭玄．箋：「莞，小蒲之蓆也。」
3.姓。如三國時吳國有莞恭。</t>
  </si>
  <si>
    <t>(一)ㄨㄢˇ wǎn（11473）(二)ㄍㄨㄢˇ guǎn（04318）(四)ㄨㄢ wān（11448）</t>
  </si>
  <si>
    <t>參見「綸巾」條。</t>
  </si>
  <si>
    <t>(一)ㄌㄨㄣˊ lún（03848）</t>
  </si>
  <si>
    <t>瘝</t>
  </si>
  <si>
    <t>[動]
1.患病。通「矜」。《書經．康誥》：「嗚呼！小子封，恫瘝乃身。敬哉！」
2.曠廢。《書經．冏命》：「非人其吉，惟貨其吉，若時瘝厥官。」
[名]
疾苦。明．徐光啟《農政全書．卷三．農本．國朝重農考》：「民瘝不上聞，至此乎！召父老問所苦，賜以尚食。」</t>
  </si>
  <si>
    <t>鰥</t>
  </si>
  <si>
    <t>[名]
年老無妻或喪妻的人。《詩經．小雅．鴻鴈》：「爰及矜人，哀此鰥寡。」</t>
  </si>
  <si>
    <t>關</t>
  </si>
  <si>
    <t>[動]
1.掩閉、閉合。與「開」相對。如：「關門」。《文選．陶淵明．歸去來辭》：「園日涉以成趣，門雖設而常關。」
2.拘禁。如：「鳥被關在籠中。」、「他被關在牢裡。」
3.息，使作用或功能停止。如：「關機」、「關燈」。
4.牽涉、連繫。如：「事關緊要」。宋．歐陽修〈玉樓春．尊前擬把歸期說〉詞：「人生自是有情痴，此恨不關風與月。」
5.領取。如：「關餉」。《紅樓夢》第五三回：「賈珍因問尤氏：『咱們春祭的恩賞可領了不曾？』尤氏道：『今兒我打發蓉兒關去了。』」
[名]
1.門閂。《漢書．卷六六．楊敞傳》：「聞前曾有奔車抵殿門，門關折。」《聊齋志異．卷五．荷花三娘子》：「一夜，閉戶獨酌，忽聞彈指敲窗，拔關出視，則狐女也。」
2.國境或邊險要塞的出入口。如：「海關」、「山海關」、「嘉峪關」。《孟子．盡心下》：「古之為關也，將以禦暴。」
3.事物或時間演進過程中的重要時刻、階段。如：「難關」、「過此一關，必無大礙。」、「百歲大關」。唐．韓愈〈題炭谷湫祠堂〉詩：「不知誰為助，若執造化關。」
4.控制機器開啟或停止的機件。如：「開關」。《後漢書．卷五九．張衡傳》：「中有都柱，傍行八道，施關發機。」
5.姓。如三國時蜀國有關羽。</t>
  </si>
  <si>
    <t>觀</t>
  </si>
  <si>
    <t>[動]
1.察看、審視。如：「察言觀色」、「坐井觀天」、「當局者迷，旁觀者清。」《易經．繫辭下》：「仰則觀象於天，俯則觀法於地。」宋．程顥〈秋日偶成〉詩：「萬物靜觀皆自得，四時佳興與人同。」
2.欣賞。如：「觀賞」、「參觀」。《左傳．襄公二十九年》：「請觀於周樂。」宋．辛棄疾〈沁園春．三徑初成〉詞：「要小舟行釣，先應種柳；疏籬護竹，莫礙觀梅。」
3.顯示。《左傳．僖公四年》：「觀兵於東夷。」晉．杜預．注：「觀兵示威。」《呂氏春秋．不苟論．博志》：「上二士者可謂能學矣，可謂無害之矣，此其所以觀後世已。」
[名]
1.景象、情景。如：「奇觀」、「外觀」、「恢復舊觀」。《文選．司馬相如．封禪文》：「皇皇哉此，天下之壯觀。」
2.看法。如：「人生觀」、「世界觀」。《後漢書．卷八十．文苑傳上．黃香傳》：「帝會中山邸，乃詔香殿下，顧謂諸王曰：『此天下無雙，江夏黃童者也。』左右莫不改觀。」
3.姓。如春秋時楚國有觀起。</t>
  </si>
  <si>
    <t>(二)ㄍㄨㄢˋ guàn（04341）</t>
  </si>
  <si>
    <t>鱞</t>
  </si>
  <si>
    <t>[名]
一種魚。《古今圖書集成．卷一四八．雜魚部》：「鱞魚大者如指，長八寸，有鋒刺，脊骨美滑，宜羹。」
[形]
男子年老無妻或喪偶。《楚辭．屈原．天問》：「舜閔在家，父何以鱞」漢．王逸．注：「無妻曰鱞。」</t>
  </si>
  <si>
    <t>ㄍㄨㄢˇ</t>
  </si>
  <si>
    <t>guǎn</t>
  </si>
  <si>
    <t>[名]
東莞：縣名。位於大陸地區廣東省廣州市東南，東江下游。</t>
  </si>
  <si>
    <t>(一)ㄨㄢˇ wǎn（11473）(三)ㄍㄨㄢ guān（04311）(四)ㄨㄢ wān（11448）</t>
  </si>
  <si>
    <t>脘</t>
  </si>
  <si>
    <t>(一)（語音）ㄨㄢˇ wǎn（11474）</t>
  </si>
  <si>
    <t>筦</t>
  </si>
  <si>
    <t>[名]
1.同「管」。
2.姓。如漢代有筦路。</t>
  </si>
  <si>
    <t>琯</t>
  </si>
  <si>
    <t>[名]
以玉製成的管樂器。《說文解字．竹部》：「琯，古者管以玉。」南朝梁．武帝〈白紵辭〉二首之一：「朱絲玉柱羅象筵，飛琯促節舞少年。」
[動]
磨治金玉，使其光滑潤澤。《集韻．去聲．圂韻》：「琯，治金玉使瑩曰琯。」</t>
  </si>
  <si>
    <t>痯</t>
  </si>
  <si>
    <t>[形]
疲憊沒有精神的樣子。《詩經．小雅．杕杜》：「檀車幝幝，四牡痯痯。」漢．毛亨．傳：「痯痯，罷貌。」</t>
  </si>
  <si>
    <t>管</t>
  </si>
  <si>
    <t>[名]_x000D_
1.樂器名，吹管樂器。以竹製成，上有六孔，可吹氣發聲。《說文解字．竹部》：「管，如篪，六孔，十二月之音，物開地牙，故謂之管。」近代使用的管多為木製，分大、中、小三種形制，上開八孔，前七後一，使用蘆葦製哨子吹奏。_x000D_
2.管樂器的通稱。《孟子．梁惠王下》：「百姓聞王鐘鼓之聲，管籥之音，舉疾首蹙頞而相告。」晉．陸機〈文賦〉：「被金石而德廣，流管弦而日新。」_x000D_
3.中空的圓柱形物體。如：「水管」、「燈管」、「橡皮管」。_x000D_
4.借指筆。南朝梁．劉孝標〈答劉之遴借類苑書〉：「搦管聯冊，纂茲奇英。」_x000D_
5.鑰匙。《左傳．僖公三十二年》：「鄭人使我掌其北門之管。」《北史．卷三三．列傳．李靈》：「元等入城，收管籥。」_x000D_
6.姓。如春秋時齊國有管仲。_x000D_
[動]_x000D_
1.主持、辦理。如：「管理」、「管轄」。《史記．卷八七．李斯列傳》：「管事二十餘年。」_x000D_
2.約束、教導。如：「管教」、「看管」。《紅樓夢》第五九回：「乾的我管不得，你是我肚裡掉出來的，難道也不敢管你不成？」_x000D_
3.理會、顧慮。如：「別管他，我們先走。」《紅樓夢》第五九回：「姑娘你不知道，別管我們閒事。」_x000D_
4.關係、干涉。《紅樓夢》第二〇回：「去不去，管我什麼事？」_x000D_
5.擔任、負責。如：「我管招呼，你管收禮。」_x000D_
6.負責供給。如：「管吃管住」。_x000D_
[副]_x000D_
保證、鐵定。如：「包管你會滿意。」《西遊記》第一一回：「陛下寬心，微臣管送陛下還陽，重登玉關。」_x000D_
[介]_x000D_
將、把，與「叫」合用。如：「我管祖母叫奶奶。」、「大家都管他叫大哥。」</t>
  </si>
  <si>
    <t>錧</t>
  </si>
  <si>
    <t>[名]
1.包在車轂前端的蓋套，用鐵或木製成。《玉篇．金部》：「錧，車具也。」《儀禮．既夕禮》：「木錧，約緩約轡。」唐．賈公彥．疏：「其車錧常用金，喪用木，是取少聲也。」
2.犁田的農具。《集韻．上聲．緩韻》：「錧，田器。」</t>
  </si>
  <si>
    <t>館</t>
  </si>
  <si>
    <t>[名]
1.供賓客住宿的地方。如：「旅館」、「賓館」。
2.房舍、住所。如：「公館」、「別館」、「行館」。《文選．潘岳．懷舊賦》：「今九載而一來，空館閴其無人。」
3.供人進行文化活動的公共場所。如：「圖書館」、「博物館」、「美術館」。
4.供客人飲食娛樂或從事某些工作的場所、商店。如：「餐館」、「酒館」、「茶館」、「照相館」。
5.官署。如：「大使館」、「領事館」。
6.舊時授徒教學的場所。如：「蒙館」。《醒世恆言．卷七．錢秀才錯占鳳凰儔》：「錢青雖知不是同調，卻也藉他館地，為讀書之資，每事左湊著他。」
[動]
安頓、接待。《左傳．僖公五年》：「冬，十二月，丙子朔，晉滅虢，虢公醜奔京師，師還，館于虞。」唐．韓愈〈柳州羅池廟碑〉：「其夕，夢翼而告之曰：『館我於羅池。』」</t>
  </si>
  <si>
    <t>斡</t>
  </si>
  <si>
    <t>[動]
主管。《漢書．卷二四．食貨志下》：「浮食奇民欲擅斡山海之貨，以致富羨。」《新唐書．卷一六六．杜佑傳》：「天性精於吏職，為治不皦察，數斡計賦，相民利病而上下之。」</t>
  </si>
  <si>
    <t>(一)ㄨㄛˋ wò（11347）</t>
  </si>
  <si>
    <t>毌</t>
  </si>
  <si>
    <t>ㄍㄨㄢˋ</t>
  </si>
  <si>
    <t>guàn</t>
  </si>
  <si>
    <t>[動]
貫穿、貫通。通「貫」。《說文解字．毋部》：「毌，穿物持之也。」</t>
  </si>
  <si>
    <t>貫</t>
  </si>
  <si>
    <t>[名]
1.古時穿錢的繩索。《說文解字．毋部》：「貫，錢貝之毌。」《史記．卷三〇．平準書》：「京師之錢累巨萬，貫朽而不可校。」
2.量詞。古代計算錢幣的單位。一千錢為一貫。如：「萬貫家財」。《京本通俗小說．錯斬崔寧》：「當下吃了午飯，丈人取出十五貫錢來。」
3.原籍、世居的地方。如：「籍貫」。《漢書．卷九．元帝紀》：「惟德淺薄，不足以充入舊貫之居。」元．喬吉《金錢記》第一折：「老夫姓王名輔，字公弼，祖貫在京人氏。」
4.姓。如戰國時齊有貫珠。
[動]
1.穿通、通達。如：「貫穿」、「貫通」。《左傳．成公二年》：「矢貫余手及肘。」《論語．里仁》：「吾道一以貫之。」
2.連接、連續。如：「連貫」、「魚貫而入」。《荀子．王霸》：「若夫貫日而治詳。」
3.灌注。如：「如雷貫耳」。《警世通言．卷三一．趙春兒重旺曹家莊》：「照樣做成貫鉛的假元寶，一個換一個。」
4.穿戴。漢．王充《論衡．祀義》：「以所見長大之神貫一尺之衣，其肯喜而加福於人乎？」《西遊記》第四回：「戴上紫金冠，貫上黃金甲，登上步雲鞋。」
5.張、拉。《後漢書．卷二〇．祭遵傳》：「肜有勇力，能貫三百斤弓。」
[副]
習慣。通「慣」。《左傳．襄公三十一年》：「譬如田獵，射御貫則能獲禽。」《孟子．滕文公下》：「我不貫與小人乘，請辭。」</t>
  </si>
  <si>
    <t>慣</t>
  </si>
  <si>
    <t>[名]
經久養成的習性。如：「抽菸是個壞習慣。」
[動]
1.嬌寵、縱容。如：「他從小被父親慣壞了。」《紅樓夢》第三八回：「老太太因為喜歡他，纔慣的他這樣。」
2.穿通、通透。同「貫」。《薛仁貴征遼事略》：「臣當一臂慣之，使陛下知臣不老。」《水滸傳》第五九回：「學成武藝慣心胸。」
[副]
習以為常。如：「做慣了就不覺得累了。」唐．白居易〈新樂府．新豐折臂翁〉：「慣聽梨園歌管聲，不識旗槍與弓箭。」</t>
  </si>
  <si>
    <t>摜</t>
  </si>
  <si>
    <t>[動]
摔、扔。《水滸傳》第二六回：「把那婦人頭望西門慶臉上摜將來。」《西遊記》第三一回：「只見行者提著兩孩子，站在那高崖之上，意欲往下摜。」</t>
  </si>
  <si>
    <t>丱</t>
  </si>
  <si>
    <t>[形]
小孩頭髮分束成兩角突出的樣子。《詩經．齊風．甫田》：「婉兮孌兮，總角丱兮。」</t>
  </si>
  <si>
    <t>[動]
1.戴帽子。《漢書．卷四三．酈食其傳》：「諸客冠儒冠來者，沛公輒解其冠。」
2.男子已成年。唐．劉禹錫〈子劉子自傳〉：「初，禹錫既冠，舉進士，一幸而中試。」《醒世恆言．卷三．賣油郎獨占花魁》：「朱重長成一十七歲，生得一表人才，須然已冠，尚未娶妻。」
3.覆蓋。《文選．江淹．雜體詩．謝僕射》：「時菊耀巖阿，雲霞冠秋嶺。」
4.超越、領先。如：「獨冠群芳」。《史記．卷五三．蕭相國世家．太史公曰》：「位冠群臣，聲施後世。」
5.加上。如：「冠夫姓」、「冠罪名」。
[名]
一種古代的儀式。為年滿二十歲的男子戴上帽子的成年禮。後亦稱成年男子為「冠」。《論語．先進》：「冠者五六人，童子六七人，浴乎沂。」
[形]
第一的、最優秀的。如：「冠軍」。</t>
  </si>
  <si>
    <t>(一)ㄍㄨㄢ guān（04309）</t>
  </si>
  <si>
    <t>涫</t>
  </si>
  <si>
    <t>[形]
滾沸的。《楚辭．嚴忌．哀時命》：「愁脩夜而宛轉兮，氣涫沸其若波。」《史記．卷一二八．褚少孫補．龜策傳》：「寡人念其如此，腸如涫湯。」</t>
  </si>
  <si>
    <t>祼</t>
  </si>
  <si>
    <t>[名]
古代一種祭祀的儀式，將酒灑在地上以告神。《說文解字．示部》：「祼，灌祭也。」《書經．洛誥》：「王入太室祼。」唐．孔穎達．正義：「王以圭瓚酌鬱鬯之酒以獻尸，尸受祭而灌於地，因奠不飲，謂之祼。」</t>
  </si>
  <si>
    <t>盥</t>
  </si>
  <si>
    <t>[動]
1.洗手。《說文解字．皿部》：「盥，澡手也。」漢．王充《論衡．譏日》：「且沐者，去首垢也；洗，去足垢；盥，去手垢；浴，去身垢，皆去一形之垢，其實等也。」
2.洗滌。唐．白居易〈冷泉亭記〉：「眼耳之塵，心舌之垢，不待盥滌，見輒除去。」
[名]
洗滌用的盛水器皿。北周．庾信〈周安昌公夫人鄭氏墓志銘〉：「承姑奉盥，訓子停機。」</t>
  </si>
  <si>
    <t>灌</t>
  </si>
  <si>
    <t>[動]
1.注入、倒進。如：「灌水」、「灌酒」、「灌風」、「他不肯吃藥，媽媽只好硬灌。」《莊子．秋水》：「秋水時至，百川灌河。」
2.澆水。如：「灌溉」。《莊子．逍遙遊》：「時雨降矣，而猶浸灌，其於澤也，不亦勞乎。」
3.錄製。如：「灌唱片」。
[名]
1.一種古代祭祀的儀式，酌酒灑地以告神。《禮記．明堂位》：「季夏六月，以禘禮祀周公於大廟，牲用白牡，尊用犧象山罍，鬱尊用黃目，灌用玉瓚大圭。」
2.姓。如漢代有灌嬰。
[形]
叢聚的。如：「灌莽」。《詩經．周南．葛蕈》：「黃鳥于飛，集於灌木。」</t>
  </si>
  <si>
    <t>爟</t>
  </si>
  <si>
    <t>[動]
舉火。《說文解字．火部》：「爟，舉火曰爟。」
[名]
用以示警的烽火。《廣韻．去聲．換韻》：「爟，烽火。」</t>
  </si>
  <si>
    <t>瓘</t>
  </si>
  <si>
    <t>[名]
一種玉石。《說文解字．玉部》：「瓘，玉也。」《左傳．昭公十七年》：「若我用瓘斝、玉瓚，鄭必不火。」漢．鄭玄．注：「瓘，珪也。」</t>
  </si>
  <si>
    <t>矔</t>
  </si>
  <si>
    <t>[形]
眼神貫注。《說文解字．目部》：「矔，目多精也。」清．段玉裁．注：「矔之言灌注也。」
[動]
怒目而視。《廣韻．去聲．換韻》：「矔，張目。」《漢書．卷八七．揚雄傳下》「羌戎睚眥」句下唐．顏師古．注：「睚字或作矔。矔者，怒其目眥也。」</t>
  </si>
  <si>
    <t>罐</t>
  </si>
  <si>
    <t>[名]
1.用陶或金屬製成可供盛物、汲水或烹煮用的容器。如：「茶罐」、「藥罐」、「醋罐」。南朝宋．劉義慶《世說新語．尤悔》：「帝預敕左右毀缾罐，太后徒跣趨井，無以汲。」
2.量詞。計算罐裝物品的單位。如：「五罐罐頭」、「三罐奶粉」。</t>
  </si>
  <si>
    <t>[名]
1.古代宮門外懸掛告示的地方。《禮記．禮運》：「昔者仲尼與於蜡賓，事，畢出遊于觀之上，喟然而歎。」《新唐書．卷四八．百官志三》：「朝會，則率其屬正百官之班序，遲明列於兩觀。」
2.高的樓臺。《左傳．宣公十二年》：「君盍築武軍而收晉尸以為京觀？」《史記．卷八七．李斯傳》：「二世上觀而見之，恐懼，高即因劫令自殺。」
3.道教的廟宇。如：「道觀」。《西遊記》第二十四回：「卻說這座山名喚萬壽山，山中有一座觀，名喚五莊觀。」
4.《易經》卦名。六十四卦之一。坤（☷）下巽（☴）上。象先王教化風行於世之義。
5.姓。如春秋時楚國有觀射父。</t>
  </si>
  <si>
    <t>(一)ㄍㄨㄢ guān（04316）</t>
  </si>
  <si>
    <t>鑵</t>
  </si>
  <si>
    <t>[名]
汲水或盛物的器具。同「罐」。《集韻．去聲．換韻》：「罐，汲器。或從金。」明．李時珍《本草綱目．卷一六．草部．紫花地丁》：「附方：紫花地丁根日乾，以鑵盛，燒煙對瘡熏之。」</t>
  </si>
  <si>
    <t>鸛</t>
  </si>
  <si>
    <t>[名]
1.鸛形目鸛科鳥類的泛稱。主要分布於熱帶和溫帶地區。嘴頸皆長，以蛇、蛙、魚類、昆蟲等小動物為食，常棲息於水澤邊。善於飛行，因不具鳴管而無法發聲，僅能碰撞兩嘴表示情感。
2.參見「鵝鸛」條。</t>
  </si>
  <si>
    <t>丨</t>
  </si>
  <si>
    <t>ㄍㄨㄣˇ</t>
  </si>
  <si>
    <t>gǔn</t>
  </si>
  <si>
    <t>[形]
上下貫通的樣子。《說文解字．丨部》：「丨，下上通也。」
[名]
二一四部首之一。</t>
  </si>
  <si>
    <t>混</t>
  </si>
  <si>
    <t>參見「混混」條。</t>
  </si>
  <si>
    <t>(一)ㄏㄨㄣˋ hùn（05215）(三)ㄎㄨㄣ kūn（04657）(四)ㄏㄨㄣˊ hún（05204）(五)（(一)之又音）ㄏㄨㄣˇ hǔn（05211）</t>
  </si>
  <si>
    <t>緄</t>
  </si>
  <si>
    <t>[名]
繩、帶子。《詩經．秦風．小戎》：「交韔二弓，竹閉緄縢。」漢．毛亨．傳：「緄，繩。」《晉書．卷二五．輿服志》：「自公主、封君以上皆帶，以綵組為緄帶。」
[動]
一種縫紉的方法，沿著衣服的邊縫上布條、蕾絲等做裝飾。如：「緄一道邊」。</t>
  </si>
  <si>
    <t>輥</t>
  </si>
  <si>
    <t>[形]
車轂勻整的樣子。《說文解字．車部》：「輥，轂齊等貌。」
[名]
能滾動的圓柱形機件。如：「軋輥」。
[動]
翻轉、滾動。宋．陸游〈夢中作〉詩：「春風又作無情計，滿路楊花輥雪球。」</t>
  </si>
  <si>
    <t>袞</t>
  </si>
  <si>
    <t>[名]
1.古代天子祭祀時所穿的禮服。《說文解字．衣部》：「袞，天子享先王，卷龍繡於下常，幅一龍蟠阿上鄉。」
2.古代上公所穿的禮服。《詩經．豳風．九罭》：「我覯之子，袞衣繡裳。」漢．鄭玄．箋：「王迎周公，當以上公之服往見之。」
3.借指天子。
4.借指三公。《北史．卷六〇．李弼等傳．論曰》：「茂績元勛，位居上袞。」</t>
  </si>
  <si>
    <t>滾</t>
  </si>
  <si>
    <t>[形]
大水奔湧翻騰的樣子。常用疊詞「滾滾」。《集韻．上聲．混韻》：「滾，大水流貌。」如：「白浪翻滾」、「滾滾黃河」。
[動]
1.翻轉。如：「打滾」、「滾雪球」、「連爬帶滾」。
2.離開、走開，多表示呵斥。如：「滾出去」。《紅樓夢》第九六回：「快快的滾罷，還等窩心腳呢！」
3.液體沸騰。如：「水滾了。」
4.沿著衣服的邊緣上做裝飾。如：「在衣襬上滾一道紅邊。」
[副]
很、非常。如：「滾燙」、「滾圓」。《紅樓夢》第二〇回：「我家裡燒的滾熱的野雞，快來跟我吃酒去。」</t>
  </si>
  <si>
    <t>蔉</t>
  </si>
  <si>
    <t>[動]
以土培育苗根。《左傳．昭公元年》：「譬如農夫，是穮是蔉，雖有饑饉，必有豐年。」晉．杜預．注：「壅苗為蔉。」</t>
  </si>
  <si>
    <t>渾</t>
  </si>
  <si>
    <t>參見「渾渾」條。</t>
  </si>
  <si>
    <t>(一)ㄏㄨㄣˊ hún（05206）(二)ㄏㄨㄣˋ hùn（05216）</t>
  </si>
  <si>
    <t>鯀</t>
  </si>
  <si>
    <t>[名]
1.大魚。《玉篇．魚部》：「鯀，大魚也。」
2.人名。夏禹的父親，堯封於崇伯，因治水無功，被舜殺於羽山。</t>
  </si>
  <si>
    <t>棍</t>
  </si>
  <si>
    <t>ㄍㄨㄣˋ</t>
  </si>
  <si>
    <t>gùn</t>
  </si>
  <si>
    <t>[名]
1.棒子。如：「木棍」、「鐵棍」、「警棍」。
2.無賴、不正派的人。如：「惡棍」、「賭棍」、「神棍」。</t>
  </si>
  <si>
    <t>光</t>
  </si>
  <si>
    <t>ㄍㄨㄤ</t>
  </si>
  <si>
    <t>guāng</t>
  </si>
  <si>
    <t>[名]
1.能由視覺器官接收，使人察覺物體存在的電磁輻射。如：「日光」、「燈光」。
2.榮耀、名譽。如：「為國爭光」。《詩經．小雅．南山有臺》：「樂只君子，邦家之光。」
3.景色。如：「風光」、「觀光」、「春光明媚」。
4.時間。如：「光陰」、「時光」。唐．李白〈前有一樽酒行〉二首之一：「青軒桃李能幾何？流光欺人忽蹉跎。」
5.恩惠、好處。常用在客套話。如：「沾光」、「叨光」。《紅樓夢》第二二回：「明兒就這樣行，也叫他們借咱們的光兒。」
6.姓。如晉代有光逸。
[動]
1.彰顯、發揚。《文選．諸葛亮．出師表》：「誠宜開張聖聽，以光先帝遺德。」
2.裸露。如：「光著腳丫子」、「光著身子」。
[形]
1.明亮。如：「光天化日」。《文選．揚雄．羽獵賦》：「若光若滅者，布乎青林之下。」
2.平滑。如：「光滑」。唐．韓愈〈進學解〉：「爬羅剔抉，刮垢磨光。」
[副]
1.完、盡。如：「吃光」、「用光」、「花光」。
2.僅、只。如：「光說不做」。《紅樓夢》第一〇一回：「也不光為我，就是太太聽見也喜歡。」
3.對人說的客套話。如：「歡迎光臨」。</t>
  </si>
  <si>
    <t>侊</t>
  </si>
  <si>
    <t>[形]
盛大。《廣韻．平聲．唐韻》：「侊，盛貌。」</t>
  </si>
  <si>
    <t>洸</t>
  </si>
  <si>
    <t>[形]
1.波光耀動的樣子。《說文解字．水部》：「洸，水涌光也。」《文選．郭璞．江賦》：「若乃曾潭之府，靈湖之淵，澄澹汪洸，瀇滉淵泫。」
2.威武的樣子。《詩經．邶風．谷風》：「有洸有潰，既詒我肄。」</t>
  </si>
  <si>
    <t>(二)ㄏㄨㄤˇ huǎng（05246）</t>
  </si>
  <si>
    <t>桄</t>
  </si>
  <si>
    <t>參見「桄榔」條。</t>
  </si>
  <si>
    <t>(二)ㄍㄨㄤˋ guàng（04365）</t>
  </si>
  <si>
    <t>茪</t>
  </si>
  <si>
    <t>[名]
植物名。豆科決明屬，「決明子」之古稱。參見「決明子」、「芵明」條。</t>
  </si>
  <si>
    <t>胱</t>
  </si>
  <si>
    <t>銧</t>
  </si>
  <si>
    <t>[名]
化學元素。鐳的舊譯。</t>
  </si>
  <si>
    <t>迋</t>
  </si>
  <si>
    <t>ㄍㄨㄤˇ</t>
  </si>
  <si>
    <t>guǎng</t>
  </si>
  <si>
    <t>[動]
1.欺騙。《詩經．鄭風．揚之水》：「無信人之言，人實迋女。」《左傳．定公十年》：「是我迋吾兄也。」
2.恐懼。《左傳．昭公二十一年》：「子無我迋，不幸而後亡。」</t>
  </si>
  <si>
    <t>(一)ㄨㄤˋ wàng（11537）</t>
  </si>
  <si>
    <t>廣</t>
  </si>
  <si>
    <t>[名]
1.沒有四壁的大屋。《說文解字．广部》：「廣，殿之大屋也。」
2.寬度。《墨子．備城門》：「沉機長二丈，廣八尺。」
3.大陸地區廣東、廣西兩省與廣州的簡稱。如：「兩廣」、「京廣鐵路」、「湖廣總督」。
4.姓。如宋代有廣漢。
[動]
1.擴大、增加。如：「增廣見聞」。《易經．繫辭上》：「夫易，聖人所以崇德而廣業也。」《呂氏春秋．恃君覽．長利》：「是故地日廣，子孫彌隆。」
2.傳播、散布。宋．王灼《碧雞漫志》卷三：「曲罷，無不感泣，因廣其曲，傳于人間。」
3.寬慰。《史記．卷八十四．屈原賈生傳》：「自以壽不得長，傷悼之，乃為賦以自廣。」
[形]
1.寬大、寬闊。如：「廣場」、「地廣人稀」。《詩經．周南．漢廣》：「漢之廣矣，不可泳思。」
2.高遠。《荀子．修身》：「君子貧窮而志廣。」
3.眾多。如：「大庭廣眾」。《戰國策．趙策三》：「自是以後，眾人廣坐之中，未嘗不言趙人之長者也。」</t>
  </si>
  <si>
    <t>鄺</t>
  </si>
  <si>
    <t>(一)ㄎㄨㄤˋ kuàng（04693）</t>
  </si>
  <si>
    <t>獷</t>
  </si>
  <si>
    <t>[形]
強悍、不馴服。如：「獷悍」。《後漢書．卷六五．段熲傳》：「虛欲修文戢戈，招降獷敵。」</t>
  </si>
  <si>
    <t>ㄍㄨㄤˋ</t>
  </si>
  <si>
    <t>guàng</t>
  </si>
  <si>
    <t>[名]
1.器物上的橫木。如：「門桄」、「織機桄」。明．徐光啟《農政全書．卷三四．蠶桑．桑事圖譜》：「狀如高凳，平穿二桄，就作登級。」
2.量詞。計算以桄子繞好的線團的單位。如：「一桄毛線」。</t>
  </si>
  <si>
    <t>(一)ㄍㄨㄤ guāng（04357）</t>
  </si>
  <si>
    <t>逛</t>
  </si>
  <si>
    <t>[動]
遊覽、閒步。如：「逛街」、「逛夜市」。《老殘遊記》第五回：「老殘無事，便向街道閒逛。」</t>
  </si>
  <si>
    <t>工</t>
  </si>
  <si>
    <t xml:space="preserve">工 </t>
  </si>
  <si>
    <t>ㄍㄨㄥ</t>
  </si>
  <si>
    <t>gōng</t>
  </si>
  <si>
    <t>[名]
1.有專門技術或從事勞動生產的人。如：「木工」、「礦工」、「水電工」。《論語．衛靈公》：「工欲善其事，必先利其器。」
2.技巧。如：「唱工」、「雕工」、「巧奪天工」。唐．李白〈訪道安陵遇蓋還為余造真籙臨別留贈〉詩：「為我草真籙，天人慚妙工。」
3.勞動生產的作業。如：「上工」、「加工」、「怠工」。
4.大規模、有計畫的建設。如：「施工」、「竣工」。
5.工業的簡稱。如：「化工」。
6.一種古代樂譜上的音階符號。參見「工尺」條。
7.二一四部首之一。
[動]
擅長。如：「工於心計」。《韓非子．五蠹》：「工文學者非所用，用之則亂法。」
[形]
精緻、巧妙。如：「工整」。《紅樓夢》第四八回：「怪道我常弄本舊詩，偷空兒看一兩首，又有對的極工的，又有不對的。」</t>
  </si>
  <si>
    <t>功</t>
  </si>
  <si>
    <t>[名]
1.勛勞。如：「立功」、「歌功頌德」。《史記．卷七．項羽本紀》：「勞苦而功高如此，未有封侯之賞。」
2.事情、工作。如：「功虧一簣」。《史記．卷八二．田單列傳》：「乃身操版插，與士卒分功。」《北史．卷一一．隋本紀．高祖文帝》：「始令人以二十一成丁，歲役功不過二十日，不役者收庸。」
3.成效。如：「事半功倍」、「徒勞無功」。《荀子．勸學》：「駑馬十駕，功在不舍。」
4.成就、事業。如：「豐功偉業」。《孟子．公孫丑上》：「管仲晏子之功，可復許乎？」
5.工夫。如：「用功」、「練功」。唐．韓愈〈答殷侍御書〉：「一來應舉，事隨日生，雖欲加功，竟無其暇。」
6.一種喪服。參見「功服」條。
7.物理名詞，定義為施於物體上的力與物體沿施力方向所移動距離的乘積。</t>
  </si>
  <si>
    <t>攻</t>
  </si>
  <si>
    <t>[動]
1.出擊。《說文解字．攴部》：「攻，擊也。」如：「圍攻」、「猛攻」、「反攻」。《左傳．僖公四年》：「以此攻城，何城不克。」
2.治療。《周禮．天官．瘍醫》：「凡療瘍，以五毒攻之。」《墨子．兼愛上》：「必知疾之所自起，焉能攻之。」
3.指責。如：「攻訐」、「群起攻之」。《論語．先進》：「非吾徒也，小子鳴鼓而攻之可也。」
4.治理、整治。《詩經．小雅．鶴鳴》：「它山之石，可以攻玉。」
5.從事、鑽研。如：「他專攻應用數學。」《論語．為政》：「攻乎異端，斯害也已。」
[名]
姓。如漢代有攻生單。</t>
  </si>
  <si>
    <t>紅</t>
  </si>
  <si>
    <t>[名]_x000D_
工作。通「工」。多指女子所做的織布、縫紉、刺繡等工作。如：「女紅」。</t>
  </si>
  <si>
    <t>(一)ㄏㄨㄥˊ hóng（05279）</t>
  </si>
  <si>
    <t>弓</t>
  </si>
  <si>
    <t>[名]_x000D_
1.武器名。由彎成弧形的木條繫上絲繩製成用以發射箭矢或彈丸的器具。如：「弓箭」、「彈弓」。《三國演義》第六五回：「張飛帶住馬，拈弓搭箭，回射馬超。」_x000D_
2.量詞。古代計算長度的單位。六尺為一弓。《儀禮．鄉射禮》：「侯道五十弓。」唐．賈公彥．疏：「六尺為步，弓之下制六尺，與步相應。」_x000D_
3.姓。如前秦有弓蚝。_x000D_
4.二一四部首之一。_x000D_
[動]_x000D_
彎曲。如：「弓腰」、「弓著背」。</t>
  </si>
  <si>
    <t>躬</t>
  </si>
  <si>
    <t>[名]
身體。《爾雅．釋詁下》：「躬，身也。」如：「鞠躬」、「政躬康泰」。《詩經．大雅．生民》：「纘戎祖考，王躬是保。」
[副]
親身、親自。如：「事必躬親」。晉．杜預〈春秋左氏傳序〉：「身為國史，躬覽載籍。」唐．王勃〈滕王閣序〉：「童子何知，躬逢勝餞。」
[動]
彎曲。如：「躬身為禮」。</t>
  </si>
  <si>
    <t>公</t>
  </si>
  <si>
    <t>[動]
1.平分。《說文解字．八部》：「公，平分也。」
2.使多數人得知或分享。如：「公諸世人」、「公諸同好」。
[名]
1.一種古代的爵位，位居五等之首。《禮記．王制》：「王者之制祿爵，公、侯、伯、子、男凡五等。」
2.稱謂：(1)對祖父的稱呼。如：「外公」。(2)對年長或有地位者的尊稱。如：「主公」、「老公公」。(3)婦人稱丈夫的父親為「公」。如：「公公」、「公婆」。
3.對同輩的敬稱。《史記．卷七六．平原君傳》：「公等錄錄，所謂因人成事者也。」
4.平正無私。如：「因公忘私」。《書經．周官》：「以公滅私，民其允懷。」《韓非子．五蠹》：「自環者謂之私，背私者謂之公。」
5.有關眾人的事物。如：「辦公」。
6.姓。如漢代有公儉。
[形]
1.屬於大眾的。如：「公費」、「公物」、「公筷」、「公海」。
2.雄性的。如：「公雞」。
[副]
1.不掩飾、不隱藏的。如：「公然」。《隋書．卷七〇．楊玄感傳》：「朋黨相扇，貨賄公行。」
2.國家負責的。如：「公營」、「公告地價」。</t>
  </si>
  <si>
    <t>蚣</t>
  </si>
  <si>
    <t>參見「蜈蚣」條。</t>
  </si>
  <si>
    <t>共</t>
  </si>
  <si>
    <t>[動]
供給。通「供」。《左傳．僖公三十年》：「行李之往來，共其乏困，君亦無所害。」
[形]
恭敬。通「恭」。《左傳．文公十八年》：「父義，母慈，兄友，弟共，子孝。」
[名]
姓。如黃帝時有共鼓。</t>
  </si>
  <si>
    <t>(一)ㄍㄨㄥˋ gòng（04393）(三)ㄍㄨㄥˇ gǒng（04384）</t>
  </si>
  <si>
    <t>供</t>
  </si>
  <si>
    <t>[動]
1.給予。如：「提供」、「供應」、「供給」。《文選．潘岳．藉田賦》：「故躬稼以供粢盛，所以致孝也。」《二刻拍案驚奇》卷一四：「主人辭不得，一日供他兩番，而今多了，也供不起了。」
2.受審者陳述案情。如：「供認」、「供出」。《聊齋志異．卷八．局詐》：「司馬怒，執下廷尉。始供其引見者之姓名。」
[名]
受審者所陳說的案情紀錄。如：「口供」、「筆供」、「招供」。《紅樓夢》第八四回：「你說你親眼見的，怎麼今日的供不對？」</t>
  </si>
  <si>
    <t>(二)ㄍㄨㄥˋ gòng（04394）</t>
  </si>
  <si>
    <t>龔</t>
  </si>
  <si>
    <t>[動]
供給。通「供」。《說文解字．共部》：「龔，給也。」唐．柳宗元〈武岡銘〉：「奉職輸賦，進比華人，無敢不龔。」
[副]
恭敬。通「恭」。《文選．范曄．宦者傳論》：「雖袁紹龔行，芟夷無餘，然以暴易亂，亦何云及。」
[名]
姓。如晉代有龔堅。</t>
  </si>
  <si>
    <t>肱</t>
  </si>
  <si>
    <t>[名]
胳膊。或單指肩臂相連處至腕的部分。《左傳．定公十三年》：「三折肱知為良醫。」《論語．述而》：「飯疏食飲水，曲肱而枕之，樂亦在其中矣！」</t>
  </si>
  <si>
    <t>宮</t>
  </si>
  <si>
    <t>[名]
1.房屋、住宅。《說文解字．宮部》：「宮，室也。」《易經．困卦．象曰》：「入于其宮不見其妻，不祥也。」《韓非子．難二》：「子宮小，近市，請徙子家豫章之圃。」
2.帝王的住所。如：「皇宮」。唐．陸德明《經典釋文．卷二九．爾雅音義中》：「宮，古者貴賤同稱宮，秦漢以來惟王者所居稱宮焉。」唐．李白〈古風〉詩五九首之二：「蕭蕭長門宮，昔是今已非。」
3.祭祀神明或祖先的地方。如：「天后宮」、「朝天宮」。《詩經．大雅．雲漢》：「不殄禋祀，自郊徂宮。」漢．鄭玄．箋：「宮，宗廟也。」唐．韓愈〈謁衡嶽廟遂宿嶽寺題門樓〉詩：「森然魄動下馬拜，松柏一逕趨靈宮。」
4.五音之一，與商、角、徵、羽合稱為「五音」。以宮聲為主的調式也稱為「宮」。如元代北曲用樂分六宮十一調。
5.古代一種閹割男性的生殖器官或將女性幽閉起來的刑罰。《書經．呂刑》：「宮辟疑赦，其罰六百鍰。」漢．孔安國．傳：「宮，淫刑也。男子割勢，婦人幽閉，次死之刑。」
6.姓。如春秋時虞國有宮之奇。</t>
  </si>
  <si>
    <t>恭</t>
  </si>
  <si>
    <t>[動]
1.尊敬。《說文解字．心部》：「恭，肅也。」《孔子家語．卷三．弟子行》：「恭老卹幼，不忘賓旅。」
2.遵行、奉行。《三國志．卷五五．吳書．黃蓋傳》：「初皆怖威，夙夜恭職。」
3.稱讚。如：「恭維」。
[名]
1.一種拱手致意的禮節。如：「打恭作揖」。《儒林外史》第四二回：「請過了文昌，大人朝上又打三恭。」
2.姓。如晉代有恭播。
[形]
謙和。如：「恭敬」、「謙恭有禮」。
[副]
敬肅。如：「恭送」、「洗耳恭聽」、「恭候大駕」。</t>
  </si>
  <si>
    <t>塨</t>
  </si>
  <si>
    <t>[名]
人名用字。如清代有李塨。</t>
  </si>
  <si>
    <t>觥</t>
  </si>
  <si>
    <t>[名]
用兕牛角製成的飲酒器物。如：「杯觥交錯」。《詩經．周南．卷耳》：「我姑酌兕觥，維以不永傷。」
[形]
豐盛。《國語．越語下》：「諺有之曰：『觥飯不及壺飧。』」三國吳．韋昭．注：「觥，大也。」</t>
  </si>
  <si>
    <t>廾</t>
  </si>
  <si>
    <t>ㄍㄨㄥˇ</t>
  </si>
  <si>
    <t>gǒng</t>
  </si>
  <si>
    <t>[動]
並攏兩手以捧物。《說文解字．廾部》：「廾，竦手也。」
[名]
1.二十。同「廿」。
2.二一四部首之一。</t>
  </si>
  <si>
    <t>[動]
1.雙手抱拳。通「拱」。《荀子．賦》：「聖人共手，時幾將矣。」
2.環繞、護衛。通「拱」。《論語．為政》：「為政以德，譬如北辰，居其所而眾星共之。」</t>
  </si>
  <si>
    <t>(一)ㄍㄨㄥˋ  gòng（04393）(二)ㄍㄨㄥ gōng
（04375）</t>
  </si>
  <si>
    <t>拱</t>
  </si>
  <si>
    <t>[動]
1.雙手相合，臂的前部上舉，以示恭敬。《說文解字．手部》：「拱，斂手也。」《論語．微子》：「植其杖而芸，子路拱而立。」
2.圍繞。如：「群山環拱」、「眾星拱月」。
3.肢體上聳彎曲而成弧形。如：「拱肩縮背」、「貓兒拱起身體。」《西遊記》第六〇回：「座上眾精聞言，都拱身對老龍作禮。」
4.向上或向外頂掀。如：「新長出的芽兒把土拱起來了。」唐．杜甫〈北征〉詩：「鴟鳥鳴黃桑，野鼠拱亂穴。」
5.強迫推舉。如：「他被大家拱出來當代表。」
[形]
1.可用兩手合抱的。《左傳．僖公三十二年》：「爾何知！中壽，爾墓之木拱矣。」
2.圓弧形的。如：「拱橋」、「拱門」。</t>
  </si>
  <si>
    <t>珙</t>
  </si>
  <si>
    <t>[名]
大的璧玉。《玉篇．玉部》：「珙，大璧也。」唐．韓愈、張籍、孟郊、張徹〈會合聯句〉：「朝紳鬱青綠，馬飾曜珪珙。」</t>
  </si>
  <si>
    <t>拲</t>
  </si>
  <si>
    <t>[動]
把雙手銬在一起。《說文解字．手部》：「拲，兩手共同械也。」《周禮．秋官．掌囚》：「凡囚者，上罪梏拲而桎。」鄭玄注引鄭司農云：「拲者，兩手共一木也。」</t>
  </si>
  <si>
    <t>栱</t>
  </si>
  <si>
    <t>參見「斗栱」條。</t>
  </si>
  <si>
    <t>蛬</t>
  </si>
  <si>
    <t>[名]
動物名。即蟋蟀。觸鬚細長，後腿長而善跳。前翅堅硬，後翅長而呈膜狀，用於飛翔。雄蟲可摩翅發出鳴聲，用來吸引異性或打鬥時助威。喜食蔬菜，好鬥，常被養作玩物。《爾雅．釋蟲》：「蟋蟀，蛬。」</t>
  </si>
  <si>
    <t>汞</t>
  </si>
  <si>
    <t>[名]
（mercury，Hg）化學元素。原子序80。金屬元素之一，在常溫下呈銀白色液態，有毒性。內聚力很強，化學性質不活潑。可用來製鏡子、溫度計、血壓計、水銀燈等，或用於工業、醫藥方面。也稱為「水銀」。</t>
  </si>
  <si>
    <t>鞏</t>
  </si>
  <si>
    <t>[動]
1.以皮革綑束東西。《說文解字．革部》：「鞏，以韋束也。」
2.牢固。如：「鞏固國防」。《詩經．大雅．瞻卬》：「藐藐昊天，無不克鞏。」
[名]
姓。如漢代有鞏攸。</t>
  </si>
  <si>
    <t>礦</t>
  </si>
  <si>
    <t>(一)ㄎㄨㄤˋ kuàng（04696）</t>
  </si>
  <si>
    <t>ㄍㄨㄥˋ</t>
  </si>
  <si>
    <t>gòng</t>
  </si>
  <si>
    <t>[副]
1.一起、一同。如：「共鳴」、「共存」、「和平共處」。《史記．卷八．高祖本紀》：「天下共立義帝，北面事之。」
2.合、總計。如：「共計」、「籃子裡共有十顆蘋果。」
[動]
分享、合用。《論語．公冶長》：「願車馬衣輕裘與朋友共，敝之而無憾。」
[形]
相同的。如：「共識」、「共相」。
[連]
跟、和。唐．王勃〈滕王閣序〉：「落霞與孤鶩齊飛，秋水共長天一色。」元．關漢卿《救風塵》第一折：「姻緣簿全憑我共你，誰不待揀個稱意的？」</t>
  </si>
  <si>
    <t>(二)ㄍㄨㄥ gōng（04375）(三)ㄍㄨㄥˇ gǒng（04384）</t>
  </si>
  <si>
    <t>[動]
1.陳設、放置。《說文解字．人部》：「供，設也。」《漢書．卷七一．疏廣傳》：「公卿大夫故人邑子設祖道，供張東都門外，送者車數百兩，辭決而去。」《警世通言．卷九．李謫仙醉草嚇蠻書》：「桌上花瓶內供一枝碧桃花。」
2.貢獻、奉祀。如：「供佛」。《紅樓夢》第五三回：「咱們哪怕用一萬兩銀子供祖宗，到底不如這個有體面。」
3.從事、操持。如：「供職」。宋．陸游〈浣花女〉詩：「江頭女兒雙髻丫，常隨阿母供桑麻。」
[名]
祭品或供奉別人食用的菜餚。如：「果供」、「蜜供」。《晉書．卷三三．何曾傳》：「食必盡四方珍異，一日之供以錢二萬為限。」《西遊記》第一六回：「那院主獻了茶，又安排齋供。」</t>
  </si>
  <si>
    <t>(一)ㄍㄨㄥ gōng（04376）</t>
  </si>
  <si>
    <t>貢</t>
  </si>
  <si>
    <t>[動]
1.古代向帝王進獻。《史記．卷一．五帝本紀》：「各以其職來貢，不失厥宜。」
2.古代向朝廷荐舉、推舉人才。《禮記．射義》：「是故古者天子之制，諸侯歲獻，貢士於天子。」《儒林外史》第一九回：「又把他題了優行，貢入太學肄業。」
3.賜予。通「贛」。《爾雅．釋詁上》：「賚、貢、錫、畀、予、貺，賜也。」
[名]
1.進獻的物品。如：「進貢」、「納貢」。唐．陳子昂〈送著作佐郎崔融等從梁王東征序〉：「匈奴舍蒲萄之宮，越裳重翡翠之貢。」
2.姓。如漢代有貢禹。</t>
  </si>
  <si>
    <t>[動]
賜給。《說文解字．貝部》：「贛，賜也。」《淮南子．精神》：「今贛人敖倉，予人河水。」</t>
  </si>
  <si>
    <t>(一)ㄍㄢˋ gàn（04078）</t>
  </si>
  <si>
    <t>咖</t>
  </si>
  <si>
    <t>ㄎㄚ</t>
  </si>
  <si>
    <t>kā</t>
  </si>
  <si>
    <t>[名]
譯音用字。如：「咖啡」、「咖哩」。</t>
  </si>
  <si>
    <t>哈</t>
  </si>
  <si>
    <t>參見「哈喇」條。</t>
  </si>
  <si>
    <t>(一)ㄏㄚ hā（04711）(二)ㄏㄚˇ hǎ（04716）</t>
  </si>
  <si>
    <t>喀</t>
  </si>
  <si>
    <t>[擬]
形容咳嗽、嘔吐的聲音。《列子．說符》：「兩手據地而歐之，不出，喀喀然遂伏而死。」</t>
  </si>
  <si>
    <t>(一)ㄎㄚˋ kà（04405）(三)ㄎㄜˋ kè（04448）</t>
  </si>
  <si>
    <t>卡</t>
  </si>
  <si>
    <t>ㄎㄚˇ</t>
  </si>
  <si>
    <t>kǎ</t>
  </si>
  <si>
    <t>[名]
1.政府派兵駐守的關口或收稅的地方。如：「關卡」、「兵卡」、「釐卡」。
2.硬紙片。為英語card的音譯。如：「聖誕卡」、「生日卡」、「賀年卡」。
3.卡路里的簡稱。如：「十卡熱量」。
[動]
被夾住或堵塞而不能活動。如：「他被卡在兩部車中間，動彈不得。」</t>
  </si>
  <si>
    <t>(二)ㄑㄧㄚˇ qiǎ（06321）</t>
  </si>
  <si>
    <t>佧</t>
  </si>
  <si>
    <t>參見「佧喇」、「佧佤」等條。</t>
  </si>
  <si>
    <t>鉲</t>
  </si>
  <si>
    <t>[名]
（californium，Cf）化學元素。原子序98。錒系元素之一。全部同位素都具放射性，自行分裂產生中子，做為高通量中子源。可用於礦物的探勘和醫藥的應用。大陸地區譯為鐦。</t>
  </si>
  <si>
    <t>咳</t>
  </si>
  <si>
    <t>[動]
用力咳嗽，迫使喉間的梗塞物自口中排出。如：「咳痰」、「咳血」、「將小魚刺咳出來。」</t>
  </si>
  <si>
    <t>(一)ㄎㄜˊ ké（04429）(三)ㄏㄞ hāi（04770）</t>
  </si>
  <si>
    <t>(一)ㄌㄨㄛˋ luò（03814）(二)˙ㄌㄛ lo（03186）(三)ㄍㄜ gē（03924）(四)（(三)之又音）ㄍㄜˊ gé（03934）</t>
  </si>
  <si>
    <t>ㄎㄚˋ</t>
  </si>
  <si>
    <t>kà</t>
  </si>
  <si>
    <t>[名]
譯音用字。常用於地名、山名等的翻譯。如：「喀麥隆」、「巴顏喀喇山」。</t>
  </si>
  <si>
    <t>(二)ㄎㄚ kā（04399）(三)ㄎㄜˋ kè（04448）</t>
  </si>
  <si>
    <t>髂</t>
  </si>
  <si>
    <t>[名]
腰骨。《漢書．卷八七．揚雄傳下》：「折脅拉髂，免於徽索。」</t>
  </si>
  <si>
    <t>刻</t>
  </si>
  <si>
    <t>ㄎㄜ</t>
  </si>
  <si>
    <t>kē</t>
  </si>
  <si>
    <t>(一)[動]1.2.之又音。</t>
  </si>
  <si>
    <t>(一)ㄎㄜˋ kè（04445）</t>
  </si>
  <si>
    <t>頦</t>
  </si>
  <si>
    <t>參見「下巴頦」條。</t>
  </si>
  <si>
    <t>(一)（讀音）ㄏㄞˊ hái（04773）(三)ㄎㄜˊ ké（04431）</t>
  </si>
  <si>
    <t>珂</t>
  </si>
  <si>
    <t>[名]
1.一種次於玉的美石。清．王念孫《廣雅疏證．卷九下．釋地》：「珂，石之次玉。」
2.馬勒上的飾物。唐．李賀〈馬詩〉二三首之二二：「汗血到王家，隨鸞撼玉珂。」
3.借指馬。南朝梁．簡文帝〈採桑〉詩：「連珂往淇上，接幰至叢臺。」</t>
  </si>
  <si>
    <t>柯</t>
  </si>
  <si>
    <t>[名]
1.斧柄。《說文解字．木部》：「柯，斧柄。」《國語．晉語八》：「今若大其柯，去其枝葉，絕其本根，可以少聞。」三國吳．韋昭．注：「柯，斧柄，所操以伐木。」
2.樹枝。南朝宋．劉義慶《世說新語．汰侈》：「枝柯扶疏，世罕其比。」唐．李白〈南軒松〉詩：「南軒有孤松，柯葉自綿冪。」
3.殼斗科石櫟屬植物的通稱。常綠喬木，葉橢圓形有鋸齒狀。夏季開花，單性，雌雄同株。果實為堅果，隔年成熟，可供熟食。木材堅實，為建築、造船等的優良用材。
4.姓。如宋代有柯夢得。</t>
  </si>
  <si>
    <t>苛</t>
  </si>
  <si>
    <t>[形]
1.嚴厲、暴虐。如：「苛刻」。《禮記．檀弓下》：「苛政猛於虎也。」唐．李白〈溧陽瀨水貞義女碑銘〉：「王虐忠助讒，苛虐厥政。」
2.煩瑣。《史記．卷一〇八．韓長孺傳》：「今太后以小節苛禮責望梁王。」《後漢書．卷二七．宣秉傳》：「務舉大綱，簡略苛細，百僚敬之。」
3.急切。晉．陸機〈從軍行〉：「隆暑固已慘，涼風嚴且苛。」
[動]
1.譴責。如：「苛責」。《周禮．夏官．射人》：「不敬者苛罰之。」《漢書．卷九九．王莽傳中》：「大司空士夜過奉常亭，亭長苛之。」
2.侵擾。《國語．晉語一》：「以皋落狄之，朝夕苛我邊鄙，使無日以牧田野。」三國吳．韋昭．注：「苛，擾也。」
[名]
1.疾病。通「疴」。《呂氏春秋．士容論．審時》：「凶氣不入，身無苛殃。」《禮記．內則》：「疾痛苛癢，而敬抑搔之。」</t>
  </si>
  <si>
    <t>(二)（又音）ㄏㄜˊ hé（04730）</t>
  </si>
  <si>
    <t>參見「砢磣」條。</t>
  </si>
  <si>
    <t>(一)ㄌㄨㄛˇ luǒ（03803）</t>
  </si>
  <si>
    <t>蚵</t>
  </si>
  <si>
    <t>[名]
參見「屎蚵蜋」條。</t>
  </si>
  <si>
    <t>(二)ㄜˊ é（10252A）</t>
  </si>
  <si>
    <t>軻</t>
  </si>
  <si>
    <t>[形]
參見「轗軻」條。
[名]
人名用字。如戰國時鄒人孟軻（孟子），燕國有荊軻。</t>
  </si>
  <si>
    <t>痾</t>
  </si>
  <si>
    <t>(一)ㄜ ē（10238）</t>
  </si>
  <si>
    <t>鈳</t>
  </si>
  <si>
    <t>[名]
化學元素。鈮的舊譯。</t>
  </si>
  <si>
    <t>科</t>
  </si>
  <si>
    <t>[名]
1.等級、品級。《論語．八佾》：「射不主皮，為力不同科，古之道也。」南朝梁．皇侃．疏：「科，品也。」唐．柳宗元〈上大理崔大卿應制舉不敏啟〉：「古之知己者，不待來求而後施德者也。然則亟來而求者，誠下科也。」
2.類別、項目。如：「學科」、「術科」、「內科」、「外科」、「文科」、「理科」。
3.機關內分別辦事的單位。如：「兵役科」、「文書科」、「人事科」。
4.生物學中分類的階層名稱。分階於「目」之下，指同一目的生物按相似特徵分為若干科，由一群親緣關係相近之屬所組成。如：「貓科」、「桑科」、「禾本科」。
5.法律、條目。如：「作奸犯科」、「金科玉律」。
6.國劇中的動作、舉止稱為「科」。如：「科白」、「插科打諢」。
7.量詞。計算植物的單位。同「棵」。宋．陳與義〈秋雨〉詩：「是事且置當務本，菜圃已添三萬科。」
[動]
處斷、處罰。如：「論罪科刑」。《資治通鑑．卷八一．晉紀三．武帝太康元年》：「有司奏『濬違詔，大不敬，請付廷尉科罪。』」</t>
  </si>
  <si>
    <t>蝌</t>
  </si>
  <si>
    <t>趷</t>
  </si>
  <si>
    <t>[擬]
趷蹬：形容物體相撞擊的聲音。如：「只聽得趷蹬一聲，花瓶應聲而碎。」</t>
  </si>
  <si>
    <t>(二)（又音）ㄏㄜˊ hé（04742）</t>
  </si>
  <si>
    <t>棵</t>
  </si>
  <si>
    <t>[名]
量詞。計算植物的單位。如：「一棵樹」。《紅樓夢》第九四回：「怡紅院裡的海棠本來萎了幾棵，也沒人去澆灌他。」</t>
  </si>
  <si>
    <t>窠</t>
  </si>
  <si>
    <t>[名]_x000D_
1.鳥、獸、蟲類等棲息的巢穴。漢．王充《論衡．辨祟》：「能行之物，死傷病困，小大相害，或人捕取，以給口腹，非作窠穿穴有所觸，東西行徙有所犯也。」晉．左思〈蜀都賦〉：「穴宅奇獸，窠宿異禽。」_x000D_
2.人的居室。宋．辛棄疾〈鷓鴣天．拋卻山中詩酒窠〉詞：「拋卻山中詩酒窠，卻來官府聽笙歌。」元．秦𥳑夫《東堂老》第一折：「原是祖父的窠巢，誰承望子孫不肖，剔騰了。」_x000D_
[量]_x000D_
計算植物的單位。通「棵」。五代十國．李煜〈長相思．雲一緺〉詞：「簾外芭蕉三兩窠，夜長人奈何。」宋．蘇軾〈答子勉〉詩三首之三：「欲舞腰身柳一窠，小梅摧拍大梅歌。」</t>
  </si>
  <si>
    <t>稞</t>
  </si>
  <si>
    <t>參見「青稞」條。</t>
  </si>
  <si>
    <t>顆</t>
  </si>
  <si>
    <t>[名]
量詞。計算粒狀或圓形物體的單位。如：「一顆糖果」、「三顆花生米」、「五顆子彈」。宋．蘇軾〈食荔支〉詩二首之二：「日啖荔支三百顆，不妨長作嶺南人。」</t>
  </si>
  <si>
    <t>(二)ㄎㄜˇ kě（04439）</t>
  </si>
  <si>
    <t>髁</t>
  </si>
  <si>
    <t>[名]
1.大腿骨。《說文解字．骨部》：「髁，髀骨也。」清．段玉裁．注：「髀骨，猶言股骨也。」
2.膝蓋骨。《廣韻．平聲．戈韻》：「髁，膝骨。」</t>
  </si>
  <si>
    <t>搕</t>
  </si>
  <si>
    <t>[動]
1.取。《集韻．入聲．盍韻》：「搕，取也。」
2.敲擊、打擊。《字彙．手部》：「搕，擊也。」</t>
  </si>
  <si>
    <t>磕</t>
  </si>
  <si>
    <t>[擬]
形容石頭相撞擊的聲音。明．張自烈《正字通．石部》：「磕，兩石相擊聲。」《文選．司馬相如．子虛賦》：「礧石相擊，硍硍磕磕。」
[動]
1.撞擊、敲擊。唐．杜牧〈大雨行〉：「雲纏風束亂敲磕，黃帝未勝蚩尤強。」
2.叩頭、頓首。如：「磕頭」。《老殘遊記》第一四回：「翠環聽罷，趕緊忍住淚，骨鼕骨鼕替他們每人磕了幾個響頭。」</t>
  </si>
  <si>
    <t>瞌</t>
  </si>
  <si>
    <t>參見「瞌睡」條。</t>
  </si>
  <si>
    <t>薖</t>
  </si>
  <si>
    <t>[形]
寬大的樣子。《詩經．衛風．考槃》：「考槃在阿，碩人之薖。」漢．毛亨．傳：「薖，寬大貌。」</t>
  </si>
  <si>
    <t>ㄎㄜˊ</t>
  </si>
  <si>
    <t>ké</t>
  </si>
  <si>
    <t>[動]
氣管受到痰或氣體的刺激，引起反射作用，把氣體用力排出。如：「咳嗽」、「百日咳」。</t>
  </si>
  <si>
    <t>(二)ㄎㄚˇ kǎ（04403）(三)ㄏㄞ hāi（04770）</t>
  </si>
  <si>
    <t>欬</t>
  </si>
  <si>
    <t>(一)（讀音）ㄎㄞˋ kài（04470）</t>
  </si>
  <si>
    <t>[名]
頦兒：指下巴。如：「仰著頦兒向上看。」</t>
  </si>
  <si>
    <t>(一)（讀音）ㄏㄞˊ hái（04773）(二)（語音）ㄎㄜ kē（04408）</t>
  </si>
  <si>
    <t>揢</t>
  </si>
  <si>
    <t>[動]
1.握、持。《廣韻．入聲．陌韻》：「揢，手把著也。」
2.卡住、夾住。如：「因為放了太多東西，抽屜給揢住了。」</t>
  </si>
  <si>
    <t>殼</t>
  </si>
  <si>
    <t>[名]
物體堅硬的外皮。如：「地殼」、「蛋殼」、「瓜子殼」、「龍眼殼」。</t>
  </si>
  <si>
    <t>(二)（(一)之又音）ㄑㄧㄠˋ qiào（06390）(三)（(一)之又音）ㄑㄩㄝˋ què（06667）</t>
  </si>
  <si>
    <t>可</t>
  </si>
  <si>
    <t>ㄎㄜˇ</t>
  </si>
  <si>
    <t>kě</t>
  </si>
  <si>
    <t>[動]
1.肯定、贊成、贊同。如：「許可」。《史記．卷八七．李斯傳》：「始皇可其議，收去詩書百家之語以愚百姓。」唐．柳宗元〈答韋中立論師道書〉：「吾子好道而可吾文，或者其於道不遠矣。」
2.適宜。《莊子．天運》：「其味相反，而皆可於口。」《西遊記》第一二回：「凜凜威顏多雅秀，佛衣可體如裁就。」
3.病癒、痊癒。《董西廂》卷五：「鍼灸沒靈驗，醫療難痊可。」《三國演義》第八〇回：「待軍師病可，行之未遲。」
4.當、對著。唐．劉禹錫〈生公講堂〉詩：「高坐寂寥塵漠漠，一方明月可中庭。」
5.值得、堪。如：「可貴」、「可敬」。《詩經．豳風．東山》：「町畽鹿場，熠燿宵行，不可畏也，伊可懷也。」唐．陳陶〈隴西行〉四首之二：「可憐無定河邊骨，猶是春閨夢裡人。」
[副]
1.能夠。如：「你可以走了。」《詩經．秦風．黃鳥》：「彼蒼者天，殲我良人。如可贖兮，人百其身。」漢．王充《論衡．率性》：「人之性，善可變為惡，惡可變為善。」
2.卻。如：「你去，我可不去。」唐．李白〈相逢行〉：「相見情已深，未語可知心。」元．關漢卿《拜月亭》第二折：「那玉砌朱廉與畫堂，我也可覷得尋常。」
3.約略、約計。《韓非子．外儲說左上》：「奪轡代之御，可數百步。」唐．王維〈洛陽女兒行〉：「洛陽女兒對門居，纔可容顏十五餘。」
4.豈。唐．韋莊〈長安清明〉詩：「蚤是傷春夢雨天，可堪芳草更芊芊。」
5.表示疑問。如：「你可知道？」、「你可想過？」
6.真、確實。《遼史．卷三〇．天祚皇帝本紀．贊曰》：「太祖、太宗乘百戰之勢，輯新造之邦，英謀叡略，可謂遠矣。」《水滸傳》第七三回：「穀雨初晴，可是麗人天氣。」
[連]
但是、可是。如：「他雖然笨，可很用功。」
[助]
用於句中，表示加強語氣。如：「你可回來了。」、「這下可好了！」
[形]
美好的。如：「可人兒」。
[名]
姓。如唐代有可中正。</t>
  </si>
  <si>
    <t>(二)ㄎㄜˋ kè（04441）</t>
  </si>
  <si>
    <t>坷</t>
  </si>
  <si>
    <t>參見「坎坷」條。</t>
  </si>
  <si>
    <t>岢</t>
  </si>
  <si>
    <t>參見「岢嵐縣」條。</t>
  </si>
  <si>
    <t>[動]
讚許、嘉許。《說文解字．可部》：「哿，可也。」《左傳．昭公八年》：「哿矣能言，巧言如流。」</t>
  </si>
  <si>
    <t>(二)（又音）ㄍㄜˇ gě（03959）</t>
  </si>
  <si>
    <t>堁</t>
  </si>
  <si>
    <t>[名]
塵埃。《集韻．去聲．隊韻》：「堁，塵也。」《淮南子．主術》：「譬猶揚堁而弭塵，抱薪以救火也。」</t>
  </si>
  <si>
    <t>[名]
土塊。《漢書．卷五一．賈山傳》：「為葬薶之侈至於此，使其後世曾不得蓬顆蔽冢而託葬焉。」唐．顏師古．注：「顆，謂土塊。」</t>
  </si>
  <si>
    <t>(一)ㄎㄜ kē（04423）</t>
  </si>
  <si>
    <t>渴</t>
  </si>
  <si>
    <t>[名]
口乾想喝水的感覺。如：「望梅止渴」。南朝宋．劉義慶《世說新語．假譎》：「前有大梅林，饒子，甘酸，可以解渴。」
[副]
急切。如：「渴望」、「渴念」、「渴求」。</t>
  </si>
  <si>
    <t>(二)ㄐㄧㄝˊ jié（05583）(三)ㄏㄜˊ hé（04736）</t>
  </si>
  <si>
    <t>ㄎㄜˋ</t>
  </si>
  <si>
    <t>kè</t>
  </si>
  <si>
    <t>參見「可汗」條。</t>
  </si>
  <si>
    <t>(一)ㄎㄜˇ kě（04434）</t>
  </si>
  <si>
    <t>克</t>
  </si>
  <si>
    <t>[動]
1.勝任。《說文解字．克部》「克」字清．段玉裁．注：「鄭箋云：『仔肩，任也。』許云：『勝任也。』」唐．劉禹錫〈為杜司徒謝賜追贈表〉：「常懼不克負荷，以忝前人。」
2.戰勝、攻破。如：「克敵」、「攻無不克」。《左傳．莊公十年》：「彼竭我盈，故克之。」《三國志．卷三五．蜀書．諸葛亮傳》：「然操遂能克紹，非惟天時，抑亦人謀。」
3.制服、約束。如：「克服」、「以柔克剛」。《論語．顏淵》：「克己復禮為仁。」何晏集解引馬融注：「克己，約身。」
4.約定。南朝宋．劉義慶《世說新語．方正》：「淮使戒裝，克日當發。」
5.剋扣。《水滸傳》第八三回：「寡人御賜之酒，一瓶克減半瓶。」
6.消化。如：「多吃水果能克食。」
[名]
量詞。英語gram的音譯，為現行法定度量衡的質量單位，俗稱為「公克」。參見「公克」條。
[副]
能。如：「不克分身」。《書經．大禹謨》：「克勤於邦，克儉於邦。」唐．柳宗元〈封建論〉：「人不能搏噬，而且無毛羽，莫克自奉自衛。」</t>
  </si>
  <si>
    <t>剋</t>
  </si>
  <si>
    <t>[動]_x000D_
1.戰勝。通「克」。《後漢書．卷二八上．桓譚馮衍列傳．桓譚》：「何向而不開，何征而不剋。」三國魏．曹植〈求自試表〉：「今臣居外，非不厚也，而寢不安席，食不遑味者，伏以二方，未剋為念。」_x000D_
2.約束。《後漢書．卷七九．儒林列傳下．周澤》：「中元元年，遷黽池令。奉公剋己，矜恤孤羸，吏人歸愛之。」_x000D_
3.限定、約期。《後漢書．卷四一．第五鍾離宋寒列傳．鍾離意》：「意遂於道解徒桎梏，恣所欲過，與剋期俱至，無或違者。」元．王實甫《西廂記．第五本．第三折》：「准備筵席茶禮花紅，剋日過門者。」_x000D_
4.剝削。如：「剋扣」。《水滸傳》第八三回：「皇帝賜俺一瓶酒，一斤肉，你都剋減了。」元．無名氏《來生債》第二折：「博個甚睜著眼去那利面上剋了我的衣食，閒著手去那算盤裡撥了我的歲數。」《清史稿．卷二五五．列傳．趙良棟》：「良棟劾德昌剋軍糧，德昌坐罷。」_x000D_
5.妨害、傷害。《西遊記》第四四回：「皆因命犯華蓋，妨爺剋娘。」《福惠全書．卷一．筮仕部．擇到任吉期》：「干支喜與本命行年相生，忌相沖剋。」_x000D_
[形]_x000D_
嚴苛。《韓非子．外儲說左下》：「西門豹為鄴令，清剋潔愨，秋毫之端，無私利也。」《初刻拍案驚奇》卷三五：「雖有這樣大家私，生性慳吝苦剋，一文也不使，半文也不用，要他一貫鈔，就如挑他一條筋。」_x000D_
[副]_x000D_
能夠。《後漢書．卷八一．獨行列傳．序》：「或志剛金石，而剋扞於強禦。」</t>
  </si>
  <si>
    <t>氪</t>
  </si>
  <si>
    <t>[名]
（krypton，Kr）化學元素。原子序36。鈍氣元素之一。無色，無臭。大氣中含量極少，不易與其他元素化合。為吸收X射線的遮蔽材料，也可用來填充燈泡。</t>
  </si>
  <si>
    <t>[動]
1.雕鏤。《說文解字．刀部》：「刻，鏤也。」如：「刻字」、「雕刻」、「刻舟求劍」。宋．歐陽修〈瀧岡阡表〉：「乃列其世譜，具刻於碑。」
2.牢記。如：「那段美好的回憶，已深深的刻在我的心版上。」
3.傷害、剝削。《荀子．禮論》：「刻死而附生謂之墨，刻生而附死謂之惑。」唐．楊倞．注：「刻，損減。」唐．柳宗元〈封建論〉：「大逆未彰，姦利浚財，怙勢作威，大刻於民者，無如之何。」
4.限定。明．史可法〈復多爾袞書〉：「越數日，遂命法視師江北，刻日西征。」
[形]
程度深的。如：「嚴刑刻法」。
[名]
1.古代計時的名稱，一晝夜共分一百刻。今以十五分鐘為一刻。《周禮．夏官司馬．挈壺氏》：「縣壺」漢．鄭玄．注：「漏之箭晝夜共百刻，冬夏之間有長短焉，大史立成法，有四十八箭。」
2.時候。亦指短暫的時間。如：「刻不容緩」、「此時此刻」。《西遊記》第九二回：「這家酬，那家請，略無虛刻。」</t>
  </si>
  <si>
    <t>(二)ㄎㄜ kē（04407）</t>
  </si>
  <si>
    <t>客</t>
  </si>
  <si>
    <t>[名]
1.賓，相對於主人而言。如：「賓客」、「請客」、「寒夜客來茶當酒」。《禮記．曲禮下》：「主人敬客，則先拜客；客敬主人，則先拜主人。」《文選．古樂府．飲馬長城窟行》：「客從遠方來，遺我雙鯉魚。」
2.做生意、買賣等的人對顧主的稱呼。如：「顧客」、「乘客」、「客滿」。《韓非子．外儲說右上》：「宋人有酤酒者，升概既平，愈客甚謹。」《老殘遊記》第五回：「漸漸的打尖的客陸續都到店裡。」
3.泛稱從事某種活動或具有某類特長的人。如：「鏢客」、「掮客」、「說客」、「政客」、「珠寶客」。
4.寄食貴族豪門的人。如：「食客」、「門客」。《戰國策．齊策四》：「後孟嘗君出記，問門下諸客誰習計會。」《晉書．卷六九．刁協傳》：「刁氏素殷富，奴客縱橫。」
5.寄旅於外的人。唐．王維〈九月九日憶山東兄弟〉詩：「獨在異鄉為異客，每逢佳節倍思親。」唐．杜甫〈中夜〉詩：「長為萬里客，有愧百年身。」
6.泛稱人。如：「旅人過客」。《史記．卷七七．魏公子傳》：「然嬴欲就公子之名，故久立公子車騎市中，過客以觀公子，公子愈恭。」《儒林外史》第三四回：「一個人占了幾個婦人，天下必有幾個無妻之客。」
7.量詞。計算定量出售食品的單位。如：「他點了一客八分熟的牛排。」
8.姓。如漢代有客孫。
[動]
1.寄居、旅居。《三國志．卷一六．魏書．杜畿傳》：「會天下之亂，遂棄官客荊州，建安中乃還。」
2.以客禮相待。《史記．卷三一．吳太伯世家》：「五年，楚之亡臣伍子胥來奔，公子光客之。」唐．司馬貞．索隱：「是謂客禮以接待也。」
[形]
1.次要的。清．顧炎武《日知錄．卷一．朱子周易本義》：「傳為主，經為客。」
2.在人類意識外獨立存在的。如：「客觀」。</t>
  </si>
  <si>
    <t>恪</t>
  </si>
  <si>
    <t>[副]
謹慎誠敬。《說文解字．心部》：「愙，敬也。」清．段玉裁．注：「今字作恪。」如：「恪守」、「恪遵」。《書經．盤庚上》：「先王有服，恪謹天命。」
[名]
姓。如晉代有恪啟。</t>
  </si>
  <si>
    <t>(二)（又音）ㄑㄩㄝˋ què（06662）</t>
  </si>
  <si>
    <t>參見「喀喀」條。</t>
  </si>
  <si>
    <t>(一)ㄎㄚˋ kà（04405）(二)ㄎㄚ kā（04399）</t>
  </si>
  <si>
    <t>溘</t>
  </si>
  <si>
    <t>[副]
倏忽、突然。《楚辭．屈原．離騷》：「寧溘死以流亡兮，余不忍為此態也。」《文選．江淹．恨賦》：「朝露溘至，握手何言。」
[動]
掩蓋。《楚辭．屈原．離騷》：「駟玉虯以乘鷖兮，溘埃風余上征。」漢．王逸．注：「溘，猶掩也。」唐．李賀〈七月一日曉入太行山〉詩：「一夕遶山秋，香露溘蒙菉。」</t>
  </si>
  <si>
    <t>嗑</t>
  </si>
  <si>
    <t>[動]
1.說話。明．湯顯祖《牡丹亭》第五四齣：「小姐，俺淡口兒閒嗑，你和柳郎夢裡、陰司裡，兩下光景何如？」
2.用牙尖咬裂硬物。如：「嗑瓜子」。
3.俗稱對毒品的吸食。如：「他因年少無知，染上了毒癮，鎮日嗑藥。」</t>
  </si>
  <si>
    <t>(一)ㄏㄜˊ hé（04746）</t>
  </si>
  <si>
    <t>榼</t>
  </si>
  <si>
    <t>[名]
1.古代的一種盛酒器。《文選．劉伶．酒德頌》：「止則操卮執瓢，動則挈榼提壺。」唐．白居易〈風雨中尋李十一因題船上〉詩：「小榼酤清醑，行廚煮白鱗。」
2.泛指盒類的容器。《淮南子．氾論》：「今夫霤水足以溢壺榼，而江河不能實漏卮。」《二刻拍案驚奇》卷七：「只見門外一個老姥走將進來，手中拿著一個小榼兒。」</t>
  </si>
  <si>
    <t>課</t>
  </si>
  <si>
    <t>[動]
1.考核、考試。《說文解字．言部》：「課，試也。」《管子．七法》：「成器不課不用，不試不藏。」《漢書．卷八八．儒林傳．序》：「一歲皆輒課，能通一藝以上，補文學掌故缺。」
2.徵收、徵調。如：「課稅」。《宋書．卷九二．良吏傳．徐豁傳》：「武吏年滿十六，便課米六十斛。」宋．沈括．《夢溪筆談．卷一三．權智》：「聲言廟中屢遭寇，課夫築牆圍之。」
3.督促、督率。《宋史．卷三六五．岳飛傳》：「師每休舍，課將士注坡跳壕，皆重鎧習之。」《聊齋志異．卷一一．黃英》：「黃英課僕種菊，一如陶。」
[名]
1.賦稅。《晉書．卷三．武帝紀》：「雨雹傷秋稼，減天下戶課三分之一。」
2.有一定進度計畫的學習過程。如：「下課」、「上課」。
3.學業、學科。如：「功課」、「我這學期總共修了五門課。」
4.量詞。計算課數的單位詞。如：「這本書有十八課，今天要上第三課。」
5.機關中分別治事的行政單位。如：「出納課」、「總務課」。
6.關於求神問卜的事情。如：「卜課」。</t>
  </si>
  <si>
    <t>錁</t>
  </si>
  <si>
    <t>[名]
俗稱金銀鑄成的小錠為「錁」，狀如小饅頭，重量由一、二兩至三、五兩不等。《紅樓夢》第一七、一八回：「紫金筆錠如意錁十錠，吉慶有魚銀錁十錠。」</t>
  </si>
  <si>
    <t>騍</t>
  </si>
  <si>
    <t>[名]
牝馬、母馬。明．張自烈《正字通．馬部》：「騍，俗呼牝馬，即草馬。」也稱為「課馬」、「騍馬」。</t>
  </si>
  <si>
    <t>緙</t>
  </si>
  <si>
    <t>[名]
織物的緯線。《玉篇．糸部》：「緙，紩也，織緯也。」</t>
  </si>
  <si>
    <t>揩</t>
  </si>
  <si>
    <t>ㄎㄞ</t>
  </si>
  <si>
    <t>kāi</t>
  </si>
  <si>
    <t>[動]
1.擦、抹。如：「揩汗」、「揩桌椅」。《五燈會元．卷一二．興化仁岳禪師》：「癩馬揩枯柳。」
2.撈取、榨取。如：「揩油」。</t>
  </si>
  <si>
    <t>開</t>
  </si>
  <si>
    <t>[動]
1.啟、張。《說文解字．門部》：「開，張也。」如：「開門」、「開口」、「開箱」。唐．孟浩然〈過故人莊〉詩：「開軒面場圃，把酒話桑麻。」
2.舒張、綻放。如：「開顏」、「開懷」、「開花」、「花朵盛開」。《莊子．齊物論》：「其寐也魂交，其覺也形開。」
3.發動、啟行、駕駛。如：「開車」、「開船」。唐．杜甫〈登白馬潭〉詩：「水生春纜沒，日出野船開。」
4.發射。如：「開槍」、「開砲」。
5.發掘、拓展。如：「開礦」、「開荒」、「開源節流」、「開疆闢土」。《韓非子．初見秦》：「開地數千里，此其大功也。」
6.引導、啟發。如：「開導」。《禮記．學記》：「故君子之教喻也，道而弗牽，強而弗抑，開而弗達。」
7.創辦、設立。如：「開店」、「開工廠」、「別開生面」。《易經．師卦．上六》：「大君有命，開國承家，小人勿用。」《鏡花緣》第五二回：「如今天朝雖開女科，無如遠隔重洋，何能前去？」
8.始做某種行為、動作。如：「開學」、「開工」、「開飯」。
9.舉行。如：「開會」。
10.免除、取消。如：「開戒」、「開禁」、「開除」。《書經．多方》：「開釋無辜，亦克用勸。」
11.條列、列敘。如：「開藥方」、「開發票」、「開書單」。
12.揭曉。如：「開獎」、「開標」。
13.分離。如：「離開」。三國魏．阮籍〈大人先生歌〉：「天地解兮六合開，星辰隕兮日月頹。」
14.割、剖。如：「開膛破肚」、「開了一個西瓜」。
15.消散。如：「雲開霧散」。唐．杜甫〈梅雨〉詩：「茅茨疏易溼，雲霧密難開。」
16.支付。如：「開支」、「開銷」、「開工錢」。
17.沸騰。如：「水開了」。
[名]
1.量詞。計算紙張大小尺寸的單位。切割一大張紙為若干分之一稱為「開」。如：「對開」、「四開」、「十六開」。
2.黃金的純度單位。以二十四開為純金。
3.姓。如漢代有開章。
[副]
放在動詞後：(1)表示通透、豁達。如：「想開」、「看開」。(2)表示擴張、擴大。如：「傳開」、「散開」。</t>
  </si>
  <si>
    <t>鐦</t>
  </si>
  <si>
    <t>[名]
化學元素。銫的舊譯。</t>
  </si>
  <si>
    <t>豈</t>
  </si>
  <si>
    <t>ㄎㄞˇ</t>
  </si>
  <si>
    <t>kǎi</t>
  </si>
  <si>
    <t>[名]
軍隊凱旋歸來所奏的樂曲。《說文解字．豈部》：「豈，還師振旅樂也。」
[形]
和樂。通「愷」、「凱」。《詩經．小雅．魚藻》：「王在在鎬，豈樂飲酒。」三國魏．阮籍〈詠懷詩〉八二首之二三：「豈安通靈臺，游瀁去高翔。」</t>
  </si>
  <si>
    <t>(一)ㄑㄧˇ qǐ（06285）</t>
  </si>
  <si>
    <t>剴</t>
  </si>
  <si>
    <t>[名]
大鐮刀。《說文解字．刀部》：「剴，大鎌也。」清．段玉裁．注：「謂可切地芟刈也。」
[動]
磨。《說文解字．刀部》：「剴，一曰摩也。」清．段玉裁．注：「刀不利於瓦石上刉之。」
[形]
參見「剴切」條。</t>
  </si>
  <si>
    <t>凱</t>
  </si>
  <si>
    <t>[名]
軍隊戰勝歸來所奏的樂曲。如：「奏凱而歸」。《陳書．卷二八．高宗二十九王傳．晉熙王叔文傳》：「隨晉王、秦王等獻凱而入，列于廟廷。」《警世通言．卷一二．范鰍兒雙鏡重圓》：「韓元帥平了建州，安民已定，同呂提轄回臨安面君奏凱。」
[形]
1.和善、溫和。通「愷」。《集韻．上聲．海韻》：「愷，《說文》：『樂也。』或作凱。」《詩經．邶風．凱風》：「凱風自南，吹彼棘心。」《禮記．表記》：「凱弟君子，民之父母。」
2.俗指出手大方闊綽。如：「你最近很凱喔！是不是發財了？」</t>
  </si>
  <si>
    <t>愷</t>
  </si>
  <si>
    <t>[形]
和樂、和善。《說文解字．心部》：「愷，樂也。」《莊子．天道》：「中心物愷，兼愛無私。」
[名]
軍隊勝利所奏的樂曲。通「凱」。明．張自烈《正字通．心部》：「愷，軍勝之樂。」</t>
  </si>
  <si>
    <t>塏</t>
  </si>
  <si>
    <t>[形]
地勢高而乾爽。《說文解字．土部》：「塏，高燥也。」《左傳．昭公三年》：「子之宅近市，湫隘囂塵，不可以居，請更諸爽塏者。」</t>
  </si>
  <si>
    <t>闓</t>
  </si>
  <si>
    <t>[動]
開啟。《說文解字．門部》：「闓，開也。」《漢書．卷九四．匈奴傳上》：「今欲與漢闓大關，取漢女為妻。」《晉書．卷六八．紀瞻傳》：「今貢賢之塗已闓，而教學之務未廣。」
[形]
和樂。通「愷」、「凱」。《漢書．卷五七．司馬相如傳下》：「昆蟲闓懌，回首面內。」唐．顏師古．注：「闓讀曰凱，言四方幽遐，皆懷和樂。」</t>
  </si>
  <si>
    <t>鎧</t>
  </si>
  <si>
    <t>[名]
古代戰士所穿的護身鐵甲。如：「鎧冑」。《韓非子．五蠹》：「鎧甲不堅者傷乎體。」漢．曹操〈蒿里行〉：「鎧甲生蟣虱，萬姓以死亡。」</t>
  </si>
  <si>
    <t>慨</t>
  </si>
  <si>
    <t>[形]
參見「慷慨」條。
[動]
悲嘆、感傷。漢．班彪〈北征賦〉：「撫長劍以慨息。」宋．王安石〈少狂喜文章〉：「撥書置左右，仰屋慨平生。」</t>
  </si>
  <si>
    <t>(二)（又音）ㄎㄞˋ kài（04472）</t>
  </si>
  <si>
    <t>󺟑</t>
  </si>
  <si>
    <t>[副]
嘆息。《說文解字．口部》：「󺟑，嘆也。」《詩經．王風．中谷有蓷》：「有女仳離，󺟑其嘆矣。」</t>
  </si>
  <si>
    <t>(二)（又音）ㄎㄞˋ kài（04473）</t>
  </si>
  <si>
    <t>楷</t>
  </si>
  <si>
    <t>[名]
1.植物名。漆樹科黃連木屬，落葉喬木。奇數羽狀複葉，小葉十一至十五枚，披針形或卵狀披針形，具有香味。花雌雄異株，雄花序緊密總狀，雌花序鬆散圓錐狀，不具花瓣。核果扁倒卵狀球形，熟時呈暗紅色。材質密緻，可製器物。也稱為「黃連花」、「楷木」、「爛心木」。
2.法式、模範。如：「楷模」。《禮記．儒行》：「今世行之，後世以為楷。」南朝梁．劉勰《文心雕龍．祝盟》：「祈禱之式，必誠以敬，祭奠之楷，宜恭且哀。」
3.參見「楷書」條。</t>
  </si>
  <si>
    <t>鍇</t>
  </si>
  <si>
    <t>[名]
品質精良的鐵。《文選．左思．吳都賦》：「其琛賂則琨瑤之阜，銅鍇之垠。」</t>
  </si>
  <si>
    <t>ㄎㄞˋ</t>
  </si>
  <si>
    <t>kài</t>
  </si>
  <si>
    <t>[動]
咳嗽。《說文解字．欠部》：「欬，逆氣也。」清．段玉裁．注：「含吸之欲其下，而气乃逆上是曰欬。」宋．蘇軾〈石鐘山記〉：「又有若老人欬且笑於山谷中者。」</t>
  </si>
  <si>
    <t>(二)（語音）ㄎㄜˊ ké（04430）</t>
  </si>
  <si>
    <t>愒</t>
  </si>
  <si>
    <t>[動]
貪。《爾雅．釋言》：「愒，貪也。」《左傳．昭公元年》：「翫歲而愒日。」晉．杜預．注：「翫、愒，皆貪也。」</t>
  </si>
  <si>
    <t>(一)ㄑㄧˋ qì（06311）</t>
  </si>
  <si>
    <t>(一)ㄎㄞˇ kǎi（04466）</t>
  </si>
  <si>
    <t>(一)ㄎㄞˇ kǎi（04467）</t>
  </si>
  <si>
    <t>愾</t>
  </si>
  <si>
    <t>[動]
恨、怒。如：「同仇敵愾」。《左傳．文公四年》：「諸侯敵王所愾。」元．王惲〈東征詩〉：「臣牢最愾敵，奮擊不留行。」</t>
  </si>
  <si>
    <t>(二)ㄒㄧˋ xì（06870）</t>
  </si>
  <si>
    <t>尻</t>
  </si>
  <si>
    <t>ㄎㄠ</t>
  </si>
  <si>
    <t>kāo</t>
  </si>
  <si>
    <t>[名]
臀部。《說文解字．尸部》：「尻，臀也。」清．段玉裁．注：「臀，今俗云屁股是也。」元．吳澄〈題牧牛圖〉詩：「一牛兩腳初下水，尻高未舉後兩蹄。」《西遊記》第三回：「兩個是赤尻馬猴。」</t>
  </si>
  <si>
    <t>訄</t>
  </si>
  <si>
    <t>[名]
玩笑話。《廣韻．平聲．豪韻》：「訄，戲言。」</t>
  </si>
  <si>
    <t>(一)ㄑㄧㄡˊ qiú（06415）</t>
  </si>
  <si>
    <t>丂</t>
  </si>
  <si>
    <t>ㄎㄠˇ</t>
  </si>
  <si>
    <t>kǎo</t>
  </si>
  <si>
    <t>[副]
氣受阻礙而無法舒出。《說文解字．丂部》：「丂，氣欲舒出，勹上礙於一也。」</t>
  </si>
  <si>
    <t>攷</t>
  </si>
  <si>
    <t>[動]
1.敲擊。清．王念孫《廣雅疏證．卷三上．釋詁》：「攷，擊也。」
2.稽核、考核。同「考」。《周禮．夏官．大司馬》：「以待攷而賞誅。」漢．鄭玄．注：「攷，謂考校其功。」</t>
  </si>
  <si>
    <t>考</t>
  </si>
  <si>
    <t>[形]_x000D_
高壽、長壽。《說文解字．老部》：「考，老也。」《詩經．大雅．棫樸》：「周王壽考，遐不作人。」宋．蘇軾〈屈原塔〉詩：「古人誰不死，何必較考折？」_x000D_
[名]_x000D_
1.稱死去的父親。如：「先考」、「如喪考妣」。《楚辭．屈原．離騷》：「帝高陽之苗裔兮，朕皇考曰伯庸。」《新唐書．卷一三．禮樂志三》：「或兄弟分官，則各祭考妣於正寢。」_x000D_
2.考試的簡稱。如：「高考」、「普考」、「特考」。_x000D_
[動]_x000D_
1.稽核、檢查。如：「考查」、「考核」。《書經．舜典》：「三載考績，三考，黜陟幽明。」漢．孔安國．傳：「三年有成，故以考功。」_x000D_
2.測試。如：「考驗」、「招考」。《初刻拍案驚奇》卷一〇：「待官人考了優等，就出吉帖便是。」_x000D_
3.探究、研究。如：「考古」、「生平不可考。」《書經．周官》：「王乃時巡，考制度于四岳。」《漢書．卷六五．東方朔傳》：「考其文理。」_x000D_
4.完成。《左傳．隱公五年》：「九月考仲子之宮，將萬焉。」_x000D_
5.拷問。通「拷」。《南史．卷七七．恩倖列傳．戴法興》：「時建康縣考囚，或用方材壓額及踝脛。」_x000D_
6.敲打。通「攷」。《詩經．唐風．山有樞》：「子有鍾鼓，弗鼓弗考。」《莊子．天地》：「金石有聲，不考不鳴。」_x000D_
7.終。參見「考旦」條。</t>
  </si>
  <si>
    <t>拷</t>
  </si>
  <si>
    <t>[動]
刑訊、用刑具逼打。如：「拷問」、「嚴刑拷打」。《魏書．卷一一一．刑罰志》：「枷本掌囚，非拷訊所用。」《警世通言．卷一五．金令史美婢酬秀童》：「原來大明律一款，捕盜不許私刑吊拷。」</t>
  </si>
  <si>
    <t>烤</t>
  </si>
  <si>
    <t>[動]
1.將東西置於炭火等熱源附近，使其燻熟。如：「烤肉」、「烤番薯」。
2.用火烘乾。如：「衣服被雨淋溼了，趕快拿去烤乾。」
3.藉火取暖。如：「烤手」、「烤火」。</t>
  </si>
  <si>
    <t>栲</t>
  </si>
  <si>
    <t>[名]
植物名。省沽油科，落葉灌木或小喬木。夏季開黃白小花。木材可製器物。</t>
  </si>
  <si>
    <t>熇</t>
  </si>
  <si>
    <t>[動]
烘烤、燒炙。烤的本字。宋．張君房《雲笈七籤．卷八六．洞生太帝君鎮生五藏訣》：「當以直理之木，熇燥好薪，不用蠹蟲及木皮之不淨薪。」</t>
  </si>
  <si>
    <t>(一)ㄏㄨˋ hù（04995）(三)ㄏㄜˋ hè（04765）</t>
  </si>
  <si>
    <t>犒</t>
  </si>
  <si>
    <t>ㄎㄠˋ</t>
  </si>
  <si>
    <t>kào</t>
  </si>
  <si>
    <t>[動]
慰勞、酬賞。如：「犒軍」、「犒勞」、「犒賞」。《左傳．僖公三十三年》：「鄭商人弦高，將市於周，遇之，以乘韋先，牛十二，犒師。」《三國演義》第九回：「允乃大犒軍士，設宴於都堂，召集眾官，酌酒稱慶。」</t>
  </si>
  <si>
    <t>銬</t>
  </si>
  <si>
    <t>[名]
戴在犯人手上的刑具。如：「手銬」。
[動]
用手銬扣住。如：「將犯人銬起來。」</t>
  </si>
  <si>
    <t>靠</t>
  </si>
  <si>
    <t>[動]
1.相違背。《說文解字．非部》：「靠，相韋也。」清．段玉裁．注：「今俗謂相依曰靠，古人謂相背曰靠。」
2.倚傍。如：「靠牆」、「倚靠」、「靠著大樹」。
3.挨近、貼近。如：「靠岸」、「靠著站」。唐．曹松〈宿溪僧院〉詩：「煎茶留靜者，靠月坐蒼山。」
4.仰賴、依憑。如：「靠實力」、「靠天吃飯」、「靠人幫忙」。
5.信賴、信任。如：「可靠」、「靠不住」。《老殘遊記》第一六回：「這是同裕的票子，是敝縣第一個大錢莊，萬靠得住。」
6.車、船的停駐、停泊。如：「停靠」、「靠站」、「靠岸」。
[名]
古代戲劇中武將所穿的鎧甲。如：「靠子」、「女靠」、「軟靠」。《儒林外史》第四二回：「那小戲子一個個戴了貂裘，簪了雉羽，穿極新鮮的靠子，跑上場來，串了一個五花八門。」</t>
  </si>
  <si>
    <t>摳</t>
  </si>
  <si>
    <t>ㄎㄡ</t>
  </si>
  <si>
    <t>kōu</t>
  </si>
  <si>
    <t>[動]
1.提挈、撩起。《廣韻．平聲．虞韻》：「摳，褰裳也。」《禮記．曲禮上》：「毋踐屨，毋踖席，摳衣趨隅，必慎唯諾。」
2.探取。《列子．黃帝》：「以瓦摳者巧，以鉤摳者憚，以黃金摳者惛。」晉．張湛．注：「互有所投者，摳。」
3.捉拿、拘留。《警世通言．卷六．俞仲舉題詩遇上皇》：「差官教放了孫婆，將孫小二摳住問俞良安在？」
4.用手指或指甲挖取。如：「不要摳鼻子！」《西遊記》第二回：「摳眼睛，捻鼻子。」
5.北平方言。指追究、深究。如：「他遇著問題，總喜好死摳！」
[形]
北平方言。指吝嗇。如：「他這人摳得很，一毛錢也不肯拿出來。」</t>
  </si>
  <si>
    <t>彄</t>
  </si>
  <si>
    <t>[名]
1.弓弩兩端繫弦的部分。《說文解字．弓部》：「彄，弓弩耑弦所居也。」清．段玉裁．注：「耑者，頭也，兩頭隱弦處曰彄。」漢．蔡邕〈黃鉞銘〉：「馬不帶鉂，弓不受彄。」
2.環類的東西。《西京雜記》卷一：「戚姬以百鍊金為彄環，照見指骨。」《資治通鑑．卷一二六．宋紀八．文帝元嘉二十八年》：「魏人以鉤車鉤城樓，城內繫以彄緪。」</t>
  </si>
  <si>
    <t>瞘</t>
  </si>
  <si>
    <t>[形]
眼珠子深陷。《廣韻．平聲．侯韻》：「瞘，深目貌。」《醒世恆言．卷一．兩縣令競義婚孤女》：「蕭雅一臉麻子，眼瞘齒䶕，好似飛天夜叉模樣。」</t>
  </si>
  <si>
    <t>口</t>
  </si>
  <si>
    <t>ㄎㄡˇ</t>
  </si>
  <si>
    <t>kǒu</t>
  </si>
  <si>
    <t>[名]
1.人或動物飲食、發聲的器官。《說文解字．口部》：「口，人所以言食也。」如：「張口」、「閉口」、「守口如瓶」。也稱為「嘴」。
2.器物納入取出的地方。如：「槍口」、「瓶口」。漢．王充《論衡．道虛》：「致生息之物密器之中，覆蓋其口。」
3.內外相通的出入處。如：「港口」、「門口」、「巷口」、「海口」。
4.關隘。常用於地名。如：「張家口」、「喜峰口」、「古北口」。
5.兵器或工具上的鋒刃。如：「刀口」、「劍口」。
6.破裂的地方。如：「傷口」、「裂口」、「缺口」。
7.量詞：(1)計算人數的單位。如：「一家八口」。(2)計算牲畜數量的單位。相當於「隻」、「頭」。如：「三口豬」。(3)計算器物數量的單位。如：「兩口鍋子」、「一口鋼刀」、「一口枯井」。
8.二一四部首之一。</t>
  </si>
  <si>
    <t>叩</t>
  </si>
  <si>
    <t>ㄎㄡˋ</t>
  </si>
  <si>
    <t>kòu</t>
  </si>
  <si>
    <t>[動]
1.敲、擊。如：「叩門」、「叩關」。《論語．憲問》：「以杖叩其脛。」唐．白居易〈長恨歌〉：「金闕西廂叩玉扃，轉教小玉報雙成。」
2.磕、觸。如：「叩頭」、「叩首」。《兒女英雄傳》第三七回：「安老爺聽得這個，說了句豈敢，連忙趕過去，合他膀子靠膀子的，也那麼鬧了一陣，口裡卻說的是：『還叩，還叩，還叩。』」
3.詢問、請問。如：「叩安」、「執經叩問」。清．方苞〈左忠毅公軼事〉：「叩之寺僧，則史公可法也。」
4.叩頭、叩首的簡稱。如：「三跪九叩」。
5.牽、拉住。同「扣」。《史記．卷六一．伯夷傳》：「伯夷、叔齊叩馬而諫。」</t>
  </si>
  <si>
    <t>扣</t>
  </si>
  <si>
    <t>[動]
1.牽、勒住。《說文解字．手部》：「扣，牽馬也。」《左傳．襄公十八年》：「齊侯駕將走郵棠，大子與郭榮扣馬。」
2.套住，把圈環狀的東西鉤結住。如：「扣鈕釦」、「將門扣上」。
3.抓住、貼緊。如：「扣住原則」、「扣緊主題」、「扣人心弦」。
4.押解、拘留。如：「扣押」、「扣留」。《喻世明言．卷四十．沈小霞相會出師表》：「那知州姓賀，奉了這項公事，不敢怠慢，即時扣了店主人到來，聽四人的口詞。」
5.敲、擊。通「叩」。如：「扣鐘」、「扣槃捫燭」。《荀子．法行》：「扣之，其聲清揚而遠聞。」唐．皎然〈尋陸鴻漸不遇〉詩：「扣門無犬吠，欲去問西家。」
6.攻打。如：「扣城不下」。《封神演義》第五回：「扣玄關，天昏地暗；擊地戶，鬼泣神欽。」
7.扳動。如：「打靶時，槍托抵住肩窩，瞄準準星，用食指扣動扳機。」
8.戴上、施加。如：「他不知不覺被扣上一個罪名。」、「武大郎被扣了頂大綠帽。」
9.減掉、減去。如：「扣錢」、「扣分」、「扣進度」、「七折八扣」。
10. 一種烹飪方法。將主要材料處理好，依序裝入碗裡，再加上佐料或調味料等，蒸或燉至熟透，吃時再倒蓋於碗盤中。如：「梅乾扣肉」、「南乳扣肉」。
[名]
1.用來鉤結的環狀物。如：「鈕扣」、「鞋扣」、「繩扣」、「領扣」。也作「釦」。
2.減算價錢的比例數。如：「折扣」。</t>
  </si>
  <si>
    <t>釦</t>
  </si>
  <si>
    <t>[名]
衣服的鈕扣。《新唐書．卷二二〇．東夷傳．高麗傳》：「王服五采，以白羅制冠，革帶皆金釦。」俗稱為「釦子」。
[動]
用金屬裝飾器物。《後漢書．卷一〇．皇后紀上．和熹鄧皇后紀》：「其蜀、漢釦器九帶佩刀，並不復調。」唐．章懷太子．注：「釦，以金銀緣器也。」</t>
  </si>
  <si>
    <t>佝</t>
  </si>
  <si>
    <t>參見「佝僂」條。</t>
  </si>
  <si>
    <t>怐</t>
  </si>
  <si>
    <t>[形]
怐愗：愚昧、不聰明。《玉篇．心部》：「怐，怐愗，愚貌。」《楚辭．宋玉．九辯》：「然潢洋而不遇兮，直怐愗而自苦。」</t>
  </si>
  <si>
    <t>寇</t>
  </si>
  <si>
    <t>[名]
1.盜匪，或指外來的入侵者。如：「賊寇」、「草寇」、「敵寇」、「流寇」、「倭寇」、「窮寇莫追」。唐．杜甫〈登樓〉詩：「北極朝廷終不改，西山寇盜莫相侵。」明．侯方域〈寧南侯傳〉：「是時秦寇入豫，良玉當往勦，見司徒公。」
2.姓。如北魏有寇謙之，宋代有寇準。
[動]
侵犯、掠奪。如：「入寇」、「寇邊」。《書經．費誓》：「無敢寇攘，踰垣牆。」</t>
  </si>
  <si>
    <t>蔻</t>
  </si>
  <si>
    <t>參見「豆蔻」條。</t>
  </si>
  <si>
    <t>簆</t>
  </si>
  <si>
    <t>[名]
紡織機上固定經紗，打入緯紗的機件。形狀像梳子。《廣韻．去聲．候韻》：「簆，織具。」明．宋應星《天工開物．卷上．乃服》：「凡絲穿綜度經，必用四人列坐，過簆之人，手執簆耙先插以待絲至，經過簆，則兩指執定，足五、七十簆，則絛結之。」</t>
  </si>
  <si>
    <t>鷇</t>
  </si>
  <si>
    <t>[名]
初生的小鳥。《漢書．卷六五．東方朔傳》：「聲謷謷者，鳥哺鷇也。」</t>
  </si>
  <si>
    <t>刊</t>
  </si>
  <si>
    <t>ㄎㄢ</t>
  </si>
  <si>
    <t>kān</t>
  </si>
  <si>
    <t>[動]
1.削去、砍除。《說文解字．木部》「刊」字．清．段玉裁．注：「凡有所削去謂之刊。」《書經．禹貢》：「隨山刊木，奠高山大川。」《禮記．雜記上》：「畢用桑長三尺，刊其柄與末。」
2.修正、改正。如：「刊誤」、「刊定」。《晉書．卷三八．文六王傳．齊王攸傳》：「就人借書，必手刊其謬，然後反之。」
3.雕刻。《文選．班固．封燕然山銘》：「乃遂封山刊石，昭銘盛德。」
4.發表、登載。如：「刊登」、「刊載」。
[名]
定期出版的讀物，或定期發表的專欄。如：「副刊」、「期刊」、「週刊」、「月刊」、「專刊」、「叢刊」。</t>
  </si>
  <si>
    <t>看</t>
  </si>
  <si>
    <t>[動]
1.(一)[動]2.4.之讀音。
2.看守。如：「看門」、「看護」、「看守」。</t>
  </si>
  <si>
    <t>(一)ㄎㄢˋ kàn（04519）</t>
  </si>
  <si>
    <t>勘</t>
  </si>
  <si>
    <t>[動]
1.校正、核對。如：「校勘」、「勘誤」。《南史．卷五九．任昉傳》：「武帝使學士賀縱共沈約勘書目，官無者就其家取之。」唐．韓愈〈秋懷〉詩一一首之七：「不如覷文字，丹鉛事點勘。」
2.審問。《宋史．卷二〇〇．刑法志二》：「紹興法，鞫獄官推勘不實，故有不當者，一案坐之。」元．關漢卿《蝴蝶夢》第二折：「有什麼合審的罪囚，押上勘問。」
3.察看、考核。如：「勘查」、「勘驗」、「探勘」、「勘測地形」。唐．司空圖〈上譙公書〉：「某跡拘世累而業久於山，援古勘今，思有所發者。」</t>
  </si>
  <si>
    <t>(二)ㄎㄢˋ kàn（04521）</t>
  </si>
  <si>
    <t>堪</t>
  </si>
  <si>
    <t>[動]
勝任、承受。如：「難堪」、「足堪重任」、「不堪一擊」、「情何以堪」。《論語．雍也》：「人不堪其憂，回也不改其樂。」宋．柳永〈雨霖鈴．寒蟬淒切〉詞：「多情自古傷離別，更那堪、冷落清秋節？」
[副]
可以、能夠。如：「堪稱大將」、「不堪設想」。唐．杜秋娘〈金縷衣〉詩：「花開堪折直須折，莫待無花空折枝。」五代十國南唐．李煜〈浪淘沙．往事只堪哀〉詞：「往事只堪哀，對景難排。」</t>
  </si>
  <si>
    <t>嵁</t>
  </si>
  <si>
    <t>[名]
高低不平的山巖。《莊子．在宥》：「故賢者伏處大山嵁巖之下，而萬乘之君憂慄乎廟堂之上。」唐．柳宗元〈至小邱西小石潭記〉：「全石以為底，近岸卷石底以出，為坻為嶼，為嵁為巖。」</t>
  </si>
  <si>
    <t>戡</t>
  </si>
  <si>
    <t>[動]
克、平定。如：「戡亂」、「戡平」。《書經．西伯戡黎》：「西伯既戡黎，祖伊恐，奔告于王。」《新唐書．卷一三七．郭子儀傳》：「昔回紇涉萬里，戡大憝，助復二京，我與若等休戚同之。」</t>
  </si>
  <si>
    <t>龕</t>
  </si>
  <si>
    <t>[名]
1.供奉神、佛像或祖先牌位的石室或櫥櫃。如：「神龕」、「佛龕」。唐．杜甫〈山寺〉詩：「野寺根石壁，諸龕遍崔嵬。」《朱子語類．卷九〇．禮七》：「西壁如今之牆上為龕，太祖居之，東向。」
2.置放僧人遺體的棺木。《警世通言．卷二八．白娘子永鎮雷峰塔》：「眾僧買龕燒化，造一座骨塔，千年不朽。」
[動]
克服、平定。通「戡」。漢．揚雄《法言．重黎》：「劉龕南陽，項救河北。」晉．李軌．注：「龕，取也。」《文選．謝朓．和伏武昌登孫權故城》：「北拒溺驂鑣，西龕收組練。」</t>
  </si>
  <si>
    <t>凵</t>
  </si>
  <si>
    <t>ㄎㄢˇ</t>
  </si>
  <si>
    <t>kǎn</t>
  </si>
  <si>
    <t>[名]
1.同「坎」。
2.二一四部首之一。</t>
  </si>
  <si>
    <t>坎</t>
  </si>
  <si>
    <t>[名]
1.坑穴，地面凹陷處。《禮記．檀弓下》：「其坎深不至於泉。」《漢書．卷五四．蘇建傳》：「鑿地為坎，置熅火，覆武其上，蹈其背以出血。」
2.《易經》卦名：(1)八卦之一。卦形為☵，代表水。(2)六十四卦之一。坎（☵）下坎（☵）上。象重重險難之義。《易經．坎卦．彖曰》：「習坎，重險也。」唐．孔穎達．正義：「兩坎相重，謂之重險。」
3.姓。如明代有坎輝。
[擬]
1.形容擊鼓聲。《詩經．陳風．宛丘》：「坎其擊鼓，宛丘之下。」漢．毛亨．傳：「坎坎，擊鼓聲。」
2.形容砍伐樹木的聲音。《詩經．魏風．伐檀》：「坎坎伐檀兮，寘之河之干兮。」漢．毛亨．傳：「坎坎，伐檀聲。」</t>
  </si>
  <si>
    <t>砍</t>
  </si>
  <si>
    <t>[動]_x000D_
1.用刀斧劈。如：「砍柴」、「砍伐」。《水滸傳》第五三回：「李逵拔出大斧，先砍翻一堵壁。」《三國演義》第三三回：「曹洪奮威突陣，正迎袁譚，舉刀亂砍，譚竟被曹洪殺於陣中。」_x000D_
2.打。《金瓶梅詞話》第八三回：「春梅走將來說：『娘沒的打他這幾下兒，與他撾癢癢兒哩！旋剝了，叫將小廝來，拏大板子，儘力砍與他二三十板，看他怕不怕！』」《醒世姻緣傳》第一〇回：「大尹道：『可惡，走出去！砍出去！』那皂隸拿著板子就欲往外砍。」_x000D_
3.削減、取消。如：「董事會把下年度的預算砍了三分之一，希望能撐過財務危機。」</t>
  </si>
  <si>
    <t>崁</t>
  </si>
  <si>
    <t>山崖、山谷。如「崁腳」指斷崖之下；「崁頂」指山崖之上。常用在地名。如：「南崁」、「大嵙崁」。</t>
  </si>
  <si>
    <t>嵌</t>
  </si>
  <si>
    <t>參見「赤嵌樓」條。</t>
  </si>
  <si>
    <t>(一)ㄑㄧㄢ qiān（06447）(二)ㄑㄧㄢˋ qiàn（06489）</t>
  </si>
  <si>
    <t>侃</t>
  </si>
  <si>
    <t>參見「侃侃」、「侃爾」等條。</t>
  </si>
  <si>
    <t>埳</t>
  </si>
  <si>
    <t>[名]
低窪凹陷的地方。同「坎」。《玉篇．土部》：「埳，陷也。亦與坎同。」《莊子．秋水》：「子獨不聞夫埳井之鼃乎？」</t>
  </si>
  <si>
    <t>欿</t>
  </si>
  <si>
    <t>[副]
1.不滿、不自足。《集韻．上聲．感韻》：「欿，欿然，不自滿足意。」《孟子．盡心上》：「附之以韓、魏之家，如其自視欿然，則過人遠矣。」宋．朱熹．注：「欿然，不自滿之意。」
2.憂愁、愁苦。《楚辭．嚴忌．哀時命》：「欿愁悴而委惰兮，老冉冉而逮之。」漢．王逸．注：「欿，愁貌也。」
[名]
坑穴，地面凹陷之處。清．王念孫《廣雅疏證．卷九下．釋水》：「欿，坑也。」《楚辭．宋玉．九辯》：「收恢臺之孟夏兮，然欿傺而沉藏。」</t>
  </si>
  <si>
    <t>檻</t>
  </si>
  <si>
    <t>參見「門檻」條。</t>
  </si>
  <si>
    <t>(一)ㄐㄧㄢˋ jiàn（05822）</t>
  </si>
  <si>
    <t>顑</t>
  </si>
  <si>
    <t>參見「顑頷」條。</t>
  </si>
  <si>
    <t>轗</t>
  </si>
  <si>
    <t>參見「轗軻」條。</t>
  </si>
  <si>
    <t>竷</t>
  </si>
  <si>
    <t>[動]
載歌載舞、邊唱邊跳。《說文解字．夊部》：「竷，繇也，舞也。」清．段玉裁．注：「繇當作䚻。䚻，徒歌也。……謠舞者，謠且舞也。」
[名]
悅耳和諧的聲音。《玉篇．夂部》：「竷，和悅之響也。」
[擬]
形容鼓聲。明．張自烈《正字通．立部》：「竷，鼓聲。」</t>
  </si>
  <si>
    <t>闞</t>
  </si>
  <si>
    <t>(一)ㄎㄢˋ kàn（04524）(三)ㄏㄢˇ hǎn（04865）</t>
  </si>
  <si>
    <t>ㄎㄢˋ</t>
  </si>
  <si>
    <t>kàn</t>
  </si>
  <si>
    <t>[動]
1.視、瞧。如：「看見」、「收看」、「偷看」。唐．李白〈清平調〉三首之三：「名花傾國兩相歡，長得君王帶笑看。」
2.觀賞。唐．杜甫〈宿府〉詩：「永夜角聲悲自語，中天月色好誰看？」唐．王建〈醉後憶山中故人〉詩：「遇晴須看月，鬥健且登樓。」（詩文中亦讀平聲）
3.拜訪、探望。南朝宋．劉義慶《世說新語．德行》：「荀巨伯遠看友人疾。」
4.對待。如：「另眼看待」、「刮目相看」。唐．高適〈詠史〉詩：「不知天下士，猶作布衣看。」（詩文中亦讀平聲）
5.估量、觀察判斷。如：「你看這法子行得通嗎？」、「看來他真是被冤枉的！」
6.診治。《儒林外史》第一五回：「請醫生看你尊翁的病。」
7.拿取。《醒世姻緣傳》第六四回：「我流水叫徒弟看茶與他吃了。」
[助]
用在動詞之後，表示姑且試試的語氣。如：「想想看」、「等等看」、「試試看」。《水滸傳》第四二回：「說的是。再仔細搜一搜看。」</t>
  </si>
  <si>
    <t>(二)ㄎㄢ kān（04501）</t>
  </si>
  <si>
    <t>衎</t>
  </si>
  <si>
    <t>[形]
和樂。《晉書．卷七九．謝安傳》：「從容而杜姦謀，宴衎而清群寇。」</t>
  </si>
  <si>
    <t>(一)[動]1.之又音。</t>
  </si>
  <si>
    <t>(一)ㄎㄢ kān（04502）</t>
  </si>
  <si>
    <t>碪</t>
  </si>
  <si>
    <t>[名]
巖崖的下方。《集韻．去聲．勘韻》：「碪，巖崖之下。」</t>
  </si>
  <si>
    <t>(二)ㄓㄣ zhēn（07839）</t>
  </si>
  <si>
    <t>瞰</t>
  </si>
  <si>
    <t>[動]
1.看、眺望。《文選．揚雄．羽獵賦》：「東瞰目盡，西暢無崖。」
2.從高處往下看。如：「鳥瞰」、「俯瞰」。《楚辭．屈原．九章．悲回風》：「馮崑崙以瞰霧，隱岷山以清江。」
3.窺視。《文選．揚雄．解嘲》：「高明之家，鬼瞰其室。」</t>
  </si>
  <si>
    <t>[動]
1.視、看。《說文解字．門部》：「闞，望也。」《文選．嵇康．琴賦》：「邪睨崑崙，俯闞海湄。」唐．韓愈〈寄盧仝〉詩：「每騎屋山下窺闞，渾舍驚怕走折趾。」也作「瞰」。
2.臨近、靠近。《玉篇．門部》：「闞，臨也。」《宋史．卷三六五．岳飛傳》：「又遣兵東援劉錡，西援郭浩，自以其軍長驅以闞中原。」明．劉基《郁離子．麋虎》：「虎逐麋，麋奔而闞于崖，躍焉。」
[名]
姓。如春秋時齊國有闞止，唐代有闞稜。</t>
  </si>
  <si>
    <t>(二)（(一)之又音）ㄎㄢˇ kǎn（04518）(三)ㄏㄢˇ hǎn（04865）</t>
  </si>
  <si>
    <t>肯</t>
  </si>
  <si>
    <t>ㄎㄣˇ</t>
  </si>
  <si>
    <t>kěn</t>
  </si>
  <si>
    <t>[動]
1.許可、答應。如：「首肯」、「他不肯讓我辭職。」《國語．晉語四》：「楚眾欲止，子玉不肯。」
2.願意、樂意。《詩經．邶風．終風》：「終風且霾，惠然肯來。」唐．杜甫〈哀王孫〉詩：「問之不肯道姓名，但道困苦乞為奴。」
[副]
那裡、怎麼。表示反問的語氣，相當於「豈」。唐．岑參〈梁園歌送河南王說判官〉詩：「當時置酒延枚叟，肯料平臺狐兔走。」唐．李白〈流夜郎贈辛判官〉詩：「氣岸遙凌豪士前，風流肯落他人後！」</t>
  </si>
  <si>
    <t>(二)（又音）ㄎㄥˇ kěng（04557）</t>
  </si>
  <si>
    <t>啃</t>
  </si>
  <si>
    <t>[動]
1.咬。如：「啃骨頭」、「啃甘蔗」、「啃玉米」。
2.比喻勤勉讀書。如：「啃書本」。</t>
  </si>
  <si>
    <t>(二)ㄎㄣˋ kèn（04531）</t>
  </si>
  <si>
    <t>墾</t>
  </si>
  <si>
    <t>[動]
翻土。如：「開墾」、「墾荒」、「墾地」。《管子．輕重甲》：「今君躬犁墾田，耕發草土，得其穀矣。」</t>
  </si>
  <si>
    <t>懇</t>
  </si>
  <si>
    <t>[形]
真誠。《玉篇．心部》：「懇，誠也；信也。」如：「忠懇」、「態度誠懇」。
[動]
請求。明．張自烈《正字通．心部》：「懇，俗借為干求意。」如：「拜懇」、「仰懇」、「敬懇」。《鏡花緣》第六回：「況嫦娥自從與我角口，至今見面不交一言，我又何必懇他？」</t>
  </si>
  <si>
    <t>齦</t>
  </si>
  <si>
    <t>[動]
啃，用牙齒咬。《說文解字．齒部》：「齦，齧也。」《通俗編．草木》：「齦瓜皮，說大話。」</t>
  </si>
  <si>
    <t>(一)ㄧㄣˊ yín（11088）</t>
  </si>
  <si>
    <t>掯</t>
  </si>
  <si>
    <t>ㄎㄣˋ</t>
  </si>
  <si>
    <t>kèn</t>
  </si>
  <si>
    <t>[動]
1.刁難。明．徐弘祖《徐霞客遊記．卷八上．滇遊日記八》：「還寺，所定夫來索金加添，余不許。有寺內僧欲行，余索其定錢，仍掯不即還。」
2.威逼、脅迫。《京本通俗小說．錯斬崔寧》：「我自半路遇見小娘子，偶然伴他行一程，路途上有皂絲麻線，要勒掯我同去。」</t>
  </si>
  <si>
    <t>[動]
俗稱吃為「啃」。如：「他可以一口氣連啃好幾個山東大饅頭。」</t>
  </si>
  <si>
    <t>(一)ㄎㄣˇ kěn（04526）</t>
  </si>
  <si>
    <t>裉</t>
  </si>
  <si>
    <t>[名]
衣服在腋下的接縫處。如把此接縫處縫上稱為「煞裉」，而上衣從肩頭到腋下的尺寸稱為「抬裉」。</t>
  </si>
  <si>
    <t>康</t>
  </si>
  <si>
    <t>ㄎㄤ</t>
  </si>
  <si>
    <t>kāng</t>
  </si>
  <si>
    <t>[形]
1.平安、安定。如：「安康」、「康樂」。《書經．益稷》：「股肱良哉，庶事康哉！」
2.豐足、富裕。如：「小康」、「康年」。唐．白居易〈和微之詩．和三月三十日四十韻〉：「杭土麗且康，蘇民富而庶。」
3.身體強健。如：「健康」、「康強」。《樂府詩集．卷七三．雜曲歌辭十三．古辭．焦仲卿妻》：「命如南山石，四體康且直。」唐．韓愈〈送李愿歸盤谷序〉：「飲且食兮壽而康，無不足兮奚所望？」
4.通達、平坦。《史記．卷七四．孟子荀卿傳》：「為開第康莊之衢，高門大屋，尊寵之。」
[名]
姓。如元代有康進之，清代有康有為。</t>
  </si>
  <si>
    <t>慷</t>
  </si>
  <si>
    <t>參見「慷慨」條。</t>
  </si>
  <si>
    <t>(一)（又音）ㄎㄤˇ kǎng（04540）</t>
  </si>
  <si>
    <t>糠</t>
  </si>
  <si>
    <t>[名]
穀粒上剝落下的外皮。如：「米糠」、「麥糠」。《莊子．達生》：「不如食以糠糟，而錯之牢筴之中。」
[形]
蘿蔔肉質不結實、不細緻。如：「糠蘿蔔」。</t>
  </si>
  <si>
    <t>鏮</t>
  </si>
  <si>
    <t>[名]
化學元素。鈧的舊譯。</t>
  </si>
  <si>
    <t>鱇</t>
  </si>
  <si>
    <t>參見「鮟鱇」條。</t>
  </si>
  <si>
    <t>鈧</t>
  </si>
  <si>
    <t>ㄎㄤˋ</t>
  </si>
  <si>
    <t>kàng</t>
  </si>
  <si>
    <t>[名]_x000D_
（scandium，Sc）化學元素。原子序21。過渡金屬元素之一。銀白色，質地軟。溶於酸，且易受潮溼空氣腐蝕。常用來製造特殊玻璃和耐高溫的輕質合金等，與化學元素鑭的主要性質及用途相似。</t>
  </si>
  <si>
    <t>ㄎㄤˊ</t>
  </si>
  <si>
    <t>káng</t>
  </si>
  <si>
    <t>[動]_x000D_
以肩荷物。如：「扛行李」、「扛鋤頭」。《朱子語類．卷八三．春秋．經傳附》：「古者大夫入國，以棺隨其後，使人抬扛個棺櫬隨行，死便要用，看古人不諱凶事。」《聊齋志異．卷四．辛十四娘》：「妝奩亦無長物，惟兩長鬣奴扛一撲滿，大如甕，息肩置堂隅。」</t>
  </si>
  <si>
    <t>(一)ㄍㄤ gāng（04089）</t>
  </si>
  <si>
    <t>ㄎㄤˇ</t>
  </si>
  <si>
    <t>kǎng</t>
  </si>
  <si>
    <t>(一)ㄎㄤ kāng（04534）</t>
  </si>
  <si>
    <t>骯</t>
  </si>
  <si>
    <t>參見「骯髒」(一)條。</t>
  </si>
  <si>
    <t>(二)ㄤ āng（10449）</t>
  </si>
  <si>
    <t>[形]
1.高。如：「高亢」。《莊子．人間世》：「故解之以牛之白顙者，與豚之亢鼻者。」唐．成玄英．疏：「亢，高也。」
2.高傲。如：「不卑不亢」。
3.強硬。《管子．輕重戊》：「天子幼弱，諸侯亢強。」
[副]
過甚、極。《易經．乾卦．上九》：「亢龍有悔。」唐．孔穎達．正義：「上九，亢陽之至，大而極盛，故曰亢龍。」
[名]
1.星宿名。二十八星宿之一，為東方蒼龍七宿的第二宿。
2.星官名。亢宿之首，由四顆星組成，在西方屬室女座。《晉書．卷一一．天文志上》：「亢四星，天子之內朝也，總攝天下奏事，聽訟理獄錄功者也。一曰疏廟，主疾疫。星明大，輔納忠，天下寧。」
3.姓。如唐代有亢潮。</t>
  </si>
  <si>
    <t>(二)ㄍㄤ gāng（04087）</t>
  </si>
  <si>
    <t>匟</t>
  </si>
  <si>
    <t>參見「匟床」條。</t>
  </si>
  <si>
    <t>伉</t>
  </si>
  <si>
    <t>[名]
1.配偶。參見「伉儷」條。
2.姓。如漢代有伉喜。
[動]
1.對等、匹敵。通「抗」。《戰國策．秦策一》：「橫歷天下，廷說諸侯之王，杜左右之口，天下莫與之伉。」
2.抵擋。通「抗」。《呂氏春秋．季冬紀．士節》：「養及親者，身伉其難。」
[形]
1.高、高大。通「亢」。《詩經．大雅．綿》：「皋門有伉。」漢．毛亨．傳：「伉，高貌。」
2.強壯。《漢書．卷八．宣帝紀》：「選郡國吏三百石伉健習騎射者，皆從軍。」唐．顏師古．注：「伉，強也。」
3.剛直。漢．揚雄《法言．吾子》：「事勝辭則伉，辭勝事則賦。」</t>
  </si>
  <si>
    <t>抗</t>
  </si>
  <si>
    <t>[動]
1.抵禦、抵擋。如：「反抗」、「抗敵」、「抗暴」、「八年抗戰」。《列子．黃帝》：「而以道與世抗，必信矣夫。」唐．韓愈〈張中丞傳後敘〉：「何苦守尺寸之地，食其所愛之肉，以與賊抗而不降乎？」
2.違逆、不順從。《荀子．臣道》：「有能抗君之命，竊君之重。」宋．梅堯臣〈汝墳貧女〉詩：「郡吏來何暴，縣官不敢抗。」
3.對等、匹敵。如：「抗衡」、「分庭抗禮」。《後漢書．卷四〇．班彪傳下》：「榮鏡宇宙，尊無與抗。」唐．章懷太子．注：「抗，猶敵也。」北魏．酈道元《水經注．江水注》：「有大巫山，非惟三峽所無，乃當抗峰岷峨，偕嶺衡疑。」
4.舉。《文選．揚雄．羽獵賦》：「移珍來享，抗手稱臣。」《文選．曹植．洛神賦》：「抗羅袂以掩涕兮，淚流襟之浪浪。」
[形]
1.剛直、正直。南朝梁．蕭統〈文選序〉：「若賢人之美辭，忠臣之抗直。」
2.高尚。如：「抗志」。《楚辭．宋玉．九辯》：「堯舜之抗行兮，瞭冥冥而薄天。」
[名]
姓。如漢代有抗徐。</t>
  </si>
  <si>
    <t>犺</t>
  </si>
  <si>
    <t>[名]
1.健壯的狗。《說文解字．犬部》：「犺，健犬也。」
2.刺蝟。《玉篇．犬部》：「犺，蝟也。」
3.動物名。產於暹羅，短小精悍，形如猿猱，可供役使。見明．張自烈《正字通．犬部》。</t>
  </si>
  <si>
    <t>炕</t>
  </si>
  <si>
    <t>[名]
大陸北方地區各地用磚或泥坯在屋裡砌成的臥榻。下有孔道，與煙囪相通，可生火取暖。明．張自烈《正字通．火部》：「炕，北地暖床曰炕。」《兒女英雄傳》第八回：「拉起襯衣裳的短襖來，擦了擦手，跳下炕來。」
[動]
烤、烘乾。如：「炕餅」、「炕肉」。《詩經．小雅．瓠葉》「有兔斯首，燔之炙之」句下．漢．毛亨．傳：「炕火曰炙。」唐．孔穎達．正義：「炕，舉也。謂以物貫之而舉於火上以炙之。」</t>
  </si>
  <si>
    <t>閌</t>
  </si>
  <si>
    <t>[形]
高大。唐．劉禹錫〈論書〉：「今夫考居室，必以閌門豐屋為美。」唐．李庾〈東都賦〉：「臺閣高閌，支馭東方。」</t>
  </si>
  <si>
    <t>坑</t>
  </si>
  <si>
    <t>ㄎㄥ</t>
  </si>
  <si>
    <t>kēng</t>
  </si>
  <si>
    <t>[名]
1.地面凹陷的地方。如：「泥坑」、「彈坑」、「沙坑」、「坑坑洞洞」。
2.地洞、地道。如：「礦坑」、「坑道」。《舊唐書．卷四八．食貨志上》：「其天下自五嶺以北，見採銀坑，並宜禁斷。」
3.俗稱廁所。如：「茅坑」、「糞坑」、「登坑」。
[動]
1.活埋。如：「坑殺」、「焚書坑儒」。
2.陷害、欺騙。如：「坑人」、「坑害」。《紅樓夢》第九三回：「我並沒得罪人，為什麼這麼坑我？」</t>
  </si>
  <si>
    <t>吭</t>
  </si>
  <si>
    <t>[動]
發出聲音。如：「吭氣」、「悶不吭聲」。</t>
  </si>
  <si>
    <t>(一)ㄏㄤˊ háng（04906）</t>
  </si>
  <si>
    <t>阬</t>
  </si>
  <si>
    <t>同「坑」。</t>
  </si>
  <si>
    <t>牼</t>
  </si>
  <si>
    <t>[名]
牛脛骨，即牛膝下的骨頭。《說文解字．牛部》：「牼，牛膝下骨也。」清．黃景仁〈平定兩金川大功告成恭紀〉：「斜攻閒開窮支撐，迎刃桀解無堅牼。」</t>
  </si>
  <si>
    <t>硜</t>
  </si>
  <si>
    <t>參見「硜硜」條。</t>
  </si>
  <si>
    <t>羥</t>
  </si>
  <si>
    <t>[名]
一種羊。《說文解字．羊部》：「羊名也，从羊巠聲。」</t>
  </si>
  <si>
    <t>(一)ㄑㄧㄤˇ qiǎng（06568）</t>
  </si>
  <si>
    <t>誙</t>
  </si>
  <si>
    <t>[副]
誙誙：競相奔走的樣子。《莊子．至樂》：「吾觀夫俗之所樂舉群趨者，誙誙然如將不得已。」唐．成玄英．疏：「誙誙，趨死貌也。」</t>
  </si>
  <si>
    <t>傾</t>
  </si>
  <si>
    <t>參見「傾家」(二)條。</t>
  </si>
  <si>
    <t>(一)ㄑㄧㄥ qīng（06588）</t>
  </si>
  <si>
    <t>鏗</t>
  </si>
  <si>
    <t>[擬]
1.形容彈擊金屬瓦石的聲音。《禮記．樂記》：「鍾聲鏗，鏗以立號。」唐．孔穎達．正義：「鍾聲鏗者，言金鍾之聲鏗鏗然矣。」宋．陸游〈贈宋道人〉詩：「鳥道懸崖忽飛騫，戲擲短劍聲鏗然。」
2.形容琴瑟聲。《論語．先進》：「鼓瑟希，鏗爾。」三國魏．何晏．集解：「鏗者，投瑟之聲也。」
[動]
撞擊。《楚辭．宋玉．招魂》：「鏗鐘搖虡，揳梓瑟些。」漢．王逸．注：「鏗，撞也。」《文選．班固．東都賦》：「發鯨魚，鏗華鐘。」</t>
  </si>
  <si>
    <t>ㄎㄥˇ</t>
  </si>
  <si>
    <t>kěng</t>
  </si>
  <si>
    <t>(一)ㄎㄣˇ kěn（04525）</t>
  </si>
  <si>
    <t>刳</t>
  </si>
  <si>
    <t>ㄎㄨ</t>
  </si>
  <si>
    <t>kū</t>
  </si>
  <si>
    <t>[動]
1.剖開。《莊子．山木》：「吾願君刳形去皮，灑心去欲，而遊於無人之野。」《後漢書．卷八二．方術傳下．華佗傳》：「因刳破腹背，抽割積聚。」
2.挖空。《易經．繫辭下》：「刳木為舟，剡木為楫。」</t>
  </si>
  <si>
    <t>枯</t>
  </si>
  <si>
    <t>[形]
1.草木失去生機。如：「枯木逢春」。唐．李白〈蜀道難〉：「連峰去天不盈尺，枯松倒挂倚絕壁。」元．馬致遠〈天淨沙．枯藤老樹昏鴉〉曲：「枯藤老樹昏鴉，小橋流水人家。」
2.乾、乾涸。如：「枯井」、「海枯石爛」、「枯魚之肆」。唐．李白〈古風〉詩五九首之五九：「眾鳥集榮柯，窮魚守枯池。」
3.憔悴、瘦瘠。《荀子．修身》：「安燕而血氣不惰，勞倦而容貌不枯。」《後漢書．卷四五．袁安傳》：「魂魄飛揚，形容已枯。」
[名]
1.油料作物經榨油後剩餘的渣滓，多製成餅狀，供飼料、肥料之用。如：「茶枯」、「油枯」。
2.中醫上稱半身不遂的病為「枯」。</t>
  </si>
  <si>
    <t>骷</t>
  </si>
  <si>
    <t>參見「骷髏」條。</t>
  </si>
  <si>
    <t>哭</t>
  </si>
  <si>
    <t>[動]
1.因傷心或激動而流淚，甚至發出悲聲。如：「嚎啕大哭」、「痛哭失聲」。《論語．先進》：「顏淵死，子哭之慟。」唐．杜甫〈佳人〉詩：「但見新人笑，那聞舊人哭。」
2.弔唁。《淮南子．說林》：「桀辜諫者，湯使人哭之。」漢．高誘．注：「哭，猶弔也。」
3.傷心的向人訴說。如：「你的存款比我多，別老在我面前哭窮。」</t>
  </si>
  <si>
    <t>堀</t>
  </si>
  <si>
    <t>[名]
洞穴。同「窟」。《說文解字．土部》：「堀，突也。」清．段玉裁．注：「突為犬從穴中暫出，因謂穴中可居曰突，亦曰堀，俗字作窟。」《漢書．卷五一．鄒陽傳》：「則士有伏死堀穴巖藪之中耳，安有盡忠信而趨闕下者哉！」</t>
  </si>
  <si>
    <t>窟</t>
  </si>
  <si>
    <t>[名]
1.洞穴。《玉篇．穴部》：「窟，穴也。」如：「土窟」、「窟窿」、「蛇窟」、「蟻窟」。《戰國策．齊策四》：「狡兔有三窟，僅得免其死耳。」北周．庾信〈小園賦〉：「藏貍並窟，乳鵲重巢。」
2.人所居住的土室。《禮記．禮運》：「昔者先王未有宮室，冬則居營窟，夏則居橧巢。」唐．孔穎達．正義：「謂於地上累土而為窟。」《晉書．卷九四．隱逸傳．郭瑀傳》：「鑿石窟而居，服柏實以輕身。」
3.比喻人、事、物聚集、雜處的地方。如：「匪窟」、「賭窟」、「賊窟」、「貧民窟」、「銷金窟」。《文選．郭璞．遊仙詩七首之一》：「京華遊俠窟，山林隱遯棲。」宋．張耒〈潘郎以予生日見過致酒出兩詩〉二首之二：「淮陽牡丹窟，盛不數伊洛。」</t>
  </si>
  <si>
    <t>苦</t>
  </si>
  <si>
    <t>ㄎㄨˇ</t>
  </si>
  <si>
    <t>kǔ</t>
  </si>
  <si>
    <t>[名]_x000D_
1.像黃連、膽汁的味道。《荀子．正名》：「甘、苦、鹹、淡、辛、酸，奇味以口異。」_x000D_
2.難以忍受的境況。如：「訴苦」、「吃苦耐勞」、「受苦受難」、「苦中作樂」、「苦盡甘來」。_x000D_
[動]_x000D_
1.受累、為難。如：「他如此忍辱負重，真是苦了他了！」_x000D_
2.磨鍊。《孟子．告子下》：「天將降大任於是人也，必先苦其心志，勞其筋骨。」_x000D_
3.患、怕。《漢書．卷三四．韓彭英盧吳傳．韓信》：「亭長妻苦之，乃晨炊蓐食。」《文選．古詩十九首．迴車駕言邁》：「盛衰各有時，立身苦不旱。」_x000D_
[形]_x000D_
1.有苦味的。如：「苦瓜」、「苦茶」。_x000D_
2.艱辛、難受。如：「苦境」、「苦日子」、「一臉苦笑」。《孟子．梁惠王上》：「樂歲終身苦，凶年不免於死亡。」_x000D_
3.愁悶。如：「愁眉苦臉」。唐．李白〈關山月〉詩：「戍客望邊色，思歸多苦顏。」_x000D_
[副]_x000D_
盡心盡力的。如：「苦勸」、「苦諫」、「埋頭苦幹」、「寒窗苦讀」。</t>
  </si>
  <si>
    <t>楛</t>
  </si>
  <si>
    <t>[形]
1.粗劣不堅固。《荀子．議兵》：「械用兵革窳楛不便利者弱。」唐．楊倞．注：「窳，器病也。楛，濫惡，謂不堅固也。」
2.比喻不正當。《荀子．勸學》：「問楛者，勿告也；告楛者，勿問也；說楛者，勿聽也。」唐．楊倞．注：「楛與苦同，惡也。問楛，謂所問非禮義也。」</t>
  </si>
  <si>
    <t>(一)ㄏㄨˋ hù（04992）</t>
  </si>
  <si>
    <t>矻</t>
  </si>
  <si>
    <t>ㄎㄨˋ</t>
  </si>
  <si>
    <t>kù</t>
  </si>
  <si>
    <t>參見「矻矻」條。</t>
  </si>
  <si>
    <t>庫</t>
  </si>
  <si>
    <t>[名]
1.收藏兵器的地方。《說文解字．广部》：「庫，兵車藏也。」如：「火藥庫」、「軍械庫」。
2.泛指貯藏物品的地方。如：「血庫」、「書庫」、「倉庫」。</t>
  </si>
  <si>
    <t>(二)ㄕㄜˋ shè（08837）</t>
  </si>
  <si>
    <t>褲</t>
  </si>
  <si>
    <t>[名]
穿在下身的服裝。如：「長褲」、「西裝褲」、「開襠褲」。唐．薛逢〈宮詞〉：「遙窺正殿簾開處，袍褲宮人掃御床。」《紅樓夢》第六五回：「底上綠褲紅鞋，一對金蓮或敲或並，沒半刻斯文。」也稱為「褲子」。</t>
  </si>
  <si>
    <t>酷</t>
  </si>
  <si>
    <t>[形]
1.酒味濃厚。《說文解字．酉部》：「酷，酒厚味也。」
2.殘忍、暴虐。如：「酷刑」、「酷吏」。《韓非子．顯學》：「今上急耕田墾草，以厚民產也，而以上為酷。」
3.瀟灑中帶點冷漠。為英語cool的音譯。如：「酷哥」、「他那表情很酷！」
[副]
程度深的。相當於「甚」、「極」。如：「酷愛」、「酷寒」、「酷似」、「酷像」。南朝宋．劉義慶《世說新語．賢媛》：「陶公少有大志，家酷貧，與母湛氏同居。」</t>
  </si>
  <si>
    <t>嚳</t>
  </si>
  <si>
    <t>[名]
人名。傳說中的上古帝王，為五帝之一的高辛氏。《史記．卷一．五帝本紀》：「帝嚳高辛者，黃帝之曾孫也。」</t>
  </si>
  <si>
    <t>夸</t>
  </si>
  <si>
    <t>ㄎㄨㄚ</t>
  </si>
  <si>
    <t>kuā</t>
  </si>
  <si>
    <t>[名]
1.奢侈。《荀子．仲尼》：「貴而不為夸，信而不處謙。」唐．楊倞．注：「夸，奢侈也。」
2.姓。如戰國時有仙人夸蛾。
[動]
1.炫耀。《列子．楊朱》：「而欲尊禮義以夸人，矯情性以招名。」《史記．卷一〇八．韓長孺傳》：「即欲以侘鄙縣，驅馳國中，以夸諸侯。」
2.稱讚、讚美。唐．皮日休〈惜義鳥〉詩：「吾聞鳳之貴，仁義亦足夸。」
[形]
1.驕矜自大。唐．韓愈〈烏氏廟碑銘〉：「盧從史始立議用師於桓。乃陰與寇連，夸謾兇驕，出不遜言。」
2.美好的。《淮南子．脩務》：「曼頰皓齒，形夸骨佳，不待脂粉芳澤而性可說者，西施、陽文也。」
3.大。《文選．左思．吳都賦》：「橫塘查下，邑屋隆夸。」</t>
  </si>
  <si>
    <t>姱</t>
  </si>
  <si>
    <t>[形]
美好。《楚辭．屈原．九章．橘頌》：「紛縕宜脩，姱而不醜兮。」</t>
  </si>
  <si>
    <t>誇</t>
  </si>
  <si>
    <t>[動]
1.說大話、炫耀。如：「誇大」、「誇耀」。宋．曾鞏〈寄歐陽舍人書〉：「故雖惡人，皆務勒銘，以誇後世。」
2.讚美。如：「誇獎」。宋．蘇軾〈寄題興州晁太守新開古東池〉詩：「百畝新池傍郭斜，居人行樂路人誇。」
[形]
大、粗大。《漢書．卷九七．外戚傳下．孝成許皇后傳》：「妾誇布服，糲食。」顏師古注引孟康曰：「誇，大也。大布之衣也。」</t>
  </si>
  <si>
    <t>侉</t>
  </si>
  <si>
    <t>ㄎㄨㄚˇ</t>
  </si>
  <si>
    <t>kuǎ</t>
  </si>
  <si>
    <t>[形]
誇大、不實際。《書經．畢命》：「驕淫矜侉，將由惡終。」漢．孔安國．傳：「言殷眾士驕恣過制，矜其所能，以自侉大。」</t>
  </si>
  <si>
    <t>垮</t>
  </si>
  <si>
    <t>[動]
1.坍塌、倒塌。如：「牆垮了。」、「房子垮了。」
2.比喻失敗。如：「垮臺」、「他把父親畢生的事業搞垮了。」</t>
  </si>
  <si>
    <t>咵</t>
  </si>
  <si>
    <t>[形]
1.大陸北方地區稱外地人語音不正為「咵」，特指口音與本地人語音不同而言。如：「他人長得倒體面，可惜話說得有些咵。」
2.比喻說話粗俗。如：「俺是大老粗，您別笑我咵。」</t>
  </si>
  <si>
    <t>胯</t>
  </si>
  <si>
    <t>ㄎㄨㄚˋ</t>
  </si>
  <si>
    <t>kuà</t>
  </si>
  <si>
    <t>[名]
1.腰側與大腿之間的部分。《說文解字．肉部》：「胯，股也。」清．段玉裁．注：「合兩股言曰胯。」如：「胯下之恥」。
2.古代腰帶上的飾物。《新唐書．卷九三．李靖傳》：「靖破蕭銑時，所賜于闐玉帶十三胯，七方六刓，胯各附環，以金固之，所以佩物者。」</t>
  </si>
  <si>
    <t>跨</t>
  </si>
  <si>
    <t>[動]
1.舉步移動。如：「向右橫跨一步。」
2.乘、騎。《史記．卷一一七．司馬相如傳》：「褲白虎，被豳文，跨野馬。」宋．陸游〈謁石犀廟〉詩：「興亡俱昨夢，惆悵跨驢歸。」
3.越過。《左傳．昭公十三年》：「既乃與巴姬密埋璧於大室之庭。使五人齊，而長入拜，康王跨之。」晉．杜預．注：「跨，過其上也。」
4.超出、勝過。唐．杜甫．戲為六絕句六首之四：「才力應難跨數公，凡今誰是出群雄。」
5.兼及。如：「跨組」、「跨行」。《三國志．卷三五．蜀書．諸葛亮傳》：「自董卓已來，豪傑並起，跨州連郡者不可勝數。」
6.統馭、占有。《國語．晉語一》：「不跨其國，可謂挾乎？」三國吳．韋昭．注：「跨，猶據也。」《史記．卷八七．李斯傳》：「此非所以跨海內制諸侯之術也。」
7.橫架其上。明．徐弘祖《徐霞客遊記．卷三上．粵西遊記》：「二水合而西南，則又觀音橋跨之。」
8.懸掛、佩戴。《水滸傳》第四五回：「石秀捉了包裹，跨了解腕尖刀，來辭潘公。」
[名]
兩腿之間。通「胯」。《漢書．卷三四．韓信傳》：「眾辱信曰：『能死，刺我；不能，出跨下。』」</t>
  </si>
  <si>
    <t>骻</t>
  </si>
  <si>
    <t>[名]
1.腰骨。《玉篇．骨部》：「骻，腰骻。」
2.兩腿之間。同「胯」。《集韻．去聲．禡韻》：「骻，股閒也。或作胯。」</t>
  </si>
  <si>
    <t>ㄎㄨㄛˋ</t>
  </si>
  <si>
    <t>kuò</t>
  </si>
  <si>
    <t>1.(一)之又音。
2.參見「括約肌」條。</t>
  </si>
  <si>
    <t>(一)ㄍㄨㄚ guā（04200）</t>
  </si>
  <si>
    <t>(一)ㄍㄨㄚ guā（04203）(三)ㄕˋ shì（▲08774）</t>
  </si>
  <si>
    <t>蛞</t>
  </si>
  <si>
    <t>參見「蛞蝓」條。</t>
  </si>
  <si>
    <t>闊</t>
  </si>
  <si>
    <t>[形]
1.廣、大。如：「寬闊」、「遼闊」。唐．李華〈弔古戰場文〉：「地闊天長，不知歸路。」
2.胸襟寬大、才思廣博。《後漢書．卷二二．馬武傳》：「武為人嗜酒，闊達敢言。」
3.不切實際。如：「迂闊」。唐．盧仝〈冬行〉三首之三：「此言雖太闊，且是臣心腸。」
4.富有、豪侈、榮顯。如：「闊佬」、「闊綽」、「闊氣」。
5.稀少。如：「疏闊」。《漢書．卷二九．溝洫志》：「頃所以闊無大害者，以屯氏河通，兩川分流也。」唐．顏師古．注：「闊，稀也。」
[名]
1.寬度。《史記．卷二七．天官書》：「大小有差，闊狹有常。」
2.奢豪的行為。如：「擺闊」、「裝闊」。
[動]
1.寬緩。《漢書．卷九九．王莽傳下》：「假貸犁牛種食，闊其租賦。」
2.離別。如：「闊別」。《紅樓夢》第一一四回：「至親久闊，爺們都不認得了。」</t>
  </si>
  <si>
    <t>漷</t>
  </si>
  <si>
    <t>[名]
1.河川名：(1)漷水。源出大陸地區山東省滕縣東北一百里述山西南麓，西南流經江蘇省沛縣入運河。今稱為「南沙河」。(2)漷河。在大陸地區河北省通縣，自盧溝流至縣西，折而為三，正流為漷河。
2.漷縣鎮：鄉鎮名。在大陸地區河北省通縣南。</t>
  </si>
  <si>
    <t>廓</t>
  </si>
  <si>
    <t>[形]
1.廣闊、寬大。如：「寬廓」、「宏廓」。《史記．卷六十四．司馬穰苴傳．太史公曰》：「余讀司馬兵法，閎廓深遠。」《三國志．卷五十四．吳書．周瑜傳》：「性度恢廓，大率為得人，惟與程普不睦。」
2.空虛。《淮南子．精神》：「處大廓之宇，游無極之野。」漢．高誘．注：「廓，虛也。」
[名]
物體的外緣周圍。如：「輪廓」、「耳廓」。
[動]
1.開拓、擴張。如：「開廓」、「廓大」。《荀子．修身》：「狹隘褊小，則廓之以廣大。」
2.掃蕩、清除。如：「廓清陋習」。唐．許敬宗〈奉和執契靜三邊應詔〉詩：「日羽廓遊氣，天陣清華野。」</t>
  </si>
  <si>
    <t>鞹</t>
  </si>
  <si>
    <t>[名]
1.去毛的皮革。《廣韻．入聲．鐸韻》：「鞹，皮去毛。」南朝梁．劉勰《文心雕龍．情采》：「虎豹無文，則鞹同犬羊。」
2.晒乾不去毛的整張獸皮。元．戴侗《六書故．卷一八．動物》：「凡革不去其光，張而完暴之謂之鞹。」</t>
  </si>
  <si>
    <t>彉</t>
  </si>
  <si>
    <t>[動]
拉滿弓弩。《說文解字．弓部》：「彉，滿弩也。」清．段玉裁．注：「滿弩者，張而滿之。」《漢書．卷六四上．吾丘壽王傳》：「十賊彉弩，百吏不敢前。」</t>
  </si>
  <si>
    <t>擴</t>
  </si>
  <si>
    <t>[動]
張大、放大、開拓。如：「擴展」、「擴張」、「擴音器」。《孟子．公孫丑上》：「凡有四端於我者，知皆擴而充之矣。」</t>
  </si>
  <si>
    <t>咼</t>
  </si>
  <si>
    <t>ㄎㄨㄞ</t>
  </si>
  <si>
    <t>kuāi</t>
  </si>
  <si>
    <t>[形]
嘴歪斜不正。《說文解字．口部》：「咼，口戾不正也。」宋．陳善《捫蝨新話．上集．卷三．讀法華經得相法》：「脣不下垂，亦不褰縮，不麤澀，大瘡疹，亦不缺壞，亦不咼斜。」</t>
  </si>
  <si>
    <t>喎</t>
  </si>
  <si>
    <t>[形]
1.口歪不正，由於臉部神經麻痹，導致嘴角向一側歪斜的樣子。《玉篇．口部》：「喎，同咼，口戾也。」
2.歪斜。宋．梅堯臣〈依韻和許發運游泗州草堂寺之什〉詩：「醒論時事正，醉戴野巾喎。」</t>
  </si>
  <si>
    <t>蒯</t>
  </si>
  <si>
    <t>ㄎㄨㄞˇ</t>
  </si>
  <si>
    <t>kuǎi</t>
  </si>
  <si>
    <t>[名]
1.植物名。莎草科藨草屬，多年生草本。根莖細長，莖三稜形，高四十至九十公分，基部具二至三枚葉鞘，最上方葉鞘著有葉片。長側枝聚繖花序近側生，輻射枝二至八根，小穗一至八枚簇生，褐色。叢生水邊或溼地，莖可製索、編蓆、造紙。也稱為「藨草」。
2.地名。春秋時周畿內地。故址在大陸地區河南洛陽縣西南。
3.姓。如漢代有蒯徹。
[動]
抓、搔。《西遊記》第六六回：「抓腸蒯腹，翻跟頭，豎蜻蜓，任他在裡面擺佈。」</t>
  </si>
  <si>
    <t>(二)（又音）ㄎㄨㄞˋ kuài（04609）</t>
  </si>
  <si>
    <t>ㄎㄨㄞˋ</t>
  </si>
  <si>
    <t>kuài</t>
  </si>
  <si>
    <t>(一)ㄍㄨㄞˋ guài（04251）</t>
  </si>
  <si>
    <t>快</t>
  </si>
  <si>
    <t>[形]
1.高興、歡喜、舒暢。如：「愉快」、「快樂」、「痛快」、「快感」。《戰國策．秦策五》：「文信侯去而不快。」
2.爽直。如：「快人快語」、「心直口快」。《儒林外史》第三三回：「是少卿先生？是海內英豪，千秋快士！」
3.迅速、靈敏。如：「快速」、「眼明手快」。《晉書．卷七五．王湛傳》：「此馬雖快，然力薄不堪苦行。」
4.鋒利、銳利。如：「快斧」、「快劍」、「快刀」。
[動]
順遂、舒服。如：「大快人心」。《孟子．梁惠王上》：「抑王興甲兵，危士臣，搆怨於諸侯，然後快於心與？」
[副]
1.將要。如：「天快放晴了。」、「我快畢業了！」
2.趕緊。如：「您快別這麼說。」、「這裡很危險，你快離開吧！」
[名]
1.速度。如：「這匹馬能跑多快？」
2.舊指衙門中掌管緝捕的差役。如：「捕快」。
3.姓。如漢代有快欽。</t>
  </si>
  <si>
    <t>筷</t>
  </si>
  <si>
    <t>[名]
夾取食物或其他東西的用具。如：「竹筷」、「銀筷」、「象牙筷」。</t>
  </si>
  <si>
    <t>駃</t>
  </si>
  <si>
    <t>[名]
快馬。《廣韻．去聲．夬韻》：「駃，駃馬，日行千里。」
[形]
疾速、迅速。通「快」。元．元好問〈乙酉六月十一日雨〉詩：「今日復何日，駃雨東南來。」</t>
  </si>
  <si>
    <t>(一)ㄐㄩㄝˊ jué（06081）</t>
  </si>
  <si>
    <t>塊</t>
  </si>
  <si>
    <t>[名]
1.成團的泥土。《左傳．僖公二十三年》：「乞食於野人，野人予之塊。」清．紀昀《閱微草堂筆記．卷五．濼陽消夏錄五》：「里人王驢，耕於野，倦而枕塊以臥。」
2.團狀的東西。如：「肉塊」、「糖塊」、「冰塊」。
3.量詞：(1)計算塊狀或片狀東西的單位。如：「一塊地」、「三塊糖」。(2)計算錢幣的單位。相當於「元」。如：「十塊錢」。
[副]
一起、一同。如：「大家一塊兒來。」</t>
  </si>
  <si>
    <t>[名]
姓。如漢代有會栩。
[動]
統計、計算。如：「會計」。</t>
  </si>
  <si>
    <t>(一)ㄏㄨㄟˋ huì（05134）(二)ㄏㄨㄟˇ huǐ（05116）(四)ㄍㄨㄟˋ guì（04298）</t>
  </si>
  <si>
    <t>儈</t>
  </si>
  <si>
    <t>[名]
1.介紹買賣以從中取利的人。《漢書．卷九一．貨殖傳．巴寡婦清傳》：「子貸金錢千貫，節駔儈。」唐．顏師古．注：「儈者，合會二家交易者也。」
2.借指商人。《新唐書．卷二二四．叛臣傳下．高駢傳》：「用之者，鄱陽人，世為商儈，往來廣陵。」
[動]
撮合買賣。《後漢書．卷八三．逸民傳．逢萌傳》：「君公遭亂獨不去，儈牛自隱。」唐．章懷太子．注：「儈，謂平會兩家賣買之價。」</t>
  </si>
  <si>
    <t>[動]
斬斷、砍斷。《說文解字．刀部》：「劊，斷也。」</t>
  </si>
  <si>
    <t>(二)（又音）ㄍㄨㄟˋ guì（04299）</t>
  </si>
  <si>
    <t>澮</t>
  </si>
  <si>
    <t>[名]
1.細小的水流。《文選．郭璞．江賦》：「綱絡群流，商搉涓澮。」唐．李善．注：「涓澮，小流也。」
2.河川名：(1)澮水。源出大陸地區山西省翼城縣東北澮山下，西南流至新絳縣注入汾河。(2)澮河。源出大陸地區河南省永城縣西北，流經安徽省宿縣，注入淮水。</t>
  </si>
  <si>
    <t>廥</t>
  </si>
  <si>
    <t>[名]
積存木柴、乾草或糧食等的地方。《史記．卷四三．趙世家》：「十二年，邯鄲廥燒。」《新唐書．卷二〇三．文藝傳下．李頻傳》：「方歲饑，頻發官廥庸民浚渠。」
[動]
儲藏。《新唐書．卷九八．韋挺傳》：「挺以方苦寒，未可進，遂下米臺側，廥之，待凍泮乃運以為解。」</t>
  </si>
  <si>
    <t>噲</t>
  </si>
  <si>
    <t>[名]
咽喉。《說文解字．口部》：「噲，咽也。」清．段玉裁．注：「噲者，會也，聲氣所會也。」
[副]
稱心、暢快。通「快」。《淮南子．精神》：「當此之時，噲然得臥，則親戚兄弟歡然而喜。」</t>
  </si>
  <si>
    <t>鄶</t>
  </si>
  <si>
    <t>[名]
國名。周初所分封的諸侯國，後被鄭國所滅。故址在今河南省密縣東南。</t>
  </si>
  <si>
    <t>獪</t>
  </si>
  <si>
    <t>[形]
奸詐狡猾。如：「黠獪」、「狡獪」。《新唐書．卷八八．裴寂傳》：「馬三寶，性敏獪。」</t>
  </si>
  <si>
    <t>[名]
柏木科圓柏屬。「檜柏」或「真柏」之簡稱，參見「檜柏」條。</t>
  </si>
  <si>
    <t>(二)（又音）ㄍㄨㄟˋ guì（04300）</t>
  </si>
  <si>
    <t>膾</t>
  </si>
  <si>
    <t>[名]
切細的肉絲。《論語．鄉黨》：「食不厭精，膾不厭細。」唐．韓愈〈與崔群書〉：「至於稻也，粱也，膾也，炙也，豈聞有不嗜者哉！」
[動]
切割。《詩經．小雅．六月》：「飲御諸友，炰鱉膾鯉。」《莊子．盜跖》：「盜跖乃方休卒徒大山之陽，膾人肝而餔之。」</t>
  </si>
  <si>
    <t>旝</t>
  </si>
  <si>
    <t>[名]
1.古代戰爭時用來發號施令的旌旗。《左傳．桓公五年》：「命二拒曰：『旝動而鼓。』」晉．杜預．注：「旝，旃也，通帛為之，蓋今大將之麾也，執以為號令。」
2.古代打仗用的發石車。《新唐書．卷八四．列傳．李密》：「命護軍將軍田茂廣造雲旝三百具，以機發石，為攻城械，號將軍砲。」</t>
  </si>
  <si>
    <t>鱠</t>
  </si>
  <si>
    <t>[名]
細切的魚肉。同「膾」。《集韻．去聲．太韻》：「膾，《說文》：『細切肉也。』或從魚。」如：「鮮鱠」、「蓴羹鱸鱠」。宋．陸游〈雙頭蓮．華鬢星星〉詞：「空悵望，鱠美菰香，秋風又起。」
[動]
細切魚肉烹調成餚饌。宋．辛棄疾〈水龍吟．楚天千里清秋〉詞：「休說鱸魚堪鱠，儘西風、季鷹歸未？」</t>
  </si>
  <si>
    <t>(一)ㄎㄨㄞˇ kuǎi（04591）</t>
  </si>
  <si>
    <t>刲</t>
  </si>
  <si>
    <t>ㄎㄨㄟ</t>
  </si>
  <si>
    <t>kuī</t>
  </si>
  <si>
    <t>[動]
刺割、宰殺。《說文解字．刀部》：「刲，刺也。」《左傳．僖公十五年》：「士刲羊，亦無衁也。」《資治通鑑．卷二七七．後唐紀六．明宗長興元年》：「令壯士十人刲其肉自啗之，洪至死罵不絕聲。」元．胡三省．注：「刲，割也。」</t>
  </si>
  <si>
    <t>悝</t>
  </si>
  <si>
    <t>[動]
嘲笑。《文選．張衡．東京賦》：「由余以西戎孤臣而悝繆公於宮室。」唐．李善．注：「悝，猶嘲也。」
[名]
人名用字。如戰國時有李悝。</t>
  </si>
  <si>
    <t>盔</t>
  </si>
  <si>
    <t>[名]
1.用來保護頭部，使免於受傷的帽子。通常用金屬或塑膠製成。如：「頭盔」。《三國演義》第三〇回：「三通鼓罷，袁紹金盔金甲，錦袍玉帶，立馬陣前。」
2.缽、盆子一類的器皿。如：「瓦盔」、「陶盔」。</t>
  </si>
  <si>
    <t>窺</t>
  </si>
  <si>
    <t>[動]
1.從隱密處或孔隙中偷看。《說文解字．穴部》：「窺，小視也。」如：「偷窺」、「以管窺天」。《孟子．滕文公下》：「鑽穴隙相窺。」唐．柳宗元〈三戒．黔之驢〉：「虎見之，龐然大物也，以為神，蔽林間窺之。」
2.泛指見、觀看。《呂氏春秋．審應覽．精諭》：「目視於無形，耳聽於無聲，商聞雖眾，弗能窺矣。」《明史．卷一二八．劉基傳》：「基博通經史，於書無不窺。」
3.偵視、探測。唐．李白〈關山月〉詩：「漢下白登道，胡窺青海灣。」宋．蘇轍〈六國論〉：「秦人不敢逾韓、魏以窺齊、楚、燕、趙之國，而齊、楚、燕、趙之國，因得以自完於其間矣。」</t>
  </si>
  <si>
    <t>闚</t>
  </si>
  <si>
    <t>[動]
1.偷看。同「窺」。《公羊傳．宣公六年》：「俯而闚其戶，方食魚飧。」《史記．卷六二．管晏傳》：「晏子為齊相，出，其御之妻從門閒而闚其夫。」
2.望、看。《楚辭．劉向．九歎．憂苦》：「登巑岏以長企兮，望南郢而闚之。」
3.觀察、探索。《史記．卷六三．老子韓非傳》：「其學無所不窺，然其要本歸於老子之言。」《文選．潘岳．閑居賦》：「闚天文之祕奧，究人事之終始。」
[名]
姓。如黃帝時有闚紀。</t>
  </si>
  <si>
    <t>虧</t>
  </si>
  <si>
    <t>[名]
1.缺陷、不完滿。如：「月有盈虧」。《列子．天瑞》：「損盈成虧，隨世隨死。」宋．王沂孫〈眉嫵．漸新痕懸柳〉詞：「千古盈虧休問，歎慢磨玉斧，難補金鏡。」
2.損失、損害。《紅樓夢》第五七回：「叫我吃了虧，又有何好處？」
[動]
1.耗損、減少。如：「虧本」。《易經．謙卦．彖曰》：「天道虧盈而益謙。」唐．孔穎達．正義：「虧，謂減損，減損盈滿，而增益謙退。」宋．蘇洵〈六國論〉：「賂秦而力虧，破滅之道也。」
2.欠缺、缺少。如：「自知理虧」。《書經．旅獒》：「為山九仞，功虧一簣。」《韓非子．五蠹》：「雖監門之服養，不虧於此矣。」
3.辜負、對不起。如：「虧待」。《董西廂》卷一：「我幾曾夢見人傳示，我虧你，你虧人。」
4.毀壞。《詩經．魯頌．閟宮》：「不虧不崩，不震不騰。」漢．鄭玄．注：「虧、崩皆謂毀壞也。」《韓非子．孤憤》：「重人也者，無令而擅為，虧法以利私。」
[形]
虛弱。如：「體虧」、「腎虧」、「氣衰血虧」。
[副]
1.難為、僥倖之詞。如：「幸虧」、「多虧」。《紅樓夢》第九七回：「虧了還同著秋紋兩個人挽扶著黛玉到屋裡來。」
2.斥責或譏諷之詞。《紅樓夢》第二〇回：「鳳姐道：『虧你還是爺，輸了一二百錢就這樣！』」</t>
  </si>
  <si>
    <t>巋</t>
  </si>
  <si>
    <t>[形]
小山羅列。《爾雅．釋山》：「小而眾，巋。」宋．邢昺．疏：「言山小而眾，叢萃羅列者名巋。」
[副]
高大堅固的樣子。《文選．王延壽．魯靈光殿賦．序》：「自西京未央建章之殿，皆見隳壞，而靈光巋然獨存。」宋．張載．注：「巋然，高大堅固貌也。」</t>
  </si>
  <si>
    <t>奎</t>
  </si>
  <si>
    <t>ㄎㄨㄟˊ</t>
  </si>
  <si>
    <t>kuí</t>
  </si>
  <si>
    <t>[名]
1.兩條大腿之間。《說文解字．大部》：「奎，兩髀之閒。」《莊子．徐无鬼》：「奎蹄曲隈，乳閒股腳，自以為安室利處。」
2.星宿名。二十八星宿之一，為西方白虎七宿的第一宿。
3.星官名，奎宿之首，有星十六顆，在西方分屬雙魚與仙女座。《晉書．卷一一．天文志上》：「奎十六星，天之武庫也。一曰天豕，亦曰封豕。主以兵禁暴，又主溝瀆。」古人以為奎宿主文章，即文曲星，專司人間的文運。
[形]
關於文事的。如：「奎運」、「奎星高照」。</t>
  </si>
  <si>
    <t>馗</t>
  </si>
  <si>
    <t>[名]
1.四通八達的道路。同「逵」。《說文解字．九部》：「馗，九達道也。」《文選．鮑照．蕪城賦》：「崩榛塞路，崢嶸古馗。」
2.人名用字。如唐玄宗時有鍾馗。</t>
  </si>
  <si>
    <t>頄</t>
  </si>
  <si>
    <t>[名]
顴骨。《易經．夬卦．九三》：「壯于頄，有凶。」三國魏．王弼．注：「頄，面權也。」</t>
  </si>
  <si>
    <t>(二)ㄑㄧㄡˊ qiú（06416）</t>
  </si>
  <si>
    <t>逵</t>
  </si>
  <si>
    <t>[名]
1.四通八達的大道。《爾雅．釋宮》：「九達謂之逵。」晉．郭璞．注：「四道交出，復有旁通。」《詩經．周南．兔罝》：「肅肅兔罝，施于中逵。」漢．毛亨．傳：「逵，九達之道。」
2.水中可供交通的穴道。《山海經．中山經》：「（合水）多鰧魚，狀如鱖，居逵。」晉．郭璞．注：「逵，水中之穴道交通者。」《文選．郭璞．江賦》：「爰有包山洞庭，巴陵地道，潛逵傍通，幽岫窈窕。」</t>
  </si>
  <si>
    <t>揆</t>
  </si>
  <si>
    <t>[動]
1.揣測、審度。《說文解字．手部》：「揆，度也。」如：「揆其用心」、「揆情度理」。宋．歐陽修〈江鄰幾文集序〉：「余竊不自揆，少習為銘章，因得論次當世賢大夫功行。」清．多爾袞〈致史可法書〉：「揆諸情理，豈可謂平！」
2.掌管。《左傳．文公十八年》：「堯舉八愷使主后土，以揆百事，莫不時序，地平天成。」《遼史．卷三一．營衛志．序》：「其人土著而居綏服之中，外奮武衛，內揆文教，守在四邊。」
[名]
1.道理。《孟子．離婁下》：「先聖後聖，其揆一也。」唐．李白〈比干碑〉：「殊塗而一揆，異行而齊致。」
2.政事、事務。《書經．舜典》：「納于百揆，百揆時敘。」《後漢書．卷五九．張衡傳》：「百揆允當，庶績咸熙。」
3.統理國政的官員、職位。如古代稱宰相為「首揆」，近代則稱內閣總理或相當內閣總理的官職為「閣揆」。《晉書．卷一九．禮志上》：「桓溫居揆，政由己出。」</t>
  </si>
  <si>
    <t>(二)（又音）ㄎㄨㄟˇ kuǐ（04631）</t>
  </si>
  <si>
    <t>葵</t>
  </si>
  <si>
    <t>[名]
1.參見「向日葵」、「蒲葵」、「菟葵」等條。
2.姓。如宋代有葵方，明代有葵弘宇。
[動]
揣測、測度。通「揆」。《詩經．小雅．采菽》：「樂只君子，天子葵之。」唐．孔穎達．正義：「諸侯天子於揆度其功德之多少而命賜之以禮樂。」</t>
  </si>
  <si>
    <t>暌</t>
  </si>
  <si>
    <t>[動]
分開、離別。如：「日月相暌」、「暌違已久」。宋．蘇軾〈續歐陽子朋黨論〉：「疏者易間，而親者難暌也。」</t>
  </si>
  <si>
    <t>戣</t>
  </si>
  <si>
    <t>[名]
武器名。古代形狀像戟的兵器。《廣韻．平聲．脂韻》：「戣，兵器，戟屬。」《書經．顧命》：「一人冕，執戣，立于東垂；一人冕，執瞿，立于西垂。」唐．孔穎達．正義：「戣、瞿，皆戟屬。」</t>
  </si>
  <si>
    <t>睽</t>
  </si>
  <si>
    <t>[動]
乖違、別離、分開。同「暌」。《玉篇．目部》：「睽，乖也。」《莊子．天運》：「三皇之知，上悖日月之明，下睽山川之精，中墮四時之施。」唐．成玄英．疏：「睽，離也。」
[形]
張目注視的樣子。參見「睽睽」條。
[名]
《易經》卦名。六十四卦之一。兌（☱）下離（☲）上。象睽違乖異之義。</t>
  </si>
  <si>
    <t>騤</t>
  </si>
  <si>
    <t>參見「騤騤」條。</t>
  </si>
  <si>
    <t>魁</t>
  </si>
  <si>
    <t>[名]
1.湯勺，舀湯的器具。《說文解字．斗部》：「魁，羹斗也。」晉．郭璞〈易洞林〉：「太子洗馬荀子驥家中以龍銅魁作食欻鳴。」
2.為首、帶頭的人。如：「文魁」、「花魁」、「罪魁禍首」。《漢書．卷九二．游俠傳．序》：「及王莽時，諸公之間陳遵為雄，閭里之俠原涉為魁。」清．魏禧〈大鐵椎傳〉：「眾魁請長其群，吾又不許，是以讎我。」
3.明代科舉分五經取士，每一經的首選人稱為「經魁」，五位經魁簡稱為「五魁」，後稱考試或比賽得到第一名為「奪魁」。
4.姓。如明代有魁倫。
[形]
高大強壯。如：「魁偉」、「魁岸」、「魁梧」。唐．柳宗元〈牛賦〉：「牛之為物，魁形巨首。」</t>
  </si>
  <si>
    <t>櫆</t>
  </si>
  <si>
    <t>[名]
湯匙。同「魁」。《集韻．平聲．灰韻》：「魁，《說文》：『羹斗也。』或從木。」</t>
  </si>
  <si>
    <t>頯</t>
  </si>
  <si>
    <t>[名]
顴骨、面骨。《說文解字．頁部》：「頯，權也。」清．段玉裁．注：「權者，今之顴字。」
[形]
額頭高露。《莊子．天道》：「而目衝然，而顙頯然，而口闞然，而狀義然，似繫馬而止也。」唐．成玄英．疏：「顙額高亢，顯露華飾。」</t>
  </si>
  <si>
    <t>夔</t>
  </si>
  <si>
    <t>[名]
1.一種傳說中的怪獸。外形像龍，僅有一足。見《山海經．大荒東經》。《莊子．達生》：「山有夔，野有彷徨，澤有委蛇。」《文選．張衡．東京賦》：「殘夔魖與罔像。」三國吳．薛綜．注：「夔，木石之怪，如龍，有角，鱗甲光如日月，見則其邑大旱。」
2.人名。堯、舜時的樂官。《書經．舜典》：「帝曰：『夔，命汝典樂，教胄子。』」《禮記．樂記》：「昔者，舜作五弦之琴，以歌南風，夔始制樂，以賞諸侯。」漢．鄭玄．注：「夔，舜時典樂者也。」
3.國名。周代時所建，後為楚所滅。故址在今大陸地區湖北省秭歸縣東。也稱為「隗國」、「歸國」。
4.地名。唐武德二年改信州為夔州，故城在今大陸地區四川省奉節縣。宋代改為路，明初改為府，轄境在今大陸地區四川、湖北省一帶。
5.姓。周代楚君熊摯自棄於夔，其後子孫以地為氏。</t>
  </si>
  <si>
    <t>ㄎㄨㄟˇ</t>
  </si>
  <si>
    <t>kuǐ</t>
  </si>
  <si>
    <t>(一)ㄎㄨㄟˊ kuí（04621）</t>
  </si>
  <si>
    <t>參見「傀儡」條。</t>
  </si>
  <si>
    <t>(二)ㄍㄨㄟ guī（04268）</t>
  </si>
  <si>
    <t>磈</t>
  </si>
  <si>
    <t>參見「磈磊」條。</t>
  </si>
  <si>
    <t>頍</t>
  </si>
  <si>
    <t>[動]
抬起頭來。《說文解字．頁部》：「頍，舉頭也。」
[名]
古代用來束髮，固定頭冠的髮飾。《續漢書志．第三〇．輿服志下》：「古者有冠無幘，其戴也，加首有頍，所以安物。」</t>
  </si>
  <si>
    <t>蹞</t>
  </si>
  <si>
    <t>[名]
半步。同「跬」。《荀子．勸學》：「故不積蹞步，無以至千里。」唐．楊倞．注：「半步曰蹞，蹞與跬同。」</t>
  </si>
  <si>
    <t>跬</t>
  </si>
  <si>
    <t>[名]
半步，一舉足的距離。走路時一腳向前踏下稱為「跬」，另一腳再向前踏稱為「步」。《小爾雅．廣度》：「跬，一舉足也；倍跬謂之步。」漢．賈誼《新書．卷二．審微》：「故墨子見衢路而哭之，悲一跬而繆千里也。」《新唐書．卷八五．竇建德傳》：「會大霧晝冥，跬不可視。」</t>
  </si>
  <si>
    <t>喟</t>
  </si>
  <si>
    <t>ㄎㄨㄟˋ</t>
  </si>
  <si>
    <t>kuì</t>
  </si>
  <si>
    <t>[副]
嘆息、嘆氣的樣子。《論語．先進》：「夫子喟然歎曰：『吾與點也！』」</t>
  </si>
  <si>
    <t>愧</t>
  </si>
  <si>
    <t>[動]
1.因理虧或做錯事，而感到難為情。如：「慚愧」、「愧不敢當」。唐．杜甫〈自京赴奉先縣詠懷五百字〉詩：「所愧為人父，無食致夭折。」明．宋濂〈秦士錄〉：「兩生素負多才藝，聞弼言，大愧，下樓足不得成步。」
2.辱人而使之感到羞慚。《禮記．表記》：「是故君子不以其所能者病人，不以人之所不能者愧人。」《後漢書．卷二四．馬援傳》：「季孟嘗折愧子陽而不受其爵。」
3.辜負、對不起。清．方苞〈左忠毅公軼事〉：「吾上恐負朝廷，下恐愧吾師也。」
[形]
羞慚。如：「面有愧色」。</t>
  </si>
  <si>
    <t>餽</t>
  </si>
  <si>
    <t>[名]
1.古代對鬼神的祭祀稱為「餽」。《說文解字．食部》：「餽，吳人謂祭曰餽。」
2.姓。如春秋時晉國有餽閒倫。
[動]
贈送。通「饋」。如：「餽贈」。《孟子．公孫丑下》：「前日於齊，王餽兼金一百而不受。」漢．賈誼〈說積貯〉：「卒然邊境有急，數千百萬之眾，國胡以餽之。」</t>
  </si>
  <si>
    <t>[動]
缺乏、竭盡。如：「匱乏」。《詩經．大雅．既醉》：「孝子不匱，永錫爾類。」《呂氏春秋．孝行覽．長攻》：「財匱而民恐，悔無及也。」</t>
  </si>
  <si>
    <t>(二)ㄍㄨㄟˋ guì（04293）</t>
  </si>
  <si>
    <t>潰</t>
  </si>
  <si>
    <t>[動]
1.大水沖破堤岸，四處奔流。如：「潰決」、「潰堤」。《國語．周語上》：「川壅而潰傷人必多，民亦如之。」《韓非子．喻老》：「千丈之隄，以螻蟻之穴潰。」
2.突破。如：「潰陷」、「潰圍而奔」。明．宋濂〈秦士錄〉：「突圍潰陣，得保首領乎？」
3.敗逃、逃散。如：「潰敗」、「崩潰」、「潰不成軍」。《後漢書．卷二四．馬援傳》：「乘夜放火，擊鼓叫譟，虜遂大潰，凡斬首千餘級。」
4.腐爛。如：「潰爛」、「潰瘍」。明．劉基〈賣柑者言〉：「杭有賣果者，善藏柑，涉寒暑不潰。」</t>
  </si>
  <si>
    <t>(二)（又音）ㄏㄨㄟˋ huì（05139）</t>
  </si>
  <si>
    <t>憒</t>
  </si>
  <si>
    <t>[形]
心智昏亂不明。《廣韻．去聲．隊韻》：「憒，心亂也。」《楚辭．王逸．九思．逢尤》：「心煩憒兮意無聊，嚴載駕兮出戲遊。」《紅樓夢》第九六回：「又知寶玉失玉以後，神志惛憒，醫藥無效。」</t>
  </si>
  <si>
    <t>蕢</t>
  </si>
  <si>
    <t>[名]
1.用草繩或竹片編成的盛土器具。似今日的簸箕。《說文解字．艸部》：「蕢，艸器也。」《論語．憲問》：「有荷蕢而過孔氏之門者。」
2.姓。如春秋時魯國有蕢尚。</t>
  </si>
  <si>
    <t>(一)ㄍㄨㄟˋ guì（04295）</t>
  </si>
  <si>
    <t>聵</t>
  </si>
  <si>
    <t>[形]
1.耳聾、聽不見。宋．范成大〈大暑舟行含山道中雨驟至霆奔龍挂可駭〉詩：「盆傾耳雙聵，斗暗目四眩。」
2.糊塗不明事理。如：「昏聵」。唐．皮日休〈耳箴〉：「近賢則聰，近愚則聵。」
[名]
耳朵聽不見的人。如：「振聾發聵」。《國語．晉語四》：「嚚瘖不可使言，聾聵不可使聽。」</t>
  </si>
  <si>
    <t>簣</t>
  </si>
  <si>
    <t>[名]
盛土的竹器。似畚箕之類。《書經．旅獒》：「為山九仞，功虧一簣。」《論語．子罕》：「譬如為山，未成一簣，止吾止也。」何晏集解引包咸曰：「簣，土籠也。」</t>
  </si>
  <si>
    <t>饋</t>
  </si>
  <si>
    <t>[動]
1.致贈、贈送。《左傳．桓公六年》：「齊人饋之餼。」唐．李白〈感時留別從兄徐王延年從弟延陵〉詩：「藥物多見饋，珍羞亦兼之。」
2.輸送、運送。《孫子．作戰》：「帶甲十萬，千里饋糧。」
3.進食。《淮南子．詮言》：「滌杯而食，洗爵而飲，浣而後饋。」漢．高誘．注：「饋，進食也。」
[名]
1.飲食方面的事情。《周禮．天官．膳夫》：「凡王之饋，食用六穀，膳用六牲。」《儀禮．既夕禮》：「燕養饋羞，湯沐之饌，如他日。」
2.禮物。《論語．鄉黨》：「朋友之饋，雖車馬，非祭肉不拜。」</t>
  </si>
  <si>
    <t>[動]
贈送。通「饋」。《論語．陽貨》：「陽貨欲見孔子，孔子不見，歸孔子豚。」
[形]
羞慚。通「愧」。《戰國策．秦策一》：「面目犁黑，狀有歸色。」</t>
  </si>
  <si>
    <t>(一)ㄍㄨㄟ guī（04271）</t>
  </si>
  <si>
    <t>寬</t>
  </si>
  <si>
    <t>ㄎㄨㄢ</t>
  </si>
  <si>
    <t>kuān</t>
  </si>
  <si>
    <t>[形]
1.大、廣闊。與「狹」、「窄」相對。《字彙．宀部》：「寬，廣也。」如：「寬肩膀」、「寬袍大袖」。唐．宋之問〈奉和九日幸臨渭亭登高應制得歡字〉詩：「御氣雲霄近，乘高宇宙寬。」唐．孟郊〈贈別崔純亮〉詩：「出門即有礙，誰謂天地寬！」
2.鬆、不緊。如：「寬鬆」。宋．柳永〈蝶戀花．獨倚危樓風細細〉詞：「衣帶漸寬終不悔，為伊消得人憔悴。」
3.不嚴苛、度量大。如：「寬厚」、「寬大為懷」。《論語．陽貨》：「寬則得眾，信則人任焉。」宋．蘇軾〈省試刑賞忠厚之至論〉：「故天下畏皋陶執法之堅，而樂堯用刑之寬。」
4.闊綽、富裕。如：「他最近手頭較寬。」、「日子愈來愈寬。」
[名]
1.數學上指長方形物體相對兩邊的距離。如：「寬四尺六寸」。
2.姓。如明代有寬轍。
[動]
1.饒恕、原諒。如：「寬宥」。《文選．宋玉．對楚王問》：「願大王寬其罪，使得畢其辭。」《史記．卷八一．廉頗藺相如傳》：「鄙賤之人，不知將軍寬之至此也。」
2.放鬆、延緩。如：「寬心」、「寬解」、「寬限」。《列子．天瑞》：「善乎，能自寬者也。」宋．蘇軾〈和陶飲酒〉詩二〇首之一一：「詔書寬積欠，父老顏色好。」
3.解、脫。如：「寬衣解帶」。《官場現形記》第八回：「新嫂嫂竭立張羅，寬馬褂，打手巾。」</t>
  </si>
  <si>
    <t>臗</t>
  </si>
  <si>
    <t>[名]
股骨。同「髖」。《字彙．肉部》：「臗，與髖同。股骨也。」</t>
  </si>
  <si>
    <t>髖</t>
  </si>
  <si>
    <t>臀部的骨頭，左右各一，由腸骨、坐骨、恥骨合成，連接薦椎組成骨盆，下接股骨形成髖關節。</t>
  </si>
  <si>
    <t>梡</t>
  </si>
  <si>
    <t>ㄎㄨㄢˇ</t>
  </si>
  <si>
    <t>kuǎn</t>
  </si>
  <si>
    <t>[名]
虞舜時陳列祭品的禮器，形如几案。《廣韻．上聲．緩韻》：「梡，虞俎名，形有足如案。」《禮記．明堂位》：「俎，有虞氏以梡。」漢．鄭玄．注：「梡，斷木為四足而已。」</t>
  </si>
  <si>
    <t>款</t>
  </si>
  <si>
    <t>[名]_x000D_
1.錢財。如：「公款」、「存款」、「提款」、「貸款」、「贓款」、「身懷巨款」。_x000D_
2.法令、條目。如：「條款」。《宋史．卷二六五．列傳．張齊賢》：「（齊賢）命具款，乃召兩吏，令甲家入乙舍，乙家入甲舍。」_x000D_
3.規格、樣式。參見「款式」條。_x000D_
4.書畫或信件上的題字。如：「上款」、「下款」、「落款」。_x000D_
5.鐘鼎彞器上所刻的文字和花紋。凹者為款，凸者為識。_x000D_
[量]_x000D_
1.計算文書分項的單位。如：「這條文分成三項四款。」_x000D_
2.計算樣式、種類的單位。相當於「種」。如：「這是今年冬天新出的兩款大衣。」_x000D_
[動]_x000D_
1.招待。如：「款待」。《警世通言．卷二．莊子休鼓盆成大道》：「當下治飯相款。」_x000D_
2.叩、敲。如：「款門」、「款關」。南朝梁．范雲〈贈張徐州謖詩〉：「還聞稚子說，有客款柴扉。」_x000D_
3.慰留、休息。《新唐書．卷九二．列傳．王君廓》：「乃獨款詵。詐曰：『有急變，當白！』」宋．楊萬里〈夜宿王才臣齋中睡覺聞風雪大作〉詩：「終年纔小款，明日又言歸。」_x000D_
[副]_x000D_
1.徐緩的、慢慢的。如：「款步」。宋．梅堯臣〈送胥裴二子迴馬上作〉詩：「豈唯遊子倦，疲馬行亦款。」_x000D_
2.誠懇的。《史記．卷一一七．司馬相如列傳》：「而修禮地祇，謁款天神。」南朝宋．裴駰．集解：「款，誠也。謁告之報誠也。」</t>
  </si>
  <si>
    <t>窾</t>
  </si>
  <si>
    <t>[名]
縫隙、孔穴。《莊子．養生主》：「依乎天理，批大卻，導大窾，因其固然。」唐．成玄英．疏：「窾，空也，骨節空處。」唐．柳宗元〈霹靂琴贊．序〉：「始枯桐生石上，說者言有蛟龍伏其窾。」
[形]
1.中空。《淮南子．說山》：「見窾木浮而知為舟，見飛蓬轉而知為車。」
2.虛假、不實。《史記．卷一三〇．太史公自序》：「窾言不聽，姦乃不生，賢不肖自分，白黑乃形。」</t>
  </si>
  <si>
    <t>坤</t>
  </si>
  <si>
    <t>ㄎㄨㄣ</t>
  </si>
  <si>
    <t>kūn</t>
  </si>
  <si>
    <t>[名]
《易經》卦名：(1)八卦之一。卦形是☷。其象為地、為臣、為母、為妻。(2)六十四卦之一。坤（☷）下坤（☷）上。象女德之義。
[形]
女性的、女方的。如：「坤伶」、「坤宅」、「坤德」。《後漢書．卷一〇．皇后紀下．順烈梁皇后紀》：「梁小貴人宜配天祚，正位坤極。」《鏡花緣》第一回：「現在魁星既現女像，其為坤兆無疑。」</t>
  </si>
  <si>
    <t>昆</t>
  </si>
  <si>
    <t>[名]
1.兄。《詩經．王風．葛藟》：「終遠兄弟，謂他人昆。」漢．毛亨．傳：「昆，兄也。」唐．杜甫〈彭衙行〉：「誓將與夫子，永結為弟昆。」
2.後嗣、子孫。《書經．仲虺之誥》：「垂裕後昆。」漢．孔安國．傳：「垂優足之道示後世。」
[形]
群、眾多。《漢書．卷一〇．成帝紀》：「君道得，則草木昆蟲咸得其所。」唐．顏師古．注：「昆，眾也。昆蟲，言眾蟲也。」
[副]
同。《文選．揚雄．羽獵賦》：「群娭乎其中，噍噍昆鳴。」</t>
  </si>
  <si>
    <t>參見「混夷」條。</t>
  </si>
  <si>
    <t>(一)ㄏㄨㄣˋ hùn（05215）(二)ㄍㄨㄣˇ gǔn（04345）(四)ㄏㄨㄣˊ hún（05204）(五)（(一)之又音）ㄏㄨㄣˇ hǔn（05211）</t>
  </si>
  <si>
    <t>崑</t>
  </si>
  <si>
    <t>參見「崑崙」、「崑崙奴」等條。</t>
  </si>
  <si>
    <t>焜</t>
  </si>
  <si>
    <t>參見「焜燿」條。</t>
  </si>
  <si>
    <t>琨</t>
  </si>
  <si>
    <t>[名]
1.似玉的美石。《說文解字．玉部》：「琨，石之美者。」《書經．禹貢》：「瑤、琨、篠、簜。」漢．孔安國．傳：「瑤、琨皆美玉。」唐．孔穎達．正義：「美石似玉者也。玉、石，其質相類，美惡別名也。」
2.玉佩。《文選．張衡．思玄賦》：「獻環琨與琛縭兮，申厥好以玄黃。」唐．李善．注：「琨，璧也。」</t>
  </si>
  <si>
    <t>錕</t>
  </si>
  <si>
    <t>參見「錕鋙」條。</t>
  </si>
  <si>
    <t>騉</t>
  </si>
  <si>
    <t>參見「騉蹄」、「騉駼」等條。</t>
  </si>
  <si>
    <t>鯤</t>
  </si>
  <si>
    <t>[名]
1.魚苗。《爾雅．釋魚》：「鯤，魚子。」晉．郭璞．注：「凡魚之子，總名鯤。」《國語．魯語上》：「澤不伐夭，魚禁鯤鮞。」三國吳．韋昭．注：「鯤，魚子也。鮞，未成魚也。」
2.古代傳說中的大魚。《莊子．逍遙遊》：「北冥有魚，其名為鯤；鯤之大，不知其幾千里也！」</t>
  </si>
  <si>
    <t>晜</t>
  </si>
  <si>
    <t>[名]
兄。同「昆」。《爾雅．釋親》：「晜，兄也。」宋．陸游〈幽居即事〉詩九首之五：「野人求其類，金墺實弟晜。」</t>
  </si>
  <si>
    <t>䖵</t>
  </si>
  <si>
    <t>[名]
蟲類的總稱。《說文解字．䖵部》：「䖵，蟲之總名也。」清．段玉裁．注：「蟲之總名稱䖵，凡經傳言昆蟲即䖵蟲也。」</t>
  </si>
  <si>
    <t>髡</t>
  </si>
  <si>
    <t>[動]
1.剃髮。多用於刑罰。《說文解字．髟部》：「髡，𩮜髮也。」《三國演義》第六三回：「因直言觸忤劉璋，被璋髡鉗為徒隸，因此短髮。」
2.剪去樹木的枝葉，使之光禿。《齊民要術．卷五．種槐柳楸梓梧柞》：「十年之後，髡一樹，得一載，歲髡二百樹，五年一周。」
[名]
古代剃去男子頭髮的刑罰。始於秦代，隋唐後漸廢。</t>
  </si>
  <si>
    <t>褌</t>
  </si>
  <si>
    <t>[名]
舊稱褲子為「褌」。如：「紅褌」、「青布褌」。《史記．卷一一七．司馬相如傳》：「相如身自著犢鼻褌，與保庸雜作，滌器於市中。」《晉書．卷四九．阮籍傳》：「君子之處域內，何異夫蝨之處褌中乎？」</t>
  </si>
  <si>
    <t>悃</t>
  </si>
  <si>
    <t>ㄎㄨㄣˇ</t>
  </si>
  <si>
    <t>kǔn</t>
  </si>
  <si>
    <t>[名]
至誠的心意。《廣韻．上聲．混韻》：「悃，至誠。」如：「聊表謝悃」。《三國演義》第三七回：「特拜尊顏，面傾鄙悃。」
[形]
真誠。《文選．王襃．聖主得賢臣頌》：「陳見悃誠，則上不然其信。」</t>
  </si>
  <si>
    <t>捆</t>
  </si>
  <si>
    <t>[動]
1.用繩子拴綁。如：「捆柴」、「捆行李」。
2.編織時擊打使堅固結實稱為「捆」。《孟子．滕文公上》：「其徒數十人，皆衣褐，捆屨織席以為食。」漢．趙岐．注：「捆，猶叩椓也，織履欲使堅，故叩之也。」宋．蘇軾〈僧清順新作垂雲亭〉詩：「空齋臥蒲褐，芒屨每自捆。」
[名]
量詞。計算成束物件的單位。如：「一捆木柴」、「兩捆報紙」。</t>
  </si>
  <si>
    <t>梱</t>
  </si>
  <si>
    <t>[名]
門限、門檻。《說文解字．木部》：「梱，門橛也。」清．段玉裁．注：「謂當門中設木也。」《禮記．曲禮上》：「外言不入於梱，內言不出於梱。」《史記．卷一一九．循吏傳．孫叔敖傳》：「王必欲高車，臣請教閭里使高其梱。」</t>
  </si>
  <si>
    <t>稛</t>
  </si>
  <si>
    <t>[動]
用繩子捆綁。參見「稛載」條。</t>
  </si>
  <si>
    <t>綑</t>
  </si>
  <si>
    <t>[動]
1.織。《集韻．上聲．混韻》：「綑，織也。」《墨子．非樂上》：「多治麻絲葛緒綑布縿。」
2.用繩子拴綁。《紅樓夢》第七一回：「等過了這幾日，綑了送到那府裡憑大嫂子開發。」</t>
  </si>
  <si>
    <t>閫</t>
  </si>
  <si>
    <t>[名]
1.門檻、門限。《史記．卷一〇二．馮唐傳》：「曰閫以內者，寡人制之；閫以外者，將軍制之。」《南史．卷三六．沈演之傳》：「勃就之，顗送迎不越閫。」
2.舊稱婦女居住的內室。明．王世貞《鳴鳳記》第一四齣：「清夜謾勞神，幽閫添悲愴。」《紅樓夢》第八三回：「省宮闈賈元妃染恙，鬧閨閫薛寶釵吞聲。」
3.對他人妻子的敬稱。《警世通言．卷一二．范鰍兒雙鏡重圓》：「足下既然別娶，可攜新閫同來。」《初刻拍案驚奇》卷二七：「尊閫夫人幾時亡故？」
4.古代指統兵在外的統帥或軍事機構。唐．白居易〈祭張敬則文〉：「自膺閫職，益茂勛猷。」宋．文天祥〈指南錄後序〉：「至京口，得間奔真州，即具以北虛實告東西二閫，約以連兵大舉。」
5.姓。如明代有閫立道。</t>
  </si>
  <si>
    <t>壼</t>
  </si>
  <si>
    <t xml:space="preserve">士 </t>
  </si>
  <si>
    <t>[名]
宮廷中的巷道。《爾雅．釋宮》：「宮中衖謂之壼。」晉．郭璞．注：「巷閤間道。」
[形]
1.屬於婦女的。如：「壼範」、「壼室」、「壼則」。唐．陳子昂〈祭外姑宇文夫人文〉：「崇嚴壼訓，芬郁母儀。」
2.寬廣。《詩經．大雅．既醉》：「其類維何？室家之壼。」漢．毛亨．傳：「壼，廣也。」</t>
  </si>
  <si>
    <t>困</t>
  </si>
  <si>
    <t>ㄎㄨㄣˋ</t>
  </si>
  <si>
    <t>kùn</t>
  </si>
  <si>
    <t>[形]
1.艱難痛苦。如：「艱困」、「窘困」、「困境」。《史記．卷八四．屈原賈生傳》：「而齊竟怒不救楚，楚大困。」
2.窮苦。如：「貧困」、「窮困」。《史記．卷六二．管晏傳》：「吾始困時，嘗與鮑叔賈，分財利，多自與。」
3.疲倦、疲乏。如：「困倦」、「困頓」、「形疲神困」。宋．蘇軾．〈和子由澠池懷舊〉詩：「往日崎嶇還記否？路長人困蹇驢嘶。」
[動]
1.陷在艱難困苦裡，或受環境、條件等因素限制住。如：「為病所困」、「被這個問題困住了！」宋．曹勛〈望太行〉詩：「一生困塵土，半世走阡陌。」
2.包圍、圍住。如：「圍困」。漢．李陵〈重報蘇武書〉：「昔高皇帝以三十萬眾，困于平城。」
[名]
《易經》卦名。六十四卦之一。坎（☵）下兌（☱）上。《易經．困卦．象曰》：「澤無水，困。君子以致命遂志。」</t>
  </si>
  <si>
    <t>睏</t>
  </si>
  <si>
    <t>[動]
1.睡。如：「睏覺」、「睏一會兒」。《老殘遊記》第五回：「我睏在大門旁邊南屋裡，你老有事，來招呼我罷！」
2.倦而欲睡。如：「我太累了，睏得睜不開眼來。」、「你若睏了，就先上床睡吧！」</t>
  </si>
  <si>
    <t>匡</t>
  </si>
  <si>
    <t>ㄎㄨㄤ</t>
  </si>
  <si>
    <t>kuāng</t>
  </si>
  <si>
    <t>[動]
1.改正、扶正。如：「匡正」、「匡謬」。《左傳．襄公十四年》：「過則匡之。」《史記．卷六二．管晏傳》：「九合諸侯，一匡天下，管仲之謀也。」
2.救濟。如：「匡救」。《左傳．成公十八年》：「匡乏困，救災患。」《管子．五輔》：「養長老，……弔禍喪，此謂匡其急。」
3.輔佐、幫助。《漢書．卷八．宣帝紀》：「有能箴朕過失，及賢良方正直言極諫之士，以匡朕之不逮，毋諱有司。」《三國志．卷八．魏書．張魯傳》：「上匡天子，則為桓文。」
4.料想。《醒世恆言．卷三．賣油郎獨占花魁》：「你是個做經紀本分人兒，那匡你會溫存，能軟款，知心知意。」《二刻拍案驚奇》卷一〇：「方氏大怒道：『你就匡我養不出，生起外心來了！』」
[名]
1.眼眶。通「眶」。《史記．卷一一八．淮南王傳》：「於是氣怨結而不揚，涕滿匡而橫流。」
2.姓。如漢代有匡衡，清代有匡輔之。</t>
  </si>
  <si>
    <t>劻</t>
  </si>
  <si>
    <t>參見「劻勷」條。</t>
  </si>
  <si>
    <t>洭</t>
  </si>
  <si>
    <t>參見「洭水」條。</t>
  </si>
  <si>
    <t>恇</t>
  </si>
  <si>
    <t>[動]
1.膽怯、害怕。《說文解字．心部》：「恇，怯也。」《後漢書．卷一二．張步傳》：「時國無嗣主，內外恇懼。」
2.料到、料想。元．張國賓《合汗衫》第一折：「則打的一拳，不恇就打殺了。」元．武漢臣《生金閣》第一折：「我那裡恇郭成的渾家，這等生的風流，長的可喜。」
[形]
虛弱、衰敗。《黃帝素問靈樞經．卷五．寒熱病》：「精泄則病甚而恇，致氣則生為癰疽也。」</t>
  </si>
  <si>
    <t>框</t>
  </si>
  <si>
    <t>[名]
1.安裝在門窗上，具有固定作用的架子。明．張自烈《正字通．木部》：「框，門檔。」如：「窗框」、「門框」。
2.器物周圍可以嵌住東西的部分。如：「鏡框」、「相框」。也稱為「框子」、「框兒」。</t>
  </si>
  <si>
    <t>眶</t>
  </si>
  <si>
    <t>[名]
眼窩、眼睛的四周。如：「眼眶」、「熱淚盈眶」、「奪眶而出」。《列子．仲尼》：「矢注眸子而眶不睫。」</t>
  </si>
  <si>
    <t>筐</t>
  </si>
  <si>
    <t>[名]
盛物的方形竹器。今稱用竹篾或柳條等所編成的盛物器。如：「竹筐」、「籮筐」。《詩經．召南．采蘋》：「于以盛之，維筐及筥。」漢．毛亨．傳：「方曰筐，圓曰筥。」</t>
  </si>
  <si>
    <t>誆</t>
  </si>
  <si>
    <t>[動]
欺騙、哄騙。如：「誆人」。《二刻拍案驚奇》卷二〇：「果然府中來借，怎好不借？只怕被別人狐假虎威的誆的去，這個卻保不得他。」</t>
  </si>
  <si>
    <t>狂</t>
  </si>
  <si>
    <t>ㄎㄨㄤˊ</t>
  </si>
  <si>
    <t>kuáng</t>
  </si>
  <si>
    <t>[形]
1.誇大的、傲慢自大。如：「狂妄」、「口出狂言」。《左傳．昭公二十三年》：「胡、沈之君幼而狂，陳大夫齧壯而頑。」三國蜀．諸葛亮〈罷來敏教〉：「敏年老狂悖，生此怨言。」
2.放縱、放蕩。如：「狂放不羈」。《漢書．卷四三．酈食其傳》：「然吏縣中賢豪不敢役，皆謂之狂生。」唐．李白〈廬山謠寄盧侍御虛舟〉詩：「我本楚狂人，鳳歌笑孔丘。」
3.強烈、猛烈。如：「力挽狂瀾」、「狂風驟雨」。宋．賀鑄〈宿芥塘佛祠〉詩：「青青穬麥欲抽芒，浩蕩東風晚更狂。」
[名]
1.瘋癲。如：「發狂」、「喪心病狂」。《書經．微子》：「我其發出狂，吾家耄，遜于荒。」漢．孔安國．傳：「發疾生狂。」宋．蘇軾〈方山子傳〉：「余聞光黃間多異人，往往陽狂垢汙，不可得而見。」
2.姓。如黃帝時有狂屈豎，春秋時宋國有狂狡。
[副]
1.任情恣意、不受拘束。如：「狂歡」、「狂笑不已」。唐．王維〈輞川閒居贈裴秀才迪〉詩：「復值接輿醉，狂歌五柳前。」宋．蘇舜欽〈依韻和伯鎮中秋見月九日遇雨之作〉詩：「放歌狂飲不知曉，爛熳酌客山嶽頹。」
2.急速、快促。如：「狂奔」。《楚辭．屈原．九章．抽思》：「狂顧南行，聊以娛心兮。」《文選．嵇康．琴賦》：「爾乃顛波奔突，狂赴爭流。」</t>
  </si>
  <si>
    <t>誑</t>
  </si>
  <si>
    <t>[動]
說謊、欺騙。《韓非子．和氏》：「王以和為誑，而刖其左足。」《聊齋志異．卷一一．書痴》：「心竊怨古人之誑己也。」</t>
  </si>
  <si>
    <t>鵟</t>
  </si>
  <si>
    <t>[名]
動物名：(1)夢鳥。鳳屬。具五彩羽毛，頭有冠。《玉篇．鳥部》：「鵟，鳥，有冠。」《爾雅．釋鳥》：「狂，夢鳥。」唐．陸德明《經典釋文．卷三〇．爾雅音義下》：「鵟，本今作狂。」(2)貓頭鷹。《廣韻．平聲．陽韻》：「鵟，鴟屬。」《爾雅．釋鳥》：「狂，茅鴟。」清．郝懿行．義疏：「茅鴟，即今貓兒頭，其頭似貓，大目，有毛角。……，揚州謂之夜貓。善笑，俗人聞其笑聲，云有凶禍也。」(3)一種狀似老鷹的鳥。羽毛褐色，尾部稍淡。常在高空飛翔。以鼠類為食，是田間的益鳥。俗稱為「土豹」。</t>
  </si>
  <si>
    <t>懭</t>
  </si>
  <si>
    <t>ㄎㄨㄤˇ</t>
  </si>
  <si>
    <t>kuǎng</t>
  </si>
  <si>
    <t>[形]
懭悢：失意不得志。《集韻．上聲．蕩韻》：「懭，懭悢，意不得也。」《楚辭．宋玉．九辯》：「愴怳懭悢兮，去故而就新。」漢．王逸．注：「中情悵惘，意不得也。」</t>
  </si>
  <si>
    <t>況</t>
  </si>
  <si>
    <t>ㄎㄨㄤˋ</t>
  </si>
  <si>
    <t>kuàng</t>
  </si>
  <si>
    <t>[名]_x000D_
1.情形、狀態。如：「近況」、「概況」、「實況」、「窘況」。《詩．大雅．桑柔》：「為謀為毖，亂況斯削。」唐．杜荀鶴〈贈秋浦張明府〉詩：「他日親知問官況，但教吟取杜家詩。」_x000D_
2.恩惠。通「貺」。《漢書．卷四六．萬石衞直周張傳．萬石君石奮》：「皇天嘉況，神物並見。」_x000D_
3.姓。如三國時蜀國有況長寧，元代有況逵。_x000D_
[動]_x000D_
1.比擬、譬喻。《漢書．卷一六．高惠高后文功臣表》：「以往況今，甚可悲傷。」_x000D_
2.拜訪、惠顧。《史記．卷一一七．司馬相如列傳》：「足下不遠千里，來況齊國。」《漢書．卷五二．竇田灌韓傳．灌夫》：「將軍肯幸臨況魏其侯，夫安敢以服為解！」_x000D_
[副]_x000D_
1.益、更加。《詩經．小雅．出車》：「憂心悄悄，僕夫況瘁。」漢．鄭玄．箋：「況，茲也。」《國語．晉語一》：「以眾故不敢愛親，眾況厚之。」三國吳．韋昭．注：「況，益也。言以眾故殺君，除民害，眾益以為厚。」_x000D_
2.正、恰好。《董西廂》卷三：「生不勝怏怏，況是無聊，又聞夜雨。」_x000D_
[連]_x000D_
表示更進一層的語氣。相當於「何況」、「況且」。《孟子．萬章下》：「則天子不召師，而況諸侯乎？」唐．韓愈〈與崔群書〉：「況天之與人，當必異其所好惡無疑也。」</t>
  </si>
  <si>
    <t>貺</t>
  </si>
  <si>
    <t>[動]
贈、賜與。《儀禮．燕禮》：「君貺寡君多矣。」漢．鄭玄．注：「貺，賜也。」
[名]
敬詞。稱別人所贈的東西或恩惠。《左傳．昭公三年》：「豈惟寡君，舉群臣實受其貺。」《晏子春秋．內篇．問下》：「寡人受貺矣。」</t>
  </si>
  <si>
    <t>絖</t>
  </si>
  <si>
    <t>[名]
棉絮。同「纊」。《莊子．逍遙遊》：「宋人有善為不龜手之藥者，世世以洴澼絖為事。」</t>
  </si>
  <si>
    <t>[名]
姓。如明代有鄺埜。</t>
  </si>
  <si>
    <t>(二)（又音）ㄍㄨㄤˇ guǎng（04363）</t>
  </si>
  <si>
    <t>壙</t>
  </si>
  <si>
    <t>[名]
1.墓穴。《周禮．夏官．方相氏》：「及墓，入壙，以戈擊四隅。」宋．歐陽修〈江鄰幾文集序〉：「故余於聖俞，子美之歿，既已銘其壙，又類集其文而序之。」
2.原野，郊外空闊處。《孟子．離婁上》：「民之歸仁也，猶水之就下，獸之走壙也。」
[形]
空。同「曠」。如：「空壙」。
[動]
空缺、荒廢。《管子．七法》：「若夫曲制時舉，不失天時，毋壙地利。」</t>
  </si>
  <si>
    <t>曠</t>
  </si>
  <si>
    <t>[形]_x000D_
1.寬廣、空闊。如：「曠野」。唐．孟浩然〈宿建德江〉詩：「野曠天低樹，江清月近人。」唐．杜甫〈除草〉詩：「自茲藩籬曠，更覺松竹幽。」_x000D_
2.開朗、豁達。如：「心曠神怡」。《後漢書．卷二三．竇融列傳》：「忠臣則酸鼻流涕，義士則曠若發矇。」唐．元稹〈春晚寄楊十二兼呈趙八〉詩：「獨此愛時景，曠懷雲外心。」_x000D_
3.適婚而無配偶的。如：「曠男怨女」。《孟子．梁惠王下》：「內無怨女，外無曠夫。」_x000D_
[動]_x000D_
1.空缺、荒廢。如：「曠課」、「曠職」、「曠日廢時」。《孟子．離婁上》：「曠安宅而弗居，舍正路而不由，哀哉！」唐．韓愈〈爭臣論〉：「蓋孔子嘗為委吏矣，嘗為乘田矣，亦不敢曠其職。」_x000D_
2.隔。《孔子家語．卷四．六本》：「庭不曠山，不直地。」漢．劉楨〈贈五官中郎將〉詩四首之二：「自夏涉玄冬，彌曠十餘旬。」_x000D_
[名]_x000D_
無配偶的成年人。漢．劉向《說苑．卷九．正諫》：「其妻怒而去之，臣笑其曠也。」</t>
  </si>
  <si>
    <t>[名]
1.儲藏於地層中，具有經濟價值的礦物或岩石。如：「煤礦」、「鐵礦」。</t>
  </si>
  <si>
    <t>(二)（又音）ㄍㄨㄥˇ gǒng（04392）</t>
  </si>
  <si>
    <t>纊</t>
  </si>
  <si>
    <t>[名]
棉絮。《小爾雅．廣服》：「纊，綿也。絮之細者曰纊。」《南史．卷七三．孝義傳上．庾道愍傳》：「冬日不衣綿纊，夏日不解衰絰。」宋．陸游〈九月十六日夜夢駐軍河外遣使招降諸城覺而有作〉詩：「誰言鐵衣冷徹骨，感義懷恩如挾纊。」</t>
  </si>
  <si>
    <t>空</t>
  </si>
  <si>
    <t>ㄎㄨㄥ</t>
  </si>
  <si>
    <t>kōng</t>
  </si>
  <si>
    <t>[形]
1.沒有東西的。如：「空屋」、「空手而回」、「赤手空拳」。
2.不切實際的。如：「空言」、「空論」。《史記．卷六三．老子韓非傳》：「畏累虛、亢桑子之屬，皆空語無事實。」
3.廣闊、高曠。如：「海闊天空」。《詩經．小雅．白駒》：「皎皎白駒，在彼空谷。」漢．毛亨．傳：「空，大也。」
[副]
1.徒然、白白的。如：「空想」、「空歡喜一場」。唐．王勃〈滕王閣序〉：「孟嘗高潔，空懷報國之情。」宋．岳飛〈滿江紅．怒髮衝冠〉詞：「莫等閒，白了少年頭，空悲切。」
2.只、僅僅。唐．李頎〈古從軍行〉：「年年戰骨埋荒外，空見蒲桃入漢家。」
[名]
1.天、天際。如：「高空」、「晴空」、「星空」、「領空」、「皓月當空」。宋．蘇軾〈赤壁賦〉：「舳艫千里，旌旗蔽空。」
2.虛無所有。如：「撲空」、「買空」、「賣空」。唐．白居易〈廬山草堂記〉：「堂西倚北崖右趾，以剖竹架空，引崖上泉。」
3.佛教認為一切事物的現象都有各自的因緣，並無實體的概念。如：「空門」、「色即是空，空即是色。」</t>
  </si>
  <si>
    <t>(二)ㄎㄨㄥˋ kòng（04708）</t>
  </si>
  <si>
    <t>倥</t>
  </si>
  <si>
    <t>(二)ㄎㄨㄥˇ kǒng（04706）</t>
  </si>
  <si>
    <t>涳</t>
  </si>
  <si>
    <t>參見「涳濛」條。</t>
  </si>
  <si>
    <t>悾</t>
  </si>
  <si>
    <t>參見「悾款」、「悾悾」等條。</t>
  </si>
  <si>
    <t>(二)ㄎㄨㄥˇ kǒng（04707）</t>
  </si>
  <si>
    <t>崆</t>
  </si>
  <si>
    <t>箜</t>
  </si>
  <si>
    <t>參見「箜篌」條。</t>
  </si>
  <si>
    <t>孔</t>
  </si>
  <si>
    <t>ㄎㄨㄥˇ</t>
  </si>
  <si>
    <t>kǒng</t>
  </si>
  <si>
    <t>[名]
1.窟窿、洞穴。如：「穿孔」、「針孔」、「毛細孔」、「千瘡百孔」、「無孔不入」。《列子．仲尼》：「子心六孔流通，一孔不達。」
2.孔子的簡稱。如：「孔廟」、「孔孟學說」。《淮南子．俶真》：「孔墨之弟子皆以仁義之術教導於世。」
3.姓。如漢代有孔融，唐代有孔穎達。
[形]
1.通達的。《漢書．卷九六．西域傳上．婼羌傳》：「去長安六千三百里，辟在西南，不當孔道。」
2.大。《老子》第二一章：「孔德之容，惟道是從。」
[副]
甚、很、非常。如：「需款孔急」。《文選．枚乘．七發》：「毅武孔猛，袒裼身薄。」《清史稿．卷二〇．文宗本紀》：「甲子，詔軍務未竣，需材孔亟，其有知兵之人，所在保舉錄用。」</t>
  </si>
  <si>
    <t>恐</t>
  </si>
  <si>
    <t>[動]
1.害怕、畏懼。如：「驚恐」、「惶恐」、「爭先恐後」、「有恃無恐」。《史記．卷七七．魏公子傳》：「魏王恐，使人止晉鄙，留軍壁鄴。」唐．柳宗元〈三戒．黔之驢〉：「驢一鳴，虎大駭遠遁，以為且噬己也，甚恐。」
2.威脅、使害怕。如：「恐嚇」。《漢書．卷八〇．宣元六王傳．淮陽憲王劉欽傳》：「王不許，博辭去，令弟光恐云王遇大人益解，博欲上書為大人乞骸骨去。」唐．賈島〈暮過山村〉詩：「怪禽啼曠野，落日恐行人。」
[副]
大概、或者。表疑慮不定的語氣。如：「恐怕」、「恐未必如此」。唐．崔顥〈長干曲〉四首之一：「停船暫借問，或恐是同鄉。」</t>
  </si>
  <si>
    <t>參見「倥傯」條。</t>
  </si>
  <si>
    <t>(一)ㄎㄨㄥ kōng（04699）</t>
  </si>
  <si>
    <t>參見「悾憁」條。</t>
  </si>
  <si>
    <t>(一)ㄎㄨㄥ kōng（04701）</t>
  </si>
  <si>
    <t>ㄎㄨㄥˋ</t>
  </si>
  <si>
    <t>kòng</t>
  </si>
  <si>
    <t>[名]_x000D_
1.閒暇的時間或閒置的空間。如：「撥空」、「沒空」、「填空」。宋．孟元老《東京夢華錄．卷三．諸色雜賣》：「或軍營放停，樂人動鼓樂於空閑，就坊巷引小兒婦女觀看，散糖果子之類，謂之『賣梅子』，又謂之『把街』。」《醒世恆言．卷三．賣油郎獨占花魁》：「因你不得工夫，擔閣他一月有餘了。你今日幸而得空，做娘的留他在此伴你。」_x000D_
2.間隙、可乘之機。元．馬致遠《漢宮秋》第二折：「不想皇帝親幸，問出端的，要將我加刑，我得空逃走了。」《喻世明言．卷一．蔣興哥重會珍珠衫》：「這里婆子捉個空，招著陳大郎一溜溜進門來。」_x000D_
[動]_x000D_
1.騰出、讓出時間或空間。如：「空出一點時間。」「文章開頭須空兩格。」三國魏．王粲〈從軍〉詩五首之一：「軍人多飫饒，人馬皆溢肥，徒行兼乘還，空出有餘資，拓地三千里，往返速若飛。」《醒世恆言．卷三〇．李汧公窮邸遇俠客》：「不瞞客官說，小店房頭，沒有個不潔淨的。如今也止空得一間在此。」_x000D_
2.缺乏、短少。如：「虧空」。晉．陶淵明〈五柳先生傳〉：「環堵蕭然，不蔽風日，短褐穿結，簞瓢屢空，晏如也。」唐．白居易〈春憶二林寺舊遊因寄朗滿晦三上人〉詩：「最慚僧社題橋處，十八人名空一人。」_x000D_
[形]_x000D_
尚未利用的，或缺少東西的。如：「空位」。《儒林外史》第二〇回：「請幾眾師父替我念一卷經，超度我生天。棺柩便尋那裡一塊空地把我寄放著。」</t>
  </si>
  <si>
    <t>(一)ㄎㄨㄥ kōng（04698）</t>
  </si>
  <si>
    <t>控</t>
  </si>
  <si>
    <t>[動]
1.拉弓。《說文解字．手部》：「控，引也。」清．段玉裁．注：「引者，開弓也。」文選．班固〈西都賦〉：「弦不再控，矢不單殺。」明．宋濂〈秦士錄〉：「諸將軍控弦引矢，追至大洋，且戰且卻。」
2.操縱、支配。如：「控制」、「遙控」。唐．王勃〈滕王閣序〉：「襟三江而帶五湖，控蠻荊而引甌越。」《董西廂》卷七：「沉醉東風裡，控驕馬，鞭裊蘆花。」
3.投、擲。《莊子．逍遙遊》：「我決起而飛，搶榆枋時則不至，則控於地而已矣。」
4.投訴、告發。如：「指控」、「誣控」、「控訴」。《二十年目睹之怪現狀》第二四回：「斷不得公，自然上控。」
5.北平方言。指倒懸容器口，使裡面的液體流淨。如：「將沙拉油瓶控一控，還足夠炒一次菜。」</t>
  </si>
  <si>
    <t>鞚</t>
  </si>
  <si>
    <t>[名]
1.拴在馬脖子上，用以控制馬的皮帶或繩索。晉．傅玄〈良馬賦〉：「縱鞍則行，攬鞚則止。」唐．李白〈走筆贈獨孤駙馬〉詩：「銀鞍紫鞚照雲日，左顧右盼生光輝。」
2.比喻馬。唐．杜甫〈麗人行〉：「黃門飛鞚不動塵，御廚絲絡送八珍。」宋．蘇軾〈次韻李公擇梅花〉詩：「杯傾笛中吟，帽拂果下鞚。」
[動]
操縱、駕馭。宋．蘇軾〈虢國夫人夜遊圖〉詩：「佳人自鞚玉花驄，翩如驚燕踏飛龍。」《聊齋志異．卷九．鳳仙》：「遇女郎騎款段馬，老僕鞚之，摩肩過。」</t>
  </si>
  <si>
    <t>ㄏㄚ</t>
  </si>
  <si>
    <t>hā</t>
  </si>
  <si>
    <t>[動]
1.張口舒氣。如：「哈氣」、「哈欠」。《浮生六記．卷二．閒情記趣》：「捉鴨開口哈之，婢嫗偶釋手，鴨顛其頸作吞噬狀，驚而大哭。」
2.彎。如：「鞠躬哈腰」。
[擬]
形容笑聲。如：「哈哈大笑」。
[歎]
表得意或滿意。如：「哈！這下你慘了。」
[名]
姓。如明代有哈銘。</t>
  </si>
  <si>
    <t>(二)ㄏㄚˇ hǎ（04716）(三)ㄎㄚ kā（04398）</t>
  </si>
  <si>
    <t>鉿</t>
  </si>
  <si>
    <t>[名]
（hafnium，Hf）化學元素。原子序72。灰色晶體，化學性質似鋯，機械性能佳且能抗蝕，可用作核反應器的控制桿材料。鉿的鎢或鉬合金可用作高壓放電管的電極。</t>
  </si>
  <si>
    <t>𨉣</t>
  </si>
  <si>
    <t>[動]
彎腰。如：「點頭𨉣腰」。</t>
  </si>
  <si>
    <t>ㄏㄚˊ</t>
  </si>
  <si>
    <t>há</t>
  </si>
  <si>
    <t>參見「蛤蟆」條。</t>
  </si>
  <si>
    <t>(一)ㄍㄜˊ gé（03941）</t>
  </si>
  <si>
    <t>蝦</t>
  </si>
  <si>
    <t>參見「蝦蟆」條。</t>
  </si>
  <si>
    <t>(一)ㄒㄧㄚ xiā（06884）</t>
  </si>
  <si>
    <t>ㄏㄚˇ</t>
  </si>
  <si>
    <t>hǎ</t>
  </si>
  <si>
    <t>參見「哈巴」條。</t>
  </si>
  <si>
    <t>(一)ㄏㄚ hā（04711）(三)ㄎㄚ kā（04398）</t>
  </si>
  <si>
    <t>呵</t>
  </si>
  <si>
    <t>ㄏㄜ</t>
  </si>
  <si>
    <t>hē</t>
  </si>
  <si>
    <t>[動]_x000D_
1.大聲責罵。如：「呵責」、「呵叱」。《韓非子．外儲說左上》：「惠嗣公使人偽關市，關市呵難之。」南朝梁．劉勰《文心雕龍．事類》：「管庫隸臣，呵強秦使鼓缶。」_x000D_
2.呼氣、哈氣。如：「呵氣」、「呵手」、「呵凍」。唐．韓愈〈元和聖德詩〉：「紫焰噓呵，高靈下墮。」宋．蘇軾〈四時詞〉四首之四：「起來呵手畫雙鴉，醉臉輕勻襯眼霞。」_x000D_
3.吆喝。唐．韓愈〈送李愿歸盤谷序〉：「武夫前呵，從者塞途。」_x000D_
[擬]_x000D_
形容笑聲。如：「呵呵大笑」。_x000D_
[歎]_x000D_
表示驚訝的語氣。常配合語境，單獨成句。如：「呵！來了這麼多的人。」</t>
  </si>
  <si>
    <t>(二)ㄛ ō（10229）</t>
  </si>
  <si>
    <t>訶</t>
  </si>
  <si>
    <t>[動]
大聲斥責、怒罵。通「呵」。《後漢書．卷八〇．文苑傳下．禰衡傳》：「而衡言不遜順，祖慚，乃訶之。」《晉書．卷五三．愍懷太子傳》：「成都王穎見而訶謐，謐意愈不平。」</t>
  </si>
  <si>
    <t>喝</t>
  </si>
  <si>
    <t>[動]
飲用液體、飲料或流質食物。如：「喝水」、「喝酒」、「喝稀飯」。</t>
  </si>
  <si>
    <t>(二)ㄏㄜˋ hè（04760）(三)ㄧㄝˋ yè（10768）</t>
  </si>
  <si>
    <t>禾</t>
  </si>
  <si>
    <t>ㄏㄜˊ</t>
  </si>
  <si>
    <t>hé</t>
  </si>
  <si>
    <t>[名]
1.穀類植物的總稱。《詩經．豳風．七月》：「十月納禾稼。」唐．李紳〈古風〉詩二首之二：「鋤禾日當午，汗滴禾下土。」
2.姓。如宋代有禾實。
3.二一四部首之一。</t>
  </si>
  <si>
    <t>和</t>
  </si>
  <si>
    <t>[名]
1.各數相加的總數。如：「總和」、「二加三的和是五。」
2.適中、恰到好處、剛柔並濟的常道。《論語．學而》：「禮之用，和為貴。」《禮記．中庸》：「和也者，天下之達道也。」
3.和平、停戰。如：「講和」、「議和」。《孫子．行軍》：「無約而請和者，謀也。」《戰國策．趙策三》：「故不若亟割地求和，以疑天下慰秦心。」
4.日本的別名。如：「大和民族」。
5.姓。如漢代有和武、晉代有和嶠。
[動]
1.敦睦、調諧。如：「和好如初」。《左傳．隱公四年》：「臣聞以德和民，不聞以亂。」
2.連同。如：「和衣而眠」。
[形]
1.溫順的、安詳的。如：「和藹」、「心平氣和」、「和顏悅色」。南朝陳．徐陵〈晉陵太守王勵德政碑〉：「風神雅淡，識量寬和。」唐．張說〈岳陽早霽南樓〉詩：「心阻意徒馳，神和生自足。」
2.溫暖的。如：「和煦」、「風和日麗」。唐．白居易〈首夏病間〉詩：「清和好時節，微風吹裌衣。」
[介]
對、向。如：「你和尊長講話的態度要恭敬。」《紅樓夢》第八回：「好幾處都有，都稱贊得了不得，還和我們尋呢！」
[連]
與、跟。如：「我和他是好朋友。」宋．岳飛〈滿江紅．怒髮衝冠〉詞：「三十功名塵與土，八千里路雲和月。」</t>
  </si>
  <si>
    <t>(二)˙ㄏㄨㄛ huo（05069）(三)ㄏㄜˋ hè（04754）(四)ㄏㄨㄛˋ huò（05041）(五)ㄏㄢˋ hàn（04883）(六)ㄏㄨˊ hú（04952）</t>
  </si>
  <si>
    <t>盉</t>
  </si>
  <si>
    <t>[名]
古代用來調和酒與水的器具。一般為深腹、圓口的青銅器。盛行於商和西周。清．王國維《觀堂集林．卷三．藝林三．說盉》：「余謂盉者，蓋和水於酒之器，所以節酒之厚薄者也。」</t>
  </si>
  <si>
    <t>龢</t>
  </si>
  <si>
    <t xml:space="preserve">龠 </t>
  </si>
  <si>
    <t>同「和」(一)。</t>
  </si>
  <si>
    <t>[動]
1.關閉、合攏。《說文解字．亼部》：「合，合口也。」如：「他笑得合不上嘴。」《戰國策．燕策二》：「蚌合而拑其喙。」
2.會、聚。如：「集合」、「聚合」、「悲歡離合」。《呂氏春秋．孝行覽．遇合》：「合大夫而告之。」《後漢書．卷一九．耿弇傳》：「將軍前在南陽建此大策，常以為落落難合，有志者事竟成也！」
3.交媾、交配。如：「交合」。《老子》第五十五章：「未知牝牡之合而全作，精之至也。」
4.比對、對照。《孟子．離婁下》：「得志行乎中國，若合符節，先聖後聖，其揆一也。」漢．桓寬《鹽鐵論．論菑》：「夫道古者稽之今，言遠者合之近。」
5.相符、不違背。如：「合法」、「合身」、「合格」、「合意」。
6.調和、配製。《聊齋志異．卷一〇．葛巾》：「吾家葛巾娘子，手合鴆湯，其速飲！」
7.交戰、交鋒。《左傳．成公二年》：「自始合而矢貫余手。」漢．王充《論衡．福虛》：「今宋楚相攻，兩軍未合。」
8.折算。如：「一公斤合二點二磅。」
[名]
1.配偶。如：「天作之合」。
2.盛放物品的器皿。通「盒」。唐．白居易〈長恨歌〉：「唯將舊物表深情，鈿合金釵寄將去。」
3.量詞。計算交手次數的單位。相當於「回」、「次」。《五代史平話．梁史．卷上》：「鬥經三合，不見輸贏。」
4.姓。如春秋時宋國有合左師。
[形]
1.全部的、整個的。如：「合族」、「合家歡」。
2.和諧、融洽。如：「百年好合」。《詩經．小雅．常棣》：「妻子好合，如鼓瑟琴。」
[副]
1.共同、一起。如：「合抱」、「合圍」、「合唱」、「合編」。
2.應該。如：「這件公事理合呈請報備。」唐．白居易〈與元九書〉：「始知文章合為時而著，歌詩合為事而作。」</t>
  </si>
  <si>
    <t>(二)ㄍㄜˇ gě（03957）</t>
  </si>
  <si>
    <t>[名]
1.人名用字。如三國時魏有張郃。
2.(二)之又音。</t>
  </si>
  <si>
    <t>(二)ㄍㄜˊ gé（03940）</t>
  </si>
  <si>
    <t>盒</t>
  </si>
  <si>
    <t>[名]
1.一種有底、蓋，可以相合的盛物器具。如：「禮盒」、「紙盒」、「餅乾盒」、「火柴盒」、「鉛筆盒」。
2.量詞。計算盒裝物的單位。如：「一盒糖果」、「三百盒喜餅」。</t>
  </si>
  <si>
    <t>[動]
閉。通「合」、「闔」。如：「為了趕工，他已三天三夜未曾閤眼。」
[形]
全部、滿。通「闔」。如：「閤府清泰」、「閤第光臨」。</t>
  </si>
  <si>
    <t>(一)ㄍㄜˊ gé（03942）</t>
  </si>
  <si>
    <t>何</t>
  </si>
  <si>
    <t>[代]
1.那裡、何處。《史記．卷七〇．張儀傳》：「忠且見棄，軫不之楚何歸乎？」唐．王勃〈滕王閣〉詩：「閣中帝子今何在？檻外長江空自流。」
2.誰。《西遊記》第八回：「鬧天宮攪亂蟠桃者，何也？」
[形]
什麼。如：「何故」、「何時」。《論語．述而》：「伯夷叔齊何人也？」宋．蘇軾〈水調歌頭．明月幾時有〉詞：「不知天上宮闕，今夕是何年？」
[副]
1.為什麼。如：「何必」、「何不」、「何樂不為」。《論語．先進》：「夫子何哂由也？」《孟子．滕文公上》：「且許子何不為陶冶？」
2.豈、怎麼。如：「何止」、「何足掛齒」。南朝宋．劉義慶《世說新語．方正》：「今主非堯、舜，何能無過？」宋．蘇軾〈水調歌頭．明月幾時有〉詞：「起舞弄清影，何似在人間？」
3.多麼。表示程度。如：「何等」、「何其不幸」。《漢書．卷六五．東方朔傳》：「割之不多，又何廉也！歸遺細君，又何仁也！」唐．李白〈古風〉詩五九首之三：「秦王掃六合，虎視何雄哉！」
[名]
姓。如三國時魏國有何晏。</t>
  </si>
  <si>
    <t>河</t>
  </si>
  <si>
    <t>[名]
1.水道的通稱。如：「河流」、「運河」。唐．杜甫〈春望〉詩：「國破山河在，城春草木深。」
2.黃河的簡稱。如：「河套」。
3.成河川狀的群體。如：「星河」、「銀河」。
4.姓。如南北朝時有河禎。</t>
  </si>
  <si>
    <t>(一)ㄎㄜ kē（04411）</t>
  </si>
  <si>
    <t>荷</t>
  </si>
  <si>
    <t>[名]_x000D_
植物名。「荷花」之簡稱。參見「荷花」條。</t>
  </si>
  <si>
    <t>(二)ㄏㄜˋ hè（04758）</t>
  </si>
  <si>
    <t>劾</t>
  </si>
  <si>
    <t>[動]
檢舉、揭發不法行為。如：「彈劾」、「糾劾」。《史記．卷八八．蒙恬傳》：「太子立為二世皇帝，而趙高親近，日夜毀惡蒙氏，求其罪過，舉劾之。」</t>
  </si>
  <si>
    <t>核</t>
  </si>
  <si>
    <t>[名]
1.果實內保護果仁，具硬質外殼部分。如：「果核」、「杏核」、「桃核」。
2.物體中像核的部分。如：「細胞核」、「原子核」。
3.比喻事物的中心部分。漢．王充《論衡．量知》：「文吏不學，世之教無核也。」
4.原子核的簡稱。如：「核能」、「核爆」。
[動]
對照、審查。如：「核對」、「核算」。《漢書．卷二三．刑法志》：「其審核之，務準古法，朕將盡心覽焉。」
[形]
精確、詳實。《漢書．卷六二．司馬遷傳．贊曰》：「其文直，其事核。」</t>
  </si>
  <si>
    <t>閡</t>
  </si>
  <si>
    <t>[動]
阻隔、妨礙。《文選．張衡．西京賦》：「右有隴坻之隘，隔閡華戎。」南朝宋．劉義慶《世說新語．規箴》：「夷甫晨起，見錢閡行，呼婢曰：『舉卻阿堵物。』」</t>
  </si>
  <si>
    <t>曷</t>
  </si>
  <si>
    <t>[代]
什麼時候。《詩經．王風．君子于役》：「君子于役，不知其期，曷至哉？」三國魏．曹植〈平原懿公主誄〉：「扃關一闔，曷其復晰？」
[副]
1.何、為何。《書經．盤庚中》：「曷虐朕民？」《文選．陶淵明．歸去來辭》：「寓形宇內復幾時，曷不委心任去留？」
2.何不。清．王士禎《池北偶談．卷二三．談異四．濮州女子》：「此地不久必大亂，不可留也，曷避之？」《清史稿．卷四七五．洪秀全傳》：「其黨張遂謀曰：『王得軍心，何鬱鬱受人制？中原不易圖，曷入川作玄德，成鼎足之業？』」
3.豈、難道。《荀子．彊國》：「眾庶百姓皆以貪利爭奪為俗，曷若是而可以持國乎？」《後漢書．卷三五．曹襃傳．論曰》：「禮云禮云，曷其然哉！」</t>
  </si>
  <si>
    <t>[名]
反流的水。唐．柳宗元〈袁家渴記〉：「楚越之間方言，謂水之反流者為渴，音若衣褐之褐。渴上與南館高嶂合，下與百家瀨合。」</t>
  </si>
  <si>
    <t>(一)ㄎㄜˇ kě（04440）(二)ㄐㄧㄝˊ jié（05583）</t>
  </si>
  <si>
    <t>褐</t>
  </si>
  <si>
    <t>[名]
1.粗毛、布製成的衣服。《孟子．滕文公上》：「許子衣褐。」漢．趙壹〈魯生歌〉：「被褐懷金玉，蘭蕙化為芻。」
2.比喻貧窮卑賤的人。《左傳．哀公十三年》：「旨酒一盛兮，余與褐之父睨之。」晉．杜預．注：「褐，寒賤之人。」
3.黃黑色。如：「茶褐色」。
4.姓。如明代有褐奎。</t>
  </si>
  <si>
    <t>蝎</t>
  </si>
  <si>
    <t>[名]
蝕木的蛀蟲。三國魏．嵇康〈答向子期難養生論〉：「故蝎盛則木朽，欲勝則身枯。」</t>
  </si>
  <si>
    <t>(二)ㄒㄧㄝ xiē（▲06925）</t>
  </si>
  <si>
    <t>鞨</t>
  </si>
  <si>
    <t>[名]
1.鞋子。清．王念孫《廣雅疏證．卷七下．釋器》：「鞨，履也。」
2.參見「靺鞨」條。</t>
  </si>
  <si>
    <t>鶡</t>
  </si>
  <si>
    <t>[名]
動物名。鳥綱雞形目。似雞而大，體青色，有毛角，性勇健。</t>
  </si>
  <si>
    <t>[名]
1.粗劣下等的絲。《說文解字．糸部》：「紇，絲下也。」
2.人名。孔子的父親。《左傳．襄公十年》：「郰人紇抉之以出門者。」晉．杜預．注：「紇郰邑大夫，仲尼父，叔梁紇也。」
3.參見「回紇」條。</t>
  </si>
  <si>
    <t>(二)ㄍㄜ gē（03923）</t>
  </si>
  <si>
    <t>(一)ㄎㄜ kē（04419）</t>
  </si>
  <si>
    <t>齕</t>
  </si>
  <si>
    <t>[動]
用牙齒咬。《荀子．正論》：「彼乃將食其肉而齕其骨也。」《聊齋志異．卷四．促織》：「俄見小蟲躍起，張尾伸鬚，直齕敵領。」</t>
  </si>
  <si>
    <t>害</t>
  </si>
  <si>
    <t>[副]
何不。同「曷」。《孟子．梁惠王上》：「時日害喪？予及女皆亡。」</t>
  </si>
  <si>
    <t>(一)ㄏㄞˋ hài（04781）</t>
  </si>
  <si>
    <t>盍</t>
  </si>
  <si>
    <t>[副]
1.何、為何，表示疑問。《管子．戒》：「中婦諸子謂宮人盍不出從乎？君將有行。」宋．蘇軾〈壬寅重九不預會獨遊普門寺僧閣有懷子由〉詩：「花開酒美盍言歸？來看南山冷翠微。」
2.何不，表示反問。《論語．公冶長》：「盍各言爾志？」《新唐書．卷八五．竇建德傳》：「祭酒計甚善，王盍用之？」
[名]
姓。如漢代有盍延。</t>
  </si>
  <si>
    <t>[形]
話多。《說文解字．口部》：「嗑，多言也。」
[動]
1.閉、合。《抱朴子．外篇．守塉》：「口張不能嗑，首俛不能仰。」
2.喝、食。《儒林外史》第三回：「我一天殺一個豬還賺不得錢把銀子，都把與你去丟在水裡，叫我一家老小嗑西北風。」</t>
  </si>
  <si>
    <t>(二)ㄎㄜˋ kè（04450）</t>
  </si>
  <si>
    <t>[副]
1.豈，表示反詰。同「盍」。《戰國策．秦策一》：「人生世上，勢位富厚，蓋可忽乎哉！」
2.為何，表示疑問。同「盍」。《莊子．養生主》：「文惠君曰：『譆！善哉！技蓋至此乎？』庖丁釋刀對曰：『臣之所好者，道也，進乎技矣。』」
3.何不，表示疑問或反詰。同「盍」。《禮記．檀弓上》：「晉獻公將殺其世子申生，公子重耳謂之曰：『子蓋言子之志於公乎？』世子曰：『不可，君安驪姬，是我傷公之心也。』」《史記．卷四七．孔子世家》：「子貢曰：『夫子之道至大也，故天下莫能容夫子。夫子蓋少貶焉？』」</t>
  </si>
  <si>
    <t>(一)ㄍㄞˋ gài（03981）(二)ㄍㄜˇ gě（03963）</t>
  </si>
  <si>
    <t>闔</t>
  </si>
  <si>
    <t>[名]
門扉。《爾雅．釋宮》：「闔謂之扉。」《荀子．儒效》：「故外闔不閉，跨天下而無蘄。」
[動]
掩蓋、關閉。《淮南子．脩務》：「攄書明指以示之，雖闔棺亦不恨矣。」《文選．潘岳．寡婦賦》：「靜闔門以窮居兮，塊煢獨而靡依。」
[形]
全部。如：「闔府」、「闔第」。《漢書．卷六．武帝紀》：「今或至闔郡而不薦一人。」《文選．劉琨．勸進表》：「外以絕敵人之志，內以固闔境之情。」</t>
  </si>
  <si>
    <t>涸</t>
  </si>
  <si>
    <t>[形]
水乾竭、乾枯。如：「乾涸」。唐．王勃〈滕王閣序〉：「酌貪泉而覺爽，處涸轍以猶懽。」《紅樓夢》第五回：「下面有一池沼，其中水涸泥乾，蓮枯藕敗。」</t>
  </si>
  <si>
    <t>(二)ㄏㄠˋ hào（04809）</t>
  </si>
  <si>
    <t>[名]
動物名。食肉目犬科。即貍，銳頭尖鼻，耳短小而圓，四肢短，毛褐色或黑灰色。於夜間活動，以小動物、魚類等為食。其皮為珍貴裘料。</t>
  </si>
  <si>
    <t>(二)（語音）ㄏㄠˊ háo（04798）(三)ㄇㄛˋ mò（01094）</t>
  </si>
  <si>
    <t>[名]
1.鳥類羽毛中的硬梗。《說文解字．羽部》：「翮，羽莖也。」《周禮．地官．羽人》：「掌以時徵羽翮之政。」
2.翅膀。如：「奮翮高飛」。
3.量詞。古時用於羽毛。《戰國策．楚策四》：「奮其六翮而凌清風，飄搖乎高翔。」</t>
  </si>
  <si>
    <t>(二)（又音）ㄍㄜˊ gé（03951）</t>
  </si>
  <si>
    <t>礉</t>
  </si>
  <si>
    <t>[形]
苛刻、嚴厲。《史記．卷六三．老子韓非傳．太史公曰》：「韓子引繩墨，切事情，明是非，其極慘礉少恩。」</t>
  </si>
  <si>
    <t>覈</t>
  </si>
  <si>
    <t>[動]
檢驗、查核。如：「檢覈」、「覈對」。《文選．張衡．東京賦》：「其以溫故知新，研覈是非。」南朝梁．劉勰《文心雕龍．辨騷》：「將覈其論，必徵言焉。」
[形]
詳實、嚴謹。《後漢書．卷四〇．班彪傳下》：「遷文直而事覈，固文贍而事詳。」《北史．卷七二．李德林傳》：「善屬文，詞覈而理暢。」
[副]
深刻。《後漢書．卷六八．許劭傳》：「初，劭與靖俱有高名，好共覈論鄉黨人物。」
[名]
米麥舂餘的粗屑。《漢書．卷四〇．陳平傳》：「其嫂疾平之不親家生產，曰：『亦食糠覈耳。』」宋．范成大〈四時田園雜興〉詩六〇首之四五：「不惜兩鍾輸一斛，尚贏糠覈飽兒郎。」</t>
  </si>
  <si>
    <t>ㄏㄜˋ</t>
  </si>
  <si>
    <t>hè</t>
  </si>
  <si>
    <t>[動]
1.聲音相應。如：「附和」、「唱和」。《資治通鑑．卷二三六．唐紀五十二．順宗永貞元年》：「絪等從而和之，議始定。」宋．蘇軾〈赤壁賦〉：「客有吹洞簫者，倚歌而和之。」
2.依原詩格律或內容作詩以酬答他人。唐．白居易〈和微之詩．序〉：「微之又以近作四十三首寄來，命僕繼和。」</t>
  </si>
  <si>
    <t>(一)ㄏㄜˊ hé（04721）(二)˙ㄏㄨㄛ huo（05069）(四)ㄏㄨㄛˋ huò（05041）(五)ㄏㄢˋ hàn（04883）(六)ㄏㄨˊ hú（04952）</t>
  </si>
  <si>
    <t>郝</t>
  </si>
  <si>
    <t>(一)（語音）ㄏㄠˇ hǎo（04801）</t>
  </si>
  <si>
    <t>赫</t>
  </si>
  <si>
    <t>[形]
1.盛紅的樣子。《說文解字．赤部》：「赫，大赤貌。」《詩經．邶風．簡兮》：「赫如渥赭，公言錫爵。」漢．毛亨．傳：「赫，赤貌。」
2.明亮。《荀子．天論》：「故日月不高，則光暉不赫。」
3.顯明、盛大。如：「顯赫」、「威赫」。《詩經．商頌．那》：「於赫湯孫，穆穆厥聲。」唐．王績〈過漢故城〉詩：「何其赫隆盛，自謂保靈長。」
[副]
怒。《詩經．大雅．皇矣》：「王赫斯怒，爰整其旅。」漢．鄭玄．箋：「赫，怒意。」《漢書．卷五一．枚乘傳》：「漢知吳之有吞天下之心也，赫然加怒。」
[動]
1.顯耀。《詩經．大雅．生民》：「以赫厥靈，上帝不寧。」唐．孔穎達．正義：「以赫是明貌，故為顯也。」三國魏．阮籍〈采薪者歌〉：「留侯起亡虜，威武赫荒夷。」
2.恫嚇、恐嚇。通「嚇」。《詩經．大雅．桑柔》：「既之陰女，反予來赫。」漢．鄭玄．箋：「口距人謂之赫。」
3.分解。《續漢書志．第五．禮儀志中》：「凡使十二神追惡凶，赫女軀，拉女幹，節解女肉，抽女肺腸。」
[名]
1.赫茲的簡稱。參見「赫茲」條。
2.姓。如明代有赫德。</t>
  </si>
  <si>
    <t>嚇</t>
  </si>
  <si>
    <t>[動]
用言語怒叱、武力逼迫，使人害怕。如：「恐嚇」、「威嚇」、「嚇阻」。《莊子．秋水》：「今子欲以子之梁國而嚇我邪。」《文選．鮑照．蕪城賦》：「飢鷹厲吻，寒鴟嚇雛。」
[歎]
1.表示驚訝、讚嘆的語氣。如：「嚇！這大廈好高哦！」、「嚇！這話講得還真好。」
2.表示不滿或疑問的語氣。如：「嚇！他做的越來越過分！」、「嚇！規矩是這樣訂的嗎？」</t>
  </si>
  <si>
    <t>(二)ㄒㄧㄚˋ xià（06918）</t>
  </si>
  <si>
    <t>[動]
1.用肩膀扛著。如：「荷鋤」、「荷槍」。《漢書．卷五二．竇田灌韓傳．灌夫》：「身荷戟，馳不測之吳軍。」
2.承當、擔負。如：「不勝負荷」。漢．張衡〈東京賦〉：「荷天下之重任，匪怠皇以寧靜。」
3.蒙受。今多用書信中，表謝意。如：「感荷」、「為荷」。《左傳．昭公三年》：「一為禮於晉，猶荷其祿，況以禮終始乎？」唐．駱賓王〈代徐敬業討武氏檄〉：「奉先帝之遺訓，荷本朝之厚恩。」</t>
  </si>
  <si>
    <t>(一)ㄏㄜˊ hé（04731）</t>
  </si>
  <si>
    <t>黑</t>
  </si>
  <si>
    <t>(一)（語音）ㄏㄟ hēi（04783）(三)ㄏㄟˇ hěi（04785）</t>
  </si>
  <si>
    <t>[動]
1.大聲呵斥。通「訶」、「呵」。如：「喝責」、「喝叱」。
2.高聲呼叫。如：「吆喝」。《紅樓夢》第六〇回：「當下尤氏、李紈、探春三人帶著平兒與眾媳婦走來，將四個喝住。」
[歎]
表示驚訝的語氣。如：「喝！你居然也來了。」</t>
  </si>
  <si>
    <t>(一)ㄏㄜ hē（04719）(三)ㄧㄝˋ yè（10768）</t>
  </si>
  <si>
    <t>猲</t>
  </si>
  <si>
    <t>[動]
1.恐懼、害怕。《戰國策．秦策一》：「秦雖欲深入，則狼顧，恐韓、魏之議其後也。是故恫疑虛猲，高躍而不敢進。」
2.威嚇、恐嚇。《漢書．卷一五．王子侯表上》：「坐縛家吏恐猲受賕，棄市。」唐．顏師古．注：「猲謂以威力脅人也。」</t>
  </si>
  <si>
    <t>(一)ㄒㄧㄝ xiē（06923）</t>
  </si>
  <si>
    <t>暍</t>
  </si>
  <si>
    <t>[動]
中暑。《說文解字．日部》：「暍，傷暑也。」《漢書．卷六．武帝紀》：「夏，大旱，民多暍死。」</t>
  </si>
  <si>
    <t>(二)（又音）ㄧㄝˋ yè（10769）</t>
  </si>
  <si>
    <t>賀</t>
  </si>
  <si>
    <t>[動]
慶祝。《說文解字．貝部》：「賀，以禮物相奉慶也。」如：「賀年」、「祝賀」、「慶賀」。《詩經．大雅．下武》：「受天之祐，四方來賀。」《史記．卷一〇七．魏其武安侯傳》：「夏，丞相取燕王女為夫人，有太后詔，召列侯宗室皆往賀。」
[名]
姓。如唐代有賀知章。</t>
  </si>
  <si>
    <t>嗃</t>
  </si>
  <si>
    <t>[形]
嚴厲。《易經．家人卦．九三》：「家人嗃嗃，悔厲吉。」</t>
  </si>
  <si>
    <t>參見「熇熇」條。</t>
  </si>
  <si>
    <t>(一)ㄏㄨˋ hù（04995）(二)ㄎㄠˇ kǎo（04483）</t>
  </si>
  <si>
    <t>翯</t>
  </si>
  <si>
    <t>參見「翯翯」條。</t>
  </si>
  <si>
    <t>豁</t>
  </si>
  <si>
    <t>鶴</t>
  </si>
  <si>
    <t>[名]
1.鳥綱鶴形目動物的通稱。頭小，頸、喙、腳皆細長，高三尺餘。羽毛白色或灰色，翼大善飛，鳴聲高朗。多生活於沼澤或平原水際，以小魚、昆蟲及穀類為食。種類甚多，大陸地區常見的有白鶴、灰鶴、丹頂鶴、蓑羽鶴等。鶴在傳說中是神仙的坐騎，也是長壽的象徵。
2.姓。如金代有鶴壽。
[形]
白色的。北周．庾信〈竹杖賦〉：「子老矣，鶴髮雞皮，蓬頭歷齒。」</t>
  </si>
  <si>
    <t>(二)（語音）ㄏㄠˊ háo（04799）</t>
  </si>
  <si>
    <t>咍</t>
  </si>
  <si>
    <t>ㄏㄞ</t>
  </si>
  <si>
    <t>hāi</t>
  </si>
  <si>
    <t>[動]
譏笑。《楚辭．屈原．九章．惜誦》：「行不群以巔越兮，又眾兆之所咍。」漢．王逸．注：「咍，笑也。楚人謂相啁笑曰咍。」唐．杜甫〈秋日荊南述懷三十韻〉：「休為貧士歎，任受眾人咍。」
[形]
喜悅、歡樂。唐．韓愈〈感春〉詩五首之四：「前隨杜尹拜表迴，笑言溢口何歡咍！」《西遊記》第五九回：「兩道壽眉遮碧眼，一張咍口露金牙。」
[歎]
表示慨嘆的語氣。通「嗨」。元．王實甫《西廂記．第四本．第一折》：「咍！怎不肯回過臉兒來？」《聊齋志異．卷九．佟客》：「咍！返矣！一頂綠頭巾，或不能壓人死耳！」</t>
  </si>
  <si>
    <t>[歎]
表示後悔、感傷的語氣。如：「咳！我怎麼忘了！」明．汪錂《春蕪記》第五齣：「咳！不意今日出來，惹了一場風月債。」</t>
  </si>
  <si>
    <t>(一)ㄎㄜˊ ké（04429）(二)ㄎㄚˇ kǎ（04403）</t>
  </si>
  <si>
    <t>嗨</t>
  </si>
  <si>
    <t>[歎]
表示傷感、惋惜、驚訝的語氣。通「咳」。元．馬致遠《漢宮秋》第三折：「嗨！可惜！可惜！昭君不肯入番，投江而死。」
[助]
表示親切的招呼語。為英語hi的音譯。如：「嗨！你怎麼也來了。」
[擬]
形容呼喝聲。如：「嗨唷」。元．關漢卿《蝴蝶夢》第二折：「嗨！嗨！嗨！一壁廂老夫主在地停尸。」</t>
  </si>
  <si>
    <t>孩</t>
  </si>
  <si>
    <t>ㄏㄞˊ</t>
  </si>
  <si>
    <t>hái</t>
  </si>
  <si>
    <t>[動]
1.小兒笑。通「咳」。《說文解字．口部》：「咳，小兒笑也。孩，古文咳從子。」《老子》第二〇章：「我獨泊兮其未兆，如嬰兒之未孩。」
2.視同嬰兒。《老子》第四九章：「歙歙為天下渾其心，聖人皆孩之。」
[名]
1.小兒、幼童。如：「小孩」、「孩童」。《文選．李密．陳情表》：「生孩六月，慈父見背。」
2.姓。如遼代有孩里。
[形]
幼小。《禮記．月令》：「毋覆巢，毋殺孩蟲。」</t>
  </si>
  <si>
    <t>[名]
臉部的下端，俗稱為「下巴」。唐．韓愈〈記夢〉詩：「石壇坡陀可坐臥，我手承頦肘拄座。」</t>
  </si>
  <si>
    <t>(二)（語音）ㄎㄜ kē（04408）(三)ㄎㄜˊ ké（04431）</t>
  </si>
  <si>
    <t>骸</t>
  </si>
  <si>
    <t>[名]
1.脛骨、小腿骨。《說文解字．骨部》：「骸，脛骨也。」清．段玉裁．注：「膝解為骸關，俠膝之骨為連胲。然則正謂脛骨為骸矣。」
2.骨的通稱。《公羊傳．宣公十五年》：「易子而食之，析骸而炊之。」漢．何休．解詁：「骸，人骨也。」唐．李白〈南奔書懷〉詩：「舟中指可掬，城上骸爭爨。」
3.身體、軀體。如：「形骸」、「屍骸」、「遺骸」。《呂氏春秋．孟春紀．重己》：「其為輿馬衣裘也，足以逸身暖骸而已矣。」《列子．黃帝》：「有七尺之骸，手足之異，戴髮含齒，倚而趣者，謂之人。」</t>
  </si>
  <si>
    <t>還</t>
  </si>
  <si>
    <t>[副]
1.仍舊、依然。如：「還是老樣子。」、「還是那麼年輕漂亮。」宋．歐陽修〈蝶戀花．誰道閒情拋棄久〉詞：「誰道閒情拋棄久，每到春來，惆悵還依舊。」
2.猶、尚。如：「時間還早。」、「還有事嗎？」唐．杜牧〈贈別〉詩二首之二：「蠟燭有心還惜別，替人垂淚到天明。」宋．陳與義〈中牟道中〉詩：「雨意欲成還未成，歸雲卻作伴人行。」
3.反而、卻。唐．白居易〈哭皇甫七郎中〉詩：「不得人間壽，還留身後名。」《西遊記》第八回：「橋下河裡雖結滿了冰，還有水聲從那冰下潺潺的流。」
4.已、已經。唐．杜荀鶴〈下第東歸將及故園有作〉詩：「上國獻詩還不遇，故園經亂又空歸。」《董西廂》卷五：「我眼巴巴的盼今宵，還二更左右不來到。」
5.更，表示程度。如：「今天比昨天還熱。」五代十國南唐．李煜〈相見歡．無言獨上西樓〉詞：「剪不斷，理還亂。」《紅樓夢》第五〇回：「他竟比蓋這園子還費工夫了。」
6.再，表示繼續、重複。如：「病好了，還得休息才行。」唐．孟浩然〈過故人莊〉詩：「待到重陽日，還來就菊花。」
7.居然、竟然。如：「還真有你的！」、「你還真有辦法。」
[連]
1.或者，表示有選擇。如：「你要吃飯，還是要吃麵？」、「這是一還是二？」
2.且、又，表示皆有。唐．韋莊〈女冠子．昨夜夜半〉詞：「半羞還半喜，欲去又依依。」</t>
  </si>
  <si>
    <t>(一)ㄏㄨㄢˊ huán（05168）(二)ㄒㄩㄢˊ xuán（07376）</t>
  </si>
  <si>
    <t>海</t>
  </si>
  <si>
    <t>ㄏㄞˇ</t>
  </si>
  <si>
    <t>hǎi</t>
  </si>
  <si>
    <t>[名]_x000D_
1.地球上鄰接大陸而小於洋的水域。如：「南海」、「黃海」、「地中海」。《漢書．卷二八．地理志上》：「又北播為九河，同為逆河，入于海。」唐．顏師古．注：「海，即渤海是也。」_x000D_
2.海水。《漢書．卷四九．爰盎鼂錯傳．鼂錯》：「吳王即山鑄錢，煮海為鹽。」漢．曹操〈與王脩書〉：「但恐旁人淺見，以蠡測海，為蛇畫足。」_x000D_
3.內陸的大湖或人工湖。如：「青海」、「洱海」。_x000D_
4.積聚眾多的人或同類事物。如：「棉海」、「人海」、「火海」。宋．陸游〈驛舍見故屏風畫海棠有感〉詩：「燕宮最盛號花海，霸國雄豪有遺跡。」《水滸傳》第八二回：「雖無炮龍烹鳳，端的是肉山酒海。當日盡皆大醉，各扶歸幕次裡安歇。」_x000D_
5.領域、淵藪。如：「苦海無邊」、「學海無涯」。《廣弘明集．卷二八下．南朝陳．文帝．無礙會捨身懺文》：「又以世相泡影、有為露電，愛河奔迅，欲海飛騰。」宋．陸游〈休日感興〉詩：「宦海風波實飽經，久將人世寄郵亭。」_x000D_
6.荒遠之地。《周禮．夏官司馬．校人》：「凡將事于四海山川，則飾黃駒。」漢．鄭玄．注：「四海，猶四方也。」_x000D_
7.較寬大的器皿。如：「茶海」。《水滸傳》第七五回：「再將九瓶都打開，傾在酒海內，卻是一般的淡薄村醪。」《紅樓夢》第四一回：「妙玉執壺，只向海內斟了約有一杯。」_x000D_
8.姓。如明代有海瑞。_x000D_
[形]_x000D_
巨大的。如：「海派」。唐．陳子昂〈我府君有周居士文林郎陳公墓誌銘〉：「公河目海口，鷰頷虎頭，性英雄而志尚元默。」《孤本元明雜劇．騙英布．第三折》：「俺主公豁達大度，海量寬洪，納諫如流，有堯舜禹湯之德。」_x000D_
[副]_x000D_
1.任意地、漫無目標地。如：「海選」。《紅樓夢》第七回：「他比不得咱們家的孩子們，胡打海摔的慣了。」《海上花列傳》第九回：「阿珠、阿金大都跟著海罵。蓮生氣得怔怔的，半晌說不出話。」_x000D_
2.狠狠地、嚴重地。如：「海扁」、「海削」、「他嚴重怠工，所以被老闆海刮了一頓。」</t>
  </si>
  <si>
    <t>醢</t>
  </si>
  <si>
    <t>[名]
肉醬。《三國志．卷二一．魏書．王粲傳》：「昔伯牙絕絃於鍾期，仲尼覆醢於子路。」
[動]
剁成肉醬。《戰國策．趙策四》：「魯仲連曰：『然吾將使秦王烹醢梁王。』」</t>
  </si>
  <si>
    <t>亥</t>
  </si>
  <si>
    <t>ㄏㄞˋ</t>
  </si>
  <si>
    <t>hài</t>
  </si>
  <si>
    <t>[名]
1.地支的第十二位。
2.時辰名。約當晚上九點至十一點。
3.排列次序用字，表示第十二。
4.姓。如戰國時晉國有亥唐。</t>
  </si>
  <si>
    <t>氦</t>
  </si>
  <si>
    <t>[名]
（helium，He）化學元素。原子序2。鈍氣元素之一。無色、無臭，是氫以外密度最小的氣體，可用來填充氣球、飛船等，使浮於空中。不易與其他元素化合，可用於充填燈泡、霓虹燈管。液態的氦可用作冷卻劑。</t>
  </si>
  <si>
    <t>駭</t>
  </si>
  <si>
    <t>[動]
1.吃驚、害怕。如：「驚駭」、「駭異」。《左傳．哀公二十三年》：「知伯視齊師馬駭，遂驅之。」《史記．卷一二．孝武本紀》：「一宮盡駭，以少君為神，數百歲人也。」
2.驚動、騷動。《穀梁傳．莊公二十五年》：「既戒鼓而駭眾，用牲可以已矣。」晉．陶淵明〈擬古詩〉九首之三：「眾蟄各潛駭，草木從橫舒。」
3.興起。《文選．宋玉．風賦》：「動沙堁，吹死灰，駭溷濁，揚腐餘。」《文選．陸機．辯亡論上》：「於是群雄蜂駭，義兵四合。」
[形]
可驚、可怕的。如：「驚濤駭浪」。</t>
  </si>
  <si>
    <t>[名]
1.災禍、禍患。如：「災害」、「蟲害」。《詩經．魯頌．閟宮》：「上帝是依，無災無害。」漢．王充《論衡．感虛》：「洪水時，氾濫中國，為民大害。」
2.壞處、缺點。如：「百害而無一利」。
3.關鍵、要地。如：「要害」。《文選．張衡．東京賦》：「守位以仁，不恃隘害。」
[動]
1.損壞、破壞。如：「損害」。
2.妨礙、不利。如：「妨害」、「害群之馬」、「害人之心不可有」。《漢書．卷五六．董仲舒傳》：「賢材雖未久，不害為輔佐。」
3.殺、傷。如：「殺害」、「謀財害命」。《三國志．卷一．魏書．武帝紀》：「董卓之亂，避難瑯邪，為陶謙所害。」《三國志平話．卷上》：「韓信、彭越、英布，立起漢朝天下，執謀三人道反，害其性命，是何道理？」
4.染病、得病。《清平山堂話本．合同文字記》：「害了六七日，一命嗚呼，已歸泉下。」《喻世明言．卷三六．宋四公大鬧禁魂張》：「侯興一個兒子，十來歲，叫做伴哥，發脾寒，害在床上。」
5.覺得、感到。如：「害羞」。元．馬致遠．《漢宮秋》第二折：「怕娘娘覺饑時吃一塊淡淡鹽燒肉，害渴時喝一杓兒酪和粥。」《紅樓夢》第四六回：「他雖害臊，我細細的告訴了他，他自然不言語，就妥了。」
6.使人受害。如：「你的無心之過，卻害他傷心了好久。」
7.妒忌、忌憚。《史記．卷八四．屈原賈生傳》：「上官大夫與之同列，爭寵而心害其能。」
[形]
無益的、不利於人的。如：「害蟲」、「害處」。《文選．孫綽．遊天台山賦》：「害馬已去，世事都捐。」</t>
  </si>
  <si>
    <t>(二)ㄏㄜˊ hé（04744）</t>
  </si>
  <si>
    <t>嗐</t>
  </si>
  <si>
    <t>[動]
張大口。《集韻．去聲．泰韻》：「嗐，大開口。」
[歎]
表示贊嘆、傷感或惋惜的語氣。通「嗨」。如：「嗐！老塞車，鐵定又要遲到了。」《紅樓夢》第六回：「嗐！我的姥姥，告訴不得你呢！」</t>
  </si>
  <si>
    <t>ㄏㄟ</t>
  </si>
  <si>
    <t>hēi</t>
  </si>
  <si>
    <t>[名]
1.深暗如墨或煤的顏色。與「白」相對。
2.大陸地區黑龍江省的簡稱。
3.姓。如清代有黑旻。
4.二一四部首之一。
[動]
吞沒、私貪。如：「一任總務下來，他黑了不少錢。」
[形]
1.昏暗無光。如：「黑暗」、「黑漆漆」。唐．李頻〈夏日題盩厔友人書齋〉詩：「黑處巢幽鳥，陰來叫候蟲。」
2.隱密的、不公開的。如：「黑名單」、「黑函」、「黑話」。
3.狠毒。如：「黑心肝」。元．無名氏《抱妝盒》第三折：「劉皇后，你左使這一片黑心腸做甚麼？」
4.專門從事非法的。與「白」相對。如：「黑道」、「黑市」、「黑槍」。</t>
  </si>
  <si>
    <t>(二)（讀音）ㄏㄜˋ hè（04759）(三)ㄏㄟˇ hěi（04785）</t>
  </si>
  <si>
    <t>[歎]
表示驚嘆、得意的語氣。如：「嘿！今年的收成真好呢！」《老殘遊記》第一三回：「嘿！這孩子可是不想活了！你瞧！老爺們叫你來為開心的，你可哭開自己咧！」
[助]
表示打招呼或引起注意。如：「嘿！最近好嗎？」、「嘿！請不要踐踏草皮。」
[擬]
形容笑聲。如：「他被呵癢就嘿嘿嘿的笑個不停。」</t>
  </si>
  <si>
    <t>(一)ㄇㄛˋ mò（01098）</t>
  </si>
  <si>
    <t>ㄏㄟˇ</t>
  </si>
  <si>
    <t>hěi</t>
  </si>
  <si>
    <t>參見「黑豆」條。</t>
  </si>
  <si>
    <t>(一)（語音）ㄏㄟ hēi（04783）(二)（讀音）ㄏㄜˋ hè（04759）</t>
  </si>
  <si>
    <t>蒿</t>
  </si>
  <si>
    <t>ㄏㄠ</t>
  </si>
  <si>
    <t>hāo</t>
  </si>
  <si>
    <t>[名]
菊科艾屬植物的通稱。一年生或二年生草本。有青蒿、白蒿等數種。《爾雅．釋草》：「蘩之醜，秋為蒿。」晉．郭璞．注：「醜，類也。春秋各有種名，至秋老成，皆通呼為蒿。」
[動]
消失、消耗。通「耗」。《國語．楚語上》：「若斂民利以成其私欲，使民蒿焉忘其安樂而有遠心，其為惡也甚也。」三國吳．韋昭．注：「蒿，耗也。」
[形]
氣體蒸出的樣子。《禮記．祭義》：「其氣發揚於上為昭明，焄蒿萋愴，此百物之精也，神之著也。」漢．鄭玄．注：「蒿，謂氣烝出貌也。」</t>
  </si>
  <si>
    <t>嚆</t>
  </si>
  <si>
    <t>[動]
呼叫。《集韻．平聲．爻韻》：「詨，吳人謂叫呼為詨，或作嚆。」</t>
  </si>
  <si>
    <t>薅</t>
  </si>
  <si>
    <t>[動]
1.拔除雜草。《說文解字．艸部》：「薅，披田草也。」
2.泛指拔掉。如：「薅鬍鬚」、「薅下幾根頭髮。」</t>
  </si>
  <si>
    <t>呺</t>
  </si>
  <si>
    <t>ㄏㄠˊ</t>
  </si>
  <si>
    <t>háo</t>
  </si>
  <si>
    <t>[動]
號叫、吼叫。《莊子．齊物論》：「是唯無作，作則萬竅怒呺。」</t>
  </si>
  <si>
    <t>(一)ㄒㄧㄠ xiāo（06985）</t>
  </si>
  <si>
    <t>號</t>
  </si>
  <si>
    <t>[動]
1.大叫。如：「號叫」。《晉書．卷一七．律曆志中》：「蟄蟲始發，雞始三號。」唐．柳宗元〈童區寄傳〉：「因大號，一虛皆驚。」
2.放聲大哭。如：「號泣」。《莊子．養生主》：「老聃死，秦失弔之，三號而出。」元．楊顯之《酷寒亭》第一折：「你家裡哭去，張著大嘴號甚麼！」
3.風發出聲響。如：「狂風怒號」。唐．杜甫〈茅屋為秋風所破歌〉：「八月秋高風怒號，卷我屋上三重茅。」</t>
  </si>
  <si>
    <t>(一)ㄏㄠˋ hào（04815）</t>
  </si>
  <si>
    <t>毫</t>
  </si>
  <si>
    <t>[名]
1.細而尖的毛。《孟子．梁惠王上》：「明足以察秋毫之末，而不見輿薪。」
2.毛筆。如：「狼毫」。《紅樓夢》第八七回：「便叫雪雁將外邊桌上筆硯拿來，濡墨揮毫，賦成四疊。」
3.公制中表示度、量、衡等單位的千分之一。如：「毫米」、「毫克」、「毫安培」。
4.秤或戥子桿上的提繩。為秤鉤或秤盤與秤錘間的支點。分頭毫、二毫、三毫。
5.俗稱輔幣一角為「一毫」。
6.姓。如漢代有毫康。
[形]
極小、極細微。漢．王充《論衡．案書》：「采毫毛之善，貶纖芥之惡。」
[副]
一點點。如：「毫不在意」、「毫無頭緒」、「毫不相干」。</t>
  </si>
  <si>
    <t>豪</t>
  </si>
  <si>
    <t>[名]
1.參見「豪豬」條。
2.才德智能出眾的人。如：「英豪」、「文豪」。《三國志．卷七．魏書．呂布傳》：「君以千里之眾，當四戰之地，撫劍顧眄，亦足以為人豪。」
3.統帥、魁首。《後漢書．卷八七．西羌傳．羌無弋爰劍傳》：「諸羌見爰劍被焚不死，怪其神，共畏事之，推以為豪。」
4.有錢有勢或仗勢橫行的人。如：「富豪」、「土豪劣紳」。
5.細長的毛。通「毫」。《商君書．弱民》：「今離婁見秋豪之末，不能以明目易人。」
6.姓。如宋代有豪彥。
[形]
1.爽快、沒有拘束的。如：「豪邁」、「豪放」。《史記．卷七七．魏公子傳》：「平原君之游，徒豪舉耳，不求士也。」
2.勢大而量多的。如：「豪雨」。宋．陸游〈雪夜〉詩：「三更天地闇，雪急風愈豪。」
3.奢華。如：「豪華」。
[副]
強橫、橫暴。《漢書．卷二四．食貨志下》：「故大賈畜家不得豪奪吾民矣。」</t>
  </si>
  <si>
    <t>濠</t>
  </si>
  <si>
    <t>[名]
護城河。《文選．江淹．雜體詩．劉太尉》：「飲馬出城濠，北望沙漠路。」《水滸傳》第六一回：「城高地險，塹闊濠深。」</t>
  </si>
  <si>
    <t>壕</t>
  </si>
  <si>
    <t>[名]
1.護城河。《集韻．平聲．豪韻》：「壕，城下池，通作濠。」唐．許渾〈故洛城〉詩：「鴉噪暮雲歸古堞，雁迷寒雨下空壕。」
2.戰場上所挖掘的深溝。如：「戰壕」、「防空壕」。</t>
  </si>
  <si>
    <t>嚎</t>
  </si>
  <si>
    <t>[動]
1.鳴叫。宋．梅堯臣〈九月五日夢歐陽永叔〉詩：「雞嚎天欲白，向者猶疑真。」
2.本指有聲無淚的哭號，後泛指大聲哭號。如：「乾嚎」、「嚎啕」、「鬼哭神嚎」。《西遊記》第三九回：「哭有幾樣，若乾著口喊，謂之嚎。」</t>
  </si>
  <si>
    <t>蠔</t>
  </si>
  <si>
    <t>[名]
動物名。即牡蠣。雙殼綱牡蠣科。產於淺海中，肉味鮮美，營養豐富。如：「生蠔」、「蠔油」。</t>
  </si>
  <si>
    <t>嗥</t>
  </si>
  <si>
    <t>[動]
1.吼叫。如：「狼嗥」。《左傳．襄公十四年》：「賜我南鄙之田，狐狸所居，豺狼所嗥。」
2.大聲號哭。如：「嗥叫」。《莊子．庚桑楚》：「兒子終日嗥而嗌不嗄，和之至也。」</t>
  </si>
  <si>
    <t>(一)（讀音）ㄏㄜˊ hé（04750）(三)ㄇㄛˋ mò（01094）</t>
  </si>
  <si>
    <t>(一)（讀音）ㄏㄜˋ hè（04768）</t>
  </si>
  <si>
    <t>好</t>
  </si>
  <si>
    <t>ㄏㄠˇ</t>
  </si>
  <si>
    <t>hǎo</t>
  </si>
  <si>
    <t>[形]
1.美、善，理想的。如：「好東西」、「好風景」、「花好月圓」、「好人好事」。唐．韋莊〈菩薩蠻．人人盡說江南好〉詞：「人人盡說江南好，遊人只合江南老。」
2.友愛的。如：「好朋友」、「好同學」。
3.完整的、沒壞的。如：「完好如初」、「修好了。」
[動]
1.相善、彼此親愛。如：「友好」。唐．高適〈贈別晉三處士〉詩：「知己從來不易知，慕君為人與君好。」《紅樓夢》第二七回：「誰和我好，我就和誰好。」
2.痊癒。如：「病好了！」《警世通言．卷一六．小夫人金錢贈年少》：「孩兒感些風寒，這幾日身子不快，來不得。傳語員外得知，一好便來。」
[副]
1.很、非常。表示程度深。如：「好久」、「好冷」、「好笨」、「好厲害」。
2.完成、完畢。如：「交代的工作做好了。」、「稿子寫好了。」《儒林外史》第四三回：「都梳好了椎髻，穿好了苗錦。」
3.容易。如：「這事好辦。」、「這問題好解決。」、「這小孩好帶。」
4.以便、便於。如：「快準備行李，好早點上路。」、「請告訴我你的住處，我好去找你。」唐．杜甫〈聞官軍收河南河北〉詩：「白日放歌須縱酒，青春作伴好還鄉。」
5.可以、應該。如：「只好如此」、「正好試試」。《官場現形記》第五一回：「刁邁彭屈指一算，後任明天好到，便約張太太三天回音。」
6.置於某些動詞之前，表效果佳。如：「好看」、「好玩」、「好吃」、「好笑」。
7.置於數量詞或時間詞之前，表示多或久的意思。如：「好些個」、「好幾處」、「好半天」、「好一會兒」。
[歎]
1.表示稱讚或允許。如：「好！就這麼辦。」《京本通俗小說．碾玉觀音》：「郡王道：『好！正合我意。』」
2.表示責備或不滿意的語氣。如：「好！這下子事情愈來愈棘手了。」</t>
  </si>
  <si>
    <t>(二)ㄏㄠˋ hào（04802）</t>
  </si>
  <si>
    <t>[名]
1.地名。約在今大陸地區陝西省鄠縣、盩厔縣之間。
2.姓。如漢代有郝賢。</t>
  </si>
  <si>
    <t>(二)（讀音）ㄏㄜˋ hè（04755）</t>
  </si>
  <si>
    <t>ㄏㄠˋ</t>
  </si>
  <si>
    <t>hào</t>
  </si>
  <si>
    <t>[動]
愛、喜愛。如：「潔身自好」、「好逸惡勞」、「好學不倦」。唐．王維〈終南別業〉詩：「中歲頗好道，晚家南山陲。」唐．韓愈〈師說〉：「李氏子蟠，年十七，好古文。」
[名]
1.心中所喜愛的事。如：「投其所好」。《史記．卷六一．伯夷傳》：「（富貴）如不可求，從吾所好。」
2.舊指玉器中的孔。《周禮．冬官考工記．玉人》：「璧羨度尺，好三寸以為度。」漢．鄭玄．注：「好，璧孔也。」</t>
  </si>
  <si>
    <t>(一)ㄏㄠˇ hǎo（04800）</t>
  </si>
  <si>
    <t>昊</t>
  </si>
  <si>
    <t>[名]
1.廣大無邊際的天。《梁書．卷一．武帝本紀上》：「上達蒼昊，下及川泉。」宋．蘇軾〈再和潛師〉詩：「且撼長條餐落英，忍飢未擬窮呼昊。」
2.姓。如明代有昊十九。
[形]
廣大。如：「昊天罔極」。</t>
  </si>
  <si>
    <t>秏</t>
  </si>
  <si>
    <t>[名]
一種稻類植物。《說文解字．禾部》：「秏，稻屬。伊尹曰：『飯之美者，元山之禾，南海之秏。』」
[動]
減少。同「耗」。《廣韻．去聲．號韻》：「秏，減也。俗作耗。」《周禮．冬官考工記．𣓨氏》：「𣓨氏為量，改煎金錫則不秏。」唐．賈公彥．疏：「秏，減也。」</t>
  </si>
  <si>
    <t>耗</t>
  </si>
  <si>
    <t>[動]
1.減損。如：「損耗」、「虧耗」。《莊子．達生》：「臣將為鐻，未嘗敢以耗氣也，必齊以靜心。」《後漢書．卷一．光武帝紀下》：「今百姓遭難，戶口耗少，而縣官吏職所置尚繁。」
2.消費、花費。如：「耗資」、「消耗」。《文選．曹植．七啟》：「耗精神乎虛廓，廢人事之紀經。」李善注引〈蒼頡篇〉曰：「耗，消也。」
3.拖延。如：「耗時間」、「我沒空跟你在這裡窮耗。」
[名]
消息、音信。如：「噩耗」、「死耗」、「音耗」、「聞耗震驚」。《董西廂》卷七：「自是至秋，杳無一耗。」</t>
  </si>
  <si>
    <t>浩</t>
  </si>
  <si>
    <t>[形]
1.水勢盛大。明．張自烈《正字通．水部》：「浩，大水盛貌。」如：「浩瀚江河」、「水勢浩淼」。《書經．堯典》：「湯湯洪水方割，蕩蕩懷山襄陵，浩浩滔天。」
2.大、廣大。如：「浩劫」、「浩氣長存」。唐．韋應物〈夕次盱眙縣〉詩：「浩浩風起波，冥冥日沉夕。」明．宋濂〈謝翱傳〉：「然其志汗漫超越，浩不可禦。」
3.繁多、眾多。如：「費用浩繁」、「浩如煙海」。
4.參見「浩浩」條。
[名]
姓。如漢代有浩賞。</t>
  </si>
  <si>
    <t>皓</t>
  </si>
  <si>
    <t>[形]
1.白、潔白。如：「皓髮」、「明眸皓齒」。《漢書．卷四〇．張良傳》：「年皆八十有餘，須眉皓白，衣冠甚偉。」唐．韋莊〈菩薩蠻．人人盡說江南好〉詞：「爐邊人似月，皓腕凝雙雪。」
2.光明、明亮。如：「皓月當空」。唐．杜牧〈長安夜月〉詩：「寒光垂靜夜，皓彩滿重城。」宋．姜夔〈踏莎行．燕燕輕盈〉詞：「淮南皓月冷千山，冥冥歸去無人管。」
[名]
姓。如春秋時越國有皓進。</t>
  </si>
  <si>
    <t>澔</t>
  </si>
  <si>
    <t>參見「澔汗」條。</t>
  </si>
  <si>
    <t>參見「涸乾」條。</t>
  </si>
  <si>
    <t>(一)ㄏㄜˊ hé（04749）</t>
  </si>
  <si>
    <t>滈</t>
  </si>
  <si>
    <t>[形]
波光閃耀。參見「滈滈」條。
[名]
河川名。即滈水。在大陸地區陝西省長安縣南。上接滈池，北流入渭河。河道今已湮滅，不可辨視。</t>
  </si>
  <si>
    <t>鄗</t>
  </si>
  <si>
    <t>[名]
地名：(1)周武王的都城。故址在今大陸地區陝西省西安市附近。通「鎬」。(2)春秋時晉邑。故城約在今大陸地區河北省柏鄉縣北。</t>
  </si>
  <si>
    <t>(二)ㄑㄧㄠ qiāo（06348）</t>
  </si>
  <si>
    <t>皜</t>
  </si>
  <si>
    <t>[形]
潔白。同「皓」。《孟子．滕文公上》：「江漢以濯之，秋陽以暴之，皜皜乎不可尚已。」</t>
  </si>
  <si>
    <t>藃</t>
  </si>
  <si>
    <t>[形]
物體縮小變形而不平。《玉篇．艸部》：「藃，耗也，縮也。」《周禮．冬官考工記．輪人》：「是故以火養其陰而齊諸其陽，則轂雖敝不藃。」</t>
  </si>
  <si>
    <t>[名]
1.溫熱東西的器具。《說文解字．金部》：「鎬，溫器。」
2.地名：(1)西周初年的首都。故址約在今大陸地區陝西西安市西南。(2)周朝北方的地名。故址約在今大陸地區寧夏靈武縣附近。</t>
  </si>
  <si>
    <t>(二)ㄍㄠˇ gǎo（04003）</t>
  </si>
  <si>
    <t>[名]
1.名稱、別名。如：「別號」、「帝號」、「國號」、「外號」。晉．陶淵明〈五柳先生傳〉：「宅邊有五柳樹，因以為號焉。」
2.命令。如：「號令」、「發號施令」。
3.商店。如：「寶號」、「公司行號」、「僅此一家，別無分號。」《老殘遊記》第三回：「即到院前大街上找了一家匯票莊，叫個日昇昌字號。」
4.物品的大小等級。如：「特大號」、「中號」、「五號字」。
5.標誌、標記。如：「記號」、「暗號」、「問號」。《水滸傳》第二四回：「到第三日晌午前後，你整整齊齊打扮了來，咳嗽為號。」
6.排定的次第。如：「座號」、「編號」、「流水號」。
7.種、類。如：「像這號人物還是少惹為妙。」
8.量詞。計算編定的人物數目的單位。如：「醫生今天已看了三十號病人，還剩下五號。」
9.樂團或軍隊所使用的喇叭。如：「法國號」、「軍號」、「伸縮號」。
10. 軍號所吹出的各種規定號音。如：「起床號」、「衝鋒號」。
[動]
1.召喚。如：「號召全球為環保而努力。」《左傳．襄公十九年》：「冬，十一月，齊侯圍之，見衛在城上，號之，乃下。」
2.發出命令。《莊子．田子方》：「何不號於國中曰：『無此道而為此服者，其罪死。』」
3.宣稱、誇言。如：「號稱天下第一。」《漢書．卷一．高帝紀上》：「是時，羽兵四十萬，號百萬。」
4.稱謂、稱呼。《左傳．昭公四年》：「未問其名，號之曰牛。」《漢書．卷三一．陳勝項籍傳》：「勝乃立為王，號張楚。」</t>
  </si>
  <si>
    <t>(二)ㄏㄠˊ háo（04790）</t>
  </si>
  <si>
    <t>皞</t>
  </si>
  <si>
    <t>[形]
1.潔白光亮。《說文解字．日部》：「皞，皓旰也。」清．段玉裁．注：「皓旰，謂絜白光明之貌。」宋．楊澤民〈四園竹．殘霞殿雨〉詞：「殘霞殿雨，皞氣入窗扉。」
2.心胸舒暢。《孟子．盡心上》：「王者之民，皞皞如也。」明．余繼登《典故紀聞》卷二：「使民安田里，足衣食，熙熙皞皞而不自知。」</t>
  </si>
  <si>
    <t>顥</t>
  </si>
  <si>
    <t>[形]
1.白而發亮。《說文解字．頁部》：「顥，白貌。」唐．柳宗元〈夢歸賦〉：「圓方混而不形兮，顥醇白之霏霏。」
2.廣大、博大。通「皓」。《廣韻．上聲．皓韻》：「顥，大也。」唐．權德輿〈嚴陵釣臺下作〉詩：「心靈棲顥氣，纓冕猶緇塵。」</t>
  </si>
  <si>
    <t>灝</t>
  </si>
  <si>
    <t>[名]
豆漿。《說文解字．水部》：「灝，豆汁也。」
[形]
1.水勢盛大。泛指盛大。通「浩」。漢．揚雄《法言．問神》：「白日以照之，江河以滌之，灝灝乎其莫之禦也。」唐．柳宗元〈始得西山宴游記〉：「悠悠乎與灝氣俱，而莫得其涯。」
2.明淨、潔淨。唐．王建〈從元太守夏讌西樓〉詩：「高風涼氣來，灝景沉清源。」</t>
  </si>
  <si>
    <t>呴</t>
  </si>
  <si>
    <t>ㄏㄡ</t>
  </si>
  <si>
    <t>hōu</t>
  </si>
  <si>
    <t>[名]
喉中所發出的聲音。《集韻．平聲．侯韻》：「呴，喉中聲也。」</t>
  </si>
  <si>
    <t>(一)ㄒㄩˇ xǔ（07288）</t>
  </si>
  <si>
    <t>齁</t>
  </si>
  <si>
    <t>[名]
參見「齁齁」條。
[副]
甚、非常。多表不滿意的意思。如：「齁苦」、「齁鹹」、「齁熱」。</t>
  </si>
  <si>
    <t>侯</t>
  </si>
  <si>
    <t>ㄏㄡˊ</t>
  </si>
  <si>
    <t>hóu</t>
  </si>
  <si>
    <t>[名]
1.中國古代五等爵位的第二等。《公羊傳．隱公五年》：「其餘大國稱侯。」《禮記．王制》：「王者之制祿爵，公、侯、伯、子、男凡五等。」
2.泛指達官貴人。如：「侯門」。《史記．卷四八．陳涉世家》：「王侯將相寧有種乎？」
3.士大夫間彼此的尊稱。唐．杜甫〈與李十二白同尋范十隱居〉詩：「李侯有佳句，往往似陰鏗。」唐．李頎〈送陳章甫〉詩：「陳侯立身何坦蕩，虯鬚虎眉仍大顙。」
4.箭靶。《詩經．齊風．猗嗟》：「終日射侯，不出正兮。」宋．朱熹．注：「侯，張布而射之者也。大射則張皮侯而設鵠，賓射則張布而設正。」
5.姓。如戰國時魏國有侯嬴。
[形]
美好。《詩經．鄭風．羔裘》：「羔裘如濡，洵直且侯。」鄭玄箋引韓詩云：「侯，美也。」
[代]
何。表示疑問。《史記．卷一一七．司馬相如傳》：「君乎！君乎！侯不邁哉！」司馬貞索隱引李奇曰：「侯，何也。言君何不行封禪之事也。」
[助]
發語詞。相當於「惟」、「維」、「伊」。《詩經．小雅．六月》：「侯誰在矣，張仲孝友。」《漢書．卷一〇〇．敘傳上》：「侯屮木之區別兮，苟能實而必榮。」唐．顏師古．注：「侯，發語辭也。」</t>
  </si>
  <si>
    <t>喉</t>
  </si>
  <si>
    <t>[名]
指咽頭以下，氣管以上的部分。由甲狀軟骨、會厭軟骨、環狀軟骨等構成。為呼吸器官的一部分，內有聲帶，具發音功能。也稱為「喉頭」。</t>
  </si>
  <si>
    <t>猴</t>
  </si>
  <si>
    <t>[名]
動物名。脊椎動物門哺乳綱靈長目。與猿同屬，形似人，全身長毛，能站立，並用後腿走路。善攀援，行動矯捷靈活，喜群居生活。頰下有囊，可儲存食物，臀部有疣及短尾。
[動]
1.北平方言。指側身依偎、糾纏。如：「小女孩總是猴著她爸爸不放。」《紅樓夢》第一四回：「寶玉聽說，便猴向鳳姐身上，立刻要牌。」
2.像猴子般蹲坐著。《紅樓夢》第一五回：「好兄弟，你是個尊貴人，女孩兒一樣的人品，別學他們猴在馬上。」
[形]
北平方言。指小孩頑皮、機靈。如：「這小傢伙太猴了！」</t>
  </si>
  <si>
    <t>瘊</t>
  </si>
  <si>
    <t>[名]
皮膚上所生的小肉瘤。明．張自烈《正字通．疒部》：「瘊，疣小者俗謂之瘊子。」</t>
  </si>
  <si>
    <t>睺</t>
  </si>
  <si>
    <t>[形]
眼睛半盲。《廣韻．平聲．侯韻》：「睺，半盲。」</t>
  </si>
  <si>
    <t>篌</t>
  </si>
  <si>
    <t>鍭</t>
  </si>
  <si>
    <t>[名]
1.武器名。一種具金屬箭頭，尾部有羽毛裝飾的箭。《爾雅．釋器》：「金鏃翦羽謂之鍭。」《詩經．大雅．行葦》：「敦弓既堅，四鍭既鈞。」
2.箭頭的通稱。《廣韻．平聲．侯韻》：「鍭，箭鏃。」清．譚嗣同〈怪石歌〉：「我與子兮今邂逅，殊勝彎弓命鏃鍭。」</t>
  </si>
  <si>
    <t>餱</t>
  </si>
  <si>
    <t>[名]
乾糧。《廣韻．平聲．侯韻》：「餱，乾食。」如：「餱糧」。《詩經．小雅．無羊》：「何蓑何笠，或負其餱。」唐．李宗閔〈故丞相尚書左僕射贈太尉太原王公神道碑銘〉：「帶甲百萬，餱食為巨。」</t>
  </si>
  <si>
    <t>吼</t>
  </si>
  <si>
    <t>ㄏㄡˇ</t>
  </si>
  <si>
    <t>hǒu</t>
  </si>
  <si>
    <t>[動]
1.猛獸大聲的叫。如：「河東獅吼」。《晉書．卷四三．王戎傳》：「猛獸在檻中，虓吼震地。」唐．杜甫〈復陰〉詩：「江濤簸岸黃沙走，雲雪埋山蒼兕吼。」
2.因憤怒或情緒激動而大聲叫喊。如：「大吼大叫」。《南史．卷八〇．賊臣傳．侯景傳》：「醜徒數萬，同共吹脣，唱吼而上。」
3.自然界發出巨響。如：「北風怒吼」。唐．岑參〈走馬川行奉送出師西征〉詩：「輪臺九月風夜吼，一川碎石大如斗。」宋．王庭珪〈和周秀實田家行〉：「大臣鼻息如雷吼，玉帳無憂方熟眠。」</t>
  </si>
  <si>
    <t>犼</t>
  </si>
  <si>
    <t>[名]
傳說中的猛獸。外形像犬，會吃人。《集韻．上聲．厚韻》：「犼，北方獸名。似犬，食人。」</t>
  </si>
  <si>
    <t>后</t>
  </si>
  <si>
    <t>ㄏㄡˋ</t>
  </si>
  <si>
    <t>hòu</t>
  </si>
  <si>
    <t>[名]
1.君王。《詩經．商頌．玄鳥》：「商之先后，受命不殆，在武丁孫子。」《左傳．僖公三十二年》：「其南陵，夏后皋之墓也。」
2.諸侯。《書經．舜典》：「班瑞于群后。」唐．柳宗元〈封建論〉：「周有天下，裂土田而瓜分之，設五等，邦群后。」
3.君王的嫡妻。如：「王后」、「皇后」。《漢書．卷五．景帝紀》：「朕親耕，后親桑，以奉宗廟粢盛祭服，為天下先。」清．陸次雲〈費宮人傳〉：「后自縊，袁貴妃亦自縊。帝拔劍刃嬪妃數人。」
4.姓。如春秋時齊國有孔子的弟子后處，漢代有后蒼。
[副]
時間上較晚的。與「先」、「前」相對。通「後」。《禮記．大學》：「知止而后有定。」</t>
  </si>
  <si>
    <t>郈</t>
  </si>
  <si>
    <t>[名]
1.地名。春秋時魯邑，故城約在今大陸地區山東省東平縣。
2.姓。如春秋時魯國有郈昭伯。</t>
  </si>
  <si>
    <t>參見「邂逅」條。</t>
  </si>
  <si>
    <t>(二)（又音）ㄍㄡˋ gòu（04034）</t>
  </si>
  <si>
    <t>厚</t>
  </si>
  <si>
    <t>[形]
1.扁平物體上下之間距離較大的。與「薄」相對。如：「厚紙」、「厚脣」。唐．白居易〈新製布裘〉詩：「布重綿且厚，為裘有餘溫。」唐．李賀〈苦晝短〉詩：「吾不識青天高、黃地厚，唯見月寒日暖，來煎人壽。」
2.多、大。如：「厚利」、「厚禮」、「厚望」。唐．元稹《崔鶯鶯傳》：「兄之恩，活我之家，厚矣。」宋．錢公輔〈義田記〉：「公雖位充祿厚，而貧終其身。」
3.濃、深。如：「酒味厚」、「深情厚誼」。《儀禮．士冠禮》：「甘醴惟厚，嘉薦令芳。」
4.不刻薄的。如：「仁厚」、「寬厚」、「憨厚」、「忠厚老實」。
[名]
扁平物體表面與底面間的距離。如：「這塊木板約有二寸厚。」《禮記．檀弓上》：「天子之棺四重，水兕革棺被之，其厚三寸。」
[動]
重視、推崇。如：「厚古薄今」、「厚此薄彼」。《史記．卷五．秦本紀》：「遂復三人官秩如故，愈益厚之。」
[副]
優待。如：「厚待」。《禮記．中庸》：「厚往而薄來，所以懷諸侯也。」</t>
  </si>
  <si>
    <t>後</t>
  </si>
  <si>
    <t>[名]
1.在時間上與「先」、「前」相對。《禮記．曲禮下》：「君子將營宮室，宗廟為先，廄庫為次，居室為後。」
2.在空間、位置上與「前」相對。如：「背後」、「村後」、「敵後」、「幕後」、「向後轉」、「懲前毖後」。《左傳．昭公二十三年》：「武城人塞其前，斷其後之木而弗殊。」唐．陳子昂〈登幽州臺歌〉：「前不見古人，後不見來者。」
3.子孫。如：「名人之後」。《詩經．大雅．瞻卬》：「式救爾後。」漢．鄭玄．箋：「後，謂子孫也。」《孟子．離婁上》：「不孝有三，無後為大。」
4.姓。如五代時後漢有後贊，清代有後禮。
[形]
1.時間較晚的、未來的。如：「後天」、「後代」、「前因後果」。
2.次序、位置近末尾的。如：「後排」、「後半段」、「後院」、「後門」。
[副]
遲、晚。如：「先來後到」、「後來居上」。
[動]
1.落後。《論語．雍也》：「非敢後也，馬不進也。」《韓非子．喻老》：「趙襄主學御於王子期，俄而與於期逐，三易馬而三後。」
2.延緩、趕不上。《論語．衛靈公》：「事君敬其事，而後其食。」
3.摒棄、排除。《漢書．卷五一．鄒陽傳》：「願大王察玉人、李斯之意，而後楚王、胡亥之聽。」</t>
  </si>
  <si>
    <t>候</t>
  </si>
  <si>
    <t>[動]
1.偵察、探察。《說文解字．人部》：「候，司望也。」《呂氏春秋．慎大覽．貴因》：「武王使人候殷。反，報岐周曰：『殷其亂矣！』」漢．高誘．注：「候，視也。」《史記．卷一〇七．魏其武安侯傳》：「太后亦已使人候伺，具以告太后。」
2.等待。如：「候車室」、「逾時不候」、「恭候大駕」、「稍候一會兒」。《文選．陶淵明．歸去來辭》：「僮僕歡迎，稚子候門。」
3.探望。如：「問候」。《後漢書．卷二四．馬援傳》：「援嘗有疾，梁松來候之，獨拜床下，援不答。」《儒林外史》第一三回：「兩公子聽見，便同公孫去候姑丈。」
4.服侍。如：「伺候」。《後漢書．卷二四．馬援傳》：「勃字叔陽，年十二能誦詩、書。常候援兄況。」《宋史．卷二四二．后妃傳上．孝章宋皇后傳》：「性柔順好禮，每帝視朝退，常具冠帔候接，佐御饌。」
5.診察。《北齊書．卷四九．方伎傳．馬嗣明傳》：「刑邵子大寶患傷寒，嗣明為之診，候脈。」《黃帝素問靈樞經．卷九．衛氣失常》：「候病所在，骨之屬者。」
6.占卜。《後漢書．卷三〇下．郎顗傳》：「能望氣占候吉凶，常賣卜自奉。」《新唐書．卷四六．百官志一》：「二十三曰占候醫卜，效驗多者，為方術之最。」
7.北平方言。指支付、付清。如：「候帳」、「這桌酒菜，張先生已候過鈔了。」
[名]
1.時間、時令、時節。如：「天候已經不早了，快回去吧！」宋．李清照〈聲聲慢．尋尋覓覓〉詞：「乍暖還寒時候，最難將息。」明．徐弘祖《徐霞客遊記．卷一下．遊太和山日記》：「山谷川原，候同氣異。」
2.事物的情況或徵兆。如：「症候」、「火候」、「徵候」。《列子．周穆王》：「覺有八徵，夢有六候。」《晉書．卷一二．天文志中》：「凡遊氣蔽天，日月失色，皆是風雨之候也。」
3.用來瞭望、監視敵情的碉堡。通「堠」。《史記．卷二五．律書》：「願且堅邊設候，結和通使。」《後漢書．卷一．光武帝紀下》：「築亭候，修烽燧。」唐．章懷太子．注：「亭候，伺候望敵之所。」</t>
  </si>
  <si>
    <t>堠</t>
  </si>
  <si>
    <t>[名]
1.古代瞭望敵情的碉堡。唐．白居易〈和渭北劉大夫借便秋遮虜寄朝中親友〉詩：「堠空烽火滅，氣勝鼓鼙鳴。」宋．劉克莊〈贈防江卒〉詩六首之五：「戰地春來血尚流，殘烽缺堠滿淮頭。」
2.古代用來記載里程的土臺。五里一單堠，十里一雙堠。《北史．卷六四．韋孝寬傳》：「自孝寬臨州，乃勒部內，當堠處植槐樹代之。」</t>
  </si>
  <si>
    <t>鄇</t>
  </si>
  <si>
    <t>[名]
地名。春秋時溫地別邑，故址約在今大陸地區河南省武陟縣境。</t>
  </si>
  <si>
    <t>鱟</t>
  </si>
  <si>
    <t>[名]
動物名。節肢動物門劍尾目。體分頭胸部、腹部和尾劍三部分。頭胸部呈馬蹄形，為深棕青色，背部隆起。背甲後方兩側向後突出，其腹面每邊各有六枚刺。有一對複眼和中單眼一個。尾柄尖細，呈細長的三角形。口周圍有五對步足。腹部具有六對附肢，第一對為扁平的生殖蓋板，生殖孔開口於內面，其餘五對附肢形成腮。春夏季在沙灘上繁殖。鱟於古生代即已出現，與蠍、蜘蛛和已滅絕的三葉蟲近緣，是一類活化石。</t>
  </si>
  <si>
    <t>唅</t>
  </si>
  <si>
    <t>ㄏㄢ</t>
  </si>
  <si>
    <t>hān</t>
  </si>
  <si>
    <t>[動]
嘴裡銜著食物。通「含」。《集韻．去聲．勘韻》：「唅，哺也。」《文選．王襃．聖主得賢臣頌》：「羹藜唅糗者，不足與論太牢之滋味。」《漢書．卷九一．貨殖傳．序》：「而貧者短褐不完，唅菽飲水。」唐．顏師古．注：「唅，亦含字也。」</t>
  </si>
  <si>
    <t>㟏</t>
  </si>
  <si>
    <t>[名]
大谷。《廣韻．平聲．覃韻》：「㟏，大谷也。」
[形]
參見「㟏岈」條。</t>
  </si>
  <si>
    <t>谽</t>
  </si>
  <si>
    <t>[形]
谽岈：(1)山谷空曠。《廣韻．平聲．覃韻》：「谽岈，谷空。」唐．盧照鄰〈五悲文．悲昔遊〉：「當谽岈之洞壑，臨決咽之奔泉。」(2)中空。清．譚嗣同〈城南思舊銘並敘〉：「加北俗多忌，厝棺中野，雨日蝕漏，谽岈洞開。」(3)山勢險峻。唐．獨孤及〈招北客文〉：「其北則有劍山巉巉，天鑿之門，二壁谽岈，高岸嶙峋。」也作「㟏岈」。</t>
  </si>
  <si>
    <t>蚶</t>
  </si>
  <si>
    <t>[名]
動物名。軟體動物門斧足綱蚌屬。外殼淡褐色，肉白可食。生活在淺海泥沙中，可人工養殖。也稱為「魁蛤」、「蚶子」。因其介殼厚且堅硬，有縱線突起，像屋瓦的楞角，故俗稱為「瓦楞子」。《爾雅．釋魚》「魁陸」句下晉．郭璞．注：「《本草》云：『魁狀如海蛤，圓而厚，外有理縱橫。即今之蚶也。』」</t>
  </si>
  <si>
    <t>酣</t>
  </si>
  <si>
    <t>[動]
1.暢飲，盡興喝酒。唐．李白〈宣州謝朓樓餞別校書叔雲〉詩：「長風萬里送秋雁，對此可以酣高樓。」
2.沉迷、耽溺於酒。《抱朴子．外篇．酒誡》：「小大亂喪，亦罔非酒，然而俗人是酣是湎。」《宋書．卷六一．武三王傳．廬陵孝獻王義真傳》：「縱博酣酒，日夜無輟。」
[副]
1.暢快、盡興。如：「酣飲」、「酣歌」。《魏書．卷七九．成淹傳》：「（王）肅言：『淹既蒙進，臣得屈己伸人，此所謂陛下惠而不費。』遂酣笑而止。」
2.激烈。如：「酣鬥」。唐．杜甫〈丹青引〉：「褒公鄂公毛髮動，英姿颯爽來酣戰。」
[形]
1.喝醉酒。宋．汪元量〈湖州歌〉九八首之四四：「篷窗倚坐酒微酣，淮水無波似蔚藍。」
2.濃、盛。清．洪昇《長生殿》第五齣：「環曲岸，環曲岸，紅酣綠勻。」</t>
  </si>
  <si>
    <t>頇</t>
  </si>
  <si>
    <t>鼾</t>
  </si>
  <si>
    <t>[名]
熟睡時所發出的鼻息聲。《廣韻．平聲．寒韻》：「鼾，臥氣激聲。」如：「打鼾」、「鼻鼾如雷」。
[動]
睡覺時，發出打呼聲。明．侯方域〈郭老僕墓誌銘〉：「司徒公怒而罵，老僕則倚壁而鼾。」</t>
  </si>
  <si>
    <t>憨</t>
  </si>
  <si>
    <t>[副]
愚笨、痴傻。如：「憨痴」、「憨笑」。
[形]
天真、樸實。如：「憨直」、「憨厚」、「憨態」、「憨狀可掬」。</t>
  </si>
  <si>
    <t>汗</t>
  </si>
  <si>
    <t>ㄏㄢˊ</t>
  </si>
  <si>
    <t>hán</t>
  </si>
  <si>
    <t>(一)ㄏㄢˋ hàn（04867）</t>
  </si>
  <si>
    <t>邗</t>
  </si>
  <si>
    <t>[名]
1.地名。參見「邗溝」條。
2.姓。如漢代有邗侯。</t>
  </si>
  <si>
    <t>[名]
生長在井中的紅色小蟲。《莊子．秋水》：「還虷蟹與科斗，莫吾能若也。」唐．成玄英．疏：「虷，井中赤蟲也。」</t>
  </si>
  <si>
    <t>(二)ㄍㄢ gān（04049）</t>
  </si>
  <si>
    <t>含</t>
  </si>
  <si>
    <t>[動]
1.東西銜在嘴裡，不吐出也不吞下。如：「含著藥片。」漢．劉熙《釋名．釋飲食》：「含，合也，合口亭之也。」《史記．卷十三．三代世表》：「有燕銜卵墮之，契母得，故含之，誤吞之，即生契。」
2.裡面藏著，存在著。如：「含水分」、「含養分」、「含苞待放」。《文選．宋玉．登徒子好色賦》：「此郊之姝，華色含光，體美容冶，不待飾裝。」
3.包容、容納。如：「包含」。《易經．坤卦．文言曰》：「後得主而有常，含萬物而化光。」唐．杜甫〈絕句四首〉之三：「窗含西嶺千秋雪，門泊東吳萬里船。」
4.懷著。如：「含怒」、「含恨」、「含羞帶怯」、「含情脈脈」。唐．沈佺期〈古意呈補闕喬知之〉詩：「誰謂含愁獨不見，更教明月照流黃。」
5.忍受、忍耐。如：「茹苦含辛」。宋．胡銓〈戊午上高宗封事〉：「含垢忍恥，與天下而臣之，甘心焉。」</t>
  </si>
  <si>
    <t>(二)ㄏㄢˋ hàn（04880）</t>
  </si>
  <si>
    <t>梒</t>
  </si>
  <si>
    <t>[名]
櫻桃。《玉篇．木部》：「梒，今謂之櫻桃也。」</t>
  </si>
  <si>
    <t>邯</t>
  </si>
  <si>
    <t>函</t>
  </si>
  <si>
    <t>[名]_x000D_
1.舌頭。《說文解字．𢎘部》：「函，舌也。」_x000D_
2.鎧甲、護身甲。《周禮．冬官考工記》：「燕無函，秦無廬，胡無弓車。」鄭玄注引鄭司農云：「函，鎧也。」_x000D_
3.匣、盒子。如：「劍函」、「鏡函」、「石函」。《史記．卷八六．刺客列傳．荊軻》：「荊軻奉樊於期頭函，而秦舞陽奉地圖柙，以次進。」_x000D_
4.套子、封套。如：「全書共十函」。唐．張彥遠《法書要錄．卷三．武平一徐氏法書記》：「時見宮人出六十餘函，於億歲殿曝之，多裝以鏤牙軸、紫羅褾。」_x000D_
5.書信、信件。如：「來函」、「函件」。三國魏．吳質〈答東阿王書〉：「信到，奉所惠貺，發函伸紙。」唐．李商隱〈隋宮〉詩：「乘興南遊不戒嚴，九重誰省諫書函。」_x000D_
6.現行公文的一類。用於各級機關公文往返，或人民與機關間的申請與答覆。如：「公函」、「申請函」。_x000D_
[動]_x000D_
1.包容、容納。《詩經．周頌．載芟》：「播厥百穀，實函斯活。」漢．鄭玄．箋：「函，含也。」《漢書．卷一〇〇．敘傳上》：「函之如海，養之如春。」唐．顏師古．注：「函，容也。」_x000D_
2.用木盒盛裝，並加以密封。《戰國策．燕策三》：「乃遂收盛樊於期之首函封之。」《新五代史．卷三七．伶官傳．序》：「方其係燕父子以組，函梁君臣之首，入于太廟。」_x000D_
3.陷入。《漢書．卷六二．司馬遷傳》：「所以隱忍苟活，函糞土之中而不辭者。」唐．柳宗元〈古東門行〉：「當街一叱百吏走，馮敬胸中函匕首。」</t>
  </si>
  <si>
    <t>涵</t>
  </si>
  <si>
    <t>[形]
水澤多。《說文解字．水部》：「涵，水澤多也。」如：「涵澤」。
[動]
1.浸潤、溼潤。《說文解字．水部》「涵」字．清．段玉裁．注：「涵，所受潤澤多也。」宋．王安石〈送江寧彭給事赴闕〉詩：「威加諸部風霜肅，惠浸連營雨露涵。」
2.包容、容納。如：「包涵」、「海涵」。唐．孟浩然〈望洞庭湖贈張丞相〉詩：「八月湖水平，涵虛混太清。」唐．杜牧〈九日齊安登高〉詩：「江涵秋影雁初飛，與客攜壺上翠微。」
3.沉潛、潛水。參見「涵淹」、「涵泳」等條。
[名]
涵洞的簡稱。如：「橋涵」。</t>
  </si>
  <si>
    <t>崡</t>
  </si>
  <si>
    <t>[名]
山名。即函谷，在今大陸地區河南省靈寶縣西南。函俗從山作「崡」。以其峭壁險峻如山，又以「崤」為其山名。《集韻．平聲．咸韻》：「崡，山名，在肴陵。」</t>
  </si>
  <si>
    <t>寒</t>
  </si>
  <si>
    <t>[形]_x000D_
1.冷。如：「酷寒」、「禦寒」、「飢寒交迫」、「天寒地凍」。《論語．子罕》：「歲寒，然後知松柏之後彫也。」唐．白居易〈長恨歌〉：「鴛鴦瓦冷霜華重，翡翠衾寒誰與共？」_x000D_
2.窮困。如：「貧寒」、「家境清寒」。《史記．卷七九．范睢蔡澤列傳．范睢》：「范叔一寒如此哉！乃取其一綈袍以賜之。」_x000D_
3.卑賤。如：「寒門」、「寒儒」。唐．杜甫〈茅屋為秋風所破歌〉：「安得廣廈千萬間，大庇天下寒士俱歡顏。」_x000D_
[名]_x000D_
1.秋冬寒冷的季節。與「暑」相對。《易經．繫辭下》：「寒往則暑來，暑往則寒來，寒暑相推而歲成焉。」_x000D_
2.國名。夏朝諸侯寒浞的封國。故址在今大陸地區山東省濰縣境。_x000D_
3.姓。如夏朝有諸侯寒浞，漢代有寒朗。_x000D_
[動]_x000D_
1.使受冷。《孟子．告子上》：「雖有天下易生之物也，一日暴之，十日寒之，未有能生者也。」_x000D_
2.戰慄、害怕。如：「心寒」、「膽寒」。《史記．卷八六．刺客列傳．荊軻》：「夫以秦王之暴而積怒於燕，足以寒心，又況聞樊將軍之所在乎？」_x000D_
3.終止、停止。《左傳．哀公十二年》：「今吾子曰必尋盟。若可尋也，亦可寒也。」晉．杜預．注：「寒，歇也。」</t>
  </si>
  <si>
    <t>[名]
井上的圍欄。通「韓」。《莊子．秋水》：「出跳梁乎井幹之上，入休乎缺甃之崖。」唐．成玄英．疏：「幹，井欄也。」</t>
  </si>
  <si>
    <t>(一)ㄍㄢˋ gàn（04074）</t>
  </si>
  <si>
    <t>[名]
井上的圍欄。通「韓」。《淮南子．主術》：「夫據榦而窺井底，雖達視猶不能見其睛。」</t>
  </si>
  <si>
    <t>(一)ㄍㄢˋ gàn（04075）</t>
  </si>
  <si>
    <t>韓</t>
  </si>
  <si>
    <t>[名]
1.井垣，環繞水井周圍的柵欄。《說文解字．韋部》：「韓，井橋也。」
2.國名：(1)周時分封的姬姓諸侯國，春秋時為晉所滅。故址在今大陸地區陝西省韓城縣境。(2)戰國時晉大夫韓氏與趙、魏分晉，其地在今大陸地區河南省中部，及山西省東南部一帶。介於魏、秦、楚三國之間，為兵家必爭之地，後為秦所滅。(3)大韓民國的簡稱。參見「大韓民國」條。
3.姓。如漢代有韓信，唐代有韓愈。</t>
  </si>
  <si>
    <t>厂</t>
  </si>
  <si>
    <t>ㄏㄢˇ</t>
  </si>
  <si>
    <t>hǎn</t>
  </si>
  <si>
    <t>[名]
1.山邊可以居住人的崖洞。《說文解字．厂部》：「厂，山石之厓巖，人可居。」清．段玉裁．注：「厓，山邊也；巖者，厓也；人可居者，謂其下可居也。」
2.二一四部首之一。</t>
  </si>
  <si>
    <t>罕</t>
  </si>
  <si>
    <t>[名]
1.用來捕鳥的長柄小網。《說文解字．网部》：「罕，网也。」清．段玉裁．注：「〈吳都賦〉注曰：『罼、罕皆鳥網也。』按，罕之制蓋似畢。小网長柄。」
2.旌旗。《史記．卷四．周本紀》：「及期，百夫荷罕旗以先驅。」《新唐書．卷二三．儀衛志上》：「自絳引旛以下，執者服如黃麾。執罕、畢及幢者，平陵冠、朱衣、革帶。左罕右畢，左青龍右白虎。」
3.姓。如春秋時鄭國有罕虎。
[副]
稀少。如：「稀罕」、「罕見」、「罕聞」。南朝梁．鍾嶸〈詩品序〉：「每苦文煩而意少，故世罕習焉。」清．魏禧〈大鐵椎傳〉：「與人罕言語，語類楚聲。」</t>
  </si>
  <si>
    <t>蔊</t>
  </si>
  <si>
    <t>參見「蔊菜」條。</t>
  </si>
  <si>
    <t>喊</t>
  </si>
  <si>
    <t>[動]
1.大聲呼叫。如：「呼喊」、「喊叫」、「喊冤」、「喊口號」、「搖旗吶喊」。
2.叫（人）、招喚。如：「快把他喊來！」、「他就在門外，你去喊他一聲。」</t>
  </si>
  <si>
    <t>[名]
老虎的吼叫聲。《廣韻．上聲．豏韻》：「闞，虎聲。」《詩經．大雅．常武》：「進厥虎臣，闞如虓虎。」
[副]
張大嘴巴的樣子。《莊子．天道》：「而口闞然，而狀義然，似繫馬而止也。」</t>
  </si>
  <si>
    <t>(一)ㄎㄢˋ kàn（04524）(二)（(一)之又音）ㄎㄢˇ kǎn（04518）</t>
  </si>
  <si>
    <t>鬫</t>
  </si>
  <si>
    <t>同「闞」。</t>
  </si>
  <si>
    <t>ㄏㄢˋ</t>
  </si>
  <si>
    <t>hàn</t>
  </si>
  <si>
    <t>[名]
1.由動物皮膚的毛細孔所排泄出的液體。如：「冷汗」、「盜汗」、「汗流浹背」、「揮汗如雨」。唐．李紳〈古風〉詩二首之二：「鋤禾日當午，汗滴禾下土。」
2.姓。如戰國時楚國有汗明。
[動]
流汗、使出汗。《漢書．卷六四下．王襃傳》：「匈喘膚汗，人極馬倦。」南朝宋．劉義慶《世說新語．言語》：「卿面何以汗？」</t>
  </si>
  <si>
    <t>(二)ㄏㄢˊ hán（04848）</t>
  </si>
  <si>
    <t>扞</t>
  </si>
  <si>
    <t>[動]
1.保衛。同「捍」。《書經．文侯之命》：「汝多修，扞我于艱。」漢．孔安國．傳：「扞我於艱難，謂救周誅犬戎。」唐．柳宗元〈封建論〉：「合為朝覲會同，離為守臣扞城。」
2.抵禦。同「捍」。《呂氏春秋．恃君覽．恃君》：「凡人之性，爪牙不足以自守衛，肌膚不足以扞寒暑。」漢．高誘．注：「扞，禦也。」
3.違反。《史記．卷一二四．游俠傳．序》：「雖時扞當世之文罔，然其私義廉絜退讓，有足稱者。」元．無名氏《硃砂擔》第三折：「檢生死輪迴案，是誰人敢把這天條扞。」
[名]
古代射手保護手臂的皮製袖套。《漢書．卷九〇．酷吏傳．尹賞傳》：「而鮮衣凶服被鎧扞兵者，悉籍記之。」唐．顏師古．注：「扞，臂衣也。」</t>
  </si>
  <si>
    <t>犴</t>
  </si>
  <si>
    <t>(一)ㄢˋ àn（10432）</t>
  </si>
  <si>
    <t>旱</t>
  </si>
  <si>
    <t>[名]
長久不下雨的情形。與「澇」相對。《字彙．日部》：「旱，亢陽不雨。」如：「防旱」、「抗旱」。漢．鼂錯〈論貴粟疏〉：「堯禹有九年之水，湯有七有之旱。」
[形]
1.乾的、缺水的。如：「氣候乾旱」。唐．來鵠〈雲〉詩：「無限旱苗枯欲盡，悠悠閒處作奇峰。」
2.屬陸地交通的。《儒林外史》第八回：「真乃是慌不擇路，趕了幾日旱路，又搭船走。」</t>
  </si>
  <si>
    <t>悍</t>
  </si>
  <si>
    <t>[形]_x000D_
1.勇猛、勇敢。《說文解字．心部》：「悍，勇也。」《史記．卷一二四．游俠列傳．郭解》：「解為人短小精悍，不飲酒。」《後漢書．卷七四下．袁紹劉表傳．劉表》：「及臨場決敵，則悍夫爭命；深籌高議，則智士傾心。」_x000D_
2.凶暴不講理。如：「悍婦」、「悍賊」。《韓非子．說林下》：「有與悍者鄰，欲賣宅而避之。」《聊齋志異．卷六．馬介甫》：「妻尹氏奇悍，少迕之，輒以鞭撻從事。」_x000D_
3.強勁、猛烈。《淮南子．兵略》：「故水激則悍，矢激則遠。」《史記．卷一〇五．扁鵲倉公列傳．倉公》：「陽疾處內，陰形應外者，不加悍藥及鑱石。」_x000D_
4.睜大的、突出的。晉．潘岳〈射雉賦〉：「奮勁骹以角槎，瞵悍目以旁睞。」_x000D_
[名]_x000D_
凶惡、殘暴的人或事。如：「馴悍」。《荀子．王制》：「抃急禁悍，防淫除邪。」</t>
  </si>
  <si>
    <t>捍</t>
  </si>
  <si>
    <t>[動]
1.保衛、護衛。《集韻．去聲．翰韻》：「扞，衛也。或作捍。」如：「捍衛國土」。唐．韓愈〈張中丞傳後敘〉：「守一城，捍天下，以千百就盡之卒，戰百萬日滋之師。」
2.阻止、抵禦。《禮記．祭法》：「能禦大菑而祀之，能捍大患而祀之。」
3.違抗。如：「捍命不降」。《北齊書．卷四七．酷吏傳．宋遊道傳》：「對捍詔使，無人臣之禮，大不敬者死。」
[名]
古時射手左臂上所帶的皮製袖套，具有保護作用。清．王念孫《廣雅疏證．卷八上．釋器》：「拾、捍、韝，韘也。」疏證：「拾、捍、韝，皆謂遂也，著於左臂所以扞弦也。」
[形]
凶暴、勇猛。通「悍」。《韓非子．五蠹》：「無私劍之捍，從斬首為勇。」《史記．卷一二九．貨殖傳》：「上谷至遼東……大與趙、代俗相類，而民雕捍少慮，有魚鹽棗栗之饒。」唐．司馬貞．索隱：「人雕捍，言如雕性之捷捍也。」</t>
  </si>
  <si>
    <t>豻</t>
  </si>
  <si>
    <t>(一)ㄢˋ àn（10434）</t>
  </si>
  <si>
    <t>焊</t>
  </si>
  <si>
    <t>[形]
乾枯、乾涸。同「熯」、「暵」。《集韻．上聲．旱韻》：「暵，乾也。或作熯、焊。」
[動]
通「銲」。</t>
  </si>
  <si>
    <t>閈</t>
  </si>
  <si>
    <t>[名]
1.里巷的門。亦泛指門。《說文解字．門部》：「閈，閭也。汝南平輿里門曰閈。」《左傳．襄公三十一年》：「高其閈閎，厚其牆垣。」唐．白居易〈和微之詩．和櫛沐寄道友〉詩：「始出里北閈，稍轉市西圜。」
2.鄉里、故鄉。《漢書．卷一〇〇．敘傳下》：「綰自同閈，鎮我北疆。」顏師古注引應劭曰：「盧綰與高祖同里。」《新唐書．卷一九八．儒學傳上．陸德明傳》：「陳亡，歸鄉閈。」
3.圍牆、牆垣。《文選．張衡．西京賦》：「閈庭詭異，門千戶萬。」李善注引〈蒼頡篇〉曰：「閈，垣也。」
[動]
1.居住。《宋書．卷七七．沈慶之傳》：「悉移親戚中表於婁湖，列門同閈焉。」
2.防禦。通「扞」。唐．韓愈〈汴州東西水門記〉：「乃作水門為邦之郛，以固風氣，以閈寇偷。」</t>
  </si>
  <si>
    <t>睅</t>
  </si>
  <si>
    <t>[動]
眼珠突出。《左傳．宣公二年》：「睅其目，皤其腹，棄甲而復。」晉．杜預．注：「睅，出目。」唐．孔穎達．正義：「目大則出見，故云出目也。」
[副]
眼睛大而突出。唐．韓愈〈祭鱷魚文〉：「刺史受天子命，守此土，治此民，而鱷魚睅然不安谿潭。」</t>
  </si>
  <si>
    <t>馯</t>
  </si>
  <si>
    <t>同「駻」。</t>
  </si>
  <si>
    <t>銲</t>
  </si>
  <si>
    <t>[動]
將玻璃、金屬等局部加熱、熔化，或以熔點較低的玻璃、金屬等修補接縫處，使彼此相連接，稱為「銲」。如：「銅銲」、「電銲」。</t>
  </si>
  <si>
    <t>駻</t>
  </si>
  <si>
    <t>[形]
馬凶悍不溫馴。《說文解字．馬部》：「駻，馬突也。」《韓非子．五蠹》：「如欲以寬緩之政，治急世之民，猶無轡策而御駻馬，此不知之患也。」
[名]
不馴服而脫韁突奔的馬。《新唐書．卷一二八．王志愔傳》：「故捨銜策于奔踶，則王良不能御駻。」</t>
  </si>
  <si>
    <t>[名]
古代喪禮中，置入亡者口中的物品，種類依其身分階級而有別。通「琀」。《公羊傳．文公五年》：「含者何？口實也。」漢．何休．解詁：「緣生以事死，不忍虛其口。天子以珠，諸侯以玉，大夫以碧，士以貝，春秋之制也。」《戰國策．趙策三》：「鄒、魯之臣，生不得事養，死則不得飯含。」《廣韻．去聲．勘韻》：「琀，送死口中玉。亦作含。」
[動]
古代喪葬禮俗，以珠玉或米貝放入亡者口中，稱為「含」。《左傳．襄公十九年》：「二月甲寅，（荀偃）卒，而視，不可含。」《禮記．檀弓下》：「邾婁考公之喪，徐君使容居來弔，含。」</t>
  </si>
  <si>
    <t>(一)ㄏㄢˊ hán（04851）</t>
  </si>
  <si>
    <t>琀</t>
  </si>
  <si>
    <t>[名]
古代置於死者口中的玉、貝等物。同「含」(二)。《說文解字．玉部》：「琀，送死口中玉也。」清．徐珂《清稗類鈔．鑒賞類．陳原心藏古玉八十一事》：「入土重出之玉，世謂之舊玉。更有古時含殮之器，謂之琀玉。」</t>
  </si>
  <si>
    <t>頷</t>
  </si>
  <si>
    <t>[名]
下巴。《後漢書．卷四七．班超傳》：「生燕頷虎頸，飛而食肉，此萬里侯相也。」唐．韓愈〈寄崔二十六立之〉詩：「連年收科第，若摘頷底髭。」
[動]
微微點頭，表示招呼、應允或嘉許的意思。宋．蘇軾〈寄題清溪寺〉詩：「遺宮若有神，頷首然吾言。」清．蔣士銓〈鳴機夜課圖記〉：「先府君每決大獄，母輒攜兒立席前，曰：『幸以此兒為念！』府君數頷之。」</t>
  </si>
  <si>
    <t>(一)[連]之語音。</t>
  </si>
  <si>
    <t>(一)ㄏㄜˊ hé（04721）(二)˙ㄏㄨㄛ huo（05069）(三)ㄏㄜˋ hè（04754）(四)ㄏㄨㄛˋ huò（05041）(六)ㄏㄨˊ hú（04952）</t>
  </si>
  <si>
    <t>菡</t>
  </si>
  <si>
    <t>顄</t>
  </si>
  <si>
    <t>[名]
下巴。《廣韻．上聲．感韻》：「顄，頤也。」《漢書．卷九九．王莽傳中》：「莽為人侈口蹷顄，露眼赤精，大聲而嘶。」</t>
  </si>
  <si>
    <t>[名]
心中不完滿的感覺。通「憾」。《史記．卷三一．吳太伯世家》：「見舞象箾、南籥者，曰：『美哉！猶有感。』」
[動]
振動、搖動。通「撼」。《詩經．召南．野有死麕》：「舒而脫脫兮，無感我帨兮，無使尨也吠。」《漢書．卷九七．外戚傳下．孝成班倢伃傳》：「廣室陰兮帷幄暗，房櫳虛兮風泠泠。感帷裳兮發紅羅，紛綷縩兮紈素聲。」</t>
  </si>
  <si>
    <t>(一)ㄍㄢˇ gǎn（04068）</t>
  </si>
  <si>
    <t>憾</t>
  </si>
  <si>
    <t>[動]
怨恨。《玉篇．心部》：「憾，恨也。」南朝宋．劉義慶《世說新語．德行》：「既還，知母憾之不已，因跪前請死。」《新唐書．卷一一七．列傳．劉禕之》：「子翼詈人，人都不憾。」
[名]
心中的怨恨或不完滿的感覺。如：「缺憾」、「遺憾」、「抱憾而終」。《左傳．襄公二十九年》：「美哉！猶有憾。」《孟子．梁惠王上》：「是使民養生喪死無憾也。」
[形]
悔恨的、不滿意的。如：「憾事」。</t>
  </si>
  <si>
    <t>撼</t>
  </si>
  <si>
    <t>[動]
1.搖動。如：「搖撼」、「震撼天地」。唐．韓愈〈調張籍〉詩：「蚍蜉撼大樹，可笑不自量。」《宋史．卷三六五．岳飛傳》：「撼山易，撼岳家軍難。」
2.慫恿、打動。《宋史．卷三四八．徐勣傳》：「蔡京自錢塘召還，過宋見勣，微言撼之曰：『元功遭遇在伯通右，伯通既相笑。』」</t>
  </si>
  <si>
    <t>漢</t>
  </si>
  <si>
    <t>[名]_x000D_
1.中國種族之一。參見「漢族」條。_x000D_
2.漢語的簡稱。如：「英漢辭典」。_x000D_
3.朝代名：(1)參見「漢朝」條。(2)三國之一。參見「蜀漢」條。(3)晉時十六國之一。參見「前趙」條。(4)晉時十六國之一。參見「成漢」條。(5)五代時十國之一。參見「南漢」條。(6)五代之一。參見「後漢」（2）條。(7)五代時十國之一。參見「北漢」條。(8)（西元1360～1363）元末陳友諒所建。順帝至正二十年，陳友諒取代紅巾領袖徐壽輝而稱帝。建都江州，國號漢。最後被朱元璋所滅。_x000D_
4.銀河、天河稱為「漢」。如：「天漢」、「銀漢」、「河漢」。北魏．酈道元《水經注．江水注》：「其翼附群山，並概青雲，更就霄漢，辨其優劣耳。」唐．李白〈月下獨酌〉詩四首之一：「永結無情遊，相期邈雲漢。」_x000D_
5.河川名。大陸地區長江最長的支流。參見「漢水」條。_x000D_
6.大陸地區漢口或武漢的簡稱。如：「京漢鐵路」、「粵漢鐵路」。_x000D_
7.男子的通稱。如：「漢子」、「老漢」、「醉漢」、「硬漢」、「負心漢」、「流浪漢」、「彪形大漢」、「英雄好漢」。_x000D_
8.丈夫、老公。《西遊記》第二三回：「八戒道：『娘，你上覆令愛，不要這等揀漢。』」_x000D_
9.姓。如清代有漢德。</t>
  </si>
  <si>
    <t>熯</t>
  </si>
  <si>
    <t>[形]
乾燥。《說文解字．火部》：「熯，乾貌。」
[動]
1.烘乾、烘烤、使乾燥。《廣韻．去聲．翰韻》：「熯，火乾。」《警世通言．卷五．呂大郎還金完骨肉》：「取出四個餅子，廚房下熯得焦黃。」
2.吳語。指用火隔鍋乾煎食物。如：「熯糰子」、「熯糖糕」、「熯麥餅」。
3.焚燒。如：「熯焚」。漢．王充《論衡．譴告》：「今熯薪燃釜，火猛則湯熱，火微則湯冷。」《西遊記》第三五回：「那怪物著實無情，一連搧了七八扇子，熯天熾地，烈火飛騰。」
4.用熔化的金屬或非金屬等，修補或黏合器物。同「焊」。民國．章太炎《新方言．釋器》：「今人謂以火合金器為熯。金器受火則熔，已合而乾故謂之熯。」</t>
  </si>
  <si>
    <t>暵</t>
  </si>
  <si>
    <t>[形]
乾燥、乾涸。《說文解字．日部》：「暵，乾也。」
[動]
晒乾、曝晒。《廣韻．上聲．旱韻》：「暵，日乾也。」金．麻九疇〈許方村即事〉詩：「山雲頃刻雨，沙地須庾暵。」</t>
  </si>
  <si>
    <t>(一)ㄍㄜˊ gé（03944）</t>
  </si>
  <si>
    <t>翰</t>
  </si>
  <si>
    <t>[名]
1.一種身上有五彩羽毛的山雞。《說文解字．羽部》：「翰，天雞也，赤羽。」也稱為「錦雞」。
2.長而堅硬的羽毛。《廣韻．去聲．翰韻》：「翰，鳥羽也。」元．戴侗《六書故．卷一九．動物》：「羽之彊者曰翰。」三國魏．曹丕〈大牆上蒿行〉：「纖羅為纓，飾以翠翰。」
3.毛筆。如：「翰墨」、「揮翰」。《文選．潘岳．秋興賦》：「於是染翰操紙，慨然而賦。」唐．李善．注：「翰，筆毫也。」
4.文詞、文章、書信等。如：「文翰」、「書翰」、「篇翰」、「華翰」。南朝梁．蕭統〈文選序〉：「事出於沉思，義歸乎翰藻。」
5.文才。《南齊書．卷五四．高逸傳．臧榮緒傳》：「其有史翰，欲令入天祿。」
6.白色的馬。《禮記．檀弓上》：「戎事乘翰，牲用白。」漢．鄭玄．注：「翰，白色馬也。」
7.棟梁。通「榦」。《詩經．大雅．崧高》：「維申及甫，維周之翰。」漢．鄭玄．注：「皆以賢知入為周之楨榦之臣。」
8.姓。如春秋時曹國有翰胡。
[動]
高飛。漢．揚雄《太玄經．卷三．應卦》：「龍翰于天，貞栗其鱗。」</t>
  </si>
  <si>
    <t>瀚</t>
  </si>
  <si>
    <t>[形]_x000D_
廣大無邊際。如：「浩瀚」。《淮南子．俶貞》：「有無者，視之不見其形，聽之不聞其聲……浩浩瀚瀚，不可隱儀揆度而通光耀者。」漢．高誘．注：「浩浩瀚瀚，廣大貌也。」</t>
  </si>
  <si>
    <t>ㄏㄣ</t>
  </si>
  <si>
    <t>hēn</t>
  </si>
  <si>
    <t>[形]
狠、凶惡。《西遊記》第一五回：「哏哏的么喝，正難息怒，只聽得空中有人言語。」
[副]
非常的。通「很」。《通俗編．語辭引元典章》：「有哏不便當語。按：哏字未見于諸字書，……度其義，當猶云甚耳。」</t>
  </si>
  <si>
    <t>(一)ㄍㄣˊ gén（04082）</t>
  </si>
  <si>
    <t>拫</t>
  </si>
  <si>
    <t>ㄏㄣˊ</t>
  </si>
  <si>
    <t>hén</t>
  </si>
  <si>
    <t>[動]
引、拉。清．王念孫《廣雅疏證．卷一下．釋詁》：「拫，引也。」</t>
  </si>
  <si>
    <t>痕</t>
  </si>
  <si>
    <t>[名]
1.傷疤。如：「傷痕」。漢．蔡琰〈胡笳十八拍〉：「塞上黃蒿兮枝枯葉乾，沙場白骨兮刀痕箭瘢。」《三國演義》第六八回：「孫權手指其痕，一一問之，周泰具言戰鬥被傷之狀。」
2.事物留下的印跡。如：「水痕」、「苔痕」、「墨痕」。唐．杜甫〈月夜〉詩：「何時倚虛幌，雙照淚痕乾。」宋．蘇軾〈正月二十日與潘郭二生出郊尋春忽記去年是日同至女王城作詩乃和前韻〉：「人似秋鴻來有信，事如春夢了無痕。」</t>
  </si>
  <si>
    <t>佷</t>
  </si>
  <si>
    <t>ㄏㄣˇ</t>
  </si>
  <si>
    <t>hěn</t>
  </si>
  <si>
    <t>[形]
凶狠剛戾。《韓非子．亡徵》：「佷剛而不和，愎諫而好勝。」《新唐書．卷九八．韋挺傳》：「周言挺佷于自用，非宰相器。」</t>
  </si>
  <si>
    <t>(二)ㄏㄥˊ héng（04919A）</t>
  </si>
  <si>
    <t>很</t>
  </si>
  <si>
    <t>[副]
甚、非常，表示程度高。如：「雨很快就停了。」、「他很喜歡看書。」、「這主意很好。」
[形]
凶暴、殘戾。《左傳．襄公二十六年》：「太子痤美而很。」《淮南子．主術》：「上好取而無量，下貪很而無讓。」
[名]
紛爭、爭訟。《禮記．曲禮上》：「很毋求勝，分毋求多。」漢．鄭玄．注：「很，鬩也。謂爭訟也。」
[動]
違逆。《國語．吳語》：「今王將很天而伐齊。」三國吳．韋昭．注：「很，違也。」</t>
  </si>
  <si>
    <t>狠</t>
  </si>
  <si>
    <t>[動]
忍住痛苦，下定決心。如：「他竟狠下心來不管他。」
[形]
凶惡、殘忍。如：「狠毒」、「心狠手辣」。《喻世明言．卷四〇．沈小霞相會出師表》：「他為人更狠，但有些小人之才，博聞強記，能思善算。」</t>
  </si>
  <si>
    <t>恨</t>
  </si>
  <si>
    <t>ㄏㄣˋ</t>
  </si>
  <si>
    <t>hèn</t>
  </si>
  <si>
    <t>[名]
遺憾、悔恨的事。如：「記恨」、「飲恨而終」。《荀子．成相》：「不知戒，後必有恨。」唐．白居易〈長恨歌〉：「天長地久有時盡，此恨綿綿無絕期。」
[動]
怨、仇視。如：「怨恨」、「憎恨」。《荀子．堯問》：「處官久者士妒之，祿厚者民怨之，位尊者君恨之。」唐．李白〈怨情〉詩：「但見淚痕溼，不知心恨誰？」</t>
  </si>
  <si>
    <t>夯</t>
  </si>
  <si>
    <t>ㄏㄤ</t>
  </si>
  <si>
    <t>hāng</t>
  </si>
  <si>
    <t>[名]
用來敲打地基，使其結實的工具。如：「木夯」、「石夯」、「鐵夯」。
[動]
1.脹滿、鼓脹。元．石君寶《秋胡戲妻》第四折：「怎敢來俺莊上，不由的忿氣夯胸膛。」元．關漢卿《調風月》第二折：「氣夯破肚別人行怎又不敢提？獨自向銀蟾底。」
2.北方方言。指用力以肩扛物。如：「夯行李」。明．凈善重集．禪林寶訓一：「自家閨閣中物不肯放下，返累及他人擔夯，無乃大勞乎！」
3.用夯砸地。如：「夯實」、「夯地」。</t>
  </si>
  <si>
    <t>行</t>
  </si>
  <si>
    <t>ㄏㄤˊ</t>
  </si>
  <si>
    <t>háng</t>
  </si>
  <si>
    <t>[名]
1.行列。直列為行，橫排為列。《左傳．成公二年》：「屬當戎行，無所逃隱。」唐．杜甫〈贈衛八處士〉詩：「昔別君未婚，兒女忽成行。」
2.兄弟姐妹長幼的次序。如：「排行老三。」
3.量詞。計算成排東西的單位。如：「一行樹」、「一目十行」。唐．杜甫〈絕句〉四首之三：「兩個黃鸝鳴翠柳，一行白鷺上青天。」
4.營業交易的機構。如：「銀行」、「洋行」、「分行」、「商行」、「行庫」。
5.職業。如：「各行各業」、「行行出狀元」、「三句話不離本行」。
6.表處所，用於人稱之後。宋．周邦彥〈風流子．新綠小池塘〉詞：「最苦夢魂，今宵不到伊行。」《水滸傳》第一四回：「你這等賊心賊肝，我行須使不得！」</t>
  </si>
  <si>
    <t>(一)ㄒㄧㄥˊ xíng（07240）(二)ㄒㄧㄥˋ xìng（07249）(四)ㄏㄤˋ hàng（04913）</t>
  </si>
  <si>
    <t>桁</t>
  </si>
  <si>
    <t>[名]
1.古代的一種大型刑具。夾在犯人的頸上或腳上。《集韻．平聲．唐韻》：「桁，木在足曰械，大械曰桁。」《莊子．在宥》：「桁楊者相推也，刑戮者相望也。」
2.量詞。古代計算成行東西的單位。通「行」。唐．韋莊〈灞陵道中作〉詩：「春橋南望水溶溶，一桁晴山倒碧峰。」五代十國南唐．李煜〈浪淘沙．往事只堪哀〉詞：「一桁珠簾閒不卷，終日誰來。」
3.浮橋。《晉書．卷六七．溫嶠傳》：「嶠燒朱雀桁以挫其鋒，帝怒之。」北魏．酈道元《水經注．涔水注》：「城北水舊有桁，北渡涔水，水北有趙軍城，北又有桁。」</t>
  </si>
  <si>
    <t>(一)ㄏㄥˊ héng（04923）(三)ㄏㄤˋ hàng（04914）</t>
  </si>
  <si>
    <t>沆</t>
  </si>
  <si>
    <t>[動]
渡水。《廣韻．平聲．唐韻》：「沆，渡也。」</t>
  </si>
  <si>
    <t>(二)ㄏㄤˋ hàng（04915）</t>
  </si>
  <si>
    <t>[名]
咽喉、喉嚨。如：「引吭高歌」、「扼吭憤嘆」。《文選．左思．蜀都賦》：「雲飛水宿，哢吭清渠。」唐．柳宗元〈上門下李夷簡相公陳情書〉：「然猶仰首伸吭，張目而視。」</t>
  </si>
  <si>
    <t>(二)ㄎㄥ kēng（04550）</t>
  </si>
  <si>
    <t>迒</t>
  </si>
  <si>
    <t>[名]
1.野獸經過所留下的痕跡。漢．許慎〈說文解字序〉：「黃帝之史倉頡，見鳥獸蹄迒之跡，知分理之可相別異也，初造書契。」宋．黃庭堅〈上大蒙籠〉詩：「苦竹參天大石門，虎迒兔蹊聊倚息。」
2.道路。《文選．張衡．西京賦》：「結罝百里，迒杜蹊塞。」三國吳．薛綜．注：「迒，道也。」
3.車行的痕跡。《文選．張衡．東京賦》：「軌塵掩迒，匪疾匪徐。」</t>
  </si>
  <si>
    <t>杭</t>
  </si>
  <si>
    <t>[名]
1.舟、船。通「航」。《楚辭．屈原．九章．惜誦》：「昔余夢登天兮，魂中道而無杭。」《史記．卷一一七．司馬相如傳》：「經營炎火而浮弱水兮，杭絕浮渚而涉流沙。」
2.大陸地區杭州的簡稱。如：「上有天堂，下有蘇杭。」
3.姓。如漢代有杭徐。
[動]
渡水。通「航」。《詩經．衛風．河廣》：「誰謂河廣？一葦杭之。」</t>
  </si>
  <si>
    <t>肮</t>
  </si>
  <si>
    <t>[名]
咽喉。《史記．卷八九．張耳陳餘傳》：「縱上不殺我，我不愧于心乎？乃仰絕肮，遂死。」</t>
  </si>
  <si>
    <t>蚢</t>
  </si>
  <si>
    <t>[名]
1.一種野蠶。蛾類的幼蟲，食蕭葉為生。《爾雅．釋蟲》：「蚢，蕭繭。」宋．邢昺．疏：「食蕭葉作繭者名蚢。」
2.大貝。《文選．郭璞．江賦》：「紫蚢如渠，洪蚶專車。」李善注引《爾雅》曰：「大貝曰蚢。」</t>
  </si>
  <si>
    <t>航</t>
  </si>
  <si>
    <t>[名]
1.舟、船。《文選．左思．吳都賦》：「於是乎長鯨吞航，修鯢吐浪。」元．馬致遠〈壽陽曲．遠浦帆歸〉曲：「夕陽下，酒旆閑，兩三航未曾著岸。」
2.連舟而成的浮橋。《淮南子．氾論》：「古者大川名谷，衝絕道路，不通往來也，乃為窬木方版以為舟航。」
[動]
船、飛機等的行走。如：「領航」、「巡航」、「導航」。唐．韓愈〈答張徹〉詩：「疊雪走商嶺，飛波航洞庭。」</t>
  </si>
  <si>
    <t>頏</t>
  </si>
  <si>
    <t>[動]
鳥向下飛。《詩經．邶風．燕燕》：「燕燕于飛，頡之頏之。」漢．毛亨．傳：「飛而上曰頡，飛而下曰頏。」</t>
  </si>
  <si>
    <t>ㄏㄤˋ</t>
  </si>
  <si>
    <t>hàng</t>
  </si>
  <si>
    <t>參見「行行」、「樹行子」等條。</t>
  </si>
  <si>
    <t>(一)ㄒㄧㄥˊ xíng（07240）(二)ㄒㄧㄥˋ xìng（07249）(三)ㄏㄤˊ háng（04903）</t>
  </si>
  <si>
    <t>[名]
衣架。《宋書．卷二一．樂志三》：「盎中無斗儲，還視桁上無縣衣。」唐．韓愈〈寄崔二十六立之〉詩：「桁挂新衣裳，盎棄食殘糜。」</t>
  </si>
  <si>
    <t>(一)ㄏㄥˊ héng（04923）(二)ㄏㄤˊ háng（04904）</t>
  </si>
  <si>
    <t>參見「漭沆」條。</t>
  </si>
  <si>
    <t>(一)ㄏㄤˊ háng（04905）</t>
  </si>
  <si>
    <t>ㄏㄥ</t>
  </si>
  <si>
    <t>hēng</t>
  </si>
  <si>
    <t>[形]
通達、順利。如：「萬事亨通」。《易經．坤卦．彖曰》：「含弘光大，品物咸亨。」</t>
  </si>
  <si>
    <t>(二)（(一)之又音）ㄏㄥˊ héng（04919）(三)ㄆㄥ pēng（00761）</t>
  </si>
  <si>
    <t>哼</t>
  </si>
  <si>
    <t>[動]
低聲吟詠、歌唱。如：「哼哼唱唱」、「她哼著一首催眠曲」。
[擬]
痛苦呻吟所發出的聲音。《兒女英雄傳》第三回：「公子又問：『你怎麼了？』華忠說：『不怎麼著，想是喝多了有些水瀉。』……哼啊哼的，哼成一處。」
[歎]
表示不滿、輕視或憤怒的語氣。如：「哼！有什麼稀罕？」</t>
  </si>
  <si>
    <t>脝</t>
  </si>
  <si>
    <t>參見「膨脝」條。</t>
  </si>
  <si>
    <t>ㄏㄥˊ</t>
  </si>
  <si>
    <t>héng</t>
  </si>
  <si>
    <t>(一)ㄏㄥ hēng（04916）(三)ㄆㄥ pēng（00761）</t>
  </si>
  <si>
    <t>[名]
地名用字：(1)如大陸地區湖北省長陽縣西北的佷山。(2)如漢朝時的佷山縣，屬武陵郡，位於現今大陸地區湖北省長陽縣東。</t>
  </si>
  <si>
    <t>(一)ㄏㄣˇ hěn（04898）</t>
  </si>
  <si>
    <t>恆</t>
  </si>
  <si>
    <t>[形]
1.長久的、不變的。如：「恆心」。《孟子．梁惠王上》：「無恆產而有恆心者，惟士為能。」南朝梁．劉勰《文心雕龍．物色》：「然物有恆姿，而思無定檢。」
2.平常的、普通的。《莊子．大宗師》：「是恆物之大情也。」《後漢書．卷八三．逸民傳．梁鴻傳》：「鄰家耆老，見鴻非恆人，乃共責讓主人，而稱鴻長者。」
[名]
1.長久不變的意志。如：「持之以恆」。《論語．子路》：「人而無恆，不可以作巫醫。」《文選．崔瑗．座右銘》：「行之苟有恆，久久自芬芳。」
2.《易經》卦名。六十四卦之一。巽（☴）下震（☳）上。表長久不變之道。
3.姓。如漢代有恆奕。
[副]
經常。《書經．伊訓》：「敢有恆舞於宮，酣歌於室，時謂巫風。」《晉書．卷九四．隱逸傳．陶潛傳》：「性嗜酒，而家貧不能恆得。」</t>
  </si>
  <si>
    <t>姮</t>
  </si>
  <si>
    <t>參見「姮娥」條。</t>
  </si>
  <si>
    <t>珩</t>
  </si>
  <si>
    <t>[名]
古代一組玉佩上端的橫玉。清．朱駿聲《說文通訓定聲．壯部》：「珩者，佩首橫玉，所以繫組。」《國語．晉語二》：「黃金四十鎰，白玉之珩六雙。」三國吳．韋昭．注：「珩，佩上飾也。珩形似磬而小。」</t>
  </si>
  <si>
    <t>[名]
屋梁上的橫木。《文選．何晏．景福殿賦》：「桁梧複疊，勢合形離。」唐．李善．注：「桁，梁上所施也。」</t>
  </si>
  <si>
    <t>(二)ㄏㄤˊ háng（04904）(三)ㄏㄤˋ hàng（04914）</t>
  </si>
  <si>
    <t>橫</t>
  </si>
  <si>
    <t>[名]
1.遮門的欄木。《說文解字．木部》：「橫，闌木也。」清．段玉裁．注：「闌，門遮也。引伸為凡遮之稱。凡以木闌之，皆謂之橫也。」
2.與地平線平行、東西向的線條。與「直」、「豎」、「縱」相對。如：「縱橫交錯」。《楚辭．東方朔．七諫．沈江》：「不開寤而難道兮，不別橫之與縱。」
3.書法中由左而右的平筆。如：「三橫一豎是『王』字。」
4.連橫的簡稱。為戰國時張儀所提倡的一種外交政策。與「合縱」相對。《文選．賈誼．過秦論》：「約縱離橫，兼韓魏燕趙宋衛中山之眾。」
[動]
1.把直立的東西放平。《儀禮．鄉射禮》：「上射揖進坐，橫弓卻手，自弓下取一個。」宋．蘇軾〈赤壁賦〉：「釃酒臨江，橫槊賦詩，固一世之雄也。」
2.瀰漫、籠罩。《文選．孔稚珪．北山移文》：「風情張日，霜氣橫秋。」唐．韓愈〈左遷至藍關示姪孫湘〉詩：「雲橫秦嶺家何在？雪擁藍關馬不前。」
3.渡過、跨越。《漢書．卷八七．揚雄傳上》：「上乃帥群臣橫大河，湊汾陰。」唐．孟郊〈出門行〉：「參辰出沒不相待，我欲橫天無羽翰。」
[形]
水平的、東西向的。如：「橫笛」、「橫隊」。唐．王建〈織錦曲〉：「窗中夜久睡髻偏，橫釵欲墮垂著扇。」元．馬致遠〈夜行船．百歲光陰一夢蝶套．喬木查〉曲：「縱荒墳橫斷碑，不辨龍蛇。」
[副]
1.水平的、東西向的。如：「橫放」、「橫行」、「橫衝直撞」、「橫渡大西洋」。
2.雜亂的、交錯的。如：「妙趣橫生」。三國魏．曹植〈酒賦〉：「或顰蹴辭觴，或奮爵橫飛。」唐．杜甫〈過郭代公故宅〉詩：「壯公臨事斷，顧步涕橫落。」</t>
  </si>
  <si>
    <t>(二)ㄏㄥˋ hèng（04928）</t>
  </si>
  <si>
    <t>衡</t>
  </si>
  <si>
    <t>[名]
1.置於車轅前端的橫木。《論語．衛靈公》：「在輿，則見其倚於衡也。」唐．陸德明《經典釋文．卷二七．莊子音義中》：「衡，轅前橫木，縛軛者也。」
2.秤，量輕重的器具。《荀子．禮論》：「衡誠縣矣，則不可欺以輕重。」《文選．張衡．東京賦》：「同衡律而壹軌量，齊急舒於寒燠。」三國吳．薛綜．注：「衡，稱也。軌，法。」
3.眉目之間。《後漢書．卷六〇下．蔡邕列傳》：「胡老乃揚衡含笑，援琴而歌。」南朝梁．劉孝標〈廣絕交論〉：「見一善則盱衡扼腕，遇一才則揚眉抵掌。」
4.玉衡的簡稱，參見「玉衡」條。
5.大陸地區衡山的簡稱。為五嶽之一。唐．王勃〈滕王閣序〉：「星分翼、軫，地接衡、廬。」
6.姓。如漢代有衡咸。
[動]
1.量輕重。《墨子．經說下》：「衡，加重於其一旁，必捶。」晉．陸機〈演連珠〉五〇首之二：「物勝權而衡殆，形過鏡則照窮。」
2.斟酌、考量。如：「衡情度理」、「權衡得失」。
3.違抗、拂逆。《史記．卷六二．管晏傳》：「國有道，即順命；無道，即衡命。」《警世通言．卷九．李謫仙醉草嚇蠻書》：「豈非逆天之咎徵，衡大之明鑒與！」</t>
  </si>
  <si>
    <t>蘅</t>
  </si>
  <si>
    <t>[名]
植物名。馬兜鈴科細辛屬，「杜蘅」之古稱。參見「杜蘅」條。</t>
  </si>
  <si>
    <t>絎</t>
  </si>
  <si>
    <t>ㄏㄥˋ</t>
  </si>
  <si>
    <t>hèng</t>
  </si>
  <si>
    <t>[名]
邊緣。清．王念孫《廣雅疏證．卷二下．釋詁》：「絎，緣也。」
[動]
用針線粗針直縫，使布料固定。《廣韻．去聲．映韻》：「絎，刺縫。」</t>
  </si>
  <si>
    <t>[形]
1.放肆、粗暴、不講理的。如：「蠻橫」、「專橫」、「橫政」。宋．歐陽修〈蝶戀花．庭院深深深幾許〉詞：「雨橫風狂三月暮。門掩黃昏，無計留春住。」
2.意想不到的、不正常的。如：「橫事」、「橫禍」。《儒林外史》第一九回：「二相公，你如今得了這一注橫財，這就不要花費了，做些正經事。」</t>
  </si>
  <si>
    <t>(一)ㄏㄥˊ héng（04924）</t>
  </si>
  <si>
    <t>乎</t>
  </si>
  <si>
    <t>ㄏㄨ</t>
  </si>
  <si>
    <t>hū</t>
  </si>
  <si>
    <t>[介]
相當於「於」。如：「合乎規定」、「出乎意料」。《戰國策．燕策二》：「擢之乎賓客之中，而立之乎群臣之上。」唐．韓愈〈師說〉：「生乎吾前，其聞道也，固先乎吾，吾從而師之。」
[助]
1.用於句尾，表示疑問的語氣。相當於「嗎」、「呢」。《論語．學而》：「為人謀而不忠乎？與朋友交而不信乎？傳不習乎？」清．薛福成〈觀巴黎油畫院記〉：「盍馳往油畫院一觀普、法交戰圖乎？」
2.用於句尾，表示反詰的語氣。《論語．學而》：「學而時習之，不亦說乎？」唐．韓愈〈祭十二郎文〉：「如吾之衰者，其能久存乎？」
3.用於句尾，表示召喚的語氣。《論語．里仁》：「參乎！吾道一以貫之。」
4.用於句尾，表示推測的語氣。《左傳．僖公二十一年》：「宋其亡乎？幸而後敗。」
5.用於句中，表示停頓。《文選．陸機．文賦》：「同橐籥之罔窮，與天地乎並育。」宋．周敦頤〈愛蓮說〉：「牡丹之愛，宜乎眾矣！」
6.用於形容詞後，表示讚美的語氣。《論語．八佾》：「郁郁乎文哉！」《孟子．滕文公上》：「巍巍乎有天下而不與焉！」
[歎]
表示感歎的語氣，相當於「啊」。《論語．子罕》：「惜乎！吾見其進也，未見其止也。」清．袁枚〈祭妹文〉：「天乎！天乎！而竟已乎！」</t>
  </si>
  <si>
    <t>(二)（又音）ㄏㄨˊ hú（04949）</t>
  </si>
  <si>
    <t>呼</t>
  </si>
  <si>
    <t>[動]
1.吐氣。與「吸」相對。如：「呼氣」。《莊子．刻意》：「吹呴呼吸，吐故納新，熊經鳥申，為壽而已矣。」唐．柳宗元〈捕蛇者說〉：「觸風雨，犯寒暑，呼噓毒癘，往往而死者相籍也。」
2.大聲吶喊。《詩經．大雅．蕩》：「式號式呼，俾晝作夜。」《文選．李陵．答蘇武書》：「振臂一呼，創病皆起。」
3.招、喚。如：「呼朋引伴」、「呼風喚雨」。《史記．卷四十八．陳涉世家》：「陳王出，遮道而呼涉。」唐．顏仁郁〈農家〉詩：「夜半呼兒趁曉耕，羸牛無力漸艱行。」
4.稱、謂。唐．白居易．寄明州于駙馬使君三絕句之三：「何郎小妓歌喉好，嚴老呼為一串珠。」《浮生六記．卷一．閨房記樂》：「自幼姊弟相呼，故仍呼之曰淑姊。」
[歎]
表感嘆的語氣。《論語．八佾》：「嗚呼！曾謂泰山不如林放乎！」
[擬]
形容風吹動的聲音。如：「北風呼呼的吹。」
[名]
姓。如漢代有呼子先。</t>
  </si>
  <si>
    <t>虖</t>
  </si>
  <si>
    <t>[歎]
表感嘆的語氣。同「呼」。《漢書．卷六．武帝紀》：「嗚虖！何施而臻此與！」</t>
  </si>
  <si>
    <t>(二)ㄏㄨˊ hú（▲04949）</t>
  </si>
  <si>
    <t>滹</t>
  </si>
  <si>
    <t>參見「滹沱河」條。</t>
  </si>
  <si>
    <t>嘑</t>
  </si>
  <si>
    <t>[動]
大聲叫喚。同「呼」。《新唐書．卷二〇九．酷吏傳．姚紹之傳》：「囚嘑曰：『宰相有附三思者。』」</t>
  </si>
  <si>
    <t>(二)ㄏㄨˋ hù（04998）</t>
  </si>
  <si>
    <t>歑</t>
  </si>
  <si>
    <t>[動]
吐氣。通「呼」。《玉篇．欠部》：「歑，出氣息也。」</t>
  </si>
  <si>
    <t>謼</t>
  </si>
  <si>
    <t>[動]
大聲呼叫。《玉篇．言部》：「謼，大叫也。」《漢書．卷五一．賈山傳》：「一夫大謼，天下嚮應者，陳勝是也。」唐．顏師古．注：「謼字與呼同。謼，叫也。」</t>
  </si>
  <si>
    <t>虍</t>
  </si>
  <si>
    <t>[名]
1.老虎身上的花紋。《說文解字．虍部》：「虍，虎文也。」
2.二一四部首之一。</t>
  </si>
  <si>
    <t>虎</t>
  </si>
  <si>
    <t>參見「馬馬虎虎」條。</t>
  </si>
  <si>
    <t>(一)ㄏㄨˇ hǔ（04975）</t>
  </si>
  <si>
    <t>芴</t>
  </si>
  <si>
    <t>[形]
恍惚。《莊子．至樂》：「芒乎芴乎，而無有象乎？」唐．成玄英．疏：「恍惚芒昧，參差難測。」
[副]
忽然。通「忽」。《荀子．正名》：「故愚者之言，芴然而粗。」唐．楊倞．注：「芴與忽同。忽然，無根本貌。」</t>
  </si>
  <si>
    <t>(一)ㄨˋ wù（11281）</t>
  </si>
  <si>
    <t>昒</t>
  </si>
  <si>
    <t>[形]
天色將明而未明。《玉篇．日部》：「昒，旦明也。」《集韻．入聲．勿韻》：「昒，未明也。」</t>
  </si>
  <si>
    <t>忽</t>
  </si>
  <si>
    <t>[動]
1.不留心、不注意。如：「忽略」、「疏忽」。唐．魏徵〈論時政疏〉：「載舟覆舟，所宜深慎！奔車朽索，其可忽乎？」明．方孝孺〈深慮論〉：「然而禍常發於所忽之中，而亂常起於不足疑之事。」
2.輕視、瞧不起。漢．曹操〈表劉琮令〉：「蔑萬里之業，忽三軍之眾。」唐．李白〈與韓荊州書〉：「願君侯不以富貴而驕之，寒賤而忽之。」
[副]
突然。如：「忽喜忽憂」、「忽冷忽熱」。唐．杜甫〈贈衛八處士〉詩：「昔別君未婚，兒女忽成行。」唐．白居易〈琵琶行〉：「忽聞水上琵琶聲，主人忘歸客不發。」
[形]
快速的、一瞬間。如：「倏忽」。《左傳．莊公十一年》：「桀紂罪人，其亡也忽焉。」
[名]
姓。如明代有忽仲、忽明。</t>
  </si>
  <si>
    <t>曶</t>
  </si>
  <si>
    <t>[名]
極微小的數。《續漢書志．第二．律曆志中》：「夫數出於杪曶，以成毫氂，毫氂積累，以成分寸。」
[形]
疾速的、快速的。《文選．揚雄．羽獵賦》：「昭光振燿，蠁曶如神。」《文選．傅毅．舞賦》：「蜲蛇姌嫋，雲轉飄曶。」
[動]
輕忽、忽略。通「忽」。《漢書．卷八七．揚雄傳下．贊曰》：「用心於內，不求於外，於時人皆曶之。」</t>
  </si>
  <si>
    <t>淴</t>
  </si>
  <si>
    <t>[形]
水流急速。《文選．郭璞．江賦》：「潏湟淴泱。」唐．李善．注：「皆水流漂疾之貌。」</t>
  </si>
  <si>
    <t>惚</t>
  </si>
  <si>
    <t>參見「恍惚」條。</t>
  </si>
  <si>
    <t>欻</t>
  </si>
  <si>
    <t>[副]
忽然、突然。《文選．張衡．西京賦》：「神山崔巍，欻從背見。」《隋書．卷二二．五行志上》：「未至數里，野火欻起。」</t>
  </si>
  <si>
    <t>(二)ㄔㄨㄚ chuā（08576）(三)ㄒㄩˋ xù（07319）</t>
  </si>
  <si>
    <t>糊</t>
  </si>
  <si>
    <t>[動]
黏合封閉。如：「糊窟窿」、「拿一張紙把這條縫糊上。」</t>
  </si>
  <si>
    <t>(一)ㄏㄨˊ hú（04960）(二)ㄏㄨˋ hù（05000）</t>
  </si>
  <si>
    <t>幠</t>
  </si>
  <si>
    <t>[動]
覆蓋。《儀禮．士喪禮》：「死于適室，幠用斂衾。」漢．鄭玄．注：「幠，覆也。」
[形]
傲慢。《禮記．投壺》：「毋幠，毋敖，毋偕立，毋踰言，若是者浮。」</t>
  </si>
  <si>
    <t>膴</t>
  </si>
  <si>
    <t>[名]
1.去骨的乾肉。《說文解字．肉部》：「膴，無骨腊也。」《周禮．天官．腊人》：「凡祭祀共豆脯，薦脯、膴、胖凡腊物。」
2.法則。《詩經．小雅．小旻》：「民雖靡膴，或哲或謀。」漢．鄭玄．箋：「膴，法也。」</t>
  </si>
  <si>
    <t>(二)ㄨˇ wǔ（11271）</t>
  </si>
  <si>
    <t>戲</t>
  </si>
  <si>
    <t>參見「於戲」條。</t>
  </si>
  <si>
    <t>(一)ㄒㄧˋ xì（06878）(三)ㄏㄨㄟ huī（05099）</t>
  </si>
  <si>
    <t>ㄏㄨˊ</t>
  </si>
  <si>
    <t>hú</t>
  </si>
  <si>
    <t>(一)ㄏㄨ hū（04929）</t>
  </si>
  <si>
    <t>抇</t>
  </si>
  <si>
    <t>[動]
1.挖掘。《荀子．堯問》：「為人下者乎？其猶土也。深抇之而得甘泉焉。」
2.攪動。《呂氏春秋．孟春紀．本生》：「未水之性清，土者抇之，故不得清。」唐．柳宗元〈愚溪對〉：「秦有水，掎抇泥淖，撓混沙礫。」</t>
  </si>
  <si>
    <t>囫</t>
  </si>
  <si>
    <t>[動]
牌戲中牌張已湊齊成副而獲勝稱為「和」。如：「和牌」。《文明小史》第五五回：「秦鳳梧自己買這樣，買那樣，應酬朋友，吃酒碰和，毛毛的也有一萬了。」</t>
  </si>
  <si>
    <t>(一)ㄏㄜˊ hé（04721）(二)˙ㄏㄨㄛ huo（05069）(三)ㄏㄜˋ hè（04754）(四)ㄏㄨㄛˋ huò（05041）(五)ㄏㄢˋ hàn（04883）</t>
  </si>
  <si>
    <t>狐</t>
  </si>
  <si>
    <t>[名]
1.動物名。食肉目犬科。似犬而小，體瘦，面部較長。吻尖突，耳朵三角形。尾大而長，毛多為赤黃色。性聰明敏感，令人覺得狡猾。喜食野鼠、鳥類、家禽等，皮可製裘。常見的種類如赤狐、銀狐、北非小狐等。也稱為「狐狸」。
2.姓。如春秋時晉國有狐偃，明代有狐忠。</t>
  </si>
  <si>
    <t>弧</t>
  </si>
  <si>
    <t>[名] 
1.木弓。《說文解字．弓部》：「弧，木弓也。」《易經．繫辭下》：「弦木為弧，剡木為矢。」
2.數學上指圓周的任意一段。如：「圓弧」。
3.弧形符號。如：「括弧」。
4.姓。如春秋時楚國有弧父。
[形]
彎曲的、有曲線的。如：「弧形」。</t>
  </si>
  <si>
    <t>胡</t>
  </si>
  <si>
    <t>[名]
1.古代北方和西方諸民族的通稱。如：「五胡亂華」。宋．岳飛〈滿江紅．怒髮衝冠〉詞：「壯志饑餐胡虜肉，笑談渴飲匈奴血。」
2.姓。如明代有胡應麟。
[形]
1.來自胡族或外國的。如：「胡琴」、「胡桃」、「胡椒」。《續漢書志．第一三．五行志一》：「靈帝好胡服、胡帳、胡床、胡坐、胡飯、胡空侯、胡笛、胡舞，京都貴戚皆競為之。」晉．干寶《搜神記》卷二：「晉永嘉中，有天竺胡人，來渡江南。」
2.長遠的。《儀禮．士冠禮》：「眉壽萬年，永受胡福。」
[副]
1.任意、隨便。如：「胡鬧」、「胡說」、「胡作非為」、「胡言亂語」。
2.何故、為何、怎麼。《詩經．邶風．式微》：「式微式微，胡不歸？」《漢書．卷六四下．王襃傳》：「其得意若此，則胡禁不止？」
[代]
什麼。《漢書．卷三九．蕭何傳》：「相國胡大罪？陛下繫之暴也？」</t>
  </si>
  <si>
    <t>湖</t>
  </si>
  <si>
    <t>[名]
1.被陸地包圍，匯集大水的地方。如：「太湖」、「洞庭湖」、「鄱陽湖」、「三江五湖」。
2.姓。如宋代有湖沐。</t>
  </si>
  <si>
    <t>猢</t>
  </si>
  <si>
    <t>參見「猢猻」條。</t>
  </si>
  <si>
    <t>瑚</t>
  </si>
  <si>
    <t>[名]
1.參見「珊瑚」條。
2.古代宗廟祭祀時盛黍稷的禮器。《玉篇．玉部》：「瑚，《論語注》云：『瑚璉，黍稷之器。夏曰瑚，殷曰璉。』」</t>
  </si>
  <si>
    <t>葫</t>
  </si>
  <si>
    <t>[名]
植物名：(1)百合科蔥屬，「大蒜」之古稱。參見「大蒜」條。(2)參見「葫蘆」條。</t>
  </si>
  <si>
    <t>[名]
1.以米麥粉和水調成的稠狀物。如：「麵糊」、「漿糊」。
2.具有黏性而穠稠的食物。通「餬」。如：「芋糊」、「鱔糊」、「芝麻糊」。《西遊記》第六九回：「滑軟黃粱飯，清新菰米糊。」
[動]
1.黏貼。如：「裱糊」、「糊紙」。《老殘遊記》第七回：「又叫買了幾張桑皮紙，把那個破窗戶糊了。」
2.填飽肚子。同「餬」。《警世通言．卷二五．桂員外途窮懺悔》：「自耕自食，儘可糊口。」
[形]
不清楚、不明白。參見「模糊」條。
[副]
燒焦、煮爛。如：「蛋煎糊了。」、「我把那鍋牛肉煮糊了。」</t>
  </si>
  <si>
    <t>(二)ㄏㄨˋ hù（05000）(三)ㄏㄨ hū（04945）</t>
  </si>
  <si>
    <t>蝴</t>
  </si>
  <si>
    <t>參見「蝴蝶」條。</t>
  </si>
  <si>
    <t>衚</t>
  </si>
  <si>
    <t>參見「衚衕」條。</t>
  </si>
  <si>
    <t>醐</t>
  </si>
  <si>
    <t>餬</t>
  </si>
  <si>
    <t>[名]
1.稠粥。《爾雅．釋言》：「餬，饘也。」晉．郭璞．注：「餬，糜也。」宋．邢昺．疏：「餬、饘、鬻、糜，相類之物，稠者曰糜，淖者曰鬻，餬、饘是其別名。」
2.粥狀的食物。如：「米餬」、「芝麻餬」。
[動]
1.塗黏、黏合。如：「餬紙」、「餬燈籠」。
2.用食物填飽肚子。參見「餬口」條。
3.敷衍。《儒林外史》第二三回：「當時兌了一萬兩銀子出來，纔餬的去了，不曾破相。」</t>
  </si>
  <si>
    <t>鬍</t>
  </si>
  <si>
    <t>[名]
長在嘴邊的毛。如：「鬍鬚」、「絡腮鬍」。</t>
  </si>
  <si>
    <t>鶘</t>
  </si>
  <si>
    <t>斛</t>
  </si>
  <si>
    <t>[名]
1.量詞。古代計算容量的單位。十斗為一斛，後改作五斗為一斛。《說文解字》：「斛，十斗也。」明．張自烈《正字通．斗部》：「斛，今制五斗曰斛，十斗曰石。」
2.一種古代的量器。《莊子．胠篋》：「為之斗斛以量之，則並與斗斛而竊之。」</t>
  </si>
  <si>
    <t>槲</t>
  </si>
  <si>
    <t>[名]
植物名。殼斗科麻櫟屬，落葉喬木。枝椏粗壯，密被黃褐色短毛。葉倒卵形，波狀粗鋸齒緣，兩面被有軟毛或星狀毛。柔荑花序穗狀，下垂，花黃綠色。堅果卵形，平滑，殼斗碗狀，包被堅果之一半，苞片扁平。材質堅硬，可供製器具及枕木；葉子可飼養柞蠶。也稱為「檞樹」。</t>
  </si>
  <si>
    <t>壺</t>
  </si>
  <si>
    <t>[名]
1.以陶土或金屬製成的容器。小口大腹，通常用來盛裝酒漿、茶水或其他東西。如：「水壺」、「酒壺」、「茶壺」、「鼻煙壺」。
2.量詞。計算壺裝物的單位。如：「一壺水」、「兩壺茶」。
3.姓。如漢代有壺遂。</t>
  </si>
  <si>
    <t>搰</t>
  </si>
  <si>
    <t>[動]
挖掘。《國語．吳語》：「狐埋之而狐搰之，是以無成功。」</t>
  </si>
  <si>
    <t>[名]
部分鳥綱隼科隼屬動物的舊稱。行動敏捷，凶猛有力，獵人常馴以捕捉鳥兔。如：「千里鶻」、「穿雲鶻」。</t>
  </si>
  <si>
    <t>(一)ㄍㄨˇ gǔ（04174）</t>
  </si>
  <si>
    <t>縠</t>
  </si>
  <si>
    <t>[名]
1.縐紗。《文選．宋玉．神女賦》：「動霧縠以徐步兮，拂墀聲之珊珊。」
2.比喻波紋。宋．蘇軾〈臨江仙．夜飲東坡醒復醉〉詞：「長恨此身非我有，何時忘卻營營？夜闌風靜縠紋平。」</t>
  </si>
  <si>
    <t>觳</t>
  </si>
  <si>
    <t>[名]
量詞。古代計算容量的單位。十斗為一觳，後改作五斗為一觳。《周禮．冬官考工記．陶人》：「鬲實五觳，厚半寸脣寸。庾實二觳，厚半寸脣寸。」
[形]
參見「觳觫」條。</t>
  </si>
  <si>
    <t>[名]
動物名。鳥綱雁形目。體形似雁而較大，頸長，腳短。行走不便，但在水中能迅速划行，姿態優雅。能高飛，且鳴聲洪亮。俗稱為「天鵝」。
[副]
比喻像鵠般伸長頸子的樣子。如：「鵠立」、「鵠候」、「鵠望」。</t>
  </si>
  <si>
    <t>(二)ㄍㄨˇ gǔ（04183）</t>
  </si>
  <si>
    <t>ㄏㄨˇ</t>
  </si>
  <si>
    <t>hǔ</t>
  </si>
  <si>
    <t>[名]
1.動物名。哺乳類食肉目貓科。形似貓，全身黃褐色，具黑色條紋。性凶猛。獨居，善游泳。於夜間狩獵，以鹿、羊、豬等為食。俗稱為「老虎」。
2.姓。如漢代有虎旗。
[形]
威武勇猛。如：「虎將」、「龍兄虎弟」、「虎父無犬子」。《詩經．魯頌．泮水》：「矯矯虎臣，在泮獻馘。」《後漢書．卷八四．烈女傳．董祀妻傳》：「明公廄馬萬匹，虎士成林。」</t>
  </si>
  <si>
    <t>(二)ㄏㄨ hū（04937）</t>
  </si>
  <si>
    <t>唬</t>
  </si>
  <si>
    <t>[動]
虛張聲勢來威嚇別人。如：「嚇唬」。</t>
  </si>
  <si>
    <t>琥</t>
  </si>
  <si>
    <t>[名]
1.古代發兵所用的玉製信物。《說文解字．玉部》：「琥，發兵瑞玉。」
2.古代祭神用的虎形玉器。《周禮．春官．大宗伯》：「以玉作六器，以禮天地四方……以白琥禮西方。」</t>
  </si>
  <si>
    <t>許</t>
  </si>
  <si>
    <t>參見「許許」條。</t>
  </si>
  <si>
    <t>(一)ㄒㄩˇ xǔ（07296）</t>
  </si>
  <si>
    <t>滸</t>
  </si>
  <si>
    <t>[名]
水邊。《詩經．王風．葛藟》：「綿綿葛藟，在河之滸。」唐．李白〈丁督護歌〉：「萬人鑿盤石，無由達江滸。」</t>
  </si>
  <si>
    <t>互</t>
  </si>
  <si>
    <t>ㄏㄨˋ</t>
  </si>
  <si>
    <t>hù</t>
  </si>
  <si>
    <t>[副]
彼此、相互。如：「互敬互愛」、「互助合作」、「互通有無」、「互不退讓」。
[形]
交錯的。《文選．嵇康．琴賦》：「互嶺巉巖，岝崿嶇崟。」唐．杜甫〈宿花石戍〉詩：「四序本平分，氣候何迴互。」</t>
  </si>
  <si>
    <t>冱</t>
  </si>
  <si>
    <t>[動]
寒氣凝結。《廣韻．去聲．暮韻》：「冱，寒凝。」《舊唐書．卷三〇．音樂志三》：「火林霰雪，湯泉凝冱。」
[形]
凝結的、凍結的。《舊唐書．卷三〇．音樂志三》：「寒雰斂色，冱泉凝漏。」</t>
  </si>
  <si>
    <t>沍</t>
  </si>
  <si>
    <t>[動]
1.凝結、凍結。《管子．內業》：「大攝，骨枯而血沍。」《文選．張衡．思玄賦》：「行積冰之磑磑兮，清泉沍而不流。」
2.閉塞。元．張養浩〈上都道中〉詩：「窮沍惟沙漠，昔聞今信然。」</t>
  </si>
  <si>
    <t>枑</t>
  </si>
  <si>
    <t>參見「梐枑」條。</t>
  </si>
  <si>
    <t>戶</t>
  </si>
  <si>
    <t>[名]
1.一扇門稱為「戶」。亦指房屋的出入口。如：「小心門戶」、「夜不閉戶」。元．王實甫《西廂記．第三本．第二折》：「待月西廂下，迎風戶半開。」
2.住家、人家。如：「住戶」、「用戶」、「訂戶」、「千家萬戶」。
3.門第，家族的身分地位。如：「門當戶對」。
4.與帳務有關的個人或團體。如：「開戶」、「帳戶」、「存戶」。
5.量詞。計算住家數量的單位。如：「一戶人家」、「五百戶住家」。
6.姓。如漢代有戶尊。
7.二一四部首之一。</t>
  </si>
  <si>
    <t>戽</t>
  </si>
  <si>
    <t>[名]
參見「戽斗」條。
[動]
汲水。如：「戽水灌溉」。唐．貫休〈宿深村〉詩：「黃昏見客合家喜，月下取魚戽塘水。」</t>
  </si>
  <si>
    <t>扈</t>
  </si>
  <si>
    <t>[名]
1.國名。即有扈。故址約在今大陸地區陝西省鄠縣。
2.隨從人員。參見「扈從」條。
3.姓。如漢代有扈雲。
[動]
跟從、跟隨。宋．蘇軾〈和三舍人省上〉詩：「明朝冠蓋蔚相望，共扈翠輦朝宣光。」
[形]
強橫無禮。參見「跋扈」條。</t>
  </si>
  <si>
    <t>滬</t>
  </si>
  <si>
    <t>[名]
1.古代捕魚用的竹柵。唐．戴叔倫〈留別道州李使君圻〉詩：「漁滬擁寒溜，畬田落遠燒。」宋．陸游〈村舍〉詩：「潮生漁滬短，風起鴨船斜。」
2.大陸地區上海市的簡稱。如：「京滬鐵路」、「滬杭甬鐵路」。</t>
  </si>
  <si>
    <t>芐</t>
  </si>
  <si>
    <t>[名]
植物名。即地黃。玄參科地黃屬，「地黃」之古稱，參見「地黃」條。</t>
  </si>
  <si>
    <t>怙</t>
  </si>
  <si>
    <t>[動]
憑恃、倚靠。如：「無所依怙」。唐．柳宗元〈封建論〉：「大逆未彰，姦利浚財，怙勢作威。」
[名]
父親。如：「年少失怙」。唐．白居易〈寄烏江十五兄文〉：「孩失其怙，幼喪所親；旁無弟兄，藐然一身。」</t>
  </si>
  <si>
    <t>岵</t>
  </si>
  <si>
    <t>[名]
草木繁茂的山。《爾雅．釋山》：「多草木，岵；無草木，峐。」《詩經．魏風．陟岵》：「陟彼岵兮，瞻望父兮。」《宋書．卷六七．列傳．謝靈運》：「山匪砠而是岵，川有清而無濁。石傍林而插巖，泉協澗而下谷。」</t>
  </si>
  <si>
    <t>祜</t>
  </si>
  <si>
    <t>[名]
福分。《詩經．小雅．信南山》：「曾孫壽考，受天之祜。」漢．蔡琰〈悲憤詩〉二首之二：「嗟薄祜兮遭世患，宗族殄兮門戶單。」</t>
  </si>
  <si>
    <t>[名]
一種似荊而色紅的植物，莖可作箭桿。《廣韻．上聲．姥韻》：「楛，木名，堪為矢榦。」《詩經．大雅．旱麓》：「瞻彼旱麓，榛楛濟濟。」唐．孔穎達．正義：「陸璣云：『楛，其形似荊而赤，莖似蓍。上黨人織以為牛筥、箱器，又屈以為釵。』」</t>
  </si>
  <si>
    <t>(二)ㄎㄨˇ kǔ（04565）</t>
  </si>
  <si>
    <t>笏</t>
  </si>
  <si>
    <t>[名]
古代大臣朝見君主時所執的手板，用玉、象牙或竹製成。如：「玉笏」、「象笏」。《禮記．玉藻》：「凡有指畫於君前，用笏；造受命於君前，則書於笏。」唐．岑參〈東歸發犍為至泥溪舟中作〉詩：「日出朝聖人，端笏陪群公。」</t>
  </si>
  <si>
    <t>瓠</t>
  </si>
  <si>
    <t>[名]
1.植物名。葫蘆科葫蘆屬，一年生蔓性草本。葉互生，呈掌狀或菱狀心臟形。卷鬚分歧。夏日葉腋生白色單性花，雌雄同株。果實圓長，表面有毛，可食，亦可晒乾貯藏。
2.姓。如戰國時楚國有瓠巴。</t>
  </si>
  <si>
    <t>[形]
熾熱。《文選．左思．魏都賦》：「宅土熇暑，封疆障癘。」唐．柳宗元〈解祟賦〉：「胡赫炎薰熇之烈火兮，而生夫人之齒牙。」</t>
  </si>
  <si>
    <t>(二)ㄎㄠˇ kǎo（04483）(三)ㄏㄜˋ hè（04765）</t>
  </si>
  <si>
    <t>鄠</t>
  </si>
  <si>
    <t>[名]
鄠縣：縣名。位於大陸地區陝西省西安市西南，瀕澇水東岸。</t>
  </si>
  <si>
    <t>嫮</t>
  </si>
  <si>
    <t>[形]
美好。同「嫭」。《楚辭．屈原．大招》：「嫮目宜笑，娥眉曼只。」</t>
  </si>
  <si>
    <t>參見「嘑爾」條。</t>
  </si>
  <si>
    <t>(一)ㄏㄨ hū（04933）</t>
  </si>
  <si>
    <t>嫭</t>
  </si>
  <si>
    <t>[形]
美好。《廣韻．去聲．暮韻》：「嫭，美好。」《楚辭．屈原．大招》：「朱脣皓齒，嫭以姱只。」漢．王逸．注：「嫭、姱，好貌也。」
[名]
借指美女。《漢書．卷八七．揚雄傳上》：「知眾嫭之嫉妒兮，何必颺纍之蛾眉？」</t>
  </si>
  <si>
    <t>參見「糊弄」條。</t>
  </si>
  <si>
    <t>(一)ㄏㄨˊ hú（04960）(三)ㄏㄨ hū（04945）</t>
  </si>
  <si>
    <t>穫</t>
  </si>
  <si>
    <t>參見「焦穫」條。</t>
  </si>
  <si>
    <t>(一)ㄏㄨㄛˋ huò（05062）</t>
  </si>
  <si>
    <t>護</t>
  </si>
  <si>
    <t>[動]
1.保衛。如：「保護」、「維護」、「防護」、「守護」、「愛護」。
2.救助。如：「救護」。
3.包庇、掩蔽。如：「袒護」、「庇護」。《文選．嵇康．與山巨源絕交書》：「仲尼不假蓋於子夏護其短也。」《清史稿．卷一四九．交通志一》：「張之洞翻然悔悟，不護前非，仍擬借款築造。」</t>
  </si>
  <si>
    <t>韄</t>
  </si>
  <si>
    <t>[名]
佩刀把上的皮繩。《莊子．庚桑楚》：「夫外韄者不可繁而捉。」唐．陸德明《經典釋文．卷二八．莊子音義下》：「韄，……《三蒼》云：『佩刀靶韋也。』」</t>
  </si>
  <si>
    <t>化</t>
  </si>
  <si>
    <t>ㄏㄨㄚ</t>
  </si>
  <si>
    <t>huā</t>
  </si>
  <si>
    <t>參見「化子」條。</t>
  </si>
  <si>
    <t>(一)ㄏㄨㄚˋ huà（05019）</t>
  </si>
  <si>
    <t>花</t>
  </si>
  <si>
    <t>[名]_x000D_
1.被子植物的生殖器官，由許多變形的葉集生而成。包括花托、花萼、花冠、雄蕊群與雌蕊或心皮群。可供人觀賞。如：「菊花」、「梅花」、「玫瑰花」。唐．崔護〈題都城南莊〉詩：「去年今日此門中，人面桃花相映紅。」_x000D_
2.形狀像花的物體。如：「雪花」、「水花」、「浪花」、「爆米花」。_x000D_
3.比喻美女。如：「姊妹花」、「解語花」。唐．白居易〈霓裳羽衣歌〉：「嬌花巧笑久寂寥，娃館苧蘿空處所。」_x000D_
4.姓。如唐代有花敬定。_x000D_
[形]_x000D_
1.有花的。如：「花季」。_x000D_
2.有花紋的、雜色的。如：「花布」、「花貓」、「花邊」。_x000D_
3.式樣、種類繁多的。如：「花式游泳」。_x000D_
4.虛假的、巧妙的。如：「耍花招」、「花言巧語」。_x000D_
5.模糊不清。如：「眼睛都花了。」_x000D_
6.人心性不定、好玩樂稱為「花」。如：「花心大少」、「這個人很花，你最好不要和他交往。」_x000D_
[動]_x000D_
1.開花。唐．杜甫〈偪仄行〉：「辛夷始花亦已落，況我與子非壯年。」_x000D_
2.耗費。如：「花錢」、「花時間」、「這些錢夠他花的了。」</t>
  </si>
  <si>
    <t>荂</t>
  </si>
  <si>
    <t>[名]
草木的花。《爾雅．釋草》：「華，荂也。」晉．郭璞．注：「今江東呼華為荂。」《文選．左思．吳都賦》：「異荂蓲蘛，夏曄冬蒨。」
[動]
茂盛。漢．揚雄《方言》卷一：「華、荂，晟也。齊、楚之間或謂之華，或謂之荂。」元．宋旡〈蕃釐觀感瓊花〉詩：「旁枝微舊崛，新葉謾榮荂。」</t>
  </si>
  <si>
    <t>華</t>
  </si>
  <si>
    <t>[名]
植物的花朵。同「花」。如：「春華秋實」。《詩經．周南．桃夭》：「桃之夭夭，灼灼其華。」</t>
  </si>
  <si>
    <t>(一)ㄏㄨㄚˊ huá（05010）(三)ㄏㄨㄚˋ huà（05020）</t>
  </si>
  <si>
    <t>嘩</t>
  </si>
  <si>
    <t>參見「嘩喇喇」條。</t>
  </si>
  <si>
    <t>(二)ㄏㄨㄚˊ huá（▲05011）</t>
  </si>
  <si>
    <t>划</t>
  </si>
  <si>
    <t>ㄏㄨㄚˊ</t>
  </si>
  <si>
    <t>huá</t>
  </si>
  <si>
    <t>[動]
1.撥水前進。如：「划船」、「划龍舟」。
2.計算、合算。如：「你看這樣做划得來嗎？」</t>
  </si>
  <si>
    <t>[名]_x000D_
1.中國、華夏的簡稱。《左傳．定公十年》：「裔不謀夏，夷不亂華。」_x000D_
2.光彩、光澤。唐．李白〈峨眉山月歌送蜀僧晏入中京〉詩：「黃鶴樓前月華白，此中忽見峨眉客。」五代十國．李煜〈秋鶯〉詩：「莫更留連好歸去，露華凄冷蓼花愁。」_x000D_
3.時光。如：「年華」、「韶華」。唐．劉方平〈秋夜泛舟〉詩：「歲華空復晚，鄉思不堪愁。」_x000D_
4.文采、文飾。如：「樸實無華」。南朝梁．劉勰《文心雕龍．徵聖》：「然則聖文之雅麗，固銜華而佩實者也。」_x000D_
5.化妝用的粉。三國魏．曹植〈洛神賦〉：「芳澤無加，鉛華弗御。」_x000D_
6.文章、事物精要的部分。如：「精華」。唐．韓愈〈進學解〉：「沉浸醲郁，含英咀華。」_x000D_
[形]_x000D_
1.中國的。《後漢書．卷八八．西域傳．車師》：「不率華禮，莫有典書。」《北史．卷三六．列傳．薛辯》：「於是風化大行，有同華俗。」_x000D_
2.美麗有光彩的。如：「華燈初上」。三國魏．鍾會〈孔雀賦〉：「五色點注，華羽參差。」《隋書．卷二三．五行志下》：「於仙都苑穿池築山，樓殿間起，窮華極麗。」_x000D_
3.繁盛。如：「繁華」、「榮華」。《史記．卷六八．商君列傳》：「有功者顯榮，無功者雖富無所芬華。」_x000D_
4.虛空不實的。《晉書．卷七五．列傳．范汪》：「飾華言以翳實，騁繁文以惑世。」_x000D_
5.花白。《墨子．脩身》：「華髮隳顛，而猶弗舍者，其唯聖人乎！」宋．陸游〈適閩〉詩：「功名塞外心空壯，詩酒樽前髮已華。」</t>
  </si>
  <si>
    <t>(二)ㄏㄨㄚ huā（05007）(三)ㄏㄨㄚˋ huà（05020）</t>
  </si>
  <si>
    <t>譁</t>
  </si>
  <si>
    <t>[動]
大聲喧鬧、吵雜。如：「喧譁」、「譁眾取寵」。《書經．費誓》：「嗟，人無譁，聽命。」</t>
  </si>
  <si>
    <t>鏵</t>
  </si>
  <si>
    <t>[名]
裝置在犁上，用來掘土耕地的農具。明．徐光啟《農政全書．卷二一．農器．圖譜一》：「鏵與鑱頗異：鑱狹而厚，惟可正用；鏵闊而薄，翻覆可使。」</t>
  </si>
  <si>
    <t>驊</t>
  </si>
  <si>
    <t>[形]
1.順溜、不凝滯。如：「光滑」。唐．杜甫〈水會渡〉詩：「霜濃木石滑，風急手足寒。」
2.狡詐、虛浮不實在。如：「滑頭」。《史記．卷一二二．酷吏傳．郅都傳》：「為人上，操下如束溼薪，滑賊任威。」漢．王充《論衡．正說》：「後儒信前師之言，隨舊述故，滑習辭語。」
[動]
在光溜的物體表面溜動。如：「滑冰」、「滑雪」、「滑了一跤」。
[名]
姓。如漢代有滑典。</t>
  </si>
  <si>
    <t>(二)ㄍㄨˇ gǔ（04171）</t>
  </si>
  <si>
    <t>猾</t>
  </si>
  <si>
    <t>[動]
擾亂。《書經．舜典》：「蠻夷猾夏，寇賊姦宄。」《國語．晉語二》：「君若求置晉君以成名於天下，則不如置不仁以猾其中，且可以進退。」
[形]
奸詐不誠實。如：「狡猾」、「刁猾」。《韓非子．揚搉》：「猾民愈眾，姦邪滿側。」《史記．卷八．高祖本紀》：「項羽為人僄悍猾賊。」</t>
  </si>
  <si>
    <t>搳</t>
  </si>
  <si>
    <t>[動]
划拳。如：「搳拳」。《程乙本紅樓夢》第六二回：「那邊尤氏和鴛鴦隔著席，也七、八亂叫，搳起拳來。」</t>
  </si>
  <si>
    <t>(一)ㄒㄧㄚˊ xiá（06907）</t>
  </si>
  <si>
    <t>參見「豁拳」條。</t>
  </si>
  <si>
    <t>(一)ㄏㄨㄛ huō（05032）(二)ㄏㄨㄛˋ huò（05065）(三)ㄏㄜˋ hè（04767）</t>
  </si>
  <si>
    <t>劃</t>
  </si>
  <si>
    <t>[動]
1.用刀子或其他利器從物體表面拖拉而過。如：「一不小心在手上劃了一道傷口。」
2.擦掠。如：「劃火柴」。</t>
  </si>
  <si>
    <t>(一)ㄏㄨㄚˋ huà（05023）</t>
  </si>
  <si>
    <t>ㄏㄨㄚˋ</t>
  </si>
  <si>
    <t>huà</t>
  </si>
  <si>
    <t>[動]
1.改變。如：「千變萬化」、「潛移默化」。《易經．恆卦．彖曰》：「日月得天而能久照；四時變化而能久成。」《淮南子．氾論》：「故聖人法與時變，禮與俗化。」
2.天地生成萬物。如：「造化」、「化育」。
3.轉移民俗使歸淳厚。《孟子．盡心上》：「夫君子所過者化，所存者神。」《文選．鄒陽．獄中上書自明》：「是以聖王制世御俗，獨化於陶鈞之上。」
4.死。如：「物化」、「羽化」。《孟子．公孫丑下》：「且比化者，無使土親膚，於人心獨無恔乎？」唐．劉禹錫〈祭柳員外文〉：「惟君平昔，聰明絕人，今雖化去，夫豈無物！」
5.物體消融、改變形性。如：「溶化」、「消化」。《韓非子．五蠹》：「有聖人作，鑽燧取火，以化腥臊，而民說之。」
6.燒毀。如：「火化」、「焚化」。《西遊記》第一三回：「獻過了種種香火，化了眾神紙馬，燒了薦亡文疏，佛事已畢，又各安寢。」
7.求乞、乞討。如：「化緣」、「募化」。《儒林外史》第一回：「也有坐在地上就化錢的。」
8.置於名詞或形容詞之後，表示轉變成某種狀態或性質。如：「美化」、「綠化」、「惡化」、「電氣化」、「科學化」、「現代化」。
[名]
1.教化。《文選．李密．陳情表》：「逮奉聖朝，沐浴清化。」唐．柳宗元〈封建論〉：「孟舒、魏尚之術，莫得而施；黃霸、汲黯之化，莫得而行。」
2.化學的簡稱。如：「理化」、「化工」。</t>
  </si>
  <si>
    <t>(二)ㄏㄨㄚ huā（05004）</t>
  </si>
  <si>
    <t>[名]
1.參見「華山」條。
2.姓。如漢代有華佗。</t>
  </si>
  <si>
    <t>(一)ㄏㄨㄚˊ huá（05010）(二)ㄏㄨㄚ huā（05007）</t>
  </si>
  <si>
    <t>樺</t>
  </si>
  <si>
    <t>[名]
植物名。樺木科樺木屬，「樺木」、「白樺」之古稱，參見「樺木」條。</t>
  </si>
  <si>
    <t>畫</t>
  </si>
  <si>
    <t>[動]
1.劃分、區分。《左傳．襄公四年》：「芒芒禹跡，畫為九州。」《文選．顏延之．應詔讌曲水作詩》：「幙帷蘭甸，畫流高陛。」
2.設計、籌謀。通「劃」。《文選．揚雄．解嘲》：「曾不能畫一奇，出一策。」清．孔尚任《桃花扇》第二六齣：「虧了夫人侯氏，有膽有謀，昨夜畫定計策。」
3.繪圖。如：「畫一幅風景。」《晉書．卷九二．文苑傳．顧愷之傳》：「愷之每畫人成，或數年，不點目精。」
4.簽署、簽押。如：「畫押」、「畫供」。
5.終止。《論語．雍也》：「力不足者，中道而廢，今女畫。」
[名]
1.圖、圖像。如：「山水畫」、「人物畫」。宋．蘇軾〈念奴嬌．大江東去〉詞：「江山如畫，一時多少豪傑。」
2.量詞。計算文字筆畫數的單位。如：「亞這個字有八畫。」
3.姓。如明代有畫芳。
[副]
清楚、整齊。如：「整齊畫一」。</t>
  </si>
  <si>
    <t>[動]
1.分開、分界。同「畫」。如：「劃分」、「劃定界線」。
2.設計、籌謀。如：「籌劃」、「計劃」。</t>
  </si>
  <si>
    <t>(二)ㄏㄨㄚˊ huá（05018）</t>
  </si>
  <si>
    <t>嫿</t>
  </si>
  <si>
    <t>[形]
嫻靜美好。《說文解字．女部》：「嫿，靜好也。」《文選．宋玉．神女賦》：「既姽嫿於幽靜兮，又婆娑乎人間。」</t>
  </si>
  <si>
    <t>繣</t>
  </si>
  <si>
    <t>[名]
用來牽繫東西的繩子。《周禮．夏官．大司馬》「徒銜枚而進」句下漢．鄭玄．注：「枚如箸，銜之，有繣結項中。」
[擬]
形容破裂的聲音。《文選．潘岳．西征賦》：「砰揚桴以振塵，繣瓦解而冰泮。」
[形]
乖違、乖戾。《楚辭．屈原．離騷》：「紛𦇎𦇎其離合兮，忽緯繣其難遷。」</t>
  </si>
  <si>
    <t>話</t>
  </si>
  <si>
    <t>[名]
1.語言。如：「正經話」、「北京官話」。《詩經．大雅．抑》：「慎爾出話，敬爾威儀。」《文選．謝靈運．擬鄴中集詩．徐幹詩》：「清論事究萬，美話信非一。」
2.故事。《警世通言．卷一一．蘇知縣羅衫再合》：「話中說杭州府有一才子，姓李名宏，字敬之。」《初刻拍案驚奇》卷九：「這本話乃是元朝大德年間的事。」
[動]
談論、敘說。如：「話別」、「閒話家常」。唐．李商隱〈夜雨寄北〉詩：「何當共剪西窗燭，卻話巴山夜雨時。」</t>
  </si>
  <si>
    <t>[動]
阻礙。《集韻．去聲．卦韻》：「𦁊，礙也。或從网。」</t>
  </si>
  <si>
    <t>(二)ㄍㄨㄚˋ guà（04220）</t>
  </si>
  <si>
    <t>摦</t>
  </si>
  <si>
    <t>[形]
寬大。《廣韻．去聲．禡韻》：「摦，寬也，大也。」</t>
  </si>
  <si>
    <t>槬</t>
  </si>
  <si>
    <t>[形]
鐘寬大的樣子。《左傳．昭公二十一年》：「天子省風以作樂，器以鐘之，輿以行之。小者不窕，大者不槬。則和於物。」</t>
  </si>
  <si>
    <t>踝</t>
  </si>
  <si>
    <t>(一)（語音）ㄏㄨㄞˊ huái（05075）</t>
  </si>
  <si>
    <t>劐</t>
  </si>
  <si>
    <t>ㄏㄨㄛ</t>
  </si>
  <si>
    <t>huō</t>
  </si>
  <si>
    <t>[動]
1.用刀具將物體割開。《廣韻．入聲．鐸韻》：「劐，裂也。」
2.收割稻穀。通「穫」。《集韻．入聲．鐸韻》：「穫，《說文》：『刈穀也。』或從耒、從刀。」</t>
  </si>
  <si>
    <t>[動]
1.割裂、裂開。元．關漢卿《單刀會》第四折：「我根前使不著你『之乎者也』、『詩云子曰』，早該豁口截舌。」
2.拚、捨棄、犧牲。如：「豁出生命」、「豁著命幹」。
[形]
殘缺、缺損。如：「豁嘴」、「豁脣子」。</t>
  </si>
  <si>
    <t>(二)ㄏㄨㄛˋ huò（05065）(三)ㄏㄜˋ hè（04767）(四)ㄏㄨㄚˊ huá（05017）</t>
  </si>
  <si>
    <t>佸</t>
  </si>
  <si>
    <t>ㄏㄨㄛˊ</t>
  </si>
  <si>
    <t>huó</t>
  </si>
  <si>
    <t>[動]
到、至。《詩經．王風．君子于役》：「君子于役，不日不月，曷其有佸？」漢．鄭玄．箋：「何時而有來會期。」</t>
  </si>
  <si>
    <t>活</t>
  </si>
  <si>
    <t>[形]
1.有生命的。如：「活人」、「活魚」。
2.生動，不死板。如：「靈活」、「活潑」。唐．杜牧〈池州送孟遲先輩〉詩：「煙溼樹姿嬌，雨餘山態活。」
3.不固定的、可移動的。如：「活頁」、「活塞」、「活字版」、「活期存款」。
[動]
1.生存。《詩經．周頌．載芟》：「播厥百穀，實函斯活。」唐．杜甫〈奉先劉少府新畫山水障歌〉：「不見湘妃鼓瑟時，至今斑竹臨江活。」
2.救助。《莊子．外物》：「君豈有斗升之水，而活我哉？」唐．白居易〈策林一．十八辨水旱之災明存救之術〉：「凶歉之年，則賤糶以活餓殍。」
[名]
1.生計。《魏書．卷二一．獻文六王傳上．北海王詳傳》：「自今而後，不願富貴，但令母子相保，共汝掃市作活也。」唐．杜甫〈聞斛斯六官未歸〉詩：「本賣文為活，翻令室倒懸。」
2.工作。如：「細活」、「重活」、「每天都應找些活來做。」
[副]
1.很、甚、非常。如：「活像」、「活該」。
2.靈活的。如：「活用」。</t>
  </si>
  <si>
    <t>火</t>
  </si>
  <si>
    <t>ㄏㄨㄛˇ</t>
  </si>
  <si>
    <t>huǒ</t>
  </si>
  <si>
    <t>[名]
1.物體燃燒時產生的光和熱。可燃物、燃點和氧氣是火的三要件。《書經．盤庚上》：「若火之燎于原，不可嚮邇，其猶可撲滅？」《水滸傳》第四六回：「便去灶前尋了把草，灶裡點個火……那火頃刻開天也似般大。」
2.中醫指病理變化過程中，機能亢進的現象。如：「肝火」、「上火」、「退火」。
3.槍炮彈藥等武器稱為「火」。如：「軍火」、「火藥」。
4.五行之一。參見「五行」條。
5.姓。如明代有火源潔。
6.二一四部首之一。
[形]
赤紅色的。如：「火紅」、「火狐狸」。唐．李白〈送程劉二侍郎兼獨孤判官赴安西幕府〉詩：「天外飛霜下蔥海，火旗雲馬生光彩。」
[動]
1.燃燒。《禮記．王制》：「昆蟲未蟄，不以火田。」《新唐書．卷九三．李靖傳》：「（李靖）軍次伏俟城，吐谷渾盡火其莽，退保大非川。」
2.動怒。如：「他一火，大家都不敢說話了。」
[副]
急速、緊急。如：「火速赴約」、「十萬火急」。《莊子．天地》：「彼且乘人而無天，方且本身而異形，方且尊知而火馳。」</t>
  </si>
  <si>
    <t>伙</t>
  </si>
  <si>
    <t>[名]
1.同在一處生活或工作的人。通「夥」。如：「同伙」、「伙伴」、「合伙」。
2.伙食的簡稱。如：「開伙」、「搭伙」、「包伙」。
3.量詞。計算人群的單位。如：「一伙人」。</t>
  </si>
  <si>
    <t>鈥</t>
  </si>
  <si>
    <t>[名]
（holmium，Ho）化學元素。原子序67。罕有的稀土金屬元素。存在於獨居石及其他稀土礦石中，產量甚微。呈銀白色光澤，主要性質和用途與鑭相似。</t>
  </si>
  <si>
    <t>夥</t>
  </si>
  <si>
    <t>[名]
1.同伴，一起工作或同組織的人。如：「同夥」、「夥伴」。
2.稱由多人組成的一群為「夥」。如：「成群搭夥」、「咱們大夥一齊去。」《水滸傳》第二回：「大郎原來不知，如今近日上面添了一夥強人，扎下個山寨在上面。」
3.舊稱店員。如：「夥計」。《老殘遊記》第五回：「那個店夥早已把燈掌上。」
4.量詞。計算人群的單位。如：「兩夥人」。
[動]
聯合、共同。如：「夥同購買」。《二刻拍案驚奇》卷一九：「夥著二三十男婦，內外一搶，席捲而去。」
[形]
眾多。《文選．司馬相如．上林賦》：「魚鱉讙聲，萬物眾夥。」宋．王禹偁〈七夕〉詩：「海物雜時味，羅列繁且夥。」</t>
  </si>
  <si>
    <t>或</t>
  </si>
  <si>
    <t>ㄏㄨㄛˋ</t>
  </si>
  <si>
    <t>huò</t>
  </si>
  <si>
    <t>[副]
也許。如：「或許」。《史記．卷二八．封禪書》：「其神或歲不至，或歲數來。」
[連]
表示選擇或列舉。如：「或是」、「或者」、「喜或怒」、「哀或樂」、「去或不去？」《新唐書．卷九七．魏徵傳》：「今之刑賞，或由喜怒，或出好惡。」《三國演義》第三七回：「或駕小舟游於江湖之中；或訪僧道於山嶺之上；或尋朋友於村落之間；或樂琴棋於洞府之內：往來莫測，不知去所。」
[代]
1.泛指人或事物。相當於「有人」、「有的」。《禮記．中庸》：「或生而知之，或學而知之，或困而知之。」明．徐弘祖《徐霞客遊記．卷五上．滇遊日記二》：「群山叢突，小石峰或朝或拱，參立前塢中。」
2.誰。表示疑問的語氣。《詩經．豳風．鴟鴞》：「今女下民，或敢侮予！」《文選．潘岳．藉田賦》：「昔者明王以孝治天下，其或繼之者，鮮哉希矣。」</t>
  </si>
  <si>
    <t>惑</t>
  </si>
  <si>
    <t>[動]
1.迷亂、欺騙。如：「蠱惑」、「誘惑」、「妖言惑眾」。《三國志．卷八．魏書．張魯傳》：「造作道書以惑百姓，從受道者出五斗米，故世號米賊。」
2.奇怪、懷疑。如：「疑惑」。《論語．為政》：「三十而立，四十而不惑，五十而知天命。」《太平廣記．卷四八八．鶯鶯傳》：「求之，則終不復鼓矣，以是愈惑之。」
[名]
疑難。唐．韓愈〈師說〉：「師者，所以傳道、授業、解惑也。」</t>
  </si>
  <si>
    <t>[動]_x000D_
1.攪拌、混合。《文獻通考．卷一八．征榷考五．榷茶》：「凡在京茶戶擅磨末茶者有禁，並赴官請買，而茶鋪入米豆雜物拌和者有罰，募人告者有賞。」《三國演義》第九一回：「喚行廚宰殺牛馬，和麵為劑，塑成人頭，內以牛羊等肉代之，名曰『饅頭』。」_x000D_
2.湊熱鬧、加入添亂。《文明小史》第三回：「柳知府詫異道：『與他們甚麼相干？怎麼也和在裡頭。』」</t>
  </si>
  <si>
    <t>(一)ㄏㄜˊ hé（04721）(二)˙ㄏㄨㄛ huo（05069）(三)ㄏㄜˋ hè（04754）(五)ㄏㄢˋ hàn（04883）(六)ㄏㄨˊ hú（04952）</t>
  </si>
  <si>
    <t>砉</t>
  </si>
  <si>
    <t>參見「砉然」條。</t>
  </si>
  <si>
    <t>剨</t>
  </si>
  <si>
    <t>[擬]
形容物體破裂的聲音。《廣韻．入聲．麥韻》：「剨，破聲。」清．紀昀《閱微草堂筆記．卷一．灤陽消夏錄一》：「剨然震響，石壁中開。」</t>
  </si>
  <si>
    <t>湱</t>
  </si>
  <si>
    <t>[名]
波濤相激盪的聲音。《玉篇．水部》：「湱，水聲。」《文選．郭璞．江賦》：「𥒜巖鼓作，漰湱澩灂。」</t>
  </si>
  <si>
    <t>騞</t>
  </si>
  <si>
    <t>[擬]
形容刀劍裂物的聲音。《精忠岳傳》第五十五回：「腰間拔出劍來，騞的一聲，將右手砍下。」
[副]
急速、突然。《列子．湯問》：「其觸物也，騞然而過，隨過隨合，覺疾而不血刃焉。」唐．段成式《酉陽雜俎．卷八．雷》：「氣復如半床，已至如盤，騞然墜地，變成熨斗、折刀、小折腳鐺焉。」</t>
  </si>
  <si>
    <t>貨</t>
  </si>
  <si>
    <t>[名]
1.財物的總稱。如：「財貨」。《書經．洪範》：「八政：一曰食，二曰貨。」唐．孔穎達．正義：「貨者，金玉布帛之總名。」
2.商品。如：「國貨」、「百貨」、「南北雜貨」、「不怕不識貨，只怕貨比貨」。
3.貨幣、錢幣。如：「通貨膨脹」。《宋書．卷八一．劉秀之傳》：「先是漢川悉以絹為貨，秀之限令用錢，百姓至今受其利。」
4.罵人的話。相當於「東西」。如：「笨貨」、「蠢貨」、「窩囊貨」。《儒林外史》第一二回：「他是個不中用的貨，又不會種田，又不會作生意。」
[動]
1.賄賂，用財物買通他人。《孟子．公孫丑下》：「無處而餽之，是貨之也。」《南史．卷六一．蘭欽傳》：「厚貨廚人，塗刀以毒，削瓜進之，欽及愛妾俱死。」
2.出售。《南史．卷七二．文學傳．卞彬傳》：「守羊無食，何不貨羊糴米？」《新唐書．卷一六九．韋貫之傳》：「使民貨田中穗以供賦，可乎？」</t>
  </si>
  <si>
    <t>嗀</t>
  </si>
  <si>
    <t>[動]
嘔吐。《說文解字．口部》：「嗀，歐貌。……《春秋傳》曰：『君將嗀之。』」</t>
  </si>
  <si>
    <t>禍</t>
  </si>
  <si>
    <t>[名]
1.災害、災難。與「福」相對。如：「車禍」、「飛來橫禍」、「是福不是禍，是禍躲不過。」《醒世恆言．卷一．兩縣令競義婚孤女》：「誰知命裡官星不現，飛禍相侵。」
2.罪。《荀子．成相》：「罪禍有律，莫得輕重威不分。」唐．楊倞．注：「禍，亦罪也。」《史記．卷六．秦始皇本紀》：「上不聽諫，今事急，欲歸禍於吾宗。」
[動]
1.為害、加害。如：「禍國殃民」。《呂氏春秋．慎行論．慎行》：「吾幾禍令尹。」《太平廣記．卷四二一．任頊》：「有一道士自西來者，此所謂禍我者也。」
2.受難、受害。《晏子春秋．外篇．重而異者》：「是以鬼神不饗，其國以禍。」《後漢書．卷一一．劉盆子傳》：「劉恭見赤眉眾亂，知其必敗，自恐兄弟俱禍。」</t>
  </si>
  <si>
    <t>濊</t>
  </si>
  <si>
    <t>參見「濊濊」條。</t>
  </si>
  <si>
    <t>(一)ㄏㄨㄟˋ huì（05144）(二)ㄨㄟˋ wèi（11441）</t>
  </si>
  <si>
    <t>霍</t>
  </si>
  <si>
    <t>[副]
快速、疾速。《文選．枚乘．七發》：「涊然汗出，霍然病已。」
[名]
1.參見「霍亂」條。
2.山名。即衡山。位於大陸地區湖南省衡山縣西，為五嶽中的南嶽。漢．應劭《風俗通義．卷十．山澤》：「南方衡山，一名霍山。」
3.國名。周武王之弟叔處的封地，故城約在今大陸地區山西省霍縣西南。
4.姓。如漢代有霍去病。</t>
  </si>
  <si>
    <t>攉</t>
  </si>
  <si>
    <t>[動]
1.泛指揮手、搖手。唐．牟融〈謝惠劍〉詩：「感君三尺鐵，揮攉鬼神驚。」
2.將成堆的東西鏟到另一處或容器中。如：「攉土」、「攉煤」。</t>
  </si>
  <si>
    <t>㸌</t>
  </si>
  <si>
    <t>[形]
閃爍、閃耀。南朝梁．元帝〈玄覽賦〉：「耆落星之嵷巃，睹㸌火之迢遙。」</t>
  </si>
  <si>
    <t>藿</t>
  </si>
  <si>
    <t>[名]
1.豆葉。清．王念孫《廣雅疏證．卷一〇上．釋草》：「豆角謂之莢，其葉謂之藿。」
2.植物名。蝶形花科菜豆屬，「菜豆」、「四季豆」之古稱，參見「菜豆」條。</t>
  </si>
  <si>
    <t>臛</t>
  </si>
  <si>
    <t>[名]
肉羹。《洛陽伽藍記．卷二．景寧寺》：「咀嚼菱藕，捃拾雞頭，蛙羹蚌臛，以為膳羞。」《聊齋志異．卷九．天宮》：「久之，腹餒，遂有女僮來，餉以麵餅，鴨臛，使捫啖之。」
[動]
烹煮。《文選．曹植．七啟》：「臛江東之潛鼉。」</t>
  </si>
  <si>
    <t>矐</t>
  </si>
  <si>
    <t>[動]_x000D_
使人眼睛失明。《史記．卷八六．刺客列傳．荊軻》：「秦皇帝惜其善擊筑，重赦之，乃矐其目。」</t>
  </si>
  <si>
    <t>濩</t>
  </si>
  <si>
    <t>[形]
雨水從屋簷向下流的樣子。《說文解字．水部》：「濩，雨流霤下貌。」
[動]
煮。通「鑊」。《詩經．周南．葛覃》：「維葉莫莫，是刈是鑊。」漢．毛亨．傳：「濩，煮之也。」</t>
  </si>
  <si>
    <t>擭</t>
  </si>
  <si>
    <t>[名]
捕捉野獸的機關木籠。《周禮．秋官．雍氏》：「春令為阱、擭、溝瀆之利於民者，秋令塞阱杜擭。」《禮記．中庸》：「人皆曰予知，驅而納諸罟擭陷阱之中，而莫之知辟也。」</t>
  </si>
  <si>
    <t>嚄</t>
  </si>
  <si>
    <t>[歎]
1.表驚愕失聲的語氣。《史記．卷四九．外戚世家》：「武帝下車泣曰：『嚄！大姊，何藏之深也！』」
2.表讚美的語氣。如：「嚄！瞧你多能幹。」</t>
  </si>
  <si>
    <t>(二)ㄛˇ ǒ（10233）</t>
  </si>
  <si>
    <t>獲</t>
  </si>
  <si>
    <t>[動]
1.獵取、獵得。《易經．解卦．九二》：「田獲三狐，得黃矢，貞吉。」《孟子．滕文公下》：「終日而不獲一禽。」
2.取得、得到。如：「獲勝」、「查獲」、「虜獲」、「不勞而獲」。《文選．楊惲．報孫會宗書》：「遭遇時變，以獲爵位。」《金史．卷九十．賈少沖傳》：「家貧甚，嘗道中獲遺金，訪其主歸之。」
3.遭受、遭到。如：「獲罪」。《紅樓夢》第九三回：「弟因菲材獲譴，自分萬死難償，幸邀寬宥，待罪邊隅。」
[名]
獵物，打獵所得的東西。《呂氏春秋．不苟論．貴當》：「田獵之獲，常過人矣。」《文選．司馬相如．上林賦》：「忘國家之政，貪雉兔之獲，則仁者不繇也。」
[副]
能夠、可以。如：「不獲前來」、「不獲面辭」。《文選．王粲．從軍詩五首之一》：「歌舞入鄴城，所願獲無違。」</t>
  </si>
  <si>
    <t>(二)ㄏㄨㄞˊ huái（05080）</t>
  </si>
  <si>
    <t>雘</t>
  </si>
  <si>
    <t>[名]
一種赤色的石脂，可做顏料。《書經．梓材》：「若作梓材，既勤撲斲，惟其塗丹雘。」</t>
  </si>
  <si>
    <t>(二)（又音）ㄨㄛˋ wò（11348）</t>
  </si>
  <si>
    <t>矱</t>
  </si>
  <si>
    <t>[名]
尺度、標準。《楚辭．屈原．離騷》：「勉陞降以上下兮，求矩矱之所同。」《後漢書．卷五二．崔駰傳》：「協準矱之貞度兮，同斷金之玄策。」</t>
  </si>
  <si>
    <t>(二)（又音）ㄨㄛˋ wò（11349）</t>
  </si>
  <si>
    <t>[動]
1.收割農作物。《書經．金縢》：「秋，大熟，未穫，天大雷電，以風，禾盡偃。」《詩經．豳風．七月》：「八月剝棗，十月穫稻。」
2.獲得。通「獲」。《呂氏春秋．士容論．審時》：「斬木不時不折，必穗稼就而不穫。」
[名]
指農作物的收成次數。如：「一年二穫」。《管子．權修》：「一樹一穫者，穀也；一樹十穫者，木也；一樹百穫者，人也。」</t>
  </si>
  <si>
    <t>(二)ㄏㄨˋ hù（05001）</t>
  </si>
  <si>
    <t>蠖</t>
  </si>
  <si>
    <t>參見「尺蠖」條。</t>
  </si>
  <si>
    <t>(二)（又音）ㄨㄛˋ wò（11350）</t>
  </si>
  <si>
    <t>鑊</t>
  </si>
  <si>
    <t>[名]
1.古代烹煮食物的大鍋。《周禮．天官．亨人》：「亨人掌共鼎鑊，以給水火之齊。」
2.古代一種烹人的刑具。《史記．卷八一．廉頗藺相如傳》：「臣知欺大王之罪當誅，臣請就湯鑊。」《南史．卷八〇．賊臣傳．侯景傳》：「魏相高澄悉命先剝景妻子面皮，以大鐵鑊盛油煎殺之。」</t>
  </si>
  <si>
    <t>[名]
通敞的山谷。《說文解字．谷部》：「豁，通谷也。」
[動]
1.舒張、舒展。宋．陸游〈暮秋遣興〉詩：「如虹壯氣終難豁，安得雲濤萬里舟。」《資治通鑑．卷二八〇．後晉紀一．高祖天福元年》：「卿言殊豁吾意，成敗吾決行之。」
2.排遣、發洩。南朝宋．劉義慶《世說新語．雅量》：「於是豁情散哀，顏色自若。」《水滸傳》第五七回：「先殺你這個禿驢，豁我心中怒氣。」
3.免除。如：「豁免糧捐」、「豁免罪犯」。
4.不顧、捨棄。如：「豁出性命」。
[形]
開朗、寬敞。《紅樓夢》第一七、一八回：「再進數步，漸向此邊，平坦寬豁，兩邊飛樓插空，雕薨繡檻，皆隱於山坳樹杪之間。」
[副]
1.開通、開闊。如：「豁達」、「豁然」。《史記．卷八．高祖本紀》：「仁而愛人，喜施，意豁如也。」
2.很快、一下子。元．關漢卿《拜月亭》第一折：「每常我聽得綽的說個女婿，我早豁的離了坐位。」</t>
  </si>
  <si>
    <t>(一)ㄏㄨㄛ huō（05032）(三)ㄏㄜˋ hè（04767）(四)ㄏㄨㄚˊ huá（05017）</t>
  </si>
  <si>
    <t>謋</t>
  </si>
  <si>
    <t>參見「謋然」條。</t>
  </si>
  <si>
    <t>壑</t>
  </si>
  <si>
    <t>[名]
1.谷、溝。如：「丘壑」、「溝壑」、「千山萬壑」。唐．王維〈終南山〉詩：「分野中峰變，陰晴眾壑殊。」《浮生六記．卷二．閒情記趣》：「以叢草為林，以蟲蟻為獸；以土礫凸者為邱，凹者為壑。」
2.坑洞。《孟子．滕文公上》：「蓋上世嘗有不葬其親者，其親死，則舉而委之於壑。」</t>
  </si>
  <si>
    <t>午</t>
  </si>
  <si>
    <t>˙ㄏㄨㄛ</t>
  </si>
  <si>
    <t>huo</t>
  </si>
  <si>
    <t>參見「晌午」條。</t>
  </si>
  <si>
    <t>(一)ㄨˇ wǔ（11257）</t>
  </si>
  <si>
    <t>[形]
溫暖的。如：「暖和」。</t>
  </si>
  <si>
    <t>(一)ㄏㄜˊ hé（04721）(三)ㄏㄜˋ hè（04754）(四)ㄏㄨㄛˋ huò（05041）(五)ㄏㄢˋ hàn（04883）(六)ㄏㄨˊ hú（04952）</t>
  </si>
  <si>
    <t>佪</t>
  </si>
  <si>
    <t>ㄏㄨㄞˊ</t>
  </si>
  <si>
    <t>huái</t>
  </si>
  <si>
    <t>參見「俳佪」條。</t>
  </si>
  <si>
    <t>(二)（又音）ㄏㄨㄟˊ huí（05103）</t>
  </si>
  <si>
    <t>徊</t>
  </si>
  <si>
    <t>(二)（又音）ㄏㄨㄟˊ huí（05105）</t>
  </si>
  <si>
    <t>淮</t>
  </si>
  <si>
    <t>參見「淮河」條。</t>
  </si>
  <si>
    <t>槐</t>
  </si>
  <si>
    <t>[名]
植物名。豆科槐樹屬，「豆槐」、「槐樹」之簡稱，參見「豆槐」條。</t>
  </si>
  <si>
    <t>褢</t>
  </si>
  <si>
    <t>[動]
懷著，內心存著某種意念。同「懷」。《漢書．卷九七．外戚傳下．孝成許皇后傳》：「將相大臣褢誠秉忠，唯義是從。」唐．顏師古．注：「褢，古懷字。」</t>
  </si>
  <si>
    <t>[名]
1.小腿和腳底連接處，左右兩旁凸起的圓骨稱為「踝」。《說文解字．足部》：「踝，足踝也。」清．段玉裁．注：「踝者，人足左右骨隆然圜者也。在外者謂之外踝，在內者謂之內踝。」如：「腳踝」。
2.腳後跟。《禮記．深衣》：「曲袷如矩以應方，負繩及踝以應直。」漢．鄭玄．注：「踝，跟也。」</t>
  </si>
  <si>
    <t>(二)（讀音）ㄏㄨㄚˋ huà（05030）</t>
  </si>
  <si>
    <t>褱</t>
  </si>
  <si>
    <t>[動]
1.懷孕。同「懷」。《漢書．卷九七．外戚傳下．孝成趙皇后傳》：「元延二年褱子，其十一月乳。」
2.包圍。同「懷」。《漢書．卷二八．地理志上．序》：「堯遭洪水，褱山襄陵。」</t>
  </si>
  <si>
    <t>懷</t>
  </si>
  <si>
    <t>[名]
1.胸前、胸部。如：「躺在媽媽的懷裡。」
2.內心、心中。如：「耿耿於懷」。
3.胸襟、抱負。如：「胸懷」、「襟懷」、「壯懷激烈」。
4.心意、心緒。如：「正中下懷」、「少女情懷總是詩」。晉．陶淵明〈飲酒詩〉二〇首之九：「問子為誰歟？田父有好懷。」《聊齋志異．卷一〇．賈奉雉》：「賈取文稿自閱之，大非本懷，怏怏不自得。」
5.姓。如三國時吳國有懷敘。
[動]
1.存有、抱著。如：「身懷絕技」。《論語．陽貨》：「懷其寶而迷其邦，可謂仁乎？」《楚辭．屈原．九章．懷沙》：「懷瑾握瑜兮，窮不知所示。」
2.思念、想念。如：「緬懷」、「追懷」。唐．李白〈秋登宣城謝朓北樓〉詩：「誰念北樓上，臨風懷謝公。」宋．范仲淹〈岳陽樓記〉：「則有去國懷鄉，憂讒畏譏，滿目蕭然。」
3.腹中有孕。如：「懷孕」、「懷胎」。漢．王充《論衡．奇怪》：「母之懷子，猶土之育物也。」《金瓶梅》第三〇回：「我和你恁筭他，從去年八月來，又不是黃花女兒，當年懷入門養。」
4.心中存有某種意念。如：「不懷好意」、「少懷大志」。《後漢書．卷二四．馬援傳》：「惟陛下留思豎儒之言，無使功臣懷恨黃泉。」
5.感傷、哀憐。如：「感懷」、「傷懷」。《後漢書．卷四〇．班彪傳下》：「故下民號而上愬，上帝懷而降鑒。」
6.安撫。如：「懷遠以德」。《禮記．中庸》：「懷諸侯，則天下畏之。」《三國志．卷五八．吳書．陸遜傳》：「外禦彊對，內懷百蠻。」
7.包圍。《書經．堯典》：「湯湯洪水方割，蕩蕩懷山襄陵，浩浩滔天。」</t>
  </si>
  <si>
    <t>櫰</t>
  </si>
  <si>
    <t>[名]
葉大色黑的槐樹。《爾雅．釋木》：「櫰，槐大葉而黑。」晉．郭璞．注：「槐樹葉大色黑者名為櫰。」</t>
  </si>
  <si>
    <t>蘹</t>
  </si>
  <si>
    <t>參見「蘹香」條。</t>
  </si>
  <si>
    <t>參見「獲鹿縣」條。</t>
  </si>
  <si>
    <t>(一)ㄏㄨㄛˋ huò（05059）</t>
  </si>
  <si>
    <t>ㄏㄨㄞˋ</t>
  </si>
  <si>
    <t>huài</t>
  </si>
  <si>
    <t>[動]
1.損毀。如：「破壞」、「我一不小心把門撞壞了。」
2.腐爛。如：「腐壞」、「這些菜擱到明天就會壞掉。」
[形]
1.陰險、狡詐。如：「你別與我使壞心眼兒。」
2.不好的。如：「不要在背後說人壞話。」
[副]
極。如：「氣極敗壞」、「忙了一整天，真把我累壞了。」</t>
  </si>
  <si>
    <t>(二)ㄍㄨㄞˋ guài（04254）</t>
  </si>
  <si>
    <t>蘾</t>
  </si>
  <si>
    <t>[名]
一種水草。《爾雅．釋草》：「蘾，烏蕵。」清．郝懿行．疏：「《爾雅》圖作莖歧出，葉如穗，華藥生葉間，在水石側。」</t>
  </si>
  <si>
    <t>灰</t>
  </si>
  <si>
    <t>ㄏㄨㄟ</t>
  </si>
  <si>
    <t>huī</t>
  </si>
  <si>
    <t>[名]
1.物體燃燒後所剩下的屑末。如：「骨灰」、「紙灰」。唐．韋應物〈傷逝〉詩：「染白一身黑，焚木盡成灰。」唐．李商隱〈無題〉詩：「春蠶到死絲方盡，蠟炬成灰淚始乾。」
2.塵土。如：「風吹得到處都是灰。」《文選．陸機．挽歌三首之二》：「昔為七尺軀，今成灰與塵。」《宋史．卷一八二．食貨志下四》：「東南鹽禁加密，犯法被罪者多，民間食鹽，雜以灰土。」
3.石灰的簡稱。明．李時珍《本草綱目．卷九．金石部．石灰》：「所在近山處者皆有之，燒青石為灰也。」
[形]
1.淺黑色。如：「灰布」、「灰鼠」。
2.志氣消沉、沮喪。如：「心灰意冷」。宋．陸游〈舟中偶書〉詩：「四方本是丈夫事，白首自憐心未灰。」
[動]
1.燃燒。《抱朴子．內篇．釋滯》：「不灰之木，不熱之火。」《後漢書．卷八〇．文苑傳上．杜篤傳》：「燔康居，灰珍奇。」
2.碎裂。漢．曹操〈上書謝策命魏公〉：「灰軀盡命，報塞厚恩。」</t>
  </si>
  <si>
    <t>恢</t>
  </si>
  <si>
    <t>[動]
1.擴大、張大。《漢書．卷一〇〇．敘傳下》：「恢我疆宇，外博四荒。」宋．陸游〈寒夜歌〉：「誰施赤手驅蛇龍？誰恢天網致鳳麟？」
2.回復、收復。參見「恢復」條。
[形]
1.廣大、寬弘。如：「法網恢恢，疏而不漏。」唐．陳叔達〈答王績書〉：「雖人倫王化，備列元經，而恢談碩議，或不可捨。」
2.完備。《呂氏春秋．審分覽．君守》：「有識則有不備矣，有事則有不恢矣。」</t>
  </si>
  <si>
    <t>詼</t>
  </si>
  <si>
    <t>[形]
言語有趣的。如：「詼諧」。
[動]
戲謔、嘲笑。宋．梅堯臣〈依韻和永叔澄心堂紙答劉原甫〉詩：「怪其有紙不寄我，如此出語亦善詼。」</t>
  </si>
  <si>
    <t>虺</t>
  </si>
  <si>
    <t>參見「虺隤」條。</t>
  </si>
  <si>
    <t>(一)ㄏㄨㄟˇ huǐ（05110）</t>
  </si>
  <si>
    <t>豗</t>
  </si>
  <si>
    <t>[動]
1.撞擊、沖擊。《文選．木華．海賦》：「磊匒匌而相豗。」《新唐書．卷九九．崔仁師傳》：「禁舊道不得行，而新道為夏潦奔豗，數摧壓不通。」
2.發出喧鬧聲。唐．李白〈蜀道難〉：「飛湍瀑流爭喧豗，砯崖轉石萬壑雷。」</t>
  </si>
  <si>
    <t>[名]
尸未食前的祭祀。《儀禮．特牲饋食禮》：「祝命挼祭。」漢．鄭玄．注：「挼祭，祭神食也。」</t>
  </si>
  <si>
    <t>(一)ㄋㄨㄛˊ nuó（03135）</t>
  </si>
  <si>
    <t>撝</t>
  </si>
  <si>
    <t>[動]
1.指揮。《公羊傳．宣公十二年》：「莊王親自手旌，左右撝軍，退舍七里。」《後漢書．卷一八．吳漢傳》：「曾以漢無備，出迎於路，漢即撝兵騎，收曾斬之，而奪其軍。」
2.擺動、揮動。如：「撝手」。宋．程公許〈念奴嬌．曉涼散策〉詞：「誰與冰輪撝玉斧，恰好今宵圓足。」
[形]
謙讓。南朝梁．江淹〈宋建平王太妃周氏行狀〉：「躬謹蘭閨，身撝椒第。」唐．呂溫〈凌煙閣勛臣頌．房梁公元齡〉：「閒居臺輔，撝默自處。」</t>
  </si>
  <si>
    <t>揮</t>
  </si>
  <si>
    <t>[動]
1.搖動、擺動、舞動。如：「揮扇」、「揮手」、「揮刀」。《淮南子．說山》：「執彈而招鳥，揮梲而呼狗。」唐．杜甫〈飲中八僊歌〉：「脫帽露頂王公前，揮毫落紙如雲煙。」
2.發散、拋灑。如：「揮發」、「揮淚」、「揮金如土」。《戰國策．齊策一》：「舉袂成幕，揮汗成雨。」宋．陸游〈送范舍人還朝〉詩：「酒醒客散獨悽然，枕上屢揮憂國淚。」
3.發號令、指示。如：「揮令前進」、「指揮軍隊」。</t>
  </si>
  <si>
    <t>煇</t>
  </si>
  <si>
    <t>[名]_x000D_
火光、光彩。《詩經．小雅．庭燎》：「夜如何其？夜鄉晨！庭燎有煇。」《漢書．卷七三．韋賢傳》：「四方遐爾，觀國之煇。」_x000D_
[動]_x000D_
灼燒。《史記．卷九．呂太后本紀》：「太后遂斷戚夫人手足，去眼，煇耳，飲瘖藥，使居廁中，命曰『人彘』。」</t>
  </si>
  <si>
    <t>暉</t>
  </si>
  <si>
    <t>[名]
日光。如：「春暉」、「斜暉」、「落日餘暉」。《文選．王粲．公讌詩》：「涼風撤蒸暑，清雲卻炎暉。」宋．陸游〈晚步湖上〉詩：「雲薄漏春暉，湖空弄夕霏。」
[動]
照耀、輝映。《文選．王融．三月三日曲水詩序》：「雲潤星暉，風揚月至。」南朝梁．元帝〈與蕭挹書〉：「惟昆與季，文藻相暉。」</t>
  </si>
  <si>
    <t>輝</t>
  </si>
  <si>
    <t>[名]
光彩、光芒。如：「光輝」。晉．陸機〈園葵〉詩二首之一：「零露垂鮮澤，朗月耀其輝。」唐．李白〈化城寺大鐘銘〉：「莫不配美金鼎，增輝寶坊。」
[動]
照耀、照映。如：「輝映」。宋．黃庭堅〈歲寒知松柏〉詩：「春日輝桃李，蒼顏示豫觀。」《聊齋志異．卷一．勞山道士》：「月明輝室，光鑑毫芒。」</t>
  </si>
  <si>
    <t>翬</t>
  </si>
  <si>
    <t>[名]
一種具有五彩花紋的雞。《說文解字．羽部》：「翬，伊雒而南，雉五采皆備曰翬。」《詩經．小雅．斯干》：「如翬斯飛，君子攸躋。」
[副]
快速飛行的樣子。《爾雅．釋鳥》：「鷹隼醜，其飛也翬。」漢．馬融〈廣成頌〉：「遊雉群驚，晨鳧輩作，翬然雲起，霅爾雹落。」</t>
  </si>
  <si>
    <t>麾</t>
  </si>
  <si>
    <t>[名]
用來指揮的旗幟。《周禮．春官．巾車》：「建大麾以田，以封蕃國。」《南史．卷六．梁武帝紀上》：「望麾而進，聽鼓而動。」
[動]
指揮。《書經．牧誓》：「王左杖黃鉞，右秉白旄以麾。」《三國演義》第一回：「左右兩軍齊出，玄德麾軍回身復殺。」</t>
  </si>
  <si>
    <t>褘</t>
  </si>
  <si>
    <t>[名]
1.用以遮蔽膝前或覆蓋額頭的方巾。唐．皮日休〈九諷系述．悲遊〉：「荷為裯兮芰為襬，荃為䘿兮薜為褘。」
2.王后的祭服，上面畫有五彩的雉雞圖案。《周禮．天官．內司服》：「掌王后之六服：褘衣、揄狄、闕狄、鞠衣、展衣、緣衣。」漢．鄭玄．注：「褘衣，畫翬者。……從王祭先王則服褘衣。」</t>
  </si>
  <si>
    <t>[動]
破壞、毀壞。同「隳」。《資治通鑑．卷一八．漢紀十．武帝元光二年》：「故接兵覆眾，伐國墮城，常坐而役敵國，此聖人之兵也。」胡三省注引顏師古曰：「墮，毀也。」</t>
  </si>
  <si>
    <t>(一)ㄉㄨㄛˋ duò（02346）</t>
  </si>
  <si>
    <t>隳</t>
  </si>
  <si>
    <t>[動]
毀壞、損毀。《呂氏春秋．慎大覽．順說》：「隳人之城郭，刑人之父子也。」《文選．賈誼．過秦論》：「一夫作難而七廟隳，身死人手，為天下笑者，何也？」</t>
  </si>
  <si>
    <t>[名]
軍中用以指揮的大旗。通「麾」。《史記．卷八．高祖本紀》：「兵罷戲下，諸侯各就國。」《漢書．卷三一．陳勝項籍傳》：「戲下騎從者八百餘人。」
[動]
指揮。通「麾」。《漢書．卷五二．灌夫傳》：「（田）蚡乃戲騎縛夫置傳舍。」</t>
  </si>
  <si>
    <t>(一)ㄒㄧˋ xì（06878）(二)ㄏㄨ hū（04948）</t>
  </si>
  <si>
    <t>徽</t>
  </si>
  <si>
    <t>[名]
1.標幟。如：「國徽」、「校徽」、「黨徽」。《左傳．昭公二十一年》：「楊徽者，公徒也。」
2.旌旗。《禮記．大傳》：「改正朔，易服色，殊徽號。」漢．鄭玄．注：「徽號，旌旗之名也。」《文選．潘岳．閑居賦》：「其西則有元戎禁營，玄幙綠徽。」
[形]
美善的。《詩經．小雅．角弓》：「君子有徽猷，小人與屬。」《資治通鑑．卷二四八．唐紀六十四．武宗會昌四年》：「郊廟之禮，誠宜亟行，至於徽稱，非所敢當。」</t>
  </si>
  <si>
    <t>鰴</t>
  </si>
  <si>
    <t>[形]
魚強而有力，異於群輩的樣子。《文選．左思．吳都賦》：「鰴鯨輩出於群犗，攙搶暴出而相屬。」</t>
  </si>
  <si>
    <t>回</t>
  </si>
  <si>
    <t>ㄏㄨㄟˊ</t>
  </si>
  <si>
    <t>huí</t>
  </si>
  <si>
    <t>[動]
1.掉轉。如：「回首」、「回過身來」。唐．白居易〈長恨歌〉：「君王掩面救不得，回看血淚相和流。」
2.返、歸。如：「回國」、「回家」、「一去不回」。唐．王翰〈涼州詞〉二首之一：「醉臥沙場君莫笑，古來征戰幾人回？」
3.改變。如：「回心轉意」。《漢書．卷四八．賈誼傳》：「夫移風易俗，使天下回心而鄉道，類非俗吏之所能為也。」唐．柳宗元〈與韓愈論史官書〉：「道苟直，雖死不可回也。」
4.答覆。如：「回信」、「回電」、「回答」。《二刻拍案驚奇》卷一一：「日後他來通消息時，好言回他。」《紅樓夢》第七回：「次日，鳳姐梳洗了，先回王夫人畢，方來辭賈母。」
5.還覆給對方相同或某種動作。如：「回敬」、「回他一槍」。
6.謝絕、辭去。如：「一口回絕」。宋．蘇軾〈與開元明師〉二首之一：「謹留筆一束，以領雅意，餘回納，不訝不訝。」《紅樓夢》第一一九回：「咱們家遭著這樣事，那有工夫接待人，不拘怎麼回了他去罷。」
7.避開。如：「回避」。明．徐復祚《紅梨記》第二齣：「前日兩次訪他，俱不得遇，風塵中人，知他真不在家，還是故意回你。」
[名]
1.中國少數民族之一。以信奉回教為主。
2.量詞：(1)計算行為、動作的單位。相當於「次」。如：「前後我共去找了他五回。」宋．辛棄疾〈水調歌頭．帶湖吾甚愛〉詞：「先生杖屨無事，一日走千回。」(2)計算時間的單位。一陣子稱為「一回」。《喻世明言．卷三．新橋市韓五賣春情》：「八老到門前站了一回，蹔到間壁糶米張大郎門前，閒坐了一回。」(3)計算長篇小說段落的單位。一章稱為「一回」。如：「一百二十回本《紅樓夢》。」(4)計算事情的單位。相當於「件」。如：「這是兩回事，不可混為一談。」
3.姓。如明代有回滿注。</t>
  </si>
  <si>
    <t>(一)ㄏㄨㄞˊ huái（05070）</t>
  </si>
  <si>
    <t>洄</t>
  </si>
  <si>
    <t>[名]
蜿蜒曲折的水道。《詩經．秦風．蒹葭》：「溯洄從之，道阻且長。」唐．李白〈送別〉詩：「尋陽五溪水，沿洄直入巫山裡。」
[副]
水流盤旋迴轉的。《後漢書．卷七六．循吏傳．王景傳》：「十里立一水門，令更相洄注，無復潰漏之患。」</t>
  </si>
  <si>
    <t>(一)ㄏㄨㄞˊ huái（05071）</t>
  </si>
  <si>
    <t>茴</t>
  </si>
  <si>
    <t>參見「茴香」條。</t>
  </si>
  <si>
    <t>迴</t>
  </si>
  <si>
    <t>[動]
1.旋轉、環繞。如：「迴旋」、「巡迴」。唐．李白〈大鵬賦〉：「左迴右旋，倏陰忽明。」
2.掉轉、返回。《三國志．卷一．魏書．武帝紀》：「迴戈東征，呂布就戮；乘轅將返，張楊殂斃。」唐．杜甫〈佳人〉詩：「侍婢賣珠迴，牽蘿補茅屋。」
3.回避。唐．陳子昂〈諫靈駕入京書〉：「赴湯鑊而不迴，至誅夷而無悔。」
[形]
曲折。如：「迴廊」。唐．杜甫〈野老〉詩：「野老籬前江岸迴，柴門不正逐江開。」</t>
  </si>
  <si>
    <t>蛔</t>
  </si>
  <si>
    <t>[名]
動物名。圓形動物門蛔蟲科。形似蚯蚓而無環節，色白或米黃，寄居於人或家畜的腸內，能引起腸痛、吐瀉等毛病。俗稱為「蛔蟲」。</t>
  </si>
  <si>
    <t>虫</t>
  </si>
  <si>
    <t>ㄏㄨㄟˇ</t>
  </si>
  <si>
    <t>huǐ</t>
  </si>
  <si>
    <t>[名]
1.虺的古字。
2.二一四部首之一。</t>
  </si>
  <si>
    <t>(二)ㄔㄨㄥˊ chóng（08677）</t>
  </si>
  <si>
    <t>[名]
一種毒蛇。《爾雅．釋魚》：「蝮、虺、博三寸，首大如擘。」宋．邢昺．疏：「案：舍人曰：『蝮，一名虺。江、淮以南曰蝮，江、淮以北曰虺。』孫炎曰：『江、淮以南謂虺為蝮，廣三寸，頭如拇指，有六鯦毒。』」</t>
  </si>
  <si>
    <t>(二)ㄏㄨㄟ huī（05086）</t>
  </si>
  <si>
    <t>悔</t>
  </si>
  <si>
    <t>[動]
1.事後追恨。如：「悔恨」、「悔不當初」。唐．李頻〈春閨怨〉詩：「自怨愁容常照鏡，悔教征戍覓封侯。」宋．柳永〈蝶戀花．獨倚危樓風細細〉詞：「衣帶漸寬終不悔，為伊消得人憔悴。」
2.改過。如：「悔過」、「悔改」。《後漢書．卷二五．魯恭傳》：「亭長乃慚悔，還牛，詣獄受罪。」</t>
  </si>
  <si>
    <t>誨</t>
  </si>
  <si>
    <t>(一)ㄏㄨㄟˋ huì（05127）</t>
  </si>
  <si>
    <t>賄</t>
  </si>
  <si>
    <t>(一)ㄏㄨㄟˋ huì（05133）</t>
  </si>
  <si>
    <t>毀</t>
  </si>
  <si>
    <t>[動]
1.傷害、破壞。如：「毀害」、「毀壞」。《左傳．文公十八年》：「毀則為賊，掩賊為藏。」《孝經．開宗明義章》：「身體髮膚，受之父母，不敢毀傷，孝之始也。」
2.誹謗。如：「毀謗」、「毀譽參半」。《論語．衛靈公》：「吾之於人也，誰毀誰譽？」唐．韓愈〈諱辯〉：「賀舉進士有名，與賀爭名者毀之。」
3.哀傷過甚而損害健康。如：「哀毀逾恆」。《新唐書．卷一九五．孝友傳．張志寬傳》：「（張志寬）居父喪而毀，州里稱之。」</t>
  </si>
  <si>
    <t>燬</t>
  </si>
  <si>
    <t>[名]
烈火。《玉篇．火部》：「燬，烈火也。」《詩經．周南．汝墳》：「魴魚赬尾，王室如燬。」漢．毛亨．傳：「燬，火也。」《晉書．卷八六．張軌傳》：「今王室如燬，百姓倒懸，正是殿下銜膽茹辛厲心之日。」
[動]
燃燒、焚毀。如：「銷燬」、「燒燬」。《晉書．卷六七．溫嶠傳》：「至牛渚磯，水深不可測，世云其下多怪物，嶠遂燬犀角而照之。」</t>
  </si>
  <si>
    <t>[名]
片刻。表示極短的時間。參見「一會」、「一會兒」條。</t>
  </si>
  <si>
    <t>(一)ㄏㄨㄟˋ huì（05134） (三)ㄎㄨㄞˋ kuài（04597）(四)ㄍㄨㄟˋ guì（04298）</t>
  </si>
  <si>
    <t>卉</t>
  </si>
  <si>
    <t>ㄏㄨㄟˋ</t>
  </si>
  <si>
    <t>huì</t>
  </si>
  <si>
    <t>[名]
草類植物的總稱。《爾雅．釋草》：「卉，草。」晉．郭璞．注：「卉，百卉總名。」如：「奇卉」、「花卉」。《詩經．小雅．出車》：「春日遲遲，卉木萋萋。」</t>
  </si>
  <si>
    <t>芔</t>
  </si>
  <si>
    <t>同「卉」。</t>
  </si>
  <si>
    <t>恚</t>
  </si>
  <si>
    <t>[動]
怨恨、憤怒。如：「恚恨」、「恚怒」。《戰國策．齊策六》：「故去忿恚之心，而成終身之名。」《三國志．卷五四．吳書．呂蒙傳》：「歸以告蒙母，母恚欲罰之。」</t>
  </si>
  <si>
    <t>彗</t>
  </si>
  <si>
    <t>[名]
1.掃帚。《禮記．曲禮上》：「國中以策彗卹勿驅，塵不出軌。」漢．鄭玄．注：「彗，竹帚。」
2.參見「彗星」條。</t>
  </si>
  <si>
    <t>嘒</t>
  </si>
  <si>
    <t>[名]
細微的聲音。《說文解字．口部》：「嘒，小聲也。」
[形]
光芒微弱。《詩經．召南．小星》：「嘒彼小星，三五在東。」唐．劉禹錫〈楚望賦〉：「三星嘒其曉中，植物颯以飄英。」</t>
  </si>
  <si>
    <t>慧</t>
  </si>
  <si>
    <t>[名]
聰明才智。如：「智慧」。《左傳．成公十八年》：「周子有兄而無慧，不能辨菽麥。」南朝宋．劉義慶《世說新語．假譎》：「唯有一女，甚有姿慧。」
[形]
聰敏、敏捷。如：「聰慧」、「慧黠」、「慧性」、「秀外慧中」。</t>
  </si>
  <si>
    <t>槥</t>
  </si>
  <si>
    <t>[名]
小的棺木。清．王念孫《廣雅疏證．卷八上．釋器》：「槥，棺也。」疏證：「槥者，小貌也。」《漢書．卷一．高帝紀》：「令士卒從軍死者為槥，歸其縣，縣給衣衾棺葬具。」《聊齋志異．卷四．青梅》：「即出金營葬，雙槥具舉。」</t>
  </si>
  <si>
    <t>蔧</t>
  </si>
  <si>
    <t>[名]
植物名。即地膚。藜科地膚屬，「掃帚」、「地膚」之古稱，參見「掃帚」條。也稱為「王蔧」、「地葵」。</t>
  </si>
  <si>
    <t>篲</t>
  </si>
  <si>
    <t>[名]
掃帚。唐．白居易〈洗竹〉詩：「勿作篲與箕，而令糞土辱。」《太平廣記．卷四七五．淳于棼》：「見家之僮僕，擁篲于庭。」也作「彗」。
[動]
掃。《文選．枚乘．七發》：「凌赤岸，篲扶桑，橫奔似雷行。」</t>
  </si>
  <si>
    <t>晦</t>
  </si>
  <si>
    <t>[名]
1.陰曆每月的最後一日稱為「晦」。《左傳．成公十六年》：「陳不違晦。」晉．杜預．注：「晦，月終，陰之盡。」《莊子．逍遙遊》：「朝菌不知晦朔，蟪蛄不知春秋，此小年也。」
2.夜晚。如：「風雨如晦」。《國語．魯語下》：「明而動，晦而休，無日以怠。」
[形]
1.昏暗。如：「幽晦」、「昏晦」。《楚辭．屈原．九歌．山鬼》：「雲容容兮而在下，杳冥冥兮羌晝晦。」
2.不顯明。如：「隱晦」、「詞句晦澀」。《鏡花緣》第八〇回：「妹子以為此謎做的過晦，即使姊姊精於歧黃，也恐難猜。」</t>
  </si>
  <si>
    <t>[動]
1.教導、勸導。如：「教誨」、「誨人不倦」。《左傳．襄公三十年》：「我有子弟，子產誨之。」
2.引誘、誘使。如：「誨盜誨淫」。《易經．繫辭上》：「慢藏誨盜，冶容誨淫。」《史記．卷一．五帝本紀》：「取地之財而節用之，撫教萬民而利誨之。」</t>
  </si>
  <si>
    <t>(二)（又音）ㄏㄨㄟˇ huǐ（05112）</t>
  </si>
  <si>
    <t>惠</t>
  </si>
  <si>
    <t>[名]
1.恩澤、好處。如：「恩惠」、「略施小惠」。《左傳．莊公十年》：「小惠未遍，民弗從也。」南朝宋．劉義慶《世說新語．方正》：「梅頤嘗有惠於陶公。後為豫章太守，有事，王丞相遣收之。」
2.姓。如戰國時宋有惠施。
[動]
1.賜贈、贈送。三國魏．曹植〈喜雨〉詩：「棄之必憔悴，惠之則滋榮。」唐．鄭谷〈宗人惠四藥〉詩：「宗人忽惠西山藥，四味清新香助茶。」
2.疼愛、寵愛。《詩經．邶風．北風》：「惠而好我，攜手同行。」唐．張潮〈江風行〉：「妾本富家女，與君為偶匹，惠好一何深，中門不曾出。」
3.給人好處。如：「口惠」、「特惠」、「優惠」、「互惠互利」。
[形]
柔順、和順。《詩經．邶風．燕燕》：「終溫且惠，淑慎其身。」晉．王羲之〈三月三日蘭亭集序〉：「天朗氣清，惠風和暢。」
[副]
敬辭。用於對方對自己關心照顧之行為。如：「惠存」、「惠顧」、「惠臨」、「惠請賜票」。《國語．晉語二》：「公子重耳出見使者曰：『子惠顧亡人重耳。』」</t>
  </si>
  <si>
    <t>蕙</t>
  </si>
  <si>
    <t>[名]
1.一種香草。古人將其佩帶在身上以避疫癘。《文選．張衡．南都賦》：「其香草則有薜荔蕙若，薇蕪蓀萇，晻曖蓊蔚，含芬吐芳。」也稱為「佩蘭」。
2.參見「蕙蘭」條。
[形]
喻高雅、高潔。如：「蕙質蘭心」。《文選．鮑照．蕪城賦》：「東都妙姬，南國麗人，蕙心紈質，玉貌絳脣。」</t>
  </si>
  <si>
    <t>蟪</t>
  </si>
  <si>
    <t>參見「蟪蛄」條。</t>
  </si>
  <si>
    <t>喙</t>
  </si>
  <si>
    <t>[名]
1.鳥獸動物等尖長形的嘴。《漢書．卷九四．匈奴傳下》：「是以忍百萬之師以摧餓虎之喙，運府庫之財填盧山之壑而不悔也。」唐．柳宗元〈行路難〉三首之三：「蟠龍吐耀虎喙張，熊蹲豹擲爭低昂。」
2.泛指人的嘴。如：「百喙莫辯」、「不容置喙」。《莊子．秋水》：「今吾無所開吾喙，敢問其方。」《南史．卷六二．鮑泉傳》：「面如冠玉，還疑木偶；鬚似蝟毛，徒勞繞喙。」</t>
  </si>
  <si>
    <t>匯</t>
  </si>
  <si>
    <t>[動]
1.水流會合。《集韻．去聲．隊韻》：「匯，水回合也。」唐．柳宗元〈柳州山水近治可游者記〉：「（柳州）南北東西皆水匯。」
2.聚集、整合。如：「匯整」、「匯刊」、「匯編」。
3.貨幣由甲地交付，於乙地收取。如：「匯款」、「匯兌」。</t>
  </si>
  <si>
    <t>[名]
財貨、財物。《說文解字．》：「賄，財也。」如：「貪贓受賄」。《左傳．文公十八年》：「竊賄為盜。」晉．杜預．注：「賄，財也。」
[動]
1.贈送禮物。《儀禮．聘禮》：「賓裼迎大夫，賄用束紡。」《左傳．文公十二年》：「襄仲曰：『不有君子，其能國乎？國無陋矣！』厚賄之。」
2.送人財物，企圖有所請託。如：「行賄」。《北史．卷一二．隋煬帝本紀》：「政刑弛紊，賄貨公行。」宋．沈括《夢溪筆談．卷二三．謬誤》：「溥晚年以賄敗，竄謫海州。」</t>
  </si>
  <si>
    <t>(二)（又音）ㄏㄨㄟˇ huǐ（05113）</t>
  </si>
  <si>
    <t>[動]
1.集合、聚合。如：「會合」。《書經．禹貢》：「雷、夏既澤，灉、沮會同。」
2.相見、見面。如：「會面」、「會晤」。《史記．卷八一．廉頗藺相如傳》：「宣言曰：『我見相如，必辱之！』相如聞，不肯與會。」
3.瞭解、領悟。如：「意會」、「體會」、「心領神會」。宋．陳亮〈念奴嬌．危樓還望〉詞：「危樓還望，嘆此意、今古幾人曾會。」
4.付款。如：「會帳」。《警世通言．卷一五．金令史美婢酬秀董》：「二人又吃了一回，起身會鈔而別。」
[名]
1.為一定目的成立的團體組織。如：「教會」、「農會」、「工會」、「同鄉會」。
2.多數人的集會、聚會。如：「宴會」、「晚會」、「紀念會」、「里民大會」。
3.大城市、行政中心。如：「都會」、「省會」。
4.時機。如：「機會」、「適逢其會」。明．葉憲祖《易水寒》第二折：「是天賜我以報秦之會也。」
[副]
1.能、能夠。如：「我會游泳」、「只要努力，理想一定會實現。」
2.可能。多用於疑問語氣。如：「他會來嗎？」、「會不會是他回來了？」
[介]
適、值。《史記．卷七．項羽本紀》：「會其怒，不敢獻，公為我獻之。」</t>
  </si>
  <si>
    <t>(二)ㄏㄨㄟˇ huǐ（05116）(三)ㄎㄨㄞˋ kuài（04597）(四)ㄍㄨㄟˋ guì（04298）</t>
  </si>
  <si>
    <t>燴</t>
  </si>
  <si>
    <t>[動]
一種烹飪方法。將湯汁注入鍋中，加入材料慢火煮，至湯汁不太多時勾芡即成。如：「燴牛肉」、「燴魚」、「燴什錦」。</t>
  </si>
  <si>
    <t>薈</t>
  </si>
  <si>
    <t>[形]
草木繁盛的樣子。《說文解字．艸部》：「薈，艸多貌。」《詩經．曹風．候人》：「薈兮蔚兮，南山朝隮。」
[動]
1.遮蔽。《新唐書．卷二一六．吐蕃傳下》：「土梨樹林薈巖阻，兵易詭伏，不如平涼夷漫坦直，且近涇，緩急可保也。」
2.聚集。如：「人文薈萃」。唐．杜甫．八哀詩．故著作郎貶臺州司戶縈陽鄭公虔：「貫穿無遺恨，薈蕞何技癢。」</t>
  </si>
  <si>
    <t>繪</t>
  </si>
  <si>
    <t>[名]
繡有五彩圖案的絲綢。《說文解字．糸部》：「繪，會五采繡也。」南朝梁．劉勰《文心雕龍．總術》：「視之則錦繪，聽之則絲簧。」
[動]
1.作畫、畫圖。如：「繪畫」、「描繪」。《新唐書．卷一一九．白居易傳》：「嘗與胡杲、吉𪰋、鄭據、劉真、盧真、張渾、狄兼謨、盧員燕集，皆高年不事者，人慕之，繪為九老圖。」清．薛福成〈觀巴黎油畫院記〉：「法人好勝，何以自繪敗狀，令人氣喪若此？」
2.描述、形容。如：「繪影繪聲」。</t>
  </si>
  <si>
    <t>彙</t>
  </si>
  <si>
    <t>[名]_x000D_
相同種類聚集成的東西。如：「字彙」、「詞彙」、「語彙」。《易經．泰卦．初九》：「拔茅茹，以其彙，征吉。」唐．孔穎達．正義：「彙，類也。以類相從。」_x000D_
[動]_x000D_
聚集。如：「彙集」。《晉書．卷九．孝武帝紀》：「道子荒乎朝政，國寶彙以小人。」《新唐書．卷一九八．儒學列傳上．序》：「（唐玄宗）置集賢院部分典籍、乾元殿博彙群書至六萬卷，經籍大備。」</t>
  </si>
  <si>
    <t>(一)ㄎㄨㄟˋ kuì（04641）</t>
  </si>
  <si>
    <t>繢</t>
  </si>
  <si>
    <t>[名]
1.布帛頭尾的剩餘部分。《說文解字．糸部》：「繢，織餘也。」清．段玉裁．注：「繢之言遺也，故訓為織餘。織餘，今亦呼為機頭，可用系物及飾物。」
2.彩色的毛織物。《漢書．卷六五．東方朔傳》：「木土衣綺繡，狗馬被繢罽。」
[動]
作畫。通「繪」。唐．陸龜蒙〈江湖散人歌〉：「神鋒悉出羽林仗，繢畫日月蟠龍螭。」</t>
  </si>
  <si>
    <t>闠</t>
  </si>
  <si>
    <t>[名]
市場外面的門。《說文解字．門部》：「闠，市外門也。」《文選．張衡．西京賦》：「爾乃廓開九市，通闤帶闠。」薛綜注引崔豹《古今注》曰：「市牆曰闤，市門曰闠。」</t>
  </si>
  <si>
    <t>靧</t>
  </si>
  <si>
    <t>[動]
洗臉。《禮記．內則》：「其間面垢，燂潘請靧。」宋．陸游〈嚴州釣臺買田記〉：「自夜至旦，盥靧而出。」</t>
  </si>
  <si>
    <t>瘣</t>
  </si>
  <si>
    <t>[名]
傷病。《說文解字．疒部》：「瘣，病也。」
[形]
高峻。《史記．卷一一七．司馬相如傳》：「阜陵別島，崴磈崴瘣。」</t>
  </si>
  <si>
    <t>[形]
1.水多的樣子。《廣韻．去聲．泰韻》：「濊，《說文》曰水多貌。」
2.深厚、深廣。《文選．司馬相如．難蜀父老》：「漢興七十有八載，德茂在乎天也，威武紛紜，湛恩汪濊。」
3.醜陋、汙穢。通「穢」。《漢書．卷七八．蕭望之傳》：「龍者，宣帝時與張子蟜等待詔，以行汙濊不進。」</t>
  </si>
  <si>
    <t>(二)ㄨㄟˋ wèi（11441）(三)ㄏㄨㄛˋ huò（05049）</t>
  </si>
  <si>
    <t>噦</t>
  </si>
  <si>
    <t>[形]
噦噦：聲音輕緩有節奏。《詩經．小雅．庭燎》：「君子至止，鸞聲噦噦。」唐．王維〈送李睢陽〉詩：「鸞聲噦噦魯侯旂，明年上計朝京師。」
[擬]
噦噦：形容鳥的叫聲。明．朱鼎《玉鏡臺記》第八齣：「噦噦兮桐岡之鳳，關關焉河上之鳩。」</t>
  </si>
  <si>
    <t>(一)ㄩㄝ yuē（11727）</t>
  </si>
  <si>
    <t>穢</t>
  </si>
  <si>
    <t>[形]
1.骯髒的、不乾淨的。如：「汙穢」、「穢物」。
2.醜惡、醜陋。如：「穢語」、「穢行」、「自慚形穢」。《晉書．卷三六．衛瑾傳》：「珠玉在側，覺我形穢。」《文選．楊惲．報孫會宗書》：「惲材朽行穢，文質無所底。」
3.煩雜、雜亂。《後漢書．卷四〇．班彪傳下》：「贍而不穢，詳而有體。」
[名]
1.田中的雜草。晉．陶淵明〈歸園田居〉詩五首之三：「晨興理荒穢，帶月荷鋤歸。」
2.邪惡的人。漢．桓寬《鹽鐵論．輕重》：「夫理國之道，除穢鋤豪，然後百姓均平，各安其宇。」宋．司馬光〈赤壁之戰〉：「將軍以神武雄才，兼仗父兄之烈，割據江東，……；當橫行天下，為漢家除殘去穢。」
[動]
弄髒、玷汙。漢．蔡邕〈女誡〉：「面一旦不修飾，則塵垢穢之；心一朝不思善，則邪惡入之。」唐．李白〈古風〉詩五九首之三七：「群沙穢明珠，眾草凌孤芳。」</t>
  </si>
  <si>
    <t>(二)（又音）ㄨㄟˋ wèi（11442）</t>
  </si>
  <si>
    <t>翽</t>
  </si>
  <si>
    <t>參見「翽翽」條。</t>
  </si>
  <si>
    <t>諱</t>
  </si>
  <si>
    <t>[動]
1.因有所顧忌而不敢說或不願說。如：「諱言」。《左傳．莊公十八年》：「夏，公追戎于濟西。不言其來，諱之也。」《宋史．卷三一四．范仲淹傳》：「平時諱言武備，寇至而專責守臣死事，可乎？」
2.隱瞞，有所保留。如：「直言無諱」、「諱疾忌醫」。《新唐書．卷一四五．楊炎傳》：「玄宗事夷狄，戍者多死，邊將諱不以聞。」《警世通言．卷三三．杜十娘怒沉百寶箱》：「夫婦之間，死生相共，有事儘可商量，萬勿諱也。」
[名]
1.有所隱避的事物。《新唐書．卷九六．房玄齡傳》：「朕論公等功，定封邑，恐不能盡，無有諱，各為朕言之。」
2.表示避稱尊長名字的用語，用法如：「父諱〇〇」、「母諱〇〇」。也可用來代指尊長的名字。如：「名諱」、「上諱」。唐．韓愈〈柳子厚墓誌銘〉：「子厚諱宗元，七世祖慶。」《儒林外史》第三回：「捷報貴府老爺范諱進高中廣東鄉試第七名亞元。」</t>
  </si>
  <si>
    <t>頮</t>
  </si>
  <si>
    <t>[動]
洗臉。《玉篇．水部》：「頮，洗面也。」《書經．顧命》：「甲子，王乃洮頮水，相被冕服，憑玉几。」</t>
  </si>
  <si>
    <t>懽</t>
  </si>
  <si>
    <t>ㄏㄨㄢ</t>
  </si>
  <si>
    <t>huān</t>
  </si>
  <si>
    <t>[形]
喜樂。同「歡」。《呂氏春秋．孝行覽．本味》：「不謀而親，不約而信，相為殫智竭力，犯危行苦，志懽樂之，此功名所以大成也。」</t>
  </si>
  <si>
    <t>嚾</t>
  </si>
  <si>
    <t>[副]
喧鬧。《新唐書．卷一四八．康日知傳》：「籍子弟姻昵冒賞，而士不及，怨言嚾流。」</t>
  </si>
  <si>
    <t>獾</t>
  </si>
  <si>
    <t>[名]
食肉目貂科動物的通稱。體形粗笨，扁頭，臉上有斑紋，毛多灰色。腿短，走路蹣跚，但前肢強勁有力，適於掘洞。通常於夜間活動，以昆蟲、鼠類、果實、鳥蛋等為食。有豬獾、狗獾、美洲獾等種類。</t>
  </si>
  <si>
    <t>歡</t>
  </si>
  <si>
    <t>[形]
1.喜樂。如：「歡樂」、「歡心」。唐．杜甫〈茅屋為秋風所破歌〉：「安得廣廈千萬間，大庇天下寒士俱歡顏。」
2.友好。《文選．陸機．擬古詩十二首．擬庭中有奇樹》：「歡友蘭時往，苕苕匿音徽。」
[名]
1.對情人的稱呼。如：「舊愛新歡」。晉．無名氏〈子夜歌〉四二首之四：「自從別歡來，奩器了不開。」唐．劉禹錫〈踏歌行〉四首之一：「唱盡新詞歡不見，紅霞映樹鷓鴣鳴。」
2.姓。如明代有歡慨。
[動]
愛好。參見「喜歡」、「歡喜」等條。</t>
  </si>
  <si>
    <t>讙</t>
  </si>
  <si>
    <t>[動]
喧譁。《說文解字．言部》：「讙，譁也。」《史記．卷五六．陳丞相世家》：「是日乃拜平為都尉，使為參乘，典護軍，諸將盡讙。」
[形]
喜樂。通「歡」。唐．柳宗元〈天對〉：「丕徹以圖，民以讙以都。」</t>
  </si>
  <si>
    <t>驩</t>
  </si>
  <si>
    <t>[名]
1.一種馬。《說文解字．馬部》：「驩，馬名。」
2.喜樂、歡心。《左傳．昭公四年》：「寡人願結驩於二三君，使舉請間。」《史記．卷八一．廉頗藺相如傳》：「且以一璧之故逆彊秦之驩，不可！」
3.姓。如上古時代有驩兜。</t>
  </si>
  <si>
    <t>洹</t>
  </si>
  <si>
    <t>ㄏㄨㄢˊ</t>
  </si>
  <si>
    <t>huán</t>
  </si>
  <si>
    <t>參見「洹水」條。</t>
  </si>
  <si>
    <t>狟</t>
  </si>
  <si>
    <t>[名]
大狗。《廣韻．平聲．桓韻》：「狟，大犬也。」</t>
  </si>
  <si>
    <t>桓</t>
  </si>
  <si>
    <t>[名]
1.一種植物。《玉篇．木部》：「桓，桓木，葉似柳，皮黃白色。」
2.《詩經．周頌》的篇名。共一章。根據〈詩序〉：「〈桓〉，講武類禡也。〈桓〉，武志也。」類、禡，皆師祭也。指武王將欲伐殷，治兵祭神，然後克紂。至周公、成王太平之時，詩人追述其事以頌武王之功。桓者，威武之志。言講武之時，軍師皆武，故取桓字名篇。本章三句為：「綏萬邦，婁豐年，天命匪解。」
3.姓。如漢代有桓寬、桓譚。
[動]
參見「盤桓」條。</t>
  </si>
  <si>
    <t>貆</t>
  </si>
  <si>
    <t>[名]
一種貉類動物。善攀爬。《說文解字．豸部》：「貆，貉之類。」</t>
  </si>
  <si>
    <t>垸</t>
  </si>
  <si>
    <t>[動]
修補牆垣。《說文解字．土部》：「垸，補垣也。」
[名]
量詞。古代計算重量的單位。《周禮．冬官考工記．冶氏》：「冶氏為殺矢，刃長寸，圍寸，鋌十之，重三垸。」鄭玄注引鄭眾云：「垸，量名。」</t>
  </si>
  <si>
    <t>萑</t>
  </si>
  <si>
    <t>[名]
一種荻類植物。《詩經．豳風．七月》：「七月流火，八月萑葦。」</t>
  </si>
  <si>
    <t>雈</t>
  </si>
  <si>
    <t>[名]
動物名。鳥綱鴟鴞科。形體比鴟鴞小，頭部羽毛呈角狀，嘴彎曲呈鉤狀，兩眼位於頭部正前方。晝伏夜出，好食雞。</t>
  </si>
  <si>
    <t>澴</t>
  </si>
  <si>
    <t>參見「漩澴」條。</t>
  </si>
  <si>
    <t>寰</t>
  </si>
  <si>
    <t>[名]
大地、宇內。如：「寰宇」。《舊唐書．卷三一．音樂志四》：「睿感通寰，孝思浹宙。」</t>
  </si>
  <si>
    <t>圜</t>
  </si>
  <si>
    <t>[動]
環繞、圍繞。《資治通鑑．卷四四．漢紀三十六．明帝永平二年》：「冠帶縉紳之人圜橋門而觀聽者，蓋億萬計。」</t>
  </si>
  <si>
    <t>(一)ㄩㄢˊ yuán（11799）</t>
  </si>
  <si>
    <t>嬛</t>
  </si>
  <si>
    <t>(一)ㄑㄩㄥˊ qióng（06730）(二)ㄒㄩㄢ xuān（07365）</t>
  </si>
  <si>
    <t>環</t>
  </si>
  <si>
    <t>[名]_x000D_
1.玉石雕琢成中央有孔的圓形玉器。如：「玉環」。《左傳．昭公十六年》：「宣子有環，其一在鄭商。」《荀子．大略》：「絕人以玦，反絕以環。」_x000D_
2.泛稱圓圈形的東西。如：「門環」、「耳環」、「指環」、「刀環」。_x000D_
3.關鍵。如：「這個計畫能否如期完成，工作人員的配合是很重要的一環。」_x000D_
4.姓。如漢代有環饒。_x000D_
[動]_x000D_
圍繞、包圍。如：「環島旅行」。《孟子．公孫丑下》：「三里之城，七里之郭，環而攻之而不勝。」《史記．卷八六．刺客列傳．荊軻》：「秦王方環柱走，卒惶急，不知所為。」_x000D_
[形]_x000D_
四周、周圍。《元史．卷一四三．列傳．余闕》：「乃集有司與諸將議屯田戰守計，環境築堡寨，選精甲外扞，而耕稼于中。」</t>
  </si>
  <si>
    <t>[動]
1.返回、回來。如：「還鄉」、「生還」、「往還」。唐．王昌齡〈從軍行〉七首之四：「黃沙百戰穿金甲，不破樓蘭終不還。」
2.恢復、回復。如：「還俗」、「還原」、「還他本來面目」。
3.交回、歸還。如：「還書」、「交還」、「還政」、「有借有還，再借不難。」
4.回報、報復。如：「還禮」、「還擊」、「打不還手，罵不還口。」、「以牙還牙，以眼還眼。」
5.償付。如：「還債」、「他不還我錢。」唐．杜甫〈歲晏行〉：「況聞處處鬻男女，割慈忍愛還租庸。」
6.以來。唐．李華〈弔古戰場文〉：「秦漢而還，多事四夷。」
7.圍繞。通「環」。《漢書．卷二四．食貨志上》：「還廬樹桑，菜茹有畦。」
[名]
姓。如春秋時宋國有還无社。</t>
  </si>
  <si>
    <t>(二)ㄒㄩㄢˊ xuán（07376）(三)ㄏㄞˊ hái（04775）</t>
  </si>
  <si>
    <t>繯</t>
  </si>
  <si>
    <t>[名]
繩索結成的環套。如：「投繯自盡」。《資治通鑑．卷二五二．唐紀六十八．懿宗咸通十一年》：「城上以鉤繯挽之使近，投火沃油焚之，攻者皆死。」</t>
  </si>
  <si>
    <t>(二)（又音）ㄏㄨㄢˋ huàn（05195）</t>
  </si>
  <si>
    <t>闤</t>
  </si>
  <si>
    <t>[名]
市街的牆壁。《文選．張衡．西京賦》：「爾乃廓開九市，通闤帶闠。」唐．白居易〈和微之詩．和櫛沐寄道友〉詩：「始出里北閈，稍轉市西闤。」</t>
  </si>
  <si>
    <t>鐶</t>
  </si>
  <si>
    <t>[名]
圓形有孔可貫繫東西的物品。如：「金鐶」、「銅鐶」。唐．張籍〈蠻中〉詩：「玉鐶穿耳誰家女，自抱琵琶迎海神。」</t>
  </si>
  <si>
    <t>鬟</t>
  </si>
  <si>
    <t>[名]
1.婦女頭髮挽成中空環形的一種髮髻。如：「香鬟」、「雙鬟」。北周．庾信〈和詠舞詩〉：「頓履隨疏節，低鬟逐上聲。」唐．李白〈久別離〉詩：「至此腸斷彼心絕，雲鬟綠鬢罷梳結，愁如回飆亂白雪。」
2.婢女。如：「丫鬟」。宋．梅堯臣〈聽文都知吹簫〉詩：「欲買小鬟試教之，教坊供奉誰知者。」</t>
  </si>
  <si>
    <t>鍰</t>
  </si>
  <si>
    <t>[名]
1.量詞。古代計算重量的單位。有六兩、十一銖二十五分銖之十三為一鍰的說法。《書經．呂刑》：「墨辟疑赦，其罰百鍰。」
2.金錢。唐．柳宗元〈酬韶州裴曹長使君寄道州呂八大使因以見示二十韻〉：「聖理高懸象，爰書降罰鍰。」</t>
  </si>
  <si>
    <t>瓛</t>
  </si>
  <si>
    <t>[名]
一種圭玉。《說文解字．玉部》：「瓛，桓圭，公所執。」</t>
  </si>
  <si>
    <t>浣</t>
  </si>
  <si>
    <t>ㄏㄨㄢˇ</t>
  </si>
  <si>
    <t>huǎn</t>
  </si>
  <si>
    <t>[動]
1.洗滌、洗濯。《廣韻．上聲．緩韻》：「浣，濯也。」唐．王維〈洛陽女兒行〉：「誰憐越女顏如玉，貧賤江頭自浣紗。」
2.滌除、消除。唐．馬載〈岐陽逢曲陽故人話舊〉詩：「積愁何計遣？滿酌浣相思。」
[名]
唐代官吏十天一次休息、沐浴，每月分上浣、中浣、下浣。後借作為上旬、中旬、下旬的別稱。明．張自烈《正字通．水部》：「澣（浣），俗以上澣、中澣、下澣為上旬、中旬、下旬，本唐官制十日一休沐，故白居易詩：『公假月三旬。』今皆襲用之。省作浣。」</t>
  </si>
  <si>
    <t>(二)（又音）ㄨㄢˇ wǎn（11472）</t>
  </si>
  <si>
    <t>睆</t>
  </si>
  <si>
    <t>[形]
1.眼睛突出的樣子。《玉篇．目部》：「睆，出目貌。」唐．東方虬〈蟾蜍賦〉：「爾其文章，睆目、銳頭、皤腹，本無牙齒之用，寧懼鷹鸇之逐。」
2.明亮。《禮記．檀弓上》：「華而睆，大夫之簀與？」
3.堅實。《詩經．小雅．杕杜》：「有杕之杜，有睆其實。」漢．鄭玄．箋：「睆，實貌。」
4.美好。唐．劉禹錫〈汴州鄭門新亭記〉：「簾鑪茵帟，文椸睆榻，儲以應猝，周用而宜。」</t>
  </si>
  <si>
    <t>皖</t>
  </si>
  <si>
    <t>(一)ㄨㄢˇ wǎn（11475）</t>
  </si>
  <si>
    <t>㬊</t>
  </si>
  <si>
    <t>[形]
明亮。《玉篇．日部》：「㬊，明也。」
[名]
姓。如宋代有㬊淵。</t>
  </si>
  <si>
    <t>緩</t>
  </si>
  <si>
    <t>[形]
1.慢而不急。如：「緩步」、「緩慢」。《韓非子．觀行》：「董安于之心緩，故佩弦以自急。」《文選．劉孝標．辯命論》：「短則不可緩之於寸陰，長則不可急之於箭漏。」
2.寬鬆。《文選．古詩十九首．行行重行行》：「相去日已遠，衣帶日已緩。」
[動]
1.放鬆。如：「先緩口氣再說吧！」
2.延遲。如：「緩期」、「緩兵之計」。《孟子．滕文公上》：「民事不可緩也。」《金史．卷八八．康括安禮傳》：「賞有功不可緩。」
[名]
姓。如三國時魏國有緩邵。</t>
  </si>
  <si>
    <t>澣</t>
  </si>
  <si>
    <t>同「浣」。</t>
  </si>
  <si>
    <t>(二)（又音）ㄨㄢˇ wǎn（11484）</t>
  </si>
  <si>
    <t>幻</t>
  </si>
  <si>
    <t xml:space="preserve">幺 </t>
  </si>
  <si>
    <t>ㄏㄨㄢˋ</t>
  </si>
  <si>
    <t>huàn</t>
  </si>
  <si>
    <t>[動]
1.蠱惑、欺瞞。《集韻．去聲．諫韻》：「幻，惑亂也。」《六韜．卷一．文韜．上賢》：「不祥之言，幻惑良民。」
2.變化。如：「變幻莫測」。宋．辛棄疾〈聲聲慢．征埃成陣〉詞：「征埃成陣，行客相逢，都道幻出層樓。」
[形]
虛假、不真實的。如：「虛幻」、「幻境」、「幻象」。《列子．周穆王》：「有生之氣，有形之狀，盡幻也。」宋．蘇軾〈登州海市〉詩：「心知所見皆幻影，敢以耳目煩神工。」</t>
  </si>
  <si>
    <t>宦</t>
  </si>
  <si>
    <t>[動]
為官。《說文解字．宀部》：「宦，仕也。」《左傳．宣公二年》：「及成公即位，乃宦卿之適子而為之田，以為公族。」南朝宋．劉義慶《世說新語．賞譽》：「年二十八，始宦。」
[名]
1.官吏。如：「官宦」。南朝宋．劉義慶《世說新語．假譎》：「婿身名宦，盡不減嶠。」《紅樓夢》第四回：「這個被打之人乃是本地一個小鄉宦之子，名喚馮淵。」
2.太監。如：「宦官」。《新唐書．卷一一六．王綝傳》：「自石門還，政一決宰相，群宦不平，構藩鎮內脅天子。」《文選．司馬遷．報任少卿書》：「夫以中才之人，事有關於宦豎，莫不傷氣，而況於慷慨之士乎！」</t>
  </si>
  <si>
    <t>奐</t>
  </si>
  <si>
    <t>[形]
1.盛大、眾多。《玉篇．廾部》：「奐，眾多也。」《漢書．卷七三．韋賢傳》：「既耇致位，惟懿惟奐。」唐．顏師古．注：「奐，盛也。」
2.文彩鮮明。如：「美輪美奐」。《禮記．檀弓下》：「晉獻文子成室，晉大夫發焉。張老曰：『美哉輪焉！美哉奐焉！』」
3.閑暇自得。《詩經．大雅．卷阿》：「伴奐爾游矣，優游爾休矣。」
[名]
姓。如明代有奐忠。</t>
  </si>
  <si>
    <t>渙</t>
  </si>
  <si>
    <t>[動]
離散、分散。《詩經．周頌．訪落》：「將予就之，繼猶判渙。」南朝陳．徐陵〈陳文皇帝哀冊文〉：「九夷百越，雷隨風渙，北俘昆邪，西戡伊靬。」
[形]
1.散漫。如：「軍心渙散」。
2.水流盛大的樣子。《詩經．鄭風．溱洧》：「溱與洧，方渙渙兮。」
[副]
盛大。唐．柳宗元〈代韋中丞賀元和大赦表〉：「渙發大號，申明舊章。」
[名]
《易經》卦名。六十四卦之一。坎（☵）下巽（☴）上。象風行於水上，波濤激動，散難釋險之義。</t>
  </si>
  <si>
    <t>換</t>
  </si>
  <si>
    <t>[動]
1.互易、對調。如：「換錢」、「互換」、「交換」。《晉書．卷四九．阮籍傳》：「嘗以金貂換酒，復為所司彈劾，帝宥之。」
2.更改、變易。如：「更換」、「變換」、「換車」、「換髮型」。《墨子．備城門》：「寇在城下，時換吏卒署，而毋換亓養。」唐．王勃〈滕王閣〉詩：「閒雲潭影日悠悠，物換星移幾度秋。」</t>
  </si>
  <si>
    <t>喚</t>
  </si>
  <si>
    <t>[動]
1.喊、叫。如：「喚醒」、「呼喚」、「召喚」。南朝宋．劉義慶《世說新語．任誕》：「桓子野每聞清歌，輒喚『奈何』！」唐．白居易〈琵琶行〉：「千呼萬喚始出來，猶抱琵琶半遮面。」
2.招之使來。南朝宋．劉義慶《世說新語．方正》：「慮諸公不奉詔，於是先喚周侯、丞相入。」唐．杜甫〈愁〉詩：「江草日日喚愁生，巫峽冷冷非世情。」
3.鳴。唐．杜甫〈白沙渡〉詩：「我馬向北嘶，山猿飲相喚。」宋．陸游〈細雨〉詩：「美睡常嫌鶯喚起，清愁卻要酒闌回。」</t>
  </si>
  <si>
    <t>煥</t>
  </si>
  <si>
    <t>[副]
光彩、鮮明、顯露的樣子。如：「煥然一新」、「容光煥發」。晉．潘尼〈安石榴賦〉：「遙而望之，煥若隨珠耀重川。」</t>
  </si>
  <si>
    <t>瘓</t>
  </si>
  <si>
    <t>參見「癱瘓」條。</t>
  </si>
  <si>
    <t>圂</t>
  </si>
  <si>
    <t>[名]
家畜。同「豢」。《禮記．少儀》：「君子不食圂腴，小子走而不趨。」</t>
  </si>
  <si>
    <t>(一)ㄏㄨㄣˋ hùn（05212）</t>
  </si>
  <si>
    <t>豢</t>
  </si>
  <si>
    <t>[動]
1.飼養家畜。如：「豢養」。《禮記．樂記》：「夫豢豕為酒，非以為禍也。」《後漢書．卷六〇下．蔡邕傳》：「甯子有清商之歌，百里有豢牛之事。」
2.以利益引誘、收買他人。《左傳．哀公十一年》：「吳人皆喜，唯子胥懼，曰：『是豢吳也夫。』」清．孔尚任《桃花扇》第一三齣：「養文臣帷幄無謀，豢武夫疆場不猛。」
[名]
家畜。《禮記．月令》：「乃命宰祝，循行犧牲。視全具，案芻豢。」</t>
  </si>
  <si>
    <t>逭</t>
  </si>
  <si>
    <t>[動]
逃避。如：「罪無可逭」。《書經．太甲中》：「天作孽，猶可違；自作孽，不可逭。」宋．蘇軾〈上神宗皇帝書〉：「人主失人心則亡，此必然之理，不可逭之災也。」</t>
  </si>
  <si>
    <t>患</t>
  </si>
  <si>
    <t>[動]
1.憂慮、擔心。如：「患得患失」。《論語．學而》：「不患人之不己知，患不知人也。」唐．韓愈〈贈別元十八協律〉六首之五：「讀書患不多，思義患不明，患足已不學，既學患不行。」
2.得、遭逢。如：「患病」、「患者」。南朝宋．劉義慶《世說新語．言語》：「主人問病，曰：『患瘧也。』」
[名]
禍害、災難。如：「水患」、「外患」、「禍患」。《易經．既濟卦．象曰》：「水在火上既濟，君子以思患而豫防之。」</t>
  </si>
  <si>
    <t>漶</t>
  </si>
  <si>
    <t>參見「漫漶」條。</t>
  </si>
  <si>
    <t>擐</t>
  </si>
  <si>
    <t>[動]
穿著。《左傳．成公二年》：「擐甲執兵，固即死也。」唐．韓愈〈崔十六少府攝伊陽以詩及書見投因酬三十韻〉：「上言酒味酸，冬衣竟未擐。」</t>
  </si>
  <si>
    <t>(一)ㄏㄨㄢˊ huán（05169）</t>
  </si>
  <si>
    <t>轘</t>
  </si>
  <si>
    <t>[動]
古代一種酷刑，用車來分裂人體。《左傳．桓公十八年》：「齊人殺子亹而轘高渠彌。」《資治通鑑．卷一六九．陳紀三．文帝天嘉五年》：「其刑名有五：一曰死，重者轘之，次梟首，次斬，次絞。」</t>
  </si>
  <si>
    <t>鯇</t>
  </si>
  <si>
    <t>[名]
動物名。脊椎動物亞門硬骨魚綱鯉科。體長，呈圓筒形，色青黃，以水草為食，易於人工養殖，為我國淡水養殖魚類之一。俗稱為「草魚」。</t>
  </si>
  <si>
    <t>昏</t>
  </si>
  <si>
    <t>ㄏㄨㄣ</t>
  </si>
  <si>
    <t>hūn</t>
  </si>
  <si>
    <t>[名]
1.傍晚，日暮的時候。如：「黃昏」、「晨昏定省」。《左傳．昭公十三年》：「自日中以爭，至於昏。」
2.婚姻。通「婚」。《新唐書．卷二一五．突厥傳上》：「是時突厥再上書求昏，帝未報。」
[形]
1.暗，光線不明。如：「昏暗」、「昏黃」。《文選．左思．吳都賦》：「揮袖風飄，而紅塵晝昏。」《紅樓夢》第五回：「忽喇喇如大廈傾，昏慘慘似燈將盡。」
2.不明、不清楚。如：「老眼昏花」。唐．韓愈〈與崔群書〉：「目視昏花，尋常閒便不分人顏色。」清．孔尚任《桃花扇》第八齣：「我老眼雖昏，早已看真了。」
3.神志不清的。如：「頭昏」、「昏頭昏腦」。《書經．多方》：「乃大淫昏，不克終日勸于帝之迪。」
4.不明事理的。如：「昏庸」、「昏君」。
[動]
1.喪失知覺。如：「昏迷」、「昏厥」。《聊齋志異．卷一．鬼哭》：「先是，閽人王姓者，疾篤，昏不知人者數日矣。」
2.迷惑。《呂氏春秋．孟夏紀．誣徒》：「昏於小利，惑於嗜欲。」</t>
  </si>
  <si>
    <t>[形]
昏亂、糊塗不明。《說文解字．心部》：「惛，不憭也。」清．段玉裁．注：「憭，慧也。」唐．皮日休〈移元徵君書〉：「苟或退者，是時弊不可正，主惛不可曉。」</t>
  </si>
  <si>
    <t>(二)ㄇㄣˋ mèn（01257）</t>
  </si>
  <si>
    <t>婚</t>
  </si>
  <si>
    <t>[名]
嫁娶之事。如：「論及婚嫁」。《易經．屯卦．六四》：「乘馬班如，求婚媾，往吉，無不利。」
[動]
結婚。《國語．晉語四》：「同姓不婚，惡不殖也。」唐．杜甫〈贈衛八處士〉詩：「昔別君未婚，兒女忽成行。」</t>
  </si>
  <si>
    <t>殙</t>
  </si>
  <si>
    <t>[形]
昏亂、神志不清。《莊子．達生》：「以鉤注者憚，以黃金注者殙。」唐．成玄英．疏：「注，射也。……用黃金賭者，既是極貴之物，矜而惜之，故心智昏亂而不中也。」</t>
  </si>
  <si>
    <t>閽</t>
  </si>
  <si>
    <t>[名]
1.守門人。《左傳．襄公二十九年》：「吳人伐楚，獲俘焉，以為閽。」
2.宮門。唐．李商隱〈哭劉蕡〉詩：「上帝深宮閉九閽，巫咸不下問銜冤。」</t>
  </si>
  <si>
    <t>葷</t>
  </si>
  <si>
    <t>[名]
1.泛指肉類食物。如：「不忌葷素」。《水滸傳》第五回：「洒家不忌葷酒，遮莫甚麼渾清白酒，都不揀選，牛肉狗肉，但有便吃。」
2.指蔥、蒜、韭等具有辛辣氣味的蔬菜。《儀禮．士相見禮》：「夜侍坐，問夜，膳葷，請退可也。」漢．鄭玄．注：「葷，辛物，蔥韭之屬。」
[形]
有關情色的。如：「葷笑話」。</t>
  </si>
  <si>
    <t>(二)ㄒㄩㄣ xūn（07400）</t>
  </si>
  <si>
    <t>ㄏㄨㄣˊ</t>
  </si>
  <si>
    <t>hún</t>
  </si>
  <si>
    <t>(一)[形]2.之又音。</t>
  </si>
  <si>
    <t>(一)ㄏㄨㄣˋ hùn（05215）(二)ㄍㄨㄣˇ gǔn（04345）(三)ㄎㄨㄣ kūn（04657）(五)（(一)之又音）ㄏㄨㄣˇ hǔn（05211）</t>
  </si>
  <si>
    <t>餛</t>
  </si>
  <si>
    <t>[形]
1.混濁、汙濁。唐．杜甫〈示從孫濟〉詩：「淘米少汲水，汲多井水渾。」宋．陸游〈遊山西村〉詩：「莫笑農家臘酒渾，豐年留客足雞豚。」
2.糊塗。如：「渾頭渾腦」、「渾渾噩噩」。《負曝閑談》第一〇回：「渾小子自有渾主意。」
3.全部、整個。如：「渾身解數」、「渾身發抖」。唐．戎昱〈苦哉行〉五首之四：「身為最小女，偏得渾家憐。」
[副]
完全、簡直。如：「渾然天成」、「渾然忘我」。唐．杜甫〈春望〉詩：「白頭搔更短，渾欲不勝簪。」</t>
  </si>
  <si>
    <t>(二)ㄏㄨㄣˋ hùn（05216）(三)ㄍㄨㄣˇ gǔn（04351）</t>
  </si>
  <si>
    <t>琿</t>
  </si>
  <si>
    <t>[名]
一種美麗的玉石。《集韻．平聲．魂韻》：「琿，美玉。」</t>
  </si>
  <si>
    <t>楎</t>
  </si>
  <si>
    <t>[名]
懸掛衣服的架子。《禮記．內則》：「男女不同椸枷，不敢縣於夫之楎椸。」</t>
  </si>
  <si>
    <t>鼲</t>
  </si>
  <si>
    <t>參見「鼲鼠」條。</t>
  </si>
  <si>
    <t>魂</t>
  </si>
  <si>
    <t>[名]
1.人的精氣。如：「靈魂」、「三魂七魄」、「借屍還魂」。《樂府詩集．卷七三．雜曲歌辭十三．古辭．焦仲卿妻》：「我命絕今日，魂去尸長留。」《西遊記》第一二回：「是我太宗皇帝死去三日，還魂復生。」
2.泛指各種事物的精神。如：「國魂」。唐．溫庭筠〈春江花月夜詞〉：「千里涵空澄水魂，萬枝破鼻飄香雪。」宋．蘇軾〈再用松風亭下梅花盛開韻〉：「羅浮山下梅花村，玉雪為骨冰為魂。」
3.人的神志、意念。如：「神魂顛倒」、「黯然魂銷」。唐．許敬宗〈謝勑書表〉：「引領天庭，望丹霄而結戀；馳魂魏闕，懼黃落而長違。」</t>
  </si>
  <si>
    <t>ㄏㄨㄣˇ</t>
  </si>
  <si>
    <t>hǔn</t>
  </si>
  <si>
    <t>(一)ㄏㄨㄣˋ hùn（05215）(二)ㄍㄨㄣˇ gǔn（04345）(三)ㄎㄨㄣ kūn（04657）(四)ㄏㄨㄣˊ hún（05204）</t>
  </si>
  <si>
    <t>ㄏㄨㄣˋ</t>
  </si>
  <si>
    <t>hùn</t>
  </si>
  <si>
    <t>[名]
1.豬圈。《玉篇．囗部》：「圂，豕所居也。」《漢書．卷二七．五行志中之下》：「豕出圂，壞都灶，銜其鬴六七枚置殿前。」
2.廁所。清．王念孫《廣雅疏證．卷七上．釋宮》：「圂，廁也。」</t>
  </si>
  <si>
    <t>(二)ㄏㄨㄢˋ huàn（05189）</t>
  </si>
  <si>
    <t>溷</t>
  </si>
  <si>
    <t>[形]
混亂。《楚辭．屈原．離騷》：「世溷濁而不分兮，好蔽美而嫉妒。」
[動]
打擾。《漢書．卷四三．陸賈傳》：「一歲中以往來過它客，率不過再過，數擊鮮，毋久溷女為也。」《聊齋志異．卷二．巧娘》：「是我之客，不可久溷他人。」
[名]
1.廁所。《後漢書．卷六七．黨錮傳．李膺傳》：「時宛陵大姓羊元群罷北海郡，臧罪，郡舍溷軒有奇巧，乃載之以歸。」《聊齋志異．卷一．靈官》：「靈官追逐甚急。至黃河上，瀕將及矣，大窘無計，竄伏溷中。」
2.豬圈。漢．王充《論衡．吉驗》：「北夷橐離國王，侍婢有娠，王欲殺之。……後產子，捐於豬溷中，豬以口氣噓之不死。」</t>
  </si>
  <si>
    <t>慁</t>
  </si>
  <si>
    <t>[動]
1.憂慮。《左傳．昭公六年》：「舍不為暴，主不慁賓。」
2.擾亂。《史記．卷七九．范雎蔡澤傳》：「先生乃幸辱至於此，是天以寡人慁先生，而存先王之宗廟也。」
3.汙辱。《禮記．儒行》：「不慁君王，不累長上。」
[形]
雜亂。南朝梁．劉勰《文心雕龍．議對》：「仲舒之對，祖述春秋，本陰陽之化，究列代之變，煩而不慁者，事理明也。」唐．劉禹錫〈管城新譯記〉：「蘧廬有甲乙，床帳有冬夏，庭容牙節，廡臥囊橐，示禮而不慁也。」</t>
  </si>
  <si>
    <t>[形]_x000D_
1.水勢盛大。漢．司馬相如〈上林賦〉：「汩乎混流，順阿而下。」北魏．酈道元《水經注．漸江水》：「其水分納眾流，混波東逝。」_x000D_
2.汙濁不清。《史記．卷八四．屈原賈生列傳．屈原》：「舉世混濁而我獨清，眾人皆醉而我獨醒。」《文選．卷四八．符命．班固．典引》：「五德初始，同於草昧玄混之中。」唐．李善．注：「混猶溷濁。」_x000D_
[動]_x000D_
1.摻合。如：「混為一談」。漢．班固〈幽通賦〉：「道混成而自然兮，術同原而分流。」《紅樓夢》第九回：「人多了，就有龍蛇混雜，下流人物在內。」_x000D_
2.欺騙、冒充。《紅樓夢》第四七回：「姨太太的牌也生，咱們一處坐著，別叫鳳姐兒混了我們去。」《花月痕》第一七回：「他道你是魚目混珠，你該罰他一鍾酒！」_x000D_
3.苟且度日。如：「鬼混」、「混日子」。元．無名氏《小尉遲》第二折：「本來不醉佯妝醉，則在營裡胡廝混。」《儒林外史》第一二回：「思量房裡沒有別人，只是楊執中的蠢兒子在那裡混。」_x000D_
4.鬧、擾亂。元．鄭光祖《倩女離魂》第一折：「他是掣風濤混海鯨鰲。」《殘唐五代史演義傳．卷一．赤牆村黃巢出身》：「目下起兵混唐，在藏梅寺起手，開刀先殺一僧。」《樂毅圖齊七國春秋後集》卷中：「自燕兵混散齊兵，臣領五百軍在山林之間屯駐，不能安業。」_x000D_
[副]_x000D_
胡亂。如：「混說」、「混搞」。《儒林外史》第一五回：「尋了錢又混用掉了，而今落得這一個收場。」《紅樓夢》第三四回：「薛大哥哥從來不這樣的，你們別混猜度。」</t>
  </si>
  <si>
    <t>(二)ㄍㄨㄣˇ gǔn（04345）(三)ㄎㄨㄣ kūn（04657）(四)ㄏㄨㄣˊ hún（05204）(五)（(一)之又音）ㄏㄨㄣˇ hǔn（05211）</t>
  </si>
  <si>
    <t>[動]
混雜。《漢書．卷三六．楚元王劉交傳》：「今賢不肖渾殽，白黑不分，邪正雜糅，忠讒並進。」
[形]
大。《文選．班固．幽通賦》：「渾元運物，流不處兮。」唐．秦韜玉〈紫騮馬〉詩：「臕大宜懸銀壓胯，力渾欺卻玉銜頭。」</t>
  </si>
  <si>
    <t>(一)ㄏㄨㄣˊ hún（05206）(三)ㄍㄨㄣˇ gǔn（04351）</t>
  </si>
  <si>
    <t>諢</t>
  </si>
  <si>
    <t>[名]_x000D_
戲謔、逗趣的言辭。如：「插科打諢」。《紅樓夢》第二二回：「亦知賈母喜熱鬧，更喜謔笑科諢，便點了一齣《劉二當衣》。」</t>
  </si>
  <si>
    <t>肓</t>
  </si>
  <si>
    <t>ㄏㄨㄤ</t>
  </si>
  <si>
    <t>huāng</t>
  </si>
  <si>
    <t>[名]
人體心臟下、橫膈膜上的部位，古代認為是藥力無法到達的地方。如：「病入膏肓」。《左傳．成公十年》：「疾不可為也，在肓之上，膏之下。」《晉書．卷五六．孫楚傳》：「夫療膏肓之疾者，必進苦口之藥。」</t>
  </si>
  <si>
    <t>衁</t>
  </si>
  <si>
    <t>[名]
血液。《說文解字．血部》：「衁，血也。」《左傳．僖公十五年》：「士刲羊，亦無衁也。」</t>
  </si>
  <si>
    <t>荒</t>
  </si>
  <si>
    <t>[動]
1.廢棄。《說文解字．艸部》：「荒，蕪也。」如：「荒廢」、「荒蕪」。漢．桓寬《鹽鐵論．本議》：「國有沃野之饒而民不足於食者，工商盛而本業荒也。」唐．韓愈〈進學解〉：「業精於勤荒於嬉；行成於思毀於隨。」
2.沉溺。如：「荒淫」。《金史．卷七〇．撒改傳》：「遼主荒于遊畋，政事怠廢。」
3.擴大。《詩經．周頌．天作》：「天作高山，大王荒之。」《列子．楊朱》：「禹纂業事讎，惟荒土功。」
4.驚慌、忙亂。通「慌」。唐．盧藏用〈陳子昂別傳〉：「（段簡）將欲害之，子昂荒懼，使家人納錢二十萬。」《劉知遠諸宮調．第二》：「知遠聽得道，好驚荒，別了三翁，急出祠堂。」
[名]
1.還未開墾的田地。如：「墾荒」。晉．陶淵明〈歸園田居〉詩五首之一：「開荒南野際，守拙歸園田。」《晉書．卷九〇．良吏傳．王宏傳》：「督勸開荒五千餘頃，而熟田常課頃畝不減。」
2.邊遠的地方。如：「八荒九垓」。《楚辭．屈原．離騷》：「忽反顧以遊目兮，將往觀乎四荒。」《三國演義》第九一回：「我奉王命，問罪遐荒。」
3.凶年，農作物歉收的日子。如：「救荒」、「逃荒」、「飢荒」。清．魏源〈吳農備荒議上〉：「救荒不如備荒，備荒莫如急農時。」
4.事物嚴重缺乏的情況。如：「水荒」、「屋荒」、「師資荒」。
5.破爛廢棄的物品。如：「收荒」、「拾荒」。
[形]
1.空曠冷清、偏僻。如：「荒涼」、「荒郊野外」。唐．吳融〈野廟〉詩：「古原荒廟揜莓苔，何處喧喧鼓笛來。」
2.不合情理的、不實在的。如：「荒誕」、「荒謬」、「荒唐」。《紅樓夢》第一〇〇回：「前兩天還聽見一個荒信，說是南邊的公當鋪也因為折了本兒收了。」</t>
  </si>
  <si>
    <t>慌</t>
  </si>
  <si>
    <t>[動]
1.恐懼。如：「恐慌」、「驚慌」。《水滸傳》第一六回：「先生休慌，且請相見。」
2.因急促而忙亂。《儒林外史》第三回：「周進……就撞死在地下，眾人多慌了！」
[形]
急躁。如：「慌忙」、「他做事總這麼慌，今天早晨又打破了一個碗。」</t>
  </si>
  <si>
    <t>(二)˙ㄏㄨㄤ huang（05253）</t>
  </si>
  <si>
    <t>皇</t>
  </si>
  <si>
    <t>ㄏㄨㄤˊ</t>
  </si>
  <si>
    <t>huáng</t>
  </si>
  <si>
    <t>[形]
1.大、偉大。如：「冠冕堂皇」。《詩經．大雅．皇矣》：「皇矣上帝，臨下有赫。」唐．柳宗元〈天對〉：「皇熙亹亹，胡棟胡宇！」
2.莊盛、輝煌。《詩經．小雅．采芑》：「服其命服，朱芾斯皇。」《儀禮．聘禮》：「賓入門皇，升堂讓，將授志趨。」
3.美。《詩經．大雅．文王》：「思皇多士，生此王國。」《後漢書．卷八〇．文苑傳上．傅毅傳》：「武丁興商，伊宗皇士。」
4.有關君主的。如：「皇宮」、「皇恩」、「皇位」。《楚辭．屈原．離騷》：「豈余身之憚殃兮，恐皇輿之敗績。」《文選．班固．東都賦》：「夫大漢之開元也，奮布衣以登皇位。」
[名]
1.天。《楚辭．屈原．離騷》：「陟陞皇之赦戲兮，忽臨睨夫舊鄉。」漢．王逸．注：「皇，皇天也。」《後漢書．卷五二．崔駰傳》：「皇再命而紹卹兮，乃云眷乎建武。」唐．章懷太子．注：「皇，天也。」
2.君主。如：「三皇五帝」、「女皇」。
3.姓。如春秋時鄭國有皇頡。
[動]
匡正。《詩經．豳風．播斧》：「周公東征，四國是皇。」</t>
  </si>
  <si>
    <t>偟</t>
  </si>
  <si>
    <t>[名]
閒暇。《爾雅．釋言》：「偟，暇也。」宋．邢昺．疏：「謂閒暇。」</t>
  </si>
  <si>
    <t>凰</t>
  </si>
  <si>
    <t>參見「鳳凰」條。</t>
  </si>
  <si>
    <t>湟</t>
  </si>
  <si>
    <t>[名]
1.河川名。源於大陸地區青海省東北噶爾藏嶺，流入甘肅省會大通河後注入黃河。
2.低溼的地方。宋．孫光憲《北夢瑣言》卷一六：「池湟堅牢，人心獷悍。」</t>
  </si>
  <si>
    <t>惶</t>
  </si>
  <si>
    <t>[動]
恐懼、害怕。如：「惶恐」。漢．王符《潛夫論．卜列》：「孟賁狎猛虎而不惶，嬰人畏螻蟻而發聞。」《文選．潘岳．馬汧督誄》：「聖朝西顧，關右震惶。」</t>
  </si>
  <si>
    <t>喤</t>
  </si>
  <si>
    <t>參見「喤喤」條。</t>
  </si>
  <si>
    <t>徨</t>
  </si>
  <si>
    <t>參見「彷徨」、「徨徨」等條。</t>
  </si>
  <si>
    <t>隍</t>
  </si>
  <si>
    <t>[名]
圍繞在城牆外沒有水的壕溝。《易經．泰卦．上六》：「城復于隍，勿用師，自邑告命貞吝。」《文選．班固．兩都賦序》：「京師脩宮室，浚城隍，起苑囿，以備制度。」李善注引《說文》曰：「城池無水曰隍。」</t>
  </si>
  <si>
    <t>煌</t>
  </si>
  <si>
    <t>[形]
光亮、明亮。如：「燈火輝煌」。《文選．司馬相如．封禪文》：「采色炫燿，煥炳煇煌。」《文選．張衡．東京賦》：「煌火馳而星流，逐赤疫於四裔。」</t>
  </si>
  <si>
    <t>葟</t>
  </si>
  <si>
    <t>[名]
草木的花。《爾雅．釋草》：「蕍、芛、葟、華，榮。」宋．邢昺．疏：「葟亦華也。」</t>
  </si>
  <si>
    <t>遑</t>
  </si>
  <si>
    <t>[副]
1.急迫、匆忙不安。如：「遑急」、「遑遽」。《三國志．卷六五．吳書．華覈傳》：「長吏畏罪，晝夜催民，委舍佃事，遑赴會日，定送到都。」
2.何、怎能。如：「遑論」。《詩經．邶風．谷風》：「我躬不閱，遑恤我後？」
[名]
閒暇。《詩經．小雅．小弁》：「心之憂矣，不遑假寐。」</t>
  </si>
  <si>
    <t>蝗</t>
  </si>
  <si>
    <t>[名]
昆蟲綱直翅目蝗科動物的通稱。口器闊大，前翅黃褐色，後翅半透明，喜結群飛翔。後腳強而有力，善跳躍。種類繁多，以草食為生，少數會為害作物。俗稱為「蝗蟲」。</t>
  </si>
  <si>
    <t>篁</t>
  </si>
  <si>
    <t>[名]
1.竹林、竹叢。《楚辭．屈原．九歌．山鬼》：「余處幽篁兮終不見天，路險難兮獨後來。」
2.竹的通稱。唐．柳宗元〈清水驛叢竹天水趙云余手種一十二莖〉詩：「簷下疏篁十二莖，襄陽從事寄幽情。」唐．李商隱〈離思〉詩：「朔雁傳書絕，湘篁染淚多。」</t>
  </si>
  <si>
    <t>艎</t>
  </si>
  <si>
    <t>參見「艅艎」條。</t>
  </si>
  <si>
    <t>鍠</t>
  </si>
  <si>
    <t>[名]
1.鐘鼓的聲音。南朝梁．劉勰《文心雕龍．原道》：「泉石激韻，和若球鍠。」唐．韓愈、孟郊〈城南聯句〉：「鐵鐘孤舂鍠，癭頸鬧鳩鴿。」
2.武器名。古代一種似鉞的兵器。晉．崔豹《古今注．卷上．輿服》：「鍠，秦改鐵鉞作鍠，秦制也。今乘輿諸侯王公妃主通建焉。」《新唐書．卷二十三．儀衛志上》：「第二行，儀鍠，五色幡，赤地雲花襖，冒。」</t>
  </si>
  <si>
    <t>餭</t>
  </si>
  <si>
    <t>參見「餦餭」條。</t>
  </si>
  <si>
    <t>騜</t>
  </si>
  <si>
    <t>[名]
毛色黃白相間的馬。《爾雅．釋畜》：「黃白，騜。」</t>
  </si>
  <si>
    <t>鰉</t>
  </si>
  <si>
    <t>參見「鰉魚」條。</t>
  </si>
  <si>
    <t>黃</t>
  </si>
  <si>
    <t>[名]_x000D_
1.一種似土地的顏色。《說文解字．黃部》：「黃，地之色也。」_x000D_
2.黃帝的簡稱。如：「炎黃子孫」、「黃老之術」。《呂氏春秋．孟秋紀．蕩兵》：「兵所自來者久矣，黃、炎故用水火矣，共工氏固次作難矣，五帝固相與爭矣。」_x000D_
3.姓。如宋代有黃庭堅。_x000D_
4.二一四部首之一。_x000D_
[動]_x000D_
1.變黃而枯萎。《詩經．小雅．何草不黃》：「何草不黃，何日不行。」南朝宋．鮑照〈代白紵曲〉二首之一：「窮秋九月荷葉黃，北風驅雁天雨霜。」_x000D_
2.北平方言。指事情、計畫不能成功或諾言不能實現。如：「這一筆生意八成要黃了。」「他答應的事大概會黃。」_x000D_
[形]_x000D_
象徵庸俗腐化，或含有色情意味的。如：「黃色小說」、「黃色笑話」。</t>
  </si>
  <si>
    <t>潢</t>
  </si>
  <si>
    <t>[名]_x000D_
積水池。《左傳．隱公三年》：「潢汙行潦之水，可薦於鬼神。」唐．孔穎達．正義：「服虔云：『畜小水謂之潢，水不流謂之汙。』」晉．木華〈海賦〉：「乃鏟臨崖之阜陸，決陂潢而相沃。」_x000D_
[動]_x000D_
裱裝字畫或裝飾室內。如：「裝潢」。《新唐書．卷八一．三宗諸子列傳．惠文太子範》：「長安初，張易之奏天下善工潢治，乃密使摹肖，殆不可辨，竊其真藏于家。」</t>
  </si>
  <si>
    <t>璜</t>
  </si>
  <si>
    <t>[名]
半璧形的玉石。《周禮．春官．大宗伯》：「以白琥禮西方，以玄璜禮北方。」唐．韓愈、孟郊〈城南聯句〉：「鵝肪截佩璜，文升相照灼。」</t>
  </si>
  <si>
    <t>磺</t>
  </si>
  <si>
    <t>參見「硫磺」條。</t>
  </si>
  <si>
    <t>蟥</t>
  </si>
  <si>
    <t>參見「馬蟥」條。</t>
  </si>
  <si>
    <t>簧</t>
  </si>
  <si>
    <t>[名]_x000D_
1.樂器裡用金屬或其他材料製成的發聲薄片，如笙、竽、管等。《詩經．秦風．車鄰》：「既見君子，並坐鼓簧。」宋．周邦彥〈慶春宮．雲接平岡〉詞：「絃管當頭，偏憐嬌鳳，夜深簧暖笙清。」_x000D_
2.器物中具有彈力的機件。如：「彈簧」、「鎖簧」。</t>
  </si>
  <si>
    <t>ㄏㄨㄤˇ</t>
  </si>
  <si>
    <t>huǎng</t>
  </si>
  <si>
    <t>參見「洸洸」條。</t>
  </si>
  <si>
    <t>(一)ㄍㄨㄤ guāng（04356）</t>
  </si>
  <si>
    <t>恍</t>
  </si>
  <si>
    <t>[形]
參見「恍惚」條。
[副]
1.彷彿、好像。如：「恍如隔世」。宋．蘇軾〈滿江紅．清潁東流〉詞：「相看恍如昨，許多年月。」《紅樓夢》第三回：「這個人打扮與眾姑娘不同，彩繡輝煌，恍若神妃仙子。」
2.突然、猛然。如：「恍然大悟」。《醒世恆言．卷四．灌園叟晚逢仙女》：「秋公聽說，心下恍悟道：『恁般說，莫不這位小娘子是神仙下降？』」</t>
  </si>
  <si>
    <t>晃</t>
  </si>
  <si>
    <t>[形]
明亮。如：「明晃晃」。《抱朴子．外篇．喻蔽》：「守燈燭之宵曜，不識三光之晃朗。」
[動]
1.強光閃耀、照耀。如：「燈光太亮，晃得人眼睛都睜不開。」北周．庾信〈鏡賦〉：「朝光晃眼，早風吹面。」
2.很快閃過。如：「一晃而過」、「從眼前晃過」。
[名]
姓。如漢代有晃葉。</t>
  </si>
  <si>
    <t>(二)ㄏㄨㄤˋ huàng（05252）</t>
  </si>
  <si>
    <t>滉</t>
  </si>
  <si>
    <t>[形]
參見「滉瀁」條。</t>
  </si>
  <si>
    <t>幌</t>
  </si>
  <si>
    <t>[名]
帷幔、窗簾。宋．歐陽修〈蝶戀花．面旋落花風蕩漾〉詞：「寂寞起來褰繡幌，月明正在梨花上。」《聊齋志異．卷四．辛十四娘》：「入其室，則簾幌床幙，香霧噴人。」</t>
  </si>
  <si>
    <t>謊</t>
  </si>
  <si>
    <t>[名]
假話，不實在的話。如：「說謊」、「撒謊」、「圓謊」、「漫天大謊」。
[形]
虛假不實的。如：「謊言」、「謊話」。《鏡花緣》第九九回：「廚子最愛開謊帳，全要替他核對明白。」
[動]
欺騙、哄騙。元．無名氏《藍采和》第一折：「你做場作戲，也則是謊人錢哩！」明．湯顯祖《牡丹亭》第三三齣：「便是杜老爺去後，謊了一府州縣士民人等許多分子，起了個生祠。」</t>
  </si>
  <si>
    <t>ㄏㄨㄤˋ</t>
  </si>
  <si>
    <t>huàng</t>
  </si>
  <si>
    <t>[動]
搖擺、搖動。如：「搖晃」、「搖頭晃腦」。</t>
  </si>
  <si>
    <t>(一)ㄏㄨㄤˇ huǎng（05248）</t>
  </si>
  <si>
    <t>˙ㄏㄨㄤ</t>
  </si>
  <si>
    <t>huang</t>
  </si>
  <si>
    <t>[助]
語尾助詞，含有難以忍受的意思。如：「煩得慌」、「悶得慌」、「累得慌」。</t>
  </si>
  <si>
    <t>(一)ㄏㄨㄤ huāng（05221）</t>
  </si>
  <si>
    <t>吽</t>
  </si>
  <si>
    <t>ㄏㄨㄥ</t>
  </si>
  <si>
    <t>hōng</t>
  </si>
  <si>
    <t>[名]
梵語hūm的音譯。為佛教咒語中常見的聲符。元．張昱〈輦下曲〉：「守內番僧日念吽，御廚酒肉按時供。」《西遊記》第七回：「（佛祖）袖中只取出一張帖子，上有六個金字：『唵嘛呢叭咪吽。』遞與阿儺，叫貼在那山頂上。」</t>
  </si>
  <si>
    <t>(一)ㄡˊ óu（10401）</t>
  </si>
  <si>
    <t>哄</t>
  </si>
  <si>
    <t>[動]
許多人同時發聲。如：「一哄而散」。</t>
  </si>
  <si>
    <t>(二)ㄏㄨㄥˇ hǒng（05286）</t>
  </si>
  <si>
    <t>烘</t>
  </si>
  <si>
    <t>[動]
1.用火烤乾或藉火取暖。如：「烘乾」、「烘手」。《水滸傳》第一〇回：「小人是牢城營差使人，被雪打濕了衣裳，借此火烘一烘。」
2.襯托、陪襯。如：「烘托」。宋．范成大〈春後微雪一宿而晴〉詩：「朝暾不與同雲便，烘作晴空萬縷霞。」宋．辛棄疾〈滿江紅．可恨東君〉詞：「更天涯、芳草最關情，烘殘日。」</t>
  </si>
  <si>
    <t>訇</t>
  </si>
  <si>
    <t>[擬]
形容巨大的聲音。唐．李白〈夢遊天姥吟留別〉詩：「洞天石扇，訇然中開。」唐．韓愈〈華山女〉詩：「不知誰人暗相報，訇然震動如雷霆。」
[名]
1.參見「阿訇」條。
2.姓。如古代有訇琦。</t>
  </si>
  <si>
    <t>渹</t>
  </si>
  <si>
    <t>參見「渹湱」條。</t>
  </si>
  <si>
    <t>輷</t>
  </si>
  <si>
    <t>[擬]
形容車聲。《玉篇．車部》：「輷，車聲也。」《史記．卷六九．蘇秦傳》：「車馬之多，日夜行不絕，輷輷殷殷，若有三軍之眾。」</t>
  </si>
  <si>
    <t>魟</t>
  </si>
  <si>
    <t>[名]
動物名。體扁平，略呈圓形或斜方形。尾細長，呈鞭狀，具尾刺，有毒。牙細小，尾鰭退化。棲息近海底層，主食無脊動物和小魚。分布在大陸沿海地區。</t>
  </si>
  <si>
    <t>薨</t>
  </si>
  <si>
    <t>[動]
古代諸侯或大官死亡。《禮記．曲禮下》：「天子死曰崩，諸侯曰薨。」《漢書．卷八一．匡張孔馬傳．孔光》：「及霸薨，上素服臨弔者再。」</t>
  </si>
  <si>
    <t>轟</t>
  </si>
  <si>
    <t>[擬]
形容巨大的聲響。如：「只聽到轟的一聲，那塊巨石已被炸開了。」、「炮聲又轟轟的響起來了。」
[動]
1.擊震。如：「炮轟」。唐．元稹〈放言〉詩五首之三：「霆轟電烻數聲頻，不奈狂夫不藉身。」
2.驅逐、驅趕。如：「把他轟出去。」《兒女英雄傳》第二八回：「我是公婆娶來的，我妹子請來的，只怕你轟我不動。」</t>
  </si>
  <si>
    <t>弘</t>
  </si>
  <si>
    <t>ㄏㄨㄥˊ</t>
  </si>
  <si>
    <t>hóng</t>
  </si>
  <si>
    <t>[形]
廣大。如：「弘願」。《清平山堂話本．快嘴李翠蓮記》：「多寫幾個弘誓願，鬼門關上若相逢。」
[動]
擴大、發揚。晉．陸機〈贈弟士龍詩〉：「非德莫懃，非道莫弘。」《新唐書．卷九七．魏徵傳》：「故道德之旨未弘，而鍥薄之風先搖。」
[名]
姓。如漢代有弘恭。</t>
  </si>
  <si>
    <t>泓</t>
  </si>
  <si>
    <t>[形]
水深廣的樣子。《說文解字．水部》：「泓，下深貌。」唐．張又新〈青嶴山〉詩：「靈海泓澄匝翠峰，昔賢心賞已成空。」</t>
  </si>
  <si>
    <t>鞃</t>
  </si>
  <si>
    <t>[名]
車軾中間，用皮革裹紮，供人把手之處。《說文解字．革部》「鞃」字．清．段玉裁．注：「謂以去毛之皮鞔軾中人所憑處。」《詩經．大雅．韓奕》：「鞹鞃淺幭，鞗革金厄。」</t>
  </si>
  <si>
    <t>宏</t>
  </si>
  <si>
    <t>[形]
1.廣博、深遠、遠大。如：「宏大」、「宏偉」、「寬宏大量」。《三國志．卷二一．魏書．傅嘏傳》：「蓋聞帝制宏深，聖道奧遠。」
2.聲音響亮。如：「哭聲宏亮」。《周禮．冬官考工記．梓人》：「其聲大而宏，有力而不能走。」
[動]
擴大、光大。《文選．潘岳．楊荊州誄》：「將宏王略，肅清荒遐。」
[名]
姓。如明代有宏承。</t>
  </si>
  <si>
    <t>吰</t>
  </si>
  <si>
    <t>參見「噌吰」條。</t>
  </si>
  <si>
    <t>竑</t>
  </si>
  <si>
    <t>[動]
度量。《周禮．冬官考工記．輪人》：「故竑其輻廣以為之弱，則雖有重任，轂不折。」
[形]
廣博。明．黃寶〈賈太傅新書序〉：「故正言竑議，卓卓乎其奇偉，悠悠乎其深長。」</t>
  </si>
  <si>
    <t>耾</t>
  </si>
  <si>
    <t>[形]
1.耳朵聽不見。清．王念孫《廣雅疏證．卷三上．釋詁》：「耾，聾也。」
2.參見「耾耾」條。</t>
  </si>
  <si>
    <t>翃</t>
  </si>
  <si>
    <t>[形]
蟲飛的樣子。《廣韻．平聲．耕韻》：「翃，蟲飛。」</t>
  </si>
  <si>
    <t>紘</t>
  </si>
  <si>
    <t>[名]
1.古代繫在冠冕下的帽帶。《禮記．雜記下》：「管仲鏤簋而朱紘，旅樹而反坫，山節而藻梲，賢大夫也。」唐．韓愈、孟郊〈城南聯句〉：「朝冠飄彩紘，爵勛逮僮隸。」
2.繩子、繩網。《儀禮．大射儀》：「簜在建鼓之間，鞀倚于頌磬西紘。」《文選．班固．西都賦》：「罘網連紘，籠山絡野。」
3.綱紀、綱維。漢．蔡邕〈釋誨〉：「天網縱，人紘弛。」
[形]
宏大、廣大。《淮南子．精神》：「夫天地之道，至紘以大。」</t>
  </si>
  <si>
    <t>谹</t>
  </si>
  <si>
    <t>[形]
精深。《漢書．卷五七．司馬相如傳下》：「必將崇論谹議，創業垂統，為萬世規。」</t>
  </si>
  <si>
    <t>閎</t>
  </si>
  <si>
    <t>[名]
1.巷口的門。《說文解字．門部》：「閎，巷門。」《左傳．成公十七年》：「齊慶克通于聲孟子，與婦人蒙衣乘輦而入于閎。」晉．杜預．注：「閎，巷門。」《新唐書．卷一九六．隱逸傳．張志和傳》：「以門隘，為買地大其閎，號回軒巷。」
2.姓。如西周時有閎夭。
[形]
1.寬闊、寬廣。《禮記．月令》：「食稷與牛，其器圜以閎。」《淮南子．齊俗》：「故其見不遠者，不可與語大；其智不閎者，不可與論至。」
2.宏大。《韓非子．難言》：「閎大廣博，妙遠不測。」</t>
  </si>
  <si>
    <t>鈜</t>
  </si>
  <si>
    <t>[擬]
形容鐘鼓的聲音。《集韻．平聲．耕韻》：「鈜，鏗鈜，鐘鼓聲。」</t>
  </si>
  <si>
    <t>鋐</t>
  </si>
  <si>
    <t>[名]
器具。《玉篇．金部》：「鋐，器也。」</t>
  </si>
  <si>
    <t>洪</t>
  </si>
  <si>
    <t>[名]
1.大水。如：「防洪」、「洩洪」、「山洪暴發」。
2.姓。如清代有洪秀全。
[形]
大的。如：「洪恩」、「洪水」、「聲如洪鐘」、「洪福齊天」。</t>
  </si>
  <si>
    <t>鉷</t>
  </si>
  <si>
    <t>[名]
弓上用來鉤弦發矢的裝置。《玉篇．金部》：「鉷，弩牙也。」</t>
  </si>
  <si>
    <t>虹</t>
  </si>
  <si>
    <t>[名]
1.參見「彩虹」條。
2.比喻如虹式的長橋。唐．陸龜蒙〈和龔美詠皋橋〉詩：「橫截春流架斷虹，憑欄猶思五噫風。」</t>
  </si>
  <si>
    <t>[名]
1.似血的顏色。
2.充作禮物的紅色綾羅。後亦借指禮物。唐．楊汝士〈賀筵占贈營妓〉詩：「一曲高歌紅一疋，兩頭娘子謝夫人。」《西遊記》第一九回：「又沒個三媒六證，又無些茶紅酒禮。」
3.花的代稱。如：「殘紅」。清．龔自珍〈己亥雜詩〉三一五首之五：「落紅不是無情物，化做春泥更護花。」
4.借指美人。如：「偎紅倚翠」。唐．陸龜蒙〈置酒行〉：「千筠擲毫春譜大，碧舞紅啼相唱和。」
5.利潤。如：「分紅」。
6.喜事。《紅樓夢》第七二回：「還有幾家紅白大禮，至少還得三二千兩銀子用。」
[動]
1.使變紅、呈現紅色。如：「她紅了臉，羞得說不出話來。」宋．蔣捷〈一剪梅．一片春愁待酒澆〉詞：「紅了櫻桃，綠了芭蕉。」
2.成功、顯耀。如：「走紅影壇」、「他因主演此片而紅了。」
3.得寵、受寵。如：「公司員工中，就屬老黃最紅，大家都對他敬畏三分。」
[形]
1.紅色的。如：「紅布」、「紅髮」、「紅光」。
2.受人注目、受歡迎的。如：「紅人」、「紅星」。</t>
  </si>
  <si>
    <t>(二)ㄍㄨㄥ gōng（04370）</t>
  </si>
  <si>
    <t>訌</t>
  </si>
  <si>
    <t>參見「內訌」條。</t>
  </si>
  <si>
    <t>葒</t>
  </si>
  <si>
    <t>[名]
植物名。蓼科蓼屬，「游龍」、「葒草」之古稱，參見「游龍」條。</t>
  </si>
  <si>
    <t>鴻</t>
  </si>
  <si>
    <t>[名]
1.動物名。鳥綱雁形目。體型較雁大，背頸灰色，翅黑色，腹白色。
2.借指書信。如：「來鴻」。元．王實甫《西廂記．第三本．第一折》：「自別顏範，鴻稀鱗絕，悲愴不勝。」
[形]
大、盛。通「洪」、「宏」、「弘」。如：「鴻願」、「鴻志」、「鴻恩」、「鴻圖大展」。</t>
  </si>
  <si>
    <t>彋</t>
  </si>
  <si>
    <t>[擬]
弸彋：形容風吹帷帳的聲音。《文選．揚雄．甘泉賦》：「帷弸彋其拂汩兮，稍暗暗而靚深。」</t>
  </si>
  <si>
    <t>嶸</t>
  </si>
  <si>
    <t>(一)ㄖㄨㄥˊ róng（09363）</t>
  </si>
  <si>
    <t>黌</t>
  </si>
  <si>
    <t>[名]
學校。如：「黌舍」。《後漢書．卷七六．循吏傳．仇覽傳》：「農事既畢，乃令子弟群居，還就黌學。」唐．王勃〈乾元殿頌．序〉：「詞庭吐鳳，翫鳥跡於春黌。」</t>
  </si>
  <si>
    <t>ㄏㄨㄥˇ</t>
  </si>
  <si>
    <t>hǒng</t>
  </si>
  <si>
    <t>[動]
1.欺騙。如：「哄騙」、「連哄帶騙」、「別哄我了，我不信你那一套。」《醒世恆言．卷七．錢秀才錯占鳳凰儔》：「高贊被這夥做媒的哄得不耐煩了，對那些媒人說道：『今後不須言三語四。』」
2.逗弄、照顧小孩。如：「孩子哭了，快去哄哄他吧！」</t>
  </si>
  <si>
    <t>(一)ㄏㄨㄥ hōng（05255）</t>
  </si>
  <si>
    <t>嗊</t>
  </si>
  <si>
    <t>[名]
囉嗊：古代的歌曲。明．張自烈《正字通．口部》：「嗊，囉嗊，歌也。……《雲溪友議》曰：『元公贈劉采春曰：選詞能唱望夫歌。』即羅嗊曲也。」</t>
  </si>
  <si>
    <t>澒</t>
  </si>
  <si>
    <t>ㄏㄨㄥˋ</t>
  </si>
  <si>
    <t>hòng</t>
  </si>
  <si>
    <t>[名]
水銀。同「汞」。《淮南子．墬形》：「黃埃五百歲生黃澒，黃澒五百歲生黃金。」漢．高誘．注：「澒，水銀也。」
[形]
水深廣的樣子。《文選．左思．吳都賦》：「澒溶沆瀁，莫測其深。」</t>
  </si>
  <si>
    <t>鬨</t>
  </si>
  <si>
    <t>[動]
1.許多人在一起喧鬧。如：「瞎起鬨」、「一鬨而散」。《清史稿．卷二九一．劉師恕傳》：「師恕族人諸生洞嗾不得賑者，鬨堂罷市。」
2.爭鬥、爭戰。《孟子．梁惠王下》：「鄒與魯鬨，穆公問曰：『吾有司死者三十三人，而民莫之死也。』」
[副]
繁盛。唐．皮日休〈桃花賦〉：「夜景皎潔，鬨然秀發。」</t>
  </si>
  <si>
    <t>蕻</t>
  </si>
  <si>
    <t>[形]
茂盛。《集韻．去聲．送韻》：「蕻，茂也。」
[名]
菜類的長莖。宋．梅堯臣〈志來上人寄示酴醿花并壓塼茶有感〉詩：「宣城北寺來上人，獨有一叢盤嫩蕻。」</t>
  </si>
  <si>
    <t>几</t>
  </si>
  <si>
    <t>ㄐㄧ</t>
  </si>
  <si>
    <t>jī</t>
  </si>
  <si>
    <t>(一)（讀音）ㄐㄧˇ jǐ（05398）</t>
  </si>
  <si>
    <t>机</t>
  </si>
  <si>
    <t>[名]
一種似榆樹的樹木。焚燒後可做稻田的肥料。《廣韻．平聲．脂韻》：「机，木名，似榆。」《山海經．北山經》：「〈北山經〉之首，曰單狐之山，多机木，其上多華草。」晉．郭璞．注：「机木似榆，可燒以糞稻田，出蜀中。」</t>
  </si>
  <si>
    <t>(二)（又音）ㄐㄧˇ jǐ（05399）</t>
  </si>
  <si>
    <t>肌</t>
  </si>
  <si>
    <t>[名]
1.肉。如：「面黃肌瘦」。《漢書．卷七四．丙吉傳》：「介之推割肌以存君。」
2.皮膚。《文選．宋玉．登徒子好色賦》：「肌如白雪。」《西遊記》第七二回：「佳人洗處冰肌滑，滌蕩塵煩玉體新。」
3.參見「肌肉」條。</t>
  </si>
  <si>
    <t>飢</t>
  </si>
  <si>
    <t>[形]
餓。《說文解字．食部》：「飢，餓也。」如：「飢餓」、「飢渴」、「飢腸轆轆」。唐．孟郊〈蚊〉詩：「五月中夜息，飢蚊尚營營。」
[名]
姓。如漢代有飢恬。</t>
  </si>
  <si>
    <t>丌</t>
  </si>
  <si>
    <t>[名]
1.底座，用以托物的器具。《說文解字．丌部》：「丌，下基也。荐物之丌，象形。」如「典」、「畀」、「巽」等字下半部皆為此字。
2.姓。如唐代有丌士能。</t>
  </si>
  <si>
    <t>𥝌</t>
  </si>
  <si>
    <t>[名]
因受阻而彎曲，無法往上生長的樹梢。《說文解字．𥝌部》：「𥝌，木之曲頭止不能上也。」</t>
  </si>
  <si>
    <t>刉</t>
  </si>
  <si>
    <t>[名]
古代戰爭時，宰殺有毛的畜牲祭神稱為「刉」。《周禮．秋官．士師》：「凡刉珥，則奉犬牲。」漢．鄭玄．注：「釁禮之事，用牲，毛者曰刉，羽者曰衈。」
[動]
刺殺、割取。《山海經．中山經》：「肥牲祠之，……刉一牝羊，獻血。」</t>
  </si>
  <si>
    <t>乩</t>
  </si>
  <si>
    <t>[名]
一種民間藉求神占卜以解決心中疑難的方法。俗稱為「扶乩」。</t>
  </si>
  <si>
    <t>其</t>
  </si>
  <si>
    <t>[助]
置於語尾，表疑問的語氣。《詩經．小雅．庭燎》：「夜如何其？夜未央。」《文選．蘇武．詩四首之三》：「征夫懷往路，起視夜何其？」
[名]
人名用字。如漢代有酈食其（音ㄌㄧˋ ㄧˋ ㄐㄧ）。</t>
  </si>
  <si>
    <t>(一)ㄑㄧˊ qí（06245）(三)ㄐㄧˋ jì（05433）</t>
  </si>
  <si>
    <t>基</t>
  </si>
  <si>
    <t>[名]
1.建築物的底部。如：「牆基」、「地基」、「路基」。
2.事物的根本。如：「根基」。《詩經．小雅．南山有臺》：「樂只君子，邦家之基。」
3.化學上指化合物分子中所含的一部分原子。如：「羥基」、「氫基」。
[形]
根本的。如：「基數」、「基層」。《漢書．卷八一．匡衡傳》：「正基兆而防未然也。」</t>
  </si>
  <si>
    <t>期</t>
  </si>
  <si>
    <t>[名]
1.一周年。《論語．陽貨》：「宰我問：『三年之喪，期已久矣。』」《三國志．卷二九．魏書．方技傳．華佗傳》：「此病後三期當發，遇良醫乃可濟救。」
2.喪服中期服的簡稱。《文選．李密．陳情表》：「外無期功彊近之親，內無應門五尺之僮。」</t>
  </si>
  <si>
    <t>(一)ㄑㄧˊ qí（06248）(二)（(一)之又音）ㄑㄧ qī（06214）</t>
  </si>
  <si>
    <t>棋</t>
  </si>
  <si>
    <t>[名]
根底、根基。通「基」。《集韻．平聲．之韻》：「棋，根柢也。」《史記．卷二五．律書》：「箕者，言萬物根棋，故曰箕。」</t>
  </si>
  <si>
    <t>(一)ㄑㄧˊ qí（06249）</t>
  </si>
  <si>
    <t>萁</t>
  </si>
  <si>
    <t>[名]
一種草。似荻而細。《漢書．卷二七．五行志下之上》：「𣝓弧萁服，實亡周國。」唐．顏師古．注：「服，盛箭者，即今之步叉也。萁，草，似荻而細，織之為服也。」</t>
  </si>
  <si>
    <t>(一)ㄑㄧˊ qí（06250）</t>
  </si>
  <si>
    <t>稘</t>
  </si>
  <si>
    <t>[名]
一個周期的時間。同「期」。《說文解字．禾部》：「稘，復其時也。……《唐書》曰：『稘三百有六旬。』」清．段玉裁．注：「今皆假期為之，期行而稘廢矣。」</t>
  </si>
  <si>
    <t>箕</t>
  </si>
  <si>
    <t>[名]
1.篩米去糠的圓形竹器。俗稱為「簸箕」。宋．陸游〈箕卜〉詩：「持箕畀灶婢，棄筆臥牆隅。」
2.收集垃圾的器具。如：「畚箕」。《禮記．曲禮上》：「凡為長者糞之禮，必加帚於箕上。」
3.星宿名。二十八星宿之一，東方青龍七宿的最後一宿。
4.星官名，箕宿之首，由四顆星組成，在西方屬人馬座。《晉書．卷一一．天文志上》：「箕四星，亦後宮妃后之府。亦曰天津，一曰天雞，主八風。」
5.姓。如漢代有箕堪。
[動]
聚、取。《史記．卷八九．張耳陳餘列傳》：「頭會箕斂，以供軍費。」</t>
  </si>
  <si>
    <t>奇</t>
  </si>
  <si>
    <t>[形]
1.單數的。與「偶」相對。如：「一、三、五……都是奇數。」
2.不順利、乖舛。《史記．卷一〇九．李將軍傳》：「以為李廣老，數奇。」唐．王維〈老將行〉：「衛青不敗由天幸，李廣無功緣數奇。」
[名]
餘數、零頭。《聊齋志異．卷四．狐諧》：「行年二十有奇，尚不能掇一芹。」</t>
  </si>
  <si>
    <t>(一)ㄑㄧˊ qí（06257）</t>
  </si>
  <si>
    <t>剞</t>
  </si>
  <si>
    <t>參見「剞劂」條。</t>
  </si>
  <si>
    <t>犄</t>
  </si>
  <si>
    <t>參見「犄角」條。</t>
  </si>
  <si>
    <t>畸</t>
  </si>
  <si>
    <t>[名]
1.不整齊的田畝。明．張自烈《正字通．田部》：「井田為正，零田不可井者為畸。」
2.零餘的數目。如：「畸零」。《資治通鑑．卷二〇八．唐紀二十四．中宗神龍元年》：「是歲，戶部奏天下戶六百一十五萬，口三千七百一十四萬有畸。」
3.偏、邪。《荀子．天論》：「故道之所善，中則可從，畸則不可為，匿則大惑。」
[形]
不正常的、不整齊的。如：「畸形」。《荀子．天論》：「墨子有見於齊，無見於畸。」唐．楊倞．注：「畸，謂不齊也。」</t>
  </si>
  <si>
    <t>觭</t>
  </si>
  <si>
    <t>[名]
1.獸角一俯一仰的樣子。《說文解字．角部》：「觭，角一俛一仰也。」
2.單數。通「奇」。《莊子．天下》：「以堅白同異之辯相訾，以觭偶不仵之辭相應。」
[形]
單獨的。《漢書．卷二七．五行志中之下》：「遂要崤阨，以敗秦師，匹馬觭輪無反者，操之急矣。」唐．顏師古．注：「觭，隻也。」</t>
  </si>
  <si>
    <t>羇</t>
  </si>
  <si>
    <t>[名]
1.馬絡頭，套住馬口的嘴套。同「羈」。《韓詩外傳》卷七：「如皆守社稷，則孰負羇縶而從，如皆從，則孰守社稷。」
2.寄居在外地的旅客。同「羈」。《左傳．昭公十三年》：「為羇終世，可謂無民。」
[動]
寄居、作客。同「羈」。如：「羇身海外」。唐．杜甫〈第五弟豐獨在江左〉詩：「亂後嗟吾在，羇栖見汝難。」</t>
  </si>
  <si>
    <t>居</t>
  </si>
  <si>
    <t>[助]
用於句末，表示疑問的語氣。《左傳．襄公二十三年》：「誰居？其孟椒乎！」《禮記．檀弓上》：「何居？我未之前聞也。」</t>
  </si>
  <si>
    <t>(一)ㄐㄩ jū（05982）</t>
  </si>
  <si>
    <t>咭</t>
  </si>
  <si>
    <t>笑。《龍龕手鑑．口部》：「咭，笑也。」清．高宗〈貨郎行題蘇漢臣畫〉詩：「待詔尤復善嬰孩，森森玉筍戲庭階。忽然軒渠舞且咭，群喜街頭貨郎來。」</t>
  </si>
  <si>
    <t>唧</t>
  </si>
  <si>
    <t>[名]
參見「唧筒」條。
[動]
以唧筒抽取或噴射液體。如：「他用唧筒唧水滅火。」
[擬]
參見「唧唧咕咕」條。</t>
  </si>
  <si>
    <t>(一)ㄐㄧˊ jí（05360）</t>
  </si>
  <si>
    <t>笄</t>
  </si>
  <si>
    <t>[名]
1.古人髮髻上盤時，用來固定頭髮或別住弁、冕的簪子。如：「玉笄」、「簪笄」。《史記．卷四三．趙世家》：「其姊聞之，泣而呼天，摩笄自殺。」
2.古代女子十五歲盤髮插笄，以示成年。特指成年之禮。如：「笄年」、「及笄」。</t>
  </si>
  <si>
    <t>屐</t>
  </si>
  <si>
    <t>[名]
1.木頭鞋。如：「木屐」。北齊．顏之推《顏氏家訓．勉學》：「駕長簷車，跟高齒屐。」
2.鞋的通稱。如：「草屐」、「錦屐」。宋．陸游〈長歌行〉：「消磨日月幾緉屐，陶鑄唐虞一杯酒。」</t>
  </si>
  <si>
    <t>姬</t>
  </si>
  <si>
    <t>[名]
1.古代對婦女的美稱。如：「美姬」、「虞姬」、「戚姬」。唐．李白〈金陵酒肆留別〉詩：「風吹柳花滿店香，吳姬壓酒喚客嘗。」
2.古代對妾的通稱。如：「侍姬」、「寵姬」。《史記．卷六．秦始皇本紀》：「莊襄王為秦質子於趙，見呂不韋姬，悅而取之，生始皇。」
3.舊稱從事歌舞表演的女子。如：「歌舞姬」。《紅樓夢》第五回：「那寶玉忙止歌姬不必再唱。」
4.姓。如漢代有姬嘉。</t>
  </si>
  <si>
    <t>嵇</t>
  </si>
  <si>
    <t>[名]
姓。如三國時魏國有嵇康。</t>
  </si>
  <si>
    <t>稽</t>
  </si>
  <si>
    <t>[動]
1.停留、延遲、拖延。南朝梁．簡文帝〈隴西行〉三首之三：「迴山時阻路，絕水亟稽程。」《警世通言．卷二四．玉堂春落難逢夫》：「聖旨發回原籍，不敢稽留，收拾轎馬和家眷起身。」
2.積存、囤積。《史記．卷三〇．平準書》：「蓄積餘業，以稽市物。」
3.考證、考核、查考。如：「稽查」。《晉書．卷三五．裴秀傳》：「博學稽古，自少知名。」
4.計較、責難。《漢書．卷四八．賈誼傳》：「婦姑不相說，則反脣而相稽。」
5.卜問。《書經．洪範》：「稽疑，擇建立卜筮人。」《楚辭．王逸．卜居章句序》：「稽問神明，決之蓍龜。」
[名]
1.準則、楷模。《老子》第六五章：「故以智治國，國之賊；不以智治國，國之福。知此兩者亦稽式。」《荀子．儒效》：「千舉萬變，其道一也，是大儒之稽也。」
2.姓。如春秋時秦國有稽黃。</t>
  </si>
  <si>
    <t>(二)ㄑㄧˇ qǐ（06291）</t>
  </si>
  <si>
    <t>幾</t>
  </si>
  <si>
    <t>[形]
1.細微。參見「幾希」、「幾微」等條。
2.危殆、危險。《詩經．大雅．瞻卬》：「天之降罔，維其幾矣。」《漢書．卷一．高帝紀上》：「楚兵罷食盡，此天亡之時，不因其幾而遂取之，所謂養虎自遺患也。」
[副]
1.將近、相去不遠。如：「幾及」、「庶幾」。《史記．卷五五．留侯世家》：「漢王輟食吐哺，罵曰：『豎儒！幾敗而公事！』」
2.豈。《史記．卷九一．黥布傳》：「人相我當刑而王，幾是乎？」
[名]
1.預兆、細微的跡象。《易經．繫辭下》：「君子見幾而作，不俟終日。」明．方孝孺〈深慮論〉：「其於治亂存亡之幾，思之詳而備之審矣。」
2.時期、機會。《詩經．小雅．楚茨》：「卜爾百福，如幾如式。」《左傳．定公元年》：「子家子不見叔孫，易幾而哭。」</t>
  </si>
  <si>
    <t>(一)ㄐㄧˇ jǐ（05411）</t>
  </si>
  <si>
    <t>嘰</t>
  </si>
  <si>
    <t>[名]
參見「嗶嘰」條。
[擬]
1.形容蟬或鳥叫聲。如：「蟬兒嘰嘰的叫。」
2.參見「嘰哩咕嚕」條。</t>
  </si>
  <si>
    <t>畿</t>
  </si>
  <si>
    <t>[名]
1.國都，或古代君王所管轄的地方。如：「京畿」、「王畿」、「近畿」、「畿輔」。《晉書．卷二三．樂志下》：「神化感無方，髦才盈帝畿。」
2.疆界、疆域。《詩經．商頌．玄鳥》：「邦畿千里，維民所止。」唐．宋之問．〈送李侍御〉詩：「南登指吳服，北走出秦畿。」
3.門限、門檻。唐．韓愈〈譴瘧鬼〉詩：「清波為裳衣，白石為門畿。」</t>
  </si>
  <si>
    <t>(二)（又音）ㄑㄧˊ qí（06279）</t>
  </si>
  <si>
    <t>璣</t>
  </si>
  <si>
    <t>[名]_x000D_
1.不圓的珠子。如：「珠璣」。秦．李斯〈上書秦始皇〉：「傅璣之珥、阿縞之衣、錦繡之飾，不進於前。」漢．劉向《說苑．卷一九．脩文》：「天子唅實以珠，諸侯以玉，大夫以璣，士以貝，庶人以穀實。」_x000D_
2.古代天文儀器「璇璣玉衡」上轉動的部分。如：「璣衡撫辰儀」（清乾隆所製的渾儀）。《書經．舜典》：「在璿璣玉衡，以齊七政。」三國魏．李康〈運命論〉：「天動星迴而辰極猶居其所；璣璇輪轉而衡軸猶執其中。」_x000D_
3.星名。北斗七星的第三顆，在西方為大熊座γ星。也稱為「天璣」。《晉書．卷一一．天文志上》：「北斗七星在太微北，……又魁第一星曰天樞，二曰琁，三曰璣，四曰權，五曰玉衡，六曰開陽，七曰搖光；一至四為魁，五至七為杓。」《宋書．卷六．孝武帝本紀》：「皇家造宋，日月重光，琁璣得序，五星順命。」</t>
  </si>
  <si>
    <t>機</t>
  </si>
  <si>
    <t>[名]
1.織布的器具。《史記．卷七一．樗里子甘茂傳》：「其母投杼下機，踰牆而走。」唐．杜牧〈杜秋娘〉詩：「寒衣一匹素，夜借鄰人機。」
2.機器的通稱。如：「打字機」、「發電機」。
3.飛機的簡稱。如：「客機」、「戰鬥機」、「停機坪」。
4.時宜、際會。如：「隨機應變」、「勿失良機」。唐．駱賓王〈在獄詠蟬詩．序〉：「候時而來，順陰陽之數；應節為變，審藏用之機。」
5.事物發生、變化的原由。如：「動機」。《禮記．大學》：「一家仁，一國興仁；一家讓，一國興讓；一人貪戾，一國作亂，其機如此。」
6.存於內心的欲望、俗念。如：「心機」。唐．李白〈下終南山過斛斯山人宿置酒〉詩：「我醉君復樂，陶然共忘機。」
[形]
1.重要的、祕密的。如：「軍事機密」、「機要祕書」。
2.巧詐、智巧。如：「機智」、「機巧」。</t>
  </si>
  <si>
    <t>禨</t>
  </si>
  <si>
    <t>[動]
祭祀鬼神，祈求福澤。《列子．說符》：「楚人鬼而越人禨。」唐．柳宗元〈永州龍興寺息壤記〉：「永州居楚越間，其人鬼且禨。」</t>
  </si>
  <si>
    <t>磯</t>
  </si>
  <si>
    <t>[名]
水邊突出的巖石或石灘地。如：「采石磯」、「燕子磯」。唐．張旭〈桃花谿〉詩：「隱隱飛橋隔野煙，石磯西畔問漁船。」
[動]
以石激水，引申為激動。《孟子．告子下》：「親之過小而怨，是不可磯也。」</t>
  </si>
  <si>
    <t>譏</t>
  </si>
  <si>
    <t>[動]
1.諷刺、責備。如：「譏笑」、「譏諷」。《文選．班固．典引》：「微文刺譏，貶損當世。」唐．韓愈〈學諸進士作精衛銜石填海〉詩：「人皆譏造次，我獨賞專精。」
2.盤問。《孟子．梁惠王下》：「關市譏而不征，澤梁無禁，罪人不孥。」</t>
  </si>
  <si>
    <t>饑</t>
  </si>
  <si>
    <t>[名]
五穀歉收的荒年。《說文解字．食部》：「饑，穀不熟為饑。」如：「饑荒」、「饑饉」。清．蔣士銓〈鳴機夜課圖記〉：「先外祖家素不潤，歷年饑大凶，益窘乏。」
[形]
餓。通「飢」。《商君書．戰法》：「民倦且饑渴。」</t>
  </si>
  <si>
    <t>鞿</t>
  </si>
  <si>
    <t>[名]
馬口中的韁繩。《玉篇．革部》：「鞿，韁在口。」唐．韓愈〈山石〉詩：「人生如此自可樂，豈必局束為人鞿。」</t>
  </si>
  <si>
    <t>勣</t>
  </si>
  <si>
    <t>[名]
功業。通「績」。《集韻．入聲．錫韻》：「勣，功名。通作績。」</t>
  </si>
  <si>
    <t>積</t>
  </si>
  <si>
    <t>[動]
1.蓄存、儲藏。如：「囤積」、「積貨逐利」。
2.累聚。如：「聚積」、「淤積」、「日積月累」。《易經．繫辭下》：「善不積，不足以成名。」《荀子．勸學》：「不積小流，無以成江海。」
3.阻滯、滯礙。《莊子．天道》：「天道運而無所積，故萬物成。」
[形]
長久累存的。如：「積怨」、「積習」。南朝梁．王僧孺〈春怨詩〉：「積愁落芳鬢，長啼壞美目。」
[名]
數與數相乘的得數。如三乘五等於十五；十五為「積」。也稱為「積數」。</t>
  </si>
  <si>
    <t>襀</t>
  </si>
  <si>
    <t>參見「襞襀」條。</t>
  </si>
  <si>
    <t>績</t>
  </si>
  <si>
    <t>[動]
將麻或其他纖維搓成細線，引申為紡織的意思。如：「紡績」、「績麻」。《詩經．陳風．東門之枌》：「不績其麻，市也婆娑。」唐．韓愈〈圩者王承福傳〉：「若布與帛，必蠶績而後成者也。」
[名]
功業、成效。如：「功績」、「成績」、「戰績」。《列子．楊朱》：「鯀治水土，績用不就，殛諸羽山。」</t>
  </si>
  <si>
    <t>蹟</t>
  </si>
  <si>
    <t>[名]
前人留下來的事物，多指建築、文物而言。同「跡」。如：「事蹟」、「遺蹟」、「名勝古蹟」。</t>
  </si>
  <si>
    <t>跡</t>
  </si>
  <si>
    <t>[名]
1.步行時所遺留的印痕。如：「足跡」、「蹤跡」、「匿跡」、「絕跡」。唐．韋應物〈寄全椒山中道士〉詩：「落葉滿空山，何處尋行跡。」
2.事物的遺痕。如：「痕跡」、「筆跡」、「墨跡」、「跡象」。《呂氏春秋．慎行論．疑似》：「疑似之跡，不可不察。」
3.前人留下來的事物、功業。晉．陶淵明〈贈羊長史詩〉：「賢聖留餘跡，事事在中都。」
[動]
1.考察、探究。《楚辭．屈原．九章．惜誦》：「言與行其可跡兮，情與貌其不變。」《漢書．卷四八．賈誼傳》：「臣竊跡前事，大抵彊者先反。」
2.遵循、仿效。《文選．張衡．西京賦》：「都邑游俠，張趙之倫，齊志無忌，擬跡田文。」</t>
  </si>
  <si>
    <t>激</t>
  </si>
  <si>
    <t>[動]
1.水勢受阻而噴濺。如：「激起浪花」、「波濤相激」。
2.使有所感發或變化。如：「刺激」、「激勵」、「勸將不如激將」、「激怒」。《史記．卷七九．范雎蔡澤傳》：「然二子不困戹，惡能激乎？」
3.身體突然受到雨或冷水的刺激。《紅樓夢》第三〇回：「他這身子如何禁得驟雨一激？」
[形]
言行率直、急切。如：「激切」、「偏激」。
[副]
強烈、急劇的。如：「激增」、「激漲」、「激戰」。唐．李朝威〈柳毅傳〉：「千雷萬霆，激繞其身，霰雪雨雹，一時皆下。」
[名]
姓。如漢代有激章。</t>
  </si>
  <si>
    <t>隮</t>
  </si>
  <si>
    <t>[動]
1.升、登。《書經．顧命》：「王麻冕黼裳，由賓階隮。」《文選．張衡．西京賦》：「累層構而遂隮，望北辰而高興。」
2.墜下、墜落。《書經．微子》：「今爾無指，告予顛隮。」
[名]
1.虹。《詩經．鄘風．蝃蝀》：「朝隮于西，崇朝其雨。」
2.由山谷中湧升上來的雲氣。宋．蘇軾〈過廬山下〉詩：「群隮相應和，勇往爭驂驔。」</t>
  </si>
  <si>
    <t>齎</t>
  </si>
  <si>
    <t xml:space="preserve">齊 </t>
  </si>
  <si>
    <t>[動]
1.贈送。《文選．李斯．上書秦始皇》：「此所謂藉寇兵而齎盜糧者也。」《樂府詩集．卷七三．雜曲歌辭十三．古辭．焦仲卿妻》：「齎錢三百萬，皆用青絲穿。」
2.拿、持。南朝宋．劉義慶《世說新語．任誕》：「於是齎牛酒詣道真。」
3.挾抱、懷持。如：「齎志以歿」。南朝宋．鮑照〈代蒿里行〉：「齎我長恨意，歸為狐兔塵。」</t>
  </si>
  <si>
    <t>躋</t>
  </si>
  <si>
    <t>[動]
登上、升上。唐．高適〈送裴別將之安西〉詩：「絕域眇難躋，悠然信馬蹄。」宋．蘇軾〈水調歌頭．昵昵兒女語〉詞：「躋攀寸步千險，一落百尋輕。」</t>
  </si>
  <si>
    <t>齏</t>
  </si>
  <si>
    <t>[名]
調味用的細碎辛辣食物或菜末。元．關漢卿《望江亭》第一折：「這出家的要餐松啗柏，熬齏受淡。」
[動]
粉碎。如：「齏骨粉身」。</t>
  </si>
  <si>
    <t>虀</t>
  </si>
  <si>
    <t>[名]
1.用來調味的辛辣食物或菜末。同「齏」。《三國志．卷二九．魏書．方技傳．華佗傳》：「向來道邊有賣餅家蒜虀大酢，從取三升飲之，病自當去。」
2.細切的鹹菜、醬菜。《警世通言．卷二六．唐解元一笑姻緣》：「若向其間尋穩便，一壺濁酒一餐虀。」</t>
  </si>
  <si>
    <t>雞</t>
  </si>
  <si>
    <t>[名]
動物名。鳥綱雞形目。常見家禽，品種很多。嘴短，上嘴稍彎曲。頭部有紅色肉冠，雄雞較大。翅短，飛行能力不佳。如：「母雞」、「土雞」、「來亨雞」。</t>
  </si>
  <si>
    <t>羈</t>
  </si>
  <si>
    <t>[名]
1.馬絡頭，套住馬口的嘴套。《文選．曹植．白馬篇》：「白馬飾金羈，連翩西北馳。」
2.古代小女孩的髮髻。《禮記．內則》：「翦髮為鬌，男角女羈。」
3.寄居在外的旅客。《左傳．昭公七年》：「單獻公棄親用羈。」晉．杜預．注：「羈，寄客也。」
4.姓。如漢代有羈栩。
[動]
1.繫綁、拘擊。《文選．賈誼．弔屈原文》：「使騏驥可得係而羈兮，豈云異夫犬羊。」
2.拘束、牽絆。如：「羈絆」、「羈束」、「放蕩不羈」。《史記．卷六三．老子韓非傳》：「我寧游戲汙瀆之中自快，無為有國者所羈，終身不仕，以快吾志焉。」《資治通鑑．卷二四二．唐紀五十八．穆宗長慶元年》：「進退皆言朅牽，意見悉遭蔽塞。」
3.停留。《聊齋志異．卷一〇．葛巾》：「妾處耳目多，不可久羈，蹈隙當復來。」</t>
  </si>
  <si>
    <t>及</t>
  </si>
  <si>
    <t>ㄐㄧˊ</t>
  </si>
  <si>
    <t>jí</t>
  </si>
  <si>
    <t>[動]
1.到、到達。如：「及至」、「及第」、「推己及人」。《左傳．隱公元年》：「不及黃泉，無相見也！」唐．李頎〈送陳章甫〉詩：「鄭國遊人來及家，洛陽行子空歎息。」
2.趕得上。如：「及時」、「及早」、「來得及」、「迅雷不及掩耳」。
3.比得上。《論語．公冶長》：「非爾所及也。」唐．李白〈贈汪倫〉詩：「桃花潭水深千尺，不及汪倫送我情。」
4.牽涉、發生關係。如：「波及」、「涉及」、「言不及義」。
5.古君位傳襲制度中兄弟相傳。如：「兄終弟及」。《禮記．禮運》：「大人世及以為禮。」
[連]
與、和。《書經．湯誓》：「時日曷喪？予及汝皆亡。」唐．李白〈蜀道難〉：「蠶叢及魚鳧，開國何茫然？」</t>
  </si>
  <si>
    <t>伋</t>
  </si>
  <si>
    <t>[名]
人名用字。如孔子的孫子孔伋，字子思。</t>
  </si>
  <si>
    <t>汲</t>
  </si>
  <si>
    <t>[動]
自井中取水。如：「汲水」、「汲引」。唐．柳宗元〈晨詣超師院讀禪經〉詩：「汲井漱寒齒，清心拂塵服。」元．盧摯〈蟾宮曲．奴耕婢織生涯〉曲：「有客來，汲清泉，自煮茶芽。」
[名]
姓。如漢代有汲黯。</t>
  </si>
  <si>
    <t>忣</t>
  </si>
  <si>
    <t>[形]
急躁。同「急」。《淮南子．繆稱》：「誠中之人，樂而不忣。」</t>
  </si>
  <si>
    <t>圾</t>
  </si>
  <si>
    <t>[形]
危殆。通「岌」《莊子．天地》：「殆哉圾乎天下。」</t>
  </si>
  <si>
    <t>(二)ㄙㄜˋ sè（09997）</t>
  </si>
  <si>
    <t>岌</t>
  </si>
  <si>
    <t>[形]
1.山勢高峻。如：「岌峨」、「岌嶪」。《爾雅．釋山》：「小山岌，大山峘。」
2.危險。參見「岌岌」條。</t>
  </si>
  <si>
    <t>芨</t>
  </si>
  <si>
    <t>[名]
植物名：（1)忍冬科接骨木屬，亞灌木。葉對生，奇數羽狀複葉，小葉五至七十枚，狹卵形，有鋸齒。夏日開花，大形頂生繖房花序，兩性花花冠輻形，白色，先端五裂，中性花為杯狀的黃色腺體，漿果為紅色而圓。多生於原野間。莖、葉及根為驅風藥，治手足偏風、腰痛等。俗稱為「接骨草」，也稱為「蒴藋」、「冇骨消」。(2)蘭科白芨屬，「白芨」之古稱。參見「白芨」條。</t>
  </si>
  <si>
    <t>笈</t>
  </si>
  <si>
    <t>[名]
書箱。《聊齋志異．卷一．勞山道士》：「聞勞山多仙人，負笈往遊。」</t>
  </si>
  <si>
    <t>級</t>
  </si>
  <si>
    <t>[名]
1.等第。如：「高級」、「特級」、「輔導級」。
2.學校的年限班次。如：「一年級」、「二年級」。
3.臺階。如：「石級」、「階級」、「拾級而上」。
4.量詞：(1)計算臺階、樓梯、塔層等的單位。如：「百級石階」。(2)計算事物分級的單位。如：「晉升三級」、「地震強度分為七級。」
5.人頭。如：「首級」。《後漢書．卷四七．班超傳》：「吏兵斬其使及從士三十餘級。」</t>
  </si>
  <si>
    <t>鈒</t>
  </si>
  <si>
    <t>[名]
化學元素。鍺的舊譯。</t>
  </si>
  <si>
    <t>(一)ㄙㄜˋ sè（09998）</t>
  </si>
  <si>
    <t>丮</t>
  </si>
  <si>
    <t>[動]
持。執的本字。《說文解字．丮部》：「丮，持也。象手有所丮據也。」</t>
  </si>
  <si>
    <t>吉</t>
  </si>
  <si>
    <t>[形]
好的、善的。與「凶」相對。如：「吉祥」、「吉人天相」、「大吉大利」。唐．白居易〈新樂府．草茫茫〉：「奢者狼藉儉者安，一凶一吉在眼前。」
[名]
1.有利的事。如：「凶多吉少」、「趨吉避凶」。
2.姓。如漢代有吉恪。</t>
  </si>
  <si>
    <t>佶</t>
  </si>
  <si>
    <t>[形]
1.健壯。《詩經．小雅．六月》：「四牡既佶，既佶且閑。」《文選．張衡．東京賦》：「中畋四牡，既佶且閑。」
2.參見「佶屈聱牙」條。</t>
  </si>
  <si>
    <t>姞</t>
  </si>
  <si>
    <t>[名]
姓。如古代南燕、密須皆為姞姓之國。</t>
  </si>
  <si>
    <t>吃</t>
  </si>
  <si>
    <t>[形]
說話結巴、言語困難的樣子。《說文解字．口部》：「吃，言蹇難也。」如：「口吃」。
[擬]
形容笑聲。漢．伶玄《趙飛燕外傳》：「帝昏夜擁昭儀居七成帳，笑吃吃不止。」</t>
  </si>
  <si>
    <t>(一)ㄔ chī（08156）</t>
  </si>
  <si>
    <t>即</t>
  </si>
  <si>
    <t>[動]
1.近、靠近、投向。如：「若即若離」、「可望不可即」。《論語．子張》：「即之也溫，聽其言也厲。」
2.到、登上。如：「即位」。
3.是、便是。《史記．卷六三．老子韓非傳》：「儋即老子。」
[形]
當下。《後漢書．卷五一．陳禪傳》：「夷賊素聞其聲，即時降服。」
[副]
1.便、就。如：「憑票即付」、「招之即來，揮之即去。」《史記．卷一〇九．李將軍傳》：「度不中不發，發即應弦而倒。」
2.立刻。如：「立即出發」。《左傳．隱公四年》：「此二人者，實弒寡君，敢即圖之。」
3.就是。《左傳．襄公八年》：「非其父兄，即其子弟。」
[連]
若、假使。如：「即使」。《呂氏春秋．慎行覽．疑似論》：「置鼓其上，遠近相聞，即戎寇至傳鼓相告。」</t>
  </si>
  <si>
    <t>參見「唧唧」、「唧嘖」等條。</t>
  </si>
  <si>
    <t>(二)ㄐㄧ jī（05314）</t>
  </si>
  <si>
    <t>堲</t>
  </si>
  <si>
    <t>[動]
1.燒土作磚，附於棺木的四周。《禮記．檀弓上》：「夏后氏堲周。」
2.厭惡、痛恨。《書經．舜典》：「帝曰：『龍！朕堲讒說殄行，震驚朕師。』」</t>
  </si>
  <si>
    <t>楖</t>
  </si>
  <si>
    <t>[名]
楖栗：一種樹木。可作枴杖。《廣韻．入聲．質韻》：「楖，楖栗，木名。」</t>
  </si>
  <si>
    <t>(一)ㄐㄧㄝˊ jié（05576）</t>
  </si>
  <si>
    <t>蝍</t>
  </si>
  <si>
    <t>參見「蝍蛆」條。</t>
  </si>
  <si>
    <t>(二)（又音）ㄐㄧㄝˊ jié（05577）</t>
  </si>
  <si>
    <t>[形]
危急。《禮記．檀弓上》：「夫子之病，革矣。」《聊齋志異．卷一．葉生》：「病革，難遽瘥，請先發。」</t>
  </si>
  <si>
    <t>(一)ㄍㄜˊ gé（03932）</t>
  </si>
  <si>
    <t>亟</t>
  </si>
  <si>
    <t>[副]
緊急、急切。如：「亟待解決」、「需款孔亟」、「亟望甘霖」。《戰國策．齊策三》：「可以令楚王亟入下東國。」唐．柳宗元〈與韓愈論史官書〉：「道苟直，雖死不可回也；如回之，莫若亟去其位。」</t>
  </si>
  <si>
    <t>(二)ㄑㄧˋ qì（06308）</t>
  </si>
  <si>
    <t>極</t>
  </si>
  <si>
    <t>[名]_x000D_
1.君位。南朝宋．鮑照〈河清頌．序〉：「聖上天飛踐極，迄茲二十有四載。」_x000D_
2.盡頭、最高境界。如：「登峰造極」。《詩經．唐風．鴇羽》：「悠悠蒼天，曷其有極？」南朝梁．劉勰《文心雕龍．頌讚》：「四始之至，頌居其極。」_x000D_
3.地球的南北兩端。如：「南極」、「北極」。《晉書．卷一一．天文志上》：「兩極相去，一百八十二度半強。」_x000D_
4.電池的兩端。正極指電位（電動勢）較高的一端，負極指電位較低的一端。也稱為「電極」。_x000D_
[動]_x000D_
窮盡、達到最高點。《詩經．大雅．崧高》：「崧高維嶽，駿極于天。」《聊齋志異．卷一一．王者》：「汝自起家守令，位極人臣。」_x000D_
[副]_x000D_
1.程度最高、最大的。《史記．卷一二四．游俠列傳．郭解》：「自是之後，為俠者極眾。」_x000D_
2.很、甚。前接形容詞、副詞，後面常加「了」。如：「妙極了」、「美極了」。</t>
  </si>
  <si>
    <t>殛</t>
  </si>
  <si>
    <t>[動]
1.殺死。如：「電殛」、「雷殛」。《書經．舜典》：「殛鯀于羽山。」《三國演義》第四〇回：「故主有靈，必當殛汝！」
2.懲罰。漢．蔡琰〈胡笳十八拍〉：「我不負神兮，神何殛我越荒州？」</t>
  </si>
  <si>
    <t>茍</t>
  </si>
  <si>
    <t>[動]
自我要求。《說文解字．羊部》：「茍，自急敕也。」</t>
  </si>
  <si>
    <t>急</t>
  </si>
  <si>
    <t>[形]
1.沒耐心、暴躁的。如：「急性子」、「急得要命」。《韓非子．觀行》：「西門豹之性急，故佩韋以自緩。」
2.不能等、亟待解決的。如：「急事」、「急件」、「急郵」。
3.快而猛烈。如：「急病」、「急流勇退」。宋．王禹偁〈黃岡竹樓記〉：「夏宜急雨，有瀑布聲；冬宜密雪，有碎玉聲。」
[動]
1.因想把事情盡速完成而激動。如：「為這事我都急昏了。」、「皇帝不急，急死太監！」
2.令人著急。如：「考試鈴都響了，還不見他人，真急人！」
3.忙於解決他人之事或困難。如：「急公好義」、「急人之難」。
[副]
迅速的。如：「急轉彎」。《戰國策．趙策四》：「趙太后新用事，秦急攻之。」《史記．卷六．秦始皇本紀》：「項羽急擊秦軍。」
[名]
困難、嚴重的事。如：「告急」、「救急」。《史記．卷七七．魏公子傳》：「今公子有急，此乃臣效命之秋也。」</t>
  </si>
  <si>
    <t>疾</t>
  </si>
  <si>
    <t>[名]
1.病。如：「隱疾」、「夙疾」、「痼疾」、「積勞成疾」。《論語．為政》：「父母唯其疾之憂。」《史記．卷六八．商君傳》：「苦言，藥也；甘言，疾也。」
2.痛苦。如：「民間疾苦」。《管子．小問》：「凡牧民者，必知其疾。」
[動]
1.生病。《孟子．公孫丑下》：「昔者疾，今日癒。」
2.憂、患。《論語．衛靈公》：「君子疾沒世而名不稱焉。」南朝梁．劉勰《文心雕龍．諸子》：「君子之處世，疾名德之不章。」
3.憎恨。《孟子．梁惠王上》：「天下之欲疾其君者，皆欲赴愬於王。」漢．王充《論衡．自紀》：「充既疾俗情，作譏俗之書。」
[形]
快速、猛烈。如：「疾風知勁草」。唐．孟郊〈登科後〉詩：「春風得意馬蹄疾，一日看盡長安花。」宋．孫光憲〈謁金門．留不得〉詞：「輕別離，甘拋擲，江上滿帆風疾。」
[副]
急速、猛烈。如：「疾馳」、「大聲疾呼」。《戰國策．趙策四》：「老臣病足，曾不能疾走，不得見久矣。」</t>
  </si>
  <si>
    <t>嫉</t>
  </si>
  <si>
    <t>[動]
1.妒忌。《史記．卷四九．外戚世家》：「士無賢不肖，入朝見嫉。」唐．駱賓王〈代徐敬業討武氏檄〉：「入門見嫉，蛾眉不肯讓人。」
2.憎恨。如：「嫉惡如仇」。南朝宋．劉義慶《世說新語．規箴》：「王夷甫雅尚玄遠，常嫉其婦貪濁，口未嘗言『錢』字。」唐．孟郊〈投贈張端公〉詩：「嫉邪霜氣直，問俗春辭柔。」</t>
  </si>
  <si>
    <t>蒺</t>
  </si>
  <si>
    <t>參見「蒺藜」條。</t>
  </si>
  <si>
    <t>脊</t>
  </si>
  <si>
    <t>(一)ㄐㄧˇ jǐ（05406）</t>
  </si>
  <si>
    <t>瘠</t>
  </si>
  <si>
    <t>[形]
1.瘦弱。《左傳．襄公二十一年》：「楚子使醫視之，復曰瘠則甚也。」唐．韓愈〈爭臣論〉：「視政之得失，若越人視秦人之肥瘠。」
2.土地不肥沃。如：「貧瘠」。《國語．魯語下》：「昔聖王之處民也，擇瘠土而處之，勞其民而用之，故長王天下。」
[動]
減損。《左傳．襄公二十九年》：「可必瘠魯以肥杞。」
[名]
腐肉、腐屍。通「胔」。宋．文天祥〈正氣歌〉：「一朝蒙霧露，分作溝中瘠。」</t>
  </si>
  <si>
    <t>蹐</t>
  </si>
  <si>
    <t>[動]
雙腳緊挨，小步行走。《詩經．小雅．正月》：「謂地蓋厚，不敢不蹐。」漢．仲長統《昌言．理亂》：「當君子困賤之時，跼高天，蹐厚地，猶恐有鎮厭之禍也。」</t>
  </si>
  <si>
    <t>鶺</t>
  </si>
  <si>
    <t>寂</t>
  </si>
  <si>
    <t>[形]
1.靜。唐．常建〈題破山寺後禪院〉詩：「萬籟此都寂，但餘鐘磬音。」元．張可久〈一枝花．長天落綵霞套．梁州〉曲：「萬籟寂，四山靜。」
2.冷清、孤單。如：「孤寂」、「寂寥」、「寂寞」。
[動]
佛教稱僧尼死亡為「寂」。如：「圓寂」。《景德傳燈錄．卷四．嵩嶽慧安國師》：「偃身而寂。」</t>
  </si>
  <si>
    <t>唶</t>
  </si>
  <si>
    <t>[擬]
唶唶：形容鳥鳴叫的聲音。《淮南子．原道》：「故夫烏之啞啞，鵲之唶唶，豈嘗為寒暑燥溼變其聲哉？」</t>
  </si>
  <si>
    <t>(一)ㄐㄧㄝˋ jiè（05610）(三)ㄗㄜˋ zè（09471）</t>
  </si>
  <si>
    <t>耤</t>
  </si>
  <si>
    <t>[名]
古代天子親耕的田地。《說文解字．耒部》：「耤，帝耤千畝也。古者使民如借，故謂之藉。」《漢書．卷四．文帝紀》「其開藉田，朕親率耕」句下清．王先謙．補注：「韋本作藉，正當作耤。」</t>
  </si>
  <si>
    <t>(二)ㄐㄧㄝˋ jiè（05611）</t>
  </si>
  <si>
    <t>踖</t>
  </si>
  <si>
    <t>[動]
踐踏。《廣韻．入聲．昔韻》：「踖，踐也。」《禮記．曲禮上》：「毋踐屨，毋踖席。」漢．鄭玄．注：「踖，躐也。」</t>
  </si>
  <si>
    <t>(二)ㄑㄩㄝˋ què（06670）</t>
  </si>
  <si>
    <t>藉</t>
  </si>
  <si>
    <t>參見「藉藉」、「狼藉」等條。</t>
  </si>
  <si>
    <t>(一)ㄐㄧㄝˋ jiè（05612）</t>
  </si>
  <si>
    <t>籍</t>
  </si>
  <si>
    <t>[名]
1.書本。如：「古籍」、「經籍」、「史籍」、「書籍」、「典籍」。
2.登記以備查考用的名冊、檔案。如：「戶籍」、「軍籍」、「學籍」。《孟子．萬章下》：「諸侯惡其害己也，而皆去其籍。」《戰國策．齊策四》：「天子受籍，立為大伯。」
3.籍貫。如：「本籍」、「原籍」、「祖籍」。
4.個人對國家、團體、組織等的隸屬關係。如：「國籍」、「會籍」、「黨籍」。
5.姓。如漢代有籍福。</t>
  </si>
  <si>
    <t>揖</t>
  </si>
  <si>
    <t>[動]
聚合。通「輯」。《史記．卷六．秦始皇本紀》：「普天之下，摶心揖志。」</t>
  </si>
  <si>
    <t>(一)ㄧ yī（10503）</t>
  </si>
  <si>
    <t>楫</t>
  </si>
  <si>
    <t>[名]
行船划水用的槳。如：「舟楫」。《晉書．卷六二．祖逖傳》：「中流擊楫而誓曰：『祖逖不能清中原而復濟者，有如大江。』」宋．范仲淹〈岳陽樓記〉：「商旅不行，檣傾楫摧。」</t>
  </si>
  <si>
    <t>戢</t>
  </si>
  <si>
    <t>[動]
1.將兵器收聚而藏。《說文解字．戈部》：「戢，臧兵也。」《國語．周語上》：「夫兵戢而時動，動則威。」《後漢書．卷一．光武帝紀下》：「退功臣而進文吏，戢弓矢而散馬牛。」
2.收斂。《詩經．小雅．鴛鴦》：「鴛鴦在梁，戢其左翼。」唐．李白〈上安州李長史書〉：「戢秋霜之威，布冬日之愛。」
3.止息。如：「戢怒」。《南史．卷六九．虞荔傳》：「願將軍少戢雷霆，賒其晷刻。」
[名]
姓。如明代有戢如止。</t>
  </si>
  <si>
    <t>濈</t>
  </si>
  <si>
    <t>[形]
濈濈：聚集的樣子。《詩經．小雅．無羊》：「爾羊來思，其角濈濈。」漢．毛亨．傳：「聚其角而息，濈濈然。」元．盧摯〈寄博士蕭徵君微斗〉詩：「濈濈桃李豔，鬱鬱松柏寒。」</t>
  </si>
  <si>
    <t>輯</t>
  </si>
  <si>
    <t>[動]
蒐錄後整理。如：「編輯」、「比輯舊聞，憤而成篇。」《漢書．卷三〇．藝文志》：「夫子既卒，門人相與輯而論篹，故謂之《論語》。」
[名]
量詞。計算叢書或期刊出版的單位。如：「《辭典學叢刊》總共有三輯。」</t>
  </si>
  <si>
    <t>蕺</t>
  </si>
  <si>
    <t>[名]
植物名。三白草科蕺菜屬。「蕺菜」之簡稱，參見「蕺菜」條。</t>
  </si>
  <si>
    <t>棘</t>
  </si>
  <si>
    <t>[名]
1.植物名。鼠李科棗屬，落葉喬木。幹高三公尺餘。變種形態與棗相似，唯枝具刺。果實較少，呈長圓形或近於圓形，暗紅色，味酸，核先端鈍，核仁可入藥。也稱為「酸棗」。
2.武器名。長柄，頂端有直刃，兩旁各具橫刀，可直刺或橫擊的兵器。通「戟」。《左傳．隱公十一年》：「潁考叔挾輈以走，子都拔棘以逐之。」晉．杜預．注：「棘，戟也。」
3.姓。如春秋時衛國有棘子成。
[動]
刺。參見「棘手」條。</t>
  </si>
  <si>
    <t>[名]
地名。春秋時代約在宋、鄭兩國之間。</t>
  </si>
  <si>
    <t>(一)ㄋㄧㄝˋ niè（03045）</t>
  </si>
  <si>
    <t>集</t>
  </si>
  <si>
    <t>[動]
1.棲息。《詩經．唐風．鴇羽》：「肅肅鴇羽，集于苞栩。」南朝宋．鮑照〈贈傅都曹別詩〉：「輕鴻戲江潭，孤鴈集洲沚。」
2.把散開的事物聚合在一起。如：「集合」、「聚集」、「籌集」、「集資」、「收集」。《文選．賈誼．過秦論》：「天下雲集響應，嬴糧而景從。」
[名]
1.市場、人口聚集舉行交易的地方。如：「市集」、「趕集」、「年集」。
2.地名用字。如：「張家集」。《儒林外史》第二回：「話說山東兗州府汶上縣有個鄉村，叫做薛家集。」
3.輯錄詩文等的書籍。如：「詩集」、「文集」。《文選．曹丕．與吳質書》：「頃撰其遺文，都為一集。」
4.量詞。計算叢書或影劇集系列的單位。如：「這齣戲今天播出第三集。」
5.中國傳統圖書四部分類的第四部，包括詩文等的作品稱為「集」。</t>
  </si>
  <si>
    <t>毄</t>
  </si>
  <si>
    <t>[動]
1.互相擊中。《周禮．冬官考工記．廬人》：「毄兵同強。」
2.拂拭。《周禮．冬官考工記．弓人》：「和弓毄摩。」漢．鄭玄．注：「和，猶調也。毄，拂也。將用弓必先調之、拂之、摩之。」</t>
  </si>
  <si>
    <t>墼</t>
  </si>
  <si>
    <t>參見「炭墼」、「土墼」等條。</t>
  </si>
  <si>
    <t>擊</t>
  </si>
  <si>
    <t>[動]
1.敲打。如：「擊鐘」、「擊打」、「擊球」、「擊掌為誓」。《文選．顏延之．陽給事誄》：「金柝夜擊，和門晝扃。」
2.攻打。如：「攻擊」、「襲擊」、「狙擊」、「游擊」、「追擊」。《左傳．僖公三十年》：「子犯請擊之。」《漢書．卷一．高帝紀上》：「三月，攻下邑，拔之。還擊豐，不下。」
3.碰、接觸。如：「撞擊」、「目擊」、「觸擊短打」。</t>
  </si>
  <si>
    <t>轚</t>
  </si>
  <si>
    <t>參見「轚互」條。</t>
  </si>
  <si>
    <t>劇</t>
  </si>
  <si>
    <t>(一)ㄐㄩˋ jù（06058）</t>
  </si>
  <si>
    <t>鰿</t>
  </si>
  <si>
    <t>[名]
1.鯽魚。《玉篇．魚部》：「鰿，同鯽。」《南史．卷五一．梁宗室傳上．臨川靖惠王宏傳》：「好食鰿魚頭，常日進三百。」
2.小貝。《爾雅．釋魚》：「貝，小者鰿。」</t>
  </si>
  <si>
    <t>ㄐㄧˇ</t>
  </si>
  <si>
    <t>jǐ</t>
  </si>
  <si>
    <t>[名]
小桌子。如：「茶几」、「几案」、「憑几」、「窗明几淨」。</t>
  </si>
  <si>
    <t>(二)（語音）ㄐㄧ jī（05291）</t>
  </si>
  <si>
    <t>(一)ㄐㄧ jī（05292）</t>
  </si>
  <si>
    <t>麂</t>
  </si>
  <si>
    <t>[名]
一些亞洲小型鹿的統稱。形似犬而較大。雄麂有獠牙、短角。腿細而有力，善跳躍。毛棕色，皮柔軟，可製革。俗稱為「麂子」。</t>
  </si>
  <si>
    <t>己</t>
  </si>
  <si>
    <t>[名]
1.天干的第六位。
2.排列次序等第的用字。在戊之後，表示第六。如：「三年己班」。
3.二一四部首之一。
[代]
自稱，猶自己、己身。如：「知己知彼，百戰百勝。」《論語．顏淵》：「己所不欲，勿施於人。」</t>
  </si>
  <si>
    <t>紀</t>
  </si>
  <si>
    <t>(一)ㄐㄧˋ jì（05428）</t>
  </si>
  <si>
    <t>[名]
收藏東西的架子。《字彙．广部》：「庋，庋閣。板為之，所以藏食物也。大夫七十而有庋。」南朝宋．劉義慶《世說新語．賢媛》：「王家見二謝，傾筐倒庋。」
[動]
收藏、儲藏、擱置。如：「庋藏」。《禮記．內則》「大夫七十而有閣」句下漢．鄭玄．注：「閣，以板為之，庋食物也。」《資治通鑑．卷五五．漢紀四十七．桓帝延熹七年》：「容殺雞為饌，泰謂為己設，容分半食母，餘半庋置。」</t>
  </si>
  <si>
    <t>(二)（又音）ㄍㄨㄟˇ guǐ（04276）</t>
  </si>
  <si>
    <t>泲</t>
  </si>
  <si>
    <t>[名]
河川名：(1)發源於大陸地區河南省濟源縣西王屋山，東流至山東省東北部入海。歷代累經改道變遷，今已不可詳考。(2)發源於大陸地區河北省贊皇縣贊皇山，東流注入柏鄉縣東的寧晉泊。今稱為「午河」。
[動]
過濾酒的渣滓。《周禮．天官．酒正》「辨四飲之物，一曰清」句下漢．鄭玄．注：「清，謂醴之泲者。」</t>
  </si>
  <si>
    <t>枳</t>
  </si>
  <si>
    <t>參見「枳椇」、「枳首」等條。</t>
  </si>
  <si>
    <t>(一)ㄓˇ zhǐ（07525）</t>
  </si>
  <si>
    <t>[名]
1.人或動物背部的骨柱。參見「脊梁」、「脊椎」等條。
2.泛指物體直立成條的背部。如：「刀脊」、「書脊」。
3.物體中央高起而兩邊下斜的部分。如：「屋脊」、「山脊」。</t>
  </si>
  <si>
    <t>(二)（又音）ㄐㄧˊ jí（05373）</t>
  </si>
  <si>
    <t>掎</t>
  </si>
  <si>
    <t>[動]
1.從後或從旁拉住。《說文解字．手部》：「掎，偏引也。」《漢書．卷一〇〇．敘傳上》：「昔秦失其鹿，劉季逐而掎之。」
2.牽制。《文選．陳琳．為袁紹檄豫州》：「大軍汎黃河而角其前，荊州下宛葉而掎其後。」《北史．卷九．周太祖文帝本紀》：「賊掎吾三面，又造橋，示欲必度。」
3.抓住、掌握住。《荀子．議兵》：「掎契司詐，權謀傾覆，未免盜兵也。」宋．孫光憲《北夢瑣言》卷一：「掎其小瑕，忘其大美。」</t>
  </si>
  <si>
    <t>踦</t>
  </si>
  <si>
    <t>[名]
腿、腳脛。唐．元稹〈蜘蛛詩．序〉：「巴蜘蛛，大而毒。其甚者，身邊數寸，而踦長數倍其身。」</t>
  </si>
  <si>
    <t>(二)ㄧˇ yǐ（10568）(三)ㄑㄧˊ qí（06262）</t>
  </si>
  <si>
    <t>戟</t>
  </si>
  <si>
    <t>[名]
武器名。戈和矛的合體，兼有勾、啄、撞、刺四種功能。裝於木柄或竹柄上。出現於商、周，盛行於戰國、漢、晉各代。南北朝後漸被槍取代，轉而為儀仗、衛門的器物。《史記．卷六五．孫子吳起傳》：「孫子分為二隊，以王之寵姬二人各為隊長，皆令持戟。」</t>
  </si>
  <si>
    <t>[名]
1.軍公教人員的薪俸。如：「俸給」、「加給」。
2.姓。秦、漢代時有給事中一職，後以給為姓。
[動]
1.供應。如：「供給」、「補給」、「自給自足」。《戰國策．齊策三》：「孟嘗君使人給其食用，無使乏。」
2.授與、賜予。如：「給假」。《宋史．卷二九六．張茂直傳》：「且給錢五萬，以助其裝。」
[形]
1.富裕、豐足。《孟子．梁惠王下》：「春省耕而補不足，秋省斂而助不給。」
2.敏捷。《漢書．卷六五．東方朔傳》：「上以朔口諧辭給，好作問之。」《新唐書．卷一九八．儒學傳上．顏師古傳》：「師古性敏給，明練治體。」</t>
  </si>
  <si>
    <t>(二)ㄍㄟˇ gěi（03983）</t>
  </si>
  <si>
    <t>[形]
1.詢問數量的多少。如：「幾個人」、「幾點鐘」。唐．王翰〈涼州詞〉二首之一：「醉臥沙場君莫笑，古來征戰幾人回？」
2.表示不定的數目。如：「少年十幾二十時」、「他才十幾歲。」
[副]
何、哪，表時間的疑問詞。參見「幾何」、「幾曾」等條。</t>
  </si>
  <si>
    <t>(二)ㄐㄧ jī（05320）</t>
  </si>
  <si>
    <t>蟣</t>
  </si>
  <si>
    <t>[名]
1.蝨的幼蟲。《說文解字．虫部》：「蟣，蝨子也。」清．段玉裁．注：「蝨，齧人蟲也。子，其卵也。」《史記．卷七．項羽本紀》：「夫博牛之蝱，不可以破蟣蝨。」
2.水中蛭蟲。《爾雅．釋魚》：「蛀，蟣。」晉．郭璞．注：「今江東呼水中蛀蟲入人肉者為蟣。」</t>
  </si>
  <si>
    <t>濟</t>
  </si>
  <si>
    <t>參見「濟水」、「濟濟」等條。</t>
  </si>
  <si>
    <t>(一)ㄐㄧˋ jì（05452）</t>
  </si>
  <si>
    <t>擠</t>
  </si>
  <si>
    <t>[動]
1.聚集、緊密的靠攏在一起。如：「擠車」、「事情都擠在一塊了。」《紅樓夢》第四三回：「老的、少的、上的、下的，烏壓壓擠了一屋子。」
2.在擁擠的環境中，用力穿插而過。如：「人這麼多，好不容易才擠進來。」
3.用力壓榨。如：「擠牛奶」、「擠牙膏」。
[形]
空間小而所裝內容密度極高。如：「擁擠」、「這車子真擠！」</t>
  </si>
  <si>
    <t>彐</t>
  </si>
  <si>
    <t>ㄐㄧˋ</t>
  </si>
  <si>
    <t>jì</t>
  </si>
  <si>
    <t>[名]
1.豬頭。《說文解字．〇部》：「彐，豕之頭。」
2.二一四部首之一。</t>
  </si>
  <si>
    <t>旡</t>
  </si>
  <si>
    <t xml:space="preserve">无 </t>
  </si>
  <si>
    <t>[動]
飲食氣逆無法喘息。《說文解字．󹿠部》：「旡，飲食气逆不得息曰旡。」</t>
  </si>
  <si>
    <t>既</t>
  </si>
  <si>
    <t>[副]
1.已經。《論語．先進》：「春服既成。」《孟子．梁惠王上》：「兵刃既接。」
2.盡、全部。《左傳．僖公二十二年》：「及其未既濟也。」《國語．齊語》：「故拘之以利，結之以信，示之以武，故天下小國諸侯既許桓公，莫之敢背。」
3.不久。《左傳．文公元年》：「既又欲立王子職，而黜太子商臣。」
[連]
1.已經、既然，表前後情況有連帶關係。常與「就」或「則」連用。《論語．季氏》：「既來之，則安之。」
2.表示並列的連接詞。與「且」、「又」、「也」等詞連用。如：「既醉且飽」、「既要愛情，也要麵包。」《孟子．離婁上》：「既不能令，又不受命，是絕物也。」元．鍾嗣成〈一枝花．生居天地間套．收尾〉：「既通儒，又通吏。」
[名]
姓。如漢代有既良。</t>
  </si>
  <si>
    <t>塈</t>
  </si>
  <si>
    <t>[動]
1.塗抹屋頂。《書經．梓材》：「若作室家，既勤垣墉，惟其塗塈茨。」宋．陸游〈排悶〉詩：「荒疇須墾闢，破屋欠塗塈。」
2.取。《詩經．召南．摽有梅》：「摽有梅，頃筐塈之。」
3.安息、休息。《詩經．大雅．假樂》：「不解于位，民之攸塈。」</t>
  </si>
  <si>
    <t>(二)（又音）ㄒㄧˋ xì（06869）</t>
  </si>
  <si>
    <t>蔇</t>
  </si>
  <si>
    <t>[形]
雜草叢生。《說文解字．艸部》：「蔇，艸多貌。」
[動]
來、至。《左傳．隱公六年》：「善鄭以勸來者，猶懼不蔇，況不禮焉？」《金史．卷四六．食貨志一》：「動以王爵固結其心，重爵不蔇，則以國姓賜之。」</t>
  </si>
  <si>
    <t>穊</t>
  </si>
  <si>
    <t>[副]
禾稻種得很密。《漢書．卷三八．齊悼惠王子傳》：「深耕穊種，立苗欲疏。」</t>
  </si>
  <si>
    <t>暨</t>
  </si>
  <si>
    <t>[動]
至、及。南朝梁．劉勰《文心雕龍．明詩》：「自商暨周，雅頌圓備。」《宋書．卷六七．謝靈運傳．史臣曰》：「自建武暨乎義熙。」
[連]
與、及、和。如：「歡迎董事長暨夫人蒞臨指導。」《史記．卷六．秦始皇本紀》：「地東至海暨朝鮮。」
[名]
姓。如宋代有暨陶。</t>
  </si>
  <si>
    <t>伎</t>
  </si>
  <si>
    <t>[名]_x000D_
1.技藝、才能。通「技」。《書經．秦誓》：「如有一介臣斷斷猗，無他伎，其心休休焉，其如有容。」《新唐書．卷一四一．列傳．衞伯玉》：「少習武伎。」_x000D_
2.古代稱以歌舞娛樂賓客為業的女子。五代十國．毛熙震〈後庭花．輕盈舞伎含芳豔〉詞：「輕盈舞伎含芳豔，競妝新臉。」也作「妓」。</t>
  </si>
  <si>
    <t>技</t>
  </si>
  <si>
    <t>[名]
1.才藝，專門的本領。如：「演技」、「絕技」、「雜技」、「口技」、「一技之長」。
2.工匠。《荀子．富國》：「故百技所成，所以養一人也。」</t>
  </si>
  <si>
    <t>妓</t>
  </si>
  <si>
    <t>[名]_x000D_
1.古代以歌舞娛樂賓客的女子。如：「歌妓」、「舞妓」、「藝妓」。《洛陽伽藍記．卷四．法雲寺》：「妓女三百人，盡皆國色。」元．劉時中〈端正好．眾生靈套．塞鴻秋〉曲：「一家家傾銀注玉多豪富，一個個烹羊挾妓誇風度。」_x000D_
2.今專指提供性服務以獲取報酬的人。</t>
  </si>
  <si>
    <t>芰</t>
  </si>
  <si>
    <t>[名]
菱。《文選．陸韓卿．奉答內兄希叔詩》：「鳧鵠嘯儔侶，荷芰始參差。」宋．歐陽修〈采桑子．殘霞〉詞：「蓮芰香清，水面風來酒面醒。」</t>
  </si>
  <si>
    <t>鬾</t>
  </si>
  <si>
    <t>[名]
1.鬼服。《說文解字．鬼部》：「鬾，鬼服也。」
2.小孩子鬼。《說文解字．鬼部》：「鬾，一曰小兒鬼。」</t>
  </si>
  <si>
    <t>忌</t>
  </si>
  <si>
    <t>[動]
1.憎惡、妒恨。如：「妒忌」、「猜忌」。《文選．李康．運命論》：「以仲尼之謙也，而見忌於子西。」
2.怕、畏懼。如：「顧忌」、「肆無忌憚」。《左傳．昭公六年》：「民知有辟，則不忌於上。」
3.禁戒。如：「忌諱」、「忌嘴」、「忌酒」、「生冷不忌」。
[形]
善妒的。《南史．卷四九．劉峻傳》：「峻自序云：『敬通有忌妻，至于身操井臼。』」
[名]
1.親喪之日稱為「忌」。參見「忌日」、「忌辰」等條。
2.該禁戒的事。如：「犯口忌」。</t>
  </si>
  <si>
    <t>[名]
1.絲的頭緒、條理。《禮記．禮器》：「紀散而眾亂。」《淮南子．泰族》：「繭之性為絲，然非得工女煮以熱湯，而抽其統紀，則不能成絲。」
2.法度、準則。如：「紀律」、「風紀」、「綱紀」、「違法亂紀」。《文選．揚雄．解嘲》：「吾聞上世之士，人綱人紀，不生則已，生必上尊人君，下榮父母。」
3.本紀的簡稱。為史書紀傳體體例之一，專記古帝王的行蹟。如：「五帝紀」、「始皇紀」。
4.古代以十二年為一紀，今以百年為一世紀。唐．李商隱〈馬嵬〉詩：「如何四紀為天子，不及盧家有莫愁。」
5.地質年代分期的單位。如：「寒武紀」、「侏羅紀」。
6.姓。如漢代有紀信，清代有紀盷。
[動]
1.治理、綜理。如：「經紀」。《國語．晉語四》：「禮以紀政。」
2.記載、記錄。通「記」。南朝梁．蕭統〈文選序〉：「若其紀一事，詠一物。」</t>
  </si>
  <si>
    <t>(二)（又音）ㄐㄧˇ jǐ（05402）</t>
  </si>
  <si>
    <t>記</t>
  </si>
  <si>
    <t>[動]
1.載錄。如：「登記」、「附記」。宋．范仲淹〈岳陽樓記〉：「刻唐賢今人詩賦於其上，屬予作文以記之。」
2.將事物印象留在腦海中。如：「記住」、「忘記」、「惦記」。宋．周邦彥〈西河．佳麗地〉詞：「佳麗地，南朝盛事誰記？」
[名]
1.記載事物的書籍或文字。如：「日記」、「筆記」、「札記」、「遊記」。
2.文體名。一種以敘事為主的文體。明．吳訥《文章辨體序說．記》：「大抵記者，蓋所以備忘。……敘事之後，略作議論以結之，此為正體。」如唐代柳宗元作〈永州八記〉，宋代范仲淹作〈岳陽樓記〉。
3.標幟或符號。如：「圖記」、「暗記」、「戳記」。
4.量詞。計算敲擊次數的單位。如：「一記悶棍」、「給你一記右勾拳。」</t>
  </si>
  <si>
    <t>誋</t>
  </si>
  <si>
    <t>[動]
1.告誡。《說文解字．言部》：「誋，誡也。」《淮南子．繆稱》：「目之精者，可以消澤而不可以昭誋。」漢．高誘．注：「誋，誡也，不可以教導戒人。」
2.禁忌。《玉篇．言部》：「誋，禁也。」</t>
  </si>
  <si>
    <t>跽</t>
  </si>
  <si>
    <t>[動]
長跪。古人以兩膝著地，坐在腳跟上為「坐」；直身而股不著腳跟為「跪」；跪而聳身挺腰為「跽」。《戰國策．秦策三》：「秦王跽曰：『先生不幸教寡人乎？』」唐．韓愈〈祭田橫墓文〉：「跽陳辭而薦酒，魂髣髴而來享！」</t>
  </si>
  <si>
    <t>鵋</t>
  </si>
  <si>
    <t>[名]
鵋鶀：貓頭鷹。《廣韻．去聲．志韻》：「鵋，鵋鶀，鵂鶹鳥，今之角鴟。」明．劉基《郁離子．蛇蝎》：「吳王夫差與群臣夜飲，有鵋鶀鳴于庭，王惡，使彈之。」</t>
  </si>
  <si>
    <t>[助]
置於句中或句末。用於彼、何之後。《詩經．曹風．候人》：「彼其之子，不遂其媾。」《史記．卷四七．孔子世家》：「賜！汝來何其晚也？」</t>
  </si>
  <si>
    <t>(一)ㄑㄧˊ qí（06245）(二)ㄐㄧ jī（05299）</t>
  </si>
  <si>
    <t>惎</t>
  </si>
  <si>
    <t>[動]
1.毒害。《左傳．定公四年》：「管蔡啟商，惎閒王室。」
2.教誨、教導。《左傳．宣公十二年》：「晉人或以廣隊不能進，楚人惎之脫扃。」唐．柳宗元〈報袁君陳秀才避師名書〉：「後學之士到僕門，日或數十人，僕不敢虛其來意，有長必出之，有不至必惎之。」</t>
  </si>
  <si>
    <t>季</t>
  </si>
  <si>
    <t>[名]_x000D_
1.古人用伯、仲、叔、季作兄弟排行，年齡最小的稱為「季」。_x000D_
2.弟的代稱。唐．李白〈春夜宴從弟桃花園序〉：「群季俊秀，皆為惠連。」_x000D_
3.計時的名稱。一季有三個月。如：「春季」、「夏季」。_x000D_
4.一個固定的時期。如：「花季」、「雨季」、「球季」、「旺季」、「淡季」。_x000D_
5.量詞。計算時間的單位。一季有三個月。如：「這個節目已經做了十三季。」_x000D_
6.姓。如春秋時吳國有季札，漢代有季布。_x000D_
[形]_x000D_
1.末了的。如：「季春」、「季冬」。唐．劉禹錫〈祭福建桂尚書文〉：「始識尚書，貞元季年。」_x000D_
2.幼稚未成熟的。如：「季女」。《周禮．地官司徒．山虞》：「凡服耜，斬季材，以時入之。」</t>
  </si>
  <si>
    <t>悸</t>
  </si>
  <si>
    <t>[動]
因害怕而心跳加快。如：「驚悸」、「惶悸」、「心悸」。唐．李白〈夢遊天姥吟留別〉詩：「忽魂悸以魄動，恍驚起而長嗟。」</t>
  </si>
  <si>
    <t>洎</t>
  </si>
  <si>
    <t>[動]
1.往鍋裡加水。《呂氏春秋．審應覽．應言》：「市丘之鼎以烹雞，多洎之則淡而不可食，少洎之則焦而不熟。」
2.到、及。如：「自古洎今」。唐．駱賓王〈代徐敬業討武氏檄〉：「洎乎晚節，穢亂春宮。」宋．蘇洵〈六國論〉：「趙嘗五戰於秦，二敗而三勝，……洎牧以讒誅，邯鄲為郡，惜其用武而不終也。」</t>
  </si>
  <si>
    <t>垍</t>
  </si>
  <si>
    <t>[名]
硬土。《說文解字．土部》：「垍，堅土也。」
[形]
土質堅硬。唐．柳宗元〈井銘．序〉：「其土堅垍，其利悠久。」</t>
  </si>
  <si>
    <t>計</t>
  </si>
  <si>
    <t>[動]
1.核算、籌算。如：「核計」、「論件計酬」、「數以萬計」。《文選．諸葛亮．出師表》：「漢室之隆，可計日而待也。」
2.謀劃、打算、盤算。如：「計劃」、「商計」、「設計」。《戰國策．趙策四》：「父之愛子則為之計深遠。」
3.設想、推測。《莊子．秋水》：「計四海之在天地之間也，不似礨空之在大澤乎？」
[名]
1.策略、方法。如：「妙計」、「好計」、「緩兵之計」。宋．李清照〈一剪梅．紅藕香殘玉簟秋〉詞：「此情無計可消除，才下眉頭，卻上心頭。」
2.測量或計算度量、數量的儀器。如：「溫度計」、「體溫計」。
3.姓。如宋代有計衡。
[副]
揣測之詞，大概、料想如此的意思。《史記．卷五十五．留侯世家．太史公曰》：「余以為其人計魁梧奇偉；至見其圖，狀貌如婦人好女。」</t>
  </si>
  <si>
    <t>紒</t>
  </si>
  <si>
    <t>[動]
結髮為髻。《儀禮．士冠禮》：「將冠者，采衣，紒。」漢．鄭玄．注：「紒，結髮，古文紒為結。」
[名]
髮結、髮髻。晉．干寶《搜神記》卷七：「兵士以絳囊縳紒。」</t>
  </si>
  <si>
    <t>寄</t>
  </si>
  <si>
    <t>[動]
1.暫時的托身。《文選．曹丕．燕歌行》：「慊慊思歸戀故鄉，何為淹留寄佗方？」《聊齋志異．卷三．連瑣》：「何居里，久寄此間？」
2.託付、依附。如：「寄託」。《論語．泰伯》：「可以託六尺之孤，可以寄百里之命。」
3.傳達言語、書信、心意等。今多指透過郵遞傳送。如：「寄信」、「寄郵包」、「寄語白雲」。唐．杜甫〈月夜憶舍弟〉詩：「寄書長不達，況乃未休兵。」元．姚燧〈寄征衣．欲寄君衣君不還〉曲：「欲寄君衣君不還，不寄君衣君又寒。」
[副]
1.暫時依附的。如：「寄居」、「寄宿」、「寄食」。
2.臨時委託的。如：「寄存」、「寄賣」。
[形]
非親生關係的。如：「寄父」、「寄母」、「寄子」、「寄女」。</t>
  </si>
  <si>
    <t>徛</t>
  </si>
  <si>
    <t>[名]
鋪放於淺水中，供人憑渡用的石塊。《爾雅．釋宮》：「徛，石杠謂之徛。」晉．郭璞．注：「聚石水中，以為步渡彴也。或曰今之石橋。」</t>
  </si>
  <si>
    <t>騎</t>
  </si>
  <si>
    <t>[名]
1.乘坐的馬。如：「坐騎」。明．徐弘祖《徐霞客遊記．卷一上．遊天台山日記》：「取寒、明兩巖道，由寺向西門覓騎。」
2.乘馬作戰的士卒。如：「鐵騎」、「輕騎」。《史記．卷七．項羽本紀》：「沛公旦日從百餘騎來見項王。」唐．高適〈燕歌行〉：「胡騎憑陵雜風雨。」
3.量詞。計算人馬的單位。唐．李白〈從軍行〉：「突營射殺呼延將，獨領殘兵千騎歸。」《三國演義》第四回：「奉先可親去揀一騎賜與孟德。」</t>
  </si>
  <si>
    <t>(一)ㄑㄧˊ qí（06264）</t>
  </si>
  <si>
    <t>偈</t>
  </si>
  <si>
    <t>[名]
梵語gāthā的音譯。意譯為頌、諷頌。本為梵語文學的贊歌、詩句。每偈由固定的音節的四句組成，音節的格式種類不一。在中國則用來指佛教修行者的宗教詩。《五燈會元．卷一．五祖弘忍大滿禪師》：「盧自秉燭，請別駕張日用於秀偈之側，寫一偈曰：『菩提本無樹，明鏡亦非臺。本來無一物，何處惹塵埃。』」</t>
  </si>
  <si>
    <t>(一)ㄐㄧㄝˊ jié（05582）</t>
  </si>
  <si>
    <t>祭</t>
  </si>
  <si>
    <t>[動]
1.拜鬼神。如：「祭祀」。《論語．八佾》：「祭如在，祭神如神在。」
2.對死者致敬追思。如：「祭弔」。唐．張籍〈沒蕃故人〉詩：「欲祭疑君在，天涯哭此時。」
3.唸咒以施用法寶，常用於古小說中。《封神演義》第五四回：「不防土行孫祭起綑仙繩，一聲響，把哪吒平空拿了去。」
[名]
祭奠的儀式。如：「家祭」、「公祭」。</t>
  </si>
  <si>
    <t>(二)ㄓㄞˋ zhài（07701）</t>
  </si>
  <si>
    <t>漈</t>
  </si>
  <si>
    <t>[名]
1.水邊、水涯。如：「涯漈」。
2.海底深陷處。《元史．卷二一一．外夷傳．瑠求傳》：「西南北岸皆水，至彭湖漸低，近瑠求則謂之落漈。漈者，水趨下而不回也。」</t>
  </si>
  <si>
    <t>際</t>
  </si>
  <si>
    <t>[名]
1.邊、畔。如：「水際」、「邊際」、「一望無際」。唐．李白〈黃鶴樓送孟浩然之廣陵〉詩：「孤帆遠影碧山盡，唯見長江天際流。」
2.前後交接之時。指在其間、在當時。《論語．泰伯》：「唐虞之際，於斯為盛。」《文選．諸葛亮．出師表》：「受任於敗軍之際，奉命於危難之間。」
3.彼此之間。如：「人際」、「國際」、「星際」、「校際」。
4.中間、裡面。如：「腦際」。晉．陶淵明〈歸園田居〉詩五首之一：「開荒南野際，守拙歸園田。」
5.機會、遭遇。如：「際遇」。
[動]
1.交接、會合。如：「風雲際會」。《易經．泰卦．象曰》：「無往不復，天地際也。」唐．柳宗元〈始得西山宴游記〉：「縈青繚白，外與天際。」
2.當、值、逢。如：「際此危難」、「際此佳日」。</t>
  </si>
  <si>
    <t>穄</t>
  </si>
  <si>
    <t>[名]
一種形似黍，但性不黏的糧食作物。唐．釋玄應《一切經音義．卷一五．十誦律》穄米引《說文解字》：「穄，糜也。似黍而不黏者。」《宋史．卷一七四．食貨志上》：「穀之品七：一曰粟，二曰稻，三曰麥，四曰黍，五曰穄，六曰菽，七曰雜子。」南朝宋．鮑照〈園葵賦〉：「拂此葦席，炊彼穄粱。」</t>
  </si>
  <si>
    <t>瘈</t>
  </si>
  <si>
    <t>[名]
瘋狗。《集韻．去聲．祭韻》：「瘈，狂犬也。」
[形]
瘋狂的。《左傳．襄公十七年》：「國人逐瘈狗。」</t>
  </si>
  <si>
    <t>(二)（(一)之又音）ㄓˋ zhì（07585）(三)ㄑㄧˋ qì（06306）</t>
  </si>
  <si>
    <t>齊</t>
  </si>
  <si>
    <t>[名]
1.分量、劑量。通「劑」。《周禮．天官．亨人》：「亨人掌共鼎鑊，以給水火之齊。」漢．鄭玄．注：「齊，多少之量。」
2.調配合金的比例。《周禮．冬官考工記．輈人》：「金有六齊：六分其金而錫居一，謂之鐘鼎之齊；五分其金而錫居一，謂之斧斤之齊。」
3.參見「火齊」條。
[動]
調配、調製。同「劑」。《韓非子．定法》：「夫匠者，手巧也；而醫者，齊藥也。」宋．洪咨夔〈泥溪〉詩：「誰家剛齊餅，味過八珍烹。」</t>
  </si>
  <si>
    <t>(一)ㄑㄧˊ qí（06274）(二)ㄓㄞ zhāi（07690）(四)ㄗ zī（09401）</t>
  </si>
  <si>
    <t>劑</t>
  </si>
  <si>
    <t>[名]
1.經調配而成的藥品或化學製品。如：「藥劑」、「針劑」、「消毒劑」、「殺蟲劑」、「防腐劑」。
2.一定的分量。唐．陸贄〈均節賦稅恤百姓六條〉之二：「蓋以事逐情生，費從事廣，物有劑而用無節，夫安得不乏乎？」
3.量詞。計算經過調配後的藥物的單位。如：「他吃了這三劑中藥後，病情已逐漸穩定。」、「小寶已接種了第三劑疫苗。」
[動]
調和。如：「調劑」。《後漢書．卷八〇．文苑傳下．劉梁傳》：「和如羹焉，酸苦以劑其味。」</t>
  </si>
  <si>
    <t>[動]
1.過河、渡河。《文選．曹植．贈白馬王彪詩》：「伊洛廣且深，欲濟川無梁。」唐．李白〈行路難〉三首之一：「長風破浪會有時，直掛雲帆濟滄海。」
2.救助。如：「救濟」、「濟助」、「濟弱扶傾」、「劫富濟貧」、「緩不濟急」。
3.助益。如：「無濟於事」。</t>
  </si>
  <si>
    <t>(二)ㄐㄧˇ jǐ（05413）</t>
  </si>
  <si>
    <t>嚌</t>
  </si>
  <si>
    <t>[動]
嚐食、嚐滋味。《禮記．雜記下》：「小祥之祭，主人之酢也，嚌之。」</t>
  </si>
  <si>
    <t>齌</t>
  </si>
  <si>
    <t>[動]
為趕時間，以猛火煮飯。《說文解字．火部》：「齌，炊餔疾也。」清．段玉裁．注：「餔，日加申時食也。晚飯恐遲，炊之疾速，故字从火。」
[副]
疾、迅疾。《楚辭．屈原．離騷》：「荃不察余之中情兮，反信讒而齌怒。」漢．王逸．注：「齌，疾也。」</t>
  </si>
  <si>
    <t>薺</t>
  </si>
  <si>
    <t>[名]
植物名。十字花科薺屬，「薺菜」之簡稱。參見「薺菜」條。</t>
  </si>
  <si>
    <t>(二)ㄑㄧˊ qí（06276）</t>
  </si>
  <si>
    <t>癠</t>
  </si>
  <si>
    <t>[動]
生病。《廣韻．上聲．薺韻》：「癠，病也。」《禮記．玉藻》：「親癠，色容不盛，此孝子之疏節也。」</t>
  </si>
  <si>
    <t>穧</t>
  </si>
  <si>
    <t>[動]
收割。《說文解字．禾部》：「穧，穫刈也。」
[名]
已經割下還沒有紮束的農作物。《詩經．小雅．大田》：「彼有不穫稚，此有不斂穧。」唐．孔穎達．正義：「穧者，禾之鋪而未束者。」</t>
  </si>
  <si>
    <t>霽</t>
  </si>
  <si>
    <t>[動]
1.雨後或霜雪過後轉晴。如：「雪霽」、「秋雨新霽」、「大雪初霽」。唐．杜甫〈閣夜〉詩：「歲暮陰陽催短景，天涯霜雪霽寒宵。」
2.停止。如：「霽怒」。《漢書．卷七四．魏相傳》：「相心善其言，為霽威嚴。」
[名]
晴朗的天氣。宋．姜夔〈翠樓吟．月冷龍沙〉詞：「西山外，晚來還捲，一簾秋霽。」
[形]
晴朗的。唐．祖詠〈清明宴司勳劉郎中別業〉詩：「霽日園林好，清明煙火新。」宋．秦觀〈春日〉詩五首之二：「一夕輕雷落萬絲，霽光浮瓦碧參差。」</t>
  </si>
  <si>
    <t>鱭</t>
  </si>
  <si>
    <t>[名]
動物名。脊椎動物亞門硬骨魚綱鯷科。體側扁如刀，尾纖細，銀白色。口大，尾鰭不對稱，腹部具棱鱗。分布於西太平洋。也稱為「鳳尾魚」。</t>
  </si>
  <si>
    <t>稷</t>
  </si>
  <si>
    <t>[名]
1.古書上常見的穀類植物：(1)粟、小米。《爾雅．釋草》：「粢，稷。」三國魏．孫炎．注：「稷，粟也。」(2)黍一類的作物。明．李時珍《本草綱目．卷一一．穀部．稷》：「稷與黍，一類二種也。黏者為黍，不黏者為稷。」(3)高粱。清．王念孫《廣雅疏證．卷一〇上．釋草》：「稷穰謂之䅳。」疏證：「稷，今人謂之高粱。」
2.古人認為稷是百穀之長，所以稱穀神為「稷」。《字彙．禾部》：「稷，穀神。」如：「社稷」。
3.古代掌管農事的官。《書經．舜典》：「汝后稷，播時百穀。」唐．孔穎達．正義：「稷是五穀之長，立官主此稷事。」
4.姓。如漢代有稷嗣。</t>
  </si>
  <si>
    <t>髻</t>
  </si>
  <si>
    <t>[名]
盤結於頭頂或腦後的頭髮，有各種形狀。如：「雲髻」、「倭墮髻」、「鑽天髻」。唐．王建〈失釵怨〉詩：「鏡中乍無失髻樣，初起猶疑墮床上。」宋．劉辰翁〈寶鼎現．紅妝春騎〉詞：「又說向，燈前擁髻，暗滴鮫珠墜。」</t>
  </si>
  <si>
    <t>冀</t>
  </si>
  <si>
    <t>[動]
希望。如：「希冀」、「冀望」。《楚辭．屈原．離騷》：「冀枝葉之峻茂兮，願俟時乎吾將刈。」《漢書．卷六八．霍光傳》：「冀其自新。」
[名]
1.國名。周代時所建，後滅於晉。
2.大陸地區河北省的簡稱。</t>
  </si>
  <si>
    <t>懻</t>
  </si>
  <si>
    <t>[形]
強直、強狠。《集韻．去聲．至韻》：「懻，彊直貌。」《史記．卷一二九．貨殖傳》：「人民矜懻忮，好氣，任俠為姦，不事農商。」</t>
  </si>
  <si>
    <t>驥</t>
  </si>
  <si>
    <t>[名]
1.千里馬。《說文解字．馬部》：「驥，千里馬也。」如：「老驥伏櫪」。《莊子．秋水》：「騏驥驊騮，一日而馳千里。」
2.比喻傑出的人才。《晉書．卷八二．虞預傳》：「十室之邑，必有忠信，世不乏驥，求則可致。」</t>
  </si>
  <si>
    <t>檕</t>
  </si>
  <si>
    <t>[名]
水井上轆轤的橫木，用以繫汲水的繩索。一端繫水桶，一端繫重物，可以上下轉動。《康熙字典．木部》：「檕當為桔槔上橫木，所以轉機。」</t>
  </si>
  <si>
    <t>繫</t>
  </si>
  <si>
    <t>[動]
綁、扣、結。如：「繫鞋帶」、「紅繩繫足」。</t>
  </si>
  <si>
    <t>(一)ㄒㄧˋ xì（06852）</t>
  </si>
  <si>
    <t>薊</t>
  </si>
  <si>
    <t>[名]
1.菊科菜薊族總苞片頂端常具各式芒刺的一些屬植物的泛稱，如「薊屬」、「虎頭薊屬」、「菜薊屬」等。大草本，葉緣有刺針，頭狀花序同型，於枝頂排成總狀，圓錐狀罕穗狀，紫紅或白色，小花全部為管狀花冠。約有三百種以上。
2.地名。唐玄宗開元十八年置，治所在漁陽，約當今大陸地區河北省薊縣。
3.姓。如漢代有薊子訓。</t>
  </si>
  <si>
    <t>鮆</t>
  </si>
  <si>
    <t>[名]
一種外形似刀的魚。《說文解字．魚部》：「鮆，刀魚也，飲而不食。」宋．蘇軾〈和文與可洋川園池．寒蘆港〉詩：「還有江南風物否？桃花流水鮆魚肥。」</t>
  </si>
  <si>
    <t>覬</t>
  </si>
  <si>
    <t>參見「覬倖」、「覬覦」等條。</t>
  </si>
  <si>
    <t>罽</t>
  </si>
  <si>
    <t>[名]
毛織地氈一類的東西。《爾雅．釋言》：「氂，罽也。」宋．邢昺．疏：「罽者，織毛為之，若今之毛氍毹。」《聊齋志異．卷二．蓮香》：「悉以罽毯貼地，百千籠燭，燦列如錦。」</t>
  </si>
  <si>
    <t>蘮</t>
  </si>
  <si>
    <t>參見「蘮蒘」條。</t>
  </si>
  <si>
    <t>鯽</t>
  </si>
  <si>
    <t>[名]
動物名。鯉目鯉科。形似鯉，脊隆起，頭口皆小，無鬚。腹大，白色，背青褐色。骨多，味美。較鯉魚耐寒。產於淡海中。為常見的食用魚。</t>
  </si>
  <si>
    <t>繼</t>
  </si>
  <si>
    <t>[動]
1.接續、接連。如：「繼續」、「前仆後繼」。《左傳．僖公三十三年》：「攻之不克，圍之不繼，吾其還也。」宋．王禹偁〈對雪〉詩：「月俸雖無餘，晨炊且相繼。」
2.承續。如：「繼承」、「繼位」、「父死子繼」。《禮記．中庸》：「夫孝者，善繼人之志，善述人之事者也。」
[形]
後續的。如：「繼室」、「繼父」、「繼母」。
[副]
隨後、跟著。《孟子．公孫丑下》：「繼而有師命。」宋．陸游〈暴雨〉詩：「明日暴雨來，繼以雷大震。」
[名]
姓。如宋代有繼賢。</t>
  </si>
  <si>
    <t>加</t>
  </si>
  <si>
    <t>ㄐㄧㄚ</t>
  </si>
  <si>
    <t>jiā</t>
  </si>
  <si>
    <t>[動]
1.算法上，指兩個數值的結合。如：「3加5等於8。」
2.將一物放在另一物的上面。如：「花生米加豆腐干，滋味勝火腿。」《莊子．馬蹄》：「夫加之以衡軛。」
3.置（刑）或施（恩）。唐．韓愈〈送李愿歸盤谷序〉：「車服不維，刀鋸不加，理亂不知，黜陟不聞。」宋．歐陽修〈瀧岡阡表〉：「逢國大慶，必加寵錫。」
4.增益。如：「增加」、「加股」。《論語．子路》：「既富矣，又何加焉？」唐．韓愈〈答李翊書〉：「加其膏而希其光。」
5.參見「加以」條。
[副]
更。《孟子．梁惠王上》：「鄰國之民不加少，寡人之民不加多。」宋．王安石〈遊褒禪山記〉：「蓋其又深，則其至又加少矣。」
[名]
1.數學上的運算方法之一。參見「加法」條。
2.姓。如漢代有加特奴。</t>
  </si>
  <si>
    <t>伽</t>
  </si>
  <si>
    <t>[名]
譯音用字。為外語譯音所常用。如：「伽馬」、「伽利略」。</t>
  </si>
  <si>
    <t>(一)ㄑㄧㄝˊ qié（06328）</t>
  </si>
  <si>
    <t>珈</t>
  </si>
  <si>
    <t>[名]
古代婦人的首飾。《詩經．鄘風．君子偕老》：「君子偕老，副笄六珈。」</t>
  </si>
  <si>
    <t>枷</t>
  </si>
  <si>
    <t>[名]
1.古時套在犯人脖子上的刑具。用木板製成。如：「枷鎖」、「披枷帶鎖」。
2.擱置衣物的器具。通「架」。《禮記．曲禮上》：「男女不雜坐，不同椸枷。」</t>
  </si>
  <si>
    <t>茄</t>
  </si>
  <si>
    <t>[名]
1.荷莖。《文選．張衡．西京賦》：「蔕倒茄於藻井，披紅葩之狎獵。」《文選．何晏．景福殿賦》：「茄密倒植，吐被芙蕖。」
2.譯音用字。如：「雪茄」、「茄克」。</t>
  </si>
  <si>
    <t>(一)ㄑㄧㄝˊ qié（06329）</t>
  </si>
  <si>
    <t>迦</t>
  </si>
  <si>
    <t>[名]
譯音用字。為藏經譯音所常用。如：「迦葉」、「迦蘭陀」。</t>
  </si>
  <si>
    <t>痂</t>
  </si>
  <si>
    <t>[名]
傷口痊癒時，由血小板、膠原蛋白和廢死細胞等凝結而成的硬塊。</t>
  </si>
  <si>
    <t>笳</t>
  </si>
  <si>
    <t>[名]
樂器名，吹管樂器。即胡笳。參見「胡笳」條。</t>
  </si>
  <si>
    <t>耞</t>
  </si>
  <si>
    <t>[名]
一種農具。用來擊禾。參見「連枷」條。</t>
  </si>
  <si>
    <t>袈</t>
  </si>
  <si>
    <t>參見「袈裟」條。</t>
  </si>
  <si>
    <t>跏</t>
  </si>
  <si>
    <t>參見「跏趺」條。</t>
  </si>
  <si>
    <t>嘉</t>
  </si>
  <si>
    <t>[形]
美好的。如：「嘉名」、「嘉賓」。《詩經．豳風．東山》：「其新孔嘉，其舊如之何？」唐．柳宗元〈永州韋使君新堂記〉：「茂樹惡木，嘉葩毒卉，亂雜而爭植。」
[動]
讚美、誇獎。如：「嘉獎」、「嘉許」、「其志可嘉」。《論語．子張》：「嘉善而矜不能。」唐．韓愈〈師說〉：「余嘉其能行古道，作師說以貽之。」
[名]
姓。如元代有嘉兆。</t>
  </si>
  <si>
    <t>鴐</t>
  </si>
  <si>
    <t>[名]
鴐鵝：古時一種鴻雁。《文選．張衡．西京賦》：「鳥則鷫鷞鴰鴇，鴐鵝鴻鶤。」</t>
  </si>
  <si>
    <t>夾</t>
  </si>
  <si>
    <t>(一)ㄐㄧㄚˊ jiá（05495）(三)ㄐㄧㄚˋ jià（05525）</t>
  </si>
  <si>
    <t>佳</t>
  </si>
  <si>
    <t>[形]
美、好。如：「佳人」、「佳景」、「佳音」。《文選．曹植．與楊德祖書》：「文之佳惡，吾自得之。」《文選．陶淵明．雜詩二首之一》：「山氣日夕佳，飛鳥相與還。」
[名]
姓。如明代有佳正。</t>
  </si>
  <si>
    <t>[名]
1.眷屬共同生活的場所。如：「家庭」、「回家」。唐．賀知章〈回鄉偶書〉詩二首之一：「少小離家老大回，鄉音無改鬢毛衰。」
2.一門之內共同生活的人。《呂氏春秋．先識覽．察微》：「吳人應之不恭，怒殺而去之，吳人往報之，盡屠其家。」
3.學術流派。如：「儒家」、「道家」、「百家爭鳴」、「一家之言」。
4.經營某種行業或具有某種身分的人。如：「農家」、「商家」、「店家」、「少東家」。
5.尊稱學有專長或有專門技術的人。如：「專家」、「文學家」、「科學家」。
6.自稱或稱別人。如：「自家」、「咱家」、「哀家」、「姑娘家」、「小孩子家」、「婦道人家」。
7.古代大夫所統治的政治區域。與「國」相對。《論語．季氏》：「丘也聞有國有家者，不患寡而患不均，不患貧而患不安。」
8.私有財產。《韓非子．外儲說左上》：「夫賣庸而播耕者，主人費家而美食。」《史記．卷八五．呂不韋傳》：「諸嫪毐舍人皆沒其家而遷之蜀。」
9.量詞。計算家庭、店鋪、大型企業等的單位。如：「住戶不滿十家」、「三家報社」、「只此一家，別無分號。」、「開了三家分公司。」
10. 姓。如周代有家伯。
[動]
居住。《文選．江淹．別賦》：「又若君居淄右，妾家河陽。」
[形]
1.對人謙稱自己的親長。如：「家父」、「家母」、「家兄」。
2.家中的。如：「家事」、「家人」、「家產」、「家業」、「家僮」。
3.家中飼養的。如：「家畜」、「家禽」。
[助]
置於句中。相當於「地」、「的」。元．蕭德祥《殺狗勸夫》第二折：「他道俺哥哥十分家沉醉，且吃些兒熱湯熱水。」《西遊記》第五一回：「大碗家寬懷暢飲。」</t>
  </si>
  <si>
    <t>(二)ㄍㄨ gū（04149）</t>
  </si>
  <si>
    <t>傢</t>
  </si>
  <si>
    <t>參見「傢伙」、「傢伙座兒」等條。</t>
  </si>
  <si>
    <t>鎵</t>
  </si>
  <si>
    <t>[名]
（gallium，Ga）化學元素。原子序31。銀白色金屬，質軟、熔點低（攝氏三十度）。在自然界中，常微量分散於鋁礬土礦、閃鋅礦等礦石中。可製作耐高溫的溫度計，並作光學玻璃、合金、真空管的原料。又因具超導電性質，導電速度快、耗電又少，是製造半導體的重要材料。</t>
  </si>
  <si>
    <t>猳</t>
  </si>
  <si>
    <t>[名]
1.猴子一類的動物。唐．段成式《酉陽雜俎．卷四．境異》：「南交猴，有子曰溪；北通玃猳，所育為傖。」
2.豬。同「豭」。宋．蘇軾〈朱亥墓誌〉：「進承其頤，視如豚猳。」</t>
  </si>
  <si>
    <t>葭</t>
  </si>
  <si>
    <t>[名]
1.蘆葦。或特指初生的蘆葦。《說文解字．艸部》：「葭，葦之未秀者。」《詩經．秦風．蒹葭》：「蒹葭蒼蒼，白露為霜。」宋．文同〈晚至村家〉詩：「深葭繞澗牛散臥，積麥滿場雞亂飛。」
2.樂器名，吹管樂器。通「笳」。漢．張衡〈西京賦〉：「發引和，校鳴葭，奏淮南，度陽阿。」參見「胡笳」條。
3.姓。如漢代有葭眾。</t>
  </si>
  <si>
    <t>豭</t>
  </si>
  <si>
    <t>[名]
1.公豬。《左傳．隱公十一年》：「鄭伯使卒出豭，行出犬雞，以詛射穎考叔者。」唐．孔穎達．正義：「豭，謂豕之牡者。」
2.泛指豬。清．王念孫《廣雅疏證．卷一〇下．釋獸》：「豭，豕也。」疏證：「豭為牡豕，又為豕之通稱；猶豬為豕子，又為豕之通稱矣。」</t>
  </si>
  <si>
    <t>ㄐㄧㄚˊ</t>
  </si>
  <si>
    <t>jiá</t>
  </si>
  <si>
    <t>[動]
1.從相對的兩方使力，使中間的物體受鉗而不動。如：「分從左右夾住他。」、「兩腿夾緊！」、「用筷子夾菜。」
2.將東西放在腋下，以胳膊使勁帶緊。如：「夾著書包」。
3.用夾棍行刑。《初刻拍案驚奇》卷一一：「喝叫左右夾將起來，快快招出奸謀便罷。」
4.攙雜、雜和。如：「這文章白話夾文言，似通非通。」、「狂風夾著暴雨而來。」
[名]
1.鉗物的工具，有的有柄。如：「髮夾」、「衣夾」、「炭火夾」。
2.可包藏物品的扁平文具或皮包。如：「講義夾」、「公文夾」、「書夾」、「皮夾」。
[形]
雙層的。如：「夾層」。
[副]
1.左右包抄的。如：「左右夾攻」、「夾擊」。
2.暗藏的。如：「夾帶毒品」。</t>
  </si>
  <si>
    <t>(二)（(一)之又音）ㄐㄧㄚ jiā（05487）(三)ㄐㄧㄚˋ jià（05525）</t>
  </si>
  <si>
    <t>俠</t>
  </si>
  <si>
    <t>[動]
夾住。通「夾」。《淮南子．道應》：「兩蛟俠繞其船。」</t>
  </si>
  <si>
    <t>(一)ㄒㄧㄚˊ xiá（06894）</t>
  </si>
  <si>
    <t>浹</t>
  </si>
  <si>
    <t>[動]
1.透澈、浸透。《淮南子．原道》：「不浸於肌膚，不浹於骨髓。」《後漢書．卷一〇．獻帝伏皇后傳》：「操出，顧左右，汗流浹背。」
2.通達。《荀子．解蔽》：「其所以貫理焉，雖億萬已不足浹萬物之變，與愚者若一。」
3.循環一周。如天干由甲日至癸日稱為「浹日」；地支由子日至亥日稱為「浹辰」。
[形]
融洽。唐．韓愈〈新修滕王閣記〉：「其歲九月，人吏浹和。」
[副]
遍。明．徐弘祖《徐霞客遊記．卷一〇上．滇遊日記十二》：「山雨忽來，傾盆倒峽，浹地交流。」</t>
  </si>
  <si>
    <t>挾</t>
  </si>
  <si>
    <t>[動]
1.通達。《詩經．大雅．大明》：「天位殷適，使不挾四方。」
2.夾取。通「夾」。《莊子．駢拇》：「問臧奚事，則挾策讀書。」《舊五代史．卷一二七．周書．盧文紀傳》：「旭旦以箸挾之，首得文紀之名。」
[形]
周匝、周遍。《荀子．禮論》：「於是其中焉方皇周挾，曲得其次序，是聖人也。」唐．楊倞．注：「浹，匝也。」</t>
  </si>
  <si>
    <t>(一)ㄒㄧㄝˊ xié（06937）(二)（(一)之又音）ㄒㄧㄚˊ xiá（06895）</t>
  </si>
  <si>
    <t>郟</t>
  </si>
  <si>
    <t>[名]
1.郟縣：縣名。在大陸地區河南省省境中部，許昌縣以西。
2.郟山：山名。在大陸地區河南省洛陽縣北。也稱為「北邙山」。
3.姓。如春秋時鄭國有郟張。</t>
  </si>
  <si>
    <t>梜</t>
  </si>
  <si>
    <t>參見「梜提」條。</t>
  </si>
  <si>
    <t>(二)（又音）ㄐㄧㄝˊ jié（05575）</t>
  </si>
  <si>
    <t>莢</t>
  </si>
  <si>
    <t>[名]
1.「莢果」之俗稱，參見「莢果」條。如：「豆莢」、「皂莢」。
2.榆科榆樹之乾燥「翅果」和十字花科之「角果」，古時亦混稱「莢」。唐．韓愈〈晚春〉詩：「楊花榆莢無情思，惟解漫天作雪飛」；宋．范成大〈初夏〉詩二首之一：「桑葉露枝蠶向老，菜花成莢蝶飛來。」也稱為「莢果」。
3.姓。如春秋時晉國有莢成僖子。</t>
  </si>
  <si>
    <t>蛺</t>
  </si>
  <si>
    <t>參見「蛺蝶」條。</t>
  </si>
  <si>
    <t>䛟</t>
  </si>
  <si>
    <t>[形]
口不擇言、隨便說話的樣子。《玉篇．言部》：「䛟，妄語也。」</t>
  </si>
  <si>
    <t>鋏</t>
  </si>
  <si>
    <t>[名]
1.鉗子。《說文解字．金部》：「鋏，可以持冶器鑄鎔者。」北周．庾信〈對燭賦〉：「銅荷承淚蠟，鐵鋏染浮煙。」
2.劍。《玉篇．金部》：「鋏，劍也。」《楚辭．屈原．九章．涉江》：「帶長鋏之陸離兮，冠切雲之崔嵬。」
3.劍柄。《戰國策．齊策四》：「長鋏歸來乎！食無魚。」</t>
  </si>
  <si>
    <t>頰</t>
  </si>
  <si>
    <t>臉部兩側面，顴骨以下的部分。如：「兩頰緋紅」、「面頰」。漢．王充《論衡．自紀》：「人面色部，七十有餘，頰肌明潔，五色分別。」</t>
  </si>
  <si>
    <t>鵊</t>
  </si>
  <si>
    <t>[名]
杜鵑。《集韻．入聲．洽韻》：「鵊，鳥名，杜鵑也。」</t>
  </si>
  <si>
    <t>恝</t>
  </si>
  <si>
    <t>[形]
因忽視、淡忘而顯出不在乎的樣子。如：「恝然」。《孟子．萬章上》：「夫公明高以孝子之心，為不若是恝。」漢．趙岐．注：「恝，無愁之貌。」清．焦循．正義：「忽忘於心，即是無愁。」</t>
  </si>
  <si>
    <t>戛</t>
  </si>
  <si>
    <t>[名]
1.武器名。戟、長矛。《說文解字．戈部》：「戛，戟也。」《文選．張衡．東京賦》：「立戈迤戛，農輿輅木。」
2.常禮、常法。《書經．康誥》：「不率大戛，矧惟外庶子訓人。」唐．孔穎達．正義：「戛猶楷也，言為楷模之常，故戛為常也。」
[動]
1.敲擊。《書經．益稷》：「戛擊鳴球。」《聊齋志異．卷七．金和尚》：「腰弓矢相摩戛。」
2.踐踏。唐．韓愈〈送惠師〉詩：「前年往羅浮，步戛南海漘。」
[擬]
形容鳥鳴聲。如：「戛然長鳴」。宋．蘇軾〈犍為王氏書樓〉詩：「山猿悲嘯谷泉響，野鳥嘐戛巖花春。」</t>
  </si>
  <si>
    <t>袷</t>
  </si>
  <si>
    <t>[名]
雙層無絮的衣物。唐．李商隱〈春雨〉詩：「悵臥新春白袷衣，白門寥落意多違。」宋．文同〈晚至村家〉詩：「舊裾飄風採桑去，白袷卷水秧稻歸。」</t>
  </si>
  <si>
    <t>(二)ㄐㄧㄝˊ jié（05588）</t>
  </si>
  <si>
    <t>跲</t>
  </si>
  <si>
    <t>[動]
絆倒、跌倒。《呂氏春秋．慎大覽．不廣》：「鼠前而兔後，趨則跲，走則顛。」
[形]
言語受阻而不通暢。《禮記．中庸》：「言前定，則不跲。」唐．孔穎達．正義：「將欲發言，能豫前思定，然後出口，則言得流行，不有躓蹶也。」</t>
  </si>
  <si>
    <t>鞈</t>
  </si>
  <si>
    <t>[名]
古代皮革製成的胸甲。《管子．小匡》：「輕罪入蘭盾，鞈革二戟。」
[形]
堅硬。《荀子．議兵》：「楚人鮫革犀兕以為甲，鞈如金石。」</t>
  </si>
  <si>
    <t>甲</t>
  </si>
  <si>
    <t>ㄐㄧㄚˇ</t>
  </si>
  <si>
    <t>jiǎ</t>
  </si>
  <si>
    <t>[名]
1.天干的第一位。
2.古代軍人穿的護身衣物。以皮革或金屬片製成。如：「盔甲」、「鎧甲」、「披甲」。《孟子．梁惠王上》：「兵刃既接，棄甲曳兵而走。」
3.指軍人、兵士。《左傳．宣公二年》：「伏甲將攻之。」
4.動物身上具有保護作用的硬殼。如：「龜甲」、「鱗甲」。
5.手指、腳趾上的角質硬殼。如：「指甲」、「腳趾甲」。
6.引申為圍護於物體外的堅硬保護殼。如：「裝甲車」。
7.古代基層治安制度的戶口編制名稱。如：「保甲」。元．施惠《幽閨記》第六齣：「奉上司明文，遍張文榜，畫影圖形，十家為甲，排門粉壁，各處挨捕。」
8.量詞。臺灣計算地積的單位。一甲有二千九百三十四坪，等於零點九七公頃。
[形]
等第最優的。如：「甲等」、「甲級」。
[動]
超出群眾、位居首位。如：「富甲天下」、「桂林山水甲天下」。
[代]
假定的代名詞。如：「某甲」、「甲地」。北齊．顏之推〈還魂志〉：「婢逐呼云：『某甲欲奸我！』濟即令人殺之。」</t>
  </si>
  <si>
    <t>(二)ㄐㄧㄚˋ jià（05524）</t>
  </si>
  <si>
    <t>岬</t>
  </si>
  <si>
    <t>[名]
1.兩山之間。《文選．左思．吳都賦》：「傾藪薄倒岬岫。」
2.地理學上指陸地向海突出的部分。如：「海岬」。也稱為「角」。</t>
  </si>
  <si>
    <t>胛</t>
  </si>
  <si>
    <t>參見「胛骨」條。</t>
  </si>
  <si>
    <t>舺</t>
  </si>
  <si>
    <t>[名]
船。清．王念孫《廣雅疏證．卷九下．釋水》：「舺，船也。」如：「艋舺」。</t>
  </si>
  <si>
    <t>鉀</t>
  </si>
  <si>
    <t>[名]
（potassium，K）化學元素。原子序19。一種銀白色質軟的鹼金屬。化學性質活潑，在空氣中極易氧化。燃燒時火焰呈紫色，遇水起劇烈反應，放出氫氣，同時引起爆炸，燃燒起火。在動、植物體內，對生長和發育極具重要性。在工業上鉀化合物用途甚廣。</t>
  </si>
  <si>
    <t>夏</t>
  </si>
  <si>
    <t>參見「夏楚」條。</t>
  </si>
  <si>
    <t>(一)ㄒㄧㄚˋ xià（06913）</t>
  </si>
  <si>
    <t>假</t>
  </si>
  <si>
    <t>[形]
1.不真的、虛偽的、人造的。與「真」相對。如：「假髮」、「假話」、「假面具」、「虛情假意」。《紅樓夢》第一回：「假作真時真亦假，無為有處有還無。」
2.代理的。《後漢書．卷四七．班超傳》：「以超為假司馬。」
[動]
1.借。如：「假手於人」、「狐假虎威」。《左傳．僖公五年》：「晉侯復假道於虞以伐虢。」
2.依傍。《文選．曹丕．典論論文》：「斯七子者，於學無所遺，於辭無所假。」
3.待。《文選．丘遲．與陳伯之書》：「將軍之所知，不假僕一二談也。」
[連]
如果。如：「假若」、「假如」。《史記．卷九二．淮陰侯傳》：「假令韓信學道謙讓，不伐己功，不矜其能。」</t>
  </si>
  <si>
    <t>(二)ㄐㄧㄚˋ jià（05528）</t>
  </si>
  <si>
    <t>瘕</t>
  </si>
  <si>
    <t>[名]
中醫上指一種腹中結有硬塊的病症。如：「癥瘕積聚」、「瘕聚」、「血瘕」、「石瘕」、「伏瘕」。</t>
  </si>
  <si>
    <t>[形]
大、遠。通「遐」。《逸周書．卷五．皇門》：「王用有監，明憲朕命，用克和有成，用能承天嘏命。」</t>
  </si>
  <si>
    <t>(一)ㄍㄨˇ gǔ（04161）</t>
  </si>
  <si>
    <t>斝</t>
  </si>
  <si>
    <t>[名]
1.古代酒器。形狀像爵而較大，有三足、兩柱，圓口，平底。盛行於商代。如：「獸面紋斝」。
2.借指酒盃。宋．蘇軾〈司馬君實獨樂園〉詩：「花香襲杖履，竹色侵杯斝。」宋．姜夔〈昔遊詩〉：「酒力不支吾，數里進一斝。」</t>
  </si>
  <si>
    <t>[名]
姓。如漢代有賈誼。</t>
  </si>
  <si>
    <t>(二)ㄍㄨˇ gǔ（04179）</t>
  </si>
  <si>
    <t>檟</t>
  </si>
  <si>
    <t>[名]
植物名：(1)山茶科山茶屬，「茶」、「茶樹」之古稱，參見「茶樹」條。《爾雅．釋木》：「檟，苦荼。」晉．郭璞．注：「樹小如梔子，冬生葉，可煮作羹飲，今呼早采者為荼，晚取者為茗。一名荈，蜀人名之苦荼。」(2)紫葳科梓屬，「梓」、「梓樹」、「楸」之古稱，參見「梓」條。</t>
  </si>
  <si>
    <t>ㄐㄧㄚˋ</t>
  </si>
  <si>
    <t>jià</t>
  </si>
  <si>
    <t>[名]
動物名。指甲魚。脊椎動物亞門爬蟲綱龜鱉目。外形像龜，背甲呈灰黑色，有軟皮。腹部白色或淡黃色。頸部甚長，四肢粗短，有厚蹼。多棲息於湖沼等溫、熱帶水域。背甲圓形，邊緣柔軟，肉供食用，甲殼可入藥。也稱為「鱉」。</t>
  </si>
  <si>
    <t>(一)ㄐㄧㄚˇ jiǎ（05512）</t>
  </si>
  <si>
    <t>參見「夾竹桃」、「夾生」等條。</t>
  </si>
  <si>
    <t>(一)ㄐㄧㄚˊ jiá（05495）(二)（(一)之又音）ㄐㄧㄚ jiā（05487）</t>
  </si>
  <si>
    <t>架</t>
  </si>
  <si>
    <t>[名]
1.泛指一般有線條組織，具支撐或擱置作用的結構體。如：「鷹架」、「屋架」、「骨架」、「衣架」、「葡萄架」、「書架」。唐．白居易〈秦中吟．傷宅〉：「繞廊紫藤架，夾砌紅藥欄。」
2.身段和姿勢。如：「架勢十足」。
3.量詞。計算飛機或機器等的單位。如：「百架飛機」、「一架機器」、「兩架電視機」。
[動]
1.搭設。如：「架橋」、「架帳棚」、「架梯子」。
2.以一物加在另外一物之上。如：「把磚頭架上去。」、「把刀架在他的脖子上。」
3.攙扶。往往帶有強制的意思。如：「綁架」、「架住他！別讓他跑了！」
4.互相毆打、爭吵。如：「打架」、「吵架」、「勸架」。
5.抵擋。如：「招架」、「用手架住他的來拳。」
6.虛構、捏造。《金瓶梅》第七四回：「各人衣飯，他平白怎麼架你是非？」</t>
  </si>
  <si>
    <t>駕</t>
  </si>
  <si>
    <t>[動]
1.用牲畜拉車。唐．戴叔倫〈屯田詞〉：「驅牛駕車入山去，霜重草枯牛凍死。」
2.乘、騎。如：「駕鶴西歸」、「騰雲駕霧」。唐．李白〈古風〉詩五九首之一九：「恍恍與之去，駕鴻淩紫冥。」
3.開動、馭駛。如：「駕汽車」、「駕飛機」。宋．岳飛〈滿江紅．怒髮衝冠〉詞：「駕長車，踏破賀蘭山缺。」
4.管理、控制。《舊唐書．卷七四．馬周傳》：「陛下所與定天下者，皆仰稟成規，備鷹犬之用，無威略振主如韓、彭之難駕馭者。」
5.超越。如：「凌駕」。《左傳．昭公元年》：「子木之信，稱於諸侯，猶詐晉而駕焉。」
[名]
1.車輛的總稱。如：「鸞駕」、「車駕」、「整駕出遊」。
2.古時對皇帝的尊稱。如：「護駕」、「駕崩」。《後漢書．卷八二．方術傳上．郭憲傳》：「建武七年，代張堪為光祿勛，從駕南郊。」
3.對他人的敬稱。如：「尊駕」、「擋駕」、「勞駕」、「大駕光臨」、「在此候駕」。</t>
  </si>
  <si>
    <t>[名]
工作期間依規定或經申請獲准的休息時間。如：「放假」、「暑假」、「春假」、「請假」、「銷假」、「病假」。</t>
  </si>
  <si>
    <t>(一)ㄐㄧㄚˇ jiǎ（05518）</t>
  </si>
  <si>
    <t>嫁</t>
  </si>
  <si>
    <t>[動]
1.女子結婚。如：「出嫁」、「婚嫁」。唐．張籍〈節婦吟寄東平李司空師道〉詩：「還君明珠雙淚垂，何不相逢未嫁時。」唐．白居易〈琵琶行〉：「門前冷落鞍馬稀，老大嫁作商人婦。」
2.推惡於人。如：「嫁禍」、「嫁怨」。</t>
  </si>
  <si>
    <t>稼</t>
  </si>
  <si>
    <t>[名]
禾的穗和果實。亦泛指農作物。如：「莊稼」。《詩經．豳風．七月》：「十月納禾稼。」
[動]
耕作。如：「耕稼」、「稼穡」。《詩經．魏風．伐檀》：「不稼不穡，胡取禾三百廛兮？」唐．韓愈〈圬者王承福傳〉：「粟，稼而生者也。」</t>
  </si>
  <si>
    <t>[名]
1.事物所值的具體金錢數。如：「物價」、「市價」、「差價」、「定價」。唐．白居易〈秦中吟．買花〉：「貴賤無常價，酬直看花數。」宋．戴復古〈庚子薦饑〉詩：「休言穀價貴，菜亦貴如金。」
2.人、事、物所值的抽象地位或身分。如：「身價」、「聲價」、「評價」。
3.化學上用來表示一個原子與他種原子相結合時所參與的數目。如：「原子價」、「氫是一價的元素。」</t>
  </si>
  <si>
    <t>(二)˙ㄍㄚ ga（03919）</t>
  </si>
  <si>
    <t>皆</t>
  </si>
  <si>
    <t>ㄐㄧㄝ</t>
  </si>
  <si>
    <t>jiē</t>
  </si>
  <si>
    <t>[副]
1.全、都，統括之詞。如：「草木皆兵」、「萬般皆下品，唯有讀書高。」、「眾人皆醉，我獨醒。」《孟子．告子下》：「人皆可以為堯舜。」唐．白居易〈長恨歌〉：「上窮碧落下黃泉，兩處茫茫皆不見。」
2.並、同。通「偕」。《儀禮．聘禮》：「大夫奉束帛入，三揖皆行，至于階。」</t>
  </si>
  <si>
    <t>偕</t>
  </si>
  <si>
    <t>(一)ㄒㄧㄝˊ xié（06938）</t>
  </si>
  <si>
    <t>湝</t>
  </si>
  <si>
    <t>參見「湝湝」條。</t>
  </si>
  <si>
    <t>喈</t>
  </si>
  <si>
    <t>[擬]
參見「喈喈」條。
[形]
急速。《詩經．邶風．北風》：「北風其喈，雨雪其霏。」</t>
  </si>
  <si>
    <t>階</t>
  </si>
  <si>
    <t>[名]
1.用磚、石等砌成的梯形建築物。如：「臺階」、「石階」。唐．杜甫〈蜀相〉詩：「映階碧草自春色，隔葉黃鸝空好音。」唐．白居易〈長恨歌〉：「西宮南苑多秋草，落葉滿階紅不掃。」
2.比喻能藉以得到更高名位的事物。如：「進身之階」。
3.等級。如：「官階」、「軍階」。明．余繼登《典故紀聞》卷四：「凡及兩考，而事蹟顯著者，皆得加授階。」
4.途徑、緣由、憑借。《易經．繫辭上》：「亂之所生也，則言語以為階。」《抱朴子．外篇．尚博》：「近弭禍亂之階，遠垂長世之祉。」</t>
  </si>
  <si>
    <t>蝔</t>
  </si>
  <si>
    <t>[名]
傳說中一種能預知天雨的蟲。《廣韻．平聲．皆韻》：「蝔，蟲名。《淮南子》曰：『蝔知雨至。』蝔蟲大如筆管，長三寸，代謂之猥狗。知天雨，則於草木下藏其身。」</t>
  </si>
  <si>
    <t>痎</t>
  </si>
  <si>
    <t>[名]
古書上稱兩天發作一次的瘧疾。亦泛指瘧疾。《說文解字．疒部》：「痎，二日一發瘧也。」唐．元稹〈痁臥聞幕中諸公徵樂會飲因有戲呈三十韻〉：「畢竟圖斟酌，先須遣癘痎。」</t>
  </si>
  <si>
    <t>接</t>
  </si>
  <si>
    <t>[動]
1.交合、相觸。如：「交頭接耳」、「短兵相接」、「四目相接」。《孟子．梁惠王上》：「填然鼓之兵刃既接，棄甲曳兵而走。」
2.交際、招待。如：「迎接」、「接待」。《孟子．萬章下》：「其交也以道，其接也以禮。」《史記．卷八四．屈原賈生傳》：「出則接遇賓客，應對諸侯。」
3.收、受。如：「接納」、「接電話」、「接到來信」。
4.承受、托住。如：「接招」、「接住他投來的球。」《三國演義》第一七回：「遂自下馬接土填坑。」
5.連續、連接。如：「接續」、「接骨」、「接枝」、「接電線」、「上氣不接下氣」。
6.替換使延續。如：「接替」、「接班」、「接棒」、「接力賽」。
[名]
姓。如漢代有接昕。</t>
  </si>
  <si>
    <t>椄</t>
  </si>
  <si>
    <t>[動]
嫁接花木果樹。《說文解字．木部》：「椄，續木也。」清．段玉裁．注：「今栽華植果者，以彼枝移椄此樹，而華果同彼樹矣。椄之言接也，今接行而椄廢。」</t>
  </si>
  <si>
    <t>秸</t>
  </si>
  <si>
    <t>[名]
禾粒打脫以後的禾莖。如：「麥秸」、「豆秸」。</t>
  </si>
  <si>
    <t>結</t>
  </si>
  <si>
    <t>參見「結實」(二)、「結結巴巴」、「結結實實」等條。</t>
  </si>
  <si>
    <t>(一)ㄐㄧㄝˊ jié（05557）</t>
  </si>
  <si>
    <t>揭</t>
  </si>
  <si>
    <t>[動]
1.舉、高舉。如：「高揭義旗」、「揭竿而起」。《戰國策．齊策四》：「於是乘其車，揭其劍，過其友曰：『孟嘗君客我。』」
2.公開表露出來。如：「揭露」、「揭短」、「揭底」、「揭曉」。
3.掀開、拉開。如：「揭幕」、「揭鍋蓋」。唐．韓偓〈復偶見三絕〉之三：「半身映竹輕聞語，一手揭簾微轉頭。」
4.把黏在物體上面的東西撕下。如：「揭膏藥」、「揭瘡巴」、「揭下壁報」。
5.肩負。《莊子．胠篋》：「然而巨盜至，則負匱揭篋擔囊而趨。」唐．杜光庭《虯髯客傳》：「乃紫衣戴帽人，杖揭一囊。」
[名]
姓。如唐代有揭鎮，清代有揭暄。</t>
  </si>
  <si>
    <t>(二)ㄑㄧˋ qì（06312）</t>
  </si>
  <si>
    <t>街</t>
  </si>
  <si>
    <t>[名]_x000D_
1.城鎮中兩旁有商店，且較為熱鬧的道路。也泛指一般馬路。如：「街道」、「逛街」、「掃街車」、「大街小巷」。宋．蘇軾〈奏浙西災傷第一狀〉：「巡門俵米，攔街散粥，終不能救。」元．秦𥳑夫《東堂老》第三折：「今日呵便擔著孛籃，拽著衣服，不害羞當街裡叫將過去。」_x000D_
2.某種行業集中的商業區。如：「電影街」、「家具街」、「小吃街」。</t>
  </si>
  <si>
    <t>嗟</t>
  </si>
  <si>
    <t>[歎]_x000D_
1.表示感傷、哀痛的語氣。唐．韓愈〈祭田橫墓文〉：「死者不復生，嗟余去此其從誰！」唐．張籍〈西州〉詩：「嗟我五陵間，農者罷耘耕。」_x000D_
2.表示讚美的語氣。《史記．卷五七．絳侯周勃世家》：「嗟乎！此真將軍矣！」_x000D_
3.招呼聲。《書經．費誓》：「公曰：『嗟！人無譁，聽命。』」《禮記．檀弓》：「黔敖左奉食，右執飲，曰：『嗟！來食。』」_x000D_
[助]_x000D_
發語詞，無義。漢．張衡〈西京賦〉：「群窈窕之華麗，嗟內顧之所觀。」</t>
  </si>
  <si>
    <t>(二)（(一)之又音）ㄐㄩㄝ juē（06068）(三)ㄐㄧㄝˋ jiè（05613）</t>
  </si>
  <si>
    <t>薢</t>
  </si>
  <si>
    <t>(一)ㄒㄧㄝˋ xiè（06971）</t>
  </si>
  <si>
    <t>謯</t>
  </si>
  <si>
    <t>[形]
愚笨。民國．章太炎《新方言．釋言》：「《說文》：『謯，娽也。』案：娽，訓隨從，引伸有鈍遲義。謯亦此義。今廣信謂愚為謯，蘇州亦爾。」</t>
  </si>
  <si>
    <t>癤</t>
  </si>
  <si>
    <t>(一)ㄐㄧㄝˊ jié（05581）</t>
  </si>
  <si>
    <t>卩</t>
  </si>
  <si>
    <t>ㄐㄧㄝˊ</t>
  </si>
  <si>
    <t>jié</t>
  </si>
  <si>
    <t>[名]
1.古代一種代表身分與權力的信物。《玉篇．卩部》：「卩，瑞信也。」
2.二一四部首之一。</t>
  </si>
  <si>
    <t>孑</t>
  </si>
  <si>
    <t>[形]
單獨的。《文選．陸機．辯亡論》：「蓬籠之戰，孑輪不反。」
[副]
孤獨的。如：「孑然一身」。《晉書．卷八八．李密傳》：「煢煢孑立，形影相弔。」
[動]
遺留、剩餘。《詩經．大雅．雲漢》：「周餘黎民，靡有孑遺。」
[名]
姓。如明代有孑金。</t>
  </si>
  <si>
    <t>劫</t>
  </si>
  <si>
    <t>[動]_x000D_
1.用威嚇的手段脅迫。《史記．卷八六．刺客列傳．荊軻》：「誠得劫秦王，使悉反諸侯侵地。」宋．蘇洵〈六國論〉：「悲夫！有如此之勢，而為秦人積威之所劫。」_x000D_
2.強取、搶奪。如：「打劫」、「搶劫」、「打家劫舍」。南朝宋．劉義慶《世說新語．自新》：「陸機赴假還洛，輜重甚盛，淵使少年掠劫。」_x000D_
[名]_x000D_
1.梵語音譯「劫波」（kalpa）的略稱。一個極為長久的時間單位。佛教以世界經歷若干萬年即毀滅一次，再重新開始為「一劫」。如：「大劫」、「小劫」、「賢劫」。_x000D_
2.災難、災禍。如：「浩劫」、「劫難」、「劫後餘生」。《聊齋志異．卷一．嬌娜》：「今有雷霆之劫。」_x000D_
3.圍棋上指從屬未定，可互相牽制的棋眼。《儒林外史》第五三回：「這一盤鄒泰來卻殺死四五塊，陳木南正在暗歡喜，又被他生出一個劫來，打個不清。」</t>
  </si>
  <si>
    <t>劼</t>
  </si>
  <si>
    <t>[動]
1.慎重、謹慎。《說文解字．力部》：「劼，慎也。」
2.穩固。《爾雅．釋詁》：「劼，固也。」
3.努力、勤勉。《廣雅．釋詁》：「劼，勤也。」</t>
  </si>
  <si>
    <t>拮</t>
  </si>
  <si>
    <t>參見「拮据」條。</t>
  </si>
  <si>
    <t>桔</t>
  </si>
  <si>
    <t>參見「桔梗」、「桔槔」等條。</t>
  </si>
  <si>
    <t>(二)ㄐㄩˊ jú（06005）</t>
  </si>
  <si>
    <t>袺</t>
  </si>
  <si>
    <t>[動]
把衣襟向上提起，用以兜攬東西。《詩經．周南．芣苢》：「采采芣苢，薄言袺之。」</t>
  </si>
  <si>
    <t>蛣</t>
  </si>
  <si>
    <t>參見「蛣蜣」條。</t>
  </si>
  <si>
    <t>[動]
1.用繩或線相鉤連。如：「結網」、「結繩」。
2.締交、聯合。如：「結婚」、「結識」、「締結」、「集會結社」、「義結金蘭」。
3.構成、形成。如：「結冤」、「結仇」。
4.建構、建造。如：「結廬」。唐．顧況〈閒居自述〉詩：「有山堪結屋，無地可容塵。」
5.凝聚。如：「結冰」、「凝結」、「凍結」。
6.植物長出果實。如：「結實纍纍」、「樹上結了許多果子。」
7.終了、收束。如：「結案」、「了結」、「結帳」。
[名]
1.繩、線或帶子所結成的紐。如：「領結」、「死結」、「蝴蝶結」。
2.憂傷思緒糾纏難解之處。如：「鬱結」、「心有千千結」。唐．韋莊〈應天長．別來半歲音書絕〉詞：「別來半歲音書絕，一寸離腸千萬結。」
3.表示保證或負責的文件、字據。如：「具結」、「保結」。</t>
  </si>
  <si>
    <t>(二)ㄐㄧㄝ jiē（05542）</t>
  </si>
  <si>
    <t>詰</t>
  </si>
  <si>
    <t>[動]
1.詢問、責問。如：「反詰」、「盤詰」、「詰詢」。《左傳．僖公十五年》：「卜徒父筮之，吉：『涉河，侯車敗。』詰之，對曰：『乃大吉也。三敗，必獲晉君。』」唐．韓愈〈進學解〉：「是所謂詰匠氏之不以杙為楹。」
2.追究、查辦。《淮南子．時則》：「牛馬畜獸有放失者，取之不詰。」唐．聶夷中〈公子行〉二首之一：「走馬踏殺人，街吏不敢詰。」
[形]
1.明日的、次日的。如：「詰旦」。《左傳．僖公二十八年》：「戒爾車乘，敬爾君事，詰朝將見。」
2.屈曲不直。《文選．曹操．苦寒行》：「羊腸坂詰屈，車輪為之摧。」</t>
  </si>
  <si>
    <t>頡</t>
  </si>
  <si>
    <t>[動]
減扣、掠除。《新唐書．卷一三五．高仙芝傳》：「我退，罪也，死不敢辭；然以我為盜頡資糧，誣也。」</t>
  </si>
  <si>
    <t>(一)ㄒㄧㄝˊ xié（06933）</t>
  </si>
  <si>
    <t>鮚</t>
  </si>
  <si>
    <t>[名]
一種腹中有小蟹寄居的蚌。《說文解字．魚部》：「鮚，蚌也。」清．段玉裁．注：「《地理志》：『會稽鄞縣有鮚埼亭。』師古曰：『鮚，蚌也。長一寸，廣二分，有一小蟹在其腹中。埼，曲岸也，其中多鮚，故以名亭。』」</t>
  </si>
  <si>
    <t>擷</t>
  </si>
  <si>
    <t>[動]
1.把衣服的下襬提起，以兜圍東西。同「襭」。《說文解字．衣部》：「襭，以衣衽扱物謂之襭。襭或從手。」
2.摘取。《廣韻．入聲．屑韻》：「擷，捋取。」唐．王維〈相思〉詩：「願君多采擷，此物最相思。」</t>
  </si>
  <si>
    <t>(二)（又音）ㄒㄧㄝˊ xié（06934）</t>
  </si>
  <si>
    <t>杰</t>
  </si>
  <si>
    <t>同「傑」。</t>
  </si>
  <si>
    <t>訐</t>
  </si>
  <si>
    <t>[動]
揭發、攻擊別人的隱私、缺點。如：「攻訐」、「訐人之短」。《論語．陽貨》：「惡不孫以為勇者，惡訐以為直者。」</t>
  </si>
  <si>
    <t>衱</t>
  </si>
  <si>
    <t>[名]
衣服的後襟。《爾雅．釋器》：「衱謂之裾。」晉．郭璞．注：「衣後襟也。」</t>
  </si>
  <si>
    <t>倢</t>
  </si>
  <si>
    <t>[形]
靈活、敏捷。漢．揚雄．《方言》卷一：「虔，儇、慧也。……宋楚之間謂之倢。」宋．蘇舜欽〈送李冀州詩〉：「眼如堅冰面珂月，氣勁倢鶻橫清秋。」
[名]
參見「倢伃」條。</t>
  </si>
  <si>
    <t>捷</t>
  </si>
  <si>
    <t>[動]
戰勝、勝利。如：「連戰皆捷」。《漢書．卷五五．衛青傳》：「大將軍青躬率戎士，師大捷，獲匈奴王十有餘人。」《聊齋志異．卷一．葉生》：「公子又捷南宮，授部中主政。」
[形]
快速。如：「迅捷」、「敏捷」、「捷足先登」。《文選．曹植．七啟》：「才捷若神，形難為象。」
[名]
戰利品。《左傳．莊公三十一年》：「六月，齊侯來獻戎捷。」唐．岑參〈走馬川行奉送出師西征〉詩：「料知短兵不敢接，車師西門佇獻捷。」</t>
  </si>
  <si>
    <t>啑</t>
  </si>
  <si>
    <t>參見「啑血」條。</t>
  </si>
  <si>
    <t>(一)ㄕㄚˋ shà（08806）</t>
  </si>
  <si>
    <t>婕</t>
  </si>
  <si>
    <t>參見「婕妤」條。</t>
  </si>
  <si>
    <t>睫</t>
  </si>
  <si>
    <t>[名]
長在上下眼瞼邊緣的細毛。如：「迫在眉睫」、「目不交睫」。唐．杜牧〈登池州九峰樓寄張祜〉詩：「睫在眼前長不見，道非身外更何求。」也稱為「睫毛」。</t>
  </si>
  <si>
    <t>箑</t>
  </si>
  <si>
    <t>(一)ㄕㄚˋ shà（08808）</t>
  </si>
  <si>
    <t>踕</t>
  </si>
  <si>
    <t>[副]
快速行走的樣子。《玉篇．足部》：「踕，足疾也。」</t>
  </si>
  <si>
    <t>桀</t>
  </si>
  <si>
    <t>[名]
1.雞棲息的小木樁。《詩經．王風．君子于役》：「雞棲于桀，日之夕矣。」
2.才能俊異特出的人。通「傑」。《呂氏春秋．仲春紀．功名》：「人主賢則豪桀歸之。」南朝宋．劉義慶《世說新語．賞譽》：「會稽孔沈、魏顗、虞球、虞存、謝奉，並是四族之俊，于時之桀。」
3.人名。夏朝最末的君王，非常凶狠殘暴。參見「夏桀」條。
4.姓。如春秋時楚國有桀溺。
[形]
凶暴。《韓非子．亡徵》：「官吏弱而人民桀，如此則國躁。」《清史稿．卷四九三．忠義傳七．孫家泰傳》：「而鳳臺苗沛霖所部，尤橫桀不可制。」
[動]
擔荷、負舉。《左傳．成公二年》：「齊高固入晉師，桀石以投人。」晉．杜預．注：「桀，擔也。」</t>
  </si>
  <si>
    <t>傑</t>
  </si>
  <si>
    <t>[名]
才智優異、特出的人。如：「豪傑」、「人傑」。《孟子．公孫丑上》：「尊賢使能，俊傑在位，則天下之士皆悅。」
[形]
1.優異、特出。如：「傑士」、「傑作」。南朝梁．劉勰《文心雕龍．章表》：「左雄奏議，臺閣為式；胡廣章奏，天下第一：並當時之傑筆也。」宋．陸游〈夜讀岑嘉州詩集〉詩：「零落財百篇，崔嵬多傑句。」
2.高大突出。唐．韓愈〈記夢〉詩：「隆樓傑閣磊嵬高，天風飄飄吹我過。」</t>
  </si>
  <si>
    <t>榤</t>
  </si>
  <si>
    <t>[名]
雞棲息的小木樁。同「桀」。《爾雅．釋宮》：「雞棲於弋為榤，鑿垣而棲為塒。」</t>
  </si>
  <si>
    <t>(一)ㄐㄧㄚˊ jiá（05500）</t>
  </si>
  <si>
    <t>[名]
楖人：古代製造木器的工人。《周禮．冬官考工記》：「刮摩之工五，……，刮摩之工，玉、楖、雕、矢、磬。」</t>
  </si>
  <si>
    <t>(二)ㄐㄧˊ jí（05362）</t>
  </si>
  <si>
    <t>(一)ㄐㄧˊ jí（05363）</t>
  </si>
  <si>
    <t>節</t>
  </si>
  <si>
    <t>[名]
1.植物枝幹分段的地方。如：「松節」、「竹節」。唐．杜甫〈建都十二韻〉：「風斷青蒲節，霜埋翠竹根。」也稱為「節子」。
2.動物骨骼相連接的部分。如：「關節」、「骨節」。《韓非子．解老》：「人之身三百六十節，四肢，九竅，其大具也。」
3.段落、單位。如：「章節」、「單音節」、「把這四小節再重唱一次。」
4.人的志氣、操守。如：「志節」、「貞節」。《左傳．成公十五年》：「聖達節，次守節，下失節。」
5.事情的經過情形。如：「情節」、「細節」。
6.時令的區分。如：「季節」。《史記．卷一三〇．太史公自序》：「夫陰陽四時、八位、十二度、二十四節各有教令。」
7.有特殊意義，值得慶賀或紀念的日子。如：「春節」、「青年節」、「雙十節」。唐．王維〈九月九日憶山東兄弟〉詩：「獨在異鄉為異客，每逢佳節倍思親。」
8.禮儀。如：「禮節」、「繁文縟節」。《論語．微子》：「長幼之節，不可廢也。」
9.古代使者所執的信物，用以證明身分。通「卩」。如：「符節」。《周禮．地官．掌節》：「掌節，掌守邦節而辨其用，以輔王命。守邦國者用玉節，守都鄙者用角節。」
10.音樂的拍子，以示緩急程度。如：「節奏」、「節拍」。《楚辭．屈原．九歌．東皇太一》：「揚枹兮拊鼓，疏緩節兮安歌。」
11.《易經》卦名。六十四卦之一。兌（☱）下坎（☵）上。《易經．節卦．象曰》：「澤上有水，節。」唐．孔穎達．正義：「水在澤中，乃得其節。」
12.量詞：(1)計算時間分段的單位。如：「今天上了三節課。」(2)計算車廂數目的單位。如：「這列火車有十二節車廂。」(3)計算文章或樂曲段落的單位。如：「本文共分三章節。」、「這首曲子一共有三十六節。」
13.姓。如明代有節鐸。
[動]
1.限制、控制、約束。如：「節育」、「節制資本」。《易經．未濟卦．象曰》：「飲酒濡首，亦不知節也。」
2.儉省。如：「節衣縮食」、「開源節流」。《論語．學而》：「節用而愛人，使民以詩。」</t>
  </si>
  <si>
    <t>瀄</t>
  </si>
  <si>
    <t>[形]
瀄汨：水流動的樣子。《集韻．入聲．櫛韻》：「瀄，瀄汨，水流貌。」《文選．枚乘．七發》：「瀄汨潺湲，披揚流灑。」</t>
  </si>
  <si>
    <t>櫛</t>
  </si>
  <si>
    <t>[名]
梳子、篦子的總稱。《說文解字．木部》：「櫛，梳比之總名也。」如：「巾櫛」。《詩經．周頌．良耜》：「其崇如墉，其比如櫛。」
[動]
1.梳理。如：「櫛髮」。《莊子．庚桑楚》：「簡髮而櫛，數米而炊。」宋．陸游〈時雨〉詩：「衰髮短不櫛，愛此一雨涼。」
2.剔除。唐．韓愈〈試大理評事王君墓誌銘〉：「櫛垢爬痒，民獲蘇醒。」</t>
  </si>
  <si>
    <t>[名]
病名。是化膿菌侵入毛囊及周圍組織引起的急性化膿性炎症，病灶是疼痛的半球形紅色結節，好發於頭、面、頸、臀等部位。其後病灶的中央部位化膿壞死，終於潰破或吸收。</t>
  </si>
  <si>
    <t>(二)（又音）ㄐㄧㄝ jiē（05548）</t>
  </si>
  <si>
    <t>[形]
1.疾馳。《廣雅．釋詁》：「偈，疾也。」《詩經．檜風．匪風》：「匪風發兮，匪車偈兮。」《文選．宋玉．高唐賦》：「偈兮若駕駟馬，建羽旗。」
2.勇武。《廣韻．入聲．薛韻》：「偈，武也。」漢．揚雄《太玄經．卷六．䦯》：「輔其折，廅其缺，其人暉且偈。」</t>
  </si>
  <si>
    <t>(二)ㄐㄧˋ jì（05444）</t>
  </si>
  <si>
    <t>[形]
乾涸、枯竭。《廣韻．入聲．薛韻》：「渴，水盡也。」</t>
  </si>
  <si>
    <t>(一)ㄎㄜˇ kě（04440）(三)ㄏㄜˊ hé（04736）</t>
  </si>
  <si>
    <t>楬</t>
  </si>
  <si>
    <t>[名]
標識事物的小木樁。《周禮．秋官．蜡氏》：「有死於道路者，則令埋而置楬焉。」</t>
  </si>
  <si>
    <t>(二)ㄑㄧㄚˋ qià（06326）</t>
  </si>
  <si>
    <t>竭</t>
  </si>
  <si>
    <t>[動]
1.負載。《禮記．禮運》：「五行之動，迭相竭也。」《文選．木華．海賦》：「擘洪波，指太清，竭磐石，栖百靈。」
2.枯竭、乾涸。《詩經．大雅．召旻》：「池之竭矣，不云自頻。」《國語．周語上》：「昔伊、洛竭而夏亡，河竭而商亡。」
3.盡、窮盡。如：「盡心竭力」、「取之不竭，用之不盡。」。《左傳．莊公十年》：「一鼓作氣，再而衰，三而竭。」《楚辭．屈原．卜居》：「竭知盡忠，而蔽鄣於讒。」</t>
  </si>
  <si>
    <t>碣</t>
  </si>
  <si>
    <t>[名]
刻有文字的圓形石碑，用以記載事蹟或頌揚功德等。如：「墓碣」、「斷碑殘碣」。《紅樓夢》第一〇三回：「但見廟內神像，金身脫落，殿宇歪斜，旁有斷碣，字蹟模糊。」
[形]
特立、突出。《漢書．卷八七．揚雄傳上》：「外則正南極海，邪界虞淵，鴻濛沆茫，碣以崇山。」</t>
  </si>
  <si>
    <t>羯</t>
  </si>
  <si>
    <t>[名]
1.被閹割過的羊。漢．蔡琰〈胡笳十八拍〉：「羯羶為味兮，枉遏我情。」
2.中國古代西北的民族之一。為匈奴的別支。魏晉時約分布於今大陸地區山西潞城附近各縣。也稱為「羯胡」。</t>
  </si>
  <si>
    <t>[名]
古代交叉式的衣領。形制未甚明白，但近世出土的戰國時期銅、木雕像及俑像中，有不少衣領作交叉而方折向下的形制，或即為「袷」。《禮記．曲禮下》：「天子視，不上於袷，不下於帶。」《禮記．深衣》：「袂圜以應規，曲袷如矩以應方。」漢．鄭玄．注：「袷，交領也，古者方領如今小兒衣領。」</t>
  </si>
  <si>
    <t>(一)ㄐㄧㄚˊ jiá（05509）</t>
  </si>
  <si>
    <t>絜</t>
  </si>
  <si>
    <t>[動]
1.使清淨、乾淨。同「潔」。如：「自絜」。《詩經．小雅．楚茨》：「絜爾牛羊，以往烝嘗。」《國語．越語上》：「絜其居，美其服。」
2.整飾、修飾。《文選．李康．運命論》：「故遂絜其衣服，矜其車徒。」
[形]
清明、清廉。《莊子．徐无鬼》：「其為人絜廉善士也。」《文選．張衡．東京賦》：「聘丘園之耿絜，旅束帛之戔戔。」</t>
  </si>
  <si>
    <t>(二)ㄒㄧㄝˊ xié（06942）</t>
  </si>
  <si>
    <t>潔</t>
  </si>
  <si>
    <t>[形]
1.乾淨、明亮。如：「清潔」、「整潔」、「皎潔」。唐．王勃〈上劉右相書〉：「是知源潔則流清，形端則影直。」
2.清廉、端正。《管子．明法解》：「如此，則慤愿之人失其職，而廉潔之吏失其治。」
[動]
1.使乾淨。《新唐書．卷九八．王珪傳》：「至潔濁揚清，疾惡好善，臣於數子有一日之長。」
2.修養、修治。如：「潔身自愛」。唐．孟郊〈送超上人歸天台〉詩：「何以潔其性？濾泉去泥沙。」</t>
  </si>
  <si>
    <t>楶</t>
  </si>
  <si>
    <t>[名]
柱上支持橫梁的方木。《文選．班彪．王命論》：「楶梲之材，不荷棟梁之任。」</t>
  </si>
  <si>
    <t>截</t>
  </si>
  <si>
    <t>[動]
1.割斷。如：「截斷」、「截肢」。南朝宋．劉義慶《世說新語．方正》：「今猶俎上腐肉，任人膾截耳。」唐．元稹〈酬樂天書懷見寄〉詩：「中有酬我詩，句句截我腸。」
2.阻攔、阻擋。如：「攔截」。《後漢書．卷八七．西羌傳．東號子麻奴傳》：「以萬騎之眾，逐數千之虜，追尾掩截，其道自窮。」
[名]
量詞。計算分成數段的物品的單位。相當於「段」。如：「一截甘蔗」、「斷成數截」。
[副]
分明、顯然。如：「截然不同」。</t>
  </si>
  <si>
    <t>姐</t>
  </si>
  <si>
    <t>ㄐㄧㄝˇ</t>
  </si>
  <si>
    <t>jiě</t>
  </si>
  <si>
    <t>[名]
稱謂：(1)用以稱比自己先出生的同胞女子。通「姊」。如：「大姐」。(2)用以稱同輩而比自己年長的女子。通「姊」。如：「表姐」、「楊姐」。(3)對女性的通稱。如：「小姐」。</t>
  </si>
  <si>
    <t>姊</t>
  </si>
  <si>
    <t>[名]
稱謂：(1)用以稱比自己先出生的同胞女子。如：「大姊」、「二姊」。南朝梁．無名氏〈木蘭詩〉二首之一：「小弟聞姊來，磨刀霍霍向豬羊。」俗稱為「姊姊」。(2)用以稱同輩而比自己年長的女子。如：「表姊」、「堂姊」、「學姊」、「師姊」。</t>
  </si>
  <si>
    <t>(一)（讀音）ㄗˇ zǐ（09408）</t>
  </si>
  <si>
    <t>解</t>
  </si>
  <si>
    <t>[動]
1.分割、剖分。如：「解剖」。《左傳．宣公四年》：「宰夫將解黿。」《莊子．養生主》：「庖丁為文惠君解牛。」
2.分裂、分散。如：「瓦解」、「溶解」、「難分難解」。
3.打開、鬆開、鬆脫。如：「解扣子」、「解開繩子」、「寬衣解帶」。
4.免除、消除。如：「解圍」、「解悶」、「解救」、「解渴」、「調解」。《戰國策．趙策三》：「所貴於天下之士者，為人排患、釋難、解紛亂而無所取也。」
5.陳述、說明。如：「講解」、「解釋」、「辯解」。
6.曉悟、明白、清楚。如：「理解」、「了解」、「費解」、「大惑不解」。
7.排出汗水或大小便。如：「小解」。漢．王充《論衡．寒溫》：「人中於寒，飲藥行解。」《警世通言．卷二一．趙太祖千里送京娘》：「於路只推腹痛難忍，幾遍要解。」
8.會、能夠。晉．陶淵明〈九日閑居〉詩：「酒能祛百慮，菊解制頹齡。」唐．李白〈月下獨酌〉詩四首之一：「月既不解飲，影徒隨我身。」
[名]
1.文體名。古代文體之一，旨在辯論解說。晉．張華《博物志．卷六．文籍考》：「賢者著述曰傳、曰記、曰章句、曰解、曰論、曰讀。」《新唐書．卷一七六．韓愈傳》：「乃作進學解以自諭。」
2.答案。如：「不得其解」。
3.見識、看法。如：「獨到的見解」。</t>
  </si>
  <si>
    <t>(二)ㄐㄧㄝˋ jiè（05614）(三)ㄒㄧㄝˋ xiè（06965）</t>
  </si>
  <si>
    <t>檞</t>
  </si>
  <si>
    <t>[名]
一種松樠之類的樹木。《玉篇．木部》：「檞，松樠也。」</t>
  </si>
  <si>
    <t>介</t>
  </si>
  <si>
    <t>ㄐㄧㄝˋ</t>
  </si>
  <si>
    <t>jiè</t>
  </si>
  <si>
    <t>[動]
1.居於兩者之間。如：「這座山介於兩縣之間。」
2.居間牽引傳達。如：「介紹」、「仲介」。《文選．李康．運命論》：「其所以相親也，不介而自親。」
3.相助、佐助。《詩經．豳風．七月》：「為此春酒，以介眉壽。」《宋史．卷一三二．樂志七》：「嚴配皇靈，億神來介。」
4.繫留、懸掛。如：「介意」。《漢書．卷八一．匡衡傳》：「情欲之感無介乎容儀。」唐．顏師古．注：「介，繫也。言不以情欲繫心，而著於容儀者。」
5.仗恃、憑藉。《左傳．文公六年》：「介人之寵，非勇也。」
[形]
1.堅毅。如：「耿介」。《聊齋志異．卷一．王成》：「王雖故貧，然性介，遽出授之。」
2.如此、這樣。如：「煞有介事」。
[名]
1.界限、本分。同「界」。如：「人各有介」。
2.比喻微小的東西。通「芥」。如：「一介不取」。《孟子．萬章上》：「一介不以與人，一介不以取諸人。」
3.參見「介冑」條。
4.量詞。計算人或銅錢的單位。相當於「個」。如：「一介書生」、「一介平民」。《儒林外史》第一回：「上覆縣主老爺，說王冕乃一介農夫，不敢求見。」
5.身上有甲殼的水產動物。《淮南子．墬形》：「介鱗者，夏食而冬蟄。」漢．高誘．注：「介，甲。龜鱉之屬也。」
6.姓。如春秋時晉國有介之推。</t>
  </si>
  <si>
    <t>价</t>
  </si>
  <si>
    <t>[形]_x000D_
善。《說文解字．人部》：「价，善也。」《詩經．大雅．板》：「价人維藩，大師維垣。」_x000D_
[動]_x000D_
介紹。《廣韻．去聲．怪韻》：「价，佋价也。」_x000D_
[名]_x000D_
舊稱僕役為「价」。如：「小价」、「貴价」。《宋史．卷二五八．列傳．曹彬》：「鄰道守將走价馳書來詣。」</t>
  </si>
  <si>
    <t>(二)ㄐㄧㄚˋ jià（▲05531）(三)˙ㄍㄚ ga（▲03919）</t>
  </si>
  <si>
    <t>(一)ㄍㄚˋ gà（03918）</t>
  </si>
  <si>
    <t>玠</t>
  </si>
  <si>
    <t>[名]
大圭。《說文解字．人部》：「玠，大圭也。」《爾雅．釋器》：「珪大尺二寸謂之玠。」</t>
  </si>
  <si>
    <t>芥</t>
  </si>
  <si>
    <t>[名]
1.植物名。十字花科蕓薹屬，「芥菜」之簡稱，參見「芥菜」條。
2.小草。《左傳．哀公元年》：「其亡也，以民為土芥。」《莊子．逍遙遊》：「覆杯水於坳堂之上，則芥為之舟。」
[形]
細小的、微賤的。如：「草芥」、「纖芥」。</t>
  </si>
  <si>
    <t>疥</t>
  </si>
  <si>
    <t>參見「疥瘡」條。</t>
  </si>
  <si>
    <t>界</t>
  </si>
  <si>
    <t>[名]
1.不同事物的分界。如：「地界」、「邊界」、「疆界」、「國界」、「以河為界」。《後漢書．卷六〇上．馬融傳》：「奢儉之中，以禮為界。」
2.按職業、工作、性別或其他事物所劃分的特定範圍。如：「眼界」、「政界」、「教育界」、「婦女界」。
3.生物學分類系統中最大的等級。如：「動物界」、「植物界」。
[動]
1.區隔、劃分。《文選．孫綽．遊天台山賦》：「赤城霞起以建標，瀑布飛流以界道。」
2.離間。《漢書．卷八七．揚雄傳下》：「（范雎）界涇陽抵穰侯而代之，當也。」顏師古注引蘇林曰：「界，間其兄弟使疏。」
3.接鄰、毗連。如：「花蓮縣北界宜蘭縣。」《文選．班固．西都賦》：「右界褒斜、隴首之險，帶以洪河涇渭之川。」</t>
  </si>
  <si>
    <t>蚧</t>
  </si>
  <si>
    <t>參見「蛤蚧」條。</t>
  </si>
  <si>
    <t>戒</t>
  </si>
  <si>
    <t>[動]
1.防備。《說文解字．廾部》：「戒，警也。」如：「戒備」。《荀子．儒效》：「家富而愈儉，勝敵而愈戒。」
2.謹慎、慎重。如：「戒慎」。《孟子．滕文公下》：「往之女家，必敬必戒，無違夫子。」
3.警告、勸導。如：「勸戒」。《紅樓夢》第二八回：「便有一二分錯處，你倒是或教導我，戒我下次，或罵我兩句，打我兩下，我都不灰心。」
4.告訴、告知。《儀禮．士冠禮》：「主人戒賓。」宋．黃庭堅〈送王郎〉詩：「連床夜語雞戒曉。」
5.革除。如：「戒酒」、「戒賭」、「戒菸」、「戒毒」。
[名]
1.宗教上約束禁止某些行為的規條，或泛指禁止做的事。如：「十戒」、「破戒」、「戒律」。《西遊記》第八回：「菩薩方與他摩頂受戒。」
2.文體名。內容用以警戒自己或別人。南朝梁．蕭統〈文選序〉：「次則箴興於補闕，戒出於弼匡。」
3.配戴於手指上的環狀飾品。如：「鑽戒」、「金戒」、「銀戒」。</t>
  </si>
  <si>
    <t>械</t>
  </si>
  <si>
    <t>(一)ㄒㄧㄝˋ xiè（06962）</t>
  </si>
  <si>
    <t>誡</t>
  </si>
  <si>
    <t>[動]
1.警告、規勸。如：「告誡」、「規誡」。《史記．卷三三．魯周公世家》：「周公藏其策金縢匱中，誡守者勿敢言。」《北史．卷十三．后妃傳上．魏神元皇后竇氏傳》：「賓臨終，誡其二子速侯、回題，令善事帝。」
2.戒備。通「戒」。《左傳．桓公十一年》：「鄖人軍其郊，必不誡，且曰虞四邑之至也。」《漢書．卷四八．賈誼傳》：「前車覆，後車誡。」
[名]
1.訓令、告示。《荀子．彊國》：「發誡布令而敵退，是主威也。」
2.格言、教條。如：「女誡」、「摩西十誡」。《後漢書．卷七六．循吏傳．秦彭傳》：「乃為人設四誡，以定六親長幼之禮。」</t>
  </si>
  <si>
    <t>屆</t>
  </si>
  <si>
    <t>[動]
至、到。如：「屆時」、「屆期」。《書經．大禹謨》：「惟德動天，無遠弗屆。」
[名]
量詞：(1)計算定期舉行的會議或活動的單位。如：「本屆代表大會」、「第五屆運動會」。(2)計算具有某種身分或擔任某種職務期間的單位。如：「他是本校第七屆傑出校友。」</t>
  </si>
  <si>
    <t>借</t>
  </si>
  <si>
    <t>[動]
1.暫時向人告貸財物。如：「有借有還，再借不難。」《左傳．定公九年》：「盡借邑人之車。」北齊．顏之推《顏氏家訓．治家》：「借人典籍，皆須愛護。」
2.把財物暫時給他人使用。如：「這支筆借你用一下。」《論語．衛靈公》：「有馬者借人乘之。」
3.讚許。《隋書．卷二五．刑法志》：「武帝敦睦九族，優借朝士。」《文選．鄒陽．獄中上書自明》：「慈仁殷勤，誠嘉於心，此不可以虛辭借也。」
4.假託、利用。如：「借刀殺人」、「借題發揮」。
5.幫助。《漢書．卷六七．朱雲傳》：「少時通輕俠，借客報仇。」
6.倚靠、憑藉。如：「借重」、「借助」。
[副]
假使、假設。唐．元稹〈遣病〉詩：「借如今日死，亦足了一生；借使到百年，不知何所成？」</t>
  </si>
  <si>
    <t>[動]
嘆息。《韓非子．守道》：「人臣垂拱於金城之內，而無扼腕聚脣嗟唶之禍。」《後漢書．卷一．光武帝紀下》：「唶曰：『氣佳哉！鬱鬱蔥蔥然！』」</t>
  </si>
  <si>
    <t>(二)ㄐㄧˊ jí（05378）(三)ㄗㄜˋ zè（09471）</t>
  </si>
  <si>
    <t>[動]
借助。通「藉」。《玉篇．耒部》：「耤，借也。」《漢書．卷九二．郭解傳》：「以軀耤友報仇。」</t>
  </si>
  <si>
    <t>(一)ㄐㄧˊ jí（05379）</t>
  </si>
  <si>
    <t>[名]
鋪墊物。《說文解字．艸部》：「藉，祭藉也。」《易經．大過卦．初六》：「藉用白茅。」《禮記．曲禮下》：「執玉，其有藉者則裼，無藉者則襲。」
[動]
1.鋪墊。宋．蘇軾〈卜算子．蜀客到江南〉詞：「還與去年人，共藉西湖草。」清．汪中〈先母鄒孺人靈表〉：「攜中及妹，儽然丐於親故，率日不得一食，歸則藉稿於地。」
2.依賴。如：「憑藉」、「依藉」、「慰藉」。《文選．李斯．上書秦始皇》：「此所謂藉寇兵而齎盜糧者也。」
3.假借。如：「藉口」、「藉故」。《商君書．開塞》：「藉刑以除刑。」</t>
  </si>
  <si>
    <t>(二)ㄐㄧˊ jí（05381）</t>
  </si>
  <si>
    <t>參見「咄嗟」條。</t>
  </si>
  <si>
    <t>(一)ㄐㄧㄝ jiē（05545）(二)（(一)之又音）ㄐㄩㄝ juē（06068）</t>
  </si>
  <si>
    <t>[名]
1.參見「解元」條。
2.官署、官吏辦公的地方。《商君書．墾令》：「又高其解舍，令有甬官食󺡨。」《文選．左思．吳都賦》：「屯營櫛比，解署棋布。」
[動]
1.押送、發遣。如：「押解罪犯」、「蘇三起解」。《京本通俗小說．碾玉觀音》：「當下喝賜錢酒賞犒捉事人，解這崔寧到臨安府，一一從頭供說。」
2.典當、抵押。《醒世恆言．卷三一．鄭節使立功神臂弓》：「你贖典，還是解錢？」《初刻拍案驚奇》卷一三：「往典鋪中解了幾十兩銀子。」
3.租用、租借。《清平山堂話本．楊溫攔路虎傳》：「楊三官人同那妻子和當直去客店，解一房歇泊。」《警世通言．卷三七．萬秀娘仇報山亭兒》：「當日天色晚，見一所客店，姊妹兩人解了房，討些飯喫了。」</t>
  </si>
  <si>
    <t>(一)ㄐㄧㄝˇ jiě（05595）(三)ㄒㄧㄝˋ xiè（06965）</t>
  </si>
  <si>
    <t>廨</t>
  </si>
  <si>
    <t>(一)ㄒㄧㄝˋ xiè（06967）</t>
  </si>
  <si>
    <t>犗</t>
  </si>
  <si>
    <t>[名]_x000D_
閹割去勢的牛。《說文解字．牛部》：「犗，騬牛也。」《莊子．外物》：「任公子為大鉤巨緇，五十犗以為餌。」_x000D_
[動]_x000D_
閹割。唐．釋玄應《一切經音義．卷一三．餓鬼報應經》：「犗，騬牛也，以刀去陰也。」</t>
  </si>
  <si>
    <t>褯</t>
  </si>
  <si>
    <t>[名]
包裹嬰兒的衣被。《廣韻．去聲．禡韻》：「褯，小兒席。」也作「裓」。</t>
  </si>
  <si>
    <t>交</t>
  </si>
  <si>
    <t>ㄐㄧㄠ</t>
  </si>
  <si>
    <t>jiāo</t>
  </si>
  <si>
    <t>[動]_x000D_
1.足脛相交。《說文解字．交部》：「交，交脛也。」_x000D_
2.縱橫錯雜。《孟子．滕文公上》：「獸蹄鳥跡之道，交於中國。」_x000D_
3.相接、接觸。《楚辭．屈原．九歌．國殤》：「矢交墜兮士爭先。」晉．孔坦〈與石聰書〉：「鋒鏑一交，玉石同碎。」_x000D_
4.來往、往來相好。如：「交際」、「結交」。《論語．學而》：「與朋友交，而不信乎？」_x000D_
5.動物雌雄或人類發生性關係。如：「交配」、「性交」。《禮記．月令》：「旦不鳴，虎始交。」《聊齋志異．卷一．賈兒》：「婦獨居，夢與人交。」_x000D_
6.授與、付給。如：「交付」、「交代」、「這件事交給他辦。」_x000D_
7.使得、使令。通「教」。唐．羅隱〈銅雀臺〉詩：「祗合當年伴君死，免交憔悴望西陵。」元．關漢卿《單刀會》第二折：「我聽那先生說了這一會，交我也怕上來了。」_x000D_
[名]_x000D_
1.相會的時候或地方。如：「春夏之交」、「湘鄂之交」。《左傳．僖公五年》：「其九月、十月之交乎？」_x000D_
2.朋友、友誼。如：「至交」、「刎頸之交」。《史記．卷八一．廉頗藺相如傳》：「臣以為布衣之交尚不相欺，況大國乎？」_x000D_
3.買賣。如：「今天成交多少數量？」_x000D_
4.筋斗、跟頭。同「跤」。如：「跌交」、「摔了一交」。_x000D_
5.姓。如周代有交父彝。_x000D_
[副]_x000D_
1.雜合、一齊。如：「水乳交融」、「雷電交作」、「風雨交加」、「飢寒交迫」。_x000D_
2.互相、彼此。如：「交談」、「交戰」、「交流」。《國語．越語下》：「君臣上下交得其志，蠡不如種也。」</t>
  </si>
  <si>
    <t>郊</t>
  </si>
  <si>
    <t>[名]
1.城市周圍的地區。如：「市郊」、「荒郊野外」。《禮記．曲禮上》：「四郊多壘。」唐．杜甫〈野望〉詩：「跨馬出郊時極目，不堪人事日蕭條。」
2.古代祭祀天地的典禮。《禮記．郊特牲》：「郊之祭也，迎長日之至也。」
3.地名。春秋時晉國的屬地。約在今大陸地區山西省虞鄉縣境。</t>
  </si>
  <si>
    <t>咬</t>
  </si>
  <si>
    <t>參見「咬咬」條。</t>
  </si>
  <si>
    <t>(一)ㄧㄠˇ yǎo（10840）</t>
  </si>
  <si>
    <t>姣</t>
  </si>
  <si>
    <t>(一)ㄐㄧㄠˇ jiǎo（05651）</t>
  </si>
  <si>
    <t>茭</t>
  </si>
  <si>
    <t>[名]
1.餵食家畜的乾草。《說文解字．艸部》：「茭，乾芻。」《書經．費誓》：「魯人三郊三遂，峙乃芻茭，無敢不多，汝則有大刑。」
2.參見「茭白」條。</t>
  </si>
  <si>
    <t>蛟</t>
  </si>
  <si>
    <t>[名]
傳說中能發洪水，像龍一類的動物。漢．王充《論衡．龍虛》：「蛟則龍之類也，蛟龍見而雲雨至，雲雨至則雷電擊。」也稱為「蛟龍」。</t>
  </si>
  <si>
    <t>跤</t>
  </si>
  <si>
    <t>[名]
筋斗、跟頭。如：「摔跤」、「他跌了一跤。」《喻世明言．卷二六．沈小官一鳥害七命》：「一跤倒在柳樹邊。」</t>
  </si>
  <si>
    <t>鵁</t>
  </si>
  <si>
    <t>參見「鵁鶄」條。</t>
  </si>
  <si>
    <t>鮫</t>
  </si>
  <si>
    <t>[名]
軟骨魚綱鮫目魚類的通稱。長達一二丈，產於熱帶海洋中，肉食性。卵胎生。游速極快。其鰭為普通供食用的魚翅。俗稱為「鯊魚」。</t>
  </si>
  <si>
    <t>艽</t>
  </si>
  <si>
    <t>參見「秦艽」條。</t>
  </si>
  <si>
    <t>(一)ㄑㄧㄡˊ qiú（06414）</t>
  </si>
  <si>
    <t>教</t>
  </si>
  <si>
    <t>[動]
傳授。如：「教唱」。《左傳．襄公三十一年》：「教其不知，而恤其不足。」唐．柳宗元〈六逆論〉：「教於後世，莫知其所以去就。」</t>
  </si>
  <si>
    <t>(一)ㄐㄧㄠˋ jiào（05675）</t>
  </si>
  <si>
    <t>椒</t>
  </si>
  <si>
    <t>[名]
1.參見「秦椒」、「番椒」等條。
2.山頂。《漢書．卷九十七．外戚傳上．孝武李夫人傳》：「釋輿馬於山椒兮，奄修夜之不陽。」南朝宋．謝莊〈月賦〉：「菊散芳於山椒，雁流哀於江瀨。」
3.姓。如春秋時楚國有椒舉。</t>
  </si>
  <si>
    <t>喬</t>
  </si>
  <si>
    <t>[形]
傲慢放肆。通「驕」。如：「喬志」、「喬忿」。</t>
  </si>
  <si>
    <t>(一)ㄑㄧㄠˊ qiáo（06365）</t>
  </si>
  <si>
    <t>憍</t>
  </si>
  <si>
    <t>[形]
1.驕傲。《集韻．平聲．宵韻》：「憍，矜也。」《淮南子．道應》：「數戰則民罷，數勝則主憍。」
2.恣意、放縱。《廣韻．平聲．蕭韻》：「憍，恣也。」《後漢書．卷二六．蔡茂傳》：「外戚憍逸，賓客放濫。」</t>
  </si>
  <si>
    <t>(二)（又音）ㄑㄧㄠˊ qiáo（06367）</t>
  </si>
  <si>
    <t>嬌</t>
  </si>
  <si>
    <t>[名]
1.柔美可愛的姿態。如：「撒嬌」。南朝梁．王筠〈五日望採拾詩〉：「含嬌起斜盼，斂笑動微嚬。」
2.美女。南朝梁．費昶〈長門怨詩〉：「金屋貯嬌時，不言君不入。」
[形]
柔弱、柔美。如：「嬌妻」、「嬌小」。唐．白居易〈長恨歌〉：「侍兒扶起嬌無力，始是新承恩澤時。」
[動]
疼愛、寵愛。唐．杜甫〈北征〉詩：「平生所嬌兒，顏色白勝雪。」
[副]
過分寵愛。《紅樓夢》第一九回：「他雖沒這造化，倒也是嬌生慣養的呢！」</t>
  </si>
  <si>
    <t>驕</t>
  </si>
  <si>
    <t>[形]
1.馬高大健壯。《說文解字．馬部》：「驕，馬高六尺為驕。」唐．李白〈胡無人〉詩：「嚴風吹霜海草凋，筋幹精堅胡馬驕。」
2.高傲自滿。如：「驕傲」、「驕兵必敗」。《論語．泰伯》：「如有周公之才之美，使驕且吝，其餘不足觀也已。」《韓非子．解老》：「衣食美則驕心生。」
3.放縱、恣縱。《書經．畢命》：「驕淫矜侉，將由惡終。」《史記．卷八〇．樂毅傳》：「諸侯害齊湣王之驕暴，皆爭合從與燕伐齊。」
4.特別疼愛、寵愛的。通「嬌」。如：「天之驕子」。《孫子．地形》：「譬如驕子，不可用也。」《漢書．卷九九．王莽傳上》：「驕妾窺欲，姦臣萌亂。」
5.猛烈、強烈。唐．杜甫〈阻雨不得歸瀼西甘林〉詩：「三伏適已過，驕陽化為霖。」</t>
  </si>
  <si>
    <t>焦</t>
  </si>
  <si>
    <t>[形]
1.物體經過火燒後，變黃黑脆硬的樣子。如：「焦黑」、「焦土」、「焦饅頭」、「焦油條」。
2.乾燥、乾枯。唐．杜甫〈茅屋為秋風所破歌〉：「脣焦口燥呼不得，歸來倚仗自歎息。」
[動]
1.物體經火燒而致枯黑、脆硬。如：「燒焦」。《左傳．哀公二年》：「卜戰，龜焦。」
2.煩惱、著急。如：「焦慮」。三國魏．阮籍〈詠懷詩〉八二首之三三：「終身履薄冰，誰知我心焦？」《儒林外史》第二一回：「假如你焦他沒有房屋，何不替他娶上一個孫媳婦，一家一計過日子？」
[名]
1.國名。周代姬姓諸侯國，故址約在今大陸地區河南省陝縣南。
2.姓。如漢代有焦延壽。</t>
  </si>
  <si>
    <t>僬</t>
  </si>
  <si>
    <t>參見「僬僬」、「僬僥」等條。</t>
  </si>
  <si>
    <t>噍</t>
  </si>
  <si>
    <t>[形]
焦急、急促。《禮記．樂記》：「是故其哀心感者，其聲噍以殺。」</t>
  </si>
  <si>
    <t>(一)ㄐㄧㄠˋ jiào（05685）(三)ㄐㄧㄡ jiū（▲05699）</t>
  </si>
  <si>
    <t>嶕</t>
  </si>
  <si>
    <t>[形]
嶕嶢：山勢高峻。《玉篇．山部》：「嶕，嶕嶢，山高。」《漢書．卷八七．揚雄傳下》：「泰山之高不嶕嶢，則不能浡滃雲而散歊烝。」</t>
  </si>
  <si>
    <t>燋</t>
  </si>
  <si>
    <t>[名]
用來引火的火把。《儀禮．士喪禮》：「楚焞置于燋，在龜東。」漢．鄭玄．注：「燋，炬也，所以然火者也。」南朝梁．王筠〈詠蠟燭〉詩：「莢明不足貴，燋燼豈為疑。」
[動]
火燒、火傷。漢．王充《論衡．說日》：「火中無生物，生物入火中，燋爛而死焉。」</t>
  </si>
  <si>
    <t>蕉</t>
  </si>
  <si>
    <t>[名]
1.未經浸泡處理的生麻。《說文解字．艸部》：「蕉，生枲也。」清．段玉裁．注：「枲，麻也。生枲謂未漚治者。」
2.芭蕉的簡稱。參見「芭蕉」條。
3.香蕉的簡稱。參見「香蕉」條。</t>
  </si>
  <si>
    <t>(二)ㄑㄧㄠˊ qiáo（06376）</t>
  </si>
  <si>
    <t>礁</t>
  </si>
  <si>
    <t>[名]
1.在江河、海洋中，隱藏於水面下或浮現在水面上的岩石。如：「暗礁」、「礁石」。
2.珊瑚蟲遺骸堆積而成的岩狀物。如：「珊瑚礁」。</t>
  </si>
  <si>
    <t>蟭</t>
  </si>
  <si>
    <t>參見「蟭螟」條。</t>
  </si>
  <si>
    <t>鐎</t>
  </si>
  <si>
    <t>參見「鐎斗」條。</t>
  </si>
  <si>
    <t>鷦</t>
  </si>
  <si>
    <t>參見「鷦鷯」條。</t>
  </si>
  <si>
    <t>澆</t>
  </si>
  <si>
    <t>[動]
液體由上往下淋灌。如：「澆水」、「澆油」。唐．李賀〈浩歌〉：「買絲繡作平原君，有酒惟澆趙州土。」
[形]
輕浮的、淺薄的。唐．李白〈古風〉詩五九首之二五：「世道日交喪，澆風散淳源。」</t>
  </si>
  <si>
    <t>膠</t>
  </si>
  <si>
    <t>[名]
1.可用以黏合器物的稠狀液體。多由植物分泌或動物皮、角熬製而成，也有經由人工合成的。某些可供食用。如：「鹿膠」、「龜膠」、「果膠」、「桃膠」、「杏膠」、「髮膠」、「萬能膠」。
2.橡膠或塑膠的簡稱。
3.姓。如商朝有膠鬲。
[動]
黏合。如：「膠合」。《史記．卷八一．廉頗藺相如傳》：「王以名使括，若膠柱而鼓瑟耳。」
[形]
1.有黏性的。如：「膠布」、「膠紙」、「膠水」。
2.牢固。《詩經．小雅．隰桑》：「既見君子，德音孔膠。」《墨子．小取》：「所謂內膠外閉，與心毋空乎？內膠而不解也，此乃是而不然者也。」</t>
  </si>
  <si>
    <t>徼</t>
  </si>
  <si>
    <t>[動]
抄襲、竊取。《論語．陽貨》：「惡徼以為智者，惡不孫以為勇者。」</t>
  </si>
  <si>
    <t>(一)ㄐㄧㄠˋ jiào（05680）(三)ㄐㄧㄠˇ jiǎo（05667）(四)ㄧㄠ yāo（10801）</t>
  </si>
  <si>
    <t>嚼</t>
  </si>
  <si>
    <t>ㄐㄧㄠˊ</t>
  </si>
  <si>
    <t>jiáo</t>
  </si>
  <si>
    <t>[動]
1.(一)1.之語音。
2.絮絮不休的說話，有厭惡的意思。如：「整晚盡聽他一個人窮嚼，真無聊！」</t>
  </si>
  <si>
    <t>(一)ㄐㄩㄝˊ jué（06111）(三)ㄐㄧㄠˋ jiào（05688）</t>
  </si>
  <si>
    <t>ㄐㄧㄠˇ</t>
  </si>
  <si>
    <t>jiǎo</t>
  </si>
  <si>
    <t>[名]
1.獸類頭上或鼻前長出的硬質突狀物。如：「牛角」、「鹿角」。《易經．大壯卦．九三》：「羝羊觸藩，羸其角。」
2.幾何學上稱兩直線相交所夾成的空間。如：「直角」、「鈍角」、「對頂角」。
3.地理學上指陸地向海中突出的部分。如：「岬角」、「鼻頭角」、「好望角」。
4.量詞。計算錢幣的單位。十角等於一元。
5.角落，物體兩個邊沿相接的地方。如：「牆角」、「桌角」、「屋角」、「東北角」、「西南角」。
6.樂器名。初以動物的角製成，後改用竹、木、銅等材料，有曲形、竹筒等形狀，多用於軍隊中。唐．韋莊〈章臺夜思〉詩：「孤燈聞楚角，殘月下章臺。」
7.二一四部首之一。
[動]
競爭、較量。如：「角智」、「角勝」、「口角」。《聊齋志異．卷一．王成》：「每值上元，輒放民間把鶉者入邸相角。」</t>
  </si>
  <si>
    <t>(二)ㄐㄩㄝˊ jué（06085）(三)ㄌㄨˋ lù（03749）</t>
  </si>
  <si>
    <t>佼</t>
  </si>
  <si>
    <t>[形]
美好。通「姣」。《詩經．陳風．月出》：「佼人僚兮，舒窈糾兮。」漢．王充《論衡．骨相》：「陳平貧而飲食不足，貌體佼好。」
[名]
姓。如漢代有佼疆。</t>
  </si>
  <si>
    <t>狡</t>
  </si>
  <si>
    <t>[形]
1.奸詐。如：「狡獪」、「狡猾」。《金史．卷一六．宣宗本紀下》：「龐氏陰狡機慧，常以其子守純年長不得立，心鞅鞅。」清．洪昇《長生殿》第一〇齣：「見了這野心雜種牧羊的奴，料蜂目豺聲定是狡徒。」
2.殘暴、凶猛。《墨子．節用中》：「古者聖人為猛禽狡獸，暴人害民，於是教民以兵行。」《淮南子．覽冥》：「淫水涸，冀州平，狡蟲死，顓民生。」
3.貌美而無實才實德。如：「狡婦」。《詩經．鄭風．山有扶蘇》：「不見子充，乃見狡童。」
4.急速、急促。《晏子春秋．內篇．問下二十四》：「莊敬而不狡，和柔而不銓。」</t>
  </si>
  <si>
    <t>[形]
美好、美貌。《文選．宋玉．高唐賦》：「晢兮若姣姬揚袂，鄣日而望所思。」</t>
  </si>
  <si>
    <t>(二)（又音）ㄐㄧㄠ jiāo（05621）</t>
  </si>
  <si>
    <t>皎</t>
  </si>
  <si>
    <t>[形]
1.潔白明亮。如：「皎潔」。宋．周邦彥〈蝶戀花．月皎驚烏〉詞：「月皎驚烏栖不定，更漏將殘，轣轆牽金井。」《西遊記》第四八回：「眼如晚出明星皎，牙似重排鋸齒分。」
2.清楚、明白。漢．王逸〈離騷章句序〉：「其詞溫而雅，其義皎而朗。」
[名]
姓。如五代時南漢有皎公羨。</t>
  </si>
  <si>
    <t>筊</t>
  </si>
  <si>
    <t>[名]
用竹皮編成的繩索。《說文解字．竹部》：「筊，竹索也。」</t>
  </si>
  <si>
    <t>絞</t>
  </si>
  <si>
    <t>[名]
用繩索將人犯吊死或勒死的刑罰。《資治通鑑．卷一六九．陳紀三．文帝天嘉四年》：「五曰死刑，磬、絞、斬、梟、裂。」
[動]
1.將兩股或兩種以上的事物扭轉糾結在一起。如：「絞麻繩」、「絞鐵絲」。
2.扭擰、擠壓。如：「絞毛巾」、「絞盡腦汁」。《抱朴子．內篇．金丹》：「絞楮木赤實，取汁和而服之。」
[形]
急切、偏激。《論語．陽貨》：「好直不好學，其蔽也絞。」</t>
  </si>
  <si>
    <t>較</t>
  </si>
  <si>
    <t>(一)ㄐㄧㄠˋ jiào（05674）(三)ㄐㄩㄝˊ jué（06104）</t>
  </si>
  <si>
    <t>鉸</t>
  </si>
  <si>
    <t>[名]
1.剪刀。明．張自烈《正字通．金部》：「鉸，即今婦功縫人所用者，俗呼翦刀。」
2.工業上一種用鉸刀切削、修孔的精細加工方法。
[動]
用剪刀剪東西。元．白樸〈陽春曲．百忙裡鉸甚鞋兒樣〉曲：「百忙裡鉸甚鞋兒樣。」《紅樓夢》第四六回：「一面說著，一面左手打開頭髮，右手便鉸。」</t>
  </si>
  <si>
    <t>餃</t>
  </si>
  <si>
    <t>[名]
用薄麵皮包餡蒸煮而成的食品。如：「水餃」、「蒸餃」。</t>
  </si>
  <si>
    <t>湫</t>
  </si>
  <si>
    <t>參見「湫隘」條。</t>
  </si>
  <si>
    <t>腳</t>
  </si>
  <si>
    <t>[名]
1.人或動物的腿，支撐身體接觸地面的部分。如：「赤腳」、「跺腳」、「手腳靈活」。
2.物體的基部、下端。如：「牆腳」、「桌腳」、「山腳」。
3.參見「腳色」、「腳本」等條。
4.量詞。計算用腳踢、踹、踩等動作的單位。如：「連踢三腳」、「踹了兩腳」、「踩了一腳」。</t>
  </si>
  <si>
    <t>(二)（讀音）ㄐㄩㄝˊ jué（06084）</t>
  </si>
  <si>
    <t>剿</t>
  </si>
  <si>
    <t>[動]
滅絕、消滅。如：「剿匪」、「圍剿」、「清剿」。</t>
  </si>
  <si>
    <t>勦</t>
  </si>
  <si>
    <t>[動]
1.勞動、勞累。《說文解字．力部》：「勦，勞也。」《左傳．宣公十二年》：「無及於鄭而勦民，焉用之？」《文選．張衡．東京賦》：「勦民以媮樂，忘民怨之為仇。」
2.討伐、滅絕。通「剿」。如：「勦平」、「勦滅」。《書經．甘誓》：「有扈氏威侮五行，怠棄三正，天用勦絕其命。」</t>
  </si>
  <si>
    <t>(二)ㄔㄠ chāo（08296）</t>
  </si>
  <si>
    <t>僥</t>
  </si>
  <si>
    <t>參見「僥倖」、「僥競」等條。</t>
  </si>
  <si>
    <t>(二)ㄧㄠˊ yáo（10815）</t>
  </si>
  <si>
    <t>撟</t>
  </si>
  <si>
    <t>[動]
1.舉手。《說文解字．手部》：「撟，舉手也。」
2.高舉。《漢書．卷八七．揚雄傳上》：「仰撟首以高視兮，目冥眴而亡見。」
3.糾正、矯正。通「矯」。《漢書．卷十四．諸侯王表》：「而藩國大者夸州兼郡，連城數十，宮室百官同制京師，可謂撟枉過其正矣。」
4.假託、假造。如：「撟詔」、「撟令」。
[副]
剛強。《荀子．臣道》：「撟然剛折端志，而無傾側之心。」</t>
  </si>
  <si>
    <t>(二)ㄐㄧㄠˋ jiào（05682）</t>
  </si>
  <si>
    <t>矯</t>
  </si>
  <si>
    <t>[動]
1.把彎曲的物體弄成直的。《荀子．性惡》：「故枸木必將待檃栝烝矯然後直。」《漢書．卷六四．嚴安傳》：「今天下鍛甲摩劍，矯箭控弦。」
2.糾正、匡正。如：「痛矯前非」。《漢書．卷一〇．成帝紀》：「民彌惰怠，鄉本者少，趨末者眾，將何以矯之？」
3.高舉。通「撟」。《文選．陶淵明．歸去來辭》：「策扶老以流憩，時矯首而遐觀。」唐．王維〈山中與裴秀才迪書〉：「輕鯈出水，白鷗矯翼。」
4.詐稱、假託。如：「矯命」、「矯敕」。《史記．卷七．項羽本紀》：「矯陳王命，拜梁為楚王上柱國。」
5.違背、違逆。《韓非子．問辯》：「官府有法，民以私行矯之。」《淮南子．俶真》：「賢人之所以矯世俗者，聖人未嘗觀焉。」
[形]
強健。《禮記．中庸》：「君子和而不流，強哉矯。」
[名]
姓。如漢代有矯望。</t>
  </si>
  <si>
    <t>蹻</t>
  </si>
  <si>
    <t>參見「蹻蹻」、「蹻勇」等條。</t>
  </si>
  <si>
    <t>(一)ㄑㄧㄠ qiāo（06361）(三)ㄐㄩㄝˊ jué（06114）</t>
  </si>
  <si>
    <t>儌</t>
  </si>
  <si>
    <t>參見「儌倖」條。</t>
  </si>
  <si>
    <t>參見「徼幸」條。</t>
  </si>
  <si>
    <t>(一)ㄐㄧㄠˋ jiào（05680）(二)ㄐㄧㄠ jiāo（05646）(四)ㄧㄠ yāo（10801）</t>
  </si>
  <si>
    <t>皦</t>
  </si>
  <si>
    <t>[形]
1.玉石潔白的樣子。《玉篇．白部》：「皦，珠玉白貌。」
2.潔白、明亮。《詩經．王風．大車》：「謂予不信，有如皦日。」
[名]
姓。如明代有皦生光。</t>
  </si>
  <si>
    <t>繳</t>
  </si>
  <si>
    <t>[動]
1.交納、交出。如：「繳費」、「繳庫」、「繳械」、「繳作業簿」。
2.纏繞。唐．徐光溥〈題黃居寀秋山圖〉詩：「娑蘿掩映迷仙洞，薜荔纍垂繳古松。」明．李時珍《本草綱目．卷三八．器部．繳腳布》：「繳腳布。時珍曰：『即裹腳布也，古名行縢。』」
3.攪動、攪拌。通「攪」。宋．蘇軾〈蠍虎〉詩：「闇中繳尾伺飛蟲，巧捷功夫在腰膂。」《水滸傳》第二回：「王進卻不打下來，將棒一掣，卻望後生懷裡直搠將來。只一繳，那後生的棒丟在一邊，撲地望後倒了。」</t>
  </si>
  <si>
    <t>(二)ㄓㄨㄛˊ zhuó（08063）</t>
  </si>
  <si>
    <t>[動]
1.擾亂。如：「打攪」、「胡攪蠻纏」。清．黃侃〈西子妝．汀草綠齊〉詞：「追歡宴，卻恨東風，攪起花一片。」
2.用手或器具調勻物品。如：「把各種飼料放在一起攪勻。」
3.攙雜、混合。如：「這是兩件事，別攪在一起。」</t>
  </si>
  <si>
    <t>(二)ㄍㄠˇ gǎo（04004）</t>
  </si>
  <si>
    <t>叫</t>
  </si>
  <si>
    <t>ㄐㄧㄠˋ</t>
  </si>
  <si>
    <t>jiào</t>
  </si>
  <si>
    <t>[動]_x000D_
1.呼喊。如：「吼叫」、「鬼叫」、「拍手叫好」、「大呼小叫」。《詩經．小雅．北山》：「或不知叫號，或慘慘劬勞。」_x000D_
2.昆蟲鳥獸發聲。如：「蟬叫」、「雞叫」、「鳥叫」、「貓叫」。_x000D_
3.稱做、稱為。如：「你叫什麼名字？」「杜鵑鳥也叫子規。」《警世通言．卷一八．老門生三世報恩》：「這等看將起來，那八十歲上還是他初束髮，剛頂冠，做新郎，應童子試的時候，叫不得老年。」_x000D_
4.呼喚、召喚相關人員前來。如：「叫車」、「老師叫你。」、「叫他明天來！」_x000D_
5.依據菜單指定菜肴。如：「叫菜」。_x000D_
6.使、讓、令。如：「他天天咬耳朵傳話，真叫人討厭！」_x000D_
[介]_x000D_
表示被動，相當於「被」。如：「他的文章叫人批評得體無完膚。」</t>
  </si>
  <si>
    <t>珓</t>
  </si>
  <si>
    <t>[名]_x000D_
拜神祭祖時占卜吉凶的器具。如：「杯珓」、「聖珓」。《朱子語類．卷六五．易一．伏羲卦畫先天圖》：「伏羲當時畫卦，只如擲珓相似，無容心。《易》只是陰一陽一，其始一陰一陽而已。」</t>
  </si>
  <si>
    <t>校</t>
  </si>
  <si>
    <t>[動]
1.古代的刑具。枷械的統稱。《說文解字．木部》：「校，木囚也。」《資治通鑑．卷二六九．後梁紀四．均王乾化三年》：「庚辰，晉王發幽州，劉仁恭父子皆荷校於露布之下。」
2.較量、計較。如：「校力」、「校量」。唐．韓愈〈和侯協律詠筍〉詩：「短長終不校，先後竟誰論。」
3.訂正、考訂。如：「校稿」、「校覈」。《國語．魯語下》：「昔正考父校商之名頌十二篇於周太師。」
4.考核、考究。《荀子．君道》：「知慮取舍，稽之以成，日月積久，校之以功。」
5.計算。《漢書．卷二四．食貨志上》：「京師之錢累百鉅萬，貫朽而不可校。」</t>
  </si>
  <si>
    <t>(一)ㄒㄧㄠˋ xiào（07033）</t>
  </si>
  <si>
    <t>[動]
事物相比評。如：「較量」、「斤斤計較」、「長短相較」。
[副]
1.略、稍。如：「較高」、「較好」、「較多」。
2.顯明。《漢書．卷八五．谷永傳》：「元年正月，白氣較然起乎東方。」
[名]
1.概略、大概。宋．錢公輔〈義田記〉：「屏而家居俟代者與焉，仕而居官者罷其給，此其大較也。」
2.姓。如清代有較無恭。</t>
  </si>
  <si>
    <t>(二)（(一)之又音）ㄐㄧㄠˇ jiǎo（05655）(三)ㄐㄩㄝˊ jué（06104）</t>
  </si>
  <si>
    <t>[動]
1.訓誨、誘導。如：「教導」、「教誨」。《孟子．離婁上》：「古者易子而教之。」
2.使、讓。唐．金昌緒〈春怨〉詩：「打起黃鶯兒，莫教枝上啼。」宋．周邦彥〈玉樓春．當時攜手〉詞：「帳裡不教春夢到。」
[名]
1.禮儀、規矩。《孟子．滕文公上》：「飽食暖衣，逸居而無教，則近於禽獸。」《禮記．王制》：「脩其教，不易其俗。」
2.宗教的簡稱。如：「佛教」、「基督教」。
3.姓。如明代有教輔直。</t>
  </si>
  <si>
    <t>(二)ㄐㄧㄠ jiāo（05628）</t>
  </si>
  <si>
    <t>酵</t>
  </si>
  <si>
    <t>(一)ㄒㄧㄠˋ xiào（07029）</t>
  </si>
  <si>
    <t>窖</t>
  </si>
  <si>
    <t>[名]
貯藏物品的地下室、地洞。如：「地窖」。《禮記．月令》：「穿竇窖，脩囷倉。」
[動]
收藏、埋藏。《史記．卷一二九．貨殖傳》：「秦之敗也，豪傑皆爭取金玉，而任氏獨窖倉粟。」宋．蘇軾〈樓觀〉詩：「丹砂久窖井水赤，白樹誰燒廚灶香？」</t>
  </si>
  <si>
    <t>敫</t>
  </si>
  <si>
    <t>[形]
光線閃耀的樣子。《說文解字．放部》：「敫，光景流貌。」</t>
  </si>
  <si>
    <t>噭</t>
  </si>
  <si>
    <t>[動]
鳴叫、呼號。《文選．司馬相如．長門賦》：「白鶴噭以哀號兮，孤雌跱於枯楊。」唐．杜甫〈義鶻〉詩：「噭哮來九天，修鱗脫遠枝。」
[副]
哭泣的樣子。《公羊傳．昭公二十五年》：「昭公於是噭然而哭，諸大夫皆哭。」</t>
  </si>
  <si>
    <t>[動]
巡察。如：「徼循」。《荀子．富國》：「其候徼支繚，其竟關之政盡察。」《文選．陸倕．新刻漏銘序》：「揆景測辰，徼宮戒井。」
[名]
1.邊界、邊塞。《史記．卷一一七．司馬相如傳》：「南至牂柯為徼。」
2.小路。《漢書．卷一〇〇．敘傳上》：「據徼乘邪，以求一日之富貴。」唐．李賀〈春歸昌谷〉詩：「花蔓閡行輈，縠煙暝深徼。」</t>
  </si>
  <si>
    <t>(二)ㄐㄧㄠ jiāo（05646）(三)ㄐㄧㄠˇ jiǎo（05667）(四)ㄧㄠ yāo（10801）</t>
  </si>
  <si>
    <t>斠</t>
  </si>
  <si>
    <t>[動]
1.古代量穀物時，用器具畫除過滿的載量，使穀物與斗斛平齊。《說文解字．斗部》：「斠，平斗斛量也。」如：「斠斛」。
2.校訂、校正。如：「斠訂」、「斠補」。</t>
  </si>
  <si>
    <t>[動]_x000D_
取。《淮南子．要略》：「乃始攬物引類，覽取撟掇。」漢．高誘．注：「撟，取也。」</t>
  </si>
  <si>
    <t>(一)ㄐㄧㄠˇ jiǎo（05663）</t>
  </si>
  <si>
    <t>嶠</t>
  </si>
  <si>
    <t>[名]
高而尖的山。唐．張說〈遊洞庭湖〉詩：「平湖曉望分，仙嶠氣氛氳。」《西遊記》第四九回：「鼻準高隆如嶠聳。」</t>
  </si>
  <si>
    <t>轎</t>
  </si>
  <si>
    <t>[名]
一種用若干人在前後抬著的交通工具。如：「上花轎」。《水滸傳》第二三回：「武松下了轎，扛著大蟲，都到廳前，放在甬道上。」也稱為「轎子」、「車輿」。</t>
  </si>
  <si>
    <t>[動]
用牙齒啃咬、咀嚼。如：「噍食」、「噍咀」。漢．王充《論衡．道虛》：「口齒以噍食，孔竅以注瀉。」</t>
  </si>
  <si>
    <t>(二)ㄐㄧㄠ jiāo（05636）(三)ㄐㄧㄡ jiū（▲05699）</t>
  </si>
  <si>
    <t>醮</t>
  </si>
  <si>
    <t>[名]
1.古代婚禮、冠禮中的一種儀節。《晉書．卷二一．禮志下》：「古者婚、冠皆有醮。」
2.僧道設壇祈神求福的過程。如：「建醮」。《紅樓夢》第二八回：「叫在清虛觀初一到初三打三天平安醮。」
[動]
1.祭祀。《文選．宋玉．高唐賦》：「醮諸神，禮太一。」
2.已婚婦女再嫁。《隋書．卷六十六．李諤傳》：「五品以上妻妾不得改醮。」《聊齋志異．卷六．馬介甫》：「既殯，弟陞慲兒，矢不嫁。婦唾罵不與食，醮去之。遺孤兒，朝夕受鞭楚。」</t>
  </si>
  <si>
    <t>灂</t>
  </si>
  <si>
    <t>[名]
塗在車轅上的漆。《集韻．去聲．笑韻》：「灂，車轅漆也。」《周禮．冬官考工記．輈人》：「良輈環灂，自伏兔不至軌。」</t>
  </si>
  <si>
    <t>(一)ㄓㄨㄛˊ zhuó（08064）</t>
  </si>
  <si>
    <t>[動]
牛、駱駝等動物的反芻。如：「反嚼」、「回嚼」。</t>
  </si>
  <si>
    <t>(一)ㄐㄩㄝˊ jué（06111）(二)ㄐㄧㄠˊ jiáo（05647）</t>
  </si>
  <si>
    <t>皭</t>
  </si>
  <si>
    <t>[副]
潔白乾淨。《史記．卷八四．屈原賈生傳》：「不獲世之滋垢，皭然泥而不滓者也。」</t>
  </si>
  <si>
    <t>釂</t>
  </si>
  <si>
    <t>[動]
把酒喝完。即乾杯。《禮記．曲禮上》：「長者舉未釂，少者不敢飲。」《聊齋志異．卷一．勞山道士》：「競飲先釂，惟恐樽盡。」</t>
  </si>
  <si>
    <t>覺</t>
  </si>
  <si>
    <t>[名]
1.睡眠。如：「睡午覺」、「睡大覺」。
2.量詞。計算入睡次數的單位。如：「睡了一覺」。</t>
  </si>
  <si>
    <t>(一)ㄐㄩㄝˊ jué（06123）</t>
  </si>
  <si>
    <t>丩</t>
  </si>
  <si>
    <t>ㄐㄧㄡ</t>
  </si>
  <si>
    <t>jiū</t>
  </si>
  <si>
    <t>[動]
互相糾結纏繞。《說文解字．丩部》：「丩，相糾繚也。」</t>
  </si>
  <si>
    <t>朻</t>
  </si>
  <si>
    <t>[形]
樹木向下彎曲的樣子。《爾雅．釋木》：「下句曰朻，上句曰喬。」</t>
  </si>
  <si>
    <t>糾</t>
  </si>
  <si>
    <t>[動]
1.纏繞。如：「這團毛線糾在一起了。」《文選．淮南小山．招隱士》：「樹輪相糾兮，林木茷骫。」
2.集聚、集結。《左傳．僖公二十四年》：「召穆公思周德之不類，故糾合宗族于成周而作詩。」《後漢書．卷七〇．荀彧傳》：「若紹收離糾散，乘虛以出，則公之事去矣。」
3.督察。如：「糾察」。《周禮．天官．大宰》：「五曰刑典，以詰邦國，以刑百官，以糾萬民。」
4.檢舉、告發。如：「糾舉」、「糾劾」。《隋書．卷二五．刑法志》：「詔有能糾告者，沒賊家產業，以賞糾人。」
5.矯正、改錯。如：「糾正」。《左傳．昭公二十年》：「政寬則民慢，慢則糾之以猛。」</t>
  </si>
  <si>
    <t>(二)（又音）ㄐㄧㄡˇ jiǔ（05710）</t>
  </si>
  <si>
    <t>赳</t>
  </si>
  <si>
    <t>參見「赳赳」條。</t>
  </si>
  <si>
    <t>(二)（又音）ㄐㄧㄡˇ jiǔ（05711）</t>
  </si>
  <si>
    <t>究</t>
  </si>
  <si>
    <t>(一)ㄐㄧㄡˋ jiù（05718）</t>
  </si>
  <si>
    <t>鳩</t>
  </si>
  <si>
    <t>[名]
鴿形目鳩鴿科部分鳥類的通稱。其狀似鴿，頭小胸凸，灰色有斑紋，尾短翼長。
[動]
1.聚集。如：「鳩合」、「鳩集」。《左傳．隱公八年》：「君釋三國之圖，以鳩其民。」
2.安定。《國語．晉語九》：「庶曰可以鑑而鳩趙宗乎？」三國吳．韋昭．注：「鳩，安也。」</t>
  </si>
  <si>
    <t>揪</t>
  </si>
  <si>
    <t>[動]
扭扯、抓住。如：「揪耳朵」、「揪住不放」。《水滸傳》第五二回：「（李逵）早把殷天錫揪下馬來，一拳打番。」《西遊記》第三一回：「卻說那獃子被一窩猴子捉住了，扛抬扯拉，把一件直裰子揪破。」</t>
  </si>
  <si>
    <t>啾</t>
  </si>
  <si>
    <t>[擬]
1.形容幼兒所發出的聲音。《說文解字．口部》：「啾，小兒聲。」
2.形容蟲鳥或鈴鐸等細碎嘈雜的聲音。如：「啁啾」。《楚辭．屈原．離騷》：「揚雲霓之晻藹兮，鳴玉鸞之啾啾。」</t>
  </si>
  <si>
    <t>揫</t>
  </si>
  <si>
    <t>[名]
束。《西遊記》第五五回：「左右列幾個彩衣繡服、丫髻兩揫的女童。」
[動]
收攏、聚集。漢．馬融〈廣成頌〉：「揫斂九藪之動物，繯橐四野之飛征。」</t>
  </si>
  <si>
    <t>摎</t>
  </si>
  <si>
    <t>[動]
1.絞殺。《說文解字．手部》：「摎，縛殺也。」清．段玉裁．注：「縛殺者，以束縛殺之也。……凡以繩帛等物殺人者曰縛殺。」
2.糾結、纏繞。唐．韓愈〈別知賦〉：「山磝磝其相軋，樹蓊蓊其相摎。」
3.尋求。通「求」。《後漢書．卷五九．張衡傳》：「黃靈詹而訪命兮，摎天道其焉如。」
[名]
姓。如漢代有摎廣德。</t>
  </si>
  <si>
    <t>樛</t>
  </si>
  <si>
    <t>[形]
向下彎曲的。《詩經．周南．樛木》：「南有樛木，葛藟纍之。」漢．毛亨．傳：「木下曲曰樛。」
[動]
糾結、纏繞。《儀禮．喪服》：「故殤之絰不樛垂，蓋未成人也。」漢．鄭玄．注：「不樛垂者，不絞其帶之垂者。」也作「摎」。</t>
  </si>
  <si>
    <t>轇</t>
  </si>
  <si>
    <t>蝤</t>
  </si>
  <si>
    <t>參見「蝤蛑」條。</t>
  </si>
  <si>
    <t>(一)ㄑㄧㄡˊ qiú（06434）</t>
  </si>
  <si>
    <t>鬮</t>
  </si>
  <si>
    <t>[名]
用來抓取以決勝負的器具或抽取以卜可否的紙條。如：「抓鬮」、「拈鬮」。唐．李商隱〈擬意〉詩：「楚妃交薦枕，漢后共藏鬮。」也稱為「鬮兒」。</t>
  </si>
  <si>
    <t>九</t>
  </si>
  <si>
    <t>ㄐㄧㄡˇ</t>
  </si>
  <si>
    <t>jiǔ</t>
  </si>
  <si>
    <t>[名]
1.介於八與十之間的自然數。如：「七、八、九、十……。」大寫作「玖」。阿拉伯數字作「9」。
2.姓。如唐代有九嘉。
[形]
形容極多。如：「九霄雲外」、「九泉之下」、「九牛一毛」。
[副]
表示多數、多次。如：「九死一生」。《淮南子．脩務》：「公輸般設攻宋之械，墨子設守宋之備，九攻而墨子九卻之。」</t>
  </si>
  <si>
    <t>久</t>
  </si>
  <si>
    <t>[副]
時間長遠。如：「久違」、「久別重逢」、「久負盛名」。
[名]
經歷時間的長短。如：「他出去多久了？」
[形]
舊的。《孔子家語．卷五．顏回》：「不忘久德，不思久怨。」
[動]
留、滯留。《孟子．公孫丑上》：「可以久則久，可以速則速，孔子也。」漢．趙岐．注：「久，留也。」</t>
  </si>
  <si>
    <t>玖</t>
  </si>
  <si>
    <t>[名]
1.比玉稍差的黑色美石。《說文解字．玉部》：「玖，石之次玉黑色者。」如：「瓊玖」。《詩經．王風．丘中有麻》：「彼留之子，貽我佩玖。」
2.九的大寫。</t>
  </si>
  <si>
    <t>灸</t>
  </si>
  <si>
    <t>[名]
中醫上指點燃由艾葉等藥物製成的艾炷或艾卷，熏熱人體的體穴表面，以達治療目的的方法。如：「針灸」、「溫和灸」、「回旋灸」。
[動]
燒灼。《後漢書．卷一．光武帝紀下》：「癸亥，詔曰：『敢灸灼奴婢，論如律，免所灸灼者為庶。』」</t>
  </si>
  <si>
    <t>(一)ㄐㄧㄡ jiū（05694）</t>
  </si>
  <si>
    <t>(一)ㄐㄧㄡ jiū（05695）</t>
  </si>
  <si>
    <t>韭</t>
  </si>
  <si>
    <t xml:space="preserve">韭 </t>
  </si>
  <si>
    <t>[名]
1.植物名。石蒜科蔥屬，「韭菜」之簡稱，參見「韭菜」條。
2.二一四部首之一。</t>
  </si>
  <si>
    <t>酒</t>
  </si>
  <si>
    <t>[名]
用米、麥或水果等發酵釀製而成，內含酒精的刺激性飲料。如：「米酒」、「葡萄酒」。宋．陸游〈假中閉戶終日偶得絕句〉三首之三：「官身常欠讀書債，祿米不供沽酒資。」</t>
  </si>
  <si>
    <t>愀</t>
  </si>
  <si>
    <t>(一)ㄑㄧㄠˇ qiǎo（06383）</t>
  </si>
  <si>
    <t>臼</t>
  </si>
  <si>
    <t xml:space="preserve">臼 </t>
  </si>
  <si>
    <t>ㄐㄧㄡˋ</t>
  </si>
  <si>
    <t>jiù</t>
  </si>
  <si>
    <t>[名]
1.中間下凹的舂米器具。如：「石臼」、「磨臼」。漢．王充《論衡．量知》：「穀之始熟曰粟，舂之於臼，簸其粃糠。」
2.二一四部首之一。
[形]
形狀像臼的。如：「臼齒」。</t>
  </si>
  <si>
    <t>舅</t>
  </si>
  <si>
    <t>[名]
1.稱謂：(1)用以稱母親的兄弟。如：「舅舅」、「母舅」。《晉書．卷八五．何無忌傳》：「何無忌，劉牢之之甥，酷似其舅。」(2)用以稱妻子的兄弟。如：「妻舅」、「大舅爺」、「小舅子」。也稱為「舅子」。(3)古代婦女尊稱丈夫的父親。如：「舅姑」。《禮記．檀弓下》：「昔者，吾舅死於虎，吾夫又死焉。」漢．鄭玄．注：「夫之父曰舅。」
2.姓。如春秋時晉國有舅犯。</t>
  </si>
  <si>
    <t>舊</t>
  </si>
  <si>
    <t>[形]
不新的、古老的、從前的。如：「舊日」、「舊交」、「舊車」、「舊衣服」、「舊習慣」。《詩經．大雅．文王》：「周雖舊邦，其命維新。」唐．杜牧〈旅宿〉詩：「寒燈思舊事，斷雁警愁眠。」
[名]
交情、老朋友。如：「念舊」、「懷舊」、「親朋故舊」。《三國志．卷三八．蜀書．許靖傳》：「吳郡都尉許貢、會稽太守王朗素與靖有舊，故往保焉。」</t>
  </si>
  <si>
    <t>[動]
1.窮、盡。《說文解字．穴部》：「究，窮也。」《漢書．卷六二．司馬遷傳》：「六藝經傳以千萬數，累世不能通其學，當年不能究其禮。」
2.探尋、推求。如：「推究」、「研究」、「追根究底」。《晉書．卷三三．列傳．鄭沖》：「耽玩經史，遂博究儒術及百家之言。」
3.查詢、追問。如：「追究」、「既往不究」。唐．韓愈〈原毀〉：「舉其一，不計其十，究其舊，不圖其新。」
[副]
到底、終竟。如：「終究」、「究竟」。《鏡花緣》第一三回：「寒家在此雖住了三代，究係寄居，親友甚少。」</t>
  </si>
  <si>
    <t>(二)（又音）ㄐㄧㄡ jiū（05696）</t>
  </si>
  <si>
    <t>疚</t>
  </si>
  <si>
    <t>[名]
1.長久不癒的病痛。《集韻．去聲．宥韻》：「疚，久病也。」《韓非子．顯學》：「無饑饉疾疚禍罪之殃。」
2.貧窮。《詩經．大雅．召旻》：「維昔之富不如時，維今之疚不如茲。」
[動]
慚愧後悔。如：「內疚」、「愧疚」、「歉疚」。</t>
  </si>
  <si>
    <t>柩</t>
  </si>
  <si>
    <t>[名]
裝有屍體的棺材。如：「靈柩」、「棺柩」。《禮記．曲禮下》：「在床曰尸，在棺曰柩。」</t>
  </si>
  <si>
    <t>[名]
1.災禍。如：「咎由自取」。《書經．大禹謨》：「民棄不保，天降之咎。」
2.過失。如：「引咎辭職」、「難辭其咎」。《文選．諸葛亮．出師表》：「責攸之、褘、允等咎，以彰其慢。」
[動]
1.責罰、怪罪。如：「既往不咎」。《左傳．僖公二十三年》：「國人皆咎公。」
2.憎惡。《史記．卷三．殷本紀》：「紂之臣祖伊，聞之而咎周。」</t>
  </si>
  <si>
    <t>(二)ㄍㄠ gāo（03984）</t>
  </si>
  <si>
    <t>捄</t>
  </si>
  <si>
    <t>[動]
援助、拯救。通「救」。《新唐書．卷一七八．劉蕡傳》：「沈健于謀，浩然有捄世意。」</t>
  </si>
  <si>
    <t>救</t>
  </si>
  <si>
    <t>[動]
1.制止、阻止。如：「救火」。《管子．立政》：「山澤救於火，草木植成，國之富也。」
2.援助、使脫離困難或危急。如：「拯救」、「援救」、「營救」。《詩經．邶風．谷風》：「凡民有喪，匍匐救之。」
3.治療。如：「急救」、「無藥可救」。《呂氏春秋．孟夏紀．勸學》：「是救病而飲之以堇也。」</t>
  </si>
  <si>
    <t>就</t>
  </si>
  <si>
    <t>[動]
1.成功、完成。如：「造就人才」、「功成名就」。唐．魏徵〈述懷〉詩：「縱橫計不就，慷慨志猶存。」
2.從事。如：「就職」、「就業」。《水滸傳》第四一回：「科舉不第，棄文就武。」
3.趨近、靠近。如：「避重就輕」、「就近照顧」。《易經．乾卦．文言曰》：「水流濕，火就燥。」唐．孟浩然〈過故人莊〉詩：「待到重陽日，還來就菊花。」
4.因襲。如：「因陋就簡」。晉．張華〈王公上壽酒食舉樂歌詩表〉：「是以一皆因就，不敢有所改易。」
5.依順、依從。如：「遷就」、「半推半就」。《水滸傳》第二三回：「武松把半截棒丟在一邊，兩隻手就勢把大蟲頂花皮肐𦞂地揪住。」
[副]
1.即刻、馬上。表示事情或動作很快就要發生。如：「你等我一下，我去去就來。」、「一會兒就知道了。」
2.只、僅。如：「就剩下這一個了。」
3.表示肯定。如：「這就對了！」、「那就是他家。」
4.早已。如：「一個鐘頭前，我就來了。」
5.偏、偏偏。如：「我就不信我做不來。」
[代]
此、其。唐．白居易〈霓裳羽衣歌〉：「千歌百舞不可數，就中最愛霓裳舞。」
[介]
依照。如：「就事論事」、「就原來的規畫加以調整。」
[連]
1.表承接、選擇、讓步等關係之詞。如：「遇到紅燈，就得停下來。」、「一到家，就去休息了。」、「你不同意，那就算了。」
2.縱使、即使。如：「你就不說，我也知道。」《儒林外史》第二回：「若是不進學，就到八十歲，也還稱小友。」</t>
  </si>
  <si>
    <t>僦</t>
  </si>
  <si>
    <t>[動]
租賃。《聊齋志異．卷二．巧娘》：「君行後，老身攜兩女僦屋於貴邑。」</t>
  </si>
  <si>
    <t>鷲</t>
  </si>
  <si>
    <t>[名]
動物名。鷲形目鷲鷹科。翅膀寬大，胸部肌肉發達，飛行能力佳，具利爪、鉤喙及敏銳的雙眼。為肉食性猛禽。</t>
  </si>
  <si>
    <t>廄</t>
  </si>
  <si>
    <t>[名]
馬舍，養馬的地方。《詩經．小雅．鴛鴦》：「乘馬在廄，摧之秣之。」《史記．卷三三．魯周公世家》：「家無衣帛之妾，廄無食粟之馬。」</t>
  </si>
  <si>
    <t>幵</t>
  </si>
  <si>
    <t>ㄐㄧㄢ</t>
  </si>
  <si>
    <t>jiān</t>
  </si>
  <si>
    <t>[形]
平。《說文解字．幵部》：「幵，平也。」
[名]
1.漢代羌族的別支，舊居地約在今大陸地區甘肅省天水縣南。
2.姓。如宋代有幵度。</t>
  </si>
  <si>
    <t>奸</t>
  </si>
  <si>
    <t>[動]_x000D_
1.干犯、冒犯。《左傳．襄公十四年》：「君制其國，臣敢奸之。」唐．柳宗元〈湘源二妃廟碑〉：「敢或失職，以奸大刑。」_x000D_
2.求見、求取。《史記．卷三二．齊太公世家》：「呂尚蓋嘗窮困，年老矣，以漁釣奸周西伯。」《漢書．卷八一．匡張孔馬傳．孔光》：「以為章主之過，以奸忠直，人臣大罪也。」_x000D_
3.發生不正當的性行為。同「姦」。如：「奸汙」。《歡喜冤家》第一回：「我方纔這般大叫，都不在，所以被他奸了。」《老殘遊記》第七回：「也有做強盜的，也有奸淫人家婦女的，屢有所聞。」_x000D_
[形]_x000D_
陰險狡猾的。如：「奸計」、「奸商」、「奸雄」、「老奸巨滑」。漢．曹操〈讓縣自明本志令〉：「又劉表自以為宗室，包藏奸心，乍前乍卻，以觀世事，據有當州。」《新唐書．卷一五二．列傳．李絳》：「君子者，遇主知則進，疑則退，安其位不為它計，故常為奸人所乘。」_x000D_
[名]_x000D_
1.勾結敵人，出賣國家民族的人。如：「內奸」、「漢奸」。《漢書．卷八．宣帝紀》：「高材好學，然亦喜游俠，鬥雞走馬，具知閭里奸邪，吏治得失。」五代十國．李中〈獻喬侍郎〉詩：「除奸深繫念，致主迥忘身。」_x000D_
2.違法的事。如：「作奸犯科」。《金瓶梅詞話》第八六回：「金蓮，你休呆裡撒奸，兩頭白面，說長并道短！」《蕩寇志》第九回：「蔡京班師回朝，不日到了東京，面聖謝恩，同童貫朋比為奸，官家竟被他們瞞過。」_x000D_
3.不正當的性關係。同「姦」。《京本通俗小說．菩薩蠻》：「你這賤人，與個窮和尚通奸，他的度牒也被追了，卻那得錢來替你還府中？」</t>
  </si>
  <si>
    <t>豜</t>
  </si>
  <si>
    <t>[名]
大豬。《廣韻．平聲．先韻》：「豜，大豕也。」《詩經．豳風．七月》：「獻豜于公。」</t>
  </si>
  <si>
    <t>鈃</t>
  </si>
  <si>
    <t>[名]
人名用字。如戰國時有宋鈃。</t>
  </si>
  <si>
    <t>(一)ㄒㄧㄥˊ xíng（07238）</t>
  </si>
  <si>
    <t>尖</t>
  </si>
  <si>
    <t xml:space="preserve">小 </t>
  </si>
  <si>
    <t>[名]
1.物體銳利的末端或突出細削的部分。如：「筆尖」、「眉尖」、「刀尖」。
2.特殊優秀的人或物。如：「拔尖」。《紅樓夢》第一一〇回：「我們家裡姑娘們就算他是個尖兒，如今又要遠嫁。」
[形]
1.銳利、突出細小的。如：「尖刀」。唐．李白〈釣臺〉詩：「靄峰尖似筆，堪畫不堪書。」宋．楊萬里〈小池〉詩：「小荷纔露尖尖角，早有蜻蜓立上頭。」
2.特出優秀的。如：「頂尖人物」、「頂尖高手」。
3.靈敏、敏銳。如：「鼻子尖」、「眼睛很尖」。《紅樓夢》第六三回：「偏你這耳朵尖，聽的真！」
4.聲音頻率高而刺耳的。如：「聲音很尖」。唐．賈島〈客思〉詩：「促織聲尖尖似針，更深刺著旅人心。」
5.在前端或頂端的。如：「尖端科技」、「環保小尖兵」、「尖峰時段」。
[動]
專注精神看或聽。《儒林外史》第一〇回：「站在丹墀裡，尖著眼睛看戲。」</t>
  </si>
  <si>
    <t>戔</t>
  </si>
  <si>
    <t>參見「戔戔」條。</t>
  </si>
  <si>
    <t>淺</t>
  </si>
  <si>
    <t>參見「淺淺」條。</t>
  </si>
  <si>
    <t>(一)ㄑㄧㄢˇ qiǎn（06482）</t>
  </si>
  <si>
    <t>牋</t>
  </si>
  <si>
    <t>[名]
1.文體名。為上書奏記文章。同「箋」。南朝梁．劉勰《文心雕龍．書記》：「公府奏記，而郡將奏牋。……牋者，表也，表識其情也。」
2.書信、信札。同「箋」。漢．無名氏〈有鳥西南飛詩〉：「欲寄一言去，託之牋綵繒。」《晉書．卷一〇四．石勒載記上》：「遣張慮奉牋於劉琨。」</t>
  </si>
  <si>
    <t>箋</t>
  </si>
  <si>
    <t>[名]
1.經傳的注釋。《後漢書．卷七九．儒林傳下．衛宏傳》：「鄭玄作毛詩箋。」
2.文體名。古代奏記之類，於上書或祝賀皇后、太子所用。《資治通鑑．卷一一七．隋紀一．文帝開皇九年》：「欲令蔡徵為叔寶作降箋，命乘騾車歸己，事不果。」
3.寫信或題字用的紙。南朝陳．徐陵〈玉臺新詠序〉：「五色華箋，河北、膠東之紙。」
4.書信、信札。如：「信箋」、「短箋」。</t>
  </si>
  <si>
    <t>籛</t>
  </si>
  <si>
    <t>[名]
姓。如古代有籛鏗。</t>
  </si>
  <si>
    <t>肩</t>
  </si>
  <si>
    <t>[名]
1.頸部下兩臂與身體連接的部分。如：「兩肩」、「肩並肩」。
2.姓。如明代有肩固。
[動]
擔負。如：「身肩重任」。</t>
  </si>
  <si>
    <t>姦</t>
  </si>
  <si>
    <t>[名]_x000D_
1.邪惡小人、犯法作亂的人。《管子．君臣》：「止詐拘姦。」《元史．卷一七〇．列傳．暢師文列傳》：「黜姦舉才，咸服其公。」_x000D_
2.不正當的性關係。如：「通姦」、「抓姦」。《醒世姻緣傳》第二〇回：「縣官問道：『他是幾時通姦起的？』回說：『不知從幾時姦起，只是形跡久已可疑，小人久留意撞了幾遭，不曾撞著，至昨夜方得眼見是真。』」_x000D_
3.禍亂、亂事。漢．鄒陽〈獄中上書自明〉：「故偏聽生姦，獨任成亂。」_x000D_
[動]_x000D_
1.發生不正當的性行為。《漢書．卷三五．荊燕吳傳．燕王劉澤》：「定國與父康王姬姦，生子男一人。」《孔叢子．陳士義》：「李由之母少寡，與李音竊相好而生由。由有才藝。仕於魏，王甚愛之，或曰：『李由母姦，不知其父，不足貴也。』」_x000D_
2.妨害性自主的性交。如：「姦汙」、「姦殺」。_x000D_
[形]_x000D_
狡詐、邪惡。《管子．八觀》：「民貧則姦智生。」唐．杜甫〈錦樹行〉：「自古聖賢多薄命，姦雄惡少皆封侯。」</t>
  </si>
  <si>
    <t>兼</t>
  </si>
  <si>
    <t>[動]
1.合併、吞併。《左傳．昭公八年》：「孺子長矣，而相吾室，欲兼我也。」唐．陸贄〈均節賦稅恤百姓六條〉之六：「富者兼地數萬畝，貧者無容足之居。」
2.同時擔任或具有兩種以上的職務或身分、行為等。如：「兼差」、「兼職」、「父兼母職」。
3.加倍、超越、勝過。如：「兼程趕路」。《論語．先進》：「由也兼人。」唐．韓愈〈韓滂墓誌銘〉：「讀書倍文，功力兼人。」
4.重複、累積。《荀子．正名》：「單足以喻則單，單不足以喻則兼。」《後漢書．卷七八．宦者傳．呂強傳》：「重金兼紫，相繼為蕃輔。」
[副]
1.同時、一起。如：「兼顧」、「二者兼備」、「魚與熊掌不可兼得。」
2.盡、完全。《荀子．王制》：「官施而衣食之，兼覆無遺。」《韓非子．難四》：「夫日兼照天下，一物不能當也。」</t>
  </si>
  <si>
    <t>搛</t>
  </si>
  <si>
    <t>[動]
夾取。如：「用筷子搛菜。」</t>
  </si>
  <si>
    <t>蒹</t>
  </si>
  <si>
    <t>[名]
植物名：即荻。(1)菊科籟簫屬，多年生草本。莖細而直立，被白色綿毛。葉互生，線形或倒披針狀橢圓形，兩面被毛。頭狀花序密集排列成複繖房狀。也稱為「荻菊」、「香青」。(2)禾本科芒屬，「荻」之古稱，參見「荻」條。《說文解字．艸部》「蒹」字清．段玉裁．注：「蒹、菼、雚一也，今人所謂荻也。」</t>
  </si>
  <si>
    <t>縑</t>
  </si>
  <si>
    <t>[名]
細緻的絲絹。《淮南子．齊俗》：「縑之性黃，染之以丹則赤。」《史記．卷一二六．滑稽傳．褚少孫補東方朔傳》：「數賜縑帛，檐揭而去。」</t>
  </si>
  <si>
    <t>鶼</t>
  </si>
  <si>
    <t>參見「鶼鰈」、「鶼鶼」等條。</t>
  </si>
  <si>
    <t>鰜</t>
  </si>
  <si>
    <t>[名]
動物名。一種比目魚。體側扁，不對稱。兩眼位於同一側，有眼的一側呈深褐色，無眼的一側為淡色。口大，牙尖銳，背鰭前部有棘。分布於大陸地區南海、東海南部以及紅海、印度洋等區域。</t>
  </si>
  <si>
    <t>堅</t>
  </si>
  <si>
    <t>[形]
1.剛強、強硬。《後漢書．卷二四．馬援傳》：「丈夫為志，窮當益堅，老當益壯。」唐．司空圖〈故鹽州防禦使王縱追述碑〉：「永夷堅敵，累洽仁風。」
2.結實、牢固。如：「船堅炮利」、「堅如磐石」。《莊子．逍遙遊》：「以盛水漿，其堅不能自舉也。」
[副]
不鬆懈、不動搖。如：「堅持」、「堅拒」。《史記．卷七．項羽本紀》：「陳留堅守不能下。」
[名]
1.冑甲、盔甲。《漢書．卷一．高帝紀下》：「被堅執銳，自帥士卒。」
2.軍力強勁之處。《晉書．卷一〇〇．陳敏傳》：「攻堅陷嶮，三十餘戰，師徒無虧，勍敵自滅。」
3.核心、主幹。如：「青年是社會的中堅。」
4.姓。如漢代有堅鐔。</t>
  </si>
  <si>
    <t>鰹</t>
  </si>
  <si>
    <t>[名]
動物名。金槍魚科。體長達一公尺，呈紡錘形，藍色，背側有淺色斑條，腹側具褐色縱條。頭大，口尖，尾細小。游泳迅速，以小魚和浮游甲殼類為食。分布於熱帶和亞熱帶海洋中。</t>
  </si>
  <si>
    <t>湔</t>
  </si>
  <si>
    <t>[動]
1.清洗、洗刷。《醒世恆言．卷三．賣油郎獨占花魁》：「那件汙穢的衣服，我叫丫鬟湔洗乾淨了還你罷。」《清史稿．卷二四．德宗本紀二》論曰：「欲張撻伐，以湔國恥。」
2.濺灑、濺汙。《戰國策．齊策三》：「訾天下之主，有侵君者，臣請以臣之血湔其衽。」
[名]
湔江：河川名。在大陸地區四川省境內，為中江上流。自灌縣西分岷江東流，至廣漢縣東注入沱江。</t>
  </si>
  <si>
    <t>煎</t>
  </si>
  <si>
    <t>[動]
1.一種烹飪方法。將食物放入少量油中，加熱至表面成金黃色。如：「煎魚」、「煎蛋」。
2.熬煮。如：「煎藥」。宋．蘇軾〈絕句三首〉之二：「偶為老僧煎茗粥，自攜修綆汲清泉。」
3.鎔煉。《周禮．冬官考工記．栗氏》：「改煎金錫則不耗。」《清史稿．卷一四九．交通志一》：「用西法以煎鎔，礦產日多。」
4.逼迫、折磨。《楚辭．王逸．九思．怨上》：「我心兮煎熬，惟是兮用憂。」《樂府詩集．卷七三．雜曲歌辭十三．古辭．焦仲卿妻》：「恐不任我意，逆以煎我懷。」</t>
  </si>
  <si>
    <t>鬋</t>
  </si>
  <si>
    <t>[形]
女子鬢髮下垂的樣子。《說文解字．髟部》：「鬋，女鬢垂貌。」
[名]
下垂的鬢髮。《集韻．去聲．線韻》：「鬋，垂鬢謂之鬋。」《楚辭．宋玉．招魂》：「長髮曼鬋，豔陸離些。」</t>
  </si>
  <si>
    <t>菅</t>
  </si>
  <si>
    <t>[名]
植物名。禾本科菅屬，多年生草本。稈直立，粗壯，高一至一點五公尺。葉長線形，多毛茸。由莖稍的葉腋著生總狀花序，作圓錐排列，每總狀花序具九至十一枚小穗，自狹長形之鞘苞伸出。根短堅韌，可做刷帚。
[動]
比喻輕賤。如：「草菅人命」。</t>
  </si>
  <si>
    <t>間</t>
  </si>
  <si>
    <t>[名]_x000D_
1.兩者之中。_x000D_
2.處所、地方、一定面積的建築。如：「田間」、「陰間」、「房間」。_x000D_
3.時候。如：「晚間」、「期間」、「某一年間」。_x000D_
4.量詞。計算房屋等建築物的單位。如：「一間辦公室」、「兩間套房」。</t>
  </si>
  <si>
    <t>(二)ㄐㄧㄢˋ jiàn（05812）</t>
  </si>
  <si>
    <t>閒</t>
  </si>
  <si>
    <t>[名]
中間。同「間」。《詩經．齊風．還》：「子之還兮，遭我乎峱之閒兮。」</t>
  </si>
  <si>
    <t>(一)ㄒㄧㄢˊ xián（07099）(三)ㄐㄧㄢˋ jiàn（05813）</t>
  </si>
  <si>
    <t>蕑</t>
  </si>
  <si>
    <t>[名]
1.蘭草。《詩經．鄭風．溱洧》：「士與女，方秉蕑兮。」漢．毛亨．傳：「蕑，蘭也。」
2.姓。如漢代有蕑忌。</t>
  </si>
  <si>
    <t>椷</t>
  </si>
  <si>
    <t>[名]
1.木篋、木箱。《說文解字．木部》：「椷，篋也。」
2.書信。通「緘」。如：「瑤椷」、「華椷」。</t>
  </si>
  <si>
    <t>緘</t>
  </si>
  <si>
    <t>[名]
1.捆綁箱篋的繩子。《漢書．卷九七．外戚傳下．孝成趙皇后傳》：「帝與昭儀坐，使客子解篋緘。」唐．顏師古．注：「緘，束篋之繩也。」
2.書信。唐．白居易〈初與元九別後忽夢見之及寤而書適至兼寄桐花詩悵然感懷因以此寄〉詩：「開緘見手札，一紙十三行。」
3.量詞。計算信件的單位。唐．皮日休〈傷史拱山人〉詩：「一緘幽信自襄陽，上報先生去歲亡。」《三國演義》第二六回：「震出書一緘，遞與關公。」
[動]
1.捆綁、捆紮。《墨子．節葬下》：「穀木之棺，葛以緘之。」北周．庾信〈傷心賦〉：「藤緘軎櫝，櫱掩虞棺。」
2.閉。如：「三緘其口」。元．汪元亨〈朝天子．任薰蕕不分〉曲：「身重千金，舌緘三寸。」</t>
  </si>
  <si>
    <t>犍</t>
  </si>
  <si>
    <t>[動]
閹割牲畜。明．張自烈《正字通．牛部》：「犍，以刀去勢也。」《齊民要術．卷六．養豬》：「其子三日便掐尾，六十日後犍。」
[名]
被閹割的公牛。宋．陸游〈稻飯〉詩：「買得烏犍遇歲穰，此身永免屬官倉。」</t>
  </si>
  <si>
    <t>(二)ㄑㄧㄢˊ qián（06476A）</t>
  </si>
  <si>
    <t>鞬</t>
  </si>
  <si>
    <t>[名]
掛在馬上裝弓箭的器具。《廣韻．平聲．元韻》：「鞬，馬上盛弓矢器。」唐．許堯佐《柳氏傳》：「乃衣縵胡，佩雙鞬。」</t>
  </si>
  <si>
    <t>漸</t>
  </si>
  <si>
    <t>[動]
1.流入。《書經．禹貢》：「東漸于海，西被于流沙。」
2.浸溼、溼潤。《詩經．衛風．氓》：「淇水湯湯，漸車帷裳。」《墨子．尚賢下》：「雨露之所漸，粒食之所養。」
3.埋沒、淹沒。《楚辭．宋玉．招魂》：「皋蘭被徑兮，斯路漸。」《淮南子．人間》：「水決九江而漸荊州，雖起三軍之眾，弗能救也。」
4.影響、慢慢感染。《史記．卷一二九．貨殖傳》：「俗之漸民久矣。」唐．白居易〈策林一．十三號令〉：「被於萬姓，漸於四夷。」</t>
  </si>
  <si>
    <t>(一)ㄐㄧㄢˋ jiàn（05818）</t>
  </si>
  <si>
    <t>蔪</t>
  </si>
  <si>
    <t>[形]
蔪蔪：麥子長出花穗的樣子。《尚書大傳．卷二．微子》：「（微子）過殷故墟，見麥秀之蔪蔪兮。」</t>
  </si>
  <si>
    <t>(一)ㄐㄧㄢˋ jiàn（05819）(二)ㄕㄢ shān（08927）</t>
  </si>
  <si>
    <t>監</t>
  </si>
  <si>
    <t>[動]
1.視察、督察。如：「監督」。《左傳．莊公三十二年》：「明神降之，監其德也。」《史記．卷六．秦始皇本紀》：「始皇怒，使扶蘇北監蒙恬於上郡。」
2.統領、統率。《史記．卷六四．司馬穰苴傳》：「請以君之寵臣監軍。」《金史．卷一〇六．劉炳傳》：「臣願陛下擇諸王之英明者，總監天下之兵。」
3.掌管、管理。《國語．周語中》：「火師監燎，水師監濯。」《史記．卷九．呂太后本紀》：「左丞相不治事，今監宮中，如郎中令。」
4.拘禁、收押。《水滸傳》第八回：「推入牢裡監下。」《二十年目睹之怪現狀》第二九回：「然而終久不是可以長監不放的，於是想出法子來，送他出洋去。」
[名]
牢獄。《水滸傳》第二七回：「且把武松同這婆子枷了，收在監內。」《儒林外史》第九回：「把這先生拿到監裡坐著追比。」</t>
  </si>
  <si>
    <t>(二)ㄐㄧㄢˋ jiàn（05821）</t>
  </si>
  <si>
    <t>(一)ㄍㄢ gān（04059）</t>
  </si>
  <si>
    <t>[名]
礛䃴：琢磨玉器、刀劍等的磨石。清．王念孫《廣雅疏證．卷八上．釋器》：「礛䃴，礪也。」三國魏．曹丕〈劍銘〉：「魏太子丕造百辟寶劍三，……淬以清漳，厲以礛䃴。」</t>
  </si>
  <si>
    <t>(二)（又音）ㄌㄢˊ lán（03331）</t>
  </si>
  <si>
    <t>熸</t>
  </si>
  <si>
    <t>[動]
1.火熄滅。《玉篇．火部》：「熸，火滅也。」《左傳．襄公二十六年》：「王夷師熸。」晉．杜預．注：「吳、楚之間謂火滅為熸。」
2.戰敗、潰敗。《左傳．昭公二十三年》：「子瑕卒，楚師熸。」《清史稿．卷二四．德宗本紀二》：「庚寅，劉公島陷，水師熸。」</t>
  </si>
  <si>
    <t>艱</t>
  </si>
  <si>
    <t>[形]
1.困苦、困難。如：「生活艱苦」。宋．陸游〈書憤〉詩：「早歲那知世事艱，中原北望氣如山。」
2.險阻、險惡。如：「艱險」。漢．曹操〈苦寒行〉：「北上太行山，艱哉何巍巍。」
[名]
父母之喪。如：「丁艱」。南朝宋．劉義慶《世說新語．德行》：「（吳道助、附子兄弟）遭母童夫人艱，朝夕哭臨。」《文選．王儉．褚淵碑文》：「改授侍中中書監護軍如故，又以居母艱去官。」</t>
  </si>
  <si>
    <t>瀸</t>
  </si>
  <si>
    <t>[動]
1.浸漬、弄溼。《淮南子．要略》：「瀸濇肌膚，被服法則。」晉．羊祜〈雁賦〉：「臨空不能頓其翼，揚波不能瀸其羽。」
2.消滅。通「殲」。《公羊傳．莊公十七年》：「齊人瀸於遂。」</t>
  </si>
  <si>
    <t>櫼</t>
  </si>
  <si>
    <t>[名]
1.上平下尖，塞在榫頭縫內用以固定的木簽。《說文解字．木部》：「櫼，楔也。」清．段玉裁．注：「木工於鑿枘相入處，有不固，則斫木札楔入固之，謂之櫼。」
2.泛指用竹木削成的細條狀東西。元．趙孟頫〈老態〉詩：「扶衰每藉齊眉杖，食肉先尋剔齒櫼。」明．徐光啟《農政全書．卷三八．種植．木部》：「此桐三年乃生，首一年猶未盛，第二年則盛矣。生五六年亦衰，即以栗櫼剝之。」</t>
  </si>
  <si>
    <t>殲</t>
  </si>
  <si>
    <t>[動]
殺盡、消滅。如：「殲敵」。《資治通鑑．卷二四七．唐紀六十三．武宗會昌三年》：「可汗既與為怨，須盡殲夷。」</t>
  </si>
  <si>
    <t>鑯</t>
  </si>
  <si>
    <t>[名]
鐵器。《說文解字．金部》：「鑯，鐵器也。」
[動]
鐫刻、雕琢。《說文解字．金部》：「鑯，一曰鐫也。」清．段玉裁．注：「鐫者，穿木琢石也。」</t>
  </si>
  <si>
    <t>韉</t>
  </si>
  <si>
    <t>[名]
馬鞍下的墊褥。南朝梁．無名氏〈木蘭詩〉二首之一：「東市買駿馬，西市買鞍韉。」</t>
  </si>
  <si>
    <t>囝</t>
  </si>
  <si>
    <t>ㄐㄧㄢˇ</t>
  </si>
  <si>
    <t>jiǎn</t>
  </si>
  <si>
    <t>[名]_x000D_
閩人稱兒子。唐．顧況《華陽集．卷上．上古之什補亡訓傳十三章．囝》：「囝生閩方，閩吏得之……囝別郎罷，心摧血下。」自注：「閩俗呼子為囝，呼父為郎罷。」宋．陸游〈戲遣老懷〉詩其一：「阿囝略如郎罷老，稚孫能伴太翁嬉。」也泛指兒女。如：「囝孫」。</t>
  </si>
  <si>
    <t>(二)ㄩㄝˋ yuè（11735）</t>
  </si>
  <si>
    <t>柬</t>
  </si>
  <si>
    <t>[名]
信件、請帖。通「簡」。如：「書柬」、「請柬」。《紅樓夢》第四八回：「明日我補一個柬來，請你入社。」
[動]
選擇。通「揀」。《荀子．修身》：「安燕而血氣不惰，柬理也。」唐．楊倞．注：「言柬擇其事理所宜。」</t>
  </si>
  <si>
    <t>揀</t>
  </si>
  <si>
    <t>[動]
1.選擇、挑選。如：「揀選」、「挑東揀西」。唐．韓愈〈贈張籍〉詩：「吾愛其風骨，粹美無可揀。」
2.拾取。同「撿」。《兒女英雄傳》第三一回：「遍地是錢，就是沒人去揀。」</t>
  </si>
  <si>
    <t>剪</t>
  </si>
  <si>
    <t>[名]
兩面刀刃相對、交叉以截斷東西的用具。如：「剪刀」、「剪子」。
[動]
用剪刀裁截。如：「剪草」、「剪髮」、「剪紙」。</t>
  </si>
  <si>
    <t>揃</t>
  </si>
  <si>
    <t>[動]
1.剪斷。通「剪」。《史記．卷八十八．蒙恬傳》：「及成王有病甚殆，公旦自揃其爪以沉於河。」
2.消滅。通「翦」。《魏書．卷八十八．良吏傳．明亮傳》：「卿欲為朕拓定江表，揃平蕭衍。」唐．韓愈〈憶昨行和張十一〉詩：「伾文未揃崖州熾，雖得赦宥恆愁猜。」</t>
  </si>
  <si>
    <t>翦</t>
  </si>
  <si>
    <t>[動]
1.削減。《管子．任法》：「大臣能以其私附百姓，翦公財以祿私士。」
2.消滅、剷除。《詩經．魯頌．閟宮》：「居岐之陽，實始翦商。」《呂氏春秋．季夏紀．制樂》：「此文王之所以止殃翦妖也。」</t>
  </si>
  <si>
    <t>譾</t>
  </si>
  <si>
    <t>[形]
淺薄。《史記．卷八七．李斯傳》：「能薄而材譾。」</t>
  </si>
  <si>
    <t>趼</t>
  </si>
  <si>
    <t>[名]
手足因過度摩擦所生的厚皮。《莊子．天道》：「百舍重趼，而不敢息。」唐．陸德明《經典釋文．卷二七．莊子音義中》：「趼，胝也。」</t>
  </si>
  <si>
    <t>(二)ㄧㄢˊ yán（10957）</t>
  </si>
  <si>
    <t>帴</t>
  </si>
  <si>
    <t>[名]
用來包裹嬰兒的布巾。《集韻．上聲．獮韻》：「帴，褓也。」
[形]
狹小。《周禮．冬官考工記．鮑人》：「若苟自急者先裂，則是以博為帴也。」鄭玄注引鄭司農云：「帴，讀為翦，謂以廣為狹也。」</t>
  </si>
  <si>
    <t>(二)ㄘㄢˊ cán（09776）</t>
  </si>
  <si>
    <t>錢</t>
  </si>
  <si>
    <t>[名]
古代的一種農具。《說文解字．金部》：「錢，銚也。古者田器。」清．段玉裁．注：「上文銚字，下云古田器者，古謂之錢，今則但謂之銚。」</t>
  </si>
  <si>
    <t>(一)ㄑㄧㄢˊ qián（06480）</t>
  </si>
  <si>
    <t>減</t>
  </si>
  <si>
    <t>[動]
1.從整體中去掉一部分。如：「減少」、「削減」。《文選．宋玉．登徒子好色賦》：「東家之子，增之一分則太長，減之一分則太短。」
2.降低、耗損。如：「減弱」、「銳減」。唐．杜甫〈曲江〉詩二首之一：「一片花飛減卻春，風飄萬點正愁人。」唐．李商隱〈贈荷花〉詩：「此花此葉常相映，翠減紅衰愁殺人。」
3.不及、不如。南朝宋．劉義慶《世說新語．賞譽》：「羊叔子何必減顏子。」
4.數學上指從一數中去掉另一數。如：「五減二等於三。」
[名]
1.數學上的運算方法之一。即減法。
2.姓。如漢代有減宣。</t>
  </si>
  <si>
    <t>筧</t>
  </si>
  <si>
    <t>[名]
導水用的長竹管。宋．陸游〈閉戶〉詩：「地爐枯葉夜煨芋，竹筧寒泉晨灌蔬。」</t>
  </si>
  <si>
    <t>戩</t>
  </si>
  <si>
    <t>[動]
1.消滅。通「翦」。《說文解字．戈部》：「戩，滅也。」
2.盡、至。參見「戩穀」條。
[名]
福祿、吉祥。《爾雅．釋詁下》：「戩，福也。」</t>
  </si>
  <si>
    <t>儉</t>
  </si>
  <si>
    <t>[形]
1.節省、樸實。如：「節儉」、「勤儉」。《論語．八佾》：「禮，與其奢也，寧儉。」
2.謙和有節制的。《左傳．僖公二十三年》：「晉公子廣而儉，文而有禮。」《禮記．樂記》：「恭儉而好禮者，宜歌。」
3.收成不好的。《後漢書．卷六九．竇武傳》：「是時羌蠻寇難，歲儉民饑。」
4.匱乏、不足。《南史．卷二〇．謝弘微傳》：「弘微家素貧儉。」南朝梁．劉勰《文心雕龍．銘箴》：「李尤積篇，義儉辭碎。」</t>
  </si>
  <si>
    <t>(二)（又音）ㄐㄧㄢˋ jiàn（05828）</t>
  </si>
  <si>
    <t>撿</t>
  </si>
  <si>
    <t>[動]
1.拾取。如：「撿拾」、「撿柴」、「把垃圾撿起來。」
2.挑選。《儒林外史》第三〇回：「擇一個日子，撿一個極大的地方。」</t>
  </si>
  <si>
    <t>檢</t>
  </si>
  <si>
    <t>[名]
1.書函、書簽。《說文解字．木部》：「檢，書署也。」清．段玉裁．注：「書署，謂表署書函也。」唐．陸龜蒙〈和襲美江南道中懷茅山廣文南陽博士三首次韻〉之一：「自拂煙霞安筆格，獨開封檢試砂床。」
2.法度。《文選．曹丕．典論論文》：「譬諸音樂，曲度雖均，節奏同檢。」
3.品行、節操。《三國志．卷四一．蜀書．向朗傳》：「朗少時雖涉獵文學，然不治素檢。」
4.姓。如漢代有檢其明。
[動]
1.查驗。如：「檢查」、「檢驗」。《漢書．卷二四．食貨志下》：「均官有以考檢厥實。」
2.約束、節制。如：「行為不檢」。《孟子．梁惠王上》：「狗彘食人，食而不知檢。」
3.揭發。如：「檢舉」。</t>
  </si>
  <si>
    <t>瞼</t>
  </si>
  <si>
    <t>[名]
眼皮。如：「眼瞼」。《北史．卷九〇．藝術傳下．姚僧垣傳》：「瞼垂覆目，不得視。」</t>
  </si>
  <si>
    <t>鹼</t>
  </si>
  <si>
    <t>[名]
1.化學上指在水溶液中可解離出氫氧根的化合物，如氫氧化鈉。亦指可提供電子對或接受氫離子的物質，如氨。
2.主要成分為碳酸鈉的物質。性滑而味鹹澀，可用來洗衣服、去油垢，為製造肥皂、玻璃等的原料。</t>
  </si>
  <si>
    <t>謇</t>
  </si>
  <si>
    <t>[形]
1.口吃、說話不順利。南朝宋．劉義慶《世說新語．排調》：「或謇喫無宮商，或尪陋希言語。」
2.正直。《後漢書．卷六一．左雄等傳．論曰》：「彊埸宣其智力，帷幄容其謇辭。」《新唐書．卷九十七．魏徵傳》：「當今忠謇貴重無踰徵。」
[助]
發語詞，無義。《楚辭．屈原．離騷》：「謇吾法夫前修兮，非世俗之所服。」</t>
  </si>
  <si>
    <t>蹇</t>
  </si>
  <si>
    <t>[形]
1.跛腳、行動不便。《史記．卷三九．晉世家》：「郤克僂而魯使蹇。」宋．陸游〈病中作〉詩：「身羸支枕久，足蹇下堂疏。」
2.困苦、艱難、不順利。唐．白居易〈與元九書〉：「況詩人多蹇，如陳子昂、杜甫，各授一拾遺，而迍剝至死。」
3.遲鈍、不流利。如：「蹇澀」、「蹇滯」。北周．庾信〈謝滕王集序啟〉：「言辭蹇吃，更甚揚雄。」
4.傲慢。《公羊傳．襄公十九年》：「為其驕蹇，使其世子處乎諸侯之上也。」
[名]
1.體弱的坐騎。《漢書．卷一〇〇．敘傳上》：「是故駑蹇之乘，不騁千里之塗。」《聊齋志異．卷二．鳳陽士人》：「士人縶蹇檐梧，乃即坐。」
2.《易經》卦名。六十四卦之一。艮（☶）下坎（☵）上。表處難時，應修身養德，以渡難關。
[助]
發語詞，無義。《楚辭．屈原．九歌．湘君》：「蹇誰留兮中洲？」</t>
  </si>
  <si>
    <t>騫</t>
  </si>
  <si>
    <t>[名]
駑馬，低劣的馬。明．袁宏道〈袁中郎尺牘．馮琢菴師〉：「賤體稍愈，便當策騫扣門，與師共窮生死之奧，不朽之旨。」</t>
  </si>
  <si>
    <t>(一)ㄑㄧㄢ qiān（06456）</t>
  </si>
  <si>
    <t>襉</t>
  </si>
  <si>
    <t>[名]
衣服上的褶子。《集韻．去聲．襉韻》：「襉，裙幅相廁也。」如：「百襉裙」。</t>
  </si>
  <si>
    <t>(二)（又音）ㄐㄧㄢˋ jiàn（05816）</t>
  </si>
  <si>
    <t>簡</t>
  </si>
  <si>
    <t>[名]
1.古代書寫用的竹片。《說文解字．竹部》：「簡，牒也。」如：「竹簡」。《詩經．小雅．出車》：「豈不懷歸，畏此簡書。」唐．孔穎達．正義：「古者無紙，有事書之於簡，謂之簡書。」
2.書信。如：「書簡」。唐．柳宗元〈答貢士元公瑾論仕進書〉：「辱致來簡，受賜無量。」元．王實甫《西廂記．第三本．第一折》：「小生有一簡，敢煩小娘子達知肺腑咱。」
3.姓。如宋代有簡克己。
[動]
1.省略、減省。如：「簡化」。《史記．卷三二．齊太公世家》：「因其俗，簡其禮。」《晉書．卷三．武帝紀》：「又律令既就，班之天下，將以簡法務本，惠育海內。」
2.挑選。如：「簡拔」、「簡任」。《左傳．襄公二十六年》：「簡兵蒐乘。」明．余繼登《典故紀聞》卷一七：「汰去老弱，簡精壯者更代。」
3.怠慢不敬。如：「簡慢」。《孟子．離婁下》：「孟子獨不與驩言，是簡驩也。」
[形]
1.單純不繁瑣的。如：「簡明」、「簡單」、「簡練」。
2.大。《詩經．邶風．簡兮》：「簡兮簡兮，方將遇舞。」漢．毛亨．傳：「簡，大也。」《淮南子．說山》：「周之簡圭，生於垢石。」</t>
  </si>
  <si>
    <t>繭</t>
  </si>
  <si>
    <t>[名]
1.蠶在變成蛹之前，吐絲結成白色或黃色的橢圓形物體。如：「蠶繭」、「吐絲成繭」、「抽絲剝繭」、「作繭自縛」。《禮記．祭義》：「世婦卒蠶，奉繭以示于君。」
2.手心或腳掌因過度摩擦所生的厚皮。通「趼」。如：「雙手長滿了繭。」唐．杜甫〈觀公孫大娘弟子舞劍器行〉：「老夫不知其所往，足繭荒山轉愁疾。」</t>
  </si>
  <si>
    <t>件</t>
  </si>
  <si>
    <t>ㄐㄧㄢˋ</t>
  </si>
  <si>
    <t>jiàn</t>
  </si>
  <si>
    <t>[名]
1.物品、器具。如：「零件」、「配件」。
2.量詞。計算個體事物的單位。如：「一件事」、「兩件衣服」、「三件行李」。</t>
  </si>
  <si>
    <t>牮</t>
  </si>
  <si>
    <t>[動]
1.用木柱拉正、支撐傾斜的房屋。《字彙．牛部》：「牮，屋斜用牮。」
2.用土石擋水。《字彙．牛部》：「牮，以土石遮水亦曰牮。」</t>
  </si>
  <si>
    <t>見</t>
  </si>
  <si>
    <t>[動]
1.看到、看見。如：「相見恨晚」、「眼見為憑」、「顯而易見」。唐．李白〈將進酒〉：「君不見高堂明鏡悲白髮，朝如青絲暮成雪。」宋．辛棄疾〈賀新郎．甚矣吾衰矣〉詞：「我見青山多嫵媚，料青山，見我應如是。」
2.拜會、訪問。如：「謁見」、「拜見」。《左傳．莊公十年》：「公將戰，曹劌請見。」
3.會晤、接待。如：「接見」、「他現在不方便見客。」。《史記．卷八一．廉頗藺相如傳》：「秦王坐章臺，見相如。」
4.遇到。如：「見光死」、「見水即溶」、「見風就裂」。《左傳．桓公元年》：「宋華父督見孔父之妻于路。」
[名]
1.看法、見解。如：「淺見」、「偏見」、「遠見」、「成見」。《晉書．卷四二．王渾傳》：「私慕魯女存國之志，敢陳愚見。」
2.姓。如宋代有見華。
3.二一四部首之一。
[副]
1.表示逐漸的趨向、趨勢。如：「日見好轉」、「日見興旺」。
2.用在動詞前，表示主體對所涉及的對象如何。如：「請勿見笑」、「請多見諒」、「有何見教」。《文選．李密．陳情表》：「生孩六月，慈父見背。」
[助]
被。用在動詞前，表示被動。《孟子．盡心下》：「盆成括仕於齊。孟子曰：『死矣盆成括。』盆成括見殺。門人問曰：『夫子何以知其將見殺？』」《史記．卷八四．屈原賈生傳》：「信而見疑，忠而被謗。」</t>
  </si>
  <si>
    <t>(二)ㄒㄧㄢˋ xiàn（07133）</t>
  </si>
  <si>
    <t>洊</t>
  </si>
  <si>
    <t>[副]
再、屢次。《易經．坎卦．象曰》：「水洊至，習坎。」《文選．鮑照．舞鶴賦》：「眾變繁姿，參差洊密。」</t>
  </si>
  <si>
    <t>荐</t>
  </si>
  <si>
    <t>[名]
草席。《說文解字．艸部》：「荐，薦蓆也。」
[副]
1.逐水草的、遊牧的。《左傳．襄公四年》：「戎狄荐居，貴貨易土。」
2.屢次、頻仍。《左傳．僖公十三年》：「晉荐饑，使乞糴于秦。」《晉書．卷二六．食貨志》：「兵革屢興，荒饉荐及。」
[動]
推舉。同「薦」。如：「推荐」。</t>
  </si>
  <si>
    <t>建</t>
  </si>
  <si>
    <t>[動]
1.成立、樹立、設置。如：「建功」、「建業」、「建校」、「建國」。唐．柳宗元〈封建論〉：「予以為周之喪久矣，徒建空名於公侯之上耳。」
2.興工製造。如：「建屋」、「建橋」。《文選．張衡．東京賦》：「楚築章華於前，趙建叢臺於後。」
3.封立、封賜。《詩經．魯頌．閟宮》：「建爾元子，俾侯于魯。」《後漢書．卷四四．胡廣傳》：「順帝欲立皇后，而貴人有寵者四人，莫知所建。」
4.提出意見。如：「建議」。《漢書．卷五一．鄒陽傳》：「爰盎等皆建以為不可。」《隋書．卷五六．張衡傳》：「衡亦竭慮盡誠事之，奪宗之計，多衡所建也。」
5.傾、倒。通「瀽」。如：「高屋建瓴」、「破竹建瓴」。
[名]
姓。如漢代有建公。</t>
  </si>
  <si>
    <t>健</t>
  </si>
  <si>
    <t>[形]
1.強而有力。《易經．乾卦．象曰》：「天行健，君子以自強不息。」《晉書．卷七二．郭璞傳》：「得健夫二三十人，皆持長竿。」
2.形容人生理、心理情況良好。如：「健康」。《三國志．卷二九．魏書．方技傳．華佗傳》：「一月可小起，好自將愛，一年便健。」唐．白居易〈同友人尋澗花〉詩：「且作來歲期，不知身健否？」
[副]
擅長、善於。如：「健談」。唐．白居易〈偶作寄朗之〉詩：「老來多健忘。」
[名]
姓。如宋代有健武。</t>
  </si>
  <si>
    <t>揵</t>
  </si>
  <si>
    <t>[動]
1.關閉。《莊子．庚桑楚》：「內韄者，不可繆而捉，將外揵。」
2.接連。《漢書．卷四八．賈誼傳》：「梁起於新郪以北著之河，淮陽包陳以南揵之江。」顏師古注引如淳曰：「或曰，揵，接也。」</t>
  </si>
  <si>
    <t>(一)ㄑㄧㄢˊ qián（06476）</t>
  </si>
  <si>
    <t>毽</t>
  </si>
  <si>
    <t>參見「毽子」條。</t>
  </si>
  <si>
    <t>腱</t>
  </si>
  <si>
    <t>[名]
連接肌肉和骨頭的結締組織，極富韌性。如：「肌腱」。</t>
  </si>
  <si>
    <t>鍵</t>
  </si>
  <si>
    <t>[名]
1.門閂。《淮南子．主術》：「五寸之鍵，制開闔之門。」
2.車轄。安裝在車軸兩端，使車輪不脫離車軸的鐵棍。周．尸佼《尸子．卷下》：「文軒六駃，題無四寸之鍵，則車不行。」
3.鋼琴、風琴等樂器或電腦、打字機等機器上用手指按壓的小板裝置。如：「琴鍵」、「黑鍵」、「字鍵」。
4.比喻機關或事物的扼要部分。如：「關鍵」。</t>
  </si>
  <si>
    <t>俴</t>
  </si>
  <si>
    <t>[形]
1.淺、薄。《爾雅．釋言》：「俴，淺也。」
2.未著鎧甲的。《管子．參患》：「兵不完利，與無操者同實；甲不堅密，與俴者同實。」</t>
  </si>
  <si>
    <t>諓</t>
  </si>
  <si>
    <t>參見「諓諓」條。</t>
  </si>
  <si>
    <t>賤</t>
  </si>
  <si>
    <t>[形]_x000D_
1.價格低廉。如：「賤價出售」、「穀賤傷農」。《左傳．昭公三年》：「國之諸市，屨賤踊貴。」《新唐書．卷五三．食貨志三》：「米賤則少府加估而糴。」_x000D_
2.地位卑下的。如：「低賤」、「卑賤」。_x000D_
3.輕佻不自重。通常帶有貶義。如：「賤人」、「輕賤」、「賤骨頭」。《大宋宣和遺事．亨集》：「有這般潑賤之物，不能近貴！今天子寵幸你，卻又密地與賈奕打暖。」_x000D_
4.謙稱自己的。如：「賤內」、「賤辰」。《戰國策．趙策四》：「老臣賤息舒祺，最少，不肖。」_x000D_
[動]_x000D_
1.輕視、看不起。《書經．旅獒》：「不貴異物賤用物。」三國魏．曹丕〈典論論文〉：「常人貴遠賤近，向聲背實。」_x000D_
2.厭惡。《荀子．正論》：「故下安則貴上，下危則賤上。」_x000D_
[名]_x000D_
1.地位低下。《論語．里仁》：「貧與賤，是人之所惡也。」唐．杜甫〈寫懷〉詩二首之一：「無貴賤不悲，無富貧亦足。」_x000D_
2.姓。如漢代有賤瓊。</t>
  </si>
  <si>
    <t>踐</t>
  </si>
  <si>
    <t>[動]
1.用腳踩踏。如：「踐踏」。《詩經．大雅．行葦》：「敦彼行葦，牛羊勿踐履。」《三國志．卷五九．吳書．孫登傳》：「常遠避良田，不踐苗稼。」
2.登、升。《禮記．中庸》：「踐其位，行其禮，奏其樂。」《漢書．卷三一．陳勝等傳．贊曰》：「踐華為城，因河為池。」
3.實行、履行。如：「實踐」。《儀禮．士相見禮》：「某也夫子之賤私，不足以踐禮，敢固辭。」《警世通言．卷二五．桂員外途窮懺悔》：「以踐前誓。」
4.遵循、依循。《論語．先進》：「不踐跡，亦不入於室。」</t>
  </si>
  <si>
    <t>餞</t>
  </si>
  <si>
    <t>[動]
1.用酒食為人送行。如：「餞行」、「餞別」。晉．陶淵明〈詠荊軻詩〉：「飲餞易水上。」
2.送。唐．李群玉〈中秋夜南樓寄友人〉詩：「他鄉此夜客，對酌餞多愁。」宋．蘇軾〈賀正啟〉：「伏以葦桃在戶，磔禳以餞餘寒。」
[名]
用糖等調味料浸漬成的食品。如：「蜜餞」。</t>
  </si>
  <si>
    <t>濺</t>
  </si>
  <si>
    <t>[動]
1.液體向四方飛射。如：「浪花四濺」。
2.沾染。唐．杜甫〈春望〉詩：「感時花濺淚，恨別鳥驚心。」</t>
  </si>
  <si>
    <t>[名]
1.空隙。如：「間隙」、「間不容髮」。《史記．卷六二．管晏傳》：「其御之妻從門間而闚其夫。」
2.奸細。《史記．卷八一．廉頗藺相如傳》：「秦間來入，趙奢善食而遣之。」
[動]
1.更替、夾雜。唐．杜甫〈贈衛八處士〉詩：「夜雨翦春韭，新炊間黃粱。」《聊齋志異．卷二．嬰寧》：「牆內桃杏尤繁，間以修竹。」
2.分隔、分開。如：「間隔」。唐．王勃〈送白七序〉：「天地所以間南北，山川所以別風雲。」
3.挑撥、分化。如：「反間」、「挑撥離間」。《史記．卷七．項羽本紀》：「乃用陳平計，間項王。」
[副]
1.偶爾。如：「間或」。
2.私下的、偷偷的、不公開的。如：「間出」、「間覷」。</t>
  </si>
  <si>
    <t>(一)ㄐㄧㄢ jiān（05752）</t>
  </si>
  <si>
    <t>同「間」(二)。</t>
  </si>
  <si>
    <t>(一)ㄒㄧㄢˊ xián（07099）(二)ㄐㄧㄢ jiān（05753）</t>
  </si>
  <si>
    <t>澗</t>
  </si>
  <si>
    <t>[名]
山間的流水。如：「溪澗」。唐．韋應物〈滁州西澗〉詩：「獨憐幽草澗邊生，上有黃鸝深樹鳴。」</t>
  </si>
  <si>
    <t>瞷</t>
  </si>
  <si>
    <t>[動]
窺視、偵察。《孟子．離婁下》：「吾將瞷良人之所之也。」</t>
  </si>
  <si>
    <t>(一)ㄐㄧㄢˇ jiǎn（05792）</t>
  </si>
  <si>
    <t>鐧</t>
  </si>
  <si>
    <t>[名]
1.車軸鐵，用來減少軸、轂轉動產生的摩擦。《說文解字．金部》「鐧」字．清．段玉裁．注：「鐵之在軸者曰鐧，在轂者曰釭。」《吳子．治兵》：「膏鐧有餘，則車輕人。」
2.武器名。舊時十八般武藝之一。像鞭，有四稜，無刃。上端較小，下端有柄。如：「殺手鐧」。</t>
  </si>
  <si>
    <t>[副]
慢慢的、逐步的。如：「漸入佳境」、「循序漸進」。
[名]
事情逐步發展的過程。《管子．明法》：「姦臣之敗其主也，積漸積微，使主迷惑而不自知也。」《水滸傳》第一一〇回：「卻說這江南方臘起義已久，即漸而成，不想弄到許大事業。」</t>
  </si>
  <si>
    <t>(二)ㄐㄧㄢ jiān（05759）</t>
  </si>
  <si>
    <t>[形]
蔪苞：草木叢生滋長的樣子。《說文解字．艸部》：「蔪，艸相蔪苞也。」</t>
  </si>
  <si>
    <t>(二)ㄕㄢ shān（08927）(三)ㄐㄧㄢ jiān（05760）</t>
  </si>
  <si>
    <t>螹</t>
  </si>
  <si>
    <t>[名]
1.一種介蟲。《說文解字．虫部》：「螹，螹離也。」清．段玉裁．注：「張揖曰：『其形狀未聞。』按：許以此次於蠵、蠏二篆間，必介蟲之類。」
2.參見「螹胡」條。</t>
  </si>
  <si>
    <t>(二)（又音）ㄑㄧㄢˊ qián（06481）</t>
  </si>
  <si>
    <t>[名]
1.職官名。古代主管監察或事務的官員。如：「祕書監」、「廷尉監」、「少府監」。
2.古代的官署名稱。如：「欽天監」、「國子監」。
3.宦官。如：「太監」、「內監」。
4.借鏡。通「鑒」。《論語．八佾》：「周監於二代，郁郁乎文哉！」《文選．李康．運命論》：「前監不遠，覆車繼軌。」
[動]
1.照、視。《新唐書．卷九七．魏徵傳》：「夫監形之美惡，必就止水。」
2.參考。《書經．召誥》：「我不可以不監于有夏，亦不可不監于有殷。」《宋史．卷三二七．王石安傳》：「願監苟且因循之弊，明詔大臣，為之以漸，期合於當世之變。」</t>
  </si>
  <si>
    <t>(一)ㄐㄧㄢ jiān（05761）</t>
  </si>
  <si>
    <t>[名]
1.關野獸的柵欄。《莊子．天地》：「而虎豹在囊檻，亦可以為得矣。」《漢書．卷九七．外戚傳下．孝元馮昭儀傳》：「熊佚出圈，攀檻欲上殿。」
2.囚車。《晉書．卷六八．紀瞻傳》：「瞻覺其詐，便破檻出之，訊問使者。」
3.欄杆。《楚辭．屈原．九歌．東君》：「暾將出兮東方，照吾檻兮扶桑。」唐．杜牧〈阿房宮賦〉：「直欄橫檻，多於九土之城郭。」</t>
  </si>
  <si>
    <t>(二)ㄎㄢˇ kǎn（04514）</t>
  </si>
  <si>
    <t>艦</t>
  </si>
  <si>
    <t>[名]
大型的軍用戰船。如：「驅逐艦」、「巡洋艦」、「航空母艦」。《晉書．卷七九．謝安傳》：「琰軍魚貫而前，賊於艦中傍射之，前後斷絕。」</t>
  </si>
  <si>
    <t>鑒</t>
  </si>
  <si>
    <t>[名]
1.鏡子。同「鑑」。《詩經．邶風．柏舟》：「我心匪鑒，不可以茹。」漢．鄭玄．箋：「鑒，鏡也。」
2.視察的能力、見識。《梁書．卷二七．到洽傳》：「樂安任昉有知人之鑒。」
3.借鏡。《詩經．大雅．蕩》：「殷鑒不遠，在夏后之世。」
[動]
1.照。漢．秦嘉〈留郡贈婦詩〉三首之三：「明鏡可鑒形。」
2.審察。南朝梁．劉勰《文心雕龍．樂府》：「季札鑒微於興廢。」
3.請人看信的意思，多用於書信中。如：「鈞鑒」、「大鑒」、「臺鑒」。</t>
  </si>
  <si>
    <t>鑑</t>
  </si>
  <si>
    <t>[名]
1.鏡子。《莊子．德充符》：「鑑明則塵垢不止。」《新唐書．卷九七．魏徵傳》：「以銅為鑑，可以正衣冠。」
2.視察、觀照的能力。如：「知人之鑑」。
3.可以作為警戒、警惕的事。如：「前車之鑑」。《墨子．非命下》：「為鑑不遠，在彼殷王。」
4.作為證明的信物。如：「印鑑」。
5.姓。如明代有鑑明復。
[動]
1.照。《莊子．德充符》：「人莫鑑於流水，而鑑於止水。」明．徐弘祖《徐霞客遊記．卷五．滇遊日記三》：「泉混混平吐，清洌鑑人眉宇。」
2.審察、視察。三國蜀．諸葛亮〈正議〉：「魏不審鑑，今次之矣。」唐．王勃〈為人與蜀域父老書〉：「鑑物於肇不於成。」
3.警戒、戒勉。唐．杜牧〈阿房宮賦〉：「後人哀之而不鑑之。」</t>
  </si>
  <si>
    <t>箭</t>
  </si>
  <si>
    <t>[名]
1.武器名。即矢。一種搭在弓上發射的武器。如：「鳴箭」、「一箭雙雕」。
2.參見「箭竹」條。
3.量詞。古代計算距離的單位。如：「一箭之地」。
[形]
快速。如：「一個箭步追了上去！」</t>
  </si>
  <si>
    <t>僭</t>
  </si>
  <si>
    <t>[動]
假冒在上位者的名義，超越本分以行事。如：「僭越」。《南史．卷一．宋武帝本紀》：「姦宄具殲，僭偽亦滅。」《文選．潘岳．為賈謐作贈陸機詩》：「南吳伊何？僭號偁王。」</t>
  </si>
  <si>
    <t>(一)ㄐㄧㄢˇ jiǎn（05784）</t>
  </si>
  <si>
    <t>劍</t>
  </si>
  <si>
    <t>[名]
1.武器名。兩面有刃，中間有脊，下有握柄。如：「利劍」。唐．李白〈古風〉詩五九首之一六：「寶劍雙蛟龍，雪花照芙蓉。」
2.量詞。計算揮劍次數的單位。如：「他身上共中了七劍。」</t>
  </si>
  <si>
    <t>諫</t>
  </si>
  <si>
    <t>[動]
1.用言語或行動勸告別人改正錯誤。如：「勸諫」、「規諫」。《孟子．萬章下》：「君有大過則諫。」《新唐書．卷九七．魏徵傳》：「臣以事有不可，故諫。」
2.糾正、更改。《論語．八佾》：「成事不說，遂事不諫，既往不咎。」《文選．陶淵明．歸去來辭》：「悟已往之不諫，知來者之可追。」
[名]
姓。如漢代有諫忠。</t>
  </si>
  <si>
    <t>薦</t>
  </si>
  <si>
    <t>[名]
1.獸類所吃的草。《說文解字．廌部》：「獸之所食艸。」《莊子．齊物論》：「民食芻豢，麋鹿食薦。」
2.草蓆、草墊。南朝宋．劉義慶《世說新語．德行》：「既無餘席，便坐薦上。」《晉書．卷九六．列女傳．陶侃母湛氏傳》：「湛氏乃徹所臥新薦，自剉給其馬。」
3.祭品。《禮記．祭義》：「仲尼嘗奉薦而進親也。」
[動]
1.藉、襯墊。《漢書．卷六八．霍光傳》：「韋絮薦輪，侍婢以五采絲輓顯，游戲第中。」《文選．賈誼．弔屈原文》：「章甫薦履，漸不可久兮。」
2.呈獻、進獻。《論語．鄉黨》：「君賜腥，必熟而薦之。」《禮記．祭義》：「卿大夫有善，薦於諸侯。」
3.推舉。如：「推薦」。《孟子．萬章上》：「諸侯能薦人於天子。」
[副]
屢次、重複。《詩經．大雅．雲漢》：「天降喪亂，饑饉薦臻。」宋．曹勛〈入塞〉詩：「數日望回騎，薦致臨風悲。」</t>
  </si>
  <si>
    <t>巾</t>
  </si>
  <si>
    <t>ㄐㄧㄣ</t>
  </si>
  <si>
    <t>jīn</t>
  </si>
  <si>
    <t>[名]
1.擦洗用的布。如：「毛巾」、「手巾」、「浴巾」。唐．杜甫〈憶昔行〉：「巾拂香餘搗藥塵，階除灰死燒丹火。」
2.覆蓋或纏繞用的布。如：「頭巾」、「領巾」、「圍巾」。
3.二一四部首之一。</t>
  </si>
  <si>
    <t>今</t>
  </si>
  <si>
    <t>[名]
1.現代。與「古」相對。如：「古今」、「今非昔比」。
2.姓。如明代有今穎伯。
[形]
現在的、當前的。如：「今天」、「今年」。</t>
  </si>
  <si>
    <t>[動]
1.憐惜、憐憫。如：「哀矜」。《書經．泰誓上》：「天矜于民，民之所欲，天必從之。」《論語．子張》：「君子尊賢而容眾，嘉善而矜不能。」
2.敬慎。《書經．旅獒》：「不矜細行，終累大德。」
3.敬重、推崇。《漢書．卷四八．賈誼傳》：「嬰以廉恥，故人矜節行。」
4.自誇、自負。如：「自矜」。《史記．卷一二四．游俠傳》：「既已存亡死生矣，而不矜其能，羞伐其德。」
[形]
1.莊重自持。如：「矜持」。《論語．衛靈公》：「君子矜而不爭，群而不黨。」
2.驕傲自大。如：「驕矜」。唐．韓愈〈與汝州盧郎中論薦侯喜狀〉：「辭氣激場，面有矜色。」
[名]
禍亂。《詩經．小雅．菀柳》：「曷以靖之，居以凶矜。」</t>
  </si>
  <si>
    <t>(二)ㄍㄨㄢ guān（04310）(三)ㄑㄧㄣˊ qín（06512）</t>
  </si>
  <si>
    <t>衿</t>
  </si>
  <si>
    <t>[名]
1.衣服前面有鈕扣開合的部分。如：「對衿」。也作「襟」。
2.衣領。《詩經．鄭風．子衿》：「青青子衿，悠悠我心。」</t>
  </si>
  <si>
    <t>紟</t>
  </si>
  <si>
    <t>[名]
1.連繫衣襟的帶子。《說文解字．糸部》「紟」字．清．段玉裁．注：「聯合衣襟之帶也。今人用銅紐非古也，凡結帶皆曰紟。」
2.單被。《集韻．去聲．沁韻》：「紟，單被。」《禮記．喪服大記》：「紟五幅，無紞。」唐．孔穎達．正義：「紟，舉尸之襌被也。」</t>
  </si>
  <si>
    <t>斤</t>
  </si>
  <si>
    <t>[名]
1.一種砍樹用的器具。《孟子．梁惠王上》：「斧斤以時入山林，材木不可勝用也。」
2.量詞。表示質量的單位。在臺灣地區常作為臺斤的簡稱。在不同的計量系統中代表不同的質量：一公斤等於一千克；一臺斤等於六百克；一市斤等於五百克。
3.二一四部首之一。</t>
  </si>
  <si>
    <t>金</t>
  </si>
  <si>
    <t>[名]
1.（gold，Au）化學元素。原子序79。金屬元素之一，質地柔軟，延展性極大，可與銀、銅等合金製成貨幣、裝飾品、筆尖等。由於色澤黃澄，俗稱為「黃金」。
2.金屬的總稱。如：「五金」、「合金」。
3.刀劍之類的武器。《淮南子．說山》：「砥石不利而可以利金。」
4.古代八音之一。指鉦、鐘一類的金屬打擊樂器。《宋書．卷一九．樂志一》：「樂器凡八音：曰金，曰石，曰土，曰革，曰絲，曰木，曰匏，曰竹。」
5.五行之一。參見「五行」條。
6.金星的簡稱。
7.錢。如：「金額」、「你身上有多少現金？」
8.朝代名。參見「金朝」條。
9.姓。如元代有金履祥，明代有金聖歎。
10. 二一四部首之一。
[形]
1.堅固。《韓非子．用人》：「不謹蕭牆之患，而固金城於遠境。」《漢書．卷四五．蒯通傳》：「皆為金城湯池，不可攻也。」
2.珍貴。如：「金玉良言」。《文選．揚雄．劇秦美新》：「懿律嘉量，金科玉條。」《紅樓夢》第一五回：「奶奶也要保重金體才是。」
3.顏色澄黃。唐．孟郊〈送淡公〉詩一二首之九：「橙橘金蓋檻，竹蕉綠凝禪。」唐．薛濤〈九日遇雨〉詩二首之二：「茱萸秋節佳期阻，金菊寒花滿院香。」</t>
  </si>
  <si>
    <t>津</t>
  </si>
  <si>
    <t>[名]
1.渡口。《論語．微子》：「使子路問津焉。」唐．王昌齡〈沙苑南渡頭〉詩：「津人空守纜，村館復臨川。」
2.交通要道。《宋書．卷一．武帝紀上》：「時議者謂宜分兵守諸津要。」元．李直夫《虎頭牌》第一折：「則今日過關津，度州郡，沒揣的逢他敵人。」
3.水、汁液。南朝梁．沈約〈新安江至清淺深見底貽京邑遊好詩〉：「滄浪有時濁，清濟涸無津。」唐．王勃〈九成宮東臺山池賦〉：「露菊傾津，嗣南商之逸興。」
4.口水。如：「生津止渴」。
5.大陸地區天津市的簡稱。如：「津浦鐵路」。
[動]
滋潤。《西京雜記》卷五：「太平之世，則風不鳴條，開甲散萌而已；雨不破塊，潤葉津莖而已。」</t>
  </si>
  <si>
    <t>觔</t>
  </si>
  <si>
    <t>[名]
1.肌腱，韌帶。通「筋」。漢．王充《論衡．書虛》：「舉鼎用力，力由觔脈；觔脈不堪，絕傷而死，道理宜也。」元．蕭德祥《殺狗勸夫》第四折：「俺如今剔下了這骨和觔，割掉了這肉共脂。」
2.量詞。古代計算重量的單位。通「斤」。《淮南子．天文》：「天有四時以成一歲，因而四之，四四十六，故十六兩而為一觔。」《聊齋志異．卷六．大人》：「於石室中出銅鎚，重三四百觔，出門遂逝。」</t>
  </si>
  <si>
    <t>筋</t>
  </si>
  <si>
    <t>[名]
1.韌帶。如：「牛蹄筋」。《新唐書．卷四八．百官志三》：「諸州市牛皮角以供用，牧畜角筋腦革悉輸焉。」
2.肌肉。《文選．王襃．聖主得賢臣頌》：「故工人之用鈍器也，勞筋苦骨，終日矻矻。」《新唐書．卷二一七．回鶻傳下》：「產良馬，首似橐它，筋骼壯大，日中馳數百里。」
3.靜脈管。如：「青筋暴露」。《管子．水地》：「水者地之血氣，如筋脈之通流者也。」
4.具彈性、可伸縮、或形狀圓長堅韌的物體。如：「橡皮筋」、「鋼筋」。</t>
  </si>
  <si>
    <t>浸</t>
  </si>
  <si>
    <t>(一)ㄐㄧㄣˋ jìn（05864）</t>
  </si>
  <si>
    <t>祲</t>
  </si>
  <si>
    <t>[名]
不祥之氣。《左傳．昭公十五年》：「吾見赤黑之祲，非祭祥也，喪氛也。」《漢書．卷八一．匡衡傳》：「臣聞天人之際，精祲有以相盪，善惡有以相推。」
[形]
盛大。《後漢書．卷四〇．班彪傳下》：「天官景從，祲威盛容。」宋．王安石〈賀貴妃進位表〉：「祲盛之禮，發於宮闈；驩康之聲，播於寰海。」</t>
  </si>
  <si>
    <t>禁</t>
  </si>
  <si>
    <t>[動]
承擔、受得住。如：「弱不禁風」、「禁不起風吹日晒」。《紅樓夢》第五一回：「小姑娘們冷風朔氣的，別人還可，第一，林妹妹如何禁得住？就連寶兄弟也禁不住！」
[副]
耐，多指物體的耐用而言。如：「這雙鞋真禁穿！」</t>
  </si>
  <si>
    <t>(一)ㄐㄧㄣˋ jìn（05880）</t>
  </si>
  <si>
    <t>襟</t>
  </si>
  <si>
    <t>[名]
1.衣服胸前釘紐扣的地方。如：「對襟」、「開襟」。《楚辭．屈原．離騷》：「攬茹蕙以掩涕兮，霑余襟之浪浪。」也作「衿」。
2.參見「連襟」條。
3.心胸、懷抱。如：「胸襟」。唐．陸龜蒙〈記事〉詩：「天高氣味爽，野迥襟懷曠。」</t>
  </si>
  <si>
    <t>巹</t>
  </si>
  <si>
    <t>ㄐㄧㄣˇ</t>
  </si>
  <si>
    <t>jǐn</t>
  </si>
  <si>
    <t>[名]
古時行婚禮所用的酒杯。《禮記．昏義》：「合巹而酳。」唐．孔穎達．正義：「巹謂半瓢，以一瓢分為兩瓢，謂之巹，婿之與婦各執一片以酳。」</t>
  </si>
  <si>
    <t>堇</t>
  </si>
  <si>
    <t>[動]
塗抹。明．張自烈《正字通．土部》：「堇，塗也。」
[副]
少。通「僅」。《史記．卷一二九．貨殖傳》：「長沙出連、錫，然堇堇物之所有，取之不足以更費。」</t>
  </si>
  <si>
    <t>(二)（又音）ㄐㄧㄣˋ jìn（05870）</t>
  </si>
  <si>
    <t>菫</t>
  </si>
  <si>
    <t>[名]
植物名。繖形科芹屬，「芹菜」、「早芹」之古稱。參見「芹菜」條。</t>
  </si>
  <si>
    <t>僅</t>
  </si>
  <si>
    <t>[副]
1.少、不多。通「堇」。《晉書．卷五九．趙王倫傳》：「百官是倫所用者，皆斥免之，臺省府衛僅有存者。」
2.只、不過。如：「僅有」、「僅是」、「僅只於此」。《呂氏春秋．孝行覽．遇合》：「以此游，僅至於魯司寇。」《史記．卷八〇．樂毅傳》：「齊王遁而走莒，僅以身免。」
3.將近、幾乎。《晉書．卷五九．趙王倫傳》：「自兵興六十餘日，戰所殺害僅十萬人。」唐．白居易〈與元九書〉：「自足下謫江陵至於今，凡所贈答詩僅百篇。」</t>
  </si>
  <si>
    <t>(二)（又音）ㄐㄧㄣˋ jìn（05871）</t>
  </si>
  <si>
    <t>廑</t>
  </si>
  <si>
    <t>[名]
小屋。《廣韻．去聲．震韻》：「廑，小屋。」
[副]
只、才。通「僅」。《漢書．卷四八．賈誼傳》：「諸公幸者，乃為中涓，其次廑得舍人，材之不逮至遠也。」宋．范成大〈曉出北郊〉詩：「新渠廑涓流，壞陂方怒號。」</t>
  </si>
  <si>
    <t>(二)（(一)之又音）ㄐㄧㄣˋ jìn（05872）(三)ㄑㄧㄣˊ qín（06521）</t>
  </si>
  <si>
    <t>墐</t>
  </si>
  <si>
    <t>[動]
1.用泥塗塞、塗抹。《詩經．豳風．七月》：「穹窒熏鼠，塞向墐戶。」唐．劉禹錫〈武陵觀火詩〉：「山木行剪伐，江泥宜墐途。」
2.掩埋、埋葬。《詩經．小雅．小弁》：「行有死人，尚或墐之。」</t>
  </si>
  <si>
    <t>(二)（又音）ㄐㄧㄣˋ jìn（05873）</t>
  </si>
  <si>
    <t>瑾</t>
  </si>
  <si>
    <t>參見「瑾瑜」條。</t>
  </si>
  <si>
    <t>(二)（又音）ㄐㄧㄣˋ jìn（05874）</t>
  </si>
  <si>
    <t>蓳</t>
  </si>
  <si>
    <t>蓳菜。《說文解字．艸部》：「蓳，艸也。根如薺，葉如細柳。蒸食之。甘，從艸，堇聲。」</t>
  </si>
  <si>
    <t>槿</t>
  </si>
  <si>
    <t>參見「木槿」條。</t>
  </si>
  <si>
    <t>殣</t>
  </si>
  <si>
    <t>[名]
墳墓。《國語．楚語下》：「民之羸餒，日已甚矣。四境盈壘，道殣相望。」三國吳．韋昭．注：「道冢曰殣。」
[動]
1.餓死。《大戴禮記．千乘》：「是故年穀不成，天之飢饉，道無殣者。」
2.埋葬、掩埋。通「墐」。《荀子．禮論》：「不得飾棺，不得晝行，以昏殣，凡緣而往埋之。」《魏書．卷七．高祖紀下》：「路見壞冢露棺，駐輦殣之。」</t>
  </si>
  <si>
    <t>(二)（又音）ㄐㄧㄣˋ jìn（05875）</t>
  </si>
  <si>
    <t>謹</t>
  </si>
  <si>
    <t>[動]
1.慎重、小心。《商君書．壹言》：「治法不可不慎也，國務不可不謹也。」《禮記．緇衣》：「則民謹於言而慎於行。」
2.嚴禁。《詩經．大雅．民勞》：「毋縱詭隨，以謹無良。」《荀子．王制》：「易道路，謹盜賊。」
[形]
恭敬。《韓非子．外儲說右上》：「宋人有酤酒者，升概甚平，遇客甚謹。」《南史．卷二三．王華傳》：「少謹篤，為從伯司徒謐所愛。」</t>
  </si>
  <si>
    <t>覲</t>
  </si>
  <si>
    <t>[動]
1.下級人員進見君主或上級長官。如：「朝覲」、「覲見」。《孟子．萬章上》：「天下諸侯朝覲者，不之堯之子而之舜。」《新唐書．卷二二四．叛臣傳上．李錡傳》：「憲宗即位，不假借方鎮，故倔彊者稍稍入朝。錡不自安，亦三請覲。」
2.拜會、訪謁。《左傳．昭公十六年》：「宣子私覲於子產。」《文選．張衡．西京賦》：「昔者大帝說秦繆公而覲之，饗以鈞天廣樂。」</t>
  </si>
  <si>
    <t>(二)（又音）ㄐㄧㄣˋ jìn（05876）</t>
  </si>
  <si>
    <t>饉</t>
  </si>
  <si>
    <t>[名]
1.蔬菜不成熟的情況。《爾雅．釋天》：「穀不熟為饑，蔬不熟為饉。」
2.五穀歉收的荒年。《晉書．卷二六．食貨志》：「兵革屢興，荒饉荐及。」唐．白居易〈除李遜京兆尹制〉：「或紛擾之際，或荒饉之餘；威惠所加，罔不和輯。」</t>
  </si>
  <si>
    <t>(二)（又音）ㄐㄧㄣˋ jìn（05877）</t>
  </si>
  <si>
    <t>緊</t>
  </si>
  <si>
    <t>[形]
1.嚴密、不放鬆。如：「嚴緊」、「管得很緊」。
2.急迫。如：「緊急」、「緊要」、「緊迫」。
3.生活困窘、不寬裕。如：「手頭很緊」。
4.重要。如：「要緊事」。《三國演義》第四九回：「請暫少住，有緊話說。」
[副]
1.密合。與「鬆」相對。如：「緊握筆桿」、「繫緊鞋帶」。
2.加快、不停止。如：「趕緊」、「催得緊」、「緊走幾步」。元．關漢卿《五侯宴》第三折：「走的緊來到荒坡佃，覺我這可撲撲的心頭戰。」</t>
  </si>
  <si>
    <t>儘</t>
  </si>
  <si>
    <t>[副]
1.極盡。如：「儘量」、「儘可能」。
2.聽任、隨意、不加限制。如：「儘管」、「儘看」。宋．楊萬里〈夜聞風聲〉詩：「作寒作暑無處避，花落花開儘他意。」
3.都、全。宋．辛棄疾〈瑞鶴仙．黃金堆到斗〉詞：「記從來人道，相門出相，金印纍纍儘有。」《西遊記》第一回：「果獨自登筏，儘力撐開。」</t>
  </si>
  <si>
    <t>錦</t>
  </si>
  <si>
    <t>[名]
1.一種色彩鮮豔、有各種花紋圖案的絲織品。如：「文錦」、「蜀錦」。《荀子．賦》：「雜布與錦，不知異也。」
2.姓。如漢代有錦被。
[形]
1.美麗鮮明。如：「錦霞」、「錦雲」、「錦箋」。
2.比喻花樣繁多。如：「什錦」。</t>
  </si>
  <si>
    <t>妗</t>
  </si>
  <si>
    <t>ㄐㄧㄣˋ</t>
  </si>
  <si>
    <t>jìn</t>
  </si>
  <si>
    <t>[名]
稱謂。用以尊稱舅母。《集韻．去聲．沁韻》：「妗，俗謂舅母曰妗。」。《聊齋志異．卷一．賈兒》：「妗詰母疾，答云：『連朝稍可……。』」</t>
  </si>
  <si>
    <t>近</t>
  </si>
  <si>
    <t>[形]
1.時間、地點、血統、關係等方面距離不遠的。如：「近日」、「近郊」、「近親」。《墨子．經說下》：「行者必先近而後遠，遠近脩也，先後久也。」
2.淺顯明白、容易瞭解。如：「淺近」。《孟子．盡心下》：「言近而指遠也，善言也。」
[動]
1.相似、幾乎一樣。如：「近似」。《禮記．中庸》：「知恥近乎勇。」
2.靠近、接近。如：「挨近」、「迫近」。唐．李商隱〈樂遊原〉詩：「夕陽無限好，只是近黃昏。」
3.親密。如：「親近」。《論語．陽貨》：「近之則不孫，遠之則怨。」
4.合乎。如：「不近情理」。宋．蘇洵〈辨姦論〉：「凡事之不近人情者，鮮不為大姦慝、豎刁、易牙、開方是也。」</t>
  </si>
  <si>
    <t>勁</t>
  </si>
  <si>
    <t>[名]
1.力氣、力量。如：「使勁」、「有勁」、「卯足了勁」。《韓非子．觀行》：「有烏獲之勁，而不得人助，不能自舉。」
2.精神。如：「這個人唱歌真帶勁。」
3.興趣。如：「起勁」、「沒勁」。
4.表情、態度。如：「傻勁」、「親熱勁」。</t>
  </si>
  <si>
    <t>(一)ㄐㄧㄥˋ jìng（05947）</t>
  </si>
  <si>
    <t>[動]
1.漬、泡在液體中。如：「浸泡」、「浸漬」。
2.滲透。《淮南子．原道》：「上漏下濕，潤浸北房。」唐．楊烱〈送豐城王少府〉詩：「離亭隱喬樹，溝水浸平沙。」
[副]
漸漸、逐漸。如：「浸漸」。《後漢書．卷八八．西域傳》：「雖有降首，曾莫懲革，自此浸以疏慢矣。」《金史．卷八三．張浩傳》：「其後奢用浸廣，蓋汝霖有以導之云。」</t>
  </si>
  <si>
    <t>(二)（又音）ㄐㄧㄣ jīn（05842）</t>
  </si>
  <si>
    <t>寖</t>
  </si>
  <si>
    <t>[副]
漸漸。同「浸」。晉．陶淵明〈祭程氏妹文〉：「寒往暑來，日月寖疏。」</t>
  </si>
  <si>
    <t>晉</t>
  </si>
  <si>
    <t>[動]
1.進、前往。《說文選字．日部》：「晉，進也。」
2.升。如：「晉級」、「晉升」。《清史稿．卷四五一．桂中行傳》：「以功晉知府。調江蘇，筦揚州正陽釐榷。」
[名]
1.國名。周代諸侯國。春秋時據有今大陸地區山西省大部分與河北省西南地區，地跨黃河兩岸。後為韓、趙、魏三家所分，遂亡。
2.朝代名。參見「西晉」、「東晉」條。
3.大陸地區山西省的簡稱。
4.姓。如戰國時魏國有晉鄙。</t>
  </si>
  <si>
    <t>搢</t>
  </si>
  <si>
    <t>[動]
1.插。《廣韻．去聲．震韻》：「搢，插也。」宋．陸游〈牧羊歌〉：「小童但搢竹一枝，豈必習詩知考牧。」
2.振動。《國語．吳語》：「被甲帶劍，挺鈹搢鐸。」三國吳．韋昭．注：「挺，拔也；搢，振也。」</t>
  </si>
  <si>
    <t>鄑</t>
  </si>
  <si>
    <t>[名]
地名：(1)春秋時魯、宋交界的地方。約位於今大陸地區山東省濟寧縣境。《說文解字．邑部》：「鄑，宋、魯閒地。」(2)春秋時紀國邑城。約位於今大陸地區山東省昌邑縣境。</t>
  </si>
  <si>
    <t>(二)（又音）ㄗ zī（09395）</t>
  </si>
  <si>
    <t>縉</t>
  </si>
  <si>
    <t>[名]
紅色的絲織物。《說文解字．糸部》：「縉，帛赤色也。」</t>
  </si>
  <si>
    <t>(一)ㄐㄧㄣˇ jǐn（05847）</t>
  </si>
  <si>
    <t>(一)ㄐㄧㄣˇ jǐn（05849）</t>
  </si>
  <si>
    <t>(一)ㄐㄧㄣˇ jǐn（05850）(三)ㄑㄧㄣˊ qín（06521）</t>
  </si>
  <si>
    <t>(一)ㄐㄧㄣˇ jǐn（05851）</t>
  </si>
  <si>
    <t>(一)ㄐㄧㄣˇ jǐn（05852）</t>
  </si>
  <si>
    <t>(一)ㄐㄧㄣˇ jǐn（05854）</t>
  </si>
  <si>
    <t>(一)ㄐㄧㄣˇ jǐn（05856）</t>
  </si>
  <si>
    <t>(一)ㄐㄧㄣˇ jǐn（05857）</t>
  </si>
  <si>
    <t>進</t>
  </si>
  <si>
    <t>[動]
1.向上或向前移動。相對於「退」。如：「前進」、「進攻」。
2.由外入內。如：「進門」、「閒人免進」、「非請勿進」。《三國演義》第九五回：「今大開城門，必有埋伏。我兵若進，中其計也。」
3.出仕、做官。《孟子．公孫丑上》：「治則進，亂則退，伯夷也。」《荀子．大略》：「君子進則能益上之譽而損下之憂。」
4.推荐。如：「引進」。《周禮．夏官．大司馬》：「進賢興功，以作邦國。」
5.呈獻、奉上。如：「進貢」。《禮記．曲禮上》：「侍飲於長者，酒進則起。」《三國演義》第一九回：「但到處，聞劉豫州，皆爭進飲食。」
6.積極、努力。如：「進取」。
7.收入、買入。如：「進帳」、「進貨」、「日進斗金」。
[名]
1.舊式房舍的院落層次。如：「兩進院子」。《儒林外史》第一四回：「右邊一路，一間一間的房子，都有兩進。」
2.姓。如漢代有進險。</t>
  </si>
  <si>
    <t>靳</t>
  </si>
  <si>
    <t>[名]
1.古代四馬駕車，中間兩匹馬當胸繫著的皮帶。《左傳．定公九年》：「吾從子，如驂之靳。」唐．孔穎達．正義：「古人車駕四馬，夾轅二馬謂之服，兩首齊，其外二馬謂之驂，首差退。靳是當胸之皮也。」
2.姓。如清代有靳輔。
[動]
1.吝惜。宋．蘇軾〈杭州上執政書〉：「上戶有米者，皆靳借不肯出。」
2.嘲弄、戲弄。《新唐書．卷一九六．隱逸傳．王績傳》：「績之仕，以醉失職，鄉人靳之。」</t>
  </si>
  <si>
    <t>[動]
1.制止。如：「禁菸」、「嚴禁煙火」、「禁倒垃圾」。
2.拘押。如：「拘禁」、「囚禁」。《遼史．卷一一二．逆臣傳．耶律重元傳》：「先是契丹人犯法，例須漢人禁勘，受枉者多。」
[名]
1.避諱、忌諱的事。如：「入國問禁」、「時禁」。漢．王充《論衡．譏日》：「衰世好信禁，不肖君好求福。」
2.法律、習俗所不允許的行為。如：「酒禁」、「宵禁」。《三國志．卷二四．魏書．高柔傳》：「親田者既減，加頃復有獵禁。」
3.古時稱天子居住的地方。如：「宮禁」、「紫禁」。《史記．卷六．秦始皇本紀》：「二世常居禁中，與高決諸事。」</t>
  </si>
  <si>
    <t>(二)ㄐㄧㄣ jīn（05844）</t>
  </si>
  <si>
    <t>噤</t>
  </si>
  <si>
    <t>[動]
閉嘴不作聲。如：「噤若寒蟬」、「噤口不語」。《史記．卷一〇一．袁盎鼂錯傳》：「臣恐天下之士噤口，不敢復言也。」
[名]
因受驚或受寒而身體顫抖的現象。如：「凍噤」、「打了個寒噤」。</t>
  </si>
  <si>
    <t>盡</t>
  </si>
  <si>
    <t>[動]
1.完結、終止。如：「取之不盡」、「無窮無盡」、「冬盡春來」。唐．李商隱〈無題〉詩：「春蠶到死絲方盡，蠟炬成灰淚始乾。」
2.全部用出，竭力、努力完成。如：「竭盡所能」、「盡其所長」。《孟子．梁惠王上》：「寡人之於國也，盡心焉耳矣。」
3.死亡。如：「自盡」。《文選．陶淵明．歸去來辭》：「聊乘化以歸盡。」唐．李善．注：「盡謂之死。」
4.隱沒。唐．王之渙〈登鸛雀樓〉詩：「白日依山盡，黃河入海流。」
[形]
完備。如：「詳盡」。
[副]
1.全部、都。如：「應有盡有」、「盡在不言中」。《左傳．昭公二年》：「周禮盡在魯矣。」
2.極端、達到極限。如：「盡善盡美」。《文選．皇甫謐．三都賦序》：「引而申之，故文必極美；觸類而長之，故辭必盡麗。」</t>
  </si>
  <si>
    <t>濜</t>
  </si>
  <si>
    <t>[形]
濜溳：水流湍急的樣子。《廣韻．上聲．軫韻》：「濜，濜溳，水流急貌。」《文選．郭璞．江賦》：「溭淢濜溳，龍鱗結絡。」
[名]
河川名：(1)位於大陸地區河北省棗縣境。灘多水淺，不利舟楫，至襄陽縣與唐河匯合後注入漢水。(2)位於大陸地區陝西省沔縣西。</t>
  </si>
  <si>
    <t>燼</t>
  </si>
  <si>
    <t>[名]
1.物體燃燒後剩餘的東西。如：「餘燼」。《文選．曹冏．六代論》：「宗廟焚為灰燼，宮室變為蓁藪。」宋．陸游〈秋夜〉詩：「倦叟投床早，昏燈落燼頻。」
2.遺民。《左傳．襄公四年》：「靡自有鬲氏，收二國之燼，以滅浞而立少康。」晉．杜預．注：「燼，遺民。」
[動]
燒毀。《抱朴子．內篇．道意》：「大火既過，時餘不燼草木。」宋．蘇軾〈玉堂硯銘〉：「燼南山之松，為煤無餘。」</t>
  </si>
  <si>
    <t>藎</t>
  </si>
  <si>
    <t>[名]
植物名。禾本科藎草屬，「藎草」之簡稱，參見「藎草」條。一年生草本。
[形]
忠愛、忠誠。如：「忠藎」。《詩經．大雅．文王》：「王之藎臣，無念爾祖。」</t>
  </si>
  <si>
    <t>贐</t>
  </si>
  <si>
    <t>[名]
1.送行贈別的財物。《孟子．公孫丑下》：「予將有遠行，行者必以贐。」《聊齋志異．卷一．王六郎》：「許堅辭欲行，眾乃折柬抱襆，爭來致贐。」
2.外國進貢的財物。《文選．顏延之．赭白馬賦》：「或逾遠而納贐。」</t>
  </si>
  <si>
    <t>江</t>
  </si>
  <si>
    <t>ㄐㄧㄤ</t>
  </si>
  <si>
    <t>jiāng</t>
  </si>
  <si>
    <t>[名]
1.大河的通稱。如：「珠江」、「松花江」、「三江五嶽」。《水滸傳》第三八回：「前面靠江有那琵琶亭酒館，是唐朝白樂天古跡。」
2.大陸地區長江的簡稱。如：「江南」、「偏安江左」。
3.國名。嬴姓。春秋時為楚所滅，故址約在今大陸地區河南省息縣西南。
4.姓。如南朝梁有江淹。</t>
  </si>
  <si>
    <t>矼</t>
  </si>
  <si>
    <t>[名]
石橋。《玉篇．石部》：「矼，石橋。」宋．歐陽修〈廬山高贈同年劉凝之歸南康〉詩：「水聲聒聒亂人語，六月飛雪灑石矼。」</t>
  </si>
  <si>
    <t>(一)ㄑㄧㄤ qiāng（06537）</t>
  </si>
  <si>
    <t>豇</t>
  </si>
  <si>
    <t>參見「豇豆」條。</t>
  </si>
  <si>
    <t>茳</t>
  </si>
  <si>
    <t>參見「茳芏」條。</t>
  </si>
  <si>
    <t>姜</t>
  </si>
  <si>
    <t>[名]
姓。如宋代有姜夔。</t>
  </si>
  <si>
    <t>將</t>
  </si>
  <si>
    <t>[副]
1.會、可能。如：「將要」。《論語．季氏》：「季氏將伐顓臾。」
2.快要。《論語．述而》：「不知老之將至。」
3.差不多。《孟子．滕文公上》：「今滕，絕長補短，將五十里也。」
4.剛、才。如：「將哭就笑」、「他將進門沒一會兒。」
[動]
1.進步。《詩經．周頌．敬之》：「日就月將。」
2.拿、持。如：「將酒來」。唐．李白〈俠客行〉：「將炙啖朱亥，持觴勸侯嬴。」
3.扶持、扶助。《詩經．周南．樛木》：「欒只君子，福履將之。」《樂府詩集．卷二五．橫吹曲辭五．木蘭詩二首之一》：「爺孃聞女來，出郭相扶將。」
4.休息、休養。如：「將養」。宋．李清照〈聲聲慢．尋尋覓覓〉詞：「乍暖還寒時候，最難將息。」
5.送。《詩經．召南．鵲巢》：「之子于歸，百兩將之。」《淮南子．詮言》：「來者弗迎，去者弗將。」
6.進行、做。如：「慎重將事」。《清史稿．卷一〇八．選舉三》：「其衡鑒不公、草率將事者，罰不貸。」
7.下象棋時，攻擊對方的將棋或帥棋。如：「我這一步抽車，下一步就要將了！」
8.用言語刺激。如：「他個性保守，得拿話將他。」
[介]
1.把。如：「將飯做好。」、「將花插好。」、「將門關好。」
2.以、用。如：「將功折罪」。《戰國策．秦策一》：「蘇秦始將連橫說秦惠王。」
[連]
1.與、和。北周．庾信〈春賦〉：「眉將柳而爭綠，面共桃而競紅。」唐．盧象〈送綦毋潛〉詩：「欲識秦將漢，嘗聞王與裴。」
2.又、且。如：「將信將疑」。《詩經．小雅．谷風》：「將恐將懼，維予與女。」
[助]
置於動詞後，常和「進來」、「起來」、「進去」等補語連用。如：「打將起來」、「哭將起來」。唐．李商隱〈碧城〉詩三首之三：「收將鳳紙寫相思。」</t>
  </si>
  <si>
    <t>(二)ㄐㄧㄤˋ jiàng（05914）(三)ㄑㄧㄤ qiāng（06539）</t>
  </si>
  <si>
    <t>漿</t>
  </si>
  <si>
    <t>[名]
1.泛稱較濃稠的液體。如：「豆漿」、「泥漿」、「血漿」、「玉液瓊漿」。《三國志．卷三五．蜀書．諸葛亮傳》：「百姓孰敢不簞食壺漿以迎將軍者乎？」
2.用以黏貼東西的糊狀物。如：「漿糊」。
[動]
衣服用粉汁或米湯浸洗，以使筆挺。如：「漿洗」、「漿衣物」。</t>
  </si>
  <si>
    <t>螿</t>
  </si>
  <si>
    <t>參見「寒螿」條。</t>
  </si>
  <si>
    <t>僵</t>
  </si>
  <si>
    <t>[動]
1.仰倒、跌倒。《說文解字．人部》：「僵，偃也。」清．段玉裁．注：「僵謂仰倒。」《史記．卷六九．蘇秦傳》：「佯僵而棄酒。」
2.收斂起笑容，臉部表情變得嚴肅。如：「他老是僵著臉，讓人不敢親近。」
[副]
1.硬化、不靈活。如：「僵挺」、「僵硬」、「凍僵了。」
2.雙方相持不下，無法協調。如：「別把事情弄僵了！」</t>
  </si>
  <si>
    <t>橿</t>
  </si>
  <si>
    <t>[名]
1.鋤柄。漢．劉熙《釋名．釋用器》：「鋤，助也，去穢助苗長也。齊人謂其柄曰橿。」漢．桓寬《鹽鐵論．論勇》：「鉏耰棘橿，以破衝隆。」
2.一種樹木。材質堅硬，可製車、船、弓箭。《廣韻．平聲．陽韻》：「橿，一名檍，萬年木。」</t>
  </si>
  <si>
    <t>殭</t>
  </si>
  <si>
    <t>[形]
動物死後屍體不腐朽的。如：「殭屍」、「殭蠶」。</t>
  </si>
  <si>
    <t>薑</t>
  </si>
  <si>
    <t>[名]
植物名。薑科薑屬，多年生草本。葉長披針形，葉脈平行。穗狀花序毬果狀，卵形，長四至五公分，總梗長可達二十五公分，直立，苞片卵形，花冠脣形，脣瓣中央裂片倒卵形，黃綠色，具紫色條紋及黃白斑。地下莖肥大，呈不規則塊狀，色黃，味辛辣，可作蔬菜、調味料，並供藥用。經過乾燥處理後，可為芳香劑、興奮劑、驅風劑等。也稱為「生薑」。</t>
  </si>
  <si>
    <t>礓</t>
  </si>
  <si>
    <t>[名]
小石子。唐．盧綸〈題伯夷廟〉詩：「中條山下黃礓石，壘作夷齊廟裡神。」《明史．卷八七．河渠志五》：「皆山岡高阜，多砂礓石塊，極難為工。」</t>
  </si>
  <si>
    <t>疆</t>
  </si>
  <si>
    <t>[名]
1.土地的界限、邊界。如：「疆界」。《詩經．小雅．信南山》：「疆埸翼翼，黍稷彧彧。」《禮記．曲禮下》：「大夫私行，出疆必請，反必有獻。」
2.國土。如：「疆域」、「異疆」。宋．蘇軾〈生擒西蕃鬼章奏告〉：「恭行天誅，非貪尺寸之疆。」
3.極限、止境。如：「萬壽無疆」。《易經．坤卦．彖曰》：「坤厚載物，德合無疆。」
4.姓。如漢代有疆華。
[動]
劃分界限。《詩經．大雅．綿》：「迺疆迺理，迺宣迺畝。」《宋書．卷六四．何承天傳》：「良守疆其土田，驍帥振其風略。」</t>
  </si>
  <si>
    <t>[名]
繫在馬頸上的繩子。如：「韁繩」、「脫韁野馬」。</t>
  </si>
  <si>
    <t>(二)（又音）ㄍㄤ gāng（04103）</t>
  </si>
  <si>
    <t>蔣</t>
  </si>
  <si>
    <t>ㄐㄧㄤˇ</t>
  </si>
  <si>
    <t>jiǎng</t>
  </si>
  <si>
    <t>[名]
1.茭白筍的別名。參見「茭白筍」條。
2.國名。姬姓。春秋時為楚國所滅。故址約在今大陸地區河南省固始縣西北的蔣鄉。
3.姓。如清代有蔣士銓。</t>
  </si>
  <si>
    <t>槳</t>
  </si>
  <si>
    <t>[名]
划船時，在船旁撥水前進的用具。粗長的稱為「櫓」，短小的稱為「槳」。如：「船槳」。宋．蘇軾〈赤壁賦〉：「桂棹兮蘭槳，擊空明兮泝流光。」宋．張耒〈海州道中〉詩：「孤舟夜行秋水廣，秋風滿帆不搖槳。」</t>
  </si>
  <si>
    <t>獎</t>
  </si>
  <si>
    <t>[名]
1.為鼓勵或表揚而頒贈的榮譽或財物。如：「得獎」、「領獎」、「優等獎」。
2.彩金。如：「中獎」。
[動]
1.稱讚、表揚。與「懲」、「罰」相對。如：「誇獎」、「過獎」、「嘉獎」。
2.勸勉、鼓勵。如：「獎勵」。《左傳．昭公二十二年》：「以獎亂人。」宋．王安石〈次韻劉著作過茆山今平甫往遊因寄〉詩：「詩中慷慨悲陳跡，篇末慇懃獎後生。」
3.輔助、幫助。《左傳．襄公十一年》：「救災患，恤禍亂，同好惡，獎王室。」</t>
  </si>
  <si>
    <t>講</t>
  </si>
  <si>
    <t>[動]
1.談、說。如：「講話」、「講故事」。
2.說明、解釋義理。如：「講課」、「講解」、「講經」。元．張鳴善〈普天樂．講詩書〉曲：「講詩書，習功課。」
3.注重、顧及。如：「講效率」、「講交情」、「講道理」。《論語．述而》：「德之不修，學之不講，聞義不能徙，不善不能改，是吾憂也。」《禮記．禮運》：「選賢與能，講信脩睦。」
4.商議、和解。如：「講價」、「講條件」。《戰國策．秦策四》：「三國之兵深矣，寡人欲割河東而講。」
5.較量、比較高下。如：「這次競技是講文的還是講武的？」
[名]
量詞。計算講次的單位。如：「民生主義第三講」。</t>
  </si>
  <si>
    <t>顜</t>
  </si>
  <si>
    <t>[形]
1.和協。《集韻．上聲．講韻》：「顜，和也。」
2.正直、明白。《史記．卷五四．曹相國世家》：「蕭何為法，顜若畫一。」唐．司馬貞．索隱：「顜，訓直，又訓明，言法明直若畫一也。」</t>
  </si>
  <si>
    <t>匠</t>
  </si>
  <si>
    <t>ㄐㄧㄤˋ</t>
  </si>
  <si>
    <t>jiàng</t>
  </si>
  <si>
    <t>[名]
1.泛稱各種技術工人。如：「木匠」、「鐵匠」、「花匠」、「工匠」。《史記．卷一〇．孝文本紀》：「嘗欲作露臺，召匠計之，直百金。」
2.尊稱在某方面有特殊造詣的人。如：「畫壇巨匠」、「文壇巧匠」。唐．李白〈登金陵冶城西北謝安墩〉詩：「哲匠感頹運，雲鵬忽飛翻。」
[形]
技藝靈巧、構思巧妙。如：「匠心獨運」。南朝梁．劉勰《文心雕龍．章句》：「夫裁文匠筆，篇有小大。」</t>
  </si>
  <si>
    <t>洚</t>
  </si>
  <si>
    <t>參見「洚水」條。</t>
  </si>
  <si>
    <t>降</t>
  </si>
  <si>
    <t>[動]
1.從上落下。如：「降雨」、「下降」、「迫降」、「喜從天降」。
2.尊貴人物蒞臨、光臨。如：「降駕」、「光降」。《文選．潘岳．藉田賦》：「於是我皇乃降靈壇，撫御耦。」
3.賜予、給予。如：「降福」、「降罪」。《詩經．小雅．節南山》：「昊天不惠，降此大戾。」
4.壓低、貶抑。如：「降級」、「降職」、「降低」、「降價」、「降格以求」。</t>
  </si>
  <si>
    <t>(二)ㄒㄧㄤˊ xiáng（07201）</t>
  </si>
  <si>
    <t>絳</t>
  </si>
  <si>
    <t>[名]
1.大紅色。《說文解字．糸部》：「絳，大赤也。」南朝梁．劉勰《文心雕龍．通變》：「夫青生於藍，絳生於蒨。」
2.一種絲織品。《晉書．卷二一．禮志下》：「絳二匹，絹二百匹。」
3.地名。約在今大陸地區山西省翼城縣東南。
[形]
大紅色的。《文選．鮑照．蕪城賦》：「玉貌絳脣。」唐．王維〈和賈舍人早朝大明宮之作〉詩：「絳幘雞人報曉籌，尚衣方進翠雲裘。」</t>
  </si>
  <si>
    <t>弶</t>
  </si>
  <si>
    <t>[名]
一種捕捉鳥獸的工具。唐．釋玄應《一切經音義．卷一八．鞞婆沙阿毗曇論》：「如弶，今畋獵家施弶以取鳥獸者，其形似弓也。」</t>
  </si>
  <si>
    <t>強</t>
  </si>
  <si>
    <t>[形]
1.堅韌、不柔和。《淮南子．主術》：「木強而斧伐之。」《漢書．卷四二．張蒼等傳．贊曰》：「周昌，木強人也。」
2.僵硬。《儒林外史》第一一回：「一連喫了四五劑，口不歪了，只是舌根還有些強。」
3.固執、任性、不順從。如：「倔強」、「強脾氣」。</t>
  </si>
  <si>
    <t>(一)ㄑㄧㄤˊ qiáng（06556）(二)ㄑㄧㄤˇ qiǎng（06564）</t>
  </si>
  <si>
    <t>糨</t>
  </si>
  <si>
    <t>[名]
一種用來黏貼東西的稠狀物。參見「糨糊」條。
[形]
濃、稠。如：「這粥煮得太糨了，加些熱開水吧！」</t>
  </si>
  <si>
    <t>[名]
1.高級軍官。如：「大將」、「名將」、「勇將」、「將士用命」。《史記．卷七七．魏公子傳》：「將在外，主令有所不受。」
2.高級軍階。如：「上將」、「中將」、「少將」。
3.團體中的成員。如：「教練一看大勢底定，把主將換下休息，讓副將上場。」
[動]
率領。如：「韓信將兵──多多益善。」唐．盧綸〈和張僕射塞下曲〉五首之三：「欲將輕騎逐，大雪滿弓刀。」</t>
  </si>
  <si>
    <t>(一)ㄐㄧㄤ jiāng（05892）(三)ㄑㄧㄤ qiāng（06539）</t>
  </si>
  <si>
    <t>醬</t>
  </si>
  <si>
    <t>[名]
1.搗爛的肉。《說文解字．酉部》：「醬，醢也。」清．段玉裁．注：「從肉者，醢無不用者也。」
2.通稱搗爛如泥的食物。如：「果醬」、「魚子醬」、「鵝肝醬」、「花生醬」。
3.豆、麵等發酵後，加鹽製成的調味品。如：「酢醬」、「甜麵醬」、「豆瓣醬」。
[形]
用醬油等醃漬的。如：「醬瓜」、「醬菜」。
[動]
把食物浸漬在醬油裡，使添滋味。如：「把這些小黃瓜醬一醬。」</t>
  </si>
  <si>
    <t>ㄐㄧㄥ</t>
  </si>
  <si>
    <t>jīng</t>
  </si>
  <si>
    <t>[動]
經歷、經過。如：「少不更事」。《史記．卷一二三．大宛傳》：「漢方欲事滅胡，……因欲通使，道必更匈奴中，乃募能使者。」</t>
  </si>
  <si>
    <t>(一)ㄍㄥ gēng（04111）(三)ㄍㄥˋ gèng（04131）</t>
  </si>
  <si>
    <t>(一)（讀音）ㄍㄥ gēng（04112）</t>
  </si>
  <si>
    <t>京</t>
  </si>
  <si>
    <t>[名]
1.人工所堆砌的高丘。《說文解字．京部》：「京，人所為絕高丘也。」《詩經．小雅．甫田》：「曾孫之庾，如坻如京。」漢．毛亨．傳：「京，高丘也。」《三國志．卷八．魏書．公孫瓚傳》：「為圍塹十重，於塹裡築京，皆高五、六丈。」
2.大的方形穀倉。《管子．輕重丁》：「有新成囷京者二家。」
3.國都、首都。如：「京師」、「帝京」。唐．白居易〈琵琶行〉：「自言本是京城女，家在蝦蟆陵下住。」
4.數目字。古代以十億為兆，十兆為京。《孫子算經．卷上》：「凡大數之法：萬萬曰億；萬萬億曰兆；萬萬兆曰京。」
5.姓。如漢代有京房。
[形]
高大。《爾雅．釋詁》：「京，大也。」《文選．張衡．西京賦》：「燎京薪，駴雷鼓。」
[動]
齊等、比擬。《左傳．莊公二十二年》：「八世之後，莫之與京。」</t>
  </si>
  <si>
    <t>(二)ㄩㄢˊ yuán（11775）</t>
  </si>
  <si>
    <t>鯨</t>
  </si>
  <si>
    <t>[名]
動物名。脊椎動物門哺乳綱鯨目。生活在海洋中，胎生，是現今世界上最大的動物。外形像魚，用肺呼吸，鼻孔位於頭頂上，故常露出水面呼吸。皮、肉可食，脂肪可製油，亦供醫藥及工業之用。俗稱為「鯨魚」。</t>
  </si>
  <si>
    <t>青</t>
  </si>
  <si>
    <t>參見「青青」(二)條。</t>
  </si>
  <si>
    <t>(一)ㄑㄧㄥ qīng（06576）</t>
  </si>
  <si>
    <t>菁</t>
  </si>
  <si>
    <t>[名]
1.韭菜花。《說文解字．艸部》：「菁，韭華也。」即「韭菜」之花，參「韭菜」條。
2.泛指花朵。東周戰國．宋玉〈高唐賦〉：「秋蘭茝蕙，江離載菁。」
3.植物名。十字花科蕓薹屬，「蕪菁」、「大頭菜」之古稱，參見「蕪菁」條。</t>
  </si>
  <si>
    <t>睛</t>
  </si>
  <si>
    <t>[名]
1.眼珠。如：「目不轉睛」、「畫龍點睛」。
2.眼睛。《西遊記》第三八回：「那行者睜睛看處，真個的背在身上。」</t>
  </si>
  <si>
    <t>精</t>
  </si>
  <si>
    <t>[名]
1.良質純淨的米。《論語．鄉黨》：「食不厭精，膾不厭細。」《莊子．人間世》：「鼓筴播精，足以食十人。」
2.物質經過提煉後，純淨無雜質的部分。如：「酒精」、「香精」、「糖精」。
3.心神。如：「聚精會神」。《莊子．刻意》：「形勞而不休則弊，精用而不已則勞。」《文選．司馬相如．上林賦》：「抏士卒之精，費府庫之財。」
4.神怪稱為「精」。如：「精怪」、「妖精」、「狐狸精」。
5.男性的精液。如：「遺精」、「射精」。
[動]
嫻熟、擅長。如：「精通」。唐．韓愈〈進學解〉：「業精於勤荒於嬉。」《金史．卷一一〇．李獻甫傳》：「尤精左氏及地理學。」
[形]
1.細緻、細密。與「粗」相對。如：「精細」、「精密」。《呂氏春秋．不苟論．博志》：「用志如此其精也，何事而不達？」
2.品質優良。如：「精鹽」、「精兵」。《後漢書．卷五九．張衡傳》：「陽嘉元年，復造候風地動儀，以精銅鑄成。」宋．蘇軾〈答謝民師書〉：「文章如精金美玉，市有定價，非人所能以口舌定貴賤也。」
3.佳、最好。如：「精品」。《史記．卷一二八．褚少孫補．龜策傳》：「婦女不彊，布帛不精。」
4.光、空。《水滸傳》第二八回：「我精拳頭有一雙相送！」
[副]
1.極、甚、非常。如：「精溼」、「精瘦」。
2.全部、全數。《儒林外史》第五回：「將些衣服、金珠、首飾，一擄精空。」《老殘遊記》第一九回：「不消半個更頭，四百多銀子又輸得精光。」</t>
  </si>
  <si>
    <t>箐</t>
  </si>
  <si>
    <t>[名]
笭箐：小籠子。《集韻．平聲．清韻》：「箐，笭箐，小籠。」宋．梅堯臣〈和韻三和戲示〉詩：「笭箐畫蛤瓦缸醅，海若淮壖各寄來。」</t>
  </si>
  <si>
    <t>(二)ㄑㄧㄢˋ qiàn（06494）</t>
  </si>
  <si>
    <t>鶄</t>
  </si>
  <si>
    <t>鼱</t>
  </si>
  <si>
    <t>參見「鼩鼱」條。</t>
  </si>
  <si>
    <t>涇</t>
  </si>
  <si>
    <t>參見「涇河」條。</t>
  </si>
  <si>
    <t>莖</t>
  </si>
  <si>
    <t>[名]_x000D_
1.植物的營養器官，其上著生葉，具有支持、輸送水分、無機鹽分和養分的功能。外形和構造可分草本與木本兩類。草本植物的主幹柔弱，生長時高度及粗細均受限制；木本植物的主幹則粗而明顯。_x000D_
2.器物的柄幹。《周禮．冬官考工記．桃氏》：「以其臘廣為之莖，圍長倍之。」漢．鄭玄．注：「臘，謂兩刃。莖，在夾中者。」_x000D_
[量]_x000D_
計算細條狀物體的單位。如：「小草數莖」。唐．杜甫〈樂遊園歌〉：「數莖白髮那拋得，百罰深杯亦不辭。」</t>
  </si>
  <si>
    <t>經</t>
  </si>
  <si>
    <t>[名]
1.織布機或編織物上的直線，稱為「經」。《說文解字．糸部》：「經，織從絲。」南朝梁．劉勰《文心雕龍．情采》：「經正而後緯成。」
2.連接地球南、北兩極的假想直線。如：「東經」、「西經」。
3.人體的脈絡。如：「經脈」、「經絡」。
4.常道。如：「天經地義」、「離經叛道」。《左傳．昭公二十五年》：「夫禮，天之經也。」《莊子．養生主》：「為善無近名，為惡無近刑，緣督以為經。」
5.有特殊價值，被尊為典範的著作。如：四書、五經、十三經。《荀子．勸學》：「始乎誦經，終乎讀禮。」
6.中國圖書目錄四部分類之一。即經、子、史、集的「經」，指儒家典籍及小學方面的書。
7.闡揚宗教教義的典籍。如：佛經、《聖經》、《可蘭經》。
8.專講某種事物或技藝的文章、著作。如：《水經》、《茶經》、《馬經》、《山海經》。
9.女性月經的簡稱。如：「經期」、「停經」、「閉經」。
10. 數目字。古代以十億為兆，十兆為經。見《太平御覽．卷七五〇．工藝部．數》。
11. 姓。如晉代有經曠。
[動]
1.劃分、度量。《周禮．天官．冢宰》：「體國經野。」《淮南子．要略》：「經山陵之形，區川谷之居。」
2.從事、謀劃。如：「經商」、「慘澹經營」。
3.治理、管理。如：「經世濟民」。《周禮．天官．大宰》：「以經邦國，以治官府。」
4.歷、過。如：「身經百戰」、「飽經憂患」、「經年累月」。唐．李商隱〈籌筆驛〉詩：「他年錦里經祠廟，梁父吟成恨有餘。」
5.承受、忍受。如：「經得起挫折的考驗。」
6.縊、上吊。《論語．憲問》：「自經於溝瀆而莫之知也。」《史記．卷八二．田單傳》：「遂經其頸於樹枝，自奮絕脰而死。」
[形]
平常、尋常。如：「荒誕不經」。《史記．卷一二．孝武本紀》：「所忠視其書不經，疑其妄書。」
[副]
恆常、時常。如：「他經常頭痛。」《文選．嵇康．與山巨源絕交書》：「然經怪此意尚未熟悉於足下，何從便得之也？」</t>
  </si>
  <si>
    <t>荊</t>
  </si>
  <si>
    <t>[名]
1.植物名。落葉灌木。枝條可編籃筐，有牡荊、紫荊、黃荊多種。
2.荊木製成的鞭子，古代用作刑杖。《史記．卷八一．廉頗藺相如傳》：「肉袒負荊，因賓客至藺相如門謝罪。」
3.州名。中國古代九州之一，荊族居住的地方。參見「荊州」條。
4.舊時對人謙稱自己的妻子。如：「拙荊」、「寒荊」。
5.姓。如戰國時燕有荊軻。</t>
  </si>
  <si>
    <t>(一)（讀音）ㄍㄥ gēng（04117）</t>
  </si>
  <si>
    <t>旌</t>
  </si>
  <si>
    <t>[名]
1.一種旗杆上裝飾著五彩羽毛的旗子。《說文解字．㫃部》：「旌，游車載旌，析羽注旄首，所以精進士卒。」《禮記．曲禮上》：「武車綏旌，德車結旌。」唐．杜甫〈哀江頭〉詩：「憶昔霓旌下南苑，苑中萬物生顏色。」
2.尊稱他人的行蹤。如：「文旌」、「行旌」。
[動]
1.表示、說明。《左傳．定公元年》：「生不能事，死又離之，以自旌也。」《文選．張衡．思玄賦》：「旌性行以製珮兮，佩夜光與瓊枝。」
2.表揚、表彰。《左傳．僖公二十四年》：「以志吾過，且旌善人。」南朝梁．劉勰《文心雕龍．誄碑》：「累其德行，旌之不朽也。」</t>
  </si>
  <si>
    <t>旍</t>
  </si>
  <si>
    <t>[名]
旗子。同「旌」。《呂氏春秋．季夏紀．明理》：「有其狀若懸旍而赤，其名曰『雲旍』。」</t>
  </si>
  <si>
    <t>晶</t>
  </si>
  <si>
    <t>[名]
1.光輝。《說文解字．晶部》：「晶，精光也。」唐．德宗〈七月十五日題章敬寺〉詩：「遠煙凝翠晶。」宋．張君房《雲笈七籤．卷二．太上老君開天經》：「無日無月，無晶無光。」
2.水晶的簡稱。參見「水晶」條。
[形]
清朗、明淨。唐．宋之問〈明河篇〉：「八月涼風天氣晶，萬里無雲河漢明。」</t>
  </si>
  <si>
    <t>兢</t>
  </si>
  <si>
    <t>參見「兢兢」條。</t>
  </si>
  <si>
    <t>驚</t>
  </si>
  <si>
    <t>[動]
1.馬因突來的刺激而行動失常，不受控制。《說文解字．馬部》：「驚，馬駭也。」《史記．卷一〇二．張釋之傳》：「有一人從橋下走出，乘輿馬驚。」
2.害怕、恐懼。如：「驚慌」、「驚怕」。《史記．卷九二．淮陰侯傳》：「至拜大將，乃韓信也，一軍皆驚。」
3.震動、震撼。如：「驚天動地」、「打草驚蛇」。《漢書．卷六八．霍光傳》：「顯恐事敗，即具以實語光，光大驚。」唐．杜甫〈江上值水如海勢聊短述〉詩：「為人性僻耽佳句，語不驚人死不休。」
4.被觸動、擾亂。如：「驚擾」。晉．陶淵明〈詠荊軻詩〉：「商音更流涕，羽奏壯士驚。」唐．杜甫〈春望〉詩：「感時花濺淚，恨別鳥驚心。」</t>
  </si>
  <si>
    <t>井</t>
  </si>
  <si>
    <t>ㄐㄧㄥˇ</t>
  </si>
  <si>
    <t>jǐng</t>
  </si>
  <si>
    <t>[名]
1.為汲水而挖掘的深洞。如：「水井」、「枯井」。《孟子．公孫丑上》：「今人乍見孺子將入於井。」
2.像井的坑洞。如：「鹽井」、「油井」。
3.人口聚居的地方。如：「市井」。《史記．卷七七．魏公子傳》：「臣迺市井鼓刀屠者，而公子親數從之。」唐．陳子昂〈謝賜冬衣表〉：「三軍協慶，萬井相歡。」
4.家鄉。如：「鄉井」、「離鄉背井」。
5.周代田制以百畝為一井。參見「井田」條。
6.《易經》卦名。六十四卦之一。巽（☴）下坎（☵）上。表示君子修德，終始無變之象。
7.姓。如明代有井源。
[形]
整齊的樣子。如：「井井有條」。</t>
  </si>
  <si>
    <t>阱</t>
  </si>
  <si>
    <t>[名]
為防禦或捕捉野獸而挖鑿的坑洞。如：「陷阱」。《周禮．秋官．雍氏》：「春令為阱擭溝瀆之利於民者，秋令塞阱杜擭。」</t>
  </si>
  <si>
    <t>剄</t>
  </si>
  <si>
    <t>[動]
用刀割頸。《玉篇．刀部》：「剄，以刀割頸也。」《史記．卷七．項羽本紀》：「大司馬咎、長史翳、塞王欣皆自剄汜水上。」</t>
  </si>
  <si>
    <t>[名]
1.頭與軀幹相連的部分。如：「引頸而望」。《莊子．馬蹄》：「夫馬陸居則食草飲水，喜則交頸相靡，怒則分背相踶。」
2.器物瓶口下如人頸的部分。如：「瓶頸」。《禮記．投壺》：「壺頸脩七寸，腹脩五寸。」</t>
  </si>
  <si>
    <t>(二)ㄍㄥˇ gěng（04128）</t>
  </si>
  <si>
    <t>景</t>
  </si>
  <si>
    <t>[名]
1.日光。晉．張載〈七哀〉詩二首之二：「朱光馳北陸，浮景忽西沉。」晉．陶淵明〈歸去來辭〉：「景翳翳以將入，撫孤松而盤桓。」
2.時光。南朝宋．謝靈運〈登江中孤嶼〉詩：「懷雜道轉迥，尋異景不延。」
3.可供玩賞的形色。如：「風景」、「山景」、「景物依舊，人事全非。」
4.情況、境遇。如：「晚景淒涼」。宋．蘇軾〈西山戲題武昌王居士〉詩：「解襟顧景各箕踞，擊劍賡歌幾舉觥。」《紅樓夢》第四六回：「率性把方才鳳姐過去回來所有的形景言詞、始末原由，告訴與他。」
5.戲劇、電影中因布景不同而畫分的段落。如：「第一幕第三景」。
6.姓。如戰國時楚國有景差。
[動]
仰慕。《後漢書．卷三九．劉趙淳于江劉周趙列傳．劉般》：「今愷景仰前脩，有伯夷之節。」唐．李白〈與韓荊州書〉：「何令人之景慕一至於此耶！」
[形]
大。《詩經．小雅．小明》：「神之聽之，介爾景福。」《隋書．卷三．煬帝紀上》：「朕嗣膺景業，傍求雅訓，有一弘益，欽若令典。」</t>
  </si>
  <si>
    <t>(二)ㄧㄥˇ yǐng（11207）</t>
  </si>
  <si>
    <t>憬</t>
  </si>
  <si>
    <t>[動]
覺悟。如：「憬悟」。隋．盧思道〈為隋檄陳文〉：「憬彼江黃之眾，逖矣彭濮之民。」</t>
  </si>
  <si>
    <t>璟</t>
  </si>
  <si>
    <t>[名]
玉的光彩。《廣韻．上聲．梗韻》：「璟，玉光彩。」</t>
  </si>
  <si>
    <t>儆</t>
  </si>
  <si>
    <t>[動]
1.戒備。通「警」。如：「儆備」。唐．劉禹錫〈儆舟〉：「困而後儆，斯弗及已。」
2.警告、懲戒。通「警」。如：「殺一儆百」、「殺雞儆猴」。《孔子家語．卷一．五儀解》：「故天災地妖所以儆人主也。」</t>
  </si>
  <si>
    <t>警</t>
  </si>
  <si>
    <t>[動]
1.告誡。如：「警告」。《韓非子．外儲說左上》：「李悝警其兩和。」《紅樓夢》第二一回：「原來襲人見他無曉夜和姐妹廝鬧，若直勸他，料不能改，故用柔情以警之。」
2.戒備。如：「警備」、「警惕」。《左傳．莊公三十一年》：「凡諸侯有四夷之功，則獻于王，王以警于夷。」
3.覺悟、覺醒。如：「警覺」。清．曾國藩〈江岷樵之父母壽序〉：「口敝而手疲，昕警而夕戒。」
[形]
1.敏捷。如：「機警」。《新唐書．卷九六．房玄齡傳》：「玄齡幼警敏，貫綜墳籍，善屬文，書兼草隸。」
2.形容文詞語意凝鍊。如：「警句」。《文選．陸機．文賦》：「立片言而居要，乃一篇之警策。」
[名]
1.危險、緊急的消息或狀況。如：「邊警」、「火警」。
2.警察的簡稱。如：「交警」、「義警」、「保警」、「刑警」。</t>
  </si>
  <si>
    <t>肵</t>
  </si>
  <si>
    <t>ㄐㄧㄥˋ</t>
  </si>
  <si>
    <t>jìng</t>
  </si>
  <si>
    <t>(一)ㄑㄧˊ qí（06235）</t>
  </si>
  <si>
    <t>[形]
1.強而有力。如：「勁敵」。《墨子．節葬下》：「耳目不聰明，手足不勁強。」《戰國策．韓策一》：「天下之強弓勁弩，皆自韓出。」
2.堅韌、堅強。如：「疾風知勁草」。
3.剛健正直。如：「勁節」。《荀子．儒效》：「行法至堅，不以私欲亂所聞，如是，則可謂勁士矣。」
4.猛烈、強烈。晉．陶淵明〈飲酒詩〉二〇首之四：「勁風無榮木，此蔭獨不衰。」宋．陸游〈醉中懷眉山舊遊〉詩：「勁酒少和氣，哀歌無歡情。」</t>
  </si>
  <si>
    <t>(二)ㄐㄧㄣˋ jìn（05863）</t>
  </si>
  <si>
    <t>徑</t>
  </si>
  <si>
    <t>[名]
1.小路，或泛指道路。如：「幽徑」、「羊腸小徑」。《楚辭．宋玉．招魂》：「皋蘭被徑兮斯路漸，湛湛江水兮上有楓。」唐．杜甫〈客至〉詩：「花徑不曾緣客掃，蓬門今始為君開。」
2.比喻達到目的的方法或過程。如：「捷徑」、「門徑」、「途徑」。
3.通過圓心的弦稱為直徑，圓心到圓上任一點的線段稱為半徑。
4.長度。宋．蘇軾〈竹枝歌〉：「海濱長鯨徑千尺，食人為糧安可入。」明．徐弘祖《徐霞客遊記．卷六下．滇遊日記五》：「東西抵山，共徑十五里。」
[動]
行走。《漢書．卷五四．李廣蘇建傳．蘇建》：「徑萬里兮度沙幕，為君將兮奮匈奴。」三國魏．阮籍〈詠懷詩〉八二首之二五：「日月徑千里，素風發微霜。」
[副]
1.直接。通「逕」。如：「徑行辦理」、「言畢徑去」。
2.竟然。通「竟」。《史記．卷一二六．滑稽列傳．淳于髡》：「髡恐懼俯伏而飲，不過一斗徑醉矣。」</t>
  </si>
  <si>
    <t>逕</t>
  </si>
  <si>
    <t>[名]
小路。通「徑」。《玉篇．辵部》：「逕，路逕也。」《莊子．徐无鬼》：「夫逃虛空者，藜藿柱乎鼪鼬之逕。」唐．杜牧〈山行〉詩：「遠上寒山石徑斜，白雲生處有人家。」
[動]
1.至、到。唐．韓愈〈復志賦〉：「君之門不可徑而入兮，遂從試於有司。」
2.注入。北魏．酈道元《水經注．河水注》：「恆水又東逕藍莫塔，塔邊有池。」
[副]
直接。如：「逕至」、「逕寄」。《三國志．卷五四．吳書．魯肅傳》：「備惶遽奔走，欲南渡江，肅逕迎之到當陽長阪。」《喻世明言．卷二一．臨安里錢留婆發跡》：「帶著三分酒興，逕往南門街上而來。」</t>
  </si>
  <si>
    <t>脛</t>
  </si>
  <si>
    <t>[名]
從膝蓋到腳跟的部分。俗稱為「小腿」。</t>
  </si>
  <si>
    <t>痙</t>
  </si>
  <si>
    <t>參見「痙攣」條。</t>
  </si>
  <si>
    <t>凊</t>
  </si>
  <si>
    <t>[形]
寒冷。《說文解字．冫部》：「凊，寒也。」唐．柳宗元〈天對〉：「凊溫燠寒，迭出於時。」</t>
  </si>
  <si>
    <t>婧</t>
  </si>
  <si>
    <t>[動]
竦立。《說文解字．女部》：「婧，竦立也。」
[形]
纖弱的樣子。明．張自烈《正字通．女部》：「婧，纖弱貌。」</t>
  </si>
  <si>
    <t>靖</t>
  </si>
  <si>
    <t>[動]
1.平定。《左傳．昭公十三年》：「諸侯靖兵，好以為事。」唐．岑文本〈冊趙王孝恭改封河間郡王文〉：「擁節西騖，靖巴漢之妖氛。」
2.治理。《詩經．小雅．菀柳》：「俾予靖之，後予極焉。」漢．毛亨．傳：「靖，治。」唐．陸贄〈論兩河及淮西利害狀〉：「若不靖於本，而務救於末，則救之所為，乃禍之所起也。」
3.計劃、圖謀。《詩經．大雅．召旻》：「昏椓靡共，潰潰回遹，實靖夷我邦。」《漢書．卷七三．韋賢傳》：「嗟我後人，命其靡常，靖享爾位，瞻仰靡荒。」
[形]
1.恭敬。《管子．大匡》：「士處靖，敬老與貴，交不失禮。」
2.安定、平安。宋．曾鞏〈試中書舍人制誥三道〉：「今方內靖嘉，百揆攸敘。」
[名]
1.清靜。《管子．百心》：「建當立有以靖為宗，以時為寶，以政為儀。」
2.姓。如唐代有靖君亮。</t>
  </si>
  <si>
    <t>靚</t>
  </si>
  <si>
    <t>[形]
1.漂亮、美麗。《後漢書．卷八九．南匈奴傳》：「昭君豐容靚飾，光明漢宮，顧景裴回，竦動左右。」唐．陸龜蒙〈鄴宮詞〉二首之二：「曉日靚妝千騎女，白櫻桃下紫綸巾。」
2.沉靜。通「靜」。《文選．揚雄．甘泉賦》：「帷弸環其拂汨兮，稍暗暗而靚深。」元．貢師泰〈擬古〉詩三首之一：「意態閒且靚，氣若蘭蕙芳。」</t>
  </si>
  <si>
    <t>[形]
強勁。清．王念孫《廣雅疏證．卷一下．釋詁》：「倞，強也。」</t>
  </si>
  <si>
    <t>(一)ㄌㄧㄤˋ liàng（03676）</t>
  </si>
  <si>
    <t>淨</t>
  </si>
  <si>
    <t>[形]
1.清潔。如：「乾淨」、「潔淨」、「窗明几淨」。《墨子．節葬下》：「若苟貧，是栥盛酒醴不淨潔也。」
2.純粹的、實質的。如：「淨利」。
[動]
使清潔。《國語．周語中》：「淨其巾羃，敬其祓除，體解節折而共飲食之。」
[副]
1.全部、全都。如：「這裡頭淨是水。」
2.只、僅。如：「屋裡淨剩下他一個人了。」《兒女英雄傳》第一九回：「咱們就該著淨找樂兒了！怎麼倒添了想不開了呢？」
[名]
一種戲劇角色。大都扮演勇猛、剛強、正直、奸險等性格的人物，也因角色的不同而有正淨、副淨、武淨、末淨等的區分。今稱為「花臉」。</t>
  </si>
  <si>
    <t>竫</t>
  </si>
  <si>
    <t>[動]
杜撰。《公羊傳．文公十二年》：「以為能變也，其為能變奈何，惟諓諓善竫言。」
[副]
靜。通「靜」。《呂氏春秋．慎大覽．貴因》：「秦越遠塗也，竫立安坐而至者，因其械也。」《後漢書．卷五二．崔駰傳》：「竫潛思於至賾兮，騁六經之奧府。」</t>
  </si>
  <si>
    <t>靜</t>
  </si>
  <si>
    <t>[動]_x000D_
止、安定。與「動」相對。如：「樹欲靜而風不止，子欲養而親不在。」《墨子．非攻下》：「卿制大極，而神民不違，天下乃靜。」《淮南子．本經》：「哀斯憤，憤斯怒，怒斯動，動則手足不靜。」_x000D_
[形]_x000D_
1.安定不動的。如：「風平浪靜」。_x000D_
2.緘默無聲。如：「安靜」、「寧靜」、「更深夜靜」。明．陸采《懷香記》第二齣：「牛羊已下山徑靜，鳥鵲爭歸林木擾。」_x000D_
3.烈。《詩經．邶風．靜女》：「靜女其姝，俟我於城隅。」唐．方干〈書桃花塢周處土壁〉詩：「自學古賢修靜節，唯應野鶴識高情。」_x000D_
4.恬淡、平和。唐．崔融〈報三原李少府書〉：「撤函敷紙，恬神靜諷。」唐．杜甫〈送孔巢父謝病歸遊江東兼呈李白〉詩：「蔡侯靜者意有餘，清夜置酒臨前除。」_x000D_
[副]_x000D_
安謐。《後漢書．卷一六．鄧寇列傳．鄧禹》：「檢敕宗族，闔門靜居。」</t>
  </si>
  <si>
    <t>竟</t>
  </si>
  <si>
    <t xml:space="preserve">音 </t>
  </si>
  <si>
    <t>[動]
1.樂曲演奏完畢。《說文解字．音部》：「竟，樂曲盡為竟。」
2.完成、終了、完畢。如：「未竟之業」。《晉書．卷七九．謝安傳》：「看書既竟，便攝放床上。」唐．柳宗元〈田家〉詩三首之三：「是時收穫竟，落日多樵牧。」
3.窮究、追究。如：「窮原竟委」。《漢書．卷六八．霍光傳》：「此縣官重太后，故不竟也。」唐．顏師古．注：「竟，窮竟其事也。」
[形]
全、整。如：「竟日」、「竟夜」。唐．張九齡〈望月懷遠〉詩：「情人怨遙夜，竟夕起相思。」
[副]
1.居然。如：「竟然」、「他竟敢不理我。」唐．杜甫〈陪鄭廣文遊何將軍山林〉詩一〇首之三：「漢使徒空到，神農竟不知。」《紅樓夢》第六二回：「原來今日也是平姑娘的千秋，我竟不知。」
2.到底、終於。如：「有志者事竟成。」唐．李詢〈贈織錦人〉詩：「札札機聲曉復晡，眼穿力盡竟何如！」
3.直接。《三國演義》第四二回：「我竟往夏口，盡起軍前來相助。」</t>
  </si>
  <si>
    <t>境</t>
  </si>
  <si>
    <t>[名]
1.疆界。如：「邊境」、「國境」。《孟子．梁惠王下》：「臣始至於境，問國之大禁，然後敢入。」唐．韓愈〈朝散大夫越州刺史薛公墓誌銘〉：「四境之內，竟歲無一事。」
2.地方、區域。如：「仙境」、「勝境」。晉．陶淵明〈飲酒詩〉二〇首之五：「結廬在人境，而無車馬喧。」
3.情況、光景。如：「順境」、「逆境」、「家境」。南朝宋．劉義慶《世說新語．排調》：「顧長康啖甘蔗，先食尾。問所以，云：『漸至佳境。』」宋．陸游〈懷昔〉詩：「豈知墮老境，槁木蒙霜菅。」
4.程度、地步。如：「學無止境」、「已臻化境」。</t>
  </si>
  <si>
    <t>獍</t>
  </si>
  <si>
    <t>[名]
傳說中的惡獸，體型似虎豹，但較小，性格凶暴，一生出便會食其母獸。南朝梁．任昉《述異記》卷上：「獍之為獸，狀如虎豹而小，始生還食其母。」</t>
  </si>
  <si>
    <t>鏡</t>
  </si>
  <si>
    <t>[名]
1.用來反映物體形象的器具。古代用銅、鐵等金屬磨光製成，近代則用玻璃在背面塗水銀製成。如：「銅鏡」、「寶鏡」。南朝梁．無名氏〈木蘭詩〉二首之一：「當窗理雲鬢，對鏡帖花黃。」
2.利用光學原理製成可矯正視力或做光學實驗用的器具。鏡片一般用玻璃製成。如：「望遠鏡」、「眼鏡」、「顯微鏡」。
3.可供參考或警惕的事情。如：「借鏡」。
4.姓。如漢代有鏡斂。
[動]
1.映照。《墨子．非攻中》：「鏡於水，見面之容。」唐．李商隱〈無題〉詩：「曉鏡但愁雲鬢改，夜吟應覺月光寒。」
2.省察。《淮南子．齊俗》：「抱大聖之心，以鏡萬物之情。」《南史．卷二〇．謝弘微傳》：「以易限之鑒，鏡難源之情。」
3.鑑誡。《史記．卷一八．高祖功臣侯年表》：「居今之世，志古之道，所以自鏡也。」《漢書．卷八五．谷永傳》：「願陛下追觀夏、商、周、秦所以失之，以鏡考己行。」
[形]
明淨。隋．煬帝〈賜書召釋慧覺〉：「其義端雄辯，獨演暢于稽陰，談柄微言，偏引汲於鏡水。」唐．杜牧〈長安秋望〉詩：「樓倚霜樹外，鏡天無一毫。」</t>
  </si>
  <si>
    <t>敬</t>
  </si>
  <si>
    <t>[動]
1.尊重。如：「敬重」、「敬老尊賢」。《論語．先進》：「門人不敬子路。」漢．王符《潛夫論．述赦》：「君敬法則法行，君慢法則法弛。」
2.有禮貌的獻上。如：「敬茶」、「敬酒」。《紅樓夢》第五四回：「又命寶玉：『也敬你姐姐一杯。』」
[副]
慎重、恭敬。如：「敬贈」、「敬賀」。《論語．子路》：「居處恭，執事敬。」宋．邢昺．疏：「居處恭謹，執事敬慎。」宋．蘇軾〈答陳傳道〉五首之四：「新舊諸詩，幸得敬覽，不意餘生，復見斯作。」
[名]
1.恭肅。《禮記．大學》：「為人臣，止於敬。」
2.表示敬意、謝意或祝賀之意的禮物。如：「喜敬」、「賀敬」、「節敬」。《後漢書．卷五三．周燮傳》：「遣生送敬，遂辭疾而歸。」《警世通言．卷一一．蘇知縣羅衫再和》：「便吩咐門子，於庫房取書儀十兩，送與蘇雨為程敬。」
3.姓。如唐代有敬元禮。</t>
  </si>
  <si>
    <t>競</t>
  </si>
  <si>
    <t>[動]
1.爭論。《說文解字．誩部》：「競，彊語也。」清．段玉裁．注：「彊語謂相爭。」北齊．顏之推《顏氏家訓．省事》：「前在修文令曹，有山東學士與關中太史競歷。」王利器．集解：「競歷，謂爭論歷法。」
2.比賽、爭逐。如：「競爭」、「競選」。
[副]
爭著。《楚辭．屈原．離騷》：「眾皆競進以貪婪兮，憑不猒乎求索。」《後漢書．卷五四．楊震傳》：「樊豐等因乘輿在外，競修第宅。」
[名]
爭強求勝的心態。《詩經．大雅．桑柔》：「君子實維，秉心無競。」漢．鄭玄．箋：「其執心不彊於善，而好以力爭。」
[形]
強、盛。《爾雅．釋言》：「競，逐強也。」《左傳．僖公七年》：「心則不競，何憚於病。」晉．杜預．注：「競，強也。」《後漢書．卷六四．盧植傳》：「又比世祚不競，仍外求嗣，可謂危矣。」</t>
  </si>
  <si>
    <t>且</t>
  </si>
  <si>
    <t>ㄐㄩ</t>
  </si>
  <si>
    <t>jū</t>
  </si>
  <si>
    <t>[名]_x000D_
農曆六月。《爾雅．釋天》：「六月為且。」_x000D_
[助]_x000D_
用於句末，近似於表示感嘆的「啊」。《詩經．鄭風．褰裳》：「狂童之狂也且！」</t>
  </si>
  <si>
    <t>(一)ㄑㄧㄝˇ qiě（06330）</t>
  </si>
  <si>
    <t>沮</t>
  </si>
  <si>
    <t>[名]
1.河川名。源出大陸地區湖北省，東南流至當陽與漳水匯合，南流至江陵注入長江。
2.姓。如漢代有沮授。</t>
  </si>
  <si>
    <t>(二)ㄐㄩˇ jǔ（06012）(三)ㄐㄩˋ jù（06043）</t>
  </si>
  <si>
    <t>狙</t>
  </si>
  <si>
    <t>[名]
獼猴屬動物的泛稱。體色灰或褐色，臉及臀部呈紅或粉紅色。雄獼猴的牙齒長而尖銳，是主要武器。生活在樹上與地上。以果實、穀物、昆蟲及蔬菜為食。清．王念孫《廣雅疏證．卷一〇下．釋獸》：「狙，獼猴也。」
[形]
狡猾、奸詐。如：「狙詐」。唐．柳宗元〈罵尸蟲文〉：「縱其狙詭，延其變詐。」《聊齋志異．卷一〇．席方平》：「且飛揚其狙獪之奸，更不嫌乎鬼瘦。」
[動]
伺機、窺伺。《管子．七臣七主》：「從狙而好小察。」《史記．卷五十五．留侯世家》：「良與客狙擊秦皇帝博浪沙中。」</t>
  </si>
  <si>
    <t>苴</t>
  </si>
  <si>
    <t>[名]
1.可結子的麻，亦稱麻的子實為「苴」。《玉篇．艸部》：「苴，麻也。」《詩經．豳風．七月》：「九月叔苴，采荼薪樗。」漢．毛亨．傳：「叔，拾也；苴，麻子也。」
2.姓。如唐代有苴那時。
[形]
粗劣、不精緻。《墨子．兼愛下》：「昔者晉文公好苴服。」
[動]
包裹。《禮記．內則》：「實棗於其腹中，編萑以苴之。」</t>
  </si>
  <si>
    <t>(二)ㄐㄩˇ jǔ（06014）</t>
  </si>
  <si>
    <t>砠</t>
  </si>
  <si>
    <t>[名]
有石頭的土山。《爾雅．釋山》：「土戴石為砠。」晉．郭璞．注：「土山上有石者。」《宋書．卷六七．謝靈運傳》：「山匪砠而是岵，川有清而無濁。」</t>
  </si>
  <si>
    <t>疽</t>
  </si>
  <si>
    <t>[名]
一種毒瘡。多生於肩、背、臀等處。明．張自烈《正字通．疒部》：「癰之深者曰疽，疽深而惡，癰淺而大。」《聊齋志異．卷一一．王十》：「（蒺藜）骨朵擊處，皆成巨疽，渾身腐潰，臭不可近。」</t>
  </si>
  <si>
    <t>罝</t>
  </si>
  <si>
    <t>[名]
1.捕捉兔子的網。《說文解字．网部》：「罝，兔网也。」《詩經．周南．兔罝》：「肅肅兔罝，施于中林。」
2.泛稱捕捉鳥獸的網子。《文選．張衡．西京賦》：「結罝百里，迒杜蹊塞。」</t>
  </si>
  <si>
    <t>蛆</t>
  </si>
  <si>
    <t>(一)ㄑㄩ qū（06623）</t>
  </si>
  <si>
    <t>趄</t>
  </si>
  <si>
    <t>參見「趑趄」條。</t>
  </si>
  <si>
    <t>(二)ㄑㄧㄝˋ qiè（06344）</t>
  </si>
  <si>
    <t>菹</t>
  </si>
  <si>
    <t>[名]
1.水草叢生的沼澤。《孟子．滕文公下》：「禹掘地而注之海，驅蛇龍而放之菹。」漢．趙岐．注：「菹，澤生草也。」
2.醃菜、鹹菜。《詩經．小雅．信南山》：「疆埸有瓜，是剝是菹。」宋．陸游〈雪夜〉詩：「菜乞鄰家作菹美，酒賒近市帶醅渾。」
3.肉醬。《禮記．少儀》：「麋鹿為菹。」
[動]
剁成肉醬。《漢書．卷二三．刑法志》：「梟其首，菹其骨肉於市。」</t>
  </si>
  <si>
    <t>葅</t>
  </si>
  <si>
    <t>同「菹」。《玉篇．艸部》：「葅，同菹。」</t>
  </si>
  <si>
    <t>雎</t>
  </si>
  <si>
    <t>[名]
1.參見「雎鳩」條。
2.姓。如明代有雎稼。</t>
  </si>
  <si>
    <t>車</t>
  </si>
  <si>
    <t>(一)（語音）ㄔㄜ chē（08259）</t>
  </si>
  <si>
    <t>拘</t>
  </si>
  <si>
    <t>[動]
1.阻止。《說文解字．句部》：「拘，止也。」清．段玉裁．注：「手句者，以手止之也。」《管子．君臣下》：「此止詐、拘姦、厚國、存身之道也。」
2.逮捕、扣押。如：「拘捕」、「拘押」、「拘禁」。《三國演義》第八七回：「汝等皆是好百姓，不幸被孟獲所拘，今受驚諕。」
3.局限、顧忌、受束縛。如：「不拘小節」、「不拘文法」、「無拘無束」。《莊子．秋水》：「井蛙不可以語於海者，拘於虛也。」唐．韓愈〈師說〉：「不拘於時，學於余。」
4.限定、限制。如：「不拘性別」、「多寡不拘」。
[形]
死板、不活潑。如：「拘泥」、「拘謹」。《漢書．卷三〇．藝文志》：「及拘者為之，則牽於禁忌。」</t>
  </si>
  <si>
    <t>痀</t>
  </si>
  <si>
    <t>[形]
駝背、背脊彎曲。《說文解字．疒部》：「痀，曲脊也。」《莊子．達生》：「仲尼適楚，出於林中，見痀僂者承蜩，猶掇之也。」</t>
  </si>
  <si>
    <t>駒</t>
  </si>
  <si>
    <t>[名]
1.良馬、駿馬。如：「千里駒」。《詩經．周南．漢廣》：「之子于歸，言秣其駒。」唐．李白〈駕去溫泉後贈楊山人〉詩：「幸陪鸞輦出鴻都，身騎飛龍天馬駒。」
2.幼獸。如：「馬駒子」、「驢駒子」。宋．王禹偁〈神童劉少逸與時賢聯句序〉：「真麒麟之駒，鳳凰之雛也。」
3.姓。如周代有駒伯，漢代有駒幾。</t>
  </si>
  <si>
    <t>[動]
1.住。《論語．學而》：「居無求安」。《孟子．離婁下》：「顏子當亂世，居於陋巷。」
2.坐下。《論語．陽貨》：「居，吾語汝。」
3.存積、儲存。如：「奇貨可居」。《漢書．卷五九．張湯傳》：「信輒先知之，居物致富，與湯分之。」
4.處、位於。《孟子．離婁上》：「居下位而不獲於上。」唐．劉禹錫〈詠史〉詩二首之二：「同遇漢文時，何人居貴位？」
5.占有。《晉書．卷三四．羊祜傳》：「天下不如意，恆十居七八。」
6.存有、懷著。如：「居心叵測」。
[名]
1.住所。如：「故居」、「新居」、「遷居」。
2.住宅、茶樓、飯館等場所的稱號用字。如：「為善長樂居」、「明湖居」、「德林居」。
3.姓。如明代有居節。</t>
  </si>
  <si>
    <t>(二)ㄐㄧ jī（05312）</t>
  </si>
  <si>
    <t>据</t>
  </si>
  <si>
    <t>(二)ㄐㄩˋ jù（▲06060）</t>
  </si>
  <si>
    <t>琚</t>
  </si>
  <si>
    <t>[名]
古代佩帶在身上的玉。《詩經．衛風．木瓜》：「投我以木瓜，報之以瓊琚。」文選．曹植〈洛神賦〉：「披羅衣之璀粲兮，珥瑤碧之華琚。」</t>
  </si>
  <si>
    <t>椐</t>
  </si>
  <si>
    <t>[名]
一種古書上記載的樹。多枝節，可作枴杖。《集韻．上聲．語韻》：「椐，木名。腫節可為杖。」《詩經．大雅．皇矣》：「啟之辟之，其檉其椐。」也稱為「靈壽木」。</t>
  </si>
  <si>
    <t>腒</t>
  </si>
  <si>
    <t>[名]
鳥類的乾肉。《說文解字．肉部》：「腒，北方謂鳥腊腒。」漢．王充《論衡．語增》：「言堯、舜若腊與腒，桀、紂垂腴尺餘，增之也。」</t>
  </si>
  <si>
    <t>裾</t>
  </si>
  <si>
    <t>[名]
衣服的後襟。《爾雅．釋器》：「衱謂之裾。」晉．郭璞．注：「衣後襟也。」《漢書．卷五一．鄒陽傳》：「飾固陋之心，則何王之門不可曳長裾乎？」宋．文同〈晚至村家〉詩：「舊裾飄風採桑去，白袷卷水秧稻歸。」</t>
  </si>
  <si>
    <t>鋸</t>
  </si>
  <si>
    <t>[動]
用一種特製的兩腳鉤釘，綴合、接補破裂的陶、瓷等器具。如：「鋸碗」、「鋸盆」。</t>
  </si>
  <si>
    <t>(一)ㄐㄩˋ jù（06056）</t>
  </si>
  <si>
    <t>鶋</t>
  </si>
  <si>
    <t>參見「鶢鶋」、「鵯鶋」等條。</t>
  </si>
  <si>
    <t>俱</t>
  </si>
  <si>
    <t>(一)ㄐㄩˋ jù（06046）</t>
  </si>
  <si>
    <t>𦥑</t>
  </si>
  <si>
    <t>ㄐㄩˊ</t>
  </si>
  <si>
    <t>jú</t>
  </si>
  <si>
    <t>[動]
1.兩手相叉。《說文解字．𦥑部》：「𦥑，叉手。」清．段玉裁．注：「叉手者，謂手指正相向也。」
2.兩手捧物。同「掬」。《廣韻．入聲．屋韻》：「𦥑，兩手奉物。」</t>
  </si>
  <si>
    <t>局</t>
  </si>
  <si>
    <t>[名]
1.政府機關或團體分工辦事的單位。如：「郵局」、「教育局」、「電信局」。
2.商店的稱號。如：「藥局」、「書局」。
3.部分。如：「局部麻醉」。《禮記．曲禮上》：「左右有局，各司其局。」唐．孔穎達．正義：「軍之在左右，各有部分，不相濫也。」
4.棋盤。唐．杜甫〈江村〉詩：「老妻畫紙為棋局，稚子敲針作釣鉤。」
5.量詞。計算棋類或球類等活動的單位。如：「對奕兩局」、「幸運第七局」。唐．白居易〈因夢有悟〉詩：「款曲數杯酒，從容一局棋。」
6.聚會。如：「飯局」、「牌局」。
7.形勢、情況。如：「世局」、「危局」、「顧全大局」、「打破僵局」。《兒女英雄傳》第一八回：「早看出紀家不是個善終之局。」
8.結構、組織。如：「格局」、「布局」。
9.心胸、器量。如：「局度」。《晉書．卷九三．褚裒傳》：「有局量，以幹用稱。」
10. 圈套、陷阱。如：「騙局」、「美人局」。《紅樓夢》第一二回：「王熙鳳毒設相思局。」
[動]
1.彎曲。通「跼」。《詩經．小雅．正月》：「謂天蓋高，不敢不局。」漢．毛亨．傳：「局，曲也。」
2.拘束、限制。通「拘」。如：「局限」、「局於一隅」。
[形]
1.卷曲。《詩經．小雅．采綠》：「予髮曲局。」
2.狹小、不寬廣。《管子．白心》：「大者寬，小者局。」《周書．卷四九．異域傳．序》：「兩儀之間，中土局而庶俗曠。」</t>
  </si>
  <si>
    <t>侷</t>
  </si>
  <si>
    <t>參見「侷促」條。</t>
  </si>
  <si>
    <t>挶</t>
  </si>
  <si>
    <t>[名]
1.搬運沙土的器具。《左傳．襄公九年》：「陳畚挶，具綆缶。」晉．杜預．注：「挶，土轝。」
2.耳病。《呂氏春秋．季春紀．盡數》：「鬱，處頭則為腫為風，處耳則為挶為聾。」漢．高誘．注：「挶、聾，皆耳疾也。」
[動]
執持。唐．韓愈、孟郊〈城南聯句〉：「乾穟紛拄地，化蟲枯挶莖。」</t>
  </si>
  <si>
    <t>焗</t>
  </si>
  <si>
    <t>[動]
一種烹飪方法。用鹽或淨沙下鍋炒熱，再將食物用紗布等包好，埋入熱沙或熱鹽中，蓋緊鍋蓋，利用慢火燜熟。如：「鹽焗雞」。</t>
  </si>
  <si>
    <t>梮</t>
  </si>
  <si>
    <t>[名]
1.古代送飯食的器具。《廣韻．入聲．燭韻》：「梮，輿食器也。」
2.運土的器具。《國語．周語中》：「收而場功，㣥而畚梮。」三國吳．韋昭．注：「梮，舉土之器。」
3.行走山路時安裝在鞋底的錐形物，有防滑的作用。《漢書．卷二九．溝洫志》：「泥行乘橇，山行則梮。」</t>
  </si>
  <si>
    <t>跼</t>
  </si>
  <si>
    <t>[動]
彎曲不能伸展。《廣韻．入聲．燭韻》：「跼，曲也。」《後漢書．卷六三．李固傳》：「天高不敢不跼，地厚不敢不蹐。」</t>
  </si>
  <si>
    <t>鋦</t>
  </si>
  <si>
    <t>[名]
1.鋦子，兩端彎曲的鐵釘，用來固定建材，或接補有裂縫的器具。如：「鐵鋦」。也稱為「抓釘」、「鉤釘」。
2.（curium，Cm）化學元素。原子序96。金屬元素之一。銀白色，具放射性。化性活潑，正電性較鋁為強。為已知元素中最重的元素，可利用連環反應堆製而成。</t>
  </si>
  <si>
    <t>匊</t>
  </si>
  <si>
    <t>[動]
捧、握。同「掬」。如：「手匊而飲」。《詩經．小雅．采綠》：「終朝采綠，不盈一匊。」</t>
  </si>
  <si>
    <t>掬</t>
  </si>
  <si>
    <t>[動]
1.用兩手捧取。如：「掬泉」、「掬水而飲」。唐．段成式《酉陽雜俎．卷三．貝編》：「上令左右掬庭水嗅之，果有檀香氣。」
2.情態顯露於外，似可用手抓取。如：「笑容可掬」、「真情可掬」。
3.噘、翹起。《西遊記》第五四回：「八戒採著馬，掬著嘴，擺著耳朵。」</t>
  </si>
  <si>
    <t>椈</t>
  </si>
  <si>
    <t>[名]
植物名。即柏。柏科側柏屬，「側柏」之古稱，參見「側柏」條。《正字通．木部》：「椈，柏別名。」</t>
  </si>
  <si>
    <t>菊</t>
  </si>
  <si>
    <t>[名]
植物名。菊科菊屬，「菊花」之古稱，參見「菊花」條。</t>
  </si>
  <si>
    <t>踘</t>
  </si>
  <si>
    <t>[名]
古代一種外部包以皮革，內部塞入羽毛等柔軟物，以供拍擊、踢蹴的運動器具。唐．李白〈古風〉詩五九首之四六：「鬥雞金宮裡，蹴踘瑤臺邊。」也稱為「毬」。</t>
  </si>
  <si>
    <t>鞠</t>
  </si>
  <si>
    <t>[名]
1.皮毬，一種以皮革縫合，內塞以鳥羽等柔軟物或充氣而成的球。《資治通鑑．卷一九九．唐紀十五．高宗永徽三年》：「朕聞胡人善為擊鞠之戲。」
2.菊花。同「菊」。《禮記．月令》：「鞠有黃華。」
3.姓。如宋代有鞠常。
[動]
1.養育、撫育。如：「鞠育」。《詩經．小雅．蓼莪》：「父兮生我，母兮鞠我。」
2.彎曲。《論語．鄉黨》：「入公門，鞠躬如也。」
3.審問。同「鞫」。《史記．卷八七．李斯傳》：「令鞠治之。」《漢書．卷一七．景武昭宣元成功臣表》：「鞠獄不實。」
4.窮困。《書經．盤庚中》：「爾惟自鞠自苦。」
[形]
幼小、幼稚。《書經．康誥》：「兄亦不念鞠子哀，大不友于弟。」</t>
  </si>
  <si>
    <t>同「橘」。</t>
  </si>
  <si>
    <t>(一)ㄐㄧㄝˊ jié（05554）</t>
  </si>
  <si>
    <t>湨</t>
  </si>
  <si>
    <t>[名]
河川名。在河南省濟源市中部，為蟒河的支流，東南流入黃河。</t>
  </si>
  <si>
    <t>鶪</t>
  </si>
  <si>
    <t>[名]
動物名。即伯勞鳥。鳥綱雀形目。頭、額兩側黑色，背灰褐色，性猛，善鳴。《說文解字．鳥部》：「鶪，伯勞也。」</t>
  </si>
  <si>
    <t>輂</t>
  </si>
  <si>
    <t>[名]
1.馬拉的大車。《說文解字．車部》：「輂，大車駕馬也。」清．段玉裁．注：「古大車多駕牛，其駕馬者則謂之輂。」《周禮．地官．鄉師》：「大軍旅會同，正治其徒役，與其輂輦。」漢．鄭玄．注：「輂，駕馬。輦，人輓行，所以載任器也。」
2.盛裝土石的器具。《漢書．卷二七．五行志上》：「塗大屋，陳畚輂，具綆缶，備水器。」顏師古注引應劭曰：「畚，草籠也；輂，所以輿土也。」</t>
  </si>
  <si>
    <t>鴃</t>
  </si>
  <si>
    <t>(一)ㄐㄩㄝˊ jué（06082）</t>
  </si>
  <si>
    <t>橘</t>
  </si>
  <si>
    <t>[名]
植物名。芸香科柑桔屬，小喬木或灌木。枝纖細有刺。葉狹長而尖，葉柄與葉片間有關節，葉翼不明顯。花白色五瓣。秋天所結果實亦稱「橘」，扁圓形，果皮為紅黃色，果肉多汁，味甘酸可食。果皮、種子、葉片等均可入藥。原產中國大陸，廣泛栽培，品種多且雜交親緣複雜。常見之品種如「年柑」、「桶柑」、「椪柑」及「福橘」等。也稱為「柑橘」。</t>
  </si>
  <si>
    <t>鞫</t>
  </si>
  <si>
    <t>[動]
審判、訊問。《漢書．卷六六．車千秋傳》：「未聞九卿廷尉有所鞫也。」《元史．卷一六七．王惲傳》：「朝廷委惲鞫之，一訊即得其實。」
[形]
窮困。《詩經．大雅．雲漢》：「鞫哉庶正，疚哉冢宰。」漢．鄭玄．箋：「鞫，窮也；庶正，眾官之長也；疚，病也。窮哉病哉者，念此諸臣勤於事而困於食，以此言勞倦也。」
[名]
姓。如宋代有鞫詠。</t>
  </si>
  <si>
    <t>ㄐㄩˇ</t>
  </si>
  <si>
    <t>jǔ</t>
  </si>
  <si>
    <t>[動]
1.止、阻止。《孟子．梁惠王下》：「嬖人有臧倉者沮君，君是以不果來也。」清．紀昀《閱微草堂筆記．卷一五．姑妄聽之一》：「見悖理亂倫而不沮，是成人之惡，非君子也。」
2.敗壞、破壞。如：「沮壞」。《韓非子．二柄》：「妄舉，則事沮不勝。」唐．韓愈〈伯夷頌〉：「今世之所謂士者，一凡人譽之，則自以為有餘；一凡人沮之，則自以為不足。」
3.恐嚇、威嚇。《禮記．儒行》：「劫之以眾，沮之以兵。」
[形]
頹喪、意志消沉。如：「沮喪」、「氣沮」。《文選．嵇康．幽憤詩》：「神辱志沮。」</t>
  </si>
  <si>
    <t>(一)ㄐㄩ jū（05967）(三)ㄐㄩˋ jù（06043）</t>
  </si>
  <si>
    <t>咀</t>
  </si>
  <si>
    <t>[動]
1.嚼食。《文選．司馬相如．上林賦》：「唼喋菁藻，咀嚼菱藕。」唐．柳宗元〈貞符詩．序〉：「飢渴牝牡之欲敺其內，於是乃知噬禽獸，咀果穀。」
2.品嘗、玩味。《南史．卷八．梁元帝本紀下》：「伏惟陛下咀痛茹哀，嬰憤忍酷。」唐．韓愈〈進學解〉：「沉浸醲郁，含英咀華，作為文章。」</t>
  </si>
  <si>
    <t>[名]
古時襯在鞋裡的草墊。《說文解字．艸部》：「苴，履中草。」</t>
  </si>
  <si>
    <t>(一)ㄐㄩ jū（05969）</t>
  </si>
  <si>
    <t>齟</t>
  </si>
  <si>
    <t>參見「齟齬」條。</t>
  </si>
  <si>
    <t>弆</t>
  </si>
  <si>
    <t>[動]
收藏、密藏。《廣韻．上聲．語韻》：「弆，藏也。」《金史．卷四八．食貨志三》：「其弆藏應禁器物，首納者每斤給錢百文。」《清史稿．卷五〇七．疇人傳二．李潢傳》：「自是天下之習九章者，莫不家弆一編，奉為圭臬。」</t>
  </si>
  <si>
    <t>柜</t>
  </si>
  <si>
    <t>同「櫸」。</t>
  </si>
  <si>
    <t>(二)ㄍㄨㄟˋ guì（▲04294）</t>
  </si>
  <si>
    <t>矩</t>
  </si>
  <si>
    <t>[名]
1.畫方形或直角的器具。即曲尺。《荀子．不苟》：「五寸之矩，盡天下之方也。」唐．楊倞．注：「矩，正方之器也。」唐．白居易〈同微之贈別郭虛舟鍊師五十韻〉：「泥壇方合矩，鑄鼎圓中規。」
2.方形。《六韜．卷四．虎韜．軍用》：「天浮鐵螳螂，矩內圓外，徑四尺以上。」《呂氏春秋．季冬紀．序意》：「爰有大圜在上，大矩在下。」
3.法則、常規。如：「循規蹈矩」。《論語．為政》：「七十而從心所欲，不踰矩。」</t>
  </si>
  <si>
    <t>參見「枸櫞」條。</t>
  </si>
  <si>
    <t>(一)ㄍㄡˇ gǒu（04024）(三)ㄍㄡ gōu（04013）</t>
  </si>
  <si>
    <t>竘</t>
  </si>
  <si>
    <t>[副]
健壯、雄壯。《說文解字．立部》：「竘，健也。」《淮南子．人間》：「受令而為室，其始成。竘然善也。」漢．高誘．注：「竘，高壯貌。」</t>
  </si>
  <si>
    <t>蒟</t>
  </si>
  <si>
    <t>[名]
參見「蒟蒻」、「蒟醬」等條。</t>
  </si>
  <si>
    <t>莒</t>
  </si>
  <si>
    <t>[名]
1.芋頭。《說文解字．艸部》：「莒，齊謂芋為莒。」
2.國名。春秋時的國家，嬴姓。為少昊氏之後，在今大陸地區山東省莒縣。</t>
  </si>
  <si>
    <t>筥</t>
  </si>
  <si>
    <t>[名]
盛米飯的圓形竹器。《詩經．召南．采蘋》：「于以盛之，維筐及筥。」漢．毛亨．傳：「方曰筐，圓曰筥。」</t>
  </si>
  <si>
    <t>椇</t>
  </si>
  <si>
    <t>[名]
1.枳椇：植物名。鼠李科枳椇屬，落葉喬木。樹皮灰色，葉互生，闊卵形，有鋸齒。核果球形，具短梗。果肉紅棕色，味甘美，供食用，亦可釀酒，俗稱為「拐棗」。果實含蘋果酸鉀及葡萄糖，為清涼利尿劑。椇木材質頗佳，可供建築及精緻家具等用途。
2.殷商時代放置祭品的禮器。《禮記．明堂位》：「殷以椇，周以房俎。」</t>
  </si>
  <si>
    <t>萭</t>
  </si>
  <si>
    <t>[名]
端正車輪的工具。《集韻．上聲．語韻》：「萭，所以正車輪者。」</t>
  </si>
  <si>
    <t>(一)ㄩˇ yǔ（11630）</t>
  </si>
  <si>
    <t>踽</t>
  </si>
  <si>
    <t>參見「踽僂」、「踽踽」等條。</t>
  </si>
  <si>
    <t>舉</t>
  </si>
  <si>
    <t>[動]_x000D_
1.扛起、抬起、往上托。如：「舉手」、「高舉」。《孟子．梁惠王上》：「吾力足以舉百鈞。」唐．李白〈靜夜思〉詩：「舉頭望明月。」_x000D_
2.推薦、推選。如：「推舉」、「選舉」。《論語．衛靈公》：「君子不以言舉人，不以人廢言。」《孟子．告子下》：「傅說舉於版築之間。」_x000D_
3.提出。如：「列舉」、「檢舉」、「舉例說明」。《論語．述而》：「舉一隅不以三隅反。」宋．陸游〈山園雜詠〉詩：「汗青事業都忘盡，時賴吾兒舉話端。」_x000D_
4.興起、發動。如：「舉義」、「百廢待舉」。《文苑英華．卷六五．唐．王起．垓下楚歌賦》：「弱冠舉兵，霸世之名則振；窮途敗績，拔山之力空多。」明．劉基〈杭州富陽縣重修文廟學宮記〉：「明年六月，百廢備舉，廟有新室，學有新舍，教官有廳，文昌有祠。」_x000D_
5.飛。漢．張衡〈西京賦〉：「鳥不暇舉，獸不得發。」宋．蘇軾〈漁父．漁父笑〉詞：「漁父笑，輕鷗舉。漠漠一江風雨。」_x000D_
6.生育。如：「一舉得男」。宋．黃庭堅〈嘲小德〉詩：「中年舉兒子，漫種老生涯。」_x000D_
7.撫養。《史記．卷七五．孟嘗君列傳》：「文以五月五日生，嬰告其母曰：『勿舉也。』」漢．劉向《古列女傳．卷八．趙飛燕姊娣》：「飛燕初生，父母不舉，三日不死，乃收養之。」_x000D_
[名]_x000D_
1.行為、動作。如：「壯舉」、「義舉」、「善舉」、「一舉一動」。_x000D_
2.舉人的簡稱。如：「武舉」、「中舉」。_x000D_
[形]_x000D_
全部的、整個的。如：「舉世公認」、「舉國歡騰」。《太平廣記．卷一四．許眞君》引《十二眞君傳》：「舉家四十二口，拔宅上昇而去。」《續傳燈錄．卷二五．淨因繼成禪師》：「茫茫盡是覓佛漢，舉世難尋閑道人；棒喝交馳成藥忌，了忘藥忌未天真。」</t>
  </si>
  <si>
    <t>櫸</t>
  </si>
  <si>
    <t>[名]_x000D_
植物名。榆科櫸屬，「櫸木」之簡稱，參見「櫸木」條。</t>
  </si>
  <si>
    <t>籧</t>
  </si>
  <si>
    <t>[名]
養蠶用的器具。《禮記．月令》：「具曲植籧筐。」漢．鄭玄．注：「時所以養蠶器也。」</t>
  </si>
  <si>
    <t>(一)ㄑㄩˊ qú（06637）</t>
  </si>
  <si>
    <t>巨</t>
  </si>
  <si>
    <t>ㄐㄩˋ</t>
  </si>
  <si>
    <t>jù</t>
  </si>
  <si>
    <t>[名]
1.量方正的器具。通「矩」。《說文解字．工部》：「巨，規巨也。」
2.姓。如漢代有巨覽。
[形]
大。通「鉅」。如：「巨款」、「巨人」。唐．李白〈古風〉詩五九首之三三：「北溟有巨魚，身長數千里。」宋．蘇軾〈後赤壁賦〉：「舉網得魚，巨口細鱗。」
[副]
豈。通「詎」。《漢書．卷一．高帝紀上》：「沛公不先破關中兵，公巨能入乎？」唐．顏師古．注：「巨，讀曰詎。詎，猶豈也。」</t>
  </si>
  <si>
    <t>拒</t>
  </si>
  <si>
    <t>[動]
1.抵抗、抵禦。如：「抗拒」、「拒敵」。《廣韻．上聲．語韻》：「拒，捍也。」《荀子．君道》：「內以固城，外以拒難。」
2.據守。《三國演義》第一六回：「韋猶死拒寨門，爭奈寨後賊軍已入。」
3.不接受。如：「拒絕」、「來者不拒」。《孟子．盡心下》：「往者不追，來者不拒。」唐．李白〈與韓荊州書〉：「幸願開張心顏，不以長揖見拒。」
4.違抗。《新五代史．卷三〇．漢臣傳．史弘肇傳》：「高祖建號於太原，代州王暉拒命，弘肇攻破之。」</t>
  </si>
  <si>
    <t>炬</t>
  </si>
  <si>
    <t>[名]
1.火把。如：「火炬」、「目光如炬」。唐．杜牧〈阿房宮賦〉：「楚人一炬，可憐焦土。」。宋．陸游〈夜行〉詩：「路長憂炬盡，馬弱畏泥深。」
2.量詞。古代計算燈燭等的單位。唐．韋莊〈南鄰公子〉詩：「南鄰公子夜歸聲，數炬銀燈隔竹明。」</t>
  </si>
  <si>
    <t>苣</t>
  </si>
  <si>
    <t>[名]
1.參見「萵苣」條。
2.火把。通「炬」。《後漢書．卷七一．皇甫嵩傳》：「嵩乃約敕軍士，皆束苣乘城。」
3.燭。五代蜀．牛嶠〈菩薩蠻．綠雲鬢上飛金雀〉詞：「窗寒天欲曙，猶結同心苣。」</t>
  </si>
  <si>
    <t>秬</t>
  </si>
  <si>
    <t>[名]
黑黍，可以釀酒。《爾雅．釋草》：「秬，黑黍。」《詩經．大雅．生民》：「誕降嘉種，維秬維秠。」唐．柳宗元〈武功縣丞廳壁記〉：「其植物豐暢茂遂，有秬秠藿菽之宜。」
[形]
黑。《左傳．昭公四年》：「黑牡秬黍，以享司寒。」</t>
  </si>
  <si>
    <t>粔</t>
  </si>
  <si>
    <t>蚷</t>
  </si>
  <si>
    <t>參見「商蚷」條。</t>
  </si>
  <si>
    <t>詎</t>
  </si>
  <si>
    <t>[副]
1.豈、何，表示反問的語氣。如：「詎料」、「詎知」。晉．陶淵明〈讀山海經〉詩一三首之一〇：「徒設在昔心，良晨詎可待？」南朝陳．陰鏗〈渡青草湖〉詩：「滔滔不可測，一葦詎能航？」
2.曾。《文選．陸機．歎逝賦》：「彌年時其詎幾，夫何往而不殘？」《文選．潘岳．悼亡詩三首之三》：「爾祭詎幾時，朔望忽復盡。」
3.不料、哪知。《二十年目睹之怪現狀》第一〇一回：「詎接了回條，又是推辭。」
[連]
假若、如果。《國語．晉語六》：「詎非聖人，不有外患，必有內憂。」</t>
  </si>
  <si>
    <t>距</t>
  </si>
  <si>
    <t>[名]
1.公雞、雄雉等腳上蹠骨後上方突出像腳趾的部分，中有硬骨，外包角質，打鬥時可做武器。《說文解字．足部》：「距，雞距也。」三國魏．應瑒〈鬥雞〉詩：「雙距解長紲，飛踊超敵倫。」
2.爪。《文選．張衡．東京賦》：「秦政利觜長距，終得擅場。」
3.相隔的長度。如：「行距」、「間距」、「距離」。
[動]
1.相隔、相離。《列子．湯問》：「不知距齊州幾千萬里？」
2.至、到。《書經．益稷》：「予決九川，距四海。」《文選．阮籍．詠懷詩一七首之九》：「連軫距阡陌，子母相拘帶。」
3.抗、違。通「拒」。《詩經．大雅．皇矣》：「密人不恭，敢距大邦，侵阮徂共。」《墨子．公輸》：「公輸盤九設攻城之機變，子墨子九距之。」
[形]
大。通「巨」。《淮南子．氾論》：「體大者節疏，蹠距者舉遠。」《續漢書志．第七．祭祀志上》：「其下用距石十八枚，皆高三尺。」</t>
  </si>
  <si>
    <t>鉅</t>
  </si>
  <si>
    <t>[名]
1.鋼鐵。《說文解字．足部》：「鉅，大剛也。」《史記．卷二三．禮書》：「宛之鉅鐵施，鑽如蜂蠆。」唐．張守節．正義：「鉅，剛鐵也。」
2.鉤。《文選．潘岳．西征賦》：「於是弛青鯤於網鉅，解赬鯉於黏徽。」唐．李善．注：「鉅，鉤也。」
[形]
大。通「巨」。如：「鉅款」。唐．韓愈〈南海神廟碑〉：「海於天地間，為物最鉅。」明．徐弘祖《徐霞客遊記．卷一上．遊黃山日記後》：「山高風鉅，霧氣去來無定。」
[副]
豈、何。通「詎」。《戰國策．楚策一》：「今王以用之於越矣，而忘之於秦，臣以為王鉅速忘矣！」</t>
  </si>
  <si>
    <t>駏</t>
  </si>
  <si>
    <t>參見「駏驉」條。</t>
  </si>
  <si>
    <t>[名]
1.由兩個或兩個以上的字詞組成，含有主語、述語，能表達一個完全的意思的，稱為「句」。如：「詩句」、「語句」。南朝梁．劉勰《文心雕龍．章句》：「因字而生句，積句而成章。」
2.量詞。計算言語的單位。如：「三句話不離本行。」
3.古代由下傳話以告上的禮制。《漢書．卷四三．叔孫通傳》：「大行設九賓，臚、句傳。」顏師古注引蘇林曰：「上傳語告下為臚，下告上為句也。」</t>
  </si>
  <si>
    <t>(二)ㄍㄡ gōu（04012）(三)ㄍㄡˋ gòu（04029）</t>
  </si>
  <si>
    <t>足</t>
  </si>
  <si>
    <t>[副]
過分。參見「足恭」條。</t>
  </si>
  <si>
    <t>(一)ㄗㄨˊ zú（09585）</t>
  </si>
  <si>
    <t>[形]
溼潤、不乾枯。清．王念孫《廣雅疏證．卷一下．釋詁》：「沮，溼也。」唐．白居易〈履道新居二十韻〉詩：「門閉深沉樹，池通淺沮溝。」</t>
  </si>
  <si>
    <t>(一)ㄐㄩ jū（05967）(二)ㄐㄩˇ jǔ（06012）</t>
  </si>
  <si>
    <t>怚</t>
  </si>
  <si>
    <t>[形]
驕傲。《說文解字．心部》：「怚，驕也。」</t>
  </si>
  <si>
    <t>具</t>
  </si>
  <si>
    <t>[動]
1.有、備有。如：「具備」、「獨具慧眼」。
2.準備、設置。唐．孟浩然〈過故人莊〉詩：「故人具雞黍，邀我至田家。」《紅樓夢》第一回：「故特具小酌，邀兄到敝齋一飲，不知可納芹意否？」
3.陳述、報告、列舉。如：「知名不具」。《宋史．卷三八四．梁克家傳》：「上欣納，因命條具風俗之弊。克家列四條。」
[名]
1.器物、用器。如：「文具」、「道具」、「玩具」、「工具」。
2.量詞。計算器物、屍體等的單位。如：「兩具屍體」、「棺材一具」、「三具電話」。
3.才能、才幹。《晉書．卷六二．祖逖傳》：「往來京師，見者謂逖有贊世才具。」《文選．李陵．答蘇武書》：「皆信命世之才，抱將相之具。」
4.酒食、菜餚。《史記．卷一一七．司馬相如傳》：「令有貴客，為具召之。」唐．柳宗元〈段太尉逸事狀〉：「吾未晡食，請假設草具。」
5.姓。如春秋時晉國有具丙。
[副]
皆、都、全。通「俱」。《詩經．小雅．四月》：「秋日淒淒，百卉具腓。」宋．范仲淹〈岳陽樓記〉：「政通人和，百廢具興。」</t>
  </si>
  <si>
    <t>[動]
偕、同、一起。《莊子．天運》：「道可載而與之俱也。」《史記．卷七七．魏公子傳》：「臣客屠者朱亥可與俱，此人力士。」
[副]
皆、都、全。如：「一應俱全」、「萬事俱備」。唐．杜甫〈茅屋為秋風所破歌〉：「安得廣廈千萬間，大庇天下寒士俱歡顏。」</t>
  </si>
  <si>
    <t>(二)（又音）ㄐㄩ jū（05990）</t>
  </si>
  <si>
    <t>埧</t>
  </si>
  <si>
    <t>[名]
堤塘。《字彙．土部》：「埧，堤塘。」</t>
  </si>
  <si>
    <t>颶</t>
  </si>
  <si>
    <t>[名]_x000D_
形成於海上的強烈暴風。唐．韓愈〈赴江陵途中寄贈王二十補闕等三學士〉詩：「颶起最可畏，訇哮簸陵丘。」唐．劉恂《嶺表錄異》卷中：「南中夏秋多惡風，彼人謂之颶。壞屋折樹不足喻也，甚則吹屋瓦如飛蝶。」《浮生六記．卷五．中山記歷》：「琉人每言大風，必曰颱颶。」</t>
  </si>
  <si>
    <t>冣</t>
  </si>
  <si>
    <t>[動]
聚積。同「聚」。《說文解字．冖部》：「冣，積也。」《史記．卷三．殷本紀》：「大冣樂戲於沙丘，以酒為池，縣肉為林。」裴駰集解引徐廣曰：「冣，一作聚。」</t>
  </si>
  <si>
    <t>(二)ㄗㄨㄟˋ zuì（09629）</t>
  </si>
  <si>
    <t>聚</t>
  </si>
  <si>
    <t>[動]
1.集合、會合。如：「物以類聚」。《易經．繫辭上》：「方以類聚，物以群分。」《左傳．襄公二十八年》：「吳句餘予之朱方，聚其族焉而居之，富於其舊。」
2.堆積、蓄積。如：「聚沙成塔」。《荀子．王制》：「我今將畜積并聚之於倉廩。」《後漢書．卷二四．馬援傳》：「又於帝前聚米為山谷，指畫形埶。」
3.徵收、搜括。《論語．先進》：「季氏富於周公，而求也為之聚斂而附益之。」
[名]
1.村落。《史記．卷一．五帝本紀》：「一年而所居成聚，二年成邑。」唐．張守節．正義：「聚，謂村落也。」漢．王襃〈僮約〉：「往來市聚，慎護姦偷。」
2.人群。《左傳．成公十三年》：「虔劉我邊陲，我是以有輔氏之聚。」晉．杜預．注：「聚，眾也。」
3.積蓄。《左傳．哀公十七年》：「楚白公之亂，陳人恃其聚而侵楚。」</t>
  </si>
  <si>
    <t>䀠</t>
  </si>
  <si>
    <t>[形]
眼睛左右張望的樣子。《說文解字．䀠部》：「䀠，左右視也。」</t>
  </si>
  <si>
    <t>瞿</t>
  </si>
  <si>
    <t>[動]
驚懼、害怕。通「懼」。《禮記．雜記》：「見似目瞿，聞名心瞿。」</t>
  </si>
  <si>
    <t>(一)ㄑㄩ qū（06625）(二)（(一)之又音）ㄑㄩˊ qú（06638）</t>
  </si>
  <si>
    <t>懼</t>
  </si>
  <si>
    <t>[動]
1.畏、害怕。《論語．子罕》：「仁者不憂，勇者不懼。」《孟子．滕文公下》：「一怒而諸侯懼，安居而天下熄。」
2.恐嚇。《老子》第七四章：「民不畏死，奈何以死懼之。」《韓非子．八姦》：「示之以利勢，懼之以患害。」</t>
  </si>
  <si>
    <t>倨</t>
  </si>
  <si>
    <t>[形]
傲慢無禮。如：「倨傲」。《戰國策．秦策一》：「蘇秦曰：『嫂何前倨而後卑也？』」《漢書．卷五〇．汲黯傳》：「為人性倨少禮。」
[動]
蹲坐。通「踞」。《莊子．天運》：「老聃方將倨堂。而應。」《史記．卷九七．酈生傳》：「沛公方倨床，使兩女子洗足。」</t>
  </si>
  <si>
    <t>踞</t>
  </si>
  <si>
    <t>[動]
1.蹲。《廣韻．去聲．御韻》：「踞，蹲。」如：「龍蟠虎踞」。漢．王延壽〈王孫賦〉：「踡菟蹲而狗踞，聲歷鹿而喔咿。」
2.伸腿而坐。如：「箕踞」。《左傳．襄公二十四年》：「將及楚師，而後從之。乘皆踞轉而鼓琴。」《漢書．卷一．高帝紀上》：「沛公方踞床，使兩女子洗。」
3.倚、靠。《文選．張衡．西京賦》：「於後則高陵平原，據渭踞涇。」唐．李善．注：「踞，倚也。」
4.占據。如：「盤踞」。明．徐弘祖《徐霞客遊記．卷四下．黔遊日記一》：「雲南普名勝叛，踞阿迷州。」</t>
  </si>
  <si>
    <t>[名]
1.薄鋼片製成，邊緣有尖齒，用來截斷木材或鋼鐵等的工具。如：「電鋸」、「手鋸」、「鋸子」。
2.一種古代用來截斷肢體的刑具。《國語．魯語上》：「中刑用刀鋸。」三國吳．韋昭．注：「割劓用刀，斷截用鋸。」
[動]
截斷。漢．桓寬《鹽鐵論．除狹》：「或至鋸頸殺不辜而不能正。」《後漢書．卷一八．臧宮傳》：「宮夜使鋸斷城門限。」</t>
  </si>
  <si>
    <t>(二)ㄐㄩ jū（05988）</t>
  </si>
  <si>
    <t>虡</t>
  </si>
  <si>
    <t>[名]
1.懸掛鐘、磬等架子兩旁所立的柱子。《說文解字．虍部》：「虡，鐘鼓之柎也。」《禮記．檀弓上》：「有鐘磬而無簨虡。」《文選．張衡．西京賦》：「洪鐘萬鈞，猛虡趪趪。」也作「鐻」。
2.几。清．王念孫《廣雅疏證．卷八上．釋器》：「虡，几也。」</t>
  </si>
  <si>
    <t>[名]
1.戲。如：「喜劇」、「悲劇」、「編劇」、「歌劇」、「話劇」。
2.姓。如漢代有劇孟。
[形]
多、繁。如：「繁劇」。《荀子．非十二子》：「猶然而材劇志大，聞見雜博。」《商君書．算地》：「不觀時俗，不察國本，則其法立而民亂，事劇而功寡。」
[副]
甚、猛烈的。如：「劇烈」、「劇寒」、「劇暑」、「劇痛」。
[動]
戲弄。唐．王維〈洛陽女兒行〉：「狂夫富貴在青春，意氣驕奢劇季倫。」唐．李白〈長干行〉二首之一：「妾髮初覆額，折花門前劇。」</t>
  </si>
  <si>
    <t>(二)（又音）ㄐㄧˊ jí（05396）</t>
  </si>
  <si>
    <t>懅</t>
  </si>
  <si>
    <t>[動]_x000D_
1.害怕、惶急。《廣韻．平聲．魚韻》：「懅，怯也。」南朝梁．江淹〈丹砂可學賦〉：「懅生死于半氣，惜百年於一光。」《資治通鑑．卷二一八．唐紀三十四．肅宗至德元載》：「國忠集百官於朝堂，惶懅流涕。」_x000D_
2.羞愧、慚愧。《後漢書．卷二〇．銚期王霸祭遵列傳．王霸》：「市人皆大笑，舉手邪揄之，霸慚懅而還。」</t>
  </si>
  <si>
    <t>據</t>
  </si>
  <si>
    <t>[動]
1.倚靠。《詩經．邶風．柏舟》：「亦有兄弟，不可以據。」《戰國策．燕策一》：「馮几據杖，眄視指使，則廝役之人至。」
2.占有、占守。如：「割據」、「竊據」、「據為己有」。《史記．卷八一．廉頗藺相如傳》：「先據北山上者勝。」
3.按照、依照。如：「據說如此」、「據理力爭」、「據實相告」。
4.引證、援引。如：「引經據典」。《新唐書．卷一三二．劉子玄傳》：「子玄善持論，辯據明銳。」
[名]
1.憑證，可作為證明的事物。如：「借據」、「收據」、「真憑實據」、「無憑無據」。《金史．卷五五．百官志一》：「中選者試官給據，以名報有司。」
2.姓。如明代有據成。</t>
  </si>
  <si>
    <t>遽</t>
  </si>
  <si>
    <t>[名]
驛車。《爾雅．釋言》：「遽，傳也。」晉．郭璞．注：「皆傳車驛馬之名。」《左傳．昭公二年》：「聞之，懼弗及，乘遽而至。」
[動]
驚慌、恐懼。《楚辭．屈原．九章．惜誦》：「眾駭遽以離心兮，又何以為此伴也？」南朝宋．劉義慶《世說新語．雅量》：「風起波涌，孫、王諸人色並遽。」
[形]
1.急忙、迫促。《國語．晉語四》：「（頭頭）謂謁者曰：『……國君而讎匹夫，懼者眾矣。』謁者以告，公遽見之。」《禮記．檀弓上》：「故喪事雖遽，不陵節。」
2.窘迫。南朝宋．劉義慶《世說新語．雅量》：「遠近久承公名，令於是大遽，不敢移公。」
[副]
忽然、突然。如：「遽聞」、「欲行遽止」。《聊齋志異．卷四．促織》：「見有蟲伏棘根，遽撲之，入石穴中。」
[連]
遂、就。《漢書．卷四三．陸賈傳》：「使我居中國，何遽不若漢。」《文選．左思．魏都賦》：「雖自以為道洪化以為隆，世篤玄同，奚遽不能與之踵武而齊其風？」</t>
  </si>
  <si>
    <t>醵</t>
  </si>
  <si>
    <t>[動]
1.眾人集錢一起飲酒。《禮記．禮器》：「曾子曰：『周禮其猶醵與？』」漢．鄭玄．注：「合錢飲酒為醵。」
2.聚集。如：「醵資」、「醵金為壽」。</t>
  </si>
  <si>
    <t>躆</t>
  </si>
  <si>
    <t>[動]
用腳撐持。《文選．班固．答賓戲》：「不睹其能奮靈德，合風雲，超忽荒而躆昊蒼也。」唐．李善．注：「躆與據同，謂以足戟持之。」</t>
  </si>
  <si>
    <t>鐻</t>
  </si>
  <si>
    <t>[名]
1.樂器名，打擊樂器。形似鐘，初為木製，後改用銅鑄。《莊子．達生》：「梓慶削木為鐻，鐻成，見者驚猶鬼神。」唐．成玄英．疏：「鐻者，樂器，似夾鐘。亦言鐻似虎形，刻木為之。」
2.懸掛鐘鼓的架子兩旁所立的柱子。《史記．卷六．秦始皇本紀》：「收天下兵，聚之咸陽，銷以為鐘鐻。」也作「虡」。</t>
  </si>
  <si>
    <t>[名]
貧窮。《爾雅．釋言》：「窶，貧也。」《明史．卷一六四．黃澤傳》：「貪者放利行私，廉者終窶莫訴。」
[形]
鄙陋。《莊子．外物》：「夫不忍一世之傷，而驁萬世之患，抑固窶邪，亡其略弗及邪？」《韓非子．詭使》：「而惇慤純信，用心怯言，則謂之窶。」</t>
  </si>
  <si>
    <t>(二)ㄌㄡˊ lóu（03298）</t>
  </si>
  <si>
    <t>屨</t>
  </si>
  <si>
    <t>[名]
鞋子。《說文解字．履部》：「屨，履也。」《左傳．成公二年》：「郤克傷於矢，流血及屨，未絕鼓音。」《三國演義》第一回：「家貧，販屨織蓆為業。」
[動]
踐踏。《文選．揚雄．羽獵賦》：「屨般首，帶脩蛇。」唐．李善．注：「屨，謂踐履之也。」</t>
  </si>
  <si>
    <t>[名]
貒獸所生的幼獸為貗。《爾雅．釋獸》：「貒子貗。」晉．郭璞．注：「貒，豚也。一名獾。」邢昺疏引《字林》云：「貒獸似豕而肥，其子名貗。」</t>
  </si>
  <si>
    <t>(二)（又音）ㄌㄩˊ lǘ（03878）</t>
  </si>
  <si>
    <t>ㄐㄩㄝ</t>
  </si>
  <si>
    <t>juē</t>
  </si>
  <si>
    <t>(一)ㄐㄧㄝ jiē（05545）(三)ㄐㄧㄝˋ jiè（05613）</t>
  </si>
  <si>
    <t>撅</t>
  </si>
  <si>
    <t>[動]
1.翹起。如：「撅嘴」。《兒女英雄傳》第四十回：「忽見一個喜鵲飛了來，落在房簷上，對著她撅著尾巴。」
2.折斷。如：「他撅了一根樹枝。」
3.擊、攻擊。《新唐書．卷一〇五．褚遂良傳》：「昔侯君集、李靖皆庸人爾，猶能撅高昌，纓突厥。」
4.挖掘。漢．王充《論衡．效力》：「鑿所以入木者，槌叩之也；鍤所以能撅地者，跖蹈之也。」元．李文蔚《燕青博魚》第三折：「蠟打的鍬兒怎撅就的坑。」
[形]
倔強。《兒女英雄傳》第四回：「有那個撅老頭子，這些閒雜人也到不了跟前。」</t>
  </si>
  <si>
    <t>噘</t>
  </si>
  <si>
    <t>參見「噘嘴」條。</t>
  </si>
  <si>
    <t>撧</t>
  </si>
  <si>
    <t>[動]
1.折斷。如：「撧成兩截」。《水滸傳》第四回：「跳上臺基，把剌子只一拔，卻似撧蔥般拔開了。」元．無名氏《盆兒鬼》第一折：「我待撧花枝在頭上插。」
2.向昏倒的人行按摩等活動使醒過來。如：「他昏過去了，趕快撧一撧！」
3.使人難堪。如：「什麼難題也撧不倒他！」、「這不是存心撧人嗎？」</t>
  </si>
  <si>
    <t>亅</t>
  </si>
  <si>
    <t>ㄐㄩㄝˊ</t>
  </si>
  <si>
    <t>jué</t>
  </si>
  <si>
    <t>[名]
1.倒掛的鉤。《說文解字．亅部》：「亅，鉤逆者謂之亅。」
2.二一四部首之一。</t>
  </si>
  <si>
    <t>孓</t>
  </si>
  <si>
    <t>參見「孑孓」條。</t>
  </si>
  <si>
    <t>決</t>
  </si>
  <si>
    <t>[動]
1.疏通水道。《書經．益稷》：「予決九川，距四海。」《孟子．滕文公上》：「決汝漢，排淮泗。」
2.隄防潰壞。如：「決堤」、「潰決」、「黃河決口」。《淮南子．天文》：「賁星墜而勃海決。」
3.判定、斷定。如：「判決」、「議決」、「猶豫不決」。《史記．卷五三．蕭相國世家》：「群臣爭功，歲餘功不決。」
4.競爭勝負。如：「決一死戰」。唐．高邁〈濟河焚舟賦〉：「冀桑榆之未晚，得雌雄之一決。」
5.處死。如：「處決」、「槍決」。《三國志．卷一六．魏書．倉慈傳》：「慈躬往省閱，料簡輕重，自非殊死，但鞭杖遣之，一歲決刑曾不滿十人。」
6.張開、裂開。《文選．揚雄．甘泉賦》：「天閫決兮地垠開，八荒協兮萬國諧。」唐．杜甫〈望嶽〉詩：「盪胸生曾雲，決眥入歸鳥。」
7.離別。通「訣」。《史記．卷四九．外戚世家》：「姊去我西時，與我決於傳舍中，丐沐沐我，請食飯我，乃去。」</t>
  </si>
  <si>
    <t>抉</t>
  </si>
  <si>
    <t>[動]
1.挖、挑出。《史記．卷三一．吳太伯世家》：「抉吾眼置之東門，以觀越之滅吳也。」
2.挑取、選取。如：「抉擇」。唐．皮日休〈郢州孟亭記〉：「先生之作，遇景入詠，不拘奇抉異。」
3.戮、穿。《左傳．襄公十七年》：「以杙抉其傷而死。」宋．陸游〈寒夜歌〉：「既不能挺長劍以抉九天之雲，又不能持斗魁以回萬物之春。」
4.揭開、揭發。《新唐書．卷一五〇．李揆傳》：「揆懼復用，遣吏至諲所，構抉過失，諲密訴諸朝。」</t>
  </si>
  <si>
    <t>玦</t>
  </si>
  <si>
    <t>[名]
半環狀的玉佩。《楚辭．屈原．九歌．湘君》：「捐余玦兮江中，遺余佩兮醴浦。」《史記．卷七．項羽本紀》：「范增數目項王，舉所佩玉玦以示之者三，項王默然不應。」</t>
  </si>
  <si>
    <t>芵</t>
  </si>
  <si>
    <t>參見「芵明」條。</t>
  </si>
  <si>
    <t>訣</t>
  </si>
  <si>
    <t>[動]
辭別、告別、永別。如：「訣別」。《史記．卷六五．孫子吳起傳》：「與其母訣，齧臂而盟曰：『起不為卿相，不復入衛。』」《文選．江淹．別賦》：「瀝泣共訣，抆血相視。」
[名]
1.法術、方法。如：「祕訣」。《列子．說符》：「衛人有善數者，臨死，以訣喻其子。」《魏書．卷一一四．釋老志》：「大禹聞長生之訣，尹喜受道德之旨。」
2.容易誦讀、記憶的語句。如：「口訣」、「歌訣」。</t>
  </si>
  <si>
    <t>趹</t>
  </si>
  <si>
    <t>[動]
馬快跑時後腳踢地急起。《史記．卷七〇．張儀傳》：「秦馬之良，戎兵之眾，探前趹後，蹄閒三尋騰者，不可勝數。」</t>
  </si>
  <si>
    <t>觖</t>
  </si>
  <si>
    <t>[動]
挑剔、挑撥。通「抉」。《漢書．卷七七．孫寶傳》：「馮氏反事明白，故欲擿觖以揚我惡。」
[副]
不滿意。《淮南子．繆稱》：「后稷廣利天下，猶不自矜，禹無廢功無蔽財，自視猶觖如也。」</t>
  </si>
  <si>
    <t>(二)ㄎㄨㄞˋ kuài（04595）</t>
  </si>
  <si>
    <t>[名]
1.同「鶪」。清．朱駿聲《說文通訓定聲．泰部》：「鴃，假借為鶪。」
2.鸋鴃：動物名。體似黃雀而小，喙尖如錐。全身灰色，有黑褐色斑紋。取茅莠為窠，以麻纏之，懸於樹枝。也稱為「巧婦」、「鷦鷯」。</t>
  </si>
  <si>
    <t>(二)（又音）ㄐㄩˊ jú（06009）</t>
  </si>
  <si>
    <t>𧮫</t>
  </si>
  <si>
    <t>[名]
口上彎曲的地方。《說文解字．谷部》：「𧮫，口上阿也。」清．段玉裁．注：「口上阿，謂口吻已上之肉，隨口卷曲。」
[形]
笑的樣子。《廣韻．入聲．藥韻》：「𧮫，笑貌。」</t>
  </si>
  <si>
    <t>(一)（語音）ㄐㄧㄠˇ jiǎo（05659）</t>
  </si>
  <si>
    <t>[名]
1.戲劇的表演人物。如：「主角」、「配角」、「丑角」。
2.星名。二十八星宿之一，東方蒼龍七宿的第一宿，有兩顆星。《國語．周語中》：「夫辰角見而雨畢，天根見而水涸。」三國吳．韋昭．注：「辰角，大辰蒼龍之角。角，星名也。」《楚辭．屈原．天問》：「角宿未旦，曜靈安藏？」
3.古代五音之一。《周禮．春官．大師》：「皆文之以五聲：宮、商、角、徵、羽。」</t>
  </si>
  <si>
    <t>(一)ㄐㄧㄠˇ jiǎo（05648）(三)ㄌㄨˋ lù（03749）</t>
  </si>
  <si>
    <t>捔</t>
  </si>
  <si>
    <t>[動]
競爭。《淮南子．氾論》：「而風氣者，陰陽相捔者也。」魏．卞蘭〈許昌宮賦〉：「眾伎並奏，捔巧騁奇。」</t>
  </si>
  <si>
    <t>(二)ㄓㄨㄛˊ zhuó（08048）</t>
  </si>
  <si>
    <t>桷</t>
  </si>
  <si>
    <t>[名]
方形的屋椽，即榱。《說文解字．木部》：「桷，榱也，椽方曰桷。」《漢書．卷九一．貨殖傳．序》：「及周室衰，禮法墮，諸侯刻桷丹楹，大夫山節藻梲。」</t>
  </si>
  <si>
    <t>玨</t>
  </si>
  <si>
    <t>[名]
兩塊玉合成的玉器。《說文解字．玨部》：「玨，二玉相合為一玨。」</t>
  </si>
  <si>
    <t>倔</t>
  </si>
  <si>
    <t>[形]
強硬、固執。漢．桓寬《鹽鐵論．論功》：「倔強倨敖，自稱老夫。」《宋史．卷三六〇．趙鼎傳》：「檜見之曰：『此老倔強猶昔。』」</t>
  </si>
  <si>
    <t>(二)ㄐㄩㄝˋ juè（06125）</t>
  </si>
  <si>
    <t>掘</t>
  </si>
  <si>
    <t>[動]
挖、穿鑿。如：「臨渴掘井」。《史記．卷八．高祖本紀》：「項羽燒秦宮室，掘始皇帝冢。」</t>
  </si>
  <si>
    <t>崛</t>
  </si>
  <si>
    <t>[副]
特起、突出。《集韻．入聲．迄韻》：「崛，崛然獨立貌。」《文選．嵇康．琴賦》：「邈隆崇以極壯，崛巍巍而特秀。」</t>
  </si>
  <si>
    <t>䘿</t>
  </si>
  <si>
    <t>[名]
短衣。《廣韻．入聲．物韻》：「䘿，衣短。」唐．皮日休〈九諷系述．悲遊〉：「荷為裯兮芰為襬，荃為䘿兮薜為褘。」</t>
  </si>
  <si>
    <t>厥</t>
  </si>
  <si>
    <t>[動]
氣悶而暈倒。如：「昏厥」、「暈厥」。
[代]
他的、那個。同「其」。如：「大放厥詞」、「允執厥中」。《書經．禹貢》：「厥土惟白壤，厥賦惟上上錯，厥田惟中中。」《文選．賈誼．弔屈原文》：「遭世罔極兮，乃殞厥身。」
[連]
1.於是、才。《文選．司馬遷．報任少卿書》：「左丘失明，厥有《國語》。」
2.之、以。《書經．無逸》：「自時厥後，立王生則逸。」
[助]
語助詞，無義。南朝梁．劉勰《文心雕龍．詮賦》：「斯蓋別詩之原始，命賦之厥初也。」</t>
  </si>
  <si>
    <t>劂</t>
  </si>
  <si>
    <t>[名]
雕刻用的刀。《廣韻．入聲．月韻》：「劂，刻刀。」
[動]
雕刻。唐．張皓〈藏冰賦〉：「不劘不劂，如磋如切。」</t>
  </si>
  <si>
    <t>[名]
祭祀時用來陳列祭品的器具。有四足，且有橫距。《集韻．入聲．月韻》：「嶡，俎名，足有橫。」《禮記．明堂位》：「俎，有虞氏以梡，夏后氏以嶡，殷以椇，周以房俎。」</t>
  </si>
  <si>
    <t>(一)ㄍㄨㄟˋ guì（04304）</t>
  </si>
  <si>
    <t>獗</t>
  </si>
  <si>
    <t>參見「猖獗」條。</t>
  </si>
  <si>
    <t>橛</t>
  </si>
  <si>
    <t>[名]
1.小木樁、短木頭。如：「木頭橛子」。《水滸傳》第二三回：「只怕大蟲不死，把棒橛又打了一回。」也稱為「橛子」、「橛兒」。
2.馬口中所銜的橫木。《韓非子．姦劫弒臣》：「無捶策之威，銜橛之備，雖造父不能以服馬。」
3.禾稼的殘根。如：「稻橛」、「麥橛」。
[動]
擊。《山海經．大荒東經》：「黃帝得之，以其皮為鼓，橛以雷獸之骨，聲聞五百里，以威天下。」</t>
  </si>
  <si>
    <t>蕨</t>
  </si>
  <si>
    <t>[名]
植物名。碗蕨科蕨屬，多年生草本。地下莖橫生，於春季發嫩芽，形如拳狀，全株披白色毛茸。葉剛硬，三角形，三回羽狀複葉，基部三至六對羽片常較成熟，末端小裂片全緣。孢子囊群生於裂片背面兩側邊緣，被反卷之葉緣所包被。嫩葉可食，根莖有解熱、利尿等功用。</t>
  </si>
  <si>
    <t>蹶</t>
  </si>
  <si>
    <t>[動]
1.顛仆、跌倒。《淮南子．精神》：「形勞而不休則蹶，精用而不已則竭。」《元史．卷一九四．忠義傳二．喜同傳》：「喜同突圍將自拔，賊橫刺其馬，馬蹶，喜同鞭馬躍而起，手斬刺馬者。」
2.快跑、快走。《國語．越語下》：「臣聞從時者，猶救火追亡人也，蹶而趨之，唯恐弗及。」
3.失敗、挫敗。如：「一蹶不振」。《荀子．成相》：「主之孽，讒人達，賢能遁逃，國乃蹶。」
4.踏、蹈。《文選．揚雄．羽獵賦》：「蹶松柏，掌蒺藜。」唐．李白〈大鵬賦〉：「爾乃蹶厚地，摩太清，亙層霄，突重溟。」
[副]
急速、突然而起。《莊子．在宥》：「廣成子蹶然而起。」《南史．卷一四．宋宗室及諸王傳下．文帝諸子傳》：「鑠既歸義最晚，常懷憂懼，每於眠中蹶起坐，與人語亦多謬僻。」</t>
  </si>
  <si>
    <t>(二)ㄐㄩㄝˇ juě（06124）</t>
  </si>
  <si>
    <t>(一)ㄍㄨㄟˋ guì（04305）</t>
  </si>
  <si>
    <t>傕</t>
  </si>
  <si>
    <t>[名]
姓。《玉篇．人部》：「傕，姓也。」</t>
  </si>
  <si>
    <t>絕</t>
  </si>
  <si>
    <t>[動]_x000D_
1.斷、隔開。如：「斷絕」、「隔絕」。《史記．卷八六．刺客列傳．荊軻》：「未至身，秦王驚，自引而起，袖絕。」_x000D_
2.停止。如：「杜絕」、「滔滔不絕」、「絡繹不絕」。_x000D_
3.竭盡、完畢。如：「氣絕而死」。《淮南子．本經》：「江河三川，絕而不流。」_x000D_
4.暈死。《南史．卷七三．孝義列傳上．師覺援》：「捨車奔歸，聞家哭聲，一叫而絕，良久乃蘇。」《封神演義》第七回：「血染衣襟，昏絕于地。」_x000D_
5.沒有後代。如：「絕子」、「絕孫」、「絕後」。_x000D_
6.回拒、不接受。如：「拒絕」、「謝絕」。_x000D_
7.橫渡、穿越。《荀子．勸學》：「假舟楫者，非能水也，而絕江河。」《漢書．卷四〇．張陳王周傳．張良》：「羽翼以就，橫絕四海。」_x000D_
8.超越。《孔子家語．卷九．本姓解》：「其人身長十尺，武力絕倫。」《聊齋志異．卷七．青蛾》：「遺生最幼，聰惠絕人。」_x000D_
[形]_x000D_
1.卓越、獨一無二。如：「絕技」、「絕響」、「絕代風華」、「絕世美女」。_x000D_
2.距離遙遠。《漢書．卷六．武帝紀》：「其令州邵察吏民有茂村異等，可為將相及使絕國者。」漢．李陵〈答蘇武書〉：「昔先帝授陵步卒五千，出征絕域。」_x000D_
3.絲毫沒有、毫無希望。如：「絕路」、「絕處」。_x000D_
4.形容舉止怪異、特殊。如：「這人可絕了！」_x000D_
[副]_x000D_
1.極、甚。如：「絕妙好辭」。《史記．卷六六．伍子胥列傳》：「秦女絕美，王可自取，而更為太子取婦。」_x000D_
2.必定、鐵定。如：「絕不延期」、「絕不通融」、「絕無僅有」。_x000D_
3.冷酷，做事不留餘地。如：「這件事，他做的太絕了！」_x000D_
[名]_x000D_
絕句的簡稱。如：「五絕」、「七絕」。</t>
  </si>
  <si>
    <t>蕝</t>
  </si>
  <si>
    <t>[名]
古代朝會時，紮束茅草，豎立以表示位次。《說文解字．艸部》：「蕝，朝會束茅表位曰蕝。」《國語．晉語八》：「置茅蕝，設望表。」</t>
  </si>
  <si>
    <t>(二)（又音）ㄗㄨㄟˋ zuì（09637）</t>
  </si>
  <si>
    <t>[動]
互相競爭。通「角」(一)。《孟子．萬章下》：「魯人獵較，孔子亦獵較。」《遼史．卷九九．蕭巖壽傳》：「上出獵較，巖壽典其事。」</t>
  </si>
  <si>
    <t>(一)ㄐㄧㄠˋ jiào（05674）(二)（(一)之又音）ㄐㄧㄠˇ jiǎo（05655）</t>
  </si>
  <si>
    <t>潏</t>
  </si>
  <si>
    <t>[動]
水泉湧出。《說文解字．水部》：「潏，涌出也。」唐．岑參〈石犀〉詩：「江水初蕩潏，蜀人幾為魚。」
[名]
在水中填成的陸地。《爾雅．釋水》：「水中可居者曰洲，小洲曰渚，小渚曰沚，小沚曰坻，人所為為潏。」</t>
  </si>
  <si>
    <t>譎</t>
  </si>
  <si>
    <t>[形]
1.欺詐的。
2.奇異、怪異。如：「詭譎」。《紅樓夢》第五回：「惟嫡孫寶玉一人，秉性乖張，生情怪譎。」
[動]
1.欺騙。《韓非子．孤憤》：「主失勢而臣得國，主更稱蕃臣，而相室剖符，此人臣之所以譎主便私也。」
2.決斷。《荀子．儒效》：「若夫譎德而定次，量能而授官。」
[副]
隱諱而不直言。如：「譎諫」。南朝梁．劉勰《文心雕龍．宗經》：「藻辭譎喻，溫柔在誦。」</t>
  </si>
  <si>
    <t>鐍</t>
  </si>
  <si>
    <t>[名]
1.有舌的環。《說文解字．角部》：「觼，環之有舌者，從角敻聲。鐍，觼，或從金、矞。」《續漢書志．第三〇．輿服志下》：「紫綬以上，縌綬之間得施玉鐶鐍云。」
2.箱篋前上鎖的地方。《莊子．胠篋》：「將為胠篋探囊發匱之盜而為守備，則必攝緘縢，固扃鐍，此世俗之所謂知也。」《新唐書．卷一〇九．王璵傳》：「震怒，破鐍入，取巫斬廷下。」</t>
  </si>
  <si>
    <t>噱</t>
  </si>
  <si>
    <t>[名]
大聲的笑。如：「便發一噱」、「令人發噱」。
[動]
笑。唐．皮日休〈吳中苦雨因書一百韻寄魯望〉詩：「入門且抵掌，大噱時碌碌。」</t>
  </si>
  <si>
    <t>(二)ㄒㄩㄝ xuē（07332）</t>
  </si>
  <si>
    <t>臄</t>
  </si>
  <si>
    <t>[名]
1.口內上顎彎曲的地方。《說文解字．谷部》：「𧮫，口上阿也。……臄，或从肉，从豦。」
2.取脾、腎等置於腸內燒炙而成的食品。《集韻．入聲．藥韻》：「臄，切肉也。取脾、腎寘腸炙之曰臄。」</t>
  </si>
  <si>
    <t>爵</t>
  </si>
  <si>
    <t>[名]
1.古代一種飲酒的器具。形狀略似雀，下有三隻腳。如：「玉爵」、「金爵」。《詩經．小雅．賓之初筵》：「酌彼康爵，以奏爾時。」
2.古代封給貴族或功臣的名位。《韓非子．五蠹》：「官爵可買，則商工不卑也矣。」《禮記．王制》：「王者之制祿爵，公、侯、伯、子、男凡五等。」也稱為「爵位」。
3.鳥雀。同「雀」。《續漢書志．第一四．五行志二》：「中平三年八月中，懷陵上有萬餘爵，先極悲鳴，已因亂鬥相殺，皆斷頭，懸著樹枝枳棘。」宋．陸游〈村居〉詩：「不恨閑門可羅爵，本知窮巷自多泥。」
[動]
封給人爵位。《禮記．王制》：「任事然後爵之，位定然後祿之。」《史記．卷七一．樗里子甘茂傳》：「秦惠王八年，爵樗里子右更，使將而伐曲沃。」</t>
  </si>
  <si>
    <t>[動]
1.用牙齒咬碎食物。如：「咀嚼」。《淮南子．說林》：「嚼而無味者，弗能內於喉。」
2.剝蝕、侵蝕。宋．真山民〈朱溪澗〉詩：「雪融山背嵐生翠，水嚼沙洲樹出根。」
3.玩味。宋．王令〈寄滿執中子權〉詩：「吾愛子權詩，苦嚼味不盡。」</t>
  </si>
  <si>
    <t>(二)ㄐㄧㄠˊ jiáo（05647）(三)ㄐㄧㄠˋ jiào（05688）</t>
  </si>
  <si>
    <t>爝</t>
  </si>
  <si>
    <t>[名]
小火、火把。《莊子．逍遙遊》：「日月出矣而爝火不息。」三國魏．嵇康〈聲無哀樂論〉：「猶一爝之火，雖未能溫一室，不宜復增其寒矣。」
[動]
照耀。《呂氏春秋．孝行覽．本味》：「湯得伊尹，祓之於廟，爝以爟火，釁以犧猳。」</t>
  </si>
  <si>
    <t>屩</t>
  </si>
  <si>
    <t>[名]
草鞋。《說文解字．履部》：「屩，履也。」</t>
  </si>
  <si>
    <t>[名]
草鞋。《戰國策．秦策一》：「羸縢履蹻，負書擔橐。」《史記．卷七六．平原君虞卿傳》：「躡蹻檐簦。」</t>
  </si>
  <si>
    <t>(一)ㄑㄧㄠ qiāo（06361）(二)ㄐㄧㄠˇ jiǎo（05665）</t>
  </si>
  <si>
    <t>矍</t>
  </si>
  <si>
    <t>[副]
驚視的樣子。《文選．班固．東都賦》：「主人之辭未終，西都賓矍然失容。」
[名]
姓。如唐代有矍璋。</t>
  </si>
  <si>
    <t>戄</t>
  </si>
  <si>
    <t>[副]
1.驚訝、震驚的樣子。《玉篇．心部》：「戄，驚也。」《戰國策．魏策三》：「秦王戄然曰：『國有事，未澹下兵也，今以兵從。』」《史記．卷六二．管晏傳》：「越石父請絕，晏子戄然，攝衣冠謝。」
2.敬服、恭敬的樣子。《文選．東方朔．非有先生論》：「於是吳王戄然易容，捐薦去几，危坐而聽。」</t>
  </si>
  <si>
    <t>攫</t>
  </si>
  <si>
    <t>[動]
1.鳥獸用爪捕取獵物。如：「老鷹攫雞」、「餓虎攫羊」。《漢書．卷八九．循吏傳．黃霸傳》：「吏出，不敢舍郵亭，食於道旁，烏攫其肉。」
2.撲取、奪取。如：「攫搏」、「攫為己有」。《莊子．讓王》：「左手攫之則右手廢，右手攫之則左手廢。」唐．柳宗元〈愚溪對〉：「見交趾寶貨之多，光溢於目，思以兩手左右攫而懷之。」</t>
  </si>
  <si>
    <t>玃</t>
  </si>
  <si>
    <t>[名]
大母猴。《說文解字．犬部》：「玃，大母猴也。」</t>
  </si>
  <si>
    <t>彏</t>
  </si>
  <si>
    <t>[動]
快速的拉開弓。《說文解字．弓部》：「彏，弓急張也。」《漢書．卷八七．揚雄傳上》：「掉犇星之流旃，彏天狼之威弧。」</t>
  </si>
  <si>
    <t>蠼</t>
  </si>
  <si>
    <t>[名]
母猴。通「玃」。《集韻．入聲．藥韻》：「蠼，獸名。《說文》：『母猴也。』」
[動]
跳躍。《史記．卷一一七．司馬相如列傳》：「低卬夭蟜据以驕驁兮，詘折隆窮蠼以連卷。」</t>
  </si>
  <si>
    <t>躩</t>
  </si>
  <si>
    <t>[形]
腳步迅速的樣子。《論語．鄉黨》：「君召使擯，色勃如也，足躩如也。」
[動]
跳動。《淮南子．精神》：「鳧浴，蝯蠼，鴟視，虎顧。」唐．李白〈東海有勇婦〉詩：「十步兩躩躍，三呼一交兵。」</t>
  </si>
  <si>
    <t>钁</t>
  </si>
  <si>
    <t>[名]
一種用來挖掘土地的農具。三國魏．曹植〈藉田賦〉：「名王親枉千乘之體于隴畝之中，執鉏钁于畦町之側。」</t>
  </si>
  <si>
    <t>[動]
1.睡醒。《詩經．王風．兔爰》：「我生之後，逢此百憂，尚寐無覺。」《莊子．齊物論》：「覺而後知其夢也。」
2.醒悟、感悟。如：「覺悟」、「後知後覺」。《文選．陶淵明．歸去來辭》：「寔迷途其未遠，覺今是而昨非。」
3.知曉、感受到、意識到。如：「發覺」、「警覺」、「自覺」、「不知不覺」。唐．李商隱〈無題〉詩：「曉鏡但愁雲鬢改，夜吟應覺月光寒。」
4.啟發、告訴。《孟子．萬章上》：「使先知覺後知。」
[名]
1.感官受刺激後對事物的辨識能力。如：「知覺」、「味覺」、「幻覺」、「錯覺」。
2.賢智之人。如：「先覺」。</t>
  </si>
  <si>
    <t>(二)ㄐㄧㄠˋ jiào（05691）</t>
  </si>
  <si>
    <t>ㄐㄩㄝˇ</t>
  </si>
  <si>
    <t>juě</t>
  </si>
  <si>
    <t>[動]
踢。漢．王充《論衡．論死》：「使舒手而擊，舉足而蹶。」《紅樓夢》第六五回：「原來二馬同槽，不能相容，互相蹶踶起來。」</t>
  </si>
  <si>
    <t>(一)ㄐㄩㄝˊ jué（06099）</t>
  </si>
  <si>
    <t>ㄐㄩㄝˋ</t>
  </si>
  <si>
    <t>juè</t>
  </si>
  <si>
    <t>[形]
脾氣大、言語粗率。如：「這個人說的話好倔！」</t>
  </si>
  <si>
    <t>(一)ㄐㄩㄝˊ jué（06089）</t>
  </si>
  <si>
    <t>身</t>
  </si>
  <si>
    <t>ㄐㄩㄢ</t>
  </si>
  <si>
    <t>juān</t>
  </si>
  <si>
    <t>參見「身毒」條。</t>
  </si>
  <si>
    <t>(一)ㄕㄣ shēn（08968）</t>
  </si>
  <si>
    <t>涓</t>
  </si>
  <si>
    <t>[名]
1.細流。《說文解字．水部》：「涓，小流也。」唐．王勃〈入蜀紀行序〉：「游涓澮者，發江湖之思。」
2.姓。如漢代有涓勛。
[形]
1.細緩的、細微的。如：「涓流」、「涓塵」。《文選．陶淵明．歸去來辭》：「木欣欣以向榮，泉涓涓而始流。」
2.清潔的。參見「涓人」、「涓潔」等條。
[動]
選擇。《文選．左思．魏都賦》：「涓吉日，陟中壇，即帝位。」《南齊書．卷一一．樂志》：「涓辰選氣，展禮恭祇。」</t>
  </si>
  <si>
    <t>悁</t>
  </si>
  <si>
    <t>[形]
1.忿怒、憤恨。《楚辭．劉向．九歎．逢紛》：「腸憤悁而含怒兮，志遷蹇而左傾。」《後漢書．卷五八．臧洪傳》：「忿悁之師，兵家所忌。」
2.憂思、憂鬱。唐．李華〈弔古戰場文〉：「悁悁心目，寤寐見之。」</t>
  </si>
  <si>
    <t>(一)ㄐㄩㄢˋ juàn（06146）</t>
  </si>
  <si>
    <t>捐</t>
  </si>
  <si>
    <t>[動]
1.捨棄、拋棄。《說文解字．手部》：「捐，棄也。」如：「為國捐軀」。《楚辭．屈原．九歌．湘君》：「捐余玦兮江中，遺余佩兮醴浦。」《文選．李陵．答蘇武書》：「寧有背君親、捐妻子，而反為利者乎？」
2.除去。《字彙．手部》：「捐，除去。」《孟子．萬章上》：「父母使舜完廩，捐階，瞽瞍焚廩。」
3.奉獻財物幫助別人。如：「捐獻」、「募捐」、「捐款救災」、「捐糧賑濟」。
4.舊時稱以金錢買得官職。如：「捐官」。《紅樓夢》第一三回：「賈珍心中打算定了主意，因而趁便就說要與賈蓉捐個前程的話。」
[名]
人民向政府繳納的稅金。如：「房捐」、「地捐」、「稅捐」。</t>
  </si>
  <si>
    <t>娟</t>
  </si>
  <si>
    <t>[形]
美好。如：「娟美」、「娟秀」。宋．王安石〈寄蔡氏女子〉詩二首之一：「蘭馥兮眾植，竹娟兮常茂。」明．徐宏祖《徐霞客遊記．卷五下．滇遊日記三》：「岡峽縱橫，而森石尤多娟麗。」</t>
  </si>
  <si>
    <t>鞙</t>
  </si>
  <si>
    <t>[名]
牛車上懸綁車軛的皮帶。《說文解字．革部》：「鞙，大車縛軛靼。」
[動]
懸掛。晉．成公綏〈蜘蛛賦〉：「挂翼繞足，鞙絲置圍。」唐．元稹〈酬樂天東南行詩一百韻〉：「當心鞙銅鼓，背弝射桑弧。」
[形]
佩帶玉飾的樣子。《詩經．小雅．大東》：「鞙鞙佩璲，不以其長。」</t>
  </si>
  <si>
    <t>鵑</t>
  </si>
  <si>
    <t>參見「杜鵑」條。</t>
  </si>
  <si>
    <t>圈</t>
  </si>
  <si>
    <t>[動]
收管、關住。如：「把雞鴨圈住。」《晉書．卷四六．劉頌傳》：「魏氏承之，圈閉親戚，幽囚子弟，是以神器速傾，天命移在陛下。」</t>
  </si>
  <si>
    <t>(一)ㄑㄩㄢ quān（06679）(二)ㄑㄩㄢˋ quàn（06708）(四)ㄐㄩㄢˋ juàn（06144）</t>
  </si>
  <si>
    <t>朘</t>
  </si>
  <si>
    <t>[動]
1.縮減。《集韻．平聲．仙韻》：「朘，縮也。」《漢書．卷五六．董仲舒傳》：「民日削月朘，寖以大窮。」《新唐書．卷二一八．沙陀傳》：「文楚朘損用度，下皆怨。」
2.剝削。《新唐書．卷一二七．張嘉貞傳》：「不通大體，朘刻軍賜。」《金史．卷四四．兵志》：「朘民膏血而不足，乃行括糧之法。」</t>
  </si>
  <si>
    <t>鐫</t>
  </si>
  <si>
    <t>[名]
雕鑿用的器具。《說文解字．金部》「鐫」字．清．段玉裁．注：「謂破木之器曰鐫。」
[動]
1.雕鑿、雕刻。如：「鐫石」。唐．白居易〈新樂府．青石〉：「不願作官家道旁德政碑，不鐫實錄鐫虛辭。」明．徐宏祖《徐霞客遊記．卷一下．遊嵩山日記》：「一山皆劈為崖，滿崖鐫佛其上。」
2.比喻深記、銘記。如：「鐫心之感」。清．洪昇《長生殿》第四六齣：「鎮日家把嬌容心坎鐫。」
3.官吏降級或免職。如：「鐫級」、「鐫黜」。《宋史．卷四七一．姦臣傳一．曾布傳》：「流貶鐫廢，略無虛日。」</t>
  </si>
  <si>
    <t>蠲</t>
  </si>
  <si>
    <t>[名]
動物名。節肢動物門倍足綱。全身由許多環節構成，多腳，頭生有一對觸鬚。《說文解字．虫部》：「蠲，馬蠲也。」也稱為「馬陸」。
[動]
1.免除。如：「蠲免」、「蠲除」。《紅樓夢》第一四回：「如這些無頭緒，荒亂推託偷閒竊取等弊，次日一概都蠲了。」
2.光耀、顯明。《左傳．襄公十四年》：「惠公蠲其大德。」
3.使清潔。《文選．張衡．思玄賦》：「湯蠲體以禱祈兮，蒙庬褫以拯民。」《晉書．卷五一．皇甫謐傳》：「岐伯剖腹以蠲腸。」</t>
  </si>
  <si>
    <t>卷</t>
  </si>
  <si>
    <t>ㄐㄩㄢˇ</t>
  </si>
  <si>
    <t>juǎn</t>
  </si>
  <si>
    <t>[動]
1.把物品彎轉成圓弧或圓筒狀。通「捲」。《詩經．邶風．柏舟》：「我心匪席，不可卷也。」宋．蘇軾〈和郭主簿〉詩二首之二：「良辰非虛名，清和盈我襟；孺子卷書坐，誦詩如鼓琴。」
2.收藏、收拾。通「捲」。《儀禮．公食大夫禮》：「有司卷三牲之俎，歸于賓館。」唐．柳宗元〈梓人傳〉：「則卷其術，默其智，悠爾而去。」唐．杜甫〈聞官軍收河南河北〉詩：「卻看妻子愁何在，漫卷詩書喜欲狂。」
[名]
1.形狀卷曲的東西。如：「花卷」、「麻花卷」、「銀絲卷」。《淮南子．兵略》：「故得道之兵，……鼓不振塵，旗不解卷。」
2.可產生卷曲效果的器物。如：「髮卷」。
3.量詞。計算成卷物品的單位。通「捲」。如：「兩卷底片」、「三卷衛生紙」。《紅樓夢》第一〇五回：「綢緞一百三十卷、紗綾一百八十一卷、羽線縐三十二卷……。」</t>
  </si>
  <si>
    <t>(一)ㄐㄩㄢˋ juàn（06140）(三)ㄑㄩㄢˊ quán（06693）</t>
  </si>
  <si>
    <t>帣</t>
  </si>
  <si>
    <t>[動]
捲起衣袖。《集韻．上聲．獮韻》：「帣，斂衣袖也。」《史記．卷一二六．滑稽傳．淳于髡傳》：「髡帣韝鞠跽，侍酒於前。」唐．司馬貞．索隱：「帣，謂收袖也。」</t>
  </si>
  <si>
    <t>(一)ㄐㄩㄢˋ juàn（06141）</t>
  </si>
  <si>
    <t>捲</t>
  </si>
  <si>
    <t>[動]
1.把物品彎轉成圓弧或圓筒狀。如：「請把這幅長掛圖捲起來。」五代十國．李煜〈山花子．手捲珠簾上玉鉤〉詞：「手捲珠簾上玉鉤，依前春恨鎖重樓。」
2.把東西掀起、翻轉或包覆起來。唐．岑參〈白雪歌送武判官歸京〉詩：「北風捲地白草折，胡天八月即飛雪。」宋．蘇軾〈念奴轎．大江東去〉詞：「亂石穿空，驚濤拍岸，捲起千堆雪。」
3.挾藏。如：「捲款潛逃」。《紅樓夢》第四回：「他意欲捲了兩家的銀子，再逃往他鄉去。」
4.彎曲。《水滸傳》第一一回：「砍銅剁鐵，刀口不捲。」
[名]
1.彎轉成圓筒狀的東西。如：「菸捲」、「蛋捲」、「鋪蓋捲」。《紅樓夢》第四一回：「揭開看時，每個盒內兩樣：這盒內一樣是藕粉桂糖糕，一樣是松穰鵝油捲。」
2.量詞。計算成卷物品的單位。通「卷」。《老殘遊記》第一七回：「叫把昨兒個的一捲舊鋪蓋取回去。」</t>
  </si>
  <si>
    <t>ㄐㄩㄢˋ</t>
  </si>
  <si>
    <t>juàn</t>
  </si>
  <si>
    <t>[名]
1.古時書籍寫在絹帛或紙上，捲起來收藏，因此通稱書籍為「卷」。如：「手不釋卷」、「開卷有益」。
2.指書有分卷的每一單獨部分。如：「卷一」、「卷二」、「第一卷」、「第二卷」。
3.可以捲起來的書、畫。如：「經卷」、「手卷」、「畫卷」、「山水長卷」。
4.公私機構的公事文件。如：「卷宗」、「案卷」、「文卷」、「調卷」。
5.考試測驗的題紙。如：「試卷」、「考卷」。
6.量詞。計算字畫書籍的單位。如：「藏書三萬卷。」唐．杜甫〈贈韋左丞丈二十二韻〉：「讀書破萬卷，下筆如有神。」</t>
  </si>
  <si>
    <t>(二)ㄐㄩㄢˇ juǎn（06137）(三)ㄑㄩㄢˊ quán（06693）</t>
  </si>
  <si>
    <t>[名]
1.有底部的囊袋。《集韻．平聲．仙韻》：「囊有底曰帣。」
2.量詞。古代計算容量的單位。三石為一帣。《廣韻．去聲．線韻》：「帣，三石為一帣。」</t>
  </si>
  <si>
    <t>(二)ㄐㄩㄢˇ juǎn（06138）</t>
  </si>
  <si>
    <t>倦</t>
  </si>
  <si>
    <t>[形]
疲憊、懈怠。如：「疲倦」、「倦怠」、「孜孜不倦」、「倦鳥歸巢」。宋．蘇軾〈永遇樂．明月如霜〉詞：「天涯倦客，山中歸路，望斷故園心眼。」
[動]
厭惡。《易經．繫辭下》：「通其變，使民不倦。」</t>
  </si>
  <si>
    <t>眷</t>
  </si>
  <si>
    <t>[動]
1.回頭看。《說文解字．目部》：「眷，顧也。」清．段玉裁．注：「顧者，還視也；眷者，顧之深也。顧止于側而已，眷則至於反。」《詩經．大雅．皇矣》：「乃眷西顧，此維與宅。」
2.思慕、留戀。如：「眷戀」、「眷念」。《文選．謝靈運．遊赤石進帆海詩》：「仲連輕齊組，子牟眷魏闕。」
3.關心、照顧。《晉書．卷三七．宗室傳．譙剛王遜傳》：「蒙眷累世。」
[名]
1.家屬、親屬。如：「家眷」、「親眷」、「攜家帶眷」。
2.尊稱已婚的婦女。如：「如花美眷」。元．朱德潤〈詠外宅婦〉詩：「問是誰家好宅眷？聘來不識拜姑嫜。」</t>
  </si>
  <si>
    <t>[名]
1.飼養獸畜的地方。如：「豬圈」、「牛圈」。《漢書．卷五〇．張釋之傳》：「從行，上登虎圈。」唐．顏師古．注：「圈，養獸之所也。」
2.姓。如漢代有圈稱。</t>
  </si>
  <si>
    <t>(一)ㄑㄩㄢ quān（06679）(二)ㄑㄩㄢˋ quàn（06708）(三)ㄐㄩㄢ juān（06133）</t>
  </si>
  <si>
    <t>睠</t>
  </si>
  <si>
    <t>[動]
1.回頭看。《詩經．小雅．大東》：「睠言顧之，潸焉出涕。」漢．毛亨．傳：「睠，反顧也。」
2.關心、顧念。同「眷」。《史記．卷八四．屈原賈生傳》：「睠顧楚國，繫心懷王。」唐．皇甫枚〈王知古〉：「睠以佳耦。」</t>
  </si>
  <si>
    <t>[形]
急躁。《集韻．去聲．線韻》：「悁，躁急。」《南史．卷二四．王准之傳》：「然寡風素，情悁急，不為時流所重。」</t>
  </si>
  <si>
    <t>(二)ㄐㄩㄢ juān（06128）</t>
  </si>
  <si>
    <t>狷</t>
  </si>
  <si>
    <t>[形]
1.急躁。《廣韻．去聲．霰韻》：「狷，急也。」如：「狷急」。《漢書．卷七七．劉輔傳》：「廣開忠直之路，不罪狂狷之言。」
2.清高、正直不阿。《論語．子路》：「狷者有所不為。」宋．蘇軾〈賈誼論〉：「則知其有狷介之操，一不見用，則憂傷病沮。」</t>
  </si>
  <si>
    <t>睊</t>
  </si>
  <si>
    <t>參見「睊睊」條。</t>
  </si>
  <si>
    <t>罥</t>
  </si>
  <si>
    <t>[名]
捕捉鳥獸的網。明．徐渭〈啟諸南明侍郎〉：「辟如雉兔觸罥於籠牢，盼盼焉不知伏處而待命。」
[動]
懸掛、糾結。《文選．鮑照．蕪城賦》：「澤葵依井，荒葛罥塗。」唐．杜甫〈茅屋為秋風所破歌〉：「茅飛渡江灑江郊，高者掛罥長林梢。」</t>
  </si>
  <si>
    <t>絹</t>
  </si>
  <si>
    <t>[名]
1.質薄而堅韌的生絲織品。《玉篇．糸部》：「絹，生繒也。」唐．白居易〈秦中吟．重賦〉：「織絹未成匹，繰絲未盈斤。」宋．戴復古〈織婦歎〉：「春蠶成絲復成絹，養得夏蠶重剝繭。」
2.方形小巾。如：「手絹」。
[動]
懸綁、縛繫。通「罥」。《後漢書．卷六〇．馬融傳》：「絹猑蹄，鏦特肩。」唐．章懷太子．注：「絹，繫也，與罥通。」</t>
  </si>
  <si>
    <t>鄄</t>
  </si>
  <si>
    <t>參見「鄄城」條。</t>
  </si>
  <si>
    <t>雋</t>
  </si>
  <si>
    <t>[形]
言論或文句意味深長。如：「雋永」、「雋句」、「雋語」。
[名]
姓。如漢代有雋不疑。</t>
  </si>
  <si>
    <t>(二)ㄐㄩㄣˋ jùn（06183）</t>
  </si>
  <si>
    <t>楗</t>
  </si>
  <si>
    <t>[形]
馬疲累跛行的樣子。通「蹇」。《周禮．冬官考工記．輈人》：「終日馳騁，左不楗。」</t>
  </si>
  <si>
    <t>均</t>
  </si>
  <si>
    <t>ㄐㄩㄣ</t>
  </si>
  <si>
    <t>jūn</t>
  </si>
  <si>
    <t>[形]_x000D_
等同、沒有輕重多寡之分的。如：「平均」、「均勻」、「貧富不均」、「勢均力敵」。_x000D_
[副]_x000D_
1.公平、相等。如：「均分」、「均攤」。_x000D_
2.皆、全部。如：「老少均安」、「均已脫險」。_x000D_
[動]_x000D_
調和、調節。《詩經．小雅．皇皇者華》：「我馬維駰，六轡既均。」漢．毛亨．傳：「均，調也。」晉．張協〈七命〉：「營匠斲其樸，伶倫均其聲。」_x000D_
[名]_x000D_
1.製造陶、瓦器時所用的旋轉臺。《管子．七法》：「不明於則而欲出號令，猶立朝夕於運均之上。」_x000D_
2.量詞。古代計算容量的單位。二千五百石為一均。《漢書．卷二四．食貨志下》：「令官作酒，以二千五百石為均。」</t>
  </si>
  <si>
    <t>(二)ㄩㄣˋ yùn（11843）</t>
  </si>
  <si>
    <t>袀</t>
  </si>
  <si>
    <t>[名]_x000D_
戎服。《廣韻．平聲．諄韻》：「袀，戎衣也。」_x000D_
[形]_x000D_
相同、純一。《呂氏春秋．先識覽．悔過》：「今袀服回建，左不軾，而右之。」漢．高誘．注：「袀，同也。兵服上下無別，故曰袀服。」《漢書．卷九九．王莽傳下》：「時莽紺袀服，帶璽韍。」唐．顏師古．注：「袀，純也。」</t>
  </si>
  <si>
    <t>鈞</t>
  </si>
  <si>
    <t>[名]
1.量詞。古代計算重量的單位。三十斤為一鈞。《說文解字．金部》：「鈞，三十斤也。」《左傳．定公八年》：「顏高之弓六鈞。」《孟子．梁惠王上》：「吾力足以舉百鈞，而不足以舉一羽。」
2.製作陶器時所用的轉輪。《漢書．卷五六．董仲舒傳》：「夫上之化下，下之從上，猶泥之在鈞。」
3.姓。如漢代有鈞喜。
[副]
同樣。通「均」。《孟子．告子上》：「鈞是人也，或為大人，或為小人，何也？」漢．趙岐．注：「鈞，同也。」
[形]
1.相同。《漢書．卷七八．蕭望之傳》：「會庭中，與丞相鈞禮。」
2.尊稱有關長輩或上級的事物、行為等的敬詞。如：「鈞命」、「鈞鑒」、「鈞啟」、「鈞安」。
[動]
權衡。《後漢書．卷六六．陳蕃傳》：「鈞此二者，臣寧得禍，不敢欺天也。」《文選．顏延之．陶徵士誄》：「度量難鈞，進退可限。」</t>
  </si>
  <si>
    <t>君</t>
  </si>
  <si>
    <t>[名]
1.封建時代一國之主。如：「君王」、「國君」。《左傳．成公二年》：「人不難以死免其君。」
2.主宰者。《老子》第七〇章：「言有宗，事有君。」三國魏．王弼．注：「君，萬物之主也。」
3.封號。如戰國時代齊國的孟嘗君，魏國的信陵君，趙國的平原君，楚國的春申君。
4.稱謂：(1)用以尊稱父祖輩。如：「家君」、「嚴君」。漢．孔安國〈書經序〉：「先君孔子生於周末。」(2)妻妾稱自己的丈夫為「君」。如：「夫君」、「郎君」。《禮記．內則》：「君已食，徹焉。」漢．鄭玄．注：「凡妾稱夫曰君。」(3)對人的尊稱。如：「諸君」、「胡君」。《史記．卷九六．張丞相傳》：「君勿言，吾私之。」(4)對他人母親或妻子的尊稱。如：「太君」、「細君」。
5.姓。如明代有君助。
[動]
統治。《韓非子．五蠹》：「魯哀公，下主也，南面君國，境內之民，莫敢不臣。」</t>
  </si>
  <si>
    <t>參見「涒鄰」條。</t>
  </si>
  <si>
    <t>(一)ㄊㄨㄣ tūn（02865）(三)（(二)之又音）ㄩㄣ yūn（11813）</t>
  </si>
  <si>
    <t>頵</t>
  </si>
  <si>
    <t>[形]
頭大的樣子。《集韻．平聲．諄韻》：「頵，頭大貌。」南朝宋．劉義慶《世說新語．賞譽》：「潁川李府君，頵頵如玉山。」</t>
  </si>
  <si>
    <t>囷</t>
  </si>
  <si>
    <t>[名]
圓形的穀倉。《說文解字．囗部》：「囷，廩之圜者。」《詩經．魏風．伐檀》：「不稼不穡，胡取禾三百囷兮。」《國語．吳語》：「今吳民既罷，而大荒薦饑，市無赤米，而囷鹿空虛。」三國吳．韋昭．注：「員曰囷，方曰鹿。」</t>
  </si>
  <si>
    <t>軍</t>
  </si>
  <si>
    <t>[名]
1.武裝部隊、兵種。如：「陸軍」、「海軍」、「空軍」。
2.兵士的通稱。《史記．卷九二．淮陰侯傳》：「軍皆殊死戰，不可敗。」元．石君寶《秋胡戲妻》第四折：「元來他做了官，不是軍了也。」
3.野戰部隊中大於師而小於軍團的最小戰略單位，通常轄有兩個或兩個以上的師及必要的戰鬥支援與勤務支援部隊。
4.陣地。唐．高適〈燕歌行〉：「戰士軍前半死生，美人帳下猶歌舞。」
5.古時將犯人送至邊疆勞役的刑罰。如：「發配充軍」。《明史．卷九三．刑法志一》：「軍有終身，有永遠。」
[動]
1.駐紮、屯兵。《左傳．桓公八年》：「楚子伐隨，軍於漢淮之間。」《史記．卷七．項羽本紀》：「沛公軍霸上，未得與項羽相見。」
2.編成軍隊。《左傳．宣公十二年》：「晉之餘師不能軍，宵濟亦終夜有聲。」</t>
  </si>
  <si>
    <t>皸</t>
  </si>
  <si>
    <t>[動]
皮膚因受凍或過分乾燥而裂開。明．宋濂〈送東陽馬生序〉：「窮冬烈風，大雪深數尺，足膚皸裂而不知。」</t>
  </si>
  <si>
    <t>麇</t>
  </si>
  <si>
    <t>[名]
動物名。即獐。哺乳綱偶蹄目。似鹿而小，無角。性機警，善跳躍。《說文解字．鹿部》：「麇，獐也。」</t>
  </si>
  <si>
    <t>(二)ㄑㄩㄣˊ qún（06714）</t>
  </si>
  <si>
    <t>[動]
皮膚因寒冷或過分乾燥而出現裂痕。通「皸」。如：「龜裂」。《莊子．逍遙遊》：「宋人有善為不龜手之藥者，世世以洴澼絖為事。」</t>
  </si>
  <si>
    <t>(一)ㄍㄨㄟ guī（04270）(三)ㄑㄧㄡ qiū（06409）</t>
  </si>
  <si>
    <t>窘</t>
  </si>
  <si>
    <t>ㄐㄩㄣˇ</t>
  </si>
  <si>
    <t>jǔn</t>
  </si>
  <si>
    <t>(一)ㄐㄩㄥˇ jiǒng（06198）</t>
  </si>
  <si>
    <t>俊</t>
  </si>
  <si>
    <t>ㄐㄩㄣˋ</t>
  </si>
  <si>
    <t>jùn</t>
  </si>
  <si>
    <t>[形]
1.傑出的。《書經．洪範》：「俊民用章，家用平康。」《文選．曹植．七啟》：「若夫田文、無忌之儔，乃上古之俊公子也。」
2.容貌秀美。如：「俊俏」。元．喬吉《揚州夢》第三折：「端詳著厖兒俊，思量著口兒甜，怎肯教意兒差。」《紅樓夢》第六九回：「老祖宗且別問，只說比我俊不俊。」
[名]
才智出眾的人。如：「俊碩」、「俊彥」。《孟子．公孫丑上》：「尊賢使能，俊傑在位。」漢．趙岐．注：「俊，美才出眾者也。」</t>
  </si>
  <si>
    <t>浚</t>
  </si>
  <si>
    <t>[動]
1.舀取。《說文解字．水部》：「浚，抒也。」清．段玉裁．注：「抒者，挹也，取諸水中也。」
2.疏通或挖深水道。通「濬」。唐．魏徵〈論時政疏〉：「欲流之遠者，必浚其泉源。」唐．韓愈〈重答張籍書〉：「浚其源，導其所歸；溉其根，將食其實。」
3.剝削、榨取。《左傳．襄公二十四年》：「子實生我，而謂子浚我以生乎？」晉．杜預．注：「浚，取也，言取我財以自生。」唐．柳宗元〈封建論〉：「姦利浚財，怙勢作威。」
[形]
深。《詩經．小雅．小弁》：「莫高匪山，莫浚匪泉。」漢．毛亨．傳：「浚，深也。」唐．柳宗元〈鈷鉧潭西小邱記〉：「西二十五步，當湍而浚者為魚梁。」</t>
  </si>
  <si>
    <t>峻</t>
  </si>
  <si>
    <t>[形]
1.高的。如：「高峻」、「崇山峻嶺」。
2.偉大的。如：「峻命」、「峻節」。《禮記．大學》：「〈帝典〉曰：『克明峻德。』」漢．鄭玄．注：「峻，大也。」
3.陡峭。《韓非子．姦劫弒臣》：「是猶上高原之顛，墮峻谿之下而求生，必不幾矣。」
4.嚴厲的、苛刻的。如：「嚴刑峻法」。《史記．卷一一八．淮南王傳》：「政苛刑峻，天下熬然若焦。」《後漢書．卷三三．朱浮傳》：「浮性矜急自多，頗有不平，因以峻文詆之。」</t>
  </si>
  <si>
    <t>焌</t>
  </si>
  <si>
    <t>[動]
用火燒物。《說文解字．火部》：「焌，然火也。」清．段玉裁．注：「以火燒物曰然。」《周禮．春官．菙氏》：「凡卜，以明火爇燋，遂吹其焌契，以授卜師，遂役之。」漢．鄭玄．注：「焌，謂以契柱燋火而吹之也。」</t>
  </si>
  <si>
    <t>晙</t>
  </si>
  <si>
    <t>[名]
1.清早。《爾雅．釋詁》：「晙，早也。」晉．郭璞．注：「晙，亦明也。」
2.人名用字。如唐朝有王晙。</t>
  </si>
  <si>
    <t>竣</t>
  </si>
  <si>
    <t>[動]
完畢。如：「竣工」、「完竣」。《三國演義》第六一回：「便差軍數萬築濡須塢，曉夜併工，刻期告竣。」</t>
  </si>
  <si>
    <t>睃</t>
  </si>
  <si>
    <t>[動]
瞟視，斜著眼看。《水滸傳》第二三回：「那婦人只顧把眼來睃武松。」</t>
  </si>
  <si>
    <t>畯</t>
  </si>
  <si>
    <t>[名]
1.職官名。古代掌農事的官。《詩經．豳風．七月》：「饁彼南畝，田畯至喜。」漢．毛亨．傳：「田畯，田大夫也。」《文選．張衡．東京賦》：「嘉田畯之匪懈。」
2.泛指農夫。三國魏．劉楨〈大暑賦〉：「農畯捉鐏而去疇，織女釋杼而下機。」</t>
  </si>
  <si>
    <t>葰</t>
  </si>
  <si>
    <t>[形]
大。《文選．司馬相如．上林賦》：「夸條直暢，實葉葰楙。」李善注引司馬彪曰：「葰，大也。」</t>
  </si>
  <si>
    <t>餕</t>
  </si>
  <si>
    <t>[名]_x000D_
1.剩餘的食物。《說文解字．食部》：「餕，食之餘也。」《禮記．曲禮上》：「餕餘不祭。」_x000D_
2.熟食。通「飧」。《公羊傳．昭公二十五年》：「吾寡君聞君在外，餕饔未就，敢致糗於從者。」漢．何休．解詁：「餕，熟食。」_x000D_
[動]_x000D_
吃剩下的食物。《儀禮．士昏禮》：「媵餕主人之餘，御餕婦餘。」</t>
  </si>
  <si>
    <t>㕙</t>
  </si>
  <si>
    <t xml:space="preserve">厶 </t>
  </si>
  <si>
    <t>[名]
狡兔，或泛指兔子。《玉篇．兔部》：「㕙，狡兔。」宋．吳潛〈賀新郎．汲水驅炎熱〉詞：「玉㕙擣藥何時歇。幾千年，陰晴隱現，團圓虧缺。」</t>
  </si>
  <si>
    <t>駿</t>
  </si>
  <si>
    <t>[名]
1.良馬。《說文解字．馬部》：「駿，馬之良材者。」如：「神駿」。《楚辭．東方朔．七諫．謬諫》：「駑駿雜而不分兮，服罷牛而驂驥。」漢．王逸．注：「良馬為駿。」
2.才能出眾的人。通「俊」。《史記．卷八四．屈原賈生傳》：「誹駿疑桀兮，固庸態也。」裴駰集解引王逸曰：「千人才為俊。」
[副]
急速。《爾雅．釋詁下》：「駿，速也。」晉．郭璞．注：「駿猶迅速，亦疾也。」《詩經．周頌．噫嘻》：「駿發爾私，終三十里。」《文選．陸機．歎逝賦》：「日望空以駿驅，節循虛而警立。」
[形]
1.大的。如：「駿業」。《詩經．大雅．文王》：「宜鑒于殷，駿命不易。」漢．毛亨．傳：「駿，大也。」《文選．陸機．大將軍讌會被命作詩》：「皇皇帝祜，誕隆駿命。」
2.峻刻的、嚴厲的。通「峻」。《史記．卷六八．商君傳》：「殘傷民以駿刑，是積怨畜禍也。」</t>
  </si>
  <si>
    <t>鵔</t>
  </si>
  <si>
    <t>參見「鵔鸃」條。</t>
  </si>
  <si>
    <t>捃</t>
  </si>
  <si>
    <t>[動]
拾取、採集。漢．劉向《說苑．卷一四．至公》：「使王子革、王子靈共捃菜。」唐．李延壽〈上南北史表〉：「除其冗長，捃其菁華。」</t>
  </si>
  <si>
    <t>郡</t>
  </si>
  <si>
    <t>[名]
1.中國古代地方行政區域的名稱。周時縣大郡小，以縣統郡，至秦始皇時，廢封建，行郡縣，郡大縣小，以郡統縣，漢以後歷代因襲，隋唐時曾罷郡置州，宋時改郡為府。《史記．卷六．秦始皇本紀》：「海內為郡縣，法令由一統。」
2.姓。如明代有郡敬。</t>
  </si>
  <si>
    <t>莙</t>
  </si>
  <si>
    <t>[名]
一種水藻。葉大如蓬。《爾雅．釋草》：「莙，牛藻。」晉．郭璞．注：「似藻，葉大，江東人呼為馬藻。」也稱為「馬藻」、「牛藻」。</t>
  </si>
  <si>
    <t>菌</t>
  </si>
  <si>
    <t>[名]
1.低等隱花植物的一個大類。沒有莖、葉，也不含葉綠素，無法自製養分，以寄生為營生方式，自然界中分布極廣。無毒的可供食用。如木耳、松蕈、香蕈、草菇等都是可食用的菌類。
2.細菌的簡稱。如：「葡萄球菌」、「桿菌」、「殺菌」。</t>
  </si>
  <si>
    <t>箘</t>
  </si>
  <si>
    <t>[名]
一種細長無節的竹子，可作箭桿。《說文解字．竹部》：「箘，箘簬。」清．段玉裁．注：「箘簬二字，一竹名。」宋．王安石〈寄袁州曹伯玉使君〉詩：「濕濕嶺雲生竹箘，冥冥江雨熟楊梅。」也稱為「箘簬」。</t>
  </si>
  <si>
    <t>[名]
才能過人的人。通「俊」。《漢書．卷二二．禮樂志》：「至武帝即位，進用英雋。」唐．白行簡〈李娃傳〉：「其年，遇大比，詔徵四方之雋。」
[形]
傑出、出眾。如：「雋才」。《晉書．卷七九．謝安傳》：「萬字萬石，才器雋秀。」</t>
  </si>
  <si>
    <t>(一)ㄐㄩㄢˋ juàn（06152）</t>
  </si>
  <si>
    <t>寯</t>
  </si>
  <si>
    <t>[名]
才能傑出的人。《廣韻．去聲．稕韻》：「寯，人中最才。」
[動]
聚合。清．王念孫《廣雅疏證．卷三下．釋詁》：「寯，聚也。」</t>
  </si>
  <si>
    <t>濬</t>
  </si>
  <si>
    <t>[動]
疏通或鑿深水道。如：「疏濬」、「濬河」。《書經．舜典》：「封十有二山，濬川。」漢．孔安國．傳：「有流川，則深之使通利。」
[形]
幽深的。如：「濬壑」。《書經．舜典》：「濬哲文明，溫恭允塞。」漢．孔安國．傳：「濬，深。」晉．陸機〈日出東南隅行〉：「高臺多妖麗，濬房出清顏。」</t>
  </si>
  <si>
    <t>冂</t>
  </si>
  <si>
    <t>ㄐㄩㄥ</t>
  </si>
  <si>
    <t>jiōng</t>
  </si>
  <si>
    <t>[名]
1.離城市很遠的地方。《說文解字．冂部》：「冂，邑外謂之郊，郊外謂之野，野外謂之林，林外謂之冂，象遠介也。」
2.二一四部首之一。</t>
  </si>
  <si>
    <t>坰</t>
  </si>
  <si>
    <t>[名]
郊野、郊外。《詩經．魯頌．駉》：「駉駉牡馬，在坰之野。」漢．毛亨．傳：「坰，遠野也。」唐．杜甫〈嚴中丞枉駕見過〉詩：「元戎小隊出郊坰，問柳尋花到野亭。」</t>
  </si>
  <si>
    <t>扃</t>
  </si>
  <si>
    <t>[名]
1.安裝在門外的門閂或環鈕。《說文解字．冂部》：「扃，外閉之關也。」清．段玉裁．注：「關者，以木橫持門戶也。」《禮記．曲禮上》：「入戶奉扃，視瞻毋回。」唐．白居易〈遊悟真寺詩〉：「龕間長丈餘，門戶無扃關。」
2.門戶的通稱。《文選．孔稚珪．北山移文》：「雖情投於魏闕，或假步於山扃。」唐．白居易〈長恨歌〉：「金闕西廂叩玉扃，轉教小玉報雙成。」
[動]
關閉、關上。《文選．孔稚珪．北山移文》：「宜扃岫幌，掩雲關。」《聊齋志異．卷一．嬌娜》：「至門，則雙扉外扃。」</t>
  </si>
  <si>
    <t>(二)ㄐㄩㄥˇ jiǒng（06195）</t>
  </si>
  <si>
    <t>駉</t>
  </si>
  <si>
    <t>[名]
1.牧馬的地方。《說文解字．馬部》：「駉，牧馬苑也。」
2.駿馬。《廣韻．平聲．青韻》：「〈駉〉，駿馬也。」
3.《詩經．魯頌》的篇名。共四章。根據〈詩序〉：「駉，頌僖公也。」為頌揚僖公牧馬極盛之詩。首章二句為：「駉駉牡馬，在坰之野。」
[形]
馬肥壯的樣子。《詩經．魯頌．駉》：「駉駉牧馬，在坰之野。」漢．毛亨．傳：「駉駉，良馬腹幹肥張也。」</t>
  </si>
  <si>
    <t>冏</t>
  </si>
  <si>
    <t>ㄐㄩㄥˇ</t>
  </si>
  <si>
    <t>jiǒng</t>
  </si>
  <si>
    <t>[形]
明亮。漢．張紘〈瓌材枕賦〉：「何眾文之冏朗，灼儵爚而發明。」</t>
  </si>
  <si>
    <t>囧</t>
  </si>
  <si>
    <t>[形]
光明、明亮。《玉篇．囧部》：「囧，大明也。」《文選．江淹．雜體詩．張廷尉》：「囧囧秋月明，憑軒詠堯老。」李善注引〈蒼頡篇〉：「囧，大明也。」</t>
  </si>
  <si>
    <t>泂</t>
  </si>
  <si>
    <t>[形]
水深廣。《文選．郭璞．江賦》：「鼓帆迅越，䞟漲截泂。」唐．李善．注：「漲、泂皆深廣之貌。」
[副]
遠。通「迥」。《詩經．大雅．泂酌》：「泂酌彼行潦，挹彼注茲。」漢．毛亨．傳：「泂，遠也。」</t>
  </si>
  <si>
    <t>炯</t>
  </si>
  <si>
    <t>[形]
1.光明的、明亮的。如：「目光炯炯」、「炯炯有神」。唐．柳宗元〈答吳武陵論非國語書〉：「一觀其文，心朗目舒，炯若深井之下，仰視白日之正中也。」宋．陸游〈雪中獨酌〉詩：「莫驚醉眼炯如電，假鉞猶堪行督戰。」
2.明白的、顯著的。《三國志．卷六五．吳書．賀邵傳》：「此當世之明鑒，目前之炯戒也。」</t>
  </si>
  <si>
    <t>迥</t>
  </si>
  <si>
    <t>[形]
遼遠。《說文解字．辵部》：「迥，遠也。」唐．王勃〈滕王閣序〉：「天高地迥，覺宇宙之無窮。」
[副]
的確的、特別的。如：「迥然不同」。《程乙本紅樓夢》第五回：「小嬛捧上茶來，寶玉覺得香清味美，迥非凡品，因又問何名。」
[名]
郊野。通「坰」。南朝宋．鮑照〈蒜山被始興王命作〉詩：「升嶠眺日軏，臨迥望滄洲。」唐．李商隱〈行次西郊作一百韻〉：「常恐值荒迥，此輩還射人。」</t>
  </si>
  <si>
    <t>1.(一)之又音。
2.參見「扃扃」條。</t>
  </si>
  <si>
    <t>(一)ㄐㄩㄥ jiong（06188）</t>
  </si>
  <si>
    <t>絅</t>
  </si>
  <si>
    <t>[名]
單層的罩袍。《禮記．玉藻》：「襌為絅，帛為褶。」漢．鄭玄．注：「有衣裳而無裡。」</t>
  </si>
  <si>
    <t>[形]
光、光亮、明亮。《廣韻．上聲．迥韻》：「炅，光也。」唐．李白〈明堂賦〉：「熠乎碧光之堂，炅乎瓊華之室。」
[名]
熱。《黃帝內經素問．卷一一．舉痛論》：「卒然而痛，得炅則痛立止。」</t>
  </si>
  <si>
    <t>(二)ㄍㄨㄟˋ guì（04290）</t>
  </si>
  <si>
    <t>[動]
困迫、受困。《說文解字．穴部》：「窘，迫也。」如：「這可把他窘住了。」《詩經．小雅．正月》：「終其永懷，又窘陰雨。」漢．毛亨．傳：「窘，困也。」《列子．黃帝》：「商丘開先窘於飢寒，潛於牖北聽之。」
[形]
困頓的、為難的。如：「窘境」、「窘色」、「窘態畢露」。
[副]
急。《漢書．卷九二．游俠傳．郭解傳》：「解使人微知賊處。賊窘自歸，具以實告解。」</t>
  </si>
  <si>
    <t>(二)（又音）ㄐㄩㄣˇ jǔn（06164）</t>
  </si>
  <si>
    <t>熲</t>
  </si>
  <si>
    <t>[名]
火光。《說文解字．火部》：「熲，火光也。」《詩經．小雅．無將大車》：「無思百憂，不出于熲。」</t>
  </si>
  <si>
    <t>褧</t>
  </si>
  <si>
    <t>[名]
用麻或細紗縫製而成的單衫，套在衣服最外層以避塵土。唐．張祜〈雉朝飛操〉詩：「朱冠錦襦聊日整，漠漠霧中如衣褧。」</t>
  </si>
  <si>
    <t>啐</t>
  </si>
  <si>
    <t>˙ㄑ</t>
  </si>
  <si>
    <t>q</t>
  </si>
  <si>
    <t>[歎]
表示輕蔑或斥責。如：「啐！你臉皮真厚！」</t>
  </si>
  <si>
    <t>(一)ㄘㄨㄟˋ cuì（09878）</t>
  </si>
  <si>
    <t>七</t>
  </si>
  <si>
    <t>ㄑㄧ</t>
  </si>
  <si>
    <t>qī</t>
  </si>
  <si>
    <t>[名]
1.介於六與八之間的自然數。大寫作「柒」，阿拉伯數字作「7」。
2.文體名。參見「七體」條。
3.民俗稱喪事每七日設奠一次為「作七」，由頭七到尾七共需進行七次，稱為「七七」。《北史．卷八一．儒林傳上．孫惠蔚傳》：「從綽死後，每至七日至百日，靈暉恆為綽請僧設齋行道。」《喻世明言．卷一〇．滕大尹鬼斷家私》：「善繼只是點名應客，全無哀痛之意，七中便擇日安葬。」
（「七」字通常讀為陰平，惟口語中連用在去聲字及輕聲字之前時讀為陽平，如：「七月」、「七個」。）</t>
  </si>
  <si>
    <t>沏</t>
  </si>
  <si>
    <t>[動]
用熱水沖泡。如：「沏茶」。</t>
  </si>
  <si>
    <t>(二)ㄑㄩ qū（06609）</t>
  </si>
  <si>
    <t>柒</t>
  </si>
  <si>
    <t>[名]
1.七的大寫。
2.姓。如明代有柒文倫。</t>
  </si>
  <si>
    <t>妻</t>
  </si>
  <si>
    <t>[名]
男子的正式配偶稱為「妻」。如：「夫妻」、「妻離子散」。《後漢書．卷二六．宋弘傳》：「臣聞貧賤之知不可忘，糟糠之妻不下堂。」</t>
  </si>
  <si>
    <t>(二)ㄑㄧˋ qì（06303）</t>
  </si>
  <si>
    <t>淒</t>
  </si>
  <si>
    <t>[形]
1.雲雨興起的樣子。《說文解字．水部》：「淒，雨雲起也。」
2.寒冷。如：「淒風苦雨」。《詩經．邶風．綠衣》：「絺兮綌兮，淒其以風。」唐．陸海〈題奉國寺〉詩：「新秋夜何爽，露下風轉淒。」
3.悲傷。通「悽」。唐．李白〈折楊柳〉詩：「美人結長想，對此心淒然。」清．洪昇《長生殿》第二六齣：「淒涼，帶麩連麥，這飯兒如何入嗓？」</t>
  </si>
  <si>
    <t>悽</t>
  </si>
  <si>
    <t>[形]
悲傷、悲痛。《說文解字．心部》：「悽，痛也。」如：「悽慘」、「悲悽」。《楚辭．屈原．遠遊》：「意荒忽而流蕩兮，心愁悽而增悲。」《文選．江淹．別賦》：「是以行子腸斷，百感悽惻。」</t>
  </si>
  <si>
    <t>郪</t>
  </si>
  <si>
    <t>參見「郪江」條。</t>
  </si>
  <si>
    <t>棲</t>
  </si>
  <si>
    <t>[動]_x000D_
1.禽鳥在鳥巢歇息。《詩經．王風．君子于役》：「雞棲于塒，日之夕矣。」唐．崔道融〈江鷗〉詩：「白鳥波上棲，見人懶飛起。」_x000D_
2.居住、停留。如：「棲息」、「棲身之處」、「兩棲動物」。漢．張衡〈西京賦〉：「南翔衡陽，北棲雁門。」《國語．越語上》：「今君王既棲於會稽之上，然後乃求謀臣，無乃後乎？」_x000D_
[名]_x000D_
禽鳥停留、歇宿的地方。晉．潘岳〈寡婦賦〉：「雀群飛而赴楹兮，雞登棲而斂翼。」唐．孟郊〈鴉路溪行呈陸中丞〉詩：「疲馬戀舊秣，羈禽思故棲。」</t>
  </si>
  <si>
    <t>(二)（又音）ㄒㄧ xī（06777）</t>
  </si>
  <si>
    <t>萋</t>
  </si>
  <si>
    <t>[形]
草木繁盛的樣子。如：「芳草萋萋」。《詩經．小雅．杕杜》：「卉木萋芷，女心悲止。」《文選．張景陽．雜詩一〇首之一》：「房櫳無行跡，庭草萋以綠。」</t>
  </si>
  <si>
    <t>栖</t>
  </si>
  <si>
    <t>(一)ㄒㄧ xī（06736）</t>
  </si>
  <si>
    <t>倛</t>
  </si>
  <si>
    <t>[名]
古代方相驅除疫鬼時所蒙的熊皮面具。《荀子．非相》：「仲尼之狀，面如蒙倛。」唐．楊倞．注：「倛，方相也。其首蒙茸然，故曰蒙倛。」</t>
  </si>
  <si>
    <t>娸</t>
  </si>
  <si>
    <t>[動]
醜化。《漢書．卷五一．枚乘傳》：「故其賦有詆，娸東方朔，又自詆娸。」</t>
  </si>
  <si>
    <t>(一)ㄑㄧˊ qí（06248）(三)ㄐㄧ jī（05301）</t>
  </si>
  <si>
    <t>欺</t>
  </si>
  <si>
    <t>[動]
1.詐騙。如：「欺騙」、「詐欺」、「欺世盜名」、「自欺欺人」。《戰國策．秦策一》：「反覆東山之君，從以欺秦。」
2.凌辱、欺負。唐．姚合〈寄王度居士〉詩：「天公與貧病，時輩復輕欺。」《警世通言．卷二五．桂員外途窮懺悔》：「公子倚勢欺人，無所不至。」
3.壓倒、勝過。唐．杜牧〈張好好詩〉：「飄然集仙客，諷賦欺相如。」元．李壽卿《伍員吹簫》第一折：「文欺百里奚，武勝秦姬輦。」</t>
  </si>
  <si>
    <t>僛</t>
  </si>
  <si>
    <t>[形]
搖曳傾斜的樣子。《說文解字．人部》：「僛，醉舞貌。」《詩經．小雅．賓之初筵》：「亂我籩豆，屢舞僛僛。」宋．趙彥端〈訴衷情．洗妝僛舞傍清尊〉詞：「洗妝僛舞傍清尊，霏雨澹黃昏。」</t>
  </si>
  <si>
    <t>諆</t>
  </si>
  <si>
    <t>[動]
欺瞞。《說文解字．言部》：「諆，欺也。」</t>
  </si>
  <si>
    <t>䫏</t>
  </si>
  <si>
    <t>[形]
醜。《說文解字．頁部》：「䫏，醜也。」《淮南子．精神》：「視毛嬙西施，猶䫏醜也。」</t>
  </si>
  <si>
    <t>桼</t>
  </si>
  <si>
    <t>同「漆」。</t>
  </si>
  <si>
    <t>漆</t>
  </si>
  <si>
    <t>[名]
1.河川名。源出大陸地區陝西省同官縣東北大神山，注入渭水。
2.植物名。漆樹科漆樹屬，「漆樹」的簡稱。參見「漆樹」條。
3.用漆樹汁或其他樹脂所製成的塗料。如：「油漆」、「水泥漆」。
4.姓。如元代有漆希范，明代有漆文昌。
[動]
用漆塗在器物上。《禮記．檀弓上》：「君即位而為椑，歲壹漆之，藏焉。」
[形]
黑色的。如：「漆黑」。《周禮．春官．巾車》：「漆車。」漢．鄭玄．注：「漆車，黑車也。」</t>
  </si>
  <si>
    <t>(二)ㄑㄩˋ qù（06654）</t>
  </si>
  <si>
    <t>戚</t>
  </si>
  <si>
    <t>[名]
1.親屬。如：「近戚」、「遠戚」、「親戚」。
2.武器名。即斧，亦可作為舞具。《詩經．大雅．公劉》：「弓矢斯張，干戈戚揚。」《禮記．明堂位》：「朱干玉戚，冕而舞大武。」
3.悲哀、憂傷。唐．韓愈〈爭臣論〉：「若越人視秦人之肥瘠，忽焉不加喜戚於其心。」
4.姓。如明代有戚繼光。
[動]
1.親近。《書經．金縢》：「未可以戚我先王。」
2.憤怒。《禮記．檀弓下》：「舞斯慍，慍斯戚。」</t>
  </si>
  <si>
    <t>(二)ㄘㄨˋ cù（09816）</t>
  </si>
  <si>
    <t>嘁</t>
  </si>
  <si>
    <t>參見「嘁嘁喳喳」條。</t>
  </si>
  <si>
    <t>(一)ㄗㄚˊ zá（09442）</t>
  </si>
  <si>
    <t>慼</t>
  </si>
  <si>
    <t>[動]
憂傷、悲傷。《左傳．僖公十五年》：「二三子何其慼也。寡人之從君而西也。」</t>
  </si>
  <si>
    <t>攲</t>
  </si>
  <si>
    <t xml:space="preserve">支 </t>
  </si>
  <si>
    <t>[動]
傾斜、倚靠。如：「攲側」。宋．蘇軾〈洞仙歌．冰肌玉骨〉詞：「人未寢，攲枕釵橫鬢亂。」</t>
  </si>
  <si>
    <t>溪</t>
  </si>
  <si>
    <t>(一)ㄒㄧ xī（06762）</t>
  </si>
  <si>
    <t>磎</t>
  </si>
  <si>
    <t>(一)ㄒㄧ xī（06764）</t>
  </si>
  <si>
    <t>谿</t>
  </si>
  <si>
    <t>(一)ㄒㄧ xī（06768）</t>
  </si>
  <si>
    <t>鸂</t>
  </si>
  <si>
    <t>(一)ㄒㄧ xī（06770）</t>
  </si>
  <si>
    <t>榿</t>
  </si>
  <si>
    <t>[名]
植物名。即榿木。樺木科赤楊屬，落葉喬木。葉長倒卵形，鋸齒緣。雄柔荑花序下垂，單生。果序單生葉腋，長橢圓形，柄長四至七公分，小堅果具寬翅。木質堅硬，可作器具及建材。其嫩葉亦可為茶葉的代替品。原產四川省岷江一帶。</t>
  </si>
  <si>
    <t>緝</t>
  </si>
  <si>
    <t>[動]
一種縫紉法。用短而密接的線跡，一針對一針的細縫。如：「緝邊」、「緝鞋底」。</t>
  </si>
  <si>
    <t>(一)ㄑㄧˋ qì（06314）</t>
  </si>
  <si>
    <t>亓</t>
  </si>
  <si>
    <t>ㄑㄧˊ</t>
  </si>
  <si>
    <t>qí</t>
  </si>
  <si>
    <t>[名]
1.其的古字。《集韻．平聲．之韻》：「其，古作亓。」
2.姓。如唐代有亓志紹。</t>
  </si>
  <si>
    <t>示</t>
  </si>
  <si>
    <t>[名]
地神。通「祇」。《集韻．平聲．支韻》：「祇，《說文》：『地祇，提出萬物者也。』古作示。」《周禮．春官．大宗伯》：「大宗伯之職，掌建邦之天神人鬼地示之禮。」漢．鄭玄．注：「示，音祇，本或作祇。」</t>
  </si>
  <si>
    <t>(二)ㄕˋ shì（08741）</t>
  </si>
  <si>
    <t>祁</t>
  </si>
  <si>
    <t>[形]
大。《集韻．平聲．支韻》：「祁，一曰大也。」《書經．君牙》：「冬祁寒，小民亦唯曰：『怨咨。』」漢．孔安國．傳：「冬大寒。」唐．杜甫〈木皮嶺〉詩：「汗流被我體，祁寒為之暄。」
[名]
1.地名。春秋時秦國邑名，故址在今大陸地區陝西省澄城縣境內。
2.姓。如春秋時晉國有祁溪。</t>
  </si>
  <si>
    <t>圻</t>
  </si>
  <si>
    <t>[名]
1.京畿四周一千里以內的地方。《書經．畢命》：「申畫郊圻，慎固封守，以康四海。」漢．孔安國．傳：「京圻安則四海安矣。」《逸周書．卷八．職方解》：「方千里曰王圻，其外方五百里為侯服。」
2.面積千里之地。《左傳．昭公二十三年》：「今土數圻，而郢是城，不亦難乎？」晉．杜預．注：「方千里為圻。」</t>
  </si>
  <si>
    <t>(二)ㄧㄣˊ yín（11081）</t>
  </si>
  <si>
    <t>[名]
肵俎：古時祭祀時盛舌心的俎版。《儀禮．特牲饋食禮》：「佐食升肵俎，鼏之，設于阼階西。」漢．鄭玄．注：「肵，謂心舌之俎也。」</t>
  </si>
  <si>
    <t>(二)（又音）ㄐㄧㄥˋ jìng（05946）</t>
  </si>
  <si>
    <t>祈</t>
  </si>
  <si>
    <t>[動]
1.向神明求福。如：「祈禱」、「祈福」。《說文解字．示部》：「祈，求福也。」《詩經．周頌．噫嘻．序》：「〈噫嘻〉，春夏祈穀于上帝也。」漢．鄭玄．注：「祈，猶禱也，求也。」《禮記．月令》：「以祠宗廟社稷之靈，以為民祈福。」
2.請、求。如：「祈求」、「祈請」。《詩經．小雅．賓之初筵》：「發彼有的，以祈爾爵。」漢．毛亨．傳：「祈，求也。」《呂氏春秋．孟冬紀．安死》：「憚耕稼采薪之勞，不肯官人事，而祈美衣侈食之樂。」
[名]
1.京城千里之地。通「圻」、「畿」。《詩經．小雅．祈父．序》：「〈祈父〉，刺宣王也。」漢．鄭玄．箋：「祈、圻、畿同。」
2.姓。如晉代有祈嘉，元代有祈望芳。</t>
  </si>
  <si>
    <t>旂</t>
  </si>
  <si>
    <t>[名]
1.一種在旗旒上畫龍，並在旗竿竿頭繫鈴作為裝飾的旗子。《爾雅．釋天》：「注旄首曰旌，有鈴曰旂。」晉．郭璞．注：「縣鈴於竿頭，畫蛟龍於旒。」《孟子．萬章下》：「庶人以旃，士以旂。」漢．趙岐．注：「旂，旌有鈴者。」
2.泛指各種旗幟。《爾雅．釋天》：「旌旂。」宋．邢昺．疏：「旌旂者，九旗之名雖異，旌旂為之摠稱，故以此題之。」《左傳．僖公五年》：「均服振振，取虢之旂。」</t>
  </si>
  <si>
    <t>頎</t>
  </si>
  <si>
    <t>[形]
身材修長、高大的樣子。《集韻．平聲．微韻》：「頎，一曰長貌。」《詩經．衛風．碩人》：「碩人其頎，衣錦褧衣。」漢．毛亨．傳：「頎，長貌。」</t>
  </si>
  <si>
    <t>蘄</t>
  </si>
  <si>
    <t>[動]
祈求。通「祈」。《說文解字．艸部》「蘄」字．清．段玉裁．注：「古鐘鼎款識多借為祈字。」《莊子．養生主》：「不蘄畜乎樊中，神雖王，不善也。」晉．郭象．注：「蘄，求也。」唐．韓愈〈答李翊書〉：「將蘄至於古之立言者，則無望其速成，無誘於勢利。」
[名]
姓。如漢代有蘄良。</t>
  </si>
  <si>
    <t>岐</t>
  </si>
  <si>
    <t>[名]
1.參見「岐山」條。
2.事物的分支。通「歧」。《後漢書．卷三一．張堪傳》：「桑無附枝，麥穗兩岐。」
3.姓。如晉代有岐盛。
[形]
分岔的。通「歧」。《呂氏春秋．慎行論．疑似》：「此愚人之所大惑，而聖人之所加慮也，故墨子見岐道而哭之。」</t>
  </si>
  <si>
    <t>枝</t>
  </si>
  <si>
    <t>[名]
多出的腳趾。同「跂」。如：「駢拇枝指」。《集韻．平聲．支韻》：「跂，《說文》：『足多指也。』或作枝。」</t>
  </si>
  <si>
    <t>(一)ㄓ zhī（07467）</t>
  </si>
  <si>
    <t>歧</t>
  </si>
  <si>
    <t>[名]
分岔的道路。《列子．說符》：「大道以多歧亡羊，學者以多方喪生。」《文選．左思．蜀都賦》：「羲和假道於峻歧，陽鳥迴翼乎高標。」
[形]
分岔不一致的、有差別的。如：「歧義」。《文選．曹植．美女篇》：「美女妖且閑，采桑歧路間。」南朝梁．劉勰《文心雕龍．詮賦》：「賦自詩出，分歧異派。」</t>
  </si>
  <si>
    <t>蚑</t>
  </si>
  <si>
    <t>[副]
動物爬行徐緩的樣子。《淮南子．俶真》：「蠉飛蝡動，蚑行噲息。」《文選．嵇康．琴賦》：「感天地以致和，況蚑行之眾類。」</t>
  </si>
  <si>
    <t>跂</t>
  </si>
  <si>
    <t>[名]
腳上多出的腳趾頭。《說文解字．足部》：「跂，足多指也。」《莊子．駢拇》：「故合者不為駢，而枝者不為跂。」
[副]
蟲爬行徐緩的樣子。通「蚑」。《史記．卷一一〇．匈奴列傳》：「跂行喙息蠕動之類，莫不就安利而辟危殆。」</t>
  </si>
  <si>
    <t>(二)ㄑㄧˋ qì（06310）</t>
  </si>
  <si>
    <t>[代]
1.他、他們。用於第三人稱。如：「聽其自然」、「任其自生自滅」。《孟子．萬章上》：「親之，欲其貴也。」唐．韓愈〈師說〉：「余嘉其能行古道，作〈師說〉以貽之。」
2.他的、他們的。如：「人盡其才」、「各得其所」。晉．陶淵明〈五柳先生傳〉：「亦不詳其姓氏。」
[形]
這個、那樣，表示指示。如：「查無其事」、「不厭其煩」。《文選．司馬遷．報任少卿書》：「藏諸名山，傳之其人。」
[副]
1.殆、大概，表示揣測。《禮記．檀弓上》：「吾今日其庶幾乎？」唐．柳宗元〈封建論〉：「勢之來，其生人之初乎！」
2.將，表示時間。《左傳．莊公二十二年》：「五世其昌，並于正卿。」《管子．小匡》：「教訓不善，政事其不治。」
3.豈、難道，表示反詰。《左傳．僖公十年》：「欲加之罪，其無辭乎？」唐．韓愈〈祭十二郎文〉：「如吾之衰者，其能久存乎？」
4.可、應該，表示期望。《左傳．隱公三年》：「吾子其無廢先君之功！」《戰國策．魏策四》：「寡人欲以五百里之地易安陵，安陵君其許寡人。」
[連]
1.若、如果，表示假設。《荀子．勸學》：「蘭槐之根是為芷，其漸之滫，君之不近，庶人不服。」宋．蘇軾〈留侯論〉：「彼其能有所忍也，然後可以就大事。」
2.還是、或是，表示選擇。《莊子．養生主》：「是何人也？惡乎介也？天與？其人與？」《史記．卷四三．趙世家》：「秦誠愛趙乎？其實憎齊乎？物之甚者，賢主察之，秦非愛趙而憎齊也。」
[助]
1.發語詞，無義。《史記．卷八．高祖本紀》：「其以沛為朕湯沐邑。」
2.然，語中助詞。《詩經．秦風．小戎》：「言念君子，溫其如玉。」
3.表示語氣的加強。如：「尤其」、「極其」。
[名]
姓。如漢代有其石。</t>
  </si>
  <si>
    <t>(二)ㄐㄧ jī（05299）(三)ㄐㄧˋ jì（05433）</t>
  </si>
  <si>
    <t>淇</t>
  </si>
  <si>
    <t>參見「淇水」條。</t>
  </si>
  <si>
    <t>琪</t>
  </si>
  <si>
    <t>[名]
一種美玉。《玉篇．玉部》：「琪，玉屬。」《北史．卷一二．隋煬帝本紀》：「上常服皮弁，十有二琪。」</t>
  </si>
  <si>
    <t>[動]
1.約定。如：「不期而遇」。《史記．卷七．項羽本紀》：「項羽乃與期洹水南殷虛上。」三國魏．曹丕〈秋胡行〉：「朝與佳人期，日夕殊不來。」
2.希冀、盼望。如：「期待」、「期望」。宋．歐陽修〈縱囚論〉：「是以君子之難能，期小人之尤者必能也。」元．關漢卿《竇娥冤》第三折：「你道是天公不可期，人心不可憐，不知皇天也肯從人願。」
[名]
1.時、日，或經約定的時、日。如：「時期」、「日期」、「限期」、「後會有期」。唐．李益〈江南詞〉：「嫁得瞿塘賈，朝朝誤妾期。」元．白樸《牆頭馬上．第二折》：「我今日與小姐赴期去來。」
2.一段時間。如：「假期」、「學期」、「潛伏期」、「危險期」。
3.限度。《詩經．小雅．南山有臺》：「樂只君子，萬壽無期。」唐．白居易〈長恨歌〉：「天長地久有時盡，此恨綿綿無絕期。」
4.量詞。計算事物分期的單位。如：「訓練計畫一年分為四期。」、「這本雜誌已出版五卷六十期。」</t>
  </si>
  <si>
    <t>(二)（(一)之又音）ㄑㄧ qī（06214）(三)ㄐㄧ jī（05301）</t>
  </si>
  <si>
    <t>[名]
一種遊戲。有棋盤、棋子，下棋者依規則移動棋子，以定勝負。有跳棋、圍棋、象棋、五子棋、西洋棋等多種玩法。</t>
  </si>
  <si>
    <t>(二)ㄐㄧ jī（05302）</t>
  </si>
  <si>
    <t>[名]
豆莖。《漢書．卷六六．楊敞傳》：「田彼南山，蕪穢不治；種一頃豆，落而為萁。」南朝宋．劉義慶《世說新語．文學》：「萁在釜下然，豆在釜中泣。本自同根生，相煎何太急？」</t>
  </si>
  <si>
    <t>(二)ㄐㄧ jī（05303）</t>
  </si>
  <si>
    <t>祺</t>
  </si>
  <si>
    <t>[名]
安泰無憂。常用於書信結尾時的祝頌語。如：「即頌暑祺」、「順候近祺」。
[形]
吉祥。《詩經．大雅．行葦》：「壽考維祺，以介景福。」</t>
  </si>
  <si>
    <t>旗</t>
  </si>
  <si>
    <t>[名]
1.裝在竿上，有特別圖案，作為某種標幟或號令的布帛或紙。如：「國旗」、「旌旗」、「令旗」、「搖旗吶喊」。《文選．賈誼．過秦論》：「斬木為兵，揭竿為旗，天下雲集而響應。」宋．王安石〈桂枝香．登臨送目〉詞：「歸帆去棹殘陽裡，背西風、酒旗斜矗。」
2.清代軍隊的部署單位。參見「八旗」條。
3.清代蒙古的行政區域。相當於「縣」。參見「盟旗制度」條。
4.姓。如漢代有旗光。</t>
  </si>
  <si>
    <t>綦</t>
  </si>
  <si>
    <t>[形]
青黑色的。《書經．顧命》：「四人綦弁，執戈上刃。」孔穎達正義引鄭玄曰：「青黑曰綦。」《詩經．鄭風．出其東門》：「縞衣綦巾，聊樂我員。」
[名]
1.鞋帶。《儀禮．士喪禮》：「夏葛履，冬白屨，皆繶緇絇，純組綦繫于踵。」
2.足印、印跡。《漢書．卷九七．外戚傳下．孝成班倢伃傳》：「俯視兮丹墀，思兮履綦。」《文選．張協．雜詩一〇首之三》：「案無蕭氏牘，庭無貢公綦。」
3.姓。如宋代有綦崇禮。
[動]
極、甚。宋．蘇軾〈禮義信足以成德論〉：「綦大而至天子，綦小而至農夫，各有其分不可亂也。」《聊齋志異．卷一．焦螟》：「家人受虐已久，銜恨綦深。」</t>
  </si>
  <si>
    <t>蜞</t>
  </si>
  <si>
    <t>參見「蟛蜞」條。</t>
  </si>
  <si>
    <t>騏</t>
  </si>
  <si>
    <t>[名]
1.青黑色的馬。《說文解字．馬部》：「騏，馬青驪文如綦也。」《詩經．魯頌．駉》：「有騂有騏，以車伾伾。」《文選．左思．吳都賦》：「六軍袀服，四騏龍驤。」
2.姓。如春秋時楚國有騏瘠夫，漢代有騏殷。</t>
  </si>
  <si>
    <t>麒</t>
  </si>
  <si>
    <t>參見「麒麟」條。</t>
  </si>
  <si>
    <t>[形]
1.特別、不尋常。如：「奇文」、「奇人奇事」、「稀奇古怪」、「奇貨可居」。《文選．古詩十九首．庭中有奇樹》：「庭中有奇樹，綠葉發華滋。」唐．杜荀鶴〈投李大夫〉詩：「自小癖於詩，篇篇恨不奇。」
2.出人意表、難以揣測。如：「奇計」、「奇謀怪略」。
3.善、美好。《樂府詩集．卷七三．雜曲歌辭十三．古辭．焦仲卿妻》：「今日違情義，恐此事非奇。」宋．蘇軾〈飲湖上初晴後雨〉詩二首之二：「水光瀲灩晴方好，山色空濛雨亦奇。」
[動]
驚異、視為特殊。《三國志．卷二一．魏書．王粲傳》：「獻帝西遷，粲徙長安，左中郎將蔡邕見而奇之。」唐．杜光庭《虯髯客傳》：「文靜素奇其人，一旦聞有客善相，遽致使迎之。」
[副]
極、甚。《鏡花緣》第一二回：「小吃上完，方及正餚，菜既奇豐，碗亦奇大。」
[名]
特殊或奇險的事物。如：「出奇制勝」。《老子》第五七章：「以正治國，以奇用兵。」明．袁宏道〈袁中郎遊記．靈隱〉：「撮奇搜勝，物無遁形。」</t>
  </si>
  <si>
    <t>(二)ㄐㄧ jī（05306）</t>
  </si>
  <si>
    <t>埼</t>
  </si>
  <si>
    <t>[名]
彎曲的海岸。《文選．司馬相如．上林賦》：「赴隘陿之口，觸穹口，激堆埼，沸乎暴怒。」</t>
  </si>
  <si>
    <t>崎</t>
  </si>
  <si>
    <t>參見「崎嶇」條。</t>
  </si>
  <si>
    <t>琦</t>
  </si>
  <si>
    <t>[名]
一種美玉。《楚辭．宋玉．招魂》：「纂組綺縞，結琦璜些。」宋．洪興祖．補注：「琦，玉名。」《抱朴子．外篇．博喻》：「溝澮之中，無宵朗之琦。」
[形]
1.美好的、不凡的。《文選．宋玉．對楚王問》：「夫聖人瑰意琦行，超然獨處。」《後漢書．卷四九．仲長統傳》：「琦賂寶貨，巨室不能容。」
2.奇異的。《荀子．非十二子》：「好治怪說，玩琦辭。」</t>
  </si>
  <si>
    <t>碕</t>
  </si>
  <si>
    <t>[名]
曲折的堤岸。《玉篇．石部》：「碕，曲岸頭。」《楚辭．劉向．九歎．離世》：「遵江曲之逶移兮，觸石碕而衡遊。」《漢書．卷八七．揚雄傳上》：「探巖排碕，薄索蛟螭。」
[形]
彎曲。南朝宋．鮑照〈登大雷岸與妹書〉：「碪石為之摧碎，碕岸為之齏落。」</t>
  </si>
  <si>
    <t>[形]
傾斜不平。通「崎」。《文選．左思．魏都賦》：「山阜猥積而踦𨄅。」</t>
  </si>
  <si>
    <t>(一)ㄐㄧˇ jǐ（05408）(二)ㄧˇ yǐ（10568）</t>
  </si>
  <si>
    <t>錡</t>
  </si>
  <si>
    <t>[名]
1.一種鑿子。《詩經．豳風．破斧》：「既破我斧，又缺我錡。」
2.一種盛物的器具，底有三足。《詩經．召南．采蘋》：「于以湘之，維錡及釜。」漢．毛亨．傳：「錡，釜屬。有足曰錡，無足曰釜。」《左傳．隱公三年》：「筐筥錡釜之器，潢汙行潦之水，可薦於鬼神，可羞於王公。」
3.姓。如漢代有錡華。</t>
  </si>
  <si>
    <t>[動]
1.跨坐在動物或其他物體的上面。如：「騎馬」、「騎車」、「騎虎難下」。《史記．卷七．項羽本紀》：「項王乃上馬騎。」唐．李賀〈苦畫短〉詩：「誰似任公子，雲中騎碧驢。」
2.兼跨兩處。如：「騎縫章」。宋．陸游〈村社禱晴有應〉詩：「爽氣收回騎月雨，快風散盡滿天雲。」</t>
  </si>
  <si>
    <t>(二)ㄐㄧˋ jì（05443）</t>
  </si>
  <si>
    <t>芪</t>
  </si>
  <si>
    <t>參見「黃芪」條。</t>
  </si>
  <si>
    <t>祇</t>
  </si>
  <si>
    <t>[名]
地神。《說文解字．示部》：「祇，地祇，提出萬物者也。」如：「神祇」。
[動]
安心。《詩經．小雅．何人斯》：「壹者之來，俾我祇也。」漢．鄭玄．箋：「一者之來見我，我則知之，是使我心安也。」
[形]
大。《易經．繫辭下》：「不遠復，無祇悔。」</t>
  </si>
  <si>
    <t>(二)ㄓ zhī（07472）</t>
  </si>
  <si>
    <t>衹</t>
  </si>
  <si>
    <t>[名]
僧尼所穿的衣服，如袈裟之類。《廣韻．平聲．支韻》：「衹，衹衼，尼法衣。」</t>
  </si>
  <si>
    <t>(二)ㄓ zhī（07475）</t>
  </si>
  <si>
    <t>俟</t>
  </si>
  <si>
    <t>(一)ㄙˋ sì（09971）</t>
  </si>
  <si>
    <t>耆</t>
  </si>
  <si>
    <t>[名]_x000D_
本指六十歲的老人，後為對老人的通稱。《孟子．梁惠王下》：「乃屬其耆老而告之。」《禮記．曲禮上》：「六十曰耆。」_x000D_
[形]_x000D_
強橫。《左傳．昭公二十三年》：「不僭不貪，不懦不耆；完其守備，以待不虞。」</t>
  </si>
  <si>
    <t>鮨</t>
  </si>
  <si>
    <t>[名]
魚醬。《說文解字．魚部》：「鮨，魚䏽醬也，出蜀中。」《爾雅．釋器》：「肉謂之羹，魚謂之鮨。」</t>
  </si>
  <si>
    <t>鬐</t>
  </si>
  <si>
    <t>[名]
1.馬頸上的長毛。《尉繚子．制談》：「猶良驥騄駬之駛，彼駕駑馬鬐興角逐，何能紹吾氣哉！」《聊齋志異．卷四．驅怪》：「毛周其體，長如馬鬐。」
2.魚脊上的鰭。《儀禮．士虞禮》：「載猶進柢，魚進鬐。」《莊子．外物》：「已而大魚食之，牽巨鉤錎沒而下，鶩揚而奮鬐，白波若山，海水震蕩。」</t>
  </si>
  <si>
    <t>鰭</t>
  </si>
  <si>
    <t>[名]
魚類和其他水生脊椎動物的楫狀游泳器官，由刺狀的硬骨或軟骨間所張膜質而成。有調節運動速度、變換游泳方向以及保護身體的作用。依其所在的部位，有胸鰭、腹鰭、脊鰭、臀鰭、尾鰭。</t>
  </si>
  <si>
    <t>畦</t>
  </si>
  <si>
    <t>(一)（讀音）ㄒㄧ xī（06773）</t>
  </si>
  <si>
    <t>[形]
1.平整、整齊。如：「修齊」、「良莠不齊」、「參差不齊」。唐．韋莊〈臺城〉詩：「江雨霏霏江草齊，六朝如夢鳥空啼。」
2.完備。如：「齊全」、「齊備」。《荀子．王霸》：「無它故焉，四者齊也。」唐．韓翃〈送客之潞府〉詩：「佳期別在春山裡，應是人參五葉齊。」
[動]
1.整治、整理。《禮記．大學》：「欲治其國者，先齊其家。」
2.使同等、一致。如：「齊名」。《文選．古詩十九首．今日良宴會》：「齊心同所願，含意俱未伸。」唐．杜牧〈阿房宮賦〉：「一日之內，一宮之間，而氣候不齊。」
3.達到同樣高度或長度。如：「水齊腰際」。宋．周邦彥〈夜飛鵲．河橋送人處〉詞：「兔葵燕麥，向殘陽、欲與人齊。」
[副]
共同、同時。如：「齊唱」、「齊步」、「並駕齊驅」、「百花齊放」。唐．王勃〈滕王閣序〉：「落霞與孤鶩齊飛，秋水共長天一色。」清．譚嗣同〈有感〉詩：「四萬萬人齊下淚，天涯何處是神州。」
[名]
1.聲韻學上齊齒呼的簡稱。如：「開、齊、合、撮」。
2.國名。戰國七雄之一，故址在今大陸地區山東省北部、河北省東南部一帶。
3.朝代名。參見「南齊」、「北齊」等條。
4.姓。如明代有齊德成。
5.二一四部首之一。</t>
  </si>
  <si>
    <t>(二)ㄓㄞ zhāi（07690）(三)ㄐㄧˋ jì（05450）(四)ㄗ zī（09401）</t>
  </si>
  <si>
    <t>懠</t>
  </si>
  <si>
    <t>[動]
憤怒。《爾雅．釋言》：「懠，怒也。」《詩經．大雅．板》：「天之方懠，無為夸毗。」</t>
  </si>
  <si>
    <t>(一)ㄐㄧˋ jì（05455）</t>
  </si>
  <si>
    <t>臍</t>
  </si>
  <si>
    <t>[名]
1.肚臍。人和其他哺乳動物的腹面中央，由臍帶脫落後所形成的凹陷處。
2.螃蟹腹下的硬殼。雄的尖形，稱為「尖臍」；雌的圓形，稱為「團臍」。
3.物體中央凹凸處。如：「瓜臍」。</t>
  </si>
  <si>
    <t>蠐</t>
  </si>
  <si>
    <t>參見「蠐螬」條。</t>
  </si>
  <si>
    <t>(一)ㄐㄧ jī（05322）</t>
  </si>
  <si>
    <t>乞</t>
  </si>
  <si>
    <t>ㄑㄧˇ</t>
  </si>
  <si>
    <t>qǐ</t>
  </si>
  <si>
    <t>[動]_x000D_
1.求、討取。如：「乞巧」、「乞討」、「搖尾乞憐」。《論語．公冶長》：「乞諸其鄰而與之。」《史記．卷八六．刺客列傳．豫讓》：「行乞於市，其妻不識也。」_x000D_
2.引申為希冀、盼望的意思。晉．李密〈陳情表〉：「烏鳥私情，願乞終養。」唐．白居易〈楊柳枝詞〉八首之七：「小樹不禁攀折苦，乞君留取兩三條。」_x000D_
[名]_x000D_
1.乞丐，討飯的人。《列子．黃帝》：「自此以後，范氏門徒路遇乞兒馬醫，弗敢辱也。」明．袁宏道〈山居小話〉：「余疑其為女乞，而問曰：『爾有丈夫乎？』乞微笑。」_x000D_
2.姓。如明代有乞賢。</t>
  </si>
  <si>
    <t>(二)ㄑㄧˋ qì（06292）</t>
  </si>
  <si>
    <t>屺</t>
  </si>
  <si>
    <t>[名]
不長草木的山。《說文解字．山部》：「屺，山無艸木也。」《詩經．魏風．陟岵》：「陟彼屺兮，瞻望母兮。」</t>
  </si>
  <si>
    <t>杞</t>
  </si>
  <si>
    <t>[名]
1.參見「枸杞」、「杞柳」等條。
2.國名。周朝所分封的諸侯國。姒姓。故城在今大陸地區河南省杞縣。
3.姓。如春秋時齊國有杞梁。</t>
  </si>
  <si>
    <t>芑</t>
  </si>
  <si>
    <t>[名]
植物名：(1)禾本科黍屬，「穄子」、「稷」之古稱。參見「穄子」條。(2)菊科苦苣菜屬，「苦苣菜」、「苦菜」之古稱。《詩經．小雅．采芑》：「薄言采芑，于彼新田。」參見「苦菜」條。</t>
  </si>
  <si>
    <t>起</t>
  </si>
  <si>
    <t>[動]_x000D_
1.站立、坐起。如：「起立」、「起來」。《禮記．曲禮上》：「請業則起，請益則起。」唐．白居易〈與元微之書〉：「垂死病中驚坐起，闇風吹雨入寒窗。」_x000D_
2.起床、離開床鋪。如：「早睡早起」。《孟子．盡心上》：「雞鳴而起，孳孳為善者，舜之徒也。」《禮記．內則》：「孺子蚤寢晏起，唯所欲食無時。」_x000D_
3.始、開始。如：「起迄點」、「起筆」、「從今起」、「萬事起頭難」。《漢書．卷一〇〇．敘傳下》：「以述《漢書》，起元高祖。」_x000D_
4.發動、產生。如：「起疑」、「起風」、「肅然起敬」。《呂氏春秋．貴直論．直諫》：「百邪悉起。」漢．高祖〈大風歌〉：「大風起兮雲飛揚，威加海內兮歸故鄉。」_x000D_
5.復甦、痊癒、好轉。如：「起死回生」、「一病不起」。《國語．吳語》：「君王之於越也，繄起死人而肉白骨也。」_x000D_
6.取出。如：「起貨」、「起贓」、「起出凶刀一把。」_x000D_
7.出仕、舉用。如：「起用」、「東山再起」。《戰國策．秦策二》：「召公孫顯於韓，起樗里子於國。」宋．辛棄疾〈水龍吟．老來曾識淵明〉詞：「甚東山何事，當時也道，為蒼生起。」_x000D_
8.擬訂。如：「起草章程」、「起個大綱」。_x000D_
9.出身。《漢書．卷三九．蕭何曹參傳．曹參》：「蕭何、曹參皆起秦刀筆吏，當時錄錄未有奇節。」_x000D_
10.建築、建立。如：「白手起家」、「平地起高樓」。《三國志．卷四七．吳書．吳主權傳》：「治城郭，起譙樓。」_x000D_
[名]_x000D_
1.詩文首句、首聯或首段。《通俗編．文學》引范德機〈詩法〉：「作詩有四法，起要平直，承宜舂容，轉要變化，合要淵永。」_x000D_
2.量詞：(1)計算分批的人的單位。相當於「群」。如：「店裡來了兩起客人。」《紅樓夢》第四四回：「且平兒又是個極聰明極清俊的上等女孩兒，比不得那起俗蠢拙物。」(2)計算事件發生的單位。如：「高速公路上發生了數起連環車禍。」「警方最近偵破了一起擄人勒索案。」_x000D_
[助]_x000D_
1.置於動詞之後，表示及、到的意思。如：「想起往事，真是不勝感慨！」「只要談起女友，他便眉開眼笑。」_x000D_
2.置於動詞之後，表示足夠或不夠的意思。如：「經得起現實的考驗。」「承受不起輿論壓力。」</t>
  </si>
  <si>
    <t>[副]
1.難道、怎麼，表示反詰。如：「豈敢」、「豈有此理」。《詩經．鄭風．褰裳》：「子不我思，豈無他士？」唐．李白〈答王十二寒夜獨酌有懷〉詩：「曾參豈是殺人者，讒言三及慈母驚。」
2.是否、是不是，表示揣度、推測。《莊子．外物》：「我，東海之波臣也。君豈有斗升之水而活我哉？」《三國志．卷三五．蜀書．諸葛亮傳》：「諸葛孔明者，臥龍也，將軍豈願見之乎？」
3.其，表示期望或命令。《國語．吳語》：「天王豈辱裁之？」《漢書．卷七四．魏相丙吉傳．丙吉》：「願將軍詳大議，參以蓍龜，豈宜褒顯？」</t>
  </si>
  <si>
    <t>(二)ㄎㄞˇ kǎi（04459）</t>
  </si>
  <si>
    <t>啟</t>
  </si>
  <si>
    <t>[動]
1.打開、展開。如：「開啟」、「啟齒」。《書經．金縢》：「啟籥見書。」《左傳．襄公二十五年》：「門啟而入，枕尸股而哭。」宋．劉克莊〈苦寒行〉：「長安城中多熱官，朱門日高未啟關。」
2.開導、教導。如：「啟發」、「啟蒙」。《論語．述而》：「不憤不啟，不悱不發。」
3.動身、開始。如：「啟程」、「啟行」、「啟動」。
4.陳述、告訴。如：「啟稟」、「啟奏」。《樂府詩集．卷七三．雜曲歌辭十三．古辭．焦仲卿妻》：「府吏得聞之，堂上啟阿母。」唐．元稹《鶯鶯傳》：「是用托短章，願自陳啟。」
5.開闢、開拓。《南史．卷一．宋武帝本紀》：「編戶歲滋，疆宇日啟。」《文選．潘勗．冊魏公九錫文》：「大啟南陽，世作盟主。」
[名]
1.古代稱官信為「啟」，今用來通稱書信。如：「小啟」、「謝啟」。
2.人名。夏禹之子。禹曾讓位於益，但人民懷念禹的功績，乃擁戴啟繼位，開君主世襲之風。
3.姓。如五代十國時後燕有啟崙。</t>
  </si>
  <si>
    <t>棨</t>
  </si>
  <si>
    <t>[名]
1.古時一種通行的憑證，以木頭刻成，形狀像戟。《說文解字．木部》：「棨，傳，信也。」漢．李尤〈印銘〉：「赤紱在報，非印不明；棨、傳、符、節，非印不行。」《宋書．卷一五．禮志二》：「皇太子夜開諸門，墨令，銀字棨傳令信。」
2.古代官吏出行時用作前導的一種儀仗。通常以木製成，形狀似戟，上有赤黑色的繒衣套住。《漢書．卷七六．韓延壽傳》：「延壽衣黃紈方領，駕四馬，傅總，建幢棨，植羽葆，鼓車歌車。」</t>
  </si>
  <si>
    <t>䏿</t>
  </si>
  <si>
    <t>[名]
小腿後肥大的部分。俗稱為「腿肚子」。清．王念孫《廣雅疏證．卷六下．釋親》：「䏿，腨也。」</t>
  </si>
  <si>
    <t>綮</t>
  </si>
  <si>
    <t>[名]
1.細緻的絲織品。《說文解字．糸部》：「綮，致繒也。」清．段玉裁．注：「凡細膩曰致，今之緻字也。」
2.古代官吏出行時用作前導的儀仗，戟上覆有赤黑色的繒衣套子。通「棨」。如：「綮戟」。</t>
  </si>
  <si>
    <t>(二)ㄑㄧㄥˋ qìng（06600）</t>
  </si>
  <si>
    <t>綺</t>
  </si>
  <si>
    <t>[名]
1.織有傾斜花紋的絲織品。《說文解字．糸部》：「綺，文繒也。」清．段玉裁．注：「謂繒之有文者也。」《文選．古詩十九首．客從遠方來》：「客從遠方來，遺我一端綺。」唐．白居易〈與元九書〉：「然則餘霞散成綺，澄江淨如練。」
2.姓。如漢代有綺里季。
[形]
華麗、美麗。如：「綺麗」、「綺室」。《文選．江淹．雜體詩．魏文帝》：「高文一何綺？小儒安足為？」唐．王維〈雜詩〉三首之二：「來日綺窗前，寒梅著花未？」</t>
  </si>
  <si>
    <t>參見「稽首」、「稽顙」等條。</t>
  </si>
  <si>
    <t>(一)ㄐㄧ jī（05319）</t>
  </si>
  <si>
    <t>ㄑㄧˋ</t>
  </si>
  <si>
    <t>qì</t>
  </si>
  <si>
    <t>[動]
給與。《集韻．去聲．未韻》：「乞，與也。」《漢書．卷六四上．朱買臣傳》：「妻自經死，買臣乞其夫錢，令葬。」宋．范成大〈四時田園雜興〉詩六〇首之五八：「長官頭腦冬烘甚，乞汝青銅買酒迴。」</t>
  </si>
  <si>
    <t>(一)ㄑㄧˇ qǐ（06280）</t>
  </si>
  <si>
    <t>仡</t>
  </si>
  <si>
    <t>參見「仡佬族」條。</t>
  </si>
  <si>
    <t>(一)ㄧˋ yì（10586）</t>
  </si>
  <si>
    <t>汔</t>
  </si>
  <si>
    <t>[動]
使乾涸。《抱朴子．外篇．詰鮑》：「其不汔淵剖珠，傾巖刊玉。」
[副]
幾乎、將近。《詩經．大雅．民勞》：「民亦勞止，汔可小康。」漢．鄭玄．箋：「汔，幾也。」</t>
  </si>
  <si>
    <t>犵</t>
  </si>
  <si>
    <t>參見「犵黨」、「犵狫族」條。</t>
  </si>
  <si>
    <t>迄</t>
  </si>
  <si>
    <t>[動]
至、到。如：「迄今」。《詩經．大雅．生民》：「后稷肇祀，庶無罪悔，以迄于今。」《漢書．卷三〇．藝文志》：「迄孝武世，書缺簡脫，禮壞樂崩。」
[副]
始終、一直。如：「迄無音訊」。《後漢書．卷七〇．孔融傳》：「融負其高氣，志在靖難，而才疏意廣，迄無成功。」《聊齋志異．卷四．促織》：「於敗堵叢草處，探石發穴，靡計不施，迄無濟。」</t>
  </si>
  <si>
    <t>訖</t>
  </si>
  <si>
    <t>[動]
1.終止、斷絕。《說文解字．言部》：「訖，止也。」《書經．西伯戡黎》：「天既訖我殷命，格人元龜，罔敢知吉。」唐．元稹〈樂府古題序〉：「〈詩〉訖於周，〈離騷〉訖於楚。」
2.至、到。通「迄」。漢．馬援〈誡兄子嚴敦書〉：「訖今，季良尚未可知，郡將下車軛切齒。」唐．白居易〈與元九書〉：「又自武德訖元和，因事立題，題為新樂府者，共一百五十首。」
[副]
1.完畢、終了。如：「付訖」、「驗訖」、「收訖」。
2.皆、都。《續漢書志．第四．禮儀志上》：「陽氣布暢，萬物訖出。」</t>
  </si>
  <si>
    <t>气</t>
  </si>
  <si>
    <t>[名]
1.雲氣。《說文解字．气部》：「气，雲氣也。」清．段玉裁．注：「气本雲氣，引申為凡氣之稱。」
2.二一四部首之一。</t>
  </si>
  <si>
    <t>汽</t>
  </si>
  <si>
    <t>[名]
1.水蒸氣。
2.參見「汽水」、「汽油」等條。</t>
  </si>
  <si>
    <t>氣</t>
  </si>
  <si>
    <t>[名]
1.物體三態之一，有別於固體、液體，沒有固定的形狀、體積，能自由流散的物體。如：「空氣」、「水蒸氣」。
2.特指空氣。如：「大氣」。
3.人或動物的呼吸。如：「岔氣」、「氣息奄奄」、「屏氣凝神」。
4.自然界陰晴、冷暖的現象。如：「天氣」、「秋高氣爽」。三國魏．曹植〈泰山梁甫行〉：「八方各異氣，千里殊風雨。」
5.人的情緒或表現出來的精神狀態。如：「脾氣」、「垂頭喪氣」。
6.人內在的才華或表現於行為作風。如：「才氣」、「驕氣」、「客氣」。
7.味道。如：「氣味」、「香氣」、「臭氣」。
8.中醫指充塞於人體中的一種生物能。如：「血氣」、「元氣」。
9.相學上指人的勢道、運命。如：「氣運」、「晦氣」、「氣數」。
[動]
發怒、憤怒。如：「氣惱」、「氣死人！」元．張國賓《合汗衫》第二折：「氣的來有眼如盲，有口似啞。」</t>
  </si>
  <si>
    <t>企</t>
  </si>
  <si>
    <t>[動]
1.踮著腳尖，把腳後跟提起來。《漢書．卷一．高帝紀上》：「吏卒皆山東之人，日夜企而望歸。」《文選．謝靈運．從斤竹澗越嶺溪行詩》：「企石挹飛泉，攀林摘葉卷。」
2.盼望。如：「企盼」、「企望」。</t>
  </si>
  <si>
    <t>泣</t>
  </si>
  <si>
    <t>[動]
只掉眼淚而不出聲的哭，或指低聲的哭。如：「泣血」、「泣不成聲」。《史記．卷七七．魏公子傳》：「公子畏死邪？何泣也？」宋．陸游〈夜泊水村〉詩：「老子猶堪絕大漠，諸君何至泣新亭？」
[名]
眼淚。如：「暗自飲泣」、「泣下如雨」。《史記．卷七．項羽本紀》：「項王泣數行下。」</t>
  </si>
  <si>
    <t>[動]
1.嫁給男子為配偶。《論語．公冶長》：「邦無道免於刑戮，以其兄之子妻之。」《史記．卷一二三．大宛傳》：「漢遣宗室女江都翁主往妻烏孫。」
2.娶女子為配偶。《孟子．萬章上》：「好色，人之所欲，妻帝之二女，而不足以解憂。」</t>
  </si>
  <si>
    <t>(一)ㄑㄧ qī（06205）</t>
  </si>
  <si>
    <t>契</t>
  </si>
  <si>
    <t>[動]
1.刻。如：「契刻」、「契舟求劍」。《詩經．大雅．綿》：「爰始爰謀，爰契我龜」。《淮南子．齊俗》：「故胡人彈骨，越人契臂，中國歃血也。」
2.投合、切合。如：「相契」、「契合」。《新唐書．卷九三．李勣傳》：「其用兵多籌算，料敵應變，皆契事機。」
[名]
1.刻出來的文字。如：「契文」、「殷契」。
2.合同、合約。如：「地契」、「房契」。《韓非子．主道》：「符契之所合，賞罰之所生也」。
3.志趣相投的朋友。晉．陶淵明〈桃花源詩〉：「願言躡輕風，高舉尋吾契。」唐．武元衡〈至櫟陽崇道寺聞嚴十少府趨侍〉詩：「松筠自古多年契，風月懷賢此夜心。」</t>
  </si>
  <si>
    <t>(二)ㄑㄧㄝˋ qiè（06339）(三)ㄒㄧㄝˋ xiè（06958）</t>
  </si>
  <si>
    <t>栔</t>
  </si>
  <si>
    <t>[動]
鏤刻。《說文解字．㓞部》：「栔，刻也。」</t>
  </si>
  <si>
    <t>參見「瘈瘲」條。</t>
  </si>
  <si>
    <t>(一)ㄐㄧˋ jì（05449）(二)（(一)之又音）ㄓˋ zhì（07585）</t>
  </si>
  <si>
    <t>砌</t>
  </si>
  <si>
    <t>[名]
臺階。唐．白居易〈新樂府．杏為梁〉：「碧砌紅軒色未乾，去年身歿今移主。」五代十國南唐．李煜〈虞美人．春花秋月何時了〉詞：「雕闌玉砌應猶在，只是朱顏改。」
[動]
1.堆疊。如：「砌牆」、「堆砌」。明．李雯〈鵲踏枝．慘碧愁黃無氣力〉詞：「慘碧愁黃無氣力，做盡秋聲，砌滿闌干側。」清．姚鼐〈登泰山記〉：「四十五里，道皆砌石為磴。」
2.連綴、拼湊。《水滸傳》第六七回：「披一付熊皮砌就嵌縫沿邊烏油鎧甲。」</t>
  </si>
  <si>
    <t>(二)ㄑㄧㄝˋ qiè（06332）</t>
  </si>
  <si>
    <t>[副]
屢次、每每。《左傳．隱公元年》：「亟請於武公。」《論語．陽貨》：「好從事而亟失時。」</t>
  </si>
  <si>
    <t>(一)ㄐㄧˊ jí（05365）</t>
  </si>
  <si>
    <t>棄</t>
  </si>
  <si>
    <t>[動]
拋開、捨去。如：「放棄」、「丟棄」、「廢棄」、「棄置」。《孟子．盡心上》：「舜視棄天下，猶棄敝蹝也。」唐．李白〈宣州謝朓樓餞別校書叔雲〉詩：「棄我去者昨日之日不可留，亂我心者今日之日多煩憂。」
[名]
人名。周代始祖后稷。相傳他的母親姜原生他以後，曾把他棄置道旁，故以為名。</t>
  </si>
  <si>
    <t>[動]
踮腳、提起腳跟。通「企」。《詩經．衛風．河廣》：「誰謂宋遠，跂予望之。」《荀子．勸學》：「吾嘗跂而望矣，不如登高之博見也。」</t>
  </si>
  <si>
    <t>(一)ㄑㄧˊ qí（06244）</t>
  </si>
  <si>
    <t>[動]
休息。同「憩」。《詩經．大雅．民勞》：「民亦勞止，汔可小愒。」南朝宋．劉義慶《世說新語．假譎》：「有一客姥，居店賣食。帝過愒之。」</t>
  </si>
  <si>
    <t>(二)ㄎㄞˋ kài（04471）</t>
  </si>
  <si>
    <t>[動]
提起衣襟。《詩經．邶風．匏有苦葉》：「深則厲，淺則揭。」明．徐弘祖《徐霞客遊記．卷四下．黔遊日記二》：「道中水漫數寸，仍揭而溯之。」</t>
  </si>
  <si>
    <t>(一)ㄐㄧㄝ jiē（05543）</t>
  </si>
  <si>
    <t>葺</t>
  </si>
  <si>
    <t>[動]
1.以茅草覆蓋房頂。《楚辭．屈原．九歌．湘夫人》：「築室兮水中，葺之兮荷蓋。」
2.修補。如：「修葺」。《左傳．昭公二十三年》：「叔孫所館者，雖一日，必葺其牆屋。」
3.累積、重疊。《楚辭．屈原．九章．悲回風》：「魚葺鱗以自別兮，蛟龍隱其文章。」</t>
  </si>
  <si>
    <t>[動]
1.將麻捻搓成線。《說文解字．糸部》：「緝，績也。」清．段玉裁．注：「凡麻枲……析其皮如絲而撚之，而𠟪之，而續之，而後為縷，是曰績，亦曰緝。」如：「緝麻」、「緝績」。宋．蘇軾〈次子由詩相慶〉詩：「六子晨耕簞瓢出，眾婦夜緝燈火共。」明．歸有光〈先妣事略〉：「入城，則緝纑，燈火熒熒，每至夜分。」
2.縫衣邊。如：「緝邊」。《儀禮．喪服》：「斬衰……《傳》曰斬者何不緝也。」
3.搜捕、捉拿。如：「緝凶」、「通緝」、「緝私」。
4.聚合。《後漢書．卷六六．陳蕃等傳．贊曰》：「人謀雖緝，幽運未當。」《文選．顏延之．陽給事誄》：「難立乎將卒之間，以緝華裔之眾。」</t>
  </si>
  <si>
    <t>(二)ㄑㄧ qī（06230）</t>
  </si>
  <si>
    <t>憩</t>
  </si>
  <si>
    <t>[動]
休息。如：「休憩」、「小憩」。晉．陶淵明〈閑情賦〉：「坦萬慮以存誠，憩遙情于八遐。」唐．李白〈下終南山過斛斯山人宿置酒〉詩：「歡言得所憩，美酒聊共揮。」</t>
  </si>
  <si>
    <t>磧</t>
  </si>
  <si>
    <t>[名]
1.淺水中露出的砂石。《說文解字．石部》：「磧，水陼有石者。」清．段玉裁．注：「陼丘，水中高者也。《三蒼》曰：『磧，水中沙堆也。』」
2.沙漠。唐．杜甫〈送人從軍〉詩：「今君渡沙磧，累月斷人煙。」宋．陸游〈塞上曲〉：「茫茫大磧吁可嗟，莫春積雪草未芽。」
3.地理學上指由冰河帶來的礫泥和沙礫等堆積物，或由這些堆積物所形成的各種地形。如：「冰磧丘」、「冰磧平原」。</t>
  </si>
  <si>
    <t>器</t>
  </si>
  <si>
    <t>[名]
1.用具的總稱。如：「陶器」、「容器」、「兵器」、「投鼠忌器」。《易經．繫辭上》：「以制器者尚其象，以卜筮者尚其占。」《論語．衛靈公》：「工欲善其事，必先利其器。」
2.度量、胸懷。如：「器度寬廣」、「器量弘深」。《論語．八佾》：「管仲之器小哉？」
3.才能、能力。如：「大器晚成」。《三國志．卷三五．蜀書．諸葛亮傳》：「亮之器能政理，抑亦管蕭之亞匹也。」
4.器官。如：「生殖器」。
5.姓。如商代有器氏尊。
[動]
重視、看重。如：「器重」。《後漢書．卷四六．陳寵傳》：「自在樞機，謝遣門人，拒絕知友，唯在公家而已，朝廷器之。」</t>
  </si>
  <si>
    <t>蟿</t>
  </si>
  <si>
    <t>參見「蟿螽」條。</t>
  </si>
  <si>
    <t>鏚</t>
  </si>
  <si>
    <t>[名]
斧頭。《左傳．昭公十二年》：「君王命剝圭以為鏚柲。」《隋書．卷四二．李德林傳》：「雖時屬大道，偃兵舞鏚。」</t>
  </si>
  <si>
    <t>掐</t>
  </si>
  <si>
    <t>ㄑㄧㄚ</t>
  </si>
  <si>
    <t>qiā</t>
  </si>
  <si>
    <t>[動]_x000D_
1.以手指或指甲用力一夾。如：「趕快掐他人中。」「她掐人可痛的呢！」_x000D_
2.以指甲截斷。如：「他從花園中掐了一朵玫瑰花。」_x000D_
3.以手指和虎口用力卡住。如：「掐脖子！」「掐住他的手腕！」元．曾瑞《留鞋記》第四折：「休拗折並頭蓮，莫掐殺雙飛燕。」_x000D_
4.用拇指點其餘四指以計算或思考。如：「掐指一算」。_x000D_
5.箝制、把持。如：「千萬別誤入歧途，否則你就被惡運給掐住了。」</t>
  </si>
  <si>
    <t>ㄑㄧㄚˇ</t>
  </si>
  <si>
    <t>qiǎ</t>
  </si>
  <si>
    <t>參見「卡脖子」條。</t>
  </si>
  <si>
    <t>(一)ㄎㄚˇ kǎ（04400）</t>
  </si>
  <si>
    <t>酠</t>
  </si>
  <si>
    <t>[名]
苦酒。《玉篇．酉部》：「酠，苦酒也。」</t>
  </si>
  <si>
    <t>洽</t>
  </si>
  <si>
    <t>ㄑㄧㄚˋ</t>
  </si>
  <si>
    <t>qià</t>
  </si>
  <si>
    <t>[動]
1.浸潤、沾溼。《說文解字．水部》：「洽，霑也。」晉．王嘉《拾遺記》卷五：「帝彌思求，終不復見，涕泣洽席。」
2.深入。《書經．大禹謨》：「好生之德，洽于民心。」
3.合、會合。《詩經．周頌．載芟》：「為酒為醴，烝畀祖妣，以洽百禮。」
4.和睦、協調。如：「融洽」。晉．陶淵明〈答龐參軍詩〉：「歡心孔洽，棟宇惟鄰。」
5.商量、商談。如：「洽商」、「接洽」、「洽租」。
[形]
廣博、周遍。如：「博識洽聞」。《後漢書．卷二七．杜林傳》：「林從竦受學，博洽多聞，時稱通儒。」</t>
  </si>
  <si>
    <t>(二)（又音）ㄒㄧㄚˊ xiá（06891）</t>
  </si>
  <si>
    <t>恰</t>
  </si>
  <si>
    <t>[副]
1.剛好、正好。如：「恰好」、「恰如」、「恰到好處」。唐．杜甫〈南鄰〉詩：「秋水纔深四五尺，野航恰受兩三人。」
2.適當、合適。如：「恰當」、「恰如其分」。</t>
  </si>
  <si>
    <t>帢</t>
  </si>
  <si>
    <t>參見「帢帽」條。</t>
  </si>
  <si>
    <t>[名]
樂器名。即敔。參見「敔」條。</t>
  </si>
  <si>
    <t>(一)ㄐㄧㄝˊ jié（05584）</t>
  </si>
  <si>
    <t>切</t>
  </si>
  <si>
    <t>ㄑㄧㄝ</t>
  </si>
  <si>
    <t>qiē</t>
  </si>
  <si>
    <t>[動]
1.用刀把東西割斷、分開成幾部分。如：「切菜」、「切斷」、「切割」、「切水果」。
2.向批發商批購貨物。如：「切貨」。
3.電訊傳播中，截斷目前通訊，將第三消息插入。如：「將鏡頭切進來。」
4.籃球賽中閃身進攻對方籃下。如：「空手切入」、「單刀切入」。
5.一種球技。利用球拍做下切動作，使之旋轉。用於網球、乒乓球等。
6.幾何學上指直線與弧線或兩弧線相接於一點。如：「兩圓相切」。</t>
  </si>
  <si>
    <t>(一)ㄑㄧㄝˋ qiè（06331）</t>
  </si>
  <si>
    <t>ㄑㄧㄝˊ</t>
  </si>
  <si>
    <t>qié</t>
  </si>
  <si>
    <t>[名]
譯音用字。常用於梵語譯音。如：「伽藍」、「伽陀」。</t>
  </si>
  <si>
    <t>(二)ㄐㄧㄚ jiā（05475）</t>
  </si>
  <si>
    <t>[名]
植物名。茄科茄屬，「茄子」之簡稱，參見「茄子」條。</t>
  </si>
  <si>
    <t>(二)ㄐㄧㄚ jiā（05478）</t>
  </si>
  <si>
    <t>ㄑㄧㄝˇ</t>
  </si>
  <si>
    <t>qiě</t>
  </si>
  <si>
    <t>[副]_x000D_
1.暫時。如：「你且坐著」。《史記．卷六六．伍子胥列傳》：「民勞，未可，且待之。」_x000D_
2.將、將要。如：「旦暮且下」。《戰國策．齊策一》：「魏有破韓之志，韓見且亡，必東愬於齊。」_x000D_
3.只。宋．蘇軾〈虞美人．持杯遙勸天邊月〉詞：「持杯復更勸花枝，且願花枝常在莫披離。」《水滸傳》第六五回：「我自要幹大事，那里且報小仇。」_x000D_
[連]_x000D_
1.又、並。如：「老榕樹既高且大。」《詩經．小雅．魚麗》：「君子有酒，旨且多。」《左傳．僖公二十四年》：「以志吾過，且旌善人。」_x000D_
2.況、何況。《左傳．僖公二十八年》：「且楚師老矣，何故退？」《三國志．卷三五．蜀書．諸葛亮傳》：「且北方之人，不習水戰。」_x000D_
3.尚、還。如：「尚且」、「然且不可」。《孟子．公孫丑下》：「然則聖人且有過與？」_x000D_
4.抑、或者。《戰國策．齊策四》：「王以天下為尊秦乎？且尊齊乎？」《史記．卷四四．魏世家》：「富貴者驕人乎？且貧賤者驕人乎？」_x000D_
5.表示同時做兩件事情。如：「且歌且舞」、「且戰且走」。《西遊記》第六一回：「那魔王奮勇爭強，且行且鬥，鬥了一夜，不分上下。」《海上花列傳》第九回：「蕙貞脫身站在當地，手指著小紅，且哭且罵。」</t>
  </si>
  <si>
    <t>(二)ㄐㄩ jū（05966）</t>
  </si>
  <si>
    <t>ㄑㄧㄝˋ</t>
  </si>
  <si>
    <t>qiè</t>
  </si>
  <si>
    <t>[動]_x000D_
1.咬、咬緊。如：「咬牙切齒」。《史記．卷八六．刺客列傳．荊軻》：「此臣之日夜切齒腐心也。」_x000D_
2.貼近。如：「切身之痛」、「不切實際」。《荀子．勸學》：「詩書故而不切。」_x000D_
3.按脈。如：「望、聞、問、切」。《史記．卷一〇五．扁鵲倉公列傳．扁鵲》：「不待切脈望色，聽聲寫形，言病之所在。」_x000D_
[形]_x000D_
1.密合。如：「貼切」、「親切」。《晉書．卷五六．列傳．江統》：「申論陸雲兄弟，辭甚切至。」_x000D_
2.急迫、急促。如：「返鄉心切」、「杜鵑聲切」。晉．李密〈陳情表〉：「詔書切峻，責臣逋慢。」_x000D_
3.所有的。參見「一切」條。_x000D_
[副]_x000D_
一定、千萬。如：「切記」。《老殘遊記》第一回：「諸位切不可亂動。」_x000D_
[名]_x000D_
1.要點。《漢書．卷八七．揚雄傳下》：「請略舉凡，而客自覽其切焉。」_x000D_
2.古代拼音法。將兩字拼讀成一字的聲音。原則是上字取聲，下字取韻、調，如「端，都官切。」都取ㄉ音，官取ㄨㄢ韻，合讀為「ㄉㄨㄢ」。參見「反切」條。</t>
  </si>
  <si>
    <t>(二)ㄑㄧㄝ qiē（06327）</t>
  </si>
  <si>
    <t>[名]
舊時戲曲中滑稽笑謔的動作稱為「砌」。《永樂大典戲文三種．張協狀元．第一出》：「酬酢詞源諢砌，聽談論四座皆驚。」
[動]
1.嘲笑、諷刺。《醒世姻緣傳》第八三回：「我說個笑話兒，怎麼就是砌你？」
2.扮演。明．湯顯祖《牡丹亭》第一五齣：「俺怕不占場兒砌一個『錦西湖上馬嬌』。」</t>
  </si>
  <si>
    <t>(一)ㄑㄧˋ qì（06307）</t>
  </si>
  <si>
    <t>妾</t>
  </si>
  <si>
    <t>[名]
1.古代女子對自己的謙稱。如：「賤妾」。南朝宋．劉義慶《幽明錄．賣胡粉女子》：「妾豈復吝死，乞一臨尸盡哀。」唐．李益〈江南曲〉：「嫁得瞿塘賈，朝朝誤妾期。」
2.男子的側室。俗稱為「姨太太」、「小老婆」。如：「三妻四妾」。元．劉時中〈端正好．眾生靈遭磨障套．叨叨令〉曲：「有錢的納寵妾買人口偏興旺，無錢的受飢餒填清壑遭災障。」</t>
  </si>
  <si>
    <t>唼</t>
  </si>
  <si>
    <t>參見「唼佞」條。</t>
  </si>
  <si>
    <t>(一)ㄗㄚ zā（09435）(二)ㄕㄚˋ shà（08803）</t>
  </si>
  <si>
    <t>踥</t>
  </si>
  <si>
    <t>參見「踥蹀」、「踥踥」等條。</t>
  </si>
  <si>
    <t>鯜</t>
  </si>
  <si>
    <t>[名]
一種魚。常三魚同游，一在前，二在後若婢妾。明．張自烈《正字通．魚部》：「鯜，即妾魚。《爾雅》：鱖鯞，後人因郭璞謂妾魚。……崔豹謂之青衣魚，其行以三為率，一前二後若婢妾。」也作「鰈」。</t>
  </si>
  <si>
    <t>怯</t>
  </si>
  <si>
    <t>(一)（語音）ㄑㄩㄝˋ què（06661）</t>
  </si>
  <si>
    <t>朅</t>
  </si>
  <si>
    <t>[動]
離去。《說文解字．去部》：「朅，去也。」《呂氏春秋．士容論．士容》：「富貴弗就，而貧賤弗朅。」
[形]
威武雄壯。《詩經．衛風．碩人》：「庶姜孽孽，庶士有朅。」
[副]
為何、如何。晉．束晳〈近遊賦〉：「攀蓽門而高蹈，朅徘徊而近遊。」
[助]
發語詞，無義。宋．蘇軾〈生日王郎以詩見慶次其韻并寄茶二十一片〉詩：「朅從冰叟來游宦，肯伴臞仙亦號儒。」</t>
  </si>
  <si>
    <t>[動]
(一)[動]2.之又音。
[形]
畏怯。通「怯」。參見「契需」條。</t>
  </si>
  <si>
    <t>(一)ㄑㄧˋ qì（06304）(三)ㄒㄧㄝˋ xiè（06958）</t>
  </si>
  <si>
    <t>挈</t>
  </si>
  <si>
    <t>[動]
1.提、舉。如：「提綱挈領」。《荀子．勸學》：「若挈裘領，詘五指而頓之，順者不可勝數也。」
2.帶領。如：「扶老挈幼」。《穀梁傳．僖公二年》：「挈其妻子以奔曹。」</t>
  </si>
  <si>
    <t>鍥</t>
  </si>
  <si>
    <t>[動]
1.刻。《荀子．勸學》：「鍥而不舍，金石可鏤。」
2.砍斷。《戰國策．宋策》：「鍥朝涉之脛而國人大駭。」</t>
  </si>
  <si>
    <t>愜</t>
  </si>
  <si>
    <t>[形]
合適、滿足。如：「愜意」。《漢書．卷四．文帝紀》：「朕既不德，上帝神明未歆饗也，天下人民未有愜志。」南朝宋．謝靈運〈石壁精舍還湖中作〉詩：「慮澹物自輕，意愜理無違。」</t>
  </si>
  <si>
    <t>篋</t>
  </si>
  <si>
    <t>[名]
放東西的箱子。如：「籐篋」、「書篋」。《戰國策．秦策一》：「乃夜發書，陳篋數十。」</t>
  </si>
  <si>
    <t>[動]
斜靠、斜倚。元．王實甫《西廂記．第四本．第四折》：「欹珊枕把身軀兒趄。」
[形]
歪斜、不正。《水滸傳》第二二回：「宋江已有八分酒，腳步趄了，只顧踏去。」</t>
  </si>
  <si>
    <t>(一)ㄐㄩ jū（05974）</t>
  </si>
  <si>
    <t>慊</t>
  </si>
  <si>
    <t>[動]
感到滿足、快適。《孟子．公孫丑上》：「行有不慊於心，則餒矣。」《莊子．天運》：「彼必齕挽裂，盡去而後慊。」</t>
  </si>
  <si>
    <t>(一)ㄑㄧㄢˋ qiàn（06497）</t>
  </si>
  <si>
    <t>竊</t>
  </si>
  <si>
    <t>[動]
盜取、偷。如：「竊取」。《周禮．地官．山虞》：「凡竊木者有刑罰。」《莊子．胠篋》：「彼竊鉤者誅，竊國者為諸侯。」
[副]
1.私下。用來謙指自己見解的不確定。《論語．述而》：「述而不作，信而好古，竊比於我老彭。」《戰國策．趙策四》：「老臣竊以為媼之愛燕后賢於長安君。」
2.偷偷的。如：「竊聽」、「暗自竊笑」。《史記．卷六五．孫子吳起傳》：「齊使以為奇，竊載與之齊。」《聊齋志異．卷一．王成》：「傳聞葛價翔貴，心竊喜。」</t>
  </si>
  <si>
    <t>雀</t>
  </si>
  <si>
    <t>ㄑㄧㄠ</t>
  </si>
  <si>
    <t>qiāo</t>
  </si>
  <si>
    <t>[名]
山名。約位今大陸地區河南省成皋縣境。</t>
  </si>
  <si>
    <t>(一)ㄏㄠˋ hào（04811）</t>
  </si>
  <si>
    <t>敲</t>
  </si>
  <si>
    <t>[動]
1.叩、擊。如：「敲打」、「敲鑼」。唐．李商隱〈北青蘿〉詩：「獨敲初夜磬，閒倚一枝藤。」宋．蘇軾〈寓居定惠院之東雜花滿山有海棠一株土人不知貴也〉詩：「不問人家與僧舍，拄杖敲門看修竹。」
2.斟酌、推究。明．李昌祺《剪燈餘話．卷一．聽經猿記》：「舉手推敲，頗類苦吟之賈島。」
3.揩油、訛詐、勒索。如：「敲詐」、「敲竹槓」、「狠敲一筆」。
[名]
短杖。《文選．賈誼．過秦論》：「履至尊而制六合，執敲扑以鞭笞天下。」</t>
  </si>
  <si>
    <t>鄡</t>
  </si>
  <si>
    <t>[名]
1.縣名。漢代所治，故城約在今大陸地區河北省束鹿縣東南。
2.姓。如春秋時有孔子的弟子鄡單。</t>
  </si>
  <si>
    <t>頝</t>
  </si>
  <si>
    <t>[形]
頝䫜：頭部不美好。《廣韻．平聲．肴韻》：「頝，頝䫜，頭不媚也。」</t>
  </si>
  <si>
    <t>骹</t>
  </si>
  <si>
    <t>[名]
1.小腿。《說文解字．骨部》：「骹，脛也。」清．段玉裁．注：「脛，膝下也。凡物之脛皆曰骹。」
2.泛指從腿到腳。宋．蘇軾〈次韻袁公濟謝芎椒〉詩：「河魚潰腹空號楚，汗水流骹始信吳。」
3.響箭。宋．柳開〈塞上〉詩：「鳴骹直上一千尺，平靜無風聲更乾。」</t>
  </si>
  <si>
    <t>墝</t>
  </si>
  <si>
    <t>[形]
土壤貧瘠堅硬。《三國志．卷二二．魏書．盧毓傳》：「而礁土地墝瘠，百姓窮困，毓愍之，上表徙民於梁國就沃衍，失帝意。」
[名]
貧瘠堅硬的土地。《荀子．儒效》：「相高下，視墝肥，序五種，君子不如農人。」唐．楊倞．注：「墝，薄田也。」</t>
  </si>
  <si>
    <t>磽</t>
  </si>
  <si>
    <t>[形]
1.堅硬。唐．舒元輿〈坊州按獄〉詩：「風冷木長瘦，石磽人亦勞。」
2.土壤堅硬貧瘠，不適宜耕種。《孟子．告子上》：「地有肥磽，雨露之養，人事之不齊也。」漢．趙岐．注：「磽，薄也。」《漢書．卷五一．賈山傳》：「地之磽者，雖有善種，不能生焉。」</t>
  </si>
  <si>
    <t>趬</t>
  </si>
  <si>
    <t>[形]
走路輕快的樣子。《說文解字．走部》：「趬，行輕貌。」《後漢書．卷六〇上．馬融傳》：「或輕訬趬悍，廋疏嶁領。」
[動]
高起、向上翹起。《西遊記》第三三回：「說了誓，將身一縱，把尾子趬了一趬。」</t>
  </si>
  <si>
    <t>蹺</t>
  </si>
  <si>
    <t>[動]
1.抬起、舉起。如：「蹺腳」、「蹺起大拇指稱讚。」《紅樓夢》第九九回：「李十兒坐在椅子上，蹺著一隻腿。」
2.死。如：「蹺了」、「蹺辮子」。
[名]
一種在傳統戲劇、舞蹈中供表演者綁在腳上使用的木製道具。如：「蹺工」、「踩高蹺」。</t>
  </si>
  <si>
    <t>撬</t>
  </si>
  <si>
    <t>[動]
1.以物扳開、挑起。《西遊記》第二五回：「眾仙撬開門板，著手扯下床來，也只是不醒。」
2.抬。《兒女英雄傳》第三八回：「你到底撬起點腿兒來呀！」也作「翹」。</t>
  </si>
  <si>
    <t>(二)（又音）ㄑㄧㄠˋ qiào（06393）</t>
  </si>
  <si>
    <t>橇</t>
  </si>
  <si>
    <t>[名]
在泥地上行走或雪地裡滑行的工具。如：「雪橇」。《史記．卷二．夏本紀》：「水行乘船，泥行乘橇。」</t>
  </si>
  <si>
    <t>鍬</t>
  </si>
  <si>
    <t>[名]
1.挖掘泥土的器具。下部似鐵鏟而微曲，上有木柄，可持以剷土。如：「圓鍬」。《水滸傳》第一回：「汝等從人，與我多喚幾個火工人等，將鋤頭、鐵鍬來掘開。」
2.形狀像鍬的器具。如：「火鍬」、「藥鍬」。</t>
  </si>
  <si>
    <t>繑</t>
  </si>
  <si>
    <t>[名]
1.褲紐，褲子上的帶子。《說文解字．糸部》：「繑，褲紐也。」《管子．輕重戊》：「絏繑而踵相隨。」
2.一種縫紉方法。將布邊向內捲起密縫，使針腳不外現，看起來很整齊。</t>
  </si>
  <si>
    <t>[動]
抬起腳來。通「蹺」。《說文解字．足部》：「舉足小高也。」</t>
  </si>
  <si>
    <t>(二)ㄐㄧㄠˇ jiǎo（05665）(三)ㄐㄩㄝˊ jué（06114）</t>
  </si>
  <si>
    <t>招</t>
  </si>
  <si>
    <t>ㄑㄧㄠˊ</t>
  </si>
  <si>
    <t>qiáo</t>
  </si>
  <si>
    <t>[動]
揭舉、揭發。《國語．周語下》：「立於淫亂之國，而好盡言，以招人過，怨之本也。」唐．韓愈〈爭法論〉：「惡為人臣招其君之過而以為名者。」</t>
  </si>
  <si>
    <t>(一)ㄓㄠ zhāo（07706）(二)ㄕㄠˊ sháo（08875）</t>
  </si>
  <si>
    <t>荍</t>
  </si>
  <si>
    <t>[名]
1.錦葵的別名。參見「錦葵」條。
2.麥子。通「蕎」。明．李時珍《本草綱目．卷二二．穀部．蕎麥》：「時珍曰：『蕎麥之莖弱而翹然，易長易收，磨麵如麥，如曰蕎、曰荍，而與麥同名也。』」</t>
  </si>
  <si>
    <t>睄</t>
  </si>
  <si>
    <t>[動]
輕視、瞧不起。《集韻．去聲．效韻》：「睄，小視。」
[形]
晦暗不明。《楚辭．王逸．九思．疾世》：「日陰曀兮未光，閴睄窕兮靡睹。」自注：「睄窕，幽冥也。」</t>
  </si>
  <si>
    <t>[形]
1.形容樹幹高大且樹枝往上盤旋的。《說文解字．夭部》：「喬，高而曲也。」《詩經．小雅．伐木》：「出自幽谷，遷於喬木。」唐．宋之問〈題張老松樹〉詩：「中有喬松樹，使我長歎息。」
2.罵人的話。惡劣的意思。元．石君寶《秋胡戲妻》第三折：「原來是個不曉事的喬男女。」
[副]
假裝、詐偽。如：「喬裝」、「喬扮」。明．張鳳翼《紅拂記》第一齣：「分明是長吁氣，喬說是歌遶畫梁飛。」
[名]
1.矛柄近刃處用來懸掛羽毛的地方。《詩經．鄭風．清人》：「二矛重喬，河上乎逍遙。」
2.三國時吳國的大喬、小喬。唐．杜牧〈赤壁〉詩：「東風不與周郎便，銅雀春深鎖二喬。」
3.姓。如元代有喬吉。</t>
  </si>
  <si>
    <t>(二)ㄐㄧㄠ jiāo（05630）</t>
  </si>
  <si>
    <t>僑</t>
  </si>
  <si>
    <t>[動]
旅居、寄居。《廣韻．平聲．宵韻》：「僑，寄也，客也。」《魏書．卷四五．杜銓傳》：「既是宗近，何緣復僑居趙郡？」
[名]
寄居異地或他國的人。如：「華僑」、「外僑」。
[副]
臨時、暫且。如：「僑置」。《晉書．卷一四．地理志上》：「元帝渡江，以春穀縣僑立襄城郡及繁昌縣。」</t>
  </si>
  <si>
    <t>(一)ㄐㄧㄠ jiāo（05631）</t>
  </si>
  <si>
    <t>橋</t>
  </si>
  <si>
    <t>[名]
1.架在河面上接通兩岸的建築物。《說文解字．木部》：「橋，水梁也。」如：「吊橋」、「鐵橋」、「獨木橋」、「長橋臥波」。宋．陸游〈沈園〉詩二首之一：「傷心橋下春波綠，曾是驚鴻照影來。」
2.建在市區交通要道上，像橋梁一樣的建築物。如：「天橋」、「陸橋」。
3.紫葳科「橋梓」、「喬梓」、「梓」的別稱。參見「橋梓」條。
4.姓。如漢代有橋玄。</t>
  </si>
  <si>
    <t>蕎</t>
  </si>
  <si>
    <t>[名]
植物名：(1)蓼科蕎麥屬，「蕎麥」之古稱。參見「蕎麥」條。(2)大戟科大戟屬。多年生草本。根圓柱形，莖高四十至九十公分，具乳汁。葉橢圓形至披針狀橢圓形。總苞片四至七枚輪生，繖輻四至七枚，大戟花序單生二歧分枝頂端，具淡褐色腺體。蒴果球形。根可入藥。《爾雅．釋草》：「蕎，邛鉅。」晉．郭璞．注：「今藥草，大戟也。」也稱為「大戟」、「京大戟」。</t>
  </si>
  <si>
    <t>礄</t>
  </si>
  <si>
    <t>[名]
地名用字。如位於大陸地區四川省境的礄頭及湖北省境的礄口區。</t>
  </si>
  <si>
    <t>趫</t>
  </si>
  <si>
    <t>[名]
擅長攀爬樹木的人。《說文解字．走部》：「趫，善緣木之士也。」
[形]
1.身手矯捷，善於爬高奔走。如：「趫健」。《後漢書．卷七一．朱儁傳》：「輕勇趫捷，故軍中號曰『飛燕』。」
2.旺盛。《呂氏春秋．先識覽．悔過》：「皆以其氣之趫與力之盛至，是以犯敵能滅，去之能速。」</t>
  </si>
  <si>
    <t>劁</t>
  </si>
  <si>
    <t>[動]
割、斷。《集韻．平聲．宵韻》：「劁，斷也，刈也。」《齊民要術．卷一．收種》：「選好穗純色者，劁刈高懸之。」</t>
  </si>
  <si>
    <t>(二)（又音）ㄑㄧㄠˋ qiào（06391）</t>
  </si>
  <si>
    <t>憔</t>
  </si>
  <si>
    <t>參見「憔慮」、「憔悴」等條。</t>
  </si>
  <si>
    <t>嫶</t>
  </si>
  <si>
    <t>參見「嫶妍」條。</t>
  </si>
  <si>
    <t>樵</t>
  </si>
  <si>
    <t>[名]
1.木柴。如：「薪樵」。《左傳．桓公十二年》：「輕則寡謀，請無扞采樵者以誘之。」宋．柳永〈煮海歌〉：「滷濃鹽淡未得閒，採樵深入無窮山。」
2.打柴的人。如：「樵夫」。唐．杜荀鶴〈遊茅山〉詩：「漁樵不到處，麋鹿自成群。」唐．孟浩然〈宿業師山房期丁大不至〉詩：「樵人歸欲盡，煙鳥棲初定。」
3.瞭望敵人的高樓。通「譙」。《漢書．卷六九．趙充國傳》：「為塹壘木樵，校聯不絕。」
[動]
砍柴。《詩經．小雅．白華》：「樵彼桑薪，卬烘于煁。」《左傳．昭公六年》：「不樵樹，不采蓺。」宋．方岳〈三虎行〉：「西鄰昨暮樵不歸，欲覓殘骸無處所。」</t>
  </si>
  <si>
    <t>參見「蕉萃」條。</t>
  </si>
  <si>
    <t>(一)ㄐㄧㄠ jiāo（05639）</t>
  </si>
  <si>
    <t>瞧</t>
  </si>
  <si>
    <t>[動]
1.看。如：「瞧見」、「走著瞧」、「瞧得起」、「瞧熱鬧」。元．高明《琵琶記．牛小姐諫父》：「撇呆打墮，早被那人瞧破。」
2.偷看。《警世通言．卷二一．趙太祖千里送京娘》：「只見外面一個人入來，到房門口探頭探腦。公子大喝道：『什麼人敢來瞧俺腳色？』」</t>
  </si>
  <si>
    <t>譙</t>
  </si>
  <si>
    <t>[名]
1.古代用以瞭望的樓臺。如：「譙樓」、「譙門」。
2.地名。曹操的故鄉。漢置縣，屬沛郡，三國魏置郡，故址在今大陸地區安徽省亳縣。
3.姓。如宋代有譙仲午。</t>
  </si>
  <si>
    <t>(二)ㄑㄧㄠˋ qiào（06392）</t>
  </si>
  <si>
    <t>翹</t>
  </si>
  <si>
    <t>[名]
1.鳥類尾部的長羽毛。《說文解字．羽部》：「翹，尾長毛也。」
2.婦女髮上的飾物，形似鳥尾。唐．白居易〈長恨歌〉：「花鈿委地無人收，翠翹金雀玉搔頭。」
[動]
舉起、抬高。如：「翹首」、「翹望」、「翹足」。
[形]
特出。《晉書．卷八七．涼武昭王李玄盛傳》：「採殊才於巖陸，拔翹彥於無際。」北齊．顏之推《顏氏家訓．文章》：「凡此諸人，皆其翹秀者。」</t>
  </si>
  <si>
    <t>(二)ㄑㄧㄠˋ qiào（06397）</t>
  </si>
  <si>
    <t>巧</t>
  </si>
  <si>
    <t>ㄑㄧㄠˇ</t>
  </si>
  <si>
    <t>qiǎo</t>
  </si>
  <si>
    <t>[形]
1.高妙、靈活、聰慧。如：「靈巧」、「巧思」、「巧婦難為無米之炊」。
2.美好。《詩經．衛風．碩人》：「巧笑倩兮，美目盼兮。」
3.技藝精妙。如：「巧手」、「巧工」。漢．王充《論衡．自紀》：「大簡必有大好，良工必有不巧。」唐．秦韜玉〈貧女〉詩：「敢將十指誇偏巧，不把雙眉鬥畫長。」
4.虛偽不實。如：「花言巧語」。《論語．學而》：「巧言令色，鮮矣仁。」唐．白居易〈新樂府．天可度〉：「但見丹誠赤如血，誰知偽言巧似簧。」
[名]
精妙的技能、才藝。如：「乞巧」。《孟子．離婁上》：「離婁之明，公輸子之巧，不以規矩，不能成方員。」
[副]
1.恰好。如：「湊巧」、「碰巧」、「巧遇」。
2.狡詐、虛偽。如：「巧辯」、「巧立名目」。唐．韓愈〈答劉秀才論史書〉：「巧造語言，鑿空構立。」</t>
  </si>
  <si>
    <t>悄</t>
  </si>
  <si>
    <t>[副]
1.憂愁。如：「憂心悄悄」。《詩經．陳風．月出》：「舒窈糾兮，勞心悄兮。」漢．毛亨．傳：「悄，憂也。」唐．白居易〈夜雨有念〉詩：「胡為悄不樂，抱膝殘燈前。」
2.寂靜。如：「靜悄悄」、「悄然無聲」。唐．白居易〈琵琶行〉：「東舟西舫悄無言，唯見江心秋月白。」宋．袁去華〈劍器近．夜來雨〉詞：「悄庭戶。試細聽、鶯啼燕語。」</t>
  </si>
  <si>
    <t>(一)（讀音）ㄑㄩㄝˋ què（06666）(三)ㄑㄧㄠ qiāo（06347）</t>
  </si>
  <si>
    <t>[副]
1.臉色突然凝重的樣子。《史記．卷一一七．司馬相如傳》：「二子愀然改容，超若自失。」南朝宋．劉義慶《世說新語．言語》：「唯王丞相愀然變色曰：『當共戮力王室，克復神州，何至作楚囚相對？』」
2.有所警惕的樣子。《荀子．修身》：「見善，修然，必以自存也；見不善，愀然，必以自省也。」</t>
  </si>
  <si>
    <t>(二)（又音）ㄐㄧㄡˇ jiǔ（05714）</t>
  </si>
  <si>
    <t>鵲</t>
  </si>
  <si>
    <t>(一)ㄑㄩㄝˋ què（06671）</t>
  </si>
  <si>
    <t>俏</t>
  </si>
  <si>
    <t>ㄑㄧㄠˋ</t>
  </si>
  <si>
    <t>qiào</t>
  </si>
  <si>
    <t>[形]
1.容貌秀美、體態輕盈。如：「俊俏」、「俏佳人」、「俏女郎」。
2.活潑有趣。如：「俏皮」。
3.銷路好、價值提升。如：「市價挺俏」、「行情看俏」。</t>
  </si>
  <si>
    <t>峭</t>
  </si>
  <si>
    <t>[形]
1.山勢險峻。如：「峭壁」、「陡峭」。《楚辭．屈原．九章．悲回風》：「上高巖之峭岸兮，處雌蜺之標顛。」《文選．謝靈運．過始寧墅詩》：「巖峭嶺稠疊，洲縈渚連綿。」
2.文勢險拔。漢．王充《論衡．自紀》：「言姦辭簡，指趨妙遠；語甘文峭，意務淺小。」明．宋濂〈謝翶傳〉：「文尤嶄拔峭勁，雷電恍惚，出入風雨中。」
3.嚴厲、苛刻。《新唐書．卷一七七．李翶傳》：「翶性峭鯁，論議無所屈。」
4.寒冷。如：「春寒料峭」。宋．陸游〈秋思〉詩：「露氣侵簾已峭深，衰髮凋零隨槁葉。」
[動]
加密、使嚴厲。《韓非子．五蠹》：「故明王峭其法而嚴其刑也。」</t>
  </si>
  <si>
    <t>帩</t>
  </si>
  <si>
    <t>[名]
古代男子束髮用的頭巾。參見「帩頭」條。</t>
  </si>
  <si>
    <t>誚</t>
  </si>
  <si>
    <t>[動]
責備、責怪。《呂氏春秋．慎行論．疑似》：「丈人歸，酒醒而誚其子。」《文選．張衡．思玄賦》：「戴勝憖其既歡兮，又誚余之行遲。」
[副]
全然、簡直。宋．葛長庚〈永遇樂．銀月淒涼〉詞：「尋思往事，千頭萬緒，回首誚如夢裡。」</t>
  </si>
  <si>
    <t>鞘</t>
  </si>
  <si>
    <t>[名]
1.刀套。如：「還刀入鞘」。唐．盧照鄰〈劉生〉詩：「翠羽裝刀鞘，黃金飾馬鈴。」
2.用來盛裝銀物，以便轉運的中空木筒。《儒林外史》第三四回：「儘著響馬賊趕著百十個牲口，馱了銀鞘，往小路上去了。」</t>
  </si>
  <si>
    <t>(二)ㄕㄠ shāo（08867）</t>
  </si>
  <si>
    <t>(一)ㄎㄜˊ ké（04433）(三)（(一)之又音）ㄑㄩㄝˋ què（06667）</t>
  </si>
  <si>
    <t>(一)ㄑㄧㄠˊ qiáo（06372）</t>
  </si>
  <si>
    <t>[動]
責備。同「誚」。《管子．揆度》：「力足蕩遊不作，老者譙之。」《韓非子．五蠹》：「今有不才之子，父母怒之弗為改，鄉人譙之弗為動。」</t>
  </si>
  <si>
    <t>(一)ㄑㄧㄠˊ qiáo（06378）</t>
  </si>
  <si>
    <t>(一)ㄑㄧㄠ qiāo（06357）</t>
  </si>
  <si>
    <t>撽</t>
  </si>
  <si>
    <t>[動]
從旁擊打。《莊子．至樂》：「莊子之楚，見空髑髏，髐然有形，撽以馬捶，因而問之。」</t>
  </si>
  <si>
    <t>竅</t>
  </si>
  <si>
    <t>[名]_x000D_
1.孔穴。《莊子．齊物論》：「厲風濟，則眾竅為虛。」宋．蘇軾〈石鐘山記〉：「有大石當中流，可坐百人，空中而多竅，與風水相吞吐。」_x000D_
2.人體的耳、目、鼻、口等器官。如：「七竅」。《管子．心術上》：「九竅之有職，官之分也。」_x000D_
3.關鍵、要點、方法。如：「訣竅」、「一竅不通」。_x000D_
[動]_x000D_
承載。《禮記．禮運》：「故天秉陽，垂日星，地秉陰，竅於山川。」</t>
  </si>
  <si>
    <t>躈</t>
  </si>
  <si>
    <t>[名]
馬的肛門，古代用以計馬數。《史記．卷一二九．貨殖傳》：「馬蹄躈千，牛千足。」《聊齋志異．卷四．促織》：「不數歲，田百頃，樓閣萬椽，牛羊蹄躈各千計。」</t>
  </si>
  <si>
    <t>[動]
1.突起、高起、向上昂起。如：「那尊大炮翹著炮口，朝向敵營。」「這張板凳，兩頭都翹起來了。」
2.開溜。如：「翹家」、「翹課」、「翹班」。
3.指死亡。如：「翹了」、「翹辮子」。</t>
  </si>
  <si>
    <t>(一)ㄑㄧㄠˊ qiáo（06379）</t>
  </si>
  <si>
    <t>丘</t>
  </si>
  <si>
    <t>ㄑㄧㄡ</t>
  </si>
  <si>
    <t>qiū</t>
  </si>
  <si>
    <t>[名]
1.小土山、小土堆。如：「沙丘」、「丘陵」、「丘垤」。唐．柳宗元〈愚溪詩序〉：「愚溪之上，買小丘為愚丘。」
2.墳冢、墳墓。《文選．司馬遷．報任少卿書》：「亦何面目復上父母丘墓乎？」
3.姓。如元代有丘處機。
[形]
大、長。</t>
  </si>
  <si>
    <t>坵</t>
  </si>
  <si>
    <t>[名]
小土山。同「丘」。明．徐弘祖《徐霞客遊記．卷四下．黔遊日記二》：「皆安酋叛時，城破鞠為坵莽，至今未復也。」</t>
  </si>
  <si>
    <t>邱</t>
  </si>
  <si>
    <t>[名]_x000D_
1.同「丘」。_x000D_
2.姓。如漢代有邱俊、隋代有邱和。</t>
  </si>
  <si>
    <t>蚯</t>
  </si>
  <si>
    <t>參見「蚯蚓」條。</t>
  </si>
  <si>
    <t>秋</t>
  </si>
  <si>
    <t>[名]
1.一年四季中的第三季。農曆為七、八、九月，陽曆為九、十、十一月。如：「秋天」、「秋季」、「中秋」、「深秋」、「一葉知秋」。唐．杜甫〈登高〉詩：「萬里悲秋常作客，百年多病獨登臺。」
2.年。古代年的長度以二次秋收為準，故以秋代表年。如：「千秋萬世」、「一日不見，如隔三秋。」唐．劉禹錫〈蜀先主廟〉詩：「天地英雄氣，千秋尚凜然。」
3.時候。如：「多事之秋」。《文選．諸葛亮．出師表》：「此誠危急存亡之秋也。」
4.姓。如清代有秋瑾。
[形]
喻衰老。宋．陸游〈南鄉子．早歲入皇州〉詞：「三十年來真一夢，堪愁。客路蕭蕭兩鬢秋。」</t>
  </si>
  <si>
    <t>楸</t>
  </si>
  <si>
    <t>[名]
植物名：(1)紫葳科梓屬，「梓」、「梓樹」之古稱，參見「梓」條。(2)大戟科野桐屬，小喬木，全株被褐色星狀毛。葉互生，卵圓形，基部具二枚圓形腺體。總狀或圓錐花序，雌雄異株，花瓣不存。蒴果圓球形，被軟刺及紅色腺體。也稱為「野桐」。(3)薔薇科蘋果屬，「海棠」、「楸子」之古稱，參見「海棠」條。</t>
  </si>
  <si>
    <t>萩</t>
  </si>
  <si>
    <t>[名]
一種蒿類植物。生長在河岸砂地，高達三尺，夏日開綠色花。</t>
  </si>
  <si>
    <t>鞦</t>
  </si>
  <si>
    <t>[名]
參見「鞦韆」條。</t>
  </si>
  <si>
    <t>鶖</t>
  </si>
  <si>
    <t>[名]
動物名。一種水鳥。似鶴而大，色青蒼。性極貪惡。長頸赤目，嘴扁直，頭上毛禿，故也稱為「禿鶖」。</t>
  </si>
  <si>
    <t>鰍</t>
  </si>
  <si>
    <t>[名]
動物名。脊椎動物亞門硬骨魚綱鰍科。形似鰻，體圓尾扁，色青黑，無鱗。常居於泥中。也稱為「泥鰍」。</t>
  </si>
  <si>
    <t>緧</t>
  </si>
  <si>
    <t>[名]
駕車時套在牛馬尾下的飾物。《說文解字．糸部》：「緧，馬紂也。」
[動]
駕車時在牛馬臀部加上皮帶。《周禮．冬官考工記．輈人》：「不援其邸，必緧其牛後，此無故，唯轅直且無橈也。」</t>
  </si>
  <si>
    <t>參見「龜茲」條。</t>
  </si>
  <si>
    <t>(一)ㄍㄨㄟ guī（04270）(二)ㄐㄩㄣ jūn（06163）</t>
  </si>
  <si>
    <t>仇</t>
  </si>
  <si>
    <t>ㄑㄧㄡˊ</t>
  </si>
  <si>
    <t>qiú</t>
  </si>
  <si>
    <t>[名]
1.配偶。三國魏．曹植〈七啟〉：「望雲際兮有好仇，天路長兮往無由。」
2.同類、同輩。《文選．王粲．登樓賦》：「覽斯宇之所處兮，實顥敞而寡仇。」
3.姓。如漢代有仇景。</t>
  </si>
  <si>
    <t>(一)ㄔㄡˊ chóu（08320）</t>
  </si>
  <si>
    <t>厹</t>
  </si>
  <si>
    <t>[名]
三稜刃的矛。《詩經．秦風．小戎》：「俴駟孔群，厹矛鋈錞。」</t>
  </si>
  <si>
    <t>(一)ㄖㄡˊ róu（09193）</t>
  </si>
  <si>
    <t>犰</t>
  </si>
  <si>
    <t>參見「犰狳」條。</t>
  </si>
  <si>
    <t>朹</t>
  </si>
  <si>
    <t>參見「朹子」條。</t>
  </si>
  <si>
    <t>[名]
1.荒遠偏僻的地方。《說文解字．艸部》：「艽，遠荒。」《詩經．小雅．小明》：「我征徂西，至于艽野。」
2.獸蓐，野獸巢穴裡的墊草。《淮南子．原道》：「禽獸有艽，人民有室。」漢．高誘．注：「艽，蓐也。」</t>
  </si>
  <si>
    <t>(二)ㄐㄧㄠ jiāo（05627）</t>
  </si>
  <si>
    <t>[動]
強迫、逼迫。《說文解字．言部》：「訄，迫也。」清．段玉裁．注：「今俗謂逼迫人有所為曰『訄』。」</t>
  </si>
  <si>
    <t>(二)ㄎㄠ kāo（04476）</t>
  </si>
  <si>
    <t>(一)ㄎㄨㄟˊ kuí（04619）</t>
  </si>
  <si>
    <t>鼽</t>
  </si>
  <si>
    <t>[動]
因傷風感冒而鼻塞。《說文解字．鼻部》：「鼽，病寒鼻窒也。」《淮南子．時則》：「冬藏殃敗，民多鼽窒。」</t>
  </si>
  <si>
    <t>囚</t>
  </si>
  <si>
    <t>[動]
拘禁。如：「囚禁」、「被囚」。《書經．蔡仲之命》：「囚蔡叔于郭鄰。」《史記．卷六二．管晏傳》：「及小白立為桓公，公子糾死，管仲囚焉。」
[名]
被拘禁的犯人或俘虜。如：「死囚」、「敵囚」。南朝宋．劉義慶《世說新語．言語》：「當共戮力王室，克復神州，何至作楚囚相對？」宋．歐陽修〈縱囚論〉：「其囚及期，而卒自歸無後者，是君子之所難，而小人之所易也。」</t>
  </si>
  <si>
    <t>泅</t>
  </si>
  <si>
    <t>[動]
浮游於水上，即游泳。如：「泅水」。宋．陸游〈思歸引〉：「善泅不如穩乘舟，善騎不如謹持轡。」</t>
  </si>
  <si>
    <t>求</t>
  </si>
  <si>
    <t>[動]
1.找尋、探索、設法得到。如：「尋求」、「探求」、「實事求是」、「緣木求魚」。《呂氏春秋．慎大覽．察今》：「舟已行矣，而劍不行，求劍若此，不亦惑乎！」
2.懇託、乞助。如：「求助」、「懇求」、「乞求」、「祈求」、「請求」。《後漢書．卷八二．方術傳下．華佗傳》：「又有疾者，詣佗求療。」
3.要求。如：「苛求」、「求全責備」。《論語．微子》：「無求備於一人。」《論語．衛靈公》：「君子求諸己，小人求諸人。」
4.貪圖。《論語．子罕》：「不忮不求，何用不臧！」唐．徐夤〈潤屋〉詩：「潤屋豐家莫妄求，眼看多是與身讎。」
5.招引。《易經．乾卦．文言曰》：「同聲相應，同氣相求。」《孟子．公孫丑上》：「今國家間暇，及是時般樂怠敖，是自求禍也。」
[名]
姓。如漢代有求仲。</t>
  </si>
  <si>
    <t>俅</t>
  </si>
  <si>
    <t>參見「俅俅」條。</t>
  </si>
  <si>
    <t>球</t>
  </si>
  <si>
    <t>[名]
1.美玉。《書經．禹貢》：「厥貢惟球、琳、瑯玕浮于積石，至于龍門西河，會于渭汭。」《說文解字．玉部》：「球，玉也。」
2.玉製的打擊樂器。《書經．益稷》：「戛擊鳴球，摶拊琴瑟以詠。」南朝梁．劉勰《文心雕龍．原道》：「泉石激韻，和若球鍠。」
3.數學上指以半圓的直徑為軸，使半圓旋轉一周而成，且由中心至表面各點距離皆相等的立體。如：「球體」。
4.球形或似球形的物體。如：「地球」、「彩球」、「煤球」、「紅血球」。
5.球類運動中所用的主要器材。如：「籃球」、「棒球」、「乒乓球」、「橄欖球」。
6.量詞。計算球狀物的單位。如：「兩球毛線」、「兩球冰淇淋」。</t>
  </si>
  <si>
    <t>逑</t>
  </si>
  <si>
    <t>[動]
聚合。《說文解字．辵部》：「逑，斂聚也。」《詩經．大雅．民勞》：「惠此中國，以為民逑。」
[名]
配偶。《詩經．周南．關雎》：「窈窕淑女，君子好逑。」</t>
  </si>
  <si>
    <t>毬</t>
  </si>
  <si>
    <t>[名]
1.一種古代遊戲時所用的圓球。以皮為之，中實以毛，供拍擊、投擲、踢蹴之用。唐．白居易〈洛橋寒食日作十韻〉：「蹴毬塵不起，潑火雨新晴。」
2.泛指圓形成團的物體。如：「花毬」、「絲毬」。唐．姚合〈對月〉詩：「一片黑雲何處起，皁羅籠卻水精毬。」元．關漢卿《望江亭》第一折：「誰家美女顏如玉，綵毬偏愛擲貧儒。」</t>
  </si>
  <si>
    <t>裘</t>
  </si>
  <si>
    <t>[名]
1.皮衣。如：「輕裘」、「貂裘」、「皮裘」。唐．李白〈將進酒〉：「五花馬，千金裘，呼兒將出換美酒，與爾同銷萬古愁。」宋．劉克莊〈苦寒行〉：「十月邊頭風色惡，官軍身上衣裘薄。」
2.姓。如宋代有裘萬頃。</t>
  </si>
  <si>
    <t>絿</t>
  </si>
  <si>
    <t>[形]
急躁。《說文解字．糸部》：「絿，急也。」《詩經．商頌．長發》：「不競不絿，不剛不柔。」</t>
  </si>
  <si>
    <t>賕</t>
  </si>
  <si>
    <t>[名]
賄賂。用來買通別人的財物。《史記．卷一二六．滑稽傳．優孟傳》：「身死家室富，又恐受賕枉法。」
[動]
行賄或受賄。《明史．卷二〇二．胡松傳》：「伊王欲拓其洛陽府第，計直十萬金，以十二賕嚴嵩，期必得。」</t>
  </si>
  <si>
    <t>觩</t>
  </si>
  <si>
    <t>[形]
1.犄角向上彎曲的樣子。《詩經．小雅．桑扈》：「兕觥其觩，旨酒思柔。」
2.弦撐得很緊的樣子。《詩經．魯頌．泮水》：「角弓其觩，束矢其搜。」</t>
  </si>
  <si>
    <t>銶</t>
  </si>
  <si>
    <t>[名]
一種鑿子。《詩經．豳風．破斧》：「既破我斧，又缺我銶。」漢．鄭玄．箋：「韓詩云：『鑿屬也。』一解云：『今之獨頭斧。』」</t>
  </si>
  <si>
    <t>虯</t>
  </si>
  <si>
    <t>[名]_x000D_
1.古代傳說中的無角龍。《楚辭．屈原．天問》：「焉有虯龍，負熊以遊。」漢．王逸．注：「無角曰虯。」《淮南子．覽冥》：「乘雷車，服駕應龍。驂青虯，援絕瑞，席蘿圖，黃雲絡。」漢．高誘．注：「有角為龍，無角為虯。」_x000D_
2.古代傳說中的有角龍。《文選．卷一一．賦．何晏．景福殿賦》：「如螭之蟠，如虯之停。」李善注引《廣雅》：『無角曰螭龍，有角曰虯龍。』」明．李時珍《本草綱目．卷四三．鱗部一．蛟龍》：「按任昉《述異記》云：『蛟乃龍屬，其眉交生，故謂之蛟。有鱗曰蛟龍，有翼曰應龍，有角曰虯龍，無角曰螭龍也。』」_x000D_
3.龍的通稱。《後漢書．卷二八下．馮衍傳》：「駟素虯而馳騁兮，乘翠雲而相佯。」《文選．卷三五．七．張協．七命八首之三》：「陰虯負檐，陽馬承阿。」唐．李善．注：「虯，龍也。」_x000D_
[形]_x000D_
蜷曲。唐．李頎〈送陳章甫〉詩：「陳侯立身何坦蕩，虯鬚虎眉仍大顙。」《醒世姻緣傳》第三四回：「只見一個人長身闊膀，黑面虯髯，好似西洋賈胡一般走來。」</t>
  </si>
  <si>
    <t>觓</t>
  </si>
  <si>
    <t>[形]
犄角向上彎曲的樣子。《集韻．平聲．幽韻》：「觓，《說文》：『角貌。』引《詩》：『兕觵其觓。』」《穀梁傳．成公七年》：「郊牛日，展觓角而知傷。」</t>
  </si>
  <si>
    <t>酋</t>
  </si>
  <si>
    <t>[名]
首領。如：「酋長」、「匪酋」、「賊酋」。《北史．卷六六．李和傳》：「父僧養，以累世雄豪，為夏州酋。」</t>
  </si>
  <si>
    <t>遒</t>
  </si>
  <si>
    <t>[動]
1.迫近。三國魏．曹植〈箜篌引〉：「盛時不可再，百年忽我遒。」《文選．潘岳．秋興賦》：「悟時歲之遒盡兮，慨俛首而自省。」
2.聚集。《詩經．豳風．破斧》：「周公東征，四國是遒。」《左傳．成公二年》：「布政優優，百祿是遒。」
3.終、盡。《文選．班固．答賓戲》：「〈說難〉既遒，其身乃囚。」宋．陸游〈北望感懷〉詩：「大事竟為朋黨誤，遺民空歎歲時遒。」
[形]
剛健、強勁有力。《三國志．卷二一．魏書．王粲傳》：「公幹有逸氣，但未遒耳。」宋．陸游〈江樓醉中作〉詩：「淋漓百榼宴江樓，秉燭揮毫氣尚遒。」</t>
  </si>
  <si>
    <t>[名]
1.參見「蝤蠐」條。
2.一種昆蟲。通「蝣」。參見「蜉蝣」條。</t>
  </si>
  <si>
    <t>(二)ㄐㄧㄡ jiū（05704）</t>
  </si>
  <si>
    <t>璆</t>
  </si>
  <si>
    <t>[名]
美玉。可製磬。晉．劉琨〈重贈盧諶詩〉：「握中有玄璧，本自荊山璆。」
[擬]
形容玉器相撞擊的聲音。《史記．卷四七．孔子世家》：「夫人自帷中再拜，環珮玉聲璆然。」</t>
  </si>
  <si>
    <t>糗</t>
  </si>
  <si>
    <t>ㄑㄧㄡˇ</t>
  </si>
  <si>
    <t>qiǔ</t>
  </si>
  <si>
    <t>[名]
1.乾糧。《孟子．盡心下》：「舜之飯糗茹草也，若將終身焉。」唐．柳宗元〈零陵三亭記〉：「雞豚糗醑，得及宗族。」
2.姓。如漢代有糗宗。
[動]
黏在一起。如：「麵煮好不吃，一會兒就糗了！」
[形]
形容當場出醜，不知所措的樣子。如：「好糗」、「糗呆了」。</t>
  </si>
  <si>
    <t>千</t>
  </si>
  <si>
    <t>ㄑㄧㄢ</t>
  </si>
  <si>
    <t>qiān</t>
  </si>
  <si>
    <t>[名]
1.數目字。十的百倍。《說文解字．十部》：「千，十百也。」大寫作「仟」。
2.姓。如漢代有千獻。
[形]
眾多。如：「千方百計」、「千山萬水」。《老子》第六四章：「千里之行，始於足下。」唐．李白〈將進酒〉：「天生我材必有用，千金散盡還復來。」</t>
  </si>
  <si>
    <t>仟</t>
  </si>
  <si>
    <t>[名]
1.千的大寫。
2.職官名。古代軍隊中一千人的指揮者。《史記．卷四八．陳涉世家》：「躡足行伍之閒，俛仰仟佰之中。」唐．司馬貞．索隱：「仟佰，謂千人百人之長也。」
3.田間的小路。通「阡」。《漢書．卷二四．食貨志上》：「壞井田，開仟伯。」唐．顏師古．注：「仟伯，田間之道也。南北曰仟，東西曰伯。」</t>
  </si>
  <si>
    <t>扦</t>
  </si>
  <si>
    <t>[名]
細長而一端尖銳的棒形器物。俗稱為「扦子」，用來插物。如：「牙扦」、「鐵扦」
[動]
1.插、刺。如：「魚刺扦進牙縫裡。」
2.栽植法中的插枝法。如：「扦插」。明．徐光啟《農政全書．卷三七．種植．種法》：「於正二月上旬，取樹木嫩枝扦插，勝於種核。」</t>
  </si>
  <si>
    <t>阡</t>
  </si>
  <si>
    <t>[名]
1.田間南北向的小路。另有一說為東西向。《史記．卷五．秦本紀》：「為田開阡陌。」司馬貞索隱引《風俗通》曰：「南北曰阡，東西曰陌。河東以東西為阡，南北為陌。」三國魏．曹植〈送應氏詩〉二首之一：「遊子久不歸，不識陌與阡。」後泛指小路。元．關漢卿《竇娥冤》第三折：「要什麼素車白馬，斷送出古陌荒阡。」
2.墓前的道路。宋．歐陽修〈瀧岡阡表〉：「始克表於其阡。」
3.姓。如唐代有阡能。</t>
  </si>
  <si>
    <t>芊</t>
  </si>
  <si>
    <t>參見「芊芊」條。</t>
  </si>
  <si>
    <t>汧</t>
  </si>
  <si>
    <t>[名]
水泉溢出所形成的沼澤。《爾雅．釋水》：「汧，出不流。」晉．郭璞．注：「水流潛出便自停成汙池。」</t>
  </si>
  <si>
    <t>臤</t>
  </si>
  <si>
    <t>[形]
堅固。《說文解字．臤部》：「臤，堅也。」</t>
  </si>
  <si>
    <t>掔</t>
  </si>
  <si>
    <t>[動]
1.用手握緊。《說文解字．手部》「掔」字．清．段玉裁．注：「掔之言堅也，緊也，謂手持之固也。」《墨子．迎敵祠》：「令命昏緯狗、纂馬、掔緯。」
2.牽引。通「牽」。《史記．卷四三．鄭世家》：「楚王入自皇門，鄭襄公肉袒掔羊以迎。」
[形]
厚實。《爾雅．釋詁下》：「掔，厚也。」晉．郭璞．注：「掔然，厚貌。」</t>
  </si>
  <si>
    <t>慳</t>
  </si>
  <si>
    <t>[形]
吝嗇。如：「慳吝」、「寒慳」。唐．元稹〈臺中鞫獄憶開元觀舊事呈損之兼贈周兄四十韻〉：「漸大官漸貴，漸富心漸慳。」
[名]
吝嗇的人。《南史．卷一六．王玄謨傳》：「劉秀之儉吝，常呼為老慳。」
[動]
1.阻礙、磨難。元．貫雲石〈一枝花．柳垂翡翠條套．梁州〉曲：「常言道好事多慳，陡恁的千難萬難。」明．湯顯祖《紫釵記》第四二齣：「這恩愛前慳後慳，這姻緣左難右難。」
2.欠缺、缺少。如：「緣慳一面，兩人至今仍互不相識。」</t>
  </si>
  <si>
    <t>牽</t>
  </si>
  <si>
    <t>[動]
1.拉、挽引。如：「牽手」、「順手牽羊」。《孟子．梁惠王上》：「有牽牛過堂下者。」唐．杜甫〈兵車行〉：「牽衣頓足闌道哭，哭聲直上于雲霄。」
2.拘束、受制。如：「牽制」、「拘牽」。《呂氏春秋．離俗覽．離俗》：「不牽於勢。」《文選．鄒陽．獄中上書自明》：「此二國豈拘於俗，牽於世，繫奇偏之辭哉？」
3.連帶、涉及。如：「牽涉」、「牽連」。唐．元稹《鶯鶯傳》：「長安行樂之地，觸緒牽情。」唐．韋嗣立〈省刑罰疏〉：「楊豫之後，刑獄漸興，用法之伍，務於窮竟，連坐相牽，數年不絕。」
[名]
姓。如三國時魏國有牽招。</t>
  </si>
  <si>
    <t>[動]
把東西填入空隙。如：「鑲嵌」、「嵌石」。
[形]
險峻。南朝梁．沈約〈江南曲〉：「但令舟楫渡，寧計路嶄嵌。」唐．盧照鄰〈五悲文．悲昔遊〉：「因嵌巖以為室，就芬芳以列筵。」</t>
  </si>
  <si>
    <t>(二)ㄑㄧㄢˋ qiàn（06489）(三)ㄎㄢˇ kǎn（04510A）</t>
  </si>
  <si>
    <t>嗛</t>
  </si>
  <si>
    <t>[形]
虛心而不自大。同「謙」。《漢書．卷五七．司馬相如傳下》：「陛下嗛讓而弗發也。」</t>
  </si>
  <si>
    <t>(二)ㄒㄧㄢˊ xián（07104）(三)ㄑㄧㄢˇ qiǎn（06483）(四)ㄑㄧㄢˋ qiàn（06498）</t>
  </si>
  <si>
    <t>謙</t>
  </si>
  <si>
    <t>[形]
敬讓而不自大。如：「謙虛」、「謙卑」、「謙和」。《書經．大禹謨》：「滿招損，謙受益。」唐．魏徵〈論時政疏〉：「念高危，則思謙沖以自牧。」
[名]
《易經》卦名。六十四卦之一。艮（☶）下坤（☷）上。象內止外順而終有成之義。</t>
  </si>
  <si>
    <t>(二)ㄑㄧㄢˋ qiàn（06500）</t>
  </si>
  <si>
    <t>鉛</t>
  </si>
  <si>
    <t>[名]
（lead，Pb）化學元素。原子序82。金屬元素之一。色青質軟有延展性，置於空氣中則氧化迅速。為電的不良導體，抗腐蝕性強，但具有累積毒性。可與其他金屬化合而製成蓄電池、電纜外皮、防X射線的材料等，用途甚廣。</t>
  </si>
  <si>
    <t>(二)ㄧㄢˊ yán（10961）</t>
  </si>
  <si>
    <t>僉</t>
  </si>
  <si>
    <t>[副]
皆、全部。《書經．堯典》「僉曰：『於！鯀哉。』」句下唐．孔穎達．正義：「僉，皆也。」《三國志．卷四一．蜀書．張裔傳》：「此賢愚之所以僉忘其身者也。」
[代]
眾人、大家的代稱。《楚辭．屈原．天問》：「僉曰：『何憂？』」漢．王逸．注：「僉，眾也。」
[名]
姓。如明代有僉陽。</t>
  </si>
  <si>
    <t>簽</t>
  </si>
  <si>
    <t>[動]
在文書上題字、題名，以示負責或作為紀念。如：「簽名」、「簽字」、「簽押」。
[名]
作為標示之用的小紙條。通「籤」。如：「標簽」、「浮簽」、「簽條」。</t>
  </si>
  <si>
    <t>愆</t>
  </si>
  <si>
    <t>[名]
過失、罪過。如：「愆尤」、「罪愆」。《論語．季氏》：「侍於君子有三愆。」《三國志．卷三五．蜀書．諸葛亮傳》：「街亭之役，咎由馬謖，而君引愆，深自貶抑。」
[動]
耽擱、錯過。《文選．謝混．遊西池詩》：「美人愆歲月，遲暮獨如何？」《聊齋志異．卷一一．王者》：「途中被雨，日暮愆程。」
[形]
過期的。《國語．吳語》：「舍其愆令，輕其征賦。」</t>
  </si>
  <si>
    <t>搴</t>
  </si>
  <si>
    <t>[動]
1.拔取、採取。《楚辭．屈原．九歌．湘君》：「采薜荔兮水中，搴芙蓉兮木末。」《漢書．卷六二．司馬遷傳》：「攻城野戰，有斬將搴旗之功。」
2.扛舉。《西遊記》第六〇回：「沒奈何，只得搴在肩上，找舊路而回。」
3.揭、撩。晉．陶淵明〈閑情賦〉：「搴朱幃而正坐，汎清瑟以自欣。」唐．孟浩然〈清明日宴梅道士山房〉詩：「林臥愁春盡，搴帷覽物華。」
[名]
姓。如漢代有搴揚。</t>
  </si>
  <si>
    <t>褰</t>
  </si>
  <si>
    <t>[名]
套褲。《說文解字．衣部》：「褰，褲也。」《左傳．昭公二十五年》：「公在乾侯，徵褰與襦。」
[動]
1.提起、揭起。《詩經．鄭風．褰裳》：「子惠思我，褰裳涉溱。」唐．孟浩然〈題長安主人壁〉詩：「枕席琴書滿，褰帷遠岫連。」
2.開、散開。《文選．孫綽．遊天台山賦》：「爾乃羲和亭午，遊氣高褰。」北魏．酈道元《水經注．江水注》：「自非煙褰雨霽，不辨見此遠山矣。」</t>
  </si>
  <si>
    <t>[動]
1.虧損、損壞。《詩經．小雅．天保》：「如南山之壽，不騫不崩。」
2.高舉。唐．李華〈含元殿賦〉：「進而仰之，騫龍首而張鳳翼。」
3.飛起。唐．杜甫〈寄岳州賈司馬六丈巴州嚴八使君兩閣老五十韻〉：「如公盡雄俊，志在必騰騫。」
4.拔取。通「搴」。《漢書．卷九〇．酷吏傳．楊樸傳》：「將軍之功，獨有先破石門、尋陿，非有斬將騫旗之實也。」
5.錯過、延誤。通「愆」。《文選．劉琨．扶風歌》：「惟昔李騫期，寄在匈奴庭。」
[名]
1.過錯。通「愆」。《荀子．正名》：「長夜漫兮，永思騫兮。」
2.姓。如漢代有騫包。</t>
  </si>
  <si>
    <t>(二)ㄐㄧㄢˇ jiǎn（05791）</t>
  </si>
  <si>
    <t>遷</t>
  </si>
  <si>
    <t>[動]
1.變換地方。如：「遷居」、「遷移」。《書經．盤庚上》：「盤庚五遷，將治亳殷。」《楚辭．屈原．九章．哀郢》：「方仲春而東遷。」
2.改變、轉移。如：「見異思遷」、「事過境遷」。《論語．雍也》：「不遷怒，不貳過。」《文選．陸機．文賦》：「其為物也多姿，其為體也屢遷。」
3.晉升。《漢書．卷八一．張禹傳》：「由是遷光祿大夫。」《文選．嵇康．與山巨源絕交書》：「間聞足下遷，惕然不喜。」
4.貶謫、降職。《史記．卷九十六．張丞相傳》：「吾極知其左遷。」宋．柳宗元〈哭連州凌員外司馬〉詩：「出守烏江滸，老遷湟水湄。」
[形]
被貶的。如：「遷客騷人」。</t>
  </si>
  <si>
    <t>韆</t>
  </si>
  <si>
    <t>參見「鞦韆」條。</t>
  </si>
  <si>
    <t>鋟</t>
  </si>
  <si>
    <t>[形]
尖銳。《集韻．平聲．鹽韻》：「鋟，《博雅》：銳也。」
[動]
雕刻。宋．陸子虡〈劍南詩稿跋〉：「門人請以鋟梓。」《清史稿．卷二七．天文志二》：「圈內規面及上側面皆鋟二十四時，時各四刻。」</t>
  </si>
  <si>
    <t>(二)（又音）ㄑㄧㄣˇ qǐn（06529）</t>
  </si>
  <si>
    <t>鵮</t>
  </si>
  <si>
    <t>[動]
1.鳥啄食東西。《廣韻．平聲．咸韻》：「鵮，鳥啄物也。」唐．章孝標〈鷹〉詩：「可惜忍飢寒日暮，向人鵮斷碧絲絛。」
2.比喻用言語諷刺人。如：「兩句話就鵮得他臉紅。」</t>
  </si>
  <si>
    <t>籤</t>
  </si>
  <si>
    <t>[名]
1.一種占卜用具。用來求神問佛、占卜吉凶的細長竹條。如：「抽籤」、「求籤」。
2.可書寫文字，作為標記之用的紙片。如：「書籤」、「標籤」。
3.用竹子或木材製成的尖細條狀物。通「扦」。如：「牙籤」、「竹籤」。
4.一種賭博用具。其上刻有骨牌點，視點數多寡以決勝負。也稱為「籤子」、「籤兒」。</t>
  </si>
  <si>
    <t>岒</t>
  </si>
  <si>
    <t>ㄑㄧㄢˊ</t>
  </si>
  <si>
    <t>qián</t>
  </si>
  <si>
    <t>[形]
岒峨：高下不齊的樣子。《楚辭．東方朔．七諫．怨世》：「世沉淖而難論兮，俗岒峨而嵾嵯。」漢．王逸．注：「岒峨、嵾嵯，不齊貌。」</t>
  </si>
  <si>
    <t>鈐</t>
  </si>
  <si>
    <t>[名]
1.車轄。車軸頭上用來拴住車輪的鐵鍵。《玉篇．金部》：「鈐，車轄也。」
2.鎖、關鍵。參見「鈐鍵」條。
3.圖章。如：「鈐記」。《官場現形記》第四四回：「預選吉日是第二天臘月十九，接鈐任事。」
4.烘茶葉的器具。如：「茶鈐」。
[動]
1.用印、蓋章。清．楊引傳〈浮生六記序〉：「鈐於簡端。」
2.管束、鎮壓。唐．呂溫〈故太子少保贈尚書左僕射京兆韋府君神道碑〉：「仁護鰥惸，智鈐豪右。」《紅樓夢》第七九回：「須要拿出些威風來，纔鈐壓得住人。」</t>
  </si>
  <si>
    <t>黔</t>
  </si>
  <si>
    <t>[名]
1.黑色。清．王念孫《廣雅疏證．卷八上．釋器》：「黔，黑也。」《左傳．襄公十七年》：「澤門之皙，實與我役；邑中之黔，實慰我心。」
2.大陸地區貴州省的簡稱。貴州省在戰國時屬楚黔中地，故稱為「黔」。
3.姓。如春秋時齊國有黔敖。
[動]
晒黑、熏黑。《莊子．天運》：「夫鵠不日浴而白，烏不日黔而黑。」唐．陸龜蒙〈秋日遣懷十六韻寄道侶〉詩：「故疾因秋召，塵容畏日黔。」
[形]
黑色的。《淮南子．脩務》：「孔子無黔突，墨子無暖席。」</t>
  </si>
  <si>
    <t>拑</t>
  </si>
  <si>
    <t>[動]
1.脅持、挾持。如：「拑制」。《說文解字．手部》：「拑，脅持也。」清．段玉裁．注：「謂脅制而持之也。」《戰國策．燕策二》：「蚌方出曝，而鷸啄其肉，蚌合而拑其喙。」
2.以木橫置於馬口，使馬不能食。《文選．顏延年．陽給事誄》：「卒無半菽，馬實拑秣。」
3.閉口。《史記．卷六．秦始皇本紀．太史公曰》：「故使天下之士，傾耳而聽，重足而立，拑口而不言。」《紅樓夢》第二二回：「今日賈政在席，也是拑口禁言。」</t>
  </si>
  <si>
    <t>[動]
置橫木於馬口，使不能食。通「拑」。《公羊傳．宣公十五年》：「柑馬而秣之。」漢．何休．解詁：「柑者，以木銜其口，不欲令食粟，示有畜積。」</t>
  </si>
  <si>
    <t>(一)ㄍㄢ gān（04055）</t>
  </si>
  <si>
    <t>鉗</t>
  </si>
  <si>
    <t>[名]
1.一種古代的刑具。用來鎖住犯人脖子的鐵器。《漢書．卷六六．陳萬年傳》：「或私解脫鉗釱，衣服不如法，輒加罪笞。」《舊唐書．卷五〇．刑法志》：「又繫囚之具，有枷、杻、鉗、鎖，皆有長短廣狹之制，量罪輕重，節級用之。」
2.夾東西的用具。通「箝」。如：「火鉗」、「老虎鉗」。
[動]
1.用鐵器鎖住犯人的脖子。《史記．卷一〇〇．季布傳》：「迺髡鉗季布，衣褐衣，置柳車中。」《漢書．卷三六．楚元王劉交傳》：「楚人將鉗我於市。」
2.閉口。通「拑」、「箝」。《莊子．田子方》：「口鉗而不欲言。」《文選．潘岳．西征賦》：「假讒逆以天權，鉗眾口而寄坐。」
[形]
惡。《呂氏春秋．士容論．審時》：「小米鉗而不香。」</t>
  </si>
  <si>
    <t>箝</t>
  </si>
  <si>
    <t>[名]
夾東西的用具。如：「箝子」、「火箝」。
[動]
1.夾住。如：「箝出燒紅的煤炭。」
2.閉口。如：「箝口」、「箝語」。</t>
  </si>
  <si>
    <t>黚</t>
  </si>
  <si>
    <t>[名]
1.淺黃黑色。《說文解字．黑部》：「黚，淺黃黑也。」
2.河流名。在今大陸地區四川省。《漢書．卷二八．地理志上》：「溫水南至鄨入黚水，黚水亦南至鄨入江。」</t>
  </si>
  <si>
    <t>前</t>
  </si>
  <si>
    <t>[形]
1.在正面的、臉所向的一面。與「後」相對。如：「前門」、「前方」、「面前」。《論語．子罕》：「瞻之在前，忽焉在後。」唐．李白〈靜夜思〉詩：「床前明月光，疑是地上霜。」
2.次序在先的。如：「前三名」、「請大家坐到前排來。」
3.過去的、較早的。與「後」相對。如：「前天」、「前人種樹，後人乘涼。」《史記．卷六．秦始皇本紀》云：「前事之不忘，後事之師也。」
4.已成歷史的。如：「前清」、「前蘇聯」。
5.前任的簡稱。如：「前妻」、「前總理」。
6.未來的。如：「前程」、「前途」、「前景看好」。
[動]
向前走。如：「勇往直前」、「畏縮不前」。唐．韓愈〈左遷至藍關示姪孫湘〉詩：「雲橫秦嶺家何在？雪擁藍關馬不前。」</t>
  </si>
  <si>
    <t>赶</t>
  </si>
  <si>
    <t>[動]
1.動物翹著尾巴跑。《說文解字．走部》：「赶，舉尾走也。」
2.馬奔馳。《集韻．平聲．仙韻》：「赶，馬走。」</t>
  </si>
  <si>
    <t>(二)ㄍㄢˇ gǎn（▲04063）</t>
  </si>
  <si>
    <t>虔</t>
  </si>
  <si>
    <t>[形]
恭敬有誠意的。如：「虔誠」、「虔敬」。《左傳．成公．十六年》：「虔卜於先君也。」
[動]
1.殺害。漢．揚雄《方言》卷三：「虔、散，殺也。東齊曰散。青、徐、淮、楚之間曰虔。」《左傳．成公十三年》：「芟夷我農功，虔劉我邊陲。」
2.強取、掠奪。《漢書．卷六．武帝紀》：「將百姓所安殊路，而撟虔吏因乘勢以侵蒸庶邪？」顏師古注引韋昭曰：「凡稱詐為矯，強取為虔。」</t>
  </si>
  <si>
    <t>[名]
1.《易經》卦名：(1)八卦之一。卦形是☰，代表天、陽等之義。(2)六十四卦之一。乾（☰）下乾（☰）上。象徵君子應自強不息，努力永不懈怠之義。
2.姓。如唐代有乾彥思。
[形]
陽剛的、男性的。如：「乾造」、「乾宅」。《易經．繫辭上》：「乾道成男，坤道成女。」</t>
  </si>
  <si>
    <t>(二)ㄍㄢ gān（04058）</t>
  </si>
  <si>
    <t>墘</t>
  </si>
  <si>
    <t>[名]_x000D_
臺灣地名用字，指某處的邊緣、岸、畔。如：「埔墘」、「港墘」。</t>
  </si>
  <si>
    <t>掮</t>
  </si>
  <si>
    <t>[動]
用肩扛東西。《儒林外史》第一四回：「掮著一把傘，手裡拿著一個衣包。」</t>
  </si>
  <si>
    <t>[動]
1.揚、舉。《集韻．平聲．仙韻》：「揵，舉也。」《文選．司馬相如．上林賦》：「揵鰭掉尾，振鱗奮翼。」李善注引郭璞曰：「揵，舉也。」
2.用肩扛東西。《字彙．手部》：「揵，以肩舉物也。」《後漢書．卷二九．輿服志上》：「持棨戟為前列，揵弓韣九鞬。」
3.豎立。《後漢書．卷二八下．馮衍傳》：「揵六枳而為籬兮，築蕙若而為室。」唐．章懷太子．注：「揵，立也。」</t>
  </si>
  <si>
    <t>(二)ㄐㄧㄢˋ jiàn（05802）</t>
  </si>
  <si>
    <t>[名]
地名用字：(1)如大陸地區四川犍為縣北的犍為山，一名大鹿山。(2)如大陸地區四川省的犍為縣。</t>
  </si>
  <si>
    <t>(一)ㄐㄧㄢ jiān（05757）</t>
  </si>
  <si>
    <t>潛</t>
  </si>
  <si>
    <t>[動]
1.入水，在水面下活動。如：「潛水」、「鳥飛魚潛」。《左傳．哀公十七年》：「越子以三軍潛涉，當吳中軍而鼓之。」
2.深藏、隱藏。如：「潛藏」、「潛伏」。唐．杜甫〈奉贈韋左丞丈二十二韻〉：「殘杯與冷炙，到處潛悲辛。」宋．范仲淹〈岳陽樓記〉：「日星隱曜，山岳潛形。」
[形]
隱藏的。《易經．乾卦．初九》：「潛龍勿用。」宋．蘇軾〈赤壁賦〉：「舞幽壑之潛蛟，泣孤舟之嫠婦。」
[副]
祕密的、暗中的。如：「潛心默禱」。晉．陶淵明《搜神後記》卷五：「後以雞鳴出去，平早潛歸。」唐．杜甫〈哀江頭〉詩：「少陵野老吞聲哭，春日潛行曲江曲。」
[名]
《詩經．周頌》的篇名。共一章。根據〈詩序〉：「〈潛〉，季冬薦魚，春獻鮪也。」指季冬獻魚，春獻鮪，以祀祖先之詩。本章二句為：「猗與漆沮，潛有多魚。」</t>
  </si>
  <si>
    <t>灊</t>
  </si>
  <si>
    <t>[名]
1.參見「灊水」條。
2.縣名。故城在今大陸地區安徽省霍山縣東北三十里。《讀史方輿紀要．卷二六．江南八．廬州府》：「灊城，春秋時楚之潛邑，……漢置灊縣，屬廬江郡。」</t>
  </si>
  <si>
    <t>燂</t>
  </si>
  <si>
    <t>[動]
1.燒熱。《說文解字．火部》：「燂，火熱也。」《禮記．內則》：「五日則燂湯請浴，三日具沐其間。」
2.烤熟。《集韻．平聲．侵韻》：「燂，火孰物。」《周禮．冬官考工記．弓人》：「撟角欲孰於火而無燂。」</t>
  </si>
  <si>
    <t>[名]
1.貨幣的通稱。如：「錢幣」、「銅錢」、「五銖錢」。
2.泛指錢財。如：「值錢」、「有錢有勢」。《宋史．卷三六五．岳飛傳》：「文臣不愛錢，武臣不惜死，天下太平矣。」
3.費用、款項。如：「車錢」、「飯錢」、「價錢」、「會錢」。
4.形狀像錢的東西。如：「榆錢」、「地錢」。《文選．沈約．冬節後至丞相第詣世子車中詩》：「賓階綠錢滿，客位紫苔生。」
5.量詞。計算重量的單位。公制一錢等於百分之一公斤，一臺錢等於十分之一臺兩。
6.姓。如清代有錢大昕。
[形]
裝錢用的。如：「錢包」、「錢櫃」、「錢筒」。</t>
  </si>
  <si>
    <t>(二)ㄐㄧㄢˇ jiǎn（05780）</t>
  </si>
  <si>
    <t>(一)ㄐㄧㄢˋ jiàn（05820）</t>
  </si>
  <si>
    <t>ㄑㄧㄢˇ</t>
  </si>
  <si>
    <t>qiǎn</t>
  </si>
  <si>
    <t>[形]
1.水不深。如：「淺海」、「龍困淺灘」。《詩經．邶風．匏有苦葉》：「深則厲，淺則揭。」唐．韋應物〈授衣還田里〉詩：「山明始重疊，川淺更逶迤。」
2.上下、內外的距離小。如：「這院子很淺。」唐．王周〈過武寧縣〉詩：「岸回驚水急，山淺見天多。」
3.時間不長、不久。如：「時日尚淺」、「享國日淺」。唐．祖詠〈家園夜坐寄郭微〉詩：「月出夜方淺，水涼池更深。」
4.不深厚。如：「情深緣淺」、「交淺言深」。
5.簡明容易了解。如：「淺白」、「淺顯易懂」。漢．王充《論衡．自紀》：「何以為辯？喻深以淺。」
6.學識智謀粗陋、程度低。如：「淺薄」、「膚淺」、「才疏學淺」。《後漢書．卷二八上．桓譚傳》：「自子貢以下，不得而聞，況後世淺儒，能通之乎？」
7.顏色淡。如：「淺黃」、「淺綠」。《儒林外史》第四回：「烏紗帽，淺色員領。」
[副]
少量、稍微。如：「淺嚐」、「淺酌」、「淺笑」、「淺斟低唱」。
[名]
姓。如漢代有淺密。</t>
  </si>
  <si>
    <t>(二)ㄐㄧㄢ jiān（05734）</t>
  </si>
  <si>
    <t>[名]
1.猴類頰裡貯放食物的地方。《廣韻．上聲．忝韻》：「嗛，猿藏食處。」唐．柳宗元〈憎王孫文．序〉：「竊取人食，皆知自實其嗛。」
2.參見「嗛嗛」條。</t>
  </si>
  <si>
    <t>(一)ㄑㄧㄢ qiān（06448）(二)ㄒㄧㄢˊ xián（07104）(四)ㄑㄧㄢˋ qiàn（06498）</t>
  </si>
  <si>
    <t>遣</t>
  </si>
  <si>
    <t>[動]
1.差使、派發。如：「差遣」、「先遣部隊」、「調兵遣將」。《墨子．非儒下》：「乃遣子貢之齊，因南郭惠子，以見田常。」
2.釋放、放走。如：「遣散」。《後漢書．卷一．光武帝紀上》：「輒平遣囚徒，除王莽苛政，復漢官名。」
3.放逐、貶謫。漢．王符《潛夫論．賢難》：「及太子問疾，帝令吮癰，有難之色，帝不悅而遣太子。」唐．韓愈〈柳子厚墓誌銘〉：「中山劉夢得禹錫亦在遣中。」
4.排解、消除。如：「消遣」、「排遣」。唐．杜甫〈白水縣崔少府十九翁高齋三十韻〉：「始知賢主人，贈此遣愁寂。」《紅樓夢》第五回：「趁著這奈何天、傷懷日、寂寥時，試遣愚衷。」
5.使、令。元．翁森〈四時讀書樂〉詩：「蹉跎莫遣韶光老，人生惟有讀書好。」</t>
  </si>
  <si>
    <t>繾</t>
  </si>
  <si>
    <t>參見「繾綣」條。</t>
  </si>
  <si>
    <t>譴</t>
  </si>
  <si>
    <t>[動]
1.責備。如：「天譴」、「譴責」。漢．王充《論衡．自紀》：「文貴夫順合眾心，不違人意，百人讀之莫譴，千人聞之莫怪。」
2.因罪受罰或被貶。如：「譴謫」。《元史．卷一七四．張孔孫傳》：「濫官放譴，不可復加任用。」
[名]
罪過。《北史．卷四〇．李彪傳》：「臣有大譴，則白冠氂纓盤水加劍，造室而請死。」明．湯顯祖《南柯記》第二三齣：「怎那經文呵，明寫著外面無干，偏則是女人之譴？」</t>
  </si>
  <si>
    <t>欠</t>
  </si>
  <si>
    <t>ㄑㄧㄢˋ</t>
  </si>
  <si>
    <t>qiàn</t>
  </si>
  <si>
    <t>[動]
1.累的時候，張嘴呵氣。如：「呵欠」。《儀禮．士相見禮》：「君子欠伸。」漢．鄭玄．注：「志倦則欠，體倦則伸。」
2.肢體稍上提移。如：「欠身」。《紅樓夢》第九七回：「那黛玉卻又把身子欠起，紫鵑只得兩隻手來扶著他。」
3.借人財物未還或該給而未給。如：「欠帳」、「欠薪水」。《紅樓夢》第五回：「欠命的命已還，欠淚的淚已盡。」
4.缺少。如：「你還欠多少？」、「這盤菜欠點兒鹽。」
[副]
不夠、缺乏。語氣較「不」稍委婉。如：「欠安」、「欠妥」、「欠考慮」。
[名]
1.債務。如：「舊欠未清」。
2.二一四部首之一。</t>
  </si>
  <si>
    <t>芡</t>
  </si>
  <si>
    <t>[名]_x000D_
1.植物名。睡蓮科，一年生草本。生於水中，葉圓大有刺。夏日莖端開紫花，花謝，結刺球，內有芡實數十枚。也稱為「雞頭」。_x000D_
2.芡實製成的粉末。加水後遇熱會糊化，烹飪時，可使湯汁變得濃稠。後泛指可用熱水調成糊狀的各種澱粉，如太白粉、玉米粉、藕粉、樹薯粉等。</t>
  </si>
  <si>
    <t>[形]
山林深邃的樣子。如：「嵌巉」、「嵌巖」。</t>
  </si>
  <si>
    <t>(一)ㄑㄧㄢ qiān（06447）(三)ㄎㄢˇ kǎn（04510A）</t>
  </si>
  <si>
    <t>俔</t>
  </si>
  <si>
    <t>[動]
譬喻。《廣韻．上聲．銑韻》：「俔，譬喻。」《詩經．大雅．大明》：「大邦有子，俔天之妹。」</t>
  </si>
  <si>
    <t>(二)ㄒㄧㄢˋ xiàn（07134）</t>
  </si>
  <si>
    <t>茜</t>
  </si>
  <si>
    <t>[名]
植物名。茜草科，茜草屬，「茜草」之古稱，參見「茜草」條。《醒世姻緣傳》第六回：「誰家茜草茜的，也會落色來？」
[動]
染成紅色。《醒世姻緣傳》第六回：「誰家茜草茜的，也會落色來？」
[形]
紅色的。唐．李商隱〈和鄭愚贈汝陽王孫家箏妓〉詩：「茜袖捧瓊姿，皎日丹霞起。」宋．劉子翬〈石榴〉詩：「庭榴結實墊芳叢，一夜飛霜染茜容。」</t>
  </si>
  <si>
    <t>倩</t>
  </si>
  <si>
    <t>[名]
1.古時男子的美稱。《漢書．卷八九．循吏傳．朱邑傳》：「昔陳平雖賢，須魏倩而後進。」唐．顏師古．注：「倩，士之美稱，故云魏倩也。」
2.女婿。如：「賢倩」、「妹倩」。《史記．卷一〇五．扁鵲倉公傳》：「黃氏諸倩見建家京下方石，即弄之。」
[形]
美好。如：「巧笑倩兮」、「倩女」。《紅樓夢》第三七回：「芳心一點嬌無力，倩影三更月有痕。」
[動]
請人代為做事。唐．杜甫〈九日藍田崔氏莊〉詩：「羞將短髮還吹帽，笑倩旁人為正冠。」宋．黃庭堅〈即席〉詩：「不當愛一醉，倒倩路人扶。」</t>
  </si>
  <si>
    <t>蒨</t>
  </si>
  <si>
    <t>[名]
茜草的別名。參見「茜草」條。
[形]
1.紅色的。同「茜」。《三國志．卷三〇．魏書．東夷傳》：「蒨絳五十匹，紺青五十匹，答汝所獻貢直。」宋．范成大〈四時田園雜興〉詩六〇首之七：「寒食花枝插滿頭，蒨裙青袂幾扁舟。」
2.參見「蒨蒨」條。</t>
  </si>
  <si>
    <t>[動]
拉開竹製的弓弩。《集韻．去聲．霰韻》：「箐，張竹弓弩曰箐。」
[名]
大陸滇黔地區稱大竹林或樹木叢生的山谷為「箐」。明．徐弘祖《徐霞客遊記．卷五下．滇遊日記三》：「又有一庵，前臨危箐，後倚峭峰。」</t>
  </si>
  <si>
    <t>(一)ㄐㄧㄥ jīng（05924）</t>
  </si>
  <si>
    <t>綪</t>
  </si>
  <si>
    <t>[名]
紅色的絲織品。《說文解字．糸部》：「綪，赤繒也。」《左傳．定公四年》：「分康叔以大路、少帛、綪茷。」</t>
  </si>
  <si>
    <t>傔</t>
  </si>
  <si>
    <t>[名]
侍從。《玉篇．人部》：「傔，侍從也。」《新唐書．卷一三五．封常清傳》：「嘗出軍，奏傔從三十餘人。」
[動]
滿足。《呂氏春秋．季秋紀．知士》：「揆吾家苟可以傔劑貌辨者，吾無辭為也。」</t>
  </si>
  <si>
    <t>[動]
1.不滿、怨恨。《玉篇．心部》：「慊，切齒恨也。」《禮記．坊記》：「貧不至於約，貴不慊於上，故亂益亡。」
2.不足、缺乏。《孟子．公孫丑下》：「彼以其爵，我以吾義，吾何慊乎哉？」</t>
  </si>
  <si>
    <t>(二)ㄑㄧㄝˋ qiè（06345）</t>
  </si>
  <si>
    <t>[形]
稻穀收成不好。通「歉」。《穀梁傳．襄公二十四年》：「一穀不升謂之嗛。」晉．范甯．集解：「嗛，不足貌。」</t>
  </si>
  <si>
    <t>(一)ㄑㄧㄢ qiān（06448）(二)ㄒㄧㄢˊ xián（07104）(三)ㄑㄧㄢˇ qiǎn（06483）</t>
  </si>
  <si>
    <t>歉</t>
  </si>
  <si>
    <t>[形]
農作物收成不好。如：「歉收」、「歉年」。《宋史．卷三四七．黃廉傳》：「是使民遇豐年而思歉歲也。」
[名]
對不起別人的心情。如：「抱歉」、「道歉」。</t>
  </si>
  <si>
    <t>[形]
滿足。通「愜」。《禮記．大學》：「此之謂自謙。」</t>
  </si>
  <si>
    <t>(一)ㄑㄧㄢ qiān（06449）</t>
  </si>
  <si>
    <t>塹</t>
  </si>
  <si>
    <t>[名]
1.坑、壕溝。亦指護城河。如：「溝塹」。《史記．卷八．高祖本紀》：「使高壘深塹，勿與戰。」《三國志．卷四七．吳書．吳主權傳》：「夏四月，大赦，詔諸郡縣治城郭，起譙樓，穿塹發渠，以備盜賊。」
2.險阻的地形。《南史．卷七七．恩倖傳．孔範傳》：「長江天塹，古來限隔。」
3.喻困難。如：「不經一塹，不長一智。」
4.參見「地塹」條。
[動]
挖溝。《左傳．昭公十七年》：「使隨人與後至者守之，環而塹之。」</t>
  </si>
  <si>
    <t>槧</t>
  </si>
  <si>
    <t>[名]
1.古時記事寫字用的木板。如：「懷鉛提槧」。漢．王充《論衡．量知》：「斷木為槧，析之為板，力加刮削，乃成奏牘。」
2.書札、書簡。宋．王令〈贈別晏成績懋父太祝〉詩：「幸因西南風，時作寄我槧。」
3.古書的版本。如：「古槧」、「宋槧」、「元槧」。宋．黃伯思《東觀餘論．卷下．跋洛陽所得杜少陵詩後》：「所錄杜子美詩，頗與今行槧本小異。」</t>
  </si>
  <si>
    <t>縴</t>
  </si>
  <si>
    <t>[名]
拉船前進的粗繩。如：「拉縴」、「縴繩」。《初刻拍案驚奇》卷一：「船上人見他這等模樣，都笑道：『文先生那裡又跎了縴來？』」</t>
  </si>
  <si>
    <t>侵</t>
  </si>
  <si>
    <t>ㄑㄧㄣ</t>
  </si>
  <si>
    <t>qīn</t>
  </si>
  <si>
    <t>[動]
1.強力進犯。如：「侵略」、「侵犯」、「侵占」、「入侵」。《左傳．僖公四年》：「齊侯以諸侯之師侵蔡。」《史記．卷一二四．游俠傳．序》：「豪暴侵淩孤弱，恣欲自快。」
2.逼近。唐．杜牧〈旅宿〉詩：「遠夢歸侵曉，家書到隔年。」宋．陸游〈秋夜讀書每以二鼓盡為節〉詩：「白髮無情侵老境，青燈有味似兒時。」
3.親近。《水滸傳》第三二回：「相貌堂堂強壯士，未侵女色少年郎。」</t>
  </si>
  <si>
    <t>駸</t>
  </si>
  <si>
    <t>參見「駸駸」條。</t>
  </si>
  <si>
    <t>衾</t>
  </si>
  <si>
    <t>[名]
1.大被子。《詩經．召南．小星》：「肅肅宵征，抱衾同裯。」唐．白居易〈長恨歌〉：「鴛鴦瓦冷霜華重，翡翠衾寒誰與共？」
2.殮屍用的被子。《孝經．喪親章》：「為之棺椁衣衾而舉之。」《孟子．梁惠王下》：「謂棺槨衣衾之美也。」</t>
  </si>
  <si>
    <t>(二)（又音）ㄑㄧㄣˊ qín（06513）</t>
  </si>
  <si>
    <t>欽</t>
  </si>
  <si>
    <t>[動]
尊敬、佩服。如：「欽佩」、「欽服」。南朝梁．劉勰《文心雕龍．祝盟》：「毖祀欽明，祝史惟談。」唐．李白〈經下邳圯橋懷張子房〉詩：「我來圯橋上，懷古欽英風。」
[名]
1.古代對皇帝尊稱的用語。如：「欽命」、「欽此」。《清史稿．卷一〇八．選舉志三》：「按應試人數多寡，欽定中額。」
2.姓。如清代有欽善。</t>
  </si>
  <si>
    <t>廞</t>
  </si>
  <si>
    <t>[動]
1.陳設。《說文解字．广部》：「廞，陳輿服於庭也。」《周禮．天官．司裘》：「大喪，廞裘飾皮車。」
2.興、作，指事情的開始、興起。《周禮．春官．笙師》：「大喪，廞其樂器；及葬，奉而藏之。」</t>
  </si>
  <si>
    <t>嶔</t>
  </si>
  <si>
    <t>參見「嶔崎」、「嶔崟」等條。</t>
  </si>
  <si>
    <t>親</t>
  </si>
  <si>
    <t>[名]
1.父母。亦單指父親或母親。如：「雙親」、「慈親」。《禮記．奔喪》：「始聞親喪。」《史記．卷九三．盧綰傳》：「盧綰親與高祖太上皇相愛，及生男，高祖、盧綰同日生。」
2.泛稱和自己有血緣或因婚姻而建立親戚關係的人。如：「近親」、「姻親」。唐．杜甫〈送遠〉詩：「親朋盡一哭，鞍馬去孤城。」
3.婚姻。如：「結親」、「成親」。
4.新娘。如：「娶親」、「迎親」。《兒女英雄傳》第二八回：「話表送親的張姑娘合褚大娘子扶著何玉鳳姑娘上了轎。」
5.關係密切，可以信任的人。《左傳．僖公二十四年》：「惠懷無親，內外棄之。」
6.情誼。《荀子．非相》：「夫禽獸有父子，而無父子之親。」
7.姓。如周代有親弗。
[動]
1.接近。《論語．學而》：「汎愛眾而親仁。」《孟子．離婁上》：「男女授受不親，禮也；嫂溺援之以手者，權也。」
2.愛。如：「相親相愛」。《孟子．滕文公上》：「人之親其兄之子，為若親其鄰之赤子乎？」
3.接吻，或用面部接觸。如：「低下頭去親一親孩子。」《儒林外史》第一四回：「戴著斗笠親嘴──差著一帽子。」
[形]
1.本人的、自己的。如：「親自」、「親手」、「親眼目睹」。
2.有直接血統關係的。如：「親兄弟」、「親姊妹」、「親骨肉」。
3.關係密切的、值得信任的。《孟子．梁惠王下》：「王無親臣矣。」
[副]
本身直接參與處理。如：「親理家務」。宋．范成大〈巖桂〉詩三首之二：「越城芳徑手親栽，紅淺黃深次第開。」</t>
  </si>
  <si>
    <t>(二)ㄑㄧㄥˋ qìng（06602）</t>
  </si>
  <si>
    <t>芩</t>
  </si>
  <si>
    <t>ㄑㄧㄣˊ</t>
  </si>
  <si>
    <t>qín</t>
  </si>
  <si>
    <t>[名]
1.一種蔓生草類。《說文解字．艸部》：「芩，艸也。」《詩經．小雅．鹿鳴》：「呦呦鹿鳴，食野之芩。」唐．孔穎達．正義：「陸璣云：『莖如釵股，葉如竹，蔓生。』」
2.一種藥草。參見「黃芩」條。</t>
  </si>
  <si>
    <t>[名]
矛或戟的木柄。《文選．賈誼．過秦論》：「鉏櫌棘矜，非銛於鉤戟長鎩也。」</t>
  </si>
  <si>
    <t>(一)ㄐㄧㄣ jīn（05834）(二)ㄍㄨㄢ guān（04310）</t>
  </si>
  <si>
    <t>(一)ㄑㄧㄣ qīn（06506）</t>
  </si>
  <si>
    <t>琴</t>
  </si>
  <si>
    <t>[名]
1.樂器名。最早指瑤琴（古琴）。
2.今泛指樂器類別總稱：(1)國樂器中的古琴、七弦琴、月琴、揚琴、胡琴等。(2)西洋樂器中的鋼琴、口琴、手風琴、管風琴等。
3.姓。如明代有琴彭。
[動]
彈琴。《孟子．萬章上》：「象往入舜宮，舜在床琴。」</t>
  </si>
  <si>
    <t>芹</t>
  </si>
  <si>
    <t>參見「芹菜」條。</t>
  </si>
  <si>
    <t>秦</t>
  </si>
  <si>
    <t>[名]
1.朝代名。參見「秦朝」條。
2.漢代西域諸民族稱中國為「秦」。《漢書．卷九六．西域傳下．渠犂》：「匈奴縛馬前後足，置城下，馳言『秦人，我丐若馬』。」唐．顏師古．注：「謂中國人為秦人，習故言也。」
3.大陸地區陝西省的簡稱。
4.姓。如宋代有秦觀。</t>
  </si>
  <si>
    <t>蓁</t>
  </si>
  <si>
    <t>參見「蓁椒」條。</t>
  </si>
  <si>
    <t>(一)ㄓㄣ zhēn（07831）</t>
  </si>
  <si>
    <t>螓</t>
  </si>
  <si>
    <t>[名]
一種頭方而闊的小蟬，有文彩。《爾雅．釋蟲》：「蚻，蜻蜻。」晉．郭璞．注：「如蟬而小。《方言》云：『有文者謂之螓。』」《詩經．衛風．碩人》：「螓首蛾眉。」唐．孔穎達．正義：「此蟲額廣而且方。」</t>
  </si>
  <si>
    <t>[名]
姓。如明代有覃應充。</t>
  </si>
  <si>
    <t>(一)ㄊㄢˊ tán（02543）</t>
  </si>
  <si>
    <t>勤</t>
  </si>
  <si>
    <t>[動]
1.使擔負徭役、使勞動。《左傳．僖公三十三年》：「秦違蹇叔，而以貪勤民。」《國語．周語下》：「勤百姓以為己名，其殃大矣。」
2.努力從事。《論語．微子》：「四體不勤，五穀不分。」
3.幫助化解危難。《國語．晉語二》：「秦人勤我矣。」《後漢書．卷七十四上．袁紹傳》：「不聞勤王之師而但擅相討伐。」
[副]
1.盡心盡力的做。如：「勤耕」、「勤讀」。
2.經常、常常。如：「勤換洗」、「她洗澡洗得很勤。」唐．白居易〈送楊八給事赴常州〉詩：「須勤念黎庶，莫苦憶交親。」
[名]
1.勞苦的事。《燕丹子．卷下》：「軻出衛都，望燕路，歷險不以為勤，望遠不以為遐。」晉．陶淵明〈詠三良詩〉：「服勤盡歲月，常恐功愈微。」
2.職務、工作。如：「內勤」、「值勤」、「地勤」。
3.姓。如唐代有勤曾。
[形]
誠懇、周到。如：「殷勤」。</t>
  </si>
  <si>
    <t>[名]
辛勤的情形。通「勤」。《文選．揚雄．長楊賦》：「其廑至矣，而功不圖。」
[形]
勤勞。通「勤」。《漢書．卷四．文帝紀》：「今廑身從事，而有租稅之賦。」</t>
  </si>
  <si>
    <t>(一)ㄐㄧㄣˇ jǐn（05850）(二)（(一)之又音）ㄐㄧㄣˋ jìn（05872）</t>
  </si>
  <si>
    <t>慬</t>
  </si>
  <si>
    <t>[名]
勇氣、勇敢。《淮南子．說山》：「立慬者非學鬥爭也，慬立而生不讓。」唐．柳宗元〈唐故特進贈開府儀同三司揚州大都督南府君睢陽廟碑〉：「所以出奇以恥敵，立慬以怒寇。」</t>
  </si>
  <si>
    <t>懃</t>
  </si>
  <si>
    <t>[動]
努力。通「勤」。晉．支遁〈座右銘〉：「懃之懃之，至道非彌。」
[形]
待人誠懇周到。通「勤」。如：「慇懃」、「懃懇」。宋．蘇舜欽〈和韓三謁歐陽九之作〉詩：「韓子我所佳，招我懃有謂。」
[名]
姓。如宋代有懃鉉。</t>
  </si>
  <si>
    <t>禽</t>
  </si>
  <si>
    <t xml:space="preserve">禸 </t>
  </si>
  <si>
    <t>[名]
1.鳥類的總稱。《爾雅．釋鳥》：「二足而羽謂之禽。」如：「家禽」、「飛禽」。《文選．謝靈運．登池上樓詩》：「池塘生春草，園柳變鳴禽。」
2.姓。如漢代有禽堅。
[動]
捕捉。通「擒」。《史記．卷九二．淮陰侯傳》：「陛下不能將兵，而善將將，此乃信之所以為陛下禽也。」</t>
  </si>
  <si>
    <t>擒</t>
  </si>
  <si>
    <t>[動]
捕捉。如：「欲擒故縱」、「擒賊先擒王」。《韓非子．存韓》：「是我兵未出，而勁韓以威擒。」《三國演義》第九〇回：「驅巨獸六破蠻兵，燒藤甲七擒孟獲。」</t>
  </si>
  <si>
    <t>噙</t>
  </si>
  <si>
    <t>[動]
含著。如：「她眼裡噙著淚水。」《西遊記》第一一回：「頭頂一對南瓜，袖帶黃錢，口噙藥物。」</t>
  </si>
  <si>
    <t>檎</t>
  </si>
  <si>
    <t>[名]
植物名。薔薇科蘋果屬，落葉小喬木。葉卵形或橢圓形，細銳鋸齒緣。繖房花序具花四至七朵，花瓣淡紅色。梨果卵形或近球形，先端漸狹，宿存萼隆起，質略硬，似蘋果而小，可食。因果味香甘，能招禽鳥，故稱為「林檎」。俗稱為「花紅」、「沙果」。</t>
  </si>
  <si>
    <t>寢</t>
  </si>
  <si>
    <t>ㄑㄧㄣˇ</t>
  </si>
  <si>
    <t>qǐn</t>
  </si>
  <si>
    <t>[動]
1.睡覺、臥息。如：「小寢」。《論語．公冶長》：「宰予晝寢。」
2.躺臥。《左傳．襄公二十一年》：「臣食其肉而寢處其皮矣。」
3.停止。《新唐書．卷一七三．裴度傳》：「汲黯在朝，淮南寢謀。」《三國演義》第一一五回：「今聞鄧艾善能用兵，因此寢其事矣。」
4.隱瞞。唐．元稹《鶯鶯傳》：「誠欲寢其詞，則保人之姦，不義。」
[形]
1.像動物趴著的樣子。《荀子．解蔽》：「冥冥而行者，見寢石以為伏虎也。」
2.相貌醜陋。《史記．卷一〇七．武安侯傳》：「武安者，貌寢，生貴甚。」清．魏禧〈大鐵椎傳〉：「時座上有健啖客，貌甚寢。」
[名]
1.臥室、居室。如：「寢室」、「正寢」。《左傳．昭公十八年》：「子大叔之廟在道南，其寢在道北。」
2.宗廟收藏祖先衣冠的地方。亦泛指宗廟。《呂氏春秋．孟春紀．孟春》：「執爵于太寢。」《禮記．月令》：「寢廟畢備。」唐．孔穎達．正義：「寢，衣冠所藏之處。」
3.古代帝王的墳墓。如：「陵寢」。</t>
  </si>
  <si>
    <t>(一)ㄑㄧㄢ qiān（06459）</t>
  </si>
  <si>
    <t>螼</t>
  </si>
  <si>
    <t>[名]
動物名。即蚯蚓。環形動物門貧毛綱。體軟，有環節。沒有眼睛、耳朵，但對光、熱、觸覺都很靈敏。能分解腐植土，供植物使用。</t>
  </si>
  <si>
    <t>沁</t>
  </si>
  <si>
    <t>ㄑㄧㄣˋ</t>
  </si>
  <si>
    <t>qìn</t>
  </si>
  <si>
    <t>[動]
1.滲入、滲進。如：「沁骨」、「沁入心脾」。唐．孫欣〈奉試冷井詩〉：「仙闈井初鑿，靈液沁成泉。」
2.汲水。唐．韓愈、孟郊〈同宿聯句〉：「義泉雖至近，盜索不敢沁。」
[名]
河川名。源出於大陸地區山西省沁源縣北，東南流至河南省武涉縣折南注入黃河。</t>
  </si>
  <si>
    <t>𢙈</t>
  </si>
  <si>
    <t>[動]
狗嘔吐。通「唚」。《集韻．去聲．沁韻》：「𢙈，犬吐。」</t>
  </si>
  <si>
    <t>唚</t>
  </si>
  <si>
    <t>[動]
1.大陸地區北方人稱牲畜嘔吐為「唚」。如：「貓唚了。」
2.用髒話亂罵。如：「滿嘴胡唚」。《紅樓夢》第七回：「少胡說，那是醉漢嘴裡混唚！」</t>
  </si>
  <si>
    <t>撳</t>
  </si>
  <si>
    <t>[動]
用手按。如：「撳門鈴」、「將人撳倒在地」。《老殘遊記》第一〇回：「勝姑將小鈴取出，左手撳了四個，右手撳了三個。」</t>
  </si>
  <si>
    <t>羌</t>
  </si>
  <si>
    <t>ㄑㄧㄤ</t>
  </si>
  <si>
    <t>qiāng</t>
  </si>
  <si>
    <t>[名]
1.中國西北少數民族之一。舊稱為西戎，分布在今大陸地區青海、甘肅、四川一帶。
2.動物名。鹿科麂屬。全身披褐色短毛，雄羌頭上長角，形體大小及吠聲似狗。行動隱密敏捷，常出沒在清晨及傍晚時的山地濃密林區，以野菜、鮮草、嫩葉為食。
3.姓。如晉代有羌迪。
[助]
句首發語詞，無義。《楚辭．屈原．離騷》：「羌內恕己以量人兮，各興心而嫉妒。」漢．王逸．注：「羌，楚人語詞也。」
[連]
乃、卻、反而。表示轉折、並列或假設。《楚辭．屈原．離騷》：「曰黃昏以為期兮，羌中道而改路。」《文選．王延壽．魯靈光殿賦》：「邈希世而特出，羌瑰譎而鴻紛。」</t>
  </si>
  <si>
    <t>蜣</t>
  </si>
  <si>
    <t>參見「蜣螂」條。</t>
  </si>
  <si>
    <t>[形]
誠實的樣子。《莊子．人間世》：「且德厚信矼，未達人氣。」</t>
  </si>
  <si>
    <t>(二)ㄐㄧㄤ jiāng（05888）</t>
  </si>
  <si>
    <t>斨</t>
  </si>
  <si>
    <t>[名]
一種方孔的斧頭。《說文解字．斤部》：「斨，方銎斧也。」《詩經．豳風．七月》：「取彼斧斨，以伐遠揚。」</t>
  </si>
  <si>
    <t>[動]
請求。《詩經．衛風．氓》：「將子無怒，秋以為期。」《聊齋志異．卷三．連瑣》：「將伯之助，義不敢忘。」</t>
  </si>
  <si>
    <t>(一)ㄐㄧㄤ jiāng（05892）(二)ㄐㄧㄤˋ jiàng（05914）</t>
  </si>
  <si>
    <t>蹡</t>
  </si>
  <si>
    <t>[動]
行走。《西遊記》第二〇回：「八戒調過頭來，把耳朵擺了幾擺，長嘴伸了一伸，嚇得那些人東倒西歪，亂蹡亂跌。」</t>
  </si>
  <si>
    <t>(二)ㄑㄧㄤˋ qiàng（06575）</t>
  </si>
  <si>
    <t>鏘</t>
  </si>
  <si>
    <t>[擬]
形容撞擊金石的聲音。如：「鼕鼕鏘鏘」。《禮記．玉藻》：「進則揖之，退則揚之，然後玉鏘鳴也。」</t>
  </si>
  <si>
    <t>椌</t>
  </si>
  <si>
    <t>樂器名，打擊樂器。古代樂器。形似桶，中空。《禮記．樂記》：「然後聖人作為鞀、鼓、椌、楬、壎、箎，此六者，德音之音也。」</t>
  </si>
  <si>
    <t>腔</t>
  </si>
  <si>
    <t>[名]
1.動物體內如口、胸、腹等中空處。如：「體腔」、「口腔」、「胸腔」、「腹腔」、「鼻腔」。
2.曲調。如：「崑腔」、「秦腔」。
3.口音、說話的聲調和語氣。如：「廣東腔」、「裝腔作勢」。《儒林外史．第一一回》：「三間東倒西歪屋，一個南腔北調人。」
4.話。如：「幫腔」、「開腔」、「搭腔」。</t>
  </si>
  <si>
    <t>搶</t>
  </si>
  <si>
    <t>[動]
1.碰撞、觸碰。如：「呼天搶地」。《戰國策．魏策四》：「布衣之怒亦免冠徒跣，以頭搶地爾。」
2.迎、逆。元．李文蔚《燕青博魚．楔子》：「則我這白氈帽半搶風。」
3.推、拉。元．李文蔚《燕青博魚．楔子》：「小僂儸！將燕青搶出去。」《警世通言．卷九．李謫仙醉草嚇蠻書》：「喝令將李白推搶出去。」</t>
  </si>
  <si>
    <t>(一)ㄑㄧㄤˇ qiǎng（06569）(三)（(二)之又音）ㄔㄨㄤˇ chuǎng（08659）</t>
  </si>
  <si>
    <t>嗆</t>
  </si>
  <si>
    <t>[動]
因異物進入氣管，而引起噴出、猛烈咳嗽等動作。如：「慢慢吃，別嗆著了！」</t>
  </si>
  <si>
    <t>(二)ㄑㄧㄤˋ qiàng（06571）</t>
  </si>
  <si>
    <t>瑲</t>
  </si>
  <si>
    <t>[擬]
1.形容玉石相撞擊的聲音。《詩經．小雅．采芑》：「朱芾斯皇，有瑲蔥珩。」
2.形容音樂聲。《荀子．富國》：「鐘鼓喤喤，管磬瑲瑲。」
3.形容鈴聲。《詩經．小雅．采芑》：「方叔率止，約軧錯衡，八鸞瑲瑲。」</t>
  </si>
  <si>
    <t>槍</t>
  </si>
  <si>
    <t>[名]_x000D_
1.武器名：(1)長棍一端嵌以尖銳的金屬頭，可用以刺擊。如：「長槍」。(2)可發射子彈以射擊目標的武器。口徑一般在十一厘米以下。如：「步槍」、「手槍」、「散彈槍」、「槍炮彈藥」。_x000D_
2.形狀像槍的器物。如：「焊槍」、「煙槍」、「水槍」、「電子槍」。_x000D_
3.量詞。計算槍枝發射的單位。如：「他連開三槍才打中目標。」_x000D_
4.姓。如漢代有槍傳。_x000D_
[動]_x000D_
碰撞。通「搶」。《莊子．逍遙遊》：「我決起而飛，槍榆、枋，時則不至而控於地而已矣，奚以之九萬里而南為？」漢．司馬遷〈報任少卿書〉：「見獄吏則頭槍地，視徒隸則心惕息。」</t>
  </si>
  <si>
    <t>(二)ㄔㄥ chēng（08484）</t>
  </si>
  <si>
    <t>戧</t>
  </si>
  <si>
    <t>[動]
逆、不順。如：「戧風」、「戧口」、「戧轍兒走」。
[副]
意見牴觸、不合。《儒林外史》第四三回：「幾句就同雷太守說戧了。」</t>
  </si>
  <si>
    <t>(一)ㄑㄧㄤˋ qiàng（06573）</t>
  </si>
  <si>
    <t>牄</t>
  </si>
  <si>
    <t>[擬]
形容鳥獸覓食的聲音。《說文解字．倉部》：「牄，鳥獸來食聲也。」</t>
  </si>
  <si>
    <t>蹌</t>
  </si>
  <si>
    <t>[動]
1.走動、行走。南朝宋．鮑照〈舞鶴賦〉：「始連軒以鳳蹌，終宛轉而龍躍。」
2.闖。《京本通俗小說．志誠張主管》：「張主管開房門，那人蹌將入來，閃身已在燈光背後。」
[形]
行走有節奏威儀。《詩經．齊風．猗嗟》：「巧趨蹌兮，射則臧兮。」</t>
  </si>
  <si>
    <t>(二)ㄑㄧㄤˋ qiàng（06574）</t>
  </si>
  <si>
    <t>鎗</t>
  </si>
  <si>
    <t>[名]
武器名：(1)長柄一端裝有尖銳的金屬頭，可用於刺擊。通「槍」。《儒林外史》第一二回：「刀、鎗、劍、戟，都還略有些講究。」(2)可發射子彈以射擊目標的武器。通「槍」。如：「手鎗」、「步鎗」、「機關鎗」。</t>
  </si>
  <si>
    <t>(二)ㄔㄥ chēng（08485）</t>
  </si>
  <si>
    <t>錆</t>
  </si>
  <si>
    <t>參見「錆色」條。</t>
  </si>
  <si>
    <t>鏹</t>
  </si>
  <si>
    <t>參見「鏹水」條。</t>
  </si>
  <si>
    <t>(一)ㄑㄧㄤˇ qiǎng（06567）</t>
  </si>
  <si>
    <t>ㄑㄧㄤˊ</t>
  </si>
  <si>
    <t>qiáng</t>
  </si>
  <si>
    <t>[名]
1.木頭劈成兩半，左半塊稱為「爿」。
2.二一四部首之一。</t>
  </si>
  <si>
    <t>(二)ㄅㄢˋ bàn（00257）</t>
  </si>
  <si>
    <t>戕</t>
  </si>
  <si>
    <t>[動]
殺害、傷害。如：「自戕」、「戕害」。《孟子．告子上》：「將戕賊杞柳，而後以為桮棬也。」漢．曹操〈蒿里行〉：「勢利使人爭，嗣還自相戕。」</t>
  </si>
  <si>
    <t>[形]
1.健壯、盛大、有力。如：「強壯」、「身強力壯」。唐．柳宗元〈愈膏肓疾賦〉：「外強中乾，精氣內傷。」
2.剛毅、堅毅。如：「頑強」。《孟子．告子下》：「樂正子強乎？」《韓非子．孤憤》：「能法之士，必強毅而勁直。」
3.堅硬。漢．王充《論衡．狀留》：「後彼春榮之木，其材強勁，車以為軸。」
4.橫暴。如：「強盜」。《紅樓夢》第一一二回：「和眾強徒打了照面，各自分頭奔南海而去。」
5.勝、優越。宋．張先〈菩薩蠻．牡丹含露真珠顆〉詞：「含笑問檀郎，花強妾貌強？」
6.有餘、略多。南朝梁．無名氏〈木蘭詩〉二首之一：「策勛十二轉，賞賜百千強。」
[名]
1.具有威權勢力的人或團體。如：「列強」、「豪強」。
2.姓。如清代有強行健。
[動]
加強。如：「強身」、「自強不息」。</t>
  </si>
  <si>
    <t>(二)ㄑㄧㄤˇ qiǎng（06564）(三)ㄐㄧㄤˋ jiàng（05912）</t>
  </si>
  <si>
    <t>廧</t>
  </si>
  <si>
    <t>[名]
用磚、石等砌成，可作間隔或屏障的建築。通「牆」。《墨子．經說上》：「廧外之利害，未可知也。」《漢書．卷五一．鄒陽傳》：「今人主沉諂諛之辭，牽帷廧之制。」</t>
  </si>
  <si>
    <t>嬙</t>
  </si>
  <si>
    <t>[名]
古代宮廷中的女官。唐．杜牧〈阿房宮賦〉：「妃嬪媵嬙。」</t>
  </si>
  <si>
    <t>檣</t>
  </si>
  <si>
    <t>[名]
船的桅桿。宋．范仲淹〈岳陽樓記〉：「商旅不行，檣傾楫摧。」《三國演義》第四五回：「一同登舟，駕起帆檣，迤邐望夏口而進。」</t>
  </si>
  <si>
    <t>薔</t>
  </si>
  <si>
    <t>參見「薔薇」條。</t>
  </si>
  <si>
    <t>牆</t>
  </si>
  <si>
    <t>[名]
1.用磚、石等砌成，可作間隔或屏障的建築。如：「宮牆」、「城牆」、「圍牆」。《論語．公冶長》：「朽木不可雕也，糞土之牆不可杇也。」宋．張先〈青門引．乍暖還輕冷〉詞：「那堪更被明月，隔牆送過秋千影。」
2.泛指由人或物組合成像牆的部分。如：「人牆」、「電視牆」。</t>
  </si>
  <si>
    <t>蘠</t>
  </si>
  <si>
    <t>參見「蘠蘼」條。</t>
  </si>
  <si>
    <t>彊</t>
  </si>
  <si>
    <t>[名]
1.硬弓。《說文解字．弓部》：「彊，弓有力也。」
2.姓。如漢代有彊華。
[形]
壯盛、健壯。同「強」。《書經．洪範》：「身其康彊。」《墨子．脩身》：「故君子力事日彊，願欲日逾，設壯日盛。」
[動]
加強。同「強」。《荀子．天論》：「彊本而節用，則天不能貧。」</t>
  </si>
  <si>
    <t>(二)ㄑㄧㄤˇ qiǎng（06570）(三)ㄐㄧㄤˋ jiàng（▲05912）</t>
  </si>
  <si>
    <t>ㄑㄧㄤˇ</t>
  </si>
  <si>
    <t>qiǎng</t>
  </si>
  <si>
    <t>[動]
迫使、使用強力。如：「勉強」、「強迫」、「強人所難」、「強詞奪理」。《孟子．離婁上》：「是由惡醉而強酒。」《儒林外史》第二九回：「這原是他情願的事，又沒有那個強他。」
[副]
竭力、勉力。《孟子．梁惠王下》：「君如彼何哉？強為善而已矣。」</t>
  </si>
  <si>
    <t>(一)ㄑㄧㄤˊ qiáng（06556）(三)ㄐㄧㄤˋ jiàng（05912）</t>
  </si>
  <si>
    <t>襁</t>
  </si>
  <si>
    <t>[名]
背負嬰兒用的布巾。《說文解字．衣部》：「襁，負兒衣。」《玉篇．衣部》：「襁，襁褓，負兒衣也，織縷為之，……以負兒於背上也。」
[動]
背負。《論語．子路》：「夫如是，則四方之民，襁負其子而至矣。」</t>
  </si>
  <si>
    <t>繈</t>
  </si>
  <si>
    <t>[名]
1.古代串錢的繩索，泛指錢幣。《玉篇．系部》：「繈，錢貫也。」《管子．國蓄》：「歲適凶，則市糴釜十繈。」《漢書．卷二四．食貨志下》：「千室之邑必有千鐘之臧，臧繈百萬。」
2.繩索。《漢書．卷五八．兒寬傳》：「大家牛車，小車擔負，輸租繈屬不絕。」唐．顏師古．注：「繈，索也。」
3.背嬰兒的布巾。通「襁」。《墨子．明鬼下》：「鮑幼弱，在荷繈之中。」</t>
  </si>
  <si>
    <t>[名]
1.古代串錢的繩索，泛指錢幣。同「繈」。《文選．左思．蜀都賦》：「藏鏹巨萬。」唐．白居易〈贖雞〉詩：「與爾鏹三百，小惠何足論。」
2.金銀。如：「白鏹」。《南史．卷七〇．循吏傳．郭祖琛傳》：「累金積鏹，侍列如仙，不田不商，何故而爾？」</t>
  </si>
  <si>
    <t>(二)ㄑㄧㄤ qiāng（06553）</t>
  </si>
  <si>
    <t>[名]
一種由氫、氧原子組成的原子團。參見「羥基」條。</t>
  </si>
  <si>
    <t>(二)ㄎㄥ kēng（04553A）</t>
  </si>
  <si>
    <t>[動]
1.奪取。如：「搶劫」、「搶錢」。《老殘遊記》第四回：「那強盜竟在府城裡面搶了一家子。」
2.皮膚受擦傷。如：「不小心搶破了一塊皮。」
3.刮磨刀剪的刃端，使其鋒利。如：「剪子新搶過，快多了！」
[副]
爭先的、趕緊的。如：「搶購」、「搶修」、「搶著說話」。《京本通俗小說．錯斬崔寧》：「劉官人不捨，搶出門來。」</t>
  </si>
  <si>
    <t>(二)ㄑㄧㄤ qiāng（06544）(三)（(二)之又音）ㄔㄨㄤˇ chuǎng（08659）</t>
  </si>
  <si>
    <t>[動]
迫使、使用強力。同「強」。《晏子春秋．內篇．問上》：「任人之長，不彊其短。」
[副]
盡力、竭力。同「強」。《淮南子．脩務》：「名可務立，功可彊成。」漢．高誘．注：「彊，勉也。」</t>
  </si>
  <si>
    <t>(一)ㄑㄧㄤˊ qiáng（06563）(三)ㄐㄧㄤˋ jiàng（▲05912）</t>
  </si>
  <si>
    <t>ㄑㄧㄤˋ</t>
  </si>
  <si>
    <t>qiàng</t>
  </si>
  <si>
    <t>[動]
煙氣或味道刺激鼻腔，使人感覺不舒服。如：「嗆鼻」、「滿屋子的藥水味，嗆得人難受。」</t>
  </si>
  <si>
    <t>(一)ㄑㄧㄤ qiāng（06545）</t>
  </si>
  <si>
    <t>熗</t>
  </si>
  <si>
    <t>[動]
1.烹飪方法：(1)將未經火煮的生食，用酒、醋或味濃的佐料，直悶到熟。(2)菜用沸水略煮過後，與醬油、醋等調味料攪拌。(3)將肉、蔥花等用熱油略炒，再加入佐料水煮。
2.刺激性的氣體或味道衝入鼻腔，使人感覺不舒服。通「嗆」。元．李好古《張生煮海》第三折：「聞不得鼻口內乾煙熗。」</t>
  </si>
  <si>
    <t>[動]
1.支撐。如：「這堵危牆，應該戧上兩根木頭。」
2.參見「戧金」條。</t>
  </si>
  <si>
    <t>(二)ㄑㄧㄤ qiāng（06548）</t>
  </si>
  <si>
    <t>(一)ㄑㄧㄤ qiāng（06550）</t>
  </si>
  <si>
    <t>參見「踉蹡」條。</t>
  </si>
  <si>
    <t>(一)ㄑㄧㄤ qiāng（06540）</t>
  </si>
  <si>
    <t>ㄑㄧㄥ</t>
  </si>
  <si>
    <t>qīng</t>
  </si>
  <si>
    <t>[名]
1.顏色：(1)綠色。唐．劉禹錫〈陋室銘〉：「苔痕上階綠，草色入簾青。」(2)藍色。《荀子．勸學》：「青取之於藍，而青於藍。」(3)黑色。如：「玄青」。
2.綠色的草木、山脈。如：「踏青」、「萬年青」、「青黃不接」。唐．柳宗元〈始得西山宴游記〉：「縈青繚白，外與天際。」
3.竹皮。如：「汗青」。
4.地名簡稱：(1)大陸地區青海省簡稱。如：「青藏鐵路」。(2)青島市簡稱。如：「青鹽鐵路」。
5.二一四部首之一。
[形]
1.綠色的。如：「青山綠水」、「山青水秀」。
2.藍色的。如：「青天白日」。
3.黑色的。如：「青布」、「青衣」。唐．李白〈將進酒〉：「君不見高堂明鏡悲白髮，朝如青絲暮成雪。」
4.年輕的。如：「青年」、「青春」。</t>
  </si>
  <si>
    <t>(二)ㄐㄧㄥ jīng（05920）</t>
  </si>
  <si>
    <t>清</t>
  </si>
  <si>
    <t>[形]
1.澄淨、純潔。與「濁」相對。如：「清潔」、「清澈」。《詩經．魏風．伐檀》：「河水清且漣猗。」
2.高潔、廉潔。如：「清望」、「清廉」、「清士」。元．鄭廷玉《冤家債主》第四折：「法正天須順，官清民自安。」
3.寂靜。如：「冷清」、「清靜」。
4.秀美。如：「眉清目秀」。唐．杜甫〈戲為六絕句〉六首之五：「不薄今人愛古人，清詞麗句必為鄰。」
5.安定、太平。如：「清平盛世」。《文選．曹植．送應氏詩二首之一》：「清時難屢得，嘉會不可常。」
[副]
1.單純的。如：「清一色」、「清唱」。
2.淨盡、一點也不留。如：「債還清了。」、「書款付清了。」
3.詳細、明白。如：「點清數目」、「查清戶口」、「謄清作文」。
[動]
1.使乾淨、使整齊。如：「清洗」、「清理」、「清除」。
2.整頓。如：「清黨」、「肅清」。
3.結帳。如：「清帳」、「清算」、「結清餘欠」。
4.點檢（清楚）。如：「清點」、「清倉」。《儒林外史》第六回：「你們各人管的田房、利息帳目，都連夜攢造清完，先送與我逐細看過。」
[名]
1.朝代名。參見「清朝」條。
2.參見「血清」條。
3.姓。如宋代有清賢。</t>
  </si>
  <si>
    <t>圊</t>
  </si>
  <si>
    <t>[名]
廁所。如：「圊圂」、「圊肥」。《新唐書．卷一〇〇．權萬紀傳》：「斬首，殊支體，投圊中。」</t>
  </si>
  <si>
    <t>氰</t>
  </si>
  <si>
    <t>[名]
碳氮化合物。一種無色、有苦杏仁臭味的氣體。能溶於水、酒精和乙醚中，毒性極強，燃燒時呈淡紫色火焰。可由加熱的氰化汞或氰化鉀與硫酸銅的混合液製成。可用於有機合成及軍用毒氣等。</t>
  </si>
  <si>
    <t>蜻</t>
  </si>
  <si>
    <t>參見「蜻蜓」、「蜻蛉」等條。</t>
  </si>
  <si>
    <t>請</t>
  </si>
  <si>
    <t>參見「請室」條。</t>
  </si>
  <si>
    <t>(一)ㄑㄧㄥˇ qǐng（06599）(三)ㄑㄧㄥˊ qíng（06593）</t>
  </si>
  <si>
    <t>鯖</t>
  </si>
  <si>
    <t>[名]
動物名。脊椎動物亞門鱸形目。體呈梭型，側扁。頭尖口大，密生小齒，鱗圓細小。背鰭有前後兩個，背部青綠，有波浪狀花紋，腹部銀白。主依嗅覺找尋食物，為一種重要的經濟性魚類。也稱為「青花魚」。</t>
  </si>
  <si>
    <t>(二)ㄓㄥ zhēng（07926）</t>
  </si>
  <si>
    <t>卿</t>
  </si>
  <si>
    <t>[名]_x000D_
1.職官名。古代指位在大夫之上的官爵。如：「上卿」、「公卿」。_x000D_
2.對人的尊稱。《史記．卷八六．刺客列傳．荊軻》：「衛人謂之慶卿。」_x000D_
3.姓。如清代有卿祖培。_x000D_
[代]_x000D_
1.君對臣的美稱。宋．岳飛〈良馬對〉：「卿得良馬否？」_x000D_
2.對同輩的敬稱。同「您」。唐．杜甫〈惜別行送向卿〉詩：「卿家兄弟功名震。」_x000D_
3.夫妻的相稱或專指夫對妻的稱呼。《樂府詩集．卷七三．雜曲歌辭十三．古辭．焦仲卿妻》：「我自不驅卿，逼迫有阿母。」</t>
  </si>
  <si>
    <t>烴</t>
  </si>
  <si>
    <t>[名]_x000D_
僅由碳、氫兩種原子所組成的有機化合物。主要從石油、天然氣、植物中分離，或由天然存在的烴類裂解與合成，為石化工業中製造塑膠、橡膠與合成纖維等的重要原料。也稱為「碳氫化合物」。</t>
  </si>
  <si>
    <t>氫</t>
  </si>
  <si>
    <t>[名]
（hydrogen，H）化學元素。原子序1。為無色、無臭、無味的雙原子分子氣體（H₂），是物質中最輕者，能自燃而不助燃，化學性質活潑，能與許多非金屬和金屬直接化合。氫的沸點很低，很難液化，液態氫可作火箭推進器燃料，但難製造與儲存。在化學工業上常用作還原劑，並可作燃料與氧燃燒產生高溫和水。</t>
  </si>
  <si>
    <t>輕</t>
  </si>
  <si>
    <t>[動]
1.鄙夷、不在乎。如：「輕生」、「輕敵」。《文選．曹丕．典論論文》：「文人相輕。」宋．蘇軾〈教戰守策〉：「輕霜露而狎風雨，是故寒暑不能為之毒。」
2.比……為輕。《文選．司馬遷．報任少卿書》：「人固有一死，或重於太山，或輕於鴻毛。」
[形]
1.分量小。與「重」相對。如：「棉花比鐵輕。」《楚辭．屈原．卜居》：「蟬翼為重，千鈞為輕。」
2.程度淺。如：「罰得輕」、「病情輕」。南朝梁．簡文帝〈與蕭臨川書〉：「零雨送秋，輕寒迎節。」
3.數量少。如：「年紀輕」、「工作輕」。
4.卑賤、不重要的。如：「人微言輕」。《孟子．盡心下》：「民為貴，社稷次之，君為輕。」
5.方便、簡單的。如：「輕便」、「輕而易舉」。
6.靈巧快捷。如：「輕車」、「輕舟」。唐．王維〈觀獵〉詩：「草枯鷹眼疾，雪盡馬蹄輕。」
7.沒有負擔和壓迫的。如：「無債一身輕。」
8.細微、柔弱。如：「雲淡風輕」、「輕聲細語」。元．白樸〈天淨沙．孤村落日殘霞〉曲：「孤村落日殘霞，輕煙老樹寒鴉。」
9.舒緩。如：「輕音樂」。
10. 隨便、不莊重。如：「輕浮」、「輕佻」、「輕率」。宋．王安石〈示長安君〉詩：「少年離別意非輕，老去相逢亦愴情。」
[副]
1.輕微的、不使力的。如：「微風輕拂」。唐．白居易〈琵琶行〉：「輕攏慢撚抹復挑。」宋．華岳〈江上雙舟催發〉詩：「後帆招手呼前帆，晝鼓輕敲總催發。」
2.不在乎的。如：「輕視」、「輕慢」。</t>
  </si>
  <si>
    <t>頃</t>
  </si>
  <si>
    <t>[形]
斜、側。通「傾」。《漢書．卷六四下．王襃傳》：「不單頃耳而聽已聰。」</t>
  </si>
  <si>
    <t>(二)ㄑㄧㄥˇ qǐng（06597）</t>
  </si>
  <si>
    <t>[動]
1.偏向一邊、歪向、斜向。如：「傾斜」、「傾向一邊」、「向右傾」。
2.坍塌。如：「傾墜」。《文選．丘遲．與陳伯之書》：「高臺未傾，愛妾尚在。」
3.完全倒出。如：「傾酒」、「傾囊相授」、「傾箱倒櫃」。
4.佩服、仰慕。如：「傾心」。《史記．卷一一七．司馬相如傳》：「一坐盡傾。」唐．李白〈代別情人〉詩：「我悅子容豔，子傾我文章。」
5.壓倒、勝過。如：「傾國傾城」。《史記．卷一〇七．魏其武安侯傳》：「欲以傾魏其諸將相。」
6.競爭。漢．鼂錯〈論貴粟疏〉：「因其富厚，交通王侯，力過吏埶，以利相傾。」
7.覆滅。如：「傾覆」。《荀子．儒效》：「齊一天下而莫能傾。」
[副]
完全的、毫不保留的。如：「傾聽」、「傾訴」。</t>
  </si>
  <si>
    <t>(二)ㄎㄥ kēng（04555）</t>
  </si>
  <si>
    <t>勍</t>
  </si>
  <si>
    <t>ㄑㄧㄥˊ</t>
  </si>
  <si>
    <t>qíng</t>
  </si>
  <si>
    <t>[形]
強勁、強大。《說文解字．力部》：「勍，彊也。」《左傳．僖公二十二年》：「勍敵之人，隘而不列，天贊我也。」</t>
  </si>
  <si>
    <t>黥</t>
  </si>
  <si>
    <t>[動]
古代的一種刑罰，在犯人臉上刺字塗墨。後亦用於奴婢、士兵，以防其逃跑。《史記．卷六五．孫子吳起傳》：「臏至，龐涓恐其賢于己，疾之，則以法刑斷其兩足而黥之，欲隱勿見。」《南史．卷五一．梁宗室傳上．臨川靖惠王宏傳》：「蓄奴僮數百，皆黥其面。」</t>
  </si>
  <si>
    <t>情</t>
  </si>
  <si>
    <t>[名]
1.心理上發於自然的意念，或因外界事物刺激所引發的心理狀態。如：「感情」、「溫情」。《禮記．禮運》：「何謂人情？喜、怒、哀、懼、愛、惡、欲七者，弗學而能。」唐．白居易〈琵琶行〉：「轉軸撥弦三兩聲，未成曲調先有情。」
2.人與人之間的愛戀。如：「愛情」、「痴情」、「談情說愛」。宋．秦觀〈鵲橋仙．纖雲弄巧〉詞：「兩情若是久長時，又豈在朝朝暮暮。」
3.友誼、情分。如：「交情」、「人情世故」。唐．李白〈贈汪倫〉詩：「桃花潭水深千尺，不及汪倫送我情。」
4.面子。如：「情面」、「求情」、「說情」。
5.實際的狀況、內容。如：「實情」、「病情」、「行情」。
[形]
有關愛情的。如：「情人」、「情痴」。
[副]
分明、明明。《紅樓夢》第四回：「薛蟠見母親如此說，情知扭不過的。」</t>
  </si>
  <si>
    <t>晴</t>
  </si>
  <si>
    <t>[動]
雨雪停止。《文選．潘岳．閑居賦》：「微雨新晴，六合清朗。」元．張可久〈人月圓．梅花渾似真真面〉曲：「雪晴天氣，松腰玉瘦，泉眼冰寒。」
[名]
清朗無雲的天氣。如：「秋晴」、「陰晴」。唐．劉禹錫〈竹枝詞〉二首之一：「東邊日出西邊雨，道是無晴卻有晴。」
[形]
晴朗的。如：「晴天霹靂」、「晴空萬里」。唐．李白〈秋登宣城謝朓北樓〉詩：「江城如畫裡，山曉望晴空。」唐．賈島〈送人適越〉詩：「晴湖勝鏡碧，寒柳似金黃。」</t>
  </si>
  <si>
    <t>[名]
實際的狀況、內容。通「情」。《荀子．成相》：「聽之經，明其請。」
[動]
承受、取得。通「擎」。元．吳昌齡《東坡夢》第二折：「俺躲人間是非，您請皇家富貴。」元．狄君厚《介子推》第三折：「怎肯教驪姬賊子請了天下。」</t>
  </si>
  <si>
    <t>(一)ㄑㄧㄥˇ qǐng（06599）(二)ㄑㄧㄥ qīng（06581）</t>
  </si>
  <si>
    <t>殑</t>
  </si>
  <si>
    <t>[動]
疲困欲死。明．劉基〈贈道士蔣玉壺長歌〉：「洞晃曭朗眩遙瞪，瘁肌砭髓魂欲殑。」</t>
  </si>
  <si>
    <t>檠</t>
  </si>
  <si>
    <t>[名]
1.輔正弓弩的器具。《淮南子．脩務》：「故弓待檠而後能調，劍待砥而後能利。」漢．劉向〈勸學〉：「操弓不返於檠，木受繩則直。」
2.燈架、燭臺。宋．蘇軾〈姪安節遠來夜坐〉詩三首之二：「夢斷酒醒山雨絕，笑看飢鼠上燈檠。」
3.燈。北周．庾信〈對燭賦〉：「蓮帳寒檠窗拂曙，筠籠熏火香盈絮。」元．翁森〈四時讀書樂〉詩四首之三：「近床賴有短檠在，對此讀書功更倍。」
[動]
1.矯正。《漢書．卷五四．蘇建傳》：「武能網紡繳、檠弓弩。」
2.拿、托。通「擎」。《喻世明言．卷一七．單符郎全州佳偶》：「空手忽檠雙塊玉，汙泥挺出並頭蓮。」</t>
  </si>
  <si>
    <t>擎</t>
  </si>
  <si>
    <t>[動]
1.高舉、支撐。清．王念孫《廣雅疏證．卷一下．釋詁》：「擎，舉。」如：「一柱擎天」。唐．張說〈姚文貞公神道碑〉：「八柱擎天，高明之位定。」
2.持、拿。南朝宋．劉義慶《世說新語．紕漏》：「婢擎金澡盤盛水，瑠璃碗盛澡豆。」唐．杜甫〈正月三日歸溪上有作簡院內諸公〉詩：「藥許鄰人斸，書從稚子擎。」
3.承受、接受。如：「做事勤快點，不要老是想擎現成的。」</t>
  </si>
  <si>
    <t>ㄑㄧㄥˇ</t>
  </si>
  <si>
    <t>qǐng</t>
  </si>
  <si>
    <t>[名]
1.量詞。表示面積的單位。在公制中一頃等於一百畝。也稱為「公頃」。
2.過去的時間。唐．杜甫〈奉贈李八丈判官〉詩：「頃來樹嘉政，皆已傳眾口。」
[形]
近。如：「頃年以來」。
[副]
1.短時間。如：「頃刻」、「少頃」、「有頃」、「俄頃」。
2.剛才。如：「頃聞佳音」、「頃接來書」。
3.左右，指大約的時間。如：「民國二十年頃」。</t>
  </si>
  <si>
    <t>(一)ㄑㄧㄥ qīng（06587）</t>
  </si>
  <si>
    <t>廎</t>
  </si>
  <si>
    <t>[名]
小廳堂。《說文解字．高部》：「廎，小堂也。」</t>
  </si>
  <si>
    <t>[動]
1.懇求、乞求。如：「請人幫忙。」、「請求」、「請假」。《隋書．卷七〇．李密傳》：「密初辭不受，諸將等固請，乃從之。」
2.延聘。如：「請大夫」、「請家教」、「聘請」。
3.邀約。如：「請客」、「邀請」、「宴請」。
4.祈求批示。如：「呈請」、「報請」。
5.詢問。《聊齋志異．卷一．王成》：「王請直，答以千金。」
6.問候。如：「請安」。《史記．卷九七．陸賈傳》：「陸生往請，直入坐。」
7.迎置神明。如：「請神」、「請了一尊佛像回家去供著。」
[副]
對人有所要求的敬詞。如：「請問」、「請教」、「請讓一讓路。」《孟子．梁惠王上》：「王好戰，請以戰喻。」</t>
  </si>
  <si>
    <t>(二)ㄑㄧㄥ qīng（06581）(三)ㄑㄧㄥˊ qíng（06593）</t>
  </si>
  <si>
    <t>ㄑㄧㄥˋ</t>
  </si>
  <si>
    <t>qìng</t>
  </si>
  <si>
    <t>[名]
筋骨接合處。《集韻．去聲．徑韻》：「綮，肯綮，筋肉結處也。」《莊子．養生主》：「因其固然，技經肯綮之未嘗。」</t>
  </si>
  <si>
    <t>(一)ㄑㄧˇ qǐ（06289）</t>
  </si>
  <si>
    <t>慶</t>
  </si>
  <si>
    <t>[名]
1.可喜可賀的事情。如：「校慶」、「七十大慶」、「雙十國慶」。《國語．周語下》：「晉國有憂未嘗不戚，有慶未嘗不怡。」
2.福澤。《易經．坤卦．文言曰》：「積善之家，必有餘慶。」《魏書．卷六七．崔光傳》：「修德延賢，消災集慶。」
3.德、善。《書經．呂刑》：「一人有慶，兆民賴之。」漢．孔安國．傳：「天子有善，則兆民賴之。」
4.姓。如漢代有慶鴻。
[動]
賀喜。如：「慶祝」、「慶賀」、「慶功宴」。《國語．魯語下》：「固慶其喜而弔其憂。」</t>
  </si>
  <si>
    <t>參見「親家」條。</t>
  </si>
  <si>
    <t>(一)ㄑㄧㄣ qīn（06510）</t>
  </si>
  <si>
    <t>磬</t>
  </si>
  <si>
    <t>[名]
樂器名，打擊樂器：(1)古代用玉石或金屬製成的打擊樂器。形狀像曲尺，可懸掛在架上。數量不一，有單一的特磬，也有成組排列的編磬。(2)古同「罄」。中空銅製，形狀像缽。寺觀禮佛時所敲奏的樂器。僧人於誦經、法會等活動時敲擊。</t>
  </si>
  <si>
    <t>罄</t>
  </si>
  <si>
    <t>[名]
樂器名，打擊樂器。中空銅製，形狀像缽。寺觀禮佛時所敲奏的樂器。僧人於誦經、法會等活動時敲擊。古同「磬」。
[形]
器皿中空無一物。《說文解字．缶部》：「罄，器中空也。」《詩經．小雅．蓼莪》：「缾之罄矣，維罍之恥。」
[動]
盡、用完。如：「罄其所有」、「罄竹難書」。《梁書．卷四八．儒林列傳．范縝》：「粟罄於惰遊，貨殫於泥木。」</t>
  </si>
  <si>
    <t>謦</t>
  </si>
  <si>
    <t>參見「謦欬」條。</t>
  </si>
  <si>
    <t>凵</t>
  </si>
  <si>
    <t>ㄑㄩ</t>
  </si>
  <si>
    <t>qū</t>
  </si>
  <si>
    <t>[名]
古代用柳條做成的盛飯器。《說文解字．凵部》：「凵，凵盧，飯器，以柳作之。」</t>
  </si>
  <si>
    <t>曲</t>
  </si>
  <si>
    <t>[名]
1.拐彎的地方。如：「山曲」、「河曲」。唐．李白〈惜餘春賦〉：「漢之曲兮江之潭。」
2.事理不直。如：「是非曲直」。《左傳．僖公二十八年》：「若其不還，君退臣犯，曲在彼矣。」
3.心中的隱情。如：「衷曲」、「心曲」、「互通款曲」。
4.偏僻的小地方。如：「鄉曲」。唐．蔣防《霍小玉傳》：「住在勝業坊古寺曲，甫上車門宅是也。」
5.局部、一部分。《荀子．解蔽》：「凡人之患蔽於一曲。」
6.養蠶的器具。《史記．卷五七．絳侯周勃世家》：「勃以織薄曲為生。」
7.姓。如漢代有曲證。
[動]
彎折。通「屈」。如：「曲膝」、「曲突徙薪」。《論語．述而》：「飯疏食飲水，曲肱而枕之，樂亦在其中矣。」
[形]
1.不直的。如：「曲線」、「曲尺」。《晏子春秋．內篇．雜上》：「曲刃鉤之，直兵推之。」
2.不正的、偏邪的。如：「歪曲」、「邪曲」。《戰國策．趙策二》：「窮鄉多異，曲學多辯。」
[副]
1.勉強的。如：「委曲求全」。《鏡花緣》第四六回：「甥女主意已定，務望舅舅曲從。」
2.周全、盡心盡力。如：「曲盡孝道」。《易經．繫辭上》：「曲成萬物而不遺。」</t>
  </si>
  <si>
    <t>(二)ㄑㄩˇ qǔ（06645）</t>
  </si>
  <si>
    <t>蛐</t>
  </si>
  <si>
    <t>參見「蛐蛐兒」、「蛐蟺」等條。</t>
  </si>
  <si>
    <t>[動]
1.一種烹飪方法。用熱油或羹湯澆淋在菜餚上。如：「沏油」、「沏鍋巴」。
2.用水撲滅。如：「把香火兒沏了。」</t>
  </si>
  <si>
    <t>(一)ㄑㄧ qī（06203）</t>
  </si>
  <si>
    <t>佉</t>
  </si>
  <si>
    <t>參見「佉沙」條。</t>
  </si>
  <si>
    <t>呿</t>
  </si>
  <si>
    <t>[動]
張口、開口。《莊子．秋水》：「公孫龍口呿而不合，舌舉而不下，乃逸而走。」</t>
  </si>
  <si>
    <t>胠</t>
  </si>
  <si>
    <t>[名]
1.腋下。《玉篇．肉部》：「胠，腋下也。」
2.古代軍隊的右翼稱為「胠」。《集韻．平聲．魚韻》：「胠，一曰陳右翼。」《左傳．襄公二十三年》：「胠，商子車御侯朝，桓跳為右。」
[動]
1.從旁打開。《莊子．胠篋》：「將為胠篋探囊，發匱之盜。」
2.阻攔。通「阹」。《荀子．榮辱》：「胠於沙而思水，則無逮矣。」《呂氏春秋．士容論．辯士》：「大甽小畝，為青魚胠。」</t>
  </si>
  <si>
    <t>祛</t>
  </si>
  <si>
    <t>[動]
1.消除、驅逐。如：「祛痰」、「祛災」、「祛除迷信」。南朝梁．蕭統〈陶淵明集序〉：「嘗謂有能觀淵明之文者，馳競之情遣，鄙吝之意祛。」
2.舉。通「袪」。《後漢書．卷四〇．班彪傳上》：「張鳳蓋，建華旗，祛黼帷。」</t>
  </si>
  <si>
    <t>袪</t>
  </si>
  <si>
    <t>[名]_x000D_
衣袖、袖口。《詩經．鄭風．遵大路》：「遵大路兮，摻執子之袪兮。」《左傳．僖公五年》：「踰垣而走，披斬其袪。」_x000D_
[動]_x000D_
1.舉起、撩起。《呂氏春秋．恃君覽．達鬱》：「特會朝雨，袪步堂下。」晉．張華〈朽社賦〉：「吉人向風而袪袂。」_x000D_
2.分開、開散。漢．揚雄〈劇秦美新〉：「權輿天地未袪，睢睢盱盱。」_x000D_
3.除去。漢．蔡邕〈郭有道碑文〉：「童蒙賴焉，用袪其蔽。」</t>
  </si>
  <si>
    <t>屈</t>
  </si>
  <si>
    <t>[名]
1.委曲的心意。如：「受屈」、「叫屈」。北齊．顏之推《顏氏家訓．治家》：「代子求官，為夫訴屈。」
2.姓。如戰國時楚國有屈原。
[動]
1.彎曲。如：「屈膝」、「屈指一算」。
2.降服、折服。如：「屈服」。《孟子．滕文公下》：「威武不能屈。」唐．韓愈〈張中丞傳後敘〉：「城陷，賊以刃脅降巡，巡不屈。」
3.降低身分。如：「屈意奉承」、「屈駕光臨」。《三國志．卷二．魏書．文帝紀》：「欲屈己以存道，貶身以救世。」
[形]
1.彎曲不直。《孟子．告子上》：「有無名之指，屈而不信。」
2.短虧、虧損。如：「理屈」、「情屈」。漢．王充《論衡．自紀》：「然則辯言必有所屈，通文猶有所黜。」
[副]
1.勉強、強迫。《三國志．卷三五．蜀書．諸葛亮傳》：「此人可就見，不可屈致也。」
2.冤枉。如：「屈死」、「屈打成招」。</t>
  </si>
  <si>
    <t>詘</t>
  </si>
  <si>
    <t>[動]
1.彎曲。同「屈」。《荀子．勸學》：「若挈裘領，詘五指而頓之，順者不可勝數也。」
2.屈服、折服。《戰國策．秦策一》：「今欲并天下，凌萬乘，詘敵國，制海內，子元元，臣諸侯，非兵不可。」
3.吐詞艱澀、言語鈍拙。通「訥」。《史記．卷一〇三．萬石張叔傳．太史公曰》「仲尼有言：『君子欲訥於言』」句下裴駰集解引徐廣曰：「『訥』字多作『詘』，音同耳。古字假借。」
[副]
1.冤屈。《呂氏春秋．貴直論．壅塞》：「宋王因怒而詘殺之。」
2.反而。《戰國策．秦策四》：「一舉眾而注地於楚，詘令韓魏歸帝重於齊，是王失計也。」
[名]
姓。如漢代有詘強。</t>
  </si>
  <si>
    <t>(二)ㄔㄨˋ chù（08567）</t>
  </si>
  <si>
    <t>镼</t>
  </si>
  <si>
    <t xml:space="preserve">長 </t>
  </si>
  <si>
    <t>參見「繡镼」條。</t>
  </si>
  <si>
    <t>[動]
分別。如：「區別」、「區劃」、「區隔」。《論語．子張》：「譬諸草木，區以別矣。」
[名]
1.地域、一定的範圍。如：「工業區」、「風景區」、「住宅區」。
2.行政區劃的地方自治單位。如：「信義區」、「旗津區」。
3.小屋。《漢書．卷六七．胡建傳》：「時監軍御史為姦，穿北軍壘垣以為賈區。」唐．顏師古．注：「區者，小室之名。」</t>
  </si>
  <si>
    <t>(二)ㄡ ōu（10390）(三)ㄍㄡ gōu（04016）</t>
  </si>
  <si>
    <t>嶇</t>
  </si>
  <si>
    <t>參見「崎嶇」、「嶇嶔」等條。</t>
  </si>
  <si>
    <t>敺</t>
  </si>
  <si>
    <t>[動]
驅逐、驅趕。同「驅」。《孟子．離婁上》：「為湯武敺民者，桀與紂也。」漢．賈誼〈說積貯〉：「今敺民而歸之農，皆著于本。」</t>
  </si>
  <si>
    <t>(二)ㄡ ōu（10394）</t>
  </si>
  <si>
    <t>軀</t>
  </si>
  <si>
    <t>[名]
1.身體。《說文解字．身部》：「軀，體也。」如：「身軀」、「堂堂七尺之軀」。《荀子．勸學》：「小人之學也，入乎耳，出乎口，口耳之間則四寸耳，曷足以美七尺之軀哉。」
2.引申為生命。如：「為國捐軀」。</t>
  </si>
  <si>
    <t>驅</t>
  </si>
  <si>
    <t>[名]
前鋒、領頭者。如：「前驅」、「先驅」。
[動]
1.奔走。如：「驅騁」、「並駕齊驅」、「長驅直入」。
2.鞭馬前進。《詩經．唐風．山有樞》：「子有車馬，弗馳弗驅。」
3.泛指驅趕牲畜。如：「驅牛」、「驅羊」。
4.泛指趕走、逐離。如：「驅散」、「驅蟲」。宋．陸游〈賞山園牡丹有感〉詩：「周漢故都亦豈遠，安得尺箠驅群胡。」
5.駕馭、役使。如：「驅策」。《管子．君臣下》：「沉疑之得民也者，前貴而後賤者為之驅也。」
6.逼使、迫使。如：「驅迫」。《晉書．卷三三．石苞傳》：「苟尊勢所驅，何所不至，望奉法之直繩，不可得也。」</t>
  </si>
  <si>
    <t>[名]
1.蠅類的幼蟲。身體柔軟，色白而長。多生活於不潔淨的地方，以糞土等有機物為食。
2.比喻讒言惡語。《紅樓夢》第五七回：「你這幾天還不乏，趁這會子不歇一歇，還嚼什麼蛆。」
3.酒面的浮沫。宋．歐陽修〈招許主客〉詩：「樓頭破鑑看將滿，甕面浮蛆撥已香。」</t>
  </si>
  <si>
    <t>(二)ㄐㄩ jū（05973）</t>
  </si>
  <si>
    <t>趨</t>
  </si>
  <si>
    <t>[動]
1.快步走、趕著向前走。如：「趨前」、「疾趨而過」。《孟子．公孫丑上》：「其子趨而往視之。」《文選．陶淵明．雜詩二首之二》：「日入群動息，歸鳥趨林鳴。」
2.朝著一定的目的或方向。如：「趨吉避凶」、「時勢所趨」、「趨於一致」。《文選．王襃．四子講德論》：「今夫子閉門距躍，專精趨學有日矣！」
3.依附。如：「趨炎附勢」。《荀子．議兵》：「韓之上地，方數百里，完全富足而趨趙。」
4.古禮中走路欲超前長輩時的小步快走。《論語．微子》：「趨而辟之，不得與之言。」唐．柳宗元〈植靈壽木〉詩：「前趨問長老，重復欣嘉名。」
[名]
走向、歸向。如：「志趨」。《孟子．告子下》：「三子者不同道，其趨一也。一者何也？曰仁也。」</t>
  </si>
  <si>
    <t>(二)ㄘㄨˋ cù（09832）</t>
  </si>
  <si>
    <t>[名]
姓。如元代有瞿信。</t>
  </si>
  <si>
    <t>(二)（(一)之又音）ㄑㄩˊ qú（06638）(三)ㄐㄩˋ jù（06052）</t>
  </si>
  <si>
    <t>劬</t>
  </si>
  <si>
    <t>ㄑㄩˊ</t>
  </si>
  <si>
    <t>qú</t>
  </si>
  <si>
    <t>[動]
勤勞、勞苦。如：「劬學」、「劬勞」。《聊齋志異．卷二．聶小倩》：「甯妻病廢，母劬不可堪。」</t>
  </si>
  <si>
    <t>胊</t>
  </si>
  <si>
    <t>[名]
1.乾肉及其彎曲的部分。《說文解字．肉部》：「胊，脯挺也。」《儀禮．士虞禮》：「胊在南。」漢．鄭玄．注：「胊，脯及乾肉之屈也。」
2.姓。如漢代有胊邴。
[形]
遠。《管子．侈靡》：「古之祭，……有時而胊。」唐．尹知章．注：「胊，遠也。」</t>
  </si>
  <si>
    <t>絇</t>
  </si>
  <si>
    <t>[名]
1.用布縷絲麻搓編成的繩索。唐．皇甫湜〈諭業〉：「淺闢庸種無嘉苗，頹絇疏織無良帛。」
2.古代鞋頭的裝飾品。《禮記．檀弓上》：「繩屨無絇。」
3.姓。如宋代有絇紡。</t>
  </si>
  <si>
    <t>軥</t>
  </si>
  <si>
    <t>[名]
車軛兩邊下卷以利於繫革帶的部分。《說文解字．車部》：「軥，軛下曲者。」清．段玉裁．注：「軛木上平而下為兩坳，加於兩服馬之頸是曰軥。」《左傳．襄公十四年》：「射兩軥而還。」唐．孔穎達．正義：「服虔云：『車軛兩邊叉馬頸者。』」</t>
  </si>
  <si>
    <t>鴝</t>
  </si>
  <si>
    <t>動物名。鶇亞科。身體小，尾巴長，羽毛美麗，嘴短而尖，鳴聲悅耳。如藍歌鴝、紅尾鴝、短翅鴝。</t>
  </si>
  <si>
    <t>鼩</t>
  </si>
  <si>
    <t>渠</t>
  </si>
  <si>
    <t>[名]_x000D_
1.人工挖掘的水道。如：「河渠」、「溝渠」、「水到渠成」。南朝宋．鮑照〈河清頌并序〉：「鳴禽躍魚，滌穢河渠，至祥也。」清．王筠《說文句讀》卷二一：「河者天生之，渠者人鑿之。」_x000D_
2.姓。如漢代有渠參。_x000D_
[代]_x000D_
他，它，指第三人稱。如：「渠等」。《金史．卷六八．列傳．歡都》：「君相之位，皆渠輩為之，奈何？」宋．朱熹〈觀書有感〉詩二首之一：「問渠那得清如許，為有源頭活水來。」_x000D_
[形]_x000D_
1.大、位列首要的。如：「渠酋」、「渠首」。《史記．卷一一七．司馬相如列傳》：「用興法誅其渠帥，巴蜀民大驚恐。」《新唐書．卷一一〇．諸夷蕃將列傳．李多祚》：「討黑水靺鞨，誘其渠長，置酒高會，因醉斬之，擊破其眾。」_x000D_
2.參見「渠渠」條。</t>
  </si>
  <si>
    <t>蕖</t>
  </si>
  <si>
    <t>參見「芙蕖」、「蒗蕖」等條。</t>
  </si>
  <si>
    <t>磲</t>
  </si>
  <si>
    <t>參見「硨磲」條。</t>
  </si>
  <si>
    <t>璩</t>
  </si>
  <si>
    <t>[名]
1.像環的玉器。清．鄭珍《說文新附考》卷一：「璩，環屬。」
2.姓。如漢代有璩光岳。</t>
  </si>
  <si>
    <t>蘧</t>
  </si>
  <si>
    <t>[名]
1.蘧麥：植物名。即瞿麥。石竹科石竹屬，多年生草本。莖高約五十公分。葉對生，披針狀線形，無柄。夏秋季開花，一至二朵頂生，偶近枝端腋生，淡紅色或帶紫色，花瓣邊緣絲狀裂至中部或中上部。蒴果圓筒形，頂端四裂。可供觀賞，亦可入藥。《爾雅．釋草》：「大菊，蘧麥。」晉．郭璞．注：「一名麥句薑，即瞿麥。」
2.姓。如春秋時衛國有蘧伯玉。
[副]
驚喜。《莊子．大宗師》：「成然寐，蘧然覺。」唐．成玄英．疏：「蘧然，是驚喜之貌。」</t>
  </si>
  <si>
    <t>參見「籧篨」條。</t>
  </si>
  <si>
    <t>(二)ㄐㄩˇ jǔ（06029）</t>
  </si>
  <si>
    <t>(一)ㄑㄩ qū（06625）(三)ㄐㄩˋ jù（06052）</t>
  </si>
  <si>
    <t>氍</t>
  </si>
  <si>
    <t>參見「氍毹」條。</t>
  </si>
  <si>
    <t>臞</t>
  </si>
  <si>
    <t>[形]
清瘦、瘦弱。《廣韻．去聲．遇韻》：「臞，瘦。」《史記．卷一一七．司馬相如傳》：「形容甚臞。」宋．陸游〈雪夜作〉詩：「君勿輕臞儒，有志事竟成。」</t>
  </si>
  <si>
    <t>蠷</t>
  </si>
  <si>
    <t>參見「蠷蝚」、「蠷螋」等條。</t>
  </si>
  <si>
    <t>衢</t>
  </si>
  <si>
    <t>[名]
1.四通八達的大路。如：「通衢」、「康衢」。《荀子．勸學》：「行衢道者不至，事兩君者不容。」唐．駱賓王〈與博昌父老書〉：「所恨企予望之，經途密邇，佇中衢而空軫，巾下澤而莫因。」
2.姓。如明代有衢道。</t>
  </si>
  <si>
    <t>躣</t>
  </si>
  <si>
    <t>[形]
走路的樣子。《說文解字．足部》：「躣，行貌。」《楚辭．宋玉．九辯》：「左朱雀之茇茇兮，右蒼龍之躣躣。」</t>
  </si>
  <si>
    <t>麴</t>
  </si>
  <si>
    <t>[名]
1.把麥子或白米蒸過，加入麴種混合，使麴菌繁殖、發酵後再晒乾，稱為「麴」。可用來釀酒。宋．蘇軾〈少年遊．銀塘朱檻麴塵波〉詞：「銀塘朱檻麴塵波，圓綠卷新荷。」也稱為「酒母」、「酒麴」。
2.姓。如晉代有麴崇裕。</t>
  </si>
  <si>
    <t>ㄑㄩˇ</t>
  </si>
  <si>
    <t>qǔ</t>
  </si>
  <si>
    <t>[名]
1.樂歌。如：「歌曲」、「小曲」、「舞曲」、「曲高和寡」。唐．杜甫〈贈花卿〉詩：「此曲祗應天上有，人間能得幾回聞？」
2.文體名。中國古典韻文之一。元時最盛行，故稱為「元曲」。分散曲、劇曲二種。
3.量詞。計算歌曲、樂曲的單位。如：「高歌一曲」。五代十國南唐．李煜〈一斛珠．晚妝初過〉詞：「一曲清歌，暫引櫻桃破。」</t>
  </si>
  <si>
    <t>(一)ㄑㄩ qū（06607）</t>
  </si>
  <si>
    <t>取</t>
  </si>
  <si>
    <t>[動]
1.拿。如：「取款」、「各取所需」、「探囊取物」。唐．常建〈宿五度溪仙人得道處〉詩：「前溪遇新月，聊取玉琴彈。」
2.得到。如：「取樂」、「取暖」、「取信於人」。
3.接受、收受。如：「分文不取」。《孟子．離婁下》：「可以取，可以無取，取傷廉。」
4.捕捉。《詩經．豳風．七月》：「取彼狐貍，為公子裘。」
5.選擇。如：「取士」、「取景」、「取道」、「取名」。《三國演義》第六三回：「統令魏延為先鋒，取南小路而進。」
6.求、尋求。如：「自取滅亡」。《文選．張衡．西京賦》：「列爵十四，競媚取榮。」
7.迎娶。通「娶」。《詩經．豳風．伐柯》：「取妻如何？匪媒不得。」《史記．卷三三．魯周公世家》：「莊公取齊女為夫人曰哀姜。」
[助]
置於動詞後，表示動作的進行。唐．杜秋娘〈金縷衣〉詩：「勸君莫惜金縷衣，勸君惜取少年時。」
[名]
姓。如宋代有取希作。</t>
  </si>
  <si>
    <t>娶</t>
  </si>
  <si>
    <t>[動]
男子迎接女子過門成親。如：「嫁娶」、「娶老婆」、「娶妻娶德」。南朝宋．劉義慶《世說新語．文學》：「裴散騎娶王太尉女。」</t>
  </si>
  <si>
    <t>(二)（讀音）ㄑㄩˋ qù（06652）</t>
  </si>
  <si>
    <t>麮</t>
  </si>
  <si>
    <t>[名]
烏麮：一種葉大花白，可供食用的植物。清．王念孫《廣雅疏證．卷一〇上．釋草》：「烏麮，葍也。」疏證：「郭注云：『大葉白華，根如指，正白可啖。』」</t>
  </si>
  <si>
    <t>(一)ㄑㄩˋ qù（06651）</t>
  </si>
  <si>
    <t>齲</t>
  </si>
  <si>
    <t>參見「齲齒」條。</t>
  </si>
  <si>
    <t>去</t>
  </si>
  <si>
    <t>ㄑㄩˋ</t>
  </si>
  <si>
    <t>qù</t>
  </si>
  <si>
    <t>[動]
1.往、到。與「來」相對。如：「去學校」、「去郊遊」、「去餐館吃飯」。唐．李白〈贈韋祕書子春〉詩二首之二：「終與安社稷，功成去五湖。」
2.離開。如：「去職」。《漢書．卷八五．何武傳》：「去後常見思。」
3.死亡。明．湯顯祖《牡丹亭》第二七齣：「杜衙小姐去三年，待與招魂上九天。」
4.距離。如：「去古已遠。」唐．李白〈蜀道難〉：「連峰去天不盈尺，枯松倒挂倚絕壁。」
5.送、發出。如：「去信」、「去電報」。
6.除掉。如：「去一層皮。」宋．沈括《夢溪筆談．卷三．辯證一》：「不求去礙，而欲見不顛倒，難矣哉！」
7.放棄。《莊子．大宗師》：「離形去知。」《漢書．卷九四．匈奴傳上》：「得漢食物皆去之，以視不如重酪之便美也。」
8.失掉。如：「大勢已去」。《史記．卷八七．李斯傳》：「胥人者，去其幾也。」
[形]
過去的。如：「去年」。《文選．曹操．短歌行》：「譬如朝露，去日苦多。」
[助]
表示事情的進行。相當於「啊」、「了」。如：「他睡覺去了。」、「他上班去了。」唐．李賀〈沙路曲〉：「斷燼遺香褭翠煙，燭騎啼烏上天去。」宋．蘇軾〈海棠〉詩：「只恐夜深花睡去，故燒高燭照紅妝。」
[名]
1.平上去入四聲之一。參見「去聲」條。
2.姓。如漢代有去卑。</t>
  </si>
  <si>
    <t>[名]
麥粥。《荀子．富國》：「夏日則與之瓜麮。」</t>
  </si>
  <si>
    <t>(二)ㄑㄩˇ qǔ（06648）</t>
  </si>
  <si>
    <t>(一)（語音）ㄑㄩˇ qǔ（06647）</t>
  </si>
  <si>
    <t>趣</t>
  </si>
  <si>
    <t>[名]
1.興味。如：「趣味」、「雅趣」、「有趣」、「相映成趣」。唐．李白〈月下獨酌〉詩四首之三：「但得酒中趣，勿為醒者傳。」
2.行動或意志的傾向。如：「志趣」。
3.旨意、意味。如：「旨趣」。《列子．湯問》：「曲每奏，鍾子期輒窮其趣。」
[形]
有興味的。如：「趣事」、「趣聞」。
[動]
行動歸向。通「趨」。《列子．力命》：「農赴時，商趣利。」晉．王羲之〈三月三日蘭亭詩序〉：「雖趣舍萬殊，靜躁不同。」</t>
  </si>
  <si>
    <t>(二)ㄘㄨˋ cù（09823）</t>
  </si>
  <si>
    <t>(一)[形]之語音。</t>
  </si>
  <si>
    <t>(一)ㄑㄧ qī（06220）</t>
  </si>
  <si>
    <t>闃</t>
  </si>
  <si>
    <t>[形]
寂靜無聲。如：「闃寂」。《文選．王粲．登樓賦》：「原野闃其無人兮。」清．林紓〈蒼霞精舍後軒記〉：「鳥雀下集，庭墀闃無人聲。」</t>
  </si>
  <si>
    <t>覷</t>
  </si>
  <si>
    <t>[動]
1.窺伺、偷看。如：「覷探」。《聊齋志異．卷一．賈兒》：「兒覷室無人，自發藥裹，竊盈掬而懷之。」
2.看。如：「冷眼相覷」、「面面相覷」。元．鄭光祖《倩女離魂》第二折：「我覷這萬水千山，都只在一時半霎。」
3.瞇著眼注視。如：「妳老是覷著眼看東西，小心近視加深。」《紅樓夢》第四〇回：「劉姥姥也覷著眼看個不了。」</t>
  </si>
  <si>
    <t>ㄑㄩㄝ</t>
  </si>
  <si>
    <t>quē</t>
  </si>
  <si>
    <t>[名]
有機化合物的一類。為含有碳-碳參鍵的不飽和烴，化性活潑，可進行加成、聚合和氧化等反應。如：「乙炔」。</t>
  </si>
  <si>
    <t>(一)ㄍㄨㄟˋ guì（04289）</t>
  </si>
  <si>
    <t>缺</t>
  </si>
  <si>
    <t>[形]
殘破的。《淮南子．說林》：「為車者步行，陶者用缺盆。」唐．杜甫〈秋日夔州詠懷寄鄭監李賓客一百韻〉：「缺籬將棘拒，倒石賴藤纏。」
[名]
1.缺口、空隙。宋．岳飛〈滿江紅．怒髮衝冠〉詞：「駕長車踏破，賀蘭山缺。」
2.過錯、不完美的地方。如：「缺失」、「完美無缺」。《書經．君牙》：「啟祐我後人，咸以正，罔缺。」
3.職務的空額。如：「遺缺」、「肥缺」、「出缺」、「遇缺不補」。《儒林外史》第二二回：「弟已受職縣令，今發來應天候缺。」
[動]
1.短少、不足。如：「缺人」、「缺貨」。南朝梁．劉勰《文心雕龍．練字》：「是以馬字缺畫，而石建懼死。」
2.衰微、衰弱。《史記．卷一七．漢興以來諸侯王年表．序》：「厲、幽之後，王室缺，侯伯彊國興焉，天子微，弗能正。」南朝梁．劉勰《文心雕龍．史傳》：「昔者夫子閔王道之缺，傷斯文之墜。」
3.應到而未到。如：「缺席」、「缺課」、「缺勤」。</t>
  </si>
  <si>
    <t>闕</t>
  </si>
  <si>
    <t>[名]
1.過失。《文選．司馬遷．報任少卿書》：「次之又不能拾遺補闕。」
2.官職的空位。宋．陳善《捫蝨新話．上集．卷一．前輩讀書不似今人滅裂》：「適有一美闕，二人競欲得之。」
[動]
1.虧損。《禮記．禮運》：「三五而盈，三五而闕。」
2.短少。宋．歐陽修〈與十二侄書〉：「吾不闕此物。」
[形]
1.未足數的。《舊唐書．卷九二．韋陟傳》：「闕員既少，取士良難。」
2.脫漏的。如：「闕文」、「闕字」。</t>
  </si>
  <si>
    <t>(一)ㄑㄩㄝˋ què（06677）</t>
  </si>
  <si>
    <t>瘸</t>
  </si>
  <si>
    <t>ㄑㄩㄝˊ</t>
  </si>
  <si>
    <t>qué</t>
  </si>
  <si>
    <t>[形]
跛腳、行動不便的樣子。如：「瘸腿」。元．岳伯川《鐵拐李》第三折：「你一條腿瘸，你走不動。」</t>
  </si>
  <si>
    <t>ㄑㄩㄝˋ</t>
  </si>
  <si>
    <t>què</t>
  </si>
  <si>
    <t>[動]
畏縮、害怕。如：「畏怯」、「膽怯」。宋．辛棄疾〈鷓鴣天．翰墨諸君久擅場〉詞：「黃花不怯秋風冷，只怕詩人兩鬢霜。」元．許衡〈滿江紅．河上徘徊〉詞：「河上徘徊，未分袂、孤懷先怯。」
[形]
1.嬌羞、忸怩。如：「羞怯」、「嬌怯」。
2.虛弱、懦弱。《史記．卷七〇．張儀傳》：「秦卒與山東之卒，猶孟賁之與怯夫。」《京本通俗小說．志誠張主管》：「一來我們身小力怯，著甚來由吃挨吃攪？」
3.外表或風度不大方、土土的。《兒女英雄傳》第四回：「那賣水煙的一聽這話，就知道這位爺是個怯公子哥兒，便低了頭出去了。」《負曝閑談》第七回：「一舉一動，都存一點小心，怕人家說他怯，笑他不開眼。」</t>
  </si>
  <si>
    <t>(二)（讀音）ㄑㄧㄝˋ qiè（06337）</t>
  </si>
  <si>
    <t>(一)ㄎㄜˋ kè（04447）</t>
  </si>
  <si>
    <t>卻</t>
  </si>
  <si>
    <t>[動]
1.推辭、拒而不受。如：「推卻」。《孟子．萬章下》：「卻之為不恭。」
2.退。如：「退卻」、「卻步」、「卻敵立功」。《文選．賈誼．過秦論》：「乃使蒙恬北築長城而守蕃籬，卻匈奴七百餘里。」唐．白居易〈琵琶行〉：「感我此言良久立，卻坐促弦弦轉急。」
[副]
1.正、恰好。唐．杜甫〈水宿遣興奉呈群公〉詩：「歸路非關北，行舟卻向西。」《水滸傳》第一五回：「他生辰是六月十五日，如今卻是五月初頭。」
2.倒、反。唐．司空圖〈漫書〉詩五首之一：「逢人漸覺鄉音異，卻恨鶯聲似故山。」
3.還、再。唐．李商隱〈夜雨寄北〉詩：「何當共剪西窗燭，卻話巴山夜雨時。」
[連]
但，表示轉折相承。《京本通俗小說．錯斬崔寧》：「雖然沒有十二分顏色，卻也明眉皓齒，蓮臉生春。」
[助]
置動詞後，相當於「掉」、「去」、「了」。如：「忘卻」、「拋卻」。唐．杜甫〈曲江〉詩二首之一：「一片花飛減卻春，風飄萬點正愁人。」</t>
  </si>
  <si>
    <t>埆</t>
  </si>
  <si>
    <t>[形]
土地多石而貧瘠。如：「墝埆」。《後漢書．卷五一．陳龜傳》：「土地塉埆。」</t>
  </si>
  <si>
    <t>确</t>
  </si>
  <si>
    <t>[形]
1.土地多石而貧瘠。通「埆」。《淮南子．人間》：「有寑邱者，其地确石而名醜。」
2.微薄、粗略。《文選．左思．吳都賦》：「庸可共世而論巨細，同年而議豐确乎？」南朝梁．劉勰《文心雕龍．諸子》：「墨翟執儉确之教，尹文課名實之符。」
3.確實、確切。通「確」。《後漢書．卷五二．崔駰傳》：「指切時要，言辯而确。」
[動]
角逐、爭取。《漢書．卷五四．李廣傳》：「李廣材氣，天下亡雙，自負其能，數與虜确。」《新唐書．卷一九二．忠義傳中．張巡傳》：「君世受官，食天子粟，奈何從賊，關弓與我确？」</t>
  </si>
  <si>
    <t>[名]_x000D_
1.動物名。群聚生活於人類周遭環境的一種小型鳥，發聲器發達。羽毛褐色有黑斑。平時捕食昆蟲為生，亦食果實、種子。《詩經．召南．行露》：「誰謂雀無角，何以穿我屋？」宋．梅堯臣〈白鶻圖〉詩：「而今推向深堂上，燕雀屏絕寧來窺。」俗稱為「麻雀」。_x000D_
2.泛指鳥類。《左傳．文公十八年》：「見無禮於其君者誅之，如鷹鸇之逐鳥雀也。」《文選．卷一九．賦．宋玉．高唐賦》：「眾雀嗷嗷。雌雄相失，哀鳴相號。」唐．李善．注：「雀，鳥之通稱。」</t>
  </si>
  <si>
    <t>(二)（語音）ㄑㄧㄠˇ qiǎo（06382）(三)ㄑㄧㄠ qiāo（06347）</t>
  </si>
  <si>
    <t>(一)ㄎㄜˊ ké（04433）(二)（(一)之又音）ㄑㄧㄠˋ qiào（06390）</t>
  </si>
  <si>
    <t>愨</t>
  </si>
  <si>
    <t>[形]
1.恭謹、敬謹。如：「愨士」。《荀子．非十二子》：「其衣逢，其容愨。」
2.誠實、忠厚。《荀子．富國》：「觀其便嬖，則其信者不愨，是闇主已。」《漢書．卷五六．東方朔傳》：「臣聞謙遜靜愨，天表之應，應之以福。」</t>
  </si>
  <si>
    <t>碏</t>
  </si>
  <si>
    <t>[名]
雜色的石頭。《集韻．入聲．藥韻》：「碏，石雜色。」</t>
  </si>
  <si>
    <t>[形]
馬跑得很快的樣子。《廣韻．入聲．藥韻》：「踖，馺也。」</t>
  </si>
  <si>
    <t>(一)ㄐㄧˊ jí（05380）</t>
  </si>
  <si>
    <t>[名]
動物名。鳥綱雀形目。形似烏鴉，尾長六、七寸。背黑，肩、腹、翼皆白。叫聲吵雜，古時以鵲噪為喜兆，故稱為「喜鵲」。今為燕雀類鴉科大型鳥類的通稱。如樹鵲、臺灣藍鵲等。</t>
  </si>
  <si>
    <t>(二)（又音）ㄑㄧㄠˇ qiǎo（06384）</t>
  </si>
  <si>
    <t>搉</t>
  </si>
  <si>
    <t>[動]
1.敲擊。《說文解字．手部》：「搉，敲擊也。」《漢書．卷二七．五行志中之上》：「先是高后鴆殺如意，支斷其母戚夫人手足，搉其眼以為人彘。」唐．顏師古．注：「搉，謂敲擊去其精也。」
2.商量。《文選．左思．吳都賦》：「剖判庶士，商搉萬俗。」也作「榷」。
3.引述。《漢書．卷一〇〇．敘傳下》：「揚搉古今，監世盈虛。」</t>
  </si>
  <si>
    <t>榷</t>
  </si>
  <si>
    <t>[名]
1.獨木橋。《說文解字．木部》：「榷，水上橫木所以渡者也。」
2.賦稅、稅收。元．馬端臨〈文獻通考自序〉：「征榷之途有二：一曰山澤茶鹽坑冶是也；二曰關市酒酤征商是也。」
[動]
1.專賣、專營。如：「榷酒」、「榷茶」。《漢書．卷六十四下．賈捐之傳》：「孝武帝造鹽鐵酒榷之利，以佐用度，猶不能足。」宋．沈括《夢溪筆談．卷一一．官政一》：「聽民間賈販，唯收稅錢，不許官榷。」
2.商量、研討。如：「商榷」。唐．劉知幾《史通．卷三．書志》：「榷而為論，未見其宜。」</t>
  </si>
  <si>
    <t>確</t>
  </si>
  <si>
    <t>[形]
確實、真實。如：「正確」、「千真萬確」。《宋史．卷三四四．李常傳》：「法無新民，便民者良；論無彼己，可久者確。」《老殘遊記二編》第五回：「途中聽人傳說有這一件事，不知道確不確，請他派人密查一查。」
[副]
1.實在。如：「確有高見」。
2.堅定、堅決。《新唐書．卷一三七．郭子儀傳》：「進拜尚書令……子儀確讓。」唐．柳宗元〈與顧十郎文〉：「然者當其時而確固自守，蓄力秉志。」</t>
  </si>
  <si>
    <t>碻</t>
  </si>
  <si>
    <t>[形]
1.堅固。同「確」。《廣韻．入聲．覺韻》：「確，靳固也。或作碻。」
2.真實、確實。同「確」。清．陳作霖〈養龢軒隨筆〉：「張文和公謂此論甚碻，能發杜詩之神髓。」</t>
  </si>
  <si>
    <t>闋</t>
  </si>
  <si>
    <t>[動]
1.事情結束，止息。《後漢書．卷三八．楊琁傳．論曰》：「剽人盜邑者不闋時月，假署皇王者蓋以十數。」宋．周邦彥〈浪濤沙．晝陰重〉詞：「南陌脂車待發，東門帳飲乍闋。」
2.喪制滿期。唐．陳元光〈太母魏氏半徑題石〉詩：「憂闋情猶結，祥回禫屆期。」
3.曲終。唐．韓愈〈感春〉詩五首之二：「孤吟屢闋莫與和，寸恨至短誰能裁。」
[名]
1.曲調。《文選．馬融．長笛賦》：「曲終闋盡，餘絃更興。」宋．歐陽修〈玉樓春．尊前擬把歸期說〉詞：「離歌且莫翻新闋，一曲能教腸寸結。」
2.量詞。計算歌、詞、曲的單位。《史記．卷七．項羽本紀》：「歌數闋，美人和之。」
3.空缺。通「缺」。漢．王符《潛夫論．邊議》：「傳子孫者，思安萬世，寄其身者，各取一闋。」</t>
  </si>
  <si>
    <t>[名]
1.古代宮門外兩邊供瞭望的樓臺，中有通道。《史記．卷八．高祖本紀》：「蕭丞相，營未央宮，立東闕、北闕、前殿、武庫、太倉。」唐．白居易〈長恨歌〉：「九重城闕煙塵生，千乘萬騎西南行。」
2.泛指帝王居住的地方。《莊子．讓王》：「身在江海之中，心居乎魏闕之下。」宋．岳飛〈滿江紅．怒髮衝冠〉詞：「待重頭收拾舊山河，朝天闕。」
3.姓。如漢代有闕翊。</t>
  </si>
  <si>
    <t>(二)ㄑㄩㄝ quē（06659）</t>
  </si>
  <si>
    <t>弮</t>
  </si>
  <si>
    <t>ㄑㄩㄢ</t>
  </si>
  <si>
    <t>quān</t>
  </si>
  <si>
    <t>[名]
弩的弓弦。《集韻．平聲．仙韻》：「絭，弩絭，或從弓。」宋．辛棄疾〈美芹十論．守淮〉：「臣竊謂解雜亂紛糾者不控弮，救鬥者不搏撠。」</t>
  </si>
  <si>
    <t>[名]
1.外圓中空的東西或形狀。如：「項圈」、「花圈」。
2.指特定的行業範疇。如：「電影圈」、「圈內人」。
3.量詞。計算環繞次數的單位。如：「三圈鐵絲」、「繞場一圈」。
[動]
1.把四周包圍、環繞起來。如：「把這塊地圈起來。」
2.畫圈作記號。如：「圈點」、「圈選」。</t>
  </si>
  <si>
    <t>(二)ㄑㄩㄢˋ quàn（06708）(三)ㄐㄩㄢ juān（06133）(四)ㄐㄩㄢˋ juàn（06144）</t>
  </si>
  <si>
    <t>棬</t>
  </si>
  <si>
    <t>[名]
曲木製成的盂。《廣韻．平聲．仙韻》：「棬，器，似升，屈木作。」《孟子．告子上》：「子能順杞柳之性而以為桮棬乎？」《舊唐書．卷七．中宗本紀》：「幸臨渭亭修禊飲，賜群官柳棬以辟惡。」</t>
  </si>
  <si>
    <t>悛</t>
  </si>
  <si>
    <t>[動]
悔改。如：「怙惡不悛」。唐．白居易〈策林一．十六議祥瑞〉：「故王者不懼妖之不滅，而懼過之不悛。」明．陸灼《艾子後語．凍兒譎諫》：「每加榎楚而不悛。」</t>
  </si>
  <si>
    <t>全</t>
  </si>
  <si>
    <t>ㄑㄩㄢˊ</t>
  </si>
  <si>
    <t>quán</t>
  </si>
  <si>
    <t>[形]
1.完備、不缺。如：「齊全」、「文武雙全」。宋．蘇軾〈水調歌頭．明月幾時有〉詞：「人有悲歡離合，月有陰晴圓缺，此事古難全。」
2.整個的。如：「全家」、「全人類」、「全神貫注」、「全軍覆沒」。《漢書．卷五一．枚乘傳》：「今漢據全秦之地，兼六國之眾。」
[副]
皆、都。如：「全自動化」、「將課文全背下來！」、「這事全靠你幫忙了！」宋．辛棄疾〈西江月．醉裡且貪歡笑〉詞：「近來始覺古人書，信著全無是處。」
[動]
使完整而沒有缺憾。如：「保全」、「苟全」、「顧全大局」。《文選．司馬遷．報任少卿書》：「今舉事一不當，而全軀保妻子之臣，隨而媒孽其短，僕誠私心痛之。」
[名]
姓。如清代有全祖望。</t>
  </si>
  <si>
    <t>佺</t>
  </si>
  <si>
    <t>[名]
偓佺：古代傳說中的仙人。《說文解字．人部》：「偓，偓佺，古仙人名也。」《史記．卷一一七．司馬相如傳》：「靈圉燕於閒觀，偓佺之倫暴於南容。」裴駰集解引《漢書音義》曰：「偓佺，仙人名也。」</t>
  </si>
  <si>
    <t>荃</t>
  </si>
  <si>
    <t>[名]
一種香草。《玉篇．艸部》：「荃，香草也。」《楚辭．屈原．離騷》：「荃不察余之中情兮，反信讒而齌怒。」</t>
  </si>
  <si>
    <t>牷</t>
  </si>
  <si>
    <t>[名]
1.純色的牛。《說文解字．牛部》：「牷，牛純色。」
2.完整的牲體。《書經．微子》：「今殷民乃攘竊神祇之犧牷牲。」</t>
  </si>
  <si>
    <t>痊</t>
  </si>
  <si>
    <t>[動]
病除、康復。如：「痊癒」。南朝宋．謝靈運〈辨宗論．荅王衛軍問〉：「譬如藥驗者疾易痊。」</t>
  </si>
  <si>
    <t>筌</t>
  </si>
  <si>
    <t>[名]
捕魚的竹器。《廣韻．平聲．先韻》：「筌，取魚竹器。」《莊子．外物》：「筌者所以在魚，得魚而忘筌。」《文選．嵇康．贈秀才入軍詩五首之四》：「嘉彼釣叟，得魚忘筌。」</t>
  </si>
  <si>
    <t>詮</t>
  </si>
  <si>
    <t>[動]
解釋、評說事理。如：「詮釋」。《晉書．卷四五．武陔傳》：「文帝甚親重之，數與詮論時人。」唐．元稹〈解秋〉詩一〇首之一〇：「我懷有時極，此意何由詮！」
[名]
真理。《淮南子．兵略》：「發必中詮，言必合數。」唐．杜甫〈秋日夔州詠懷寄鄭監李賓客一百韻〉：「落帆追宿昔，衣褐向真詮。」</t>
  </si>
  <si>
    <t>輇</t>
  </si>
  <si>
    <t>[名]
沒有輻的車輪。《說文解字．車部》：「輇，無輻也。」
[動]
衡量。《集韻．平聲．仙韻》：「輇，量度也。」清．朱鶴齡〈吳弘人示余漢槎秋笳集感而有作〉詩：「方今網羅開，輇材咸得試。」</t>
  </si>
  <si>
    <t>跧</t>
  </si>
  <si>
    <t>[動]
1.踢。《說文解字．足部》：「跧，蹴也。」
2.踡曲、蹲伏。《文選．王延壽．魯靈光殿賦》：「狡兔跧伏於柎側，猿狖攀椽而相追。」</t>
  </si>
  <si>
    <t>銓</t>
  </si>
  <si>
    <t>[動]_x000D_
1.衡量。《國語．吳語》：「不智，則不知民之極，無以銓度天下之眾寡。」漢．王充《論衡．對作》：「故《論衡》者，所以銓輕重之言，立真偽之平。」_x000D_
2.選擇官吏。如：「銓敘」、「銓選」。《魏書．卷八．世宗紀》：「而中正所銓，但存門第，吏部彞倫，仍不才舉。」_x000D_
[名]_x000D_
姓。如漢代有銓徵。</t>
  </si>
  <si>
    <t>醛</t>
  </si>
  <si>
    <t>[名]
一種含羰基的有機化合物。羰基的碳原子一端接氫原子，另一端接氫原子或烴基。係一級醇氧化之初產物。如：「甲醛」、「乙醛」。</t>
  </si>
  <si>
    <t>[形]
1.彎曲的。如：「卷枝」、「卷曲」。
2.好。《詩經．陳風．澤陂》：「有美一人，碩大且卷。」漢．毛亨．傳：「卷，好貌。」</t>
  </si>
  <si>
    <t>(一)ㄐㄩㄢˋ juàn（06140）(二)ㄐㄩㄢˇ juǎn（06137）</t>
  </si>
  <si>
    <t>拳</t>
  </si>
  <si>
    <t>[名]
1.手屈指捲握成的形狀。如：「雙手握拳。」、「揮拳打人。」
2.一種徒手搏擊的武術。如：「打拳」、「太極拳」、「少林拳」。
3.量詞。計算拳頭出擊的單位。如：「他連揮三拳，全部落空。」
4.姓。如春秋時衛國有拳彌。
[動]
彎曲。如：「拳起腿來。」北齊．顏之推《顏氏家訓．勉學》：「時又患疥，手不得拳，膝不得屈。」唐．柳宗元〈種樹郭橐駝傳〉：「他植者則不然，根拳而土易。」</t>
  </si>
  <si>
    <t>惓</t>
  </si>
  <si>
    <t>參見「惓惓」條。</t>
  </si>
  <si>
    <t>蜷</t>
  </si>
  <si>
    <t>[形]
爬蟲身體扭曲的樣子。《廣韻．平聲．先韻》：「蜷，蟲形詰屈。」
[動]
縮伏、屈曲。如：「小貓吃飽後，蜷在沙發上睡著了。」</t>
  </si>
  <si>
    <t>踡</t>
  </si>
  <si>
    <t>[動]
縮伏、拳曲。明．李時珍《本草綱目．卷五一．獸部．風貍》：「晝則踡服不動如蝟，夜則因風騰躍甚捷。」《聊齋志異．卷二．蓮香》：「踡其體不盈二尺。」</t>
  </si>
  <si>
    <t>鬈</t>
  </si>
  <si>
    <t>[形]
毛髮卷曲的。如：「鬈髮」、「鬈毛狗」、「鬈獅異獸」。</t>
  </si>
  <si>
    <t>泉</t>
  </si>
  <si>
    <t>[名]
1.水的源頭。《文選．曹冏．六代論》：「夫泉竭則流涸。」宋．歐陽修〈醉翁亭記〉：「峰回路轉，有亭翼然，臨於泉上者，醉翁亭也。」
2.地下水。宋．蘇軾〈潮州韓文公廟碑〉：「譬如鑿井得泉，而曰水專在是，豈理也哉？」
3.人死後所在的地方。如：「黃泉」、「九泉」。《文選．王粲．七哀詩二首之一》：「悟彼下泉人，喟然傷心肝。」唐．白居易〈夜遇微之於峽中〉詩：「往事渺茫都似夢，舊遊流落半歸泉。」
4.古代的錢幣。錢的流行像泉水一樣，故稱為「泉」。如：「泉布」、「刀泉」、「貨泉」。《管子．輕重丁》：「凡稱貸之家，出泉參千萬，出粟參數千萬鍾。」
5.姓。如唐代有泉男生。</t>
  </si>
  <si>
    <t>縓</t>
  </si>
  <si>
    <t>[名]
只染色一次的赤黃色絲帛。《說文解字．糸部》：「縓，帛赤黃色也。一染謂之縓。」</t>
  </si>
  <si>
    <t>權</t>
  </si>
  <si>
    <t>[名]
1.古代稱測量重量的砝碼或秤錘。以鐵或銅製成。《論語．堯曰》：「謹權量，審法度。」《莊子．胠篋》：「為之權衡以稱之。」
2.變通的理念。如：「通權達變」。《孟子．離婁上》：「男女授受不親，禮也；嫂溺援之以手者，權也。」《儒林外史》第四回：「禮有經，亦有權，想沒有甚麼行不得處。」
3.勢力。如：「權力」、「大權在握」。《文選．賈誼．過秦論》：「然秦以區區之地，致萬乘之權，招八州而朝同列，百有餘年矣。」
4.因自然或人為環境（如法律規定）所產生的力量與利益。如：「人權」、「政權」、「投票權」、「土地所有權」。
5.姓。如唐代有權德輿。
[動]
衡量。《孟子．梁惠王上》：「權然後知輕重，度然後知長短。」
[副]
暫且。如：「權充」。南朝梁．沈約〈晉書選舉志九品論〉：「漢末喪亂，魏武時始創，軍中倉卒，權立九品。」《水滸傳》第八六回：「盧俊義道：『軍士廝殺了一日，神思困倦，且就這里權歇一宵，暫停戰馬，明日卻尋歸路。』」</t>
  </si>
  <si>
    <t>顴</t>
  </si>
  <si>
    <t>[名]
眼睛下方，腮上突起的部分。如：「顴骨」。《北齊書．卷一．神武帝紀上》：「長頭高顴。」</t>
  </si>
  <si>
    <t>犬</t>
  </si>
  <si>
    <t>ㄑㄩㄢˇ</t>
  </si>
  <si>
    <t>quǎn</t>
  </si>
  <si>
    <t>[名]
1.動物名。即狗。哺乳綱食肉目。嗅覺、聽覺異常敏銳，馴化後，可守衛門戶或幫助打獵。
2.二一四部首之一。</t>
  </si>
  <si>
    <t>畎</t>
  </si>
  <si>
    <t>[名]
1.田間的小溝。《字彙．田部》：「畎，田中溝廣尺深尺曰畎。」《書經．益稷》：「予決九川距四海，濬畎澮，距川。」宋．陸游〈村居遣興〉詩：「築陂濬畎更相勉。」
2.山谷通水的地方。《書經．禹貢》：「岱畎，絲、枲、鉛、松、怪石。」漢．孔安國．傳：「畎，谷也。……岱山之谷出此五物，皆貢之。」</t>
  </si>
  <si>
    <t>甽</t>
  </si>
  <si>
    <t>[名]
田間的小水溝。同「畎」。《呂氏春秋．士容論．辯士》：「畝欲廣以平，甽欲小以深。」《文選．王融．永明九年策秀才文》：「清甽泠風，述遵無廢。」</t>
  </si>
  <si>
    <t>綣</t>
  </si>
  <si>
    <t>券</t>
  </si>
  <si>
    <t>ㄑㄩㄢˋ</t>
  </si>
  <si>
    <t>quàn</t>
  </si>
  <si>
    <t>[名]
1.古代的一種契約。如：「鐵券」、「買地券」。北齊．顏之推《顏氏家訓．勉學》：「鄴下諺云：『博士買驢，書券三紙，未有驢字。』」
2.具有價值，可以買賣、抵押或轉讓的票據。如：「債券」、「禮券」、「證券」。
3.可作憑證的紙票。如：「入場券」、「優待券」、「購物點券」。</t>
  </si>
  <si>
    <t>參見「圈兒」、「圈子」等條。</t>
  </si>
  <si>
    <t>(一)ㄑㄩㄢ quān（06679）(三)ㄐㄩㄢ juān（06133）(四)ㄐㄩㄢˋ juàn（06144）</t>
  </si>
  <si>
    <t>勸</t>
  </si>
  <si>
    <t>[動]
1.鼓勵、獎勵。《左傳．成公二年》：「所以懲不敬，勸有功也。」《國語．越語上》：「果行，國人皆勸，父勉其子，兄勉其弟，婦勉其夫。」
2.善言開導他人。如：「勸告」、「規勸」、「勸誡」、「勸導」。《史記．卷六八．商君列傳》：「勸秦王顯巖穴之士。」唐．王維〈渭城曲〉：「勸君更盡一杯酒，西出陽關無故人。」</t>
  </si>
  <si>
    <t>逡</t>
  </si>
  <si>
    <t>ㄑㄩㄣ</t>
  </si>
  <si>
    <t>qūn</t>
  </si>
  <si>
    <t>[動]
1.往復、循環。《說文解字．辵部》：「逡，復也。」清．段玉裁．注：「《方言》：『躔、逡，循也。日運為躔，月運為逡。』」
2.退卻。《玉篇．辵部》：「逡，退也，卻也。」《漢書．卷五八．公孫弘傳》：「有功者上，無功者下，則群臣逡。」</t>
  </si>
  <si>
    <t>踆</t>
  </si>
  <si>
    <t>[動]
退、止。《文選．張衡．東京賦》：「千官萬品，已事而踆。」唐．李善．注：「已，止也。踆，退也。謂品秩官僚等，並止事而退還也。」
[形]
踆踆：(1)鳥獸行走的樣子。《文選．張衡．西京賦》：「怪獸陸梁，大雀踆踆。」唐．李善．注：「踆踆，大雀容也。」唐．杜甫〈封西岳賦〉：「麒麟踆踆而在郊，鳳凰蔚跂而來遊。」(2)腳步遲緩的樣子。唐．杜甫〈奉贈韋左丞丈二十二韻〉：「焉能心怏怏，祗是走踆踆。」</t>
  </si>
  <si>
    <t>(一)ㄘㄨㄣ cūn（09904）</t>
  </si>
  <si>
    <t>裙</t>
  </si>
  <si>
    <t>ㄑㄩㄣˊ</t>
  </si>
  <si>
    <t>qún</t>
  </si>
  <si>
    <t>[名]
1.古時下裳的通稱，今指裙子。漢．劉熙《釋名．釋衣服》：「裙，下群也。連接裾幅也。」如：「窄裙」、「百褶裙」。
2.鱉甲的邊緣。明．張自烈《正字通．衣部》：「裙，鱉甲邊曰裙。」</t>
  </si>
  <si>
    <t>群</t>
  </si>
  <si>
    <t>[名]_x000D_
1.相聚一起的人或物。如：「鳥群」、「三五成群」、「鶴立雞群」。《禮記．檀弓上》：「吾離群而索居，亦已久矣。」唐．白居易〈與元九書〉：「群分而氣同，形異而情一。」_x000D_
2.群育的簡稱。如：「德、智、體、群、美，五育並重。」_x000D_
3.量詞。計算群聚的人或物的單位。如：「一群牛」、「一群小孩」。《紅樓夢》第二七回：「只見寶釵出來了，寶玉、襲人一群人都送了出來。」_x000D_
[動]_x000D_
聚集、聚合。《國語．齊語》：「令夫士，群萃而州處。」《荀子．勸學》：「草木疇生，禽獸群焉，物各從其類也。」_x000D_
[形]_x000D_
1.眾多。如：「群英」、「群經諸子」。《禮記．中庸》：「體群臣也。」唐．王勃〈滕王閣序〉：「登高作賦，是所望於群公。」_x000D_
2.成群的。如：「群島」、「群峰」、「群居」。_x000D_
[副]_x000D_
群集、成群。如：「群起而攻之。」《楚辭．屈原．九章．懷沙》：「邑犬之群吠兮，吠所怪也。」</t>
  </si>
  <si>
    <t>[副]
成群。如：「麇集」。《左傳．昭公五年》：「求諸侯而麇至。」晉．杜預．注：「麇，群也。」</t>
  </si>
  <si>
    <t>(一)ㄐㄩㄣ jūn（06162）</t>
  </si>
  <si>
    <t>芎</t>
  </si>
  <si>
    <t>ㄑㄩㄥ</t>
  </si>
  <si>
    <t>qiōng</t>
  </si>
  <si>
    <t>參見「芎藭」條。</t>
  </si>
  <si>
    <t>(二)（(一)之又音）ㄑㄩㄥˊ qióng（06720）(三)（語音）ㄒㄩㄥ xiōng（07459）</t>
  </si>
  <si>
    <t>穹</t>
  </si>
  <si>
    <t>[動]
窮盡。《說文解字．穴部》：「穹，窮也。」《詩經．豳風．七月》：「穹窒熏鼠，塞向墐戶。」唐．孔穎達．正義：「故穹為窮，言窮盡塞其窟穴也。」
[形]
1.高大。如：「穹石」。《文選．司馬相如．長門賦》：「正殿塊以造天兮，鬱並起而穹崇。」
2.深。《文選．班固．西都賦》：「其陽則崇山隱天，幽林穹谷。」
3.中間隆起四邊下垂的樣子。《周禮．冬官考工記．韗人》：「穹者三之一。」鄭玄注引鄭司農云：「（穹）謂鼓木腹穹隆者，居鼓三之一也。」
[名]
天空。如：「蒼穹」、「清穹」。唐．李白〈暮春於江夏送張祖監丞之東都序〉：「手弄白日，頂摩青穹。」</t>
  </si>
  <si>
    <t>(二)（又音）ㄑㄩㄥˊ qióng（06721）</t>
  </si>
  <si>
    <t>銎</t>
  </si>
  <si>
    <t>[名]
1.斧上裝柄的部分。《說文解字．金部》：「銎，斤斧穿也。」清．段玉裁．注：「謂斤斧之孔所以受柄者。」
2.戈矛之類的刀刃下口。《清史稿．卷一〇〇．樂志七》：「蓄銳淬戈銎，選堅製兜鍪。」</t>
  </si>
  <si>
    <t>邛</t>
  </si>
  <si>
    <t>ㄑㄩㄥˊ</t>
  </si>
  <si>
    <t>qióng</t>
  </si>
  <si>
    <t>[名]
1.小土山。《詩經．陳風．防有鵲巢》：「防有鵲巢，邛有旨苕。」漢．毛亨．傳：「邛，丘也。」唐．孔穎達．正義：「美草多生於高丘也。」
2.勞、病。《詩經．小雅．小旻》：「我視謀猶，亦孔之邛。」漢．毛亨．傳：「邛，病也。」
3.參見「邛崍山」條。
4.姓。如周代有邛疏。</t>
  </si>
  <si>
    <t>筇</t>
  </si>
  <si>
    <t>[名]
1.一種竹子。實心節高，適於作枴杖。晉．常璩《華陽國志．卷二．漢中志》：「琉璃、火浣之布、蒲桃之酒、筇竹、蒟醬，殊方奇玩，盈於市朝。」宋．吳自牧《夢粱錄．卷一八．花之品》：「三弄笛聲風過耳，一枝筇影月隨身。」
2.竹杖。因筇竹可為杖，故稱杖為「筇」。唐．韓偓〈江岸閒步〉詩：「一手攜書一杖筇，出門何處覓情通。」《西遊記》第一四回：「那裡面有一老者，扶筇而出。」</t>
  </si>
  <si>
    <t>(一)（讀音）ㄑㄩㄥ qiōng（06715）(三)（語音）ㄒㄩㄥ xiōng（07459）</t>
  </si>
  <si>
    <t>(一)ㄑㄩㄥ qiōng（06716）</t>
  </si>
  <si>
    <t>惸</t>
  </si>
  <si>
    <t>[名]
沒有兄弟的人。《周禮．秋官．大司寇》：「凡遠、近、惸、獨、老、幼之欲有復於上，而其長弗達者，立於肺石。」漢．鄭玄．注：「無兄弟曰惸。」
[形]
1.孤獨。《詩經．小雅．正月》：「哿矣富人，哀此惸獨。」
2.憂愁。參見「惸惸」條。</t>
  </si>
  <si>
    <t>蛩</t>
  </si>
  <si>
    <t>[名]
蟋蟀的別名。參見「蟋蟀」條。</t>
  </si>
  <si>
    <t>跫</t>
  </si>
  <si>
    <t>[擬]
形容腳步聲。《莊子．徐无鬼》：「聞人足音跫然而喜矣。」</t>
  </si>
  <si>
    <t>煢</t>
  </si>
  <si>
    <t>[形]
1.鳥回轉疾飛。《說文解字．卂部》：「煢，回疾也。」清．段玉裁．注：「煢，回轉之疾飛也。」
2.憂愁。《玉篇．卂部》：「煢，憂思也。」《漢書．卷九七．外戚傳上．孝武李夫人》：「神煢煢以遙思兮，精浮游而出疆。」
3.孤獨無依的樣子。如：「煢煢」、「煢獨」。</t>
  </si>
  <si>
    <t>窮</t>
  </si>
  <si>
    <t>[形]_x000D_
1.終極、盡頭。如：「理屈詞窮」、「層出不窮」。《晉書．卷五二．列傳．阮种》：「德逮群生，澤被區宇，聲施無窮，而典垂百代。」_x000D_
2.貧乏、貧寒。如：「窮漢」、「窮酸」、「貧窮」。《荀子．大略》：「多有之者富，少有之者貧，至無有者窮。」《儒林外史》第五回：「況他又心慈，見那些窮親戚，自己喫不成，也要把人喫；穿不成的，也要把人穿。」_x000D_
3.困阨、不顯達。《論語．衛靈公》：「君子亦有窮乎？」《孟子．盡心上》：「窮則獨善其身，達則兼善天下。」《醒世恆言．卷二〇．張廷秀逃生救父》：「繇來白屋出公卿，到底窮通未可憑。」_x000D_
4.荒僻、偏遠。如：「窮鄉僻壤」、「深山窮谷」。《淮南子．脩務》：「段干木不趨勢利，懷君子之道，隱處窮巷，聲施千里。」唐．劉得仁〈塞上行作〉詩：「鄉井從離別，窮邊觸目愁。」宋．陸游〈夜讀兵書〉詩：「孤燈耿霜夕，窮山讀兵書。」_x000D_
[名]_x000D_
貧困。《論語．衛靈公》：「君子固窮，小人窮斯濫矣。」_x000D_
[動]_x000D_
詳細追究、徹底探究。《易經．說卦》：「窮理盡性，以至於命。」《禮記．月令》：「物勒工名以考其誠，功有不當必行其罪，以窮其情。」晉．陶淵明〈桃花源記〉：「復前行，欲窮其林。」宋．張耒〈送畢公叔奉詔赴陝西〉詩：「文如翻河注浩渺，學有要會窮根荄。」_x000D_
[副]_x000D_
1.徹底。如「窮追不捨」。《後漢書．卷五四．楊震列傳》：「震少好學，受《歐陽尚書》於太常桓郁，明經博覽，無不窮究。」南朝梁．任昉〈彈奏曹景宗〉：「遂令孤城窮守，力屈凶威。」清．唐孫華〈鷹坊歌與夏重愷功同賦〉：「白山黑水出異產，在昔遼代曾窮搜。」_x000D_
2.極端、非常。如：「窮奢極侈」。《晉書．卷二八．五行志中》：「至元康末，窮凶極亂，僵屍流血之應也。」《宋史．卷三一三．列傳．文彥博》：「彥博雖窮貴極富，而平居接物謙下，尊德樂善，如恐不及。」_x000D_
3.徒然、白白地。如：「窮開心」。《金瓶梅詞話》第八八回：「不知我終日窮忙的是些甚麼。」</t>
  </si>
  <si>
    <t>藭</t>
  </si>
  <si>
    <t>瞏</t>
  </si>
  <si>
    <t>[形]
1.受驚而兩眼直視的樣子。《說文解字．目部》：「瞏，目驚視也。」
2.孤獨無依的樣子。明．張自烈《正字通．目部》：「瞏，無所依也。」</t>
  </si>
  <si>
    <t>璚</t>
  </si>
  <si>
    <t>[名]
一種美玉。同「瓊」。《說文解字．玉部》：「璚，瓊或從矞。」</t>
  </si>
  <si>
    <t>[形]
孤獨。同「惸」、「煢」。《集韻．平聲．清韻》：「嬛，獨也。或作惸。通作煢。」《詩經．大雅．閔予小子》：「閔予小子，遭家不造，嬛嬛在疚。」漢．鄭玄．箋：「家道未成嬛嬛然，孤特在憂病之中。」</t>
  </si>
  <si>
    <t>(二)ㄒㄩㄢ xuān（07365）(三)ㄏㄨㄢˊ huán（05166）</t>
  </si>
  <si>
    <t>瓊</t>
  </si>
  <si>
    <t>[名]
1.一種美玉。《廣韻．平聲．清韻》：「瓊，玉名。」《詩經．衛風．木瓜》：「投我以木瓜，報之以瓊琚。」漢．毛亨．傳：「瓊，玉之美者。」
2.骰子。《後漢書．卷三四．梁統傳》「六博」句下章懷太子注引鮑宏博經曰：「用十二棋，六棋白，六棋黑。所擲頭謂之瓊。」
[形]
美好的、精美的。如：「瓊漿」、「瓊樓玉宇」。《紅樓夢》第三五回：「只因那寶玉聞得傅試有個妹子，名喚傅秋芳，也是個瓊閏秀玉。」</t>
  </si>
  <si>
    <t>藑</t>
  </si>
  <si>
    <t>參見「藑茅」條。</t>
  </si>
  <si>
    <t>兮</t>
  </si>
  <si>
    <t>ㄒㄧ</t>
  </si>
  <si>
    <t>xī</t>
  </si>
  <si>
    <t>[助]
用於句中或句末，相當於「啊」：(1)表示感嘆的語氣。《詩經．唐風．綢繆》：「子兮子兮，如此良人何？」《史記．卷七．項羽本紀》：「力拔山兮氣蓋世，時不利兮騅不逝。」(2)表示贊嘆、肯定的語氣。《詩經．鄭風．羔裘》：「彼其之子，邦之彥兮。」</t>
  </si>
  <si>
    <t>西</t>
  </si>
  <si>
    <t>[名]
1.方位名。為日落的一方，與「東」相對。如：「由西往東」。
2.稱歐美西方國家。如：「中西合併」。
3.西班牙的簡稱。
4.姓。如明代有西鳴岐。
[形]
1.西邊的。如：「日落西山」。
2.西方國家的、歐美國家的。如：「西服」、「西餐」、「西裝」、「西醫」。</t>
  </si>
  <si>
    <t>恓</t>
  </si>
  <si>
    <t>參見「恓惶」條。</t>
  </si>
  <si>
    <t>[副]
參見「栖栖」條。
[動]
停留、休息。通「棲」。《莊子．盜跖》：「晝拾橡栗，暮栖木上。」</t>
  </si>
  <si>
    <t>(二)（又音）ㄑㄧ qī（06211）</t>
  </si>
  <si>
    <t>氥</t>
  </si>
  <si>
    <t>[名]
化學元素。氙的舊譯。</t>
  </si>
  <si>
    <t>硒</t>
  </si>
  <si>
    <t>[名]
（selenium，Se）化學元素。原子序34。非金屬元素之一。有毒，有結晶硒及非結晶硒之分。結晶硒為鐵灰色，非結晶硒為暗紅色。用於分析化學、冶金學和光電管等。</t>
  </si>
  <si>
    <t>粞</t>
  </si>
  <si>
    <t>[名]
碎米。《玉篇．米部》：「粞，碎米。」宋．蘇軾〈吳中田婦歎〉：「汗流肩赬載入市，價賤乞與如糠粞。」宋．陸游〈老雞〉詩：「碓下糠粞幸不乏，何妨相倚過餘生。」</t>
  </si>
  <si>
    <t>扱</t>
  </si>
  <si>
    <t>[動]
1.收斂、收取。《禮記．曲禮上》：「以箕自鄉而扱之。」漢．鄭玄．注：「扱，謂收糞時也。箕去棄物以鄉尊者則不恭。」
2.到、及。《儀禮．士昏禮》：「婦拜扱地。」漢．鄭玄．注：「扱地，手至地也。」</t>
  </si>
  <si>
    <t>吸</t>
  </si>
  <si>
    <t>[動]
1.用口或鼻將氣體引入體內。如：「吸氣」、「吸菸」。《莊子．逍遙遊》：「不食五穀，吸風飲露。」
2.飲、喝。《楚辭．屈原．九章．悲回風》：「吸湛露之浮源兮，漱凝霜之雰雰。」宋．陸游〈醉歌〉：「方我吸酒時，江山入胸中。」
3.攝取、容納。如：「吸取經驗」、「吸收養分」。唐．張九齡〈登南嶽事畢謁司馬道士〉詩：「吸精反自然，鍊藥求不死。」</t>
  </si>
  <si>
    <t>希</t>
  </si>
  <si>
    <t>[形]
少有、不多。通「稀」。如：「希罕」、「物以希為貴」、「人生七十古來希」。《論語．公冶長》：「不念舊惡，怨是用希。」
[動]
1.渴望、懇求。如：「希求」、「希冀」。《後漢書．卷二三．竇融傳》：「憲威權震朝庭，公卿希旨，奏憲位次太傅下，三公上。」北齊．顏之推《顏氏家訓．文章》：「必有盛才重譽改革體裁者，實吾所希。」
2.仰慕。《文選．左思．詠史詩八首之三》：「吾希段干木，偃息藩魏君；吾慕魯仲連，談笑卻秦軍。」
3.止、漸歇。《論語．先進》：「鼓瑟希，鏗爾，舍瑟而作。」
[名]
姓。如宋代有希繢。</t>
  </si>
  <si>
    <t>浠</t>
  </si>
  <si>
    <t>參見「浠水」條。</t>
  </si>
  <si>
    <t>悕</t>
  </si>
  <si>
    <t>[動]
1.想念。《玉篇．心部》：「悕，念也，願也。」
2.悲痛。《廣韻．平聲．微韻》：「悕，悲也。」《公羊傳．成公十六年》：「在招丘悕矣。」</t>
  </si>
  <si>
    <t>唏</t>
  </si>
  <si>
    <t>[動]
哀嘆、哀痛而不哭的樣子。通「欷」。漢．揚雄《方言》卷一：「唏，痛也，哀而不泣曰『唏』。於方則楚言哀曰『唏』。」《淮南子．說山》：「紂為象箸而箕子唏，魯以偶人葬而孔子嘆。」
[擬]
1.形容笑聲。《西遊記》第五回：「四個健將，領眾叩迎那大聖，哽哽咽咽大哭三聲，又唏唏哈哈大笑三聲。」
2.形容物體滑落，撞擊地面所發出的聲音。如：「一個不小心，盤子唏哩嘩啦的碎了滿地。」</t>
  </si>
  <si>
    <t>狶</t>
  </si>
  <si>
    <t>[名]
豬。同「豨」。《莊子．知北遊》：「正獲之問於監市履狶也，每下愈況。」晉．郭象．注：「狶，大豕也。」唐．柳宗元〈招海賈文〉：「反齗叉牙踔嶔崖，蛇首狶鬣虎豹皮。」</t>
  </si>
  <si>
    <t>烯</t>
  </si>
  <si>
    <t>[名]
有機化合物的一類。含有雙鍵的不飽和烴，化性活潑，可進行加成、聚合和氧化等反應。烯類可由石油煉製。可用於燃料、合成原料及塑膠工業。</t>
  </si>
  <si>
    <t>晞</t>
  </si>
  <si>
    <t>[動]
1.蒸發、乾燥。《詩經．秦風．蒹葭》：「蒹葭萋萋，白露未晞。」宋．賀鑄〈鷓鴣天．重過閶門萬事非〉詞：「原上草，露初晞，舊棲新壟兩依依。」
2.晒、弄乾。《楚辭．屈原．九歌．少司命》：「與女沐兮咸池，晞女髮兮陽之阿。」晉．嵇含〈悅晴詩〉：「翔鳳晞輕翮，應龍曝纖鬐。」
3.消散。《楚辭．王逸．九思．疾世》：「時昢昢兮旦旦，塵莫莫兮未晞。」漢．曹操〈祀故太尉橋玄文〉：「靈幽體翳，邈哉晞矣。」
4.破曉、露出曙光。《詩經．齊風．東方未明》：「東方未晞，顛倒衣裳。」唐．孔穎達．正義：「晞，謂將旦之時，日之光氣始升。」</t>
  </si>
  <si>
    <t>欷</t>
  </si>
  <si>
    <t>[動]
抽泣、悲嘆。《說文解字．欠部》：「欷，歔也。」如：「欷吁」、「欷歔」。《資治通鑑．卷一七．漢紀九．武帝建元三年》：「上置酒，勝聞樂聲而泣。上問其故，對曰：『悲者不可為累欷，思者不可為嘆息。』」</t>
  </si>
  <si>
    <t>睎</t>
  </si>
  <si>
    <t>[動]
1.看、望。《文選．古詩十九首．凜凜歲云暮》：「眄睞以適意，引領遙相睎。」《文選．班固．西都賦》：「於是睎秦嶺，睋北阜。」
2.仰慕。唐．柳宗元〈貞符詩．序〉：「人皆漻然休然，相睎以生，相持以成。」宋．曾鞏〈寄歐陽舍人書〉：「其追睎祖德，而思所以傳之之繇。」</t>
  </si>
  <si>
    <t>稀</t>
  </si>
  <si>
    <t>[形]
1.疏、不密。如：「地廣人稀」。《文選．曹操．短歌行》：「月明星稀，烏鵲南飛。」
2.少、不多。如：「稀罕」、「稀有動物」。唐．杜甫〈曲江〉詩二首之二：「酒債尋常行處有，人生七十古來稀。」
3.不濃、不稠。如：「稀薄」、「稀飯」、「和稀泥」。宋．蘇軾〈次韻田國博部夫南京見寄二絕〉之二：「火冷餳稀杏粥稠，青裙縞袂餉田頭。」
4.隱約、不清楚。唐．韓愈〈山石〉詩：「僧言古壁佛畫好，以火來照所見稀。」
[副]
很、甚。如：「稀爛」、「稀鬆平常」。《老殘遊記》第八回：「我這隻腳還是稀軟稀軟，立不起來。」《二十年目睹之怪現狀》第九三回：「那稀髒的，人家外國人的輪船肯裝麼？」</t>
  </si>
  <si>
    <t>豨</t>
  </si>
  <si>
    <t>[名]
豬。《墨子．耕柱》：「言則稱於湯文，行則譬於狗豨。」《淮南子．本經》：「封豨、脩蛇，皆為民害。」</t>
  </si>
  <si>
    <t>析</t>
  </si>
  <si>
    <t>[動]
1.剖開、劈開。《詩經．齊風．南山》：「析薪如之何？匪斧不克。」《文選．鄒陽．獄中上書自明》：「剖心析肝相信，豈移於浮辭哉？」
2.分開、離散。如：「分崩離析」、「條分縷析」。《漢書．卷三〇．藝文志》：「五經乖析，儒學寖衰。」《文選．王讚．雜詩》：「胡寧久分析，靡靡忽至今。」
3.解釋、辨釋。如：「解析」、「辨析」、「析疑」。晉．陶淵明〈移居〉詩二首之二：「奇文共欣賞，疑義相與析。」</t>
  </si>
  <si>
    <t>淅</t>
  </si>
  <si>
    <t>[動]
淘米。《說文解字．水部》：「淅，汏米也。」《儀禮．士喪禮》：「淅米于堂。」
[名]
洗過的米。《孟子．萬章下》：「孔子之去齊，接淅而行。」漢．趙岐．注：「淅，漬米也。」</t>
  </si>
  <si>
    <t>訢</t>
  </si>
  <si>
    <t>[動]
感應、融合。《禮記．樂記》：「天地訢合，陰陽相得。」</t>
  </si>
  <si>
    <t>(一)ㄒㄧㄣ xīn（07162）</t>
  </si>
  <si>
    <t>晰</t>
  </si>
  <si>
    <t>[形]
清楚、明白。如：「清晰」、「明晰」。南朝梁．劉勰《文心雕龍．徵聖》：「書契斷決以象夬，文章昭晰以象離，此明理以立體也。」</t>
  </si>
  <si>
    <t>皙</t>
  </si>
  <si>
    <t>[形]
皮膚白。《左傳．昭公二十六年》：「有君子白皙，鬒鬚眉甚口。」宋．秦觀〈陳令舉妙奴〉詩：「肌膚皙白髮腳長，含語未發先有香。」</t>
  </si>
  <si>
    <t>蜥</t>
  </si>
  <si>
    <t>參見「蜥蜴」條。</t>
  </si>
  <si>
    <t>屎</t>
  </si>
  <si>
    <t>參見「殿屎」條。</t>
  </si>
  <si>
    <t>(一)ㄕˇ shǐ（08731）</t>
  </si>
  <si>
    <t>奚</t>
  </si>
  <si>
    <t>[名]
1.奴隸、僕役。如：「奚僮」、「小奚」。《周禮．天官．冢宰》：「酒人俺十人，女酒三十人，奚三百人。」漢．鄭玄．注：「古者從坐男女，沒入縣官為奴，其少才知以為奚。今之侍史、官婢，或曰：『奚，宦女。』」
2.中國古代北方少數民族之一。屬東胡族，本名「庫莫奚」，至隋朝始稱為「奚」。其地東北接契丹，西毗突厥，南臨白浪河，北接霫國。後為契丹所併。
3.地名。春秋時魯地，為奚仲之邑。故址在今大陸地區山東省滕縣東南。
4.姓。如明代有奚銘。
[副]
為何、為什麼。表示疑問的語氣。《論語．為政》：「或謂孔子曰：『子奚不為政？』」《韓非子．和氏》：「子奚哭之悲也？」</t>
  </si>
  <si>
    <t>傒</t>
  </si>
  <si>
    <t>[名]
1.稱江西人為「傒」。《南史．卷四七．胡諧之傳》：「胡諧之，豫章南昌人也。……上方欲獎以貴族盛姻，以諧之家人語傒音不正，乃遣宮內四五人往諧之家教子女語。」
2.人名用字。如春秋時代齊國有高傒。</t>
  </si>
  <si>
    <t>(二)ㄒㄧˋ xì（06864）</t>
  </si>
  <si>
    <t>[名]
山間的小河流。後泛指小河。晉．陶淵明〈桃花源記〉：「緣溪行，忘路之遠近。」唐．杜甫〈玉華宮〉詩：「溪回松風長，蒼鼠竄古瓦。」</t>
  </si>
  <si>
    <t>(二)（又音）ㄑㄧ qī（06225）</t>
  </si>
  <si>
    <t>徯</t>
  </si>
  <si>
    <t>[動]
等待。《說文解字．彳部》：「徯，待也。」《書經．仲虺之誥》：「徯予后，后來其蘇。」漢．孔安國．傳：「徯，有所望也。」
[名]
小路。通「蹊」。如：「徯徑」。《漢書．卷九一．貨殖傳．序》：「鷹隼未擊，矰弋不施於徯隧。」</t>
  </si>
  <si>
    <t>[名]
山間的小水溝。《文選．馬融．長笛賦》：「託九成之孤岑兮，臨萬仞之石磎。」《文選．曹植．七啟》：「於是磎填谷塞，榛藪平夷。」</t>
  </si>
  <si>
    <t>(二)（又音）ㄑㄧ qī（06226）</t>
  </si>
  <si>
    <t>螇</t>
  </si>
  <si>
    <t>參見「螇蚸」條。</t>
  </si>
  <si>
    <t>蹊</t>
  </si>
  <si>
    <t>[名]
小路。如：「幽蹊」、「荒蹊」。《史記．卷一〇九．李將軍傳．太史公曰》：「桃李不言，下自成蹊。」《文選．曹植．贈白馬王彪詩》：「欲還絕無蹊，攬轡止踟躕。」</t>
  </si>
  <si>
    <t>貕</t>
  </si>
  <si>
    <t>[名]
小豬。漢．揚雄《方言》卷八：「豬，北燕朝鮮之間謂之豭，關東西或謂之彘，或謂之豕，南楚謂之豨。其子或謂之豚，或謂之貕。吳揚之間謂之豬子。」</t>
  </si>
  <si>
    <t>[名]
1.山谷。《荀子．勸學》：「不臨深谿，不知地之厚也。」《漢書．卷二五．郊祀志下》：「又至雲陽，行谿谷中，阨陜且百里。」
2.山間的河流。同「溪」。《新唐書．卷九三．李勣傳》：「固請戰，遂度谿擊之。」《文選．左思．蜀都賦》：「山阜相屬，含谿懷谷。」
3.姓。如古代有賢人谿工。</t>
  </si>
  <si>
    <t>(二)（又音）ㄑㄧ qī（06227）</t>
  </si>
  <si>
    <t>鼷</t>
  </si>
  <si>
    <t>[名]
動物名。哺乳綱齧齒目。體型小，尾長，背面黃褐色，腹面黃色，背腹間無明顯界限。古代稱為「甘口鼠」。《玉篇．鼠部》：「鼷，小鼠也。螫毒食人及鳥獸皆不痛。今之甘口鼠也。」</t>
  </si>
  <si>
    <t>參見「鸂鶒」條。</t>
  </si>
  <si>
    <t>(二)（又音）ㄑㄧ qī（06228）</t>
  </si>
  <si>
    <t>娭</t>
  </si>
  <si>
    <t>[動]
1.嬉戲、玩樂。《說文解字．女部》：「娭，戲也。」清．朱筠〈後哨鹿賦〉：「予不敢晏而娭，以弛予祖考之武事。」
2.移動、飛舞。《楚辭．宋玉．招魂》：「美人既醉，朱顏酡些，娭光眇視，目曾波些。」唐．皮日休〈悲摯獸〉：「苕花紛然，不吹而飛，若有物娭。」
[形]
喜悅、喜樂。唐．元結〈處規〉：「但如山林不見吾是非，吾將娭而往也。」</t>
  </si>
  <si>
    <t>誒</t>
  </si>
  <si>
    <t>[歎]
對可惡、可惜的事情所發出的嘆息聲。《說文解字．言部》：「誒，可惡之辭。」《漢書．卷七三．韋賢傳》：「在予小子，勤誒厥生。」唐．顏師古．注：「誒，嘆聲。」
[副]
大聲狂笑的。《楚辭．屈原．大招》：「豕首縱目，被髮鬤只；長爪踞牙，誒笑狂只。」</t>
  </si>
  <si>
    <t>(二)ㄝˋ ê̄（10308）</t>
  </si>
  <si>
    <t>[名]
1.量詞：(1)古代計算面積的單位。五十畝為一畦。《說文解字．田部》：「畦，田五十畝曰畦。」(2)計算園圃種植分區的單位。如：「千畦薑韭」。明．徐光啟《農政全書．卷五．田制．農桑訣田制》：「內皆種蔬，先作長生韭一二百畦，時新菜二三十種。」
2.可供種植排列整齊的一塊塊長方形田地。宋．王安石〈書湖陰先生壁〉詩二首之一：「茆簷長掃淨無苔，花木成畦手自栽。」
3.借指菜園、田園。如：「菜畦」、「荒畦」。《列子．天瑞》：「拾遺穗於故畦，並歌並進。」
4.姓。如漢代有畦覩。
[動]
分區種植。《楚辭．屈原．離騷》：「畦留夷與揭車兮，雜杜衡與芳芷。」唐．杜甫〈種萵苣〉詩：「堂下可以畦，呼童對經始。」</t>
  </si>
  <si>
    <t>(二)（語音）ㄑㄧˊ qí（06273）</t>
  </si>
  <si>
    <t>悉</t>
  </si>
  <si>
    <t>[副]
全部。《書經．盤庚上》：「王命眾，悉至于庭。」《文選．沈約．宋書謝靈運傳論》：「兩句之中，輕重悉異。」
[形]
詳盡、詳細。漢．賈誼〈說積貯〉：「古之治天下，至孅至悉也。」《聊齋志異．卷一一．樂仲》：「言女大歸日、再醮日及生子年月，歷歷甚悉。」
[動]
1.竭盡、用盡。《戰國策．韓策一》：「料大王之卒，悉之不過三十萬。」《新唐書．卷一九三．忠義傳下．龐堅傳》：「賊將阿史那承慶悉銳攻之，傳城百里，樹木皆刊。」
2.知道。如：「得悉」、「洞悉」、「熟悉」、「敬悉」。南朝梁．蕭統〈文選序〉：「隨時變改，難可詳悉。」唐．杜甫〈客夜〉詩：「老妻書數紙，應悉未歸情。」
[名]
姓。如上古時代有悉諸。</t>
  </si>
  <si>
    <t>窸</t>
  </si>
  <si>
    <t>參見「窸窣」條。</t>
  </si>
  <si>
    <t>蟋</t>
  </si>
  <si>
    <t>參見「蟋蟀」條。</t>
  </si>
  <si>
    <t>(一)ㄑㄧ qī（06209）</t>
  </si>
  <si>
    <t>犀</t>
  </si>
  <si>
    <t>[名]
動物名。脊椎動物門哺乳綱奇蹄目。體型碩大，外形似牛。頭略成三角形，頸短。鼻上有一或二個角，可入藥，亦可作武器。四肢粗大，每蹄有三趾。皮粗而厚，色微黑，全身幾乎無毛。以草、樹葉、嫩枝為食，產於亞洲與非洲的熱帶森林。也稱為「犀牛」。
[形]
堅利、銳利。如：「犀利」。《漢書．卷五九．張衡傳》：「雖有犀舟勁楫，猶人涉卬否，有須者也。」</t>
  </si>
  <si>
    <t>樨</t>
  </si>
  <si>
    <t>參見「木樨」條。</t>
  </si>
  <si>
    <t>(二)（又音）ㄒㄩ xū（07281）</t>
  </si>
  <si>
    <t>媐</t>
  </si>
  <si>
    <t>[副]
喜悅、快樂。《說文解字．女部》：「媐，說樂也。」清．汪琬〈中峰曉菴了法師塔銘〉：「相從媐遨，酬對無間。」</t>
  </si>
  <si>
    <t>熙</t>
  </si>
  <si>
    <t>[形]
1.光明。如：「熙明」、「光熙」。《晉書．卷七二．郭璞傳》：「窟泉之潛不思雲翬，熙冰之采不羨旭晞。」
2.和樂。《後漢書．卷五十四．楊震傳》：「天下咸服，以致雍熙。」唐．白居易〈與元九書〉：「上下通而一氣泰，憂樂合而百志熙。」
[動]
1.興起、興盛。《後漢書．卷六九．竇武傳》：「是以君臣並熙，名奮百世。」晉．盧諶〈贈劉琨詩〉：「濬哲惟皇，紹熙有晉。」
2.開拓、光大。《書經．舜典》：「咨四岳，有能奮庸熙帝之載。」《後漢書．卷四八．爰延傳》：「使積善日熙，佞惡消殄，則乾災可除。」
3.嬉戲。通「嬉」。《莊子．馬蹄》：「含哺而熙，鼓腹而遊。」《文選．宋玉．登徒子好色賦》：「出咸陽，熙邯鄲，從容鄭、衛、溱、洧之閒。」唐．李善．注：「熙，戲也。」</t>
  </si>
  <si>
    <t>(二)ㄧˊ yí（10524）</t>
  </si>
  <si>
    <t>僖</t>
  </si>
  <si>
    <t>[形]
喜樂。《說文解字．人部》：「僖，樂也。」
[名]
1.諡號。如：「魯僖公」、「晉僖公」。
2.姓。如春秋時曹國有僖負羈。</t>
  </si>
  <si>
    <t>嘻</t>
  </si>
  <si>
    <t>[歎]
1.表示讚美嘆賞的語氣。《詩經．周頌．噫嘻》：「噫嘻成王！既昭假爾。」唐．孔穎達．正義：「噫、嘻皆為歎聲……謂作者有所裒多美大而為聲以歎之。」
2.表示悲恨傷痛的語氣。《禮記．檀弓上》：「伯魚之母死，期而猶哭。……夫子曰：『嘻，其甚也！』」《史記．卷七〇．張儀傳》：「其妻曰：『嘻！子毋讀書游說，安得此辱乎？』」
3.表示驚懼忿怒的語氣。《呂氏春秋．恃君覽．行論》：「莊王方削袂，聞之曰：『嘻！』投袂而起。」
[擬]
形容笑聲。《易經．家人卦．九三》：「婦子嘻嘻，終吝。」《西遊記》第八三回：「行者口裡嘻嘻嗄嗄。」</t>
  </si>
  <si>
    <t>嬉</t>
  </si>
  <si>
    <t>[動]
遊戲、玩耍。如：「嬉戲」。《文選．張衡．歸田賦》：「諒天道之微昧，追漁父以同嬉。」唐．韓愈〈進學解〉：「業精于勤荒于嬉，行成于思毀于隨。」</t>
  </si>
  <si>
    <t>熹</t>
  </si>
  <si>
    <t>[形]
明亮、光明。晉．陶淵明〈歸去來辭〉：「問征夫以前路，恨晨光之熹微。」</t>
  </si>
  <si>
    <t>禧</t>
  </si>
  <si>
    <t>[名]
福祉、吉祥。《廣韻．平聲．之韻》：「禧，福也，吉也。」如：「鴻禧」、「恭賀新禧」。</t>
  </si>
  <si>
    <t>(二)（又音）ㄒㄧˇ xǐ（06835）</t>
  </si>
  <si>
    <t>譆</t>
  </si>
  <si>
    <t>[歎]
表示悲嘆或驚嘆的語氣。通「嘻」。《莊子．養生主》：「譆！善哉，技蓋至此乎？」</t>
  </si>
  <si>
    <t>饎</t>
  </si>
  <si>
    <t>[名]
酒食。《爾雅．釋訓》：「饎，酒食也。」《詩經．小雅．天保》：「吉蠲為饎，是用孝享。」
[動]
炊煮、煮熟。《儀禮．特牲饋食禮》：「饎爨在西壁。」漢．鄭玄．注：「饎，炊也。」《初刻拍案驚奇》卷六：「攪入一兩樣，不按君臣的藥末，饎起成糕。」</t>
  </si>
  <si>
    <t>(二)（又音）ㄔˋ chì（08224）</t>
  </si>
  <si>
    <t>撕</t>
  </si>
  <si>
    <t>參見「提撕」條。</t>
  </si>
  <si>
    <t>(一)ㄙ sī（09946）</t>
  </si>
  <si>
    <t>噏</t>
  </si>
  <si>
    <t>[動]
引入、收取。同「吸」。《漢書．卷八七．揚雄傳上》：「噏清雲之流瑕兮，飲若木之露英。」《文選．木華．海賦》：「噓噏百川，洗滌淮漢。」</t>
  </si>
  <si>
    <t>膝</t>
  </si>
  <si>
    <t>[名]
連接大腿與小腿的可動關節。如：「屈膝」、「抱膝」、「膝蓋」。
[動]
跪。《聊齋志異．卷七．金和尚》：「膝席者皆垂手執兒孫禮。」</t>
  </si>
  <si>
    <t>羲</t>
  </si>
  <si>
    <t>[名]
1.參見「伏羲氏」條。
2.姓。如上古時代有羲仲。</t>
  </si>
  <si>
    <t>曦</t>
  </si>
  <si>
    <t>[名]
日色、日光。如：「晨曦」、「曙曦」。北魏．酈道元《水經注．江水注》：「重巖疊嶂，隱天蔽日，自非停午夜分，不見曦月。」《聊齋志異．卷四．促織》：「東曦既駕，僵臥長愁。」</t>
  </si>
  <si>
    <t>犧</t>
  </si>
  <si>
    <t>[名]
古代供宗廟祭祀用的純色牲畜。《詩經．魯頌．閟宮》：「皇皇后帝，皇祖后稷，享以騂犧。」唐．韓愈〈寄崔二十六立之〉詩：「孤豚眠糞壤，不慕太廟犧。」</t>
  </si>
  <si>
    <t>螅</t>
  </si>
  <si>
    <t>參見「水螅」條。</t>
  </si>
  <si>
    <t>[名]
福氣、吉祥。通「禧」。如：「春釐」、「恭賀年釐」。《史記．卷一〇．孝文本紀》：「今吾聞祠官祝釐，皆歸福朕躬，不為百姓，朕甚愧之。」南朝梁．蕭統〈陶淵明集序〉：「或懷釐而謁帝，或披褐而負薪。」</t>
  </si>
  <si>
    <t>(一)ㄌㄧˊ lí（03408）</t>
  </si>
  <si>
    <t>醯</t>
  </si>
  <si>
    <t>[名]
醋。《荀子．勸學》：「樹成蔭而眾鳥息焉，醯酸而蜹聚焉。」宋．陸游〈夜歸〉詩：「食儉鹽醯薄，年衰氣力微。」</t>
  </si>
  <si>
    <t>嚱</t>
  </si>
  <si>
    <t>[歎]
表示感嘆。《集韻．平聲．支韻》：「嚱，鳴戲，歎辭。」唐．李白〈蜀道難〉：「噫吁嚱危乎高哉！蜀道之難難於上青天。」</t>
  </si>
  <si>
    <t>巇</t>
  </si>
  <si>
    <t>[形]
危險。如：「嶔巇」、「險巇」。《文選．王襃．洞簫賦》：「趨巇道兮。」唐．李善．注：「巇道，嶮巇之道。」
[名]
間隙，可乘的機會。漢．揚雄《法言．重黎》：「巇可抵乎？」唐．韓愈〈釋言〉：「弱於才而腐於力，不能奔走乘機抵巇以要權利。」</t>
  </si>
  <si>
    <t>攜</t>
  </si>
  <si>
    <t>[動]
1.帶著。如：「攜帶」、「攜伴參加」。《南史．卷六二．徐摛傳》：「自晉以來，尚書官僚，皆攜家屬居省。」
2.拿、提。如：「攜物」。唐．李賀〈金銅仙人辭漢歌〉：「攜盤獨出月荒涼，渭城已遠波聲小。」《封神演義》第五回：「手攜水火花籃，意欲往虎兒崖前採藥。」
3.拉。如：「攜手」、「扶老攜幼」。《淮南子．覽冥》：「相攜於道，奮首於路。」</t>
  </si>
  <si>
    <t>(二)（語音）ㄒㄧㄝˊ xié（06945）</t>
  </si>
  <si>
    <t>酅</t>
  </si>
  <si>
    <t>[名]
地名。春秋時齊邑。故址在今大陸地區山東省東阿縣西南。</t>
  </si>
  <si>
    <t>蠵</t>
  </si>
  <si>
    <t>參見「蠵龜」條。</t>
  </si>
  <si>
    <t>觿</t>
  </si>
  <si>
    <t>[名]
用獸骨製成的錐子。可解開繩結，亦可作為佩飾。《玉篇．角部》：「觿，形如錐，以象骨為之，以解結也。」如：「解觿」。</t>
  </si>
  <si>
    <t>昔</t>
  </si>
  <si>
    <t>ㄒㄧˊ</t>
  </si>
  <si>
    <t>xí</t>
  </si>
  <si>
    <t>[形]
過去的、從前的。如：「昔日」。唐．崔顥〈黃鶴樓〉詩：「昔人已乘黃鶴去，此地空餘黃鶴樓。」
[名]
1.夜晚。通「夕」。《左傳．哀公四年》：「為一昔之期，襲梁及霍。」《文選．古樂府．飲馬長城窟行》：「遠道不可思，夙昔夢見之。」
2.姓。如漢代有昔登。</t>
  </si>
  <si>
    <t>(二)ㄘㄨㄛˋ cuò（09850）</t>
  </si>
  <si>
    <t>惜</t>
  </si>
  <si>
    <t>[動]
1.愛憐、珍視、捨不得。如：「惜福」、「吝惜」、「愛惜」、「死不足惜」、「憐香惜玉」。唐．白居易〈日長〉詩：「愛水多櫂舟，惜花不掃地。」
2.悲痛、哀傷。如：「痛惜」。《文選．陸機．歎逝賦》：「望湯谷以企予，惜此景之屢戢。」《聊齋志異．卷八．張貢士》：「猶述其曲文，惜不能全憶。」</t>
  </si>
  <si>
    <t>腊</t>
  </si>
  <si>
    <t>[名]_x000D_
1.乾肉。《易經．噬嗑卦．六三》：「噬腊肉，遇毒。」《金史．卷八．世宗本紀下》：「遼主聞民間乏食，謂何不食乾腊。」_x000D_
2.乾裂的皮膚。《山海經．西山經》：「（錢來之山）有獸焉，其狀如羊而馬尾，名曰羬羊，其脂可以已腊。」_x000D_
[動]_x000D_
製成肉乾。《莊子．外物》：「任公子若得魚，離而腊之。」唐．柳宗元〈捕蛇者說〉：「然得而腊之以為餌，可以已大風、攣踠、瘻、癘，去死肌、殺三蟲。」_x000D_
[副]_x000D_
極、很。《國語．周語下》：「高位寔疾顛，味厚寔腊毒。」三國吳．韋昭．注：「腊，亟也。」</t>
  </si>
  <si>
    <t>(二)ㄌㄚˋ là（▲03181）</t>
  </si>
  <si>
    <t>席</t>
  </si>
  <si>
    <t>[名]
1.用草莖、竹篾等編成的墊子，可坐臥。如：「草席」、「竹席」、「涼席」。《文選．曹植．求自試表》：「而寢不安席，食不遑味。」
2.座位。如：「就席」、「入席」。《漢書．卷六八．霍光傳》：「田延年前，離席按劍。」
3.職位。如：「法席」、「教席」、「首席」。《文明小史》第一三回：「每一個人替他們安置一席，倒也不難。」
4.成桌的酒和飯菜。如：「酒席」、「筵席」。《紅樓夢》第五四回：「眾媳婦們忙撤去殘席，……另外又添換了果饌擺好。」
5.船帆。《文選．木華．海賦》：「維長綃，挂帆席。」唐．李善．注：「《釋名》曰：『隨風張幔曰帆。』或以席為之，故曰帆席也。」《文選．謝靈運．遊赤石進帆海詩》：「揚帆采石華，挂席拾海月。」
6.量詞：(1)計算談話次數的單位。如：「聽君一席話，勝讀十年書。」(2)計算議會席次或名額的單位。如：「這次立委選舉在野黨共取得三席。」
7.姓。如晉代有席坦。
[動]
憑藉。《漢書．卷三六．楚元王劉交傳》：「呂產、呂祿，席太后之寵。」《新唐書．卷九六．房玄齡傳》：「常恐諸子驕侈，席勢凌人。」
[副]
全面。《史記．卷九〇．魏豹彭越傳．太史公曰》：「然已席捲千里，南面稱孤。」</t>
  </si>
  <si>
    <t>蓆</t>
  </si>
  <si>
    <t>[名]
用竹片、草莖等編成的墊子，可鋪設坐臥。通「席」。如：「草蓆」、「竹蓆」。
[形]
寬大。《詩經．鄭風．緇衣》：「緇衣之蓆兮，敝，予又改作兮。」</t>
  </si>
  <si>
    <t>息</t>
  </si>
  <si>
    <t>[名]
1.呼吸時出入的氣。如：「窒息」、「奄奄一息」、「一息尚存」。《聊齋志異．卷七．青娥》：「略聞香息，心願竊慰。」
2.子女、兒子。如：「子息」。《戰國策．趙策四》：「老臣賤息舒祺，最少，不肖。」《聊齋志異．卷二．嬰寧》：「弱息僅存，亦為庶產。」
3.利錢。如：「利息」、「月息」、「年息」。《史記．卷七五．孟嘗君傳》：「貧不能與息者，取其券而燒之。」
4.音訊、音信。如：「消息」、「信息」。
5.贅肉。通「瘜」。《黃帝素問靈樞經．卷一．邪氣藏府病形篇》：「若鼻息肉不通，緩甚為多汗，微緩為痿瘻偏風。」
6.姓。如明代有息隆泰。
[動]
1.呼吸、喘氣。《漢書．卷五四．蘇建傳》：「武氣絕，半日復息。」
2.休憩、放鬆身心。如：「歇息」、「休息」。《孟子．梁惠王下》：「飢者弗食，勞者弗息。」
3.停止、消失。如：「止息」、「息怒」、「川流不息」。《漢書．卷四八．賈誼傳》：「百姓素樸，獄訟衰息。」
4.繁殖、滋長。《荀子．大略》：「有國之君，不息牛羊。」《戰國策．齊策四》：「振困窮，補不足，是助王息其民者也。」</t>
  </si>
  <si>
    <t>媳</t>
  </si>
  <si>
    <t>[名]
稱謂：(1)稱兒子的妻子。《字彙．女部》：「媳，俗謂子婦為媳。」如：「婆媳」。(2)泛稱弟弟或晚輩的妻子。如：「孫媳」、「姪媳」、「弟媳」。</t>
  </si>
  <si>
    <t>熄</t>
  </si>
  <si>
    <t>[動]
1.火滅。如：「熄燈」、「熄火」、「把菸蒂熄滅」。《孟子．告子上》：「猶以一杯水救一車薪之火也，不熄，則謂水不勝火。」
2.消亡。《孟子．離婁下》：「王者之跡熄而詩亡，詩亡然後春秋作。」</t>
  </si>
  <si>
    <t>鎴</t>
  </si>
  <si>
    <t>[名]
化學元素。鍶的舊譯。</t>
  </si>
  <si>
    <t>習</t>
  </si>
  <si>
    <t>[動]
1.鳥類頻頻拍動翅膀試飛。《說文解字．習部》：「習，數飛也。」元．戴侗《六書故．卷一九．動物》：「習，鳥肄飛也。……引之則凡數數扇闔者，皆謂之習。」
2.反覆演練、鑽研。如：「溫習」、「研習」。《論語．學而》：「學而時習之，不亦說乎？」
3.熟悉，通曉。《戰國策．秦策五》：「嘗無師傅所教學，不習於誦。」《管子．正世》：「明於治亂之道，習於人事之終始者也。」
[名]
1.反覆拍動翅膀的動作。《禮記．月令》：「鷹乃學習，腐草為螢。」
2.積久養成的慣性行為。如：「舊習」、「惡習」、「積習難改」。《論語．陽貨》：「性相近也，習相遠也。」
3.親信、親狎的人。《禮記．月令》：「雖有貴戚近習，毋有不禁。」《後漢書．卷六．孝順帝等紀．贊曰》：「匪砥匪革，終淪嬖習。」
4.姓。如明代有習經。
[副]
時常、常常。《漢書．卷五六．董仲舒傳》：「習聞其號，未燭厥理。」《後漢書．卷六一．黃瓊傳》：「瓊隨父在臺閣，習見故事。」</t>
  </si>
  <si>
    <t>嶍</t>
  </si>
  <si>
    <t>參見「嶍峨」條。</t>
  </si>
  <si>
    <t>(一)ㄉㄧㄝˊ dié（02186）(二)ㄒㄩㄝˊ xué（07339A）(三)ㄓㄜˊ zhé（07663）</t>
  </si>
  <si>
    <t>謵</t>
  </si>
  <si>
    <t>[動]
1.用言辭威嚇，使人恐懼。《說文解字．言部》：「謵，言謵讋也。」
2.責備。《莊子．庚桑楚》：「夫復謵不餽而忘人，忘人，因以為天人矣。」</t>
  </si>
  <si>
    <t>飁</t>
  </si>
  <si>
    <t>參見「颯飁」條。</t>
  </si>
  <si>
    <t>鰼</t>
  </si>
  <si>
    <t>[名]
泥鰍。《爾雅．釋魚》：「鰼，鰍。」晉．郭璞．注：「今泥鰍。」</t>
  </si>
  <si>
    <t>[名]
古代加在皮裘外面的長衣，相當於現在的披風。《孟子．公孫丑上》：「雖袒裼裸裎於我側，爾焉能浼我哉！」
[動]
1.穿上長衣。《禮記．玉藻》：「不文飾也，不裼。」
2.袒露，脫去上衣露出身體。《史記．卷七〇．張儀傳》：「秦人捐甲，徒裼以趨敵。」唐．司馬貞．索隱：「裼，袒也。謂袒而見肉也。」</t>
  </si>
  <si>
    <t>(一)ㄊㄧˋ tì（02651）</t>
  </si>
  <si>
    <t>錫</t>
  </si>
  <si>
    <t>[名]
1.（tin，Sn）化學元素。原子序50。色白似銀，富延展性，質地軟但較鉛堅韌。在空氣中不易氧化，能溶於酸或熱的氫氧化鉀溶液，但不溶於水。常用來焊接、鍍鐵與製造合金。
2.細布。通「緆」。《列子．周穆王》：「衣阿錫，曳齊紈。」晉．左思〈嬌女詩〉：「脂膩漫白袖，煙薰染阿錫。」
3.和尚所用錫杖的簡稱。北周．庾信〈秦州天水郡麥積崖佛龕銘．序〉：「是以飛錫遙來，度杯遠至。」唐．李中〈送紹明上人之毘陵〉詩：「聽蟬離古寺，攜錫上扁舟。」
4.姓。如漢代有錫光。
[動]
賜與、賜給。通「賜」。《書經．仲虺之誥》：「天乃錫王勇智，表正萬邦。」《左傳．隱公元年》：「孝子不匱，永錫爾類。」
[形]
錫製的。如：「錫壺」、「錫罐」。</t>
  </si>
  <si>
    <t>覡</t>
  </si>
  <si>
    <t>[名]
替人向鬼神祝禱的男巫。《說文解字．巫部》：「能齋肅事神明者，在男曰覡，在女曰巫。」《後漢書．卷五九．張衡傳》：「或察龜策之占、巫覡之言。」</t>
  </si>
  <si>
    <t>濕</t>
  </si>
  <si>
    <t>[名]
低溼的地方。《集韻．入聲．緝韻》：「隰，《說文》：『坂下溼也。』或作濕。」</t>
  </si>
  <si>
    <t>(一)ㄕ shī（08703）</t>
  </si>
  <si>
    <t>隰</t>
  </si>
  <si>
    <t>[名]
1.低溼的地方。《說文解字．阜部》：「隰，阪下濕也。」《書經．禹貢》：「原隰厎績，至于豬野。」南朝宋．謝惠連〈雪賦〉：「眄隰則萬頃同縞，瞻山則千巖俱白。」
2.水邊。《左傳．桓公三年》：「曲沃武公伐翼，……，逐翼侯于汾隰。」
3.新開墾的土地。《詩經．周頌．載芟》：「千耦其耘，徂隰徂畛。」漢．鄭玄．箋：「隰謂新發田也。」
4.姓。如春秋時齊國有隰朋。</t>
  </si>
  <si>
    <t>檄</t>
  </si>
  <si>
    <t>[名]
古代用於徵召、聲討等的官方文書。《史記．卷九二．淮陰侯傳》：「今大王舉而東，三秦可傳檄而定也。」《文選．曹植．白馬篇》：「羽檄從北來，厲馬登高堤。」
[動]
用檄文飭令、告知等。《聊齋志異．卷一一．王者》：「於是急檄屬官，設法補解訖。」《儒林外史》第五回：「湯知縣把這情由細細寫了個稟帖，稟知按察司。按察司行文書檄了知縣去。」</t>
  </si>
  <si>
    <t>襲</t>
  </si>
  <si>
    <t>[名]
1.死者所穿的衣服，衣襟在左。《說文解字．衣部》：「襲，左衽袍。」
2.量詞。計算成套的衣服或被褥的單位。《史記．卷四三．趙世家》：「賜相國衣二襲。」《漢書．卷七．昭帝紀》：「有不幸者，賜衣被一襲。」
3.姓。如晉代有襲元之。
[動]
1.為死者穿衣服。漢．劉熙《釋名．釋喪制》：「衣尸曰襲。襲，匝也。以衣周匝，覆衣之也。」
2.加一件外衣。《禮記．內則》：「寒不敢襲，癢不敢搔。」
3.穿上。《文選．司馬相如．上林賦》：「襲朝服，乘法駕。」宋．蘇軾〈和陶歸去來兮辭〉：「豈襲裘而念葛，蓋得稱而喪微。」
4.重複、重疊。《左傳．哀公十年》：「吾卜於此起兵，事不再令，卜不襲吉。」《淮南子．氾論》：「此聖人所以重仁襲恩。」
5.因循。如：「沿襲」、「因襲」。《史記．卷二四．樂書》：「五帝三王，樂各殊名，示不相襲。」《文選．陸機．文賦》：「或襲故而彌新，或沿濁而更清。」
6.繼承、接受。如：「世襲」。《左傳．昭公二十八年》：「故襲天祿，子孫賴之。」
7.趁人不備而攻擊。如：「偷襲」、「侵襲」。《左傳．莊公二十九年》：「凡師有鐘鼓曰伐，無曰侵，輕曰襲。」
8.及至、撲向。如：「春風襲面」、「涼意襲人」。《楚辭．屈原．九歌．少司命》：「綠葉兮素枝，芳菲菲兮襲予。」
9.調和。《淮南子．天文》：「天地之襲精為陰陽。」漢．高誘．注：「襲，合也；精，氣也。」</t>
  </si>
  <si>
    <t>洒</t>
  </si>
  <si>
    <t>ㄒㄧˇ</t>
  </si>
  <si>
    <t>xǐ</t>
  </si>
  <si>
    <t>[動]
洗滌。同「洗」。《說文解字．水部》：「洒，滌也。」《孟子．梁惠王上》：「南辱於楚，寡人恥之，願比死者壹洒之。」</t>
  </si>
  <si>
    <t>(一)ㄘㄨㄟˇ tsuěi（09870）(三)ㄒㄧㄢˇ xiǎn（07108）(四)ㄙㄚˇ sǎ（09982）</t>
  </si>
  <si>
    <t>洗</t>
  </si>
  <si>
    <t>[動]_x000D_
1.以水或溶劑滌除汙穢、汙垢。如：「洗衣」、「洗碗」、「一貧如洗」。《詩經．大雅．行葦》：「或獻或酢，洗爵奠斝。」《西遊記》第四八回：「只見陳家老者，著兩個僮僕，掃開道路，又兩個送出熱湯洗面。」_x000D_
2.清除、洗雪。如：「洗罪」。《後漢書．卷六五．皇甫張段列傳．段熲》：「洗雪百年之逋負，以慰忠將之亡魂。」《宋史．卷四〇四．列傳．劉穎》：「就遷提刑，以洗冤澤物為任，間詣獄，察不應繫者縱遣之。」_x000D_
3.殺光、搶盡。《舊唐書．卷二〇〇下．列傳．黃巢》：「賊怒坊市百姓迎王師，乃下令洗城，丈夫丁壯，殺戮殆盡，流血成渠。」《三朝北盟會編．卷二四二．炎興下帙》：「朕兵未行，輒撓其後。雖匹夫匹婦不可留，即遣都舍音將兵萬人於大名，多與少盡洗之。」《三國演義》第六四回：「四更前後，走到歷城下，守門者只道姜敘兵回，大開門接入。超從城南門邊殺起，盡洗城中百姓。」_x000D_
4.把牌重新整理。《紅樓夢》第四七回：「賈母規矩是鴛鴦代洗牌，因和薛姨媽說笑，不見鴛鴦動手，賈母道：『你怎麼惱了，連牌也不替我洗？』」_x000D_
5.用藥水處理，使相片顯影。如：「洗照片」。_x000D_
6.透過手段，將非法、不正當的轉變成合法、正當的。如：「洗錢」、「黑道洗白」。_x000D_
[名]_x000D_
1.古代用以盛水的盥洗器具，似今日的臉盆。《儀禮．士冠禮》：「夙興設洗，直于東榮。」唐．柳宗元〈監祭使壁記〉：「樽、彞、罍、洗、俎豆、醆斝之器，必潔於壇堂之上。」_x000D_
2.用以清洗毛筆的器皿。明．高濂《遵生八牋．卷一五．燕閒清賞牋中．論文房器具．筆洗》：「今用作洗。玉有鉢盂洗、長方洗、玉環洗，或素或花，工巧擬古。」清．梁廷枏《海國四說．粵道貢國說．卷五．𠸄咭唎國一》：「大普洱茶團二，刮膘吉慶一架，青玉全枝葵花洗一，瑪瑙葵花碗一。」</t>
  </si>
  <si>
    <t>(二)ㄒㄧㄢˇ xiǎn（07109）</t>
  </si>
  <si>
    <t>枲</t>
  </si>
  <si>
    <t>[名]
不結子實的大麻。其莖皮纖維可織夏布。清．朱駿聲《說文通訓定聲．頤部》：「枲，麻也。牡麻無實者，夏至開花，榮而不實，亦曰夏麻。」《文選．干寶．晉紀論晉武帝革命》：「未嘗知女工絲枲之業，中饋酒食之事也。」</t>
  </si>
  <si>
    <t>徙</t>
  </si>
  <si>
    <t>[動]
遷移、移轉。如：「遷徙」。《老子》第八〇章：「使民重死而不遠徙。」《史記．卷三．殷本紀》：「殷民咨胥皆怨，不欲徙。」</t>
  </si>
  <si>
    <t>屣</t>
  </si>
  <si>
    <t>[名]
鞋子。如：「敝屣」。南朝梁．蕭統〈陶淵明集序〉：「輕之若脫屣，視之若鴻毛。」
[動]
1.拖著鞋走路。《後漢書．卷五二．崔駰傳》：「駰由此候憲，憲屣履迎門。」唐．章懷太子．注：「屣履，謂納履曳之而行，言匆遽也。」
2.放下、拋棄。《文選．孔稚珪．北山移文》：「芥千金而不眄，屣萬乘其如脫。」</t>
  </si>
  <si>
    <t>蓰</t>
  </si>
  <si>
    <t>[名]
1.古書上的一種草。《集韻．上聲．紙韻》：「蓰，艸名。」
2.五倍。《集韻．上聲．紙韻》：「五倍曰蓰。」《孟子．滕文公上》：「或相倍蓰，或相什佰。」</t>
  </si>
  <si>
    <t>蹝</t>
  </si>
  <si>
    <t>[名]
草鞋。《孟子．盡心上》：「舜視棄天下，猶棄敝蹝也。」
[動]
踩、踏。《文選．司馬相如．長門賦》：「舒息悒而增欷兮，蹝履起而彷徨。」</t>
  </si>
  <si>
    <t>喜</t>
  </si>
  <si>
    <t>[動]
1.愛好。如：「喜愛」、「好大喜功」、「喜出望外」。《史記．卷四七．孔子世家》：「孔子晚而喜易。」
2.感到歡樂。《詩經．小雅．菁菁》：「既見君子，我心則喜。」
[名]
1.吉祥的事。如：「道喜」、「賀喜」。《國語．魯語下》：「夫義人者，固慶其喜而弔其憂，況畏而服焉？」
2.稱婦人懷孕。如：「有喜」、「害喜」。《紅樓夢》第一〇回：「叫大夫瞧了，又說並不是喜。」
3.舊時稱小孩出痘子為「喜」。《紅樓夢》第二一回：「姐兒發熱，是見喜了，並非別病。」
4.姓。如元代有喜同。
[形]
1.高興的、快樂的。如：「欣喜」、「歡喜」、「喜訊」。
2.結婚的。如：「喜帖」、「喜宴」、「喜酒」、「喜餅」。</t>
  </si>
  <si>
    <t>憙</t>
  </si>
  <si>
    <t>[動]
喜好、愛好。《穀梁傳．桓公六年》：「陳侯憙獵，淫獵于蔡，與蔡人爭禽。」《樂府詩集．卷二八．相和歌辭三．古辭．陌上桑》：「羅敷憙蠶桑，採桑城南隅。」
[名]
自得其樂的感覺。宋．陸游〈開東園路北至山腳因治路傍隙地雜植花草〉詩六首之四：「今朝有憙誰能識，不用人扶亦自行。」</t>
  </si>
  <si>
    <t>(一)ㄒㄧ xī（06786）</t>
  </si>
  <si>
    <t>蟢</t>
  </si>
  <si>
    <t>[名]
動物名。蛛形綱蠨蛸科蠨蛸屬。體細長，暗褐色，螫肢長。常棲息於水邊草叢或樹間，結網成車輪狀。《集韻．上聲．止韻》：「蟢，蟢子，蟲名。蠨蛸也。」</t>
  </si>
  <si>
    <t>葸</t>
  </si>
  <si>
    <t>[動]
畏懼、退縮。《論語．泰伯》：「恭而無禮則勞，慎而無禮則葸。」
[形]
面無表情的樣子。《大戴禮記．曾子立事》：「人言善而色葸焉，近於不說其言。」</t>
  </si>
  <si>
    <t>諰</t>
  </si>
  <si>
    <t>參見「諰諰」條。</t>
  </si>
  <si>
    <t>鰓</t>
  </si>
  <si>
    <t>參見「鰓鰓」條。</t>
  </si>
  <si>
    <t>(一)ㄙㄞ sāi（10012）</t>
  </si>
  <si>
    <t>璽</t>
  </si>
  <si>
    <t>[名]
1.印信、印章。秦以前泛指諸侯、卿大夫、從吏的印章，秦以後則專指帝王的印章。如：「玉璽」。《韓非子．外儲說左下》：「願請璽復以治鄴。」《文選．張衡．西京賦》：「降尊就卑，懷璽藏紱。」
2.姓。如明代有璽書。</t>
  </si>
  <si>
    <t>躧</t>
  </si>
  <si>
    <t>[名]
1.舞鞋。《說文解字．足部》：「躧，舞履也。」
2.草鞋。《戰國策．燕策一》：「燕趙之棄齊也，猶釋敝躧。」漢．劉向《說苑．卷一四．至公》：「去天下若遺躧。」
3.沒有跟的鞋子。《漢書．卷二八．地理志下》：「女子彈弦跕躧。」唐．顏師古．注：「躧字與屣同。屣謂小履之無跟者也。」
[動]
1.拖著鞋走。同「屣」。《漢書．卷七一．雋不疑傳》：「勝之躧履起迎。」唐．顏師古．注：「躧謂納履未正，曳之而行。」
2.踩、踏。《水滸傳》第三二回：「看不見地下，躧了一條絆腳索。」《西遊記》第一七回：「我推倒了黑風山，躧平了黑風洞。」</t>
  </si>
  <si>
    <t>匸</t>
  </si>
  <si>
    <t>ㄒㄧˋ</t>
  </si>
  <si>
    <t>xì</t>
  </si>
  <si>
    <t>[動]
隱藏。《廣韻．上聲．薺韻》：「匸，有所藏也。」
[名]
二一四部首之一。</t>
  </si>
  <si>
    <t>夕</t>
  </si>
  <si>
    <t>[名]
1.傍晚、日落時分。如：「朝不保夕」。《周禮．天官．宮正》：「為之版以待，夕擊柝而比之。」
2.泛指夜晚。如：「終夕不寐」、「一夕長談」。唐．杜甫〈贈衛八處士〉詩：「今夕復何夕，共此燈燭光。」清．洪昇《長生殿》第二齣：「此夕歡娛，風清月朗，笑他夢雨暗高唐。」
3.二一四部首之一。</t>
  </si>
  <si>
    <t>汐</t>
  </si>
  <si>
    <t>[名]
夜間海水面漲起的現象。早潮稱為「潮」，晚潮稱為「汐」。</t>
  </si>
  <si>
    <t>穸</t>
  </si>
  <si>
    <t>參見「窀穸」條。</t>
  </si>
  <si>
    <t>矽</t>
  </si>
  <si>
    <t>[名]
（silicon，Si）化學元素。原子序14。類金屬元素之一。溶於鹼、硝酸與氫氟酸的混合液中，但不溶於水、硝酸及鹽酸。化性與碳相似。有結晶矽與非結晶矽兩種。前者為針狀或板片狀之結晶，色灰有光澤，於空氣中加熱亦不會起化學變化；後者為褐色粉末，於空氣中燃燒可產生二氧化矽。矽是重要的半導體材料，主要用於電子零件上。其化合物如矽鋼、矽銅、矽酸鹽等，用途廣泛。大陸地區譯為硅。</t>
  </si>
  <si>
    <t>卌</t>
  </si>
  <si>
    <t>[名]
四十。《廣韻．入聲．緝韻》：「卌，《說文》云：『數名。』今直以為四十字。」</t>
  </si>
  <si>
    <t>扢</t>
  </si>
  <si>
    <t>[副]
奮然起舞的樣子。《集韻．入聲．迄韻》：「奮舞貌。」《莊子．讓王》：「子路扢然執干而舞。」</t>
  </si>
  <si>
    <t>籺</t>
  </si>
  <si>
    <t>[名]
糠中細碎的米屑。唐．杜甫〈驅豎子摘蒼耳〉詩：「亂世誅求急，黎民糠籺窄。」</t>
  </si>
  <si>
    <t>系</t>
  </si>
  <si>
    <t>[動]
1.懸繫。《說文解字．糸部》：「系，懸也。」三國魏．曹植〈輔臣論〉：「群言系于口，而研覈是非。」
2.接續、繼承。《文選．班固．東都賦》：「系唐統，接漢緒。」
[名]
1.有一定秩序及聯屬關係的整體或組織。如：「世系」、「太陽系」、「直系血親」、「中古音系」。《新唐書．卷二〇三．文藝傳下．李賀傳》：「李賀字長吉，系出鄭王後。」
2.大學中所分的學術科別。如：「中文系」、「哲學系」、「物理系」。
3.姓。如春秋時楚國有系益。</t>
  </si>
  <si>
    <t>係</t>
  </si>
  <si>
    <t>[動]_x000D_
1.綑綁。通「繫」。《國語．越語》：「將焚宗廟，係妻孥。」漢．賈誼〈過秦論〉：「百越之君，俛首係頸。」_x000D_
2.關連、牽涉。如：「此事關係眾人的前途，務必謹慎處理才是！」。唐．李商隱〈韓碑〉詩：「古者世稱大手筆，此事不係于職司。」_x000D_
3.是。如：「確係」、「實係」。《喻世明言．卷二六．沈小官一鳥害七命》：「這畜生只除天上有，果係世間無。」_x000D_
[名]_x000D_
繫物的繩子。《樂府詩集．卷二八．相和歌辭三．古辭．陌上桑》：「青絲為籠係，桂枝為籠鉤。」</t>
  </si>
  <si>
    <t>[動]
1.聯綴、連接。如：「聯繫」、「維繫」。《周禮．天官．大宰》：「以九兩繫邦國之名。」
2.逮捕、監禁。《漢書．卷七六．王章傳》：「書遂上，果下廷尉獄，妻子皆收繫。」元．關漢卿《裴度還帶》第二折：「累及好人，無故繫獄。」
3.懸掛、牽掛。如：「繫念」。《論語．陽貨》：「吾豈匏瓜也哉？焉能繫而不食？」《儒林外史》第一六回：「科第居來，心只繫乎兩榜。」</t>
  </si>
  <si>
    <t>(二)ㄐㄧˋ jì（05466）</t>
  </si>
  <si>
    <t>妎</t>
  </si>
  <si>
    <t>[動]
妒忌。宋．羅泌《路史．卷五．前紀五．因提紀》：「與物相友，人無妎物之心，而物亦無傷人之意。」</t>
  </si>
  <si>
    <t>肸</t>
  </si>
  <si>
    <t>參見「肸肸」、「肸蠁」等條。</t>
  </si>
  <si>
    <t>盻</t>
  </si>
  <si>
    <t>[動]
看、瞪。《三國志．卷一八．魏書．許褚傳》：「褚瞋目盻之，超不敢動。」
[形]
勤苦不休息的樣子。參見「盻盻」條。</t>
  </si>
  <si>
    <t>[擬]
形容發笑聲。《詩經．衛風．氓》：「兄弟不知，咥其笑矣。」唐．儲光義〈田家雜興〉詩八首之五：「安知負薪者，咥咥笑輕薄。」</t>
  </si>
  <si>
    <t>(二)ㄉㄧㄝˊ dié（02165）</t>
  </si>
  <si>
    <t>郤</t>
  </si>
  <si>
    <t>[名]
1.孔隙。通「隙」。《莊子．知北遊》：「人生天地之間，若白駒之過郤。」
2.姓。如春秋時晉國有郤缺。</t>
  </si>
  <si>
    <t>綌</t>
  </si>
  <si>
    <t>[名]
粗葛布。《詩經．周南．葛覃》：「為絺為綌，服之無斁。」</t>
  </si>
  <si>
    <t>舄</t>
  </si>
  <si>
    <t>[名]_x000D_
1.鞋子。《太平廣記．卷四八六．長恨傳》：「珮紅玉，曳鳳舄。」宋．無名氏《梅妃傳》：「御榻下有婦女遺舄。」_x000D_
2.鹹而貧瘠的土地。通「潟」。《文選．木華．海賦》：「襄陵廣舄。」</t>
  </si>
  <si>
    <t>潟</t>
  </si>
  <si>
    <t>[名]
鹹而薄瘠的土地。《漢書．卷二八．地理志上》：「厥土白墳，海瀕廣潟。」唐．顏師古．注：「潟，鹵鹹之地。」</t>
  </si>
  <si>
    <t>蕮</t>
  </si>
  <si>
    <t>[名]
植物名：(1)馬蕮：即車前。車前科車前屬，多年生草本。葉呈闊卵形，長葉柄。夏天開淡紫色花，花冠為漏斗狀。果實為蓋果，嫩葉可食。《玉篇．艸部》：「蕮，馬蕮，車前。」(2)澤蕮：即蕍。澤瀉科澤潟屬，多年生草本。長於水澤中。葉呈橢圓形，具長柄，叢生。花小，白色，果實為球形瘦果。根莖可為利尿劑。《爾雅．釋草》：「蕍，蕮。」晉．郭璞．注：「蕍，一名蕮，即藥草澤蕮也。」</t>
  </si>
  <si>
    <t>磶</t>
  </si>
  <si>
    <t>[名]
柱下的礎石。《文選．張衡．西京賦》：「雕楹玉磶，繡栭雲楣。」唐．盧照鄰〈同雀少監作雙槿樹賦．序〉：「故疾雷作而蟄蟲飛，浮雲興而石磶潤，不可廢也。」</t>
  </si>
  <si>
    <t>細</t>
  </si>
  <si>
    <t>[形]
1.微小。如：「細沙」、「細鹽」。《書經．旅獒》：「不矜細行，終累大德。」唐．杜甫〈水檻遣心〉詩二首之一：「細雨魚兒出，微風燕子斜。」
2.纖小、柔弱。如：「細線」、「細竹」。《韓非子．二柄》：「楚靈王好細腰，而國中多餓人。」唐．杜甫〈旅夜書懷〉詩：「細草微風岸，危檣獨夜舟。」
3.精緻、精美。如：「細瓷」、「細布」。
4.周密。如：「膽大心細」。
5.瑣碎、不重要的。如：「細節」、「細故」。唐．裴守真〈請重耕織表〉：「煩徭細役，並出其中。」
[副]
1.慢慢的。如：「細嚼慢嚥」。
2.深入的、詳盡的。如：「細看」、「細究」、「精打細算」。唐．杜甫〈春日憶李白〉詩：「何時一尊酒，重與細論文。」</t>
  </si>
  <si>
    <t>[動]
囚禁、拘捕。通「繫」。《淮南子．本經》：「驅人之牛馬，傒人之子女。」</t>
  </si>
  <si>
    <t>(一)ㄒㄧ xī（06761）</t>
  </si>
  <si>
    <t>翕</t>
  </si>
  <si>
    <t>[動]
1.和好。《詩經．小雅．常棣》：「兄弟既翕，和樂且湛。」《史記．卷六．秦始皇本紀》：「臣但恐諸侯合從，翕而出不意。」
2.收斂、收縮。《易經．繫辭上》：「夫坤其靜也翕。」《文選．枚乘．七發》：「飛馬聞之，翕翼而不能去。」
3.吸引。通「吸」。《詩經．小雅．大東》：「維南有箕，載翕其舌。」唐．李白〈早過漆林渡寄萬巨〉詩：「漏流昔吞翕，沓浪競奔注。」
4.聚集。南朝宋．劉義慶《世說新語．排調》：「翕集家門，傾動人物。」
[副]
和諧順服的樣子。參見「翕然」條。</t>
  </si>
  <si>
    <t>潝</t>
  </si>
  <si>
    <t>[形]
水流快速的樣子。《廣韻．入聲．緝韻》：「潝，水流貌。」</t>
  </si>
  <si>
    <t>歙</t>
  </si>
  <si>
    <t>[動]
1.吸、吸入。南朝宋．鮑照〈石帆銘〉：「吐湘引漢，歙蠡吞沱。」
2.收藏、收斂。《老子》第三六章：「將欲歙之，必固張之。」《淮南子．兵略》：「（用兵之道）為之以歙，而應之以張。」
[副]
一致、完全。《漢書．卷八一．匡衡傳》：「將軍誠召置莫府，學士歙然歸仁。」</t>
  </si>
  <si>
    <t>(二)ㄕㄜˋ shè（08846）</t>
  </si>
  <si>
    <t>[副]
1.突然。《管子．小問》：「桓公北伐孤竹，未至卑耳之谿十里，闟然止，瞠然視。」
2.安定。《史記．卷一一〇．匈奴傳》：「寢兵、休卒、養馬，世世昌樂，闟然更始。」</t>
  </si>
  <si>
    <t>(二)ㄊㄚˋ tà（02450）</t>
  </si>
  <si>
    <t>(一)ㄐㄧˋ jì（05418）</t>
  </si>
  <si>
    <t>[動]
長聲嘆息。《詩經．曹風．下泉》：「愾我寤歎，念彼周京。」</t>
  </si>
  <si>
    <t>(一)ㄎㄞˋ kài（04474）</t>
  </si>
  <si>
    <t>餼</t>
  </si>
  <si>
    <t>[名]
送人的米糧、穀糧。《國語．周語中》：「廩人獻餼，司馬陳芻。」
[動]
餽贈。《左傳．僖公十五年》：「是歲晉又饑，秦伯又餼之粟。」《南史．卷三三．何承天傳》：「及聞遜卒，命迎其柩而殯藏焉，并餼其妻子。」
[形]
活的，供宰殺祭祀用的。如：「餼羊」。</t>
  </si>
  <si>
    <t>赩</t>
  </si>
  <si>
    <t>[形]
大紅色。《文選．左思．蜀都賦》：「丹沙赩熾出其坂，蜜房郁毓被其阜。」</t>
  </si>
  <si>
    <t>鄎</t>
  </si>
  <si>
    <t>[名]
國名。春秋時的國家，故址在今河南省息縣境內，後為楚所滅。也稱為「息國」。</t>
  </si>
  <si>
    <t>禊</t>
  </si>
  <si>
    <t>[名]
古代一種驅除不祥的祭祀。於春秋兩季，在水邊舉行。如：「春禊」、「秋禊」。晉．王羲之〈三月三日蘭亭詩序〉：「暮春之初，會于會稽山陰之蘭亭，修禊事也。」</t>
  </si>
  <si>
    <t>緆</t>
  </si>
  <si>
    <t>[名]
1.細麻布。《說文解字．糸部》：「緆，細布也。」《文選．司馬相如．子虛賦》：「於是鄭女曼姬，被阿緆，揄紵縞。」
2.裙子下緣的邊飾。《儀禮．既夕禮》：「縓綼緆。」漢．鄭玄．注：「飾裳在幅曰綼，在下曰緆。」</t>
  </si>
  <si>
    <t>隙</t>
  </si>
  <si>
    <t>[名]
1.裂縫、孔穴。如：「孔隙」、「縫隙」。《商君書．修權》：「蠹眾而木折，隙大而牆壞。」
2.空暇、閒暇。如：「農隙」。唐．柳宗元〈始得西山宴游記〉：「其隙也，則施施而行，漫漫而游。」宋．蘇軾〈教戰守策〉：「秋冬之隙，致民田獵以講武。」
3.漏洞、機會。如：「乘隙而入」。唐．德宗〈西平王李晟東渭橋紀功碑〉：「覷隙乘便，餌誘貪卒。」
4.仇怨。如：「嫌隙」。《史記．卷八二．田單傳》：「惠王立，與樂毅有隙。」南朝宋．鮑照〈代貧賤苦愁行〉：「或以一金恨，便成百年隙。」
[形]
1.空著的。如：「隙地」。
2.不完整、不足。《孫子．謀攻》：「夫將者，國之輔也；輔周則國必強，輔隙則國必弱。」</t>
  </si>
  <si>
    <t>虩</t>
  </si>
  <si>
    <t>[形]
恐懼的樣子。參見「虩虩」條。
[名]
動物名。即蠅虎。蛛形綱跳蛛科蠅虎屬。體小，周身有細毛。足短且壯。於白天活動，善跳躍，捕食蠅類。《說文解字．虍部》：「虩，蠅虎也。」</t>
  </si>
  <si>
    <t>[動]
1.玩耍、嬉遊。如：「嬉戲」、「遊戲人間」。《韓非子．外儲說左上》：「夫嬰兒相與戲也，以塵為飯，以塗為羹。」《三國演義》第一回：「玄德幼時，與鄉中小兒戲於樹下。」
2.開玩笑、嘲弄。如：「戲弄」。《論語．陽貨》：「前言戲之耳！」《國語．晉語九》：「智襄子戲韓康子而侮段規。」
[名]
1.一種以言語、表情或歌舞等傳達意念的表演。如：「演戲」、「唱戲」、「京戲」、「猴戲」、「布袋戲」、「歌仔戲」。
2.姓。如三國時魏國有戲志才。</t>
  </si>
  <si>
    <t>(二)ㄏㄨ hū（04948）(三)ㄏㄨㄟ huī（05099）</t>
  </si>
  <si>
    <t>鬩</t>
  </si>
  <si>
    <t>[動]
互相爭訟。《左傳．僖公二十四年》：「兄弟鬩于牆，外禦其侮。」</t>
  </si>
  <si>
    <t>衋</t>
  </si>
  <si>
    <t>[副]_x000D_
傷痛的樣子。《書經．酒誥》：「誕惟厥縱淫泆于非彞，用燕喪威儀，民罔不衋傷心。」</t>
  </si>
  <si>
    <t>屭</t>
  </si>
  <si>
    <t>參見「贔屭」、「屭屭」等條。</t>
  </si>
  <si>
    <t>呀</t>
  </si>
  <si>
    <t>ㄒㄧㄚ</t>
  </si>
  <si>
    <t>xiā</t>
  </si>
  <si>
    <t>[形]
1.張口的樣子。唐．韓愈〈月蝕詩〉：「月蝕于汝頭，汝口開呀呀。」
2.空闊的。唐．孟郊〈石淙〉詩一〇首之四：「磴雪入呀谷，掬星灑遙天。」</t>
  </si>
  <si>
    <t>(一)ㄧㄚ yā（10696）</t>
  </si>
  <si>
    <t>岈</t>
  </si>
  <si>
    <t>1.山谷深邃的樣子。明．烏斯道〈愛山水軒記〉：「蒿目而坐，矯首而思，則見夫岈而有容，隆而可陟，窅而莫窮。」_x000D_
2.山勢高聳的樣子。元．郝經〈蘆臺記〉：「建康諸山，隔江岈出，參差披拂，雲容水影，閃鑠蕩漾。」明．唐桂芳〈三峰精舍記〉：「前列三峰，岈互起伏，故榜曰『三峰精舍』，用懷吾先父兄焉。」</t>
  </si>
  <si>
    <t>[名]
動物名。節肢動物門甲殼綱。長尾，分頭、胸、腹三部，頭部有長短兩對觸鬚；胸部有步腳五對；腹部狹長分為數個環節，每一環節有橈腳一對，供游泳之用。生活於水中，種類頗多，均可食。俗稱為「蝦子」。</t>
  </si>
  <si>
    <t>(二)ㄏㄚˊ há（04715）</t>
  </si>
  <si>
    <t>瞎</t>
  </si>
  <si>
    <t>[動]
眼睛失去視力，看不見。如：「眼瞎了。」
[形]
眼睛看不見的。如：「瞎貓碰上死耗子。」
[名]
目盲、失明的人。唐．孟郊〈寄張籍〉詩：「西明寺後窮瞎張太祝，縱爾有眼誰爾珍。」
[副]
胡亂、盲目。如：「瞎扯」、「瞎操心」、「瞎搞一場」。《儒林外史》第一七回：「接過詩來，雖然不懂，做看完了，瞎贊一回。」《紅樓夢》第七回：「沒良心的忘八羔子！瞎充管家！」</t>
  </si>
  <si>
    <t>匣</t>
  </si>
  <si>
    <t>ㄒㄧㄚˊ</t>
  </si>
  <si>
    <t>xiá</t>
  </si>
  <si>
    <t>[名]
1.收藏器物的小箱子。如：「木匣」、「鏡匣」。《戰國策．燕策三》：「荊軻奉樊於期頭函，而秦舞陽奉地圖匣，以次進。」宋．陸游〈長歌行〉：「國讎未報壯士老，匣中寶劍夜有聲。」
2.牢籠、囚牢。通「柙」。《五代史平話．梁史．卷上》：「（朱溫）被地分投解徐州，送左獄禁勘，恰與劉文政同匣。是夜三更，風雨驟作，溫打開匣，脫了枷，同那劉文政躍身從氣樓走出。」</t>
  </si>
  <si>
    <t>呷</t>
  </si>
  <si>
    <t>[動]
喝、飲。如：「呷茶」。宋．鄭震〈飲馬長城窟〉詩：「朝呷一口水，暮破千重關。」《儒林外史》第二〇回：「勉強呷了兩口湯，仍舊面朝床裡睡下。」</t>
  </si>
  <si>
    <t>狎</t>
  </si>
  <si>
    <t>[動]_x000D_
1.親近。如：「狎昵」。《禮記．曲禮上》：「賢者，狎而敬之，畏而愛之。」三國魏．曹植〈贈丁翼〉詩：「我豈狎異人，朋友與我俱。」_x000D_
2.熟習、習慣。《國語．周語中》：「未狎君政，故未承命。」宋．蘇軾〈八月十五日看潮五絕〉五首之四：「吳兒生長狎濤淵，冒利輕生不自憐。」_x000D_
3.輕慢、輕忽。如：「狎侮」。《左傳．昭公二十年》：「水懦弱，民狎而翫之，則多死焉。」《論語．季氏》：「狎大人，侮聖人之言。」_x000D_
4.戲弄、嬉戲。如：「狎妓」。《左傳．襄公六年》：「宋華弱與樂轡少相狎。」唐．柳宗元〈三戒．臨江之麋〉：「麋麑稍大，忘己之麋也，以為犬良我友，抵觸偃仆益狎。」</t>
  </si>
  <si>
    <t>柙</t>
  </si>
  <si>
    <t>[名]
1.關獸畜的檻籠。《說文解字．木部》：「柙，檻也，所以臧虎兕也。」《論語．季氏》：「虎兕出於柙，龜玉毀於櫝中。」
2.箱子。通「匣」。《漢書．卷一二．平帝紀》：「乙未，義陵寑神衣在柙中。」唐．顏師古．注：「柙，匱也。」
[動]
將犯人關在囚車押送。《管子．小匡》：「於是魯君乃不殺，遂生束縛而柙以予齊。」</t>
  </si>
  <si>
    <t>邪</t>
  </si>
  <si>
    <t>(一)ㄒㄧㄝˊ xié（06931）(三)ㄧㄝˊ yé（10742）(四)ㄩˊ yú（11569）(五)ㄒㄩˊ xú（07283）</t>
  </si>
  <si>
    <t>(一)ㄑㄧㄚˋ qià（06323）</t>
  </si>
  <si>
    <t>㭘</t>
  </si>
  <si>
    <t>[名]
劍匣、劍鞘。《說文解字．木部》：「㭘，劍柙也。」清．王念孫《廣雅疏證．卷八上．釋器》：「㭘，劍削也。」疏證：「凡刀劍室通謂之削，字或作鞘。」</t>
  </si>
  <si>
    <t>祫</t>
  </si>
  <si>
    <t>[名]
古代在太廟中合祭遠近祖先的祭祀，每三年舉行一次。《說文解字．示部》：「祫，大合祭先祖親疏遠近也。《周禮》曰：『三歲一祫。』」《公羊傳．文公二年》：「大祫者何？合祭也。」</t>
  </si>
  <si>
    <t>[名]
1.見義勇為、抑強扶弱的人。如：「豪俠」、「游俠」。《史記．卷一二四．游俠傳．序》：「匹夫之俠，湮滅不見。」《新唐書．卷八四．李密傳》：「任城大俠徐師仁來歸。」
2.見義勇為的事。如：「行俠仗義」。《文選．王僧達．和琅邪王依古詩》：「少年好馳俠，旅宦遊關源。」
3.姓。如戰國時韓國有俠累。
[形]
濟弱抑強、見義勇為的。如：「俠義」、「俠客」、「俠氣」、「俠骨柔情」。</t>
  </si>
  <si>
    <t>(二)ㄐㄧㄚˊ jiá（05496）</t>
  </si>
  <si>
    <t>(一)ㄒㄧㄝˊ xié（06937）(三)ㄐㄧㄚˊ jiá（05498）</t>
  </si>
  <si>
    <t>峽</t>
  </si>
  <si>
    <t>[名]
1.兩山所夾的狹長水道。多用於地名。如：「三峽」、「巫峽」、「瞿塘峽」。唐．杜甫〈季秋蘇五弟纓江樓夜宴崔十二評事韋少府姪〉詩三首之一：「峽險江驚急，樓高月迥明。」
2.兩山之間。如：「巴拿馬地峽」。《淮南子．原道》：「逍遙于廣澤之中，而仿洋于山峽之旁。」唐．王維〈桃源行〉：「峽裡誰知有人事？世中遙望空雲山。」
3.陸塊之間的狹長海道。如：「臺灣海峽」、「英吉利海峽」、「直布羅陀海峽」。</t>
  </si>
  <si>
    <t>狹</t>
  </si>
  <si>
    <t>[形]
1.窄小、不寬廣。如：「狹窄」、「地狹人稠」、「狹路相逢」。《史記．卷五三．蕭相世家》：「長安地狹，上林中多空地。」
2.小、少。《史記．卷一二六．滑稽傳．淳于髡傳》：「臣見其所持者狹，而所欲者奢，故笑之。」</t>
  </si>
  <si>
    <t>陜</t>
  </si>
  <si>
    <t>[形]
窄、不寬廣。同「狹」。《說文解字．𨸏部》：「陜，隘也。」《史記．卷六五．孫子吳起傳》：「馬陵道陜，而旁多阻隘，可伏兵。」唐．柳宗元〈永州龍興室東邱記〉：「水亭陜室，曲有奧趣。」</t>
  </si>
  <si>
    <t>硤</t>
  </si>
  <si>
    <t>[名]
1.兩山之間的溪谷。同「峽」。唐．杜甫〈鐵堂峽〉詩：「硤形藏堂隍，壁色立積鐵。」
2.參見「硤石鎮」條。
[形]
狹窄。通「狹」。《淮南子．兵略》：「硤路津關，大山名塞。」</t>
  </si>
  <si>
    <t>斜</t>
  </si>
  <si>
    <t>(一)ㄒㄧㄝˊ xié（06941）(三)ㄧㄝˊ yé（10749）</t>
  </si>
  <si>
    <t>瑕</t>
  </si>
  <si>
    <t>[名]
1.玉上的斑點。如：「白璧無瑕」、「瑕不掩瑜」。《史記．卷八一．廉頗藺相如傳》：「璧有瑕，請指示王。」元．鄭光祖《倩女離魂》第二折：「玩冰壺瀲灩天上下，似一片碧玉無瑕。」
2.過失、缺點。晉．庾亮〈讓中書監表〉：「苟無大瑕，猶或見容。」唐．陳章甫〈與吏部孫員外書〉：「不以小瑕棄大美。」
3.間隙、空隙。《管子．制分》：「故凡用兵書，攻堅則軔，乘瑕則神。」《西遊記》第五五回：「行者自門瑕處鑽將進去。」</t>
  </si>
  <si>
    <t>暇</t>
  </si>
  <si>
    <t>[名]
空閒。如：「閒暇」、「應接不暇」、「自顧不暇」。《孟子．梁惠王上》：「此惟救死而恐不贍，奚暇治禮義哉？」唐．韓愈〈與于襄陽書〉：「雖遇其人，未暇禮耶。」
[形]
從容、悠閒。南朝宋．劉義慶《世說新語．任誕》：「謝便起舞，神意甚暇。」</t>
  </si>
  <si>
    <t>(二)（又音）ㄒㄧㄚˋ xià（06916）</t>
  </si>
  <si>
    <t>遐</t>
  </si>
  <si>
    <t>[名]
遠方。《書經．太甲下》：「若升高，必自下；若陟遐，必自邇。」
[動]
逝去、遠去。《文選．張衡．東京賦》：「俟閶風而西遐，致恭祀乎高祖。」
[形]
1.遙遠。如：「遐荒」、「遐國」。
2.長久、遠大。如：「遐壽」、「松鶴遐齡」。《詩經．小雅．天保》：「降爾遐福，維日不足。」唐．太宗〈九嵕山卜陵詔〉：「末代以來，明辟蓋寡，靡不矜黃屋之尊，慮白駒之過，並多拘忌，希慕遐年。」
[副]
1.遠、疏遠。如：「遐布」、「遐眺」、「遐棄」。
2.何、胡。通「胡」。《詩經．小雅．南山有臺》：「樂只君子，遐不眉壽。」</t>
  </si>
  <si>
    <t>赮</t>
  </si>
  <si>
    <t>[名]
朝霞、彩霞。《玉篇．赤部》：「赮，東方赤色也，亦霞。」唐．柳宗元〈同劉二十八院長述舊言懷感時書事奉寄澧州張員外使君五十二韻之作因其韻增至八十通贈二君子〉詩：「金爐仄流月，紫殿啟晨赮。」
[形]
紅色的。《集韻．平聲．麻韻》：「赮，赤色。」南朝梁．江淹〈翡翠賦〉：「今乃依赮火之絕垠，出赤縣之紘州。」</t>
  </si>
  <si>
    <t>霞</t>
  </si>
  <si>
    <t>[名]
陽光照在雲層上所映出的紅色光彩。如：「朝霞」、「晚霞」。唐．王勃〈滕王閣序〉：「落霞與孤鶩齊飛，秋水共長天一色。」
[形]
彩色的。如：「霞光」、「霞杯」、「鳳冠霞帔」。</t>
  </si>
  <si>
    <t>蕸</t>
  </si>
  <si>
    <t>[名]
荷葉。《玉篇．艸部》：「蕸，荷葉也。」</t>
  </si>
  <si>
    <t>[動]
搔。清．王念孫《廣雅疏證．卷二下．釋詁》：「搳，搔也。」</t>
  </si>
  <si>
    <t>(二)ㄏㄨㄚˊ huá（05016）</t>
  </si>
  <si>
    <t>轄</t>
  </si>
  <si>
    <t>[名]
貫穿車軸的金屬鍵，以防輪子脫落。《漢書．卷九二．游俠傳．陳遵傳》：「取客車轄投井中。」
[動]
管理、治理。如：「管轄」。《紅樓夢》第七三回：「（住兒媳婦）和這兩個丫頭在臥房裡大嚷大叫，二姐姐竟不能轄治。」</t>
  </si>
  <si>
    <t>舝</t>
  </si>
  <si>
    <t xml:space="preserve">舛 </t>
  </si>
  <si>
    <t>[名]
貫穿車軸頭的金屬鍵，以防輪子脫落。同「轄」。《說文解字．舛部》：「舝，車軸耑鍵也。」清．段玉裁．注：「以鐵豎貫軸頭而制轂如鍵閉然。」《詩經．小雅．車舝》：「間關車之舝兮，思孌季女逝兮。」</t>
  </si>
  <si>
    <t>黠</t>
  </si>
  <si>
    <t>[形]
1.聰明、機靈。如：「慧黠」、「黠智」。北齊．顏之推《顏氏家訓．教子》：「此黠兒也，當有所成。」明．徐弘祖《徐霞客遊記．卷三下．粵西遊日記二》：「余急呼其中一黠者，攜餘炬，令導為劉公洞遊。」
2.奸詐、狡猾。如：「黠鼠」、「狡黠」、「黠獪」。《後漢書．卷二．顯宗孝明帝紀》：「人冤不能理，吏黠不能禁。」</t>
  </si>
  <si>
    <t>下</t>
  </si>
  <si>
    <t>ㄒㄧㄚˋ</t>
  </si>
  <si>
    <t>xià</t>
  </si>
  <si>
    <t>[名]
1.低處、底部。與「上」相對。如：「底下」。《孟子．梁惠王上》：「猶水之就下。」
2.稱隸屬於人者、地位較低者。如：「部下」、「手下」、「屬下」、「名下」。《文選．曹冏．六代論》：「建置不久，則輕下慢上。」
3.內、裡面。如：「心下」、「言下之意」、「意下如何」、「不在話下」。
4.方面。如：「四下看一看」。《清平山堂話本．柳耆卿詩酒翫江樓記》：「兩下相思不相見，知他相會是何年。」
5.在某個期間或時節。如：「目下」、「時下」、「年下」、「眼下」。《紅樓夢》第三一回：「大節下怎麼好好的哭起來？難道是為爭粽子吃，爭惱了不成？」
6.量詞。計算動作次數的單位。如：「打十下手心」、「做五十下伏地挺身」。《紅樓夢》第四七回：「用拳頭向他身上擂了幾下。」
[動]
1.由高至低、降落。如：「下雨」、「下山」、「下墜」、「順流而下」。《文選．左思．招隱詩二首之二》：「經始東山廬，果下自成榛。」
2.攻克。如：「不戰而下」、「連下三城」。《史記．卷八〇．樂毅傳》：「齊城不下者，兩城耳。」《三國演義》第一二回：「可引得勝之兵攻之，一鼓可下。」
3.放入、投入。如：「下麵」、「下毒藥」、「下調味料」、「下網捕魚」。
4.進入。如：「下水」、「下場比賽」。《儒林外史》第四二回：「我家太老爺做著貴州的都督府，我是回來下場的。」
5.拆卸、除去。如：「下貨」。《儒林外史》第一六回：「過三日再不出，叫人來摘門下瓦。」
6.離去、退場。如：「鞠躬下臺」、「你上場換他下來。」
7.結束工作或學習。如：「下課」、「下班」、「下工了」。
8.頒布、傳達。如：「下詔」、「下命令」。《漢書．卷四．文帝紀》：「吾詔書數下，歲勸民種樹。」
9.投送。如：「下狀」、「下書」、「下帖」、「下戰書」。
10.從事、使用。如：「下棋」、「下刀」、「下筆如有神」。
11.往、到。如：「南下」、「下鄉視察」。唐．李白〈黃鶴樓送孟浩然之廣陵〉詩：「故人西辭黃鶴樓，煙花三月下揚州。」
12.輕視。宋．蘇軾〈劉愷丁鴻孰賢論〉：「此范氏之所以賢鴻而下愷也。」
13.謙抑、謙讓。如：「禮賢下士」。《三國志．卷五八．吳書．陸遜傳》：「臣雖駑懦，竊慕相如，寇恂相下之義，以濟國事。」
14.生、生產。如：「母雞下蛋」。
15.住宿、留宿。如：「下榻」。元．王實甫《西廂記．第一本．第一折》：「官人要下呵，俺這裡有乾淨的店。」
16.做出某種說明、決定。如：「下定義」、「下結論」。
17.低於、少於。如：「不下於」、「每年參加各種考試的人數不下二十萬人。」
[形]
1.等級低。如：「下品」、「下策」、「下級」。
2.在後面的。如：「下次」、「下文」、「下月」、「下冊」、「下半年」。
3.身分微賤的。如：「下人」、「下吏」。
4.自謙之詞。如：「下官」、「下懷」、「下愚」。
[副]
1.表示動作完成或結束。如：「躺下」、「坐下」、「打下基礎」、「立下決心」。
2.降低身分。如：「下嫁」、「不恥下問」。
3.容納。如：「還坐得下嗎？」「情人眼裡容不下一粒沙子。」</t>
  </si>
  <si>
    <t>襾</t>
  </si>
  <si>
    <t>(一)ㄧㄚˋ yà（10724）</t>
  </si>
  <si>
    <t>[名]
1.一年四季中的第二季。農曆指立夏至立秋的時期。一般而言氣溫較熱，若以北半球氣候而論，大概指從五月或六月至八月或九月的期間。如：「炎夏」、「盛夏」。
2.泛指中國。如：「華夏」。《書經．舜典》：「蠻夷猾夏。」
3.五彩的顏色。《周禮．天官．染人》：「秋染夏。」漢．鄭玄．注：「染夏者，染五色。」
4.高大的房屋。通「廈」。《楚辭．王襃．九懷．陶壅》：「息陽城兮廣夏，衰色罔兮中怠。」
5.朝代名。參見「夏朝」條。
6.姓。如漢代有夏牟。
[形]
高大。《詩經．秦風．權輿》：「於我乎，夏屋渠渠，今也每食無餘。」</t>
  </si>
  <si>
    <t>(二)ㄐㄧㄚˇ jiǎ（05517）</t>
  </si>
  <si>
    <t>廈</t>
  </si>
  <si>
    <t>[名]
1.高大的房屋。如：「華廈」、「高樓大廈」。唐．杜甫〈茅屋為秋風所破歌〉：「安得廣廈千萬間，大庇天下寒士俱歡顏。」
2.房屋後面突出的部分。如：「前廊後廈」。</t>
  </si>
  <si>
    <t>(二)（語音）ㄕㄚˋ shà（08812）</t>
  </si>
  <si>
    <t>煆</t>
  </si>
  <si>
    <t>[名]
火氣、熱氣。唐．柳宗元〈同劉二十八院長述舊言懷感時書事奉寄澧州張員外使君五十二韻之作因其韻增至八十通贈二君子〉詩：「瘴氛恆積潤，訛火亟生煆。」</t>
  </si>
  <si>
    <t>(一)ㄒㄧㄚˊ xiá（06902）</t>
  </si>
  <si>
    <t>諕</t>
  </si>
  <si>
    <t>[動]
1.欺瞞、欺騙。明．湯顯祖《牡丹亭》第四八齣：「則道畫幀兒怎放的個人迴避？做的事瞞神諕鬼。」
2.恐嚇、使人害怕。同「唬」、「嚇」。如：「別諕我，我可是吃軟不吃硬的！」元．關漢卿《望江亭》第四折：「諕的他半晌只茫然，又無那八棒十枷罪，止不過三交兩句言。」</t>
  </si>
  <si>
    <t>[動]
害怕、使人害怕。如：「嚇唬」、「驚嚇」、「嚇了一跳」。《紅樓夢》第一七、一八回：「嚇的寶玉倒退，不敢再說。」</t>
  </si>
  <si>
    <t>(一)ㄏㄜˋ hè（04757）</t>
  </si>
  <si>
    <t>罅</t>
  </si>
  <si>
    <t>[動]
分開、裂開。《說文解字．缶部》：「罅，裂也。」明．徐弘祖《徐霞客遊記．卷三上．粵西遊日記一》：「其山甚薄，上穹如合掌，中罅。」
[名]
1.空隙、隙縫。如：「石罅」、「巖罅」。唐．姚合〈寄楊茂卿校書〉詩：「黃河凍欲合，船入冰罅行。」清．王士禎〈蝶戀花．涼夜沉沉花漏凍〉詞：「此際閒愁郎不共，月移窗罅春寒重。」
2.事情的漏洞、缺陷。唐．韓愈〈進學解〉：「補苴罅漏，張皇幽眇。」清．葉燮《原詩．卷二．內篇下》：「不使有毫髮之罅，而物得以乘我焉。」</t>
  </si>
  <si>
    <t>些</t>
  </si>
  <si>
    <t>ㄒㄧㄝ</t>
  </si>
  <si>
    <t>xiē</t>
  </si>
  <si>
    <t>[副]
1.少量、一點。如：「些微」、「些許」、「些須」。《水滸傳》第四一回：「城裡並無些動靜。」
2.用於形容詞後面，表示比較下少許的差別。如：「多些」、「簡單些」、「方便些」、「容易些」。
[名]
量詞。計算事物不確定數量的單位。如：「這些人」、「有些事情」、「買些金子」。《水滸傳》第四回：「老兒和這小廝上街來買了些鮮魚、嫩雞。」</t>
  </si>
  <si>
    <t>(二)ㄙㄨㄛˋ suò（10142）</t>
  </si>
  <si>
    <t>揳</t>
  </si>
  <si>
    <t>[動]
捶打進去。如：「牆上的釘子鬆了，拿鐵錘把它揳進去。」</t>
  </si>
  <si>
    <t>楔</t>
  </si>
  <si>
    <t>(一)ㄒㄧㄝˋ xiè（06960）</t>
  </si>
  <si>
    <t>[名]
猲獢：一種短嘴的獵狗。《爾雅．釋畜》：「（犬）長喙，獫；短喙，猲獢。」宋．邢昺．疏：「犬長口者名獫，短口者名猲獢。」</t>
  </si>
  <si>
    <t>(二)ㄏㄜˋ hè（04761）</t>
  </si>
  <si>
    <t>歇</t>
  </si>
  <si>
    <t>[動]
1.休息。《說文解字．欠部》：「歇，息也。」如：「這事不急，您歇會兒再做。」唐．孟浩然〈秋登蘭山寄張五〉詩：「時見歸村人，沙行渡頭歇。」
2.停止。如：「歇業」、「歇手」。宋．岳飛〈滿江紅．怒髮衝冠〉詞：「憑欄處，瀟瀟雨歇。」
3.睡覺、住宿。如：「安歇」、「歇宿」。《水滸傳》第三二回：「當夜直吃到五更，叫小嘍囉伏侍宋江歇了。」《紅樓夢》第四四回：「平兒就在李紈處歇了一夜。」
4.竭盡、凋零、衰敗。南朝齊．謝朓〈王孫遊〉詩：「無論君不歸，君歸芳已歇。」唐．李賀〈傷心行〉：「燈青蘭膏歇，落照飛蛾舞。」
5.氣味消散。《文選．顏延之．和謝監靈運詩》：「芬馥歇蘭若，清越奪琳珪。」
[名]
量詞：(1)計算動作次數的單位。相當於「番」、「次」。《董西廂》卷五：「送下階來欲待別，又囑付兩三歇。」(2)計算時段的單位。《水滸傳》第四回：「下得亭子，松樹根邊又坐了半歇。」</t>
  </si>
  <si>
    <t>蠍</t>
  </si>
  <si>
    <t>[名]
動物名。一種毒蟲。節肢動物門蜘蛛屬。長三、四寸，青黑色。顎上有觸鬚一對，下腮有螯。胸甚短，腹部狹長，分成十三節。尾末有毒鉤，供禦敵或捕食。也稱為「蠍子」。</t>
  </si>
  <si>
    <t>劦</t>
  </si>
  <si>
    <t>ㄒㄧㄝˊ</t>
  </si>
  <si>
    <t>xié</t>
  </si>
  <si>
    <t>[動]
合力、同力。《說文解字．劦部》：「劦，同力也。」</t>
  </si>
  <si>
    <t>協</t>
  </si>
  <si>
    <t>[動]
1.和合。如：「協同」、「同心協力」。《三國志．卷一九．魏書．陳思王植傳》：「臣聞天地協氣而萬物生，君臣合德而庶政成。」
2.輔助、幫助。如：「協助」、「協理」。
3.服從、悅服。如：「協服」。《國語．齊語》：「大國慚媿，小國附協。」
[副]
共同。如：「協議」、「協商」、「協調」。</t>
  </si>
  <si>
    <t>脅</t>
  </si>
  <si>
    <t>[名]
1.胸部兩側，由腋下至肋骨盡處的部位。亦指肋骨。《說文解字．肉部》：「脅，兩膀也。」《楚辭．屈原．天問》：「平脅曼膚，何以肥之？」《史記．卷七九．范雎蔡澤傳》：「魏齊大怒，使舍人笞擊睢，折脅摺齒。」
2.側、旁邊。漢．劉熙《釋名．釋車》：「脅驅，在服馬外脅也。」唐．顧況〈廣陵白沙大雲寺碑〉：「滄海之脅，有白沙之墟焉。」
[動]
1.以威力逼迫。如：「威脅」。《禮記．樂記》：「強者脅弱，眾者暴寡。」《漢書．卷七〇．常惠傳》：「使使脅求公主。」
2.收斂、收縮。《墨子．兼愛中》：「楚靈王好士細要，故靈王之臣，皆以一飯為節，脅息然後帶。」《文選．司馬相如．長門賦》：「翡翠脅翼而來萃兮，鷥鳳翔而北南。」</t>
  </si>
  <si>
    <t>嗋</t>
  </si>
  <si>
    <t>[動]
1.合、閉。《莊子．天運》：「予口張而不能嗋，予又何規老聃哉。」
2.呼吸。如：「嗋呷」。</t>
  </si>
  <si>
    <t>勰</t>
  </si>
  <si>
    <t>[形]
和協。《爾雅．釋詁》：「勰，和也。」</t>
  </si>
  <si>
    <t>[形]
1.不正當的。如：「邪念」、「邪心」、「邪惡」。宋．王安石〈答司馬諫議論〉：「闢邪說，難壬人，不為拒諫。」
2.奇怪、異於正常的。如：「邪事」、「邪門」、「邪魔」。《兒女英雄傳》第六回：「這可是邪的！難道那小子有這麼大神通不成？」
3.偏斜不正的。通「斜」。《詩經．小雅．采菽》：「赤芾在股，邪幅在下。」
[名]
1.不正當的思想或行為。如：「改邪歸正」、「奸邪」。《論語．為政》：「詩三百，一言以蔽之，曰思無邪。」
2.人事無法理解的怪異事件。如：「中邪」、「驅邪」、「百邪不侵」。
3.中醫稱足以傷人致病的四時之氣或環境因素。如：「風邪」、「寒邪」。</t>
  </si>
  <si>
    <t>(二)（(一)之又音）ㄒㄧㄚˊ xiá（06890）(三)ㄧㄝˊ yé（10742）(四)ㄩˊ yú（11569）(五)ㄒㄩˊ xú（07283）</t>
  </si>
  <si>
    <t>頁</t>
  </si>
  <si>
    <t>[名]
頭部。《說文解字．頁部》：「頁，頭也。」</t>
  </si>
  <si>
    <t>(二)ㄧㄝˋ yè（10764）</t>
  </si>
  <si>
    <t>[名]
1.伸長、僵直的脖子。《說文解字．頁部》：「頡，直項也。」
2.一種形狀像青狗的野獸。《山海經．中山經》：「東南流注于汝水，其中多人魚，多蛟，多頡。」晉．郭璞．注：「（頡）如青狗。」
3.姓。如古代有賢者頡衛。
[動]
向上飛。《廣韻．入聲．屑韻》：「頡，詩傳云：『飛而上曰頡。』」《詩經．邶風．燕燕》：「燕燕于飛，頡之頏之。」</t>
  </si>
  <si>
    <t>(二)ㄐㄧㄝˊ jié（05559）</t>
  </si>
  <si>
    <t>(一)ㄐㄧㄝˊ jié（05561）</t>
  </si>
  <si>
    <t>襭</t>
  </si>
  <si>
    <t>[動]
用衣服的下襬兜圍東西。《廣韻．入聲．屑韻》：「襭，以衣衽盛物也。」《詩經．周南．芣苢》：「采采芣苢，薄言襭之。」</t>
  </si>
  <si>
    <t>纈</t>
  </si>
  <si>
    <t>[名]
1.有花紋的絲織品。唐．薛濤〈海棠溪〉詩：「人世不思靈卉異，競將紅纈染輕紗。」
2.眼花時所見的星點。宋．蘇舜欽〈奉酬公素學士見招之作〉詩：「神迷耳熱眼生纈，嚼盡寶壓狂醒消。」</t>
  </si>
  <si>
    <t>[動]
1.夾在腋下、懷夾。《國語．齊語》：「時雨既至，挾其槍、刈、耨、鎛，以旦暮從事於田野。」《孟子．梁惠王上》：「挾太山以超北海。」
2.從旁箝夾。《文選．王粲．登樓賦》：「挾清漳之通浦兮，倚曲沮之長洲。」
3.脅持。如：「要挾」。《三國志．卷三五．蜀書．諸葛亮傳》：「挾天子而令諸侯。」《水滸傳》第三六回：「若是如此來挾我，只是逼宋江性命，我自不如死了。」
4.持握、持有。《戰國策．趙策四》：「位尊而無功，奉厚而無勞，而挾重器多也。」《楚辭．屈原．九歌．國殤》：「帶長劍兮挾秦弓，首身離兮心不懲。」
5.倚仗、倚持。如：「挾恃」。《孟子．萬章下》：「不挾長，不挾貴。」清．洪昇《長生殿》第三〇齣：「況且弟兄姊妹挾勢弄權，罪惡滔天。」
6.夾帶、夾雜。宋．辛棄疾〈浣溪沙．梅子熟時到幾回〉詞：「晚雲挾雨喚歸來。」
7.懷藏、隱藏。如：「挾怨」。《漢書．卷五六．董仲舒傳》：「秦繼其後，獨不能改，又益甚之，重禁文學，不得挾書。」元．關漢卿《望江亭》第二折：「挾這讎氣，朦朧奏過聖人，要標取我的首級。」</t>
  </si>
  <si>
    <t>(二)（(一)之又音）ㄒㄧㄚˊ xiá（06895）(三)ㄐㄧㄚˊ jiá（05498）</t>
  </si>
  <si>
    <t>[副]
1.共同、一起。如：「偕行」、「偕入」。《詩經．邶風．擊鼓》：「執子之手，與子偕老。」《孟子．梁惠王上》：「古之人，與民偕樂，故能樂也。」
2.皆、全部。宋．范仲淹〈岳陽樓記〉：「登斯樓也，則有心曠神怡、寵辱偕忘、把酒臨風，其喜洋洋者矣。」
[動]
1.劃一、齊一。《管子．幼官》：「修道路，偕度量，一稱數。」
2.比並、較量。唐．柳宗元〈衡山中院大律師塔銘．序〉：「受學之眾，他莫能偕也。」《太平廣記．卷五三．金可記》：「精勤為事，人不可偕也。」</t>
  </si>
  <si>
    <t>(二)（又音）ㄐㄧㄝ jiē（05533）</t>
  </si>
  <si>
    <t>諧</t>
  </si>
  <si>
    <t>[動]
1.和合、調和。《書經．舜典》：「八音克諧，無相奪倫。」《左傳．襄公十一年》：「如樂之和，無所不諧。」
2.辦成、說妥。《董西廂》卷三：「願先生變雅操為和聲，以詞挑之，事必諧矣。」《鏡花緣》第一五回：「老師如攜門生信去，此事斷無不諧。」
3.商議、協調。《後漢書．卷七八．宦者傳．張讓傳》：「當之官者，皆先至西園諧價，然後得去。」
[形]
滑稽、戲謔。如：「詼諧」。《漢書．卷六五．東方朔傳》：「上以朔口諧辭給，好作問之。」</t>
  </si>
  <si>
    <t>龤</t>
  </si>
  <si>
    <t>[形]
樂音和諧。同「諧」。《說文解字．龠部》：「龤，樂龢也。」清．段玉裁．注：「龤龢作諧和者，皆古今字。」</t>
  </si>
  <si>
    <t>[形]
不正、傾側。如：「斜角」、「斜坡」、「斜線」。宋．辛棄疾〈永遇樂．千古江山〉詞：「斜陽草樹，尋常巷陌，人道寄奴曾住。」
[動]
非水平或垂直方向的移動。《文選．賈誼．鵩鳥賦》：「庚子日斜兮，鵩集予舍。」唐．杜甫〈水檻遣興〉詩二首之一：「細雨魚兒出，微風燕子斜。」
[名]
地名用字。常用於地勢傾斜的地方。如：「玉鉤斜」、「內人斜」、「陳陶斜」。</t>
  </si>
  <si>
    <t>(二)（(一)之又音）ㄒㄧㄚˊ xiá（06900）(三)ㄧㄝˊ yé（10749）</t>
  </si>
  <si>
    <t>[動]
1.用繩子測量寬度。《集韻．入聲．屑韻》：「絜，約束知大小也。」《莊子．人間世》：「匠石之齊，至於曲轅，見櫟社樹，其大蔽數千牛，絜之百圍。」
2.審度、比較。《文選．賈誼．過秦論》：「與陳涉度長絜大，比權量力。」</t>
  </si>
  <si>
    <t>(一)ㄐㄧㄝˊ jié（05589）</t>
  </si>
  <si>
    <t>鞋</t>
  </si>
  <si>
    <t>[名]
腳上的穿著物。低筒、用以保護足部，便於行走。如：「皮鞋」、「球鞋」、「繡花鞋」。</t>
  </si>
  <si>
    <t>[名]
魚類菜餚的總稱。參見「鮭菜」條。</t>
  </si>
  <si>
    <t>(一)ㄍㄨㄟ guī（04262）</t>
  </si>
  <si>
    <t>(一)（讀音）ㄒㄧ xī（06800）</t>
  </si>
  <si>
    <t>血</t>
  </si>
  <si>
    <t>ㄒㄧㄝˇ</t>
  </si>
  <si>
    <t>xiě</t>
  </si>
  <si>
    <t>[名]
1.動物循環系統的體液之一，可循流全身，輸送氧、養分及代謝物。英文為blood。
2.眼淚。漢．李陵〈答蘇武書〉：「天地為陵震怒，戰士為陵飲血。」唐．顧況〈傷子〉詩：「老夫哭愛子，日暮千行血。」
3.二一四部首之一。
[動]
用鮮血沾染。《荀子．議兵》：「兵不血刃，遠邇來服。」
[形]
1.有血緣關係的。如：「血統」、「血親」。
2.剛強、熱烈。如：「血性男兒」、「血氣方剛」。《儒林外史》第一四回：「像你這樣血心為朋友，難道我們當差的心不是肉做的？」</t>
  </si>
  <si>
    <t>(二)（讀音）ㄒㄩㄝˋ xuè（07344）</t>
  </si>
  <si>
    <t>寫</t>
  </si>
  <si>
    <t>[動]
1.放置、移置。《說文解字．宀部》：「寫，置物也。」《禮記．曲禮上》：「御食於君，君賜餘器之溉者不寫，其餘皆寫。」
2.拿筆記錄文字。如：「寫字」、「默寫」、「寫稿子」、「寫對聯」。
3.描繪、描寫。如：「寫景」、「寫生」。《文選．江淹．別賦》：「誰能摹暫離之狀，寫永訣之情者乎？」《聊齋志異．卷一二．寄生》：「遂以五可之容顏髮膚，神情態度，口寫而生狀之。」
4.抄錄。《漢書．卷三〇．藝文志》：「建藏書之策，置寫書之官。」《晉書．卷九二．文苑傳．左思傳》：「於是豪貴之家競相傳寫，洛陽為之紙貴。」
5.訂約租賃。《警世通言．卷一一．蘇知縣羅衫再合》：「聽得說有個少年知縣換船到任，寫了哥子的船。」
6.傾訴、舒洩。《詩經．邶風．泉水》：「駕言出遊，以寫我憂。」唐．李白〈冬夜醉宿龍門覺起言志〉詩：「富貴未可期，殷憂向誰寫。」</t>
  </si>
  <si>
    <t>(二)ㄒㄧㄝˋ xiè（06976）</t>
  </si>
  <si>
    <t>蟹</t>
  </si>
  <si>
    <t>(一)ㄒㄧㄝˋ xiè（06973）</t>
  </si>
  <si>
    <t>ㄒㄧㄝˋ</t>
  </si>
  <si>
    <t>xiè</t>
  </si>
  <si>
    <t>[名]
燈燭燒剩的殘餘物。唐．元稹〈通州丁溪館夜別李景信〉詩三首之二：「離床別臉睡還開，燈灺暗飄珠蔌蔌。」唐．李商隱〈聞歌〉：「此聲腸斷非今日，香灺燈光奈爾何。」</t>
  </si>
  <si>
    <t>(二)（又音）ㄉㄨㄛˋ duò（02329）</t>
  </si>
  <si>
    <t>泄</t>
  </si>
  <si>
    <t>[動]_x000D_
1.液體或氣體等排出、漏出。如：「排泄」。《莊子．秋水》：「天下之水，莫大於海，萬川歸之，不知何時止，而不盈；尾閭泄之，不知何時已，而不虛。」《禮記．月令》：「是月也，生氣方盛，陽氣發泄，句者畢出，萌者盡達，不可以內。」唐．杜甫〈北征〉詩：「老夫情懷惡，嘔泄臥數日。」《初刻拍案驚奇》卷一七：「又有時夢見師父來爭風，染成遺精夢泄癆瘵之病，未幾身死。」_x000D_
2.透露、露出。如：「泄露」、「泄密」。《管子．君臣下》：「古者有二言：牆有耳、伏寇在側。牆有耳者，微謀外泄之謂也。」《史記．卷一〇五．扁鵲倉公列傳．扁鵲》：「我有禁方，年老，欲傳與公，公毋泄。」_x000D_
3.發散。如：「泄恨」、「泄憤」。宋．張孝祥〈代總得居士與葉參政〉：「師退，虜復取之，即盡屠其人，以泄憤怒。然民終不悔。」_x000D_
[名]_x000D_
1.中醫上指肌肉失去收縮功能的症狀。漢．張機《金匱要略方論．卷上．中風歷節病脈證并治．桂枝芍藥知母湯方》：「味酸則傷筋，筋傷則緩，名曰泄。」_x000D_
2.姓。如春秋時魯國有泄柳。</t>
  </si>
  <si>
    <t>(二)ㄧˋ yì（10614）</t>
  </si>
  <si>
    <t>紲</t>
  </si>
  <si>
    <t>[名]
拘繫用的繩索。《韓非子．說疑》：「或在山林藪澤巖穴之間，或在囹圄紲紲纏索之中。」《漢書．卷六二．司馬遷傳》：「十年而遭李陵之禍，幽於纍紲。」
[動]
拘繫、捆綁。《漢書．卷九九．王莽傳下》：「是猶紲韓盧而責之獲也。」《文選．張衡．東京賦》：「掃項軍於垓下，紲子嬰於軹塗。」</t>
  </si>
  <si>
    <t>渫</t>
  </si>
  <si>
    <t>[動]
1.清除汙泥。《易經．井卦．九三》：「井渫不食，為我心惻。」《太平廣記．卷四二三．崔道樞》：「因井渫，得鯉魚一頭長五尺。」
2.分散、發散。漢．鼂錯〈論貴粟疏〉：「如此，富人有爵，農民有錢，粟有所渫 。」
3.停歇、止息。三國魏．曹植〈七啟〉：「於是為歡未渫，白日西頹。」
[名]
1.汙濁、汙穢。《漢書．卷六四下．嚴朱吾丘主父徐嚴終王賈傳．王襃》引漢．王襃〈聖主得賢臣頌〉：「去卑辱奧渫而升本朝，離疏釋蹻而享膏粱。」唐．韓愈〈江西觀察使韋公墓誌銘〉：「人去渫汙，氣益蘇。」
2.姓。如明代有渫升。</t>
  </si>
  <si>
    <t>媟</t>
  </si>
  <si>
    <t>[動]
輕侮、不尊重。如：「媟慢」。《晉書．卷六九．周顗傳》：「雖時輩親狎，莫能媟也。」
[形]
汙穢、骯髒。如：「淫媟」。唐．杜牧〈唐故平盧節度巡官隴西李府君墓誌銘〉：「淫言媟語。」</t>
  </si>
  <si>
    <t>屧</t>
  </si>
  <si>
    <t>[名]
1.木屐。《廣韻．入聲．帖韻》：「屧，屐也。」唐．段公路《北戶錄．卷三．抱木屧》：「抱木產水中，……今潮洲、新洲多刳之為屧。」
2.古代鞋下高起的木底。《南史．卷七三．孝義傳上．江泌傳》：「泌少貧，晝日斫屧為業，夜讀書隨月光。」</t>
  </si>
  <si>
    <t>卸</t>
  </si>
  <si>
    <t>[動]
1.把東西拿下或去除。如：「卸貨」、「卸妝」、「拆卸」、「卸下行李」。唐．李中〈維舟秋浦逢故人張矩同泊〉詩：「卸帆清夜碧江濱，冉冉涼風動白蘋。」
2.解除、推託。如：「卸職」、「卸任」、「推卸責任」。
3.凋謝、凋零。《清平山堂話本．西湖三塔記》：「春開楊柳，秋卸梧桐。」</t>
  </si>
  <si>
    <t>洩</t>
  </si>
  <si>
    <t>[動]
1.液體排放、氣體散逸。如：「洩洪」、「瓦斯外洩」。
2.發散、發抒。如：「洩恨」、「發洩」。《聊齋志異．卷八．夢狼》：「我等來，為一邑之民洩冤憤耳。」
3.透露、露出。如：「洩密」、「洩底」、「洩露」。</t>
  </si>
  <si>
    <t>(二)ㄧˋ yì（10598）</t>
  </si>
  <si>
    <t>絏</t>
  </si>
  <si>
    <t>[名]
拘繫牽引用的繩索、韁繩。同「紲」。《左傳．僖公二十四年》：「臣負羈絏，從君巡於天下。」</t>
  </si>
  <si>
    <t>[名]
人名。殷代始祖。高辛氏的兒子，堯時為司徒，封於商。也作「偰」。</t>
  </si>
  <si>
    <t>(一)ㄑㄧˋ qì（06304）(二)ㄑㄧㄝˋ qiè（06339）</t>
  </si>
  <si>
    <t>偰</t>
  </si>
  <si>
    <t>[名]
1.人名。相傳為堯的臣子，殷人的祖先。《說文解字．人部》：「偰，高辛氏之子，為堯司徒，殷之先也。」也作「契」。
2.姓。如元代有偰傒斯。</t>
  </si>
  <si>
    <t>[名]
1.植物名。薔薇科李屬，「櫻桃」之古稱，參見「櫻桃」條。《爾雅．釋木》：「楔，荊桃」晉．郭璞．注：「今櫻桃。」即櫻桃。
2.門兩旁的木柱。唐．韓愈〈進學解〉：「椳闑扂楔，各得其宜。」
3.上平厚、下尖扁的木塊。塞在榫頭縫隙中，使之固定。如：「木楔」。《淮南子．主術》：「大者以為舟航柱梁，小者以為楫楔。」</t>
  </si>
  <si>
    <t>(二)（又音）ㄒㄧㄝ xiē（06922）</t>
  </si>
  <si>
    <t>屑</t>
  </si>
  <si>
    <t>[名]
碎末、粉碴。如：「木屑」、「鐵屑」、「粉筆屑」。
[動]
1.研磨成碎片。《禮記．內則》：「屑桂與薑。」
2.顧惜、在乎。《後漢書．卷二四．馬援傳》：「盡心納忠，不屑毀譽。」
3.認為值得的。多與「不」連用，有輕視之意。如：「不屑一顧」。
[形]
細碎的、微小的。《管子．地員》：「五沙之狀，粟焉如屑塵厲。」《文選．木華．海賦》：「崩雲屑雨，浤浤汩汩。」</t>
  </si>
  <si>
    <t>[名]
1.鐐銬、枷等刑具。《漢書．卷六六．公孫賀傳》：「南山之竹不足受我辭，斜谷之木不足為我械。」《新唐書．卷二〇九．酷吏傳．來俊臣傳》：「凡囚至，先布械于前示囚，莫不震懼，皆自誣服。」
2.兵器、武器。如：「軍械」、「繳械」。《墨子．公輸》：「子墨子解帶為城，以牒為械。」《紅樓夢》第一〇二回：「起先晚上不敢行走，以致鳥獸逼人，甚至日裡也是約伴持械而行。」
3.器物、用具的總稱。如：「器械」、「機械」。《莊子．天地》：「有械於此，一日浸百畦，用力甚寡，而見功多，夫子不欲乎？」</t>
  </si>
  <si>
    <t>(二)（又音）ㄐㄧㄝˋ jiè（05606）</t>
  </si>
  <si>
    <t>駴</t>
  </si>
  <si>
    <t>[動]
1.如疾雷般擊鼓。《周禮．夏官．大司馬》：「及所弊，鼓皆駴，車徒皆譟。」漢．鄭玄．注：「疾雷擊鼓曰駴。」
2.驚異。通「駭」。《墨子．號令》：「讙囂駴眾，其罪殺。」清．孫詒讓．注：「畢云：『駴，駭字異文。』」</t>
  </si>
  <si>
    <t>禼</t>
  </si>
  <si>
    <t>[名]
1.一種昆蟲。《說文解字．禸部》：「禼，蟲也。」
2.人名。「契」的古字。《廣韻．入聲．薛韻》：「禼，殷祖也，或作偰，又作契。」</t>
  </si>
  <si>
    <t>[動]
鬆懈、懈怠。《禮記．雜記下》：「三日不怠，三月不解。」《漢書．卷六九．趙充國傳》：「虜久屯聚，解弛。」
[名]
1.參見「解縣」條。
2.姓。如春秋時晉國有解狐。</t>
  </si>
  <si>
    <t>(一)ㄐㄧㄝˇ jiě（05595）(二)ㄐㄧㄝˋ jiè（05614）</t>
  </si>
  <si>
    <t>澥</t>
  </si>
  <si>
    <t>[名]
伸入陸地的海。古稱渤海為「勃澥」。《史記．卷一一七．司馬相如傳》：「浮勃澥。」裴駰集解引《漢書音義》：「海別枝名也。」司馬貞索隱引〈齊都賦〉：「海傍曰勃，斷水曰澥。」
[動]
北平方言。指加水使糊狀物或膠狀物由稠變稀。如：「漿糊澥了。」</t>
  </si>
  <si>
    <t>[名]
官署，古代官吏辦公的地方。如：「官廨」、「公廨」。漢．王充《論衡．感虛》：「猶地有郵亭，為長吏廨也。」</t>
  </si>
  <si>
    <t>(二)（又音）ㄐㄧㄝˋ jiè（05615）</t>
  </si>
  <si>
    <t>懈</t>
  </si>
  <si>
    <t>[動]
怠惰、弛緩不振。《說文解字．心部》：「懈，怠也。」如：「鬆懈」。《孝經．卿大夫章》：「夙夜匪懈。」《文選．諸葛亮．出師表》：「然侍衛之臣，不懈於內。」</t>
  </si>
  <si>
    <t>嶰</t>
  </si>
  <si>
    <t>[名]
山澗。《後漢書．卷六〇上．馬融傳》：「窮浚谷，底幽嶰。」</t>
  </si>
  <si>
    <t>獬</t>
  </si>
  <si>
    <t>參見「獬豸」條。</t>
  </si>
  <si>
    <t>(二)（又音）ㄐㄧㄝ jiē（05546）</t>
  </si>
  <si>
    <t>邂</t>
  </si>
  <si>
    <t>[名]
動物名。節肢動物門甲殼綱。全身被有甲殼，頭胸多扁平而廣闊，有五對足，第一對變形為螯，橫行甚速。腹部分數節屈折於胸部之下，俗稱為「臍」，雄的臍尖，雌的臍圓。鹹、淡水皆產，種類甚多。</t>
  </si>
  <si>
    <t>(二)（又音）ㄒㄧㄝˇ xiě（06948）</t>
  </si>
  <si>
    <t>榭</t>
  </si>
  <si>
    <t>[名]
建築在臺上的房屋。如：「水榭」、「歌臺舞榭」。宋．秦觀〈滿庭芳．曉色雲開〉詞：「古臺芳榭，飛燕蹴紅英。」</t>
  </si>
  <si>
    <t>謝</t>
  </si>
  <si>
    <t>[動]_x000D_
1.辭去、推卻、拒絕。《說文解字．言部》：「謝，辭去也。」如：「婉謝」、「敬謝不敏」、「閉門謝客」。《禮記．曲禮上》：「大夫七十而致事，若不得謝，則必賜之几杖。」_x000D_
2.辭別、告別。如：「謝世」。晉．劉琨〈扶風歌〉：「揮手長相謝，哽咽不能言。」唐．白居易〈長恨歌〉：「含情凝睇謝君王，一別音容兩渺茫。」_x000D_
3.凋零、消逝。如：「凋謝」。晉．潘岳〈悼亡〉詩三首之一：「荏苒冬春謝，寒暑忽流易。」唐．杜牧〈留贈〉詩：「不用鏡前空有淚，薔薇花謝即歸來。」_x000D_
4.表示感激、酬答。如：「感謝」、「道謝」、「謝天謝地」。《史記．卷七．項羽本紀》：「噲拜謝，起，立而飲之。」《儒林外史》第三三回：「他前日進了學，我來賀他，他謝了我二十四兩銀子。」_x000D_
5.賠罪、認錯。如：「謝罪」。《史記．卷七．項羽本紀》：「旦日不可不蚤自來謝項王。」_x000D_
6.告訴。《史記．卷八九．張耳陳餘列傳》：「有廝養卒謝其舍中曰：『吾為公說燕，與趙王載歸。』」《樂府詩集．卷七三．雜曲歌辭一三．古辭．焦仲卿妻》：「多謝後世人，戒之慎勿忘。」_x000D_
7.詢問、問候。《樂府詩集．卷二八．相和歌辭三．古辭．陌上桑》：「使君謝羅敷：『寧可共載不？』」_x000D_
8.更換、替代。如：「新陳代謝」。《莊子．秋水》：「何少何多，是謂謝施。」唐．成玄英．疏：「謝，代也。」《淮南子．兵略》：「輪轉而無窮，象日月之運行，若春秋有代謝，若日月有晝夜，終而復始，明而復晦，莫能得其紀。」_x000D_
[名]_x000D_
姓。如南朝宋有謝靈運。</t>
  </si>
  <si>
    <t>[動]
拆卸。通「卸」。《後漢書．卷六五．皇甫規傳》：「有旋車完封，寫之權門。」《晉書．卷五五．潘岳傳》：「疲牛必投，乘涼近進，發槅寫鞍，皆有所憩。」
[形]
參見「寫意兒」條。</t>
  </si>
  <si>
    <t>(一)ㄒㄧㄝˇ xiě（06947）</t>
  </si>
  <si>
    <t>瀉</t>
  </si>
  <si>
    <t>[動]
1.水向下急流。如：「傾瀉」、「一瀉千里」。宋．陸游〈雨夜〉詩：「急雨如河瀉瓦溝。」
2.拉肚子。如：「腹瀉」、「上吐下瀉」。</t>
  </si>
  <si>
    <t>韰</t>
  </si>
  <si>
    <t>[形]
褊狹。《集韻．去聲．怪韻》：「韰，陿也。」《文選．左思．魏都賦》：「風俗以韰果為嫿，人物以戕害為藝。」唐．李善．注：「應劭曰：『韰，狹也。』」</t>
  </si>
  <si>
    <t>薤</t>
  </si>
  <si>
    <t>[名]
植物名。百合科蔥屬。「薤白」之簡稱，參見「薤白」條。</t>
  </si>
  <si>
    <t>瀣</t>
  </si>
  <si>
    <t>參見「沆瀣」條。</t>
  </si>
  <si>
    <t>燮</t>
  </si>
  <si>
    <t>[動]
調和。如：「燮理陰陽」。《文選．張衡．東京賦》：「北燮丁令，南諧越裳。」
[名]
姓。如宋代有燮玄圖。</t>
  </si>
  <si>
    <t>躞</t>
  </si>
  <si>
    <t>[名]
卷軸的軸心。宋．米芾《書史》：「嗟爾方來眼須洗，玉躞金題半歸米。」</t>
  </si>
  <si>
    <t>褻</t>
  </si>
  <si>
    <t>[名]
貼身的衣服。《漢書．卷一〇〇．敘傳上》：「思有短褐之褻。」
[動]
輕慢、不莊重。如：「褻瀆」、「褻狎」、「褻慢」。《禮記．表記》：「無禮不相見也，欲民之毋相褻也。」唐．杜甫〈八哀詩．故祕書少監武功蘇公源明〉：「反為後輩褻，予實苦懷緬。」
[形]
1.汙穢、不清潔的。如：「褻器」、「穢褻」。
2.親近的、熟識的。《論語．鄉黨》：「見齊衰者，雖狎，必變。見冕者與瞽者，雖褻，必以貌。」《禮記．檀弓下》：「調也，君之褻臣也。」</t>
  </si>
  <si>
    <t>齘</t>
  </si>
  <si>
    <t>[動]
上下牙齒互相摩擦。《說文解字．齒部》：「齘，齒相切也。」清．段玉裁．注：「謂上下齒緊相摩切也。」
[形]
參差不密合。《周禮．冬官考工記．函人》：「舉而視之，欲其豐也；衣之，欲其無齘也。」唐．賈公彥．疏：「釋曰：『人之齒齘前卻不齊，札葉參差與齒齘相似，故以齘為喻。』」</t>
  </si>
  <si>
    <t>ㄒㄧㄠ</t>
  </si>
  <si>
    <t>xiāo</t>
  </si>
  <si>
    <t>[形]
外大而中空、虛大。《集韻．平聲．宵韻》：「呺，呺然，虛大貌。」《莊子．逍遙遊》：「非不呺然大也，吾為其無用而揞之。」</t>
  </si>
  <si>
    <t>(二)ㄏㄠˊ háo（04789）</t>
  </si>
  <si>
    <t>枵</t>
  </si>
  <si>
    <t>[形]
空虛、空腹。如：「枵腹從公」。《新唐書．卷九〇．殷開山傳》：「公等勿與爭，糧盡眾枵，乃可圖。」</t>
  </si>
  <si>
    <t>鴞</t>
  </si>
  <si>
    <t>[名]
鴞形目鳥類的統稱。通「梟」。雙眼巨大而渾圓，其羽毛的表面似天鵝絨，故飛行無聲，利於獵物。肉食，多為夜行性的猛禽。</t>
  </si>
  <si>
    <t>削</t>
  </si>
  <si>
    <t>(一)（讀音）ㄒㄩㄝˋ xuè（07346）</t>
  </si>
  <si>
    <t>消</t>
  </si>
  <si>
    <t>[動]
1.除去。如：「消滅」、「消毒」。《孟子．滕文公下》：「鳥獸之害人者消，然後人得平土而居之。」宋．陸游〈秋夜懷吳中〉詩：「正是浮家泛宅時，巴酒不能消客恨。」
2.散失。如：「消失」、「煙消雲散」、「香消玉殞」。清．納蘭性德〈翦湘雲．電急流光〉詞：「欲譜頻年離恨，言已盡，恨未消。」
3.減退、衰退。如：「此消彼長」。《易經．泰卦》：「《彖》曰：君子道長，小人道消也。」
4.排遣、打發。如：「消遣」。三國魏．曹植〈感節賦〉：「登高墉以永望，冀消日以忘憂。」明．劉榮嗣〈有感〉詩：「捫舌藏身消永日，隨日曝背倚前簷。」
5.耗損、耗費。如：「消費」、「消耗」。
6.溶解。如：「冰消瓦解」。《禮記．月令》：「雪不降，冰凍消釋。」
7.享受。如：「消受」。元．喬吉《金錢記》第一折：「沒福消軒馬駟車，大纛高牙。」清．孔尚任《桃花扇》第七齣：「世兄有福，消此尤物。」
8.需要。如：「不消說」、「只消一天」。《西遊記》第二回：「那裡消一個時辰，早看見花果山水簾洞。」《醒世姻緣傳》第五〇回：「明早我還有小事，不消在府等我，索性明早晚上些罷。」
9.禁得住、禁得起。宋．辛棄疾〈摸魚兒．更能消〉詞：「更能消，幾番風雨？匆匆春又歸去。」元．王實甫《西廂記．第二本．第一折》：「羅衣寬褪，能消幾度黃昏？」
10.配得、值得。唐．司空圖〈淮西〉詩：「莫誇十萬兵威盛，消個忠良效順無。」宋．柳永〈蝶戀花．獨倚危樓風細細〉詞：「衣帶漸寬終不悔，為伊消得人憔悴。」
[名]
音訊、訊息。如：「消息」。元．關漢卿《救風塵》第三折：「兩頭往來，傳消寄信都是我。」</t>
  </si>
  <si>
    <t>宵</t>
  </si>
  <si>
    <t>[名]
夜、夜晚。如：「良宵苦短」、「通宵達旦」、「春宵一刻值千金」。《文選．潘岳．懷舊賦》：「宵展轉而不寐，驟長歎以達晨。」唐．李白〈塞下曲〉六首之一：「曉戰隨金鼓，宵眠抱玉鞍。」
[形]
細小。通「小」。《禮記．學記》：「宵雅肄三，官其始也。」漢．鄭玄．注：「宵之言小也。」《史記．卷六〇．三王世家》：「毋侗好軼，毋邇宵人，維法維則。」</t>
  </si>
  <si>
    <t>逍</t>
  </si>
  <si>
    <t>參見「逍遙」條。</t>
  </si>
  <si>
    <t>硝</t>
  </si>
  <si>
    <t>[名]
1.一種礦石。結晶體色白而透明，有玻璃光澤。可供藥用，並製火藥、肥料、蠟燭等。
2.塗製皮革所用的原料，俗稱為「皮硝」。
[動]
用硝塗製皮革使柔軟。如：「這張皮革還沒硝呢！」《西遊記》第九二回：「一壁廂叫屠子宰剝犀牛之皮，硝熟燻乾，製造鎧甲。」</t>
  </si>
  <si>
    <t>揱</t>
  </si>
  <si>
    <t>[形]
細長削尖的樣子。《周禮．冬官考工記．輪人》：「望其輻，欲其揱爾而纖也。」漢．鄭玄．注：「揱、纖，殺小貌也。」</t>
  </si>
  <si>
    <t>蛸</t>
  </si>
  <si>
    <t>(二)ㄕㄠ shāo（08864）</t>
  </si>
  <si>
    <t>綃</t>
  </si>
  <si>
    <t>[名]
1.生絲。《說文解字．糸部》：「綃，生絲也。」
2.用生絲織成的絲織品。唐．白居易〈琵琶行〉：「五陵年少爭纏頭，一曲紅綃不知數。」唐．陳鴻《長恨傳》：「見一人冠金蓮，披紫綃，佩紅玉，曳鳳舄，左右侍者七八人。」</t>
  </si>
  <si>
    <t>霄</t>
  </si>
  <si>
    <t>[名]
1.天空。如：「響徹雲霄」、「九霄雲外」。《文選．陸機．挽歌詩三首之二》：「廣霄何寥廓，大暮安可晨。」宋．張孝祥〈浣溪沙．霜日明霄水蘸空〉詞：「霜日明霄水蘸空，鳴鞘聲裡繡旗紅。」
2.雲、高空雲氣。《文選．張衡．思玄賦》：「涉清霄而升遐兮。」唐．高適〈同群公秋登琴臺〉詩：「萬象歸白帝，平川橫赤霄。」
3.夜、晚間。通「宵」。《左傳．襄公十年》：「（鄭子矯）霄涉潁與楚人盟。」晉．杜預．注：「夜渡畏晉知之。」《呂氏春秋．季夏紀．明理》：「有晝盲，有霄見。」
4.姓。如戰國時代有霄略。</t>
  </si>
  <si>
    <t>銷</t>
  </si>
  <si>
    <t>[動]
1.鎔化金屬。《說文解字．金部》：「銷，鑠金也。」如：「銷鎔」、「銷鑠」。《史記．卷六．秦始皇本紀》：「收天下兵，聚之咸陽，銷以為鍾鐻，金人十二，重各千石，置廷宮中。」
2.耗盡、毀壞。《漢書．卷七二．龔勝傳》：「薰以香自燒，膏以明自銷。」《文選．鄒陽．獄中上書自明》：「眾口鑠金，積毀銷骨。」
3.耗費、削弱。《莊子．則陽》：「其聲銷，其志無窮。」元．鄭廷玉《冤家債主》第三折：「典了莊宅，賣了田土，銷乏了幾多錢物。」
4.去、除去。如：「註銷」、「報銷」、「撤銷」。唐．駱賓王〈送吳七遊蜀〉詩：「霧銷山望迥，風高野聽喧。」《官場現形記》第四回：「黃道臺，上院銷假。」
5.抒發、排遣。《文選．王粲．登樓賦》：「聊暇日以銷憂。」
6.出售（貨物）。如：「銷售」、「推銷」。《老殘遊記》第七回：「這千家詩還算一半是冷貨，一年不過銷百把部。」</t>
  </si>
  <si>
    <t>魈</t>
  </si>
  <si>
    <t>參見「山魈」條。</t>
  </si>
  <si>
    <t>哮</t>
  </si>
  <si>
    <t>[動]
吼叫。如：「怒哮」、「大肆咆哮」。《新唐書．卷一七三．裴度傳》：「猛虎自哮躍山林。」宋．陸游〈呂氏子夔郎求詩〉：「果能哮吼如獅子，一瓣香應嗣放翁。」
[名]
參見「哮喘」條。</t>
  </si>
  <si>
    <t>(二)ㄒㄧㄠˋ xiào（07028）</t>
  </si>
  <si>
    <t>烋</t>
  </si>
  <si>
    <t>參見「炰烋」條。</t>
  </si>
  <si>
    <t>虓</t>
  </si>
  <si>
    <t>[動]
1.猛虎怒吼。《說文解字．虎部》：「虓，虎鳴也。」漢．揚雄《太玄經．卷三．眾卦》：「虎虓振廞。」
2.敲擊。通「敲」。《呂氏春秋．孝行覽．必己》：「船人怒而以楫虓其頭。」
[形]
凶悍、勇猛。《後漢書．卷五一．龐參傳》：「非惟兩主有明叡之姿，抑亦捍城有虓虎之助。」《新唐書．卷一〇五．褚遂良傳》：「虓士爪臣，氣力未衰。」</t>
  </si>
  <si>
    <t>猇</t>
  </si>
  <si>
    <t>[擬]
形容老虎的吼聲。《玉篇．犬部》：「猇，虎欲齧人聲也。」
[形]
粗俗、粗野。《紅樓夢》第八七回：「兼之猇聲狺語，旦暮無休。」</t>
  </si>
  <si>
    <t>梟</t>
  </si>
  <si>
    <t>[名]
1.鳥綱鴟鴞科鳥類的總稱。《說文解字．木部》：「梟，不孝鳥也。」明．張自烈《正字通．木部》：「梟，鳥生炎州，母嫗子百日，羽翼長，從母索食，食母而飛。關西名流離。又土梟，鷹身貓面，穴土而居。」
2.魁首。《淮南子．原道》：「為天下梟。」漢．王充《論衡．別通》：「東成令董仲綬，知為儒梟，海內稱通。」
3.違法犯禁以圖暴利的人。如：「私梟」、「毒梟」。
4.山顛。《管子．地員》：「其山之梟，多桔符榆。」
[動]
1.斬首懸頭於木上。如：「梟首示眾」。《史記．卷八．高祖本紀》：「梟故塞王欣頭櫟陽市。」漢．曹操〈讓縣自明本志令〉：「幸而破紹，梟其二子。」
2.斬除、消滅。《三國志．卷三二．蜀書．先主備傳》：「寇賊不梟，國難未已。」
[形]
驍勇雄健。如：「梟雄」。《漢書．卷一．高帝紀上》：「北貉、燕人來，致梟騎助漢。」</t>
  </si>
  <si>
    <t>翛</t>
  </si>
  <si>
    <t>參見「翛翛」條。</t>
  </si>
  <si>
    <t>(二)ㄕㄨˋ shù（09097）</t>
  </si>
  <si>
    <t>歊</t>
  </si>
  <si>
    <t>[形]
氣上升的樣子。《說文解字．欠部》：「歊，歊歊，氣上出貌。」《漢書．卷八七．揚雄傳下》：「泰山之高不嶕嶢，則不能浡滃雲而散歊蒸。」</t>
  </si>
  <si>
    <t>嘐</t>
  </si>
  <si>
    <t>參見「嘐嘐」條。</t>
  </si>
  <si>
    <t>潚</t>
  </si>
  <si>
    <t>[形]
水深清澈的樣子。《說文解字．水部》：「潚，深清也。」
[名]
河川名。即瀟水。源出湖南省寧遠縣九疑山，至零陵縣流入湘水。</t>
  </si>
  <si>
    <t>蕭</t>
  </si>
  <si>
    <t>[名]
1.一種香草。即艾蒿。《說文解字．艸部》：「蕭，艾蒿也。」《詩經．王風．采葛》：「彼采蕭兮，一日不見，如三秋兮。」唐．孔穎達．正義：「陸璣云：『今人所謂荻蒿者是也。』」
2.姓。如南朝梁有蕭統。
[形]
1.寂寥、冷清。如：「蕭索」、「蕭瑟」、「景氣蕭條」。晉．劉伶〈北芒客舍詩〉：「蚊蚋歸豐草，枯葉散蕭林。」
2.莊嚴、恭謹。通「肅」。《論語．季氏》：「吾恐季孫之憂，不在顓臾，而在蕭牆之內。」三國魏．何晏．集解：「鄭曰：『蕭之言肅也，牆謂屏也，君臣相見之禮，至屏而加肅敬焉，是以謂之蕭牆。』」</t>
  </si>
  <si>
    <t>簫</t>
  </si>
  <si>
    <t>[名]
樂器名，吹管樂器。竹製，直吹：(1)以一組長短參差的細竹管依音階高低緊密排列而成，一管一音。吹嘴有兩種，一種是哨子型，一種是邊稜音，都通稱為「排簫」。古代亦名為「鳳簫」。(2)「琴簫」之簡稱。單管，管身細長，直吹，常與古琴合奏。(3)今日所稱之「簫」為單管直吹，吹孔為V字形口。其正面五孔，背面一孔。今常用於獨奏與合奏。也稱為「洞簫」。</t>
  </si>
  <si>
    <t>瀟</t>
  </si>
  <si>
    <t>[名]
參見「瀟水」條。
[形]
風雨狂急的樣子。如：「風雨瀟瀟」。宋．岳飛〈滿江紅．怒髮衝冠〉詞：「憑欄處、瀟瀟雨歇。」</t>
  </si>
  <si>
    <t>蠨</t>
  </si>
  <si>
    <t>參見「蠨蛸」條。</t>
  </si>
  <si>
    <t>嘵</t>
  </si>
  <si>
    <t>參見「嘵嘵」條。</t>
  </si>
  <si>
    <t>膮</t>
  </si>
  <si>
    <t>[名]
豬肉羹。《說文解字．肉部》：「膮，豕肉羹也。」</t>
  </si>
  <si>
    <t>驍</t>
  </si>
  <si>
    <t>[名]
良馬。《說文解字．馬部》：「驍，良馬也。」《文選．顏延之．赭白馬賦》：「料武藝、品驍騰。」
[形]
勇武剛健。如：「驍勇」、「驍悍」。《史記．卷一〇八．韓長孺傳》：「衛尉李廣為驍騎將軍。」</t>
  </si>
  <si>
    <t>髐</t>
  </si>
  <si>
    <t>[副]
骷髏骨暴露的樣子。南朝梁．武帝〈收斂道死詔〉：「髐然路隅，往往而有。」唐．柳宗元〈掩役夫張進骸〉詩：「髐然暴百骸，散亂不復支。」</t>
  </si>
  <si>
    <t>囂</t>
  </si>
  <si>
    <t>[動]
嘈雜、喧譁。如：「喧囂」、「叫囂」、「甚囂塵上」。《左傳．成公十六年》：「陳不違晦，在陳而囂。」晉．杜預．注：「囂，喧譁也。」
[形]
放肆。如：「囂張」。唐．柳宗元〈憎王孫文．序〉：「王孫之德躁以囂，勃諍號呶。」</t>
  </si>
  <si>
    <t>爻</t>
  </si>
  <si>
    <t xml:space="preserve">爻 </t>
  </si>
  <si>
    <t>ㄒㄧㄠˊ</t>
  </si>
  <si>
    <t>xiáo</t>
  </si>
  <si>
    <t>(一)（語音）ㄧㄠˊ yáo（10803）</t>
  </si>
  <si>
    <t>肴</t>
  </si>
  <si>
    <t>(一)ㄧㄠˊ yáo（10804）</t>
  </si>
  <si>
    <t>餚</t>
  </si>
  <si>
    <t>(一)ㄧㄠˊ yáo（10808）</t>
  </si>
  <si>
    <t>洨</t>
  </si>
  <si>
    <t>[名]
1.河川名。源出大陸地區河北省獲鹿縣西南井陘山，向東流經欒城、趙縣，注入寧晉泊。
2.縣名。漢代設置，約在今大陸地區安徽省靈壁縣南方五十里，許慎曾任縣長。</t>
  </si>
  <si>
    <t>笅</t>
  </si>
  <si>
    <t>1.樂器名，吹管樂器。小排簫，古名小簫。同「筊」。《廣韻．平聲．肴韻》：「笅，小簫，一十六管。」
2.竹索。同「筊」。《集韻．平聲．爻韻》：「筊，《說文》：『竹索也。』或從爻。」</t>
  </si>
  <si>
    <t>小</t>
  </si>
  <si>
    <t>ㄒㄧㄠˇ</t>
  </si>
  <si>
    <t>xiǎo</t>
  </si>
  <si>
    <t>[形]
與「大」相對：(1)體積、數量、力量等方面不大的。如：「小城」、「小人物」。《荀子．勸學》：「不積小流，無以成江海。」唐．韓愈〈原道〉：「坐井而觀天，曰：『天小者，非天小也。』」(2)年輕、幼稚的。如：「年紀小」、「小伙子」。《晉書．九二．文苑傳．趙至傳》：「我小，未能榮養。」(3)排行最後或地位較低的。如：「小官」、「這兩位是我二弟和小妹。」、「小妹！請你把帳單拿過來。」(4)對自己或與自己有關的人事物的謙稱。如：「恕小民直言。」、「小的不敢！」、「小店」、「小兒」。
[名]
1.邪惡的人、壞人。《漢書．卷八九．循吏傳．龔遂傳》：「今大王親近群小，漸漬邪惡所習。」
2.小孩、年幼者。如：「一家老小」。《詩經．小雅．楚茨》：「既醉既飽，小大稽首」。
3.妾。如：「嫁給人家當小的。」明．湯顯祖《牡丹亭》第二五齣：「你可知老相公年來因少男兒，常有娶小之意。」
4.二一四部首之一。
[動]
輕視。《左傳．桓公十三年》：「將自用也，必小羅。」唐．李白〈送長沙陳太守〉詩二首之二：「莫小二千石，當安遠俗人。」
[副]
稍微。表示程度不深。如：「牛刀小試」、「不無小補」。
[助]
詞頭，表對年紀輕者的暱稱。如：「小王」、「小老弟」。</t>
  </si>
  <si>
    <t>筱</t>
  </si>
  <si>
    <t>[名]
小竹子。《說文解字．竹部》：「筱，箭屬。小竹也。」</t>
  </si>
  <si>
    <t>篠</t>
  </si>
  <si>
    <t>[名]_x000D_
1.細竹。同「筱」。南朝梁．沈約〈休沐寄懷〉詩：「紫籜開綠篠，白鳥映青疇。」_x000D_
2.竹子做的各種器具。《書經．禹貢》：「篠簜既敷，厥草惟夭，厥木惟喬。」漢．孔安國．傳：「篠，竹箭。簜，大竹。」北周．庾信〈奉和永豐殿下言志〉詩一〇首之九：「漢陰逢荷篠，緇林見杖拏。」</t>
  </si>
  <si>
    <t>曉</t>
  </si>
  <si>
    <t>[名]
1.天剛亮的時刻。如：「破曉」、「拂曉」。元．王實甫《西廂記．第四本．第三折》：「曉來誰染霜林醉？總是離人淚。」
2.姓。如明代有曉枝。
[形]
清晨的。如：「曉霧」、「盧溝曉月」。唐．李商隱〈常娥〉詩：「長河漸落曉星沉。」
[動]
1.知道、明白。如：「知曉」、「洞曉」、「家喻戶曉」。漢．王充《論衡．變虛》：「人不曉天所為，天安能知人所行。」
2.告知。如：「曉以利害」。《漢書．卷六二．司馬遷傳》：「以曉左右。」</t>
  </si>
  <si>
    <t>謏</t>
  </si>
  <si>
    <t>[形]
小的、微不足道的。《玉篇．言部》：「謏，小也。」唐．柳宗元〈為樊左丞讓官表〉：「臣實謏才，謬登清貫。」</t>
  </si>
  <si>
    <t>孝</t>
  </si>
  <si>
    <t>ㄒㄧㄠˋ</t>
  </si>
  <si>
    <t>xiào</t>
  </si>
  <si>
    <t>[動]
盡心奉養父母。如：「孝順」、「孝敬」。《論語．學而》：「弟子入則孝，出則弟。」
[形]
有孝心的。如：「孝子」、「孝女」。
[名]
1.善事父母的道理、方法。如：「忠孝傳家」。《孝經．開宗明義章》：「夫孝，德之本也。」
2.居喪的禮儀。如：「守孝」。《北史．卷二四．崔逞傳》：「後喪母，居喪哀毀骨立。人云：『崔九作孝，風吹即倒。』」
3.居喪時所穿的素服。如：「戴孝」、「穿孝」。《紅樓夢》第一一五回：「恰又忙著脫孝，家中無人，又叫了賈芸來照應大夫。」
4.姓。如宋代有孝發。</t>
  </si>
  <si>
    <t>[動]
高聲呼喚。《集韻．去聲．效韻》：「哮，呼也。」如：「他大聲叫哮，希望有人聽到。」、「他正與對山的人呼哮著。」</t>
  </si>
  <si>
    <t>(一)ㄒㄧㄠ xiāo（06999）</t>
  </si>
  <si>
    <t>參見「發酵」、「酵母」、「酵素」等條。</t>
  </si>
  <si>
    <t>(二)（又音）ㄐㄧㄠˋ jiào（05676）</t>
  </si>
  <si>
    <t>肖</t>
  </si>
  <si>
    <t>[動]
1.相似、相像。《說文解字．肉部》：「肖，骨肉相似也。不似其先，故曰不肖也。」如：「不肖」、「唯妙唯肖」。宋．蘇軾〈影答形〉詩：「我依月燈出，相肖兩奇絕。」
2.比擬、仿效。漢．揚雄《法言．學行》：「七十子之肖仲尼也。」清．紀昀《閱微草堂筆記．卷五．灤陽消夏錄五》：「以牛角作曲管，肖鶉聲吹之。」
[名]
姓。如元朝有肖乃台。</t>
  </si>
  <si>
    <t>恔</t>
  </si>
  <si>
    <t>[形]
快慰。漢．揚雄《方言》卷三：「恔，快也。……東齊海岱之間曰恔。」《孟子．公孫丑下》：「且比化者，無使土親膚，於人心獨無恔乎？」</t>
  </si>
  <si>
    <t>效</t>
  </si>
  <si>
    <t>[動]
1.摹仿。如：「東施效顰」、「上行下效」。唐．王勃〈滕王閣序〉：「阮籍猖狂，豈效窮途之哭？」
2.致送、奉獻。如：「效勞」、「效力」、「效忠」。《韓非子．五蠹》：「獻圖則地削，效璽則名卑。」《文選．司馬遷．報任少卿書》：「誠欲效其款款之愚。」
[名]
1.功用。如：「功效」、「藥效」、「見效」。《淮南子．脩務》：「夫聖人之心，日夜不忘於欲利人，其澤之所及者，效亦大矣。」《紅樓夢》第一一回：「今日頭眩的略好些，別的仍不見怎麼樣大見效。」
2.徵驗。《淮南子．脩務》：「哭者，悲之效也。」漢．王充《論衡．雷虛》：「夫論雷之為火有五驗，言雷為天怒無一效。」</t>
  </si>
  <si>
    <t>[名]
1.施教求學的地方。如：「學校」、「補校」、「夜校」。
2.中級軍官的名稱，分上校、中校、少校三級。
3.姓。如唐代有校桀。</t>
  </si>
  <si>
    <t>(二)ㄐㄧㄠˋ jiào（05673）</t>
  </si>
  <si>
    <t>傚</t>
  </si>
  <si>
    <t>[動]
摹仿、效法。同「效」。如：「仿傚」。《詩經．小雅．鹿鳴》：「君子是則是傚。」《漢書．卷三七．季布傳》：「使後為人臣無傚丁公也。」</t>
  </si>
  <si>
    <t>笑</t>
  </si>
  <si>
    <t>[動]
1.因欣喜而在臉上露出快樂表情，或發出喜悅的聲音。如：「玩笑」、「嬉笑」、「微笑」。《論語．憲問》：「樂然後笑，人不厭其笑。」
2.譏笑、嘲笑。如：「見笑」、「恥笑」。《孟子．梁惠王上》：「以五十步笑百步，則何如？」唐．韓愈〈調張籍〉詩：「蚍蜉撼大樹，可笑不自量。」
[副]
致贈時，希望對方接受的敬辭。如：「笑納」。《水滸傳》第二回：「特地使小校送些薄禮，酬謝大郎不殺之恩，不要推卻，望乞笑留。」</t>
  </si>
  <si>
    <t>嘯</t>
  </si>
  <si>
    <t>[動]
1.撮口吹出聲音、或發出高昂悠長的聲響。《詩經．召南．江有汜》：「之子歸，不我過。不我過，其嘯也歌。」唐．王維〈竹里館〉詩：「獨坐幽篁裡，彈琴復長嘯。」
2.鳥類野獸長聲鳴叫。如：「虎嘯」、「猿嘯」。唐．柳宗元〈憎王孫文．序〉：「既熟，嘯呼群萃，然後食衎衎焉。」宋．陸游〈春夜讀書感懷〉詩：「荒林梟獨嘯，野水鵝群鳴。」
3.呼喚、號召。如：「嘯聚」。南朝齊．陸厥〈奉答內兄希叔〉詩五首之二：「鳧鵠嘯儔侶，荷芰始參差。」《新唐書．卷二一五．突厥傳上》：「伏念敗，乃嘯亡散，保總材山，又治黑沙城。」
[名]
人為或自然所發出高亢宏大的聲響。如：「風嘯」。</t>
  </si>
  <si>
    <t>澩</t>
  </si>
  <si>
    <t>[擬]
形容波浪激盪的聲音。《文選．郭璞．江賦》：「砯巖鼓作，漰湱澩灂。」唐．李善．注：「漰湱澩灂，皆大波相激之聲也。」</t>
  </si>
  <si>
    <t>(一)ㄒㄩㄝˊ xué（07337）</t>
  </si>
  <si>
    <t>休</t>
  </si>
  <si>
    <t>ㄒㄧㄡ</t>
  </si>
  <si>
    <t>xiū</t>
  </si>
  <si>
    <t>[動]
1.歇息。如：「休養」、「休憩」。《詩經．周南．漢廣》：「南有喬木，不可休息。」宋．歐陽修〈醉翁亭記〉：「行者休於樹。」
2.停歇、終止。如：「休會」、「休學」。宋．李清照〈鳳凰臺上憶吹簫．香冷金猊〉詞：「生怕閒愁暗恨，多少事、欲說還休。」《水滸傳》第五一回：「若孩兒有些好歹，老身性命也便休了。」
3.辭退官職、工作。如：「退休」。唐．杜甫〈旅夜書懷〉詩：「名豈文章著，官因老病休。」唐．白居易〈自問〉詩：「宦途氣味已諳盡，五十不休何日休？」
4.丈夫主動向妻子解除婚約。《水滸傳》第八回：「我不曾有半些兒點汙，如何把我休了？」《紅樓夢》第六八回：「如今指名提我，要休我。」
5.喜悅、快樂。《詩經．小雅．菁菁》：「既見君子，我心則休。」《新唐書．卷九六．杜如晦傳》：「休戚與我均，何所避？」
[副]
不要、不可。如：「休想」、「休問」。唐．杜甫〈戲贈友〉詩二首之二：「勸君休歎恨，未必不為福。」元．王實甫《西廂記．第一本．第一折》：「這的是兜率宮，休猜做了離恨天。」
[形]
美好。如：「休兆」、「休德」。唐．柳宗元〈與邕州李域中丞論陸卓啟〉：「累仕所至，必有休聲。」
[名]
1.福祿、吉慶。《左傳．襄公二十八年》：「以禮承天之休。」《戰國策．魏策四》：「休祲降於天，與臣而將四矣。」
2.姓。漢封楚元王之子為休侯，後以邑為氏。
[助]
用於句尾，相當於「罷」、「了」。宋．李清照〈玉樓春．紅酥肯放瓊苞碎〉詞：「要來小酌便來休，未必明朝風不起。」宋．呂勝己〈南鄉子．斗笠棹扁舟〉詞：「笑道漁翁太拙休。」</t>
  </si>
  <si>
    <t>(二)ㄒㄩˇ xǔ（07286）(三)ㄒㄧㄡˇ xiǔ（07049）</t>
  </si>
  <si>
    <t>庥</t>
  </si>
  <si>
    <t>[動]
1.休息。同「休」。《說文解字．木部》：「休，息止也。庥，休或從广。」
2.庇蔭、保護。《玉篇．广部》：「庥，庇庥也。」唐．韓愈〈潮州祭神文〉：「山川之神，克庥于人。」
[名]
樹蔭。《爾雅．釋言》：「庥，廕也。」晉．郭璞．注：「今俗語呼樹廕為庥。」</t>
  </si>
  <si>
    <t>咻</t>
  </si>
  <si>
    <t>[動]
喧嚷、吵鬧。《孟子．滕文公下》：「一齊人傅之，眾楚人咻之。」唐．柳宗元〈六逆論〉：「明者慨然將定其是非，則拘儒瞽生相與群而咻之，以為狂為怪。」
[擬]
1.形容喘氣聲或動物的叫聲。宋．蘇軾〈江上值雪〉詩：「草中咻咻有寒兔，孤隼下擊千夫馳。」清．紀昀《閱微草堂筆記．卷五．灤陽消夏錄五》：「其一往來窗外，氣咻咻然，至雞鳴乃寂。」
2.形容箭或炮竹發射的聲音。如：「只聽見咻的一聲，箭已落在靶的正中心。」</t>
  </si>
  <si>
    <t>(二)ㄒㄩˇ xǔ（07287）</t>
  </si>
  <si>
    <t>貅</t>
  </si>
  <si>
    <t>[名]
1.傳說中的猛獸。《玉篇．豸部》：「貅，猛獸。」
2.比喻勇猛的軍隊。《史記．卷一．五帝本紀》：「教熊羆貔貅貙虎，以與炎帝戰於阪泉之野。」唐．張守節．正義：「言教士卒習戰，以猛獸之名名之，用威敵也。」</t>
  </si>
  <si>
    <t>髹</t>
  </si>
  <si>
    <t>[名]
赤黑漆。《玉篇．髟部》：「髹，赤黑漆也。」《儀禮．鄉射禮》：「福髹橫而拳之，南面坐而奠之。」漢．鄭玄．注：「髹，赤黑漆也。」
[形]
1.紅黑色的。《韓非子．外儲說左上》：「君觀之，與髹筴者同狀。」《文選．何晏．景福殿賦》：「於是列髹彤之繡桷，垂琬琰之文璫。」
2.頭髮雜亂的樣子。唐．劉兼〈送二郎君歸長安〉詩：「荷衣曉挂慚官吏，菱鏡秋窺訝鬢髹。」
[動]
將漆塗在器具上。《漢書．卷九七．外戚傳下．孝成趙皇后傳》：「其中庭彤朱，而殿上髹漆。」唐．顏師古．注：「以漆漆物謂之髹。」</t>
  </si>
  <si>
    <t>鵂</t>
  </si>
  <si>
    <t>參見「鵂鶹」條。</t>
  </si>
  <si>
    <t>修</t>
  </si>
  <si>
    <t>[動]
1.裝扮、裝飾。如：「修飾」。《楚辭．屈原．九歌．湘君》：「美要眇兮宜修。」唐．李中〈春閨辭〉二首之一：「塵昏菱鑑懶修容，雙臉桃花落盡紅。」
2.整治、修理，使恢復、合用。如：「整修」、「維修」。《儒林外史》第二五回：「因家裡有幾件樂器壞了，要借重老爹修一修。」
3.建造、興建。如：「修水庫」、「修築道路」。宋．范仲淹〈岳陽樓記〉：「乃重修岳陽樓。」
4.涵養、鍛鍊。如：「修身養性」、「修心」。《文選．陸機．五等論》：「修己安民，良士之所希及。」
5.學習、研究。如：「自修」、「進修」。《韓非子．五蠹》：「今修文學，習言談。」
6.著述、撰寫。如：「修史」。《文選．劉歆．移書讓太常博士》：「修易序書，制作春秋。」南朝宋．劉義慶《世說新語．雅量》：「修書累紙，意寄殷勤。」
7.削、剪。如：「修指甲」、「修鉛筆」。
[形]
1.長、高、遠。如：「修長」。宋．蘇軾〈滿江紅．東武南城〉詞：「到如今、修竹滿山陰，空陳跡！」
2.善、美好。唐．韓愈〈進學解〉：「行雖修而不顯於眾。」
[名]
1.有賢德的人。南朝梁．劉勰《文心雕龍．宗經》：「後進追取而非晚，前修文用而未先。」
2.姓。如晉代有修肅。</t>
  </si>
  <si>
    <t>脩</t>
  </si>
  <si>
    <t>[名]
1.乾肉條。《周禮．天官．膳夫》：「凡肉脩之頒賜，皆掌之。」
2.參見「束脩」條。
3.姓。如漢代有脩炳。
[動]
1.乾枯、枯萎。《詩經．王風．中谷有蓷》：「中谷有蓷，暵其脩矣。」
2.研習。通「修」。《史記．卷六三．老子韓非傳》：「老子脩道德。」
3.打掃、洗滌。《禮記．中庸》：「春秋脩其祖廟，陳其宗器。」漢．鄭玄．注：「脩，謂掃糞也。」
[形]
1.長、久、遠。通「修」。《楚辭．屈原．離騷》：「路曼曼其脩遠兮，吾將上下而求索。」《文選．潘岳．西征賦》：「生有脩短之命。」
2.美善。《楚辭．屈原．離騷》：「老冉冉其將至兮，恐脩名之不立。」《文選．張衡．思玄賦》：「伊中情之信脩兮。」</t>
  </si>
  <si>
    <t>羞</t>
  </si>
  <si>
    <t>[動]
1.進貢、進獻。《說文解字．丑部》：「羞，進獻也。」《禮記．月令》：「以雛嘗黍，羞以含桃，先薦寢廟。」
2.侮辱，使人難堪。如：「羞辱」。《漢書．卷四．文帝紀》：「以羞先帝之遺德。」
3.感到恥辱。如：「他那大逆不道的行徑，使大夥都羞與為伍。」
4.害怕、慚愧。如：「羞於見人」。《後漢書．卷一一．劉玄傳》：「素懦弱，羞愧流汗，舉手不能言。」唐．錢起〈贈闕下裴舍人〉詩：「獻賦十年猶未遇，羞將白髮對華簪。」
5.害臊、難為情，或使難為情。如：「害羞」。如：「不要再羞他了，他的臉已經紅到耳根了。」
[名]
1.精緻美味的食物。同「饈」。如：「珍羞」、「時羞」。《文選．枚乘．七發》：「旨酒嘉肴，羞炰膾炙，以御賓客。」
2.羞怯的神情。如：「含羞」。唐．李商隱〈無題〉詩二首之一：「扇裁月魄羞難掩，車走雷聲語未通。」
3.恥辱。如：「蒙羞」。《文選．李陵．答蘇武書》：「復勾踐之讎，報魯國之羞。」</t>
  </si>
  <si>
    <t>饈</t>
  </si>
  <si>
    <t>[動]
進獻。《集韻．平聲．尤韻》：「饈，進獻也，一曰致滋味。」
[名]
1.美味的食物。如：「珍饈」。《福惠全書．卷一一．刑名部．詞訟》：「饈餚豐列，樽榼橫陳。」
2.膳食。《聊齋志異．卷七．仙人島》：「酒既行，珍肴雜錯，入口甘芳，並異常饈。」</t>
  </si>
  <si>
    <t>朽</t>
  </si>
  <si>
    <t>ㄒㄧㄡˇ</t>
  </si>
  <si>
    <t>xiǔ</t>
  </si>
  <si>
    <t>[動]
1.腐爛、敗壞。如：「朽壞」。宋．蘇軾〈淮陰侯廟記〉：「將軍則與草木同朽，麋鹿俱死。」
2.磨滅。如：「永垂不朽」。《左傳．襄公二十四年》：「太上有立德……，雖久不廢，此之謂不朽。」
[形]
1.敗壞的。如：「衰朽」。《論語．公冶長》：「朽木不可雕也，糞土之牆不可杇也。」
2.衰老。如：「老朽」、「年朽齒落」。《三國志．卷九．魏書．曹真傳》：「臣雖朽邁，敢忘往言？」唐．李賀〈贈陳商〉詩：「長安有男兒，二十心已朽。」
[名]
泛指腐敗的東西。《晉書．卷七〇．甘卓傳》：「將軍之舉武昌，若摧枯拉朽，何所顧慮乎！」</t>
  </si>
  <si>
    <t>參見「休屠」條。</t>
  </si>
  <si>
    <t>(一)ㄒㄧㄡ xiū（07038）(二)ㄒㄩˇ xǔ（07286）</t>
  </si>
  <si>
    <t>宿</t>
  </si>
  <si>
    <t>[名]
夜晚。如：「整宿」。《紅樓夢》第四八回：「商議已定，一宿無話。」</t>
  </si>
  <si>
    <t>(一)ㄙㄨˋ sù（10104）(二)ㄒㄧㄡˋ xiù（07060）</t>
  </si>
  <si>
    <t>滫</t>
  </si>
  <si>
    <t>[名]
1.酸臭的淘米水。《說文解字．水部》：「滫，久泔也。」
2.泛指骯髒、惡臭的水。《荀子．勸學》：「蘭槐之根是為芷，其漸之滫，君子不近，庶人不服。」</t>
  </si>
  <si>
    <t>秀</t>
  </si>
  <si>
    <t>ㄒㄧㄡˋ</t>
  </si>
  <si>
    <t>xiù</t>
  </si>
  <si>
    <t>[動]
1.稻麥等穀類吐穗開花。《詩經．大雅．生民》：「實發實秀，實堅實好。」唐．聶夷中〈田家〉詩二首之一：「六月禾未秀，官家已修倉。」
2.泛指草木開花。唐．杜甫〈九日寄岑參〉詩：「是節東籬菊，紛披為誰秀？」
3.生長、成長。晉．顧愷之〈神情〉詩：「冬嶺秀寒松。」
4.表現、表演。為英語show的音譯。如：「秀一下」。
[名]
1.草木的花。漢．武帝〈秋風辭〉：「蘭有秀兮菊有芳。」《文選．張協．七命》：「方疏含秀，圓井吐葩。」
2.才智傑出的人。如：「後起之秀」。《晉書．卷六五．王導傳》：「顧榮、賀循、紀贍、周玘，皆南土之秀。」
3.演出、表演。如：「做秀」、「一場秀」。
4.姓。如春秋時宋有秀老。
[形]
1.草木繁茂。《宋史．卷六五．五行志．木志》：「漢陽軍有插榴枝於石罅，秀茂成陰。」宋．歐陽修〈醉翁亭記〉：「佳木秀而繁陰。」
2.清麗、俊美。如：「娟秀」、「清秀」、「山明水秀」。唐．韓愈〈送李愿歸盤谷序〉：「清聲而便體，秀外而惠中。」
3.優異、傑出。如：「優秀」、「一枝獨秀」。《國語．齊語》：「秀民之能為士者，必足賴也。」《漢書．卷四八．賈誼傳》：「河南守吳公聞其秀材，召置門下，甚幸愛。」</t>
  </si>
  <si>
    <t>琇</t>
  </si>
  <si>
    <t>[名]
1.美石。《詩經．小雅．都人士》：「彼都人士，充耳琇實。」漢．毛亨．傳：「琇，美石也。」唐．蕭穎士〈江有楓篇〉一〇章之七：「彼鄭之子，如琇如英。」
2.秀美。通「秀」。清．王念孫《廣雅疏證．卷一上．釋詁》：「琇，美也。」</t>
  </si>
  <si>
    <t>岫</t>
  </si>
  <si>
    <t>[名]_x000D_
1.山洞、岩洞。晉．嵇康〈幽憤〉詩：「採薇山阿，散髮巖岫。永嘯長吟，頤性養壽。」晉．張協〈雜詩〉一〇首之九：「荒庭寂以閉，幽岫峭且深。」_x000D_
2.峰巒。晉．陶淵明〈歸去來辭〉：「雲無心以出岫，鳥倦飛而知還。」南朝齊．謝朓〈郡內高齋閑坐答呂法曹詩〉：「窗中列遠岫，庭際俯喬林。」唐．杜甫〈江梅〉詩：「故園不可見，巫岫鬱嵯峨。」</t>
  </si>
  <si>
    <t>袖</t>
  </si>
  <si>
    <t>[名]_x000D_
衣服套在胳膊的部分。如：「袖子」。《韓非子．五蠹》：「長袖善舞。」三國魏．曹植〈美女篇〉：「攘袖見素手，皓腕約金環。」_x000D_
[動]_x000D_
把東西藏在袖子裡。《史記．卷七七．魏公子列傳》：「朱亥袖四十斤鐵椎，椎殺晉鄙。」唐．韓愈〈試大理評事王君墓誌銘〉：「我得一卷書，麤若告身者，我袖以往，翁見未必視。」</t>
  </si>
  <si>
    <t>臭</t>
  </si>
  <si>
    <t>[名]
氣味。如：「水是一種無色無臭的液體。」《易經．繫辭上》：「其臭如蘭。」
[動]
聞。通「嗅」。《荀子．禮論》：「三臭之，不食也。」</t>
  </si>
  <si>
    <t>(一)ㄔㄡˋ chòu（08346）</t>
  </si>
  <si>
    <t>溴</t>
  </si>
  <si>
    <t>[名]
（bromine，Br）化學元素。原子序35。非金屬元素之一。屬於鹵素。深紅棕色液體，具毒性及刺激性，能腐蝕皮膚與黏膜。化性活潑，常與大部分元素化合。可用來製造藥物、染料等。</t>
  </si>
  <si>
    <t>嗅</t>
  </si>
  <si>
    <t>[動]
用鼻子聞氣味。《莊子．人間世》：「嗅之，則使人狂酲，三日而不已。」宋．蘇軾．次韻子由所居六詠．之四：「何以娛醉客，時嗅砌下花。」</t>
  </si>
  <si>
    <t>殠</t>
  </si>
  <si>
    <t>(一)ㄔㄡˋ chòu（08347）</t>
  </si>
  <si>
    <t>[名]
星座。如：「星宿」、「二十八宿」。漢．王充《論衡．祀義》：「天有列宿，地有宅舍。」</t>
  </si>
  <si>
    <t>(一)ㄙㄨˋ sù（10104）(三)ㄒㄧㄡˇ xiǔ（07050）</t>
  </si>
  <si>
    <t>褎</t>
  </si>
  <si>
    <t>[名]
衣袖。《說文解字．衣部》：「褎，袂也。」《詩經．唐風．羔裘》：「羔裘豹褎，自我人究究。」</t>
  </si>
  <si>
    <t>(一)ㄧㄡˋ yòu（10933）</t>
  </si>
  <si>
    <t>繡</t>
  </si>
  <si>
    <t>[名]
1.刺有各種彩色花紋的絲織品。如：「湘繡」、「蘇繡」。《史記．卷一一〇．匈奴傳》：「繡十匹，錦三十匹。」
2.姓。如漢代有繡君實。
[動]
用彩色絲線在綢緞上刺上各種花紋。如：「刺繡」、「繡一個荷包。」唐．李白〈贈裴司馬〉詩：「翡翠黃金縷，繡成歌舞衣。」
[形]
1.刺有彩紋的。如：「繡帽」、「繡帳」。唐．陸龜蒙〈陌上桑〉詩：「鄰娃盡著繡襠襦，獨自提筐採蠶葉。」
2.華麗精美的。《南史．卷一二．后妃傳．論曰》：「花梁繡柱。」</t>
  </si>
  <si>
    <t>鏽</t>
  </si>
  <si>
    <t>[名]
金屬表面所生的氧化物。如：「鐵鏽」、「銅鏽」。
[動]
1.生鏽。《清史稿．卷一四〇．兵志十一》：「機器今已到鄂，置閒必至鏽壞。」
2.恭敬。通「肅」。《墨子．非樂上》：「大人鏽然奏而獨聽之，將何樂得焉哉。」</t>
  </si>
  <si>
    <t>仙</t>
  </si>
  <si>
    <t>ㄒㄧㄢ</t>
  </si>
  <si>
    <t>xiān</t>
  </si>
  <si>
    <t>[名]
1.經修煉後長生不老、超脫塵俗的人。如：「神仙」、「八仙過海」、「修道成仙」。唐．李白〈廬山謠寄盧侍御虛舟〉詩：「五嶽尋仙不辭遠，一生好入名山遊。」
2.性情或行為超凡不俗的人。如：「詩仙」、「劍仙」。唐．杜甫．〈飲中八僊歌〉：「天子呼來不上船，自稱臣是酒中仙。」
3.姓。如宋代有仙源明。
[形]
1.神仙的、仙人的。如：「仙宮」、「仙居」、「仙丹」。《文選．張衡．西京賦》：「含利颬颬，化為仙車。」
2.輕飄、輕盈。《文選．何敬祖．雜詩》：「心虛體自輕，飄颻若仙步。」唐．杜甫〈覽鏡呈柏中丞〉詩：「起晚堪從事，行遲更覺仙。」
3.超俗不凡。如：「仙容」、「仙品」、「仙才」。唐．白居易〈琵琶行〉：「今夜聞君琵琶語，如聽仙樂耳暫明。」
[副]
稱死的婉辭。如：「仙化」、「仙去」、「仙逝」。</t>
  </si>
  <si>
    <t>氙</t>
  </si>
  <si>
    <t>[名]
（xenon，Xe）化學元素。原子序54。一種稀有的鈍氣元素。化性極不活潑，但能與氟、氧形成化合物。無色無臭，在空氣中含量極微，具有極高的感光性，可用作燈管、放電管等的填充劑。</t>
  </si>
  <si>
    <t>秈</t>
  </si>
  <si>
    <t>[名]
一種稻米類型。葉片較寬大且長，色淡綠，莖稈較高。穀粒呈細長或扁形，穎上細毛少而短，米飯煮起來較為乾硬。秈稻一般學術上稱為「印度型稻」，其直鏈性澱粉在百分之二十五以上。臺灣俗稱的「在來米」，即屬於秈稻類型的米。</t>
  </si>
  <si>
    <t>先</t>
  </si>
  <si>
    <t>[名]
1.祖先。《文選．司馬遷．報任少卿書》：「行莫醜於辱先，詬莫大於宮刑。」
2.首要的事務。《禮記．學記》：「建國君民，教學為先。」
3.原先、先前。《紅樓夢》第七二回：「這兩日比先又添了些病，所以支持不住。」
4.先生的簡稱。《漢書．卷六七．梅福傳》：「夫叔孫先非不忠也。」
5.姓。如春秋時晉國有先軫。
[形]
對已去世者的尊稱。如：「先父」、「先人」、「先聖先賢」、「革命先烈」。
[副]
1.時間或次序在前。如：「先發制人」、「近水樓臺先得月」。《論語．衛靈公》：「工欲善其事，必先利其器。」宋．蘇軾〈惠崇春江晚景〉詩二首之一：「春江水暖鴨先知。」
2.暫時。如：「你先不要慌，我們慢慢想辦法來解決。」
[動]
1.倡導、先行。《論語．子路》：「衛君待子而為政，子將奚先？」《文選．曹植．求自試表》：「突刃觸鋒，為士卒先。」
2.時間居前。唐．韓愈〈師說〉：「生乎吾前，其聞道也，固先乎吾，吾從而師之。」
3.事前聯繫、介紹。《漢書．卷四三．酈食其傳》：「此真吾所願從游，莫為我先。」</t>
  </si>
  <si>
    <t>(二)ㄒㄧㄢˋ xiàn（07132）</t>
  </si>
  <si>
    <t>忺</t>
  </si>
  <si>
    <t>[動]_x000D_
1.欲、想要。宋．李清照〈聲聲慢．尋尋覓覓〉詞：「滿地黃花堆積，憔悴損，如今有誰忺摘。」《清平山堂話本．簡貼和尚》：「淡畫眉兒斜插梳，不忺拈弄繡工夫。」_x000D_
2.喜悅、高興。唐．韋應物〈寄二嚴〉詩：「絲竹久已懶，今日遇君忺。」</t>
  </si>
  <si>
    <t>杴</t>
  </si>
  <si>
    <t>[名]
一種農具。似鍬，前端方闊。有鐵杴，用於耕土；木杴，用於拌散肥料或鏟取穀物。明．徐光啟《農政全書．卷二一．農器．圖譜一》：「杴，臿屬。但其首方闊，柄無短拐，此與鍬臿異也。鍛鐵為首，謂之鐵杴，惟宜土工。剡木為首，謂之木杴，可㩍穀物。又有鐵刃木杴，裁割田間塍埂。」</t>
  </si>
  <si>
    <t>掀</t>
  </si>
  <si>
    <t>[動]
1.舉起、揭開、打開。如：「掀窗簾」、「掀開鍋蓋」、「掀起蓋頭。」《左傳．成公十六年》：「乃掀公以出於淖。」《紅樓夢》第六〇回：「連忙上前來打簾子，將掀起時，只見芳官自外帶笑跑出。」
2.吹翻、翻動。如：「颱風把屋頂都掀了。」唐．白居易〈風雨晚泊〉詩：「青苔撲地連春雨，白浪掀天盡日風。」宋．陸游〈幽事絕句〉六首之三：「昨夕風掀屋，今朝雨壞牆。」
3.拋甩。如：「掀下馬來。」《儒林外史》第四七回：「當下叫小廝搬出三十錠大元寶來，望桌上一掀。」
[形]
翹。如：「掀尾」。《三國演義》第五七回：「權見其人濃眉掀鼻，黑面短髯，形容古怪，心中不喜。」</t>
  </si>
  <si>
    <t>姍</t>
  </si>
  <si>
    <t>(一)ㄕㄢ shān（08913）</t>
  </si>
  <si>
    <t>祆</t>
  </si>
  <si>
    <t>[名]
1.參見「祆教」條。
2.祆教諸神的統稱。
3.指祆教徒。</t>
  </si>
  <si>
    <t>僊</t>
  </si>
  <si>
    <t>[名]
經修煉後長生不老的人。同「仙」。如：「成僊」、「神僊」。《洛陽伽藍記．卷一．瑤光寺》：「丹楹刻桷，圖寫列僊。」</t>
  </si>
  <si>
    <t>褼</t>
  </si>
  <si>
    <t>躚</t>
  </si>
  <si>
    <t>參見「蹁躚」、「躚躚」條。</t>
  </si>
  <si>
    <t>綅</t>
  </si>
  <si>
    <t>[名]
黑經白緯相間的絲織品。《玉篇．糸部》：「綅，黑經白緯也。」</t>
  </si>
  <si>
    <t>嘕</t>
  </si>
  <si>
    <t>[副]
笑的樣子。如：「嘕然一笑」。《楚辭．屈原．大招》：「靨輔奇牙，宜笑嘕只。」</t>
  </si>
  <si>
    <t>銛</t>
  </si>
  <si>
    <t>[名]
1.挖土的器具。段注本《說文解字．金部》：「銛，臿屬。」漢．王充《論衡．幸偶》：「或為劍戟，或為鋒銛。」
2.捕魚的器具。《廣韻．平聲．鹽韻》：「銛，《纂文》曰：『鐵有距，施竹頭以擲魚，為銛也。』」
3.姓。如宋代有銛朴翁。
[形]
鋒利、銳利。唐．元稹〈開元觀閒居酬吳士矩侍御三十韻〉：「結盟金劍重，斬魅寶刀銛。」《聊齋志異．卷二．紅玉》：「一短刀，銛利如霜。」</t>
  </si>
  <si>
    <t>憸</t>
  </si>
  <si>
    <t>[形]
奸邪、諂佞。《書經．冏命》：「爾無昵于憸人。」唐．韓愈〈苦寒〉詩：「賢能日登御，黜彼傲與憸。」</t>
  </si>
  <si>
    <t>暹</t>
  </si>
  <si>
    <t>[動]
日光升起。宋．王安石〈和平甫舟中望九華山〉詩二首之一：「臥送秋月沒，起看朝日暹。」
[名]
參見「暹羅」條。</t>
  </si>
  <si>
    <t>[形]
鋒利。《史記．卷六九．蘇秦傳》：「彊弩在前，錟戈在後。」</t>
  </si>
  <si>
    <t>(一)ㄊㄢˊ tán（02541）</t>
  </si>
  <si>
    <t>鮮</t>
  </si>
  <si>
    <t>[名]_x000D_
1.魚類。《老子》第六〇章：「治大國若烹小鮮。」宋．張元幹〈水調歌頭．平日幾經過〉詞：「調鼎他年事，妙手看烹鮮。」_x000D_
2.活魚。唐．韓愈、孟郊〈城南聯句〉：「修箭褭金餌，群鮮沸池羹。」_x000D_
3.剛宰殺的禽畜等肉品。晉．左思〈蜀都賦〉：「割芳鮮，飲御酣。」_x000D_
4.泛稱新鮮美味的食物。如：「海鮮」、「嘗鮮」、「時鮮」。《紅樓夢》第七回：「咱們送他的，趁著他家有年下送鮮的船去，一併都交給他們帶了去罷。」_x000D_
5.姓。如五代時後蜀有鮮思明。_x000D_
[形]_x000D_
1.剛宰殺的。漢．枚乘〈七發〉：「薄耆之炙，鮮鯉之鱠。」_x000D_
2.滋味甜美。如：「這湯真鮮。」唐．權德輿〈拜昭陵過咸陽墅〉詩：「村盤既羅列，雞黍皆珍鮮。」_x000D_
3.新鮮的、清新的。如：「鮮嫩」、「鮮花」。晉．陶淵明〈桃花源記〉：「芳草鮮美，落英繽紛。」_x000D_
4.色彩亮麗耀眼。如：「色彩鮮明」。唐．李白〈古風〉詩五九首之二六：「碧荷生幽泉，朝日豔且鮮。」唐．張藉〈白紵歌〉：「皎皎白紵白且鮮，將作春衣稱少年。」_x000D_
5.新奇、有趣、好玩。如：「他的話很鮮。」「乍聽這個主意很鮮，其實沒啥新意！」</t>
  </si>
  <si>
    <t>(二)ㄒㄧㄢˇ xiǎn（07123）</t>
  </si>
  <si>
    <t>攕</t>
  </si>
  <si>
    <t>[形]
纖細柔美。通「纖」、「孅」。《說文解字．手部》：「攕，好手貌。《詩》曰：『攕攕女手。』」</t>
  </si>
  <si>
    <t>孅</t>
  </si>
  <si>
    <t>[形]
1.細小、細微。通「纖」。《漢書．卷二四．食貨志》：「古之治天下，至孅至悉。」
2.柔細、纖巧。《文選．司馬相如．上林賦》：「柔橈嫚嫚，嫵媚孅弱。」</t>
  </si>
  <si>
    <t>襳</t>
  </si>
  <si>
    <t>[名]
1.小襦、短襖。《玉篇．衣部》：「襳，小襦也，襌襦也。」
2.飾於婦人上衣的長帶。《文選．司馬相如．子虛賦》：「蜚襳垂髾。」李善注引司馬彪曰：「襳，褂飾也。」</t>
  </si>
  <si>
    <t>纖</t>
  </si>
  <si>
    <t>[形]
1.細小、輕微。如：「纖細」、「纖塵不染」。《文選．馬融．長笛賦》：「微風纖妙，若存若亡。」唐．王勃〈滕王閣序〉：「爽籟發而清風生，纖歌凝而白雲遏。」
2.柔美細長。如：「纖手」。晉．陸機〈日出東南隅行〉：「馥馥芳袖揮，泠泠纖指彈。」
3.節儉、吝嗇。《管子．五輔》：「纖嗇省用，以備饑饉。」《史記．卷一二九．貨殖傳》：「周人既纖，而師史尤甚。」
[名]
精美細緻的絲織品。《楚辭．宋玉．招魂》：「被文服纖，麗而不奇些。」《文選．班固．東都賦》：「恥纖靡而不服，賤奇麗而弗珍。」</t>
  </si>
  <si>
    <t>鶱</t>
  </si>
  <si>
    <t>[形]
鳥飛翔的樣子。唐．獨孤及〈代書寄上裴六冀劉二潁〉詩：「鶱鶱兩黃鵠，何處遊青冥。」</t>
  </si>
  <si>
    <t>弦</t>
  </si>
  <si>
    <t>ㄒㄧㄢˊ</t>
  </si>
  <si>
    <t>xián</t>
  </si>
  <si>
    <t>[名] 
1.緊繫在弓上的索、線，具有彈性。即弓弦。如：「箭在弦上不得不發。」《史記．卷一〇九．李將軍列傳》：「度不中不發，發即應弦而倒。」
2.張於樂器上的絲、線，可用於彈奏發出樂音。如：「琴弦」、「箏弦」。
3.半圓形的月亮。如：「上弦」、「下弦」。唐．杜甫〈初月〉詩：「光細弦初上，影斜輪未安。」
4.弦樂或弦樂器的簡稱。如：「弦歌不輟」。晉．王羲之〈三月三日蘭亭詩序〉：「雖無絲竹管弦之盛。」
5.數學上指圓或曲線上任意兩點的連接線段。
6.姓。如春秋時鄭國有弦高。
7.比喻妻子。如：「斷弦」、「續弦」。
[動]
1.彈奏弦樂器。《莊子．讓王》：「上漏下溼，匡坐而弦。」
2.彎曲。《易經．繫辭下》：「弦木為弧，剡木為矢。」</t>
  </si>
  <si>
    <t>痃</t>
  </si>
  <si>
    <t>[名]
中醫上指肚臍兩旁突起的條狀硬塊，形如弓弦，大小不一。</t>
  </si>
  <si>
    <t>蚿</t>
  </si>
  <si>
    <t>[名]
馬蚿：動物名。即馬陸。節肢動物門倍足綱。由許多環節組成，每一體節具二對腳。一受干擾即捲縮成一團。生活於潮溼處，以腐植質為食。明．李時珍《本草綱目．卷四二．蟲部．馬陸》：「馬陸，馬蚿。」</t>
  </si>
  <si>
    <t>舷</t>
  </si>
  <si>
    <t>[名]
船、飛機的兩側邊緣。如：「左舷」、「右舷」。唐．杜甫〈破船〉詩：「船舷不重扣，埋沒已經秋。」宋．蘇軾〈赤壁賦〉：「於是飲酒樂甚，扣舷而歌之。」</t>
  </si>
  <si>
    <t>絃</t>
  </si>
  <si>
    <t>[名]
1.裝於樂器以彈奏發聲的絲、線。同「弦」。唐．李商隱〈錦瑟〉詩：「錦瑟無端五十絃，一絃一柱思華年。」
2.弦樂器。同「弦」。三國魏．嵇康〈聲無哀樂論〉：「故哀思之情表於金石，安樂之象形於管絃也。」
3.音調、音律。唐．李頎〈聽董大彈胡笳聲兼寄語弄房給事〉詩：「先拂商絃後角羽，四郊秋葉驚摵摵。」
4.比喻為妻子。參見「續絃」條。</t>
  </si>
  <si>
    <t>咸</t>
  </si>
  <si>
    <t>[副]
都、皆、全。如：「老少咸宜」。《書經．舜典》：「殛鯀于羽山，四罪而天下咸服。」唐．王昌齡〈塞下曲〉四首之二：「昔日長城戰，咸言意氣高。」
[動]
1.普及、遍及。《國語．魯語》：「小賜不咸，獨恭不優。」
2.和睦。《左傳．僖公二十四年》：「昔周公弔二叔之不咸，故封建親戚以蕃屏周。」
[名]
1.《易經》卦名。六十四卦之一。艮（☶）下兌（☱）上。表示山澤相感應之象。
2.姓。如漢代有咸宣。</t>
  </si>
  <si>
    <t>諴</t>
  </si>
  <si>
    <t>[動]
和、融洽。《書經．召誥》：「其丕能諴于小民，今休。」唐．孔穎達．正義：「若其大能和同於天下小民，則成今之美。」
[形]
真誠的、誠心的。《書經．大禹謨》：「至諴感神，矧茲有苗！」</t>
  </si>
  <si>
    <t>鹹</t>
  </si>
  <si>
    <t>[形]_x000D_
1.含鹽分或鹽味的。如：「鹹魚」、「鹹水湖」、「東西很鹹。」_x000D_
2.吝嗇、小氣。如：「他是有名的鐵公雞，鹹得很！」_x000D_
[名]_x000D_
1.鹽味。如：「酸甜苦辣鹹」。《荀子．正名》：「甘苦鹹淡，辛酸奇味，以口異。」_x000D_
2.地名：(1)春秋時魯地，約在今大陸地區山東省曹縣境。(2)春秋時衛地，約在今大陸地區河北省濮陽縣東南。</t>
  </si>
  <si>
    <t>涎</t>
  </si>
  <si>
    <t>[名]
1.唾液、口水。如：「垂涎三尺」。宋．陸游〈記夢〉詩：「君知夢覺本無異，勿為畫餅流饞涎。」
2.黏汁、黏液。宋．蘇軾〈和蔣夔寄茶〉詩：「廚中蒸粟堆飯甕，大杓更取酸生涎。」
[動]
欲求、貪求。《清史稿．卷四二二．袁希祖傳》：「即天長、六合之賊，亦涎其利。」
[形]
厚著臉皮不以為恥。《紅樓夢》第二四回：「便猴上身去，涎皮笑道。」</t>
  </si>
  <si>
    <t>(二)ㄧㄢˋ yàn（11032）</t>
  </si>
  <si>
    <t>啣</t>
  </si>
  <si>
    <t>[動]
1.用嘴巴含著。通「銜」。如：「馬啣草」、「燕子啣泥」。《兒女英雄傳》第七回：「我張金鳳生必啣環，死當結草。」
2.懷藏在心中。通「銜」。如：「啣恨」。《西遊記》第六二回：「國王疑僧盜寶，啣冤取罪，上下難明。」</t>
  </si>
  <si>
    <t>閑</t>
  </si>
  <si>
    <t>[名]
1.柵欄、木欄。《說文解字．門部》：「閑，闌也。」《漢書．卷四八．賈誼傳》：「今民賣僮者，為之繡衣絲履偏諸緣，內之閑中。」
2.養馬的地方。即馬廄。《周禮．夏官．校人》：「天子十有二閑，馬六種。」
3.比喻規範、法度。《論語．子張》：「大德不踰閑，小德出入可也。」
[動]
1.防範、阻止。《書經．畢命》：「雖收放心，閑之惟艱。」唐．劉禹錫〈天論上〉：「建極閑邪，人之能也。」
2.熟習、通曉。通「嫻」。《孟子．滕文公下》：「閑先聖之道。」《後漢書．卷二四．馬援傳》：「閑於進對。」
[形]
1.空暇無事。通「閒」。如：「悠閑」、「空閑」。</t>
  </si>
  <si>
    <t>[名]
1.空暇無事的時候。如：「農閒」、「忙中偷閒」、「偷得浮生半日閒」。
2.閒散輕簡的職務。如：「投閒置散」。
[形]
1.空暇無事。如：「空閒」、「閒暇」。
2.安靜悠閒。如：「閒情逸致」、「閒雲野鶴」、「日子過得十分安閒自在。」
3.與正事無關的、不緊要的。如：「閒書」、「閒錢」、「閒差事」、「閒人免進」。宋．辛棄疾〈新荷葉．春色如愁〉詞：「閒愁幾許？更晚風、特地吹衣。」
[副]
隨意的、不經心的。如：「閒扯」、「閒聊」、「閒逛」、「閒話家常」。</t>
  </si>
  <si>
    <t>(二)ㄐㄧㄢ jiān（05753）(三)ㄐㄧㄢˋ jiàn（05813）</t>
  </si>
  <si>
    <t>憪</t>
  </si>
  <si>
    <t>[形]
閒適自得。唐．柳宗元〈酬韶州裴曹長使君寄道州呂八大使因以見示二十韻〉：「循省誠知懼，安排祗自憪。」</t>
  </si>
  <si>
    <t>(二)ㄒㄧㄢˋ xiàn（07147）</t>
  </si>
  <si>
    <t>嫻</t>
  </si>
  <si>
    <t>[動]
熟習、熟練。如：「嫻熟」。《史記．卷八四．屈原賈生傳》：「博聞彊志，明於治亂，嫻於辭令。」
[形]
文靜優雅。如：「嫻靜」、「嫻雅」。三國魏．曹植〈靜思賦〉：「夫何美女之嫻妖，紅顏曄而流光。」</t>
  </si>
  <si>
    <t>癇</t>
  </si>
  <si>
    <t>參見「癲癇」條。</t>
  </si>
  <si>
    <t>鷳</t>
  </si>
  <si>
    <t>[名]
動物名。鳥綱雞形目雉科。似錦雞，尾長，冠黑色，上半部羽毛為白色，腹部呈藍黑色，雌鳥全身棕綠色。產於大陸地區南部。俗稱為「白鷳」。</t>
  </si>
  <si>
    <t>[動]
1.嘴裡叼著東西。《說文解字．口部》：「嗛，口有所銜也。」《史記．卷一二三．大宛傳》：「烏嗛肉蜚其上，狼往乳之。」
2.懷恨。《史記．卷四九．外戚世家》：「景帝恚，心嗛之而未發也。」《清史稿．卷三二二．錢灃傳》：「和坤素惡灃，至是尤深嗛之。」</t>
  </si>
  <si>
    <t>(一)ㄑㄧㄢ qiān（06448）(三)ㄑㄧㄢˇ qiǎn（06483）(四)ㄑㄧㄢˋ qiàn（06498）</t>
  </si>
  <si>
    <t>嫌</t>
  </si>
  <si>
    <t>[名]
1.怨隙、仇怨。如：「盡釋前嫌」。《鏡花緣》第二回：「只顧為著遊戲小事，角口生嫌，豈料後來許多因果，莫不從此而萌。」
2.處於可疑的地位。如：「避嫌」。《文選．沈約．恩倖傳論》：「外無逼主之嫌，內有專用之功。」《喻世明言．卷二八．李秀卿義結黃貞女》：「但在先有兄弟之好，今後有男女之嫌。」
[動]
1.厭惡、討厭。如：「嫌棄」、「嫌貧愛富」、「這小孩很惹人嫌。」《後漢書．卷五二．崔駰傳》：「論者嫌其銅臭。」《紅樓夢》第一九回：「只知嫌人家髒。」
2.猜疑、懷疑。漢．王充《論衡．自紀》：「獄者嫌辜，卿決疑事。」《二刻拍案驚奇》卷三八：「我那知這事，卻來嫌我！」
3.近似。《荀子．禮論》：「一朝而喪其嚴親，而所以送葬之者不哀不敬，則嫌於禽獸矣。」</t>
  </si>
  <si>
    <t>銜</t>
  </si>
  <si>
    <t>[名]
1.裝在馬口用來控制馬匹的鐵製用具。《楚辭．屈原．九章．惜往日》：「乘騏驥而馳騁兮，無轡銜而自載。」《戰國策．秦策一》：「伏軾撙銜，橫歷天下。」
2.官階、職稱。如：「官銜」、「頭銜」、「職銜」。
[動]
1.用嘴含物或叼物。《周禮．夏官．大司馬》：「遂鼓行，徒銜枚而進。」晉．陶淵明〈讀山海經〉詩一三首之一〇：「精衛銜微木，將以填滄海。」
2.奉、接受。《管子．形勢》：「銜命者，君之尊也。」《禮記．檀弓上》：「銜君命而使，雖遇之不鬥。」
3.懷藏在心。如：「含悲銜恨」。《後漢書．卷四〇．班彪傳下》：「兢大怒，畏憲不敢發，心銜之。」唐．韓愈〈祭十二郎文〉：「季父愈聞汝喪之七日，乃能銜哀致誠。」
4.感激、感謝。《管子．形勢》：「法立而民樂之，令出而民銜之。」晉．陶淵明〈乞食詩〉：「銜戢知何謝，冥報以相貽。」
5.連接、相連。如：「銜接」。《水滸傳》第八六回：「且把糧車首尾相銜，權做寨柵。」</t>
  </si>
  <si>
    <t>賢</t>
  </si>
  <si>
    <t>[名]
有才能德行的人。如：「聖賢」、「選賢與能」、「見賢思齊」。
[形]
1.良善的、有才能德行的。如：「賢妻良母」、「賢君」、「賢臣」。
2.對輩分相同或較低的人的敬稱。如：「賢侄」、「賢弟」、「賢昆仲」、「賢伉儷」。
[動]
1.尊崇、重視。《禮記．大學》：「君子賢其賢而親其親。」《新唐書．卷一二四．姚崇傳》：「崇奏決若流，武后賢之。」
2.勝過、超過。《儀禮．鄉射禮》：「若右勝則曰右賢於左。」唐．韓愈〈師說〉：「師不必賢於弟子。」
[代]
你，第二人稱的敬稱。同「公」、「君」。宋．吳潛〈望江南．家山好〉詞：「自古幾番成與敗，從來百種醜和妍。細算不由賢。」《劉知遠諸宮調．第二》：「生時節是你妻，便死也是賢婦。」</t>
  </si>
  <si>
    <t>(二)ㄒㄧㄢˋ xiàn（07148）</t>
  </si>
  <si>
    <t>ㄒㄧㄢˇ</t>
  </si>
  <si>
    <t>xiǎn</t>
  </si>
  <si>
    <t>[形]
1.深峻。《爾雅．釋丘》：「望厓洒而高岸。」
2.肅敬。《禮記．玉藻》：「君子之飲酒也，受一爵而色洒如也。」</t>
  </si>
  <si>
    <t>(一)ㄘㄨㄟˇ tsuěi（09870）(二)ㄒㄧˇ xǐ（06826）(四)ㄙㄚˇ sǎ（09982）</t>
  </si>
  <si>
    <t>[名]
1.植物名。即大棗。鼠李科棗屬，落葉喬木。葉互生，卵形，邊緣具鈍鋸齒。夏季開淡綠色花，成聚繖花序。核果呈長橢圓形，成熟時為金紅色。《爾雅．釋木》：「洗，大棗。」
2.姓。如明代有洗光。</t>
  </si>
  <si>
    <t>(一)ㄒㄧˇ xǐ（06827）</t>
  </si>
  <si>
    <t>姺</t>
  </si>
  <si>
    <t>[名]
國名。商朝封國之一，故址相傳在今山東曹縣北方的莘塜集。也稱為「有侁氏」或「有莘氏」。</t>
  </si>
  <si>
    <t>毨</t>
  </si>
  <si>
    <t>[形]
羽毛新生，整齊美麗的樣子。《書經．堯典》：「厥民夷，鳥獸毛毨。」</t>
  </si>
  <si>
    <t>筅</t>
  </si>
  <si>
    <t>參見「筅帚」條。</t>
  </si>
  <si>
    <t>跣</t>
  </si>
  <si>
    <t>[副]
光腳、赤腳。《淮南子．脩務》：「於是乃贏糧跣走，跋涉谷行。」</t>
  </si>
  <si>
    <t>銑</t>
  </si>
  <si>
    <t>[名]
1.最有光澤的金屬。《說文解字．金部》：「銑，金之澤者。」《文選．江淹．齊故司徒右長史檀超墓銘》：「惟金有銑，惟玉有瑤。」
2.鐘的兩角。《說文解字．金部》：「銑，一曰鐘兩角謂之銑。」《周禮．冬官考工記．鳧氏》：「鳧氏為鍾，兩欒謂之銑。」唐．賈公彥．疏：「欒、銑一物，俱謂鍾兩角。古之樂器應律之鍾，狀如今之鈴，不圜，故有兩角也。」
3.參見「銑鐵」、「銑鋧」、「銑床」等條。</t>
  </si>
  <si>
    <t>鍌</t>
  </si>
  <si>
    <t>[名]
人名用字。如唐代有竇維鍌。</t>
  </si>
  <si>
    <t>尟</t>
  </si>
  <si>
    <t>[副]
少。同「鮮」。《文選．陸機．歎逝賦》：「戚貌瘁而尟歡。」清．汪中〈先母鄒孺人靈表〉：「蓋終其身，尟一日之歡焉。」</t>
  </si>
  <si>
    <t>蜆</t>
  </si>
  <si>
    <t>[名]
動物名：(1)瓣鰓綱蜆科。似小蛤蜊，介殼為二等邊三角形，表面有輪紋，色外褐內紫。肉可食，介殼磨粉可入藥。生活在淡水中。也稱為「扁螺」。(2)一種蝶類的幼蟲。頭赤身黑，吐絲自懸於枝葉或簷壁間。也稱為「縊蟲」、「縊女」。</t>
  </si>
  <si>
    <t>鋧</t>
  </si>
  <si>
    <t>參見「銑鋧」條。</t>
  </si>
  <si>
    <t>嶮</t>
  </si>
  <si>
    <t>[形]
1.地勢險惡難行。《後漢書．卷二四．馬援傳》：「從壺頭則路近而水嶮，從充則塗夷而運遠。」
2.高峻。《文選．郭璞．江賦》：「壯天地之嶮介。」
[副]
險些、差一點。元．關漢卿《單刀會》第一折：「嶮諕殺許褚、張遼。」明．湯顯祖《牡丹亭》第七齣：「桃李門牆，嶮把負荊人諕煞。」</t>
  </si>
  <si>
    <t>獫</t>
  </si>
  <si>
    <t>[名]
一種長嘴的狗。《說文解字．犬部》：「獫，長喙犬。」</t>
  </si>
  <si>
    <t>險</t>
  </si>
  <si>
    <t>[名]
1.地勢險惡的要塞。如：「天險」、「重險」、「無險可守」。《孟子．公孫丑下》：「固國不以山谿之險。」唐．杜甫〈上白帝城〉詩：「公孫初恃險，躍馬意何長。」
2.無法預料安危成敗的事或可能。如：「冒險」、「風險很大」、「鋌而走險」。《禮記．中庸》：「故君子居易以俟命，小人行險以徼幸。」
3.保險的簡稱。參見「保險」條。如：「壽險」、「火險」、「長期照護險」、「第三人責任險」。
[形]
1.地勢艱危的。如：「險道」、「險坡」。唐．韓愈〈八月十五夜贈張功曹〉詩：「同時輩流多上道，天路幽險難追攀。」
2.危急。如：「險局」、「險象環生」、「脫離險境」。
3.邪惡狠毒、陰沉難測。如：「險詐」、「陰險」、「奸險」。《三國志．卷五〇．吳書．妃嬪傳．吳主權潘夫人》：「性險妒容媚，自始至卒，譖害袁夫人等甚眾。」
[副]
幾乎、差一點。如：「險勝」、「險遭毒手」、「險被活埋」。元．王實甫《西廂記．第四本．第三折》：「眼底空留意，尋思起就裡，險化做望夫石。」</t>
  </si>
  <si>
    <t>譣</t>
  </si>
  <si>
    <t>[動]
問。《說文解字．言部》：「譣，問也。《周書》曰：『勿以譣人。』」</t>
  </si>
  <si>
    <t>[副]_x000D_
少。如：「鮮見」。《論語．學而》：「子曰：『巧言令色，鮮矣仁。』」三國魏．曹丕〈典論論文〉：「夫人善于自見，鮮能備善。」宋．周敦頤〈愛蓮說〉：「菊之愛，陶後鮮有聞。」_x000D_
[形]_x000D_
早死、夭折。《左傳．昭公五年》：「葬鮮者自西門。」</t>
  </si>
  <si>
    <t>(一)ㄒㄧㄢ xiān（07082）</t>
  </si>
  <si>
    <t>蘚</t>
  </si>
  <si>
    <t>[名]
蘚苔植物中「蘚類」之泛稱。配子體葉狀，大抵皆橫臥於地上。有適應陸生的構造。下表皮無氣孔，但有用以吸收及附著的假根。此類植物生長在陰溼地區，分布極廣，高山、極地、岩壁、牆垣或樹皮上，均可見蹤跡。參見「蘚類」條。</t>
  </si>
  <si>
    <t>癬</t>
  </si>
  <si>
    <t>[名]
多種皮膚病的共用名詞。一般指皮膚、指甲、毛髮的黴菌感染，會傳染。如白癬、頭癬、甲癬、腳癬。但也可用於形容其他會有白色鱗狀皮屑的皮膚病，如疥癬、乾癬、魚鱗癬、牛皮癬。</t>
  </si>
  <si>
    <t>(二)（語音）ㄒㄩㄢˇ xuǎn（07381）</t>
  </si>
  <si>
    <t>獮</t>
  </si>
  <si>
    <t>[名]
古代狩獵因四季之不同，而名稱各異，秋天稱為「獮」。《爾雅．釋天》：「秋獵為獮。」《周禮．春官．肆師》：「獮之日，蒞卜來歲之戒。」漢．鄭玄．注：「秋田為獮。」
[動]
殺。《文選．張衡．西京賦》：「白日未及移其晷，已獮其什七八。」明．徐弘祖《徐霞客遊記．卷一〇上．滇遊日記十二》：「大候州土官俸貞與之濟逆，遂并雉獮之。」</t>
  </si>
  <si>
    <t>燹</t>
  </si>
  <si>
    <t>[名]
1.火、野火。《說文解字．火部》：「燹，火也。」
2.戰爭所引起的焚燒破壞。明．張自烈《正字通．火部》：「燹，兵火曰燹。」明．高啟〈次韻楊孟載早春見寄〉詩：「久聞離亂今始見，煙火高低變烽燹。」
[動]
焚燒。《紅樓夢》第七八回：「及聞槥棺被燹，慚違共穴之盟。」</t>
  </si>
  <si>
    <t>幰</t>
  </si>
  <si>
    <t>[名]
1.馬車上的帷幔。《文選．潘岳．藉田賦》：「微風生於輕幰。」
2.借指馬車。南朝梁．劉遵〈度關山〉詩：「路狹幰難回。」《聊齋志異．卷四．辛十四娘》：「躧屣出窺，則繡幰已駐於庭。」</t>
  </si>
  <si>
    <t>韅</t>
  </si>
  <si>
    <t>[名]
繞在馬腹下，用來縛繫馬鞍的皮帶。《史記．卷二四．禮書》：「寢兕持虎，鮫韅彌龍，所以養威也。」裴駰集解引徐廣曰：「韅者，當馬腋之革。」唐．司馬貞．索隱：「韅，馬腹帶也。」</t>
  </si>
  <si>
    <t>顯</t>
  </si>
  <si>
    <t>[動]
1.表露、表現。如：「顯現」、「大顯身手」。《詩經．大雅．大明》：「造舟為梁，不顯其光。」
2.榮耀、光耀。如：「顯揚」。《孝經．開宗明義章》：「立身行道，揚名於後世，以顯父母。」
[形]
1.昭著、明白、清楚。如：「明顯」、「顯而易見」。南朝梁．劉勰《文心雕龍．檄移》：「陸機之移百官，言約而事顯，武移之要者也。」
2.有名望、有地位的。如：「顯貴」、「顯要」。《孟子．離婁下》：「問其與飲食者，盡富貴也，而未嘗有顯者來。」
3.尊稱已故的直系親人。如：「顯考」、「顯妣」。
[名]
姓。如周代有顯甫。</t>
  </si>
  <si>
    <t>玁</t>
  </si>
  <si>
    <t>參見「玁狁」條。</t>
  </si>
  <si>
    <t>ㄒㄧㄢˋ</t>
  </si>
  <si>
    <t>xiàn</t>
  </si>
  <si>
    <t>[動]
1.不當超前而超前。《孟子．告子下》：「徐行後長者謂之弟，疾行先長者謂之不弟。」
2.領導、率導。《禮記．郊特牲》：「天先乎地，君先乎臣。」</t>
  </si>
  <si>
    <t>(一)ㄒㄧㄢ xiān（07067）</t>
  </si>
  <si>
    <t>[動]_x000D_
1.顯露、顯出。同「現」。如：「情見乎辭」。《戰國策．燕策三》：「圖窮而匕首見。」唐．杜甫〈茅屋為秋風所破歌〉：「嗚呼！何時眼前突兀見此屋，吾廬獨破受凍死亦足！」_x000D_
2.舉荐、介紹。《左傳．昭公二十年》：「齊豹見宗魯於公孟。」《三國志．卷二一．魏書．王衛二劉傅傳．王粲》：「進以謙名公之胄，欲與為婚，見其二子，使擇焉。」_x000D_
[形]_x000D_
1.現在。同「現」。元．孟漢卿《魔合羅》第三折：「供狀人劉玉娘，見年三十五歲。」_x000D_
2.現有的。同「現」。《戰國策．韓策一》：「見卒不過二十萬而已矣。」《史記．卷七．項羽本紀》：「士卒食芋菽，軍無見糧。」_x000D_
[名]_x000D_
古代棺木上的裝飾。《儀禮．既夕禮》：「藏器於旁加見。」漢．鄭玄．注：「見，棺飾也。」</t>
  </si>
  <si>
    <t>(一)ㄐㄧㄢˋ jiàn（05797）</t>
  </si>
  <si>
    <t>[名]
古代船上用來觀測風向的羽毛。《淮南子．齊俗》：「辟若俔之見風也，無須臾之閒定矣。」漢．高誘．注：「俔，候風者也。」
[形]
恐懼的樣子。通「睍」。參見「俔俔」條。</t>
  </si>
  <si>
    <t>(一)ㄑㄧㄢˋ qiàn（06490）</t>
  </si>
  <si>
    <t>峴</t>
  </si>
  <si>
    <t>[名]
小而險峻的山嶺。《文選．謝靈運．從斤竹澗越嶺溪行詩》：「逶迤傍隈隩，苕遞陟陘峴。」</t>
  </si>
  <si>
    <t>現</t>
  </si>
  <si>
    <t>[動]
顯出、顯露。如：「顯現」、「呈現」、「湧現」。元．王實甫《西廂記．第一本．第一折》：「我道是南海水月觀音現。」
[副]
當時、此刻、即時。如：「現買現賣」、「現做現吃」。《三國演義》第一回：「卓問三人現居何職。」
[形]
1.目前的、當前的。如：「現代」、「現世報」。南朝梁．武帝〈立神明成佛義記〉：「生滅遷變，酬於往因；善惡交謝，生乎現境。」
2.實有的、目前有的。如：「現金」、「現貨」。《儒林外史》第一一回：「要我這個爐，須是三百兩現銀子。」
[名]
現金、現款的簡稱。如：「兌現」、「付現」、「貼現」。</t>
  </si>
  <si>
    <t>莧</t>
  </si>
  <si>
    <t>[名]
植物名。莧科莧屬。「莧菜」之古稱。參見「莧菜」條。</t>
  </si>
  <si>
    <t>晛</t>
  </si>
  <si>
    <t>[名]
陽光、日光。《詩經．小雅．角弓》：「雨雪瀌瀌，見晛曰消。」</t>
  </si>
  <si>
    <t>睍</t>
  </si>
  <si>
    <t>[形]
1.眼睛突出的樣子。《說文解字．目部》：「睍，目出貌也。」
2.眼睛小。《廣韻．上聲．銑韻》：「睍，小目貌。」
3.參見「睍睍」條。</t>
  </si>
  <si>
    <t>限</t>
  </si>
  <si>
    <t>[名]
1.險阻、要塞。《說文解字．𨸏部》：「限，阻也。」《戰國策．秦策一》：「南有巫山黔中之限，東有肴函之固。」
2.門檻。如：「門限」、「戶限」。《後漢書．卷一八．臧宮傳》：「會屬縣送委輸車數百乘至，宮夜使鋸斷城門限。」
3.指定的範圍、止境。如：「期限」、「界限」、「下限」、「無限」、「有限」。《晉書．卷四七．傅玄傳》：「六年之限，日月淺近，不周黜陟。」
[動]
限制、不許超越。如：「人數不限」、「不可限量」、「限五月完工。」《文選．曹丕．燕歌行》：「牽牛織女遙相望，爾獨何辜限河梁。」唐．岑參〈寄左省杜拾遺〉詩：「聯步趨丹陛，分曹限紫微。」</t>
  </si>
  <si>
    <t>陷</t>
  </si>
  <si>
    <t>[名]
1.地下坑穴，泛指害人的陰謀。如：「陷阱」。《韓非子．六反》：「犯而誅之，是為民設陷也。」
2.缺點、過失。如：「缺陷」。《國語．魯語下》：「齊閭丘來盟，子服景伯戒宰人曰：『陷而入於恭。』」三國吳．韋昭．注：「陷，猶過失也。」
[動]
1.沒入、沉入。如：「沉陷」、「越陷越深」、「陷入泥中」。唐．李洞〈題竹溪禪院〉詩：「風搖缾影碎，沙陷履痕端。」
2.設計害人。如：「誣陷」、「構陷」、「陷害」。《史記．卷一一二．酷吏傳．張湯傳》：「然謀陷湯罪者，三長史也。」《三國演義》第一回：「遂於他事陷邕於罪。」
3.攻占、被攻占。如：「攻陷」、「失陷」、「淪陷」。唐．元結〈大唐中興頌．序〉：「天寶十四載，安祿山陷洛陽。」唐．韓愈〈張中丞傳後敘〉：「及城陷，賊縛廵等數十人坐。」</t>
  </si>
  <si>
    <t>餡</t>
  </si>
  <si>
    <t>[名]
包在米、麵等食物中的作料。如：「豆沙餡」、「餃子餡」。明．張自烈《正字通．食部》：「餡，凡米麵食物坎其中實以雜味曰餡。」《紅樓夢》第一一回：「昨日老太太賞的那棗泥餡的山藥糕，我倒吃了兩塊。」</t>
  </si>
  <si>
    <t>羨</t>
  </si>
  <si>
    <t>[動]
1.因內心喜愛而渴望得到。如：「欣羨」、「欽羨」、「只羨鴛鴦不羨仙。」《淮南子．說林》：「臨河而羨魚，不如歸家織網。」
2.超過、超越。《史記．卷一一七．司馬相如傳》：「德隆乎三皇，功羨於五帝。」
[名]
剩餘、盈餘。《詩經．小雅．十月之交》：「四方有羨，我獨居憂。」
[形]
超過的、剩餘的。《晏子春秋．內篇．問上》：「內妾無羨食，外臣無羨祿。」</t>
  </si>
  <si>
    <t>腺</t>
  </si>
  <si>
    <t>[名]
動物體分泌化學物質的構造，可分為外分泌腺，如乳腺、汗腺、唾液腺等；內分泌腺，如腎上腺、腦垂腺等。有些植物的花含有蜜腺。</t>
  </si>
  <si>
    <t>線</t>
  </si>
  <si>
    <t>[名] 
1.用棉、麻、絲、金屬等製成的細縷或細長物，可隨意彎折。如：「毛線」、「電線」、「穿針引線」。
2.比喻像線一般細長的東西。如：「光線」、「射線」。
3.幾何學上，指點移動，其軌跡所形成的圖形。是「面」的界，有位置與長度，無厚度與高度。如：「直線」、「曲線」、「折線」。
4.交通路徑。如：「航線」、「路線」、「縱貫線」、「運輸線」。
5.邊緣、邊界。如：「前線」、「防線」、「海岸線」。
6.比喻將要接近的某種界限。如：「死亡線」、「生命線」。
7.祕密尋求關於人、事、物的門路。如：「眼線」、「內線」、「線索」。《儒林外史》第三四回：「他原是賊頭趙大一路做線的。」
8.量詞。計算線路數量的單位。如：「本公司共有五線電話。」</t>
  </si>
  <si>
    <t>僩</t>
  </si>
  <si>
    <t>[形]
1.威武勇猛。《說文解字．人部》：「僩，武貌。」《廣韻．上聲．潸韻》：「僩，武猛貌。」
2.胸襟寬大開闊。《荀子．榮辱》：「陋者俄且僩也，愚者俄且知也。」</t>
  </si>
  <si>
    <t>[副]
1.不安。《史記．卷一〇．孝文本紀》：「朕既不能遠德，故憪然念外人之有非。」《聊齋志異．卷四．羅剎海市》：「馬至是孤立，憪然不自安。」
2.忿怒的樣子。《新唐書．卷一六八．王叔文傳》：「憪然謂天下無人。」</t>
  </si>
  <si>
    <t>(一)ㄒㄧㄢˊ xián（07100）</t>
  </si>
  <si>
    <t>[名]
大孔。《周禮．冬官考工記．輪人》：「五分其轂之長，去一以為賢。」</t>
  </si>
  <si>
    <t>(一)ㄒㄧㄢˊ xián（07107）</t>
  </si>
  <si>
    <t>憲</t>
  </si>
  <si>
    <t>[名]
1.法令。如：「公憲」、「邦憲」。《韓非子．定法》：「憲令著於官府。」
2.典範。《書經．蔡仲之命》：「爾乃邁跡自身，克勤無怠，以垂憲乃後。」《詩經．小雅．六月》：「文武吉甫，萬邦為憲。」
3.憲法的簡稱。如：「立憲」、「制憲」、「違憲」、「修憲」、「行憲」。
4.舊時下屬對上司的尊稱。如：「大憲」、「上憲」。《聊齋志異．卷二．紅玉》：「乃詳諸憲，代生解免，竟釋生。」
[動]
1.頒布、公布。《周禮．秋官．小司寇》：「乃宣布于四方，憲刑禁。」宋．王安石〈原教〉：「藏于府，憲于市。」
2.效法。《書經．說命》：「惟天聰明，惟聖時憲。」《文選．班固．東都賦》：「憲章稽古。」</t>
  </si>
  <si>
    <t>縣</t>
  </si>
  <si>
    <t>[名]
1.地方政府的行政區域名稱。舊時隸屬州、府、道，今在省之下、鄉鎮之上。如：「雲林縣」、「嘉義縣」。
2.古代天子統治的區域。即王畿。《禮記．王制》：「天子之縣內，方百里之國九。」《史記．卷六．秦始皇本紀》：「宇縣之中，順承聖意。」</t>
  </si>
  <si>
    <t>(二)ㄒㄩㄢˊ xuán（07374）</t>
  </si>
  <si>
    <t>霰</t>
  </si>
  <si>
    <t>[名]
雨點遇冷空氣凝成的雪珠，降落時呈白色不透明的小冰粒，常呈球形或圓錐形，多降於下雪之前。如：「雨霰」、「霜霰」。宋．歐陽修〈玉樓春．春山斂黛低歌扇〉詞：「洛城春色待君來，莫到落花飛似霰。」清．孔尚任《桃花扇》第二八齣：「正飛綿作雪，落紅成霰。」</t>
  </si>
  <si>
    <t>獻</t>
  </si>
  <si>
    <t>[動]
1.奉上、進奉。如：「貢獻」、「呈獻」、「捐獻」、「犧牲奉獻」。唐．杜甫〈病橘〉詩：「憶昔南海使，奔騰獻荔枝。」
2.表演。如：「獻技」、「獻藝」。
3.故意顯露、表現。如：「獻媚」、「獻寶」、「獻殷勤」。
[名]
賢人、有才德的人。《書經．益稷》：「萬邦黎獻，共惟帝臣。」唐．韓愈〈處州孔子廟碑〉：「乃新斯宮，神降其獻，講讀有常，不誡用勸。」</t>
  </si>
  <si>
    <t>心</t>
  </si>
  <si>
    <t>ㄒㄧㄣ</t>
  </si>
  <si>
    <t>xīn</t>
  </si>
  <si>
    <t>[名]
1.內臟之一。參見「心臟」條。
2.我國古代認為心主管思維，故相沿以為腦的代稱。如：「用心」、「勞心勞力」。《孟子．告子上》：「心之官則思。」
3.思想、意念、感情。如：「傷心」、「心中不安」、「心情煩悶」。三國魏．曹丕〈與吳質書〉：「東望於邑，裁書敘心。」唐．柳宗元〈始得西山宴游記〉：「心凝形釋。」
4.思慮、謀畫。如：「有心人」、「有口無心」。《呂氏春秋．審應覽．精諭》：「紂雖多心，弗能知矣。」
5.性情。如：「心性」。《韓非子．觀行》：「西門豹之性急，故佩韋以自緩，董安于之心緩，故佩弦以自急。」
6.平面或物體的中央或內部。如：「江心」、「掌心」、「圓心」。唐．劉禹錫〈洞庭秋月行〉：「洞庭秋月生湖心，層波萬頃如鎔金。」
7.植物的花蕊或苗尖。如：「花心」。南朝梁．簡文帝〈上巳侍宴林光殿曲水詩〉：「林花初墮蔕，池荷欲吐心。」
8.星宿名。二十八星宿之一，東方蒼龍七宿的第五宿。
9.星官名，心宿之首，共有三顆星，在西方屬天蠍座。《詩經．唐風．綢繆》：「三星在天。」漢．鄭玄．箋：「三星，謂心星也。」《晉書．卷一一．天文志上》：「心三星，天王正位也。」
10.二一四部首之一。</t>
  </si>
  <si>
    <t>芯</t>
  </si>
  <si>
    <t>[名]
燈心草莖中可用來點燈的莖髓。元．戴侗《六書故．卷一三．人》：「凡函畜于中者，皆謂之心，草木華葉之心，是也，（別作芯）。」</t>
  </si>
  <si>
    <t>(二)ㄒㄧㄣˋ xìn（07173）</t>
  </si>
  <si>
    <t>辛</t>
  </si>
  <si>
    <t>[名]
1.辣的味道。宋．蘇軾〈再和次韻曾子開從駕〉詩二首之一：「最後數篇君莫厭，搗殘椒桂有餘辛。」
2.帶有刺激味道的蔬菜。如蔥、蒜等。明．李時珍《本草綱目．卷二六．菜部．韭》：「頌曰：『昔人正月節食五辛以辟癘氣，謂韭、薤、蔥、蒜、薑也。』」
3.天干中的第八位。
4.姓。如宋代有辛棄疾。
5.二一四部首之一。
[形]
1.辣味的。如：「辛味」。《文選．左思．蜀都賦》：「甘蔗辛薑。」
2.勞苦、勞累。如：「艱辛」。唐．李紳〈古風〉詩二首之二：「誰知盤中餐，粒粒皆辛苦！」
3.悲傷痛苦的。如：「辛酸淚」。唐．杜甫〈自京赴奉先縣詠懷五百字〉詩：「撫跡猶酸辛，平人固騷屑。」</t>
  </si>
  <si>
    <t>莘</t>
  </si>
  <si>
    <t>(一)ㄕㄣ shēn（08978）</t>
  </si>
  <si>
    <t>鋅</t>
  </si>
  <si>
    <t>[名]
（zinc，Zn）化學元素。原子序30。為白色中帶藍灰色的有光澤金屬。自然界中鋅均以化合物形式存於礦石中。將礦石加熱，使鋅變成氧化鋅，自礦石中析出，再以碳還原，即得純鋅。在常溫下極脆且硬。用途很廣，鋅板可鋪屋頂及製造器具；鍍鋅於鐵的表面可防鏽；亦可用於製造乾電池及各種合金。</t>
  </si>
  <si>
    <t>忻</t>
  </si>
  <si>
    <t>[形]
喜悅。通「欣」。《玉篇．欣部》：「忻，喜也。」《董西廂》卷六：「適鶯聞人語親，忻喜之容見於面。」</t>
  </si>
  <si>
    <t>炘</t>
  </si>
  <si>
    <t>參見「炘炘」條。</t>
  </si>
  <si>
    <t>昕</t>
  </si>
  <si>
    <t>[名]
太陽快出來的時候。《儀禮．士昏禮》：「凡行事，必用昏昕。」</t>
  </si>
  <si>
    <t>欣</t>
  </si>
  <si>
    <t>[動]
悅服、愛戴。《國語．晉語二》：「庶幾曰諸侯義而撫之，百姓欣而奉之，國可以固。」
[副]
喜樂。如：「欣慰」、「欣然忘憂」。《莊子．秋水》：「於是焉，河伯欣然自喜，以天下之美為盡在己。」
[名]
姓。如五代時有欣彪。</t>
  </si>
  <si>
    <t>[副]
喜樂。通「欣」。《孟子．盡心上》：「終身訢然，樂而忘天下。」
[名]
姓。如漢代有訢梵。</t>
  </si>
  <si>
    <t>(二)ㄒㄧ xī（06755）</t>
  </si>
  <si>
    <t>新</t>
  </si>
  <si>
    <t>[形]
1.沒有使用過的。與「舊」相對。如：「新辦法」、「新衣」、「新筆」。
2.剛開始的、始出現的。如：「新芽」、「新生兒」、「新品種」。
[名]
1.泛指一切新的人、事、物、知識等。如：「履新」、「汰舊換新」、「溫故知新」。
2.剛收成的農作物。《禮記．月令》：「是月也，農乃登穀，天子嘗新。」《新唐書．卷一一八．宋務光傳》：「家無接新之儲，國乏俟荒之蓄。」
3.朝代名。參見「新莽」條。
4.姓。如春秋時晉國有新穆子。
[動]
改進或使改變，而成為新的、好的。如：「改過自新」、「一新耳目」。《書經．胤征》：「舊染汙俗，咸與惟新。」《禮記．大學》：「苟日新、日日新、又日新。」
[副]
不久前、剛才。如：「新寫的字」、「新買的衣服」。《荀子．不苟》：「新浴者振其衣，新沐者彈其冠。」</t>
  </si>
  <si>
    <t>薪</t>
  </si>
  <si>
    <t>[名]
1.柴草、柴火。如：「杯水車薪」、「臥薪嘗膽」、「釜底抽薪。」
2.工作的酬金。如：「月薪」、「年薪」、「底薪」。</t>
  </si>
  <si>
    <t>歆</t>
  </si>
  <si>
    <t>[動]
1.祭祀時鬼神享用祭品的香氣稱為「歆」。《左傳．僖公三十一年》：「鬼神非其族類，不歆其祀。」晉．杜預．注：「歆，猶饗也。」唐．李賀〈神弦〉詩：「呼星召鬼歆杯盤，山魅食時人森寒。」
2.感動。《詩經．大雅．生民》：「履帝武敏歆，攸介攸止。」漢．鄭玄．注：「心體歆歆然，其左右所止住，如有人道感己者也。」
3.悅服。《國語．周語下》：「以言德於民，民歆而德之。」三國吳．韋昭．注：「歆，猶嘉服也。」
4.羨慕。如：「歆慕」。《詩經．大雅．皇矣》：「無然畔援，無然歆羨。」《新唐書．卷一一六．王綝傳》：「士人歆其寵。」</t>
  </si>
  <si>
    <t>馨</t>
  </si>
  <si>
    <t>[名]
1.散播到遠方的香氣。《楚辭．屈原．九歌．山鬼》：「被石蘭兮帶杜衡，析芳馨兮遺所思。」唐．劉兼〈蓮塘霽望〉詩：「新秋菡萏發紅英，向晚風飄滿郡馨。」
2.流傳後世的功德名聲。如：「德馨遠播」。《晉書．卷一一三．苻堅載記上》：「化盛隆周，垂馨千祀。」
[助]
常置於形容詞或副詞之後，表示讚美的語氣。同「般」、「樣」。南朝宋．劉義慶《世說新語．文學》：「田舍兒，強學人作爾馨語。」</t>
  </si>
  <si>
    <t>(二)（又音）ㄒㄧㄥ xīng（07232）</t>
  </si>
  <si>
    <t>鑫</t>
  </si>
  <si>
    <t>[形]
興盛、多財。常用於人名或店名。</t>
  </si>
  <si>
    <t>尋</t>
  </si>
  <si>
    <t>ㄒㄧㄣˊ</t>
  </si>
  <si>
    <t>xín</t>
  </si>
  <si>
    <t>[動]
吳語。指乞討、賺取。如：「尋錢」。</t>
  </si>
  <si>
    <t>(一)ㄒㄩㄣˊ xún（07425）</t>
  </si>
  <si>
    <t>鄩</t>
  </si>
  <si>
    <t>[名]
地名。春秋時周邑名，故址約在今大陸地區河南省鞏縣西南。</t>
  </si>
  <si>
    <t>鬵</t>
  </si>
  <si>
    <t>[形]
鼎一類的炊具。形似甑而上大下小。後亦泛指鍋子。《說文解字．鬲部》：「鬵，一曰鼎大上小下若甑曰鬵。」《詩經．檜風．匪風》：「誰能亨魚？溉之釜鬵。」《聊齋志異．卷一〇．阿纖》：「雖有宿肴，苦少烹鬵，勿嫌冷啜也。」</t>
  </si>
  <si>
    <t>伈</t>
  </si>
  <si>
    <t>ㄒㄧㄣˇ</t>
  </si>
  <si>
    <t>xǐn</t>
  </si>
  <si>
    <t>參見「伈伈」條。</t>
  </si>
  <si>
    <t>囟</t>
  </si>
  <si>
    <t>ㄒㄧㄣˋ</t>
  </si>
  <si>
    <t>xìn</t>
  </si>
  <si>
    <t>參見「囟門」條。</t>
  </si>
  <si>
    <t>[名]
物體的中心部分。如：「蠟芯兒」、「芯子」。</t>
  </si>
  <si>
    <t>(一)ㄒㄧㄣ xīn（07154）</t>
  </si>
  <si>
    <t>信</t>
  </si>
  <si>
    <t>[名]
1.誠實不欺。如：「講信修睦」。《論語．為政》：「人而無信，不知其可也。」
2.書札、書簡。如：「書信」、「平信」、「掛號信」。
3.消息、音訊。如：「音信」、「凶信」、「口信」。
4.使者、送信件的人。南朝宋．劉義慶《世說新語．文學》：「司空鄭沖馳遣信就阮籍求文。」
5.符契、憑證。如：「印信」。《後漢書．卷九〇．烏桓鮮卑傳》：「大人有所召呼，則刻木為信，雖無文字，而部眾不敢違犯。」
6.姓。如宋代有信世昌。
[動]
1.聽從、不懷疑。如：「相信」、「深信不疑」、「不可置信」。
2.敬仰、崇奉。如：「信奉」、「信教」。南朝梁．劉勰《文心雕龍．正緯》：「至於光武之世，篤信斯術。」
3.知曉、知道。宋．晏殊〈漁家傲．畫鼓聲中昏又曉〉詞：「須信道，人間萬事何時了？」《聊齋志異．卷七．青蛾》：「我父母皆仙人，何可以貌信其年歲乎？」
4.連宿兩晚。如：「信宿」。《左傳．襄公十八年》：「信于城下而還。」晉．杜預．注：「信，再宿也。」
[副]
1.確實、的確、果真。《孟子．公孫丑上》：「信能行此五者，則鄰國之民，仰之若父母矣。」唐．柳宗元〈遊石角過小嶺至長烏村〉詩：「為農信可樂，居寵真虛榮。」
2.隨意、任憑。如：「信口開河」、「信手拈來」。唐．白居易〈琵琶行〉：「低眉信手續續彈，說盡心中無限事。」</t>
  </si>
  <si>
    <t>(二)ㄕㄣ shēn（08974）</t>
  </si>
  <si>
    <t>焮</t>
  </si>
  <si>
    <t>[名]
火氣。《廣韻．去聲．焮韻》：「焮，火氣。」
[動]
炙、燒。唐．杜甫〈火〉詩：「勢欲焚崑崙，火彌焮洲渚。」宋．范成大〈大熱泊樂溫有懷商卿德稱〉詩：「瘴風如火焮，嵐月似煙昏。」</t>
  </si>
  <si>
    <t>蕈</t>
  </si>
  <si>
    <t>(一)ㄒㄩㄣˋ xùn（07449）</t>
  </si>
  <si>
    <t>舋</t>
  </si>
  <si>
    <t>[名]
1.裂痕、縫隙。《周禮．春官．大卜》「一曰玉兆，二曰瓦兆，三曰原兆」句下漢．鄭玄．注：「兆者，灼龜發於火，其形可占者，其象似玉瓦原之舋鏬。」
2.嫌隙、爭端。《戰國策．韓策三》：「故君收韓，可以無舋。」
3.罪過、過錯。《文選．曹植．上責躬應詔詩表》：「臣自抱舋歸藩。」唐．韓愈〈潮州刺史謝上表〉：「而臣負罪嬰舋，自拘海島。」</t>
  </si>
  <si>
    <t>釁</t>
  </si>
  <si>
    <t>[動]
1.古代祭祀時，把牲畜的血塗在器皿上，用來祭祀神靈稱為「釁」。《孟子．梁惠王上》：「將以釁鐘。」宋．陸游〈雪中忽起從戎之興戲作〉詩四首之二：「獸奔鳥散何勞逐，直斬單于釁寶刀。」
2.塗、熏。《國語．齊語》：「比至，三釁，三浴之。」《漢書．卷四八．賈誼傳》：「豫讓釁面吞炭。」
3.奮動。《左傳．襄公二十六年》：「夫小人之性，釁於勇。」
[名]
1.裂痕、縫隙。《續漢書志．第一．律曆志上》：「候氣之法，為室三重，戶閉，塗釁必周，密布緹縵。」明．宋應星《天工開物．卷中．鐘》：「若相承遇緩，則先入之質欲凍，後者不粘，釁所由生也。」
2.徵兆、禍兆。《國語．魯語上》：「若鮑氏有釁，吾不圖矣。」《三國志．卷五八．吳書．陸遜傳》：「近覽劉氏傾覆之釁。」
3.嫌隙、爭端。如：「挑釁」、「尋釁」。
4.過失、罪過。《左傳．莊公十四年》：「人無釁焉，妖不自作。」
5.姓。如春秋時魯國有釁夏。</t>
  </si>
  <si>
    <t>皀</t>
  </si>
  <si>
    <t>ㄒㄧㄤ</t>
  </si>
  <si>
    <t>xiāng</t>
  </si>
  <si>
    <t>[名]
穀類的香氣。《說文解字．皀部》：「皀，穀之馨香也。象嘉穀在裹中之形，匕所以扱之。」</t>
  </si>
  <si>
    <t>相</t>
  </si>
  <si>
    <t>[副]
1.交互，指兩方面都進行的。如：「互相」、「守望相助」、「兩地相思」、「相得益彰」。《莊子．大宗師》：「四人相視而笑，莫逆於心，遂相與為友。」唐．崔護〈題都城南莊〉詩：「去年今日此門中，人面桃花相映紅。」
2.彼此，強調雙方比較後的差異。如：「相異」、「相像」、「旗鼓相當」。《三國演義》第五七回：「某之所學，與公瑾大不相同。」
[助]
由交互的意義演變為單方面的意義，表示動作是由一方對另一方進行。如：「有事相煩」、「實不相瞞」。《三國志．卷五四．吳書．魯肅傳》：「孤持鞍下馬相迎，足以顯卿未？」
[名]
姓。如明代有相世芳。</t>
  </si>
  <si>
    <t>(二)ㄒㄧㄤˋ xiàng（07212）</t>
  </si>
  <si>
    <t>湘</t>
  </si>
  <si>
    <t>[名]
1.參見「湘江」條。
2.大陸地區湖南省的簡稱。
[動]
烹煮。《詩經．召南．采蘋》：「于以湘之，維錡及釜。」宋．蘇軾〈元修菜〉詩：「烝之復湘之，香色蔚其饛。」</t>
  </si>
  <si>
    <t>廂</t>
  </si>
  <si>
    <t>[名]
1.正屋兩側的房間。如：「廂房」、「廂屋」。《樂府詩集．卷三四．相和歌辭九．古辭．相逢行》：「音聲何噰噰，鶴鳴東西廂。」元．王實甫《西廂記．第三本．第二折》：「月暗西廂，鳳去秦樓。」
2.靠近城市的地區。如：「城廂」、「關廂」。《水滸傳》第一〇三回：「城中坊廂里正，逐一排門搜捉凶人王慶。」
3.邊、旁、方面。多用於舊小說、戲曲。如：「這廂有禮」、「一廂情願」。明．湯顯祖《南柯記》第四二齣：「怕不是我身廂有什麼纏魂不定？」
4.戲院等娛樂場所裡另外隔間的特別座位。如：「包廂」。
5.箱篋。通「箱」。如：「車廂」。《水滸傳》第一〇三回：「相公需教把火來放在弓廂裡，不住的焙，方好。」</t>
  </si>
  <si>
    <t>箱</t>
  </si>
  <si>
    <t>[名]
1.車內載人或存放東西的地方。《說文解字．竹部》：「箱，大車牝服也。」段玉裁注引鄭司農云：「牝服謂車箱。」如：「車箱」。《隋書．卷六八．何稠傳》：「舊制，五輅於轅上起箱，天子與參乘同在箱內。」
2.收納東西的器具。如：「封箱」、「紙箱」。《樂府詩集．卷七三．雜曲歌辭十三．古辭．焦仲卿妻》：「箱簾六七十，綠碧青絲繩。」《醒世姻緣傳》第五回：「這班人挑了箱，喚到衙內扮戲上壽。」
3.正屋兩旁的房間。通「廂」。《儀禮．公食大夫禮》：「公揖，退于箱。」《文選．傅玄．雜詩》：「蟬鳴高樹間，野鳥號東箱。」
4.倉庫。《詩經．小雅．甫田》：「乃求千斯倉，及求萬斯箱。」唐．皮日休〈橡媼歎〉：「持之納於官，私室無倉箱。」
5.量詞。計算箱裝物的單位。如：「兩箱衣服」、「三箱水果」。</t>
  </si>
  <si>
    <t>緗</t>
  </si>
  <si>
    <t>[名]
淺黃色的絲織品。《後漢書．卷三〇．輿服志下》：「賈人，緗縹而已。」
[形]
淺黃色的。如：「緗荷」、「緗梅」。《樂府詩集．卷二八．相和歌辭三．古辭．陌上桑》：「緗綺為下裙，紫綺為上襦。」</t>
  </si>
  <si>
    <t>香</t>
  </si>
  <si>
    <t>[名]
1.芬芳美好的氣味。如：「花香」、「書香」、「粉香」。
2.用香料製成棒、線、球、餅的東西，可供拜祭鬼神或驅除蚊蟲。如：「線香」、「檀香」、「燒香」、「蚊香」、「焚香操琴」。
3.比喻女子。如：「憐香惜玉」、「香消玉殞」。
4.姓。如戰國時齊國有香居。
5.二一四部首之一。
[動]
親吻。如：「香一香臉」、「香一下好嗎？」
[形]
1.氣味美好。如：「香茗」、「香泉」、「這飯很香。」唐．杜甫〈古柏行〉：「香葉曾經宿鸞鳳。」
2.與女性有關的。如：「香閨」、「香魂」、「香汗淋漓」。元．王德信〈十二月過堯民歌．自別後遙山隱隱〉曲：「今春，香肌瘦幾分，摟帶寬三寸。」
[副]
酣暢。如：「吃得很香」、「睡得很香」。</t>
  </si>
  <si>
    <t>舡</t>
  </si>
  <si>
    <t>[名]
船。《文選．漢武帝．秋風辭》：「泛樓舡兮濟汾河，橫中流兮揚素波。」元．關漢卿《單刀會》第四折：「令江上相候，見舡到便來報我知道。」</t>
  </si>
  <si>
    <t>鄉</t>
  </si>
  <si>
    <t>[名]_x000D_
1.地方政府的行政區域名稱。在縣之下，村之上。如：「鄉鎮」。_x000D_
2.城鎮以外耕地較多，人口較不稠密的地區。如：「鄉村」、「窮鄉僻壤」。_x000D_
3.泛指地區、處所。漢．曹操〈卻東西門行〉：「鴻雁出塞北，乃在無人鄉。」唐．陳子昂〈麈尾賦〉：「始居幽山之藪，食乎豐草之鄉。」_x000D_
4.祖籍、出生地或長期居住過的地方。如：「家鄉」。唐．李白〈靜夜思〉詩：「舉頭望明月，低頭思故鄉。」_x000D_
5.稱來自同省縣的人。如：「同鄉」、「老鄉」。_x000D_
6.某種境界或狀態。如：「醉鄉」、「夢鄉」、「溫柔鄉」。_x000D_
[形]_x000D_
1.同一鄉里的。如：「鄉親」、「鄉兄」。_x000D_
2.故鄉所有的或所出產的。如：「鄉產」、「鄉味」。唐．賀知章〈回鄉偶書〉詩二首之一：「少小離家老大回，鄉音無改鬢毛衰。」</t>
  </si>
  <si>
    <t>(二)ㄒㄧㄤˋ xiàng（07219）</t>
  </si>
  <si>
    <t>薌</t>
  </si>
  <si>
    <t>[名]
1.穀類馨香的氣味。《玉篇．艸部》：「薌，穀氣。」
2.用來調味的香菜。《禮記．內則》：「魴鱮烝雛燒，雉薌無蓼。」漢．鄭玄．注：「薌，蘇荏之屬也。」
[動]
使香美。《禮記．內則》：「鉅鑊湯，以小鼎薌脯於其中。」</t>
  </si>
  <si>
    <t>膷</t>
  </si>
  <si>
    <t>[名]
牛肉羹。《廣韻．平聲．陽韻》：「膷，牛羹。」《禮記．內則》：「膳、膷、臐、膮。」</t>
  </si>
  <si>
    <t>襄</t>
  </si>
  <si>
    <t>[動]
1.完成、成就。如：「共襄盛舉」。《左傳．定公十五年》：「葬定公，雨，不克襄事，禮也。」
2.上、登越。《書經．堯典》：「湯湯洪水方割，蕩蕩懷山襄陵。」
3.除去。《詩經．鄘風．牆有茨》：「牆有茨，不可襄也。」
[副]
輔助。如：「襄助」、「襄理」、「襄贊元首」。
[名]
姓。如漢代有襄楷。</t>
  </si>
  <si>
    <t>勷</t>
  </si>
  <si>
    <t>[動]
成就、完成。同「襄」。如：「共勷盛舉」。</t>
  </si>
  <si>
    <t>(一)ㄖㄤˊ ráng（09245）</t>
  </si>
  <si>
    <t>瓖</t>
  </si>
  <si>
    <t>[名]
馬帶上的玉飾。《文選．張衡．東京賦》：「鉤膺玉瓖。」三國吳．薛綜．注：「瓖，馬帶玦以玉飾也。」
[動]
鑲嵌。同「鑲」。明．方以智《物理小識．卷八．器用類．裝潢法》：「故縣壁不瓦，瓖攢必俟天潤。」</t>
  </si>
  <si>
    <t>纕</t>
  </si>
  <si>
    <t>[名]
佩帶。《楚辭．屈原．離騷》：「既替余以蕙纕兮，又申之以攬茝。」</t>
  </si>
  <si>
    <t>鑲</t>
  </si>
  <si>
    <t>[名]
武器名。古代一種類似劍的兵器。漢．劉熙《釋名．釋兵》：「鉤鑲，兩頭曰鉤，中央曰鑲，或推鑲，或鉤引，用之之宜也。」
[動]
把東西嵌入、配製在另一物體的中間或邊緣。如：「鑲邊」、「鑲牙齒」、「鑲寶石的戒指。」</t>
  </si>
  <si>
    <t>(二)ㄖㄤˊ ráng（09253）</t>
  </si>
  <si>
    <t>驤</t>
  </si>
  <si>
    <t>[名]
後右足白色的馬。《爾雅．釋畜》：「後右足白，驤。」
[動]
1.奔馳、跳躍。三國魏．曹植〈五遊詠〉：「華蓋芬晻藹，六龍仰天驤。」唐．杜甫〈韋諷錄事宅觀曹將軍畫馬圖〉詩：「騰驤磊落三萬匹，皆與此圖筋骨同。」
2.高舉。《文選．嵇康．琴賦》：「披重壤以誕載兮，參辰極而高驤。」</t>
  </si>
  <si>
    <t>羊</t>
  </si>
  <si>
    <t>ㄒㄧㄤˊ</t>
  </si>
  <si>
    <t>xiáng</t>
  </si>
  <si>
    <t>[形]
吉利、吉祥。通「祥」。如：「吉羊如意」。</t>
  </si>
  <si>
    <t>(一)ㄧㄤˊ yáng（11134）</t>
  </si>
  <si>
    <t>庠</t>
  </si>
  <si>
    <t>[名]
古代的學校名稱。如：「郡庠」、「邑庠」。《孟子．滕文公上》：「夏曰校，殷曰序，周曰庠，學則三代共之，皆所以明人倫也。」《荀子．大略》：「立大學，設庠序，脩六禮，明十教，所以道之也。」</t>
  </si>
  <si>
    <t>祥</t>
  </si>
  <si>
    <t>[名]
1.泛指一切福善吉利的事物。《書經．伊訓》：「作善，降之百祥。」《漢書．卷八．宣帝紀》：「神光並見，咸受禎祥。」
2.吉凶的徵兆。亦偏指吉兆或凶兆。《書經．咸有一德》：「亳有祥，桑、穀共生于朝。」唐．孔穎達．正義：「祥是惡事先見之徵。」《左傳．僖公十六年》：「是何祥也？吉凶焉在？」
3.古代喪禮祭祀的名稱。父母之喪，周年祭稱為「小祥」；兩周年祭稱為「大祥」。
4.姓。如清代有祥厚。
[形]
1.吉利的。如：「祥雲」、「祥瑞」、「吉祥如意」。《老子》第三一章：「夫佳兵者不祥之器。」
2.良善平和。如：「慈祥」、「祥和社會」。
[動]
依從、遵循。《淮南子．氾論》：「得於人理，順於天地，祥於鬼神，則可以正治矣。」</t>
  </si>
  <si>
    <t>翔</t>
  </si>
  <si>
    <t>[動]
1.繞圈飛行。如：「飛翔」、「滑翔」。
2.張開雙臂行走。形如鳥翼舒展，故稱為「翔」。《禮記．曲禮上》：「室中不翔，並坐不橫肱。」漢．鄭玄．注：「行而張拱曰翔。」
3.棲息、棲止。漢．桓寬《鹽鐵論．未通》：「故代馬依北風，飛鳥翔故巢，莫不哀其生。」漢．禰衡〈鸚鵡賦〉：「飛不妄集，翔必擇林。」
[形]
1.詳細確實。通「詳」。《漢書．卷九六．西域傳．序》：「其土地山川王侯戶數道里遠近翔實矣。」
2.吉祥。通「祥」。《易經．豐卦．象曰》：「豐其屋，天際翔也。」漢．王充《論衡．是應》：「翔風起，甘露降。」
[副]
上升、高漲。《漢書．卷二四．食貨志上》：「穀賈翔貴。」</t>
  </si>
  <si>
    <t>詳</t>
  </si>
  <si>
    <t>[動]
1.審察議斷。《書經．蔡仲之命》：「詳乃視聽。」《資治通鑑．卷七七．魏紀九．元帝景元元年》：「禍殆不測，宜見重詳。」
2.明白、知道。《樂府詩集．卷七三．雜曲歌辭十三．古辭．焦仲卿妻》：「果不如先願，又非君所詳。」晉．陶淵明〈五柳先生傳〉：「先生不知何許人也，亦不詳其姓字。」
3.細述、陳述。如：「內詳」。《詩經．鄘風．牆有茨》：「中冓之言，不可詳也。」《隋書．卷一八．律曆志下》：「古史所詳，事有紛互。」
[副]
審慎、仔細、周全。如：「詳察」、「詳談」。《漢書．卷六．武帝紀》：「故詳延天下方聞之士，咸薦諸朝。」
[形]
1.完備、仔細。清．曾國藩〈聖哲畫像記〉：「班志較詳矣，而斷代為書，無以觀其會通。」
2.從容、莊重。如：「安詳」。《文選．宋玉．神女賦》：「性沉詳而不煩。」
[名]
古代官吏上呈長官的文書。元．孟漢卿《魔合羅》第三折：「這的是打家劫盜勘完的贓，這個是犯界茶鹽取定的詳。」</t>
  </si>
  <si>
    <t>[動]
1.屈服、服從。如：「投降」、「寧死不降」。《春秋．莊公八年》：「夏，師及齊師圍郕，郕降于齊師。」
2.制服、馴服。如：「降龍伏虎」、「一物降一物」。唐．杜甫〈秦州雜詩〉二〇首之三：「降虜兼千帳，居人有萬家。」</t>
  </si>
  <si>
    <t>(一)ㄐㄧㄤˋ jiàng（05909）</t>
  </si>
  <si>
    <t>栙</t>
  </si>
  <si>
    <t>參見「栙䉶」條。</t>
  </si>
  <si>
    <t>享</t>
  </si>
  <si>
    <t>ㄒㄧㄤˇ</t>
  </si>
  <si>
    <t>xiǎng</t>
  </si>
  <si>
    <t>[動]
1.進貢、進獻。《詩經．商頌．殷武》：「自彼氐羌，莫敢不來享。」《禮記．曲禮下》：「五官致貢曰享。」
2.祭祀、供奉。《新唐書．卷一一．禮樂志一》：「孟春吉亥，享先農，遂以耕籍。」《西遊記》第三回：「殺牛宰馬，祭天享地。」
3.設宴請客。唐．韓愈〈送湖南李正字序〉：「日為酒殺羊享賓客。」
4.受用、擁有。如：「享譽」、「坐享其成」、「有福同享」。《左傳．僖公二十三年》：「保君父之命，而享其生祿。」元．關漢卿《竇娥冤》第三折：「為善的受貧窮更命短，造惡的享富貴又壽延。」</t>
  </si>
  <si>
    <t>想</t>
  </si>
  <si>
    <t>[動]
1.思索、思考。如：「想辦法」、「想不出所以然」。元．馬致遠〈夜行船．酒病花愁何日徹套．離亭宴煞〉：「煮酒燒紅葉，想人生有限杯，渾幾個重陽節。」
2.欲、要、打算、希望。如：「想結婚」、「想出國」。《文選．劉琨．勸進表》：「四海想中興之美，群生懷來蘇之望。」
3.推測、猜度。如：「料想」、「推想」、「猜想」。《後漢書．卷七〇．孔融傳》：「以今度之，想當然耳。」
4.認為、覺得。如：「你想這樣對不對？」、「我想你應該回家一趟。」
5.思念、懷念。如：「想念」。《文選．李陵．答蘇武書》：「望風懷想，能不依依？」唐．杜甫〈客居〉詩：「覽物想故國，十年別荒村。」
6.似、像。唐．李白〈清平調〉三首之一：「雲想衣裳花想容，春風拂檻露華濃。」唐．杜甫〈東屯月夜〉詩：「數驚聞雀噪，暫睡想猿蹲。」
[名]
念頭、意念。如：「夢想」、「理想」、「不作此想」。《文選．孔稚珪．北山移文》：「蕭灑出塵之想。」</t>
  </si>
  <si>
    <t>餉</t>
  </si>
  <si>
    <t>[動]
1.送食物給人。《孟子．滕文公下》：「有童子以黍肉餉，殺而奪之。」唐．王維〈積雨輞川莊作〉詩：「積雨空林煙火遲，蒸藜炊黍餉東菑。」
2.餽贈、贈送。《三國志．卷二．魏書．文帝紀》「號曰『皇覽』」句下裴松之注引胡沖《吳曆》曰：「帝以素書所著典論及詩賦餉孫權。」
[名]
1.軍警的錢糧、俸給。如：「發餉」、「領餉」、「關餉」。《聊齋志異．卷一一．王者》：「湖南巡撫某公，遣州佐押解餉六十萬赴京。」
2.短暫、不久的時間。通「晌」。唐．韓愈〈醉贈張祕書〉詩：「雖得一餉樂，有如聚飛蚊。」</t>
  </si>
  <si>
    <t>鯗</t>
  </si>
  <si>
    <t>[名]
晒乾的魚。如：「鹹鯗」、「白鯗」。晉．王羲之〈雜帖五〉：「石首鯗食之，消瓜成水。」</t>
  </si>
  <si>
    <t>響</t>
  </si>
  <si>
    <t>[名]_x000D_
1.回聲。《淮南子．主術》：「天下從之，如響之應聲。」唐．李白〈聽蜀僧濬彈琴〉詩：「客心洗流水，餘響入霜鐘。」_x000D_
2.聲音。如：「聲響」、「不同凡響」。唐．駱賓王〈在獄詠蟬〉詩：「露重飛難進，風多響易沉。」清．紀昀《閱微草堂筆記．卷一四．槐西雜志四》：「一女拈笛欲吹，瞥見人影，以笛指之，遽僵如束縛，然耳目猶能視聽，俄清響透雲，曼聲動魄。」_x000D_
3.音訊、訊息。三國魏．鄧艾〈報後主降書〉：「銜命來征，思聞嘉響。」_x000D_
[量]_x000D_
計算聲音發出的次數。如：「外國元首來訪，鳴放禮炮二十一響。」《二刻拍案驚奇》卷三六：「王甲夫妻夜裡睡覺，只聽得竹床栗喇有聲。撲的一響，像似甚重物跌下地來的光景。」《文明小史》第四六回：「這才恍然大悟，剛才嘣嘣嘣幾響，想是磕頭了。勞航芥不覺大笑。」_x000D_
[動]_x000D_
發出聲音。如：「不聲不響」。南朝梁．吳均〈與顧章書〉：「蟬吟鶴唳，水響猿啼。」《封神演義》第三八回：「言還未畢，只聽得後面鼓響，旗旛開處，走出四樣異獸。」《好逑傳》第一六回：「鼓不打不響，鐘不撞不鳴。」_x000D_
[形]_x000D_
1.能發出聲音的。如：「響板」。《西遊記》第一二回：「唐王大駕，早到寺前。吩咐住了音樂響器。下了車輦，引著多官，拜佛拈香。」《儒林外史》第三四回：「響箭過處，就有無數騎馬的從林子裡奔出來。」_x000D_
2.聲音宏亮。如：「鞭炮放得真響。」「他口哨吹得很響。」《醒世恆言．卷七．錢秀才錯占鳳凰儔》：「高贊叫樂人住了吹打，聽時，一片風聲，吹得怪響，眾皆愕然。」_x000D_
3.有名、名氣大的。如：「名字很響」、「響噹噹的人物。」《儒林外史》第四五回：「仁大典方六房裡，都是我們五門四關廂裡錚錚響的鄉紳。」_x000D_
4.有影響力的。如：「他話說得很響。」</t>
  </si>
  <si>
    <t>饗</t>
  </si>
  <si>
    <t>[動]
1.以盛宴款待賓客。泛指供人享用。如：「宴饗」、「饗客」、「以饗讀者」。《公羊傳．莊公四年》：「夫人姜氏饗齊侯于祝丘。」《史記．卷七．項羽本紀》：「旦日饗士卒，為擊破沛公軍。」
2.祭祀。通「享」。三國魏．曹植〈精微篇〉：「備禮饗神祇，為君求福先。」
3.受用、享用。《史記．卷二九．河渠書》：「此渠皆可行舟，有餘則用溉浸，百姓饗其利。」《晉書．卷四．惠帝紀》：「豈在予一人獨饗其慶，宗廟社稷實有賴焉。」
[名]
祭禮。如：「大饗」、「饗禮」。《禮記．月令》：「以共皇天上帝社稷之饗。」</t>
  </si>
  <si>
    <t>饟</t>
  </si>
  <si>
    <t>[動]
送食物與人。同「餉」。《詩經．周頌．良耜》：「其饟伊黍，其笠伊糾。」
[名]
軍警的薪俸、糧食。同「餉」。《史記．卷八．高祖本紀》：「丁壯苦軍旅，老弱罷轉饟。」《北史．卷七二．李德林傳》：「諸大將授尉遲迥饟金。」</t>
  </si>
  <si>
    <t>向</t>
  </si>
  <si>
    <t>ㄒㄧㄤˋ</t>
  </si>
  <si>
    <t>xiàng</t>
  </si>
  <si>
    <t>[名]
1.北面的窗戶。《說文解字．宀部》：「向，北出牖也。」《詩經．豳風．七月》：「穹窒熏鼠，塞向墐戶。」
2.方位。如：「方向」、「暈頭轉向」。明．徐弘祖《徐霞客遊記．卷四下．黔遊日記》：「南北向皆有脊中亙。」
3.意志之歸趨。如：「志向」、「意向」。
4.國名。周代諸侯國之一。故址約在今大陸地區山東省莒縣南。
5.姓。如晉代有向秀。
[動]
1.對著、朝著。如：「向陽」、「相向」。唐．劉長卿〈餞別王十一南遊〉詩：「飛鳥沒何處，青山空向人。」
2.崇尚、景仰。如：「人心向背」。《史記．卷一二〇．汲黯傳》：「上方向儒術，尊公孫弘。」《新唐書．卷一九七．循吏傳．賈敦頤傳》：「咸亨初，敦實為洛州長史，亦寬惠，人心懷向。」
3.偏袒、偏愛。如：「爸爸總是向著小妹。」
4.臨近、接近。如：「向晚」。唐．白居易〈東坡種花〉詩二首之二：「東坡春向暮，樹木今何如？」
[形]
昔日、從前。晉．陶淵明〈桃花源記〉：「既出，得其船，便扶向路，處處誌之。」唐．白居易〈琵琶行〉：「淒淒不似向前聲。」
[副]
1.一直以來、從來。如：「向來」、「向有研究」。《三國演義》第一四回：「臣向蒙國恩，刻思圖報。」
2.方才、剛才。《金史．卷八五．世宗諸子傳．永功傳》：「向見年少婦人自水邊小徑去矣。」
[介]
表動作的方向、對象。如：「向前看」、「向人請教」。</t>
  </si>
  <si>
    <t>巷</t>
  </si>
  <si>
    <t>[名]
大街旁的小通道。如：「大街小巷」、「街頭巷尾」。也稱為「巷子」、「巷兒」。
[副]
街巷之間的。如：「巷戰」、「街談巷議」。</t>
  </si>
  <si>
    <t>[動]
1.審視、察看。《說文解字．目部》：「相，省視也。」《左傳．隱公十一年》：「量力而行之，相時而動，無累後人。」《喻世明言．卷四〇．沈小霞相會出師表》：「又見沈鍊一表非俗，立住了腳，相了一回。」
2.占視、辨察，以斷吉凶禍福。如：「相字」。《周禮．地官．大司徒》：「以相民宅，而知其利害。」《史記．卷九二．淮陰侯傳》：「相君之面，不過封侯，又危不安。」
3.輔佐、幫助。如：「相夫教子」。《易經．泰卦．象曰》：「輔相天地之宜。」《書經．大誥》：「周公相成王。」
4.掌管、治理。《左傳．昭公九年》：「陳水屬也，火水妃也，而楚所相也。」唐．柳宗元〈梓人傳〉：「是足為佐天子、相天下法矣，物莫近乎此也。」
5.挑選、選擇。《三國演義》第六五回：「良禽相木而棲，賢臣擇主而事。」
[名]
1.容貌、外形、模樣。如：「長相」、「福相」、「吃相」、「窘相」、「窮酸相」。《西遊記》第三五回：「（孫行者）現了本相。」
2.職官名：(1)百官之長，輔佐國君治理國政的人。如：「宰相」、「丞相」、「相國」。(2)古代典禮中，輔導行禮的人。如：「儐相」。《論語．先進》：「宗廟之事，如會同，端章甫，願為小相焉。」
3.攙扶瞎子的人。《荀子．成相》：「人主無賢，如瞽無相。」
4.樂器名。似鼓，敲擊以控制音樂節拍。《禮記．樂記》：「始奏以文，復亂以武，治亂以相。」漢．鄭玄．注：「相，即拊也，亦以節樂。拊者以韋為表，裝之以糠。糠，一名相，因以名焉。」</t>
  </si>
  <si>
    <t>(一)ㄒㄧㄤ xiāng（07180）</t>
  </si>
  <si>
    <t>項</t>
  </si>
  <si>
    <t>[名]
1.頸的後部。如：「秀髮垂項」、「望其項背」。《史記．卷一〇七．魏其武安侯傳》：「籍福起為謝，案灌夫項，令謝。」
2.脖子。《左傳．成公十六年》：「王召養由基，與之兩矢，使射呂錡，中項，伏弢。」唐．駱賓王〈詠鵝〉詩：「鵝鵝鵝，曲項向天歌。」
3.條款、種類。如：「注意事項」、「逐項討論」、「這項內容有待商榷。」
4.經費。如：「款項」、「用項」。
5.量詞。計算事物分類或件數的單位。如：「女子七項運動」、「十項建設」。
6.姓。如秦代有項羽。
[形]
肥大。《詩經．小雅．節南山》：「駕彼四牡，四牡項領。」漢．毛亨．傳：「項，大也。」</t>
  </si>
  <si>
    <t>缿</t>
  </si>
  <si>
    <t>[名]
1.存錢用的瓦製或竹製器具，口小，易入難出。《說文解字．缶部》：「缿，受錢器也。古以瓦，今以竹。」
2.古代收受告密文書的器具。《玉篇．缶部》：「缿，如瓨，可受板書筩，令密事。」《漢書．卷七六．趙廣漢傳》：「教吏為缿筩，及得投書，削其主名，而託以為豪桀大姓子弟所言。」唐．劉禹錫〈答饒州元使君書〉：「缿筩之機或行，則姦不敢欺，此政之助也。」</t>
  </si>
  <si>
    <t>銗</t>
  </si>
  <si>
    <t>[名]
古代用來收受告密文書的器具。同「缿」。《史記．卷一二二．酷吏傳．楊僕傳》：「吏苛察，盜賊惡少年投銗購告言姦。」</t>
  </si>
  <si>
    <t>象</t>
  </si>
  <si>
    <t>[名]
1.動物名。哺乳綱長鼻目。力強，性溫馴。皮厚，毛少，耳大，鼻長圓筒狀，能伸捲自如，有一對長門牙自口伸出。產於印度、非洲等熱帶地區。現生存者有非洲象與亞洲象二種，前者凶野難馴，後者則溫馴。俗稱為「大象」。
2.形狀、樣子、狀態。如：「景象」、「圖象」、「天象」、「氣象」。
3.法令、法律。《國語．齊語》：「設象以為民紀，式權以相應。」
4.《易經》十翼之一。參見「象傳」條。
5.古代一種執干戈作擊刺狀的舞蹈。《詩經．周頌．維清．序》：「〈維清〉，奏象舞也。」漢．鄭玄．箋：「象舞，象用兵時刺伐之舞，武王制焉。」
6.姓。如秦代有象武。
[動]
1.相似。通「像」。唐．李白〈古風〉詩五九首之三：「額鼻象五嶽，揚波噴雲雷。」
2.摹擬、效法。《左傳．襄公三十一年》：「君有君之威儀，其臣畏而愛之，則而象之，故能有其國家。」《漢書．卷三〇．藝文志》：「教之六書，謂象形、象事、象意、象聲、轉注、假借。」</t>
  </si>
  <si>
    <t>像</t>
  </si>
  <si>
    <t>[名]
1.形貌、模樣。《淮南子．主術》：「此皆有充於內而成像於外。」元．王實甫《西廂記．第一本．第四折》：「外像兒風流，青春年少；內性兒聰明，冠世才學。」
2.人物的圖畫或雕塑。如：「人像」、「畫像」、「雕像」。
[動]
1.相似。如：「他的眼睛像父親。」漢．王充《論衡．非韓》：「作為操止，像類賢行，以取升進。」
2.如、比如，推測或譬喻之詞。如：「像他這樣的人，並不可靠。」、「像今天的事，就是最好的例子。」</t>
  </si>
  <si>
    <t>橡</t>
  </si>
  <si>
    <t>[名]
櫟樹的果實。俗稱為「橡子」。參見「橡實」條。</t>
  </si>
  <si>
    <t>[名]
1.從前、往日。《荀子．正論》：「天下厭然，與鄉無以異也。」
2.方位、方向。《韓非子．內儲說上》：「夫矢來有鄉，則積鐵以備一鄉。」
[動]
1.朝向、面向。《左傳．僖公三十三年》：「秦伯素服郊次，鄉師而哭。」《漢書．卷四〇．張良傳》：「雒陽東有成皋，西有殽黽，背河鄉雒，其固亦足恃。」
2.趨向、傾向。同「嚮」。《漢書．卷一〇．成帝紀》：「民彌惰怠，鄉本者少，趨末者眾，將何以矯之？」
[副]
昔日、以前。《論語．顏淵》：「鄉也，吾見於夫子而問知。」</t>
  </si>
  <si>
    <t>(一)ㄒㄧㄤ xiāng（07187）</t>
  </si>
  <si>
    <t>曏</t>
  </si>
  <si>
    <t>[副]
從前、往昔。通「向」。《儀禮．士相見禮》：「曏者，吾子辱使某見，請還摯於將命者。」漢．鄭玄．注：「曏，曩也。」
[動]
明、表明。《莊子．秋水》：「證曏今故，故遙而不悶，掇而不跂，知時無止。」</t>
  </si>
  <si>
    <t>蠁</t>
  </si>
  <si>
    <t>[名]
蛹中蟲。《廣韻．上聲．養韻》：「蠁，蛹中蟲也。」</t>
  </si>
  <si>
    <t>嚮</t>
  </si>
  <si>
    <t>[動]
1.面對。通「向」。唐．柳宗元〈梓人傳〉：「或執斧斤，或執刀鋸，皆環立嚮之。」
2.傾向。《史記．卷四七．孔子世家》：「雖不能至，然心嚮往之。」
3.引導。如：「嚮導」。
[副]
從前。漢．劉向《說苑．卷一．君道》：「嚮使宋人不聞君子之語，則年穀未豐而國未寧。」唐．柳宗元〈始得西山宴游記〉：「然後知吾嚮之未始游，游於是乎始。」</t>
  </si>
  <si>
    <t>樣</t>
  </si>
  <si>
    <t>同「橡」。</t>
  </si>
  <si>
    <t>(一)ㄧㄤˋ yàng（11164）</t>
  </si>
  <si>
    <t>狌</t>
  </si>
  <si>
    <t>ㄒㄧㄥ</t>
  </si>
  <si>
    <t>xīng</t>
  </si>
  <si>
    <t>[名]_x000D_
同「猩」。參見「猩猩」條。《山海經．南山經》：「有獸焉，其狀如禺而白耳，伏行人走，其名曰狌狌，食之善走。」清．卞永譽《式古堂書畫彙考．卷二九．書二十九．袁華．泉南兩義士歌》：「重樓複閣山之隅，鳥道百折非一涂。雲旂晝下狌蝯呼，鉤輈格磔啼鷓鴣。」</t>
  </si>
  <si>
    <t>(一)ㄕㄥ shēng（09025）</t>
  </si>
  <si>
    <t>星</t>
  </si>
  <si>
    <t>[名]
1.宇宙中會發光或反射光的天體。如：「恆星」、「行星」、「哈雷彗星」、「月明星稀」。唐．杜甫〈旅夜書懷〉詩：「星垂平野闊，月湧大江流。」唐．李商隱〈常娥〉詩：「雲母屏風燭影深，長河漸落曉星沉。」
2.比喻細碎或發亮的東西。如：「油星水點」、「眼冒金星」。唐．孟郊〈寒溪〉詩九首之四：「篙工磓玉星，一路隨迸螢。」
3.比喻為人所崇拜、注目，或是某事的主要人物。如：「歌星」、「明星」、「影視紅星」、「救星」、「壽星」。
4.鑲在秤桿上，用以標誌斤、兩、錢的小點。如：「秤星」。唐．賈島〈贈牛山人〉詩：「鑿石養蜂休買蜜，坐山秤藥不爭星。」
5.姓。如春秋時有星子韋。
[形]
1.細微、細小。如：「零星」、「星火燎原」。唐．盧照鄰〈晚渡渭橋寄示京邑遊好〉詩：「長虹掩釣浦，落雁下星洲。」
2.色白如星。南朝齊．謝朓〈詠風詩〉：「時拂孤鸞鏡，星鬢視參差。」
[副]
1.量多且四處散布。如：「星羅棋布」。《文選．班固．西都賦》：「列卒周匝，星羅雲布。」
2.如流星般疾速。《三國志．卷五八．吳書．陸遜傳》：「舳艫千里，星奔電邁，俄然行至。」晉．潘岳〈世祖武帝皇帝誄〉：「羽檄星馳，鉦鼓日戒。」</t>
  </si>
  <si>
    <t>惺</t>
  </si>
  <si>
    <t>參見「惺惺」、「惺忪」等條。</t>
  </si>
  <si>
    <t>(二)ㄒㄧㄥˇ xǐng（07246）</t>
  </si>
  <si>
    <t>猩</t>
  </si>
  <si>
    <t>[名]
參見「猩猩」條。
[形]
色紅如猩血。唐．韓偓〈已涼〉詩：「碧闌杆外繡簾垂，猩色屏風畫折枝。」《紅樓夢》第一回：「俄而大轎內抬著一個烏紗猩袍的官府過去。」</t>
  </si>
  <si>
    <t>腥</t>
  </si>
  <si>
    <t>[名]
1.生肉。《論語．鄉黨》：「君賜腥，必熟而薦之。」
2.魚、肉所發出的刺鼻氣味。如：「腥膻」、「葷腥」。
[形]
1.氣味刺鼻難聞。如：「腥臭」。漢．王充《論衡．量知》：「粟未為米，米未成飯，氣腥未熟，食之傷人。」
2.汙穢、醜惡。《國語．周語上》：「其政腥臊，馨香不登。」</t>
  </si>
  <si>
    <t>醒</t>
  </si>
  <si>
    <t>(一)ㄒㄧㄥˇ xǐng（07247）</t>
  </si>
  <si>
    <t>興</t>
  </si>
  <si>
    <t>[動]
1.事情的發生或出現。如：「興起」。《呂氏春秋．孝行覽．義賞》：「姦偽賊亂貪戾之道興。」《史記．卷二四．樂書》：「而淫樂興焉。」
2.發動。如：「興師問罪」。《左傳．哀公二十六年》：「大尹興空澤之士千甲。」
3.創立、建造。如：「興辦」、「興建」、「興學」。唐．韓愈〈與孟尚書書〉：「及秦滅漢興且百年。」
4.流行、盛行。如：「現在時興健康食品。」《紅樓夢》第二七回：「然閨中更興這件風俗。」
5.起來、起身。《詩經．衛風．氓》：「夙興夜寐，靡有朝矣。」《論語．衛靈公》：「從者病，莫能興。」
[形]
昌盛。如：「興隆」、「興盛」。
[名]
姓。如漢代有興渠。</t>
  </si>
  <si>
    <t>(二)ㄒㄧㄥˋ xìng（07259）</t>
  </si>
  <si>
    <t>騂</t>
  </si>
  <si>
    <t>[名]_x000D_
紅色毛的馬。《廣韻．平聲．清韻》：「騂，馬赤色也。」《詩經．魯頌．駉》：「有騂有騏，以車伾伾。」_x000D_
[形]_x000D_
紅色的。《論語．雍也》：「犁牛之子騂且角。」唐．杜甫〈遣興〉詩五首之二：「騂弓金爪鏑，白馬蹴微雪。」</t>
  </si>
  <si>
    <t>(一)ㄒㄧㄣ xīn（07166）</t>
  </si>
  <si>
    <t>刑</t>
  </si>
  <si>
    <t>ㄒㄧㄥˊ</t>
  </si>
  <si>
    <t>xíng</t>
  </si>
  <si>
    <t>[名]_x000D_
1.法律上處罰罪犯方法的總稱。如：「刑罰」、「死刑」、「徒刑」。《論語．為政》：「道之以政，齊之以刑，民免而無恥。」_x000D_
2.常法、典範。通「型」。《詩經．大雅．抑》：「罔敷求先王，克共明刑。」_x000D_
[動]_x000D_
1.殺害。《史記．卷八六．刺客列傳．聶政》：「重自刑以絕從。」《呂氏春秋．慎大覽．順說》：「刑人之父子。」_x000D_
2.取法、效法。《禮記．禮運》：「刑仁講讓，示民有常。」_x000D_
3.正。通「型」。《詩經．大雅．思齊》：「刑于寡妻，至于兄弟，以御于家邦。」</t>
  </si>
  <si>
    <t>形</t>
  </si>
  <si>
    <t>[名]
1.實體、身體。如：「有形」、「無形」、「形影不離」。《呂氏春秋．先識覽．去宥》：「人之老也，形益衰，而智益盛。」
2.樣子、樣貌。如：「圓形」、「形象」、「形態」、「形容」。《孫子．虛實》：「故兵無常勢，水無常形。」《晉書．卷一一四．苻堅載記下》：「又北望八公山上草木，皆類人形。」
3.狀況。如：「情形」。
4.地勢。如：「地形」、「形勢」。《史記．卷八．高祖本紀》：「秦，形勝之國，帶山之險。」
[動]
1.表現、顯現。如：「喜形於色」、「形之於外」。《禮記．樂記》：「感於物而動，故形於聲。」南朝梁．蕭統〈文選序〉：「情動於中而形於言。」
2.構成、變成。《管子．牧民》：「惟有道者，能備患於未形也，故禍不萌。」
3.描寫。如：「形容」、「難以形於筆墨」。
4.比較、對照。如：「相形見絀」。《淮南子．齊俗》：「故高下之相傾也，短脩之相形也，亦明矣。」</t>
  </si>
  <si>
    <t>邢</t>
  </si>
  <si>
    <t>[名]
1.國名。春秋時之邢國，為周公子的封地，故址約在今大陸地區河北省邢臺縣。
2.姓。如宋代有邢昺。</t>
  </si>
  <si>
    <t>型</t>
  </si>
  <si>
    <t>[名]
1.鑄造器物的模子。如：「模型」、「紙型」。《淮南子．脩務》：「明鏡之始下型，矇然未見形容。」
2.典範、法式。如：「典型」。
3.式樣、種類。如：「血型」、「新型」、「髮型」、「臉型」、「流線型」。</t>
  </si>
  <si>
    <t>硎</t>
  </si>
  <si>
    <t>[名]
磨刀石。《莊子．養生主》：「今臣之刀，十九年矣，所解數千牛矣，而刀刃若新發於硎。」《聊齋志異．卷二．巧娘》：「發硎新試，其快可知。」</t>
  </si>
  <si>
    <t>[名]
1.古代的一種酒器。外形似鐘，長頸。《說文解字．金部》：「鈃，似鍾而長頸。」清．段玉裁．注：「古酒鍾有腹有頸，蓋大其下，小其上也。」
2.古代用來盛羹湯的器具。通「鉶」。《新唐書．卷一一．禮樂志一》：「簋、鈃、籩、豆在堂上，俱東側階之北。」</t>
  </si>
  <si>
    <t>(二)ㄐㄧㄢ jiān（05731）</t>
  </si>
  <si>
    <t>鉶</t>
  </si>
  <si>
    <t>[名]
1.古代祭祀時，用來盛菜和羹的器皿。形如小鼎，兩耳三足，有蓋。《廣韻．平聲．青韻》：「鉶，祭器。」《禮記．禮運》：「實其簠、簋、籩、豆、鉶、羹。」漢．鄭玄．注：「鈃本又作鉶，盛和羹器，形如小鼎。」
2.菜羹。《儀禮．士虞禮》：「設一鉶于豆南，佐食出立于戶西。」漢．鄭玄．注：「鉶，菜羹也。」</t>
  </si>
  <si>
    <t>[動]_x000D_
1.走、走路。如：「直行」、「寸步難行」、「錦衣夜行」。《論語．述而》：「三人行，必有我師焉？」唐．王維〈終南別業〉詩：「行到水窮處，坐看雲起時。」_x000D_
2.往。《詩經．秦風．無衣》：「脩我甲兵，與子偕行。」唐．杜甫〈奉濟驛重送嚴公四韻〉：「幾時杯重把，昨夜月同行。」_x000D_
3.移動、流動。如：「運行」。《易經．乾卦》：「《象》曰：『天行健，君子以自強不息。』」唐．杜甫〈夢李白〉詩二首之二：「浮雲終日行，遊子久不至。」_x000D_
4.流通。如：「流行」、「風行一時」、「通行全國」、「發行報刊」。《左傳．襄公二十五年》：「言之無文，行而不遠。」_x000D_
5.做、從事。如：「行醫」、「行善」。《左傳．隱公元年》：「多行不義必自斃。」_x000D_
6.實施、實行。《易經．繫辭上》：「推而行之謂之通。」唐．孔穎達．正義：「因推此以可變而施行之，謂之通也。」《老子》第四一章：「上士聞道，勤而行之。」_x000D_
7.同意、允許。多用於徵詢意見。如：「今天中午我想吃麵，行不行？」《小五義》第二一回：「蔣爺說：『咱們到底說下個時候。』柳爺說：『限你三晝夜的工夫，行不行？』」_x000D_
8.經歷、經過。《管子．問》：「城粟軍糧，其可以行幾何年也？」唐．房玄齡．注：「行，由經也。」_x000D_
9.出嫁。《詩經．邶風．泉水》：「女子有行，遠父母兄弟。」_x000D_
[名]_x000D_
1.道路。《詩經．小雅．小弁》：「行有死人，尚或墐之。」_x000D_
2.路程。《老子》第六四章：「九層之臺，起於累土；千里之行，始於足下。」_x000D_
3.行為。《荀子．不苟》：「庸言必信之，庸行必慎之。」《禮記．樂記》：「禮以道其志，樂以和其聲，政以一其行，刑以防其姦。」_x000D_
4.行書的簡稱。如：「行草」、「行楷」。_x000D_
5.一種樂府和古詩的體裁。如：〈短歌行〉、〈琵琶行〉、〈飲馬長城窟行〉。_x000D_
6.量詞。計算酌酒奉客的單位。漢．揚雄《法言．修身》：「賓主百拜，而酒三行。」宋．司馬光〈訓儉示康〉：「客至未嘗不置酒，或三行五行，多不過七行。」_x000D_
7.姓。如漢代有行宏。_x000D_
8.二一四部首之一。_x000D_
[形]_x000D_
1.能幹、幹練。如：「你真行。」「他在這方面行得很。」_x000D_
2.可以、恰當。如：「他這篇文章寫得還行。」「做事只要盡心盡力就行了。」《朱子語類．卷三三．論語一五．雍也篇四》：「如讀書，要理會得透徹；做事，亦要做得行。」_x000D_
[副]_x000D_
不久、將要。如：「行將就木」。唐．元稹〈遣悲懷〉詩三首之二：「衣裳已施行看盡，針線猶存未忍開。」_x000D_
[連]_x000D_
且、又。三國魏．曹丕〈與吳質書〉：「既痛逝者，行自念也。」</t>
  </si>
  <si>
    <t>(二)ㄒㄧㄥˋ xìng（07249）(三)ㄏㄤˊ háng（04903）(四)ㄏㄤˋ hàng（04913）</t>
  </si>
  <si>
    <t>娙</t>
  </si>
  <si>
    <t>[形]
女子身材修長美好。《說文解字．女部》：「娙，長好也。」《廣韻．平韻．青韻》：「娙，女長貌。」</t>
  </si>
  <si>
    <t>陘</t>
  </si>
  <si>
    <t>[名]
1.山脈中斷的地方。《爾雅．釋山》：「山絕，陘。」宋．邢昺．疏：「謂山形連延中忽斷絕者。」《文選．謝靈運．從斤竹澗越嶺溪行》：「逶迤傍隈隩，苕遞陟陘峴。」宋．王安石〈雨花臺〉詩：「盤互長干有絕陘，并包佳麗入江亭。」
2.灶的邊緣，可放置器物的地方。清．王念孫《廣雅疏證．卷七上．釋宮》：「寤謂之灶，其脣謂陘。」《禮記．月令》「其祀灶」句下唐．孔穎達．正義：「灶陘，謂灶邊承器之物，以土為之。」</t>
  </si>
  <si>
    <t>滎</t>
  </si>
  <si>
    <t>[名]
古代的沼澤名稱。漢朝時已堙塞為平地，約在今大陸地區河南省滎澤縣治南。</t>
  </si>
  <si>
    <t>(二)ㄧㄥˊ yíng（11193）</t>
  </si>
  <si>
    <t>[名]
麥芽糖。明．李時珍《本草綱目．卷二五．穀部．飴糖》：「《集解》：韓保昇曰：『飴，即軟糖也，北人謂之餳。』時珍曰：『飴餳用麥糱或穀芽同諸米熬煎而成，古人寒食多食餳，故醫方亦收用之。』」
[形]
1.麵團或糖塊變軟。如：「這塊糖餳了，不好吃。」、「這塊麵團有點餳。」
2.眼睛半睜半閉或呆滯無神。如：「他眼睛有點兒餳，想是睏了。」</t>
  </si>
  <si>
    <t>(二)ㄊㄤˊ táng（02598）</t>
  </si>
  <si>
    <t>省</t>
  </si>
  <si>
    <t>ㄒㄧㄥˇ</t>
  </si>
  <si>
    <t>xǐng</t>
  </si>
  <si>
    <t>[動]
1.檢討、審察。如：「內省」、「反省」。《論語．學而》：「吾日三省吾身。」
2.探望、問候。如：「晨昏定省」。《紅樓夢》第八三回：「前兒貴妃娘娘省親回來，我們還親見他帶了幾車金銀回來。」
3.明瞭、領悟。《史記．卷五五．留侯世家》：「良為他人言，皆不省。」元．王實甫《西廂記．第一本．第三折》：「雖然是眼角兒傳情，喒兩個口不言，心自省。」
4.考校。《禮記．中庸》：「日省月試。」
5.記得、記住。如：「記省」。元．孫仲章《勘頭巾．楔子》：「全不省上青驄，只記得金鍾漫捧，直勸我喫的到喉嚨。」</t>
  </si>
  <si>
    <t>(一)ㄕㄥˇ shěng（09035）</t>
  </si>
  <si>
    <t>[動]
覺悟、清醒。《廣韻．上聲．靜韻》：「惺，惺悟。」《抱朴子．內篇．極言》：「始皇惺悟，信世間之必有仙道。」</t>
  </si>
  <si>
    <t>(一)ㄒㄧㄥ xīng（07226）</t>
  </si>
  <si>
    <t>[動]
1.酒醉或昏迷後恢復正常。如：「甦醒」、「清醒」。《左傳．僖公二十三年》：「醉而遣之。醒，以戈逐子犯。」
2.睡眠狀態結束或尚未入睡。如：「你還醒著嗎？」。唐．韓愈〈東都遇春〉詩：「朝曦入牖來，鳥喚昏不醒。」
3.覺悟、明白。如：「覺醒」、「醒悟」。
[形]
顯明、清楚。如：「醒目」、「醒眼」。</t>
  </si>
  <si>
    <t>(二)（又音）ㄒㄧㄥ xīng（07229）</t>
  </si>
  <si>
    <t>擤</t>
  </si>
  <si>
    <t>[動]_x000D_
按壓或捏住鼻子，用力出氣，以排除鼻中異物。如：「擤鼻涕」。《五音集韻．上聲．梗韻》：「擤，捻鼻中齈也。」《俗書刊誤．卷一一．俗用雜字》：「手捻鼻膿曰擤。」</t>
  </si>
  <si>
    <t>ㄒㄧㄥˋ</t>
  </si>
  <si>
    <t>xìng</t>
  </si>
  <si>
    <t>[名]
行為舉止。如：「品行」、「操行」、「獸行」、「德行」。《論語．公冶長》：「聽其言而觀其行。」</t>
  </si>
  <si>
    <t>(一)ㄒㄧㄥˊ xíng（07240）(三)ㄏㄤˊ háng（04903）(四)ㄏㄤˋ hàng（04913）</t>
  </si>
  <si>
    <t>荇</t>
  </si>
  <si>
    <t>參見「荇菜」條。</t>
  </si>
  <si>
    <t>杏</t>
  </si>
  <si>
    <t>[名]
植物名。薔薇科李屬，落葉喬木。樹皮帶赤色。葉芽側生，葉卵形。三月開花，花常單生，白色或淡紅色、葉像梅。核果扁圓形，淡黃色，肥厚、味稍酸。核仁，可食亦可入藥。花與果實也稱為「杏」。</t>
  </si>
  <si>
    <t>莕</t>
  </si>
  <si>
    <t>參見「莕菜」條。</t>
  </si>
  <si>
    <t>性</t>
  </si>
  <si>
    <t>[名]
1.人或物自然具有的本質、本能。如：「本性」、「人性」、「獸性」。《論語．陽貨》：「性相近也，習相遠也。」《荀子．正名》：「生之所以然者謂之性。」
2.事物的特質或功能。如：「毒性」、「藥性」、「磁性」、「韌性」。《左傳．昭公二十五年》：「則天之明，因地之性。」
3.生物的種別或事物的類別。如：「男性」、「雌性」、「陰性」、「陽性」。
4.生命。如：「性命」。《左傳．昭公八年》：「怨讟並作，莫保其性。」宋．辛棄疾〈滿江紅．漢水東流〉詞：「馬革裹屍當自誓，蛾眉伐性休重說。」
5.生殖或情慾。如：「性器官」、「性生活」、「性行為」。
6.脾氣、性情。如：「任性」、「率性而為」。《水滸傳》第一九回：「兄長性直，只是一勇。你道王倫肯收留我們？」
7.範圍、方式。如：「全國性」、「全面性」、「綜合性」、「臨時性」。</t>
  </si>
  <si>
    <t>姓</t>
  </si>
  <si>
    <t>[名]
1.表示個人所屬家族及區別家族系統的符號。如：「姓氏」、「貴姓」、「百家姓」。唐．杜甫〈哀王孫〉詩：「問之不肯道姓名，但道困苦乞為奴。」元．睢景臣〈哨遍．社長排門告示套．尾〉：「白甚麼改了姓，更了名，喚做漢高祖。」
2.姓。如漢代有姓偉。</t>
  </si>
  <si>
    <t>幸</t>
  </si>
  <si>
    <t>[名]
1.福分。如：「榮幸」、「三生有幸」。唐．司空圖〈修史亭〉詩三首之二：「甘心七十且酣歌，自算平生幸已多。」
2.姓。如晉代有幸靈。
[副]
1.意外獲得的。如：「萬幸」。《元史．卷二六．仁宗本紀三》：「諸犯贓罪已款伏及當鞫而幸免者，悉付元問官以竟其罪。」
2.多虧。如：「幸蒙厚愛」、「幸有大家鼎力相助。」《文選．江淹．雜體詩．王侍中》：「去鄉三十載，幸遭天下平。」
[動]
1.高興。如：「慶幸」、「欣幸」、「幸災樂禍」。《公羊傳．宣公十五年》：「小人見人之厄則幸之。」
2.希冀、盼望。《後漢書．卷二九．鮑永傳》：「臣事更始，不能令全，慚以其眾幸富貴，故悉罷之。」
3.舊稱帝王皇族親臨某地。如：「巡幸」、「臨幸」。《紅樓夢》第二三回：「話說賈元春自那日幸大觀園回宮去後，……又命在大觀園勒石，為千古風流雅事。」</t>
  </si>
  <si>
    <t>倖</t>
  </si>
  <si>
    <t>[名]
親信、佞臣。《宋史．卷三八三．虞允文傳》：「自古人主大權，不移於奸臣，則落於近倖。」
[副]
意外獲得的。同「幸」。如：「僥倖」、「倖存」、「倖免於難」。《儒林外史》第三五回：「但不由進士出身，驟躋卿貳，我朝祖宗，無此法度，且開天下以倖進之心。」
[形]
親近的。如：「倖臣」。</t>
  </si>
  <si>
    <t>悻</t>
  </si>
  <si>
    <t>[形]
1.參見「悻悻」條。
2.任性、固執。唐．柳宗元〈東明張先生墓誌〉：「盪莽狠悻，道之非耶？」宋．蘇軾〈次韻答章傳道見贈〉詩：「仄聞長者言，悻直非養壽。」</t>
  </si>
  <si>
    <t>婞</t>
  </si>
  <si>
    <t>[形]
任性、固執。《楚辭．屈原．離騷》：「鮌婞直以亡身兮，終然殀乎羽之野。」《文選．王僧達．祭顏光祿文》：「性婞剛潔。」</t>
  </si>
  <si>
    <t>[名]_x000D_
1.情致、趣味。如：「助興」、「詩興」、「酒興正濃」。《晉書．卷八〇．列傳．王羲之》：「乘興而行，興盡而反。」_x000D_
2.《詩》六義之一。藉他事引領此事的詩歌作法。《周禮．春官宗伯．大師》：「教六詩：曰風，曰賦，曰比，曰興，曰雅，曰頌。」_x000D_
[動]_x000D_
1.快樂、喜悅。如：「高興」。《紅樓夢》第四三回：「你瞧他興的這樣兒。」_x000D_
2.喜歡、喜愛。《禮記．學記》：「不興其藝，不能樂學。」_x000D_
3.比喻。《論語．陽貨》：「詩可以興，可以觀，可以群，可以怨。」</t>
  </si>
  <si>
    <t>(一)ㄒㄧㄥ xīng（07230）</t>
  </si>
  <si>
    <t>于</t>
  </si>
  <si>
    <t>ㄒㄩ</t>
  </si>
  <si>
    <t>xū</t>
  </si>
  <si>
    <t>[歎]
表示感嘆的意思。通「吁」。《詩經．周南．麟之趾》：「于嗟麟兮。」</t>
  </si>
  <si>
    <t>(一)ㄩˊ yú（11557）</t>
  </si>
  <si>
    <t>吁</t>
  </si>
  <si>
    <t>[歎]
表示驚嘆、疑怪的意思。《玉篇．口部》：「吁，疑怪之辭，驚語也。」《文選．張衡．東京賦》：「吁！漢帝之德，侯其褘而。」唐．韓愈〈進學解〉：「吁！子來前！夫大木為杗，細木為桷。」
[動]
嘆息。如：「長吁短嘆」。唐．李白〈古風〉詩五九首之五六：「獻君君按劍，懷寶空長吁。」宋．劉宰〈野犬行〉：「過者且勿嘆，聞者且莫吁。」
[形]
憂愁。《詩經．周南．卷耳》：「我僕痡矣，云何吁矣。」</t>
  </si>
  <si>
    <t>旴</t>
  </si>
  <si>
    <t>[形]
太陽剛出來的樣子。《廣韻．平聲．虞韻》：「旴，日始出貌。」</t>
  </si>
  <si>
    <t>盱</t>
  </si>
  <si>
    <t>[動]
睜開眼睛凝視。唐．韓愈〈謁衡嶽廟遂宿嶽寺題門樓〉詩：「廟令老人識神意，睢盱偵伺能鞠躬。」
[形]
1.大的。通「訏」。《漢書．卷八五．谷永傳》：「又廣盱營表，發人冢墓，斷截骸骨，暴揚尸柩。」顏師古注引晉灼曰：「盱，大也。」
2.憂愁。《詩經．小雅．都人士》：「我不見兮，云何盱矣。」
[名]
姓。如晉代有盱烈。</t>
  </si>
  <si>
    <t>訏</t>
  </si>
  <si>
    <t>[形]
1.詭詐。《說文解字．言部》：「訏，詭訛也。」
2.大。《廣韻．平聲．虞韻》：「訏，大也。」《詩經．鄭風．溱洧》：「洧之外，洵訏且樂。」
[名]
誇大的言論。明．張自烈《正字通．言部》：「訏，大言也。」</t>
  </si>
  <si>
    <t>戌</t>
  </si>
  <si>
    <t>[名]
1.地支的第十一位。
2.時辰名。約當晚上七時到九時。</t>
  </si>
  <si>
    <t>欨</t>
  </si>
  <si>
    <t>[動]
吹氣。《說文解字．欠部》：「欨，吹也。」
[形]
欣喜。《文選．嵇康．琴賦》：「其康樂者聞之，則欨愉懽釋，抃舞踊溢。」</t>
  </si>
  <si>
    <t>胥</t>
  </si>
  <si>
    <t>[名]
1.古代掌管捉捕盜賊的官，後泛指小吏。如：「胥吏」。唐．柳宗元〈封建論〉：「是故有里胥而後有縣大夫。」宋．梅堯臣〈田家語〉詩：「里胥扣我門，日夕苦煎促。」
2.姓。如春秋時晉有胥甲。
[動]
1.等待。《孟子．萬章上》：「帝將胥天下而遷之焉。」《史記．卷四十三．趙世家》：「左師觸龍言願見太后，太后盛氣而胥之。」
2.視察。《詩經．大雅．公劉》：「于胥斯原，既庶既繁。」
[副]
1.相、互相。《書經．大誥》：「惟大艱人，誕鄰胥伐于厥室。」《公羊傳．桓公三年》：「胥命者何？相命也。」
2.皆、都。《詩經．小雅．角弓》：「爾之教矣，民胥傚矣。」南朝梁．劉勰《文心雕龍．原道》：「天文斯觀，民胥以傚。」
[助]
語末助詞。表示語氣。《詩經．大雅．韓奕》：「籩豆有且，侯氏燕胥。」</t>
  </si>
  <si>
    <t>揟</t>
  </si>
  <si>
    <t>[動]
濾除水中雜質。《說文解字．手部》：「揟，取水沮也。」清．段玉裁．注：「沮，今之渣字……取水渣者，必浚之漉之，如釃酒然。」</t>
  </si>
  <si>
    <t>楈</t>
  </si>
  <si>
    <t>參見「楈枒」條。</t>
  </si>
  <si>
    <t>稰</t>
  </si>
  <si>
    <t>[名]
晚熟的稻。《字彙．禾部》：「稰，熟穫曰稰，即今晚稻。」《禮記．內則》：「稻、粱、白黍、黃粱、稰、穛。」漢．鄭玄．注：「熟穫曰稰，生穫曰穛。」</t>
  </si>
  <si>
    <t>虛</t>
  </si>
  <si>
    <t>[名]
1.大丘、土山。通「墟」。《說文解字．丘部》：「虛，大丘也。」《詩經．鄘風．定之方中》：「升彼虛矣，以望楚矣。」
2.空間、處所。《莊子．秋水》：「井蛙不可以語於海者，拘於虛也。」
3.孔穴、空隙。《淮南子．氾論》：「若循虛而出入，則亦無能履也。」漢．高誘．注：「虛，孔竅也。」
4.弱勢。如：「趁虛而入。」
5.天空。唐．劉禹錫〈八月十五日夜桃源玩月〉詩：「碧虛無雲風不起，山上長松山下水。」宋．蘇軾〈赤壁賦〉：「浩浩乎如馮虛御風，而不知其所止。」
6.方位。《易經．繫辭下》：「為道也屢遷，變動不居，周流六虛。」
7.星宿名。二十八星宿之一，為北方玄武七宿的第四宿。
8.星官名，虛宿之首，由兩顆星組成，在西方分屬寶瓶與小馬座。《晉書．卷一一．天文志上》：「虛二星，冢宰之官也，主北方邑居廟堂祭祀祝禱事，又主死喪哭泣。」
[動]
空缺、空出。如：「虛位以待」。《史記．卷七七．魏公子列傳》：「公子從車騎，虛左，自迎夷門侯生。」唐．李商隱〈賈生〉詩：「可憐夜半虛前席，不問蒼生問鬼神。」
[形]
1.空。如：「盈虛」、「空虛」。唐．姚合〈莊居野行〉詩：「我倉常空虛，我田生蒺藜。」
2.不自滿、不驕傲。如：「虛心」、「虛懷若谷」。《晉書．卷五八．列傳．周訪》：「性謙虛，未嘗論功伐。」
3.衰弱。如：「氣虛」、「身體虛弱」、「她的身子很虛。」
4.不真實的。如：「虛名」。唐．白居易〈長恨歌〉：「忽聞海上有仙山，山在虛無縹緲間。」
5.心愧氣餒而膽怯。如：「膽虛」、「作賊心虛。」
[副]
白白的、空的、徒然。如：「彈無虛發」、「虛晃一招」。唐．李商隱〈安定城樓〉詩：「賈生年少虛垂淚，王粲春來更遠遊。」</t>
  </si>
  <si>
    <t>墟</t>
  </si>
  <si>
    <t>[名]
1.大土堆。《孔子家語．卷六．執轡》：「墟土之人大，沙土之人細。」唐．韓愈〈圬者王承福傳〉：「有一至者焉，又往過之，則為墟矣。」
2.荒廢的城市、村落。如：「廢墟」、「殷墟」。《戰國策．齊策六》：「破燕兵，復齊墟。」明．梅鼎祚《玉合記》第二十七齣：「閭里成墟，門庭易主。」
3.泛指村莊、村落。晉．陶淵明〈歸園田居〉詩五首之一：「曖曖遠人村，依依墟里煙。」唐．王維〈渭川田家〉詩：「斜光照墟落，窮巷牛羊歸。」
4.農村定期的市集。如：「牛墟」、「趕墟」。
[動]
毀滅。《史記．卷四十一．越王句踐世家》：「王不聽諫，後三年吳其墟乎！」</t>
  </si>
  <si>
    <t>噓</t>
  </si>
  <si>
    <t>[動]
1.緩緩吐氣。《莊子．齊物論》：「南郭子綦隱机而坐，仰天而噓。」唐．韓愈〈雜說〉：「龍，噓氣成雲，雲固弗靈於龍也。」
2.嘆氣、感嘆。如：「唏噓不已」。
3.讚美、稱讚。如：「自我吹噓」。
4.問候。如：「噓寒問暖」。
5.被火或熱氣熏炙。如：「小心！別噓著手了。」
[形]
鄙斥或警惕的。如：「噓聲四起」。
[歎]
表示制止或驅逐的意思。如：「噓！別出聲。」</t>
  </si>
  <si>
    <t>歔</t>
  </si>
  <si>
    <t>[動]
1.張口或由鼻孔出氣。《老子》第二十九章：「故物或行或隨，或歔或吹。」
2.嘆息、抽氣。唐．杜甫〈羌村〉詩：「鄰人滿牆頭，感歎亦歔欷。」</t>
  </si>
  <si>
    <t>須</t>
  </si>
  <si>
    <t>[名]_x000D_
1.生在下巴的鬍子。後泛指鬍鬚、動物的觸鬚。通「鬚」。《說文解字．須部》：「須，頤下毛也。」《漢書．卷一．高帝紀上》：「高祖為人，隆準而龍顏，美須髯。」漢．司馬相如〈子虛賦〉：「乘彫玉之輿，靡魚須之橈旃。」宋．黃庭堅〈南安巖主定應大師真贊〉：「白帽素履，須髮皤皤。壽八十二，與世同波。」_x000D_
2.片刻、短暫的時間。《荀子．王制》：「賢能不待次而舉，罷不能不待須而廢。」《禮記．中庸》：「道也者，不可須臾離也。」三國魏．曹植〈贈白馬王彪〉詩：「變故在斯須，百年誰能持？」_x000D_
3.姓。如戰國時魏有須賈。_x000D_
[動]_x000D_
1.等待。《左傳．成公二年》：「師敗矣，子不少須，眾懼盡。」《後漢書．卷四七．班梁列傳．班超》：「長史亦於此西歸，可須夜鼓聲而發。」_x000D_
2.遲緩、延緩。《荀子．禮論》：「故天子七月，諸侯五月，大夫三月，皆使其須足以容事。」王先謙集解引王引之曰：「須者，遲也，《論語》：『樊須字遲』。其期使足以容事也。」_x000D_
3.需要、需求。《韓非子．解老》：「夫君子取情而去貌，好質而惡飾。夫恃貌而論情者，其情惡也；須飾而論質者，其質衰也。」唐．杜甫〈客從〉詩：「緘之篋笥久，以俟公家須。」_x000D_
4.止。《書經．五子之歌．序》：「太康失邦，昆弟五人，須於洛汭。」清．孫星衍．注：「須，馬云：『止也。』」_x000D_
5.用。漢．王充《論衡．自紀》：「且禮有所不待，事有所不須。」宋．蘇軾〈與范子豐〉詩六首之六：「昏嫁所須，不可奈何。」_x000D_
6.是。宋．王安石〈見鸚鵡戲作〉詩：「直須強學人間語，舉世無人解鳥言。」元．王實甫《麗春堂》第二折：「我與那左丞相是兄弟，我和你須叔姪。」_x000D_
[副]_x000D_
1.應當、一定、必要。唐．李白〈將進酒〉：「人生得意須盡歡，莫使金樽空對月。」唐．杜甫〈聞官軍收河南河北〉詩：「白日放歌須縱酒，青春作伴好還鄉。」_x000D_
2.終究。唐．王建〈歲晚自感〉詩：「一向破除愁不盡，百方回避老須來。」宋．楊萬里〈前苦寒歌〉：「勸君莫出君須出，冰脫君髯折君骨。」_x000D_
3.可、可是。表示加強語氣。《水滸傳》第二一回：「我須不曾冤你做賊。」《二刻拍案驚奇》卷二九：「我須不識字，寫不得。」_x000D_
4.大概。《董西廂》卷一：「聞說貴州天下沒，有甚希奇景物？你須知處。」_x000D_
[連]_x000D_
但，但是。表示轉折。宋．朱敦儒〈水調歌頭．中秋一輪月〉詞：「都緣人意，須道今夕別般明。」《三國演義》第五二回：「今公子在江夏，須不在這裡。」</t>
  </si>
  <si>
    <t>嬃</t>
  </si>
  <si>
    <t>[名]
古時楚人對姊姊的稱呼。《楚辭．屈原．離騷》：「女嬃之嬋媛兮，申申其詈予。」漢．王逸．注：「女嬃，屈原姊也。」</t>
  </si>
  <si>
    <t>鬚</t>
  </si>
  <si>
    <t>[名]
1.生在下巴或嘴邊的毛。如：「鬍鬚」、「捋鬚」、「鬚髯」。唐．李華〈弔古戰場文〉：「積雪沒脛，堅冰在鬚。」元．劉時中〈端正好．既官府甚清明套．六煞〉：「常想著半江春水翻風浪，愁得一夜秋霜染鬢鬚。」
2.動物的觸鬚。如：「羊鬚」、「鼠鬚」、「捋虎鬚」。唐．韓偓〈已涼〉詩：「八尺龍鬚方錦褥，已涼天氣未寒時。」
3.植物的芒、花蕊或細根。如：「參鬚」、「花鬚」。晉．潘岳〈芙蓉賦〉：「丹煇拂紅，飛鬚垂的。」
[形]
疏細像鬚的。如：「鬚根」。</t>
  </si>
  <si>
    <t>需</t>
  </si>
  <si>
    <t>[動]_x000D_
1.等待。《說文解字．雨部》：「需，䇓也。」清．段玉裁．注：「䇓者，待也。」《易經．需卦．象曰》：「需于郊，不犯難行也。」_x000D_
2.有所欲求。如：「需求」、「需索」、「需要」。_x000D_
3.對事物有所欲求。清．李漁《閒情偶寄．卷一三．種植部．藤本．素馨》：「素馨一種，花之最弱者也，無一枝一莖不需扶植，予嘗謂之『可憐花』。」《文明小史》第一回：「他見我們地方官以禮相待，就是有點需索。」_x000D_
[名]_x000D_
1.遲疑。《左傳．哀公四年》：「需，事之賊也。」晉．杜預．注：「言需疑則害事。」南朝梁．劉勰《文心雕龍．附會》：「率故多尤，需為事賊。」_x000D_
2.費用、給用。《三國演義》第一三回：「糧食軍需，謹當應付。」《文明小史》第五一回：「饒鴻生卻毫不介意，趕著寫信到家裡匯出二萬銀子，以備路上不時之需。」_x000D_
3.《易經》卦名。六十四卦之一。乾（☰）下坎（☵）上。象有險在前，需待乃進之義。</t>
  </si>
  <si>
    <t>(二)ㄖㄨˊ rú（09279）</t>
  </si>
  <si>
    <t>繻</t>
  </si>
  <si>
    <t>[名]
1.彩色的絲織品。《說文解字．糸部》：「繻，繒采色也。」
2.精緻細密的絲織品。《抱朴子．外篇．疾謬》：「舉足不離綺繻紈褲之側，游步不去勢利酒客之門。」
3.古代以割裂的繻，作為出入關隘的憑證。《漢書．卷六十四．終軍傳下》：「步入關，關吏予軍繻。」顏師古注引蘇林曰：「繻，帛邊也。舊關出入皆以傳，傳須（煩），因裂繻頭合以為符信也。」唐．元稹〈奉和權相公行次臨闕驛逢鄭僕射相公歸朝俄頃分途因以奉贈詩十四韻〉：「棧閣纔傾蓋，關門已合繻。」</t>
  </si>
  <si>
    <t>(二)（又音）ㄖㄨˊ rú（09289）</t>
  </si>
  <si>
    <t>嘔</t>
  </si>
  <si>
    <t>[動]
張口呵氣使溫暖。通「煦」。《文選．揚雄．劇秦美新》：「玄黃剖判，上下相嘔。」
[形]
參見「嘔嘔」條。</t>
  </si>
  <si>
    <t>(一)ㄡˇ ǒu（10407）(二)ㄡ ōu（10392）(三)ㄡˋ òu（10410）</t>
  </si>
  <si>
    <t>(一)ㄒㄧ xī（06779）</t>
  </si>
  <si>
    <t>謣</t>
  </si>
  <si>
    <t>參見「輿謣」條。</t>
  </si>
  <si>
    <t>(一)ㄩˊ yú（11618）</t>
  </si>
  <si>
    <t>ㄒㄩˊ</t>
  </si>
  <si>
    <t>xú</t>
  </si>
  <si>
    <t>[副]
慢慢的。通「徐」。《詩經．邶風．北風》：「其虛其邪，既亟只且。」漢．鄭玄．箋：「邪，讀如徐，言今在位之人其故威儀虛徐寬仁者，今皆以為急刻之行矣，所以當去以此也。」</t>
  </si>
  <si>
    <t>(一)ㄒㄧㄝˊ xié（06931）(二)（(一)之又音）ㄒㄧㄚˊ xiá（06890）(三)ㄧㄝˊ yé（10742）(四)ㄩˊ yú（11569）</t>
  </si>
  <si>
    <t>余</t>
  </si>
  <si>
    <t>參見「余余」、「余吾鎮」等條。</t>
  </si>
  <si>
    <t>(一)ㄩˊ yú（11570）</t>
  </si>
  <si>
    <t>徐</t>
  </si>
  <si>
    <t>[副]
緩慢。宋．蘇軾〈赤壁賦〉：「清風徐來，水波不興。」宋．宗澤〈早發〉詩：「眼中形勢胸中策，緩步徐行靜不譁。」
[名]
1.大陸地區徐州的省稱。
2.國名。周朝初年徐族所建，為吳國所滅。故址約在今大陸地區安徽省泗縣北。
3.姓。如明代有徐光啟。</t>
  </si>
  <si>
    <t>ㄒㄩˇ</t>
  </si>
  <si>
    <t>xǔ</t>
  </si>
  <si>
    <t>[動]
1.使溫暖。通「煦」。《周禮．冬官考工記．弓人》：「夫角之末，蹙於腦而休於氣。」
2.發出痛念、憐惜的聲音。《左傳．昭公三年》：「民人痛疾，而或燠休之。」《三國志．卷十四．魏書．蔣濟傳》：「先料其民力而燠休之。」</t>
  </si>
  <si>
    <t>(一)ㄒㄧㄡ xiū（07038）(三)ㄒㄧㄡˇ xiǔ（07049）</t>
  </si>
  <si>
    <t>參見「噢咻」條。</t>
  </si>
  <si>
    <t>(一)ㄒㄧㄡ xiū（07040）</t>
  </si>
  <si>
    <t>[動]
1.呼氣、吹氣。見《玉篇．口部》。《文選．王襃．聖主得賢臣頌》：「何必偃仰詘信若彭祖，呴噓呼吸如喬松。」
2.張口哈氣使對方溫潤。《莊子．天運》：「相呴以溼，相濡以沫。」</t>
  </si>
  <si>
    <t>(二)ㄏㄡ hōu（04819）</t>
  </si>
  <si>
    <t>姁</t>
  </si>
  <si>
    <t>參見「姁姁」條。</t>
  </si>
  <si>
    <t>昫</t>
  </si>
  <si>
    <t>[形]
溫暖。同「煦」。《說文解字．日部》：「昫，日出溫也。」</t>
  </si>
  <si>
    <t>喣</t>
  </si>
  <si>
    <t>[動]
1.呈示。《廣韻．上聲．麌韻》：「喣，呈示。」
2.吹氣、呼氣。《漢書．卷五十三．景十三王傳．中山靖王劉勝傳》：「夫眾喣漂山，聚蚊成雷。」</t>
  </si>
  <si>
    <t>煦</t>
  </si>
  <si>
    <t>[形]
溫暖、溫潤。如：「和煦」、「煦日初升」。明．文震亨《長物志．卷一．室廬》：「蘊隆則颯然而寒，凜冽則煦然而燠。」
[名]
恩惠。唐．玄宗〈誡勵宗室詔〉：「堂姪餘慶，承煦紹宗。」宋．歐陽修〈豐樂亭記〉：「而孰知上之功德，休養生息，涵煦於百年之深也！」
[動]
眼睛轉動。《孔子家語．卷六．本命》：「及生三月而微煦，然後有見。」</t>
  </si>
  <si>
    <t>栩</t>
  </si>
  <si>
    <t>[名]
櫟的別名。參見「櫟」條。
[形]
參見「栩栩」條。</t>
  </si>
  <si>
    <t>詡</t>
  </si>
  <si>
    <t>[動]
1.誇口、說大話。《說文解字．言部》：「詡，大言也。」如：「自詡」。《新唐書．卷七十六．后妃傳上．楊貴妃傳》：「見它第有勝者，輒壞復造，務以瑰侈相夸詡。」
2.普及。《禮記．禮器》：「德發揚，詡萬物。」漢．鄭玄．注：「詡，猶普也，遍也。」
[形]
嫵媚。宋．黃庭堅〈次韻寄晁以道〉詩：「不聞犯齋牧，猶聞畫眉詡。」</t>
  </si>
  <si>
    <t>冔</t>
  </si>
  <si>
    <t>[名]
殷代的冠名。《儀禮．士冠禮》：「周弁、殷冔、夏收。」</t>
  </si>
  <si>
    <t>[動]_x000D_
1.答應、應允。如：「許可」、「允許」。《左傳．閔公二年》：「及密，使公子魚請，不許。」《董西廂》卷六：「雖然昨夜見許，未足取信。」_x000D_
2.奉獻、給予。《史記．卷八六．刺客列傳．聶政》：「老母在，政身未敢以許人也。」宋．陸游〈觀長安城圖〉詩：「許國雖堅鬢已斑，山南經歲望南山。」_x000D_
3.允諾婚事。如：「許配」、「許嫁」。《三國演義》第七三回：「其女尚幼，未許字人。」《紅樓夢》第六四回：「把我二姨兒許給皇糧莊頭張家，指腹為婚。」_x000D_
4.稱讚。如：「稱許」、「讚許」。《三國志．卷三五．蜀書．諸葛亮傳》：「每自比於管仲、樂毅，時人莫之許也。」_x000D_
5.相信。《孟子．梁惠王上》：「明足以察秋毫之末，而不見輿薪，則王許之乎？」漢．趙岐．注：「許，信也。」_x000D_
6.期待。如：「期許」。《孟子．公孫丑上》：「夫子當路於齊，管仲晏子之功可復許乎？」宋．陸游〈書憤〉詩：「塞上長城空自許，鏡中衰鬢已先斑。」_x000D_
[名]_x000D_
1.處所。晉．陶淵明〈五柳先生傳〉：「先生不知何許人也，亦不詳其姓字。」宋．梅堯臣〈魯山山行〉詩：「人家在何許？雲外一聲雞。」_x000D_
2.表示約略估計的數量。如：「些許」、「少許」。《後漢書．卷七一．皇甫嵩朱儁列傳．皇甫嵩》：「赴河死者，五萬許人。」唐．柳宗元〈至小邱西小石潭記〉：「潭中魚可百許頭，皆若空遊無所依。」_x000D_
3.國名。周時所分封的諸侯國，姜姓，後滅於楚。故址約在今大陸地區河南省許昌縣東。_x000D_
4.地名。即今大陸地區河南省許昌縣。_x000D_
5.姓。如漢代有許慎。_x000D_
[副]_x000D_
1.可能。如：「或許」、「也許」。《樂府詩集．卷四六．清商曲辭三．無名氏．懊憹歌十四首之二》：「撢如陌上鼓，許是儂歡歸。」_x000D_
2.這麼、如此。如：「許多」。宋．蘇軾〈次韻答文與可見寄〉詩：「世間那有千尋竹，月落庭空影許長。」宋．朱熹〈觀書有感〉詩：「問渠那得清如許，為有源頭活水來。」_x000D_
3.表示疑問，相當於「何」、「什麼」。唐．杜審言〈贈蘇綰書記〉詩：「知君書記本翩翩，為許從容赴朔邊？」_x000D_
[助]_x000D_
語尾助詞，表示感嘆之義，相當於「啊」。唐．韓愈〈感春〉詩四首之一：「三杯取醉不復論，一生長恨奈何許！」</t>
  </si>
  <si>
    <t>(二)ㄏㄨˇ hǔ（04978）</t>
  </si>
  <si>
    <t>湑</t>
  </si>
  <si>
    <t>[動]
1.濾除酒渣。《詩經．小雅．伐木》「釃酒有藇」句下漢．毛亨．傳：「以筐曰釃，以藪曰湑。」《儀禮．士冠禮》：「旨酒既湑，嘉薦伊脯。」
2.顯露、露出。《詩經．小雅．蓼蕭》：「蓼彼蕭斯，零露湑兮。」元．王翰〈龍山月夜飲酒分韻得樹字〉詩：「晴峰餘靄收，密竹殘露湑。」
[形]
1.美。《文選．左思．吳都賦》：「樂湑衎其方域，列仙集其土地。」
2.茂密繁盛。《詩經．小雅．裳裳者華》：「裳裳者華，其葉湑兮。」漢．毛亨．傳：「湑，盛貌。」</t>
  </si>
  <si>
    <t>糈</t>
  </si>
  <si>
    <t>[名]
1.糧食。《說文解字．米部》：「糈，糧也。」如：「餉糈」。《史記．卷一二九．貨殖傳》：「醫方諸食技術之人，焦神極能，為重糈也。」
2.祭祀神的精米。《楚辭．屈原．離騷》：「巫咸將夕降兮，懷椒糈而要之。」《史記．卷一二七．褚少孫補．日者傳》：「夫卜而有不審，不見奪糈。」唐．司馬貞．索隱：「糈者，卜求神之米也。」</t>
  </si>
  <si>
    <t>諝</t>
  </si>
  <si>
    <t>[名]
1.才智。《說文解字．言部》：「諝，知也。」《周禮．秋官．大行人》「屬象胥」句下唐．賈公彥．疏：「胥讀為諝者，欲取諝為才智之意也。」《文選．陸機．辯亡論上》：「謀無遺諝，舉不失策。」
2.計謀。《淮南子．本經》：「比周朋黨，設詐諝。」漢．高誘．注：「諝，謀也。」</t>
  </si>
  <si>
    <t>醑</t>
  </si>
  <si>
    <t>[名]
美酒。《玉篇．酉部》：「醑，美酒也。」如：「椒醑」、「清醑」。《文選．謝靈運．夜宿石門詩》：「妙物莫為賞，芳醑誰與伐？」
[動]
濾酒、去除酒糟。《廣韻．上聲．語韻》：「醑，簏酒。」</t>
  </si>
  <si>
    <t>鄦</t>
  </si>
  <si>
    <t>[名]
國名。即許國，為周初所分封的諸侯國。故址約在今大陸地區河南省許昌縣東。《說文解字．邑部》「鄦」字．清．段玉裁．注：「鄦、許古今字，……今河南許州州東三十里，有故許昌城。」</t>
  </si>
  <si>
    <t>旭</t>
  </si>
  <si>
    <t>ㄒㄩˋ</t>
  </si>
  <si>
    <t>xù</t>
  </si>
  <si>
    <t>[形]
1.太陽剛升起的樣子。《說文解字．日部》：「旭，日旦出貌。」如：「旭日」、「旭光」。
2.日、月光亮的樣子。
[名]
剛升起的太陽。如：「朝旭」、「迎旭而舞」。</t>
  </si>
  <si>
    <t>序</t>
  </si>
  <si>
    <t>[名]
1.廳堂的東西牆。《說文解字．广部》：「序，東西牆也。」《儀禮．士冠禮》：「主人玄端爵韠，立于阼階下，直東序西面。」
2.古代的學校名稱。如：「鄉序」。《孟子．梁惠王上》：「謹庠序之教，申之以孝悌之義。」
3.排列的次第。如：「順序」、「次序」。《儀禮．鄉飲酒禮》：「眾賓序升，即席。」《隋書．卷十三．音樂志上．序》：「樂失其序，則親疏亂。」
4.文體名：(1)通常放在正文前，概說、評述作品內容。南朝梁．劉勰《文心雕龍．詮賦》：「序以建言，首引情本。」(2)通常臨別贈言的文章稱為「序」，創始於唐。如韓愈有〈送孟東野序〉、〈送李愿歸盤谷序〉等。唐．韓愈〈送水陸運使韓侍御歸所治序〉：「聞其歸，皆相勉為詩以推大之，而屬余為序。」
5.季節。《文選．江淹．雜體詩．謝僕射》：「淒淒節序高，寥寥心悟永。」《紅樓夢》第八十七回：「（永）回憶海棠結社，序屬清秋。」
[形]
開頭的。如：「序曲」、「序幕」。</t>
  </si>
  <si>
    <t>芧</t>
  </si>
  <si>
    <t>參見「芧栗」條。</t>
  </si>
  <si>
    <t>(二)ㄓㄨˋ zhù（08007）</t>
  </si>
  <si>
    <t>侐</t>
  </si>
  <si>
    <t>[形]
清靜。《詩經．魯頌．閟宮》：「閟宮有侐。」</t>
  </si>
  <si>
    <t>卹</t>
  </si>
  <si>
    <t>[動]
1.憂慮。同「恤」。《新唐書．卷九十六．杜如晦傳》：「人不卹無官，患才不副。」
2.賑救。《後漢書．卷三十五．張純傳》：「贍卹宗親。」《三國志．卷十六．魏書．任峻傳》：「於饑荒之際，收卹朋友孤遺。」
3.撫慰、憐惜。如：「撫卹」、「憐孤卹寡」。《詩經．唐風．羔裘．序》：「不卹其民也。」《漢書．卷三十一．陳勝項籍傳》：「今不卹士卒而徇私，非社稷之臣也。」
[形]
驚恐、害怕的樣子。《文選．枚乘．七發》：「徒觀水力之所到，則卹然足以駭矣。」</t>
  </si>
  <si>
    <t>洫</t>
  </si>
  <si>
    <t>[名]
1.田間的水道。《周禮．地官．遂人》：「凡治野，夫間有遂，……百夫有洫，洫上有涂。」《左傳．襄公十年》：「子駟為田洫。」
2.泛指溝渠。如：「溝洫」。《文選．鮑照．蕪城賦》：「劃崇墉，刳濬洫，圖修世以休命。」
3.護城河。《文選．張衡．西京賦》：「經城洫，營郭郛。」
[動]
1.虛、空出。《管子．小稱》：「滿者洫之，虛者實之。」
2.敗壞。《莊子．則陽》：「所行之備而不洫。」</t>
  </si>
  <si>
    <t>恤</t>
  </si>
  <si>
    <t>[動]
1.憂心、顧慮。《易經．晉卦．六五》：「失得勿恤，往吉無不利。」《國語．周語上》：「勤恤民隱而除其害。」
2.憐憫。如：「體恤」、「憐恤」。唐．沈佺期〈移禁司刑〉詩：「司寇宜哀獄，臺庭幸恤辜。」
3.賑濟、救濟。《周禮．地官．典瑞》：「珍圭以徵守，以恤凶荒。」南朝梁．沈約〈南郊恩詔〉：「京師三縣尤窮之民，詳加賑恤。」
[名]
姓。如春秋時魯有恤由。</t>
  </si>
  <si>
    <t>殈</t>
  </si>
  <si>
    <t>[動]
鳥卵尚未孵化就破裂。《廣韻．平聲．錫韻》：「殈，鳥卵破也。」《禮記．樂記》：「胎生者不殰，而卵生者不殈，則樂之道歸焉耳。」</t>
  </si>
  <si>
    <t>畜</t>
  </si>
  <si>
    <t>[動]
1.飼養。《禮記．大學》：「伐冰之家，不畜牛羊。」南朝宋．鮑照〈紹古辭〉七首之三：「徒畜巧言鳥，不解心款曲。」
2.養育。《詩經．邶風．日月》：「父兮母兮，畜我不卒。」《孟子．梁惠王上》：「仰不足以事父母，俯不足以畜妻子。」
3.培養。《易經．大畜．象曰》：「君子以多識前言往行，以畜其德。」
4.順從、順服。唐．柳宗元〈封建論〉：「其情，私也，私其一己之威也，私其盡臣畜於我也。」
5.收容、容許。《左傳．襄公二十六年》：「獲罪於兩君，天下誰畜？」《漢書．卷六十八．霍光傳》：「威震主者不畜。」
6.保留、收藏。《禮記．儒行》：「易祿而難畜也。」《金史．卷六十四．后妃傳．世宗昭德皇后傳》：「睿宗沒後，世宗寶畜之。」
7.儲存、積聚。通「蓄」。《韓非子．五蠹》：「既畜王資，而承敵國之舋。」
[名]
姓。如漢代有畜意。</t>
  </si>
  <si>
    <t>(一)ㄔㄨˋ chù（08559）</t>
  </si>
  <si>
    <t>慉</t>
  </si>
  <si>
    <t>[動]
1.起、扶持。《詩經．邶風．谷風》：「不我能慉，反以我為讎。」
2.蓄積、積聚。南朝齊．王融〈畫漢武北伐圖上疏〉：「臣聞情慉自中，事符則感。」《三國志．卷三八．蜀書．許靖傳》「情義款至」句下裴松之注引《魏略》：「久闊情慉，非夫筆墨所能寫陳。」</t>
  </si>
  <si>
    <t>蓄</t>
  </si>
  <si>
    <t>[動]
1.儲藏、儲存。如：「蓄水池」、「儲蓄」。《詩經．邶風．谷風》：「我有旨蓄，亦以御冬。」《新五代史．卷二二．梁臣傳．劉鄩傳》：「將軍蓄米，將療饑乎？將破敵乎？」
2.蘊藏、不表露。如：「含蓄」、「蓄意」。
3.留著。如：「蓄髮」、「爺爺蓄了一臉的絡腮鬍。」
4.等待。《後漢書．卷五十九．張衡傳》：「盍遠跡以飛聲兮，孰謂時之可蓄？」</t>
  </si>
  <si>
    <t>淢</t>
  </si>
  <si>
    <t>[名]
溝渠。《詩經．大雅．文王有聲》：「築城伊淢，作豐伊匹。」《史記．卷二．夏本紀》：「卑宮室，致費於溝淢。」</t>
  </si>
  <si>
    <t>(一)ㄩˋ yù（11680）</t>
  </si>
  <si>
    <t>[名]
臉面。《莊子．列禦寇》：「槁項黃馘者，商之所短也。」</t>
  </si>
  <si>
    <t>(一)ㄍㄨㄛˊ guó（04234）</t>
  </si>
  <si>
    <t>酗</t>
  </si>
  <si>
    <t>[動]
發酒瘋，因酒醉而發怒。如：「酗酒」。《書經．無逸》：「無若殷王受之迷亂，酗于酒德哉！」《北史．卷七二．牛弘傳》：「弟弼，好酒而酗，嘗醉射殺弘駕車牛。」</t>
  </si>
  <si>
    <t>勗</t>
  </si>
  <si>
    <t>[動]
鼓舞、勉勵。如：「勗勉」。漢．蔡琰〈悲憤詩〉：「託命於新人，竭心自勗厲。」</t>
  </si>
  <si>
    <t>敘</t>
  </si>
  <si>
    <t>[名]
1.次第、順序。《周禮．天官．小宰》：「以官府之六敘正群吏。」《淮南子．本經》：「四時不失其敘。」
2.放於正文之前，用以說明全書要點的。同「序」。如：〈說文解字敘〉。
[動]
1.陳述、說明。如：「敘述」、「面敘」。《國語．晉語三》：「紀言以敘之，述意以導之。」
2.評議授職等級或獎勵勛功。如：「銓敘」、「獎敘」。《晉書．卷七〇．應詹傳》：「直以舊望登敘。」《北史．卷三九．薛安都傳》：「在南以武力見敘，遇宋孝武起江州，遂以為將。」
3.聚會、話家常。如：「小敘一番」。
4.安排次序。《周禮．天官．司書》：「以周知入出百物，以敘其財，受其幣，使入于職幣。」三國魏．曹植〈社頌〉：「建國承家，莫不修敘。」
5.發抒情思。晉．王羲之〈三月三日蘭亭詩序〉：「一觴一詠，亦足以暢敘幽情。」</t>
  </si>
  <si>
    <t>漵</t>
  </si>
  <si>
    <t>[名]
1.水邊。南朝齊．王融〈淥水曲〉：「日霽沙漵明，風泉動華燭。」宋．柳永〈早梅芳．海霞紅〉詞：「芰荷浦漵，楊柳汀洲，映虹橋倒影。」
2.參見「漵水」條。</t>
  </si>
  <si>
    <t>[動]
有所吹起。《說文解字．欠部》：「欻，有所吹起。」</t>
  </si>
  <si>
    <t>(一)ㄏㄨ hū（04944）(二)ㄔㄨㄚ chuā（08576）</t>
  </si>
  <si>
    <t>訹</t>
  </si>
  <si>
    <t>[動]
1.迷惑、引誘。《說文解字．言部》：「訹，誘也。」《漢書．卷五二．韓安國傳》：「今大王列在諸侯，訹浮臣邪說，犯上禁，橈明法。」
2.脅迫、恐嚇。《宋史．卷三六五．岳飛傳》：「淮西之役，俊以前途糧乏訹飛，飛不為止。」</t>
  </si>
  <si>
    <t>婿</t>
  </si>
  <si>
    <t>[名]
稱謂：(1)稱女兒的丈夫。如：「女婿」、「賢婿」、「乘龍快婿」。南朝宋．劉義慶《世說新語．文學》：「裴散騎娶王太尉女，婚後三日，諸婿大會。」(2)妻子稱呼自己丈夫為「婿」。如：「夫婿」。唐．李商隱〈為有〉詩：「無端嫁得金龜婿，辜負香衾事早朝。」</t>
  </si>
  <si>
    <t>絮</t>
  </si>
  <si>
    <t>[名]
1.粗製棉。《說文解字．糸部》：「絮，敝綿也。」《漢書．卷四．文帝紀》：「其九十以上，又賜帛，人二疋，絮三斤。」
2.彈鬆的棉花。如：「被絮」、「棉絮」。
3.附在植物上的茸毛。如：「柳絮」、「蘆絮」。
4.姓。如漢代有絮舜。
[動]
將棉花均勻的塞進衣物裡。如：「絮棉襖」、「絮褥子」。唐．李白〈子夜吳歌．冬歌〉：「明朝驛使發，一夜絮征袍。」
[形]
形容說話囉嗦、沒有重點。如：「絮叨」、「絮絮不休」。
[副]
厭煩、嫌惡。《紅樓夢》第三四回：「只拿那糖醃的玫瑰滷子和了，吃了半碗，又嫌吃絮了，不香甜。」</t>
  </si>
  <si>
    <t>頊</t>
  </si>
  <si>
    <t>參見「頊頊」、「顓頊」等條。</t>
  </si>
  <si>
    <t>緒</t>
  </si>
  <si>
    <t>[名]
1.由繭抽絲的端頭。如：「絲緒」。《文選．張衡．南都賦》：「白鶴飛兮繭曳緒。」
2.事物的開端。如：「千頭萬緒」、「端緒」。唐．韓愈〈進學解〉：「尋墜緒之茫茫，獨旁搜而遠紹。」
3.次序。如：「一切就緒」。《莊子．山木》：「進不敢為前，退不敢為後，食不敢先嘗，必取其緒。」
4.心念、心境。如：「情緒」、「愁緒」。南朝宋．謝靈運〈長歌行〉：「覽物起悲緒，顧已識憂端。」
5.事業。如：「緒業」。唐．沈迴〈武侯廟碑銘〉：「先主纘緒，天下三分。」明．徐弘祖《徐霞客遊記．卷七下．滇遊日記七》：「眾大之中，以小者為主，所以黃峰為木氏開千代之緒也。」</t>
  </si>
  <si>
    <t>魆</t>
  </si>
  <si>
    <t>[形]
昏暗的樣子。如：「魆黑」。
[副]
1.猝然、突然。《初刻拍案驚奇》卷二：「應捕魆地跳將出來。」
2.悄悄、暗地。明．葉憲祖《鸞鎞記》第二一齣：「誰家一俊豪，將奴魆地瞧。」明．凌濛初《紅拂記》第一齣：「瞑子裡落空他，魆地裡，追隨你。」</t>
  </si>
  <si>
    <t>獝</t>
  </si>
  <si>
    <t>[形]
1.鳥獸驚恐飛散的樣子。《集韻．入聲．質韻》：「矞，驚遽貌，或作獝。」《禮記．禮運》：「鳳以為畜，故鳥不獝。」
2.狂放。如：「狂獝」。</t>
  </si>
  <si>
    <t>藇</t>
  </si>
  <si>
    <t>[形]
美好的樣子。《詩經．小雅．伐木》：「伐木許許，釃酒有藇。」漢．毛亨．傳：「藇，美貌。」</t>
  </si>
  <si>
    <t>鱮</t>
  </si>
  <si>
    <t>[名]
鰱魚的別名。參見「鰱魚」條。</t>
  </si>
  <si>
    <t>藚</t>
  </si>
  <si>
    <t>植物名。澤瀉科澤瀉屬，「澤瀉」之古稱。參見「澤瀉」條。</t>
  </si>
  <si>
    <t>續</t>
  </si>
  <si>
    <t>[動]
1.接連不斷，或接在原來的之後。如：「連續」、「接續」。
2.承繼、繼世。如：「嗣續」。《史記．卷六．秦始皇本紀》：「及至秦王，續六世之餘烈，振長策而御宇內。」
3.添加、補充。如：「續杯」、「熱水瓶內再續些水吧！」
[名]
1.辦事的程序。如：「手續」。
2.舊事重演。《史記．卷七．項羽本紀》：「而聽細說，欲誅有功之人，此亡秦之續耳。」
3.姓。如漢代有續相如。</t>
  </si>
  <si>
    <t>靴</t>
  </si>
  <si>
    <t>ㄒㄩㄝ</t>
  </si>
  <si>
    <t>xuē</t>
  </si>
  <si>
    <t>[名]
長筒的鞋子。如：「皮靴」、「雨靴」、「馬靴」。也稱為「靴子」。</t>
  </si>
  <si>
    <t>[形]
令人發笑的。如：「噱頭」。</t>
  </si>
  <si>
    <t>(一)ㄐㄩㄝˊ jué（06108）</t>
  </si>
  <si>
    <t>薛</t>
  </si>
  <si>
    <t>[名]
1.國名。故址約在今大陸地區山東省滕縣東南。
2.姓。如唐代有薛仁貴。</t>
  </si>
  <si>
    <t>穴</t>
  </si>
  <si>
    <t>ㄒㄩㄝˊ</t>
  </si>
  <si>
    <t>xué</t>
  </si>
  <si>
    <t>(一)ㄒㄩㄝˋ xuè（07342）</t>
  </si>
  <si>
    <t>踅</t>
  </si>
  <si>
    <t>[動]
1.盤旋。元．王實甫《西廂記．第四本．第四折》：「四野風來，左右亂踅。」明．朱權《卓文君》第二折：「碧天邊夕陽漸斜，疏林外昏鴉亂踅。」
2.轉、折轉。《喻世明言．卷一．蔣興哥重會珍珠衫》：「忙踅出來，道：『大官人，老身且不敢稱謝。』」《水滸傳》第六回：「智深提了禪杖，踅過後面。」
3.來回的走。《金瓶梅》第二回：「這婆子正開門，在茶局子裡整理茶鍋，張見西門慶踅過幾遍。」《老殘遊記》第二回：「搖著串鈴滿街踅了一趟，虛應一應故事。」</t>
  </si>
  <si>
    <t>(一)ㄔˋ chì（08220）</t>
  </si>
  <si>
    <t>學</t>
  </si>
  <si>
    <t>[動]
1.覺悟、領會。《玉篇．子部》：「學，覺也。」《書經．說命下》：「學于古訓乃有獲。」
2.研習、學習。如：「學技術」、「學而不厭」。《論語．子張》：「仕而優則學，學而優則仕。」《禮記．學記》：「玉不琢，不成器；人不學，不知道。」
3.模仿、仿效。如：「學話」、「學雞叫」。《晉書．卷九十四．隱逸傳．戴逵傳》：「是猶美西施而學其顰眉。」《醒世恆言．卷八．喬太守亂點鴛鴦譜》：「劉公把他言語學了一遍。」
[名]
1.學校、求學的地方。如：「小學」、「中學」、「大學」。《禮記．學記》：「比年入學。」唐．韓愈〈進學解〉：「國子先生晨入太學，招諸生立館下。」
2.學問、學識。如：「求學」、「治學」、「品學兼優」、「才疏學淺」。唐．柳宗元．與韓愈論史官書：「今學如退之，辭如退之。」
3.學說、學問派系。如：「宋學」、「漢學」、「儒學」。《史記．卷六三．老子韓非列傳．老子》：「老子脩道德，其學以自隱無名為務。」
4.學科、有系統而專門的知識。如：「哲學」、「醫學」、「文學」、「經濟學」。</t>
  </si>
  <si>
    <t>[名]
1.夏季有水，冬季沒水的溪、澤。《說文解字．水部》：「澩，夏有水冬無水曰澩。」
2.乾枯的泉水。《廣韻．入聲．覺韻》：「澩，涸泉。」
3.河川名。渭水的支流。清．王念孫《廣雅疏證．卷九下．釋水》：「水自渭出為澩。」</t>
  </si>
  <si>
    <t>(二)ㄒㄧㄠˋ xiào（07037）</t>
  </si>
  <si>
    <t>觷</t>
  </si>
  <si>
    <t>[動]
整治獸角，使成為器物。《爾雅．釋器》：「象謂之鵠，角謂之觷。」晉．郭璞．注：「五者皆治樸之名，謂治其樸，俱未成器，有此五名也。」</t>
  </si>
  <si>
    <t>鷽</t>
  </si>
  <si>
    <t>[名]
動物名： (1)雀形目。似鵲，毛色黑而有文采，嘴、腳為紅色，尾巴長，性凶悍。也稱為「山鵲」。(2)鳴禽類。形與文鳥相似，雄鳥頭部黑色，嘴圓錐狀，頰至喉側深紅色，背灰色，胸腹赤色，翼與尾黑色。雌鳥毛色淡，頰至喉側深紅色。</t>
  </si>
  <si>
    <t>[名]_x000D_
古代一種騎馬時所穿的衣服。《集韻．入聲．緝韻》：「褶，褲褶，騎服。」《三國志．卷一二．魏書．崔毛徐何刑鮑司馬傳．崔琰》：「唯世子燔翳捐褶，以塞眾望，不令老臣獲罪於天。」《晉書．卷二五．輿服志》：「黑褲褶將一人，騎校、鞀角各一人。」</t>
  </si>
  <si>
    <t>(一)ㄉㄧㄝˊ dié（02186）(三)ㄓㄜˊ zhé（07663）(四)（(二)之又音）ㄒㄧˊ xí（06815）</t>
  </si>
  <si>
    <t>雪</t>
  </si>
  <si>
    <t>ㄒㄩㄝˇ</t>
  </si>
  <si>
    <t>xuě</t>
  </si>
  <si>
    <t>[名]_x000D_
水汽在零度以下所凝結成的六角形白色晶體。如：「白雪」、「冰雪」、「下雪」、「積雪」。_x000D_
[動]_x000D_
1.下雪、降雪。南朝宋．劉義慶《世說新語．文學》：「于時始雪，五處俱賀。」唐．白居易〈問劉十九〉詩：「晚來天欲雪，能飲一杯無？」_x000D_
2.擦拭。《呂氏春秋．恃君覽．觀表》：「吳起雪泣而應之曰：『子弗識也。』」唐．杜甫〈陪諸貴公子丈八溝攜妓納涼晚際遇雨〉詩二首之一：「公子調冰水，佳人雪藕絲。」_x000D_
3.洗刷、洗清、清除。如：「雪恥」、「昭雪」、「洗雪冤情」。《呂氏春秋．不苟論．不苟》：「繆公能令人臣時立其正義，故雪殽之恥，而西至河雍也。」唐．李白〈獨漉篇〉：「國恥未雪，何由成名。」_x000D_
[形]_x000D_
如雪般白色的。如：「雪白」。隋．盧思道〈孤鴻賦〉：「振雪羽而臨風，掩霜毛而候旭。」</t>
  </si>
  <si>
    <t>(二)ㄒㄩㄝˋ xuè（07348）</t>
  </si>
  <si>
    <t>鱈</t>
  </si>
  <si>
    <t>[名]
動物名。脊椎動物亞門硬骨魚綱條鰭亞綱。產於寒冷的深海，體長三尺餘。口大，鱗細，下頜有一觸鬚。肉白似雪，肝含脂量高，可製魚肝油。也稱為「鰵魚」。</t>
  </si>
  <si>
    <t>ㄒㄩㄝˋ</t>
  </si>
  <si>
    <t>xuè</t>
  </si>
  <si>
    <t>[名]
1.人居的土室。《詩經．大雅．綿》：「陶復陶穴，未有室家。」
2.洞窟，泛指地上或建築物的坑、洞。如：「洞穴」、「幽穴」、「巖穴」。《文選．宋玉．風賦》：「空穴來風。」
3.墳墓、墓坑。如：「墓穴」。《詩經．王風．大車》：「穀則異室，死則同穴。」唐．元稹〈遣悲懷〉詩三首之三：「同穴窅冥何所望，他生緣會更難期。」
4.窩巢。如：「巢穴」、「兔穴」、「犁庭掃穴」、「不入虎穴，焉得虎子？」。唐．杜甫〈自京赴奉先縣詠懷五百字〉詩：「顧惟螻蟻輩，但自求其穴。」
5.中醫稱人體經脈會聚的要害，多為密集的神經末稍或較粗的神經纖維經過處。如：「經穴」、「太陽穴」。
6.二一四部首之一。
[動]
挖鑿。《墨子．備穴》：「敢問古人有善攻者，穴工而入，縛柱施火，以壞吾城。」《新五代史．卷三九．雜傳．劉守光傳》：「能穴地為道以攻城。」</t>
  </si>
  <si>
    <t>(二)（又音）ㄒㄩㄝˊ xué（07334）</t>
  </si>
  <si>
    <t>泬</t>
  </si>
  <si>
    <t>[動]
水自孔穴中迅速噴出。《說文解字．水部》：「泬，水從孔穴疾出也。」
[形]
空曠的。《楚辭．宋玉．九辯》：「泬寥兮天高而氣清。」《文選．江淹．雜體詩．謝臨川》：「乳竇既滴瀝，丹井復寥泬。」</t>
  </si>
  <si>
    <t>(一)（語音）ㄒㄧㄝˇ xiě（06946）</t>
  </si>
  <si>
    <t>吷</t>
  </si>
  <si>
    <t>[動]
發出小聲音。宋．蘇軾〈好事近．煙外倚危樓〉詞：「莫問世間何事，與劍頭微吷。」</t>
  </si>
  <si>
    <t>[動]
1.用刀斜刮除去物體表層。如：「削皮」、「削鉛筆」。《禮記．曲禮上》：「為天子削瓜者副之。」
2.分割。《戰國策．齊策一》：「夫齊，削地而封田嬰，是其所以弱也。」
3.減弱。如：「削滅」、「削弱」、「國勢日削」。《孟子．告子下》：「魯之削也滋甚。」漢．應劭《風俗通義．卷一．六國》：「魏不用公子無忌，故國削以至於亡。」
4.刪除。如：「削職」。《史記．卷四七．孔子世家》：「至於為春秋，筆則筆，削則削。」《資治通鑑．卷二三六．唐紀五十二．順宗永貞元年》：「俱文珍等惡其專權，削去翰林之職。」
5.搜括。如：「剝削」。明．余繼登《典故紀聞》卷一二：「非盜府庫之錢糧則削生民之膏血。」
6.責怪。如：「他剛剛被老師削了一頓。」</t>
  </si>
  <si>
    <t>(二)（語音）ㄒㄧㄠ xiāo（06988）</t>
  </si>
  <si>
    <t>烕</t>
  </si>
  <si>
    <t>[動]
消滅、滅亡。通「滅」。《詩經．小雅．正月》：「褒以烕之。」《文選．潘岳．西征賦》：「赫赫宗周，烕為亡國。」</t>
  </si>
  <si>
    <t>「雪白」的「雪」的又音。</t>
  </si>
  <si>
    <t>(一)ㄒㄩㄝˇ xuě（07340）</t>
  </si>
  <si>
    <t>謞</t>
  </si>
  <si>
    <t>參見「謞謞」條。</t>
  </si>
  <si>
    <t>宣</t>
  </si>
  <si>
    <t>ㄒㄩㄢ</t>
  </si>
  <si>
    <t>xuān</t>
  </si>
  <si>
    <t>[動]
1.散播、發揚。如：「宣傳」。《書經．皋陶謨》：「日宣三德。」唐．柳宗元〈斬曲几文〉：「諂諛宜惕，正直宜宣。」
2.發散、疏通。如：「宣洩怨氣」。《左傳．昭公元年》：「宣汾、洮，障大澤。」
3.表達、說明。如：「心照不宣」。《國語．周語上》：「夫民慮之於心，而宣之於口。」宋．蘇軾〈賀蔣發運啟〉：「忽移書之見及，欣感之幸，筆舌難宣。」
4.知道、明白。《左傳．僖公二十七年》：「民未知信，未宣其用。」
5.以君王的命令傳召臣下。《資治通鑑．卷六五．漢紀五十七．獻帝建安十三年》：「肅宣權旨，論天下事勢，致殷勤之意。」《鏡花緣》第四回：「剛才奴婢已向各花宣過聖意。」
[副]
遍。《管子．小匡》：「公宣問其鄉里而有考驗。」《文選．揚雄．劇秦美新》：「煥炳照曜，靡不宣臻。」
[名]
姓。如明代有宣仲庸。</t>
  </si>
  <si>
    <t>晅</t>
  </si>
  <si>
    <t>[名]
日氣。《集韻．平聲．元韻》：「晅，日氣也。」
[動]
晒乾。明．張自烈《正字通．日部》：「晅，日氣曝也。」</t>
  </si>
  <si>
    <t>揎</t>
  </si>
  <si>
    <t>[動]
1.捲起袖子，露出胳膊。如：「揎拳捋袖」。宋．蘇軾〈四時詞〉四首之二：「玉腕半揎雲碧袖，樓前知有斷腸人。」《警世通言．卷二五．桂員外途窮懺悔》：「那小官人且羞且怒，揎衣露臂，面赤高聲。」
2.徒手擊人。如：「他竟然動手揎人。」
3.用手推。如：「先把這些不要的東西揎到一旁。」
4.譴責、責備。《程乙本紅樓夢》第五八回：「他排揎我，我就打得。」</t>
  </si>
  <si>
    <t>喧</t>
  </si>
  <si>
    <t>[動]
大聲說話。如：「喧譁」、「喧鬧」。唐．孟浩然〈夜歸鹿門歌〉：「山寺鐘鳴晝已昏，漁梁渡頭爭渡喧。」《聊齋志異．卷二．張誠》：「馬騰於槽，人喧於室，居然大家矣。」
[形]
顯赫盛大的。《禮記．大學》：「赫兮喧兮者，威儀也。」</t>
  </si>
  <si>
    <t>瑄</t>
  </si>
  <si>
    <t>[名]
六寸大的玉璧。《漢書．卷二五．郊祀志上》：「有司奉瑄玉嘉牲薦饗。」</t>
  </si>
  <si>
    <t>萱</t>
  </si>
  <si>
    <t>[名]
植物名。百合科萱草屬，「萱草」之簡稱，參見「萱草」條。</t>
  </si>
  <si>
    <t>暄</t>
  </si>
  <si>
    <t>[動]
參見「寒暄」條。
[形]
1.溫暖的。元．李文蔚《燕青博魚》第三折：「天氣暄熱，我來這裡歇涼。」
2.北平方言。指鬆軟、不實的。如：「這饅頭很暄，蠻好吃的！」</t>
  </si>
  <si>
    <t>蝖</t>
  </si>
  <si>
    <t>[形]
蟲行動的樣子。《韓詩外傳》卷七：「蝖飛蠕動，各樂其性。」</t>
  </si>
  <si>
    <t>諠</t>
  </si>
  <si>
    <t>[動]
1.嘈雜、吵鬧。通「喧」。《樂府詩集．卷四一．相和歌辭十六．南朝宋．鮑照．東武吟行》：「主人且勿諠，賤子歌一言。」
2.忘記。通「諼」。《禮記．大學》：「有斐君子，終不可諠兮。」《漢書．卷一〇〇．敘傳上》：「朝貞觀而夕化兮，猶諠己而遺形。」顏師古注引應劭曰：「諠，忘也。」</t>
  </si>
  <si>
    <t>軒</t>
  </si>
  <si>
    <t>[名]
1.古代一種有篷、有屏蔽的車子，多為貴族所乘。《左傳．閔公二年》：「衛懿公好鶴，鶴有乘軒者。」《文選．江淹．別賦》：「龍馬銀鞍，朱軒繡軸。」
2.車子的通稱。唐．李白〈博平鄭太守見訪贈別〉詩：「去去桃花源，何時見歸軒。」
3.車前高起的部分。《詩經．小雅．六月》：「戎車既安，如輊如軒。」
4.廳堂前後高起的屋簷。如：「翻軒」。《文選．沈約．應王中丞思遠詠月詩》：「網軒映珠綴，應門照綠苔。」唐．張銑．注：「軒，屋簷也。以網及珠綴而飾之。」
5.窗子。晉．陶淵明〈閒情賦〉：「曲調將半，景落西軒。」唐．孟浩然〈過故人莊〉詩：「開軒面場圃，把酒話桑麻。」
6.長廊。唐．柳宗元〈永州龍興寺西軒記〉：「於是鑿西墉以為戶，戶之外為軒。」
7.小房間。宋．朱熹〈高士軒記〉：「獨西北隅一軒，為亢爽可喜。」《紅樓夢》第一一回：「遙望東南，建幾處依山之榭；縱觀西北，結三間臨水之軒。」
8.姓。如漢代有軒如。
[動]
高飛。《文選．顏延之．五君詠五首之五》：「交呂既鴻軒，攀嵇亦鳳舉。」
[形]
高。如：「氣宇軒昂」。《紅樓夢》第二回：「裡面廳殿樓閣，也都還崢嶸軒峻。」</t>
  </si>
  <si>
    <t>萲</t>
  </si>
  <si>
    <t>同「萱」。</t>
  </si>
  <si>
    <t>參見「暖暖」、「暖姝」條。</t>
  </si>
  <si>
    <t>(一)ㄋㄨㄢˇ nuǎn（03147）</t>
  </si>
  <si>
    <t>諼</t>
  </si>
  <si>
    <t>[動]
1.欺詐。《公羊傳．襄公二十五年》：「曷為不言入于衛，諼君以弒也。」
2.忘記。《詩經．衛風．考槃》：「獨寐寤言，永矢弗諼。」唐．白居易〈贈元稹〉詩：「之子異於是，久要誓不諼。」</t>
  </si>
  <si>
    <t>(二)ㄕㄨㄢˋ shuàn（09152）</t>
  </si>
  <si>
    <t>儇</t>
  </si>
  <si>
    <t>[形]
慧黠而輕薄。如：「儇薄」。《楚辭．屈原．九章．惜誦》：「忘儇媚以背眾兮，待明君其知之。」</t>
  </si>
  <si>
    <t>懁</t>
  </si>
  <si>
    <t>[形]
急躁。《玉篇．心部》：「懁，心急也。」《莊子．列禦寇》：「有貌愿而益，有長若不肖，有順懁而達，有堅而縵，有緩而釬。」《史記．卷一二九．貨殖傳》：「民俗懁急，仰機利而食。」</t>
  </si>
  <si>
    <t>[形]
便嬛：輕飄美麗的樣子。《廣韻．平聲．仙韻》：「嬛，便嬛，輕麗貌。」《文選．司馬相如．上林賦》：「靚妝刻飾，便嬛綽約。」</t>
  </si>
  <si>
    <t>(一)ㄑㄩㄥˊ qióng（06730）(三)ㄏㄨㄢˊ huán（05166）</t>
  </si>
  <si>
    <t>蠉</t>
  </si>
  <si>
    <t>[形]
蟲行動的樣子。《說文解字．虫部》：「蠉，蟲行也。」《淮南子．原道》：「跂行喙息，蠉飛蠕動。」漢．高誘．注：「蟲行動貌。」
[名]
一種井中小蟲。《爾雅．釋魚》：「蜎，蠉。」晉．郭璞．注：「井中小蛣蟩，赤蟲。」</t>
  </si>
  <si>
    <t>翾</t>
  </si>
  <si>
    <t>[動]
低飛。《說文解字．虫部》：「翾，小飛也。」
[形]
1.急速、快速。《文選．張衡．思玄賦》：「翾鳥舉而魚躍兮，將往走乎八荒。」
2.急躁、輕浮。通「懁」。《荀子．不苟》：「喜則輕而翾，憂則挫而懾，通則驕而偏。」
[名]
飛鳥。南朝宋．鮑照〈謝隨恩被原表〉：「仁道毓物，澤洎翾走。」《隋書．卷十三．音樂志上》：「碧鱗朱尾獻嘉鮮，紅毛綠翼墜輕翾。」</t>
  </si>
  <si>
    <t>壎</t>
  </si>
  <si>
    <t>(一)ㄒㄩㄣ xūn（07403）</t>
  </si>
  <si>
    <t>矎</t>
  </si>
  <si>
    <t>[形]
眼睛直視的樣子。《字彙．目部》：「矎，直視貌。」</t>
  </si>
  <si>
    <t>(二)ㄒㄩㄢˋ xuàn（07397）</t>
  </si>
  <si>
    <t>玄</t>
  </si>
  <si>
    <t>ㄒㄩㄢˊ</t>
  </si>
  <si>
    <t>xuán</t>
  </si>
  <si>
    <t>[形]
1.黑色的。如：「玄狐」。唐．駱賓王〈在獄詠蟬〉詩：「那堪玄鬢影，來對白頭吟。」宋．蘇軾〈後赤壁賦〉：「玄裳縞衣，戛然長鳴。」
2.深遠奧妙的。如：「玄妙」、「玄理」、「玄機」。《老子》第一章：「玄之又玄，眾妙之門。」
3.虛偽、不可靠的。如：「玄虛」、「這話太玄了，不要相信。」
[名]
1.天。《文選．張衡．東京賦》：「祈福乎上玄，思所以為虔。」
2.指魏晉玄學。參見「玄學」條。
3.姓。如漢代有玄俗。
4.二一四部首之一。</t>
  </si>
  <si>
    <t>旋</t>
  </si>
  <si>
    <t>[動]
1.繞著轉動。如：「盤旋」、「回旋」。唐．白居易〈長恨歌〉：「天旋日轉迴龍馭，到此躊躇不能去。」
2.回、歸。如：「凱旋歸來」。唐．李商隱〈行次西郊作一百韻〉：「玉輦望南斗，未知何日旋。」宋．汪藻〈己酉亂後寄常州使君姪〉詩：「草草官軍渡，悠悠敵騎旋。」
3.小便。唐．韓愈〈張中丞傳後敘〉：「及城陷，賊縛巡等數十人坐，且將戮，巡起旋。」
[副]
1.立刻、很快的。如：「旋即」。唐．岑參〈走馬川行奉送出師西征〉詩：「馬毛帶雪汗氣蒸，五花連錢旋作冰。」宋．蘇軾〈浣溪沙．旋抹紅妝看使君〉詞：「旋抹紅妝看使君，三三五五棘籬門，相挨踏破蒨羅裙。」
2.又、再。宋．晁補之〈八六子．喜秋晴〉詞：「醉休醒，醒來舊愁旋生。」
[連]
表示同時做兩件事。唐．章碣〈陪浙西王侍郎夜宴〉詩：「旋看歌舞旋傳杯。」</t>
  </si>
  <si>
    <t>(二)ㄒㄩㄢˋ xuàn（07389）</t>
  </si>
  <si>
    <t>漩</t>
  </si>
  <si>
    <t>[名]
水流旋轉所形成中心較低的地方。如：「漩渦」。唐．杜甫〈最能行〉：「欹帆側柂入波濤，撇漩捎濆無險阻。」
[動]
流水旋轉。唐．元稹〈遭風二十韻〉：「龍歸窟穴深潭漩，蜃作波濤古岸頹。」</t>
  </si>
  <si>
    <t>(二)（又音）ㄒㄩㄢˋ xuàn（07390）</t>
  </si>
  <si>
    <t>璇</t>
  </si>
  <si>
    <t>[名]
1.美玉。《山海經．大荒西經》：「爰有甘華、甘柤、白柳、視肉、三騅、璇瑰。」
2.星名。北斗七星的第二顆，在西方為大熊座β星。也稱為「天璇」。
[形]
如美玉般的。如：「璇宮」。南朝宋．鮑照〈蕪城賦〉：「璇淵碧樹，弋林釣渚之館。」</t>
  </si>
  <si>
    <t>[動]
1.繫、掛。同「懸」。《莊子．外物》：「心若縣於天地之閒。」《史記．卷六十九．蘇秦傳》：「心搖搖然如縣旌而無所終薄。」
2.出示、揭示。同「懸」。《周禮．春官．小宗伯》：「縣衰冠之式于路門之外。」《三國志．卷五二．吳書．步騭傳》：「縣賞以顯善。」
[副]
遠、差距大。同「懸」。《漢書．卷一．高帝紀下》：「帶河阻山，縣隔千里。」</t>
  </si>
  <si>
    <t>(一)ㄒㄧㄢˋ xiàn（07150）</t>
  </si>
  <si>
    <t>懸</t>
  </si>
  <si>
    <t>[動]
1.掛、繫。如：「懸壺濟世」。《後漢書．卷八二．方術傳下．費長房傳》：「又臥於空室，以朽索懸萬斤石於心上。」宋．張耒〈海州道中〉詩二首之二：「逃屋無人草滿家，纍纍秋蔓懸寒瓜。」
2.牽掛、掛念。如：「懸念」、「懸思」。唐．李白〈聞丹丘子於城北營石門幽居〉詩：「心懸萬里外，影滯兩鄉隔。」《紅樓夢》第二七回：「你昨兒可告了我不曾？教我懸了一夜的心。」
3.公示、公布。如：「懸賞」。《孫子．九地》：「施無法之賞，懸無政之令。」
[形]
1.高掛的。如：「懸泉」、「懸瀑」。
2.差別大、距離遠。如：「懸殊」。
3.久延不決的。如：「懸案」。《韓非子．亡徵》：「藏怒而弗發，懸罪而弗誅，使臣陰憎而愈憂懼。」
[副]
憑空、無依據。如：「懸想」。唐．柳宗元〈復杜溫夫書〉：「吾性騃滯，多所未甚諭，安敢懸斷是且非耶？」</t>
  </si>
  <si>
    <t>[動]_x000D_
旋轉。通「旋」。《莊子．庚桑楚》：「夫尋常之溝，巨魚無所還其體。」《文選．曹植．美女篇》：「羅衣何飄颻，輕裾隨風還。」_x000D_
[形]_x000D_
輕巧便捷。《詩經．齊風．還》：「子之還兮，遭我乎峱之間兮。」_x000D_
[副]_x000D_
隨即、立刻。《禮記．檀弓下》：「還葬而無椁。」唐．王維〈觀獵〉詩：「忽過新豐市，還歸細柳營。」_x000D_
[名]_x000D_
《詩經．齊風》的篇名。共三章。根據〈詩序〉：「〈還〉，刺荒也。」或亦指為稱美獵者之詩。首章二句為：「子之還兮，遭我乎峱之閒兮。」</t>
  </si>
  <si>
    <t>(一)ㄏㄨㄢˊ huán（05168）(三)ㄏㄞˊ hái（04775）</t>
  </si>
  <si>
    <t>璿</t>
  </si>
  <si>
    <t>[名]
美玉。《山海經．海內經》：「三水出焉，爰有黃金璿瑰。」</t>
  </si>
  <si>
    <t>咺</t>
  </si>
  <si>
    <t>ㄒㄩㄢˇ</t>
  </si>
  <si>
    <t>xuǎn</t>
  </si>
  <si>
    <t>[形]
1.哭泣不止。唐．皮日休〈九風系述．遇謗〉：「聲咺唏以無音兮，氣鬱悒而空噎。」
2.威儀顯著、煥發。《詩經．衛風．淇奧》：「瑟兮僩兮，赫兮咺兮。」</t>
  </si>
  <si>
    <t>烜</t>
  </si>
  <si>
    <t>[形]
1.火勢旺盛。《玉篇．火部》：「烜，火盛貌。」
2.明亮、顯著。《爾雅．釋訓》：「赫兮烜兮，威儀也。」
[動]
1.晒乾。《易經．說卦》：「雨以潤之，日以烜之。」
2.照亮。《劉知遠諸宮調．第一二》：「他又不通個名目，把小李村圍住，烜天地燒著草垛。」清．王夫之〈九昭〉：「華鐙烜於永夜兮，羽蓋飄而陰晝。」</t>
  </si>
  <si>
    <t>選</t>
  </si>
  <si>
    <t>[動]
1.遣送、放逐。《左傳．昭公元年》：「秦后子有寵於桓，如二君於景。其母曰：『弗去，懼選。』」
2.挑揀、擇取。如：「選擇」、「挑選」。《荀子．儒效》：「遂選馬而進。」《禮記．禮運》：「選賢與能，講信修睦。」
[名]
1.挑選編輯成冊的作品。如：《詩選》、《文選》、《小說選》。
2.被挑中的人或物。如：「人選」、「一時之選」。《宋史．卷四七一．姦臣傳一．呂惠卿傳》：「先蒐補守兵而出其選以戰，隨屯置將，具條約上之。」
3.特指選舉活動。如：「普選」、「年底大選」。
[形]
精選的、精良的。《史記．卷七十七．魏公子傳》：「得選兵八萬人。」</t>
  </si>
  <si>
    <t>(一)（讀音）ㄒㄧㄢˇ xiǎn（07125）</t>
  </si>
  <si>
    <t>泫</t>
  </si>
  <si>
    <t>ㄒㄩㄢˋ</t>
  </si>
  <si>
    <t>xuàn</t>
  </si>
  <si>
    <t>[動]_x000D_
淚水或露水滴垂。《呂氏春秋．季秋紀．知士》：「靜郭君泫而曰：『不可，吾弗忍為也。』」南朝宋．謝靈運〈從斤竹澗越嶺溪行〉詩：「巖下雲方合，花上露猶泫。」_x000D_
[形]_x000D_
露珠晶瑩發亮。南朝宋．謝惠連〈泛湖歸出樓中翫月〉詩：「斐斐氣幕岫，泫泫露盈條。」_x000D_
[副]_x000D_
流淚的樣子。晉．潘岳〈懷舊賦〉：「步庭廡以徘徊，涕泫流而霑巾。」</t>
  </si>
  <si>
    <t>炫</t>
  </si>
  <si>
    <t>[形]
光彩閃耀的樣子。如：「炫炫」。《文選．司馬相如．長門賦》：「五色炫以相曜兮，爛耀耀而成光。」
[動]
1.照耀、照亮。如：「光彩炫目」。《文選．左思．吳都賦》：「光色炫晃。」
2.誇耀、顯示。如：「炫耀」、「自炫其力」。南朝梁．劉勰《文心雕龍．頌讚》：「降及品物，炫辭作翫。」</t>
  </si>
  <si>
    <t>昡</t>
  </si>
  <si>
    <t>[名]
日光。《集韻．去聲．霰韻》：「昡，日光。」
[形]
光彩耀眼。漢．陸賈《新語．至德》：「刻桷丹楹，昡曜靡麗。」
[動]
迷惑、欺惑。《楚辭．屈原．離騷》：「世幽昧以昡曜兮，孰云察余之善惡。」</t>
  </si>
  <si>
    <t>眩</t>
  </si>
  <si>
    <t>[動]
1.眼睛昏花，看東西晃動不定。如：「頭暈目眩」。漢．劉熙《釋名．釋疾病》：「眩，縣也。目視動亂，如縣物搖搖然不定也。」《戰國策．燕策三》：「左右既前斬荊軻，秦王目眩良久。」
2.迷惑。如：「眩於名利」、「以術眩人」。《禮記．中庸》：「敬大臣則不眩。」《漢書．卷九．元帝紀》：「且俗儒不達時宜，好是古非今，使人眩於名實，不知所守。」
3.照耀、照亮。通「炫」。如：「眩目」。《楚辭．劉向．九歎．惜賢》：「揚精華以眩燿兮。」漢．王逸．注：「眩，燿，光貌。一作耀。」</t>
  </si>
  <si>
    <t>袨</t>
  </si>
  <si>
    <t>[名]
黑色的衣服。《玉篇．衣部》：「袨，黑衣也。」
[形]
華麗隆盛的。《文選．左思．蜀都賦》：「都人士女，袨服靚妝。」李善注引蘇林曰：「袨服，謂盛服也。」</t>
  </si>
  <si>
    <t>衒</t>
  </si>
  <si>
    <t>[動]
1.沿街叫賣、販賣。《楚辭．屈原．天問》：「妖夫曳衒，何號于市？」宋．蘇軾〈種茶〉詩：「千團輸太官，百餅衒私鬥。」
2.炫示、誇耀。如：「自衒」。唐．柳宗元〈梓人傳〉：「不衒能，不矜名。」
[形]
自我誇耀推薦的。如：「衒女」、「衒士」。</t>
  </si>
  <si>
    <t>鉉</t>
  </si>
  <si>
    <t>[名]
橫貫鼎耳用以扛鼎的棍形工具。《說文解字．金部》：「鉉，所以舉鼎也。」《易經．鼎卦．六五》：「鼎黃耳金鉉。」唐．孔穎達．正義：「鉉，所以貫鼎而舉之。」</t>
  </si>
  <si>
    <t>[形]
打轉的。如：「旋風」、「旋球」。
[動]
溫酒。通「鏇」。《水滸傳》第五回：「那莊客旋了一壺酒。」
[副]
表動作是臨時、現時的。唐．杜荀鶴〈山中寡婦〉詩：「時挑野菜和根煮，旋斫生柴帶葉燒。」元．喬吉〈滿庭芳．活魚旋打〉曲：「活魚旋打，沽些村酒，問那人家。」</t>
  </si>
  <si>
    <t>(一)ㄒㄩㄢˊ xuán（07371）</t>
  </si>
  <si>
    <t>(一)ㄒㄩㄢˊ xuán（07372）</t>
  </si>
  <si>
    <t>鏇</t>
  </si>
  <si>
    <t>[名]
1.圓形的爐子。《說文解字．金部》：「鏇，圓鑪也。」
2.溫酒器。如：「金鏇」、「酒鏇」。元．戴侗《六書故．卷四．地理》：「鏇，溫器也，旋之湯中，以溫酒與洎者也。」也稱為「鏇子」。
3.銅錫盤。明．馮夢龍《古今譚概．妖異部．鏇中佛像》：「常熟丘郡家食櫥內，錫鏇置熟雞半隻。」
[動]
1.用鏇子溫酒。《水滸傳》第七二回：「你自去與我鏇一杯熱酒來吃。」
2.以機器或刀旋轉著削切。如：「鏇陀螺」、「鏇螺絲釘」、「把蘿蔔皮鏇下來」。</t>
  </si>
  <si>
    <t>眴</t>
  </si>
  <si>
    <t>[動]
1.轉動眼睛以示意。《史記．卷七．項羽本紀》：「須臾，梁眴籍曰：『可行矣！』」
2.目眩。通「眩」。《文選．班固．西都賦》：「攀井幹而未半，目眴轉而意迷。」</t>
  </si>
  <si>
    <t>絢</t>
  </si>
  <si>
    <t>[形]
文綵華麗。南朝梁．江淹〈為始安王拜兗州刺史章〉：「絢服騰炤，懋冊凝芬。」
[動]
1.點綴、照耀。《文選．左思．蜀都賦》：「幽思絢道德，摛藻掞天庭。」唐．劉禹錫〈省試風光草際浮〉詩：「含煙絢碧彩，帶露如珠綴。」
2.迷惑、迷亂。《清平山堂話本．刎頸鴛鴦會》：「故色絢於目，情感於心，情色相生，心目相視。」</t>
  </si>
  <si>
    <t>渲</t>
  </si>
  <si>
    <t>[名]
國畫的一種畫法。畫家塗上墨或顏料後，再用水淋擦，使顏色濃淡適宜。</t>
  </si>
  <si>
    <t>楦</t>
  </si>
  <si>
    <t>[名]
做鞋的木質模型。宋．吳自牧《夢粱錄．卷一三．諸色雜買》：「油杆杖、榾轆、鞋楦。」
[動]
1.用鞋樣器撐填鞋子，以保持鞋樣不變或撐大鞋子。如：「新鞋小了一點，要楦一楦。」
2.用紙或乾草等填塞物體的空隙。如：「為了防止瓷器在搬動時震碎，最好把箱子的空隙楦好。」</t>
  </si>
  <si>
    <t>楥</t>
  </si>
  <si>
    <t>[名]
製鞋的木質模型。同「楦」。《說文解字．木部》：「楥，履法也。」</t>
  </si>
  <si>
    <t>參見「矎矎」條。</t>
  </si>
  <si>
    <t>(一)ㄒㄩㄢ xuān（07369）</t>
  </si>
  <si>
    <t>焄</t>
  </si>
  <si>
    <t>ㄒㄩㄣ</t>
  </si>
  <si>
    <t>xūn</t>
  </si>
  <si>
    <t>[動]
煙火向上冒。通「熏」。《玉篇．火部》：「焄，火上出也。亦作熏。」宋．蘇軾〈子由生日以檀香觀音像及新合印香銀篆盤為壽〉詩：「此心實與香俱焄，聞思大士應已聞。」
[名]
香、臭的氣味。《禮記．祭義》：「焄蒿悽愴，此百物之精也。」唐．孔穎達．正義：「焄，謂香臭也，言百物之氣，或香或臭。」宋．蘇轍〈次韻子瞻生日見寄〉詩：「憂愁真能散凄焄，萬事過耳今不聞。」</t>
  </si>
  <si>
    <t>勛</t>
  </si>
  <si>
    <t>[名]
功績、功勞。如：「屢建奇勛」。唐．高適〈燕歌行〉：「相看白刃血紛紛，死節從來豈顧勛！」</t>
  </si>
  <si>
    <t>參見「葷粥」、「葷允」等條。</t>
  </si>
  <si>
    <t>(一)ㄏㄨㄣ hūn（05203）</t>
  </si>
  <si>
    <t>窨</t>
  </si>
  <si>
    <t>[動]
將茉莉花等放入茶葉中，使茶葉染上花的香味。同「熏」。</t>
  </si>
  <si>
    <t>(一)ㄧㄣˋ yìn（11116）</t>
  </si>
  <si>
    <t>熏</t>
  </si>
  <si>
    <t>[動]
1.煙火向上冒。《說文解字．屮部》：「熏，火煙上出也。」
2.用煙燻。《詩經．豳風．七月》：「穹窒熏鼠，塞向墐戶。」唐．李商隱〈無題〉詩四首之一：「蠟照半籠金翡翠，麝熏微度繡芙蓉。」
3.（煙、氣等）侵襲。如：「臭氣熏人」。《樂府詩集．卷六五．雜曲歌辭五．南朝宋．鮑照．苦熱行》：「瘴氣晝熏體，菵露夜霑衣。」唐．韓愈〈八月十五夜贈張功曹〉詩：「下床畏蛇食畏藥，海氣溼蟄熏腥臊。」
4.用香料塗身。唐．韓愈〈答呂毉山人書〉：「方將坐足下，三浴而三熏之。」
5.一種烹飪方法。以松枝、木炭、茶葉等的火煙燒烤食物，使其具有特殊的風味。如：「熏魚」。
[形]
暖和的。如：「熏風」。
[副]
和悅的。參見「熏熏」條。</t>
  </si>
  <si>
    <t>(二)ㄒㄩㄣˋ xùn（07448）</t>
  </si>
  <si>
    <t>[名]
樂器名，吹管樂器。新石器時代已出土，形狀有橢圓形、管狀、魚形、蛙形、圓形等形狀不一，且音孔數多為一至五。今多為平底卵形，大小不一，吹孔在頂端，音孔數多為八至十一，雙手捧之而吹。以陶製為主，亦有石製、骨製，相傳為伏羲所創。《詩經．小雅．何人斯》：「伯氏吹壎，仲氏吹篪。」</t>
  </si>
  <si>
    <t>(二)（又音）ㄒㄩㄢ xuān（07368）</t>
  </si>
  <si>
    <t>獯</t>
  </si>
  <si>
    <t>參見「獯鬻」條。</t>
  </si>
  <si>
    <t>燻</t>
  </si>
  <si>
    <t>[動]
1.煙火向上升。同「熏」。如：「煙火燻天」。
2.以火煙熏物。漢．王充《論衡．命祿》：「越王翳逃山中，至誠不願自冀得代。越人燻其穴，遂不得免，彊立為君。」
3.一種烹飪方法。以松枝、木炭、茶葉等的火煙燒烤食物，使其具有特殊的風味。如：「燻肉」、「燻鴨」、「燻雞」、「燻魚」。</t>
  </si>
  <si>
    <t>薰</t>
  </si>
  <si>
    <t>[名]_x000D_
1.植物名。報春科珍珠茉屬，「佩蘭」、「薰草」之古稱。參見「佩蘭」條。_x000D_
2.香氣。宋．歐陽修〈踏莎行．候館梅殘〉詞：「候館梅殘，溪橋柳細。草薰風暖搖征轡。」_x000D_
3.煙氣。晉．陸機〈演連珠〉詩五〇首之二四：「尋煙染芬，薰息猶芳。」_x000D_
[動]_x000D_
1.以火灼炙、燒灼。通「熏」。如：「薰魚」、「薰肉」、「利欲薰心」。晉．潘岳〈馬汧督誄〉：「將穿響作內焚穬火薰之，潛氐殲焉。」_x000D_
2.感染、感化。如：「薰陶」。唐．韓愈〈爭臣論〉：「晉之鄙人薰其德而善良者幾千人。」宋．程頤〈論經筵第一劄子〉：「今士大夫家善教弟子者，亦必延名德端方之士，與之居處，使之薰染成性。」_x000D_
3.教訓。《兒女英雄傳》第三〇回：「他那意思，想著要把乾綱振起來，薰她一薰。」_x000D_
[形]_x000D_
溫暖的、和煦的。唐．白居易〈首夏南池獨酌〉詩：「薰風自南至，吹我池上林。」</t>
  </si>
  <si>
    <t>曛</t>
  </si>
  <si>
    <t>[名]
1.黃昏時刻。《玉篇．日部》：「曛，黃昏時。」南朝宋．鮑照〈行京口至竹里詩〉：「斯志逢凋嚴，孤遊值曛逼。」
2.日落的餘暉。唐．孫逖〈下京口埭夜行〉詩：「孤帆度綠氛，寒浦落紅曛。」
[形]
昏暗。唐．李華〈弔古戰場文〉：「黯兮慘悴，風悲日曛。」唐．高適〈別董大〉詩二首之一：「千里黃雲白日曛，北風吹雁雪紛紛。」</t>
  </si>
  <si>
    <t>臐</t>
  </si>
  <si>
    <t>[名]
羊肉羹。《廣韻．去聲．問韻》：「臐，羊羹。」《儀禮．公食大夫禮》：「膷以東，臐膮牛炙。」漢．鄭玄．注：「膷、臐、膮，今時臛也。牛曰膷、羊曰臐、豕曰膮。」</t>
  </si>
  <si>
    <t>纁</t>
  </si>
  <si>
    <t>[形]
淺紅色。《儀禮．士冠禮》：「服纁裳。」漢．鄭玄．注：「纁裳，淺絳裳，凡染絳一入謂之縓，再入謂之赬，三入謂之纁，朱則四入與。」
[名]
落日的餘暉。《楚辭．屈原．九章．思美人》：「指嶓冢之西隈兮，與纁黃以為期。」</t>
  </si>
  <si>
    <t>醺</t>
  </si>
  <si>
    <t>[動]
1.酒醉。如：「微醺」。唐．杜甫〈留別賈嚴二閣老兩院補闕〉詩：「去遠留詩別，愁多任酒醺。」
2.感染、暈染。如：「醺染」。宋．蔡伸〈臨江仙．昨夜中秋今夕望〉詞：「醉紅醺臉髻鬟偏。翠裙輕皺，端的為留仙。」</t>
  </si>
  <si>
    <t>旬</t>
  </si>
  <si>
    <t>ㄒㄩㄣˊ</t>
  </si>
  <si>
    <t>xún</t>
  </si>
  <si>
    <t>[名]
1.十天。如：「一旬」、「上旬」、「下旬」。唐．柳宗元〈鈷鉧潭西小邱記〉：「不匝旬而得異地者二，雖古好事之士，或未能至焉。」
2.十年。如：「六旬」、「九旬老父」。唐．白居易〈偶吟自慰兼呈夢得〉詩：「且喜同年滿七旬，莫嫌衰病莫嫌貧。」
[形]
滿、足。《漢書．卷八四．翟方進傳》：「方進旬歲間免兩司隸，朝廷由是憚之。」《三國志．卷一一．魏書．涼茂傳》：「旬月之間，襁負而至者千餘家。」</t>
  </si>
  <si>
    <t>洵</t>
  </si>
  <si>
    <t>[名]
河川名。古代濄水的分支。約在今大陸地區山西省太原市境內。《爾雅．釋水》：「濄為洵。」晉．郭璞．注：「大水溢出別為小水之名。」
[形]
疏遠。《詩經．邶風．擊鼓》：「于嗟洵兮，不我信兮。」
[副]
真實、確實。如：「洵屬可貴」。《詩經．邶風．靜女》：「自牧歸荑，洵美且異。」唐．韓愈〈復志賦〉：「非夫子之洵美兮，吾何為乎浚之都。」</t>
  </si>
  <si>
    <t>恂</t>
  </si>
  <si>
    <t>[動]
1.相信、信任。《列子．周穆王》：「黃帝、孔丘孰辨之哉？且恂士師之言可也。」
2.恐懼、害怕。《莊子．齊物論》：「木處則惴慄恂懼，猿猴然乎哉？」
3.通暢、暢達。《莊子．知北遊》：「思慮恂達，耳目聰明。」
[副]
急猝。《莊子．徐无鬼》：「眾狙見之，恂然棄而走。」</t>
  </si>
  <si>
    <t>峋</t>
  </si>
  <si>
    <t>徇</t>
  </si>
  <si>
    <t>[動]
1.使。《莊子．人間世》：「夫徇耳目內通而外於心知。」
2.營求、謀求。如：「徇私」。《史記．卷七．項羽本紀》：「今不恤士卒而徇其私，非社稷之臣。」</t>
  </si>
  <si>
    <t>(一)ㄒㄩㄣˋ xùn（07438）</t>
  </si>
  <si>
    <t>郇</t>
  </si>
  <si>
    <t>[名]
1.國名。周代諸侯國，姬姓，周文王子封於此。春秋時為晉所滅。故城約在今大陸地區山西省猗氏縣西南。
2.姓。如東漢時有郇越。</t>
  </si>
  <si>
    <t>(一)ㄏㄨㄢˊ huán（119060016）</t>
  </si>
  <si>
    <t>珣</t>
  </si>
  <si>
    <t>[名]
一種玉石。《說文解字．玉部》：「珣，醫無閭珣玗綦，《周書》所謂夷玉也。」</t>
  </si>
  <si>
    <t>栒</t>
  </si>
  <si>
    <t>[名]
1.古代懸掛鐘、鼓、磬的架上橫木。參見「栒虡」條。
2.樹木的枝幹。《山海經．北山經》：「其木多栒，其草多芍藥、芎藭。」</t>
  </si>
  <si>
    <t>荀</t>
  </si>
  <si>
    <t>[名]
1.國名。周代諸侯國，春秋時為晉所滅，故城約在今大陸地區山西省新絳縣西。
2.一種草。也稱為「荀草」。《山海經．中山經》：「青要之山有草焉，其狀如葌，而方莖黃華赤實，其本如稿本，名曰荀草，服之美人色。」
3.姓。如戰國時趙國有荀況。</t>
  </si>
  <si>
    <t>詢</t>
  </si>
  <si>
    <t>[動]
查問、徵求意見。如：「諮詢」、「質詢」、「詢問」。《書經．舜典》：「詢于四岳。」《文選．張衡．東京賦》：「訪萬機，詢朝政。」</t>
  </si>
  <si>
    <t>巡</t>
  </si>
  <si>
    <t>[動]
往來查看。如：「巡視」、「巡察」。《左傳．襄公三十一年》：「諸侯兵至，甸設庭燎，僕人巡宮。」
[名]
量詞。計算酌酒奉客的單位。如：「酒過三巡」。《紅樓夢》第五四回：「你也去斟一巡酒，豈不好？」</t>
  </si>
  <si>
    <t>紃</t>
  </si>
  <si>
    <t>[名]
用彩色絲線編成的圓形繩帶。《說文解字．糸部》：「紃，圜采也。」清．段玉裁．注：「圜采，以采線辮之，其體圜也。」《禮記．內則》：「織紝組紃。」唐．孔穎達．正義：「組是綬也。然則薄闊為組，似繩者為紃。」</t>
  </si>
  <si>
    <t>馴</t>
  </si>
  <si>
    <t>[動]_x000D_
1.馬順服。《說文解字．馬部》：「馴，馬順也。」《淮南子．說林》：「馬先馴而後求良。」_x000D_
2.使順服。如：「馴養」、「馴服」、「野性難馴」。漢．枚乘〈七發〉：「將為太子馴騏驥之馬，駕飛軨之輿。」唐．韓愈〈送惠師〉詩：「江魚不池活，野鳥難籠馴。」_x000D_
[形]_x000D_
1.順服的、溫和的。如：「溫馴」、「桀驁不馴」。宋．蘇軾〈放鶴亭記〉：「山人有二鶴，甚馴而善飛。」_x000D_
2.善良的。《漢書．卷四六．萬石衞直周張傳．萬石君石奮》：「以馴行孝謹，官至二千石。」_x000D_
[副]_x000D_
逐漸、漸進。《易經．坤卦》：「《象》曰：馴致其道，至堅冰也。」《宋史．卷三五七．列傳．譚世勣》：「小惡不懲，將馴至大患。」</t>
  </si>
  <si>
    <t>(二)ㄒㄩㄣˋ xùn（07442）</t>
  </si>
  <si>
    <t>循</t>
  </si>
  <si>
    <t>[動]
1.沿著、順著。《左傳．昭公七年》：「循牆而走。」《淮南子．本經》：「五星循軌而不失其行。」
2.遵守、依照。如：「依循」、「循規蹈矩」。《禮記．射義》：「卿大夫循法為節。」
3.撫摩。《韓非子．說林下》：「其一人舉踶馬，其一人從後而循之，三撫其尻而馬不踶。」《漢書．卷五四．李廣傳》：「數數自循其刀環，握其足。」
4.巡視。通「巡」。《墨子．迎敵祠》：「縣師受事，出葆，循溝防。」《禮記．月令》：「循行國邑，周視原野。」
[形]
善良守法的。如：「循吏」。
[副]
逐漸、漸漸。如：「循循善誘」。《聊齋志異．卷一．青鳳》：「蓋循循善教，有師範焉。」
[名]
姓。如南朝時梁有循景智。</t>
  </si>
  <si>
    <t>[名]
1.古代八尺稱為「一尋」。《詩經．魯頌．閟宮》：「是斷是度，是尋是尺。」宋．文天祥〈正氣歌〉：「室廣八尺，深可四尋。」
2.姓。如晉代有尋會。
[動]
1.找、探求。如：「找尋」。唐．韋應物〈寄全椒山中道士〉詩：「落葉滿空山，何處尋行跡。」
2.接續、繼續。《文選．向秀．思舊賦》：「聽鳴笛之慷慨兮，妙聲絕而復尋。」《梁書．卷三三．劉孝綽傳》：「殿下降情白屋，存問相尋。」
3.攀爬、攀緣。《文選．張衡．西京賦》：「烏獲扛鼎，都盧尋橦。」
4.動用、使用。《左傳．昭公元年》：「日尋干戈，以相征討。」《孔子家語．卷三．觀周》：「毫末不扎，將尋斧柯。」
5.重溫、重申。《左傳．哀公十二年》：「若可尋也，亦可寒也。」宋．王禹偁〈答黃宗旦書〉：「生復辱書惠文，以尋前好。」
[副]
1.經常、時常。唐．杜甫〈江南逢李龜年〉詩：「岐王宅裡尋常見，崔九堂前幾度聞。」
2.不久、隨即。《樂府詩集．卷七三．雜曲歌辭十三．古辭．焦仲卿妻》：「媒人去數日，尋遣丞請還。」《文選．李密．陳情表》：「尋蒙國恩，除臣洗馬。」
3.普通、一般。唐．劉禹錫〈烏衣巷〉詩：「舊時王謝堂前燕，飛入尋常百姓家。」唐．白居易〈新樂府．繚綾〉：「繚綾織成費功績，莫比尋常繒與帛。」</t>
  </si>
  <si>
    <t>(二)ㄒㄧㄣˊ xín（07168）</t>
  </si>
  <si>
    <t>潯</t>
  </si>
  <si>
    <t>[名]
1.水邊。《淮南子．原道》：「游於江潯海裔，馳要褭，建翠蓋。」唐．杜甫〈風疾舟中伏枕書懷三十六韻奉呈湖南親友〉詩：「城府開青旭，松筠起碧潯。」
2.大陸地區江西省九江縣的別稱。如：「南潯鐵路」。</t>
  </si>
  <si>
    <t>撏</t>
  </si>
  <si>
    <t>[動]
拉扯、拔取。如：「撏毛」、「撏綿扯絮」。唐．賈島〈原居即事言懷贈孫員外〉詩：「鑷撏白髮斷，兵阻尺書傳。」</t>
  </si>
  <si>
    <t>噚</t>
  </si>
  <si>
    <t>[名]
量詞。英制的長度單位，其英文原名為fathom，通常用於測量水深。一噚等於六英尺，合一點八二八八米（公尺）。</t>
  </si>
  <si>
    <t>燖</t>
  </si>
  <si>
    <t>[動]
1.將冷卻的熟食溫熱。通「燅」。《集韻．平聲．侵韻》：「燂，火孰物。或作燖、燅。」
2.將肉沉於湯中。《集韻．平聲．鹽韻》：「燖，沉肉於湯也。」宋．沈括《夢溪筆談．卷三．辯證一》：「祭禮有腥、燖、熟三獻。」
3.以熱水燙後去毛。如：「揚湯燖毛」。北魏．酈道元《水經注．溳水注》：「溫水出竟陵之新陽縣東澤中……其熱可以燖雞。」</t>
  </si>
  <si>
    <t>參見「蕁麻」條。</t>
  </si>
  <si>
    <t>(一)ㄊㄢˊ tán（02557）</t>
  </si>
  <si>
    <t>蟳</t>
  </si>
  <si>
    <t>[名]
動物名。甲殼綱十足目。頭胸甲橫卵圓形，表面隆起，前側緣左右各有六顆銳齒。螯足強大，足上各節背、腹緣均具有剛毛，第四對足扁平似槳，適於游泳。腹部密被著軟毛。棲息於水草、泥沙的淺海海底，或潛伏於石頭下。分布於韓國、日本與大陸地區沿海。可供食用。</t>
  </si>
  <si>
    <t>鱘</t>
  </si>
  <si>
    <t>[名]
動物名。脊椎動物亞門硬骨魚綱鱘目。體長呈紡綞形，體色青黃，腹白，體上有五列縱行骨板。口小，嘴尖長，下有觸鬚四根，用於探物。左右鰓膜不相連，尾鰭上大而下小。生活於淡水或江河近海處，夏季繁殖時溯至河流上游產卵。肉可食，卵可製成魚子醬，鰾可做魚膠，為重要的經濟性魚類。大陸地區有長江鱘、中國鱘、東北鱘等三種。</t>
  </si>
  <si>
    <t>卂</t>
  </si>
  <si>
    <t>ㄒㄩㄣˋ</t>
  </si>
  <si>
    <t>xùn</t>
  </si>
  <si>
    <t>[動]
快速飛行。《說文解字．卂部》：「卂，疾飛也。」</t>
  </si>
  <si>
    <t>汛</t>
  </si>
  <si>
    <t>[動]
灑。如：「汛掃」。《說文解字．水部》：「汛，灑也。」《文選．揚雄．劇秦美新》：「況盡汛掃前聖數千載功業，專用己之私，而能享祐者哉！」
[名]
1.河流江海定期的漲水。如：「潮汛」、「秋汛」、「桃花汛」。《老殘遊記》第一三回：「大汛到咧！大汛到咧！」
2.婦女的月經。如：「月汛」、「天癸汛」。</t>
  </si>
  <si>
    <t>迅</t>
  </si>
  <si>
    <t>[形]
快速的。如：「迅風」、「迅速」。《論語．鄉黨》：「有盛饌必變色而作，迅雷風烈必變。」
[副]
快速的。如：「迅駛」。《漢書．卷二九．溝洫志》：「河湯湯兮激潺湲，北渡回兮迅流難。」</t>
  </si>
  <si>
    <t>訊</t>
  </si>
  <si>
    <t>[動]
1.詢問。《說文解字．言部》：「訊，問也。」《詩經．小雅．正月》：「召彼故老，訊之占夢。」《文選．陸機．文賦》：「其始也，皆收視反聽，耽思傍訊。」
2.審問。如：「審訊」、「偵訊」。《莊子．列禦寇》：「宵人之離外刑者，金木訊之。」《文選．鄒陽．獄中上書自明》：「左右不明，卒從吏訊，為世所疑。」
3.責問、指責。《國語．吳語》：「吳王還自伐齊，乃訊申胥。」
4.諫告、告訴。《詩經．陳風．墓門》：「夫也不良，歌以訊之。」三國魏．嵇康〈四言贈兄秀才入軍〉詩一八章之一一：「仰訊高雲，俯託輕波。」
[名]
消息、信息。如：「喜訊」、「問訊」。唐．元稹〈酬樂天早春閑遊西湖〉詩：「故交音訊少，歸夢往來頻。」</t>
  </si>
  <si>
    <t>侚</t>
  </si>
  <si>
    <t>[形]
敏捷、疾速。《說文解字．人部》：「侚，疾也。」
[動]
為達某種目的、理想而犧牲生命。通「徇」、「殉」。《敦煌變文集新書．卷二．長興四年中興殿應聖節講經文》：「弟子常欲齋戒不煞，迫以身侚物，不獲從志。」</t>
  </si>
  <si>
    <t>[動]
1.巡行時示眾並宣布號令。《左傳．桓公十三年》：「莫傲使徇于師曰：『諫者有刑。』」《史記．卷六五．孫子吳起傳》：「遂斬隊長二人以徇。」
2.攻占、掠取。《史記．卷七．項羽本紀》：「籍為裨將，徇下縣。」《後漢書．卷一．光武帝紀上》：「光武別與諸將徇昆陽、定陵、郾，皆下之。」
3.順從。《左傳．文公十一年》：「郕大子朱儒自安於夫鍾，國人弗徇。」清．張爾岐〈辨志〉：「耽口體之養，徇耳目之娛。」
4.為達某種目的、理想而犧牲生命。通「殉」。《漢書．卷四八．賈誼傳》：「貪夫徇財，烈士徇名。」《文選．司馬遷．報任少卿書》：「常思奮不顧身，以徇國家之急。」
[形]
迅速。通「侚」。如：「徇蒙」。《墨子．公孟》：「身體強良，思慮徇通。」</t>
  </si>
  <si>
    <t>(二)ㄒㄩㄣˊ xún（07415）</t>
  </si>
  <si>
    <t>迿</t>
  </si>
  <si>
    <t>[動]_x000D_
爭先、搶鋒頭。《公羊傳．定公四年》：「朋友相衛而不相迿。」漢．何休．解詁：「迿，出表詞，猶先也。」</t>
  </si>
  <si>
    <t>殉</t>
  </si>
  <si>
    <t>[動]
1.用人或器物陪葬。《禮記．檀弓下》：「陳子車死於衛，其妻與其家大夫謀以殉葬。」南朝梁．劉勰《文心雕龍．哀弔》：「昔三良殉秦，百夫莫贖。」
2.為達某種目的、理想而犧牲生命。如：「殉國」、「殉職」。《孟子．盡心上》：「天下有道，以道殉身；天下無道，以身殉道。」《文選．江淹．雜體詩．鮑參軍》：「殉義非為利。」
3.貪求、追求。《文選．陸機．豪士賦序》：「游子殉高位於生前，志士思垂名於身後。」</t>
  </si>
  <si>
    <t>訓</t>
  </si>
  <si>
    <t>[動]
1.說教、教誨。如：「教訓」、「訓誡」。《左傳．桓公十三年》：「訓諸司以德。」
2.教練、操練。如：「訓練」。《晉書．卷三十四．羊祜傳》：「祜善甲訓卒，廣為戒備。」《宋史．卷三六一．張浚傳》：「訓新集之兵，當方張之敵。」
3.順從、服從。漢．揚雄《法言．修身》：「上士之耳訓乎德，下士之耳順乎己。」
4.解釋文字的意義。參見「訓詁」條。
[名]
1.教訓、告誡。如：「庭訓」。《詩經．大雅．烝民》：「古訓是式，威儀是力。」《國語．周語下》：「啟先王之遺訓，省其典圖刑法。」
2.法則、典則。《書經．胤征》：「聖有謨訓，明徵定保。」
3.姓。如明代有訓濬。</t>
  </si>
  <si>
    <t>[動]
教誨、教導。通「訓」。《史記．卷一〇．孝文本紀》：「今列侯多居長安，邑遠，吏卒給輸費苦，而列侯亦無由教馴其民。」</t>
  </si>
  <si>
    <t>(一)ㄒㄩㄣˊ xún（07423）</t>
  </si>
  <si>
    <t>孫</t>
  </si>
  <si>
    <t>[形]
謙卑、恭順。《禮記．緇衣》：「民有孫心。」《論語．陽貨》：「近之則不孫，遠之則怨。」
[動]
遁逃、流亡。《春秋．莊公元年》：「夫人孫于齊。」</t>
  </si>
  <si>
    <t>(一)ㄙㄨㄣ sūn（10182）(三)（(二)之又音）ㄙㄨㄣˋ sùn（10192）</t>
  </si>
  <si>
    <t>遜</t>
  </si>
  <si>
    <t>[動]
1.逃避。《書經．微子》：「我其發出狂，吾家耄遜于荒。」《文選．揚雄．劇秦美新》：「是耆儒碩老，抱其書而遠遜。」
2.退讓。如：「遜國」。《後漢書．卷九．孝獻帝紀》：「皇帝遜位，魏王丕稱天子。」
3.謙恭。如：「謙遜」、「出言不遜」。《宋史．卷三一四．范仲淹傳》：「元昊答書語不遜，仲淹對來使焚之。」
4.比不上、不及。如：「略遜一籌」。明．徐弘祖《徐霞客遊記．卷三上．粵西遊日記二》：「北望山半，亦有洞南向，高少遜北巔。」
[形]
差勁。如：「你真遜，這種題目也考不及格。」
[名]
姓。如唐代有遜揆，清代有遜柱。</t>
  </si>
  <si>
    <t>(二)（又音）ㄙㄨㄣˋ sùn（10193）</t>
  </si>
  <si>
    <t>巽</t>
  </si>
  <si>
    <t>[名]
《易經》卦名：(1)八卦之一。卦形☴。代表風。(2)六十四卦之一。巽下（☴）巽上（☴）。象上下皆順，不相違逆，風行無所不入之義。
[動]
辭讓。通「遜」。《書經．堯典》：「汝能庸命，巽朕位。」
[形]
卑順、謙恭。《論語．子罕》：「巽與之言，能無說乎？」唐．韓愈〈答魏博田僕射書〉：「位望益尊，謙巽滋甚。」</t>
  </si>
  <si>
    <t>(二)（又音）ㄙㄨㄣˋ sùn（10194）</t>
  </si>
  <si>
    <t>潠</t>
  </si>
  <si>
    <t>(一)ㄙㄨㄣˋ sùn（10195）</t>
  </si>
  <si>
    <t>噀</t>
  </si>
  <si>
    <t>[動]
將水含在口中噴出去。泛指噴射。《後漢書．卷五七．欒巴傳》「所在有績，徵拜尚書」句下章懷太子注引《神仙傳》：「巴獨後到，又飲酒西南噀之。」元．喬吉〈水仙子．風吹絲雨噀窗紗〉曲：「風吹絲雨噀窗紗，苔和酥泥葬落花。」</t>
  </si>
  <si>
    <t>(二)（又音）ㄙㄨㄣˋ sùn（10196）</t>
  </si>
  <si>
    <t>[動]
窒息而中毒。如：「小心不要被煤氣熏著了。」
[形]
聲名狼藉。如：「這個人都熏了，誰也不願與他共事。」</t>
  </si>
  <si>
    <t>(一)ㄒㄩㄣ xūn（07402）</t>
  </si>
  <si>
    <t>[名]
一種寄生在木上的隱花植物。種類很多，多成傘形。顏色鮮豔的蕈類通常含有劇毒，無毒的則鮮美可食。如松蕈、香蕈等。</t>
  </si>
  <si>
    <t>(二)（又音）ㄒㄧㄣˋ xìn（07176）</t>
  </si>
  <si>
    <t>凶</t>
  </si>
  <si>
    <t>ㄒㄩㄥ</t>
  </si>
  <si>
    <t>xiōng</t>
  </si>
  <si>
    <t>[形]
1.惡、殘暴。如：「凶惡殘暴」。《書經．泰誓中》：「凶人為不善，亦惟日不足。」
2.不吉利的、不吉祥的。如：「凶兆」、「凶信」。
3.收成不好的、鬧饑荒的。如：「凶年」、「凶歲」。
4.厲害、激烈。如：「雨勢很凶」、「哭得很凶」、「鬧得很凶」。
[名]
1.不祥、災禍。如：「趨吉避凶」。《詩經．王風．兔爰》：「我生之後，逢此百凶，尚寐無聰。」
2.殘暴的惡人。《隋書．卷七〇．李密傳》：「宜當廓清天下，誅剪群凶。」漢．曹操〈蒿里行〉：「關東有義士，興兵討群凶。」
[動]
恐懼、懼怕。通「兇」。《國語．晉語一》：「敵入而凶，救敗不暇。」</t>
  </si>
  <si>
    <t>兇</t>
  </si>
  <si>
    <t>[動]
驚擾、恐懼不安。《左傳．僖公二十八年》：「曹人兇懼。」
[形]
凶惡。通「凶」。南朝宋．劉義慶《世說新語．自新》：「周處年少時，兇彊俠氣，為鄉里所患。」</t>
  </si>
  <si>
    <t>匈</t>
  </si>
  <si>
    <t>[名]
1.身體前面頸下腹上的部分。為胸的本字。《管子．任法》：「是以官無私論，士無私議，民無私說，皆虛其匈以聽於上。」《文選．吳質．答魏太子牋》：「猶欲觸匈奮首。」
2.中國古代的北方民族。參見「匈奴」條。
3.匈牙利共和國的簡稱。
[動]
喧擾不安。《漢書．卷一．高帝紀下》：「天下匈匈，勞苦數歲。」</t>
  </si>
  <si>
    <t>忷</t>
  </si>
  <si>
    <t>[動]
恐懼、喧擾不安。《資治通鑑．卷一三四．宋紀十六．順帝昇明元年》：「朝廷聞之，忷懼。」</t>
  </si>
  <si>
    <t>洶</t>
  </si>
  <si>
    <t>參見「洶動」、「洶涌」等條。</t>
  </si>
  <si>
    <t>恟</t>
  </si>
  <si>
    <t>[動]
驚恐、懼怕。唐．柳宗元〈佩韋賦〉：「恟驚怛而躑躅兮。」《新唐書．卷一六八．王叔文傳》：「斬執誼與不附己者，聞者恟懼。」</t>
  </si>
  <si>
    <t>哅</t>
  </si>
  <si>
    <t>[名]
哅哅：喧嚷的聲音。《荀子．解蔽》：「掩耳而聽者，聽漠漠而以為哅哅。」</t>
  </si>
  <si>
    <t>胸</t>
  </si>
  <si>
    <t>[名]
1.身體前面頸下腹上的部分。如：「挺胸」。
2.心中、內心。如：「胸有大志」。宋．蘇軾〈篔簹谷偃竹記〉：「畫竹必先得成竹於胸中。」
3.指人的氣量、懷抱。如：「心胸狹窄」。</t>
  </si>
  <si>
    <t>兄</t>
  </si>
  <si>
    <t>[名]
稱謂：(1)用以稱同胞先出生者。如：「長兄如父」。(2)用以尊稱同輩中比自己年紀大的男性。如：「表兄」。(3)朋友間相互的敬稱。如：「仁兄」、「老兄」。唐．韓愈〈與孟尚書書〉：「辱吾兄眷厚，而不獲承命。」</t>
  </si>
  <si>
    <t>(一)（讀音）ㄑㄩㄥ qiōng（06715）(二)（(一)之又音）ㄑㄩㄥˊ qióng（06720）</t>
  </si>
  <si>
    <t>雄</t>
  </si>
  <si>
    <t>ㄒㄩㄥˊ</t>
  </si>
  <si>
    <t>xióng</t>
  </si>
  <si>
    <t>[名]
1.公鳥。唐．杜甫〈義鶻行〉：「雄飛遠求食，雌者鳴辛酸。」
2.勇敢傑出的人或強大的國家。如：「戰國七雄」、「一代梟雄」。《漢書．卷四三．酈食其傳》：「且兩雄不俱立，楚漢久相持不決，百姓騷動，海內搖蕩。」
3.勝利。《史記．卷七．項羽本紀》：「天下匈匈數歲者，徒以吾兩人耳，願與漢王挑戰決雌雄，毋徒苦天下之民父子為也。」
[形]
1.陽性的或指生物中能產生精細胞的。如：「雄鴨」、「雄雞」。《詩經．齊風．南山》：「南山崔崔，雄狐綏綏。」
2.超群的、傑出的。《三國志．卷二二．魏書．陳矯傳》：「雄姿傑出，有王霸之略。」
3.威武有力。如：「雄壯」。唐．劉禹錫〈奉送裴司徒令公自東都留守再命太原〉詩：「行色旌旗動，軍聲鼓角雄。」</t>
  </si>
  <si>
    <t>熊</t>
  </si>
  <si>
    <t>[名]
1.動物名。哺乳綱食肉目。頭大，四肢粗短，力氣大。用腳掌走路，能攀登樹木。全身覆濃毛，有冬眠習慣，而以肉食為主，多產於寒帶。
2.姓。如清代有熊成基。</t>
  </si>
  <si>
    <t>詗</t>
  </si>
  <si>
    <t>ㄒㄩㄥˋ</t>
  </si>
  <si>
    <t>xiòng</t>
  </si>
  <si>
    <t>[動]
刺探、偵察。《史記．卷一一八．淮南王傳》：「王愛陵，常多予金錢，為中詗長安，約結上左右。」《新唐書．卷一二五．張說傳》：「窺詗時事。」</t>
  </si>
  <si>
    <t>敻</t>
  </si>
  <si>
    <t>[動]
營求。《說文解字．𥄎部》：「敻，營求也。」
[副]
廣闊遙遠。《穀梁傳．文公十四年》：「過宋鄭滕薛，敻入千乘之國，欲變人之主。」唐．李華〈弔古戰場文〉：「浩浩乎平沙無垠，敻不見人。」</t>
  </si>
  <si>
    <t>之</t>
  </si>
  <si>
    <t>ㄓ</t>
  </si>
  <si>
    <t>zhī</t>
  </si>
  <si>
    <t>[介]
1.的、底。《論語．公冶長》：「夫子之文章。」《左傳．襄公十四年》：「余弟死，而子來，是而子殺余之弟也。」
2.於。《易經．比卦．象曰》：「比之匪人，不亦傷乎？」《禮記．大學》：「人之其所親愛而辟焉。」
3.諸、之於。《孟子．滕文公上》：「禹疏九河，瀹濟、漯而注諸海；決汝、漢，排淮、泗而注之江。」
[連]
1.與、及。《書經．立政》：「文王罔攸兼于庶言、庶獄、庶慎，惟有司之牧夫。」《呂氏春秋．仲夏紀．適音》：「樂之弗樂者，心也。」
2.而。《戰國策．秦策二》：「臣恐王為臣之投杼也。」
3.若、如果。《書經．盤庚上》：「邦之臧，惟汝眾，邦之不臧，惟予一人有佚罰。」《論語．子張》：「我之大賢與，於人何所不容？我之不賢與，人將拒我，如之何其拒人也？」
4.則。《左傳．僖公九年》：「東略之不知，西則否矣。」《呂氏春秋．仲春紀．功名》：「故民無常處，見利之聚，無之去。」
[助]
用於強調或補足語氣，無義。《書經．西伯戡黎》：「殷之即喪！指乃功，不無戮于爾邦？」《史記．卷四八．陳涉世家》：「悵恨久之。」
[代]
1.他、彼。《書經．皋陶謨》：「安民則惠，黎民懷之。」《論語．顏淵》：「愛之欲其生。」
2.其、他的。《武王伐紂平話．卷中》：「紂王令推上法場，斬之老母。」清．王士禎《池北偶談．卷二四．談異五．女化男》：「乃以聘禮還之夫家。」
3.此、這個。《詩經．邶風．日月》：「乃如之人兮，逝不古處。」《莊子．知北遊》：「知以之言也，問乎狂屈。」
[動]
1.往。如唐朝李白有〈黃鶴樓送孟浩然之廣陵〉詩。《詩經．鄘風．載馳》：「百爾所思，不如我所之。」
2.至、到。《西京雜記》卷五：「此自少之多，自微至著也。」
3.是、為。《公羊傳．宣公十五年》：「吾見子之君子也，是以告情于子也。」漢．揚雄《法言．吾子》：「羊質而虎皮，見草而說，見豺而戰，忘其皮之虎也。」
4.取用。《戰國策．齊策三》：「故物舍其所長，之其所短，堯亦有所不及矣。」
[名]
姓。如漢代有之馬宇。</t>
  </si>
  <si>
    <t>芝</t>
  </si>
  <si>
    <t>[名]
植物名。多孔菌科靈芝屬。「靈芝」之簡稱，參見「靈芝」條。</t>
  </si>
  <si>
    <t>支</t>
  </si>
  <si>
    <t>[名]_x000D_
1.草木的枝條。通「枝」。《詩經．衛風．芄蘭》：「芄蘭之支，童子佩觿。」《漢書．卷四九．爰盎鼂錯傳．鼂錯》：「屮木蒙蘢，支葉茂接。」_x000D_
2.旁系、分出的派別。如：「旁支」、「分支」。《清史稿．卷一五七．邦交志五》：「中國亦允由德州至正定府及由兗州府或幹路中之他處過濟寧州至開封府兩支路，於十五年內由中國自行籌辦，並聲明儻用洋款，須向德華公司商借。」_x000D_
3.手腳。通「肢」。《易經．坤卦．文言》：「美在其中而暢於四支。」_x000D_
4.地支的簡稱。《史記．卷二六．曆書》：「焉逢攝提格太初元年。」司馬貞索隱引《爾雅》：「歲陰者，子、丑、寅、卯、辰、巳、午、未、申、酉、戌、亥十二支是也。」_x000D_
5.量詞：(1)計算隊伍的單位。如：「一支軍隊」、「兩支隊伍」。(2)計算歌曲、樂曲或舞蹈的單位。如：「兩支歌曲」、「一支新舞」。《紅樓夢》第二二回：「這個人悟了。都是我的不是，都是我昨兒一支曲子惹出來的。」(3)計算細長或桿狀物體的單位。《紅樓夢》第二七回：「迎春又令丫鬟炷了一支『夢甜香』。」《老殘遊記》第三回：「穿了件紫棕熟羅棉大襖，手裡捧了一支洋白銅二馬車水煙袋。」《孽海花》第三四回：「一手在衣袋裡，掏出一支防身的小手鎗，拔步往前就沖。」(4)計算綿紗精細程度的單位。支數愈多，紗質愈細。如：「八十支紗」。(5)計算燈光強度的單位。如：「四十支光」。_x000D_
6.姓。如唐代有支叔才。_x000D_
7.二一四部首之一。_x000D_
[動]_x000D_
1.撐持、維持。《國語．越語下》：「皆知其資財之不足以支長久也。」《水滸傳》第九九回：「我這威勝萬山環列，糧草足支二年。」_x000D_
2.承受、受得住。如：「體力不支」、「樂不可支」。_x000D_
3.付款。如：「收支」、「開支」。_x000D_
4.領取。如：「預支」、「先支了一個月的薪水。」_x000D_
5.調度、分配、遣走。如：「支配」、「把他支走了。」_x000D_
[形]_x000D_
別出的、由總體分出來的。如：「支店」、「支行」。</t>
  </si>
  <si>
    <t>吱</t>
  </si>
  <si>
    <t>[擬]
形容小動物或細碎尖銳的聲音。如：「小松鼠在樹上吱吱的叫。」《兒女英雄傳》第一一回：「一句話未完，只聽得山腰裡吱的一聲這頭響箭，一直射在半空裡去。」或讀為ㄗ zī。</t>
  </si>
  <si>
    <t>[名]_x000D_
1.樹幹從旁生出的枝條。《說文解字．木部》：「枝，木別生條也。」如：「枝幹」、「枯枝」、「嫩枝」。《莊子．逍遙遊》：「鷦鷯巢於深林，不過一枝；偃鼠飲河，不過滿腹。」_x000D_
2.凡自同一本源而分出者。《左傳．莊公六年》：「《詩》云：『本枝百世。』」《荀子．儒效》：「故以枝代主而非越也。」_x000D_
3.四肢。通「肢」。《莊子．大宗師》：「墮枝體，黜聰明，離形去知。」_x000D_
4.量詞：（1）計算植物的單位。如：「一枝花」。唐．白居易〈長恨歌〉：「玉容寂寞淚闌干，梨花一枝春帶雨。」宋．葉紹翁〈遊園不值〉詩：「春色滿園關不住，一枝紅杏出牆來。」（2）計算細長物體的單位。如：「三枝毛筆」。元．鄭光祖《智勇定齊》第二折：「潑毛團帶著我一枝金鈚箭走了也。……眾人跟著某，務要趕上。」《水滸傳》第三回：「鬅鬆雲髻，插一枝青玉簪兒。」《蕩寇志》第一回：「左首將台上，豎著一枝沖霄拔地的黃漆旗竿，上有一面杏黃旗。」（3）計算隊伍的單位。《三寶太監西洋記通俗演義》第三七回：「元帥老爺吩咐旗牌官撥出一枝軍馬，跟隨鄭護衛出陣成功。」_x000D_
5.姓。如漢代有枝百英。_x000D_
[形]_x000D_
不中肯的、不一致的。《易經．繫辭下》：「中心疑者，其辭枝。」</t>
  </si>
  <si>
    <t>(二)ㄑㄧˊ qí（06241）</t>
  </si>
  <si>
    <t>肢</t>
  </si>
  <si>
    <t>[名]
人或動物的手腳。如：「肢體」、「四肢」。《孟子．盡心下》：「四肢之於安佚也，性也。」</t>
  </si>
  <si>
    <t>鳷</t>
  </si>
  <si>
    <t>參見「鳷鵲」條。</t>
  </si>
  <si>
    <t>氏</t>
  </si>
  <si>
    <t>參見「月氏」條。</t>
  </si>
  <si>
    <t>(一)ㄕˋ shì（08736）</t>
  </si>
  <si>
    <t>疧</t>
  </si>
  <si>
    <t>[動]
生病。《說文解字．疒部》：「疧，病不翅也。」</t>
  </si>
  <si>
    <t>[副]
正、恰、只。《詩經．小雅．何人斯》：「胡逝我梁，祇攪我心。」三國魏．曹丕〈煌煌京洛行〉：「多言寡誠，祇令事敗。」或讀為ㄓˇ zhǐ。</t>
  </si>
  <si>
    <t>(一)ㄑㄧˊ qí（06266）</t>
  </si>
  <si>
    <t>秖</t>
  </si>
  <si>
    <t>[動]
穀物開始成熟。《玉篇．禾部》：「秖，穀始熟也。」</t>
  </si>
  <si>
    <t>胝</t>
  </si>
  <si>
    <t>[名]
手、腳掌因磨擦所產生的厚皮。如：「胼胝」。《文選．任昉．百辟勸進今上牋》：「雖累繭救宋，重胝存楚，居今觀古，曾何足云。」</t>
  </si>
  <si>
    <t>[副]
但、正好。同「祇」。《左傳．僖公十五年》：「晉未可滅，而殺其君，衹以成惡。」</t>
  </si>
  <si>
    <t>(一)ㄑㄧˊ qí（06267）</t>
  </si>
  <si>
    <t>祗</t>
  </si>
  <si>
    <t>[副]
1.恭敬的。如：「祗頌學祺」、「祗請尊安」。《南史．卷四〇．黃回傳》：「回既貴，祗事戴明寶甚謹。」
2.適、僅、只。唐．張若虛〈春江花月夜〉詩：「人生代代無窮已，江月年年祗相似。」</t>
  </si>
  <si>
    <t>汁</t>
  </si>
  <si>
    <t>[名]
物體中所含的水分、液體。如：「肉汁」、「果汁」。也稱為「汁水兒」、「汁兒」。</t>
  </si>
  <si>
    <t>只</t>
  </si>
  <si>
    <t>[名]_x000D_
量詞：同「隻」。(1)計算成對物品的單一部分。元．鄭光祖《王粲登樓》第四折：「住者，兩只手撈菱相似。」《兒女英雄傳》第一七回：「所以姑娘起先聽著鄧九公、褚一官合那莊客三人說話，還不在意，不過睜著兩只小眼睛兒，撥瞪兒撥瞪兒的在一旁聽熱鬧兒。」(2)計算船隻的單位。如：「一只小船」。《石點頭．卷八．貪婪漢六院賣風流》：「前日有個客人，一只小船，裝了些布匹，一時貪小，不去投稅，徑從張家橋轉關。」(3)計算物體件數的單位。如：「一只戒指」。《負曝閑談》第九回：「四喜袋裡別的不打緊，只有一只五卡利的金鋼鑽戒指，要值到一千塊洋錢。」</t>
  </si>
  <si>
    <t>(一)ㄓˇ zhǐ（07524）</t>
  </si>
  <si>
    <t>胑</t>
  </si>
  <si>
    <t>[名]
人的手腳。同「肢」。《荀子．君道》：「塊然獨坐而天下從之如一體，如四胑之從心。」《淮南子．脩務》：「四胑不動，思慮不用，事治求澹者，未之聞也。」</t>
  </si>
  <si>
    <t>卮</t>
  </si>
  <si>
    <t>[名]
1.古代盛酒的器具。《史記．卷八．高祖本紀》：「高祖奉玉卮，起為太上皇壽。」宋．蘇軾〈南鄉子．寒雀滿疏籬〉詞：「忽見客來花下坐，驚飛。蹋散芳英落酒卮。」
2.量詞。古代計算酒器所裝液體的單位。相當於「杯」。《初刻拍案驚奇》卷六：「官人感夫人盛情，特備一卮酒謝夫人。」</t>
  </si>
  <si>
    <t>知</t>
  </si>
  <si>
    <t>[動]
1.明白、了解、察覺。如：「相知相許」。唐．李紳〈古風〉詩二首之二：「誰知盤中餐，粒粒皆辛苦。」
2.識別、區別。《禮記．樂記》：「知樂則幾於禮矣。」《淮南子．脩務》：「孿子之相似者，唯其母能知之。」
3.相交、交往。《左傳．昭公四年》：「公孫明知叔孫於齊。」《荀子．不苟》：「君子易知而難狎。」
4.招待、禮遇、賞識。《南史．卷一九．謝靈運傳》：「自謂才能宜參權要，既不見知，常懷慎惋。」唐．岑參〈北庭西郊候封大夫受降回軍獻上〉詩：「何幸一書生，忽蒙國士知。」
5.掌管、主持。《國語．越語》：「有能助寡人謀而退吳者，吾與之共知越國之政。」《新唐書．卷八五．王世充傳》：「帝愛昵之，拜江都通守，兼知宮監事。」
[名]
1.識見、學問。如：「求知」、「真知灼見」。《論語．子罕》：「吾有知乎哉？無知也。」
2.意識、感覺。《荀子．王制》：「草木有生而無知。」漢．范縝〈神滅論〉：「手等亦應能有痛癢之知。」
3.知己、朋友。如：「故知」、「舊雨新知」。</t>
  </si>
  <si>
    <t>(二)ㄓˋ zhì（07567）</t>
  </si>
  <si>
    <t>蜘</t>
  </si>
  <si>
    <t>參見「蜘蛛」條。</t>
  </si>
  <si>
    <t>隻</t>
  </si>
  <si>
    <t>[形]_x000D_
1.孤獨的、單獨的。如：「形單影隻」。_x000D_
2.奇數、單一的。《新唐書．卷四八．百官志三》：「隻日，臺院受事；雙日，殿院受事。」_x000D_
3.獨特的、特殊的。如：「獨具隻眼」。宋．陸游〈書志〉詩：「讀書雖復具隻眼，貯酒其如無別腸。」_x000D_
[名]_x000D_
量詞：(1)計算飛禽走獸等動物。如：「一隻雞」、「兩隻兔子」。《初刻拍案驚奇》卷七：「合圍既罷，前驅擒得大角鹿一隻，將付庖廚烹宰。」《儒林外史》第二七回：「如今買一隻板鴨和幾斤肉，再買一尾魚來，託王羽秋老爹來收拾，做個四樣纔好。」(2)計算成對物品的單一部分。如：「一隻襪子」、「睜一隻眼，閉一隻眼。」《警世通言．卷四．拗相公飲恨半山堂》：「&amp;f4ff2_.png;公登了東，覷個空，就左腳脫下一隻方舄，將舄底向土牆上抹得字跡糊塗，方纔罷手。」《老殘遊記》第九回：「那女子伸出一隻白如玉、軟如棉的手來，隔著炕桌子，握著子平的手。」(3)計算船隻的單位。如：「一隻小船」。《警世通言．卷二八．白娘子永鎮雷峰塔》：「正沒擺佈處，只見一個老兒，搖著一隻船過來。」(4)計算樂曲的單位。《金瓶梅》第五四回：「吳銘、李惠立在太湖石邊，輕撥琵琶，漫擎檀板，唱一隻曲。」《清平山堂話本．簡貼和尚》：「當日推出這和尚來，一個書會先生看見，就法場上做了一隻曲兒，喚做南鄉子。」(5)計算物體件數的單位。通「只」。如：「一隻箱子」、「一隻手錶」、「一隻玉鐲」。《警世通言．卷三．王安石三難蘇學士》：「先取白定碗一隻，投陽羨茶一撮於內。」</t>
  </si>
  <si>
    <t>脂</t>
  </si>
  <si>
    <t>[名]
1.動植物體內的油質。如：「脂肪」、「羊脂」、「松脂」。
2.胭脂的簡稱。指化妝品。如：「脂粉」、「香脂」。《韓非子．顯學》：「故善毛嗇、西施之美，無益吾面，用脂澤粉黛，則倍其初。」
3.比喻財物。如：「民脂民膏」。
4.姓。如三國時魏國有脂司。
[動]
上油潤滑。《詩經．小雅．何人斯》：「爾之亟行，遑脂爾車。」</t>
  </si>
  <si>
    <t>梔</t>
  </si>
  <si>
    <t>[名]
植物名。茜草科梔子屬，「梔子」或「黃梔子」之古稱。參見「梔子」條。
[動]
染色、塗飾。唐．柳宗元〈鞭賈〉：「今之梔其貌，蠟其言，以求賈技於朝。」</t>
  </si>
  <si>
    <t>搘</t>
  </si>
  <si>
    <t>[動]
支撐。如：「以木搘牆」、「以手搘頤」。唐．李賀〈春晝〉詩：「越婦搘機，吳蠶作繭。」清．秋瑾《秋瑾女俠遺集．詩．題芝龕記》：「曾有威名振九州，搘撐乾坤女土司。」</t>
  </si>
  <si>
    <t>榰</t>
  </si>
  <si>
    <t>[名]
基石、柱腳。《說文解字．木部》：「榰，柱氐也，古用木，今以石。」
[動]
支撐。《爾雅．釋言》：「榰，柱也。」唐．孟郊〈懷南岳隱士〉詩二首之二：「楓梩搘酒甕，鶴蝨落琴床。」</t>
  </si>
  <si>
    <t>織</t>
  </si>
  <si>
    <t>[動]
1.用絲、麻、棉、毛等物編製物品。如：「編織」、「紡織」、「織布」。
2.結合、組成。如：「組織」、「愛恨交織」。</t>
  </si>
  <si>
    <t>直</t>
  </si>
  <si>
    <t>ㄓˊ</t>
  </si>
  <si>
    <t>zhí</t>
  </si>
  <si>
    <t>[形]
1.不彎曲的。如：「筆直」、「直線」。
2.不邪曲，沒有私心的。如：「正直」、「耿直」。
3.縱的、豎的。如：「直行書寫」、「鉛直線」。
4.行為或性格坦白爽快。如：「心直口快」、「直性子」。
5.呆板、僵硬。如：「兩眼發直」、「雙腿僵直」。
[副]
1.但、只、不過。《孟子．梁惠王上》：「直不百步耳，是亦走也。」
2.竟然、居然。金．元好問〈水調歌頭．恨人閒〉詞：「恨人閒、情是何物，直教生死相許？」《水滸傳》第一回：「我直如此有眼不識真師，當面錯過。」
3.沒有間隔的。參見「直達」條。
[動]
1.抵得上。通「值」。《史記．卷三〇．平準書》：「乃以白鹿皮方尺，緣以藻繢，為皮幣，直四十萬。」
2.抵擋。《漢書．卷二三．刑法志》：「魏之武卒不可以直秦之銳士。」
3.當班、站勤。通「值」。《金史．卷一七．哀宗本紀上》：「日二人直，備顧問。」
[名]
1.報酬、酬金。《後漢書．卷四七．班超傳》：「為官寫書，受直以養老母。」
2.姓。如漢代有直不疑。</t>
  </si>
  <si>
    <t>值</t>
  </si>
  <si>
    <t>[名]
1.價格。如：「價值」。
2.數值的簡稱。如：「平均值」。
[動]
1.面對。《史記．卷一二二．酷吏傳．義縱傳》：「寧見乳虎，無值寧成之怒。」漢．王充《論衡．實知》：「至漢興，長樂在其東，未央宮在其西，武庫正值其墓，竟如所言。」
2.執行勤務。如：「值班」、「值勤」。
3.抵得上。《水滸傳》第六回：「值是值二千貫，只沒個識主。」《紅樓夢》第三一回：「幾把扇子，能值幾何？」</t>
  </si>
  <si>
    <t>(二)ㄓˋ zhì（07575）</t>
  </si>
  <si>
    <t>埴</t>
  </si>
  <si>
    <t>[名]
1.黏土。《書經．禹貢》：「厥土赤埴，墳草木漸包。」《荀子．性惡》：「故陶人埏埴而為器，然則器生於工人之偽，非故生於人之性也。」
2.土地。漢．揚雄《法言．修身》：「擿埴索塗，冥行而已。」</t>
  </si>
  <si>
    <t>植</t>
  </si>
  <si>
    <t>[名]
1.門外用來加鎖的直木。《爾雅．釋宮》：「植謂之傳，傳謂之突。」《墨子．非儒下》：「孔某為魯司寇，舍公家而奉季孫。季孫相魯君而走，季孫與邑人爭門關，決植。」
2.花草樹木的總稱。如：「植物」。南朝梁．劉勰《文心雕龍．原道》：「傍及萬品，動植皆文。」
[動]
1.放置、擺放。如：「植牙」、「植入晶片」。《書經．金縢》：「植璧秉珪，乃告太王、王季、文王。」
2.栽種、培育。如：「種植」、「培植」。漢．張衡〈東京賦〉：「植華平於春圃，豐朱草於中唐。」
3.樹立。《漢書．卷四八．賈誼傳》：「賢聖逆曳兮，方正倒植。」唐．柳宗元〈與太學諸生喜詣闕畱陽城司業書〉：「始僕少時，嘗有意遊太學，受師說，以植志持身焉。」
4.倚靠。《論語．微子》：「植其杖而芸。」三國魏．何晏．集解：「孔曰：『植，倚也。』」《文苑英華．卷五三五．唐．鄭務．卒史有文學判並對》：「曩者植杖而耘，未常釋卷。」</t>
  </si>
  <si>
    <t>殖</t>
  </si>
  <si>
    <t>[動]
1.生長、孳息。如：「繁殖」、「生殖」。《左傳．隱公六年》：「見惡，如農夫之務去草焉……，絕其本根，勿使能殖。」
2.栽種。如：「墾殖」、「種殖」。《書經．呂刑》：「稷降播種，農殖嘉穀。」
3.經營、生財牟利。如：「貨殖」。《新五代史．卷三九．雜傳．王處直傳》：「父宗善殖財貨，富擬王侯。」
[名]
姓。如春秋時齊國有殖綽。</t>
  </si>
  <si>
    <t>犆</t>
  </si>
  <si>
    <t>[動]
緣飾、裝飾。《禮記．玉藻》：「君羔幦虎犆。」漢．鄭玄．注：「犆，讀如直道而行之直，直謂緣也。此君齋車之飾。」</t>
  </si>
  <si>
    <t>稙</t>
  </si>
  <si>
    <t>[動]
較早種植。《玉篇．禾部》：「稙，早種也。」《詩經．魯頌．閟宮》：「黍稷重穋，稙穉菽麥。」漢．毛亨．傳：「先種曰稙，後種曰穉。」</t>
  </si>
  <si>
    <t>侄</t>
  </si>
  <si>
    <t>[形]
堅固、牢固。《玉篇．人部》：「侄，牢也，堅也。」
[名]
同「姪」。</t>
  </si>
  <si>
    <t>挃</t>
  </si>
  <si>
    <t>[名]
參見「挃挃」條。
[動]
撞。《太平廣記．卷三四一．韋浦》：「主人有稚兒戲于門下，乃見歸以手挃其背，稚兒即驚悶絕，食頃不寤。」</t>
  </si>
  <si>
    <t>姪</t>
  </si>
  <si>
    <t>[名]
稱謂：(1)用以稱兄弟的子女。如：「姪女」、「姪子」。(2)用以稱親友的子女。如：「賢姪」、「世姪」。(3)對父執輩的自稱。《儒林外史》第三一回：「小姪已經把他令郎、令孫都接在此侍奉湯藥。」</t>
  </si>
  <si>
    <t>[名]
門檻。即門下所設的橫木。《爾雅．釋宮》：「柣謂之閾，棖謂之楔。」</t>
  </si>
  <si>
    <t>(二)ㄉㄧㄝˊ dié（02159）</t>
  </si>
  <si>
    <t>執</t>
  </si>
  <si>
    <t>[動]
1.拿著、握著。《詩經．邶風．簡兮》：「左手執籥，右手秉翟。」《西遊記》第一三回：「三藏心驚，輪開手，牽衣執袂，滴淚難分。」
2.拘捕、捉拿。《詩經．大雅．常武》：「鋪敦淮濆，仍執醜虜。」《左傳．僖公五年》：「遂襲虞，滅之，執虞公及其大夫井伯。」
3.持守、掌握。如：「擇善固執」。《書經．大禹謨》：「人心惟危，道心惟微，惟精惟一，允執厥中。」
4.堵住、隔絕。《左傳．僖公二十八年》：「子玉使伯棼請戰，曰：『非敢必有功也，願以閒執讒慝之口。』」
5.治理、掌理。如：「執政」。《詩經．豳風．七月》：「嗟我農夫，我稼既同，上入執宮功。」《史記．卷四七．孔子世家》：「季氏亦僭於公室，陪臣執國政，是以魯自大夫以下皆僭離於正道。」
6.實行。如：「執法」。南朝梁．劉勰《文心雕龍．宗經》：「禮以立體，據事制範，章條纖曲，執而後顯，採掇言，莫非寶也。」
7.糾結。《國語．越語上》：「寡人不知其力之不足也，而又與大國執讎，以暴露百姓之骨於中原，此則寡人之罪也。」
[名]
1.好朋友。《禮記．曲禮上》：「見父之執，不謂之進，不敢進；不謂之退，不敢退。」
2.憑證。如：「回執」、「收執」。</t>
  </si>
  <si>
    <t>蟄</t>
  </si>
  <si>
    <t>[動]
1.動物入冬藏伏土中，不飲不食，稱為「蟄」。晉．干寶《搜神記》卷一二：「蟲土閉而蟄，魚淵潛而處。」
2.隱藏潛伏。民國．孫文〈黃花岡烈士事略序〉：「久蟄之人心，乃大興奮。」</t>
  </si>
  <si>
    <t>(二)（語音）ㄓㄜˊ zhé（07667）</t>
  </si>
  <si>
    <t>縶</t>
  </si>
  <si>
    <t>[動]
1.拴住馬腳。《廣韻．入聲．緝韻》：「縶，繫馬。」如：「縶馬」。
2.捆綁、繫絆。《莊子．秋水》：「東海之鱉，左足未入，而右膝已縶矣。」宋．洪邁《容齋續筆．卷一二．無用之用》：「今夫飛者以翼為用，縶其足，則不能飛。」
3.拘囚、監禁。漢．李陵〈答蘇武書〉：「昔蕭樊囚縶，韓彭葅醢。」
[名]
繫馬的韁繩。《左傳．成公二年》：「韓厥執縶馬前，再拜稽首。」唐．柳宗元〈答問〉：「而又裹以罪惡，纏以羈縶。」</t>
  </si>
  <si>
    <t>跖</t>
  </si>
  <si>
    <t>[名]
1.腳掌。《說文解字．足部》：「跖，足下也。」清．段玉裁．注：「今所謂腳掌也。」唐．韓愈〈祭河南張員外文〉：「夜息南山，同臥一席；守隸防夫，觝頂交跖。」
2.人名用字。春秋時大盜，當時人稱為「盜跖」。</t>
  </si>
  <si>
    <t>(二)（又音）ㄓㄜˋ zhè（07682）</t>
  </si>
  <si>
    <t>摭</t>
  </si>
  <si>
    <t>[動]
拾起、摘取。如：「摭拾」、「採摭」。《文選．張衡．思玄賦》：「摭若華而躊躇。」《儒林外史》第二三回：「若說做官，只怕紗帽滿天飛，飛到他頭上，還有人摭了他的去哩！」</t>
  </si>
  <si>
    <t>蹠</t>
  </si>
  <si>
    <t>[名]
腳掌。《戰國策．楚策一》：「於是贏糧潛行，上崢山，踰深谿，蹠穿膝暴。」
[動]
1.踐踏。明．徐弘祖《徐霞客遊記．卷九上．滇遊日記十》：「下午雨少止，濘甚，蹠泥往潘生家，不遇。」
2.到達。《文選．曹植．七啟》：「蹻捷若飛，蹈虛遠蹠。」</t>
  </si>
  <si>
    <t>質</t>
  </si>
  <si>
    <t>[名]
1.事物的根本、特性。如：「特質」、「流質」。《論語．衛靈公》：「君子義以為質，禮以行之。」《史記．卷二四．樂書》：「中正無邪，禮之質也。」
2.人的天性稟賦。如：「資質」。
3.樸實的本性。如：「文質彬彬」。《論語．雍也》：「質勝文則野，文勝質則史。」《韓非子．解老》：「夫君子取情而去貌，好質而惡飾。」
4.形軀、形體。三國魏．曹植〈愍志賦〉：「豈良時之難俟，痛余質之日虧。」
5.箭靶、標的。《荀子．勸學》：「是故質的張而弓矢至焉。」《後漢書．卷六十上．馬融》：「流矢雨墜，各指所質。」
6.古代的一種刑具。《史記．卷九六．張丞相傳》：「蒼坐法當斬，解衣伏質。」
[動]
詰問。《禮記．中庸》：「質諸鬼神而無疑。」</t>
  </si>
  <si>
    <t>(二)ㄓˋ zhì（07594）</t>
  </si>
  <si>
    <t>礩</t>
  </si>
  <si>
    <t>[名]
支柱下的石頭。明．張自烈《正字通．石部》：「礎，柱下石。礎與礩異名同實。」</t>
  </si>
  <si>
    <t>樴</t>
  </si>
  <si>
    <t>[名]
樁子。民國．章太炎《新方言．釋宮》：「樴者，識也。今揚州謂立木為表曰木樴子，立石為表曰石樴子。」</t>
  </si>
  <si>
    <t>膱</t>
  </si>
  <si>
    <t>[名]
肉脯、乾肉條。《集韻．入聲．職韻》：「膱，脯脡也，長尺有寸。」《儀禮．鄉射禮》：「薦脯用籩五膱，祭半膱橫於上，醢以豆，出自東房，膱長尺二寸。」</t>
  </si>
  <si>
    <t>職</t>
  </si>
  <si>
    <t>[名]
1.工作事務。如：「辭職」、「身居要職」。
2.工作性質的分類。如：「文職」、「武職」、「公職」。
3.下屬對上司的自稱。如：「職等奉命」。《元史．卷六四．河渠志一》：「今卑職至真州，問得造船作頭。」
4.職業學校的簡稱。如：「高職」、「商職」。
5.姓。如漢代有職洪。
[動]
掌管、管理。如：「職掌大權」。
[助]
惟、只，常用於句首。唐．柳宗元〈天爵論〉：「然則聖賢之異愚也，職此而已。」</t>
  </si>
  <si>
    <t>蟙</t>
  </si>
  <si>
    <t>[名]
動物名。即高腳蟹。甲殼綱蛛蟹科。產於日本東京灣以南的深海中。頭胸甲長達三十八公分，形似葫蘆，螯足細而長，達一、二公尺；兩螯足展開，相距達三公尺以上，是世界上最大的蟹。</t>
  </si>
  <si>
    <t>擲</t>
  </si>
  <si>
    <t>[動]
1.拋投、丟扔。如：「投擲」、「擲鐵餅」。《晉書．卷五六．孫楚傳》：「卿試擲地，當作金石聲也。」
2.拋棄。如：「棄擲」。晉．陶淵明〈雜詩〉一二首之二：「日月擲人去，有志不獲騁。」
3.跳躍。唐．周賀〈晚題江館〉詩：「澄波月上見魚擲，晚徑葉多聞犬行。」</t>
  </si>
  <si>
    <t>躑</t>
  </si>
  <si>
    <t>參見「躑躅」條。</t>
  </si>
  <si>
    <t>[動]_x000D_
1.搔。《說文解字．手部》：「擿，搔也。」《列子．黃帝》：「斫撻無傷痛，指擿無痟癢。」_x000D_
2.投。通「擲」。《史記．卷八六．刺客列傳．荊軻》：「乃引其匕首以擿秦王，不中，中桐柱。」_x000D_
[名]_x000D_
髮簪。即搔頭。《續漢書志．第三〇．輿服志下》：「簪以玳瑁為擿。」</t>
  </si>
  <si>
    <t>(二)ㄊㄧˋ tì（02659）</t>
  </si>
  <si>
    <t>參見「蹢躅」條。</t>
  </si>
  <si>
    <t>(二)ㄉㄧˊ dí（02114）</t>
  </si>
  <si>
    <t>夂</t>
  </si>
  <si>
    <t>ㄓˇ</t>
  </si>
  <si>
    <t>zhǐ</t>
  </si>
  <si>
    <t>[動]
從後而來。《說文解字．夂部》：「夂，從後至也，象人兩脛，後有致之者。」
[名]
二一四部首之一。</t>
  </si>
  <si>
    <t>止</t>
  </si>
  <si>
    <t>[動]
1.停住、不動。如：「適可而止」。《易經．艮卦．彖曰》：「時止則止，時行則行，動靜不失其時，其道光明。」
2.達到、安住。《禮記．大學》：「止於至善。」
3.不准、阻擋。《左傳．桓公六年》：「少師歸，請追楚師，隨侯將許之，季梁止之。」《呂氏春秋．季秋紀．知士》：「靜郭君不能止。」
4.居住。《詩經．商頌．玄鳥》：「邦畿千里，惟民所止。」
[名]
1.腳。同「趾」。《漢書．卷二三．刑法志》：「當劓者，笞三百；當斬左止者，笞五百。」
2.儀容行動、威儀。《詩經．鄘風．相鼠》：「相鼠有齒，人而無止；人而無止，不死何俟？」
3.打擊柷的槌子。《爾雅．釋樂》：「所以鼓柷謂之止。」晉．郭璞．注：「柷如漆桶，方二尺四寸，深一尺八寸，中有椎柄，連底桐之，令左右擊，止者其椎名。」
4.二一四部首之一。
[形]
靜的、不動的。《莊子．德充符》：「人莫鑒於流水而鑒於止水。」
[副]
僅、只。如：「不止一回」。唐．杜甫〈無家別〉詩：「內顧無所攜，近行止一身。」
[助]
用於語尾，以加強語氣。《詩經．周頌．良耜》：「百室盈止，婦子寧止。」</t>
  </si>
  <si>
    <t>沚</t>
  </si>
  <si>
    <t>[名]
凸起水面的小塊陸地。《詩經．召南．采蘩》：「于以采蘩，于沼于沚。」南朝宋．鮑照〈贈傅都曹別詩〉：「輕鴻戲江潭，孤雁集洲沚。」</t>
  </si>
  <si>
    <t>址</t>
  </si>
  <si>
    <t>[名]
1.地基、基礎。唐．劉兼〈長春節〉詩：「太平基址千年永，混一車書萬古存。」
2.地點、處所。如：「住址」、「遺址」、「校址」。</t>
  </si>
  <si>
    <t>阯</t>
  </si>
  <si>
    <t>[名]
1.地基、山腳。通「址」。《漢書．卷二五．郊祀志上》：「禪泰山下阯，東北肅然山，如祭后土禮。」唐．元稹〈古社〉詩：「古社基阯在，人散社不神。」
2.水中小洲。通「沚」。《文選．張衡．西京賦》：「迺有昆明零沼，黑水玄阯。」</t>
  </si>
  <si>
    <t>芷</t>
  </si>
  <si>
    <t>參見「白芷」條。</t>
  </si>
  <si>
    <t>祉</t>
  </si>
  <si>
    <t>[名]
幸福。如：「福祉」。《詩經．小雅．六月》：「吉甫燕喜，既多受祉。」</t>
  </si>
  <si>
    <t>趾</t>
  </si>
  <si>
    <t>[名]
1.腳。《左傳．桓公十三年》：「舉趾高，心不固矣。」《聊齋志異．卷一．蛇人》：「停趾愕顧，則二青來也。」
2.腳趾頭。如：「足趾」。明．徐弘祖《徐霞客遊記．卷一上．遊黃山日記》：「上百步雲梯，梯磴插天，足趾及腮。」
3.山腳。《文選．阮籍．詠懷詩一七首之三》：「驅馬舍之去，去上西山趾。」
4.蹤跡。唐．王勃〈觀佛跡寺〉詩：「蓮座神容儼，松崖聖趾餘。」</t>
  </si>
  <si>
    <t>[副]
1.僅。如：「只此一家，別無分號。」
2.儘。如：「只管去做」。
[連]
但、而。如：「你做得很好，只是少了一點兒變化。」、「他不是不會，只是不用心罷了。」
[助]
語尾助詞，無義。《詩經．鄘風．柏舟》：「母也天只，不諒人只。」《楚辭．屈原．大招》：「青春受謝，白日昭只。」
[名]
姓。如明代有只好仁。</t>
  </si>
  <si>
    <t>(二)ㄓ zhī（07478）</t>
  </si>
  <si>
    <t>[名]
植物名。芸香科枸橘屬，落葉灌木或小喬木。枝多刺，葉柄有翅，三出複葉，小葉卵形。春夏間開五瓣白色花。果實形小而味酸，不堪食，但可入藥，未熟者稱為「枳實」，已熟的稱為「枳殼」，二者性味效用相似，但後者力薄性緩。也稱為「枸橘」、「臭橘」。</t>
  </si>
  <si>
    <t>(二)ㄐㄧˇ jǐ（05405）</t>
  </si>
  <si>
    <t>咫</t>
  </si>
  <si>
    <t>[名]
古代的長度單位。周制八寸為一咫。《說文解字．尺部》：「咫，中婦人手長八寸，謂之咫，周尺也。」
[形]
距離很短、很近。《呂氏春秋．孝行覽．孝行》：「不虧其身，不損其形，可謂孝矣。君子無行咫步而忘之。」</t>
  </si>
  <si>
    <t>疻</t>
  </si>
  <si>
    <t>參見「疻痏」條。</t>
  </si>
  <si>
    <t>軹</t>
  </si>
  <si>
    <t>[名]
1.貫穿車輪中心圓木的小孔。《說文解字．車部》：「軹，車輪小穿也。」《周禮．冬官考工記．輪人》：「五分其轂之長，去一以為賢，去三以為軹。」
2.車軸的末端。《周禮．冬官考工記．序官》：「六尺有六寸之輪，軹崇三尺有三寸也。」《新唐書．卷一六．禮樂志六》：「祭兩軹及軌前，乃飲。」
3.古代車箱兩旁橫直交錯的木頭。《周禮．冬官考工記．輿人》：「參分較圍，去一以為軹圍。」漢．鄭玄．注：「軹，輢之植者、衡者也。」
[形]
分歧的、歧出的。參見「軹首蛇」條。</t>
  </si>
  <si>
    <t>旨</t>
  </si>
  <si>
    <t>[名]
1.美味的食品。《論語．陽貨》：「食旨不甘，聞樂不樂。」
2.心意、志趣。通「恉」。如：「宗旨」、「意旨」。唐．韓愈〈答陳商書〉：「辱惠書，語高而旨深，三四讀尚不能通曉。」
3.帝王、長上的命令。如：「聖旨」、「密旨」。《宋史．卷三五八．李綱傳上》：「綱傳旨語左右曰：『敢復有言去者斬！』」
[形]
美好的。《書經．說命中》：「旨哉！說乃言惟服。」《漢書．卷八四．翟方進傳》：「率寧人有旨疆土，況今卜並吉！」</t>
  </si>
  <si>
    <t>恉</t>
  </si>
  <si>
    <t>[名]
旨意。《說文解字．心部》：「恉，意也。」</t>
  </si>
  <si>
    <t>指</t>
  </si>
  <si>
    <t>[名]
1.手掌前端分支的部分。如：「手指」。唐．白居易〈新樂府．賣炭翁〉：「滿面塵灰煙火色，兩鬢蒼蒼十指黑。」
2.一個指頭的寬度稱為「一指」。如：「三指寬的距離」。
3.用意、主旨。如：「言近指遠」。《書經．盤庚上》：「王播告之脩，不匿厥指。」《孟子．告子下》：「願聞其指。」
[動]
1.用手指示。唐．李白〈陌上贈美人〉詩：「遙指紅樓是妾家。」
2.朝向、對著。如：「時針正指九點。」、「狙擊手把槍管指向甘迺迪。」《呂氏春秋．審分覽．知度》：「非其人而欲有功，譬之若夏至之日而欲夜之長也，射魚指天而欲發之當也。」
3.希望、依賴。如：「指望」、「這老太太就指著她兒子養活呢！」
4.斥責。《呂氏春秋．恃君覽．行論》：「故布衣行此，指於國，不容鄉曲。」《漢書．卷八六．王嘉傳》：「千人所指，無病而死。」
5.直立、翹起來。如：「令人髮指」。《史記．卷七．項羽本紀》：「頭髮上指，目眥盡裂。」</t>
  </si>
  <si>
    <t>酯</t>
  </si>
  <si>
    <t>[名]
一種有機化合物，是酸與醇經由脫水反應而得。分子量小者有水果香味；分子量高者是生物體內油脂的主要成分。</t>
  </si>
  <si>
    <t>坁</t>
  </si>
  <si>
    <t>[動]
止。《左傳．昭公二十九年》：「物乃坁伏，鬱湮不育。」</t>
  </si>
  <si>
    <t>厎</t>
  </si>
  <si>
    <t>[動]
定。《廣韻．上聲．止韻》：「厎，定也。」</t>
  </si>
  <si>
    <t>(二)ㄉㄧˇ dǐ（▲02123）</t>
  </si>
  <si>
    <t>扺</t>
  </si>
  <si>
    <t>[動]
1.砍擊、拍打。《後漢書．卷一一．劉玄傳》：「起，扺破書案。」
2.投擲。《後漢書．卷六一．黃瓊傳》：「所謂扺金玉於沙礫，碎珪璧於泥塗。」《文選．張衡．東京賦》：「藏金於山，扺璧於谷。」</t>
  </si>
  <si>
    <t>[動]
擊、輕敲。《戰國策．秦策一》：「於是乃摩燕烏集闕，見說趙王於華屋之下，抵掌而談。」南朝宋．鮑照〈擬行路難〉一八首之一：「願君裁悲且減思，聽我抵節行路吟。」</t>
  </si>
  <si>
    <t>(一)ㄉㄧˇ dǐ（02125）</t>
  </si>
  <si>
    <t>紙</t>
  </si>
  <si>
    <t>[名]
1.日常用品之一。主要原料為植物纖維，可供於書畫、印刷、包裹等用途。
2.量詞。計算文件書信的張數的單位。如：「一紙公文」。</t>
  </si>
  <si>
    <t>黹</t>
  </si>
  <si>
    <t>[名]
1.女紅的通稱。指刺繡、縫紉等事。如：「做針黹」。
2.二一四部首之一。</t>
  </si>
  <si>
    <t>徵</t>
  </si>
  <si>
    <t>[名]
古代五音之一。用來表示音調高低的詞。相當於西樂音階中的sol。《周禮．春官．大師》：「皆文之以五聲：宮、商、角、徵、羽。」元．關漢卿《單刀會》第四折：「五音者，宮、商、角、徵、羽。」</t>
  </si>
  <si>
    <t>(一)ㄓㄥ zhēng（07924）</t>
  </si>
  <si>
    <t>至</t>
  </si>
  <si>
    <t>ㄓˋ</t>
  </si>
  <si>
    <t>zhì</t>
  </si>
  <si>
    <t>[動]
到達、來到。《論語．子罕》：「鳳鳥不至，河不出圖，吾已矣夫。」
[形]
大、完善。《孝經．開宗明義章》：「先王有至德要道。」唐．杜甫〈自京赴奉先縣詠懷五百字〉詩：「臣如忽至理，君豈棄此物。」
[副]
極、甚。《呂氏春秋．雜俗覽．為欲》：「天子至貴也，天下至富也，彭祖至壽也。誠無欲，則是三者不足以勸。」《文選．李密．陳情表》：「今臣亡王國賤俘，至微至陋。」
[連]
表示轉折的語氣。《史記．卷九二．淮陰侯傳》：「諸將易得耳。至如信者，國士無雙。」
[名]
1.二十四節氣之一。如：「冬至」、「夏至」。
2.二一四部首之一。</t>
  </si>
  <si>
    <t>庢</t>
  </si>
  <si>
    <t>[動]
阻礙。《說文解字．广部》：「庢，礙止也。」《文選．枚乘．七發》：「發怒庢沓，清升踰跇。」唐．李善．注：「言初發怒，礙止而涌沸。」</t>
  </si>
  <si>
    <t>致</t>
  </si>
  <si>
    <t>[動]_x000D_
1.達到。《莊子．外物》：「天地非不廣且大也，人之所用容足耳；然則廁足而墊之，致黃泉，人尚有用乎？」《後漢書．卷六〇上．馬融列傳》：「夫樂而不荒，憂而不困，先王所以平和府藏，頤養精神，致之無疆。」_x000D_
2.給予。《史記．卷四七．孔子世家》：「魯今且郊，如致膰乎大夫，則吾猶可以止。」《晉書．卷四三．列傳．山濤》：「今致錢二十萬、穀二百斛。」_x000D_
3.求取、獲得。《論語．子張》：「百工居肆以成其事，君子學以致其道。」《太平廣記．卷二三三．南方酒》引《投荒雜錄》：「因決陂水，取供賀客，南人謂之女酒。味絕美，居常不可致也。」_x000D_
4.傳達、表示。《詩經．小雅．楚茨》：「工祝致告，徂賚孝孫。」《三國志．卷二四．魏書．韓崔高孫王傳．崔林》：「仗節統事，州郡莫不奉牋致敬。」_x000D_
5.招引、延攬。《易經．需卦．九三》：「需于泥，致寇至。」《漢書．卷三九．蕭何曹參傳．蕭何》：「臣願大王王漢中，養其民以致賢人。」_x000D_
6.召集。《周禮．地官司徒．大司徒》：「若國有大故，則致萬民於王門。」《國語．越語上》：「句踐既許之，乃致其眾而誓之。」宋．蘇軾〈教戰守策〉：「秋冬之隙，致民田獵以講武。」_x000D_
7.奉獻、進獻。《史記．卷四一．越王句踐世家》：「句踐已平吳，乃以兵北渡淮，與齊、晉諸侯會於徐州，致貢於周。」《三國志．卷二〇．魏書．武文世王公傳．鄧哀王沖》：「時孫權曾致巨象，太祖欲知其斤重，訪之群下，咸莫能出其理。」_x000D_
8.歸還、退回。《公羊傳．宣公元年》：「既而曰若此乎，古之道不即人心，退而致仕。」《淮南子．氾論》：「成王既壯，周公屬籍致政，北面委質而臣事之。」_x000D_
9.極盡、窮究。《禮記．大學》：「欲誠其意者，先致其知。」《荀子．禮論》：「故君子上致其隆，下盡其殺，而中處其中，步驟馳騁厲騖不外是矣。」_x000D_
10.竭盡。《論語．學而》：「事父母能竭其力，事君能致其身。」《三國志．卷七．魏書．呂布臧洪傳．臧洪》：「凡我同盟，齊心戮力，以致臣節。」宋．司馬光〈郭子儀單騎退敵〉：「我之將士，必致死與汝戰矣。」_x000D_
11.形成、造成。《文選．卷一九．詩．韋孟．諷諫詩》：「致冰匪霜？致墜匪嫚？」李善注引晉灼曰：「致冰無不先由微霜，致墜無不先由驕慢。」《舊唐書．卷九二．列傳．韋安石》：「其婢久已轉嫁，薛氏使人捕而捶之致死。」_x000D_
[名]_x000D_
1.旨趣、意態。南朝梁．劉勰《文心雕龍．辨騷》：「〈卜居〉標放言之致，〈漁父〉寄獨往之才。」《魏書．卷九三．恩倖列傳．茹皓》：「樹草栽木，頗有野致。」清．楊亨《白門新柳補記．喜齡》：「雖雲鬢蓬鬆，而意態幽閒，大有楚楚可憐之致。」_x000D_
2.事物的道理。晉．袁宏〈三國名臣序贊〉：「所以存亡殊致，始終不同。」南朝梁．王巾〈頭陀寺碑文〉：「是故三才既辨，識妙物之功；萬象已陳，悟太極之致。」_x000D_
3.意志、趨向。三國魏．嵇康〈與山巨源絕交書〉：「故君子百行，殊塗而同致，循性而動，各附所安。」明．張介賓《景岳全書．卷三．傳忠錄下．誤謬論》：「道本一源，理無二致。自一源而萬變，則萬變仍歸於一。」_x000D_
[連]_x000D_
以至於、使得。《後漢書．卷三．肅宗孝章帝紀》：「案不以罪，迫脅無辜，致令自殺者，一歲且多於斷獄。」《三國演義》第四回：「后大罵何進無謀，引賊入京，致有今日之禍。」</t>
  </si>
  <si>
    <t>郅</t>
  </si>
  <si>
    <t>[副]
極、至、最。《史記．卷一一七．司馬相如傳》：「文王改制，爰周郅隆。」
[名]
姓。如漢代有郅奇、郅惲。</t>
  </si>
  <si>
    <t>桎</t>
  </si>
  <si>
    <t>[名]
古代的一種刑具，即腳鐐。參見「桎梏」條。
[動]
1.窒礙、阻礙。《莊子．達生》：「其靈臺一而不桎。」
2.束縛、監禁。唐．沈佺期〈被彈〉詩：「昆弟兩三人，相次俱囚桎。」</t>
  </si>
  <si>
    <t>窒</t>
  </si>
  <si>
    <t>[名]
1.阻塞、充填。如：「窒息」。《呂氏春秋．季秋紀．季秋》：「季秋行夏令，則其國大水，冬藏殃敗，民多鼽窒。」明．張居正〈辛未會試程策〉：「下流壅則上溢，上源窒則下枯。」
2.抑制、停止。《易經．損卦．象曰》：「君子以懲忿窒慾。」</t>
  </si>
  <si>
    <t>[名]
古神話中的國家。《山海經．海外南經》：「臷國在其東，其為人黃，能操弓射蛇。一曰臷國在三毛東。」</t>
  </si>
  <si>
    <t>(一)ㄉㄧㄝˊ dié（02167）</t>
  </si>
  <si>
    <t>蛭</t>
  </si>
  <si>
    <t>[名]
環節動物門蛭綱動物的總稱。體扁長柔軟，形似蚯蚓，前後各有一個吸盤，能刺入人畜肌膚中，吸吮血液。生活在淡水或溼潤處。</t>
  </si>
  <si>
    <t>輊</t>
  </si>
  <si>
    <t>[名]
車前較低的部分。《詩經．小雅．六月》：「戎車既安，如輊如軒。」</t>
  </si>
  <si>
    <t>銍</t>
  </si>
  <si>
    <t>[名]
割稻穀的鐮刀。《說文解字．金部》：「銍，穫禾短鎌也。」《漢書．卷九九．王莽傳中》：「予之西巡，必躬載銍。」
[動]
用鐮刀割。《廣韻．入聲．質韻》：「銍，刈也。」</t>
  </si>
  <si>
    <t>膣</t>
  </si>
  <si>
    <t>[名]
女子陰道的通稱。</t>
  </si>
  <si>
    <t>緻</t>
  </si>
  <si>
    <t>[名]
細密的絲帛。清．王念孫《廣雅疏證．卷七下．釋器》：「緻，練也。」疏證：「緻，一名細緻。《釋名》云：『細緻，染縑為五色，細且緻，不漏水也。』」
[形]
1.精細、細密。《新唐書．卷二〇三．文藝傳下．崔元翰傳》：「其好學老不倦，用思精緻，馳騁班固、蔡邕間以自名家。」
2.美好。《紅樓夢》第八回：「賈母見秦鍾形容標緻，舉止溫柔。」</t>
  </si>
  <si>
    <t>[動]
崩塌、毀壞。《漢書．卷六五．東方朔傳》：「宗廟崩阤，國家為虛。」唐．顏師古．注：「阤，穨也。」《文選．張衡．西京賦》：「既定且寧，焉知傾阤。」</t>
  </si>
  <si>
    <t>(一)ㄊㄨㄛˊ tuó（02820）(三)ㄧˇ yǐ（10559）</t>
  </si>
  <si>
    <t>忮</t>
  </si>
  <si>
    <t>[動]
1.嫉妒。《詩經．邶風．雄雉》：「不忮不求，何用不臧。」
2.違逆。《莊子．天下》：「不累於俗，不飾於物，不苟於人，不忮於眾。」</t>
  </si>
  <si>
    <t>志</t>
  </si>
  <si>
    <t>[名]
1.意向、抱負、決心。如：「意志」、「志同道合」。《論語．公冶長》：「盍各言爾志。」
2.記錄事物的書。如：「府志」、「三國志」。《周禮．春官．小史》：「小史掌邦國之志。」
3.姓。如元代有志能。
[動]
1.記載、記錄。通「誌」。《周禮．春官．保章氏》：「掌天星，以志日月星辰之變動。」
2.牢記。如：「永志不忘」。《荀子．子道》：「孔子曰：『由志之，吾語汝。』」</t>
  </si>
  <si>
    <t>痣</t>
  </si>
  <si>
    <t>皮膚上所自發產生的局部性斑點或突起，可能是色素細胞或血管性、表皮性或其他皮膚組織的增生。</t>
  </si>
  <si>
    <t>誌</t>
  </si>
  <si>
    <t>[動]
1.記住、記憶。如：「永誌不忘」。《新唐書．卷一〇二．褚亮傳》：「亮少警敏，博見圖史，一經目輒誌于心。」
2.記錄、記載。《列子．楊朱》：「太古之事滅矣，孰誌之哉？」《聊齋志異．卷九．邵臨淄》：「邑有賢宰，里無悍婦矣。誌之，以補循吏傳之所不及者。」
3.表示。如：「誌哀」、「誌慶」。
[名]
1.文體名。一種記事文。如：「碑誌」、「讀書誌」。
2.標識、記號。《南齊書．卷五五．孝義傳．韓係伯傳》：「襄陽土俗，鄰居種桑樹於界上為誌。」
3.皮膚上所生的微凸小點。通「痣」。《南齊書．卷四二．江祐傳》：「高宗胛上有赤誌。」唐．段成式《酉陽雜俎．卷二．玉格》：「額三理，腹三誌。」</t>
  </si>
  <si>
    <t>豸</t>
  </si>
  <si>
    <t>[名]
1.爬蟲類的總稱。《說文解字．豸部》：「豸，獸長脊，行豸豸然，欲有所司殺形。」
2.參見「獬豸」條。
3.辦法。《左傳．宣公十七年》：「使郤逞其志，庶有豸乎！」
4.二一四部首之一。</t>
  </si>
  <si>
    <t>治</t>
  </si>
  <si>
    <t>[動]_x000D_
1.管理、統理。如：「統治」、「治理」。《易經．繫辭下》：「上古結繩而治，後世聖人易之以書契。」《禮記．大學》：「古之欲明明德於天下者，先治其國。」_x000D_
2.診療。如：「治療」、「治癒」、「醫治」。《韓非子．喻老》：「故良醫之治病也，攻之於腠理。」《老殘遊記》第一回：「來了一個搖串鈴的道士，說是曾受異人傳授，能治百病。」_x000D_
3.整理、修建。如：「治水」、「整治」。《孟子．告子下》：「丹之治水也，愈於禹。」《漢書．卷六九．趙充國辛慶忌傳．趙充國》：「以閒暇時下所伐材，繕治郵亭。」_x000D_
4.修養、修練。《荀子．解蔽》：「仁者之思也恭，聖人之思也樂，此治心之道也。」《淮南子．本經》：「戴圓履方，抱表懷繩，內能治身，外能得人。」_x000D_
5.研究。如：「治學」。《漢書．卷四九．爰盎鼂錯傳．鼂錯》：「齊有伏生，故秦博士，治《尚書》。」_x000D_
6.懲罰。如：「治罪」、「懲治」。三國蜀．諸葛亮〈出師表〉：「願陛下託臣以討賊興復之效，不效，則治臣之罪。」_x000D_
7.經營。如：「治產」。《三國志．卷三五．蜀書．諸葛亮傳》：「隨身衣食，悉仰於官，不別治生，以長尺寸。」_x000D_
[名]_x000D_
指王都或地方官署所在地。如:「縣治」。《梁書．卷六．敬帝本紀》：「庚寅，齊軍水步入丹陽縣。丙申，至秣陵故治。」_x000D_
[形]_x000D_
太平、安定。與「亂」相對。《戰國策．秦策ㄧ》：「以亂攻治者亡，以邪攻正者亡，以逆攻順者亡。」《三國演義》第一回：「子治世之能臣，亂世之奸雄也。」</t>
  </si>
  <si>
    <t>(二)（讀音）ㄔˊ chí（08184）</t>
  </si>
  <si>
    <t>帙</t>
  </si>
  <si>
    <t>[名]
1.書、畫的封套。南朝梁．蕭統〈文選序〉：「飛文染翰，則卷盈乎緗帙。」唐．王維〈濟州過趙叟家宴〉詩：「荷鋤修藥圃，散帙曝農書。」
2.套裝書。唐．韓愈〈張中丞傳後敘〉：「嵩驚，以為巡偶熟此卷，因亂抽他帙以試，無不盡然。」
3.量詞。計算函套或包裹書籍的單位。《南史．卷二二．王曇首傳》：「何承天禮論三百卷，儉抄為八帙，又別抄條目為十三卷。」《新唐書．卷八四．李密傳》：「以蒲韉乘牛，挂漢書一帙角上，行且讀。」</t>
  </si>
  <si>
    <t>秩</t>
  </si>
  <si>
    <t>[名]
1.官吏的職位、品級。《管子．山至數》：「去其都秩，與其縣秩。」《史記．卷五．秦本紀》：「遂復三人官秩如故。」
2.俸祿。《左傳．莊公十九年》：「王奪子禽、祝跪與詹父田，而收膳夫之秩。」唐．韓愈〈爭臣論〉：「問其祿，則曰下大夫之秩也。」
3.十年為一秩。如：「八秩誕辰」。唐．白居易〈思舊〉詩：「已開第七秩，飽食仍安眠。」宋．蘇軾〈無題〉詩：「六秩行當啟，區中緣更疏。」
[形]
整齊有條理。《明史．卷一三八．陳修傳》：「皆精心籌畫，銓法秩然。」</t>
  </si>
  <si>
    <t>袠</t>
  </si>
  <si>
    <t>[名]
1.書的封套。《後漢書．卷三〇上．楊厚傳》：「吾綈袠中，有先祖所傳祕記，為漢家用，爾其修之。」
2.十年。通「秩」。宋．王楙《野客叢書．卷一二．開八袠》：「以十年為一袠，其說見白樂天集中。」</t>
  </si>
  <si>
    <t>袟</t>
  </si>
  <si>
    <t>[名]
1.劍匣。《集韻．入聲．質韻》：「袟，劍衣也。」
2.量詞。古代計算函套或包裹書籍的單位。《資治通鑑．卷八九．晉紀十一．愍帝建興二年》：「惟裴憲、荀綽止有書百餘袟，鹽米各十餘斛而已。」</t>
  </si>
  <si>
    <t>紩</t>
  </si>
  <si>
    <t>[動]
縫。漢．揚雄《方言》卷四：「以布而無緣，敝而紩之，謂之襤褸。」</t>
  </si>
  <si>
    <t>制</t>
  </si>
  <si>
    <t>[名]
1.法度、規定。如：「法制」、「制度」。《禮記．曲禮上》：「越國而問焉，必告之以其制。」
2.父母喪事。如：「守制」、「父制」、「母制」。《紅樓夢》第一一四回：「因在制中，不便行禮。」
[動]
1.製造。同「製」。如：「制作」。《詩經．豳風．東山》：「制彼裳衣，勿士行枚。」
2.訂定、規劃。如：「制禮作樂」、「因地制宜」。
3.管束、阻止。如：「管制」、「限制」。《淮南子．脩務》：「夫馬之為草駒之時，跳躍揚蹄翹尾而走，人不能制。」
4.決斷、裁決。如：「裁制」。《史記．卷六．秦始皇本紀》：「制曰：『可。』」
5.切割。《淮南子．主術》：「賢主之用人也，猶巧工之制木也。」</t>
  </si>
  <si>
    <t>猘</t>
  </si>
  <si>
    <t>[形]
發狂的。《淮南子．氾論》：「畏罪而恐誅，則因猘狗之驚，以殺子陽。」
[名]
凶狠、蠻橫。元．郝經〈青州山行〉：「初從霸國後，往往逞兇猘。」</t>
  </si>
  <si>
    <t>製</t>
  </si>
  <si>
    <t>[動]
1.剪裁。《楚辭．屈原．離騷》：「製芰荷以為衣兮，集芙蓉以為裳。」《後漢書．卷八六．南蠻西南夷傳．南蠻傳》：「好五色衣服，製裁皆有尾形。」
2.造作。《後漢書．卷三二．樊宏傳》：「五穀不登，謂之大侵。大侵之禮，百官備而不製，群神禱而不祠。」《新唐書．卷一六三．柳公綽傳》：「置權量於東西市，使貿易用之，禁私製者。」
[名]
1.詩文、作品。唐．杜甫〈八哀詩．贈祕書監江夏李公邕〉詩：「聲華當健筆，灑落富清製。」
2.法式、樣式。《漢書．卷四三．叔孫通傳》：「通儒服，漢王憎之，乃變其服，服短衣，楚製。漢王喜。」</t>
  </si>
  <si>
    <t>[名]
1.智慧。同「智」。《論語．里仁》：「里仁為美，擇不處仁焉得知？」《禮記．中庸》：「知仁勇三者，天下之達德也。」
2.姓。如春秋時晉國有知罃。</t>
  </si>
  <si>
    <t>(一)ㄓ zhī（07481）</t>
  </si>
  <si>
    <t>智</t>
  </si>
  <si>
    <t>[名]
1.聰明、識略。如：「才智」、「足智多謀」、「大智若愚」。《孟子．公孫丑上》：「是非之心，智之端也。」《史記．卷七．項羽本紀》：「吾寧鬥智，不能鬥力。」
2.姓。如宋代有智浹。
[形]
聰明的、深明事理的。如：「智者千慮，必有一失。」</t>
  </si>
  <si>
    <t>炙</t>
  </si>
  <si>
    <t>[動]_x000D_
1.燒烤、燒灼。如：「炙手可熱」。《詩經．小雅．瓠葉》：「有兔斯首，燔之炙之。」_x000D_
2.受薰染、陶冶。《孟子．盡心下》：「非聖人而能若是乎？而況於親炙之者乎？」_x000D_
[名]_x000D_
烤熟的肉食。《史記．卷八六．刺客列傳．專諸》：「酒既酣，公子光詳為足疾，入窟室中，使專諸置匕首魚炙之腹中而進之。」</t>
  </si>
  <si>
    <t>庤</t>
  </si>
  <si>
    <t>[動]
1.儲備、儲藏。《說文解字．广部》：「庤，儲置屋下也。」《遼史．卷五九．食貨志上》：「歲秋，社民隨所獲，戶出粟庤倉，社司籍其目。」
2.準備、具備。《詩經．周頌．臣工》：「命我眾人，庤乃錢鎛。」</t>
  </si>
  <si>
    <t>峙</t>
  </si>
  <si>
    <t>[動]
聳立、對立。如：「對峙」。《文選．謝惠連．雪賦》：「雪宮建於東國，雪山峙於西域。」《文選．潘岳．為賈謐作贈陸機詩》：「綿綿瓜瓞，六國互峙。」
[名]
水中高土。《文選．張衡．西京賦》：「散似驚波，聚以京峙。」三國吳．薛綜．注：「京，高也。水中有土曰峙。」</t>
  </si>
  <si>
    <t>痔</t>
  </si>
  <si>
    <t>[名]
病名。由於肛門或直腸末端的靜脈曲張，而形成的突出塊物。主要分內痔、外痔兩種，症狀為便血、疼痛。也稱為「痔瘡」。</t>
  </si>
  <si>
    <t>畤</t>
  </si>
  <si>
    <t>[名]
古代祭祀天地、五帝的祭壇。《史記．卷五．秦本紀》：「祠上帝西畤。」唐．崔顥〈行經華陰〉詩：「河山北枕秦關險，驛樹西連漢畤平。」</t>
  </si>
  <si>
    <t>跱</t>
  </si>
  <si>
    <t>[動]
1.留止、佇立。《淮南子．脩務》：「鶴跱而不食，晝吟宵哭。」《續漢書志．第一二．天文志下》：「大將軍何進令司隸校尉袁紹私募兵千餘人，陰跱雒陽城外。」
2.對峙、對立。《三國志．卷五八．吳書．陸遜傳》：「方今英雄棋跱，豺狼闚望。」《晉書．卷五四．陸機傳》：「遂躋天號，鼎跱而立。」
[名]
行館、招待所。《後漢書．卷三．章帝紀》：「丁酉，南巡狩，詔所經道上，郡縣無得設儲跱。」</t>
  </si>
  <si>
    <t>[動]
持、拿著。《詩經．陳風．宛丘》：「無冬無夏，值其鷺羽。」</t>
  </si>
  <si>
    <t>(一)ㄓˊ zhí（07490）</t>
  </si>
  <si>
    <t>寘</t>
  </si>
  <si>
    <t>[動]
1.安置、放置。《詩經．小雅．谷風》：「將恐將懼，寘予于懷。」
2.棄置、廢止。《左傳．隱公元年》：「遂寘姜氏于城穎。」
3.盡出。《左傳．昭公三十一年》：「貪冒之民將寘力焉。」
4.滿。漢．揚雄《太玄經．卷三．法》：「繘陸陸，缾寘腹，井潢洋，終不得食。」</t>
  </si>
  <si>
    <t>置</t>
  </si>
  <si>
    <t>[動]
1.釋放、赦免。《國語．鄭語》：「褒人褒姁有獄，而以為入於王，王遂置之。」《史記．卷一〇六．吳王濞傳》：「擊反虜者，深入多殺為功，斬首捕虜比三百石以上者皆殺之，無有所置。」
2.廢棄。《晏子春秋．內篇．諫上》：「夫以賤匹貴，國之害也；置大立少，亂之本也。」《國語．周語中》：「今以小忿棄之，是以小怨置大德也，無乃不可乎！」
3.安放。如：「本末倒置」。《書經．說命上》：「爰立作柤，王置諸其左右。」
4.建立、設立。《墨子．明鬼下》：「三代之聖王，其始建國營都，日必擇國之正壇，置以為宗廟。」《史記．卷五．秦本紀》：「又攻楚漢中，取地六百里，置漢中郡。」
5.購買、添加。如：「置產」。
[名]
驛車、驛站。《孟子．公孫丑上》：「德之流行，速於置郵而傳命。」宋．蘇軾〈荔枝歎〉：「十里一置飛塵灰，五里一堠兵火催。」</t>
  </si>
  <si>
    <t>陟</t>
  </si>
  <si>
    <t>[動]
1.登高、爬上。《詩經．周南．卷耳》：「陟彼高岡。」《後漢書．卷六七．黨錮傳．李膺傳》：「陟岵瞻望，惟日為歲。」
2.升遷、進用。《文選．諸葛亮．出師表》：「陟罰臧否，不宜異同。」</t>
  </si>
  <si>
    <t>騭</t>
  </si>
  <si>
    <t>[名]
公馬。《說文解字．馬部》：「騭，牡馬也。」北齊．顏之推《顏氏家訓．書證》：「駉頌既美僖公牧于坰野之事，何限騲騭乎？」
[動]
1.升。《爾雅．釋詁》：「騭，假格陟躋登陞也。」
2.安排、安定。《書經．洪範》：「惟天陰騭下民，相協厥居。」
3.分辨、判定。如：「評騭是非」。</t>
  </si>
  <si>
    <t>彘</t>
  </si>
  <si>
    <t>[名]
豬。如：「野彘」。《孟子．梁惠王上》：「雞、豚、狗、彘之畜，無失其時，七十者可以食肉矣。」《商君書．兵守》：「老弱之軍，使牧牛馬羊彘。」</t>
  </si>
  <si>
    <t>廌</t>
  </si>
  <si>
    <t>[名]
古代傳說中的獨角獸。同「豸」。參見「獬豸」條。</t>
  </si>
  <si>
    <t>雉</t>
  </si>
  <si>
    <t>[名]
1.動物名。脊椎動物門鳥綱雞形目。雄雉尾長，羽毛鮮豔美麗，多為赤銅色或深綠色；雌鳥尾稍短，毛灰褐色。俗稱為「野雞」。
2.量詞。古代計算城牆面積的單位。長三丈高一丈為一雉。《左傳．隱公元年》：「都城過百雉，國之害也。」南朝梁．劉勰《文心雕龍．檄移》：「萬雉之城，顛墜於一檄者也。」</t>
  </si>
  <si>
    <t>稚</t>
  </si>
  <si>
    <t>[形]
幼小、不成熟。如：「稚氣」、「幼稚」。《文選．陶淵明．歸去來辭》：「僮僕歡迎，稚子候門。」
[名]
孩童、幼童。《孟子．滕文公上》：「使老稚轉乎溝壑。」唐．李白〈下終南山過斛斯山人宿置酒〉詩：「相攜及田家，童稚開荊扉。」</t>
  </si>
  <si>
    <t>滯</t>
  </si>
  <si>
    <t>[動]
1.停留、靜止。《淮南子．原道》：「是故能天運地滯，輪轉而無廢。」《文選．何晏．景福殿賦》：「鳥企山峙，若翔若滯。」
2.凝聚、積聚。《周禮．地官．廛人》：「凡珍異之有滯者，斂而入于膳府。」《新唐書．卷九七．魏徵傳》：「尚書省滯訟不決者，詔徵平治。」
[形]
不流通。如：「凝滯」、「積滯」。</t>
  </si>
  <si>
    <t>(一)ㄐㄧˋ jì（05449）(三)ㄑㄧˋ qì（06306）</t>
  </si>
  <si>
    <t>疐</t>
  </si>
  <si>
    <t>[動]
1.停滯、阻礙不前。《說文解字．叀部》：「疐，礙不行也。」
2.踏住、踩到。《詩經．豳風．狼跋》：「狼跋其胡，載疐其尾。」</t>
  </si>
  <si>
    <t>懥</t>
  </si>
  <si>
    <t>[名]
忿怒。《禮記．大學》：「身有所忿懥，則不得其正。」</t>
  </si>
  <si>
    <t>摯</t>
  </si>
  <si>
    <t>[形]
1.誠懇。如：「誠摯」、「真摯」。
2.凶狠。通「鷙」。《禮記．曲禮上》：「前有摯獸，則載貔貅。」
[名]
1.古代初次見面時所送的禮物。通「贄」。《禮記．郊特牲》：「執摯以相見。」
2.姓。如晉代有摯虞。</t>
  </si>
  <si>
    <t>贄</t>
  </si>
  <si>
    <t>[名]
初次見面時所送的禮物。《書經．舜典》：「修五禮，五玉、三帛、二生，一死贄，如五器。」《聊齋志異．卷二．聶小倩》：「咸執贄以賀，爭拜識之。」</t>
  </si>
  <si>
    <t>騺</t>
  </si>
  <si>
    <t>[動]
馬陷泥中，無法移動。《史記．卷三九．晉世家》：「惠公馬騺不行，秦兵至，公窘。」</t>
  </si>
  <si>
    <t>鷙</t>
  </si>
  <si>
    <t>[名]
性情凶猛的鳥。《玉篇．鳥部》：「鷙，猛鳥也。」
[形]
凶狠勇猛。《商君書．畫策》：「虎豹熊羆，鷙而無敵。」《漢書．卷九四．匈奴傳下》：「外國天性忿鷙，形容魁健。」</t>
  </si>
  <si>
    <t>幟</t>
  </si>
  <si>
    <t>[名]
1.旌旗、旗子。如：「旗幟」。《史記．卷九二．淮陰侯傳》：「拔趙幟，立漢赤幟。」
2.記號、標記。《後漢書．卷五八．虞詡傳》：「以采綖縫其裙為幟。」</t>
  </si>
  <si>
    <t>識</t>
  </si>
  <si>
    <t>[動]
記憶、記住。通「誌」。《論語．述而》：「默而識之。」《文選．宋玉．神女賦》：「寐而夢之．寤不自識。」
[名]
標記、記號。通「幟」。《漢書．卷九九．王莽傳下》：「訖無文號旌旗表識，咸怪異之。」</t>
  </si>
  <si>
    <t>(一)ㄕˋ shì（08780）</t>
  </si>
  <si>
    <t>[動]
用財物或人作保證以為抵押。如：「質押」。《戰國策．趙策四》：「於是為長安君約車百乘，質於齊，齊兵乃出。」
[名]
拜見長輩時奉上的見面禮。通「贄」。《孟子．滕文公下》：「出疆必載質。」漢．趙岐．注：「質，臣所執以見君者也。」《史記．卷八四．屈原賈生傳》：「乃令張儀詳去秦，厚幣委質事楚。」</t>
  </si>
  <si>
    <t>(一)ㄓˊ zhí（07506）</t>
  </si>
  <si>
    <t>懫</t>
  </si>
  <si>
    <t>[形]
忿戾。《書經．多方》：「亦惟有夏之民叼懫。」唐．孔穎達．正義：「忿懫，言忿怒違理也。」</t>
  </si>
  <si>
    <t>躓</t>
  </si>
  <si>
    <t>[動]
遇阻礙而跌倒。《左傳．宣公十五年》：「杜回躓而顛，故獲之。」《舊唐書．卷一二七．蔣鎮傳》：「馬躓墮溝澗中，傷足不能進。」
[形]
1.事情不順利。南朝梁．謝靈運〈還舊園作見顏范二中書詩〉：「事躓兩如直，心愜三避賢。」
2.文辭晦澀不順暢。南朝梁．鍾嶸〈詩品序〉：「若專用比興，患在意深，意深則辭躓。」《南史．卷五九．江淹傳》：「自爾淹文章躓矣。」</t>
  </si>
  <si>
    <t>鑕</t>
  </si>
  <si>
    <t>[名]
古代刑具的一種組件。腰斬時，墊在受刑人身下的鐵砧。《公羊傳．昭公二十五年》：「君不忍加之以鈇鑕。」《文選．班彪．王命論》：「然卒潤鑊伏鑕，烹醢分裂。」</t>
  </si>
  <si>
    <t>參見「踶跂」條。</t>
  </si>
  <si>
    <t>(一)ㄉㄧˋ dì（02154）</t>
  </si>
  <si>
    <t>遲</t>
  </si>
  <si>
    <t>[動]
1.等待、期望。《後漢書．卷三．肅宗孝章帝紀》：「朕思遲直士，側席異聞。」南朝宋．謝靈運〈南樓中望所遲客詩〉：「登樓為誰思？臨江遲來客。」
2.一直到、等到。《漢書．卷九七．外戚傳上．高祖呂皇后傳》：「遲帝還，趙王死。」《三國志．卷一七．魏書．張郃傳》：「遲將軍到，亮得無已得陳倉乎！」</t>
  </si>
  <si>
    <t>(一)ㄔˊ chí（08194）</t>
  </si>
  <si>
    <t>觶</t>
  </si>
  <si>
    <t>[名]
古代的一種飲酒器具。圓腹、侈口、圈足，形似小瓶，有蓋。《禮記．禮器》：「尊者舉觶，卑者舉角。」南朝宋．鮑照〈擬古詩〉八首之五：「呼我升上席，陳觶發瓢壺。」</t>
  </si>
  <si>
    <t>扎</t>
  </si>
  <si>
    <t>ㄓㄚ</t>
  </si>
  <si>
    <t>zhā</t>
  </si>
  <si>
    <t>[動]
1.刺。如：「扎了一針」、「在臂上扎字」。
2.繡。如：「她擅長扎花。」
3.鑽入、投進。如：「扎進草叢中」、「扎到人群裡」。
4.張開。《紅樓夢》第四一回：「只見劉老老扎手舞腳的仰臥在床上。」
[形]
廣闊、寬闊。如：「扎腦門兒」、「扎肩膀」。</t>
  </si>
  <si>
    <t>(二)ㄓㄚˊ zhá（07614）(三)ㄓㄚˇ zhǎ（07626）</t>
  </si>
  <si>
    <t>查</t>
  </si>
  <si>
    <t>[名]
姓。如五代時南唐有查文徽。
[代]
我。同「咱」(一)。《直語補證．查》：「北方人自稱如此。」</t>
  </si>
  <si>
    <t>(一)ㄔㄚˊ chá（08237）</t>
  </si>
  <si>
    <t>渣</t>
  </si>
  <si>
    <t>[名]
1.物質除去水分後所剩的部分。如：「豆渣」、「甘蔗渣」。
2.碎塊、碎屑。如：「餅乾渣兒」。
3.沉澱物。如：「沉渣」。</t>
  </si>
  <si>
    <t>(二)ㄓㄚˇ zhǎ（07634）</t>
  </si>
  <si>
    <t>喳</t>
  </si>
  <si>
    <t>[歎]
滿州語。為清朝時在下位者對主上的應答聲，相當於國語的「是」、「在」等。
[擬]
參見「喳喳」條。</t>
  </si>
  <si>
    <t>(二)ㄔㄚ chā（08232）</t>
  </si>
  <si>
    <t>楂</t>
  </si>
  <si>
    <t>參見「山楂」條。</t>
  </si>
  <si>
    <t>(一)ㄔㄚˊ chá（08238）</t>
  </si>
  <si>
    <t>摣</t>
  </si>
  <si>
    <t>[動]
1.用手指撮取東西。清．王念孫《廣雅疏證．卷一上．釋詁》：「摣，取也。」
2.泛指抓取。《文選．張衡．西京賦》：「摣狒蝟，㧗窳狻。」</t>
  </si>
  <si>
    <t>樝</t>
  </si>
  <si>
    <t>參見「樝子」條。</t>
  </si>
  <si>
    <t>皻</t>
  </si>
  <si>
    <t>[名]
臉上或鼻上凸起的暗紅色小瘡。</t>
  </si>
  <si>
    <t>齇</t>
  </si>
  <si>
    <t>[名]
鼻上的紅斑。《玉篇．鼻部》：「齇，鼻上皰。」</t>
  </si>
  <si>
    <t>挓</t>
  </si>
  <si>
    <t>參見「挓挲」條。</t>
  </si>
  <si>
    <t>奓</t>
  </si>
  <si>
    <t>[動]
打開、推開。《莊子．知北遊》：「神農隱几，闔戶晝瞑，妸荷甘日中奓戶而入，曰：『老龍死矣！』」
[名]
地名用字。如大陸地區湖北省有奓河、奓山、奓湖等。</t>
  </si>
  <si>
    <t>(二)ㄕㄜ shē（08817）(三)ㄔˇ chǐ（08200）</t>
  </si>
  <si>
    <t>觰</t>
  </si>
  <si>
    <t>[名]
觰拏：傳說中的一種野獸。《說文解字．角部》：「觰，觰拏，獸也。」
[形]
1.大。清．王念孫《廣雅疏證．卷一上．釋詁》：「觰，大也。」
2.參見「觰沙」條。</t>
  </si>
  <si>
    <t>譇</t>
  </si>
  <si>
    <t>[形]
譇拏：文辭隱晦難懂。《說文解字．言部》：「譇，譇拏，羞窮也。」清．段玉裁．注：「羞窮者，謂羞澀辭窮而支離牽引，是曰譇拏。」</t>
  </si>
  <si>
    <t>ㄓㄚˊ</t>
  </si>
  <si>
    <t>zhá</t>
  </si>
  <si>
    <t>[動]
1.參見「扎掙」、「掙扎」等條。
2.寒氣刺骨。如：「這冰塊冷得扎手。」
3.纏束、綑綁。同「紮」。《水滸傳》第五回：「拽扎起下面衣服，跨了戒刀，大踏步提了禪杖，出到打麥場上。」
[名]
書信、函件。同「札」。如：「信扎」、「函扎」。</t>
  </si>
  <si>
    <t>(一)ㄓㄚ zhā（07601）(三)ㄓㄚˇ zhǎ（07626）</t>
  </si>
  <si>
    <t>札</t>
  </si>
  <si>
    <t>[名]
1.古時用以寫字的小木片。如：「筆札」、「簡札」。《史記．卷一一七．司馬相如傳》：「上許，令尚書給筆札。」
2.書信或公文。如：「手札」、「信札」。《文選．古詩十九首．孟冬寒氣至》：「客從遠方來，遺我一書札。」
3.武士冑甲上由皮革或金屬製成的甲葉。《左傳．成公十六年》：「潘尪之黨與養由基蹲甲而射之，徹七札焉。」北齊．顏之推《顏氏家訓．勉學》：「射則不能穿札，筆則纔記姓名。」
[動]
因災禍而死。《左傳．昭公四年》：「癘疾不降，民不夭札。」</t>
  </si>
  <si>
    <t>紮</t>
  </si>
  <si>
    <t>[動]
軍隊屯駐。如：「駐紮」。《三國演義》第七二回：「操心怯，拔寨退三十里，就空闊處紮營。」
[名]
量詞。計算成束物品的單位。如：「一紮線香」、「兩紮鮮花」。</t>
  </si>
  <si>
    <t>(二)ㄗㄚ zā（09434）</t>
  </si>
  <si>
    <t>[動]
壓。如：「軋鋼」。</t>
  </si>
  <si>
    <t>(一)ㄧㄚˋ yà（10729）(二)ㄍㄚˊ gá（03914）</t>
  </si>
  <si>
    <t>炸</t>
  </si>
  <si>
    <t>[動]
一種烹飪方法。把食物投入多量的沸油中，直至外皮成金黃色即可撈起。</t>
  </si>
  <si>
    <t>(一)ㄓㄚˋ zhà（07637）</t>
  </si>
  <si>
    <t>哳</t>
  </si>
  <si>
    <t>參見「啁哳」條。</t>
  </si>
  <si>
    <t>參見「唼喋」、「啑喋」等條。</t>
  </si>
  <si>
    <t>(一)ㄉㄧㄝˊ dié（02173）</t>
  </si>
  <si>
    <t>煠</t>
  </si>
  <si>
    <t>[動]
一種烹飪方法。將食物置入熱湯或熱油中，待沸即出，稱為「煠」。《通俗編．雜字》：「今以食物納油及湯中一沸而出曰煠。」明．徐光啟《農政全書．卷四六．荒政．救荒本草一》：「野生薑……採嫩葉煠熟，水浸淘去苦味，油鹽調食。」</t>
  </si>
  <si>
    <t>(一)ㄧㄝˋ yè（10771）</t>
  </si>
  <si>
    <t>閘</t>
  </si>
  <si>
    <t>[名]
1.可適時開關，用以調節流量的水門。如：「水閘」、「進洪閘」。宋．蘇軾〈祭英烈王文〉：「完我岸閘，千夫奏功。」
2.一種機關裝置。如：「手閘」、「電閘」。
[動]
將水攔住。《朱子語類．卷五九．孟子．告子上》：「如水之流，夜間則閘得許多水住在這裡，這一池水便滿。」</t>
  </si>
  <si>
    <t>劄</t>
  </si>
  <si>
    <t>[名]
1.書信。同「札」。如：「信劄」。
2.公文。同「札」。如：「劄子」。《兒女英雄傳》第二回：「安老爺自從接了調署的劄文，便一面打發家眷到高堰通判任所。」
3.筆記。如清朝趙翼有《廿二史劄記》。</t>
  </si>
  <si>
    <t>霅</t>
  </si>
  <si>
    <t>參見「霅溪」條。</t>
  </si>
  <si>
    <t>鍘</t>
  </si>
  <si>
    <t>[名]
1.割草刀。如：「鋼鍘」、「藥鍘」。也稱為「鍘刀」。
2.古代砍斬犯人頭顱的刑具。如：「虎頭鍘」。元．李直夫《虎頭牌》第三折：「將銅鍘來，切了你那驢頭！」
[動]
用鍘刀切斷。如：「鍘草」。元．武漢臣《生金閣》第二折：「如今著我來鍘了你頭哩！」</t>
  </si>
  <si>
    <t>ㄓㄚˇ</t>
  </si>
  <si>
    <t>zhǎ</t>
  </si>
  <si>
    <t>[動]
停止。如：「快扎住，別再胡鬧了！」</t>
  </si>
  <si>
    <t>(一)ㄓㄚ zhā（07601）(二)ㄓㄚˊ zhá（07614）</t>
  </si>
  <si>
    <t>扠</t>
  </si>
  <si>
    <t>[名]
量詞。計算物品長短的單位。拇指與食指張開的寬度稱為「一扠」。如：「這塊木板有三扠寬。」
[動]
張開大拇指與食指測量東西的長度。如：「把這塊木板扠一扠。」</t>
  </si>
  <si>
    <t>(一)ㄔㄚ chā（08226）</t>
  </si>
  <si>
    <t>厏</t>
  </si>
  <si>
    <t>參見「厏厊」條。</t>
  </si>
  <si>
    <t>苲</t>
  </si>
  <si>
    <t>[名]
土渣，糞土與草相混合者。《集韻．上聲．馬韻》：「苴，土苴，和糞艸也。或作苲。」</t>
  </si>
  <si>
    <t>砟</t>
  </si>
  <si>
    <t>[名]
塊狀物。如：「焦砟」、「煤砟子」、「爐灰砟兒」。</t>
  </si>
  <si>
    <t>(一)ㄓㄚˋ zhà（07639）</t>
  </si>
  <si>
    <t>詐</t>
  </si>
  <si>
    <t>[動]
用言語試探他人。如：「他拿話詐我。」《紅樓夢》第九九回：「誰不知李十太爺是能事，把我一詐就嚇毛了！」</t>
  </si>
  <si>
    <t>(一)ㄓㄚˋ zhà（07642）</t>
  </si>
  <si>
    <t>鮓</t>
  </si>
  <si>
    <t>[名]
1.用鹽、椒等醃製成的魚類食品。《晉書．卷九六．列女傳．陶侃母湛氏傳》：「侃少為尋陽縣吏，嘗監魚梁，以一坩鮓遺母。」唐．王維〈贈吳官〉詩：「江鄉鯖鮓不寄來，秦人湯餅那堪許？」
2.泛指醃製品。宋．范成大《桂海虞衡志．志禽》：「民或以鸚鵡為鮓，又以孔雀為腊，皆以其易得故也。」</t>
  </si>
  <si>
    <t>眨</t>
  </si>
  <si>
    <t>[動]
1.眼瞼一開一閉。如：「殺人不眨眼」、「他的眼睛連眨都不眨一下。」
2.閃動。如：「天上繁星一直眨個不停。」</t>
  </si>
  <si>
    <t>[名]
塊狀物。通「砟」。如：「煤渣子」、「爐灰渣兒」。</t>
  </si>
  <si>
    <t>(一)ㄓㄚ zhā（07603）</t>
  </si>
  <si>
    <t>乍</t>
  </si>
  <si>
    <t>ㄓㄚˋ</t>
  </si>
  <si>
    <t>zhà</t>
  </si>
  <si>
    <t>[副]
1.突然。《孟子．公孫丑上》：「今人乍見孺子將入於井，皆有怵惕惻隱之心。」唐．白居易〈琵琶行〉：「銀瓶乍破水漿迸，鐵騎突出刀槍鳴。」
2.初、剛剛。如：「乍暖還寒」、「新來乍到」、「霪雨乍晴」。
3.暫時。《文選．孔稚珪．北山移文》：「乍迴跡以心染，或先貞而後黷。」
4.怎、哪。《西遊記》第三三回：「乍想到了此處，遭逢魔障，又被他遣山壓了。」
[動]
1.因害怕而顫抖。元．無名氏《鴛鴦被》第二折：「不由我意張狂，心驚乍。」
2.壯著、放大。《紅樓夢》第六七回：「那興兒聽見這個聲音兒，早已沒了主意了，只得乍著膽子進來。」</t>
  </si>
  <si>
    <t>咋</t>
  </si>
  <si>
    <t>[副]
突然、忽然。《左傳．定公八年》：「桓子咋謂林楚曰：『而先皆季氏之良也，爾以是繼之。』」
[動]
爆發、激怒。《西遊記》第一五回：「急得他三尸神咋，七竅煙生。」</t>
  </si>
  <si>
    <t>(二)ㄗㄜˊ zé（09446）</t>
  </si>
  <si>
    <t>[動]
1.用火藥、炸彈等進行爆破。如：「炸山」。
2.東西爆裂。如：「爆炸」、「熱水瓶突然炸了！」
3.突然發怒、生氣。如：「他聽見這話，登時炸了。」</t>
  </si>
  <si>
    <t>(二)ㄓㄚˊ zhá（07618）</t>
  </si>
  <si>
    <t>痄</t>
  </si>
  <si>
    <t>參見「痄腮」條。</t>
  </si>
  <si>
    <t>[名]
碑石。《玉篇．石部》：「砟，碑石也。」</t>
  </si>
  <si>
    <t>(二)ㄓㄚˇ zhǎ（07630）</t>
  </si>
  <si>
    <t>蚱</t>
  </si>
  <si>
    <t>參見「蚱蜢」、「蚱蟬」等條。</t>
  </si>
  <si>
    <t>笮</t>
  </si>
  <si>
    <t>[名]
壓酒的器具。同「醡」。《廣韻．去聲．禡韻》：「笮，笮酒器也。」
[動]
壓、榨。《後漢書．卷一九．耿恭傳》：「吏士渴乏，笮馬糞汁而飲之。」</t>
  </si>
  <si>
    <t>(一)ㄗㄜˊ zé（09451）</t>
  </si>
  <si>
    <t>[動]_x000D_
1.欺騙、騙取。如：「詐騙」、「敲詐」。《荀子．王霸》：「上詐其下，下詐其上。」_x000D_
2.作假、偽裝。如：「詐降」。《史記．卷八．高祖本紀》：「將軍紀信乃乘王駕，詐為漢王，誑楚。」《遼史．卷一一二．逆臣列傳上．耶律重元》：「說其父重元詐病，俟車駕臨問，因行弒逆。」_x000D_
[形]_x000D_
狡猾、虛偽。如：「奸詐」、「狡詐」、「詭詐」。_x000D_
[副]_x000D_
忽然。通「乍」。《公羊傳．僖公三十三年》：「詐戰不日，此何以日。」漢．何休．解詁：「詐，卒也。」</t>
  </si>
  <si>
    <t>(二)ㄓㄚˇ zhǎ（07631）</t>
  </si>
  <si>
    <t>搾</t>
  </si>
  <si>
    <t>[動]
擠壓、壓迫、逼迫。同「榨」。如：「搾汁」、「壓搾」。</t>
  </si>
  <si>
    <t>榨</t>
  </si>
  <si>
    <t>[動]
1.擠壓出汁液。如：「榨油」、「榨橘子汁」。
2.壓迫、逼迫。如：「壓榨」。
[名]
擠壓物體汁液的器具。宋．穆脩〈和秀才江墅幽居好〉詩一〇首之五：「酒醲新出榨，魚活旋離鉤。」</t>
  </si>
  <si>
    <t>醡</t>
  </si>
  <si>
    <t>[名]
壓酒的器具。宋．楊萬里〈新酒歌〉：「松槽葛囊纔上醡，老夫脫帽先嘗新。」
[動]
壓酒、製酒。宋．楊萬里〈夜飲〉詩：「酒新今晚醡，燭短昨宵餘。」《水滸傳》第六五回：「卻是一個村酒店，半夜裡起來醡酒。」</t>
  </si>
  <si>
    <t>吒</t>
  </si>
  <si>
    <t>[動]
1.怒吼。如：「叱吒」。《山海經．北山經》：「有獸焉，其狀如豹而長尾，人首而牛耳，一目，名曰諸犍，善吒。」
2.痛惜。《文選．郭璞．遊仙詩七首之四》：「臨川哀年邁，撫心獨悲吒。」
3.誇大、欺誑。《後漢書．卷四九．王符傳》：「石山隱飾，金銀錯鏤，窮極麗靡，轉相誇吒。」
[副]
吃東西時口舌作聲。《禮記．曲禮上》：「毋吒食，毋齧骨。」
[名]
參見「哪吒」條。</t>
  </si>
  <si>
    <t>䖳</t>
  </si>
  <si>
    <t>[名]
動物名。腔腸動物。體形呈傘狀，口懸於腹面正中。體膠質透明，可供食用。也稱為「海蜇」、「水母」。</t>
  </si>
  <si>
    <t>柵</t>
  </si>
  <si>
    <t>[名]
圍欄。如：「木柵」、「籬柵」。《後漢書．卷六五．段熲傳》：「乃遣千人於西縣結木為柵，廣二十步，長四十里，遮之。」</t>
  </si>
  <si>
    <t>(二)（又音）ㄕㄢˋ shàn（08937）</t>
  </si>
  <si>
    <t>溠</t>
  </si>
  <si>
    <t>[名]
河川名。源出湖北省隨州市隨縣西北，向東南流入溳水。北魏．酈道元《水經注．溳水注》：「有溠水出縣西北黃山南，……溠水又南流，注于溳。」</t>
  </si>
  <si>
    <t>蜡</t>
  </si>
  <si>
    <t>[名]
一種祭禮。在周朝稱為「蜡」，於歲末大祭萬物。《禮記．郊特牲》：「天子大蜡八，伊耆氏始為蜡。」唐．陸德明《經典釋文．卷一二．禮記音義之二》：「蜡，祭名，夏曰清祀，殷曰嘉平，周曰蜡，秦曰臘。」</t>
  </si>
  <si>
    <t>(二)（(一)之又音）ㄔㄚˋ chà（08258）(三)ㄌㄚˋ là（▲03182）</t>
  </si>
  <si>
    <t>折</t>
  </si>
  <si>
    <t>ㄓㄜ</t>
  </si>
  <si>
    <t>zhē</t>
  </si>
  <si>
    <t>[動]
1.翻轉、迴旋。如：「折跟頭」、「折騰」、「折返」。
2.倒出。如：「一筐子的梨都折了。」</t>
  </si>
  <si>
    <t>(一)ㄓㄜˊ zhé（07656）(二)ㄕㄜˊ shé（08823）</t>
  </si>
  <si>
    <t>㸙</t>
  </si>
  <si>
    <t>[名]
父親。清．王念孫《廣雅疏證．卷六下．釋親》：「㸙，父也。」《新唐書．卷二〇七．宦者傳上．高力士傳》：「肅宗在東宮，兄事力士，它王、公主呼為翂，戚里諸家尊曰㸙。」</t>
  </si>
  <si>
    <t>嗻</t>
  </si>
  <si>
    <t>參見「唓嗻」條。</t>
  </si>
  <si>
    <t>(一)ㄓㄜˋ zhè（07685）</t>
  </si>
  <si>
    <t>遮</t>
  </si>
  <si>
    <t>[動]
1.阻擋、攔阻。如：「遮擋」。《說文解字．辵部》：「遮，遏也。」《後漢書．卷四七．班超傳》：「超伏兵遮擊，盡殺之，持其使首以示謝。」
2.掩蓋、掩蔽。如：「遮蓋」、「遮掩」。唐．白居易〈琵琶行〉：「千呼萬喚始出來，猶抱琵琶半遮面。」
[代]
此。通「這」。宋．陸游〈點絳脣．采藥歸來〉詞：「江湖上，遮回疏放，作個閒人樣。」</t>
  </si>
  <si>
    <t>(二)ㄓㄜˇ zhě（07679）</t>
  </si>
  <si>
    <t>螫</t>
  </si>
  <si>
    <t>[動]
含有毒腺的蛇、蟲等用牙或針鉤刺人畜。如：「要是被蠍子螫了，可不能馬虎處理！」《三國志．卷二九．魏書．方技傳．華佗傳》：「彭城夫人夜之廁，蠆螫其手，呻呼無賴。」</t>
  </si>
  <si>
    <t>(二)（讀音）ㄕˋ shì（08779）</t>
  </si>
  <si>
    <t>ㄓㄜˊ</t>
  </si>
  <si>
    <t>zhé</t>
  </si>
  <si>
    <t>[動]
1.摘取、弄斷。如：「反掌折枝」。《荀子．勸學》：「鍥而舍之，朽木不折。」
2.彎、曲。《晉書．卷九四．陶潛傳》：「吾不能為五斗米折腰。」
3.疊。《後漢書．卷六八．郭太傳》：「嘗於陳、梁間行遇雨，巾一角墊，時人乃故折巾一角，以為林宗巾。」也作「摺」。
4.損失、喪失。如：「折壽」、「損兵折將」。《醒世姻緣傳》第一五回：「不要一句非言，折盡平生之福。」
5.夭亡。《漢書．卷二七．五行志下之上》：「兄喪弟曰短，父喪子曰折。」宋．蘇軾〈屈原塔〉詩：「古人誰不死，何必較考折。」
6.佩服。如：「折服」。南朝宋．劉義慶《世說新語．輕抵》：「宏自以有才，多好上人，坐上無折之者。」
7.對換、抵銷。如：「以米折錢」。宋．蘇軾〈上神宗皇帝書〉：「買絹未嘗不折鹽，糧草未嘗不折鈔。」
8.責難、責備。《史記．卷九．呂太后本紀》：「於今面折廷爭，臣不如君。」唐．劉禹錫〈天論上〉：「柳子厚作天說以折韓退之之言。」
[名]
1.折扣的簡稱。如：「打八折」。
2.挫敗、難關。如：「百折不撓」。
3.量詞：(1)計算折疊次數的單位。如：「把紙折成三折。」(2)計算戲劇分段的單位。如：「《竇娥冤》共分四折。」
4.一種治病方法。如病熱極重者，應以大寒的藥劑折其焰而救其急。</t>
  </si>
  <si>
    <t>(二)ㄕㄜˊ shé（08823）(三)ㄓㄜ zhē（07651）</t>
  </si>
  <si>
    <t>哲</t>
  </si>
  <si>
    <t>[形]
明智。《書經．皋陶謨》：「知人則哲，能官人。」《文選．王延壽．魯靈光殿賦》：「粵若稽古帝漢，祖宗濬哲欽明。」
[名]
賢能明智的人。《左傳．成公八年》：「夫豈無辟王？賴前哲以免也。」唐．徐賢妃〈諫太宗息兵罷役疏〉：「然黷武翫兵，先哲所戒。」</t>
  </si>
  <si>
    <t>晢</t>
  </si>
  <si>
    <t>[形]
明亮。如：「晢晢」。《說文解字．日部》：「晢，昭晢，明也。」</t>
  </si>
  <si>
    <t>蜇</t>
  </si>
  <si>
    <t>[名]
參見「海蜇」條。
[動]
毒蟲叮咬。唐．柳宗元〈讀韓愈所著毛穎傳後題〉：「而又設以奇異小蟲水草楂梨橘柚，苦鹹酸辛，雖蜇吻裂鼻，縮舌澀齒，而咸有篤好之者。」</t>
  </si>
  <si>
    <t>[名]
馲𩢷：一種由公驢與母牛交配而成的牲畜。《集韻．入聲．陌韻》：「馲，馲𩢷，獸名，驢父牛母。」</t>
  </si>
  <si>
    <t>(二)ㄌㄨㄛˋ luò（03823）</t>
  </si>
  <si>
    <t>慴</t>
  </si>
  <si>
    <t>[動]
1.畏懼、恐懼。《莊子．達生》：「死生驚懼，不入乎其胸中，是故迕物而不慴。」
2.懾服。《文選．枚乘．七發》：「恐虎豹，慴鷙鳥。」《晉書．卷二三．樂志下》：「威風震勁蜀，武烈慴強吳。」</t>
  </si>
  <si>
    <t>摺</t>
  </si>
  <si>
    <t>[動]
1.折疊。如：「摺衣服」、「摺紙」。北周．庾信〈鏡賦〉：「始摺屏風，新開戶扇。」
2.曲折。宋．米芾〈海岳名言〉：「石曼卿作佛號，都無回互轉摺之勢。」
3.毀損、折斷。《史記．卷七九．范雎傳》：「魏齊大怒，使舍人笞擊雎，折脅摺齒。」
[名]
小冊、小本子。如：「手摺」、「奏摺」、「存摺」。
[形]
折疊的、疊起的。如：「摺尺」、「摺扇」。</t>
  </si>
  <si>
    <t>(二)ㄓㄜˇ zhě（07678）</t>
  </si>
  <si>
    <t>[名]_x000D_
衣物上的摺痕。唐．張祜〈觀杭州柘枝〉詩：「看著遍頭香袖褶，粉屏香帕又重隈。」</t>
  </si>
  <si>
    <t>(一)ㄉㄧㄝˊ dié（02186）(二)ㄒㄩㄝˊ xué（07339A）(四)（(二)之又音）ㄒㄧˊ xí（06815）</t>
  </si>
  <si>
    <t>輒</t>
  </si>
  <si>
    <t>[名]
1.古代車箱向前翻出的左右兩板。《說文解字．車部》：「輒，車兩輢也。」清．段玉裁．注：「車必有兩輢，如人必有兩耳。」
2.姓。如漢代有輒終古。
[副]
1.每、總是。如：「動輒得咎」、「所言輒從」。《史記．卷七．項羽本紀》：「楚挑戰三合，樓煩輒射殺之。」
2.即、就。《史記．卷六八．商君傳》：「復曰：『能徙者，予五十金』。有一人徙之，輒予五十金，以明不欺。」</t>
  </si>
  <si>
    <t>鮿</t>
  </si>
  <si>
    <t>[名]
魚乾。《漢書．卷九一．貨殖傳》：「鮐鮆千斤，鮿鮑千鈞。」</t>
  </si>
  <si>
    <t>磔</t>
  </si>
  <si>
    <t>[動]
1.分裂肢體。《荀子．宥坐》：「汝以為諫者為必用耶？伍子胥不磔姑蘇東門外乎！」
2.宰割牲畜以祭鬼神。《禮記．月令》：「九門磔攘，以畢春氣。」
[名]
一種書法筆法。用筆時向右下斜，今稱為「捺」。</t>
  </si>
  <si>
    <t>(一)（讀音）ㄓˊ zhí（07501）</t>
  </si>
  <si>
    <t>謫</t>
  </si>
  <si>
    <t>[動]
1.譴責。如：「指謫」。《左傳．成公十七年》：「國子謫我。」
2.古代官吏降職調任。如：「謫仕」、「貶謫」。宋．范仲淹〈岳陽樓記〉：「滕子京謫守巴陵郡。」
[名]
罪過。《老子》第二十三章：「善行無轍跡，善言無瑕謫。」</t>
  </si>
  <si>
    <t>轍</t>
  </si>
  <si>
    <t>[名]
1.辦法、主意。如：「遇到這種情況，他就沒轍了。」
2.歌詞、戲曲所押的韻。如：「合轍」、「十三轍」。
3.參見「找轍」條。</t>
  </si>
  <si>
    <t>(一)ㄔㄜˋ chè（08275）</t>
  </si>
  <si>
    <t>讋</t>
  </si>
  <si>
    <t>[動]
恐懼、喪膽。《漢書．卷六．武帝紀》：「匈奴讋焉。」唐．顏師古．注：「讋，失氣。」</t>
  </si>
  <si>
    <t>懾</t>
  </si>
  <si>
    <t>[動]
1.害怕、恐懼。《禮記．曲禮上》：「貧賤而知好禮，則志不懾。」《晉書．卷四八．向雄等傳．史臣曰》：「然皆懼亂政之參夷，懾淫嬖之凶忍。」
2.威服。《淮南子．氾論》：「威動天地，聲懾四海。」唐．白居易〈代書詩一百韻寄微之〉詩：「下韝驚燕雀，當道懾狐狸。」</t>
  </si>
  <si>
    <t>(二)（又音）ㄕㄜˋ shè（08848）</t>
  </si>
  <si>
    <t>(一)ㄋㄧㄝˋ niè（03053）</t>
  </si>
  <si>
    <t>襵</t>
  </si>
  <si>
    <t>[名]
衣物上的皺褶。通「褶」。南朝梁．劉遵〈應令詠舞詩〉：「履度開裙襵。」《新唐書．卷二四．車服志》：「裹頭者，左右各三襵，以象三才。」
[動]
折疊。唐．元稹〈江陵三夢〉詩：「分張碎針線，襵疊故幈幃。」</t>
  </si>
  <si>
    <t>讘</t>
  </si>
  <si>
    <t>參見「讘䛟」條。</t>
  </si>
  <si>
    <t>者</t>
  </si>
  <si>
    <t>ㄓㄜˇ</t>
  </si>
  <si>
    <t>zhě</t>
  </si>
  <si>
    <t>[代]_x000D_
人或事物的代稱。如：「記者」、「作者」。《論語．雍也》：「知者樂水，仁者樂山。」《楚辭．屈原．漁父》：「新沐者必彈冠，新浴者必振衣。」_x000D_
[形]_x000D_
指示形容詞。同「這」。多用於古詩詞中。宋．晏幾道〈少年游．離多最是〉詞：「細想從來，斷腸多處，不與者番同。」_x000D_
[助]_x000D_
1.用於句中，表示停頓。《論語．學而》：「孝弟也者，其為仁之本與。」_x000D_
2.用於句末，表示語氣結束。《孟子．離婁下》：「大人者，不失其赤子之心者也。」_x000D_
3.表比擬。相當於「的樣子」。《史記．卷八六．刺客列傳．荊軻》：「已而相泣，旁若無人者。」</t>
  </si>
  <si>
    <t>赭</t>
  </si>
  <si>
    <t>[名]
紅褐色的土。《說文解字．赤部》：「赭，赤土也。」《管子．地數》：「上有赭者，下有鐵。」
[形]
紫紅色的。如：「赭衣」。《新五代史．卷五二．雜傳．杜重威傳》：「契丹賜重威赭袍，使衣以示諸軍。」
[動]
燒光、燒盡。《史記．卷六．秦始皇本紀》：「始皇大怒，使刑徒三千人皆伐湘山樹，赭其山。」唐．柳宗元〈賀進士王參元失火書〉：「黔其廬，赭其垣，以示其無有。」</t>
  </si>
  <si>
    <t>鍺</t>
  </si>
  <si>
    <t>[名]
（germanium，Ge）化學元素。原子序32。類金屬元素之一。粉末狀的鍺呈暗藍色，結晶狀的鍺為銀白色脆金屬。化學性質穩定，在常溫下不被氧化，有單向導電功能。存於煤礦、鐵礦及若干銀礦、銅礦中。可用於電晶體和整流器等儀器的製造。</t>
  </si>
  <si>
    <t>參見「摺子」條。</t>
  </si>
  <si>
    <t>(一)ㄓㄜˊ zhé（07662）</t>
  </si>
  <si>
    <t>[動]
1.北平方言。指掩飾、掩蓋。如：「遮羞」、「酸能遮鹹」。
2.北平方言。指搪塞。如：「找個藉口來遮一遮他，免得他吵鬧不休。」</t>
  </si>
  <si>
    <t>(一)ㄓㄜ zhē（07654）</t>
  </si>
  <si>
    <t>宅</t>
  </si>
  <si>
    <t>ㄓㄜˋ</t>
  </si>
  <si>
    <t>zhè</t>
  </si>
  <si>
    <t>(一)（語音）ㄓㄞˊ zhái（07693）</t>
  </si>
  <si>
    <t>柘</t>
  </si>
  <si>
    <t>[名]
1.植物名。桑科柘樹屬，直立或略攀緣狀灌木或喬木。樹皮灰褐色，具乳汁及長直刺。葉具柄，卵形或橢圓形，先端短突尖，鈍形至凹頭，托葉早落。花單性，雌雄異株，球形頭狀花序。聚合果肉質、球形，熟時橙黃色。嫩葉可養蠶，根皮藥用。也稱為「葨芝」、「柘樹」、「黃金桂」。
2.姓。如漢代有柘溫舒。</t>
  </si>
  <si>
    <t>(一)ㄓˊ zhí（07503）</t>
  </si>
  <si>
    <t>浙</t>
  </si>
  <si>
    <t>[名]
1.參見「浙江」條。
2.大陸地區浙江省的簡稱。</t>
  </si>
  <si>
    <t>這</t>
  </si>
  <si>
    <t>[代]
指稱較近的人、事、時間或地方。《儒林外史》第一回：「這就是門生治下一個鄉下農民，叫做王冕。」
[形]
指示形容詞。如：「這裡」、「這個人」、「這時候」。《老殘遊記》第四回：「這強盜一定在這村莊上了。」
[副]
立刻、馬上。如：「我這就回來。」
[助]
用於句中的襯字，無義。元．關漢卿《謝天香》第三折：「待道是顛狂睡囈，兀的不青天這白日。」</t>
  </si>
  <si>
    <t>(二)ㄓㄟˋ zhèi（07704）</t>
  </si>
  <si>
    <t>[形]
多話。《廣韻．去聲．禡韻》：「嗻，多語之貌。」</t>
  </si>
  <si>
    <t>(二)ㄓㄜ zhē（07653）</t>
  </si>
  <si>
    <t>蔗</t>
  </si>
  <si>
    <t>[名]
甘蔗的簡稱。參見「甘蔗」條。</t>
  </si>
  <si>
    <t>蟅</t>
  </si>
  <si>
    <t>[名]
一種蝗蟲類的昆蟲，以稻穀為食。《說文解字．虫部》「蟅」字．清．段玉裁．注：「按：即今北人所謂蛨蚱，江南人謂之蝗蟲。」</t>
  </si>
  <si>
    <t>鷓</t>
  </si>
  <si>
    <t>參見「鷓鴣」條。</t>
  </si>
  <si>
    <t>著</t>
  </si>
  <si>
    <t>˙ㄓㄜ</t>
  </si>
  <si>
    <t>zhe</t>
  </si>
  <si>
    <t>[助]
1.表示動作正持續進行。如：「坐著」、「正說著話」。
2.表示動作的存有。如：「鑲著花邊兒」、「貼著標語」。
3.表示某種情形的程度。如：「他可聰明著呢！」、「這石頭沉著呢！」
4.表示命令或囑咐的語氣。如：「你慢著！」、「你可要記著！」</t>
  </si>
  <si>
    <t>(一)ㄓㄨˋ zhù（08011）(二)ㄓㄨㄛˊ zhuó（08054）(三)ㄓㄠˊ zháo（07712）(四)ㄓㄠ zhāo（07709）</t>
  </si>
  <si>
    <t>ㄓㄞ</t>
  </si>
  <si>
    <t>zhāi</t>
  </si>
  <si>
    <t>[動]
祭祀前戒絕嗜欲、潔淨身心，以示虔誠。同「齋」。《莊子．達生》：「臣將為鐻，未嘗敢以耗氣也，必齊以靜心。」
[形]
肅敬、莊重。如：「齊肅」。《詩經．大雅．思齊》：「思齊文王，所以聖也。」《論語．鄉黨》：「祭必齊如也。」</t>
  </si>
  <si>
    <t>(一)ㄑㄧˊ qí（06274）(三)ㄐㄧˋ jì（05450）(四)ㄗ zī（09401）</t>
  </si>
  <si>
    <t>齋</t>
  </si>
  <si>
    <t>[動]
1.祭祀前沐浴素食，清心寡欲，潔淨身心以示虔誠。《說文解字．示部》：「齋，戒潔也。」如：「齋戒」。《論語．述而》：「子之所慎：齋、戰、疾。」
2.布施飯菜給僧侶。《舊唐書．卷一三．德宗紀下》：「賜馬十匹，令於諸寺齋僧。」
[名]
1.素食、僧侶的飲食。如：「結齋」。《西遊記》第二〇回：「茶罷，又吩咐辦齋。」
2.僧侶誦經祈福的活動。如：「作齋」、「起齋」。
3.書房、學舍。如：「書齋」。《宋史．卷一五七．選舉志三》：「太學置八十齋，齋各五楹，容三十人。」
4.商店的名號。如：「采芝齋」、「榮寶齋」。</t>
  </si>
  <si>
    <t>[動]
1.用手採取。如：「摘花」、「摘下」、「摘取」、「採摘」。《劉知遠諸宮調．第一二》：「掉下剛刀，摘了弓箭，脫卻袍凱。」
2.選取。如：「摘錄」。唐．李賀〈南園〉詩一三首之六：「尋章摘句老雕蟲，曉月當簾挂玉弓。」
3.指出、批評。如：「指摘」。明．王世貞《藝苑巵言》卷一：「詩不能無疵，雖三百篇亦有之，人自不敢摘耳。」
4.借貸。如：「東摘西借」。《官話指南．卷二．官商吐屬》：「因為我們今兒個有點兒緊用項，找您摘給我們幾百塊錢用。」</t>
  </si>
  <si>
    <t>(二)ㄊㄧˋ tì（02658）</t>
  </si>
  <si>
    <t>ㄓㄞˊ</t>
  </si>
  <si>
    <t>zhái</t>
  </si>
  <si>
    <t>[名]
1.住所、住處。《說文解字．宀部》：「宅，人所託居也。」如：「國民住宅」。晉．陶淵明〈歸園田居〉詩五首之一：「方宅十餘畝，草屋八九間。」唐．韓愈〈送李愿歸盤谷序〉：「是谷也，宅幽而勢阻，隱者之所盤旋。」
2.墳墓。清．王念孫《廣雅疏證．卷九下．釋邱》：「宅，葬地也。」《儀禮．士喪禮》：「筮宅，冢人營之。」
[動]
1.存、居。如：「宅心仁厚」。《書經．康誥》：「宅心知訓。」《文選．張衡．東京賦》：「彼偏據而規小，豈如宅中而圖大。」
2.安住。《書經．康誥》：「亦惟助王宅天命。」</t>
  </si>
  <si>
    <t>(二)（讀音）ㄓㄜˋ zhè（07680）</t>
  </si>
  <si>
    <t>[名]
姓。如明代有翟良。</t>
  </si>
  <si>
    <t>(二)ㄉㄧˊ dí（02116）</t>
  </si>
  <si>
    <t>擇</t>
  </si>
  <si>
    <t>(一)ㄗㄜˊ zé（09463）</t>
  </si>
  <si>
    <t>窄</t>
  </si>
  <si>
    <t>ㄓㄞˇ</t>
  </si>
  <si>
    <t>zhǎi</t>
  </si>
  <si>
    <t>[形]
1.狹小的。如：「狹窄」、「窄小」。《水滸傳》第七九回：「騎一疋恨天低、嫌地窄、千里烏騅馬。」
2.窘迫的。宋．蘇軾〈雨後行菜圃〉詩：「艱難生理窄，一味敢專饗。」</t>
  </si>
  <si>
    <t>(二)（讀音）ㄗㄜˊ zé（09450）</t>
  </si>
  <si>
    <t>柴</t>
  </si>
  <si>
    <t>ㄓㄞˋ</t>
  </si>
  <si>
    <t>zhài</t>
  </si>
  <si>
    <t>[名]
以竹或樹枝編成的柵欄。通「寨」。如唐朝王維有〈鹿柴〉一詩。《三國志．卷五五．吳書．甘寧傳》：「羽聞之，住不渡，而結柴營。」</t>
  </si>
  <si>
    <t>(一)ㄔㄞˊ chái（08280）</t>
  </si>
  <si>
    <t>砦</t>
  </si>
  <si>
    <t>同「寨」。</t>
  </si>
  <si>
    <t>責</t>
  </si>
  <si>
    <t>[名]
欠人的錢財。同「債」。《漢書．卷二四．食貨志上》：「於是有賣田宅、鬻子孫以償責者矣。」</t>
  </si>
  <si>
    <t>(一)ㄗㄜˊ zé（09456）</t>
  </si>
  <si>
    <t>債</t>
  </si>
  <si>
    <t>[名]
1.積欠他人的錢財。如：「還債」、「欠債」、「公債」。
2.泛指有所虧欠而待償還的恩惠、仇恨等。如：「人情債」、「感情債」、「血債」。</t>
  </si>
  <si>
    <t>[名]
姓。如漢代有祭遵。</t>
  </si>
  <si>
    <t>(一)ㄐㄧˋ jì（05445）</t>
  </si>
  <si>
    <t>瘵</t>
  </si>
  <si>
    <t>[名]
1.疾病。《爾雅．釋詁下》：「瘵，病也。」唐．李白〈為吳王謝責赴行在遲滯表〉：「年過耳順，風瘵日加。」
2.肺結核。如：「癆瘵」。《聊齋志異．卷三．連城》：「未幾，女病瘵，沉痼不起。」
3.災害。《文選．木華．海賦》：「天綱浡潏，為凋為瘵。」
[形]
痛苦。《詩經．大雅．瞻卬》：「邦靡有定，士民其瘵。」</t>
  </si>
  <si>
    <t>寨</t>
  </si>
  <si>
    <t>[名]_x000D_
1.防禦盜匪的柵欄。《遼史．卷三四．兵衛志上》：「填道路御寨及諸營壘，唯用桑柘梨栗。」_x000D_
2.盜寇聚集的地方。如：「盜寨」。《水滸傳》第一九回：「先付與小嘍囉齎了，教去寨裡報知。」《初刻拍案驚奇》卷八：「只因山寨中多事不便，日前曾分付孩兒們，凡遇蘇州客商，不可輕殺。」_x000D_
3.村莊。常作為地名用字。如：「孫家寨」、「趙寨」。</t>
  </si>
  <si>
    <t>ㄓㄟˋ</t>
  </si>
  <si>
    <t>zhèi</t>
  </si>
  <si>
    <t>[代]
「這」、「一」兩字的合音。</t>
  </si>
  <si>
    <t>(一)ㄓㄜˋ zhè（07684）</t>
  </si>
  <si>
    <t>抓</t>
  </si>
  <si>
    <t>ㄓㄠ</t>
  </si>
  <si>
    <t>zhāo</t>
  </si>
  <si>
    <t>(一)（語音）ㄓㄨㄚ zhuā（08019）(三)ㄔㄨㄚˇ chuǎ（08577）</t>
  </si>
  <si>
    <t>[動]
1.打手勢以示意人過來。如：「招手」、「招之即來，揮之即去」。
2.用廣告、通知等公開方式使人來。如：「招生」、「招考」、「招標」。
3.逗、惹、引。如：「招禍」、「招惹」、「別招你媽生氣！」、「餅乾屑會招來螞蟻。」《書經．大禹謨》：「滿招損，謙受益，時乃天道。」《紅樓夢》第一一回：「你別在這裡只管這們著，倒招的媳婦也心裡不好。」
4.北平方言。指傳染。如：「這病招人，要小心！」
5.承認罪狀。如：「招認」、「不打自招」、「這廝口風緊得很，怎麼逼都不招。」
6.進用。《文選．左思．詠史詩八首之二》：「馮公豈不偉，白首不見招。」
7.使入贅。如：「招婿」。元．無名氏《鴛鴦被》第一折：「或招或嫁，可不好那！」
8.尋找。《文選．左思．招隱詩二首之一》：「杖策招隱士，荒塗橫古今。」
[名]
1.箭靶。《呂氏春秋．孟春紀．本生》：「萬人操弓，共射其一招，招無不中。」
2.武技、手段。如：「絕招」、「耍花招」。
3.明顯的標幟。如：「招牌」、「酒招」、「市招」。
4.量詞。計算招術的單位。如：「一招妙計」、「雙方交手三十招仍未分出勝負。」</t>
  </si>
  <si>
    <t>(二)ㄕㄠˊ sháo（08875）(三)ㄑㄧㄠˊ qiáo（06362）</t>
  </si>
  <si>
    <t>昭</t>
  </si>
  <si>
    <t>[形]
1.明亮、光明。《詩經．大雅．抑》：「昊天孔昭，我生靡樂。」
2.明顯的。如：「天理昭昭」。
[名]
1.光線。《呂氏春秋．審分覽．任數》：「目之見也藉於昭，心之知也藉於理。」
2.古代祖先宗廟的排列次序。始祖廟居中，左為昭，右為穆。《左傳．僖公五年》：「大伯、虞仲，大王之昭也。」
3.姓。如戰國時楚國有昭奚恤。
[動]
顯揚、使彰明。《左傳．定公四年》：「以昭周公之明德。」《文選．諸葛亮．出師表》：「論其刑賞，以昭陛下平明之理。」</t>
  </si>
  <si>
    <t>釗</t>
  </si>
  <si>
    <t>[動]
1.削去、磨損稜角。《說文解字．刀部》：「釗，刓也。」
2.勉勵、勸勉。如：「勉釗」。《廣韻．平聲．宵韻》：「釗，……勉也。」</t>
  </si>
  <si>
    <t>[名]
計策、方法。《水滸傳》第二回：「三十六著，走為上著。」
[動]
1.放置。晉．陶淵明〈晉故征西大將軍長史孟府君傳〉：「文成示溫，溫以著坐處。」
2.受。如：「著風」、「著涼」。
3.發生。如：「著急」、「著慌」。
[副]
北方方言。指意見相合、同意。如：「著哇！這正合我意。」</t>
  </si>
  <si>
    <t>(一)ㄓㄨˋ zhù（08011）(二)ㄓㄨㄛˊ zhuó（08054）(三)ㄓㄠˊ zháo（07712）(五)˙ㄓㄜ zhe（07689）</t>
  </si>
  <si>
    <t>朝</t>
  </si>
  <si>
    <t>[名]
1.早晨。如：「春朝」。《詩經．小雅．何草不黃》：「哀我征夫，朝夕不暇。」《論語．里仁》：「朝聞道，夕死可矣。」
2.日、天。如：「有朝一日」、「成功在今朝」。《孟子．告子下》：「雖與之天下，不能一朝居也。」
3.姓。如隋代有朝景煥。
[形]
有活力的。如：「朝氣蓬勃」。</t>
  </si>
  <si>
    <t>(二)ㄔㄠˊ cháo（08303）</t>
  </si>
  <si>
    <t>嘲</t>
  </si>
  <si>
    <t>[動]
1.(一)之讀音。
2.鳥鳴。如：「林鳥嘲嘲」。</t>
  </si>
  <si>
    <t>(一)ㄔㄠˊ cháo（08305）</t>
  </si>
  <si>
    <t>ㄓㄠˊ</t>
  </si>
  <si>
    <t>zháo</t>
  </si>
  <si>
    <t>[動]
1.表示狀態的持續或已有了結果。如：「燈點著了」、「找著了」、「睡著了」。
2.接觸。如：「上不著天，下不著地」、「前不搭村，後不著店」。
3.陷入、中計。如：「他著了我的道了。」
[副]
恰好、得當。如：「這筆錢真花著了。」</t>
  </si>
  <si>
    <t>(一)ㄓㄨˋ zhù（08011）(二)ㄓㄨㄛˊ zhuó（08054）(四)ㄓㄠ zhāo（07709）(五)˙ㄓㄜ zhe（07689）</t>
  </si>
  <si>
    <t>爪</t>
  </si>
  <si>
    <t>ㄓㄠˇ</t>
  </si>
  <si>
    <t>zhǎo</t>
  </si>
  <si>
    <t>[名]
1.人類手、腳的指甲。也指手指或手。如：「指爪」、「腳爪」。明．焦竑《玉堂叢語．卷七．夙惠》：「先生以指爪逐行按之，按畢輒背，一字不遺。」明．高明《琵琶記》第二七齣：「我祇憑十爪，如何能彀墳土高。」
2.動物腳趾的尖角。也指其尖利趾甲。如：「雞爪」、「鷹爪」、「那隻老虎，張牙舞爪的，作勢想撲殺小兔子。」唐．杜甫〈見王監兵馬使說近山有白黑二鷹羅者久取竟未能得王以為毛骨有異他鷹恐臘後春生騫飛避暖勁翮思秋之甚眇不可見請余賦詩〉：「萬里寒空祇一日，金眸玉爪不凡材。」
3.二一四部首之一。
[動]
用爪抓、搔或捏。唐．柳宗元〈種樹郭橐駝傳〉：「爪其膚以驗其生枯。」明．劉基《郁離子．虞孚》：「貙人立而爪之斃。」</t>
  </si>
  <si>
    <t>(二)ㄓㄨㄚˇ zhuǎ（08023）</t>
  </si>
  <si>
    <t>找</t>
  </si>
  <si>
    <t>[動]
1.探訪、尋求。如：「找朋友」、「找工作」、「自找麻煩」。《紅樓夢》第三一回：「這可丟了！往那裡找去？」
2.補回差額。如：「找錢」、「找零兒」。《警世通言．卷一一．蘇知縣羅衫再合》：「當下先秤了一半船錢，那一半直待到縣時找足。」</t>
  </si>
  <si>
    <t>沼</t>
  </si>
  <si>
    <t>[名]
水池。如：「池沼」、「沼澤」。《左傳．隱公三年》：「澗溪沼沚之毛，蘋蘩薀藻之菜。」唐．元結〈石魚湖上醉歌〉：「山為樽，水為沼，酒徒歷歷坐洲島。」</t>
  </si>
  <si>
    <t>召</t>
  </si>
  <si>
    <t>ㄓㄠˋ</t>
  </si>
  <si>
    <t>zhào</t>
  </si>
  <si>
    <t>[動]
1.呼喚，特指上對下的呼喚。如：「召喚」、「召集」。《左傳．僖公三十二年》：「召孟明、西乞、白乙，使出師於東門之外。」
2.招致、引來。如：「召禍」。《書經．微子》：「降監殷民，用乂讎斂，召敵讎不怠。」</t>
  </si>
  <si>
    <t>(二)ㄕㄠˋ shào（08879）</t>
  </si>
  <si>
    <t>炤</t>
  </si>
  <si>
    <t>[動]
照耀。同「照」。《荀子．天論》：「列星隨旋，日月遞炤。」</t>
  </si>
  <si>
    <t>詔</t>
  </si>
  <si>
    <t>[動]
告訴、告誡、教導。《莊子．盜跖》：「夫為人父者，必能詔其子；為人兄者，必能教其弟。」《楚辭．屈原．離騷》：「麾蛟龍使梁津合，詔西皇使涉予。」
[名]
古時皇帝所頒發的命令。《文選．諸葛亮．出師表》：「善道察納雅言，深追先帝遺詔。」唐．柳宗元〈尚書戶部侍郎王君先太夫人河間劉氏誌文〉：「然而天子有詔，俾定封邑。」</t>
  </si>
  <si>
    <t>照</t>
  </si>
  <si>
    <t>[動]
1.映射。如：「照耀」、「陽光照在窗戶上。」
2.投映。如：「照鏡子」。
3.比擬、依據。如：「仿照」、「照貓畫虎」、「比照辦理」、「照本宣科」。
4.比對、核對。如：「對照」。
5.通知。如：「照會」、「關照」。
6.向著、對著。如：「照頭一棍」、「照著敵人開槍」。
7.看、顧。如：「照顧」、「照應」、「照料」。
8.知曉。如：「心照不宣」。《三國志．卷一九．魏書．陳思王植傳》：「臣聞騏驥長鳴，則伯樂照其能；盧狗悲號，則韓國知其才。」
9.攝取影像。如：「照相」、「這張像片是新照的。」
[名]
1.日光。如：「夕照」、「殘照」。
2.像片。如：「近照」、「玉照」。
3.憑證。如：「執照」、「護照」。《喻世明言．卷三三．張古老種瓜娶文女》：「申公道：『錢卻有，何以為照？』」</t>
  </si>
  <si>
    <t>兆</t>
  </si>
  <si>
    <t>[名]
1.龜甲、獸骨等燒灼後所出現的裂紋，古人藉以占卜吉凶。《禮記．月令》：「命大史釁龜筴，占兆審卦吉凶。」漢．鄭玄．注：「占兆，龜之繇文也。」唐．韓愈〈復志賦〉：「假大龜以視兆兮，求幽貞之所廬。」
2.事情發生前所顯露的徵候、跡象。如：「預兆」、「吉兆」、「不祥之兆」。
3.數目字。億的萬倍。如：「一兆」、「十兆」。
4.墳地、墓地。唐．韓愈〈祭十二郎文〉：「吾力能改葬，終葬汝於先人之兆。」
5.姓。如明代有兆元享。
[動]
預先顯示。如：「瑞雪兆豐年」。
[形]
眾多的。《書經．呂刑》：「一人有慶，兆民賴之。」</t>
  </si>
  <si>
    <t>垗</t>
  </si>
  <si>
    <t>[名]
1.祭壇四周的界域。《說文解字．土部》：「垗，畔也，為四畔界，祭其中。」
2.葬地。清．王念孫《廣雅疏證．卷九下．釋邱》：「垗，葬地也。」</t>
  </si>
  <si>
    <t>旐</t>
  </si>
  <si>
    <t>[名]
一種畫有龜蛇圖樣的旗子。清．朱駿聲《說文通訓定聲．小部》：「旐，旗畫龜蛇者。」《詩經．小雅．出車》：「設此旐矣，建彼旄矣。」</t>
  </si>
  <si>
    <t>鮡</t>
  </si>
  <si>
    <t>[名]
動物名。一種生活在小澗溪水中的魚類。全身無鱗，體側扁平，胸前有一個吸盤，背鰭、胸鰭均具硬刺，且有四對鬚。主要分布於大陸地區華南和西南一帶，為當地經濟魚類之一。</t>
  </si>
  <si>
    <t>笊</t>
  </si>
  <si>
    <t>參見「笊籬」條。</t>
  </si>
  <si>
    <t>棹</t>
  </si>
  <si>
    <t>[名]
1.船槳。同「櫂」。南朝宋．劉義慶《世說新語．任誕》：「因飲酒醉還，舞棹向船曰：『何處覓庾吳郡？此中便是。』」元．關漢卿《單刀會》第四折：「舡分開波中浪，棹攪碎江心月。」
2.借以指船。同「櫂」。《文選．張協．七命八首之二》：「縱棹隨風，弭楫乘波。」
[動]
划船、泛舟。同「櫂」。《文選．陶淵明．歸去來辭》：「或命巾車，或棹孤舟。」宋．蘇軾〈好事近．湖上雨晴時〉詞：「獨棹小舟歸去，任煙波飄兀。」</t>
  </si>
  <si>
    <t>(二)ㄓㄨㄛ zhuō（08026）</t>
  </si>
  <si>
    <t>罩</t>
  </si>
  <si>
    <t>[名]
1.捕魚的竹籠。《說文解字．网部》：「罩，捕魚器也。」
2.遮蓋物體的器具。如：「燈罩」、「紗罩」。也稱為「罩子」。
[動]
1.覆蓋、遮掩。如：「夜幕罩住大地。」明．湯顯祖《紫釵記》第三四齣：「影飄颻，碧濛濛，把關河罩，幕寒生夜悄。」
2.對抗、抵抗。《醒世姻緣傳》第九回：「你自己忖量著，若罩得過他，就告上狀，若忖量罩不過他，趁著剛才那個意思，做個半截漢子罷了。」
[形]
厲害、強。為年輕人交談時常用的口頭禪。如：「你很罩哦！三兩下就把事情處理好了！」</t>
  </si>
  <si>
    <t>㑿</t>
  </si>
  <si>
    <t>[形]
㑿㑿：長。《廣韻．去聲．巧韻》：「㑿，㑿㑿，長貌。」</t>
  </si>
  <si>
    <t>趙</t>
  </si>
  <si>
    <t>[名]
1.國名：(1)戰國時七雄之一。約統有今大陸地區河北省南部及山西省北部一帶。(2)東晉五胡十六國之一。為東晉劉曜所建，統有今大陸地區河北、山西、陝西、河南等的一部分，史稱「前趙」。(3)東晉五胡十六國之一。為石勒滅前趙而稱帝，史稱「後趙」。
2.姓。如宋代有趙匡胤。</t>
  </si>
  <si>
    <t>肇</t>
  </si>
  <si>
    <t xml:space="preserve">聿 </t>
  </si>
  <si>
    <t>[動]
1.首度、開端。《爾雅．釋詁上》：「初、哉、首、基、肇、祖、元、胎、俶、落、權輿，始也。」《楚辭．屈原．離騷》：「皇覽揆余初度兮，肇錫余以嘉名。」
2.發生、引起。如：「肇禍」、「肇事」。
3.端正。《國語．齊語》：「竱本肇末，勸之以賞賜，糾之以刑罰。」
[名]
姓。如戰國時趙國有肇賈。</t>
  </si>
  <si>
    <t>曌</t>
  </si>
  <si>
    <t>[名]
同「照」。武則天所造十九個新字之一，用以為己名。《集韻．去聲．笑韻》：「照，《說文》：『明也。』……武后作曌。」《舊唐書．卷六．則天皇后本紀》：「則天皇后武氏諱曌，并州文水人也。」</t>
  </si>
  <si>
    <t>櫂</t>
  </si>
  <si>
    <t>[名]
1.划船用的槳。《楚辭．屈原．九歌．湘君》：「桂櫂兮蘭枻，斲冰兮積雪。」宋．陸游〈泛舟〉詩：「水鄉元不減吳松，短櫂沿洄野興濃。」
2.借指船。如：「征櫂」。《宋史．卷三．太祖本紀》：「遂幸東水門，發戰櫂東下。」
[動]
划船、搖船。《後漢書．卷五九．張衡傳》：「號馮夷俾清津兮，櫂龍舟以濟予。」唐．錢起〈江行無題〉詩一〇〇首之一〇：「宦遊難自定，來喚櫂船郎。」</t>
  </si>
  <si>
    <t>州</t>
  </si>
  <si>
    <t>ㄓㄡ</t>
  </si>
  <si>
    <t>zhōu</t>
  </si>
  <si>
    <t>[名]
1.水面上的陸塊。同「洲」。《漢書．卷二八．地理志下》：「自合浦徐聞南入海，得大州，東西南北方千里。」
2.行政區域劃分的名稱。如：「蘇州」、「加州」。唐．白居易〈琵琶行〉：「座中泣下誰最多？江州司馬青衫濕。」
3.姓。如春秋時晉國有州綽。
[副]
穩固。《國語．齊語》：「令夫士，群萃而州處。」</t>
  </si>
  <si>
    <t>洲</t>
  </si>
  <si>
    <t>[名]
1.水上的陸塊。如：「沙洲」。《詩經．周南．關雎》：「關關雎鳩，在河之洲。」
2.地理學上稱地球上的大塊陸地為「洲」。如：「亞洲」、「歐洲」。</t>
  </si>
  <si>
    <t>喌</t>
  </si>
  <si>
    <t>[擬]
叫雞的聲音。《說文解字．吅部》：「喌，呼雞重言之。」清．段玉裁．注：「雞聲喌喌，故人效其聲呼之。」《警世通言．卷四．拗相公飲恨半山堂》：「婢又呼雞：『喌，喌，喌，喌，王安石來。』群雞俱至。」</t>
  </si>
  <si>
    <t>(二)（又音）ㄓㄨˋ zhù（08014）</t>
  </si>
  <si>
    <t>舟</t>
  </si>
  <si>
    <t>[名]
1.船。如：「輕舟」、「一葉扁舟」、「逆水行舟」。《詩經．邶風．二子乘舟》：「二子乘舟，汎汎其景。」
2.姓。如春秋時虢國有舟之僑。
3.二一四部首之一。
[動]
乘船。《禮記．祭義》：「壹舉足而不敢忘父母，是故道而不徑，舟而不游。」</t>
  </si>
  <si>
    <t>侜</t>
  </si>
  <si>
    <t>[動]
欺騙。通「譸」。《爾雅．釋訓》：「侜張，誑也。」《詩經．陳風．防有鵲巢》：「誰侜予美？」漢．鄭玄．箋：「誰侜張誑欺我所美之人乎？」</t>
  </si>
  <si>
    <t>輈</t>
  </si>
  <si>
    <t>[名]
古代馬車上駕駛座居中一根彎起的木頭。《文選．張衡．思玄賦》：「魂眷眷而屢顧兮，馬倚輈而徘徊。」</t>
  </si>
  <si>
    <t>鵃</t>
  </si>
  <si>
    <t>參見「鶻鵃」條。</t>
  </si>
  <si>
    <t>周</t>
  </si>
  <si>
    <t>[形]
1.完密、嚴謹。如：「周密」、「周詳」。《左傳．昭公四年》：「其藏之也周。」《說文解字．口部》：「周，密也。」唐．劉知幾《史通．卷五．補註》：「范曄之刪後漢也，簡而且周，疏而不漏，蓋云備矣。」
2.完備、充足。《左傳．文公三年》：「君子是以知秦穆公之為君也，舉人之周也。」《紅樓夢》第六四回：「後來不料遭了官司，敗落了家產，弄得衣食不周，那裡還娶得起媳婦呢？」
3.全部、整個。清．紀昀《閱微草堂筆記．卷二．濼陽消夏錄》：「見數物似人似獸，周身麟皴，班駁如古松。」
[名]
1.朝代名：(1)參見「周朝」條。(2)參見「北周」條。(3)唐朝武則天稱帝，改國號為「周」。(4)參見「後周」條。
2.環繞區域的外圍部分。如：「圓周」、「周圍」。北魏．酈道元《水經注．穀水注》：「池東西千步，南北千一百步，四周有塘。」
3.量詞。計算環繞次數的單位。如：「環島一周」、「繞場兩周」。
4.滿一年。通「週」。如：「周年」、「周歲」。
5.一星期。如：「周末」。
6.姓。如明代有周順昌。
[動]
1.環繞。如：「周而復始」。《楚辭．屈原．九歌．湘君》：「鳥次兮屋上，水周兮堂下。」
2.救濟、援助。通「賙」。如：「周濟」。《三國志．卷五八．吳書．陸遜傳》：「夷王梅賾等並帥支黨來附遜，遜傾財帛，周贍經卹。」宋．吳自牧《夢粱錄．卷一八．恤貧濟老》：「富家沿門親察其孤苦艱難，遇夜以碎金銀或錢會插于門縫，以周其苦。」
[副]
普遍、全、都。如：「眾所周知」。《易經．繫辭上》：「知周乎萬物，而道濟天下。」宋．蘇軾〈上神宗皇帝書〉：「以古揆今，則似內重，共惟祖宗所以預圖而深計，固非小臣所能臆度而周知。」</t>
  </si>
  <si>
    <t>啁</t>
  </si>
  <si>
    <t>參見「啁啾」、「啁噍」等條。</t>
  </si>
  <si>
    <t>(二)ㄔㄠˊ cháo（08299）</t>
  </si>
  <si>
    <t>週</t>
  </si>
  <si>
    <t>[名]
1.滿一年。如：「週歲」。《野叟曝言》第一七回：「爹爹知恩報恩，寫下遺囑，昨日才過週年，你就翻爹爹的招嗎？」
2.星期。如：「週末」。
3.量詞。計算時間的單位。一週等於一星期。如：「歷時四週」。
4.環繞區域的外圍部分。同「周」。《三國演義》第二〇回：「與天子獵於許田，軍士排開圍場，週廣二百餘里。」《初刻拍案驚奇》卷一五：「我如今添造房屋，修理得錦錦簇簇，週迴花木，栽植得整整齊齊。」
[動]
環繞循迴。通「周」。《紅樓夢》第一三回：「嬸嬸好痴也。否極泰來，榮辱自古週而復始，豈人力能可常保的。」
[形]
1.一星期一次的。如：「週刊」。
2.全部、整個。通「周」。《兒女英雄傳》第四〇回：「一痛快，不覺收了眼淚，嗤的一笑，立刻頭就不暈了，心寬體胖，週身的衣裳也合了折兒了。」
[副]
普遍、全、都。通「周」。如：「眾所週知」。明．徐弘祖《徐霞客遊記．卷九上．滇遊日記十》：「嘉靖壬子，城外週鑿城隍，至正南迤東，竁地丈許，有絡石，工役斲截之。」</t>
  </si>
  <si>
    <t>[名]
翢翢：古代的一種鳥。《韓非子．說林下》：「鳥有翢翢者，重首而尾屈。」</t>
  </si>
  <si>
    <t>(一)ㄉㄠˋ dào（01972）</t>
  </si>
  <si>
    <t>輖</t>
  </si>
  <si>
    <t>參見「軒輖」條。</t>
  </si>
  <si>
    <t>賙</t>
  </si>
  <si>
    <t>[動]
以財物濟助他人。《水滸傳》第一八回：「濟人貧苦，賙人之急。」</t>
  </si>
  <si>
    <t>粥</t>
  </si>
  <si>
    <t>[名]
稀飯。指用米、小米或玉米等穀類熬煮成的黏稠食物。如：「白粥」、「廣東粥」、「牛肉粥」。也稱為「糜」。</t>
  </si>
  <si>
    <t>(二)（讀音）ㄓㄨˋ zhù（08015）(三)ㄩˋ yù（11704）</t>
  </si>
  <si>
    <t>盩</t>
  </si>
  <si>
    <t>[動]
引擊。《說文解字．㚔部》：「盩，引擊也。」清．段玉裁．注：「引而擊之也。」</t>
  </si>
  <si>
    <t>譸</t>
  </si>
  <si>
    <t>[動]
1.揣測、忖度。《後漢書．卷五八．虞詡傳》：「以詡譸之，知其無能為也。」
2.參見「譸張」條。</t>
  </si>
  <si>
    <t>妯</t>
  </si>
  <si>
    <t>ㄓㄡˊ</t>
  </si>
  <si>
    <t>zhóu</t>
  </si>
  <si>
    <t>(二)（讀音）ㄓㄨˊ zhú（07960）</t>
  </si>
  <si>
    <t>舳</t>
  </si>
  <si>
    <t>(一)（讀音）ㄓㄨˊ zhú（07961）</t>
  </si>
  <si>
    <t>軸</t>
  </si>
  <si>
    <t>[名]
1.貫穿車輪中心，控制輪子轉動的橫桿。如：「車軸」、「輪軸」。宋．蘇軾〈次韻王鞏獨眠〉詩：「天寒日短銀燈續，欲往從之車脫軸。」
2.書卷的橫桿。如：「書軸」、「畫軸」。
3.量詞。計算卷軸裝書畫的單位。如：「一軸山水畫」、「書三千軸」。唐．韓愈〈送諸葛覺往隨州讀書〉詩：「鄴侯家多書，插架三萬軸。」
[形]
中心的、樞要的。如：「軸心國」。</t>
  </si>
  <si>
    <t>(二)（讀音）ㄓㄨˊ zhú（07962）(三)ㄓㄡˋ zhòu（07756）</t>
  </si>
  <si>
    <t>肘</t>
  </si>
  <si>
    <t>ㄓㄡˇ</t>
  </si>
  <si>
    <t>zhǒu</t>
  </si>
  <si>
    <t>[名]
上下臂關節相接處可以彎曲的部位。如：「胳臂肘兒」。《左傳．成公二年》：「自始合，而矢貫余手及肘，余折以御。」
[動]
1.拉住肘部。唐．杜甫〈遭田父泥飲美嚴中丞〉詩：「高聲索果栗，欲起時被肘。」
2.以肘碰觸。《左傳．成公二年》：「從左右，皆肘之，使立於後。」</t>
  </si>
  <si>
    <t>帚</t>
  </si>
  <si>
    <t>[名]
打掃的用具。如：「掃帚」、「竹帚」、「敝帚自珍」。</t>
  </si>
  <si>
    <t>宙</t>
  </si>
  <si>
    <t>ㄓㄡˋ</t>
  </si>
  <si>
    <t>zhòu</t>
  </si>
  <si>
    <t>[名]
1.古往今來無限的時間。如：「宇宙」。《淮南子．齊俗》：「往古來今謂之宙。」宋．蘇軾〈次韻答章傳道見贈〉詩：「並生天地宇，同閱古今宙。」
2.天空。唐．王勃〈七夕賦〉：「霜凝碧宙，水瑩丹霄。」</t>
  </si>
  <si>
    <t>胄</t>
  </si>
  <si>
    <t>[名]
1.後代子孫。如：「胄裔」、「貴胄」。《左傳．襄公十四年》：「謂我諸戎，是四嶽之裔胄也。」
2.參見「胄子」條。
[動]
承續先業。《後漢書．卷八〇．文苑傳下．邊讓傳》：「胄高陽之苗胤兮，承聖祖之洪澤。」</t>
  </si>
  <si>
    <t>冑</t>
  </si>
  <si>
    <t>[名]
古代戰士的頭盔。如：「甲冑」、「介冑」。《左傳．僖公三十三年》：「秦師過周北門，左右免冑而下。」唐．張說〈為魏元忠作祭石嶺戰亡兵士文〉：「石盡矢窮，旗焚冑落。」</t>
  </si>
  <si>
    <t>參見「軸子」條。</t>
  </si>
  <si>
    <t>(一)（語音）ㄓㄡˊ zhóu（07750）(二)（讀音）ㄓㄨˊ zhú（07962）</t>
  </si>
  <si>
    <t>咒</t>
  </si>
  <si>
    <t>[名]
1.用法術驅鬼除邪或治病的口訣。如：「畫符念咒」。
2.以梵文發音的偈語或咒語。如：「大悲咒」、「六字大明咒」。
[動]
1.用惡毒不吉利的話罵人。如：「詛咒」。《西遊記》第一〇回：「李定聞言，大怒道：『……你怎麼咒我？』」
2.發誓。如：「賭咒」。</t>
  </si>
  <si>
    <t>咮</t>
  </si>
  <si>
    <t>[名]
鳥嘴。《說文解字．口部》：「咮，鳥口也。」《詩經．曹風．候人》：「維鵜在梁，不濡其咮。」</t>
  </si>
  <si>
    <t>紂</t>
  </si>
  <si>
    <t>[名]
1.勒在馬臀上的皮帶。《說文解字．糸部》：「紂，馬緧也。」
2.人名。商朝最後一位君主，相傳是個暴君。</t>
  </si>
  <si>
    <t>酎</t>
  </si>
  <si>
    <t>[名]
多重加工而釀成的醇酒。《說文解字．酉部》：「酎，三重醇酒也。」《禮記．月令》：「天子飲酎，用禮樂。」漢．鄭玄．注：「酎之言醇也，謂重釀之酒也。」</t>
  </si>
  <si>
    <t>晝</t>
  </si>
  <si>
    <t>[名]
1.白天。如：「白晝」、「晝伏夜出」。
2.地名。春秋齊邑，故址約位於今大陸地區山東省臨淄縣西北。</t>
  </si>
  <si>
    <t>㑳</t>
  </si>
  <si>
    <t>[形]
1.輕俏、乖巧。元．鄭光祖《㑳梅香．楔子》：「內外的人沒有一個不稱賞他的。因此上，都喚他做㑳梅香。」
2.飄忽不定。元．王實甫《西廂記．第四本．第二折》：「老夫人心數多，情性㑳。」</t>
  </si>
  <si>
    <t>皺</t>
  </si>
  <si>
    <t>[形]
1.臉上或皮膚因鬆弛而有摺紋的。如：「皺紋」。唐．李賀〈啁少年〉詩：「莫道韶華鎮長在，髮白面皺專相待。」
2.物體有摺痕的。如：「皺摺」、「他的衣服皺了！」
[動]
擠壓、收縮。如：「皺眉頭」。南朝梁．陶弘景《周氏冥通記．卷一．五月事》：「此人始入戶，便皺面去，居太近。」</t>
  </si>
  <si>
    <t>縐</t>
  </si>
  <si>
    <t>[名]
表面有皺紋的紡織品。如：「湖縐」。
[形]
有皺紋的。如：「縐紗」、「縐布」。</t>
  </si>
  <si>
    <t>甃</t>
  </si>
  <si>
    <t>[名]
井壁。《說文解字．瓦部》：「甃，井壁也。」南朝梁．江淹〈井賦〉：「構玉甃之百節。」
[動]
1.砌磚。《易經．井卦．六四》：「井甃，無咎。」唐．孔穎達．正義：「《子夏傳》曰：『甃亦治也。以磚壘井，脩井之壞，謂之甃。』」
2.裝飾。唐．李賀〈出城別張又新酬李漢〉詩：「光明靄不發，腰龜徒甃銀。」</t>
  </si>
  <si>
    <t>僽</t>
  </si>
  <si>
    <t>參見「僝僽」條。</t>
  </si>
  <si>
    <t>噣</t>
  </si>
  <si>
    <t>[名]
鳥嘴。同「咮」。《史記．卷四三．趙世家》：「中衍人面鳥噣。」</t>
  </si>
  <si>
    <t>(二)ㄓㄨㄛˊ zhuó（08057）</t>
  </si>
  <si>
    <t>繇</t>
  </si>
  <si>
    <t>[名]
古代占卜的文辭。《左傳．閔公二年》：「成風聞成季之繇，乃事之。」《文選．潘岳．西征賦》：「既定鼎于郟鄏，遂鑽龜而啟繇。」</t>
  </si>
  <si>
    <t>(一)ㄧㄡˊ yóu（10902）(二)ㄧㄠˊ yáo（10831）</t>
  </si>
  <si>
    <t>籀</t>
  </si>
  <si>
    <t>[名]
參見「籀文」條。
[動]
誦讀。漢．許慎〈說文解字序〉：「學僮十七已上始試，諷籀書九千字乃得為吏。」</t>
  </si>
  <si>
    <t>占</t>
  </si>
  <si>
    <t>ㄓㄢ</t>
  </si>
  <si>
    <t>zhān</t>
  </si>
  <si>
    <t>[動]
1.根據徵兆以推知吉凶。《周禮．春官．占人》：「凡卜簭，君占體，大夫占色，史占墨，卜人占坼。」
2.視察、配合。《後漢書．卷六五．段熲傳》：「臣動兵涉夏，連獲甘澍，歲時豐稔，人無疵疫，上占天心，不為災傷。」
3.(二)之又音。</t>
  </si>
  <si>
    <t>(二)ㄓㄢˋ zhàn（07800）</t>
  </si>
  <si>
    <t>佔</t>
  </si>
  <si>
    <t>[動]
窺視。同「覘」。《集韻．平聲．鹽韻》：「覘，闚也。或作佔。」
[形]
看得見的、表面的。《禮記．學記》：「今之教者，呻其佔畢，多其訊。」</t>
  </si>
  <si>
    <t>(一)ㄓㄢˋ zhàn（07801）</t>
  </si>
  <si>
    <t>沾</t>
  </si>
  <si>
    <t>[動]
1.浸溼。唐．劉長卿〈餞別王十一南遊〉詩：「望君煙水闊，揮手淚霑巾。」宋．文同〈早晴至報恩山寺〉詩：「山石巉巉磴道微，拂松穿竹露沾衣。」
2.接觸、接近。如：「滴酒不沾」、「這些話一點也沾不上邊。」
3.感染、染上。如：「沾染惡習」。
4.藉別人的關係而得到好處、利益。如：「沾光」、「沾便宜」。
5.帶、有。如：「我和他既不沾親，也不帶故。」</t>
  </si>
  <si>
    <t>參見「怗懘」條。</t>
  </si>
  <si>
    <t>(一)ㄊㄧㄝ tiē（02665）</t>
  </si>
  <si>
    <t>詀</t>
  </si>
  <si>
    <t>[形]
1.話多。《玉篇．言部》：「詀，多言。」
2.低聲細語。《廣韻．平聲．咸韻》：「詀，諵語聲。」</t>
  </si>
  <si>
    <t>覘</t>
  </si>
  <si>
    <t>[動]
窺視、觀察。《左傳．成公十七年》：「公使覘之，信。」南朝梁．劉勰《文心雕龍．樂府》：「是以師曠覘風於盛衰，季札鑒微於興廢，精之至也。」</t>
  </si>
  <si>
    <t>霑</t>
  </si>
  <si>
    <t>[動]
1.浸溼、沾溼。同「沾」。《文選．江淹．恨賦》：「此人但聞悲風汩起，血下霑衿。」
2.比喻受人恩惠。如：「霑恩」、「法雨均霑」。</t>
  </si>
  <si>
    <t>旃</t>
  </si>
  <si>
    <t>[名]
1.曲柄的旗子。《說文解字．㫃部》：「旃，旗曲柄也，所以旃表士眾。」《文選．司馬相如．子虛賦》：「乘彫玉之輿，靡魚須之橈旃。」
2.泛指旗子、旌旗。唐．李白〈贈宣城宇文太守兼呈崔侍御〉詩：「良圖掃沙漠，別夢繞旌旃。」
3.毛織品。通「氈」。漢．桓寬《鹽鐵論．本議》：「江南之柟梓竹箭，燕、齊之魚鹽旃裘。」《史記．卷一一〇．匈奴傳》：「自君王以下，咸食畜肉，衣其皮革，被旃裘。」
[助]
之焉二字的合讀。《詩經．唐風．采苓》：「人之為言，苟亦無信，舍旃舍旃，苟亦無人。」</t>
  </si>
  <si>
    <t>栴</t>
  </si>
  <si>
    <t>參見「檀香」、「栴檀」等條。</t>
  </si>
  <si>
    <t>詹</t>
  </si>
  <si>
    <t>[形]
話多。《說文解字．八部》：「詹，多言也。」
[動]
1.至、到達。《詩經．小雅．采綠》：「五日為期，六日不詹。」《文選．張衡．思玄賦》：「黃靈詹而訪命兮，樛天道其焉如。」
2.視。通「瞻」。《詩經．魯頌．閟宮》：「泰山巖巖，魯邦所詹。」《史記．卷四．周本紀》：「粵詹雒伊，毋遠天室。」
3.管理。《史記．卷一一．孝景本紀》：「長信詹事為長信少府。」
4.選定。如：「謹詹於某月某日舉行婚禮。」
[名]
姓。如清代有詹天佑。</t>
  </si>
  <si>
    <t>薝</t>
  </si>
  <si>
    <t>參見「薝蔔」條。</t>
  </si>
  <si>
    <t>瞻</t>
  </si>
  <si>
    <t>[動]
1.向上或向前看。《詩經．邶風．雄雉》：「瞻彼日月，悠悠我思。」《楚辭．屈原．離騷》：「瞻前而顧後兮，相觀民之計極。」
2.仰望。如：「瞻仰」。《詩經．大雅．桑柔》：「維此惠君，民人所瞻。」</t>
  </si>
  <si>
    <t>譫</t>
  </si>
  <si>
    <t>[形]
話多。《集韻．平聲．鹽韻》：「譫，多言。」
[動]
參見「譫語」條。</t>
  </si>
  <si>
    <t>邅</t>
  </si>
  <si>
    <t>[動]
轉、改變。《楚辭．屈原．九歌．湘君》：「駕飛龍兮北征，邅吾道兮洞庭。」
[形]
參見「屯邅」、「邅回」等條。</t>
  </si>
  <si>
    <t>氈</t>
  </si>
  <si>
    <t>[名]
用獸毛加膠汁壓製成的織物，可做墊褥或鞋帽等。如：「毛氈」、「床氈」。《梁書．卷三六．江革傳》：「乃脫所著襦，並手割半氈與革充臥具而去。」</t>
  </si>
  <si>
    <t>饘</t>
  </si>
  <si>
    <t>[名]
濃稠的粥。《禮記．檀弓上》：「饘粥之食。」唐．皮日休〈三羞〉詩三首之三：「朝食有麥饘，晨起有布衣。」</t>
  </si>
  <si>
    <t>鸇</t>
  </si>
  <si>
    <t>[名]
動物名。一種猛禽，形似鷂，羽色青黃，常襲擊鳩、鴿、燕雀等做為獵物。</t>
  </si>
  <si>
    <t>鱣</t>
  </si>
  <si>
    <t>[名]
一種無鱗的大魚。《爾雅．釋魚》「鱣」句下晉．郭璞．注：「鱣，大魚。似鱘而短鼻，口在頷下，體有邪行甲，無鱗，肉黃，大者長二、三丈，今江東呼為黃魚。」</t>
  </si>
  <si>
    <t>(二)ㄕㄢˋ shàn（08959）</t>
  </si>
  <si>
    <t>展</t>
  </si>
  <si>
    <t>ㄓㄢˇ</t>
  </si>
  <si>
    <t>zhǎn</t>
  </si>
  <si>
    <t>[動]
1.翻轉、轉動。《說文解字．尸部》：「展，轉也。」《西遊記》第一〇〇回：「須臾間，那馬打個展身，即退了毛皮。」
2.舒張、打開。如：「舒展」。《莊子．盜跖》：「盜跖大怒，兩展其足，案劍瞋目。」宋．蘇軾〈題淨因壁〉詩：「蕉心不展待時雨，葵葉為誰傾夕陽。」
3.延長。《漢書．卷九〇．酷吏傳．王溫舒傳》：「令冬月益展一月，卒吾事矣。」
4.擴張、擴大。《國語．晉語二》：「今嘉其夢，侈必展。」《水滸傳》第一一六回：「此也是數中星宿，盡是陛下開疆展土之臣也。」
5.施行、實施。《文選．曹植．贈白馬王彪詩》：「何必同衾幬，然後展慇勤。」明．湯顯祖《牡丹亭》第二四齣：「到了觀中，且安置閣兒上，擇日展禮。」
6.省視、檢閱。《周禮．春官．肆師》：「大祭祀，展犧牲。」
7.陳列、鋪放。如：「展覽」。《左傳．襄公三十一年》：「百官之屬，各展其物。」
8.記錄。《周禮．天官．內宰》：「正其服，禁其奇邪，展其功緒。」
9.濡染。同「沾」。參見「展汙」條。
[名]
姓。如明代有展迪。</t>
  </si>
  <si>
    <t>搌</t>
  </si>
  <si>
    <t>[動]
1.束縛。《集韻．上聲．獮韻》：「搌，縛束也。」
2.輕輕擦抹或按壓。如：「紙上落了一滴墨，快拿吸墨紙搌一搌吧！」</t>
  </si>
  <si>
    <t>參見「輾轉」條。</t>
  </si>
  <si>
    <t>(二)ㄋㄧㄢˇ niǎn（03095）</t>
  </si>
  <si>
    <t>蹍</t>
  </si>
  <si>
    <t>[動]
踐踏。《莊子．庚桑楚》：「蹍市人之足，則辭以放驁。」南朝宋．劉義慶《世說新語．忿狷》：「雞子於地圓轉未止，仍下地以屐齒蹍之。」</t>
  </si>
  <si>
    <t>斬</t>
  </si>
  <si>
    <t>[動]
1.砍、殺。如：「披荊斬棘」、「斬首示眾」、「斬草不除根，春風吹又生。」
2.斷絕。《孟子．離婁下》：「君子之澤，五世而斬。」《戰國策．秦策三》：「北斬太行之道，則上黨之兵不下。」</t>
  </si>
  <si>
    <t>嶄</t>
  </si>
  <si>
    <t>[副]
1.突出。唐．韓愈〈柳子厚墓誌銘〉：「逮其父時，雖少年，已自成人，能取進士第，嶄然見頭角。」
2.很、特別，表示程度。如：「嶄新」。</t>
  </si>
  <si>
    <t>(二)ㄔㄢˊ chán（08361）</t>
  </si>
  <si>
    <t>琖</t>
  </si>
  <si>
    <t>[名]
用玉做成的酒杯。《禮記．明堂位》：「爵用玉琖仍雕。」</t>
  </si>
  <si>
    <t>盞</t>
  </si>
  <si>
    <t>[名]
1.小而淺的杯子。如：「茶盞」、「酒盞」。
2.量詞。計算燈或飲料的單位。唐．許渾〈題沖沼上人院〉詩：「小殿燈千盞。」唐．羅隱〈聽琴〉詩：「不知一盞臨邛酒，救得相如渴病無？」</t>
  </si>
  <si>
    <t>醆</t>
  </si>
  <si>
    <t>[名]
1.酒器、酒杯。宋．蘇軾〈次韻送徐大正〉詩：「別時酒醆照燈花，知我歸期漸有涯。」
2.微清的濁酒。《禮記．禮運》：「醴醆在戶，粢醍在堂。」
3.量詞。同「盞」。唐．羅隱〈秋日禪智寺見裴郎中題名寄韋瞻〉詩：「百醆濃醪成別夢，兩行垂露澣羈愁。」宋．陸游〈夜雨有感〉詩：「斷虹不隔江郊雨，一醆昏燈夜半時。」</t>
  </si>
  <si>
    <t>颭</t>
  </si>
  <si>
    <t>[動]
吹動。唐．柳宗元〈登柳州城樓寄漳汀封連四州〉詩：「驚風亂颭芙蓉水，密雨斜侵薜荔牆。」清．陳維崧〈水調歌頭．昨夜湔裙罷〉詞：「一寸雙文畫板，風颭繡旗開。」</t>
  </si>
  <si>
    <t>樿</t>
  </si>
  <si>
    <t>(一)ㄕㄢˋ shàn（08952）</t>
  </si>
  <si>
    <t>皽</t>
  </si>
  <si>
    <t>[名]
死皮。《禮記．內則》：「濯手以摩之，去其皽。」</t>
  </si>
  <si>
    <t>ㄓㄢˋ</t>
  </si>
  <si>
    <t>zhàn</t>
  </si>
  <si>
    <t>[動]
1.據有。通「佔」。唐．方干〈于秀才小池〉詩：「占地未過四五尺，浸天唯入兩三星。」
2.有、具有。唐．韓愈〈進學解〉：「占小善者率以錄，名一藝者無不庸。」
3.口傳。《後漢書．卷四十五．張俊傳》：「俊自獄中占獄吏上書自訟，書奏而俊獄已報。」《西遊記》第三六回：「對月懷歸，口占一首古風長篇。」</t>
  </si>
  <si>
    <t>(一)ㄓㄢ zhān（07770）</t>
  </si>
  <si>
    <t>[動]
強力奪取，據為己有。同「占」。如：「侵佔」、「佔領」。</t>
  </si>
  <si>
    <t>(二)ㄓㄢ zhān（07771）</t>
  </si>
  <si>
    <t>站</t>
  </si>
  <si>
    <t>[動]
直立。如：「站立」、「站著」。《紅樓夢》第六回：「平兒站在炕沿邊，打量了劉姥姥兩眼。」
[名]
1.旅途中供人暫駐、休息或轉換交通工具的地方。如：「車站」、「驛站」、「休息站」。
2.機關團體為方便聯絡與服務，在各地設立的小型單位。如：「福利站」、「衛生站」、「加油站」。</t>
  </si>
  <si>
    <t>[形]
1.深厚。如：「精湛」、「工夫湛深」。
2.清澈、清楚。宋．蘇軾〈行香子．一葉舟輕〉詞：「一葉舟輕，雙槳鴻驚。水天清，影湛波平。」
[名]
姓。如晉代有湛方生。</t>
  </si>
  <si>
    <t>(二)ㄉㄢ dān（02001）</t>
  </si>
  <si>
    <t>棧</t>
  </si>
  <si>
    <t>[名]
1.圈養牲畜的柵欄。如：「馬棧」、「牛棧」。《文選．顏延之．赭白馬賦》：「歲老氣殫，斃於內棧。」
2.在山巖上架木通行的路。如：「明修棧道，暗渡陳倉。」唐．孟郊〈石淙〉詩一〇首之五：「弱棧跨旋碧，危梯倚凝青。」清．洪昇《長生殿》第四五齣：「萬山蜀道，古棧岧嶢。」
3.旅館或倉庫。如：「客棧」、「貨棧」。
4.姓。如三國時魏國有棧潛。</t>
  </si>
  <si>
    <t>輚</t>
  </si>
  <si>
    <t>參見「輚輅」條。</t>
  </si>
  <si>
    <t>綻</t>
  </si>
  <si>
    <t>[動]
1.衣服脫線。如：「綻線」。《禮記．內則》：「衣裳綻裂，紉箴請補綴。」
2.破裂、裂開。如：「皮開肉綻」。唐．杜牧〈感懷〉詩：「茅茨覆宮殿，封章綻帷帳。」
3.花蕾吐放。如：「綻放」。唐．杜甫〈陪鄭廣文遊何將軍山林〉詩一〇首之五：「綠垂風折筍，紅綻雨肥梅。」
[形]
飽滿。如：「飽綻」。清．方薰〈山靜居畫論下〉：「鉤葉點心，須要精神圓綻，便有活致。」</t>
  </si>
  <si>
    <t>暫</t>
  </si>
  <si>
    <t>[副]
1.不久、短時間。《書經．盤庚中》：「乃有不吉不迪，顛越不恭，暫遇姦宄。」《樂府詩集．卷七三．雜曲歌辭十三．古辭．焦仲卿妻》：「卿但暫還家，吾今且報府。」
2.姑且。唐．李白〈月下獨酌〉詩四首之一：「暫伴月將影，行樂須及春。」《封神演義》第一回：「因望下一看，知紂王尚有二十八年氣運，不可造次，暫回行宮。」
3.初、剛剛。漢．王充《論衡．禍虛》：「始聞暫見，皆以為然；熟考論之，虛妄言也。」唐．李益〈宿石邑山中〉詩：「曉月暫飛千樹裡，秋河隔在數峰西。」
4.猝然、忽然。《史記．卷一〇九．李將軍傳》：「廣暫騰而上胡兒馬。」《文選．江淹．別賦》：「誰能摹暫離之狀，寫永訣之情者乎！」</t>
  </si>
  <si>
    <t>(二)（讀音）ㄗㄢˋ zàn（09548）</t>
  </si>
  <si>
    <t>蹔</t>
  </si>
  <si>
    <t>同「暫」。</t>
  </si>
  <si>
    <t>(二)（讀音）ㄗㄢˋ zàn（09549）</t>
  </si>
  <si>
    <t>戰</t>
  </si>
  <si>
    <t>[動]
1.打仗。如：「交戰」、「轉戰」。
2.論辯、反駁。如：「論戰」、「舌戰」。
3.害怕、發抖。通「顫」。漢．揚雄《法言．吾子》：「羊質而虎皮，見草而說，見豺而戰，忘其皮之虎矣。」《西遊記》第九七回：「唬得唐僧在馬上亂戰，沙僧與八戒心慌。」
[形]
與戰爭有關的。如：「戰法」、「戰果」、「戰機」。
[名]
1.戰爭。《史記．卷六九．蘇秦傳》：「龍賈之戰，岸門之戰，封陵之戰，高商之戰，趙莊之戰，秦之所殺三晉之民數百萬。」
2.姓。如漢代有戰兢。</t>
  </si>
  <si>
    <t>襢</t>
  </si>
  <si>
    <t>[形]
素雅、無文彩。如：「襢衣」。</t>
  </si>
  <si>
    <t>(二)ㄊㄢˇ tǎn（▲02561）</t>
  </si>
  <si>
    <t>顫</t>
  </si>
  <si>
    <t>[動]
1.身體因受寒或驚恐而抖動。《儒林外史》第三回：「那手早顫起來，不敢打到第二下。」
2.物體搖動、晃動。唐．韓偓〈忍笑〉詩：「水精鸚鵡釵頭顫，舉袂佯羞忍笑時。」宋．史達祖〈杏花天．細風微月〉詞：「棲鶯未覺花梢顫，踏損殘紅幾片。」</t>
  </si>
  <si>
    <t>(二)（又音）ㄔㄢˋ chàn（08403）</t>
  </si>
  <si>
    <t>轏</t>
  </si>
  <si>
    <t>[名]
古代士人所乘的車。《左傳．成公二年》：「丑父寢於轏中。」晉．杜預．注：「轏，士車。」</t>
  </si>
  <si>
    <t>驏</t>
  </si>
  <si>
    <t>[形]
不加鞍轡。《清史稿．卷一．太祖本紀》：「科爾沁貝勒明安馬陷淖中，易驏馬而遁。」</t>
  </si>
  <si>
    <t>(二)（語音）ㄔㄢˇ chǎn（08396）</t>
  </si>
  <si>
    <t>蘸</t>
  </si>
  <si>
    <t>[動]
把東西沾上液體或黏附其他物質。如：「蘸醬油」、「蘸墨水」、「蘸著糖吃」。</t>
  </si>
  <si>
    <t>珍</t>
  </si>
  <si>
    <t>ㄓㄣ</t>
  </si>
  <si>
    <t>zhēn</t>
  </si>
  <si>
    <t>[形]
寶貴、奇特稀有的。如：「珍味」、「珍品」、「珍禽異獸」。
[名]
1.稀有貴重的寶物。如：「奇珍異寶」。《警世通言．卷三二．杜十娘怒沉百寶箱》：「遇春啟匣觀看，內皆明珠異寶，無價之珍。」
2.美味的食物。如：「山珍海味」。唐．杜甫〈麗人行〉：「黃門飛鞚不動塵，御廚絡繹送八珍。」
[動]
愛惜、重視。如：「敝帚自珍」。唐．李白〈古風〉詩五九首之一：「自從建安來，綺麗不足珍。」
[副]
妥慎、審慎。如：「珍藏」、「珍惜」。</t>
  </si>
  <si>
    <t>胗</t>
  </si>
  <si>
    <t>[名]
鳥類的胃。如：「雞胗」、「鴨胗」。也稱為「胗兒」。</t>
  </si>
  <si>
    <t>(二)ㄓㄣˇ zhěn（07843）</t>
  </si>
  <si>
    <t>診</t>
  </si>
  <si>
    <t>(一)ㄓㄣˇ zhěn（07849）</t>
  </si>
  <si>
    <t>貞</t>
  </si>
  <si>
    <t>[名]_x000D_
1.卜問之事。《周禮．春官宗伯．大卜》：「凡國大貞，卜立君，卜大封。」_x000D_
2.指女子不失身、不改嫁的行為。唐．劉叉〈古怨〉詩：「君莫嫌醜婦，醜婦死守貞。」_x000D_
[形]_x000D_
1.守正道的、效忠的。如：「貞士」、「貞臣」。《荀子．子道》：「子從父命，孝乎？臣從君命，貞乎？」_x000D_
2.堅定的、穩固的。如：「貞石」、「貞木」。_x000D_
[動]_x000D_
卜問。《周禮．春官宗伯．天府》：「季冬，陳玉，以貞來歲之媺惡」。</t>
  </si>
  <si>
    <t>偵</t>
  </si>
  <si>
    <t>[動]
暗中察看、伺探。如：「偵查」、「偵測」。《後漢書．卷五五．章帝八王傳．清河孝王慶傳》：「外令兄弟求其纖過，內使御者偵伺得失。」《文選．潘岳．馬汧督誄》：「子命穴浚塹，寘壺鐳瓶甒以偵之。」</t>
  </si>
  <si>
    <t>湞</t>
  </si>
  <si>
    <t>參見「湞水」條。</t>
  </si>
  <si>
    <t>楨</t>
  </si>
  <si>
    <t>[名]
1.古代築牆時立在兩端的木柱。《爾雅．釋詁下》：「楨，榦也。」清．郝懿行．義疏：「舍人曰：『楨，正也。築牆所立兩木也。』」
2.支柱、主幹。《詩經．大雅．文王》：「王國克生，維周之楨。」唐．皮日休〈文中子碑〉：「先生門人，為唐之楨。」
3.植物名。木犀科女貞屬，常綠灌木或喬木。高丈餘，葉卵形，質厚而有光澤。圓錐花序頂生，夏日開花，花冠白色，裂片四枚，花冠筒與裂片近等長，雄蕊二枚。核果橢圓而黑，可入藥。也稱為「女貞」、「貞木」。</t>
  </si>
  <si>
    <t>禎</t>
  </si>
  <si>
    <t>[名]
吉祥、吉兆。《詩經．周頌．維清》：「迄用有成，維周之禎。」《文選．張衡．思玄賦》：「懼筮氏之長短兮，鑽東龜以觀禎。」</t>
  </si>
  <si>
    <t>振</t>
  </si>
  <si>
    <t>參見「振振」(二)條。</t>
  </si>
  <si>
    <t>(一)ㄓㄣˋ zhèn（07863）</t>
  </si>
  <si>
    <t>真</t>
  </si>
  <si>
    <t>[形]
純正的、不虛假的。如：「真面目」、「真心誠意」。《莊子．田子方》：「其為人也真。」
[副]
的確、實在。如：「真好」、「真棒」。《漢書．卷九四．匈奴傳下》：「唯北狄為不然，真中國之堅敵也。」
[名]
1.道家稱得道成仙的人。如：「太乙真人」、「真人不露相」。《紅樓夢．第二五回》：「魘魔法叔嫂逢五鬼，紅樓夢通靈遇雙真。」
2.自然、本性。如：「天真」。《莊子．秋水》：「謹守而勿失，是謂反其真。」
3.肖像、畫像。如：「寫真」、「留真」。
4.實授的官職。《漢書．卷一二．平帝紀》：「吏在位二百石以上，一切滿秩如真。」
5.姓。如漢代有真玄菟。</t>
  </si>
  <si>
    <t>禛</t>
  </si>
  <si>
    <t>[動]
以真誠感動神明而受到福祐。《說文解字．示部》：「禛，以真受福也。」</t>
  </si>
  <si>
    <t>砧</t>
  </si>
  <si>
    <t>[名]_x000D_
1.古代製衣前擊搗布帛或搗洗衣物時，墊在布帛、衣物下方的石板。唐．白居易〈太湖石〉詩：「磨刀不如礪，擣帛不如砧。」元．王禎《農書．農器圖譜．集一八．織紝門》：「蓋古之女子對立，各執一杵，上下搗練於砧，其丁東之聲，互相應荅。今易作臥杵，對坐搗之，又便且速，易成帛也。」清．林朝崧〈搗衣澗〉詩：「滿簾紅日起來遲，已有新妝到水湄；一片砧聲和笑語，引人清曉隔花窺。」_x000D_
2.切菜時所墊的板子。如：「砧板」、「肉砧」。唐．竇牟〈奉使至邢州贈李八使君〉詩：「南畝行春罷，西樓待客初。甕頭開綠蟻，砧下落紅魚。」宋．歐陽修〈憎蒼蠅賦〉：「杯盂殘瀝，砧几餘腥。」_x000D_
3.參見「砧鑕」條。</t>
  </si>
  <si>
    <t>針</t>
  </si>
  <si>
    <t>[名]
1.用來引線縫紉、刺繡或編結的工具。如：「繡花針」、「毛線針」。
2.尖銳似針形的東西。如：「大頭針」、「別針」、「松針」。
3.量詞：(1)計算注射藥劑的單位。如：「今天打了一針止痛劑。」(2)計算針灸或縫合次數的單位。如：「扎了三針」、「傷口縫了兩針。」
[動]
1.縫。《淮南子．說山》：「針成幕，蔂成城，事之成敗，必由小生，言有漸也。」
2.刺。如：「他拿針針我。」
3.用針刺人的經絡來治病。如：「針灸」。《三國志．卷二九．魏書．方技傳．華佗傳》：「太祖苦頭風，每發，心亂目眩，佗針鬲，隨手而差。」</t>
  </si>
  <si>
    <t>唇</t>
  </si>
  <si>
    <t>[形]
驚駭。《說文解字．口部》：「唇，驚也，從口辰聲。」</t>
  </si>
  <si>
    <t>(一)ㄔㄨㄣˊ chún（▲08643）</t>
  </si>
  <si>
    <t>溱</t>
  </si>
  <si>
    <t>參見「溱水」、「溱溱」等條。</t>
  </si>
  <si>
    <t>獉</t>
  </si>
  <si>
    <t>榛狉亦作獉狉。參見「榛狉」條。</t>
  </si>
  <si>
    <t>榛</t>
  </si>
  <si>
    <t>[名]
1.植物名。榛木科榛木屬，落葉喬木。葉互生，卵形或倒卵形，葉緣鋸齒狀。雄柔荑花序二至五個簇生，雌花序頭狀，春日開花。堅果卵圓形，與果苞近等長。果仁可食，亦可榨油。果實也稱為「榛」。
2.叢生的草木。《晉書．卷五一．列傳．皇甫謐》：「披榛採蘭，并收蒿艾。」明．湯顯祖《牡丹亭》第三五齣：「只見半亭瓦礫，滿地荊榛。」</t>
  </si>
  <si>
    <t>[形]
1.草葉茂盛的樣子。《說文解字．艸部》：「蓁，艸盛貌。」《文選．曹冏．六代論》：「宗廟焚為灰燼，宮室變蓁藪。」
2.眾多聚集的樣子。《楚辭．宋玉．招魂》：「蝮蛇蓁蓁。」
[名]
叢生的草木。同「榛」。《莊子．徐无鬼》：「眾狙見之，恂然棄而走，逃於深蓁。」唐．柳宗元〈始得西山宴游記〉：「斫蓁莽，焚茅茷。」</t>
  </si>
  <si>
    <t>(二)ㄑㄧㄣˊ qín（06517）</t>
  </si>
  <si>
    <t>臻</t>
  </si>
  <si>
    <t>[動]
至、及、達到。如：「臻於完美」。《周禮．冬官考工記．𣓨氏》：「時文思索，允臻其極。」</t>
  </si>
  <si>
    <t>瑊</t>
  </si>
  <si>
    <t>[形]
像美玉一般的。《山海經．中山經》：「其上多赤金，其下多瑊石。」</t>
  </si>
  <si>
    <t>葴</t>
  </si>
  <si>
    <t>[名]
植物名：(1)即馬藍。爵床科板藍屬，多年生草本。莖自根叢生，方形，節粗大，葉橢圓形，深綠色。穗狀花序直立，花冠藍綠色，短圓柱狀，先端五淺裂。蒴果棍棒形。莖葉可製成藍色染料。《爾雅．釋草》：「葴，馬藍。」(2)茄科酸漿屬，「酸漿」之古稱，參見「酸漿」條。(3)十字花科菘藍屬，「菘藍」、「藍」之古稱，參見「藍」條。</t>
  </si>
  <si>
    <t>箴</t>
  </si>
  <si>
    <t>[名]
1.文體名。以表達規勸性質為主題。《漢書．卷八七．揚雄傳下．贊曰》：「箴莫善於虞箴，作州箴。」南朝梁．劉勰《文心雕龍．銘箴》：「箴者，所以攻疾防患，喻針石也。」
2.中醫用來刺入穴道，以達到醫療效果的針狀物。《漢書．卷三〇．藝文志》：「醫經者，……而用度箴石湯火所施，調百藥齊和之所宜。」
[動]
規戒、勸諫。《左傳．昭公二十六年》：「父慈而教，子孝而箴。」</t>
  </si>
  <si>
    <t>鍼</t>
  </si>
  <si>
    <t>[名]
1.縫布帛的工具。同「針」。《說文解字．金部》：「鍼，所以縫也。」北齊．顏之推《顏氏家訓．風操》：「男則用弓矢紙筆，女則用刀尺鍼縷。」
2.古代以砭石為材質的醫療用具。《後漢書．卷八〇．文苑傳下．趙壹傳》：「然而糒脯出乎車軨，鍼石運乎手爪。」明．湯顯祖《牡丹亭》第一八齣：「少不得情栽了竅髓鍼難入。」
[動]
刺。《漢書．卷五三．景十三王傳．廣川惠王劉越傳》：「笞問昭平，不服，以鐵鍼鍼之，彊服。」</t>
  </si>
  <si>
    <t>斟</t>
  </si>
  <si>
    <t>[動]_x000D_
1.注入、添加。如：「斟酒」、「斟茶」。唐．李白〈悲歌行〉：「主人有酒且莫斟，聽我一曲悲來吟。」_x000D_
2.滴。宋．范成大〈宜齋雨中〉詩：「映竹千絲舞，垂簷一線斟。」_x000D_
3.審度、考慮。參見「斟酌」條。_x000D_
[名]_x000D_
1.飲料、汁液。《史記．卷七〇．張儀傳》：「於是酒酣樂，進熱啜，廚人進斟，因反斗以擊代王，殺之，王腦塗地。」_x000D_
2.姓。如漢代有斟尚。</t>
  </si>
  <si>
    <t>椹</t>
  </si>
  <si>
    <t>同「砧」。</t>
  </si>
  <si>
    <t>(二)ㄕㄣˋ shèn（08999）</t>
  </si>
  <si>
    <t>(一)ㄎㄢˋ kàn（04522）</t>
  </si>
  <si>
    <t>甄</t>
  </si>
  <si>
    <t>[動]
1.製造陶器。參見「甄陶」條。
2.察別、薦舉、選拔。如：「甄選」。《抱朴子．外篇．正郭》：「雖頗甄無名之士於草萊，指未剖之璞於丘園。」唐．高宗〈令舉猛士敕〉：「有膂力雄果弓馬灼然者，咸宜甄採。」
[名]
姓。如明代有甄誼。</t>
  </si>
  <si>
    <t>ㄓㄣˇ</t>
  </si>
  <si>
    <t>zhěn</t>
  </si>
  <si>
    <t>(一)ㄉㄢˇ dǎn（02012）</t>
  </si>
  <si>
    <t>枕</t>
  </si>
  <si>
    <t>[名]
1.睡臥時頭頸部所墊的東西。《說文解字．木部》：「枕，臥所以薦首者。」如：「涼枕」。《詩經．陳風．澤陂》：「寤寐無為，輾轉伏枕。」《資治通鑑．卷二七〇．後梁紀五．均王貞明五年》：「鏐自少在軍中，夜未嘗寐，倦極則就圓木小枕。」
2.魚頭中似丁形的骨頭。《爾雅．釋魚》：「魚枕謂之丁。」晉．郭璞．注：「枕，在魚頭骨中，形似篆書丁字，可作印。」
[形]
墊在底下的。如：「枕木」。</t>
  </si>
  <si>
    <t>(二)ㄓㄣˋ zhèn（07858）</t>
  </si>
  <si>
    <t>[名]
皮膚上因病所引起的小紅點。同「疹」。</t>
  </si>
  <si>
    <t>(一)ㄓㄣ zhēn（07816）</t>
  </si>
  <si>
    <t>疹</t>
  </si>
  <si>
    <t>[名]
1.皮膚上起的紅色小顆粒。如：「溼疹」、「藥疹」。明．方孝孺〈指喻〉：「左手之拇有疹焉，隆起而粟。」
2.疾病。《國語．越語上》：「令孤子、寡婦、疾疹、貧病者，納宦其子。」</t>
  </si>
  <si>
    <t>眕</t>
  </si>
  <si>
    <t>[形]
自安自重、自抑。《左傳．隱公三年》：「夫寵而不驕，驕而能降，降而不憾，憾而能眕者，鮮矣。」</t>
  </si>
  <si>
    <t>畛</t>
  </si>
  <si>
    <t>[名]
1.田間分界的道路。《廣韻．上聲．軫韻》：「畛，田間道。」《楚辭．屈原．大招》：「田邑千畛。」
2.界限。《莊子．齊物論》：「請言其畛；有左，有右，有倫，有義……。」
[動]
祝告。《禮記．曲禮下》：「畛於鬼神。」漢．鄭玄．注：「畛，致也。祝告致於鬼神辭也。」</t>
  </si>
  <si>
    <t>袗</t>
  </si>
  <si>
    <t>[名]
襌衣，單層無內裡的衣服。《說文解字．衣部》：「袗，襌衣。」
[動]
穿著單服。《論語．鄉黨》：「當暑，袗絺綌，必表而出之。」何晏集解引孔安國曰：「暑則單服。絺綌，葛也。」
[形]
華麗的。如：「袗衣」。</t>
  </si>
  <si>
    <t>紾</t>
  </si>
  <si>
    <t>[動]
1.扭轉。《說文解字．糸部》：「紾，轉也。」《孟子．告子下》：「紾兄之臂而奪之食。」
2.糾纏、糾結。《淮南子．本經》：「菱杼紾抱。」</t>
  </si>
  <si>
    <t>[動]
察看、徵驗。如：「診病」、「診驗」。唐．司空圖〈與臺丞書〉：「鬻植之道，雖本於天時，亦且診於人情耳。」</t>
  </si>
  <si>
    <t>(二)（又音）ㄓㄣ zhēn（07817）</t>
  </si>
  <si>
    <t>軫</t>
  </si>
  <si>
    <t>[名]
1.古代車箱底部的橫木。《說文解字．車部》：「軫，車後橫木。」《左傳．昭公二十一年》：「扶伏而擊之，折軫。」
2.車子。《魏書．卷五四．高閭傳》：「自大軍停軫，庶事咸豐。」
3.樂器上調整弦線的軸。《魏書．卷一〇九．樂志》：「以軫調聲。」
[動]
扭轉、轉動。《文選．枚乘．七發》：「初發乎或圍之津涯，荄軫谷分。」
[副]
傷痛、憐憫。《楚辭．屈原．九章．哀郢》：「出國門而軫懷兮。」漢．王逸．注：「軫，痛也。」</t>
  </si>
  <si>
    <t>裖</t>
  </si>
  <si>
    <t>[名]
禪衣，單層無內裡的衣服。同「袗」。《說文解字．衣部》：「袗，禪衣也。袗或從辰。」
[形]
重疊堆積的樣子。《漢書．卷五七．司馬相如傳上》：「磐石裖崖，嶔巖倚傾。」</t>
  </si>
  <si>
    <t>辴</t>
  </si>
  <si>
    <t>[副]
笑的樣子。《莊子．達生》：「桓公辴然而笑曰：『此寡人之所見者也。』」</t>
  </si>
  <si>
    <t>稹</t>
  </si>
  <si>
    <t>[動]
叢聚。《爾雅．釋言》：「苞，稹也。」晉．郭璞．注：「今人呼物叢緻者為稹。」宋．邢昺．疏：「物叢生曰苞，齊人名曰稹。」
[形]
緻密。通「縝」。《周禮．冬官考工記．輪人》：「陽也者，稹理而堅；陰也者，疏理而柔。」</t>
  </si>
  <si>
    <t>縝</t>
  </si>
  <si>
    <t>[形]
仔細、細密。如：「縝密」。元．虞集〈趙平章加官封制〉：「方嚴而精明，果毅而詳縝。」</t>
  </si>
  <si>
    <t>鬒</t>
  </si>
  <si>
    <t>[形]
頭髮稠密而黑。參見「鬒髮」、「鬒黑」等條。</t>
  </si>
  <si>
    <t>黰</t>
  </si>
  <si>
    <t>[名]
美麗的頭髮。《玉篇．黑部》：「黰，美髮也。」《左傳．昭公二十八年》：「昔有仍氏生女，黰黑而甚美，光可以鑑。」
[形]
黑。《廣韻．上聲．軫韻》：「黰，黑貌。」</t>
  </si>
  <si>
    <t>圳</t>
  </si>
  <si>
    <t>ㄓㄣˋ</t>
  </si>
  <si>
    <t>zhèn</t>
  </si>
  <si>
    <t>[名]
廣東方言。指田野間的水溝。如：「深圳」。</t>
  </si>
  <si>
    <t>(一)ㄗㄨㄣˋ zùn（09658）(二)（(一)之又音）ㄔㄡˊ chóu（08321）</t>
  </si>
  <si>
    <t>[動]
1.用枕頭或其他東西墊頭。如：「枕戈待旦」。《論語．述而》：「曲肱而枕之。」
2.依傍、鄰靠。《漢書．卷六四．嚴助傳》：「南近諸越，北枕大江。」《新唐書．卷三七．地理志一》：「京城前直子午谷，後枕龍首山。」</t>
  </si>
  <si>
    <t>(一)ㄓㄣˇ zhěn（07842）</t>
  </si>
  <si>
    <t>[名]
毒酒。南朝梁．劉勰《文心雕龍．奏啟》：「皁飭司直，肅清風禁。筆銳干將，墨含淳酖。」唐．皇甫枚〈溫京兆〉：「事覺，飲酖而死。」</t>
  </si>
  <si>
    <t>(一)ㄉㄢ dān（01999）</t>
  </si>
  <si>
    <t>鴆</t>
  </si>
  <si>
    <t>[名]
1.動物名。一種毒鳥。雄的稱為「運日」，雌的稱為「陰諧」，喜食蛇蝮。其羽毛紫綠色，有劇毒，泡酒後可以毒死人。
2.毒酒。通「酖」。如：「飲鴆止渴」。
[動]
用毒酒害人。《國語．魯語上》：「溫之會，晉人執衛成公歸之于周，使醫鴆之，不死，醫亦不誅。」《三國演義》第二回：「何后嫉妒，鴆殺王美人！」</t>
  </si>
  <si>
    <t>挋</t>
  </si>
  <si>
    <t>[動]
擦拭、拂拭。《禮記．喪大記》：「浴用絺巾，挋用浴衣。」</t>
  </si>
  <si>
    <t>侲</t>
  </si>
  <si>
    <t>[名]
1.養馬的人。《後漢書．卷八〇．文苑傳上．杜篤傳》：「虜𠐍侲，驅騾驢。」章懷太子注引《方言》：「侲，養馬人也。」
2.參見「侲子」條。</t>
  </si>
  <si>
    <t>[動]
1.舉起。《文選．賈誼．過秦論》：「振長策而御宇內，吞二周而亡諸侯。」唐．王勃〈上劉右相書〉：「朽索充羈，不收奔馬之逸；輕緡振網，或隨吞舟之勢。」
2.搖動、抖動。《詩經．豳風．七月》：「五月斯螽動股，六月莎雞振羽。」《楚辭．王襃．九懷．蓄英》：「秋風兮蕭蕭，舒芳兮振條。」
3.奮發。如：「士氣大振」、「萎靡不振」。
4.震撼。通「震」。如：「威振天下」。唐．孟郊〈感懷〉詩八首之一：「秋氣悲萬物，驚風振長道。」
5.發放、開放。《左傳．文公十六年》：「自廬以往，振廩同食。」南朝梁．劉勰《文心雕龍．情采》：「夫水性虛而論漪結，木性實而花萼振，文附質也。」
6.救濟、救助。通「賑」。《禮記．月令》：「命有司發倉廩，賜貧窮，振乏絕。」《戰國策．燕策三》：「是以委肉當餓虎之蹊，禍必不振矣。」
[名]
姓。如宋代有振紀。</t>
  </si>
  <si>
    <t>(二)ㄓㄣ zhēn（07823）</t>
  </si>
  <si>
    <t>娠</t>
  </si>
  <si>
    <t>(一)ㄕㄣ shēn（08976）</t>
  </si>
  <si>
    <t>蜄</t>
  </si>
  <si>
    <t>[動]
振動。《集韻．去聲．震韻》：「蜄，動也。」《史記．卷二五．律書》：「辰者，言萬物之蜄也。」</t>
  </si>
  <si>
    <t>賑</t>
  </si>
  <si>
    <t>[動]
救濟、供給。如：「賑災」。漢．桓寬《鹽鐵論．力耕》：「戰士以奉，飢民以賑。」《隋書．卷七〇．李密傳》：「明公親率大眾，直掩興洛倉，發粟以賑窮乏，遠近孰不歸附！」
[形]
富饒、富裕。《文選．張衡．西京賦》：「郊甸之內，鄉吧殷賑。」</t>
  </si>
  <si>
    <t>震</t>
  </si>
  <si>
    <t>[動]
1.雷擊。《春秋．僖公十五年》：「己卯晦，震伯夷之廟。」《史記．卷三．殷本紀》：「武乙獵於河渭之閒，暴雷，武乙震死。」
2.動盪。如：「名震天下」。《國語．周語上》：「幽王二年，西周三川皆震。」
3.恐懼、害怕。《易經．震卦．彖曰》：「震驚百里，驚遠而懼邇也。」《文選．潘岳．藉田賦》：「森奉璋以階列，望皇軒而肅震。」
4.發怒。漢．揚雄《太玄經．卷二．釋卦》：「震于廷，和正俱亡也。」
[名]
1.疾雷。《詩經．小雅．十月之交》：「熚熚震電，不寧不令。」
2.《易經》卦名：(1)八卦之一。卦形是☳。代表雷電。(2)六十四卦之一。震（☳）下震（☳）上。表示君子體察到雷電交相而來的現象，即以恐懼之心，修養其身。</t>
  </si>
  <si>
    <t>朕</t>
  </si>
  <si>
    <t>[代]
1.用於自稱，即「我」。《楚辭．屈原．離騷》：「朕皇考曰伯庸。」
2.從秦始皇以後，專屬皇帝的自稱。《史記．卷六．秦始皇本紀》：「臣等昧死上尊號，王為『泰皇』，命為『制』，令為『詔』，天子自稱曰『朕』。」
[名]
徵兆、預兆。《莊子．應帝王》：「體盡無窮，而遊無朕。」</t>
  </si>
  <si>
    <t>眹</t>
  </si>
  <si>
    <t>[名]
1.瞳仁、黑眼珠。《廣韻．上聲．軫韻》：「眹，目童子也。」
2.預兆、跡象。通「朕」。《莊子．齊物論》：「若有真宰，而特不得其眹。」</t>
  </si>
  <si>
    <t>紖</t>
  </si>
  <si>
    <t>[名]
穿繫牛鼻的繩子。《禮記．少儀》：「牛則執紖，馬則執靮。」漢．鄭玄．注：「紖，所以繫制之者。」</t>
  </si>
  <si>
    <t>陣</t>
  </si>
  <si>
    <t>[名]
1.軍隊作戰時所布置的隊伍行列。《史記．卷八一．廉頗藺相如傳》：「秦人不意趙師至此，其來氣盛，將軍必厚集其陣以待之。」
2.戰場。唐．杜甫〈高都護驄馬行〉：「此馬臨陣久無敵，與人一心成大功。」
3.量詞。計算事情或動作的單位。多與「一」連用。如：「刮了一陣風」、「引起一陣騷動」。唐．韓偓〈懶起〉詩：「昨夜三更雨，今朝一陣寒。」
4.表示一段時間。如：「他這陣子很忙。」
[動]
作戰。《史記．卷九二．淮陰侯傳》：「信乃使萬人先行出，背水陣。」</t>
  </si>
  <si>
    <t>陳</t>
  </si>
  <si>
    <t>[名]
軍隊作戰時布置的隊伍行列。同「陣」。《左傳．成公七年》：「教之戰陳，教之叛楚。」</t>
  </si>
  <si>
    <t>(一)ㄔㄣˊ chén（08420）</t>
  </si>
  <si>
    <t>敶</t>
  </si>
  <si>
    <t>同「陣」。</t>
  </si>
  <si>
    <t>(一)ㄔㄣˊ chén（08422）</t>
  </si>
  <si>
    <t>揕</t>
  </si>
  <si>
    <t>[動]_x000D_
擊、刺。《史記．卷八六．刺客列傳．荊軻》：「因左手把秦王之袖，而右手持匕首揕之。」</t>
  </si>
  <si>
    <t>鎮</t>
  </si>
  <si>
    <t>[名]
1.用來鎮壓東西的器具。如：「書鎮」、「文鎮」。《楚辭．屈原．九歌．湘夫人》：「白玉兮為鎮，疏石蘭兮為芳。」
2.安定國家的力量、根本。《國語．晉語五》：「夫不忘恭敬，社稷之鎮也。」
3.今地方政府的行政區域名稱。在縣之下，與鄉平行。如：「斗南鎮」、「卓蘭鎮」。
4.較大的市集稱為「鎮」。如：「城鎮」、「村鎮」。
[動]
1.壓制、壓服。如：「鎮邪」。漢．王符《潛夫論．愛日》：「治訟若此為務，助豪猾而鎮貧弱也。」
2.安定。《國語．晉語七》：「柔惠小物，而鎮定大事。」《史記．卷八．高祖本紀》：「鎮國家，撫百姓。」
3.用冰使飲料或水果冰涼。如：「冰鎮西瓜」、「冰鎮酸梅湯」。
[形]
整、全。《紅樓夢》第三四回：「拋球滾玉只偷潛，鎮日無心鎮日閒。」</t>
  </si>
  <si>
    <t>章</t>
  </si>
  <si>
    <t>ㄓㄤ</t>
  </si>
  <si>
    <t>zhāng</t>
  </si>
  <si>
    <t>[名]
1.成篇的文字。如：「文章」、「出口成章」、「下筆成章」。
2.文體名。古代臣子上奏國君的文書。漢．蔡邕《獨斷．卷上》：「凡群臣尚書於天子者有四名：一曰章，二曰奏，三曰表，四曰駁議。」南朝梁．劉勰《文心雕龍．章表》：「章以謝恩，奏以按劾，表以陳請，議以執異。」
3.量詞。計算書、文等段落的單位。如：「全書共分二十五章。」
4.文采、花彩。《左傳．僖公二十四年》：「目不別五色之章為昧，心不則德義之經為頑。」唐．柳宗元〈捕蛇者說〉：「永州之野，產異蛇，黑質而白章。」
5.條理、次序。如：「雜亂無章」。唐．韓愈〈送孟東野序〉：「其為言也，亂雜而無章。」
6.法規、條例。如：「規章」。《史記．卷八．高祖本紀》：「與父老約法三章。」
7.印信。如：「私章」、「圖章」。
8.標識、標記。如：「徽章」、「勛章」、「臂章」。
9.姓。如漢代有章明。
[動]
表揚、顯揚。《禮記．緇衣》：「有國者章善𤺺惡，以示民厚，則民情不貳。」《史記．卷三七．衛康叔世家》：「舉康叔為周司寇，賜衛寶祭器，以章有德。」</t>
  </si>
  <si>
    <t>漳</t>
  </si>
  <si>
    <t>參見「漳江」條。</t>
  </si>
  <si>
    <t>彰</t>
  </si>
  <si>
    <t>[形]
明顯。《書經．仲虺之誥》：「克寬克仁，彰信兆民。」漢．王充《論衡．書解》：「德彌彰者人彌明。」
[動]
表露、宣揚。《書經．畢命》：「彰善癉惡，樹之風聲。」漢．王充《論衡．自紀》：「好自周，不肯自彰。」
[名]
姓。如漢代有彰章。</t>
  </si>
  <si>
    <t>鄣</t>
  </si>
  <si>
    <t>[名]
國名。春秋時周朝屬國。故址約在今大陸地區山東省東平縣東。</t>
  </si>
  <si>
    <t>慞</t>
  </si>
  <si>
    <t>參見「慞惶」條。</t>
  </si>
  <si>
    <t>獐</t>
  </si>
  <si>
    <t>[名]
動物名。哺乳綱偶蹄目。體形似鹿而較小，無角，毛粗長而呈褐色。性機警，善跳躍。肉可食，皮細軟，可制革為工業用品。</t>
  </si>
  <si>
    <t>嫜</t>
  </si>
  <si>
    <t>參見「嫜姑」、「姑嫜」等條。</t>
  </si>
  <si>
    <t>璋</t>
  </si>
  <si>
    <t>[名]
玉器，形如半圭。《詩經．小雅．斯干》：「乃生男子，……，載弄之璋。」《周禮．春官．大宗伯》：「以赤璋禮南方。」</t>
  </si>
  <si>
    <t>樟</t>
  </si>
  <si>
    <t>[名]
植物名。樟科樟屬，常綠喬木。全株有香氣。葉卵形或橢圓形，花小而色淡黃。果實成熟時為紫黑色，豌豆般大小，可煎為樟腦，有強心、解熱、殺蟲的功效。其材質硬而聳直，紋理細緻，可供建築、雕刻等使用。</t>
  </si>
  <si>
    <t>蟑</t>
  </si>
  <si>
    <t>參見「蟑螂」條。</t>
  </si>
  <si>
    <t>鱆</t>
  </si>
  <si>
    <t>[名]
動物名。頭足綱章魚科。球形，似烏賊而大，有八腕，體內有墨囊。多棲息於淺海、軟泥或岩礁處，肉肥厚鮮美，營養豐富。也稱為「八帶魚」、「八腳章魚」、「八腳魚」、「章魚」。</t>
  </si>
  <si>
    <t>張</t>
  </si>
  <si>
    <t>[名]_x000D_
1.量詞：(1)計算某些可張開物體的單位。如：「一張弓」、「兩張嘴」。(2)計算平面物品的單位。如：「一張紙」、「兩張桌子」、「三張薄餅」。_x000D_
2.想法、主意。如：「主張」。《清平山堂話本．簡貼和尚》：「那婆子聽得叫，失張失志，出去迎接來叫的官人。」_x000D_
3.姓。如戰國時魏國有張儀，漢代有張良。_x000D_
[動]_x000D_
1.拉開弓弦。《詩經．小雅．吉日》：「既張我弓，既挾我矢。」《漢書．卷七六．趙尹韓張兩王傳．王尊》：「使騎吏五人張弓射殺之。」_x000D_
2.安裝琴弦。《漢書．卷五六．董仲舒傳》：「竊譬之琴瑟不調，甚者必解而更張之，乃可鼓也。」_x000D_
3.展開。《老子》第三六章：「將欲歙之，必固張之。」《史記．卷八一．廉頗藺相如列傳》：「相如張目叱之，左右皆靡。」_x000D_
4.自誇、誇大。如：「誇張」。晉．皇甫謐〈三都賦序〉：「虛張異類，托有于無。」_x000D_
5.擴大。如：「明目張膽」。《新唐書．卷一三六．列傳．李光弼》：「大軍鼓譟以張吾氣。」_x000D_
6.陳設、設置。《史記．卷八．高祖本紀》：「又與秦軍戰於藍田南，益張疑兵旗幟。」《三國演義》第三四回：「當日殺牛宰馬，大張筵席。」_x000D_
7.設網以捕捉鳥獸。《公羊傳．隱公五年》：「百金之魚，公張之。」漢．王襃〈僮約〉：「黏雀張烏，結網捕魚。」_x000D_
8.窺探。如：「東張西望」。《水滸傳》第二回：「只見一個人，探頭探腦，在那裡張望。」_x000D_
[形]_x000D_
大。《詩經．大雅．韓奕》：「四牡奕奕，孔脩且張。」</t>
  </si>
  <si>
    <t>(二)ㄓㄤˋ zhàng（07899）</t>
  </si>
  <si>
    <t>粻</t>
  </si>
  <si>
    <t>[名]
米糧。《詩經．大雅．崧高》：「以峙其粻，式遄其行。」</t>
  </si>
  <si>
    <t>餦</t>
  </si>
  <si>
    <t>仉</t>
  </si>
  <si>
    <t>ㄓㄤˇ</t>
  </si>
  <si>
    <t>zhǎng</t>
  </si>
  <si>
    <t>[名]
姓。如明代有仉經。</t>
  </si>
  <si>
    <t>長</t>
  </si>
  <si>
    <t>[名]_x000D_
1.年紀大、輩分高的人。如：「尊長」、「師長」、「兄長」。《莊子．天道》：「君先而臣從，父先而子從，兄先而弟從，長先而少從。」《後漢書．卷七〇．鄭孔荀列傳．孔融》：「吏問其母，母曰：『家事任長，妾當其辜。』」_x000D_
2.領袖、領導。《史記．卷七．項羽本紀》：「嬰謝不能，遂彊立嬰為長，縣中從者得二萬人。」後泛指中央或地方的主管。如：「首長」、「部長」、「市長」、「縣長」。_x000D_
[形]_x000D_
1.年紀大、輩分高。如：「他比我長三歲。」《公羊傳．隱公三年》：「桓幼而貴，隱長而卑。」《論語．先進》：「以吾一日長乎爾，毋吾以也。」_x000D_
2.排行第一。如：「長女」、「長孫」。《易經．說卦》：「震一索而得男，故謂之長男。」《孟子．梁惠王上》：「及寡人之身，東敗於齊，長子死焉。」_x000D_
3.老。《莊子．大宗師》：「子之年長矣，而色若孺子，何也？」《國語．晉語四》：「齊侯長矣，而欲親晉。」_x000D_
[動]_x000D_
1.出生。漢．桓寬《鹽鐵論．和親》：「范蠡出於越，由余長於胡，皆為霸王賢佐。」《西遊記》第一回：「我雖不是樹上生，卻是石裡長的。」_x000D_
2.生長、發育。《孟子．告子上》：「苟得其養，無物不長。」《呂氏春秋．季春紀．圜道》：「物動則萌，萌而生，生而長，長而大。」_x000D_
3.生、顯。如：「他長得很俊美。」_x000D_
4.養育。《詩經．小雅．蓼莪》：「父兮生我，母兮鞠我，拊我畜我，長我育我。」《左傳．昭公十四年》：「長孤幼，養老疾。」_x000D_
5.增進、增加。如：「長他人志氣，滅自己威風。」《易經．泰卦》：「君子道長，小人道消也。」_x000D_
6.執掌。《戰國策．楚策一》：「子無敢食我也。天帝使我長百獸，今子食我，是逆天帝命也。」漢．王充《論衡．感虛》：「使一郡皆寒，賢者長一縣，一縣之界能獨溫乎？」_x000D_
7.尊敬、崇尚。《書經．牧誓》：「乃惟四方之多罪逋逃，是崇是長，是信是使。」《漢書．卷六〇．杜周傳》：「今漢家承周秦之敝，宜抑文尚質，廢奢長儉，表實去偽。」</t>
  </si>
  <si>
    <t>(一)ㄔㄤˊ cháng（08451）(三)ㄓㄤˋ zhàng（07897）</t>
  </si>
  <si>
    <t>漲</t>
  </si>
  <si>
    <t>[動]
上升、提高。如：「漲價」、「水位暴漲」、「行情看漲」。</t>
  </si>
  <si>
    <t>(一)ㄓㄤˋ zhàng（07901）</t>
  </si>
  <si>
    <t>掌</t>
  </si>
  <si>
    <t>[名]
1.手心、足心。如：「鼓掌」、「腳掌」、「易如反掌」。
2.動物的腳底。如：「熊掌」、「鴨掌」。
3.量詞。計算武術招數的單位。如：「一掌斃命」、「降龍十八掌」。
4.釘縫在鞋底前、後部分的皮子或橡膠。如：「釘一塊掌兒。」
5.姓。如晉代有掌同。
[動]
1.用手掌打。如：「掌嘴」。
2.管理、主持。如：「掌舵」、「掌政」、「職掌大權」。
3.北方方言。指擱放、加上。如：「記得掌點兒鹽到湯裡。」</t>
  </si>
  <si>
    <t>丈</t>
  </si>
  <si>
    <t>ㄓㄤˋ</t>
  </si>
  <si>
    <t>zhàng</t>
  </si>
  <si>
    <t>[名]
1.量詞。計算長度的單位。公制一丈等於十公尺。
2.稱謂：(1)對男性長輩的尊稱。如：「老丈」。唐．杜甫〈奉贈李八丈判官曛〉詩：「我丈時英特，宗枝神堯後。」(2)對姻親尊長的稱呼。如：「姑丈」、「姨丈」。
[動]
測量。如：「丈量」。《明史．卷七七．食貨志一》：「王府官及諸閹丈地徵稅，旁午於道。」</t>
  </si>
  <si>
    <t>仗</t>
  </si>
  <si>
    <t>[名]
1.兵器的總稱。《新唐書．卷一三七．郭子儀傳》：「大戰，王師不利，委仗奔。」
2.戰事、戰爭。如：「勝仗」、「敗仗」、「打一場硬仗！」
[動]
1.憑藉、依附。如：「仰仗」、「狗仗人勢」。《漢書．卷四八．賈誼傳》：「顧行而忘利，守節而仗義。」元．王實甫《西廂記．第五本．第三折》：「你倚父兄，仗勢欺人。」
2.握、拿、持。如：「仗旗」。《西遊記》第四回：「一個個執戟懸鞭，持刀仗劍。」</t>
  </si>
  <si>
    <t>杖</t>
  </si>
  <si>
    <t>[名]_x000D_
1.拄著走路用的棍子。如：「手杖」、「枴杖」。《論語．微子》：「植其杖而芸。」唐．杜甫〈寒雨朝行視園樹〉詩：「衰顏動覓藜床坐，緩步仍須竹杖扶。」_x000D_
2.泛稱棍棒一類的東西。如：「擀麵杖」。《農桑輯要．卷二．播種．苧麻》：「於畦內用極細稍杖三、四根，撥剌令平可。」《西遊記》第一二回：「長老遂將袈裟抖開，披在身上，手持錫杖，侍立階前。」_x000D_
3.古代的一種刑法。用棒子或竹板打犯人。《宋史．卷五．太宗本紀二》：「杖罪釋之。」_x000D_
[動]_x000D_
1.執、持。《書經．牧誓》：「王左杖黃鉞，右秉白旄以麾。」《禮記．王制》：「六十杖於鄉，七十杖於國。」_x000D_
2.憑恃、倚靠。《左傳．襄公八年》：「完守以老楚，杖信以待晉，不亦可乎？」《漢書．卷七五．眭兩夏侯京翼李傳．李尋》：「外臣不知朝事，竊信天文即如此，近臣已不足杖矣。」_x000D_
3.拷打。宋．王讜《唐語林．卷六．補遺》：「穆家法最峻，寧命諸子直饌，稍不如意，則杖之。」</t>
  </si>
  <si>
    <t>[形]
多餘的。如：「身無長物」。唐．白居易〈無長物〉詩：「只緣無長物，始得作閒人。」
[動]
強盛。《呂氏春秋．審分覽．知度》：「此神農之所以長，而堯舜之所以章也。」</t>
  </si>
  <si>
    <t>(一)ㄔㄤˊ cháng（08451）(二)ㄓㄤˇ zhǎng（07891）</t>
  </si>
  <si>
    <t>帳</t>
  </si>
  <si>
    <t>[名]
1.張掛起來做為露宿或防止蚊蟲進入的布幕、帷幕。如：「蚊帳」、「營帳」。唐．白居易〈長恨歌〉：「雲鬢花顏金步搖，芙蓉帳暖度春宵。」
2.記載有關銀錢、財物出入的簿據。同「賬」。如：「算帳」、「流水帳」。《通俗編．貨財》：「幃幄曰帳，而計簿亦曰帳者，運籌必在幃幄中也。今市井或造賬字用之，諸字書中皆未見。」
3.債務。同「賬」。如：「欠帳」、「還帳」。</t>
  </si>
  <si>
    <t>[動]
 (一)[動]4.之又音。
[形]
 肚子鼓脹。通「脹」。《左傳．成公十年》：「將食，張，如廁。」</t>
  </si>
  <si>
    <t>(一)ㄓㄤ zhāng（07887）</t>
  </si>
  <si>
    <t>脹</t>
  </si>
  <si>
    <t>[動]
物體體積變大。如：「膨脹」、「熱脹冷縮」。
[形]
1.形容飲食過飽，腸胃不舒服的感覺。如：「胃脹」、「肚子很脹」。
2.浮腫。如：「皮膚腫脹」。</t>
  </si>
  <si>
    <t>[動]
1.物體擴張。通「脹」。如：「漲大」。
2.瀰漫。《南史．卷九．陳武帝本紀》：「縱火燒柵，煙塵漲天。」</t>
  </si>
  <si>
    <t>(二)ㄓㄤˇ zhǎng（07892）</t>
  </si>
  <si>
    <t>賬</t>
  </si>
  <si>
    <t>[名]
1.記錄有關銀錢、財物出入的簿據。同「帳」。如：「查賬」、「記賬」。
2.債務。同「帳」。如：「欠賬」。</t>
  </si>
  <si>
    <t>嶂</t>
  </si>
  <si>
    <t>[名]
形如屏風的山。如：「重巒疊嶂」。宋．范仲淹〈漁家傲．塞下秋來風景異〉詞：「千嶂裡，長煙落日孤城閉。」</t>
  </si>
  <si>
    <t>幛</t>
  </si>
  <si>
    <t>[名]
在布帛上題字，作為慶賀或祭弔的禮品。如：「喜幛」、「壽幛」、「祭幛」。也稱為「幛子」。
[動]
遮蔽、遮擋。《聊齋志異．卷一〇．葛巾》：「嫗以身幛女，叱曰：『狂生何為！』」</t>
  </si>
  <si>
    <t>障</t>
  </si>
  <si>
    <t>[動]
1.阻塞、阻隔。《呂氏春秋．貴直論．貴直》：「欲聞枉而惡直言，是障其源而欲其水也。」明．徐弘祖《徐霞客遊記．卷二上．江右遊日記》：「壟北一崗，橫障溪前，若為當關。」
2.遮蔽、遮擋。《三國演義》第一一九回：「張節可憐忠國死，一拳怎障泰山高！」
3.保護、防衛。如：「保障」。唐．韓愈〈進學解〉：「障百川而東之，迴狂瀾於既倒。」宋．文天祥〈贈祕書王監丞〉詩：「人生晚節良不易，頹波直下誰障東？」
[名]
1.堤防。《文選．馬融．長笛賦》：「於是山水猥至，渟涔障潰。」
2.古代在邊塞險要處所築的城寨。《史記．卷六．秦始皇本紀》：「築亭障以逐戎人。」
3.類似屏風的帷幕或物品。《北史．卷八一．儒林傳．張景仁傳》：「每送步障，為遮風寒。」宋．沈括《夢溪筆談．卷二二．謬誤》：「有筆工善畫水，召使畫便廳掩障。」
4.缺點、毛病。如：「機器發生故障。」</t>
  </si>
  <si>
    <t>瘴</t>
  </si>
  <si>
    <t>[名]
山林間溼熱蒸鬱的毒氣。大陸地區西南部山區常見。如：「瘴氣」。</t>
  </si>
  <si>
    <t>ㄓㄥ</t>
  </si>
  <si>
    <t>zhēng</t>
  </si>
  <si>
    <t>參見「丁丁」條。</t>
  </si>
  <si>
    <t>(一)ㄉㄧㄥ dīng（02252）</t>
  </si>
  <si>
    <t>正</t>
  </si>
  <si>
    <t>參見「正月」條。</t>
  </si>
  <si>
    <t>(一)ㄓㄥˋ zhèng（07930）</t>
  </si>
  <si>
    <t>驚恐不安的樣子。如：「怔忪」、「怔營」。</t>
  </si>
  <si>
    <t>(二)ㄌㄥˋ lèng（03379）</t>
  </si>
  <si>
    <t>征</t>
  </si>
  <si>
    <t>[動]
1.遠行。如：「長征」、「遠征」。《詩經．小雅．小明》：「我征徂西，至于艽野。」
2.討伐。如：「征伐」、「征戍」、「南征北討」。《漢書．卷七．武帝紀》：「遣貳師將軍李廣利，發天下謫民西征大宛。」唐．王翰〈涼州詞〉二首之一：「醉臥沙場君莫笑，古來征戰幾人回。」
3.課徵。如：「征稅」、「橫征暴斂」。
4.強取、爭奪。《孟子．梁惠王上》：「上下交征利，而國危矣。」
[名]
1.賦稅。《孟子．盡心下》：「有布縷之征，粟米之征，力役之征。」
2.姓。如宋代有征集。</t>
  </si>
  <si>
    <t>鉦</t>
  </si>
  <si>
    <t>[名]
樂器名，打擊樂器。銅製，屬鐲鐃之類。形似鐘而狹長，有長柄可執，是古代行軍樂器，用來調整或停止步伐。古代鳴金收兵，鉦為鳴金樂器之一。《說文解字．金部》：「鉦，鐃也。似鈴，柄中，上下通。」《詩經．小雅．采芑》：「方叔率止，鉦人伐鼓。」漢．毛亨．傳：「伐，擊也。鉦以靜之，鼓以動之。」漢．張衡〈東京賦〉：「戎士介而揚揮，戴金鉦而建黃鉞。」</t>
  </si>
  <si>
    <t>爭</t>
  </si>
  <si>
    <t>[動]
1.奪取、互不相讓。《左傳．隱公十一年》：「公孫閼與潁考叔爭車，潁考叔挾輈以走。」《北史．卷二二．長孫道生傳》：「嘗有二鵰，飛而爭肉，因以箭兩隻與晟，請射取之。」
2.較量、競爭。《書經．大禹謨》：「汝惟不矜，天下莫與汝爭能。汝惟不伐，天下莫與汝爭功。」
3.辯論。如：「據理力爭」。《左傳．昭公六年》：「民知爭端矣，將棄禮而徵於書。」《史記．卷五五．留侯世家》：「此難以口舌爭也。」
4.相差、差別。唐．杜荀鶴〈自遣〉詩：「百年身後一丘土，貧富高低爭幾多。」《水滸傳》第六九回：「我這行院人家坑陷了千千萬萬的人，豈爭他一個？」
5.規勸。同「諍」。《呂氏春秋．仲春紀．功名》：「關龍逢、王子比干能以要領之死，爭其上之過。」
[副]
如何。同「怎」。唐．韓偓〈哭花〉詩：「若是有情爭不哭，夜來風雨葬西施。」元．鍾嗣成〈一枝花．生居天地間套．梁州〉曲：「爭奈灰容土貌，缺齒重頤。」</t>
  </si>
  <si>
    <t>掙</t>
  </si>
  <si>
    <t>[動]
1.用力支撐。《水滸傳》第八回：「林冲掙的起來，被枷礙了，曲身不得。」《儒林外史》第五回：「及到天氣和暖，又勉強進些飲食，掙起來家前屋後走走。」
2.用力拉扯。如：「掙脫」、「掙斷」。《西遊記》第六九回：「那獃子左掙右掙，掙不得脫手。」
3.爭奪。如：「掙面子」、「掙光榮」。</t>
  </si>
  <si>
    <t>(二)ㄓㄥˋ zhèng（07934）</t>
  </si>
  <si>
    <t>崢</t>
  </si>
  <si>
    <t>參見「崢嶸」條。</t>
  </si>
  <si>
    <t>(二)（又音）ㄔㄥˊ chéng（08513）</t>
  </si>
  <si>
    <t>猙</t>
  </si>
  <si>
    <t>參見「猙獰」條。</t>
  </si>
  <si>
    <t>睜</t>
  </si>
  <si>
    <t>[動]
張開眼睛。如：「睜眼說瞎話」。《兒女英雄傳》第六回：「安公子甦醒過來，一睜眼，見自己依然綁在柱上。」</t>
  </si>
  <si>
    <t>箏</t>
  </si>
  <si>
    <t>1.樂器名。參見「古箏」條。
2.參見「風箏」條。</t>
  </si>
  <si>
    <t>諍</t>
  </si>
  <si>
    <t>[動]
1.以直言糾正、規勸。如：「諫諍」、「力諍」。《新唐書．卷一六四．崔玄亮傳》：「玄亮率諫官叩延英苦諍，反復數百言。」
2.競爭、爭執。《戰國策．秦策二》：「有兩虎諍人而鬥者，管莊子將刺之。」</t>
  </si>
  <si>
    <t>錚</t>
  </si>
  <si>
    <t>[擬]
形容金屬、玉石相撞的聲音。《說文解字．金部》：「錚，金聲也。」唐．白居易〈夢仙〉詩：「羽衣忽飄飄，玉鸞俄錚錚。」
[名]
樂器名，打擊樂器。即「鉦」，銅製，形似鐘而狹長，為古代軍中使用的樂器之一，行軍作戰時可用來調整步伐或收兵。《文獻通考．卷一三四．樂考七．鼓吹鉦》：「然鉦錚一也，特其名異也。」</t>
  </si>
  <si>
    <t>鬇</t>
  </si>
  <si>
    <t>烝</t>
  </si>
  <si>
    <t>[動]
1.火氣上升。《墨子．節用中》：「逮夏，下潤溼上熏烝。」
2.用熱水氣蒸東西。通「蒸」。如：「烝魚」、「烝飯」。宋．蘇軾〈酒經〉：「吾始取麵而起肥之，和之以薑液，烝之使十裂。」
3.上淫，與長輩婦女姦通。《左傳．桓公十六年》：「衛宣公烝于夷姜。」《遼史．卷一一二．逆臣傳上．耶律滑哥傳》：「性陰險，初烝其父妾，懼事彰，與剋蕭臺哂等共害其父。」
[形]
眾多。《詩經．大雅．烝民》：「天生烝民，有物有則。」唐．杜甫〈無家別〉詩：「人生無家別，何以為烝黎？」
[名]
古代冬天的祭祀。《書經．洛誥》：「戊辰，王在新邑，烝祭歲。」《禮記．王制》：「天子諸侯宗廟之祭，春曰礿，夏曰禘，秋曰嘗，冬曰烝。」
[助]
發語詞，置於句首。《詩經．豳風．東山》：「蜎蜎者蠋，烝在桑野。」</t>
  </si>
  <si>
    <t>脀</t>
  </si>
  <si>
    <t>[名]
盛裝在鼎俎中的熟肉。明．張自烈《正字通．肉部》：「鼎俎之實，凡牲烹熟，體解骨切而載諸鼎，骨折臠割而升之俎者，皆曰脀。」</t>
  </si>
  <si>
    <t>蒸</t>
  </si>
  <si>
    <t>[動]
1.熱氣上升。如：「蒸發」。《國語．周語上》：「陽氣俱蒸，土膏其動。」
2.利用水蒸汽的熱力把食物煮熟。如：「蒸魚」。漢．王充《論衡．幸偶》：「蒸穀為飯，釀飯為酒。」</t>
  </si>
  <si>
    <t>[動]
1.召集。如：「徵兵」。《史記．卷一．五帝本紀》：「於是黃帝乃徵師諸侯，與蚩尤戰於涿鹿之野。」
2.責問、詢問。如：「徵詢意見」。《左傳．僖公四年》：「王祭不共，無以縮酒，寡人是徵。」明．徐弘祖《徐霞客遊記．卷九上．滇遊日記十》：「即徵其地名，據云：為鳳田總府莊。」
3.驗證、證明。《論語．八佾》：「夏禮吾能言之，杞不足徵也。」
4.公開尋求、招請。如：「徵婚」、「徵文」、「誠徵女工」。
5.課取、收取。如：「徵稅」。《周禮．地官．閭師》：「以歲時徵野之貢賦。」《左傳．昭公二十年》：「布常無藝，徵斂無度。」
[名]
1.預兆、跡象。如：「吉徵」、「凶徵」。《史記．卷四．周本紀》：「夫國必依山川，山崩川竭，亡國之徵也。」
2.姓。如三國時吳國有徵崇。</t>
  </si>
  <si>
    <t>(二)ㄓˇ zhǐ（07539）</t>
  </si>
  <si>
    <t>癥</t>
  </si>
  <si>
    <t>[名]
一種腹中結硬塊的病症。《玉篇．疒部》：「癥，腹結病也。」</t>
  </si>
  <si>
    <t>[名]
魚與肉調製成的雜燴菜。如：「五侯鯖」。唐．韓愈、孟郊〈城南聯句〉：「惡嚼㗘腥鯖。」</t>
  </si>
  <si>
    <t>(一)ㄑㄧㄥ qīng（06582）</t>
  </si>
  <si>
    <t>拯</t>
  </si>
  <si>
    <t>ㄓㄥˇ</t>
  </si>
  <si>
    <t>zhěng</t>
  </si>
  <si>
    <t>[動]
1.援救、救助。《孟子．梁惠王下》：「民以為將拯己於水火之中也。」漢．王充《論衡．感虛》：「井出水以救渴，田出穀以拯饑。」
2.舉起。《易經．艮卦．六二》：「艮其腓，不拯其隨，其心不快。」</t>
  </si>
  <si>
    <t>撜</t>
  </si>
  <si>
    <t>[動]
救助。《淮南子．齊俗》：「子路撜溺而受牛謝。」</t>
  </si>
  <si>
    <t>(二)ㄔㄥˊ chéng（08520）</t>
  </si>
  <si>
    <t>整</t>
  </si>
  <si>
    <t>[名]
1.不帶小數點的數字。如：「正整數」、「負整數」。
2.全數、總數。如：「化整為零」。
[動]
1.集合。如：「整隊」。《詩經．大雅．常武》：「整我六師，以脩我戎。」
2.治理、安放。如：「整理」、「整頓」、「整裝待發」。
3.修理。如：「整人專家」、「整型」、「這部老爺車該好好整整了。」
[形]
1.有秩序的。如：「整齊」、「整然有序」。
2.完全的、全部的。如：「整體」、「整批」、「完整」。
3.正好、剛好。如：「十元七角整」。</t>
  </si>
  <si>
    <t>ㄓㄥˋ</t>
  </si>
  <si>
    <t>zhèng</t>
  </si>
  <si>
    <t>[形]
1.合於規範的、合於法則的。如：「正道」、「正路」。
2.不偏斜。如：「正中」、「正午」。《論語．憲問》：「晉文公譎而不正，齊桓公正而不譎。」
3.精純不雜的。如：「純正」、「正紅色」。《韓非子．難四》：「屈到嗜芰，文王嗜菖蒲菹，非正味也，而二賢尚之，所味不必美。」
4.與「反」相對。如：「正面」、「正方」。
5.與「副」相對。如：「正本」、「正刊」。
6.與「偏」相對。如：「正門」、「正廳」。
7.與「負」相對。如：「正數」、「正電」。
[動]
1.修改錯誤。如：「修正」、「訂正」、「糾正」。《論語．學而》：「就有道而正焉。」
2.整理。《論語．堯曰》：「君子正其衣冠，尊其瞻視。」《隋書．卷五八．李文博傳》：「夫清其流者必潔其源，正其末者須端其本。」
3.分析、明辨。《論語．子路》：「必也正名乎！」
[副]
1.恰巧、剛好。如：「正好」、「正是」、「正中下懷」。《北史．卷七〇．劉璠傳》：「行本怒其不能調護，每謂三人曰：『鄉等正解讀書耳。』」
2.表示動作在進行的狀態。如：「外面正下著傾盆大雨。」《文選．曹植．七哀詩》：「明月照高樓，流光正徘徊。」
[名]
1.長官、主事者。如：「里正」、「村正」。《禮記．王制》：「成獄辭，史以獄成告於正，正聽之。」
2.姓。如春秋時魯國有正常。</t>
  </si>
  <si>
    <t>(二)ㄓㄥ zhēng（07908）</t>
  </si>
  <si>
    <t>政</t>
  </si>
  <si>
    <t>[名]
1.政策、法令。《周禮．天官．小宰》：「小宰之職，掌建邦之宮刑，以治王宮之政令。」《左傳．昭公二十年》：「政寬則民慢，慢則糾之以猛。」
2.法則、規則。《荀子．天論》：「順其類者謂之福，逆其類者謂之禍，夫是之謂天政。」
3.國家公務機關的行政業務。如：「內政」、「財政」、「省政」、「縣政」。
[動]
1.治理。《後漢書．卷二八上．桓譚傳》：「蓋善政者，視俗而施教，察失而立防。」
2.文字上的指正，多用為求教的詞語。如：「乞政」、「呈政」。</t>
  </si>
  <si>
    <t>症</t>
  </si>
  <si>
    <t>[名]
疾病的徵象。如：「急症」、「絕症」、「不治之症」、「對症下藥」。</t>
  </si>
  <si>
    <t>証</t>
  </si>
  <si>
    <t>[動]
諫正。如：「証諫」。《戰國策．齊策一》：「士尉以証靖郭君，靖郭君不聽。」</t>
  </si>
  <si>
    <t>努力獲取。元．馬致遠《漢宮秋．楔子》：「俺祖高皇帝，奮布衣，起豐、沛，滅秦屠項，掙下這等基業。」《紅樓夢》第一一三回：「家裡也掙了好幾畝地。」</t>
  </si>
  <si>
    <t>(一)ㄓㄥ zhēng（07913）</t>
  </si>
  <si>
    <t>幀</t>
  </si>
  <si>
    <t>[名]
量詞。計算照片、字畫等的單位。明．張自烈《正字通．巾部》：「今人以一幅為一幀。」如：「這是一幀仕女圖。」</t>
  </si>
  <si>
    <t>鄭</t>
  </si>
  <si>
    <t>[名]
1.國名。周朝諸侯國之一。故址位於今大陸地區河南省新鄭縣。
2.姓。如明代有鄭成功。
[副]
謹慎、莊重。如：「鄭重其事」。《三國志．卷二五．魏書．高堂隆傳》：「殷勤鄭重，欲必覺寤陛下。」</t>
  </si>
  <si>
    <t>證</t>
  </si>
  <si>
    <t>[動]
1.告發。《說文解字．言部》：「證，告也。」《論語．子路》：「其父攘羊，而子證之。」
2.用憑據、事實來表明或斷定。如：「證明」、「證實」。《莊子．秋水》：「證曏今故，故遙而不悶、掇而不跂，知時無止。」
[名]
1.憑據。如：「人證」、「停車證」、「借書證」。
2.病症、症候。如：「三焦辨證」、「血分證」。《列子．周穆王》：「遇老聃，因告其子之證。」</t>
  </si>
  <si>
    <t>朱</t>
  </si>
  <si>
    <t>ㄓㄨ</t>
  </si>
  <si>
    <t>zhū</t>
  </si>
  <si>
    <t>[名]
1.大紅色。《論語．陽貨》：「惡紫之奪朱也，惡鄭聲之亂雅樂也。」宋．孟元老《東京夢華錄．卷一．大內》：「大內正門宣德樓列五門，門皆金釘朱漆，壁皆磚石間甃，鐫鏤龍鳳飛雲之狀。」
2.姓。如明代有太祖朱元璋。</t>
  </si>
  <si>
    <t>(二)ㄕㄨˊ shú（09066）</t>
  </si>
  <si>
    <t>侏</t>
  </si>
  <si>
    <t>參見「侏儒」條。</t>
  </si>
  <si>
    <t>洙</t>
  </si>
  <si>
    <t>[名]
河川名。泗水的支流，一源出大陸地區山東省費縣北，西流入泗水；一源出曲阜縣北，南流合沂水注入泗水。</t>
  </si>
  <si>
    <t>(二)（又音）ㄕㄨ shū（09050）</t>
  </si>
  <si>
    <t>邾</t>
  </si>
  <si>
    <t>[名]
1.國名。春秋時邾國，故城在今大陸地區山東省鄒縣，至戰國改稱為「鄒」，後滅於楚。也稱為「邾婁」。
2.姓。如上古時代顓頊的後裔，周時封於邾，後皆以國為氏。</t>
  </si>
  <si>
    <t>珠</t>
  </si>
  <si>
    <t>[名]
1.蚌殼內所生的圓形物質。當砂粒竄進蚌殼內，蚌體受到刺激，常用膜緣摩擦，而所分泌的珍珠質，就附在物體表面，漸久漸大，即形成珠。《書經．禹貢》：「泗濱浮磬，淮、夷蠙珠暨魚。」
2.泛稱圓形的顆粒。如：「彈珠」、「眼珠」。北周．庾信〈和靈法師遊昆明池〉詩二首之二：「碎珠縈斷菊，殘絲繞折蓮。」</t>
  </si>
  <si>
    <t>株</t>
  </si>
  <si>
    <t>[名]
1.樹木露在地面上的根部。如：「守株待兔」。《韓非子．五蠹》：「田中有株，兔走觸株，折頸而死。」唐．駱賓王〈上李少常啟〉：「賓王蟠木朽株，散樗賤質。」
2.量詞。計算花草樹木的單位。唐．韓愈〈示兒〉詩：「庭內無所有，高樹八九株。」</t>
  </si>
  <si>
    <t>茱</t>
  </si>
  <si>
    <t>參見「茱萸」條。</t>
  </si>
  <si>
    <t>硃</t>
  </si>
  <si>
    <t>參見「硃砂」條。</t>
  </si>
  <si>
    <t>袾</t>
  </si>
  <si>
    <t>[名]
衣身、衣服中間的布料。清．王念孫《廣雅疏證．卷七下．釋器》：「袾，裑也。」疏證：「裑謂衣中也。字通作身。」
[形]
紅色的。《荀子．富國》：「故天子袾裷衣冕，諸侯玄裷衣冕。」唐．楊倞．注：「袾，古朱字。」</t>
  </si>
  <si>
    <t>蛛</t>
  </si>
  <si>
    <t>誅</t>
  </si>
  <si>
    <t>[動]
1.討伐。《孟子．梁惠王下》：「誅其君而弔其民。」漢．曹操〈封功臣令〉：「吾起義兵，誅暴亂。」
2.殺戮。如：「人不為己，天誅地滅。」、「亂臣賊子，人人得而誅之。」
3.消除、剷除。《國語．晉語六》：「以惠誅怨，以忍去過。」《史記．卷六．秦始皇本紀》：「誅亂除害，興利致福。」
4.懲罰、懲治。《韓非子．姦劫弒臣》：「聖人之治國也，賞不加於無功，而誅必行於有罪者也。」
5.責備、譴責。如：「口誅筆伐」。《論語．公冶長》：「朽木不可雕也，糞土之牆不可杇也，於予與何誅？」
6.要求。《左傳．莊公八年》：「傷足，喪屨。反，誅屨於徒人費。弗得，鞭之，見血。」《資治通鑑．卷二六．漢紀十八．宣帝神爵元年》：「今上下僭差，人人自制，是以貪財誅利，不畏死亡。」</t>
  </si>
  <si>
    <t>跦</t>
  </si>
  <si>
    <t>參見「跦跦」條。</t>
  </si>
  <si>
    <t>銖</t>
  </si>
  <si>
    <t>[名]
1.量詞。古代計算重量的單位。六銖為一錙，八銖為一錘，二十四銖為一兩。《淮南子．說山》：「有千金之璧，而無錙錘之礛諸。」漢．高誘．注：「六銖曰錙，八銖曰錘。」《漢書．卷二一．律曆志上》：「二十四銖為兩，十六兩為斤。」
2.姓。如明代有銖鉉。
[形]
參見「錙銖」條。</t>
  </si>
  <si>
    <t>諸</t>
  </si>
  <si>
    <t>[形]_x000D_
1.眾多、各個。如：「諸事」、「諸子百家」、「諸善男子，善女人」。_x000D_
2.所有、一切。《後漢書．卷三．肅宗孝章帝紀》：「諸以前妖惡禁錮者，一皆蠲除之，以明棄咎之路。」《明史．卷二．太祖本紀》：「諸遭亂為人奴隸者復為民。」_x000D_
[代、介]_x000D_
之於二字的合音。「之」是代詞，「於」是介詞。如：「付諸行動」。《論語．衛靈公》：「子張書諸紳。」_x000D_
[代、助]_x000D_
之乎二字的合音。「之」是代詞，「乎」是助詞。《論語．子罕》：「有美玉於斯，韞櫝而藏諸？求善賈而沽諸？」_x000D_
[介]_x000D_
於。《禮記．祭義》：「是故君子合諸天道，春禘秋嘗。」_x000D_
[代]_x000D_
他、之。《論語．學而》：「告諸往而知來者。」_x000D_
[名]_x000D_
姓。如明代有諸茂卿。</t>
  </si>
  <si>
    <t>豬</t>
  </si>
  <si>
    <t>[名]
1.動物名。哺乳類偶蹄目豬科。頭大，眼小，耳大，四肢短小，軀體肥滿，鼻與口吻皆長。肉可食，皮可製革，鬃毛可製刷子等。
2.水流停聚的地方。通「瀦」。《左傳．襄公二十五年》：「數疆潦，規偃豬。」</t>
  </si>
  <si>
    <t>瀦</t>
  </si>
  <si>
    <t>[名]
水流停聚的地方。唐．韓愈〈岳陽樓別竇司直〉詩：「瀦為七百里，吞納各殊狀。」
[動]
蓄積、積聚。《新唐書．卷四一．地理志五》：「瀦溪水殖稻。」</t>
  </si>
  <si>
    <t>櫧</t>
  </si>
  <si>
    <t>[名]
植物名。殼斗科青剛櫟及苦櫧屬，包括小葉青剛（麵櫧）、苦櫧、甜櫧、米櫧等數種此二屬樹木之通稱。常綠喬木。樹幹為灰褐色，略光滑，有不明顯的縱向細紋。材質堅實，可作舟車棟梁之用。其種子與樹皮、葉入藥有止渴、破惡血、治洩痢等功效。</t>
  </si>
  <si>
    <t>櫫</t>
  </si>
  <si>
    <t>[名]
小木樁。清．王念孫《廣雅疏證．卷七上．釋宮》：「櫫，杙也。」
[動]
有所表識、記號。《廣韻．平聲．魚韻》：「櫫，揭櫫，有所表識。」</t>
  </si>
  <si>
    <t>藷</t>
  </si>
  <si>
    <t>參見「藷蔗」條。</t>
  </si>
  <si>
    <t>(二)ㄕㄨˇ shǔ（09080）</t>
  </si>
  <si>
    <t>朮</t>
  </si>
  <si>
    <t>ㄓㄨˊ</t>
  </si>
  <si>
    <t>zhú</t>
  </si>
  <si>
    <t>參見「白朮」條。</t>
  </si>
  <si>
    <t>竹</t>
  </si>
  <si>
    <t>[名]
1.植物名。多年生常綠植物。莖木質，有隆起之節，節間部中空，細長作管狀，色綠。竹莖堅韌，可供建築製器之用。
2.樂器名。笛、簫之屬。《周禮．春官．大師》：「皆播之以八音：金、石、土、革、絲、木、匏、竹。」晉．王羲之〈三月三日蘭亭詩序〉：「雖無絲竹管絃之盛，一觴一詠，亦足以暢敘幽情。」
3.簡冊。如：「竹帛」、「竹簡」。漢．桓寬《鹽鐵論．利議》：「明枯竹，守空言，不知趨舍之宜，時世之變。」
4.姓。如漢代有竹多同。
5.二一四部首之一。</t>
  </si>
  <si>
    <t>竺</t>
  </si>
  <si>
    <t>[名]
1.天竺的簡稱。今印度的舊名。唐．李賀〈馬〉詩二三首之一九：「蕭寺馱經馬，元從竺國來。」
2.姓。如漢代有竺曾。
[動]
厚。通「篤」。《楚辭．屈原．天問》：「稷維元子，帝何竺之？」</t>
  </si>
  <si>
    <t>(一)（語音）ㄓㄡˊ zhóu（07748）</t>
  </si>
  <si>
    <t>[名]
船尾掌舵的地方。南朝宋．鮑照〈還都道中〉詩三首之二：「風急訊灣浦，裝高偃檣舳。」</t>
  </si>
  <si>
    <t>(二)（語音）ㄓㄡˊ zhóu（07749）</t>
  </si>
  <si>
    <t>(一)（語音）ㄓㄡˊ zhóu（07750）(三)ㄓㄡˋ zhòu（07756）</t>
  </si>
  <si>
    <t>窋</t>
  </si>
  <si>
    <t>[形]
物在穴中的樣子。《說文解字．穴部》：「窋，物在穴中貌。」
[名]
窟。漢．趙曄《吳越春秋．王僚使公子光傳》：「公子光伏甲士於窋室中，具酒而請王僚。」</t>
  </si>
  <si>
    <t>逐</t>
  </si>
  <si>
    <t>[動]_x000D_
1.追趕。如：「追逐」。《後漢書．卷七三．劉虞公孫瓚陶謙列傳．公孫瓚》：「每聞有警，瓚輒厲色憤怒，如赴讎敵，望塵奔逐，或繼之以夜戰。」唐．盧綸〈和張僕射塞下曲〉六首之三：「欲將輕騎逐，大雪滿弓刀。」_x000D_
2.驅走。如：「逐客令」、「驅逐出境」。《史記．卷七．項羽本紀》：「及羽背關懷楚，放逐義帝而自立，怨王侯叛己，難矣。」《喻世明言．卷四〇．沈小霞相會出師表》：「原來文書上有『奉旨抄沒』的話，本府已差縣尉封鎖了家私，將人口盡皆逐出。」_x000D_
3.追求、追尋。《國語．晉語四》：「饜邇逐遠，遠人入服，不為郵矣。」《漢書．卷九六．西域傳上．西夜國》：「西夜與胡異，其種類羌、氐行國，隨畜逐水草往來。」唐．李白〈經亂離後天恩流夜郎憶舊遊書懷贈江夏韋太守良宰〉詩：「誤逐世間樂，頗窮理亂情。」_x000D_
4.競爭、爭奪。如：「角逐」。《後漢書．卷一七．馮岑賈列傳．馮異》：「當兵革始起，擾攘之時，豪傑競逐，迷惑千數。」宋．邵雍〈題四皓廟〉詩四首之一：「正是英雄較逐時，未知鹿入何人手。」_x000D_
5.跟隨。如：「隨波逐流」。唐．楊發〈殘花〉詩：「暖芳隨日薄，殘片逐風迴。」《西遊記》第九三回：「常言：『嫁雞逐雞，嫁犬逐犬。』女有誓願在先，結了這毬，告奏天地神明，撞天婚拋打。」_x000D_
6.依次、按照順序。如：「逐年增加」、「逐條說明」。唐．白居易〈首夏〉詩：「料錢隨月用，生計逐日營。」《五代史平話．周史．卷上》：「郭威從那應募李繼韜軍下攻取澤州，被董璋占了功賞，殺人逃走，來到此間，逐一細說與知遠聽了。」</t>
  </si>
  <si>
    <t>瘃</t>
  </si>
  <si>
    <t>[名]
手足的凍瘡。唐．段成式《酉陽雜俎．卷一九．廣動植》：「茄子熟者，食之厚腸胃，動氣發痰，根能治灶瘃。」宋．梅堯臣〈對殘雪懷歐陽永叔〉詩：「童僕苦病瘃，庭戶無與杴。」</t>
  </si>
  <si>
    <t>蓫</t>
  </si>
  <si>
    <t>[名]
植物名。即羊蹄。蓼科酸模屬，「羊蹄」之古稱，參見「羊蹄」條。</t>
  </si>
  <si>
    <t>筑</t>
  </si>
  <si>
    <t>[名]
1.樂器名，擊弦樂器。目前所見中國最早的擊弦樂器，自戰國至隋唐廣泛流行，宋代以後失傳。形狀似琴，有五弦、十三弦、二十一弦的不同。演奏時以左手按弦一端，右手執竹片擊弦發音。陶淵明〈詠荊軻詩〉：「漸離擊悲筑，宋意唱高聲。」
2.貴州省會貴陽市的簡稱。</t>
  </si>
  <si>
    <t>築</t>
  </si>
  <si>
    <t>[動]
1.擣土使之堅實。《儀禮．既夕禮》：「甸人築坅坎。」漢．鄭玄．注：「築，實土其中堅之。」
2.建造。如：「建築」、「築路」。《左傳．莊公元年》：「秋，築王姬之館于外。」《史記．卷一一〇．匈奴傳》：「漢為單于築邸于長安。」
3.捅、刺。《西遊記》第八回：「他撞上來，不分好歹，望著菩薩舉釘鈀就築。」
[名]
1.宅第、居室。如：「小築」、「雅築」。宋．史浩〈驀山溪．清談無限〉詞：「君侯灑落，卜築開冰沼。三徑直危樓，遍巖隈、幽花香草。」
2.擣土打牆的木杵。《左傳．宣公十一年》：「稱畚築，程土物。」唐．孔穎達．正義：「築者，築土之杵。」唐．盧肇〈漢堤〉詩：「披峴斲楚，飛石輓土，舉築殷雷，駭汗霏雨。」
3.姓。如明代有築應祥。</t>
  </si>
  <si>
    <t>燭</t>
  </si>
  <si>
    <t>[名]
1.火炬。《禮記．曲禮上》：「燭不見跋。」唐．孔穎達．正義：「古者未有蠟燭，唯呼火炬為燭也。」
2.用蠟和油製成，可燃燒發光的條狀物體。如：「蠟燭」、「紅燭」、「洞房花燭」。
3.姓。如春秋時鄭國有燭之武。
[動]
1.照、照亮。如：「火光燭天」。《史記．卷八三．魯仲連鄒陽傳》：「名高天下而光燭鄰國。」
2.察明、察見。如：「洞燭奸計」。《漢書．卷八一．匡衡傳》：「君何疑而上書歸侯乞骸骨，是章朕之未燭也。」</t>
  </si>
  <si>
    <t>蠋</t>
  </si>
  <si>
    <t>[名]
蛾、蝶類的幼蟲。《詩經．豳風．東山》：「蜎蜎者蠋，烝在桑野。」漢．毛亨．傳：「蠋，桑蟲也。」</t>
  </si>
  <si>
    <t>躅</t>
  </si>
  <si>
    <t>[名]
1.足跡、蹤跡。《漢書．卷一〇〇．敘傳上》：「伏周、孔之軌躅，馳顏、閔之極摯。」唐．丘丹〈經湛長史草堂〉詩：「偶尋野外寺，仰慕賢者躅。」
2.比喻前賢的行為、功績。宋．蘇軾〈送頓起〉詩：「岱宗已在眼，一往繼前躅。」
[動]
踩踏。《逸周書．卷九．太子晉解》：「師曠東躅其足，曰：『善哉善哉！』」
[形]
參見「躑躅」條。</t>
  </si>
  <si>
    <t>斸</t>
  </si>
  <si>
    <t>[名]
鋤頭之類的農具。《國語．齊語》：「惡金以鑄鉏、夷、斤、斸，試諸壤土。」唐．韓愈〈鳳翔隴州節度使李公墓誌銘〉：「益市耕牛、鑄鎛、釤、鉏、斸，以給農之不能自具者。」
[動]
砍、斫。如：「斸稻」。</t>
  </si>
  <si>
    <t>丶</t>
  </si>
  <si>
    <t>ㄓㄨˇ</t>
  </si>
  <si>
    <t>zhǔ</t>
  </si>
  <si>
    <t>[名]
1.讀書時斷句的符號。《說文解字．丶部》：「丶，有所絕止，丶而識之也。」清．段玉裁．注：「專謂讀書止輒乙其處也。」
2.二一四部首之一。</t>
  </si>
  <si>
    <t>主</t>
  </si>
  <si>
    <t>[名]
1.賓客或奴僕的相對詞。如：「賓主」、「主僕」。
2.帝王。如：「君主」。《禮記．曲禮下》：「主佩倚，則臣佩垂。主佩垂，則臣佩委。」唐．杜甫〈入衡州〉詩：「報主身已老，入朝病見妨。」
3.領導者。如：「教主」、「一家之主」。《詩經．周頌．載殳》：「侯主侯伯，侯亞侯旅。」漢．毛亨．傳：「主，家長也。」
4.當事人。如：「苦主」、「失主」。
5.有物權或事權的人。如：「債主」、「地主」、「物歸原主」。
6.牌位。如：「木主」、「神主」。《周禮．春官．司巫》：「祭祀則共匰主。」
7.教徒稱呼其所信仰的神為「主」。
8.事物的根本。《易經．繫辭上》：「言行，君子之樞機；樞機之發，榮辱之主也。」《文選．曹丕．典論論文》：「文以氣為主。」
9.公主的簡稱。《後漢書．卷二六．宋弘傳》：「後弘被引見，帝令主坐屏風後。」《聊齋志異．卷九．雲蘿公主》：「駙馬當是俗間高手，主僅能讓六子。」
[動]
1.負責、主持。如：「主講」、「主辦」。
2.掌管、統治。《孟子．萬章上》：「使之主事而事治，百姓安之。」唐．韓愈〈原道〉：「入者主之，出者奴之。」
3.贊同。如：「主戰」、「主和」。《國語．周語中》：「是以不主寬惠，亦不主猛毅，主德義而已。」
4.持守。《論語．學而》：「主忠信，無友不如己者。」《文選．宋玉．招魂》：「主此盛德兮，牽於俗而蕪穢。」
5.預示。《三國演義》第六三回：「又觀乾象，太白臨于雒城之分：主將帥身上多凶少吉。」
[形]
1.主要的。如：「主將」、「主帥」。
2.自己的。如：「主觀」、「主見」。</t>
  </si>
  <si>
    <t>拄</t>
  </si>
  <si>
    <t>[動]
1.支撐。如：「拄著枴杖」。《戰國策．齊策六》：「大冠若箕，脩劍拄頤。」
2.譏刺。《漢書．卷六七．朱雲傳》：「既論難，連拄五鹿君。」</t>
  </si>
  <si>
    <t>砫</t>
  </si>
  <si>
    <t>[名]
古代宗廟中安放神主的石室。《玉篇．石部》：「砫，石室。」</t>
  </si>
  <si>
    <t>(二)ㄓㄨˋ zhù（07998）</t>
  </si>
  <si>
    <t>麈</t>
  </si>
  <si>
    <t>[名]_x000D_
1.似鹿的大獸，其尾細長，可以拂塵土、驅蚊蟲。或以為今之麋鹿。《埤雅．卷三．釋獸．麈》：「麈，獸中似鹿而大，其尾辟塵。……《名苑》曰：『鹿之大者曰麈，群鹿隨之，皆視麈所往，麈尾所轉為準。』」_x000D_
2.駝鹿。古人以其頭似鹿，腳似牛，尾似驢，頸背似駱駝，稱為「四不像」。清．姚元之《竹葉亭雜記》卷八：「麈即今之四不像也，似鹿非鹿，似麅非麅。其角可為決，時所稱『堪達罕』也。此獸角根如掌，中如腐朽，色黯黑，以之為決。」清．徐珂《清稗類鈔．動物類．麈》：「麈，亦稱『駝鹿』，滿洲語謂之『堪達罕』，一作『堪達漢』，產於寧古塔、烏蘇里江等處之沮洳地。其頭類鹿，腳類牛，尾類驢，頸背類駱駝。而觀其全體，皆不完全相似，故俗稱『四不像』。角扁而闊，瑩潔如玉，中有黑理，鏤為決，勝象骨。大者重至千餘斤。」_x000D_
3.麈尾的簡稱。唐．盧照鄰〈行路難〉：「金貂有時換美酒，玉麈但搖莫計錢。」《紅樓夢》第三六回：「襲人坐在身旁，手做針線，旁邊放著一柄白犀麈。」</t>
  </si>
  <si>
    <t>枓</t>
  </si>
  <si>
    <t>[名]
一種盛水的器具。《禮記．喪大記》：「浴水用盆，沃水用枓。」《史記．卷四三．趙世家》：「使廚人操銅枓以食代王及從者，行斟，陰令宰人各以枓擊殺代王及從官，遂興兵平代地。」</t>
  </si>
  <si>
    <t>(一)ㄉㄡˇ dǒu（119060015）</t>
  </si>
  <si>
    <t>渚</t>
  </si>
  <si>
    <t>[名]
小洲，水中的小陸地。《詩經．召南．江有汜》：「江有渚。」唐．王勃〈滕王閣序〉：「鶴汀鳧渚，窮島嶼之縈迴。」</t>
  </si>
  <si>
    <t>陼</t>
  </si>
  <si>
    <t>同「渚」。</t>
  </si>
  <si>
    <t>煮</t>
  </si>
  <si>
    <t>[動]
一種烹飪方法，將食物放入水或湯加熱烹熟。如：「煮湯」、「燒菜煮飯」。</t>
  </si>
  <si>
    <t>貯</t>
  </si>
  <si>
    <t>[動]
積藏、儲蓄。《廣韻．上聲．語韻》：「貯，居也、積也。」如：「貯藏」、「貯存」。《呂氏春秋．先識覽．樂成》：「我有衣冠，而子產貯之。」宋．陸游〈冬夜讀書〉詩：「茆屋三四間，充棟貯經史。」</t>
  </si>
  <si>
    <t>屬</t>
  </si>
  <si>
    <t>[動]
1.連接。《書經．禹貢》：「涇屬渭汭。」
2.跟隨。《史記．卷七．項羽本紀》：「項王渡淮，騎能屬者百餘人耳。」
3.會聚、聚集。《左傳．哀公十三年》：「彌庸不可，屬徒五千，王子地助之。」
4.綴輯、寫作。《史記．卷八四．屈原賈生傳》：「懷王使屈原造為憲令，屈平屬草稿未定。」《漢書．卷四八．賈誼傳》：「以能誦詩書屬文稱於郡中。」
5.託付。同「囑」。《左傳．隱公三年》：「宋穆公疾，召大司馬孔父而屬殤公焉。」《漢書．卷四〇．張良傳》：「漢王之將獨韓信可屬大事、當一面。」
[副]
方才、適才。《史記．卷五五．留侯世家》：「天下屬安定，何故反乎？」</t>
  </si>
  <si>
    <t>(一)ㄕㄨˇ shǔ（09083）</t>
  </si>
  <si>
    <t>囑</t>
  </si>
  <si>
    <t>[動]
叮嚀、託付。如：「叮囑」、「囑咐」。唐．王維〈伊州歌〉：「征人去日慇懃囑，歸雁來時數附書。」</t>
  </si>
  <si>
    <t>矚</t>
  </si>
  <si>
    <t>[動]
注視。如：「高瞻遠矚」。《浮生六記．卷一．閨房記樂》：「就窗細矚，波明如鏡，不見一物。」</t>
  </si>
  <si>
    <t>宁</t>
  </si>
  <si>
    <t>ㄓㄨˋ</t>
  </si>
  <si>
    <t>zhù</t>
  </si>
  <si>
    <t>[名]
大門與屏風之間。《爾雅．釋宮》：「門屏之間謂之宁。」</t>
  </si>
  <si>
    <t>佇</t>
  </si>
  <si>
    <t>[動]
1.久立。如：「佇立」。《楚辭．屈原．離騷》：「結幽蘭而延佇。」唐．駱賓王〈與博昌父老書〉：「佇中衢而空軫，巾下澤而莫因。」
2.等待、盼望。唐．杜甫〈壯遊〉詩：「群凶逆未定，側佇英俊翔。」
3.累積、聚集。《文選．孫綽．遊天台山賦》：「惠風佇芳於陽林。」</t>
  </si>
  <si>
    <t>苧</t>
  </si>
  <si>
    <t>參見「苧麻」條。</t>
  </si>
  <si>
    <t>眝</t>
  </si>
  <si>
    <t>[動]
1.遙望、遠看。《說文解字．目部》：「眝，長眙也。」
2.張大眼睛。《喻世明言．卷三四．李公子救蛇獲稱心》：「眝目觀之，器皿皆是玻璃、水晶、琥珀、瑪瑙為之，曲盡巧妙，非人間所有。」</t>
  </si>
  <si>
    <t>羜</t>
  </si>
  <si>
    <t>[名]
出生五個月的小羊。《爾雅．釋畜》：「未成羊，羜。」晉．郭璞．注：「俗呼五月羔為羜。」《詩經．小雅．伐木》：「既有肥羜，以速諸父。」</t>
  </si>
  <si>
    <t>紵</t>
  </si>
  <si>
    <t>[名]
1.一種麻料纖維。同「苧」。《詩經．陳風．東門之池》：「東門之池，可以漚紵。」唐．孔穎達．正義：「陸機疏云：『紵亦麻也。』」
2.用麻織成的布。《禮記．喪服大記》：「絺綌紵不入。」唐．孔穎達．正義：「紵是紵布。」《聊齋志異．卷一．葉生》：「何必拋卻白紵，乃謂之利市哉！」</t>
  </si>
  <si>
    <t>助</t>
  </si>
  <si>
    <t>[動]
輔佐、幫忙。如：「互助」、「援助」、「守望相助」。唐．白居易〈春寒〉詩：「助酌有枯魚，佐餐兼旨蓄。」
[名]
殷商時代的賦稅制度。《孟子．滕文公上》：「夏后氏五十貢，殷人七十而助。」</t>
  </si>
  <si>
    <t>住</t>
  </si>
  <si>
    <t>[動]
1.長期居留。如：「我住在臺北市。」唐．崔顥〈長干曲〉四首之一：「君家何處住？妾住在橫塘。」
2.歇宿。如：「借住一宿」。
3.停止。如：「住手」、「住口」。《紅樓夢》第七回：「只見迎春、探春二人，正在窗下圍棋。周瑞家的將花送上，說明緣故。他二人忙住了棋，都欠身道謝。」
[副]
1.表示牢固或穩當。如：「記住」、「拿住」、「站住」。《紅樓夢》第三三回：「賈政還欲打時，早被王夫人抱住板子。」
2.表示停頓或靜止。如：「愣住了」、「呆住了」。</t>
  </si>
  <si>
    <t>注</t>
  </si>
  <si>
    <t>[動]
1.灌入、傾瀉。如：「灌注」、「大雨如注」。
2.心神凝聚集中。如：「專注」、「全神貫注」。
3.用文字解釋文義。通「註」。南朝梁．劉勰《文心雕龍．頌讚》：「及景純注雅，動植必讚，義兼美惡。」唐．韓愈〈讀鶡冠子〉：「余三讀其詞，而悲之文字脫謬，為之正三十有五字……注十有二字。」
[名]
1.解釋或說明的文字。通「註」。如北魏酈道元有《水經注》、清代段玉裁有《說文解字注》。
2.賭博時所下的財物。如：「賭注」、「下注」、「孤注一擲」。</t>
  </si>
  <si>
    <t>炷</t>
  </si>
  <si>
    <t>[名]
1.油燈的燈心。《南史．卷七八．夷貊傳上．海南諸國傳》：「至自然大洲，其上有樹生火中，洲左近人剝取其皮，……或作燈炷，用之不知盡。」
2.量詞。計算線香的單位。宋．蘇軾〈書雙竹湛師房〉詩二首之一：「一炷清香盡日留。」《紅樓夢》第八九回：「親自點了一炷香，擺上些果品，便叫人出去。」
[動]
點燃。唐．王建〈和元郎中從八月十二至十五夜翫月〉詩五首之四：「夜深盡放家人睡，直到天明不炷燈。」《紅樓夢》第六二回：「寶玉炷了香，行畢禮。」</t>
  </si>
  <si>
    <t>柱</t>
  </si>
  <si>
    <t>[名]_x000D_
1.屋中直立以支持梁的粗木。《史記．卷八六．刺客列傳．荊軻》：「秦王方環柱走，卒惶急。」也稱為「柱子」。_x000D_
2.泛稱細長像柱形的東西。如：「水柱」、「花柱」。_x000D_
3.琴瑟上繫弦的木條。唐．李商隱〈錦瑟〉詩：「錦瑟無端五十弦，一弦一柱思華年。」_x000D_
[動]_x000D_
1.支持。漢．王充《論衡．談天》：「且鼇足可以柱天，體必長大，不容于天地，女媧雖聖，何能殺之？」_x000D_
2.譏刺。通「拄」。《漢書．卷六七．楊胡朱梅云傳．朱雲》：「既論難，連柱五鹿君。」</t>
  </si>
  <si>
    <t>疰</t>
  </si>
  <si>
    <t>[名]
具傳染性的慢性疾病。《南史．卷七四．孝義傳．韓懷明傳》：「母患尸疰，每發輒危殆。」</t>
  </si>
  <si>
    <t>參見「石砫縣」條。</t>
  </si>
  <si>
    <t>(一)ㄓㄨˇ zhǔ（07976）</t>
  </si>
  <si>
    <t>罜</t>
  </si>
  <si>
    <t>[名]
罜䍡：小漁網。《國語．魯語上》：「鳥獸成，水蟲孕，水虞於是禁罝罜䍡。」三國吳．韋昭．注：「罜䍡，小網也。」《文選．張衡．西京賦》：「搜川瀆，布九罭，設罜䍡。」</t>
  </si>
  <si>
    <t>蛀</t>
  </si>
  <si>
    <t>[名]
一種咬食木材、書籍、稻米等的蟲。《廣韻．去聲．遇韻》：「蛀，蛀蟲。」
[動]
東西被咬壞或腐蝕。如：「木板被蟲蛀了一個大洞。」、「小弟弟的牙齒蛀了好幾顆。」
[形]
被腐蝕的。如：「滿口蛀牙」。</t>
  </si>
  <si>
    <t>紸</t>
  </si>
  <si>
    <t>[動]
放置。《荀子．禮論》：「紸纊聽息之時，則夫忠臣孝子，亦知其閔已，然而殯殮之具，未有求也。」唐．楊倞．注：「紸讀為注，紸纊即屬纊也。」</t>
  </si>
  <si>
    <t>註</t>
  </si>
  <si>
    <t>[名]
用來解釋或說明的文字。同「注」。如：「註解」、「註疏」。
[動]
1.記載、登記。如：「註冊」、「註銷」。
2.用文字解釋文義。如：「批註」。</t>
  </si>
  <si>
    <t>跓</t>
  </si>
  <si>
    <t>[動]
停下腳步。《廣韻．上聲．麌韻》：「跓，停步。」《楚辭．王逸．九思．悼亂》：「垂屣兮將起，跓俟兮碩明。」</t>
  </si>
  <si>
    <t>鉒</t>
  </si>
  <si>
    <t>[名]
1.古代陪葬的器物。《玉篇．金部》：「鉒，器也，送死人具也。」
2.礦產、礦物。《管子．地數》：「上有鉛者，其下有鉒銀；上有丹沙者，其下有鉒金。」
3.古代一種投環決勝負的遊戲。《淮南子．說林》：「以瓦鉒者全，以金鉒者跋，以玉鉒者發。」</t>
  </si>
  <si>
    <t>駐</t>
  </si>
  <si>
    <t>[動]
1.車馬停止。《三國志．卷二九．魏書．方技傳．華佗傳》：「佗聞其呻吟，駐車往視。」唐．杜甫〈別房太尉墓〉詩：「他鄉復行役，駐馬別孤墳。」
2.停留。如：「駐外使節」。唐．王勃〈守歲序〉：「歲月易盡，光陰難駐。」
3.留住、保持。如：「青春永駐」、「駐顏有術」。唐．孟浩然〈清明日宴宴梅道士山房〉詩：「童顏若可駐，何惜醉流露。」</t>
  </si>
  <si>
    <t>杼</t>
  </si>
  <si>
    <t>[名]
1.織布機上的簆。形狀像梳子，用於確定經線的密度，保持經線的位置，並把緯線推向織口。
2.織布機上用來持理緯線的梭子。參見「曾母投杼」條。《戰國策．秦策二》：「其母懼，投杼踰牆而走。」</t>
  </si>
  <si>
    <t>[名]
一種苧麻。同「苧」。《說文解字．艸部》：「芧，艸也。可以為繩。」</t>
  </si>
  <si>
    <t>(一)ㄒㄩˋ xù（07304）</t>
  </si>
  <si>
    <t>壴</t>
  </si>
  <si>
    <t>[名]
陳列的樂器。《說文解字．壴部》：「壴，陳樂立而上見也。」清．段玉裁．注：「謂凡樂器有虡者，豎之，其顛上出，可望見。」</t>
  </si>
  <si>
    <t>柷</t>
  </si>
  <si>
    <t>(一)ㄔㄨˋ chù（08558）</t>
  </si>
  <si>
    <t>祝</t>
  </si>
  <si>
    <t>[名]
1.祭祀時主持祭禮的人。《禮記．曾子問》：「祫祭於祖，則祝迎四廟之主。」
2.寺廟主持人。如：「廟祝」。
3.祭祀所唸的禱告詞。《漢書．卷六三．武五子傳．戾太子劉據傳》：「為立禖，使東方朔、枚皋作禖祝。」《遼史．卷四九．禮志一》：「閤門使讀祝訖，復位坐。」
4.姓。如春秋時魏國有祝侘。
[動]
1.祈禱、祈求。如：「祝福」、「祝平安快樂」。
2.慶賀、頌賀。如：「慶祝」、「祝賀」。</t>
  </si>
  <si>
    <t>[動]
1.顯露、表現。《禮記．大學》：「揜其不善而著其善。」
2.標舉、標示。《禮記．祭法》：「帝嚳能序星辰以著眾。」《漢書．卷六〇．杜周傳》：「若此，則流言消釋，疑惑著明。」
3.撰述、寫作。《史記．卷六三．老子韓非傳》：「於是老子迺著書上下篇。」《文選．曹丕．與吳質書》：「著《中論》二十餘篇，成一家之言。」
4.記載。《墨子．明鬼下》：「周人從者莫不見，遠者莫不聞，著在周之春秋。」《左傳．襄公二十三年》：「初，斐豹隸也，著於丹書。」
[名]
1.文章、作品的通稱。如：「名著」、「巨著」。
2.《詩經．齊風》的篇名。共三章。根據〈詩序〉：「〈著〉，刺時也。」或亦指嫁者即事之詩。首章三句為：「俟我於著乎而，充耳以素乎而，尚之以瓊華乎而。」
[形]
顯明。如：「顯著的差別」。</t>
  </si>
  <si>
    <t>(二)ㄓㄨㄛˊ zhuó（08054）(三)ㄓㄠˊ zháo（07712）(四)ㄓㄠ zhāo（07709）(五)˙ㄓㄜ zhe（07689）</t>
  </si>
  <si>
    <t>翥</t>
  </si>
  <si>
    <t>[動]
1.振翅欲飛。《說文解字．羽部》：「翥，飛舉也。」南朝宋．劉義慶《世說新語．言語》：「鶴軒翥不復能飛，乃反顧翅，垂頭視之，如有懊喪意。」《藝文類聚．卷六一．居處部一》引《漢武故事》曰：「甍標作鳳皇，軒翥若飛狀。」
2.高飛。唐．韓愈〈石鼓歌〉：「鸞翔鳳翥眾仙下，珊瑚碧樹交枝柯。」清．和邦額《夜譚隨錄．卷三．戴監生》：「鳥脫于羅，非不翩然遠翥也，然不能慎機於微，必將更罹干弋。」</t>
  </si>
  <si>
    <t>箸</t>
  </si>
  <si>
    <t>[名]
筷子。《史記．卷一四．十二諸侯年表》：「紂為象箸而箕子唏。」《紅樓夢》第七六回：「眾媳婦另行擦桌整果，更杯洗箸，陳設一番。」
[動]
1.標舉。通「著」。《荀子．王霸》：「致忠信，箸仁義，足以竭人矣。」
2.撰述、寫作。通「著」。《後漢書．卷四九．王充傳》：「箸《論衡》八十五篇，二十餘萬言。」</t>
  </si>
  <si>
    <t>(一)ㄓㄡ zhōu（07734）</t>
  </si>
  <si>
    <t>(一)（語音）ㄓㄡ zhōu（07745）(三)ㄩˋ yù（11704）</t>
  </si>
  <si>
    <t>鬻</t>
  </si>
  <si>
    <t>[名]
稀飯。通「粥」。《左傳．昭公七年》：「饘於是，鬻於是，以餬余口。」</t>
  </si>
  <si>
    <t>(一)ㄩˋ yù（11705）</t>
  </si>
  <si>
    <t>馵</t>
  </si>
  <si>
    <t>[名]
左後腳白色的馬。《玉篇．馬部》：「馵，馬後左足白。」《詩經．秦風．小戎》：「文茵暢轂，駕我騏馵。」</t>
  </si>
  <si>
    <t>鑄</t>
  </si>
  <si>
    <t>[動]
1.將金屬鎔化倒入模型中冷卻凝固，做成各種器物。如：「鑄錢」、「鑄銅」。《國語．齊語》：「美金以鑄劍戟。」
2.造就、培養。南朝梁．劉勰《文心雕龍．徵聖》：「陶鑄性情，功在上哲。」唐．李商隱〈喜舍弟羲叟及第上禮部魏公〉詩：「寧同魯司寇，惟鑄一顏回。」
3.造成、釀成。如：「鑄成大錯」。
[名]
國名。故址約在今大陸地區山東省肥城縣鑄鄉。</t>
  </si>
  <si>
    <t>ㄓㄨㄚ</t>
  </si>
  <si>
    <t>zhuā</t>
  </si>
  <si>
    <t>[動]
1.搔。如：「抓癢」、「抓頭」。
2.用手或爪取物。如：「抓一把花生米。」《文選．枚乘．上書諫吳王》：「十圍之木，始生而櫱，足可搔而絕，手可擢而抓。」
3.捕捉、捉拿。如：「抓賊」、「抓小偷」。
4.把握、掌握。如：「抓住機會」、「抓住要點」。</t>
  </si>
  <si>
    <t>(二)（讀音）ㄓㄠ zhāo（07705）(三)ㄔㄨㄚˇ chuǎ（08577）</t>
  </si>
  <si>
    <t>撾</t>
  </si>
  <si>
    <t>[動]
1.鞭打、敲擊。如：「撾鼓」。《聊齋志異．卷四．辛十四娘》：「仰見高閎，以策撾門。」
2.抓、抓住。《西遊記》第三三回：「就於雲端裡伸下手來，馬上撾人。」《儒林外史》第一六回：「撾著了這一件，掉了那一件。」</t>
  </si>
  <si>
    <t>檛</t>
  </si>
  <si>
    <t>[名]_x000D_
鞭、杖。《左傳．文公十三年》：「贈之以策。」晉．杜預．注：「策，馬檛。」《新五代史．卷六六．十國世家．楚》：「贍怒，以鐵檛擊殺建峯。」_x000D_
[動]_x000D_
擊、敲。《後漢書．卷八二．方術列傳上．段翳》：「生到葭萌，與吏爭度，津吏檛破從者頭。」</t>
  </si>
  <si>
    <t>髽</t>
  </si>
  <si>
    <t>[名]
參見「髽髻」條。
[動]
古代婦女在守喪期間把麻布加在頭髮裡挽成髻。《左傳．襄公四年》：「國人逆喪者皆髽，魯於是乎始髽。」《儀禮．士喪禮》：「婦人髽于室。」</t>
  </si>
  <si>
    <t>ㄓㄨㄚˇ</t>
  </si>
  <si>
    <t>zhuǎ</t>
  </si>
  <si>
    <t>參見「爪子」條。</t>
  </si>
  <si>
    <t>(一)ㄓㄠˇ zhǎo（07713）</t>
  </si>
  <si>
    <t>卓</t>
  </si>
  <si>
    <t>ㄓㄨㄛ</t>
  </si>
  <si>
    <t>zhuō</t>
  </si>
  <si>
    <t>[名]
桌子、几案。同「桌」。宋．史繩祖《學齋佔畢．卷二．飲食衣服今皆變古》：「蓋其席地而坐，不設椅卓，即古之設筵敷席也。」《金史．卷三三．禮志六》：「俟有司置香案酒卓訖。」</t>
  </si>
  <si>
    <t>(一)ㄓㄨㄛˊ zhuó（08035）</t>
  </si>
  <si>
    <t>桌</t>
  </si>
  <si>
    <t>[名]
1.可放東西或用來讀書、吃飯的家具。如：「餐桌」、「書桌」。
2.量詞。計算菜餚、酒席、賓客等的單位。如：「五桌菜」、「兩桌酒席」、「三桌客人」。</t>
  </si>
  <si>
    <t>[名]
可放置東西的家具。同「桌」。如：「方棹」、「圓棹」。</t>
  </si>
  <si>
    <t>(一)ㄓㄠˋ zhào（07725）</t>
  </si>
  <si>
    <t>捉</t>
  </si>
  <si>
    <t>[動]
1.握住、拿。如：「捉襟見肘」。南朝宋．劉義慶《世說新語．容止》：「自以形陋不足雄遠國，使崔季珪代，帝自捉刀立床頭。」
2.逮捕、抓住。如：「捕捉」、「活捉」、「捉賊」、「捕風捉影」、「貓捉老鼠」。
3.戲弄。如：「捉弄」。</t>
  </si>
  <si>
    <t>涿</t>
  </si>
  <si>
    <t>(一)ㄓㄨㄛˊ zhuó（08049A）</t>
  </si>
  <si>
    <t>勺</t>
  </si>
  <si>
    <t>ㄓㄨㄛˊ</t>
  </si>
  <si>
    <t>zhuó</t>
  </si>
  <si>
    <t>[名]
周公所制作的樂名。《禮記．內則》：「十有三年，學樂，誦詩，舞勺。」漢．鄭玄．注：「先學勺，後學象，文武之次也。」</t>
  </si>
  <si>
    <t>(一)ㄕㄠˊ sháo（08872）(三)ㄕㄨㄛˋ shuò（09115）</t>
  </si>
  <si>
    <t>汋</t>
  </si>
  <si>
    <t>[名]
水波激盪的聲音。《說文解字．水部》：「汋，激水聲也。」</t>
  </si>
  <si>
    <t>[名]
獨木橋。唐．李商隱〈和鄭愚贈汝陽王孫家箏妓二十韻〉：「長彴壓河心，白道連地尾。」宋．蘇軾〈同王勝之遊蔣山〉詩：「略彴橫秋水，浮圖插暮煙。」</t>
  </si>
  <si>
    <t>(二)ㄅㄛˊ bó（00071）</t>
  </si>
  <si>
    <t>灼</t>
  </si>
  <si>
    <t>[動]
1.炙、燒。如：「被火灼傷」。《國語．魯語下》：「如龜焉，灼其中，必文於外。」
2.照耀、照亮。清．徐珂《清稗類鈔．盜賊類．盜有徒為賊》：「偕僕掩門戶。以燭灼之，懼有野犬留廚下。」
[形]
1.明顯、明亮。如：「真知灼見」。《文選．曹植．洛神賦》：「遠而望之，皎若太陽升朝霞；迫而察之，灼若芙蕖出淥波。」
2.著急、急躁。如：「焦灼」。</t>
  </si>
  <si>
    <t>酌</t>
  </si>
  <si>
    <t>[動]
1.斟酒、飲酒。如：「對酌」、「小酌」。《詩經．周南．卷耳》：「我姑酌彼金罍，維以不永懷。」《文選．陶淵明．歸去來辭》：「引壺觴以自酌，眄庭柯以怡顏。」
2.商量、考慮。如：「酌情」、「商酌」。《左傳．成公六年》：「子為大政，將酌於民者也。」南朝梁．劉勰《文心雕龍．神思》：「積學以儲寶，酌理以富才。」
[名]
1.酒席、宴會。如：「喜酌」、「敬備菲酌」。《文選．鮑照．翫月城西門解中詩》：「迴軒駐輕蓋，留酌待情人。」
2.酒。如：「清酌」。唐．王勃〈聖泉宴〉詩：「蘭氣熏山酌，松聲韻野弦。」
3.《詩經．周頌》的篇名。共一章。根據〈詩序〉：「〈酌〉，告成大武也。言能酌先主之道，以養天下也。」指歌頌武王之詩。本章二句為：「於鑠王師，遵養時晦。」</t>
  </si>
  <si>
    <t>拙</t>
  </si>
  <si>
    <t>[形]
1.愚笨、不靈活。如：「笨拙」、「手拙」、「弄巧成拙」。
2.謙稱自己的。如：「拙見」、「拙作」、「拙計」。
3.古樸的、未加修飾的。如：「古拙」、「樸拙」。</t>
  </si>
  <si>
    <t>茁</t>
  </si>
  <si>
    <t>[形]
1.草木初生的樣子。《說文解字．艸部》：「茁，艸初生出地貌。」《詩經．召南．騶虞》：「彼茁者葭，壹發五豝。」唐．孔穎達．正義：「謂草生茁茁然出。」
2.成長。參見「茁壯」條。</t>
  </si>
  <si>
    <t>[形]
高超獨特。如：「卓越」、「卓見」。
[副]
挺立出眾的樣子。如：「卓然而立」。《論語．子罕》：「如有所立，卓爾。」
[名]
姓。如漢代有卓茂。</t>
  </si>
  <si>
    <t>(二)ㄓㄨㄛ zhuō（08024）</t>
  </si>
  <si>
    <t>倬</t>
  </si>
  <si>
    <t>[形]
大而顯著。《詩經．大雅．雲漢》：「倬彼雲漢，昭回於天。」唐．李德裕〈幽州紀聖功碑銘並序〉：「倬哉！天地應而品物生，君臣應而功業成。」</t>
  </si>
  <si>
    <t>啅</t>
  </si>
  <si>
    <t>[擬]
形容鳥鳴聲。明．張自烈《正字通．口部》：「啅，鳥雀鳴聲。」
[形]
喧鬧的、聒噪的。唐．杜甫〈落日〉詩：「啅雀爭枝墜，飛蟲滿院遊。」</t>
  </si>
  <si>
    <t>焯</t>
  </si>
  <si>
    <t>[形]
光明、顯明。同「灼」。如：「焯燦」、「焯見」。
[動]
照耀。晉．庾闡〈弔賈生文〉：「煥乎若望舒燿景而焯群星，矯乎若翔鸞拊翼而逸宇宙也。」</t>
  </si>
  <si>
    <t>趠</t>
  </si>
  <si>
    <t>[動]
1.遠走。《說文解字．走部》：「趠，遠也。」《晉書．卷九二．文苑傳．曹毗傳》：「游不踐綽約之室，趠不希騄駬之蹤。」
2.跳躍。《文選．左思．吳都賦》：「狖鼯猓然，騰趠飛超。」《南齊書．卷四一．張融傳》：「雕隼飛而未半，鯤龍趠而不逮。」</t>
  </si>
  <si>
    <t>(二)（又音）ㄔㄠˋ chào（08312）</t>
  </si>
  <si>
    <t>踔</t>
  </si>
  <si>
    <t>[動]
超越。《集韻．去聲．嘯韻》：「踔，越也。」《後漢書．卷六〇下．蔡邕傳》：「踔宇宙而遺俗兮，眇翩翩而獨征。」
[形]
高遠的、卓然特立的。《漢書．卷八一．孔光傳》：「非有踔絕之能，不相踰越。」</t>
  </si>
  <si>
    <t>叕</t>
  </si>
  <si>
    <t>[動]
聯、綴。《說文解字．叕部》：「叕，綴聯也。」
[形]
短淺。《淮南子．人間》：「聖人之思脩，愚人之思叕。」</t>
  </si>
  <si>
    <t>畷</t>
  </si>
  <si>
    <t>[名]
田間的小路。《廣韻．入聲．薛韻》：「畷，田間道。」《文選．左思．吳都賦》：「其四野則畛畷無數，膏腴兼倍。」</t>
  </si>
  <si>
    <t>罬</t>
  </si>
  <si>
    <t>[名]
古代一種附有機關的捕鳥網具。《說文解字．网部》：「罬，捕鳥覆車也。」《紅樓夢》第七八回：「孰料鳩鴆其高，鷹鷙翻遭罦罬。」</t>
  </si>
  <si>
    <t>斫</t>
  </si>
  <si>
    <t>[動]
1.以刀斧砍削。《說文解字．斤部》：「斫，擊也。」清．段玉裁．注：「擊者，攴也。凡斫木、斫地、斫人，皆曰斫矣。」《文選．枚乘．七發》：「龍門之桐，高百尺而無枝……使琴摯斫斬以為琴。」
2.襲擊。《三國志．卷五五．吳書．甘寧傳》：「至二更時，銜枚出斫敵。」</t>
  </si>
  <si>
    <t>斮</t>
  </si>
  <si>
    <t>[動]
1.砍斷、斬斷。《說文解字．斤部》：「斮，斬也。」《書經．泰誓下》：「斮朝涉之脛。」《楚辭．東方朔．七諫．怨世》：「悲楚人之和氏兮，獻寶玉以為石，遇厲武之不察兮，羌兩足以畢斮。」
2.削除魚鱗。《爾雅．釋器》：「魚曰斮之。」晉．郭璞．注：「謂削鱗也。」</t>
  </si>
  <si>
    <t>斲</t>
  </si>
  <si>
    <t>[名]
斧頭。《左傳．成公二年》：「孟孫請往賂之，以執斲、執鍼、織紝皆百人。」
[動]
1.砍、削木。《莊子．天道》：「輪扁斲輪於堂下。」《史記．卷一二二．酷吏傳．序》：「漢興，破觚而為圜，斲雕而為朴。」
2.雕飾。《淮南子．本經》：「木工不斲，金器不鏤。」</t>
  </si>
  <si>
    <t>浞</t>
  </si>
  <si>
    <t>沾溼。《說文解字．水部》：「浞，濡也。」</t>
  </si>
  <si>
    <t>[動]
刺。《集韻．入聲．覺韻》：「捔，刺也。」《文選．張衡．西京賦》：「义蔟之所攙捔，徒博之所撞㧙。」</t>
  </si>
  <si>
    <t>(一)ㄐㄩㄝˊ jué（06086）</t>
  </si>
  <si>
    <t>[名]
梁上的短柱。如：「山節藻梲」。北齊．顏之推《顏氏家訓．勉學》：「問其造屋，不必知楣橫而梲豎也。」《聊齋志異．卷七．金和尚》：「前有廳事，梁楹節梲，繪金碧，射人眼。」</t>
  </si>
  <si>
    <t>(二)ㄊㄨㄛ tuō（02805）</t>
  </si>
  <si>
    <t>參見「涿鹿」、「涿郡」等條。</t>
  </si>
  <si>
    <t>(二)（又音）ㄓㄨㄛ zhuō（08028）</t>
  </si>
  <si>
    <t>啄</t>
  </si>
  <si>
    <t>[動]
鳥類用嘴取食。如：「啄食」、「啄米」。
[名]
1.鳥嘴。《韓詩外傳》卷七：「鳥之美羽勾啄者，鳥畏之。」
2.一種書法筆法。用筆時由右斜向左的一短撇，為永字八法中的第七筆法。</t>
  </si>
  <si>
    <t>琢</t>
  </si>
  <si>
    <t>[動]
1.雕磨玉石。如：「琢磨」、「精雕細琢」。《禮記．學記》：「玉不琢，不成器。」
2.仔細推敲。唐．貫休〈寄匡山紀公〉詩：「寄言無別事，琢句似終身。」</t>
  </si>
  <si>
    <t>椓</t>
  </si>
  <si>
    <t>[名]
古代割去男子生殖器的刑法。即宮刑。《書經．呂刑》：「殺戮無辜，爰始淫為劓、刵、椓、黥。」
[動]
1.擊、砍、敲。《詩經．周南．兔罝》：「肅肅兔罝，椓之丁丁。」《文選．班昭．東征賦》：「諒不登樔而椓蠡兮，得不陳力而相追。」
2.告訴。《左傳．哀公十七年》：「衛侯辭以難，大子又使椓之。」</t>
  </si>
  <si>
    <t>諑</t>
  </si>
  <si>
    <t>[名]
讒言、謠言。《楚辭．屈原．離騷》：「眾女嫉余之娥眉兮，謠諑謂余以善淫。」漢．王逸．注：「諑，猶譖也。」</t>
  </si>
  <si>
    <t>[動]
1.穿上。《樂府詩集．卷七三．雜曲歌辭十三．古辭．焦仲卿妻》：「著我繡裌裙，事事四五通。」唐．李白〈上元夫人〉詩：「裘披青毛錦，身著赤霜袍。」
2.附、接觸。如：「附著」。《國語．晉語四》：「今戾久矣，戾久將底。底著滯淫，誰能興之？」《文選．宋玉．登徒子好色賦》：「著粉則太白，施朱則太赤。」
3.及、到。如：「著陸」。《三國志．卷二六．魏書．田豫傳》：「賊還，果遇惡風，船皆觸山沉沒，波蕩著岸。」唐．沈佺期〈雜詩〉三首之二：「妾家臨渭北，春夢著遼西。」
4.開花或結果。唐．王維〈雜詩〉三首之二：「來日綺窗前，寒梅著花未？」宋．蘇軾〈周教授索枸杞因以詩贈錄呈廣倅蕭大夫〉詩：「春根夏苗秋著子，盡付天隨恥充腹。」
5.命令、差使。元．王實甫《西廂記．第四本．第二折》：「我著你但去處行監坐守，誰著你迤逗的胡行亂走？」《西遊記》第一三回：「接至裡面供給了，著僧綱請往福原等安歇。」
[名]
1.下棋行子。如：「棋高一著」。
2.處事的方法、計策。如：「失著」、「無著」。
3.事情的歸宿。如：「著落」。</t>
  </si>
  <si>
    <t>(一)ㄓㄨˋ zhù（08011）(三)ㄓㄠˊ zháo（07712）(四)ㄓㄠ zhāo（07709）(五)˙ㄓㄜ zhe（07689）</t>
  </si>
  <si>
    <t>禚</t>
  </si>
  <si>
    <t>[名]
地名。春秋時齊邑。故地約在今大陸地區山東省長清縣境。</t>
  </si>
  <si>
    <t>濁</t>
  </si>
  <si>
    <t>[形]
1.骯髒、不清潔。如：「汙濁」、「混濁不清」。
2.昏亂、混亂。《楚辭．屈原．漁父》：「舉世皆濁我獨清，眾人皆醉我獨醒。」《史記．卷七六．平原君虞卿傳．太史公曰》：「平原君，翩翩濁世之佳公子也，然未睹大體。」
3.平凡、庸俗。元．馬致遠《黃粱夢》第四折：「你不是凡胎濁骨，迷本性人間受苦。」清．洪昇《長生殿》第一一齣：「想我濁質凡姿，今夕得到月府，好僥倖也！」
4.低沉粗重。如：「濁聲濁氣」、「聲音重濁」。《遼史．卷五四．樂志》：「皆從濁至清，迭更其聲，下益濁，上益清。」
[名]
1.畢星的別名。《爾雅．釋天》：「濁謂之畢。」《史記．卷二五．律書》：「北至於濁。濁者，觸也，言萬物皆觸死也，故曰濁。」
2.姓。如漢代有濁賢。</t>
  </si>
  <si>
    <t>[動]
鳥啄食。同「啄」。《戰國策．楚策四》：「黃雀因是以俯噣白粒，仰棲茂樹，鼓翅奮翼。」</t>
  </si>
  <si>
    <t>(一)ㄓㄡˋ zhòu（07767）</t>
  </si>
  <si>
    <t>斀</t>
  </si>
  <si>
    <t>[名]_x000D_
古代割去男子生殖器的刑法。即宮刑。《說文解字．攴部》：「斀，去陰之刑。」</t>
  </si>
  <si>
    <t>鐲</t>
  </si>
  <si>
    <t>[名]
1.戴在手腕上的環形裝飾品。如：「玉鐲」、「手鐲」。俗稱為「鐲子」。
2.樂器名，打擊樂器。古代行軍時用以節制隊伍行進步伐的樂器。《周禮．地官．鼓人》：「以金鐲節鼓。」漢．鄭玄．注：「鐲，鉦也。形如小鐘，軍行鳴之，以為鼓節。」</t>
  </si>
  <si>
    <t>濯</t>
  </si>
  <si>
    <t>[動]
洗滌、清洗。《孟子．離婁上》：「滄浪之水清兮，可以濯我纓，滄浪之水濁兮，可以濯我足。」宋．周敦頤〈愛蓮說〉：「予獨愛蓮之出淤泥而不染，濯清漣而不妖。」
[形]
參見「濯濯」條。</t>
  </si>
  <si>
    <t>擢</t>
  </si>
  <si>
    <t>[動]
1.拔取、抽取。宋．蘇軾〈惠州李氏潛珍閣銘〉：「蔚鵞城之南麓，擢仙李之芳根。」
2.提拔、選用。《戰國策．燕策二》：「先王過舉，擢之乎賓客之中，而立之乎群臣之上。」《文選．李密．陳情表》：「過蒙拔擢，寵命優渥。」
3.聳起。《文選．張衡．西京賦》：「徑百常而莖擢。」唐．韓愈、孟郊〈納涼聯句〉：「熙熙炎光流，竦竦高雲擢。」
4.賺取。《醉醒石》第八回：「他在禮部前，見人與人寫扇兒擢錢，他也去寫，不弱於人。」</t>
  </si>
  <si>
    <t>穛</t>
  </si>
  <si>
    <t>[名]
早熟的穀類。《廣韻．入聲．覺韻》：「穛，早熟穀。」《禮記．內則》：「飯：黍稷，稻粱，白黍，黃粱，稰穛。」漢．鄭玄．注：「孰穫曰稰，生穫曰穛。」</t>
  </si>
  <si>
    <t>[名]
繫在箭尾的絲繩，隨箭射出後，便於尋找獵物或回收箭枝。《孟子．告子上》：「一心以為有鴻鵠將至，思援弓繳而射之。」唐．崔塗〈孤雁〉詩二首之二：「未必逢矰繳，孤飛自可疑。」</t>
  </si>
  <si>
    <t>(一)ㄐㄧㄠˇ jiǎo（05669）</t>
  </si>
  <si>
    <t>[擬]
1.形容下雨的聲音。唐．貫林〈酷吏詞〉：「霰雨灂灂，風吼如斸。」
2.形容波浪激盪的聲音。《文選．郭璞．江賦》：「砯巖鼓作，漰湱澩灂。」</t>
  </si>
  <si>
    <t>(二)ㄐㄧㄠˇ jiǎo（05687）</t>
  </si>
  <si>
    <t>鷟</t>
  </si>
  <si>
    <t>參見「鸑鷟」條。</t>
  </si>
  <si>
    <t>拽</t>
  </si>
  <si>
    <t>ㄓㄨㄞ</t>
  </si>
  <si>
    <t>zhuāi</t>
  </si>
  <si>
    <t>[動]
用力投擲。如：「把球拽過去。」
[形]
胳膊受傷或有毛病而無法靈活伸動的樣子。如：「他的胳膊拽了。」</t>
  </si>
  <si>
    <t>(一)（語音）ㄓㄨㄞˋ zhuài（08068）(二)（讀音）ㄧㄝˋ yè（10757）</t>
  </si>
  <si>
    <t>跩</t>
  </si>
  <si>
    <t>ㄓㄨㄞˇ</t>
  </si>
  <si>
    <t>zhuǎi</t>
  </si>
  <si>
    <t>[動]
搖晃不穩、一搖一擺的走路。如：「鴨跩鵝行」。
[形]
得意忘形的樣子。如：「他一有了錢，就好跩喲！」</t>
  </si>
  <si>
    <t>ㄓㄨㄞˋ</t>
  </si>
  <si>
    <t>zhuài</t>
  </si>
  <si>
    <t>[動]
1.拖拉。如：「拽車」、「生拉硬拽」、「拽著不放」。《封神演義》第一六回：「一把拽住那人，就往河裡跑。」
2.牽引。元．關漢卿《魯齋郎》第二折：「我拽滿彈弓，誰想落下彈子來打著張珪家小的，將我千般毀罵。」</t>
  </si>
  <si>
    <t>(二)（讀音）ㄧㄝˋ yè（10757）(三)ㄓㄨㄞ zhuāi（08066）</t>
  </si>
  <si>
    <t>隹</t>
  </si>
  <si>
    <t>ㄓㄨㄟ</t>
  </si>
  <si>
    <t>zhuī</t>
  </si>
  <si>
    <t>[名]
1.短尾鳥的總稱。《說文解字．隹部》：「隹，鳥之短尾總名也。」
2.二一四部首之一。</t>
  </si>
  <si>
    <t>椎</t>
  </si>
  <si>
    <t>[名]
1.敲打東西的器具。如：「鐵椎」。《淮南子．說林》：「椎固有柄，不能自椓」。
2.脊椎骨。參見「椎骨」條。
[動]
搥打、敲擊。《史記．卷七七．魏公子傳》：「椎殺晉鄙。」唐．柳宗元〈段太尉逸事狀〉：「輒奮擊折人手足，椎釜鬲甕盎盈道上」
[形]
樸實笨拙。明．方孝孺〈與采苓先生書〉：「某質性椎鈍，學不篤專，行能無所可取。」</t>
  </si>
  <si>
    <t>(二)（又音）ㄔㄨㄟˊ chuí（08609）</t>
  </si>
  <si>
    <t>錐</t>
  </si>
  <si>
    <t>[名]
1.用來鑽孔的尖銳器具。如：「鋼錐」、「利錐」。也稱為「錐子」。
2.尖銳似錐形的東西。如：「冰錐」、「圓錐體」。
[動]
用錐刺。明．袁宏道〈徐文長傳〉：「或以利錐錐其兩耳，深入寸餘。」</t>
  </si>
  <si>
    <t>騅</t>
  </si>
  <si>
    <t>[名]
1.毛色蒼白相雜的馬。《爾雅．釋畜》：「蒼白雜毛，騅。」《詩經．魯頌．駧》：「有騅有駓，有騂有騏。」《史記．卷七．項羽本紀》：「力拔山兮氣蓋世，時不利兮騅不逝。」
2.姓。如晉代有騅歂。</t>
  </si>
  <si>
    <t>鵻</t>
  </si>
  <si>
    <t>[名]
古書上的一種鳥。《廣韻．平聲．脂韻》：「鵻，鳥名。」《詩經．小雅．四牡》：「翩翩者鵻，載飛載下，集于苞栩。」</t>
  </si>
  <si>
    <t>[動]
1.跟在後面或由後面趕上去。如：「追隨」、「追趕」、「急起直追」。
2.事後補救。《文選．陶淵明．歸去來辭》：「悟以往之不諫，知來者之可追。」
3.尋求、索還。如：「追贓」、「追債」。
4.戀愛求偶。如：「他追張小姐追了三年，終於得償夙願，結為連理。」
[副]
回溯已往。如：「追悼」、「追憶」、「追念」。</t>
  </si>
  <si>
    <t>(二)ㄉㄨㄟ duī（02349）</t>
  </si>
  <si>
    <t>惴</t>
  </si>
  <si>
    <t>ㄓㄨㄟˋ</t>
  </si>
  <si>
    <t>zhuì</t>
  </si>
  <si>
    <t>[形]
憂慮、恐懼。《說文解字．心部》：「惴，憂懼也。」如：「惴懼」、「惴畏」。《孟子．公孫丑上》：「自反而不縮，雖褐寬博，吾不惴焉。」《新唐書．卷一六七．裴延齡傳》：「時大旱，人情愁惴。」
[名]
參見「惴耎」條。</t>
  </si>
  <si>
    <t>膇</t>
  </si>
  <si>
    <t>[名]
一種腳浮腫的病。《玉篇．肉部》：「膇，重膇，腿病也。」《左傳．成公六年》：「於是乎有沉溺重膇之疾。」</t>
  </si>
  <si>
    <t>縋</t>
  </si>
  <si>
    <t>[動]
以繩索懸綁物體往下墜送。《說文解字．糸部》：「縋，以繩有所縣也。」《左傳．僖公三十年》：「夜縋而出。」唐．劉禹錫〈機汲記〉：「及泉而修綆下縋，盈器而圓軸上引。」</t>
  </si>
  <si>
    <t>綴</t>
  </si>
  <si>
    <t>[動]
1.縫補。《說文解字．叕部》：「綴，合箸也。」清．段玉裁．注：「聯之以絲也。」《禮記．內則》：「衣裳綻裂，紉箴請補綴。」
2.連結。如：「連綴」、「綴句」。《文選．張衡．西京賦》：「左有崤函重險，桃林之塞，綴以二華。」
3.裝飾。如：「點綴」。《文選．曹植．七啟》：「飾以文犀，雕以翠綠，綴以驪龍之珠，錯以荊山之玉。」</t>
  </si>
  <si>
    <t>錣</t>
  </si>
  <si>
    <t>[名]
1.針。《玉篇．金部》：「錣，針也。」
2.馬鞭前端用來刺馬的鐵針。《淮南子．道應》：「倒杖策，錣上貫頤。」漢．高誘．注：「策，馬捶。端有針，以刺馬，謂之錣。」
3.用來計數的籌碼、工具。《管子．國蓄》：「且君引錣量用，耕田發草，上得其數矣。」</t>
  </si>
  <si>
    <t>餟</t>
  </si>
  <si>
    <t>[動]
1.設壇祭諸神。《史記．卷一二．孝武本紀》：「其下四方地，為餟食群神從者及北斗云。」唐．張守節．正義：「劉伯莊云：『謂繞壇設諸神祭座相連綴也。』」
2.祭時以酒澆地。亦可指祭祀。北齊．顏之推《顏氏家訓．終制》：「親友來餟酹者，一皆拒之。」
3.飲、喝。通「啜」。漢．荀悅《前漢紀．卷八．教皇帝紀下》：「吾每餟食，意未嘗不在鉅鹿下也。」</t>
  </si>
  <si>
    <t>墜</t>
  </si>
  <si>
    <t>[動]
1.掉落、落下。如：「墜落」、「搖搖欲墜」。
2.喪失。《書經．君奭》：「殷既墜厥命，我有周既受。」《漢書．卷五一．鄒陽傳》：「雖墜言於吳，非其正計也。」
[名]
垂懸的飾品。如：「耳墜」、「扇墜」。</t>
  </si>
  <si>
    <t>贅</t>
  </si>
  <si>
    <t>[動]_x000D_
抵押。《說文解字．貝部》：「贅，以物質錢。」《漢書．卷六四上．嚴朱吾丘主父徐嚴終王賈傳．嚴助》：「間者，數年歲比不登，民待賣爵贅子以接衣食。」_x000D_
[名]_x000D_
1.一種婚姻關係，指男子到女家成婚，並且成為女方家庭成員。如：「招贅」、「入贅」。《漢書．卷四八．賈誼傳》：「家貧子壯則出贅。」_x000D_
2.皮膚上的肉疙瘩。漢．劉熙《釋名．釋疾病》：「贅，屬也。橫生一肉，屬著體也。」唐．柳宗元〈天說〉：「人之血氣敗逆壅底，為癰、瘍、疣、贅、瘻、痔。」_x000D_
[形]_x000D_
多餘、沒有用處。如：「贅言」、「贅疣」、「贅肉」。</t>
  </si>
  <si>
    <t>ㄓㄨㄢ</t>
  </si>
  <si>
    <t>zhuān</t>
  </si>
  <si>
    <t>[副]
特地。同「專」。如：「耑送」、「耑達」。</t>
  </si>
  <si>
    <t>(一)ㄉㄨㄢ duān（02361）</t>
  </si>
  <si>
    <t>顓</t>
  </si>
  <si>
    <t>[形]
1.謹慎的樣子。《說文解字．頁部》：「顓，頭顓顓謹貌。」
2.蒙昧、膽怯。《淮南子．覽冥》：「猛獸食顓民，鷙鳥攫老弱。」
[動]
專、擅。通「專」。《漢書．卷六七．梅福傳》：「至元始中，王莽顓政。」
[名]
姓。如古時有顓臾。</t>
  </si>
  <si>
    <t>專</t>
  </si>
  <si>
    <t>[形]
1.集中心志、一心一意。如：「專注」。《孟子．告子上》：「今夫奕之為數，小數也，不專心致志，則不得也。」
2.單獨的。如：「專利」、「專美」。
3.特別的。如：「專長」、「專案」。
[動]
獨占、把持。如：「專政」。《左傳．莊公十年》：「衣食所安，弗敢專也，必以分人。」《漢書．卷六八．霍光傳》：「光專權自恣。」
[副]
1.特地。如：「限時專送」。
2.單獨的。如：「專精」、「專攻」。
[名]
姓。如春秋時吳國有專諸。</t>
  </si>
  <si>
    <t>[副]
獨斷。通「專」。《荀子．榮辱》：「信而不見敬者，好剸行也。」</t>
  </si>
  <si>
    <t>(一)ㄊㄨㄢˊ tuán（02853）</t>
  </si>
  <si>
    <t>嫥</t>
  </si>
  <si>
    <t>[形]
1.專一。《說文解字．女部》：「嫥，壹也。」清．段玉裁．注：「凡嫥壹字，古如此作，今則專行而嫥廢矣。」
2.可愛。《玉篇．女部》：「嫥，可愛之貌。」</t>
  </si>
  <si>
    <t>膞</t>
  </si>
  <si>
    <t>[名]
鳥胃。《廣韻．平聲．仙韻》：「膞，鳥胃也。」</t>
  </si>
  <si>
    <t>磚</t>
  </si>
  <si>
    <t>[名]
1.以黏土燒製而成的長方形建築材料。如：「紅磚」、「瓷磚」、「水泥磚」。
2.磚形的物體。如：「茶磚」、「冰磚」、「金磚」。</t>
  </si>
  <si>
    <t>[名]
古代的一種占卜方法。《楚辭．屈原．離騷》：「索藑茅以筳篿兮，命靈氛為余占之。」漢．王逸．注：「楚人名結草折竹以卜曰篿。」唐．柳宗元〈天對〉：「折篿剡筳，午施旁豎。」</t>
  </si>
  <si>
    <t>(一)ㄊㄨㄢˊ tuán（02858）</t>
  </si>
  <si>
    <t>鱄</t>
  </si>
  <si>
    <t>[名]
古書上的一種魚。產於洞庭湖，味美。《呂氏春秋．孝行覽．本味》：「魚之美者，洞庭之鱄，東海之鮞。」</t>
  </si>
  <si>
    <t>竱</t>
  </si>
  <si>
    <t>ㄓㄨㄢˇ</t>
  </si>
  <si>
    <t>zhuǎn</t>
  </si>
  <si>
    <t>[動]
等、齊。《說文解字．立部》：「竱，等也。」清．段玉裁．注：「等者，齊簡也，故凡齊皆曰等。」《國語．齊語》：「比綴以度，竱本肇末。」</t>
  </si>
  <si>
    <t>轉</t>
  </si>
  <si>
    <t>[動]_x000D_
1.變換、改變。如：「轉學」、「轉敗為勝」、「由晴轉陰」。《紅樓夢》第二三回：「寶玉聽了，好似打了個焦雷，登時掃去興頭，臉上轉了顏色。」《文明小史》第三八回：「幸虧逢之為人很有閱歷，不像那初出學堂的學生一味蠻纏的，曉得意見不合，連忙轉過話風。」_x000D_
2.移動。《詩經．邶風．柏舟》：「我心匪石，不可轉也。」唐．杜甫〈八陣圖〉詩：「江流石不轉，遺恨失吞吳。」_x000D_
3.搖動、飄蕩。《樂府詩集．卷七三．雜曲歌辭一三．古辭．焦仲卿妻》：「四角龍子幡，婀娜隨風轉。」宋．王安石〈江寧夾口〉詩三首之一：「江清日暖蘆花轉，秖似春風柳絮時。」_x000D_
4.改換方向。如：「向右轉」、「向後轉」、「轉彎」。《楚辭．屈原．離騷》：「路不周以左轉兮，指西海以為期。」宋．辛棄疾〈西江月．明月別枝驚鵲〉詞：「舊時茅店社林邊，路轉溪橋忽見。」_x000D_
5.返回、回轉。《水滸傳》第一九回：「這幾個都是久慣做公的，四清六活的人，卻怎地也不曉事，如何不著一隻船轉來回報？」《西遊記》第四一回：「他見行者走了，卻纔收了火具，帥群妖，轉於洞內，閉了石門，以為得勝，著小的排宴奏樂，歡笑不題。」_x000D_
6.縈繞、纏繞。南朝梁．王僧孺〈侍宴〉詩：「散漫輕煙轉，霏微商雲散。」唐．溫庭筠〈博山〉詩：「粉蝶團飛花轉影，彩鴛雙泳水生紋。」明．邵璨《香囊記》第三七齣：「我終日裡愁腸九轉，到如今尺素空傳，越教人中心慘然。」_x000D_
7.運輸。《漢書．卷六九．趙充國辛慶忌傳．趙充國》：「今久轉運煩費，傾我不虞之用以澹一隅，臣愚以為不便。」唐．杜甫〈昔遊〉詩：「吳門轉粟帛，泛海陵蓬萊。」_x000D_
8.販賣、出售。《醒世恆言．卷三六．黃秀才徼靈玉馬墜》：「他既不肯接客，留之何益！倘若三不知，做出把戲，倒是老大利害，不如轉貨與人，另尋一個罷！」《儒林外史》第二〇回：「他不管娘子肯與不肯，竟託書店裡人把房子轉了，拿了銀子回來。」_x000D_
9.拋棄。《孟子．梁惠王下》：「凶年饑歲，君之民，老弱轉乎溝壑，壯者散而之四方者，幾千人矣。」《淮南子．主術》：「故生無乏用，死無轉尸。」_x000D_
10.誦讀。《周書．卷四六．孝義列傳．張元》：「遂請七僧，然七燈，七日七夜，轉《藥師經》行道。」《說郛．卷五七下．劉程之》：「程之飲，水甘美。及寤，猶覺異香，發於毛孔。乃自慰曰：『吾淨土之緣至矣。』復請僧轉《法華經》近數百遍。」_x000D_
11.辯解。如：「你這話未免轉得太硬了。」_x000D_
[名]_x000D_
1.詩文章法結構的用語。如：「起、承、轉、合」。明．李東陽《懷麓堂詩話》：「律詩起承轉合，不為無法，但不可泥，泥於法而為之，則撐拄對待，四方八角，無圓活生動之意。」《紅樓夢》第四八回：「不過是起承轉合，當中承轉是兩副對子，平聲對仄聲，虛的對虛的，實的對實的。」_x000D_
2.書法用筆的轉折迴旋。唐．孫過庭《書譜》：「轉謂鉤鐶盤紆之類是也。」宋．姜夔《續書譜．真書》：「轉折者，方圓之法，真多用折，草多用轉。」_x000D_
3.量詞：(1)功績每升一級為一轉。《新唐書．卷二．太宗本紀》：「二月甲午，從伐高麗無功者，皆賜勛一轉。」《樂府詩集．卷二五．橫吹辭曲五．古辭．木蘭詩二首之一》：「策勛十二轉，賞賜百千強。」(2)道士（家）煉丹的次數。唐．鄭壁〈和襲美傷顧道士〉詩：「空留華表千年約，纔畢丹爐九轉功。」元．楊訥《西游記》第九齣：「我盜了太上老君煉就金丹，九轉煉得銅筋鐵骨，火眼金睛。」_x000D_
[副]_x000D_
1.間接傳送。如：「轉交」、「轉送」、「現場實況轉播」。《西遊記》第二九回：「唐僧步行至廟門外，對閣門大使道：『有唐朝僧人，特來面駕，倒換文牒，乞為轉奏轉奏。』」《紅樓夢》第三回：「已修下薦書一封，轉託內兄，務為周旋協佐，方可少盡弟之鄙誠。」_x000D_
2.逐漸、更加。晉．陶淵明〈和劉柴桑〉詩：「谷風轉淒薄，春醪解饑劬。」《南史．卷三三．列傳．范泰》：「本未開史書，政恆覺其不可解耳。既造《後漢》，轉得統緒。」_x000D_
3.反而、反倒。《詩經．小雅．谷風》：「將恐將懼，維予與女。將安將樂，女轉棄予。」《西遊記》第二〇回：「行者舉棒，儘力一下，轉震得自己手疼。」</t>
  </si>
  <si>
    <t>(二)ㄓㄨㄢˋ zhuàn（08099）</t>
  </si>
  <si>
    <t>囀</t>
  </si>
  <si>
    <t>[動]
鳥鳴。北周．庾信〈春賦〉：「新年鳥聲千種囀，二月楊花滿路飛。」唐．沈佺期〈人日重宴大明宮賜綵縷人勝應制〉詩：「山鳥初來猶怯囀，林花未發已偷新。」</t>
  </si>
  <si>
    <t>瑑</t>
  </si>
  <si>
    <t>ㄓㄨㄢˋ</t>
  </si>
  <si>
    <t>zhuàn</t>
  </si>
  <si>
    <t>[名]
玉器上所雕刻的花紋。《說文解字．玉部》：「瑑，圭璧上起兆瑑也。」
[動]
在玉器上雕刻花紋。《漢書．卷五六．董仲舒傳》：「然則常玉不瑑，不成文章；君子不學，不成其德。」《新唐書．卷七六．后妃列傳上．楊貴妃》：「凡充錦繡官及冶瑑金玉者，大抵千人。」</t>
  </si>
  <si>
    <t>篆</t>
  </si>
  <si>
    <t>[名]
1.一種漢字書體。參見「篆書」條。如：「大篆」、「小篆」。
2.尊稱他人的名字。如：「臺篆」、「雅篆」。
3.印信。如：「接篆」。
[動]
1.用篆體字書寫。《舊唐書．卷一九〇．文苑傳下．李華傳》：「華嘗為魯山令元德秀墓碑，顏真卿書，李陽冰篆額，後人爭模寫之，號為『四絕碑』。」清．龔自珍〈己亥雜詩〉三一五首之一一：「君恩彀向漁樵說，篆墓何須百字長？」
2.刻鏤、銘刻。如：「篆刻」。《聊齋志異．卷二．阿寶》：「深情已篆中心。今已人禽異類，姻好何可復圓？」</t>
  </si>
  <si>
    <t>傳</t>
  </si>
  <si>
    <t>[名]_x000D_
1.驛站、客舍。《戰國策．齊策五》：「昔者趙氏襲衛，車舍人不休傳。」《後漢書．卷四六．郭陳列傳．陳寵》：「發人修道，繕理亭傳。」_x000D_
2.傳達命令的驛車或官府載人的馬車。《韓非子．喻老》：「天下有道無急患則曰靜，遽傳不用。」唐．李商隱〈籌筆驛〉詩：「徒令上將揮神筆，終見降王走傳車。」_x000D_
3.注釋或解釋經義的文字。如：《易傳》、《左傳》、《公羊傳》。明．歸有光〈陳處士妻王孺人墓誌銘〉：「有赫管彤，於昭汗青。子政作傳，元凱翼經。無微不顯，靡幽不呈。」_x000D_
4.記載某人一生事跡的文字。如：「小傳」、「自傳」。</t>
  </si>
  <si>
    <t>(一)ㄔㄨㄢˊ chuán（08625）</t>
  </si>
  <si>
    <t>縳</t>
  </si>
  <si>
    <t>[名]
白色細絹。《說文解字．糸部》：「縳，白鮮卮也。」《集韻．去聲．線韻》：「縳，雙縳，緻繒也，紡熟絲為之。」</t>
  </si>
  <si>
    <t>(二)ㄔㄨㄢˊ chuán（08626）</t>
  </si>
  <si>
    <t>[動]
1.依固定的軸環繞方向，循環不變。如：「轉圈兒」、「公轉」、「自轉」。
2.巡視、繞。如：「王警衛到牢房轉了一下，看看有無特殊狀況。」</t>
  </si>
  <si>
    <t>(一)ㄓㄨㄢˇ zhuǎn（08093）</t>
  </si>
  <si>
    <t>僎</t>
  </si>
  <si>
    <t>[形]
具備。《說文解字．人部》：「僎，具也。」</t>
  </si>
  <si>
    <t>撰</t>
  </si>
  <si>
    <t>[動]
1.著述。如：「撰文」、「撰稿」。
2.編纂。《文選．曹丕．與吳質書》：「頃撰其遺文，都為一集。」南朝梁．劉勰《文心雕龍．正緯》：「故知前世符命，歷代寶傳，仲尼所撰，序錄而已。」
[名]
1.才志、志趣。《論語．先進》：「鼓瑟希，鏗爾，舍瑟而作，對曰：『異乎三子者之撰。』」
2.天地、陰陽間變化的規律、定數。《易經．繫辭下》：「陰陽合德，而剛柔有體，以體天地之撰。」</t>
  </si>
  <si>
    <t>譔</t>
  </si>
  <si>
    <t>[動]
1.專心教導。《說文解字．言部》：「譔，專教也。」清．段玉裁．注：「專教者，專壹而教之也。」
2.著述。通「撰」。《禮記．祭統》：「銘者，論譔其先祖之有德善。」《漢書．卷八七．揚雄傳下》：「故人時有問雄者，常用法應之，譔以為十三卷，象『論語』，號曰『法言』。」</t>
  </si>
  <si>
    <t>饌</t>
  </si>
  <si>
    <t>[動]
1.準備、陳置食物。唐．杜甫〈病後遇王倚飲贈歌〉：「遣人向市賒香粳，喚婦出房親自饌。」
2.吃喝、飲用。《論語．為政》：「有酒食，先生饌。」
3.款待、招待。宋．沈括《夢溪筆談．卷二〇．神奇》：「時方饌客，掌書記朱炎在坐。」清．鄭珍〈江邊老叟〉詩：「路旁偶憩憶當時，主人饌我不受貲。」
[名]
泛指酒食菜餚。《儒林外史》第二回：「今日先生為甚麼不用肴饌？」</t>
  </si>
  <si>
    <t>篹</t>
  </si>
  <si>
    <t>[動]
1.著述、寫作。同「撰」。《漢書．卷三〇．藝文志》：「夫子既卒，門人相與輯而論篹，故謂之論語。」
2.陳設食物。同「饌」。《漢書．卷九八．元后傳》：「獨置孝元廟故殿以為文母篹食堂。」</t>
  </si>
  <si>
    <t>(二)ㄙㄨㄢˇ suǎn（10178）(三)ㄗㄨㄢˇ zuǎn（09640）</t>
  </si>
  <si>
    <t>賺</t>
  </si>
  <si>
    <t>[動]
獲得、贏得。如：「賺人熱淚」。《警世通言．卷一五．金令史美婢酬秀童》：「我也許過他二十兩銀子，只恨他沒本事賺我的錢。」
[名]
賺詞的簡稱。參見「賺詞」條。</t>
  </si>
  <si>
    <t>(二)ㄗㄨㄢˋ zuàn（09645）</t>
  </si>
  <si>
    <t>ㄓㄨㄣ</t>
  </si>
  <si>
    <t>zhūn</t>
  </si>
  <si>
    <t>[名]
1.困難、危難。《西遊記》第三七回：「你的災屯，想應天付，卻與我相類。」
2.《易經》卦名。六十四卦之一。震（☳）下坎（☵）上。象剛柔始交而難生之義。
3.姓。如漢代有屯莫。
[形]
參見「屯邅」條。
[動]
吝惜。《易經．屯卦．九五》：「屯其膏。」宋．蘇軾〈奏戶部拘收度牒狀〉：「不忍小臣惑誤執政，屯膏反汗，虧汙聖德，惜毫毛之費，致丘山之損。」</t>
  </si>
  <si>
    <t>(一)ㄊㄨㄣˊ tún（02869）(三)ㄔㄨㄣˊ chún（08636A）</t>
  </si>
  <si>
    <t>迍</t>
  </si>
  <si>
    <t>參見「迍邅」條。</t>
  </si>
  <si>
    <t>肫</t>
  </si>
  <si>
    <t>[名]
鳥類的胃。如：「雞肫」、「鴨肫」。
[形]
參見「肫肫」條。</t>
  </si>
  <si>
    <t>窀</t>
  </si>
  <si>
    <t>諄</t>
  </si>
  <si>
    <t>[動]
1.叮嚀告諭、懇切勸導。《說文解字．言部》：「諄，告曉之孰也。」《史記．卷一一七．司馬相如傳》：「厥之有章，不必諄諄。」
2.輔佐。《國語．晉語九》：「曾孫蒯聵以諄趙鞅之故，敢昭告于皇祖文王、烈祖康叔、文祖襄公、昭考靈公。」
[形]
1.誨人不倦的樣子。如：「諄諄教誨」。
2.忠誠、謹慎的樣子。唐．韓愈〈送惠師〉詩：「吾嫉惰遊者，憐子愚且諄。」</t>
  </si>
  <si>
    <t>衠</t>
  </si>
  <si>
    <t>[副]
1.真正。元．高文秀《遇上皇》第四折：「朝野裡誰人似俺，衠瞢懂愚濁痴憨。」元．孔文卿《東窗事犯》第四折：「古自想一夜夫妻百夜恩，說的夫人衠愁悶。」
2.儘、全。宋．秦觀〈品令．幸自得〉詞：「衠倚賴臉兒得人惜，放軟頑，道不得。」元．關漢卿《救風塵》第四折：「這廝家豪富，衠一味虛肚腸，不踏著實途路。」</t>
  </si>
  <si>
    <t>准</t>
  </si>
  <si>
    <t>ㄓㄨㄣˇ</t>
  </si>
  <si>
    <t>zhǔn</t>
  </si>
  <si>
    <t>[動]
1.允許。如：「准許」、「上課不准遲到。」
2.確定。如：「准於某日上任。」
3.依據。如：「准某部公函。」
4.比照。如：「准前例科罪。」
5.折算、相抵。元．關漢卿《竇娥冤．楔子》：「我有心看上他與我家做個媳婦，就准了這四十兩銀子，豈不兩得其便。」
[形]
類比的、將來的。通「準」。如：「准尉」。</t>
  </si>
  <si>
    <t>隼</t>
  </si>
  <si>
    <t>[名]_x000D_
動物名。一種鳥類。頭頸部有羽毛，外鼻孔方形，各爪下方有溝，尾為角尾、圓尾或楔。性情敏銳，飛行速度極快，獵人常養來幫助捕獵鳥兔。也稱為「鶻鴒」。</t>
  </si>
  <si>
    <t>準</t>
  </si>
  <si>
    <t>[形]
1.平。《說文解字．水部》：「準，平也。」清．段玉裁．注：「謂水之平也。天下莫平於水。」
2.將來的、即將成為的。如：「準新娘」、「準女婿」、「準博士」。
3.可作為法則的。如：「準則」。
[副]
1.正確、精確。如：「瞄準目標」、「猜得準」。
2.一定、肯定。如：「到時他準會來的！」
[動]
1.取法、仿效。《文選．左思．詠史詩八首之一》：「著論準過秦，作賦擬子虛。」《新唐書．卷八五．竇建德傳》：「始都樂壽，號金城宮，備百官，準開皇故事。」
2.預備。如：「準備」。
3.測量、衡量。《宋史．卷三三八．蘇軾傳》：「軾始至潁，遣吏以水平準之，淮之漲水高於新溝幾一丈。」
4.依照、比照。多用於文書中。如：「準用」。也作「准」。
[名]
1.古代測量水平的器具。《漢書．卷二一．律曆志上》：「準者，所以揆平取正也。」
2.法度、法則。如：「標準」。《漢書．卷六五．東方朔傳》：「以道德為麗，以仁義為準。」
3.箭靶、射的。如：「準的」。
4.鼻子。《史記．卷八．高祖本紀》：「高祖為人，隆準而龍顏。」清．紀昀《閱微草堂筆記．卷五．灤陽消夏錄五》：「所蓄犬，忽人立怒號，兩爪抱持齧婦面，裂其鼻準，併盲其一目。」</t>
  </si>
  <si>
    <t>純</t>
  </si>
  <si>
    <t>[動]
裝飾衣帽等物的邊緣。《韓非子．難二》：「賓胥無善削縫，隰朋善純緣。」《山海經．西山經》：「燭者百草之未灰，白蓆采等純之。」
[名]
衣服、鞋帽等的緣邊。《儀禮．士喪禮》：「夏葛屨，冬白屨，皆繶緇絇純組綦。」</t>
  </si>
  <si>
    <t>(一)ㄔㄨㄣˊ chún（08637）</t>
  </si>
  <si>
    <t>埻</t>
  </si>
  <si>
    <t>[名]
箭靶。同「準」。《廣韻．上聲．準韻》：「埻，射的。」</t>
  </si>
  <si>
    <t>訰</t>
  </si>
  <si>
    <t>ㄓㄨㄣˋ</t>
  </si>
  <si>
    <t>zhùn</t>
  </si>
  <si>
    <t>參見「訰訰」條。</t>
  </si>
  <si>
    <t>妝</t>
  </si>
  <si>
    <t>ㄓㄨㄤ</t>
  </si>
  <si>
    <t>zhuāng</t>
  </si>
  <si>
    <t>[名]_x000D_
1.婦女的容貌修飾。《樂府詩集．卷二五．橫吹曲辭五．古辭．木蘭詩二首之一》：「阿姊聞妹來，當戶理紅妝。」唐．杜甫〈新婚別〉詩：「羅襦不復施，對君洗紅妝。」_x000D_
2.修飾的模樣。如：「新娘妝」。唐．韓偓〈梅花〉詩：「龍笛遠吹胡地月，燕釵初試漢宮妝。」_x000D_
3.女子結婚時陪送的衣物等。如：「嫁妝」。《兒女英雄傳》第一三回：「那怎的個下茶、行聘、送妝、過門，都不及細說到了。」_x000D_
[動]_x000D_
婦女用脂粉修飾容貌。如：「妝扮」、「梳妝打扮」。宋．蘇軾〈飲湖上初晴後雨〉詩二首之二：「若把西湖比西子，淡妝濃抹總相宜。」</t>
  </si>
  <si>
    <t>莊</t>
  </si>
  <si>
    <t>[名]
1.田舍、村落。如：「村莊」、「農莊」、「王家莊」。
2.別墅。如：「陽明山莊」、「翡翠山莊」。
3.通達的大道。《文選．鮑照．蕪城賦》：「重江複關之隩，四會五達之莊。」
4.規模較大或做大宗買賣的商號。如：「布莊」、「錢莊」。
5.莊家的簡稱。賭局中輪流作主的人。如：「輪流坐莊」。
6.姓。如戰國時宋國有莊周。
[形]
嚴肅。如：「端莊」、「莊嚴肅穆」。</t>
  </si>
  <si>
    <t>裝</t>
  </si>
  <si>
    <t>[名]
1.行李、行囊。如：「行裝」、「整裝待發」。
2.衣服、服飾。如：「便裝」、「西裝」、「洋裝」、「古裝」。
3.書籍、字畫等的釘定樣式。如：「精裝」、「平裝」、「線裝」。
4.物品包裹、盛放的方式。如：「散裝」、「瓶裝」、「袋裝」、「罐裝」。
[動]
1.包裹。如：「包裝」。
2.修飾、打扮。通「妝」。如：「裝點」、「裝扮」。唐．杜甫〈後出塞〉詩五首之一：「千金買馬鞭，百金裝刀頭。」
3.假作。如：「偽裝」、「裝病」、「裝糊塗」、「不懂裝懂」。
4.配置、安放、安設。如：「安裝」、「裝設」。《三國演義》第一〇六回：「立砲架，裝雲梯，日夜攻打不息。」</t>
  </si>
  <si>
    <t>樁</t>
  </si>
  <si>
    <t>[名]
1.插入土中的木棒或石柱。如：「橋樁」、「打地樁」、「水泥樁」。也稱為「樁子」。
2.量詞。計算事情件數的單位。如：「小事一樁」、「這一樁事，就全拜託你了。」</t>
  </si>
  <si>
    <t>奘</t>
  </si>
  <si>
    <t>ㄓㄨㄤˇ</t>
  </si>
  <si>
    <t>zhuǎng</t>
  </si>
  <si>
    <t>[形]
北方方言。指物體高大健壯。如：「這棵樹很奘。」</t>
  </si>
  <si>
    <t>(一)ㄗㄤˋ zàng（09567）</t>
  </si>
  <si>
    <t>壯</t>
  </si>
  <si>
    <t>ㄓㄨㄤˋ</t>
  </si>
  <si>
    <t>zhuàng</t>
  </si>
  <si>
    <t>[形]
1.強盛、強健。《史記．卷一一一．衛將軍驃騎傳》：「右賢王驚，夜逃，獨與其愛妾一人、壯騎數百馳，潰圍北去。」
2.雄豪。如：「壯志」、「豪言壯語」。《漢書．卷六五．東方朔傳》：「拔劍割肉，壹何壯也！」
[動]
1.擴大。如：「壯大聲勢」、「借酒壯膽」。
2.讚許、欽服。唐．韓愈〈新修滕王閣記〉：「及得三王所為序賦記等，壯其文辭，益欲往一觀而讀之，以忘吾憂。」
[名]
1.人到三、四十歲的時期稱為「壯」。《禮記．曲禮上》：「人生十年曰幼學；二十曰弱冠；三十曰壯，有室。」
2.農曆八月的別名。參見「壯月」條。
3.姓。如春秋時晉國有壯馳茲。</t>
  </si>
  <si>
    <t>狀</t>
  </si>
  <si>
    <t>[名]
1.形態、容貌、樣子。如：「粉狀」、「奇形怪狀」。
2.情況。如：「現狀」、「慘狀」。《三國志．卷五四．吳書．魯肅傳》：「會瑜已徙肅母到吳，肅具以狀語瑜。」
3.功績、良好表現。《史記．卷二．夏本紀》：「行視鯀之治水無狀，乃殛鯀於羽山以死。」《漢書．卷四八．賈誼傳》：「自傷為傅無狀，常哭泣。」
4.敘述事實的文章。現通稱打官司的呈文。如：「行狀」、「訴狀」。《紅樓夢》第六八回：「著他寫一張狀子，只管往有司衙門中告去。」
5.獎勵或證明用的文書。如：「獎狀」、「委任狀」、「信用狀」。
[動]
陳述、描寫。如：「摹狀」。《莊子．德充符》：「自狀其過以不當亡者眾，不狀其過以不當存者寡。」南朝梁．劉勰《文心雕龍．物色》：「灼灼狀桃花之鮮，依依盡楊柳之貌。」</t>
  </si>
  <si>
    <t>&amp;8ff0._104_0.gif;</t>
  </si>
  <si>
    <t>[名]
中國少數民族之一。即壯族。參見「壯族」條。</t>
  </si>
  <si>
    <t>(一)ㄊㄨㄥˊ tóng（02897）</t>
  </si>
  <si>
    <t>撞</t>
  </si>
  <si>
    <t>[動]
1.敲打。如：「撞鐘」。
2.碰擊。如：「撞車」、「撞傷」、「相撞」。
3.爭執、起衝突。如：「那兩人一言不和，便衝撞起來了。」
4.碰巧遇到。如：「撞見」、「擇期不如撞期」。元．喬吉《金錢記》第二折：「我待要趕時，不想撞著哥哥賀知章。」</t>
  </si>
  <si>
    <t>(二)（讀音）ㄔㄨㄤˊ chuáng（08655）</t>
  </si>
  <si>
    <t>幢</t>
  </si>
  <si>
    <t>[名]
后妃舟車上形狀像車蓋的帷幔。《隋書．卷一〇．禮儀志五》：「其箱飾以翟羽，黃油幢黃裡。」</t>
  </si>
  <si>
    <t>(一)ㄔㄨㄤˊ chuáng（08657）</t>
  </si>
  <si>
    <t>[形]
痴愚、急躁、剛直。《荀子．大略》：「悍戇好鬥，似勇而非。」</t>
  </si>
  <si>
    <t>(二)（又音）ㄍㄤˋ gàng（04110）</t>
  </si>
  <si>
    <t>中</t>
  </si>
  <si>
    <t>ㄓㄨㄥ</t>
  </si>
  <si>
    <t>zhōng</t>
  </si>
  <si>
    <t>[名]
1.距離四方或兩端相等的部位。如：「居中」、「中央」、「日正當中」。
2.內、裡面。如：「水中」、「夢中」、「心中」。
3.泛指某一時期以內。如：「一年之中」、「晉太元中」。
4.中國的簡稱。如：「古今中外」。
5.姓。如漢代有中京。
[形]
1.居間介紹、連絡的。如：「中人」。
2.居於高低、大小、好壞之間的。如：「中級」、「中型」、「中等」。
3.半。如：「中夜」、「中途」。
[副]
1.正好。如：「適中」。
2.表示動作正在進行。如：「事情正在交涉中。」</t>
  </si>
  <si>
    <t>(二)ㄓㄨㄥˋ zhòng（08150）</t>
  </si>
  <si>
    <t>忠</t>
  </si>
  <si>
    <t>[名]
1.盡心誠意待人處事的美德。如：「盡忠職守」、「效忠」。《左傳．僖公九年》：「公家之利，知無不為，忠也。」
2.姓。如漢代有忠譚。
[動]
盡心做事。如：「忠君愛國」。</t>
  </si>
  <si>
    <t>盅</t>
  </si>
  <si>
    <t>[名]
1.沒有把手的小杯子。如：「茶盅」、「酒盅」。
2.量詞。計算盅裝液體的單位。如：「一盅好酒」。</t>
  </si>
  <si>
    <t>衷</t>
  </si>
  <si>
    <t>[名]
1.內衣，貼身衣物。《說文解字．衣部》：「衷，裹褻衣。」
2.內心。如：「言不由衷」、「無動於衷」。
3.心意、心事。如：「苦衷」、「互訴情衷」。
4.姓。如五代時南唐有衷愉。
[形]
真誠的、內心的。如：「衷心」、「衷情」。</t>
  </si>
  <si>
    <t>舯</t>
  </si>
  <si>
    <t>[名]
造船工程上專指船的中央部分。</t>
  </si>
  <si>
    <t>伀</t>
  </si>
  <si>
    <t>[名]
稱謂。用以尊稱丈夫的父親。漢．劉熙《釋名．釋親屬》：「俗或謂舅曰章，又曰伀。」
[動]
恐懼。《字彙．人部》：「伀，懼也。」</t>
  </si>
  <si>
    <t>忪</t>
  </si>
  <si>
    <t>[形]
心跳驚恐。《玉篇．心部》：「忪，心動不定，驚也。」</t>
  </si>
  <si>
    <t>(二)ㄙㄨㄥ sōng（10197）</t>
  </si>
  <si>
    <t>妐</t>
  </si>
  <si>
    <t>[名]
稱謂：(1)用以稱丈夫的哥哥。《玉篇．女部》：「妐，夫之兄也。」(2)用以稱丈夫的姊姊。《呂氏春秋．孝行覽．遇合》：「姑妐知之，曰：『為我婦而有外心，不可畜。』因出之。」《禮記．昏義》「和於室人」句下漢．鄭玄．注：「室人，謂女妐、女叔諸婦也。」唐．孔穎達．正義：「女妐謂婿之姊也，女叔謂婿之妹。」</t>
  </si>
  <si>
    <t>終</t>
  </si>
  <si>
    <t>[名]_x000D_
1.結局、最後的時刻。如：「年終」、「有始有終」、「自始至終」。_x000D_
死亡。如：「送終」、「善終」。_x000D_
2.姓。如漢代有終軍。_x000D_
[動]_x000D_
1.結束、完畢。如：「曲終人散」、「樂曲終了」。_x000D_
2.人死。宋．歐陽修〈瀧岡阡表〉：「太夫人以疾終于官舍，享年七十有二。」_x000D_
3.窮究、詳究。宋．朱熹《中庸章句》第一章：「其下十章，蓋子思引夫子之言，以終此章之義。」_x000D_
[形]_x000D_
1.從開始到末了一整段時間的。如：「終年」、「終日」、「終生」。_x000D_
2.最後的、最末的。如：「終點」、「終站」。_x000D_
[副]_x000D_
到底、總歸。如：「終究」、「終將結束」。</t>
  </si>
  <si>
    <t>蔠</t>
  </si>
  <si>
    <t>參見「蔠葵」條。</t>
  </si>
  <si>
    <t>螽</t>
  </si>
  <si>
    <t>[名]
古代蝗蟲一類的害蟲總稱為「螽」。</t>
  </si>
  <si>
    <t>潀</t>
  </si>
  <si>
    <t>[動]
小水流入大水。《說文解字．水部》：「潀，小水入大水曰潀。」
[名]
1.水流會合之處。《元史．卷六六．河渠志三》：「龍口者，水之所會，自新河入故道之潀也。」
2.急流。唐．李白〈送王屋山人魏萬還王屋〉詩：「鬼谷上窈窕，龍潭下奔潀。」</t>
  </si>
  <si>
    <t>鍾</t>
  </si>
  <si>
    <t>[名]
1.盛酒的器具。《說文解字．金部》：「鍾，酒器也。」唐．杜甫〈奉送魏六丈佑少府之交廣〉詩：「掌中琥珀鍾，行酒雙逶迤。」
2.量詞。古代計算容量的單位元。一鍾約等於六斛四斗。如：「千鍾粟」。
3.古樂器名。通「鐘」。參見「鐘」條。
4.姓。如南朝梁時有鍾嶸。
[動]
積聚。如：「一見鍾情」。唐．杜甫〈望嶽〉詩：「造化鍾神秀，陰陽割昏曉。」</t>
  </si>
  <si>
    <t>鐘</t>
  </si>
  <si>
    <t>[名]
1.樂器名，打擊樂器，金屬製。有圓形、合瓦形等形制。通「鍾」。
2.計時器。如：「時鐘」、「鬧鐘」。</t>
  </si>
  <si>
    <t>冢</t>
  </si>
  <si>
    <t>ㄓㄨㄥˇ</t>
  </si>
  <si>
    <t>zhǒng</t>
  </si>
  <si>
    <t>[名]
1.高大的墳墓。如：「野冢」、「英雄冢」。《史記．卷八．高祖本紀》：「項羽燒秦宮室，掘始皇帝冢。」
2.山頂。《詩經．小雅．十月之交》：「百川沸騰，山冢崒崩。」
3.封土祭祀地祇的地方。即「社」。參見「冢土」條。
[形]
居長的、居首的。參見「冢婦」、「冢息」、「冢宰」等條。</t>
  </si>
  <si>
    <t>塚</t>
  </si>
  <si>
    <t>[名]
墳墓。同「冢」。唐．李賀〈許公子鄭姬歌〉：「相如塚上生秋柏，三秦誰是言情客？」</t>
  </si>
  <si>
    <t>尰</t>
  </si>
  <si>
    <t>[名]
一種足部浮腫的疾病。《爾雅．釋訓》：「骭瘍為微，腫足為尰。」《詩經．小雅．巧言》：「既微且尰，爾勇伊何！」</t>
  </si>
  <si>
    <t>(二)（又音）ㄔㄨㄥˋ chòng（08683）</t>
  </si>
  <si>
    <t>腫</t>
  </si>
  <si>
    <t>[名]
毒瘡、癰疽。《後漢書．卷五五．章帝八王傳．濟北惠王壽傳》：「頭不枇沐，體生瘡腫。」
[形]
1.皮肉浮脹。如：「皮膚紅腫」、「他的眼睛腫得很厲害。」
2.粗大、肥胖。如：「身材臃腫」。</t>
  </si>
  <si>
    <t>種</t>
  </si>
  <si>
    <t>[名]
1.穀物瓜果的種子。如：「菜種」、「種籽」。《詩經．大雅．生民》：「誕降嘉種，維秬維秠，維穈維𦬊。」《晉書．卷四三．王戎傳》：「家有好李，常出貨之，恐人得種，恆鑽其核。」
2.人的族類。如：「白種人」、「黃種人」。《後漢書．卷八十七．西羌傳．東號子麻奴傳》：「詔拜前校尉馬賢為謁者，鎮撫諸種。」
3.生命的延續。如：「絕種」。
4.事物的類別。如：「兵種」、「種類」。《漢書．卷三六．楚元王劉交傳》：「歆乃集六藝群書，種別為《七略》。」
5.膽量或骨氣。如：「有種就別跑！」、「他做事非常帶種。」
6.生物學上的分類名稱。如：「界、門、綱、目、科、屬、種。」
7.量詞。計算人或事物的類別的單位。如：「兩種人」、「三種花色」、「各種情況」。</t>
  </si>
  <si>
    <t>(二)ㄓㄨㄥˋ zhòng（08153）</t>
  </si>
  <si>
    <t>踵</t>
  </si>
  <si>
    <t>[名]
1.腳後跟。《字彙．足部》：「踵，足跟。」《儀禮．士相見禮》：「執玉者則唯舒武，舉前曳踵。」
2.鞋後跟。《莊子．讓王》：「捉衿而肘見，納屨而踵決。」
[動]
1.追隨、跟隨。《左傳．昭公二十四年》：「吳踵楚，而疆場無備，邑能無亡乎？」
2.繼承、繼續。《楚辭．屈原．離騷》：「忽奔走以先後兮，及前王之踵武。」《文選．曹植．七啟》：「超隆平於殷周，踵羲皇而齊泰。」
3.登臨。《孟子．滕文公上》：「有為神農之言者許行，自楚之滕，踵門而告文公曰：『遠方之人，聞君行仁政，願受一廛而為氓。』」</t>
  </si>
  <si>
    <t>ㄓㄨㄥˋ</t>
  </si>
  <si>
    <t>zhòng</t>
  </si>
  <si>
    <t>[動]
1.達到要點。《論語．子路》：「刑罰不中，則民無所錯手足。」《漢書．卷一〇．成帝紀》：「朕涉道日寡，舉錯不中。」
2.合、正對上。如：「中規中矩」。《左傳．定公元年》：「未嘗不中吾志也。」《戰國策．西周策》：「去柳葉者百步而射之，百發百中。」
3.遭受、感染。如：「中風」、「中毒」。
4.得。如：「中獎」、「中籤」、「中選」。
5.考取。如：「范進中舉」、「考中大學」。《儒林外史》第二回：「這王大老爺，就是前科新中的。」</t>
  </si>
  <si>
    <t>(一)ㄓㄨㄥ zhōng（08130）</t>
  </si>
  <si>
    <t>仲</t>
  </si>
  <si>
    <t>[形]
1.位置居中的。如：「仲秋」、「仲夏」。《書經．堯典》：「日中星鳥，以殷仲春。」
2.兄弟排行，常用伯、仲、叔、季為序，仲是排行第二的。《儀禮．士冠禮》：「伯某甫，仲叔季，唯其所當。」漢．鄭玄．注：「伯仲叔季，長幼之稱。」
3.姓。如唐代有仲子陵。</t>
  </si>
  <si>
    <t>重</t>
  </si>
  <si>
    <t>[名]
物體或人體的分量。如：「物重」、「體重」。
[形]
1.物體的分量大。與「輕」相對。如：「這塊石頭比那塊木頭重。」
2.濃、厚。如：「口味重」、「顏色重」。《呂氏春秋．季春紀．盡數》：「凡食無彊厚味，無以烈味，重酒，是以謂之疾首。」
3.嚴峻的。如：「重刑」、「重罰」。
4.要緊的。如：「庫房重地」。
5.劇烈的。如：「重病」。
6.價值高的。如：「重酬」、「重器」。
[動]
1.比……為重。《文選．司馬遷．報任少卿書》：「人固有一死，或重於泰山，或輕於鴻毛。」
2.尊敬。如：「尊重」、「敬重」。
3.偏好。如：「重色輕友」。
4.增加。《呂氏春秋．季夏紀．制樂》：「今故興事動眾以增國城，是重吾罪也。」《漢書．卷四．文帝紀》：「今縱不能博求天下賢聖有德之人而嬗天下焉，而曰豫建太子，是重吾不德也。」
[副]
1.謹慎。如：「安土重遷」。《荀子．議兵》：「重用兵者強，輕用兵者弱。」《文選．司馬遷．報任少卿書》：「古人所以重施刑於大夫者，殆為此也。」
2.每每、屢次。《文選．司馬遷．報任少卿書》：「僕又佴之蠶室，重為天下觀笑。」唐．白居易〈渭村雨歸〉詩：「復茲夕陰起，野色重蕭條。」</t>
  </si>
  <si>
    <t>(二)ㄔㄨㄥˊ chóng（08680）</t>
  </si>
  <si>
    <t>[動]
1.把種子或秧苗的根埋在土裡，使其生長。如：「種樹」、「種花」、「種植」。
2.把疫苗注入人體內以預防疾病。如：「接種疫苗」、「種牛痘」。</t>
  </si>
  <si>
    <t>(一)ㄓㄨㄥˇ zhǒng（08148）</t>
  </si>
  <si>
    <t>眾</t>
  </si>
  <si>
    <t>[名]
許多的人。如：「群眾」、「觀眾」。《左傳．隱公四年》：「眾叛親離，難以濟矣。」
[形]
1.平凡的、普通的。如：「芸芸眾生」。《楚辭．屈原．漁父》：「眾人皆醉我獨醒。」
2.許多的。如：「眾多」。唐．杜甫〈望嶽〉詩：「會當凌絕頂，一覽眾山小。」</t>
  </si>
  <si>
    <t>粽</t>
  </si>
  <si>
    <t>(一)ㄗㄨㄥˋ zòng（09683）</t>
  </si>
  <si>
    <t>ㄔ</t>
  </si>
  <si>
    <t>chī</t>
  </si>
  <si>
    <t>[動]
1.口中咀嚼食物後嚥下。有時吸、飲液體也稱為「吃」。如：「吃飯」、「吃茶」、「吃藥」。
2.吸入、吸收。如：「吃煙」、「吃墨」。
3.下棋、玩牌時奪取對方的棋子或牌張。如：「抽車吃炮」、「吃掉老Ｋ」。
4.吞沒。如：「這貪官不知吃了多少民脂民膏！」、「我的儲蓄全給他吃了！」
5.沉入。用來說明船舶下沉於水面下程度的用語。如：「這船吃水多深？」
6.擔負。如：「吃重」、「吃不住」、「吃不消」。
7.捱、受。如：「吃驚」、「吃虧」、「吃官司」、「吃得苦中苦，方為人上人。」
8.理會、接納。如：「他軟硬不吃！」、「誰吃這一套！」
9.耗費。如：「吃力」。</t>
  </si>
  <si>
    <t>(二)ㄐㄧˊ jí（05358）</t>
  </si>
  <si>
    <t>杘</t>
  </si>
  <si>
    <t>參見「墨杘」條。</t>
  </si>
  <si>
    <t>哧</t>
  </si>
  <si>
    <t>郗</t>
  </si>
  <si>
    <t>[名]
1.地名。周朝的屬地，位於今大陸地區河南省沁陽縣境內。
2.姓。如漢代有郗慮。</t>
  </si>
  <si>
    <t>瓻</t>
  </si>
  <si>
    <t>[名]
1.盛酒的器具。《廣韻．平聲．脂韻》：「瓻，酒器，大者一石，小者五斗。」
2.量詞。計算瓻器容裝物的單位。《聊齋志異．卷一．賈兒》：「明日可取白酒一瓻來。」</t>
  </si>
  <si>
    <t>絺</t>
  </si>
  <si>
    <t>[名]
1.夏季服裝用的細布。《說文解字．糸部》：「絺，細葛也。」《詩經．周南．葛覃》：「為絺為綌，服之無斁。」
2.姓。如漢代有絺宗周。</t>
  </si>
  <si>
    <t>胵</t>
  </si>
  <si>
    <t>[名]
鳥獸的胃或內臟。《說文解字．肉部》：「胵，鳥膍胵也。……一曰胵，五藏總名也。」</t>
  </si>
  <si>
    <t>蚩</t>
  </si>
  <si>
    <t>[名]
1.一種蟲。《說文解字．虫部》：「蚩，蟲也。」
2.姓。如古時有蚩尤。
[動]
1.嘲笑。通「嗤」。《文選．阮籍．詠懷詩一七首之一一》：「乃誤羨門子，噭噭今自蚩。」
2.欺侮。《文選．張衡．西京賦》：「鬻良雜苦，蚩眩邊鄙。」
[形]
1.無知、痴笨。《後漢書．卷一一．劉盆子傳》：「兒大黠，宗室無蚩者。」
2.醜惡。通「媸」。漢．趙壹〈刺世疾邪賦〉：「榮納由於閃榆，孰知辨其蚩妍？」</t>
  </si>
  <si>
    <t>嗤</t>
  </si>
  <si>
    <t>[動]
譏笑。如：「嗤之以鼻」。《文選．古詩十九首．生年不滿百》：「愚者愛惜費，但為後世嗤。」
[擬]
1.形容笑的聲音。如：「嗤嗤的笑」。
2.形容撕紙的聲音。元．王實甫《西廂記．第三本．第一折》：「他可敢嗤嗤的扯做了紙條兒。」</t>
  </si>
  <si>
    <t>媸</t>
  </si>
  <si>
    <t>[形]
相貌醜陋。與「妍」相對。如：「求妍更媸」。</t>
  </si>
  <si>
    <t>眵</t>
  </si>
  <si>
    <t>[名]
眼睛的分泌物。《廣韻．平聲．支韻》：「眵，目汁凝也。」元．康進之《李逵負荊》第三折：「似這般煩惱的無顛無倒，越惹你揉眵抹淚哭嚎啕。」俗稱為「眼屎」。</t>
  </si>
  <si>
    <t>笞</t>
  </si>
  <si>
    <t>[動]
用鞭或竹板打。如：「鞭笞」。《墨子．魯問》：「譬有人於此，其子強梁不材，故其父笞之。」
[名]
古代一種用竹板鞭打的刑罰。《新唐書．卷五六．刑法志》：「其用刑有五：一曰笞。笞之為言恥也；凡過之小者，捶撻以恥之。」</t>
  </si>
  <si>
    <t>喫</t>
  </si>
  <si>
    <t>[動]
1.飲、食。同「吃」。南朝宋．劉義慶《世說新語．任誕》：「友聞白羊肉美，一生未曾得喫。」唐．杜甫〈送李校書二十六韻〉：「臨岐意頗切，對酒不能喫。」
2.承受。同「吃」。如：「喫重」。元．關漢卿《五侯宴》第四折：「我那娘親在那里與人家擔水運漿，喫打喫罵，千辛萬苦。」</t>
  </si>
  <si>
    <t>痴</t>
  </si>
  <si>
    <t>[形]
1.呆傻的。如：「痴呆」、「愚痴」、「痴人說夢」。
2.專情的。如：「痴心」、「痴情」。
[名]
指嗜好迷戀某種事物的人。如：「酒痴」、「情痴」、「書痴」。</t>
  </si>
  <si>
    <t>(二)（又音）ㄔˊ chí（08191）</t>
  </si>
  <si>
    <t>摛</t>
  </si>
  <si>
    <t>[動]
1.舒展。唐．許敬宗〈唐并州都督鄂國公尉遲恭碑〉：「鳳羽摛姿，龍媒騁逸。」
2.鋪敘。《文選．班固．答賓戲》：「雖馳辯如濤波，摛藻如春華。」唐．孫樵〈與王霖秀才書〉：「儲思必深，摛詞必高。」
3.傳播、傳揚。南朝梁．簡文帝〈神山寺碑〉：「此亦仙岫，英名遠摛。」</t>
  </si>
  <si>
    <t>螭</t>
  </si>
  <si>
    <t>[名]
中國古代傳說中的動物。外形似龍而無角。建築或工藝品上常用此形狀做為裝飾。《說文解字．虫部》：「螭，若龍而黃，北方謂之地螻……或云無角曰螭。」《楚辭．屈原．九歌．河伯》：「乘水車兮荷蓋，駕兩龍兮驂螭。」</t>
  </si>
  <si>
    <t>魑</t>
  </si>
  <si>
    <t>參見「魑魅」條。</t>
  </si>
  <si>
    <t>黐</t>
  </si>
  <si>
    <t>[形]
黏。清．王念孫《廣雅疏證．卷四上．釋詁四》：「黐，黏也。」</t>
  </si>
  <si>
    <t>鴟</t>
  </si>
  <si>
    <t>[名]
1.參見「鴟梟」、「鴟鴞」等條。
2.一種盛酒的器具。宋．秦觀〈觀易元吉獐猿圖歌〉：「金錢百萬酒千鴟，荊南將軍欣得之。」</t>
  </si>
  <si>
    <t>齹</t>
  </si>
  <si>
    <t>[形]
牙齒參差不齊。《玉篇．齒部》：「齹，齒參差也。」</t>
  </si>
  <si>
    <t>尺</t>
  </si>
  <si>
    <t>ㄔˊ</t>
  </si>
  <si>
    <t>chí</t>
  </si>
  <si>
    <t>參見「尺寸」(二)條。</t>
  </si>
  <si>
    <t>(一)ㄔˇ chǐ（08196）(三)ㄔㄜˇ chě（08263）</t>
  </si>
  <si>
    <t>池</t>
  </si>
  <si>
    <t>[名]
1.古代的護城河。《左傳．僖公四年》：「楚國方城以為城，漢水以為池。」《禮記．禮運》：「城郭溝池以為固。」
2.可儲存水的凹地。如：「水池」、「游泳池」、「硯池」。
3.低淺如池的平地。如：「舞池」。
4.姓。如秦代有池子華。</t>
  </si>
  <si>
    <t>弛</t>
  </si>
  <si>
    <t>(一)ㄕˇ shǐ（08728）</t>
  </si>
  <si>
    <t>馳</t>
  </si>
  <si>
    <t>[動]
1.車馬疾走。《詩經．鄘風．載馳》：「載馳載驅，歸唁衛侯。」《莊子．秋水》：「騏驥驊騮一日而馳千里。」
2.快跑。如：「奔馳」。三國蜀．諸葛亮〈誡子書〉：「年與時馳，意與歲去。」
3.追逐。《左傳．莊公十年》：「齊師敗績，公將馳之。」
4.嚮往。如：「心馳神往」。《隋書．卷六三．史祥傳》：「身在邊隅，情馳魏闕。」
5.傳播、傳揚。《文選．孔稚珪．北山移文》：「希蹤三輔豪，馳聲九州牧。」唐．李白〈贈從孫義興宰銘〉詩：「名馳三江外，峻節貫雲霄。」
6.施展。《文選．宋玉．神女賦．序》：「五色並馳，不可殫形。」</t>
  </si>
  <si>
    <t>泜</t>
  </si>
  <si>
    <t>[名]
河川名。即滍河，今名沙河。源出河南省平頂山市魯山縣堯山，東流經許昌市、漯河市，至周口市注入潁河。《集韻．上聲．旨韻》：「滍，《說文》：水出南陽魯陽堯山，東北入汝。或作泜。」</t>
  </si>
  <si>
    <t>[名]
水中高地。《詩經．秦風．蒹葭》：「溯游從之，宛在水中坻。」</t>
  </si>
  <si>
    <t>(二)ㄉㄧˇ dǐ（02124）</t>
  </si>
  <si>
    <t>蚳</t>
  </si>
  <si>
    <t>[名]
1.螞蟻的卵。《爾雅．釋蟲》：「蚍蜉……其子蚳。」晉．郭璞．注：「蚳，蟻卵。」
2.姓。如戰國時齊國有蚳蛙。</t>
  </si>
  <si>
    <t>貾</t>
  </si>
  <si>
    <t>參見「餘貾」條。</t>
  </si>
  <si>
    <t>(一)[動]1.之讀音。</t>
  </si>
  <si>
    <t>(一)ㄓˋ zhì（07558）</t>
  </si>
  <si>
    <t>持</t>
  </si>
  <si>
    <t>[動]
1.拿、握。如：「持槍」、「持筆」。
2.維護、堅守。如：「保持」、「堅持」、「持之以恆」。
3.對抗。如：「僵持」、「相持不下」。
4.支撐。如：「支持」。《莊子．漁父》：「左手據膝，右手持頤以聽。」
5.扶助。如：「相互扶持」。《荀子．解蔽》：「鮑叔、甯戚、隰朋仁知且不蔽，故能持管仲而名利福祿與管仲齊。」
6.主管、治理。如：「主持」、「操持家務」、「勤儉持家」。</t>
  </si>
  <si>
    <t>歭</t>
  </si>
  <si>
    <t>[形]
歭躇：徘徊不前的樣子。《說文解字．止部》：「歭，躇也。」清．段玉裁．注：「歭躇為雙聲字，此以躇釋歭者，雙聲互訓也。」</t>
  </si>
  <si>
    <t>茌</t>
  </si>
  <si>
    <t>參見「茌平」條。</t>
  </si>
  <si>
    <t>荎</t>
  </si>
  <si>
    <t>參見「荎藸」條。</t>
  </si>
  <si>
    <t>匙</t>
  </si>
  <si>
    <t>[名]
1.舀取流質液體的飲食用具。俗稱為「調羹」。如：「湯匙」、「茶匙」。也稱為「匙子」。
2.姓。如明代有匙廣。</t>
  </si>
  <si>
    <t>(二)˙ㄕ shi（08782）</t>
  </si>
  <si>
    <t>[名]
開鎖的用具。同「匙」。明．張自烈《正字通．金部》：「鑰以閉戶，鍉以啟鑰，鎖腹有須，鍉入內，鉤合其須則鑰開。」</t>
  </si>
  <si>
    <t>(一)ㄉㄧ dī（02094）(二)ㄉㄧˊ dí（02120）</t>
  </si>
  <si>
    <t>(一)ㄔ chī（08169）</t>
  </si>
  <si>
    <t>踟</t>
  </si>
  <si>
    <t>參見「踟躕」條。</t>
  </si>
  <si>
    <t>墀</t>
  </si>
  <si>
    <t>[名]
臺階上的平地。《字彙．土部》：「墀，階上地也。」如：「丹墀」、「玉墀」。《文選．班固．西都賦》：「玄墀釦砌，玉階彤庭。」</t>
  </si>
  <si>
    <t>[形]
1.緩、慢。如：「事不宜遲」、「說時遲，那時快。」
2.不靈活、不敏捷。如：「遲鈍」。《三國志．卷一．魏書．武帝紀》：「袁紹雖有大志，而見事遲，必不動也。」
[副]
晚、不早。如：「姍姍來遲」、「遲到」。
[動]
猶豫、延緩。如：「遲疑不決」。唐．白居易〈琵琶行〉：「尋聲暗問彈者誰，琵琶聲停欲語遲。」
[名]
姓。如古時有遲任。</t>
  </si>
  <si>
    <t>(二)ㄓˋ zhì（07599）</t>
  </si>
  <si>
    <t>篪</t>
  </si>
  <si>
    <t>[名]
樂器名，吹管樂器。是古代傳統的一種橫吹，形狀像笛的竹製樂器，有八孔。篪與笛的明顯區別是篪無膜，底端為有竹節封閉，而笛有膜，底端開放。</t>
  </si>
  <si>
    <t>ㄔˇ</t>
  </si>
  <si>
    <t>chǐ</t>
  </si>
  <si>
    <t>[名]
1.量詞。為民間使用的長度單位。例如一臺尺約等於三十公分；一市尺約等於三十三公分。
2.量長短的器具。如：「皮尺」、「鐵尺」。
3.像尺的條狀物。如：「鎮尺」、「戒尺」。
[形]
微小的。如：「尺寸之功」。《孟子．公孫丑上》：「尺地莫非其有也，一民莫非其臣也。」</t>
  </si>
  <si>
    <t>(二)ㄔˊ chí（08176）(三)ㄔㄜˇ chě（08263）</t>
  </si>
  <si>
    <t>呎</t>
  </si>
  <si>
    <t>[名]
量詞。英制用以表示長度的單位。一呎等於十二吋，約等於零點三〇四八米。也稱為「英尺」。</t>
  </si>
  <si>
    <t>蚇</t>
  </si>
  <si>
    <t>[名]
動物名。即尺蠖。昆蟲綱鱗翅目。白天時將翅膀平展於樹幹上，體色酷似樹皮，具有掩飾作用。腹末有兩對腳，以各種闊葉樹的葉片為食，每每造成嚴重的葉落現象。具有趨光性，入夜後，可在樹多的區域發現蹤跡。</t>
  </si>
  <si>
    <t>侈</t>
  </si>
  <si>
    <t>[形]
1.鋪張浪費。《說文解字．人部》：「侈，泰奢也。」如：「奢侈」。《左傳．莊公二十四年》：「儉，德之共也；侈，惡之大也。」
2.誇大不實。如：「侈談」、「放言侈論」。《文選．左思．三都賦序》：「侈言無驗，雖麗非經。」
3.大。《漢書．卷九九．王莽傳中》：「莽為人侈口蹷顄，露眼赤精，大聲而嘶。」
4.放肆、放縱、不節制。《孟子．梁惠王上》：「苟無恆心，放僻邪侈，無不為已。」《呂氏春秋．仲夏紀．侈樂》：「故樂愈侈，而民愈鬱，國愈亂。」</t>
  </si>
  <si>
    <t>[形]
奢侈。《文選．張衡．西京賦》：「有憑虛公子者，心奓體忕，雅好博古。」
[動]
賣弄。《文選．潘岳．射雉賦》：「厲耿介之專心兮，奓雄豔之姱姿。」</t>
  </si>
  <si>
    <t>(一)ㄓㄚ zhā（07611）(二)ㄕㄜ shē（08817）</t>
  </si>
  <si>
    <t>誃</t>
  </si>
  <si>
    <t>[動]
分離。《說文解字．言部》：「誃，離別也。」</t>
  </si>
  <si>
    <t>恥</t>
  </si>
  <si>
    <t>[名]
1.羞愧的心。如：「無恥」、「知恥」。《孟子．盡心上》：「人不可以無恥，無恥之恥，無恥矣。」
2.羞辱的事。如：「雪恥」、「奇恥大辱」、「引以為恥」。《呂氏春秋．季秋紀．順民》：「越王苦會稽之恥。」
[動]
羞辱。《國語．越語上》：「昔者夫差恥吾君於諸侯之國。」</t>
  </si>
  <si>
    <t>豉</t>
  </si>
  <si>
    <t>參見「豆豉」條。</t>
  </si>
  <si>
    <t>(一)（讀音）ㄕˋ shì（08766）</t>
  </si>
  <si>
    <t>齒</t>
  </si>
  <si>
    <t>[名]
1.人和動物嘴裡咀嚼的器官。如：「乳齒」、「恆齒」、「齒牙動搖」。
2.排列像牙齒的東西。如：「鋸齒」。
3.年齡。如：「齒德俱增」。《左傳．文公元年》：「子上曰：『君之齒未也，而又多愛，黜乃亂也。』」晉．杜預．注：「齒，年也。」
4.二一四部首之一。
[動]
1.並列。《左傳．隱公十一年》：「寡人若朝于薛，不敢與諸任齒。」晉．杜預．注：「齒，列也。」
2.說、談。如：「齒及」。南朝宋．劉義慶《世說新語．簡傲》：「傲主人非禮也，以貴驕人非道也，失此二者，不足齒，人傖耳。」</t>
  </si>
  <si>
    <t>褫</t>
  </si>
  <si>
    <t>[動]
1.脫掉、卸下。宋．岳飛〈良馬對〉：「褫鞍甲而不息不汗。」
2.剝奪、革除。如：「褫奪公權」。</t>
  </si>
  <si>
    <t>彳</t>
  </si>
  <si>
    <t>ㄔˋ</t>
  </si>
  <si>
    <t>chì</t>
  </si>
  <si>
    <t>[名]
1.左腳的步伐。明．張自烈《正字通．行部》：「左步為彳，右步為亍，合彳亍為行。」
2.二一四部首之一。
[動]
參見「彳亍」條。</t>
  </si>
  <si>
    <t>叱</t>
  </si>
  <si>
    <t>[動]
1.大聲責罵。如：「怒叱」。《禮記．曲禮上》：「尊客之前不叱狗。」
2.吆喝。如：「呼叱」、「喝叱」。唐．白居易〈新樂府．賣炭翁〉：「手把文書口稱敕，迴車叱牛牽向北。」</t>
  </si>
  <si>
    <t>斥</t>
  </si>
  <si>
    <t>[動]
1.排除拒絕、摒棄不用。如：「排斥」、「同性相斥」。《漢書．卷六．武帝紀》：「與聞國政而無益於民者斥，在上位而不能進賢者退。」
2.責罵。如：「申斥」、「痛斥」、「呵斥」。
3.遍布。如：「外國貨充斥市場。」
4.偵察、探測。《左傳．襄公十八年》：「晉人使司馬斥山澤之險。」
5.動用，出。如：「斥資」。</t>
  </si>
  <si>
    <t>赤</t>
  </si>
  <si>
    <t>[形]
1.紅色的。如：「面紅耳赤」、「近朱者赤」。
2.熱烈、忠誠。如：「赤忱」、「赤膽忠心」。《荀子．王制》：「功名之所就，存亡危安之所墮，必將於愉殷赤心之所。」
3.空無的。如：「赤手空拳」。
[動]
1.誅滅。《文選．揚雄．解嘲》：「客徒朱丹吾轂，不知一跌將赤吾之族也。」
2.裸露。如：「赤身露體」。
[名]
1.姓。如古時有赤翼。
2.二一四部首之一。</t>
  </si>
  <si>
    <t>抶</t>
  </si>
  <si>
    <t>[動]
鞭打。《左傳．文公十年》：「無畏抶其僕以徇。」</t>
  </si>
  <si>
    <t>翅</t>
  </si>
  <si>
    <t>[名]
1.鳥類及昆蟲的翼，通常用來飛行。如：「大鵬展翅」、「蟲兒舒翅」。
2.沙魚的鰭。如：「魚翅」。</t>
  </si>
  <si>
    <t>眙</t>
  </si>
  <si>
    <t>[動]
盯著看。《說文解字．目部》：「眙，直視也。」《楚辭．屈原．九章．思美人》：「思美人兮，攬涕而佇眙。」《史記．卷一二六．滑稽傳．淳于髡傳》：「六博投壺，相引為曹，握手無罰，目眙不禁。」</t>
  </si>
  <si>
    <t>(二)ㄧˊ yí（10519）</t>
  </si>
  <si>
    <t>敕</t>
  </si>
  <si>
    <t>[動]
1.告誡、命令。如：「申敕」。《漢書．卷六八．霍光傳》：「光敕左右：『謹宿衛，卒有物故自裁，令我負天下，有殺主名。』」
2.謹慎修持。通「飭」。《後漢書．卷五．孝安帝紀》：「能敕身率下。」
[名]
1.帝王的詔書。如：「詔敕」。《新唐書．卷三六．百官志一》：「凡上之逮下，其制有六：一曰制，二曰敕，三曰冊，天子用之。」
2.道士用在符咒上驅役鬼神的命令。如：「令咒燒敕」。</t>
  </si>
  <si>
    <t>鷘</t>
  </si>
  <si>
    <t>同「鶒」。</t>
  </si>
  <si>
    <t>[副]
但、只、僅。常用於疑問詞或否定詞之後。如：「不啻」、「何啻」、「奚啻」。</t>
  </si>
  <si>
    <t>(二)（又音）ㄊㄧˋ tì（02655）</t>
  </si>
  <si>
    <t>跇</t>
  </si>
  <si>
    <t>[動]
渡過、超越。《玉篇．足部》：「跇，超踰也。」《史記．卷二四．樂書》：「騁容與兮跇萬里，今安匹兮龍為友。」</t>
  </si>
  <si>
    <t>(二)（又音）ㄧˋ yì（10616）</t>
  </si>
  <si>
    <t>飭</t>
  </si>
  <si>
    <t>[動]
1.整頓、治理。如：「整飭」。《詩經．小雅．六月》：「六月棲棲，戎車既飭。」
2.告誡。通「敕」。如：「戒飭」、「申飭」。《史記．卷一．五帝本紀》：「信飭百官，眾功皆興。」
[副]
謹慎。《禮記．樂記》：「再始以著往，復亂以飭歸。」
[形]
修飾、裝飾。通「飾」。漢．王充《論衡．答佞》：「上奢，己麗服；上儉，己不飭。」</t>
  </si>
  <si>
    <t>跮</t>
  </si>
  <si>
    <t>[動]
走路忽進忽退。《集韻．去聲．至韻》：「跮，乍前卻也。」</t>
  </si>
  <si>
    <t>傺</t>
  </si>
  <si>
    <t>[動]
留住、停留。《楚辭．屈原．九章．惜誦》：「欲儃佪以干傺兮，恐重患而離尤。」</t>
  </si>
  <si>
    <t>[動]
用一條腿跳著走。《集韻．去聲．祭韻》：「踅，一足行也。」</t>
  </si>
  <si>
    <t>(二)ㄒㄩㄝˊ xué（07335）</t>
  </si>
  <si>
    <t>熾</t>
  </si>
  <si>
    <t>[形]
1.火勢旺盛。如：「熾熱」。《韓非子．內儲說下》：「奉熾爐炭，肉盡赤紅。」
2.強盛。《詩經．小雅．六月》：「玁狁孔熾，我是用急。」《資治通鑑．卷二四〇．唐紀五十六．憲宗元和十四年》：「晉、宋以來，日益繁熾。」
[動]
燃燒。《左傳．昭公十年》：「柳熾炭于位，將至，則去之。」《水滸傳》第九三回：「李逵從外入來，聽了這幾句說話，心如火熾，口似煙生。」</t>
  </si>
  <si>
    <t>懘</t>
  </si>
  <si>
    <t>[形]
不調和、不協調。如：「惉懘之音」。</t>
  </si>
  <si>
    <t>鶒</t>
  </si>
  <si>
    <t>(一)ㄒㄧ xī（06788）</t>
  </si>
  <si>
    <t>叉</t>
  </si>
  <si>
    <t>ㄔㄚ</t>
  </si>
  <si>
    <t>chā</t>
  </si>
  <si>
    <t>[動]
1.交錯。如：「雙手交叉」。
2.刺取、刺殺。如：「叉魚」。《後漢書．卷七九．儒林傳．楊政傳》：「旄頭又以戟叉政，傷胸，政猶不退。」
3.用手掐住人的脖子將人推開。如：「叉出門去」。元．王實甫《破窯記》第三折：「罵了我一場，叉出我門來了。」
[名]
1.一端有分歧的器物。如：「刀叉」、「魚叉」、「音叉」。
2.稱用以表示錯誤或作廢的「ㄨ」形符號。如：「錯誤的請打一個叉。」
[形]
分歧的。如：「叉路」。</t>
  </si>
  <si>
    <t>(二)ㄔㄚˊ chá（08234）(三)ㄔㄚˇ chǎ（08245）</t>
  </si>
  <si>
    <t>[名]
刺取魚鱉的工具。《周禮．天官．鱉人》「以時簎魚鱉龜蜃」句下鄭玄注引鄭眾曰：「簎，謂以扠刺泥中搏取之。」
[動]
1.挾取、刺取。如：「扠菜」、「扠魚」。
2.打、交手。《水滸傳》第二回：「我不信倒不如你，你敢和我扠一扠麼？」
3.交叉。《西遊記》第二回：「踏雲霞去勾有頓飯之時，返復不上三里遠近，落在面前，扠手道：『師父，這就是飛舉騰雲了。』」
4.以手支撐。如：「扠腰」。</t>
  </si>
  <si>
    <t>(二)ㄓㄚˇ zhǎ（07627）</t>
  </si>
  <si>
    <t>杈</t>
  </si>
  <si>
    <t>[名]
1.分叉、歧出的樹枝。《字彙．木部》：「杈，歧枝木也。」宋．陸游〈梨花〉詩：「常思南鄭清明路，醉袖迎風雪一杈。」
2.收取禾草的農具。如：「鐵杈」、「木杈」。明．徐光啟《農政全書．卷二二．農器．圖譜二》：「杈，箝禾具也。」
3.拒馬，阻攔人車通行的障礙物。宋．孟元老《東京夢華錄．卷二．御街》：「各安立黑漆杈子，路心又安朱漆杈子兩行。」</t>
  </si>
  <si>
    <t>(二)（語音）ㄔㄚˋ chà（08250）</t>
  </si>
  <si>
    <t>臿</t>
  </si>
  <si>
    <t>[名]
挖土用的鐵鍬。同「鍤」。《韓非子．五蠹》：「禹之王天下也，身執耒臿以為民先。」
[動]
參雜、穿插。同「插」。《漢書．卷五七．司馬相如傳上》：「赤瑕駁犖，雜臿其間。」</t>
  </si>
  <si>
    <t>插</t>
  </si>
  <si>
    <t>[動]
1.刺入、扎入。如：「一根針插進我的手掌了。」
2.栽種。宋．陸游〈時雨〉詩：「時雨及芒種，四野皆插秧。」
3.放進、擺入。如：「插花」、「筆插入筆筒」。
4.參入其間。宋．陳造〈再次韻答許節推〉詩：「宦途要處難插手，詩社叢中常引頭。」</t>
  </si>
  <si>
    <t>差</t>
  </si>
  <si>
    <t>[名]
1.缺失、錯誤。如：「誤差」、「出差錯」。
2.區別、不同。《荀子．榮辱》：「故先王案為之制禮義以分之，使有貴賤之等，長幼之差，智愚能不能之分。」
3.數學上指兩數相減所得的數。如：「三減一的差是二。」
[動]
1.失誤、不當。《明史．卷二五一．徐光啟傳》：「臣聞曆久必差，宜及時修正。」
2.因比較而產生區別。如：「他們彼此的說法差異很大。」
[副]
尚、略、還。如：「差強人意」。</t>
  </si>
  <si>
    <t>(二)ㄔㄚˋ chà（08257）(三)ㄔㄞ chāi（08277）(四)ㄔㄞˋ chài（08287）(五)ㄘ cī（09690）(六)ㄘㄨㄛ cuō（09833）</t>
  </si>
  <si>
    <t>艖</t>
  </si>
  <si>
    <t>[名]
小船。唐．皮日休〈太湖詩．銷夏灣〉：「小艖或可汎，短策或可支。」《水滸傳》第六五回：「玉壓橋邊酒旆，銀鋪渡口魚艖。」</t>
  </si>
  <si>
    <t>參見「喳喳」條。</t>
  </si>
  <si>
    <t>(一)ㄓㄚ zhā（07604）</t>
  </si>
  <si>
    <t>嗏</t>
  </si>
  <si>
    <t>[助]
語氣詞，無義。多置於句末。宋．辛棄疾〈南卿子．好個主人家〉詞：「好個主人家，不問因由便去嗏！」《董西廂》卷一：「被你風魔了人也嗏！風魔了人也嗏！」</t>
  </si>
  <si>
    <t>ㄔㄚˊ</t>
  </si>
  <si>
    <t>chá</t>
  </si>
  <si>
    <t>[動]
阻塞、堵塞。如：「一塊骨頭叉在喉嚨裡。」《兒女英雄傳》第七回：「待要出門，那大師傅就叉著門，不叫我們走。」</t>
  </si>
  <si>
    <t>(一)ㄔㄚ chā（08225）(三)ㄔㄚˇ chǎ（08245）</t>
  </si>
  <si>
    <t>岔</t>
  </si>
  <si>
    <t>同「碴」。</t>
  </si>
  <si>
    <t>(一)ㄔㄚˋ chà（08255）</t>
  </si>
  <si>
    <t>垞</t>
  </si>
  <si>
    <t>[名]
1.小土丘。唐．王維〈北垞〉詩：「北垞湖水北，雜樹映朱闌。」宋．楊萬里〈過花橋〉詩：「北垞通南埭，前花映後花。」
2.國名。古嵩國，故城約在今大陸地區江蘇省銅山縣北，城西南有嵩侯廟。</t>
  </si>
  <si>
    <t>[動]
1.考察、檢查。如：「調查」、「審查」、「查訪」。《紅樓夢》第七四回：「所以大家都查一查去疑兒。」
2.翻閱、檢尋。如：「查字典」、「查地圖」。
[名]
大筏，水中的浮木。通「槎」。晉．王嘉《拾遺記》卷一：「堯登位三十年，有巨查浮於西海，查上有光，夜明晝滅。」</t>
  </si>
  <si>
    <t>(二)ㄓㄚ zhā（07602）</t>
  </si>
  <si>
    <t>[名]
1.木筏。《集韻．平聲．麻韻》：「楂，水中浮木。」唐．貫休〈寄李道士〉詩：「長嘯仙鐘外，眠楂海月邊。」
2.砍伐後所留的樹樁。元．司農司《農桑輯要．卷三．接廢樹》：「掘去中間正根，將周圍根楂，細鋸子截成砧盤。」</t>
  </si>
  <si>
    <t>(二)ㄓㄚ zhā（07605）</t>
  </si>
  <si>
    <t>碴</t>
  </si>
  <si>
    <t>[名]
1.碎屑、物體破裂成小碎塊。如：「冰碴」、「玻璃碴」。
2.器物上的破口。如：「碴口」、「斷碴兒」、「杯子上有個新碴。」
3.嫌隙、芥蒂，指引起爭執的原由。如：「你怎麼故意找碴。」
4.剃後殘餘或復生的短毛髮。如：「絡腮鬍子碴」。
[動]
皮肉被碎片劃破或割傷。如：「被碎玻璃碴了手。」</t>
  </si>
  <si>
    <t>茶</t>
  </si>
  <si>
    <t>[名]
1.植物名。山茶科茶屬，「茶樹」之古稱。參見「茶樹」條。
2.用茶葉沏成或煮成的飲料。如：「飲茶」、「品茶」。《京本通俗小說．馮玉梅團圓》：「婦人口渴，徐信引到一個茶肆中喫茶。」
3.泛稱某種飲料。如：「苦茶」、「冬瓜茶」、「杏仁茶」。</t>
  </si>
  <si>
    <t>搽</t>
  </si>
  <si>
    <t>[動]
敷、塗抹。如：「搽藥」。《儒林外史》第二四回：「這和尚積年剃了光頭，把鹽搽在頭上，走到放牛所在。」</t>
  </si>
  <si>
    <t>(二)（又音）ㄘㄚ cā（09720）</t>
  </si>
  <si>
    <t>察</t>
  </si>
  <si>
    <t>[動]_x000D_
1.仔細考核、調查。如：「審察」、「考察」。《孟子．梁惠王下》：「國人皆曰賢，然後察之。」《新唐書．卷四八．百官志三》：「監察御史十五人，正八品下，掌分察百寮。」_x000D_
2.仔細觀看。《易經．繫辭上》：「仰以觀於天文，俯以察於地理。」三國魏．曹植〈洛神賦〉：「遠而望之，皎若太陽升朝霞；迫而察之，灼若芙蕖出淥波。」_x000D_
3.明辨、了解。如：「覺察」。漢．陸賈《新語．道基》：「嘗百草之實，察酸苦之味。」_x000D_
4.考察後而保舉。如：「察舉」。晉．李密〈陳情表〉：「前太守臣逵，察臣孝廉。」_x000D_
[形]_x000D_
清晰、明顯。《墨子．脩身》：「辯是非不察者，不足與游。」漢．劉向《說苑．卷一六．談叢》：「石稱丈量，徑而寡失；簡絲數米，煩而不察。」_x000D_
[名]_x000D_
姓。如明代有察文質。</t>
  </si>
  <si>
    <t>槎</t>
  </si>
  <si>
    <t>[名]
1.木筏。同「桴」。如：「浮槎」。唐．孟浩然〈歲暮海上作〉詩：「為問乘槎人，滄洲復誰在。」
2.樹枝。唐．盧照鄰〈行路難〉：「君不見長安城北渭橋邊，枯木橫槎臥古田。」
[動]
砍、削。《後漢書．卷六〇上．馬融傳》：「冒𣝓柘，槎棘枳。」</t>
  </si>
  <si>
    <t>鍤</t>
  </si>
  <si>
    <t>[名]
1.縫衣用的長針。《說文解字．金部》：「郭衣鍼也。」清．段玉裁．注：「郭衣皆謂恢廓張衣於版，以鍼密韱其週使伸直，今之治裘者，正如此是曰郭衣，其鍼曰鍤。」
2.即鍬。挖土的工具。如：「利鍤」。漢．劉熙《釋名．釋用器》：「鍤，插也。插地起土也。」《漢書．卷九九．王莽傳上》：「父子兄弟負籠荷鍤。」</t>
  </si>
  <si>
    <t>ㄔㄚˇ</t>
  </si>
  <si>
    <t>chǎ</t>
  </si>
  <si>
    <t>[動]
分開、張開。如：「叉著雙腿」。《水滸傳》第二一回：「這婆子乘著酒興，叉開五指，去那唐牛兒臉上連打兩掌。」</t>
  </si>
  <si>
    <t>(一)ㄔㄚ chā（08225）(二)ㄔㄚˊ chá（08234）</t>
  </si>
  <si>
    <t>衩</t>
  </si>
  <si>
    <t>[名]
貼身短褲。如：「三角褲衩」。</t>
  </si>
  <si>
    <t>(一)ㄔㄚˋ chà（08251）</t>
  </si>
  <si>
    <t>蹅</t>
  </si>
  <si>
    <t>[動]
1.踩、踏。《西遊記》第九八回：「維河架海還容易，獨木單梁人怎蹅？」
2.北平方言。指參與、加入。如：「這事你不要蹅在裡頭。」</t>
  </si>
  <si>
    <t>鑔</t>
  </si>
  <si>
    <t>[名]
樂器名。一種打擊樂器，似鈸，但較小。以銅製成，圓形，由兩片相互敲擊發聲。</t>
  </si>
  <si>
    <t>汊</t>
  </si>
  <si>
    <t>ㄔㄚˋ</t>
  </si>
  <si>
    <t>chà</t>
  </si>
  <si>
    <t>[名]
河道的支流。《集韻．去聲．禡韻》：「汊，水歧流也。」《水滸傳》第一九回：「這湖泊裡港汊又多，路徑甚雜。」</t>
  </si>
  <si>
    <t>(一)（讀音）ㄔㄚ chā（08227）</t>
  </si>
  <si>
    <t>[名]
衣裙兩旁開叉的地方。唐．李商隱〈無題〉詩二首之一：「十歲去踏青，芙蓉作裙衩。」也稱為「衩口」。</t>
  </si>
  <si>
    <t>(二)ㄔㄚˇ chǎ（08246）</t>
  </si>
  <si>
    <t>奼</t>
  </si>
  <si>
    <t>[名]
少女。《說文解字．女部》：「奼，少女也。」
[形]
豔麗的。如：「奼紫嫣紅」。唐．韓愈〈縣齋有懷〉詩：「閒愛老農愚，歸弄小女奼。」
[動]
誇讚。通「吒」、「詫」。《文選．司馬相如．子虛賦》：「畋罷，子虛過奼烏有先生，亡是公存焉。」</t>
  </si>
  <si>
    <t>侘</t>
  </si>
  <si>
    <t>[形]
參見「侘傺」條。
[動]
誇耀。通「詫」。《史記．卷一〇八．韓長孺傳》：「即欲以侘鄙縣，驅馳國中，以夸諸侯。」</t>
  </si>
  <si>
    <t>詫</t>
  </si>
  <si>
    <t>[動]
1.誇耀。《史記．卷一一七．司馬相如傳》：「子虛過詫烏有先生。」裴駰集解引郭璞曰：「詫，誇也。」
2.驚訝。如：「詫異」。宋．楊萬里〈過烏沙望大唐石峰〉詩：「山神自賀應自詫，古來此地無車馬。」
3.欺騙。《晉書．卷三七．宗室傳．譙剛王遜傳》：「甘言詫方伯，襲之以輕兵。」</t>
  </si>
  <si>
    <t>[名]
1.路或山分歧的地方。如：「路岔子」。
2.意外的事故或差錯。如：「出岔」。
3.轉移他人話題或注意力的舉動。如：「對不起！我打個岔！」《兒女英雄傳》第三三回：「這個岔一打，大家又重新笑起來。」
[動]
插嘴或轉移他人的注意力。如：「他故意把話題岔開。」《紅樓夢》第八二回：「襲人見他說話造次，連忙岔道：『媽媽，你乏了，坐坐吃茶罷！』」
[形]
1.分歧的。如：「岔路」、「岔流」。
2.矛盾、有偏差。如：「你這話就岔了。」
[副]
聲音哽咽失常。如：「他哭得聲音都岔了。」</t>
  </si>
  <si>
    <t>(二)ㄔㄚˊ chá（08235）</t>
  </si>
  <si>
    <t>剎</t>
  </si>
  <si>
    <t>[名]
佛寺、寺廟。如：「古剎」、「名剎」。《水滸傳》第四回：「看那文殊寺，果然是好座大剎。」</t>
  </si>
  <si>
    <t>(二)ㄕㄚ shā（08795）</t>
  </si>
  <si>
    <t>[形]
不好。如：「成績差」、「他的文章太差了。」
[動]
欠缺、短少。如：「差十分就八點鐘了。」
[名]
(一)[名]之語音。</t>
  </si>
  <si>
    <t>(一)ㄔㄚ chā（08230）(三)ㄔㄞ chāi（08277）(四)ㄔㄞˋ chài（08287）(五)ㄘ cī（09690）(六)ㄘㄨㄛ cuō（09833）</t>
  </si>
  <si>
    <t>(一)ㄓㄚˋ zhà（07650）(三)ㄌㄚˋ là（▲03182）</t>
  </si>
  <si>
    <t>ㄔㄜ</t>
  </si>
  <si>
    <t>chē</t>
  </si>
  <si>
    <t>[名]
1.陸地上靠輪子轉動而運行的交通工具。如：「汽車」、「火車」。通稱為「車子」。
2.利用輪軸轉動的機械。如：「紡車」、「風車」、「水車」。
3.牙床。《左傳．僖公五年》：「輔車相依，脣亡齒寒。」晉．杜預．注：「輔，頰輔之車，牙車。」唐．孔穎達．正義：「牙車，牙下骨之名。」
4.量詞。計算車載物的單位。如：「一車砂石」。
5.姓。如漢代有車順。
6.二一四部首之一。
[動]
1.利用機器轉動來加以縫紉。如：「車布邊」、「車衣服」、「車鞋面」。
2.用機械將物品切削成圓形。如：「車圓」、「車碗」、「車玻璃」。
3.用水車將水引至高處。唐．段成式《酉陽雜俎．卷七．樂》：「車水竭池，窮池索之。」
4.用車搬運。如：「請把這堆垃圾車走。」</t>
  </si>
  <si>
    <t>(二)（讀音）ㄐㄩ jū（05978）</t>
  </si>
  <si>
    <t>唓</t>
  </si>
  <si>
    <t>硨</t>
  </si>
  <si>
    <t>蛼</t>
  </si>
  <si>
    <t>[名]
蛼螯：蛤類。也作「車螯」。參見「車螯」條。</t>
  </si>
  <si>
    <t>ㄔㄜˇ</t>
  </si>
  <si>
    <t>chě</t>
  </si>
  <si>
    <t>參見「工尺」條。</t>
  </si>
  <si>
    <t>(一)ㄔˇ chǐ（08196）(二)ㄔˊ chí（08176）</t>
  </si>
  <si>
    <t>扯</t>
  </si>
  <si>
    <t>[動]
1.牽、拉。《水滸傳》第四回：「拖扯的不是別人，卻是渭州酒樓上救了的金老。」
2.撕裂。《水滸傳》第四七回：「也不拆開來看，就手扯得粉碎。」
3.張掛。《警世通言．卷三．王安石三難蘇學士》：「危灘急浪中，趁著這刻兒順風，扯了滿篷，望前只顧使去，好不暢快。」
4.漫無目的的隨便閒談。如：「胡扯」、「東拉西扯」。</t>
  </si>
  <si>
    <t>[形]
張口的樣子。《里語徵實．卷上．一字徵實引王惲．食鱸魚詩》：「口哆頰重出，鱗纖雪爭光。」</t>
  </si>
  <si>
    <t>(一)ㄉㄨㄛ duō（02309）</t>
  </si>
  <si>
    <t>撦</t>
  </si>
  <si>
    <t>同「扯」。</t>
  </si>
  <si>
    <t>屮</t>
  </si>
  <si>
    <t>ㄔㄜˋ</t>
  </si>
  <si>
    <t>chè</t>
  </si>
  <si>
    <t>[名]
1.初生的草木。《說文解字．屮部》：「屮，草木初生也。」《漢書．卷五十四．蘇武傳》：「武既至海上，廩食不至，掘野鼠，去屮實而食之。」
2.二一四部首之一。</t>
  </si>
  <si>
    <t>坼</t>
  </si>
  <si>
    <t>[動]
1.裂開。如：「天崩地坼」。唐．杜甫〈登岳陽樓〉詩：「吳楚東南坼，乾坤日夜浮。」
2.花朵開放。《聊齋志異．卷一一．香玉》：「方流連間，花搖搖欲坼。」
3.分開。唐．白居易〈續古〉詩一〇首之一：「誰家無夫婦，何人不離坼？」
4.毀壞。唐．杜甫〈自京赴奉先縣詠懷五百字〉詩：「河梁幸未坼，枝撐聲窸窣。」</t>
  </si>
  <si>
    <t>拆</t>
  </si>
  <si>
    <t>(一)（語音）ㄔㄞ chāi（08276）</t>
  </si>
  <si>
    <t>呫</t>
  </si>
  <si>
    <t>參見「呫囁」、「呫呫」、「呫嚅」等條。</t>
  </si>
  <si>
    <t>掣</t>
  </si>
  <si>
    <t>[動]
1.牽引、牽動。《文選．潘岳．西征賦》：「掣三牽兩。」唐．岑參〈白雪歌送武判官歸京〉詩：「紛紛暮雪下轅門，風掣紅旗凍不翻。」
2.抽取。《晉書．卷八〇．王羲之傳》：「七八歲時學書，羲之密從後掣其筆不得。」《水滸傳》第五九回：「李俊、張順明晃晃掣出尖刀在手。」
3.疾速飛行。南朝梁．簡文帝〈金錞賦〉：「野曠塵昏，星流電掣。」</t>
  </si>
  <si>
    <t>澈</t>
  </si>
  <si>
    <t>[形]
水清。宋．蘇軾〈次韻答荊門張都官維見和惠泉〉詩：「泉源本無情，豈問濁與澈。」
[動]
1.穿透、貫通。通「徹」。唐．柳宗元〈至小邱西小石潭記〉：「日光下澈，影布石上，怡然不動。」
2.通曉、了悟。如：「洞澈」、「大澈大悟」。</t>
  </si>
  <si>
    <t>撤</t>
  </si>
  <si>
    <t>[動]
1.除去、免去。如：「撤職」、「撤官」。《紅樓夢》第一一回：「點的戲都唱完了，方纔撤下酒席，擺上飯來。」
2.抽回、退回。如：「撤退」。《三國志．卷五四．吳書．呂蒙傳》：「羽聞之，必撤備兵。」《西遊記》第三四回：「孫大聖撤身走過，得了寶貝。」
3.減輕。如：「放點醋撤撤湯裡的鹹味。」</t>
  </si>
  <si>
    <t>徹</t>
  </si>
  <si>
    <t>[動]
1.貫通、通透。如：「響徹雲霄」、「寒風徹骨」。《左傳．成公十六年》：「潘尪之黨與養由基蹲甲而射之，徹七札焉。」漢．王充《論衡．紀妖》：「音中宮商之聲，聲徹于天。」
2.去除。通「撤」。《左傳．宣公十二年》：「且雖諸侯相見，軍衛不徹，警也。」《淮南子．主術》：「史書其過，宰徹其膳。」
3.毀壞。《詩經．小雅．十月之交》：「徹我牆屋。」漢．鄭玄．箋：「徹毀我牆屋。」
4.剝取。《詩經．豳風．鴟鴞》：「徹彼桑土，綢繆牖戶。」漢．毛亨．傳：「徹，剝也。」
5.耕治。《詩經．大雅．公劉》：「度其隰原，徹田為糧。」
6.遵循。《詩經．小雅．十月之交》：「天命不徹，我不敢傚。」漢．毛亨．傳：「徹，道也。」漢．鄭玄．箋：「言王不循天之政教。」
7.畢盡、停歇。唐．杜甫〈茅屋為秋風所破歌〉：「自經喪亂少睡眠，長夜霑溼何由徹？」元．馬致遠〈夜行船．酒病花愁何日徹套．離亭宴煞〉：「蛩吟一覺才寧貼，雞鳴時萬事無休歇，何年是徹？」
[名]
1.周代的田賦制度。為十取一的稅法。《孟子．滕文公上》：「夏后氏五十而貢，殷人七十而助，周人百畝而徹，其實皆什一也。」漢．趙岐．注：「家耕百畝者徹，取十畝以為賦。」
2.姓。如元代有徹里。</t>
  </si>
  <si>
    <t>[名]
1.車輪碾過所留下的痕跡。如：「車轍」。《左傳．莊公十年》：「吾視其轍亂，望其旗靡，故逐之。」
2.途徑、路數。如：「重蹈覆轍」、「如出一轍」。
3.法則、原則。晉．陶淵明〈詠貧士〉詩七首之一：「量力守故轍，豈不寒與饑。」</t>
  </si>
  <si>
    <t>(二)ㄓㄜˊ zhé（07669）</t>
  </si>
  <si>
    <t>ㄔㄞ</t>
  </si>
  <si>
    <t>chāi</t>
  </si>
  <si>
    <t>[動]
1.分開、打開。如：「拆信」、「拆卸機器」。唐．韓愈〈寄皇甫湜〉詩：「拆書放床頭，涕與淚垂四。」
2.裂開。元．無名氏《陳州糶米》第四折：「紫金鎚依然還在，也將來敲他腦袋。登時間肉拆血灑。」</t>
  </si>
  <si>
    <t>(二)（讀音）ㄔㄜˋ chè（08269）</t>
  </si>
  <si>
    <t>[動]
1.派遣。唐．元稹〈和李校書新題樂府．縛戎人〉：「邊頭大將差健卒，入抄禽生快於鶻。」《水滸傳》第五五回：「出師之日，我自差官來點視。」
2.選擇。《詩經．小雅．吉日》：「吉日庚午，既差我馬？」《文選．宋玉．高唐賦》：「王將欲往見，必先齋戒，差時擇日。」
[名]
1.受派遣去做事的人。如：「欽差」、「信差」。
2.被派遣去做的事。如：「公差」。《紅樓夢》第六〇回：「寶玉房中的丫鬟差輕人多。」</t>
  </si>
  <si>
    <t>(一)ㄔㄚ chā（08230）(二)ㄔㄚˋ chà（08257）(四)ㄔㄞˋ chài（08287）(五)ㄘ cī（09690）(六)ㄘㄨㄛ cuō（09833）</t>
  </si>
  <si>
    <t>釵</t>
  </si>
  <si>
    <t>[名]
舊時婦女頭上所戴的首飾。形似叉，以金玉製成。如：「金釵」、「玉釵」。《文選．曹植．美女篇》：「頭上金爵釵，腰佩翠琅玕。」</t>
  </si>
  <si>
    <t>茈</t>
  </si>
  <si>
    <t>ㄔㄞˊ</t>
  </si>
  <si>
    <t>chái</t>
  </si>
  <si>
    <t>參見「茈胡」條。</t>
  </si>
  <si>
    <t>(一)ㄗˇ zǐ（09413）(三)ㄘˊ cí（09698）</t>
  </si>
  <si>
    <t>[名]
1.供燃燒用的小木枯枝。如：「柴火」、「木柴」。《禮記．月令》：「乃命四監，收秩薪柴，以共郊廟及百祀之薪燎。」
2.姓。如漢代有柴武。
[動]
1.燒柴祭天。《禮記．大傳》：「柴于上帝。」唐．孔穎達．正義：「謂燔柴以告天。」
2.保護、以柴塞護。《淮南子．道應》：「柴箕子之門。」
[形]
1.用柴做成的。如：「柴門」。唐．王維〈送別〉詩：「山中相送罷，日暮掩柴扉。」
2.乾瘦。如：「這隻雞太柴了。」
3.參見「柴心兒」條。</t>
  </si>
  <si>
    <t>(二)ㄓㄞˋ zhài（07697）</t>
  </si>
  <si>
    <t>祡</t>
  </si>
  <si>
    <t>[動]
燃燒木柴以祭天神。《說文解字．示部》：「祡，燒柴燎以祭天神。」《史記．卷一．五帝本紀》：「東巡狩，至於岱宗，祡。」</t>
  </si>
  <si>
    <t>喍</t>
  </si>
  <si>
    <t>參見「啀喍」條。</t>
  </si>
  <si>
    <t>豺</t>
  </si>
  <si>
    <t>[名]
動物名。哺乳綱食肉目犬科。亞洲野生食肉性動物，狀如犬而身瘦，口大耳小，毛色淺黃，性凶殘。為群體活動生物，常結群捕食各種獸類。</t>
  </si>
  <si>
    <t>儕</t>
  </si>
  <si>
    <t>[名]
同輩、同類的人。如：「吾儕」、「同儕」。
[動]
1.齊同、相當。《三國志．卷二．魏書．文帝紀》「皆以終制從事」句下裴松之注引《魏氏春秋》：「德儕先皇，功侔太古。」《紅樓夢》第七八回：「生儕蘭蕙，死轄芙蓉。」
2.使男女成為配偶。《漢書．卷八七．揚雄傳上》：「儕男女，使莫違。」</t>
  </si>
  <si>
    <t>冊</t>
  </si>
  <si>
    <t>ㄔㄞˇ</t>
  </si>
  <si>
    <t>chǎi</t>
  </si>
  <si>
    <t>[名]
夾有繡花圖樣的紙本子。如：「樣冊子」、「樣冊兒」。</t>
  </si>
  <si>
    <t>(一)ㄘㄜˋ cè（09724）</t>
  </si>
  <si>
    <t>茝</t>
  </si>
  <si>
    <t>[名]
一種香草。《玉篇．艸部》：「茝，香草也。」《楚辭．屈原．離騷》：「雜申椒與菌桂兮，豈維紉夫蕙茝？」漢．王逸．注：「蕙、茝皆香草也。」</t>
  </si>
  <si>
    <t>ㄔㄞˋ</t>
  </si>
  <si>
    <t>chài</t>
  </si>
  <si>
    <t>[動]
病癒。通「瘥」。《後漢書．卷八二．方術傳．華佗傳》：「操積苦頭風眩，佗針，隨手而差。」唐．元稹〈蟆子詩．序〉：「故齧人成瘡，秋夏不愈，膏楸葉而傅之，則差。」</t>
  </si>
  <si>
    <t>(一)ㄔㄚ chā（08230）(二)ㄔㄚˋ chà（08257）(三)ㄔㄞ chāi（08277）(五)ㄘ cī（09690）(六)ㄘㄨㄛ cuō（09833）</t>
  </si>
  <si>
    <t>瘥</t>
  </si>
  <si>
    <t>[動]
病痊癒。《說文解字．疒部》：「瘥，癒也。」如：「病瘥」。</t>
  </si>
  <si>
    <t>(二)ㄘㄨㄛˊ tsuó（09846）</t>
  </si>
  <si>
    <t>蠆</t>
  </si>
  <si>
    <t>[名]
1.動物名。一種毒蟲。形狀似蠍而尾部較長。《三國志．卷二九．魏書．方技傳．華佗傳》：「彭城夫人夜之廁，蠆螫其手，呻呼無賴。」
2.參見「蠆芥」條。</t>
  </si>
  <si>
    <t>抄</t>
  </si>
  <si>
    <t>ㄔㄠ</t>
  </si>
  <si>
    <t>chāo</t>
  </si>
  <si>
    <t>[動]
1.攻擊、掠取。如：「包抄」。《後漢書．卷三一．郭伋傳》：「時匈奴數抄郡界，邊境苦之。」
2.以匙或手拿取東西。唐．杜甫〈與鄠縣源大少府宴渼陂〉詩：「飯抄雲子白，瓜嚼水精寒。」《西遊記》第七四回：「在那石崖上抄一把水，磨一磨。」
3.從側面或便捷的路過去。如：「抄捷徑」、「抄近路走」。
4.謄寫。如：「抄寫」。《水滸傳》第八五回：「教把眾頭領的姓名，都抄將來，盡數封他官爵。」
5.襲用、沿用。如：「這件事的情況特殊，處理方法應當不同，豈能照抄！」
6.扣押、沒收。《水滸傳》第二二回：「那時做押司的，但犯罪責，輕則刺配遠惡軍州，重則抄扎家產結果了殘生性命。」《文明小史》第四回：「難道大公祖不問皂白，就拿他凌遲碎剮，全門抄斬嗎？」
7.一種烹飪方法。把食物迅速在沸水中白煮一下，隨即撈起。此法北方人稱為「抄」，廣東人稱為「烚」。
[名]
1.古代的容積單位。十撮為一抄。後泛指少量、少許。元．康進之《李逵負荊》第一折：「與你一抄碎金子，與你做酒錢。」
2.姓。如明代有抄思。</t>
  </si>
  <si>
    <t>訬</t>
  </si>
  <si>
    <t>[形]
1.敏捷、矯健。《廣韻．平聲．肴韻》：「訬，健也。」《後漢書．卷六〇上．馬融傳》：「或輕訬趬悍，廋疏嶁領，犯歷嵩巒。」唐．章懷太子．注：「訬，輕捷也。」
2.輕佻、狡猾。《晉書．卷五九．趙王倫傳》：「荂淺薄鄙陋，馥、虞闇很強戾，詡愚嚚輕訬，而各乖異，互相憎毀。」</t>
  </si>
  <si>
    <t>鈔</t>
  </si>
  <si>
    <t>[名]
1.紙幣、錢財。如：「千元大鈔」、「讓你破鈔，真不好意思。」
2.文學作品等經過選錄而編成的書。如清代曾國藩編有經史百家雜鈔與十八家詩鈔二書。
3.姓。如明代有鈔秀。
[動]
1.掠取、掠奪。漢．王符《潛夫論．勸將》：「東寇趙、魏，西鈔蜀、漢。」《後漢書．卷七三．公孫瓚傳》：「剋會期日，攻鈔郡縣，此豈大臣所當施為？」
2.謄寫。《抱朴子．內篇．金丹》：「余今略鈔金丹之都，較以示後之同志。」</t>
  </si>
  <si>
    <t>(二)（又音）ㄔㄠˋ chào（08311）</t>
  </si>
  <si>
    <t>怊</t>
  </si>
  <si>
    <t>[形]_x000D_
惆悵失意。《莊子．天地》：「怊乎若嬰兒之失其母。」_x000D_
[動]_x000D_
悲傷。《楚辭．屈原．九章．哀郢》：「發郢都而去閭兮，怊荒忽其焉極。」</t>
  </si>
  <si>
    <t>弨</t>
  </si>
  <si>
    <t>[形]
弓鬆弛的樣子。《詩經．小雅．彤弓》：「彤弓弨兮，受言藏之。」漢．毛亨．傳：「弨，弛貌。」
[名]
弓。唐．韓愈〈雪後寄崔二十六丞公〉詩：「腦脂遮眼臥壯士，大弨挂壁無由彎。」</t>
  </si>
  <si>
    <t>超</t>
  </si>
  <si>
    <t>[動]
1.跳上。《說文解字．走部》：「超，跳也。」《左傳．昭公元年》：「子南戎服入，左右射，超乘而出。」
2.越過。如：「超越巔峰」。《孟子．梁惠王上》：「挾太山以超北海。」
3.高出、多出。《韓非子．五蠹》：「超五帝，侔三王者，必此法也。」《後漢書．卷二八上．馮衍傳》：「顯忠貞之節，立超世之功。」
4.救度。如：「超度亡魂」。
[形]
遙遠。《楚辭．屈原．九歌．國殤》：「出不入兮往不反，平原忽兮路超遠。」</t>
  </si>
  <si>
    <t>[動]
抄襲。《禮記．曲禮上》：「正爾容，聽必恭，毋勦說，毋雷同。」
[形]
矯健、敏捷。唐．李賀〈出城別張又新酬李漢〉詩：「六郡無勦兒，長刀誰拭塵。」</t>
  </si>
  <si>
    <t>(一)ㄐㄧㄠˇ jiǎo（05661）</t>
  </si>
  <si>
    <t>罺</t>
  </si>
  <si>
    <t>[名]
捕魚的小網。唐．陸龜蒙〈漁具詩．序〉：「網罟之流曰罛、曰罾、曰罺。」
[動]
用小網捕魚。《文選．左思．吳都賦》：「罩兩魪，罺鰝蝦。」</t>
  </si>
  <si>
    <t>晁</t>
  </si>
  <si>
    <t>ㄔㄠˊ</t>
  </si>
  <si>
    <t>cháo</t>
  </si>
  <si>
    <t>[名]
1.朝的古字。《文選．揚雄．羽獵賦》：「於是天子乃以陽晁始出乎玄宮。」唐．李善．注：「陽朝，陽明之朝。晁，古字同也。」
2.姓。如宋代有晁補之。</t>
  </si>
  <si>
    <t>[動]
戲謔、調笑。同「嘲」、「謿」。如：「詼啁」。《三國志．卷四四．蜀書．費褘傳》：「孫權性既滑稽，嘲啁無方。」</t>
  </si>
  <si>
    <t>(一)ㄓㄡ zhōu（07740）</t>
  </si>
  <si>
    <t>巢</t>
  </si>
  <si>
    <t>[名]
1.鳥類、昆蟲或其他動物的窩。《說文解字．巢部》：「巢，鳥在木上曰巢，在穴曰窠。」如：「鳥巢」、「蜂巢」。《詩經．召南．鵲巢》：「維鵲有巢，維鳩居之。」《漢書．卷二七．五行志中之上》：「長安城南有鼠銜黃蒿、柏葉，上民冢柏及榆樹上為巢。」
2.住處。唐．李白〈憶舊遊寄譙郡元參軍〉詩：「余既還山尋故巢，君亦歸家渡渭橋。」《新唐書．卷一六六．列傳．杜佑》：「不數月必覆賊巢。」
3.樂器名，吹管樂器。屬於笙類的一種。《新唐書．卷二一．禮樂志十一》：「七曰匏，為笙，為竽，為巢。巢，大笙也。」
4.姓。如東漢時有巢堪。
[動]
築巢。《左傳．昭公二十五年》：「有鴝鵒來巢。」</t>
  </si>
  <si>
    <t>漅</t>
  </si>
  <si>
    <t>[名]
湖泊名。即巢湖。位大陸地區安徽省巢縣西南，東南注入長江。</t>
  </si>
  <si>
    <t>樔</t>
  </si>
  <si>
    <t>[名]
水澤中守望的草樓。《說文解字．木部》：「樔，澤中守艸樓。」</t>
  </si>
  <si>
    <t>[動]
1.古代見人皆稱「朝」。多用於卑見尊、下見上。如臣下進見君長、晚輩問候長輩。諸侯相拜見也稱為「朝」。《國語．魯語下》：「公父文伯退朝，朝其母，其母方績。」《孟子．公孫丑下》：「孟子將朝王。」
2.參拜神明。如：「朝聖」、「朝山」。《花月痕》第三回：「前年三月初三夜，忽來與我作別，說要去南海朝觀音。」
3.對、向。唐．李白〈江西送友人之羅浮〉詩：「桂水分五嶺，衡山朝九疑。」
[名]
1.舊時君王聽政、辦事的地方。如：「朝廷」。《孟子．梁惠王上》：「使天下仕者皆欲立於王之朝。」
2.某一世系帝王的統治時期，或某位君王的統治時期。如：「漢朝」、「唐朝」、「崇禎朝」。
3.姓。如隋代有朝景煥。
[介]
對，向。表示動作、行為所對的方向。《紅樓夢》第一一回：「父親遵太爺的話，不敢前來，在家裡率領合家都朝上行了禮了。」《鏡花緣》第九回：「忽見遠遠有一小人……唐敖一見，那敢怠慢，慌忙追趕。那個小人也朝前奔走。」</t>
  </si>
  <si>
    <t>(一)ㄓㄠ zhāo（07710）</t>
  </si>
  <si>
    <t>潮</t>
  </si>
  <si>
    <t>[名]
1.海水受日月引力的影響而定時漲落的現象。如：「潮汐」、「潮起潮落」。
2.像潮水般洶湧起伏的形勢。如：「思潮」、「學潮」。
[形]
1.微溼。《紅樓夢》第三五回：「大清早起，在這個潮地方站了半日，也該回去歇息歇息了。」
2.技藝不高或物質的成色低劣。如：「他的手藝潮。」《紅樓夢》第一〇五回：「潮銀五千二百兩。赤金五十兩。」</t>
  </si>
  <si>
    <t>[動]
1.譏笑。如：「嘲弄」、「嘲笑」、「冷嘲熱諷」。
2.逗引、挑逗。《金瓶梅》第一回：「（金蓮）常把眉目嘲人，雙睛傳意。」
3.吟詠。《北史．卷三六．薛辯傳》：「因使元翌等嘲，以酒為韻。」唐．白居易〈與元九書〉：「至於梁、陳間，率不過嘲風雪，弄花草而已。」</t>
  </si>
  <si>
    <t>(二)ㄓㄠ zhāo（07711）</t>
  </si>
  <si>
    <t>鼂</t>
  </si>
  <si>
    <t>[名]
姓。同「晁」。《廣韻．平聲．宵韻》：「鼂，姓，《風俗通》云衛大夫史鼂之後，漢有鼂錯。」</t>
  </si>
  <si>
    <t>吵</t>
  </si>
  <si>
    <t>ㄔㄠˇ</t>
  </si>
  <si>
    <t>chǎo</t>
  </si>
  <si>
    <t>[動]
1.攪擾。如：「別把孩子吵醒了！」
2.爭鬧。如：「爭吵」、「吵架」。《儒林外史》第一八回：「三公子只給他兩個錢一個，就同那饅頭店裡吵起來。」
[形]
聲音雜亂。如：「聲音吵雜」、「車聲太吵」。</t>
  </si>
  <si>
    <t>炒</t>
  </si>
  <si>
    <t>[動]
1.一種烹飪方法。把食物置鍋內，以少量的油略為翻攪至熟者。如：「炒三鮮」。
2.爭鬧。通「吵」。元．喬吉《金錢記》第一折：「鬧炒炒嫩綠草聒鳴蛙，輕絲絲淡黃柳帶栖鴉。」</t>
  </si>
  <si>
    <t>麨</t>
  </si>
  <si>
    <t>[名]
一種將米、麥炒熟後磨粉製成的乾糧。晉．干寶《搜神記》卷一九：「先將數石米餈，用蜜麨灌之，以置穴口，蛇便出。」宋．范成大〈刈麥行〉：「犁田待雨插晚稻，朝出移秧夜食麨。」</t>
  </si>
  <si>
    <t>耖</t>
  </si>
  <si>
    <t>ㄔㄠˋ</t>
  </si>
  <si>
    <t>chào</t>
  </si>
  <si>
    <t>[動]
重新鬆土耕作。《廣韻．去聲．效韻》：「耖，重耕田也。」
[名]
一種翻鬆泥土的農具。元．王禎《農書．耒耜門》：「耖，疏通田泥器也。高可三尺許，廣可四尺，上有橫柄，……。人以兩手按之，前用畜力輓行。」</t>
  </si>
  <si>
    <t>(一)ㄔㄠ chāo（08292）</t>
  </si>
  <si>
    <t>(一)ㄓㄨㄛˊ zhuó（08039）</t>
  </si>
  <si>
    <t>抽</t>
  </si>
  <si>
    <t>ㄔㄡ</t>
  </si>
  <si>
    <t>chōu</t>
  </si>
  <si>
    <t>[動]
1.引出。《廣韻．平聲．尤韻》：「抽，引也。或作紬，紬引其端緒也。」如：「抽絲」、「抽紗」。
2.將放在中間的東西取出。《左傳．襄公二十六年》：「戌怒抽戈逐王子圍，弗及。」唐．李白〈宣州謝朓樓餞別校書叔雲〉詩：「抽刀斷水水更流，舉杯銷愁愁更愁。」
3.從全部中取出一部分。如：「抽稅」、「抽空」、「抽籤」、「從一疊信中抽出一封來。」
4.除去。《儀禮．喪服》：「緦者十五升，抽其半。」
5.萌發、長出。如：「稻子抽穗」、「抽出嫩芽」。唐．韓愈〈苦寒〉詩：「草木不復抽，百味失苦甜。」
6.吸。如：「抽菸」、「抽水」、「倒抽了一口氣。」
7.收、縮。如：「抽筋」、「抽搐」。宋．蘇軾〈李頎秀才善畫山以兩軸見寄仍有詩次韻答之〉：「詩句對君難出手，雲泉勸我早抽身。」
8.鞭、打。如：「拿鞭子抽你一頓。」</t>
  </si>
  <si>
    <t>紬</t>
  </si>
  <si>
    <t>[動]
1.抽引。如：「紬繹」。《文選．宋玉．高唐賦》：「紬大弦而雅聲流，冽風過而增悲哀。」李善注引《字林》曰：「紬，引也。」
2.綴集。《史記．卷一三〇．太史公自序》：「卒三歲而遷為太史令，紬史記石室金匱之書。」</t>
  </si>
  <si>
    <t>(一)ㄔㄡˊ chóu（08326）</t>
  </si>
  <si>
    <t>搐</t>
  </si>
  <si>
    <t>參見「搐風」條。</t>
  </si>
  <si>
    <t>(一)ㄔㄨˋ chù（08562）</t>
  </si>
  <si>
    <t>搊</t>
  </si>
  <si>
    <t>[動]
1.用手指撥弄樂器。如：「搊琵琶」。元．張可久〈憑欄人．江水澄澄江月明〉曲：「江水澄澄江月明，江上何人搊玉箏。」
2.束緊。如：「搊帶」。唐．陸龜蒙〈新夏東郊閒泛有懷襲美〉詩：「經略彴時冠暫亞，佩笭箵後帶頻搊。」
3.攙扶。《金瓶梅》第二一回：「這個李大姐只相個瞎子，行動一磨趄子就倒了；我搊你去，倒把我一腳𨃓在雪裡。」
4.翻、掀。如：「將箱子搊過來。」《醒世姻緣傳》第四〇回：「說著，打發婆子上了騾子，給他搊上衣裳。」
5.編造、胡謅。《醉醒石》第八回：「又搊一個笑話，用著兩句浣紗曲子。」</t>
  </si>
  <si>
    <t>篘</t>
  </si>
  <si>
    <t>[名]
用來漉酒去糟的竹籠。《玉篇．竹部》：「篘，酒籠。」唐．白居易〈詠家醞十韻〉：「釀糯豈勞炊范黍，撇篘何假漉陶巾。」
[動]
漉酒。宋．陸游〈與兒輩小集〉詩：「老子秋來樂事稠，吳秔新擣酒新篘。」</t>
  </si>
  <si>
    <t>瘳</t>
  </si>
  <si>
    <t>[動]
病癒。《書經．說命上》：「若藥弗瞑眩，厥疾弗瘳。」《三國志．卷二九．魏書．方技傳．華佗傳》：「而阿針背入一二寸，巨闕胸臟針下五六寸，而病輒皆瘳。」
[名]
損失、減少。《國語．晉語二》：「君不度而賀大國之襲，於己也何瘳？」唐．李觀〈上宰相安邊書〉：「虜滋新謀，土失舊封，伊頃迄今，有加無瘳。」</t>
  </si>
  <si>
    <t>犨</t>
  </si>
  <si>
    <t>[擬]
形容牛的喘息聲。《說文解字．牛部》：「犨，牛息聲。」
[動]
突出。《呂氏春秋．恃君覽．召類》：「南家之牆，犨於前而不直。」</t>
  </si>
  <si>
    <t>ㄔㄡˊ</t>
  </si>
  <si>
    <t>chóu</t>
  </si>
  <si>
    <t>[名]
1.讎敵。如：「世仇」。《韓非子．孤憤》：「是智法之士，與當塗之人，不可兩存之仇也。」
2.深切的怨恨。如：「深仇大恨」、「恩將仇報」。
[動]
怨恨。《書經．五子之歌》：「萬姓仇予，予將疇依。」</t>
  </si>
  <si>
    <t>(二)ㄑㄧㄡˊ qiú（06410）</t>
  </si>
  <si>
    <t>(一)ㄗㄨㄣˋ zùn（09658）(三)ㄓㄣˋ zhèn（07857）</t>
  </si>
  <si>
    <t>惆</t>
  </si>
  <si>
    <t>參見「惆悵」條。</t>
  </si>
  <si>
    <t>稠</t>
  </si>
  <si>
    <t>[形]
1.繁、多。如：「地窄人稠」。宋．謝枋得〈蠶婦吟〉：「子規啼徹四更時，起視蠶稠怕葉稀。」
2.深濃、厚密。如：「濃稠」、「粥太稠了。」唐．杜甫〈送韋十六評事充同谷郡防禦判官〉詩：「古色沙土裂，積陰雪雲稠。」
[名]
姓。如漢代有稠雕。</t>
  </si>
  <si>
    <t>裯</t>
  </si>
  <si>
    <t>[名]
1.單薄的被或床帳。《詩經．召南．小星》：「肅肅宵征，抱衾與裯。」漢．毛亨．傳：「衾，被也；裯，襌被也。」漢．鄭玄．箋：「裯，床帳也。」
2.泛指被子。唐．杜甫〈秋雨歎〉三首之二：「城中斗米換衾裯，相許寧論兩相直。」</t>
  </si>
  <si>
    <t>綢</t>
  </si>
  <si>
    <t>[名]
絲織品的通稱。如：「綢緞」、「杭綢」、「府綢」。
[動]
束縛、纏紮。《楚辭．屈原．九歌．湘君》：「薜荔柏兮蕙綢，荃橈兮蘭旌。」</t>
  </si>
  <si>
    <t>[名]
絲織品的通稱。通「綢」。宋．陸游〈秋晚雨中〉詩：「醉來且擁黃紬睡，莫問何時后土乾。」</t>
  </si>
  <si>
    <t>(二)ㄔㄡ chōu（08314）</t>
  </si>
  <si>
    <t>𠷎</t>
  </si>
  <si>
    <t>[名]
南方的一種野雞。《爾雅．釋鳥》：「雉，南方曰𠷎。」</t>
  </si>
  <si>
    <t>(二)ㄕㄡˋ shòu（▲08902）</t>
  </si>
  <si>
    <t>詶</t>
  </si>
  <si>
    <t>[動]
1.應答。《廣韻．平聲．尤韻》：「詶，以言答之。」如：「詶對」。
2.報答。同「酬」。《後漢書．卷一．光武紀上》：「其顯效未詶，名籍未立者。」</t>
  </si>
  <si>
    <t>酬</t>
  </si>
  <si>
    <t>[動]
1.勸酒、敬酒。《玉篇．酉部》：「酬，勸也。」《喻世明言．卷四〇．沈小霞相會出師表》：「下官代他酬老先生一盃。」
2.贈與。《儀禮．士冠禮》：「主人酬賓束帛儷皮。」《清平山堂話本．夔關姚卞弔諸葛》：「命童子取銀一錠，以酬潤筆之資。」
3.報答。如：「酬謝」。《左傳．昭公二十七年》：「為惠已甚，吾無以酬之，若何？」唐．李白〈走筆贈獨孤駙馬〉詩：「長揖蒙垂國士恩，壯心剖出酬知己。」
4.應對、唱和。《晉書．卷六二．劉琨傳》：「諶素無奇略，以常詞酬和。」《元史．卷一七〇．張昉傳》：「左酬右答，咸得其當。」
5.實現、償願。如：「壯志未酬」。宋．陸游〈倚樓〉詩：「未酬馬上功名願，已是人間老大身。」</t>
  </si>
  <si>
    <t>愁</t>
  </si>
  <si>
    <t>[名]
憂傷的心緒。如：「離愁」、「鄉愁」。唐．杜甫〈聞官軍收河南河北〉詩：「卻看妻子愁何在，漫卷詩書喜欲狂。」
[動]
憂慮、悲傷。如：「不愁吃穿」。唐．崔顥〈黃鶴樓〉詩：「日暮鄉關何處是，煙波江上使人愁。」
[形]
憂傷的、慘淡的。如：「愁緒」、「愁眉苦臉」、「愁雲慘霧」。唐．司空曙〈賊平後送人北歸〉詩：「寒禽與衰草，處處伴愁顏。」</t>
  </si>
  <si>
    <t>㵞</t>
  </si>
  <si>
    <t>[副]
憂愁、鬱悶。漢．賈誼《新書．卷六．容經》：「軍旅之志，惟然慍然精以厲；喪紀之志，漻然㵞然憂以湫。」</t>
  </si>
  <si>
    <t>雔</t>
  </si>
  <si>
    <t>[名]
成雙成對的鳥。《說文解字．雔部》：「雔，雙鳥也。」</t>
  </si>
  <si>
    <t>讎</t>
  </si>
  <si>
    <t>[動]
1.應答、對答。《詩經．大雅．抑》：「無言不讎，無德不報。」《新唐書．卷八五．王世充傳》：「而世充素詭妄，不能讎其語，士大夫遂貳。」
2.相等、相類。漢．揚雄《法言．重黎》：「夫欲讎偽者必假真，禹乎盧乎終始乎。」《漢書．卷六八．霍光傳》：「卒不得遂其謀，皆讎有功。」
3.適當、恰當。《史記．卷一〇七．魏其武安侯傳》：「於是上使御史簿責魏其所言灌夫，頗不讎，欺謾。」
4.應驗。《史記．卷二八．封禪書》：「五利妄言見其師，其方盡，多不讎。上乃誅五利。」
5.校對、校勘。《文選．左思．魏都賦》：「讎校篆籀，篇章畢覿。」《新唐書．卷九八．王珪傳》：「召入祕書內省，讎定群書。」
6.償付。《資治通鑑．卷五四．漢紀四十六．桓帝延熹五年》：「云臣私報諸羌，讎以錢貨。」
[名]
1.仇怨。通「仇」。如：「世讎」、「私讎」。《左傳．襄公二十一年》：「祁大夫外舉不棄讎，內舉不失親。」
2.姓。如漢代有讎遷。</t>
  </si>
  <si>
    <t>儔</t>
  </si>
  <si>
    <t>[名]
1.伴侶。唐．韓愈〈送窮文〉：「攜朋挈儔，去故就新。」元．關漢卿《竇娥冤》第一折：「則被你坑殺人燕侶鶯儔。」
2.同類、同輩。《文選．曹植．七啟》：「若夫田文無忌之儔，乃上古之俊公子也。」
[動]
匹敵、相比。《文選．嵇康．幽憤詩》：「嗟我憤歎，曾莫能儔。」《文選．孔稚珪．北山移文》：「務光何足比，涓子不能儔。」</t>
  </si>
  <si>
    <t>懤</t>
  </si>
  <si>
    <t>參見「懤懤」條。</t>
  </si>
  <si>
    <t>[名]
1.蚊帳、帷幕。《南史．卷七〇．循吏傳．孫謙傳》：「夏日無幬帳，而夜臥未嘗有蚊蚋，人多異焉。」南朝梁．沈約〈休沐寄懷詩〉：「送日隱層閣，引月入輕幬。」
2.舟車上的帷幕。《史記．卷二三．禮書》：「大路之素幬也。」唐．司馬貞．索隱：「幬，謂車蓋以素帷。」</t>
  </si>
  <si>
    <t>(一)ㄉㄠˋ dào（01975）</t>
  </si>
  <si>
    <t>疇</t>
  </si>
  <si>
    <t>[名]
1.田地。如：「田疇」、「荒疇」、「綠野平疇」。
2.田間區分各種作物的界限。《文選．左思．蜀都賦》：「其園則有蒟蒻茱萸，瓜疇芋區，甘蔗辛薑。」
3.種類、類別。如：「範疇」。《戰國策．齊策三》：「夫物各有疇，今髡賢者之疇也。」
4.姓。如春秋時越國有疇無餘。
[動]
使相等。《漢書．卷八．宣帝紀》：「復其後世，疇其爵邑，世世毋有所與。」《資治通鑑．卷三五．漢紀二十七．平帝元始元年》：「莽宜賜號曰安漢公，益戶疇爵邑。」
[代]
誰。《文選．張衡．西京賦》：「天命不濤，疇敢以渝。」唐．杜甫〈九日寄岑參〉詩：「安得誅雲師，疇能補天漏？」</t>
  </si>
  <si>
    <t>籌</t>
  </si>
  <si>
    <t>[動]
計算、謀劃。如：《史記．卷五五．留侯世家》：「臣請藉前箸為大王籌之。」《後漢書．卷六五．皇甫規傳》：「豫籌其事，有誤中之言。」
[名]
1.計數的器具。《漢書．卷二七．五行志下之上》：「籌，所以紀數。」《資治通鑑．卷一九七．唐紀十三．太宗貞觀十九年》：「文本夙夜勤力，躬自料配，籌、筆不去手。」元．胡三省．注：「籌，所以計算。」
2.計策、計謀。《晉書．卷一．宣帝紀》：「昔箕子陳謀，以食為首。今天下不耕者蓋二十餘萬，非經國遠籌也。」唐．元稹〈陽城驛〉詩：「希夷惇薄俗，密勿獻良籌。」
3.量詞。古代計算人數的單位。通「條」。如：「六籌好漢」。《警世通言．卷二二．宋小官團圓破氈笠》：「當時聚起十六籌後生，準備八副繩索扛棒，隨宋金往土地廟來。」</t>
  </si>
  <si>
    <t>躊</t>
  </si>
  <si>
    <t>參見「躊佇」、「躊躇」等條。</t>
  </si>
  <si>
    <t>鯈</t>
  </si>
  <si>
    <t>[名]
動物名。即白鰷。脊椎動物亞門硬骨魚綱條鰭亞綱。產於淡水，身體狹長，背淡黑色，腹白，鱗細。清．徐珂《清稗類鈔．動物類．白鰷》：「白鰷即鯈魚」。也稱為「鰷魚」。</t>
  </si>
  <si>
    <t>(二)（又音）ㄧㄡˊ yóu（10903）</t>
  </si>
  <si>
    <t>丑</t>
  </si>
  <si>
    <t>ㄔㄡˇ</t>
  </si>
  <si>
    <t>chǒu</t>
  </si>
  <si>
    <t>[名]
1.地支的第二位。
2.時辰名。約當凌晨一點到三點。
3.傳統戲劇中，扮演滑稽可笑人物的喜劇角色。如：「小丑」、「文丑」、「武丑」。元．馬致遠《青衫淚》第二折：「丑扮小閑引淨扮劉一郎上。」
4.姓。如南朝齊有丑千。</t>
  </si>
  <si>
    <t>[名]_x000D_
一種古代的刑具。即手銬。《舊唐書．卷五〇．刑法志》：「繫囚之具，有枷、杻、鉗、鎖，皆有長短廣狹之制。」</t>
  </si>
  <si>
    <t>(二)ㄋㄧㄡˇ niǔ（03076）</t>
  </si>
  <si>
    <t>偢</t>
  </si>
  <si>
    <t>[動]
看、理睬。同「瞅」。元．關漢卿《竇娥冤》第一折：「端的個有誰問，有誰偢？」《儒林外史》第六回：「姑奶奶平日只敬重的王家哥兒兩個，把我們不偢不倸。」</t>
  </si>
  <si>
    <t>瞅</t>
  </si>
  <si>
    <t>[動]
看。如：「瞅了一眼」。《兒女英雄傳》第九回：「張老聽了，瞅著老婆兒，老婆兒瞅著女兒，……大不得主意起來。」</t>
  </si>
  <si>
    <t>醜</t>
  </si>
  <si>
    <t>[形]
1.形貌陋劣、難看。《南史．卷三三．張邵傳》：「融形貌短醜，精神清徹。」
2.惡劣的、不好的。如：「醜聞」、「醜事」。《史記．卷七．項羽本紀》：「項羽為天下宰，不平。今盡王故王於醜地，而王其群臣諸將善地。」
3.汙穢。《文選．司馬遷．報任少卿書》：「行莫醜於辱先，詬莫大於宮刑。」唐．李善．注：「醜，穢也。」
[動]
1.憎惡。《書經．胤征》：「既醜有夏，復歸於亳。」《左傳．昭公二十八年》：「惡直醜正，實蕃有徒。」
2.汙辱。如：「醜詆」、「醜化」。《呂氏春秋．季冬紀．不侵》：「秦昭王聞之，而欲醜之以辭。」
3.相類。《孟子．公孫丑下》：「今天下地醜德齊，莫能相尚。」
[名]
1.羞恥、不光榮的事。如：「家醜不可外揚」。漢．劉向《新序．卷三．雜事》：「然得賢士與共國，以雪先王之醜，孤之願也。」
2.醜惡、低賤之人。《詩經．大雅．綿》：「迺立冢土，戎醜攸行。」《晉書．卷六六．陶侃傳》：「侃以偏旅獨當大寇，無征不克，群醜破滅。」
3.姓。如漢代有醜長。</t>
  </si>
  <si>
    <t>ㄔㄡˋ</t>
  </si>
  <si>
    <t>chòu</t>
  </si>
  <si>
    <t>[名]
1.難聞的氣味。與「香」相對。如：「腥臭」、「口臭」、「銅臭」。
2.惡名，不好的名聲。如：「遺臭萬年」。《晉書．卷九八．桓溫傳》：「不足復遺臭萬載邪！」
[形]
1.味道難聞的。如：「臭汗」、「臭屁」、「好臭喔！」。
2.醜惡的、令人厭惡的。如：「別擺一副臭架子！」、「她整天擺著一張臭臉。」
[副]
狠狠的。如：「臭罵一頓。」《儒林外史》第六回：「揪著頭髮，臭打一頓。」</t>
  </si>
  <si>
    <t>(二)ㄒㄧㄡˋ xiù（07056）</t>
  </si>
  <si>
    <t>[名]
腐惡的臭氣。《說文解字．歺部》：「殠，腐氣也。」《漢書．卷六七．楊王孫傳》：「其穿下不亂泉，上不泄殠。」</t>
  </si>
  <si>
    <t>(二)（又音）ㄒㄧㄡˋ xiù（07059）</t>
  </si>
  <si>
    <t>簉</t>
  </si>
  <si>
    <t>(一)ㄗㄠˋ zào（09505）</t>
  </si>
  <si>
    <t>裧</t>
  </si>
  <si>
    <t>ㄔㄢ</t>
  </si>
  <si>
    <t>chān</t>
  </si>
  <si>
    <t>[名]
1.車旁的帷幕。《儀禮．士昏禮》：「婦車亦如之，有裧。」
2.古代靈車旁的布幕。《禮記．雜記上》：「其輤有裧，緇布裳帷。」</t>
  </si>
  <si>
    <t>摻</t>
  </si>
  <si>
    <t>[動]
混合、雜入。同「攙」。如：「摻合」、「摻砂」、「摻水」。</t>
  </si>
  <si>
    <t>(一)ㄕㄢ shān（08923）(二)ㄕㄢˇ shǎn（08932）(三)ㄘㄢˋ càn（09787）</t>
  </si>
  <si>
    <t>幨</t>
  </si>
  <si>
    <t>[名]
1.車上的帷幔。《新唐書．卷九七．魏徵傳》：「乃用素車，白布幨帷。」
2.泛指床帳或帳幕。晉．張敞《東宮舊事》：「皇太子納妃，有綠石、綺絹、裡床幨二。」
[動]
皺起、突起。《周禮．冬官考工記．弓人》：「強者在內而摩其筋，夫筋之所由幨，恆由此作。」漢．鄭玄．注：「幨，絕起也。」</t>
  </si>
  <si>
    <t>襜</t>
  </si>
  <si>
    <t>[名]_x000D_
1.工作時圍在身前的衣物。即蔽膝。《詩經．小雅．采綠》：「終朝采藍，不盈一襜。」漢．毛亨．傳：「衣蔽前謂之襜。」宋．范仲淹〈和章岷從事鬥茶歌〉：「終朝採掇未盈襜，唯求精粹不敢貪。」_x000D_
2.車上的帷幕。《後漢書．卷二六．伏侯宋蔡馮趙牟韋列傳．郭賀》：「顯宗巡狩到南陽，特見嗟歎，賜以三公之服，黼黻冕旒。敕行部去襜帷，使百姓見其容服，以章有德。」南朝梁．任昉〈奏彈劉整〉：「何其不能折契鐘庾，而襜帷交質。」_x000D_
3.馬鞍下的墊褥。唐．曹唐〈小遊僊〉詩九八首之九七：「紅龍錦襜黃金勒，不是元君不得騎。」唐．毛文錫〈甘州遍．春光好〉詞：「金鞍白馬，雕弓寶劍，紅纓錦襜出長鞦。」_x000D_
[形]_x000D_
整齊。《論語．鄉黨》：「揖所與立，左右手，衣前後，襜如也。」《舊唐書．卷一〇二．列傳．劉子玄》：「且長裾廣袖，襜如翼如，鳴珮行組，鏘鏘奕奕。」</t>
  </si>
  <si>
    <t>攙</t>
  </si>
  <si>
    <t>[動]
1.牽挽、扶持。如：「攙扶」。《紅樓夢》第九六回：「我叫秋紋妹妹同著你攙回姑娘，歇歇去罷。」
2.雜入、混合。如：「泥裡攙著石灰。」明．湯顯祖《牡丹亭》第四九齣：「多攙白水江湖酒，少賺黃邊風月錢。」</t>
  </si>
  <si>
    <t>ㄔㄢˊ</t>
  </si>
  <si>
    <t>chán</t>
  </si>
  <si>
    <t>參見「單于」條。</t>
  </si>
  <si>
    <t>(一)ㄉㄢ dān（02003）(二)ㄕㄢˋ shàn（08949）</t>
  </si>
  <si>
    <t>嬋</t>
  </si>
  <si>
    <t>參見「嬋連」、「嬋娟」等條。</t>
  </si>
  <si>
    <t>禪</t>
  </si>
  <si>
    <t>[名]_x000D_
1.禪那的簡稱。為佛教的修行方法之一，即靜思之意。如：「坐禪」、「禪定」。宋．蘇軾〈沐浴啟聖僧舍與趙德麟邂逅〉詩：「酒清不醉休休暖，睡穩如禪息息勻。」_x000D_
2.佛法、佛理。《水滸傳》第四回：「老僧自慢慢地教他念經誦咒，辦道參禪。」唐．顏真卿〈使過瑤臺寺有懷圓寂上人〉詩：「上人居此寺，不出三十年。萬法元無著，一心唯趣禪。」_x000D_
[形]_x000D_
佛家的、帶機鋒的。如：「禪機」。唐．劉禹錫〈澈上人文集序〉：「以文章接才子，以禪理說高人。」《紅樓夢》第九一回：「你的性靈比我竟強遠了，怨不得前年我生氣的時候，你和我說過幾句禪語，我實在對不上來。」</t>
  </si>
  <si>
    <t>(二)ㄕㄢˋ shàn（08953）</t>
  </si>
  <si>
    <t>蟬</t>
  </si>
  <si>
    <t>[名]
1.動物名。同翅目蟬科。四翅薄而透明，雄蟬腹胸交界處有發聲器，收縮振動得以產生鳴聲，雌蟬則無鳴叫能力。幼蟲於地下挖洞穴居，以吸食植物根部的汁液為生。待幼蟲成熟，則爬上樹幹羽化。也稱為「知了」。
2.蟬形的裝飾品。《續漢書志．第三〇．輿服志下》：「加黃金璫，附蟬為文，貂尾為飾。」唐．李賀〈夜來樂〉詩：「新客下馬故客去，綠蟬秀黛重拂梳。」
[副]
繼續不斷。如：「蟬聯冠軍」。</t>
  </si>
  <si>
    <t>孱</t>
  </si>
  <si>
    <t>[形]
1.狹窄。《說文解字．孨部》：「孱，迮也。」清．段玉裁．注：「此迮當為笮，今之窄字也。」
2.虛弱、衰弱。如：「孱弱」。宋．陸游〈九月一日夜讀詩稿有感走筆作歌〉：「力孱氣餒心自知，妄取虛名有慚色。」
3.低劣、淺陋。宋．宋祁〈授龍圖閣謝恩表〉：「識局庸淺，術學膚孱。」
[副]
謹慎。《大戴禮記．曾子立事》：「君子博學而孱守之，微言而篤行之。」</t>
  </si>
  <si>
    <t>(二)ㄘㄢˋ càn（09783）</t>
  </si>
  <si>
    <t>僝</t>
  </si>
  <si>
    <t>潺</t>
  </si>
  <si>
    <t>參見「潺潺」、「潺湲」等條。</t>
  </si>
  <si>
    <t>同「巉」。</t>
  </si>
  <si>
    <t>(一)ㄓㄢˇ zhǎn（07793）</t>
  </si>
  <si>
    <t>獑</t>
  </si>
  <si>
    <t>參見「獑胡」條。</t>
  </si>
  <si>
    <t>廛</t>
  </si>
  <si>
    <t>[名]
1.古代城市中可供平民居住的宅地。《說文解字．广部》：「廛，二畝半也，一家之居。」《孟子．滕文公上》：「遠方之人聞君行仁政，願受一廛而為氓。」
2.店鋪。《禮記．王制》：「市廛而不稅。」漢．鄭玄．注：「廛，市物邸舍，稅舍不稅其物。」</t>
  </si>
  <si>
    <t>瀍</t>
  </si>
  <si>
    <t>[名]
河川名。發源於河南省洛陽市孟津縣西北部，東南流經洛陽市瀍河回族區注入洛河。</t>
  </si>
  <si>
    <t>纏</t>
  </si>
  <si>
    <t>[動]_x000D_
1.裹繞、圍繞。如：「纏足」、「頭上纏了一塊布。」《後漢書．卷七二．董卓列傳》：「卓所得義兵士卒，皆以布纏裡，倒立於地，熱膏灌殺之。」_x000D_
2.攪擾、騷擾。如：「死纏爛打」、「他被無賴給纏上了。」《晉書．卷七九．列傳．謝安》：「哀毒兼纏，痛百常情。」_x000D_
3.應付、對付。《金瓶梅詞話》第五九回：「你每亂道，怎的把孩子諕了，沒的賴人起來！爪兒只揀軟處捏，俺每這屋裡是好纏的！」《施公案》第一五五回：「一來人的名兒，樹的影兒，聽見是施大人，素日早知難纏，不由打個冷戰，二來也是合該犯事。」_x000D_
[名]_x000D_
姓。如漢代有纏子。</t>
  </si>
  <si>
    <t>躔</t>
  </si>
  <si>
    <t>[動]
1.踐踏。《說文解字．足部》：「躔，踐也。」
2.日月星辰在其軌道上運行。《漢書．卷二一．律曆志上》：「日月初躔，星之紀也。」唐．高宗〈頒行麟德曆詔〉：「日次月躔，寧循舊度。」
[名]
1.獸類的足跡。《爾雅．釋獸》：「其跡躔。」晉．郭璞．注：「腳所踐處。」
2.日月星辰所行經的度數。宋．陸游《老學庵筆記》卷三：「崇寧中，長星出。推步躔度長七十二萬里。」</t>
  </si>
  <si>
    <t>參見「儃佪」條。</t>
  </si>
  <si>
    <t>(二)ㄊㄢˇ tǎn（02562）(三)ㄕㄢˋ shàn（08955）</t>
  </si>
  <si>
    <t>澶</t>
  </si>
  <si>
    <t>[形]
水靜止不動。《集韻．平聲．仙韻》：「澶，水靜貌。」
[名]
參見「澶淵」條。</t>
  </si>
  <si>
    <t>蟺</t>
  </si>
  <si>
    <t>同「蟬」。</t>
  </si>
  <si>
    <t>(一)ㄕㄢˋ shàn（08958）</t>
  </si>
  <si>
    <t>[動]
繞。同「纏」。《史記．卷一〇五．扁鵲倉公傳》：「夫以陽入陰中，動胃繵緣，中經維絡，別下於三焦、膀胱。」</t>
  </si>
  <si>
    <t>(二)ㄉㄢˋ dàn（02025）</t>
  </si>
  <si>
    <t>鋋</t>
  </si>
  <si>
    <t>[名]
小的矛。《說文解字．金部》：「鋋，小矛也。」《史記．卷一一〇．匈奴傳》：「其長兵則弓矢，短兵則刀鋋。」
[動]
刺殺。《文選．司馬相如．上林賦》：「格蝦蛤，鋋猛氏。」</t>
  </si>
  <si>
    <t>毚</t>
  </si>
  <si>
    <t>[名]
1.檀木的別名。也作「欃」。
2.參見「毚兔」條。
[形]
參見「毚微」條。</t>
  </si>
  <si>
    <t>劖</t>
  </si>
  <si>
    <t>[動]
1.鑿。明．徐弘祖《徐霞客遊記．卷七上．滇遊日記六》：「忽一日，白雲從龕後龍脊中垂間，劖石得泉。」
2.刺、割。唐．元稹〈送崔侍御之嶺南二十韻〉：「逸翮憐鴻翥，離心覺刃劖。」</t>
  </si>
  <si>
    <t>瀺</t>
  </si>
  <si>
    <t>參見「瀺灂」條。</t>
  </si>
  <si>
    <t>巉</t>
  </si>
  <si>
    <t>[形]
高險、險峻。《文選．張衡．西京賦》：「坻崿鱗眴，棧齴巉嶮。」唐．王仁裕〈和韓昭從駕過白衛嶺〉詩：「登高曉蹋巉巖石，冒冷朝衝斷續煙。」</t>
  </si>
  <si>
    <t>酁</t>
  </si>
  <si>
    <t>[名]
地名。春秋時代宋國的屬地。</t>
  </si>
  <si>
    <t>欃</t>
  </si>
  <si>
    <t>[名]
1.檀木的別名。也作「毚」。
2.星宿名。參見「欃槍」條。</t>
  </si>
  <si>
    <t>讒</t>
  </si>
  <si>
    <t>[動]
說別人壞話，中傷他人。《史記．卷八四．屈原賈生傳》：「上官大夫見而欲奪之，屈平不與，因讒之。」
[名]
1.毀謗、陷害別人的話。《左傳．哀公十六年》：「楚大子建之遇讒也，自城父奔宋。」《楚辭．屈原．離騷》：「荃不察余之中情兮，反信讒而齋怒。」
2.顛倒是非、中傷別人的人。《晏子春秋．內篇．諫上》：「政不飾而寬于小人，近讒好優。」漢．王充《論衡．答佞》：「讒與佞，俱小人也。」</t>
  </si>
  <si>
    <t>鑱</t>
  </si>
  <si>
    <t>[名]
1.古代一種掘土或挖藥草的鐵器。《抱朴子．外篇．逸民》：「何假乎良史，何煩乎鑱鼎哉？」
2.針、錐等銳利的鐵器。《宋書．卷七四．臧質傳》：「乃作鐵床，於其上施鐵鑱。」
[動]
刺、戳。《淮南子．泰族》：「夫刻肌膚，鑱皮革，被創流血，至難也，然越為之以求榮也。」《南齊書．卷五八．東南夷傳》：「蔓少子長襲殺旃，以刃鑱旃腹。」</t>
  </si>
  <si>
    <t>饞</t>
  </si>
  <si>
    <t>[動]
貪吃。如：「嘴饞」。元．王實甫《西廂記．第一本．第一折》：「餓眼望將穿，饞口涎空嚥。」</t>
  </si>
  <si>
    <t>蟾</t>
  </si>
  <si>
    <t>[名]
1.參見「蟾蜍」條。
2.傳說月亮中有蟾蜍，故代稱月亮為「蟾」。宋．陳師道〈夜句〉詩三首之二：「老樹仍孤秀，秋蟾只獨明。」</t>
  </si>
  <si>
    <t>剗</t>
  </si>
  <si>
    <t>ㄔㄢˇ</t>
  </si>
  <si>
    <t>chǎn</t>
  </si>
  <si>
    <t>[動]
毀滅、削平、刪除。如：「剗平」、「剗除」。《文選．揚雄．劇秦美新》：「剗滅古文，刮語燒書。」《後漢書．卷四四．胡廣傳》：「今以一臣之言，剗戾舊章，便利未明，眾心不猒。」</t>
  </si>
  <si>
    <t>(二)ㄔㄢˋ chàn（08398）</t>
  </si>
  <si>
    <t>產</t>
  </si>
  <si>
    <t xml:space="preserve">生 </t>
  </si>
  <si>
    <t>[名]
1.出自人工或天然的物品。如：「礦產」、「土產」、「海產」、「特產」、「名產」。漢．鼂錯〈賢良文學對策〉：「德上及飛鳥，下至水蟲，草木諸產，皆被其澤。」
2.房地財物。如：「財產」、「不動產」。《史記．卷四一．越王句踐世家》：「居無幾何，致產數十萬。」
3.姓。如明代有產麟。
[動]
1.生。如：「產子」、「產卵」。《韓非子．六反》：「且父母之於子也，產男則相賀，產女則相殺。」
2.自然生長或人工種植、製造。如：「盛產」、「出產」。</t>
  </si>
  <si>
    <t>剷</t>
  </si>
  <si>
    <t>[動]
1.割除。唐．柳宗元〈鈷鉧潭西小邱記〉：「剷刈穢草，伐去惡木。」
2.削平。通「剗」。唐．杜牧〈原十六衛〉：「於是府兵內剷，邊兵外作。」</t>
  </si>
  <si>
    <t>滻</t>
  </si>
  <si>
    <t>參見「滻滻」條。</t>
  </si>
  <si>
    <t>鏟</t>
  </si>
  <si>
    <t>[名]_x000D_
一種帶把的金屬器具，可削平或撮取東西。如：「鍋鏟」、「煤鏟」、「土鏟」。_x000D_
[動]_x000D_
1.削平、挖除。晉．木華〈海賦〉：「於是乎禹也乃鏟臨崖之阜陸，決陂潢而相沃。」_x000D_
2.除去、消滅。唐．李紓〈故中書舍人吳郡朱府君神道碑〉：「國朝鏟邇代之弊，振中古之業。」明．劉基〈祀方丘頌〉：「鋤秦鏟燕，掃貊滌戎。」</t>
  </si>
  <si>
    <t>諂</t>
  </si>
  <si>
    <t>[動]
奉承、巴結。如：「逢迎諂媚」。《論語．學而》：「貧而無諂，富而無驕，何如？」</t>
  </si>
  <si>
    <t>[形]
寬舒、和緩。《禮記．樂記》：「其樂心感者，其聲嘽以緩。」</t>
  </si>
  <si>
    <t>(一)ㄊㄢ tān（02532）</t>
  </si>
  <si>
    <t>幝</t>
  </si>
  <si>
    <t>參見「幝幝」條。</t>
  </si>
  <si>
    <t>燀</t>
  </si>
  <si>
    <t>[動]
炊、燃燒。《左傳．昭公二十年》：「和如羹焉，水火醯醢鹽梅以烹魚肉，燀之以薪。」晉．杜預．注：「燀，炊也。」</t>
  </si>
  <si>
    <t>繟</t>
  </si>
  <si>
    <t>[名]
寬鬆的帶子。《玉篇．糸部》：「繟，寬綬也。」</t>
  </si>
  <si>
    <t>闡</t>
  </si>
  <si>
    <t>[動]
1.開闢、打開。《文選．左思．吳都賦》：「闡闔閭之所營，采夫差之遺法。」唐．白居易〈嚴十八郎中在郡日改制東南樓因名清輝未立標牓徵歸郎署〉詩：「看山倚前戶，待月闡東扉。」
2.顯露、弘揚。如：「闡揚」。《易經．繫辭下》：「夫易彰往而察來，而微顯闡幽。」漢．孔安國〈書經序〉：「漢室龍興，開設學校，旁求儒雅，以闡大猷。」</t>
  </si>
  <si>
    <t>囅</t>
  </si>
  <si>
    <t>參見「囅然」條。</t>
  </si>
  <si>
    <t>灛</t>
  </si>
  <si>
    <t>[名]
河川名。汶水的支流。位於山東省泰安市寧陽縣的東北部。</t>
  </si>
  <si>
    <t>蕆</t>
  </si>
  <si>
    <t>[動]
解決、完成。《左傳．文公十七年》：「十四年七月，寡君又朝，以蕆陳事。」清．龔自珍〈己亥雜詩〉三一五首之八十七：「故人橫海拜將軍，側立南天未蕆勛。」</t>
  </si>
  <si>
    <t>(一)（讀音）ㄓㄢˋ zhàn（07813）</t>
  </si>
  <si>
    <t>丳</t>
  </si>
  <si>
    <t>ㄔㄢˋ</t>
  </si>
  <si>
    <t>chàn</t>
  </si>
  <si>
    <t>[名]
烤肉時用來串肉的竹籤。唐．韓愈〈贈張籍〉詩：「試將詩義授，如以肉貫丳。」</t>
  </si>
  <si>
    <t>參見「一剗」條。</t>
  </si>
  <si>
    <t>(一)ㄔㄢˇ chǎn（08382）</t>
  </si>
  <si>
    <t>儳</t>
  </si>
  <si>
    <t>[形]
1.雜亂不整齊。《玉篇．人部》：「儳，不齊。」《左傳．僖公二十二年》：「聲盛致志，鼓儳可也。」
2.便捷的。《後漢書．卷六九．何進傳》：「進驚，馳從儳道歸營。」
3.輕浮不莊重。《禮記．表記》：「君子不以一日使其躬儳焉，如不終日。」漢．鄭玄．注：「儳焉，可輕賤之貌也。」</t>
  </si>
  <si>
    <t>嚵</t>
  </si>
  <si>
    <t>[名]
鳥獸的嘴。《說文解字．口部》：「嚵，一曰喙也。」如：「狗嚵子」。
[動]
嘗。《集韻．上聲．琰韻》：「嚵，嘗也。」</t>
  </si>
  <si>
    <t>懺</t>
  </si>
  <si>
    <t>[動]
悔悟。如：「懺悔」。《晉書．卷九五．佛圖澄傳》：「佐愕然愧懺。」
[名]
僧侶為人祈禱悔過所唸的經文。如：「拜懺」、「三昧水懺」。《水滸傳》第七一回：「道士齊宣寶懺，上瑤臺酌水獻花。」</t>
  </si>
  <si>
    <t>羼</t>
  </si>
  <si>
    <t>[動]_x000D_
攙雜、混雜。北齊．顏之推《顏氏家訓．書證》：「典籍錯亂，……皆由後人所羼，非本文也。」《新唐書．卷一二三．列傳．李嶠》：「今道人私度者幾數十萬，其中高戶多丁，黠商大賈，詭作臺符，羼名偽度。」</t>
  </si>
  <si>
    <t>(一)ㄓㄢˋ zhàn（07811）</t>
  </si>
  <si>
    <t>韂</t>
  </si>
  <si>
    <t>[名]
垂在馬鞍兩側，用以防阻泥土的器具。唐．元稹〈望雲騅馬歌〉：「潛遣飛龍減芻秣，銀鞍繡韂不復施。」</t>
  </si>
  <si>
    <t>抻</t>
  </si>
  <si>
    <t>ㄔㄣ</t>
  </si>
  <si>
    <t>chēn</t>
  </si>
  <si>
    <t>(一)ㄕㄣˋ shèn（08997）</t>
  </si>
  <si>
    <t>捵</t>
  </si>
  <si>
    <t>[動]
1.拉、伸。《集韻．上聲．準韻》：「捵，手伸物。」如：「她梳了頭髮，捵平了裙子，就進去了。」
2.扯。如：「把他捵出來。」
3.推、頂。《水滸傳》第三七回：「一個公人便將水火棍捵開了船。」
4.挺出。《儒林外史》第一四回：「捵著個肚子，穿著一雙厚底破靴，橫著身子亂跑。」
5.撥動。《儒林外史》第二一回：「浦郎把鎖捵開，見裡面重重包裹，兩本錦面線裝的書。」
[副]
輕手輕腳的。《醒世恆言．卷二七．李玉英獄中訟冤》：「夜間捵入臥室，偷了銀兩。」</t>
  </si>
  <si>
    <t>郴</t>
  </si>
  <si>
    <t>[名]
1.參見「郴江」條。
2.姓。如唐代有郴霽。</t>
  </si>
  <si>
    <t>[動]
止住。《說文解字．糸部》：「綝，止也。」清．朱駿聲《說文通訓定聲．臨部》：「按謂係而止之。」</t>
  </si>
  <si>
    <t>(二)ㄌㄧㄣˊ lín（03628）</t>
  </si>
  <si>
    <t>琛</t>
  </si>
  <si>
    <t>[名]
珍寶。《詩經．魯頌．泮水》：「憬彼淮夷，來獻其琛。」</t>
  </si>
  <si>
    <t>嗔</t>
  </si>
  <si>
    <t>[動]
1.生氣、發怒。如：「嗔怒」。南朝宋．劉義慶《世說新語．德行》：「丞相見長豫輒喜，見敬豫輒嗔。」
2.責怪、埋怨。唐．李賀〈野歌〉：「男兒屈窮心不窮，枯榮不等嗔天公。」《紅樓夢》第三二回：「恐怕你的林妹妹聽見，又怪嗔我贊了寶姐姐。」</t>
  </si>
  <si>
    <t>瞋</t>
  </si>
  <si>
    <t>[動]
1.張大眼睛。《說文解字．目部》：「瞋，張目也。」《莊子．秋水》：「鴟鵂夜撮蚤，察毫末；晝出，瞋目而不見丘山。」《史記．卷七．項羽本紀》：「項王瞋目叱之，樓煩目不敢視。」
2.發怒、生氣。同「嗔」。《廣韻．平聲．真韻》：「瞋，怒也。」南朝宋．劉義慶《世說新語．忿狷》：「瞋甚，復於地取內口中，齧破即吐之。」</t>
  </si>
  <si>
    <t>臣</t>
  </si>
  <si>
    <t>ㄔㄣˊ</t>
  </si>
  <si>
    <t>chén</t>
  </si>
  <si>
    <t>[名]
1.俘虜、奴隸。《書經．費誓》：「臣妾逋逃。」漢．孔安國．傳：「役人賤者，男曰臣，女曰妾。」《禮記．少儀》：「臣則左之。」漢．鄭玄．注：「臣，謂囚俘。」
2.君王時代的官吏。《論語．八佾》：「君使臣以禮，臣事君以忠。」《禮記．禮運》：「君位危，則大臣倍，小臣竊。」
3.古人對君、父或一般人的自謙之詞。《史記．卷八．高祖本紀》：「高祖奉玉卮，起為太上皇壽曰：『始大人常以臣無賴，不能治產業，不如仲力。』」《文選．諸葛亮．出師表》：「臣本布衣，躬耕於南陽。」
4.姓。如漢代有臣綜。
5.二一四部首之一。
[動]
1.服從。如：「臣服」。《韓非子．五蠹》：「魯哀公下主也，南面君國，境內之民，莫敢不臣。」
2.統率、使之服從而為臣。《左傳．昭公七年》：「故王臣公，公臣大夫，大夫臣士。」《戰國策．秦策四》：「兵甲之強，壹毀魏氏之威，而欲以力臣天下之主。」</t>
  </si>
  <si>
    <t>沉</t>
  </si>
  <si>
    <t>[動]
1.沒入水中。如：「沉沒」、「石沉大海」。《詩經．小雅．菁菁者莪》：「汎汎楊舟，載沉載浮。」
2.往下降落。如：「地基下沉」。宋．辛棄疾〈生查子．悠悠萬世功〉詞：「紅日又西沉，白浪長東去。」
3.埋沒、淪落。《文選．左思．詠史詩八首之二》：「世胄躡高位，英俊沉下僚。」唐．李商隱〈戊辰會靜中出貽同志二十韻〉：「中迷鬼道樂，沉為下土民。」
4.使降下。如：「沉不住氣」、「沉下臉來」。
5.迷戀、迷於所好。《書經．微子》：「我用沉酗于酒，用亂敗厥德于下。」《戰國策．趙策二》：「常民溺於習俗，學者沉於所聞。」
6.潛藏、隱伏不外露。《國語．周語下》：「氣不沉滯，而亦不散越。」三國吳．韋昭．注：「沉，伏也。」《文選．陸機．漢高祖功臣頌》：「沉跡中鄉，飛名帝錄。」
[形]
1.重。如：「這個擔子好沉。」《紅樓夢》第四〇回：「那劉老老入了坐，拿起箸來，沉甸甸的不伏手。」
2.深的。三國魏．曹植〈吁嗟篇〉：「自謂終天路，忽然下沉淵。」南朝宋．鮑照〈觀漏賦〉：「注沉穴而海漏，射懸塗而電飛。」
3.長久的。唐．杜甫〈病後過王倚飲贈歌〉：「酷見凍餒不足恥，多病沉年苦無健。」
[副]
深、深切。如：「沉醉」、「沉睡」。《文選．曹操．短歌行》：「但為君故，沉吟至今。」</t>
  </si>
  <si>
    <t>沈</t>
  </si>
  <si>
    <t>同「沉」。</t>
  </si>
  <si>
    <t>(二)ㄕㄣˇ shěn（08986）</t>
  </si>
  <si>
    <t>忱</t>
  </si>
  <si>
    <t>[名]
心意、實情。如：「熱忱」。《老殘遊記》第一七回：「前日種種承情，已託人瑞兄代達謝忱。」
[動]
相信、信任。《詩經．大雅．大明》：「天難忱斯，不易維王。」漢．毛亨．傳：「忱，信也。」</t>
  </si>
  <si>
    <t>辰</t>
  </si>
  <si>
    <t>[名]
1.地支的第五位。
2.時辰名。約當上午七點到九點。
3.時運。《詩經．大雅．桑柔》：「我生不辰，逢天僤怒。」漢．鄭玄．箋：「辰，時也。」
4.時光、日子。如：「誕辰」、「忌辰」。漢．揚雄《法言．問明》：「辰乎辰，曷來之遲，去之速也！」明．湯顯祖《牡丹亭》第一〇齣：「良辰美景奈何天，賞心樂事誰家院！」
5.日月星球的統稱。參見「星辰」條。
6.姓。如清代有辰泰。
7.二一四部首之一。</t>
  </si>
  <si>
    <t>宸</t>
  </si>
  <si>
    <t>[名]
1.屋簷。《說文解字．宀部》：「宸，屋宇也。」清．段玉裁．注：「屋者以宮室上覆言之，宸謂屋邊。」宋．王安石〈外廚遺火示公佐〉詩：「翛翛短褐方圍火，冉冉青煙已被宸。」
2.幽深的房室。《玉篇．宀部》：「宸，賈逵曰：『室之奧者。』」
3.帝王的住處。《廣韻．平聲．真韻》：「宸，天子所居。」《水滸傳》第七一回：「青龍隱隱來黃道，白鶴翩翩下紫宸。」
4.借指帝王。唐．張說〈奉和同皇太子過慈恩寺應制〉詩二首之一：「翼翼宸恩永，煌煌福地開。」</t>
  </si>
  <si>
    <t>晨</t>
  </si>
  <si>
    <t>[名]
早上太陽剛出來的時候。如：「清晨」、「一日之計在於晨」。
[動]
雞鳴報曉。《書經．牧誓》：「古人有言曰：『牝雞無晨。』」唐．孔穎達．正義：「言無晨鳴之道。」</t>
  </si>
  <si>
    <t>梣</t>
  </si>
  <si>
    <t>[名]
植物名。木犀科白蠟樹屬，「白蠟樹」之古稱。參見「白蠟樹」條。</t>
  </si>
  <si>
    <t>[動]
1.排列。如：「陳設」、「陳列」。《書經．洪範》：「我聞在昔，鯀垔洪水，汨陳其五行。」《禮記．中庸》：「陳其宗器，設其裳衣。」
2.述說。《孟子．公孫丑下》：「我非堯舜之道，不敢以陳於王前。」《文選．古詩十九首．今日良宴會》：「今日良宴會，歡樂難具陳。」
3.張揚、顯示。《禮記．表記》：「事君欲諫不欲陳。」唐．韓愈〈愛直贈李君房別〉：「勇不動於氣，義不陳乎色。」
[形]
舊的、年代久遠的。如：「陳年老酒」。
[名]
1.國名。周武王封舜後媯滿於陳，都宛丘。其地約在今大陸地區河南省舊開封以東至安徽省舊毫之間。
2.朝代名。（西元557～589）陳霸先代梁而稱帝，建都建康，擁有大陸地區長江以南的地區，為南朝版圖最小的王朝。後為隋所滅。
3.姓。如漢代有陳平。</t>
  </si>
  <si>
    <t>(二)ㄓㄣˋ zhèn（07872）</t>
  </si>
  <si>
    <t>蔯</t>
  </si>
  <si>
    <t>[名]
植物名。「茵陳」之古稱。參見「茵陳」條。</t>
  </si>
  <si>
    <t>[動]
1.陳列、排列。同「陳」。《楚辭．宋玉．招魂》：「敶鐘按鼓，造新歌些。」
2.述說。同「陳」。三國魏．張揖〈上廣雅表〉：「其敶道也，精研而無誤。」</t>
  </si>
  <si>
    <t>(二)ㄓㄣˋ zhèn（07873）</t>
  </si>
  <si>
    <t>參見「斟愖」條。</t>
  </si>
  <si>
    <t>(二)ㄉㄢ dān（02002）</t>
  </si>
  <si>
    <t>煁</t>
  </si>
  <si>
    <t>[名]
可以移動的火爐。《說文解字．火部》：「煁，烓也。」清．段玉裁．注：「然則行灶非為飲食之灶，若今火鑪，僅可炤物，自古名之曰烓，亦名之曰煁。」《詩經．小雅．白華》：「樵彼桑薪，卬烘于煁。」</t>
  </si>
  <si>
    <t>諶</t>
  </si>
  <si>
    <t>[動]
相信、信賴。《書經．君奭》：「天命不易，天難諶。」《詩經．大雅．蕩》：「天生蒸民，其命匪諶。」漢．毛亨．傳：「諶，誠也。」
[名]
1.忠誠、誠信。《漢書．卷一〇〇．敘傳上》：「觀天罔之紘覆兮，實棐諶而相順。」唐．顏師古．注：「賦言天道惟誠是輔，惟順是助。」
2.姓。如漢代有諶仲望。
[副]
確實。《楚辭．屈原．九章．哀郢》：「外承歡之汋約兮，諶荏弱而難持。」</t>
  </si>
  <si>
    <t>塵</t>
  </si>
  <si>
    <t>[名]
1.飛揚的細小灰土。如：「塵埃」、「灰塵」。
2.戰事、兵禍。《魏書．卷九九．盧水胡沮渠蒙遜傳》：「四方漸泰，表裡無塵。」《警世通言．卷三二．杜十娘怒沉百寶箱》：「當年洪武爺掃蕩胡塵，定鼎金陵，是為南京。」
3.蹤跡、事跡。如：「步人後塵」。唐．李白〈憶秦娥．蕭聲咽〉詞：「樂遊原上清秋節，咸陽古道音塵絕。」
4.世俗。如：「塵俗」、「滾滾紅塵」。
5.佛家稱有礙身心開朗的欲念為「塵」。如：「塵念」。《大方廣圓覺修多羅了義經》：「若諸菩薩悟淨圓覺，以淨覺心，知覺心性及與根塵皆因幻化，即起諸幻。」
6.姓。如明代有塵鐸。
[動]
汙染。《詩經．小雅．無將大車》：「無將大車，祇自塵兮。」唐．孔穎達．正義：「適自塵蔽於己。」
[副]
久遠、長久。《爾雅．釋詁》：「塵，久也。」晉．郭璞．注：「稽久也。」如：「塵封」。《文選．張衡．思玄賦》：「美襞積以酷烈兮，允塵邈而難虧。」</t>
  </si>
  <si>
    <t>硶</t>
  </si>
  <si>
    <t>ㄔㄣˇ</t>
  </si>
  <si>
    <t>chěn</t>
  </si>
  <si>
    <t>同「磣」。</t>
  </si>
  <si>
    <t>磣</t>
  </si>
  <si>
    <t>[名]
物中雜有沙、土等異物。《玉篇．石部》：「磣，食有沙。」《集韻．上聲．寑韻》：「磣，物雜砂也。」宋．梅堯臣〈雨中宿謝胥裴三君書堂〉詩：「夜短竟無寢，困瞳劇塵磣。」
[形]
醜惡、難看。如：「磣的慌」、「寒磣」。《孤本元明雜劇．齊天大聖．第三折》：「可不知怎麼又生下我這樣尖嘴縮腮，毛手毛腳這等磣東西來。」</t>
  </si>
  <si>
    <t>踸</t>
  </si>
  <si>
    <t>參見「踸踔」條。</t>
  </si>
  <si>
    <t>鍖</t>
  </si>
  <si>
    <t>[形]
鍖銋：舒緩不進的樣子。《集韻．上聲．寑韻》：「鍖，鍖銋，聲不進貌。」《文選．王襃．洞簫賦》：「行鍖銋以龢囉。」唐．李善．注：「鍖銋，聲不進貌。」</t>
  </si>
  <si>
    <t>疢</t>
  </si>
  <si>
    <t>ㄔㄣˋ</t>
  </si>
  <si>
    <t>chèn</t>
  </si>
  <si>
    <t>[名]
疾病。《詩經．小雅．小弁》：「心之憂矣，疢如疾首。」晉．左思〈悼離贈妹〉詩二首之二：「其疢伊何，寤寐驚悸。」</t>
  </si>
  <si>
    <t>趁</t>
  </si>
  <si>
    <t>[動]
1.追逐。《梁書．卷九．曹景宗傳》：「常與少年數十人澤中逐獐鹿，每眾騎趁鹿，鹿馬相亂，景宗於眾中射之。」《水滸傳》第四三回：「李逵見了，心裡越疑惑，趁著那血跡尋將去。」
2.找尋。《水滸傳》第七三回：「胡亂趁些晚飯吃，借宿一夜，明日早行。」明．湯顯祖《南柯記》第十齣：「好笑，好笑，沒煩惱趁煩惱。」
3.利用。如：「趁虛而入」。唐．白居易〈早發楚城驛〉詩：「月乘殘夜出，人趁早涼行。」宋．辛棄疾〈水調歌頭．官事未易了〉詞：「君要花滿縣，桃李趁時栽。」
4.追隨、跟隨。唐．白居易〈初到洛下閒遊〉詩：「趁伴入朝應老醜，尋春放醉尚粗豪。」
5.趕、及時以赴。宋．陸游〈雜感〉詩一〇首之七：「山人那信宦途艱，強著期衣趁曉班。」元．王實甫《西廂記．第四本．第三折》：「趁程途節飲食，順時自保揣身體。」</t>
  </si>
  <si>
    <t>稱</t>
  </si>
  <si>
    <t>(一)ㄔㄥ chēng（08479）(二)ㄔㄥˋ chèng（08525）</t>
  </si>
  <si>
    <t>齔</t>
  </si>
  <si>
    <t>[動]_x000D_
自乳齒脫換為成人的牙齒。《說文解字．齒部》：「齔，毀齒也。男八月生齒，八歲而齔；女七月生齒，七歲而齔。」《列子．湯問》：「鄰人京城氏之孀妻，有遺男，始齔，跳往助之。」_x000D_
[名]_x000D_
年幼的人。元．王實甫《西廂記．第二本．第一折》：「呀！將俺一家兒不留一個齠齔，待從軍又怕辱沒了家門。」_x000D_
[形]_x000D_
幼小。《後漢書．卷一〇．皇后紀下．安思閻皇后紀》：「顯、景諸子年皆童齔，并為黃門侍郎。」</t>
  </si>
  <si>
    <t>闖</t>
  </si>
  <si>
    <t>[形]
1.馬馳出門外的樣子。《說文解字．門部》：「闖，馬出門貌。」
2.出頭的樣子。《公羊傳．哀公六年》：「開之則闖然公子陽生也。」</t>
  </si>
  <si>
    <t>(二)ㄔㄨㄤˇ chuǎng（08660）(三)ㄔㄨㄤˋ chuàng（08665）</t>
  </si>
  <si>
    <t>儭</t>
  </si>
  <si>
    <t>[名]
裡。通「襯」。《廣韻．去聲．震韻》：「儭，裡也。」明．張自烈《正字通．人部》：「襯，裡也。當作儭，與襯通。」
[動]
布施財物給僧侶。《南史．卷三二．張卲傳》：「王母殷淑儀薨，後四月八日建齋並灌佛，僚佐儭者多至一萬。」</t>
  </si>
  <si>
    <t>嚫</t>
  </si>
  <si>
    <t>[動]
施予僧侶財物。隋．煬帝〈法諱奉智者書〉：「弟子一日恭嚫，猶以陋薄，不稱宿心。」</t>
  </si>
  <si>
    <t>櫬</t>
  </si>
  <si>
    <t>[名]
1.棺材。《說文解字．木部》：「櫬，棺也。」《左傳．襄公二年》：「穆姜使擇美檟以自為櫬。」
2.梧桐科梧桐屬，「梧桐」之古稱，參見「梧桐」條。《爾雅．釋木》：「櫬，梧。」晉．郭璞．注：「今梧桐。」
3.植物名。錦葵科木槿屬，「木槿」之古稱，參見「木槿」條。</t>
  </si>
  <si>
    <t>襯</t>
  </si>
  <si>
    <t>[名]
1.內衣。《玉篇．衣部》：「襯，近身衣。」
2.襯墊在衣、帽、鞋內的布。如：「鞋襯」、「帽襯」。
[動]
1.對照、烘托。唐．韋莊〈中渡晚眺〉詩：「千重碧樹籠春苑，萬縷紅霞襯碧天。」
2.施與、布施。如：「齋襯」。《儒林外史》第二〇回：「那時帶幾百銀子來幫襯他，到不值什麼！」
[形]
襯墊於內的。如：「襯裙」、「襯衫」。</t>
  </si>
  <si>
    <t>讖</t>
  </si>
  <si>
    <t>[名]
預測災異吉凶的言論或徵兆。如：「一語成讖」。《文選．左思．魏都賦》：「藏氣讖緯，閟象竹帛。」《紅樓夢》第八九回：「思前想後，竟應了前日夢中之讖。千愁萬恨，堆上心來。」</t>
  </si>
  <si>
    <t>昌</t>
  </si>
  <si>
    <t>ㄔㄤ</t>
  </si>
  <si>
    <t>chāng</t>
  </si>
  <si>
    <t>[形]
1.光明。如：「昌明」。《玉篇．日部》：「昌，明也。」《詩經．齊風．雞鳴》：「東方明矣，朝既昌矣。」
2.恰當、美好。《漢書．卷八七．揚雄傳上》：「圖纍承彼洪族兮，又覽纍之昌辭。」唐．楊烱〈老人星賦〉：「獻仙壽兮祝堯，奏昌言兮拜禹。」
[動]
存活。《史記．卷一三〇．太史公自序》：「順之者昌，逆之者不死則亡。」
[名]
姓。如明代有昌海。</t>
  </si>
  <si>
    <t>倡</t>
  </si>
  <si>
    <t>[名]
1.古以歌舞演戲為業的人。如：「倡優」。
2.娼妓。通「娼」。唐．白行簡《李娃傳》：「汧國夫人李娃，長安之倡女也。」
[形]
狂妄。通「猖」。《莊子．山木》：「倡狂妄行。」</t>
  </si>
  <si>
    <t>(一)ㄔㄤˋ chàng（08471）</t>
  </si>
  <si>
    <t>猖</t>
  </si>
  <si>
    <t>[形]
狂妄橫行、不加約束。如：「猖狂」、「猖獗」。</t>
  </si>
  <si>
    <t>娼</t>
  </si>
  <si>
    <t>[名]
妓女。如：「私娼」、「男盜女娼」。元．關漢卿《謝天香》第二折：「怎生勾除籍，不做娼，棄賤得為良。」</t>
  </si>
  <si>
    <t>菖</t>
  </si>
  <si>
    <t>參見「菖蒲」條。</t>
  </si>
  <si>
    <t>閶</t>
  </si>
  <si>
    <t>參見「閶闔」條。</t>
  </si>
  <si>
    <t>錩</t>
  </si>
  <si>
    <t>[名]
古代一種器皿。《字彙．金部》：「錩，器也。」</t>
  </si>
  <si>
    <t>鯧</t>
  </si>
  <si>
    <t>[名]
動物名。脊椎動物亞門硬骨魚綱。體高而側扁，略呈斜方形，體色銀灰。頭、眼、口皆小，牙細，尾分叉如燕。披細鱗。</t>
  </si>
  <si>
    <t>倀</t>
  </si>
  <si>
    <t>[名]
1.行為瘋狂、不知所為的人。《說文解字．人部》：「倀，狂也。」《南史．卷七七．恩倖傳．茹法珍傳》：「奄人王寶孫年十三四，號為倀子，最有寵，參預朝政。」
2.傳說中被虎吃掉後又供虎使喚的鬼。如：「為虎作倀」。清．紀昀《閱微草堂筆記．卷一七．姑妄聽之三》：「聞倀役于虎，必得代乃轉生，是殆倀誘人自代，因引人捕虎報冤也。」
[副]
參見「倀倀」條。</t>
  </si>
  <si>
    <t>鼚</t>
  </si>
  <si>
    <t>[擬]
形容擊鼓的聲音。《玉篇．鼓部》：「鼚，鼓聲。」</t>
  </si>
  <si>
    <t>ㄔㄤˊ</t>
  </si>
  <si>
    <t>cháng</t>
  </si>
  <si>
    <t>[名]_x000D_
1.長度。指兩端點之間的距離。如：「這條河全長三十里。」《論語．鄉黨》：「必有寢衣，長一身有半。」_x000D_
2.優點、長處。如：「截長補短」。《戰國策．齊策三》：「請掩足下之短者，誦足下之長。」_x000D_
3.專精的技能。如：「專長」、「特長」。《孟子．公孫丑上》：「敢問夫子惡乎長？」_x000D_
4.姓。如春秋時楚國有長沮。_x000D_
5.二一四部首之一。_x000D_
[形]_x000D_
1.空間、距離大。與「短」相對。如：「長橋臥波」。《楚辭．屈原．九歌．國殤》：「帶長劍兮挾秦弓，首身離兮心不懲。」_x000D_
2.時間久遠。與「短」相對。如：「天長地久」、「日久天長」。晉．陶淵明〈飲酒詩〉二〇首之一六：「披褐守長夜，晨雞不肯鳴。」_x000D_
[副]_x000D_
1.遠。唐．王昌齡〈出塞〉詩二首之一：「秦時明月漢時關，萬里長征人未還。」_x000D_
2.永久。《論語．里仁》：「不仁者不可以久處約，不可以長處樂。」漢．桓寬《鹽鐵論．繇役》：「夫文猶可長用，而武難久行也。」_x000D_
3.經常。《論語．述而》：「君子坦蕩蕩，小人長戚戚。」《莊子．秋水》：「吾長見笑於大方之家。」宋．王安石〈書湖陰先生壁〉詩二首之一：「茆簷長掃淨無苔，花木成畦手自栽。」_x000D_
[動]_x000D_
專精、擅於。如：「長於寫作」、「各有所長」。南朝宋．劉義慶《世說新語．文學》：「樂令善於清言，而不長於手筆。」</t>
  </si>
  <si>
    <t>(二)ㄓㄤˇ zhǎng（07891）(三)ㄓㄤˋ zhàng（07897）</t>
  </si>
  <si>
    <t>萇</t>
  </si>
  <si>
    <t>[名]
1.參見「萇楚」條。
2.姓。如唐代有萇總。</t>
  </si>
  <si>
    <t>參見「倘佯」條。</t>
  </si>
  <si>
    <t>(一)ㄊㄤˇ tǎng（02600）</t>
  </si>
  <si>
    <t>常</t>
  </si>
  <si>
    <t>[名]
1.倫理關係。如：「倫常」、「三綱五常」。
2.姓。如漢代有常惠。
[形]
1.普通的、一般的。如：「平常」、「常識」、「人之常情」。
2.固定不變的。如：「常規」。《老子》第四十九章：「聖人無常心，以百姓心為心。」
3.規律的、定期的。如：「常期」、「常會」。
[副]
1.長久不變的。如：「常設」、「知足常樂」。
2.時時、一次又一次，表示頻繁的意思。如：「常常」、「時常」、「老生常談」。唐．韓愈〈雜說〉：「千里馬常有而伯樂不常有。」</t>
  </si>
  <si>
    <t>徜</t>
  </si>
  <si>
    <t>參見「徜徉」條。</t>
  </si>
  <si>
    <t>裳</t>
  </si>
  <si>
    <t>[名]
古代下身穿的衣服稱為「裳」。即裙子。《詩經．邶風．綠衣》：「綠兮衣兮，綠衣黃裳。」漢．毛亨．傳：「上曰衣，下曰裳。」</t>
  </si>
  <si>
    <t>(二)（又音）ㄕㄤ shāng（09014）</t>
  </si>
  <si>
    <t>嘗</t>
  </si>
  <si>
    <t>[動]
1.辨別滋味。通「嚐」。《禮記．曲禮下》：「君有疾，飲藥，臣先嘗之。」
2.試探、試驗。《左傳．襄公十八年》：「諸侯方睦於晉，臣請嘗之。」晉．杜預．注：「嘗，試其難易也。」
3.經歷。如：「艱苦備嘗」、「飽嘗戰禍」。
[副]
曾經。《論語．述而》：「子食於有喪者之側，未嘗飽也。」
[名]
1.古代秋天的祭祀之一。《詩經．小雅．天保》：「禴祠烝嘗，于公先王。」漢．毛亨．傳：「秋曰嘗。」
2.姓。如秦代有嘗頞。</t>
  </si>
  <si>
    <t>嫦</t>
  </si>
  <si>
    <t>參見「嫦娥」條。</t>
  </si>
  <si>
    <t>償</t>
  </si>
  <si>
    <t>[動]
1.歸還。如：「償還」、「償債」。漢．王符《潛夫論．忠貴》：「人多驕肆，負債不償。」
2.相抵除去。如：「得不償失」、「殺人償命」。《新唐書．卷一五〇．齊映傳》：「臣雖死不足償責。」
3.實現。如：「如願以償」、「得償夙願」。
[名]
代價、報酬。《戰國策．秦策二》：「是我亡於秦而取償於齊也。」</t>
  </si>
  <si>
    <t>嚐</t>
  </si>
  <si>
    <t>[動]
以口辨別滋味。如：「品嚐」。《封神演義》第一回：「神農治世嚐百草。」</t>
  </si>
  <si>
    <t>鱨</t>
  </si>
  <si>
    <t>[名]
動物名。脊椎動物門硬骨魚綱。形狀似鮎，腹背皆為黃色，大者長七、八寸許。</t>
  </si>
  <si>
    <t>場</t>
  </si>
  <si>
    <t>[名]
1.寬廣平坦的空地。如：「廣場」、「操場」。
2.眾人聚集或辦事的地方。如：「試場」、「會場」、「商場」、「運動場」。
3.處所的通稱。如：「場所」、「場合」。
4.參見「磁場」、「電場」等條。
5.舞臺。如：「粉墨登場」、「好戲上場」。
6.量詞。計算活動的單位。如：「一場電影」、「大鬧一場」、「三場棒球賽」。
7.戲劇表演的起止，或故事情節的段落。如：「開場」、「分場」、「終場」。</t>
  </si>
  <si>
    <t>(二)ㄔㄤˇ chǎng（08469）</t>
  </si>
  <si>
    <t>腸</t>
  </si>
  <si>
    <t>[名]
1.腹腔消化器官之一。有消化及吸收的功能。
2.心思。如：「古道熱腸」、「牽腸掛肚」。</t>
  </si>
  <si>
    <t>昶</t>
  </si>
  <si>
    <t>ㄔㄤˇ</t>
  </si>
  <si>
    <t>chǎng</t>
  </si>
  <si>
    <t>[形]
白天的時間長。《玉篇．日部》：「昶，明久。」
[動]
舒張、通達。通「暢」。《文選．嵇康．琴賦》：「雅昶唐堯，終詠微子。」唐．李善．注：「達則兼善天下，無不通暢，故謂之暢。昶與暢同。」《晉書．卷五四．陸機傳》：「譬猶眾目營方，則天網自昶。」</t>
  </si>
  <si>
    <t>[形]
1.悵惘、失意。《莊子．則陽》：「客出，而君惝然若有亡也。」
2.害怕的樣子。《楚辭．嚴忌．哀時命》：「悵惝罔以永思兮，心紆軫而增傷。」宋．洪興祖．補注：「惝，驚貌。」</t>
  </si>
  <si>
    <t>(二)（又音）ㄊㄤˇ tǎng（02602）</t>
  </si>
  <si>
    <t>敞</t>
  </si>
  <si>
    <t>[形]_x000D_
地方寬闊，無物遮擋的樣子。如：「寬敞」。漢．王延壽〈魯靈光殿賦〉：「迢嶢倜儻，豐麗博敞，洞轇轕乎，其無垠也。」_x000D_
[動]_x000D_
張開、打開。如：「敞開大門」、「敞嘴大笑」。</t>
  </si>
  <si>
    <t>廠</t>
  </si>
  <si>
    <t>[名]
1.像棚子一樣沒有牆壁的房屋。《集韻．上聲．養韻》：「廠，屋無壁也。」唐．韓偓〈南安寓止〉詩：「此地三年偶寄家，枳籬茅廠共桑麻。」
2.占地寬廣，可以製造、修理或存放器物的場所。如：「工廠」、「造船廠」、「自來水廠」。</t>
  </si>
  <si>
    <t>氅</t>
  </si>
  <si>
    <t>[名]
1.用鳥毛編成的外套、大衣。如：「大氅」、「羽氅」。《紅樓夢》第五二回：「把昨兒那一件烏雲豹的氅衣給他罷。」
2.用鳥毛編成的旌旗。《新唐書．卷二三．儀衛志上》：「第一行，長戟，六色氅，領軍衛赤氅，威衛青氅、黑氅。」</t>
  </si>
  <si>
    <t>(一)1.2.3.4.5.7.的語音。</t>
  </si>
  <si>
    <t>(一)ㄔㄤˊ cháng（08462）</t>
  </si>
  <si>
    <t>鋹</t>
  </si>
  <si>
    <t>[形]
銳利。《玉篇．金部》：「鋹，利也。」</t>
  </si>
  <si>
    <t>ㄔㄤˋ</t>
  </si>
  <si>
    <t>chàng</t>
  </si>
  <si>
    <t>[動]_x000D_
發起、領導。如：「倡導」、「提倡」。</t>
  </si>
  <si>
    <t>(二)ㄔㄤ chāng（08442）</t>
  </si>
  <si>
    <t>唱</t>
  </si>
  <si>
    <t>[動]
1.發出歌聲。如：「唱歌」、「合唱」。唐．杜牧〈泊秦淮〉詩：「商女不知亡國恨，隔江猶唱後庭花。」
2.高聲呼叫。如：「唱名」、「唱票」。唐．李賀〈惱公〉詩：「雞唱星懸柳，鴉啼露滴桐。」
3.倡導。通「倡」。《南史．卷一五．傅亮傳》：「我首唱大義，興復皇室。」
[名]
泛稱詩詞歌曲。如：「絕唱」、「小唱」。</t>
  </si>
  <si>
    <t>鬯</t>
  </si>
  <si>
    <t xml:space="preserve">鬯 </t>
  </si>
  <si>
    <t>[名]
1.古代祭祀時所用的香酒，由鬱金香釀秬黍而成。《說文解字．鬯部》：「鬯，以秬釀鬱艸，芬芳攸服，以降神也。」
2.弓套。通「韔」。《詩經．鄭風．大叔于田》：「抑鬯弓忌。」唐．孔穎達．正義：「鬯者，盛弓之器；鬯弓，謂弢弓而納之鬯中。」
3.二一四部首之一。
[形]
草木茂盛。通「暢」。《漢書．卷二五．郊祀志上》：「夏得大德，青龍止於郊；草木鬯茂。」唐．顏師古．注：「鬯與暢同。」</t>
  </si>
  <si>
    <t>悵</t>
  </si>
  <si>
    <t>[形]
失意、不痛快。如：「悵然」、「惆悵」。</t>
  </si>
  <si>
    <t>韔</t>
  </si>
  <si>
    <t>[名]
弓袋、弓套。《詩經．秦風．小戎》：「虎韔鏤膺，交韔二弓。」漢．毛亨．傳：「韔，弓室也。」
[動]
藏弓於弓袋中。《詩經．小雅．采綠》：「之子于狩，言韔其弓。」唐．孔穎達．正義：「韔其弓，謂射訖與之弛弓納于韔中也。」</t>
  </si>
  <si>
    <t>瑒</t>
  </si>
  <si>
    <t>[名]
古代祭祀宗廟時，用以灌地降神的一種禮器。圭長尺二寸而帶有瓚。《說文解字．玉部》：「瑒，圭尺二寸，有瓚，以祠宗廟者也。」</t>
  </si>
  <si>
    <t>(二)（又音）ㄧㄤˊ yáng（11144）</t>
  </si>
  <si>
    <t>暢</t>
  </si>
  <si>
    <t>[形]
1.通達、沒有阻礙。如：「暢通」、「文筆流暢」。
2.繁茂。如：「枝葉暢盛」。
3.舒適。如：「舒暢」、「酣暢」。
[動]
1.表達。《文選．宋玉．神女賦》：「交希恩疏，不可盡暢。」唐．李善．注：「暢，申也。未可申暢己志也。」
2.使流通。如：「貨暢其流」。
[副]
1.痛快、盡情的。如：「暢談」、「暢行」、「暢所欲為」。
2.甚。元．王實甫《西廂記．第一本．第四折》：「暢懊惱，響鐺鐺雲板敲。」
[名]
1.祭祀時用的鬱鬯酒。通「鬯」。漢．王充《論衡．恢國》：「成王之時，越常獻雉，倭人貢暢。」
2.姓。如唐代有暢璀。</t>
  </si>
  <si>
    <t>偁</t>
  </si>
  <si>
    <t>ㄔㄥ</t>
  </si>
  <si>
    <t>chēng</t>
  </si>
  <si>
    <t>同「稱」。《說文解字．人部》「偁」字．清．段玉裁．注：「凡古偁舉、偁謂字皆如此作，……自稱行而偁廢矣。」</t>
  </si>
  <si>
    <t>[動]
1.用秤計量輕重。如：「把這包米稱一稱。」
2.叫、叫做。如：「稱呼」、「稱兄道弟」。
3.述說。如：「此地據稱有礦產。」《史記．卷八四．屈原賈生傳》：「上稱帝嚳，下道齊桓，中述湯武，以刺世事。」
4.讚頌、讚譽。如：「稱揚」、「稱美」。《論語．憲問》：「驥不稱其力，稱其德也。」
5.自認、自封。如：「稱帝」、「稱霸」、「俯首稱臣」。
6.舉。如：「稱兵起義」。《詩經．豳風．七月》：「稱彼兕觥，萬壽無疆。」
[名]
1.名號、名目。如：「名稱」、「別稱」、「通稱」。
2.名聲、聲譽。《後漢書．卷五二．崔駰傳》：「大人少有英稱，歷位卿守，論者不謂不當為三公。」</t>
  </si>
  <si>
    <t>(二)ㄔㄥˋ chèng（08525）(三)（(二)之又音）ㄔㄣˋ chèn（08433）</t>
  </si>
  <si>
    <t>琤</t>
  </si>
  <si>
    <t>[名]
玉器相擊所發出的聲音。《說文解字．玉部》：「琤，玉聲也。」</t>
  </si>
  <si>
    <t>牚</t>
  </si>
  <si>
    <t xml:space="preserve">牙 </t>
  </si>
  <si>
    <t>[名]
斜柱。《廣韻．去聲．映韻》：「牚，邪柱也。」《文選．王延壽．魯靈光殿賦》：「枝牚杈枒而斜據。」李善注引張載曰：「牚，眉梁之上也，各長三尺。」</t>
  </si>
  <si>
    <t>撐</t>
  </si>
  <si>
    <t>[動]
1.支持、抵住。如：「撐持」。《紅樓夢》第八三回：「別說是女人當不來，就是三頭六臂的男人，還撐不住呢！」
2.用竹篙撥水使船前進。如：「撐篙」、「撐船」。
3.張開。如：「撐傘」、「撐線」。
[形]
1.飽、充滿。如：「吃多了，撐得難過。」元．馬致遠《任風子》第一折：「吃的來眼又睜，撐的來氣又喘。」</t>
  </si>
  <si>
    <t>橕</t>
  </si>
  <si>
    <t>[動]
支撐、卡住。同「撐」。唐．韓愈、劉師服、侯喜、軒轅彌明〈石鼎聯句〉：「旁有雙耳穿，上有孤髻橕。」
[名]
斜柱。通「撐」。如：「屋橕」、「隄橕」。</t>
  </si>
  <si>
    <t>參見「欃槍」條。</t>
  </si>
  <si>
    <t>(一)ㄑㄧㄤ qiāng（06547）</t>
  </si>
  <si>
    <t>[擬]
形容敲擊金、鐘的聲音。《後漢書．卷六〇上．馬融傳》：「鍠鍠鎗鎗，奏於農郊大路之衢。」
[名]
一種三足鼎，古代多用作溫酒器。《南齊書．卷三八．蕭赤斧傳》：「陛下前欲壞酒鎗，恐宜移在此器也。」《南史．卷七三．孝義傳上．潘綜傳》：「少為邵吏，母好食鎗底飯。」</t>
  </si>
  <si>
    <t>(一)ㄑㄧㄤ qiāng（06551）</t>
  </si>
  <si>
    <t>噌</t>
  </si>
  <si>
    <t>(二)ㄘㄥ tsēng（09801）(三)ㄘㄥˇ cěng（09806）</t>
  </si>
  <si>
    <t>赬</t>
  </si>
  <si>
    <t>[名]
淺紅色。《爾雅．釋器》：「再染謂之赬。」晉．郭璞．注：「赬，淺赤。」
[形]
淺紅的。《詩經．周南．汝墳》：「魴魚赬尾，王室如燬。」唐．李白〈明唐賦〉：「赬欄各落，偃蹇霄漢。」</t>
  </si>
  <si>
    <t>瞠</t>
  </si>
  <si>
    <t>[動]
瞪著眼睛直看。如：「瞠目結舌」。宋．陸游〈醉歌〉：「醉倒村路兒扶歸，瞠目不識問是誰？」
[副]
驚視。《管子．小問》：「桓公北伐孤竹，未至卑耳之谿十里，闟然止．瞠然視，援弓將射，引而未敢發也。」唐．尹知章．注：「瞠，驚視貌。」</t>
  </si>
  <si>
    <t>檉</t>
  </si>
  <si>
    <t>參見「檉柳」條。</t>
  </si>
  <si>
    <t>蟶</t>
  </si>
  <si>
    <t>[名]
動物名。雙殼綱竹蟶科。一種海產貝類。殼窄長，剃刀狀。斧足大而活躍，能在洞穴中迅速上下移動，多見於潮間帶的泥沙中。肉似蠣，色白而味美，可食。也稱為「蟶子」。</t>
  </si>
  <si>
    <t>[名]
1.古代一種有腳的鍋。如：「茶鐺」、「藥鐺」。
2.現在通用的平底淺鍋，用來烙餅或炒菜。</t>
  </si>
  <si>
    <t>(一)ㄉㄤ dāng（02052）</t>
  </si>
  <si>
    <t>成</t>
  </si>
  <si>
    <t>ㄔㄥˊ</t>
  </si>
  <si>
    <t>chéng</t>
  </si>
  <si>
    <t>[動]
1.做好事情。《說文解字．戊部》：「成，就也。」如：「完成」、「功成名就」、「大功告成」。
2.變為。如：「點石成金」、「磨杵成針」。
3.達到。如：「成千上萬」、「成雙成對」。
4.促成。如：「成全」、「玉成其事」、「成人之美」。
5.可以。如：「他想要耍賴是不成的。」
[名]
1.量詞。計算十等分概念的單位。如：「有八成希望。」
2.古代十里平方的土地。《左傳．哀公元年》：「有田一成，有眾一旅。」
3.現有的一切。如：「創業容易守成難。」唐．吳兢《貞觀政要．卷一．論君道》：「帝王之業，草創與守成孰難？」
4.姓。如漢代有成瑨。
[形]
1.完整的。如：「成品」、「成天」。宋．陸游〈何君墓表〉：「不以字害其成句，不以句累其全篇。」
2.現有的、舊有的。如：「成例」、「成規」、「成語」。
3.構成整體的。如：「成分」、「成員」。</t>
  </si>
  <si>
    <t>宬</t>
  </si>
  <si>
    <t>[動]
容納。《說文解字．宀部》：「宬，屋所容受也。」
[名]
藏書室。如明朝宮內有皇史宬，貯有各帝御筆、實錄之類。清．徐珂《清稗類鈔．宮苑類．皇史宬》：「皇史宬，建自明。四周石室，中藏金匱。國朝因其舊制，尊藏實錄、聖訓、玉牒諸鉅編，寶笈琅函，依次排列。」</t>
  </si>
  <si>
    <t>城</t>
  </si>
  <si>
    <t>[名]
1.古時環繞京師或圍繞某一區域以供防守的大圍牆。《廣韻．平聲．清韻》：「城，城郭。」《墨子．七患》：「城者，所以自守也。」唐．李白〈送友人〉詩：「青山橫北郭，白水遶東城。」
2.都市。如：「京城」、「城市」。
3.姓。如戰國時有城渾。
[動]
築城。《詩經．小雅．出車》：「天子命我，城彼朔方。」《明史．卷三．太祖本紀三》：「是月，城西寧。」</t>
  </si>
  <si>
    <t>郕</t>
  </si>
  <si>
    <t>[名]
國名。姬姓，周武王封其母弟叔武於此，故址約在今大陸地區山東省寧陽縣北方一帶。</t>
  </si>
  <si>
    <t>晟</t>
  </si>
  <si>
    <t>(一)ㄕㄥˋ shèng（09037）</t>
  </si>
  <si>
    <t>盛</t>
  </si>
  <si>
    <t>[動]
1.用容器裝東西。如：「盛飯」、「盛湯」。
2.容納。如：「箱子太小，盛不了這麼多東西。」
[名]
古代裝在食器裡祭祀的穀物。《周禮．地官．閭師》：「不耕者祭無盛。」漢．鄭玄．注：「盛，黍稷也。」</t>
  </si>
  <si>
    <t>(二)ㄕㄥˋ shèng（09038）</t>
  </si>
  <si>
    <t>誠</t>
  </si>
  <si>
    <t>[名]
真心真意。《新唐書．卷一九二．忠義傳中．張巡傳》：「士感其誠，皆一當百。」
[形]
真實無妄、忠實不欺。如：「誠摯」、「誠樸」。《管子．乘馬》：「故非誠賈，不得食于賈；非誠工，不得食于工。」
[副]
的確、確實。《史記．卷七八．春申君傳》：「於是黃歇乃說應侯曰：『相國誠善楚太子乎？』」</t>
  </si>
  <si>
    <t>鋮</t>
  </si>
  <si>
    <t>[名]
人名用字。如明代有阮大鋮。</t>
  </si>
  <si>
    <t>丞</t>
  </si>
  <si>
    <t>[名]
古代輔佐帝王或正官的官吏。如：「丞相」、「縣丞」、「府丞」。
[動]
輔佐、輔助。《漢書．卷九三．佞幸傳．淳于長傳》：「會大將軍王鳳病，長侍病，晨夜扶丞左右，甚有甥舅之恩。」</t>
  </si>
  <si>
    <t>承</t>
  </si>
  <si>
    <t>[動]
1.奉。《左傳．成公十六年》：「承寡君之命以請。」
2.蒙受、接受。如：「承蒙」、「承贈」。《左傳．僖公十五年》：「君之未入，寡人懼之；入而未定列，猶吾憂也；苟列定矣，敢不承命。」
3.擔當、負責。如：「承擔」、「這件事情由你來承辦。」
4.繼續、繼承。《詩經．小雅．天保》：「如松柏之茂，無不爾或承。」《三國志．卷五四．吳書．魯肅傳》：「孤承父兄餘業，思有桓文之功。」
[名]
姓。如漢代有承宮。</t>
  </si>
  <si>
    <t>呈</t>
  </si>
  <si>
    <t>[動]
1.顯露。如：「呈現」、「面呈紅潤」。
2.奉上。如：「謹呈」、「呈獻」、「呈上」。
[名]
舊時凡下級對上級的呈請或報告均用呈。現行公文則是對總統有所呈請或報告時用之。</t>
  </si>
  <si>
    <t>埕</t>
  </si>
  <si>
    <t>[名]_x000D_
1.小口的盛酒器具。元．李文蔚《燕青博魚》第二折：「隔壁三家醉，開埕十里香。」明．湯顯祖《牡丹亭》第八齣：「便是這酒埕子漏了，則怕酒少，煩老官兒遮蓋些。」_x000D_
2.臺灣、大陸地區福建沿海一帶養殖海蟶、海蛤的場地。清．徐珂《清稗類鈔．動物類．動物可種》：「閩人濱海種蟶，有蟶田，亦曰蟶埕。」_x000D_
3.沿海的鹽田。如：「鹽埕」。清．顧炎武《天下郡國利病書．福建漳州府志．鹽法考》：「土人以力畫鹽地為埕，漉海水注之，經烈日曝即成鹽。」_x000D_
4.臺灣、閩南地區稱庭院或場地為「埕」。如：「稻埕」。</t>
  </si>
  <si>
    <t>珵</t>
  </si>
  <si>
    <t>[名]
1.美玉。《玉篇．玉部》：「珵，美玉也。」《楚辭．屈原．離騷》：「覽察草木其猶未得兮，豈珵美之能當？」漢．王逸．注：「珵，美玉也。」
2.佩玉。《集韻．平聲．清韻》：「珵，佩玉也。」</t>
  </si>
  <si>
    <t>脭</t>
  </si>
  <si>
    <t>[名]
精美、肥美的肉。《集韻．平聲．清韻》：「脭，肉之精者。」《文選．枚乘．七發》：「飲食則溫淳甘膬，脭膿肥厚。」唐．李善．注：「脭，肥肉也。」</t>
  </si>
  <si>
    <t>程</t>
  </si>
  <si>
    <t>[名]
1.度量衡的總稱。《荀子．致仕》：「程者，物之準也。」唐．楊倞．注：「程者，度量之總名也。」
2.事情進行的步驟。如：「過程」、「議程」。
3.法式、規範。如：「章程」、「規程」。
4.距離或道路的一段。如：「路程」、「歸程」、「送你一程」。
5.一定的進度。如：「課程」、「日程」。
6.姓。如宋代有程顥、程頤。
[動]
衡量、估計。《漢書．卷六五．東方朔傳》：「武帝既招英俊，程其器能，用之如不及。」</t>
  </si>
  <si>
    <t>裎</t>
  </si>
  <si>
    <t>[動]
光著身子不穿衣服。《集韻．平聲．清韻》：「裎，裸也。」《孟子．公孫丑上》：「爾為爾，我為我，雖袒裼裸裎於我側，爾焉能浼我哉。」
[名]
佩帶。清．王念孫《廣雅疏證．卷七下．釋器》：「佩紟謂之裎。」疏證：「古者佩玉有綬，以上系於衡，衡上復有綬，以系於革帶。」</t>
  </si>
  <si>
    <t>酲</t>
  </si>
  <si>
    <t>[形]
飲酒後身體不舒服，或酒後神智不清的樣子。《說文解字．酉部》：「酲，病酒也。」《文選．張衡．南都賦》：「其甘不爽，醉而不酲。」
[動]
大醉，失去知覺。《玉篇．酉部》：「酲，醉未覺也。」《晏子春秋．內篇．諫上》：「景公飲酒，酲，三日而後發。」</t>
  </si>
  <si>
    <t>乘</t>
  </si>
  <si>
    <t>[動]
1.登、升。《史記．卷八二．田單傳》：「令甲卒皆伏，使老弱女子乘城。」
2.駕馭、駕騎。《易經．繫辭下》：「服牛乘馬，引重致遠。」《墨子．親士》：「良馬難乘，然可以任重致遠。」
3.搭坐，用某種交通工具代步。如：「乘車」、「乘飛機」。
4.順應、趁、藉著。如：「乘人之危」、「乘風破浪」、「乘勝追擊」。
5.追逐、進攻。《史記．卷八．高祖本紀》：「楚兵不利，淮陰侯復乘之，大敗垓下。」《漢書．卷七〇．陳湯傳》：「平明，四面火起，吏士喜，大呼乘之，鉦鼓聲動地。」
6.在數與數之間進行乘法運算。如：「三乘二等於六。」
[名]
1.數學上的運算方法之一。即乘法。如：「加減乘除四則運算方法。」
2.姓。如漢代有乘弘。</t>
  </si>
  <si>
    <t>(二)ㄕㄥˋ shèng（09039）</t>
  </si>
  <si>
    <t>騬</t>
  </si>
  <si>
    <t>[名]
割去生殖器的馬。《說文解字．馬部》：「騬，犗馬也。」</t>
  </si>
  <si>
    <t>掁</t>
  </si>
  <si>
    <t>[動]
觸及、碰撞。《玉篇．手部》：「掁，觕也。」唐．韓愈、孟郊〈城南聯句〉：「裂腦擒摚掁，猛斃牛馬樂。」</t>
  </si>
  <si>
    <t>棖</t>
  </si>
  <si>
    <t>[名]
豎立在門兩旁的長木柱。《爾雅．釋宮》：「棖謂之楔。」晉．郭璞．注：「門兩旁木。」
[動]
碰觸。通「樘」。《文選．謝惠連．祭古冢文．序》：「以物棖撥之，應手灰滅。」唐．李善．注：「南人以物觸物為棖也。」</t>
  </si>
  <si>
    <t>(一)ㄓㄥ zhēng（07914）</t>
  </si>
  <si>
    <t>䟫</t>
  </si>
  <si>
    <t>[動]
支撐。通「撐」。《周禮．冬官考工記．弓人》：「維角䟫之，欲宛而無負弦。」</t>
  </si>
  <si>
    <t>傖</t>
  </si>
  <si>
    <t>(一)ㄘㄤ cāng（09794）</t>
  </si>
  <si>
    <t>塍</t>
  </si>
  <si>
    <t>[名]_x000D_
稻田間的路界。漢．班固〈西都賦〉：「疆埸綺分，溝塍刻鏤。」明．徐弘祖《徐霞客遊記．卷二上．浙遊日記》：「人從塍上曲折而入，約廿丈，忽聞水聲潺潺。」</t>
  </si>
  <si>
    <t>澂</t>
  </si>
  <si>
    <t>[動]
澄清。同「澄」。《後漢書．卷七九．儒林傳．贊曰》：「千載不作，淵源誰澂？」</t>
  </si>
  <si>
    <t>懲</t>
  </si>
  <si>
    <t>[動]
1.責罰。如：「獎懲」、「重懲」、「懲治」、「懲戒」。
2.警戒、教訓。《韓非子．難二》：「不誅過，則民不懲而易為非。」宋．陸游《入蜀記．第一》：「九日，晴而風。舟人懲昨夕狼狽，不敢解舟，日高方行。」
3.戒止。《詩經．小雅．沔水》：「民之訛言，寧莫之懲。」
4.悔恨。《楚辭．屈原．九歌．國殤》：「身首離兮心不懲。」</t>
  </si>
  <si>
    <t>[形]
水靜止而清澈。南朝齊．謝朓〈晚登三山還望京邑〉詩：「餘霞散成綺，澄江靜如練。」唐．陳子昂〈薛大夫山亭宴序〉：「披翠微而列坐，左對青山；俯磐石而開襟，右臨澄水。」</t>
  </si>
  <si>
    <t>(二)ㄉㄥˋ dèng（02079A）</t>
  </si>
  <si>
    <t>[動]
碰觸。唐．韓愈、劉師服、侯喜、軒轅彌明〈石鼎聯句〉：「豈比俎豆古，不為手所撜。」</t>
  </si>
  <si>
    <t>(一)ㄓㄥˇ zhěng（07928）</t>
  </si>
  <si>
    <t>橙</t>
  </si>
  <si>
    <t>[名]
1.植物名。芸香科柑桔屬，「香橙」之簡稱，參見「香橙」條。
2.一種黃中帶著微紅的顏色。如：「彩虹共有紅、橙、黃、綠等七種顏色。」</t>
  </si>
  <si>
    <t>逞</t>
  </si>
  <si>
    <t>ㄔㄥˇ</t>
  </si>
  <si>
    <t>chěng</t>
  </si>
  <si>
    <t>[動]
1.放縱、任意行事。如：「逞性」、「逞欲」。唐．柳宗元〈三戒．序〉：「吾恆惡世之人，不知推己之本，而乘物以逞。」
2.顯露、展示。如：「驕逞」、「逞能」。《莊子．山木》：「此筋骨非有加急而不柔也，處勢不便，未足以逞其能也。」</t>
  </si>
  <si>
    <t>騁</t>
  </si>
  <si>
    <t>[動]
1.直馳、奔跑。如：「馳騁」。《詩經．小雅．節南山》：「我瞻四方，蹙蹙靡所騁。」
2.施展、放開。如：「騁志」、「騁辭」。《荀子．天論》：「因物而多之，孰與騁能而化之？」</t>
  </si>
  <si>
    <t>ㄔㄥˋ</t>
  </si>
  <si>
    <t>chèng</t>
  </si>
  <si>
    <t>[名]
度量物體重量的器具。同「稱」。如：「磅秤」、「彈簧秤」。
[動]
量輕重。同「稱」。《紅樓夢》第一二回：「王夫人命鳳姐秤二兩給他。」</t>
  </si>
  <si>
    <t>(二)ㄆㄧㄥˊ píng（00960）</t>
  </si>
  <si>
    <t>[動]_x000D_
適合。如：「稱職」、「稱心如意」。《史記．卷八六．刺客列傳．荊軻》：「蓋聶曰：『曩者吾與論劍有不稱者，吾目之。』」_x000D_
[名]_x000D_
衡量物體輕重的工具。同「秤」。如：「市稱」、「磅稱」。</t>
  </si>
  <si>
    <t>(一)ㄔㄥ chēng（08479）(三)（(二)之又音）ㄔㄣˋ chèn（08433）</t>
  </si>
  <si>
    <t>出</t>
  </si>
  <si>
    <t>ㄔㄨ</t>
  </si>
  <si>
    <t>chū</t>
  </si>
  <si>
    <t>[動]
1.自內至外。與「入」相對。如：「足不出戶」。《詩經．鄭風．出其東門》：「出其東門，有女如雲。」
2.產生、發生。如：「出汗」、「出水痘」、「出紕漏」。《易經．說卦》：「萬物出乎震，震東方也。」
3.脫離、離開。如：「出家」、「出軌」。《詩經．小雅．賓之初筵》：「既醉而出，並受其福；醉而不出，是謂伐德。」
4.給予、支付。如：「出錢」、「出納」、「支出」。
5.做官、出任其事。《易經．繫辭上》：「君子之道，或出或處。」《宋書．卷六七．謝靈運傳》：「出為永嘉太守。」
6.表現、顯露。如：「水落石出」。《莊子．天地》：「至言不出，俗言勝也。」
7.發洩。如：「出怨氣」、「出悶氣」。
8.超越。如：「出眾」、「出人頭地」。唐．韓愈〈師說〉：「古之聖人，其出人也遠矣。」
9.到。如：「出席」、「出場」。
10. 策劃。如：「出奇謀」、「出題目」。
[名]
1.外部、外面。《孟子．告子下》：「入則無法家拂士，出則無敵國外患者，國恆亡。」
2.量詞。古代計算表演段落的單位。《景德傳燈錄．卷十四．潭州雲巖曇晟禪師》：「藥山乃又問：『聞汝解弄師子，是否？』師曰：『是。』曰：『弄得幾出。』師曰：『弄得六出。』」
[副]
放在動詞之後，表示動作趨向或效果完成。如：「拿出」、「看出」、「做出好成績」、「練出一副好身材」。</t>
  </si>
  <si>
    <t>初</t>
  </si>
  <si>
    <t>[名]
1.根本、本原。《淮南子．俶真》：「是故聖人之學也，欲以返性於初，而游心於虛也。」《史記．卷四七．孔子世家》：「進取不忘其初。」
2.起源、開始。如：「年初」、「月初」、「和好如初」。唐．柳宗元〈封建論〉：「天地果無初乎？吾不得而知之也。」
3.姓。如宋代有初暐。
[形]
1.從前、原來。如：「初衷」、「初心」。
2.最先、開頭。如：「初秋」、「初民」、「初雪」。
3.最低的。如：「初級」、「初等」。
4.陰曆每月一日到十日，皆冠上「初」字，表上旬的。如：「初一」、「初二」。
[副]
1.第一次的。如：「初戀」、「初學」、「初試啼聲」。
2.甫、剛剛。如：「初出茅廬」。《書經．召誥》：「嗚呼！若生子，罔不在厥初生，自貽哲命。」《史記．卷四九．外戚世家》：「天下初定未久，繼嗣不明。」
3.全、始終。用於否定句，表範圍。《後漢書．卷八一．獨行傳．彭脩傳》：「受教三日，初不奉行，廢命不忠，豈非過邪？」</t>
  </si>
  <si>
    <t>貙</t>
  </si>
  <si>
    <t>[名]
一種猛獸。形大如狗，毛紋似貍。《爾雅．釋獸》：「貙，似貍。」晉．郭璞．注：「今貙虎也。大如狗，文如貍。」</t>
  </si>
  <si>
    <t>齣</t>
  </si>
  <si>
    <t>[名]
量詞。計算戲曲劇目的單位。如：「兩齣戲」。《儒林外史》第一〇回：「戲子上來參了堂，磕頭下去，打動鑼鼓，跳了一齣『加官』，演了一齣『張仙送子』，一齣『封贈』。」</t>
  </si>
  <si>
    <t>芻</t>
  </si>
  <si>
    <t>ㄔㄨˊ</t>
  </si>
  <si>
    <t>chú</t>
  </si>
  <si>
    <t>[動]_x000D_
1.割草。《說文解字．艸部》：「芻，刈艸也。」《左傳．昭公六年》：「禁芻牧採樵，不入田，不樵樹，不采蓺。」_x000D_
2.飼養。《周禮．地官司徒．牛人》：「凡祭祀，共其享牛，求牛，以授職人而芻之。」_x000D_
[名]_x000D_
1.餵養牲畜的草料。《國語．周語中》：「廩人獻餼，司馬陳芻。」_x000D_
2.吃草的牲口。《淮南子．時則》：「乃命宰祝行犧牲，案芻豢。」漢．高誘．注：「草養曰芻，穀養曰豢。」_x000D_
3.禾莖、禾桿。《禮記．祭統》：「及迎牲，君執紖，卿大夫從，士執芻。」漢．鄭玄．注：「芻謂稿也，殺牲時用薦之。」</t>
  </si>
  <si>
    <t>雛</t>
  </si>
  <si>
    <t>[名]
1.小雞。《說文解字．隹部》：「雛，雞子。」《禮記．月令》：「天子乃以雛嘗黍。」
2.泛稱幼禽。唐．白居易〈晚燕〉詩：「百鳥乳雛畢，秋燕獨蹉跎。」
3.幼小的兒女。唐．杜甫〈徐卿二子歌〉：「丈夫生兒有如此二雛者，名位豈肯卑微休！」
[形]
幼小的。如：「雛燕」、「雛菊」、「雛妓」。</t>
  </si>
  <si>
    <t>除</t>
  </si>
  <si>
    <t>[動]
1.去掉。如：「剷除」、「掃除」、「為民除害」、「排除萬難」。
2.免掉舊官職，任命新官職。《文選．李密．陳情表》：「尋蒙國恩，除臣洗馬。」《三國演義》第一回：「年二十，舉孝廉，為郎，除洛陽北都尉。」
3.更易、更換。如：「除歲」、「爆竹一聲除舊歲」。
4.整治、修治。《漢書．卷六五．東方朔傳》：「舉籍阿城以南，盩厔以東，宜春以西，提封頃畝，及其賈直，欲除以為上林苑，屬之南山。」
5.用一數把另一數分成若干等分。如：「六除以二等於三。」
[名]
1.臺階。《漢書．卷九九．王莽傳下》：「群臣扶掖莽，自前殿南下椒除。」唐．杜甫〈南鄰〉詩：「慣看賓客兒童喜，得食階除鳥雀馴。」
2.數學上的運算方法之一。即除法。如：「加減乘除四則運算方法。」
[連]
表示不計算在內。如：「除非」、「除了教書外，晚上他還在大學進修。」</t>
  </si>
  <si>
    <t>滁</t>
  </si>
  <si>
    <t>參見「滁河」、「滁縣」等條。</t>
  </si>
  <si>
    <t>蜍</t>
  </si>
  <si>
    <t>參見「蟾蜍」條。</t>
  </si>
  <si>
    <t>(二)ㄩˊ yú（11573）</t>
  </si>
  <si>
    <t>蒢</t>
  </si>
  <si>
    <t>參見「黃蒢」條。</t>
  </si>
  <si>
    <t>篨</t>
  </si>
  <si>
    <t>(一)ㄊㄨˊ tú（02781）</t>
  </si>
  <si>
    <t>儲</t>
  </si>
  <si>
    <t>[動]
1.蓄積、聚集。如：「儲蓄」、「儲存」。《漢書．卷七七．何並傳》：「儲兵馬以待之。」
2.等待。《文選．張衡．東京賦》：「并夾既設，儲乎廣庭。」唐．李善．注：「儲，待也。」
[名]
1.積存的物資。如：「倉儲」。《淮南子．主術》：「十八年而有六年之積，二十七年而有九年之儲。」唐．杜甫〈諸將〉詩五首之三：「朝廷袞職雖多預，天下軍儲不自供。」
2.太子、將要繼承王位的人。如：「立儲」、「皇儲」。《資治通鑑．卷二七六．唐紀五．明宗天成三年》：「今卜嗣建儲，臣未敢輕議。」
3.姓。如漢代有儲太伯。</t>
  </si>
  <si>
    <t>(二)（又音）ㄔㄨˇ chǔ（08552）</t>
  </si>
  <si>
    <t>藸</t>
  </si>
  <si>
    <t>躇</t>
  </si>
  <si>
    <t>參見「躊躇」條。</t>
  </si>
  <si>
    <t>耡</t>
  </si>
  <si>
    <t>[名]
1.古代的一種稅法。《說文解字．耒部》：「耡，商人七十而耡。耡，耤，稅也。」《周禮．地官．旅師》：「掌聚野之耡粟。」漢．鄭玄．注：「耡粟，民相助作，一井之中，所出九夫之稅粟也。」
2.除草翻土的農具。明．張自烈《正字通．耒部》：「耡，耕耡。」明．陳憲章〈冬夜〉詩：「學業坐妨奪，田蕪廢耡耰。」
3.古代里宰的辦事處。《周禮．地官．里宰》：「以歲時合耦于耡。」漢．鄭玄．注：「耡者，里宰治處也，若今街彈之室。」
[動]
1.輔佐、幫助。《周禮．地官．遂人》：「教甿稼穡以興耡，利甿以時器。」唐．賈公彥．疏：「耡，助也，興起其民以相佐助。」
2.通「鋤」。如：「耕前耡後」。</t>
  </si>
  <si>
    <t>鉏</t>
  </si>
  <si>
    <t>[名]
翻土、除草的農具。《文選．賈誼．過秦論》：「鉏櫌棘矜，非銛於鉤戟長鎩也。」《後漢書．卷八一．獨行傳．李善傳》：「乃脫朝服，持鉏去草。」
[動]
1.用鋤頭整治田地。唐．戴叔倫〈屯田詞〉：「麥苗漸長天苦晴，土乾确确鉏不得。」
2.誅滅、剷除。《史記．卷一六．秦楚之際月表》：「銷鋒鏑，鉏豪桀。」</t>
  </si>
  <si>
    <t>鋤</t>
  </si>
  <si>
    <t>[名]
鬆土、除草的農具。晉．陶淵明〈歸園田居〉詩五首之三：「晨興理荒穢，帶月荷鋤歸。」唐．王維〈渭川田家〉詩：「田夫荷鋤至，相見語依依。」
[動]
1.用鋤頭鬆土或除草。《楚辭．屈原．卜居》：「寧誅鋤草茅以力耕乎？將游大人以成名乎？」
2.剷除、消滅。如：「剷奸鋤惡」。《漢書．卷一三．異姓諸侯王表》：「內鋤雄俊，外攘胡粵。」《宋史．卷三五八．李綱傳上》：「誅鋤內姦，使君子之道長。」</t>
  </si>
  <si>
    <t>廚</t>
  </si>
  <si>
    <t>[名]
1.烹調食物的地方。《孟子．梁惠王上》：「是以君子遠庖廚也。」
2.儲藏東西的櫃子。通「櫥」。如：「衣廚」、「書廚」。唐．皮日休〈秋晚訪李處士所居〉詩：「書閣鼠穿廚簏破，竹園霜後桔槔閒。」
3.櫥形的床帳。通「幮」。唐．司空圖〈王官〉詩二首之二：「盡日無人只高臥，一雙白鳥隔紗廚。」</t>
  </si>
  <si>
    <t>幮</t>
  </si>
  <si>
    <t>[名]
形狀似櫥子的床帳。《廣韻．平聲．虞韻》：「幮，帳也，似廚形也。」《董西廂》卷一：「初夏永，薰風池館，有藤床、冰簟、紗幮。」</t>
  </si>
  <si>
    <t>櫥</t>
  </si>
  <si>
    <t>[名]
貯藏東西用的櫃子。如：「碗櫥」、「衣櫥」。也稱為「櫥子」、「櫥兒」。</t>
  </si>
  <si>
    <t>躕</t>
  </si>
  <si>
    <t>杵</t>
  </si>
  <si>
    <t>ㄔㄨˇ</t>
  </si>
  <si>
    <t>chǔ</t>
  </si>
  <si>
    <t>[名]
1.舂米、擣藥、擣衣或擣實砂土時用的圓木棒。由上細下粗的堅木做成。如：「藥杵」、「杵臼」。《易經．繫辭下》：「斷木為杵，掘地為臼。」唐．儲光羲〈田家雜興〉詩八首之一：「百草被霜露，秋山響砧杵。」
2.兵器名。因形如杵而得名。《書經．武成》：「罔有敵于我師，前徒倒戈，攻于後以北，血流漂杵。」《宋史．卷二七九．呼延贊傳》：「及作破陣刀、降魔杵；鐵折上巾，兩旁有刃，皆重十數斤。」
[動]
1.捅、突刺。如：「拿指頭杵他一下。」
2.呆立不動。如：「你杵在那裡幹嘛？」</t>
  </si>
  <si>
    <t>處</t>
  </si>
  <si>
    <t>[動]
1.居住、止息。《左傳．僖公四年》：「君處北海，寡人處南海。」《墨子．節用中》：「古者人之始生，未有宮室之時，因陵丘掘穴而處焉。」
2.存在、置身於。如：「處於逆境」、「設身處地」、「處變不驚」。
3.交往、對待、共同生活。如：「相處」、「和平共處」。
4.安頓、安排。如：「何以自處」。《國語．魯語下》：「昔聖之處民也，擇瘠土而處之。」
5.裁制、懲罰。如：「處分」、「處罰」、「懲處」。
6.辦理。如：「處理」。《三國志．卷三五．蜀書．諸葛亮傳》：「將軍量力而處之。」
7.決斷。如：「處斷」。《漢書．卷八五．谷永傳》：「臣愚不能處也。」
8.退隱自居。如：「出處進退」。
[形]
在家未出仕或未出嫁的。如：「處士」、「處子」、「處女」。
[名]
姓。如漢代有處興。</t>
  </si>
  <si>
    <t>(一)ㄔㄨˋ chù（08565）</t>
  </si>
  <si>
    <t>楮</t>
  </si>
  <si>
    <t>[名]
1.植物名。桑科楮屬，落葉灌木。葉為卵形或闊卵形，單性花，樹皮可為造紙的原料。
2.紙。如：「縑楮」。宋．蘇軾〈書鄢陵王主簿所畫折枝〉詩二首之二：「若人富天巧，春色入毫楮。」
3.紙幣。宋金元三代多以楮皮紙製成紙幣，故借指紙幣。《宋史．卷四二一．常楙傳》：「值水災，捐萬楮以振之。」
4.俗稱祭祀用的冥錢為「楮」。元．楊文奎《兒女團圓》第二折：「不強如焚錢烈楮，滅罪消災。」
5.姓。如明代有楮山。</t>
  </si>
  <si>
    <t>褚</t>
  </si>
  <si>
    <t>[動]
1.以絲綿鋪衣。《玉篇．衣部》：「褚，裝衣也。」漢．史游〈急就篇〉：「襜褕袷複褶褲褌。」唐．顏師古．注：「褚之以綿曰複。」
2.貯藏。《左傳．襄公三十年》：「取我衣冠而褚之。」
[名]
1.口袋。《莊子．至樂》：「褚小者不可以懷大，綆短者不可汲深。」《南史．卷七六．隱逸傳下．張孝秀傳》：「有商人置諸褚中，展轉入東林。」
2.姓。如漢代有褚大。</t>
  </si>
  <si>
    <t>(一)ㄔㄨˊ chú（08538）</t>
  </si>
  <si>
    <t>楚</t>
  </si>
  <si>
    <t>[形]
1.痛苦。如：「苦楚」。《史記．卷一〇．孝文本紀》：「夫刑至斷支體，刻肌膚，終身不息，何其楚痛而不德也，豈稱為民父母之意哉！」
2.清晰、整齊。如：「清楚」。《詩經．小雅．賓之初筵》：「邊豆有楚，殽核維旅。」
3.鮮明、華麗。《詩經．曹風．蜉蝣》：「蜉蝣之羽，衣裳楚楚。」南朝梁．沈約〈少年新婚為之詠詩〉：「腰肢既軟弱，衣服亦華楚。」
[名]
1.古時教師用以責罰學生的小杖。《禮記．學記》：「夏楚二物，收其威也。」漢．鄭玄．注：「夏，槄也；楚，荊也。二者所以撲撻犯禮者。」
2.國名：(1)周成王封熊繹於楚，春秋時稱王，為戰國七雄之一。領有今大陸地區湖南、湖北、安徽、浙江及河南南部，後為秦所滅。(2)五代時馬殷所建，為五代十國之一。有今大陸地區湖南及廣西東部等地，後為南唐所滅。
3.大陸地區湖南、湖北的通稱。或專指大陸地區湖北而言。
4.植物名。馬鞭草科蔓荊屬，落葉灌木。葉為掌狀複葉，邊緣有細鋸齒。七八月間開淡黃紫色花。也稱為「牡荊」。
5.姓。如宋代有楚公輔。
[動]
拷打。《聊齋志異．卷一．三生》：「鬼力楚之，痛甚而蹶。」</t>
  </si>
  <si>
    <t>礎</t>
  </si>
  <si>
    <t>[名]
1.墊在柱下的石頭。如：「礎石」。《淮南子．說林》：「山雲蒸，柱礎潤。」
2.事情的初步成就或根本。如：「基礎」、「立礎」。</t>
  </si>
  <si>
    <t>齭</t>
  </si>
  <si>
    <t>[動]
牙齒酸痛。《說文解字．齒部》：「齭，齒傷酢也。」</t>
  </si>
  <si>
    <t>亍</t>
  </si>
  <si>
    <t>ㄔㄨˋ</t>
  </si>
  <si>
    <t>chù</t>
  </si>
  <si>
    <t>[動]
1.在行進中停止步伐。《說文解字．彳部》：「亍，步止也。」《文選．左思．魏都賦》：「矞雲翔龍，澤馬亍阜。」
2.小步行進。《字彙．二部》：「亍，小步也。」
[名]
右腳的步伐。明．張自烈《正字通．行部》：「左步為彳，右步為亍，合彳亍為行。」</t>
  </si>
  <si>
    <t>怵</t>
  </si>
  <si>
    <t>[動]
1.恐懼、害怕。如：「驚怵」、「怵目驚心」。《文選．陸機．文賦》：「雖杼軸於予懷，怵佗人之我先。」
2.悽愴、悲傷。《禮記．祭統》：「心怵而奉之以禮。」漢．鄭玄．注：「怵，感念親之貌也。」</t>
  </si>
  <si>
    <t>[名]
樂器名，打擊樂器。木製，箱形，上寬下窄。演奏時，以椎敲擊內壁。古時樂隊演奏時，以擊柷表示音樂開始。《爾雅．釋樂》：「所以鼓柷謂之止。」晉．郭璞．注：「柷如漆桶，方二尺四寸，深一尺八寸，中有椎柄，連底挏之，令左右擊。止者，其椎名。」</t>
  </si>
  <si>
    <t>(二)（又音）ㄓㄨˋ zhù（08009）</t>
  </si>
  <si>
    <t>[名]
1.人飼養的禽獸。如馬、牛、羊、雞、犬、豬等。如：「家畜」、「六畜興旺」。
2.泛指禽獸。如：「畜生」。</t>
  </si>
  <si>
    <t>(二)ㄒㄩˋ xù（07310）</t>
  </si>
  <si>
    <t>滀</t>
  </si>
  <si>
    <t>[動]
1.水停滯積聚。宋．陸游〈稽山行〉：「鏡湖滀眾水，自漢無旱蝗。」明．徐弘祖《徐霞客遊記．卷八下．滇遊日記九》：「一出巃嵷山，滀為海子，流為高河，南至城東北。」
2.鬱結。《莊子．達生》：「夫忿滀之氣，散而不反，則為不足。」</t>
  </si>
  <si>
    <t>鄐</t>
  </si>
  <si>
    <t>[名]
1.地名。春秋時晉邑，故址約在今大陸地區河北省邢臺縣附近。
2.姓。如漢代有鄐熙。</t>
  </si>
  <si>
    <t>[動]
筋肉牽動。如：「抽搐」。《漢書．卷四八．賈誼傳》：「一二指搐，身慮亡聊。」</t>
  </si>
  <si>
    <t>(二)ㄔㄡ chōu（08315）</t>
  </si>
  <si>
    <t>俶</t>
  </si>
  <si>
    <t>[形]
美善。《說文解字．人部》：「俶，善也。從人叔聲。《詩》曰：『令終有俶』。」清．段玉裁．注：「按釋詁、毛傳皆曰『淑，善也』。蓋假借之字，其正字則俶也。」
[動]
1.作。《詩經．大雅．崧高》：「有俶其城。」漢．毛亨．傳：「俶，作也。」
2.整理。通「束」。參見「俶裝」條。
[副]
開始。《爾雅．釋詁上》：「俶，始也。」《詩經．小雅．大田》：「以我覃耜，俶載南畝。」漢．鄭玄．箋：「俶，始也；載，事也。」《北史．卷四三．李崇傳》：「嵩都創構，洛邑俶營，雖年跨十稔，根基未就。」</t>
  </si>
  <si>
    <t>(二)ㄊㄧˋ tì（▲02649）</t>
  </si>
  <si>
    <t>諔</t>
  </si>
  <si>
    <t>參見「諔詭」條。</t>
  </si>
  <si>
    <t>[名]
1.地方、場所。如：「住處」、「各處」。
2.事物的某一部分。如：「益處」、「長處」、「用處」。
3.機關團體的組織單位。如：「訓導處」、「人事處」、「新聞處」。
4.時候、時刻。唐．杜甫〈述懷〉詩：「沉思歡會處，恐作窮獨叟。」宋．柳永〈雨霖鈴．寒蟬淒切〉詞：「都門帳飲無緒，留戀處、蘭舟催發。」
5.量詞。計算部位、地點的單位。如：「一處勝景」、「兩處流沙」、「三處瘀傷」。</t>
  </si>
  <si>
    <t>(二)ㄔㄨˇ chǔ（08549）</t>
  </si>
  <si>
    <t>絀</t>
  </si>
  <si>
    <t>[動]
貶退。通「黜」。《禮記．王制》：「不孝者，君絀以爵。」《史記．卷八四．屈原賈生傳》：「屈平既絀，其後秦欲伐齊，齊與楚從親，惠王患之。」
[形]
不足、短缺。如：「支絀」、「相形見絀」。《荀子．非相》：「與世偃仰，緩急嬴絀。」</t>
  </si>
  <si>
    <t>[動]
貶低。同「黜」。《戰國策．韓策三》：「彼公仲者，秦勢能詘之。」</t>
  </si>
  <si>
    <t>(一)ㄑㄩ qū（06616）</t>
  </si>
  <si>
    <t>黜</t>
  </si>
  <si>
    <t>[動]
1.貶降、革職。如：「罷黜」。《論語．微子》：「柳下惠為士師，三黜。」唐．柳宗元〈封建論〉：「有罪得以黜，有能得以獎。」
2.擯除、排斥。《左傳．昭公二十六年》：「咸黜不端，以綏定王家。」唐．柳宗元〈送元十八山人南遊序〉：「世之學孔氏者則黜老子，學老子者則黜孔氏，道不同，不相為謀。」
3.廢免、廢除。《國語．晉語一》：「公將黜太子申生而立奚齊。」《漢書．卷八八．儒林傳．序》：「天下並爭於戰國，儒術既黜焉，然齊魯之間學者猶弗廢。」</t>
  </si>
  <si>
    <t>閦</t>
  </si>
  <si>
    <t>[形]_x000D_
眾多。《玉篇．門部》：「閦，眾也。」《佛本行集經》卷三七：「爾時，恒河此彼兩岸，有於八萬四千眾類，閦然集聚，皆共欲聽那羅陀仙及二龍王解說偈時。」_x000D_
[名]_x000D_
參見「阿閦」條。</t>
  </si>
  <si>
    <t>擉</t>
  </si>
  <si>
    <t>[動]
刺。《莊子．則陽》：「冬則擉鱉於江，夏則休乎山樊。」唐．韓愈〈祭鱷魚文〉：「罔繩擉刃，以除蟲蛇惡物。」</t>
  </si>
  <si>
    <t>歜</t>
  </si>
  <si>
    <t>[形]
盛怒。《說文解字．欠部》：「歜，盛气怒也。」宋．吳潛〈賀新郎．雲鬢難重綠〉詞：「虛舟飄瓦何煩歜，奈羊腸，千歧萬折，近來純熟。」
[名]
人名用字。如春秋時有甘歜、邴歜。</t>
  </si>
  <si>
    <t>斶</t>
  </si>
  <si>
    <t>[名]
人名用字。如戰國時齊國有顏斶。</t>
  </si>
  <si>
    <t>臅</t>
  </si>
  <si>
    <t>[名]
胸腔中的脂油。《玉篇．肉部》：「臅，臆中膏。」《禮記．內則》：「小切狼臅膏，以與稻米為酏。」</t>
  </si>
  <si>
    <t>觸</t>
  </si>
  <si>
    <t>[動]
1.獸類用犄角抵物。《易經．大壯卦．九三》：「羝羊觸藩，羸其角。」清．紀昀《閱微草堂筆記．卷九．如是我聞三》：「奴子劉琪，畜一牛一犬，牛見犬輒觸，犬見牛輒噬。」
2.碰撞、遇到。如：「接觸」、「觸電」、「一觸即發」、「觸景生情」。《左傳．宣公二年》：「觸槐而死。」
3.冒犯、干犯。如：「觸犯長上」。《清平山堂話本．快嘴李翠蓮記》：「婆婆耐不過，從頭將打先生、罵媒人、觸夫主、毀公婆，一一苦訴一遍。」
4.感動、引發。如：「感觸」。宋．林正大〈滿江紅．寂寞江城〉詞：「怕明朝，酒醒落紛紛，那忍觸。」《鏡花緣》第四回：「武后聽罷，心中忽然動了一動，倒像觸起從前一件事來。」
[名]
姓。如戰國時趙國有觸讋。</t>
  </si>
  <si>
    <t>矗</t>
  </si>
  <si>
    <t>[形]
1.草木茂盛。《集韻．入聲．屋韻》：「矗，艸木盛也。」
2.直立高聳的樣子。《文選．司馬相如．上林賦》：「於是乎崇山矗矗，巃嵷崔巍。」唐．杜牧〈阿房宮賦〉：「蜂房水渦，矗不知乎幾千萬落。」
[動]
向上高聳直立。唐．舒元輿〈唐鄂州永興縣重巖寺碑銘〉：「釋宮斯闡，上矗星斗。」</t>
  </si>
  <si>
    <t>ㄔㄨㄚ</t>
  </si>
  <si>
    <t>chuā</t>
  </si>
  <si>
    <t>[擬]
形容急促或有節奏的聲音。如：「欻的一聲」、「欻欻的腳步聲」。</t>
  </si>
  <si>
    <t>(一)ㄏㄨ hū（04944）(三)ㄒㄩˋ xù（07319）</t>
  </si>
  <si>
    <t>ㄔㄨㄚˇ</t>
  </si>
  <si>
    <t>chuǎ</t>
  </si>
  <si>
    <t>參見「抓子兒」條。</t>
  </si>
  <si>
    <t>(一)（語音）ㄓㄨㄚ zhuā（08019）(二)（讀音）ㄓㄠ zhāo（08577）</t>
  </si>
  <si>
    <t>䫄</t>
  </si>
  <si>
    <t>ㄔㄨㄚˋ</t>
  </si>
  <si>
    <t>chuà</t>
  </si>
  <si>
    <t>[形]
強的樣子。《廣韻．入聲．轄韻》：「䫄，䫄頢，強可貌。」
[動]
逸出。參見「䫄外」條。</t>
  </si>
  <si>
    <t>戳</t>
  </si>
  <si>
    <t>ㄔㄨㄛ</t>
  </si>
  <si>
    <t>chuō</t>
  </si>
  <si>
    <t>[動]
1.以物體的尖端觸刺。如：「戳個洞」、「戳破」。《宋史．卷二〇一．刑法志三》：「蘇州民張朝之從兄以槍戳死朝父，逃去。」《紅樓夢》第三〇回：「便咬著牙用指頭狠命的在他額顱上戳了一下。」
2.豎立。如：「把棍子戳在地上。」
[名]
圖章、印記。如：「郵戳」。《福惠全書．卷四．蒞任部．酬答書札》：「如發回書，即于前件下註某日發回書訖，上用銷號小戳。」</t>
  </si>
  <si>
    <t>辵</t>
  </si>
  <si>
    <t>ㄔㄨㄛˋ</t>
  </si>
  <si>
    <t>chuò</t>
  </si>
  <si>
    <t>[動]
忽走忽跳。《說文解字．辵部》：「辵，乍行乍止。」《儀禮．公食大夫禮》「賓栗階升不拜」句下漢．鄭玄．注：「不拾級而下曰辵。」
[名]
二一四部首之一。</t>
  </si>
  <si>
    <t>娖</t>
  </si>
  <si>
    <t>[動]
1.辯。《玉篇．女部》：「娖，辯也。」
2.整頓、整備。《資治通鑑．卷二三一．唐紀四十七．德宗貞元元年》：「河中軍士自相驚曰：『西城擐甲矣！』又曰：『東城娖隊矣！』」</t>
  </si>
  <si>
    <t>齪</t>
  </si>
  <si>
    <t>[形]
1.謹慎、小心。《史記．卷一二九．貨殖傳》：「而鄒魯濱洙泗，猶有周公遺風。俗好儒，備於禮，故其民齪齪。」
2.參見「齷齪」條。</t>
  </si>
  <si>
    <t>惙</t>
  </si>
  <si>
    <t>[形]
1.憂愁。《說文解字．心部》：「惙，憂也。」如：「惙惙」。《後漢書．卷八三．逸民傳．梁鴻傳》：「心惙怛兮傷悴，志菲菲兮升降。」
2.疲憊。唐．柳宗元〈為戶部王叔文陳情表〉：「忽患瘖風發動，狀候非常，今雖似退，猶甚虛惙。」
[動]
停止。通「輟」。《莊子．秋水》：「孔子游于匡，宋人圍之數帀，而絃歌不惙。」</t>
  </si>
  <si>
    <t>啜</t>
  </si>
  <si>
    <t>[動]
1.吃、喝。《說文解字．口部》：「啜，嘗也。」如：「啜飲」、「啜粥」。宋．陸游〈睡鄉〉詩：「有酒君勿啜，入腸作戈矛。」
2.哭泣。南朝梁．江淹〈齊太祖高皇帝誄〉：「睇千乘之共啜，盼萬騎之相泫。」</t>
  </si>
  <si>
    <t>輟</t>
  </si>
  <si>
    <t>[動]
停止。如：「輟學」、「中輟」。《三國志．卷五八．吳書．陸遜傳》：「臣聞志行萬里者，不中道而輟足。」</t>
  </si>
  <si>
    <t>醊</t>
  </si>
  <si>
    <t>[動]
祭祀時把酒潑在地上以祭奠。《後漢書．卷七六．循吏傳．王渙傳》：「男女老壯皆相與賦斂，致奠醊以千數。」宋．王安石〈祭盛侍郎文〉：「欲醊棺前，縻不可奔。」</t>
  </si>
  <si>
    <t>歠</t>
  </si>
  <si>
    <t>[動]
飲、喝。《禮記．曲禮上》：「毋刺齒，毋歠醢。」宋．陸游〈立秋後四日雨〉詩：「杯泛鵝兒供小歠，碓舂雲子喜新嘗。」
[名]
可喝的羹湯。《戰國策．燕策一》：「即酒酣樂，進熱歠，即因反斗擊之。」</t>
  </si>
  <si>
    <t>婥</t>
  </si>
  <si>
    <t>參見「婥約」條。</t>
  </si>
  <si>
    <t>逴</t>
  </si>
  <si>
    <t>[動]
超越。《楚辭．屈原．遠遊》：「舒并節以馳騖兮，逴絕垠乎寒門。」唐．顏師古《匡謬正俗．卷六．坼》：「逴者，謂超踰不依次第。」
[副]
遠遠的。《新唐書．卷九五．竇威傳》：「煬帝遣抗出靈武，逴護長城。」</t>
  </si>
  <si>
    <t>綽</t>
  </si>
  <si>
    <t>[形]
1.寬裕。如：「闊綽」、「寬綽」。
2.姿態柔媚、美好。如：「風姿綽約」。《文選．曹植．洛神賦》：「柔情綽態，媚於語言。」
3.參見「綽號」、「綽名」等條。
[動]
抓取。《水滸傳》第二三回：「綽了梢棒，立起身來道：『我卻又不曾醉。』」</t>
  </si>
  <si>
    <t>婼</t>
  </si>
  <si>
    <t>[形]
不順。《說文解字．女部》：「婼，不順。」
[名]
人名用字。如春秋時魯國有叔孫婼。</t>
  </si>
  <si>
    <t>(二)ㄖㄨㄛˋ ruò（09312A）</t>
  </si>
  <si>
    <t>搋</t>
  </si>
  <si>
    <t>ㄔㄨㄞ</t>
  </si>
  <si>
    <t>chuāi</t>
  </si>
  <si>
    <t>[動]
1.藏。如：「把錢搋進褲袋裡。」
2.用力搓揉。如：「搋衣服。」</t>
  </si>
  <si>
    <t>膗</t>
  </si>
  <si>
    <t>ㄔㄨㄞˊ</t>
  </si>
  <si>
    <t>chuái</t>
  </si>
  <si>
    <t>[形]
肥胖而肌肉鬆動的樣子。如：「他身子很膗。」</t>
  </si>
  <si>
    <t>揣</t>
  </si>
  <si>
    <t>ㄔㄨㄞˇ</t>
  </si>
  <si>
    <t>chuǎi</t>
  </si>
  <si>
    <t>[動]
1.測量、估量。《左傳．昭公三十二年》：「士彌牟營成周，計丈數，揣高卑，度厚薄。」
2.忖度、猜想。如：「揣測」、「揣摩」。宋．岳飛〈乞出師劄〉：「臣揣敵情，所以立劉豫於河南，而付之齊秦之地，蓋欲荼毒中原生靈。」
3.試探、設法。《漢書．卷八四．翟方進傳》：「子夏既過方進，揣知其指，不敢發言。」《三國志．卷四〇．蜀書．魏延傳》：「亮適卒，祕不發喪，儀令褘往揣延意指。」
4.握、抓。清．洪昇《長生殿》第九齣：「揣這廝去打一百，發入淨軍所去。」《海上花列傳》第五〇回：「禁不起素蘭揣著賴公子兩手，下氣柔聲，甜言蜜語的央告。」
5.藏、放。元．蕭德祥《殺狗勸夫》第二折：「你懷揣著鴉青料鈔尋相識，並沒半升粗米施饘粥。」《水滸傳》第二回：「懷中揣了書呈，逕投端王宮中來。」
[名]
姓。如明代有揣本。</t>
  </si>
  <si>
    <t>嘬</t>
  </si>
  <si>
    <t>ㄔㄨㄞˋ</t>
  </si>
  <si>
    <t>chuài</t>
  </si>
  <si>
    <t>[動]
1.叮、咬。明．張自烈《正字通．口部》：「嘬，齧也。」《孟子．滕文公上》：「狐狸食之，蠅蚋姑嘬之。」
2.參見「嘬炙」條。</t>
  </si>
  <si>
    <t>(二)（語音）ㄗㄨㄛ zuō（09601）</t>
  </si>
  <si>
    <t>踹</t>
  </si>
  <si>
    <t>[動]
1.以腳底用力踢。如：「把門踹開」。《兒女英雄傳》第六回：「咱們踹開門，進去瞧瞧。」
2.踐踏、踩。《儒林外史》第三回：「走出大門不多路，一腳踹在塘裡，掙起來，頭髮都跌散了。」</t>
  </si>
  <si>
    <t>(一)ㄕㄨㄢˋ shuàn（09153）</t>
  </si>
  <si>
    <t>膪</t>
  </si>
  <si>
    <t>[名]
囊膪：豬肉靠近兩乳的部分。</t>
  </si>
  <si>
    <t>吹</t>
  </si>
  <si>
    <t>ㄔㄨㄟ</t>
  </si>
  <si>
    <t>chuī</t>
  </si>
  <si>
    <t>[動]
1.噘著嘴將氣體用力從口中呼出來。如：「吹奏」、「吹口哨」。《詩經．小雅．鹿鳴》：「鼓瑟吹笙。」
2.氣流順著某方向流動。如：「風吹雨打」。唐．杜甫〈絕句漫興〉詩九首之二：「恰似春風相欺得，夜來吹折數枝花。」
3.誇口、說大話。如：「吹牛」、「吹噓」。
4.事情作罷或關係斷絕。如：「他們的婚事，早就吹了。」</t>
  </si>
  <si>
    <t>(二)ㄔㄨㄟˋ chuì（08614）</t>
  </si>
  <si>
    <t>炊</t>
  </si>
  <si>
    <t>[動]
燃火煮食物。如：「炊飯」、「野炊」。漢．王充《論衡．知實》：「顏淵炊飯，塵落甑中。」宋．蘇軾〈和子由送將官梁左藏仲通〉詩：「城西忽報故人來，急掃風軒炊麥飯。」
[形]
烹煮食物的。如：「炊具」、「炊煙裊裊」。</t>
  </si>
  <si>
    <t>(二)ㄔㄨㄟˋ chuì（08615）</t>
  </si>
  <si>
    <t>垂</t>
  </si>
  <si>
    <t>ㄔㄨㄟˊ</t>
  </si>
  <si>
    <t>chuí</t>
  </si>
  <si>
    <t>[動]
1.由上往下掉落。如：「垂淚」、「垂涎」、「垂纓」。
2.留傳後世。如：「名垂青史」、「永垂不朽」。
[副]
1.及、將要。如：「垂危」、「功敗垂成」。唐．元稹〈聞樂天授江州司馬〉詩：「垂死病中驚坐起。」
2.晚輩受長輩關愛的敬語。如：「垂愛」、「垂詢」、「垂念」。
[名]
1.邊疆。通「陲」。《荀子．臣道》：「邊境之臣處，則疆垂不喪。」《史記．卷五．秦本紀》：「在西戎，保西垂。」
2.旁邊。《文選．王粲．詠史詩》：「妻子當門泣，兄弟哭路垂。」</t>
  </si>
  <si>
    <t>厜</t>
  </si>
  <si>
    <t>參見「厜㕒」條。</t>
  </si>
  <si>
    <t>倕</t>
  </si>
  <si>
    <t>[名]
人名。古代的巧匠。《莊子．胠篋》：「攦工倕之指，而天下始人有其巧矣。」《後漢書．卷五二．崔駰傳》：「應規矩之淑質兮，過班倕而裁之。」唐．章懷太子．注：「公輸班，魯人也；倕，舜時為共工之官。皆巧人也。」</t>
  </si>
  <si>
    <t>捶</t>
  </si>
  <si>
    <t>[動]
1.用杖敲打。如：「捶背」、「捶胸頓足」。《荀子．正論》：「捶笞臏腳，斬斷枯磔。」
2.舂、擣。《禮記．內則》：「欲乾肉，則捶而食之。」
[名]
鞭、杖。《莊子．天下》：「一尺之捶，日取其半，萬世不竭。」《韓非子．姦劫弒臣》：「無捶策之威，銜橛之備，雖造父不能以服馬。」</t>
  </si>
  <si>
    <t>陲</t>
  </si>
  <si>
    <t>[名]
邊界、邊疆。《左傳．成公十三年》：「芟夷我農功，虔劉我邊陲，我是以有輔氏之聚。」唐．王維〈送別〉詩：「君言不得意，歸臥南山陲。」</t>
  </si>
  <si>
    <t>棰</t>
  </si>
  <si>
    <t>[名]
短的木杖、棍棒。《莊子．天下》：「一尺之棰，日取其半，萬世不竭。」
[動]
用木杖捶打。《周禮．天官．腊人》「腊人，掌乾肉，凡田獸之脯腊膴胖之事」句下漢．鄭玄．注：「棰之而施薑桂。」</t>
  </si>
  <si>
    <t>菙</t>
  </si>
  <si>
    <t>[名]
古代用來灼龜占卜的荊條。《集韻．上聲．紙韻》：「菙，木名。」《周禮．春官．菙氏》：「菙氏，掌共樵契以待卜事。」</t>
  </si>
  <si>
    <t>箠</t>
  </si>
  <si>
    <t>[名]
馬鞭。《玉篇．竹部》：「箠，擊馬箠也。」漢．桓寬《鹽鐵論．詔聖》：「今之治民者，若御拙馬，行則頓之，止則擊之，身創於箠，吻傷於銜。」唐．杜牧〈西江懷古〉詩：「魏帝縫囊真戲劇，苻堅投箠更荒唐。」
[動]
鞭打。宋．羅大經《鶴林玉露．丙編．卷三．靜坐》：「眾生打坐者數百人，或拈竹篦痛箠之，或袖中出餅果置其前。」</t>
  </si>
  <si>
    <t>錘</t>
  </si>
  <si>
    <t>[名]
1.掛在秤上的金屬塊，可用來定重量。如：「秤錘」。
2.兵器名。柄的上端是一個金屬的圓鐵球。《儒林外史》第一二回：「鞭鐧鐹錘，刀鎗劍戟，都還略有些講究。」
3.捶打東西的器具。如：「鐵錘」、「釘錘」。
[動]
擣擊、敲打。通「鎚」。如：「千錘百鍊」。</t>
  </si>
  <si>
    <t>(一)ㄓㄨㄟ zhuī（08070）</t>
  </si>
  <si>
    <t>圌</t>
  </si>
  <si>
    <t>[名]
1.以竹或草編製而成，用以盛放穀糧的圓形器皿。漢．劉熙《釋名．釋宮室》：「圌，以草作之，團團然也。」《抱朴子．外篇．守塉》：「稗糲曠於圌廩，薪爨廢於庖廚。」
2.山名。位於大陸地區江蘇省鎮江縣東北六十里，為江防要地。</t>
  </si>
  <si>
    <t>搥</t>
  </si>
  <si>
    <t>[動]
敲打。同「捶」。如：「搥背」、「搥胸頓足」。《南史．卷七七．恩倖傳．茹法亮傳》：「近聞王洪範與趙越常、徐僧亮、萬靈會共語，皆攘袂搥床。」</t>
  </si>
  <si>
    <t>槌</t>
  </si>
  <si>
    <t>[名]
敲打東西的器具。形似錘。如：「棒槌」、「鼓槌」。南朝宋．劉義慶《世說新語．簡傲》：「康揚槌不輟，傍若無人。」
[動]
敲打。通「捶」。《樂府詩集．卷七三．雜曲歌辭十三．古辭．焦仲卿妻》：「阿母得聞之，槌床便大怒。」</t>
  </si>
  <si>
    <t>鎚</t>
  </si>
  <si>
    <t>[名]
敲擊東西的器具。通「錘」。俗稱為「榔頭」。
[動]
敲打。通「錘」。如：「鎚打」。</t>
  </si>
  <si>
    <t>ㄔㄨㄟˋ</t>
  </si>
  <si>
    <t>chuì</t>
  </si>
  <si>
    <t>參見「鼓吹」(一)條。</t>
  </si>
  <si>
    <t>(一)ㄔㄨㄟ chuī（08598）</t>
  </si>
  <si>
    <t>參見「炊累」條。</t>
  </si>
  <si>
    <t>(一)ㄔㄨㄟ chuī（08599）</t>
  </si>
  <si>
    <t>川</t>
  </si>
  <si>
    <t>ㄔㄨㄢ</t>
  </si>
  <si>
    <t>chuān</t>
  </si>
  <si>
    <t>[名]
1.河流。如：「河川」。《論語．子罕》：「子在川上曰：『逝者如斯夫，不舍晝夜。』」
2.大陸地區四川省的簡稱。
[動]
一種烹飪方法。將食物置於開水中，水一開即刻撈起。如：「川肉片」。</t>
  </si>
  <si>
    <t>氚</t>
  </si>
  <si>
    <t>氫的同位素之一。以人為方式製成，具放射性，核內有兩個中子及一個質子，應用於熱核反應。</t>
  </si>
  <si>
    <t>巛</t>
  </si>
  <si>
    <t>穿</t>
  </si>
  <si>
    <t>[動]
1.挖鑿、挖掘。《詩經．召南．行露》：「誰謂鼠無牙，何以穿我墉？」《禮記．月令》：「穿竇窖，脩囷倉。」
2.貫通、通過。如：「穿針引線」、「穿鞋帶」、「穿越馬路」。
3.著衣襪等。如：「穿衣服」、「穿襪子」。
[形]
破敗的。《莊子．山木》：「衣弊屐穿，貧也，非憊也。」
[副]
透澈、明白、顯明。如：「說穿」、「看穿心事」、「望穿秋水」、「拆穿西洋鏡」。</t>
  </si>
  <si>
    <t>船</t>
  </si>
  <si>
    <t>ㄔㄨㄢˊ</t>
  </si>
  <si>
    <t>chuán</t>
  </si>
  <si>
    <t>[名]
1.航行水上的主要交通工具。如：「汽船」、「輪船」、「帆船」、「鐵殼船」。
2.形狀或作用類似船的物體。如：「太空船」。</t>
  </si>
  <si>
    <t>椽</t>
  </si>
  <si>
    <t>[名]
架在桁上用以承接木條及屋頂的木材。《左傳．桓公十四年》：「以大宮之椽，歸為盧門之椽。」《晉書．卷八五．諸葛長民傳》：「屋中柱及椽桷間，悉見有蛇頭，令人以刀懸斫，應刃隱藏，去輒復出。」也稱為「椽子」。</t>
  </si>
  <si>
    <t>遄</t>
  </si>
  <si>
    <t>[副]
疾速。《易經．損卦．初九》：「巳事遄往，無咎。」《詩經．鄘風．相鼠》：「人而無禮，胡不遄死？」</t>
  </si>
  <si>
    <t>歂</t>
  </si>
  <si>
    <t>[名]
1.姓。如《史記》記載有歂師。《左傳．僖公二十八年》：「歂犬走出，公使殺之。」
2.(一)之又音。</t>
  </si>
  <si>
    <t>(一)ㄔㄨㄢˇ chuǎn（119060023）</t>
  </si>
  <si>
    <t>輲</t>
  </si>
  <si>
    <t>[名]
一種古代的車子。輪以整塊圓木做成，而無輪輻。《禮記．雜記上》：「大夫以布為輤而行，至於家而說輤，載以輲車。」漢．鄭玄．注：「輲讀為輇，或作槫。許氏《說文解字》曰：『有輻曰輪，無輻曰輇。』」唐．孔穎達．正義：「有輻謂別施木為輻；無輻謂合大木為之，不施輻曰輇。」</t>
  </si>
  <si>
    <t>[動]_x000D_
1.延續、繼承。指由上代交給下代。如：「傳承」、「薪火相傳」、「父傳子，子傳孫」。《淮南子．精神訓》：「故舉天下而傳之于舜。」漢．司馬相如〈喩巴蜀檄〉：「終則遺顯號於後世，傳土地於子孫。」_x000D_
2.教授、傳授。如：「傳藝」。唐．韓愈〈師說〉：「師者，所以傳道、授業、解惑也。」《西遊記》第二回：「師父傳你道法，如何不學，卻與師父頂嘴。」_x000D_
3.遞送、轉達。指由一方交給另一方。如：「傳球」、「傳話」、「眉目傳情」。《孟子．公孫丑上》：「德之流行，速於置郵而傳命。」《三國演義》第二三回：「李典可使傳書送檄，呂虔可使磨刀鑄劍。」_x000D_
4.下令叫喚他人，或命令他人前來。如：「傳喚」、「傳呼」、「隨傳隨到」。《儒林外史》第一回：「頭翁，你有所不知，假如我為了事，老爺拿票子傳我，我怎敢不去？」《福惠全書．卷二．蒞任部．堂規式》：「凡上司差承，候堂事畢，把門人先行稟明，以便傳見。」_x000D_
5.散布、流傳。如：「傳染」、「傳播」、「宣傳」。《墨子．所染》：「此五君者所染當，故霸諸侯，功名傳於後世。」唐．韋應物〈廣陵遇孟九雲卿〉詩：「高文激頹波，四海靡不傳。」《初刻拍案驚奇》卷二：「此事鬧動了一個休寧縣，城郭鄉村，無不傳為奇談。」_x000D_
6.表達、表現。《莊子．天道》：「意之所隨者，不可以言傳也。」宋．蘇軾〈題過所畫枯木竹石〉詩三首之一：「老可能為竹寫真，小坡今與石傳神。」_x000D_
7.接觸轉移。如：「傳導」、「傳熱」。</t>
  </si>
  <si>
    <t>(二)ㄓㄨㄢˋ zhuàn（08097）</t>
  </si>
  <si>
    <t>[動]_x000D_
縛、綁。《左傳．襄公二十五年》：「閭丘嬰以帷縳其妻而載之，與申鮮虞乘而出。」</t>
  </si>
  <si>
    <t>(一)ㄓㄨㄢˋ zhuàn（08098）</t>
  </si>
  <si>
    <t>舛</t>
  </si>
  <si>
    <t>ㄔㄨㄢˇ</t>
  </si>
  <si>
    <t>chuǎn</t>
  </si>
  <si>
    <t>[動]
乖違、違背。南朝梁．劉勰《文心雕龍．諸子》：「嗟夫身與時舛，志共道申，標心於萬古之上，而送懷於千載之下。」
[形]
1.不順利、困厄。唐．王勃〈滕王閣序〉：「嗟乎！時運不齊，命途多舛。」
2.錯誤、錯亂。南朝梁．沈約〈齊故安陸昭王碑文〉：「刑政繁舛，舊難詳一。」《新唐書．卷一九六．隱逸傳．陸龜蒙傳》：「借人書，篇帙壞舛，必為輯褫刊正。」
[名]
二一四部首之一。</t>
  </si>
  <si>
    <t>荈</t>
  </si>
  <si>
    <t>[名]
茶的老葉。《玉篇．艸部》：「荈，茶葉老者。」《三國志．卷六五．吳書．韋曜傳》：「或密賜茶荈以當酒。」</t>
  </si>
  <si>
    <t>喘</t>
  </si>
  <si>
    <t>[動]
1.急促呼吸。《說文解字．口部》：「喘，疾息也。」如：「喘息」、「喘吁吁」、「喘不過氣」。
2.呼吸、深呼吸。如：「喘了一口氣。」
[名]
氣息。宋．蘇軾〈乞數珠贈南禪湜老〉詩：「我老安能為，萬劫付一喘。」</t>
  </si>
  <si>
    <t>踳</t>
  </si>
  <si>
    <t>(一)ㄔㄨㄣˇ chǔn（08646）</t>
  </si>
  <si>
    <t>串</t>
  </si>
  <si>
    <t>ㄔㄨㄢˋ</t>
  </si>
  <si>
    <t>chuàn</t>
  </si>
  <si>
    <t>[動]
1.把東西連貫在一起。如：「串連」、「貫串」、「串珠子」。
2.勾結做壞事。如：「串通」、「串供」、「串騙」。
3.扮演。如：「客串」、「反串」。
4.隨意往來、走動。如：「串門子」。《兒女英雄傳》第四回：「各店房出來進去的亂串。」
5.連接錯亂。如：「電話串線」、「看書串行」、「食物串了味了。」
[名]
量詞。計算成串物品的單位。如：「一串念珠」、「兩串銅錢」。</t>
  </si>
  <si>
    <t>釧</t>
  </si>
  <si>
    <t>[名]
1.帶在臂上或手腕上的環形飾物。俗稱為「手鐲」。《南史．卷一六．王玄謨傳》：「女臂有玉釧，破冢者斬臂取之。」宋．歐陽修〈蝶戀花．越女採蓮秋水畔〉詞：「窄袖輕羅，暗露雙金釧。」
2.姓。如明代有釧佩。</t>
  </si>
  <si>
    <t>杶</t>
  </si>
  <si>
    <t>ㄔㄨㄣ</t>
  </si>
  <si>
    <t>chūn</t>
  </si>
  <si>
    <t>[名]
植物名。楝科香椿屬，「香椿」之古稱，參見「香椿」條。</t>
  </si>
  <si>
    <t>春</t>
  </si>
  <si>
    <t>[名]_x000D_
1.四季之首。自立春至立夏間。_x000D_
2.年、歲。三國魏．曹植〈雜詩〉六首之三：「自期三年歸，今已歷九春。」_x000D_
3.生機。如：「妙手回春」。_x000D_
4.男女間相慕悅的情感。如：「思春」。《詩經．召南．野有死麕》：「有女懷春，吉士誘之。」_x000D_
5.春色、喜色。南朝宋．陸凱〈贈范曄〉詩：「江南無所有，聊贈一枝春。」_x000D_
6.東方。南朝宋．顏延之〈車駕幸京口三月三日侍遊曲阿後湖作〉詩：「春方動辰駕，望幸傾五州。」_x000D_
7.春，酒名。是春釀冬熟的酒。唐．李肇《唐國史補》卷下：「酒則有郢州之『富水』，烏程之『若下』，滎陽之『土窟春』，富平之『石凍春』，劍南之『燒春』。」_x000D_
[形]_x000D_
春日的。如：「春風」、「春雷」。</t>
  </si>
  <si>
    <t>椿</t>
  </si>
  <si>
    <t>[名]
1.植物名。楝科香椿屬，「香椿」之古稱，參見「香椿」條。
2.比喻父親。如：「椿庭」、「椿萱」。
[形]
高齡。古代傳說上古有大椿，為千年大木，故用以形容長壽。如：「椿壽」。唐．牟融〈贈浙西李相公〉詩：「月裡昔曾分兔藥，人間今喜得椿年。」</t>
  </si>
  <si>
    <t>輴</t>
  </si>
  <si>
    <t>[名]
1.載運靈柩的車子。宋．王安石〈永壽縣太君周氏挽辭〉二首之二：「靈輴悲吉路，象服儼虛容。」
2.古時行走泥路所用的交通工具。《書經．益稷》「予乘四載」句下漢．孔安國．傳：「所載者四，謂水乘舟，陸乘車，泥乘輴，山乘樏。」唐．韓愈〈奉和杜相公太清宮紀事陳誠上李相公十六韻〉：「耒耜興姬國，輴欙建夏家。」</t>
  </si>
  <si>
    <t>ㄔㄨㄣˊ</t>
  </si>
  <si>
    <t>chún</t>
  </si>
  <si>
    <t>[名]
絲。《論語．子罕》：「今也純儉，吾從眾。」《漢書．卷六四下．王襃傳》：「夫荷旃被毳者，難與道純綿之麗密。」
[形]
1.不含雜質的。如：「純水」、「純金」、「純粹」、「精純」。
2.自然質樸、至誠無偽。如：「純樸」、「純潔」、「純厚」。
[副]
1.充分的、非常的。如：「技術純熟」。
2.全、都、皆。如：「以上所言，純屬虛構。」</t>
  </si>
  <si>
    <t>(二)ㄓㄨㄣˇ zhǔn（08115）</t>
  </si>
  <si>
    <t>淳</t>
  </si>
  <si>
    <t>[形]
1.濃厚。《紅樓夢》第四一回：「隔年蠲的雨水，那有這樣輕淳，如何吃得！」
2.篤厚、樸實的。如：「民風淳樸」。唐．白居易〈朱陳村〉詩：「縣遠官事少，山深人俗淳。」
[名]
質樸。《淮南子．齊俗》：「衰世之俗，……澆天下之淳，析天下之樸。」《漢書．卷八九．循吏傳．黃霸傳》：「澆淳散樸，並行偽貌。」
[動]
相配對。《左傳．襄公十一年》：「廣車、軘車，淳十五乘，甲兵備。」</t>
  </si>
  <si>
    <t>焞</t>
  </si>
  <si>
    <t>[形]
光明、明亮。《廣韻．平聲．諄韻》：「焞，明也。」</t>
  </si>
  <si>
    <t>醇</t>
  </si>
  <si>
    <t>[形]
1.酒味濃厚。如：「醇酒」。《文選．嵇康．琴賦》：「蘭肴兼御，旨酒清醇。」
2.質樸。通「淳」。《史記．卷一〇三．萬石君傳》：「兒寬等推文學至九卿，更進用事，事不關決於丞相，丞相醇謹而已。」
3.純一不雜。通「純」。《書經．說命中》：「惟厥攸居，政事惟醇。」
[名]
1.味道濃厚的酒。宋．蘇軾〈正月八日招王子高飲〉詩：「昨想玉堂空冷徹，誰分銀榼送清醇？」
2.化學上稱含有羥基（OH）的有機化合物為「醇類」。即烴分子上的氫原子被羥基取代後的衍生物。醇類一般呈中性，低級醇易溶於水，多元醇帶甜味。常用於有機合成中，亦可作溶劑、清潔劑、飲料、燃料等多用途。</t>
  </si>
  <si>
    <t>[名]
樂器名，打擊樂器，銅製。最早出現於春秋，盛行於戰國兩漢，至南北朝而漸漸銷聲匿跡。《周禮．地官．鼓人》：「以金錞和鼓。」也作「錞于」。</t>
  </si>
  <si>
    <t>(二)ㄉㄨㄟˋ duì（02355）</t>
  </si>
  <si>
    <t>鶉</t>
  </si>
  <si>
    <t>參見「鵪鶉」條。</t>
  </si>
  <si>
    <t>脣</t>
  </si>
  <si>
    <t>口部周圍的肌肉組織，表面覆以表皮，內面襯以粘膜。如：「嘴脣」、「兔脣」、「脣齒相依」。</t>
  </si>
  <si>
    <t>漘</t>
  </si>
  <si>
    <t>[名]
水邊。《詩經．王風．葛藟》：「綿綿葛藟，在河之漘。」唐．韓愈〈送惠師〉詩：「前年往羅浮，步戛南海漘。」</t>
  </si>
  <si>
    <t>蓴</t>
  </si>
  <si>
    <t>[名]
植物名。蓴菜科蓴菜屬，多年生浮葉性水生草本。葉橢圓形，盾狀著生於葉柄，全緣，背面帶藍紫色，葉柄細長，有黏液，夏日開花，花單生，萼片、花瓣各三枚，罕四枚，紫紅色。堅果卵圓形。嫩葉可作羹湯，味鮮美。多生於池沼中。也稱為「缺盆菜」、「蓴菜」、「露葵」。參見「露葵」條。</t>
  </si>
  <si>
    <t>ㄔㄨㄣˇ</t>
  </si>
  <si>
    <t>chǔn</t>
  </si>
  <si>
    <t>[動]
乖舛、相背。漢．賈誼《新書．卷四．匈奴》：「使上下踳逆，天下窾貧。」</t>
  </si>
  <si>
    <t>(二)（又音）ㄔㄨㄢˇ chuǎn（08630）</t>
  </si>
  <si>
    <t>蠢</t>
  </si>
  <si>
    <t>[動]
蟲類蠕動。《說文解字．〇部》：「蠢，蟲動也。」
[形]
1.愚笨。如：「蠢材」。《兒女英雄傳》第一五回：「你這個人好蠢，怎麼還這等說法？」
2.肥胖而行動笨拙的。元．高安道〈哨遍．暖日和風清晝套．三煞〉：「妝旦不抹颩，蠢身軀似水牛。」
3.不遜、無禮。《爾雅．釋訓》：「蠢，不遜也。」《詩經．小雅．采芑》：「蠢爾荊蠻，大邦為讎。」</t>
  </si>
  <si>
    <t>囪</t>
  </si>
  <si>
    <t>ㄔㄨㄤ</t>
  </si>
  <si>
    <t>chuāng</t>
  </si>
  <si>
    <t>同「窗」。</t>
  </si>
  <si>
    <t>(一)ㄘㄨㄥ cōng（09913）</t>
  </si>
  <si>
    <t>窗</t>
  </si>
  <si>
    <t>[名]
房屋中用來透光通氣的洞孔。如：「窗戶」、「天窗」、「玻璃窗」。</t>
  </si>
  <si>
    <t>創</t>
  </si>
  <si>
    <t>[名]
1.傷口、傷處。《漢書．卷三九．蕭何曹參傳》：「平陽侯曹參身被七十創。」
2.膿瘡。通「瘡」。《禮記．雜記下》：「身有瘍則浴，首有創則沐。」漢．王充《論衡．幸偶》：「氣結閼積，聚為癰，潰為疽，創流血出膿。」</t>
  </si>
  <si>
    <t>(一)ㄔㄨㄤˋ chuàng（08663）</t>
  </si>
  <si>
    <t>瘡</t>
  </si>
  <si>
    <t>[名]
1.皮膚或黏膜上的潰瘍。如：「頭瘡」、「膿瘡」。《政和證類本草．卷一一．草部下品》：「五毒草，味酸、平、無毒。根主癰疽惡瘡。」
2.創傷、外傷。如：「刀瘡」。《三國演義》第五五回：「大叫一聲，金瘡迸裂，倒於船上。」</t>
  </si>
  <si>
    <t>摐</t>
  </si>
  <si>
    <t>[動]
撞擊。清．王念孫《廣雅疏證．卷五上．釋言》：「摐，撞也。」《文選．司馬相如．子虛賦》：「摐金鼓，吹鳴籟。」</t>
  </si>
  <si>
    <t>疒</t>
  </si>
  <si>
    <t>ㄔㄨㄤˊ</t>
  </si>
  <si>
    <t>chuáng</t>
  </si>
  <si>
    <t>[形]
人有病痛而倚靠休養的樣子。《說文解字．疒部》：「疒，倚也。人有疾痛也，象倚箸之形。」
[名]
1.疾病。《廣韻．平聲．陽韻》：「疒，病也。」
2.二一四部首之一。</t>
  </si>
  <si>
    <t>床</t>
  </si>
  <si>
    <t>[名]
1.坐臥的器具。唐．杜甫〈樹間〉詩：「幾迴霑葉露，乘月坐胡床。」也稱為「坐榻」。
2.安放器物的架子。如：「琴床」、「墨床」。
3.像床一樣的地面。如：「河床」、「苗床」、「花床」。
4.量詞。計算被褥、毛毯等的單位。如：「一床棉被」。</t>
  </si>
  <si>
    <t>(一)（語音）ㄓㄨㄤˋ zhuàng（08127）</t>
  </si>
  <si>
    <t>噇</t>
  </si>
  <si>
    <t>[動]
大口吃喝。《儒林外史》第一一回：「在鎮上賭輸了，又噇了幾杯燒酒，噇的爛醉。」</t>
  </si>
  <si>
    <t>[名]
1.旌旗一類的東西。如：「旌幢」、「幡幢」。
2.量詞。計算房屋的單位。如：「一幢房子」。</t>
  </si>
  <si>
    <t>(二)ㄓㄨㄤˋ zhuàng（08128）</t>
  </si>
  <si>
    <t>[名]
柱子。《文選．木華．海賦》：「決帆摧橦，戕風起惡。」唐．李白〈天長節度使鄂州刺史韋公德政碑〉：「都盧尋橦，倒掛浮雲之影。」</t>
  </si>
  <si>
    <t>(一)ㄊㄨㄥˊ tóng（02900）(三)ㄔㄨㄥ chōng（08674）</t>
  </si>
  <si>
    <t>ㄔㄨㄤˇ</t>
  </si>
  <si>
    <t>chuǎng</t>
  </si>
  <si>
    <t>(一)ㄑㄧㄤˇ qiǎng（06569）(二)ㄑㄧㄤ qiāng（06544）</t>
  </si>
  <si>
    <t>[動]
1.猛衝。如：「往裡闖」、「橫衝直闖」。
2.歷練、奔走謀生。如：「闖江湖」。《儒林外史》第一回：「見那闖學堂的書客，就買幾本舊書。」
3.突然發生、意外引起。如：「闖禍」。</t>
  </si>
  <si>
    <t>(一)ㄔㄣˋ chèn（08435）(三)ㄔㄨㄤˋ chuàng（08665）</t>
  </si>
  <si>
    <t>刱</t>
  </si>
  <si>
    <t>ㄔㄨㄤˋ</t>
  </si>
  <si>
    <t>chuàng</t>
  </si>
  <si>
    <t>同「創」。</t>
  </si>
  <si>
    <t>凔</t>
  </si>
  <si>
    <t>[形]
寒冷。《說文解字．冫部》：「凔，寒也。」</t>
  </si>
  <si>
    <t>[動]
開始、開啟、製造、做。如：「開創」、「首創」、「草創」。《周禮．冬官考工記》：「知者創物，巧者述之。」
[形]
獨特的。如：「創見」、「創意」、「創舉」。</t>
  </si>
  <si>
    <t>(二)ㄔㄨㄤ chuāng（08650）</t>
  </si>
  <si>
    <t>愴</t>
  </si>
  <si>
    <t>[形]
哀傷的。如：「悲愴」。《後漢書．卷八一．獨行傳．范式傳》：「時式出行適還，省書見瘞，愴然感之，向墳揖哭，以為死友。」</t>
  </si>
  <si>
    <t>[動]
撞。如：「他騎車把我闖倒了。」</t>
  </si>
  <si>
    <t>(一)ㄔㄣˋ chèn（08435）(二)ㄔㄨㄤˇ chuǎng（08660）</t>
  </si>
  <si>
    <t>充</t>
  </si>
  <si>
    <t>ㄔㄨㄥ</t>
  </si>
  <si>
    <t>chōng</t>
  </si>
  <si>
    <t>[動]
1.填滿、裝滿。如：「充電」。唐．柳宗元〈陸文通先生墓表〉：「其為書，處則充棟宇，出則汗牛馬。」
2.代理、擔任。如：「權充」、「充當家庭教師」。唐．白居易〈新樂府．賣炭翁〉：「半匹紅紗一丈綾，繫向牛頭充炭直。」
3.假冒。如：「冒充」、「打腫臉充胖子」。
[名]
姓。如戰國時有充虞。</t>
  </si>
  <si>
    <t>茺</t>
  </si>
  <si>
    <t>參見「茺蔚」條。</t>
  </si>
  <si>
    <t>沖</t>
  </si>
  <si>
    <t>[動]
1.以水注入或調勻。如：「沖牛奶」、「沖咖啡」。
2.以水刷洗。如：「把茶壺沖洗乾淨。」、「快把杯子拿去沖一沖。」
3.被大水撞擊或捲走。如：「沖破隄防」。
4.向上直飛。如：「一飛沖天」。唐．元稹〈會真詩三十韻〉：「海闊誠難度，天高不易沖。」
5.衝突、相忌。如：「相沖」、「對沖」。
6.破解厄運。如：「沖喜」、「沖運氣」。
[形]
猛烈的。如：「一股沖勁兒」、「怒氣沖沖」。
[名]
姓。如明代有沖敬。</t>
  </si>
  <si>
    <t>忡</t>
  </si>
  <si>
    <t>[形]
憂慮的樣子。《說文解字．心部》：「忡，憂貌。」《詩經．邶風．擊鼓》：「不我以歸，憂心有忡。」</t>
  </si>
  <si>
    <t>翀</t>
  </si>
  <si>
    <t>[動]
向上直飛。《廣韻．平聲．東韻》：「翀，直上飛也。」三國魏．杜摯〈贈毌丘荊州詩〉：「鵠飛舉萬里，一飛翀昊蒼。」</t>
  </si>
  <si>
    <t>舂</t>
  </si>
  <si>
    <t>[動]
1.把穀物以杵臼搗去皮殼。《說文解字．臼部》：「舂，擣粟也。」如：「舂藥」。唐．張籍〈羈旅行〉：「主人舂米為夜食，晨雞喔喔茅屋傍。」
2.突擊、刺擊。《史記．卷三三．魯周公世家》：「富父終甥，舂其喉，以戈殺之。」唐．白居易〈潛別離〉詩：「深籠夜鎖獨棲鳥，利劍舂斷連理枝。」
[名]
古代的一種刑罰。婦女犯罪時以舂米代替軍役。《周禮．秋官．司厲》：「其奴，男子入于罪隸，女子入于舂、槀。」</t>
  </si>
  <si>
    <t>憃</t>
  </si>
  <si>
    <t>[形]
痴愚的。《淮南子．氾論》：「愚夫憃婦皆能論之。」漢．高誘．注：「憃亦愚，無知之貌。」</t>
  </si>
  <si>
    <t>憧</t>
  </si>
  <si>
    <t>[形]
1.愚笨。《史記．卷六〇．三王世家》：「臣青翟、臣湯等宜奉義遵職，愚憧而不逮事。」
2.參見「憧憧」條。</t>
  </si>
  <si>
    <t>[動]
刺。《戰國策．秦策一》：「寬則兩軍相攻，迫則杖戟相橦。」</t>
  </si>
  <si>
    <t>(一)ㄊㄨㄥˊ tóng（02900）(二)ㄔㄨㄤˊ chuáng（08658）</t>
  </si>
  <si>
    <t>(一)ㄊㄨㄥˊ tóng（02904）</t>
  </si>
  <si>
    <t>衝</t>
  </si>
  <si>
    <t>[名]
交通要道。《漢書．卷四三．酈陸朱劉叔孫傳．酈食其》：「夫陳留，天下之衝，四通五達之郊也。」
[動]
1.快速朝某一方向移動。如：「橫衝直撞」、「他一開門，我就衝了過去。」《後漢書．卷一七．馮岑賈列傳．岑彭》：「時天風狂急，奇船逆流而上，直衝浮橋。」
2.直著往上頂。如：「怒髮衝冠」、「一道白光直衝雲霄。」
3.突擊、衝擊。《戰國策．齊策一》：「使輕車銳騎衝雍門。」《三國演義》第七回：「趙雲一騎馬飛入紹軍，左衝右突，如入無人之境。」
4.頂撞、冒犯。如：「衝撞之處，還請見諒！」</t>
  </si>
  <si>
    <t>(二)ㄔㄨㄥˋ chòng（08685）</t>
  </si>
  <si>
    <t>ㄔㄨㄥˊ</t>
  </si>
  <si>
    <t>chóng</t>
  </si>
  <si>
    <t>同「蟲」。</t>
  </si>
  <si>
    <t>(一)ㄏㄨㄟˇ huǐ（05109）</t>
  </si>
  <si>
    <t>蟲</t>
  </si>
  <si>
    <t>[名]
1.昆蟲的總稱。
2.古代對動物的通稱。如老虎稱為「大蟲」，蛇稱為「長蟲」。
3.輕蔑他人的言語。如：「懶蟲」、「可憐蟲」。
4.姓。如漢代有蟲達。</t>
  </si>
  <si>
    <t>种</t>
  </si>
  <si>
    <t>[名]
姓。如宋代有种師道。</t>
  </si>
  <si>
    <t>(二)ㄓㄨㄥˇ zhǒng（▲08148）(三)ㄓㄨㄥˋ zhòng（▲08153）</t>
  </si>
  <si>
    <t>[名]
量詞。計算相疊、累積物的單位。如：「九重天」、「千重山」、「萬重山」。
[動]
添加、複疊。《荀子．富國》：「重色而衣之，重味而食之。」《文選．張衡．東京賦》：「于時蒸民，罔敢或貳。其取威也重矣。我世祖念之。」
[副]
再、另。如：「重來」、「重遊故地」、「重修舊好」。</t>
  </si>
  <si>
    <t>(一)ㄓㄨㄥˋ zhòng（08152）</t>
  </si>
  <si>
    <t>崇</t>
  </si>
  <si>
    <t>[形]
高峻的。如：「崇高」、「崇山峻嶺」。《紅樓夢》第一〇二回：「以致崇樓高閣，瓊館瑤臺，皆為禽獸所棲。」
[動]
1.尊敬、尊重。《左傳．僖公七年》：「且夫合諸侯，以崇德也。」《禮記．中庸》：「溫故而知新，敦厚以崇禮。」
2.重視、崇尚。如：「崇尚」。漢．桓寬《鹽鐵論．非鞅》：「崇利而簡義，高力而尚功。」
[名]
1.德高位尊的人。《左傳．宣公十二年》：「師叔，楚之崇也。」
2.姓。如唐代有崇穎。
[副]
表示整個、一段時間的終了。參見「崇朝」條。</t>
  </si>
  <si>
    <t>寵</t>
  </si>
  <si>
    <t>ㄔㄨㄥˇ</t>
  </si>
  <si>
    <t>chǒng</t>
  </si>
  <si>
    <t>[動]
偏愛、溺愛。如：「寵愛」、「小孩兒可不能太寵。」
[名]
1.尊敬。如：「譁眾取寵」。
2.恩惠。《易經．師卦．象曰》：「在師中吉，承天寵也。」
3.妾。《鏡花緣》第五十回：「拙夫意欲納寵，真是眠思夢想，已非一日。」</t>
  </si>
  <si>
    <t>ㄔㄨㄥˋ</t>
  </si>
  <si>
    <t>chòng</t>
  </si>
  <si>
    <t>(一)ㄓㄨㄥˇ zhǒng（08146）</t>
  </si>
  <si>
    <t>銃</t>
  </si>
  <si>
    <t>[名]
1.斧頭上裝柄的部分。《集韻．去聲．送韻》：「銃，斧穿也。」
2.武器名。舊式的一種槍械火器。如：「鳥銃」。《元史．卷一四五．達禮麻識理傳》：「糾集丁壯苗軍，火銃什伍相聯。」</t>
  </si>
  <si>
    <t>[動]
1.因、看。如：「這件事衝你的面子就算了。」
2.向、對。如：「這座別墅北面靠山，南面衝著大海。」
[形]
1.氣味強烈。如：「這煙太衝。」
2.幹勁足、力量大。如：「他做起事來真衝。」
3.激烈、無禮。如：「他說話很衝！」</t>
  </si>
  <si>
    <t>(一)ㄔㄨㄥ chōng（08676）</t>
  </si>
  <si>
    <t>尸</t>
  </si>
  <si>
    <t>ㄕ</t>
  </si>
  <si>
    <t>shī</t>
  </si>
  <si>
    <t>[名]
1.死人的軀體。同「屍」。《左傳．成公二年》：「襄老死於邲，不獲其尸。」《文選．劉孝標．辯命論》：「至乃伍員浮尸於江流，三閭沉骸於湘渚。」
2.古時祭禮中代表死者受祭的活人。《儀禮．特牲饋食禮》：「主人再拜，尸答拜。」唐．李華〈卜論〉：「夫祭有尸，自虞夏商周不變，戰國蕩古法，祭無尸。」
3.神像、神主。《儀禮．士虞禮》：「祝迎尸，一人衰絰奉篚哭從尸。」唐．皮日休〈正尸祭〉：「生象其死，窮其思也，尸象其生，極其敬也。」
4.姓。如春秋時秦國有尸佼。
5.二一四部首之一。
[動]
1.主持。《詩經．召南．采蘋》：「誰其尸之，有齊季女。」《新唐書．卷一一八．裴潾傳》：「凡驛，有官專尸之。」
2.空占職位而不做事。如：「尸位素餐」。《莊子．逍遙遊》：「夫子立而天下治，而我猶尸之，吾自視缺然。」
3.陳屍示眾。《左傳．僖公二十八年》：「晉侯圍曹門焉，多死，曹人尸諸城上。」《國語．晉語六》：「殺三郤而尸諸朝，納其室以分婦人。」</t>
  </si>
  <si>
    <t>屍</t>
  </si>
  <si>
    <t>[名]
死人的軀體。如：「僵屍」、「行屍走肉」。唐．韓愈〈歸彭城〉詩：「去歲東郡水，生民為流屍。」</t>
  </si>
  <si>
    <t>鳲</t>
  </si>
  <si>
    <t>參見「鳲鳩」條。</t>
  </si>
  <si>
    <t>失</t>
  </si>
  <si>
    <t>[動]
1.丟掉、遺落。如：「喪失」、「遺失」、「失而復得」、「失魂落魄」。
2.錯過、縱放。如：「錯失良機」、「機不可失」。
3.找不到。如：「迷失方向」。《楚辭．屈原．九章．惜誦》：「欲橫奔而失路兮，堅志而不忍。」
4.違背、不合乎。如：「失常」、「失態」、「失禮」。
[名]
錯誤。如：「過失」、「智者千慮必有一失。」</t>
  </si>
  <si>
    <t>虱</t>
  </si>
  <si>
    <t>同「蝨」。</t>
  </si>
  <si>
    <t>施</t>
  </si>
  <si>
    <t>[動]
1.實行、推行。如：「無計可施」、「恩威並施」。
2.給予。如：「施比受更有福」。《論語．雍也》：「如有博施於民而能濟眾，何如？」宋．錢公輔〈義田記〉：「擇其親而貧、疏而賢者，咸施之。」
3.加。如：「施壓」、「薄施脂粉」。《論語．衛靈公》：「己所不欲，勿施於人。」《莊子．大宗師》：「利澤施乎萬世。」
4.設置、安置。《隋書．卷四十．宇文愷傳》：「下施輪軸，推移倏忽有若神功。」明．徐弘祖《徐霞客遊記．卷九下．滇遊日記十一》：「水分兩派來，一東南，一西北，俱成懸流，橋不復能施。」
[名]
1.恩惠、德澤。如：「受施慎勿忘」。《左傳．僖公二十七年》：「報施救患，取威定霸，於是乎在矣。」
2.姓。如漢代有施讎。</t>
  </si>
  <si>
    <t>(二)ㄧˋ yì（10623）(三)ㄧˊ yí（10510）</t>
  </si>
  <si>
    <t>絁</t>
  </si>
  <si>
    <t>[名]
粗綢。清．任大椿《釋繒》：「絁質粗大，次于羅絹，故以之作巾，次于冕弁也。」</t>
  </si>
  <si>
    <t>葹</t>
  </si>
  <si>
    <t>[名]
植物名。菊科蒼耳屬，「蒼耳」、「羊帶來」之古稱，參見「羊帶來」條。</t>
  </si>
  <si>
    <t>邿</t>
  </si>
  <si>
    <t>[名]
國名。春秋時為魯國的附庸國。故址在今大陸地區山東省濟寧縣東南。</t>
  </si>
  <si>
    <t>詩</t>
  </si>
  <si>
    <t>[名]
1.文體名。一般與「文」相對。指以精粹而富節奏的語言文字來表現美感、抒發情緒的藝術性作品。《文選．陸機．文賦》：「詩緣情而綺靡，賦體物而瀏亮。」唐．白居易〈與元九書〉：「詩者，根情，苗言，華聲，實義。」
2.六經之一，即《詩經》。《論語．為政》：「子曰：『《詩三百》，一言以蔽之，曰思無邪。』」唐．韓愈〈進學解〉：「《易》奇而法，《詩》正而葩。」
[動]
詠誦。《史記．卷一一七．司馬相如傳》：「詢封禪之事，詩大澤之博，廣符瑞之富。」</t>
  </si>
  <si>
    <t>拾</t>
  </si>
  <si>
    <t>參見「拾翻」條。</t>
  </si>
  <si>
    <t>(一)ㄕˊ shí（08712）(二)ㄕㄜˋ shè（08835）</t>
  </si>
  <si>
    <t>師</t>
  </si>
  <si>
    <t>[名]
1.教授學問、知識的人。如：「教師」、「導師」。《論語．述而》：「三人行，必有我師焉。」唐．韓愈〈師說〉：「師者，所以傳道受業解惑也。」
2.具有專門技藝的人。如：「醫師」、「律師」、「廚師」、「工程師」、「會計師」。
3.對道士或僧尼的尊稱。如：「法師」、「禪師」。
4.古代兵制以二千五百人為一師。今為軍以下，旅以上的軍隊編制單位。
5.軍隊。如：「出師」、「會師」、「班師回朝」。《詩經．秦風．無衣》：「王于興師，脩我戈矛，與子同仇。」
6.都邑、都城。如：「京師」。《書經．洛誥》：「予惟乙卯，朝至于洛師。」
7.榜樣、借鏡。如：「前事不忘，後事之師。」
8.《易經》卦名。六十四卦之一。坎（☵）下坤（☷）上。象君子以容民畜眾。
9.姓。如漢代有師丹。
[動]
效法、採用。如：「師心自用」。《史記．卷六．秦始皇本紀》：「今諸生不師今而學古，以非當世，惑亂黔首。」唐．韓愈〈答劉正夫書〉：「師其意，不師其辭。」</t>
  </si>
  <si>
    <t>獅</t>
  </si>
  <si>
    <t>[名]
動物名。哺乳綱食肉目貓科。身長約二、三公尺，頭圓肩闊，四肢強健，有鉤爪，尾細長，末端有長的毛叢。雄獅頭至頸部有鬣，雌獅體型較小，無鬣。以大型草食性動物為主食，多分布於印度及非洲一帶。</t>
  </si>
  <si>
    <t>蒒</t>
  </si>
  <si>
    <t>[名]
植物名。莎草科薹屬，「蒒草」、「禹餘糧」之一種。參見「禹餘糧」條。</t>
  </si>
  <si>
    <t>溼</t>
  </si>
  <si>
    <t>[形]
水分多、含有水分的。如：「把溼毛巾擰乾。」宋．姜夔〈昔遊〉詩：「燎茅烘溼衣，客有見留者。」
[動]
沾水、沾潤。如：「淚溼衣襟」、「全身溼透」。
[名]
中醫六淫之一。因溼氣過大，阻滯氣的活動而致病，流行於長夏。如：「溼毒」、「風溼」。</t>
  </si>
  <si>
    <t>蓍</t>
  </si>
  <si>
    <t>[名]
植物名。菊科蓍屬，「鋸齒草」之古稱，參見「鋸齒草」條。古時取其莖以為占卜之用。</t>
  </si>
  <si>
    <t>蝨</t>
  </si>
  <si>
    <t>[名]
1.動物名。寄生在人、動物和植物上的小型昆蟲。頭小，口突，腹大，無翅，以吸食動物血液或植物體液為生。會傳染疾病。
2.比喻占著職位不做事的人。《商君書．說民》：「民貧則弱，國富則淫，淫則有蝨，有蝨則弱。」</t>
  </si>
  <si>
    <t>同「溼」。</t>
  </si>
  <si>
    <t>(二)ㄒㄧˊ xí（06822）</t>
  </si>
  <si>
    <t>褷</t>
  </si>
  <si>
    <t>參見「離褷」條。</t>
  </si>
  <si>
    <t>ㄙ</t>
  </si>
  <si>
    <t>sī</t>
  </si>
  <si>
    <t>[動]
1.濾酒。《說文解字．酉部》：「釃，下酒也。」《詩經．小雅．伐木》：「伐木許許，釃酒有藇。」《後漢書．卷二四．馬援列傳》：「援乃擊牛釃酒，勞饗軍士。」唐．章懷太子．注：「釃，猶濾也。」
2.斟。宋．蘇軾〈赤壁賦〉：「釃酒臨江，橫槊賦詩。」《水滸傳》第三二回：「店主人便去打兩角酒，大碗家釃來，教武行者吃。」
3.疏通、分流。《漢書．卷二九．溝洫志》：「乃釃二渠以引其河。」顏師古注引孟康曰：「釃，分也。分其流，泄其怒也。」</t>
  </si>
  <si>
    <t>(二)ㄌㄧˊ lí（03412）</t>
  </si>
  <si>
    <t>十</t>
  </si>
  <si>
    <t>ㄕˊ</t>
  </si>
  <si>
    <t>shí</t>
  </si>
  <si>
    <t>[名]
1.數目字，為九加一的總和。大寫為「拾」，阿拉伯數字作「10」。
2.二一四部首之一。
[副]
滿足、完滿。如：「十足」、「十全十美」。</t>
  </si>
  <si>
    <t>什</t>
  </si>
  <si>
    <t>[名]
1.數目字。同「十」。如：「什佰」、「什家」。
2.《詩經》中的雅、頌以十篇為一卷，故稱詩篇為「篇什」，簡稱為「什」。如：「佳什」、「篇什」。
3.姓。如後魏有什翼犍。
[形]
數多品雜。《後漢書．卷二七．宣秉傳》：「即賜布帛帳帷什物。」</t>
  </si>
  <si>
    <t>(二)ㄕㄣˊ shén（08983）(三)（(二)之又音）ㄕㄜˊ shé（08821）</t>
  </si>
  <si>
    <t>[名]
1.由礦物集結而成的堅硬塊狀物，是構成地殼的物質。如：「岩石」、「礦石」、「花岡石」。
2.碑、碣。《呂氏春秋．慎行論．求人》：「故功績銘乎金石，著於盤盂。」《史記．卷六．秦始皇本紀》：「乃遂上泰山，立石。」
3.藥石。《左傳．襄公二十三年》：「季孫之愛我，疾疢也；孟孫之惡我，藥石也，美疢不如惡石。」唐．孔穎達．正義：「治病藥分用石。《本草》云：『鍾乳、礬、磁石之類多矣。』」
4.姓。如宋代有石延年。
5.二一四部首之一。
6.中國古代樂器「八音」分類法之一，通常以製作材質來分，此處泛指石類樂器，如磬之屬一類的敲擊樂器。《周禮．春官．大師》：「皆播之以八音：金、石、土、革、絲、木、匏、竹。」</t>
  </si>
  <si>
    <t>(二)ㄉㄢˋ dàn（02020）</t>
  </si>
  <si>
    <t>祏</t>
  </si>
  <si>
    <t>[名]
宗廟裡擺放祖先牌位的石室。《玉篇．示部》：「祏，廟主石室也。」《左傳．昭公十八年》：「使祝史徙主祏於周廟，告於先君。」唐．孔穎達．正義：「每廟木主皆以石函盛之，當祭則出之。事畢則納於函，藏於廟之北壁之內，所以辟火災也。」</t>
  </si>
  <si>
    <t>碩</t>
  </si>
  <si>
    <t>(一)ㄕㄨㄛˋ shuò（09129）</t>
  </si>
  <si>
    <t>鼫</t>
  </si>
  <si>
    <t>[名]
動物名。即鼫鼠。一種外形似兔，短尾、紅眼的鼠。嗜食粟豆，造成田害。</t>
  </si>
  <si>
    <t>[動]
1.撿取、拿起。如：「拾穗」、「拾人牙慧」、「拾金不昧」。《史記．卷四七．孔子世家》：「塗不拾遺。」
2.收集、收斂、整理。如：「把房間收拾乾淨。」
[名]
1.射韝，古代射箭時所用的皮製護袖。也稱為「遂」。《詩經．小雅．車攻》：「決拾既佽，弓矢既調。」漢．毛亨．傳：「決，鉤弦也。拾，遂也。」
2.十的大寫。</t>
  </si>
  <si>
    <t>(二)ㄕㄜˋ shè（08835）(三)ㄕ shī（08696）</t>
  </si>
  <si>
    <t>食</t>
  </si>
  <si>
    <t>[名]_x000D_
1.吃的東西。如：「糧食」、「麵食」、「素食」、「節衣縮食」。《禮記．王制》：「三年耕必有一年之食，九年耕必有三年之食。」《史記．卷九七．酈生陸賈列傳．酈生》：「王者以民人為天，而民人以食為天。」_x000D_
2.生計、俸祿。《論語．衛靈公》：「君子謀道不謀食。」《禮記．坊記》：「故君子與其使食浮於人也，寧使人浮於食。」_x000D_
3.二一四部首之一。_x000D_
[動]_x000D_
1.吃、喝。如：「食髓知味」、「發憤忘食」、「廢寢忘食」。《戰國策．齊策四》：「長鋏歸來乎，食無魚。」《晉書．卷九七．四夷列傳．西戎．大秦國》：「途經大海，海水鹹苦不可食，商客往來皆齎三歲糧，是以至者稀少。」_x000D_
2.賴以為生。《國語．晉語四》：「公食貢，大夫食邑，士食田，庶人食力。」《東周列國志》第八六回：「又公族五世以上者，令自食其力，比於編氓。」《幼學瓊林．卷二．夫婦類》：「冀郤缺夫妻，相敬如賓；陳仲子夫婦，灌園食力。」_x000D_
3.耕種。《周禮．地官司徒．遂師》：「經牧其田野，辨其可食者。」《史記．卷七八．春申君列傳》：「山林谿谷，不食之地也。」_x000D_
4.嚐到、承受。如：「自食惡果」。《漢書．卷一〇〇．敘傳下》：「廣阿之廑，食厥舊德。」《宋史．卷三八六．列傳．范成大》：「上中下溉灌有序，民食其利。」_x000D_
5.消耗、虧損。通「蝕」。《易經．豐卦》：「《彖》曰：日中則昃，月盈則食。」《逸周書．卷九．周祝解》：「故日之中也仄，月之望也食。」《宋史．卷八．真宗本紀三》：「三月戊午朔，日有食之。遣呂夷簡體訪陝、亳民訛言。」_x000D_
6.違背、背棄。參見「食言」條。</t>
  </si>
  <si>
    <t>(二)ㄙˋ sì（09973）(三)ㄧˋ yì（10624）</t>
  </si>
  <si>
    <t>蝕</t>
  </si>
  <si>
    <t>[動]
1.損耗、虧損。如：「侵蝕」、「腐蝕」、「蝕本」。宋．梅堯臣〈劉原甫古錢勸酒〉詩：「精銅不蠹蝕，肉好鉤婉全。」
2.消失、損缺。如：「日全蝕」、「月偏蝕」。</t>
  </si>
  <si>
    <t>時</t>
  </si>
  <si>
    <t>[名]
1.季節。如：「四時」。
2.將一天依十二地支順序，所分成的時段，共有十二個時辰，簡稱為「時」。如：「子時」、「辰時」。
3.一日的二十四分之一。一時有六十分。
4.量詞。計算時間的單位。一時為六十分。如：「這件事不是一時三刻的時間就可以完成。」
5.年代，較長的一段時間。如：「古時」、「盛行一時」。
6.現在或過去的某一時候。如：「此時」、「當時」、「那時」。
7.規定的時刻。如：「按時」、「準時」。
8.歲月、光陰。如：「時不我與」。《呂氏春秋．孝行覽．首時》：「天不再與，時不久留。」
9.機會。如：「失時」、「時機」。《三國演義》第七回：「今不乘時報恨，更待何年！」
10.姓。如明代有時大彬。
[形]
1.因時制宜的、能變通的。《孟子．萬章下》：「孔子，聖之時者也。」
2.當前的、現在的。如：「時事」、「時局」、「時勢」、「時裝」。
[副]
1.經常、常常。如：「時常」。《論語．學而》：「學而時習之，不亦說乎！」
2.偶爾。如：「有時」。</t>
  </si>
  <si>
    <t>塒</t>
  </si>
  <si>
    <t>[名]
鑿牆做成的雞窩。《爾雅．釋宮》：「雞棲於弋為榤，鑿垣而棲為塒。」《詩經．王風．君子于役》：「雞棲于塒，日之夕矣，羊牛下來。」</t>
  </si>
  <si>
    <t>蒔</t>
  </si>
  <si>
    <t>[動]
1.移植、分種。《說文解字．艸部》：「蒔，更別種。」清．段玉裁．注：「今江蘇人移秧插田中曰蒔秧。」宋．楊萬里〈插秧歌〉：「秧根未牢蒔未匝，照管鵝兒與雛鴨。」
2.種植。如：「蒔花養卉」。《文選．左思．魏都賦》：「水澍粳稌，陸蒔稷黍。」
[名]
參見「蒔蘿」條。</t>
  </si>
  <si>
    <t>鰣</t>
  </si>
  <si>
    <t>[名]
動物名。脊椎動物亞門硬骨魚綱條鰭亞綱鯡形目。形扁而長，背黑腹白。肉質肥美，多細刺，腹下有稜鱗。夏初產卵於河口。明．李時珍《本草綱目．卷四四．鱗部．鰣魚》：「鰣，形秀而扁，微似魴而長。白色如銀，肉中多細刺如毛，其子甚細膩。」</t>
  </si>
  <si>
    <t>射</t>
  </si>
  <si>
    <t>[動]
放箭使中目標物。《論語．述而》：「子釣而不綱，弋不射宿。」</t>
  </si>
  <si>
    <t>(一)ㄕㄜˋ shè（08838）(三)ㄧˋ yì（10636）(四)ㄧㄝˋ yè（10766）</t>
  </si>
  <si>
    <t>湜</t>
  </si>
  <si>
    <t>參見「湜湜」條。</t>
  </si>
  <si>
    <t>寔</t>
  </si>
  <si>
    <t>[動]
安置。唐．陸德明《經典釋文．卷二．周易音義》：「寘，姚作寔。寔，置也。」
[副]
真實、實在。通「實」。《禮記．坊記》：「東鄰殺牛，不如西鄰之禴祭，寔受其福。」</t>
  </si>
  <si>
    <t>參見「朱提」條。</t>
  </si>
  <si>
    <t>(一)ㄊㄧˊ tí（02613）(二)ㄉㄧ dī（02093）</t>
  </si>
  <si>
    <t>實</t>
  </si>
  <si>
    <t>[形]
1.充足、富裕。如：「殷實」。《孟子．梁惠王下》：「君之倉廩實，府庫充。」
2.填滿而沒有空隙的。如：「實心」。《淮南子．氾論》：「察子之事，田野蕪，倉廩虛，囹圄實。」
3.真誠不虛偽。如：「誠實無欺」、「忠實」。《文選．諸葛亮．出師表》：「此皆良實，志慮忠純，是以先帝簡拔以遺陛下。」
4.真正、真確。如：「實話」、「實情」、「真才實學」。
[名]
1.植物的種子、果實。如：「開花結實」。《莊子．逍遙遊》：「魏王貽我大瓠之種，我樹之成，而實五石。」
2.事跡。如：「事實」、「史實」、「寫實」。
3.哲學上指內容。與「名」相對。如：「有名無實」、「名實相符」。
[動]
充滿、加強。《三國志．卷五四．吳書．周瑜傳》：「乃取蒙衝鬥艦數十艘，實以薪草，膏油灌其中，裹以帷幕，上建牙旗，先書報曹公，欺以欲降。」《新唐書．卷一一五．狄仁傑傳》：「損四鎮，肥中國，罷安東，實遼西。」</t>
  </si>
  <si>
    <t>史</t>
  </si>
  <si>
    <t>ㄕˇ</t>
  </si>
  <si>
    <t>shǐ</t>
  </si>
  <si>
    <t>[名]
1.古代掌管文書和記事等的官吏。如：「太史」。《禮記．玉藻》：「動則左史書之，言則右史書之。」
2.過去的時事、事跡。如：「歷史」、「羅曼史」。
3.記載過去事跡的書籍。如：「正史」、「通史」、「野史」。
4.姓。如明代有史可法。
[形]
文辭繁雜。《論語．雍也》：「質勝文則野，文勝質則史。」</t>
  </si>
  <si>
    <t>使</t>
  </si>
  <si>
    <t>[動]
1.命令、派遣。《左傳．桓公五年》：「夜鄭伯使祭足勞王，且問左右。」《水滸傳》第八五回：「若得如此，宋江星夜使人回家搬取老父，以絕根本。」
2.讓、以致於。《詩經．鄭風．狡童》：「維子之故，使我不能餐兮。」唐．杜甫〈蜀相〉詩：「出師未捷身先死，長使英雄淚滿襟。」
3.役用、役使。《論語．學而》：「節用而愛人，使民以時。」晉．范甯〈為豫章臨發上疏〉：「古之使人，歲不過三日；今之勞擾，殆無二日休停。」
4.可、行、做。如：「使不得」。《紅樓夢》第九六回：「若說服裡娶親，當真使不得。」《文明小史》第一六回：「如要看全，也不過一百多錢，倘若租看，亦使得。」
5.用。《文明小史》第一五回：「至少也得幾百塊錢，少了不夠使的。」
6.放縱、放任。如：「使性子」。
7.出使。《論語．子路》：「行己有恥，使于四方，不辱君命，可謂士矣。」
[名]
奉命到外國執行任務或留駐的外交長官。如：「大使」、「公使」。
[連]
假設、如果。《論語．泰伯》：「如有周公之才之美，使驕且吝，其餘不足觀也已。」漢．王充《論衡．祀義》：「使天地有口能食，祭食宜食盡。」</t>
  </si>
  <si>
    <t>(二)ㄕˋ shì（08755）</t>
  </si>
  <si>
    <t>駛</t>
  </si>
  <si>
    <t>[動]
1.車馬快速的跑。如：「疾駛而過」。元．袁桷〈次韻子瑾過梁山濼二十韻〉：「遶如林鳥旋，疾若坂馬駛。」元．謝翶〈登西臺慟哭記〉：「是日風帆怒駛，逾久而後濟。」
2.操縱車、船、飛機等交通工具的行動。如：「行駛」、「駕駛」、「駛入港口」。
3.疾逝、流逝。晉．陶淵明〈雜詩〉一二首之六：「傾家持作樂，竟此歲月駛。」南朝梁．簡文帝〈雜句春情詩〉：「鶯啼春欲駛，無為空掩扉。」</t>
  </si>
  <si>
    <t>矢</t>
  </si>
  <si>
    <t>[名]
1.箭。如：「流矢」、「無的放矢」。《漢書．卷五四．李廣傳》：「廣出獵，見草中石，以為虎而射之，中石沒矢。」
2.古代投壺燕飲時所用的籌碼。《禮記．投壺》：「投壺之禮，主人奉矢，司射奉中，使人執壺。」
3.糞便。通「屎」。《左傳．文公十八年》：「仲以君命召惠伯……弗聽乃入，殺而埋之馬矢之中。」《史記．卷八一．廉頗藺相如傳》：「廉將軍雖老，尚善飯，然與臣坐，頃之，三遺矢矣。」
4.二一四部首之一。
[動]
發誓。如：「矢志不忘」、「矢勤矢勇」。《論語．雍也》：「夫子矢之曰：『予所否者，天厭之，天厭之！』」
[形]
正直的、端正的。《書經．盤庚上》：「盤庚遷于殷，民不適有居。率籲眾慼，出矢言。」漢．孔安國．傳：「出正直之言。」</t>
  </si>
  <si>
    <t>[動]
1.放鬆弓弦。《左傳．襄公十八年》：「乃弛弓而自後縛之。」《墨子．三辯》：「此譬之猶馬駕而不稅，弓張而不弛。」
2.鬆懈、怠緩。如：「鬆弛」。唐．柳宗元〈答韋中立論師道書〉：「未嘗敢以怠心易之，懼其弛而不嚴也。」
3.捨棄、廢除。《文選．張衡．西京賦》：「城尉不弛柝，而內外潛通。」宋．沈括《夢溪筆談．卷一二．官政二》：「慶曆中，議弛茶鹽之禁及減商稅。」
4.毀壞。《國語．魯語上》：「文公欲弛孟文子之宅。」《文選．賈誼．過秦論》：「宗廟崩弛，國家為墟。」</t>
  </si>
  <si>
    <t>(二)（又音）ㄔˊ chí（08178）</t>
  </si>
  <si>
    <t>豕</t>
  </si>
  <si>
    <t>[名]
1.豬，家畜之一。《詩經．小雅．漸漸之石》：「有豕白蹢，烝涉波矣。」漢．毛亨．傳：「豕，豬也。」
2.二一四部首之一。</t>
  </si>
  <si>
    <t>始</t>
  </si>
  <si>
    <t>[名]
起點、開端。如：「周而復始」、「自始至終」。《孟子．梁惠王上》：「養生喪死無憾，王道之始也。」《禮記．大學》：「物有本末，事有終始。」
[副]
1.方才、然後。如：「始告完成」、「始見成效」。唐．白居易〈琵琶行〉：「千呼萬喚始出來，猶抱琵琶半遮面。」
2.嘗、曾。《莊子．齊物論》：「有以為未始有物者。」宋．王禹偁〈答張扶書〉：「吾觀吏部之文，未始句之難道也。」
3.最初、當初。《左傳．莊公十一年》：「始吾敬子，今子魯囚也，吾弗敬子矣。」《史記．卷五四．曹相國世家》：「參始微時，與蕭何善；及為將相，有郤。」</t>
  </si>
  <si>
    <t>(二)ㄕˋ shì（08756）</t>
  </si>
  <si>
    <t>[名]
1.糞便。如：「拉屎」、「狗改不了吃屎」。《兒女英雄傳》第三一回：「見兩個人爬過房來，他就嚷起來，把屎也嚇回去了。」
2.眼、耳等器官的分泌物。如：「眼屎」、「耳屎」。
[形]
嘲笑低劣的人或事。如：「屎蛋」、「屎棋」。</t>
  </si>
  <si>
    <t>(二)ㄒㄧ xī（06759）</t>
  </si>
  <si>
    <t>縰</t>
  </si>
  <si>
    <t>[名]
古代用來包頭髮的絲織品。同「纚」。《文選．左思．魏都賦》：「岌岌冠縰，纍纍辮髮。」李善注引鄭玄曰：「纚，今之幘也。纚與縰同。」</t>
  </si>
  <si>
    <t>纚</t>
  </si>
  <si>
    <t>[名]
古代用來包頭髮的絲織品。《說文解字．糸部》：「纚，冠織也。」《儀禮．士冠禮》：「緇纚，廣終幅、長六尺。」漢．鄭玄．注：「纚，今之幘梁也，終充也。纚一幅長六尺，足以韜髮而結之矣。」</t>
  </si>
  <si>
    <t>士</t>
  </si>
  <si>
    <t>ㄕˋ</t>
  </si>
  <si>
    <t>shì</t>
  </si>
  <si>
    <t>[名]
1.未婚的男子。《易經．歸妹卦．上六》：「女承筐，無實；士刲羊，無血、無攸利。」《詩經．召南．野有死麕》：「有女懷春，吉士誘之。」
2.男子的美稱。《詩經．鄭風．女曰雞鳴》：「女曰：『雞鳴』，士曰：『昧旦』。」
3.四民之一。指讀書人、知識分子。如：「士農工商」。漢．王充《論衡．實知》：「故智能之士，不學不成，不問不知。」
4.古代社會階層的等級之一，為貴族中等級最低者。如：「天子、諸侯、大夫、士、庶人。」
5.泛稱居官受祿的人。《禮記．中庸》：「忠信重祿，所以勸士也。」
6.對品德好、有睿智或特殊技藝的人的美稱。如：「明士」、「勇士」、「護士」、「博士」、「碩士」。
7.對人的美稱。如：「男士」、「女士」、「地方人士」。
8.兵卒。如：「士兵」、「士卒」。
9.現今軍中的階級名稱，在尉級以下。如：「上士」、「中士」、「下士」。
10. 職業、工作。《論語．述而》：「富而可求也，雖執鞭之士，吾亦為之。」
11. 姓。如戰國時晉國有士蒍。
12. 二一四部首之一。</t>
  </si>
  <si>
    <t>仕</t>
  </si>
  <si>
    <t>[動]
1.做官、任職。《論語．公冶長》：「子使漆雕開仕。對曰：『吾斯之未能信子說。』」《喻世明言．卷七．羊角哀捨命全交》：「吾嘗三仕三見逐，鮑叔不以我為不肖。」
2.視察。《詩經．小雅．節南山》：「弗問弗仕，勿罔君子。」
3.工作。通「事」。《詩經．大雅．文王有聲》：「武王豈不仕，詒厥孫謀，以燕翼子。」漢．毛亨．傳：「仕，事。」漢．鄭玄．箋：「武王豈不以其功業為事乎？」
[名]
姓。如元代有仕鳳。</t>
  </si>
  <si>
    <t>[名]
1.古代巴蜀一帶稱突出而將要崩頹的山崖。《說文解字．氏部》：「氏，巴蜀山名岸脅之旁箸欲落墮者曰氏。」
2.姓的支系。古代姓和氏分用，姓表族號，氏是姓的分支，用以分別子孫的支派，漢以後姓氏則互用不分。
3.古代傳說的人物或國名、朝代等，均繫以氏。如：「伏羲氏」、「神農氏」、「葛天氏」、「有扈氏」。唐．韓愈〈送孟東野序〉：「其下魏晉氏，鳴者不及於古，然亦未嘗絕也。」
4.古代少數民族支系的稱號。如鮮卑族有慕容氏、拓跋氏、宇文氏。
5.稱學有專長或有聲望的人。如：「春秋左氏傳」、「段氏說文解字注」。
6.古代稱呼已婚婦女，常於父姓或夫姓與父姓之後繫氏。如：「張氏」、「王氏」、「陳林氏」、「孫李氏」。
7.古代於官爵名後繫氏以稱呼。如：「師氏」、「太史氏」。漢．許慎〈說文解字序〉：「《周禮》八歲入小學，保氏教國子先以六書。」
8.對親屬的尊稱。於親屬稱謂後繫氏。如：「母氏」、「舅氏」、「仲氏」。
9.學術派別。如：「老氏」、「釋氏」。《文選．曹丕．與朝歌令吳質書》：「妙思六經，逍遙百氏。」
10. 二一四部首之一。</t>
  </si>
  <si>
    <t>(二)ㄓ zhī（07470）</t>
  </si>
  <si>
    <t>舐</t>
  </si>
  <si>
    <t>[動]
用舌頭舔東西。如：「舐犢之愛」。《莊子．列禦寇》：「秦王有病召醫，破癰潰痤者得車一乘，舐痔者得車五乘。」</t>
  </si>
  <si>
    <t>市</t>
  </si>
  <si>
    <t>[名]
1.進行買賣、交易物品的地方。如：「夜市」、「米市」、「新裝上市」。南朝梁．無名氏〈木蘭詩〉二首之一：「西市買駿馬，東市買鞍韉。」
2.人口密集，工商業發達的城鎮。如：「都市」、「城市」。
3.行政區域的劃分單位。如：「臺北市」、「臺中市」、「新竹縣竹北市」。
4.姓。如戰國時燕國有市被。
[動]
1.買。南朝梁．無名氏〈木蘭詩〉二首之一：「願為市鞍馬，從此替爺征。」《聊齋志異．卷一．王成》：「嫗以釵授婦，使姑質錢市米，三日外請復相見。」
2.賣。《宋史．卷三．太祖本紀三》：「乙丑，詔市二價者以枉法論。」</t>
  </si>
  <si>
    <t>柿</t>
  </si>
  <si>
    <t>[名]_x000D_
植物名。落葉喬木。幹高達十公尺以上，小枝被短毛。葉闊橢圓形或倒卵形，互生。花單性，腋生，雄花三朵組成聚繖花序，雌花單生，花冠壺形，四裂，黃綠色。開淡黃色花。果實也稱為「柿」，球形或扁球形，具宿存增大之萼片，熟時橙黃或橙紅色，可供食用，或製為柿餅。品種很多。</t>
  </si>
  <si>
    <t>鈰</t>
  </si>
  <si>
    <t>[名]
（cerium，Ce）化學元素。原子序58。金屬元素之一。色灰黑，有延展性，為稀土金屬。能溶於酸，不溶於水，燃燒時可以發光。</t>
  </si>
  <si>
    <t>[動]_x000D_
1.上天藉天象顯現徵兆，向人預告凶吉禍福。《說文解字．示部》：「示，天垂象，見吉凶，所以示人也。」_x000D_
2.把事物顯現予人。如：「示範」、「展示」。《老子》第三六章：「國之利器，不可以示人。」_x000D_
3.告訴、宣布。如：「訓示」。《禮記．禮運》：「刑仁講讓，示民有常。」_x000D_
4.教導。漢．桓寬《鹽鐵論．本議》：「夫導民以德，則民歸厚，示民以利，則民俗薄。」_x000D_
[名]_x000D_
1.命令、布告。如：「告示」。《儒林外史》第五〇回：「戲子們請老爺的示：還是伺候，還是回去？」_x000D_
2.尊稱人家的來信。如：「來示敬悉」。_x000D_
3.二一四部首之一。</t>
  </si>
  <si>
    <t>(一)ㄑㄧˊ qí（06232）</t>
  </si>
  <si>
    <t>視</t>
  </si>
  <si>
    <t>[動]_x000D_
1.看、見。如：「凝視」、「注視」。唐．杜甫〈彭衙行〉：「從此出妻孥，相視涕闌干。」_x000D_
2.察看、觀察。如：「視察」、「巡視」。《論語．為政》：「視其所以，觀其所由，察其所安，人焉廋哉，人焉廋哉？」《管子．四時》：「令有時，無時則必視，順天之所以來。」_x000D_
3.看待、對待。如：「忽視」、「仇視」、「一視同仁」、「視如己出」。《孟子．離婁下》：「君之視臣如手足，則臣視君如腹心。」_x000D_
4.辦理、治理。如：「就職視事」。《史記．卷五．秦本紀》：「韓王衰絰入弔祠，諸侯皆使其將相來弔祠，視喪事。」_x000D_
5.顯示、表示。通「示」。《詩經．小雅．鹿鳴》：「視民不恌，君子是則是傚。」《漢書．卷三一．陳勝項籍傳．項籍》：「已渡，皆湛舡，破釜甑，燒廬舍，持三日糧，視士必死，無還心。」_x000D_
6.比較、比擬。《孟子．萬章下》：「大夫受地視伯，元士受地視子男。」。民國．孫文〈黃花岡烈士事略序〉：「環顧國內，賊氛方熾，杌隉之象，視清季有加。」_x000D_
7.效法。《書經．太甲中》：「王懋乃德，視乃厥祖，無時豫怠。」漢．孔安國．傳：「言當勉修其德，法視其祖而行之，無為是逸豫怠惰。」_x000D_
[名]_x000D_
眼力。唐．韓愈〈祭十二郎文〉：「吾年未四十而視茫茫，而髮蒼蒼。」</t>
  </si>
  <si>
    <t>世</t>
  </si>
  <si>
    <t>[名]_x000D_
1.三十年稱為「一世」。《說文解字．十部》：「世，三十年為一世。」《論語．子路》：「如有王者，必世而後仁。」_x000D_
2.父子相繼稱為「一世」，即一代。《字彙．一部》：「世，父子相代為一世。」如：「五世其昌」、「秦二世」。《詩經．大雅．文王》：「文王孫子，本支百世。」《三國演義》第五回：「袁本初四世三公，門多故吏，漢朝名相之裔，可為盟主。」_x000D_
3.朝代。《詩經．大雅．蕩》：「殷鑒不遠，在夏后之世。」晉．陶淵明〈桃花源記〉：「問今是何世，乃不知有漢，無論魏、晉。」南朝梁．劉勰《文心雕龍．詮賦》：「秦世不文，頗有雜賦。」_x000D_
4.時代。《易經．繫辭下》：「易之興也，其當殷之末世。」漢．王充《論衡．逢遇》：「伯夷，帝者之佐也，出於王者之世。」_x000D_
5.年、歲。《禮記．曲禮下》：「去國三世，爵祿有列於朝，出入有詔於國。」_x000D_
7.世界、世間、世人。如：「傳世」、「避世」、「世外桃源」。《莊子．天地》：「千歲厭世，去而上僊；乘彼白雲，至於帝鄉。」《楚辭．屈原．漁父》：「舉世皆濁我獨清，眾人皆醉我獨醒。」_x000D_
8.姓。如戰國時秦國有世鈞。_x000D_
[量]_x000D_
計算一生、一輩子的單位。如：「七世夫妻」、「三生三世」。《紅樓夢》第三回：「凡有外姓親友之人，一概不見，方可平安了此一世。」_x000D_
[形]_x000D_
1.與先輩有交誼的。如：「世姪」。《儒林外史》第三回：「貴房師高要縣湯公，就是先祖的門生，我和你是親切的世弟兄。」_x000D_
2.世間的、世俗的。如：「世局」、「人情世故」。宋．黃機〈木蘭花慢．問功名何處〉詞：「世事翻雲覆雨，滿懷何止離憂。」《聊齋志異．卷八．夏雪》：「世風之變也，下者益諂，上者益驕。」_x000D_
3.累代的。如：「世交」、「世仇」。《官場現形記》第二九回：「他自從到省之後，同寅當中不多幾日，居然很結識得幾個人，不是世誼，便是鄉誼，就是一無瓜葛的人，到了此時，一經拉攏，彼此亦就要好起來。所謂『臭味相投』，正是這個道理。」</t>
  </si>
  <si>
    <t>貰</t>
  </si>
  <si>
    <t>[動]
1.出借、租賃。如：「貰屋」、「貰船」、「貰器」。
2.賒欠。如：「貰米」。《史記．卷八．高祖本紀》：「常從王媼、武負貰酒。」
3.寬貸、赦免。《漢書．卷五四．蘇建傳》：「陵雖駑怯，令漢且貰陵罪，全其老母，使得奮大辱之積志，庶幾乎曹柯之盟，此陵宿昔之所不忘也。」</t>
  </si>
  <si>
    <t>[動]
習慣、慣於。《史記．卷一七．漢興以來諸侯年表．序》：「諸侯或驕奢，忕邪臣計謀為淫亂。」唐．司馬貞．索隱：「忕訓習，言習於邪臣之謀計。」</t>
  </si>
  <si>
    <t>(一)ㄊㄞˋ tài（02477）</t>
  </si>
  <si>
    <t>式</t>
  </si>
  <si>
    <t xml:space="preserve">弋 </t>
  </si>
  <si>
    <t>[名]
1.法則、模範。《書經．微子之命》：「世世享德，萬邦作式。」《後漢書．卷四四．鄧彪傳》：「彪在位清白，為百僚式。」
2.儀節、典禮。如：「儀式」、「閱兵式」、「結婚式」。
3.規格、樣式。如：「格式」、「款式」。
4.古代車前的橫木。通「軾」。《周禮．冬官考工記．輿人》：「參分其隧，一在前，二在後，以揉其式。」《宋史．卷四三三．儒林傳三．楊萬里傳》：「苟有車必見其式，苟有言必聞其聲。」
5.自然科學中指表示某種規律的一組符號。如：「方程式」、「分子式」、「化學式」。
[動]
1.效法。《後漢書．卷五二．崔駰傳》：「必欲行若言，當大定其本，使人主師五帝而式三王。」
2.用。《左傳．成公二年》：「蠻夷戎狄，不式王命。」晉．杜預．注：「式，用也。」
3.古時人立而乘車，俯而憑軾以示敬意。《書經．武成》：「釋箕子囚，封比干墓，式商容閶。」唐．孔穎達．正義：「式者，車上之橫木，男子立乘有所敬則俯而憑式，遂以式為敬名。」《漢書．卷四〇．周勃傳》：「天子為動，改容式車。」
[助]
發語詞，無義。《詩經．邶風．式微》：「式微式微，胡不歸？」漢．鄭玄．箋：「式，發聲也。」</t>
  </si>
  <si>
    <t>拭</t>
  </si>
  <si>
    <t>[動]
揩、擦抹。如：「擦拭」、「拂拭」、「拭淚」、「拭目以待」。《儀禮．聘禮》：「賈人北面坐，拭圭。」漢．鄭玄．注：「拭，清也。」</t>
  </si>
  <si>
    <t>栻</t>
  </si>
  <si>
    <t>[名]
古代占卜用的器具，形狀像羅盤。《漢書．卷九九．王莽傳下》：「天文郎按栻於前，日時加某，莽旋席隨斗柄而坐。」</t>
  </si>
  <si>
    <t>試</t>
  </si>
  <si>
    <t>[名]
測驗。如：「考試」、「口試」、「筆試」。
[動]
1.考驗、測驗。《周禮．夏官．藳人》：「試其弓弩。」
2.嘗試。如：「試行」、「試飛」。唐．杜甫〈去矣行〉：「未試囊中餐玉法，明朝且入藍田山。」
3.探測、刺探。《韓非子．外儲說左下》：「主賢明，則悉心以事之；不肖，則飾姦而試之。」唐．韓偓〈詠浴〉詩：「教移蘭燭頻羞影，自試香湯更怕深。」</t>
  </si>
  <si>
    <t>軾</t>
  </si>
  <si>
    <t>[名]
古代車子前面可供憑依的橫木。《左傳．莊公十年》：「登軾而望之。」
[動]
古人靠著車前的橫木以表示尊敬。《淮南子．脩務》：「魏文侯過其閭而軾之。」</t>
  </si>
  <si>
    <t>弒</t>
  </si>
  <si>
    <t>[動]
地位低的人殺死地位高的人。《易經．坤卦．文言曰》：「臣弒其君，子弒其父，非一朝一夕之故，其所由來者漸矣。」</t>
  </si>
  <si>
    <t>事</t>
  </si>
  <si>
    <t>[名]
1.工作、職務。《論語．子路》：「居處恭，執事敬，與人忠，雖之夷狄不可棄也。」《禮記．祭法》：「以死勤事則祀之。」
2.人類所作所為及自然界的一切現象、活動，都稱為「事」。如：「人事」、「國事」。《禮記．大學》：「物有本末，事有終始，知所先後，則近道矣。」
3.變故。如：「多事之秋」、「平安無事」。
[動]
1.侍奉。《論語．學而》：「事父母能竭其力，事君能致其身。」
2.做、為。《論語．顏淵》：「回雖不敏，請事斯語矣。」
3.插入。通「剚」。《漢書．卷四五．蒯通傳》：「慈父孝子所以不敢事刃於公之腹者，畏秦法也。」</t>
  </si>
  <si>
    <t>侍</t>
  </si>
  <si>
    <t>[動]
1.伺候。如：「服侍病人要有耐心。」
2.在一旁陪著。《論語．先進》：「閔子侍側，誾誾如也。」《史記．卷六．秦始皇本紀》：「旁有宦者一人，侍不敢去。」
[名]
1.服侍或隨從他人的人。如：「女侍」、「侍從」。
2.侍生的簡稱。參見「侍生」條。
3.姓。如明代有侍錦。</t>
  </si>
  <si>
    <t>恃</t>
  </si>
  <si>
    <t>[動]
依賴、依仗。《廣韻．上聲．止韻》：「恃，依也，賴也。」如：「恃才傲物」、「有恃無恐」。《左傳．僖公二十六年》：「室如懸罄，野無青草，何恃而不恐。」
[名]
母親。語本《詩經．小雅．蓼莪》：「無父何怙？無母何恃？」唐．韋應物〈送楊氏女〉詩：「爾輩況無恃，撫念益慈柔。」《聊齋志異．卷四．公孫九娘》：「先是，生有甥女，早失恃，遺生鞠養，十五始歸其家。」</t>
  </si>
  <si>
    <t>(一)[名]、[動]7.之又音。</t>
  </si>
  <si>
    <t>(一)ㄕˇ shǐ（08725）</t>
  </si>
  <si>
    <t>(一)[副]1.2.之又音。</t>
  </si>
  <si>
    <t>(一)ㄕˇ shǐ（08730）</t>
  </si>
  <si>
    <t>室</t>
  </si>
  <si>
    <t>[名]
1.房間。如：「教室」、「臥室」、「休息室」、「工作室」。
2.朝廷、朝代。《書經．康王之誥》：「雖爾身在外，乃心罔不在王室。」宋．蘇軾〈教戰守策〉：「天下分裂，而唐室因以微矣。」
3.家、戶。《孟子．離婁上》：「為政不難，不得罪於巨室。」漢．王充《論衡．偶會》：「富家之商，必奪貧室之財。」
4.妻子。《禮記．曲禮上》：「三十曰壯，有室。」《警世通言．卷二九．宿香亭張浩遇鶯鶯》：「緣此至弱冠之年，猶未納室。」
5.墳墓、墓穴。《詩經．唐風．葛生》：「百歲之後，歸於其室。」唐．韓愈〈柳子厚墓誌銘〉：「是惟子厚之室，既固既安，以利其嗣人。」
6.刀鞘、劍鞘。《史記．卷七八．春申君傳》：「趙使欲夸楚，為玳瑁簪刀劍室以珠玉飾之，請命春申君客。」唐．劉禹錫〈砥石賦．序〉：「始予有佩刀甚良，至是澀不可拔，剖其室乃能出。」
7.機關團體中的工作單位。如：「人事室」、「祕書室」、「公共關係室」。
8.姓。如遼代有室昉。</t>
  </si>
  <si>
    <t>是</t>
  </si>
  <si>
    <t>[名]
1.對、正確。如：「自以為是」、「積非成是」。
2.事情。如：「國是」。
3.姓。如唐代有是光。
[動]
1.贊成、稱讚。如：「是古非今」、「深是其言」。
2.表示肯定判斷的話。如：「我是學生」、「他是外國人」、「老人與海的作者是海明威。」
3.表示存在的事實。如：「全身是傷」、「滿身是汗」。
4.對命令的應答之詞。如：「是，我這就去。」、「是，我馬上就來。」
[形]
這。指示形容詞。如：「是人」、「是日」。《論語．學而》：「夫子至於是邦也，必聞其政。」
[代]
此。指示代名詞。《孟子．梁惠王上》：「是乃仁術也，見牛未見羊也。」
[連]
於是，表示前後相關。《書經．禹貢》：「桑土既蠶，是降丘宅土。」《管子．心術下》：「心安是國安也；心治是國治也。」
[助]
用於句中，使賓語提前。如：「惟命是從」、「惟利是圖」、「惟你是問」。</t>
  </si>
  <si>
    <t>徥</t>
  </si>
  <si>
    <t>[形]
走路的樣子。《廣韻．上聲．紙韻》：「徥，行貌。」</t>
  </si>
  <si>
    <t>翨</t>
  </si>
  <si>
    <t>[名]
鳥尾及鳥翼上巨大的羽毛。《說文解字．羽部》：「翨，鳥之彊羽猛者。」</t>
  </si>
  <si>
    <t>諟</t>
  </si>
  <si>
    <t>[動]
審核、明辨、校正。《書經．太甲》：「先王顧諟天之明命。」《陳書．卷二七．姚察傳》：「尤好研覈古今，諟正文字。」</t>
  </si>
  <si>
    <t>埶</t>
  </si>
  <si>
    <t>同「勢」。《說文解字．󷆟部》「埶」字．清．段玉裁．注：「《說文》無勢字，蓋古用埶為之。」</t>
  </si>
  <si>
    <t>(一)ㄧˋ yì（10640）</t>
  </si>
  <si>
    <t>勢</t>
  </si>
  <si>
    <t>[名]
1.權力。如：「有錢有勢」、「仗勢欺人」。《書經．君陳》：「無依勢作威，無倚法以削。」
2.威力。如：「火勢」、「風勢」。
3.動作的狀態。如：「手勢」、「姿勢」。
4.形貌。如：「山勢」、「地勢」。
5.情形、狀況。如：「時勢」、「局勢」。
6.機會。《孟子．公孫丑上》：「雖有智慧，不如乘勢。」
7.雄性動物的生殖器官。如：「去勢」。《晉書．卷三〇．刑法志》：「盜淫者割其勢。」</t>
  </si>
  <si>
    <t>逝</t>
  </si>
  <si>
    <t>[動]
1.往、過去、去而不返。如：「消逝」。《論語．陽貨》：「日月逝矣，歲不我與。」晉．陸機〈折楊柳行〉：「日落似有竟，時逝恆若催。」
2.死亡。如：「逝世」。《文選．司馬遷．報任少卿書》：「是僕終已不得舒憤懣以曉左右，則長逝者魂魄私恨無窮。」宋．陸游〈舒悲〉詩：「管葛逝已久，千古困俗學。」</t>
  </si>
  <si>
    <t>誓</t>
  </si>
  <si>
    <t>[名]
表明決心、矢志不渝的言詞。如：「立誓」、「發誓」、「山盟海誓」。《詩經．衛風．氓》：「信誓旦旦，不思其反。」
[動]
告誡。如：「誓師」。《書經．泰誓下》：「王乃大巡六師，明誓眾士。」《國語．越語上》：「句踐既許之，乃致其眾而誓之。」
[副]
1.絕對。如：「誓不兩立」、「誓不甘休」。
2.受命。《周禮．春官．典命》：「凡諸侯之適子，誓于天子攝其君。」</t>
  </si>
  <si>
    <t>[名]
1.動物名。一種浮游在水面的蟲。體大如豆，顏色黑亮。
2.豆豉的豉的又音。</t>
  </si>
  <si>
    <t>(二)（語音）ㄔˇ chǐ（08203）</t>
  </si>
  <si>
    <t>睗</t>
  </si>
  <si>
    <t>[動]
疾視。《說文解字．目部》：「睗，目疾視也。」《文選．左思．吳都賦》：「忘其所以睒睗，失其所以去就。」</t>
  </si>
  <si>
    <t>嗜</t>
  </si>
  <si>
    <t>[動]
1.喜愛、愛好。如：「嗜賭」、「嗜酒如命」。《聊齋志異．卷七．宦娘》：「溫如春，秦之世家也，少癖嗜琴，雖逆旅未嘗暫舍。」
2.貪求、貪愛。《國語．楚語下》：「吾聞國家將敗，必用姦人，而嗜其疾味。」唐．柳宗元〈蝜蝂傳〉：「今世之嗜取者，遇貨不避，以厚其室。」</t>
  </si>
  <si>
    <t>筮</t>
  </si>
  <si>
    <t>[名]
古代用蓍草占卜吉凶的方法。《左傳．僖公四年》：「卜人曰：『筮短龜長，不如從長。』」
[動]
占卜。唐．王勃〈益州夫子廟碑〉：「鳳德鉤深，玉策筮亡秦之兆。」</t>
  </si>
  <si>
    <t>澨</t>
  </si>
  <si>
    <t>[名]
1.堤防。《說文解字．水部》：「澨，埤增水邊土，人所止者。」
2.水邊、岸邊。《楚辭．屈原．九歌．湘夫人》：「朝馳余馬兮江皋，夕濟兮西澨。」《文選．潘岳．秋興賦》：「泉涌湍於石間兮，菊揚芳於崖澨。」
3.河川名。即澨水。源出於今大陸地區湖北省京山縣的潼泉山，東流入漢水。</t>
  </si>
  <si>
    <t>噬</t>
  </si>
  <si>
    <t>[動]
1.咬、吃。如：「吞噬」。《左傳．哀公十二年》：「國狗之瘈，無不噬也。」唐．柳宗元〈三戒．黔之驢〉：「他日，驢一鳴，虎大駭遠遁，以為且噬己也，甚恐。」
2.侵吞、侵占。唐．狄仁傑〈檄告西楚霸王文〉：「自祖龍御宇，橫噬諸侯。」</t>
  </si>
  <si>
    <t>簭</t>
  </si>
  <si>
    <t>[名]
以蓍草占卜的方法。同「筮」。《周禮．春官．簭人》：「簭人掌三易，以辨九簭之名。」
[動]
咬。通「噬」。《周禮．冬官考工記．梓人》：「凡㩴閷援簭之類，必深其爪，出其目，作其鱗之而。」唐．賈公彥．疏：「云㩴閷者，㩴著則殺之，援攬則噬之。」</t>
  </si>
  <si>
    <t>飾</t>
  </si>
  <si>
    <t>[動]
1.裝扮、打扮。《說文解字．巾部》「飾」字．清．段玉裁．注：「凡踵事增華皆謂之飾。」如：「修飾」、「裝飾」。
2.遮掩、偽裝。如：「掩飾」、「粉飾太平」、「文過飾非」。《漢書．卷五八．公孫弘傳》：「夫以三公為布被，誠飾詐欲以釣名。」
3.假託。參見「飾詞」2.條。
4.刷洗清潔。通「拭」。《周禮．地官．封人》：「凡祭祀，飾其牛牲。」
5.整治。通「飭」。《穀梁傳．襄公二十五年》：「古者大國過小邑，小邑必飾城而請罪，禮也。」晉．范甯．注：「飾城者，修守備。」
6.扮演。如：「這齣戲由他飾演主角。」
[名]
1.服裝。如：「服飾」。《左傳．昭公元年》：「子晳盛飾入，布幣而出。」
2.用來裝扮的物品。如：「首飾」、「衣飾」、「髮飾」。</t>
  </si>
  <si>
    <t>[形]
舒服、自得。如：「舒適」、「安適」。
[動]
1.往、至。《論語．子路》：「子適衛，冉有僕。」
2.女子出嫁。《文選．潘岳．寡婦賦》：「少喪父母，適人而所天又殞。」宋．歐陽修〈江鄰幾墓誌銘〉：「女三人，長適祕書丞蕃蹭。」
3.相合、相當。《後漢書．卷六二．荀爽傳》：「截趾適履，孰云其愚！」宋．蘇軾〈答莫提刑啟〉：「得請江湖，雖適平生之願。」
4.順從。《樂府詩集．卷七三．雜曲歌辭十三．古辭．焦仲卿妻》：「處分適兄意，那得自任專？」
5.貶謫。同「謫」。《漢書．卷八八．儒林傳．序》：「陳涉起匹夫，敺適戍以立號，不滿歲而滅亡。」
[副]
1.僅、只。《戰國策．秦策二》：「疑臣者不適三人。」
2.偶然、偶爾。《聊齋志異．卷一．賈兒》：「適從父入市，見帽肆挂狐尾，乞翁市之。」
3.剛才。如：「適才」。《韓非子．內儲》：「王適有言，必可從命。」
4.恰巧。《史記．卷一〇七．灌夫傳》：「夫身中大創十餘，適有萬金良藥，故得無死。」</t>
  </si>
  <si>
    <t>(二)ㄉㄧˊ dí（02110）</t>
  </si>
  <si>
    <t>奭</t>
  </si>
  <si>
    <t>[形]
1.盛、大。《說文解字．皕部》：「奭，盛也。」《商君書．墾令》：「然則商賈少，民不能喜酣奭，大臣不為荒飽。」
2.驚視的樣子。《廣韻．入聲．昔韻》：「奭，驚視貌。」
[動]
發怒、惱怒。《漢書．卷五二．竇嬰傳》：「有如兩宮奭將軍，則妻子無類矣。」
[名]
1.用茜草染成的紅色。《詩經．小雅．采芑》：「四騏翼翼，路車有奭。」
2.姓。如漢代有奭偉。</t>
  </si>
  <si>
    <t>襫</t>
  </si>
  <si>
    <t>僿</t>
  </si>
  <si>
    <t>[名]
無義氣、沒有誠意。《集韻．去聲．代韻》：「僿，無悃誠也。」《史記．卷八．高祖本紀》：「救僿莫若以忠。」</t>
  </si>
  <si>
    <t>諡</t>
  </si>
  <si>
    <t>[名]
古代禮制，依死者生前功過和品德所給予的稱號，多用於貴族、大臣和曾任官職的文人、學者。《說文解字．言部》：「諡，行之跡也。」《禮記．樂記》：「故觀其舞，知其德，聞其諡，知其行也。」
[動]
加諡號。《左傳．宣公十年》：「改葬幽公，諡之曰靈。」</t>
  </si>
  <si>
    <t>(一)（語音）ㄓㄜ zhē（07655）</t>
  </si>
  <si>
    <t>[名]
1.見解、見聞。如：「見識」、「遠識」、「才識」、「膽識」。
2.事物的道理。如：「知識」、「常識」。
3.思想、內在思維。如：「意識」。《南史．卷四．齊武帝本紀》：「我識滅後，身上著夏衣、畫天衣。」
4.知己、朋友。《梁書．卷九．王茂傳》：「茂年數歲，為大父深所異，常謂親識曰：『此吾家之千里駒。』」唐．劉禹錫〈元日感懷〉詩：「異鄉無舊識，車馬到門稀。」
[動]
知道、了解。如：「素不相識」、「有眼不識泰山」。唐．白居易〈琵琶行〉：「同是天涯淪落人，相逢何必曾相識。」
[副]
剛才。通「適」。《左傳．成公十六年》：「識見不穀而趨，無乃傷乎？」</t>
  </si>
  <si>
    <t>(二)ㄓˋ zhì（07593）</t>
  </si>
  <si>
    <t>釋</t>
  </si>
  <si>
    <t>[名]
1.佛教始祖釋迦牟尼的簡稱。唐．王勃〈彭州九隴縣龍懷寺碑〉：「十千天子，新朝帝釋之宮。」
2.泛稱佛教。明．徐弘祖《徐霞客遊記．卷八下．滇遊日記九》：「他處皆釋盛於道，而此獨反之。」
3.姓。如南朝梁有釋道安。
[動]
1.解說、說明。如：「解釋」、「注釋」、「詮釋」。
2.解除、消散。如：「釋懷」、「冰釋」、「如釋重負」、「盡釋前嫌」。《國語．晉語四》：「遂伐曹、衛，出穀戍，釋宋圍。」
3.放開、赦免。如：「釋放」、「開釋」、「保釋」。漢．王充《論衡．變虛》：「方伯聞其言，釋其罪，委之去乎？」
4.放棄、捨去。《左傳．昭公二十六年》：「諸侯釋位，以間王政。」《史記．卷九七．酈生傳》：「農夫釋耒，工女下機。」
5.脫下。如：「釋甲」。《漢書．卷六八．霍光傳》：「食監奏未釋服，未可御故食。」唐．顏師古．注：「釋，謂解脫也。」</t>
  </si>
  <si>
    <t>˙ㄕ</t>
  </si>
  <si>
    <t>shi</t>
  </si>
  <si>
    <t>參見「鑰匙」條。</t>
  </si>
  <si>
    <t>(一)ㄔˊ chí（08189）</t>
  </si>
  <si>
    <t>沙</t>
  </si>
  <si>
    <t>ㄕㄚ</t>
  </si>
  <si>
    <t>shā</t>
  </si>
  <si>
    <t>[名]
1.細碎的石粒。如：「風沙」、「泥沙」、「飛沙走石」。也稱為「沙子」。
2.水邊的土地。《詩經．大雅．鳧鷖》：「鳧鷖在沙，公尸來燕來宜。」漢．毛亨．傳：「沙，水旁也。」
3.細碎而呈顆粒狀的東西。如：「豆沙」、「金沙」、「鐵沙」。
4.姓。如宋代有沙世堅。
[副]
聲音嘶啞。如：「沙啞」。《周禮．天官．內饔》：「鳥皫色而沙鳴。」．漢．鄭玄．注：「沙，澌也。」
[形]
1.瓜果過度成熟，使肉質鬆散而呈微粒。如：「沙瓤的西瓜。」
2.粗糙呈顆粒狀的。如：「沙紙」。宋．陸游《老學庵筆記》卷六：「沙糖，中國本無之。唐太宗時，外國貢至。」
[助]
語尾助詞。同「唦」。相當於「啊」。元．石君寶《曲江池》第一折：「不因你個小名兒沙，他怎肯誤入桃源？」</t>
  </si>
  <si>
    <t>砂</t>
  </si>
  <si>
    <t>[名]
1.細碎的石粒。如：「飛砂走石」。
2.細碎呈顆粒狀的物質。同「沙」。如：「礦砂」、「鐵砂」。
3.參見「朱砂」條。</t>
  </si>
  <si>
    <t>唦</t>
  </si>
  <si>
    <t>[助]
語尾助詞。相當於「啊」。《董西廂》卷七：「他別求了婦，你只管裡守志唦，當甚貞烈？」</t>
  </si>
  <si>
    <t>猀</t>
  </si>
  <si>
    <t>[名]
中國古代南方少數民族之一。多分布在大陸地區廣西一帶。</t>
  </si>
  <si>
    <t>紗</t>
  </si>
  <si>
    <t>[名]
1.輕軟細薄的絲織品。宋．陸游《老學庵筆記》卷六：「亳州出輕紗，舉之若無，裁以為衣，真若煙霧。」《紅樓夢》第一〇五回：「綢緞一百三十卷，紗綾一百八十卷。」
2.經緯線稀疏或有小孔的紡織物。如：「窗紗」、「鐵紗」。
3.用綿、麻紡成的細絲。如：「棉紗」、「紡紗」。唐．王維〈洛陽女兒行〉：「誰憐越女顏如玉，貧賤江頭自浣紗。」
[形]
用紗製成的。如：「紗帽」、「紗罩」。</t>
  </si>
  <si>
    <t>逤</t>
  </si>
  <si>
    <t>[名]
邏逤：城市名。唐代時吐蕃的都城。</t>
  </si>
  <si>
    <t>莎</t>
  </si>
  <si>
    <t>動物名。指莎雞。一種似蚱蜢的昆蟲，色黑，有數重翅膀。常在夏季的夜晚振翅作聲，鳴聲急促似紡絲。也稱為「絡緯」。</t>
  </si>
  <si>
    <t>(一)ㄙㄨㄛ suō（10123）</t>
  </si>
  <si>
    <t>痧</t>
  </si>
  <si>
    <t>[名]
中醫上指中暑、霍亂、麻疹等疾病。如霍亂稱為「絞腸痧」、「弔腳痧」；麻疹稱為「痧子」。《文明小史》第四回：「他兩個又在路上中了暑，發了痧，不能趕路。」</t>
  </si>
  <si>
    <t>裟</t>
  </si>
  <si>
    <t>魦</t>
  </si>
  <si>
    <t>同「鯊」。</t>
  </si>
  <si>
    <t>鯊</t>
  </si>
  <si>
    <t>[名]
1.軟骨魚綱鮫目魚類的通稱。約有二百至二百五十種，多生活在海中。肉食性，性情凶猛。肉可食，肝可製成魚肝油，鰭可做魚翅，用途很廣。
2.一種生活在溪澗的小魚。明．李時珍《本草綱目．卷四四．鱗部．鯊魚》：「此非海中沙魚，乃南方溪澗中小魚也。居沙溝中，吹沙而游，咂沙而食。」</t>
  </si>
  <si>
    <t>杉</t>
  </si>
  <si>
    <t>(一)（讀音）ㄕㄢ shān（08908）</t>
  </si>
  <si>
    <t>[動]
止住。如：「剎車」。</t>
  </si>
  <si>
    <t>(一)ㄔㄚˋ chà（08256）</t>
  </si>
  <si>
    <t>殺</t>
  </si>
  <si>
    <t>[動]
1.以刀或武器使人或禽獸等失去生命。如：「殺人放火」、「殺豬宰羊」。
2.戰鬥。如：「殺出重圍」。《三國演義》第五回：「殺至天明，雄方引兵上關。」
3.敗壞。如：「殺風景」。
4.減省。如：「殺價」。</t>
  </si>
  <si>
    <t>(二)ㄕㄞˋ shài（08855）(三)ㄕㄚˋ shà（08809）</t>
  </si>
  <si>
    <t>摋</t>
  </si>
  <si>
    <t>[動]
雜揉。《淮南子．俶真》：「獨浮游無方之外，不與物相弊摋。」</t>
  </si>
  <si>
    <t>(一)ㄙㄚˋ sà（09989）</t>
  </si>
  <si>
    <t>蔱</t>
  </si>
  <si>
    <t>參見「蔱蘠」條。</t>
  </si>
  <si>
    <t>鎩</t>
  </si>
  <si>
    <t>[名]
長矛。《文選．陸機．辯亡論》：「長棘勁鎩，望飆而奮。」
[動]
摧殘。《文選．左思．蜀都賦》：「鳥鎩翮，獸廢足。」南朝宋．鮑照〈拜侍郎上疏〉：「鎩羽暴鱗，復見翻躍。」</t>
  </si>
  <si>
    <t>(二)（又音）ㄕㄞˋ shài（08856）</t>
  </si>
  <si>
    <t>煞</t>
  </si>
  <si>
    <t>[動]
1.殺死。同「殺」。明．朱有燉〈清河縣繼母大賢〉：「王謙在莒城打煞人了，叫我寄個信去，報與他母親知。」
2.停止。如：「煞車」。《紅樓夢》第九六回：「黛玉煞住腳聽時，又聽不出是誰的聲音。」</t>
  </si>
  <si>
    <t>(一)ㄕㄚˋ shà（08814）</t>
  </si>
  <si>
    <t>啥</t>
  </si>
  <si>
    <t>ㄕㄚˊ</t>
  </si>
  <si>
    <t>shá</t>
  </si>
  <si>
    <t>[代]
甚麼。《老殘遊記》第一四回：「送饅頭給誰吃？要這些船幹啥？」</t>
  </si>
  <si>
    <t>傻</t>
  </si>
  <si>
    <t>ㄕㄚˇ</t>
  </si>
  <si>
    <t>shǎ</t>
  </si>
  <si>
    <t>[形]
1.愚蠢、不聰慧。如：「傻話」、「傻大姐」。
2.形容人忠厚。如：「傻呵呵」。
[副]
發呆的樣子。如：「嚇傻了」、「看傻了」。</t>
  </si>
  <si>
    <t>ㄕㄚˋ</t>
  </si>
  <si>
    <t>shà</t>
  </si>
  <si>
    <t>[動]
1.蟲咬東西。如：「這棵死樹根螞蟻唼了。」
2.魚、鳥在水中覓食。參見「唼喋」條。
3.除掉沒有用的東西。如：「用篩子唼細土。」、「吃飲時將沙唼出。」
4.小孔洩氣。參見「唼氣」條。</t>
  </si>
  <si>
    <t>(一)ㄗㄚ zā（09435）(三)ㄑㄧㄝˋ qiè（06334）</t>
  </si>
  <si>
    <t>翣</t>
  </si>
  <si>
    <t>[名]
1.古時棺木兩旁形狀像扇子的飾物。《說文解字．羽部》：「翣，棺羽飾也。天子八，諸侯六，大夫四，士二。」
2.扇子。《淮南子．俶真》：「冬日之不用翣者，非簡之也，清有餘於適也。」</t>
  </si>
  <si>
    <t>霎</t>
  </si>
  <si>
    <t>[名]
小雨。《廣韻．入聲．葉韻》：「霎，小雨。」
[擬]
形容風雨聲。唐．韓偓〈夏夜〉詩：「猛風飄電黑雲生，霎霎高林簇雨聲。」
[形]
短促的。如：「霎時間」。唐．孟郊〈春雨後〉詩：「昨夜一霎雨，天意蘇群物。」</t>
  </si>
  <si>
    <t>[名]
水鳥聚在一起吃東西的聲音。同「唼」。《玉篇．口部》：「啑，啑喋，鴨食也。亦作唼。」</t>
  </si>
  <si>
    <t>(二)ㄐㄧㄝˊ jié（05567）</t>
  </si>
  <si>
    <t>萐</t>
  </si>
  <si>
    <t>[名]
用竹、羽毛等製成的扇子。《淮南子．精神》：「知冬日之箑、夏日之裘，無用於己，則萬物之變為塵埃矣。」</t>
  </si>
  <si>
    <t>(二)（又音）ㄐㄧㄝˊ jié（05570）</t>
  </si>
  <si>
    <t>[副]
甚、極。同「煞」。如：「愁殺人」。元．張養浩〈詠江南．一江煙水照晴嵐〉曲：「畫船兒天邊至，酒旗兒風外颭，愛殺江南。」</t>
  </si>
  <si>
    <t>(一)ㄕㄚ shā（08796）(二)ㄕㄞˋ shài（08855）</t>
  </si>
  <si>
    <t>喢</t>
  </si>
  <si>
    <t>同「歃」。</t>
  </si>
  <si>
    <t>歃</t>
  </si>
  <si>
    <t>參見「歃血」條。</t>
  </si>
  <si>
    <t>(一)（讀音）ㄒㄧㄚˋ xià（06914）</t>
  </si>
  <si>
    <t>嗄</t>
  </si>
  <si>
    <t>[形]_x000D_
聲音嘶啞。《老子》第五五章：「終日號而不嗄，和之至也。」</t>
  </si>
  <si>
    <t>(二)ㄚˊ á（10226）</t>
  </si>
  <si>
    <t>[名]
1.凶神。如：「凶煞」、「惡煞」、「黑煞」。
2.參見「回煞」條。
[副]
1.極、甚。如：「煞費苦心」。宋．柳永〈迎春樂．近來憔悴人驚怪〉詞：「近來憔悴人驚怪。為別後，相思煞！」
2.何、什麼。《紅樓夢》第六回：「這是什麼愛物兒，有煞用呢？」</t>
  </si>
  <si>
    <t>(二)ㄕㄚ shā（08800）</t>
  </si>
  <si>
    <t>翜</t>
  </si>
  <si>
    <t>[形]
飛行快速。《說文解字．羽部》：「翜，捷也，飛之疾也。」</t>
  </si>
  <si>
    <t>挲</t>
  </si>
  <si>
    <t>˙ㄕㄚ</t>
  </si>
  <si>
    <t>sha</t>
  </si>
  <si>
    <t>(一)ㄙㄨㄛ suō（10121）(三)˙ㄙㄚ sa（09994）</t>
  </si>
  <si>
    <t>ㄕㄜ</t>
  </si>
  <si>
    <t>shē</t>
  </si>
  <si>
    <t>[形]
奢侈、誇張。同「奢」。《說文解字．奢部》：「奢，張也。奓，籀文。」</t>
  </si>
  <si>
    <t>(一)ㄓㄚ zhā（07611）(三)ㄔˇ chǐ（08200）</t>
  </si>
  <si>
    <t>奢</t>
  </si>
  <si>
    <t>[形]
1.用錢浪費，沒有節制。參見「奢侈」條。
2.誇張。《文選．司馬相如．子虛賦》：「今足下不稱楚王之德厚，而盛推雲夢以為高，奢言淫樂而顯侈靡。」
[副]
過分的、過多的。如：「奢望」、「奢求」。
[名]
姓。如明代有奢寅。</t>
  </si>
  <si>
    <t>畬</t>
  </si>
  <si>
    <t>[動]
用火燎原而後種植的耕作方式。晉．陶淵明〈和劉柴桑詩〉：「茅茨已就治，新疇復應畬。」
[名]
1.待火耕的荒田。唐．劉禹錫〈竹枝詞〉九首之九：「銀釧金釵來負水，長刀短笠去燒畬。」
2.姓。如明代有畬恭。</t>
  </si>
  <si>
    <t>(一)ㄩˊ yú（11572）</t>
  </si>
  <si>
    <t>賒</t>
  </si>
  <si>
    <t>[動]
1.買賣貨物時先記帳，而後延期付款或收款。如：「賒帳」、「賒欠」。
2.寬恕、寬宥。南朝梁．江淹〈尚書符〉：「此而可賒，孰不可宥！」
[形]
1.遙遠。唐．王勃〈滕王閣序〉：「北海雖賒，扶搖可接。」明．王謙〈戲題扇上蹇驢作一小畫〉詩：「負重那堪道路賒，行行未得到村家。」
2.長久。唐．李中〈旅夜聞笛〉詩：「長笛起誰家，秋涼夜漏賒。」
3.稀疏、稀少。唐．錢起〈送費秀才歸衡州〉詩：「不畏心期阻，惟愁面會賒。」唐．張說〈岳州作〉詩：「物土南州異，關河北信賒。」
[名]
奢侈的行為。通「奢」。《後漢書．卷四九．王充等傳．論曰》：「楚楚衣服，戒在窮賒。」</t>
  </si>
  <si>
    <t>ㄕㄜˊ</t>
  </si>
  <si>
    <t>shé</t>
  </si>
  <si>
    <t>(一)ㄕˊ shí（08707）(二)ㄕㄣˊ shén（08983）</t>
  </si>
  <si>
    <t>舌</t>
  </si>
  <si>
    <t>[名]
1.動物口腔中專司辨別味道，幫助咀嚼與發音的味覺器官。也稱為「舌頭」。
2.物體像舌頭的部分。如：「火舌」、「帽舌」、「筆舌」。
3.二一四部首之一。</t>
  </si>
  <si>
    <t>[動]
1.斷。如：「棍子折了！」
2.虧損。《漢書．卷二四．食貨志下》：「均官有以考檢厥實，用其本賈取之，毋令折錢。」《紅樓夢》第一〇〇回：「前兩天還聽見一個荒信，說是南邊當鋪也因為折了本兒收了。」</t>
  </si>
  <si>
    <t>(一)ㄓㄜˊ zhé（07656）(三)ㄓㄜ zhē（07651）</t>
  </si>
  <si>
    <t>佘</t>
  </si>
  <si>
    <t>[名]
姓。如唐代有佘欽。</t>
  </si>
  <si>
    <t>甚</t>
  </si>
  <si>
    <t>(一)ㄕㄣˋ shèn（08998）(二)ㄕㄣˊ shén（08984）</t>
  </si>
  <si>
    <t>蛇</t>
  </si>
  <si>
    <t>[名]
有鱗目蛇亞目爬行動物的總稱。約二千七百種，臺灣約產五十八種。體圓長，無四肢，有鱗，口大，舌細長而分叉，體色不一，有蛻皮現象。卵生或卵胎生，分有毒跟無毒二種。</t>
  </si>
  <si>
    <t>(二)ㄧˊ yí（10547）</t>
  </si>
  <si>
    <t>揲</t>
  </si>
  <si>
    <t>[動]
1.以手抽點物品的數目。古時多用於數蓍草占卜，以測吉凶。《玉篇．手部》：「揲，數蓍也。」《易經．繫辭上》：「揲之以四，以象四時。」《儒林外史》第三五回：「自己揲了一個蓍，筮得『天山遁』。」
2.拿取。《史記．卷一〇五．扁鵲倉公傳》：「揲荒爪幕，湔浣腸胃。」
3.折疊。唐．劉駕〈長門怨〉詩：「閒揲舞衣歸未得，夜來砧杵六宮秋。」</t>
  </si>
  <si>
    <t>參見「阿闍梨」條。</t>
  </si>
  <si>
    <t>(一)ㄉㄨ dū（02274）</t>
  </si>
  <si>
    <t>舍</t>
  </si>
  <si>
    <t>ㄕㄜˇ</t>
  </si>
  <si>
    <t>shě</t>
  </si>
  <si>
    <t>[動]
1.放棄、放下。通「捨」。《論語．雍也》：「犁牛之子騂且角，雖欲勿用，山川其舍諸？」《荀子．勸學》：「鍥而不舍，金石可鏤。」
2.除去、除開。《孟子．公孫丑下》：「當今之世，舍我其誰也？」
3.止息、停止。《論語．子罕》：「逝者如斯夫，不舍晝夜。」</t>
  </si>
  <si>
    <t>(一)ㄕㄜˋ shè（08833）</t>
  </si>
  <si>
    <t>捨</t>
  </si>
  <si>
    <t>[動]
1.放下、放棄。如：「割捨」、「捨棄」、「捨近求遠」、「依依不捨」。
2.布施、給予。如：「施捨」、「捨財」、「捨藥」。《兒女英雄傳》第三八回：「又有捨了一吊香錢，抱個紙元寶去，說是借財氣的。」
3.離開。唐．韓愈〈祭十二郎文〉：「故捨汝而旅食京師。」</t>
  </si>
  <si>
    <t>色</t>
  </si>
  <si>
    <t>ㄕㄜˋ</t>
  </si>
  <si>
    <t>shè</t>
  </si>
  <si>
    <t>[名]_x000D_
俗稱性慾衝動。</t>
  </si>
  <si>
    <t>(一)ㄙㄜˋ sè（09995）(二)ㄕㄞˇ shǎi（08852）</t>
  </si>
  <si>
    <t>社</t>
  </si>
  <si>
    <t>[名]
1.傳說中的土地神。《禮記．祭法》：「共工氏之霸九州也，其子曰后土，能平九州，故祀以為社。」
2.祭土地神的地方。《左傳．昭公十七年》：「日有食之，天子不舉，伐鼓於社。」
3.祭祀土地神的節日。如：「春社」、「秋社」。
4.祭土地神的典禮。《左傳．莊公二十三年》：「公如齊觀社，非禮也。」
5.為工作、生活或共同目標結合成的組織、團體。如：「報社」、「通訊社」、「合作社」、「學社」。
6.姓。如元代有社佑。
[動]
祭祀土地神。《書經．召誥》：「戊午，乃社于新邑。牛一、羊一、豕一。」</t>
  </si>
  <si>
    <t>[名]
1.房屋、住宅。如：「宿舍」、「田舍」、「房舍」、「茅舍」。
2.謙稱自己的住所。如：「寒舍」、「敝舍」。
3.飼養牲畜的地方。如：「豬舍」、「牛舍」。
4.宋元時代稱顯貴人家的子弟。多見於元人小說、戲曲中。元．關漢卿《救風塵》第一折：「自家鄭州人氏，周同知的孩兒周舍是也。」元．武漢臣《玉壺春》第二折：「近日有個客人，姓甚喚做甚舍。」
5.量詞。古代計算行軍里數的單位。三十里為一舍。如：「退避三舍」。《左傳．僖公二十三年》：「若以君之靈得反晉國，晉、楚治兵，遇於中原，其辟君三舍。」
6.一宿、一夜。《左傳．莊公三年》：「凡師一宿為舍，再宿為信，過信為次。」
[動]
1.住宿、居住。《左傳．宣公二年》：「宣子田於首山，舍于翳桑。」
2.止息、停止。《左傳．哀公十五年》：「舍於孔氏之外圃。」
3.安置。《戰國策．魏策二》：「王不如舍需於側，以稽二人者之所為。」
[形]
對人謙稱自己卑幼的親屬或親戚。如：「舍弟」、「舍妹」、「舍親」。</t>
  </si>
  <si>
    <t>(二)ㄕㄜˇ shě（08829）</t>
  </si>
  <si>
    <t>猞</t>
  </si>
  <si>
    <t>參見「拾級」條。</t>
  </si>
  <si>
    <t>(一)ㄕˊ shí（08712）(三)ㄕ shī（08696）</t>
  </si>
  <si>
    <t>涉</t>
  </si>
  <si>
    <t>[動]
1.徒步渡水。如：「跋山涉水」。宋．陸游〈秋郊有懷〉詩四首之四：「秋山瘦益奇，秋水淺可涉。」
2.乘船渡水。《詩經．邶風．匏有苦葉》：「招招舟子，人涉卬否。」唐．韓愈〈閔已賦〉：「行舟楫而不識四方兮，涉大水之漫漫。」
3.經歷。如：「涉險」、「涉世未深」。《管子．兵法》：「厲士利械，則涉難而不匱。」
4.牽連、相關。如：「牽涉」、「涉嫌」。《南史．卷一五．劉穆之傳》：「目覽詞訟，手答牋書，耳行聽受，口並酬應，不相參涉，皆悉贍舉。」
5.進入、陷入。如：「涉足」。《左傳．僖公四年》：「不虞君之涉吾地也。」
6.泛讀、博覽。如：「涉獵群書」。宋．王安石〈祭韓欽聖學士文〉：「紛百家兮並涉，超獨懷兮道德。」
[名]
姓。如宋代有涉緯。</t>
  </si>
  <si>
    <t>[名]
姓。如漢代有庫鈞。</t>
  </si>
  <si>
    <t>(一)ㄎㄨˋ kù（04567）</t>
  </si>
  <si>
    <t>[動]
1.用推力或彈力等送出弓箭、炮彈或某種物體。如：「發射」、「注射」、「掃射」、「噴射」。
2.猜度、猜測。如：「金銀銅鐵射一地名。」
3.用言語文字暗示或中傷。如：「影射」。《資治通鑑．卷一四．漢紀六．文帝前六年》：「胡亥今日即位而明日射人，忠諫者謂之誹謗，深計者謂之妖言，其視殺人若艾草菅然。」
4.光線映照。如：「反射」、「折射」、「光芒四射」。
[名]
有關放箭技能的訓練。《周禮．地官．大司徒》：「三曰六藝：禮、樂、射、御、書、數。」</t>
  </si>
  <si>
    <t>(二)ㄕˊ shí（08719）(三)ㄧˋ yì（10636）(四)ㄧㄝˋ yè（10766）</t>
  </si>
  <si>
    <t>麝</t>
  </si>
  <si>
    <t>[名]
1.動物名。哺乳綱偶蹄目鹿科。形似鹿而小，無角，尾短，善跳躍。毛黑褐色或灰褐色。雄麝犬齒細長，露出口外，腹部有香囊，能分泌香氣。
2.麝香的香氣。唐．李商隱〈無題〉詩四首之一：「蠟照半籠金翡翠，麝熏微度繡芙蓉。」</t>
  </si>
  <si>
    <t>設</t>
  </si>
  <si>
    <t>[動]
1.安置、陳列。如：「擺設」。《左傳．僖公二十八年》：「狐主設二旆而退之。」《紅樓夢》第三回：「大紫檀雕螭案上設著三尺來高青綠古銅鼎。」
2.建立、制訂。《韓非子．八經》：「設法度以齊民，信賞罰以盡能。」《禮記．禮運》：「以設制度，以立田里。」
3.籌劃。參見「設計」、「設法」等條。
[連]
表示揣測的語詞。即假若。《史記．卷一〇七．魏其武安侯傳》：「此特帝在，即錄錄，設百歲後，是屬寧有可信者乎？」</t>
  </si>
  <si>
    <t>蔎</t>
  </si>
  <si>
    <t>[名]
一種香草。《說文解字．艸部》：「蔎，香艸也。」</t>
  </si>
  <si>
    <t>赦</t>
  </si>
  <si>
    <t>[動]
寬免應得的刑罰。如：「大赦」、「特赦」、「十惡不赦」。《文選．丘遲．與陳伯之書》：「聖朝赦罪責功，棄瑕錄用，推赤心於天下，安反側於萬物。」
[名]
姓。如明代有赦敬。</t>
  </si>
  <si>
    <t>葉</t>
  </si>
  <si>
    <t>[名]
地名。春秋時楚國的邑地，故址約在今大陸地區河南省葉縣南方三十里。</t>
  </si>
  <si>
    <t>(一)ㄧㄝˋ yè（10773）</t>
  </si>
  <si>
    <t>韘</t>
  </si>
  <si>
    <t>[名]
古代射箭時套在大拇指的器具。以象骨製成，用來鉤拉弓弦。《詩經．衛風．芄蘭》：「芄蘭之葉，童子佩韘。」清．徐珂《清稗類鈔．服飾類．扳指》：「以象牙、晶玉為之，著於右手之大指，實即古所謂韘。」</t>
  </si>
  <si>
    <t>摵</t>
  </si>
  <si>
    <t>[形]
樹葉掉落，枝頭光禿禿的樣子。《文選．潘岳．秋興賦》：「庭樹摵以灑落兮，勁風戾而吹帷。」</t>
  </si>
  <si>
    <t>參見「歙縣」、「歙硯」等條。</t>
  </si>
  <si>
    <t>(一)ㄒㄧˋ xì（06867）</t>
  </si>
  <si>
    <t>灄</t>
  </si>
  <si>
    <t>[名]
河川名。有東西二源，東源出大陸地區湖北省黃安縣，西源出河南省羅山縣，二源至黃陂縣合而南流，注入長江。</t>
  </si>
  <si>
    <t>(一)ㄓㄜˊ zhé（07671）</t>
  </si>
  <si>
    <t>[動]
1.引持、牽提。《漢書．卷三二．張耳陳餘傳》：「吏嘗以過笞餘，餘欲起，耳攝使受笞。」
2.整理。《史記．卷七七．魏公子傳》：「侯生攝敝衣冠，直上載公子上坐，不讓。」
3.維持、保持。《國語．晉語四》：「姓利相更，成而不遷，乃能攝固，保其土房。」
4.留取、收。如：「攝影」、「拍攝」、「攝取鏡頭」。
5.吸引、吸取。如：「勾魂攝魄」。唐．顧況〈廣陵白沙大雲寺碑〉：「磁石攝鐵，不攝鴻毛。」《西遊記》第二〇回：「把我師父攝了，倒轉問我做甚！」
6.捉拿、拘捕。如：「勾攝」。《國語．吳語》：「攝少司馬茲與王士五人。」
7.統轄、管理。如：「統攝」。《後漢書．卷六六．陳蕃傳》：「人君者，攝天地之政，秉四海之維。」
8.代理、兼理。如：「攝政」。《孟子．萬章上》：「堯老而舜攝也。」唐．陳鴻〈東城老父傳〉：「老人見黃門侍郎杜暹出為磧西節度，攝御史大夫，始假風憲以威遠。」
9.輔佐、幫助。《詩經．大雅．既醉》：「朋友攸攝，攝以威儀。」
10. 迫近、夾處。《論語．先進》：「千乘之國，攝乎大國之間。」
11. 保養。如：「攝生」。南朝梁．沈約〈神不滅論〉：「虛用損年，善攝增壽。」</t>
  </si>
  <si>
    <t>(二)ㄋㄧㄝˋ niè（03052）</t>
  </si>
  <si>
    <t>欇</t>
  </si>
  <si>
    <t>[名]
植物名。即虎豆。豆科血藤屬，一年生蔓性草本。頂葉卵狀菱形，側葉闊卵形。夏秋間開紫色蝶形花。莢果密生白毛。</t>
  </si>
  <si>
    <t>篩</t>
  </si>
  <si>
    <t>ㄕㄞ</t>
  </si>
  <si>
    <t>shāi</t>
  </si>
  <si>
    <t>[名]
一種有密孔的竹器，可將粗細不同的顆粒分離。明．張自烈《正字通．竹部》：「篩，竹器，有孔以下物，去粗取細。」唐．李洞〈喜鸞公自蜀歸〉詩：「掃石月盈帚，濾泉花滿篩。」也稱為「篩子」。
[動]
1.用篩子過濾東西。如：「篩米」。《漢書．卷五一．賈山傳》：「縣石鑄鐘虡，篩土築阿房之宮。」
2.從孔隙中透過或漏下。多指風、光線等。如：「月光從竹簾外篩進來。」宋．范成大〈驚蟄家人子輩為易疏簾〉詩：「幽蟄夜驚雷奮地，小窗朝爽日篩簾。」
3.灑、落。《董西廂》卷七：「況是暮春天色，落紅萬點，風兒細細，雨兒微篩。」《西遊記》第八三回：「棒舉一天寒霧漫，劍迎滿地黑塵篩。」
4.斟酒、倒酒。《警世通言．卷一九．崔衙內白鷂招妖》：「衙內見篩下酒色紅，心中早驚：『如何恁地紅！』」
5.溫酒。如：「把酒篩一篩再喝！」《紅樓夢》第六三回：「兩個老婆子蹲在外面火盆上篩酒。」
6.敲打。如：「篩了幾下鑼。」《水滸傳》第四八回：「宋江又教小嘍囉篩鑼，聚攏眾好漢，且戰且走。」
7.妄言、胡言亂語。明．湯顯祖《牡丹亭》第二三齣：「則你那小鬼頭胡亂篩，俺判官頭何處買？」</t>
  </si>
  <si>
    <t>ㄕㄞˇ</t>
  </si>
  <si>
    <t>shǎi</t>
  </si>
  <si>
    <t>(一)[名]1.之語音。</t>
  </si>
  <si>
    <t>(一)ㄙㄜˋ sè（09995）</t>
  </si>
  <si>
    <t>(一)（讀音）ㄊㄡˊ tóu（02522）</t>
  </si>
  <si>
    <t>晒</t>
  </si>
  <si>
    <t>ㄕㄞˋ</t>
  </si>
  <si>
    <t>shài</t>
  </si>
  <si>
    <t>[動]
1.物體曝露在陽光下，吸收光和熱，使其乾燥。如：「晒衣服」、「晒書」。
2.將浸過藥水的底片取出，使其乾燥。如：「晒底片」。</t>
  </si>
  <si>
    <t>[名]
等差。《禮記．文王世子》：「其族食世降一等，親親之殺也。」漢．鄭玄．注：「殺，差也。」
[動]
1.減、削。《周禮．地官．廩人》：「若食不能人二釜，則令邦移民就穀，詔王殺邦用。」漢．鄭玄．注：「殺，猶減也。」
2.衰微。《呂氏春秋．恃君覽．長利》：「是故地日削，子孫彌殺。」漢．高誘．注：「殺，衰也。」
[形]
細小。《呂氏春秋．士容論．審時》：「先時者，大本而華，莖殺而不遂，葉稿短穗。後時者，小莖而麻長，短穗而厚糠，小米鉗而不香。」</t>
  </si>
  <si>
    <t>(一)ㄕㄚ shā（08796）(三)ㄕㄚˋ shà（08809）</t>
  </si>
  <si>
    <t>(一)ㄕㄚ shā（08799）</t>
  </si>
  <si>
    <t>誰</t>
  </si>
  <si>
    <t>ㄕㄟˊ</t>
  </si>
  <si>
    <t>shéi</t>
  </si>
  <si>
    <t>[代]
1.甚麼人。表疑問。如：「誰敲門哪？」
2.任何人。表斷定的口氣。如：「這種小事誰都會作。」
[副]
難道。《漢書．卷四八．賈誼傳》：「壹動而五業附，陛下誰憚而久不為此？」</t>
  </si>
  <si>
    <t>(二)（讀音）ㄕㄨㄟˊ shuí（09140）</t>
  </si>
  <si>
    <t>捎</t>
  </si>
  <si>
    <t>ㄕㄠ</t>
  </si>
  <si>
    <t>shāo</t>
  </si>
  <si>
    <t>[動]
1.順便請人攜帶物品。如：「捎信」、「捎帶」。《水滸傳》第五六回：「先父臨終之日，留下這些東西，教寄與哥哥做遺念。為因無心腹之人，不曾捎來。」
2.拂、掠。唐．白居易〈新樂府．秦吉了〉：「鳶捎乳燕一巢覆，烏啄母雞雙眼枯。」明．沈周〈題畫〉：「西風捎鬢腳，直得不梳頭。」
3.割除。漢．張衡〈東京賦〉：「捎魑魅，斮獝狂。」三國魏．曹植〈野田黃雀行〉：「拔劍捎羅網，黃雀得飛飛。」</t>
  </si>
  <si>
    <t>(二)ㄕㄠˋ shào（08885）</t>
  </si>
  <si>
    <t>弰</t>
  </si>
  <si>
    <t>[名]
1.弓的兩端。《集韻．平聲．肴韻》：「弰，弓末。」北周．庾信〈擬詠懷詩〉二七首之一五：「輕雲飄馬足，明月動弓弰。」
2.泛指弓。唐．劉禹錫〈壯士行〉：「壯士走馬去，鐙前彎玉弰。」</t>
  </si>
  <si>
    <t>梢</t>
  </si>
  <si>
    <t>[名]
1.樹枝的末端。如：「樹梢」、「柳梢」。
2.事物或時間的末尾。如：「眉梢」、「髮梢」。宋．楊萬里〈月下杲飲〉詩七首之三：「一年過暑一番愁，六月梢時七月頭。」
3.小木柴。《淮南子．兵略》：「曳梢肆柴，揚塵起堨，所以營其目者。」
4.竿子。《漢書．卷二二．禮樂志》：「飾玉梢以舞歌，體招搖若永望。」
5.旌旗上的飄帶。通「旓」。《漢書．卷八七．揚雄傳上》：「揚左纛，被雲梢。」</t>
  </si>
  <si>
    <t>稍</t>
  </si>
  <si>
    <t>[副]
1.略微。如：「請稍候」、「稍縱即逝」。
2.頗、甚。《文選．江淹．恨賦》：「紫臺稍遠，關山無極。」唐．柳宗元〈與崔策登西山〉詩：「謫居安所習？稍厭從紛擾。」
3.已經。唐．趙冬曦〈和尹懋秋夜遊灉湖〉詩二首之一：「山暗雲猶辨，潭幽月稍來。」
4.正、方才。宋．陳師道〈寄晁無斁春懷〉詩：「稍聽春鳥語叮嚀，又見官池出斷冰。」
[名]
1.俸祿。《儀禮．聘禮》：「赴者至，則衰而出，唯稍受之。」漢．鄭玄．注：「稍，廩食也。」
2.錢財、賭本。《喻世明言．卷二一．臨安里錢婆留發跡》：「公子寬坐，容在下回家去，再取稍來決賭何如？」
3.姓。如漢代有稍騰。</t>
  </si>
  <si>
    <t>(二)（又音）ㄕㄠˋ shào（08887）</t>
  </si>
  <si>
    <t>旓</t>
  </si>
  <si>
    <t>[名]
古代裝飾旌旗的飄帶。《文選．揚雄．甘泉賦》：「建光燿之長旓兮，昭華覆之威威。」</t>
  </si>
  <si>
    <t>萷</t>
  </si>
  <si>
    <t>[名]
樹梢。同「梢」。《楚辭．宋玉．九辯》：「萷櫹槮之可哀兮，形銷鑠而瘀傷。」</t>
  </si>
  <si>
    <t>(二)ㄕㄨㄛˋ shuò（09127）</t>
  </si>
  <si>
    <t>(一)ㄒㄧㄠ xiāo（06994）</t>
  </si>
  <si>
    <t>筲</t>
  </si>
  <si>
    <t>[名]_x000D_
1.裝筷子的竹器。清．王念孫《廣雅疏證．卷七下．釋器》：「筲，箸筩也。」_x000D_
2.古代用來裝飯的竹器，可容納一斗二升。《新唐書．卷二二二．南蠻傳下．兩爨蠻傳》：「飯用竹筲摶而啖之，烏杯貯羹如雞彞。」唐．陸龜蒙〈奉和襲美新秋言懷〉詩：「白菌盈枯櫱，黃精滿綠筲。」_x000D_
3.大陸北方地區一帶稱挑水的水桶為「筲」。_x000D_
[形]_x000D_
參見「斗筲」條。</t>
  </si>
  <si>
    <t>艄</t>
  </si>
  <si>
    <t>[名]
1.船尾。《醒世恆言．卷三二．黃秀才徼靈玉馬墜》：「但前艙貨物充滿，只可以艄頭存生，夜間在火艙歇宿。」《儒林外史》第五一回：「在艄上一個夾剪艙底下，拿出一個大口袋來。」
2.船舵。如：「掌艄」。《初刻拍案驚奇》卷二二：「從此只在往來船隻上，替他執艄度日。」</t>
  </si>
  <si>
    <t>[名]
拴在鞭子上頭的細皮條。《晉書．卷一一四．苻堅載記下》：「長鞘馬鞭擊左股，太歲南行當復虜。」</t>
  </si>
  <si>
    <t>(一)ㄑㄧㄠˋ qiào（06389）</t>
  </si>
  <si>
    <t>䈰</t>
  </si>
  <si>
    <t>[名]
1.用細竹條製成的刷鍋用具。《說文解字．竹部》：「䈰，陳留謂飯帚曰䈰。」
2.古代盛飯的竹器。《說文解字．竹部》：「䈰，一曰飯器，容五升。」
3.裝筷子的竹筒。《說文解字．竹部》：「䈰，一曰宋、魏謂箸筩為䈰。」
4.桶子。如：「水䈰」。</t>
  </si>
  <si>
    <t>髾</t>
  </si>
  <si>
    <t>[名]
1.髮梢。《廣韻．平聲．肴韻》：「髾，髮尾。」《宋史．卷四八九．外國傳五．占城傳》：「撮髮為髻，散垂餘髾於其後。」
2.古代婦女衣服上的飾物，形似燕尾。《漢書．卷五七．司馬相如傳上》：「衯衯裶裶，揚衪戌削，蜚襳垂髾。」唐．顏師古．注：「髾謂燕尾之屬，皆衣上假飾，非髻垂也。」
3.旌旗上所垂飾的羽毛。《後漢書．卷六〇上．馬融傳》：「曳長庚之飛髾，載日月之太常。」</t>
  </si>
  <si>
    <t>䈾</t>
  </si>
  <si>
    <t>[名]
船舵的尾端。明．張自烈《正字通．竹部》：「䈾，俗呼船舵尾曰䈾。」
[動]
搖動。《文選．馬融．長笛賦》：「故其應清風也，纖末奮䈾。」</t>
  </si>
  <si>
    <t>燒</t>
  </si>
  <si>
    <t>[動]
1.使東西著火。如：「燃燒」。唐．白居易〈賦得古原草送別〉詩：「野火燒不盡，春風吹又生。」
2.加熱使物體發生變化。如：「燒飯」、「燒水」、「燒炭」、「燒磚」。
3.一種烹調方法：(1)先用油炸，再加湯汁來炒或煮。如：「燒茄子」、「紅燒鯉魚」。(2)烤。如：「燒烤」、「叉燒」。
[名]
人因病而體溫失常，發生高熱。如：「發燒」。
[形]
1.燒烤的。如：「燒餅」、「燒雞」、「燒鴨」。
2.在音響界極受注目的。如：「這一張紀念莫札特二百年的選曲唱片，是一張狂熱的燒碟。」</t>
  </si>
  <si>
    <t>ㄕㄠˊ</t>
  </si>
  <si>
    <t>sháo</t>
  </si>
  <si>
    <t>[名]
1.舀東西的器具。如：「鐵勺」、「湯勺」。
2.量詞：(1)計算容量的單位。公制一勺等於百分之一公升。也稱為「公勺」。(2)計算勺子容裝物的單位。如：「一勺水」。</t>
  </si>
  <si>
    <t>(二)ㄓㄨㄛˊ zhuó（08028A）(三)ㄕㄨㄛˋ shuò（09115）</t>
  </si>
  <si>
    <t>[名]
取水、舀東西的器具。同「勺」。《文選．李康．運命論》：「則執杓而飲河者，不過滿腹。」</t>
  </si>
  <si>
    <t>(一)ㄅㄧㄠ biāo（00433）</t>
  </si>
  <si>
    <t>芍</t>
  </si>
  <si>
    <t>參見「芍藥」條。</t>
  </si>
  <si>
    <t>(二)（讀音）ㄕㄨㄛˋ shuò（09117）</t>
  </si>
  <si>
    <t>[名]
古代虞舜時的樂名曲稱。同「韶」。《史記．卷一．五帝本紀》：「禹乃與九招之樂。」</t>
  </si>
  <si>
    <t>(一)ㄓㄠ zhāo（07706）(三)ㄑㄧㄠˊ qiáo（06362）</t>
  </si>
  <si>
    <t>韶</t>
  </si>
  <si>
    <t>[名]
1.相傳為古代虞舜時的樂曲名稱。《說文解字．音部》：「韶，虞舜樂也。」
2.姓。如晉代有韶石。
[形]
美好的。如：「韶光易逝」。南朝宋．鮑照〈發後渚〉詩：「華志分馳年，韶顏慘驚節。」</t>
  </si>
  <si>
    <t>少</t>
  </si>
  <si>
    <t>ㄕㄠˇ</t>
  </si>
  <si>
    <t>shǎo</t>
  </si>
  <si>
    <t>[形]
不多。如：「稀少」、「和平日相比，她今天的話好像少了一點。」
[動]
1.短缺、不夠。如：「米麵是一天不可少的。」、「少了一個人，不知有沒有候補的？」
2.二數相較的差。如：「五比八少三。」
3.丟失、遺失。如：「我屋裡少了幾件東西，你們知不知道？」
4.輕視、不滿。《史記．卷六九．蘇秦傳》：「顯王左右素習知蘇秦，皆少之，弗信。」
[副]
1.不久、短時間。《孟子．萬章上》：「始舍之，圉圉焉，少則洋洋焉，攸然而逝。」
2.不經常的。如：「這是少有的事。」
3.略微、稍微。《莊子．徐无鬼》：「今予病少痊，予又且復遊於六合之外。」《史記．卷一一〇．匈奴傳》：「兒能騎羊，引弓射鳥鼠；少長則射狐兔，用為食。」</t>
  </si>
  <si>
    <t>(二)ㄕㄠˋ shào（08878）</t>
  </si>
  <si>
    <t>ㄕㄠˋ</t>
  </si>
  <si>
    <t>shào</t>
  </si>
  <si>
    <t>[形]
年幼的、年輕的。如：「少男」、「少女」、「少爺」。
[名]
1.幼年或年輕的時候。《墨子．兼愛中》：「少失其父母者，有所放依而長。」三國魏．嵇康〈與山巨源絕交書〉：「此由禽鹿，少見馴育，則服從教制。」
2.年輕的人。《晉書．卷八〇．列傳．王羲之》：「王氏諸少並佳。」《儒林外史》第四一回：「那些好事的惡少，都一傳兩，兩傳三的來物色，非止一日。」
3.姓。如漢代有少年唯。</t>
  </si>
  <si>
    <t>(一)ㄕㄠˇ shǎo（08877）</t>
  </si>
  <si>
    <t>[名]
1.國名。周畿內國，故址約在今大陸地區陝西省岐山縣西南。
2.姓。如漢代有召平。</t>
  </si>
  <si>
    <t>(一)ㄓㄠˋ zhào（07716）</t>
  </si>
  <si>
    <t>卲</t>
  </si>
  <si>
    <t>[形]
高尚、美好。同「劭」。如：「年高德卲」。</t>
  </si>
  <si>
    <t>劭</t>
  </si>
  <si>
    <t>[動]
勸勉。《漢書．卷一〇．成帝紀》：「先帝劭農，薄其租稅，寵其彊力，令與孝弟同科。」
[形]
優美、高尚。如：「才劭」、「年高德劭」。</t>
  </si>
  <si>
    <t>邵</t>
  </si>
  <si>
    <t>[名]
1.地名。春秋時晉邑，故址約在今大陸地區河南省濟源縣西。
2.姓。如三國時魏國有邵登，清代有邵長蘅。</t>
  </si>
  <si>
    <t>袑</t>
  </si>
  <si>
    <t>[名]
褲子上半褲襠的部分。《說文解字．衣部》：「袑，褲上也。」《漢書．卷八三．朱博傳》：「官屬多褒衣大袑，不中節度。」</t>
  </si>
  <si>
    <t>紹</t>
  </si>
  <si>
    <t>[動]
1.接續、繼承。如：「紹業」、「克紹箕裘」。《書經．盤庚上》：「紹復先王之大業，底綏四方。」
2.從中引薦。如：「介紹」。《戰國策．趙策三》：「勝請為紹介而見之於將軍。」《晏子春秋．內篇．問下》：「諸侯之交，紹而相見，辭之有所隱也。」
[名]
姓。如明代有紹陽。</t>
  </si>
  <si>
    <t>[動]
1.退後。如：「巷口狹窄，請把車子往後捎捎。」
2.退去、退除。如：「捎色」。
3.擊打。宋．李燾《續資治通鑑長編．卷四八五．哲宗紹聖四年》：「時有賊馬至好水、峗濟嚕、新結溝等處濳伏伺隙，欲出捎擊糧道。」明．朱權《卓文君》第二折：「也不用蜂媒蝶使，更何須燕侶鶯儔，硬撞八鳳窟鸞穴，只消我移宮換羽，便是我捎關打節。」
4.雨水濺入、雨水敲打。通「潲」。如：「把窗戶關上！雨捎進來了。」宋．葛天民〈荷&amp;f50fc_.gif;浦中〉詩：「急雨捎荷分外奇，珠璣狼籍錦紛披。」</t>
  </si>
  <si>
    <t>(一)ㄕㄠ shāo（08858）</t>
  </si>
  <si>
    <t>哨</t>
  </si>
  <si>
    <t>[名]
1.駐兵擔任巡邏警戒的人或崗位。如：「放哨」、「崗哨」。
2.用來示警的吹器。如：「哨子」。
3.將手指放在嘴裡，或將嘴脣撮成圓形，用力向外吹氣所發出的尖銳聲音。如：「他的口哨吹得挺好。」</t>
  </si>
  <si>
    <t>(一)ㄕㄠ shāo（08861）</t>
  </si>
  <si>
    <t>潲</t>
  </si>
  <si>
    <t>[名]
臭汁，或淘米水做成的豬食。《玉篇．水部》：「潲，臭汁也。」《廣韻．去聲．效韻》：「潲，豕食。」
[動]
雨水斜落。《廣韻．去聲．效韻》：「潲，雨濺也。」如：「潲雨」、「西潲」。</t>
  </si>
  <si>
    <t>收</t>
  </si>
  <si>
    <t>ㄕㄡ</t>
  </si>
  <si>
    <t>shōu</t>
  </si>
  <si>
    <t>[動]
1.拘押、捉拿。如：「收押禁見」、「收捕罪犯」、「收妖降奸」。
2.收回、取回。如：「收復」、「資源回收」、「鳴金收兵」。
3.獲得、索取。如：「收入」、「收支」、「徵收稅款」。
4.接到、接受。如：「收信」、「簽收」、「驗收」、「查收」、「接收」。
5.割取成熟的農作物。如：「秋收冬藏」、「收割稻子」。
6.保存儲藏。如：「收藏」、「這張字畫，要小心收好！」
7.聚斂、縮合。如：「收斂」、「收縮」、「把傘收起來，擺到門外。」、「瘡傷已經收口兒了。」
8.容納、接納。如：「收容」、「收留」、「這本詩集收了他的詩。」
9.整飭、整理。如：「收拾行李」、「院子的雜物，趕快收一收，客人快來了。」
10. 埋葬。如：「收埋屍體」。《左傳．僖公三十二年》：「必死是間，余收爾骨焉。」
11. 購買。如：「大肆收購一番。」、「專收便宜貨。」
12. 結束、停止。如：「收工」、「收攤」、「收假」。
13. 控制、約束。如：「收不住腳」、「收心不想」。</t>
  </si>
  <si>
    <t>熟</t>
  </si>
  <si>
    <t>ㄕㄡˊ</t>
  </si>
  <si>
    <t>shóu</t>
  </si>
  <si>
    <t>(一)（讀音）ㄕㄨˊ shú（09073）</t>
  </si>
  <si>
    <t>手</t>
  </si>
  <si>
    <t>ㄕㄡˇ</t>
  </si>
  <si>
    <t>shǒu</t>
  </si>
  <si>
    <t>[名]
1.人體的上肢。如：「右手」、「手腦並用」。
2.從事某種事情或擅長某種技藝的人。如：「水手」、「選手」、「國手」、「高手」。
3.做事的人。如：「助手」、「幫手」、「人手不足」。
4.技能、本領。如：「在運動方面，他真有一手。」
5.作法。如：「眼高手低」、「心狠手辣」。
6.二一四部首之一。
[形]
1.親手寫的。如：「手諭」、「手書」、「手抄」。
2.與手有關的。如：「手杖」、「手榴彈」。
3.小巧的、便於攜帶的。如：「手冊」。</t>
  </si>
  <si>
    <t>掱</t>
  </si>
  <si>
    <t>[名]
扒手。清．徐珂《清稗類鈔．盜賊類．掱手》：「滬人呼翦綹賊曰掱手，猶言扒手也，亦曰癟三碼子。」</t>
  </si>
  <si>
    <t>守</t>
  </si>
  <si>
    <t>[名]
1.官職、職責。《漢書．卷三〇．藝文志》：「墨家者流，蓋出於清廟之守。」元．關漢卿《謝天香》第四折：「官守所拘，功名在念，豈飲酒。」
2.職官名。古代一郡的行政長官。如：「郡守」、「太守」。
3.節操、品性。如：「操守」。《禮記．儒行》：「劫之以眾，沮之以兵，見死不更其守。」
4.姓。如宋代有守恭。
[動]
1.防衛、保護。如：「防守」、「駐守」、「堅守」。
2.保持、堅持。如：「守信」、「守節」、「墨守成規」、「守身如玉」。
3.遵行。如：「恪守」、「守法」、「遵守」、「守規律」。
4.等待。如：「守候」、「獨守」、「守歲」、「空守一夜」。
5.依賴、依傍。《水滸傳》第一八回：「自和他父親宋太公在村中務農，守些田園過活。」</t>
  </si>
  <si>
    <t>(一)ㄕㄡˋ shòu（08896）</t>
  </si>
  <si>
    <t>首</t>
  </si>
  <si>
    <t>[名]
1.頭、腦袋。如：「頓首」、「叩首」、「昂首闊步」、「搔首弄姿」。
2.領袖、帶頭的人。如：「元首」、「罪魁禍首」、「群龍無首」。
3.開端、開始。如：「歲首」、「篇首」。
4.要領。《書經．秦誓》：「予誓告汝，群言之首。」
5.量詞。計算詩、詞、歌曲等的單位。如：「一首小詩」、「兩首歌」。
6.方、邊。如：「右首」、「東首」、「上首」。
7.二一四部首之一。
[形]
最高的、第一的。如：「首次」、「首富」、「首席代表」。
[副]
開始、最先的。如：「首創先例」、「首當其衝」。
[動]
1.朝向。《史記．卷九二．淮陰侯傳》：「北首燕路，而後遣辯士奉咫尺之書。」
2.出面檢舉告發或自陳罪狀。如：「出首」、「自首」。《醒世恆言．卷四．灌園叟晚逢仙女》：「我明日就將落花上枝為由，教張󹑜到府，首他以妖術惑人。」</t>
  </si>
  <si>
    <t>艏</t>
  </si>
  <si>
    <t>[名]
造船工程上指船首。</t>
  </si>
  <si>
    <t>ㄕㄡˋ</t>
  </si>
  <si>
    <t>shòu</t>
  </si>
  <si>
    <t>通「狩」。參見「巡守」條。</t>
  </si>
  <si>
    <t>(一)ㄕㄡˇ shǒu（08893）</t>
  </si>
  <si>
    <t>狩</t>
  </si>
  <si>
    <t>[動]
1.打獵。《詩經．魏風．伐檀》：「不狩不獵，胡瞻爾庭有縣貆兮。」《列子．黃帝》：「趙襄子率徒十萬，狩於中山。」
2.參見「巡狩」條。</t>
  </si>
  <si>
    <t>受</t>
  </si>
  <si>
    <t>[動]
1.收得、接獲。如：「受到優待」、「受之有愧」。唐．李白〈聞李太尉大舉秦兵百萬出征東南懦夫請纓冀申一割之用半道病還留別金陵崔侍御十九韻〉：「三軍受號令，千里肅雷霆。」
2.容納、容忍。如：「承受」、「受不了」。《易經．咸卦．象曰》：「山上有澤，咸君子以虛受人。」唐．杜甫〈南鄰〉詩：「秋水纔深四五尺，野航恰受兩三人。」
3.被、遭到。如：「受挫」、「受凍」、「受批評」、「受驚嚇」。
[副]
中、適合。如：「他說的話很受聽。」</t>
  </si>
  <si>
    <t>授</t>
  </si>
  <si>
    <t>[動]
1.給與、交與。《說文解字．手部》：「授，予也。」如：「授權」、「授旗」。《禮記．曲禮上》：「女不雜坐，不同椸枷，不同巾櫛，不親授。」
2.以學術相傳習。如：「講授」、「函授」、「傳授」。《三國志．卷四三．蜀書．王平傳》：「其所識不過十字，而口授作書，皆有意理。」
3.任命。《晉書．卷九二．文苑傳．左思傳》：「父雍，起小吏，以能擢授殿中侍御史。」</t>
  </si>
  <si>
    <t>綬</t>
  </si>
  <si>
    <t>[名]
繫在玉飾或印信上的絲帶。如：「印綬」、「紫綬」。《文選．孔稚珪．北山移文》：「至其紐金章，綰墨綬，跨屬城之雄，冠百里之首。」</t>
  </si>
  <si>
    <t>售</t>
  </si>
  <si>
    <t>[動]
1.賣出。如：「銷售」、「零售」、「拋售」。南朝梁．劉勰《文心雕龍．定勢》：「是楚人鬻矛譽楯，兩難得而俱售也。」
2.實現、實行。如：「奸計不售」、「詭計得售」。唐．韓愈〈讀墨子〉：「余以為辯生於末學，各務售其師之說。」</t>
  </si>
  <si>
    <t>壽</t>
  </si>
  <si>
    <t>[名]
1.長久、長命。如：「福壽雙全」。《詩經．小雅．天保》：「如月之恆，如日之升，如南山之壽，不騫不崩。」《莊子．人間世》：「是不材之木也，無所可用，故能若是之壽。」
2.年齡。《左傳．僖公三十二年》：「爾何知中壽，爾墓之木拱矣。」
3.生日。如：「祝壽」。
4.姓。如清代有壽山。
[動]
以金、帛贈人或對尊長敬酒祝賀均稱為「壽」。《史記．卷六．秦始皇本紀》：「始皇置酒咸陽宮，博士七十人前為壽。」
[形]
生前預為死後準備裝殮用的。如：「壽衣」、「壽木」。</t>
  </si>
  <si>
    <t>瘦</t>
  </si>
  <si>
    <t>[形]
1.肌肉不豐滿。如：「瘦弱」、「瘦小」、「骨瘦如柴」、「燕瘦環肥」。
2.精赤不帶脂肪的。如：「瘦肉」、「這塊肉太肥，我要瘦一點的。」
3.纖細、不豐富。唐．白居易〈茅城驛〉詩：「地薄桑麻瘦，村貧屋舍低。」宋．陸游〈泛舟〉詩：「葉凋山寺出，溪瘦石橋高。」
4.土地瘠薄。唐．孟郊〈秋夕貧居述懷〉詩：「淺井不供飲，瘦田長廢耕。」
5.書法筆畫細而有力。唐．杜甫〈李潮八分小篆歌〉：「苦縣光和尚骨立，書貴瘦硬方通神。」
[動]
減損。如：「消瘦」。宋．李清照〈如夢令．昨夜雨疏風驟〉詞：「知否，知否，應是綠肥紅瘦。」</t>
  </si>
  <si>
    <t>獸</t>
  </si>
  <si>
    <t>[名]
總稱有四足而全身有毛的脊椎動物。如：「野獸」、「禽獸」、「走獸」。
[形]
野蠻、不合禮法的。如：「獸心」、「獸性」、「獸行」。</t>
  </si>
  <si>
    <t>山</t>
  </si>
  <si>
    <t>ㄕㄢ</t>
  </si>
  <si>
    <t>shān</t>
  </si>
  <si>
    <t>[名]
1.陸地上高起的部分。如：「崇山峻嶺」。《左傳．襄公二十五年》：「吳師奔，登山以望，見楚師不繼復逐之。」
2.墳墓。唐．李華〈含元殿賦〉：「靡迤秦山，陂陀漢陵。」
3.姓。如晉代有山濤。
4.二一四部首之一。
[形]
山中的。如：「山村」、「山寨」。</t>
  </si>
  <si>
    <t>舢</t>
  </si>
  <si>
    <t>參見「舢板」條。</t>
  </si>
  <si>
    <t>彡</t>
  </si>
  <si>
    <t>[名]
1.筆所畫的花紋。《說文解字．彡部》：「彡，毛飾畫文也。」
2.二一四部首之一。
[形]
毛長的樣子。《廣韻．平聲．銜韻》：「彡，毛長也。」</t>
  </si>
  <si>
    <t>杉科杉屬，「杉木」之簡稱，參見「杉木」條。</t>
  </si>
  <si>
    <t>(二)（語音）ㄕㄚ shā（08794）</t>
  </si>
  <si>
    <t>衫</t>
  </si>
  <si>
    <t>[名]
1.衣服的通稱。明．張自烈《正字通．衣部》：「衫，衣之通稱。」如：「衣衫」、「棉衫」。
2.單衣。如：「汗衫」、「羅衫」。唐．白居易〈寄生衣與微之因題封上〉詩：「淺色縠衫輕似霧，紡花紗褲薄於雲。」</t>
  </si>
  <si>
    <t>[名]
屋簷的角端。《廣韻．平聲．銜韻》：「髟，屋翼也。」</t>
  </si>
  <si>
    <t>(一)ㄅㄧㄠ biāo（00434）</t>
  </si>
  <si>
    <t>釤</t>
  </si>
  <si>
    <t>[名]
1.（samarium，Sm）化學元素。原子序62。灰白色金屬，質硬，主要與其他稀土元素存在於獨居石中。在空氣中會被氧化，具有高度吸收中子的能力。可用於核反應爐操縱桿及吸收中子等工業用途上，亦可供雷射材料、紅外吸光玻璃、催化劑及電子、製陶工業用。
2.姓。如明代有釤資。</t>
  </si>
  <si>
    <t>(一)ㄕㄢˋ shàn（08942）</t>
  </si>
  <si>
    <t>刪</t>
  </si>
  <si>
    <t>[動]
1.削除。如：「刪除」、「刪減」。《漢書．卷二一．律曆志》：「故刪其偽辭，取正義，著于篇。」
2.截取。《漢書．卷三〇．藝文志》：「今刪其要，以備篇籍。」</t>
  </si>
  <si>
    <t>[動]
誹謗、詆毀。《漢書．卷九三．佞幸傳．石顯傳》：「顯恐天下學士姍己。」宋．陸游〈容齋燕集詩序〉：「遇怒罵姍侮，如風葉之過吾前。」
[形]
參見「姍姍」條。</t>
  </si>
  <si>
    <t>(二)（又音）ㄒㄧㄢ xiān（07071）</t>
  </si>
  <si>
    <t>珊</t>
  </si>
  <si>
    <t>參見「珊瑚」條。</t>
  </si>
  <si>
    <t>跚</t>
  </si>
  <si>
    <t>[形]
參見「蹣跚」條。
[動]
踩、踏。元．無名氏《小尉遲》第三折：「劉無敵跚馬兒領番卒上。」元．關漢卿《五侯宴》第三折：「引著沙三去跚橇，伴著王留學調鬼。」</t>
  </si>
  <si>
    <t>芟</t>
  </si>
  <si>
    <t>[動]
1.除草。《說文解字．艸部》：「芟，刈草也。」《詩經．周頌．載芟》：「載芟載柞，其耕澤澤。」漢．毛亨．傳：「除草曰芟，除木曰柞。」
2.削除。通「刪」。《三國志．卷一三．魏書．王朗傳》：「賴先王芟除寇賊。」南朝梁．劉勰《文心雕龍．鎔裁》：「芟繁剪穢，弛於負擔。」
[名]
大鐮刀。《國語．齊語》：「耒、耜、耞、芟。」三國吳．韋昭．注：「芟，大鐮，所以芟草也。」唐．柳宗元〈宥蝮蛇文〉：「彼樵豎持芟，農夫執耒，不幸而遇，將除其害。」</t>
  </si>
  <si>
    <t>苫</t>
  </si>
  <si>
    <t>[動]
覆蓋。宋．陸游〈幽居歲暮〉詩五首之五：「刈茅苫鹿屋，插棘護雞栖。」《西遊記》第三七回：「你那衣服，半邊苫身，半邊露臂。」
[名]
1.以草編成的覆蓋物。清．汪中〈先母鄒孺人靈表〉：「再徙北城，所居止三席地，其左無壁，覆之以苫。」
2.以草編成的墊蓆，居喪時使用，以示哀戚。《儀禮．喪服》：「居倚廬，寢苫枕塊，哭晝夜無時。」唐．賈公彥．疏：「外寢苫者，哀親之在草。」</t>
  </si>
  <si>
    <t>笘</t>
  </si>
  <si>
    <t>[名]
古代童子學習書法所用的板子，通常以竹製而成。《說文解字．竹部》：「笘，折竹箠也。……潁川人名小兒所書寫為笘。」</t>
  </si>
  <si>
    <t>扇</t>
  </si>
  <si>
    <t>[動]
1.搖動扇子使空氣流通而生風。通「搧」。《淮南子．人間》：「武王蔭暍人於樾下，左擁而右扇之，而天下懷其德。」
2.從旁鼓動，挑撥事端。通「煽」。如：「扇動」。《後漢書．卷七四下．劉表傳》：「初，荊州人情好擾，加四方駭震，寇賊相扇，處處麋沸。」</t>
  </si>
  <si>
    <t>(一)ㄕㄢˋ shàn（08940）</t>
  </si>
  <si>
    <t>搧</t>
  </si>
  <si>
    <t>[動]
1.用手摑臉。如：「搧他一個大耳光。」
2.搖動扇子使生風。如：「搧火」、「搧煙」。
3.從旁鼓動、挑撥事端。通「煽」。如：「搧動」、「搧惑」。</t>
  </si>
  <si>
    <t>煽</t>
  </si>
  <si>
    <t>[形]
火焰熾盛。《廣韻．平聲．仙韻》：「煽，火盛也。」
[動]
1.用扇子搧火，使熾盛。《水滸傳》第二四回：「王婆只做不看見，只顧在茶局裡煽風爐子，不出來問茶。」
2.以讒言或手段鼓動，挑撥人事。如：「煽動」。《晉書．卷五九．汝南王亮等傳．序》：「西晉之政亂朝危，雖由時主，然而煽其風，速其禍者，咎在八王。」</t>
  </si>
  <si>
    <t>埏</t>
  </si>
  <si>
    <t>[動]
用水和泥。參見「埏埴」條。
[名]
製造瓦器的土模。《管子．任法》：「昔者堯之治天下也，猶埴之在埏也。」</t>
  </si>
  <si>
    <t>(一)ㄧㄢˊ yán（10965）</t>
  </si>
  <si>
    <t>參見「摻摻」條。</t>
  </si>
  <si>
    <t>(二)ㄕㄢˇ shǎn（08932）(三)ㄘㄢˋ càn（09787）(四)ㄔㄢ chān（08350）</t>
  </si>
  <si>
    <t>襂</t>
  </si>
  <si>
    <t>[名]
旌旗上的正幅。同「縿」。《集韻．平聲．銜韻》：「縿，《說文》：『旌旗之游也。』一曰正幅，或作襂。」</t>
  </si>
  <si>
    <t>縿</t>
  </si>
  <si>
    <t>[名]
旌旗上的正幅。《周禮．春官．巾車》「建大常，十有二斿」句下漢．鄭玄．注：「大常，九旗之畫日月者，正幅為縿，斿則屬焉。」</t>
  </si>
  <si>
    <t>潸</t>
  </si>
  <si>
    <t>[副]
流淚的樣子。《詩經．小雅．大東》：「睠言顧之，潸焉出涕。」《紅樓夢》第二九回：「都低著頭細嚼這句的滋味，都不覺潸然泣下。」</t>
  </si>
  <si>
    <t>[動]
割除、去除。《漢書．卷四八．賈誼傳》：「故蔪去不義諸侯，而虛其國。」</t>
  </si>
  <si>
    <t>(一)ㄐㄧㄢˋ jiàn（05819）(三)ㄐㄧㄢ jiān（05760）</t>
  </si>
  <si>
    <t>羊身上的臊味。同「羶」。《列子．周穆王》：「王之嬪御，膻惡而不可親。」</t>
  </si>
  <si>
    <t>(二)ㄉㄢˋ dàn（02023A）</t>
  </si>
  <si>
    <t>羶</t>
  </si>
  <si>
    <t>[名]
羊身上的臊味。《廣韻．平聲．仙韻》：「羶，羊臭也。」宋．陸游〈書事〉詩：「醪酒芳醇偏易醉，胡羊肥美了無羶。」</t>
  </si>
  <si>
    <t>閃</t>
  </si>
  <si>
    <t>ㄕㄢˇ</t>
  </si>
  <si>
    <t>shǎn</t>
  </si>
  <si>
    <t>[動]
1.探頭窺視。《三國志．卷一五．魏書．梁習傳》「思亦能吏，然苛碎無大體」句下裴松之注引《魏略》：「白日常自於牆壁間闚閃。」
2.避開、躲避。元．曾瑞〈四塊玉．官況甜〉曲：「讎多恩少人皆厭，業貫盈，橫禍添，無處閃。」《警世通言．卷二〇．計押番金鰻產禍》：「掇開門閃身入去，隨手關了。」
3.突然顯現、忽隱忽現。如：「閃光」、「腦中閃過一個念頭。」
4.弄、逼迫。《水滸傳》第一一回：「誰想今日被高俅這賊坑陷了我這一場，……閃得我有家難奔，有國難投，受此寂寞。」
5.拋棄、撇下。元．馬致遠《青衫淚》第二折：「你好下得白解元，閃下我女少年。」《西遊記》第二回：「怎麼一去許久，把我們俱閃在這裡。」
6.扭傷、挫傷。如：「閃了腰」。元．王實甫《西廂記．第四本．第二折》：「夫人休閃了手，且息怒停嗔。」
[名]
1.雷電所發出的光。如：「西邊又打閃，可能快下雨了。」
2.差錯、危險。如：「萬一有什麼閃失，我如何向你父母交代？」《水滸傳》第一二回：「不想又吃了這一閃！高太尉，你忒毒害，恁地剋剝！」</t>
  </si>
  <si>
    <t>陝</t>
  </si>
  <si>
    <t>[名]
1.地名。即今大陸地區河南省陝縣，周初為周公、召公分治的界限。
2.大陸地區陝西省的簡稱。如：「陝北」。
3.姓。如明代有陝通。</t>
  </si>
  <si>
    <t>睒</t>
  </si>
  <si>
    <t>[形]
眼睛快速一瞥的樣子。《說文解字．目部》：「睒，暫視貌。」
[動]
窺視。漢．揚雄《太玄經．卷六．瞢》：「瞢復睒天，不睹其軫。」</t>
  </si>
  <si>
    <t>[動]
持、握住。《詩經．鄭風．遵大路》：「遵大路兮，摻執子之袪兮。」唐．李白〈感時留別從兄徐王延年從弟延陵〉詩：「摻袂何所道，援毫投此辭。」</t>
  </si>
  <si>
    <t>(一)ㄕㄢ shān（08923）(三)ㄘㄢˋ càn（09787）(四)ㄔㄢ chān（08350）</t>
  </si>
  <si>
    <t>汕</t>
  </si>
  <si>
    <t>ㄕㄢˋ</t>
  </si>
  <si>
    <t>shàn</t>
  </si>
  <si>
    <t>[形]
魚游來游去的樣子。《說文解字．水部》：「汕，魚游水貌。」
[名]
用竹子編成的捕魚工具。《爾雅．釋器》：「罺謂之汕。」晉．郭璞．注：「今之撩罟。」</t>
  </si>
  <si>
    <t>疝</t>
  </si>
  <si>
    <t>參見「疝氣」條。</t>
  </si>
  <si>
    <t>訕</t>
  </si>
  <si>
    <t>[動]
毀謗、嘲諷。《論語．陽貨》：「惡居下流而訕上者。」《孟子．離婁下》：「與其妾訕其良人，而相泣於中庭。」
[形]
參見「訕臉」、「訕訕」等條。</t>
  </si>
  <si>
    <t>赸</t>
  </si>
  <si>
    <t>[動]
1.跳躍。清．洪昇《長生殿》第一七齣：「馬蹄兒潑剌剌旋風赸。」徐朔方．注：「赸，跳躍。」
2.離開、散去。元．王實甫《西廂記．第三本．第二折》：「你也赸，我也赸；請先生休訕，早尋個酒闌人散。」</t>
  </si>
  <si>
    <t>(一)ㄓㄚˋ zhà（07648）</t>
  </si>
  <si>
    <t>剡</t>
  </si>
  <si>
    <t>參見「剡溪」條。</t>
  </si>
  <si>
    <t>(一)ㄧㄢˇ yǎn（11002）</t>
  </si>
  <si>
    <t>掞</t>
  </si>
  <si>
    <t>[動]
舒展、發舒。《三國志．卷四五．蜀書．鄧張宗楊傳．鄧芝》：「丁厷掞張，陰化不盡；和合二國，唯有鄧芝。」《集韻．去聲．豔韻》：「掞，舒也。」</t>
  </si>
  <si>
    <t>(二)ㄧㄢˋ yàn（11033）</t>
  </si>
  <si>
    <t>[名]
1.門扉。《老殘遊記》第一四回：「也有桌椅板凳，也有窗戶門扇。」
2.搖動生風的用具。如：「摺扇」、「團扇」、「電風扇」。
3.量詞。計算板狀物或片狀物的單位。如：「一扇門板」、「兩扇窗子」。
4.去勢的、割掉睪丸的。通「騸」。《新五代史．卷二四．郭崇韜傳》：「當盡去宦官，至於扇馬，亦不可騎。」</t>
  </si>
  <si>
    <t>(二)ㄕㄢ shān（08919）</t>
  </si>
  <si>
    <t>騸</t>
  </si>
  <si>
    <t>[動]
1.閹割牲畜、動物。《西遊記》第三九回：「點汙他不得，他是個騸了的獅子。」
2.截去主根，培植果樹。元．魯明善《農桑衣食撮要．卷上．騸諸色果木樹》：「樹芽未生之時，於根旁掘土，須要寬深，尋纂心釘地根截去，留四邊亂根勿動，卻用土覆蓋，築令實，則結果肥大，勝插接者，謂之騸樹。」</t>
  </si>
  <si>
    <t>[名]
長柄的大鐮刀。唐．韓愈〈鳳翔隴州節度使李公墓誌銘〉：「鑄鎛、釤、鉏、斸，以給農之不能自具者。」
[動]
割、劈。《抱朴子．外篇．博喻》：「猶釤禾以討蝗蟲，伐木以殺蠹蝎。」元．王實甫《西廂記．第二本．楔子》：「遠的破開步將鐵棒颩，近的順著手把戒刀釤。」</t>
  </si>
  <si>
    <t>(二)ㄕㄢ shān（08911）</t>
  </si>
  <si>
    <t>善</t>
  </si>
  <si>
    <t>[名]
1.美好的事。如：「日行一善」、「為善最樂」、「隱惡揚善」。
2.有德行的人、好人。《禮記．中庸》：「送往迎來，嘉善而矜不能，所以柔遠人也。」
3.姓。如宋代有善辰。
[動]
1.親善、交好。《左傳．隱公六年》：「親仁善鄰，國之寶也。」《後漢書．卷七〇．孔融傳》：「與蔡邕素善。」
2.喜好、喜愛。《左傳．襄公三十一年》：「其所善者，吾則行之；其所惡者，吾則改之。」《楚辭．屈原．離騷》：「亦余心之所善兮，雖九死其猶未悔。」
3.愛惜。《荀子．彊國》：「故善日者王，善時者霸。」
[形]
1.美好的。如：「善人」、「善事」、「善行」。
2.熟悉的。如：「面善」。
[副]
1.擅長。如：「能歌善舞」、「英勇善戰」。《禮記．學記》：「善歌者使人繼其聲，善教者使人繼其志。」
2.容易。如：「善變」、「善疑」、「多愁善感」、「善解人意」。
[歎]
表讚美、稱許之詞。《文選．枚乘．七發》：「太子曰：『善！願復聞之！』」</t>
  </si>
  <si>
    <t>鄯</t>
  </si>
  <si>
    <t>參見「鄯善」條。</t>
  </si>
  <si>
    <t>墡</t>
  </si>
  <si>
    <t>[名]
白埴土。可與油攪和在一起，塗飾門牆。《玉篇．土部》：「墡，白堊名，白墡也。」俗稱為「白墡」。</t>
  </si>
  <si>
    <t>膳</t>
  </si>
  <si>
    <t>[動]
1.置備食物。《說文解字．肉部》：「膳，具食也。」
2.進獻飯食。《呂氏春秋．離俗覽．上德》：「太子祠而膳于公，麗姬易之。」
[名]
飯食。如：「早膳」、「晚膳」、「用膳」。《文選．曹植．箜篌引》：「中廚辦豐膳，烹羊宰肥牛。」</t>
  </si>
  <si>
    <t>繕</t>
  </si>
  <si>
    <t>[動]
1.修補。《說文解字．糸部》：「繕，補也。」如：「修繕」。《左傳．襄公三十年》：「聚禾粟，繕城郭。」
2.整治。《左傳．成公十六年》：「補卒乘，繕甲兵，展兵馬。」晉．杜預．注：「繕，治也。」
3.謄寫。漢．劉向〈管子書錄〉：「定著八十六篇，殺青而書可繕寫。」</t>
  </si>
  <si>
    <t>鱔</t>
  </si>
  <si>
    <t>[名]
動物名。脊椎動物亞門硬骨魚綱條鰭亞綱合鰓目。似鰻而細長，體呈赤褐色，腹呈黃色，具暗色斑點，光滑無鱗。產於淡水中，可食用。俗稱為「黃鱔」。</t>
  </si>
  <si>
    <t>[名]
1.參見「單縣」條。
2.姓。如明代有單安仁。</t>
  </si>
  <si>
    <t>(一)ㄉㄢ dān（02003）(三)ㄔㄢˊ chán（08354）</t>
  </si>
  <si>
    <t>墠</t>
  </si>
  <si>
    <t>[名]
祭祀的場地。《禮記．祭法》：「是故王立七廟，一壇一墠。」</t>
  </si>
  <si>
    <t>[名]
古代少數民族之一。居住於大陸地區雲南及越南、泰國等處。</t>
  </si>
  <si>
    <t>(一)ㄉㄢˇ dǎn（02018）</t>
  </si>
  <si>
    <t>[名]
一種有白紋的樹木，可製成梳子、杓子等器物。《禮記．玉藻》：「櫛用樿櫛，髮晞用象櫛。」</t>
  </si>
  <si>
    <t>(二)（又音）ㄓㄢˇ zhǎn（07798）</t>
  </si>
  <si>
    <t>[動]
1.祭祀天地山川。《說文解字．示部》：「禪，祭天也。」《大戴禮記．保傅》：「是以封泰山而禪梁甫。」
2.帝王讓位或傳位給他姓。如：「禪位」。《莊子．秋水》：「帝王殊禪，三代殊繼。」《史記．卷一九．惠景閒侯者年表》：「至孝惠時，唯獨長沙全，禪五世，以無嗣絕。」</t>
  </si>
  <si>
    <t>(一)ㄔㄢˊ chán（08356）</t>
  </si>
  <si>
    <t>摲</t>
  </si>
  <si>
    <t>[動]
割除、割掉。《禮記．禮器》：「君子之於禮也，……，有摲而播也。」</t>
  </si>
  <si>
    <t>同「禪」。</t>
  </si>
  <si>
    <t>(一)ㄔㄢˊ chán（08367）(二)ㄊㄢˇ tǎn（02562）</t>
  </si>
  <si>
    <t>擅</t>
  </si>
  <si>
    <t>[動]
1.專斷、獨行、包攬。《韓非子．孤憤》：「當塗之人擅事要，則外內為之用矣。」《漢書．卷四．文帝紀》：「夫以呂太后之嚴，立諸呂為三王，擅權專制。」
2.據有。《戰國策．秦策三》：「且昔者中山之地，方五百里，趙獨擅之。」
3.精於、善於。如：「擅長」、「擅繪畫」、「不擅言談」。
[副]
一味以自己的意思行事。如：「擅離職守」。《商君書．定分》：「有擅發禁室印，及入禁室視禁法令，及禁剟一字以上，罪皆死不赦。」</t>
  </si>
  <si>
    <t>嬗</t>
  </si>
  <si>
    <t>[動]
更替、演變。《史記．卷八四．屈原賈生傳》：「形氣轉續兮，變化而嬗。」</t>
  </si>
  <si>
    <t>參見「蜿蟺」條。</t>
  </si>
  <si>
    <t>(二)ㄔㄢˊ chán（08369）</t>
  </si>
  <si>
    <t>同「鱔」。</t>
  </si>
  <si>
    <t>(一)ㄓㄢ zhān（07787）</t>
  </si>
  <si>
    <t>贍</t>
  </si>
  <si>
    <t>[動]
1.供給、供養。《晉書．卷九四．陶潛傳》：「至於酒米，乏絕，亦時相贍。」唐．裴守真〈請重耕織表〉：「一夫之耕，纔兼數口；一婦之織，不贍一家。」
2.滿足。北齊．顏之推《顏氏家訓．治家》：「率能躬儉節用以贍衣食。」
3.補助、救濟。《史記．卷三二．齊太公世家》：「設輕重魚鹽之利，以贍貧窮。」《隋書．卷七〇．李密傳》：「乃散家產，賙贍親故。」
[形]
1.充足、富足。《墨子．節葬下》：「亦有力不足、財不贍、智不智，然後已矣。」《後漢書．卷一五．李通等傳．贊曰》：「李鄧豪贍，舍家從讖。」
2.文辭廣博華麗。《後漢書．卷四〇．班彪傳．論曰》：「遷文直而事覈，固文贍而事詳。」</t>
  </si>
  <si>
    <t>申</t>
  </si>
  <si>
    <t>ㄕㄣ</t>
  </si>
  <si>
    <t>shēn</t>
  </si>
  <si>
    <t>[動]
1.陳述、說明。如：「申訴」。《楚辭．屈原．九章．抽思》：「道卓遠而日忘兮，願自申而不得。」
2.舒展。通「伸」。漢．桓寬《鹽鐵論．利議》：「乃安得鼓口舌，申顏眉，預前論議是非國家之事也。」《文選．曹植．洛神賦》：「申禮防以自持。」
[名]
1.地支的第九位。
2.時辰名。約當下午三時至五時。
3.國名。故址約於今大陸地區河南省南陽縣北方。
4.姓。如戰國時韓有申不害。
[副]
再、重複。《文選．陸機．辯亡論》：「而加之以篤固，申之以節儉。」《資治通鑑．卷一一五．晉紀三十七．安帝義熙六年》：「卿且申一戰，死復何晚！」</t>
  </si>
  <si>
    <t>伸</t>
  </si>
  <si>
    <t>[動]_x000D_
1.使肢體或彈性物體由彎、短的狀態變直或變長。如：「伸懶腰」、「伸直」、「伸長」。_x000D_
2.表白、陳述。通「申」。如：「伸冤」、「伸白」。唐．李白〈春夜宴從弟桃花園序〉：「不有佳作，何伸雅懷！」</t>
  </si>
  <si>
    <t>呻</t>
  </si>
  <si>
    <t>[動]
1.吟誦、吟詠。《禮記．學記》：「今之教者，呻其佔畢，多其訊。」
2.因身心痛苦而由口中發出聲音。如：「呻吟」、「呻呼」。</t>
  </si>
  <si>
    <t>氠</t>
  </si>
  <si>
    <t>胂</t>
  </si>
  <si>
    <t>[名]
夾脊肉。《說文解字．肉部》：「胂，夾脊肉也。」段玉裁注引王弼云：「當中脊之肉也。」《黃帝內經素問．卷一一．刺腰痛論》：「刺腰尻交者，兩髁胂上。」</t>
  </si>
  <si>
    <t>砷</t>
  </si>
  <si>
    <t>[名]
（arsenic，As）化學元素。原子序33。即砒。類金屬元素之一。有黃、灰、黑褐三種同素異形體，質脆而有毒。其化合物可用於殺蟲、殺菌和醫療等方面。砷亦可與鉛、銅等製成合金。</t>
  </si>
  <si>
    <t>紳</t>
  </si>
  <si>
    <t>[名]
1.古代官員束在腰間的大帶子。《說文解字．糸部》：「紳，大帶也。」《論語．鄉黨》：「疾，君視之，東首，加朝服，拖紳。」三國魏．何晏．集解：「紳，大帶也。」
2.退職的官僚或地方上有名望的人。如：「官紳」、「鄉紳」、「土豪劣紳」。
[動]
約束。《韓非子．外儲說左上》：「書曰：『紳之束之』；宋人有治者，因重帶自紳束也。」</t>
  </si>
  <si>
    <t>[名]
1.軀體的總稱，或專指軀幹。如：「搜身」、「翻身」、「隨身攜帶」、「身長七尺」。《孟子．告子下》：「餓其體膚，空乏其身。」《楚辭．屈原．九歌．國殤》：「首身離兮心不懲。」
2.物體的中心或主要部分。如：「車身」、「船身」、「機身」。
3.生命。如：「奮不顧身」、「捨身救人」。《石點頭．卷八．貪婪漢六院賣風流》：「五臟六腑，顯出在外，方才氣斷身絕。」
4.自己。如：「以身作則」。《論語．學而》：「吾日三省吾身。」《戰國策．趙策四》：「此其近者禍及身，遠者及其子孫。」
5.品格、修養。如：「修身齊家」。《晏子春秋．內篇．問上》：「稱身就位，計能受祿。」
6.身分、地位。如：「出身寒微」、「身敗名裂」。《論語．微子》：「不降其志，不辱其身。」
7.女子懷孕稱為「有身」。《詩經．大雅．大明》：「大任有身，生此文王。」《金瓶梅》第四〇回：「一腳躡滑了，把個六、七個月身扭吊了。」
8.量詞。計算佛像數量的單位。如：「夾道兩旁有菩薩五百身。」
9.二一四部首之一。
[副]
親自。如：「身臨其境」。《墨子．號令》：「伍有罪，若能身捕罪人，若告之吏，皆構之。」
[代]
第一人稱，相當於「我」。魏、晉朝人多自稱為「身」。《三國志．卷三六．蜀書．張飛傳》：「身是張益德也，可來共決死！」南朝宋．劉義慶《世說新語．文學》：「身今日當與君共談析理。」</t>
  </si>
  <si>
    <t>(二)ㄐㄩㄢ juān（06126）</t>
  </si>
  <si>
    <t>鯓</t>
  </si>
  <si>
    <t>參見「鯤鯓」條。</t>
  </si>
  <si>
    <t>侁</t>
  </si>
  <si>
    <t>[形]
1.行走的樣子。《說文解字．人部》：「侁，行貌。」
2.眾多。晉．傅咸〈皇太子釋奠頌〉：「濟濟儒生，侁侁胄子。」</t>
  </si>
  <si>
    <t>詵</t>
  </si>
  <si>
    <t>[動]
發言、詢問。《說文解字．言部》：「詵，致言也。」
[形]
參見「詵詵」條。</t>
  </si>
  <si>
    <t>駪</t>
  </si>
  <si>
    <t>[形]
馬群眾多的樣子。《說文解字．馬部》：「駪，馬眾多貌。」</t>
  </si>
  <si>
    <t>籸</t>
  </si>
  <si>
    <t>[名]
1.糧食加工後所餘的渣滓。《玉篇．米部》：「籸，粉滓也。」元．司農司《農桑輯要．卷七．孳畜．豬》：「閹豬子待瘡口乾乎復後，取巴豆兩粒，去殼爛擣，和麻籸糟糠之類飼之。」
2.凝固的粥。《玉篇．米部》：「籸，粥凝也。」</t>
  </si>
  <si>
    <t>[動]
1.伸直、舒展。通「伸」。《易經．繫辭下》：「往者屈也，來者信也。」《漢書．卷六二．司馬遷傳》：「乃欲卬首信眉，論列是非。」
2.陳述表白。通「申」。《穀梁傳．隱公元年》：「春秋貴義而不貴惠，信道而不信邪。」</t>
  </si>
  <si>
    <t>(一)ㄒㄧㄣˋ xìn（07174）</t>
  </si>
  <si>
    <t>甡</t>
  </si>
  <si>
    <t>[形]
眾多。《說文解字．生部》：「甡，眾生並立之貌。」</t>
  </si>
  <si>
    <t>[動]
1.懷孕、懷胎。《左傳．哀公元年》：「后緡方娠，逃出自竇，歸于有仍，生少康焉。」
2.孕含、孕育。宋．蘇軾〈桂酒頌〉：「水娠黃金山空青，丹砂晨暾珠夜明。」宋．毛滂〈踏莎行．映竹幽妍〉詞：「映竹幽妍，臨池娟靚。芳苞先暖香初娠。」
[名]
身孕、胎兒。《漢書．卷一．高帝紀上》：「已而有娠，遂產高祖。」《資治通鑑．卷八三．晉紀五．惠帝元康九年》：「又詐為有娠，內稿物、產具。」</t>
  </si>
  <si>
    <t>(二)（又音）ㄓㄣˋ zhèn（07864）</t>
  </si>
  <si>
    <t>深</t>
  </si>
  <si>
    <t>[形]
1.從高到下，從表面到底部的距離很大。與「淺」相反。如：「深海」、「深淵」。
2.高奧、精微。如：「他這句話的用意很深。」
3.濃厚。如：「一往情深」、「深藍色」。
4.形容時間的久、晚。如：「年深日久」。
5.茂盛。唐．杜甫〈春望〉詩：「國破山河在，城春草木深。」
[副]
很、非常。如：「深得人緣」、「深加讚美」。</t>
  </si>
  <si>
    <t>[形]
1.長的樣子。《詩經．小雅．魚藻》：「魚在在藻，有莘其尾。」
2.眾多。如：「莘莘學子」。
[名]
姓。如宋代有莘融。</t>
  </si>
  <si>
    <t>(二)（又音）ㄒㄧㄣ xīn（07156）</t>
  </si>
  <si>
    <t>參</t>
  </si>
  <si>
    <t>[名]
1.人參、沙參等藥材的總稱。一般多指人參。
2.星宿名。二十八星宿之一，為西方白虎七宿的最後一宿。
3.星官名，參宿之首，由七顆星組成，在西方屬獵戶座。</t>
  </si>
  <si>
    <t>(一)ㄘㄢ cān（09773）(三)ㄘㄣ cēn（09788）(四)ㄙㄢ sān（10056）</t>
  </si>
  <si>
    <t>蔘</t>
  </si>
  <si>
    <t>[名]
人參。《廣韻．平聲．侵韻》：「蔘，人蔘，藥也。」宋．沈括《夢溪筆談．卷九．人事一》：「王荊公病喘，藥用紫團山人蔘，不可得。」
[形]
樹幹直立或高聳的樣子。《史記．卷一一七．司馬相如傳》：「紛容蕭蔘，旖旎從風。」</t>
  </si>
  <si>
    <t>(二)ㄙㄢ sān（10057）</t>
  </si>
  <si>
    <t>棽</t>
  </si>
  <si>
    <t>參見「棽棽」條。</t>
  </si>
  <si>
    <t>燊</t>
  </si>
  <si>
    <t>[形]
熾盛、興盛。《說文解字．焱部》：「燊，盛貌。」</t>
  </si>
  <si>
    <t>ㄕㄣˊ</t>
  </si>
  <si>
    <t>shén</t>
  </si>
  <si>
    <t>參見「什麼」條。</t>
  </si>
  <si>
    <t>(一)ㄕˊ shí（08707）(三)（(二)之又音）ㄕㄜˊ shé（08821）</t>
  </si>
  <si>
    <t>參見「甚麼」條。</t>
  </si>
  <si>
    <t>(一)ㄕㄣˋ shèn（08998）(三)（(二)之又音）ㄕㄜˊ shé（08825）</t>
  </si>
  <si>
    <t>神</t>
  </si>
  <si>
    <t>[名]
1.天地萬物的創造者與主宰者稱為「神」。如：「山神」、「天神」、「海神」。
2.聖賢或所崇拜的人死後的精靈也稱為「神」。《後漢書．卷四十四．張禹傳》：「中土皆以江有子胥之神，難於濟涉。」
3.人的精氣或注意力。如：「留神」、「傷神」、「聚精會神」。
4.姓。如漢代有神曜。
[形]
稀奇、玄妙、不平凡的。如：「神童」、「神機妙算」。</t>
  </si>
  <si>
    <t>ㄕㄣˇ</t>
  </si>
  <si>
    <t>shěn</t>
  </si>
  <si>
    <t>[名]
姓。如宋代有沈括。</t>
  </si>
  <si>
    <t>(一)ㄔㄣˊ chén（08414）</t>
  </si>
  <si>
    <t>邥</t>
  </si>
  <si>
    <t>[名]
地名。春秋時周朝的屬地。</t>
  </si>
  <si>
    <t>哂</t>
  </si>
  <si>
    <t>[動]
1.微笑。《論語．先進》：「夫子哂之。」宋．陳師道〈示三子〉詩：「喜極不得語，淚盡方一哂。」
2.譏諷、嘲笑。《晉書．卷七七．蔡謨傳》：「我若為司徒，將為後代所哂，義不敢拜也。」</t>
  </si>
  <si>
    <t>矧</t>
  </si>
  <si>
    <t>[連]
況且。晉．陶淵明〈勸農〉詩六首之四：「相彼賢達，猶勤壟畝；矧伊眾庶，曳裾拱手！」《南史．卷三五．顧覬之傳》：「死且不憚，矧伊刑罰；身且不愛，何況妻子。」
[副]
亦。《書經．康誥》：「元惡大憝，矧惟不孝不友。」
[名]
齒根。通「齗」。《禮記．曲禮上》：「笑不至矧，怒不自詈。」漢．鄭玄．注：「齒本曰矧，大笑則見。」</t>
  </si>
  <si>
    <t>[動]
魚因驚駭而四處游散。《禮記．禮運》：「故龍以為畜，故魚鮪不淰。」唐．孔穎達．正義：「淰，水中驚走也。」</t>
  </si>
  <si>
    <t>(一)ㄋㄧㄢˇ niǎn（03089）</t>
  </si>
  <si>
    <t>諗</t>
  </si>
  <si>
    <t>[動]
1.勸諫、規諫。《左傳．閔公二年》：「昔辛伯諗周桓公。」明．徐弘祖《徐霞客遊記．卷八上．滇遊日記八》：「見余過，故父子相諗而挽留余飯焉。」
2.想念、思念。《詩經．小雅．四牡》：「豈不懷歸？是用作歌，將母來諗。」三國魏．邯鄲淳〈漢鴻臚陳紀碑〉：「思齊古公，邠土是因，不忘諗國，惠我無垠。」
3.告知。《宋史．卷三六五．岳飛傳》：「世忠以書來諗，飛復曰：『均為國家，何分彼此？』」
4.知悉。同「讅」。元．戴良〈跋錢舜舉所臨閻立本西域圖〉：「因茅元禮攜至求題，姑志所聞如是，博雅君子，必有能諗之者。」
5.潛藏、四處游散。通「淰」。《孔子家語．卷七．禮運》：「故龍以為畜，而魚鮪不諗。」</t>
  </si>
  <si>
    <t>審</t>
  </si>
  <si>
    <t>[動]
1.知道、明白、清楚。同「諗」、「讅」。《史記．卷二三．禮書》：「君子審禮，則不可欺以詐偽。」《三國演義》第一一五回：「臣困鄧艾於祁山，陛下連降三詔，召臣回朝，未審聖意為何？」
2.推究、分析。《呂氏春秋．慎大覽．察今》：「故審堂下之陰，而知日月之行，陰陽之變。」
3.偵訊訴訟案件。如：「審判」、「審訊」。
4.謹慎。宋．蘇軾〈張文定公墓誌銘〉：「契丹遣使為言，卿宜審處其事。」
[副]
周密、詳細。《聊齋志異．卷一．賈兒》：「審顧之，四肢皆如人，但尾垂後部。」
[名]
姓。如漢代有審食其。</t>
  </si>
  <si>
    <t>瀋</t>
  </si>
  <si>
    <t>[名]
1.汁。《說文解字．水部》：「瀋，汁也。」如：「墨瀋未乾」。元．陶宗儀《南村輟耕錄．卷二九．墨》：「所以晉人多用凹心硯者，欲磨墨貯瀋耳。」
2.大陸地區瀋陽市的簡稱。如：「安瀋鐵路」。</t>
  </si>
  <si>
    <t>嬸</t>
  </si>
  <si>
    <t>[名]
稱謂：(1)用以稱叔父的妻子。即叔母。《集韻．上聲．寑韻》：「嬸，俗謂叔母曰嬸。」(2)用以稱丈夫的弟婦。如：「小嬸」。(3)用以尊稱結過婚的女性長輩。如：「大嬸」。</t>
  </si>
  <si>
    <t>讅</t>
  </si>
  <si>
    <t>[動]
知悉、詳知。同「審」。清．徐珂《清稗類鈔．棍騙類．飾為某王以行騙》：「僧急白鹽政，鹽政固讅某邸狀貌，又知其請假也，因偕僧赴寺。」</t>
  </si>
  <si>
    <t>瞫</t>
  </si>
  <si>
    <t>[動]
深視。《說文解字．目部》：「瞫，深視也。」</t>
  </si>
  <si>
    <t>ㄕㄣˋ</t>
  </si>
  <si>
    <t>shèn</t>
  </si>
  <si>
    <t>[動]_x000D_
以輾壓的方式拉長。《廣韻．去聲．震韻》：「抻，物長也。」</t>
  </si>
  <si>
    <t>(二)（又音）ㄔㄣ chēn（08405）</t>
  </si>
  <si>
    <t>[副]
1.很、非常。如：「甚多」、「甚好」、「甚佳」。
2.過分、過度。如：「欺人太甚」。</t>
  </si>
  <si>
    <t>(二)ㄕㄣˊ shén（08984）(三)（(二)之又音）ㄕㄜˊ shé（08825）</t>
  </si>
  <si>
    <t>[名]
1.桑樹的果實。晉．曹毗〈涉江賦〉：「紫蓮被翠波而抗英，碧椹乘天岸而星懸。」
2.木頭上所生的菌類。北周．庾信〈對雨詩〉：「濕楊生細椹，爛草變初螢。」</t>
  </si>
  <si>
    <t>(一)ㄓㄣ zhēn（07838）</t>
  </si>
  <si>
    <t>葚</t>
  </si>
  <si>
    <t>[名]
桑樹的果實。《說文解字．艸部》：「葚，桑實也。」《詩經．衛風．氓》：「于嗟鳩兮，無食桑葚。」也作「椹」。</t>
  </si>
  <si>
    <t>(二)（讀音）ㄖㄣˋ rèn（09243）</t>
  </si>
  <si>
    <t>脤</t>
  </si>
  <si>
    <t>[名]
古代帝王祭祀用的生肉。《玉篇．肉部》：「以脤膰之禮，親兄弟之國，皆社稷宗廟之肉也。」《左傳．閔公二年》：「帥師者，受命於廟，受脤於社。」</t>
  </si>
  <si>
    <t>蜃</t>
  </si>
  <si>
    <t>[名]
一種大的蛤蜊。《國語．晉語九》：「雀入于海為蛤，雉入于淮為蜃。」三國吳．韋昭．注：「小曰蛤，大曰蜃。皆介物，蚌類。」</t>
  </si>
  <si>
    <t>腎</t>
  </si>
  <si>
    <t>[名]
人體的內臟之一。位於腰部，在腰椎的兩側，呈蠶豆狀，左右共二枚，左高右低；有過濾血液中的廢料為尿液的功能，是人體中主要的排泄器官之一。也稱為「腎臟」。</t>
  </si>
  <si>
    <t>滲</t>
  </si>
  <si>
    <t>[動]
液體慢慢的浸透或漏出。如：「滲透」、「水滲到土裡去了。」</t>
  </si>
  <si>
    <t>慎</t>
  </si>
  <si>
    <t>[動]
1.小心。如：「謹慎」。《論語．學而》：「敏於事而慎於言，就有道而正焉，可謂好學也已。」南朝宋．劉義慶《世說新語．德行》：「晉文王稱阮嗣宗至慎，每與之言，言皆玄遠，未嘗臧否人物。」
2.重視。《荀子．彊國》：「必將慎禮義、務忠信然後可。」
[副]
與「勿」、「無」、「毋」等連用，表示吩咐告誡的話。《史記．卷七．項羽本紀》：「謹守成皋，則漢欲挑戰，慎勿與戰。」
[名]
姓。如晉代有慎修。</t>
  </si>
  <si>
    <t>商</t>
  </si>
  <si>
    <t>ㄕㄤ</t>
  </si>
  <si>
    <t>shāng</t>
  </si>
  <si>
    <t>[名]
1.做生意的人。如：「布商」、「米商」。漢．王充《論衡．偶會》：「富家之商，必奪貧室之財。」
2.做生意的事業。如：「經商」、「習商」。
3.五音之一。音調清勁而淒愴。如：「宮、商、角、徵、羽。」
4.朝代名。參見「商朝」條。
5.算術中某數以他數除之，所得的值稱為「商」。如：「六除以三的商為二。」
6.姓。如春秋時魏國有商鞅。
[動]
討論、計劃。《漢書．卷六九．趙充國傳》：「勤勞而至，虜必商軍進退，稍引去。」《鏡花緣》第六六回：「國舅又再再苦勸，無奈若花心如鐵石，竟無一字可商。」
[形]
秋天的。古人以秋天肅殺之氣與商聲悽愴悲涼之音相符，故稱秋為商。《楚辭．東方朔．七諫．沈江》：「商風肅而害生兮，百草育而不長。」唐．孟郊〈秋懷〉詩一六首之七：「商蟲哭衰運，繁響不可尋。」</t>
  </si>
  <si>
    <t>蔏</t>
  </si>
  <si>
    <t>參見「蔏藋」、「蔏蔞」等條。</t>
  </si>
  <si>
    <t>參見「湯湯」條。</t>
  </si>
  <si>
    <t>(一)ㄊㄤ tāng（02578）</t>
  </si>
  <si>
    <t>愓</t>
  </si>
  <si>
    <t>參見「愓愓」條。</t>
  </si>
  <si>
    <t>傷</t>
  </si>
  <si>
    <t>[名]
1.皮肉破損的地方。如：「他腿上有一處傷。」
2.姓。如春秋時宋國有傷省。
[動]
1.受傷、使受傷。《左傳．成公二年》：「郤克傷於矢，流血及屨，未絕鼓音。」《史記．卷三一．吳太伯世家》：「越因伐吳，敗之姑蘇，傷吳王闔廬指，軍卻七里。」
2.耗損、毀壞。如：「傷身」、「傷神」、「傷腦筋」。
3.妨礙。如：「無傷大雅」。唐．白居易〈效陶潛體詩〉一六首之一六：「濟水澄而潔，河水渾而黃，交流列四瀆，清濁不相傷。」
4.毀謗。如：「出口傷人」。《呂氏春秋．離俗覽．舉難》：「人傷堯以不慈之名。」
5.悲痛，使憂心悲痛。如：「傷別」、「傷慟」、「傷兮感舊」。《詩經．周南．卷耳》：「我姑酌彼兕觥，維以不永傷。」《隋書．卷七〇．李密傳》：「柴孝和溺死於洛水，密甚傷之。」</t>
  </si>
  <si>
    <t>殤</t>
  </si>
  <si>
    <t>[名]
未成年而夭折稱為「殤」。《儀禮．喪服》：「年十九至十六為長殤，十五至十二為中殤，十一至八歲為下殤。不滿八歲以下，皆為無服之殤。」</t>
  </si>
  <si>
    <t>觴</t>
  </si>
  <si>
    <t>[名]
酒杯、酒器。如：「銜觴賦詩」。《韓非子．十過》：「平公提觴而起為師曠壽。」《聊齋志異．卷一．嬌娜》：「又命以巨觴行酒，三更始罷。」
[動]
飲酒，或勸人飲酒、敬酒。《呂氏春秋．恃君覽．達鬱》：「管仲觴桓公，曰：『暮矣！』」宋．范成大〈九月三日宿胥口始聞雁〉詩：「把酒不能觴，送目問行李。」</t>
  </si>
  <si>
    <t>鬺</t>
  </si>
  <si>
    <t>[動]
烹煮。《史記．卷一二．孝武本紀》：「禹收九牧之金，鑄九鼎，皆嘗鬺烹上帝鬼神。」</t>
  </si>
  <si>
    <t>(一)ㄔㄤˊ cháng（08456）</t>
  </si>
  <si>
    <t>上</t>
  </si>
  <si>
    <t>ㄕㄤˇ</t>
  </si>
  <si>
    <t>shǎng</t>
  </si>
  <si>
    <t>參見「上聲」條。</t>
  </si>
  <si>
    <t>(一)ㄕㄤˋ shàng（09018）</t>
  </si>
  <si>
    <t>晌</t>
  </si>
  <si>
    <t>[名]
1.正午。如：「晌午」。
2.一會兒、片刻的時間。如：「他呆了半晌。」</t>
  </si>
  <si>
    <t>賞</t>
  </si>
  <si>
    <t>[動]
1.把財物賜給有功的人。如：「獎賞」、「賞賜」、「賞罰分明」。《禮記．月令》：「賞公卿諸侯大夫於朝。」
2.器重、看重。如：「賞識」。唐．孟浩然〈夏日南亭懷辛大〉詩：「欲取鳴琴彈，恨無知音賞。」
3.讚美、嘉許、宣揚。如：「讚賞」。《左傳．襄公十四年》：「善則賞之」。
4.欣賞、把玩。如：「賞月」、「玩賞」、「雅俗共賞」。
5.尊崇。通「尚」。《荀子．王霸》：「賞賢便能以次之。」
6.對他人加恩惠於己的敬稱。參見「賞光」、「賞臉」等條。
[名]
1.賜予或獎給的東西。如：「懸賞」、「重賞」。《左傳．宣公十二年》：「先濟者有賞。」《荀子．不苟》：「身之所短，上雖不知，不以取賞。」
2.姓。如晉代有賞慶。</t>
  </si>
  <si>
    <t>ㄕㄤˋ</t>
  </si>
  <si>
    <t>shàng</t>
  </si>
  <si>
    <t>[名]_x000D_
1.表方向或位置，與「下」相對。如：「上有天堂，下有蘇杭。」、「上頂天，下貼地」。《莊子．讓王》：「原憲居魯，環堵之室，茨以生草，蓬戶不完。桑以為樞而甕牖二室，褐以為塞，上漏下溼，匡坐而弦。」《何典》第九回：「上無片瓦遮身，下無立錐之地。」《兒女英雄傳》第二四回：「鄧九公朝上把那匣子一舉，又把身子往旁邊一閃。」_x000D_
2.物體的表面、上面。如：「門上」、「臉上」、「桌上」。唐．張若虛〈春江花月夜〉詩：「春江潮水連海平，海上明月共潮生。」元．錢惟善〈和季文山齋早春〉詩其二：「落梅風細小窗寒，石上餘香點點斑。」《老殘遊記》第九回：「抬頭看見北牆上挂著四幅大屏，草書寫得龍飛鳳舞。」_x000D_
3.邊側，旁邊。《論語．子罕》：「子在川上，曰：『逝者如斯夫，不舍晝夜。』」《史記．卷四七．孔子世家》：「唯子贛廬於冢上，凡六年，然後去。」唐．司馬貞．索隱：「蓋『上』者，亦是邊側之義。」_x000D_
4.君主、皇帝。如：「上諭」。《史記．卷八．高祖本紀》：「上問左右，左右爭欲擊之。」《後漢書．卷三〇下．郎顗襄楷列傳．郎顗》：「今三公皆令色足恭，外厲內荏，以虛事上，無佐國之實。」《三國演義》第一〇〇回：「汝可回成都布散流言，說孔明有怨上之意，早晚欲稱為帝。」_x000D_
5.高位、尊位。《書經．伊訓》：「居上克明，為下克忠。」唐．韓愈〈送董邵南序〉：「明天子在上，可以出而仕矣。」_x000D_
6.尊長或職位在上的人。《禮記．王制》：「樂事勸功，尊君親上，然後興學。」《孝經．士章》：「忠順不失，以事其上。」_x000D_
7.第一席位。《禮記．曲禮上》：「席：南鄉北鄉，以西方為上。」_x000D_
8.表示範圍或某方面。如：「路上」、「文學上」。《禮記．喪大記》：「大夫內子、士妻、特拜命婦，氾拜眾賓於堂上。」《三國演義》第一回：「安得快人如翼德，盡誅世上負心人。」《英烈傳》第五四回：「吾豈不愛將軍雄杰，但天理人情上，難以相疑。」_x000D_
9.表時間，相當於「時候」。《儒林外史》第一回：「這人姓王名冕，在諸暨縣鄉村裡住，七歲上死了父親。」《二十年目睹之怪現狀》第九五回：「不料當到第三年上，忽然來了個九省欽差，是奉旨到九省地方清理財賦的。」_x000D_
[動]_x000D_
1.升、由低處往高處。如：「上樓」、「上山」。漢．枚乘〈上書諫吳王〉：「必若所欲為，危如累卵，難於上天。」唐．王之渙〈登鸛雀樓〉詩：「欲窮千里目，更上一層樓。」_x000D_
2.向上級進呈、獻納。如：「上奏」。《戰國策．齊策一》：「上書諫寡人者，受中賞。」《史記．卷九．呂太后本紀》：「王誠以一郡上太后，為公主湯沐邑，太后必喜，王必無憂。」《京本通俗小說．拗相公》：「文彥博、韓琦許多名臣，先誇佳說好的，到此也自悔失言，一個個上表爭論，不聽，辭官而去。」_x000D_
3.去、到。若為城市間移動，多用於由南到北、鄉間到都市。如：「上街」、「北上」、「上臺北」、「上廁所」。《警世通言．卷一八．老門生三世報恩》：「蒯公愈加懶散，上京會試，只照常規，全無作興加厚之意。」《二十年目睹之怪現狀》第四六回：「這就難了！不比館子裡跑堂的，還可以去上館子，假以辭色，問他底細。」《孽海花》第三〇回：「小油嘴兒，你怎麼知道我要上那兒去呢？」_x000D_
4.向前、前進。《戰國策．秦策二》：「甘茂攻宜陽，三鼓之而卒不上。」元．無名氏《小尉遲》第三折：「劉無敵跚馬兒領番卒上。」_x000D_
5.就職、赴任。唐．韓愈〈國子監論新注學官牒〉：「其新受官，上日必加研試，然後放行。」宋．范成大〈後催租行〉詩：「自從鄉官新上來，黃紙放盡白紙催。」_x000D_
6.出場、登臺。如：「上場比賽」、「上臺領獎」。元．張國賓《合汗衫》第三折：「正末同卜兒薄藍上云：『叫化咱！叫化咱！可憐見俺許來大家私，被一場天火燒的光光蕩蕩。』」元．孟漢卿《魔合羅．楔子》：「正末扮李德昌同旦、倈上云：『自家李德昌是也。』」_x000D_
7.被登載在。如：「上報」、「他上了全國優良教師名單。」《南齊書．卷九．禮志上》：「孫毓議稱京兆列在正廟，臣下應諱，而不上榜。」《三寶太監西洋記通俗演義》第三四回：「只見左右先鋒解將夜來拿的番兵上帳紀功。」《說岳全傳》第八〇回：「岳雷也命上了功勞簿，擇日渡江。」_x000D_
8.指按規定時間工作或教習。如：「上班」、「上學」、「上宿」、「上夜」。清．孔尚任《桃花扇》第二齣：「楊老爺不是外人，取出曲本快快溫習。待你師父對過，好上新腔。」《紅樓夢》第九回：「可巧這日代儒有事，早已回家去了，只留下一句七言對聯命學生對了，明日再來上書。」《文明小史》第四一回：「大家都約定了今天不上課，直至府署探病。」_x000D_
9.繳交、交出。《漢書．卷一二．平帝紀》：「哀帝崩，太皇太后詔曰：『大司馬賢年少，不合眾心，其上印綬，罷。』賢即日自殺。」《儒林外史》第三回：「金有餘將著銀子，上了藩庫，討出庫收來。」_x000D_
10.欺凌、霸凌。《左傳．桓公五年》：「君子不欲多上人，況敢陵天子乎？」《國語．周語中》：「民可近也，而不可上也。」三國吳．韋昭．注：「上，陵也。」_x000D_
11.遭受、落入。如：「上圈套」。《儒林外史》第五一回：「鳳四老爹猛然大悟，指著絲客人道：『是了！你這客人想是少年不老成，如今上了當了！』」《老殘遊記二編》第四回：「眼前我只要略為撩撥他們下子，一定上鉤。」_x000D_
12.施用、添加。如：「惹禍上身」、「齒輪該上油了。」、「這鋪子總不上新貨。」《禮記．曲禮上》：「禮不下庶人，刑不上大夫。」《老殘遊記》第一七回：「你上他這手銬腳鐐是甚麼意思？難道怕他越獄走了嗎？」_x000D_
13.安裝。如：「上刺刀」。元．無名氏《爭報恩》第三折：「上了板搭，關了門戶，打掃街道。」《鏡花緣》第三七回：「鏤窗上鎖，不能開放。」_x000D_
14.旋緊、繃緊。如：「上發條」。《水滸傳》第九五回：「當下宋兵深栽鹿角，牢豎柵寨，弓上弦，刀出鞘，帶甲枕戈，提鈴喝號。」_x000D_
15.塗抹。如：「上漆」、「上藥」、「上顏色」。《兒女英雄傳》第二七回：「舅太太打發送禮的男女家人去後，便叫人鋪水挖單，放梳頭匣兒，催姑娘上妝。」清．徐珂《清稗類鈔．鑒賞類．畢秋帆賞古磚》：「僕遽將其主人如何覓舊本摹仿，如何在某處定造，如何上色，如何使之剝落，如何使之生苔蘚之術，一一言之，不稍諱。」_x000D_
16.點燃。《儒林外史》第六回：「直到上燈時候，連四斗子也不見回來。」《二十年目睹之怪現狀》第五七回：「吃過了晩飯，已是上火時候。」_x000D_
17.達到，指夠一定數量或程度。如：「上了歲數」、「成千上萬」。《儒林外史》第七回：「王員外共借了上千兩的銀子與荀家。」《紅樓夢》第九九回：「現在打聽節度衙門這幾天有生日，別的府道老爺都上千上萬的送了，我們到底送多少呢？」_x000D_
18.表動作的趨向。如：「爬上去」。《儒林外史》第八回：「幾十個兵卒跳上船來，走進中艙，把王道臺反剪了手，捉上大船。」《文明小史》第五五回：「秦鳳梧下午方才出來，見了湘蘭，疾忙跳上馬車。」_x000D_
19.表示動作發生且有結果。如：「考上大學」、「關上大門」。《三國演義》第二六回：「文醜回頭見二將趕上，遂按住鐵鎗，拈弓搭箭，正射張遼。」《儒林外史》第二四回：「向知縣取了和尚口供，叫上那鄰居來問。」《文明小史》第三七回：「學上三年，英國話居然也能夠說幾句將就的，文法也懂得些。」_x000D_
20.強調動作開始並能持續。如：「迷上武俠小說」、「玉山早已飄上雪花。」《紅樓夢》第三八回：「你知道，你璉二爺愛上了你，要和老太太討了你作小老婆呢。」《兒女英雄傳》第二一回：「只因安老爺生恐這裡話沒定規，親家太太來了，再鬧上一陣，不防頭的怯話兒，給弄糟了。」_x000D_
[形]_x000D_
1.次序或時間在前的。如：「上篇」、「上卷」、「上半年」、「上半場」、「上一位」、「上上星期」。《商君書．開塞》：「上不及虞夏之時，而下不修湯武。」《鏡花緣》第九〇回：「大約上句說的是諸位姐姐美玉無瑕，下句是我醜態百出了。」《紅樓夢》第七二回：「只從上月行了經之後，這一個月竟瀝瀝淅淅的沒有止住。」_x000D_
2.地位高的、尊貴的。如：「上級」、「上流社會」。漢．劉向《新序．卷一．雜事》：「秦使者至，昭奚恤曰：『君，客也，請就上位。』」《景德傳燈錄．卷二二．泉州萬安清運禪師》：「僧曰：『忽遇上客來，將何祗待？』」《三國演義》第六五回：「玄德親自接入，待以上賓之禮。」_x000D_
3.最好的、優等的。如：「走為上策」、「列為上品」。《管子．國蓄》：「以珠玉為上幣，以黃金為中幣，以刀布為下幣。」《戰國策．西周策》：「趙之上計，莫如令秦、魏復戰。」《紅樓夢》第四八回：「如今聽你一說，原來這些格調規矩竟是末事，只要詞句新奇為上。」_x000D_
4.軍制中某一軍階最高級的。如：「上將」、「上校」、「上尉」。《水滸傳》第六三回：「若以禮幣請他，拜為上將，可以掃清水寨，殄滅狂徒，保國安民。」</t>
  </si>
  <si>
    <t>(二)ㄕㄤˇ shǎng（09015）</t>
  </si>
  <si>
    <t>尚</t>
  </si>
  <si>
    <t>[動]_x000D_
1.尊崇、仰慕。如：「尚文」、「尚武」。《禮記．檀弓上》：「夏后氏尚黑……殷人尚白……周人尚赤。」《墨子．尚賢上》：「不能以尚賢事能為政也。」_x000D_
2.主管其事。通「掌」。《史記．卷九．呂太后本紀》：「襄平侯通尚符節，乃令持節矯內太尉北軍。」_x000D_
3.娶公主為妻。《史記．卷八七．李斯列傳》：「諸男皆尚秦公主，女悉嫁秦諸公子。」《正字通．小部》：「尚，娶公主謂之尚。言帝王之女尊而尚之，不敢言娶。」_x000D_
[副]_x000D_
1.猶、還。如：「他至今尚未結婚。」《詩經．大雅．蕩》：「雖無老成人，尚有典型。」清．孔尚任《桃花扇》第一四齣：「目今議立紛紛，尚無定局，好生愁悶。」_x000D_
2.尚且、況且。《老子》第二三章：「天地尚不能久，而況於人乎？」《漢書．卷五六．董仲舒傳》：「窮急愁苦而上不救民，則民不樂生，民不樂生，尚不避死，安能避罪？」_x000D_
3.希望，表示祈求。《穆天子傳》卷三：「將子無死，尚能復來。」唐．韓愈〈汴州東西水門記〉：「乃伐山石，刻之日月，尚俾來者知作之所始。」元．謝應芳〈寒食祭曾祖墓祝文〉：「匪云報本，庶不敢忘，伏維尚饗。」_x000D_
[名]_x000D_
姓。如漢代有尚長。</t>
  </si>
  <si>
    <t>蠰</t>
  </si>
  <si>
    <t>[名]
一種類似天牛的蟲。體上有白點，喜食桑葉。《爾雅．釋蟲》：「蠰，齧桑。」晉．郭璞．注：「似天牛，角長，體有白點，喜齧桑樹，作孔，入其中，江東呼為齧髮。」</t>
  </si>
  <si>
    <t>(二)ㄖㄤˇ rǎng（09258）</t>
  </si>
  <si>
    <t>升</t>
  </si>
  <si>
    <t>ㄕㄥ</t>
  </si>
  <si>
    <t>shēng</t>
  </si>
  <si>
    <t>[動]
1.由下而上。如：「升旗」、「升官」、「升級」。唐．白居易〈祭盧虔文〉：「名因文著，位以才升。」
2.登。《論語．先進》：「子曰：『由也，升堂矣，未入於室也。』」
[名]
1.量詞。表示容量的單位，也稱為「公升」。一升等於一千毫升。
2.《易經》卦名。六十四卦之一。巽（☴）下坤（☷）上。表示亨通之義。
3.姓。如南朝宋有升元。</t>
  </si>
  <si>
    <t>昇</t>
  </si>
  <si>
    <t>[動]
1.上升。南朝梁．江淹〈石劫賦〉：「日照水而東昇，山出波而隱沒。」
2.晉級、登進。《舊唐書．卷七十四．馬周傳》：「自古郡守、縣令，皆妙選賢德，欲有擢昇宰相必先試以臨人。」
[名]
姓。如宋代有昇元中。</t>
  </si>
  <si>
    <t>陞</t>
  </si>
  <si>
    <t>同「升」。</t>
  </si>
  <si>
    <t>生</t>
  </si>
  <si>
    <t>[動]
1.長出、生長。如：「生出一對角。」《詩經．大雅．卷阿》：「梧桐生矣，于彼朝陽。」
2.生產、生育。《詩經．大雅．生民》：「不康禋祀，居然生子。」唐．白居易〈長恨歌〉：「遂令天下父母心，不重生男重生女。」
3.發生、產生。如：「生病」、「生效」、「橫生枝節」。《左傳．成公二年》：「義以生利，利以平民。」唐．杜甫〈愁〉詩：「江草日日喚愁生，巫峽泠泠非世情。」
4.生存、活存。如：「置之死地而後生」。
5.製造、新創。如：「惹事生非」、「你又生出新花樣來了。」
[名]
1.生存、生活。如：「起死回生」、「忍辱偷生」。《論語．顏淵》：「死生有命，富貴在天。」
2.量詞。計算一輩子的單位。如：「三生三世」、「緣定三生」、「三生姻緣」。
3.生命。如：「輕生」、「餘生」。
4.泛指生物。如：「眾生」、「群生」、「放生」。
5.生計。如：「謀生」、「無以為生」。
6.讀書人稱為「生」。如：「書生」、「儒生」。
7.學習者、門徒。如：「生徒」、「門生」、「師生」、「學生」。
8.戲劇裡的角色名稱。如：「小生」、「老生」、「武生」。
9.姓。如明代有生用和。
10. 二一四部首之一。
[形]
1.果實尚未成熟。如：「這個番石榴太生了，不能吃。」
2.沒有煮熟的。如：「生肉」、「生飯」。
3.罕見、不熟悉。如：「生人」、「面生」、「生手」、「生字」。
4.沒有加工或鍛鍊過的。如：「生鐵」。
[副]
1.很、甚。如：「生怕」、「生恐」。唐．劉采春〈囉嗊曲〉六首之一：「不喜秦淮水，生憎江上船。」
2.強迫。如：「生拉硬扯」。元．關漢卿《蝴蝶夢》第二折：「把三個未發跡小秀士，生扭做吃勘問死囚徒。」
[助]
語助詞，無義。《儒林外史》第七回：「況我看見你不喜我這煩劇的事，怎生是好？」</t>
  </si>
  <si>
    <t>[名]_x000D_
鼬鼠，黃鼠狼，善捕鼠。江東人稱為「鼪」。《集韻．去聲．勁韻》：「狌，鼠屬。」《莊子．秋水》：「騏驥驊騮，一日而馳千里，捕鼠不如狸、狌。」唐．陸德明．釋文：「狌，崔本作鼬。」宋．楊時〈歸鴻閣記〉：「縣宇西北墉之隅，有廢址焉，久茀不治，畜豕之所游，鼯、狌、狸、鼠之所家，荒堙蕪沒，蔚為穢墟。」金．趙秉文〈黄河九昭．避礙〉：「犛牛捕鼠兮，不如狌、狸。」</t>
  </si>
  <si>
    <t>(二)ㄒㄧㄥ xīng（07224）</t>
  </si>
  <si>
    <t>牲</t>
  </si>
  <si>
    <t>[名]
1.祭祀時所用的家畜。如：「三牲」。
2.泛指牛、羊、豬、馬等一般的家畜。如：「牲口」、「畜牲」。</t>
  </si>
  <si>
    <t>胜</t>
  </si>
  <si>
    <t>參見「胜鍵」、「雙胜類」等條。</t>
  </si>
  <si>
    <t>笙</t>
  </si>
  <si>
    <t>[名]
1.樂器名，吹管樂器。源自中國的簧管樂器。用十三至十七根裝有簧片的竹管和一根吹氣管，裝在一個鍋形的底座上製成。演奏時以口接於吹管，分別以指按簧管，吹之發聲。能奏和聲，吹氣及吸氣皆能發聲，其音色清晰透亮。今常用的高音笙多為三十六簧，常用於獨奏與合奏。目前還有中音笙、次中音笙、低音笙，多用於合奏。
2.古代東方之樂。《周禮．春官．眡瞭》：「凡樂事，播鞀，擊頌磬、笙磬。」漢．鄭玄．注：「東方曰笙。笙，生也。在西方曰頌。」清．孫詒讓．正義：「東方之樂，與樂器之笙物異，而取義於生則同也。」
3.竹簟。漢．揚雄《方言》卷五：「簟，宋、魏之間謂之笙。」晉．左思〈吳都賦〉：「桃笙象簟，盛於筒中。」李善注引劉逵曰：「桃笙，桃枝簟也，吳人謂簟為笙。」</t>
  </si>
  <si>
    <t>甥</t>
  </si>
  <si>
    <t>[名]
1.稱謂：(1)用以稱姊妹的孩子。《爾雅．釋親》：「謂我舅者，吾謂之甥也。」如：「外甥」。(2)男子對阿姨、舅舅的自稱。(3)用以稱外孫。《詩經．齊風．猗嗟》：「終日射侯，不出正兮，展我甥兮。」漢．毛亨．傳：「外孫曰甥。」
2.女婿。《孟子．萬章下》：「舜尚見帝，帝館甥于貳室，亦饗舜，迭為賓主，是天子而友匹夫也。」漢．趙岐．注：「堯以女妻舜，故謂舜甥。」</t>
  </si>
  <si>
    <t>勝</t>
  </si>
  <si>
    <t>[動]_x000D_
禁得起、承受得了。如：「勝任」、「不勝其擾」。唐．韓愈〈題木居士〉詩二首之二：「朽蠹不勝刀鋸力，匠人雖巧欲何如。」_x000D_
[副]_x000D_
盡皆、全部。如：「不勝枚舉」、「不可勝數」。《孟子．梁惠王上》：「斧斤以時入山林，材木不可勝用也。」</t>
  </si>
  <si>
    <t>(一)ㄕㄥˋ shèng（09042）</t>
  </si>
  <si>
    <t>聲</t>
  </si>
  <si>
    <t>[名]
1.因物體撞擊或摩擦所產生，能引起聽覺的音波。如：「笑聲」、「雷聲」。
2.音樂。如：「聲色之美」。《禮記．樂記》：「感於物而動，故形於聲。」漢．鄭玄．注：「宮商角徵羽，雜比曰音，單出曰聲，亦猶見也。」
3.言語。《史記．卷八〇．樂毅傳》：「臣聞古之君子，交絕不出惡聲。」《樂府詩集．卷七三．雜曲歌辭十三．古辭．焦仲卿妻》：「阿女默無聲，手巾掩口啼，淚落便如瀉。」
4.名譽。如：「政聲」、「名聲大振」。南朝梁．劉勰《文心雕龍．情采》：「諸子之徒，心非鬱陶，苟馳夸飾，鬻聲釣世，此為文而造情也。」
5.音信、音訊。《漢書．卷七六．趙廣漢傳》：「界上亭長寄聲謝我，何以不為致問？」
6.量詞。計算發聲次數的單位。如：「大叫一聲」、「三聲無奈」。
7.參見「聲母」條。
8.聲調，漢字字音的高低長短。如中古音有平聲、上聲、去聲、入聲四個聲調。
[動]
宣布、張揚。《孟子．萬章下》：「孔子之謂集大成，集大成也者，金聲而玉振之也。」《國語．晉語五》：「是故伐備鍾鼓，聲其罪也。」</t>
  </si>
  <si>
    <t>ㄕㄥˊ</t>
  </si>
  <si>
    <t>shéng</t>
  </si>
  <si>
    <t>[名]
河川名。源出大陸地區山東省臨淄縣西北古齊城外，西北流經博興縣東南，注入時水。</t>
  </si>
  <si>
    <t>(一)ㄇㄧㄣˇ mǐn（01470）</t>
  </si>
  <si>
    <t>繩</t>
  </si>
  <si>
    <t>[名]
1.用兩股以上的麻、絲、草或尼龍絲、金屬絲絞揉成的長條物。如：「麻繩」、「草繩」、「尼龍繩」。
2.繩墨，木匠用以取直的工具。《荀子．勸學》：「木直中繩，輮以為輪。」
3.規矩、準則。如：「準繩」。《淮南子．天文》：「其佐后土，執繩而制四方。」
4.姓。如明代有繩服。
[動]
1.約束、制裁。如：「繩之以法」。《史記．卷六．秦始皇本紀》：「天下初定，遠方黔首未集，諸生皆誦法孔子，今上皆重法繩之，臣恐天下不安。唯上察之。」
2.糾正。三國魏．嵇康〈釋私論〉：「今執必公之理，以繩不公之情。」
3.衡量。《禮記．樂記》：「省其文采，以繩德厚。」漢．鄭玄．注：「繩，猶度也。」唐．孔穎達．正義：「繩是量度之物，經云以繩德厚謂度量之以道德仁厚。」
4.繼承。《詩經．大雅．下武》：「昭茲來許，繩其祖武。」</t>
  </si>
  <si>
    <t>冼</t>
  </si>
  <si>
    <t>ㄕㄥˇ</t>
  </si>
  <si>
    <t>shěng</t>
  </si>
  <si>
    <t>[形]
𠗌冼：寒冷的樣子。《集韻．上聲．拯韻》：「冼，𠗌冼，寒貌。」</t>
  </si>
  <si>
    <t>(二)ㄒㄧㄢˇ xiǎn（▲07109）</t>
  </si>
  <si>
    <t>[名]
1.古代的一種行政機構名稱。如：「中書省」、「尚書省」、「門下省」。
2.地方行政區域的名稱之一。在縣之上。如：「臺灣省」、「福建省」。
3.宮禁。《三國演義》第二回：「中官統領禁省，漢家故事。」
[動]
1.節約。如：「節省」。《西遊記》第四七回：「你這等家業，也虧你省將起來的。」
2.減少、去掉。如：「省去一道不必要的手續。」
3.不要、休要。宋．黃庭堅〈江城子．畫堂高會酒闌珊〉詞：「倩人傳語問平安。省愁煩，淚休彈。」元．孟漢卿《魔合羅．楔子》：「你可便省煩惱，莫傷懷。」</t>
  </si>
  <si>
    <t>(二)ㄒㄧㄥˇ xǐng（07245）</t>
  </si>
  <si>
    <t>眚</t>
  </si>
  <si>
    <t>[名]
1.眼睛長了遮蔽視線的病。《說文解字．目部》：「眚，目病生翳也。」
2.疾病、疾苦。唐．沈既濟《任氏傳》：「鄭子如市，果見一人牽馬求售者，眚在左股。」
3.過失。《左傳．僖公三十三年》：「大夫何罪？且吾不以一眚掩大德。」
4.災禍、災難。《易經．訟卦．九二》：「不克訟，歸而逋其邑，人三百戶無眚。」
[動]
減省。通「省」。《說文解字．目部》「眚」字．清．段玉裁．注：「眚，又假為減省之省。」《周禮．地官．大司徒》：「七曰眚禮。」唐．賈公彥．疏：「眚禮者，謂吉禮之中眚其禮數。」</t>
  </si>
  <si>
    <t>ㄕㄥˋ</t>
  </si>
  <si>
    <t>shèng</t>
  </si>
  <si>
    <t>[形]
熾盛、明亮。《廣韻．去聲．勁韻》：「晟，熾也。」《集韻．去聲．勁韻》：「晟，明也。」</t>
  </si>
  <si>
    <t>(二)（又音）ㄔㄥˊ chéng（08496）</t>
  </si>
  <si>
    <t>[形]
1.興旺、繁茂、豐富。如：「興盛」、「旺盛」、「茂盛」、「豐盛」、「盛饌」。
2.濃厚的。如：「盛情」、「盛意」。
3.大規模的。如：「盛大」、「盛舉」、「盛事」。
[副]
極，表程度之深。如：「盛怒」、「盛誇」、「盛贊」。《三國演義》第二三回：「曄盛稱操德，且曰：『丞相若記舊怨，安肯使某來結好將軍乎？』」
[名]
姓。如漢代有盛苞。</t>
  </si>
  <si>
    <t>(一)ㄔㄥˊ chéng（08497）</t>
  </si>
  <si>
    <t>[名]
1.量詞。古代計算車輛的單位。如：「萬乘之國」、「百乘之家」。
2.史書。如：「史乘」。《孟子．離婁下》：「晉之乘，楚之檮杌，魯之春秋，一也。」
3.佛教用語。本是車乘之意，用來譬喻教法，以其能載修行者到達解脫的境界。如：「大乘」、「小乘」。</t>
  </si>
  <si>
    <t>(一)ㄔㄥˊ chéng（08509）</t>
  </si>
  <si>
    <t>剩</t>
  </si>
  <si>
    <t>[形]
多餘的。如：「剩飯」、「剩菜」。
[動]
多餘、餘留。如：「人都走光了，只剩下他一個人。」</t>
  </si>
  <si>
    <t>嵊</t>
  </si>
  <si>
    <t>參見「嵊縣」條。</t>
  </si>
  <si>
    <t>[動]
1.占優勢。如：「勝利」、「戰勝」、「勝訴」。《孟子．梁惠王上》：「鄒人與楚人戰，則王以為孰勝？」
2.超越。如：「略勝一籌」。《論語．雍也》：「質勝文則野，文勝質則史。」唐．杜甫〈北征〉詩：「平生所嬌兒，顏色白勝雪。」
3.克制、制服。《論語．子路》：「善人為邦百年，亦可以勝殘去殺矣。」《呂氏春秋．季春紀．先己》：「故欲勝人者，必先自勝。」
[形]
美好的、優越的。如：「勝會」、「勝地」、「名山勝景」。</t>
  </si>
  <si>
    <t>(二)ㄕㄥ shēng（09030）</t>
  </si>
  <si>
    <t>賸</t>
  </si>
  <si>
    <t>[形]
餘留下來的。通「剩」。《新唐書．卷二〇一．文藝傳上．杜甫傳》：「殘膏賸馥，沾丐後人多矣。」
[副]
1.只管。宋．晏幾道〈鷓鴣天．彩袖殷勤捧玉鍾〉詞：「今宵賸把銀釭照，猶恐相逢是夢中。」
2.多。宋．辛棄疾〈賀新郎．踏入門前柳〉詞：「鳥倦飛還平林去，雲肯無心出岫。賸準備、新詩幾首。」元．曾端〈端正好．一枕夢魂驚套．二煞〉：「飽養雞豚，廣栽桃李，多植桑麻，賸種粳禾。」</t>
  </si>
  <si>
    <t>聖</t>
  </si>
  <si>
    <t>[名]
1.德行高尚、博通事理的人。《論語．子罕》：「固天縱之將聖，又多能也。」晉．夏侯湛〈閔子騫贊〉：「聖既擬天，賢亦希聖。」
2.通稱在學識或技藝上有很深造詣的人。如：「詩聖」、「樂聖」。
[形]
1.品德崇高、通達事理。如：「聖人」、「神聖」。
2.君主的。如：「聖恩」、「聖旨」。</t>
  </si>
  <si>
    <t>殳</t>
  </si>
  <si>
    <t>ㄕㄨ</t>
  </si>
  <si>
    <t>shū</t>
  </si>
  <si>
    <t>[名]
1.兵器名。古代一種用竹、木做成的兵器，長一丈二尺，有稜無刃。《詩經．衛風．伯兮》：「伯也執殳，為王前驅。」《淮南子．齊俗》：「昔武王執戈秉鉞以伐紂勝殷，搢笏杖殳以臨朝。」
2.姓。如南朝宋有殳季真。
3.二一四部首之一。</t>
  </si>
  <si>
    <t>[名]
1.腳。《說文解字．疋部》：「疋，足也。」
2.二一四部首之一。
[動]
記。《廣韻．上聲．語韻》：「疋，記也。」</t>
  </si>
  <si>
    <t>(一)ㄆㄧˇ pǐ（00849）(二)ㄧㄚˇ yǎ（10715）</t>
  </si>
  <si>
    <t>抒</t>
  </si>
  <si>
    <t>[動]
1.發洩、表達。如：「抒憤」、「各抒己見」、「直抒胸臆」。
2.解除、清除。通「紓」。《左傳．文公六年》：「有此四德者，難必抒矣。」</t>
  </si>
  <si>
    <t>紓</t>
  </si>
  <si>
    <t>[動]
排除、解除。《左傳．莊公三十年》：「鬥穀於菟為人令尹，自毀其家，以紓楚國之難。」宋．陸游〈秋思〉詩：「嬾不近筆硯，何以紓幽情？」
[形]
寬緩、寬裕。宋．蘇軾〈論給田募役狀〉：「若官與買則田穀皆重，農可小紓，其利三也。」《宋史．卷三九八．李蘩傳》：「民力稍紓，得以盡於農畝。」</t>
  </si>
  <si>
    <t>舒</t>
  </si>
  <si>
    <t>[動]
1.伸展。如：「舒手舒腳」、「舒眉弄眼」。
2.宣洩、抒發。如：「舒懷」。《楚辭．屈原．九章．思美人》：「申旦以舒中情兮，志忱菀而莫達。」《文選．司馬遷．報任少卿書》：「退而論書策，以舒其憤。」
[形]
1.遲緩、從容不迫。《詩經．召南．野有死麕》：「舒而脫脫兮，無感我帨兮，無使尨也吠。」唐．柳宗元〈游黃溪記〉：「又南一里，至大冥之川，山舒水緩，有土田。」
2.安適、舒暢。如：「舒泰」、「舒服」。《文選．張衡．西京賦》：「夫人在陽時則舒，在陰時則慘。」
[名]
姓。如唐代有舒元輿。</t>
  </si>
  <si>
    <t>(一)ㄓㄨ zhū（07940）</t>
  </si>
  <si>
    <t>姝</t>
  </si>
  <si>
    <t>[形]
容貌美麗。《詩經．邶風．靜女》：「靜女其姝，俟我於城隅。」《後漢書．卷一〇．皇后紀上．和熹鄧皇后傳》：「后長七尺二寸，姿顏姝麗。」
[名]
美女。《文選．宋玉．登徒子好色賦》：「此郊之姝，華色含光。」《聊齋志異．卷一一．書痴》：「下几亭亭，宛然絕代之姝。」</t>
  </si>
  <si>
    <t>殊</t>
  </si>
  <si>
    <t>[動]_x000D_
1.斬首、殺死。《說文解字．歺部》：「殊，死也。」清．段玉裁．注：「凡漢紹云殊死者，皆謂死罪也。死罪者，首身分離，故曰殊死。」《後漢書．卷六〇上．馬融傳》：「或夷由未殊，顛狽頓躓，蝡蝡蟫蟫。」_x000D_
2.斷絕。《左傳．昭公二十三年》：「斷其後之木而弗殊。」《漢書．卷八．宣帝紀》：「蓋聞象有罪，舜封之。骨肉之親粲而不殊。」_x000D_
3.超過。《後漢書．卷三四．梁統傳》：「母氏年殊七十。」唐．章懷太子．注：「殊，猶過也。」《三國志．卷一九．魏書．陳思王植傳》：「恩紀之違，甚於路人；隔閡之異，殊於胡越。」_x000D_
4.區別。《史記．卷一三〇．太史公自序》：「法家不別親疏，不殊貴賤，一斷於法。」三國魏．曹植〈節遊賦〉：「觀靡靡而無終，何渺渺而難殊。」_x000D_
[形]_x000D_
1.不同的、互異的。如：「殊途同歸」。《易經．繫辭下》：「天下同歸而殊塗。」《史記．卷二十四．樂書》：「紂樂好之，與萬國殊心。」_x000D_
2.特別的、異常的。如：「殊榮」。《晉書．卷五二．阮种傳》：「弱冠有殊操，為嵇康所重。」《資治通鑑．卷四二．漢紀三十四．光武帝建武八年》：「帝聞而善之，以宣告百僚，乃置酒高會，待融等以殊禮。」_x000D_
[副]_x000D_
1.拚死、決死。《史記．卷九二．淮陰侯傳》：「軍皆殊死戰，不可敗。」_x000D_
2.非常、極、甚。如：「殊為失當。」明．徐弘祖《徐霞客遊記．卷一上．遊武彞山日記》：「泉從壁半突出，疏竹掩映，殊有佳致。」_x000D_
3.猶、尚。《文選．謝靈運．南樓中望所遲客詩》：「圓景早已滿，佳人殊未適。」唐．白居易〈早蟬〉詩：「西風殊未起，秋思先秋生。」</t>
  </si>
  <si>
    <t>俞</t>
  </si>
  <si>
    <t>[名]
1.國名。為漢代封與欒布的侯國，其治所約在今大陸地區山東省平原縣西南。
2.參見「俞兒」條。</t>
  </si>
  <si>
    <t>(一)ㄩˊ yú（11596）(二)ㄩˋ yù（11673）</t>
  </si>
  <si>
    <t>毹</t>
  </si>
  <si>
    <t>(一)ㄩˊ yú（11605）</t>
  </si>
  <si>
    <t>輸</t>
  </si>
  <si>
    <t>[動]
1.運送。如：「運輸」、「輸油」。《左傳．僖公十三年》：「秦於是乎輸粟于晉。」
2.捐獻、獻納。《左傳．襄公九年》：「魏絳請施舍，輸積聚以貸。」《漢書．卷五八．卜式傳》：「時漢方事匈奴，式上書，願輸家財半助邊。」
3.失敗。如：「比賽結果，他們輸了三球。」
[名]
1.負、敗。如：「服輸」、「認輸」。
2.姓。如漢代有輸子陽。</t>
  </si>
  <si>
    <t>梳</t>
  </si>
  <si>
    <t>[名]
整理頭髮的用具。如：「木梳」、「骨梳」。《新唐書．卷一三二．吳兢傳》：「朝有諷諫，猶髮之有梳。」
[動]
用梳子整理頭髮。《文選．揚雄．長楊賦》：「頭蓬不暇梳，飢不及餐。」唐．白居易〈和夢遊春詩一百韻〉：「風流薄梳洗，時世寬妝束。」</t>
  </si>
  <si>
    <t>疏</t>
  </si>
  <si>
    <t>[動]
1.開通、使通暢。如：「疏通」。《孟子．滕文公上》：「禹疏九河。」
2.分散、散開。如：「疏散人群」。
3.清除、排解。《國語．楚語上》：「教之樂，以疏其穢而鎮其浮。」《文選．孫綽．遊天台山賦》：「過靈溪而一濯，疏煩想於心胸。」
4.刻鏤、雕繪。《文選．張衡．西京賦》：「何工巧之瑰瑋，交綺豁以疏寮。」唐．張說〈蒲津橋贊〉：「又疏其舟閒，畫其鷁首。」
[形]
1.稀少、稀闊。如：「疏林」、「疏星」、「疏疏落落幾戶人家」。
2.不親近、不熟悉。如：「人地生疏」、「親疏遠近」。晉．陶淵明〈詠荊軻詩〉：「惜哉劍術疏，奇功遂不成。」
3.粗心、不注意、不細密。如：「人為疏忽」。《史記．卷七九．范雎蔡澤傳》：「其於計疏矣。」宋．沈括《夢溪筆談．卷七．象數一》：「落下閎曆法極疏，蓋當時以為密耳。」
4.空虛、不實在。如：「空疏」、「才疏學淺」。《三國演義》第八五回：「愚才疏智淺，恐不堪當此任。」
5.粗糙、不精細。《論語．述而》：「飯疏食飲水，曲肱而枕之。」唐．韓愈〈山石〉詩：「鋪床拂席置羹飯，疏糲亦足飽我飢。」
[名]
1.窗。《史記．卷二三．禮書》：「疏房床笫几席，所以養體也。」
2.窗上的刻鏤花紋。《文選．王延壽．魯靈光殿賦》：「爾乃懸棟結阿，天窗綺疏。」
3.蔬果。通「蔬」。《淮南子．主術》：「夏取果蓏，秋畜疏食。」</t>
  </si>
  <si>
    <t>(二)（(一)之又音）ㄙㄨ sū（10079）(三)ㄕㄨˋ shù（09099）</t>
  </si>
  <si>
    <t>蔬</t>
  </si>
  <si>
    <t>[名]
食用草本植物的通稱。《爾雅．釋天》：「蔬不熟為饉。」晉．郭璞．注：「凡草菜可食者通名為蔬。」
[形]
粗劣的。如：「蔬飧」、「蔬膳」。</t>
  </si>
  <si>
    <t>(二)（又音）ㄙㄨ sū（10080）</t>
  </si>
  <si>
    <t>書</t>
  </si>
  <si>
    <t>[名]
1.有文字或圖畫的冊子。如：「教科書」、「圖畫書」、「百科全書」。
2.信件。如：「家書」、「情書」。唐．杜甫〈石壕吏〉詩：「一男附書至，二男新戰死。」
3.文件。如：「證書」、「說明書」、「申請書」。《儒林外史》第一九回：「卻因講親的時節，不曾寫個婚書，沒有憑據。」
4.字體。如：「草書」、「楷書」、「隸書」。《隋書．卷六八．閻毗傳》：「能篆書，工草隸。尤善畫，為當時之妙。」
5.參見「六書」條。
6.姓。如清代有書綸。
[動]
1.寫。如：「請以中文書寫。」、「大書凌煙閣三字。」
2.記載。《周禮．地官．黨正》：「正歲屬民讀法，而書其德行道藝。」</t>
  </si>
  <si>
    <t>[名]
1.古時諸侯朝見天子所執的玉板。《荀子．大略》：「天子御珽，諸侯御荼，大夫服笏，禮也。」唐．楊倞．注：「荼，古舒字，玉之上圓下方者也。」
2.門神。參見「神荼鬱壘」條。
[形]
舒緩、從容不迫。《周禮．冬官考工記．弓人》：「析幹必倫，析角無邪，斲目必荼。」</t>
  </si>
  <si>
    <t>(一)ㄊㄨˊ tú（02771）</t>
  </si>
  <si>
    <t>綀</t>
  </si>
  <si>
    <t>[動]
紡粗的絲。《玉篇．糸部》：「綀，紡麤絲。」
[名]
一種像苧布的紡織品。宋．范成大《桂海虞衡志．志器》：「綀子出兩江州洞，大略似苧布，有花紋者謂之花綀。」</t>
  </si>
  <si>
    <t>摴</t>
  </si>
  <si>
    <t>[名]
古代的一種賭博遊戲。參見「摴蒱」、「樗蒲」等條。</t>
  </si>
  <si>
    <t>樗</t>
  </si>
  <si>
    <t>[名]
植物名。苦木科樗樹屬，落葉喬木。樹皮平滑而有淡白色條紋，幼枝有暗黃、赤褐色細毛，其葉揉碎時有臭味。奇數羽狀複葉，小葉十三至二十七枚，卵狀披針形，基部兩側各具一或二個粗鋸齒，齒背具腺體一枚。圓錐花序。翅果長橢圓形。可栽植供作行道樹。也稱為「臭椿」。</t>
  </si>
  <si>
    <t>樞</t>
  </si>
  <si>
    <t>[名]
1.門戶的轉軸。如：「戶樞」。《莊子．讓王》：「蓬戶不完，桑以為樞而甕牖。」漢．王符《潛夫論．忠貴》：「懼門之不堅而為作鐵樞。」
2.中心部分、重要關鍵。如：「中樞」、「樞紐」。《莊子．齊物論》：「彼是莫得其偶，謂之道樞。」
3.星名。北斗七星的第一顆，在西方為大熊座α星。《呂氏春秋．有始覽．有始》：「夏至日行近道，乃參于上，當樞之下，無晝夜。」《晉書．卷一一．天文志上》：「北斗七星在太微北，……又魁第一星曰天樞，二曰琁，三曰璣，四曰權，五曰玉衡，六曰開陽，七曰搖光；一至四為魁，五至七為杓。」也稱為「天樞」。</t>
  </si>
  <si>
    <t>攄</t>
  </si>
  <si>
    <t>[動]
1.抒發、發表。《文選．班固．西都賦》：「願賓攄懷舊之蓄念，發思古之幽情。」唐．白居易〈讀謝靈運〉詩：「豈惟玩景物，亦欲攄心素。」
2.流傳。唐．張說〈唐西臺舍人贈泗洲刺史徐府君碑〉：「迺刊石立頌，將以識往行，攄無窮，使本支百代，不忘先人之不隕其名也。」
3.騰躍。《後漢書．卷五九．張衡傳》：「僕夫儼其正策兮，八乘攄而超驤。」</t>
  </si>
  <si>
    <t>ㄕㄨˊ</t>
  </si>
  <si>
    <t>shú</t>
  </si>
  <si>
    <t>(一)ㄓㄨ zhū（07938）</t>
  </si>
  <si>
    <t>叔</t>
  </si>
  <si>
    <t>[名]
1.稱謂：(1)用以稱父親的弟弟。如：「叔父」、「叔侄」。(2)用以稱丈夫的弟弟。如：「小叔」。(3)用以稱父親平輩朋友中年紀小於父親的人。如：「王叔叔」。
2.姓。如漢代有叔壽。
[形]
1.兄弟中排行第三的。《儀禮．士冠禮》：「伯某甫，仲、叔、季，唯其所當。」
2.衰微、衰末。參見「叔世」、「叔季」等條。</t>
  </si>
  <si>
    <t>淑</t>
  </si>
  <si>
    <t>[形]
1.清湛、清澈。《說文解字．水部》：「淑，清湛也。」《淮南子．本經》：「日月淑清而揚光，五星循軌而不失其行。」
2.善良、美好。如：「賢淑」、「遇人不淑」。《詩經．周南．關雎》：「窈窕淑女，君子好逑。」
[動]
認為好而學習、取法。《孟子．離婁下》：「予未得為孔子徒也，予私淑諸人也。」</t>
  </si>
  <si>
    <t>菽</t>
  </si>
  <si>
    <t>[名]
豆類的總稱。《詩經．豳風．七月》：「六月食鬱及薁，七月亨葵及菽。」</t>
  </si>
  <si>
    <t>秫</t>
  </si>
  <si>
    <t>[名]
帶有黏性的穀物。《說文解字．禾部》：「秫，稷之粘者。」清．段玉裁．注：「秫為黏稷，而不黏者亦通呼為秫；秫而他穀之黏者，亦假借通偁之曰秫。」宋．王炎〈豐年謠〉：「五風十雨天時好，又見西郊稻秫肥。」</t>
  </si>
  <si>
    <t>孰</t>
  </si>
  <si>
    <t>[動]
成熟。熟的本字。《說文解字．丮部》：「孰，食飪也。」清．段玉裁．注：「後人乃分別熟為生熟，孰為誰孰矣。」
[代]
1.誰。《論語．公冶長》：「孰謂微生高直？」唐．杜甫〈夏日李公見訪〉詩：「苦遭此物聒，孰謂吾廬幽？」
2.何、什麼。《論語．八佾》：「八佾舞於庭，是可忍也，孰不可忍也？」</t>
  </si>
  <si>
    <t>塾</t>
  </si>
  <si>
    <t>[名]
1.大門兩側的廳堂。《爾雅．釋宮》：「門側之堂謂之塾。」《儀禮．士冠禮》：「筮與席，所卦者，具饌于西塾。」
2.舊時私人設立的教學場所。如：「私塾」、「家塾」。</t>
  </si>
  <si>
    <t>[動]
1.烹煮使可食。如：「煮熟」。《論語．鄉黨》：「君賜腥，必熟而薦之。」
2.農作物長成。《孟子．告子上》：「五穀者，種之美者也。苟為不熟，不如荑稗。」唐．皮日休〈橡媼歎〉：「秋深橡子熟，散落榛蕪崗。」
[形]
1.技藝精巧的。如：「熟手」、「技藝純熟」。
2.常見的、認識的。如：「熟人」、「熟客」。
3.留有深刻印象的。如：「耳熟能詳」。
4.經常使用的。如：「熟字」、「熟語」。
5.豐收的。如：「熟年」。
6.經過加工煉製的。如：「熟鐵」、「熟藥」。北周．庾信〈仙山詩〉二首之二：「石軟如香飯，鉛銷似熟銀。」
[副]
1.深沉安穩。如：「熟睡」。
2.仔細、精詳。如：「熟察」、「熟讀」、「熟視」、「深思熟慮」。</t>
  </si>
  <si>
    <t>(二)（語音）ㄕㄡˊ shóu（08890）</t>
  </si>
  <si>
    <t>襡</t>
  </si>
  <si>
    <t>[名]
短衣。《晉書．卷九四．隱逸傳．夏統傳》：「又使妓女之徒服褂襡，炫金翠，繞其船三匝。」</t>
  </si>
  <si>
    <t>贖</t>
  </si>
  <si>
    <t>[動]
1.以財物換回人質或抵押品。如：「贖回人質」、「贖出當物」。
2.以財物或勞役來抵銷罪過或免除刑罰。如：「將功贖罪」。《史記．卷一〇五．扁鵲倉公傳》：「妾願入身為官婢，以贖父刑罪。」
3.購買。《水滸傳》第二五回：「大官人家裡取些砒霜來，卻教大娘子自去贖一帖心疼的藥來。」
4.除去。《管子．五行》：「草木區萌，贖蟄蟲卵菱。」</t>
  </si>
  <si>
    <t>暑</t>
  </si>
  <si>
    <t>ㄕㄨˇ</t>
  </si>
  <si>
    <t>shǔ</t>
  </si>
  <si>
    <t>[名]
1.炎熱的夏天。如：「盛暑」、「酷暑」。
2.熱。如：「避暑」、「溽暑」。
[形]
炎熱的。如：「暑天」、「暑氣」。</t>
  </si>
  <si>
    <t>署</t>
  </si>
  <si>
    <t>[名]
1.官吏辦公的地方。如：「官署」、「公署」。
2.政府機關的組織單位。
3.姓。如漢代有署奎。</t>
  </si>
  <si>
    <t>(二)ㄕㄨˋ shù（09105）</t>
  </si>
  <si>
    <t>薯</t>
  </si>
  <si>
    <t>參見「番薯」、「馬鈴薯」等條。</t>
  </si>
  <si>
    <t>糬</t>
  </si>
  <si>
    <t>參見「麻糬」條。</t>
  </si>
  <si>
    <t>通「薯」。</t>
  </si>
  <si>
    <t>(一)ㄓㄨ zhū（07956）</t>
  </si>
  <si>
    <t>黍</t>
  </si>
  <si>
    <t>[名]
1.植物名。禾本科黍屬，「黍子」之簡稱，參見「黍子」條。
2.古代的一種酒器。《呂氏春秋．慎大覽．權勛》：「臨戰，司馬子反渴而求飲，豎陽穀操黍酒而進之。」漢．高誘．注：「酒器受三升曰黍。」
3.二一四部首之一。</t>
  </si>
  <si>
    <t>蜀</t>
  </si>
  <si>
    <t>[名]
1.朝代名：(1)參見「蜀漢」條。(2)十國之一。起訖年不詳。王建建立，為後唐所滅。歷史上稱為「前蜀」。(3)參見「後蜀」條。
2.大陸地區四川省的簡稱。秦時隸屬巴、蜀二郡屬地，故簡稱為「蜀」。</t>
  </si>
  <si>
    <t>[名]
1.類別。如：「金屬」。《周禮．冬官考工記．梓人》：「小蟲之屬，以為雕琢。」
2.生物分類的名稱之一。如：「界、門、綱、目、科、屬、種。」
3.親眷。如：「眷屬」、「親屬」。《孟子．離婁下》：「夫章子豈不欲有夫妻子母之屬哉！」
4.部下。如：「下屬」、「部屬」。《書經．周官》：「六卿分職，各率其屬，以倡九牧，阜成兆民。」
[動]
1.附著、歸於。如：「附屬」。《荀子．王制》：「雖庶人之子孫也，積文學、正身行、能屬於禮儀，則歸之卿相士大夫。」
2.用十二生肖配十二地支來記生年。如：「丑年出生的人屬牛。」
[形]
歸某方所有或管轄的。如：「屬地」、「屬國」。</t>
  </si>
  <si>
    <t>(二)ㄓㄨˇ zhǔ（07983）</t>
  </si>
  <si>
    <t>鼠</t>
  </si>
  <si>
    <t>[名]
1.哺乳類齧齒目鼠科動物的總稱。體形小，腳短尾長，毛柔軟、呈灰褐色，性怯懦，行動迅速，門齒發達，常穴居人家，繁殖力強，為傳播鼠疫的媒介。
2.二一四部首之一。
[形]
憂。參見「鼠思」條。</t>
  </si>
  <si>
    <t>癙</t>
  </si>
  <si>
    <t>[名]
因憂悶而產生的疾病。《集韻．上聲．語韻》：「癙，憂病。」</t>
  </si>
  <si>
    <t>數</t>
  </si>
  <si>
    <t>[動]_x000D_
1.計算。《左傳．宣公十二年》：「右廣初駕，數及日中；左則受之，以至于昏。」民國．楊伯峻．注：「數者，數漏刻也。」《莊子．秋水》：「噴則大者如珠，小者如霧，雜而下者，不可勝數也。」_x000D_
2.責備。如：「數落」、「面數其罪」。《左傳．莊公二十八年》：「齊侯伐衞，戰，敗衞師，數之以王命，取賂而還。」《列子．周穆王》：「於乎！予一人不盈于德，而諧於樂，後世其追數吾過乎？」_x000D_
3.比較起來算最突出。如：「全班就數他功課最好。」「這群狗當中最兇猛的當數小黑，最黏人的就數小白。」</t>
  </si>
  <si>
    <t>(一)ㄕㄨˋ shù（09109）(三)ㄕㄨㄛˋ shuò（09130）(四)ㄘㄨˋ cù（09830）(五)ㄙㄨˋ sù（10118）</t>
  </si>
  <si>
    <t>戍</t>
  </si>
  <si>
    <t>ㄕㄨˋ</t>
  </si>
  <si>
    <t>shù</t>
  </si>
  <si>
    <t>[動]
以兵卒防守邊疆。如：「戍守」。《左傳．僖公三十年》：「秦伯說，與鄭人盟，使杞子、逢孫、楊孫戍之乃還。」宋．陸游〈十一月四日風雨大作〉詩：「僵臥孤村不自哀，尚思為國戍輪臺。」
[名]
1.守衛的人。《史記．卷六．秦始皇本紀》：「為桂林、象郡、南海，以適遣戍。」宋．陸游〈悲秋〉詩八首之一：「可使江淮間，歲歲常列戍。」
2.軍隊駐守的營房。《晉書．卷七三．庾亮傳》：「其謝尚、王愆期等，悉令還據本戍。」唐．元結〈欸乃曲〉五首之二：「唱橈欲過平陽戍，守吏相呼問姓名。」</t>
  </si>
  <si>
    <t>束</t>
  </si>
  <si>
    <t>[名]
1.量詞。計算成束物品的單位。如：「一束鮮花」。
2.聚集成一束的東西。如：「花束」、「光束」。
3.姓。如晉代有束晳。
[動]
1.捆縛、捆紮。如：「以帶束腰」、「束緊」。
2.限制、管制。如：「無拘無束」、「管束」、「約束」、「拘束」。
3.整理、收拾。如：「束裝」。《戰國策．燕策二》：「老婦不知長者之計，乃命公子束車製衣為行具。」宋．陸游〈蜀州大閱〉詩：「曉束戎衣一悵然，五年奔走遍窮邊。」</t>
  </si>
  <si>
    <t>漱</t>
  </si>
  <si>
    <t>[動]
1.含水洗滌口腔。如：「盥漱」、「飯前洗手，飯後漱口。」唐．柳宗元〈晨詣超師院讀禪經〉詩：「汲井漱寒齒，清心拂塵服。」
2.洗滌。《禮記．曲禮上》：「諸母不漱裳。」
3.沖刷、沖蝕。漢．馬融〈長笛賦〉：「秋潦漱其下趾兮，冬雪揣封乎其枝。」唐．孟郊〈遊韋七洞庭別業〉詩：「波濤漱古岸，鏗鏘辨奇石。」</t>
  </si>
  <si>
    <t>(二)（語音）ㄙㄡˋ sòu（10051）</t>
  </si>
  <si>
    <t>沭</t>
  </si>
  <si>
    <t>參見「沭河」條。</t>
  </si>
  <si>
    <t>述</t>
  </si>
  <si>
    <t>[動]
1.遵循。《說文解字．辵部》：「述，循也。」《漢書．卷三〇．藝文志》：「祖述堯舜，憲章文武。」唐．顏師古．注：「述，修也。言以堯舜為本始而遵修之。」
2.繼續別人的事業或闡述他人的學說。《論語．述而》：「述而不作，信而好古。」南朝梁．皇侃．疏：「述者，傳於舊章也。」
3.說明、記敘。如：「口述」、「描述」。清．方苞〈左忠毅公軼事〉：「後常流淚述其事以語人曰：『吾師肺肝，皆鐵石所鑄造也。』」</t>
  </si>
  <si>
    <t>術</t>
  </si>
  <si>
    <t>[名]
1.邑中通行的道路。《墨子．旗幟》：「巷術周道者必為之門。門二人守之，非有信符，勿行。」《文選．左思．詠史詩八首之四》：「冠蓋陰四術，朱輪竟長衢。」
2.技藝。如：「武術」、「美術」、「技術」。晉．陶淵明〈詠荊軻〉詩：「惜哉劍術疏，奇功遂不成。」
3.方法、策略。如：「戰術」、「權術」、「算術」。《韓非子．定法》：「術者，因任而授官，循名而責實，操殺生之柄，課群臣之能者也。此人主之所執也。」</t>
  </si>
  <si>
    <t>(二)ㄙㄨㄟˋ suì（10157）</t>
  </si>
  <si>
    <t>鉥</t>
  </si>
  <si>
    <t>[名]
長針。《玉篇．金部》：「鉥，長針也。」《管子．輕重乙》：「一女必有一刀、一錐、一箴、一鉥，然後成為女。」
[動]
1.刺。唐．韓愈〈貞曜先生墓誌銘〉：「及其為詩，劌目鉥心。」
2.引導。《國語．晉語二》：「子盍入乎？吾請為子鉥。」三國吳．韋昭．注：「鉥，道也。」唐．柳宗元〈夢歸賦〉：「若有鉥余以往路兮，馭儗儗以回復。」</t>
  </si>
  <si>
    <t>恕</t>
  </si>
  <si>
    <t>[名]
推己及人之道。《論語．衛靈公》：「其恕乎！己所不欲，勿施於人。」
[動]
寬宥、原諒。如：「饒恕」、「寬恕」。《水滸傳》第一三回：「如無紅葉，便是汝等虛妄，官府定行責罰不恕。」</t>
  </si>
  <si>
    <t>庶</t>
  </si>
  <si>
    <t>[形]
1.眾多。《爾雅．釋詁下》：「庶，眾也。」《詩經．小雅．小明》：「念我獨兮，我事孔庶。」《禮記．孔子閒居》：「地載神氣，神氣風霆，風霆流水，庶物露生，無非教也。」
2.旁支的、旁系的。參見「庶子」、「庶母」等條。
[名]
古代平民稱為「庶」。《左傳．昭公三十二年》：「三后之姓，于今為庶。」
[副]
相近、差不多。《論語．先進》：「回也，其庶乎！屢空。」三國魏．何晏．集解：「言回庶幾聖道，雖數空匱而樂在其中。」</t>
  </si>
  <si>
    <t>倏</t>
  </si>
  <si>
    <t>[副]
急速。《說文解字．犬部》「倏」字．清．段玉裁．注：「倏，引伸為凡忽然之詞。」唐．李白〈大鵬賦〉：「左迴右旋，倏陰忽明。」《紅樓夢》第一二回：「倏忽又臘盡春回，這病更又沉重。」</t>
  </si>
  <si>
    <t>通「倏」。</t>
  </si>
  <si>
    <t>(一)ㄒㄧㄠ xiāo（07004）</t>
  </si>
  <si>
    <t>儵</t>
  </si>
  <si>
    <t>[副]
快速、急速。《楚辭．屈原．九歌．少司命》：「儵而來兮忽而逝。」《文選．謝朓．和王著作八公山詩》：「道峻芳塵流，業遙年運儵。」</t>
  </si>
  <si>
    <t>[名]
1.闡明經義或古注的文字。如：「注疏」、「義疏」。唐．柳冕〈與權德輿書〉：「其有明聖人之道，盡六經之意，而不能誦疏與注，一切棄之。」
2.古代臣下進呈君王的奏章。如：「上疏」。唐．杜甫〈秋興〉詩八首之三：「匡衡抗疏功名簿，劉向傳經心事違。」
3.書信。唐．杜甫〈潭州送韋員外牧韶州〉詩：「洞庭無過雁，書疏莫相忘。」
[動]
分條陳述、記錄。《漢書．卷五四．蘇建傳》：「初桀、安與大將軍霍光爭權，數疏光過失予燕王，令上書告之。」</t>
  </si>
  <si>
    <t>(一)ㄕㄨ shū（09057）</t>
  </si>
  <si>
    <t>尌</t>
  </si>
  <si>
    <t>[動]
豎立。通「樹」。《說文解字．壴部》：「尌，立也。」
[名]
姓。如春秋時鄭國有尌拊。</t>
  </si>
  <si>
    <t>澍</t>
  </si>
  <si>
    <t>[名]
及時的雨。宋．陸游〈喜雨〉詩：「樂哉甘澍及時至，九衢一洗塵沙黃。」
[動]
1.降、落。宋．王禹偁〈對雪示嘉祐〉詩：「秋來連澍百日雨，禾黍漂溺多不收。」《水滸傳》第九四回：「喬冽揭榜上壇，甘霖大澍。」
2.潤澤、滋潤。《淮南子．泰族》：「若春雨之灌萬物也，……無地而不澍，無物不生。」漢．王充《論衡．雷虛》：「說雨者以為天施氣。天施氣，氣渥為雨，故雨潤萬物，名曰澍。」</t>
  </si>
  <si>
    <t>樹</t>
  </si>
  <si>
    <t>[名]
1.樹木，即木本植物的總稱。如：「植物園種了各種各樣的樹。」
2.門屏。《禮記．郊特牲》：「臺門而旅樹。」漢．鄭玄．注：「屏謂之樹。樹所以蔽行道。」
[動]
1.種植、栽培。如：「十年樹木，百年樹人。」《呂氏春秋．士容論．任地》：「日至，苦菜死而資生，而樹麻與菽。」
2.建立。《書經．泰誓下》：「樹德務滋，除惡務本。」唐．李白〈與賈少公書〉：「白不樹矯抗之跡，恥振元邈之風。」</t>
  </si>
  <si>
    <t>裋</t>
  </si>
  <si>
    <t>[名]
僮僕所穿的粗布短衣。參見「裋褐」條。</t>
  </si>
  <si>
    <t>豎</t>
  </si>
  <si>
    <t>[動]
使物體直立。清．王念孫《廣雅疏證．卷四上．釋詁》：「豎，立也。」《全唐詩．卷七九八．花蕊夫人．述國亡詩》：「君王城上豎降旗，妾在深宮那得知。」
[名]
1.一種書寫筆法。指由上到下的直筆。如：「一橫一豎」。
2.宮內小臣。《左傳．僖公二十四年》：「晉侯之豎頭須，守藏者也。」晉．杜預．注：「豎，左右小吏。」《文選．司馬遷．報任少卿書》：「夫以中才之人，事有關於宦豎，莫不傷氣，而況於慷慨之士乎！」
3.家中未成年的僮僕。《列子．說符》：「楊子之鄰人亡羊，既率其黨，又請楊子之豎追之。」</t>
  </si>
  <si>
    <t>[動]
1.布置、安排。如：「部署就緒」。
2.簽寫、題寫。如：「簽署」、「署名」。《漢書．卷五四．蘇建傳》：「署其官爵姓名。」
3.暫代或試充某種職務。《三國志．卷三五．蜀書．諸葛亮傳》：「成都平，以亮為軍師將軍，署左將軍府事。」《清史稿．卷三九三．周天爵傳》：「星沅既疏請特簡總統督師，尋病歿，命天爵暫署欽差大臣。」</t>
  </si>
  <si>
    <t>(一)ㄕㄨˇ shǔ（09077）</t>
  </si>
  <si>
    <t>曙</t>
  </si>
  <si>
    <t>[名]
天剛亮，破曉時分。《楚辭．屈原．九章．悲回風》：「涕泣交而凄凄兮，思不眠以至曙。」
[形]
拂曉時的。如：「曙日」、「曙光」。</t>
  </si>
  <si>
    <t>腧</t>
  </si>
  <si>
    <t>[名]
人體中的穴道。如：「胃腧」、「肩外腧」。《黃帝素問靈樞經．卷一．九鍼十二原》：「五臟五腧，五五二十五腧；六府六腧，六六三十六腧。」</t>
  </si>
  <si>
    <t>(二)（又音）ㄩˊ yú（11607）</t>
  </si>
  <si>
    <t>墅</t>
  </si>
  <si>
    <t>[名]
1.田舍、農莊。三國魏．曹植〈泰山梁甫行〉：「劇哉邊海民，寄身於草墅。」南朝梁．沈約〈少年新婚為之詠〉：「山陰柳家女，莫言出田墅。」
2.在住宅以外，專供休養、遊樂的園林房屋。如：「別墅」。《晉書．卷七九．謝安傳》：「又於土山營墅，樓館林竹甚盛。」</t>
  </si>
  <si>
    <t>[名]
1.數目、數量。如：「人數」、「次數」。
2.古代計算的方法。為六藝之一。《周禮．地官．大司徒》：「三曰六藝：禮、樂、射、御、書、數。」
3.占卜之術。《左傳．僖公十五年》：「龜，象也。筮，數也。」
4.技藝。《孟子．告子上》：「今夫奕之為數，小數也。」
5.氣運、命運。如：「天數」、「劫數」、「氣數」。《文選．李康．運命論》：「吉凶成敗，各以數至。」北魏．高允〈酒訓〉：「歷觀往代成敗之效，吉凶由人，不在數也。」
6.規律、法則。《後漢書．卷六三．李固傳》：「夫窮高則危，大滿則溢，月盈則缺，日中則移，凡此四者，自然之數也。」
7.法制。《管子．任法》：「聖君任法而不任智，任數而不任說。」
[形]
幾，為約舉之詞。《孟子．梁惠王上》：「數口之家，可以無饑矣。」</t>
  </si>
  <si>
    <t>(二)ㄕㄨˇ shǔ（09086）(三)ㄕㄨㄛˋ shuò（09130）(四)ㄘㄨˋ cù（09830）(五)ㄙㄨˋ sù（10118）</t>
  </si>
  <si>
    <t>籔</t>
  </si>
  <si>
    <t>[名]
量詞。古代計算容積的單位。十六斗稱為「籔」。《玉篇．竹部》：「籔，十六斗曰籔。」</t>
  </si>
  <si>
    <t>(二)ㄙㄡˇ sǒu（10049）</t>
  </si>
  <si>
    <t>刷</t>
  </si>
  <si>
    <t>ㄕㄨㄚ</t>
  </si>
  <si>
    <t>shuā</t>
  </si>
  <si>
    <t>[動]
1.清除、去垢。《爾雅．釋詁下》：「刷，清也。」如：「刷牙」、「刷鞋」。《晏子春秋．內篇．諫上》：「公刷涕而顧晏子。」
2.洗雪。如：「洗刷冤情」。《史記．卷四〇．楚世家》：「昭雎曰：『王雖東取地於越，不足以刷恥；必且取地於秦，而後足以刷恥於諸侯。』」
3.塗抹。如：「刷牆」、「刷油漆」。
4.淘汰。如：「他在決賽中被刷掉了。」
[名]
用來清除汙垢或塗抹的器具。如：「牙刷」、「鞋刷」、「油漆刷」。
[擬]
形容迅速擦過的聲音。如：「刷刷作響」。</t>
  </si>
  <si>
    <t>(二)ㄕㄨㄚˋ shuà（09113）</t>
  </si>
  <si>
    <t>耍</t>
  </si>
  <si>
    <t>ㄕㄨㄚˇ</t>
  </si>
  <si>
    <t>shuǎ</t>
  </si>
  <si>
    <t>[動]
1.遊戲、玩樂。如：「玩耍」、「戲耍」。《西遊記》第一回：「一群猴子耍了一會，卻去那山澗中洗澡。」
2.玩弄、賣弄。如：「耍花樣」、「耍大刀」、「耍嘴皮」。
3.展現（含貶義）。如：「耍威風」、「耍大牌」、「耍脾氣」。</t>
  </si>
  <si>
    <t>ㄕㄨㄚˋ</t>
  </si>
  <si>
    <t>shuà</t>
  </si>
  <si>
    <t>參見「刷選」條。</t>
  </si>
  <si>
    <t>(一)ㄕㄨㄚ shuā（09111）</t>
  </si>
  <si>
    <t>說</t>
  </si>
  <si>
    <t>ㄕㄨㄛ</t>
  </si>
  <si>
    <t>shuō</t>
  </si>
  <si>
    <t>[動]_x000D_
1.訴說、告訴。南朝宋．劉義慶《世說新語．德行》：「有人向張華說此事。」唐．韋莊〈應天長．別來年歲音書絕〉詞：「暗相思，無處說。」_x000D_
2.解釋。如：「說明」、「說理」、「解說」。漢．王充《論衡．正說》：「儒者說五經，多失其實。」_x000D_
3.談論。南朝宋．劉義慶《世說新語．品藻》：「世論溫太真是過江第二流之高者，時名輩共說人物。第一將盡之間，溫常失色。」唐．封演《封氏聞見記．卷六．飲茶》：「楚人陸鴻漸為茶論，說茶之功效并煎茶炙茶之法。」_x000D_
4.責備、指責。如：「說了他一頓。」《儒林外史》第二三回：「牛玉圃在萬家喫酒，直到更把天纔回來，上樓又把牛浦數說了一頓。」_x000D_
5.介紹親事。如：「說媒」、「說婆家」。《平妖傳》第二二回：「我家只養得這個女兒，年方一十九歲，要與他說親。特請你二人來商議則個。」_x000D_
[名]_x000D_
言論、道理。如：「學說」、「著書立說」。《易經．繫辭上》：「原始反終，故知死生之說。」</t>
  </si>
  <si>
    <t>(二)ㄕㄨㄟˋ shuì（09146）(三)ㄩㄝˋ yuè（11740）</t>
  </si>
  <si>
    <t>ㄕㄨㄛˋ</t>
  </si>
  <si>
    <t>shuò</t>
  </si>
  <si>
    <t>[名]
1.(一)之讀音。
2.(二)之又音。</t>
  </si>
  <si>
    <t>(一)ㄕㄠˊ sháo（08872）(二)ㄓㄨㄛˊ zhuó（08028A）</t>
  </si>
  <si>
    <t>妁</t>
  </si>
  <si>
    <t>[名]
女方家的媒人。《孟子．滕文公下》：「父母之命，媒妁之言。」《兒女英雄傳》第二六回：「我知道男家的媒人叫作媒，女家的媒人叫作妁。」</t>
  </si>
  <si>
    <t>(一)（語音）ㄕㄠˊ sháo（08874）</t>
  </si>
  <si>
    <t>帥</t>
  </si>
  <si>
    <t>(一)（語音）ㄕㄨㄞˋ shuài（09137）</t>
  </si>
  <si>
    <t>朔</t>
  </si>
  <si>
    <t>[名]
1.農曆每月初一日。元．劉因〈桃源行〉：「天家正朔不得知，手種桃枝辨四時。」《初刻拍案驚奇》卷二〇：「每逢月朔，便獻一番利市。」
2.開始、最初。《禮記．禮運》：「治其麻絲，以為布帛，以養生送死，以事鬼神上帝，皆從其朔。」
3.北方。《書經．堯典》：「申命和叔，宅朔方，曰幽都。」
[形]
北方的。《文選．曹植．朔風詩》：「仰彼朔風，用懷魏都。」唐．杜甫〈詠懷古跡〉詩五首之三：「一去紫臺連朔漠，獨留青冢向黃昏。」</t>
  </si>
  <si>
    <t>搠</t>
  </si>
  <si>
    <t>[動]
1.刺、扎。《京本通俗小說．錯斬崔寧》：「連搠一兩刀，血流在地，眼見得老王養不大了。」《水滸傳》第一〇回：「林冲舉手，肐察的一鎗，先搠倒差撥。」
2.插、豎。元．無名氏《爭報恩．楔子》：「忠義堂高搠杏黃旗一面，上寫著替天行道宋公明。」《三國演義》第五一回：「只見女牆邊虛搠旌旗，無人守護。」
3.提、拿。元．無名氏《漁樵記》第二折：「則問那映雪的書生安在，便是凍蘇秦也怎生去搠筆巡街！」《水滸傳》第八七回：「小將軍搠戟在手，勒馬陣前，高聲大叫。」
4.摔、推。《初刻拍案驚奇》卷三：「那婦人將盤一搠，且不收拾。」</t>
  </si>
  <si>
    <t>嗍</t>
  </si>
  <si>
    <t>[動]
以口吸吮。清．邵長蘅〈吳趨吟．重賦〉：「刮膏嗍民髓，髓竭國亦僵。」</t>
  </si>
  <si>
    <t>槊</t>
  </si>
  <si>
    <t>[名]
武器名。一種長矛。如：「橫槊賦詩」。《魏書．卷五八．楊播傳》：「不畏利槊堅城，唯畏楊公鐵星。」</t>
  </si>
  <si>
    <t>蒴</t>
  </si>
  <si>
    <t>[名]
蘚苔植物的成熟之孢子體，產生或貯藏孢子之器官，稱為「蒴」，也稱為「苔蒴」。</t>
  </si>
  <si>
    <t>同「帥」(一)的讀音。</t>
  </si>
  <si>
    <t>(一)ㄕㄨㄞˋ shuài（09138）(三)ㄌㄩˋ lǜ（03896）</t>
  </si>
  <si>
    <t>蟀</t>
  </si>
  <si>
    <t>(一)（語音）ㄕㄨㄞˋ shuài（09139）</t>
  </si>
  <si>
    <t>欶</t>
  </si>
  <si>
    <t>[動]
飲。唐．韓愈、孟郊〈納涼聯句〉：「車馬獲同驅，酒醪欣共欶。」</t>
  </si>
  <si>
    <t>(二)ㄙㄡˋ sòu（10050）</t>
  </si>
  <si>
    <t>[名]
萷藋：一種藥草。《集韻．入聲．覺韻》：「萷，萷藋，藥草。」</t>
  </si>
  <si>
    <t>(一)ㄕㄠ shāo（08863）</t>
  </si>
  <si>
    <t>箾</t>
  </si>
  <si>
    <t>[動]
用竿子打人。《說文解字．竹部》：「箾，以竿擊人也。」
[名]
古代舞者所拿的竿子。《廣韻．入聲．覺韻》：「箾，舞者所執。」</t>
  </si>
  <si>
    <t>[形]
1.大的、高大的。如：「碩大」、「碩德」。《詩經．魏風．碩鼠》：「碩鼠碩鼠，無食我黍。」
2.學識淵博的。如：「碩士」、「碩彥」、「碩儒」。
3.美好的。《詩經．衛風．碩人》：「碩人其頎，衣錦褧衣。」
4.堅固的。漢．阮瑀〈為曹公作書與孫權〉：「忍絕王命，明棄碩交，實為佞人所構會也。」</t>
  </si>
  <si>
    <t>(二)（又音）ㄕˊ shí（08710）</t>
  </si>
  <si>
    <t>[副]
頻頻、屢次。如：「數見不鮮」。《孫子．行軍》：「屢賞者窘也；數罰者困也。」</t>
  </si>
  <si>
    <t>(一)ㄕㄨˋ shù（09109）(二)ㄕㄨˇ shǔ（09086）(四)ㄘㄨˋ cù（09830）(五)ㄙㄨˋ sù（10118）</t>
  </si>
  <si>
    <t>獡</t>
  </si>
  <si>
    <t>[形]
驚怕的樣子。《說文解字．犬部》：「獡，犬獡獡不附人也。……。南楚謂相驚曰獡。」</t>
  </si>
  <si>
    <t>爍</t>
  </si>
  <si>
    <t>[形]
1.光亮閃動的樣子。如：「燈光閃爍」、「目光爍爍」。《文明小史》第一四回：「就這洋燈而論，晶光爍亮，已是外國人文明的證據。」
2.炎熱。唐．柳宗元〈永州龍興寺東邱記〉：「溫風不爍，清氣自至。」
[動]
1.銷鎔、鎔化。同「鑠」。《周禮．冬官考工記》：「爍金以為刃，凝土以為器。」漢．王充《論衡．奇怪》：「爍一鼎之銅，以灌一錢之形，不能成一鼎，明矣。」
2.燒、灼。唐．李白〈感時留別從兄徐王延年從弟延陵〉詩：「驕陽何太赫，海水爍龍龜。」</t>
  </si>
  <si>
    <t>鑠</t>
  </si>
  <si>
    <t>[動]
1.鎔化。如：「燒鑠」、「眾口鑠金」。
2.消損、削弱。《戰國策．秦策五》：「秦先得齊宋，則韓氏鑠，韓氏鑠則楚孤而受兵也。」宋．陸游〈晨起對鏡〉詩：「朱顏豈是一朝去，暗鑠潛銷五十年。」
3.鍛鍊。《孟子．告子上》：「仁、義、禮、智，非由外鑠我也。」
[形]
1.美好光明的。《詩經．周頌．酌》：「於鑠王師，遵養時晦。」漢．毛亨．傳：「鑠，美也。」
2.光亮閃耀的樣子。通「爍」。如：「震古鑠今」。</t>
  </si>
  <si>
    <t>衰</t>
  </si>
  <si>
    <t>ㄕㄨㄞ</t>
  </si>
  <si>
    <t>shuāi</t>
  </si>
  <si>
    <t>[動]_x000D_
減退、由強盛而微弱。《楚辭．屈原．九章．涉江》：「余幼好比奇服兮，年既老而不衰。」《禮記．王制》：「五十始衰，六十非肉不飽。」</t>
  </si>
  <si>
    <t>(二)ㄘㄨㄟ cuī（09862）</t>
  </si>
  <si>
    <t>摔</t>
  </si>
  <si>
    <t>[動]
1.用力扔、丟。如：「把書狠狠地往桌上一摔。」《紅樓夢》第三回：「寶玉聽了，登時發作起痴狂病來，摘下那玉，就狠命摔去。」
2.墜落、掉落。如：「小心！別從樓梯上摔下來。」
3.使掉落而受損。如：「他不小心，把碗給摔了。」
4.擺脫掉。如：「現代人生活忙碌，無法將工作壓力摔在一邊。」
5.跌倒。如：「摔一跤」。
[名]
柔道技巧摔的動作。如：「過肩摔」。</t>
  </si>
  <si>
    <t>甩</t>
  </si>
  <si>
    <t>ㄕㄨㄞˇ</t>
  </si>
  <si>
    <t>shuǎi</t>
  </si>
  <si>
    <t>[動]
1.搖擺、揮動。如：「甩甩頭」、「甩尾巴」、「甩辮子」、「甩水袖」。
2.扔、丟。如：「甩手榴彈」、「把球棒一甩」。
3.拋棄、拋開。如：「他把咱們給甩了！」「等一會兒吧！別把他一個人甩在後面。」
4.理會。如：「我才不甩他那一套！」</t>
  </si>
  <si>
    <t>ㄕㄨㄞˋ</t>
  </si>
  <si>
    <t>shuài</t>
  </si>
  <si>
    <t>[名]
1.軍隊中級職最高的指揮官。如：「統帥」、「元帥」。
2.姓。如宋代有帥範。
[動]
1.引導、率領。如：「帥師」。《左傳．隱公元年》：「命子封帥車二百乘以伐京。」
2.遵循。《左傳．莊公二十三年》：「帥長幼之序。」《國語．周語下》：「帥象禹之功，度之于軌儀。」三國吳．韋昭．注：「帥，循也。」
[形]
1.面容俊俏或舉止瀟灑、有風度。如：「帥氣」、「這個男孩長得很帥。」
2.事情美好，令人滿意。如：「帥啊！好一支再見全壘打。」、「他寫的這幾個字真帥！」</t>
  </si>
  <si>
    <t>(二)（讀音）ㄕㄨㄛˋ shuò（09118）</t>
  </si>
  <si>
    <t>[名]
1.榜樣。如：「表率」。《史記．卷一一二．平津侯主父傳》：「夫三公者，百寮之率，萬民之表也。」
2.姓。如宋代有率子廉。
[動]
1.帶領。如：「率領」、「率團訪問」。
2.遵循。《詩經．大雅．假樂》：「不愆不忘，率由舊章。」漢．鄭玄．箋：「率，循也。……循用舊典之文章，謂周公之禮法。」
[形]
1.輕浮、不細心。如：「輕率」、「草率」。
2.坦白、豪爽。如：「坦率」、「直率」。
[副]
大約、通常。如：「大率」、「率皆如此」。南朝梁．劉勰《文心雕龍．明詩》：「乃正始明道，詩雜仙心，何晏之徒，率多浮淺。」</t>
  </si>
  <si>
    <t>(二)ㄕㄨㄛˋ shuò（09124）(三)ㄌㄩˋ lǜ（03896）</t>
  </si>
  <si>
    <t>(二)（讀音）ㄕㄨㄛˋ shuò（09125）</t>
  </si>
  <si>
    <t>ㄕㄨㄟˊ</t>
  </si>
  <si>
    <t>shuí</t>
  </si>
  <si>
    <t>(一)（語音）ㄕㄟˊ shéi（08857）</t>
  </si>
  <si>
    <t>水</t>
  </si>
  <si>
    <t>ㄕㄨㄟˇ</t>
  </si>
  <si>
    <t>shuǐ</t>
  </si>
  <si>
    <t>[名]
1.無色無臭的液體。由氫氣與氧氣化合而成。
2.汁、液。如：「墨水」、「藥水」、「橘子水」、「檸檬水」。
3.海、河、江、湖的總稱。如：「漢水」。《書經．微子》：「今殷其淪喪，若涉大水，其無津涯。」
4.五行之一。參見「五行」條。
5.水星的簡稱。參見「水星」條。
6.額外的收入、費用。如：「撈油水」。《鄰女語》第二回：「你一路上發的水還不彀麼？還要到這地方來想方麼？」
7.量詞。計算衣物刷洗次數的單位。如：「這件衣服洗兩水就走樣了。」
8.姓。如明代有水甦民。
9.二一四部首之一。
[形]
瓜果等多汁而不脆甜。如：「這梨吃起來水水的，不脆。」</t>
  </si>
  <si>
    <t>涗</t>
  </si>
  <si>
    <t>ㄕㄨㄟˋ</t>
  </si>
  <si>
    <t>shuì</t>
  </si>
  <si>
    <t>[名]
溫水。《玉篇．水部》：「涗，溫水也。」
[形]
清澈。《周禮．冬官考工記．&amp;91dd._104_0.gif;氏》：「&amp;91dd._104_0.gif;氏湅絲，以涗水漚其絲，七日，去地尺，暴之。」</t>
  </si>
  <si>
    <t>帨</t>
  </si>
  <si>
    <t>[名]
佩巾，即手帕。《詩經．召南．野有死麕》：「舒而脫脫兮，無感我帨兮。」漢．毛亨．傳：「帨，佩巾也。」</t>
  </si>
  <si>
    <t>稅</t>
  </si>
  <si>
    <t>[名]
國家向人民徵收所得的一部分，作為國家經費。如：「所得稅」、「營業稅」。
[動]
1.租賃。唐．白行簡《李娃傳》：「聞茲地有隙院，願稅以居，信乎？」《聊齋志異．卷二．俠女》：「對戶舊有空第，一老嫗及少女，稅居其中。」
2.以物贈人。《禮記．檀弓上》：「未仕者不敢稅人，如稅人則以父兄之命。」</t>
  </si>
  <si>
    <t>參見「蛻變」條。</t>
  </si>
  <si>
    <t>(一)ㄊㄨㄟˋ tuì（02847）</t>
  </si>
  <si>
    <t>[動]_x000D_
用言語勸說，使人聽從或採納自己的意見。如：「說客」、「說服」、「遊說」。《孟子．萬章上》：「其自任以天下之重如此，故就湯而說之以伐夏救民。」</t>
  </si>
  <si>
    <t>(一)ㄕㄨㄛ shuō（09114）(三)ㄩㄝˋ yuè（11740）</t>
  </si>
  <si>
    <t>睡</t>
  </si>
  <si>
    <t>[動]
1.閉目安息，使身心凝定沉靜，以休養精神。如：「沉睡」。《漢書．卷四八．賈誼傳》：「斥候望烽燧不得臥，將吏披介冑而睡。」
2.躺。《儒林外史》第一二回：「那些朋友們和我賭賽，叫我睡在街心裡，把膀子伸著，等那車來。」
[形]
睡眠時用的。如：「睡衣」、「睡袍」。</t>
  </si>
  <si>
    <t>拴</t>
  </si>
  <si>
    <t>ㄕㄨㄢ</t>
  </si>
  <si>
    <t>shuān</t>
  </si>
  <si>
    <t>[動]
繫、綁。如：「她被孩子拴住了，走不開。」《紅樓夢》第四七回：「湘蓮見前面人跡已稀，且有一帶葦塘。便下馬將馬拴在樹上。」
[名]
門閂。《水滸傳》第四回：「門子只得捻腳捻手，把拴拽了，飛也似閃入房裡躲了。」</t>
  </si>
  <si>
    <t>栓</t>
  </si>
  <si>
    <t>[名]
1.木釘。《玉篇．木部》：「栓，木丁也。」
2.器物上可以開關的活門。如：「門栓」、「消防栓」。
3.瓶塞。如：「瓶栓」、「木栓」。</t>
  </si>
  <si>
    <t>閂</t>
  </si>
  <si>
    <t>[名]
栓門戶的橫木。如：「門閂」。《紅樓夢》第七一回：「只見角門虛掩，猶未上閂。」
[動]
插上門閂，把門關緊。《老殘遊記》第五回：「此地有酒，你閂了大門，可以來喝一杯罷！」</t>
  </si>
  <si>
    <t>涮</t>
  </si>
  <si>
    <t>ㄕㄨㄢˋ</t>
  </si>
  <si>
    <t>shuàn</t>
  </si>
  <si>
    <t>[動]
1.清洗、洗滌。如：「涮碗碟」、「涮瓶子」、「涮杯子」。
2.一種烹飪方法。由進食者將切好的薄肉片，放入滾湯中，燙一下即刻取出，沾佐料而食。如：「涮羊肉」、「涮毛肚」。
3.戲弄、作弄。如：「你別涮人了。」</t>
  </si>
  <si>
    <t>[動]
戲弄、說謊開玩笑。如：「他出帖請客，主人卻爽約不到，把人給諼了。」</t>
  </si>
  <si>
    <t>(一)ㄒㄩㄢ xuān（07362）</t>
  </si>
  <si>
    <t>[名]
腳後跟。《玉篇．足部》：「踹，足跟也。」
[動]
躍。《淮南子．人間》：「追者至，踹足而怒。」漢．高誘．注：「踹足，躍足也。」</t>
  </si>
  <si>
    <t>(二)ㄔㄨㄞˋ chuài（08596）</t>
  </si>
  <si>
    <t>吮</t>
  </si>
  <si>
    <t>ㄕㄨㄣˇ</t>
  </si>
  <si>
    <t>shǔn</t>
  </si>
  <si>
    <t>[動]
用口吸取。如：「吮奶」、「吮血」、「吸吮」。《韓非子．備內》：「醫善吮人之傷，含人之血。」</t>
  </si>
  <si>
    <t>(一)ㄉㄨㄣˋ dǔn（02385）</t>
  </si>
  <si>
    <t>楯</t>
  </si>
  <si>
    <t>[名]
1.欄杆的橫木，泛指欄杆。宋．黃銖〈江神子．秋風嫋嫋夕陽紅〉詞：「獨上高樓三百尺，憑玉楯，睇層空。」
2.古代用來抵禦敵人兵刃及保護自己的兵器。通「盾」。《宋書．卷五一．長沙王道憐傳》：「有質幹，善於用短楯。」</t>
  </si>
  <si>
    <t>䀢</t>
  </si>
  <si>
    <t>ㄕㄨㄣˋ</t>
  </si>
  <si>
    <t>shùn</t>
  </si>
  <si>
    <t>[動]
以眼示意。《公羊傳．成公二年》：「郤克䀢魯衛之使，使以其辭而謂之請。」清．袁枚〈祭妹文〉：「家中文墨，䀢汝辦治。」</t>
  </si>
  <si>
    <t>舜</t>
  </si>
  <si>
    <t>[名]
1.參見「虞舜」條。
2.木槿的別名。參見「木槿」條。
3.姓。如春秋時晉國有舜華。</t>
  </si>
  <si>
    <t>蕣</t>
  </si>
  <si>
    <t>[名]
植物名。錦葵科木槿屬，「木槿」之古稱，參見「木槿」條。</t>
  </si>
  <si>
    <t>瞬</t>
  </si>
  <si>
    <t>[動]
眨眼、眼珠轉動。《列子．湯問》：「爾先學不瞬，而後可言射矣。」
[名]
比喻短暫的時間。宋．蘇軾〈赤壁賦〉：「蓋將自其變者而觀之，天地曾不能以一瞬。」</t>
  </si>
  <si>
    <t>順</t>
  </si>
  <si>
    <t>[動]
1.遵循。如：「順序」。《詩經．魯頌．泮水》：「順此長道，屈此群醜。」
2.依從。宋．司馬光〈訓儉示康〉：「亦不敢服垢弊以矯俗干名，但順吾性而已。」
3.沿著同一個方向。如：「順風」、「順水」、「順流」。
4.歸服。如：「歸順」。《孟子．公孫丑下》：「多助之至，天下順之。」
5.適合、不違逆。如：「順心」、「順眼」。
6.整理。如：「把頭髮順一順。」
7.趁便。如：「順便」、「順道」。
[形]
1.調和的。如：「風調雨順」。
2.流利、通暢。如：「通順」。唐．韓愈〈南陽樊紹述墓志銘〉：「文從字順各識識。」
[副]
依序。《左傳．定公八年》：「冬十月，順祀先公而祈焉。」</t>
  </si>
  <si>
    <t>瞚</t>
  </si>
  <si>
    <t>[動]
轉動眼珠。《莊子．庚桑楚》：「終日視而目不瞚。」《史記．卷一〇五．扁鵲倉公傳》：「中庶子聞扁鵲言，目眩然而不瞚。」</t>
  </si>
  <si>
    <t>瞤</t>
  </si>
  <si>
    <t>[動]
眼珠跳動。《西京雜記》卷三：「夫目瞤得酒食，燈火華得錢財。」《聊齋志異．卷五．綠衣女》：「心動眼瞤，蓋是常也，何遽此云？」</t>
  </si>
  <si>
    <t>霜</t>
  </si>
  <si>
    <t>ㄕㄨㄤ</t>
  </si>
  <si>
    <t>shuāng</t>
  </si>
  <si>
    <t>[名]
1.接近地面的水蒸氣，遇冷而凝結成白色的結晶顆粒。《詩經．秦風．蒹葭》：「蒹葭蒼蒼，白露為霜。」清．方苞〈左忠毅公軼事〉：「甲上冰霜迸落，鏗然有聲。」
2.白色如霜的粉末或膏脂。如：「砒霜」、「面霜」。
[形]
白色的。唐．杜甫〈古柏行〉：「霜皮溜雨四十圍，黛色參天二千尺。」</t>
  </si>
  <si>
    <t>孀</t>
  </si>
  <si>
    <t>[名]
寡婦，死了丈夫的女人。如：「遺孀」。《淮南子．脩務》：「弔死問疾，以養孤孀。」</t>
  </si>
  <si>
    <t>驦</t>
  </si>
  <si>
    <t>參見「驌驦」條。</t>
  </si>
  <si>
    <t>雙</t>
  </si>
  <si>
    <t>[名]
1.量詞。計算成對物品的單位。如：「一雙鞋子」、「兩雙筷子」。
2.姓。如宋代有雙漸。
[形]
1.偶數的。如：「雙數」、「雙月」、「雙號」。
2.加倍的。如：「雙薪」、「雙份」。
[動]
匹敵。唐．韓愈〈病中贈張十八〉詩：「談舌久不掉，非君諒誰雙。」</t>
  </si>
  <si>
    <t>(二)ㄕㄨㄤˋ shuàng（09175）</t>
  </si>
  <si>
    <t>䉶</t>
  </si>
  <si>
    <t>艭</t>
  </si>
  <si>
    <t>[名]
船隻。明．袁宏道〈和小修〉詩：「露稍千縷撲斜窗，黃笙藤枕夢吳艭。」</t>
  </si>
  <si>
    <t>𨇯</t>
  </si>
  <si>
    <t>[動]
跭𨇯：豎立。《廣韻．平聲．江韻》：「跭，跭𨇯，立也。」</t>
  </si>
  <si>
    <t>[名]
1.河川名。源出大陸地區湖南省臨武縣西，流入廣東省，合於東江。
2.參見「瀧岡」條。</t>
  </si>
  <si>
    <t>(一)ㄌㄨㄥˊ lóng（03856）</t>
  </si>
  <si>
    <t>鷞</t>
  </si>
  <si>
    <t>參見「鷫鷞」條。</t>
  </si>
  <si>
    <t>爽</t>
  </si>
  <si>
    <t>ㄕㄨㄤˇ</t>
  </si>
  <si>
    <t>shuǎng</t>
  </si>
  <si>
    <t>[形]
1.舒適、暢快。如：「神清氣爽」、「秋高氣爽」、「人逢喜事精神爽」。
2.豪邁、不拘小節的。如：「豪爽」、「直爽」。《水滸傳》第九四回：「關某單騎同唐斌到抱犢山。見文仲容、崔埜二人爽亮，毫無猥瑣之態。」
3.明亮。晉．陸機〈齊謳行〉：「營丘負海曲，沃野爽且平。」唐．李商隱〈別薛巖賓〉詩：「曙爽行將拂，晨清坐欲凌。」
[動]
1.犯錯、違失。如：「屢試不爽」。《詩經．衛風．氓》：「女也不爽，士貳其行。」
2.失、違反。如：「爽約」。</t>
  </si>
  <si>
    <t>塽</t>
  </si>
  <si>
    <t>[名]
高朗的地方。《集韻．上聲．養韻》：「塽，地高明處。」</t>
  </si>
  <si>
    <t>ㄕㄨㄤˋ</t>
  </si>
  <si>
    <t>shuàng</t>
  </si>
  <si>
    <t>雙棒兒的雙的語音。</t>
  </si>
  <si>
    <t>(一)ㄕㄨㄤ shuāng（09167）</t>
  </si>
  <si>
    <t>入</t>
  </si>
  <si>
    <t>ㄖˋ</t>
  </si>
  <si>
    <t>rì</t>
  </si>
  <si>
    <t>[動]
發生性關係。《水滸傳》第五一回：「那婆婆那裡有好氣，便指著罵道：『你這……亂人入的賤母狗！做什麼倒罵我！』」</t>
  </si>
  <si>
    <t>(一)ㄖㄨˋ rù（09298）(三)ㄖㄨˇ rǔ（09293）</t>
  </si>
  <si>
    <t>[名]
1.太陽。漢．王充《論衡．感虛》：「日之行也，行天星度。」唐．李白〈古風〉詩五九首之二八：「草綠霜已白，日西月復東。」
2.白天。與「夜」相對。《詩經．唐風．葛生》：「夏之日，冬之夜，百歲之後，歸于其居。」《孟子．離婁下》：「周公思兼三王以施四事，其有不合者，仰而思之，夜以繼日。」
3.地球自轉一周所需的時間。
4.每天。《易經．大畜卦》：「《彖》曰：大畜剛健篤實輝光，日新其德。」《論語．學而》：「吾日三省吾身。」
5.特定的一日。如：「國慶日」、「生日」。《書經．舜典》：「正月上日，受終于文祖。」
6.季節。如：「春日」、「冬日」。
7.光陰。《漢書．卷二五．郊祀志下》：「曠日經年，靡有毫釐之驗，足以揆今。」
8.量詞。計算時間的單位。一日有二十四小時。如：「家無三日糧」。
9.從前、往昔。《左傳．文公七年》：「日衛不睦，故取其地。」《國語．晉語四》：「日，吾來此也，非以狄為榮，可以成事也。」
10.日本的簡稱。如：「中日條約」、「中、美、英、日、法」。
11.二一四部首之一。</t>
  </si>
  <si>
    <t>(二)ㄇㄧˋ mì（01373）</t>
  </si>
  <si>
    <t>馹</t>
  </si>
  <si>
    <t>[名]
古代驛站所用的驛車或馬匹。《爾雅．釋言》：「馹、遽，傳也。」晉．郭璞．注：「皆傳車、驛馬之名。」《左傳．文公十六年》：「楚子乘馹，會師于臨品。」</t>
  </si>
  <si>
    <t>若</t>
  </si>
  <si>
    <t>ㄖㄜˇ</t>
  </si>
  <si>
    <t>rě</t>
  </si>
  <si>
    <t>參見「般若」、「蘭若」等條。</t>
  </si>
  <si>
    <t>(一)ㄖㄨㄛˋ ruò（09310）</t>
  </si>
  <si>
    <t>參見「唱喏」條。</t>
  </si>
  <si>
    <t>(二)ㄋㄨㄛˋ nuò（03139）</t>
  </si>
  <si>
    <t>惹</t>
  </si>
  <si>
    <t>[動]
1.招引。《清平山堂話本．西湖三塔記》：「只因清明都來西湖上閑翫，惹出一場事來。」明．湯顯祖《紫釵記》第一三齣：「坐雲霞飄颻半天，惹人處行光一片。」
2.牽掛。唐．李賀〈昌谷北園新筍〉詩四首之四：「古竹老梢惹碧雲，茂陵歸臥歎清貧。」
3.染上、沾著。《儒林外史》第五二回：「我就是『羊肉不曾喫，空惹一身羶』。」
4.冒犯。《清平山堂話本．快嘴李翠蓮記》：「阿姆我又不惹你。」元．關漢卿《竇娥冤》第一折：「只是我那媳婦兒氣性最不好惹的。」</t>
  </si>
  <si>
    <t>熱</t>
  </si>
  <si>
    <t>ㄖㄜˋ</t>
  </si>
  <si>
    <t>rè</t>
  </si>
  <si>
    <t>[名]
1.高溫度。與「冷」相對。如：「發熱」、「冷熱」。
2.物體溫度升高所釋出的一種能。如：「地熱」、「白熱」、「導熱」。
3.熱氣、暑氣。《文選．揚雄．解嘲》：「天收其聲，地藏其熱。」
4.某一種受人喜愛的潮流。如：「大陸熱」、「觀光熱」。
5.姓。如宋代有熱煥。
[動]
加熱、使溫度升高。如：「把這碗湯拿去再熱一下。」
[形]
1.溫度高的。如：「熱水」、「熱氣」。
2.親切、情意濃厚。如：「熱心」、「熱絡」。
3.受人喜愛的。如：「熱門」。
4.心中著急。《陳書．卷三三．鄭灼傳》：「灼常蔬食，講授多苦心熱。」
[副]
強烈的、非常的。如：「熱戀」、「熱愛」。</t>
  </si>
  <si>
    <t>爇</t>
  </si>
  <si>
    <t>(一)ㄖㄨㄛˋ ruò（09317）</t>
  </si>
  <si>
    <t>嬈</t>
  </si>
  <si>
    <t>ㄖㄠˊ</t>
  </si>
  <si>
    <t>ráo</t>
  </si>
  <si>
    <t>參見「嬌嬈」條。</t>
  </si>
  <si>
    <t>(二)ㄖㄠˇ rǎo（09189）(三)ㄧㄠˇ yǎo（10848）</t>
  </si>
  <si>
    <t>蕘</t>
  </si>
  <si>
    <t>[名]
1.一種蔬菜。即蕪菁。漢．揚雄《方言》卷三：「蘴、蕘，蕪菁也。陳、楚之郊謂之蘴，魯、齊之郊謂之蕘，關之東西謂之蕪菁。」
2.燃燒用的柴草。《管子．輕重甲》：「今北澤燒莫之續，則是農夫得居裝而賣其薪蕘。」
3.打柴的人。《詩經．大雅．板》：「先民有言，詢於芻蕘。」
[動]
採薪、打柴草。唐．柳宗元〈童區寄傳〉：「童區寄者，郴州蕘牧兒也，行牧且蕘。」</t>
  </si>
  <si>
    <t>襓</t>
  </si>
  <si>
    <t>[名]
劍套、裹劍的繒帛。《玉篇．衣部》：「襓，劍衣。」《禮記．少儀》「加夫橈與劍焉」句下唐．孔穎達．正義：「襓字從衣當以繒帛為之。」</t>
  </si>
  <si>
    <t>蟯</t>
  </si>
  <si>
    <t>參見「蟯蟲」條。</t>
  </si>
  <si>
    <t>饒</t>
  </si>
  <si>
    <t>[動]
1.寬恕、赦免。如：「饒恕」、「歲月不饒人」。南朝宋．鮑照〈擬行路難〉一八首之一七：「日月流邁不相饒，令我愁思怨恨多。」
2.添加。《水滸傳》第二一回：「不還！再饒你一百個不還！若要還時，在鄆城縣還你！」
3.讓。《水滸傳》第六八回：「眾人都饒讓你一步，我自天也不怕！你只管讓來讓去做甚鳥。」
[形]
豐厚、富足。如：「富饒」、「豐饒」。《孫子．九地》：「掠於饒野，三軍足食。」《文選．王粲．從軍詩五首之一》：「軍人多飫饒，人馬皆溢肥。」
[副]
任憑、儘管。唐．杜牧〈猿〉詩：「三聲欲斷疑腸斷，饒是少年今白頭。」《紅樓夢》第四五回：「饒這麼嚴，他們還偷空兒鬧個亂子來。」
[名]
姓。如漢代有饒斌。</t>
  </si>
  <si>
    <t>ㄖㄠˇ</t>
  </si>
  <si>
    <t>rǎo</t>
  </si>
  <si>
    <t>[動]
擾亂。《廣韻．上聲．小韻》：「嬈，亂也。」《淮南子．原道》：「其魂不躁，其神不嬈。」</t>
  </si>
  <si>
    <t>(一)ㄖㄠˊ ráo（09184）(三)ㄧㄠˇ yǎo（10848）</t>
  </si>
  <si>
    <t>擾</t>
  </si>
  <si>
    <t>[動]
1.亂。《左傳．襄公四年》：「經啟九道，民有寢廟，獸有茂草，各有攸處，德用不擾。」晉．杜預．注：「擾，亂也。」《史記．卷一三〇．太史公自序》：「秦失其道，豪桀並擾。」
2.因受人招待而表示客氣的話。如：「叨擾」。《水滸傳》第二六回：「小人不曾與都頭接風，何故反擾？」
3.安定、安撫。《書經．周官》：「司徒掌邦教，敷五典，擾兆民。」漢．孔安國．傳：「以安和天下眾民，使小大皆協睦。」宋．王安石〈原教〉：「善教者浹於民心，而耳目無聞焉，以道擾民者也。」
4.馴養、馴服。《周禮．夏官．服不氏》：「掌養猛獸而教擾之。」漢．鄭玄．注：「擾，馴也。教習使之馴服。」《荀子．性惡》：「是以為之起禮義，制法度，以矯飾人之情性而正之，以擾化人之情性而導之也。」
[形]
柔順。《書經．皋陶謨》：「亂而敬，擾而毅，直而溫。」
[名]
家畜。《周禮．夏官．職方氏》：「其畜宜六擾。」漢．鄭玄．注：「六擾：馬、牛、羊、豕、犬、雞。」</t>
  </si>
  <si>
    <t>遶</t>
  </si>
  <si>
    <t>ㄖㄠˋ</t>
  </si>
  <si>
    <t>rào</t>
  </si>
  <si>
    <t>[動]
圍繞。《文選．曹植．雜詩六首之三》：「飛鳥遶樹翔，噭噭鳴索群。」清．方苞〈三山林湛傳〉：「時問疾者遶床，謂將以家累屬成之也。」</t>
  </si>
  <si>
    <t>繞</t>
  </si>
  <si>
    <t>[動]
1.纏束、糾纏。如：「纏繞」、「縈繞」。《韓非子．內儲說下》：「晉平公觴客，少庶子進炙而髮繞之。」
2.圍著轉動。如：「繞場一周」、「繞圈子」。
3.圍、環。三國魏．曹丕〈芙蓉池作詩〉：「雙渠相溉灌，嘉木繞通川。」
4.不從正面通過，改由側面或其他方向通行。如：「此路不通，車輛請繞道。」
5.設圈套算計他人。參見「繞磨」條。</t>
  </si>
  <si>
    <t>ㄖㄡˊ</t>
  </si>
  <si>
    <t>róu</t>
  </si>
  <si>
    <t>[動]
野獸踐踏地面。《說文解字．厹部》：「厹，獸足蹂地也。」</t>
  </si>
  <si>
    <t>(二)ㄑㄧㄡˊ qiú（06411）</t>
  </si>
  <si>
    <t>禸</t>
  </si>
  <si>
    <t>[動]
獸類踐踏地面。《說文解字．禸部》：「禸，獸足蹂地也。」
[名]
二一四部首之一。</t>
  </si>
  <si>
    <t>柔</t>
  </si>
  <si>
    <t>[形]
1.軟弱。如：「柔弱」、「柔能克剛」。
2.溫和、和順。《管子．四時》：「解怨赦罪，通四方，然則柔風甘雨乃至。」《後漢書．卷四四．胡廣傳》：「柔而不犯，文而有禮。」
3.草木新生，莖葉幼嫩的樣子。《詩經．小雅．采薇》：「采薇采薇，薇亦柔止。」《文選．曹植．美女篇》：「柔條紛冉冉，葉落何翩翩。」
[動]
安撫。《禮記．中庸》：「送往迎來，嘉善而矜不能，所以柔遠人也。」《金史．卷八六．李石傳》：「北俗無定居，出沒不常，惟當以德柔之。」</t>
  </si>
  <si>
    <t>揉</t>
  </si>
  <si>
    <t>[動]
1.反覆摩擦、搓動。唐．王建〈照鏡〉詩：「暖手揉雙目，看圖引四肢。」《聊齋志異．卷一〇．席方平》：「鬼脫席衣，掬置其上，反覆揉捺之。」
2.搓成團狀。如：「揉麵」、「把紙揉成一團」。
3.使彎曲。《周禮．冬官考工記．輪人》：「揉幅必齊，平況必均。」《漢書．卷五八．公孫弘傳》：「臣聞揉曲木者不累日，銷鉐者不累月。」
4.安服。《詩經．大雅．崧高》：「申伯之德柔惠且直，揉此萬邦，聞于四國。」
[形]
雜亂。南朝宋．劉義慶《世說新語．文學》：「版後皆粲然成章，不相揉雜。」宋．司馬光〈進交趾獻奇獸賦表〉：「眾說紛揉，自非聖人莫能識其真。」</t>
  </si>
  <si>
    <t>輮</t>
  </si>
  <si>
    <t>[名]_x000D_
車輪的外框。漢．王襃〈僮約〉：「持斧入山，斷輮裁轅。」_x000D_
[動]_x000D_
1.使彎曲。通「揉」。《荀子．勸學》：「木直中繩，輮以為輪，其曲中規。」_x000D_
2.踐踏、踩踏。通「蹂」。《漢書．卷五四．李廣蘇建傳．李廣》：「且陵提步卒不滿五千，深輮戎馬之地，抑數萬之師。」《新唐書．卷八四．列傳．李密》：「民食興洛倉者，給授無檢，至負取不勝，委於道，踐輮狼扈。」</t>
  </si>
  <si>
    <t>蹂</t>
  </si>
  <si>
    <t>[動]
踐踏。《史記．卷七．項羽本紀》：「王翳取其頭，餘騎相蹂踐爭項王。」唐．柳宗元〈招海賈文〉：「上黨易野恬以舒，蹈蹂厚土堅無虞。」</t>
  </si>
  <si>
    <t>鞣</t>
  </si>
  <si>
    <t>[動]
使柔軟。《說文解字．革部》：「鞣，耎也。」清．錢坫《說文解字斠詮》卷三：「鞣，今人治皮，俗猶曰鞣。」如：「鞣皮革」。
[名]
柔軟的皮革。《廣韻．去聲．宥韻》：「鞣，柔皮。」</t>
  </si>
  <si>
    <t>煣</t>
  </si>
  <si>
    <t>[動]
用火烘烤木材使其彎曲。《玉篇．火部》：「煣，以火屈木曲。」</t>
  </si>
  <si>
    <t>糅</t>
  </si>
  <si>
    <t>ㄖㄡˇ</t>
  </si>
  <si>
    <t>rǒu</t>
  </si>
  <si>
    <t>[動]
摻雜、混合。《儀禮．鄉射禮》：「無物，則以白羽與朱羽糅。」《新唐書．卷八五．王世充傳》：「世充糧且盡，人相食，至以水汨泥去礫，取浮土糅米屑為餅。」</t>
  </si>
  <si>
    <t>肉</t>
  </si>
  <si>
    <t>ㄖㄡˋ</t>
  </si>
  <si>
    <t>ròu</t>
  </si>
  <si>
    <t>[名]
1.動物體中包住骨骼的柔韌物質。如：「肌肉」、「雞肉」、「豬肉」、「牛肉」。
2.身體。與「精神」相對。如：「靈肉一致」、「肉體」。
3.蔬果除去皮核的部分。如：「果肉」。《文選．蔡邕．為陳留太守上孝子狀》：「舅偃哀其嬴劣，嚼棗肉以哺之，未見食。」宋．沈括《夢溪筆談．卷二四．雜志一》：「閩中荔枝，核有小如丁香者，多肉而甘。」
4.二一四部首之一。
[形]
柔軟不脆。如：「這西瓜瓤兒太肉。」
[副]
行動遲緩。如：「肉得慌」、「做事真肉」。</t>
  </si>
  <si>
    <t>(二)（又音）ㄖㄨˋ rù（09299）</t>
  </si>
  <si>
    <t>呥</t>
  </si>
  <si>
    <t>ㄖㄢˊ</t>
  </si>
  <si>
    <t>rán</t>
  </si>
  <si>
    <t>參見「呥呥」條。</t>
  </si>
  <si>
    <t>袡</t>
  </si>
  <si>
    <t>[名]
衣邊、衣緣。《儀禮．士昏禮》：「純衣纁袡。」漢．鄭玄．注：「袡，亦緣也。」</t>
  </si>
  <si>
    <t>髯</t>
  </si>
  <si>
    <t>[名]
1.兩頰上的鬍鬚。《玉篇．髟部》：「髯，頰須。」唐．杜光庭《虯髯客傳》：「忽有一人，中形，赤髯如虯，乘蹇驢而來。」
2.多鬚的人。三國蜀．諸葛亮〈答關羽書〉：「黥、彭之徒，當與益德并驅爭先，猶未及髯之絕倫逸群也。」明．袁宏道〈贈李雲峰〉詩：「何處識老髯，自虎跑泉始。」</t>
  </si>
  <si>
    <t>然</t>
  </si>
  <si>
    <t>[動]
1.燒。燃的本字。《孟子．公孫丑上》：「若火之始然，泉之始達。」
2.贊同。《史記．卷八．高祖本紀》：「沛公然其計，從之。」《三國演義》第一回：「劉焉然其說，隨即出榜招募義兵。」
[形]
對、正確。如：「不以為然」。《論語．雍也》：「雍之言然。」
[代]
如此。《論語．憲問》：「子曰：『何必高宗，古之人皆然。』」唐．柳宗元〈桐葉封弟辯〉：「周公曰：『天子不可戲。』乃封小弱弟於唐。吾意不然。」
[連]
1.但是、可是。《左傳．僖公三十年》：「吾不能早用子，今急而求子，是寡人之過也。然鄭亡，子亦有不利焉。」
2.雖。《董西廂》卷八：「師言然善，奈處凡浮，遭此屈辱，不能無恨。」
3.然後。《隋書．卷七〇．李密傳》：「待士馬肥充，然可與人爭利。」
[助]
1.形容詞或副詞詞尾。如：「斐然」、「赫然」、「恍然」。《詩經．邶風．終風》：「終風且霾，惠然肯來。」
2.用於句末，表肯定、斷定的語氣。《論語．憲問》：「羿善射，奡盪舟，俱不得其死然。」《禮記．檀弓下》：「穆公召縣子而問然。」
3.表示比擬的語助詞。《呂氏春秋．孟秋紀．蕩兵》：「夫兵不可偃也，譬之若水火然，善用之則為福，不能用之則為禍。」
[歎]
唯，表應答。《論語．陽貨》：「子曰：『然！有是言也。』」《晏子春秋．內篇．雜下》：「公見其妻曰：『此子之內子邪？』晏子對曰：『然！是也。』」
[名]
姓。如漢代有然溫。</t>
  </si>
  <si>
    <t>燃</t>
  </si>
  <si>
    <t>[動]
點燃、焚燒。如：「燃燈」、「燃香」、「燃燒」、「燃眉之急」。
[形]
可以燃燒的。如：「燃料」。</t>
  </si>
  <si>
    <t>冉</t>
  </si>
  <si>
    <t>ㄖㄢˇ</t>
  </si>
  <si>
    <t>rǎn</t>
  </si>
  <si>
    <t>[副]
參見「冉冉」條。
[名]
1.龜甲的邊緣。《漢書．卷二四．食貨志下》：「元龜岠冉長尺二寸。」
2.姓。如春秋時魯國有冉求。</t>
  </si>
  <si>
    <t>姌</t>
  </si>
  <si>
    <t>參見「姌嫋」條。</t>
  </si>
  <si>
    <t>苒</t>
  </si>
  <si>
    <t>參見「苒苒」、「苒荏」等條。</t>
  </si>
  <si>
    <t>染</t>
  </si>
  <si>
    <t>[動]_x000D_
1.著色於布帛等物體上。如：「染布」、「染絲帛」。《淮南子．齊俗》：「縑之性黃，染之以丹則赤。」明．李時珍《本草綱目．卷五．水部一．流水》：「淬劍、染帛，色各不同；煮粥、烹茶，味亦有異。則其入藥豈可無辨乎？」_x000D_
2.書畫時著色落墨。如：「揮染」、「灑染」。唐．蔣防《霍小玉傳》：「生素多才思，授筆成章。……染畢，命藏於寶篋之內。」元．夏文彥《圖繪寶鑑．卷二．晉．顧愷之》：「傅染以濃色，微加點綴，不求暈飾。」_x000D_
3.沾到。如：「一塵不染」。宋．蘇軾〈雨中花．今歲花時深院〉詞：「有國豔帶酒，天香染袂，為我留連。」宋．王安石〈送和甫至龍安微雨因寄吳氏女子〉詩：「荒煙涼雨助人悲，淚染衣巾不自知。」_x000D_
4.行為習慣或疾病的傳遞與接受。如：「感染」、「傳染」。《墨子．所染》：「舜染於許由、伯陽，禹染於臯陶、伯益，湯染於伊尹、仲虺，武王染於太公、周公。此四王者所染當，故王天下。」《晉書．卷八八．孝友列傳．庾袞》：「始疑疫癘之不相染也。」《舊唐書．卷七四．列傳．劉洎》：「皇太子幼在朕膝前，每見朕心悅諫，昔者因染以成性，固有今日之諫耳。」《董西廂》卷七：「妾未知姐姐所染何患，當以藥理之。」_x000D_
5.牽連、受累。《後漢書．卷一〇．皇后紀上．光武郭皇后紀》：「嵩卒，追坐染楚王英事，國廢。」金．元好問〈大中大夫劉公墓碑〉：「大豪以苞苴私見，欲相誣染，公發其奸，并以所賄者曉于眾。」《明史．卷一九四．列傳．喬宇》：「劉瑾敗，大臣多以黨附見劾，宇獨無所染。」_x000D_
6.發生性關係。宋．洪邁《夷堅支志．卷四．鄭四妻子》：「鄭頗知妻與此子相染著，初未然其請。他日再吿，度終不可輟，且虞其狠悍肆虐，勉從之。」清．紀昀《閱微草堂筆記．卷二三．灤陽續錄五》：「眾言兒女戲嬉，實無所染，婢眉與乳可驗也。」_x000D_
[名]_x000D_
姓。如晉代有染閔。</t>
  </si>
  <si>
    <t>橪</t>
  </si>
  <si>
    <t>[名]
一種樹木。果實圓形黑色，稱為「橪」。明．張自烈《正字通．木部》：「橪，或曰雀梅。實小黑而圜。皮可染綠。」</t>
  </si>
  <si>
    <t>人</t>
  </si>
  <si>
    <t>ㄖㄣˊ</t>
  </si>
  <si>
    <t>rén</t>
  </si>
  <si>
    <t>[名]
1.具有高度智慧和靈性，且能製造並使用工具以進行勞動的高等動物。如：「男人」、「女人」、「人類」。
2.別人、他人。如：「己所不欲，勿施於人。」
3.每人。如：「人盡皆知」、「人手一冊」。《後漢書．卷一八．吳漢傳》：「若能同心一力，人自為戰，大功可立。」
4.某種類型、身分的人。如：「軍人」、「主持人」、「介紹人」、「臺北人」。
5.人的品格和性情。如：「文如其人」。《孟子．萬章下》：「頌其詩，讀其書，不知其人，可乎？」宋．王安石〈祭歐陽文忠公文〉：「世之學者，無問乎識與不識，而讀其文，則其人可知。」
6.姓。如明代有人杰。
7.二一四部首之一。</t>
  </si>
  <si>
    <t>儿</t>
  </si>
  <si>
    <t>[名]
1.同「人」。《說文解字．儿部》：「儿，古文奇字人也。」元．戴侗《六書故．卷八．人》：「按人、儿非二字，特因所合而稍變其勢。合於左者，若『伯』若『仲』，則不變其本文而為人；合於下者，若『兒』若『見』則微變其本文為儿。」
2.二一四部首之一。</t>
  </si>
  <si>
    <t>壬</t>
  </si>
  <si>
    <t>[名]
1.天干的第九位。
2.姓。如明代有壬士亨。
[形]
1.奸佞。《書經．皋陶謨》：「何畏乎巧言令色孔壬。」
2.盛大。《詩經．小雅．賓之初筵》：「百禮既至，有壬有林。」漢．毛亨．傳：「壬，大；林，君也。」</t>
  </si>
  <si>
    <t>任</t>
  </si>
  <si>
    <t>[形]
奸佞。《書經．舜典》：「惇德允元，而難任人。」唐．孔穎達．正義：「任，佞也。」
[名]
姓。如漢代有任尚。</t>
  </si>
  <si>
    <t>(一)ㄖㄣˋ rèn（09236）</t>
  </si>
  <si>
    <t>妊</t>
  </si>
  <si>
    <t>(一)ㄖㄣˋ rèn（09237）</t>
  </si>
  <si>
    <t>紝</t>
  </si>
  <si>
    <t>(一)ㄖㄣˋ rèn（09240）</t>
  </si>
  <si>
    <t>鵀</t>
  </si>
  <si>
    <t>[名]
動物名。即戴勝鳥。佛法僧目戴勝科。頭上具漂亮的羽冠，以昆蟲為食。分布於溫帶與熱帶地區。《爾雅．釋鳥》：「鵖鴔，戴鵀。」晉．郭璞．注：「鵀即頭上勝。今亦呼為戴勝。」</t>
  </si>
  <si>
    <t>仁</t>
  </si>
  <si>
    <t>[動]
親愛。如：「仁民愛物」。
[名]
1.寬惠善良的德行。如：「仁愛」。《論語．陽貨》：「子張問仁於孔子。孔子曰：『能行五者於天下為仁矣。』請問之，曰：『恭、寬、信、敏、惠。』」
2.有仁德的人。如：「泛愛眾而親仁。」
3.一般人。通「人」。如：「同仁」。
4.果核中的種子。如：「果仁」、「杏仁」、「桃仁」、「花生仁」。
5.姓。如五代時有仁裕。
[形]
1.寬厚、有德性的。如：「仁政」、「仁心仁術」、「仁人君子」。
2.有感覺、感受的。如：「麻木不仁」。</t>
  </si>
  <si>
    <t>忍</t>
  </si>
  <si>
    <t>ㄖㄣˇ</t>
  </si>
  <si>
    <t>rěn</t>
  </si>
  <si>
    <t>[動]
1.含容。《論語．八佾》：「八佾舞於庭，是可忍也，孰不可忍也？」
2.承受。《文選．張衡．東京賦》：「百姓弗能忍，是用息肩於大漢，而欣戴高祖。」
3.抑制、強抑。如：「忍俊不住」。《楚辭．屈原．離騷》：「澆身被服強圉兮，縱欲而不忍。」
[副]
願意、能夠。漢．王符《潛夫論．忠貴》：「寧見朽貫千萬，而不忍賜人一錢。」南唐．馮延巳〈采桑子．花前失卻遊春侶〉詞：「各自雙雙，忍更思量，綠樹青苔半夕陽。」
[形]
狠心、不仁慈。如：「殘忍」。</t>
  </si>
  <si>
    <t>荵</t>
  </si>
  <si>
    <t>參見「隱荵」條。</t>
  </si>
  <si>
    <t>荏</t>
  </si>
  <si>
    <t>[名]
植物名。脣形科紫蘇屬，「白蘇」之古稱，參見「白蘇」條。
[形]
柔弱、怯懦。《論語．陽貨》：「色厲而內荏，譬諸小人，其猶穿窬之盜也與？」</t>
  </si>
  <si>
    <t>腍</t>
  </si>
  <si>
    <t>[形]
熟的。《玉篇．肉部》：「腍，熟也。」《禮記．郊特牲》：「腥肆爛腍祭，豈知神之所饗也。」</t>
  </si>
  <si>
    <t>稔</t>
  </si>
  <si>
    <t>[形]
稻麥等農作物成熟。《說文解字．禾部》：「稔，穀熟也。」
[名]
1.收成。《南史．卷三五．顧顗之傳》：「吳興頻歲失稔，今茲尤饉。」
2.年。《左傳．襄公二十七年》：「所謂不及五稔者，夫子之謂矣。」晉．杜預．注：「稔，一年也。」
[動]
了解、熟悉。如：「素稔」、「未稔」。</t>
  </si>
  <si>
    <t>刃</t>
  </si>
  <si>
    <t>ㄖㄣˋ</t>
  </si>
  <si>
    <t>rèn</t>
  </si>
  <si>
    <t>[名]
1.兵器銳利的部分。俗稱為「刀口」。如：「刀刃」、「鋒刃」、「迎刃而解」。
2.泛稱具有鋒刃的兵器。唐．柳宗元〈童區寄傳〉：「因取刃殺之。」
[動]
殺。《韓非子．姦劫弒臣》：「公請自刃於廟。」《史記．卷八一．廉頗藺相如傳》：「左右欲刃相如，相如張目叱之，左右皆靡。」</t>
  </si>
  <si>
    <t>仞</t>
  </si>
  <si>
    <t>[名]
量詞。古代計算長度的單位。八尺為一仞，一說七尺為一仞。《說文解字．人部》：「仞，伸臂一尋，八尺。」《書經．旅獒》：「為山九仞，功虧一簣。」《論語．子張》：「夫子之牆數仞。」
[動]
1.測量深度。《左傳．昭公三十二年》：「度厚薄，仞溝洫。」晉．杜預．注：「度深曰仞。」
2.辨認。通「認」。《淮南子．人間》：「非其事者勿仞也，非其名者勿就也。」
3.填塞、充滿。通「牣」。《史記．卷三．殷本紀》：「益收狗馬奇物，充仞宮室。」</t>
  </si>
  <si>
    <t>牣</t>
  </si>
  <si>
    <t>[形]
1.充滿的樣子。《詩經．大雅．靈臺》：「王在靈沼，於牣魚躍。」
2.柔軟而結實。通「韌」。《呂氏春秋．似順論．別類》：「白所以為堅也，黃所以為牣也。黃白雜，則堅且牣，良劍也。」</t>
  </si>
  <si>
    <t>肕</t>
  </si>
  <si>
    <t>[形]
柔韌結實。《管子．心術下》：「人能正靜者，筋肕而骨強。能戴大圓者體乎大方。」</t>
  </si>
  <si>
    <t>紉</t>
  </si>
  <si>
    <t>[動]
1.搓捻。楚辭．賈誼〈惜誓〉：「傷誠是之不察兮，并紉茅絲以為索。」唐．段成式《酉陽雜俎．卷六．樂》：「使一人吹空管，一人紉繩，則琴瑟竽筑皆作，與真樂不異。」
2.縫補。如：「縫紉」。明．徐弘祖《徐霞客遊記．卷五上．滇遊日記二》：「澣濯汙衣，且補紉之。」
3.引線穿針。《禮記．內則》：「衣裳綻裂，紉箴請補綴。」
4.綴結、佩帶。《楚辭．屈原．離騷》：「扈江離與辟芷兮，紉秋蘭以為佩。」《北史．卷三一．高允傳》：「體襲朱裳，腰紉雙佩。」
5.心服、感佩。如：「感紉」、「敬紉高誼」。</t>
  </si>
  <si>
    <t>訒</t>
  </si>
  <si>
    <t>[副]
說話謹慎、難以啟口的樣子。《廣韻．去聲．震韻》：「訒，難言。」《論語．顏淵》：「司馬牛問仁，子曰：『仁者其言也訒。』」</t>
  </si>
  <si>
    <t>軔</t>
  </si>
  <si>
    <t>[名]
1.阻止車輪滑轉的橫木。漢．揚雄〈長楊賦〉：「是以車不安軔，日未靡旃。」
2.量詞。古代計算長度的單位。八尺為一軔。通「仞」。《孟子．盡心上》：「掘井九軔而不及泉，猶為棄井也。」
[動]
阻止。《戰國策．秦策五》：「陛下嘗軔車於趙矣。」《後漢書．卷二九．申屠剛傳》：「諫不見聽，遂以頭軔乘輿輪，帝遂為止。」</t>
  </si>
  <si>
    <t>韌</t>
  </si>
  <si>
    <t>[形]
柔軟而結實。如：「堅韌」、「柔韌」、「韌性」。宋．沈括《夢溪筆談．卷一九．器用》：「青堂羌善鍛甲，鐵色青黑，瑩徹可鑒毛髮，以麝皮為䋶旅之，柔薄而韌。」</t>
  </si>
  <si>
    <t>認</t>
  </si>
  <si>
    <t>[動]
1.辨識、分別。如：「認字」、「認人」、「辨認」、「認路」。宋．劉克莊〈鐵塔寺〉詩：「細認苔間字，方知鑄塔時。」
2.表示同意、接受。如：「承認」、「認輸」、「認罪」、「認可」。《三國演義》第四五回：「操雖心知中計，卻不肯認錯。」
3.當作、以為。宋．劉克莊〈答婦兄林公遇〉詩四首之一：「夢回殘月在，錯認是天明。」
4.無血緣關係而結成親屬。如：「認乾爹」、「認賊作父」。</t>
  </si>
  <si>
    <t>[名]
1.職責、職務。如：「責任」、「任務」、「任重道遠」。
2.職位。如：「就任」、「赴任」、「卸任」。
3.量詞。計算擔任某種職務或具有某種身分期間的單位。如：「他連續當選三任會長。」
[動]
1.委派。如：「派任」、「任免」。《書經．大禹謨》：「任賢勿貳」。
2.聽憑。如：「任意」、「任其自然」。
3.擔當、承受。如：「擔任」、「任職」、「任教」、「任勞任怨」。
4.相信。如：「信任」。《戰國策．魏策二》：「王聞之而弗任也。」
5.懷孕。通「妊」。《漢書．卷一〇〇．敘傳上》：「劉媼任高祖而夢與神遇。」唐．顏師古．注：「任謂懷任也。」
[副]
無論。如：「任你怎麼解釋，他都不聽。」</t>
  </si>
  <si>
    <t>(二)ㄖㄣˊ rén（09217）</t>
  </si>
  <si>
    <t>[動]
懷孕。《說文解字．女部》：「妊，孕也。」如：「妊娠」。漢．王充《論衡．吉驗》：「傳言黃帝妊二十月而生。」</t>
  </si>
  <si>
    <t>(二)（又音）ㄖㄣˊ rén（09218）</t>
  </si>
  <si>
    <t>衽</t>
  </si>
  <si>
    <t>[名]
1.衣襟。《論語．憲問》：「微管仲，吾其被髮左衽矣。」《楚辭．屈原．離騷》：「跪敷衽以陳辭兮，耿吾既得此中正。」
2.衣袖。漢．劉向《列女傳．卷一．魯季敬姜傳》：「文伯引衽攘捲而親饋之。」
3.睡覺用的席子。《禮記．曲禮上》：「請席何鄉，請衽何趾？」《史記．卷八三．魯仲連鄒陽傳》：「攝衽抱機，視膳於堂下。」
4.古代用來接合棺身和棺蓋的木楔。漢．劉熙《釋名．釋喪制》：「古者棺不釘也。旁際曰小要，其要約小也。又謂之衽。衽，任也。任制祭會使不解也。」
[動]
1.扣合、整理。漢．劉向《新序．卷七．節士上》：「原憲冠桑葉冠，杖藜而應門，正冠則纓絕，衽襟則肘見。」
2.睡臥。《禮記．中庸》：「衽金革，死而不厭，北方之強也。」</t>
  </si>
  <si>
    <t>[動]
思、念。《文選．班固．典引》：「若然受之，宜亦懃恁旅力。」宋．王安石〈酬王伯虎〉詩：「徂年幸未暮，此意可勤恁。」
[代]
1.哪。如：「恁時」。元．馬致遠《漢宮秋》第三折：「若是他不戀恁春風畫堂，我便官封你一字王。」
2.什麼、何。《初刻拍案驚奇》卷二一：「我歇之後，有恁人在此房中安歇？」
3.如此、這樣。如：「恁的」、「恁般」。宋．歐陽修〈玉樓春．酒美春濃花世界〉詞：「已去少年無計奈，且願芳心長恁在。」明．湯顯祖《牡丹亭》第七齣：「昔氏賢文，把人禁殺，恁時節則好教鸚哥喚茶。」
4.怎麼。如：「恁麼」。《水滸傳》第三回：「你也須認的洒家，卻恁地教甚麼人在間壁吱吱的哭，攪俺弟兄們吃酒？」</t>
  </si>
  <si>
    <t>(二)ㄋㄧㄣˊ nín（03100）</t>
  </si>
  <si>
    <t>[名]
織布帛的絲縷。《漢書．卷六四上．嚴助傳》：「婦人不得紡績織紝。」清．蔣士銓〈鳴機夜課圖記〉：「明年娶婦張氏，母女視之，訓以紡績織紝事，一如教兒時。」
[動]
用線穿針孔。《董西廂》卷六：「行待紝針關，卻便紝針尖。」</t>
  </si>
  <si>
    <t>(二)（又音）ㄖㄣˊ rén（09219）</t>
  </si>
  <si>
    <t>飪</t>
  </si>
  <si>
    <t>[動]
煮熟。《廣韻．上聲．寑韻》：「飪，熟食。」如：「烹飪」。《論語．鄉黨》：「失飪，不食。」</t>
  </si>
  <si>
    <t>(一)（語音）ㄌㄧㄣˋ lìn（03650）</t>
  </si>
  <si>
    <t>(一)（語音）ㄕㄣˋ shèn（09000）</t>
  </si>
  <si>
    <t>嚷</t>
  </si>
  <si>
    <t>ㄖㄤ</t>
  </si>
  <si>
    <t>rāng</t>
  </si>
  <si>
    <t>參見「嚷嚷」條。</t>
  </si>
  <si>
    <t>(一)ㄖㄤˇ rǎng（09256）</t>
  </si>
  <si>
    <t>ㄖㄤˊ</t>
  </si>
  <si>
    <t>ráng</t>
  </si>
  <si>
    <t>(二)ㄒㄧㄤ xiāng（07191）</t>
  </si>
  <si>
    <t>儴</t>
  </si>
  <si>
    <t>[動]
依循、沿襲。漢．陸賈《新語．至德》：「儴道者眾歸之，恃刑者民畏之。」</t>
  </si>
  <si>
    <t>瀼</t>
  </si>
  <si>
    <t>參見「瀼瀼」條。</t>
  </si>
  <si>
    <t>(二)ㄖㄤˋ ràng（09260）</t>
  </si>
  <si>
    <t>攘</t>
  </si>
  <si>
    <t>[動]
1.排斥、排擠。《公羊傳．僖公四年》：「桓公救中國而攘夷狄。」《楚辭．東方朔．七諫．沈江》：「正臣端其操行兮，反離謗而見攘。」
2.捋。指捲袖露出手臂的動作。《孟子．盡心下》：「馮婦攘臂下車，眾皆悅之。」《文選．曹植．美女篇》：「攘袖見素手，皓腕約金環。」
3.竊取。《孟子．滕文公下》：「今有人日攘其鄰之雞者，或告之曰：『是非君子之道。』」
4.侵奪。《莊子．漁父》：「諸侯暴亂，擅相攘伐，以殘民人。」《漢書．卷六四．嚴助傳》：「南夷相攘，使邊騷然不安，朕甚懼焉。」
5.祭祀神祇以除不祥。《禮記．月令》：「九門磔攘，以畢春氣。」</t>
  </si>
  <si>
    <t>(一)ㄖㄤˇ rǎng（09255）</t>
  </si>
  <si>
    <t>蘘</t>
  </si>
  <si>
    <t>參見「蘘荷」條。</t>
  </si>
  <si>
    <t>瓤</t>
  </si>
  <si>
    <t>[名]
1.瓜、果內部可食的部分。如：「西瓜瓤」。漢．劉楨〈瓜賦〉：「藍皮蜜理，素肌丹瓤，乃命圃師，貢其最良。」唐．白居易〈荔枝圖序〉：「瓤肉瑩白如冰雪，漿液甘酸如醴酪。」
2.泛指物體內部包著的東西。如：「這封信只剩信封，沒有信瓤了。」
3.吳語。指餡。如：「菜瓤」、「肉瓤」、「月餅瓤」。
4.大陸地區的北方方言。指差、不好。如：「你開車的技術真瓤。」</t>
  </si>
  <si>
    <t>禳</t>
  </si>
  <si>
    <t>[名]
祈求解除災禍、疾病的祭祀。《廣韻．平聲．陽韻》：「禳，除殃祭也。」
[動]
1.祭神祈求消除災變。《左傳．昭公二十六年》：「齊有彗星，齊侯使禳之。」
2.去除、解除。南朝梁．宗懍《荊楚歲時記．五月五日》：「採艾以為人，懸門戶上，以禳毒氣。」《南史．卷七五．顧歡傳》：「善禳惡，正勝邪，此病者所以差也。」</t>
  </si>
  <si>
    <t>穰</t>
  </si>
  <si>
    <t>[名]
1.稻、麥的莖。《齊民要術．雜說》：「凡人家秋收後，治糧場上所有穰、穀、𥢧等，並須收貯壹處。」
2.瓜、果內部可食的部分。通「瓤」。清．徐珂《清稗類鈔．飲食類．蓮房魚包》：「蓮房魚包者，取蓮房，去柄截底，剜穰留其孔。」
[形]
穀物豐熟。《管子．國蓄》：「歲有凶穰，故穀有貴賤。」宋．陸游〈閑居對食書媿〉詩二首之二：「老病家居幸歲穰，味兼南北飫枯腸。」</t>
  </si>
  <si>
    <t>(二)ㄖㄤˇ rǎng（09257）</t>
  </si>
  <si>
    <t>[名]
鑄造銅、鐵器的模型的中心部分。《說文解字．金部》：「鑲，作型中腸也。」</t>
  </si>
  <si>
    <t>(一)ㄒㄧㄤ xiāng（07194）</t>
  </si>
  <si>
    <t>壤</t>
  </si>
  <si>
    <t>ㄖㄤˇ</t>
  </si>
  <si>
    <t>rǎng</t>
  </si>
  <si>
    <t>[名]
1.鬆軟的泥土。《說文解字．土部》：「壤，柔土也。」《書經．禹貢》：「厥土惟白壤，厥賦惟上上錯，厥田惟中中。」
2.耕地。《管子．八觀》：「壤地肥饒，則桑麻易植也。」
3.地。如：「天壤之別」。唐．李白〈南都行〉：「陶朱與五羖，名播天壤間。」
4.疆域、地區。如：「接壤」、「窮鄉僻壤」。《左傳．哀公元年》：「與我同壤，而世為仇讎。」
5.古代一種遊戲用的玩具。參見「擊壤」條。
[動]
接連。《史記．卷六九．蘇秦傳》：「且夫韓、魏之所以重畏秦者，為與秦接境壤界也。」
[形]
豐收。《莊子．庚桑楚》：「居三年，畏壘大壤。」</t>
  </si>
  <si>
    <t>[動]
擾亂。《淮南子．兵略》：「故至於攘天下，害百姓。」《漢書．卷四〇．張良等傳．贊曰》：「陳平之志，見於社下，傾側擾攘楚、魏之間，卒歸於漢，而為謀臣。」</t>
  </si>
  <si>
    <t>(二)ㄖㄤˊ ráng（09248）</t>
  </si>
  <si>
    <t>[動]
1.喊叫。如：「大嚷大叫」。《紅樓夢》第二回：「那些人只嚷：『快請出甄爺來！』」《老殘遊記》第一四回：「半夜裡聽見人嚷說：『水下來了！』，大家聽說，都連忙起來。」
2.喧鬧。如：「吵嚷」。
3.北方方言。指斥責、責備。如：「這件事若讓媽媽知道又要嚷我了！」</t>
  </si>
  <si>
    <t>(二)ㄖㄤ rāng（09244）</t>
  </si>
  <si>
    <t>[形]
1.繁盛、眾多。《漢書．卷七六．張敞傳》：「長安中浩穰，於三輔尤為劇。」《水滸傳》第五二回：「高唐州城池雖小，人物稠穰，軍廣糧多，不可輕敵。」
2.紛亂、煩亂。元．孟漢卿《魔合羅》第三折：「又不是公事忙，不由咱心緒穰。」
[動]
祈福、祈禱。通「禳」。如：「祝穰」。</t>
  </si>
  <si>
    <t>(一)ㄖㄤˊ ráng（09252）</t>
  </si>
  <si>
    <t>[名]
一種形似蝗蟲而體型較小的蟲。善於跳躍。《爾雅．釋蟲》：「工螽，蠰谿。」宋．邢昺．疏：「土螽一名蠰谿，今謂之土磔，江南呼虴蛨，又名虴蜢，形似蝗而小，善跳者是也。」</t>
  </si>
  <si>
    <t>(一)ㄕㄤˋ shàng（09020）</t>
  </si>
  <si>
    <t>躟</t>
  </si>
  <si>
    <t>[形]
行走快速的樣子。《玉篇．足部》：「躟，行疾貌。」
[副]
倉促。《文選．傅毅．舞賦》：「擾躟就駕，僕夫正策。」</t>
  </si>
  <si>
    <t>ㄖㄤˋ</t>
  </si>
  <si>
    <t>ràng</t>
  </si>
  <si>
    <t>[名]
山間的溪流通到江裡去的，蜀人多稱為「瀼」。明．張自烈《正字通．水部》：「瀼，夔州澗水橫通山谷間，市人謂之瀼，居人分其左右謂瀼東、瀼西」。</t>
  </si>
  <si>
    <t>(一)ㄖㄤˊ ráng（09247）</t>
  </si>
  <si>
    <t>懹</t>
  </si>
  <si>
    <t>[動]
畏懼、懼怕。《玉篇．心部》：「懹，憚也，相畏也。」</t>
  </si>
  <si>
    <t>讓</t>
  </si>
  <si>
    <t>[動]
1.譴責。《左傳．僖公五年》：「夷吾訴之，公使讓之。」晉．杜預．注：「讓，譴讓之。」《文選．司馬相如．喻巴蜀檄》：「讓三老孝弟以不教誨之過。」
2.謙退。《論語．衛靈公》：「當仁不讓於師。」《莊子．達生》：「田子無讓，寡人願聞之。」唐．成玄英．疏：「讓，猶謙也。」
3.拒絕。《楚辭．屈原．九章．懷沙》：「知死不可讓，願勿愛兮。」唐．王勃〈上劉右相書〉：「江海不讓纖流，所以存其廣。」
4.把自己的東西轉給別人。如：「出讓」、「廉讓」。
5.放棄自己的權利給別人。如：「他是生手，我讓他三步棋。」《水滸傳》第七回：「林冲不合吃著他的請受，權且讓他這一次。」
6.任、隨、允許。如：「別管他，讓他去吧！」
7.使、令。如：「我讓他去買東西。」
8.躲避。如：「讓開，車來了。」
[介]
被。如：「這杯茶讓他碰灑了。」</t>
  </si>
  <si>
    <t>扔</t>
  </si>
  <si>
    <t>ㄖㄥ</t>
  </si>
  <si>
    <t>rēng</t>
  </si>
  <si>
    <t>[動]
1.拋棄。如：「他扔下書本就走了。」
2.投、擲。如：「把球扔過來。」</t>
  </si>
  <si>
    <t>(二)（(一)之又音）ㄖㄥˇ rěng（09268）(三)ㄖㄥˊ réng（09265）(四)ㄖㄥˋ rèng（09269）</t>
  </si>
  <si>
    <t>仍</t>
  </si>
  <si>
    <t>ㄖㄥˊ</t>
  </si>
  <si>
    <t>réng</t>
  </si>
  <si>
    <t>[動]
因循、沿襲。《文選．張衡．思玄賦》：「夫吉凶之相仍兮，怕反庂而靡所。」唐．柳宗元〈封建論〉：「徇之以為安，仍之以為俗。」
[副]
1.屢次、頻頻。《國語．周語下》：「晉仍無道而鮮胄，其將失之矣。」《漢書．卷九．元帝紀》：「百姓仍遭凶阨，無以相振。」
2.依然、還。如：「他的病仍不見好轉。」、「革命尚未成功，同志仍須努力。」
[連]
於是、因此。南朝宋．劉義慶《世說新語．忿狷》：「雞子於地圓轉未止，仍下地以屐齒蹍之。」《南史．卷四九．劉懷珍傳》：「與崔祖思友善……及聞祖思死，慟哭，仍得病，建元二年卒。」</t>
  </si>
  <si>
    <t>[動]
因、就。《老子》第三八章：「上禮為之而莫之應，則攘臂而扔之。」</t>
  </si>
  <si>
    <t>(一)ㄖㄥ rēng（09263）(二)（(一)之又音）ㄖㄥˇ rěng（09268）(四)ㄖㄥˋ rèng（09269）</t>
  </si>
  <si>
    <t>礽</t>
  </si>
  <si>
    <t>[名]
福祉。《玉篇．示部》：「礽，福也。」</t>
  </si>
  <si>
    <t>陾</t>
  </si>
  <si>
    <t>參見「陾陾」條。</t>
  </si>
  <si>
    <t>ㄖㄥˇ</t>
  </si>
  <si>
    <t>rěng</t>
  </si>
  <si>
    <t>(一)ㄖㄥ rēng（09263）(三)ㄖㄥˊ réng（09265）(四)ㄖㄥˋ rèng（09269）</t>
  </si>
  <si>
    <t>ㄖㄥˋ</t>
  </si>
  <si>
    <t>rèng</t>
  </si>
  <si>
    <t>[動]
1.牽引。清．王念孫《廣雅疏證．卷一下．釋詁》：「扔，引也。」
2.摧毀。《後漢書．卷六〇．馬融傳》：「竄伏扔輪，發作梧槥。」</t>
  </si>
  <si>
    <t>(一)ㄖㄥ rēng（09263）(二)（(一)之又音）ㄖㄥˇ rěng（09268）(三)ㄖㄥˊ réng（09265）</t>
  </si>
  <si>
    <t>如</t>
  </si>
  <si>
    <t>ㄖㄨˊ</t>
  </si>
  <si>
    <t>rú</t>
  </si>
  <si>
    <t>[動]
1.順從、依照。如：「如約」、「如命」。《左傳．宣公十二年》：「有律以如己也。」晉．杜預．注：「如，從也。」
2.如同、好像。如：「愛人如己」、「數十年如一日」。唐．白居易〈琵琶行〉：「大絃嘈嘈如急雨，小絃切切如私語。」
3.往、至。如：「如廁」。《左傳．隱公五年》：「公將如棠觀魚者。」
4.及、比得上。如：「遠親不如近鄰」。《史記．卷七．項羽本紀》：「夫被堅執銳，義不如公；坐而運策，公不如義。」
5.表示舉例。如：「例如」、「譬如」。
[介]
於，表示比較。《呂氏春秋．仲秋紀．愛士》：「人之困窮，甚如饑寒。」
[連]
1.假若。《論語．述而》：「如不可求，從吾所好。」《鏡花緣》第四回：「姑且施恩，再限兩個時辰。如再無花，就怨不得朕了。」
2.或者。《論語．先進》：「安見方六七十，如五六十，而非邦也者。」
[助]
形容詞詞尾。相當於「然」，表情形或狀況。如：「突如其來」。《論語．述而》：「子之燕居，申申如也，夭夭如也。」
[名]
姓。如三國時魏國有如淳。</t>
  </si>
  <si>
    <t>侞</t>
  </si>
  <si>
    <t>[動]
使平均。《集韻．平聲．魚韻》：「侞，均也。」</t>
  </si>
  <si>
    <t>帤</t>
  </si>
  <si>
    <t>[名]
1.大巾。漢．揚雄《方言》卷四：「大巾謂之帉。嵩嶽之南，陳、潁之間謂之帤，亦謂之幪。」
2.破舊的布、巾。通「袽」。唐．白居易〈喜照密閑實四上人見過〉詩：「臭帤世界終須出，香火因緣久願同。」</t>
  </si>
  <si>
    <t>茹</t>
  </si>
  <si>
    <t>[動]
1.吃、咀嚼、吞嚥。《孟子．盡心下》：「舜之飯糗茹草也，若將終身焉。」《禮記．禮運》：「未有火化，食草木之實，鳥獸之肉，飲其血，茹其毛。」
2.受、含。如：「含辛茹苦」。《詩經．大雅．烝民》：「柔亦不茹，剛亦不吐。」北齊．顏之推《顏氏家訓．文章》：「銜酷茹恨，徹於心髓。」
3.揣測、度量。《詩經．邶風．柏舟》：「我心匪鑒，不可以茹。」
[形]
1.柔軟、軟弱。《楚辭．屈原．離騷》：「攬茹蕙以掩涕兮，霑余襟之浪浪。」《韓非子．亡徵》：「緩心而無成，柔茹而寡斷，好惡無決，而無所定立者，可亡也。」
2.腐敗、臭敗的。《呂氏春秋．仲春紀．功名》：「以茹魚去蠅，蠅愈至。」
[名]
1.蔬菜的總稱。《文選．枚乘．七發》：「秋黃之蘇，白露之茹。」《後漢書．卷六六．陳蕃傳》：「又青、徐炎旱，五穀損傷，民物流遷，茹菽不足。」
2.姓。如清代有茹棻。</t>
  </si>
  <si>
    <t>(二)（又音）ㄖㄨˋ rù（09301）</t>
  </si>
  <si>
    <t>挐</t>
  </si>
  <si>
    <t>[動]
1.牽引。《廣韻．平聲．魚韻》：「挐，牽引。」唐．韓愈〈送區冊序〉：「有區生者，誓言相好，自南海挐舟而來。」
2.連續。《漢書．卷六四．嚴安傳》：「禍挐而不解，兵休而復起。」
3.摻雜。《楚辭．宋玉．招魂》：「稻粢穱麥，挐黃粱些。」
[形]
雜亂。《楚辭．宋玉．九辯》：「葉菸邑而無色兮，枝煩挐而交橫。」《淮南子．覽冥》：「美人挐首墨面而不容，曼聲吞炭內閉而不歌。」</t>
  </si>
  <si>
    <t>(二)ㄋㄚˊ ná（▲02918）</t>
  </si>
  <si>
    <t>袽</t>
  </si>
  <si>
    <t>[名]
破舊的衣服，古人用來堵塞舟船的漏洞。《易經．既濟卦．六四》：「繻有衣袽。」三國魏．王弼．注：「繻宜曰濡，衣袽所以塞舟漏也。」唐．劉禹錫〈儆舟〉：「予聞言若厲，繇是袽以窒之，灰以墐之。」</t>
  </si>
  <si>
    <t>蒘</t>
  </si>
  <si>
    <t>[名]
蘮蒘：一種草，似芹，可食。《爾雅．釋草》：「蘮蒘，竊衣。」晉．郭璞．注：「似芹，可食。子大如麥，有毛，著人衣。」</t>
  </si>
  <si>
    <t>銣</t>
  </si>
  <si>
    <t>[名]
（rubidium，Rb）化學元素。原子序37。鹼金屬元素之一。呈銀白色，質軟易熔，在空氣中極易氧化，故需保存於燈油、石腦油及類似物質之中，是製造光電管的材料。</t>
  </si>
  <si>
    <t>鴽</t>
  </si>
  <si>
    <t>[名]
鵪鶉之類的小鳥。《爾雅．釋鳥》：「鴽，鴾母。」晉．郭璞．注：「鵪也，青州呼鴾母。」《大戴禮記．夏小正》：「是時恆有小旱，田鼠化為鴽。鴽，鵪也。」</t>
  </si>
  <si>
    <t>[形]_x000D_
如獸皮柔滑的樣子。《戰國策．秦策二》：「其需弱者來使，則王必聽之。」</t>
  </si>
  <si>
    <t>(一)ㄒㄩ xū（07278）</t>
  </si>
  <si>
    <t>儒</t>
  </si>
  <si>
    <t>[名]
1.術士，古代指有某種特殊技能或知識的人。《說文解字．人部》：「儒，術士之偁。」《周禮．天官．大宰》：「四曰儒，以道得民。」漢．鄭玄．注：「儒，諸侯保氏有六藝以教民者。」
2.學者、讀書人。如：「博學鴻儒」。《紅樓夢》第一回：「忽見隔壁葫蘆廟內寄居一個窮儒。」
3.孔子所創的思想學派。《孟子．盡心下》：「逃墨必歸於楊，逃楊必歸於儒。」《史記．卷一三〇．太史公自序》：「夫陰陽、儒、墨、名、法、道德，此務為治者也，直所從言之異路，有省不省耳。」
4.參見「侏儒」條。
[形]
懦弱畏事。通「懦」。《魏書．卷八八．良吏傳．序》：「是故搏擊為侯，起不旋踵；儒弱貽咎，錄用無時。」</t>
  </si>
  <si>
    <t>濡</t>
  </si>
  <si>
    <t>[動]
1.浸溼、沾溼。《詩經．邶風．匏有苦葉》：「濟盈不濡軌，雉鳴求其牡。」宋．蘇軾〈飲酒〉詩四首之四：「雷觴淡於水，經年不濡脣。」
2.習染、感染。如：「耳濡目染」。
3.停留、停滯。參見「濡滯」條。
[形]
1.潮溼。《禮記．曲禮上》：「濡肉齒決，乾肉不齒決。」唐．孔穎達．正義：「濡，濕也。濕軟不可用手擘，故用齒斷決而食之。」
2.含忍。參見「濡忍」條。</t>
  </si>
  <si>
    <t>嚅</t>
  </si>
  <si>
    <t>參見「嚅囁」、「嚅唲」等條。</t>
  </si>
  <si>
    <t>嬬</t>
  </si>
  <si>
    <t>[名]
小妾。《說文解字．女部》：「嬬，下妻也。」清．段玉裁．注：「下妻，猶小妻也。」民國．章太炎《新方言．釋親屬》：「廣州謂妾曰嬬。」</t>
  </si>
  <si>
    <t>孺</t>
  </si>
  <si>
    <t>[名]
1.幼童、小孩。《說文解字．子部》：「孺，乳子也。」如：「孩孺」、「童孺」。
2.參見「孺人」條。
3.姓。如春秋時魯國有孺悲。
[動]
親慕、相親。如：「孺慕」。《詩經．小雅．常棣》：「兄弟既具，和樂且孺。」唐．孔穎達．正義：「和而甚忻樂，且復骨肉相親屬也。」
[形]
幼小、稚幼。《孟子．公孫丑上》：「今人乍見孺子將入於井，皆有怵惕惻隱之心。」《太平廣記．卷三二〇．劉道錫》：「廳事東頭桑樹上，有鬼，形尚孺，長必害人。」</t>
  </si>
  <si>
    <t>薷</t>
  </si>
  <si>
    <t>[名]
1.木耳。《集韻．平聲．虞韻》：「薷，木耳。」
2.參見「香薷」條。</t>
  </si>
  <si>
    <t>[名]
羊、豬等牲畜的前腿。後泛指人的上肢或動物的前肢。《說文解字．肉部》：「臑，臂，羊豕曰臑。」清．段玉裁．注：「謂人之臂在羊豕則曰臑也。」《儀禮．少牢饋食禮》：「司馬升羊右胖，髀不升，肩臂臑。」</t>
  </si>
  <si>
    <t>(二)（(一)之又音）ㄋㄠˋ nào（02971）(三)ㄦˊ ér（10462）</t>
  </si>
  <si>
    <t>襦</t>
  </si>
  <si>
    <t>[名]
1.短襖。《左傳．昭公二十五年》：「鴝鵒跦跦，公在乾侯，徵褰與襦。」唐．杜甫〈新婚別〉詩：「羅襦不復施，對君洗紅妝。」
2.幼兒用的圍兜。唐．白居易〈阿崔〉詩：「膩剃新胎髮，香繃小繡襦。」
3.捕捉禽獸用的細密羅網。《周禮．夏官．羅氏》：「羅氏掌羅烏鳥，蜡則作羅襦。」漢．鄭玄．注：「襦，細密之羅。」</t>
  </si>
  <si>
    <t>蠕</t>
  </si>
  <si>
    <t>(一)ㄖㄨㄢˇ ruǎn（09340）</t>
  </si>
  <si>
    <t>(一)ㄒㄩ xū（07279）</t>
  </si>
  <si>
    <t>醹</t>
  </si>
  <si>
    <t>[名]
醇酒。《說文解字．酉部》：「醹，厚酒也。」《詩經．大雅．行葦》：「曾孫維主，酒𥽈維醹。」唐．孔穎達．正義：「醹，厚，謂酒之醇者。」</t>
  </si>
  <si>
    <t>顬</t>
  </si>
  <si>
    <t>䰰</t>
  </si>
  <si>
    <t>參見「䰰䰰」條。</t>
  </si>
  <si>
    <t>ㄖㄨˇ</t>
  </si>
  <si>
    <t>rǔ</t>
  </si>
  <si>
    <t>[動]
1.不留心的塞放。如：「一張鈔票不知入到那裡？」
2.暗中把財物給人。如：「偷偷入給他一包東西。」
3.陷於其中、投於其中。如：「一腳入到泥裡了。」</t>
  </si>
  <si>
    <t>(一)ㄖㄨˋ rù（09298）(二)ㄖˋ rì（09176）</t>
  </si>
  <si>
    <t>[代]
你。同「汝」。《左傳．宣公十一年》：「諸侯縣公皆慶寡人，女獨不慶寡人。」
[名]
姓。如商代有女方。</t>
  </si>
  <si>
    <t>(一)ㄋㄩˇ nǚ（03159）(二)ㄋㄩˋ nǜ（03162）</t>
  </si>
  <si>
    <t>汝</t>
  </si>
  <si>
    <t>[代]
你。《書經．堯典》：「汝能庸命，巽朕位。」宋．陸游〈戰城南〉詩：「詔書許汝以不死，股栗何為汗如洗！」
[名]
1.參見「汝水」條。
2.姓。如明代有汝訥。</t>
  </si>
  <si>
    <t>乳</t>
  </si>
  <si>
    <t>[動]
1.生產、繁殖。如：「孳乳」。《史記．卷一〇五．扁鵲倉公傳》：「菑川王美人懷子而不乳，來召臣意。」《漢書．卷五四．蘇建傳》：「乃徙武北海上無人處，使牧羝，羝乳乃得歸。」
2.孵卵、孵化。《禮記．月令》：「雉雊雞乳。」《魏書．卷一〇七．律曆志上》：「立春，雞始乳。」
3.哺育、餵奶。《左傳．宣公四年》：「䢵夫人使棄諸夢中，虎乳之。」《新唐書．卷一九四．元德秀傳》：「德秀自乳之。」
4.飲、喝。《文選．鮑照．蕪城賦》：「伏虣藏虎，乳血飧膚。」
[名]
1.乳房的簡稱。《史記．卷一〇五．扁鵲倉公傳》：「意告之後百餘日，果為疽發乳上，入缺盆，死。」
2.奶汁。如：「母乳」、「牛乳」、「鮮乳」。
3.像乳房的物體。明．徐弘祖《徐霞客遊記．卷三下．粵西遊日記二》：「岐中倒垂一乳，長數丈，其端空懸，水由端涓涓下。」
4.類似乳汁的液體。如：「豆乳」、「蜂王乳」。
[形]
初生的。如：「乳燕」、「乳豬」、「乳鴿」。</t>
  </si>
  <si>
    <t>辱</t>
  </si>
  <si>
    <t>(一)ㄖㄨˋ rù（09302）</t>
  </si>
  <si>
    <t>ㄖㄨˋ</t>
  </si>
  <si>
    <t>rù</t>
  </si>
  <si>
    <t>[動]
1.進，由外面到裡面。如：「入內」、「入場」、「入境」。
2.收進。如：「收入」、「月入十萬」。《史記．卷七五．孟嘗君傳》：「歲餘不入，貨錢者多不能與其息，客奉將不給。」
3.接納、繳納。《國語．吳語》：「昔楚靈王不君，其臣箴諫以不入。」《金瓶梅》第一七回：「到明日他蓋這房子，多是入官抄沒的數兒。」
4.參加。如：「入會」、「入股」、「入學」、「入伍」。
5.到、達。如：「入夜」、「入冬」。
6.沉沒。如：「日出而作，日入而息。」
7.合宜、適合。如：「入時」、「入情入理」。
8.沉浸、深透。如：「入味」、「入骨」、「入迷」。
[名]
1.平上去入四聲之一。參見「入聲」條。
2.二一四部首之一。</t>
  </si>
  <si>
    <t>(二)ㄖˋ rì（09176）(三)ㄖㄨˇ rǔ（09293）</t>
  </si>
  <si>
    <t>(一)ㄖㄡˋ ròu（09202）</t>
  </si>
  <si>
    <t>洳</t>
  </si>
  <si>
    <t>[形]
潮溼。清．王念孫《廣雅疏證．卷一下．釋詁》：「洳，濕也。」
[名]
參見「洳河」條。</t>
  </si>
  <si>
    <t>(一)ㄖㄨˊ rú（09273）</t>
  </si>
  <si>
    <t>[名]
羞恥。《說文解字．辰部》：「辱，恥也。」如：「恥辱」。《左傳．襄公十八年》：「子殿國師，齊之辱也。」宋．范仲淹〈岳陽樓記〉：「登斯樓也，則有心曠神怡，寵辱皆忘，把酒臨風，其喜洋洋者矣。」
[副]
謙辭，有承蒙之意。如：「辱臨」、「辱蒙惠顧」。《左傳．僖公四年》：「君惠徼福於敝邑之社稷，辱收寡君，寡君之願也。」
[動]
1.辜負、玷汙。如：「辱沒」、「辱命」。《史記．卷八八．蒙恬傳》：「然自知必死而守義者，不敢辱先人之教。」
2.羞辱。如：「喪權辱國」。《左傳．昭公五年》：「若吾以韓起為閽，以羊舌肸為司宮，足以辱晉。」</t>
  </si>
  <si>
    <t>(二)（又音）ㄖㄨˇ rǔ（09297）</t>
  </si>
  <si>
    <t>溽</t>
  </si>
  <si>
    <t>[形]
1.潮溼。《文選．郭璞．江賦》：「林無不溽，岸無不津。」
2.濃厚。《禮記．儒行》：「其居處不淫，其飲食不溽。」唐．孔穎達．正義：「飲食不溽者，溽之言欲也，即濃厚也。」</t>
  </si>
  <si>
    <t>鄏</t>
  </si>
  <si>
    <t>[名]
郟鄏：地名。周成王定鼎於此，故址約位於今大陸地區河南省洛陽縣西。</t>
  </si>
  <si>
    <t>蓐</t>
  </si>
  <si>
    <t>[名]
1.草蓆、草墊。《爾雅．釋器》：「蓐謂之茲。」晉．郭璞．注：「茲者，蓐席也。」
2.床上的墊褥。亦借指床。《後漢書．卷六四．趙岐傳》：「有重疾，臥蓐七年。」《文選．李密．陳情表》：「而劉夙嬰疾病，常在床蓐。」</t>
  </si>
  <si>
    <t>褥</t>
  </si>
  <si>
    <t>[名]
坐臥時鋪在身體下面的墊子。如：「床褥」、「被褥」。唐．韓偓〈已涼〉詩：「八尺龍鬚方錦褥，已涼天氣未寒時。」也稱為「褥子」。</t>
  </si>
  <si>
    <t>縟</t>
  </si>
  <si>
    <t>[形]
1.文彩繁多。《文選．張衡．西京賦》：「故其館室次舍，采飾纖縟。」
2.繁多、繁瑣。如：「縟禮」、「繁文縟節」。</t>
  </si>
  <si>
    <t>擩</t>
  </si>
  <si>
    <t>[動]
染。《儀禮．公食大夫禮》：「賓升席，坐，取韭菹，以辯擩于醢，上豆之間祭。」漢．鄭玄．注：「擩，猶染也。」</t>
  </si>
  <si>
    <t>叒</t>
  </si>
  <si>
    <t>ㄖㄨㄛˋ</t>
  </si>
  <si>
    <t>ruò</t>
  </si>
  <si>
    <t>[名]
古代神話中的樹木名稱。《說文解字．叒部》：「叒，日初出東方湯谷所登榑桑，叒木也。」</t>
  </si>
  <si>
    <t>[名]
1.一種香草。《楚辭．屈原．九章．惜往日》：「自前世之嫉賢兮，謂蕙若其不可佩。」唐．陸龜蒙〈美人〉詩：「猶欲悟君心，朝朝佩蘭若。」
2.姓。如漢代有若章。
[動]
1.順從。《左傳．宣公三年》：「故民入川澤山林，不逢不若。」
2.及、比得上。《國語．晉語五》：「病未若死，祗以解志。」《論語．學而》：「未若貧而樂，富而好禮者也。」
3.奈。《左傳．僖公十五年》：「寇深矣，若之何？」
[連]
1.如果、假如，表示假設。《左傳．僖公二十三年》：「公子若反晉國，則何以報不穀？」唐．李賀〈金銅仙人辭漢歌〉：「天若有情天亦老，攜盤獨出月荒涼。」
2.至於，表示另提一件事。《孟子．梁惠王上》：「若民，則無恆產因無恆心。」《荀子．勸學》：「故學數有終，若其義則不可須臾舍也。」
3.或、或者，表示選擇。《史記．卷一〇七．魏其武安侯傳》：「願取吳王若將軍頭，以報父之仇。」《紅樓夢》第七四回：「將鏡奩、妝盒、衾袱、衣包若大若小之物，一齊打開。」
[副]
1.乃、才。《國語．周語中》：「必有忍也，若能有濟也。」
2.似、好像。如：「欣喜若狂」、「旁若無人」。《左傳．定公四年》：「若聞蔡將先衛，信乎？」明．李時珍《本草綱目．卷四九．禽部．杜鵑》：「其鳴若曰：『不如歸去。』」
[代]
1.你、你的。《莊子．齊物論》：「然則我與若與人俱不能相知也。」《史記．卷七．項羽本紀》：「吾翁即若翁，必欲烹而翁，則幸分我一杯羹。」
2.如此、這樣。《書經．大誥》：「爾知寧王若勤哉？」唐．白居易〈見敏中初到邠寧秋日登城樓詩詩中頗多鄉思因以寄和〉詩：「望鄉心若苦，不用數登樓。」</t>
  </si>
  <si>
    <t>(二)ㄖㄜˇ rě（09179）</t>
  </si>
  <si>
    <t>偌</t>
  </si>
  <si>
    <t>[副]
如此、這麼。如：「偌大的房子。」元．關漢卿《魯齋郎．楔子》：「小人不敢要偌多銀子。」</t>
  </si>
  <si>
    <t>渃</t>
  </si>
  <si>
    <t>[名]
河川名。位於今大陸地區四川省境內。發源於陝西省南鄭縣之青石關，南流而東，至四川省達縣注入渠江。</t>
  </si>
  <si>
    <t>參見「婼羌」條。</t>
  </si>
  <si>
    <t>(一)ㄔㄨㄛˋ chuò（08591）</t>
  </si>
  <si>
    <t>鄀</t>
  </si>
  <si>
    <t>[名]
1.國名。位於秦楚邊界上的小國，故城約在今大陸地區河南省淅川縣西方。後為晉所滅。
2.地名。為春秋時楚邑，故城約在今大陸地區湖北省宜城縣東南方。</t>
  </si>
  <si>
    <t>弱</t>
  </si>
  <si>
    <t>[形]
1.體力或能力差。與「強」相對。《文選．曹丕．與吳質書》：「惜其體弱，不足起其文。」宋．蘇軾〈和子由除日見寄〉詩：「但恐詩力弱，鬥健未免馘。」
2.纖柔、不夠堅強。如：「柔弱」、「弱不禁風」。唐．杜甫〈田舍〉詩：「櫸柳枝枝弱，枇杷樹樹香。」
3.數量不足。如：「十分之一弱」、「一寸五分弱」。
4.年紀小的。唐．李白〈秋日鍊藥院鑷白髮贈元六兄林宗〉詩：「弱齡接光景，矯翼攀鴻鸞。」
[動]
1.喪失、損失。《左傳．昭公三年》：「又弱一個焉，姜其危哉！」
2.衰敗。《左傳．昭公三年》：「姜族弱矣，而媯將始昌。」
3.侵害、削弱。《左傳．襄公十七年》：「宋華閱卒，華臣弱皋比之室。」《文選．賈誼．過秦論》：「諸侯恐懼，會盟而謀弱秦。」</t>
  </si>
  <si>
    <t>蒻</t>
  </si>
  <si>
    <t>[名]
1.荷莖下部深入泥中的部分。《廣韻．入聲．藥韻》：「蒻，荷莖入泥之處。」
2.細嫩的香蒲。漢．史游《急就篇》卷三：「蒲蒻藺席帳帷幢。」唐．顏師古．注：「蒻，謂蒲之柔弱者也。」
3.參見「蒟蒻」條。
4.用蒲草編成的蓆子。漢．桓寬《鹽鐵論．散不足》：「古者皮毛草蓐，無茵席之加，旃蒻之美。」</t>
  </si>
  <si>
    <t>篛</t>
  </si>
  <si>
    <t>[名]
1.竹皮。俗稱為「筍殼」。同「箬」。《集韻．入聲．藥韻》：「箬篛，《說文》所謂竹皮曰箬，或作篛。」
2.植物名。同「箬」。參見「篛竹」條。
3.篛竹的葉子。同「箬」。唐．張志和〈漁父歌〉：「青篛笠，綠簑衣，斜風細雨不須歸。」</t>
  </si>
  <si>
    <t>[動]
焚燒。《左傳．昭公二十七年》：「遂令攻郤氏，且爇之。」晉．杜預．注：「爇，燒也。」</t>
  </si>
  <si>
    <t>(二)（又音）ㄖㄜˋ rè（09183）</t>
  </si>
  <si>
    <t>蕤</t>
  </si>
  <si>
    <t>ㄖㄨㄟˊ</t>
  </si>
  <si>
    <t>ruí</t>
  </si>
  <si>
    <t>[形]
繁花盛開下垂的樣子。《說文解字．艸部》：「蕤，艸木花垂貌。」
[名]
1.泛指草木所垂結的花。《文選．陸機．文賦》：「播芳蕤之馥馥，發青條之森森。」宋．蘇軾〈南鄉子．寒雀滿疏籬〉詞：「寒雀滿疏籬，爭抱寒柯看玉蕤。」
2.帽上所繫的下垂狀飾物。《文選．左思．吳都賦》：「羽旄揚蕤，雄戟耀芒。」
3.參見「葳蕤」條。</t>
  </si>
  <si>
    <t>緌</t>
  </si>
  <si>
    <t>[名]
古時帽帶散垂下來的部分。《詩經．齊風．南山》：「葛屨五兩，冠緌雙止。」唐．白居易〈秦中吟．不致仕〉：「挂冠顧翠緌，懸車惜朱輪。」</t>
  </si>
  <si>
    <t>桵</t>
  </si>
  <si>
    <t>ㄖㄨㄟˇ</t>
  </si>
  <si>
    <t>ruǐ</t>
  </si>
  <si>
    <t>參見「白桵」條。</t>
  </si>
  <si>
    <t>橤</t>
  </si>
  <si>
    <t>同「蕊」。</t>
  </si>
  <si>
    <t>蕊</t>
  </si>
  <si>
    <t>[名]
1.植物的生殖器官。有雄蕊、雌蕊之分。
2.花苞、花。唐．杜甫〈花底〉詩：「紫萼扶千蕊，黃鬚照萬花。」唐．黃巢〈題菊花〉詩：「颯颯西風滿院栽，蕊寒香冷蝶難來。」</t>
  </si>
  <si>
    <t>繠</t>
  </si>
  <si>
    <t>[形]
下垂的樣子。《說文解字．惢部》：「繠，垂也。」《左傳．哀公十三年》：「佩玉繠兮，余無所繫之。」</t>
  </si>
  <si>
    <t>汭</t>
  </si>
  <si>
    <t>ㄖㄨㄟˋ</t>
  </si>
  <si>
    <t>ruì</t>
  </si>
  <si>
    <t>[名]
1.河水彎曲的地方或兩條河會合之處。《說文解字．水部》：「汭，水相入貌。」《書經．禹貢》：「浮于積石，至於龍門西河，會于渭汭。」
2.水邊。《文選．木華．海賦》：「若乃雲錦散文於沙汭之際，綾羅被光於螺蚌之節。」
3.河川名：(1)位於大陸地區山西省永濟縣境內，西流注入黃河。(2)大陸地區涇水支流，至甘肅省涇川縣流入涇水。</t>
  </si>
  <si>
    <t>枘</t>
  </si>
  <si>
    <t>[名]
一端削成方形的短木頭。《史記．卷七四．孟子荀卿傳》：「持方枘欲內圜鑿，其能入乎？」唐．司馬貞．索隱：「方枘是筍也，圜鑿是孔也。謂工人斲木，以方筍而內圜孔，不可入也。」也稱為「榫頭」。</t>
  </si>
  <si>
    <t>芮</t>
  </si>
  <si>
    <t>[形]
草初生時柔嫩的樣子。《說文解字．艸部》：「芮，芮芮，艸生貌。」清．段玉裁．注：「芮芮與茙茙雙聲，柔細之狀。」
[名]
1.繫在楯後的絲帶。《史記．卷六九．蘇秦傳》：「當敵則斬堅甲鐵幕、革抉、㕹芮，無不畢具。」
2.水邊。《詩經．大雅．公劉》：「止旅乃密，芮鞫之即。」《文選．木華．海賦》：「若乃雲錦散文於沙芮之際。」
3.姓。如三國時吳國有芮祉。</t>
  </si>
  <si>
    <t>蚋</t>
  </si>
  <si>
    <t>[名]_x000D_
昆蟲綱雙翅目蚋科蚊類的通稱。體長一至五公釐，褐色或黑色。頭小，足短，胸背隆起，觸角粗短，翼透明。吸食人畜血液。幼蟲則生活在水中。</t>
  </si>
  <si>
    <t>蜹</t>
  </si>
  <si>
    <t>同「蚋」。</t>
  </si>
  <si>
    <t>瑞</t>
  </si>
  <si>
    <t>[名]
1.古代用玉做成的信物，諸侯持以朝祭或作為符節。《說文解字．玉部》：「瑞，以玉為信也。」
2.吉祥的徵兆。《鏡花緣》第八三回：「野人晝見蟢子者，……以為有喜樂之瑞。」
[形]
吉祥的。如：「瑞兆」、「瑞雲」。唐．杜甫〈鳳凰臺〉詩：「自天銜瑞圖，飛下十二樓。」</t>
  </si>
  <si>
    <t>睿</t>
  </si>
  <si>
    <t>[形]
1.明智、聰明的。如：「聰明睿智」。宋．蘇軾〈賈誼論〉：「是故非聰明睿哲不惑之主，則不能全其用。」
2.古代頌揚天子的明智，故用以稱與天子有關的。如：「睿旨」、「睿謨」。
[名]
通達事理的才智。《書經．洪範》：「視曰明，聽曰聰，思曰睿。」</t>
  </si>
  <si>
    <t>叡</t>
  </si>
  <si>
    <t>[形]
明智的、佳美的。通「睿」。南朝梁．劉勰《文心雕龍．誄碑》：「觀其憖遺之切，嗚呼之歎，雖非叡作，古式存焉。」</t>
  </si>
  <si>
    <t>銳</t>
  </si>
  <si>
    <t>[形]
1.鋒利。清．王念孫《廣雅疏證．卷二下．釋詁》：「銳，利也。」《荀子．賦》：「長其尾而銳其剽者邪？」
2.上小下大，即尖。《爾雅．釋山》：「銳而高嶠。」唐．杜甫〈久雨期王將軍不至〉詩：「銳頭將軍來何遲，令我心中苦不足。」
3.精強、有力量的。《左傳．桓公十一年》：「我以銳師宵加於鄖，鄖有虞心而恃其城，莫有鬥志。」《戰國策．齊策一》：「然後背太山，左濟，右天唐，軍重踵高宛，使輕車銳騎衝雍門。」
4.精明、靈敏。如：「感覺敏銳」。唐．朱敬則〈魏武帝論〉：「觀曹公明銳權略，神變不窮，兵折而意不衰。」
5.急劇、明顯的。《聊齋志異．卷九．雲蘿公主》：「父忿恚得疾，食銳減。」
[名]
1.鋒利的兵器。《漢書．卷一．高帝紀下》：「朕親被堅執銳，自帥士卒，犯危難，平暴亂。」唐．王維〈為羽林將軍祭武大將軍文〉：「帝在紫微，與君為衛，身恆披堅，手不捨銳。」
2.精強的力量。如：「養精蓄銳」。
3.姓。如晉代有銳管。</t>
  </si>
  <si>
    <t>堧</t>
  </si>
  <si>
    <t>ㄖㄨㄢˊ</t>
  </si>
  <si>
    <t>ruán</t>
  </si>
  <si>
    <t>[名]
1.江河或城郭邊的土地。《玉篇．土部》：「堧，韋昭曰：『河邊地也。』張晏云：『城旁地也。』」《漢書．卷八四．翟方進傳》：「奏請一切增賦，稅城郭堧及園田。」
2.宮殿的外牆。《玉篇．土部》：「堧，服虔曰：『宮外垣也。』」《史記．卷九六．張丞相傳》：「錯為內史，門東出，不便，更穿一門南出。南出者，太上皇廟堧垣。」</t>
  </si>
  <si>
    <t>撋</t>
  </si>
  <si>
    <t>[動]
兩手相搓揉。宋．蘇軾〈東坡酒經〉：「投之糟中，熟撋而再釀之。」</t>
  </si>
  <si>
    <t>阮</t>
  </si>
  <si>
    <t>ㄖㄨㄢˇ</t>
  </si>
  <si>
    <t>ruǎn</t>
  </si>
  <si>
    <t>[名]
1.樂器名。一種彈撥樂器。參見「阮咸」條。
2.國名。為殷商時的小國，故城約在今大陸地區甘肅省涇川縣東南。後為周文王所滅。
3.姓。如晉代有阮籍。</t>
  </si>
  <si>
    <t>耎</t>
  </si>
  <si>
    <t>[形]
柔弱、柔軟。通「軟」。《漢書．卷六二．司馬遷傳》：「僕雖怯耎欲苟活，亦頗識去就之分矣。」唐．李賀〈南園〉詩一三首之九：「泉沙耎臥鴛鴦暖，曲岸迴篙舴艋遲。」
[動]
退縮。《史記．卷二七．天官書》：「其已出三日而復，有微入，入三日乃復盛出，是謂耎。」裴駰集解引晉灼曰：「耎，退之不進。」</t>
  </si>
  <si>
    <t>蝡</t>
  </si>
  <si>
    <t>[動]
微動、爬動。《荀子．勸學》：「端而言，蝡而動，亦可以為法則。」《漢書．卷九四．匈奴傳上》：「元元萬民，下及魚鱉，上及飛鳥，跂行喙息蝡動之類，莫不就安利，避危殆。」</t>
  </si>
  <si>
    <t>軟</t>
  </si>
  <si>
    <t>[形]_x000D_
1.柔而不堅硬。如：「鬆軟」、「柔軟」。北周．庾信〈奉和夏日應令〉詩：「早菱生軟角，初蓮開細房。」_x000D_
2.柔和、溫和。宋．楊萬里〈最愛東山晴後雪二絕句〉之一：「最愛東山晴後雪，軟紅光裡湧金山。」_x000D_
3.沒有氣力。如：「手腳酸軟」、「軟而無力」。《西遊記》第一八回：「慌得他手麻腳軟。」_x000D_
4.容易受感動或意志動搖而不能堅持。如：「心軟」、「耳根軟」。_x000D_
5.品質差、不豐富、不高明而不受欣賞。如：「這家館子菜軟。」、「這部戲碼軟了點。」_x000D_
[名]_x000D_
1.懦弱而缺乏決斷力的人。元．王實甫《西廂記．第二本．楔子》：「我從來欺硬怕軟，喫苦不甘，你休只因親事胡撲掩。」_x000D_
2.溫和委婉的態度。如：「吃軟不吃硬」。_x000D_
[副]_x000D_
用溫和的方式和平進行。如：「軟禁」。《二十年目睹之怪現狀》第三〇回：「氣的又不敢惱出來，只得和他軟商量。」</t>
  </si>
  <si>
    <t>瓀</t>
  </si>
  <si>
    <t>[名]
像玉的美石。《文選．張衡．西京賦》：「珊瑚琳碧，瓀珉璘彬。」</t>
  </si>
  <si>
    <t>[動]
緩慢爬行。《史記．卷一一〇．匈奴傳》：「元元萬民，下及魚鱉，上及飛鳥，跂行、喙息、蠕動之類，莫不就安利而辟危殆。」</t>
  </si>
  <si>
    <t>(二)（又音）ㄖㄨˊ rú（09288）</t>
  </si>
  <si>
    <t>犉</t>
  </si>
  <si>
    <t>ㄖㄨㄣˊ</t>
  </si>
  <si>
    <t>rún</t>
  </si>
  <si>
    <t>[名]
1.黃色黑脣的牛。《說文解字．牛部》：「犉，黃牛黑脣也。」《詩經．小雅．無羊》：「誰謂爾無牛，九十其犉。」
2.七尺高的牛。《爾雅．釋畜》：「牛七尺為犉。」</t>
  </si>
  <si>
    <t>閏</t>
  </si>
  <si>
    <t>ㄖㄨㄣˋ</t>
  </si>
  <si>
    <t>rùn</t>
  </si>
  <si>
    <t>[名]
1.由於回歸年的長度不剛好是朔望月或太陽日的整數倍，為調整曆法與這些天象間的差距，必須在適當的年分中增加完整的一日或一個月，稱為「閏」。參見「閏年」、「閏月」條。
2.偏。參見「閏統」、「閏位」條。</t>
  </si>
  <si>
    <t>潤</t>
  </si>
  <si>
    <t>[名]
利益。如：「利潤」。明．張煌言〈答曹雲林監軍書〉：「徐兄適會弟子阮途，勿克稍為分潤，何梁伯鸞偏遇范萊蕪乎？一笑。」
[動]
1.使潮溼、不枯乾。如：「潤喉」、「潤嗓」、「潤澤」。唐．杜甫〈春夜喜雨〉詩：「隨風潛入夜，潤物細無聲。」
2.修飾。如：「潤色」、「潤飾」。明．徐弘祖《徐霞客遊記．卷六上．滇遊日記四》：「出西門，見門內有新潤之房，頗麗。」
3.使得到好處、幫助。《漢書．卷五一．路溫舒傳》：「故桓、文扶微興壞，尊文、武之業，澤加百姓，功潤諸侯。」
[形]
1.潮溼、不枯燥。如：「溼潤」、「滋潤」。《文選．王襃．洞簫賦》：「吸至精之滋熙，稟蒼色之潤堅。」
2.細膩光滑。如：「光潤」、「珠圓玉潤」。《警世通言．卷三二．杜十娘怒沉百寶箱》：「兩彎眉畫遠山青，一對眼明秋水潤。」</t>
  </si>
  <si>
    <t>戎</t>
  </si>
  <si>
    <t>ㄖㄨㄥˊ</t>
  </si>
  <si>
    <t>róng</t>
  </si>
  <si>
    <t>[名]
1.兵器。《禮記．月令》：「天子乃教於田獵，以習五戎。」漢．鄭玄．注：「五戎謂五兵：弓矢、殳、矛、戈、戟也。」
2.兵車。《左傳．僖公三十三年》：「梁弘御戎，萊駒為右。」唐．柳宗元〈嶺南節度饗軍堂記〉：「其大小之戎，號令之用，則聽于節度使焉。」
3.兵士。《易經．同人卦．象曰》：「伏戎于莽，敵剛也。」《國語．吳語》：「王不如設戎，約辭行成，以喜其民，以廣侈吳王之心。」
4.軍旅。如：「投筆從戎」。唐．皮日休〈白門表〉：「監戎者以聞。上赫然大怒，命大將職正其罪。」
5.戰爭。《書經．說命中》：「惟口起羞，惟甲冑起戎。」《新唐書．卷一二二．魏元忠傳》：「是知大將臨戎，以智為本。」
6.泛指西方的少數民族。《三國志．卷三五．蜀書．諸葛亮傳》：「西和諸戎，南撫夷越。」
7.姓。如漢代有戎賜。
[形]
大。《詩經．周頌．烈文》：「念茲戎功，繼序其皇之。」漢．毛亨．傳：「戎，大。」
[代]
你、汝。《詩經．大雅．民勞》：「戎雖小子，而式弘大。」漢．鄭玄．箋：「戎，猶女也。」</t>
  </si>
  <si>
    <t>狨</t>
  </si>
  <si>
    <t>[名]
1.細布。通「絨」。《廣韻．平聲．東韻》：「狨，細布。」
2.動物名。脊椎動物門哺乳綱靈長目猿科。體型矮小，被黃色的絲狀軟毛，耳上有白色長叢毛。頭圓，尾長，通常棲於樹上，類似松鼠。</t>
  </si>
  <si>
    <t>茙</t>
  </si>
  <si>
    <t>參見「茙菽」條。</t>
  </si>
  <si>
    <t>毧</t>
  </si>
  <si>
    <t>[名]
1.細毛。如：「羊毧」、「鴨毧」。
2.毛織品。如：「呢毧」、「駱駝毧」、「長毛毧」。</t>
  </si>
  <si>
    <t>羢</t>
  </si>
  <si>
    <t>[名]
纖細的羊毛。元．武漢臣《玉壺春》第三折：「怎比的我有三十車羊羢潞紬。」</t>
  </si>
  <si>
    <t>絨</t>
  </si>
  <si>
    <t>[名]
1.細布。《玉篇．糸部》：「絨，細布也。」
2.表面有柔細短毛的絲織品。如：「絲絨」、「呢絨」。
3.刺繡用的絲線。明．楊基〈美人刺繡〉詩：「閒情正在停針處，笑嚼殘絨唾碧窗。」</t>
  </si>
  <si>
    <t>肜</t>
  </si>
  <si>
    <t>[名]
古代的一種祭祀名稱。乃指祭祀後第二天又進行的祭祀。《爾雅．釋天》：「繹，又祭也。周曰繹，商曰肜。」</t>
  </si>
  <si>
    <t>容</t>
  </si>
  <si>
    <t>[動]
1.含納。如：「容身之所」。《詩經．衛風．河廣》：「誰謂河廣，曾不容刀。」宋．蘇軾〈留侯論〉：「子房之不死者，其間不能容髮，蓋亦已危矣。」
2.收留。《左傳．僖公七年》：「無適小國，將不女容焉。」《戰國策．燕策三》：「樊將軍亡秦之燕，太子容之。」
3.寬待、原諒。《史記．卷一一八．淮南王傳》：「兄弟二人不能相容。」南朝宋．劉義慶《世說新語．方正》：「君性亮直，必不容於寇讎。」
4.修飾、妝飾。如：「女為悅己者容」。宋．辛棄疾〈江神子．梅梅柳柳鬥纖穠〉詞：「梅梅柳柳鬥纖穠。亂山中，為誰容？」
5.可、允許。如：「容許」。《後漢書．卷六三．李固傳》：「竊感古人一飯之報，況言嗹遇而容不盡乎？」
[名]
1.面貌。《詩經．周頌．振鷺》：「振鷺于飛，于彼西雝。我客戾止，亦有斯容。」唐．韓愈〈獨孤申叔哀辭〉：「如聞其聲，如見其容。」
2.承裝量。漢．王充《論衡．骨相》：「察表候以知命，猶察斗斛以知容矣。」
3.姓。如明代有容悌與。
[副]
1.應當。《後漢書．卷六三．李固傳》：「宮省之內，容有陰謀。」
2.或許、也許。如：「容或有之」。明．宋應星《天工開物．卷上．粹精》：「凡稻最佳九穰一秕，倘風雨不時，耘耔失節，則六穰四秕者容有之。」</t>
  </si>
  <si>
    <t>溶</t>
  </si>
  <si>
    <t>[動]
物質在液體中分解。如：「溶化」、「溶解」、「即溶」。
[形]
水流盛大的樣子。南朝梁．江淹〈江上之山賦〉：「淵潾澒溶兮，楚水而吳江。」</t>
  </si>
  <si>
    <t>熔</t>
  </si>
  <si>
    <t>[動]
用高溫使金屬或固體物質變為液體狀態。如：「熔解」、「熔煉」、「熔化」。</t>
  </si>
  <si>
    <t>瑢</t>
  </si>
  <si>
    <t>參見「瑽瑢」條。</t>
  </si>
  <si>
    <t>榕</t>
  </si>
  <si>
    <t>[名]
植物名。桑科，常綠喬木。分枝極多，覆蓋面廣。由枝出叢生氣根，狀如馬尾，長者下垂入地。葉橢圓呈倒卵形，表面深綠色。開紅花，果實圓而小，似無花果。樹皮可入藥。產於熱帶地區。材質較柔軟，可製木器。園藝上常作盆栽以觀賞。繁殖容易且生長快速，常植為行道樹。</t>
  </si>
  <si>
    <t>蓉</t>
  </si>
  <si>
    <t>[名]
1.參見「芙蓉」條。
2.蓉城的簡稱。今大陸地區四川省城的別名。參見「蓉城」條。
3.瓜果、豆類磨粉後製成的糕餅餡。如：「豆沙蓮蓉」、「椰蓉」。</t>
  </si>
  <si>
    <t>鎔</t>
  </si>
  <si>
    <t>[名]
鑄造金屬器物的模型。漢．董仲舒〈賢良策〉：「上之化下，下之從上，猶泥之在鈞，唯甄者之所為；猶金之在鎔，惟冶者之所鑄。」
[動]
用火融化金屬。南朝陳．徐陵〈天台山館徐則法師碑〉：「玉粒雖軟，金膏未鎔。」</t>
  </si>
  <si>
    <t>鰫</t>
  </si>
  <si>
    <t>[名]
一種形體似鰱的魚。《集韻．平聲．鍾韻》：「鰫，似鰱而黑。」</t>
  </si>
  <si>
    <t>茸</t>
  </si>
  <si>
    <t>[形]_x000D_
1.草木初生時細柔的樣子。《說文解字．艸部》：「茸，艸茸茸貌。」_x000D_
2.散亂不整齊。唐．李商隱〈李肱所遺畫松詩書兩紙得四十韻〉：「旖旎狐裘茸，鄒顛蓐髮軟。」_x000D_
[名]_x000D_
1.草木初生時的嫩苗。唐．韓愈、孟郊〈有所思聯句〉：「臺鏡晦舊暉，庭草滋深茸。」_x000D_
2.鹿茸的簡稱。因初生的鹿角被有細短的毛，所以稱為「鹿茸」。宋．黃庭堅〈夏日夢伯兄寄江南〉詩：「河天月暈魚生子，槲夜風微鹿養茸。」_x000D_
3.鳥獸細柔的毛。宋．蘇軾〈正月一日雪中過淮謁客回作〉詩二首之一：「水崖落屐齒，風葉亂裘茸。」_x000D_
4.繡線。通「絨」。明．高啟〈效香奩〉詩二首之一：「青瑣初空別恨長，繡茸留得唾痕香。」</t>
  </si>
  <si>
    <t>(二)ㄖㄨㄥˇ rǒng（09367）</t>
  </si>
  <si>
    <t>髶</t>
  </si>
  <si>
    <t>[形]
蓬頭散髮的樣子。《廣韻．平聲．鍾韻》：「髶，髮多亂貌。」</t>
  </si>
  <si>
    <t>頌</t>
  </si>
  <si>
    <t>[名]
儀容。通「容」。《說文解字．頁部》：「頌，貌也。」清．段玉裁．注：「貌下曰：『頌，儀也。』古作頌貌，今作容貌。」《漢書．卷八八．儒林傳．毛公傳》：「教時，徐生以頌為禮官大夫，傳子至孫延、襄。」
[動]
寬容。通「容」。《史記．卷八三．魯仲連鄒陽傳》：「世以鮑焦為無從頌而死者，皆非也。」</t>
  </si>
  <si>
    <t>(一)ㄙㄨㄥˋ sòng（10220）</t>
  </si>
  <si>
    <t>榮</t>
  </si>
  <si>
    <t>[名]
1.屋檐兩頭翹起的部分。《說文解字．木部》：「屋梠之兩頭起者為榮。」清．段玉裁．注：「齊謂之檐，楚謂之梠，檐之兩頭軒起為榮。」
2.花。《文選．古詩十九首．庭中有奇樹》：「攀條折其榮，將以遺所思。」唐．陳子昂〈送客〉詩：「白蘋已堪把，綠芷復含榮。」
3.富貴、顯達。如：「榮華富貴」。唐．杜甫〈自京赴奉先縣詠懷五百字〉詩：「榮枯咫尺異，惆悵難再述。」
4.光耀、光榮。如：「引以為榮」。《易經．繫辭上》：「言行君子之樞機，樞機之發，榮辱之主也。」
5.姓。如清代有榮祿。
[形]
茂盛、繁多。《荀子．大略》：「室宮榮與？婦謁盛與？」
[副]
光耀的。如：「榮獲」、「榮任」、「衣錦榮歸」。</t>
  </si>
  <si>
    <t>(二)（又音）ㄏㄨㄥˊ hóng（05284）</t>
  </si>
  <si>
    <t>蠑</t>
  </si>
  <si>
    <t>參見「蠑螺」、「蠑螈」等條。</t>
  </si>
  <si>
    <t>融</t>
  </si>
  <si>
    <t>[動]
1.炊煮時，火氣上升消散。《說文解字．鬲部》：「融，炊气上出也。」
2.消溶、溶化。唐．盧仝〈酬願公雪中見寄〉詩：「梅柳意卻活，園圃冰始融。」宋．王安石〈北山道人栽松〉詩：「陽坡風暖雪初融，度谷遙看積翠重。」
3.調和。如：「水乳交融」。
4.流通。如：「融通資金」。《文選．何晏．景福殿賦》：「雲行雨施，品物咸融。」
[形]
1.和樂。如：「其樂融融」。
2.長久。《文選．蔡邕．郭有道碑文》：「稟命不融，享年四十有二。」
[名]
傳說中的火神。即祝融。《墨子．非攻下》：「天命融隆火。」《國語．周語上》：「昔夏之興也，融降于崇山；其亡也，回祿信於耹隧。」</t>
  </si>
  <si>
    <t>冗</t>
  </si>
  <si>
    <t>ㄖㄨㄥˇ</t>
  </si>
  <si>
    <t>rǒng</t>
  </si>
  <si>
    <t>[形]
1.閒散。《周禮．地官．槁人》：「槁人掌共外內朝冗食者之食。」唐．韓愈〈進學解〉：「三年博士，冗不見治。」
2.雜亂。宋．王安石〈進修南郊敕式表〉：「而臣等承撰次之明詔，迨茲彌歲，僅乃終篇，猶因用於故常，特刪除其紛冗。」《金史．卷一〇八．胥鼎傳》：「天下之大，萬機之眾，錢穀之冗，非九重所能兼。」
3.繁忙。宋．劉宰〈走筆謝王去非遣餽江鱭〉詩：「知君束裝冗，不敢折簡致。」
4.多餘無用的。如：「冗員」。《文選．陸機．文賦》：「要辭達而理舉，故無取乎冗長。」
5.愚劣。晉．傅咸〈致汝南王亮書〉：「咸之愚冗，不惟失望而已，竊以為憂。」</t>
  </si>
  <si>
    <t>[動]
推入、推致。《漢書．卷六二．司馬遷傳》：「而僕又茸以蠶室，重為天下觀笑。」</t>
  </si>
  <si>
    <t>(一)ㄖㄨㄥˊ róng（09359）</t>
  </si>
  <si>
    <t>氄</t>
  </si>
  <si>
    <t>[名]
鳥獸細密的毛髮。《書經．堯典》：「厥民隩，鳥獸氄毛。」漢．孔安國．傳：「鳥獸皆生耎毳細毛以自溫焉。」</t>
  </si>
  <si>
    <t>仔</t>
  </si>
  <si>
    <t>ㄗ</t>
  </si>
  <si>
    <t>zī</t>
  </si>
  <si>
    <t>參見「仔肩」條。</t>
  </si>
  <si>
    <t>(二)ㄗㄞˇ zǎi（09479）(三)ㄗˇ zǐ（09405）</t>
  </si>
  <si>
    <t>孖</t>
  </si>
  <si>
    <t>[動]
繁殖生長。通「滋」。《玉篇．子部》：「孖，亦作滋，蕃長也。」
[名]
雙生子。《廣韻．平聲．之韻》：「孖，雙生子也。」</t>
  </si>
  <si>
    <t>孜</t>
  </si>
  <si>
    <t>參見「孜煎」、「孜孜」等條。</t>
  </si>
  <si>
    <t>次</t>
  </si>
  <si>
    <t>參見「次且」條。</t>
  </si>
  <si>
    <t>(一)ㄘˋ cì（09711）</t>
  </si>
  <si>
    <t>咨</t>
  </si>
  <si>
    <t>[動]
商量、謀劃。通「諮」。如：「咨詢」、「咨謀」、「咨商」。《文選．諸葛亮．出師表》：「愚以為宮中之事，事無大小，悉以咨之，然後施行，必能裨補闕漏，有所廣益也。」
[名]
一種平行機關往來的公文。今僅總統與立法、監察兩院公文往復時使用，其他平行機關則用函。
[歎]
表示感嘆的語氣。《書經．堯典》：「浩浩滔天，下民其咨。」《文選．張衡．思玄賦》：「咨姤嫮之難並兮，想依韓以流亡。」</t>
  </si>
  <si>
    <t>姿</t>
  </si>
  <si>
    <t>[名]
1.容貌、態勢。如：「姿顏」、「姿容曼妙」、「舞姿」、「搖曳生姿」。唐．韓愈〈君子法天運〉詩：「利害有常勢，取捨無定姿。」
2.資質。通「資」。如：「姿質超人」。漢．王充《論衡．本性》：「初稟天然之姿，受純一之質。」
[副]
放任、縱情。《紅樓夢》第六二回：「二者恐丫鬟們年青，乘王夫人不在家，不服探春等約束，姿意痛飲，失了體統。」</t>
  </si>
  <si>
    <t>恣</t>
  </si>
  <si>
    <t>(一)ㄗˋ zì（09422）(三)ㄘ cī（09692）</t>
  </si>
  <si>
    <t>粢</t>
  </si>
  <si>
    <t>[名]
黍、稷、稻、粱、麥、菰等六種穀物的總稱。《左傳．桓公二年》：「粢食不鑿，昭其儉也。」唐．孔穎達．正義：「粢，亦諸穀總名。」</t>
  </si>
  <si>
    <t>資</t>
  </si>
  <si>
    <t>[名]
1.財貨。如：「物資」、「資金」、「資本」。
2.費用。如：「工資」、「車資」、「郵資」。
3.經歷、身分。如：「年資」、「資次」。唐．韓愈〈永貞行〉：「夜作詔書朝拜官，超資越序曾無難。」
4.天生的才智。如：「資質」、「天資」。《荀子．性惡》：「今人之性，生而離其朴，離其資，必失而喪之。」
5.資本家的簡稱。如：「資方」、「勞資合作」。
6.憑藉。《史記．卷五五．留侯世家》：「夫為天下除殘賊，宜縞素為資。」《淮南子．王術》：「夫七尺之橈，而制船之左右者，以水為資。」
7.材料。參見「資料」條。
8.姓。如明代有資金。
[動]
1.蓄積。《國語．越語上》：「臣聞之賈人，夏則資皮，冬則資絺，旱則資舟，水則資車，以待乏也。」
2.供給、幫助。《戰國策．秦策四》：「韓天下之咽喉，魏天下之胸腹，王資臣萬金而遊。」漢．高誘．注：「資，給。」《宋史．卷三一二．韓琦傳》：「今棄不耕，適足以資敵，將皆為所有矣，遂請距北界十里為禁地。」
3.取用。《易經．乾卦．彖曰》：「大哉，乾元，萬物資始。」唐．孔穎達．正義：「以萬象之物皆資取乾元而各得始生。」</t>
  </si>
  <si>
    <t>趑</t>
  </si>
  <si>
    <t>諮</t>
  </si>
  <si>
    <t>[動]
商量、詢問。通「咨」。如：「諮詢」、「諮商」。《後漢書．卷四四．胡廣傳》：「國有大政，必議之於前訓，諮之於故老。」三國魏．王粲〈七哀〉詩三首之三：「蓼蟲不知辛，去來勿與諮。」</t>
  </si>
  <si>
    <t>甾</t>
  </si>
  <si>
    <t>[名]
古代盛酒漿的陶器。《說文解字．田部》：「甾，東楚名缶曰淄。」清．段玉裁．注：「缶下曰瓦器，所以盛酒漿。」</t>
  </si>
  <si>
    <t>(二)ㄗㄞ zāi（09475）</t>
  </si>
  <si>
    <t>淄</t>
  </si>
  <si>
    <t>[名]
參見「淄水」條。
[動]
染黑、玷汙。《史記．卷四七．孔子世家》：「不曰堅乎，磨而不磷；不曰白乎，涅而不淄。」</t>
  </si>
  <si>
    <t>椔</t>
  </si>
  <si>
    <t>[名]
直立的枯木。《爾雅．釋木》：「木立死，椔。」</t>
  </si>
  <si>
    <t>菑</t>
  </si>
  <si>
    <t>[名]
1.初開墾一年的田地。《爾雅．釋地》：「田一歲曰菑。」《淮南子．泰族》：「后稷墾草發菑，糞土樹穀，使五種各得其宜。」
2.泛指田。唐．王維〈積雨輞川莊作〉詩：「積雨空林煙火遲，蒸藜炊黍餉東菑。」
3.姓。如漢代有菑壯。
[動]
割草開墾。《書經．大誥》：「厥父菑，厥子乃弗肯播，矧肯穫。」</t>
  </si>
  <si>
    <t>(二)ㄗㄞ zāi（09476）</t>
  </si>
  <si>
    <t>緇</t>
  </si>
  <si>
    <t>[名]
1.黑色。漢．王充《論衡．程材》：「白紗入緇，不染自黑。」宋．陸游〈自小雲頂上雲頂寺〉詩：「素衣雖成緇，不為京洛塵。」
2.僧衣。《儒林外史》第八回：「自此更改姓名，削髮披緇去了。」
3.僧侶。唐．裴休〈唐故左街僧錄內供奉三教談論引駕大德安國寺上座賜紫方袍大達法師元秘塔碑銘〉：「詔和尚率緇屬迎真骨於靈山。」
[動]
染黑。《論語．陽貨》：「不曰白乎，涅而不緇。」漢．崔瑗〈座右銘〉：「在涅貴不緇，曖曖內含光。」
[形]
黑色的。《詩經．鄭風．緇衣》：「緇衣之宜兮，敝，予又改為兮。」</t>
  </si>
  <si>
    <t>輜</t>
  </si>
  <si>
    <t>[名]
古代一種前後都有帷幔的車。《說文解字．車部》：「輜，衣車也。」清．段玉裁．注：「衣車，謂有衣蔽之車也。」</t>
  </si>
  <si>
    <t>錙</t>
  </si>
  <si>
    <t>[名]
量詞。古代計算重量的單位。六銖為一錙，二十四銖為一兩。《說文解字．金部》：「錙，六銖也。」《淮南子．說山》：「有千金之璧，而無錙錘之礛諸。」漢．高誘．注：「六銖曰錙，八銖曰錘。」</t>
  </si>
  <si>
    <t>鯔</t>
  </si>
  <si>
    <t>[名]
動物名。魚綱鯔科。頭部闊大，體長而側扁，鱗為櫛狀，背部暗灰色，腹部銀白色。生活於淺海和河口鹹水、淡水交界處，好食泥土。</t>
  </si>
  <si>
    <t>茲</t>
  </si>
  <si>
    <t>[代]
此。如：「念茲在茲」。《論語．子罕》：「文王既沒，文不在茲乎？」
[副]
1.更加。通「滋」。《漢書．卷二七．五行志下》：「賦斂茲重，而百姓屈竭。」
2.現在。《史記．卷七一．樗里子甘茂傳》：「今臣生十二歲於茲矣，君其試臣，何遽叱乎？」
[名]
1.年、時。《孟子．滕文公下》：「今茲未能，請輕之，以待來年。」《文選．古詩十九首．生年不滿百》：「為樂當及時，何能待來茲。」
2.姓。如春秋時魯國有茲無還。</t>
  </si>
  <si>
    <t>(二)ㄘˊ cí（09701）</t>
  </si>
  <si>
    <t>滋</t>
  </si>
  <si>
    <t>[動]
1.生長、繁殖。如：「滋生」。《呂氏春秋．季夏紀．明理》：「草木庳小不滋，五穀萎敗不成。」
2.培植、培養。《楚辭．屈原．離騷》：「余既滋蘭之九畹兮，又樹蕙之百畝。」
3.引發、惹發。如：「滋事」。《文選．蘇武．詩四首之三》：「握手一長歎，淚為生別滋。」
4.潤澤。《文選．謝惠連．擣衣詩》：「白露滋園菊，秋風落庭槐。」唐．李商隱〈潭州〉詩：「湘淚淺深滋竹色，楚歌重疊怨蘭叢。」
5.補身體。如：「他身子十分虛弱，須好好滋補一番。」
6.北平方言。指噴射、冒。如：「管子裂了，直滋水。」
[形]
繁多、茂盛。《文選．潘岳．射雉賦》：「靡木不滋，無草不茂。」
[副]
更加。《孟子．公孫丑上》：「若是，則弟子之惑滋甚。」《史記．卷一一二．酷吏傳．序》：「法令滋章，盜賊多有。」
[名]
1.味道、美味。《漢書．卷六〇下．蔡邕傳》：「汦汦庶類，含甘吮滋。」唐．白居易〈效陶潛體詩〉一六首之四：「持玩已可悅，歡嘗有餘滋。」
2.汁液。《文選．揚雄．羽獵賦》：「方將上獵三靈之流，下決醴泉之滋。」《文選．左思．魏都賦》：「墨井鹽池，玄滋素液。」</t>
  </si>
  <si>
    <t>孳</t>
  </si>
  <si>
    <t>[動]
滋生、繁殖。通「滋」。《漢書．卷二一．律曆志上》：「故陽氣施種於黃泉，孳萌萬物，為六氣元也。」《文選．鮑照．蕪城賦》：「孳貨鹽田，鏟利銅山。」
[副]
勤勞不息。通「孜」。《書經．泰誓》：「孳孳無怠，天將有立父母，民之有政有居。」《漢書．卷八五．谷永傳》：「夙夜孳孳，婁省無怠。」</t>
  </si>
  <si>
    <t>(二)ㄗˋ zì（09427）</t>
  </si>
  <si>
    <t>嗞</t>
  </si>
  <si>
    <t>[歎]
表示感慨的語氣。《說文解字．口部》：「嗞，嗟也。」《戰國策．秦策五》：「嗟嗞乎，司空馬。」
[擬]
形容尖銳而連續不斷的聲音。如：「你別嗞嗞亂叫行不行？」</t>
  </si>
  <si>
    <t>嵫</t>
  </si>
  <si>
    <t>參見「崦嵫」條。</t>
  </si>
  <si>
    <t>鎡</t>
  </si>
  <si>
    <t>參見「鎡基」條。</t>
  </si>
  <si>
    <t>(一)ㄐㄧㄣˋ jìn（05868）</t>
  </si>
  <si>
    <t>訾</t>
  </si>
  <si>
    <t>[名]
1.財貨。通「資」。《史記．卷一二二．杜周傳》：「及身久任事，至三公列，子孫尊官，家訾累數巨萬矣。」
2.參見「訾黃」條。
3.姓。如漢代有訾順。
[動]
計算、估量。通「貲」。《商君書．墾令》：「訾粟而稅，則上壹而民平。」《列子．說符》：「錢帛無量，財貨無訾。」</t>
  </si>
  <si>
    <t>(二)ㄗˇ zǐ（09416）</t>
  </si>
  <si>
    <t>貲</t>
  </si>
  <si>
    <t>[動]
1.罰繳財物。古代刑法強制犯人服徭役或繳納一定的財物，如秦律中有「貲盾」、「貲布」、「貲徭」。漢代則指對未成年者征收稅賦。《說文解字．貝部》：「貲，……也。從貝此聲。漢律：民不繇，貲錢二十三。」
2.計量、估量。如：「所費不貲」。《後漢書．卷六六．陳蕃傳》：「而采女數千，食肉衣綺，脂油粉黛，不可貲計。」唐．章懷太子．注：「貲，量也。」
[名]
財貨。通「資」。《明史．卷二五一．徐光啟傳》：「蓋棺之日，囊無餘貲。」</t>
  </si>
  <si>
    <t>觜</t>
  </si>
  <si>
    <t>[名]
1.貓頭鷹頭上的毛角。《說文解字．角部》：「觜，鴟舊頭上角觜也。」
2.星宿名。二十八星宿之一，為西方白虎七宿的第六宿。
3.星官名，觜宿之首，有三顆星，在西方屬獵戶座。《史記．卷二七．天官書》：「參為白虎……，小三星隅置，曰觜觿，為虎首。」《晉書．卷一一．天文志上》：「觜觿三星，為三軍之候，行軍之藏府，主葆旅，收斂萬物。」</t>
  </si>
  <si>
    <t>(二)ㄗㄨㄟˇ zuǐ（09626）</t>
  </si>
  <si>
    <t>髭</t>
  </si>
  <si>
    <t>[名]
嘴脣上邊的短鬚。《玉篇．髟部》：「髭，口上須。」如：「髭鬚」、「鬍髭」。五代十國南唐．李煜〈病中感懷〉詩：「夜鼎唯煎藥，朝髭半染霜。」
[形]
毛髮直豎張散的樣子。參見「髭髭著」條。</t>
  </si>
  <si>
    <t>齜</t>
  </si>
  <si>
    <t>[動]
上下牙齒相磨。《說文解字．齒部》：「齜，齒相齘也。」
[形]
張嘴露牙的樣子。《說文解字．齒部》：「齜，一曰開口見齒之貌。」</t>
  </si>
  <si>
    <t>[名]
1.衣服的下襬。《論語．鄉黨》：「攝齊下堂，鞠躬如也。」
2.黍稷等穀物。通「粢」。《詩經．小雅．甫田》：「以我齊明，與我犧羊。」《禮記．祭統》：「是故天子親耕於南郊，以共齊盛。」漢．鄭玄．注：「齊，或為粢。」</t>
  </si>
  <si>
    <t>(一)ㄑㄧˊ qí（06274）(二)ㄓㄞ zhāi（07690）(三)ㄐㄧˋ jì（05450）</t>
  </si>
  <si>
    <t>齍</t>
  </si>
  <si>
    <t>[名]
1.盛黍稷的祭器。《說文解字．皿部》：「齍，黍稷器，所以祀者。」《周禮．天官．九嬪》：「凡祭祀，贊玉齍。」
2.黍稷。通「粢」。《周禮．春官．小宗伯》：「辨六齍之名物與其用，使六官之人共奉之。」漢．鄭玄．注：「齍，讀為粢。六粢謂六穀：黍、稷、稻、粱、麥、苽。」</t>
  </si>
  <si>
    <t>鼒</t>
  </si>
  <si>
    <t>[名]_x000D_
收口小的鼎。《爾雅．釋器》：「鼎絕大謂之鼐，圜弇上謂之鼒。」晉．郭璞．注：「鼎斂上而小口。」《詩經．周頌．絲衣》：「鼐鼎及鼒，兕觥其觩。」</t>
  </si>
  <si>
    <t>子</t>
  </si>
  <si>
    <t>ㄗˇ</t>
  </si>
  <si>
    <t>zǐ</t>
  </si>
  <si>
    <t>[名]_x000D_
1.地支的第一位。_x000D_
2.時辰名。約當晚上十一點到一點。_x000D_
3.古時指子女，現專指兒子。如：「四子二女」、「父子」、「獨生子」。_x000D_
4.後代子孫、子代。如：「絕子絕孫」。《荀子．正論》：「聖王之子也，有天下之後也，埶籍之所在也，天下之宗室也。」晉．石崇〈王明君辭〉：「我本漢家子，將適單于庭。」_x000D_
5.稚幼的鳥獸。如：「鹿子」、「鶴子」、「不入虎穴，焉得虎子。」《論語．雍也》：「犁牛之子，騂且角。」_x000D_
6.植物的果實、種子或動物的卵。如：「菜子」、「魚子」、「瓜子」、「蓮子」。_x000D_
7.對一般人的通稱。如：「小女子」、「無聊男子」。《詩經．邶風．匏有苦葉》：「招招舟子，人涉卬否。」_x000D_
8.對男子的美稱，多指有學問、道德或地位的人。如：「孔子」、「孟子」。_x000D_
9.夫婦之間相互的稱呼。如：「內子」、「外子」。_x000D_
10.稱輩分小、年紀輕的人。如：「子弟」。《論語．述而》：「二三子以我為隱乎？」_x000D_
11.棋粒。唐．鄭谷〈寄棋客〉詩：「覆圖聞夜雨，下子對秋燈。」宋．蘇軾〈觀棋〉詩：「不聞人聲，時聞落子。紋枰坐對，誰究此味？」《山歌．卷六．棋》：「收子象棋著圍碁。」_x000D_
12.古代圖書分類的第三部。包括諸子百家著作、技藝、術數等書籍。如：「經、史、子、集。」_x000D_
13.古代五等爵位的第四等。《禮記．王制》：「王者之制祿爵，公、侯、伯、子、男凡五等。」_x000D_
14.姓。如商代有子昭。_x000D_
15.二一四部首之一。_x000D_
[代]_x000D_
你。《韓非子．難勢》：「以子之矛陷子之楯何如？」《史記．卷七〇．張儀列傳》：「子亦知子之賤於王乎？」_x000D_
[形]_x000D_
1.幼小的。如：「子雞」、「子薑」、「子豬」。_x000D_
2.和母對稱的。參見「子金」、「子音」等條。_x000D_
3.派生的、有所屬的。參見「子目」、「子句」等條。_x000D_
[動]_x000D_
照顧、撫愛。《禮記．中庸》：「子庶民，來百工也。」唐．柳宗元〈封建論〉：「封建者，必私其土，子其人。」</t>
  </si>
  <si>
    <t>(二)˙ㄗ zi（09431）</t>
  </si>
  <si>
    <t>[名]
植物的種子。如：「菜仔」、「麥仔」。
[副]
小心、細心。如：「他做事很仔細。」
[助]
方言中的語助詞。如：「囝仔」、「阿飛仔」、「歌仔戲」。</t>
  </si>
  <si>
    <t>(一)ㄗ zī（09369）(二)ㄗㄞˇ zǎi（09479）</t>
  </si>
  <si>
    <t>籽</t>
  </si>
  <si>
    <t>[名]
植物的種子。如：「菜籽」、「稻籽」。</t>
  </si>
  <si>
    <t>耔</t>
  </si>
  <si>
    <t>[動]
培土，將土堆在苗根旁邊。《詩經．小雅．甫田》：「今適南畝，或耘或耔。」《文選．陶淵明．歸去來辭》：「懷良辰以孤往，或植杖而耘耔。」
[名]
植物的種子。《清史稿．卷三〇七．劉於義傳》：「請酌借耔糧農器，於瓜州諸地開墾屯種，耕犁以馬代牛，並募耕夫二百，教回民農事。」</t>
  </si>
  <si>
    <t>[名]
稱謂：(1)用以稱比自己先出生的同胞女子。如：「大姊」、「二姊」。南朝梁．無名氏〈木蘭詩〉二首之一：「小弟聞姊來，磨刀霍霍向豬羊。」俗稱為「姊姊」。(2)用以稱同輩親戚中比自己年長的女子。如：「表姊」、「堂姊」。(3)用以稱同輩女性。如：「學姊」、「師姊」。</t>
  </si>
  <si>
    <t>(二)（語音）ㄐㄧㄝˇ jiě（05594）</t>
  </si>
  <si>
    <t>胏</t>
  </si>
  <si>
    <t>[名]
有骨的乾肉。《易經．噬嗑卦．九四》：「噬乾胏，得金矢，利艱貞，吉。」</t>
  </si>
  <si>
    <t>秭</t>
  </si>
  <si>
    <t>[名]
數目字。舊稱一萬億為「秭」。</t>
  </si>
  <si>
    <t>笫</t>
  </si>
  <si>
    <t>[名]
床席。《左傳．襄公二十七年》：「床笫之言不踰閾，況在野乎！」</t>
  </si>
  <si>
    <t>呰</t>
  </si>
  <si>
    <t>[動]
誹謗、詆毀。《文選．曹植．與楊德祖書》：「昔田巴毀五帝，罪三王，呰五霸於稷下，一旦而服千人。」
[形]
參見「呰窳」條。</t>
  </si>
  <si>
    <t>繖形科柴胡屬，「茈胡」、「柴胡」之古稱，參見「茈胡」、「柴胡」條。</t>
  </si>
  <si>
    <t>(二)ㄔㄞˊ chái（08279）(三)ㄘˊ cí（09698）</t>
  </si>
  <si>
    <t>紫</t>
  </si>
  <si>
    <t>[名]
1.紅、藍合成的顏色。《論語．陽貨》：「惡紫之奪朱也，惡鄭聲之亂雅樂也。」
2.姓。如宋代有紫景望。</t>
  </si>
  <si>
    <t>訿</t>
  </si>
  <si>
    <t>[動]
詆毀。《玉篇．言部》：「訿，毀也。」《楚辭．王逸．九思．遭厄》：「指正義兮為曲，訿玉璧兮為石。」</t>
  </si>
  <si>
    <t>[動]
1.詆毀。《莊子．山木》：「若夫乘道德而浮游則不然，无譽无訾。」唐．韓愈〈進學解〉：「是所謂詰匠氏之不以杙為楹，而訾醫師以昌陽引年，欲進其豨苓也。」
2.厭惡。《管子．形勢》：「訾食者不肥體。」唐．尹知章．注：「訾，惡也。」
3.計算、衡量。《商君書．墾令》：「訾粟而稅，則上壹而民平。」
4.考慮。《韓非子．亡徵》：「心悁忿而不訾前後者，可亡也。」
[形]
約束的、參照的。《管子．君臣上》：「吏嗇夫盡有訾程事律論法辟，衡權斗斛；文劾不以私論，而以事為正。」
[名]
瑕疵。《禮記．檀弓下》：「故子之所刺於禮者，亦非禮之訾也。」</t>
  </si>
  <si>
    <t>(一)ㄗ zī（09396）</t>
  </si>
  <si>
    <t>梓</t>
  </si>
  <si>
    <t>[名]
1.植物名。紫葳科梓屬，落葉喬木。葉對生，闊卵形至近圓形，全緣偶掌狀淺裂。夏日開花，聚繖狀圓錐花序，花冠黃色，帶暗紫斑點。蒴果圓柱形，二瓣裂，種子兩短具長柔毛。木材供建築及製作器具。
2.製作木器的工匠。《孟子．盡心下》：「梓、匠、輪、輿，能與人規矩，不能使人巧。」
3.故鄉。漢．張衡〈南都賦〉：「永世克孝，懷桑梓焉，真人南巡，睹舊里焉。」
4.姓。如春秋時鄭國有梓慎。
[動]
出版。明．袁宏道〈敘咼氏家繩集〉：「近者吳川公梓其家集，始獲盡公及咼氏三世之藏。」</t>
  </si>
  <si>
    <t>滓</t>
  </si>
  <si>
    <t>[名]
物品提出水分或精華後剩下的東西。如：「渣滓」。《文選．馬融．長笛賦》：「溉盥汙穢，澡雪垢滓矣。」
[形]
汙穢。《聊齋志異．卷七．仙人島》：「驅馬至西村，見父衣服滓敝，衰老堪憐。」</t>
  </si>
  <si>
    <t>字</t>
  </si>
  <si>
    <t>ㄗˋ</t>
  </si>
  <si>
    <t>zì</t>
  </si>
  <si>
    <t>[名]
1.文字，記錄語言的符號。漢．許慎〈說文解字序〉：「倉頡之初作書，蓋依類象形，故謂之文，其後形聲相益，即謂之字。」如：「單字」、「漢字」、「同義字」。
2.本名以外另取的別號。如：「岳飛字鵬舉」。《左傳．隱公八年》：「諸侯以字為謚，因以為族。」《後漢書．卷五八．傅燮傳》：「燮慨然而歎，呼幹小字。」
3.契約、單據。如：「字據」、「空口無憑，立字為證。」《紅樓夢》第六四回：「給他十幾兩銀子，寫上一張退婚的字兒。」
4.發出的字音。如：「咬字清楚」、「字正腔圓」。
5.姓。如漢代有字長孺。
[動]
1.女子許嫁。如：「尚未字人」、「待字閨中」。
2.撫育。《左傳．昭公十一年》：「其僚無子，使字敬叔。」《聊齋志異．卷一一．書痴》：「過八九月，女果舉一男，買媼撫字之。」
3.愛。《書經．康誥》：「于父不能字厥子，乃疾厥子。」《左傳．成公四年》：「楚雖大，非吾族也，其肯字我乎？」</t>
  </si>
  <si>
    <t>牸</t>
  </si>
  <si>
    <t>[名]
1.母牛。《玉篇．牛部》：「牸，母牛也。」
2.雌性牲畜的總稱。《齊民要術．卷六．養牛馬驢騾》：「子欲速富，當畜五牸。」</t>
  </si>
  <si>
    <t>自</t>
  </si>
  <si>
    <t>[名]
1.起源的地方。清．朱駿聲《說文通訓定聲．履部》：「自，自之通訓當為始。」如：「其來有自」。《禮記．中庸》：「知風之自，知微之顯，可以入德也。」
2.姓。如明代有自勖。
3.二一四部首之一。
[代]
己身。如：「自言自語」、「自給自足」、「自以為是」、「各人自掃門前雪，休管他人瓦上霜。」
[副]
1.主動。如：「自覺」、「自願」。
2.本來。唐．白居易〈嵩陽觀夜奏霓裳〉詩：「開元遺曲自淒涼，況近秋天調是商。」
3.自然、當然。如：「自不待言」、「公道自在人心」。《老子》第五七章：「我無為而民自化，我好靜而民自正。」《紅樓夢》第四回：「姊姊們暮年相見，自不必說悲喜交集，泣笑敘闊一番。」
4.依然。唐．王勃〈滕王閣〉詩：「閣中帝子今何在？檻外長江空自流。」
[介]
從、由。如：「自古以來」、「自遠而近」。《論語．學而》：「有朋自遠方來，不亦樂乎？」唐．柳宗元〈石渠記〉：「自渴西南行不能百步，得石渠，民橋其上。」
[連]
1.如果，表示假設的語氣。《左傳．成公十六年》：「自非聖人，外寧必有內憂。」
2.雖然。《禮記．檀弓下》：「自吾母而不得吾情，吾惡乎用吾情？」《史記．卷三〇．平準書》：「自天子不能具鈞駟，而將相或乘牛車。」</t>
  </si>
  <si>
    <t>[動]
1.放縱。如：「恣情作樂」。《文選．張衡．思玄賦》：「淹棲遲以恣欲兮，耀靈忽其西藏。」《文選．陳琳．檄吳將校部曲文》：「及吳王濞驕恣，屈強猖猾始亂。」
2.任憑、聽任。《戰國策．趙策四》：「諾，恣君之所使之。」《史記．卷八六．荊軻傳》：「車騎美女，恣荊卿所欲，以順適其意。」</t>
  </si>
  <si>
    <t>(二)（(一)之又音）ㄗ zī（09375）(三)ㄘ cī（09692）</t>
  </si>
  <si>
    <t>剚</t>
  </si>
  <si>
    <t>[動]
插入。《文選．丘遲．與陳伯之書》：「朱鮪涉血於友于，張繡剚刃於愛子。」《文選．張衡．思玄賦》：「梁叟患夫黎丘兮，丁厥子而剚刃。」</t>
  </si>
  <si>
    <t>倳</t>
  </si>
  <si>
    <t>[動]
1.樹立、建立。漢．劉熙《釋名．釋言語》：「事，倳也。倳，立也。」
2.插入。《管子．輕重甲》：「則春有以倳耜，夏有以決芸。」《史記．卷八九．張耳陳餘傳》：「然而慈父孝子莫敢倳刃公之腹中者，畏秦法耳。」</t>
  </si>
  <si>
    <t>眥</t>
  </si>
  <si>
    <t>[名]
眼眶。《史記．卷七．項羽本紀》：「頭髮上指，目眥盡裂。」唐．杜甫〈望嶽〉詩：「盪胸生曾雲，決眥入歸鳥。」</t>
  </si>
  <si>
    <t>胔</t>
  </si>
  <si>
    <t>[名]
人或鳥獸帶有腐肉的殘骨。《晏子春秋．內篇．諫上》：「景公出遊于寒途，睹死胔，默然不問。」《新唐書．卷一三六．李光弼傳》：「自顏杲卿死，郡為戰區，露胔蔽野，光弼酹而哭之，出為賊幽閉者，厚恤其家。」</t>
  </si>
  <si>
    <t>參見「孳尾」條。</t>
  </si>
  <si>
    <t>(一)ㄗ zī（09391）</t>
  </si>
  <si>
    <t>胾</t>
  </si>
  <si>
    <t>[名]
切成大塊的肉。《說文解字．肉部》：「胾，大臠也。」《荀子．非相》：「啜其羹，食其胾。」</t>
  </si>
  <si>
    <t>漬</t>
  </si>
  <si>
    <t>[動]
1.浸泡。如：「醃漬」、「浸漬」。《三國志．卷二九．方技傳．華佗傳》：「佗令溫湯近熱，漬手其中，卒可得寐。」
2.沾染。宋．陸游〈醉歌〉：「百騎河灘獵盛秋，至今血漬短貂裘。」
3.牲畜感染疫病而死。《禮記．曲禮下》：「天子死曰崩……羽鳥曰降，四足曰漬。」
[名]
積留在物體上的汙痕。如：「油漬」、「墨漬」、「汙漬」。</t>
  </si>
  <si>
    <t>髊</t>
  </si>
  <si>
    <t>[名]
帶有腐肉的人骨。《玉篇．疋部》：「髊，腐骨也。」《呂氏春秋．孟春紀．孟春》：「無置城郭，揜骼霾髊。」漢．高誘．注：「髊，讀水漬物之漬。白骨曰骼，有肉曰髊。」</t>
  </si>
  <si>
    <t>(一)ㄘ cī（09691）(二)ㄘㄨㄛ cuō（09838）</t>
  </si>
  <si>
    <t>˙ㄗ</t>
  </si>
  <si>
    <t>zi</t>
  </si>
  <si>
    <t>[綴]
詞尾：(1)接名詞。如：「桌子」、「筷子」。(2)接動詞。如：「起子」、「拍子」。(3)接形容詞。如：「聾子」、「亂子」。(4)接量詞。如：「兩下子」、「一檔子」。</t>
  </si>
  <si>
    <t>(一)ㄗˇ zǐ（09404）</t>
  </si>
  <si>
    <t>匝</t>
  </si>
  <si>
    <t>ㄗㄚ</t>
  </si>
  <si>
    <t>zā</t>
  </si>
  <si>
    <t>[名]
量詞。計算環繞圈數的單位。《文選．曹操．短歌行》：「繞樹三匝，何枝可依？」
[動]
圍繞、籠罩。唐．元結〈招陶別駕家陽華作〉詩：「清渠匝庭堂，出門仍灌田。」《鏡花緣》第八八回：「近披香雨，遠匝醲煙。」
[形]
滿、整。唐．沈佺期〈寒食〉詩：「普天皆滅焰，匝地盡藏煙。」</t>
  </si>
  <si>
    <t>咂</t>
  </si>
  <si>
    <t>[動]
1.品嚐、吸吮。如：「咂一口酒」、「咂指頭」。元．無名氏《陳州糶米》第一折：「都是些喫倉廒的鼠耗，咂濃血的蒼蠅。」
2.體會。《兒女英雄傳》第四〇回：「我這半天細咂你這句話的滋味兒。」</t>
  </si>
  <si>
    <t>[動]
纏束。如：「包紮」、「紮彩」、「結紮」、「紮辮子」。</t>
  </si>
  <si>
    <t>(一)ㄓㄚˊ zhá（07616）</t>
  </si>
  <si>
    <t>[動]
食。《楚辭．宋玉．九辯》：「鳧鴈皆唼夫梁藻兮，鳳愈飄翔而高舉。」</t>
  </si>
  <si>
    <t>(二)ㄕㄚˋ shà（08803）(三)ㄑㄧㄝˋ qiè（06334）</t>
  </si>
  <si>
    <t>臢</t>
  </si>
  <si>
    <t>(一)ㄗㄤ zāng（09564）</t>
  </si>
  <si>
    <t>拶</t>
  </si>
  <si>
    <t>ㄗㄚˊ</t>
  </si>
  <si>
    <t>zá</t>
  </si>
  <si>
    <t>[動]
擠壓、逼迫。唐．韓愈〈辛卯年雪〉詩：「崩騰相排拶，龍鳳交橫飛。」</t>
  </si>
  <si>
    <t>(二)ㄗㄢˇ tzǎn（09540）</t>
  </si>
  <si>
    <t>咱</t>
  </si>
  <si>
    <t>參見「咱家」條。</t>
  </si>
  <si>
    <t>(一)ㄗㄢˊ zán（09536）</t>
  </si>
  <si>
    <t>砸</t>
  </si>
  <si>
    <t>[動]
1.丟。如：「砸石頭」、「砸雞蛋」。
2.壓。如：「牆塌了，砸壞許多東西。」、「他被大石頭砸傷了。」
3.打壞、打碎。如：「他不小心把鍋子砸了。」
4.積壓。如：「錯過時機，貨就砸到手裡了。」
5.把東西搗爛。如：「砸蒜」、「砸薑」。
[副]
失敗。如：「演砸了」、「辦砸了」、「搞砸了」。</t>
  </si>
  <si>
    <t>偺</t>
  </si>
  <si>
    <t>同「咱」(二)。</t>
  </si>
  <si>
    <t>(一)ㄗㄢˊ zán（09537）</t>
  </si>
  <si>
    <t>喒</t>
  </si>
  <si>
    <t>(一)ㄗㄢˊ zán（09538）</t>
  </si>
  <si>
    <t>[副]
忸怩的樣子。如：「嘁咨」。</t>
  </si>
  <si>
    <t>(二)ㄑㄧ qī（06222）</t>
  </si>
  <si>
    <t>磼</t>
  </si>
  <si>
    <t>[形]
磼嶪：山勢高峻。《廣韻．入聲．合韻》：「磼，磼嶪，山高。」《史記．卷一一七．司馬相如傳》：「嵯峨磼嶪，刻削崢嶸。」</t>
  </si>
  <si>
    <t>雜</t>
  </si>
  <si>
    <t>[動]
1.五彩相合。《說文解字．衣部》：「雜，五彩相會。」南朝梁．劉勰《文心雕龍．情采》：「五色雜而成黼黻，五音比而成韶夏。」
2.混合、摻入。如：「摻雜」、「夾雜」。《漢書．卷九．元帝紀》：「漢家自有制度，本以霸王道雜之，柰何純任德教，用周政乎！」
[形]
1.瑣碎、繁亂。如：「雜務」、「雜亂」、「繁雜」。《易經．繫辭下》：「其稱名也，雜而不越。」
2.不單純、不純粹的。如：「複雜」、「雜種」。
3.非正項的。如：「雜支」、「雜稅」、「雜糧」。
4.不同類的。如：「雜燴」、「南北雜貨」。
[副]
混亂。《禮記．曲禮上》：「男女不雜坐，不同椸枷。」《後漢書．卷三九．趙咨傳》：「法度衰毀，上下僭雜。」
[名]
國劇裡不重要的角色，扮演供役使奔走的人。</t>
  </si>
  <si>
    <t>雥</t>
  </si>
  <si>
    <t>[名]
群鳥。《說文解字．雥部》：「雥，群鳥也。」</t>
  </si>
  <si>
    <t>ㄗㄜˊ</t>
  </si>
  <si>
    <t>zé</t>
  </si>
  <si>
    <t>[副]
大聲的。《集韻．入聲．陌韻》：「咋，大聲。」《宋史．卷三六四．韓世忠傳》：「與賊遇。世忠步走挺戈而前，賊望見，咋曰：『此韓將軍也！』皆驚潰。」
[動]
囓、咬。北齊．顏之推《顏氏家訓．勉學》：「且負甲為兵，咋筆為吏，身死名滅者如牛毛，角立傑出者如芝草。」《聊齋志異．卷七．甄后》：「一日，有瞽媼牽黃犬丐食其家，拍板俚歌。女出窺，立未定，犬斷索咋女。」</t>
  </si>
  <si>
    <t>(一)ㄓㄚˋ zhà（07636）</t>
  </si>
  <si>
    <t>岝</t>
  </si>
  <si>
    <t>[形]
岝崿：高峻。《廣韻．入聲．鐸韻》：「岝，岝崿，山高。」南朝梁．何遜〈渡連圻〉詩二之一：「硣磟上爭險，岝崿下相崩。」</t>
  </si>
  <si>
    <t>柞</t>
  </si>
  <si>
    <t>[動]
砍伐樹木。《文選．張衡．西京賦》：「焚萊平場，柞木翦棘。」
[形]
1.狹窄。通「窄」。《周禮．冬官考工記．輪人》：「轂小而長則柞，大而短則摰。」
2.大聲。《周禮．冬官考工記．鳧氏》：「鐘已厚則石，已薄則播，侈則柞，弇則鬱。」</t>
  </si>
  <si>
    <t>(一)ㄗㄨㄛˋ zuò（09613）</t>
  </si>
  <si>
    <t>迮</t>
  </si>
  <si>
    <t>[動]_x000D_
逼迫。《後漢書．卷四六．郭陳列傳．陳寵》：「鄰舍比里，共相壓迮。」宋．蘇轍〈和子瞻沉香山子賦〉：「紛然馳走，不守其宅，光寵所眩，憂患所迮。」_x000D_
[形]_x000D_
1.狹窄。通「窄」。《三國志．卷三六．蜀書．關張馬黃趙傳．張飛》：「山道迮狹，前後不得相救，飛遂破郃。」唐．杜甫〈溪上〉詩：「古苕生迮地，秋竹隱疏花。」_x000D_
2.倉促。《公羊傳．襄公二十九年》：「今若是迮而與季子國，季子猶不受也。」漢．何休．解詁：「迮，倉卒意。」_x000D_
[名]_x000D_
姓。如明代有迮原霖。</t>
  </si>
  <si>
    <t>(二)（又音）ㄗㄨㄛˋ zuò（09614）</t>
  </si>
  <si>
    <t>(二)（語音）ㄓㄞˇ zhǎi（07696）</t>
  </si>
  <si>
    <t>[名]
1.竹編的箭袋。《廣韻．入聲．陌韻》：「笮，矢箙。」《儀禮．既夕禮》：「役器：甲冑干笮。」漢．鄭玄．注：「笮，矢箙。」
2.屋頂上承瓦的竹板。《廣韻．入聲．陌韻》：「笮，又屋上版。」
3.姓。如漢代有笮融。
[動]
壓迫、逼迫。漢．應劭《風俗通義．卷一．六國》：「燕外迫蠻、陌，內笮齊、晉。」《三國志．卷五二．吳書．諸葛謹傳》：「以操笮其頭，畏操威嚴，故竭心盡意，不敢為非耳。」
[形]
狹窄、狹隘。漢．曹丕〈陌上桑〉詩：「側足獨窘步，路局笮。」</t>
  </si>
  <si>
    <t>(二)ㄓㄚˋ zhà（07641）</t>
  </si>
  <si>
    <t>舴</t>
  </si>
  <si>
    <t>則</t>
  </si>
  <si>
    <t>[動]
1.依照等級劃分物體。《說文解字．刀部》：「則，等畫物也。」
2.效法。《孟子．滕文公上》：「惟天為大，惟堯則之。」《史記．卷二．夏本紀》：「皋陶於是敬禹之德，令民皆則禹。」
3.做。參見「則甚」、「則聲」等條。
[名]
1.法度、規章。如：「法則」、「細則」、「稅則」、「青年守則」。《書經．五子之歌》：「有典有則，貽厥子孫。」
2.規範、榜樣。如：「以身作則」。《詩經．大雅．抑》：「敬慎威儀，維民之則。」
3.量詞。計算文字分項段落的單位。如：「一則消息」、「三則寓言」、「試題二則」、「新聞五則」。
4.姓。如漢代有則長。
[連]
1.便、就。如：「學如逆水行舟，不進則退。」《詩經．召南．草蟲》：「亦既見止，亦既覯止，我心則降。」《鏡花緣》第一二回：「酒過一、二巡，則上小盤小碗。」
2.表示平列、對待的關係。《論語．學而》：「弟子入則孝，出則悌。」
3.只、僅。《荀子．勸學》：「口、耳之閒則四寸耳，曷足以美七尺之軀哉？」元．關漢卿《竇娥冤．楔子》：「端雲孩兒該打呵，看小生面則罵幾句。」
4.卻、而。如：「欲速則不達。」《孟子．梁惠王下》：「竭力以事大國，則不得免焉。」
5.如果。《左傳．僖公七年》：「心則不競，何憚于病？」
6.是、乃是。《孟子．公孫丑下》：「此則寡人之罪也。」</t>
  </si>
  <si>
    <t>萴</t>
  </si>
  <si>
    <t>[名]
植物名。毛茛科烏頭屬，「烏頭」之古稱，參見「烏頭」條。</t>
  </si>
  <si>
    <t>鰂</t>
  </si>
  <si>
    <t>[名]
烏賊。《說文解字．魚部》：「鰂，烏鰂魚也。」</t>
  </si>
  <si>
    <t>[名]
分內的事情。如：「責任」、「盡責」、「職責」、「責無旁貸」。
[動]
1.要求、索取。如：「責求」。《左傳．桓公十三年》：「宋多責賂於鄭。」
2.詰問。如：「責問」、「責備」、「指責」。《文選．李密．陳情表》：「詔書切峻，責臣逋慢。」
3.處罰。如：「責罵」、「杖責」、「責罰」。</t>
  </si>
  <si>
    <t>(二)ㄓㄞˋ zhài（07699）</t>
  </si>
  <si>
    <t>嘖</t>
  </si>
  <si>
    <t>參見「嘖嘖」、「嘖有煩言」等條。</t>
  </si>
  <si>
    <t>幘</t>
  </si>
  <si>
    <t>[名]
古代用來包裹頭髮的布巾。南朝宋．劉義慶《幽明錄．甄沖》：「既去，便見兩岸有人著幘捉馬鞭，羅列相隨，行從甚多。」《醒世恆言．卷三．賣油郎獨占花魁》：「秦重洗了臉，因夜來未曾脫幘，不用梳頭。」</t>
  </si>
  <si>
    <t>簀</t>
  </si>
  <si>
    <t>[名]
用竹子或木條編成的席子。《史記．卷七九．范雎蔡澤傳》：「雎詳死，即卷以簀，置廁中。」唐．司馬貞．索隱：「簀，謂葦荻之薄也，用之以裹屍也。」</t>
  </si>
  <si>
    <t>賾</t>
  </si>
  <si>
    <t>[名]
幽深玄妙的事物。如：「探賾索隱」。《易經．繫辭上》：「聖人有以見天下之賾，而擬諸其形容，象其物宜。」
[形]
幽深的。唐．孟郊〈弔元魯山〉詩一〇首之九：「將謠魯山德，賾海誰能涯？」</t>
  </si>
  <si>
    <t>賊</t>
  </si>
  <si>
    <t>[動]
1.毀壞。《說文解字．戈部》：「賊，敗也。」《左傳．文公十八年》：「毀則為賊，掩賊為藏。」晉．杜預．注：「毀則，壞法也。」《淮南子．主術》：「若欲飾之，乃是賊之。」
2.傷害、殺害。如：「賊害」、「戕賊」。《論語．先進》：「子路使子羔為費宰，子曰：『賊夫人之子。』」</t>
  </si>
  <si>
    <t>(一)ㄗㄟˊ zéi（09487）</t>
  </si>
  <si>
    <t>澤</t>
  </si>
  <si>
    <t>[名]
1.水流匯聚的地方。如：「沼澤」、「深山大澤」。《書經．禹貢》：「九州刊旅，九川滌源，九澤既陂，四海會同。」北周．庾信〈傷心賦〉：「至如三虎二龍，三珠兩鳳，並有山澤之靈，各入熊羆三夢。」
2.使髮膚光潤的油脂。《韓非子．顯學》：「故善毛嗇、西施之美，無益吾面，用脂澤粉黛，則倍其初。」
3.恩惠。如：「恩澤」、「德澤」。《書經．多士》：「殷王亦罔敢失帝，罔不配天其澤。」《莊子．大宗師》：「澤及萬世而不為仁。」
4.遺留下來的痕跡。宋．陸游〈曝舊畫〉詩：「百年手澤存無幾，蟲蠹塵侵祇涕橫。」
5.內衣。即汗衫。通「襗」。《詩經．秦風．無衣》：「豈曰無衣？與子同澤。」
6.含鹽質而不能耕種的土地。參見「澤鹵」條。
7.姓。如明代有澤義。
[動]
1.滋潤。唐．皮日休〈霍山賦〉：「若雨用淫，岳能霽之；若歲用旱，岳能澤之。」
2.摩擦。《禮記．曲禮上》：「共食不飽，共飯不澤手。」漢．鄭玄．注：「為汗手不絜也。澤謂捼莎也。」
[形]
光滑、光潤。如：「滑澤」。《左傳．襄公二十八年》：「車甚澤，人必瘁。」</t>
  </si>
  <si>
    <t>[動]
1.挑選。如：「選擇」、「飢不擇食」。《左傳．襄公三十一年》：「子產之從政也，擇能而使之。」
2.區別、分別。《呂氏春秋．仲春紀．情欲》：「耳不樂聲，目不樂色，口不甘味，與死無擇。」漢．高誘．注：「擇，別也。」</t>
  </si>
  <si>
    <t>(二)（又音）ㄓㄞˊ zhái（07695）</t>
  </si>
  <si>
    <t>[名]
內衣。《廣韻．入聲．鐸韻》：「襗，褻衣。」</t>
  </si>
  <si>
    <t>(二)（又音）ㄉㄨㄛˊ duó（02319）</t>
  </si>
  <si>
    <t>齰</t>
  </si>
  <si>
    <t>[動]
咬。《說文解字．齒部》：「齰，齧也。」《史記．卷一〇七．魏其武安侯傳》：「魏其必內愧，杜門齰舌自殺。」</t>
  </si>
  <si>
    <t>怎</t>
  </si>
  <si>
    <t>ㄗㄜˇ</t>
  </si>
  <si>
    <t>zě</t>
  </si>
  <si>
    <t>(一)ㄗㄣˇ zěn（09558）</t>
  </si>
  <si>
    <t>仄</t>
  </si>
  <si>
    <t>ㄗㄜˋ</t>
  </si>
  <si>
    <t>zè</t>
  </si>
  <si>
    <t>[動]
傾斜。通「側」。《管子．白心》：「日極則仄，月滿則虧。」《後漢書．卷一．光武帝紀下》：「每旦視朝，日仄乃罷。」
[形]
1.狹小。如：「狹仄」、「仄路」。《漢書．卷四九．鼂錯傳》：「險道傾仄，且馳且射。」《明史．卷二一二．戚繼光傳》：「山谷仄隘，林薄蓊翳，邊外之形也。」
2.心中不安。《紅樓夢》第九九回：「衷懷歉仄，自歎無緣。」
[名]
韻文稱四聲中上、去、入三聲為「仄聲」。簡稱為「仄」。</t>
  </si>
  <si>
    <t>庂</t>
  </si>
  <si>
    <t>同「仄」。</t>
  </si>
  <si>
    <t>昃</t>
  </si>
  <si>
    <t>[動]
太陽向西傾斜。《易經．豐卦．彖曰》：「日中則昃，月盈則食。」《漢書．卷五六．董仲舒傳》：「周文王至於日昃不暇食，而宇內亦治。」</t>
  </si>
  <si>
    <t>夨</t>
  </si>
  <si>
    <t>[動]
傾斜著頭。《說文解字．夨部》：「夨，傾頭也。」</t>
  </si>
  <si>
    <t>參見「嚄唶」條。</t>
  </si>
  <si>
    <t>(一)ㄐㄧㄝˋ jiè（05610）(二)ㄐㄧˊ jí（05378）</t>
  </si>
  <si>
    <t>側</t>
  </si>
  <si>
    <t>(一)ㄘㄜˋ cè（09726）</t>
  </si>
  <si>
    <t>崱</t>
  </si>
  <si>
    <t>參見「崱屴」條。</t>
  </si>
  <si>
    <t>災</t>
  </si>
  <si>
    <t>ㄗㄞ</t>
  </si>
  <si>
    <t>zāi</t>
  </si>
  <si>
    <t>[名]
1.水、火、刀兵、荒旱等自然或人為禍害的通稱。如：「水災」、「火災」、「旱災」。《國語．周語下》：「古者，天災降戾，於是乎量資幣，權輕重，以振救民。」
2.不幸的事。如：「招災惹禍」、「沒病沒災」。
[形]
受禍害的。如：「災民」、「災區」。</t>
  </si>
  <si>
    <t>[名]
災禍。《史記．卷六．秦始皇本紀》：「闡并天下，甾害絕息，永偃戎兵。」</t>
  </si>
  <si>
    <t>(一)ㄗ zī（09381）</t>
  </si>
  <si>
    <t>[名]
災禍、禍害。通「災」。《詩經．大雅．生民》：「大拆不副，無菑無害。」《史記．卷三九．晉世家》：「天菑流行，國家代有，救菑恤鄰，國之道也。」</t>
  </si>
  <si>
    <t>(一)ㄗ zī（09384）</t>
  </si>
  <si>
    <t>哉</t>
  </si>
  <si>
    <t>[副]
始。《爾雅．釋詁》：「哉，始也。」
[助]
1.表示疑問或反問的語氣。如：「何足道哉！」《詩經．邶風．北門》：「天實為之，謂之何哉？」《孟子．滕文公下》：「陳仲子豈不誠廉士哉？」
2.表示驚嘆的語氣。如：「大哉中華！」。《文選．宋玉．風賦》：「快哉此風！寡人所與庶人共者邪？」唐．李白〈古風〉詩五九首之三：「秦王掃六合，虎視何雄哉！」
3.表示悲哀的語氣。如：「嗚呼哀哉！」
4.表示肯定的語氣。《左傳．宣公十一年》：「對曰：『猶可辭乎？』王曰：『可哉。』」
5.吳語。表示事情已經發生。同「了」。《海上花列傳》第一回：「比仔從前省得多哉。」</t>
  </si>
  <si>
    <t>栽</t>
  </si>
  <si>
    <t>[動]
1.種植。如：「栽樹」、「栽花」。唐．劉禹錫〈戲贈看花諸君子〉詩：「玄都觀裡桃千樹，盡是劉郎去後栽。」
2.安上。如：「栽牙刷」、「栽贓」。
3.跌倒。如：「栽跟頭」。《紅樓夢》第九六回：「只見黛玉身子往前一栽，『哇』的一聲，一口血直吐出來。」
[名]
可栽種的植物幼苗。如：「桃栽」、「樹栽」。</t>
  </si>
  <si>
    <t>ㄗㄞˇ</t>
  </si>
  <si>
    <t>zǎi</t>
  </si>
  <si>
    <t>[名]
廣東方言。指幼小的東西。如：「豬仔」、「雞仔」。
[形]
幼小的。如：「仔豬」、「仔雞」。</t>
  </si>
  <si>
    <t>(一)ㄗ zī（09369）(三)ㄗˇ zǐ（09405）</t>
  </si>
  <si>
    <t>宰</t>
  </si>
  <si>
    <t>[名]
1.具有支配權力的人、物。明．張自烈《正字通．宀部》：「凡為事物之主者亦曰宰。」《呂氏春秋．季秋紀．精通》：「德也者萬民之宰也，月也者群陰之本也。」
2.職官名：(1)某種職位的長官。如：「太宰」、「膳宰」。(2)家臣的長官。《論語．子路》：「仲弓為季氏宰，問政。」(3)地方行政長官。《後漢書．卷一一．劉盆子傳》：「子為縣吏，犯小罪，宰論殺之。」
3.姓。如春秋時魯國有宰予。
[動]
1.主持、治理。如：「主宰」。《老子》第五一章：「生而不有，為而不恃，長而不宰，是謂玄德。」
2.屠殺、分割。如：「殺豬宰羊」。</t>
  </si>
  <si>
    <t>崽</t>
  </si>
  <si>
    <t>[名]
1.兒子。漢．揚雄《方言》卷一〇：「崽者，子也。湘沅之會，凡言是子者，謂之崽；若東齊言子矣。」
2.幼小的動物。如：「貓崽」、「狗下崽兒了。」
3.參見「崽子」條。</t>
  </si>
  <si>
    <t>載</t>
  </si>
  <si>
    <t>[名]
量詞。計算時間的單位。相當於「年」。如：「一年半載」、「三年五載」、「千載難逢」。</t>
  </si>
  <si>
    <t>(一)ㄗㄞˋ zài（09485）</t>
  </si>
  <si>
    <t>再</t>
  </si>
  <si>
    <t>ㄗㄞˋ</t>
  </si>
  <si>
    <t>zài</t>
  </si>
  <si>
    <t>[副]
1.第二次、又一次、兩次。如：「再見」、「再嫁」、「再鞠躬」。《史記．卷六九．蘇秦傳》：「秦趙五戰，秦再勝而趙三勝。」
2.表示動作繼續重複。如：「再接再厲」、「再版」、「失敗了再努力。」唐．杜甫〈自京赴奉先縣詠懷五百字〉詩：「榮枯咫尺異，惆悵難再述。」
3.表示一個動作接續在另一動作結束之後。如：「吃完飯再走！」、「先擦窗戶，再洗地板。」
4.更。表示行為程度的加深。如：「你能這麼想，真是再好不過了。」
5.表示另有補充。如：「再則」、「再說」、「再不然」。</t>
  </si>
  <si>
    <t>在</t>
  </si>
  <si>
    <t>[動]
1.存、存活。如：「健在」、「精神永在」。《論語．學而》：「父在，觀其志；父沒，觀其行。」
2.居於、處於。如：「在任」、「在位」、「在職進修」。《易經．乾卦．九三》：「是故居上位而不驕，在下位而不憂。」
3.決定、依靠。如：「事在人為」、「謀事在人，成事在天。」
4.觀察。《書經．舜典》：「在璿璣玉衡，以齊七政。」《禮記．文王世子》：「食上必在視寒暖之節。」
[副]
表示動作正在進行。如：「我在聽音樂。」、「妹妹在唱歌。」
[介]
1.表示時間。如：「他喜歡在晚上看書。」
2.表示處所、位置。如：「人生在世」、「他不在家」。
3.表示範疇。如：「在心理學方面的研究，他是個傑出的專家。」
[名]
1.居所、處所。《漢書．卷六．武帝紀》：「舉獨行之君子，徵詣行在所。」《遼史．卷三一．營衛志上》：「無日不營，無在不衛。」
2.姓。如晉代有在育。</t>
  </si>
  <si>
    <t>[動]
1.乘坐。《說文解字．車部》：「載，乘也。」《史記．卷二九．河渠書》：「陸行載車，水行載舟。」唐．孟郊〈感興〉詩：「吾欲載車馬，太行路崢嶸。」
2.裝運。如：「載人」、「載貨」。唐．李白〈懷仙歌〉：「巨鼇莫載三山去，我欲蓬萊頂上行。」
3.記錄。如：「記載」、「刊載」、「轉載」。
4.承受。《易經．坤卦．象曰》：「君子以厚德載物。」《三國志．卷二七．魏書．王基傳》：「臣聞古人以水喻民，曰：『水所以載舟，亦所以覆舟。』」
5.充滿。如：「怨聲載道」。唐．李白〈天長節度使鄂州刺史韋公德政碑〉：「頌聲載路，豐碑是刊。」
[連]
且、又。同時做兩個動作。如：「載歌載舞」。《詩經．鄘風．載馳》：「載馳載驅，歸唁衛侯。」</t>
  </si>
  <si>
    <t>(二)ㄗㄞˇ zǎi（09482）</t>
  </si>
  <si>
    <t>饡</t>
  </si>
  <si>
    <t>[動]
用羹湯澆飯。《說文解字．食部》：「饡，以羹澆飯也。」如：「澆饡」。</t>
  </si>
  <si>
    <t>ㄗㄟˊ</t>
  </si>
  <si>
    <t>zéi</t>
  </si>
  <si>
    <t>[名]
1.竊盜財物的人。如：「山賊」、「竊賊」、「盜賊」。
2.泛指使壞作亂的人。如：「賣國賊」、「亂臣賊子」。《文選．諸葛亮．出師表》：「願陛下託臣以討賊興復之效，不效則治臣之罪，以告先帝之靈。」
[形]
奸詐、狡猾、不正派的。如：「賊眼」、「賊頭賊腦」。《史記．卷一二八．褚少孫補．龜策傳》：「寒暑不和，賊氣相奸。」</t>
  </si>
  <si>
    <t>(二)ㄗㄜˊ zé（09461）</t>
  </si>
  <si>
    <t>遭</t>
  </si>
  <si>
    <t>ㄗㄠ</t>
  </si>
  <si>
    <t>zāo</t>
  </si>
  <si>
    <t>[動]
1.遇、逢。如：「遭殃」、「遭逢毒手」。《後漢書．卷七九．儒林傳．張玄傳》：「今日相遭，真解矇矣！」
2.受。如：「慘遭淘汰」。唐．杜甫〈戲簡鄭廣文虔兼呈蘇司業源明〉詩：「醉則騎馬歸，頗遭官長罵。」
[名]
1.際遇。唐．柳宗元〈鈷鉧潭西小邱記〉：「書於石，所以賀茲丘之遭也。」
2.周圍。元．沙正卿〈一枝花．荒陂寒雁鳴〉曲：「愁和悶共淒涼廝纏繳，不離我周遭。」
3.量詞。計算事情次數的單位。相當於「回」、「次」。如：「頭一遭」。唐．孟郊〈寒地百姓吟〉：「華膏隔仙羅，虛遶千萬遭。」</t>
  </si>
  <si>
    <t>糟</t>
  </si>
  <si>
    <t>[名]
1.釀酒時濾下來的渣滓。如：「酒糟」。《文選．劉伶．酒德頌》：「奮髯踑踞，枕麴藉糟，無思無慮，其樂陶陶。」
2.比喻沒有價值的東西。參見「糟粕」條。
3.姓。如明代有糟士奇。
[動]
1.以酒醃漬食品。如：「糟魚」、「糟肉」。《晉書．卷七八．孔愉傳》：「公不見肉糟淹更堪久邪？」
2.不好、敗壞。如：「糟糕」、「他這學期的成績很糟」。《兒女英雄傳》第一一回：「這事更糟了，怎麼和尚腦袋上會長出辮子來呢？這不是野忿兒嗎！」
3.腐爛、腐朽。如：「布糟了。」、「椅腿兒糟了。」《孤本元明雜劇．裴度還帶．第三折》：「我則見梁漕椽爛柱根糟，這的是欠九分來待倒。」</t>
  </si>
  <si>
    <t>蹧</t>
  </si>
  <si>
    <t>參見「蹧蹋」、「蹧踐」等條。</t>
  </si>
  <si>
    <t>鑿</t>
  </si>
  <si>
    <t>ㄗㄠˊ</t>
  </si>
  <si>
    <t>záo</t>
  </si>
  <si>
    <t>(一)（讀音）ㄗㄨㄛˋ zuò（09623）</t>
  </si>
  <si>
    <t>早</t>
  </si>
  <si>
    <t>ㄗㄠˇ</t>
  </si>
  <si>
    <t>zǎo</t>
  </si>
  <si>
    <t>[名]
1.天剛亮的時候。如：「一大早」、「大清早」、「從早到晚」。
2.參見「早安」條。
3.姓。如晉代有早衍。
[形]
1.晨間的。如：「早飯」、「早操」、「早班」。
2.較原時間提前的，未到預定時間的。如：「早退」、「急什麼，離開演的時間還早呢！」《左傳．宣公二年》：「盛服將朝，尚早，坐而假寐。」
3.不晚。如：「天色還早，您多坐會兒吧！」
4.初時的、先時的。如：「早期」、「早稻」。
[副]
1.事情的發生離現在已有一段時間。如：「我們早說好了。」、「他早走了。」
2.已經。宋．秦觀〈阮郎歸．退花新綠漸團枝〉詞：「怨春春怎知，日長早被酒禁持。」《京本通俗小說．錯斬崔寧》：「劉官人謝了又謝，……到得城中，天色卻早晚了。」
3.還未到適當時間的。如：「早婚」、「早夭」、「早產」。
4.到達某一程度還有段距離的。如：「你想趕上他，還早得很呢！」</t>
  </si>
  <si>
    <t>蚤</t>
  </si>
  <si>
    <t>[名]_x000D_
1.一種昆蟲的總稱。頭小體肥，無翅，腳上有棘刺，後腳發達，善跳躍。寄生於人、貓及鼠等動物身上，以吸食血液為生。為重要的傳染病媒。俗稱為「跳蚤」。_x000D_
2.早晨。通「早」。《孟子．離婁下》：「蚤起，施從良人之所之。」《醒世恆言．卷三四．一文錢小隙造奇冤》：「這一蚤要到田頭去割稻，同著十來個家人，拿了許多扁挑索子鐮刀，正來下舡。」_x000D_
[副]_x000D_
時間提前的。通「早」。《淮南子．人間》：「禍生而不蚤滅，若火之得燥、水之得溼，浸而益大。」《醒世恆言．卷一〇．劉小官雌雄兄弟》：「明日莫管天晴下雪，蚤些走罷。」</t>
  </si>
  <si>
    <t>棗</t>
  </si>
  <si>
    <t>[名]
1.植物名。鼠李科棗屬，包括「酸棗」、「棗」、「無刺棗」、「印度棗」等一群栽培棗屬樹種之混稱。大灌木或喬木。枝傾垂有刺，葉互生，卵形或長橢圓形，邊緣具細鈍鋸齒。花小，黃綠色。所結核果也稱為「棗」，橙黃或暗紅色，橢圓形，可食。種類很多，主要產於亞洲熱帶地區及歐洲南部。參見「酸棗」條。
2.姓。如晉代有棗據。</t>
  </si>
  <si>
    <t>澡</t>
  </si>
  <si>
    <t>[動]
1.洗手。《說文解字．水部》：「澡，洒手也。」《魏書．卷一〇二．西域傳．悅般國傳》：「日三澡漱，然後飲食。」
2.清洗。《史記．卷一二八．褚少孫補．龜策傳》：「常以月旦祓龜，先以清水澡之。」
3.參見「洗澡」條。</t>
  </si>
  <si>
    <t>璪</t>
  </si>
  <si>
    <t>[名]
1.有水藻花紋的玉飾。《說文解字．玉部》：「璪，玉飾如水藻之文。」
2.古代掛在帽上的裝飾品。以五彩絲線穿串玉石而成。《禮記．郊特牲》：「戴冕璪十有二旒，則天數也。」清．孫希旦．集解：「璪者，用五采絲為繩，垂之以為冕之旒也。」</t>
  </si>
  <si>
    <t>繰</t>
  </si>
  <si>
    <t>[名]
有文采的絲織品。清．袁枚《隨園詩話》卷一四：「余在揚州江魯佩家，見桓圭，長七寸，葵首垂繰，質粹沁紅，真三代物也。」</t>
  </si>
  <si>
    <t>(二)ㄙㄠ sāo（10027）</t>
  </si>
  <si>
    <t>藻</t>
  </si>
  <si>
    <t>[名]
1.水草植物的總稱。如：「水藻」、「綠藻」、「海藻」。唐．杜甫〈早行〉：「碧藻非不茂，高帆終日征。」
2.華麗的文彩。《文選．曹植．七啟》：「步光之劍，華藻繁縟，飾以文犀，雕以翠綠，綴以驪龍之珠，錯以荊山之玉。」
3.文辭、文章。如：「詞藻」。《文選．陸機．文賦》：「遊文章之林府，嘉麗藻之彬彬。」
[動]
參見「品藻」條。</t>
  </si>
  <si>
    <t>灶</t>
  </si>
  <si>
    <t>ㄗㄠˋ</t>
  </si>
  <si>
    <t>zào</t>
  </si>
  <si>
    <t>[名]
以磚土或石塊砌成，用來生火烹飪的設備。如：「土灶」、「爐灶」、「石灶」。</t>
  </si>
  <si>
    <t>皁</t>
  </si>
  <si>
    <t>[名]
1.黑色。《玉篇．白部》：「皁，色黑也。」如：「皁白」。
2.古代官署中從事卑賤職業的差役。如：「皁隸」。《集韻．上聲．皓韻》：「皁，賤人。」《左傳．昭公七年》：「人有十等，下所以事上，上所以共神也。故……士臣皁，皁臣輿，輿臣隸。」
3.餵食牛馬的食槽。宋．文天祥〈正氣歌〉：「牛驥同一皁，雞棲鳳凰食。」
4.洗衣去汙的用品。同「皂」。
5.已經結成但尚未堅實的穀實。《詩經．小雅．大田》：「既方既皁，既堅既好。」漢．毛亨．傳：「實未堅者曰皁。」
[形]
黑色的。《漢書．卷四八．賈誼傳》：「且帝之身自衣皁綈，而富民牆屋被文繡。」《三國志．卷一一．魏書．管寧傳》：「寧常著皁帽，布襦褲，布裙。」</t>
  </si>
  <si>
    <t>皂</t>
  </si>
  <si>
    <t>[名]
1.去汙垢的鹼性用品。如：「肥皂」、「香皂」、「藥皂」。
2.黑色。同「皁」。如：「不分青紅皂白」。
[形]
黑色的。同「皁」。清．孔尚任《桃花扇》第二四齣：「簇新新帽烏襯袍紅，搔皂皮靴綠縫，皂皮靴綠縫。」</t>
  </si>
  <si>
    <t>唕</t>
  </si>
  <si>
    <t>參見「囉唕」條。</t>
  </si>
  <si>
    <t>造</t>
  </si>
  <si>
    <t>[動]
1.製作。如：「製造」、「釀造」、「仿造」。
2.建設、建築。如：「建造」、「營造」、「造船」、「造屋」。
3.創建、創製。如：「創造」、「締造」、「蔡倫造紙」。
4.虛構。如：「造謠」、「捏造」。
5.至、到達。如：「登峰造極」、「造訪」。南朝宋．劉義慶《世說新語．任誕》：「經宿方至，造門不前而返。」唐．柳宗元〈答韋中立論師道書〉：「明日造朝。」
6.給予生命。如：「再造之恩」、「恩同再造」。
7.培養。如：「造就」、「可造之才」。
[名]
1.成就。如：「造詣」。《詩經．大雅．思齊》：「肆成人有德，小子有造。」《左傳．成公十三年》：「秦師克還無害，則是我有大造于西也。」
2.對立的兩方。如訴訟時原告與被告稱為「兩造」。《書經．呂刑》：「兩造具備，師聽五辭。」《文選．潘岳．馬汧督誄》：「兩造未具，儲隸蓋鮮。」
3.時代、時期。如：「滿清末造」。《儀禮．士冠禮》：「公侯之有冠禮也，夏之末造也。」
4.術數用語。命相家稱人的生辰八字為「造」。如：「坤造」、「乾造」。明．沈受先《三元記》第二五齣：「請問小姐貴造？」《聊齋志異．卷九．邵臨淄》：「有術士推其造，決其必受官刑。」
5.姓。如周代有造父。
[副]
1.急遽、倉促、突然。通「猝」。《禮記．玉藻》：「造受命於君前，則書於笏。」
2.開始。《書經．伊訓》：「造攻自鳴條，朕哉自亳。」</t>
  </si>
  <si>
    <t>(二)ㄘㄠˋ cào（09765）</t>
  </si>
  <si>
    <t>慥</t>
  </si>
  <si>
    <t>參見「慥慥」條。</t>
  </si>
  <si>
    <t>(二)（又音）ㄘㄠˋ cào（09766）</t>
  </si>
  <si>
    <t>[形]
副的、附屬的。如：「簉室」。</t>
  </si>
  <si>
    <t>(二)（又音）ㄔㄡˋ chòu（08348）</t>
  </si>
  <si>
    <t>漕</t>
  </si>
  <si>
    <t>(一)ㄘㄠˊ cáo（09755）</t>
  </si>
  <si>
    <t>噪</t>
  </si>
  <si>
    <t>[動]
1.喧鬧、吵鬧。如：「鼓噪」、「聒噪不休」。
2.蟲鳥爭鳴。如：「群鴉亂噪」。唐．王維〈酬諸公見過〉詩：「雀噪荒村，雞鳴空館。」</t>
  </si>
  <si>
    <t>燥</t>
  </si>
  <si>
    <t>[形]
1.乾的、缺少水分的。如：「乾燥」、「燥材」、「天乾物燥」。
2.內心焦急不安。通「躁」。如：「燥灼」、「急燥」。</t>
  </si>
  <si>
    <t>(二)ㄙㄠˋ sào（10031A）</t>
  </si>
  <si>
    <t>氉</t>
  </si>
  <si>
    <t>譟</t>
  </si>
  <si>
    <t>[動]
1.喧譁、喧擾。《左傳．文公十三年》：「既濟，魏人譟而還。」唐．柳宗元〈段太尉逸事狀〉：「晞一營大譟，盡甲。」
2.歡呼。《周禮．夏官．大司馬》：「及所弊，鼓皆駴，車徒皆譟。」《國語．鄭語》：「王使婦人不幃而譟之，化為玄黿，似入于王府。」</t>
  </si>
  <si>
    <t>趮</t>
  </si>
  <si>
    <t>[形]
急切、急躁。《管子．心術上》：「搖者不定，趮者不靜。」
[動]
快速掉落。《周禮．冬官考工記．矢人》：「羽豐則遲，羽殺則趮。」</t>
  </si>
  <si>
    <t>躁</t>
  </si>
  <si>
    <t>[形]
1.性急、不冷靜。如：「暴躁」、「煩躁」、「急躁」。《論語．季氏》：「言未及之而言，謂之躁。」
2.狡猾。《易經．繫辭下》：「躁人之辭多。」
[動]
動、擾動。《淮南子．精神》：「七月而成，八月而動，九月而躁，十月而生。」三國魏．王基〈戒司馬景王書〉：「心靜則眾事不躁，思慮審定，則教令不煩。」</t>
  </si>
  <si>
    <t>郰</t>
  </si>
  <si>
    <t>ㄗㄡ</t>
  </si>
  <si>
    <t>zōu</t>
  </si>
  <si>
    <t>[名]
地名。春秋時魯國邑地。故址在今大陸地區山東省曲阜縣東南的郰城，為孔子的故里。</t>
  </si>
  <si>
    <t>掫</t>
  </si>
  <si>
    <t>[動]
巡夜打更。《說文解字．手部》：「掫，夜戒守有所擊。」《左傳．昭公二十年》：「賓將掫，主人辭。」晉．杜預．注：「掫，行夜。」</t>
  </si>
  <si>
    <t>陬</t>
  </si>
  <si>
    <t>[名]
1.角落。如：「城陬」。《聊齋志異．卷四．辛十四娘》：「忽憶堂陬撲滿，常見十四娘投錢於中。」
2.山腳。如：「山陬」。宋．楊萬里〈次日醉歸〉詩：「歸路意昏昏，落日在嶺陬。」
3.偏遠的地方。《文選．左思．吳都賦》：「其荒陬譎詭，則有龍穴內蒸，雲雨所儲。」
4.聚落、聚居之處。《文選．左思．魏都賦》：「蠻陬夷落，譯導而通。」</t>
  </si>
  <si>
    <t>棸</t>
  </si>
  <si>
    <t>[名]
姓。如晉代有棸籌。</t>
  </si>
  <si>
    <t>棷</t>
  </si>
  <si>
    <t>[名]
木柴、柴火。《說文解字．木部》：「棷，木薪也。」</t>
  </si>
  <si>
    <t>菆</t>
  </si>
  <si>
    <t>[名]
1.草莖。《集韻．平聲．侯韻》：「菆，莖也。」《儀禮．既夕禮》：「御以蒲菆。」漢．鄭玄．注：「蒲菆，牡蒲莖。」
2.好箭、利箭。《左傳．宣公十二年》：「樂伯曰：『吾聞致師者，左射以菆。』」晉．杜預．注：「菆，矢之善者。」
[形]
雜草叢生的。《文選．潘岳．西征賦》：「感市閭之菆井，歎尸韓之舊處。」</t>
  </si>
  <si>
    <t>緅</t>
  </si>
  <si>
    <t>[形]
青赤色的。唐．柳宗元〈故襄陽丞趙君墓誌〉：「緋衣緅衾。」</t>
  </si>
  <si>
    <t>諏</t>
  </si>
  <si>
    <t>[動]
1.商量、諮詢。《國語．晉語四》：「諏於蔡原而訪於辛尹。」《文選．諸葛亮．出師表》：「陛下亦宜自課，以諮諏善道，察納雅言。」
2.選擇。《儀禮．特牲饋食禮》：「特牲饋食之禮，不諏日。」</t>
  </si>
  <si>
    <t>鄹</t>
  </si>
  <si>
    <t>[名]
1.國名。同「鄒」。
2.地名。同「郰」。</t>
  </si>
  <si>
    <t>鯫</t>
  </si>
  <si>
    <t>[名]
1.一種白魚。《說文解字．魚部》：「鯫，白魚也。」
2.一種小魚。《集韻．平聲．侯韻》：「鯫，小魚也。」
[形]
小。《集韻．上聲．厚韻》：「鯫，一曰小也。」</t>
  </si>
  <si>
    <t>齱</t>
  </si>
  <si>
    <t>[形]
齱齵：牙齒歪斜不正。《說文解字．齒部》：「齱，齱齵，齒不正也。」</t>
  </si>
  <si>
    <t>鄒</t>
  </si>
  <si>
    <t>[名]
1.國名。春秋時邾國，故址在今大陸地區山東省鄒縣地，戰國時改為鄒，為楚所滅。
2.姓。如明代有鄒允隆。</t>
  </si>
  <si>
    <t>謅</t>
  </si>
  <si>
    <t>[動]
1.胡說。如：「瞎謅」、「滿口胡謅」。
2.編造。《儒林外史》第一一回：「閒暇也教他謅幾句詩，以為笑話。」</t>
  </si>
  <si>
    <t>騶</t>
  </si>
  <si>
    <t>[名]
1.古代主管駕駛車馬的小官。《禮記．月令》：「命僕及七騶咸駕。」《後漢書．卷七八．宦者傳．張讓傳》：「凡詔所徵求，皆令西園騶密約敕，號曰『中使』。」
2.古代貴族出行時，居前導或後隨的騎士。《漢書．卷二．惠帝紀》：「外郎不滿二歲，賜錢萬。……執戟、武士、騶比外郎。」晉．干寶《搜神記》卷四：「忽于樹間逢一絳衣騶，呼班云：『泰山府君召！』」
3.姓。如漢代有騶餘善。</t>
  </si>
  <si>
    <t>齺</t>
  </si>
  <si>
    <t>[動]
1.牙齒折斷。《說文解字．齒部》：「齺，齒搚也。」
2.咬。《說文解字．齒部》：「齺，一曰齰。」
[名]
橫在馬口裡駕馭馬匹的器具。《說文解字．齒部》：「齺，一曰馬口中橛也。」</t>
  </si>
  <si>
    <t>走</t>
  </si>
  <si>
    <t>ㄗㄡˇ</t>
  </si>
  <si>
    <t>zǒu</t>
  </si>
  <si>
    <t>[動]
1.疾行、奔跑。漢．劉熙《釋名．釋姿容》：「徐行曰步，疾行曰趨，……疾趨曰走。」如：「奔走」。《韓非子．五蠹》：「兔走觸株，折頸而死。」
2.步行。如：「走路」。《文選．張衡．西京賦》：「走索上而相逢。」
3.逃跑。如：「逃走」、「敗走」。《孟子．梁惠王上》：「填然鼓之，兵刃既接，棄甲曳兵而走。」
4.離開。如：「走開」、「我明天就要走了。」
5.洩漏。如：「走漏」、「走光」、「走電」。《水滸傳》第一八回：「三人大驚：『莫不走漏了消息，這件事發了？』」
6.接觸、交往。如：「他們兩家走得很勤。」
7.失去原來的形態。如：「走味」、「走樣」、「走調」。
8.移動、挪動。如：「拿走」、「我的錶走得很準。」、「這步棋走錯了。」
9.到處遊蕩。參見「走江湖」條。
10. 往、去。如：「走往」、「走訪」。
[形]
1.供行走的。如：「走道」。
2.供驅使的、供使役的。如：「販夫走卒」。
3.在陸地上行動的。如：「飛禽走獸」。
[名]
1.獸類的總稱。《文選．左思．吳都賦》：「窮飛走之栖宿。」
2.二一四部首之一。</t>
  </si>
  <si>
    <t>奏</t>
  </si>
  <si>
    <t>ㄗㄡˋ</t>
  </si>
  <si>
    <t>zòu</t>
  </si>
  <si>
    <t>[動]
1.進獻。《漢書．卷七四．丙吉傳》：「不得令晨夜去皇孫敖盪，數奏甘毳食物。」漢．王充《論衡．逢遇》：「以夏進鑪，以冬奏扇。」
2.古代臣下向皇帝上書或進言。如：「啟奏」。《漢書．卷六八．霍光傳》：「光遂復與丞相敞等上奏。」
3.吹彈樂器。如：「吹奏」、「伴奏」、「彈奏」、「演奏」、「獨奏」。
4.顯現、發生。如：「大奏奇功」、「奏效」。《明史．卷八四．河渠志二》：「（崇禎）帝趣鳩工，未奏績而明亡。」
5.往、走。通「走」。《新唐書．卷一五五．馬燧傳》：「比悅至，火止，氣少衰，燧縱兵擊之。悅敗奏橋。橋已焚，眾赴水死者不可計。」
[名]
1.古代臣下向皇帝進呈的文書。如：「奏狀」、「奏褶」。南朝梁．劉勰《文心雕龍．章表》：「漢定禮儀，則有四品：一曰章，二曰奏，三曰表，四曰議。」
2.音樂高低抑揚的節拍。如：「節奏輕快」。</t>
  </si>
  <si>
    <t>揍</t>
  </si>
  <si>
    <t>[動]
1.打。如：「揍人」、「揍他一頓」。
2.北平方言。指打破、打碎。如：「他一不留神把茶碗打揍了。」</t>
  </si>
  <si>
    <t>驟</t>
  </si>
  <si>
    <t>[動]
1.馬快跑。《說文解字．馬部》：「驟，馬疾步也。」《詩經．小雅．四牡》：「駕彼四駱，載驟駸駸。」唐．韓愈〈南山〉詩：「或翩若船遊，或決若馬驟。」
2.泛指奔馳。《莊子．齊物論》：「麋鹿見之決驟。」
[副]
1.常常、屢次。《左傳．宣公二年》：「宣子驟諫，公患之。」《呂氏春秋．離俗覽．適威》：「驟戰而驟勝。」
2.忽然、突然。如：「驟變」、「驟然」、「驟發事件」。
3.迅速。《左傳．成公十八年》：「杞伯於是驟朝于晉而請為昏。」唐．白行簡《李娃傳》：「郎驟往覘之，某當繼至。」
[形]
急速。如：「狂風驟雨」。宋．李清照〈如夢令．昨夜雨疏風驟〉詞：「昨夜雨疏風驟，濃睡不消殘酒。」</t>
  </si>
  <si>
    <t>䐶</t>
  </si>
  <si>
    <t>ㄗㄢ</t>
  </si>
  <si>
    <t>zān</t>
  </si>
  <si>
    <t>參見「腤䐶」條。</t>
  </si>
  <si>
    <t>簪</t>
  </si>
  <si>
    <t>[名]
古人用來綰髮或固定頭冠的頭飾。如：「頭簪」。《史記．卷四九．外戚世家》：「夫人脫簪珥叩頭。」唐．杜甫〈春望〉詩：「白頭搔更短，渾欲不勝簪。」也稱為「簪子」。
[動]
1.插、戴。唐．李嶠〈扈從還洛呈侍從群官〉詩：「並輯蛟龍書，同簪鳳皇筆。」宋．蘇軾〈答陳述古〉詩二首之一：「城西亦有紅千葉，人老簪花卻自羞。」
2.連綴。《儀禮．士喪禮》：「以爵弁服，簪裳於衣左。」漢．鄭玄．注：「簪，連也。」</t>
  </si>
  <si>
    <t>(二)（又音）ㄗㄣ zēn（09557）</t>
  </si>
  <si>
    <t>鐕</t>
  </si>
  <si>
    <t>[名]
一種無蓋的釘子。《玉篇．金部》：「鐕，無蓋釘。」《禮記．喪大記》：「君裡棺用朱綠，用雜金鐕；大夫裡棺用玄綠，用牛骨鐕。」</t>
  </si>
  <si>
    <t>篸</t>
  </si>
  <si>
    <t>[名]
1.縫衣針。《廣韻．平聲．覃韻》：「篸，所以綴衣。」
2.用以綰住頭髮的竹針。通「簪」。南朝梁．沈約〈江南曲〉：「羅衣織成帶，墮馬碧玉篸。」唐．韓愈〈送桂州嚴大人〉詩：「江作青羅帶，山如白玉篸。」</t>
  </si>
  <si>
    <t>(一)ㄘㄣ cēn（09790）(三)ㄗㄢˋ zàn（09551）</t>
  </si>
  <si>
    <t>ㄗㄢˊ</t>
  </si>
  <si>
    <t>zán</t>
  </si>
  <si>
    <t>[代]
1.我。元．楊梓《豫讓吞炭》第二折：「今早智氏對咱說，……韓魏有反意。」《鏡花緣》第五四回：「紅女道：『咱姓顏，不知誰是小山姐姐？』」
2.我們，包括聽話者。《前漢書平話．卷上》：「咱眾官員就此處買馬積草，共謀奪劉氏江山。」《兒女英雄傳》第二七回：「咱爺兒兩的交情就說不到個借字兒、還字兒。」</t>
  </si>
  <si>
    <t>(二)ㄗㄚˊ zá（09438）</t>
  </si>
  <si>
    <t>[代]
我。同「咱」(一)。《兒女英雄傳》第四回：「你不聽這個，偺唱個好的。」</t>
  </si>
  <si>
    <t>(二)ㄗㄚˊ zá（09440）</t>
  </si>
  <si>
    <t>[代]
我。同「咱」(一)。《警世通言．卷三二．杜十娘怒沉百寶箱》：「娘叫喒去尋你，是必同去走一遭。」</t>
  </si>
  <si>
    <t>(二)ㄗㄚˊ zá（09441）</t>
  </si>
  <si>
    <t>糌</t>
  </si>
  <si>
    <t>參見「糌粑」條。</t>
  </si>
  <si>
    <t>ㄗㄢˇ</t>
  </si>
  <si>
    <t>zǎn</t>
  </si>
  <si>
    <t>[動]
古代的一種刑罰。以木條用力夾指。明．姚茂良《精忠記》第一八齣：「叫你打，著實打；叫你拶，著實拶。若有容情，一概問罪。」清．孔尚任《桃花扇》第一七齣：「楊老爺新做了禮部，連你們官兒都管的著，明日拿去拶掉你指頭。」</t>
  </si>
  <si>
    <t>(一)ㄗㄚˊ zá（09437）</t>
  </si>
  <si>
    <t>昝</t>
  </si>
  <si>
    <t>[名]
姓。如明代有昝學易。</t>
  </si>
  <si>
    <t>寁</t>
  </si>
  <si>
    <t>[形]
疾速、快速。《詩經．鄭風．遵大路》：「無我惡兮，不寁故也。」</t>
  </si>
  <si>
    <t>噆</t>
  </si>
  <si>
    <t>[動]
1.銜、含。《淮南子．覽冥》：「榛薄，食薦梅，噆味含甘。」
2.叮、咬。《莊子．天運》：「蚊虻噆膚，則通昔不寐矣。」唐．元稹〈蟻子〉詩三首之二：「攻穿漏江海，噆食困蛟鯨。」</t>
  </si>
  <si>
    <t>儹</t>
  </si>
  <si>
    <t>[動]
聚集、積蓄。漢．揚雄〈覈靈賦〉：「文王之始起，浸仁漸義，會賢儹智。」元．無名氏《爭報恩》第一折：「儹得黃金盛，重將寶劍磨。」</t>
  </si>
  <si>
    <t>攢</t>
  </si>
  <si>
    <t>[動]
積蓄、儲蓄。《紅樓夢》第二七回：「他就抱怨起來，說我攢的錢為什麼給你使？倒不給環兒使呢？」《老殘遊記》第一四回：「我就一兩個月攢個三千兩吊的給他寄來。」</t>
  </si>
  <si>
    <t>(二)ㄘㄨㄢˊ cuán（09895）</t>
  </si>
  <si>
    <t>趲</t>
  </si>
  <si>
    <t>[動]
1.逼趕、催促。宋．趙師俠〈酹江月．丙午螺川〉詞：「趲柳催花，摧紅長翠，多少風和雨。」《兒女英雄傳》第五回：「公子只得催著牲口，趲向前去。」
2.用、使。《儒林外史》第四九回：「他若是趲一個勁，那怕幾千斤的石塊，打落在他頭上、身上，他會絲毫不覺得。」
3.積聚。通「攢」。《西遊記》第六八回：「（那獃子）跳起來道：『哥哥！這遭我擾你，待下次趲錢，我也請你回席。』」《警世通言．卷二八．白娘子永鎮雷峰塔》：「丈夫，可知小舅要娶老婆，原來自趲得些私房。」</t>
  </si>
  <si>
    <t>䰖</t>
  </si>
  <si>
    <t>[形]
頭髮有光澤。《字彙．髟部》：「䰖，髮光澤。」</t>
  </si>
  <si>
    <t>(一)ㄗㄨㄢˇ zuǎn（09644）</t>
  </si>
  <si>
    <t>ㄗㄢˋ</t>
  </si>
  <si>
    <t>zàn</t>
  </si>
  <si>
    <t>(一)（語音）ㄓㄢˋ zhàn（07807）</t>
  </si>
  <si>
    <t>(一)（語音）ㄓㄢˋ zhàn（07808）</t>
  </si>
  <si>
    <t>鏨</t>
  </si>
  <si>
    <t>[名]
鑿刻金石的工具。《說文解字．金部》：「鏨，小鑿也。」也稱為「鏨子」。
[動]
鐫刻、雕鑿。如：「鏨花」、「鏨字」。《紅樓夢》第六六回：「又將鴛鴦劍取出，……一把上面鏨一鴛字，一把上面鏨一鴦字。」《警世通言．卷一五．金令史美婢酬秀童》：「你家常常鏨鑿什麼東西？」</t>
  </si>
  <si>
    <t>[動]
綴、插。北周．庾信〈入道士館〉詩：「野衣縫蕙葉，山巾篸筍皮。」宋．黃庭堅〈南鄉子．諸將說封侯〉詞：「花向老人頭上笑，羞羞。白髮篸花不解愁。」</t>
  </si>
  <si>
    <t>(一)ㄘㄣ cēn（09790）(二)ㄗㄢ zān（09535）</t>
  </si>
  <si>
    <t>贊</t>
  </si>
  <si>
    <t>[動]
1.謁見。《說文解字．貝部》：「贊，見也。」《漢書．卷七八．蕭望之傳》：「其以客禮待之，令單于位在諸侯王上，贊謁稱臣而不名。」
2.佐助、輔導。如：「贊助」。《左傳．襄公二十七年》：「大叔儀不貳，能贊大事。」《禮記．中庸》：「可以贊天地之化育。」
3.引導。《國語．周語上》：「太史贊王，王敬從之。」
4.推薦。《禮記．月令》：「命太尉贊桀俊，遂賢良，舉長大。」《漢書．卷六五．東方朔傳》：「朔自贊曰：『臣嘗受易，請射之。』」
5.告訴、介紹。《史記．卷七七．魏公子傳》：「公子引侯生坐上坐，遍贊賓客，賓客皆驚。」
6.同意。如：「贊同」。
7.頌揚、稱美。通「讚」。《三國志．卷一八．魏書．許褚傳》：「帝思褚忠孝，下詔褒贊。」《紅樓夢》第五六回：「我才贊你，你倒來捉弄我了。」
8.參與。《史記．卷四七．孔子世家》：「至於為春秋，筆則筆，削則削，子夏之徒不能贊一辭。」
[名]
文體名。以稱述評論為主，分雜贊、哀贊、史贊三種。如夏侯湛有〈東方朔畫贊〉、袁宏有〈三國名臣序贊〉。《南史．卷八．梁元帝本紀》：「自圖宣尼像，為之贊而書之。」</t>
  </si>
  <si>
    <t>囋</t>
  </si>
  <si>
    <t>[形]
言語繁瑣無節制。《荀子．勸學》：「故不問而告謂之傲，問一而告二謂之囋。」王先謙集解引郝懿行曰：「囋者，嘈囋謂語聲繁碎也。」宋．可旻〈漁家傲．我佛蓮華隨步踏〉詞：「水鳥樹林皆念法，聲嘈囋，空中零亂天華撒。」</t>
  </si>
  <si>
    <t>酇</t>
  </si>
  <si>
    <t>[名]
1.周代地方行政組織之一，百家聚居一處稱為「酇」。《周禮．地官．遂人》：「五家為鄰，五鄰為里，四里為酇。」
2.縣名。漢置，南朝梁時廢，約在今大陸地區湖北省光化縣舊縣北。</t>
  </si>
  <si>
    <t>瓚</t>
  </si>
  <si>
    <t>[名]
1.含有雜質的玉。《周禮．冬官考工記．玉人》：「天子用全，上公用龍，侯用瓚，伯用將。」
2.古代祭禮中用來舀酒的玉勺。《詩經．大雅．旱麓》：「瑟彼玉瓚，黃流在中。」《左傳．昭公十七年》：「若我用瓘斝玉瓚，鄭必不火。」</t>
  </si>
  <si>
    <t>讚</t>
  </si>
  <si>
    <t>[動]
1.稱美、頌揚。如：「讚不絕口」。《鏡花緣》第三八回：「越看越愛，不覺讚好。」
2.佐助。通「贊」。《文選．潘岳．為賈謐贈陸機》：「齊轡群龍，光讚納言。」《文選．丘遲．與陳伯之書》：「佩紫懷黃，讚帷幄之謀。」
[名]
文體名。旨在稱頌人物功德事蹟。通「贊」。《後漢書．卷六〇．蔡邕傳》：「所著詩、賦、碑、誄、銘、讚、連珠……凡百四篇，傳於世。」</t>
  </si>
  <si>
    <t>ㄗㄣ</t>
  </si>
  <si>
    <t>zēn</t>
  </si>
  <si>
    <t>(一)ㄗㄢ zān（09533）</t>
  </si>
  <si>
    <t>ㄗㄣˇ</t>
  </si>
  <si>
    <t>zěn</t>
  </si>
  <si>
    <t>[副]
如何。表疑問、詢問之意。如：「怎麼」、「怎說」、「怎想」。宋．李清照〈聲聲慢．尋尋覓覓〉詞：「這次第，怎一個愁字了得。」</t>
  </si>
  <si>
    <t>(二)（又音）ㄗㄜˇ zě（09466）</t>
  </si>
  <si>
    <t>譖</t>
  </si>
  <si>
    <t>ㄗㄣˋ</t>
  </si>
  <si>
    <t>zèn</t>
  </si>
  <si>
    <t>[動]
毀謗、誣陷。《公羊傳．莊公元年》：「夫人譖公於齊侯。」唐．柳宗元〈罵尸蟲文〉：「譖下謾上，恆其心術，妒人之能，幸人之失。」</t>
  </si>
  <si>
    <t>牂</t>
  </si>
  <si>
    <t>ㄗㄤ</t>
  </si>
  <si>
    <t>zāng</t>
  </si>
  <si>
    <t>[名]
母羊。清．王念孫《廣雅疏證．卷一〇下．釋獸》：「吳羊牡一歲曰牡䍮，三歲曰羝；其牝一歲曰牸䍮，三歲曰牂。」《詩經．小雅．苕之華》：「牂羊墳首，三星在罶。」漢．毛亨．傳：「牂羊，牝羊也。」</t>
  </si>
  <si>
    <t>臧</t>
  </si>
  <si>
    <t>[形]
善。《爾雅．釋詁上》：「臧，善也。」《詩經．邶風．雄雉》：「不忮不求，何用不臧。」唐．柳宗元〈與呂道州溫論非國語書〉：「輒乃黜其不臧，究世之謬。」
[動]
稱許、頌揚。漢．王充《論衡．自紀》：「文德不豐，非吾所臧。」《晉書．卷四十九．阮籍傳》：「籍雖不拘禮教，然發言玄遠，口不臧否人物。」
[名]
1.奴隸、奴婢。《荀子．禮論》：「君子以倍叛之心接臧穀，猶且羞之。」
2.以非法手段取得的財物。通「贓」。《漢書．卷九〇．酷吏傳．尹賞傳》：「終身廢棄無有赦時，其羞辱甚於貪汙坐臧。」
3.姓。如漢代有臧洪。</t>
  </si>
  <si>
    <t>贓</t>
  </si>
  <si>
    <t>[名]
以非法手段取得的財物。如：「貪贓枉法」、「追贓」、「人贓俱獲」。《警世通言．卷一五．金令史美婢酬秀童》：「見拿著了真贓真賊，咬牙切齒的罵。」
[形]
偷搶而來的。如：「贓款」、「贓物」。</t>
  </si>
  <si>
    <t>髒</t>
  </si>
  <si>
    <t>[形]
1.汙穢不清潔。如：「髒亂」、「又髒又破的衣服。」
2.粗魯不文雅。如：「髒話」。
[動]
弄汙。《兒女英雄傳》第三回：「咱一來是為行好，二來也怕髒了我的店。」</t>
  </si>
  <si>
    <t>(二)ㄗㄤˇ zǎng（09566）</t>
  </si>
  <si>
    <t>參見「腌臢」條。</t>
  </si>
  <si>
    <t>(二)（又音）ㄗㄚ zā（09436）</t>
  </si>
  <si>
    <t>駔</t>
  </si>
  <si>
    <t>ㄗㄤˇ</t>
  </si>
  <si>
    <t>zǎng</t>
  </si>
  <si>
    <t>[名]
1.居中介紹買賣馬隻的人。《史記．卷一二九．貨殖傳》：「子貸金錢千貫，節駔會。」裴駰集解引徐廣曰：「駔，馬儈也。」
2.泛指商人。《儒林外史》第一一回：「那知辭官未久，被了這一場橫禍，受小人駔儈之欺！」</t>
  </si>
  <si>
    <t>(二)ㄗㄨˋ zù（09599）(三)ㄘㄤˇ cǎng（09800）</t>
  </si>
  <si>
    <t>(一)ㄗㄤ zāng（09563）</t>
  </si>
  <si>
    <t>ㄗㄤˋ</t>
  </si>
  <si>
    <t>zàng</t>
  </si>
  <si>
    <t>[形]
粗大。《玉篇．大部》：「奘，大也。」《西遊記》第九五回：「見那短棍兒一頭奘，一頭細，卻似舂碓臼的杵頭模樣。」</t>
  </si>
  <si>
    <t>(二)ㄓㄨㄤˇ zhuǎng（08122）</t>
  </si>
  <si>
    <t>葬</t>
  </si>
  <si>
    <t>[動]
掩埋。如：「埋葬」、「葬身」。《紅樓夢》第二七回：「儂今葬花人笑痴，他年葬儂知是誰。」
[名]
屍體掩埋、處理的方式。如：「土葬」、「海葬」、「火葬」。</t>
  </si>
  <si>
    <t>𠿺</t>
  </si>
  <si>
    <t>[副]
痛苦的呻吟。</t>
  </si>
  <si>
    <t>藏</t>
  </si>
  <si>
    <t>[名]
1.儲存東西的地方。如：「寶藏」。《禮記．月令》：「命百官，謹蓋藏。」《史記．卷三〇．平準書》：「山海，天地之藏也。」
2.內臟。通「臟」。《淮南子．原道》：「夫心者，五藏之主也。」唐．李白〈東海有勇婦〉詩：「斬首掉國門，蹴踏五藏行。」
3.西藏的簡稱。如：「蒙藏一帶」。
4.邊疆民族。舊稱為「吐蕃」。
5.佛教、道教經典的總稱。如：「道藏」、「藏經」。明．徐弘祖《徐霞客遊記．卷八上．滇遊日記八》：「寶臺大寺，為立禪師所建，三年前立師東遊請藏，久離此山。」</t>
  </si>
  <si>
    <t>(一)ㄘㄤˊ cáng（09799）</t>
  </si>
  <si>
    <t>臟</t>
  </si>
  <si>
    <t>[名]
胸、腹腔內各器官的總稱。如：「心臟」、「腎臟」、「脾臟」。</t>
  </si>
  <si>
    <t>曾</t>
  </si>
  <si>
    <t>ㄗㄥ</t>
  </si>
  <si>
    <t>zēng</t>
  </si>
  <si>
    <t>[副]
1.乃、竟然。《論語．為政》：「有酒食，先生饌，曾是以為孝乎？」
2.尚且。《列子．湯問》：「以君之力，曾不能損魁父之丘，如太行、王屋何？」
[形]
重疊的，中間隔兩代親屬關係的。如：「曾祖父」、「曾孫」。
[動]
加多。同「增」。《孟子．告子下》：「所以動心忍性，曾益其所不能。」
[名]
姓。如春秋時魯國有曾參。</t>
  </si>
  <si>
    <t>(二)ㄘㄥˊ céng（09802）</t>
  </si>
  <si>
    <t>憎</t>
  </si>
  <si>
    <t>[動]
厭惡。如：「愛憎分明」、「面目可憎」。《史記．卷九九．叔孫通傳》：「叔孫通儒服，漢王憎之。」唐．李中〈落花〉詩：「酷恨西園雨，生憎南陌風。」</t>
  </si>
  <si>
    <t>增</t>
  </si>
  <si>
    <t>[動]
加多。如：「倍增」、「遞增」、「激增」、「有增無減」。
[形]
重疊的。通「層」。《文選．揚雄．甘泉賦》：「增宮嵾差。」《文選．郭璞．遊仙詩一九首之五》：「清源無增瀾，安得運吞舟？」</t>
  </si>
  <si>
    <t>橧</t>
  </si>
  <si>
    <t>[名]
用木柴堆築而成的居處。清．王念孫《廣雅疏證．卷七上．釋宮》：「橧，巢也。」《禮記．禮運》：「昔者先王未有宮室，冬則居營窟，夏則居橧巢。」唐．孔穎達．正義：「夏則居橧巢者，謂橧聚其薪以為巢。」</t>
  </si>
  <si>
    <t>罾</t>
  </si>
  <si>
    <t>[名]
四邊有支架的方形魚網。《說文解字．网部》：「罾，魚網也。」段玉裁注引顏師古曰：「形如仰繖，蓋四維而舉之。」宋．陸游《入蜀記．第三》：「漁人依石挽罾，宛如畫圖間所見。」
[動]
以網捕魚。《史記．卷四八．陳涉世家》：「乃丹書帛曰：『陳勝王』，置人所罾魚腹中。」</t>
  </si>
  <si>
    <t>(二)ㄗㄥˋ zèng（09580）</t>
  </si>
  <si>
    <t>矰</t>
  </si>
  <si>
    <t>[名]
繫有絲繩，用以射鳥的箭。《楚辭．屈原．九章．惜誦》：「矰弋機而在上兮，罻羅張而在下。」漢．王逸．注：「矰，繳射矢也。」《文選．張華．鷦鷯賦》：「然皆負矰嬰繳，羽毛入貢。」</t>
  </si>
  <si>
    <t>繒</t>
  </si>
  <si>
    <t>[名]
1.絲織品的總稱。《說文解字．糸部》：「繒，帛也。」如：「文繒」、「細繒」。《漢書．卷四一．樊酈滕灌傅靳周傳．灌嬰》：「灌嬰，睢陽販繒者也。」唐．顏師古．注：「繒者，帛之總名。」
2.姓。如漢代有繒賀。</t>
  </si>
  <si>
    <t>(二)ㄗㄥˋ zèng（09581）</t>
  </si>
  <si>
    <t>甑</t>
  </si>
  <si>
    <t>ㄗㄥˋ</t>
  </si>
  <si>
    <t>zèng</t>
  </si>
  <si>
    <t>[名]
古代蒸煮食物的瓦器，底部有許多小孔，放在鬲上，有如現代的蒸籠。《孟子．滕文公上》：「許子以釜甑爨，以鐵耕乎？」</t>
  </si>
  <si>
    <t>參見「巴巴罾兒」條。</t>
  </si>
  <si>
    <t>(一)ㄗㄥ zēng（09576）</t>
  </si>
  <si>
    <t>參見「繒繃」條。</t>
  </si>
  <si>
    <t>(一)ㄗㄥ zēng（09578）</t>
  </si>
  <si>
    <t>贈</t>
  </si>
  <si>
    <t>[動]
1.把東西送給他人。如：「贈閱」、「贈款」。唐．王勃〈滕王閣序〉：「臨別贈言，幸承恩於偉餞，登高作賦。」唐．杜甫〈天末懷李白〉詩：「應共冤魂語，投詩贈汨羅。」
2.追賜官爵給已死的有功之人，或官吏的祖先。如：「追贈」、「封贈」。《後漢書．卷一六．鄧禹傳》：「皆遺言薄葬，不受爵贈，太后並從之。」宋．歐陽修〈瀧岡阡表〉：「皇祖府君累贈金紫光祿大夫、太師、中書令兼尚書令。」</t>
  </si>
  <si>
    <t>租</t>
  </si>
  <si>
    <t>ㄗㄨ</t>
  </si>
  <si>
    <t>zū</t>
  </si>
  <si>
    <t>[名]
1.田賦。《說文解字．禾部》：「租，田賦也。」《漢書．卷四．文帝紀》：「其賜天下民今年田租之半。」《新唐書．卷五一．食貨志一》：「凡授田者，丁歲輸粟二斛，稻三斛，謂之租。」
2.稅捐。《史記．卷一〇二．張釋之傳》：「李牧為趙將居邊，軍市之租皆自用饗士，賞賜決於外，不從中擾也。」
3.出借房屋、物品等所收取的報酬費用。如：「房租」、「收租」。
[動]
以一定的代價出借或借用他人物品、房地。如：「吉屋出租」。《紅樓夢》第四回：「偏生這拐子又租了我們的房舍居住。」</t>
  </si>
  <si>
    <t>蒩</t>
  </si>
  <si>
    <t>[名]
1.草墊。《說文解字．艸部》：「蒩，茅藉也。……《禮》曰：『封諸侯以土蒩、以白茅。』」《周禮．地官．鄉師》：「大祭祀，羞牛牲，共茅蒩。」
2.蕺菜。清．王念孫《廣雅疏證．卷十上．釋草》：「蒩，蕺也。」</t>
  </si>
  <si>
    <t>ㄗㄨˊ</t>
  </si>
  <si>
    <t>zú</t>
  </si>
  <si>
    <t>[名]
1.人體下肢的總稱。亦專指踝骨以下的部分，今稱為「腳」。《說文解字．足部》：「足，人之足也，在下。」如：「舉足」、「失足跌跤」。唐．韓愈〈山石〉詩：「當流赤足蹋澗石，水聲激激風吹衣。」
2.動物的下肢，用來奔走或爬行。如：「節足動物」、「百足之蟲」。南朝梁．無名氏〈木蘭詩〉二首之一：「願駝千里足，送兒還故鄉。」
3.器物下面支撐的部分。《易經．鼎卦．九四》：「鼎折足。」唐．劉禹錫〈蜀先主廟〉詩：「勢分三足鼎，業復五銖錢。」
4.姓。如戰國時韓國有足強。
5.二一四部首之一。
[動]
1.踏。《文選．司馬相如．上林賦》：「手熊羆，足野羊。」
2.滿足、使滿足。《漢書．卷五．景帝紀》：「其唯廉士，寡欲易足。」《三國志．卷一．魏書．武帝紀》：「紹謀臣許攸貪財，紹不能足，來奔。」
3.停止、止息。《老子》第二八章：「為天下谷，常德乃足，復歸於樸。」《史記．卷一〇二．張釋之傳》：「釋之免冠頓首謝曰：『法如是足也。』」
[形]
1.夠量的、不缺乏的。如：「充足」、「心滿意足」、「豐衣足食」。
2.富裕。如：「富足」。
[副]
1.整整的、完全的。如：「足足玩了一星期」、「足足樂了一天」、「在水中悶了足足有二分鐘的氣。」
2.堪、可以。如：「足供參考」、「足慰吾懷」、「足以自豪」。
3.值得。如：「何足掛齒」、「微不足道」。</t>
  </si>
  <si>
    <t>(二)ㄐㄩˋ jù（06042）</t>
  </si>
  <si>
    <t>哫</t>
  </si>
  <si>
    <t>參見「哫訾」條。</t>
  </si>
  <si>
    <t>卒</t>
  </si>
  <si>
    <t>[名]
1.供驅遣、差役的人。如：「役卒」、「隸卒」、「販夫走卒」。《史記．卷二九．河渠書》：「悉發卒數萬人穿漕渠，三歲而通。」
2.士兵。如：「勁卒」、「士卒」。《左傳．隱公元年》：「大叔完聚，繕甲兵，具卒乘，將襲鄭。」唐．杜甫〈北征〉詩：「至尊尚蒙塵，幾日休練卒？」
3.古代軍隊的一種編制。參見「卒伍」條。
[動]
1.終止、結束。《詩經．豳風．七月》：「無衣無褐，何以卒歲？」《禮記．奔喪》：「三日五哭，卒，主人出送賓。」
2.死亡。如：「暴卒」、「病卒」。
[副]
終於、終究。《史記．卷八一．廉頗藺相如傳》：「卒廷見相如，畢禮而歸之。」漢．桓寬《鹽鐵論．非鞅》：「秦任商君，國以富強，其後卒并六國而成帝業。」</t>
  </si>
  <si>
    <t>(二)ㄘㄨˋ cù（09813）</t>
  </si>
  <si>
    <t>捽</t>
  </si>
  <si>
    <t>[動]
1.揪著頭髮。《說文解字．手部》：「捽，持頭髮也。」《戰國策．楚策一》：「吾將軍深入吳軍，若扑一人，若捽一人。」
2.抓。《水滸傳》第二六回：「連肩胛只一提，右手早捽住西門慶左腳。」
3.拔取。《漢書．卷七二．貢禹傳》：「不避寒暑，捽屮杷土，手足胼胝。」《清史稿．卷四九六．忠義傳十．劉錫祺傳》：「黨人適同舟，面辱之，捽其冠，遽投江死。」
4.抵觸、碰撞。《國語．晉語一》：「戎、夏交捽。」三國吳．韋昭．注：「捽，交對也。」唐．韓愈〈贈別元十八協律〉六首之六：「峽山逢颶風，雷電助撞捽。」</t>
  </si>
  <si>
    <t>(二)（語音）ㄗㄨㄛˊ zuó（09605）</t>
  </si>
  <si>
    <t>崒</t>
  </si>
  <si>
    <t>[形]
山勢高峻。《文選．鮑照．蕪城詩》：「崒若斷岸，矗似長雲。」唐．李善．注：「崒，高峻也。」唐．韓愈〈伯夷頌〉：「昭乎日月不足為明，崒乎泰山不足為高。」</t>
  </si>
  <si>
    <t>踤</t>
  </si>
  <si>
    <t>[動]
觸擊、衝撞。《文選．左思．吳都賦》：「衝踤而斷筋骨。」</t>
  </si>
  <si>
    <t>族</t>
  </si>
  <si>
    <t>[名]
1.親屬。如：「家族」、「九族」。《晉書．卷一〇〇．孫恩傳》：「孫恩字靈秀，瑯邪人，孫秀之族也。」
2.泛指同姓的人。如：「同族」、「宗族」。
3.人種的類別。如：「漢族」、「苗族」。
4.有共同屬性的群類。如：「水族」、「甲族」、「貴族」、「火腿族」。《淮南子．俶真》：「萬物百族，使各有經紀條貫。」唐．韓愈〈師說〉：「士大夫之族，曰師曰弟子云者，則群聚而笑之。」
[動]
1.古時刑罰連及罪人的家屬親人。《書經．泰誓上》：「罪人以族，官人以世。」漢．孔安國．傳：「一人有罪，刑及父母兄弟妻子。」
2.滅。唐．杜牧〈阿房宮賦〉：「族秦者，秦也，非天下也。」
[副]
叢聚、群集。如：「族居」。《爾雅．釋木》：「木族生為灌。」晉．郭璞．注：「族，叢。」《莊子．在宥》：「雲氣不待族而雨，草木不待黃而落。」</t>
  </si>
  <si>
    <t>嗾</t>
  </si>
  <si>
    <t>(一)ㄙㄡˇ sǒu（10046）</t>
  </si>
  <si>
    <t>鏃</t>
  </si>
  <si>
    <t>[名]
箭頭。唐．李華〈弔古戰場文〉：「利鏃穿骨，驚沙入面。」《新唐書．卷二一九．北狄傳．黑水靺鞨傳》：「其矢石鏃，長二寸，蓋楛砮遺法。」
[形]
鋒利。《呂氏春秋．開春論．貴卒》：「所為貴鏃矢者，為其應聲而至。」</t>
  </si>
  <si>
    <t>(二)（又音）ㄘㄨˋ cù（09829）</t>
  </si>
  <si>
    <t>阻</t>
  </si>
  <si>
    <t>ㄗㄨˇ</t>
  </si>
  <si>
    <t>zǔ</t>
  </si>
  <si>
    <t>[名]
1.險要的地方。《說文解字．阜部》：「阻，險也。」如：「天阻」、「險阻」。《文選．班固．西都賦》：「左據函谷、二崤之阻，表以太華、終南之山。」
2.障礙。如：「路阻」、「通行無阻」。
[動]
1.妨礙、隔斷。如：「阻隔」、「阻礙」。唐．杜甫〈遣興〉詩五首之五：「煙塵阻長河，樹羽成皋間。」
2.攔、擋。如：「攔阻」、「遏阻」。明．徐弘祖《徐霞客遊記．卷二下．楚遊日記》：「風與水交逼，而火復為阻，遂捨之出。」
3.推辭、拒絕。如：「推三阻四」。《詩經．邶風．谷風》：「既阻我德，賈用不售。」
4.依恃、依仗。《左傳．隱公四年》：「夫州吁阻兵而安忍。」《文選．潘岳．馬汧督誄》：「蠢蠢犬羊，阻眾陵寡。」
5.懷疑、疑惑。《左傳．閔公二年》：「是服也，狂夫阻之。」三國魏．嵇康〈與呂長悌絕交書〉：「足下陰自阻疑，密表繫都。」
[形]
艱險難行。《文選．古詩十九首．行行重行行》：「道路阻且長，會面安可知？」明．徐弘祖《徐霞客遊記．卷八上．滇遊日記八》：「以壁削路阻，不得達。」</t>
  </si>
  <si>
    <t>俎</t>
  </si>
  <si>
    <t>[名]
1.古代祭祀時，用來盛祭品的禮器。《左傳．隱公五年》：「鳥獸之肉，不登於俎。」晉．杜預．注：「俎，祭宗廟器。」
2.割肉用的砧板。《史記．卷七．項羽本紀》：「如今人方為刀俎，我為魚肉，何辭為。」俗稱為「砧板」。
3.姓。如明代有俎有用。</t>
  </si>
  <si>
    <t>祖</t>
  </si>
  <si>
    <t>[名]
1.稱謂。用以尊稱父母親的父母。如：「祖父母」、「外祖父母」。《荀子．成相》：「下以教誨子弟，上以事祖考。」唐．柳宗元〈捕蛇者說〉：「吾祖死於是，吾父死於是，今吾嗣為之十二年，幾死者數矣。」
2.通稱先代的人。如：「遠祖」、「先祖」。
3.祭祀始祖神主的廟。《荀子．成相》：「紂卒易鄉啟乃下，武王善之，封之於宋立其祖。」《漢書．卷五二．韓安國傳》：「是以古之人君謀事必就祖，發政占古語，重作事也。」
4.事物的創始者。如：「鼻祖」。《周禮．春官．籥章》：「祈年于田祖。」漢．鄭玄．注：「田祖，始耕田者，謂神農也。」
5.姓。如漢代有祖沂。
[動]
1.古代出行時祭祀路神稱為「祖」。《詩經．大雅．韓奕》：「韓侯出祖，出宿于屠。」《左傳．昭公七年》：「公將往，夢襄公祖。」晉．杜預．注：「祖，祭道神。」
2.餞行。南朝宋．劉義慶《世說新語．方正》：「杜預之荊州，頓七里橋，朝士悉祖。」唐．李白〈留別金陵諸公〉詩：「五月金陵西，祖余白下亭。」
3.宗仰、效法。《戰國策．韓策二》：「秦王必祖張儀之故謀。」《漢書．卷三〇．藝文志》：「祖述堯舜，憲章文武。」
4.熟悉。《國語．魯語下》：「是故天子大采朝日，與三公、九卿祖識地德。」</t>
  </si>
  <si>
    <t>組</t>
  </si>
  <si>
    <t>[名]
1.古時用來繫印信等物的絲帶。《說文解字．糸部》：「組，綬屬。」《史記．卷八七．李斯傳》：「子嬰與妻子自係其頸以組。」唐．陳鴻《長恨傳》：「倉皇展轉，竟就死于尺組之下。」
2.借指官印或官職。宋．蘇軾〈景純見和復次韻贈之〉詩二首之一：「解組歸來道益光，坐看百物自炎涼。」
3.量詞。計算成套的物品或人事編制的單位。如：「一組茶具」、「這項遊戲分兩組進行。」
4.機關社團中因一定目的和需要合成的單位。如：「宣傳組」、「廣告組」、「迅雷小組」。
5.事物性質相同或相近而分的類別。如：「自然組」、「社會組」、「理工組」。
[動]
構成、組織。如：「組閣」、「組團」。</t>
  </si>
  <si>
    <t>詛</t>
  </si>
  <si>
    <t>[動]
1.咒罵或祈求鬼神降禍給他人。如：「詛咒」。《左傳．昭公二十年》：「民人苦病，夫婦皆詛。」
2.立誓、起誓。《左傳．宣公二年》：「驪姬之亂，詛無畜群公子，自是晉無公族。」《漢書．卷六九．趙充國傳》：「先零遂與諸羌種二百餘人解仇交質盟詛。」
[名]
誓言。南朝梁．劉勰《文心雕龍．祝盟》：「及秦昭盟夷，設黃龍之詛。」</t>
  </si>
  <si>
    <t>ㄗㄨˋ</t>
  </si>
  <si>
    <t>zù</t>
  </si>
  <si>
    <t>[名]
駿馬，高大健壯的馬。《楚辭．劉向．九歎．憂苦》：「同駑騾與椉駔兮，雜斑駁與闒茸。」</t>
  </si>
  <si>
    <t>(一)ㄗㄤˇ zǎng（09565）(三)ㄘㄤˇ cǎng（09800）</t>
  </si>
  <si>
    <t>作</t>
  </si>
  <si>
    <t>ㄗㄨㄛ</t>
  </si>
  <si>
    <t>zuō</t>
  </si>
  <si>
    <t>[名]_x000D_
1.工人、工匠。如：「木作」、「石作」、「瓦作」。_x000D_
2.製作某些工藝作品的場所。如：「作坊」。《三國志．卷二四．魏書．韓崔高孫王傳．孫禮》：「明帝方修宮室，而節氣不和，天下少穀。禮固爭，罷役，詔曰：『敬納讜言，促遣民作。』時李惠監作，復奏留一月，有所成訖。禮徑至作所。不復重奏，稱詔罷民，帝奇其意而不責也。」宋．灌圃耐得翁《都城紀勝．諸行》：「其他工伎之人，或名為作，如篦刃作、腰帶作、金銀鍍作、鈒作是也。」《水滸傳》第四四回：「再說這楊雄的丈人潘公自和石秀商量要開屠宰作坊。」_x000D_
[動]_x000D_
招惹、自找。如：「自作自受」。</t>
  </si>
  <si>
    <t>(一)ㄗㄨㄛˋ zuò（09610）(三)ㄗㄨㄛˊ zuó（09602）</t>
  </si>
  <si>
    <t>(一)（讀音）ㄔㄨㄞˋ chuài（08595）</t>
  </si>
  <si>
    <t>ㄗㄨㄛˊ</t>
  </si>
  <si>
    <t>zuó</t>
  </si>
  <si>
    <t>參見「作摩」、「作料」等條。</t>
  </si>
  <si>
    <t>(一)ㄗㄨㄛˋ zuò（09610）(二)ㄗㄨㄛ zuō（09600）</t>
  </si>
  <si>
    <t>昨</t>
  </si>
  <si>
    <t>[名]
1.前一天。《廣韻．入聲．鐸韻》：「昨，昨日，隔一宵。」《莊子．外物》：「周昨來，有中道而呼者。」
2.以往、過去。同「昔」。明．張自烈《正字通．日部》：「昨，往日也。」如：「今是昨非」。《文選．陶淵明．歸去來辭》：「寔迷途其未遠，覺今是而昨非。」
[形]
前一天的。如：「昨夜」。</t>
  </si>
  <si>
    <t>筰</t>
  </si>
  <si>
    <t>[名]
用竹皮編成的繩索。《玉篇．竹部》：「筰，竹索也。」</t>
  </si>
  <si>
    <t>(一)（讀音）ㄗㄨˊ zú（09588）</t>
  </si>
  <si>
    <t>撮</t>
  </si>
  <si>
    <t>[動]
牽引。《集韻．入聲．末韻》：「撮，挽也。」</t>
  </si>
  <si>
    <t>(一)ㄘㄨㄛ cuō（09841）(二)（(一)之又音）ㄘㄨㄛˋ cuò（09860）(四)ㄗㄨㄛˇ zuǒ（09609）(五)ㄗㄨㄟˋ zuì（09631）</t>
  </si>
  <si>
    <t>左</t>
  </si>
  <si>
    <t>ㄗㄨㄛˇ</t>
  </si>
  <si>
    <t>zuǒ</t>
  </si>
  <si>
    <t>[動]
1.輔佐。《說文解字．左部》：「手相左也。」《易經．泰卦．象曰》：「輔相天地之宜，以左右民。」
2.違背。如：「意見相左」。唐．韓愈〈答竇秀才書〉：「身勤而事左，辭重而請約，非計之得也。」
[名]
1.表示方向、位置。與「右」相對。如：「向左轉」、「前後左右」。
2.東方。如：「江左」、「山左」。《詩經．唐風．有杕之杜》：「有杕之杜，生于道左。」
3.姓。如晉代有左思。
[形]
1.左手這邊的。相對於「右」。如：「左方」、「左面」。
2.急進的、偏激的。如：「左派」、「左性子」。
3.不正當的。如：「旁門左道」。
[副]
1.參見「左計」條。
2.參見「左遷」條。
3.偏、差錯。如：「你想左了。」、「他說左了。」</t>
  </si>
  <si>
    <t>佐</t>
  </si>
  <si>
    <t>[動]
1.輔助。如：「輔佐」、「佐理」。《左傳．襄公十三年》：「使趙武將上軍，韓起佐之。」
2.勸飲、配食。《國語．晉語九》：「召之，使佐食。比已食，三歎。」三國吳．韋昭．注：「佐，猶勸也。」《漢書．卷一．高帝紀下》：「置酒沛宮，悉召故人父老子弟佐酒。」顏師古注引應劭曰：「佐，助行酒。」
[名]
輔助的人員。如：「縣佐」、「軍佐」、「郵務佐」。
[形]
副的。《禮記．少儀》：「乘貳車則式，佐車則否。」</t>
  </si>
  <si>
    <t>[名]
量詞。計算成叢的毛髮或野草等的單位。如：「一撮頭髮」。</t>
  </si>
  <si>
    <t>(一)ㄘㄨㄛ cuō（09841）(二)（(一)之又音）ㄘㄨㄛˋ cuò（09860）(三)ㄗㄨㄛˊ zuó（09606）(五)ㄗㄨㄟˋ zuì（09631）</t>
  </si>
  <si>
    <t>ㄗㄨㄛˋ</t>
  </si>
  <si>
    <t>zuò</t>
  </si>
  <si>
    <t>[動]
1.興起、振起。《說文解字．人部》：「作，起也。」如：「興風作浪」。《易經．乾卦．九五》：「雲從龍，風從虎，聖人作而萬物睹。」《左傳．莊公十年》：「一鼓作氣，再而衰，三而竭。」
2.造就、培育。如：「天作之合」。《書經．康誥》：「亦惟助王宅天命，作新民。」
3.創作。如：「寫作」、「作畫」、「作詩」。《論語．述而》：「述而不作，信而好古。」
4.進行、舉行。如：「作戰」、「作簡報」。
5.為、當。如：「認賊作父」。
6.假裝。如：「裝腔作勢」、「裝模作樣」。
7.進行某事。同「做」。如：「作媒」、「作證」、「作事」。
8.成為。同「做」。如：「作人」、「作官」。
9.製造。唐．秦韜玉〈貧女〉詩：「苦恨年年壓金線，為他人作嫁衣裳。」
[名]
1.事業。如：「工作」。《禮記．緇衣》：「毋以小謀敗大作，毋以嬖御人疾莊后。」
2.詩文書畫與藝術品稱為「作」。如：「傑作」、「佳作」、「名作」。</t>
  </si>
  <si>
    <t>(二)ㄗㄨㄛ zuō（09600）(三)ㄗㄨㄛˊ zuó（09602）</t>
  </si>
  <si>
    <t>怍</t>
  </si>
  <si>
    <t>[動]
1.慚愧。如：「愧怍」。《孟子．盡心上》：「仰不愧於天，俯不怍於人。」
2.面色改變。《管子．弟子職》：「危坐鄉師，顏色毋怍。」《宋書．卷六九．范曄傳》：「仍以手擊曄頸及頰，曄顏色不怍。」</t>
  </si>
  <si>
    <t>阼</t>
  </si>
  <si>
    <t>[名]
1.古代廳堂前東面的臺階，為主人迎接賓客的地方。《集韻．入聲．鐸韻》：「阼，東階。」唐．杜甫〈朝享太廟賦〉：「階有賓阼，帳有甲乙。」
2.帝位、王位。如：「踐阼」。《禮記．文王世子》：「成王幼，不能蒞阼。」
3.祭肉。通「胙」。《儀禮．特牲饋食禮》：「祝命徹阼俎、豆籩，設于東序下。」</t>
  </si>
  <si>
    <t>[名]
植物名：(1)殼斗科麻櫟屬，「柞樹」之簡稱，參見「柞樹」條。(2)大風子科柞木屬，常綠喬木或灌木，枝光滑，刺腋生。葉寬卵形至橢圓形，圓鈍鋸齒緣。總狀花序腋生；萼片四至六枚，黃綠色，花瓣不存。漿果球形，黑熟。也稱為「柞木」。</t>
  </si>
  <si>
    <t>(二)ㄗㄜˊ zé（09448）</t>
  </si>
  <si>
    <t>(一)ㄗㄜˊ zé（09449）</t>
  </si>
  <si>
    <t>胙</t>
  </si>
  <si>
    <t>[名]
祭祀所用的肉。《說文解字．肉部》：「胙，祭福肉也。」
[動]
1.降福。《國語．周語下》：「天地所胙，小而後國。」《漢書．卷一〇〇．敘傳下》：「德薄位尊，非胙惟殃。」
2.酬答。《左傳．隱公八年》：「胙之土而命之氏。」《北周．庾信．哀江南賦》：「分南陽而賜田，裂東嶽而胙土。」</t>
  </si>
  <si>
    <t>祚</t>
  </si>
  <si>
    <t>[名]
1.福氣。《文選．李密．陳情表》：「門衰祚薄，晚有兒息。」
2.君位。《史記．卷一六．秦楚之際月表》：「撥亂誅暴，平定海內，卒踐帝祚，成於漢家。」《文選．班固．東都賦》：「往者王莽作逆，漢祚中缺。」
3.年歲。三國魏．曹植〈正會詩〉：「初歲元祚，吉日惟良。」《晉書．卷九二．文苑傳．王沈傳》：「彈琴詠典，以保年祚。」
[動]
1.福佑。《左傳．宣公三年》：「天祚明德，有所厎止。」《文選．張衡．東京賦》：「神歆馨而顧德，祚靈主以元吉。」
2.獎賞。漢．蔡邕〈太尉楊賜碑〉：「申僃九錫，以祚其庸。」</t>
  </si>
  <si>
    <t>酢</t>
  </si>
  <si>
    <t>[動]
1.客人以酒回敬主人。如：「酬酢」。《詩經．大雅．行葦》：「或獻或酢，洗爵奠斝。」
2.應答。宋．陸游〈書感〉詩：「對客輒坐睡，有問莫能酢。」</t>
  </si>
  <si>
    <t>(二)ㄘㄨˋ cù（09820）</t>
  </si>
  <si>
    <t>葄</t>
  </si>
  <si>
    <t>[動]
藉、枕。《新唐書．卷一五〇．李揆傳》：「而迂學陋生，葄枕圖史，且不能自措于詞。」</t>
  </si>
  <si>
    <t>坐</t>
  </si>
  <si>
    <t>[動]
1.彎曲下肢，將臀部附著在座位上休息。與站相對。如：「坐下」、「坐在椅子上」。
2.古人席地而坐時兩膝著地，故亦稱跪為「坐」。《禮記．玉藻》：「退則坐取屨。」唐．孔穎達．正義：「坐，跪也。」
3.居、處。如：「坐落」、「坐北朝南」、「坐二望一」。
4.搭乘。如：「坐車」、「坐船」。
5.干犯。如：「坐法當死」。
6.處斷、定罪。如：「連坐」、「坐死」。《韓非子．定法》：「公孫鞅之治秦也，設告相坐而責其實。」《隋書．卷八三．西域傳．吐谷渾傳》：「殺人及盜馬者死，餘坐則徵物以贖罪。」
7.北平、河北、天津方言。指物體重心極力向下壓。如：「這房子向下坐了。」
8.蒞臨。參見「坐殿」、「坐堂」等條。
[名]
席位。通「座」。《三國志．卷二一．魏書．王粲傳》：「時邕才學顯著，貴重朝廷，常車騎填巷，賓客盈坐。」
[副]
1.堅守不去。參見「坐鎮」、「坐索」等條。
2.比喻平白的、不勞而獲的。如：「坐享其成」、「坐收漁利」。
[介]
因為。《後漢書．卷二四．馬援傳》：「曾祖父通，以功封重合侯，坐兄何羅反，被誅。」唐．杜牧〈山行〉：「停車坐愛楓林晚，霜葉紅於二月花。」</t>
  </si>
  <si>
    <t>座</t>
  </si>
  <si>
    <t>[名]
1.位子、席位。如：「讓座」、「入座」、「高朋滿座」。
2.器物的托架。如：「瓶座」、「鐘座」、「香爐座」。也稱為「座子」。
3.星座。如：「獅子座」、「獵戶座」。
4.量詞。計算有底座或大型物體的單位。如：「一座山」、「兩座鐘」、「三座樓房」。</t>
  </si>
  <si>
    <t>做</t>
  </si>
  <si>
    <t>[動]
1.成為。如：「做人」、「做官」。
2.進行某事。如：「做生意」、「做實驗」、「做事」。
3.舉辦。如：「做生日」、「做滿月」、「做週年」。
4.製造。如：「做衣服」、「做鞋子」。
5.假裝。《水滸傳》第三五回：「宋江教分作三起下山，只做去收捕梁山泊的官軍。」</t>
  </si>
  <si>
    <t>醋</t>
  </si>
  <si>
    <t>[動]
客人以酒回敬主人。「酢」的本字。《說文解字．酉部》：「醋，客酌主人也。」清．段玉裁．注：「諸經多以酢為醋；唯禮經尚仍其舊，後人醋、酢互易。」《儀禮．特牲饋食禮》：「祝酌授尸，尸以醋主人。」</t>
  </si>
  <si>
    <t>(一)ㄘㄨˋ cù（09824）</t>
  </si>
  <si>
    <t>[名]
1.穿孔或挖削用的工具。漢．王充《論衡．效力》：「鑿所以入木者，槌叩之也。」也稱為「鑿子」。
2.器物上可鑲嵌東西的下凹部分。參見「枘鑿」條。
[動]
1.挖掘，將器物打洞穿通。如：「鑿壁借光」。《管子．輕重戊》：「疏三江，鑿五湖。」唐．李白〈丁督護歌〉：「萬人鑿盤石，無由達江滸。」
2.牽強附會而求合於義理。如：「穿鑿附會」。
[形]
確實。如：「罪證確鑿」、「確鑿不移」。</t>
  </si>
  <si>
    <t>(二)（語音）ㄗㄠˊ záo（09491）</t>
  </si>
  <si>
    <t>脧</t>
  </si>
  <si>
    <t>ㄗㄨㄟ</t>
  </si>
  <si>
    <t>zuī</t>
  </si>
  <si>
    <t>[名]
小男孩的生殖器。《說文解字．肉部》：「脧，赤子陰也。」</t>
  </si>
  <si>
    <t>羧</t>
  </si>
  <si>
    <t>[名]_x000D_
毛織品。《後漢書．卷八六．南蠻西南夷傳．西南夷傳》：「其人能作旄氈、班罽、青頓、毞毲、羊羧之屬。」</t>
  </si>
  <si>
    <t>ㄗㄨㄟˇ</t>
  </si>
  <si>
    <t>zuǐ</t>
  </si>
  <si>
    <t>[名]
1.鳥嘴。通「嘴」。《廣韻．上聲．紙韻》：「觜，喙也。」《文選．張衡．東京賦》：「秦政利觜長距，終得擅場。」三國吳．薛綜．注：「喻七雄為鬥雞，利喙長距者，終擅一長也。」唐．李白〈壁畫蒼鷹讚〉：「觜銛劍戟，爪握刀錐。」
2.泛指人、獸或器物的口。通「嘴」。《南齊書．卷三四．劉休傳》：「覆背騰其喉脣，武人厲其觜吻。」《元史．卷七九．輿服志二》：「水瓶，制如湯瓶，有蓋，有提，有觜，銀為之，塗以黃金。」</t>
  </si>
  <si>
    <t>(一)ㄗ zī（09398）</t>
  </si>
  <si>
    <t>嘴</t>
  </si>
  <si>
    <t>[名]
1.本指鳥口。後泛指人與動物的口。如：「張嘴」、「閉嘴」。《西遊記》第六回：「（三郎）又變了一隻朱繡頂的灰鶴，伸著一個長嘴，與一把尖頭鐵鉗子相似，徑來喫這水蛇。」
2.器物上形狀或功能像嘴的部位。如：「瓶嘴」、「茶壺嘴」、「煙嘴」。
3.突出如口的地形。如：「山嘴」、「沙嘴」。
4.比喻說話。如：「貧嘴」、「多嘴」、「插嘴」。</t>
  </si>
  <si>
    <t>嶊</t>
  </si>
  <si>
    <t>[形]
嶊嶉：崇高的樣子。《漢書．卷八七．揚雄傳上》：「於是大夏雲譎波詭，嶊嶉而成觀。」</t>
  </si>
  <si>
    <t>ㄗㄨㄟˋ</t>
  </si>
  <si>
    <t>zuì</t>
  </si>
  <si>
    <t>[副]
極。通「最」。《說文解字．冖部》「冣」字．清．段玉裁．注：「冣與最音義皆別……至乎南北朝冣最不分。」</t>
  </si>
  <si>
    <t>(一)ㄐㄩˋ jù（06049）</t>
  </si>
  <si>
    <t>最</t>
  </si>
  <si>
    <t>[副]
1.至極。如：「最好」、「最大」、「最美」。《史記．卷一二六．滑稽傳．褚少孫補西門豹傳》：「三子之才能誰最賢哉？辨治者當能別之。」
2.凡、總計。《史記．卷五七．絳侯周勃世家》：「最從高帝得相國一人，丞相二人，將軍、二千石各三人。」漢．王符《潛夫論．實貢》：「最其行能，多不及中。」
[名]
菁華，居首要性的人或物。唐．司馬札〈賣花者〉詩：「長安甲第多，處處花堪愛，良金不惜費，競取園中最。」明．湯顯祖《牡丹亭》第二齣：「河東舊族，柳氏名門最。」
[動]
聚合。宋．陸游〈澹齋居士詩序〉：「最其詩，得三卷，屬某為序。」</t>
  </si>
  <si>
    <t>參見「會撮」條。</t>
  </si>
  <si>
    <t>(一)ㄘㄨㄛ cuō（09841）(二)（(一)之又音）ㄘㄨㄛˋ cuò（09860）(三)ㄗㄨㄛˊ zuó（09606）(四)ㄗㄨㄛˇ zuǒ（09609）</t>
  </si>
  <si>
    <t>蕞</t>
  </si>
  <si>
    <t>[形]
小。《廣韻．去聲．泰韻》：「蕞，小貌。」《左傳．昭公七年》：「鄭雖無腆，抑諺曰蕞爾國，而三世執其政柄。」</t>
  </si>
  <si>
    <t>晬</t>
  </si>
  <si>
    <t>[名]
小孩出生後滿一周歲稱為「晬」。《集韻．去聲．隊韻》：「晬，子生一歲也。」《遼史．卷一．太祖本紀上》：「三月能行，晬而能言，知未然事。」</t>
  </si>
  <si>
    <t>醉</t>
  </si>
  <si>
    <t>[動]
1.飲酒過量以致神志不清。如：「不醉不歸」。南朝梁．蕭統〈陶淵明傳〉：「淵明若先醉，便語客：『我醉欲眠，卿可去。』」
2.沉迷、迷戀。如：「沉醉」、「心醉」、「陶醉」。
[形]
1.喝酒過多而神志模糊的樣子。如：「醉漢」、「爛醉如泥」。
2.用酒浸漬的。如：「醉蝦」、「醉雞」。《儒林外史》第二八回：「堂官上來問菜，季恬逸點了一賣肘子、一賣板鴨、一賣醉白魚。」</t>
  </si>
  <si>
    <t>罪</t>
  </si>
  <si>
    <t>[名]
1.過失。如：「將功贖罪」、「戴罪立功」。《史記．卷七．項羽本紀》：「此天之亡我，非戰之罪也。」
2.犯法的行為。如：「犯罪」、「俯首認罪」。《易經．解卦．象曰》：「雷雨作解，君子以赦過宥罪。」
3.苦痛、苦難。如：「活受罪」、「受不了這個罪！」
4.刑罰。如：「死罪可免，活罪難逃。」《史記．卷八．高祖本紀》：「殺人者死，傷人及盜抵罪！」
[動]
歸咎、責備。如：「歸罪」、「怪罪」。《左傳．莊公十一年》：「禹、湯罪己，其興也悖焉；桀、紂罪人，其亡也忽焉。」《孟子．滕文公下》：「罪我者，其惟春秋乎！」</t>
  </si>
  <si>
    <t>檇</t>
  </si>
  <si>
    <t>[動]
以棒擣物。《說文解字．木部》：「檇，以木有所擣也。」</t>
  </si>
  <si>
    <t>(一)ㄐㄩㄝˊ jué（06103）</t>
  </si>
  <si>
    <t>躦</t>
  </si>
  <si>
    <t>ㄗㄨㄢ</t>
  </si>
  <si>
    <t>zuān</t>
  </si>
  <si>
    <t>同「鑽」。</t>
  </si>
  <si>
    <t>鑽</t>
  </si>
  <si>
    <t>[動]
1.以鑽子之類的器具在物體旋轉穿洞。如：「鑽洞」、「鑽孔」。《論語．陽貨》：「鑽燧改火，期可已矣。」
2.穿行、穿進。如：「鑽山洞」、「鑽煙囪」。宋．蘇軾〈戲贈虔州慈雲寺鑑老〉詩：「窗間但見蠅鑽紙，門外惟聞佛放光。」
3.攀附以求進身。《文選．班固．答賓戲》：「商鞅挾三術以鑽孝公。」
4.深入研究。如：「鑽研」。《論語．子罕》：「仰之彌高，鑽之彌堅。」
5.尋找、尋探。如：「你還真會鑽，連這種小地方也找得到。」</t>
  </si>
  <si>
    <t>(二)（(一)之又音）ㄗㄨㄢˇ zuǎn（09643）(三)ㄗㄨㄢˋ zuàn（09647）</t>
  </si>
  <si>
    <t>ㄗㄨㄢˇ</t>
  </si>
  <si>
    <t>zuǎn</t>
  </si>
  <si>
    <t>[動]
蒐集、編輯。通「纂」。《新唐書．卷一九九．儒學傳中．路敬淳傳》：「數受詔篹輯慶卹儀典，武后稱之。」
[名]
(二)[名]之又音。</t>
  </si>
  <si>
    <t>(一)ㄓㄨㄢˋ zhuàn（08104）(二)ㄙㄨㄢˇ suǎn（10178）</t>
  </si>
  <si>
    <t>纂</t>
  </si>
  <si>
    <t>[名]
1.紅色的絲帶。《說文解字．糸部》：「纂，似組而赤。」清．段玉裁．注：「按：組之色不同，似組而赤者則謂之纂。」
2.婦女梳在頭後的髮髻。通「䰖」。如：「她頭上綰個纂。」
[動]
1.編輯。《晉書．卷三〇．刑法志》：「時雖有蠲革，而舊律繁蕪，未經纂集。」唐．白居易〈與元九書〉：「今且各纂詩律，麤為卷第。」
2.匯聚、招集。《晉書．卷一〇四．石勒載記上》：「勒纂兵戒期，將襲浚。」
3.繼承。通「纘」。《禮記．祭統》：「獻公乃命成叔，纂乃祖服。」《文選．張衡．東京賦》：「且夫挈缾之智，守不假器，況纂帝業而輕天位。」</t>
  </si>
  <si>
    <t>纘</t>
  </si>
  <si>
    <t>[動]
繼承。《書經．仲虺之誥》：「表正萬邦，纘禹舊服。」唐．孔安國．傳：「繼禹之功，統其故服。」《禮記．中庸》：「武王纘大王、王季、文王之緒。」</t>
  </si>
  <si>
    <t>(一)ㄗㄨㄢ zuān（09639）(三)ㄗㄨㄢˋ zuàn（09647）</t>
  </si>
  <si>
    <t>[名]
婦女梳在頭後的髮髻。《紅樓夢》第二四回：「（那丫頭）倒是一頭黑鬒鬒的好頭髮，挽著個䰖。」</t>
  </si>
  <si>
    <t>(二)ㄗㄢˇ tzǎn（09547）</t>
  </si>
  <si>
    <t>ㄗㄨㄢˋ</t>
  </si>
  <si>
    <t>zuàn</t>
  </si>
  <si>
    <t>[動]
詐騙、哄騙。如：「賺人」。元．關漢卿《竇娥冤》第一折：「他賺我到無人去處，行起凶來。」《水滸傳》第三回：「史進道：『如何使得！恁地時，是我賺你們來，捉你請賞。枉惹天下人笑我！』」</t>
  </si>
  <si>
    <t>(一)ㄓㄨㄢˋ zhuàn（08105）</t>
  </si>
  <si>
    <t>攥</t>
  </si>
  <si>
    <t>[動]
握住。如：「攥緊拳頭」。《紅樓夢》第七七回：「一把死攥住他的手，哽咽了半日。」</t>
  </si>
  <si>
    <t>[名]
1.金剛石。明．張自烈《正字通．金部》：「鑽，金剛鑽。」如：「鑽石」。
2.穿孔的器具。如：「電鑽」。
3.姓。如戰國時有鑽茶。</t>
  </si>
  <si>
    <t>(一)ㄗㄨㄢ zuān（09639）(二)（(一)之又音）ㄗㄨㄢˇ zuǎn（09643）</t>
  </si>
  <si>
    <t>尊</t>
  </si>
  <si>
    <t>ㄗㄨㄣ</t>
  </si>
  <si>
    <t>zūn</t>
  </si>
  <si>
    <t>[名]
1.酒器。《廣韻．平聲．魂韻》：「尊，《說文》曰：『酒器也。』」《周禮．春官．小宗伯》：「辨六尊之名物，以待祭祀賓客。」
2.對長輩的敬稱。如：「尊長」。北齊．顏之推《顏氏家訓．風操》：「凡宗親世數，有從父，有從祖，有族祖。江南風俗，自茲已往，高秩者，通呼為尊。」
3.量詞。計算大炮或神像的單位。如：「十尊大炮」、「五尊神像」。
[動]
敬重。如：「尊敬」、「尊師重道」。《禮記．曲禮上》：「禮者自卑而尊人。」
[形]
1.稱人的敬辭，通常加在與對方有關的人事物上。如：「尊體」、「尊囑」、「尊夫人」、「尊姓大名」。
2.高。《易經．繫辭上》：「天尊地卑，乾坤定矣。」
3.顯貴的。如：「尊貴」。《禮記．曲禮上》：「尊客之前不叱狗。」</t>
  </si>
  <si>
    <t>嶟</t>
  </si>
  <si>
    <t>[形]
山勢高峻、陡峭。《集韻．平聲．魂韻》：「嶟，山高貌。」</t>
  </si>
  <si>
    <t>遵</t>
  </si>
  <si>
    <t>[動]
1.順著、循著。《楚辭．屈原．九章．哀郢》：「去故鄉而就遠兮，遵江夏以流亡。」《文選．陸機．文賦》：「遵四時以歎逝，瞻萬物而思紛。」
2.依照。如：「遵命」。《書經．洪範》：「無偏無陂，遵王之義。」《史記．卷四．周本紀》：「西伯曰文王，遵后稷、公劉之業，則古公、公季之法。」</t>
  </si>
  <si>
    <t>樽</t>
  </si>
  <si>
    <t>[名]
酒器。《玉篇．木部》：「樽，酒器也。」《文選．陶淵明．歸去來辭》：「攜幼入室，有酒盈樽。」</t>
  </si>
  <si>
    <t>繜</t>
  </si>
  <si>
    <t>[名]
古代婦女所穿的小衣。《說文解字．糸部》：「繜，薉貉中女子無褲，以帛為脛空，用絮補核名曰繜衣，狀如襜褕。」</t>
  </si>
  <si>
    <t>(二)ㄗㄨㄣˇ zǔn（09657）</t>
  </si>
  <si>
    <t>鐏</t>
  </si>
  <si>
    <t>[名]
戈柄下端銅製的圓錐形部分。《說文解字．金部》：「鐏，柲下銅也。」《新唐書．卷一二五．張說傳》：「是猶倒持劍戟，示人鐏柄，臣竊為陛下不取。」</t>
  </si>
  <si>
    <t>僔</t>
  </si>
  <si>
    <t>ㄗㄨㄣˇ</t>
  </si>
  <si>
    <t>zǔn</t>
  </si>
  <si>
    <t>[動]
聚集。《說文解字．人部》：「僔，聚也。……《詩》曰：『僔沓背憎。』」</t>
  </si>
  <si>
    <t>撙</t>
  </si>
  <si>
    <t>[動]
1.節省、縮減。如：「撙節開支」。《管子．五輔》：「節飲食，撙衣服，則財用足。」
2.抑制、壓制。《禮記．曲禮上》：「君子恭敬撙節，退讓以明禮。」《荀子．儒效》：「然不然之情，以相薦撙，以相恥怍，君子不若惠施、鄧析。」</t>
  </si>
  <si>
    <t>噂</t>
  </si>
  <si>
    <t>[動]
聚在一起說話。《說文解字．口部》：「噂，聚語也。」《詩經．小雅．十月之交》：「噂沓背憎，職競由人。」</t>
  </si>
  <si>
    <t>[動]
折損、抑制。通「撙」。《荀子．不苟》：「君子能則寬容易直以開道人，不能則恭敬繜絀以畏事人。」唐．楊倞．注：「繜與撙同，絀與黜同，謂自撙節貶損。」</t>
  </si>
  <si>
    <t>(一)ㄗㄨㄣ zūn（09652）</t>
  </si>
  <si>
    <t>ㄗㄨㄣˋ</t>
  </si>
  <si>
    <t>zùn</t>
  </si>
  <si>
    <t>[名]
閩粵方言。指灌溉用的水渠。如：「八堡圳」、「嘉南大圳」。</t>
  </si>
  <si>
    <t>(二)（(一)之又音）ㄔㄡˊ chóu（08321）(三)ㄓㄣˋ zhèn（07857）</t>
  </si>
  <si>
    <t>捘</t>
  </si>
  <si>
    <t>[動]
1.推擠。《左傳．定公八年》：「將歃，涉佗捘衛侯之手及捥。」
2.按、捏。《文選．馬融．長笛賦》：「挼拏捘臧，遞相乘邅。」《聊齋志異．卷二．嬰寧》：「生扶之，陰捘其腕。」</t>
  </si>
  <si>
    <t>鱒</t>
  </si>
  <si>
    <t>[名]
動物名。脊椎動物亞門硬骨魚類條鰭亞綱鮭目。似鯶而小，鱗細，鱗後有一小黑斑，背濃藍，腹白，體長者至二尺餘，為冷水性魚種。</t>
  </si>
  <si>
    <t>宗</t>
  </si>
  <si>
    <t>ㄗㄨㄥ</t>
  </si>
  <si>
    <t>zōng</t>
  </si>
  <si>
    <t>[名]
1.祖廟。《左傳．成公三年》：「首其請於寡君而以戮於宗。」
2.祖先。如：「列祖列宗」、「祖宗」。
3.家族。《左傳．僖公五年》：「晉吾宗也，豈害我哉？」南朝宋．劉義慶《世說新語．規箴》：「卿一宗在朝有幾人？」
4.根本、主旨。《國語．晉語四》：「禮賓矜窮，禮之宗也。」《老子》第四章：「淵兮似萬物之宗。」
5.派別。宋．嚴羽《滄浪詩話．詩辨》：「禪家者流，乘有大小，宗有南北，道有邪正。」
6.古代諸侯朝見天子的禮節。《周禮．春官．大宗伯》：「春見曰朝，夏見曰宗。」
7.量詞。計算交易或事物數量的單位。如：「一宗買賣」、「數宗公文」。《儒林外史》第四七回：「方六老爺拿手一宗一宗的指著說與他聽。」
8.姓。如宋代有宗澤。
[動]
尊崇、效法。《詩經．大雅．公劉》：「食之飲之，君之宗之。」《後漢書．卷一一．劉盆子傳》：「崇雖起勇力而為眾所宗，然不知書數。」
[形]
1.同姓的。如：「宗兄」、「宗弟」。
2.主要的。如：「宗旨」。</t>
  </si>
  <si>
    <t>倧</t>
  </si>
  <si>
    <t>參見「估倧」條。</t>
  </si>
  <si>
    <t>棕</t>
  </si>
  <si>
    <t>1.像棕毛一樣的顏色。
2.參見「棕櫚」條。</t>
  </si>
  <si>
    <t>鬃</t>
  </si>
  <si>
    <t>[名]
1.高髻。《玉篇．髟部》：「鬃，高髻貌。」
2.獸類頸上的毛。如：「馬鬃」、「豬鬃」。</t>
  </si>
  <si>
    <t>從</t>
  </si>
  <si>
    <t>[名]_x000D_
蹤跡。同「蹤」。《史記．卷八六．刺客列傳．聶政》：「今乃以妾尚在之故，重自刑以絕從。」《漢書．卷五九．張湯傳》：「上問：『變事從跡安起？』湯陽驚曰：『此殆文故人怨之。』」</t>
  </si>
  <si>
    <t>(一)ㄘㄨㄥˊ cóng（09928）(二)ㄗㄨㄥˋ zòng（09680）(三)ㄘㄨㄥ cōng（09918）</t>
  </si>
  <si>
    <t>嵷</t>
  </si>
  <si>
    <t>[形]
山勢高峻。《文選．潘岳．西征賦》：「九嵕巀嶭，太一巃嵷。」</t>
  </si>
  <si>
    <t>縱</t>
  </si>
  <si>
    <t>[名]
1.直的線、面，南北稱為「縱」。同「從」。《楚辭．東方朔．七諫．沈江》：「不開寤而難道兮，不別橫之與縱。」
2.足跡、形影。同「蹤」。唐．李白〈估客行〉：「譬如雲中鳥，一去無縱跡。」</t>
  </si>
  <si>
    <t>(一)ㄗㄨㄥˋ zòng（09682）(三)ㄗㄨㄥˇ zǒng（09679）</t>
  </si>
  <si>
    <t>豵</t>
  </si>
  <si>
    <t>[名]
出生六個月的小豬。《說文解字．豕部》：「豵，生六月豚。」</t>
  </si>
  <si>
    <t>蹤</t>
  </si>
  <si>
    <t>[名]
足跡。《漢書．卷八七．揚雄傳上》：「軼五帝之遐跡兮，躡三皇之高蹤。」唐．李白〈謁老君廟〉詩：「草合人蹤斷，塵濃鳥跡深。」
[動]
追隨。《晉書．卷一〇三．劉曜載記》：「義孫年長明德，又先世子也，朕欲遠追周文，近蹤光武，使宗廟有太山之安。」《新唐書．卷一二〇．桓彥範傳》：「如普思等方伎猥下，安足繼蹤前烈。」</t>
  </si>
  <si>
    <t>惾</t>
  </si>
  <si>
    <t>[動]
堵塞不通。《莊子．天地》：「五臭薰鼻，困惾中顙。」唐．成玄英．疏：「惾，塞也。言鼻耽五臭，故壅塞不通，而中傷顙額。」</t>
  </si>
  <si>
    <t>鬷</t>
  </si>
  <si>
    <t>[名]
1.釜類的器皿。《說文解字．鬲部》：「鬷，鬴屬。」
2.姓。如春秋時鄭國有鬷蔑。
[動]
聚集。《詩經．陳風．東門之枌》：「穀旦于逝，越以鬷邁。」唐．張說〈弔國殤文〉：「鬷六校之飛將，鎮五營之勁卒。」</t>
  </si>
  <si>
    <t>鬉</t>
  </si>
  <si>
    <t>[形]
毛髮雜亂。《玉篇．髟部》：「鬉，毛亂也。」《集韻．平聲．東韻》：「鬉，髮亂。」
[名]
走獸頸上的毛。唐．李白〈結客少年場行〉：「紫燕黃金瞳，啾啾搖綠鬉。」</t>
  </si>
  <si>
    <t>騣</t>
  </si>
  <si>
    <t>[名]
1.馬冠。《玉篇．馬部》：「騣，金騣，馬冠也。」
2.馬頸上的長毛。同「鬃」。南朝梁．簡文帝〈豔歌行〉二首之一：「金鞍隨繫尾，銜巢映纏騣。」</t>
  </si>
  <si>
    <t>緫</t>
  </si>
  <si>
    <t>[名]
量詞。計算絲的單位。《詩經．召南．羔羊》：「羔羊之縫，素絲五緫。」</t>
  </si>
  <si>
    <t>(二)ㄘㄨㄥ cōng（09912）(三)ㄗㄨㄥˇ zǒng（▲09678）</t>
  </si>
  <si>
    <t>傯</t>
  </si>
  <si>
    <t>ㄗㄨㄥˇ</t>
  </si>
  <si>
    <t>zǒng</t>
  </si>
  <si>
    <t>憁</t>
  </si>
  <si>
    <t>參見「悾憁」、「憁恫」等條。</t>
  </si>
  <si>
    <t>摠</t>
  </si>
  <si>
    <t>同「總」。《集韻．上聲．董韻》：「總，《說文》：聚束也；一曰皆也。或從手，古作摠。」</t>
  </si>
  <si>
    <t>總</t>
  </si>
  <si>
    <t>[動]_x000D_
1.聚合。《淮南子．精神》：「夫天地運而相通，萬物總而為一。」南朝梁．劉勰《文心雕龍．奏啟》：「治繁總要，此其體也。」_x000D_
2.繫結。《楚辭．屈原．離騷》：「飲余馬於成池兮，總余轡乎扶桑。」_x000D_
[形]_x000D_
統括、全部的。如：「總額」、「總綱」、「總店」、「總司令」。_x000D_
[副]_x000D_
1.都。宋．朱熹〈春日〉詩：「等閒識得東風面，萬紫千紅總是春。」_x000D_
2.一直、一向。如：「他總不聽話！」_x000D_
3.終究。如：「不管怎麼說，他總不答應。」_x000D_
4.全面、全部。如：「總動員」、「總複習」。</t>
  </si>
  <si>
    <t>參見「縱縱」、「縱臾」等條。</t>
  </si>
  <si>
    <t>(一)ㄗㄨㄥˋ zòng（09682）(二)ㄗㄨㄥ zōng（09667）</t>
  </si>
  <si>
    <t>ㄗㄨㄥˋ</t>
  </si>
  <si>
    <t>zòng</t>
  </si>
  <si>
    <t>[名]
隨侍的人。如：「侍從」、「僕從」。
[形]
1.堂房親屬中比至親稍疏的。如：「從兄弟」、「從伯叔」。
2.附屬的、次要的。如：「從犯」、「從吏」。《魏書．卷一一三．官氏志》：「前世職次皆無從品，魏氏始置之。」</t>
  </si>
  <si>
    <t>(一)ㄘㄨㄥˊ cóng（09928）(三)ㄘㄨㄥ cōng（09918）(四)ㄗㄨㄥ zōng（09665）</t>
  </si>
  <si>
    <t>瘲</t>
  </si>
  <si>
    <t>[動]
1.釋放。如：「縱虎歸山」。《左傳．僖公三十三年》：「吾聞一日縱敵，數世之患也。」《三國志．卷一．魏書．武帝紀》：「劉備不可縱。」
2.施放。《史記．卷一．五帝本紀》：「瞽叟從下縱火焚廩。」
3.不加拘束。《楚辭．屈原．離騷》：「啟九辯與九歌兮，夏康娛以自縱。」宋．蘇軾〈赤壁賦〉：「縱一葦之所如，凌萬頃之茫然。」
4.身體往上跳。漢．王充《論衡．道虛》：「若士者舉臂而縱身，遂入雲中。」
[連]
即使。如：「縱然」、「縱使」。《史記．卷七．項羽本紀》：「縱江東父兄憐而王我，我何面目見之？」</t>
  </si>
  <si>
    <t>(二)ㄗㄨㄥ zōng（09667）(三)ㄗㄨㄥˇ zǒng（09679）</t>
  </si>
  <si>
    <t>[名]
用竹葉等包裹糯米和作料，蒸煮熟的角形食品。俗稱為「粽子」。通常在端午節時包食。如：「鹼粽」、「鹹粽」。也稱為「角黍」。</t>
  </si>
  <si>
    <t>(二)（又音）ㄓㄨㄥˋ zhòng（08155）</t>
  </si>
  <si>
    <t>綜</t>
  </si>
  <si>
    <t>[名]
織布機上，使經緯線交織的裝置。《說文解字．糸部》：「綜，機縷也。」唐．虞世南〈中婦織流黃〉詩：「綜新交縷澀，經脆斷絲多。」
[動]
1.總合、聚集。《易經．繫辭上》：「參伍以變，錯綜其數。」南朝梁．劉勰《文心雕龍．情采》：「若乃綜述性靈，敷寫器象。」
2.治理。晉．桓溫〈上疏陳便宜七事〉：「古以九卿綜事，不專尚書。」北齊．顏之推《顏氏家訓．省事》：「近世有兩人，朗悟士也，性多營綜。」</t>
  </si>
  <si>
    <t>呲</t>
  </si>
  <si>
    <t>ㄘ</t>
  </si>
  <si>
    <t>cī</t>
  </si>
  <si>
    <t>[動]
斥責。參見「挨呲」條。</t>
  </si>
  <si>
    <t>疵</t>
  </si>
  <si>
    <t>[名]
毛病、缺點。如：「吹毛求疵」、「瑕疵」。《韓非子．大體》：「不逆天理，不傷情性；不吹毛而求小疵。」
[動]
苛求、責備。《荀子．不苟》：「正義直指，舉人之過，非毀疵也。」《漢書．卷七〇．陳湯傳》：「論大功者不錄小過；舉大美者不疵細瑕。」</t>
  </si>
  <si>
    <t>(二)（又音）ㄘˊ cí（09699）</t>
  </si>
  <si>
    <t>跐</t>
  </si>
  <si>
    <t>[動]
腳下滑動而使身體傾跌。《七俠五義》第五一回：「腳下一跐，也就溜下去了。」</t>
  </si>
  <si>
    <t>(一)ㄘˇ cǐ（09710）(二)ㄘㄞˇ cǎi（09747）</t>
  </si>
  <si>
    <t>雌</t>
  </si>
  <si>
    <t>[名]
1.母鳥。《說文解字．隹部》：「雌，鳥母也。」《詩經．小雅．小弁》：「雉之朝雊，尚求其雌。」
2.特稱女性。唐．李白〈雙燕離〉詩：「憔悴一身在，孀雌憶故雄。」
3.形容聲音柔細。唐．韓愈〈病中贈張十八〉詩：「雌聲吐款要，酒壺綴羊腔。」宋．陸游《老學庵筆記》卷七：「韓魏公聲雌，文潞公步碎。」
[形]
1.陰性的、母的。與「雄」相對。如：「雌雄」、「雌蕊」、「雌兔」。
2.柔弱的。《淮南子．原道》：「是故聖人守清道而抱雌節。」漢．高誘．注：「雌，柔弱也。」
[動]
通「齜」。參見「雌牙露嘴」條。</t>
  </si>
  <si>
    <t>(二)（又音）ㄘˊ cí（09700）</t>
  </si>
  <si>
    <t>骴</t>
  </si>
  <si>
    <t>[名]
留有腐肉的骸骨。唐．韓愈〈寄崔二十六立之〉詩：「過半黑頭死，陰蟲食枯骴。」《明史．卷三〇九．流賊傳．李自成傳》：「自成兵所至風靡，乃詣米脂祭墓。向為官軍所發，焚棄遺骴，築土封之。」</t>
  </si>
  <si>
    <t>[形]
不整齊、不齊一。如：「參差」、「差互」。
[動]
分別、區分。《荀子．大略》：「列官職，差爵祿，非以尊大夫而已。」《元史．卷七二．呂思誠傳》：「差民戶為三等，均其徭役。」
[名]
等級。《孟子．滕文公上》：「愛無差等，施由親始。」</t>
  </si>
  <si>
    <t>(一)ㄔㄚ chā（08230）(二)ㄔㄚˋ chà（08257）(三)ㄔㄞ chāi（08277）(四)ㄔㄞˋ chài（08287）(六)ㄘㄨㄛ cuō（09833）</t>
  </si>
  <si>
    <t>[名]
鳥獸的殘骨。《集韻．去聲．寘韻》：「骴，鳥獸殘骨。亦作髊。」</t>
  </si>
  <si>
    <t>(二)ㄘㄨㄛ cuō（09838）(三)ㄗˋ zì（09430）</t>
  </si>
  <si>
    <t>參見「恣睢」條。</t>
  </si>
  <si>
    <t>(一)ㄗˋ zì（09422）(二)（(一)之又音）ㄗ zī（09375）</t>
  </si>
  <si>
    <t>祠</t>
  </si>
  <si>
    <t>ㄘˊ</t>
  </si>
  <si>
    <t>cí</t>
  </si>
  <si>
    <t>[名]
1.春天的祭祀。《說文解字．示部》：「祠，春祭曰祠，品物少，多文詞也。」
2.供奉祖先或先賢烈士的地方。如：「祖祠」、「忠烈祠」。《紅樓夢》第五三回：「且說賈珍那邊開了宗祠，著人打掃，收拾供器，請神主。」
[動]
祭祀。《書經．伊訓》：「惟元祀十有二月乙丑，伊尹祠于先王。」《後漢書．卷三．肅宗孝章帝紀》：「戊辰，進幸中山，遣使者祠北嶽。」</t>
  </si>
  <si>
    <t>詞</t>
  </si>
  <si>
    <t>[名]_x000D_
1.語句中具有完整概念，能獨立自由運用，是用來造句的單位。_x000D_
2.代表一個完整觀念的文字或語言。如：「言詞」、「措詞」。_x000D_
3.有組織的或片段的語言文字。如：「歌詞」、「演講詞」。_x000D_
4.文體名。興於唐，盛於宋，主要產生於配合燕樂演唱的歌辭；也有一部分來自詩，樂工加上和聲、泛聲而逐漸形成。句式多長短不一，且須遵守一定的格律限制。如：「唐詩宋詞」。也稱為「長短句」、「詩餘」。_x000D_
5.辯訟的話。通「辭」。如：「挑詞架訟」。《儒林外史》第二四回：「正值向知縣出門，就喊了冤。知縣叫補詞來。」</t>
  </si>
  <si>
    <t>茨</t>
  </si>
  <si>
    <t>[動]
1.用茅草、葦草蓋屋。《說文解字．艸部》：「茨，茅蓋屋。」《新唐書．卷一二四．宋璟傳》：「廣人以竹茅茨屋，多火。」
2.積土填滿。《淮南子．泰族》：「掘其所流而深之，茨其所決而高之。」
[名]
1.用茅草或葦草蓋成的屋頂。《詩經．小雅．莆田》：「曾孫之稼，如茨如梁。」漢．鄭玄．注：「茨，屋蓋也。」《文選．王襃．聖主得賢臣頌》：「生於窮巷之中，長於蓬茨之下。」
2.蒺藜的舊稱。
3.姓。如漢代有茨充。</t>
  </si>
  <si>
    <t>瓷</t>
  </si>
  <si>
    <t>[名]
瓷土的主要成分為長石及石英，經燒製後，質地堅硬細緻、光滑潤澤，呈白色半透明狀，可施以各種彩釉花紋稱為「瓷」。瓷與陶古或混而今有別，瓷質比陶質細緻、堅硬。《集韻．平聲．脂韻》：「瓷，陶器之緻堅者。」《文選．潘岳．笙賦》：「披黃包以授甘，傾縹瓷以酌酃。」
[形]
瓷質的。如：「瓷盤」、「瓷碗」、「瓷杯」。</t>
  </si>
  <si>
    <t>餈</t>
  </si>
  <si>
    <t>[名]
糕餅。《周禮．天官．籩人》：「羞籩之實，糗餌粉餈。」漢．鄭玄．注：「餌、餈皆粉稻米黍米所為也。合蒸曰餌，餅之曰餈。」</t>
  </si>
  <si>
    <t>參見「鳧茈」條。</t>
  </si>
  <si>
    <t>(一)ㄗˇ zǐ（09413）(二)ㄔㄞˊ chái（08279）</t>
  </si>
  <si>
    <t>(一)ㄘ cī（09686）</t>
  </si>
  <si>
    <t>(一)ㄘ cī（09688）</t>
  </si>
  <si>
    <t>(一)ㄗ zī（09389）</t>
  </si>
  <si>
    <t>慈</t>
  </si>
  <si>
    <t>[動]
愛憐。《史記．卷四．周本紀》：「則古公、公季之法，篤仁，敬老，慈少。」
[名]
1.父母對子女的愛稱為「慈」。北齊．顏之推《顏氏家訓．教子》：「父母威嚴而有慈，則子女畏慎而生孝矣。」
2.深篤的愛。《左傳．莊公二十七年》：「夫禮樂慈愛，戰所畜也。」唐．孔穎達．正義：「慈謂愛之深也。」《禮記．曲禮上》：「兄弟親戚稱其慈也，僚友稱其弟也。」
3.稱謂。用以尊稱母親。如：「令慈」、「家慈」。
4.吸鐵。通「磁」。如：「慈石」。
5.姓。如漢代有慈仁。</t>
  </si>
  <si>
    <t>磁</t>
  </si>
  <si>
    <t>[名]
1.吸引鐵、鈷、鎳等金屬的性質。參見「磁鐵」條。
2.地名。參見「磁縣」條。
[形]
瓷質的。通「瓷」。如：「磁器」。《紅樓夢》第四一回：「這木頭的可比不得磁的，那都是一套，定要吃遍一套方使得！」</t>
  </si>
  <si>
    <t>鶿</t>
  </si>
  <si>
    <t>辭</t>
  </si>
  <si>
    <t>[名]
1.辯訟的話。《說文解字．辛部》：「辭，說也」。《周禮．秋官．鄉士》：「聽其獄訟，察其辭。」
2.敘述、說明的語言文字。通「詞」。如：「言辭」、「措辭」。《易經．繫辭下》：「吉人之辭寡，躁人之辭多。」
3.口實、話柄。如：「欲加之罪，何患無辭！」宋．辛棄疾〈論荊襄上流為東南重地〉：「朝廷固無辭以罪之也。」
4.文體名。起於戰國時期的楚國，屈原為最具代表性的作家。漢人集屈原、宋玉等人作品為楚辭，後人因稱此類賦體文學為「辭賦」或「辭」。
[動]
1.告知。《周禮．夏官．太僕》：「王不視朝，則辭於三公及孤卿。」漢．鄭玄．注：「辭，謂以王不視朝之意告之。」
2.推卻、不接受。如：「推辭」、「辭謝」、「赴湯蹈火，在所不辭。」
3.告別。如：「告辭」、「辭行」。《戰國策．趙策三》：「遂辭平原君而去，終身不復見。」
4.責備。《左傳．昭公九年》：「晉梁丙、張趯率陰戎伐潁，使詹桓伯辭於晉。」晉．杜預．注：「辭，責讓也。」
5.解雇、解聘。參見「辭退」條。</t>
  </si>
  <si>
    <t>此</t>
  </si>
  <si>
    <t>ㄘˇ</t>
  </si>
  <si>
    <t>cǐ</t>
  </si>
  <si>
    <t>[代]
這個。與「彼」相對。如：「此人」、「特此公告」、「不分彼此」。
[副]
如此、這樣。北周．庾信〈哀江南賦〉：「惜天下之一家，遭東南之反氣，以鶉首而賜秦，天何為而此醉！」
[連]
斯、乃、則。《禮記．大學》：「有德此有人，有人此有土，有土此有財，有財此有用。」</t>
  </si>
  <si>
    <t>佌</t>
  </si>
  <si>
    <t>參見「佌佌」條。</t>
  </si>
  <si>
    <t>泚</t>
  </si>
  <si>
    <t>[形]
1.水清澈的樣子。《說文解字．水部》：「泚，清也。」《廣韻．上聲．薺韻》：「泚，水清也。」
2.流汗的樣子。《孟子．滕文公上》：「其顙有泚，睨而不視。」漢．趙岐．注：「泚，汗出泚泚然也。」
3.鮮明的樣子。《詩經．邶風．新臺》：「新臺有泚，河水瀰瀰。」漢．毛亨．傳：「泚，鮮明貌。」
[動]
沾濡、漬染。《新唐書．卷一〇二．岑文本傳》：「或叢令業遽，敕吏六七人泚筆待，分口占授，成無遺意。」《聊齋志異．卷五．郭生》：「又積窗課二十餘篇，待質名流。晨起，見翻攤案上，墨汁濃泚殆盡。」</t>
  </si>
  <si>
    <t>玼</t>
  </si>
  <si>
    <t>[形]
物體顏色鮮明的樣子。《說文解字．玉部》：「玼，新玉色鮮也。」《詩經．鄘風．君子偕老》：「玼兮玼兮，其之翟也。」漢．毛亨．傳：「玼，鮮盛貌。」
[動]
汙垢、缺點。通「疵」。《後漢書．卷七八．宦者傳．呂強傳》：「夫立言無顯過之咎，明鏡無見玼之尤。」</t>
  </si>
  <si>
    <t>[動]
踩踏。《文選．左思．吳都賦》：「雖有雄虺之九首，將抗足而跐之。」《紅樓夢》第三六回：「鳳姐把袖子挽了幾挽，跐著那角門的門檻子。」</t>
  </si>
  <si>
    <t>(二)ㄘㄞˇ cǎi（09747）(三)ㄘ cī（09687）</t>
  </si>
  <si>
    <t>ㄘˋ</t>
  </si>
  <si>
    <t>cì</t>
  </si>
  <si>
    <t>[形]
1.品質較差的。如：「次貨」、「次品」、「次車」。
2.第二的、副的。如：「次子」、「次年」、「次媳」、「次日」。《鏡花緣》第四〇回：「走有半年之久，於次歲六月到了嶺南。」
[名]
1.等第、順序。如：「次第」、「依次排列」、「席次」、「班次」、「名次」。
2.行列、隊伍。《左傳．桓公十三年》：「及鄢，亂次以濟，遂無次，且不設備。」《國語．晉語三》：「失次犯令，死。」三國吳．韋昭．注：「次，行列也。」
3.官職、職位。《左傳．襄公二十三年》：「敬共朝夕，恪居官次。」晉．桓溫〈上疏廢殷浩〉：「不能恭慎所任，恪居職次。」
4.外出居住的地方、處所。如：「客次」、「舟次」。
5.中、間。《莊子．田子方》：「喜怒哀樂不入于胸次。」
6.量詞。計算動作回數的單位。如：「第三次段考」、「初次嘗試」。《水滸傳》第一〇回：「張教頭那廝！三回五次托人情去說。」
[動]
1.在前項之後。《孟子．盡心下》：「民為貴，社稷次之，君為輕。」《孫子．謀攻》：「凡用兵之法，全國為上，破國次之；全軍為上，破軍次之。」
2.依序編排。《呂氏春秋．季冬紀．季冬》：「乃命太史，次諸侯之列，賦之犧牲。」
3.臨時駐紮或止宿。《楚辭．屈原．離騷》：「夕歸次於窮石兮，朝濯髮乎洧盤。」《左傳．僖公四年》：「師進，次於陘。」
4.至、及。《文選．潘岳．金谷集作詩》：「朝發晉京陽，夕次金谷湄。」</t>
  </si>
  <si>
    <t>(二)ㄗ zī（09372）</t>
  </si>
  <si>
    <t>佽</t>
  </si>
  <si>
    <t>[動]
幫助。《詩經．唐風．杕杜》：「人無兄弟，胡不佽焉？」漢．毛亨．傳：「佽，助也。」
[名]
參見「佽飛」條。</t>
  </si>
  <si>
    <t>朿</t>
  </si>
  <si>
    <t>[名]
木芒，樹木枝葉上最尖銳的部位。《說文解字．朿部》：「朿，木芒也。」</t>
  </si>
  <si>
    <t>刺</t>
  </si>
  <si>
    <t>[動]_x000D_
1.以尖銳的東西扎入。如：「穿刺」。《廣韻．入聲．昔韻》：「刺，穿也。」宋．陸游〈出塞曲〉：「佩刀一刺山為開，壯士大呼城為摧。」_x000D_
2.暗殺。《爾雅．釋詁上》：「刺，殺也。」如：「行刺」、「刺殺」。《史記．卷八六．刺客列傳．豫讓》：「（豫讓）乃變名姓為刑人，入宮塗廁，中挾匕首，欲以刺襄子。」_x000D_
3.以尖銳的話指出別人的過失。如：「諷刺」、「譏刺」。《漢書．卷八九．循吏傳．龔遂》：「面刺王過，王至掩耳起走。」_x000D_
4.暗中打聽。如：「刺探」。《漢書．卷七四．魏相丙吉傳．丙吉》：「馭吏因隨驛騎至公車刺取，知虜入雲中、代郡，遽歸府見吉白狀。」唐．顏師古．注：「刺，謂探候之也。」_x000D_
5.刺激使產生不好的感覺。如：「刺眼」、「刺耳」、「刺鼻」。_x000D_
[名]_x000D_
1.細而尖銳的東西。如：「竹刺」、「芒刺」、「魚刺」。_x000D_
2.名片、名帖。如：「名刺」、「刺帖」、「投刺」。_x000D_
3.姓。如唐代有刺正甫。</t>
  </si>
  <si>
    <t>莿</t>
  </si>
  <si>
    <t>[名]
草木的刺。《玉篇．艸部》：「莿，芒也，草木針也。」</t>
  </si>
  <si>
    <t>伺</t>
  </si>
  <si>
    <t>參見「伺候」條。</t>
  </si>
  <si>
    <t>(一)ㄙˋ sì（09966）</t>
  </si>
  <si>
    <t>廁</t>
  </si>
  <si>
    <t>[動]_x000D_
間雜、置身。漢．許慎《說文解字．敘》：「分別部居，不相雜廁也。」如：「廁身其中」、「廁身文壇」。漢．司馬遷〈報任少卿書〉：「嚮者，僕常廁下大夫之列，陪外廷末議。」</t>
  </si>
  <si>
    <t>(二)ㄘㄜˋ cè（09728）(三)ㄙˋ sì（09975）</t>
  </si>
  <si>
    <t>蛓</t>
  </si>
  <si>
    <t>[名]
一種毛毛蟲。《說文解字．虫部》：「蛓，毛蟲也。」</t>
  </si>
  <si>
    <t>賜</t>
  </si>
  <si>
    <t>(一)（讀音）ㄙˋ sì（09977）</t>
  </si>
  <si>
    <t>ㄘㄚ</t>
  </si>
  <si>
    <t>cā</t>
  </si>
  <si>
    <t>(一)ㄔㄚˊ chá（08241）</t>
  </si>
  <si>
    <t>擦</t>
  </si>
  <si>
    <t>[動]
1.摩。如：「摩拳擦掌」。《老殘遊記》第二回：「那荷葉初枯，擦的船嗤嗤價響。」
2.揩拭。如：「擦掉」、「擦皮鞋」。《紅樓夢》第四〇回：「李紈先侵晨起來，看著老婆子丫頭們掃那些落葉，並擦抹桌椅，預備茶酒器皿。」
3.塗抹。如：「擦藥」、「擦油」。《紅樓夢》第四四回：「姐姐還該擦上些脂粉，不然，倒像是和鳳姐姐賭氣子似的。」
4.貼近、靠近。如：「擦身而過」、「擦肩而過」。
[名]
擦抹的用具。如：「黑板擦」、「橡皮擦」。</t>
  </si>
  <si>
    <t>礤</t>
  </si>
  <si>
    <t>ㄘㄚˇ</t>
  </si>
  <si>
    <t>cǎ</t>
  </si>
  <si>
    <t>參見「礤床兒」條。</t>
  </si>
  <si>
    <t>囃</t>
  </si>
  <si>
    <t>ㄘㄚˋ</t>
  </si>
  <si>
    <t>cà</t>
  </si>
  <si>
    <t>[動]
說、講。明．徐復祚《紅梨記》第一五齣：「休訝！他怎敢向夫人行亂囃？」</t>
  </si>
  <si>
    <t>ㄘㄜˋ</t>
  </si>
  <si>
    <t>cè</t>
  </si>
  <si>
    <t>[名]
1.古代稱編綴竹簡成書為冊。後泛指書籍、簿本。《書經．多士》：「惟爾知惟殷先人，有冊有典。」
2.泛指書籍、簿本。如：「名人冊」、「畫冊」、「紀念冊」。
3.量詞。計算書本數量的單位。如：「人手一冊」、「第二冊」。
4.計謀。同「策」。《漢書．卷六九．趙充國傳》：「此全師保勝安邊之冊。」漢．王充《論衡．骨相》：「大梁人尉繚說秦始皇以併天下之計，始皇從其冊。」
[動]
賜封。如：「冊封」。唐．陳鴻《長恨傳》：「明年，冊為貴妃，半后服用。」</t>
  </si>
  <si>
    <t>(二)ㄔㄞˇ chǎi（08285）</t>
  </si>
  <si>
    <t>畟</t>
  </si>
  <si>
    <t>參見「畟畟」條。</t>
  </si>
  <si>
    <t>[名]
1.旁邊。如：「兩側」、「隨侍在側」。《晉書．卷四三．王戎傳》：「嘗與群兒戲於道側。」
2.不正。《書經．洪範》：「無反無側，王道正直。」《莊子．列禦寇》：「醉之以酒，而觀其側。」
[動]
1.傾斜。如：「側耳傾聽」、「側身而過」。唐．杜甫〈秋野〉詩五首之三：「掉頭紗帽側，曝背竹書光。」
2.處於。《淮南子．原道》：「處窮僻之鄉，側谿谷之閒。」唐．杜甫〈得舍弟消息〉詩二首之一：「側身千里道，寄食一家村。」
[形]
卑微、卑下。《書經．舜典》：「虞舜側微，堯聞之聰明，將使嗣位。」</t>
  </si>
  <si>
    <t>(二)（又音）ㄗㄜˋ zè（09472）</t>
  </si>
  <si>
    <t>測</t>
  </si>
  <si>
    <t>[動]
1.量度。《周禮．地官．大司徒》：「以土圭之法測土深，正景以求地中。」《淮南子．原道》：「高不可際，深不可測。」
2.推想、揣度。《國語．晉語一》：「君之使我，非歡也。抑欲測吾心也。」《漢書．卷四五．蒯通傳》：「患生於多欲而人心難測也。」
[形]
深。《周禮．冬官考工記．弓人》：「漆欲測，絲欲沉。」《文選．江淹．雜體詩．顏特進》：「測恩躋踰逸，沿牒懵浮賤。」</t>
  </si>
  <si>
    <t>[名]
便所。如：「公廁」。《左傳．成公十年》：「（晉侯）如廁，陷而卒。」《資治通鑑．卷二五二．唐紀六十八．僖宗乾符二年》：「夏，四月，突將作亂，大譟突入府延；駢走匿於廁間。」
[動]
參見「廁足」條。</t>
  </si>
  <si>
    <t>(一)ㄘˋ cì（09717）(三)ㄙˋ sì（09975）</t>
  </si>
  <si>
    <t>惻</t>
  </si>
  <si>
    <t>[動]
悲痛。《說文解字．心部》：「惻，痛也。」《易經．井卦．九三》：「井渫不食，為我心惻，可用汲王明，並受其福。」《舊唐書．卷一六〇．柳宗元傳》：「為騷文十數篇，覽之者為之悽惻。」
[形]
參見「惻惻」條。</t>
  </si>
  <si>
    <t>策</t>
  </si>
  <si>
    <t>[名]
1.馬鞭。《左傳．文公十三年》：「乃行繞朝贈之以策。」《文選．賈誼．過秦論》：「及至始皇，奮六世之餘烈，振長策而御宇內。」
2.枴扙。《淮南子．墬形》：「夸父棄其策，是為鄧林。」《文選．孫綽．遊天台山賦》：「被毛褐之森森，振金策之鈴鈴。」
3.蓍草稱為「策」。《史記．卷一二八．褚少孫補．龜策傳》：「夫摓策定數，灼龜觀兆，變化無窮。」宋．王安石〈禮樂論〉：「是故天之高也，日月星辰陰陽之氣，可端策而數也。」
4.計謀。如：「獻策」、「束手無策」。《戰國策．秦策一》：「臣出必故之楚，以順王與儀之策，而明臣之楚與不也。」
5.古代以竹簡記事然後連編成策。通「冊」。《孟子．盡心下》：「吾於武成，取二三策而已矣。」《儀禮．聘禮》：「百名以上書於策，不及百名書於方。」
6.文體名。內容以陳述政事的計畫為主。漢．武帝〈詔賢良〉：「賢良明於古今王事之體，受策察問，咸以書對。」
7.永字八法之一，為斜書向上之一筆。
8.姓。如明代有策敏。
[動]
1.鞭打、驅使。如：「策馬前進」。《楚辭．宋玉．九辯》：「郤騏驥而不乘兮，策駑駘而取路。」北周．庾信〈哀江南賦〉：「乘白馬而不前，策青騾而轉礙。」
2.督促、勉勵。南朝齊．蕭子良〈與孔中丞稚珪書〉：「孜孜策勵，良在於斯。」《宋史．卷四三四．葉適傳》：「抱此志意而可以策勵期望者誰乎？」
3.扶、拄。《文選．陶淵明．歸去來辭》：「策扶老以流憩，時矯首而遐觀。」</t>
  </si>
  <si>
    <t>筴</t>
  </si>
  <si>
    <t>[名]_x000D_
1.小簸箕。《莊子．人間世》：「鼓筴播精，足以食十人。」唐．成玄英．疏：「筴，小箕也。」_x000D_
2.同「策」。</t>
  </si>
  <si>
    <t>簎</t>
  </si>
  <si>
    <t>[動]
用杈刺取泥中魚鱉。《集韻．入聲．陌韻》：「簎，杈刺取魚鱉也。」《周禮．天官．鱉人》：「鱉人掌取互物，以時簎魚鱉龜蜃凡貍物。」
[名]
捕魚器。《廣韻．入聲．覺韻》：「簎，取魚箔也。」</t>
  </si>
  <si>
    <t>猜</t>
  </si>
  <si>
    <t>ㄘㄞ</t>
  </si>
  <si>
    <t>cāi</t>
  </si>
  <si>
    <t>[動]
1.懷疑、起疑心。如：「猜忌」。《左傳．昭公三年》：「雖朝夕辱於敝邑，寡君猜焉。」宋．歐陽修〈清平樂．小庭春老〉詞：「別來音信全乖。舊期前事堪猜。」
2.推測、想像。如：「猜測」、「猜想」。《紅樓夢》第五〇回：「眾人都不解，想了半日，也有猜是和尚的，也有猜是道士的，也有猜是偶戲人的。」
[名]
忌疑、妒恨之心。如：「兩小無猜」。《後漢書．卷三八．馮緄傳》：「苟曰無猜，盜跖可信。」</t>
  </si>
  <si>
    <t>才</t>
  </si>
  <si>
    <t>ㄘㄞˊ</t>
  </si>
  <si>
    <t>cái</t>
  </si>
  <si>
    <t>[名]_x000D_
1.天賦的能力、稟性。《孟子．告子上》：「富歲子弟多賴，凶歲子弟多暴，非天之降才爾殊也。」_x000D_
2.力量、智慧。通「材」。《詩經．魯頌．駉》：「思無期，思馬斯才。」漢．王充《論衡．實知》：「人才有高下，知物由學，學之乃知，不問不識。」_x000D_
3.有才能、智慧的人。如：「天才」、「英才」、「幹才」。《孟子．離婁下》：「中也養不中，才也養不才。」《禮記．文王世子》：「凡語于郊者，必取賢斂才焉。」_x000D_
4.諷稱某類的人。如：「蠢才」、「奴才」。_x000D_
5.姓。如明代有才寬。_x000D_
[副]_x000D_
1.方、始。如：「剛才」、「方才」、「戲才開鑼」、「呆了半晌，我才會意過來。」《晉書．卷七九．列傳．謝安》：「才小富貴，便豫人家事。」_x000D_
2.僅。如：「他今年才五歲。」「我身上才帶五塊錢。」_x000D_
3.表示強調的語氣。如：「我才不幹呢！」「他哪有累？我才累呢！」_x000D_
[量]_x000D_
1.臺灣地區用於計算木材體積的單位。一才為一台寸寬×一台寸厚×十台尺長。也作「材」。_x000D_
2.臺灣地區用於計算物體面積的單位。可見於紙張、玻璃、石材、窗簾等的計算，一才為一尺（三十公分）見方。也作「材」。</t>
  </si>
  <si>
    <t>材</t>
  </si>
  <si>
    <t>[名]_x000D_
1.木料、樹幹。如：「木材」。《孟子．梁惠王上》：「斧斤以時入山林，材木不可勝用也。」_x000D_
2.原料、可供製造的物料。如：「藥材」、「器材」、「建材」、「鋼材」。_x000D_
3.棺材的簡稱。如：「壽材」。《紅樓夢》第一一六回：「我為是好幾口材都要帶回去。」_x000D_
4.資料。如：「教材」、「題材」、「素材」。_x000D_
5.資質、能力。如：「因材施教」。《左傳．隱公五年》：「其材不足以備器用，則君不舉也。」_x000D_
6.有才能的人。如：「人材」。三國魏．曹植〈贈丁翼〉詩：「大國多良材，譬海出明珠。」_x000D_
[量]_x000D_
1.計算木材體積的單位。宋．李誡《營造法式．卷四．材》：「凡構屋之制，皆以材為祖。材有八等，度屋之大小，因而用之。」_x000D_
2.臺灣地區用來計算某些建材體積或面積的單位。如：「今天工地共進了三百材櫸木和三分厚的玻璃兩百材。」也作「才」。_x000D_
[動]_x000D_
處置、安排。通「裁」。《國語．鄭語》：「計億事，材兆物。」</t>
  </si>
  <si>
    <t>財</t>
  </si>
  <si>
    <t>[名]
1.金玉、布帛、粟米等錢幣貨物的總稱。如：「理財」、「生財有道」。《禮記．聘義》：「此輕財而重禮之義也。」《三國志．卷二四．魏書．高柔傳》：「夫農廣則穀積，用儉則財畜。」
2.才能。通「才」。《孟子．盡心上》：「有成德者，有達財者。」
[動]
裁斷。通「裁」。《荀子．天論》：「財非其類以養其類，夫是之謂天養。」《史記．卷一〇七．魏其武安侯傳》：「所賜金，陳之廊廡下，軍吏過，輒令財取為用，金無入家者。」
[副]
僅。通「纔」。《史記．卷一〇．孝文本紀》：「太僕見馬遺財足，餘皆以給傳置。」《漢書．卷五四．李廣傳》：「初，上遣貳師大軍山，財令陵為助兵。」</t>
  </si>
  <si>
    <t>裁</t>
  </si>
  <si>
    <t>[動]
1.用刀剪等把紙或布割裂、剪開。《說文解字．衣部》：「裁，制衣也。」如：「裁布」、「裁紙」。《南齊書．卷三二．張岱傳》：「恕未閑從政，美錦不宜濫裁。」
2.縫製。《文選．古詩十九首．客從遠方來》：「文綵雙鴛鴦，裁為合歡被。」
3.削減。如：「裁軍」、「裁員」。《紅樓夢》第三六回：「如今說因為襲人是寶玉的人，裁了這一兩銀子，斷乎使不得。」
4.決斷、判斷。如：「裁罪」。《左傳．僖公十五年》：「夕以入則朝以死，唯君裁之。」《韓非子．初見秦》：「臣願悉言所聞，唯大王裁其罪。」
5.量度。唐．韓愈〈感春〉詩五首之二：「孤吟屢闋莫與和，寸恨至短誰能裁。」
6.控制。如：「獨裁」。《楚辭．賈誼．惜誓》：「神龍失水而陸居合，為螻蟻之所裁。」
7.殺。《文選．司馬遷．報任少卿書》：「罪至罔加，不能引決自裁。」
8.寫作。唐．杜甫〈江亭〉詩：「故林歸未得，排悶強裁詩。」
[名]
體制、格式。如：「體裁」、「新裁」。《文選．張衡．西京賦》：「取殊裁於八都，豈啟度於往舊？」
[副]
僅。通「纔」。《戰國策．燕策一》：「雖大男子，裁如嬰兒。」《漢書．卷一六．高惠高后文功臣表》：「時大城名都民人散亡，戶口可得而數裁什二三。」</t>
  </si>
  <si>
    <t>纔</t>
  </si>
  <si>
    <t>[副]
1.方、始、剛剛。《漢書．卷四九．鼂錯傳》：「救之，少發則不足，多發，遠縣纔至，則胡又已去。」唐．魚玄機〈閨怨〉詩：「別日南鴻纔北去，今朝北雁又南飛。」
2.僅、只。《漢書．卷五一．賈山傳》：「然身死纔數月耳，天下四面而攻之，宗廟滅絕矣。」元．關漢卿《竇娥冤》第四折：「至十七歲與夫配合，纔得兩年，不幸兒夫亡化。」</t>
  </si>
  <si>
    <t>采</t>
  </si>
  <si>
    <t>ㄘㄞˇ</t>
  </si>
  <si>
    <t>cǎi</t>
  </si>
  <si>
    <t>[動]
1.摘取。《詩經．周南．關雎》：「參差荇菜，左右采之。」宋．陸游〈春晚即事〉詩四首之四：「老農愛犢行泥緩，幼婦憂蠶采葉忙。」
2.擇取。《史記．卷六．秦始皇本紀》：「采上古『帝』位號，號曰『皇帝』。」
3.蒐集。《漢書．卷三〇．藝文志》：「故古有采詩之官，王者所以觀風俗，知得失，自考正也。」唐．柳宗元〈永州鐵爐步志〉：「予以為古有太史，觀民風，采民言。若是者，則有得矣。」
4.掘取。漢．桓寬《鹽鐵論．復古》：「往者豪強大家，得管山海之利，采鐵石鼓鑄煮鹽。」
[名]
1.有顏色的帛。《漢書．卷九一．貨殖傳》：「文采千匹。」唐．顏師古．注：「帛之有色者曰采。」
2.色彩。《禮記．月令》：「命婦官染采。」
3.神色。如：「神采」、「興高采烈」。《漢書．卷六八．霍光傳》：「初輔幼主，政自己出，天下想聞其風采。」《儒林外史》第八回：「前晤尊公大人，幸瞻丰采。」
4.文彩。《楚辭．屈原．九章．懷沙》：「文質疏內兮，眾不知余之異采。」南朝梁．劉勰《文心雕龍．情采》：「繁采寡情，味之必厭。」</t>
  </si>
  <si>
    <t>(二)ㄘㄞˋ cài（09748）</t>
  </si>
  <si>
    <t>寀</t>
  </si>
  <si>
    <t>[名]
寀地：古代帝王封給臣下的土地，即采地。《爾雅．釋詁上》：「寀，官也。」晉．郭璞．注：「官地為寀。」</t>
  </si>
  <si>
    <t>採</t>
  </si>
  <si>
    <t>[動]
1.摘取。同「采」。《史記．卷一一九．循吏傳》：「秋冬則勸民山採，春夏以水，各得其所便，民皆樂其生。」唐．李白〈子夜吳歌．春歌〉：「秦地羅敷女，採桑綠水邊。」
2.擇取。同「采」。《後漢書．卷六三．李固傳》：「可令中宮博簡嬪媵，兼採微賤宜子之人。」唐．李白〈明唐賦〉：「採殷制，酌夏步，雜以代室重屋之名，括以辰次火木之數。」
3.掘取。同「采」。《魏書．卷九三．恩倖傳．茹皓傳》：「皓性微工巧，多所興立，為山於天淵池西，採掘北邙及南山佳石，徙竹汝穎，羅蒔其間。」
4.扯、拔。《清平山堂話本．快嘴李翠蓮記》：「若是惱咱性兒起，揪住耳朵採頭髮。」
5.理會。通「睬」。《北齊書．卷九．後主穆后傳》：「后既以陸為母，提婆為家，更不採輕霄。」《醒世恆言．卷六．小水灣天狐詒書》：「眾人那個採他，一味亂打。」</t>
  </si>
  <si>
    <t>彩</t>
  </si>
  <si>
    <t>[名]
1.文章。《宋書．卷七三．顏延之傳》：「延之與陳郡謝靈運俱以詞彩齊名。」
2.顏色、顏料。如：「五彩奪目」、「色彩」、「水彩」、「油彩」。
3.光華、光澤。唐．許渾〈鶴林寺中秋夜玩月〉詩：「輪彩漸移金殿外，鏡光猶挂玉樓前。」
4.讚美、誇獎的歡呼聲。如：「喝倒彩」。《兒女英雄傳》第一五回：「那四面看的人，就海潮一般，喝了個連環大彩。」
5.獎。如：「頭彩」、「摸彩」、「中彩」。
6.傷。如：「掛彩」。《兒女英雄傳》第六回：「那時三兒在旁邊正獃獃的望著公子的胸脯子，要看著這回刀尖出彩。」
[形]
多種顏色的。如：「彩霞」、「彩衣」、「彩蝶」。</t>
  </si>
  <si>
    <t>睬</t>
  </si>
  <si>
    <t>[動]
理會。如：「不理不睬」。《紅樓夢》第一回：「士隱聽了，知是瘋話，也不睬他。」</t>
  </si>
  <si>
    <t>綵</t>
  </si>
  <si>
    <t>[名]
五彩的絲織品。唐．陳子昂〈為程處弼辭放流表〉：「臣往任郎將之日，陛下特以臣貧，賜銀及綵。」</t>
  </si>
  <si>
    <t>踩</t>
  </si>
  <si>
    <t>[動]
用腳在物體上蹬、踏。如：「踩高蹺」、「勿踩草皮」、「一腳踩空了」。</t>
  </si>
  <si>
    <t>跴</t>
  </si>
  <si>
    <t>[動]
1.踐踏。如：「你把我的帽子給跴壞了。」
2.追捕。參見「跴緝」條。</t>
  </si>
  <si>
    <t>同「跴」。</t>
  </si>
  <si>
    <t>(一)ㄘˇ cǐ（09710）(三)ㄘ cī（09687）</t>
  </si>
  <si>
    <t>ㄘㄞˋ</t>
  </si>
  <si>
    <t>cài</t>
  </si>
  <si>
    <t>參見「采地」條。</t>
  </si>
  <si>
    <t>(一)ㄘㄞˇ cǎi（09739）</t>
  </si>
  <si>
    <t>菜</t>
  </si>
  <si>
    <t>[名]
1.蔬類的總稱。如：「白菜」、「菠菜」。《禮記．月令》：「乃命有司，趣民收斂，務畜菜多積聚。」
2.餚饌的總稱。如：「川菜」、「素菜」。《北史．卷三四．胡叟傳》：「飯菜精潔，醢醬調美。」
[形]
差勁、不出色。如：「菜鳥」、「這麼菜的成績，真是無顏見江東父老！」</t>
  </si>
  <si>
    <t>蔡</t>
  </si>
  <si>
    <t>[名]
1.野草。《說文解字．艸部》「蔡」字．清．段玉裁．注：「草生之散亂也。」《文選．左思．魏都賦》：「蔡莽螫剌，昆蟲毒噬。」
2.大龜。《左傳．襄公二十三年》：「臧武仲自邾使告臧賈，且致大蔡焉。」唐．元稹〈芳樹〉詩：「清池養神蔡，已復長蝦蟆。」
3.國名。周代諸侯國之一。故址約位於今大陸地區河南省新蔡、上蔡、汝南一帶。
4.姓。如春秋時晉國有蔡墨。</t>
  </si>
  <si>
    <t>(二)ㄙㄚˋ sà（09990）</t>
  </si>
  <si>
    <t>縩</t>
  </si>
  <si>
    <t>參見「綷縩」條。</t>
  </si>
  <si>
    <t>操</t>
  </si>
  <si>
    <t>ㄘㄠ</t>
  </si>
  <si>
    <t>cāo</t>
  </si>
  <si>
    <t>[動]_x000D_
1.持、拿。《左傳．襄公三十一年》：「今吾子愛人則以政，猶未能操刀而使割也，其傷實多。」漢．王充《論衡．感虛》：「武王左操黃鉞，右執白旄，瞋目而麾之。」_x000D_
2.掌握。《商君書．弱民》：「主變事能得齊國守安，主操權利。」_x000D_
3.駕駛。《莊子．達生》：「吾嘗濟乎觴深之淵，津人操舟若神。」《楚辭．屈原．九章．思美人》：「勒騏驥而更駕兮，造父為我操之。」_x000D_
4.從事。如：「重操舊業」。《聊齋志異．卷四．促織》：「邑有成名者，操童子業，久不售。」_x000D_
5.訓練、鍛鍊。如：「操兵演練」。清．孔尚任《桃花扇》第三一齣：「今日江上大操，看他兵馬過處，雞犬無聲，好不肅靜。」_x000D_
6.使用某種語言或口音說話。如：「操英語」、「操北方口音」。_x000D_
[名]_x000D_
1.一種經過設計，用來鍛鍊體力的運動。如：「體操」、「早操」、「暖身操」、「健美操」。_x000D_
2.品格、德行。如：「節操」、「操守」。《孟子．滕文公下》：「充仲子之操，則蚓而後可者也。」_x000D_
3.琴曲。《列子．湯問》：「伯牙游於泰山之陰，卒逢暴雨，止於巖下，心悲；乃援琴而鼓之，初為霖雨之操，更造崩山之音。」《紅樓夢》第八七回：「又將琴譜翻出，借他猗蘭思賢兩操，合成音韻。」_x000D_
4.姓。如明代有操欽。</t>
  </si>
  <si>
    <t>(二)（又音）ㄘㄠˋ cào（09768）</t>
  </si>
  <si>
    <t>糙</t>
  </si>
  <si>
    <t>[名]
參見「糙米」條。
[形]
1.不細緻。如：「粗糙」。清．洪昇《長生殿》第二一齣：「春纖十個擂槌，玉體渾身糙漆。」
2.草率、鹵莽。如：「毛糙」。《兒女英雄傳》第三九回：「老弟，你瞧愚兄是個糙人，也不懂得如今那些拜老師收門生的規矩。」</t>
  </si>
  <si>
    <t>(二)（讀音）ㄘㄠˋ cào（09767）</t>
  </si>
  <si>
    <t>曹</t>
  </si>
  <si>
    <t>ㄘㄠˊ</t>
  </si>
  <si>
    <t>cáo</t>
  </si>
  <si>
    <t>[名]
1.古代訴訟時，稱原告和被告兩方為「兩曹」。
2.古代分科辦事的官署部門或官職。《續漢書志．第二六．百官志三》：「成帝初置尚書四人，分為四曹。」《文明小史》第七回：「現在的人，都把知府看得是個閑曹。」
3.群眾、同伴。《左傳．昭公十二年》：「周原伯絞虐其輿臣，使曹逃。」唐．杜甫〈曲江三章章五句〉三首之一：「白石素沙亦相蕩，哀鴻獨叫求其曹。」
4.國名。周代諸侯國之一。故址約在今大陸地區山東西部。
5.姓。如三國時魏有曹植。
[代]
等輩、儕類。如：「爾曹」、「吾曹」、「女曹」。《後漢書．卷四七．班超傳》：「卿曹與我俱在絕域，欲立大功以求富貴。」
[副]
共同、一齊。《國語．周語下》：「且民所曹好，鮮其不濟也。」</t>
  </si>
  <si>
    <t>[動]
由水道轉運、輸送糧食。《說文解字．水部》：「漕，水轉穀也。」如：「漕糧」。《管子．輕重戊》：「齊即令隰朋漕粟於趙。」《文選．潘岳．西征賦》：「浸決鄭白之渠，漕引淮海之粟。」
[名]
1.河渠。《文選．班固．西都賦》：「東郊則有通溝大漕，潰渭洞河，泛舟山東，控引淮、湖。」
2.地名。春秋時代衛國有漕邑。故址約位於今大陸地區河南省滑縣東南。
3.姓。如漢代有漕中叔。</t>
  </si>
  <si>
    <t>(二)（又音）ㄗㄠˋ zào（09506）</t>
  </si>
  <si>
    <t>嘈</t>
  </si>
  <si>
    <t>[形]
喧鬧、繁雜。如：「嘈雜」。唐．白居易〈琵琶行〉：「大弦嘈嘈如急雨，小弦切切如私語。」
[動]
1.一起發出聲音。《文選．潘岳．笙賦》：「光歧儼其偕列，雙鳳嘈以和鳴。」
2.吵。《水滸傳》第四五回：「（那婦人）口裡嘈道：『師兄，你只顧央我吃酒做什麼！』」《紅樓夢》第五八回：「探春因家務冗雜，且不時趙姨娘與賈環來嘈聒，甚不方便。」</t>
  </si>
  <si>
    <t>槽</t>
  </si>
  <si>
    <t>[名]_x000D_
1.放飼料餵牲畜的器具。如：「馬槽」、「豬槽」。《晉書．卷一．宣帝紀》：「魏武察帝有雄豪志，……又嘗夢三馬同食一槽，甚惡焉。」唐．韓愈〈雜說〉：「故雖有名馬，祗辱于奴隸人之手，駢死于槽櫪之間，不以千里稱也。」_x000D_
2.泛指周邊高起、中間凹下，可盛液體的容器，多為長方形。如：「水槽」、「油槽」。《隋書．卷八一．東夷列傳．流求》：「以木槽中暴海水為鹽，木汁為酢，釀米麵為酒，其味甚薄。」唐．張籍〈和左司元郎中秋居〉詩一〇首之四：「就石安琴枕，穿松壓酒槽。」_x000D_
3.物體周邊高、中間凹下的部分。如：「在門框上挖個槽兒。」_x000D_
4.水道、溝渠。《宋史．卷四一二．列傳．孟珙》：「水跨九阜，建通天槽八十有三丈，溉田十萬頃。」宋．梅堯臣〈東城送運判馬察院〉詩：「役徒開汴前日放，亦將決水歸河槽。」_x000D_
5.弦樂器上架弦的凹格子。《魏書．卷一〇〇．烏洛侯列傳》：「樂有箜篌，木槽革面而施九弦。」_x000D_
6.量詞。(1)計算門窗或屋內隔斷物的單位。如：「兩槽窗戶」、「一槽隔扇」。(2)計算大小大致相同、同槽餵養的牲畜。如：「一槽豬」。</t>
  </si>
  <si>
    <t>螬</t>
  </si>
  <si>
    <t>艸</t>
  </si>
  <si>
    <t>ㄘㄠˇ</t>
  </si>
  <si>
    <t>cǎo</t>
  </si>
  <si>
    <t>[名]
1.草本植物的總稱。同「草」。《說文解字．艸部》：「艸，百芔也。」
2.二一四部首之一。</t>
  </si>
  <si>
    <t>草</t>
  </si>
  <si>
    <t>[名]
1.草本植物的總稱。如：「草木」、「花草」、「碧草如茵」。唐．柳宗元〈段太尉逸事狀〉：「是歲大旱，野無草。」
2.田野、荒野。如：「草澤」。《商君書．墾令》：「農不敗而有餘日，則草必墾矣。」
3.一種書法字體。如：「狂草」、「行草」。
4.底稿、文稿。如：「起草」、「擬草」。
5.姓。如漢代有草中。
[形]
1.馬虎、粗率、不細膩。如：「潦草」。
2.初步的、尚未決定的。如：「草案」、「草圖」、「草約」。
3.用草編成的。如：「草蓆」、「草繩」、「草履」。
4.用草搭蓋的。如：「草棚」、「草房」、「草菴」。
[動]
1.起稿、擬訂。《漢書．卷三〇．藝文志》：「蕭何草律，亦著其法。」《晉書．卷八三．江逌傳》：「冀以免咎，使太常博士草其制。」
2.草寫。清．鄭板橋〈清季野聞〉：「板橋卻之不得，亦草『難得糊塗』，付之。」
[副]
草率。如：「草草了事」。清．孔尚任《桃花扇》第六齣：「草辦妝奩，粗陳筵席。」</t>
  </si>
  <si>
    <t>騲</t>
  </si>
  <si>
    <t>[名]
1.母馬。《玉篇．馬部》：「騲，牝馬也。」
2.雌性牲畜的通稱。明．張自烈《正字通．馬部》：「騲，牝畜之通稱。」如：「騲驢」、「騲狗」。</t>
  </si>
  <si>
    <t>慅</t>
  </si>
  <si>
    <t>[形]
憂愁。通「懆」。《詩經．陳風．月出》：「舒懮受兮，勞心慅兮。」南朝梁．武帝〈代蘇屬國婦詩〉：「愴愴獨涼枕，慅慅孤月帷。」</t>
  </si>
  <si>
    <t>(一)ㄙㄠ sāo（10021）</t>
  </si>
  <si>
    <t>懆</t>
  </si>
  <si>
    <t>參見「懆懆」條。</t>
  </si>
  <si>
    <t>肏</t>
  </si>
  <si>
    <t>ㄘㄠˋ</t>
  </si>
  <si>
    <t>cào</t>
  </si>
  <si>
    <t>[動]
俗稱發生性關係。《程乙本紅樓夢》第一二回：「只見炕上那人笑道：『瑞大叔要肏我呢！』」</t>
  </si>
  <si>
    <t>[動]
1.(一)[動]5.之又音。
2.納。《禮記．喪大記》：「君設大盤造冰焉，大夫設夷盤造冰焉。」
[名]
(一)[名]1.之又音。</t>
  </si>
  <si>
    <t>(一)ㄗㄠˋ zào（09503）</t>
  </si>
  <si>
    <t>(一)ㄗㄠˋ zào（09504）</t>
  </si>
  <si>
    <t>(一)（語音）ㄘㄠ cāo（09753）</t>
  </si>
  <si>
    <t>(一)ㄘㄠ cāo（09752）</t>
  </si>
  <si>
    <t>湊</t>
  </si>
  <si>
    <t>ㄘㄡˋ</t>
  </si>
  <si>
    <t>còu</t>
  </si>
  <si>
    <t>[動]
1.聚攏、聚合。通「輳」。唐．王建〈照鏡〉詩：「萬愁生旅夜，百病湊衰年。」《紅樓夢》第三七回：「二人研墨蘸筆，湘雲便寫，寶釵便念，一時湊了十個。」
2.挨近、就。如：「湊熱鬧」、「往前湊一步。」唐．岑參〈尋少室張山人聞與偃師周明府同入都〉詩：「春雲湊深水，秋雨懸空山。」
[名]
肌膚的紋理。通「腠」。</t>
  </si>
  <si>
    <t>楱</t>
  </si>
  <si>
    <t>[名]
一種橘子之類的果樹。《文選．司馬相如．上林賦》：「盧橘夏熟，黃甘橙楱。」李善注引郭璞曰：「亦橘之類也。」</t>
  </si>
  <si>
    <t>腠</t>
  </si>
  <si>
    <t>[名]
肌膚的紋理。漢．桓寬《鹽鐵論．輕重》：「夫拙醫不知脈理之腠，血氣之分。」</t>
  </si>
  <si>
    <t>輳</t>
  </si>
  <si>
    <t>[動]
1.車輪上的輻條集中於轂內。《玉篇．車部》：「輳，輻輳也。」
2.聚集。《漢書．卷四三．叔孫通傳》：「吏人人奉職，四方輻輳。」唐．顏師古．注：「輳，聚也。」</t>
  </si>
  <si>
    <t>ㄘㄢ</t>
  </si>
  <si>
    <t>cān</t>
  </si>
  <si>
    <t>[動]
1.摻雜。唐．魏徵〈論時政疏〉：「雜茅茨於桂棟，參玉砌於土階。」
2.加入。如：「參戰」、「參政」。
3.進謁。如：「參拜」、「參見」。《北史．卷六十四．韋孝寬傳》：「每夷狄參謁，必整儀衛，盛服以見之。」
4.彈劾。《喻世明言．卷四〇．沈小霞相會出師表》：「卻說保安州父老，聞知沈經歷為上本參嚴閣老貶斥到此，人人敬仰，都來拜望。」《紅樓夢》第二回：「不上兩年，便被上司尋了一個空隙，作成一本，參他『生性狡滑，擅纂禮儀。』」
5.研究。如：「參禪」、「參透」。
[副]
驗證。《荀子．解蔽》：「疏觀萬物而知其情，參稽治亂而通其度。」</t>
  </si>
  <si>
    <t>(二)ㄕㄣ shēn（08979）(三)ㄘㄣ cēn（09788）(四)ㄙㄢ sān（10056）</t>
  </si>
  <si>
    <t>驂</t>
  </si>
  <si>
    <t>[名]
1.古代在車旁駕車的兩匹馬。《詩經．鄭風．大叔于田》：「執轡如組，兩驂如舞。」《楚辭．屈原．九歌．國殤》：「凌余陣兮躐余行，左驂殪兮右刃傷。」
2.泛指馬匹。《文選．謝朓．新亭渚別范零陵詩》：「停驂我悵望，輟棹子夷猶。」唐．賈島〈別徐明府〉詩：「明日疲驂去，蕭條過古城。」
[動]
乘、駕。《楚辭．屈原．九章．涉江》：「駕青虯兮驂白螭，吾與重華遊兮瑤之圃。」</t>
  </si>
  <si>
    <t>餐</t>
  </si>
  <si>
    <t>[動]
1.吃、食。如：「聚餐」、「野餐」。《詩經．鄭風．狡童》：「維子之故，使我不能餐兮。」
2.捱、受。元．康進之《李逵負荊》第四折：「呼保義哥哥見責，我李山兒情願餐柴。」元．無名氏《陳州糶米》第一折：「有一日受法，餐刀正典刑。」
3.採取、聽取。《文選．王儉．褚淵碑文》：「餐輿誦於丘里，瞻雅詠於京國。」
[名]
1.食物、飯食。如：「早餐」、「西餐」。
2.量詞。計算飲食次數的單位。如：「一天三餐飯」。</t>
  </si>
  <si>
    <t>ㄘㄢˊ</t>
  </si>
  <si>
    <t>cán</t>
  </si>
  <si>
    <t>[名]
女子的內衣。《說文解字．巾部》：「帴，一曰婦人脅衣。」</t>
  </si>
  <si>
    <t>(一)ㄐㄧㄢˇ jiǎn（05779）</t>
  </si>
  <si>
    <t>殘</t>
  </si>
  <si>
    <t>[動]
傷害、毀壞。如：「摧殘」、「骨肉相殘」。《墨子．天志下》：「入其溝境，刈其禾稼，斬其樹木，殘其城郭。」
[形]
1.凶惡、凶暴。如：「殘忍」、「殘暴」。《漢書．卷七一．雋不疑傳》：「故不疑為吏，嚴而不殘。」
2.不完整的。如：「殘缺不全」。《漢書．卷三六．楚元王劉交傳》：「孝成皇帝閔學殘文缺，稍離其真，乃陳發祕臧，校理舊文。」
3.剩餘的、將盡的。如：「殘冬」、「風燭殘年」。唐．杜甫〈重題鄭氏東亭〉詩：「向晚尋征路，殘雲傍馬飛。」唐．元稹〈聞樂天授江州司馬〉詩：「殘燈無焰影幢幢，此夕聞君謫九江。」
[名]
暴戾。《史記．卷八九．張耳陳餘傳》：「將軍瞋目張膽，出萬死不顧一生之計，為天下除殘也。」</t>
  </si>
  <si>
    <t>慚</t>
  </si>
  <si>
    <t>[形]
羞愧。如：「大言不慚」。《書經．仲虺之誥》：「成湯放桀于南巢，惟有慚德。」《聊齋志異．卷三．連瑣》：「與楊略話，見女慚懼可憐，乃出，分手去。」</t>
  </si>
  <si>
    <t>蠶</t>
  </si>
  <si>
    <t>[名]
鱗翅目蠶蛾科和天蠶科昆蟲的通稱。能吐絲，以環節蠕動，胸腹及尾有六對腳，食桑葉。自幼蟲成長，必蛻皮數次，每次三、四日，經三、四次後，作繭變蛹，化為蛾。
[動]
養蠶。《晉書．卷一一〇．慕容皝載記》：「其耕而食，蠶而衣，亦天之道也。」《新唐書．卷一一二．韓思彥傳》：「一夫耕，一婦蠶，衣食百人，欲儲蓄有餘，安可得乎？」
[副]
參見「蠶食」條。</t>
  </si>
  <si>
    <t>慘</t>
  </si>
  <si>
    <t>ㄘㄢˇ</t>
  </si>
  <si>
    <t>cǎn</t>
  </si>
  <si>
    <t>[形]
1.凶惡、狠毒。《後漢書．卷七七．酷吏傳．周紡傳》：「然苛慘失中，數為有司所奏。」《三國志．卷四七．吳書．吳主權傳》：「性苛慘，用法深刻。」
2.悲哀、淒涼。如：「悽慘」、「悲慘」。
3.暗淡、昏暗。通「黲」。《文選．王粲．登樓賦》：「風蕭瑟而並興兮，天慘慘而無色。」唐．蔣凝〈望思臺賦〉：「煙昏日慘，全非望月之中。」
[副]
程度厲害、嚴重。如：「慘白」、「慘敗」、「損失慘重」。</t>
  </si>
  <si>
    <t>黲</t>
  </si>
  <si>
    <t>[形]
淺青黑色的。宋．沈括《夢溪筆談．卷二．故事二》：「近歲京師士人朝服乘馬，以黲衣蒙之，謂之『涼衫』。」</t>
  </si>
  <si>
    <t>憯</t>
  </si>
  <si>
    <t>[形]
憂傷、慘痛。《漢書．卷四九．鼂錯傳》：「法令煩憯，刑罰暴酷。」
[副]
竟。《詩經．大雅．民勞》：「式遏寇虐，憯不畏明。」</t>
  </si>
  <si>
    <t>ㄘㄢˋ</t>
  </si>
  <si>
    <t>càn</t>
  </si>
  <si>
    <t>參見「孱頭」條。</t>
  </si>
  <si>
    <t>(一)ㄔㄢˊ chán（08358）</t>
  </si>
  <si>
    <t>粲</t>
  </si>
  <si>
    <t>[名]
1.精米。《說文解字．米部》「粲」字．清．段玉裁．注：「稻米九斗而舂為八斗，……則曰粲。……稻米至於粲，皆精之至矣。」
2.笑。清．徐珂《清稗類鈔．譏諷類．官金二十字之別解》：「今之弄筆，意在一粲。」
[形]
1.鮮明華美的樣子。《詩經．唐風．葛生》：「角枕粲兮，錦衾爛兮。」《文選．曹植．贈徐幹詩》：「圓景光未滿，眾星粲以繁。」
2.明白、清楚。《漢書．卷八．宣帝紀》：「骨肉之親粲而不殊。」唐．顏師古．注：「粲，明也。殊，絕也。」</t>
  </si>
  <si>
    <t>燦</t>
  </si>
  <si>
    <t>[形]
光彩鮮明、耀眼。如：「燦爛」。</t>
  </si>
  <si>
    <t>璨</t>
  </si>
  <si>
    <t>[名]
美玉。《廣韻．去聲．翰韻》：「璨，美玉。」
[形]
參見「璨璨」條。</t>
  </si>
  <si>
    <t>參見「漁陽摻撾」條。</t>
  </si>
  <si>
    <t>(一)ㄕㄢ shān（08923）(二)ㄕㄢˇ shǎn（08932）(四)ㄔㄢ chān（08350）</t>
  </si>
  <si>
    <t>ㄘㄣ</t>
  </si>
  <si>
    <t>cēn</t>
  </si>
  <si>
    <t>參見「參差」、「參錯」等條。</t>
  </si>
  <si>
    <t>(一)ㄘㄢ cān（09773）(二)ㄕㄣ shēn（08979）(四)ㄙㄢ sān（10056）</t>
  </si>
  <si>
    <t>嵾</t>
  </si>
  <si>
    <t>[形]
嵾嵯：不整齊。《文選．司馬相如．上林賦》：「深林巨木，嶄巖嵾嵯。」《楚辭．劉向．九歎．遠逝》：「阜隘狹而幽險兮，石嵾嵯以翳日。」</t>
  </si>
  <si>
    <t>[形]
長短不齊的樣子。《說文解字．竹部》：「篸，篸差也。」清．段玉裁．注：「蓋物有長有短，則參差不齊，竹、木皆然。今人作『參差』。」</t>
  </si>
  <si>
    <t>(二)ㄗㄢ zān（09535）(三)ㄗㄢˋ zàn（09551）</t>
  </si>
  <si>
    <t>岑</t>
  </si>
  <si>
    <t>ㄘㄣˊ</t>
  </si>
  <si>
    <t>cén</t>
  </si>
  <si>
    <t>[形]
1.山高而小的樣子。《說文解字．山部》：「岑，山小而高。」
2.高。《孟子．告子下》：「方寸之木，可使高於岑樓。」
[名]
1.高而小的山。《文選．馬融．長笛賦》：「託九成之孤岑兮，臨萬仞之石磎。」《文選．謝靈運．登臨海嶠初發彊中作與從弟惠連見羊何共和之詩》：「明登天姥岑，高高入雲霓。」
2.姓。如漢代有岑彭。</t>
  </si>
  <si>
    <t>涔</t>
  </si>
  <si>
    <t>[形]
1.水多的樣子。《淮南子．說林》：「宮池涔則溢，旱則涸。」
2.流不停的樣子。《文選．江淹．雜體詩．謝法曹》：「芳塵未歇席，涔淚猶在袂。」</t>
  </si>
  <si>
    <t>倉</t>
  </si>
  <si>
    <t>ㄘㄤ</t>
  </si>
  <si>
    <t>cāng</t>
  </si>
  <si>
    <t>[名]
1.收藏穀物的地方。如：「米倉」。唐．聶夷中〈田家〉詩二首之一：「六月禾未秀，官家已修倉。」
2.泛指屯聚物品的建築物。如：「貨倉」、「鹽倉」。
3.船的內部。通「艙」。宋．楊萬里〈五月初二日苦熱〉詩：「船倉周圍各五尺，且道此中底寬窄。」
4.姓。如春秋時周有倉葛。
[形]
青色的。通「蒼」。《禮記．月令》：「駕倉龍，載青旂。」
[副]
匆促的樣子。參見「倉皇」、「倉卒」等條。</t>
  </si>
  <si>
    <t>[名]
庸俗鄙賤的人。如：「愚傖」。清．劉獻廷《廣陽雜記》卷四：「此等書不知出于何傖之手，乃託文章巨公之名，以誑世之聾瞽。」
[形]
粗俗、粗鄙。唐．劉禹錫〈楚望賦〉：「傖音俚態，幽怨委曲。」宋．蘇軾〈荊州〉詩一〇首之五：「遊人多問卜，傖叟盡攜龜。」</t>
  </si>
  <si>
    <t>(二)（又音）ㄔㄥˊ chéng（08515）</t>
  </si>
  <si>
    <t>滄</t>
  </si>
  <si>
    <t>[形]
1.寒。《說文解字．水部》：「滄，寒也。」《文選．枚乘．上書諫吳王》：「欲湯之滄，一人炊之，百人揚之，無益也，不如絕薪止火而已。」
2.青綠色的。通「蒼」。《文選．揚雄．甘泉賦》：「東爥滄海，西耀流沙。」唐．杜甫〈秋興〉詩八首之五：「一臥滄江驚歲晚，幾迴青瑣照朝班。」</t>
  </si>
  <si>
    <t>蒼</t>
  </si>
  <si>
    <t>[名]
1.草色、深青色。《黃帝內經素問．卷二．陰陽應象大論》：「在色為蒼，在音為角。」
2.姓。如漢代有蒼英。
[形]
1.頭髮斑白的。如：「白髮蒼蒼」。唐．杜甫〈贈衛八處士〉詩：「少壯能幾時，鬢髮各已蒼。」
2.青色的。如：「蒼天」、「蒼苔」。</t>
  </si>
  <si>
    <t>艙</t>
  </si>
  <si>
    <t>[名]
船或飛機裡可以容納客人及貨物的空間。如：「客艙」、「貨艙」、「機艙」、「船艙」。</t>
  </si>
  <si>
    <t>鶬</t>
  </si>
  <si>
    <t>參見「鶬鶊」、「鶬鴰」等條。</t>
  </si>
  <si>
    <t>ㄘㄤˊ</t>
  </si>
  <si>
    <t>cáng</t>
  </si>
  <si>
    <t>[動]
1.儲存。如：「收藏」、「儲藏」。《荀子．王制》：「春耕、夏耘、秋收、冬藏，四者不失時。」
2.隱匿。如：「躲藏」、「藏拙」、「藏汙納垢」。《論語．述而》：「用之則行，舍之則藏。」唐．李白〈答湖州迦葉司馬問白是何人〉詩：「青蓮居士謫仙人，酒肆藏名三十春。」
3.懷抱。《易經．繫辭下》：「君子藏器於身，待時而動。」《莊子．應帝王》：「有虞氏其猶藏仁以要人，亦得人矣，而未始出於非人。」
[名]
姓。如南朝宋有藏凝之。</t>
  </si>
  <si>
    <t>(二)ㄗㄤˋ zàng（09570）</t>
  </si>
  <si>
    <t>ㄘㄤˇ</t>
  </si>
  <si>
    <t>cǎng</t>
  </si>
  <si>
    <t>參見「駔子」條。</t>
  </si>
  <si>
    <t>(一)ㄗㄤˇ zǎng（09565）(二)ㄗㄨˋ zù（09599）</t>
  </si>
  <si>
    <t>ㄘㄥ</t>
  </si>
  <si>
    <t>cēng</t>
  </si>
  <si>
    <t>[動]
申斥、叱責。如：「我被他噌了一頓。」</t>
  </si>
  <si>
    <t>(一)ㄔㄥ chēng（08486）(三)ㄘㄥˇ cěng（09806）</t>
  </si>
  <si>
    <t>ㄘㄥˊ</t>
  </si>
  <si>
    <t>céng</t>
  </si>
  <si>
    <t>[副]
嘗、已經。表示行為、動作已經發生、進行過。如：「似曾相識」。《公羊傳．閔公元年》：「莊公存之時，樂曾淫于宮中。」《史記．卷一〇一．爰盎鼂錯傳》：「梁王以此怨盎，曾使人刺盎。」
[形]
1.重疊的、一重一重的。通「層」。唐．杜甫〈成都府〉詩：「曾城填華屋，季冬樹木蒼。」
2.深。《文選．郭璞．江賦》：「若乃曾潭之府，靈湖之淵，澄澹汪洸，瀇滉淵泫。」</t>
  </si>
  <si>
    <t>(一)ㄗㄥ zēng（09572）</t>
  </si>
  <si>
    <t>鄫</t>
  </si>
  <si>
    <t>[名]
1.國名。夏禹之後封於此，春秋時為莒所滅。其故城約在今大陸地區山東省嶧縣境。
2.地名。春秋時鄭地，故城約位於今大陸地區河南省睢縣境。</t>
  </si>
  <si>
    <t>嶒</t>
  </si>
  <si>
    <t>參見「嶒稜」條。</t>
  </si>
  <si>
    <t>層</t>
  </si>
  <si>
    <t>[名]
1.數重相疊的房屋。《說文解字．尸部》：「層，重屋也。」南朝梁．劉孝綽〈栖隱寺碑〉：「珠殿連雲，金層輝景。」
2.級、等次。如：「階層」、「經理層」、「上層社會」。
3.量詞。計算重疊、累積物的單位。如：「五層樓房」、「兩層玻璃」、「三層蛋糕」。
[形]
重疊的。如：「層巒疊嶂」。《楚辭．宋玉．招魂》：「層臺累榭，臨高山些。」
[副]
重覆、不斷。如：「層出不窮」。</t>
  </si>
  <si>
    <t>ㄘㄥˇ</t>
  </si>
  <si>
    <t>cěng</t>
  </si>
  <si>
    <t>[副]
決裂。如：「他們兩人說噌了。」</t>
  </si>
  <si>
    <t>(一)ㄔㄥ chēng（08486）(二)ㄘㄥ tsēng（09801）</t>
  </si>
  <si>
    <t>蹭</t>
  </si>
  <si>
    <t>ㄘㄥˋ</t>
  </si>
  <si>
    <t>cèng</t>
  </si>
  <si>
    <t>[動]
1.擦。如：「在鐵門邊蹭了一身汙油漆。」
2.踱。《紅樓夢》第二三回：「寶玉只得前去，一步挪不了三寸，蹭到這邊來。」
[形]
參見「蹭蹬」條。</t>
  </si>
  <si>
    <t>粗</t>
  </si>
  <si>
    <t>ㄘㄨ</t>
  </si>
  <si>
    <t>cū</t>
  </si>
  <si>
    <t>[形]
1.疏忽、不周密。如：「粗心大意」。
2.不精緻、不細膩。如：「粗糙」、「粗茶淡飯」、「手工太粗了。」
3.大而厚。如：「粗聲粗氣」。唐．皮日休〈新秋即事〉詩三首之二：「秋期淨掃雲根瘦，山信迴緘乳管粗。」
4.魯莽、不文雅。如：「粗話」、「粗野」。
[副]
稍微、略微。如：「粗具規模」。《晉書．卷八九．忠義傳．嵇紹傳》：「華歷位內外，雖粗有善事，然闔棺之責，著于遠近，兆禍始亂，華實為之。」</t>
  </si>
  <si>
    <t>觕</t>
  </si>
  <si>
    <t>同「粗」。</t>
  </si>
  <si>
    <t>麤</t>
  </si>
  <si>
    <t>[形]
1.超遠、遙遠。《說文解字．麤部》：「麤，行超遠也。」
2.同「粗」。</t>
  </si>
  <si>
    <t>徂</t>
  </si>
  <si>
    <t>ㄘㄨˊ</t>
  </si>
  <si>
    <t>cú</t>
  </si>
  <si>
    <t>[動]
1.往、去。《詩經．豳風．東山》：「我徂東山，慆慆不歸。」
2.死亡。通「殂」。晉．李遼〈上表請修孔廟〉：「二臣薨徂，成規不遂。」宋．王安石〈虞部郎中晁君墓誌銘〉：「方冬告役，君夏而徂，壽五十五，識者歎吁。」
[形]
已往的、過去的。《後漢書．卷二四．馬援傳．贊曰》：「徂年已流，壯情方勇。」宋．陸游〈病少愈偶作〉詩二首之二：「但恨著書終草草，不嫌徂歲去堂堂。」
[介]
至、及。《詩經．大雅．雲漢》：「不殄禋祀，自郊徂宮。」唐．韓愈〈祭董相公文〉：「自邇徂遠，混然一區。」</t>
  </si>
  <si>
    <t>殂</t>
  </si>
  <si>
    <t>[動]
死亡。《魏書．卷一一．廢出三帝紀．後廢帝安定王紀》：「後以罪殂於門下外省，時年二十。」</t>
  </si>
  <si>
    <t>ㄘㄨˋ</t>
  </si>
  <si>
    <t>cù</t>
  </si>
  <si>
    <t>[副]
倉猝、突然。《漢書．卷六〇．杜周傳》：「卒搖易之則民心惑，若是者誠難施也。」《聊齋志異．卷二．蓮香》：「卒見，大驚曰：『蓮姊復出耶！』」</t>
  </si>
  <si>
    <t>(一)ㄗㄨˊ zú（09587）</t>
  </si>
  <si>
    <t>猝</t>
  </si>
  <si>
    <t>[副]
突然。《董西廂》卷六：「紅娘拜曰：『不敢隱匿，張生猝病，與鶯往視疾。』」</t>
  </si>
  <si>
    <t>促</t>
  </si>
  <si>
    <t>[副]
急迫、緊迫。《新唐書．卷九七．魏徵傳》：「密得寶藏書，輒稱善，既聞徵所為，促召之。」《聊齋志異．卷一〇．素秋》：「駭異聞，素秋促入，慘然曰：『兄弟何以隔閡？』」
[形]
短。晉．無名氏〈同生曲〉二首之一：「人生不滿百，常抱千歲憂。早知人命促，秉燭夜行遊。」唐．柳宗元〈封建論〉：「夏商周漢封建而延，秦郡邑而促。」
[動]
1.靠近。如：「促膝長談」。《文選．左思．蜀都賦》：「合樽促席，引滿相罰。」
2.催迫。如：「督促」、「敦促」。唐．李白〈魯郡堯祠送吳王之琅琊〉詩：「日色促歸人，連歌倒芳樽。」</t>
  </si>
  <si>
    <t>[形]
急迫、緊迫。同「促」。《周禮．冬官考工記》：「不微至，無以為戚速也。」</t>
  </si>
  <si>
    <t>(一)ㄑㄧ qī（06221）</t>
  </si>
  <si>
    <t>槭</t>
  </si>
  <si>
    <t>[名]_x000D_
一種落葉喬木的總稱。樹幹平滑，枝條灰青色，葉交互對生，呈掌狀分裂。紅葉美麗，可供觀賞。木材可製器具。</t>
  </si>
  <si>
    <t>蹙</t>
  </si>
  <si>
    <t>[動]_x000D_
1.逼迫、逼近。《周禮．冬官考工記．弓人》：「夫角之末，蹙於腦而休於氣。」《三國志．卷五八．吳書．陸遜傳》：「遜督促諸軍四面蹙之，土崩瓦解，死者萬數。」_x000D_
2.縮減。《詩經．大雅．召旻》：「昔先王受命，有如召公，日辟國百里。今也，日蹙國百里。」唐．李商隱〈行次西郊作一百韻〉：「國蹙賦更重，人稀役彌繁。」_x000D_
3.聚攏。《孟子．梁惠王下》：「百姓聞王鐘鼓之聲，管籥之音，舉疾首蹙頞而相告。」_x000D_
4.踩踏。通「蹴」。宋．蘇軾〈申王畫馬圖〉詩：「揚鞭一蹙破霜蹄，萬騎如風不能及。」_x000D_
5.踢。通「蹴」。《禮記．曲禮上》：「以足蹙路騶，有誅。」_x000D_
[形]_x000D_
恭敬的樣子。《儀禮．士相見禮》：「始見于君，執摯至下，容彌蹙。」</t>
  </si>
  <si>
    <t>顣</t>
  </si>
  <si>
    <t>[動]
聚攏。同「蹙」。《文選．劉孝標．辯命論》：「靡顏膩理，哆噅顣頞，形之異也。」</t>
  </si>
  <si>
    <t>[名]
用酒發酵或以米、麥、高粱等釀製而成的酸味液體。《說文解字．酉部》：「酢，醶也。」《隋書．卷七四．酷吏傳．崔弘度傳》：「寧飲三升酢，不見崔弘度。寧茹三升艾，不逢屈突蓋。」《新唐書．卷八六．薛舉傳》：「取富人倒縣，以酢注鼻，或杙其隱，以求財。」
[形]
酸的。北周．庾信〈小園賦〉：「棗酸梨酢，桃榹李薁。」元．王禎《農書．梅杏》：「杏類梅者，味酢；類桃者，味甘。」</t>
  </si>
  <si>
    <t>(一)ㄗㄨㄛˋ zuò（09617）</t>
  </si>
  <si>
    <t>憱</t>
  </si>
  <si>
    <t>[副]
不高興的樣子。《韓非子．外儲說左下》：「及獄決罪定，公憱然不悅，形於顏色。」</t>
  </si>
  <si>
    <t>蹴</t>
  </si>
  <si>
    <t>[動]
1.踏踩。《戰國策．韓策三》：「東孟之會，聶政、陽堅刺相兼君。許異蹴哀侯而殪之，立以為鄭君。」唐．杜甫〈遣興〉詩五首之二：「騂弓金爪鏑，白馬蹴微雪。」
2.踢。如：「蹴踘」、「蹴毬」。《晉書．卷六二．祖逖傳》：「中夜，聞荒雞鳴，蹴琨覺曰：『此非惡聲也。』因起舞。」
[副]
恭敬的樣子。參見「蹴然」條。</t>
  </si>
  <si>
    <t>[動]
催促。通「促」。《禮記．月令》：「趣民收斂。」《史記．卷七．項羽本紀》：「數使使趣齊兵，欲與俱西。」
[副]
立刻、趕快。《史記．卷七．項羽本紀》：「若不趣降漢，漢今虜若，若非漢敵也。」</t>
  </si>
  <si>
    <t>(一)ㄑㄩˋ qù（06653）</t>
  </si>
  <si>
    <t>[名]
1.以米、麥、高粱等釀成，用來調味的酸味液體。如：「米醋」、「黑醋」。《宋史．卷一八五．食貨志下七》：「賣醋毋得越郡城五里外，凡縣、鎮、村並禁，其息悉歸轉運司。」
2.嫉妒的心理。如：「吃醋」、「醋罈子」。
[動]
1.害怕、畏懼。《西遊記》第二六回：「他見拿我不住，儘有幾分醋我。」
2.嫉妒。《紅樓夢》第九回：「因此賈瑞、金榮等一干人，也正醋妒他兩個。」</t>
  </si>
  <si>
    <t>(二)ㄗㄨㄛˋ zuò（09622）</t>
  </si>
  <si>
    <t>錯</t>
  </si>
  <si>
    <t>[動]
1.安置。《楚辭．屈原．九章．懷沙》：「萬民之生，各有所錯兮！」
2.廢棄。《論語．顏淵》：「舉直錯諸枉，能使枉者直。」《荀子．天論》：「故錯人而思天，則失萬物之情。」
3.停止。《史記．卷七〇．張儀傳》：「子何不少委焉以為衍功，則秦魏之交可錯矣。」漢．王充《論衡．儒增》：「能使刑錯不用，則能使兵寢不施。」
4.施行。《易經．序卦》：「禮義有所錯。」《禮記．仲尼燕居》：「君子明於禮樂，舉而錯之而已。」</t>
  </si>
  <si>
    <t>(一)ㄘㄨㄛˋ cuò（09854）</t>
  </si>
  <si>
    <t>蔟</t>
  </si>
  <si>
    <t>[名]
供蠶吐絲作繭的設備。《玉篇．艸部》：「蔟，蠶蓐也。」
[副]
攢聚、積聚。如：「蔟生」、「蔟居」。</t>
  </si>
  <si>
    <t>瘯</t>
  </si>
  <si>
    <t>[名]
疥癬之類的皮膚病。《字彙．疒部》：「瘯，疥癬。」《左傳．桓公六年》：「謂其不疾瘯蠡也。」</t>
  </si>
  <si>
    <t>簇</t>
  </si>
  <si>
    <t>[動]
聚攏。唐．黃滔〈江州夜宴獻陳員外〉詩：「多少歡娛簇眼前，潯陽江上夜開筵。」唐．韋莊〈謁金門．春雨足〉詞：「雲淡水平煙樹簇，寸心千里目。」
[名]
1.聚集成堆或成團的物體。如：「花團錦簇」。宋．楊萬里〈再和羅武岡欽若酴醿長句〉：「春風一夜吹滕六，旋落旋銷不成簇。」
2.量詞。計算群集的人或物的單位。《水滸傳》第五回：「過了一條板橋，遠遠地望見了一簇紅霞。」《紅樓夢》第五回：「當下秦氏引了一簇人來至上房內間。」
[副]
1.很、全。《紅樓夢》第二八回：「我這裡得了一件奇物，今日早起方繫上，還是簇新的，聊可表我一點親熱之意。」《官場現形記》第一九回：「署院舉目一看，見他二人穿的都是簇新的袍褂。」
2.聚集、圍繞。如：「簇擁」、「簇捧」。</t>
  </si>
  <si>
    <t>(一)ㄗㄨˊ zú（09593）</t>
  </si>
  <si>
    <t>[形]
細密。《孟子．梁惠王上》：「數罟不入洿池，魚鱉不可勝食也。」</t>
  </si>
  <si>
    <t>(一)ㄕㄨˋ shù（09109）(二)ㄕㄨˇ shǔ（09086）(三)ㄕㄨㄛˋ shuò（09130）(五)ㄙㄨˋ sù（10118）</t>
  </si>
  <si>
    <t>踧</t>
  </si>
  <si>
    <t>1.參見「踧踖」條。
2.通「蹙」。</t>
  </si>
  <si>
    <t>通「促」。</t>
  </si>
  <si>
    <t>(一)ㄑㄩ qū（06624）</t>
  </si>
  <si>
    <t>ㄘㄨㄛ</t>
  </si>
  <si>
    <t>cuō</t>
  </si>
  <si>
    <t>[動]
搓磨、搓洗。《禮記．喪大記》：「御者差沐于堂上。」漢．鄭玄．注：「差，淅也。」唐．孔穎達．正義：「差是差摩，故云淅。」</t>
  </si>
  <si>
    <t>(一)ㄔㄚ chā（08230）(二)ㄔㄚˋ chà（08257）(三)ㄔㄞ chāi（08277）(四)ㄔㄞˋ chài（08287）(五)ㄘ cī（09690）</t>
  </si>
  <si>
    <t>搓</t>
  </si>
  <si>
    <t>[動]
1.兩手反覆相揉、磨擦。如：「搓湯圓」、「搓麻繩」。《兒女英雄傳》第一四回：「說著急得搓手頓足，滿面流淚。」
2.將物置於手中運轉。《兒女英雄傳》第一五回：「他一隻手，只管得兒楞楞的，得兒楞楞的，搓著那副鐵球。」</t>
  </si>
  <si>
    <t>瑳</t>
  </si>
  <si>
    <t>[形]
1.玉色鮮白的樣子。《廣韻．平聲．歌韻》：「瑳，玉色鮮白也。」
2.鮮盛的樣子。《詩經．鄘風．君子偕老》：「瑳兮瑳兮，其之展也。」唐．韓愈〈高君畫讚〉：「澄源卷璞，含白瑳瑳。」
3.巧笑的樣子。《詩經．衛風．竹竿》：「巧笑之瑳，佩玉之儺。」</t>
  </si>
  <si>
    <t>(二)（又音）ㄘㄨㄛˇ cuǒ（09849）</t>
  </si>
  <si>
    <t>磋</t>
  </si>
  <si>
    <t>[動]
1.琢磨、磨製。《玉篇．石部》：「磋，治象也。」民國．章太炎《新方言．釋器》：「《爾雅》象謂之磋，玉謂之琢。今玉王謂攻玉為磋玉，則通名也。」
2.引申為相互研究、商討。如：「磋商」。《管子．弟子職》：「相切相磋，各長其儀。」《晉書．卷四一．劉寔傳》：「何不旦夕切磋，使知過而自改邪？」</t>
  </si>
  <si>
    <t>蹉</t>
  </si>
  <si>
    <t>[動]_x000D_
1.失時。如：「蹉跎」。三國魏．阮籍〈詠懷〉詩一七首之八：「娛樂未終極，白日忽蹉跎。」_x000D_
2.越過。晉．張華〈輕薄篇〉：「孟公結重關，賓客不得蹉。」唐．許渾〈將度故城湖阻風夜泊永陽戍〉詩：「行盡青溪日已蹉，雲容山影水嵯峨。」_x000D_
3.差誤。漢．揚雄〈并州箴〉：「宗幽罔識，日用爽蹉。」_x000D_
4.踩、踏。《儒林外史》第二二回：「牛浦眼瞪瞪的望著牛玉圃的臉說，不覺一腳蹉了個空，半截身子掉下塘去。」</t>
  </si>
  <si>
    <t>[動]
把牙、骨、角等材料製做成器物。《集韻．平聲．戈韻》：「髊，治牙骨也。」</t>
  </si>
  <si>
    <t>(一)ㄘ cī（09691）(三)ㄗˋ zì（09430）</t>
  </si>
  <si>
    <t>莏</t>
  </si>
  <si>
    <t>(一)（讀音）ㄙㄨㄛ suō（10124）</t>
  </si>
  <si>
    <t>[名]
量詞。計算大隊人馬的單位。元．睢景臣〈哨遍．社長排門套．耍孩兒〉曲：「見一颩人馬到莊門，匹頭裡幾面旗舒。」</t>
  </si>
  <si>
    <t>(一)ㄅㄧㄠ biāo（00436）(二)ㄉㄧㄡ diū（02216）</t>
  </si>
  <si>
    <t>[動]
1.抓取。《莊子．秋水》：「鴟鵂夜撮蚤，察毫末，晝出瞋目而不見丘山，言殊性也。」《儒林外史》第二回：「撮了一把苦丁茶葉。」
2.聚攏。《孔子家語．卷一．始誅》：「其聚處足以撮徒成黨，其談說足以飾褒榮眾。」
3.摘錄。《史記．卷一三〇．太史公自序》：「采儒、墨之善，撮名、法之要。」《紅樓夢》第四二回：「將市俗的粗話，撮其要，刪其繁，再加潤色比方出來。」
[名]
量詞：(1)計算容量的單位。公制一撮等於千分之一升。也稱為「公撮」。(2)計算手指抓取物的單位。如：「一撮鹽」、「一撮土」。</t>
  </si>
  <si>
    <t>(二)（(一)之又音）ㄘㄨㄛˋ cuò（09860）(三)ㄗㄨㄛˊ zuó（09606）(四)ㄗㄨㄛˇ zuǒ（09609）(五)ㄗㄨㄟˋ zuì（09631）</t>
  </si>
  <si>
    <t>遳</t>
  </si>
  <si>
    <t>[形]
脆弱。唐．裴度〈蜀丞相諸葛武侯祠堂碑銘序〉：「誰謂阻深，殷為彊國；誰謂遳脆，勵為勁兵。」</t>
  </si>
  <si>
    <t>痤</t>
  </si>
  <si>
    <t>ㄘㄨㄛˊ</t>
  </si>
  <si>
    <t>cuó</t>
  </si>
  <si>
    <t>[名]
膿瘡。《莊子．列禦寇》：「秦王有病召醫，破癰潰痤者，得車一乘。」</t>
  </si>
  <si>
    <t>矬</t>
  </si>
  <si>
    <t>[形]
1.矮小。《抱朴子．內篇．塞難》：「而或矬陋尪弱，或且黑且醜。」《北史．卷二六．宋隱傳》：「形貌矬陋，而好臧否人物，時論甚疾之。」
2.很土氣、很沒見識、很笨拙的樣子。如：「你看他那個樣子，好矬喔！」
[動]
彎曲。《醒世恆言．卷三二．黃秀才徼靈玉馬墜》：「黃身不敢造次，乃矬身坐於窗口。」《儒林外史》第五二回：「那少年便痛得了不得，矬了身子，墩下去。」</t>
  </si>
  <si>
    <t>嵯</t>
  </si>
  <si>
    <t>參見「嵯峨」條。</t>
  </si>
  <si>
    <t>[名]
病。《爾雅．釋詁下》：「瘥，病也。」唐．劉禹錫〈為淮南杜相公論新羅請廣利方狀〉：「搜方技之秘要，拯生靈之夭瘥。」</t>
  </si>
  <si>
    <t>(一)ㄔㄞˋ chài（08288）</t>
  </si>
  <si>
    <t>鹺</t>
  </si>
  <si>
    <t>[形]
鹹。如：「鹺魚」。
[名]
鹽。參見「鹺使」、「鹺務」等條。</t>
  </si>
  <si>
    <t>脞</t>
  </si>
  <si>
    <t>ㄘㄨㄛˇ</t>
  </si>
  <si>
    <t>cuǒ</t>
  </si>
  <si>
    <t>[形]
細碎、瑣碎。元．楊弘道〈獅子石〉詩：「百步走魑魅，脞說多不經。」</t>
  </si>
  <si>
    <t>(一)ㄘㄨㄛ cuō（09835）</t>
  </si>
  <si>
    <t>ㄘㄨㄛˋ</t>
  </si>
  <si>
    <t>cuò</t>
  </si>
  <si>
    <t>[形]
粗糙。《周禮．冬官考工記．弓人》：「老牛之角紾而昔。」</t>
  </si>
  <si>
    <t>(一)ㄒㄧˊ xí（06804）</t>
  </si>
  <si>
    <t>剒</t>
  </si>
  <si>
    <t>[動]
斬。如：「剒斷」。</t>
  </si>
  <si>
    <t>厝</t>
  </si>
  <si>
    <t>[名]
磨刀石。《說文解字．厂部》：「厝，厝石也。」
[動]
1.安置。通「措」。《戰國策．魏策二》：「王厝需於側以稽之，臣以為身利而便於事。」《後漢書．卷三〇．郎顗傳》：「征營惶怖，靡知厝身。」
2.停放靈柩待葬。如：「安厝」。《文選．潘岳．寡婦賦》：「痛存亡之殊制兮，將遷神而安厝。」</t>
  </si>
  <si>
    <t>措</t>
  </si>
  <si>
    <t>[動]_x000D_
1.安置。漢．桓寬《鹽鐵論．世務》：「是猶措重寶於道路而莫之守也，求其不亡，何可得乎？」_x000D_
2.棄置、廢置。《禮記．中庸》：「有弗學，學之弗能，弗措也。」唐．柳宗元〈斷刑論下〉：「敺天下之人入於罪，又緩而慢之，以滋其懈怠，此刑之所以不措也。」_x000D_
3.籌辦、準備。如：「籌措」。《紅樓夢》第一回：「只是目今行囊路費，一概無措。」_x000D_
4.刺、戮。《淮南子．繆稱》：「虎豹之文來射，猿狖之捷來措。」漢．高誘．注：「措，刺也。」</t>
  </si>
  <si>
    <t>[名]
1.磨刀石。《詩經．小雅．鶴鳴》：「它山之石，可以為錯。」漢．毛亨．傳：「錯，石也，可以琢玉。」
2.姓。如周時宋國有錯君。
[動]
1.相互交錯。《詩經．小雅．楚茨》：「為賓為客，獻酬交錯。」《楚辭．屈原．九歌．國殤》：「操吳戈兮被犀甲，車錯轂兮短兵接。」
2.岔開。如：「錯車」。
3.鑲嵌，繪繡花紋。《國語．晉語八》：「唯其功庸少也，而能金玉其車，文錯其服。」《史記．卷四三．趙世家》：「翦髮文身，錯臂左衽，甌越之民也。」
[形]
1.不對的。如：「錯字」。
2.壞的。如：「他們的交情不錯。」
[副]
錯誤。唐．杜甫〈堂成〉詩：「旁人錯比揚雄宅，懶惰無心作解嘲。」</t>
  </si>
  <si>
    <t>(二)ㄘㄨˋ cù（09825）</t>
  </si>
  <si>
    <t>剉</t>
  </si>
  <si>
    <t>[動]
1.折傷。《說文解字．刀部》：「剉，折傷也。」《呂氏春秋．孝行覽．必己》：「成則毀，大則衰，廉則剉。」
2.砍。南朝宋．劉義慶《世說新語．賢媛》：「剉諸薦以為馬草。」《魏書．卷一五．昭成子孫傳．秦王翰傳》：「收議害觚者高霸、程同等，皆夷五族，以大刃剉殺之。」</t>
  </si>
  <si>
    <t>挫</t>
  </si>
  <si>
    <t>[動]
1.摧折、戰敗。《周禮．冬官考工記．輪人》：「凡揉牙，外不廉而內不挫。」《史記．卷八四．屈原賈生傳》：「兵挫地削，亡其六郡。」
2.壓抑、抑制。如：「挫挫銳氣」。《後漢書．卷六四．史弼傳》：「弼為政特挫抑豪強，其小民有罪，多所客貸。」
3.屈辱。《漢書．卷七〇．陳湯傳》：「延壽、湯既未獲受祉之報，反屈捐命之功，久挫於刀筆之前。」</t>
  </si>
  <si>
    <t>莝</t>
  </si>
  <si>
    <t>[名]
被鋤碎的草。《史記．卷七九．范雎蔡澤傳》：「而坐須賈於堂下，置莝豆其前，令兩黥徒夾而馬食之。」唐．陸贄〈論裴延齡姦蠹書〉：「樵蘇不繼，軍廄輟莝。」
[動]
割草、鋤草。《詩經．小雅．鴛鴦》「乘馬在廄，摧之秣之」句下漢．鄭玄．箋：「摧，今之莝字也。」</t>
  </si>
  <si>
    <t>蓌</t>
  </si>
  <si>
    <t>[動]
蹲。《禮記．曲禮上》：「介者不拜，為其拜而蓌拜。」</t>
  </si>
  <si>
    <t>銼</t>
  </si>
  <si>
    <t>[名]_x000D_
1.一種口大而似釜的器具。唐．杜甫〈聞斛斯六官未歸〉詩：「荊扉深蔓草，土銼冷疏煙。」明．謝肇淛〈南歸賦〉：「晨火斷兮銼冷，瓶粟罄兮徂饑。」_x000D_
2.銼刀的簡稱。明．夏言《南宮奏稿．卷四．一夷情疏》：「且夷人所貢鐡銼等件，俱無用之物。」明．楊一清《關中奏議．卷一七．提督類．一為捉獲奸細搆引大勢回賊犯邊等事》：「以致今日使西域賈回，圖利中國，以玉石鑌銼等項無用之物，往來神京，厚蒙賞賚。」_x000D_
[動]_x000D_
1.用銼刀磨物。如：「銼平」。清．紀昀《閱微草堂筆記．卷七．如是我聞一》：「驗取，果適所持入，乃銼而焚之，呦呦有聲，血出如縷。」《老殘遊記二編》第二回：「可知那州縣老爺們比娼妓還要下賤？遇見馴良百姓，他治死了還要抽筋剝皮，銼骨揚灰。」_x000D_
2.挫敗。漢．董仲舒《春秋繁露．王道》：「臣弑其君，子弑其父，孽殺其宗，不能統理，更相伐銼。」《史記．卷四〇．楚世家》：「亡地漢中，兵銼藍田。」</t>
  </si>
  <si>
    <t>(一)ㄘㄨㄛ cuō（09841）(三)ㄗㄨㄛˊ zuó（09606）(四)ㄗㄨㄛˇ zuǒ（09609）(五)ㄗㄨㄟˋ zuì（09631）</t>
  </si>
  <si>
    <t>夊</t>
  </si>
  <si>
    <t>ㄘㄨㄟ</t>
  </si>
  <si>
    <t>cuī</t>
  </si>
  <si>
    <t>(一)ㄙㄨㄟ suī（10143）</t>
  </si>
  <si>
    <t>[名]
用粗麻布做成的毛邊喪服。《禮記．喪服小記》：「斬衰，括髮以麻。為母，括髮以麻，免而以布，齊衰惡笄以終喪。」
[動]
依一定的等級層遞而降。《管子．小匡》：「相地而衰其政，則民不移矣。」</t>
  </si>
  <si>
    <t>(一)ㄕㄨㄞ shuāi（09134）</t>
  </si>
  <si>
    <t>榱</t>
  </si>
  <si>
    <t>[名]
屋椽。《左傳．襄公三十一年》：「棟折榱崩，僑將厭焉。」《聊齋志異．卷四．續黃粱》：「入家，則非舊所居第，繪棟雕榱，窮極壯麗。」</t>
  </si>
  <si>
    <t>縗</t>
  </si>
  <si>
    <t>[名]
用粗麻布做成的喪服，服三年之喪所穿。《左傳．襄公十七年》：「齊晏桓子卒，晏嬰麤縗斬。」</t>
  </si>
  <si>
    <t>崔</t>
  </si>
  <si>
    <t>[形]
高大險峻。《詩經．齊風．南山》：「南山崔崔，雄狐綏綏。」《文選．張衡．西京賦》：「隆崛崔崒，隱轔鬱律。」
[名]
姓。如唐代有崔顥。</t>
  </si>
  <si>
    <t>催</t>
  </si>
  <si>
    <t>[動]
促使行動開始，或加速進行。如：「催生」、「時間到了，催他上車。」《文選．李密．陳情表》：「郡縣逼迫，催臣上道。」</t>
  </si>
  <si>
    <t>摧</t>
  </si>
  <si>
    <t>[動]
1.折斷。《說文解字．手部》：「摧，折也。」如：「摧折」、「摧枯拉朽」。《樂府詩集．卷七三．雜曲歌辭十三．古辭．焦仲卿妻》：「寒風摧樹木，嚴霜結庭蘭。」
2.毀壞、崩塌。如：「摧毀」、「無堅不摧」。唐．李賀〈雁門太守行〉：「黑雲壓城城欲摧，甲光向月金鱗開。」元．關漢卿《拜月亭．楔子》：「雖是這戰伐，負著個天摧地塌。」
3.挫折、壓抑。《史記．卷一〇〇．季布傳》：「當是時，諸公皆多季布能摧剛為柔。」《三國志．卷五八．吳書．陸遜傳》：「斯三虜者當世雄傑，皆摧其鋒。」
4.傷害。三國魏．曹丕〈燕歌行〉二首之二：「展詩清歌聊自寬，樂往哀來摧肺心。」唐．李白〈長相思〉詩：「長相思，摧心肝。」</t>
  </si>
  <si>
    <t>獕</t>
  </si>
  <si>
    <t>參見「猥獕」條。</t>
  </si>
  <si>
    <t>磪</t>
  </si>
  <si>
    <t>[形]
山勢高峻。同「崔」。《集韻．平聲．灰韻》：「崔，《說文》：山高也。籀又作磪。」</t>
  </si>
  <si>
    <t>ㄘㄨㄟˇ</t>
  </si>
  <si>
    <t>cuǐ</t>
  </si>
  <si>
    <t>[形]
高峻。《詩經．邶風．新臺》：「新臺有洒，河水浼浼。」漢．毛亨．傳：「洒，高峻也。」</t>
  </si>
  <si>
    <t>(二)ㄒㄧˇ xǐ（06826）(三)ㄒㄧㄢˇ xiǎn（07108）(四)ㄙㄚˇ sǎ（09982）</t>
  </si>
  <si>
    <t>漼</t>
  </si>
  <si>
    <t>[形]
1.水深的樣子。《廣韻．上聲．賄韻》：「漼，水深貌。」《詩經．小雅．小弁》：「有漼者淵，萑葦淠淠。」
2.涕泣的樣子。唐．韓愈〈憶昨行和張十一〉詩：「危辭苦語感我耳，淚落不揜何漼漼！」
[動]
摧毀、敗壞。通「摧」。《後漢書．卷五二．崔駰傳》：「六柄制于家門兮，王綱漼以陵遲」。《文選．潘岳．西征賦》：「寮位儡其隆替，名節漼以隳落。」</t>
  </si>
  <si>
    <t>璀</t>
  </si>
  <si>
    <t>[形]
色彩鮮明的樣子。如：「璀璨」。三國魏．曹植〈棄婦詩〉：「丹華灼烈烈，璀彩有光榮。」</t>
  </si>
  <si>
    <t>趡</t>
  </si>
  <si>
    <t>[動]
奔跑。《史記．卷一一七．司馬相如傳》：「糾蓼叫奡蹋以艐路兮，蔑蒙踊躍騰而狂趡。」
[名]
地名。春秋時魯地。故城約在今大陸地區山東省鄒縣一帶。</t>
  </si>
  <si>
    <t>鏙</t>
  </si>
  <si>
    <t>[形]
鏙錯：夾雜的樣子。《文選．郭璞．江賦》：「鱗甲鏙錯，煥爛錦斑。」唐．李善．注：「鏙錯，閒雜之貌。」</t>
  </si>
  <si>
    <t>倅</t>
  </si>
  <si>
    <t>ㄘㄨㄟˋ</t>
  </si>
  <si>
    <t>cuì</t>
  </si>
  <si>
    <t>[形]
副的。《周禮．夏官．戎僕》：「戎僕掌馭戎車，掌王倅車之政。」《漢書．卷六九．趙充國傳》：「發郡騎及屬國胡騎伉健各千，倅馬什二，就草，為田者遊兵。」
[名]
副官。如：「郡倅」、「縣倅」。</t>
  </si>
  <si>
    <t>淬</t>
  </si>
  <si>
    <t>[名]
滅火器。《說文解字．水部》：「淬，滅火器也。」清．段玉裁．注：「滅火器者，蓋以器盛水，濡火使滅，其器謂之淬。」同「焠」。
[動]
1.打造刀劍時，將金屬燒紅後浸入水中，以增加其硬度，使其更堅利。同「焠」。《文選．王襃．聖主得賢臣頌》：「清水淬其鋒。」
2.塗染。《戰國策．燕策三》：「得趙人徐夫人之匕首，取之百金，使工以藥淬之。」
3.磨鍊。唐．柳宗元〈送嚴公貺下第歸興元觀省詩序〉：「端其趨嚮，以淬礪之。」
4.沒入水中。《西遊記》第六回：「（大聖）變作一個魚兒，淬入水。」</t>
  </si>
  <si>
    <t>悴</t>
  </si>
  <si>
    <t>[動]
憂傷、憂愁。《晉書．卷八七．涼武昭王李玄盛傳》：「人力凋殘，百姓愁悴。」
[形]
1.窮困、困苦。唐．白居易〈與元九書〉：「李白、孟浩然輩，不及一命，窮悴終身。」
2.瘦弱、枯槁。《南史．卷一八．臧燾傳》：「父卒，居喪五年，不出廬戶，形骸枯悴，家人不識。」</t>
  </si>
  <si>
    <t>[動]
1.品嚐滋味。《禮記．雜記下》：「主人之酢也，嚌之，眾賓兄弟則皆啐之。」
2.用力吐出。如：「啐一口痰」。
3.發出唾聲，表示鄙夷或憤怒。《二刻拍案驚奇》卷三：「桂娘啐了一啐道：『虧你不羞。』」
[形]
喧鬧、嘈雜。如：「市場裡，人聲嘈啐。」
[歎]
表示鄙夷或憤怒的語氣。《水滸傳》第九三回：「李逵道：『啐！原來是夢，卻也快當！』」</t>
  </si>
  <si>
    <t>(二)˙ㄑ q（06201）</t>
  </si>
  <si>
    <t>焠</t>
  </si>
  <si>
    <t>[動]_x000D_
1.將金屬燒紅後浸入水中，以增加其硬度，使其更堅利。《說文解字．火部》：「焠，堅刀刃也。」《玉篇．火部》：「焠，火入水也。」_x000D_
2.燒灼。《荀子．解蔽》：「有子惡臥而焠掌，可謂能自忍矣！」唐．楊倞．注：「焠，灼也。」《水滸傳》第四六回：「便去灶前尋了把草，灶裡點個火，望裡面四下焠著。」_x000D_
3.塗染。通「淬」。《史記．卷八六．刺客列傳．荊軻》：「得趙人徐夫人匕首，取之百金，使工以藥焠之。」唐．司馬貞．索隱：「焠，染也。」</t>
  </si>
  <si>
    <t>萃</t>
  </si>
  <si>
    <t>[形]
1.草叢生茂盛的樣子。《集韻．去聲．泰韻》：「萃，艸盛貌。」
2.勞苦、憔悴。通「顇」。《荀子．富國》：「勞苦頓萃而愈無功。」漢．王充《論衡．異虛》：「睹秋之零實，知冬之枯萃。」
[動]
1.棲息、停止。《詩經．陳風．墓門》：「墓門有梅，有鴞萃止。」
2.聚集。如：「人文薈萃」。《左傳．宣公十二年》：「楚師方壯，若萃於我，我師必盡，不如收而去之。」《楚辭．屈原．天問》：「蒼鳥群飛，孰使萃之？」
[名]
同類、群類。如：「出類拔萃」。《文選．陸機．謝平原內史表》：「擢自群萃，累蒙榮進。」</t>
  </si>
  <si>
    <t>脺</t>
  </si>
  <si>
    <t>參見「脺臟」、「脺液」等條。</t>
  </si>
  <si>
    <t>瘁</t>
  </si>
  <si>
    <t>[名]
疾病。清．貝青喬〈自臨安至於潛夜宿浮溪旅店作〉詩：「村農告瘁思懸耜，山賊乘機競揭竿。」
[形]
1.勞苦、勞累。《詩經．小雅．蓼莪》：「哀哀父母，生我勞瘁。」
2.憔悴、瘦弱。《文選．潘岳．楊仲武誄》：「爾舅惟榮，爾宗惟瘁。」《遼史．卷八一．蕭合卓傳》：「今形容毀瘁，恐陛下見而動心。」
[動]
1.勞累生病。如：「心力交瘁」。《詩經．小雅．雨無正》：「匪舌是出，維躬是瘁。」
2.哀傷、悲痛。《文選．宋玉．高唐賦》：「登高遠望，使人心瘁。」唐．李華〈唐丞相太尉房公德銘〉：「（房公）薨殂閬中，國瘁人哀。」</t>
  </si>
  <si>
    <t>粹</t>
  </si>
  <si>
    <t>[形]
純美無雜。如：「純粹」。《淮南子．說山》：「貂裘而雜，不若狐裘而粹。」
[名]
人、物、事理的精華。如：「針灸乃是中國的國粹之一。」</t>
  </si>
  <si>
    <t>翠</t>
  </si>
  <si>
    <t>[名]
1.翠鳥的簡稱。《文選．左思．蜀都賦》：「孔翠群翔，犀象競馳。」
2.綠色的玉。參見「翡翠」條。如：「珠翠」。《文選．曹植．洛神賦》：「戴金翠之首飾，綴明珠以耀驅。」
3.古代婦女用來畫眉的深青色顏料。唐．溫庭筠〈更漏子．玉爐香〉詞：「眉翠薄，鬢雲殘，夜長衾枕寒。」
4.比喻美女、妓女。如：「倚翠偎紅」、「翠繞珠圍」。
5.姓。如漢代有翠鴛鴦。
[形]
1.用翠羽裝飾的。如：「翠衾」、「翠旌」。《文選．司馬相如．子虛賦》：「張翠帷，建羽蓋。」
2.青綠色的。如：「翠柏」、「翠樓」、「草木蒼翠」。</t>
  </si>
  <si>
    <t>綷</t>
  </si>
  <si>
    <t>[動]
混合、混雜。《史記．卷一一七．司馬相如傳》：「屯余軍其萬乘兮，綷雲蓋而樹華旗。」《文選．何晏．景福殿賦》：「綴以萬年，綷以紫榛。」</t>
  </si>
  <si>
    <t>膵</t>
  </si>
  <si>
    <t>同「脺」。</t>
  </si>
  <si>
    <t>脆</t>
  </si>
  <si>
    <t>[形]
1.不堅韌、容易破碎的。《老子》第七六章：「萬物草木之生也柔脆，其死也枯槁。」北周．庾信〈竹杖賦〉：「疏毛抵于矰繳，脆骨被于風霜。」
2.食物鬆酥，容易咬碎。如：「脆餅」、「剛出爐的餅乾，又脆又香。」《韓非子．揚搉》：「夫香美脆味，厚酒肥肉，甘口而病形。」
3.柔弱禁不起打擊。如：「脆弱」。《晉書．卷三三．石苞傳》：「吳人輕脆，終無能為。」
4.聲音清越響亮。如：「清脆」。唐．顧雲〈池陽醉歌贈匡廬處士姚巖傑〉詩：「弦索緊快管聲脆，急曲碎拍聲相連。」
5.行事爽快、不拖泥帶水。如：「乾脆」、「爽脆」。</t>
  </si>
  <si>
    <t>毳</t>
  </si>
  <si>
    <t>[名]
鳥獸的細毛。《說文解字．毳部》：「毳，獸細毛也。」唐．杜甫〈陪李金吾花下飲〉詩：「見輕吹鳥毳，隨意數花鬚。」唐．白居易〈青氈帳二十韻〉：「合聚千羊毳，施張百子弮。」
[形]
1.脆弱、不堅韌。通「脆」。《荀子．議兵》：「是事小敵毳，則偷可用也。」
2.食物酥鬆。通「脆」。《漢書．卷七四．丙吉傳》：「不得令晨夜去皇孫敖盪，數奏甘毳食物。」</t>
  </si>
  <si>
    <t>膬</t>
  </si>
  <si>
    <t>[形]
不堅韌、容易破碎。《說文解字．肉部》：「膬，耎易破也。」同「脆」。《文選．枚乘．七發》：「飲食則溫淳甘膬，脭醲肥厚。」</t>
  </si>
  <si>
    <t>竁</t>
  </si>
  <si>
    <t>[動]_x000D_
1.掘地為墓穴。唐．褚遂良〈唐太宗文皇帝哀冊文〉：「周營甫竁，漢啟泉闈。」_x000D_
2.泛指挖地。明．徐弘祖《徐霞客遊記．卷九上．滇遊日記十》：「嘉靖壬子，城外週鑿城隍，至正南迤東，竁地丈許，有絡石，工役斲截之。」_x000D_
[名]_x000D_
1.墓穴。唐．柳宗元〈碑陰〉：「凡葬大浮圖，無竁穴，其於用碑不宜。」_x000D_
2.洞穴、孔洞。宋．洪邁《夷堅丁志．卷一七．琉璃瓶》：「以鐵固鼓腹之竁，使極窄，即敲環入竁中。」</t>
  </si>
  <si>
    <t>ㄘㄨㄢ</t>
  </si>
  <si>
    <t>cuān</t>
  </si>
  <si>
    <t>[動]
一種烹飪方法。將食物放入沸水中煮一下，隨即取出，以防食物養分因高溫烹調而流失，或食物本身變老、變黃。如：「汆丸子」、「汆羊肉」。</t>
  </si>
  <si>
    <t>(一)ㄊㄨㄣˇ tǔn（02878）</t>
  </si>
  <si>
    <t>攛</t>
  </si>
  <si>
    <t>[動]
1.拋擲、投入。《集韻．平聲．桓韻》：「攛，擲也。」《水滸傳》第三二回：「武行者把那兩個屍首，都攛在火裡燒了。」
2.匆促行事。如：「事前不準備好，臨時現攛。」
3.發怒。如：「才說完，他就跟我攛啦！」</t>
  </si>
  <si>
    <t>躥</t>
  </si>
  <si>
    <t>[動]
1.向上或向前跳。如：「躥越」、「縱身一躥」。
2.湧冒、噴射。如：「瀑布從山頂上飛躥下來。」、「才喝了一口，就覺得喉嚨直躥火。」
3.生氣、發怒。如：「他聽了這話就躥了起來。」</t>
  </si>
  <si>
    <t>鑹</t>
  </si>
  <si>
    <t>[名]
一種鑿冰用的工具，通常用鐵製成。俗稱為「冰鑹」。</t>
  </si>
  <si>
    <t>(一)ㄘㄨㄢˋ cuàn（09900）</t>
  </si>
  <si>
    <t>ㄘㄨㄢˊ</t>
  </si>
  <si>
    <t>cuán</t>
  </si>
  <si>
    <t>[動]
拼湊、聚合。如：「他們攢了一筆錢，合買一臺電視機。」
[名]
量詞。計算聚集的人或物的單位。元．喬吉《金錢記》第二折：「我本是個花一攢錦一簇，芙蓉亭有情有意雙飛燕。」《鏡花緣》第七二回：「眾人因見亭內四壁懸著許多字畫，收拾的十分精緻，都不肯就走，分著這裡一攢，那裡一夥，圍著觀看。」</t>
  </si>
  <si>
    <t>(一)ㄗㄢˇ zǎn（09545）</t>
  </si>
  <si>
    <t>巑</t>
  </si>
  <si>
    <t>[形]
巑岏：高聳。三國蜀．諸葛亮〈黃陵廟記〉：「斂巨石於江中，崔嵬巑岏，列作三峰。」《文選．謝朓．和王著作八公山詩》：「茲嶺復巑岏，分區奠淮服。」</t>
  </si>
  <si>
    <t>欑</t>
  </si>
  <si>
    <t>[動]
聚合、拼湊。通「攢」。如：「欑集」。</t>
  </si>
  <si>
    <t>篡</t>
  </si>
  <si>
    <t>ㄘㄨㄢˋ</t>
  </si>
  <si>
    <t>cuàn</t>
  </si>
  <si>
    <t>[動]
1.奪取。《漢書．卷五五．衛青傳》：「大長公主執囚青，欲殺之。其友騎郎公孫敖與壯士往篡之。」
2.以不正當的手段奪取君位或權力地位。《孟子．萬章上》：「而居堯之宮，逼堯之子，是篡也，非天與也。」《後漢書．卷一四．宗室四王三侯傳．齊武王縯傳》：「自王莽篡漢，常憤憤，懷復社稷之慮。」
3.獵取。《後漢書．卷八三．逸民傳．序》：「鴻飛冥冥，弋者何篡焉。」</t>
  </si>
  <si>
    <t>竄</t>
  </si>
  <si>
    <t>[動]
1.躲藏、隱匿。《左傳．定公四年》：「天誘其衷，致罰於楚，而君又竄之。」《國語．周語上》：「我先王不窋用失其官，而自竄于戎、狄之閒。」
2.放置、安置。《荀子．大略》：「然故民不困財，貧窶者有所竄其手。」《新唐書．卷一九六．隱逸傳．陸龜蒙傳》：「文成，竄稿篋中，或歷年不省，為好事者盜去。」
3.逃走、逃跑。如：「流竄」、「竄逃」、「抱頭鼠竄」。
4.放逐。《書經．舜典》：「放驩兜于崇山，竄三苗于三危，殛鯀于羽山。」宋．陸游《老學庵筆記》卷四：「得其姦，奏之，鯨竄化州，籍沒貲產。」
5.修改、改易文字。如：「竄改」、「竄句」。唐．韓愈〈答張徹〉詩：「漬墨竄舊史，磨丹注前經。」
6.用藥薰身治病。《史記．卷一〇五．扁鵲倉公傳》：「即竄以藥，旋下，病已。」</t>
  </si>
  <si>
    <t>[名]
短矛。明．張自烈《正字通．金部》：「鑹，短矛。」</t>
  </si>
  <si>
    <t>(二)ㄘㄨㄢ cuān（09894）</t>
  </si>
  <si>
    <t>爨</t>
  </si>
  <si>
    <t>[動]
以火燒煮食物。《左傳．宣公十五年》：「易子而食，析骸以爨。」晉．杜預．注：「爨，炊也。」《紅樓夢》第一〇五回：「聞得赦老與政老同房各爨的，理應遵旨查看賈赦的家資。」
[名]
1.爐灶。《周禮．天官冢宰．亨人》：「職外內饔之爨亨煮，辦膳羞之物。」漢．鄭玄．注：「爨，今之灶。」宋．范成大〈欒城〉詩：「頹垣破屋古城邊，客傳蕭寒爨不煙。」
2.中國少數民族之一。分布於今大陸地區雲南省東部地區。
3.宋代雜劇或金代院本中某些簡短表演的名稱。如：「蹈爨」、「五花爨弄」。清．龔自珍〈己亥雜詩〉三一五首之一〇三：「梨園爨本募誰修，亦是風花一代愁。」
4.姓。如南朝宋有爨龍顏，晉代有爨寶子。</t>
  </si>
  <si>
    <t>村</t>
  </si>
  <si>
    <t>ㄘㄨㄣ</t>
  </si>
  <si>
    <t>cūn</t>
  </si>
  <si>
    <t>[名]
鄉民聚居的地方。如：「鄉村」、「農村」。宋．陸游〈遊山西村〉詩：「山重水複疑無路，柳暗花明又一村。」
[形]
粗俗、愚蠢。元．王實甫《西廂記．第一本．第四折》：「老的小的，村的俏的，沒顛沒倒，勝似鬧元宵。」
[動]
頂撞，以言語羞辱人。《水滸傳》第二回：「小官人若是不當村時，較量一棒耍子。」</t>
  </si>
  <si>
    <t>皴</t>
  </si>
  <si>
    <t>[動]
1.皮膚皸裂。唐．杜甫〈乾元中寓居同谷縣作〉詩七首之一：「中原無書歸不得，手腳凍皴皮肉死。」
2.皺縮。宋．張炎〈采桑子．西園冷罥秋千索〉詞：「雨過花皴，近覺江南無好春。」
[名]
1.皮膚上聚積的泥垢或脫落的表皮。如：「一脖子皴」、「一身子皴」。
2.一種國畫表現紋理的畫法。參見「皴法」條。</t>
  </si>
  <si>
    <t>[動]
踢。《集韻．平聲．魂韻》：「踆，以足逆蹋曰踆。」《公羊傳．宣公六年》：「祁彌明逆而踆之。」</t>
  </si>
  <si>
    <t>(二)ㄑㄩㄣ qiong（06711）</t>
  </si>
  <si>
    <t>存</t>
  </si>
  <si>
    <t>ㄘㄨㄣˊ</t>
  </si>
  <si>
    <t>cún</t>
  </si>
  <si>
    <t>[動]
1.省視、問候。《史記．卷七七．魏公子傳》：「臣迺市井鼓刀屠者，而公子親數存之。」《明史．卷一．太祖本紀》：「罷諸軍需，存恤貧無告者，民大悅。」
2.存在、生存。如：「共存」、「生死存亡」。唐．杜甫〈無家別〉詩：「存者無消息，死者為塵泥。」
3.寄放、儲蓄。如：「寄存」、「存款」。
4.有、心懷。如：「存心不良」、「心存仁厚」、「你存什麼心？」
5.保留、留下。如：「存疑」、「去偽存真」、「碩果僅存」。
6.停滯。《紅樓夢》第二〇回：「那寶玉正恐黛玉飯後貪眠，一時存了食。」
7.思念。《詩經．鄭風．出其東門》：「出其東門，有女如雲。雖則如雲，匪我思存。」
[名]
姓。如宋代有存光孫。</t>
  </si>
  <si>
    <t>[動]
腳猛然落地而震傷。如：「蹲了腿！」</t>
  </si>
  <si>
    <t>(一)ㄉㄨㄣ dūn（02376）</t>
  </si>
  <si>
    <t>刌</t>
  </si>
  <si>
    <t>ㄘㄨㄣˇ</t>
  </si>
  <si>
    <t>cǔn</t>
  </si>
  <si>
    <t>[動]
割斷、切斷。《儀禮．特牲饋食禮》：「離肺一，刌肺三。」</t>
  </si>
  <si>
    <t>忖</t>
  </si>
  <si>
    <t>[動]
思量、揣度。如：「自忖」、「暗忖」。《詩經．小雅．巧言》：「他人有心，予忖度之。」
[名]
姓。如春秋時有忖乙。</t>
  </si>
  <si>
    <t>寸</t>
  </si>
  <si>
    <t>ㄘㄨㄣˋ</t>
  </si>
  <si>
    <t>cùn</t>
  </si>
  <si>
    <t>[名]
1.量詞。計算長度的單位。公制一寸等於十公分。也稱為「公寸」。
2.寸口的簡稱。中醫上稱距人手一寸的經脈部位。《紅樓夢》第一〇回：「看得尊夫人這脈息：左寸沉數，左關沉伏，右寸細而無力，右關虛而無神。」
3.姓。如明代有寸居敬。
4.二一四部首之一。
[形]
形容極小、極短、極少。如：「寸步不離」、「寸金難買寸光陰」、「鼠目寸光」。《史記．卷六九．蘇秦傳》：「無有分寸之功，而王親拜之於廟，而禮之於廷。」</t>
  </si>
  <si>
    <t>吋</t>
  </si>
  <si>
    <t>[名]
量詞。英制的長度單位，也稱為英寸。一吋等於十二分之一英尺，合二點五四厘米（公分）。</t>
  </si>
  <si>
    <t>匆</t>
  </si>
  <si>
    <t>ㄘㄨㄥ</t>
  </si>
  <si>
    <t>cōng</t>
  </si>
  <si>
    <t>[副]
急忙、急迫。如：「匆忙」、「匆促」。五代十國南唐．李煜〈相見歡．林花謝了春紅〉詞：「林花謝了春紅，太匆匆。無奈朝來寒雨晚來風。」</t>
  </si>
  <si>
    <t>[名]
青色的帛。《集韻．平聲．東韻》：「緫，《說文》：帛青色。」</t>
  </si>
  <si>
    <t>(一)ㄗㄨㄥ zōng（09674）(三)ㄗㄨㄥˇ zǒng（▲09678）</t>
  </si>
  <si>
    <t>[名]
爐灶通煙的孔道。俗稱為「煙囪」。</t>
  </si>
  <si>
    <t>(二)ㄔㄨㄤ chuāng（08648）</t>
  </si>
  <si>
    <t>璁</t>
  </si>
  <si>
    <t>[名]
像玉的石頭。《說文解字．玉部》：「璁，石之似玉者。」南朝齊．王融〈贈族叔衛軍儉詩〉：「逶迤冕服，有鏘璁珩。」</t>
  </si>
  <si>
    <t>蔥</t>
  </si>
  <si>
    <t>[名]_x000D_
植物名。多年生草本，鱗莖單生，卵狀圓柱形，外皮白色或淡紅褐色。葉管狀，中空，先端尖，有平行脈，下部白色。繖形花序球形，多花，花梗纖細，花被片六枚，白色。可作為蔬菜、香辛料用。也稱為「青蔥」、「分蔥」。_x000D_
[形]_x000D_
參見「蔥翠」條。</t>
  </si>
  <si>
    <t>聰</t>
  </si>
  <si>
    <t>[動]
明察是非。《史記．卷八四．屈原賈生傳》：「屈平疾王聽之不聰也，讒諂之蔽明也。」
[名]
聽力、聽覺。如：「右耳失聰」。
[形]
1.天資高、領悟力好。如：「聰明」、「聰慧」。《漢書．卷八〇．宣元六王傳．淮陽憲王劉欽傳》：「聰達有材，帝甚愛之。」
2.聽覺敏銳。如：「耳聰目明」。《淮南子．本經》：「則目明而不以視，耳聰而不以聽。」</t>
  </si>
  <si>
    <t>驄</t>
  </si>
  <si>
    <t>[名]
毛色青白相雜的馬。《說文解字．馬部》：「驄，馬青白雜毛也。」唐．李白〈長干行〉二首之二：「行人在何處，好乘浮雲驄。」</t>
  </si>
  <si>
    <t>參見「從容」條。</t>
  </si>
  <si>
    <t>(一)ㄘㄨㄥˊ cóng（09928）(二)ㄗㄨㄥˋ zòng（09680）(四)ㄗㄨㄥ zōng（09665）</t>
  </si>
  <si>
    <t>瑽</t>
  </si>
  <si>
    <t>樅</t>
  </si>
  <si>
    <t>[名]
1.植物名。松科冷杉屬，「冷杉」之古稱，參見「冷杉」條。
2.姓。如漢代有樅公。
[動]
撞擊。南朝梁．武帝〈移檄京邑〉：「樅金沸地，鳴鞞聒天。」</t>
  </si>
  <si>
    <t>蓯</t>
  </si>
  <si>
    <t>參見「肉蓯蓉」條。</t>
  </si>
  <si>
    <t>鏦</t>
  </si>
  <si>
    <t>[名]
即矛。《廣韻．平聲．鐘韻》：「鏦，短矛。」《淮南子．兵略》：「脩鎩短鏦，齊為前行。」
[動]
用矛戟衝刺。《史記．卷一〇六．吳王濞傳》：「吳王出勞軍，即使人鏦殺吳王。」宋．蘇軾〈鐵拄杖〉詩：「披榛覓藥採芝菌，刺虎鏦蛟擉蛇蠍。」
[擬]
形容金屬器物撞擊的響聲。宋．歐陽修〈秋聲賦〉：「鏦鏦錚錚，金鐵皆鳴。」</t>
  </si>
  <si>
    <t>叢</t>
  </si>
  <si>
    <t>(一)ㄘㄨㄥˊ cóng（09930）</t>
  </si>
  <si>
    <t>淙</t>
  </si>
  <si>
    <t>ㄘㄨㄥˊ</t>
  </si>
  <si>
    <t>cóng</t>
  </si>
  <si>
    <t>[擬]
1.形容水流動的聲音。《說文解字．水部》：「淙，水聲也。」唐．高適〈賦得還山吟送沈四山人〉詩：「石泉淙淙若風雨，桂花松子常滿地。」
2.形容樂器所發出的聲音。唐．元結〈補樂歌．六英〉：「我有金石兮，擊拊淙淙。」
[形]
水流的樣子。《廣韻．平聲．江韻》：「淙，水流貌。」</t>
  </si>
  <si>
    <t>悰</t>
  </si>
  <si>
    <t>[名]
1.樂趣。《漢書．卷六三．武五子傳．廣陵厲王劉胥傳》：「何用為樂心所喜，出入無悰為樂亟。」《文選．謝朓．遊東田詩》：「慼慼苦無悰，攜手共行樂。」
2.心情、心緒。宋．陸游〈無題〉詩：「畫閣無人晝漏稀，離悰病思兩依依。」《董西廂》卷四：「述壯節，寫幽悰，閑愁萬斛，離情千種。」</t>
  </si>
  <si>
    <t>琮</t>
  </si>
  <si>
    <t>[名]_x000D_
1.古代一種用以祭地的玉器，呈方柱形，中有圓孔。《說文解字．玉部》：「琮，瑞玉。大八寸，似車釭。」《周禮．春官宗伯．大宗伯》：「以蒼璧禮天，以黃琮禮地。」_x000D_
2.姓。如宋代有琮師古。</t>
  </si>
  <si>
    <t>賨</t>
  </si>
  <si>
    <t>[名]
古代大陸地區四川、湖南等地古代少數民族的一種賦稅。《說文解字．貝部》：「賨，南蠻賦也。」</t>
  </si>
  <si>
    <t>[動]
1.跟隨。如：「跟從」。《論語．公冶長》：「道不行，乘桴浮于海，從我者其由與？」
2.依順。如：「從命」、「服從」。《禮記．樂記》：「樂者敦和率神而從天。」
3.參與。如：「從事」、「從政」。
4.採取。如：「從寬處理」。
[副]
向來。如：「他從未遲到過！」
[介]
自、由。《孟子．離婁下》：「施施從外來。」唐．杜甫〈月夜憶舍弟〉詩：「露從今夜白，月是故鄉明。」</t>
  </si>
  <si>
    <t>(二)ㄗㄨㄥˋ zòng（09680）(三)ㄘㄨㄥ cōng（09918）(四)ㄗㄨㄥ zōng（09665）</t>
  </si>
  <si>
    <t>藂</t>
  </si>
  <si>
    <t>[動]
聚集。同「叢」。《文選．司馬相如．上林賦》：「磷磷爛爛，采色澔汗，藂積乎其中。」</t>
  </si>
  <si>
    <t>[動]
聚集。如：「草木叢生」。《漢書．卷六五．東方朔傳》：「飾文采，叢珍怪。」《資治通鑑．卷二四〇．唐紀五十六．憲宗元和十三年》：「今退既不許，言又不聽，臣如烈火燒心，眾鏑叢體。」
[名]
1.灌木。《淮南子．俶真》：「夫鳥飛千仞之上，獸走叢薄之中。」
2.引申指聚集在一起的人或事物。如：「花叢」、「草叢」、「人叢」、「論叢」。
3.姓。如南唐有叢鐇。
[形]
密集、繁雜。如：「叢書」。《漢書．卷九〇．酷吏傳．贊曰》：「張湯死後，罔密事叢，以㴆耗廢。」</t>
  </si>
  <si>
    <t>(二)（又音）ㄘㄨㄥ cōng（09923）</t>
  </si>
  <si>
    <t>謥</t>
  </si>
  <si>
    <t>ㄘㄨㄥˋ</t>
  </si>
  <si>
    <t>còng</t>
  </si>
  <si>
    <t>[動]
謥詷：草率決斷，任意行事。《後漢書．卷一〇．皇后紀上．和熹鄧皇后紀》：「每覽前代外戚賓客，假借威權，輕薄謥詷。」《三國志．卷一四．魏書．程曉傳》：「以謹慎為粗疏，以謥詷為賢能。」</t>
  </si>
  <si>
    <t>厶</t>
  </si>
  <si>
    <t>[名]
1.「私」的古字。《說文解字．厶部》「厶」字．清．段玉裁．注：「公私字本如此，今字私行而厶廢矣。」
2.二一四部首之一。</t>
  </si>
  <si>
    <t>私</t>
  </si>
  <si>
    <t>[名]_x000D_
1.屬於個人事物。與「公」相對。如：「大公無私」。《書經．周官》：「以公滅私，民其允懷。」_x000D_
2.財產。《儒林外史》第三回：「你不看見城裡張府上那些老爺，都有萬貫家私。」_x000D_
3.私下的言行舉止。《論語．為政》：「退而省其私，亦足以發。回也不愚。」_x000D_
4.古代指姊妹的丈夫。《詩經．衛風．碩人》：「邢侯之姨，譚公為私。」_x000D_
5.非法的貨物。如：「走私」、「緝私」。_x000D_
6.指生殖器官。清．袁枚《子不語．卷一一．醫妒》：「然裙裂損，幾露其私焉。」_x000D_
[形]_x000D_
1.個人的、非官方的。如：「私宅」、「私怨」、「私塾」、「私生活」。_x000D_
2.非法、不公開的。如：「私鹽」、「私娼」。_x000D_
[副]_x000D_
1.暗中的、祕密的。如：「私議」、「私相授受」。《史記．卷七九．范雎蔡澤傳》：「與私約而去。」唐．白居易〈長恨歌〉：「七月七日長生殿，夜半無人私語時。」_x000D_
2.偏重一方。《禮記．孔子閒居》：「天無私覆，地無私載，日月無私照。」</t>
  </si>
  <si>
    <t>司</t>
  </si>
  <si>
    <t>[動]
掌管。如：「職司」、「司儀」、「各司其事」。《文選．陸機．文賦》：「辭程才以效伎，意司契而為匠。」
[名]
1.中央機關各部以下的組織單位。如：「外交部禮賓司」、「教育部社會教育司」。
2.姓。如宋代有司超。</t>
  </si>
  <si>
    <t>思</t>
  </si>
  <si>
    <t>[動]
1.考慮。如：「深思熟慮」、「三思而後行」。《論語．為政》：「學而不思則罔，思而不學則殆。」
2.想念、懷念。如：「思親」、「思家」。唐．李白〈靜夜思〉詩：「舉頭望明月，低頭思故鄉。」
3.悲悼。《文選．張華．勵志詩》：「吉士思秋，寔感物化。」
[名]
1.心緒、心情。如：「情思」、「愁思」。唐．李白〈宣州謝朓樓餞別校書叔雲〉詩：「俱懷逸興壯思飛，欲上青天覽日月。」
2.想法、意念。如：「心思」、「文思」。南朝梁．劉勰《文心雕龍．雜文》：「唯士衡運思，理新文敏。」
3.姓。如明代有思志道。
[助]
1.用於句首，無義。《詩經．魯頌．泮水》：「思樂泮水，薄采其芹。」
2.用於句中，無義。《詩經．大雅．文王有聲》：「無思不服，皇王烝哉。」
3.用於句末，相當於「啊」。《詩經．周南．漢廣》：「漢有游女，不可求思。」</t>
  </si>
  <si>
    <t>(二)（讀音）ㄙˋ sì（09970）(三)ㄙㄞ sāi（10008）</t>
  </si>
  <si>
    <t>偲</t>
  </si>
  <si>
    <t>參見「偲偲」條。</t>
  </si>
  <si>
    <t>(二)ㄙㄞ sāi（10009）</t>
  </si>
  <si>
    <t>罳</t>
  </si>
  <si>
    <t>參見「罘罳」條。</t>
  </si>
  <si>
    <t>緦</t>
  </si>
  <si>
    <t>[名]
製做喪服的細麻布。《儀禮．喪服》：「緦麻三月者。」漢．鄭玄．注：「緦麻，布衰裳而麻絰帶也。」南朝梁．何佟之〈毀墓服議〉：「改葬服緦，見柩不可無服故也。」</t>
  </si>
  <si>
    <t>鍶</t>
  </si>
  <si>
    <t>[名]
（strontium，Sr）化學元素。原子序38。鹼土金屬元素之一。常存於天青石與碳酸鍶礦中，為銀白色結晶，質地柔軟似鉛，在空氣中容易氧化，燃燒時會發出深紅色火焰，是製造煙火的原料之一。</t>
  </si>
  <si>
    <t>颸</t>
  </si>
  <si>
    <t>[名]
1.涼風。唐．宋華〈蟬鳴〉詩：「肅肅爾庭，遠近涼颸。」
2.疾風。唐．羅隱〈蟋蟀〉詩：「頑颸斃芳，吹愁夕長。」</t>
  </si>
  <si>
    <t>虒</t>
  </si>
  <si>
    <t>[名]
1.傳說中的水中怪獸。《廣韻．平聲．支韻》：「虒，似虎有角，能行水中。」
2.虒祁：古代宮室名稱。位於今大陸地區山西省曲沃縣西南，北臨汾水。《左傳．昭公八年》：「於是晉侯方築虒祁之宮。」</t>
  </si>
  <si>
    <t>斯</t>
  </si>
  <si>
    <t>[動]_x000D_
1.劈開、析分。《說文解字．斤部》：「斯，析也。」《詩經．陳風．墓門》：「墓門有棘，斧以斯之。」《莊子．則陽》：「斯而析之，精至於無倫，大至於不可圍。」_x000D_
2.距離。《列子．黃帝》：「華胥氏之國……，不知斯齊國幾千萬里。」_x000D_
[代]_x000D_
此、這個、這裡。用於文言文。如：「斯人」、「以至於斯」、「生於斯，長於斯。」《論語．子罕》：「子在川上曰：『逝者如斯夫，不舍晝夜。』」宋．蘇軾〈答畢仲舉書〉：「處世得安穩無病，麤衣飽飯，不造冤業，乃為至足，三復斯言，感歎無窮。」_x000D_
[副]_x000D_
盡、都。《書經．金滕》：「周公居東二年，則罪人斯得。」《呂氏春秋．慎大覽．報更》：「宣孟與脯二朐，拜受而弗敢食也。問其故，對曰：『臣有老母，將以遺之。』宣孟曰：『斯食之，吾更與女。』」_x000D_
[連]_x000D_
則、就。用於文言文。《論語．述而》：「我欲仁，斯仁至矣。」《淮南子．本經》：「人之性，心有憂喪則悲，悲則哀，哀斯憤，憤斯怒。」_x000D_
[助]_x000D_
1.表示疑問的語氣。相當於「呢」。《詩經．小雅．何人斯》：「彼何人斯，其心孔艱。」_x000D_
2.表示感嘆的語氣。相當於「啊」。《詩經．豳風．鴟鴞》：「恩斯勤斯，鬻子之閔斯。」_x000D_
3.用於倒裝，表示賓語前置，相當於「是」。《詩經．豳風．七月》：「朋酒斯饗，曰殺羔羊。」_x000D_
4.用於形容詞後，相當於「然」。《詩經．大雅．皇矣》：「王赫斯怒，爰整其旅。」《禮記．玉藻》：「君子之飲酒也，受一爵而色洒如也，二爵而言言斯。」_x000D_
[名]_x000D_
姓。如三國時吳國有斯從。</t>
  </si>
  <si>
    <t>凘</t>
  </si>
  <si>
    <t>[名]
解凍時漂流的冰塊。《說文解字．冫部》：「凘，流冰也。」</t>
  </si>
  <si>
    <t>澌</t>
  </si>
  <si>
    <t>[動]
竭盡、滅絕。宋．歐陽修〈送徐無黨南歸序〉：「草木鳥獸之為物，眾人之為人，其為生雖異，而為死則同，一歸於腐壞澌盡泯滅而已。」
[名]
解凍時漂流的冰塊。通「凘」。《楚辭．屈原．九歌．河伯》：「與女遊河之渚，流澌紛兮將來下。」唐．韓愈〈寄崔二十六立之〉詩：「還歸非無指，灞渭揚春澌。」
[擬]
參見「澌澌」條。</t>
  </si>
  <si>
    <t>廝</t>
  </si>
  <si>
    <t>[名]
1.僕役。《玉篇．广部》：「廝，賤也。」如：「小廝」。《史記．卷六九．蘇秦傳》：「廝徒十萬，車六百乘，騎五千匹。」
2.對人輕侮的稱呼。元．關漢卿《蝴蝶夢》第一折：「俺如今尋見那廝，扯到官償命來。」《三國演義》第一回：「我等親赴血戰，救了這廝，他卻如此無禮。」
[副]
互相。如：「廝殺」、「耳鬢廝磨」。宋．歐陽修〈漁家傲．荷葉田田青照水〉詞：「蓮子與人長廝類，無好意，年年苦在中心裡。」《水滸傳》第六回：「你是我手裡敗將，如何再來敢廝併？」</t>
  </si>
  <si>
    <t>[動]
用手指將東西扯裂或使它離開附著處。如：「將紙撕成兩半。」、「把畫從牆壁撕下來。」、「將煮熟的雞肉撕成絲。」</t>
  </si>
  <si>
    <t>(二)ㄒㄧ xī（06789）</t>
  </si>
  <si>
    <t>嘶</t>
  </si>
  <si>
    <t>[動]
馬鳴。《廣韻．平聲．齊韻》：「嘶，馬嘶。」北周．庾信〈伏聞遊獵詩〉：「馬嘶山谷響，弓寒桑柘鳴。」唐．溫庭筠〈菩薩蠻．玉樓明月長相憶〉詞：「門外草萋萋，送君聞馬嘶。」
[形]
1.聲音沙啞。如：「聲嘶力竭」。《北史．卷三一．高允傳》：「崔公聲嘶股戰，不能一言。」
2.聲音淒愴、幽咽。南朝梁．簡文帝〈夜望單飛雁〉詩：「天霜河白夜星稀，一雁聲嘶何處歸。」</t>
  </si>
  <si>
    <t>絲</t>
  </si>
  <si>
    <t>[名]_x000D_
1.蠶所吐的東西，可製造絹帛。《說文解字．絲部》：「絲，蠶所吐也。」《詩經．衛風．氓》：「氓之蚩蚩，抱布貿絲。」_x000D_
2.絲織品的總稱。《史記．卷三〇．平準書》：「天下已平，高祖乃令賈人不得衣絲乘車。」_x000D_
3.纖細如絲的東西。如：「雨絲」、「髮絲」、「鋼絲」。唐．杜甫〈雨〉詩四首之二：「江雨舊無時，天晴忽散絲。」元．宋方壺〈一枝花．妖嬈體態輕套．梁州〉曲：「瘦伶仃腿似蛛絲，薄支辣翅如葦煤。」_x000D_
4.指極微或極少的量。如：「一絲不苟」、「一絲不掛」。《儒林外史》第四〇回：「兒子不能掙得一絲半粟孝敬父親，到要破費了父親的產業，實在不可自比於人。」_x000D_
5.中國古代樂器「八音」分類法之一，通常以製作材質來分，此處借指琴弦或弦樂器。《周禮．春官宗伯．大師》：「皆播之以八音：金、石、土、革、絲、木、匏、竹。」唐．元稹〈春六十韻〉：「啟齒呈編貝，彈絲動削蔥。」也借指弦樂器所奏的音樂。唐．韋應物〈金谷園歌〉：「洛陽陌上人迴首，絲竹飄颻入青天。」宋．釋道潛〈寄福州太守孫莘老龍圖〉詩：「黃金燕佳客，柔指鳴哀絲。」_x000D_
[量]_x000D_
1.古代計算重量、長度的微小單位。唐．李淳風《孫子算經》卷上：「十忽為一絲，十絲為一毫，十毫為一氂，十氂為一分，十分為一寸，十寸為一尺。」明．倪復《鐘律通考．卷六．十二律之義章》：「諸律之高下，悉以黃鐘一管之分、寸、釐、毫、絲、忽損益而取之。」_x000D_
2.計算絲線或纖細條狀事物的單位。明．湯顯祖《牡丹亭》第七齣：「則問你幾絲兒頭髮，幾條背花？敢也怕些些夫人堂上那些家法。」清．王念孫《廣雅疏證．卷四上．釋詁》：「紽，數也。」疏證：「紽、緎、總，皆數也。五絲為紽，四紽為緎，四緎為總。」_x000D_
[形]_x000D_
1.以絲製成的。如：「絲巾」、「絲綿」。《樂府詩集．卷七三．雜曲歌辭一三．古辭．焦仲卿妻》：「足下躡絲履，頭上玳瑁光。」_x000D_
2.極細微的、纖細如絲的。南朝宋．鮑照〈代陸平原君子有所思行〉：「蟻壤漏山阿，絲淚毀金骨。」宋．陸游〈舟中對月〉詩：「江空裊裊釣絲風，人靜翩翩葛巾影。」元．無名氏《抱妝盒》第三折：「雪消也見死屍，打的你氣咽聲絲。」明．朱權《荊釵記》第八齣：「若是嫁了他，餓斷了絲腸。」</t>
  </si>
  <si>
    <t>鷥</t>
  </si>
  <si>
    <t>參見「鷺鷥」條。</t>
  </si>
  <si>
    <t>蜤</t>
  </si>
  <si>
    <t>[名]
蜤螽：螽斯。《爾雅．釋蟲》：「蜤螽，蜙蝑。」宋．邢昺．疏：「蜤螽，周南作螽斯，七月作斯螽。」</t>
  </si>
  <si>
    <t>螄</t>
  </si>
  <si>
    <t>參見「螺螄」條。</t>
  </si>
  <si>
    <t>死</t>
  </si>
  <si>
    <t>ㄙˇ</t>
  </si>
  <si>
    <t>sǐ</t>
  </si>
  <si>
    <t>[動]
1.喪失生命。與「活」相對。如：「死於非命」、「人死不能復生」。
2.斷絕、放棄。如：「死心」。《莊子．田子方》：「夫哀莫大於心死。」
3.為某人或某事犧牲生命。如：「死難」、「死節」。《史記．卷九二．淮陰侯傳》：「食人之食者，死人之事，吾豈可以鄉利倍義乎？」晉．陶淵明〈詠荊軻〉詩：「君子死知己，提劍出燕京。」
[形]
1.喪失生命的。如：「死狗」。
2.失去作用或效力的。如：「死會」、「死棋」、「死井」。
3.不通達的或不活動的。如：「死巷」、「死水」、「死結」。
4.呆板、不靈活。如：「死板」、「死腦筋」。
5.既定而不可改變的。如：「死法子」、「死規矩」。
6.咒罵的話，亦表示親暱的意思。如：「死鬼」、「死老頭」。
[副]
1.拚命的。如：「死守」、「死戰」。
2.非常、極甚。表示程度達到極點。如：「怕死了」、「熱死了」、「笑死了」。
3.堅決、固執或不知變通。如：「死記」、「死不肯說」、「死不承認」、「死賣力氣」、「死抓不放」。
4.固定而不能活動。如：「抽屜給釘死了。」、「給自己留點轉圜的餘地，別把話說死了。」
5.阻滯不通。如：「堵死了」。
6.毫無知覺，像死的樣子。如：「他睡得真死。」</t>
  </si>
  <si>
    <t>巳</t>
  </si>
  <si>
    <t>ㄙˋ</t>
  </si>
  <si>
    <t>sì</t>
  </si>
  <si>
    <t>[名]
1.地支的第六位。
2.時辰名。約當早晨九點到十一點。</t>
  </si>
  <si>
    <t>汜</t>
  </si>
  <si>
    <t>[名]
1.復回主流的支流。《爾雅．釋水》：「水決之澤為汧，決復入為汜。」晉．郭璞．注：「水出去復還。」
2.不流通的水。《爾雅．釋丘》：「窮瀆，汜。」晉．郭璞．注：「水無所通者。」
3.水涯、水邊。《楚辭．屈原．天問》：「出自湯谷，次于蒙汜。」漢．王逸．注：「汜，水涯也。」
4.參見「汜水」條。</t>
  </si>
  <si>
    <t>祀</t>
  </si>
  <si>
    <t>[動]
祭祀。《爾雅．釋詁下》：「祀，祭也。」《周禮．春官．典瑞》：「四圭有邸，以祀天旅上帝。」
[名]
年。《書經．洪範》：「惟十有三祀，王訪于箕子。」南朝梁．蕭統〈文選序〉：「自姬漢以來，眇焉悠邈，時更七代，數逾千祀。」</t>
  </si>
  <si>
    <t>四</t>
  </si>
  <si>
    <t>[名]
1.介於三和五之間的自然數。如：「三、四、五、六……」。大寫作「肆」，阿拉伯數字作「4」。
2.古代樂譜上用來表示音高的符號。如工尺譜、二四譜（潮州音樂）。
3.姓。如宋代有四象。
[形]
第四的。如：「四更天」、「四年級」、「四品官」。</t>
  </si>
  <si>
    <t>泗</t>
  </si>
  <si>
    <t>[名]
1.參見「泗水」條。
2.鼻涕。《詩經．陳風．澤陂》：「寤寐無為，涕泗滂沱。」唐．李朝威〈柳毅傳〉：「悲泗淋漓，誠怛人心。」</t>
  </si>
  <si>
    <t>怬</t>
  </si>
  <si>
    <t>[動]
1.欣喜。《玉篇．心部》：「怬，忻也。」
2.休息。《文選．張衡．思玄賦》：「怬河林之蓁蓁兮，偉關雎之戒女。」唐．段成式〈寂照和尚碑〉：「太和二年來延唐寺，數乎菩隄，怬乎禪那。」</t>
  </si>
  <si>
    <t>柶</t>
  </si>
  <si>
    <t>[名]
一種祭祀用的禮器，以獸角製成，形狀如匙，用來舀取食物。《廣韻．去聲．至韻》：「柶，角匕，大喪用之。」《儀禮．士冠禮》：「有篚、實勺、觶、角柶。」漢．鄭玄．注：「柶，狀如匕，以角為之者，欲滑也。」</t>
  </si>
  <si>
    <t>駟</t>
  </si>
  <si>
    <t>[名]
1.由四匹馬拉駛的車子。《文選．曹植．七啟》：「駕超野之駟，乘追風之輿。」
2.馬。《墨子．兼愛下》：「人之生乎地上之無幾何也，譬之猶駟馳而遇隙也。」《禮記．三年問》：「若駟之過隙，然而遂之，則是無窮也。」
3.量詞：(1)古代計算四匹馬所拉車輛的單位。相當於「輛」。《戰國策．齊策四》：「遣太傅齎黃金千斤，文車二駟，服劍一。」(2)古代計算馬匹的單位。馬四匹為一駟。《論語．季氏》：「齊景公有馬千駟。」
4.姓。如漢代有駟鈞。
[動]
駕、騎。《楚辭．屈原．離騷》：「駟玉虯以乘鷖兮，溘埃風余上征。」《文選．宋玉．高唐賦》：「王乃乘玉輿，駟倉螭。」</t>
  </si>
  <si>
    <t>寺</t>
  </si>
  <si>
    <t>[名]
1.古代的官舍、官署。《說文解字．寸部》：「寺，廷也。」如：「大理寺」、「太常寺」。《新唐書．卷四十六．百官志一》：「其官司之別，曰省、曰臺、曰寺、曰監、曰衛、曰府，各統其屬，以分職定位。」
2.佛教的廟宇，僧人所居住的地方。如：「少林寺」、「善導寺」。唐．張籍〈野寺後池寄友〉詩：「佛寺連野水，池幽夏景清。」
3.宦官。如：「寺人」、「閹寺」。《洛陽伽藍記．卷一．昭儀尼寺》：「太后臨朝，閽寺專寵。」</t>
  </si>
  <si>
    <t>兕</t>
  </si>
  <si>
    <t>[名]
古代一種似牛的野獸。《爾雅．釋獸》：「兕，似牛。」晉．郭璞．注：「一角，青色，重千斤。」《論語．季氏》：「虎兕出於柙，龜玉毀於櫝中。」</t>
  </si>
  <si>
    <t>似</t>
  </si>
  <si>
    <t>[動]
1.相像、相類。如：「相似」、「類似」。五代十國南唐．李煜〈虞美人．春花秋月何時了〉詞：「問君能有幾多愁？恰似一江春水向東流。」
2.繼嗣。如：「似嗣」。《詩經．小雅．斯干》：「無相猶矣，似續妣祖。」漢．毛亨．傳：「似，嗣。」
3.奉贈、給予。唐．賈島〈劍客〉詩：「今日把似君，誰為不平事。」宋．歐陽修〈紫石屏歌〉：「呼工畫石持寄似，幸子留意其無謙。」
[副]
好像。如：「似乎」、「似有不同」。南朝宋．劉義慶《世說新語．品藻》：「論王霸之餘策，覽倚伏之要害，吾似有一日之長。」
[連]
表示比較、差等之詞。如：「一個高似一個」、「一天好似一天」。宋．賀鑄〈浣溪沙．樓角初消一縷霞〉詞：「更垂簾幕護窗紗，東風寒似夜來些。」</t>
  </si>
  <si>
    <t>姒</t>
  </si>
  <si>
    <t>[名]
1.古代眾妾同事一夫，少婦稱長婦為「姒」。《爾雅．釋親》：「女子同出，謂先生為姒，後生為娣。」晉．郭璞．注：「同出謂俱嫁事一夫。」
2.參見「姒娣」條。
3.姓。如元代有姒庸道。</t>
  </si>
  <si>
    <t>[動]
暗中偵察。如：「窺伺」、「伺探」。《韓非子．內儲說上》：「吾聞數夜有乘轀車至李史門者，謹為我伺之。」《史記．卷六六．伍子胥傳》：「且嚭使人微伺之，其使於齊也，乃屬其子於齊之鮑氏。」</t>
  </si>
  <si>
    <t>(二)ㄘˋ cì（09716）</t>
  </si>
  <si>
    <t>笥</t>
  </si>
  <si>
    <t>[名]
1.以竹、葦編成，用來放衣物或食物的方形箱子。《說文解字．竹部》：「笥，飯及衣之器也。」《書經．說命中》：「惟衣裳在笥，惟干戈省厥躬。」
2.書箱。《晉書．卷三五．裴秀傳．贊曰》：「鉅鹿自然，亦云經笥。」宋．陸游〈晚晴〉詩：「潤侵書笥深防蠹，暖徹衣篝剩得香。」</t>
  </si>
  <si>
    <t>嗣</t>
  </si>
  <si>
    <t>[動]
繼續、承繼。如：「嗣位」、「嗣業」。唐．韓愈〈河南府同官記〉：「嗣紹家烈，不違其先。」
[名]
1.後代子孫。如：「後嗣」。《書經．大禹謨》：「罰弗及嗣，賞延于世。」唐．柳宗元〈封建論〉：「自天子至于里胥，其德在人者，死必求其嗣而奉之。」
2.接續職務的人。《左傳．襄公三年》：「祁奚請老，晉侯問嗣焉？」
3.姓。如漢代有嗣光宙。</t>
  </si>
  <si>
    <t>飼</t>
  </si>
  <si>
    <t>[動]
餵養、畜養。如：「飼養」。唐．杜甫〈黃魚〉詩：「脂膏兼飼犬，長大不容身。」</t>
  </si>
  <si>
    <t>(一)[名]1.之讀音。</t>
  </si>
  <si>
    <t>(一)ㄙ sī（09935）(三)ㄙㄞ sāi（10008）</t>
  </si>
  <si>
    <t>[動]
等待。如：「俟機而動」。《詩經．邶風．靜女》：「靜女其姝，俟我於城隅。」</t>
  </si>
  <si>
    <t>(二)ㄑㄧˊ qí（06268）</t>
  </si>
  <si>
    <t>涘</t>
  </si>
  <si>
    <t>[名]
水邊、岸邊。《詩經．王風．葛藟》：「綿綿葛藟，在河之涘。」《文選．謝朓．晚登三山還望京邑詩》：「灞涘望長安，河陽視京縣。」</t>
  </si>
  <si>
    <t>[動]_x000D_
1.拿食物給人吃。《莊子．盜跖》：「介子推至忠也，自割其股，以食文公。」《戰國策．齊策四》：「左右以君賤之也，食以草具。」《史記．卷三八．宋微子世家》：「華元之將戰，殺羊以食士，其御羊羹不及，故怨。」_x000D_
2.飼養。《晏子春秋．外篇．重而異者》：「君之玩物，衣以文繡；君之鳧鴈，食以菽粟。」唐．韓愈〈雜說〉：「食馬者，不知其能千里而食也。」_x000D_
3.供給俸祿。《管子．權修》：「凡牧民者，以其所積者食之，不可不審也。」宋．李燾《續資治通鑑長編．卷一九六．仁宗嘉祐七年》：「澄清庶官，選練戰士，不祿無功，不食無用。」_x000D_
4.宴請、款待。《周禮．地官司徒．牛人》：「凡賓客之事，共其牢禮積膳之牛。饗食賓射，共其膳羞之牛。」《儀禮．公食大夫禮》：「公食大夫之禮，使大夫戒，各以其爵。」</t>
  </si>
  <si>
    <t>(一)ㄕˊ shí（08713）(三)ㄧˋ yì（10624）</t>
  </si>
  <si>
    <t>耜</t>
  </si>
  <si>
    <t>[名]
掘土用的農具。即鐵鍬。古代多為木製。《國語．周語中》：「民無懸耜，野無奧草。」三國吳．韋昭．注：「入土曰耜，耜柄曰耒。」</t>
  </si>
  <si>
    <t>「茅廁」的「廁」的讀音。</t>
  </si>
  <si>
    <t>(一)ㄘˋ cì（09717）(二)ㄘㄜˋ cè（09728）</t>
  </si>
  <si>
    <t>肆</t>
  </si>
  <si>
    <t>[名]_x000D_
1.市集貿易的地方、店鋪。如：「酒肆」、「茶肆」。《論語．子張》：「百工居肆，以成其事。」_x000D_
2.四的大寫。_x000D_
3.姓。如漢代有肆敏。_x000D_
[動]_x000D_
1.放縱，不加拘束。如：「肆無忌憚」。唐．韓愈〈柳子厚墓誌銘〉：「為深博無涯涘，一自肆於山水閒。」_x000D_
2.擴張、伸展。《左傳．僖公三十年》：「既東封鄭，又欲肆其西封。」三國魏．嵇康〈琴賦．序〉：「是故復之而不足，則吟詠以肆志。」_x000D_
3.陳列、陳設。如：「肆筵設席」。《詩經．大雅．行葦》：「或肆之筵，或授之几。」_x000D_
4.操持。晉．陶淵明〈庚戌𡻕九月中於西田穫早稻〉詩：「晨出肆微勤，日入負耒還。」_x000D_
5.竭盡、用足。如：「肆力」、「肆目而望」。唐．柳宗元〈設漁者對智伯〉：「愈肆其力，逆流而上。」_x000D_
[形]_x000D_
任意、放縱。如：「放肆」。_x000D_
[副]_x000D_
恣意的。如：「肆虐」、「肆飲」。</t>
  </si>
  <si>
    <t>[動]_x000D_
1.給予，上級賞給下級。《說文解字．貝部》：「賜，予也。」如：「賞賜」。唐．李白〈古風〉詩五九首之四一：「呼我遊太素，玉杯賜瓊漿。」_x000D_
2.頒發。三國魏．曹植〈應詔詩〉：「嘉詔未賜，朝覲莫從。」_x000D_
3.有求於人時的敬詞。如：「賜教」。《儀禮．士相見禮》：「某不足以辱命，請終賜見。」_x000D_
[名]_x000D_
1.上級賞給下級的恩惠或財物。如：「受賜」。《論語．憲問》：「民到于今受其賜。」宋．錢公輔〈義田記〉：「昔晏平仲敝車羸馬，桓子曰：『是隱君之賜也。』」_x000D_
2.止盡、窮盡。通「儩」。晉．潘岳〈西征賦〉：「超長懷以遐念，若循環之無賜。」</t>
  </si>
  <si>
    <t>(二)（語音）ㄘˋ cì（09719）</t>
  </si>
  <si>
    <t>儩</t>
  </si>
  <si>
    <t>[動]_x000D_
止盡、窮盡。《新唐書．卷八四．列傳．李密》：「敖庾之有時而儩，粟竭人散，胡仰而成功？」</t>
  </si>
  <si>
    <t>三</t>
  </si>
  <si>
    <t>ㄙㄚ</t>
  </si>
  <si>
    <t>sā</t>
  </si>
  <si>
    <t>同「仨」。</t>
  </si>
  <si>
    <t>(一)ㄙㄢ sān（10054）(三)ㄙㄢˋ sàn（10066）</t>
  </si>
  <si>
    <t>仨</t>
  </si>
  <si>
    <t>[形]
北方方言。指三個，使用時不必接量詞「個」。如：「哥兒仨」、「他們仨人買了仨大西瓜回來，累得滿頭大汗。」</t>
  </si>
  <si>
    <t>撒</t>
  </si>
  <si>
    <t>[動]
1.放開、散放。如：「撒手不管」。《紅樓夢》第五九回：「鶯兒聽見這般蠢話，便賭氣紅了臉，撒了手。」《兒女英雄傳》第一八回：「顧先生也不破他的桿子，只把右腿一撒，左腿一低，前身一低，紀獻唐那條桿子早從他脊梁上面過去。」
2.排出、排洩。如：「你也不撒泡尿照照，看看自己是什麼德性？」《水滸傳》第四回：「只在佛殿後撒尿撒屎，遍地都是。」
3.施展、表現。如：「撒嬌」。元．關漢卿《竇娥冤》第二折：「浪蕩乾坤，怎敢行兇撒潑，擅自勒死平民！」
[名]
姓。如明代有撒仲謙。</t>
  </si>
  <si>
    <t>(二)ㄙㄚˇ sǎ（09984）</t>
  </si>
  <si>
    <t>ㄙㄚˇ</t>
  </si>
  <si>
    <t>sǎ</t>
  </si>
  <si>
    <t>參見「洒家」條。</t>
  </si>
  <si>
    <t>(一)ㄘㄨㄟˇ tsuěi（09870）(二)ㄒㄧˇ xǐ（06826）(三)ㄒㄧㄢˇ xiǎn（07108）</t>
  </si>
  <si>
    <t>[名]
一種沒有後跟的鞋子。今日的拖鞋是其遺制。原以皮製，為朝祭之服飾或舞女所著。後亦代以草編。元．陶宗儀《南村輟耕錄．卷一八．靸鞋》：「西浙之人，以草為履而無跟，名曰：『靸鞋』。婦女非纏足者，通曳之。」</t>
  </si>
  <si>
    <t>(一)ㄊㄚ tā（02419）</t>
  </si>
  <si>
    <t>[動]
1.散布、分散。如：「播撒」、「撒胡椒粉」。南朝宋．劉義慶《世說新語．言語》：「兄子胡兒曰：『撒鹽空中差可擬。』」
2.東西散落或傾倒出來。明．張岱《夜航船．卷一九．物裡部．物類相感》：「水銀撒了，以青石引之，皆上石。」《儒林外史》第一七回：「那人把匡大擔子奪了下來，那些零零碎碎東西，撒了一地。」</t>
  </si>
  <si>
    <t>(一)ㄙㄚ sā（09981）</t>
  </si>
  <si>
    <t>灑</t>
  </si>
  <si>
    <t>[動]
1.撒、潑。如：「灑水掃地」。南朝宋．劉義慶《世說新語．簡傲》：「主已知子猷當往，乃灑埽施設，在聽事坐相待。」
2.東西散落或傾倒。如：「湯灑了。」「花生灑了一地。」《鏡花緣》第三五回：「宮娥拾過，又斟一杯，林之洋接著，心中更覺發慌，登時又把酒灑了。」
3.拋、投。晉．潘岳〈西征賦〉：「灑釣投網，垂餌出入，挺叉來往。」
4.揮寫。如：「揮灑」。唐．李白〈獻從叔當塗宰陽冰〉詩：「落筆灑篆文，崩雲使人驚。」
[形]
自然不受拘束。如：「灑脫」、「瀟灑」。</t>
  </si>
  <si>
    <t>卅</t>
  </si>
  <si>
    <t>ㄙㄚˋ</t>
  </si>
  <si>
    <t>sà</t>
  </si>
  <si>
    <t>[名]
三十。如：「他今年卅八歲。」晉．王羲之〈雜帖〉：「建安靈柩至，慈陰幽絕，垂卅年。」</t>
  </si>
  <si>
    <t>[動]
以腳撥取東西。唐．杜甫〈短歌行贈王郎司直〉：「西得諸侯棹錦水，欲向何門趿珠履。」</t>
  </si>
  <si>
    <t>(二)ㄊㄚ tā（02418）</t>
  </si>
  <si>
    <t>颯</t>
  </si>
  <si>
    <t>[擬]
形容風聲。唐．李商隱〈無題〉詩四首之二：「颯颯東風細雨來，芙蓉塘外有輕雷。」
[動]
1.狂風掀扯物體。明．湯顯祖《牡丹亭》第一八齣：「夢初回，燕尾翻風，亂颯起湘簾翠。」
2.衰落。南朝梁．陸倕〈思田賦〉：「歲聿忽其云暮，庭草颯以萎黃。」</t>
  </si>
  <si>
    <t>[動]_x000D_
側手擊打。《公羊傳．莊公十二年》：「萬臂摋仇牧碎其首。」漢．何休．解詁：「側手曰摋。」</t>
  </si>
  <si>
    <t>(二)ㄕㄚ shā（08797）</t>
  </si>
  <si>
    <t>[動]
流放、放逐。《左傳．昭公元年》：「周公殺管叔而蔡蔡叔，夫豈不愛，王室故也。」晉．杜預．注：「蔡，放也。」</t>
  </si>
  <si>
    <t>(一)ㄘㄞˋ cài（09750）</t>
  </si>
  <si>
    <t>薩</t>
  </si>
  <si>
    <t>[名]
1.參見「菩薩」條。
2.姓。如明代有薩琦。</t>
  </si>
  <si>
    <t>[動]
刻鏤。《集韻．入聲．合韻》：「鎝，鏤也。」</t>
  </si>
  <si>
    <t>(二)ㄊㄚˇ tǎ（02424）</t>
  </si>
  <si>
    <t>躠</t>
  </si>
  <si>
    <t>˙ㄙㄚ</t>
  </si>
  <si>
    <t>sa</t>
  </si>
  <si>
    <t>參見「摩挲」(二)條。</t>
  </si>
  <si>
    <t>(一)ㄙㄨㄛ suō（10121）(二)˙ㄕㄚ sha（08816）</t>
  </si>
  <si>
    <t>ㄙㄜˋ</t>
  </si>
  <si>
    <t>sè</t>
  </si>
  <si>
    <t>[名]
1.物體表面的色彩。如：「五顏六色」、「五光十色」、「花色鮮豔」。
2.面容、神情。如：「不動聲色」、「和顏悅色」、「面不改色」、「察言觀色」。
3.女色，容貌美麗的婦女。《論語．季氏》：「少之時，血氣未定，戒之在色。」唐．白居易〈長恨歌〉：「漢皇重色思傾國，御宇多年求不得。」
4.景象。如：「暮色深沉」、「景色宜人」。
5.種類、式樣。如：「貨色齊全」、「形形色色」、「花色繁多」。
6.品質、成分。多指金銀而言。如：「成色」、「足色」。
7.性慾、情慾。如：「色情」、「桃色糾紛」。《孟子．告子上》：「告子曰：『食、色，性也。』」
8.二一四部首之一。
[動]
1.生氣發怒，改變臉色。《戰國策．韓策二》：「怒於室者色於市，今公叔怨齊，無奈何也。」
2.訪求。如：「物色」。</t>
  </si>
  <si>
    <t>(二)ㄕㄞˇ shǎi（08852）</t>
  </si>
  <si>
    <t>銫</t>
  </si>
  <si>
    <t>[名]
（cesium，Cs）化學元素。原子序55。鹼金屬元素之一。呈銀白色，質地柔軟，活性大，是熱與電的優良導體。在空氣中能自燃，火焰為青色。可用以製造光電管及真空管中的電極。</t>
  </si>
  <si>
    <t>(一)ㄐㄧˊ jí（05348）</t>
  </si>
  <si>
    <t>[名]
1.鐵把小矛，古代作為兵器或農具。晉．陸雲〈答車茂安書〉：「舉鈒成雲，下鈒成雨，既浸既潤，隨時代序也。」
2.戟。《北史．卷一〇．周宣帝本紀》：「又令武賁持鈒馬上，稱警蹕，以至同州。」
[動]
以金銀鑲飾器物。宋．吳曾《能改齋漫錄．卷一三．記事》：「近年賜帶者多，匠者務為新巧，遂以御仙花枝葉稍繁，改鈒荔枝，而葉極省。」</t>
  </si>
  <si>
    <t>(二)ㄐㄧˊ jí（05353）</t>
  </si>
  <si>
    <t>塞</t>
  </si>
  <si>
    <t>[動]
1.阻隔不通。如：「堵塞」、「阻塞」、「閉塞」。《文選．諸葛亮．出師表》：「不宜妄自菲薄，引喻失義，以塞忠諫之路也。」
2.充滿。如：「充塞」。《禮記．孔子閒居》：「志氣塞乎天地。」
3.推託、應付。如：「搪塞」、「塞責」。
4.補救。《漢書．卷七一．于定國傳》：「今丞相、御史將欲何施以塞此咎？悉意條狀，陳朕過失。」</t>
  </si>
  <si>
    <t>(二)（(一)之又音）ㄙㄟ sēi（10019）(三)ㄙㄞˋ sài（10016）(四)ㄙㄞ sāi（10013）</t>
  </si>
  <si>
    <t>瑟</t>
  </si>
  <si>
    <t>[名]
樂器名。一種彈撥弦樂器。形狀似琴，長八尺一吋，廣一尺八吋，相傳為庖犧所作。古有五十弦，後改為二十五弦，弦各有柱，可上下移動，以定聲音清濁高低。
[副]
單獨、寂寞、蕭條。如：「瑟居」、「蕭瑟」。
[擬]
形容風聲。如：「谷風瑟瑟」。</t>
  </si>
  <si>
    <t>璱</t>
  </si>
  <si>
    <t>[形]
形容玉的橫紋像琴弦一樣。《說文解字．玉部》：「璱，玉英華相帶如瑟弦。」</t>
  </si>
  <si>
    <t>飋</t>
  </si>
  <si>
    <t>[名]
秋風。《玉篇．風部》：「飋，秋風。」《文選．王延壽．魯靈光殿賦》：「鴻爌炾以爣閬，飋蕭條而清冷。」
[擬]
形容風吹的聲音。唐．王周〈西山晚景〉詩：「半引彎彎月，微生飋飋風。」</t>
  </si>
  <si>
    <t>嗇</t>
  </si>
  <si>
    <t>[形]
儉省。如：「吝嗇」、「慳嗇」。《管子．五輔》：「纖嗇省用，以備飢饉。」
[名]
耕作的事。通「穡」。《漢書．卷一〇．成帝紀》：「服田力嗇，乃亦有秋。」</t>
  </si>
  <si>
    <t>濇</t>
  </si>
  <si>
    <t>[形]_x000D_
不光滑、不順暢。《聊齋志異．卷六．雲翠仙》：「山路濇，母如此蹜蹜，妹如此纖纖，何能便至？」</t>
  </si>
  <si>
    <t>穡</t>
  </si>
  <si>
    <t>[名]
成熟可收割的穀物。《晉書．卷五二．阮种傳》：「如農者之殖磽野，旱年之望豐穡。」
[動]
1.收割穀物。《詩經．魏風．伐檀》：「不稼不穡，胡取禾三百廛兮？」
2.耕種。漢．桓寬《鹽鐵論．錯弊》：「古之仕者不穡，田者不漁。」
3.愛惜、節儉。《左傳．昭公元年》：「大國省穡而用之，其何實非命。」</t>
  </si>
  <si>
    <t>轖</t>
  </si>
  <si>
    <t>[名]
1.以漆過的皮革所覆蓋的車箱。南朝梁．江淹〈蕭驃騎讓油幢表〉：「不宜假文丹幰，空飾皁轖。」
2.借指車。《陳書．卷三三．儒林傳．沈不害傳》：「轖駕列庭，表紫拾地。」
[副]
梗塞不順。《文選．枚乘．七發》：「邪氣逆襲，中若結轖。」</t>
  </si>
  <si>
    <t>澀</t>
  </si>
  <si>
    <t>[形]
1.不滑潤。如：「粗澀」、「輪軸發澀」。
2.文字生硬難懂。如：「晦澀」。《宋史．卷三八〇．勾龍如淵傳》：「文章平易者多淺近，淵深者多艱澀。」
3.說話遲鈍不流利。南朝宋．劉義慶《世說新語．輕詆》：「王右軍少時甚澀訥。」《南齊書．卷七．東昏侯本紀》：「性重澀少言，不與朝士接，唯親信閹人及左右御刀應敕等。」
4.味道微苦不甘滑。如：「酸澀」、「這李子好澀。」。唐．李咸用〈和吳處士題村叟壁〉詩：「秋果樝梨澀，晨羞筍蕨鮮。」</t>
  </si>
  <si>
    <t>ㄙㄞ</t>
  </si>
  <si>
    <t>sāi</t>
  </si>
  <si>
    <t>[形]
䯱思：鬍鬚多的樣子。《集韻．平聲．咍韻》：「䰄，䯱䰄，多鬚貌。或作思。」</t>
  </si>
  <si>
    <t>(一)ㄙ sī（09935）(二)（讀音）ㄙˋ sì（09970）</t>
  </si>
  <si>
    <t>[形]
能力好。《詩經．齊風．盧令》：「盧重鋂，其人美且偲。」漢．毛亨．傳：「偲，才也。」</t>
  </si>
  <si>
    <t>(一)ㄙ sī（09936）</t>
  </si>
  <si>
    <t>毸</t>
  </si>
  <si>
    <t>腮</t>
  </si>
  <si>
    <t>[名]
面頰。如：「她受了委屈，哭得眼腫腮紅。」《紅樓夢》第一二回：「賈瑞聽了，喜的抓耳撓腮。」</t>
  </si>
  <si>
    <t>[名]
魚類的呼吸器官。位在頭部的兩頰，用來吸取溶解在水裡的氧氣。</t>
  </si>
  <si>
    <t>(二)ㄒㄧˇ xǐ（06839）</t>
  </si>
  <si>
    <t>[名]
封口的東西，通常用軟木或塑膠製成。如：「瓶塞」、「活塞」、「軟木塞」。也稱為「塞子」。
[動]
1.填滿空隙。如：「嘴裡塞滿了糖果。」
2.受阻不暢。如：「塞車」。</t>
  </si>
  <si>
    <t>(一)ㄙㄜˋ sè（09999）(二)（(一)之又音）ㄙㄟ sēi（10019）(三)ㄙㄞˋ sài（10016）</t>
  </si>
  <si>
    <t>㘔</t>
  </si>
  <si>
    <t>[動]
吃、飽嘗。如：「好酒好肉㘔一頓。」</t>
  </si>
  <si>
    <t>(二)（又音）ㄙㄞˊ sái（10015）</t>
  </si>
  <si>
    <t>ㄙㄞˊ</t>
  </si>
  <si>
    <t>sái</t>
  </si>
  <si>
    <t>(一)ㄙㄞ sāi（10014）</t>
  </si>
  <si>
    <t>ㄙㄞˋ</t>
  </si>
  <si>
    <t>sài</t>
  </si>
  <si>
    <t>[名]
1.險要的地方。如：「要塞」。《呂氏春秋．有始覽．有始》：「山有九塞，澤有九藪。」漢．高誘．注：「險阻曰塞。」
2.邊境。如：「邊塞」、「關塞」。唐．杜甫〈秋興〉詩八首之一：「江間波浪兼天湧，塞上風雲接地陰。」
[動]
酬報神明。通「賽」。《韓非子．外儲說右下》：「秦襄王病，百姓為之禱。病愈，殺牛塞禱。」《文選．阮籍．為鄭沖勸晉王牋》：「西塞江源，望祀民山。」</t>
  </si>
  <si>
    <t>(一)ㄙㄜˋ sè（09999）(二)（(一)之又音）ㄙㄟ sēi（10019）(四)ㄙㄞ sāi（10013）</t>
  </si>
  <si>
    <t>賽</t>
  </si>
  <si>
    <t>[動]
1.競爭、較量。如：「競賽」、「賽跑」。
2.超越、勝過、比得上。如：「賽西施」。《劉知遠諸宮調．第二》：「貌賽嫦娥，顏過洛浦。」
3.完結、了結。宋．趙長卿〈清平樂．鴻來燕去〉詞：「何日利名俱賽，為予笑下愁城。」元．曾瑞卿《留鞋記》第二折：「這回償了鴛鴦債，則願的今朝賽。」
4.酬報神明。如：「賽神廟會」。漢．王充《論衡．辯祟》：「項羽攻襄安，襄安無噍類，未必不禱賽也。」
[名]
1.比較勝負、優劣的活動。如：「球賽」、「預賽」、「決賽」、「複賽」。
2.姓。如清代有賽尚阿。</t>
  </si>
  <si>
    <t>簺</t>
  </si>
  <si>
    <t>[名]
1.古代的一種博戲。《南齊書．卷四四．沈文季傳》：「尤善簺彈棋，簺用五子。」
2.用竹木編成的捕魚器具。《隋書．卷五五．乞伏慧傳》：「曾見人以簺捕魚者，出絹買而放之。」《新唐書．卷三．高宗本紀》：「閏五月丁卯，禁作簺捕魚、營圈取獸者。」</t>
  </si>
  <si>
    <t>ㄙㄟ</t>
  </si>
  <si>
    <t>sēi</t>
  </si>
  <si>
    <t>(一)ㄙㄜˋ sè（09999）(三)ㄙㄞˋ sài（10016）(四)ㄙㄞ sāi（10013）</t>
  </si>
  <si>
    <t>溞</t>
  </si>
  <si>
    <t>ㄙㄠ</t>
  </si>
  <si>
    <t>sāo</t>
  </si>
  <si>
    <t>參見「溞溞」條。</t>
  </si>
  <si>
    <t>[動]
擾動。通「騷」。《魏書．卷五八．楊播傳》：「城中慅擾，不敢出戰。」</t>
  </si>
  <si>
    <t>(二)ㄘㄠˇ cǎo（09762）</t>
  </si>
  <si>
    <t>搔</t>
  </si>
  <si>
    <t>[動]
1.以指甲或器物輕輕抓刮。如：「搔癢」、「搔爬」。唐．杜甫〈春望〉詩：「白頭搔更短，渾欲不勝簪。」
2.擾亂、騷動。通「騷」。《淮南子．兵略》：「貪昧饕餮之人，殘賊天下，萬人搔動。」</t>
  </si>
  <si>
    <t>瘙</t>
  </si>
  <si>
    <t>[名]
疥瘡。明．李時珍《本草綱目．卷三三．果部．慈姑》：「（慈姑葉）搗爛封之，調蚌粉塗瘙疿。」</t>
  </si>
  <si>
    <t>騷</t>
  </si>
  <si>
    <t>[動]
擾亂、動盪。如：「騷擾」。《詩經．大雅．常武》：「徐方繹騷，震驚徐方。」漢．毛亨．傳：「騷，動也。」
[名]
1.憂愁。《史記．卷八四．屈原賈生列傳．屈原》：「離騷者，猶離憂也。」
2.抑鬱不滿的心理。如：「滿腹牢騷」。
3.《離騷》的簡稱。南朝梁．劉勰《文心雕龍．辨騷》：「昔漢武愛騷，而淮南作傳。」
4.詩體的一種。即楚辭體。如：「騷詞」、「騷賦」。
5.泛稱詩文。唐．劉長卿〈對雨贈濟陰馬少府考城蔣少府兼獻成武五兄南華二兄〉詩：「笑語和風騷，雍容事文墨。」
6.腥臭。通「臊」。如：「羊騷」。
[形]
1.指行為淫蕩、舉止輕佻。含貶義。如：「騷貨」、「風騷」。
2.風雅的。如：「騷人墨客」。
3.指雄性的家畜。如：「騷牛」、「騷馬」。</t>
  </si>
  <si>
    <t>艘</t>
  </si>
  <si>
    <t>[名]
1.量詞。計算船隻、艦艇的單位。如：「一艘船」、「十艘軍艦」。《晉書．卷五六．孫楚傳》：「興造舟楫，簡習水戰，樓船萬艘，千里相望。」
2.舟船的總稱。宋．汪元量〈水龍吟．鼓鞞驚破霓裳〉詞：「自都門燕別，龍艘錦纜，空載得、春歸去。」《明史．卷八三．河渠志一》：「沛地淤填七八里，糧艘阻不進。」</t>
  </si>
  <si>
    <t>(二)（又音）ㄙㄡ sōu（10039）</t>
  </si>
  <si>
    <t>臊</t>
  </si>
  <si>
    <t>[名]
腥臭的氣味。如：「牛臊」、「羊臊」。《荀子．榮辱》：「口辨酸鹹甘苦，鼻辨芬芳腥臊。」</t>
  </si>
  <si>
    <t>(二)ㄙㄠˋ sào（10032）</t>
  </si>
  <si>
    <t>[動]
煮繭抽絲。通「繅」。唐．李白〈贈清漳明姪聿〉詩：「繰絲鳴機杼，百里聲相聞。」</t>
  </si>
  <si>
    <t>(一)ㄗㄠˇ zǎo（09497）</t>
  </si>
  <si>
    <t>繅</t>
  </si>
  <si>
    <t>[動]
將蠶繭煮過抽出絲來。《說文解字．糸部》：「繅，繹繭為絲也。」唐．李頻〈送許棠歸涇縣作尉〉詩：「遶郭看秧插，尋街聽繭繅。」</t>
  </si>
  <si>
    <t>掃</t>
  </si>
  <si>
    <t>ㄙㄠˇ</t>
  </si>
  <si>
    <t>sǎo</t>
  </si>
  <si>
    <t>[動]
1.清除汙穢。如：「灑掃庭院」。《新五代史．卷三三．死事傳．姚洪傳》：「昔為李七郎奴，掃馬糞。」
2.消除、消滅。如：「橫掃千軍」。《文選．張衡．東京賦》：「掃項軍於垓下，紲子嬰於軹塗。」
3.塗抹。唐．張祜〈集靈臺〉詩：「卻嫌脂粉汙顏色，淡掃娥眉朝至尊。」
4.掠過。如：「電激風掃」、「用眼睛一掃」。唐．李白〈大獵賦〉：「千騎飆掃，萬乘雷奔。」
5.打消、敗壞。如：「掃興」。
6.繪畫、書寫。唐．李白〈草書歌行〉：「吾師醉後倚繩床，須臾掃盡數千張。」</t>
  </si>
  <si>
    <t>(二)ㄙㄠˋ sào（10031）</t>
  </si>
  <si>
    <t>嫂</t>
  </si>
  <si>
    <t>[名]
稱謂：(1)對哥哥的妻子的稱呼。如：「兄嫂」、「大嫂」。《孟子．離婁上》：「嫂溺，則援之以手乎？」《史記．卷六九．蘇秦傳》：「蘇秦之昆弟妻嫂側目不敢仰視，俯伏等其食。」(2)對朋友之妻或一般婦女的敬稱。如：「尊嫂」、「嫂夫人」、「王嫂」、「李嫂」。</t>
  </si>
  <si>
    <t>ㄙㄠˋ</t>
  </si>
  <si>
    <t>sào</t>
  </si>
  <si>
    <t>參見「掃帚」條。</t>
  </si>
  <si>
    <t>(一)ㄙㄠˇ sǎo（10029）</t>
  </si>
  <si>
    <t>[名]
剁成細碎的肉。如：「肉燥」、「燥子」。</t>
  </si>
  <si>
    <t>(一)ㄗㄠˋ zào（09508）</t>
  </si>
  <si>
    <t>[動]
1.害羞、難為情。如：「害臊」。《程乙本紅樓夢》第二四回：「那小紅臊的轉身一跑，卻被門檻子絆倒。」
2.羞辱。《紅樓夢》第二四回：「臊你娘的，瞎了眼睛，碰起我來了。」
[名]
參見「臊子」條。</t>
  </si>
  <si>
    <t>(一)ㄙㄠ sāo（0026）</t>
  </si>
  <si>
    <t>叟</t>
  </si>
  <si>
    <t>ㄙㄡ</t>
  </si>
  <si>
    <t>sōu</t>
  </si>
  <si>
    <t>參見「叟兵」、「叟叟」等條。</t>
  </si>
  <si>
    <t>(一)ㄙㄡˇ sǒu（10044）</t>
  </si>
  <si>
    <t>溲</t>
  </si>
  <si>
    <t>[名]
屎、尿。如：「解溲」。《後漢書．卷二七．張湛傳》：「湛至朝堂，遺失溲便，因自陳疾篤，不能復任朝事，遂罷之。」
[動]
1.排泄。《史記．卷一〇五．扁鵲倉公傳》：「湧疝也，令人不得前後溲。」
2.用水調和。《禮記．內則》：「為稻粉，糔溲之，以為酏。」宋．王禹偁〈甘菊冷淘〉詩：「俸麵新且細，溲牢如玉墩。」
3.淘洗。《聊齋志異．卷六．小謝》：「二女微笑，轉身向灶，析薪溲米，為生執爨。」</t>
  </si>
  <si>
    <t>廋</t>
  </si>
  <si>
    <t>[動]
1.隱匿。《玉篇．广部》：「廋，隱匿也。」《論語．為政》：「視其所以，觀其所由，察其所安，人焉廋哉？」
2.找尋。通「搜」。《漢書．卷七六．趙廣漢傳》：「直突入其門，廋索私屠酤。」唐．顏師古．注：「廋讀與搜同，謂入室求之也。」</t>
  </si>
  <si>
    <t>搜</t>
  </si>
  <si>
    <t>[動]
1.找尋、尋求。《漢書．卷六．武帝紀》：「秋，閉城門大搜，發謫戌屯五原。」《聊齋志異．卷一．狐嫁女》：「已而主人斂酒具，少一爵，冥搜不得。」
2.檢查、檢點。如：「搜身」。元．王實甫《西廂記．第三本．第二折》：「不肯搜自己狂為，只待要覓別人破綻。」</t>
  </si>
  <si>
    <t>嗖</t>
  </si>
  <si>
    <t>[形]
笑的樣子。《玉篇．口部》：「嗖，笑貌。」
[擬]
1.形容驅鳥所發出的聲音。《集韻．去聲．宥韻》：「嗖，驅鳥聲。」
2.形容迅速通過的聲音。如：「子彈嗖嗖的掠過頭頂。」</t>
  </si>
  <si>
    <t>螋</t>
  </si>
  <si>
    <t>參見「蠼螋」條。</t>
  </si>
  <si>
    <t>(一)ㄙㄠ sāo（10025）</t>
  </si>
  <si>
    <t>鎪</t>
  </si>
  <si>
    <t>[動]
1.刻鏤。《文選．左思．魏都賦》：「木無雕鎪，土無綈錦。」
2.侵、蝕。宋．陸游〈醉中步月湖上〉詩：「霜風鎪病骨，林月寫孤影。」</t>
  </si>
  <si>
    <t>餿</t>
  </si>
  <si>
    <t>[動]
食物腐敗而變味。如：「飯菜餿了。」
[形]
1.腐壞變味的。如：「餿水」。《紅樓夢》第六一回：「前兒要吃豆腐，你弄了些餿的，叫他說了我一頓。」
2.不管用、不高明的。如：「餿主意」。</t>
  </si>
  <si>
    <t>颼</t>
  </si>
  <si>
    <t>[擬]
1.形容風吹的聲音。漢．趙壹〈迅風賦〉：「啾啾颼颼，吟嘯相求。」
2.形容行動迅速如風的聲音。《水滸傳》第七回：「那漢颼的把那口刀掣將出來。」
3.形容雨聲。唐．杜甫〈秋雨歎〉三首之三：「雨聲颼颼催早寒，胡雁翅溼高飛難。」
[形]
寒冷的樣子。如：「冷颼颼」。宋．蘇軾〈韋偃牧馬圖〉詩：「沙苑茫茫蒺藜秋，風髮霧鬣寒颼颼。」
[動]
風吹。如：「衣服被風颼乾了。」</t>
  </si>
  <si>
    <t>蒐</t>
  </si>
  <si>
    <t>[名]
1.茜草，可作染料。《說文解字．艸部》：「蒐，茅蒐，茹慮。人血所生，可以染絳。」《山海經．中山經》：「其陽多玉，其陰多蒐。」
2.古代稱春天或秋天的打獵為「蒐」。《左傳．隱公五年》：「故春蒐、夏苗、秋獮、冬狩，皆於農隙以講事也。」
[動]
1.狩獵。《穀梁傳．昭公八年》：「秋，蒐于紅。」
2.聚集。《左傳．襄公二十六年》：「二人役歸一人，簡兵蒐乘。」
3.尋求。《宋史．卷一六四．職官志四》：「以稱朝廷蒐補闕軼，緝熙彌文之意。」
4.隱藏。《左傳．文公十八年》：「靖譖庸回，服讒蒐慝。」</t>
  </si>
  <si>
    <t>ㄙㄡˇ</t>
  </si>
  <si>
    <t>sǒu</t>
  </si>
  <si>
    <t>[名]
1.老人。如：「童叟無欺」。
2.稱謂。對老年男子的尊稱。如：「老叟」。《孟子．梁惠王上》：「叟，不遠千里而來。」</t>
  </si>
  <si>
    <t>(二)ㄙㄡ sōu（10033）</t>
  </si>
  <si>
    <t>瞍</t>
  </si>
  <si>
    <t>[名]
瞎子。《國語．周語上》：「故天子聽政，使公卿至於列士獻詩，瞽獻曲，史獻書，師箴，瞍賦，矇誦。」
[形]
瞎，眼睛沒有眼珠。《詩經．大雅．靈臺》：「鼉鼓逢逢，矇瞍奏公。」</t>
  </si>
  <si>
    <t>[動]
1.以口作聲對狗發出命令。《左傳．宣公二年》：「公嗾夫獒焉，明搏而殺之。」唐．李賀〈公無出門〉詩：「嗾犬狺狺相索索，舐掌偏宜佩蘭客。」
2.教唆，指使別人做壞事。《北史．卷二六．宋隱傳》：「爾如狗耳！為人所嗾。」《聊齋志異．卷三．商三官》：「以醉謔忤邑豪，豪嗾家奴亂捶之，舁歸而斃。」</t>
  </si>
  <si>
    <t>(二)（又音）ㄗㄨˊ zú（09592）</t>
  </si>
  <si>
    <t>擻</t>
  </si>
  <si>
    <t>參見「抖擻」、「擻抖抖」等條。</t>
  </si>
  <si>
    <t>(二)ㄙㄡˋ sòu（10053）</t>
  </si>
  <si>
    <t>藪</t>
  </si>
  <si>
    <t>[名]
1.密生雜草的湖澤、沼澤。《楚辭．屈原．九章．惜往日》：「君無度而弗察兮，使芳草為藪幽。」《國語．楚語下》：「又有藪曰雲連徒洲，金木竹箭之所生也。」
2.人物聚集的地方。《書經．武成》：「為天下逋逃主，萃淵藪。」漢．蔡邕〈胡廣黃瓊頌〉：「惟道之淵，惟德之藪。」
3.草野、鄉野。晉．湛方生〈後齋詩〉：「解纓復褐，辭朝歸藪。」</t>
  </si>
  <si>
    <t>[名]
過濾米的竹器。《說文解字．竹部》：「籔，炊䉛也。」清．段玉裁．注：「本漉米具也。既浚乾，則可炊矣。故名炊䉛。」</t>
  </si>
  <si>
    <t>(一)ㄕㄨˋ shù（09110）</t>
  </si>
  <si>
    <t>ㄙㄡˋ</t>
  </si>
  <si>
    <t>sòu</t>
  </si>
  <si>
    <t>[動]
咳嗽。同「嗽」。</t>
  </si>
  <si>
    <t>(一)ㄕㄨㄛˋ shuò（09126）</t>
  </si>
  <si>
    <t>(一)（讀音）ㄕㄨˋ shù（09089）</t>
  </si>
  <si>
    <t>嗽</t>
  </si>
  <si>
    <t>[動]
1.氣管受到痰或氣體的刺激，引起反射作用，而用力排出氣體。如：「咳嗽」、「嗽喘」。
2.以口吸吮。如：「嗽飲」。《漢書．卷九三．佞幸傳．鄧通傳》：「文帝嘗病癰，鄧通常為上嗽吮之。」
3.用水漱口。通「漱」。《史記．卷一〇五．扁鵲倉公傳》：「……苦參湯，日嗽三升，出入五六日，病已。」</t>
  </si>
  <si>
    <t>[動]
用火條或火筷子插到火爐裡，把灰搖掉或撥除。如：「把爐子擻一擻。」</t>
  </si>
  <si>
    <t>(一)ㄙㄡˇ sǒu（10047）</t>
  </si>
  <si>
    <t>ㄙㄢ</t>
  </si>
  <si>
    <t>sān</t>
  </si>
  <si>
    <t>[名]
1.介於二和四之間的自然數。如：「二、三、四、五……」。大寫作「參」，阿拉伯數字作「3」。
2.姓。如明代有三成志。
[形]
1.第三位的。如：「這次比賽他得了第三名。」
2.表多數或多次的。如：「舉一反三」、「三番兩次」、「一問三不知」。</t>
  </si>
  <si>
    <t>(二)ㄙㄚ sā（09979）(三)ㄙㄢˋ sàn（10066）</t>
  </si>
  <si>
    <t>参</t>
  </si>
  <si>
    <t>[名]
三的大寫。</t>
  </si>
  <si>
    <t>同「三」。</t>
  </si>
  <si>
    <t>(一)ㄘㄢ cān（09773）(二)ㄕㄣ shēn（08979）(三)ㄘㄣ cēn（09788）</t>
  </si>
  <si>
    <t>[形]
蔘綏：(1)廣大的。漢．揚雄《方言》卷二：「蔘綏，……言既廣又大也。……東甌之間謂之蔘綏。」(2)下垂的樣子。《廣韻．平聲．覃韻》：「蔘，蔘綏，垂貌。」</t>
  </si>
  <si>
    <t>(一)ㄕㄣ shēn（08980）</t>
  </si>
  <si>
    <t>毿</t>
  </si>
  <si>
    <t>[形]
毛髮細長的樣子。《玉篇．毛部》：「毿，毛長貌。」</t>
  </si>
  <si>
    <t>鬖</t>
  </si>
  <si>
    <t>參見「鬖鬖」、「鬖髿」等條。</t>
  </si>
  <si>
    <t>散</t>
  </si>
  <si>
    <t>ㄙㄢˇ</t>
  </si>
  <si>
    <t>sǎn</t>
  </si>
  <si>
    <t>[形]
1.不自約束的。如：「懶散」。《荀子．修身》：「庸眾駑散，則劫之以師友。」唐．楊倞．注：「散，不拘檢者也。」
2.零碎、不緊湊。如：「散工」、「散沙」。
3.閒逸。如：「閒散」、「散官」。
4.雜亂、沒有規則。如：《韓非子．大體》：「故至安之世，法如朝露，純樸不散。」
[動]
分開、解體。如：「隊伍散了」、「頭髮散了」。
[名]
1.藥粉。如：「胃散」、「藥散」、「消暑散」。
2.姓。如周代有散宜生。</t>
  </si>
  <si>
    <t>(一)ㄙㄢˋ sàn（10067）</t>
  </si>
  <si>
    <t>繖</t>
  </si>
  <si>
    <t>[名]
1.遮蔽雨水或陽光的用具。同「傘」。《集韻．上聲．緩韻》：「繖，亦作傘。」《晉書．卷八三．王雅傳》：「將拜，遇雨，請以繖入。」宋．陸游〈鏡湖女〉詩：「女兒妝面花樣紅，小繖翻翻亂荷葉。」
2.絲綾。《廣韻．上聲．旱韻》：「繖，繖絲綾。」</t>
  </si>
  <si>
    <t>饊</t>
  </si>
  <si>
    <t>[名]
一種用麵條扭成細絲後，油炸而成的食品。《水滸傳》第二四回：「取些銀子與武大，教買餅饊茶果請鄰舍吃茶。」</t>
  </si>
  <si>
    <t>傘</t>
  </si>
  <si>
    <t>[名]
1.遮蔽雨水或陽光的用具。通常以金屬或竹條做骨架，以布或油紙為傘面，可以任意張合。如：「雨傘」、「油紙傘」。
2.形狀像傘的東西。如：「降落傘」。</t>
  </si>
  <si>
    <t>槮</t>
  </si>
  <si>
    <t>[動]
在水中積架柴木以圍捕魚群。《爾雅．釋器》：「槮謂之涔。」晉．郭璞．注：「今之作槮者，聚集柴木於水中，魚得寒，入其裡藏隱，因以簿圍捕取之。」</t>
  </si>
  <si>
    <t>(一)ㄙㄣ sēn（10069）</t>
  </si>
  <si>
    <t>糝</t>
  </si>
  <si>
    <t>[名]
1.飯粒。《說文解字．米部》「糂」字．清．段玉裁．注：「今南人俗語曰米糝飯，糝謂孰者也。」晉．江統〈徙戎論〉：「若有窮乏糝粒不繼者，故當傾關中之穀，以全其生生之計。」
2.以米調和羹或其他食物而製成的食品。宋．陸游〈晨起偶題〉詩：「風爐歙缽生涯在，且試新寒芋糝羹。」
[動]
撒落、散開。唐．李白〈春感〉詩：「榆莢錢生樹，楊花玉糝街。」</t>
  </si>
  <si>
    <t>ㄙㄢˋ</t>
  </si>
  <si>
    <t>sàn</t>
  </si>
  <si>
    <t>[副]
屢次、再三。參見「三思」、「三復」等條。</t>
  </si>
  <si>
    <t>(一)ㄙㄢ sān（10054）(二)ㄙㄚ sā（09979）</t>
  </si>
  <si>
    <t>[動]
1.分離。如：「分散」、「離散」、「煙消雲散」。
2.分布、撒出。如：「散播」、「散發」、「天女散花」。
3.排遣、抒發。如：「散悶」、「散心」。唐．杜甫〈落日〉詩：「濁醪誰造汝，一酌散千憂。」
4.解雇、解職。如：「遣散」。
5.逃走。《孟子．梁惠王下》：「老弱轉乎溝壑，壯者散而之四方者，幾千人矣。」</t>
  </si>
  <si>
    <t>(二)ㄙㄢˇ sǎn（10060）</t>
  </si>
  <si>
    <t>森</t>
  </si>
  <si>
    <t>ㄙㄣ</t>
  </si>
  <si>
    <t>sēn</t>
  </si>
  <si>
    <t>[形]
1.樹木濃密的樣子。《說文解字．木部》：「森，木多貌。」《文選．左思．蜀都賦》：「皛貙氓於葽草，彈言鳥於森木。」
2.灰暗陰冷的樣子。如：「陰森」。唐．顧況〈遊子吟〉：「泬寥群動異，眇默諸境森。」
3.整肅、不可侵犯的。如：「法度森嚴」。唐．李白〈出自薊北門行〉：「虎竹救邊急，戎車森已行。」
[副]
眾多的。如：「森列」、「森羅萬象」。《文選．潘岳．藉田賦》：「森奉璋以階列，望皇軒而肅震。」</t>
  </si>
  <si>
    <t>[形]_x000D_
樹木高聳的樣子。《說文解字．木部》：「槮，長木貌。」《楚辭．宋玉．九辯》：「萷櫹槮之可哀兮，形銷鑠而瘀傷。」《文選．卷一八．賦．馬融．長笛賦》：「林簫蔓荊，森槮柞樸。」唐．李善．注：「森槮，木長貌。」</t>
  </si>
  <si>
    <t>(二)ㄙㄢˇ sǎn（10064）</t>
  </si>
  <si>
    <t>桑</t>
  </si>
  <si>
    <t>ㄙㄤ</t>
  </si>
  <si>
    <t>sāng</t>
  </si>
  <si>
    <t>[名]
1.植物名。桑科桑屬，「桑樹」之古稱，參見「桑樹」條。
2.姓。如漢代有桑弘羊。</t>
  </si>
  <si>
    <t>喪</t>
  </si>
  <si>
    <t>[名]
1.有關死者的事宜。如：「居喪」、「治喪」、「弔喪」。《史記．卷八．高祖本紀》：「漢王聞之，袒而大哭。遂為義帝發喪，臨三日。」
2.屍體。《春秋．僖公元年》：「夫人氏之喪至自齊。」《資治通鑑．卷六〇．漢紀五十二．獻帝初平三年》：「鮑信戰死，操購求其喪不得，乃刻木如信狀，祭而哭焉。」
3.姓。如周代有喪左。</t>
  </si>
  <si>
    <t>(二)ㄙㄤˋ sàng（10076）</t>
  </si>
  <si>
    <t>搡</t>
  </si>
  <si>
    <t>ㄙㄤˇ</t>
  </si>
  <si>
    <t>sǎng</t>
  </si>
  <si>
    <t>[動]
推、擠。《儒林外史》第五四回：「被丁言志搡了一交，骨碌碌就滾到橋底下去了。」</t>
  </si>
  <si>
    <t>嗓</t>
  </si>
  <si>
    <t>[名]
喉嚨。如：「他說話說的嗓子都啞了」。《兒女英雄傳》第二七回：「嘴也說酸了，嗓子也說乾了。」</t>
  </si>
  <si>
    <t>磉</t>
  </si>
  <si>
    <t>[名]
柱下的石頭。即礎。《廣韻．上聲．蕩韻》：「磉，柱下石也。」</t>
  </si>
  <si>
    <t>顙</t>
  </si>
  <si>
    <t>[名]
1.額頭、前額。《孟子．滕文公上》：「其顙有泚，睨而不視。」《史記．卷四七．孔子世家》：「東門有人，其顙類堯。」
2.泛指頭。唐．杜甫〈義鶻〉詩：「修鱗脫遠枝，巨顙拆老拳。」明．徐弘祖《徐霞客遊記．卷一〇上．滇遊日記十三》：「自顙及趾，靡有所遺。」
3.喉嚨、嗓子。元．龐德祥《殺狗勸夫》第四折：「動不動搯人的顙子。」
[動]
叩頭。《公羊傳．昭公二十五年》：「喪人不佞，失守魯國之社稷，執事以羞，再拜顙。」</t>
  </si>
  <si>
    <t>ㄙㄤˋ</t>
  </si>
  <si>
    <t>sàng</t>
  </si>
  <si>
    <t>[動]
1.逃亡。《詩經．唐風．葛生．序》：「好攻戰，則國人多喪矣。」
2.失去、丟掉。如：「喪盡天良」、「喪權辱國」、「垂頭喪志」。唐．韓愈〈李尚書書〉：「魂亡魄喪，影滅跡絕。」
3.失敗、毀滅。《論語．憲問》：「夫如是，奚而不喪？」《國語．晉語》：「若紂有良子，而先紂喪，無章其惡而厚其敗。」
4.死亡。《書經．金縢》：「武王既喪，管叔及其群弟乃流言於國。」南朝宋．劉義慶《世說新語．賢媛》：「郗嘉賓喪，婦兄弟欲迎妹還，終不肯歸。」</t>
  </si>
  <si>
    <t>(一)ㄙㄤ sāng（10071）</t>
  </si>
  <si>
    <t>僧</t>
  </si>
  <si>
    <t>ㄙㄥ</t>
  </si>
  <si>
    <t>sēng</t>
  </si>
  <si>
    <t>[名]
1.和尚，出家修行的人。如：「老僧入定」。唐．賈島〈題李凝幽居〉詩：「鳥宿池邊樹，僧敲月下門。」
2.姓。如唐代有僧可朋。</t>
  </si>
  <si>
    <t>鬙</t>
  </si>
  <si>
    <t>參見「鬅鬙」條。</t>
  </si>
  <si>
    <t>ㄙㄨ</t>
  </si>
  <si>
    <t>sū</t>
  </si>
  <si>
    <t>(一)ㄕㄨ shū（09057）(三)ㄕㄨˋ shù（09099）</t>
  </si>
  <si>
    <t>(一)ㄕㄨ shū（09058）</t>
  </si>
  <si>
    <t>甦</t>
  </si>
  <si>
    <t>[動]
蘇醒、死而復生。《董西廂》卷二：「夫人聞語，仆地諕倒。紅娘與鶯鶯連救，多時稍甦。」</t>
  </si>
  <si>
    <t>酥</t>
  </si>
  <si>
    <t>[名]_x000D_
1.用油和麵粉等製成的鬆脆食品。如：「鳳梨酥」、「核桃酥」。_x000D_
2.參見「酴酥」條。_x000D_
[動]_x000D_
酸軟。《水滸傳》第一〇一回：「王慶看到好處，不覺心頭撞鹿，骨軟觔麻，好便似雪獅子向火，霎時間酥了半邊。」_x000D_
[形]_x000D_
1.柔軟無力的。如：「酥軟」、「酥麻」。_x000D_
2.柔嫩而光潔的。宋．陸游〈釵頭鳳．紅酥手〉詞：「紅酥手，黃縢酒，滿城春色宮牆柳。」《水滸傳》第三八回：「冰肌玉骨，粉面酥胸。杏臉桃腮，醞釀出十分春色。」《金瓶梅詞話》第一九回：「攤開羅衫，露見美玉無瑕，香馥馥的酥胸。」</t>
  </si>
  <si>
    <t>穌</t>
  </si>
  <si>
    <t>[動]
甦醒、死而復生。如：「復穌」。也作「甦」、「蘇」。</t>
  </si>
  <si>
    <t>蘇</t>
  </si>
  <si>
    <t>[名]
1.植物名。即紫蘇。脣形科紫蘇屬，「紫蘇」之古稱，參見「紫蘇」條。
2.下垂的穗狀裝飾物。如：「流蘇」。南朝梁．簡文帝〈七勵〉：「金蘇翠幄，玉案象床。」
3.江蘇省的簡稱。
4.蘇州的簡稱。如：「上有天堂，下有蘇杭。」
5.姓。如宋代有蘇軾。
[動]
1.甦醒、死而復生。同「穌」。《左傳．宣公八年》：「晉人獲秦諜，殺諸絳市，六日而蘇。」
2.睡醒。唐．杜荀鶴〈早發〉詩：「東窗未明塵夢蘇，呼童結束登征途。」
3.獲救、緩解。《書經．仲虺之誥》：「徯予后，后來其蘇。」唐．杜甫〈江漢〉詩：「落日心猶壯，秋風病欲蘇。」
4.割草。《史記．卷九二．淮陰侯列傳》：「樵蘇後爨，師不宿飽。」</t>
  </si>
  <si>
    <t>囌</t>
  </si>
  <si>
    <t>參見「嚕囌」條。</t>
  </si>
  <si>
    <t>俗</t>
  </si>
  <si>
    <t>ㄙㄨˊ</t>
  </si>
  <si>
    <t>sú</t>
  </si>
  <si>
    <t>[名]
1.群眾的風尚習慣。如：「禮俗」、「陋俗」、「入境隨俗」、「移風易俗」。《禮記．曲禮上》：「入國而問俗，入門而問諱。」
2.世人、一般人。漢．楊惲〈報孫會宗書〉：「足下不深惟其終始，而猥隨俗之毀譽也！」《三國志．卷五七．吳書．虞翻傳》：「性不協俗，多見謗毀。」
3.塵世、世間。如：「還俗」。元．關漢卿《裴度還帶》第二折：「自幼捨俗出家，在白馬寺中脩行。」
[形]
1.粗鄙的。如：「粗俗」、「鄙俗」。三國蜀．諸葛亮〈表廢廖立〉：「國家不任賢而任俗吏。」
2.平凡的、平庸的。如：「俗士」、「俗人」。唐．白居易〈早春聞提壺鳥因題鄰家〉詩：「欲期明日東鄰醉，變作騰騰一俗夫。」
3.大眾化的、淺近的。如：「俗語」、「俗諺」、「俗文學」、「通俗小說」。</t>
  </si>
  <si>
    <t>夙</t>
  </si>
  <si>
    <t>ㄙㄨˋ</t>
  </si>
  <si>
    <t>sù</t>
  </si>
  <si>
    <t>[名]
早晨。如：「夙夜匪懈」。《書經．舜典》：「夙夜惟寅，直哉惟清。」唐．孔穎達．正義：「夙，早也。」《文選．潘岳．秋興賦》：「夙興晏寢，匪遑厎寧。」
[形]
1.舊的、以前的。《西遊記》第五二回：「且休題夙話。」
2.平常的、一向的。如：「夙願」、「夙志」。《後漢書．卷八〇．文苑傳下．趙壹傳》：「惟君明叡，平其夙心。」
3.飽學的。通「宿」。參見「夙儒」條。</t>
  </si>
  <si>
    <t>泝</t>
  </si>
  <si>
    <t>[動]
逆水而上。《左傳．文公十年》：「沿漢泝江，將入郢。」《新唐書．卷八五．竇建德傳》：「運糧泝河西上，舟相屬不絕。」</t>
  </si>
  <si>
    <t>訴</t>
  </si>
  <si>
    <t>[動]_x000D_
1.陳述、傾吐。如：「告訴」、「訴說」、「互訴衷曲」。晉．潘岳〈寡婦賦〉：「潛靈邈其不反兮，殷憂結而靡訴。」唐．白居易〈琵琶行〉：「弦弦掩抑聲聲思，似訴平生不得意。」_x000D_
2.告狀、控告。如：「起訴」、「上訴」。《漢書．卷一〇．成帝紀》：「刑罰不中，眾冤失職，趨闕告訴者不絕。」《新唐書．卷一一六．列傳．王綝》：「始，部中首領沓墨，民詣府訴，府曹素相餉謝，未嘗治。」_x000D_
3.詆毀。《左傳．成公十六年》：「取貨于宣伯，而訴公于晉侯，晉侯不見公。」《三國志．卷一四．魏書．程郭董劉蔣劉傳．郭嘉》：「初，陳群非嘉不治行檢，數廷訴嘉，嘉意自若。」_x000D_
4.求助、憑藉。如：「訴諸親情」、「訴諸武力」。_x000D_
[名]_x000D_
姓。如漢代有訴梵。</t>
  </si>
  <si>
    <t>涑</t>
  </si>
  <si>
    <t>參見「涑水」條。</t>
  </si>
  <si>
    <t>速</t>
  </si>
  <si>
    <t>[副]
快、急。表時間。如：「迅速」、「速成」、「速寫」。《論語．子路》：「欲速則不達，見小利大，大事不成。」
[動]
1.邀請。《易經．需卦．上六》：「有不速之客三人來，敬之終吉。」《文選．張衡．南都賦》：「以速遠朋，嘉賓是將；揖讓而升，宴于蘭堂。」
2.招致。《左傳．昭公二十六年》：「毋速天罰，赦圖不穀。」《國語．楚語下》：「是之不恤，而蓄聚不厭，其速怨於民多矣。」
[名]
速度的簡稱。如：「光速」、「音速」。</t>
  </si>
  <si>
    <t>觫</t>
  </si>
  <si>
    <t>參見「觳觫」條。</t>
  </si>
  <si>
    <t>樕</t>
  </si>
  <si>
    <t>參見「樸樕」條。</t>
  </si>
  <si>
    <t>遬</t>
  </si>
  <si>
    <t>[動]
肅敬。《禮記．玉藻》：「君子之容舒遲，見所尊者齊遬。」</t>
  </si>
  <si>
    <t>蔌</t>
  </si>
  <si>
    <t>[名]
蔬菜。《詩經．大雅．韓奕》：「其蔌維何？維筍及蒲。」漢．毛亨．傳：「蔌，菜殽也。」宋．歐陽修〈醉翁亭記〉：「山肴野蔌，雜然而前陳者，太守宴也。」</t>
  </si>
  <si>
    <t>𦌊</t>
  </si>
  <si>
    <t>餗</t>
  </si>
  <si>
    <t>[名]
1.鼎中的食物。《易經．鼎卦．九四》：「鼎折足，覆公餗。」唐．孔穎達．正義：「餗，糝也，八珍之膳，鼎之實也。」
2.泛指美味的佳餚。宋．梅堯臣〈就野人買兔〉詩：「剩付錢刀買庖餗，不須緣徑更求蹄。」明．張四維《雙烈記》第二八齣：「奇珍異味天庖餗，一飯須知恩可報，君恩似海深難掬。」</t>
  </si>
  <si>
    <t>簌</t>
  </si>
  <si>
    <t>[動]
搖動。元．白樸《牆頭馬上》第二折：「待月簾微簌，迎風戶半開。」</t>
  </si>
  <si>
    <t>素</t>
  </si>
  <si>
    <t>[名]
1.白色的生絹。唐．杜牧〈杜秋娘〉詩：「寒衣一匹素，夜借鄰人機。」
2.事物的基本性質、根本。如：「因素」、「元素」、「色素」。《淮南子．俶真》：「是故虛無者道之舍，平易者道之素。」
3.用絹帛寫的書信。《文選．古樂府．飲馬長城窟行》：「客從遠方來，遺我雙鯉魚。呼兒烹鯉魚，中有尺素書。」唐．元稹〈魚中素〉詩：「重疊魚中素，幽緘手自開。」
4.真情、真誠。通「愫」。宋．蘇軾〈徐州謝上表〉：「惟有樸忠之素，既久而猶堅，遠不忘君，未忍改常度。」
5.不包括蔥、蒜、韭的蔬菜食物。如：「禮佛吃素」。
[形]
1.樸質無華的、清淡的。如：「樸素」、「素妝」、「素流」。《淮南子．本經》：「其心愉而不偽，其事素而不飾。」漢．高誘．注：「素，樸也。」
2.白色的。如：「素絲」、「素車白馬」。《禮記．雜記上》：「素錦以為屋而行。」《文選．左思．雜詩》：「明月出雲崖，皦皦流素光。」
3.一向的。如：「素志」、「素行」。《三國志．卷六．魏書．袁紹傳》：「緣紹素意，乃素尚代紹位。」
[副]
1.空的、平白的。如：「尸位素餐」。
2.平日的。如：「平素」、「素不相識」。《三國志．卷一一．魏書．張範傳》：「士不素撫，兵不練習，難以成功。」</t>
  </si>
  <si>
    <t>傃</t>
  </si>
  <si>
    <t>[動]
1.向、往。南朝齊．王融〈採菱曲〉：「雕輜傃平隰，朱櫂泊安流。」宋．蘇軾〈放鶴亭記〉：「暮則傃東山而歸，故名三日放鶴亭。」
2.遵循、遵守。宋．王安石〈諫官論〉：「循其名，傃其分，以事其上而不敢過也。」</t>
  </si>
  <si>
    <t>愫</t>
  </si>
  <si>
    <t>[名]
真情。明．張自烈《正字通．心部》：「愫，情實也。」如：「情愫」。</t>
  </si>
  <si>
    <t>嗉</t>
  </si>
  <si>
    <t>[名]
位於鳥類食道後段，暫時貯存食物的囊狀部分。即嗉囊。唐．白居易〈新樂府．秦吉了〉：「豈無鵰與鶚，嗉中肉飽不肯搏。」</t>
  </si>
  <si>
    <t>膆</t>
  </si>
  <si>
    <t>[形]
肥胖。《玉篇．肉部》：「膆，肥也。」
[名]
鳥類食道末端貯藏食物的囊狀部分。同「嗉」。《文選．潘岳．射雉賦》：「當咮值胸，裂膆破觜。」</t>
  </si>
  <si>
    <t>[名]
1.供休止的處所。如：「宿舍」。《周禮．地官．遺人》：「三十里有宿，宿有路室。」
2.國名。在今山東省東平縣東。
3.姓。如漢代有宿詳。
[動]
1.住夜。《論語．微子》：「止子路宿，殺雞為黍而食之。」
2.停留。《漢書．卷五二．韓安國傳》：「孝文寤於兵之不可宿。」
3.安、守。《左傳．昭公二十九年》：「官宿其業，其物乃至。」晉．杜預．注：「宿，猶安也。」
[形]
1.舊的、積久的。如：「宿怨」、「宿憂」。《漢書．卷七〇．陳湯傳》：「雪邊吏之宿恥。」
2.隔夜的。如：「宿雨」、「宿醉」。《鏡花緣》第四回：「睡到黎明，宿酒已消。」
3.前世的。如：「宿緣」。
4.平日的。通「夙」。《後漢書．卷八四．列女傳．王霸妻傳》：「奈何忘宿志而慚兒女子乎！」
[副]
1.素來、平時。《後漢書．卷五七．劉陶傳》：「靈帝宿聞其名，數引納之。」
2.早先。《管子．地圖》：「宿定所征伐之國。」唐．尹知章．注：「宿，猶先也。」</t>
  </si>
  <si>
    <t>(二)ㄒㄧㄡˋ xiù（07060）(三)ㄒㄧㄡˇ xiǔ（07050）</t>
  </si>
  <si>
    <t>蓿</t>
  </si>
  <si>
    <t>縮</t>
  </si>
  <si>
    <t>(一)（語音）ㄙㄨㄛ suō（10133）</t>
  </si>
  <si>
    <t>蹜</t>
  </si>
  <si>
    <t>參見「蹜蹜」條。</t>
  </si>
  <si>
    <t>粟</t>
  </si>
  <si>
    <t>[名]
1.植物名。禾本科狗尾草屬，「小米」之古稱。參見「小米」條。
2.穀實的總稱。《淮南子．詮言》：「量粟而舂，數米而炊，可以治家，而不可治國。」
3.俸祿。《史記．卷六一．伯夷列傳》：「義不食周粟，隱於首陽山，采薇而食。」
4.皮膚遇寒時在表面所起的小顆粒。宋．蘇軾〈雪後書北臺壁〉詩二首之二：「凍合玉樓寒起粟，光搖銀海眩生花。」俗稱為「雞皮疙瘩」。
5.姓。如漢代有粟舉。</t>
  </si>
  <si>
    <t>憟</t>
  </si>
  <si>
    <t>[動]
阿諛、奉承。《玉篇．心部》：「憟，承止顏色也。」</t>
  </si>
  <si>
    <t>肅</t>
  </si>
  <si>
    <t>[形]
1.恭敬的。《左傳．僖公二十三年》：「其從者肅而寬，忠而能力。」
2.莊嚴的。如：「嚴肅」、「肅穆」。《禮記．玉藻》：「言容詻詻，色容厲肅。」
[動]
1.恭敬。晉．陸機〈漢高祖功臣頌〉：「稷嗣制禮，下肅上尊。」
2.敬畏。《漢書．卷七三．韋賢傳》：「皇帝祇肅舊禮，尊重神明，即告于祖宗而不敢失。」
3.戒備、整飭。《文選．曹植．應詔詩》：「命彼掌徒，肅我征旅。」
4.斂縮、萎縮。《禮記．月令》：「季春行冬令，則寒氣時發，草木皆肅。」
5.急迫、嚴峻。《禮記．禮運》：「刑肅而俗敝，則法無常。」漢．鄭玄．注：「肅，駿也。」
6.引導。參見「肅客」條。
7.用於書信的敬詞。如：「手肅」、「端肅」、「拜肅」。
[副]
恭敬的。如：「肅立」、「肅呈」、「肅謝」。北齊．顏之推《顏氏家訓．風操》：「斂容肅坐。」</t>
  </si>
  <si>
    <t>橚</t>
  </si>
  <si>
    <t>參見「橚矗」、「橚爽」等條。</t>
  </si>
  <si>
    <t>驌</t>
  </si>
  <si>
    <t>鷫</t>
  </si>
  <si>
    <t>溯</t>
  </si>
  <si>
    <t>[動]
1.逆流而上。《文選．王粲．七哀詩二首之二》：「方舟溯大江，日暮愁我心。」《晉書．卷一一三．苻堅載記上》：「晉將毛武生救魏興，遣前鋒督護趙福、將軍袁虞等將水軍一萬，溯江而上。」
2.往上或往前推求、回想。如：「推本溯源」、「不溯既往」、「追溯往事」。</t>
  </si>
  <si>
    <t>塑</t>
  </si>
  <si>
    <t>[動]
1.用泥土等做成人、物的形狀。如：「泥塑」、「雕塑」。《兒女英雄傳》第六回：「那時一定重修廟宇，再塑金身。」
2.陶冶、培養。如：「塑造形象」。</t>
  </si>
  <si>
    <t>愬</t>
  </si>
  <si>
    <t>[動]
1.訴說。通「訴」。《孟子．梁惠王上》：「天下之欲疾其君者，皆欲赴愬於王。」《文選．司馬遷．報任少卿書》：「深幽囹圄之中，誰可告愬者？」
2.詆毀、誣陷別人。《論語．憲問》：「公伯寮愬子路於季孫。」唐．劉禹錫〈上杜司徒書〉：「盡誠可以絕嫌猜，徇公可以弭讒愬。」
3.向。通「溯」。《文選．潘岳．西征賦》：「愬黃卷以濟潼，眺華岳之陰崖。」李善注引薛綜〈西京賦〉注曰：「愬，向也。愬與溯古字通。」南朝宋．謝莊〈月賦〉：「情紆軫其何託？愬皓月而長歌。」
[形]
驚懼。《公羊傳．宣公六年》：「靈公望見趙盾，愬而再拜。」</t>
  </si>
  <si>
    <t>窣</t>
  </si>
  <si>
    <t>[動]
1.從洞穴中衝出來。《說文解字．穴部》：「窣，從穴中卒出。」
2.拂。唐．岑參〈衛節度赤驃馬歌〉：「請君鞲出看君騎，尾長窣地如紅絲。」
[擬]
形容細小的聲音。如：「窸窸窣窣」。宋．蘇軾〈入峽〉詩：「墜崖鳴窣窣，垂蔓綠毿毿。」</t>
  </si>
  <si>
    <t>參見「數珠」條。</t>
  </si>
  <si>
    <t>(一)ㄕㄨˋ shù（09109）(二)ㄕㄨˇ shǔ（09086）(三)ㄕㄨㄛˋ shuò（09130）(四)ㄘㄨˋ cù（09830）</t>
  </si>
  <si>
    <t>謖</t>
  </si>
  <si>
    <t>[動]
起。《禮記．祭統》：「是故尸謖，君與卿四人餕。」唐．柳宗元〈起廢答〉：「十有一人，謖足以進，列植以慶。」
[副]
收斂、整飭的樣子。《後漢書．卷六〇下．蔡邕傳》：「公子謖爾斂袂而興曰：『胡為其然也？』」</t>
  </si>
  <si>
    <t>娑</t>
  </si>
  <si>
    <t>ㄙㄨㄛ</t>
  </si>
  <si>
    <t>suō</t>
  </si>
  <si>
    <t>[形]
參見「婆娑」條。
[助]
用於句中，無義。猶「個」。南朝宋．劉義慶《世說新語．雅量》：「下官家故可有兩娑千萬，隨公所取。」</t>
  </si>
  <si>
    <t>[動]
以手撫摸。如：「摩挲」。</t>
  </si>
  <si>
    <t>(二)˙ㄕㄚ sha（08816）(三)˙ㄙㄚ sa（09994）</t>
  </si>
  <si>
    <t>桫</t>
  </si>
  <si>
    <t>參見「桫欏」條。</t>
  </si>
  <si>
    <t>[名]
參見「莎草」條。
[形]
生有莎草的。如：「莎州」、「莎岸」。</t>
  </si>
  <si>
    <t>(二)ㄕㄚ shā（08789）</t>
  </si>
  <si>
    <t>[動]
捼莏：兩手相互搓摩。《集韻．平聲．支韻》：「莏，捼莏，澤手也。」</t>
  </si>
  <si>
    <t>(二)（語音）ㄘㄨㄛ cuō（09839）</t>
  </si>
  <si>
    <t>髿</t>
  </si>
  <si>
    <t>參見「鬖髿」條。</t>
  </si>
  <si>
    <t>唆</t>
  </si>
  <si>
    <t>[動]
指使、慫恿。如：「教唆」。《三國演義》第二〇回：「量汝是個醫人，安敢下毒害我？必有人唆使你來！」
[形]
說話煩多。如：「囉唆」。</t>
  </si>
  <si>
    <t>梭</t>
  </si>
  <si>
    <t>[名]
織布時用來牽引橫線的器具，兩頭尖，中間粗，絲束放於中空部分。《晉書．卷六六．陶侃傳》：「侃少時漁於雷澤，網得一織梭，以掛于壁。」宋．華岳〈田家〉詩：「老農鋤水子收禾，老婦攀機女織梭。」也稱為「梭子」。</t>
  </si>
  <si>
    <t>鮻</t>
  </si>
  <si>
    <t>[名]
古代傳說中的怪魚。即鮻魚。明．張自烈《正字通．魚部》：「鮻，《山海經》：『西海中，姑射山有鮻魚，人面、人手、魚身，見則風濤起。』」</t>
  </si>
  <si>
    <t>傞</t>
  </si>
  <si>
    <t>參見「傞傞」條。</t>
  </si>
  <si>
    <t>嗦</t>
  </si>
  <si>
    <t>[動]
用嘴吸吮或舌頭舔條形物。如：「小孩子總喜歡嗦手指頭。」
[形]
1.說話煩多。如：「囉嗦」。
2.參見「哆嗦」條。</t>
  </si>
  <si>
    <t>蓑</t>
  </si>
  <si>
    <t>[名]_x000D_
用草或棕櫚葉做成的雨具。《詩經．小雅．無羊》：「爾牧來思，何蓑何笠。」漢．毛亨．傳：「蓑，所以備雨。」唐．柳宗元〈江雪〉詩：「孤舟蓑笠翁，獨釣寒江雪。」_x000D_
[動]_x000D_
以草覆蓋。《公羊傳．定公元年》：「三月，晉人執宋仲幾于京師。仲幾之罪何？不蓑城也。」漢．何休．解詁：「若今以草衣城是也。」</t>
  </si>
  <si>
    <t>簑</t>
  </si>
  <si>
    <t>[名]
用草或棕櫚葉做成的雨衣。同「蓑」。《清史稿．卷八三．禮志二》：「黛耜青箱，畚鎛簑笠，咸寓知民疾苦至意。」</t>
  </si>
  <si>
    <t>[動]
1.收斂、變小。如：「緊縮」、「縮小範圍」。《呂氏春秋．仲夏紀．古樂》：「筋骨瑟縮不達，故作為舞以宣導之。」
2.害怕、退避。如：「退縮」、「畏縮」。《國語．越語下》：「贏縮轉化，後將悔之。」
3.進退。《國語．越語下》：「贏縮轉化，後將悔之。」三國吳．韋昭．注：「贏縮，進退也。」
4.節省。如：「縮衣節食」。</t>
  </si>
  <si>
    <t>(二)（讀音）ㄙㄨˋ sù（10106）</t>
  </si>
  <si>
    <t>索</t>
  </si>
  <si>
    <t>ㄙㄨㄛˊ</t>
  </si>
  <si>
    <t>suó</t>
  </si>
  <si>
    <t>參見「索性」(二)條。</t>
  </si>
  <si>
    <t>(一)ㄙㄨㄛˇ suǒ（10136）</t>
  </si>
  <si>
    <t>所</t>
  </si>
  <si>
    <t>ㄙㄨㄛˇ</t>
  </si>
  <si>
    <t>suǒ</t>
  </si>
  <si>
    <t>[名]
1.地方、處所。《呂氏春秋．恃君覽．達鬱》：「厥之諫我也，必於無人之所。」
2.恰當的位置。如：「死得其所」。《易經．繫辭下》：「交易而退，各得其所。」《文選．諸葛亮．出師表》：「必能使行陣和睦，優劣得所也。」
3.量詞。計算建築物的單位。如：「一所房子」、「三所學校」。
4.約略計算之詞。多置於數量、單位之後。《史記．卷五五．留侯世家》：「父去里所，復還。」《續漢書志．第一一．天文志中》：「彗星出天船北，長二尺所。」
5.機關或機構的名稱。如：「區公所」、「派出所」、「研究所」。
6.姓。如漢代有所忠、所輔。
[代]
1.表示指示。相當於「此」、「這」。《呂氏春秋．審應覽．審應》：「齊亡地而王加膳，所非兼愛之心也。」唐．杜甫〈示從孫濟〉詩：「所來為宗族，亦不為盤飧。」
2.表示疑問。相當於「何」、「什麼」。《國語．魯語上》：「長勺之役，曹劌問所以戰於莊公。」
[連]
假設、如果。《詩經．鄘風．牆有茨》：「中冓之言，不可道也；所可道也，言之醜也。」《左傳．僖公二十四年》：「所不與舅氏同心者，有如白水。」
[助]
1.虛字。置在動詞前，暗示動作達到的事物。如：「前所未聞」。《論語．顏淵》：「己所不欲，勿施於人。」
2.與「為」或「被」合用，表示被動的意思。如：「他的作品為一般青年人所喜愛。」
[副]
相當於「尚」、「還」。《樂府詩集．卷四六．清商曲辭三．無名氏．懊儂歌十四首之三》：「江陵去揚州，三千三百里。已行一千三，所有二千在。」</t>
  </si>
  <si>
    <t>[名]
1.粗繩或粗鐵鍊。如：「麻索」、「鐵索」。《列子．天瑞》：「鹿裘帶索，鼓琴而歌。」《楚辭．賈誼．惜誓》：「傷誠是之不察兮，并紉茅絲以為索。」
2.姓。如晉代有索靖。
[動]
1.搓、絞緊。《楚辭．屈原．離騷》：「矯菌桂以紉蕙兮，索胡繩之纚纚。」《淮南子．主術》：「制觡伸鉤，索鐵歙金。」
2.探求、搜尋。如：「搜索」、「摸索」。《易經．繫辭上》：「探賾索隱，鉤深致遠。」唐．李白〈書情題蔡舍人雄〉詩：「倒海索明月，凌山採芳蓀。」
3.討、要。如：「索求」、「來函索取」。《韓非子．說林上》：「索救而得，今子有憂色何也？」《三國志．卷六．魏書．袁紹傳》：「馥懷懼，從紹索去，往依張邈。」
[副]
1.獨、散。如：「離群索居」。宋．陸游．《釵頭鳳．紅酥手》詞：「一懷愁緒，幾年離索。」
2.蕭條、寂寞。如：「興味索然」、「索然無味」。</t>
  </si>
  <si>
    <t>(二)ㄙㄨㄛˊ suó（10134）</t>
  </si>
  <si>
    <t>惢</t>
  </si>
  <si>
    <t>[動]
心疑、多慮。《說文解字．心部》：「惢，心疑也。」</t>
  </si>
  <si>
    <t>嗩</t>
  </si>
  <si>
    <t>參見「嗩吶」、「嗩吶草」等條。</t>
  </si>
  <si>
    <t>瑣</t>
  </si>
  <si>
    <t>[名]
1.玉石相碰撞所發出的細微聲音。《說文解字．玉部》：「瑣，玉聲。」
2.如連環、鎖鏈般的紋飾。《楚辭．屈原．離騷》：「欲少留此靈瑣兮，日忽忽其將暮。」漢．王逸．注：「瑣，門鏤也，文如連瑣。楚王之省閣也。」
3.裝在門、窗、箱上，使人無法輕易開啟的器具。通「鎖」。
4.姓。如宋代有瑣政。
[形]
細小的、零碎的。如：「瑣務」、「瑣聞」。</t>
  </si>
  <si>
    <t>鎖</t>
  </si>
  <si>
    <t>[名]
1.安裝在門戶、箱櫃等開合處，必須以鑰匙或暗碼打開的金屬器具。如：「銅鎖」、「暗鎖」。唐．杜甫〈憶昔行〉：「弟子誰依白茅室，盧老獨啟青銅鎖。」
2.鏈條。如：「枷鎖」。《漢書．卷九九．王莽傳下》：「以鐵鎖琅當其頸，傳詣鍾官，以十萬數。」明．徐弘祖《徐霞客遊記．卷一下．遊太華山日記》：「攀鎖上千尺幢，再上百尺峽。」
[動]
1.用鎖關住。如：「把門鎖上」。唐．王建〈烏棲曲〉：「夜深宮殿門不鎖，白露滿山山葉墮。」
2.幽禁、封閉。五代十國南唐．李煜〈相見歡．無言獨上西樓〉詞：「無言獨上西樓，月如鉤，寂寞梧桐深院鎖清秋。」宋．周邦彥〈鎖窗寒．暗柳啼鴉〉詞：「桐花半畝，靜鎖一庭愁雨。」
3.遮住、籠罩。元．孟漢卿《魔合羅》第一折：「我則見雨迷了山岫，雲鎖了青虛。」
4.蹙緊、緊皺。如：「愁眉深鎖」。
5.一種縫紉方法。用線順著布邊或扣眼密縫。如：「鎖邊」。《鏡花緣》第七〇回：「或用綾羅鑲邊，或以針線鎖口。」</t>
  </si>
  <si>
    <t>璅</t>
  </si>
  <si>
    <t>同「瑣」。</t>
  </si>
  <si>
    <t>ㄙㄨㄛˋ</t>
  </si>
  <si>
    <t>suò</t>
  </si>
  <si>
    <t>[助]
用於句末。表示疑問、感嘆、勸阻等語氣。在《楚辭．招魂》中常見。《楚辭．宋玉．招魂》：「魂兮歸來，南方不可以止些。」宋．沈括《夢溪筆談．卷三．辯證》：「楚詞招魂尾句皆曰『些』。今夔峽、湖湘及南北江獠人凡禁咒句尾皆稱『些』。此乃楚人舊俗。」</t>
  </si>
  <si>
    <t>(一)ㄒㄧㄝ xiē（06920）</t>
  </si>
  <si>
    <t>ㄙㄨㄟ</t>
  </si>
  <si>
    <t>suī</t>
  </si>
  <si>
    <t>[形]
走路遲緩的樣子。《玉篇．夊部》：「夊，行遲貌。」
[名]
二一四部首之一。</t>
  </si>
  <si>
    <t>(二)（又音）ㄘㄨㄟ cuī（09861）</t>
  </si>
  <si>
    <t>荽</t>
  </si>
  <si>
    <t>參見「胡荽」、「芫荽」等條。</t>
  </si>
  <si>
    <t>綏</t>
  </si>
  <si>
    <t>[名]
上車時用以拉引的繩索。《論語．鄉黨》：「升車，必正立執綏。」《史記．卷七〇．張儀傳》：「張儀至秦，洋失綏墮車，不朝三月。」
[動]
1.安撫。《書經．武成》：「肆予東征，綏厥士女。」《詩經．大雅．民勞》：「惠此中國，以綏四方。」
2.退卻。《左傳．文公十二年》：「秦以勝歸，我何以報，乃皆出戰，交綏。」南朝梁．任昉〈奏彈曹景宗〉：「臣聞將軍死綏，咫步無卻。」
3.制止。《國語．齊語》：「使民以勸，綏謗言，足以補官之不善政。」</t>
  </si>
  <si>
    <t>(二)（又音）ㄙㄨㄟˊ suí（10152）</t>
  </si>
  <si>
    <t>眭</t>
  </si>
  <si>
    <t>[形]
目光深視的樣子。《集韻．平聲．支韻》：「眭，目深貌。」
[名]
姓。如漢代有眭弘。</t>
  </si>
  <si>
    <t>睢</t>
  </si>
  <si>
    <t>[形]
參見「睢睢」條。
[名]
1.河川名。參見「睢河」條。
2.姓。如春秋時齊國有睢休相。</t>
  </si>
  <si>
    <t>雖</t>
  </si>
  <si>
    <t>[連]
1.雖然、儘管。表示容忍讓步。《孟子．滕文公上》：「詩云：『周雖舊邦，其命惟新。』」《韓非子．說林上》：「海水雖多，火必不滅矣。」
2.縱然、即使。表示假設推想。《論語．學而》：「雖曰未學，吾必謂之學矣。」《列子．湯問》：「雖我之死，有子存焉。」
[副]
獨、只。通「惟」。《論語．子罕》：「譬如平地，雖覆一簣，進，吾往也。」</t>
  </si>
  <si>
    <t>(二)（又音）ㄙㄨㄟˊ suí（10153）</t>
  </si>
  <si>
    <t>隋</t>
  </si>
  <si>
    <t>ㄙㄨㄟˊ</t>
  </si>
  <si>
    <t>suí</t>
  </si>
  <si>
    <t>[名]
1.朝代名。參見「隋朝」條。
2.姓。如漢代有隋昱。</t>
  </si>
  <si>
    <t>隨</t>
  </si>
  <si>
    <t>[動]
1.跟從、順從。如：「跟隨」、「追隨」、「蕭規曹隨」。《三國志．卷三五．蜀書．諸葛亮傳》：「遭漢末擾亂，隨叔父玄避難荊州，躬耕于野，不求聞達。」
2.沿著、順著。《書經．禹貢》：「禹敷土，隨山刊木，奠高山大川。」《文選．楊惲．報孫會宗書》：「雖雅知惲者，猶隨風而靡。」
3.聽任、任憑。如：「去不去隨你」。《史記．卷四四．魏世家》：「聽使者之惡之，隨安陵氏而亡之。」
4.北方方言。指相像。如：「他長得隨他父親。」
[副]
立即、接著。如：「隨時」、「隨即」。《漢書．卷九三．佞幸傳．鄧通傳》：「長公主賜鄧通，吏輒隨沒入之，一簪不得著身。」</t>
  </si>
  <si>
    <t>遂</t>
  </si>
  <si>
    <t>(一)ㄙㄨㄟˋ suì（10158）</t>
  </si>
  <si>
    <t>(一)ㄙㄨㄟ suī（10145）</t>
  </si>
  <si>
    <t>(一)ㄙㄨㄟ suī（10148）</t>
  </si>
  <si>
    <t>瀡</t>
  </si>
  <si>
    <t>ㄙㄨㄟˇ</t>
  </si>
  <si>
    <t>suǐ</t>
  </si>
  <si>
    <t>參見「滫瀡」條。</t>
  </si>
  <si>
    <t>髓</t>
  </si>
  <si>
    <t>[名]
1.骨頭中的膠狀物質。如：「骨髓」、「食髓知味」。唐．白居易〈與楊虞卿書〉：「去年六月，盜殺右丞相於通衢中，迸血髓。」
2.泛指膏脂狀的物質。《晉書．卷四九．嵇康傳》：「烈嘗得石髓如飴，即自服半。」唐．李賀〈昌谷〉詩：「小柏儼重扇，肥松突丹髓。」
3.比喻事物的精要部分。如：「精髓」、「神髓」。唐．李咸用〈讀修睦上人歌篇〉：「意下紛紛造化機，筆頭滴滴文章髓。」</t>
  </si>
  <si>
    <t>祟</t>
  </si>
  <si>
    <t>ㄙㄨㄟˋ</t>
  </si>
  <si>
    <t>suì</t>
  </si>
  <si>
    <t>[動]
作怪、為害。《管子．權修》：「上恃龜筮，好用巫醫，則鬼神驟祟。」《莊子．天道》：「一心定而王天下，其鬼不祟，其魂不疲。」
[名]
災禍。《戰國策．齊策四》：「寡人不祥，被於宗廟之祟，沉於諂諛之臣，開罪於君，寡人不足為也。」《紅樓夢》第七二回：「這一起外祟何日是了！」
[副]
做事不光明正大。如：「他做事鬼鬼祟祟。」</t>
  </si>
  <si>
    <t>[名]
古代位於郊外的行政區域。通「遂」。《禮記．學記》：「古之教者，家有塾，黨有庠，術有序，國有學。」</t>
  </si>
  <si>
    <t>(一)ㄕㄨˋ shù（09092）</t>
  </si>
  <si>
    <t>[動]
1.稱心、滿足。如：「諸事不遂」。《史記．卷一一七．司馬相如傳》：「長卿久宦遊不遂，而來過我。」《紅樓夢》第四六回：「天下的事未必都遂心如意的。」
2.順從、順應。如：「半身不遂」。《國語．周語下》：「節之鼓而行之，以遂八風。」
3.成功、成就。如：「殺人未遂」。唐．柳宗元〈瓶賦〉：「功成事遂，復於土泥。」《喻世明言．卷三六．宋四公大鬧禁魂張》：「男兒未遂平生志，且樂高歌入醉鄉。」
4.進、通達。《易經．大壯卦．上六》：「象曰：不能退，不能遂。」
5.薦舉、進用。《書經．仲虺之誥》：「佑賢輔德，顯忠遂良。」《禮記．月令》：「命太尉，贊桀俊，遂賢良，舉長大。」
6.生長。《漢書．卷二二．禮樂志》：「青陽開動，根荄以遂。」
7.盡、止。《禮記．曲禮上》：「有後入者，闔而勿遂。」
[副]
1.終究、竟然。《史記．卷八．高祖本紀》：「及高祖貴，遂不知老父處。」北齊．顏之推《顏氏家訓．慕賢》：「此人後生無比，遂不為世所稱，亦是奇事。」
2.就、於是。《史記．卷八．高祖本紀》：「乃前，拔劍擊斬蛇，蛇遂分為兩。」《文選．李斯．上書秦始皇》：「而穆公用之并國三十，遂霸西戎。」
[名]
1.遠郊、郊外。《書經．費誓》：「魯人三郊三遂，峙乃芻茭。」《禮記．王制》：「不變，移之遂，如初禮。」
2.小溝。《周禮．地官．遂人》：「凡治野，夫間有遂，遂上有徑。」《儒林外史》第四〇回：「溝間有洫，洫間有遂。」
3.古代射箭的人所穿的臂衣。《儀禮．大射禮》：「袒決遂，執弓右，挾之出。」</t>
  </si>
  <si>
    <t>(二)（又音）ㄙㄨㄟˊ suí（10151）</t>
  </si>
  <si>
    <t>隧</t>
  </si>
  <si>
    <t>[名]
1.墓道。《玉篇．阜部》：「隧，墓道也。」唐．范傳正〈贈左拾遺翰林學士李公新墓碑〉：「猗歟琢石為二碑，一藏幽隧一臨歧。」
2.地下通道。《左傳．隱公元年》：「大隧之中，其樂也融融。」
3.通路、要道。《左傳．襄公二十五年》：「初，陳侯會楚子伐鄭，當陳隧者井堙木刊。」《禮記．曲禮上》：「升降不由阼階，出入不當門隧。」
4.古代邊塞上守烽火的亭子。通「燧」。《文選．班彪．北征賦》：「登鄣隧而遙望兮，聊須更以婆娑。」三國魏．王粲〈七哀〉詩三首之三：「登城望亭隧，翩翩飛戍旗。」
[動]
挖掘地道。《新唐書．卷一三六．李光弼傳》：「思明宴城下，倡優居臺上靳指天子，光弼遣人隧地禽取之。」</t>
  </si>
  <si>
    <t>燧</t>
  </si>
  <si>
    <t>[名]
1.古代用以取火的器具。如：「木燧」。《韓非子．五蠹》：「有聖人作，鑽燧取火，以化腥臊。」
2.古代邊防舉煙警示的訊號。《墨子．號令》：「比至城者三表，與城上烽燧相望。」</t>
  </si>
  <si>
    <t>璲</t>
  </si>
  <si>
    <t>[名]
一種瑞玉。《詩經．小雅．大東》：「鞙鞙佩璲，不以其長。」漢．毛亨．傳：「璲，瑞也。」漢．鄭玄．箋：「佩璲者，以瑞玉為佩。」</t>
  </si>
  <si>
    <t>檖</t>
  </si>
  <si>
    <t>[名]
植物名。薔薇科梨屬，落葉喬木。葉廣卵形至卵形，鋸齒緣，光滑無毛。繖形或近總狀花序具六至二十朵花，花瓣白色。梨果近球形，徑九至十毫米。《爾雅．釋木》：「檖，蘿。」晉．郭璞．注：「檖，今楊檖也。實似梨而小，酢可食。」也稱為「豆梨」、「鹿梨」、「陽檖」。</t>
  </si>
  <si>
    <t>邃</t>
  </si>
  <si>
    <t>[形]
深遠。如：「深邃」。唐．柳宗元〈至小邱西小石潭記〉：「坐潭上，四面竹樹環合，寂寥無人，淒神寒骨，悄愴幽邃。」
[動]
精通。《漢書．卷四二．任敖傳》：「蒼凡好書，無所不觀，無所不通，而尤邃律曆。」</t>
  </si>
  <si>
    <t>穟</t>
  </si>
  <si>
    <t>[名]
植物成串聚生的花或果實。通「穗」。唐．段成式〈折楊柳〉詩七首之七：「黃金穟短人多折，已恨東風不展眉。」宋．蘇軾〈又次前韻贈賈耘老〉詩：「白花半落紫穟香，攘臂欲助磨鎌鎩。」
[形]
禾實生長茂盛美好的樣子。《詩經．大雅．生民》：「禾役穟穟。」</t>
  </si>
  <si>
    <t>旞</t>
  </si>
  <si>
    <t>[名]
繫在旌旗上的五彩羽毛。《說文解字．㫃部》：「旞，導車所載，全羽以為允。允，進也。」</t>
  </si>
  <si>
    <t>襚</t>
  </si>
  <si>
    <t>[名]
1.送給死人穿的衣服。《史記．卷八三．魯仲連鄒陽傳》：「鄒、魯之臣，生則不得事養，死則不得賻襚。」唐．張守節．正義：「衣服曰襚，貨財曰賻，皆助生送死之禮。」
2.贈活人的衣物。《西京雜記》卷一：「今日嘉辰，貴姊懋膺洪冊，謹上襚三十五條，以陳踊躍之心。」</t>
  </si>
  <si>
    <t>繸</t>
  </si>
  <si>
    <t>[名]
用來繫佩玉的絲帶。即綬。《爾雅．釋器》：「繸，綬也。」晉．郭璞．注：「即佩玉之組，所以連繫瑞玉者。」</t>
  </si>
  <si>
    <t>碎</t>
  </si>
  <si>
    <t>[動]_x000D_
破裂。如：「破碎」、「粉碎」。《史記．卷八一．廉頗藺相如列傳》：「大王必欲急臣，臣頭今與璧俱碎於柱矣。」《西遊記》第一〇回：「不容分說，就把他招牌、筆、硯等一齊捽碎。」_x000D_
[形]_x000D_
1.細小、不完整的。如：「碎布」、「碎石」。《漢書．卷三〇．藝文志》：「後世經傳既已乖離，博學者又不思多聞闕疑之義，而務碎義逃難，便辭巧說，破壞形體。」《水滸傳》第三回：「只自收拾了些少碎銀兩，打拴一個包裹。」_x000D_
2.瑣細、煩雜。如：「瑣碎」。《晉書．卷四五．列傳．劉毅》：「尚書以毅懸車致仕，不宜勞以碎務。」南朝梁．劉勰《文心雕龍．序志》：「應論華而疏略，陸賦巧而碎亂。」_x000D_
3.言語叨絮、囉嗦。如：「閒言碎語」。《紅樓夢》第六二回：「二則姨媽老人家嘴碎饒這麼樣，我還聽見常說你們不知過日子。」</t>
  </si>
  <si>
    <t>睟</t>
  </si>
  <si>
    <t>[形]
1.眼光清明的樣子。明．張自烈《正字通．目部》：「睟，目清明也。」
2.潤澤的樣子。唐．元稹《鶯鶯傳》：「常服睟容，不加新飾。」
3.顏色純一的樣子。漢．揚雄《法言．君子》：「牛玄騂白睟而角，其升諸廟乎。」唐．李德裕〈唐武宗皇帝真容贊〉：「至於天光睟清，日華明潤，非可圖也。」</t>
  </si>
  <si>
    <t>誶</t>
  </si>
  <si>
    <t>[動]
1.責罵、斥責。《聊齋志異．卷七．細柳》：「一日，生赴鄰村飲酒，適有追逋賦者，打門而誶。」
2.詰問。《莊子．山木》：「捐彈而反走，虞人逐而誶之。」
3.告知。《漢書．卷一〇〇．敘傳上》：「既誶爾以吉象兮，又申之以炯戒。」《後漢書．卷五九．張衡傳》：「慎灶顯於言天兮，占水火而妄誶。」
4.進諫、規勸。《楚辭．屈原．離騷》：「余雖好脩姱以鞿覊兮，謇朝誶而夕替。」</t>
  </si>
  <si>
    <t>歲</t>
  </si>
  <si>
    <t>[名]
1.年。如：「舊歲」、「歲歲平安」。《書經．堯典》：「期，三百有六旬有六日，以閏月定四時，成歲。」《漢書．卷七〇．陳湯傳》：「發民作城，日作五百人，二歲乃已。」
2.時光。如：「歲月」。《論語．陽貨》：「日月逝矣，歲不我與。」《楚辭．宋玉．九辯》：「歲忽忽而遒盡兮，恐余壽之弗將。」
3.年齡。如：「周歲」、「足歲」。《晉書．卷六六．劉弘傳》：「侃與敏同郡，又同歲舉吏。」《北史．卷七〇．柳遐傳》：「遐幼而爽邁，神彩嶷然，髫歲便有成人之量。」
4.一年的穀物收成。《左傳．哀公十六年》：「國人望君，如望歲焉。」《漢書．卷五八．卜式傳》：「往年西河歲惡，率齊人入粟。」
5.量詞：(1)計算時間的單位。一歲等於一年。如：「數歲之間」。(2)計算年齡的單位。如：「孔子活了七十三歲。」</t>
  </si>
  <si>
    <t>穗</t>
  </si>
  <si>
    <t>[名]
1.植物莖端成串聚生的小花或果實。如：「稻穗」。《詩經．王風．黍離》：「彼黍離離，彼稷之穗。」唐．白居易〈新樂府．杜陵叟〉：「九月降霜秋早寒，禾穗未熟皆青乾。」
2.燭花、燈花。唐．韓偓〈懶卸頭〉詩：「時復見殘燈，和煙墜金穗。」宋．范成大〈晚步宣華舊苑〉詩：「歸來更了程書債，目眚昏花燭穗垂。」
3.用絲線或布條等結紮而成的穗狀裝飾物。如：「帽穗」。
4.廣州市的別稱。</t>
  </si>
  <si>
    <t>繐</t>
  </si>
  <si>
    <t>[名]
1.細而疏的麻布。《說文解字．糸部》：「繐，細疏布。」《儀禮．喪服》：「繐衰者何，以小功之繐也。」《文選．劉孝標．廣絕交論》：「歸骸洛浦，繐帳猶懸。」
2.用絲線或布條等結紮而成的穗狀裝飾品。同「穗」。《二十年目睹之怪現狀》第五六回：「（夏作人）匆忙之間，又沒有辮繐子，將就用一根黑頭繩打了結，換上衣冠，出來相見。」</t>
  </si>
  <si>
    <t>狻</t>
  </si>
  <si>
    <t>ㄙㄨㄢ</t>
  </si>
  <si>
    <t>suān</t>
  </si>
  <si>
    <t>痠</t>
  </si>
  <si>
    <t>[形]
酸痛、微痛無力。如：「腰痠」、「腿痠」。</t>
  </si>
  <si>
    <t>酸</t>
  </si>
  <si>
    <t>[名]
1.像醋的味道或氣味。《荀子．榮辱》：「口辨酸、鹹、甘、苦。」唐．杜甫〈解悶〉詩一二首之一〇：「京中舊見君顏色，紅顆酸甜只自知。」
2.悲痛。《文選．江淹．恨賦》：「亦復含酸茹歎，銷落湮沉。」唐．韓愈〈賀冊尊號表〉：「銜酸抱痛，且恥且慚。」
3.化學上指在水溶液中進行電離時能產生氫離子的化合物。如：「硝酸」、「硫酸」、「鹽酸」。
[形]
1.水果或食品的味道酸澀。如：「酸梅」、「這青蘋果又酸又澀，實在難以下嚥。」
2.感覺微痛無力的。同「痠」。如：「腰酸背痛」。南朝梁．無名氏〈隴頭流水歌〉：「山高谷深，不覺腳酸。」
3.小氣、迂腐。如：「寒酸」、「窮酸」。
4.悲痛的。如：「心酸」、「辛酸」。
[動]
食物腐壞產生酸味。如：「牛奶已經酸了，不能喝。」</t>
  </si>
  <si>
    <t>匴</t>
  </si>
  <si>
    <t>ㄙㄨㄢˇ</t>
  </si>
  <si>
    <t>suǎn</t>
  </si>
  <si>
    <t>[名]
古代用來裝帽子的竹器。《廣韻．上聲．緩韻》：「匴，冠箱也。」《儀禮．士冠禮》：「爵弁、皮弁、緇布冠各一匴。」</t>
  </si>
  <si>
    <t>[名]
古代用來裝盛食品的竹器。《禮記．明堂位》：「薦用玉豆雕篹。」</t>
  </si>
  <si>
    <t>(一)ㄓㄨㄢˋ zhuàn（08104）(三)ㄗㄨㄢˇ zuǎn（09640）</t>
  </si>
  <si>
    <t>筭</t>
  </si>
  <si>
    <t>ㄙㄨㄢˋ</t>
  </si>
  <si>
    <t>suàn</t>
  </si>
  <si>
    <t>[名]
1.古代用來計數的器具。漢．王充《論衡．感虛》：「夫以箸撞鐘，以筭擊鼓，不能鳴者，所用撞擊之者小也。」南朝宋．劉義慶《世說新語．文學》：「如籌筭，雖無情，運之者有情。」
2.謀略。《文選．陸機．弔魏武帝文》：「長筭屈於短日，遠跡頓於促路。」
[動]
計數。同「算」。《文選．枚乘．七發》：「孔老覽觀，孟子持籌而筭之，萬不失一。」《後漢書．卷四八．翟酺傳》：「今自初政已來，日月未久，費用賞賜已不可筭。」</t>
  </si>
  <si>
    <t>蒜</t>
  </si>
  <si>
    <t>[名]_x000D_
植物名。多年生草本。「大蒜」之簡稱，參見「大蒜」條。</t>
  </si>
  <si>
    <t>算</t>
  </si>
  <si>
    <t>[動]
1.核計數目。如：「核算」、「結算」、「心算」、「推算」。
2.謀劃、策劃。如：「盤算」、「失算」、「打算」。
3.屬於、當作。如：「這頓飯算我請客。」、「東西弄壞了，該算誰的？」
4.謀害。元．鄭廷玉《後庭花》第一折：「夫人教我所算了他，我可下不的手。」元．無名氏《硃砂擔》第三折：「有鐵旛竿白正圖了他財，又算他性命。」
5.當真、承認有效力。如：「說話算話」。《儒林外史》第六回：「這都由他麼？他算是個甚麼東西！」
6.推測、料想。如：「算命」、「我算準了他一定會來。」
7.作罷、不再計較。如：「算了，多說無益。」《兒女英雄傳》第九回：「十三妹想起他那兩隻手是方纔撒溺褲襠的，連忙攔他道：『你那兩隻手，算了罷。』」
[名]
1.數目。《新唐書．卷二一六．吐蕃傳上》：「其刑，雖小罪必抉目，或刖、劓，以皮為鞭抶之，從喜怒，無常算。」
2.計策、謀略。如：「勝算」、「神機妙算」。唐．盧綸〈皇帝感詞〉：「妙算干戈止，神謀宇宙清。」
3.古代用來計數的器具。同「筭」。《資治通鑑．卷二二八．唐紀四十四．德宗建中四年》：「吏執筆握算，入人室廬計其數。」
4.壽命。如：「添算一紀」。《三國志．卷六三．吳書．趙達傳》：「吾算訖盡某年月日，其終矣。」《醒世恆言．卷四．灌園叟晚逢仙女》：「張委損花害人，花神奏聞上帝，已奪其算。」
[副]
1.表姑且當作是的意思。如：「他竟然如此大逆不道，算我沒生這個兒子！」
2.表期盼後實現的意思。如：「經過一年的苦讀，他總算如願考上大學了。」
3.表肯定的意思。如：「你算是問對人了，他可是理財方面的專家。」</t>
  </si>
  <si>
    <t>ㄙㄨㄣ</t>
  </si>
  <si>
    <t>sūn</t>
  </si>
  <si>
    <t>[名]
1.稱謂：(1)用以稱兒子的子女。如：「祖孫」。唐．杜甫〈石壕吏〉詩：「室中更無人，惟有乳下孫。」《紅樓夢》第二回：「只眼前現有二子一孫。」(2)用以稱同姓自孫子以下的後代。如：「曾孫」、「玄孫」。(3)用以稱與孫同輩的親族。如：「外孫」、「姪孫」、「姨孫」。
2.再生或孳生的植物。如：「稻孫」。宋．蘇軾〈擷菜〉詩：「秋來霜露滿東園，蘆菔生兒芥有孫。」
3.姓。如春秋時齊國有孫武。
[形]
小。參見「孫絡」條。</t>
  </si>
  <si>
    <t>(二)ㄒㄩㄣˋ xùn（07443）(三)（(二)之又音）ㄙㄨㄣˋ sùn（10192）</t>
  </si>
  <si>
    <t>搎</t>
  </si>
  <si>
    <t>參見「捫搎」條。</t>
  </si>
  <si>
    <t>猻</t>
  </si>
  <si>
    <t>蓀</t>
  </si>
  <si>
    <t>[名]
一種香草。《楚辭．屈原．九歌．湘君》：「薜荔柏兮蕙綢，蓀橈兮蘭旌。」漢．王逸．注：「蓀，香草也。」</t>
  </si>
  <si>
    <t>飧</t>
  </si>
  <si>
    <t>[名]
1.晚飯。《孟子．滕文公上》：「賢者與民並耕而食，饔飧而治。」漢．趙岐．注：「朝曰饔，夕曰飧。」
2.煮熟的飯菜。如：「誰知盤中飧，粒粒皆辛苦。」
3.便飯。《儀禮．聘禮》：「宰夫朝服設飧。」漢．鄭玄．注：「食不備禮曰飧。」
[動]
以水泡飯。《禮記．玉藻》：「君未覆手，不敢飧。」唐．孔穎達．正義：「飧謂用飲澆飯於器中也。」</t>
  </si>
  <si>
    <t>薞</t>
  </si>
  <si>
    <t>參見「薞蕪」條。</t>
  </si>
  <si>
    <t>筍</t>
  </si>
  <si>
    <t>ㄙㄨㄣˇ</t>
  </si>
  <si>
    <t>sǔn</t>
  </si>
  <si>
    <t>[名]
1.竹類地下莖所生的嫩芽，可食。如：「竹筍炒肉絲」。
2.懸掛鐘、磬等樂器的橫木。參見「筍虡」條。
3.器物在凹凸接合之處，凸出的部分。通「榫」。《直語補證．筍卯》：「凡剡木相入，以盈入虛謂之筍，以虛受盈謂之卯，故俗有筍頭卯眼之語。」
4.形狀似筍的東西。如：「石筍」。</t>
  </si>
  <si>
    <t>損</t>
  </si>
  <si>
    <t>[動]
1.減少。《史記．卷八五．呂不韋傳》：「有能增損一字者，予千金。」宋．蘇軾〈郊祀奏議〉：「自秦、漢已來，天子儀物，日以滋多，有加無損，以至於今。」
2.失、喪失。《晉書．卷三四．杜預傳》：「不成，不過費損日月之間，何惜而不一試之！」《封神演義》第二回：「且言崇侯虎恃才妄作，提兵遠伐，孰知今日損軍折將，心甚羞慚。」
3.傷害、毀壞。如：「損人利己」、「破損」。唐．劉禹錫〈崔元受少府自貶所還遺山薑花以詩答之〉詩：「驛馬損筋骨，貴人滋齒牙。」宋．史達祖〈杏花天．細風微月垂楊院〉詞：「棲鶯未覺花梢顫，踏損殘紅幾片。」
4.貶抑、謙退。《三國志．卷二九．魏書．方技傳．管輅傳》：「未有損己而不光大，行非而不傷敗。」《晉書．卷三七．宗室傳．安平獻王孚傳》：「孚性至慎。宣帝執政，常自退損。」
5.用苛薄言語嘲諷他人。如：「你別損人了。」
[形]
北方方言。指尖酸刻薄。如：「你的話真損，頗令人吃不消。」
[名]
《易經》卦名。六十四卦之一。兌（☱）下艮（☶）上。象明損下益上，即能獲大吉之利而其道上行。</t>
  </si>
  <si>
    <t>榫</t>
  </si>
  <si>
    <t>[名]
製做木器時，以凹凸相入接合兩件材料，其中凸的部分即稱為「榫」。《集韻．上聲．準韻》：「榫，剡木相入。」</t>
  </si>
  <si>
    <t>簨</t>
  </si>
  <si>
    <t>[名]
古代用來懸掛鐘磬的架子上的橫木。《集韻．上聲．準韻》：「簨，所以縣鐘磬，橫曰簨。」《舊唐書．卷二九．音樂志二》：「樂縣，橫曰簨。」</t>
  </si>
  <si>
    <t>ㄙㄨㄣˋ</t>
  </si>
  <si>
    <t>sùn</t>
  </si>
  <si>
    <t>(一)ㄙㄨㄣ sūn（10182）(二)ㄒㄩㄣˋ xùn（07443）</t>
  </si>
  <si>
    <t>(一)ㄒㄩㄣˋ xùn（07444）</t>
  </si>
  <si>
    <t>(一)ㄒㄩㄣˋ xùn（07445）</t>
  </si>
  <si>
    <t>[動]
將口中含的液體噴出。《後漢書．卷八二．方術傳上．郭憲傳》：「憲在位，忽回向東北，含酒三潠。」唐．李賀〈畫角東城〉詩：「淡菜生寒日，鮞魚潠白濤。」</t>
  </si>
  <si>
    <t>(二)（又音）ㄒㄩㄣˋ xùn（07446）</t>
  </si>
  <si>
    <t>(一)ㄒㄩㄣˋ xùn（07447）</t>
  </si>
  <si>
    <t>ㄙㄨㄥ</t>
  </si>
  <si>
    <t>sōng</t>
  </si>
  <si>
    <t>參見「惺忪」條。</t>
  </si>
  <si>
    <t>(一)ㄓㄨㄥ zhōng（08136）</t>
  </si>
  <si>
    <t>松</t>
  </si>
  <si>
    <t>[名]
1.松科松屬樹木之泛稱。也稱為「木公」或「松樹」，參見「木公」、「松樹」條。
2.姓。如隋代有松贇。</t>
  </si>
  <si>
    <t>凇</t>
  </si>
  <si>
    <t>[名]
水氣遇冷凝結成的水珠。《廣韻．平聲．鍾韻》：「凇，凍落之貌。」</t>
  </si>
  <si>
    <t>淞</t>
  </si>
  <si>
    <t>[名]
1.河川名。源出江蘇省太湖，經上海，合黃浦江入海。通稱為「吳淞江」。
2.水氣遇冷凝結成的水珠。通「凇」。宋．曾鞏〈冬夜即事〉詩：「香消一榻氍毹暖，月澹千門霧淞寒。」</t>
  </si>
  <si>
    <t>崧</t>
  </si>
  <si>
    <t>同「嵩」。</t>
  </si>
  <si>
    <t>菘</t>
  </si>
  <si>
    <t>[名]
植物名。十字花科蕓薹屬，「白菜」之古稱，參見「白菜」條。</t>
  </si>
  <si>
    <t>蜙</t>
  </si>
  <si>
    <t>[名]
蜙蝑：動物名。即螽斯。觸角細長，體綠褐色，能發聲，雌者體大，尾端有產卵器。食害農作物。《爾雅．釋蟲》：「蜤螽，蜙蝑。」宋．邢昺．疏：「蜤螽，周南作螽斯，七月作斯螽……一名蜙蝑。」</t>
  </si>
  <si>
    <t>鬆</t>
  </si>
  <si>
    <t>[形]
1.鬢髮蓬亂的樣子。《玉篇．髟部》：「鬆，亂髮貌。」如：「蓬鬆」。宋．汪元量〈湖州歌〉：「曉鬢鬅鬆懶不梳，忽聽人說是南徐。」
2.不緊。如：「鞋帶鬆了。」、「螺絲釘鬆了。」
3.不煩重、不緊要。如：「輕鬆」、「稀鬆平常」。
4.不嚴格。如：「檢查得很鬆。」、「管理得太鬆。」
5.寬裕。如：「最近手頭兒鬆了些，可以再買些書。」
6.精神懈怠。如：「鬆懈」。
7.物質脆軟不緊密。如：「鬆軟可口」、「土質很鬆」、「又鬆又脆的餅乾。」
[名]
將瘦肉煮熟炒乾，製成絨狀或纖維狀的食品。如：「魚鬆」、「肉鬆」。
[動]
1.放開。如：「鬆綁」、「鬆開手」。
2.解開、放寬。如：「天太熱了，把衣服鬆一鬆。」</t>
  </si>
  <si>
    <t>娀</t>
  </si>
  <si>
    <t>[名]
國名。即有娀氏。故址約在今山西省運城縣附近。</t>
  </si>
  <si>
    <t>嵩</t>
  </si>
  <si>
    <t>[形]
高聳的。如：「嵩高」。《文選．陸機．赴洛道中作詩》：「頓轡倚嵩巖，側聽悲風響。」
[名]
1.參見「嵩山」條。
2.姓。如漢代有嵩真。</t>
  </si>
  <si>
    <t>㞞</t>
  </si>
  <si>
    <t>ㄙㄨㄥˊ</t>
  </si>
  <si>
    <t>sóng</t>
  </si>
  <si>
    <t>[名]
俗稱精液為「㞞」。《金瓶梅》第五〇回：「賊秫村村，你今日纔吃㞞，你從前已後，把㞞不知吃了多少！」</t>
  </si>
  <si>
    <t>悚</t>
  </si>
  <si>
    <t>ㄙㄨㄥˇ</t>
  </si>
  <si>
    <t>sǒng</t>
  </si>
  <si>
    <t>[動]
恐懼、害怕。《文選．潘岳．笙賦》：「晉野悚而投琴，況齊瑟與秦箏。」《紅樓夢》第三三回：「賈政見他惶悚，應對不似往日。」</t>
  </si>
  <si>
    <t>竦</t>
  </si>
  <si>
    <t>[動]
1.恭敬、肅敬。《漢書．卷二二．禮樂志》：「聽者無不虛己竦神，說而承流。」唐．顏師古．注：「竦，敬也。說，讀曰悅。」
2.拉長脖子，舉起腳跟而立。《漢書．卷三三．韓王信傳》：「士卒皆山東人，竦而望歸。」
3.直立、矗立。南朝宋．謝靈運〈發歸瀨三瀑布望兩溪詩〉：「積石竦兩溪，飛泉倒三山。」
4.持、握。《楚辭．屈原．九歌．少司命》：「竦長劍兮擁幼艾，蓀獨宜兮為民正。」
5.驚懼。通「愯」。《詩經．商頌．長發》：「不戁不竦，百祿是總。」《韓非子．主道》：「明君無為於上，群臣竦懼乎下。」
6.振奮、震動。《漢書．卷二五．郊祀志下》：「夫周秦之末，三五之隆，已嘗專意散財，厚爵祿，竦精神，舉天下以求之矣。」《文選．張協．七命》：「舉戈林竦，揮鋒電滅。」
[副]
恭敬的樣子。如：「竦然起敬」。明．高啟〈南宮生傳〉：「其人竦聽，居樽下拜。」</t>
  </si>
  <si>
    <t>駷</t>
  </si>
  <si>
    <t>[動]
搖動馬銜使馬行走。《公羊傳．定公八年》：「臨南駷馬。」漢．何休．解詁：「捶馬銜走。」唐．李白〈天馬歌〉：「天馬奔，戀君軒，駷躍驚矯浮雲翻。」</t>
  </si>
  <si>
    <t>愯</t>
  </si>
  <si>
    <t>[動]
恐懼。《漢書．卷二三．刑法志》：「故誨之以忠，愯之以行。」</t>
  </si>
  <si>
    <t>㩳</t>
  </si>
  <si>
    <t>[動]
1.推。《醒世恆言．卷一．兩縣令競義婚孤女》：「賈婆不管三七二十一，和張婆兩個，你一推，我一㩳，㩳他出了大門。」
2.挺立、聳立。唐．杜甫〈畫鷹〉詩：「㩳身思狡兔，側目似愁胡。」</t>
  </si>
  <si>
    <t>傱</t>
  </si>
  <si>
    <t>[形]
傱傱：疾進的樣子。《漢書．卷八七．揚雄傳上》：「風傱傱而扶轄兮，鸞鳳紛其御蕤。」唐．顏師古．注：「傱傱，前進之意也。」</t>
  </si>
  <si>
    <t>慫</t>
  </si>
  <si>
    <t>[動]
1.驚懼。《文選．張衡．西京賦》：「將乍往而未半，怵悼慄而慫兢。」
2.參見「慫恿」條。</t>
  </si>
  <si>
    <t>聳</t>
  </si>
  <si>
    <t>[動]
1.直立、高起。如：「聳肩」、「高聳入雲」。晉．陶淵明〈和郭主簿〉詩二首之二：「陵岑聳逸峰，遙瞻皆奇絕。」
2.獎勵、讚揚。《國語．楚語上》：「教之春秋，而為之聳善，而抑惡焉，以戒勸其心。」唐．姚崇〈冰壺誡〉：「固當聳廉勤之節，塞貪競之門。」
3.驚駭、驚動。如：「聳人聽聞」、「危言聳聽」。唐．劉禹錫〈觀柘枝舞〉詩二首之二：「體輕似無骨，觀者皆聳神。」
[形]
1.耳聾、聽覺不靈敏。漢．馬融〈廣成頌〉：「子野聽聳，離朱目眩。」
2.高。南朝梁．簡文帝〈登烽火樓詩〉：「聳樓排樹出，郤堞帶江清。」南朝梁．沈約〈寒松〉詩：「梢聳振寒聲，青蔥標暮色。」</t>
  </si>
  <si>
    <t>宋</t>
  </si>
  <si>
    <t>ㄙㄨㄥˋ</t>
  </si>
  <si>
    <t>sòng</t>
  </si>
  <si>
    <t>[名]
1.國名。周朝分封微子之地。約位於今河南省商邱縣南，後為齊所滅。
2.朝代名：(1)參見「劉宋」條。(2)參見「宋朝」條。
3.姓。如戰國時代楚國有宋玉。</t>
  </si>
  <si>
    <t>送</t>
  </si>
  <si>
    <t>[動]
1.遣去。《說文解字．辵部》：「送，遣也。」宋．文天祥〈正氣歌〉：「楚囚纓其冠，傳車送窮北。」
2.陪伴著走。如：「護送」、「送小弟弟回家」、「送君千里，終須一別。」唐．杜甫〈兵車行〉：「耶娘妻子走相送，塵埃不見咸陽橋。」
3.告別。如：「送別」、「送舊迎新」、「送行」。
4.贈給。如：「贈送」、「他送我一本書。」
5.輸運。如：「送貨」、「送信」、「運送」。
6.供應。如：「送水」、「送電」。
7.傳遞。如：「送秋波」。唐．李白〈古風〉詩五九首之七：「去影忽不見，回風送天聲。」
8.犧牲。如：「送死」、「送命」。元．關漢卿《拜月亭》第三折：「您哥哥暑濕風寒縱較些，多被那煩惱憂愁上送了也。」</t>
  </si>
  <si>
    <t>訟</t>
  </si>
  <si>
    <t>[動]
1.爭辯是非。《說文解字．言部》：「訟，爭也。」如：「聚訟紛紜」。《淮南子．俶真》：「周室衰而王道廢，儒墨乃始列道而議，分徒而訟。」
2.雙方打官司以爭論曲直。如：「訴訟」。《周禮．大司寇》：「以兩造禁民訟。」漢．鄭玄．注：「訟，謂以財貨相告者。」
3.責備。《論語．公冶長》：「吾未見能見其過而內自訟者也。」
[副]
公開的、明白的。《史記．卷九．呂太后本紀》：「太尉尚恐不勝諸呂，未敢訟言誅之。」</t>
  </si>
  <si>
    <t>[名]
1.《詩經》六義之一。是配合舞蹈，讚美祖先、神靈、君主的樂歌，可分為〈周頌〉、〈魯頌〉、〈商頌〉等。
2.文體名。一種以讚美表揚為內容的文體。如劉伶的〈酒德頌〉、陸機的〈漢高祖功臣頌〉。
[動]
1.稱讚別人的好處。如：「歌功頌德」。《史記．卷二八．封禪書》：「即帝位三年，東巡郡縣，祠騶嶧山，頌秦功業。」
2.祝禱。通常用於書信中。如：「敬頌近安」、「順頌時安」。
3.朗讀。通「誦」。《孟子．萬章下》：「頌其詩，讀其書，不知其人可乎？」</t>
  </si>
  <si>
    <t>(二)ㄖㄨㄥˊ róng（09361）</t>
  </si>
  <si>
    <t>誦</t>
  </si>
  <si>
    <t>[動]
1.大聲朗讀。如：「朗誦」、「誦讀」。
2.陳述、稱說。《孟子．告子下》：「子服堯之服，誦堯之言，行堯之行，是堯而已矣。」
3.怨謗、諷諫。《左傳．襄公四年》：「臧紇救鄫侵邾，敗於狐駘……國人誦之。」《國語．楚語上》：「臨事有瞽史之導，宴居有師工之誦。」三國吳．韋昭．注：「誦，謂箴諫時世也。」
4.背念。如：「背誦」。唐．杜甫〈可歎〉：「群書萬卷常暗誦，孝經一通看在手。」
5.讚美。通「頌」。《左傳．襄公三十一年》：「文王之功，天下誦而歌舞之。」
[名]
詩文。《詩經．小雅．節南山》：「家父作誦，以究王訩。」
[副]
公開的。通「頌」。《漢書．卷三．高后紀》：「平陽侯馳語太尉勃，勃尚恐不勝，未敢誦言誅之。」顏師古注引鄧展曰：「誦言，公言也。」</t>
  </si>
  <si>
    <t>阿</t>
  </si>
  <si>
    <t>ㄚ</t>
  </si>
  <si>
    <t>ā</t>
  </si>
  <si>
    <t>[助]
置於語尾。通「啊」。如：「做人阿！要腳踏實地才是。」
[歎]
表示疑問、驚訝等語氣。如：「阿！你怎麼啦？身體不舒服嗎？」
[綴]
詞頭：(1)加在稱謂上。如：「阿婆」、「阿爹」、「阿姨」、「阿兄」。南朝梁．無名氏〈木蘭詩〉二首之一：「阿爺無大兒，木蘭無長兄。」(2)加在名字上。如漢代曹操的小字稱為「阿瞞」、三國時蜀漢後主劉禪人稱「阿斗」。</t>
  </si>
  <si>
    <t>(一)ㄜ ē（10235）(三)（(二)之又音）ㄚˋ à（10227）</t>
  </si>
  <si>
    <t>啊</t>
  </si>
  <si>
    <t>[歎]
1.表驚訝、痛苦、贊嘆的語氣。如：「啊！失火了！」、「啊！這片風景好美！」
2.表疑問或反問的語氣。如：「啊！你說什麼？」</t>
  </si>
  <si>
    <t>(二)（(一)之又音）ㄛ ō（10230）(三)˙ㄚ a（10228）</t>
  </si>
  <si>
    <t>錒</t>
  </si>
  <si>
    <t>[名]
（actinium，Ac）化學元素。原子序89。放射性元素之一。銀白色。在自然界中與鈾礦共存。除硫化物外，錒的化合物為無色。</t>
  </si>
  <si>
    <t>腌</t>
  </si>
  <si>
    <t>(一)ㄤ āng（10448）(三)ㄧㄢ yān（10937）</t>
  </si>
  <si>
    <t>ㄚˊ</t>
  </si>
  <si>
    <t>á</t>
  </si>
  <si>
    <t>[歎]
表疑問或反詰的語氣。如：「嗄！有這種怪事？」</t>
  </si>
  <si>
    <t>(一)ㄕㄚˋ shà（08813）</t>
  </si>
  <si>
    <t>ㄚˋ</t>
  </si>
  <si>
    <t>à</t>
  </si>
  <si>
    <t>(一)ㄜ ē（10235）(二)ㄚ ā（10222）</t>
  </si>
  <si>
    <t>˙ㄚ</t>
  </si>
  <si>
    <t>a</t>
  </si>
  <si>
    <t>[助]
語尾助詞，無義。如：「不錯啊！」、「好棒啊！」</t>
  </si>
  <si>
    <t>(一)ㄚ ā（10223）(二)（(一)之又音）ㄛ ō（10230）</t>
  </si>
  <si>
    <t>ㄛ</t>
  </si>
  <si>
    <t>ō</t>
  </si>
  <si>
    <t>[助]_x000D_
用於句尾或語氣停頓處，表示驚訝的語氣。如：「這麼多錢呵！」</t>
  </si>
  <si>
    <t>(一)ㄏㄜ hē（04717）</t>
  </si>
  <si>
    <t>(一)ㄚ ā（10223）(三)˙ㄚ a（10228）</t>
  </si>
  <si>
    <t>喔</t>
  </si>
  <si>
    <t>[歎]_x000D_
表示了解的語氣。常配合語境，單獨成句。如：「喔！原來是這麼回事。」</t>
  </si>
  <si>
    <t>(一)ㄨㄛˋ wò（11343）(二)（(一)之又音）ㄨ wū（11226）</t>
  </si>
  <si>
    <t>哦</t>
  </si>
  <si>
    <t>ㄛˊ</t>
  </si>
  <si>
    <t>ó</t>
  </si>
  <si>
    <t>[歎]_x000D_
表示領悟的語氣。常配合語境，單獨成句。如：「哦！您就是孫先生。」「哦！我明白了。」</t>
  </si>
  <si>
    <t>(一)ㄜˊ é（10244）</t>
  </si>
  <si>
    <t>ㄛˇ</t>
  </si>
  <si>
    <t>ǒ</t>
  </si>
  <si>
    <t>[歎]
表疑惑、驚訝的語氣。如：「嚄！這道題怎麼還算不對？」</t>
  </si>
  <si>
    <t>(一)ㄏㄨㄛˋ huò（05058）</t>
  </si>
  <si>
    <t>妸</t>
  </si>
  <si>
    <t>ㄜ</t>
  </si>
  <si>
    <t>ē</t>
  </si>
  <si>
    <t>[名]
女子的人名用字。《說文解字．女部》：「妸，女字也。」</t>
  </si>
  <si>
    <t>(二)（又音）ㄜˇ ě（10259）</t>
  </si>
  <si>
    <t>[名]
1.大陵、大土丘。唐．王勃〈滕王閣序〉：「儼驂騑於上路，訪風景於崇阿。」
2.轉折、彎曲的地方。《文選．古詩十九首．冉冉孤生竹》：「冉冉孤生竹，結根泰山阿。」《漢書．卷二二．禮樂志》：「沛施祐，汾之阿，揚金光，橫泰河。」
3.屋宇、屋檐。《周禮．冬官考工記．匠人》：「堂崇三尺，四阿重屋。」《文選．古詩十九首．西北有高樓》：「交疏結綺窗，阿閣三重階。」
4.姓。如唐代有阿光進。
[動]
1.迎合、偏袒。如：「阿附」、「阿私」、「諂媚阿諛」。《孟子．公孫丑上》：「智足以知聖人，汙不至阿其所好。」《呂氏春秋．離俗覽．高義》：「阿有罪，廢國法，不可。」
2.倚靠。參見「阿衡」條。</t>
  </si>
  <si>
    <t>(二)ㄚ ā（10222）(三)（(二)之又音）ㄚˋ à</t>
  </si>
  <si>
    <t>屙</t>
  </si>
  <si>
    <t>[動]
排泄。如：「屙屎」、「屙尿」。</t>
  </si>
  <si>
    <t>婀</t>
  </si>
  <si>
    <t>參見「婀娜」條。</t>
  </si>
  <si>
    <t>(二)（又音）ㄜˇ ě（10260）</t>
  </si>
  <si>
    <t>[名]
1.疾病。如：「沉痾」。《文選．潘岳．閑居賦》：「常膳載加，舊痾有痊。」《文選．謝靈運．登池上樓詩》：「徇祿反窮海，臥痾對空林。」
2.仇隙、舊仇。《後漢書．卷七四下．袁紹傳》：「願捐棄百痾，追攝舊義，復為母子昆弟如初。」</t>
  </si>
  <si>
    <t>(二)（又音）ㄎㄜ kē（04415）</t>
  </si>
  <si>
    <t>峉</t>
  </si>
  <si>
    <t>[形]
山勢高大的樣子。《集韻．入聲．陌韻》：「峉，山高大貌。」《楚辭．王逸．九思．憫上》：「川谷兮淵淵，山阜兮峉峉。」</t>
  </si>
  <si>
    <t>吪</t>
  </si>
  <si>
    <t>ㄜˊ</t>
  </si>
  <si>
    <t>é</t>
  </si>
  <si>
    <t>[動]
1.行動。《說文解字．口部》：「吪，動也。」《詩經．王風．兔爰》：「我生之後，逢此百罹。尚寐無吪！」唐．郤昂〈岐邠涇寧四州八馬坊頌碑〉：「如龍如彪，或寢或吪。」
2.感化。《詩經．豳風．破斧》：「周公東征，四國是吪。」漢．毛亨．傳：「吪，化也。」</t>
  </si>
  <si>
    <t>囮</t>
  </si>
  <si>
    <t>[名]
鳥媒。即用以誘捕同類鳥的鳥。《廣韻．平聲．戈韻》：「囮，網鳥者媒。」
[動]
以威嚇的手段詐取財物。通「訛」。《儒林外史》第四二回：「被幾個喇子囮著，把衣服都剝掉了。」</t>
  </si>
  <si>
    <t>(二)ㄧㄡˊ yóu（10889）</t>
  </si>
  <si>
    <t>訛</t>
  </si>
  <si>
    <t>[名]_x000D_
1.錯誤。宋．朱熹〈山北紀行〉：「百世踵謬訛，彞倫日頹圮。」_x000D_
2.謠言。如：「以訛傳訛」。《宋史．卷二九三．張詠傳》：「止訛之術，在乎識斷。」_x000D_
3.姓。如宋代有訛勃囉。_x000D_
[形]_x000D_
不正確的、不實在的。如：「訛字」。《詩經．小雅．沔水》：「民之訛言，寧莫之懲。」_x000D_
[動]_x000D_
1.欺騙、恐嚇。如：「訛詐」。《紅樓夢》第四八回：「訛他拖欠官銀，拿他到衙門裡去。」_x000D_
2.感化。《書經．堯典》：「申命羲叔，宅南交，平秩南訛。」《詩經．小雅．節南山》：「式訛爾心，以畜萬邦。」</t>
  </si>
  <si>
    <t>俄</t>
  </si>
  <si>
    <t>[副]
須臾、片刻。《說文解字．人部》：「俄，頃也。」《列子．力命》：「俄而季梁之疾自瘳。」唐．沈千運〈贈史修文〉：「念離宛猶昨，俄已經數期。」
[形]
傾斜。《詩經．小雅．賓之初筵》：「是曰既醉，不知其郵；側弁之俄，屢舞傞傞。」漢．毛亨．傳：「俄，傾貌。」
[名]
俄羅斯共和國的簡稱。舊音ㄜˋ è。</t>
  </si>
  <si>
    <t>[動]_x000D_
吟唱、吟詠。如：「吟哦」。唐．韓愈〈藍田縣丞廳壁記〉：「對樹二松，日哦其間。」宋．楊萬里〈雨夜〉詩：「歲晚能無感，詩成只獨哦。」</t>
  </si>
  <si>
    <t>(二)ㄛˊ ó（10232）</t>
  </si>
  <si>
    <t>峨</t>
  </si>
  <si>
    <t>[名]
峨嵋山的簡稱。《新唐書．卷一二三．盧藏用傳》：「登衡、廬，彷洋岷、峨。」宋．陸游〈秋夜獨醉戲題〉詩：「莫恨久為峨下客，江湖歸去得雄誇。」
[形]
高聳。如：「巍峨」。《楚辭．劉向．九歎．憂苦》：「聽玄鶴之晨鳴兮，于高岡之峨峨。」</t>
  </si>
  <si>
    <t>娥</t>
  </si>
  <si>
    <t>[形]
美好的樣子。《廣韻．平聲．歌韻》：「娥，美好也。」《文選．枚乘．七發》：「皓齒娥眉，命曰伐性之斧。」
[名]
美女。如：「宮娥」。《文選．陸機．擬古詩十二首．擬今日良宴會》：「齊僮梁甫吟，秦娥張女彈。」宋．梅堯臣〈牡丹〉詩：「及來江南花亦好，絳紫淺紅如舞娥。」</t>
  </si>
  <si>
    <t>莪</t>
  </si>
  <si>
    <t>[名]
植物名。即莪蒿。石竹科王不留行屬，「莪蒿」之古稱，參見「莪蒿」條。</t>
  </si>
  <si>
    <t>硪</t>
  </si>
  <si>
    <t>[名]
石巖。《廣韻．平聲．歌韻》：「硪，《說文》曰：『石巖也。』」</t>
  </si>
  <si>
    <t>(二)ㄜˇ ě（10257）</t>
  </si>
  <si>
    <t>睋</t>
  </si>
  <si>
    <t>[動]
視。《文選．班固．西都賦》：「於是睎秦嶺，睋北阜。」</t>
  </si>
  <si>
    <t>蛾</t>
  </si>
  <si>
    <t>[名]_x000D_
1.一種昆蟲的總稱。與蝶相類而軀體肥大，觸角細長如絲，翅面灰白色，靜止時呈水平放置，大都屬於晝伏夜出。其種類甚多，有天蛾、蠶蛾、燈蛾等。_x000D_
2.蛾眉的簡稱。指畫得像蠶蛾觸鬚般的眉毛。東周戰國．宋玉〈神女賦〉：「眉聯娟以蛾揚兮，朱脣的其若丹。」明．陳與郊《昭君出塞》：「美人！你雙蛾淡掃忒恁妝。教人追恨貪狼！」_x000D_
3.形狀像蛾的真菌子實體。如木耳也稱為「木蛾」，桑耳也稱為「桑蛾」，柳樹上之木耳，亦稱「柳蛾」。_x000D_
4.姓。如周代時晉國有蛾析。_x000D_
[副]_x000D_
須臾、不久。通「俄」。《漢書．卷九七．外戚傳下．孝成班倢伃》：「始為少使，蛾而大幸。」</t>
  </si>
  <si>
    <t>(二)ㄧˇ yǐ（10572）</t>
  </si>
  <si>
    <t>鋨</t>
  </si>
  <si>
    <t>[名]
（osmium，Os）化學元素。原子序76。白色帶藍的金屬，質脆硬，為密度最高的元素。鋨銥合金可用來製鋼筆筆頭或鐘錶、儀器中的軸承及唱針等。</t>
  </si>
  <si>
    <t>鵝</t>
  </si>
  <si>
    <t>[名]
1.動物名。鳥綱雁形目。似雁而較大，身白頸長，尾短，腳有蹼，善游泳，翼力弱，不能飛翔。
2.一種陣勢的名稱。參見「鵝鸛」條。</t>
  </si>
  <si>
    <t>[名]
牡蠣。閩南、臺灣地區的音讀。如：「青蚵」、「蚵仔煎」。</t>
  </si>
  <si>
    <t>(一)ㄎㄜ kē（04413）</t>
  </si>
  <si>
    <t>𣘨</t>
  </si>
  <si>
    <t>(一)ㄜˇ ě（10262）</t>
  </si>
  <si>
    <t>頟</t>
  </si>
  <si>
    <t>1.同「額」。
2.參見「頟頟」條。</t>
  </si>
  <si>
    <t>額</t>
  </si>
  <si>
    <t>[名]
1.頭前眉上髮下的部分。唐．李白〈長干行〉二首之一：「妾髮初覆額，折花門前劇。」
2.限定的數目。如：「名額」、「兵額」、「額滿為止」。《新五代史．卷四八．雜傳．劉審交傳》：「租有定額，而天下比年無閑田，民之苦樂，不可等也。」
3.匾額。如：「門額」、「廟額」。唐．貫休〈寄杭州靈隱寺宋震使君〉詩：「僧房謝朓語，寺額葛洪書。」
4.器物上首靠近頂端的部分。如：「碑額」、「簾額」。唐．姚合〈酬任疇協律夏中苦雨見寄〉詩：「溼煙凝灶額，荒草覆牆頭。」
5.姓。如清代有額宜都。</t>
  </si>
  <si>
    <t>(二)ㄜˋ è（10297）</t>
  </si>
  <si>
    <t>我</t>
  </si>
  <si>
    <t>ㄜˇ</t>
  </si>
  <si>
    <t>ě</t>
  </si>
  <si>
    <t>(一)（語音）ㄨㄛˇ wǒ（11333）</t>
  </si>
  <si>
    <t>參見「砐硪」條。</t>
  </si>
  <si>
    <t>(一)ㄜˊ é（10248）</t>
  </si>
  <si>
    <t>騀</t>
  </si>
  <si>
    <t>(一)ㄜ ē（10234）</t>
  </si>
  <si>
    <t>(一)ㄜ ē（10237）</t>
  </si>
  <si>
    <t>猗</t>
  </si>
  <si>
    <t>參見「猗儺」條。</t>
  </si>
  <si>
    <t>(一)ㄧ yī（10498）(二)ㄧˇ yǐ（10565）</t>
  </si>
  <si>
    <t>參見「𣘨橠」條。</t>
  </si>
  <si>
    <t>(二)（又音）ㄜˊ é（10253）</t>
  </si>
  <si>
    <t>婐</t>
  </si>
  <si>
    <t>惡</t>
  </si>
  <si>
    <t>參見「惡心」條。</t>
  </si>
  <si>
    <t>(一)ㄜˋ è（10294）(三)ㄨˋ wù（11299）(四)ㄨ wū（11232）</t>
  </si>
  <si>
    <t>噁</t>
  </si>
  <si>
    <t>參見「噁心」條。</t>
  </si>
  <si>
    <t>ㄜˋ</t>
  </si>
  <si>
    <t>è</t>
  </si>
  <si>
    <t>[名]
殘骨。《說文解字．歺部》：「歹，古文歺。」《廣韻．入聲．曷韻》：「歺，說文曰：『列骨之殘也。』凡從歺者，今亦作歹。」</t>
  </si>
  <si>
    <t>(一)ㄉㄞˇ dǎi（01926）</t>
  </si>
  <si>
    <t>厄</t>
  </si>
  <si>
    <t>[名]_x000D_
1.樹木的節。《說文解字．卩部》：「厄，科厄，木卩也。」_x000D_
2.災難、困難。晉．左思〈魏都賦〉：「英辯榮枯，能濟其厄。」宋．蘇軾〈三槐堂銘并敘〉：「盜跖之壽，孔顏之厄，此皆天之未定者也。」_x000D_
3.車轅前端套在牛、馬等頸上的橫木。通「軛」。《詩經．大雅．韓奕》：「鞹鞃淺幭，䩦革金厄。」_x000D_
[形]_x000D_
困窘的。如：「厄運」。唐．韓愈〈贈徐州族姪〉詩：「歲時易遷次，身命多厄窮。」</t>
  </si>
  <si>
    <t>扼</t>
  </si>
  <si>
    <t>[動]
1.捉、持、握。《戰國策．燕策三》：「樊於期偏袒扼腕而進曰：『此臣日夜切齒拊心也，乃今得聞教。』」《漢書．卷五四．李廣傳》：「臣所將屯邊者，皆荊楚勇士奇材劍客也。力扼虎，射命中。」
2.據守、控制。如：「扼險」。《新唐書．卷一七一．李光進傳》：「密遣田布伏精騎溝下，扼其歸。」
3.堵住、阻塞。《管子．度地》：「此五水者，因其利而往之可也，因而扼之可也。」《晉書．卷一．宣帝紀》：「凡攻敵，必扼其喉而舂其心。」
[名]
車轅前端套在牛、馬等頸上的橫木。通「軛」。《莊子．馬蹄》：「夫加之衡扼，齊之以月題，而馬知介倪。」</t>
  </si>
  <si>
    <t>呃</t>
  </si>
  <si>
    <t>[擬]
形容雞叫的聲音。《玉篇．口部》：「呝，雞聲。亦作呃。」
[動]
氣逆上衝。明．張自烈《正字通．口部》：「呃，方書有呃逆症，氣逆上衝作聲也。」如：「食飽氣呃」。</t>
  </si>
  <si>
    <t>阨</t>
  </si>
  <si>
    <t>[名]
險要的地方。《史記．卷六八．商君傳》：「魏居領阨之西，都安邑。」
[形]
窮困。通「厄」。如：「困阨」。《孟子．公孫丑上》：「遺佚而不怨，阨窮而不憫。」
[動]
據守。《清史稿．卷四五三．銘安傳》：「東北與俄接壤，舊設卡倫，無兵駐守，迺遣將分阨要塞。」</t>
  </si>
  <si>
    <t>(二)ㄞˋ ài（10334）</t>
  </si>
  <si>
    <t>砈</t>
  </si>
  <si>
    <t>[名]
（astatine，At）化學元素。原子序85。全部同位素都具放射性，為鹵族中最重的元素。可用α粒子撞擊鉍而得，其性質似碘而易揮發。大陸地區譯為砹。</t>
  </si>
  <si>
    <t>軛</t>
  </si>
  <si>
    <t>[名]
在車衡兩端扼住牛、馬等頸背上的曲木。《楚辭．劉向．九歎．離世》：「執組者不能制兮，必折軛而摧轅。」</t>
  </si>
  <si>
    <t>屵</t>
  </si>
  <si>
    <t>[形]
岸高。《說文解字．人部》：「屵，岸高也。」</t>
  </si>
  <si>
    <t>戹</t>
  </si>
  <si>
    <t>同「厄」。</t>
  </si>
  <si>
    <t>呝</t>
  </si>
  <si>
    <t>同「呃」。</t>
  </si>
  <si>
    <t>岋</t>
  </si>
  <si>
    <t>[形]
搖動的樣子。《南史．卷二〇．謝弘微傳》：「岋岋惙惙，常如行尸。」</t>
  </si>
  <si>
    <t>砐</t>
  </si>
  <si>
    <t>咢</t>
  </si>
  <si>
    <t>[動]
1.爭論、爭辯。《說文解字．吅部》：「咢，譁訟也。」
2.徒手擊鼓。《詩經．大雅．行葦》：「嘉殽脾臄，或歌或咢。」
3.和歌、歌唱。唐．韓愈、李正封〈晚秋郾城夜會聯句〉：「爾牛時寢訛，我僕或歌咢。」
[形]
1.驚訝、驚懼。通「愕」。
2.參見「咢咢」條。
[名]
1.屋稜、屋角。《晉書．卷一三〇．赫連勃勃載記》：「飛簷舒咢，似翔鵬之矯翼。」
2.刀刃。通「鍔」。《漢書．卷六四下．王襃傳》：「清水焠其鋒，越砥斂其咢。」</t>
  </si>
  <si>
    <t>愕</t>
  </si>
  <si>
    <t>[動]
1.驚惶、驚駭。《戰國策．燕策三》：「荊軻逐秦王，秦王還柱而走，群臣驚愕，卒起不意，盡失其度。」元．陳基〈潼關〉詩：「前車未行後車卻，去馬一鳴來馬愕。」
2.直接言明。《三國志．卷五二．吳書．諸葛瑾傳》：「與權談說諫喻，未嘗切愕。」</t>
  </si>
  <si>
    <t>堮</t>
  </si>
  <si>
    <t>[名]
地面凸起的邊界。《說文解字．土部》「垠」字「地垠咢」句下清．段玉裁．注：「堮者，後人增土，咢則許書本然。……物之邊界有齊平者，有高起者，有捷業如鋸齒者，故統呼之曰垠咢。有單言垠，單言咢者。」</t>
  </si>
  <si>
    <t>鄂</t>
  </si>
  <si>
    <t>[名]
1.地名：(1)春秋時楚國都邑，故城約在今湖北省武昌縣。(2)春秋時晉國都邑，故城約在今山西省鄉寧縣南方。
2.湖北省的簡稱。
3.邊際。《漢書．卷八七．揚雄傳上》：「并閭與茇䒷兮，紛被麗其亡鄂。」三國魏．徐幹．齊都賦：「南望無垠，北顧無鄂。」
4.托住花朵的部分。通「萼」。《詩經．小雅．常棣》：「常棣之華，鄂不韡韡。」
5.姓。如漢代有鄂千秋。
[動]
害怕。通「愕」。《漢書．卷六八．霍光傳》：「群臣皆驚鄂失色，莫敢發言。」</t>
  </si>
  <si>
    <t>崿</t>
  </si>
  <si>
    <t>[名]
山崖。《文選．張衡．西京賦》：「坻崿鱗眴，棧齴巉嶮。」明．徐弘祖《徐霞客遊記．卷三下．粵西遊日記二》：「南抵東南隅，石崿懸峭，片片飛雲綴空。」</t>
  </si>
  <si>
    <t>萼</t>
  </si>
  <si>
    <t>[名]
花最外圍的無性花器，常呈綠色，有時與花瓣顏色相同或相近，具有保護花芽的作用。《玉篇．艸部》：「萼，花萼也。」南朝宋．謝靈運〈酬從弟惠連詩〉：「山桃發紅萼，野蕨漸紫苞。」《晉書．卷五一．列傳．皇甫謐》：「春華發萼，夏繁其實。」</t>
  </si>
  <si>
    <t>諤</t>
  </si>
  <si>
    <t>[名]
正直的言詞。《玉篇．言部》：「諤，正直之言也。」宋．鄭俠〈示潮州吳宅三甥〉詩：「心雖在規益，世誰受忠諤。」</t>
  </si>
  <si>
    <t>鍔</t>
  </si>
  <si>
    <t>[名]
刀鋒、劍端。《莊子．說劍》：「天子之劍，以燕谿石城為鋒，齊岱為鍔。」《漢書．卷七八．蕭望之傳》：「底厲鋒鍔，奉萬分之一。」</t>
  </si>
  <si>
    <t>顎</t>
  </si>
  <si>
    <t>參見「顎骨」條。</t>
  </si>
  <si>
    <t>鶚</t>
  </si>
  <si>
    <t>[名]
動物名。鴟鴞目。嘴頗短，趾有連膜，外趾且能前後轉動。背部黑褐色，喉部有褐斑，腹部白色。性情凶猛，好棲水渚，捕食魚類為生。俗稱為「魚鷹」。</t>
  </si>
  <si>
    <t>齶</t>
  </si>
  <si>
    <t>同「顎」。</t>
  </si>
  <si>
    <t>餓</t>
  </si>
  <si>
    <t>[動]
1.腹飢。與「飽」相對。《論語．季氏》：「伯夷叔齊，餓于首陽之下。」唐．李紳〈古風〉詩二首之一：「四海無閒田，農夫猶餓死。」
2.使飢餓。《孟子．告子下》：「天將降大任於是人也，必先苦其心志，勞其筋骨，餓其體膚。」
[形]
不飽的。《管子．國畜》：「歲適，則市糴釜十繦，而道有餓民。」</t>
  </si>
  <si>
    <t>唈</t>
  </si>
  <si>
    <t>(一)ㄧˋ yì（10607）</t>
  </si>
  <si>
    <t>堊</t>
  </si>
  <si>
    <t>[名]
1.白色的土。《莊子．徐无鬼》：「匠石運斤成風，聽而斲之，盡堊而鼻不傷。」
2.泛指有色而可作為塗飾的土。《山海經．中山經》：「又東三十五里，曰蔥聾之山，其中多大谷，是多白堊，黑、青、黃堊。」
[動]
用白粉塗飾。《韓非子．說林下》：「宮有堊器，有滌則潔矣。」《北史．卷八九．藝術傳上．陸法和傳》：「法和乃還州，堊其城門。」</t>
  </si>
  <si>
    <t>啞</t>
  </si>
  <si>
    <t>參見「啞啞」(二)條。</t>
  </si>
  <si>
    <t>(一)ㄧㄚˇ yǎ（10721）(二)ㄧㄚ yā（10702）</t>
  </si>
  <si>
    <t>[名]
1.罪過、不良的行為。《易經．大有卦．象曰》：「君子以遏惡揚善，順天休命。」《三國志．卷三五．蜀書．諸葛亮傳》：「無惡不懲，無善不顯。」
2.疾病。《左傳．成公六年》：「郇瑕氏土薄水淺，其惡易覯。」南朝宋．劉義慶《世說新語．術解》：「郗愔信道甚精勤，常患腹內惡，諸醫不可療。」
3.汙垢、穢物。《左傳．成公六年》：「土厚水深，居之不疾，有汾澮以流其惡。」《周禮．天官．獸醫》：「凡療獸瘍，灌而劀之，以發其惡，然後藥之養之食之。」
4.糞便。《漢書．卷六三．武五子傳．昌邑哀王劉髆傳》：「陛下左側讒人眾多，如是青蠅惡矣。」《隋書．卷七二．孝義傳．田翼傳》：「母患暴痢，翼謂中毒，遂親嘗惡。」
[形]
1.不善的、壞的。《荀子．非相》：「形相雖善而心術惡，無害為小人也。」
2.粗劣的。《論語．里仁》：「士志於道，而恥惡衣惡食者，未足與議也。」《韓非子．說疑》：「不明臣之所言，雖節儉勤勞，布衣惡食，國猶自亡也。」
3.醜陋。《史記．卷六七．仲尼弟子傳．澹臺滅明傳》：「（澹臺滅明）狀貌甚惡，欲事孔子，孔子以為材薄。」《文選．謝靈運．永初三年七月十六日之郡初發都詩》：「良時不見遺，醜狀不成惡。」
4.不適、不快。《晉書．卷八〇．王羲之傳》：「中年以來，傷於哀樂，與親友別，輒作數日惡。」南朝宋．劉義慶《世說新語．文學》：「身今少惡，斐逸民跡近在此，君可往問。」
[副]
極、甚。《淮南子．墬形》：「其人大面短頤，美須惡肥。」宋．辛棄疾〈臨江仙．小靨人憐都惡瘦〉詞：「小靨人憐都惡瘦，曲眉夫與長顰。」
[動]
害。《淮南子．說林》：「病熱而強之餐，救暍而飲之寒，救經而引其索，拯溺而授之石，欲救之，反為惡。」</t>
  </si>
  <si>
    <t>(二)ㄜˇ ě（10264）(三)ㄨˋ wù（11299）(四)ㄨ wū（11232）</t>
  </si>
  <si>
    <t>㔩</t>
  </si>
  <si>
    <t>[名]_x000D_
婦人髮上的花飾。《玉篇．勹部》：「㔩，㔩綵，婦人頭花髻飾也。」唐．杜甫〈麗人行〉：「頭上何所有？翠微㔩葉垂鬢脣。」明．湯顯祖《紫簫記》第一六齣：「金堂客至，下紅樓翠㔩銀篦。」</t>
  </si>
  <si>
    <t>詻</t>
  </si>
  <si>
    <t>[動]
爭辯是非曲直。《說文解字．言部》：「詻，論訟也。」《廣雅疏證．卷六上．釋訓》：「詻詻，語也。」《墨子．親士》：「君必有弗弗之臣，上必有詻詻之士。」</t>
  </si>
  <si>
    <t>[名]
譯音用字。常用於山名、地名等的音譯。如：「額非爾士峰」、「額魯特蒙古」。</t>
  </si>
  <si>
    <t>(一)ㄜˊ é（10255）</t>
  </si>
  <si>
    <t>搤</t>
  </si>
  <si>
    <t>同「扼」。</t>
  </si>
  <si>
    <t>隘</t>
  </si>
  <si>
    <t>[動]
1.隔絕。《戰國策．東周策》：「三國隘秦。」
2.阻止。《戰國策．楚策二》：「懷王薨，太子辭於齊王而歸，齊王隘之。」</t>
  </si>
  <si>
    <t>(一)ㄞˋ ài（10336）</t>
  </si>
  <si>
    <t>遏</t>
  </si>
  <si>
    <t>[動]
1.阻止、禁絕。《詩經．大雅．民勞》：「式遏寇虐，憯不畏明。」《元史．卷一七四．夾谷之奇傳》：「歲大旱，有司議平穀價，以遏騰涌之患。」
2.及。《爾雅．釋言》：「遏、遾，逮也。」晉．郭璞．注：「東齊曰遏，北燕曰遾，皆相及逮。」
3.傷害。《詩經．大雅．文王》：「命之不易，無遏爾躬。」
[名]
姓。如清代有遏必隆。</t>
  </si>
  <si>
    <t>頞</t>
  </si>
  <si>
    <t>[名]
鼻梁。《說文解字．頁部》：「頞，鼻莖也。」《文選．揚雄．解嘲》：「蔡澤，山東之匹夫也，顩頤折頞，涕唾流沫。」</t>
  </si>
  <si>
    <t>噩</t>
  </si>
  <si>
    <t>[形]
1.驚恐而嚇人的。如：「噩耗」。《周禮．春官．占夢》：「以日月星辰占六夢之吉凶，一曰正夢，二曰噩夢。」宋．范成大〈江州庾樓夜宴〉詩：「客從三峽來，噩夢隨奔瀧。」
2.嚴肅的樣子。漢．賈誼《新書．卷八．勸學》：「既過老聃，噩若慈父。」漢．揚雄《法言．問神》：「虞夏之書渾渾爾，商書灝灝爾，周書噩噩爾。」</t>
  </si>
  <si>
    <t>蘁</t>
  </si>
  <si>
    <t>[形]
驚駭的。通「噩」。《列子．周穆王》：「一曰正夢，二曰蘁夢。」</t>
  </si>
  <si>
    <t>(二)ㄨˋ wù（11303）</t>
  </si>
  <si>
    <t>鱷</t>
  </si>
  <si>
    <t>[名]
爬蟲類鱷目的通稱。體型龐大，長者可至丈餘，吻長而廣，齒銳，上頜骨有一缺刻，以嵌合第四下頜齒，鱗甲堅硬，其四足均有蹼狀，可使鱷在淤泥上行走。性情凶猛，平時喜棲沼澤中，而以魚、鳥、哺乳類等小型動物為食，偶亦侵犯人。產於熱帶及亞熱帶地區。</t>
  </si>
  <si>
    <t>閼</t>
  </si>
  <si>
    <t>[動]
阻塞、壅塞。《列子．楊朱》：「夫耳之所欲聞者音聲，而不得聽，謂之閼聰；目之所欲見者美色，而不得視，謂之閼明。」唐．劉禹錫〈唐故衡州刺史呂君集序〉：「孰能閼其勢，而爭夫光者乎？」
[名]
遮擋的器物。《荀子．禮論》：「抗折，其䫉以象槾茨番閼也。」唐．楊倞．注：「閼謂門戶壅閼風塵者。」《漢書．卷八九．循吏傳．召信臣傳》：「開通溝瀆，起水門提閼凡數十處，以廣溉灌。」</t>
  </si>
  <si>
    <t>(二)ㄧㄢ yān（10950）(三)ㄩˋ yù（11696）</t>
  </si>
  <si>
    <t>遻</t>
  </si>
  <si>
    <t>[動]
意外相遇。《爾雅．釋詁下》：「遻，見也。」晉．郭璞．注：「行而相值即見。」</t>
  </si>
  <si>
    <t>(二)ㄨˋ wù（11302）</t>
  </si>
  <si>
    <t>餩</t>
  </si>
  <si>
    <t>[動]
食物哽住喉嚨，吞嚥不下而氣不順。《玉篇．食部》：「餩，噎也。」</t>
  </si>
  <si>
    <t>ㄝˋ</t>
  </si>
  <si>
    <t>ề</t>
  </si>
  <si>
    <t>[歎]
1.表示答應的意思。如：「誒！我在這裡。」
2.表示招呼的意思。如：「誒！你在那裡？」</t>
  </si>
  <si>
    <t>(一)ㄒㄧ xī（06772）</t>
  </si>
  <si>
    <t>哀</t>
  </si>
  <si>
    <t>ㄞ</t>
  </si>
  <si>
    <t>āi</t>
  </si>
  <si>
    <t>[動]
1.憐憫。《詩經．小雅．鴻鴈》：「爰及矜人，哀此鰥寡。」《史記．卷九二．淮陰侯傳》：「大丈夫不能自食，吾哀王孫而進食，豈望報乎！」
2.悲傷。《楚辭．屈原．離騷》：「雖萎絕其亦何傷兮，哀眾芳之蕪穢。」唐．李白〈長干行〉二首之一：「五月不可觸，猿聲天上哀。」
3.愛惜。《呂氏春秋．慎大覽．報更》：「人主胡可以不務哀士，士其難知，唯博之為可。」漢．高誘．注：「哀，愛也。」
4.悼念。如：「默哀」。
[名]
悲痛憂傷的情緒。如：「節哀順變」。
[形]
死了母親的。參見「哀子」條。</t>
  </si>
  <si>
    <t>哎</t>
  </si>
  <si>
    <t>[歎]
1.表示驚愕的語氣。元．王實甫《西廂記．第二本．第一折》：「哎！你個饞窮酸倈沒意兒，賣弄你有家私，莫不圖謀你的東西到此？」
2.表示哀傷惋惜的語氣。元．關漢卿《竇娥冤》第三折：「哎，只落得兩淚漣漣。」明．汪錂《春蕪記》第六齣：「哎！寶劍，寶劍，你相隨我十餘年，我既坎坷，你又沉淪。」
[助]
句中襯字，以舒緩語氣。多用於戲曲唱詞中。元．石君寶《秋胡戲妻》第三折：「只見那濃陰冉冉，翠錦哎模糊。」元．無名氏《漁樵記》第三折：「這的是知恩哎報恩。」</t>
  </si>
  <si>
    <t>埃</t>
  </si>
  <si>
    <t>[名]
1.灰塵、塵土。如：「塵埃」。晉．潘岳〈藉田賦〉：「微風生於輕幰，纖埃起於朱輪。」
2.量詞。物理學上用以表示微小長度的單位。為英語angstrom的音譯。一埃等於一米的百億分之一。</t>
  </si>
  <si>
    <t>挨</t>
  </si>
  <si>
    <t>[動]_x000D_
1.擊打、推擊。《廣韻．上聲．駭韻》：「挨，打也。」《列子．黃帝》：「既而狎侮欺詒，攩㧙挨抌，亡所不為。」_x000D_
2.靠近、迫近。如：「挨近」。宋．王安石〈和王微之登高齋〉詩三首之一：「衡門兼旬限泥潦，臥聽窾木鳴相挨。」_x000D_
3.擠。《水滸傳》第三六回：「宋江分開人叢，也挨入去看時，卻原來是一個使鎗棒賣膏藥的。」_x000D_
4.忍受、遭受。如：「挨打」、「挨罵」、「挨餓」。元．張國賓《合汗衫．第三折》：「我如今無鋪無蓋，教我冷難挨。」_x000D_
5.拖延。《水滸傳》第一六回：「你們不替洒家打這夫子，卻在背後也慢慢地挨。」_x000D_
6.等待。如：「挨到十點，我們就有點心吃！」_x000D_
7.依照次序。如：「挨家挨戶」。_x000D_
8.依靠。明．湯顯祖《牡丹亭》第三六齣：「想獨自誰挨？獨自誰挨？」</t>
  </si>
  <si>
    <t>(二)ㄞˊ ái（10316）</t>
  </si>
  <si>
    <t>唉</t>
  </si>
  <si>
    <t>[歎]
1.表示傷感或惋惜的語氣。如：「唉！想不到他竟會做出這種傷天害理的事。」《史記．卷七．項羽本紀》：「亞父受玉斗，置之地，拔劍撞而破之曰：『唉！豎子不足與謀。』」
2.表示答應的語氣。《莊子．知北遊》：「狂屈曰：『唉，予知之，將語若。』」
[動]
告誡。通「誋」。《管子．桓公問》：「禹立諫鼓於朝，而備訊唉。」</t>
  </si>
  <si>
    <t>欸</t>
  </si>
  <si>
    <t>(一)ㄞˇ ǎi（10327）(三)ㄟˋ èi（10348）</t>
  </si>
  <si>
    <t>ㄞˊ</t>
  </si>
  <si>
    <t>ái</t>
  </si>
  <si>
    <t>(一)ㄉㄞ dāi（01923）</t>
  </si>
  <si>
    <t>(一)[動]2.4.5.6.之又音。</t>
  </si>
  <si>
    <t>(一)ㄞ āi（10312）</t>
  </si>
  <si>
    <t>騃</t>
  </si>
  <si>
    <t>[形]
痴呆、愚笨的樣子。如：「痴騃」、「愚騃」。《漢書．卷四五．息夫躬傳》：「外有直項之名，內實騃不曉政事。」</t>
  </si>
  <si>
    <t>堐</t>
  </si>
  <si>
    <t>[名]
地名用字。如山東省沂水縣有洛河堐。</t>
  </si>
  <si>
    <t>捱</t>
  </si>
  <si>
    <t>[動]
1.抗拒。《集韻．平聲．佳韻》：「捱，拒也。」
2.拖延。通「挨」。《醒世姻緣傳》第四二回：「若抗拒延捱，打了你自己，還拿你家屬送監。」
3.靠近、依靠。通「挨」。如：「捱著身體」。元．佚名《看錢奴》第三折：「可憐見俺無捱無倚，無主無靠。」
4.承受。通「挨」。《紅樓夢》第一九回：「先時還掙扎的住，次後捱不住，只要睡著。」</t>
  </si>
  <si>
    <t>(一)ㄉㄞ dāi（01925）</t>
  </si>
  <si>
    <t>敳</t>
  </si>
  <si>
    <t>[名]
人名用字。如古代神話中有隤敳。後取其字為姓。</t>
  </si>
  <si>
    <t>磑</t>
  </si>
  <si>
    <t>[形]
磑磑：(1)高的樣子。《集韻．平聲．咍韻》：「磑，磑磑，高貌。」《文選．宋玉．高唐賦》：「盤岸巑岏，裖陳磑磑。」唐．李善．注：「磑磑，高貌。」(2)光亮的樣子。《文選．枚乘．七發》：「白刃磑磑，矛戟交錯。」(3)堅硬的樣子。《文選．張衡．思玄賦》：「行積冰之磑磑兮，清泉沍而不流。」(4)聚積的樣子。《漢書．卷二二．禮樂志》：「磑磑即即，師象山則。」</t>
  </si>
  <si>
    <t>(一)ㄨㄟˋ wèi（11437）</t>
  </si>
  <si>
    <t>皚</t>
  </si>
  <si>
    <t>[形]
潔白。常疊用。如：「白雪皚皚」。漢．卓文君〈白頭吟〉：「皚如山上雪，皎若雲間月。」</t>
  </si>
  <si>
    <t>癌</t>
  </si>
  <si>
    <t>(一)ㄧㄢˊ yán（10974）</t>
  </si>
  <si>
    <t>毐</t>
  </si>
  <si>
    <t>ㄞˇ</t>
  </si>
  <si>
    <t>ǎi</t>
  </si>
  <si>
    <t>[名]
沒有德性的士人。《說文解字．毋部》：「毐，士之無行者。」</t>
  </si>
  <si>
    <t>佁</t>
  </si>
  <si>
    <t>[形]
痴呆的樣子。《說文解字．人部》：「佁，痴貌。」</t>
  </si>
  <si>
    <t>[動]_x000D_
1.大聲斥責。《說文解字．欠部》：「欸，訾也。」《玉篇．欠部》：「欸，呰也。」_x000D_
2.嘆息、感嘆。《楚辭．屈原．九章．涉江》：「乘鄂渚而反顧兮，欸秋冬之緒風。」_x000D_
[擬]_x000D_
參見「欸乃」條。</t>
  </si>
  <si>
    <t>(二)（(一)之又音）ㄞ āi（10314）(三)ㄟˋ èi（10348）</t>
  </si>
  <si>
    <t>矮</t>
  </si>
  <si>
    <t>[形]
1.身材短小。如：「白雪公主和七個小矮人。」《舊唐書．卷一九二．隱逸傳．陽城傳》：「道州土地產民多矮，每年常配鄉戶貢其男，號為矮奴。」
2.低的、不高的。如：「矮樹」、「矮凳」。《紅樓夢》第八三回：「矮牆淺屋的，難道都不怕親戚們聽見笑話了麼？」
3.卑下的。《程乙本紅樓夢》第四六回：「當著矮人，別說矮話。」</t>
  </si>
  <si>
    <t>噯</t>
  </si>
  <si>
    <t>[歎]
表示不同意或否定的感嘆語氣。明．汪錂《春蕪記》第一七齣：「噯！大丈夫一言契合，頸可刎，心可剖，有甚難說的心事。」</t>
  </si>
  <si>
    <t>(二)ㄞˋ ài（10339）</t>
  </si>
  <si>
    <t>藹</t>
  </si>
  <si>
    <t>[形]
1.繁茂、茂盛。《楚辭．宋玉．九辯》：「離芳藹之方壯兮，余萎約而悲愁。」
2.美好、和善。如：「和藹可親」。南朝梁．江淹〈蕭重讓揚州表〉：「丹青所以傳其藹，磬琯所以揚其音也。」唐．韓愈〈答李翊書〉：「仁義之人，其言藹如也。」
[名]
雲氣。通「靄」。《文選．陸機．挽歌三首之三》：「悲風徽行軌，傾雲結流藹。」
[動]
遮掩、籠罩。《文選．顏延之．直東宮答鄭尚書詩》：「流雲藹青闕，皓月鑒丹宮。」宋．朱淑貞〈弔林和靖〉詩：「不識酌泉拈菊意，一庭寒翠藹空祠。」</t>
  </si>
  <si>
    <t>靄</t>
  </si>
  <si>
    <t>[形]
參見「靄靄」條。
[名]
煙霧、雲氣。唐．王維〈終南山〉詩：「白雲迴望合，青靄入看無。」宋．柳永〈雨霖鈴．寒蟬淒切〉詞：「念去去、千里煙波，暮靄沉沉楚天闊。」</t>
  </si>
  <si>
    <t>乂</t>
  </si>
  <si>
    <t>ㄞˋ</t>
  </si>
  <si>
    <t>ài</t>
  </si>
  <si>
    <t>[動]
懲戒。如：「懲乂」。《新唐書．卷一〇〇．列傳．裴矩》：「太宗即位，疾貪吏，欲痛懲乂之。」</t>
  </si>
  <si>
    <t>(一)ㄧˋ yì（10579）</t>
  </si>
  <si>
    <t>艾</t>
  </si>
  <si>
    <t>[名]
1.參見「艾草」條。
2.比喻老人、年長的人。《史記．卷四．周本紀》：「瞽史教誨，耆艾脩之。」南朝梁．劉勰《文心雕龍．養氣》：「凡童少鑒淺而志盛，長艾識堅而氣衰。」
3.美好、漂亮的人。《孟子．萬章上》：「知好色，則慕少艾。」清．孔尚任《桃花扇》第三六齣：「積得些金帛，娶了些嬌艾。」
4.姓。如清代有艾元征。
[動]
1.盡、斷絕、停止。如：「方興未艾」。《詩經．小雅．庭燎》：「夜如何？其夜未艾。」《左傳．哀公二年》：「雖克鄭，猶有知在，憂未艾也。」
2.培養、養育。《詩經．小雅．南山有臺》：「樂只君子，保艾爾後。」</t>
  </si>
  <si>
    <t>(二)ㄧˋ yì（10581）</t>
  </si>
  <si>
    <t>[形]
狹小。通「隘」。《左傳．昭公元年》：「彼徒我車，所遇又阨，以什共車，必克。」唐．韓愈〈復志賦〉：「抱關之阨陋兮，有肆志之揚揚。」</t>
  </si>
  <si>
    <t>(一)ㄜˋ è（10270）</t>
  </si>
  <si>
    <t>嗌</t>
  </si>
  <si>
    <t>[動]
噎，喉嚨塞住。《老殘遊記》第二〇回：「說到這裡，就嗌住了。」</t>
  </si>
  <si>
    <t>(一)ㄧˋ yì（10630）</t>
  </si>
  <si>
    <t>[形]
1.狹小、狹窄。《詩經．大雅．生民》：「誕寘之隘巷，牛羊腓字之。」宋．司馬光〈訓儉示康〉：「廳事前僅容旋馬，或言其太隘。」
2.器量狹小。《南史．卷三五．劉湛傳》：「義恭性甚狷隘，年又漸大，欲專政事，每為湛所裁。」
[名]
險阻的地方。《左傳．僖公二十二年》：「勍敵之人，隘而不列，天贊我也。」《文選．左思．蜀都賦》：「一人守隘，萬夫莫向。」
[副]
極、很。《荀子．禮論》：「其立哭泣哀戚也，不至於隘懾傷生。」</t>
  </si>
  <si>
    <t>(二)ㄜˋ è（10299）</t>
  </si>
  <si>
    <t>愛</t>
  </si>
  <si>
    <t>[名]
1.親慕的情緒或親密的感情。如：「同胞愛」、「親子之愛」。《禮記．禮運》：「何謂人情？喜、怒、哀、懼、愛、惡、欲。」
2.恩惠、仁德。如：「遺愛人間」。《韓非子．內儲說上》：「愛多者則法不立，威寡者則下侵上。」
3.所喜歡的人或物。如：「吾愛」、「割愛」。唐．韋應物〈送元錫楊凌〉詩：「端居意自違，況別親與愛。」
4.對別人女兒的敬稱。通「嬡」。如：「令愛」。唐．裴同亮〈唐故清和郡夫人張氏墓誌銘序〉：「夫人張氏，府君賈秀曾孫，游擊利休之愛。」
5.姓。如宋代有愛申。
[動]
1.喜好、親慕。如：「愛才」、「相愛」、「愛唱歌」。《紅樓夢》第六回：「最愛齋僧敬道，捨米捨錢的。」
2.吝惜、捨不得。《孟子．梁惠王上》：「齊國雖褊小，吾何愛一牛？」宋．陸游〈述懷〉詩：「羯胡未滅敢愛死，尊酒在前終鮮歡。」
[形]
1.兩情相悅的。如：「愛情」。
2.被寵愛或重視的。如：「愛妻」、「愛女」。《三國演義》第二五回：「汝弟斬吾愛將，汝必通謀，留你何用！」</t>
  </si>
  <si>
    <t>僾</t>
  </si>
  <si>
    <t>[副]
隱約、彷彿。《禮記．祭義》：「祭之日，入室，僾然必有見乎其位。」
[形]
參見「唈僾」條。</t>
  </si>
  <si>
    <t>[歎]
1.表示痛惜或懊惱的語氣。《紅樓夢》第七回：「噯！今兒偏偏來了個劉姥姥，我自己多事，為他跑了半日。」
2.表示驚訝的語氣。《老殘遊記》第七回：「噯！別哄我罷，我看你老很文雅，不能連這個也不知道。」</t>
  </si>
  <si>
    <t>(一)ㄞˇ ǎi（10329）</t>
  </si>
  <si>
    <t>嬡</t>
  </si>
  <si>
    <t>[名]
稱別人的女兒為「令嬡」。如：「令嬡長得愈來愈標緻了。」</t>
  </si>
  <si>
    <t>璦</t>
  </si>
  <si>
    <t>[名]
1.美玉。《玉篇．玉部》：「璦，美玉。」
2.參見「璦琿縣」條。</t>
  </si>
  <si>
    <t>薆</t>
  </si>
  <si>
    <t>[動]
隱蔽。《漢書．卷二一．律曆志上》：「昧薆於未，申堅於申。」南朝齊．王融〈餞謝文學離夜詩〉：「離軒思黃鳥，分渚薆青莎。」
[形]
草木茂盛的樣子。三國魏．曹植〈臨觀賦〉：「丘陵窟兮松柏青，南園薆兮果載榮。」</t>
  </si>
  <si>
    <t>曖</t>
  </si>
  <si>
    <t>[形]
昏暗、不明。如：「幽曖」、「關係曖昧」。南朝梁．劉勰《文心雕龍．宗經》：「皇世三墳，帝代五典，重以八索，申以九丘，歲歷綿曖，條流紛糅。」</t>
  </si>
  <si>
    <t>鑀</t>
  </si>
  <si>
    <t>[名]
（einsteinium，Es）化學元素。原子序99。超鈾元素之一，放射性極強。大陸地區譯為鎄。</t>
  </si>
  <si>
    <t>靉</t>
  </si>
  <si>
    <t>參見「靉靆」、「靉靉」等條。</t>
  </si>
  <si>
    <t>餲</t>
  </si>
  <si>
    <t>[形]
食物變味。《論語．鄉黨》：「食饐而餲，魚餒而肉敗，不食。」明．李時珍《本草綱目．卷六．火部．蘆火》：「觀夫茶味之美惡，飯味之甘餲，皆係于水火烹飪之得失。」</t>
  </si>
  <si>
    <t>礙</t>
  </si>
  <si>
    <t>[動]
1.阻止。《說文解字．石部》：「礙，止也。」宋．范成大〈四時田園雜興〉詩六〇首之四〇：「靜看簷蛛結網低，無端妨礙小蟲飛。」
2.限制。漢．揚雄《法言．問道》：「聖人之治天下也，礙諸以禮樂。」
3.妨害。如：「有礙觀瞻」。《鏡花緣》第三九回：「命名相同的甚多，亦有何礙。」
4.掩蔽。唐．方干〈題報恩寺上方〉詩：「巖溜噴空晴似雨，林蘿礙日夏多寒。」
5.牽掛。《兒女英雄傳》第二二回：「那時我身入空門，一身無礙，萬緣俱寂。」</t>
  </si>
  <si>
    <t>ㄟˋ</t>
  </si>
  <si>
    <t>èi</t>
  </si>
  <si>
    <t>[歎]
表承諾的語氣。如：「欸！我可以照辦。」</t>
  </si>
  <si>
    <t>(一)ㄞˇ ǎi（10327）(二)（(一)之又音）ㄞ āi（10314）</t>
  </si>
  <si>
    <t>幺</t>
  </si>
  <si>
    <t>ㄧㄠ</t>
  </si>
  <si>
    <t>yāo</t>
  </si>
  <si>
    <t>[形]
細小。《說文解字．幺部》：「幺，小也。」《漢書．卷一〇〇．敘傳上》：「又況幺髍，尚不及數子，而欲闇奸天位者虖！」《晉書．卷九九．殷仲文傳》：「若桓玄之幺麼，豈足數哉！」
[名]
二一四部首之一。</t>
  </si>
  <si>
    <t>凹</t>
  </si>
  <si>
    <t>ㄠ</t>
  </si>
  <si>
    <t>āo</t>
  </si>
  <si>
    <t>[形]
低於周圍或縮進去的。如：「凹地」、「凹凸不平」。南朝梁．江淹〈青苔賦〉：「悲凹嶮兮，唯流水而馳騖。」</t>
  </si>
  <si>
    <t>(二)（(一)之又音）ㄧㄠ yāo（10795）(三)ㄨㄚ wā（11304）(四)ㄨㄚˋ wà（11320）</t>
  </si>
  <si>
    <t>坳</t>
  </si>
  <si>
    <t>[名]
低窪的地方。如：「山坳」。唐．韓愈〈詠雪贈張籍〉詩：「坳中初蓋底，垤處遂成堆。」《紅樓夢》第五〇回：「加絮念征徭，坳垤審夷險。」</t>
  </si>
  <si>
    <t>(二)（又音）ㄠˋ ào（10375）</t>
  </si>
  <si>
    <t>熬</t>
  </si>
  <si>
    <t>[動]
一種烹調方法，即將食物放入水裡燜煮。如：「熬白菜」、「熬高湯」、「熬豆腐」。</t>
  </si>
  <si>
    <t>(一)ㄠˊ áo（10357）</t>
  </si>
  <si>
    <t>敖</t>
  </si>
  <si>
    <t>ㄠˊ</t>
  </si>
  <si>
    <t>áo</t>
  </si>
  <si>
    <t>[動]
1.遊玩、遊逛。同「遨」。《說文解字．放部》：「敖，出游也。」《詩經．邶．柏舟》：「微我無酒，以敖以遊。」《漢書．卷二四．食貨志上》：「聖王量能授事，四民陳力受職，故朝亡廢官，邑亡敖民，地亡曠土。」
2.戲弄、戲謔。《管子．四稱》：「誅其良臣，敖其婦女。」《漢書．卷六五．東方朔傳》：「自公卿在位，朔皆敖弄，無所為屈。」
3.以小火慢煮或煎乾。通「熬」。《戰國策．魏策二》：「齊桓公夜半不嗛，易牙乃煎敖燔炙，和調五味而進之。」
[名]
姓。如清代有敖成。</t>
  </si>
  <si>
    <t>(二)ㄠˋ ào（10377）</t>
  </si>
  <si>
    <t>廒</t>
  </si>
  <si>
    <t>[名]
穀倉、糧倉。元．鄭光祖《老君堂》第四折：「中原清宴賀昇平，幸倉廒滿盈。」《喻世明言．卷二七．金玉奴棒打薄情郎》：「真個廒多積粟，囊有餘錢，放債使婢。」</t>
  </si>
  <si>
    <t>嗷</t>
  </si>
  <si>
    <t>參見「嗷鴻」、「嗷嗷」等條。</t>
  </si>
  <si>
    <t>璈</t>
  </si>
  <si>
    <t>[名]
古代的一種樂器。《集韻．平聲．豪韻》：「璈，樂器。」唐．吳筠〈遊仙〉詩二四首之一五：「鳳舞龍璈奏，虯軒殊未迴。」</t>
  </si>
  <si>
    <t>[動]
1.用小火慢煮、乾煎。如：「熬藥」。漢．揚雄《方言》卷七：「凡以火而乾五穀之類，自山而東，齊、楚以往，謂之熬。」《周禮．地官．舍人》：「喪紀，共飯米，熬穀。」
2.勉強忍耐。如：「熬夜」。元．無名氏《鴛鴦被》第一折：「熬永夜閒描那花樣子，捱長日頻拈我這繡針兒。」《三國演義》第一六回：「虧得那馬是大宛良馬，熬得痛，走得快。」</t>
  </si>
  <si>
    <t>(二)ㄠ āo（10352）</t>
  </si>
  <si>
    <t>遨</t>
  </si>
  <si>
    <t>[動]
遊玩。《後漢書．卷一一．劉盆子傳》：「（劉盆子）乘軒車大馬，……而猶從牧兒遨。」《新五代史．卷六三．十國世家．前蜀世家》：「蜀人富而喜遨，當王氏晚年，俗競為小帽。」</t>
  </si>
  <si>
    <t>獒</t>
  </si>
  <si>
    <t>[名]
動物名。哺乳類食肉目。上脣下垂，鼻端開闊，顎強，耳朵小，四肢短，尾長，體毛黃褐色，體型較一般犬為大。性情凶猛好鬥，可做為獵犬。</t>
  </si>
  <si>
    <t>聱</t>
  </si>
  <si>
    <t>參見「聱牙」條。</t>
  </si>
  <si>
    <t>螯</t>
  </si>
  <si>
    <t>[名]
節足動物變形的第一對腳，尖端分兩歧，像鉗子能開能合，可以用來取食或自衛。《荀子．勸學》：「蟹六跪而二螯，非蛇蟺之穴無可寄託者，用心躁也。」《晉書．卷四九．畢卓傳》：「右手持酒杯，左手持蟹螯。」</t>
  </si>
  <si>
    <t>謷</t>
  </si>
  <si>
    <t>[動]
詆毀。《呂氏春秋．孟秋紀．懷寵》：「謷醜先王，排訾舊典。」《清史稿．卷四五二．蒯光典傳》：「諸生不樂受約束，輒相訾謷，歲餘謝職歸。」
[形]
高大。《莊子．德充符》：「謷乎大哉，獨成其天！」</t>
  </si>
  <si>
    <t>(二)ㄠˋ ào（10379）</t>
  </si>
  <si>
    <t>鏊</t>
  </si>
  <si>
    <t>[名]
一種烙餅用的平底鍋。《玉篇．金部》：「鏊，餅鏊也。」明．張自烈《正字通．金部》：「鏊，今烙餅平鍋曰餅鏊，亦曰烙鍋。」</t>
  </si>
  <si>
    <t>(二)（又音）ㄠˋ ào（10380）</t>
  </si>
  <si>
    <t>驁</t>
  </si>
  <si>
    <t>[名]
駿馬。《說文解字．馬部》：「驁，駿馬。」《呂氏春秋．慎大覽．察今》：「良馬期乎千里，不期乎驥驁。」
[形]
1.馬驕而不馴的樣子。明．張自烈《正字通．馬部》：「驁，馬驕不馴也。」
2.輕傲、狂妄。《莊子．庚桑楚》：「蹍市人之足，則辭以放驁。」《漢書．卷九四．匈奴傳上》：「陵轢邊吏，入盜，甚驁無道，非約也。」</t>
  </si>
  <si>
    <t>(二)（又音）ㄠˋ ào（10381）</t>
  </si>
  <si>
    <t>鰲</t>
  </si>
  <si>
    <t>[名]
同「鼇」。明．張自烈《正字通．魚部》：「鰲，俗鼇字。」</t>
  </si>
  <si>
    <t>鼇</t>
  </si>
  <si>
    <t>[名]_x000D_
傳說中的大海龜。《玉篇．黽部》：「鼇，傳曰：『有神靈之鼇，背負蓬萊之山在海中。』」《楚辭．屈原．天問》：「鼇載山抃，何以安之？」唐．白居易〈題海圖屏風〉詩：「突兀海底鼇，首冠三神丘。」</t>
  </si>
  <si>
    <t>翱</t>
  </si>
  <si>
    <t>參見「翱翔」條。</t>
  </si>
  <si>
    <t>爊</t>
  </si>
  <si>
    <t>[動]
用小火將食物煨熟。《集韻．平聲．豪韻》：「爊，煨也。」《齊民要術．卷八．脯腊》：「其魚草裹泥封，煻灰中爊之。」</t>
  </si>
  <si>
    <t>鏖</t>
  </si>
  <si>
    <t>[動]
1.雙方苦戰，死傷很多。《漢書．卷五五．霍去病傳》：「合短兵，鏖皋蘭下。」唐．顏師古．注：「鏖，今俗猶謂打擊之甚者曰鏖。」
2.喧擾。宋．黃庭堅〈平陰張澄居士隱處〉詩三首之一：「市聲鏖午枕，常以此心觀。」</t>
  </si>
  <si>
    <t>夭</t>
  </si>
  <si>
    <t>ㄠˇ</t>
  </si>
  <si>
    <t>ǎo</t>
  </si>
  <si>
    <t>[名]
幼嫩的動、植物。《集韻．上聲．皓韻》：「夭，少長曰夭。」《國語．魯語上》：「且夫山不槎櫱，澤不伐夭。」三國吳．韋昭．注：「屮木未成曰夭。」《漢書．卷二二．禮樂志》：「眾庶熙熙，施及夭胎。」唐．顏師古．注：「少長曰夭，在孕曰胎。」</t>
  </si>
  <si>
    <t>(一)ㄧㄠ yāo（10790）(二)ㄧㄠˇ yǎo（10835）</t>
  </si>
  <si>
    <t>[動]
折。《玉篇．手部》：「拗，拗折也。」唐．溫庭筠〈達摩支曲〉：「擣麝成塵香不滅，拗蓮作寸絲難絕。」</t>
  </si>
  <si>
    <t>(一)ㄠˋ ào（10376）(三)ㄋㄧㄡˋ niù（03079）(四)ㄩˋ yù（11660）</t>
  </si>
  <si>
    <t>媼</t>
  </si>
  <si>
    <t>[名]
1.老婦。《說文解字．女部》：「媼，女老偁也。」《戰國策．趙策四》：「老臣竊以為媼之愛燕后，賢于長安君。」《北史．卷四三．邢巒傳》：「及代，吏人父老及媼嫗皆遠相攀追，號泣不絕。」
2.稱謂。母親。《廣雅疏證．卷六下．釋親》：「媼，母也。」《韓非子．外儲說右上》：「薄疑歸言之媼也，曰：『衛君之愛疑奚與媼？』媼曰：『不如吾愛子也！』」
3.婦人的通稱。《史記．卷一一一．衛將軍傳》：「其父鄭季，為吏，給事平陽侯家，與侯妾衛媼通，生青。」唐．司馬貞．索隱：「媼，婦人老少通稱。」
4.地神。明．張自烈《正字通．女部》：「媼，地神曰媼。」</t>
  </si>
  <si>
    <t>蝹</t>
  </si>
  <si>
    <t>[名]
傳說中在地底下吃死人腦的怪物。《廣韻．上聲．皓韻》：「蝹，蟲名。如猿，常地下食人腦。」南朝梁．任昉《述異記》卷下：「秦繆公時，陳倉人掘地得物，若羊非羊，似豬非豬。繆公道中逢二童子，云：『此名蝹，在地中食死人腦。』」</t>
  </si>
  <si>
    <t>(一)ㄩㄣ yūn（11818）</t>
  </si>
  <si>
    <t>襖</t>
  </si>
  <si>
    <t>[名]
可禦寒且有襯裡的短上衣。如：「夾襖」、「棉襖」、「皮襖」。唐．韓愈〈崔十六少府攝伊陽以詩及書見投因酬三十韻〉：「蔬飧要同喫，破襖請來綻。」《資治通鑑．卷一四二．齊紀八．東昏侯永元元年》：「見車上婦人猶戴帽，著小襖。」</t>
  </si>
  <si>
    <t>ㄠˋ</t>
  </si>
  <si>
    <t>ào</t>
  </si>
  <si>
    <t>(一)ㄠ āo（10351）</t>
  </si>
  <si>
    <t>[形]
不順。如：「拗口」。唐．孟郊〈峽哀〉詩一〇首之八：「腥語信者誰？拗歌歡非真。」
[動]
反抗。唐．韓愈〈答孟郊〉詩：「古心雖自鞭，世路終難拗。」《紅樓夢》第七〇回：「眾人不敢違拗，只得回房去，另妝飾了起來。」</t>
  </si>
  <si>
    <t>(二)ㄠˇ ǎo（10371）(三)ㄋㄧㄡˋ niù（03079）(四)ㄩˋ yù（11660）</t>
  </si>
  <si>
    <t>[形]
倨傲、傲慢。通「傲」。如：「桀敖不馴」。《禮記．曲禮上》：「敖不可長，欲不可從，志不可滿，樂不可極。」《管子．宙合》：「大揆度儀，若覺臥，若晦明，若敖之在堯也。」</t>
  </si>
  <si>
    <t>(一)ㄠˊ áo（10353）</t>
  </si>
  <si>
    <t>傲</t>
  </si>
  <si>
    <t>[形]
1.倨慢。如：「驕傲」、「傲慢」。
2.不屈服的。如：「傲骨」、「傲氣」。
[動]
輕視、不尊敬。《呂氏春秋．士容論．士容》：「傲小物而志屬於大，似無勇而未可恐。」唐．韓愈〈祭鱷魚文〉：「夫傲天子之命吏，不聽其言，不徙避之。」
[名]
急躁。《荀子．勸學》：「故不問而告謂之傲，問一而告二謂之囋，傲非也，囋非也。」《管子．乘馬》：「是故事者生於慮，成於務，失於傲。」</t>
  </si>
  <si>
    <t>[副]
倨傲。通「傲」。《莊子．天地》：「雖以天下譽之，得其所謂，謷然不顧。」《新唐書．卷一八二．周墀傳》：「宿將暴謷不循令者，墀命鞭其背，一軍大治。」</t>
  </si>
  <si>
    <t>(一)ㄠˊ áo（10362）</t>
  </si>
  <si>
    <t>(一)ㄠˊ áo（10363）</t>
  </si>
  <si>
    <t>(一)ㄠˊ áo（10364）</t>
  </si>
  <si>
    <t>奡</t>
  </si>
  <si>
    <t>[形]
1.傲慢。通「傲」。唐．來鵠〈聖政紀頌〉：「無典無法，頑肩奡比。三皇實作，五帝實治。」
2.矯健的樣子。唐．韓愈〈薦士〉詩：「橫空盤硬語，妥帖力排奡。」
[名]
人名。為夏朝時寒浞的兒子。力氣大，能陸地行舟，後為少康所殺。</t>
  </si>
  <si>
    <t>奧</t>
  </si>
  <si>
    <t>[名]
1.房室的西南隅。《說文解字．宀部》：「奧，宛也。室之西南隅。」《儀禮．士喪禮》：「乃奠燭，升自阼階，祝執巾席從，設于奧，東面。」《論語．八佾》：「與其媚於奧，寧媚於灶。」
2.泛指室內深處。《淮南子．時則》：「涼風始至，蟋蟀居奧。」
3.幽深的地方。《文選．張協．七命》：「絕景乎大荒之遐阻，吞響乎幽山之窮奧。」
4.主事者。《禮記．禮運》：「人情以為田，故人以為奧也。」漢．鄭玄．注：「奧，猶主也。田無主則荒。」
5.豬圈。《莊子．徐无鬼》：「吾未嘗為牧，而牂生於奧。」
6.奧地利的簡稱。
[形]
幽祕、精深的。《文選．孔安國．尚書序》：「至于夏商周之書，雖設教不倫，雅誥奧義，其歸一揆。」唐．王勃〈益州綿竹縣武都山淨慧寺碑〉：「武都仙鎮，龍墟奧域。」</t>
  </si>
  <si>
    <t>(二)ㄩˋ yù（11707）</t>
  </si>
  <si>
    <t>澳</t>
  </si>
  <si>
    <t>[形]
深。《集韻．去聲．號韻》：「澳，深也。」
[名]
1.船舶可停靠的天然港灣，常用做地名。如：「蘇澳」、「三都澳」、「南方澳」。《宋史．卷九六．河渠志六》：「鎮江府傍臨大江，無港澳以容舟楫，三年間覆溺五百餘艘。」
2.澳大利亞的簡稱。
3.澳門的簡稱。如：「港澳七日遊」。</t>
  </si>
  <si>
    <t>(二)ㄩˋ yù（11708）</t>
  </si>
  <si>
    <t>懊</t>
  </si>
  <si>
    <t>[動]
悔恨。如：「懊惱」、「懊悔」。《晉書．卷八〇．王羲之傳》：「後為其父誤刮去之，門生驚懊者累日。」</t>
  </si>
  <si>
    <t>嶴</t>
  </si>
  <si>
    <t>[名]
地名用字。浙江等沿海省分的島嶼，多用嶴作名字。如：「懸嶴」、「薛嶴」、「章嶴」。</t>
  </si>
  <si>
    <t>隩</t>
  </si>
  <si>
    <t>[名]
(一)[名]之又音。
[形]
幽深。通「奧」。《莊子．天下》：「弱於德，強於物，其塗隩矣。」</t>
  </si>
  <si>
    <t>(一)ㄩˋ yù（11709）</t>
  </si>
  <si>
    <t>燠</t>
  </si>
  <si>
    <t>[形]
很熱。如：「盛夏燠暑」。</t>
  </si>
  <si>
    <t>(一)ㄩˋ yù（11710）</t>
  </si>
  <si>
    <t>鐭</t>
  </si>
  <si>
    <t>[名]
1.溫熱東西的器具。《玉篇．金部》：「鐭，溫器。」
2.化學元素。鋨的舊譯。</t>
  </si>
  <si>
    <t>ㄡ</t>
  </si>
  <si>
    <t>ōu</t>
  </si>
  <si>
    <t>[名]
1.量詞。古代計算容量的單位。相當於一斗六升。《集韻．平聲．侯韻》：「區，量名，四豆為區。」《左傳．昭公三年》：「齊舊四量：豆、區、釜、鍾。」晉．杜預．注：「四豆為區，區，斗六升。」
2.姓。如漢代有區博。
[動]
隱匿。《左傳．昭公七年》：「吾先君文王作僕區之法。」孔穎達．正義引服虔云：「僕，隱也；區，匿也。」</t>
  </si>
  <si>
    <t>(一)ㄑㄩ qū（06618）(三)ㄍㄡ gōu（04016）</t>
  </si>
  <si>
    <t>漚</t>
  </si>
  <si>
    <t>[名]
1.水泡。如：「浮漚」。唐．白居易〈想東遊五十韻〉：「幻世春來夢，浮生水上漚。」
2.水鳥。通「鷗」。《列子．黃帝》：「海上之人有好漚鳥者，每旦之海上，從漚鳥游。」</t>
  </si>
  <si>
    <t>(一)ㄡˋ òu（10409）</t>
  </si>
  <si>
    <t>[動]
1.歌唱。同「謳」。如：「嘔歌」。《漢書．卷六四上．朱買臣傳》：「數止買臣毋歌嘔道中。」
2.(一)之又音。
[擬]
參見「嘔唲」、「嘔啞」等條。</t>
  </si>
  <si>
    <t>(一)ㄡˇ ǒu（10407）(三)ㄡˋ òu（10410）(四)ㄒㄩ xū（07280）</t>
  </si>
  <si>
    <t>熰</t>
  </si>
  <si>
    <t>[名]
炮。《集韻．平聲．侯韻》：「熰，炮也。」
[形]
乾旱。《管子．侈靡》：「古之祭，有時而星，有時而星熺，有時而熰。」唐．尹知章．注：「熰，熱甚也。謂旱熱甚而祭。」
[動]
燃燒。《醒世姻緣傳》第四八回：「只見房前門戶都豎著秫稭，點著火待著不著的熰。」</t>
  </si>
  <si>
    <t>[動]
捶擊。同「毆」。《漢書．卷四七．文三王傳．梁懷王劉揖傳》：「後數復敺傷郎，夜私出宮。」</t>
  </si>
  <si>
    <t>(一)ㄑㄩ qū（06620）</t>
  </si>
  <si>
    <t>歐</t>
  </si>
  <si>
    <t>[名]
1.歐洲的簡稱。如：「歐美國家」。
2.參見「歐姆」條。
3.姓。如漢代有歐寶。
[動]
1.歌詠。同「謳」。宋．洪适《隸釋．卷三．三公山碑》：「百姓歐歌，得我惠君。」
2.捶擊。通「毆」。《漢書．卷四〇．張良傳》：「（老父）顧謂良曰：『孺子下取履！』良愕然，欲歐之。」唐．顏師古．注：「歐，擊也。」</t>
  </si>
  <si>
    <t>(二)ㄡˇ ǒu（10408）</t>
  </si>
  <si>
    <t>毆</t>
  </si>
  <si>
    <t>[動]_x000D_
1.擊、打。如：「鬥毆」、「毆打」。《史記．卷五五．留侯世家》：「顧謂良曰：『孺子，下取履！』良鄂然，欲毆之。」元．楊梓《霍光鬼諫》第三折：「將霍山纏住拘，將霍禹劈面毆。」_x000D_
2.惹人生氣。通「嘔」。《金瓶梅》第三三回：「春梅也不拏箸，故意毆他，向攢盒內取了兩個核桃遞與他。」</t>
  </si>
  <si>
    <t>蓲</t>
  </si>
  <si>
    <t>[名]
植物名：(1)即刺榆。榆科刺榆屬，落葉喬木。樹皮為條狀剝裂，呈灰色。枝條強韌，皮孔隆起顯著，具粗硬棘刺。葉橢圓形，鋸齒緣，脈胳明顯。花雜性，單生或二至四朵簇生葉腋。花被杯狀，四至五裂。小堅果斜卵圓形，背側頂部有狹翅。木材可供製造器具、農具。《山海經．海內南經》：「其實如欒，其大若蓲。」清．郝懿行．疏：「蓲，刺榆也。」(2)禾本科芒屬，「荻」之古稱，參見「荻」條。</t>
  </si>
  <si>
    <t>甌</t>
  </si>
  <si>
    <t>[名]
1.盆、盂等瓦器。《淮南子．說林》：「狗彘不擇甂甌而食，偷肥其體，而顧近其死。」《水滸傳》第三二回：「烏皮卓椅，盡列著瓦缽瓷甌。」
2.喝酒、飲茶的碗杯。南唐．李煜〈漁父．一櫂春風一葉舟〉詞：「花滿渚，酒滿甌。」
3.地名。浙江省舊溫州府的簡稱，即今永嘉縣。</t>
  </si>
  <si>
    <t>謳</t>
  </si>
  <si>
    <t>[動]
歌唱。《孟子．告子下》：「昔者王豹處於淇，而河西善謳。」《漢書．卷一．高帝紀上》：「漢王既至南鄭，諸將及士卒皆歌謳思東歸，多道亡還者。」
[名]
1.歌曲、歌謠。《楚辭．宋玉．招魂》：「吳歈蔡謳，奏大呂些。」南朝梁．蕭統〈陶淵明集序〉：「齊謳趙女之娛，八珍九鼎之食，……，樂既樂矣，憂亦隨之。」
2.姓。如春秋時越有謳陽。</t>
  </si>
  <si>
    <t>鷗</t>
  </si>
  <si>
    <t>[名]_x000D_
鷗科鳥類的通稱。種類繁多，體型大小不一。羽毛多為灰色或白色，嘴鉤曲。趾間有蹼，善游水。翼長，常飛翔湖海上。</t>
  </si>
  <si>
    <t>ㄡˊ</t>
  </si>
  <si>
    <t>óu</t>
  </si>
  <si>
    <t>[名]
吽牙：狗爭鬥的聲音。《漢書．卷六五．東方朔傳》：「狋吽牙者，兩犬爭也。」</t>
  </si>
  <si>
    <t>(二)ㄏㄨㄥ hōng（05254）</t>
  </si>
  <si>
    <t>齵</t>
  </si>
  <si>
    <t>(一)ㄩˊ yú（11595）</t>
  </si>
  <si>
    <t>偶</t>
  </si>
  <si>
    <t>ㄡˇ</t>
  </si>
  <si>
    <t>ǒu</t>
  </si>
  <si>
    <t>[名]
1.用土、木、金屬等材料雕塑的人像。如：「泥偶」、「木偶」。
2.同伴。《史記．卷九一．黥布傳》：「迺率其曹偶，亡之江中為群盜。」宋．蘇軾〈鳳翔八觀詩．石鼓歌〉：「登山刻石頌功烈，後者無繼前無偶。」
3.配偶。如：「怨偶」、「佳偶天成」。《紅樓夢》第四回：「因此這李紈雖青春喪偶，且居處膏粱錦繡之中，竟如槁木死灰一般。」
4.姓。如明代有偶桓。
[形]
成雙的。與「奇」相對。如：「二、四、六……都是偶數。」
[副]
1.碰巧、不是經常的。如：「偶遇」、「偶發」、「偶一為之」。
2.相對的。如：「偶坐」。《史記．卷六．秦始皇本紀》：「有敢偶語詩書者棄市，以古非今者族。」
[動]
1.婚配。《初刻拍案驚奇》卷二五：「如欲偶吾者，必先投詩，吾當自擇。」
2.對等、匹敵。《抱朴子．外篇．鈞世》：「諸碩儒高才之賞文者，咸以古詩三百未有足以偶二賢之所作也。」</t>
  </si>
  <si>
    <t>耦</t>
  </si>
  <si>
    <t>[名]
1.古代的一種農具。《說文解字．耒部》：「耦，耕廣五寸為伐，二伐為耦。」
2.一對、二個。《左傳．襄公二十九年》：「公享之，展莊叔執幣，射者三耦。」晉．杜預．注：「二人為耦。」《三國志．卷四七．吳書．吳主權傳》：「今孤父子親自受田，車中八牛以為四耦。」
3.配偶。《左傳．桓公六年》：「人各有耦，齊大非吾耦也。」《聊齋志異．卷一〇．阿纖》：「請賜離婚書，聽君自擇良耦。」
4.雙數。《易經．繫辭下》：「陽卦奇，陰卦耦。」唐．李德裕〈文章論〉：「意盡而止，成篇不拘于隻耦。」
5.姓。如漢代有耦嘉。
[形]
淤積的。《呂氏春秋．孝行覽．必己》：「牛缺居上地，大儒也，下之邯鄲，遇盜於耦沙之中。」
[動]
兩人並耕。《論語．微子》：「長沮桀溺耦而耕，孔子過之。」《荀子．大略》：「禹見耕者耦，立而式。」唐．楊倞．注：「兩人並耕為耦。」</t>
  </si>
  <si>
    <t>蕅</t>
  </si>
  <si>
    <t>[名]
蓮的地下莖。同「藕」。《玉篇．艸部》：「蕅，同藕。」</t>
  </si>
  <si>
    <t>藕</t>
  </si>
  <si>
    <t>[名]
蓮的地下莖。白色，肥大有節，中間有管狀的孔，可食。</t>
  </si>
  <si>
    <t>[動]
吐。《左傳．哀公二年》：「吾伏弢嘔血。」唐．杜甫〈北征〉詩：「老夫情懷惡，嘔泄臥數日。」</t>
  </si>
  <si>
    <t>(二)ㄡ ōu（10392）(三)ㄡˋ òu（10410）(四)ㄒㄩ xū（07280）</t>
  </si>
  <si>
    <t>[動]
吐。同「嘔」。《漢書．卷七四．丙吉傳》：「吉馭吏耆酒，數逋蕩，嘗從吉出，醉歐丞相車上。」</t>
  </si>
  <si>
    <t>(一)ㄡ ōu（10395）</t>
  </si>
  <si>
    <t>ㄡˋ</t>
  </si>
  <si>
    <t>òu</t>
  </si>
  <si>
    <t>[動]
1.在水中長時間的浸泡。《說文解字．水部》：「漚，久漬也。」《詩經．陳風．東門之池》：「東門之池，可以漚麻。」
2.長時間溼溽著。如：「汗漚得很難受。」</t>
  </si>
  <si>
    <t>(二)ㄡ ōu（10391）</t>
  </si>
  <si>
    <t>[動]
1.招惹、引人生氣。如：「這是存心嘔他的。」《兒女英雄傳》第三回：「把個老頭子嘔的嚷一陣，鬧一陣。」
2.生氣、動怒。如：「有什麼不高興就說出來吧！別嘔出病來。」《水滸傳》第二回：「老漢的兒子，從小不務農業，只愛刺鎗使棒，母親說他不得，嘔氣死了。」</t>
  </si>
  <si>
    <t>(一)ㄡˇ ǒu（10407）(二)ㄡ ōu（10392）(四)ㄒㄩ xū（07280）</t>
  </si>
  <si>
    <t>安</t>
  </si>
  <si>
    <t>ㄢ</t>
  </si>
  <si>
    <t>ān</t>
  </si>
  <si>
    <t>[名]
1.平穩、安全、舒適的狀況或環境。如：「居安思危」、「轉危為安」、「苟且偷安」。《論語．學而》：「君子食無求飽，居無求安。」
2.安非他命的簡稱。如：「吸安」、「安毒」。
3.量詞。安培的簡稱。參見「安培」條。
4.姓。如漢代有安成。
[形]
1.平靜、恬適。如：「安寧」、「坐立不安」。《漢書．卷六四下．嚴安傳》：「心既和平，其性恬安。」
2.穩定的、靜止的。如：「生活安穩」。唐．楊烱〈渾天賦〉：「故知天常安而不動，地極深而不測。」
[動]
1.使穩定。如：「除暴安良」、「安民」。
2.裝置、設置。如：「安電燈」、「安門窗」。
3.加上。如：「安罪名」。
4.存、懷、居。如：「你安的是什麼心？」
5.習慣、熟悉。《呂氏春秋．先識覽．樂成》：「舟車之始見也，三世然後安之。」
[副]
豈、怎麼。用於文言文。如：「安能如此？」《左傳．宣公十二年》：「暴而不戢，安能保大？」
[代]
1.何處、那裡。用於文言文。如：「而今安在？」《史記．卷七．項羽本紀》：「項王曰：『沛公安在？』良曰：『聞大王有意督過之，脫身獨去，已至軍矣。』」
2.如何。《禮記．檀弓上》：「泰山其頹，則吾將安仰？」
[連]
乃、於是。《荀子．仲尼》：「委然成文，以示之天下，而暴國安自化矣。」</t>
  </si>
  <si>
    <t>氨</t>
  </si>
  <si>
    <t>[名]
一種無機化合物，是氫氣與氮氣化合而成，為無色而有臭味的氣體。常溫加壓即成液態氨，除去壓力後又會還原回氣體。可作為製造乾冰的冷卻劑，此外還能用於製造硝酸、氮肥及炸藥等。俗稱為「阿摩尼亞」。參見「氨氣」條。</t>
  </si>
  <si>
    <t>胺</t>
  </si>
  <si>
    <t>[動]
肉腐變臭。《廣韻．入聲．曷韻》：「胺，肉敗臭。」
[名]
一種有機化合物。為氨中之氫為烴基所取代而成的化合物，總稱為「胺」。如甲胺。</t>
  </si>
  <si>
    <t>銨</t>
  </si>
  <si>
    <t>化學中的一種多原子陽離子，是從氨衍生所得的正一價離子，即銨離子。含有此根的化合物有氯化銨、硫酸銨等。</t>
  </si>
  <si>
    <t>鞍</t>
  </si>
  <si>
    <t>[名]
1.馬背上的騎墊。即馬鞍。《漢書．卷五四．李廣傳》：「未到匈奴陳二里所，止，令曰：『皆下馬解鞍！』」南朝梁．無名氏〈木蘭詩〉二首之一：「東市買駿馬，西市買鞍韉。」
2.地名。春秋時齊地，故址約今之山東省濟南市。</t>
  </si>
  <si>
    <t>庵</t>
  </si>
  <si>
    <t>[名]
1.圓頂的草舍。《集韻．平聲．覃韻》：「庵，圜屋曰庵。」如：「草庵」、「茅庵」。
2.僧尼禮佛的小寺廟。如：「尼姑庵」。《儒林外史》第二回：「這庵是十方的香火，只得一個和尚住。」</t>
  </si>
  <si>
    <t>菴</t>
  </si>
  <si>
    <t>[名]
1.茅屋。同「庵」。《南齊書．卷四〇．武十七王傳．竟陵文宣王子良傳》：「編草結菴，不違涼暑。」
2.僧尼供佛的小寺廟。同「庵」。《喻世明言．卷四．閒雲菴阮三償冤債》：「這菴兒雖小，其實幽雅。」</t>
  </si>
  <si>
    <t>(二)ㄢˋ àn（10439）</t>
  </si>
  <si>
    <t>鵪</t>
  </si>
  <si>
    <t>陰</t>
  </si>
  <si>
    <t>同「闇」(二)。</t>
  </si>
  <si>
    <t>(一)ㄧㄣ yīn（11076）(二)ㄧㄣˋ yìn（11119）</t>
  </si>
  <si>
    <t>媕</t>
  </si>
  <si>
    <t>參見「媕婀」條。</t>
  </si>
  <si>
    <t>(二)ㄧㄢˇ yǎn（11000）</t>
  </si>
  <si>
    <t>腤</t>
  </si>
  <si>
    <t>[動]
以鹽、豉、蔥等與肉類一起烹煮。《玉篇．肉部》：「腤，煮魚肉。」如：「腤雞」、「腤魚」。
[形]
參見「腤䐶」條。</t>
  </si>
  <si>
    <t>諳</t>
  </si>
  <si>
    <t>[動]
1.熟悉、知曉。如：「不諳水性」。唐．王建〈新嫁娘詞〉三首之三：「未諳姑食性，先遣小姑嘗。」《老殘遊記》第一四回：「只因但會讀書，不諳世故，舉手動足便錯。」
2.記、誦。《後漢書．卷三三．虞延傳》：「其陵樹株櫱，皆諳其數。」《南齊書．卷三九．陸澄傳》：「令君少便鞅掌王務，雖復一覽便諳，然見卷軸未必多僕。」</t>
  </si>
  <si>
    <t>闇</t>
  </si>
  <si>
    <t>[名]
守喪的屋子。《文選．潘岳．西征賦》：「天子寢於諒闇，百官聽於冢宰。」
[動]
熟悉。通「諳」。《晉書．卷二四．職官志》：「及蜀破後，令勰受諸葛亮圍陣用兵倚伏之法，又甲乙校標幟之制，勰悉闇練之。」</t>
  </si>
  <si>
    <t>(一)ㄢˋ àn（10442）</t>
  </si>
  <si>
    <t>盦</t>
  </si>
  <si>
    <t>[名]
1.器皿的蓋子。《說文解字．皿部》「盦」字．清．段玉裁．注：「盦，此謂器之蓋也。」
2.古代用以盛食物的器皿。元．陶宗儀《南村輟耕錄．卷一七．古銅器》：「古器之名，則有……壺、盦、瓿。」
3.圓形的草屋。同「庵」。清．徐珂《清稗類鈔．孝友類．錢塘丁氏之孝友》：「既卜葬其父母於西溪而廬墓焉，乃築風木盦以避寒暑。」</t>
  </si>
  <si>
    <t>啽</t>
  </si>
  <si>
    <t>ㄢˊ</t>
  </si>
  <si>
    <t>án</t>
  </si>
  <si>
    <t>[動]
夢中含糊、不清楚的說話。《集韻．平聲．覃韻》：「啽，寐聲。」《列子．周穆王》：「眠中啽藝呻呼，徹旦息焉。」</t>
  </si>
  <si>
    <t>匼</t>
  </si>
  <si>
    <t>ㄢˇ</t>
  </si>
  <si>
    <t>ǎn</t>
  </si>
  <si>
    <t>[副]
參見「匼匝」條。
[名]
烏匼：古代的一種頭巾。唐．杜甫〈七月三日亭午已後校熱退晚加小涼穩睡有詩因論壯年樂事戲呈元二十一曹長〉詩：「晚風爽烏匼，筋力蘇摧折。」
[動]
諂諛迎合。《舊唐書．卷一二五．蕭復傳》：「杞對上或諂諛阿匼，復厲言：『杞詞不正！』」</t>
  </si>
  <si>
    <t>俺</t>
  </si>
  <si>
    <t>[代]
北方方言。指第一人稱，我。《水滸傳》第二回：「俺的性命，今番難保了。」</t>
  </si>
  <si>
    <t>(二)ㄧㄢˋ yàn（11030）</t>
  </si>
  <si>
    <t>唵</t>
  </si>
  <si>
    <t>[動]
1.含。《玉篇．口部》：「唵，含也。」
2.用手進食。《廣韻．上聲．感韻》：「唵，手進食也。」
[助]
梵語oṃ的音譯。為佛教咒語中常見的聲符。《西遊記》第六五回：「行者急了，卻捻個訣，念一聲『唵嚂靜法界，乾元亨利貞』的咒語。」
[歎]
表懷疑的語氣。如：「唵！請你再說一遍。」</t>
  </si>
  <si>
    <t>晻</t>
  </si>
  <si>
    <t>[形]
1.陰暗不明的樣子。《漢書．卷九．元帝紀》：「然而陰陽未調，三光晻昧。」
2.昏暗的。參見「晻世」條。</t>
  </si>
  <si>
    <t>(二)（(一)之又音）ㄢˋ àn（10440）(三)ㄧㄢˇ yǎn（10988）</t>
  </si>
  <si>
    <t>揞</t>
  </si>
  <si>
    <t>[動]
1.掩藏。《廣雅疏證．卷四．釋詁》：「揞，藏也。」元．喬吉〈一枝花．雲髫金雀翹套．梁州第七〉曲：「儹科，鬥喊，風聲兒惹起如何揞。」
2.按敷。如：「手上破了皮，用點藥把傷口揞上。」</t>
  </si>
  <si>
    <t>黭</t>
  </si>
  <si>
    <t>[形]
愚昧、糊塗。《文選．王襃．四子講德論》：「鄙人黭淺，不能究識。」</t>
  </si>
  <si>
    <t>ㄢˋ</t>
  </si>
  <si>
    <t>àn</t>
  </si>
  <si>
    <t>[名]
1.動物名。哺乳綱食肉目。一種北方的野狗，黑嘴，善於看守。
2.監獄。《後漢書．卷五二．崔駰傳》：「所至之縣，獄犴填滿。」《文選．范曄．後漢書皇后紀論》：「身犯霧露於雲臺之上，家纓縲紲於圄犴之下。」
3.姓。如漢代有犴反。</t>
  </si>
  <si>
    <t>(二)（又音）ㄏㄢˋ hàn（04869）</t>
  </si>
  <si>
    <t>岸</t>
  </si>
  <si>
    <t>[名]
1.水邊高地。《說文解字．屵部》：「岸，水厓而高者。」如：「河岸」、「海岸」。《詩經．衛風．氓》：「淇則有岸，隰則有泮。」
2.參見「岸獄」條。
[形]
1.雄傑、高峻的樣子。《漢書．卷四五．江充傳》：「充為人魁岸，容貌甚狀。」
2.高傲、莊嚴的樣子。如：「道貌岸然」。宋．黃庭堅〈定風波．萬里黔中一漏天〉詞：「鬼門關外蜀江前，莫笑老翁氣猶岸。」</t>
  </si>
  <si>
    <t>同「犴」。</t>
  </si>
  <si>
    <t>(二)（又音）ㄏㄢˋ hàn（04873）</t>
  </si>
  <si>
    <t>按</t>
  </si>
  <si>
    <t>[動]
1.用手向下壓。《說文解字．手部》「按」字．清．段玉裁．注：「以手抑之使下也。」如：「按電鈴」。《水滸傳》第三一回：「武松左腳早起，翻筋斗踢一腳，按住也割了頭。」
2.抑止、擱置。如：「按兵不動」。《詩經．大雅．皇矣》：「爰整其旅，以按徂旅。」
3.依照。如：「按照」、「按圖索驥」。唐．高適〈東征賦〉：「按山川之險阻，救天地於屯蒙。」
4.撫、扶。《史記．卷六九．蘇秦傳》：「於是韓王勃然作色，攘臂瞋目，按劍仰天太息。」
5.巡行。《史記．卷一一一．衛將軍傳》：「遂西定河南地，按榆谿舊塞。」唐．李白〈永王東巡歌〉一一首之七：「王出三山按五湖，樓船跨海次陪都。」
6.考察。《韓非子．外儲說左上》：「考實按形，不能謾於一人。」宋．蘇軾〈論始皇漢宣李斯〉：「秦始皇時，趙高有罪，蒙毅按之，當死。」
7.彈奏。《警世通言．卷一〇．錢舍人題詩燕子樓》：「忽有一妓，抱胡琴立於筵前，轉袖調絃，獨奏一曲，纖手斜拈，輕敲慢按。」
[名]
1.文章中編者經研究考查後，所作的說明或判斷。如：「按語」。也作「案」。
2.姓。如元代有按攤。</t>
  </si>
  <si>
    <t>案</t>
  </si>
  <si>
    <t>[名]
1.古代盛飯食的短足木盤。《後漢書．卷八三．逸民傳．梁鴻傳》：「每歸，妻為具食，不敢於鴻前仰視，舉案齊眉。」南朝宋．鮑照〈擬行路難〉一八首之六：「對案不能食，拔劍擊柱長歎息。」
2.長方形的桌子。如：「桌案」、「伏案疾書」。唐．李白〈下途歸石門舊居〉詩：「羨君素書嘗滿案，含丹照白霞色爛。」
3.牽涉到法律或政治的事件。如：「犯案」、「命案」、「投案」、「破案」、「五三慘案」。
4.與公務相關的文書、成例或獄訟判定的結論。如：「檔案」、「串供翻案」。《隋書卷七五．儒林傳．劉炫傳》：「今之文簿，恆慮覆治，鍛鍊若其不密，萬里追證百年舊案。」
5.提議或計畫之類的文件。如：「提案」、「草案」、「腹案」、「方案」、「議案」。
6.文章中，作者所加的說明或判斷。同「按」。如：「案語」。
[動]
1.向下壓。通「按」。《史記．卷一〇七．魏其武安侯傳》：「籍福起為謝，案灌夫項令謝。」
2.考查、察辦。通「按」。《戰國策．趙策二》：「臣竊以天下地圖案之，諸侯之地，五倍於秦。」《史記．卷一〇七．魏其武安侯傳》：「丞相言灌夫家在潁川，橫甚，民苦之，請案。」
3.依據、依照。通「按」。《荀子．不苟》：「曰國亂而治之者，非案亂而治之之謂也。」《韓非子．孤憤》：「人臣循令而從事，案法而治官。」
[連]
乃、於是。《荀子．榮辱》：「故先王案為之制禮義以分之，使有貴賤之等。」《戰國策．趙策一》：「秦與梁為上交，秦禍案攘於趙矣。」</t>
  </si>
  <si>
    <t>桉</t>
  </si>
  <si>
    <t>[名]
1.同「案」。《字彙．木部》：「桉，同案。」
2.植物名。姚金孃科桉樹屬，「大葉桉」、「赤桉」、「藍桉」等桉屬樹木之通稱。多為常綠喬木。主要產於澳洲。葉互生罕對生，卵狀或長橢圓狀披針形，先端尖銳，表面深綠色。繖形、繖房或圓錐花序；萼之裂片與花瓣結合為蓋，開花時自萼筒分離。蒴果頂端開裂，蒴片三至六枚。生長迅速，主供觀賞，木材可供建築用。也稱為「油加利」。</t>
  </si>
  <si>
    <t>鮟</t>
  </si>
  <si>
    <t>參見「菴藹」條。</t>
  </si>
  <si>
    <t>(一)ㄢ ān（10417）</t>
  </si>
  <si>
    <t>(一)ㄢˇ ǎn（10429）(三)ㄧㄢˇ yǎn（10988）</t>
  </si>
  <si>
    <t>暗</t>
  </si>
  <si>
    <t>[形]
1.不明亮的、光線不足的、黑夜的。如：「暗房」、「陰暗」。南朝宋．劉義慶《世說新語．言語》：「簡文在暗室中坐，召宣武。」宋．姜夔〈齊天樂．庾郎先自吟愁賦〉詞：「西窗又吹暗雨，為誰頻斷續，相和砧杵。」
2.幽深、陰翳。宋．陸游〈遊山西村〉詩：「山重水複疑無路，柳暗花明又一村。」
3.昏昧、不明事理。通「闇」。如：「兼聽則明，偏信則暗。」
4.不讓人知道的、不公開的。如：「暗號」、「明人不做暗事。」
5.無光澤的。宋．蘇軾〈浣溪沙．菊暗荷枯一夜霜〉詞：「菊暗荷枯一夜霜，新苞綠葉照林光。」
[副]
默不作聲的、隱密的。如：「暗殺」、「暗示」、「暗渡陳倉」。唐．韓偓〈無題〉詩：「明言終未實，暗祝始應真。」清．洪昇《長生殿》第一三齣：「寵固君心，暗中包藏計狡。」
[名]
1.不光明。如：「棄暗投明」。
2.姓。如元代有暗伯。
[動]
光線變得不明亮。如：「天色已漸漸暗了。」</t>
  </si>
  <si>
    <t>[動]
1.閉門、關門。《說文解字．門部》：「闇，閉門也。」
2.蒙蔽、遮掩。《荀子．不苟》：「不下比以闇上，不上同以疾下。」
3.湮沒。《後漢書．卷四〇．班彪傳上》：「由是乘、檮杌之事遂闇，而左氏、國語獨章。」
4.不了解。《墨子．修身》：「舉物而闇，無務博聞。」《文選．嵇康．與山巨源絕交書》：「吾不如嗣宗之賢，而有慢弛之闕，又不識人情，闇於機宜。」
[形]
1.陰暗、混濁。《莊子．讓王》：「今天下闇，周德衰。」《後漢書．卷三〇下．郎顗傳》：「竊見正月以來，陰闇連日。」
2.昏昧、糊塗。《荀子．天論》：「上闇而政險，則是雖無一至者，無益也。」《文選．潘岳．西征賦》：「主闇而臣嫉，禍於何而不有。」
[名]
1.黃昏、夜。《禮記．祭義》：「夏后氏祭其闇，殷人祭其陽，周人祭日以朝及闇。」
2.愚昧的人。《荀子．成相》：「世之殃，愚闇墮賢良。」</t>
  </si>
  <si>
    <t>(二)ㄢ ān（10423）</t>
  </si>
  <si>
    <t>韽</t>
  </si>
  <si>
    <t>[形]
聲音細小不清脆。《周禮．春官．典同》：「微聲韽，回聲衍，侈聲筰。」</t>
  </si>
  <si>
    <t>黯</t>
  </si>
  <si>
    <t>[名]
深黑色。《說文解字．黑部》：「黯，深黑也。」
[副]
1.暗淡沒有光澤。如：「黯淡無光」。唐．李華〈弔古戰場文〉：「黯兮慘悴，風悲日曛。」
2.失色、頹喪感傷。宋．柳永〈玉蝴蝶．望處雨收雲斷〉詞：「黯相望，斷鴻聲裡，立盡斜陽。」《聊齋志異．卷一．王成》：「王呼妻出現，負敗絮，菜色黯焉。」</t>
  </si>
  <si>
    <t>恩</t>
  </si>
  <si>
    <t>ㄣ</t>
  </si>
  <si>
    <t>ēn</t>
  </si>
  <si>
    <t>[名]
1.他人給我或我給他人的幫助。如：「感恩」、「大恩大德」。
2.情愛。唐．白居易〈後宮詞〉：「紅顏未老恩先斷，斜倚薰籠坐到明。」清．洪昇《長生殿》第三七齣：「記盒釵初賜，種下這恩深厚。」
[形]
1.有德澤的。如：「恩師」、「救命恩人」。
2.國家有特殊慶典而特別舉辦的。如：「恩詔」、「恩科」。</t>
  </si>
  <si>
    <t>摁</t>
  </si>
  <si>
    <t>ㄣˋ</t>
  </si>
  <si>
    <t>èn</t>
  </si>
  <si>
    <t>[動]
1.以手按壓。如：「摁電鈴」。
2.扣住、阻止。如：「這件事多虧你給摁住了，才沒有鬧得不可收拾。」</t>
  </si>
  <si>
    <t>嗯</t>
  </si>
  <si>
    <t>˙ㄣ</t>
  </si>
  <si>
    <t>en</t>
  </si>
  <si>
    <t>[歎]
1.表示答應的語氣。如：「嗯，就這麼做吧！」
2.表示疑問的語氣。如：「嗯，你在幹什麼？」
3.表示不以為然或出乎意料的語氣。如：「嗯，他不見得會這樣做吧！」</t>
  </si>
  <si>
    <t>ㄤ</t>
  </si>
  <si>
    <t>āng</t>
  </si>
  <si>
    <t>(二)（(一)之又音）ㄚ ā（10225）(三)ㄧㄢ yān（10937）</t>
  </si>
  <si>
    <t>參見「骯髒」(二)條。</t>
  </si>
  <si>
    <t>(一)ㄎㄤˇ kǎng（04541）</t>
  </si>
  <si>
    <t>卬</t>
  </si>
  <si>
    <t>ㄤˊ</t>
  </si>
  <si>
    <t>áng</t>
  </si>
  <si>
    <t>[動]
1.情緒激厲。《文選．司馬相如．長門賦》：「貫歷覽其中操兮，意慷慨而自卬。」唐．李善．注：「自卬，激厲也。」
2.抬起。通「昂」。唐．柳宗元〈蝜蝂傳〉：「行遇物，輒持取，卬其首負之。」
3.物價高漲。通「昂」。《漢書．卷二四．食貨志下》：「萬物卬貴，過平一錢，則以平賈賣與民。」
[代]
表第一人稱，我。漢．毛亨．傳：「卬，我也。」《詩經．邶風．匏有苦葉》：「招招舟子，人涉卬否。」</t>
  </si>
  <si>
    <t>(二)ㄧㄤˇ yǎng（11151）</t>
  </si>
  <si>
    <t>昂</t>
  </si>
  <si>
    <t>[動]
1.仰起、高舉。如：「昂首闊步」。宋．蘇軾〈和子由次王鞏韻〉：「簡書見迫身今老，尊酒聞呼首一昂。」
2.高漲、上揚。《新唐書．卷一〇九．崔義玄傳》：「俄而物質價踴昂，百賈驚擾。」《聊齋志異．卷四．促織》：「市中游俠兒，得佳者籠養之，昂其直，居為奇貨。」
[形]
精神氣概振奮激揚。如：「氣宇軒昂」。</t>
  </si>
  <si>
    <t>枊</t>
  </si>
  <si>
    <t>ㄤˋ</t>
  </si>
  <si>
    <t>àng</t>
  </si>
  <si>
    <t>[名]
1.繫馬的柱子。《廣韻．平聲．唐韻》：「枊，繫馬柱也。」《三國志．卷三二．蜀書．先主備傳》：「先主求謁，不通，直入縛督郵，杖二百，解綬繫其頸著馬枊。」
2.屋的短柱。《文選．何晏．景福殿賦》：「飛枊鳥踊，雙轅是荷。」《資治通鑑．卷二〇一．唐紀十七．高宗總章二年》：「其門牆階級，窗櫺楣柱，枊楶枅栱，皆法天地陰陽律曆之數。」</t>
  </si>
  <si>
    <t>盎</t>
  </si>
  <si>
    <t>[名]
腹大口小的瓦盆。《後漢書．卷八三．逸民傳．逢萌傳》：「乃首戴瓦盎，哭於市。」《聊齋志異．卷一．勞山道士》：「遂各覓盎盂，競飲先釂，惟恐樽盡。」
[副]
充滿的、盈溢的。如：「興趣盎然」。宋．蘇軾〈答李邦直〉詩：「詩詞如醇酒，盎然薰四支。」</t>
  </si>
  <si>
    <t>鞥</t>
  </si>
  <si>
    <t>ㄥ</t>
  </si>
  <si>
    <t>ēng</t>
  </si>
  <si>
    <t>[名]
馬韁繩。《說文解字．革部》：「鞥，轡鞥。」</t>
  </si>
  <si>
    <t>而</t>
  </si>
  <si>
    <t>ㄦˊ</t>
  </si>
  <si>
    <t>ér</t>
  </si>
  <si>
    <t>[名]_x000D_
1.兩頰上的毛。《說文解字．而部》：「而，須也。」《周禮．冬官考工記．梓人》：「必深其爪，出其目，作其鱗之而。」_x000D_
2.二一四部首之一。_x000D_
[代]_x000D_
1.你。《詩經．大雅．桑柔》：「嗟爾朋友，予豈不知而作！」《左傳．定公十四年》：「夫差！而忘越王之殺而父乎？」_x000D_
2.我。《戰國策．趙策一》：「豫讓拔劍三躍，呼天擊之曰：『而可以報知伯矣。』」《史記．卷八六．刺客列傳．聶政》：「前日所以不許仲子者，徒以親在，今不幸而母以天終，仲子所欲報仇者為誰？請得從事焉！」_x000D_
[動]_x000D_
1.至、到。如：「自南而北」、「自壯而老」。_x000D_
2.能、可以。《戰國策．齊策六》：「齊多知而解此環不？」《淮南子．原道》：「行柔而剛，用弱而強。」_x000D_
[介]_x000D_
1.之、的。《論語．憲問》：「君子恥其言而過其行。」《淮南子．人間》：「虞之與虢，相恃而勢也。」_x000D_
2.以。如：「從今而後」、「自此而下」。《易經．繫辭上》：「是故形而上者謂之道，形而下者謂之器。」《孟子．盡心下》：「由孔子而來，至於今百有餘歲。」_x000D_
[副]_x000D_
1.才、始。表時間。《公羊傳．宣公十五年》：「嘻！甚矣憊！雖然，吾今取此然後而歸爾。」_x000D_
2.猶。《論語．陽貨》：「年四十而見惡焉，其終也已。」《孟子．告子下》：「舜其至孝矣，五十而慕。」_x000D_
[連]_x000D_
1.和、與。《論語．雍也》：「不有祝鮀之佞，而有宋朝之美，難乎免於今之世矣。」《左傳．昭公二十五年》：「哀樂而樂哀，皆喪心也。」_x000D_
2.並且。《書經．皋陶謨》：「知人則哲，能官人，安民則惠，黎民懷之。能哲而惠，何憂乎驩兜？」《論語．學而》：「學而時習之，不亦說乎？」_x000D_
3.則、就。《易經．繫辭下》：「君子見幾而作，不俟終日。」《左傳．襄公十八年》：「諸侯方睦於晉，臣請嘗之。若可，君而繼之。」_x000D_
4.如、若。《論語．為政》：「人而無信，不知其可也。」_x000D_
5.因而、所以。《左傳．成公八年》：「謂汶陽之田，敝邑之舊也，而用師於齊，使歸諸敝邑。」漢．劉向《說苑．卷一九．脩文》：「情動於中，而形於聲。」_x000D_
6.然而、但是、卻。表轉折之意。《論語．學而》：「其為人也孝弟，而好犯上者鮮矣。」《孟子．離婁下》：「問其與飲食者，盡富貴也，而未嘗有顯者來。」_x000D_
7.尚且。《莊子．天道》：「夫天地至神，而有尊卑先後之序，而況之道乎？」《淮南子．人間》：「夫一麑而不忍，又何況於人乎？」_x000D_
[助]_x000D_
1.用於句末，相當於「兮」、「罷了」。《詩經．齊風．著》：「俟我於著乎而，充耳以素乎而，尚之以瓊華乎而！」《論語．微子》：「已而已而！今之從政者殆而！」_x000D_
2.用於句首，相當於「豈」、「難道」。《論語．顏淵》：「為仁由己，而由人乎哉？」《左傳．昭公十三年》：「諸侯事晉，未敢攜貳，況衛在君之宇下，而敢有異志？」_x000D_
3.用於形容詞或副詞的語尾，無義。《左傳．文公十七年》：「鋌而走險，何能擇？」</t>
  </si>
  <si>
    <t>洏</t>
  </si>
  <si>
    <t>參見「漣洏」條。</t>
  </si>
  <si>
    <t>耏</t>
  </si>
  <si>
    <t>[名]
1.頰上的鬚毛。《後漢書．卷三．肅宗孝章帝紀》：「沙漠之北，蔥嶺之西，冒耏之類，跋涉懸度。」《新唐書．卷二二一．西域傳下．波斯傳》：「祠夕，以麝揉蘇，澤耏顏鼻耳。」
2.姓。如漢代有耏跖。</t>
  </si>
  <si>
    <t>栭</t>
  </si>
  <si>
    <t>[名]
柱上承托大梁的方木。《文選．張衡．西京賦》：「雕楹玉磶，繡栭雲楣。」《晉書．卷九七．四夷傳．西戎傳》：「屋宇皆以珊瑚為梲栭，琉璃為牆壁，水精為柱礎。」</t>
  </si>
  <si>
    <t>胹</t>
  </si>
  <si>
    <t>[副]
熟爛。《說文解字．肉部》：「胹，爛也。」
[動]
煮。《楚辭．宋玉．招魂》：「胹鱉炮羔，有柘漿些。」明．李時珍《本草綱目．卷五一．獸部．熊》：「其足名蹯，為八珍之一。古人重之，然胹之難熟。」</t>
  </si>
  <si>
    <t>輀</t>
  </si>
  <si>
    <t>[名]
喪車。《洛陽伽藍記．卷四．法雲寺》：「里內之人，以賣棺槨為業，賃輀事為事。」宋．王安石〈忠獻韓公挽辭〉二首之二：「幕府少年今白髮，傷心無路送靈輀。」</t>
  </si>
  <si>
    <t>鮞</t>
  </si>
  <si>
    <t>[名]
魚苗、幼小的魚。《國語．魯語上》：「魚禁鯤鮞。」三國吳．韋昭．注：「鯤，魚子也；鮞，未成魚也。」《文選．張衡．西京賦》：「摷昆鮞，殄水族。」</t>
  </si>
  <si>
    <t>[副]
肉煮至熟爛。通「胹」。《文選．枚乘．七發》：「熊蹯之臑，勺藥之醬。」唐．李善．注：「臑，熟也。」</t>
  </si>
  <si>
    <t>(一)ㄖㄨˊ rú（09286）(二)（(一)之又音）ㄋㄠˋ nào（02971）</t>
  </si>
  <si>
    <t>[名]
1.小孩。如：「兒童」、「嬰兒」。《文選．古樂府．飲馬長城窟行》：「呼兒烹鯉魚，中有尺素書。」
2.子女對父母的自稱。《樂府詩集．卷七三．雜曲歌辭十三．古辭．焦仲卿妻》：「蘭芝慚阿母：『兒實無罪過。』」
3.稱謂。父母對子女的稱呼。《水滸傳》第四二回：「我兒，你去了許多時，這幾年正在那里安身？」
4.長輩稱呼晚輩。如：「姪兒」、「孫兒」。
5.年輕男子。唐．白居易〈雜興〉詩三首之一：「遂習宮中女，皆如馬上兒。」
6.輕視、辱罵對方為「兒」。《後漢書．卷七五．呂布傳》：「布目備曰：『大耳兒最叵信！』」
[綴]
附於名詞、代名詞、動詞、形容詞、副詞等之後，構成詞，與所附的詞合為兒化音，一般無義。附於詞尾：(1)接名詞。如：「花兒」、「鳥兒」、「老頭兒」、「美人兒」(2)接動詞。如：「拐彎兒」、「找蹅兒」。(3)接副詞。如：「快快兒」、「慢慢兒」。</t>
  </si>
  <si>
    <t>(二)ㄋㄧˊ ní（03004）</t>
  </si>
  <si>
    <t>唲</t>
  </si>
  <si>
    <t>[擬]
唲嘔：形容小孩所發出的聲音。《玉篇．口部》：「唲，唲嘔，小兒語也。」宋．陳著〈踏莎行．杏苑長春〉詞：「佳占端的在孫枝，明年壽席唲嘔笑。」</t>
  </si>
  <si>
    <t>耳</t>
  </si>
  <si>
    <t>ㄦˇ</t>
  </si>
  <si>
    <t>ěr</t>
  </si>
  <si>
    <t>[名]_x000D_
1.人及動物的聽覺器官。《詩經．大雅．抑》：「匪面命之，言提其耳。」《山海經．北山經》：「單張之山，其上無草木，有獸焉，其狀如豹而長尾，人首而牛耳，一目。」_x000D_
2.附於器物兩旁，便於提攜的把手。《易經．鼎卦．六五》：「鼎，黃耳金鉉。」《史記．卷二八．封禪書》：「有雉登鼎耳雊，武丁懼。」_x000D_
3.形狀像耳朵的東西。如：「木耳」、「銀耳」。_x000D_
4.雨後穀物所生之芽。唐．杜甫〈秋雨歎〉詩三首之二：「禾頭生耳黍穗黑，農夫田婦無消息。」清．馮桂芬〈林文忠公祠記〉：「癸巳秋冬之交，累月陰雨，禾不得刈，皆生耳。」_x000D_
5.姓。如明代有耳元明。_x000D_
6.二一四部首之一。_x000D_
[動]_x000D_
聞、聽。《韓非子．外儲說左上》：「中大夫，晉重列也。今無功而受，非晉臣之意，君其耳而未之目邪？」《漢書．卷九七．外戚傳上．孝景王皇后》：「又耳曩者所夢日符，計未有所定。」_x000D_
[助]_x000D_
1.位於句末，表肯定的意思。相當於「矣」、「啊」、「了」。《史記．卷一一〇．匈奴列傳》：「且所給備善則已；不備，苦惡，則候秋孰，以騎馳蹂而稼穡耳。」《宋史．卷三二一．列傳．豐稷》：「巨浸連天，風濤固其常耳，憑仗威靈，尚何畏！」_x000D_
2.位於句末，表限制的意思。相當於「而已」、「罷了」。《論語．陽貨》：「二三子，偃之言是也！前言戲之耳。」《聊齋志異．卷一一．陳雲棲》：「怙恃俱失，暫寄此耳。」</t>
  </si>
  <si>
    <t>洱</t>
  </si>
  <si>
    <t>參見「洱海」條。</t>
  </si>
  <si>
    <t>珥</t>
  </si>
  <si>
    <t>[名]
1.用珠玉作成的耳環。《漢書．卷六五．東方朔傳》：「主乃下殿，去簪珥，徒跣。」晉．張華〈輕薄篇〉：「簪珥咸墮落，冠冕皆傾邪。」
2.劍柄上突出似兩耳的部分。《楚辭．屈原．九歌．東皇太一》：「撫長劍兮玉珥，璆鏘鳴兮琳琅。」
3.日、月周圍的光暈。《呂氏春秋．季夏紀．明理》：「其日有鬥蝕，有倍僪，有暈珥。」《隋書．卷二一．天文志下》：「月暈有兩珥，白虹貫之。」
[動]
1.插、戴。《文選．曹植．求通親親表》：「安宅京室，執鞭珥筆。」《新唐書．卷二二〇．東夷傳．高麗傳》：「大臣青羅冠，次絳羅，珥兩鳥羽。」
2.吐。《淮南子．天文》：「鯨魚死而彗星出，蠶珥絲而商絃絕。」
3.古代狩獵時依割取獸耳的數目呈報功績。通「刵」。《周禮．地官．山虞》：「植虞旗于中，致禽而珥焉。」</t>
  </si>
  <si>
    <t>鉺</t>
  </si>
  <si>
    <t>[名]
（erbium，Er）化學元素。原子序68。稀土金屬元素之一。存於火成岩中，具銀色光澤，質軟，能使水分解。</t>
  </si>
  <si>
    <t>(二)ㄦˋ èr（10481）</t>
  </si>
  <si>
    <t>餌</t>
  </si>
  <si>
    <t>[名]_x000D_
1.麵粉類製成的糕餅食品。《周禮．天官冢宰．籩人》：「羞籩之實，糗餌粉餈。」《後漢書．卷七七．酷吏列傳．樊曄》：「曄為市吏，餽餌一笥。」_x000D_
2.泛指各種食品或藥品。如：「果餌」、「藥餌」。唐．柳宗元〈捕蛇者說〉：「然得而腊之以為餌，可以已大風、攣踠、瘻、癘。」《水滸傳》第六五回：「外使敷貼之餌，內用長托之劑。」_x000D_
3.釣魚或誘捕其他動物的食物。《莊子．外物》：「任公子為大鉤巨緇，五十犗以為餌，蹲乎會稽，投竿東海。」唐．杜甫〈春水〉詩：「接縷垂芳餌，連筒灌小園。」_x000D_
4.引誘人的事物。《淮南子．俶真》：「是故以道為竿，以德為綸，禮樂為鉤，仁義為餌。」《漢書．卷四八．賈誼傳》：「制國而令子適足以為餌，豈可謂工哉！」_x000D_
[動]_x000D_
1.吃。《後漢書．卷二四．馬援列傳》：「初，援在交阯，常餌薏苡實，用能輕身省慾，以勝瘴氣。」三國魏．嵇康〈與山巨源絕交書〉：「餌朮黃精，令人久壽。」_x000D_
2.引誘。《戰國策．秦策二》：「我羈旅而得相秦者，我以宜陽餌王。」《三國志．卷一．魏書．武帝紀》：「此所以餌敵，如何去之！」</t>
  </si>
  <si>
    <t>駬</t>
  </si>
  <si>
    <t>爾</t>
  </si>
  <si>
    <t>[代]
1.第二人稱代名詞，相當於「汝」、「你」。如：「爾虞我詐」。《詩經．衛風．氓》：「爾卜爾筮，體無咎言，以爾車來，以我賄遷。」
2.此、這個。《禮記．檀弓上》：「夫子何善爾也？」
3.如此、這樣。南朝宋．劉義慶《世說新語．任誕》：「人或怪之，答曰：『未能免俗，聊復爾耳。』」清．蔣士銓〈鳴機夜課圖記〉：「妹一兒也，何苦乃爾。」
[形]
此、這。如：「爾後」、「爾時」。南朝宋．劉義慶《世說新語．賞譽》：「許掾嘗詣簡文，爾夜風恬月朗，乃共作曲室中語。」
[副]
表示程度，相當於「如此的」、「這樣的」。《孟子．告子上》：「凶歲，子弟多暴，非天之降才爾殊也。」唐．李白〈戰城南〉：「士卒塗草莽，將軍空爾為。」
[助]
1.語尾助詞，無義。《論語．陽貨》：「子之武城，聞絃歌之聲，夫子莞爾而笑。」
2.如此、而已。如：「不過爾爾」。《公羊傳．僖公三十一年》：「不崇朝而遍雨乎天下者，唯泰山爾。」
3.位於句末，表示肯定的意思。同「矣」。《公羊傳．宣公十五年》：「盡此不勝，將去而歸爾。」
4.表示疑問的語氣。同「乎」。《公羊傳．隱公元年》：「然則何言爾？成公意也。」</t>
  </si>
  <si>
    <t>邇</t>
  </si>
  <si>
    <t>[名]
近處、眼前。如：「名聞遐邇」。《紅樓夢》第一八回：「展眼元宵在邇，自正月初八日，就有太監出來先看方向。」
[動]
接近、親近。《書經．仲虺之語》：「惟王不邇聲色，不殖貨利。」唐．韓愈〈釋言〉：「夫聰明則聽視不惑，公正則不邇讒邪。」
[形]
親近的。《左傳．昭公三十年》：「吳子唁而送之，使其邇臣從之。」</t>
  </si>
  <si>
    <t>二</t>
  </si>
  <si>
    <t>ㄦˋ</t>
  </si>
  <si>
    <t>èr</t>
  </si>
  <si>
    <t>[名]
1.介於一和三之間的自然數。如：「一、二、三……。」大寫作「貳」，阿拉伯數字作「2」。
2.二一四部首之一。
[形]
1.次序排第二的。如：「第二名」。唐．杜牧〈贈別〉詩：「娉娉褭褭十三餘，荳蔻梢頭二月初。」
2.不專一的、兩樣的。《左傳．昭公二十一年》：「其子有二心，故廢之。」《新唐書．卷一九六．隱逸傳．衛大經傳》：「卓然高行，口無二言。」
[動]
1.改變。《左傳．僖公十五年》：「必報德，有死無二。」《宋史．卷四一八．文天祥傳》：「為人臣者死有餘罪，況敢逃其死而二其心乎？」
2.並比。《史記．卷九二．淮陰侯傳》：「此所謂功無二於天下，而略不世出者也。」</t>
  </si>
  <si>
    <t>貳</t>
  </si>
  <si>
    <t>[名]
1.副座、佐助的人。《玉篇．貝部》：「貳，副也。」《周禮．天官．大宰》：「乃施法于官府，而建其正，立其貳。」
2.敵手、才力相對等的人。《左傳．哀公七年》：「且魯賦八百乘，君之貳也。」晉．杜預．注：「貳，敵也。」
3.二的大寫。
4.姓。如晉代有貳塵。
[動]
1.違背、叛離。《左傳．昭公二十年》：「阿下執事，臣不敢貳。」
2.再、重複。如：「不遷怒，不貳過。」《禮記．曲禮上》：「御同於長者，雖貳不辭。」唐．孔穎達．正義：「貳，謂重也。」
3.懷疑、不信任。《書經．大禹謨》：「任賢勿貳，去邪勿疑。」唐．陸贄〈奉天請數對群臣兼許令論事狀〉：「任而勿貳，然後可責人之成功。」
4.輔助。《後漢書．卷四九．仲長統傳》：「秦兼天下，則置丞相，而貳之以御史大夫。」《元史．卷八五．百官志一》：「其長則蒙古人為之，而漢人、南人貳焉。」
5.另作打算。《左傳．僖公二十三年》：「得志於諸侯而誅無禮，曹其首也，子盍蚤自貳焉。」
6.變更、異動。《詩經．小雅．都人士．序》：「古者長民，衣服不貳。」
[形]
副的、次於正的。參見「貳卿」、「貳室」、「貳車」等條。</t>
  </si>
  <si>
    <t>樲</t>
  </si>
  <si>
    <t>[名]
植物名。指樲棘。鼠李科棗屬，「酸棗」之古稱。參見「酸棗」條。</t>
  </si>
  <si>
    <t>刵</t>
  </si>
  <si>
    <t>[名]
古代一種割去耳朵的刑罰。《書經．呂刑》：「殺戮無辜，爰始淫為劓、刵、椓、黥。」</t>
  </si>
  <si>
    <t>佴</t>
  </si>
  <si>
    <t>[動]
次、隨後。《文選．司馬遷．報任少卿書》：「李陵既生降，隤其家聲；而僕又佴之蠶室，重為天下觀笑。」李善注引如淳曰：「佴，次也。若人相次也。」</t>
  </si>
  <si>
    <t>咡</t>
  </si>
  <si>
    <t>[名]
嘴巴旁邊。《玉篇．口部》：「咡，口旁曰咡。」《管子．弟子職》：「既食乃飽，循咡覆手。」唐．尹知章．注：「咡，口也；覆手而循之，所以拭其不潔也。」</t>
  </si>
  <si>
    <t>衈</t>
  </si>
  <si>
    <t>[動]
祭祀時取牲物耳旁的血塗在禮器上。《禮記．雜記下》：「成廟則釁之……門，夾室皆用雞，先門而後夾室。其衈皆於屋下。」</t>
  </si>
  <si>
    <t>[名]_x000D_
鉤狀飾品。《宋書．卷一八．禮志五》：「第六品以下，加不得服金鈿、綾、錦、錦繡、七緣綺、貂豽裘、金叉鐶鉺。」</t>
  </si>
  <si>
    <t>(一)ㄦˇ ěr（10469）</t>
  </si>
  <si>
    <t>一</t>
  </si>
  <si>
    <t>ㄧ</t>
  </si>
  <si>
    <t>yī</t>
  </si>
  <si>
    <t>[名]_x000D_
1.自然數的開始。如：「一、二、三……。」大寫作「壹」。阿拉伯數字作「1」。_x000D_
2.姓。如明代有一炫宗。_x000D_
3.二一四部首之一。_x000D_
[形]_x000D_
1.單個。如：「一人」、「一物兩用」。_x000D_
2.相同、一致。如：「一模一樣」、「大小不一」。_x000D_
3.專注的。如：「一心一意」、「專一不變」。_x000D_
4.全、滿、整。如：「一身是汗」、「一屋子人」、「一身是膽」。_x000D_
5.每、各。如：「一班五十人」、「一頁六百字」、「共派八隊，一隊二十人。」_x000D_
6.一次。如：「一而再，再而三。」《禮記．中庸》：「人一能之，己百之。」_x000D_
7.另外的。如：「蟬，一名知了。」、「番茄，一名西紅柿。」_x000D_
[動]_x000D_
統一。《孟子．梁惠王上》：「不嗜殺人者能一之。」_x000D_
[副]_x000D_
1.才、剛剛。如：「一聽就懂」、「天一亮，他就起來。」_x000D_
2.偶然。如：「一不小心」、「一不留神」。_x000D_
3.表示加強的動作或突然的現象。如：「把頭一扭」、「用手一摸」、「天氣一涼，就感冒了。」_x000D_
4.概括。如：「一般來說」。_x000D_
5.每每、每逢。如：「一想到那件事，她總是笑個不停。」_x000D_
6.放在二疊字動詞之間，表行為是不費力或嘗試性的。如：「雙手動一動」、「問一問」、「隨便說一說」。_x000D_
7.事物的某方面。如：「一則以喜，一則以憂。」、「一不沾親，二不帶故。」_x000D_
8.竟、乃。表示事出意外。如：「一至於斯」。《史記．卷六八．商君傳》：「嗟乎，為法之敝一至此哉！」_x000D_
9.皆。《荀子．勸學》：「端而言，蠕而動，一可以為法則。」_x000D_
[助]_x000D_
表示程度，加強語氣。《文選．古詩十九首．西北有高樓》：「上有絃歌聲，音響一何悲。」《戰國策．燕策一》：「因仰而弔齊王桉戈而郤曰：『此一何慶弔相隨之速也？』」_x000D_
[連]_x000D_
或。《莊子．應帝王》：「泰氏其臥徐徐，其覺于于，一以己為馬，一以己為牛。」_x000D_
（「一」字單用或在一詞一句的末尾，念陰平聲；在去聲字前，念陽平聲；在陰平、陽平、上聲之前，念去聲。）</t>
  </si>
  <si>
    <t>衣</t>
  </si>
  <si>
    <t>[名]
1.用布帛、皮革或各種纖維材質等做成。穿著在身上，用以遮蔽身體、防熱禦寒。通常古多指上衣。《詩經．邶風．綠衣》：「綠兮衣兮，綠衣黃裳」漢．毛亨．傳：「上曰衣，下曰裳。」漢．揚雄《法言．修身》：「惜乎衣未成而轉為裳也。」今或泛指衣服。如：「毛衣」、「雨衣」、「成衣」、「衣不蔽體」。《詩經．豳風．七月》：「無衣無褐，何以卒歲？」
2.包覆在物體外的東西。如：「書衣」、「胞衣」、「糖衣藥丸」。
3.蔬菜、果實外的薄皮。也指表皮的霜粉。唐．李建勳〈宿友人山居寄司徒相公〉詩二首之一：「隔紙烘茶蕊，移鐺剝芋衣。」宋．莊綽《雞肋編》卷上：「京師賣生果，凡李子必摘其蒂，不敢觸其實，必留上衣，令勃勃然，人方以新而為好。至食者須雪去之。」
4.特指苔蘚等延貼地面、岩石或樹皮上生長的隱花植物。如：「苔衣」、「地衣」。唐．白居易〈營閒事〉詩：「暖變牆衣色，晴催木筆花。」
5.姓。如明代有衣守信。
6.二一四部首之一。</t>
  </si>
  <si>
    <t>(二)ㄧˋ yì（10594）</t>
  </si>
  <si>
    <t>依</t>
  </si>
  <si>
    <t>[動]
1.靠著、倚傍。《說文解字．人部》：「依，倚也。」如：「依山傍水」。唐．王之渙〈登鸛雀樓〉詩：「白日依山盡，黃河入海流。」
2.倚靠、倚託。如：「相依為命」。《史記．卷一一七．司馬相如傳》：「長卿故倦游，雖貧，其人材足依也。」《文選．曹操．短歌行》：「繞樹三匝，何枝可依。」
3.按照、遵循。如：「依次」、「依樣畫葫蘆」。《楚辭．屈原．離騷》：「雖不周於今之人兮，願依彭咸之遺則。」
4.聽從、順從。如：「咱們就依著他的話吧！」《莊子．養生主》：「依乎天理，批大卻，導大窾。」
[副]
情況沒改變、老樣子。如：「依然故我」。唐．方干〈獻王大夫〉詩二首之二：「歷任聖朝清峻地，至今依是少年身。」</t>
  </si>
  <si>
    <t>銥</t>
  </si>
  <si>
    <t>[名]
（iridium，Ir）化學元素。原子序77。銀白色金屬，化學性質穩定，在王水中也不溶解。銥合金堅硬耐磨，可用來製造科學儀器、熱電阻及金筆筆尖等。</t>
  </si>
  <si>
    <t>伊</t>
  </si>
  <si>
    <t>[代]
1.第三人稱代名詞，相當於「彼」、「他」。《詩經．秦風．蒹葭》：「所謂伊人，在水一方。」宋．柳永〈蝶戀花．獨倚危樓風細細〉詞：「衣帶漸寬終不悔，為伊消得人憔悴。」
2.第二人稱代名詞，相當於「你」。《董西廂》卷七：「我於伊志誠沒倦怠，你於我堅心莫更改。」元．佚名《馬陵道》第三折：「我這裡吐膽傾心說與伊，難道你不解其中意。」
[動]
表示肯定，相當於「是」。《詩經．小雅．蓼莪》：「蓼蓼者莪，匪莪伊蒿。」《後漢書．卷七八．宦者傳．孫程傳》：「昔衛鞅因景監以見，有識知其不終。今得臣舉者，匪榮伊辱。」
[助]
1.發語詞，無義。《詩經．邶風．谷風》：「不念昔者，伊余來塈。」《文選．陸機．文賦》：「伊茲事之可樂，固聖賢之所欽。」
2.文言助詞，表示「剛剛」的意思。如：「就職伊始」、「開幕伊始」。
[名]
姓。如商朝有伊尹。</t>
  </si>
  <si>
    <t>咿</t>
  </si>
  <si>
    <t>[擬]
形容人所發出無意義的聲音。參見「咿咿」、「咿喔」、「咿啞」等條。
[副]
參見「喔咿嚅唲」條。</t>
  </si>
  <si>
    <t>蛜</t>
  </si>
  <si>
    <t>參見「蛜威」條。</t>
  </si>
  <si>
    <t>殹</t>
  </si>
  <si>
    <t>[名]
呻吟的聲音。見《說文解字．殳部》「殹」字．清．段玉裁．注。
[助]
用於句中或句末。相當於「兮」、「也」。《馬王堆漢墓帛書．經法．道法》：「法者，引得失以繩，而明曲直者殹。」</t>
  </si>
  <si>
    <t>嫛</t>
  </si>
  <si>
    <t>瑿</t>
  </si>
  <si>
    <t>[名]
1.黑色的玉石。《字彙．玉部》：「瑿，黑玉。」
2.黑色的琥珀。明．宋應星《天工開物．卷下．珠玉》：「琥珀最貴者名曰瑿，紅而微帶黑，然晝見則黑，燈光下則紅甚也。」</t>
  </si>
  <si>
    <t>翳</t>
  </si>
  <si>
    <t>(一)ㄧˋ yì（10676）</t>
  </si>
  <si>
    <t>繄</t>
  </si>
  <si>
    <t>[動]
是。《國語．吳語》：「君王之於越也，繄起死人而肉白骨也。」宋．蘇軾〈喜雨亭記〉：「一雨三日，繄誰之力。」
[助]
位於句首的語助詞。同「維」、「唯」。《左傳．隱公元年》：「爾有母遺，繄我獨無？」《明史．卷八五．河渠志三》：「疏瀹決排，繄人力是繫。」</t>
  </si>
  <si>
    <t>醫</t>
  </si>
  <si>
    <t>[名]
1.治療疾病的人。如：「牙醫」、「獸醫」、「名醫」。
2.醫術、醫學。如：「學醫」、「中醫」、「西醫」。《史記．卷一〇三．萬石君傳》：「郎中令周文者，名仁，其先故任城人也。以醫見。」
[動]
治療。如：「醫治」、「醫療」。唐．聶夷中〈詠田家〉詩：「醫得眼前瘡，剜卻心頭肉。」
[形]
有關醫療方面的。如：「醫術」、「醫德」、「醫界」。</t>
  </si>
  <si>
    <t>毉</t>
  </si>
  <si>
    <t>[名]
治療病痛的人。通「醫」。《漢書．卷五四．蘇建傳》：「衛律驚，自抱持武，馳召毉。」漢．桓寬《鹽鐵論．周秦》：「吏不以多斷為良，毉不以多刺為工。」</t>
  </si>
  <si>
    <t>鷖</t>
  </si>
  <si>
    <t>[名]_x000D_
1.一種鷗鳥。明．張自烈《正字通．鳥部》：「鷖，鷗也。蒼黑色，群飛鳴，隨潮往來，曰信鳧。知風起，輒飛至岸，渡海者以為候。」《詩經．大雅．鳧鷖》：「鳧鷖在涇，公尸來燕來寧。」_x000D_
2.鳳凰的別名。《楚辭．屈原．離騷》：「駟玉虯以椉鷖兮，溘埃風余上征。」漢．王逸．注：「鷖，鳳皇別名也。」_x000D_
[形]_x000D_
青黑色。《周禮．春官．巾車》：「厭翟，勒面繢𦇎；安車，彫面鷖𦇎。」</t>
  </si>
  <si>
    <t>黳</t>
  </si>
  <si>
    <t>[名]
皮膚上所生的圓形小黑點，今稱為「痣」。
[形]
黑。唐．元稹〈答姨兄胡靈之見寄五十韻〉：「我髯黳數寸，君髮白千莖。」《新唐書．卷二二一．西域傳下．寧遠傳》：「東行八百里出蔥嶺，又八百里至烏鎩，環千里，出白、黳、青三種玉。」</t>
  </si>
  <si>
    <t>[形]
美好盛大的樣子。晉．陸雲〈高岡〉詩四首之一：「瞻彼高岡，有猗其桐。」
[助]
語尾助詞，無義。《詩經．魏風．伐檀》：「坎坎伐檀兮，寘之河之干兮，河水清且漣猗。」
[歎]
表示讚美的意思。相當於「啊」。《詩經．齊風．猗嗟》：「猗嗟昌兮，頎而長兮。」唐．王維〈暮春太師左右丞相諸公於韋氏逍遙谷讌集序〉：「猗哉至理之代也！吾徒可以酒合讌樂，考擊鍾鼓。」
[名]
姓。如春秋時魯有猗頓。</t>
  </si>
  <si>
    <t>(二)ㄧˇ yǐ（10565）(三)ㄜˇ ě（10261）</t>
  </si>
  <si>
    <t>椅</t>
  </si>
  <si>
    <t>[名]
植物名。大風子科山桐子屬，「山桐子」之古稱，參見「山桐子」條。</t>
  </si>
  <si>
    <t>(一)ㄧˇ yǐ（10566）</t>
  </si>
  <si>
    <t>欹</t>
  </si>
  <si>
    <t>[形]
傾斜不正。《荀子．宥坐》：「吾聞宥坐之器者，虛則欹，中則正，滿則覆。」
[歎]
表示讚歎。通「猗」。</t>
  </si>
  <si>
    <t>漪</t>
  </si>
  <si>
    <t>[名]
水面的波紋。如：「漣漪」。唐．李賀〈河南府試十二月樂詞．四月〉：「金塘閒水搖碧漪，老景沉重無驚飛。」清．陳澧〈摸魚兒．繞城陰雁沙無際〉詞：「風乍定，看絕底明漪，曾照東坡影。」
[助]
多用於句末。相當於「兮」、「猗」。《爾雅．釋水》：「河水清且灡漪，大波為瀾，小波為淪。」</t>
  </si>
  <si>
    <t>壹</t>
  </si>
  <si>
    <t>[名]
一的大寫字體。</t>
  </si>
  <si>
    <t>[動]
拱手行禮。如：「揖讓」、「一揖到底」、「長揖不拜」。</t>
  </si>
  <si>
    <t>(二)ㄐㄧˊ jí（05383）</t>
  </si>
  <si>
    <t>郼</t>
  </si>
  <si>
    <t>[名]
國名。為殷商時代所建之小國。《廣韻．平聲．微韻》：「郼，殷國名也。」《呂氏春秋．審分覽．慎勢》：「湯其無郼，武其無岐，賢雖十全，不能成功。」漢．高誘．注：「郼、岐，湯、武之本國，假令無之，賢雖十倍，不能以成功業。」</t>
  </si>
  <si>
    <t>禕</t>
  </si>
  <si>
    <t>[形]
美好。《爾雅．釋詁下》：「禕，美也。」《文選．張衡．東京賦》：「漢帝之德，侯其禕而。」</t>
  </si>
  <si>
    <t>溰</t>
  </si>
  <si>
    <t>[形]
溰溰：(1)潔白。《文選．枚乘．七發》：「其少進也，浩浩溰溰，如素車白馬帷蓋之張。」(2)露水濃厚的樣子。明．劉基〈秋懷〉詩八首之一：「瞻彼原隰，零露溰溰。」</t>
  </si>
  <si>
    <t>噫</t>
  </si>
  <si>
    <t>(一)ㄧˋ yì（10654）</t>
  </si>
  <si>
    <t>黟</t>
  </si>
  <si>
    <t>[名]
黑木。《說文解字．黑部》：「黟，黑木也。」
[形]
黑色。清．王念孫《廣雅疏證．卷八上．釋器》：「黟，黑也。」元．姚燧〈烏木杖賦〉：「其煙液為煤，必黔而緇，因以曉夫巧繪之棄鉛朱，亦懼夫既久漫漶而為黟。」</t>
  </si>
  <si>
    <t>匜</t>
  </si>
  <si>
    <t>ㄧˊ</t>
  </si>
  <si>
    <t>yí</t>
  </si>
  <si>
    <t>[名]
古代一種盛水或酒的器皿。《左傳．僖公二十三年》：「奉匜沃盥，既而揮之。」宋．無名氏〈西江月．風雨朝來惡甚〉詞：「酒滿蟻浮金匜，燭殘淚滴銅荷。」</t>
  </si>
  <si>
    <t>[副]
1.斜的古字。即斜行，迂迴曲折著走路。《孟子．離婁下》：「蚤起，施從良人之所之，遍國中無與立談者。」漢．趙岐．注：「施者，邪施而行，不欲使良人覺也。」
2.參見「施施」條。</t>
  </si>
  <si>
    <t>(一)ㄕ shī（08691）(二)ㄧˋ yì（10623）</t>
  </si>
  <si>
    <t>迆</t>
  </si>
  <si>
    <t>參見「逶迆」條。</t>
  </si>
  <si>
    <t>(一)ㄧˇ yǐ（10560）</t>
  </si>
  <si>
    <t>迤</t>
  </si>
  <si>
    <t>參見「逶迤」條。</t>
  </si>
  <si>
    <t>(二)ㄧˇ yǐ（10560A）</t>
  </si>
  <si>
    <t>衪</t>
  </si>
  <si>
    <t>[名]
1.衣袖。清．王念孫《廣雅疏證．卷七下．釋器》：「衪，袖也。」《漢書．卷五七．司馬相如傳上》：「衯衯裶裶，揚衪戌削。」顏師古注引張揖曰：「衪，衣袖也。」
2.衣服下擺的邊緣。《玉篇．衣部》：「衪，緣也。」《集韻．上聲．紙韻》：「衪，衣緣也。」</t>
  </si>
  <si>
    <t>訑</t>
  </si>
  <si>
    <t>參見「訑謾」、「訑訑」等條。</t>
  </si>
  <si>
    <t>酏</t>
  </si>
  <si>
    <t>[名]
薄粥。《周禮．天官．酒正》：「辨四飲之物，一曰清，二曰醫，三曰漿，四曰酏。」漢．鄭玄．注：「酏，今之粥。」南朝梁．簡文帝〈停省婦見令〉：「敬進酏醴，已傳婦事之則。」</t>
  </si>
  <si>
    <t>貤</t>
  </si>
  <si>
    <t>[動]
轉移。參見「貤封」、「貤贈」等條。</t>
  </si>
  <si>
    <t>椸</t>
  </si>
  <si>
    <t>[名]
衣架。《禮記．曲禮上》：「男女不雜坐，不同椸枷。」《清史稿．卷八六．禮志五》：「並設床榻、衾枕、楎椸、帷幔，如生事儀。」</t>
  </si>
  <si>
    <t>[動]_x000D_
喜悅。通「怡」。《史記．卷一三〇．太史公自序》：「唐堯遜位，虞舜不台。」_x000D_
[代]_x000D_
1.我。古人稱自己為「台」。《書經．湯誓》：「非台小子，敢行稱亂。」唐．盧肇〈漢堤〉詩：「流災降慝，天曷台怒。」_x000D_
2.表示疑問的意思。相當於「何」、「什麼」。《書經．湯誓》：「今汝其曰：『夏罪其如台？』」《後漢書．卷四〇．班彪列傳下》：「罔光度而遺章，今其如台而獨闕也！」_x000D_
[名]_x000D_
姓。如明代有台元。</t>
  </si>
  <si>
    <t>(一)ㄊㄞ tāi（02459）(三)ㄊㄞˊ tái（▲02470）</t>
  </si>
  <si>
    <t>怡</t>
  </si>
  <si>
    <t>[形]
1.和悅的。《玉篇．心部》：「怡，悅也，樂也。」如：「心曠神怡」。《國語．晉語九》：「狗之事大矣，而主之色不怡，何也？」《禮記．內則》：「父母有過，下氣怡色，柔聲以諫。」
2.快樂的。《國語．周語下》：「晉國有憂，未嘗不戚；有慶，未嘗不怡。」《楚辭．屈原．九章．哀郢》：「心不怡之長久兮，憂與愁其相接。」
[名]
姓。如北周有怡峰。</t>
  </si>
  <si>
    <t>參見「盱眙」條。</t>
  </si>
  <si>
    <t>(一)ㄔˋ chì（08212）</t>
  </si>
  <si>
    <t>詒</t>
  </si>
  <si>
    <t>[動]
1.留傳、遺留。《說文解字．言部》：「詒，遺也。」《詩經．大雅．文王有聲》：「詒厥孫謀，以燕翼子。」漢．鄭玄．箋：「詒，猶傳也。」
2.贈送。通「貽」。《楚辭．屈原．離騷》：「及榮華之未落兮，相下女之可詒。」</t>
  </si>
  <si>
    <t>貽</t>
  </si>
  <si>
    <t>[動]
1.贈送。《詩經．邶風．靜女》：「靜女其孌，貽我彤管。」《莊子．逍遙遊》：「魏王貽我大瓠之種，我樹之成而實五石。」
2.遺留。《書經．五子之歌》：「有典有則，貽厥子孫。」《文選．陸機．文賦》：「俯貽則於來葉，仰觀象乎古人。」
[名]
姓。如宋代有貽範。</t>
  </si>
  <si>
    <t>飴</t>
  </si>
  <si>
    <t>[名]
用米或麥製成的糖漿或軟糖食品。如：「甘之若飴」、「含飴弄孫」。《詩經．大雅．綿》：「周原膴膴，堇荼如飴。」《呂氏春秋．孟冬紀．異用》：「仁人之得飴，以養疾侍老也。」
[形]
味道甘美的。如：「飴漿」、「飴餌」。《周禮．天官．鹽人》：「王之膳羞共飴鹽。」漢．鄭玄．注：「飴鹽，鹽之恬者，今戎鹽有焉。」
[動]
贈送。通「貽」。《漢書．卷三六．楚元王劉交傳》：「飴我釐麰。」</t>
  </si>
  <si>
    <t>圯</t>
  </si>
  <si>
    <t>[名]
橋。《史記．卷五五．留侯世家》：「良嘗閒從容步游下邳圯上。」</t>
  </si>
  <si>
    <t>[名]
姓。為帝嚳時水正熙氏的後裔。</t>
  </si>
  <si>
    <t>(一)ㄒㄧ xī（06781）</t>
  </si>
  <si>
    <t>夷</t>
  </si>
  <si>
    <t>[名]_x000D_
1.中國古代東部民族之一。殷商時約分布在今大陸地區山東、江蘇一帶。後泛稱東方各族為「夷」。如：「徐夷」、「淮夷」。《後漢書．卷八五．東夷列傳．序》：「夷有九種：曰畎夷、于夷、方夷、黃夷、白夷、赤夷、玄夷、風夷、陽夷。」_x000D_
2.古代對中原以外各族的蔑稱。如：「蠻夷戎狄」。_x000D_
3.同輩。《禮記．曲禮上》：「昏定而晨省，在醜夷不爭。」_x000D_
4.鋤草、平土的農具。《國語．齊語》：「惡金以鑄鉏、夷、斤、斸，試諸壤土。」《管子．小匡》：「惡金以鑄斤斧鉏夷鋸欘，試諸木土。」_x000D_
5.創傷。通「痍」。《左傳．成公十六年》：「子反命軍吏，察夷傷。」《後漢書．卷四七．班梁列傳．班超》：「每有攻戰，輒為先登，身被金夷，不避死亡。」_x000D_
6.平易、平安。如：「化險為夷」。_x000D_
7.常道。通「彞」。《史記．卷三八．宋微子世家》：「曰王極之傅言，是夷是訓，于帝其順。」_x000D_
8.姓。如周代有夷詭諸。_x000D_
[動]_x000D_
1.鏟平、使平坦。如：「夷為平地」。《左傳．成公十六年》：「將塞井夷灶而為行也。」《國語．晉語六》：「夷灶堙井，非退而何？」_x000D_
2.誅除、消滅、平定。《荀子．君子》：「一人有罪，而三族皆夷。」唐．柳宗元〈封建論〉：「及夫大逆不道，然後掩捕而遷之，勒兵而夷之耳。」_x000D_
3.剷草、割草。《周禮．秋官司寇．薙氏》：「掌殺草。春始生而萌之，夏日至而夷之。」_x000D_
4.陳放、安置。《禮記．喪大記》：「徹帷，男女捧尸夷于堂，降拜。」_x000D_
5.平均。《左傳．昭公十七年》：「五雉為五工正，利器用，正度量，夷民者也。」唐．孔穎達．正義：「所以平均下民也。」_x000D_
[形]_x000D_
1.平坦。《莊子．胠篋》：「夫川竭而谷虛，丘夷而淵實。」《後漢書．卷二四．馬援列傳》：「從壺頭則路近而水嶮，從充則塗夷而運遠，帝初以為疑。」_x000D_
2.愉悅。通「怡」。《詩經．鄭風．風雨》：「既見君子，云胡不夷？」_x000D_
3.傲慢無禮。《荀子．修身》：「容貌態度，進退趨行，由禮則雅，不由禮則夷固僻遠，庸眾而野。」</t>
  </si>
  <si>
    <t>侇</t>
  </si>
  <si>
    <t>[名]
同輩、同等。《字彙．人部》：「侇，儕也，等也。」
[動]
陳列、安放。通「夷」。《儀禮．士喪禮》：「士舉，男女奉尸，侇于堂。」</t>
  </si>
  <si>
    <t>洟</t>
  </si>
  <si>
    <t>[名]
鼻涕。《禮記．檀弓上》：「主人深衣練冠，待于廟，垂涕洟。」《文選．馬融．長笛賦》：「僬眇睢維，涕洟流漫。」</t>
  </si>
  <si>
    <t>咦</t>
  </si>
  <si>
    <t>[動]
大口呼氣。《說文解字．口部》：「南陽謂大呼曰咦。」
[歎]
表示驚訝、驚嘆的語氣。《五代史平話．漢史．卷上》：「咦！您是甚人？在此打睡？」《西遊記》第六回：「咦！正是：欺誑今遭刑憲苦，英雄氣概等時休。」</t>
  </si>
  <si>
    <t>姨</t>
  </si>
  <si>
    <t>[名]
1.稱謂：(1)用以稱妻子的姊妹。如：「小姨子」。《詩經．衛風．碩人》：「東宮之妹，邢侯之姨。」漢．毛亨．傳：「妻之姊妹曰姨。」(2)用以稱母親的姊妹。如：「姨媽」、「阿姨」。《紅樓夢》第六四回：「人人都說你嬸子好，據我看，那裡及你二姨一零兒呢？」
2.妾、小老婆。如：「姨太太」。《通俗編．稱謂》：「其父之側庶亦稱姨者，姨本姊妹俱事一夫之稱。」</t>
  </si>
  <si>
    <t>桋</t>
  </si>
  <si>
    <t>[名]
一種樹木。葉細而銳，多叢生山中。《爾雅．釋木》：「桋，赤栜；白者栜。」晉．郭璞．注：「赤栜，樹葉細而歧銳，皮理錯戾，好叢生山中，中為車輞。白者葉員而歧，為大木。」</t>
  </si>
  <si>
    <t>[動]
除去田裡的野草。《周禮．地官．稻人》：「凡稼澤夏以水殄草而芟荑之。」唐．陸德明《經典釋文．卷八．周禮音義上》：「荑，音夷。」</t>
  </si>
  <si>
    <t>(一)ㄊㄧˊ tí（02624）</t>
  </si>
  <si>
    <t>胰</t>
  </si>
  <si>
    <t>參見「胰臟」條。</t>
  </si>
  <si>
    <t>痍</t>
  </si>
  <si>
    <t>[名]
創傷。《說文解字．疒部》：「痍，傷也。」《史記．卷八八．蒙恬傳》：「天下之心未定，痍傷者未瘳。」</t>
  </si>
  <si>
    <t>沂</t>
  </si>
  <si>
    <t>[名]
1.參見「沂河」條。
2.姓。如元代有沂川。</t>
  </si>
  <si>
    <t>宜</t>
  </si>
  <si>
    <t>[動]
1.相安、和順。《禮記．大學》：「宜兄宜弟，而后可以教國人。」
2.適當。《呂氏春秋．不苟論．當賞》：「主之賞罰爵祿之所加者宜，則親疏遠近賢不肖，皆盡其力而以為用矣。」
3.共享。《詩經．鄭風．女曰雞鳴》：「弋言加之，與子宜之。」
[形]
合適、相稱。如：「動靜皆宜」。宋．蘇軾〈飲湖上初晴後雨〉詩二首之二：「若把西湖比西子，淡妝濃抹總相宜。」
[副]
1.應該、應當。如：「不宜喧鬧」、「不宜妄自菲薄」。
2.大概、似乎。《漢書．卷二一．律曆志上》：「今陰陽不調，宜更曆之過也。」
[名]
1.事宜。《禮記．月令》：「天子乃與公卿大夫共飭國典，論時令，以待來歲之宜。」
2.姓。如元代有宜桂可。</t>
  </si>
  <si>
    <t>誼</t>
  </si>
  <si>
    <t>(一)ㄧˋ yì（10681）</t>
  </si>
  <si>
    <t>狋</t>
  </si>
  <si>
    <t>[形]
犬怒的樣子。《說文解字．犬部》：「狋，犬怒貌。」</t>
  </si>
  <si>
    <t>益</t>
  </si>
  <si>
    <t>(一)ㄧˋ yì（10628）</t>
  </si>
  <si>
    <t>宧</t>
  </si>
  <si>
    <t>[名]
古代稱房屋的東北角為「宧」。《爾雅．釋宮》：「東北隅謂之宧。」</t>
  </si>
  <si>
    <t>頤</t>
  </si>
  <si>
    <t>[名]
1.下巴。指鼻子下面腮頰部分。《莊子．漁父》：「左手據膝，右手持頤以聽。」《新唐書．卷八三．諸帝公主列傳．高宗三女》：「主方額廣頤，多陰謀。」
2.姓。如隋代有頤炅。
[動]
養。如：「頤養天年」。《後漢書．卷四九．王充王符仲長統列傳．王符》：「頤育萬民，以成大化。」唐．韓愈〈閔已賦〉：「惡飲食乎陋巷兮，亦足以頤神而保年。」
[助]
用於加強語氣，無義。《史記．卷四八．陳涉世家》：「夥頤，涉之為王沉沉者！」</t>
  </si>
  <si>
    <t>栘</t>
  </si>
  <si>
    <t>[名]
古代傳說中的一種樹木。即棠棣。《說文解字．木部》：「栘，棠棣也。」</t>
  </si>
  <si>
    <t>迻</t>
  </si>
  <si>
    <t>[動]
遷徙、轉易、變遷。《說文解字．辵部》：「迻，遷徙也。」《楚辭．劉向．九歎．遠遊》：「悲余性之不可改兮，屢懲艾而不迻。」</t>
  </si>
  <si>
    <t>扅</t>
  </si>
  <si>
    <t>參見「扊扅」條。</t>
  </si>
  <si>
    <t>移</t>
  </si>
  <si>
    <t>[動]
1.移轉、搬遷。如：「移植」、「遷移」。《漢書．卷四九．鼂錯傳》：「美草甘水則止，草盡水竭則移。」唐．李賀〈浩歌〉：「南風吹山作平地，帝遣天吳移海水。」
2.轉變、改變。如：「移風易俗」、「移孝作忠」。唐．王勃〈滕王閣〉詩：「閒雲潭影日悠悠，物換星移幾度秋？」
3.搖動。《禮記．玉藻》：「疾趨則欲發，而手足毋移。」唐．孔穎達．正義：「移謂靡迆搖動也。」
4.施予、贈送。《史記．卷一〇四．田叔傳》：「鞅鞅如有移德於我者，何也？」《漢書．卷八七．揚雄傳上》：「是以旃裘之王，胡貉之長，移珍來享，抗手稱臣。」
5.去除。漢．王充《論衡．變虛》：「齊君欲禳慧星之凶，猶子韋欲移熒惑之禍也。」唐．柳宗元〈封建論〉：「削其半，民猶瘁矣，曷若舉而移之，以全其人乎？」
[名]
1.一種官方文書的舊稱，行文於平行的對等單位之間。《後漢書．卷七四．袁紹傳》：「橋帽乃詐作三公移書，傳驛州郡。」《新唐書．卷四六．百官志一》：「諸司相質其制有三：一曰關，二曰制，三曰移。」
2.姓。如漢代有移良。</t>
  </si>
  <si>
    <t>簃</t>
  </si>
  <si>
    <t>[名]
與樓閣相連的小屋。《爾雅．釋宮》：「連謂之簃。」晉．郭璞．注：「堂樓閣邊小屋，今呼之簃廚連觀也。」</t>
  </si>
  <si>
    <t>謻</t>
  </si>
  <si>
    <t>[名]
凡別出的門堂臺榭均稱為「謻」。參見「謻門」條。</t>
  </si>
  <si>
    <t>參見「蛇蛇」、「委蛇」等條。</t>
  </si>
  <si>
    <t>(一)ㄕㄜˊ shé（08826）</t>
  </si>
  <si>
    <t>疑</t>
  </si>
  <si>
    <t>[動]_x000D_
1.迷惑、不明白。《說文解字．匕部》：「疑，惑也。」《易經．繫辭下》：「中心疑者，其辭枝。」_x000D_
2.猜忌、不相信。如：「懷疑」、「半信半疑」。《史記．卷八六．刺客列傳．荊軻》：「夫為行而使人疑之，非節俠也。」_x000D_
3.猶豫不決。如：「遲疑」。《書經．大禹謨》：「任賢勿貳，去邪勿疑。」晉．陶淵明〈歸去來辭〉：「聊乘化以歸盡，樂夫天命復奚疑。」_x000D_
4.怪。《淮南子．氾論》：「當此之時，有立武者見疑。」晉．陶淵明〈飲酒〉詩二〇首之九：「壺漿遠見候，疑我與時乖。」_x000D_
5.恐懼。《禮記．雜記下》：「故有疾飲酒食肉，五十不致毀，六十不毀，七十飲酒食肉，皆為疑死。」漢．鄭玄．注：「疑，猶恐也。」唐．劉蛻〈與京西幕府書〉：「富貴固不足疑其來，爵土固不足畏其大。」_x000D_
[副]_x000D_
彷彿、好像。如：「疑似」、「嫌疑」。唐．李白〈望廬山瀑布水〉詩二首之二：「飛流直下三千尺，疑是銀河落九天。」宋．陸游〈遊山西村〉詩：「山重水複疑無路，柳暗花明又一村。」</t>
  </si>
  <si>
    <t>[名]
九嶷山：山名。在大陸地區湖南省寧遠縣，相傳舜葬於此。也稱為「蒼梧山」。</t>
  </si>
  <si>
    <t>(二)ㄋㄧˋ nì（03033）</t>
  </si>
  <si>
    <t>儀</t>
  </si>
  <si>
    <t>[名]
1.法則、標準。《墨子．天志》：「置此以為法，立此以為儀，將以量度天下之王公大人、卿大夫之仁與不仁。」《三國志．卷三五．蜀書．諸葛亮傳》：「諸葛亮之為相國也，撫百姓，示儀軌。」
2.典範、表率。《楚辭．屈原．九章．抽思》：「望三五以為像兮，指彭咸以為儀。」《荀子．正論》：「主者，民之唱也。上者，下之儀也。」
3.禮節、程序、形式。如：「禮儀」、「儀式」。《詩經．鄘風．相鼠》：「相鼠有皮，人而無儀。」《荀子．正論》：「諸夏之國，同服同儀。」
4.舉止容貌。如：「儀容」、「儀表堂堂」。《喻世明言．卷三〇．明悟禪師趕五戒》：「瑞卿生得面方耳大，丰儀出眾。」
5.禮物。如：「賀儀」、「奠儀」、「謝儀」。《喻世明言．卷二四．楊思溫燕山逢故人》：「且出此間，備些祭儀。」《紅樓夢》第二二回：「又一面遣人回去，將自己舊日作的兩色針線活計取來，為寶釵生辰之儀。」
6.儀器的簡稱。如：「渾天儀」、「地球儀」。《荀子．君道》：「君者，儀也，儀正而景正。」
[動]
1.嚮往、仰慕。《漢書．卷九七．外戚傳上．孝宣許皇后傳》：「公卿議更立皇后，皆心儀霍將軍女。」
2.效法。《文選．張衡．東京賦》：「儀姬伯之渭陽，失熊羆而獲人。」
3.匹配。如：「有鳳來儀」。《文選．宋玉．高唐賦》：「惟高唐之大體兮，殊無物類之可儀比。」</t>
  </si>
  <si>
    <t>鸃</t>
  </si>
  <si>
    <t>遺</t>
  </si>
  <si>
    <t>[動]
1.亡失、丟掉。《韓非子．難二》：「齊桓公飲酒醉，遺其冠，恥之，三日不朝。」唐．崔國輔〈長樂少年行〉：「遺卻珊瑚鞭，白馬驕不行。」
2.脫漏。《韓非子．有度》：「刑過不避大臣，賞善不遺匹夫。」宋．趙汝鐩〈翁媼歎〉：「愁死未死此何時，縣道賦不遺毫釐。」
3.捨棄。《易經．泰卦》：「包荒，用馮河，不遐遺。」唐．孔穎達．正義：「遺，棄也。」《史記．卷八三．魯仲連鄒陽傳》：「遺公子糾不能死，怯也。」唐．司馬貞．索隱：「遺，棄也。謂棄子糾而事小白也。」
4.忘記。《孝經．孝治章》：「昔者明王之以孝治天下也，不敢遺小國之臣。」《孔子家語．卷七．五刑解》：「鬥變者，生於相陵；相陵者，生於長幼無序而遺敬讓。」
5.留下。如：「不遺餘力」、「遺臭萬年」。《史記．卷一〇．孝文本紀》：「太僕見馬遺財足，餘皆以給傳置。」唐．杜甫〈哭嚴僕射歸櫬〉詩：「一哀三峽暮，遺後見君情。」
6.離開。《莊子．田子方》：「向者先王形體掘若槁木，似遺物離人而立於獨也。」《文選．曹植．七啟》：「亦將有才人妙妓，遺世越俗。」
7.排泄。《史記．卷八一．廉頗藺相如傳》：「廉將軍雖老，尚善飯，然與臣坐，頃之三遺矢矣。」《南史．卷一九．謝靈運傳》：「又嘗於閣省裸袒酣飲，及醉小遺，下霑令史，為南司所彈，幾卿亦不介意。」
8.剩餘。如：「暴露無遺」。
[名]
亡失的東西。如：「路不拾遺」。《韓非子．外儲說左上》：「子產退而為政。五年，國無盜賊，道不拾遺。」《文選．司馬遷．報任少卿書》：「次之又不能拾遺捕闕，招賢進能，顯巖穴之士。」
[形]
留下的、剩餘未盡的。如：「遺言」、「遺產」。《孟子．公孫丑上》：「其故家遺俗，流風善政，猶有存者。」《漢書．卷二四．食貨志上》：「地有遺利，民有餘力。」</t>
  </si>
  <si>
    <t>(二)ㄨㄟˋ wèi（11443）</t>
  </si>
  <si>
    <t>彞</t>
  </si>
  <si>
    <t>[名]_x000D_
1.古代盛酒的器具或宗廟常用的祭器。《爾雅．釋器》：「彞、卣、罍，器也。」晉．郭璞．注：「皆盛酒尊，彞其總名。」《宋書．卷四二．列傳．劉穆之》：「功銘鼎彞，義彰典策。」_x000D_
2.常道、常法。《詩經．大雅．烝民》：「民之秉彞，好是懿德。」_x000D_
3.中國少數民族之一。多分布在大陸地區雲南、四川、貴州等地。</t>
  </si>
  <si>
    <t>乙</t>
  </si>
  <si>
    <t>ㄧˇ</t>
  </si>
  <si>
    <t>yǐ</t>
  </si>
  <si>
    <t>[名]
1.天干的第二位。
2.姓。如明代有乙瑄。
3.二一四部首之一。
[代]
人或地的代稱。如：「某乙」、「乙地」。《史記．卷一〇三．萬石君傳》：「奮長子建，次子甲，次子乙，次子慶。」
[形]
次序或等級屬於第二的。如：「乙等」、「乙級」、「乙班」。</t>
  </si>
  <si>
    <t>釔</t>
  </si>
  <si>
    <t>[名]
（yttrium，Y）化學元素。原子序39。過渡金屬元素之一。為銀白色金屬，可溶於稀酸類及氫氧化鉀溶液，能於水中分解。可用於製造白熱燈罩。</t>
  </si>
  <si>
    <t>已</t>
  </si>
  <si>
    <t>[動]
1.停止。《詩經．鄭風．風雨》：「風雨如晦，雞鳴不已。」《論語．泰伯》：「仁以為己任，不亦重乎！死而後已，不亦遠乎！」
2.完畢、完成。《國語．齊語》：「有司已於事而竣。」《漢書．卷三〇．藝文志》：「每一書已，向輒條其篇目，撮其指意，錄而奏之。」
3.黜退。《論語．公冶長》：「令尹子文三仕為令尹，無喜色；三已之，無慍色。」
4.病癒。《史記．卷一〇五．扁鵲倉公傳》：「一飲汗盡，再飲熱去，三飲病已。」
[副]
1.已經。如：「時間早已過了。」《論語．微子》：「道之不行，已知之矣。」唐．李白〈早發白帝城〉詩：「兩岸猿聲啼不盡，輕舟已過萬重山。」
2.太、甚。《孟子．離婁下》：「仲尼不為已甚者。」《管子．戒》：「其為人也，好善而惡惡已甚。」
3.隨後、然後。《史記．卷七．項羽本紀》：「韓王成無軍功，項王不使之國，與俱至彭城，廢以為侯，已又殺之。」明．徐弘祖《徐霞客遊記．卷一上．遊天台山日記》：「香風來處，玉蘭芳草，處處不絕。已至一山嘴，石壁直豎澗底，澗深流駛，旁無餘地。」
4.一定、必定。《漢書．卷五二．灌夫傳》：「夫不好文學，喜任俠，已然諾。」
[助]
用於句尾。相當於「矣」。《書經．洛誥》：「公定，予往已。」《孟子．梁惠王上》：「然則王之所大欲可知已。」
[歎]
用於句首，表示感嘆的語氣。同「哎」。《書經．大誥》：「已！予惟小子。」
[代]
此、如此。《論語．陽貨》：「不有博奕者乎？為之，猶賢乎已。」《史記．卷二．夏本紀》：「敦序九族，眾明高翼，近可遠在已。」</t>
  </si>
  <si>
    <t>以</t>
  </si>
  <si>
    <t>[動]_x000D_
1.用。《左傳．襄公十年》：「我辭禮矣，彼則以之。」漢．王充《論衡．程材》：「洗洿泥者以水，燔腥者用火。」_x000D_
2.仰賴、憑藉。《韓非子．五蠹》：「富國以農，距敵恃卒。」漢．王充《論衡．卜筮》：「欲知天，以人事。」_x000D_
3.認為、以為。《左傳．昭公二十五年》：「告臧孫，臧孫以難；告郈孫，郈孫以可勸。」唐．柳宗元〈為裴中丞上裴相賀破東平狀〉：「竊以自古中興之主，必有命代之臣。」_x000D_
4.可、能夠。《詩經．齊風．猗嗟》：「四矢反兮，以禦亂兮。」《孟子．滕文公下》：「大則以王，小則以霸。」_x000D_
5.令、使。《孟子．公孫丑上》：「管仲以其君霸，晏子以其君顯。管仲、晏子猶不足為與？」《戰國策．秦策一》：「向欲以齊事王，使攻宋也。」_x000D_
6.帶領、率領。《左傳．成公十六年》：「欒、范以其族夾公行，陷于淖。」《史記．卷一〇七．魏其武安侯列傳》：「吳楚反時，潁陰侯灌何為將軍，屬太尉，請灌孟為校尉。夫以千人與父俱。」_x000D_
7.延及。《易經．小畜．九五》：「有孚攣如，富以其鄰。」《論語．堯曰》：「朕躬有罪，無以萬方。」_x000D_
[介]_x000D_
1.表示行為的憑藉。相當於「用」。如：「以身作則」、「徐噴以煙」。《論語．為政》：「生，事之以禮；死，葬之以禮、祭之以禮。」《左傳．文公二年》：「晉襄公縛秦囚，使萊駒以戈斬之。」《史記．卷一一七．司馬相如列傳》：「是時卓王孫有女文君新寡，好音，故相如繆與令相重，而以琴心挑之。」_x000D_
2.因為、由於。《論語．衛靈公》：「君子不以言舉人，不以人廢言。」《韓非子．喻老》：「千丈之隄，以蟻螻之穴潰。」_x000D_
3.按、依。《孟子．梁惠王上》：「斧斤以時入山林，材木不可勝用也。」《商君書．更法》：「禮法以時而定，制令各順其宜。」_x000D_
4.在、於。《左傳．桓公二年》：「其弟以千畝之戰生，命之曰成師。」唐．柳宗元〈斷刑論〉：「賞以春夏而刑以秋冬。」_x000D_
5.表時空、方位、程度等的界限，通常加在前、後、左、右、上、下、往、來、東、西、南、北等字之前。如：「亙古以來」、「中人以上」、「長安東路以西」、「價格在一千元以下」。_x000D_
[連]_x000D_
1.而、且。《詩經．邶風．燕燕》：「瞻望弗及，佇立以泣。」《禮記．樂記》：「亡國之音哀以思，其民困。」_x000D_
2.因而。《漢書．卷二九．溝洫志》：「於是關中為沃野，無凶年，秦以富彊。」三國蜀．諸葛亮〈出師表〉：「不宜妄自菲薄，引喻失義，以塞忠諫之路也。」_x000D_
3.目的在於。如：「以免」、「以致於」。《書經．泰誓下》：「郊社不修，宗廟不享。作奇技淫巧以悅婦人。」_x000D_
4.與、和。《儀禮．鄉射禮》：「各以其耦進，反于射位。」_x000D_
[助]_x000D_
置動詞後，無義。如：「得以」、「能以」。《論語．泰伯》：「可以託六尺之孤，可以寄百里之命。」_x000D_
[副]_x000D_
1.太、甚。《孟子．滕文公下》：「三月無君則弔，不以急乎？」《史記．卷六六．伍子胥列傳》：「子之報仇，其以甚乎？」_x000D_
2.既、已經。通「已」。《三國志．卷二三．魏書．和常楊杜趙裴傳．杜襲》：「吾計以定，卿勿復言。」_x000D_
3.更加。《呂氏春秋．恃君覽．觀表》：「魏日以削，秦日益大。」《史記．卷五．秦本紀》：「及其後世，日以驕淫。」_x000D_
[名]_x000D_
1.緣故、理由。《詩經．邶風．旄丘》：「何其久也，必有以也。」《列子．周穆王》：「宋人執而問其以，華子曰：『曩吾忘也。』」唐．李白〈春夜宴從弟桃花園序〉：「古人秉燭夜遊，良有以也。」_x000D_
2.以色列的簡稱。如：「以阿戰爭」。_x000D_
3.姓。如漢代有以彤。</t>
  </si>
  <si>
    <t>苡</t>
  </si>
  <si>
    <t>參見「芣苡」、「薏苡」等條。</t>
  </si>
  <si>
    <t>參見「阤靡」條。</t>
  </si>
  <si>
    <t>(一)ㄊㄨㄛˊ tuó（02820）(二)ㄓˋ zhì（07552）</t>
  </si>
  <si>
    <t>[動]
1.斜行。《書經．禹貢》：「東至于澧，過九江，至于東陵，東迆北會于匯。」北魏．酈道元《水經注．河水注》：「大河右迆，東注漯水矣。」
2.斜倚。《周禮．冬官考工記》：「戈柲六尺有六寸，既建而迆，崇於軫四尺，謂之二等。」《文選．張衡．東京賦》：「立戈迆戛，農輿輅木。」</t>
  </si>
  <si>
    <t>(二)ㄧˊ yí（10511）</t>
  </si>
  <si>
    <t>[動]
斜行延伸。同「迆」。唐．柳宗元〈問答．晉問〉：「晉之故封，太行掎之，首陽起之，黃河迤之。」</t>
  </si>
  <si>
    <t>(一)ㄧˊ yí（10511A）</t>
  </si>
  <si>
    <t>胣</t>
  </si>
  <si>
    <t>[動]
古代一種剖腹挖腸的刑罰。《莊子．胠篋》：「昔者龍逢斬，比干剖，萇弘胣，子胥靡。」</t>
  </si>
  <si>
    <t>矣</t>
  </si>
  <si>
    <t>[助]
1.表示已然的事。《左傳．僖公二十八年》：「晉侯在外，十九年矣。」《荀子．勸學》：「吾嘗終日而思矣，不如須臾之所學也。」
2.表示肯定的語氣。如：「由來久矣」。《論語．學而》：「與朋友交，言而有信，雖曰未學，吾必謂之學矣。」
3.表示將然的事。《史記．卷七．項羽本紀》：「奪項王天下者，必沛公也，吾屬今為之虜矣。」
4.表示疑問的語氣。通「乎」。《論語．季氏》：「危而不持，顛而不扶，則將焉用彼相矣？」
5.表示命令的語氣。《左傳．宣公四年》：「乃速行矣，無及於難。」《史記．卷九二．淮陰侯傳》：「先生且休矣，吾將念之。」
6.表示語句的結束。通「耳」。《戰國策．趙策三》：「彼則肆然而為帝，過而遂正於天下，則連有赴東海而死矣。」
[歎]
表示感嘆的語氣。如：「垂垂老矣」。《論語．述而》：「甚矣，吾衰矣。」</t>
  </si>
  <si>
    <t>尾</t>
  </si>
  <si>
    <t>(一)ㄨㄟˇ wěi（11392）</t>
  </si>
  <si>
    <t>倚</t>
  </si>
  <si>
    <t>[動]_x000D_
1.靠、斜靠。如：「倚門而望」。《史記．卷八六．刺客列傳．荊軻》：「軻自知事不就，倚柱而笑。」_x000D_
2.依仗、仗恃。如：「倚勢欺人」。《書經．君陳》：「無依勢作威，無倚法以削。」《史記．卷一〇七．魏其武安侯列傳》：「灌夫亦倚魏其而通列侯宗室為名高。」_x000D_
3.偏斜、側偏。如：「不偏不倚」。《禮記．中庸》：「中立而不倚，強哉矯。」_x000D_
4.隨著、配合。《史記．卷一〇二．張釋之馮唐列傳．張釋之》：「使慎夫人鼓瑟，上自倚瑟而歌。」宋．蘇軾〈赤壁賦〉：「客有吹洞簫者，倚歌而和之。」</t>
  </si>
  <si>
    <t>[動]
1.加。《詩經．小雅．巷伯》：「楊園之道，猗于畝丘。」
2.依靠。通「倚」。《詩經．小雅．車攻》：「四黃既駕，兩驂不猗。」唐．孔穎達．正義：「兩驂之馬不相依猗。」
3.束而採之。《詩經．豳風．七月》：「蠶月條桑，取彼斧斨，以伐遠揚，猗彼女桑。」</t>
  </si>
  <si>
    <t>(一)ㄧ yī（10498）(三)ㄜˇ ě（10261）</t>
  </si>
  <si>
    <t>[名]
有靠背的坐具。如：「躺椅」、「搖椅」。《三國演義》第一回：「只見一條大青蛇從梁上飛將下來，蟠於椅上。」</t>
  </si>
  <si>
    <t>(二)ㄧ yī（10499）</t>
  </si>
  <si>
    <t>旖</t>
  </si>
  <si>
    <t>參見「旖旎」條。</t>
  </si>
  <si>
    <t>[動]
刺、觸、頂住。《莊子．養生主》：「足之所履，膝之所踦，砉然嚮然，奏刀騞然，莫不中音。」</t>
  </si>
  <si>
    <t>(一)ㄐㄧˇ jǐ（05408）(三)ㄑㄧˊ qí（06262）</t>
  </si>
  <si>
    <t>齮</t>
  </si>
  <si>
    <t>[動]
咬、齧。《說文解字．齒部》：「齮，齧也。」宋．王令〈謝李常伯〉詩：「喁哦夜不休，齮嚼午忘饑。」清．徐珂《清稗類鈔．動物類．薛叔耘見蟻鬥》：「相齮者，相禽者，勝相嗾者，敗相救者，相持僵斃不動者，沓然眩目。」</t>
  </si>
  <si>
    <t>扆</t>
  </si>
  <si>
    <t>[名]
1.古代指窗和門之間的地方。《說文解字．戶部》：「扆，戶牖之閒謂之扆。」
2.門窗間的屏風。漢．王充《論衡．書虛》：「負扆南面鄉坐，扆在後也。」《南史．卷八〇．賊臣傳．侯景傳》：「方饗群臣，中會而起，觸扆墜地。」
3.姓。如明代有扆昭。
[動]
1.隱藏。清．王念孫《廣雅疏證．卷四上．釋詁》：「扆，藏也。」
2.依、倚靠。《大戴禮記．五帝德》：「乘龍扆雲，以順天地之紀、幽明之故。」</t>
  </si>
  <si>
    <t>偯</t>
  </si>
  <si>
    <t>[形]
形容哭泣的尾聲悠長。《孝經．喪親章》：「孝子之喪親也，哭不偯。」《禮記．閒傳》：「大功之哭，三曲而偯。」</t>
  </si>
  <si>
    <t>同「蟻」。參見「蛾子」條。《漢書．卷八七．揚雄傳下》：「扶服蛾伏。」唐．顏師古．注：「蛾與蟻同。蛾伏者，言其伏如蟲蟻也。」</t>
  </si>
  <si>
    <t>(一)ㄜˊ é（10250）</t>
  </si>
  <si>
    <t>螘</t>
  </si>
  <si>
    <t>[名]
小蟲。同「蟻」。《集韻．上聲．尾韻》：「螘，蟲名，蚍蜉也。或作『蟻』。」《楚辭．宋玉．招魂》：「赤螘若象，玄蜂若壺些。」</t>
  </si>
  <si>
    <t>顗</t>
  </si>
  <si>
    <t>[形]
1.莊重、謹慎的樣子。《說文解字．頁部》：「顗，謹莊貌。」
2.安靜。《爾雅．釋詁上》：「顗，靜也。」</t>
  </si>
  <si>
    <t>檥</t>
  </si>
  <si>
    <t>[動]
停船靠岸。同「艤」。《史記．卷七．項羽本紀》：「於是項王乃欲東渡烏江，烏江亭長檥船待。」</t>
  </si>
  <si>
    <t>蟻</t>
  </si>
  <si>
    <t>[名]
1.螞蟻，蟻科昆蟲的總稱。一般體小，有黑、褐、紅等色，體分頭、胸、腹三部分。職分女王蟻、雄蟻、工蟻三種。喜於地下築巢群居，種類很多。
2.酒面的泡沫、酒中的渣滓。《文選．張衡．南都賦》：「醪敷徑寸，浮蟻若萍。」唐．杜甫〈正月三日歸溪上〉詩：「蟻浮仍臘味，鷗泛已春聲。」
3.姓。如漢代有蟻逢。
[形]
微賤、卑小、不足道的。如：「蟻命」、「蟻驅」、「蟻寇」。
[副]
眾多的。《孫子．謀攻》：「將不勝其忿而蟻附之，殺士三分之一。」南朝宋．劉義慶《世說新語．識鑒》：「於是寇盜處處蟻合，郡國多以無備，不能制服。」</t>
  </si>
  <si>
    <t>艤</t>
  </si>
  <si>
    <t>[動]
使船靠岸。《廣韻．上聲．紙韻》：「艤，整舟向岸。」《文選．左思．蜀都賦》：「試水客，艤輕舟。」</t>
  </si>
  <si>
    <t>轙</t>
  </si>
  <si>
    <t>[名]
車衡上貫穿韁繩的大環。《說文解字．車部》：「轙，車衡艇嶍者。」《文選．張衡．東京賦》：「龍輈華轙，金鋄鏤錫。」</t>
  </si>
  <si>
    <t>ㄧˋ</t>
  </si>
  <si>
    <t>yì</t>
  </si>
  <si>
    <t>[動]
1.割草。刈的本字。《說文解字．丿部》：「乂，芟艸也。」
2.治理。《漢書．卷六三．武五子傳．齊懷王劉閎傳》：「保國乂民，可不敬與！」唐．韓愈〈爭臣論〉：「閔其時之不平，人之不乂，得其道不敢獨善其身，而必以兼濟天下也。」
[形]
安定、平靜。《史記．卷一二．孝武本紀》：「漢興已六十餘歲矣，天下乂安。」《文選．張衡．東京賦》：「區宇乂寧，思和求中。」
[名]
才德出眾的人。《書經．皋陶謨》：「翕受敷施，九德咸事，俊乂在官。」《南史．卷四．齊高帝本紀》：「官方與能，英乂克舉。」</t>
  </si>
  <si>
    <t>(二)ㄞˋ ài（10332）</t>
  </si>
  <si>
    <t>刈</t>
  </si>
  <si>
    <t>[動]
1.割取。如：「刈草」、「刈麥」。《楚辭．屈原．離騷》：「冀枝葉之峻茂兮，願俟時乎吾將刈。」
2.砍殺。《呂氏春秋．慎大覽．順說》：「刈人之頸，刳人之腹。」《新唐書．卷八五．竇建德傳》：「我無罪，王何信讒，自刈左右手乎？」
3.消滅。《國語．吳語》：「今天王既封植越國，以明聞於天下，而又刈亡之，是天王之無成勞也。」
[名]
1.割草的農具。即鎌刀。《國語．齊語》：「時雨既至，挾其槍、刈、耨、鎛，以旦暮從事於田野。」三國吳．韋昭．注：「刈，鎌也。」
2.姓。如五代時宋有刈懷。</t>
  </si>
  <si>
    <t>通「乂」。</t>
  </si>
  <si>
    <t>(一)ㄞˋ ài（10333）</t>
  </si>
  <si>
    <t>弋</t>
  </si>
  <si>
    <t>[名]
1.小木樁。《爾雅．釋宮》：「雞棲於弋為榤。」宋．邢昺．疏：「弋，橛也。」《玉篇．弋部》：「弋，橛也，所以挂物也。今作杙。」
2.射獵之事。《晉書．卷九四．隱逸傳．翟湯傳》：「遵湯之操，不交人物，耕而後事，語不及俗，惟以弋釣為事。」
3.姓。如宋代有弋尚節。
4.二一四部首之一。
[動]
1.用帶有繩子的箭射獵。《詩經．鄭風．女曰雞鳴》：「將翱將翔，弋鳧與鴈。」
2.取得。《書經．多士》：「非我小國，敢弋殷命。」《史記．卷四〇．楚世家》：「昔者三王以弋道德，五霸以弋戰國。」
[形]
黑色。通「黓」。參見「弋綈」條。</t>
  </si>
  <si>
    <t>杙</t>
  </si>
  <si>
    <t>[名]
小木樁。《左傳．襄公十七年》：「（臧堅）以杙抉其傷而死。」《南史．卷六七．程靈洗傳》：「齊人並下大柱為杙，柵水中。」
[動]
栓、繫。宋．姜夔〈昔遊〉詩：「杙船遂登岸，急買野家酒。」</t>
  </si>
  <si>
    <t>芅</t>
  </si>
  <si>
    <t>參見「銚芅」條。</t>
  </si>
  <si>
    <t>黓</t>
  </si>
  <si>
    <t>[形]
黑色。《廣韻．入聲．職韻》：「黓，皁也。」清．王念孫《廣雅疏證．卷八上．釋器》：「黓，黑也。」</t>
  </si>
  <si>
    <t>[形]
勇猛、健壯。《公羊傳．宣公六年》：「仡然從乎趙盾而入，放乎堂下而立。」《文選．何晏．景福殿賦》：「華鍾杌其高懸，悍獸仡以儷陳。」
[動]
抬頭。《史記．卷一一七．司馬相如傳》：「沛艾赳螑仡以佁儗兮，放散畔岸驤以孱顏。」《文選．王延壽．魯靈光殿賦》：「奔虎攫挐以梁倚，仡奮舋而軒鬐。」</t>
  </si>
  <si>
    <t>(二)ㄑㄧˋ qì（06293）</t>
  </si>
  <si>
    <t>肊</t>
  </si>
  <si>
    <t>[名]
胸骨。《說文解字．肉部》：「肊，匈骨也。」</t>
  </si>
  <si>
    <t>屹</t>
  </si>
  <si>
    <t>[形]
高聳的樣子。《文選．王延壽．魯靈光殿賦》：「屹山峙以紆鬱，隆崛岉乎青雲。」宋．蘇軾〈次韻劉景文西湖席上〉詩：「二老長身屹兩峰，常撞大呂應黃鐘。」
[副]
特立不動、堅定不移的樣子。如：「屹立不搖」。《文選．王延壽．魯靈光殿賦》：「屹然特立，的爾殊形。」</t>
  </si>
  <si>
    <t>鳦</t>
  </si>
  <si>
    <t>[名]
燕子。《詩經．邶風．燕燕》：「燕燕于飛，差池其羽。」漢．毛亨．傳：「燕燕，鳦也。」《史記．卷五．秦本紀》「女脩織，玄鳥隕卵，女脩吞之，生子大業」句下唐．司馬貞．索隱：「女脩，顓頊之裔女，吞鳦子而生大業。」</t>
  </si>
  <si>
    <t>亦</t>
  </si>
  <si>
    <t>[副]
1.相當於「也」、「也是」。如：「人云亦云」。《論語．公冶長》：「左丘明恥之，丘亦恥之。」唐．李商隱〈無題〉詩：「相見時難別亦難，東風無力百花殘。」
2.相當於「又」。《左傳．文公七年》：「先君何罪？其嗣亦何罪？」唐．杜甫〈羌村〉詩三首之一：「鄰人滿牆頭，感歎亦歔欷。」
3.只是、不過。《戰國策．齊策四》：「王亦不好士也，何患無士？」唐．杜甫〈蒹葭〉詩：「江湖後搖落，亦恐歲蹉跎。」
4.已經。《文選．王康琚．反招隱詩》：「昔在太平時，亦有巢居子；今雖盛明世，能無中林士？」唐．杜甫〈獨立〉詩：「草露亦多濕，蛛絲亦未收。」
[連]
雖然。唐．杜甫〈奉先劉少府新畫山水障歌〉：「畫師亦無數，好手不可遇。」宋．歐陽修〈玉樓春．蝶飛芳草花飛路〉詞：「紅蓮綠芰亦芳菲，不奈金風兼玉露。」
[助]
位於句首或句中，無義。《書經．盤庚上》：「予亦拙謀，作乃逸。」《詩經．召南．草蟲》：「亦既見止，亦既覯止，我心則降。」
[名]
姓。如明代有亦孔昭。</t>
  </si>
  <si>
    <t>弈</t>
  </si>
  <si>
    <t>[名]
圍棋。《說文解字．廾部》：「弈，圍棋也。」《孟子．告子上》：「今夫弈之為數，小數也。」
[動]
下棋。如：「對弈」。《左傳．襄公二十五年》：「今𡩋子視君不如弈棋，其何以免乎？」</t>
  </si>
  <si>
    <t>奕</t>
  </si>
  <si>
    <t>[形]
1.大。《說文解字．大部》：「奕，大也。」《詩經．大雅．韓奕》：「奕奕梁山，維禹甸之。」
2.美好的樣子。唐．皮日休〈桃花賦〉：「或奕偞而作態，或窈窕而騁姿。」
3.積累的。《後漢書．卷七四下．袁紹傳》：「宣奕世之德，履丕顯之祚。」晉．陶淵明〈閑情賦．序〉：「綴文之士，奕代繼作。」
4.嫻熟。《詩經．商頌．那》：「庸鼓有斁，萬舞有奕。」漢．鄭玄．箋：「其干舞又閑習。」
[名]
圍棋。通「弈」。《論語．陽貨》：「不有博奕者乎？為之猶賢乎已。」唐．韓愈〈畫記〉：「飲食服用之器，壺矢博奕之具。」</t>
  </si>
  <si>
    <t>帟</t>
  </si>
  <si>
    <t>[名]
張設在座位上的小帳幕。《周禮．天官．幕人》：「幕人掌帷、幕、幄、帟、綬之事。」漢．鄭玄．注：「帟，主在幕，若幄中坐上承塵。」</t>
  </si>
  <si>
    <t>[動]
1.穿衣服。《論語．子罕》：「衣敝縕袍，與衣狐貉者立而不恥者，其由也與？」《史記．卷九二．淮陰侯列傳》：「漢王授我上將軍印，予我數萬眾，解衣衣我，推食食我。」
2.覆蓋、裹紥。《易經．繫辭下》：「古之葬者，厚衣之以薪。」唐．柳宗元〈段太尉&amp;f5fd4_.png;事狀〉：「太尉大泣曰：『乃我困汝！』即自取水洗去血，裂裳衣瘡，手注善藥，旦夕自哺農者，然後食。」
3.倚靠。同「依」。元．關漢卿《雙赴夢》第四折：「衣的我奉玉甌，進御酒，一齊山壽。」清．孫星衍《尙書今古文注疏．卷一五．康誥》：「今民將在祇遹乃文考，紹聞衣德言。」疏：「釋詁云：……衣，同依。」</t>
  </si>
  <si>
    <t>(一)ㄧ yī（10483）</t>
  </si>
  <si>
    <t>裔</t>
  </si>
  <si>
    <t>[名]
1.衣服的邊緣。《說文解字．衣部》：「裔，衣裾也。」
2.邊緣。《楚辭．屈原．九歌．湘夫人》：「麋何食兮庭中，蛟何為兮水裔。」《淮南子．原道》：「故雖遊於江潯海裔，目觀掉羽武象之樂。」
3.後代子孫。如：「後裔」。《文選．左思．吳都賦》：「其居則高門鼎貴，魁岸豪傑，虞魏之昆，顧陸之裔。」
4.邊遠的地方。《左傳．文公十八年》：「投諸四裔，以禦螭魅。」唐．柳宗元〈自衡陽移桂十餘本植零陵所住精舍〉詩：「謫官去南裔，清湘繞靈岳。」
5.邊疆民族的總稱。《左傳．定公十年》：「裔不謀夏，夷不亂華。」
6.姓。如春秋時代齊國有裔款。</t>
  </si>
  <si>
    <t>㵝</t>
  </si>
  <si>
    <t>參見「溶㵝」條。</t>
  </si>
  <si>
    <t>曳</t>
  </si>
  <si>
    <t>[動]_x000D_
1.牽引。如：「牽曳」、「拖曳」。金．元好問〈石門〉詩：「曳杖行歌羨樵叟，此生何計得隨君。」_x000D_
2.飄搖。如：「搖曳」。南朝宋．顏延之〈應詔觀北湖田收〉詩：「陽陸團精氣，陰谷曳寒煙。」_x000D_
[形]_x000D_
困頓。《後漢書．卷二八下．馮衍傳》：「貧而不衰，賤而不恨，年雖疲曳，猶庶幾名賢之風。」唐．章懷太子．注：「曳，猶頓也。」</t>
  </si>
  <si>
    <t>(二)（讀音）ㄧㄝˋ yè（10756）</t>
  </si>
  <si>
    <t>參見「洩洩」條。</t>
  </si>
  <si>
    <t>(一)ㄒㄧㄝˋ xiè（06956）</t>
  </si>
  <si>
    <t>坄</t>
  </si>
  <si>
    <t>[名]
陶瓦灶窯的煙囪。《說文解字．土部》：「坄，陶灶窗也。」</t>
  </si>
  <si>
    <t>役</t>
  </si>
  <si>
    <t>[動]
1.戍守邊疆。《說文解字．彳部》：「役，戍也。」《詩經．王風．君子于役》：「君子于役，如之何勿思。」
2.使喚、差遣。如：「役使」、「奴役」。《孟子．離婁上》：「天下無道，小役大，弱役強。」
3.作為、施行。《禮記．表記》：「君子恭儉以求役仁，信讓以求役禮。」
4.服事。《左傳．成公二年》：「五伯之霸也，勤而撫之，以役王命。」晉．杜預．注：「役，事也。」
5.吸引、牽纏。唐．孟郊〈古離別〉詩：「春芳役雙眼，春色柔四支。」唐．顧敻〈浣溪沙．露白蟾明又到秋〉詞：「佳期幽會兩悠悠，夢牽情役幾時休？」
[名]
1.士兵。《國語．吳語》：「寡人帥不腆吳國之役，遵汶之上，不敢左右，唯好之故。」
2.事件。多指戰爭而言。如：「戰役」、「八二三之役」。《左傳．昭公五年》：「邲之役，楚無晉備，以敗於鄢。」
3.為國家所盡的義務、勞力。如：「兵役」、「服役」。
4.供差遣的人。如：「苦役」、「僕役」、「雜役」。《南史．卷七五．隱逸傳上．陶潛傳》：「汝輩幼小，家貧無役，柴水之勞，何時可免？」</t>
  </si>
  <si>
    <t>疫</t>
  </si>
  <si>
    <t>[名]
流行性或急性傳染病的總稱。如：「鼠疫」、「時疫」。唐．柳宗元〈永州龍興寺息壤記〉：「南方多疫，勞者先死。」</t>
  </si>
  <si>
    <t>抑</t>
  </si>
  <si>
    <t>[動]
1.按壓、按住。《呂氏春秋．離俗覽．適威》：「若璽之於塗也，抑之以方則方，抑之以圜則圜。」《淮南子．精神》：「病疵瘕者，捧心抑腹。」
2.壓制、扣住。如：「扶弱抑強」、「壓抑」。《禮記．學記》：「君子之教喻也，道而弗牽，強而弗抑。」《漢書．卷六八．霍光傳》：「朕以大將軍故，抑而不揚。」
3.遏止、制止。《荀子．成相》：「禹有功，抑下鴻。」《史記．卷七七．魏公子傳》：「遂乘勝逐秦軍至函谷關，抑秦兵，秦兵不敢出。」
4.俯下、低下。《晏子春秋．內篇．諫下》：「公曰：『昔仲父之霸何如？』晏子抑首而不對。」《漢書．卷四三．叔孫通傳》：「諸侍坐殿上皆伏抑首，以尊卑次起上壽。」
[形]
深沉、低沉。《楚辭．屈原．九章．惜誦》：「情沉抑而不達兮，又蔽而莫之白。」《老殘遊記》第二回：「只是到後來，全用輪指，那抑揚頓挫，入耳動心，恍若有幾十根弦，幾百個指頭，在那裡彈似的。」
[連]
1.或是、還是。表示選擇。《論語．學而》：「求之與？抑與之與？」唐．柳宗元〈答韋中立論師道書〉：「有取乎？抑其無取乎？」
2.而且。《三國志．卷三五．蜀書．諸葛亮傳》：「然操遂能克紹，以弱為強者，非惟天時，抑亦人謀也！」
3.但是、然而。表示轉折。《論語．述而》：「若聖與仁，則吾豈敢；抑為之不厭，誨人不倦，則可謂云爾已矣！」
4.則、就。《左傳．莊公六年》：「若不從三臣，抑社稷實不血食，而君焉取餘？」《國語．魯語下》：「若盟而棄魯侯，信抑闕矣。」
[助]
用於句首，無義。《左傳．昭公十三年》：「抑齊人不盟，若之何？」
[名]
《詩經．大雅》的篇名。共十二章。根據〈詩序〉：「〈抑〉，衛武公刺厲王，亦以自警也。」或亦指衛武公自責自勵之詩。首章二句為：「抑抑威儀，維德之隅。」</t>
  </si>
  <si>
    <t>邑</t>
  </si>
  <si>
    <t>[名]
1.國家。《說文解字．邑部》：「邑，國也。」《左傳．桓公十一年》：「鄖人軍其郊，必不誡，且日虞四邑之至也。」晉．杜預．注：「邑，亦國也。」
2.京城、國都。《詩經．商頌．殷武》：「商邑翼翼，四方之極。」漢．毛亨．傳：「商邑，京師也。」唐．李白〈為宋中丞請都金陵表〉：「湯及盤庚，五遷其邑。」
3.城市。如：「城邑」。《史記．卷六八．商君傳》：「衛鞅既破魏還，秦封之於、商十五邑。」
4.封地。如：「食邑」、「采邑」。《周禮．地官．載師》：「以家邑之田任稍地，以小都之田任縣地。」漢．鄭玄．注：「家邑，大夫之采地。」
5.二一四部首之一。
[副]
憂愁不安。通「悒」。《楚辭．屈原．離騷》：「忳鬱邑余侘傺兮，吾獨窮困乎此時也！」《荀子．解蔽》：「不慕往，不閔來，無邑憐之心。」</t>
  </si>
  <si>
    <t>浥</t>
  </si>
  <si>
    <t>[動]
潤溼、沾溼。唐．王維〈渭城曲〉：「渭城朝雨浥輕塵，客舍青青柳色新。」宋．陸游〈浪淘沙．綠樹暗長亭〉詞：「清淚浥羅巾，各自消魂。」
[名]
姓。如漢代有浥安。</t>
  </si>
  <si>
    <t>悒</t>
  </si>
  <si>
    <t>[動]
憂鬱不安。《楚辭．屈原．天問》：「武發殺殷何所悒？載尸集戰何所急？」
[形]
愁悶。如：「憂悒」。三國魏．曹植〈離友詩〉三首之二：「伊鬱悒兮情不怡。」</t>
  </si>
  <si>
    <t>挹</t>
  </si>
  <si>
    <t>[動]
1.舀取。《詩經．小雅．大東》：「維北有斗，不可以挹酒漿。」
2.牽引。《文選．郭璞．遊仙詩七首之三》：「左挹浮丘袖，右拍洪崖肩。」
3.謙退、退讓。《荀子．宥坐》：「富有四海，守之以謙，此所謂挹而損之之道也。」
4.推崇。通「揖」。《北史．卷三八．裴文舉傳》：「父邃，性方嚴，為州里所推挹。」</t>
  </si>
  <si>
    <t>參見「嗚唈」、「唈僾」等條。</t>
  </si>
  <si>
    <t>(二)（又音）ㄜˋ è（10291）</t>
  </si>
  <si>
    <t>裛</t>
  </si>
  <si>
    <t>[動]_x000D_
1.纏繞、包裹。漢．班固〈西都賦〉：「裛以藻繡，絡以綸連。」_x000D_
2.溼潤。通「浥」。晉．陶淵明〈飲酒詩〉二〇首之七：「秋菊有佳色，裛露掇其英。」唐．杜甫〈狂夫〉詩：「風含翠篠娟娟靜，雨裛紅蕖冉冉香。」_x000D_
3.以香氣薰衣。唐．韋莊〈和鄭拾秋日感事一百韻〉：「寶裝軍器麗，麝裛戰袍香。」</t>
  </si>
  <si>
    <t>[動]
散失。如：「佚失」、「亡佚」、「散佚」。
[形]
1.散失的。如：「佚文」、「佚書」。
2.美好的。《楚辭．屈原．離騷》：「望瑤臺之偃蹇兮，見有娀之佚女。」
3.放蕩的、放縱的。通「逸」。如：「佚樂」、「佚遊」。《漢書．卷二三．刑法志》：「忿怒傷人，男女淫佚，吏為姦臧。」
[名]
1.過失。《商君書．開塞》：「夫民之憂則思，思則出度；樂則淫，淫則生佚。」
2.姓。如春秋時鄭國有佚之狐。</t>
  </si>
  <si>
    <t>(二)ㄉㄧㄝˊ dié（02158）</t>
  </si>
  <si>
    <t>泆</t>
  </si>
  <si>
    <t>[動]
水流奔騰泛濫。通「溢」。漢．王充《論衡．效力》：「如岸狹地仰，溝洫決泆，散在丘墟矣。」北魏．酈道元《水經注．涑水注》：「惟山水暴至，雨澍潢潦奔泆。」
[形]
放蕩、荒淫。通「佚」。《左傳．隱公三年》：「驕奢淫泆，所自邪也。」《文選．傅毅．舞賦》：「天王燕胥，樂而不泆。」</t>
  </si>
  <si>
    <t>參見「昳麗」條。</t>
  </si>
  <si>
    <t>(一)ㄉㄧㄝˊ dié（02160）</t>
  </si>
  <si>
    <t>詄</t>
  </si>
  <si>
    <t>[動]
遺忘。《說文解字．言部》：「詄，忘也。」《漢書．卷二二．禮樂志》：「天門開，詄蕩蕩。」</t>
  </si>
  <si>
    <t>軼</t>
  </si>
  <si>
    <t>[動]
1.超過、超越。《楚辭．屈原．遠遊》：「軼迅風於清源兮，從顓頊乎增冰。」《文選．班固．西都賦》：「軼雲雨於太半，虹霓迴帶於棼楣。」
2.突襲、侵略。《左傳．隱公九年》：「彼徒我車，懼其侵軼我也。」晉．杜預．注：「軼，突也。」南朝宋．顏延之〈陽給事誄〉：「軼我河縣，俘我洛畿。」
[形]
1.散失的。如：「軼事」、「軼聞」、「軼詩」。
2.安適、逸樂。通「逸」。《史記．卷一一二．主父偃傳》：「日聞其美，意廣心軼。」</t>
  </si>
  <si>
    <t>參見「泄沓」、「泄泄」等條。</t>
  </si>
  <si>
    <t>(一)ㄒㄧㄝˋ xiè（06950）</t>
  </si>
  <si>
    <t>枻</t>
  </si>
  <si>
    <t>[名]
1.船槳。《集韻．去聲．祭韻》：「枻，楫謂之枻。」《楚辭．屈原．漁父》：「漁父莞爾而笑，鼓枻而去。」
2.矯正弓箭的器具。《荀子．非相》：「故君子之度己則以繩，接人則用抴。」楊倞注引韓侍郎云：「枻者檠枻也，正弓弩之器也。」</t>
  </si>
  <si>
    <t>(一)ㄔˋ chì（08216）</t>
  </si>
  <si>
    <t>靾</t>
  </si>
  <si>
    <t>[名]
韁繩。《儀禮．既夕禮》：「薦乘車，鹿淺幦，干、笮、革靾。」漢．鄭玄．注：「靾，韁也。」</t>
  </si>
  <si>
    <t>勩</t>
  </si>
  <si>
    <t>[動]
器物因磨損而失去稜角、鋒芒。《說文解宇．力部》「勩」字．清．段玉裁．注：「勩，凡物久用而勞敝曰勩。」
[形]
辛勤、勞苦。《詩經．小雅．雨無正》：「正大夫離居，莫知我勩。」漢．毛亨．傳：「勩，勞也。」唐．載叔倫〈南野〉詩：「身勩竟亡疲，團團欣在目。」</t>
  </si>
  <si>
    <t>易</t>
  </si>
  <si>
    <t>[形]
1.簡單、不困難。如：「容易」、「得來不易」。
2.平和、和藹。如：「平易近人」。《詩經．小雅．何人斯》：「爾還而入，我心易也。」
[動]
1.交換。如：「交易」、「貿易」、「以物易物」。《史記．卷八一．廉頗藺相如傳》：「秦昭王聞之，使人遺趙王書，願以十五城請易璧。」
2.改變。如：「變易」、「易容」、「移風易俗」。《易經．繫辭下》：「上古結繩而治，後世聖人易之以書契。」
3.輕視、輕慢。《左傳．襄公四年》：「戎狄荐居，貴貨易土。」《漢書．卷八六．王嘉傳》：「二千石益輕賤，吏民慢易之。」
4.治理。《孟子．盡心上》：「易其田疇，薄其稅斂，民可使富也。」
[名]
1.《易經》的簡稱。《論語．述而》：「五十以學《易》，可以無大過矣。」《漢書．卷八八．儒林傳．丁寬傳》：「梁項生從田何受《易》，時寬為項生從者。」
2.姓。如春秋時代齊國有易牙。</t>
  </si>
  <si>
    <t>埸</t>
  </si>
  <si>
    <t>[名]
1.田界。《詩經．小雅．信南山》：「疆埸翼翼，黍稷彧彧。」漢．毛亨．傳：「埸，畔也。」
2.邊境。如：「邊埸」。《左傳．成公十三年》：「鄭人怒君之疆埸，我文公帥諸侯及秦圍鄭。」</t>
  </si>
  <si>
    <t>蜴</t>
  </si>
  <si>
    <t>佾</t>
  </si>
  <si>
    <t>[名]
古代樂舞的行列。行數、人數縱橫皆相同。舞蹈用佾的多少，代表地位等級的不同，天子八佾、諸侯六、大夫四、士二。《論語．八佾》：「八佾舞於庭，是可忍也，孰不可忍也。」</t>
  </si>
  <si>
    <t>[動]
1.及、延及。《詩經．大雅．皇矣》：「施于孫子。」《左傳．隱公元年》：「穎考叔純孝也，愛其母，施及莊公。」
2.移動、變化。《荀子．儒效》：「若夫充虛之相施易也。」唐．楊倞．注：「施，讀曰移。」《史記．卷一〇三．萬石君傳》：「劍，人之所施易，獨至今乎？」</t>
  </si>
  <si>
    <t>(一)ㄕ shī（08691）(三)ㄧˊ yí（10510）</t>
  </si>
  <si>
    <t>[名]
人名用字。如漢代有酈食其，音讀為（ㄌㄧˋ ㄧˋ ㄐㄧ）。</t>
  </si>
  <si>
    <t>(一)ㄕˊ shí（08713）(二)ㄙˋ sì（09973）</t>
  </si>
  <si>
    <t>羿</t>
  </si>
  <si>
    <t>[名]
人名。相傳為古代善射之人，是夏朝時有窮國的國君，不修民事，後為寒浞所殺。也稱為「后羿」。</t>
  </si>
  <si>
    <t>翊</t>
  </si>
  <si>
    <t>[副]
飛翔的樣子。《說文解字．羽部》：「翊，飛貌。」《漢書．卷二二．禮樂志》：「神之徠，泛翊翊，甘露降，慶雲集。」
[形]
第二的。《漢書．卷九九．王莽傳上》：「越若翊辛丑者，諸生、庶民大和會，十萬眾並集。」宋．蘇軾〈富鄭公神道碑〉：「會翊日有瘳，故緩其事。」
[動]
輔助。如：「匡翊」、「輔翊」。《晉書．卷三五．裴秀傳》：「呂望翊周，蕭張佐漢。」</t>
  </si>
  <si>
    <t>翌</t>
  </si>
  <si>
    <t>[形]
1.次的、第二的。如：「翌年」。《漢書．卷六．武帝紀》：「翌日親登嵩高，御史乘屬，在廟旁吏卒咸聞呼萬歲者三。」
2.光耀的、顯赫的。《晉書．卷二〇．禮志中》：「昔周康王始登翌室，猶戴冕臨朝。」《文選．左思．魏都賦》：「顯仁翌明，藏用玄默。」</t>
  </si>
  <si>
    <t>[動]
1.漲、漫出。為「溢」之本字。清．王筠《說文釋例．卷四．形聲之美》：「益從水，而溢又加水，然水祇可在皿中，而益之意，即兼有氾溢之意。」《呂氏春秋．慎大覽．察今》：「澭水暴益，荊人弗知。」
2.增加。如：「進益」、「延年益壽」。《左傳．襄公二十六年》：「子木懼，言諸王，益其祿爵而復之。」《呂氏春秋．不苟論．貴當》：「其友皆孝悌純謹畏令，如此者，其家必日益，身必日榮矣。」
3.幫助、補助。如：「助益」。《呂氏春秋．光識覽．觀世》：「與我齊者，吾不與處，無益我者也。」《戰國策．秦策二》：「出私金以益公賞。」
[名]
1.好處。如：「利益」、「收益」。《書經．大禹謨》：「滿招損，謙受益。」唐．李白〈贈韋祕書子春〉詩二首之一：「苟無濟代心，獨善亦何益。」
2.姓。如漢代有益強。
[形]
1.有好處的。如：「益友」、「益處」。
2.富饒。《史記．卷一二九．殖貨傳》：「七十子之徒，賜最為饒益。」
[副]
更加。如：「精益求精」。《孟子．梁惠王下》：「如水益深，如火益熱。」</t>
  </si>
  <si>
    <t>(二)（又音）ㄧˊ yí（10538）</t>
  </si>
  <si>
    <t>溢</t>
  </si>
  <si>
    <t>[動]
1.液體漫出外流。《禮記．王制》：「雖有凶旱水溢，民無菜色。」《新唐書．卷九七．魏徵傳》：「是歲，大雨，穀、洛溢，毀宮寺十九，漂居人六百家。」
2.泛指外流、流失。《二十年目睹之怪現狀》第九四回：「現在我們中國所用的全是墨西哥銀圓，利權外溢，莫此為甚！」
3.流露、充滿。如：「熱情洋溢」。《文選．陸機．文賦》：「文徽徽以溢目，音泠泠而盈耳。」
[副]
過分、過度。如：「溢美」。漢．桓寬《鹽鐵論．錯幣》：「故人主積其食，守其用，制其有餘，調其不足，禁溢羨，厄利塗，然後百姓可家給人足也。」南朝宋．鮑照〈征北世子誕育上疏〉：「不勝殊歡溢喜，謹奉表以聞。」
[名]
量詞。古代計算重量的單位。二十兩為一溢。通「鎰」。《戰國策．秦策一》：「白壁百雙，黃金萬溢。」漢．高誘．注：「萬溢，萬金也。二十兩為一溢也。」</t>
  </si>
  <si>
    <t>[名]
咽喉、喉嚨。《穀梁傳．昭公十九年》：「哭泣歠飦粥，嗌不容粒。」</t>
  </si>
  <si>
    <t>(二)ㄞˋ ài（10335）</t>
  </si>
  <si>
    <t>螠</t>
  </si>
  <si>
    <t>[名]
螠蟲動物門的總稱。屬於蠕形動物、環蟲類。體形呈圓筒狀，可自由伸縮，前端稍細為吻，尾端肛門附近，生輪狀剛毛。體腔廣大，體表有皺摺。為雌雄異體，常棲息於海底岩隙間或濱海泥沙之中。</t>
  </si>
  <si>
    <t>縊</t>
  </si>
  <si>
    <t>[動]
用繩索勒緊脖子而死亡。如：「縊死」、「自縊」。《左傳．桓公十三年》：「莫敖縊于荒谷，群帥囚于治父。」</t>
  </si>
  <si>
    <t>謚</t>
  </si>
  <si>
    <t>[形]
笑的樣子。《玉篇．言部》：「謚，笑貌。」</t>
  </si>
  <si>
    <t>(二)ㄕˋ shì（▲08778）</t>
  </si>
  <si>
    <t>鎰</t>
  </si>
  <si>
    <t>[名]
量詞。古代計算重量的單位。以二十兩或二十四兩為「一鎰」。《孟子．梁惠王下》：「今有璞玉於此，雖萬鎰，必使玉人雕琢之。」漢．趙岐．注：「二十兩為鎰。」《文選．左思．吳都賦》：「器用萬端，金鎰磊砢。」李善注引劉逵曰：「金二十四兩為鎰。」</t>
  </si>
  <si>
    <t>鷁</t>
  </si>
  <si>
    <t>[名]
1.一種水鳥。《左傳．僖公十六年》：「六鷁退飛過宋都，風也。」晉．杜預．注：「鷁，水鳥。」南朝梁．沈約〈郊居賦〉：「其水禽則大鴻小雁，天狗澤虞，秋鷖寒鶒，修鷁短鳧。」
2.參見「鷁首」條。</t>
  </si>
  <si>
    <t>參見「無射」條。</t>
  </si>
  <si>
    <t>(一)ㄕㄜˋ shè（08838）(二)ㄕˊ shí（08719）(四)ㄧㄝˋ yè（10766）</t>
  </si>
  <si>
    <t>液</t>
  </si>
  <si>
    <t>(一)（語音）ㄧㄝˋ yè（10759）</t>
  </si>
  <si>
    <t>掖</t>
  </si>
  <si>
    <t>(一)（語音）ㄧㄝˋ yè（10760）(三)ㄧㄝ yē（10740）</t>
  </si>
  <si>
    <t>腋</t>
  </si>
  <si>
    <t>(一)（語音）ㄧㄝˋ yè（10762）</t>
  </si>
  <si>
    <t>[動]
種植。同「藝」。《說文解字．󷆟部》：「埶，種也。……《詩》曰我埶黍稷。」
[名]
技能。同「藝」。《集韻．去聲．祭韻》：「埶，一曰技能也。或作藝。」</t>
  </si>
  <si>
    <t>(二)ㄕˋ shì（08762）</t>
  </si>
  <si>
    <t>蓺</t>
  </si>
  <si>
    <t>[動]
種植。通「藝」。《詩經．齊風．南山》：「蓺麻如之何？衡從其畝。」
[名]
才能。《史記．卷三三．魯周公世家》：「旦巧能，多才多蓺，能事鬼神。」</t>
  </si>
  <si>
    <t>藝</t>
  </si>
  <si>
    <t>[名]
1.才能、技術。如：「工藝」、「技藝」。《書經．金縢》：「予仁若考，能多材多藝，能事鬼神。」
2.古時稱禮、樂、射、御、書、數等六種教育科目為「六藝」；又稱《詩》、《書》、《易》、《禮》、《樂》、《春秋》等六種儒家的經典為「六藝」。《禮記．學記》：「不興其藝，不能樂學。」漢．鄭玄．注：「藝謂禮、樂、射、御、書、數。」
3.文章。如：「時藝」、「藝祖」。《魏書．卷八四．儒林列傳．常爽》：「頃因暇日，屬意藝林，略撰所聞，討論其本，名曰《六經略注》以訓門徒焉。」
4.限度。《國語．晉語八》：「及桓子驕泰奢侈，貪慾無藝。」
5.姓。如元代有藝元。
[動]
種植。通「蓺」。《書經．酒誥》：「妹土嗣爾股肱，純其藝黍稷，奔走事厥考厥長。」《孟子．滕文公上》：「后稷教民稼穡、樹藝五穀。」</t>
  </si>
  <si>
    <t>囈</t>
  </si>
  <si>
    <t>[動]
說夢話。《列子．周穆王》：「眠中啽囈呻呼，徹旦息焉。」</t>
  </si>
  <si>
    <t>襼</t>
  </si>
  <si>
    <t>[名]
衣袖。《文選．潘岳．藉田賦》：「躡踵側肩，掎裳連襼。」《新唐書．卷八八．劉文靜傳》：「誠能投天會機，奮襼大呼，則四海不足定也。」</t>
  </si>
  <si>
    <t>異</t>
  </si>
  <si>
    <t>[形]_x000D_
1.特別的、不平常的。如：「異士」、「異術」。《史記．卷六七．仲尼弟子列傳．序》：「孔子曰：『受業身通者七十有七人。』皆異能之士也。」《後漢書．卷五八．虞傅蓋臧列傳．臧洪》：「洪體貌魁梧，有異姿。」_x000D_
2.另外的、其他的。《呂氏春秋．士容論．上農》：「農不敢行，賈不敢為異事。」唐．王維〈九月九日憶山東兄弟〉詩：「獨在異鄉為異客，每逢佳節倍思親。」_x000D_
3.不同的。如：「異口同聲」。《書經．旅獒》：「王乃昭德之致於異姓之邦，無替厥服。」唐．盧照鄰〈南陽公集序〉：「異議蜂起，高談不息。」_x000D_
[動]_x000D_
1.分開。《禮記．曲禮上》：「群居五人，則長者必異席。」《史記．卷六八．商君列傳》：「民有二男以上不分異者，倍其賦。」_x000D_
2.奇怪。《後漢書．卷四四．鄧張徐張胡列傳．徐防》：「防體貌矜嚴，占對可觀，顯宗異之。」晉．陶淵明〈桃花源記〉：「忽逢桃花林，夾岸數百步，中無雜樹，芳草鮮美，落英繽紛，漁人甚異之。」_x000D_
[名]_x000D_
1.怪異的事物。如：「標新立異」。《公羊傳．隱公三年》：「己巳，日有食之，何以書，記異也？」_x000D_
2.姓。如唐代有異牟尋。</t>
  </si>
  <si>
    <t>廙</t>
  </si>
  <si>
    <t>[名]
可以移動的帳幕。見《說文解字．广部》「廙」字．清．段玉裁．注。
[形]
恭敬。《廣韻．去聲．志韻》：「廙，恭也，敬也。」</t>
  </si>
  <si>
    <t>翼</t>
  </si>
  <si>
    <t>[名]
1.翅膀。如：「蟬翼」、「鳥翼」。《易經．明夷．初九》：「明夷于飛，垂其翼。」《戰國策．楚策四》：「王獨不見夫蜻蛉乎，六足四翼，飛翔乎天地之間。」
2.分布於左右兩側的軍隊。《史記．卷八一．廉頗藺相如傳》：「李牧多為奇陳，張左右翼擊之，大破殺匈奴十餘萬騎。」
3.船。《文選．張協．七命》：「爾乃浮三翼，戲中沚。」
4.地名。春秋時晉邑，故城約在今大陸地區山西省翼城縣東南。
5.姓。如漢代有翼奉。
[動]
1.輔助。《書經．益稷謨》：「予欲左右有民，汝翼。」《禮記．文王世子》：「保也者，慎其身以輔翼之，而歸諸道者也。」
2.掩蔽、保護。《詩經．大雅．生民》：「誕寘之寒冰，鳥覆翼之。」《漢書．卷一．高帝紀上》：「項伯亦起舞，常以身翼蔽沛公。」
[形]
1.恭謹。《詩經．小雅．六月》：「有嚴有翼，共武之服。」《論語．鄉黨》：「沒階趨進，翼如也。」
2.第二的、次的。通「翌」。《書經．武成》：「越翼日，癸巳。」</t>
  </si>
  <si>
    <t>逸</t>
  </si>
  <si>
    <t>[動]
1.逃亡、逃跑。《說文解字．兔部》：「逸，失也，兔謾訑善逃也。」《左傳．桓公八年》：「隨師敗績，隨侯逸。」《北史．卷六．齊高祖神武帝本紀》：「見一赤兔，每搏輒逸。」
2.奔跑。《國語．晉語五》：「馬逸不能止，三軍從之。」三國吳．韋昭．注：「逸，奔也。」
3.散失。《書經．胤征》：「天吏逸德，烈于猛火。」
4.釋放。《左傳．成公十六年》：「明日復戰，乃逸楚囚。」
[形]
1.放蕩的。《戰國策．楚策四》：「專淫逸侈靡，不顧國政，郢都必危矣。」
2.隱逸的。如：「逸老」。《漢書．卷一〇．成帝紀》：「故官無廢事，下無逸民。」
3.超群的、超絕的。如：「逸才」。《老殘遊記》第一〇回：「六七八段，間以曼衍，愈轉愈清，其調愈逸。」
4.快速的。《後漢書．卷五二．崔駰傳》：「故英人乘斯時也，猶逸禽之赴深林。」
5.舒適、安樂。《詩經．小雅．十月之交》：「民莫不逸，我獨不敢休。」
[名]
1.隱士。《北史．卷三一．高允傳》：「帝乃虛求，搜賢採逸，巖隱投竿，異人並出。」唐．李白〈夜泊黃山聞殷十四吳吟〉：「朝來果是滄洲逸，酤酒提盤飯霜栗。」
2.過失。《書經．盤庚上》：「予亦拙謀，作乃逸。」漢．孔安國．傳：「逸，過也。」</t>
  </si>
  <si>
    <t>義</t>
  </si>
  <si>
    <t>[名]_x000D_
1.合宜的事情。《論語．為政》：「見義不為，無勇也。」《淮南子．齊俗》：「為義者，布施而德。」_x000D_
2.正道、正理。《孟子．公孫丑上》：「其為氣也，配義與道，無是餒也。」_x000D_
3.死節、殉難。《禮記．禮運》：「故國有患，君死社稷謂之義。」《宋史．卷四五〇．忠義傳五．尹穀傳》：「尹務實，男子也，先我就義矣。」_x000D_
4.法則。《呂氏春秋．孟春紀．貴公》：「無偏無頗，遵王之義。」_x000D_
5.意思。如：「意義」、「字義」。漢．孔安國〈尚書序〉：「以所聞伏生之書，考論文義，定其可知者，為隸古定。」_x000D_
6.功用。《左傳．昭公三十一年》：「故君子動則思禮，行則思義，不為利回，不為義疚。」_x000D_
7.姓。如漢代有義縱。_x000D_
[形]_x000D_
1.合於正義的。如：「義民」、「義婦」、「義舉」。《書經．康誥》：「汝陳時臬事，罰蔽殷彞，用其義刑義殺，勿庸以次汝封。」_x000D_
2.用來周濟公眾的。如：「義莊」、「義塾」、「義舍」。《三國志．卷八．魏書．張魯傳》：「諸祭酒皆作義舍，如今之亭傳。」_x000D_
3.假的，有其名而非真、非親的。如：「義父」、「義子」、「義肢」、「義齒」。</t>
  </si>
  <si>
    <t>議</t>
  </si>
  <si>
    <t>[動]
1.討論、商量。如：「協議」、「商議」。《書經．周官》：「學古入官，議事以制，政乃不迷。」
2.評論是非。如：「議論」。《論語．季氏》：「天下有道，則庶人不議。」唐．張說〈開元正歷握乾符頌〉：「斗水不能評巨壑之量，隙光未足議大明之體。」
3.指責。《韓非子．內儲說上》：「今邯鄲之去魏也遠於市，議臣者過於三人，願王察之。」
4.選擇、斟酌。《儀禮．有司》：「乃議侑于賓以異姓，宗人戒侑，侑出俟于廟門之外。」漢．鄭玄．注：「議，猶擇也。」《國語．周語中》：「故聖人之施舍也議之，其喜怒取與亦議之。」
[名]
1.言論。如：「博采眾議」。《呂氏春秋．孟秋紀．懷寵》：「凡君子之說也，非苟辨也，士之議也，非苟語也。」
2.文體名。用以論說事理、陳述作者意見的文章。如：「奏議」、「駁議」。</t>
  </si>
  <si>
    <t>意</t>
  </si>
  <si>
    <t>[名]
1.意思。《易經．繫辭上》：「書不盡言，言不盡意。」唐．杜牧〈答莊充書〉：「是意能遣辭，辭不能成意，大抵為文之旨如此。」
2.見解、看法。唐．柳宗元〈桐葉封弟辨〉：「周公曰：『天子不可戲。』乃封小弱弟於唐。吾意不然。」
3.私念、成見。《論語．子罕》：「子絕四：毋意、毋必、毋固、毋我。」
4.情趣。如：「春意」、「醉意」。南朝梁．劉勰《文心雕龍．神思》：「登山則情滿於山，觀海則意溢於海。」唐．杜甫〈登兗州城樓〉詩：「從來多古意，臨眺獨躊躇。」
5.情感。唐．杜甫〈送李校書二十六韻〉：「臨岐意頗切，對酒不能喫。」唐．劉禹錫〈竹枝詞〉九首之二：「花紅易衰似郎意，水流無限似儂愁。」
6.願望。如：「稱心如意」。《呂氏春秋．仲冬紀．長見》：「申侯伯善持養吾意，吾所欲，則先我為之。」
7.內心、胸襟。《漢書．卷一．高帝紀上》：「寬仁愛人，意豁如也。」
8.姓。如明代有意秀。
[動]
1.懷疑。《韓非子．存韓》：「為計而使諸侯有意伐之心，至殆也。」《漢書．卷四七．文三王傳．梁孝王劉武傳》：「於是天子意梁，逐賊，果梁使之。」
2.猜測、推測。如：「出其不意」。《莊子．胠篋》：「夫妄意室中之藏，聖也。」《管子．小問》：「君子善謀而小人善意。」
3.考慮。《詩經．小雅．正月》：「終踰絕險，曾是不意。」《禮記．王制》：「意論輕重之序，慎測淺深之量，以別之。」
[副]
或。通「抑」。《墨子．明鬼下》：「豈女為之與？意鮑為之與？」《莊子．盜跖》：「知不足邪？意知而力不能行邪？」</t>
  </si>
  <si>
    <t>億</t>
  </si>
  <si>
    <t>[形]
安寧。《說文解字．人部》：「億，安也。」《左傳．昭公二十一年》：「故和聲入於耳而藏於心，心億則樂。」
[名]
數目字。萬的萬倍。如：「十億人口」。
[動]
預料、推測。通「臆」。《論語．先進》：「賜不受命而貨殖焉，億則屢中。」</t>
  </si>
  <si>
    <t>憶</t>
  </si>
  <si>
    <t>[動]
1.想念、思念。如：「長相憶」、「追憶」。唐．賈島〈寄山中王參〉詩：「別來千餘日，日日憶不歇。」宋．陸游〈和高子長參議道中二絕〉之一：「梁州四月晚鶯啼，共憶扁舟罨畫谿。」
2.記得。《梁書．卷八．昭明太子傳》：「讀書數行並下，過目皆憶。」唐．元稹〈連昌宮詞〉：「弄權宰相不記名，依稀憶得楊與李。」</t>
  </si>
  <si>
    <t>[動]
吃飽後，胃裡的氣體因阻鬱而上升，並且發出聲音。《黃帝內經素問．卷二二．至真要大論》：「飲食不下，鬲咽不通，食則嘔，腹脹善噫。」
[歎]
1.表示悲哀、傷痛的語氣。《論語．先進》：「顏淵死，子曰：『噫！天喪予！天喪予！』」
2.表示驚嘆的語氣。同「咦」。如：「噫！你怎麼在這裡？」
3.心不平所發的聲音。《論語．子張》：「子夏聞之曰：『噫！言游過矣。』」</t>
  </si>
  <si>
    <t>(二)（又音）ㄧ yī（10507）</t>
  </si>
  <si>
    <t>檍</t>
  </si>
  <si>
    <t>[名]
一種樹木，材質堅硬，可作弓。《爾雅．釋木》：「杻，檍。」晉．郭璞．注：「似棣，細葉，葉新生可飼牛，材中車輞，關西呼杻子，一名土橿。」</t>
  </si>
  <si>
    <t>薏</t>
  </si>
  <si>
    <t>[名]
1.蓮子中心的胚芽，味甚苦。《爾雅．釋草》：「荷，芙蕖，……，其實蓮，其根藕，其中的，的中薏。」邢昺疏引陸璣曰：「的中有青為薏，味甚苦。」
2.參見「薏苡」條。</t>
  </si>
  <si>
    <t>臆</t>
  </si>
  <si>
    <t>[名]
胸膛、懷抱。如：「胸臆」。唐．杜甫〈哀江頭〉詩：「人生有情淚沾臆，江水江花豈終極？」
[副]
主觀的、私心猜測的。如：「臆度」、「臆想」、「臆測」。宋．蘇軾〈石鐘山記〉：「事不目見耳聞，而臆斷其有無可乎？」</t>
  </si>
  <si>
    <t>癔</t>
  </si>
  <si>
    <t>參見「癔病」條。</t>
  </si>
  <si>
    <t>繶</t>
  </si>
  <si>
    <t>[名]
用絲編成的絲帶。《儀禮．士冠禮》：「玄端黑屨，青絇繶純。」南朝梁．沈約〈皇雅〉詩：「青絇黃金繶，袞衣文繡裳。」</t>
  </si>
  <si>
    <t>鐿</t>
  </si>
  <si>
    <t>[名]
（ytterbium，Yb）化學元素。原子序70。稀土金屬元素之一。白色粉末狀物，有金屬光澤，具延展性。與水反應極慢，遇酸易溶。可供特製合金用。</t>
  </si>
  <si>
    <t>鷾</t>
  </si>
  <si>
    <t>[名]
鷾鴯：燕子。唐．陸德明《經典釋文．卷二七．莊子音義中》：「或云鷾鴯，燕也。」</t>
  </si>
  <si>
    <t>詣</t>
  </si>
  <si>
    <t>[動]
1.拜訪、進見上級或長輩。晉．陶淵明〈桃花源記〉：「及郡下，詣太守，說如此。」南朝宋．劉義慶《世說新語．文學》：「何平叔注《老子》，始成，詣王輔嗣。」
2.到、前往。《漢書．卷六七．楊王孫傳》：「王孫苦疾，僕迫從上祠雍，未得詣前。」唐．顏師古．注：「詣，至也。」唐．李賀〈感諷〉詩五首之一：「不因使君怒，焉得詣爾廬。」
[名]
學業或技能所到達的程度、境界。如：「造詣」。南朝宋．劉義慶《世說新語．文學》：「諸葛厷，年少不肯學問，始與王夷甫談，便已超詣。」</t>
  </si>
  <si>
    <t>肄</t>
  </si>
  <si>
    <t>[動]
1.學習。如：「肄業」。《禮記．曲禮下》：「君命大夫與士肄。」《續漢書志．第五．禮儀志中》：「兵、官皆肄孫、吳兵法六十四陣，名曰乘之。」
2.勞苦。《書經．顧命》：「昔君文王武王，宣重光，奠麗陳教則肄。」
[名]
1.勞苦的事情。《詩經．邶風．谷風》：「有洸有潰，既詒我肄。」
2.嫩枝。《詩經．周南．汝墳》：「遵彼汝墳，伐其條肄。」
3.後裔。《左傳．襄公二十九年》：「晉國不恤周宗之闕，而夏肄是屏。」</t>
  </si>
  <si>
    <t>[動]
偵探、伺察。《說文解字．㚔部》：「睪，司視也。令吏將目捕罪人也。」</t>
  </si>
  <si>
    <t>(二)ㄍㄠ gāo（03995）</t>
  </si>
  <si>
    <t>懌</t>
  </si>
  <si>
    <t>[形]
喜悅。《史記．卷八一．廉頗藺相如傳》：「於是秦王不懌，為一擊缶。」唐．柳宗元〈憂箴〉：「憂不可常，常則誰懌？」</t>
  </si>
  <si>
    <t>嶧</t>
  </si>
  <si>
    <t>[名]
參見「嶧山」條。
[形]
山勢連綿不斷的樣子。《爾雅．釋山》：「屬者嶧，獨者蜀。」宋．邢昺．疏：「言山形相連屬，駱驛然不絕者名嶧。」</t>
  </si>
  <si>
    <t>圛</t>
  </si>
  <si>
    <t>[動]
紆迴行走。《說文解字．囗部》：「圛，回行也。」
[形]
雲氣稀疏連綿的樣子。《說文解字．囗部》：「〈商書〉曰圛，圛者，升雲半有半無。」</t>
  </si>
  <si>
    <t>燡</t>
  </si>
  <si>
    <t>[形]
1.火盛的樣子。《廣韻．入聲．昔韻》：「燡，火甚之貌。」
2.光明的樣子。《文選．王延壽．魯靈光殿賦》：「汨磑磑以璀璨，赫燡燡而爥坤。」</t>
  </si>
  <si>
    <t>[動]
厭倦、討厭。《詩經．魯頌．泮水》：「戎車孔博，徒御無斁。」晉．傅玄〈桑椹賦〉：「嘉味殊滋，食之無斁。」</t>
  </si>
  <si>
    <t>(二)ㄉㄨˋ dù（02305）</t>
  </si>
  <si>
    <t>繹</t>
  </si>
  <si>
    <t>[動]
1.抽引絲。《說文解字．糸部》：「繹，抽絲也。」
2.理出頭緒，推究事理。如：「尋繹」、「演繹」。《詩經．周頌．賚》：「敷時繹思，我徂維求定。」
3.陳述。《書經．君陳》：「庶言同則繹。」漢．孔安國．傳：「眾言同則陳而布之。」《禮記．射義》：「射之為言者繹也，或曰舍也。繹者，各繹己之志也。」
[副]
連續不斷。參見「絡繹」條。</t>
  </si>
  <si>
    <t>譯</t>
  </si>
  <si>
    <t>[動]
1.將一種語言文字，轉換為另一種語言文字，使人易於瞭解。清．王念孫《廣雅疏證．卷三．釋詁》：「譯，見也。」疏證：「見者，著見之義，謂傳宣言語使相通曉也。」唐．白居易〈蘇州重元寺法華院石壁經碑文〉：「以華言唐文譯刻釋氏經典，自經品眾佛號以降字加金焉。」
2.解釋。《魏書．卷一一四．釋老志》：「後有天竺沙門曇柯迦羅入洛，宣譯戒律，中國誡律之始也。」唐．柳宗元〈天對〉：「盡邑以墊，孰譯彼夢？」</t>
  </si>
  <si>
    <t>醳</t>
  </si>
  <si>
    <t>[名]
醇酒。《集韻．入聲．昔韻》：「醳，醇酒也。」《梁書．卷八．昭明太子傳》：「摛文掞藻，飛觴汎醳。」
[動]
賞賜酒食。《史記．卷九二．淮陰侯傳》：「百里之內，牛酒日至，以饗士大夫醳兵。」唐．司馬貞．索隱：「醳酒，謂以酒食養兵士也。」</t>
  </si>
  <si>
    <t>驛</t>
  </si>
  <si>
    <t>[名]
1.古代供傳遞公文或官員來往使用的馬。唐．白居易〈寄隱者〉詩：「道逢馳驛者，色有非常懼。」
2.古代供傳送公文的人或往來官員換馬、暫時休息的地方。唐．岑參〈武威送劉單判官赴安西行營便呈高開府〉詩：「寒驛遠如點，邊烽互相望。」宋．陸游〈憶昔〉詩：「憶昔輕裝萬里行，水郵山驛不論程。」</t>
  </si>
  <si>
    <t>嫕</t>
  </si>
  <si>
    <t>[形]
柔順。《晉書．卷三一．后妃傳上．武悼楊皇后傳》：「婉嫕有婦德，美暎椒房，甚有寵。」</t>
  </si>
  <si>
    <t>瞖</t>
  </si>
  <si>
    <t>[名]
一種眼珠為白膜所蒙蔽，以致無法看清東西的眼疾。《玉篇．目部》：「瞖，眼疾也。」宋．梅堯臣〈別張景嵩〉詩：「猶能洗君目，病瞖雲銷岑。」</t>
  </si>
  <si>
    <t>[名]
1.用羽毛製成的車蓋。《說文解字．羽部》：「翳，華蓋也。」《晉書．卷二五．輿服志》：「戎車，駕四馬，天子親戎所乘者也。載金鼓、羽旗、幢翳。」
2.供作蔽覆的東西。《管子．小匡》：「九合諸侯，一匡天下，甲不解壘，兵不解翳。」唐．曹松〈碧角簟〉詩：「八尺碧天無點翳，一方青玉絕纖塵。」
3.一種瞳孔為白膜所蒙蔽，以致無法看清東西的眼疾。宋．蘇軾〈贈眼醫王生彥若〉詩：「運鍼如運斤，去翳如拆屋。」
[動]
1.隱藏、隱居。《文選．左思．詠史詩八首之七》：「陳平無產業，歸來翳負郭。」《三國志．卷一一．魏書．管寧傳》：「寧抱道懷貞，潛翳海隅。」
2.遮蔽。《楚辭．劉向．九歎．遠逝》：「阜隘狹而幽險兮，石嵾嵯以翳日。」唐．劉禹錫〈磨鏡篇〉：「流塵翳明鏡，歲久看如漆。」
3.摒棄。《國語．周語下》：「而又奪之資，以益其災，是去其藏而翳其人也。」《新唐書．卷一五六．李元諒傳》：「元諒培高浚淵，身執苦與士卒均，菑翳榛莽，闢美田數十里。」</t>
  </si>
  <si>
    <t>(二)（又音）ㄧ yī（10492）</t>
  </si>
  <si>
    <t>蘙</t>
  </si>
  <si>
    <t>[形]
草木茂盛的樣子。《集韻．去聲．霽韻》：「蘙，艸茂貌。」《文選．郭璞．江賦》：「標之以翠蘙，泛之以遊菰。」
[動]
遮蔽。宋．梅堯臣〈和石昌言學士官舍十題．葵花〉詩：「此心生不背朝日，肯信眾草能蘙之。」</t>
  </si>
  <si>
    <t>熠</t>
  </si>
  <si>
    <t>[形]
光耀、明亮。《說文解字．火部》：「熠，盛光也。」如：「熠熤」、「繁星熠熠」。《詩經．豳風．東山》：「倉庚于飛，熠燿其羽。」漢．鄭玄．箋：「熠燿其羽，羽鮮明也。」</t>
  </si>
  <si>
    <t>毅</t>
  </si>
  <si>
    <t>[形]
1.堅定、果決。《說文解字．殳部》：「毅，有決也。」如：「剛毅」、「果毅」。《論語．泰伯》：「士不可以不弘毅，任重而道遠。」三國魏．何晏．集解：「毅，強而能斷也。」
2.嚴厲。《韓非子．內儲說上》：「子貢曰：『棄灰之罪輕，斷手之罰重，古人何太毅也？』」《新唐書．卷一二四．宋璟傳》：「歷杭、相二州，政清毅，吏下無敢犯者。」</t>
  </si>
  <si>
    <t>藙</t>
  </si>
  <si>
    <t>[名]
芸香科「食茱萸」，即「茱萸」之果實，用為辛香料，可入藥。明．李時珍《本草綱目．卷三二．果部．食茱萸》：「時珍曰：『此即欓子也。蜀人呼為艾子，楚人呼為辣子，古人謂之藙及樧子。』」也稱為「紅刺蔥」。</t>
  </si>
  <si>
    <t>[名]
1.應有的道理或原則。通「義」。《漢書．卷三三．魏豹傳》：「其誼必立魏王後乃可。」《文選．張衡．思玄賦》：「願竭力以守誼兮，雖貧窮而不改。」
2.交情。如：「友誼」、「鄉誼」、「深情厚誼」。南朝梁．江淹〈傷友人賦〉：「余結誼兮梁門，復從官兮朱藩。」
[動]
評論是非。通「議」。《漢書．卷五六．董仲舒傳》：「故舉賢良方正之士，論誼考問。」</t>
  </si>
  <si>
    <t>(二)（又音）ㄧˊ yí（10536）</t>
  </si>
  <si>
    <t>瘞</t>
  </si>
  <si>
    <t>[動]
掩埋。唐．李洞〈斃驢〉詩：「蹇驢秋斃瘞荒田，忍把敲吟舊竹鞭。」《聊齋志異．卷九．愛奴》：「夫人未出閣時，便從服役，夭殂瘞此。」</t>
  </si>
  <si>
    <t>瘱</t>
  </si>
  <si>
    <t>[形]
1.文靜、柔順。《漢書．卷九七．外戚傳下．孝平王皇后傳》：「太后時年十八矣，為人婉瘱有節操。」
2.深邃。《文選．王襃．洞簫賦》：「其妙聲，則清靜厭瘱，順敘卑迖，若孝子之事父也。」</t>
  </si>
  <si>
    <t>殪</t>
  </si>
  <si>
    <t>[動]
1.死亡。《楚辭．屈原．九歌．國殤》：「凌余陣兮躐余行，左驂殪兮右刃傷。」
2.殺。《詩經．小雅．吉日》：「發彼小豝，殪此大兕。」《遼史．卷七七．耶律屋質傳》：「我戰不克，先殪此曹。」
3.盡、滅絕。《左傳．宣公六年》：「使疾其民，以盈其貫，將可殪也。」三國魏．劉廙〈謝劉表牋〉：「門戶殪滅，取笑明哲。」
4.仆倒、跌倒。《墨子．明鬼下》：「（杜伯）追周宣王，射之車上，中心折脊，殪車中，伏弢而死。」《後漢書．卷一．光武帝紀上》：「莽兵大潰，走者相騰踐，奔殪百餘里間。」</t>
  </si>
  <si>
    <t>曀</t>
  </si>
  <si>
    <t>[形]
1.天色陰暗。《詩經．邶風．終風》：「終風且曀，不日有曀。」宋．陸游〈冬日感興十韻〉：「霧雨天昏曀，陂湖地阻深。」
2.泛指昏暗不明。《晉書．卷一九．禮志上》：「孔子自衛反魯，跡三代之典，垂百王之訓，時無明后，道曀不行。」</t>
  </si>
  <si>
    <t>豷</t>
  </si>
  <si>
    <t>[動]
豬隻喘氣。《說文解字．豕部》：「豷，豕息也。」
[名]
人名。夏朝寒浞的兒子。《左傳．襄公四年》：「寒浞殺羿，因其室生子澆及豷。」</t>
  </si>
  <si>
    <t>饐</t>
  </si>
  <si>
    <t>[動]
食物腐壞變味。漢．王充《論衡．商蟲》：「穀蟲曰蠱，蠱若蛾矣，粟米饐熱生蠱。」</t>
  </si>
  <si>
    <t>懿</t>
  </si>
  <si>
    <t>[形]_x000D_
1.美好、美善的。《詩經．大雅．烝民》：「民之秉彞，好是懿德。」唐．白居易〈除裴度中書舍人制〉：「以茂學懿文，潤色訓詁，體要典麗，甚得其宜。」_x000D_
2.深。《詩經．豳風．七月》：「女執懿筐，遵彼微行，爰求柔桑。」漢．王延壽〈魯靈光殿賦〉：「屹鏗瞑以勿罔，屑黶翳以懿濞。」_x000D_
[動]_x000D_
稱頌、讚美。漢．班固〈幽通賦〉：「懿前烈之純淑兮，窮與達其必濟。」《新唐書．卷二〇五．列女列傳．于敏直妻張》：「高宗懿其行，賜物百段，以狀屬史官。」_x000D_
[歎]_x000D_
表示悲痛感嘆的語氣。通「噫」。《詩經．大雅．瞻卬》：「懿厥哲婦，為梟為鴟。」_x000D_
[名]_x000D_
《詩經．大雅》的篇名。通「抑」。參見「懿戒」條。</t>
  </si>
  <si>
    <t>鷧</t>
  </si>
  <si>
    <t>[名]
鶿鷧：動物名。鳥綱鵜形目。善潛水捕魚。也稱為「鸕鶿」。參見「鸕鶿」條。</t>
  </si>
  <si>
    <t>劓</t>
  </si>
  <si>
    <t>[動]
1.古代割去鼻子的刑罰。《戰國策．楚策》：「王曰：『悍哉！』令劓之，無使逆命。」《新唐書．卷二一六．吐蕃傳上》：「其刑，雖小罪必抉目，或刖、劓。」
2.比喻鏟除、去除。《北史．卷一二．隋恭帝本紀》：「誅鋤骨肉，屠劓忠良。」明．無名氏《運甓記》第三九齣：「奸雄既劓，跨荊湘榮專一隅。」</t>
  </si>
  <si>
    <t>寱</t>
  </si>
  <si>
    <t>[動]
說夢話。《說文解字．㝱部》：「寱，瞑言。」</t>
  </si>
  <si>
    <t>䆿</t>
  </si>
  <si>
    <t>[名]
夢話。《廣韻．去聲．祭韻》：「䆿，睡語。」</t>
  </si>
  <si>
    <t>鶂</t>
  </si>
  <si>
    <t>[名]
一種水鳥。《玉篇．鳥部》：「鶂，水鳥，善高飛。」</t>
  </si>
  <si>
    <t>鷊</t>
  </si>
  <si>
    <t>[名]
雞形目吐綬雞科兩種鳥類的統稱。俗稱為「火雞」。體高三尺餘。羽色隨品種而異，頭部有瘤疣。雄者喉下垂紅色肉瓣，會發出咕嘍的聲音。今臺灣及大陸地區閩、粵等省多飼以供肉食用。也稱為「吐綬雞」。</t>
  </si>
  <si>
    <t>丫</t>
  </si>
  <si>
    <t>ㄧㄚ</t>
  </si>
  <si>
    <t>yā</t>
  </si>
  <si>
    <t>[名]
物體末端分叉的地方。如：「樹丫」、「腳丫子」。</t>
  </si>
  <si>
    <t>[助]
1.表示驚嘆。如：「媽呀！」、「真的呀！」、「好險呀！」
2.表示疑問。如：「你要去呀？」、「這件事你怎麼不學呀？」
3.表示肯定。如：「是呀！」、「對呀！」
[歎]
1.表示感嘆的語氣。如：「哎呀！完蛋了。」元．馬致遠《漢宮秋》第三折：「呀！俺向著這迥野悲涼，草已添黃，色早迎霜。」
2.表示驚訝的語氣。如：「呀！下大雨了。」、「呀！我忘記把門關上。」元．關漢卿《竇娥冤》第三折：「呀！真個下雪了，有這等異事？」
[擬]
形容開門聲或叫喊聲。《西遊記》第一回：「只聽得呀的一聲，洞門開處，裡面走出一個仙童。」《兒女英雄傳》第七回：「她父女夫妻一見，呀的一聲，就攜手大哭起來。」</t>
  </si>
  <si>
    <t>(二)ㄒㄧㄚ xiā（06882）</t>
  </si>
  <si>
    <t>雅</t>
  </si>
  <si>
    <t>[名]
一種鳥。即鴉。《說文解字．隹部》：「雅，楚烏也。……秦謂之鴉。」</t>
  </si>
  <si>
    <t>(一)ㄧㄚˇ yǎ（10718）</t>
  </si>
  <si>
    <t>鴉</t>
  </si>
  <si>
    <t>[名]_x000D_
鴉科的通稱。其嘴大，翼長，腳有力，純黑者稱為「烏」，背灰者稱為「鴉」。常見的有烏鴉、寒鴉等。_x000D_
[形]_x000D_
色黑如鴉羽。如：「鴉青」、「鴉鬢」、「鴉髻」。</t>
  </si>
  <si>
    <t>押</t>
  </si>
  <si>
    <t>[動]
1.以財物作為保證，抵借財物。如：「抵押」、「典押」、「早上借擴音器時，把學生證押在視聽中心了。」《紅樓夢》第七二回：「把我那個金項圈拿出去，暫且押四百兩銀子。」
2.拘留。《水滸傳》第五三回：「取一面大枷釘了，押下大牢裡去。」
3.跟隨看管。《老殘遊記》第二〇回：「將許吳二人都用繩子縛了，陶三押著解到歷城縣衙門口來。」
4.掌管。《新唐書．卷四七．百官志二》：「（中書舍人）以六員分押尚書六曹，佐宰相判案。」《遼史．卷五一．禮志四》：「宣徽使押殿前班起居畢，捲班。」
5.壓制、擱置。如：「公文押在他手裡。」
6.下賭注。如：「押寶」。</t>
  </si>
  <si>
    <t>(二)ㄧㄚˊ yá（10711）</t>
  </si>
  <si>
    <t>鴨</t>
  </si>
  <si>
    <t>[名]
動物名。鳥綱雁形目。嘴扁平，足短，趾間有蹼，善游水，但兩翼小，不能高飛。可分為家鴨、野鴨兩種。普通家鴨多為白色，野鴨為雜色。</t>
  </si>
  <si>
    <t>亞</t>
  </si>
  <si>
    <t>[名]
物體的分歧部分。明．張自烈《正字通．二部》：「亞，趙古則曰：『物之岐者曰亞。』俗作丫、椏。」</t>
  </si>
  <si>
    <t>(一)ㄧㄚˋ yà（10725）(二)（(一)之又音）ㄧㄚˇ yǎ（10719）</t>
  </si>
  <si>
    <t>[擬]
1.形容烏鴉之類的叫聲。《廣韻．去聲．禡韻》：「啞啞，鳥聲。」《淮南子．原道》：「故夫烏之啞啞，鵲之唶唶，豈嘗為寒暑燥溼變其聲哉。」唐．李白〈烏夜啼〉詩：「黃雲城邊烏欲棲，歸飛啞啞枝上啼。」
2.形容小兒學說話的聲音。《集韻．平聲．麻韻》：「啞，啞嘔，小兒學言。」
[助]
語助詞。同「呀」。《西遊記》第二一回：「我爺啞！好大蚊子！一口就叮了一個大疙疸！」</t>
  </si>
  <si>
    <t>(一)ㄧㄚˇ yǎ（10721）(三)ㄜˋ è（10293）</t>
  </si>
  <si>
    <t>椏</t>
  </si>
  <si>
    <t>[名]
分歧而出的樹枝。如：「枝椏」。唐．皮日休〈寂上人院聯句〉：「經笥安巖匼，琤嫕挂樹椏。」</t>
  </si>
  <si>
    <t>壓</t>
  </si>
  <si>
    <t>[動]
1.由上往下施加力量。如：「壓垮」、「泰山壓頂」。
2.用武力或威勢制止、驅策他人。如：「鎮壓」、「欺壓」、「別拿你的大帽子壓我！」《公羊傳．文公十四年》：「子以大國壓之，則未知齊、晉孰有之也。」
3.迫近、逼迫。如：「大軍壓境」。《水滸傳》第九一回：「衛州左孟門，右太行，南濱大河，西壓上黨，地當衝要。」
4.使情況穩定。如：「他剛吃下藥，才把咳嗽壓下來。」
5.擱置不動。如：「積壓公文」。
6.超越、勝過。元．馬致遠《青衫淚》第二折：「你文章勝賈浪仙，詩篇壓孟浩然，不能勾侍君王在九間朝殿。」《紅樓夢》第八二回：「但凡家庭之事，不是東風壓了西風，就是西風壓了東風。」
[名]
壓力的簡稱。如：「氣壓」、「血壓」、「電壓」、「眼壓」。</t>
  </si>
  <si>
    <t>牙</t>
  </si>
  <si>
    <t>ㄧㄚˊ</t>
  </si>
  <si>
    <t>yá</t>
  </si>
  <si>
    <t>[名]
1.人或動物口腔中，用來研磨、咀嚼食物的器官。如：「門牙」、「齒牙動搖」。
2.象牙的簡稱。南朝宋．鮑照〈代淮南王〉詩二首之一：「琉璃藥碗牙作盤，金鼎玉匕合神丹。」《新唐書．卷二二二．南蠻傳下．驃傳》：「去節無爪，以蠟實首，上加師子頭，以牙為之。」
3.買賣時居中的介紹人。如：「牙人」、「牙郎」、「牙商」、「牙婆」、「牙行」。《水滸傳》第三七回：「兄弟張順，他卻如今自在江州做賣魚牙子。」
4.官署、衙門。《資治通鑑．卷二〇七．唐紀二十三．中宗神龍元年》：「北門、南牙，同心協力，以誅凶豎。」
5.二一四部首之一。
[動]
咬。《戰國策．秦策三》：「投之一骨，輕起相牙者，何則？有爭意也。」漢．高誘．注：「牙，言以牙相噬。」</t>
  </si>
  <si>
    <t>犽</t>
  </si>
  <si>
    <t>[名]
1.一種野獸。似獾而尾長。《玉篇．犬部》：「犽，獸名。似獾也。」《集韻．去聲．禡韻》：「犽，獸名。似獾，長尾。」
2.中國古代少數民族之一。個性溫順善良。</t>
  </si>
  <si>
    <t>枒</t>
  </si>
  <si>
    <t>[名]
一種樹木。即椰子樹。《說文解字．木部》：「枒，木也。」《文選．左思．蜀都賦》：「其樹則有木蘭梫桂，杞櫹椅桐，棕枒楔樅。」
[形]
參見「枒杈」條。</t>
  </si>
  <si>
    <t>芽</t>
  </si>
  <si>
    <t>[名]
1.植物初生的苗。如：「豆芽」、「麥芽」、「嫩芽」。唐．白居易〈種桃歌〉：「食桃種其核，一年核生芽。」宋．辛棄疾〈鷓鴣天．陌上柔桑初破芽〉詞：「陌上柔桑初破芽，東鄰蠶種已生些。」
2.形狀像芽的東西。如：「肉芽」、「銀芽」。
3.姓。如春秋時鄒有芽亶。
[動]
1.發芽。宋．歐陽修〈重贈劉原父〉詩：「而今春物已爛漫，念昔草木冰未芽。」
2.開始、發生。漢．蔡邕〈釋誨〉：「神疾其邪，利端始萌，害漸以芽。」晉．江統〈函谷關賦〉：「遏姦宄于未芽，殿邪偽于萌漸。」</t>
  </si>
  <si>
    <t>蚜</t>
  </si>
  <si>
    <t>參見「蚜蟲」條。</t>
  </si>
  <si>
    <t>齖</t>
  </si>
  <si>
    <t>[形]
牙齒不平正的樣子。《玉篇．六鞳》：「齖，齒不平。」</t>
  </si>
  <si>
    <t>[動]
在公文、契約或供詞上簽署。《水滸傳》第六回：「次早，清長老陞法座，押了法帖，委智深管菜園。」《初刻拍案驚奇》卷一〇：「待敝友們都押了花字，一同作個見證。」
[名]
在文件或簿冊上所簽的名字或符號，以用作證明。如：「畫押」、「簽押」。《紅樓夢》第一二回：「他兩個作好作歹，只寫了五十兩銀子，畫了押。」</t>
  </si>
  <si>
    <t>(一)ㄧㄚ yā（10699）</t>
  </si>
  <si>
    <t>涯</t>
  </si>
  <si>
    <t>[名]
1.水邊。《書經．微子》：「今殷其淪喪，若涉大水，其無津涯。」漢．王充《論衡．驗符》：「廬江皖侯國，民際有湖。皖民小男，曰陳爵陳挺，年皆十歲以上，相與釣於湖涯。」
2.邊際。《文選．古詩十九首．行行重行行》：「相去萬餘里，各在天一涯。」
3.極限。《莊子．養生主》：「吾生也有涯，而知也無涯，以有涯隨無涯，殆已。」宋．蘇軾〈答李方叔〉：「某以虛名過實，士大夫不察，責望逾涯。」</t>
  </si>
  <si>
    <t>睚</t>
  </si>
  <si>
    <t>[名]
眼眶，眼睛的周邊。說文新附．目部：「睚，目際也。」</t>
  </si>
  <si>
    <t>(二)（又音）ㄧㄞˊ yái（10787）</t>
  </si>
  <si>
    <t>衙</t>
  </si>
  <si>
    <t>[名]
1.古代官吏辦理公務的地方。如：「官衙」、「縣衙」、「衙門」。《聊齋志異．卷一〇．胭脂》：「鼓動衙開，巍然高坐。」
2.唐代天子處理政務的前殿。《舊唐書．卷一六．穆宗本紀》：「群臣始朝於宣政衙。」唐．元稹〈連昌宮詞〉：「蛇出燕巢盤鬥栱，菌生香案正當衙。」
3.依次排列成行的事物。宋．程垓〈烏夜啼．牆外雨肥梅子〉詞：「春盡難憑燕語，日長惟有蜂衙。」明．高濂《玉簪記》第一四齣：「蜂衙蝶陣，鬧嚷嚷也都只為著傷春。」
4.姓。如漢代有衙謹卿。</t>
  </si>
  <si>
    <t>(二)ㄩˊ yú（11568）</t>
  </si>
  <si>
    <t>ㄧㄚˇ</t>
  </si>
  <si>
    <t>yǎ</t>
  </si>
  <si>
    <t>[名]
雅的古字。《說文解字．疋部》：「疋，古文以為詩大雅字。」</t>
  </si>
  <si>
    <t>(一)ㄆㄧˇ pǐ（00849）(三)ㄕㄨ shū（09046）</t>
  </si>
  <si>
    <t>厊</t>
  </si>
  <si>
    <t>庌</t>
  </si>
  <si>
    <t>[名]
1.馬廄。《說文解字．广部》：「庌，廡也。」清．段玉裁．注：「廡，所以庇馬涼也。」
2.大廳、廳堂。《廣韻．上聲．馬韻》：「庌，廳也。」清．張惠言〈祭金先生文〉：「掉頭庌廡，壼奧獨闢。」
3.路旁供來往賓客歇宿的房舍。《周禮．地官．遺人》「凡國野之道，十里有廬，廬有飲食」句下唐．賈公彥．疏：「庌也者，……漢時野路候迎賓客之處，皆有庌舍，與廬相似。」</t>
  </si>
  <si>
    <t>[名]_x000D_
1.《詩經》體裁之一。於天子諸侯朝會宴饗時歌誦。有〈大雅〉、〈小雅〉之分。_x000D_
2.交情、情誼。《漢書．卷八五．谷永傳》：「質薄學朽，無一日之雅，左右之介。」《警世通言．卷二五．桂員外途窮懺悔》：「我與君交雖不深，然幼年曾有同窗之雅。」_x000D_
3.姓。如明代有雅琥。_x000D_
[形]_x000D_
1.正。《論語．述而》：「子所雅言，《詩》、《書》、執《禮》，皆雅言也。」_x000D_
2.高尚的、不俗的。漢．王充《論衡．四諱》：「夫田嬰俗父；而田文雅子也。」唐．王勃〈滕王閣序〉：「都督閻公之雅望，棨戟遙臨。」_x000D_
3.美好。《文選．陸雲．為顧彥先贈婦詩二首之一》：「雅步擢纖腰，巧笑發皓齒。」《北史．卷三三．李順傳》：「希遠弟希宗，字景玄。性寬和，儀貌雅麗，有才學。」_x000D_
[副]_x000D_
1.向來。《史記．卷八．高祖本紀》：「雍齒雅不欲屬沛公，及魏招之。」_x000D_
2.很、甚。南朝梁．劉勰《文心雕龍．鎔裁》：「士龍思劣，而雅好清省。」《聊齋志異．卷一．青鳳》：「孝兒亦倜儻，傾吐間，雅相愛悅。」_x000D_
3.對他人的敬稱。如：「雅教」、「雅鑒」、「雅穆」。</t>
  </si>
  <si>
    <t>(二)ㄧㄚ yā（10697）</t>
  </si>
  <si>
    <t>(一)ㄧㄚˋ yà（10725）(三)ㄧㄚ yā（10701）</t>
  </si>
  <si>
    <t>掗</t>
  </si>
  <si>
    <t>[動]
取。《西遊記》第五〇回：「果然那鍋裡氣騰騰的，煮了半鍋乾飯。就把缽盂往裡一掗，滿滿的掗了一缽盂。」</t>
  </si>
  <si>
    <t>(一)ㄧㄚˋ yà（10726）</t>
  </si>
  <si>
    <t>[名]_x000D_
人或動物因生理缺陷或疾病而喪失語言的功能。如：「聾啞」。《史記．卷八六．刺客列傳．豫讓》：「豫讓又漆身為厲，吞炭為啞。」_x000D_
[副]_x000D_
發音枯竭。如：「嗓子喊啞了。」_x000D_
[形]_x000D_
1.形容聲音枯澀、低沉不圓潤。如：「沙啞」、「說了一整天，聲音有點嘶啞。」_x000D_
2.不說話、沒聲音的。如：「啞鈴」、「啞劇」。</t>
  </si>
  <si>
    <t>(二)ㄧㄚ yā（10702）(三)ㄜˋ è（10293）</t>
  </si>
  <si>
    <t>氬</t>
  </si>
  <si>
    <t>[名]_x000D_
（argon，Ar）化學元素。原子序18。鈍氣元素之一，是無色、無味、無臭的氣體，存在於空氣中，且不易與其他元素化合。充入電燈泡或真空管中，通電後可發生藍色亮光。</t>
  </si>
  <si>
    <t>圠</t>
  </si>
  <si>
    <t>ㄧㄚˋ</t>
  </si>
  <si>
    <t>yà</t>
  </si>
  <si>
    <t>參見「坱圠」條。</t>
  </si>
  <si>
    <t>[動]
覆蓋。《說文解字．襾部》：「襾，覆也。」
[名]
二一四部首之一。</t>
  </si>
  <si>
    <t>(二)（又音）ㄒㄧㄚˋ xià（06912）</t>
  </si>
  <si>
    <t>[動]
1.次於。《國語．吳語》：「乃退就幕而會，吳公先歃，晉侯亞之。」南朝宋．劉義慶《世說新語．識鑒》：「諸葛道明初過江左，自名道明，名亞王、庾之下。」
2.輸、低、較差。如：「他的歌唱技巧不亞於你。」
3.相同、相等。《後漢書．卷四〇．班彪傳上》：「節慕原、嘗，名亞春、陵。」《南史．卷七二．顏協傳》：「時吳郡顧協亦在蕃邸，與協同名，才學相亞，府中稱為二協。」
4.掩。宋．蔡伸〈如夢令．人靜重門深亞〉詞：「人靜重門深亞，朱閣畫簾高掛。」《董西廂》卷一：「幾間寮舍，半亞朱扉。」
[形]
次一等的、第二的。如：「亞軍」、「亞熱帶」、「亞聖」。
[名]
1.亞洲的簡稱。如：「歐亞大陸」、「亞太影展」。
2.姊妹丈夫的互稱。通「婭」。《詩經．小雅．節南山》：「瑣瑣姻亞，則無膴仕。」漢．毛亨．傳：「兩婿相謂曰亞。」</t>
  </si>
  <si>
    <t>(二)（(一)之又音）ㄧㄚˇ yǎ（10719）(三)ㄧㄚ yā（10701）</t>
  </si>
  <si>
    <t>[動]
1.搖動。《水滸傳》第一三回：「左陣急先鋒索超兜住馬，掗著金蘸斧，立馬在陣前。」
2.別人不要而硬要把東西給別人。《醒世恆言．卷三．賣油郎獨占花魁》：「將銀子掗在秦重袖內，推他轉身。」
3.把持。參見「掗把」條。</t>
  </si>
  <si>
    <t>(二)ㄧㄚˇ yǎ（10720）</t>
  </si>
  <si>
    <t>婭</t>
  </si>
  <si>
    <t>[名]
姊妹丈夫間的互稱。《玉篇．女部》：「婭，姻婭也。」《新唐書．卷一二八．李傑傳》：「尚衣奉御長孫昕素惡傑，遇于道，內恃玄宗婭婿，與所親楊仙玉共毆辱之。」</t>
  </si>
  <si>
    <t>錏</t>
  </si>
  <si>
    <t>化學元素。銨的舊譯。</t>
  </si>
  <si>
    <t>[動]
1.碾壓。《說文解字．車部》：「軋，輾也。」唐．李賀〈夢天〉詩：「玉輪軋露濕團光，鸞珮相逢桂香陌。」
2.排擠。如：「傾軋」。</t>
  </si>
  <si>
    <t>(二)ㄍㄚˊ gá（03914）(三)ㄓㄚˊ zhá（07617）</t>
  </si>
  <si>
    <t>迓</t>
  </si>
  <si>
    <t>[動]
1.迎接。《左傳．成公十三年》：「及侯麗而還，迓晉侯于新楚。」《宋史．卷一六四．韓世忠傳》：「於是召梁氏入，封安國夫人，俾迓世忠，速其勤王。」
2.抵禦、迎擊。《書經．牧誓》：「弗迓克奔，以役西土。」</t>
  </si>
  <si>
    <t>砑</t>
  </si>
  <si>
    <t>[動]
1.碾壓。《集韻．去聲．禡韻》：「砑，碾也。」《西遊記》第七四回：「從東往西一滾，只怕四五萬砑做肉泥爛醬。」
2.用力軋磨，使器物光滑。明．吳偉業〈臨江仙．落拓江湖常載酒〉詞：「燈前纔一笑，偷解砑羅裙。」</t>
  </si>
  <si>
    <t>訝</t>
  </si>
  <si>
    <t>[動]
1.驚奇、驚異。如：「驚訝」、「訝異」。《新唐書．卷九三．李勣傳》：「使至，高祖訝無表，使者以意聞。」
2.迎接。通「迓」。《儀禮．聘禮》：「厥明，訝賓于館。」</t>
  </si>
  <si>
    <t>御</t>
  </si>
  <si>
    <t>[動]
迎接。《詩經．召南．鵲巢》：「之子于歸，百兩御之。」漢．鄭玄．箋：「御，迎也。」《楚辭．屈原．離騷》：「飄風屯其相離兮，帥雲霓而來御。」</t>
  </si>
  <si>
    <t>(一)ㄩˋ yù（11689）</t>
  </si>
  <si>
    <t>聐</t>
  </si>
  <si>
    <t>[動]
痴呆而不能聽受。《集韻．入聲．黠韻》：「聐，顟聐，痴不能聽。」</t>
  </si>
  <si>
    <t>揠</t>
  </si>
  <si>
    <t>[動]
拔起。《孟子．公孫丑上》：「宋人有閔其苗之不長而揠之者，芒芒然歸。」《新唐書．卷一三六．李光弼傳》：「光弼以范陽本賊巢窟，當先取之，揠賊根本。」</t>
  </si>
  <si>
    <t>猰</t>
  </si>
  <si>
    <t>參見「猰貐」條。</t>
  </si>
  <si>
    <t>齾</t>
  </si>
  <si>
    <t>[名]
1.缺齒。《說文解字．齒部》：「齾，缺齒。」
2.野獸吃剩的東西。《廣韻．入聲．曷韻》：「齾，獸食之餘。」
3.器物的缺損。唐．韓愈、孟郊〈征蜀聯句〉：「更呼相簸蕩，交斫雙缺齾。」</t>
  </si>
  <si>
    <t>唷</t>
  </si>
  <si>
    <t>ㄧㄛ</t>
  </si>
  <si>
    <t>yō</t>
  </si>
  <si>
    <t>參見「哼唷」條。</t>
  </si>
  <si>
    <t>耶</t>
  </si>
  <si>
    <t>ㄧㄝ</t>
  </si>
  <si>
    <t>yē</t>
  </si>
  <si>
    <t>[名]
譯音用字。如：「耶穌」、「耶和華」。</t>
  </si>
  <si>
    <t>(一)ㄧㄝˊ yé（10745）</t>
  </si>
  <si>
    <t>[動]
塞、藏。《紅樓夢》第九七回：「黛玉點點頭兒，掖在袖裡。」《兒女英雄傳》第五回：「也算多剩了兩個大錢，掖在耳朵眼兒裡。」</t>
  </si>
  <si>
    <t>(一)（語音）ㄧㄝˋ yè（10760）(二)（讀音）ㄧˋ yì（10638）</t>
  </si>
  <si>
    <t>噎</t>
  </si>
  <si>
    <t>[動]
1.食物塞住咽喉，氣透不過來。如：「因噎廢食」、「慢點吃，別噎著了。」《詩經．王風．黍離》：「行邁靡靡，中心如噎。」
2.遮蔽、蔽塞。《管子．度地》：「夏有大露，原煙噎下百草。」《三國志．卷五八．吳書．陸遜傳》：「城門噎不得關，敵乃自斫殺己民，然後得闔。」</t>
  </si>
  <si>
    <t>ㄧㄝˊ</t>
  </si>
  <si>
    <t>yé</t>
  </si>
  <si>
    <t>[助]
1.用於句末，表示疑問或感嘆的語氣。同「耶」。《莊子．養生主》：「弟子曰：『非夫子之友邪？』」《史記．卷六一．伯夷傳》：「儻所謂天道，是邪？非邪？」
2.參見「邪呼」、「邪許」條。</t>
  </si>
  <si>
    <t>(一)ㄒㄧㄝˊ xié（06931）(二)（(一)之又音）ㄒㄧㄚˊ xiá（06890）(四)ㄩˊ yú（11569）(五)ㄒㄩˊ xú（07283）</t>
  </si>
  <si>
    <t>琊</t>
  </si>
  <si>
    <t>參見「瑯琊」條。</t>
  </si>
  <si>
    <t>釾</t>
  </si>
  <si>
    <t>[名]
父親俗稱為「耶」。同「爺」。唐．杜甫〈兵車行〉：「耶孃妻子走相送，塵埃不見咸陽橋。」宋．王安石〈高魏留〉詩：「邂逅得歸耶戰死，母隨人去亦蕭然。」
[助]
表示疑問語氣。相當於「呢」、「嗎」。《戰國策．趙策三》：「十人而從一者，寧力不勝，智不若耶？」宋．范仲淹〈岳陽樓記〉：「是進亦憂，退亦憂，然則何時而樂耶？」</t>
  </si>
  <si>
    <t>(二)ㄧㄝ yē（10739）</t>
  </si>
  <si>
    <t>揶</t>
  </si>
  <si>
    <t>參見「揶揄」條。</t>
  </si>
  <si>
    <t>椰</t>
  </si>
  <si>
    <t>參見「椰子」條。</t>
  </si>
  <si>
    <t>爺</t>
  </si>
  <si>
    <t>[名]
1.稱謂：(1)用以稱父親。南朝梁．無名氏〈木蘭詩〉二首之一：「願為市鞍馬，從此替爺征。」(2)對長輩或主人的尊稱。如：「老爺」、「少爺」、「大爺」。《紅樓夢》第二〇回：「一個作爺的，還賴我們這幾個錢，連我也不在眼裡！」
2.對神明的稱呼。如：「老天爺」、「財神爺」。</t>
  </si>
  <si>
    <t>[名]
終南山的山谷，在今大陸地區陝西省褒城縣東北。《文選．班固．西都賦》：「右界褒斜，隴首之險。」李善注引《梁州記》曰：「萬石城泝漢上七里有褒谷，南口曰褒，北口曰斜，長四百七十里。」</t>
  </si>
  <si>
    <t>(一)ㄒㄧㄝˊ xié（06941）(二)（(一)之又音）ㄒㄧㄚˊ xiá（06900）</t>
  </si>
  <si>
    <t>歋</t>
  </si>
  <si>
    <t>[動]
嘲弄、輕笑。《說文解字．欠部》：「歋，人相笑相歋瘉。」</t>
  </si>
  <si>
    <t>擨</t>
  </si>
  <si>
    <t>[動]
擨歈：嘲弄、輕笑。《玉篇．手部》：「擨，擨歈，輕笑貌。」《集韻．平聲．麻韻》：「擨擨歈，舉手相弄。」</t>
  </si>
  <si>
    <t>也</t>
  </si>
  <si>
    <t>ㄧㄝˇ</t>
  </si>
  <si>
    <t>yě</t>
  </si>
  <si>
    <t>[助]
1.表示判斷或肯定的語氣。如：「是不為也，非不能也。」《史記．卷一．五帝本紀》：「舜，冀州之人也。」
2.表示疑問的語氣。如：「何也？」、「孰可忍，孰不可忍也？」清．薛福成〈觀巴黎油畫院記〉：「此畫果真邪？幻也？」
3.表示感嘆的語氣。如：「悲也！」《左傳．成公二年》：「惜也！不如多與之邑。」
4.用來引起下文。《左傳．襄公三十一年》：「子產之從政也，擇能而使之。」《孟子．離婁下》：「地之相去也，千有餘里。」
5.數事並舉而論時用。《禮記．中庸》：「天地之道，博也，厚也，高也，明也，悠也，久也。」
6.置於句中，以調整音節語氣。如：「你再也休提。」元．蕭德祥《殺狗勸夫》第二折：「可不道一部笙歌出入隨，抵多少水盡也鵝飛。」
7.表示或者、還是。元．李文蔚《燕青博魚》第三折：「姦夫在那裡？姓張姓李？姓趙姓王？可是長也矮，瘦也胖？」《水滸傳》第四〇回：「你見我府裡那個門子，卻是多少年紀？或是黑瘦也白淨肥胖？」
8.用於句中，表示停頓語氣。《論語．先進》：「柴也愚，參也魯。」唐．柳宗元〈黔之驢〉：「形之龐也類有德。」
[副]
1.同樣。如：「我懂，你也懂。」、「這個問題我也碰過。」
2.強調兩事並列。如：「客人中也有坐車的，也有走路的。」《紅樓夢》第八回：「也不至於太冷落，也不至於太熱鬧了。」
3.表示強調。如：「一點也不」、「再也不敢」、「連爸媽也樂得開懷大笑。」
4.表示轉折。《紅樓夢》第二回：「如今外面的架子雖未甚倒，內囊卻也盡上來了。」
5.表示委婉、讓步。如：「這樣也好！」、「也只好如此了！」</t>
  </si>
  <si>
    <t>冶</t>
  </si>
  <si>
    <t>[動]
1.鎔鑄金屬。如：「冶金」、「冶鐵」。唐．李嶠〈寶劍篇〉：「吳山開，越溪涸，三金合冶成寶鍔。」
2.造就、培養。如：「陶冶性情」。
[名]
1.從事鎔鑄的工匠。《禮記．學記》：「良冶之子，必學為裘。」《墨子．節用中》：「凡天下群百工，輪車鞼匏，陶冶梓匠，使各從事其所能。」
2.姓。如春秋時衛有冶廑。
[形]
美麗、妖媚。如：「冶豔」、「妖冶」。《荀子．非相》：「鄉曲之儇子，莫不美麗姚冶。」</t>
  </si>
  <si>
    <t>埜</t>
  </si>
  <si>
    <t>[名]
1.野的古字。《玉篇．土部》：「埜，古文野。」
2.姓。如明代有埜佑。</t>
  </si>
  <si>
    <t>野</t>
  </si>
  <si>
    <t>[名]
1.郊外。《書經．武成》：「歸馬于華山之陽，放牛于桃林之野。」唐．柳宗元〈捕蛇者說〉：「永州之野產異蛇，黑質而白章。」
2.廣平的地方。《呂氏春秋．季秋紀．審己》：「稼生於野而藏於倉，稼非有欲也。」《三國志．卷三五．蜀書．諸葛亮傳》：「益州險塞，沃野千里。」
3.界限、地域。如：「分野」、「視野」。《淮南子．原道》：「上游於霄雿之野，下出於無垠之門。」
4.民間。《書經．大禹謨》：「君子在野，小人在位。」《三國志．卷四二．蜀書．郤正傳》：「故君臣協美於朝，黎庶欣戴於野。」
[形]
1.質樸。《論語．雍也》：「質勝文則野，文勝質則史。」唐．柳宗元〈柳宗直西漢文類序〉：「首紀殷周之前，其文簡而野。」
2.粗鄙無禮、放縱不馴。如：「粗野」、「撒野」。《左傳．宣公四年》：「諺曰：『狼子野心。』是乃狼也，其可畜乎？」《禮記．仲尼燕居》：「敬而不中禮謂之野，恭而不中禮謂之給。」
3.野生而未經人工栽培或馴養的。如：「野菜」、「野菊」、「野牛」、「野馬」。
4.非正式的。如：「野錄」、「野乘」、「野史」。
[副]
非常、很。如：「朔風野大」。</t>
  </si>
  <si>
    <t>ㄧㄝˋ</t>
  </si>
  <si>
    <t>yè</t>
  </si>
  <si>
    <t>(一)（語音）ㄧˋ yì（10597）</t>
  </si>
  <si>
    <t>(一)（語音）ㄓㄨㄞˋ zhuài（08068）(三)ㄓㄨㄞ zhuāi（08066）</t>
  </si>
  <si>
    <t>夜</t>
  </si>
  <si>
    <t>[名]
1.從天黑到天亮之間的一段時間。如：「夜以繼日」、「夙興夜寐」。《左傳．莊公七年》：「夏四月辛卯夜，恆星不見。」
2.姓。如漢代有夜龍。
[形]
昏暗的。漢．王符《潛夫論．讚學》：「是故索物於夜室者，莫良於火。」唐．盧照鄰〈同崔錄事哭鄭員外〉詩：「夜臺無曉箭，朝奠有虛尊。」
[動]
夜行。唐．蘇味道〈正月十五夜〉詩：「金吾不禁夜，玉漏莫相催。」</t>
  </si>
  <si>
    <t>[名]
流質。如：「唾液」、「汁液」、「血液」、「溶液」。</t>
  </si>
  <si>
    <t>(二)（讀音）ㄧˋ yì（10637）</t>
  </si>
  <si>
    <t>[動]
1.用手攙扶人的手臂。《左傳．僖公二十五年》：「衛人伐邢，二禮從國子巡城，掖以赴外，殺之。」
2.扶持、幫助。如：「扶掖」、「獎掖」。《宋史．卷三一九．歐陽修傳》：「篤於朋友，生則振掖之，死則調護其家。」
[名]
胳肢窩。通「腋」。《史記．卷六八．商君傳》：「千羊之皮，不如一狐之掖。」
[形]
旁邊的。如：「掖垣」、「掖門」、「掖庭」。《三國演義》第一一七回：「諸葛瞻指揮兩掖兵衝出，直撞入魏陣中。」</t>
  </si>
  <si>
    <t>(二)（讀音）ㄧˋ yì（10638）(三)ㄧㄝ yē（10740）</t>
  </si>
  <si>
    <t>㖡</t>
  </si>
  <si>
    <t>[動]
鳥夜鳴。宋．陸佃《埤雅．卷七．釋鳥．鶌鳩》：「凡鳥朝鳴曰嘲，夜鳴曰㖡。」</t>
  </si>
  <si>
    <t>[名]
1.肩膀和手臂交接的地方。《晉書．卷五六．江統傳》：「害起肘腋，疢篤難療。」俗稱為「胳肢窩」。
2.旁邊。明．徐弘祖《徐霞客遊記．卷三上．粵西遊日記一》：「由溪橋度而西，上嶺，有瀑布在其左腋，其上峻極。」
3.動物翅膀或前腿內側和胸部相連的地方。《史記．卷一一七．司馬相如傳》：「弓不虛發，中必決眥，洞胸達腋，絕乎心繫，獲若雨獸，揜草蔽地。」</t>
  </si>
  <si>
    <t>(二)（讀音）ㄧˋ yì（10639）</t>
  </si>
  <si>
    <t>抴</t>
  </si>
  <si>
    <t>[動]
1.牽引。《說文解字．手部》：「抴，捈也。」清．段玉裁．注：「抴與曳音義皆同，〈檀弓〉『負手曳杖』，《釋文》『曳作抴，俗刻誤從木，非也。』」
2.連綴。《史記．卷一一七．司馬相如列傳》：「垂旬始以為幓兮，抴彗星而為髾。」
[名]
船槳。</t>
  </si>
  <si>
    <t>[名]_x000D_
1.紙張。如：「活頁」、「冊頁」。_x000D_
2.二一四部首之一。_x000D_
[量]_x000D_
計算書籍文件面數的單位。如：「我看了三頁書。」</t>
  </si>
  <si>
    <t>(一)ㄒㄧㄝˊ xié（06932）</t>
  </si>
  <si>
    <t>咽</t>
  </si>
  <si>
    <t>[形]
聲音悲淒滯塞。如：「嗚咽」。唐．李白〈憶秦娥．簫聲咽〉詞：「簫聲咽，秦娥夢斷秦樓月。」
[動]
阻塞、填塞。《洛陽伽藍記．卷三．景明寺》：「車騎填咽，繁衍相傾。」唐．李端〈宿深上人院聽遠泉〉詩：「斷續來方盡，潺湲咽又通。」</t>
  </si>
  <si>
    <t>(一)ㄧㄢ yān（10940）(二)ㄧㄢˋ yàn（11023）</t>
  </si>
  <si>
    <t>參見「射干」、「僕射」等條。</t>
  </si>
  <si>
    <t>(一)ㄕㄜˋ shè（08838）(二)ㄕˊ shí（08719）(三)ㄧˋ yì（10636）</t>
  </si>
  <si>
    <t>殗</t>
  </si>
  <si>
    <t>[形]
1.微病的樣子。唐．陸龜蒙〈幽居賦〉：「時牽殗殜，自把渠疏。」清．袁枚〈祭妹文〉：「後雖小差，猶尚殗殜。」
2.重疊的樣子。《文選．左思．吳都賦》：「攢柯挐莖，重葩殗葉。」唐．李善．注：「殗，重也，葉重疊貌。」</t>
  </si>
  <si>
    <t>[形]
聲音幽噎嘶啞。漢．王充《論衡．氣壽》：「兒生號啼之聲，鴻朗高暢者壽，嘶喝溼下者夭。」《後漢書．卷四五．張酺傳》：「被矢貫咽，音聲流喝。」</t>
  </si>
  <si>
    <t>(一)ㄏㄜ hē（04719）(二)ㄏㄜˋ hè（04760）</t>
  </si>
  <si>
    <t>(一)ㄏㄜˋ hè（04762）</t>
  </si>
  <si>
    <t>謁</t>
  </si>
  <si>
    <t>[名]_x000D_
1.名片。《說文解字．言部》「謁」字清．段玉裁．注：「謁者，若後人書刺，自言爵里姓名，並列所白事。」《史記．卷八．高祖本紀》：「高祖為亭長，素易諸吏，乃紿為謁。」《後漢書．卷一一．劉玄劉盆子列傳．劉盆子》：「酒未行，其中一人出刀筆書謁欲賀。」_x000D_
2.姓。如漢代有謁瓊。_x000D_
[動]_x000D_
1.稟告、說明。《戰國策．秦策一》：「天下之所不欲危，臣請謁其故。」漢．王充《論衡．紀妖》：「當道者曰：『吾欲有謁於主君。』從者以聞。」_x000D_
2.請求。《列子．周穆王》：「謁史而卜之，弗占；謁巫而禱之，弗禁；謁醫而攻之，弗已。」宋．王讜《唐語林．卷三．賞譽》：「任大理評事，日饘粥不給，嘗於安國寺相識僧處謁飧。」_x000D_
3.進見、拜見。如：「晉謁總統」。《楚辭．劉向．九歎．遠遊》：「登崑崙而北首兮，悉靈圉而來謁。」《新唐書．卷一九六．隱逸列傳．衛大經》：「開元初，畢構為刺史，使縣令孔慎言就謁，辭不見。」</t>
  </si>
  <si>
    <t>[名]
火光。清．王念孫《廣雅疏證．卷二上．釋詁》：「煠，爚也。」
[動]
(二)之又音。</t>
  </si>
  <si>
    <t>(二)ㄓㄚˊ zhá（07621）</t>
  </si>
  <si>
    <t>殜</t>
  </si>
  <si>
    <t>[動]
生病。《玉篇．歹部》：「殜，病也。」清．王念孫《廣雅疏證．卷一上．釋詁》：「殜，病也。」</t>
  </si>
  <si>
    <t>[名]
1.植物的主要營養器官之一，能行光合作用。常略平展，生於枝幹上，也營呼吸、蒸發等作用，某些植物的葉部則因變態而具有貯藏、保護或捕食的功能。如：「一棵植物大致可分為根、莖、葉三部分。」
2.像葉片的東西。如：「肺葉」。
3.世代、時期。如：「唐朝中葉」、「十五世紀末葉」。《詩經．商頌．長發》：「昔在中葉，有震且業。」
4.書頁。通「頁」。《宋史．卷四三二．儒林列傳二．何涉》：「一過目不復再讀，而終身不忘。人問書傳中事，必指卷第、冊葉所在，驗之果然。」《三國演義》第七八回：「全卷已被燒毀，只剩得一兩葉。」
5.比喻輕飄如葉的東西。宋．蘇軾〈赤壁賦〉：「駕一葉之扁舟，舉匏尊以相屬。」
6.量詞：(1)計算小船的單位。如：「一葉扁舟」。(2)計算書籍文件面數的單位。同「頁」。如：「三葉書」。
7.姓。如清代有葉名琛。</t>
  </si>
  <si>
    <t>(二)ㄕㄜˋ shè（08843）</t>
  </si>
  <si>
    <t>[名]
1.古代樂器架子橫木上的大版，狀如鋸齒，可以懸掛鐘、鼓、磬等。《說文解字．丵部》：「業，大版也，所以飾縣鐘鼓。」《詩經．周頌．有瞽》：「設業設虡，崇牙樹羽。」
2.社會上的各種工作職務。如：「農業」、「商業」、「各行各業」、「敬業樂群」。《文選．馬融．長笛賦》：「宦夫樂其業，士子世其宅。」
3.學習的內容或過程。如：「修業」、「課業」、「畢業」。唐．韓愈〈進學解〉：「業精於勤，荒於嬉。」
4.財產。如：「產業」、「祖業」、「家業」。唐．白居易〈自河南經亂關內阻饑散各在一處因望月有感〉詩：「時難年荒世業空，弟兄羈旅各西東。」
5.功績。如：「偉業」、「功業」。《文選．諸葛亮．出師表》：「先帝創業未半，而中道崩徂。」
6.佛教用語。梵語karma的意譯。佛教上指有意志的行為，包括身體、言語和心識等三業。如：「善業」、「惡業」、「三業」。《喻世明言．卷一．蔣興哥重會珍珠衫》：「公堂造業真容易，要積陰功亦不難。」
[動]
1.從事某種工作。如：「業農」、「業儒」、「業商」。唐．白居易〈題文集櫃〉詩：「我生業文字，自幼及老年。」
2.繼承。《左傳．昭公元年》：「臺駘能業其官。」
[形]
參見「業業」條。
[副]
已經。如：「業已」。《紅樓夢》第六二回：「果見湘雲臥於山石僻處一個石凳子上，業經香夢沉酣。」</t>
  </si>
  <si>
    <t>(二)（又音）ㄋㄧㄝˋ niè（03048）</t>
  </si>
  <si>
    <t>鄴</t>
  </si>
  <si>
    <t>[名]
1.地名。春秋時齊邑，秦漢時改置縣。故城約在今大陸地區河北省臨漳縣境內。
2.姓。如漢代有鄴鳳。</t>
  </si>
  <si>
    <t>嶪</t>
  </si>
  <si>
    <t>參見「岌嶪」條。</t>
  </si>
  <si>
    <t>燁</t>
  </si>
  <si>
    <t>[形]
火光盛大的樣子。《集韻．入聲．緝韻》：「燁，火盛貌。」</t>
  </si>
  <si>
    <t>曄</t>
  </si>
  <si>
    <t>[形]
1.光明的樣子。《說文解字．日部》：「曄，光也。」
2.繁盛的樣子。《文選．宋玉．神女賦．序》：「美貌橫生，曄兮如華，溫乎如瑩。」唐．李善．注：「曄，盛貌。」</t>
  </si>
  <si>
    <t>擫</t>
  </si>
  <si>
    <t>[動]
以手輕按。如：「擫笛」、「擫息」。</t>
  </si>
  <si>
    <t>靨</t>
  </si>
  <si>
    <t>[名]
面頰上的微渦。如：「笑靨迷人」。漢．班婕伃〈擣素賦〉：「兩靨如點，雙眉如張，穨肌柔液，音性閑良。」唐．陳述〈歎美人照鏡〉詩：「插花枝共動，含笑靨俱生。」俗稱為「酒渦」。</t>
  </si>
  <si>
    <t>饁</t>
  </si>
  <si>
    <t>[動]_x000D_
送飯給在田裡工作的人吃。《詩經．豳風．七月》：「同我婦子，饁彼南畝，田畯至喜。」《左傳．僖公三十三年》：「見冀缺耨，其妻饁之。」清．紀昀《閱微草堂筆記．卷八．如是我聞二》：「次日至村中，果聞一婦饁田，為旋風所撲，患頭痛。」_x000D_
[名]_x000D_
送給田裡工作者的食物。《詩經．周頌．載芟》：「有嗿其饁，思媚其婦。」明．宋濂〈閱江樓記〉：「耕人有炙膚皸足之煩，農女有將桑行饁之勤。」</t>
  </si>
  <si>
    <t>黦</t>
  </si>
  <si>
    <t>[動]
變色、臉色變壞。唐．杜牧〈晚晴賦〉：「復引舟于深灣，忽八九之紅芰，奼然如婦，斂然如女，墮蕊黦顏，似見放棄。」</t>
  </si>
  <si>
    <t>(一)ㄩˋ yù（11667）</t>
  </si>
  <si>
    <t>吔</t>
  </si>
  <si>
    <t>˙ㄧㄝ</t>
  </si>
  <si>
    <t>ye</t>
  </si>
  <si>
    <t>[歎]
表示感嘆、驚訝等語氣。如：「吔！你這麼做，真叫人吃驚！」</t>
  </si>
  <si>
    <t>厓</t>
  </si>
  <si>
    <t>ㄧㄞˊ</t>
  </si>
  <si>
    <t>yái</t>
  </si>
  <si>
    <t>[名]
1.山邊。通「崖」。南朝齊．謝朓〈遊山詩〉：「凌厓必千仞，尋谿將萬轉。」《新唐書．卷一六六．令狐綯傳》：「高郵厓峭水狹，若使荻艚火其前，勁兵乘其後，一舉可覆。」
2.水邊。《文選．揚雄．甘泉賦》：「北熿幽都，南煬丹厓。」李善注引服虔曰：「丹水之厓也。」清．徐珂《清稗類鈔．戰事類．聖祖親征噶爾丹》：「忽得明成祖勒銘紀功之石於水厓，濯而視之，中有永清沙漠語。」
3.邊際、界限。《文選．揚雄．甘泉賦》：「岭巆嶙峋，洞無厓兮。」《新唐書．卷一二六．魏知古傳》：「今風教頹替日益甚，府藏空屈，人力勞敝，營作無厓，吏員寖增。」
4.姓。如明代有厓成。
[動]
張目怒視。《漢書．卷八一．孔光傳》：「所欲搏擊，輒為草，以太后指風光令上之，厓眥莫不誅傷。」</t>
  </si>
  <si>
    <t>啀</t>
  </si>
  <si>
    <t>崖</t>
  </si>
  <si>
    <t>[名]
1.山邊或高地陡峭的邊沿。唐．韋應物〈至西峰蘭若受田婦饋〉詩：「攀崖復緣澗，遂造幽人居。」明．徐弘祖《徐霞客遊記．卷四上．粵西遊日記三》：「四眺重崖，皆懸絕無徑，而西崖尤為峻峭。」
2.邊際。《莊子．山木》：「君其涉於江而又浮於海，望之而不見其崖。」</t>
  </si>
  <si>
    <t>(一)ㄧㄚˊ yá（10713）</t>
  </si>
  <si>
    <t>么</t>
  </si>
  <si>
    <t>[形]
1.細小。參見「么麼」條。
2.排行最小的。如：「么妹」、「么叔」。
[名]
1.一的別稱。如：「么二三……。」
2.姓。如明代有么謙。</t>
  </si>
  <si>
    <t>吆</t>
  </si>
  <si>
    <t>[動]
大聲呼叫。《紅樓夢》第六〇回：「何苦自己不尊重，大吆小喝，也失了體統。」</t>
  </si>
  <si>
    <t>[名]
1.稚嫩的動植物。《詩經．檜風．隰有萇楚》：「隰有萇楚，猗儺其枝。夭之沃沃，樂子之無知。」《國語．魯語上》：「且夫山不槎櫱，澤不伐夭。」
2.災禍。《詩經．小雅．正月》：「民今之無祿，天夭是椓。」《後漢書．卷六〇下．蔡邕傳》：「速速方轂，夭夭是加。」
[形]
茂盛的樣子。《書經．禹貢》：「厥草惟夭，厥木惟喬。」《詩經．周南．桃夭》：「桃之夭夭，灼灼其華。」</t>
  </si>
  <si>
    <t>(二)ㄧㄠˇ yǎo（10835）(二)ㄠˇ ǎo（10370）</t>
  </si>
  <si>
    <t>妖</t>
  </si>
  <si>
    <t>[形]
1.嫵媚、豔麗。《文選．曹植．美女篇》：「美女妖且閑，采桑歧路間。」宋．蘇軾〈牡丹記敘〉：「蓋此花見重於世三百餘年，窮妖極麗，以擅天下之觀美。」
2.裝束奇怪、儀態不莊重。《兒女英雄傳》第七回：「只見她……捲著大寬的桃紅袖子，妖氣妖聲，怪模怪樣的問了那女子一聲。」
[名]
1.違反自然常理的事物或現象。《左傳．莊公十四年》：「人無釁焉，妖不自作，人棄常則妖興。」唐．元稹〈酬劉猛見送〉詩：「種花有顏色，異色即為妖。」
2.傳說中奇怪反常而能害人的東西，多具有法術，能作各種變化。《西遊記》第一七回：「菩薩又怕那妖無禮，卻把一個箍兒丟在那妖頭上。」《警世通言．卷一四．一窟鬼癩道人除怪》：「邪怪為妖，入山洞穴中捉出。」</t>
  </si>
  <si>
    <t>芺</t>
  </si>
  <si>
    <t>[名]
一種草。可供食用。《說文解字．艸部》：「芺，草也。味苦，江南食之以下氣。」《爾雅．釋草》：「鉤芺。」漢．鄭玄．注：「鉤芺，大如拇指，中空，莖頭有臺，似薊，初生可食。」宋．邢昺．疏：「鉤芺，一名鉤，一名芺。」</t>
  </si>
  <si>
    <t>祅</t>
  </si>
  <si>
    <t>[名]
怪異反常的事物或現象。通「妖」。《荀子．天論》：「故水旱不能使之飢渴，寒暑不能使之疾，祅怪不能使之凶。」《漢書．卷二二．禮樂志》：「姦偽不萌，祅孽伏息。」</t>
  </si>
  <si>
    <t>訞</t>
  </si>
  <si>
    <t>[形]
邪惑、怪誕。《荀子．非十二子》：「如是而不服者，則可謂訞怪狡猾之人矣。」《漢書．卷四．文帝紀》：「今法有誹謗訞言之罪，是使眾臣不敢盡情，而上無由聞過失也。」</t>
  </si>
  <si>
    <t>(一)ㄠ āo（10350）(三)ㄨㄚ wā（11304）(四)ㄨㄚˋ wà（11320）</t>
  </si>
  <si>
    <t>要</t>
  </si>
  <si>
    <t>[名]_x000D_
1.人體軀幹的中段部分。即「腰」。《說文解字．舁部》：「要，身中也。」《墨子．兼愛中》：「昔者，楚靈王好士細要，故靈王之臣，皆以一飯為節。」_x000D_
2.盟約。《論語．憲問》：「久要不忘平生之言，亦可以為成人矣。」三國魏．何晏．集解：「孔曰：『久要，舊約也。』」_x000D_
3.姓。如漢代有要競。_x000D_
[動]_x000D_
1.約定、約束。《樂府詩集．卷七三．雜曲歌辭十三．古辭．焦仲卿妻》：「雖與府吏要，渠會永無緣。」_x000D_
2.邀請。晉．陶淵明〈桃花源記〉：「便要還家，設酒殺雞作食。」_x000D_
3.求取。如：「要求」。《孟子．告子上》：「今之人，修其天爵以要人爵。」_x000D_
4.脅迫。如：「要挾」。《論語．憲問》：「雖曰不要君，吾不信也。」_x000D_
5.攔阻、截擊。《孟子．公孫丑下》：「使數人要於路，曰：『請必無歸而造於朝。』」</t>
  </si>
  <si>
    <t>(一)ㄧㄠˋ yào（10850）</t>
  </si>
  <si>
    <t>喓</t>
  </si>
  <si>
    <t>參見「喓喓」條。</t>
  </si>
  <si>
    <t>葽</t>
  </si>
  <si>
    <t>[名]
植物名。遠志科遠志屬，「遠志」之古稱，參見「遠志」條。
[形]
草木茂盛的樣子。《漢書．卷二二．禮樂志》：「豐草葽，女羅施。」顏師古注引孟康曰：「葽，盛貌也。」晉．左思〈蜀都賦〉：「皛貙氓於葽草，彈言鳥於森木。」</t>
  </si>
  <si>
    <t>腰</t>
  </si>
  <si>
    <t>[名]
1.人體軀幹中間，胯骨以上肋骨以下的部位。如：「柳腰」、「扭腰」、「叉腰」。
2.事物的中間部分。如：「山腰」、「廊腰」。北周．庾信〈枯樹賦〉：「橫洞口而敧臥，頓山腰而半折。」
3.參見「腰子」條。
4.量詞。古代計算腰帶的單位。相當於「條」。《北史．卷七四．柳裘傳》：「以奉使功，賜綵三百匹，金九環帶一腰。」
[動]
佩在腰上。《聊齋志異．卷七．金和尚》：「金若一出，前後數十騎，腰弓矢相摩戛。」</t>
  </si>
  <si>
    <t>喲</t>
  </si>
  <si>
    <t>[歎]
表示驚訝、讚嘆的語氣。如：「喲！想不到他也會來。」
[助]
1.用於句末，表示祈使語氣。如：「來喲！快來買喲！」
2.歌詞中的襯字，無義。如：「虹彩妹妹哼嗨喲，長得好那麼哼嗨喲。」</t>
  </si>
  <si>
    <t>[動]
1.要求。《左傳．文公十二年》：「寡君願徼福於周公、魯公以事君。」《漢書．卷六四．嚴安傳》：「侈而無節，則不可贍，民離本而徼末矣。」
2.招致。《左傳．昭公三年》：「余不能治余縣，又焉用州？其以徼禍也。」《荀子．儒效》：「小人則日徼其所惡。」
3.攔阻、攔截。《史記．卷一一七．司馬相如傳》：「然後囿騶虞之珍群，徼麋鹿之怪獸。」</t>
  </si>
  <si>
    <t>(一)ㄐㄧㄠˋ jiào（05680）(二)ㄐㄧㄠ jiāo（05646）(三)ㄐㄧㄠˇ jiǎo（05667）</t>
  </si>
  <si>
    <t>邀</t>
  </si>
  <si>
    <t>[動]
1.招請、約請。如：「應邀出席」。唐．李白〈月下獨酌〉詩四首之一：「舉杯邀明月，對影成三人。」
2.求取。如：「邀功」。唐．王維〈送張判官赴河西〉詩：「單車曾出塞，報國敢邀勛。」《宋史．卷二五六．趙普傳》：「不妄希求恩顧以全祿位，不私徇人情以邀名望。」
3.攔截、阻擋。《舊唐書．卷一三五．盧杞傳》：「長安為之罷市，百姓相率千萬眾邀宰相於道訴之。」</t>
  </si>
  <si>
    <t>ㄧㄠˊ</t>
  </si>
  <si>
    <t>yáo</t>
  </si>
  <si>
    <t>[名]
1.八卦上的橫線，長的全線「⚊」稱為「陽爻」，斷開的兩段線「⚋」稱為「陰爻」。每三爻合成一卦，共八卦，而二卦相重可得六十四卦。《易經．繫辭上》：「爻者，言乎變者也。」
2.二一四部首之一。</t>
  </si>
  <si>
    <t>(二)（讀音）ㄒㄧㄠˊ xiáo（07017）</t>
  </si>
  <si>
    <t>[名]
煮熟的魚肉等食物。如：「菜肴」、「美酒佳肴」。《國語．晉語一》：「飲而無肴。」《梁書．卷三八．賀琛傳》：「積果如山岳，列肴同綺繡。」</t>
  </si>
  <si>
    <t>(二)（又音）ㄒㄧㄠˊ xiáo（07018）</t>
  </si>
  <si>
    <t>淆</t>
  </si>
  <si>
    <t>[副]
雜亂。《字彙．水部》：「淆，亂也，雜也。」《新唐書．卷九六．房玄齡傳》：「不為子孫立長久計，淆置嫬庶，競侈僭，相傾䦧，終當內相誅夷。」
[動]
攪亂。如：「混淆視聽」。《後漢書．卷五三．黃憲傳》：「叔度汪汪若千頃陂，澄之不清，淆之不濁，不可量也。」明．方孝孺〈貯清軒記〉：「泓渟洞澈，可以酬酢萬物而不為物所淆。」</t>
  </si>
  <si>
    <t>崤</t>
  </si>
  <si>
    <t>參見「崤山」條。</t>
  </si>
  <si>
    <t>殽</t>
  </si>
  <si>
    <t>[動]
摻雜、摻合。《說文解字．殳部》：「殽，相雜錯也。」《國語．周語下》：「如是，而加之以無私，重之以不殽，能避怨矣。」三國吳．韋昭．注：「殽，雜也。眾人過郊，單子獨否，所以不雜也。」《漢書．卷二四．食貨志下》：「鑄作錢布皆用銅，殽以連錫，文質周郭放漢五銖錢云。」
[名]
1.菜餚。通「肴」。如：「果殽」、「殘殽」、「嘉殽」。
2.山名。位於大陸地區河南省洛寧縣與陝縣之間。通「崤」。</t>
  </si>
  <si>
    <t>[名]
煮熟的肉類食物。同「肴」。《國語．周語中》：「親戚宴饗，則有餚烝。」</t>
  </si>
  <si>
    <t>(二)（又音）ㄒㄧㄠˊ xiáo（07019）</t>
  </si>
  <si>
    <t>[名]
湖泊名。位於大陸地區江蘇省溧陽、金壜兩縣境內。也稱為「長蕩湖」、「長塘湖」。</t>
  </si>
  <si>
    <t>(一)ㄊㄠˊ táo（02504）</t>
  </si>
  <si>
    <t>姚</t>
  </si>
  <si>
    <t>[名]
姓。《說文解字．女部》：「姚，虞舜居姚虛，因以為姓。」如清代有姚鼐。
[形]
1.美好的樣子。通「窕」。《說文解字．女部》：「姚，嬈也。」《荀子．非相》：「莫不美麗姚冶，奇衣婦飾。」
2.遠。通「遙」。《荀子．榮辱》：「其溫厚矣，其功盛姚遠矣。」</t>
  </si>
  <si>
    <t>珧</t>
  </si>
  <si>
    <t>參見「江珧」條。</t>
  </si>
  <si>
    <t>[名]
1.大鋤頭。《莊子．外物》：「春雨日時，草木怒生，銚鎒於是乎始脩。」《管子．海王》：「耕者必有一耒、一耜、一銚，若其事立。」
2.姓。如漢代有銚期。</t>
  </si>
  <si>
    <t>(二)ㄉㄧㄠˋ diào（02208）</t>
  </si>
  <si>
    <t>垚</t>
  </si>
  <si>
    <t>[形]
土高起的樣子。《說文解字．土部》：「垚，土高貌。」</t>
  </si>
  <si>
    <t>堯</t>
  </si>
  <si>
    <t>[形]
高。《說文解字．垚部》：「堯，高也。」《墨子．親士》：「王德不堯堯者，乃千人之長也。」
[名]
1.古帝陶唐氏的號。相傳為帝嚳次子，初封於陶，又封於唐，在位百年，有德政，後傳位於舜。
2.姓。如明代有堯世美。</t>
  </si>
  <si>
    <t>參見「僬僥」條。</t>
  </si>
  <si>
    <t>(一)ㄐㄧㄠˇ jiǎo（05662）</t>
  </si>
  <si>
    <t>嶢</t>
  </si>
  <si>
    <t>參見「嶢嶢」條。</t>
  </si>
  <si>
    <t>[名]
皋陶：人名。相傳為舜之臣，掌刑獄之事。</t>
  </si>
  <si>
    <t>(一)ㄊㄠˊ táo（02500）</t>
  </si>
  <si>
    <t>揄</t>
  </si>
  <si>
    <t>參見「揄狄」條。</t>
  </si>
  <si>
    <t>(一)ㄩˊ yú（11599）(三)ㄧㄡˊ yóu（10895）</t>
  </si>
  <si>
    <t>隃</t>
  </si>
  <si>
    <t>[副]
遠。同「遙」。《漢書．卷三四．黥布傳》：「上惡之，與布相望見，隃謂布『何苦而反？』」宋．文天祥〈賀皇太后表〉：「臣遠被繡衣，隃瞻綵仗。」</t>
  </si>
  <si>
    <t>(一)ㄩˊ yú（11601）</t>
  </si>
  <si>
    <t>軺</t>
  </si>
  <si>
    <t>[名]
輕便的小車。《說文解字．車部》：「軺，小車也。」《漢書．卷一二．平帝紀》：「四輔、公卿、大夫、博士、郎、吏家屬皆以禮娶，親迎立軺併馬。」《文選．丘遲．與陳伯之書》：「乘軺建節，奉疆埸之任。」</t>
  </si>
  <si>
    <t>傜</t>
  </si>
  <si>
    <t>[名]
1.中國少數民族之一。分布在大陸地區兩廣、湖南、雲南等省。也作「猺族」、「瑤族」。
2.勞役、徭役。通「徭」。《新唐書．卷一一五．狄仁傑傳》：「今邊垂未寧，宜寬征鎮之傜，省不急之務。」</t>
  </si>
  <si>
    <t>愮</t>
  </si>
  <si>
    <t>參見「愮愮」條。</t>
  </si>
  <si>
    <t>搖</t>
  </si>
  <si>
    <t>[動]
擺動、晃動。如：「搖頭」、「搖晃」、「搖槳」。《周禮．冬官考工記．矢人》：「是故夾而搖之，以聄其豐殺之節也。」《文選．古詩十九首．迴車駕言邁》：「四顧何茫茫，東風搖百草。」
[名]
姓。如漢代有搖毋餘。</t>
  </si>
  <si>
    <t>徭</t>
  </si>
  <si>
    <t>[名]
勞役。如：「徭役」。唐．杜荀鶴〈山中寡婦〉詩：「任是深山更深處，也應無計避征徭。」《元史．卷一二四．塔本傳》：「興學養士，輕刑薄徭，雖同僚不敢私役一民。」</t>
  </si>
  <si>
    <t>猺</t>
  </si>
  <si>
    <t>[名]
1.一種野獸。《集韻．平聲．宵韻》：「猺，獸名。」
2.中國少數民族之一。多分布於大陸地區湖南、兩廣及雲南、四川、貴州等相鄰的大山窮谷之中。也作「傜族」、「瑤族」。</t>
  </si>
  <si>
    <t>媱</t>
  </si>
  <si>
    <t>[副]
彎著肩膀行走的樣子。《說文解字．女部》：「媱，曲肩行貌。」
[形]
美好的樣子。《廣韻．平聲．宵韻》：「媱，美好。」</t>
  </si>
  <si>
    <t>瑤</t>
  </si>
  <si>
    <t>[名]
美玉。《說文解字．玉部》：「瑤，石之美者。」《詩經．衛風．木瓜》：「投我以木桃，報之以瓊瑤。」晉．陸機〈日出東南隅行〉：「金雀垂藻翹，瓊佩結瑤璠。」
[形]
1.玉製的、鑲玉的。如：「瑤扉」、「瑤觴」、「瑤簪」。
2.珍貴、美好。唐．宇文融〈奉和聖製左丞相說右丞相璟太子少傅乾曜同日上官命宴都堂賜詩〉：「飛文瑤札降，賜酒玉杯傳。」明．徐弘祖《徐霞客遊記．卷四上．粵西遊日記四》：「多靈山最高聳。其上四時皆春，瑤花仙果，不絕於樹。」</t>
  </si>
  <si>
    <t>榣</t>
  </si>
  <si>
    <t>[動]
樹木搖動。《說文解字．木部》：「榣，樹動也。」
[名]
一種大的樹木。《玉篇．木部》：「榣，木名。」《山海經．西山經》：「（槐江之山）其陰多榣木之有若。」晉．郭璞．注：「榣木，大木也。」</t>
  </si>
  <si>
    <t>遙</t>
  </si>
  <si>
    <t>[形]
1.遠。如：「遙遠」、「遙不可及」。五代十國南唐．李煜〈清平樂．別來春半〉詞：「雁來音信無憑，路遙歸夢難成。」
2.長。《文選．何劭．雜詩》：「勤思終遙夕，永言寫情慮。」唐．李白〈南奔書懷〉詩：「遙夜何漫漫，空歌白石爛。」</t>
  </si>
  <si>
    <t>謠</t>
  </si>
  <si>
    <t>[名]
1.民間流行的歌。如：「民謠」、「歌謠」、「童謠」。《南史．卷六．梁武帝本紀上》：「詔分遺內侍，周省四方，觀政聽謠，訪賢舉滯。」
2.憑空虛構沒有根據的話或傳聞。如：「造謠」、「闢謠」。《楚辭．屈原．離騷》：「眾女嫉余之蛾眉兮，謠諑謂余以善淫。」</t>
  </si>
  <si>
    <t>[名]
勞役。通「徭」。《漢書．卷五．景帝紀》：「減太官，省繇賦。」</t>
  </si>
  <si>
    <t>(一)ㄧㄡˊ yóu（10902）(三)ㄓㄡˋ zhòu（07768）</t>
  </si>
  <si>
    <t>颻</t>
  </si>
  <si>
    <t>參見「飄颻」條。</t>
  </si>
  <si>
    <t>鰩</t>
  </si>
  <si>
    <t>參見「文鰩魚」條。</t>
  </si>
  <si>
    <t>窯</t>
  </si>
  <si>
    <t>[名]_x000D_
1.一種以耐火材料構成的設施，用來燒製磚、瓦、陶瓷等器具。《說文解字．穴部》：「窯，燒瓦窯灶也。」如：「磚窯」、「瓦窯」。宋．范成大〈梅根夾〉詩：「日明漁浦網，風側瓦窯煙。」_x000D_
2.代指名窯廠所生產的陶瓷器。如：「御窯」、「柴窯」、「汝窯」。清．徐珂《清稗類鈔．鑒賞類．葉五官知鑒別》：「因論諸窯優劣，旁及金石真贗。」_x000D_
3.開採煤石的坑洞。如：「煤窯」。_x000D_
4.妓院的俗稱，或指奸盜的住處。《老殘遊記》第二回：「這幾年來好頑耍的誰不學他們的調兒呢？就是窯子裡的姑娘也人人都學。」清．俞正燮《癸巳存稿．窯亹》：「河北言姦盜所居亦曰窯。」_x000D_
5.大陸西北地區人民所挖，用以居住的洞穴。如：「窯洞」。</t>
  </si>
  <si>
    <t>ㄧㄠˇ</t>
  </si>
  <si>
    <t>yǎo</t>
  </si>
  <si>
    <t>[形]
屈抑不伸。《漢書．卷二七．五行志下之上》：「德不試，空言祿，茲謂主窳臣夭，蒙起而白。」
[動]
1.少壯而死。如：「夭折」。《書經．高宗肜日》：「降年有永有不永，非天夭民，民中絕命。」《文選．束晳．補亡詩》：「人無道夭，物極則長。」
2.摧殘。《管子．禁藏》：「毋伐木，毋夭英，毋附竿。」唐．張昌齡〈對高潔之士策〉：「山林不夭，風雲以之通氣。」</t>
  </si>
  <si>
    <t>(一)ㄧㄠ yāo（10790）(三)ㄠˇ ǎo（10370）</t>
  </si>
  <si>
    <t>宎</t>
  </si>
  <si>
    <t>[名]
房屋的東南角。《玉篇．宀部》：「𡧮，《爾雅》：『室東南隅。』窔，同上，宎，俗。」《莊子．徐无鬼》：「未嘗好田，而鶉生於宎。」</t>
  </si>
  <si>
    <t>殀</t>
  </si>
  <si>
    <t>[動]
1.夭折，少壯而死。《玉篇．歹部》：「殀，歿也。亦作夭。」《孟子．盡心上》：「殀壽不貳，脩身以俟之。」《楚辭．屈原．離騷》：「鮌婞直以亡身兮，終然殀乎羽之野。」
2.殘害。《禮記．王制》：「不麛不卵，不殺胎，不殀夭。」清．龔自珍〈病梅館記〉：「又不可以使天下之民，斫直、刪密，鋤正，以殀梅、病梅為業以求錢也。」</t>
  </si>
  <si>
    <t>穾</t>
  </si>
  <si>
    <t>[名]
1.屋室的東南隅。同「窔」。《集韻．去聲．嘯韻》：「窔，室中之東南隅謂之窔。或作穾。」《漢書．卷一〇〇．敘傳上》：「守穾奧之熒燭，未卬天庭而睹白日也。」
2.隱密幽深的地方。《史記．卷一一七．司馬相如列傳》：「纍臺增成，巖穾洞房。」</t>
  </si>
  <si>
    <t>杳</t>
  </si>
  <si>
    <t>[形]
1.幽暗、深遠。《說文解字．日部》：「杳，冥也。」《楚辭．屈原．九章．涉江》：「深林杳以冥冥兮，猿狖之所居。」明．徐弘祖《徐霞客遊記．卷四下．黔遊日記二》：「其坳兩旁石峰東西湧起，而坳中則下陷成井，灌木叢翳其間，杳不可窺。」
2.遼闊無邊。唐．王維〈臨高臺送黎拾遺〉詩：「相送臨高臺，川原杳何極。」宋．王安石〈送裴如晦宰吳江〉詩：「霜澤與天杳，旁臨無限情。」
[副]
不見蹤影，毫無消息。形容渺茫沉寂。如：「杳無音信」、「杳無人蹤」。</t>
  </si>
  <si>
    <t>[動]
1.用牙齒切斷、壓破或夾住東西。如：「把繩子咬斷」、「咬了一口饅頭」、「別咬著牙籤說話！」
2.用工具鉗住或卡住東西。如：「齒輪已經磨蝕，互相咬不住。」
3.誣諂、牽連。如：「反咬一口」、「說話憑良心，可別隨便亂咬人。」《京本通俗小說．錯斬崔寧》：「那邊王老員外與女兒併一干鄰右人等，口口聲聲咬他二人。」
4.吐字、發音。如：「說的人咬字不清，聽的人便很容易會錯意。」
5.皮膚與植物或化學製品碰觸而過敏或受侵蝕。如：「這洗衣粉會咬手，要記得戴手套。」
[副]
認定不變。如：「一口咬定」。</t>
  </si>
  <si>
    <t>(二)ㄐㄧㄠ jiāo（05620）</t>
  </si>
  <si>
    <t>窔</t>
  </si>
  <si>
    <t>[形]
幽靜深遠。《玉篇．穴部》：「窔，幽深也。」漢．馬第伯〈封禪儀記〉：「遂至天門之下，仰視天門，窔遼如從穴中視天窗矣。」
[名]
屋室的東南角。《儀禮．既夕禮》：「比奠，舉席掃室，聚諸窔。」漢．鄭玄．注：「室東南隅謂之窔。」</t>
  </si>
  <si>
    <t>窅</t>
  </si>
  <si>
    <t>[動]
遠望。《文選．謝朓．敬亭山詩》：「緣源殊未極，歸徑窅如迷。」李善注引《聲類》曰：「窅，遠望也。」唐．賈至〈巴陵早秋寄荊州崔司馬吏部閻功曹舍人〉詩：「曠如臨渤澥，窅疑造瀛洲。」
[形]
幽遠、精深。《莊子．知北遊》：「夫道窅然難言哉，將為汝言其崖略！」
[副]
幽靜、沉寂。唐．李白〈山中問答〉詩：「桃花流水窅然去，別有天地非人間。」</t>
  </si>
  <si>
    <t>窈</t>
  </si>
  <si>
    <t>[形]
1.深遠。《說文解字．穴部》：「窈，深遠也。」《老子》第二一章：「窈兮冥兮，其中有精。」三國魏．王弼．注：「窈冥，深遠之歎，深遠不可得而見。」唐．韓愈〈送李愿歸盤谷序〉：「窈而深，廓其有容。」
2.幽暗。《淮南子．道應》：「吾知道之可以弱，可以強；可以柔，可以剛；可以陰，可以陽；可以窈，可以明。」《浙江通志．卷二〇．山川一二．平陽縣》引清．潘耒〈南雁蕩游記〉：「左復有一洞如曲室，室後窈黑處，深不可窮。」</t>
  </si>
  <si>
    <t>舀</t>
  </si>
  <si>
    <t>[動]
用瓢、杓汲取液體。如：「舀水」、「舀湯」。
[名]
參見「舀子」條。</t>
  </si>
  <si>
    <t>偠</t>
  </si>
  <si>
    <t>參見「偠紹」條。</t>
  </si>
  <si>
    <t>騕</t>
  </si>
  <si>
    <t>參見「騕褭」條。</t>
  </si>
  <si>
    <t>溔</t>
  </si>
  <si>
    <t>[形]_x000D_
水流廣大無邊的樣子。漢．司馬相如〈上林賦〉：「然後灝溔潢漾，安翔徐回。」唐．柳宗元《柳宗元集．卷一五．晉問》：「皦乎溔乎，狂山太白之淋漓。」宋．孫汝聽．注：「溔，大水貌。」_x000D_
[名]_x000D_
姓。明．凌廸知《萬姓統譜．卷八三．上聲．篠韻．溔姓》：「溔，見《姓苑》。」</t>
  </si>
  <si>
    <t>參見「嬈嬈」條。</t>
  </si>
  <si>
    <t>(一)ㄖㄠˊ ráo（09184）(二)ㄖㄠˇ rǎo（09189）</t>
  </si>
  <si>
    <t>鷕</t>
  </si>
  <si>
    <t>[擬]
形容雉鳥的叫聲。《文選．潘岳．射雉賦》：「麥漸漸以擢芒，雉鷕鷕而朝鴝。」宋．徐爰．注：「鷕鷕，雉聲也。」</t>
  </si>
  <si>
    <t>ㄧㄠˋ</t>
  </si>
  <si>
    <t>yào</t>
  </si>
  <si>
    <t>[名]
關鍵、重點。如：「提要」、「綱要」、「摘要」。
[動]
1.索取、討取。如：「要帳」、「要飯」。
2.收為己有。如：「這件衣服我要了。」
3.請求、拜託。如：「他要我替他辦一件事。」
4.需要。如：「我要一枝筆。」
[形]
1.重大的、重要的。如：「要港」、「要人」、「要職」。
2.切當的。參見「要道」條。
[副]
1.概括、總括。用於文言文。如：「要言之，為人應以誠字居心。」《史記．卷一八．高祖功臣侯者年表》：「帝王者各殊禮而異務，要以成功為統紀，豈可緄乎？」
2.應該。如：「你要知道，這是不容易的事。」
3.即將。如：「我要出門了。」、「天要下雨了。」
4.表示提醒或命令人做某事。如：「不論環境如何困厄，我們都要腳踏實地，好好做人。」、「別忘了要告訴他，要仔細檢查，別再出錯。」
5.表示想、希望做某事。唐．韓愈〈竹逕〉詩：「若要添風月，應除數百竿。」明．無名氏《白兔記》第一二齣：「要知心腹事，但聽口中言。」
[連]
1.如果。表示假設的關係。如：「明天要是下雨，我就不去了。」
2.要麼的簡稱。表示選擇的關係。如：「這件事要就是不做，要就是一口氣將它完成。」</t>
  </si>
  <si>
    <t>(二)ㄧㄠ yāo（10796）</t>
  </si>
  <si>
    <t>袎</t>
  </si>
  <si>
    <t>[名]
襪面跟襪筒連接的彎曲的部分。唐．高彥休《闕史．軍中生餼》：「乃刑刖一足，屈於櫝中，縑袎麻屨，亦不削去。」</t>
  </si>
  <si>
    <t>靿</t>
  </si>
  <si>
    <t>[名]
靴、襪的筒狀部分。如：「靴靿」、「襪靿」。</t>
  </si>
  <si>
    <t>葯</t>
  </si>
  <si>
    <t>[名]
1.白芷。《廣韻．入聲．覺韻》：「葯，白芷。」
2.參見「花葯」條。</t>
  </si>
  <si>
    <t>[動]
喜好、欣賞。用於文言文。《論語．雍也》：「知者樂水，仁者樂山。」</t>
  </si>
  <si>
    <t>(一)ㄩㄝˋ yuè（11743）(二)ㄌㄜˋ lè（03197）(三)ㄌㄠˋ lào（03287）</t>
  </si>
  <si>
    <t>藥</t>
  </si>
  <si>
    <t>[名]
1.用來治病的物質。如：「中藥」、「西藥」、「草藥」。《史記．卷一〇五．扁鵲倉公傳》：「形羸不能服藥，五不治也。」
2.某些能發生特定效用的化學物質。如：「火藥」、「炸藥」。
3.芍藥的簡稱。參見「芍藥」條。
4.姓。如晉代有藥冲。
[動]
1.治療。如：「無可救藥」。《荀子．富國》：「彼得之，不足以藥傷補敗。」唐．楊倞．注：「藥，猶醫也。」
2.用毒物殺害。如：「藥老鼠」。元．關漢卿《竇娥冤》第三折：「我怕連累婆婆，屈招了藥死公公。」</t>
  </si>
  <si>
    <t>燿</t>
  </si>
  <si>
    <t>[動]
1.照耀。漢．王充《論衡．宣漢》：「燭燿齋宮，十有餘日。」
2.炫耀。《淮南子．脩務》：「察於辭者，不可燿以名。」</t>
  </si>
  <si>
    <t>(二)ㄩㄝˋ yuè（11752）</t>
  </si>
  <si>
    <t>曜</t>
  </si>
  <si>
    <t>[名]
1.日光、光芒。《文選．張衡．西京賦》：「飾華榱與璧璫，流景曜之韡曄。」宋．范仲淹〈岳陽樓記〉：「日星隱曜，山岳潛形。」
2.日、月及金、木、水、火、土七星稱為「七曜」，並以此代表一星期的星期日至星期六。如日曜日代表星期日，月曜日代表星期一，……土曜日則代表星期六。
[動]
1.照耀。唐．李白〈古風〉詩五九首之三四：「白日曜紫微，三公運權衡。」
2.誇耀、炫耀。《國語．吳語》：「若無越，則吾何以春秋曜吾軍士？」《文選．張衡．東京賦》：「三農之隙，曜威中原。」</t>
  </si>
  <si>
    <t>(二)（又音）ㄩㄝˋ yuè（11753）</t>
  </si>
  <si>
    <t>耀</t>
  </si>
  <si>
    <t>[名]
1.光輝、光彩。《後漢書．卷三〇下．郎顗傳》：「是以能建天地之功，增日月之耀者也。」漢．王充《論衡．雷虛》：「當雷之時，電光時見，大若火之耀。」
2.比喻榮譽。如：「榮耀」。
[動]
1.照射。如：「照耀」、「耀眼」。《史記．卷一一七．司馬相如傳》：「阻深闇味，得耀乎光明。」
2.自誇。如：「炫耀」、「誇耀」、「耀武揚威」。
3.顯揚。如：「光宗耀祖」。《國語．周語上》：「祭公謀父諫曰：『不可，先王耀德不觀兵。』」</t>
  </si>
  <si>
    <t>(二)（又音）ㄩㄝˋ yuè（11754）</t>
  </si>
  <si>
    <t>瀹</t>
  </si>
  <si>
    <t>(一)ㄩㄝˋ yuè（11747）</t>
  </si>
  <si>
    <t>爚</t>
  </si>
  <si>
    <t>(一)ㄩㄝˋ yuè（11748）</t>
  </si>
  <si>
    <t>鑰</t>
  </si>
  <si>
    <t>[名]
1.開鎖的器具。如：「鑰匙」。《資治通鑑．卷九三．晉紀十五．明帝太寧三年》：「帝待之愈厚，宮門管鑰，皆以委之。」
2.鎖。宋．蘇軾〈八月十五日看潮〉五絕之一：「寄語重門休上鑰，夜潮留向月中看。」
3.比喻事物的重要關鍵或指邊防要地。唐．李嶠〈攀龍臺碑〉：「若乃提六合之樞紐，扣二儀之鐍鑰。」《清史稿．卷四一八．袁甲三傳》：「詔以臨淮為南北筦鑰，止勿行。」</t>
  </si>
  <si>
    <t>(二)（讀音）ㄩㄝˋ yuè（11751）</t>
  </si>
  <si>
    <t>鷂</t>
  </si>
  <si>
    <t>[名]
動物名。鳥綱鷲鷹目。似鷹而小，背部青灰色，腹部白色帶赤，捕食小魚。也稱為「雀鷹」、「鷂鷹」。</t>
  </si>
  <si>
    <t>优</t>
  </si>
  <si>
    <t>ㄧㄡ</t>
  </si>
  <si>
    <t>yōu</t>
  </si>
  <si>
    <t>[形]
形容五穀精白有如人的白髮。《龍龕手鑑．人部》：「优，五穀精如人白髮也。」</t>
  </si>
  <si>
    <t>攸</t>
  </si>
  <si>
    <t>[形]
水流安定的樣子。《說文解字．攴部》：「攸，行水也。」清．段玉裁．注：「水之安行為攸。」
[副]
迅速快捷的樣子。《孟子．萬章上》：「始舍之，圉圉焉，少則洋洋焉，攸然而逝。」漢．趙岐．注：「攸然，迅走趣水深處也。」
[名]
1.處所、地方。《詩經．大雅．韓奕》：「為韓姞相攸，莫如韓樂。」漢．鄭玄．箋：「相，視；攸，所也。……視其所居。」
2.姓。如北燕有攸邁。
[助]
1.置於動詞前，表示聯繫作用。相當於「所」。如：「生死攸關」。晉．陶淵明〈詠三良〉詩：「臨穴罔惟疑，投義志攸希。」
2.用於句首或句中，無義。《書經．洪範》：「予攸好德，汝則錫之福。」
[連]
於是。《詩經．小雅．斯干》：「風雨攸除，鳥鼠攸去，君子攸芋。」</t>
  </si>
  <si>
    <t>悠</t>
  </si>
  <si>
    <t>[形]
1.憂悶、煩憂。《文選．江淹．雜體詩．休上人》：「西北秋風至，楚客心悠哉。」
2.長久、長遠。如：「歷史悠久」。《文選．蘇武．詩四首之四》：「山海隔中州，相去悠且長。」
3.閒靜、恬適。如：「自在悠閒」。唐．韋莊〈對雨獨酌〉詩：「荷鍤醉翁真達者，臥雲逋客竟悠哉。」
[動]
1.北平方言。指懸空擺盪。如：「他用力把鞭子一悠，大家嚇得連退數步。」
2.控制住、穩住。參見「悠著」、「悠停」等條。</t>
  </si>
  <si>
    <t>滺</t>
  </si>
  <si>
    <t>[形]
水流的樣子。《詩經．衛風．竹竿》：「淇水滺滺，檜楫松舟。」</t>
  </si>
  <si>
    <t>怮</t>
  </si>
  <si>
    <t>[形]
1.憂愁的樣子。《說文解字．心部》：「怮，憂貌。」
2.含怒不說話的樣子。《廣韻．平聲．尤韻》：「怮，含怒不言。」</t>
  </si>
  <si>
    <t>呦</t>
  </si>
  <si>
    <t>[擬]
參見「呦呦」條。
[歎]
表示驚訝的語氣。如：「呦！這孩子還真有出息。」</t>
  </si>
  <si>
    <t>幽</t>
  </si>
  <si>
    <t>[形]
1.隱微的。《史記．卷二四．樂書》：「奮疾而不拔，極幽而不隱。」
2.深遠的。如：「幽遠」。《詩經．小雅．伐木》：「出自幽谷，遷於喬木。」唐．韓偓〈春悶〉詩：「相思不相信，幽恨更誰知。」
3.僻靜的。如：「幽靜」。《文選．張華．情詩二首之一》：「清風動帷簾，晨月照幽房。」
4.清新、雅致的。如：「幽雅」、「清幽」。《老殘遊記》第八回：「上去有塊平地，都是栽的花木，映著月色，異常幽秀。」
5.昏暗不明的。如：「幽暗」。《商君書．禁使》：「今夫幽夜，山陵之大，而離婁不見。」《西遊記》第六七回：「黑雲漠漠遮星漢，燈火無光遍地幽。」
6.退隱的。如：「幽居」。晉．陶淵明〈命子詩〉：「鳳隱于林，幽人在丘。」
[動]
囚禁。如：「幽禁」。《荀子．王霸》：「官人失要則死，公侯失禮則幽。」
[名]
1.鬼神。《北史．卷二五．尉元傳》：「夫至孝通靈，至順感幽。」唐．韓愈〈岳陽樓別竇司直〉詩：「炎風日搜攪，幽怪多冗長。」
2.參見「幽冥」條。</t>
  </si>
  <si>
    <t>麀</t>
  </si>
  <si>
    <t>[名]
母鹿。《爾雅．釋獸》：「鹿，牡麚，牝麀。」《詩經．小雅．吉日》：「獸之所同，麀鹿麌麌。」漢．毛亨．傳：「鹿牝曰麀。」
[形]
雌性的。《左傳．襄公四年》：「在帝夷羿，冒于原獸。忘其國恤，而思其麀牡。」</t>
  </si>
  <si>
    <t>憂</t>
  </si>
  <si>
    <t>[動]
發愁、擔心。如：「杞人憂天」。《論語．子罕》：「知者不惑，仁者不憂，勇者不懼。」唐．李白〈梁甫吟〉：「白日不照吾精誠，杞國無事憂天傾。」
[形]
愁悶不快樂。如：「憂傷」、「憂心忡忡」、「憂心如焚」。
[名]
1.煩惱的事。如：「分憂解勞」、「高枕無憂」、「內憂外患」、「無憂無慮」。《論語．衛靈公》：「人無遠慮，必有近憂。」
2.父母的喪事。如：「丁憂」。《梁書．卷五〇．文學傳下．劉杳傳》：「自居母憂，便長斷腥羶，持齋蔬食。」
3.疾病。《孟子．公孫丑下》：「有采薪之憂，不能造朝。今病小愈，趨造於朝。」</t>
  </si>
  <si>
    <t>優</t>
  </si>
  <si>
    <t>[形]
1.充沛、富饒。《荀子．王制》：「汙池淵沼川澤，謹其時禁，故魚鱉優多而百姓有餘用也。」《文選．張衡．西京賦》：「何必昏於作勞，邪贏優而足恃。」
2.好的、上等的。如：「優等」、「優秀」。《晉書．卷五一．束晳傳》：「參名比譽，誰劣誰優？」
3.柔弱。如：「優柔寡斷」。《管子．小匡》：「人君唯優與不敏為不可。」
4.悠閑。《詩經．小雅．采菽》：「優哉游哉，亦是戾矣。」《後漢書．卷七〇．鄭太傳》：「然光武以來，中國無警，百姓優逸，忘戰日久。」
[動]
1.協調。《淮南子．原道》：「其德優天地而和陰陽，節四時而調五行。」
2.調戲。《左傳．襄公六年》：「宋華弱與樂轡少相狎，長相優，又相謗也。」
[副]
寬厚。《後漢書．卷一五．李通傳》：「（李通）自為宰相，謝病不視事，連年乞骸骨，帝每優寵之。」《明史．卷二五一．徐光啟傳》：「御史言光啟、以偉相繼沒，蓋棺之日，囊無餘貲，請優恤以媿貪墨者。」
[名]
1.演戲的人。如：「倡優」、「俳優」。《南史．卷三四．周朗傳》：「弘正醜而不陋，吃而能談，俳諧似優。」《紅樓夢》第二回：「縱然偶生於薄祚寒門，斷不能為走健僕，甘遭庸人驅制駕馭，必為奇優名娼。」
2.古之弄臣，如：「優孟」、「優旃」。</t>
  </si>
  <si>
    <t>鄾</t>
  </si>
  <si>
    <t>[名]
地名。春秋時鄧國屬地，故址在今大陸地區湖北省襄陽市東北。《讀史方輿紀要．卷七九．湖廣五．襄陽府》：「鄾城在府（襄陽府）東北十二里，古鄾子國。」</t>
  </si>
  <si>
    <t>嚘</t>
  </si>
  <si>
    <t>[形]
語未定的樣子。《說文解字．口部》：「嚘，語未定貌。」
[動]
氣逆。《玉篇．口部》：「嚘，氣逆也。」</t>
  </si>
  <si>
    <t>櫌</t>
  </si>
  <si>
    <t>[名]
用來鏟平田地或擊碎石塊的農具。《說文解字．木部》：「櫌，摩田器。」《呂氏春秋．仲秋紀．簡選》：「鋤櫌白梃，可以勝人之長銚利兵。」</t>
  </si>
  <si>
    <t>耰</t>
  </si>
  <si>
    <t>[名]
用來平整田土或擊碎土塊的農具。通「櫌」。《淮南子．氾論》：「後世為之耒耜耰鉏，斧柯而樵。」宋．陸游〈東村〉詩二首之一：「野人知我出門稀，男輟鉏耰女下機。」
[動]
用土覆蓋種子。《論語．微子》：「耰而不輟，子路行以告。」《孟子．告子上》：「今夫麰麥，播種而耰之。」</t>
  </si>
  <si>
    <t>纋</t>
  </si>
  <si>
    <t>[名]
笄中央可固定頭髮的部分。《儀禮．士喪禮》：「鬠笄用桑，長四寸，纋中。」漢．鄭玄．注：「纋，笄之中央以安髮。」</t>
  </si>
  <si>
    <t>尤</t>
  </si>
  <si>
    <t>ㄧㄡˊ</t>
  </si>
  <si>
    <t>yóu</t>
  </si>
  <si>
    <t>[動]
1.怨恨、責怪。《詩經．鄘風．載馳》：「許人尤之，眾穉且狂。」《論語．憲問》：「不怨天，不尤人。」
2.親近、喜愛。唐．羅隱〈春中湘中題岳麓寺僧舍〉詩：「欲共高僧話心跡，野花芳草奈相尤。」宋．柳永〈如魚水．帝里疏散〉詞：「共綠蟻，紅粉相尤。」
[副]
更加、格外。《史記．卷一．五帝本紀．太史公曰》：「余并論次，擇其言尤雅者，故著為本紀書首。」唐．柳宗元〈答韋中立論師道書〉：「抑又聞之，古者重冠禮，將以責成人之道，是聖人所尤用心者也。」
[名]
1.特異。唐．韓愈〈送溫處士赴河陽軍序〉：「朝取一人焉拔其尤；暮取一人焉拔其尤。」
2.過失。《詩經．小雅．四月》：「廢為殘賊，莫知其尤。」《論語．為政》：「言寡尤，行寡悔，祿在其中矣。」
3.姓。如宋代有尤鶴。</t>
  </si>
  <si>
    <t>沋</t>
  </si>
  <si>
    <t>河川名。今稱沋川河。在陝西省渭南市臨渭區注入渭河。</t>
  </si>
  <si>
    <t>疣</t>
  </si>
  <si>
    <t>[名]
皮膚上突起的小肉瘤。唐．杜甫〈草堂〉詩：「於時見疣贅，骨髓幸未枯。」</t>
  </si>
  <si>
    <t>訧</t>
  </si>
  <si>
    <t>[名]
過失。《說文解字．言部》：「訧，罪也。」《詩經．邶風．綠衣》：「我思古人，俾無訧兮。」</t>
  </si>
  <si>
    <t>魷</t>
  </si>
  <si>
    <t>參見「魷魚」條。</t>
  </si>
  <si>
    <t>冘</t>
  </si>
  <si>
    <t>[形]
冘豫：遲疑不決。《後漢書．卷六九．竇武傳》：「武復數白誅曹節等，太后冘豫未忍，故事久不發。」《資治通鑑．卷四二．漢紀三十四．光武帝建武六年》：「囂復多設疑故，事久冘豫不決。」也作「猶豫」。</t>
  </si>
  <si>
    <t>(一)ㄧㄣˊ yín（11077）</t>
  </si>
  <si>
    <t>由</t>
  </si>
  <si>
    <t>[名]
1.原因。如：「事由」、「原由」、「理由」。《左傳．襄公二十三年》：「有臧武仲之知，而不容於魯國，抑有由也。」
2.機會、機緣。《紅樓夢》第一一五回：「久仰芳名，無由親炙。」
3.途徑、方法。南朝梁．何遜〈贈諸遊舊詩〉：「無由下征帆，獨與暮潮歸。」明．徐弘祖《徐霞客遊記．卷三下．粵遊日記二》：「而溪崖亦懸嵌，無由上躋。」
4.姓。如秦代有由余。
[動]
1.遵循、聽從。《詩經．大雅．假樂》：「不愆不忘，率由舊章。」《論語．泰伯》：「民可使由之，不可使知之。」
2.聽任、任憑。如：「信不信由你」、「人在江湖，身不由己。」、「萬般皆是命，半點不由人。」
3.走、經過。《孟子．離婁上》：「舍正路而不由，哀哉。」《宋史．卷三一困．范仲淹傳》：「鄜、延密邇靈、夏，西羌必由之地也。」
4.踐行。《禮記．經解》：「是故隆禮由禮謂之有方之士，不隆禮不由禮謂之無方之民。」
[介]
1.自、從。表示所從出。如：「言不由衷」、「由北到南」。《孟子．盡心下》：「由堯、舜至於湯，五百有餘歲。」
2.因為。表示原因。如：「由於」、「咎由自取」。《書經．秦誓》：「邦之杌隉，曰由一人。」
3.表示憑藉。如：「人體是由很多細胞組織而成的。」
4.屬、歸。表示職責範圍的畫分。如：「這個案子是由我負責承辦。」
5.於。表示所在。《書經．康誥》：「別求聞由古先哲王，用康保民。」</t>
  </si>
  <si>
    <t>油</t>
  </si>
  <si>
    <t>[名]
1.動物體內的脂肪或植物種子經壓榨煉製而成的液體。如：「牛油」、「豬油」、「花生油」。
2.自礦物中提煉而成的可供作燃料的液體。如：「煤油」、「汽油」、「石油」。
3.分外、額外的利益。如：「揩油」、「他在這一項工程中撈到不少油水。」
[動]
1.塗抹、塗飾。如：「油窗戶」、「把門重新再油一次。」
2.沾染油垢、被油弄髒。如：「衣服油了。」
[形]
1.浮華不實。如：「油腔滑調」。《紅樓夢》第三八回：「這猴兒慣的了不得了，只管拿我取笑起來！恨的我撕你那油嘴。」
2.茂盛、興盛。如：「油然」。唐．李白〈明堂賦〉：「於斯之時，雲油雨霈，恩鴻溶兮澤汪濊，四海歸兮八荒會。」
3.顏色深暗的。如：「油綠」。</t>
  </si>
  <si>
    <t>蚰</t>
  </si>
  <si>
    <t>參見「蚰蜒」條。</t>
  </si>
  <si>
    <t>鈾</t>
  </si>
  <si>
    <t>(一)ㄧㄡˋ yòu（10929）</t>
  </si>
  <si>
    <t>鮋</t>
  </si>
  <si>
    <t>[名]
動物名。硬首魚綱鮋目。體長，側扁。頭大，具硬棘，有毒性。背鰭、胸鰭鰭條常延長如絲狀。生殖多為卵胎生，一次可生產千條以上的幼苗。為分布在溫帶和熱帶近海海域的肉食性魚類，種類很多。</t>
  </si>
  <si>
    <t>(一)[名]之語音。</t>
  </si>
  <si>
    <t>(一)ㄜˊ é（10241）</t>
  </si>
  <si>
    <t>斿</t>
  </si>
  <si>
    <t>[名]
古代旌旗上的飄帶。《周禮．春官．巾車》：「建大常，十有二斿，以祀。」《新唐書．卷二〇三．南蠻傳上．南詔傳上》：「王出，建八旗，紫若青，白斿。」
[動]
遨遊。同「游」。《漢書．卷二二．禮樂志》：「泛泛滇滇從高斿，殷勤此路臚所求。」</t>
  </si>
  <si>
    <t>游</t>
  </si>
  <si>
    <t>[動]
1.在水中行動。如：「游泳」。《詩經．邶風．谷風》：「就其淺矣，泳之游之。」《淮南子．墬形》：「食水者善游能寒，食士者無心而慧。」
2.遨遊。通「遊」。《墨子．貴義》：「子墨子南游於楚，見楚獻惠王。」
3.交往。通「遊」。《左傳．隱公三年》：「其子厚與州吁游，禁之不可。」
[形]
飄蕩不定。如：「游民」、「游資」、「氣若游絲」。《新唐書．卷九五．竇威傳》：「周洛間，因隋亂，人不土著，軌下令諸縣，有游手末作者按之，由是威信大行，民皆趨本。」
[名]
1.河流、江河的段落。如：「上游」、「中游」、「下游」。《詩經．秦風．蒹葭》：「溯洄從之，道阻且長，溯游從之，宛在水中央。」《史記．卷七．項羽本紀》：「古之帝者地方千里，必居上游。」
2.姓。如清代有游士鳳。</t>
  </si>
  <si>
    <t>遊</t>
  </si>
  <si>
    <t>[動]_x000D_
1.遨遊、玩耍。如：「夜遊」。《文選．古詩十九首．生年不滿百》：「晝短苦夜長，何不秉燭遊。」唐．杜甫〈滕王亭子〉詩二首之一：「人到于今歌出牧，來遊此地不知還。」_x000D_
2.旅行。《論語．里仁》：「子曰：『父母在，不遠遊，遊必有方。』」唐．于武陵〈訪道者不遇〉詩：「及戶無行跡，遊方應未歸。」_x000D_
3.交往、結交。如：「交遊」。《孟子．盡心上》：「舜之居深山之中，與木石居，與鹿豕遊。」_x000D_
4.行走。如：「遊行」。《禮記．曲禮上》：「遊毋倨，立毋跛，坐毋箕，寢毋伏。」唐．孔穎達．正義：「遊，行也。」_x000D_
5.閒逛。通「游」。如：「遊蕩」。《書經．五子之歌》：「乃盤遊無度，畋于有洛之表，十旬弗反。」_x000D_
6.求學。《孟子．盡心上》：「故觀於海者難為水，遊於聖人之門者難為言。」《後漢書．卷三五．張曹鄭列傳．鄭玄》：「玄自遊學十餘年，乃歸鄉里。」_x000D_
7.求仕、做官。《戰國策．秦策二》：「王獨不聞吳人之遊楚者乎？」漢．高誘．注：「遊，仕也。」_x000D_
8.說服。如：「遊說」。三國魏．李康〈運命論〉：「張良受黃石之符，誦三略之說，以遊於群雄。」_x000D_
9.自由運轉。參見「遊目」、「遊刃有餘」等條。</t>
  </si>
  <si>
    <t>蝣</t>
  </si>
  <si>
    <t>逌</t>
  </si>
  <si>
    <t>[形]
參見「逌然」、「逌爾」等條。
[助]
所。通「攸」。《漢書．卷二八．地理志上》：「漆、沮既從，酆水逌同。」唐．顏師古．注：「逌，古攸字也。攸，所也。」</t>
  </si>
  <si>
    <t>[動]
清理米臼，取出米臼中的米。《詩經．大雅．生民》：「或舂或揄，或簸或蹂。」漢．鄭玄．箋：「揄，抒臼也。」</t>
  </si>
  <si>
    <t>(一)ㄩˊ yú（11599）(二)ㄧㄠˊ yáo（10818）</t>
  </si>
  <si>
    <t>郵</t>
  </si>
  <si>
    <t>[名]
1.傳遞文書信件的機關。如：「郵局」。《孟子．公孫丑上》：「德之流行，速於置郵而傳命。」
2.郵票的簡稱。如：「集郵」。
3.過失。通「尤」。《詩經．小雅．賓之初筵》：「是曰既醉，不知其郵。」漢．鄭玄．箋：「郵，過也。」《漢書．卷一〇．成帝紀》：「天著變異，以顯朕郵，朕甚懼焉。」
4.姓。如春秋時有郵无恤。
[動]
寄、傳遞。如：「郵寄」、「郵遞」。清．惲敬〈潮州韓文公廟碑文〉：「為碑文郵之潮州，與潮之賢士大夫商公之故，且告後世焉。」
[副]
極、甚、格外。通「尤」。《列子．周穆王》：「魯之君子，迷之郵者，焉能解人之迷哉。」</t>
  </si>
  <si>
    <t>猶</t>
  </si>
  <si>
    <t>[名]
1.一種野獸，似猴而性多疑。《爾雅．釋獸》：「猶如麂，善登木。」北魏．酈道元《水經注．江水注》：「山多猶猢，似猴而短足，好遊巖樹。」
2.謀略。通「猷」。《詩經．大雅．常武》：「王猶允塞，徐方既來。」
3.姓。如宋代有猶道明。
[動]
如同。如：「過猶不及」、「雖死猶生」。《孟子．梁惠王上》：「以若所為求若所欲，猶緣木而求魚也。」
[副]
1.仍舊、還。如：「記憶猶新」、「言猶在耳」。《論語．微子》：「往者不可諫，來者猶可追。」
2.尚且。《左傳．宣公十二年》：「困獸猶鬥，況國相乎？」</t>
  </si>
  <si>
    <t>猷</t>
  </si>
  <si>
    <t>[名]
1.謀略、計畫。《爾雅．釋詁上》：「猷，謀也。」《書經．君陳》：「爾有嘉謀嘉猷，則入告爾后。」
2.道理、法則。《詩經．小雅．巧言》：「秩秩大猷，聖人莫之。」漢．鄭玄．箋：「猷，道也。大道，治國之禮法。」
3.姓。如漢代有猷康。
[動]
圖謀。《周禮．春官．家宗人》：「以猷鬼神示之居，辨其名物。」
[助]
發語詞，無義。《書經．大誥》：「猷大誥爾多邦，越爾御事。」</t>
  </si>
  <si>
    <t>楢</t>
  </si>
  <si>
    <t>[名]
植物名。殼斗科麻櫟屬，落葉喬木。樹皮暗灰色，有縱行長裂紋。葉形呈倒長卵形，邊緣有粗鋸齒，密布絹絲狀細毛。春日開花，排列成細長的疏穗狀花序。果實為堅果，橢圓形，表面有細小的鱗片。木材堅韌，可製器具。</t>
  </si>
  <si>
    <t>輶</t>
  </si>
  <si>
    <t>[名]
輕車。《說文解字．車部》：「輶，輕車也。」唐．韓愈、孟郊、李翶〈遠遊聯句〉：「馳深鼓利楫，趨險驚蜚輶。」
[形]
輕。《詩經．大雅．烝民》：「人亦有言，德輶如毛，民鮮克舉之。」《漢書．卷一〇〇．敘傳上》：「守孔約而不貳兮，乃輶德而無累。」</t>
  </si>
  <si>
    <t>蕕</t>
  </si>
  <si>
    <t>[名]
植物名。馬鞭草科蕕屬，多年生草本。莖方形，葉對生，廣卵形，鋸齒緣，含臭氣，兩面被黃色腺點及柔毛。繖房狀聚繖花序密集，花冠二脣形，紫碧色。果四瓣裂。也稱為「灰葉蕕」、「蘭香草」。</t>
  </si>
  <si>
    <t>通「由」。</t>
  </si>
  <si>
    <t>(二)ㄧㄠˊ yáo（10831）(三)ㄓㄡˋ zhòu（07768）</t>
  </si>
  <si>
    <t>(一)ㄔㄡˊ chóu（08340）</t>
  </si>
  <si>
    <t>友</t>
  </si>
  <si>
    <t>ㄧㄡˇ</t>
  </si>
  <si>
    <t>yǒu</t>
  </si>
  <si>
    <t>[名]
意氣相投、情誼互通的人。如：「好友」、「益友」、「至友」。《詩經．小雅．常棣》：「雖有兄弟，不如友生。」唐．柳宗元〈師友箴〉：「為人友者，不以道而以利，舉世無友。」
[動]
1.兄弟相親相愛。《書經．康誥》：「兄亦不念鞠子哀，大不友于弟。」《南史．卷六〇．傅昭傳》：「昭弟映，字徽遠，三歲而孤。兄弟友睦，修身勵行，非禮不動。」
2.結交。《史記．卷三七．衛康叔世家》：「鄭伯弟段攻其兄，不勝，亡，而州吁求與之友。」
3.親愛。《詩經．周南．關雎》：「窈窕淑女，琴瑟友之。」
[形]
有友好關係的。如：「友軍」、「友邦」。</t>
  </si>
  <si>
    <t>有</t>
  </si>
  <si>
    <t>[動]
表事實、狀況的正面存在，與「無」相對。如：「有困難」、「有利有弊」、「有學問」、「有錢」、「擁有」、「面有飢色」。
[形]
1.豐足、富裕。如：「他是個非常富有的人。」《詩經．大雅．公劉》：「止基迺理，爰眾爰有。」
2.多，表示時間久或年齡大。如：「本店開設有年。」、「母親已有了年紀。」
3.故意。如：「有心犯錯應嚴懲，無心疏忽可原諒。」
[綴]
置於名詞前，作音節的襯字。如：「有夏」、「有清」。《韓非子．五蠹》：「當舜之時，有苗不服，禹將伐之。」
[代]
某，表示不確定。如：「有一天晚上」、「有人說你做人很講義氣。」
[名]
姓。如漢代有有祿。</t>
  </si>
  <si>
    <t>(二)ㄧㄡˋ yòu（10922）</t>
  </si>
  <si>
    <t>銪</t>
  </si>
  <si>
    <t>[名]
（europium，Eu）化學元素。原子序63。稀土金屬元素之一。較軟，具銀白色光澤，延展性佳，存於火成岩中。吸收熱中子能力很強，常用於核反應爐中作吸收中子的材料。</t>
  </si>
  <si>
    <t>酉</t>
  </si>
  <si>
    <t>[名]
1.地支的第十位。
2.時辰名。約當下午的五時至七時。
3.姓。如三國時魏國有酉牧。
4.二一四部首之一。</t>
  </si>
  <si>
    <t>庮</t>
  </si>
  <si>
    <t>[名]
1.舊屋的朽木。《說文解字．广部》：「庮，久屋朽木。」《玉篇．广部》：「庮，朽木也，久屋木也。」
2.朽木的臭氣。《廣韻．上聲．有韻》：「庮，朽木臭也。」《周禮．天官．內饔》：「牛夜鳴則庮。」鄭玄注引鄭司農曰：「庮，朽木臭也。」</t>
  </si>
  <si>
    <t>槱</t>
  </si>
  <si>
    <t>[動]
聚積乾柴焚燒。為一種古代祭祀的儀式。《說文解字．木部》：「槱，積火燎之。」《詩經．大雅．棫樸》：「芃芃棫樸，薪之槱之。」漢．毛亨．傳：「槱，積也。」《周禮．春官．大宗伯》：「以槱燎祀司中、司命、飌師、雨師。」</t>
  </si>
  <si>
    <t>卣</t>
  </si>
  <si>
    <t>[名]
古代一種盛酒的器具。其形製粗口、大肚、頂上有蓋且有提梁。《爾雅．釋器》：「卣，器也。」晉．郭璞．注：「盛酒尊。」</t>
  </si>
  <si>
    <t>羑</t>
  </si>
  <si>
    <t>[動]
誘導從善。《玉篇．羊部》：「羑，導也，進也，善也。今作誘。」《書經．康王之誥》：「惟周文武，誕受羑若，克恤西土。」</t>
  </si>
  <si>
    <t>莠</t>
  </si>
  <si>
    <t>(一)ㄧㄡˋ yòu（10931）</t>
  </si>
  <si>
    <t>蚴</t>
  </si>
  <si>
    <t>[形]
龍、蛇盤結蜷曲的樣子。《文選．司馬相如．上林賦》：「青龍蚴蟉於東葙，象輿婉僤於西清。」</t>
  </si>
  <si>
    <t>黝</t>
  </si>
  <si>
    <t>[形]
青黑色的。《說文解字．黑部》：「黝，微青黑色。」如：「黝黑」。漢．王充《論衡．自紀》：「使面黝而黑醜，垢重襲而覆部，占射之者，十而失九。」</t>
  </si>
  <si>
    <t>牖</t>
  </si>
  <si>
    <t>[名]
窗戶。《書經．顧命》：「牖間南嚮，數重篾席。」唐．李公佐《南柯太守傳》：「吾與諸女坐北牖石榻上，時君少年，亦解騎來看。」
[動]
誘導。參見「牖民」條。</t>
  </si>
  <si>
    <t>懮</t>
  </si>
  <si>
    <t>[形]
懮受：從容悠閒的樣子。《玉篇．心部》：「懮，懮受，舒遲之貌。」《詩經．陳風．月出》：「舒懮受兮，勞心慅兮。」</t>
  </si>
  <si>
    <t>又</t>
  </si>
  <si>
    <t>ㄧㄡˋ</t>
  </si>
  <si>
    <t>yòu</t>
  </si>
  <si>
    <t>[副]
1.表示重複或反覆。如：「一天又一天」、「看了又看」。唐．白居易〈賦得古原草送別〉詩：「野火燒不盡，春風吹又生。」
2.表示加強、加重的語氣。有「並」的意思。如：「你又不是三歲小孩子，怎麼不懂這個？」《史記．卷一二四．游俠傳．序》：「要以功見言信，俠客之義又曷可少哉？」
3.表示意思更進一層。如：「他的病又加重了。」
4.表示轉折。相當於「卻」。《墨子．節葬下》：「欲以干上帝鬼神之福，又得禍焉。」
[連]
1.用來連結平列的詞意，表示同時存在。如：「做得又快又好。」、「他又唱又跳。」《詩經．豳風．破斧》：「既破我斧，又缺我斨。」南朝齊．陸厥〈與沈約書〉：「辭既美矣，理又善焉。」
2.表示先後連接的情況或動作。如：「剛吃完飯又看起書來。」
3.表示數目的附加。如：「一又二分之一。」
[名]
二一四部首之一。</t>
  </si>
  <si>
    <t>右</t>
  </si>
  <si>
    <t>[名]
1.表示方向、位置。相對於「左」。如：「向右轉」、「前後左右」。
2.地理位置上，方向面向南時，指西邊。如：「江右」、「隴右」。《儀禮．士虞禮》：「陳三鼎于門外之右。」唐．溫庭筠〈過五丈原〉詩：「天晴殺氣屯關右，夜半妖星照渭濱。」
3.上位。《管子．七法》：「故聚天下之精財，論百工之銳器，春秋角試，以練精銳為右。」《史記．卷八一．廉頗藺相如傳》：「既罷歸國，以相如功大，拜為上卿，位在廉頗之右。」
4.豪強。《後漢書．卷四六．陳寵傳》：「西州豪右并兼，吏多姦貪，訴訟日百數。」
5.姓。如漢代有右公弼。
[動]
1.佐助。通「佑」。《左傳．襄公十年》：「天子所右，寡君亦右之。」宋．陳亮〈甲辰秋答朱元晦祕書〉：「只如太宗亦只是發他英雄之心，豈右其為霸哉！」
2.親近、袒護。《戰國策．魏策二》：「衍將右韓而左魏，文將右齊而左魏。」《新唐書．卷九七．魏徵傳》：「議者頗言司馬品高，郎官、刺史迭處，不可以授賤工，帝意右之。」
3.崇尚。《淮南子．氾論》：「兼愛尚賢，右鬼非命，墨子之所立也。」唐．劉禹錫〈天論上〉：「右賢尚功，建極閑邪，人之能也。」</t>
  </si>
  <si>
    <t>佑</t>
  </si>
  <si>
    <t>[動]
扶助、保護。如：「保佑」、「神佑」。《漢書．卷三九．蕭何傳》：「高祖為亭長，常佑之。」唐．白居易〈除裴垍中書侍郎同平章事制〉：「咸克佑我烈祖，格于皇天。」</t>
  </si>
  <si>
    <t>祐</t>
  </si>
  <si>
    <t>[動]
神明護助。如：「保祐」、「庇祐」。《晉書．卷六二．祖逖傳》：「方平河北，而天欲殺我，此乃不祐國也。」唐．白行簡《李娃傳》：「欺天負人，鬼神不祐。」
[名]
福祉。漢．王充《論衡．福虛》：「埋一蛇獲二福，如埋十蛇得幾祐乎？」</t>
  </si>
  <si>
    <t>幼</t>
  </si>
  <si>
    <t>[名]
小孩子。如：「男女老幼」、「扶老攜幼」。唐．韋應物〈送楊氏女〉詩：「幼為長所育，兩別泣不休。」
[動]
愛護。《孟子．梁惠王上》：「幼吾幼以及人之幼。」漢．趙岐．注：「幼，猶愛也。」
[形]
1.年紀小的。如：「幼年」、「幼小」、「幼童」。
2.初生的。如：「幼蟲」、「幼苗」、「幼娥」。
3.知識淺薄、不成熟。如：「他的思想行為太過幼稚，不足以擔當大任。」</t>
  </si>
  <si>
    <t>[副]
表示重複、反覆、連續。通「又」。唐．裴守真〈請重耕織表〉：「奸偽由此而生，黎庶緣斯而苦，此有國之大患也。」
[連]
用於整數與餘數之間，表示數目的附加。如：「七十有七人」。《論語．為政》：「吾十有五而志於學，三十而立。」</t>
  </si>
  <si>
    <t>(一)ㄧㄡˇ yǒu（10905）</t>
  </si>
  <si>
    <t>侑</t>
  </si>
  <si>
    <t>[動]
1.勸人飲食。如：「侑酒」、「侑宴」。《詩經．小雅．楚茨》：「以為酒食，以享以祀，以妥以侑，以介景福。」《周禮．天官．膳夫》：「以樂侑食，膳夫授祭品嘗食，王乃食。」
2.報答。宋．歐陽修〈祭尹師魯文〉：「子於眾人，最愛予文，寓辭千里，侑此一樽。」
3.饒恕、寬恕。通「宥」。《管子．法法》：「文有三侑，武毋一赦。」《禮記．禮器》：「周坐尸詔侑武方，其禮亦然，其道一也。」</t>
  </si>
  <si>
    <t>宥</t>
  </si>
  <si>
    <t>[動]
1.寬厚仁慈的對待。《說文解字．宀部》：「宥，寬也。」三國魏．嵇康〈答向子期難養生論〉：「聖人不得已而臨天下，以萬物為心，在宥群生。」
2.寬恕、赦免。如：「寬宥」、「宥過」。《左傳．莊公二十二年》：「幸若獲宥，及其寬政。」晉．杜預．注：「宥，赦也。」
[形]
參見「宥密」條。</t>
  </si>
  <si>
    <t>囿</t>
  </si>
  <si>
    <t>[名]
1.有圍牆的園林，通常用作畜養禽獸的場所。如：「園囿」、「鹿囿」。《詩經．大雅．靈臺》：「王在靈囿，麀鹿攸伏。」漢．毛亨．傳：「囿，所以域養禽獸也。」
2.事物聚集的地方。《文選．司馬相如．上林賦》：「游于六藝之囿，馳騭乎仁義之塗。」《鏡花緣》第二三回：「門上有副對聯，寫的是：優游道德之場，休息篇章之囿。」
[動]
1.拘束、局限。如：「囿於成見」、「囿於一隅」。《莊子．徐无鬼》：「辯士无談說之序，則不樂，察士无凌誶之事，則不樂，皆囿於物者也。」宋．蘇軾〈宸奎閣碑〉：「是時，北方之為佛者，皆留于名相，囿于因果。」
2.聚集。《莊子．則陽》：「湯得其司御門尹登恆為之傅之，從師而不囿。」《史記．卷一一七．司馬相如傳》：「然後囿騶虞之珍群，徼麋鹿之怪獸。」</t>
  </si>
  <si>
    <t>狖</t>
  </si>
  <si>
    <t>[名]
黑色的長尾猴。《淮南子．覽冥》：「猿狖顛蹶而失木枝。」漢．高誘．注：「狖，猿屬，長尾而卬鼻。」唐．李白〈擬恨賦〉：「聽江風之嫋嫋，聞嶺狖之啾啾。」</t>
  </si>
  <si>
    <t>柚</t>
  </si>
  <si>
    <t>[名]
植物名。芸香科柑桔屬，常綠喬木。枝條粗大，帶刺。葉大而厚，長卵形，葉柄有倒心形寬翼。初夏開白花，花四至八枚簇生於枝端葉腋，成聚繖花序，花瓣長十五至二十公厘；雄蕊二十至二十五枚。果實即柚子，球形或梨形，皮淡黃或黃綠色，質厚而粗，果肉白色、淡紅色或紫紅色，可食用。</t>
  </si>
  <si>
    <t>釉</t>
  </si>
  <si>
    <t>[名]
塗覆在陶瓷表面，使之有光澤的顏料。參見「釉藥」條。</t>
  </si>
  <si>
    <t>[名]
（uranium，U）化學元素。原子序92。金屬元素之一。呈銀白色，質硬，易溶於酸，具放射性，其化合物有毒。可作為核能、催化劑、釉藥等原料。</t>
  </si>
  <si>
    <t>(二)（又音）ㄧㄡˊ yóu（10887）</t>
  </si>
  <si>
    <t>鼬</t>
  </si>
  <si>
    <t>[名]
食肉目貂科鼬屬動物的總稱。體型大小不一，嗅覺、視覺靈敏，動作迅捷。身體細長、足短，適於在石隙、洞穴中捕食，以鼠類、松鼠為食。穴居，晝伏夜出，梟類為其主要天敵。</t>
  </si>
  <si>
    <t>[名]
1.禾本科「狗尾草」的別名。參見「狗尾草」條。
2.不好的人或事物。如：「良莠不齊」。
[形]
壞的、惡的。參見「莠言」、「莠民」等條。</t>
  </si>
  <si>
    <t>(二)（又音）ㄧㄡˇ yǒu（10912）</t>
  </si>
  <si>
    <t>誘</t>
  </si>
  <si>
    <t>[動]
1.教導、勸導。如：「誘導」、「諄諄善誘」。《論語．子罕》：「夫子循循然善誘人。」
2.用言語、行動來打動別人，使人上當。如：「引誘」、「誘惑」、「誘騙」。《書經．費誓》：「竊馬牛，誘臣妾，汝則有常刑！」</t>
  </si>
  <si>
    <t>[形]
服飾華美的樣子。《集韻．去聲．宥韻》：「褎，盛飾貌。」《詩經．邶風．旄丘》：「叔兮伯兮，褎如充耳。」
[副]
秧苗漸長的樣子。唐．皮日休〈茶中雜詠〉一〇首之三：「褎然三五寸，生必依巖洞。」</t>
  </si>
  <si>
    <t>(二)ㄒㄧㄡˋ xiù（07061）</t>
  </si>
  <si>
    <t>奄</t>
  </si>
  <si>
    <t>ㄧㄢ</t>
  </si>
  <si>
    <t>yān</t>
  </si>
  <si>
    <t>[名]
被割掉生殖器的人。通「閹」。如：「奄豎」。《新唐書．卷一三六．李光弼傳．贊曰》：「及困於口舌，不能以忠自明，奄侍內構，遂陷嫌隙。」
[動]
滯留。通「淹」。南朝宋．謝靈運〈登永嘉綠嶂山詩〉：「踐夕奄昏曙，蔽翳皆周悉。」
[副]
久。通「淹」。如：「奄留」。《詩經．周頌．臣工》：「命我眾人，庤乃錢鎛，奄觀銍艾。」</t>
  </si>
  <si>
    <t>(一)ㄧㄢˇ yǎn（10986）</t>
  </si>
  <si>
    <t>淹</t>
  </si>
  <si>
    <t>[動]
1.浸漬。《玉篇．水部》：「淹，漬也。」《楚辭．劉向．九歎．怨思》：「淹芳芷於腐井兮，棄雞駭於筐簏。」唐．韓偓〈春盡日〉詩：「柳腰入戶風斜倚，榆莢堆牆水半淹。」
2.滯留、停留。《楚辭．屈原．離騷》：「日月忽其不淹兮，春與秋其代序。」唐．孟浩然〈贈王九〉詩：「日暮田家遠，山中勿久淹。」
3.水分長時間附著在皮膚上，而令人感覺不舒服。如：「胳肢窩被汗淹得難受。」
[副]
深入、精通。南朝梁．劉勰《文心雕龍．體性》：「平子淹通，故慮周而藻密。」《新唐書．卷一一二．王義方傳》：「淹究經術，性謇特，高自標樹。」</t>
  </si>
  <si>
    <t>(二)ㄧㄢˋ yàn（11031）</t>
  </si>
  <si>
    <t>崦</t>
  </si>
  <si>
    <t>[名]
1.參見「崦嵫」條。
2.山。唐．李商隱〈送從翁從東川弘農尚書幕〉詩：「一川虛月魄，萬崦自芝苗。」《三國演義》第七六回：「山崦內又有兩軍撞出，左邊丁奉，右邊徐盛。」</t>
  </si>
  <si>
    <t>同「醃」。</t>
  </si>
  <si>
    <t>(一)ㄤ āng（10448）(二)（(一)之又音）ㄚ ā（10225）</t>
  </si>
  <si>
    <t>醃</t>
  </si>
  <si>
    <t>[動]
用鹽、糖、酒等調味料浸漬食物。如：「醃肉」。《水滸傳》第四五回：「宰了的牲口醃了罷，從今日便休要做買賣。」</t>
  </si>
  <si>
    <t>閹</t>
  </si>
  <si>
    <t>[名]
被割去生殖器的人。古代多指宦官。《國語．晉語二》：「公令閹楚刺重耳，重耳逃于狄。」清．方苞〈左忠毅公軼事〉：「逆閹防伺甚嚴，雖家僕不得近。」
[動]
割去雄性的生殖器官。如：「閹雞」、「閹牛」。《醒世恆言．卷二四．隋煬帝逸遊召譴》：「義乃出，自閹以求進。」</t>
  </si>
  <si>
    <t>參見「咽頭」、「咽喉」等條。</t>
  </si>
  <si>
    <t>(二)ㄧㄢˋ yàn（11023）(三)ㄧㄝˋ yè（10765）</t>
  </si>
  <si>
    <t>胭</t>
  </si>
  <si>
    <t>[名]
1.同「咽」(一)。
2.參見「胭脂」條。</t>
  </si>
  <si>
    <t>殷</t>
  </si>
  <si>
    <t>[形]
紅黑色的。《廣韻．平聲．山韻》：「殷，赤黑色。」唐．白居易〈遊悟真寺詩〉：「白珠垂露凝，赤珠滴血殷。」</t>
  </si>
  <si>
    <t>(一)ㄧㄣ yīn（11074）(三)ㄧㄣˇ yǐn（11105）</t>
  </si>
  <si>
    <t>焉</t>
  </si>
  <si>
    <t>[代]_x000D_
1.具指示作用，相當於「之」、「此」、「這裡」。如：「心不在焉」。《左傳．僖公二十三年》：「子女玉帛，則君有之；羽毛齒革，則君地生焉。」《論語．衛靈公》：「眾好之，必察焉。」_x000D_
2.表疑問稱代。相當於「哪裡」、「誰」、「甚麼」。《列子．湯問》：「以君之力，曾不能損魁父之丘，如太行、王屋何？且焉置土石？雜曰：『投諸渤海之尾，隱土之北。』」《孔叢子．記問》：「周道衰微，禮樂陵遲，文武既墜，吾將焉歸？」晉．陶淵明〈歸去來辭〉：「歸去來兮，請息交以絕游。世與我而相遺，復駕言兮焉求？」_x000D_
3.兼有介詞加代詞的功能，相當於「於此」。《左傳．隱公元年》：「制，巖邑也。虢叔死焉，佗邑唯命。」《荀子．勸學》：「積土成山，風雨興焉；積水成淵，蛟龍生焉。」_x000D_
[副]_x000D_
具反詰作用。相當於「豈」、「如何」、「哪裡」。如：「塞翁失馬，焉知非福。」《論語．先進》：「未能事人，焉能事鬼。」《史記．卷一一七．司馬相如列傳》：「且夫齊楚之事又焉足道邪！」_x000D_
[介]_x000D_
相當於「於」。《孟子．盡心上》：「人莫大焉亡親戚君臣上下，以其小者信其大者，奚可哉？」_x000D_
[連]_x000D_
承接上文，以表示後果。相當於「乃」、「就」。《墨子．兼愛上》：「必知亂之所自起，焉能治之。」_x000D_
[助]_x000D_
1.表示語氣，置句末：(1)表示肯定。相當於「也」、「矣」。唐．柳宗元〈封建論〉：「夫假物者必爭，爭而不已，必就其能斷曲直者而聽命焉。」(2)表示疑問。相當於「耶」、「呢」。《史記．卷六一．伯夷列傳》：「及夏之時，有卞隨、務光者，此何以稱焉？」(3)表示感嘆。相當於「啊」。《史記．卷一〇二．張釋之馮唐列傳．張釋之》：「使其中無可欲者，雖無石椁，又何戚焉！」_x000D_
2.表示結構關係，用在賓語前置的動詞之前。《左傳．隱公六年》：「我周之東遷，晉、鄭焉依。」《國語．吳語》：「今王播棄黎老，而孩童焉比謀。」_x000D_
[綴]_x000D_
表示狀態，用於形容詞或副詞詞尾。相當於「然」、「樣子」。如：「於我心有戚戚焉。」《書經．秦誓》：「其心休休焉，其如有容。」《論語．子罕》：「瞻之在前，忽焉在後。」</t>
  </si>
  <si>
    <t>鄢</t>
  </si>
  <si>
    <t>[名]
1.國名。春秋時周屬國之一，妘姓。為鄭所滅，改名鄢陵，故址約在今大陸地區河南省鄢陵縣境。
2.姓。如明代有鄢高。</t>
  </si>
  <si>
    <t>嫣</t>
  </si>
  <si>
    <t>[形]
美豔、豔麗。如：「奼紫嫣紅」。五代十國南唐．馮延巳〈三臺令．春色〉詞：「日斜柳暗花嫣，醉臥春色少年。」</t>
  </si>
  <si>
    <t>[形]
枯萎、不新鮮的。唐．韓偓〈春盡日〉詩：「樹頭初日照西簷，樹底蔫花夜雨霑。」</t>
  </si>
  <si>
    <t>(二)ㄋㄧㄢ niān（03080）</t>
  </si>
  <si>
    <t>湮</t>
  </si>
  <si>
    <t>(一)ㄧㄣ yīn（11070）</t>
  </si>
  <si>
    <t>煙</t>
  </si>
  <si>
    <t>[名]
1.物質燃燒時所產生的氣狀物。《說文解字．火部》：「煙，火氣也。」如：「炊煙」、「狼煙」。唐．王維〈使至塞上〉詩：「大漠孤煙直，長河落日圓。」
2.山川間像煙一樣的水氣。如：「雲煙」、「煙嵐」。《文選．左思．吳都賦》：「飛爓浮煙，載霞載陰。」
3.煙氣所凝結而成的黑灰，常用以製墨。如：「油煙」、「桐煙」、「鍋煙」。《文選．曹植．樂府詩》：「墨出青松煙，筆出狡兔翰。」
4.特指鴉片。如：「煙土」、「大煙」、「抽大煙」。
5.通「菸」。</t>
  </si>
  <si>
    <t>菸</t>
  </si>
  <si>
    <t>[名]
1.植物名。茄科菸草屬，「菸草」之簡稱，參見「菸草」條。
2.菸草的製成品。如：「香菸」、「抽菸」、「雪茄菸」。</t>
  </si>
  <si>
    <t>(二)ㄩˊ yú（11577）</t>
  </si>
  <si>
    <t>參見「閼氏」條。</t>
  </si>
  <si>
    <t>(一)ㄜˋ è（10305）(三)ㄩˋ yù（11696）</t>
  </si>
  <si>
    <t>厭</t>
  </si>
  <si>
    <t>參見「厭厭」條。</t>
  </si>
  <si>
    <t>(一)ㄧㄢˋ yàn（11043）</t>
  </si>
  <si>
    <t>懨</t>
  </si>
  <si>
    <t>參見「懨懨」條。</t>
  </si>
  <si>
    <t>燕</t>
  </si>
  <si>
    <t>[名]
1.國名：(1)周代姬姓諸侯國，故址在今大陸地區河北、遼寧及韓國北部。為戰國七雄之一，後為秦所滅。(2)東晉時鮮卑慕容氏稱帝，國號燕，分為前燕、後燕、西燕、南燕、北燕。
2.姓。如漢代有燕倉。</t>
  </si>
  <si>
    <t>(一)ㄧㄢˋ yàn（11045）</t>
  </si>
  <si>
    <t>言</t>
  </si>
  <si>
    <t>ㄧㄢˊ</t>
  </si>
  <si>
    <t>yán</t>
  </si>
  <si>
    <t>[動]
1.說、講。如：「難言之隱」、「大言不慚」、「苦不堪言」、「知無不言，言無不盡。」
2.談論。《論語．學而》：「賜也，始可與言詩已矣。」宋．蘇軾〈日喻〉：「故世之言道者，或即其所見而名之。」
3.陳述。唐．白居易〈琵琶行〉：「自言本是京城女，家在蝦蟆陵下住。」
4.詢問。《左傳．昭公二十五年》：「叔孫氏之司馬鬷戾言於其眾曰：『若之何？』莫對。」
5.告訴、告知。《史記．卷九七．陸賈傳》：「酈生瞋目案劍叱使者曰：『走！復入言沛公，吾高陽酒徒也，非儒人也。』」
[名]
1.話語、所說的話。如：「有言在先」、「忠言逆耳」、「人言可畏」。《論語．公冶長》：「今吾於人也，聽其言而觀其行。」
2.字。如：「七言詩」、「共三十萬言」。《論語．衛靈公》：「子貢問曰：『有一言而可以終身行之者乎？』子曰：『其恕乎！』」
3.一句話稱為「一言」。如：「一言興邦」、「一言以蔽之」、「君子一言既出，駟馬難追。」
4.學說、言論。如：「一家之言」。《孟子．滕文公下》：「楊朱、墨翟之言盈天下。天下之言，不歸楊則歸墨。」《韓非子．孤憤》：「又將以法術之言，矯人主阿辟之心，是與人主相反也。」
5.姓。如春秋時有言偃。
6.二一四部首之一。
[助]
語助詞，無義：(1)置於句首。《詩經．衛風．氓》：「夙興夜寐，靡有朝矣。言既遂矣，至于暴矣。」《左傳．僖公九年》：「凡我同盟之人，既盟之後，言歸於好。」(2)置於句中。《易經．繫辭上》：「德言盛，禮言恭。」《詩經．邶風．泉水》：「駕言出遊，以寫我憂。」</t>
  </si>
  <si>
    <t>(二)ㄧㄣˊ yín（11078）</t>
  </si>
  <si>
    <t>妍</t>
  </si>
  <si>
    <t>[形]
豔麗、美好。如：「不辨蚩妍」、「百花爭妍」。《文選．陸機．挽歌詩三首之二》：「豐肌饗螻蟻，妍姿永夷泯。」《文選．鮑照．蕪城賦》：「才力雄富，士馬精妍。」</t>
  </si>
  <si>
    <t>研</t>
  </si>
  <si>
    <t>[動]
1.磨細、碾碎。如：「研墨」、「研成粉末」。《紅樓夢》第三四回：「晚上把這藥用酒研開，替他敷上。」
2.深入探究。如：「研究」、「研讀功課」。《晉書．卷六九．戴若思傳》：「思理足以研幽，才鑒足以辯物。」</t>
  </si>
  <si>
    <t>(二)ㄧㄢˋ yàn（11022）</t>
  </si>
  <si>
    <t>[形]
獸蹄平正。《爾雅．釋畜》：「騉蹄趼，善陞甗。」宋．邢昺．疏：「趼，平也，謂蹄平正。」</t>
  </si>
  <si>
    <t>(一)ㄐㄧㄢˇ jiǎn（05778）</t>
  </si>
  <si>
    <t>揅</t>
  </si>
  <si>
    <t>[動]
磨細。同「研」(一)。</t>
  </si>
  <si>
    <t>鳽</t>
  </si>
  <si>
    <t>[名]
動物名。即鵁鶄。涉禽類鸛形目。頭頸為赤褐色，體白，喙長，腳高，胸背有疏鬆的毛。產於大陸地區南部及印度。</t>
  </si>
  <si>
    <t>沿</t>
  </si>
  <si>
    <t>[動]
1.順流而下。《說文解字．水部》：「沿，緣水而下也。」《書經．禹貢》：「沿于江海，達於淮泗。」
2.順著。如：「沿途」、「沿街叫賣」。《紅樓夢》第一一回：「仰緝捕人員，將帶做公的，沿鄉歷邑，道店村坊，畫影圖形。」
3.因循、遵照舊樣。如：「相沿成習」。《三國志．卷六五．吳書．韋曜傳》：「三王不相因禮，五帝不相沿樂。」
4.縫合衣服或被褥的邊緣。參見「沿邊兒」條。
5.靠近水邊。如：「沿海」、「沿岸」。</t>
  </si>
  <si>
    <t>(二)ㄧㄢˋ yàn（11018）</t>
  </si>
  <si>
    <t>鈆</t>
  </si>
  <si>
    <t>[名]
古部族名。《爾雅．釋地》：「東至於泰遠，西至於邠國，南至於濮鈆，北至於祝栗，謂之四極。」</t>
  </si>
  <si>
    <t>[名]
(一)之讀音。
[動]
循。通「沿」。《荀子．禮論》：「越月踰時，則必反鉛過故鄉。」唐．楊倞．注：「鉛與沿同循也。」</t>
  </si>
  <si>
    <t>(一)ㄑㄧㄢ qiān（06450）</t>
  </si>
  <si>
    <t>炎</t>
  </si>
  <si>
    <t>[動]
1.火光上升。《說文解字．炎部》：「炎，火光上也。」《書經．洪範》：「水曰潤下，火曰炎上。」孔穎達正義引王肅曰：「火之性，炎盛而升上。」
2.焚燒。《書經．胤征》：「火炎崑岡，玉石俱焚。」《後漢書．卷三．肅宗孝章帝紀》引漢．章帝〈禱雨詔〉：「去秋雨澤不適，今時復旱，如炎如焚。」《晉書．卷八七．列傳．涼武昭王李玄盛》：「飛塵翕以蔽日，大火炎其燎原。」
[名]
1.得病時發熱、紅腫、疼痛的現象。如：「發炎」、「肺炎」、「盲腸炎」。
2.比喻擁有炙人權勢者。唐．柳宗元〈宋清傳〉：「吾觀今之交乎人者，炎而附，寒而棄，鮮有能類清之為者。」《三俠五義》第六二回：「觀內當家的叫做吳道成，生的黑面大腹，自稱綽號鐵羅漢，一身好武藝，慣會趨炎附勢。」
3.炎帝，即上古傳說中之神農氏，與黃帝合稱「炎黃」。《呂氏春秋．孟秋紀．蕩兵》：「兵所自來者久矣，黃炎故用水火矣，共工氏固次作難矣，五帝固相與爭矣。」《漢書．卷三三．魏豹田儋韓王信傳》：「周室既壞，至春秋末，諸侯秏盡，而炎黃唐虞之苗裔尚猶頗有存者。」
4.火光，火焰。漢．張衡〈西京賦〉：「光炎燭天庭，囂聲震海浦。」《大正藏．史傳部．唐．僧詳．法華經傳記．卷九．王舍城旃陀羅子》：「驅吾入火車持拳，率在三方相副，火籠在頭上，隨振火迸如鐵火，繩率在前導，各口吐火炎。」
[形]
酷熱、極熱。如：「炎熱」、「炎夏」。《楚辭．屈原．九章．悲回風》：「觀炎氣之相仍兮，窺煙液之所積。」唐．柳宗元〈籠鷹詞〉：「炎風溽暑忽然至，羽翼脫落自摧藏。」</t>
  </si>
  <si>
    <t>岩</t>
  </si>
  <si>
    <t>[名]
1.同「巖」。如：「岩石」、「岩洞」。
2.構成地殼的石質，多為礦物的集合體。如：「火成岩」、「沉積岩」、「花岡岩」。</t>
  </si>
  <si>
    <t>延</t>
  </si>
  <si>
    <t>[形]
長。《文選．班固．西都賦》：「歷十二之延祚，故窮泰而極侈。」晉．左思〈嬌女詩〉：「從容好趙舞，延袖像飛翮。」
[動]
1.拉長、伸長。如：「延長」、「延年益壽」。《韓非子．十過》：「延頸而鳴，舒翼而舞。」晉．慕容廆〈與陶侃箋〉：「每瞻江湄，延首遐外。」
2.擴展、蔓衍。如：「火勢蔓延」。《文選．潘岳．關中詩》：「微火不戒，延我寶庫。」明．徐弘祖《徐霞客遊記．卷一上．遊九鯉湖日記》：「松偃藤延，縱目成勝。」
3.引導、引進。如：「延入」。《文選．賈誼．過秦論》：「秦人開關而延敵。」《漢書．卷六八．霍光傳》：「獨夜設九賓溫室，延見姊夫昌邑關內侯。」
4.招攬、邀請。如：「延請」、「延攬人才」。《紅樓夢》第一〇九回：「那知賈母這病日重一日，延醫調治不效。」
5.連及。如：「禍延子孫」。《書經．大禹謨》：「罰弗及嗣，賞延於世。」
6.向後推遲。如：「拖延」、「延期」。
[副]
遲緩。如：「延誤」、「延緩」。
[名]
姓。如漢代有延岑。</t>
  </si>
  <si>
    <t>[名]
1.荒遠的地方。《文選．司馬相如．封禪文》：「上暢九垓，下泝八埏。」李善注引孟康曰：「埏，地之八際也。」
2.墓道。《文選．潘岳．哀永逝文》：「撫靈櫬兮訣幽房，棺冥冥兮埏窈窕。」李善注引《聲類》曰：「埏，墓隧也。」</t>
  </si>
  <si>
    <t>(二)ㄕㄢ shān（08922）</t>
  </si>
  <si>
    <t>郔</t>
  </si>
  <si>
    <t>[名]
地名：(1)春秋時鄭國邑地，約在今河南省鄭縣境內。(2)春秋時楚地，約在今大陸地區河南省項城縣境。</t>
  </si>
  <si>
    <t>蜒</t>
  </si>
  <si>
    <t>參見「蜒蚰」、「蜒蜒」等條。</t>
  </si>
  <si>
    <t>筵</t>
  </si>
  <si>
    <t>[名]
1.古時席地而坐時所鋪的席子。《禮記．投壺》：「退反位，揖賓就筵。」
2.酒席、宴席。如：「喜筵」、「壽筵」。唐．王勃〈滕王閣序〉：「嗚呼！勝地不常，盛筵難再。」</t>
  </si>
  <si>
    <t>綖</t>
  </si>
  <si>
    <t>[名]
古代垂覆在帽子前後的飾物。《玉篇．糸部》：「綖，冕前後垂。」《左傳．桓公二年》：「帶裳幅舄，衡紞紘綖。」
[動]
拖延、延緩。《呂氏春秋．審分覽．勿躬》：「若此則形性彌羸，而耳目愈精；百官慎職，而莫敢愉綖。」</t>
  </si>
  <si>
    <t>(一)ㄉㄧㄢˋ diàn（02237）</t>
  </si>
  <si>
    <t>閆</t>
  </si>
  <si>
    <t>[名]
姓。俗用為閻的略字。</t>
  </si>
  <si>
    <t>嵒</t>
  </si>
  <si>
    <t>[名]
山巖、山崖。同「巖」。《文選．嵇康．琴賦》：「且其山川形勢，則盤紆隱深，磪嵬岑嵒。」《鏡花緣》第四六回：「此處不獨清秀幽僻，而且前面層嵒錯落。」</t>
  </si>
  <si>
    <t>碞</t>
  </si>
  <si>
    <t>[形]
山石高峻的樣子。《說文解字．石部》：「碞，磛碞也。」清．段玉裁．注：「磛碞，……積石高峻貌也。」
[名]
僭越失序之事。《書經．召誥》：「用顧畏于民碞。」漢．孔安國．傳：「碞，僭也。又當顧畏於下民僭差禮儀。」</t>
  </si>
  <si>
    <t>[名]
動物體內因細胞不正常增生所形成的惡性腫瘤。其對周圍組織具有高度浸潤傷害性，使病灶發生轉移，並引起惡病質，而導致死亡。如：「肝癌」、「肺癌」、「皮膚癌」。</t>
  </si>
  <si>
    <t>(二)（又音）ㄞˊ ái（10324）</t>
  </si>
  <si>
    <t>虤</t>
  </si>
  <si>
    <t>[形]
老虎發怒的樣子。《集韻．上聲．銑韻》：「虤，虎怒貌。」</t>
  </si>
  <si>
    <t>閻</t>
  </si>
  <si>
    <t>[名]
1.里中的門。《說文解字．門部》：「閻，里中門也。」《史記．卷三〇．平準書》：「守閭閻者食粱肉，為吏者長子孫，居官者以為姓號。」《文選．張衡．西京賦》：「便旋閭閻，周觀郊遂。」
2.里巷。清．王念孫《廣雅疏證．卷七上．釋宮》：「閻謂之衖。」疏證：「衖，與巷同。」《荀子．儒效》：「雖隱於窮閻漏屋，人莫不貴之。」
3.姓。如唐代有閻立本。</t>
  </si>
  <si>
    <t>檐</t>
  </si>
  <si>
    <t>同「簷」。</t>
  </si>
  <si>
    <t>簷</t>
  </si>
  <si>
    <t>[名]
1.屋頂邊緣突出牆壁的部分。如：「屋簷」、「房簷」。晉．陶淵明〈歸園田居〉詩五首之一：「榆柳蔭後簷，桃李羅堂前。」
2.覆蓋物體的邊緣或突出部分。如：「帽簷」、「傘簷」。《遼史．卷五六．儀衛志二》：「或紗冠，制如烏紗帽，無簷，不擫雙耳。」</t>
  </si>
  <si>
    <t>顏</t>
  </si>
  <si>
    <t>[名]
1.額頭。《史記．卷八．高祖本紀》：「隆準而龍顏。」南朝宋．裴駰．集解：「顏，頟顙也，齊人謂之顙，汝南、淮、泗之閒之曰顏。」
2.臉色、面容。如：「和顏悅色」、「笑逐顏開」。《詩經．鄭風．有女同車》：「有女同車，顏如舜華。」
3.面子、名譽。如：「無顏見人」。《紅樓夢》第三三回：「若外人知道，祖宗顏面何在！」
4.色彩。如：「五顏六色」。唐．李白〈古風〉詩五九首之一二：「松柏本孤直，難為桃李顏。」
5.門堂上的匾額。《新唐書．卷一五五．馬燧傳》：「勒石起義堂，帝榜其顏以寵之。」
6.姓。如春秋時魯有顏回。</t>
  </si>
  <si>
    <t>嚴</t>
  </si>
  <si>
    <t>[形]
1.緊急、急迫。如：「事態嚴重」。《孟子．公孫丑下》：「前日不知虞之不肖，使虞敦匠，事嚴，虞不敢請。」
2.緊密。如：「門禁森嚴」、「結構謹嚴」。
3.嚴厲。如：「嚴格」。《隋書．卷三八．皇甫績傳》：「孝寬以其惰業，督以嚴訓，愍績孤幼，特捨之。」
4.殘酷、苛刻。如：「嚴刑拷打」。《漢書．卷六二．司馬遷傳》：「法家嚴而少恩，然其正君臣上下之分，不可改也。」
5.肅穆、端莊。如：「表情嚴肅」、「莊嚴」。《詩經．小雅．六月》：「有嚴有翼，共武之服。」
6.厲害的、猛烈的。如：「嚴冬」。唐．李賀〈夜坐吟〉：「為君起唱長相思，簾外嚴霜皆倒飛。」
[名]
1.整肅的威儀。如：「頗具威嚴」。
2.對父親的敬稱。如：「家嚴」、「令嚴」。
3.警戒、戒備時所行的非常措施。如：「解嚴」、「戒嚴」。
4.姓。如東漢時有嚴光。
[動]
1.畏懼。《孟子．公孫丑上》：「無嚴諸侯，惡聲至，必反之。」
2.尊崇、尊敬。《禮記．學記》：「凡學之道，嚴師為難。」</t>
  </si>
  <si>
    <t>巖</t>
  </si>
  <si>
    <t>[名]
1.高峻的山崖。南朝宋．劉義慶《世說新語．容止》：「王安豐雙目爛爛如巖下電。」唐．李白〈夢遊天姥吟留別〉詩：「千巖萬轉路不定，迷花倚石忽已瞑。」
2.洞穴、山洞。《文選．司馬遷．報任少卿書》：「招賢進能，顯巖穴之士。」宋．歐陽修〈醉翁亭記〉：「若夫日出而林霏開，雲歸而巖穴暝。」
[形]
1.高峻。《孟子．盡心上》：「是故知命者，不立乎巖牆之下。」
2.險要。《左傳．隱公元年》：「制，巖邑也。」</t>
  </si>
  <si>
    <t>鹽</t>
  </si>
  <si>
    <t>[名]
1.含鹹味的礦物質。分海鹽、池鹽、井鹽三種，可供調味及工業上用。如：「柴、米、油、鹽、醬、醋、茶，是人生的開門的七件事。」
2.參見「鹽類」條。</t>
  </si>
  <si>
    <t>(一)ㄧㄢˋ yàn（11051）</t>
  </si>
  <si>
    <t>广</t>
  </si>
  <si>
    <t>ㄧㄢˇ</t>
  </si>
  <si>
    <t>yǎn</t>
  </si>
  <si>
    <t>[名]
1.依山崖所建造的房屋。唐．韓愈〈陪杜侍御遊湘西兩寺獨宿有題一首因獻楊常侍〉詩：「剖竹走泉源，開廊架崖广。」元．袁桷〈次韻瑾子過梁山濼三十韻〉：「土屋危可緣，草广突如峙。」
2.二一四部首之一。</t>
  </si>
  <si>
    <t>㫃</t>
  </si>
  <si>
    <t>[形]
旌旗隨風飛揚的樣子。《說文解字．㫃部》：「㫃，旌旗之游、㫃蹇之貌。」</t>
  </si>
  <si>
    <t>沇</t>
  </si>
  <si>
    <t>[名]
1.河川名。發源於大陸地區河南省，為濟水上源。
2.通「兗」。如大陸地區兗州亦作沇州。
[形]
參見「沇溶」、「沇沇」等條。</t>
  </si>
  <si>
    <t>[動]
覆蓋、涵蓋。《詩經．周頌．執競》：「自彼成康，奄有四方。」《淮南子．脩務》：「萬物至眾，而知不足以奄之。」
[副]
急遽、匆促、忽然。如：「奄忽」。《三國志．卷四四．蜀書．蔣琬傳》：「先主嘗因游觀，奄至廣都，琬眾事不理，時又沉醉，先主大怒，將加罪戮。」北周．庾信〈楊柳歌〉：「百年霜露奄離披，一旦功名不可為。」</t>
  </si>
  <si>
    <t>(二)ㄧㄢ yān（10934）</t>
  </si>
  <si>
    <t>掩</t>
  </si>
  <si>
    <t>[動]
1.遮蔽。《禮記．月令》：「君子齊戒，處必掩身。」《紅樓夢》第五七回：「三人聽說，忙掩了口，不提此事。」
2.關閉。如：「虛掩房門」。《南史．卷二六．袁湛傳》：「席門常掩，三逕裁通。」唐．李白〈擬恨賦〉：「若夫陳后失寵，長門掩扉。」
3.停止。漢．班昭〈女誡〉：「是故室人和則謗掩，外內離則惡揚。」《紅樓夢》第一五回：「賈赦等見執意不從，只得告辭謝恩回來，命手下人掩樂停音。」
4.襲擊、偷襲。《史記．卷九〇．彭越傳》：「於是上使使掩梁王，梁王不覺，捕梁王，囚之雒陽。」《隋書．卷七〇．李密傳》：「密發伏自後掩之，須陁眾潰。」</t>
  </si>
  <si>
    <t>參見「晻晻」條。</t>
  </si>
  <si>
    <t>(一)ㄢˇ ǎn（10429）(二)（(一)之又音）ㄢˋ àn（10440）</t>
  </si>
  <si>
    <t>罨</t>
  </si>
  <si>
    <t>[名]
用來捕魚或捕鳥的網。《玉篇．网部》：「罨，罕也。以罔魚也。」《廣韻．上聲．琰韻》：「罨，鳥網。」
[動]
1.用網捕取。《文選．左思．蜀都賦》：「罨翡翠，釣鰋鮋。」
2.覆蓋。明．徐弘祖《徐霞客遊記．卷八上．滇遊日記八》：「峽中西望，重峰罨映。」</t>
  </si>
  <si>
    <t>黤</t>
  </si>
  <si>
    <t>[名]
青黑色。《說文解字．黑部》：「黤，青黑色也。」</t>
  </si>
  <si>
    <t>兗</t>
  </si>
  <si>
    <t>參見「兗州」條。</t>
  </si>
  <si>
    <t>匽</t>
  </si>
  <si>
    <t>[動]
1.藏匿。《說文解字．匸部》：「匽，匿也。」
2.停止、停息。通「偃」。《漢書．卷二二．禮樂志》：「海內安寧，興文匽武。」
[名]
1.廁所。《周禮．天官．宮人》：「為其井匽，除其不蠲，去其惡臭。」鄭玄注引鄭司農曰：「匽，路廁也。」
2.姓。如漢代有匽皇后。</t>
  </si>
  <si>
    <t>偃</t>
  </si>
  <si>
    <t>[動]
1.仰臥。《詩經．小雅．北山》：「或息偃在床，或不巳于行。」《文選．謝靈運．遊南亭詩》：「逝將候秋水，息景偃舊崖。」
2.仆倒、倒伏。《書經．金縢》：「天大雷電以風，禾盡偃。」《儀禮．鄉射禮》：「東面偃旌，興而俟。」
3.覆蓋。如：「偃蓋」。唐．張喬〈尋桃源〉詩：「水垂青靄斷，松偃綠蘿低。」
4.停止、平息。《書經．武成》：「王來自商至于豐，乃偃武修文。」唐．杜甫〈寄題江外草堂〉詩：「干戈未偃息，安得酣歌眠。」
[名]
1.堤防。《周禮．天官．䱷人》：「䱷人掌以時䱷為梁。」鄭玄注引鄭司農云：「梁，水偃也。」
2.姓。如晉代有偃籍。</t>
  </si>
  <si>
    <t>郾</t>
  </si>
  <si>
    <t>參見「郾城縣」條。</t>
  </si>
  <si>
    <t>蝘</t>
  </si>
  <si>
    <t>[名]
蟬。《詩經．大雅．蕩》「如蜩如螗，如沸如羹」句下漢．毛亨．傳：「螗，蝘也。」</t>
  </si>
  <si>
    <t>鼴</t>
  </si>
  <si>
    <t>參見「鼴鼠」條。</t>
  </si>
  <si>
    <t>弇</t>
  </si>
  <si>
    <t>[動]
1.遮蓋、掩蔽。《爾雅．釋天》：「弇日為蔽雲，疾雷為霆霓。」《管子．八觀》：「塞其塗，弇其跡。」
2.承襲、依循。《荀子．賦篇》：「法禹、舜而能弇跡者邪？」
[形]
1.深。《呂氏春秋．仲冬紀．仲冬》：「君子齋戒，處必弇。」漢．高誘．注：「弇，深邃。」
2.窄小、狹隘。如：「弇口」。《左傳．襄公二十五年》：「行及弇中，將舍。」晉．杜預．注：「弇中，狹道。」</t>
  </si>
  <si>
    <t>渰</t>
  </si>
  <si>
    <t>[形]
雲興起的樣子。《說文解字．水部》：「渰，雲雨貌。」宋．王令〈渰渰〉詩：「渰渰輕雲弄落暉，壞簷巢滿燕來歸。」
[名]
陰雲。《文選．張協．雜詩一〇首之九》：「淒風起東谷，有渰興南岑。」
[動]
淹沒。通「淹」。《水滸傳》第五五回：「水中生擒二百餘人，一半水中渰死，些少逃得性命回去。」《聊齋志異．卷五．長冶女子》：「門舍居廬，已被黑水渰沒。」</t>
  </si>
  <si>
    <t>揜</t>
  </si>
  <si>
    <t>[動]
1.捕取。《文選．曹植．七啟》：「曳文狐，揜狡兔，捎鷫鷞，拂振鷺。」
2.遮蔽。通「掩」。《禮記．聘義》：「瑕不揜瑜，瑜不揜瑕。」唐．魏徵〈理獄聽諫疏〉：「此猶捕雀揜目，盜鐘而揜耳者，祇以取誚，將何益乎？」
3.奪。《淮南子．氾論》：「怯者夜見立表，以為鬼也；見寢石，以為虎也；懼揜其氣也。」</t>
  </si>
  <si>
    <t>(一)ㄢ ān（10420）</t>
  </si>
  <si>
    <t>衍</t>
  </si>
  <si>
    <t>[動]
1.延伸、展開。如：「繁衍」。《漢書．卷六六．公孫賀等傳．贊曰》：「博通善屬文，推衍鹽鐵之議。」
2.散布、分布。《文選．張衡．東京賦》：「仁風衍而外流，誼方激而遐騖。」
[形]
多餘的。如：「衍字」。宋．鄭樵〈通志總序〉：「既無衍文，又無絕緒，世世相承，如出一手。」</t>
  </si>
  <si>
    <t>[動]
1.削尖。《易經．繫辭下》：「弦木為弧，剡木為矢。」
2.舉、抬。《荀子．彊國》：「安欲剡其脛而以蹈秦之腹。」《漢書．卷四八．賈誼傳》：「發忿快志，剡手以衝仇人之匈。」
[形]
尖銳、銳利。如：「剡鋒」、「剡利」、「剡耜」。</t>
  </si>
  <si>
    <t>(二)ㄕㄢˋ shàn（08938）</t>
  </si>
  <si>
    <t>琰</t>
  </si>
  <si>
    <t>[名]
1.一種美玉。《漢書．卷五七．司馬相如傳上》：「鼂采琬琰，和氏出焉。」南朝梁．簡文帝〈謝敕賚善勝威勝刀啟〉：「冰鍔含彩，雕琰表飾。」
2.琰圭的簡稱。參見「琰圭」條。</t>
  </si>
  <si>
    <t>扊</t>
  </si>
  <si>
    <t>眼</t>
  </si>
  <si>
    <t>[名]
1.目，動物的視覺器官。如：「眼睛」、「濃眉大眼」。《史記．卷九．呂太后本紀》：「太后遂斷戚夫人手足，去眼，煇耳。」
2.孔穴。唐．杜甫〈石笋行〉：「古來相傳是海眼，苔蘚食盡波濤痕。」宋．楊萬里〈小池〉詩：「泉眼無聲惜細流，樹陰照水愛晴柔。」
3.關鍵、要點。如：「節骨眼」。《官場現形記》第三六回：「他起初還想賴，後來被家兄點了兩句眼，他無話說了。」
4.下圍棋時，無棋子的空處稱為「眼」。唐．元稹〈酬孝甫見贈〉詩一〇首之七：「無事拋棋侵虎口，幾時開眼復聯行。」《紅樓夢》第六二回：「探春因一塊棋受了敵，算來算去，總得了兩個眼。」
5.參見「板眼」條。
6.量詞。計算眼睛看的次數的單位。如：「多看兩眼」、「瞪了他一眼」。</t>
  </si>
  <si>
    <t>演</t>
  </si>
  <si>
    <t>[動]
1.當眾公開表現技藝。如：「表演」、「扮演」。《紅樓夢》第五四回：「當下天未二鼓，戲演的是八義中『觀燈』八齣。」
2.練習。如：「演練」。元．孟漢卿《魔合羅》第四折：「不強似你教幼女演裁縫，勸佳人學繡刺。」《水滸傳》第七回：「每日將酒肉來請智深，看他演武使拳。」
3.擴展、闡揚。《漢書．卷九七．外戚傳下．孝成趙皇后傳》：「愚臣既不能深援安危，定金匱之計，又不知推演聖德，述先帝之志。」《後漢書．卷六二．荀淑傳》：「先王光演大業，肆于時夏。」
4.運算、推算。如：「演算」。《宋史．卷八二．律曆志十五》：「必使氣之與朔無毫髮之差，始可演造新曆。」</t>
  </si>
  <si>
    <t>戭</t>
  </si>
  <si>
    <t>[名]
長槍。《說文解字．戈部》：「戭，長槍也。」《集韻．去聲．稕韻》：「戭，矛屬。」</t>
  </si>
  <si>
    <t>(二)ㄧㄣˇ yǐn（11107）</t>
  </si>
  <si>
    <t>噞</t>
  </si>
  <si>
    <t>[動]
1.魚浮出水面呼吸。《淮南子．主術》：「夫水濁則魚噞，政苛則民亂。」
2.食、嚐。三國魏．曹丕〈詔群臣〉：「今以荔枝賜將吏，噞之則知其味薄矣。」</t>
  </si>
  <si>
    <t>𣝓</t>
  </si>
  <si>
    <t>[名]
植物名。即山桑。桑科桑屬，小喬木或灌木。葉卵形，長五至十四公分，粗鋸齒緣，不分裂或三至五裂，兩面被毛，背面脈腋無簇生毛。雄花序下垂穗狀，雌花序頭狀，雌花花柱明顯。椹果橢圓形，紅熟至紫黑熟。材質硬度適中。生於向陽山坡及山阜。《說文解字．木部》：「𣝓，山桑也。」也稱為「小葉桑」、「鷄桑」。</t>
  </si>
  <si>
    <t>厴</t>
  </si>
  <si>
    <t>[名]
1.蟹臍，蟹腹下的薄殼。《廣韻．上聲．琰韻》：「厴，蟹腹下厴。」
2.螺類介殼口的圓片狀蓋。清．徐珂《清稗類鈔．動物類．榮螺》：「榮螺為軟體動物，亦作蠑螺，形如拳，故又名拳螺。殼甚厚，有厴，孔大而圓，外暗青色。」</t>
  </si>
  <si>
    <t>魘</t>
  </si>
  <si>
    <t>[名]
惡夢。《集韻．去聲．葉韻》：「魘，眠不祥也。」唐．韓愈〈陪杜侍御遊湘西兩寺獨宿有題一首因獻楊常侍〉詩：「猶疑在波濤，怵惕夢成魘。」
[動]
做惡夢時，胸口感到壓迫，呼吸困難。《紅樓夢》第八二回：「姑娘！姑娘！怎麼魘住了！快醒醒兒脫了衣服睡罷。」</t>
  </si>
  <si>
    <t>黶</t>
  </si>
  <si>
    <t>參見「黶子」條。</t>
  </si>
  <si>
    <t>龑</t>
  </si>
  <si>
    <t>[名]
人名用字。為五代時南漢劉巖所造的字，並自以為名，取周易飛龍在天之意。《新五代史．卷六五．十國世家．兩漢世家》：「龑初名巖，又更曰陟。九年，白龍見南宮三清殿，改元曰白龍，又更名龑，以應龍見之祥。」</t>
  </si>
  <si>
    <t>齞</t>
  </si>
  <si>
    <t>[形]
張嘴露齒的樣子。《說文解字．齒部》：「齞，張口見齒也。」《文選．宋玉．登徒子好色賦》：「其妻蓬頭攣耳，齞脣歷齒。」</t>
  </si>
  <si>
    <t>甗</t>
  </si>
  <si>
    <t>[名]
古代用來炊煮的一種蒸鍋。器形上大下小，上層為甑，可以蒸；下層為鬲，可以煮，甑鬲之間以箅相隔。宋．范成大〈勞畬耕〉詩：「早秈與晚䆉，濫吹甑甗間。」</t>
  </si>
  <si>
    <t>巘</t>
  </si>
  <si>
    <t>[名]
山峰、山頂。北魏．酈道元《水經注．江水注》：「絕巘多生怪柏，懸泉瀑布，飛漱其間。」明．王夫之〈蝶戀花．見說隨帆瞻九面〉詞：「誰遣迷雲生絕巘？蒼水仙蹤，霧鎖靈文篆。」
[形]
艱險、險惡。《元史．卷一七三．葉李傳》：「今山路險巘，深入敵境，萬一蹉跌，非所以威示遠人也。」清．紀昀《閱微草堂筆記．卷二．灤陽消夏錄二》：「神惡其嶮巘，非惡其汙衊。」</t>
  </si>
  <si>
    <t>儼</t>
  </si>
  <si>
    <t>[形]
莊重、恭敬。《詩經．陳風．澤陂》：「有美一人，碩大且儼。」漢．毛亨．傳：「儼，矜莊貌。」《楚辭．屈原．離騷》：「湯禹儼而祗敬兮，周論道而莫差。」
[副]
1.整齊。晉．陶淵明〈桃花源記〉：「土地平曠，屋舍儼然。」
2.彷彿、好像。唐．趙嘏〈詠端正春樹〉詩：「一樹繁陰先著名，異花奇葉儼天成。」《紅樓夢》第五八回：「儼以同胞共出，較諸人更似親切。」</t>
  </si>
  <si>
    <t>ㄧㄢˋ</t>
  </si>
  <si>
    <t>yàn</t>
  </si>
  <si>
    <t>[名]
邊緣、岸。如：「階沿」。《西遊記》第二二回：「只讓你引他上來，我攔住河沿，不讓他回去，務要將他擒了。」</t>
  </si>
  <si>
    <t>(一)ㄧㄢˊ yán（10960）</t>
  </si>
  <si>
    <t>彥</t>
  </si>
  <si>
    <t>[名]
才德出眾的人。如：「俊彥」、「碩彥」。《詩經．鄭風．羔裘》：「彼其之子，邦之彥兮。」漢．毛亨．傳：「彥，士之美稱。」</t>
  </si>
  <si>
    <t>喭</t>
  </si>
  <si>
    <t>[動]
慰問喪家。通「唁」。晉．何劭〈荀粲傳〉：「婦病亡，未殯，傅嘏往喭粲，粲不哭而神傷。」
[形]
粗魯、率直。《論語．先進》：「師也辟，由也喭。」</t>
  </si>
  <si>
    <t>諺</t>
  </si>
  <si>
    <t>[名]
民間口頭流傳，具有說理、勸誡等作用的語句。如：「俗諺」、「古諺」。《左傳．桓公十年》：「周諺有之：『匹夫無罪，懷璧其罪？』」
[動]
慰問喪者家屬。通「唁」。南朝梁．劉勰《文心雕龍．書記》：「諺者，直語也。喪言亦不及文，故弔亦稱諺。」北齊．劉晝《劉子．卷一〇．正賞》：「昔者仲尼先飯黍，侍者掩口笑；子游揚裘而諺，曾參指揮而哂。」</t>
  </si>
  <si>
    <t>[名]
1.滑石。《文選．郭璞．江賦》：「紫菜熒曄以叢被，綠苔鬖髿乎研上。」
2.磨墨的用具。同「硯」。《後漢書．卷四七．班超傳》：「大丈夫無它志略，猶當效傅介子、張騫立功異域，以取封侯，安能久事筆研閒乎？」宋．陸游〈村居〉詩：「自今焚筆研，有手但扶犁。」</t>
  </si>
  <si>
    <t>(一)ㄧㄢˊ yán（10956）</t>
  </si>
  <si>
    <t>[動]
1.吞嚥。同「嚥」。《兒女英雄傳》第八回：「被張金鳳罵得眼淚往肚子裡咽，被那王八奶奶兒嘔得肝火往頂門上噴。」
2.突然停住不說。《紅樓夢》第八三回：「說到這裡，猛然咽住。」</t>
  </si>
  <si>
    <t>(一)ㄧㄢ yān（10940）(三)ㄧㄝˋ yè（10765）</t>
  </si>
  <si>
    <t>宴</t>
  </si>
  <si>
    <t>[形]
1.安逸、安閒。《說文解字．宀部》：「宴，安也。」《左傳．閔公元年》：「宴安酖毒，不可懷也。」唐．孔穎達．正義：「宴安，自逸，若酖毒之藥。」
2.快樂。《詩經．邶風．谷風》：「宴爾新昏，如兄如弟。」《左傳．成公二年》：「衡父不忍數年之不宴，以棄魯國。」晉．杜預．注：「宴，樂也。」
[名]
酒席、筵席。如：「赴宴」、「設宴款待」、「鴻門宴」。唐．杜甫〈自京赴奉先縣詠懷五百字〉詩：「賜浴皆長纓，與宴非短褐。」
[動]
1.以酒食款待賓客。如：「宴客」。宋．陸游〈長歌行〉：「何當凱還宴將士，三更雪壓飛狐城。」
2.安居、休息。《漢書．卷四八．賈誼傳》：「少保，少傅，少師，是與太子宴者也。」唐．顏師古．注：「宴謂安居。」
[副]
安閒。如：「宴居」。宋．蘇軾〈應夢觀音贊〉：「稽首觀音，宴坐寶石。」</t>
  </si>
  <si>
    <t>堰</t>
  </si>
  <si>
    <t>[名]
擋水的土堤。《南史．卷五五．夏侯詳傳》：「夔乃率軍人於蒼陵立堰，溉田千餘頃。」
[動]
阻擋。唐．盧照鄰〈行路難〉：「誰家能駐西山日？誰家能堰東流水？」明．徐弘祖《徐霞客遊記．卷三下．粵西遊日記二》：「東面危崖獨展，與西高峰麓相對成峽。峽南堰水為塘。」</t>
  </si>
  <si>
    <t>唁</t>
  </si>
  <si>
    <t>[動]
1.慰問死者的家屬。如：「弔唁」、「慰唁」。
2.安慰。《詩經．鄘風．載馳》：「載馳載驅，歸唁衛侯。」《舊唐書．卷一二五．蕭復傳》：「復輒以賑貸，為有司所劾削階，朋友唁之。」</t>
  </si>
  <si>
    <t>晏</t>
  </si>
  <si>
    <t>[形]
1.晴朗無雲。《說文解字．日部》：「晏，天清也。」《漢書．卷八七．揚雄傳上》：「於是天清日晏，逢蒙列眥，羿氏控弦。」
2.晚、遲。《楚辭．屈原．離騷》：「及年歲之未晏兮，時亦猶其未央。」《呂氏春秋．似順論．慎小》：「二子待君，日晏，公不來至。」漢．高誘．注：「晏，暮也。」
3.平靜、安和。如：「河清海晏」。《漢書．卷一四．諸侯王表》：「高后女主攝位，而海內晏如。」
[副]
晚、遲。如：「晏寢」。宋．陸游〈新晴出門閑步〉詩：「廢寺僧寒多晏起，近村農惰闕冬耕。」
[名]
姓。如宋代有晏殊。</t>
  </si>
  <si>
    <t>鴳</t>
  </si>
  <si>
    <t>[名]
一種小型的鳥。《國語．晉語八》：「平公射鴳，不死，使豎襄搏之，失。」三國吳．韋昭．注：「鴳，雇，小鳥。」也作「鷃」。</t>
  </si>
  <si>
    <t>鷃</t>
  </si>
  <si>
    <t>[名]
一種小型的鳥。《文選．宋玉．對楚王問》：「鳳皇上擊九千里，絕雲霓，負蒼天，翱翔乎杳冥之上。夫蕃籬之鷃，豈能與之料天地之高哉？」宋．辛棄疾〈漢宮春．達則青雲〉詞：「逍遙小大自適，鵬鷃何殊！」</t>
  </si>
  <si>
    <t>[形]
大。《說文解字．人部》：「俺，大也。」</t>
  </si>
  <si>
    <t>(一)ㄢˇ ǎn（10427）</t>
  </si>
  <si>
    <t>[動]
浸沒。如：「醃菜時要讓水淹過菜來。」</t>
  </si>
  <si>
    <t>(一)ㄧㄢ yān（10935）</t>
  </si>
  <si>
    <t>參見「迆涎」、「涎涎」等條。</t>
  </si>
  <si>
    <t>(一)ㄒㄧㄢˊ xián（07096）</t>
  </si>
  <si>
    <t>[動]
照耀。晉．左思〈蜀都賦〉：「幽思絢道德，摛藻掞天庭。」南朝梁．庾肩吾〈侍宴宣猷堂應令〉詩：「副君德將聖，陳王才掞天。」</t>
  </si>
  <si>
    <t>(一)ㄕㄢˋ shàn（08939）</t>
  </si>
  <si>
    <t>焱</t>
  </si>
  <si>
    <t>[名]
火花、火焰。《說文解字．焱部》：「焱，火華也。」《文選．曹植．七啟》：「騰山赴壑，風厲焱舉。」</t>
  </si>
  <si>
    <t>焰</t>
  </si>
  <si>
    <t>[名]
1.物體燃燒時發出光熱的部分。俗稱為「火苗」。如：「火焰」、「赤焰」。
2.比喻氣勢、威勢。如：「氣焰逼人」、「敵焰囂張」。</t>
  </si>
  <si>
    <t>燄</t>
  </si>
  <si>
    <t>[名]
火苗、火花。同「焰」。《晉書．卷一〇七．石季龍載記下》：「光燄照天，金石皆盡，火月餘乃滅。」唐．杜甫〈火〉詩：「風吹巨燄作，河櫂騰煙柱。」</t>
  </si>
  <si>
    <t>爓</t>
  </si>
  <si>
    <t>[名]
火花、火苗。同「焰」。《集韻．去聲．豔韻》：「爓，火光。或作焰。」《文選．班固．西都賦》：「發五色之渥采，光爓朗以景彰。」</t>
  </si>
  <si>
    <t>硯</t>
  </si>
  <si>
    <t>[名]
磨墨的用具，通常用石頭製成。如：「硯臺」。宋．蘇軾〈次韻孔毅父久旱已而甚雨〉詩三首之一：「我生無田食破硯，爾來硯枯磨不出。」
[形]
有同學情誼的。如：「硯兄」、「硯友」。</t>
  </si>
  <si>
    <t>雁</t>
  </si>
  <si>
    <t>[名]_x000D_
動物名。一種鳥類。形狀似鵝，頸和翼較長，嘴長微黃，羽淡紫褐色，鳴聲嘹亮，飛時自成行列。每年春分後往北飛，秋分後往南飛，為一種季節性的候鳥。</t>
  </si>
  <si>
    <t>鴈</t>
  </si>
  <si>
    <t>同「雁」。</t>
  </si>
  <si>
    <t>贗</t>
  </si>
  <si>
    <t>[形]
假的、偽造的。如：「贗品」。《南史．卷七七．恩倖傳．戴法興傳》：「帝嘗使願兒出入市里，察聽風謠，而道路之言，謂法興為真天子，帝為贗天子。」</t>
  </si>
  <si>
    <t>猒</t>
  </si>
  <si>
    <t>[動]
1.飽、滿足。同「饜」。《列子．楊朱》：「而美厚復不可常猒足，聲色不可常翫聞。」
2.厭惡。《漢書．卷九九．王莽傳上》：「莽既說眾庶，又欲專斷，知太后猒政，乃風公卿。」
3.欺瞞。《淮南子．主術》：「上操約省之分，下效易為之功，是以君臣彌久而不相猒。」漢．高誘．注：「猒，欺也。」</t>
  </si>
  <si>
    <t>[動]
1.飽、滿足。如：「貪得無厭」。《左傳．隱公元年》：「姜氏何厭之有？不如早為之所。」《論語．述而》：「學而不厭，誨人不倦。」
2.憎惡、嫌棄。如：「厭惡」。《左傳．隱公十一年》：「天而既厭周德矣，吾其能與許爭乎？」《論語．憲問》：「樂然後笑，人不厭其笑。」</t>
  </si>
  <si>
    <t>(二)ㄧㄢ yān（10951）</t>
  </si>
  <si>
    <t>饜</t>
  </si>
  <si>
    <t>[動]
1.飽。《國語．晉語九》：「主之既已食，願以小人之腹，為君子之心，屬饜而已，是以三歎。」《孟子．離婁下》：「其良人出，則必饜酒肉而後反。」
2.滿足。《孟子．梁惠王上》：「苟為後義而先利，不奪不饜。」《墨子．節用中》：「是以終身不饜，歿世而不卷。」</t>
  </si>
  <si>
    <t>[名]
鳥綱燕科各種鳥類的通稱。種類繁多，約有七十餘種。體小翼大，飛行力強，尾長，分叉呈剪刀狀。背黑腹白、腳短，不利於步行。每年產卵二、三次，每次約三至六個卵。常見的有毛腳燕、赤腰燕、洋燕、家燕等。俗稱為「燕子」。也稱為「烏衣」。
[動]
宴飲。通「讌」、「宴」。《詩經．小雅．鹿鳴》：「我有旨酒，嘉賓式燕以敖。」</t>
  </si>
  <si>
    <t>(二)ㄧㄢ yān（10953）</t>
  </si>
  <si>
    <t>嚥</t>
  </si>
  <si>
    <t>[動]
吞食。如：「狼吞虎嚥」、「細嚼慢嚥」。唐．李白〈早望海霞邊〉詩：「一餐嚥瓊液，五內發金沙。」</t>
  </si>
  <si>
    <t>嬿</t>
  </si>
  <si>
    <t>[形]
1.美好的。南朝梁．沈約〈麗人賦〉：「亭亭似月，嬿婉如春。」
2.安樂、閒適。南朝宋．顏延之〈祖祭弟文〉：「生無榮嬿，沒望歸魂。」</t>
  </si>
  <si>
    <t>讌</t>
  </si>
  <si>
    <t>[動]
宴飲。同「醼」。《廣韻．去聲．霰韻》：「讌，同醼。」《後漢書．卷一一．劉玄傳》：「（更始）日夜與婦人飲讌後庭。」《文選．左思．吳都賦》：「里讌巷飲，飛觴舉白。」</t>
  </si>
  <si>
    <t>醼</t>
  </si>
  <si>
    <t>[動]
宴飲。同「宴」。《集韻．去聲．霰韻》：「醼，合飲也。」《舊唐書．卷五三．李密傳》：「每夜醼飲，諠譁竟夕，使者不以為意。」
[名]
宴席。同「宴」。唐．方干〈上杭州姚郎中〉詩：「春遊下馬皆成醼，吏散看山即有詩。」</t>
  </si>
  <si>
    <t>驗</t>
  </si>
  <si>
    <t>[名]
1.憑證、證據。《韓非子．顯學》：「無參驗而必之者，愚也；弗能必而據之者，誣也。」《史記．卷六八．商君傳》：「商君之法，舍人無驗者坐之。」
2.預期的效果，或與預言相合的事實。如：「效驗」。《淮南子．主術》：「驗在近而求之遠，故弗得也。」《三國志．卷四七．吳書．吳主權傳》：「表說水旱小事，往往有驗。」
3.病徵。《列子．湯問》：「二人曰：『願先聞其驗。』」
[動]
1.察看、檢查。如：「驗血」、「驗屍」。唐．柳宗元〈種樹郭橐駝傳〉：「甚者爪其膚以驗其生枯，搖其本以觀其疏密，而木之性日以離矣。」
2.審核、證實。《呂氏春秋．審分覽．知度》：「有職者，安其職不聽其議；無職者，責其實以驗其辭。」
3.結果與所預言相合。如：「應驗」、「屢試屢驗」。</t>
  </si>
  <si>
    <t>[動]
1.用鹽醃食物。《禮記．內則》：「布牛肉焉，屑桂與薑，以灑諸上而鹽之。」元．陶宗儀《南村輟耕錄．卷二十四．天隕魚》：「流光中隕一魚，……橋下一細家取欲烹食，其妻鹽而藏之。」
2.羨慕。通「豔」。《禮記．郊特牲》：「而流示之禽，而鹽諸利，以觀其不犯命也。」</t>
  </si>
  <si>
    <t>(二)ㄧㄢˊ yán（10982）</t>
  </si>
  <si>
    <t>讞</t>
  </si>
  <si>
    <t>[動]
審判定罪。《集韻．去聲．線韻》：「讞，議罪也。」如：「三審定讞」。《漢書．卷五．景帝紀》：「諸獄疑，若雖文致於法而於人心不厭者，輒讞之。」</t>
  </si>
  <si>
    <t>釅</t>
  </si>
  <si>
    <t>[形]
1.味道濃厚。宋．蘇軾〈正月二十日與潘郭二生出郊尋春忽記去年是日同至女王城作詩乃和前韻〉：「江城白酒三杯釅，野老蒼顏一笑溫。」
2.顏色深。唐．戴叔倫〈贈慧上人〉詩：「雲霞色釅禪房衲，星月光涵古殿燈。」</t>
  </si>
  <si>
    <t>豔</t>
  </si>
  <si>
    <t>[形]
1.美好、華麗。如：「豔麗」、「鮮豔」、「妖豔」。漢．陳琳〈神女賦〉：「既歎爾以豔采，又說我之長期。」晉．范甯〈春秋穀梁傳序〉：「左氏豔而富，其失也巫。」
2.有關於愛情的。如：「豔詩」、「豔事」、「豔遇」。南朝梁．王筠〈三婦豔〉：「丈人且安臥，豔歌方斷續。」
[動]
羨慕。《韓非子．外儲說左上》：「夫不謀治強之功，而豔乎辯說文麗之聲，是卻有術之士，而任壞屋折弓也。」唐．萬楚〈五日觀妓〉詩：「新歌一曲令人豔，醉舞雙眸斂鬢斜。」
[名]
1.美女。如：「獵豔」。唐．李白〈經亂離後天恩流夜郎憶舊遊書懷贈江夏韋太守良宰〉詩：「吳娃與越豔，窈窕誇鉛紅。」
2.光彩。晉．潘岳〈笙賦〉：「爛熠爚以放豔，鬱蓬勃以氣出。」</t>
  </si>
  <si>
    <t>灩</t>
  </si>
  <si>
    <t>[形]
參見「瀲灩」條。
[名]
地名用字。參見「灩澦堆」條。</t>
  </si>
  <si>
    <t>因</t>
  </si>
  <si>
    <t>ㄧㄣ</t>
  </si>
  <si>
    <t>yīn</t>
  </si>
  <si>
    <t>[動]
1.憑藉、依據、利用。如：「因地制宜」、「因陋就簡」。《金史．卷七七．宗弼傳》：「宗弼乃因老鸛河故道開三十里通秦淮，一日一夜而成。」
2.承襲、沿襲。如：「因襲」。《論語．為政》：「殷因於夏禮，所損益，可知也。」
3.增添、積累。《論語．先進》：「千乘之國，攝乎大國之間，加之以師旅，因之以饑饉，由也為之，比及三年，可使有勇且知方也。」《史記．卷三〇．平準書》：「太倉之粟陳陳相因，充溢露積於外，至腐敗不可食。」
[名]
原由、緣故。如：「起因」、「誘因」、「原因」、「成因」、「事出有因」、「前因後果」。
[介]
1.經由、透過。《史記．卷五八．梁孝王世家》：「梁王恐，乃使韓安國因長公主謝罪太后，然后得釋。」《後漢書．卷三五．鄭玄傳》：「以山東無足問者，乃西入關，因涿郡盧植，事扶風馬融。」
2.由於。如：「因公出差」、「因事請假」。唐．李白〈崔秋浦柳少府〉詩：「因君樹桃李，此地忽芳菲。」
3.乘、趁。《史記．卷七．項羽本紀》：「此天之亡楚之時也，不如因其機而遂取之。」
[連]
於是、從而。《史記．卷五五．留侯世家》：「良業為取履，因長跪履之。」《鏡花緣》第四八回：「惜湮沒無聞，而哀群芳之不傳，因筆志之。」
[副]
就、乃。《史記．卷七．項羽本紀》：「項王即日因留沛公與飲。」</t>
  </si>
  <si>
    <t>姻</t>
  </si>
  <si>
    <t>[名]
1.婿家。《說文解字．女部》：「姻，婿家也。女之所因，故曰姻。」
2.女婿的父親。《爾雅．釋親》：「婿之父為姻。」《詩經．小雅．節南山》：「瑣瑣姻亞，則無膴仕。」
3.男女結婚的事情。如：「聯姻」、「婚姻」。《詩經．小雅．我行其野》：「不思舊姻，求爾新特。」《紅樓夢》第九七回：「巴不得即見黛玉，盼到今日完姻，真樂得手舞足蹈。」
[形]
由婚姻關係而成為親屬的。如：「姻家」、「姻兄」、「姻親」。</t>
  </si>
  <si>
    <t>茵</t>
  </si>
  <si>
    <t>[名]
1.車上的坐墊。《說文解字．艸部》：「茵，車重席。」《文選．潘岳．西征賦》：「爾乃端策拂茵，彈冠振衣。」唐．李善．注：「茵，車中蓐也。」
2.墊褥的通稱。如：「綠草如茵」。《文選．傅毅．舞賦》：「陳茵席而設坐兮，溢金罍而列玉觴。」唐．李賀〈蘇小小墓〉詩：「草如茵，松如蓋。」</t>
  </si>
  <si>
    <t>欭</t>
  </si>
  <si>
    <t>[動]
喑欭：嘆息。《廣韻．去聲．至韻》：「欭，喑欭，歎也。」</t>
  </si>
  <si>
    <t>氤</t>
  </si>
  <si>
    <t>參見「氤氳」條。</t>
  </si>
  <si>
    <t>裀</t>
  </si>
  <si>
    <t>[名]
1.有襯裡的衣服。清．王念孫《廣雅疏證．卷七下．釋器》：「複襂謂之裀。」疏證：「此《說文》所謂重衣也，襂與衫同。……其有裡者，則謂之裀。裀猶重也。」
2.墊褥。通「茵」。漢．司馬相如〈美人賦〉：「裀褥重陳，角枕橫施。」唐．李謹言〈水殿拋毬曲〉二首之二：「堪恨隋家幾帝王，舞裀揉盡繡鴛鴦。」</t>
  </si>
  <si>
    <t>絪</t>
  </si>
  <si>
    <t>[名]
1.參見「絪縕」條。
2.坐墊。通「茵」。《敦煌變文集新書．卷二．妙法蓮華經講經文》：「白角箄中安錦褥，象牙床上布紅絪。」</t>
  </si>
  <si>
    <t>銦</t>
  </si>
  <si>
    <t>[名]
（indium，In）化學元素。原子序49。過渡金屬元素之一。為銀白色軟金屬，延展性佳。可製造金屬合金，及供半導體用。</t>
  </si>
  <si>
    <t>駰</t>
  </si>
  <si>
    <t>[名]
毛色淺黑帶白的馬。《爾雅．釋畜》：「陰白雜毛，駰。」宋．邢昺．疏：「陰，淺黑色也；毛淺黑而白兼雜毛者名駰。」唐．元稹〈代曲江老人百韻〉：「紫絛牽白犬，繡韂被花駰。」</t>
  </si>
  <si>
    <t>音</t>
  </si>
  <si>
    <t>[名]
1.聲響、聲音。如：「噪音」、「雜音」、「錄音」、「餘音繞梁」。
2.腔調。如：「口音」、「鄉音」。宋．蘇軾〈祭石幼安文〉：「竄流江湖，隻影自憐，聞人蜀音，回首粲然。」
3.字的音讀。如：「字音」、「注音」、「音切」。《晉書．卷九一．儒林傳．徐邈傳》：「撰正五經音訓，學者宗之。」
4.書信、消息。如：「回音」、「靜候佳音」、「音信全無」。
5.敬稱他人的言語。如：「玉音」、「德音」。
6.姓。如清代有音泰。
7.二一四部首之一。</t>
  </si>
  <si>
    <t>(二)ㄧㄣˋ yìn（11115）</t>
  </si>
  <si>
    <t>愔</t>
  </si>
  <si>
    <t>[形]
安詳和樂。《玉篇．心部》：「愔，安和貌，悅貌。」《文選．宋玉．神女賦》：「澹清靜其愔嫕兮，性沉詳而不煩。」</t>
  </si>
  <si>
    <t>喑</t>
  </si>
  <si>
    <t>[副]
嗓啞不能出聲。如：「喑啞」。《後漢書．卷四五．袁安傳》：「遂稱風疾，喑不能言。」
[動]
緘默、沉默。《墨子．親士》：「臣下重其爵，位而不言，近臣則喑，遠臣則唫。」</t>
  </si>
  <si>
    <t>瘖</t>
  </si>
  <si>
    <t>[形]
嗓啞不能出聲。《玉篇．疒部》：「瘖，啞不能言。」如：「瘖啞」。《淮南子．泰族》：「既瘖且聾，人道不通。」</t>
  </si>
  <si>
    <t>垔</t>
  </si>
  <si>
    <t>[動]
阻塞、堵塞。《說文解字．土部》：「垔，塞也。……〈商書〉曰：『鯀垔洪水。』」</t>
  </si>
  <si>
    <t>[動]
1.沒落、埋沒。《說文解字．水部》：「湮，沒也。」如：「古蹟湮滅」、「湮沒無聞」。
2.堵塞。通「堙」。《莊子．天下》：「昔禹之湮洪水，決江河而通四夷九州也。」
[形]
久遠。《新唐書．卷一一〇．諸侯蕃將傳．李多祚傳》：「後入中國，世系湮遠。」</t>
  </si>
  <si>
    <t>(二)（又音）ㄧㄢ yān（10947）</t>
  </si>
  <si>
    <t>堙</t>
  </si>
  <si>
    <t>[動]
1.填塞。《國語．晉語六》：「夷灶堙井，非退而何？」《山海經．北山經》：「（精衛）常銜西山之木石，以堙于東海。」
2.埋沒、泯滅。《抱朴子．外篇．嘉遯》：「猶震雷駭則鼛鼓堙，朝日出則螢燭幽也。」《文選．潘岳．西征賦》：「窺秦墟於渭城，冀闕緬其堙盡。」
[名]
土山。《東周列國志》第五五回：「公子側使軍士築土堙於外，如敵樓之狀。」</t>
  </si>
  <si>
    <t>禋</t>
  </si>
  <si>
    <t>[名]
古代祭天的大典。參見「禋祀」2.條。
[動]
祭祀。《書經．舜典》：「肆類于上帝，禋于六宗。」《國語．周語上》：「不禋於神而求福焉，神必禍之。」三國吳．韋昭．注：「潔祀曰禋。」</t>
  </si>
  <si>
    <t>闉</t>
  </si>
  <si>
    <t>[名]
1.城門。《文選．謝瞻．王撫軍庾西陽集別時為豫章太守庾被徵還東詩》：「分手東城闉，發櫂西江隩。」宋．孟元老《東京夢華錄．卷六．十六日》：「阡陌縱橫，城闉不禁。」
2.姓。如春秋時楚國有闉輿罷。
[動]
填塞。通「堙」。《周禮．地官．掌蜃》：「掌蜃，掌斂互物、蜃物、以共闉壙之蜃。」漢．鄭玄．注：「闉，猶塞也。將井槨先塞下，以蜃禦濕也。」
[形]
屈曲。《莊子．德充符》：「闉跂支離無脤，說衛靈公。」</t>
  </si>
  <si>
    <t>[名]
1.朝代名。參見「殷商」條。
2.姓。如唐代有殷令名。
[形]
1.盛大。《書經．洛誥》：「王肇稱殷禮，祀于新邑。」
2.富足、富裕。如：「殷富」、「殷實」。《後漢書．卷三一．杜詩傳》：「廣拓土田，郡內比室殷足。」
[副]
1.情意深厚、周到。通「慇」。如：「殷切期望」、「招待甚殷」。
2.眾多。《詩經．鄭風．溱洧》：「士與女，殷其盈也。」</t>
  </si>
  <si>
    <t>(二)ㄧㄢ yān（10942）(三)ㄧㄣˇ yǐn（11105）</t>
  </si>
  <si>
    <t>慇</t>
  </si>
  <si>
    <t>[形]
傷痛。《說文解字．心部》：「慇，痛也。」晉．江淹〈傷愛子賦〉：「屑丹泣於下壤，傃慇憂於上旻。」
[副]
情意周到。《文選．司馬遷．報任少卿書》：「未嘗銜盃酒接慇懃之餘懽。」</t>
  </si>
  <si>
    <t>[名]_x000D_
1.山的北面或水的南面。《說文解字．阜部》：「陰，水之南、山之北也。」如：「山陰」、「淮陰」。三國魏．曹丕〈善哉行〉四首之四：「朝遊高臺觀，夕宴華池陰。」_x000D_
2.陽光照不到的地方。如：「樹陰」。漢．枚乘〈上書諫吳王〉：「不如就陰而止，影滅跡絕。」宋．周邦彥〈蘭陵王．柳陰直〉詞：「柳陰直，煙裡絲絲弄碧。」_x000D_
3.泛指背面。如：「碑陰」。南朝梁．丘遲〈為范雲謝示毛龜啟〉：「翱翔卷耳之陰，浮遊蓮葉之上。」宋．蘇軾〈四菩薩閣記〉：「長安有故藏經龕，唐明皇帝所建，其門四達，八版，皆吳道子畫。陽為菩薩，陰為天王。凡十有六軀。」_x000D_
4.日影。常用指時間。如：「惜陰」、「寸金難買寸光陰」。《晉書．卷六六．列傳．陶侃》：「大禹聖者，乃惜寸陰，至於眾人，當惜分陰，豈可逸遊荒醉。」_x000D_
5.月亮。如：「太陰」。漢．桓寬《鹽鐵論．非鞅》：「故利於彼者，必耗於此，猶陰陽之不並曜，晝夜之有長短也。」_x000D_
6.人的生殖器官。如：「外陰」、「陰部」。_x000D_
7.古人用指對立事物中的一方。與「陽」相對。如天、男為陽，地、女為陰。_x000D_
8.姓。如隋代有陰世師。_x000D_
[形]_x000D_
1.昏暗的。與「晴」相對。如：「陰天」、「陰雨」。_x000D_
2.祕密的、不光明的。如：「陰計」、「陰謀」。《韓非子．孤憤》：「智術之士，明察聽用，且燭重人之陰情。」_x000D_
3.險詐、狡猾。如：「陰險狠毒」、「陰狠可怕」。_x000D_
4.帶負電的。與「正」、「陽」相對。如：「陰離子」、「陰電」。_x000D_
5.柔性的、雌性的、女性的。如：「陰柔」、「陰性」。_x000D_
6.有關死人或鬼魂的。如：「陰間」、「陰曹地府」。晉．木華〈海賦〉：「陽冰不冶，陰火潛然。」《紅樓夢》第一五回：「你是素日知道我的，從來不信什麼是陰司地獄報應的。」_x000D_
[副]_x000D_
暗地的、偷偷的。《戰國策．秦策二》：「張儀反秦，使人使齊，齊、秦之交陰合。」《三國志．卷七．魏書．呂布臧洪傳．呂布》：「（卓）嘗小失意，拔手戟擲布。布拳捷避之，為卓顧謝，卓意亦解。由是陰怨卓。」</t>
  </si>
  <si>
    <t>(二)ㄧㄣˋ yìn（11119）(三)ㄢ ān（10419）</t>
  </si>
  <si>
    <t>ㄧㄣˊ</t>
  </si>
  <si>
    <t>yín</t>
  </si>
  <si>
    <t>[形]
行進的樣子。《文選．揚雄．羽獵賦》：「三軍芒然，窮冘閼與。」</t>
  </si>
  <si>
    <t>(二)ㄧㄡˊ yóu（10883）</t>
  </si>
  <si>
    <t>參見「言言」(二)條。</t>
  </si>
  <si>
    <t>(一)ㄧㄢˊ yán（10954）</t>
  </si>
  <si>
    <t>狺</t>
  </si>
  <si>
    <t>參見「狺狺」條。</t>
  </si>
  <si>
    <t>誾</t>
  </si>
  <si>
    <t>參見「誾誾」條。</t>
  </si>
  <si>
    <t>[名]
邊界、地界。通「垠」。《說文解字．土部》：「圻，垠或從斤。」《淮南子．俶真》：「四達無境，通于無圻。」</t>
  </si>
  <si>
    <t>(一)ㄑㄧˊ qí（06234）</t>
  </si>
  <si>
    <t>釿</t>
  </si>
  <si>
    <t>[動]
砍斫。《說文解字．斤部》：「釿，劑斷也。」清．段玉裁．注：「謂以斤斧之屬制斷金鐵之物。」
[名]
參見「釿鍔」條。</t>
  </si>
  <si>
    <t>齗</t>
  </si>
  <si>
    <t>[名]
牙齦、牙根肉。同「齦」。《玉篇．齒部》：「齗，齒根肉也。」三國魏．劉楨〈魯都賦〉：「頒首莘尾，豐顱重齗。」
[形]
參見「齗齗」條。</t>
  </si>
  <si>
    <t>吟</t>
  </si>
  <si>
    <t>[動]
1.痛苦時發出的聲音。元．戴侗《六書故．卷一一．吟》：「痛為呻吟。」
2.嘆息。《戰國策．楚策一》：「雀立不轉，晝吟宵哭。」
3.詠、誦。如：「吟詠」。《莊子．德充符》：「倚樹而吟，據槁梧而瞑。」
4.啼叫、鳴叫。《文選．司馬相如．長門賦》：「孔雀集而相存兮，玄猿肅而長吟。」《文選．曹植．雜詩六首之二》：「孤雁飛南遊，過庭長哀吟。」
5.口吃、話說不清楚。通「唫」。《後漢書．卷三十四．梁統傳》：「為人鳶肩豺目，洞精矘眄，口吟舌言。」
[名]
古代一種詩體的名稱。宋．嚴羽《滄浪詩話．詩體》：「古詞有〈隴頭吟〉，孔明有〈梁父吟〉，文君有〈白頭吟〉。」</t>
  </si>
  <si>
    <t>㹜</t>
  </si>
  <si>
    <t>[動]
兩隻狗互相咬。《說文解字．犬部》：「㹜，兩犬相齧也。」</t>
  </si>
  <si>
    <t>垠</t>
  </si>
  <si>
    <t>[名]
1.界限、邊際。如：「一望無垠」。唐．李華〈弔古戰場文〉：「浩浩乎！平沙無垠，敻不見人。」
2.河岸、水邊。《漢書．卷五七．司馬相如傳下》：「迫區中之隘陝兮，舒節出乎北垠。」《文選．木華．海賦》：「其垠則有天琛水怪，鮫人之室。」</t>
  </si>
  <si>
    <t>銀</t>
  </si>
  <si>
    <t>[名]
1.（silver，Ag）化學元素。原子序47。金屬元素之一。白色，光澤甚美，質軟，富延展性，易傳熱及導電。可供合金、製造貨幣、餐具及裝飾品之用。
2.金錢、貨幣。如：「賀銀」。《宋史．卷四二一．列傳．包恢》：「恢歷仕所至，……課盆鹽，理銀欠，政聲赫然。」
3.姓。如明代有銀鏡。
[形]
1.白亮的、色白如銀的。如：「銀髮」。南朝梁．簡文帝〈元圃園講頌．序〉：「朱堂玉砌，碧水銀沙。」
2.銀製的、含銀質的。如：「銀牌」、「銀箸」、「銀器」。《三國志．卷五五．吳書．程黃韓蔣周陳董甘淩徐潘丁傳．甘寧》：「寧先以銀碗酌酒，自飲兩碗，乃酌與其都督。」
3.與貨幣有關的。如：「銀行」、「銀根」。</t>
  </si>
  <si>
    <t>[名]
齒根肉。《廣韻．平聲．欣韻》：「齦，齒根肉也。」如：「牙齦」、「齒齦」。漢．揚雄《太玄經．卷三．密卦》：「琢齒依齦，三歲無君。」晉．范望．注：「脣齒相附，脣亡齒寒，故依齦齦哂也。」宋．文天祥〈滿江紅．試問琵琶〉詞：「想男兒慷慨，嚼穿齦血。」</t>
  </si>
  <si>
    <t>(二)ㄎㄣˇ kěn（04529）</t>
  </si>
  <si>
    <t>淫</t>
  </si>
  <si>
    <t>[動]_x000D_
1.浸漬。《說文解字．水部》：「淫，浸淫隨理也。」漢．劉熙《釋名．釋言語》：「淫，浸也。浸淫旁入之言也。」《周禮．冬官考工記．匠人》：「善防者水淫之。」漢．鄭玄．注：「謂水淤泥土留著，助之為厚。」_x000D_
2.沉溺。《書經．大禹謨》：「罔遊于逸，罔淫于樂。」《莊子．在宥》：「而且說明邪？是淫於色也；說聰邪？是淫於聲也。」_x000D_
3.迷惑。《孟子．滕文公下》：「富貴不能淫，貧賤不能移，威武不能屈，此之謂大丈夫。」_x000D_
4.通姦。《左傳．宣公四年》：「（鬭伯比）從其母畜於鄖，淫於鄖子之女，生子文焉。」《隋書．卷七四．酷吏列傳．燕榮》：「榮每巡省管內，聞官人及百姓妻女有美色，輒舍其室而淫之。」 _x000D_
[形]_x000D_
1.大。《爾雅．釋詁上》：「淫，大也。」《詩經．周頌．有客》：「既有淫威，降福孔夷。」漢．毛亨．傳：「淫，大。」_x000D_
2.浮濫、過度、不恰當。如：「淫辭」、「淫濫」。《管子．君臣下》：「禁淫務，勸農功。」《禮記．曲禮下》：「非其所祭而祭之，名曰淫祀。」_x000D_
3.邪惡不正的。如：「淫聲」、「淫邪」。《書經．洪範》：「凡厥庶民，無有淫朋。」漢．陸賈《新語．術事》：「將以杜淫邪之欲，絕琦瑋之情。」_x000D_
4.貪色、放蕩的。《晉書．卷三〇．刑法志》：「今盜者竊人之財，淫者好人之色。」《初刻拍案驚奇》卷一七：「你這淫婦！順了奸夫，忍殺親子，這樣人留你何用？」_x000D_
5.久而不止的。通「霪」。《左傳．莊公十一年》：「天作淫雨，害於粢盛，若之何不弔？」_x000D_
[名]_x000D_
不正常的性關係。如：「賣淫」、「行淫」。_x000D_
[副]_x000D_
過度的。《書經．召誥》：「其惟王勿以小民淫用非彞。」</t>
  </si>
  <si>
    <t>婬</t>
  </si>
  <si>
    <t>[名]_x000D_
不正常的性關係。《集韻．平聲．侵韻》：「婬，通作淫。」</t>
  </si>
  <si>
    <t>霪</t>
  </si>
  <si>
    <t>[名]
下了很久的雨。《玉篇．雨部》：「霪，久雨也。」如：「霪霖」、「霪雨」。</t>
  </si>
  <si>
    <t>寅</t>
  </si>
  <si>
    <t>[名]
1.地支的第三位。
2.時辰名。約當於上午三時至五時。
3.同寅的簡稱。
4.姓。如元代有寅午辰。
[副]
恭敬。《書經．舜典》：「夙夜惟寅，直哉惟清。」南朝梁．劉勰《文心雕龍．祝盟》：「所以寅虔於神祇，嚴恭於宗廟也。」</t>
  </si>
  <si>
    <t>夤</t>
  </si>
  <si>
    <t>[動]
攀附求進。參見「夤緣」條。
[副]
敬惕。通「寅」。《漢書．卷一〇〇．敘傳下》：「中宗明明，夤用刑名。」《北史．卷三九．房法壽傳》：「夤畏照臨，亦宜謹肅。」
[形]
深。如：「夤夜」。</t>
  </si>
  <si>
    <t>殥</t>
  </si>
  <si>
    <t>[名]
偏遠的地方。《淮南子．墬形》：「九州之外，乃有八殥。」</t>
  </si>
  <si>
    <t>唫</t>
  </si>
  <si>
    <t>[動]
1.口吃、話說不清楚。《說文解字．口部》：「唫，口急也。」
2.閉口。《墨子．親士》：「臣下重其爵，位而不言，近臣則喑，遠臣則唫。」《呂氏春秋．審應覽．重言》：「君呿而不唫，所言者莒也。」漢．高誘．注：「呿，開；唫，閉。」
3.嘆息。吟的古字。《楚辭．屈原．九章．悲回風》：「孤子唫而抆淚兮，放子出而不還。」
4.歌詠。吟的古字。《漢書．卷四五．息夫躬傳》：「秋風為我唫，浮雲為我陰。」唐．方干〈貽錢塘縣路明府〉詩：「唫成五字句，用破一生心。」</t>
  </si>
  <si>
    <t>崟</t>
  </si>
  <si>
    <t>參見「嶔崟」、「崟崟」等條。</t>
  </si>
  <si>
    <t>鄞</t>
  </si>
  <si>
    <t>參見「鄞縣」條。</t>
  </si>
  <si>
    <t>嚚</t>
  </si>
  <si>
    <t>[形]
1.愚蠢而頑固。清．王念孫《廣雅疏證．卷一下．釋詁》：「嚚，愚也。」《書經．堯典》：「父頑、母嚚、象傲，克諧以孝，烝烝乂不格姦。」
2.奸詐、說話不老實。《左傳．僖公二十四年》：「心不則德義之經為頑，口不道忠信之言為嚚。」</t>
  </si>
  <si>
    <t>廴</t>
  </si>
  <si>
    <t>ㄧㄣˇ</t>
  </si>
  <si>
    <t>yǐn</t>
  </si>
  <si>
    <t>[動]
長行，連步行走。《說文解字．廴部》：「廴，長行也。」清．徐灝．箋：「長行者，連步行也。」《玉篇．廴部》：「廴，長行也。今作引。」
[名]
二一四部首之一。</t>
  </si>
  <si>
    <t>尹</t>
  </si>
  <si>
    <t>[動]
治理。《左傳．定公四年》：「故周公相王室，以尹天下。」《文選．王儉．褚淵碑文》：「公之登太階而尹天下，君子以為美談。」
[名]
1.古代行政區域長官的名稱。如：「師尹」、「府尹」、「京兆尹」。
2.姓。如宋代有尹洙。</t>
  </si>
  <si>
    <t>引</t>
  </si>
  <si>
    <t>[動]
1.開弓。《莊子．田子方》：「列禦寇為伯昏無人射，引之盈貫。」《孟子．盡心上》：「羿不為拙射變其彀率，君子引而不發，躍如也。」
2.拉。《韓非子．人主》：「夫馬之所以能任重引車致遠道者，以筋力也。」《聊齋志異．卷一．尸變》：「客大懼，恐將及己，潛引被覆首，閉息忍咽以聽之。」
3.伸長、延長。《左傳．成公十三年》：「我君景公，引領西望。」唐．韓愈〈進學解〉：「忘己量之所稱，指前人之瑕疵，是所謂詰匠氏之不以杙為楹，而訾醫師以昌陽引年，欲進其豨苓也。」
4.領導、帶領。《史記．卷七．項羽本紀》：「項羽引兵西屠咸陽，殺秦降王子嬰。」《紅樓夢》第一回：「適因小女啼哭，引他出來作耍。」
5.招致、招惹。如：「拋磚引玉」。唐．白居易〈初授祕監并賜金紫閑吟小酌偶寫所懷〉詩：「酒引眼前興，詩留身後名。」清．洪昇《長生殿》第三八齣：「無端唱出興亡恨，引得傍人也淚流。」
6.推薦、選拔。《後漢書．卷一三．隗囂傳》：「王莽國師劉歆引囂為士。」唐．錢起〈樂遊原晴望上中書李侍郎〉詩：「遙想青雲丞相府，何時開閤引書生。」
7.援用。漢．何休〈公羊傳解詁序〉：「援引他經，失其句讀。」南朝梁．劉勰《文心雕龍．事類》：「雖引古事，而莫取舊辭。」
8.退避、退出。《禮記．玉藻》：「侍坐則必退席，不退，則必引而去君之黨。」宋．蘇軾〈與辯才禪師〉詩：「得此閑郡，雖未能超然遠引，亦退老之漸也。」
9.承受。《新唐書．卷八〇．太宗諸子傳．庶人佑傳》：「誠能飭躬引咎，萬紀請入朝言之，上意宜解。」《三國演義》第九九回：「街亭之役，咎由馬謖，而君引愆，深自貶抑。」
[名]
1.量詞。計算長度的單位。公制一引等於一百公尺。也稱為「公引」。
2.紙幣。宋．陸游《老學庵筆記》卷六：「胡子遠之父，唐安人，家饒財，常委僕權錢，得錢引五千緡，皆偽也。」
3.通行證。如：「路引」。《西遊記》第五四回：「請投館驛註名上簿，待下官執名奏駕，驗引放行。」《警世通言．卷二八．白娘子永鎮雷峰塔》：「見了大尹，給引還鄉。」
4.拉柩車的繩索。《禮記．檀弓下》：「弔於葬者必執引，若從柩及壙皆執紼。」
5.文體名。相當於「序」，而較序短。唐．王勃〈滕王閣序〉：「敢竭鄙懷，恭疏短引。」宋．陸游《老學庵筆記》卷六：「蘇東坡祖名字，故為人作序皆用敘序，又以未安，遂改作引。」
6.一種樂府詩體。如：「思歸引」、「箜篌引」。唐．元稹〈樂府古題序〉：「賦、頌、引、謠、……、詞、調，皆詩人六義之餘，而作者之旨。」</t>
  </si>
  <si>
    <t>蚓</t>
  </si>
  <si>
    <t>靷</t>
  </si>
  <si>
    <t>[名]
繫在車軸，拉車前進的皮帶。《左傳．哀公二年》：「我兩靷將絕，吾能止之。」</t>
  </si>
  <si>
    <t>听</t>
  </si>
  <si>
    <t>[副]
笑的樣子。《文選．司馬相如．上林賦》：「亡是公听然而笑。」唐．劉禹錫〈說驥〉：「睹之周體，眙然視，听然笑，既而抃隨之。」</t>
  </si>
  <si>
    <t>(二)ㄊㄧㄥ tīng（▲02734）(三)ㄊㄧㄥˋ tìng（▲02758）</t>
  </si>
  <si>
    <t>[擬]
形容雷聲。《集韻．上聲．隱韻》：「殷，雷聲。」《詩經．召南．殷其靁》：「殷其靁，在南山之陽。」明．徐弘祖《徐霞客遊記．卷四下．黔遊日記二》：「雷聲殷殷，天色以雲幕而暗。」
[動]
震動。《漢書．卷五七．司馬相如傳上》：「車騎雷起，殷天動地。」唐．杜甫〈大雲寺贊公房〉詩四首之三：「梵放時出寺，鍾殘仍殷床。」</t>
  </si>
  <si>
    <t>(一)ㄧㄣ yīn（11074）(二)ㄧㄢ yān（10942）</t>
  </si>
  <si>
    <t>飲</t>
  </si>
  <si>
    <t>[動]_x000D_
1.喝。如：「茹毛飲血」。《孟子．告子上》：「冬日則飲湯，夏日則飲水。」《史記．卷七．項羽本紀》：「項王曰：『壯士，賜之卮酒。』則與斗卮酒。噲拜謝，起，立而飲之。」晉．陸機〈猛虎行〉：「渴不飲盜泉水，熱不息惡木陰。」_x000D_
2.特指喝酒。如：「小飲」、「對飲」。唐．聶夷中〈飲酒樂〉詩：「一飲解百結，再飲破百憂。」《儒林外史》第四〇回：「我和你們眾百姓在此痛飲一天，也是緣法。」_x000D_
3.含忍、懷著。南朝梁．江淹〈恨賦〉：「自古皆有死，莫不飲恨而吞聲。」《魏書．卷六〇．列傳．韓麒麟》：「及會公卿，議王之罪，莫不俛眉飲氣，唯諮是從。」_x000D_
4.沒入、隱沒。《呂氏春秋．季秋紀．精通》：「養由基射兕中石，矢乃飲羽，誠平兕也。」《漢書．卷九二．游俠傳．朱家》：「然終不能伐其能，飲其德。」_x000D_
[名]_x000D_
可喝的流質食物。如：「冷飲」。《周禮．天官冢宰．酒正》：「辨四飲之物：一曰清，二曰醫，三曰漿，四曰酏。」《論語．雍也》：「一簞食，一瓢飲，在陋巷，人不堪其憂，回也不改其樂。」</t>
  </si>
  <si>
    <t>(二)ㄧㄣˋ yìn（11122）</t>
  </si>
  <si>
    <t>[名]
長戈。《集韻．上聲．準韻》：「戭，長戈。」</t>
  </si>
  <si>
    <t>(一)ㄧㄢˇ yǎn（11007）</t>
  </si>
  <si>
    <t>螾</t>
  </si>
  <si>
    <t>[名]
蚯蚓。《荀子．勸學》：「螾無爪牙之利，筋骨之強，上食埃土，下飲黃泉，用心一也。」唐．楊倞．注：「螾與蚓同。」</t>
  </si>
  <si>
    <t>嶾</t>
  </si>
  <si>
    <t>參見「嶾嶙」條。</t>
  </si>
  <si>
    <t>隱</t>
  </si>
  <si>
    <t>[動]
1.藏匿。《說文解字．阜部》：「隱，蔽也。」《晉書．卷九四．隱逸傳．夏統傳》：「善歌舞，又能隱形匿影。」唐．李白〈安陸白兆山桃花巖寄劉侍御綰〉詩：「樹雜日易隱，崖傾月難圓。」
2.遮瞞。如：「直言不隱」。宋．蘇軾〈上神宗皇帝書〉：「一牛之失，則隱而不言，五羊之獲，則指為勞績。」
3.憐憫、同情。《孟子．梁惠王上》：「王若隱其無罪而就死地，則牛羊何擇焉？」
4.詳細考量。《管子．禁藏》：「是故君子上觀絕理者，以自恐也。下觀不及者，以自隱也。」唐．尹知章．注：「隱，度也。度己有不及之事當效之也。」
[名]
1.幽微精深處。《易經．繫辭上》：「探賾索隱，鉤深致遠。」《史記．卷一一七．司馬相如傳．太史公曰》：「《春秋》推見至隱，《易》本隱之以顯。」
2.痛苦。如：「難言之隱」。《國語．周語上》：「勤恤民隱，而除其害也。」
3.謎語。《史記．卷一二六．滑稽傳．淳于髡傳》：「齊威王之時喜隱。」唐．司馬貞．索隱：「喜隱，謂好隱語。」
4.姓。如三國時吳國有隱蕃。
[形]
1.潛藏不露的、幽而不顯的。如：「隱情」、「隱疾」、「隱性」。《晉書．卷七五．王湛傳》：「初有隱德，人莫能知，兄弟宗族皆以為痴。」
2.窮困的。《左傳．昭公二十五年》：「政自之出久矣，隱民多取食焉。」</t>
  </si>
  <si>
    <t>(二)ㄧㄣˋ yìn（11125）</t>
  </si>
  <si>
    <t>檃</t>
  </si>
  <si>
    <t>參見「檃栝」條。</t>
  </si>
  <si>
    <t>癮</t>
  </si>
  <si>
    <t>[名]
成為習慣而不易戒除的嗜好或癖好。如：「煙癮」、「酒癮」、「毒癮」。《二十年目睹之怪現狀》第四七回：「他不吃的，如何會上癮。」</t>
  </si>
  <si>
    <t>讔</t>
  </si>
  <si>
    <t>[名]
隱語、謎語。《呂氏春秋．審應覽．重言》：「荊莊王立三年，不聽而好讔。」南朝梁．劉勰《文心雕龍．諧讔》：「讔者，隱也，遯辭以隱意，譎譬以指事也。」</t>
  </si>
  <si>
    <t>印</t>
  </si>
  <si>
    <t>ㄧㄣˋ</t>
  </si>
  <si>
    <t>yìn</t>
  </si>
  <si>
    <t>[名]
1.用木或金石等所刻成的圖章。如：「官印」、「鋼印」、「玉印」。《史記．卷六九．蘇秦傳》：「且使我有雒陽負郭田二頃，吾豈能佩六國相印乎！」
2.痕跡。如：「腳印」、「手印」。
3.印度的簡稱。如：「中印條約」。
4.姓。如唐代有印倫。
[動]
1.在物體上留下痕跡。如：「烙印」、「印上指紋」。
2.印刷。如：「刊印」、「排印」、「翻印」、「這本書已經印好了。」
3.符合。如：「心心相印」。</t>
  </si>
  <si>
    <t>[名]
樹蔭。通「蔭」。《左傳．文公十七年》：「鹿死不擇音，小國之事大國也，德則其人也，不德則其鹿也。」</t>
  </si>
  <si>
    <t>(一)ㄧㄣ yīn（11065）</t>
  </si>
  <si>
    <t>[名]
地下室。元．關漢卿《救風塵》第一折：「家裡餓皮臉也揭了鍋兒底，窨子裡秋月不曾見這等食。」
[動]
1.深藏、久藏。《水滸傳》第二二回：「武行者偷眼看時，卻是一甕窨下的好酒。」
2.陷害。元．王實甫《西廂記．第三本．第四折》：「怒時節把一個書生來跌窨。」
3.忍住。《董西廂》卷四：「閣不定粉淚漣漣，吞聲窨氣埋冤。」</t>
  </si>
  <si>
    <t>(二)ㄒㄩㄣ xūn（07401）</t>
  </si>
  <si>
    <t>胤</t>
  </si>
  <si>
    <t>[動]
子孫世代相承繼。《書經．洛誥》：「予乃胤保，大相東土。」《國語．周語下》：「胤也者，子孫蕃育之謂也。」
[名]
後代、後嗣。《左傳．僖公二十四年》：「凡、蔣、邢、茅、胙、祭，周公之胤也。」《梁書．卷五〇．文學傳下．劉峻傳》：「余禍同伯道，永無血胤，此二異也。」</t>
  </si>
  <si>
    <t>酳</t>
  </si>
  <si>
    <t>[動]
飲食結束後用酒漱口。《廣韻．去聲．震韻》：「酳，酒漱口也。」《漢書．卷五一．賈山傳》：「養三老於大學，親執醬而餽，執爵而酳。」唐．顏師古．注：「酳者，少少飲酒，謂食已而蕩口也。」</t>
  </si>
  <si>
    <t>[動]
1.覆蔭、遮蔽。通「蔭」。《詩經．大雅．桑柔》：「既之陰女，反予來赫。」
2.埋藏。《禮記．祭義》：「骨肉斃於下，陰為野土。」</t>
  </si>
  <si>
    <t>(一)ㄧㄣ yīn（11076）(三)ㄢ ān（10419）</t>
  </si>
  <si>
    <t>廕</t>
  </si>
  <si>
    <t>[名]
父祖被及子孫的恩澤。如：「父廕」、「餘廕」。
[動]
庇護。如：「庇廕」、「廕庇」。《管子．君臣上》：「夫為人君者，廕德於人者也。」</t>
  </si>
  <si>
    <t>蔭</t>
  </si>
  <si>
    <t>[名]
1.樹下的陰影。如：「樹蔭」、「柳蔭」。晉．陶淵明〈飲酒詩〉二〇首之四：「勁風無榮木，此蔭獨不衰。」
2.父祖被及子孫的恩澤。同「廕」。《隋書．卷四七．柳機傳》：「少以父蔭，為太子親衛。」
[動]
1.遮蔽。如：「蔭覆」。晉．陶淵明〈歸園田居〉詩五首之一：「榆柳蔭後簷，桃李羅堂前。」
2.庇護。同「廕」。如：「庇蔭」。《南史．卷二二．王曇首傳》：「況吾不能為汝蔭，政應各自努力耳。」</t>
  </si>
  <si>
    <t>[動]_x000D_
將流質的食品拿給人或動物喝。《詩經．小雅．綿蠻》：「飲之食之，教之誨之。」《禮記．檀弓下》：「寡人亦有過焉，酌而飲寡人。」</t>
  </si>
  <si>
    <t>(一)ㄧㄣˇ yǐn（11106）</t>
  </si>
  <si>
    <t>暈</t>
  </si>
  <si>
    <t>[名]
傷口沒破皮而出現的紫紅色印子。如：「血暈」。《福惠全書．卷一四．刑名部．檢驗》：「若傷處痕色不明，必剔開腐肉驗骨上，自有血暈血陰等傷痕。」</t>
  </si>
  <si>
    <t>(一)ㄩㄣ yūn（11814）(二)ㄩㄣˋ yùn（11848）</t>
  </si>
  <si>
    <t>憖</t>
  </si>
  <si>
    <t>[動]
1.願意。《左傳．哀公十六年》：「旻天不弔，不憖遺一老。」
2.損傷、殘缺。《左傳．文公十二年》：「兩君之士，皆未憖也。」
[副]
暫且。南朝梁．沈約〈齊故安陸昭王碑〉：「千年之領袖，曾不憖留。」</t>
  </si>
  <si>
    <t>[動]
憑據、倚靠。《禮記．檀弓下》：「既葬而封，廣輪揜坎，其高可隱也。」漢．鄭玄．注：「隱，據也。」</t>
  </si>
  <si>
    <t>(一)ㄧㄣˇ yǐn（11110）</t>
  </si>
  <si>
    <t>央</t>
  </si>
  <si>
    <t>ㄧㄤ</t>
  </si>
  <si>
    <t>yāng</t>
  </si>
  <si>
    <t>[形]
中間、中心。《詩經．秦風．蒹葭》：「遡游從之，宛在水中央。」《莊子．應帝王》：「北海之帝為忽，中央之帝為渾沌。」
[動]
1.盡、完了。《楚辭．屈原．離騷》：「及年歲之未晏兮，時亦猶其未央。」《文選．劉楨．贈五官中郎將詩四首之一》：「四牡向路馳，歡悅誠未央。」
2.請求、懇求。如：「央求」。《水滸傳》第二四回：「老身也前日央人看來，說道明日是個黃道好日。」</t>
  </si>
  <si>
    <t>佒</t>
  </si>
  <si>
    <t>[形]
1.身體不能伸展的樣子。《玉篇．人部》：「佒，體不伸也。」
2.參見「偃佒」條。</t>
  </si>
  <si>
    <t>泱</t>
  </si>
  <si>
    <t>[形]
1.雲氣興起的樣子。《文選．潘岳．射雉賦》：「天泱泱以垂雲，泉涓涓而吐溜。」
2.宏大深廣的樣子。參見「泱泱」條。</t>
  </si>
  <si>
    <t>殃</t>
  </si>
  <si>
    <t>[名]
災禍。如：「遭殃」、「池魚之殃」。《易經．坤卦．文言曰》：「積善之家，必有餘慶；積不善之家，必有餘殃。」唐．韓愈〈圬者王承福傳〉：「食焉而怠其事必有天殃，故吾不敢一日捨鏝以嬉。」
[動]
殘害。如：「禍國殃民」。《孟子．告子下》：「殃民者，不容於堯舜之世。」</t>
  </si>
  <si>
    <t>秧</t>
  </si>
  <si>
    <t>[名]
1.稻苗。《說文解字．禾部》「秧」字．清．段玉裁．注：「秧，今俗謂稻之初生者曰秧。」如：「插秧」。唐．張籍〈江村行〉：「江南熱旱天氣毒，雨中移秧顏色鮮。」
2.植物的幼苗。如：「樹秧」、「花秧」。也稱為「秧兒」。
3.初生的動物。如：「魚秧」、「豬秧」。也稱為「秧子」。
4.某些植物的莖。如：「豆秧」、「瓜秧」。
[動]
培養、栽種。如：「秧幾棵花」、「秧一盆魚」。唐．元稹〈紀懷贈李六戶曹崔二十功曹五十韻〉：「躡屐看秧稻，敲船和採菱。」</t>
  </si>
  <si>
    <t>鉠</t>
  </si>
  <si>
    <t>[擬]
鉠鉠：形容鈴聲。《文選．張衡．東京賦》：「鑾聲噦噦，和鈴鉠鉠。」唐．李白〈明堂賦〉：「建翠華兮萋萋，鳴玉鑾之鉠鉠。」</t>
  </si>
  <si>
    <t>鞅</t>
  </si>
  <si>
    <t>[名]
1.套在馬頸上，用以駕車的皮帶。《左傳．襄公十八年》：「大子抽劍斷鞅乃止。」
2.泛指車馬。晉．陶淵明〈歸園田居〉詩五首之二：「野外罕人事，窮巷寡輪鞅。」
[副]
不滿意的樣子。參見「鞅鞅」條。</t>
  </si>
  <si>
    <t>(二)（又音）ㄧㄤˇ yǎng（11154）</t>
  </si>
  <si>
    <t>鴦</t>
  </si>
  <si>
    <t>[名]
參見「鴛鴦」條。</t>
  </si>
  <si>
    <t>ㄧㄤˊ</t>
  </si>
  <si>
    <t>yáng</t>
  </si>
  <si>
    <t>[名]
1.哺乳綱牛科部分動物的泛稱。皮、毛、角、骨可供使用，肉、乳可食用。有綿羊、山羊、羚羊等。
2.姓。如漢代有羊續。
3.二一四部首之一。</t>
  </si>
  <si>
    <t>(二)ㄒㄧㄤˊ xiáng（07196）</t>
  </si>
  <si>
    <t>佯</t>
  </si>
  <si>
    <t>[副]
假裝、偽裝。如：「佯笑」、「佯作不知」。《紅樓夢》第五七回：「寶玉心下明白，因恐紫鵑回去，故又或作佯狂之態。」
[名]
中國少數民族之一。屬西南僰撣族系。今散布於大陸地區貴州省東部山區，以耕山、漁、獵為生。</t>
  </si>
  <si>
    <t>洋</t>
  </si>
  <si>
    <t>[名]
1.廣大的海域。如：「太平洋」、「大西洋」、「印度洋」。
2.舊指比較現代的事物。如：「土洋並用」。
3.俗稱銀元為「洋」。如：「龍洋」、「五百塊現大洋」。
[形]
1.廣大的。如：「汪洋大海」。
2.外國的。如：「洋人」、「洋貨」、「洋酒」。</t>
  </si>
  <si>
    <t>徉</t>
  </si>
  <si>
    <t>烊</t>
  </si>
  <si>
    <t>[動]
1.鎔化金屬。同「煬」。如：「烊銅」、「烊鐵」。《老殘遊記》第一六回：「半霎工夫，墨盒裡冒白氣，下半邊已烊了。」
2.商店晚上休息，停止營業稱為「打烊」。</t>
  </si>
  <si>
    <t>痒</t>
  </si>
  <si>
    <t>[名]_x000D_
身體器官或皮膚黏膜發生潰爛或生瘡的症狀。同「瘍」。《說文解字．疒部》：「痒，瘍也。」《周禮．天官冢宰．疾醫》：「夏時有痒疥疾，秋時有瘧寒疾。」_x000D_
[動]_x000D_
憂慮成疾。《詩經．小雅．正月》：「哀我小心，癙憂以痒。」漢．毛亨．傳：「痒，病也。」</t>
  </si>
  <si>
    <t>(二)ㄧㄤˇ yǎng（▲11158）</t>
  </si>
  <si>
    <t>昜</t>
  </si>
  <si>
    <t>陽的古字。《說文解字．勿部》：「昜」字清．段玉裁．注：「此陰陽正字也。陰陽行而侌昜廢矣。」</t>
  </si>
  <si>
    <t>揚</t>
  </si>
  <si>
    <t>[動]
1.舉起、抬高。如：「揚手」。唐．李白〈至邯鄲登城樓覽古書懷〉詩：「揚鞭動柳色，寫鞚春風生。」
2.飄動。如：「飛揚」、「飄揚」。《文選．孫綽．遊天台山賦》：「法鼓琅以振響，眾香馥以揚煙。」
3.彰顯。《禮記．中庸》：「好察邇言，隱惡而揚善。」南朝梁．劉勰《文心雕龍．辨騷》：「班固以為露才揚己，忿懟沉江。」
4.稱頌、傳播。如：「表揚」、「讚揚」、「宣揚」、「揚名國際」。
5.掀起。《楚辭．屈原．漁父》：「世人皆濁，何不淈其泥而揚其波。」《文選．班固．西都賦》：「揚波濤於碣石，激神岳之嶈嶈。」
6.往上撒，以去除穀物的外皮。如：「揚場」、「簸揚」。
7.推薦。《書經．堯典》：「明明揚側陋。」漢．孔安國．傳：「明舉明人在側陋者，廣求賢也。」《北史．卷六七．王士良傳》：「孝昭即位，遣三道使搜揚人物。」
[形]
得意的樣子。如：「趾高氣揚」、「志高而揚」。
[名]
姓。如漢代有揚雄。</t>
  </si>
  <si>
    <t>陽</t>
  </si>
  <si>
    <t>[名]
1.山的南面或水的北面。《玉篇．阜部》：「陽，山南水北也。」《史記．卷一三〇．太史公自序》：「遷生龍門，耕牧河山之陽。」唐．柳宗元〈愚溪詩序〉：「灌水之陽有溪焉，東流入於瀟水。」
2.太陽。如：「朝陽」。《詩經．小雅．湛露》：「湛湛露斯，匪陽不晞。」漢．毛亨．傳：「陽，日也。」《文選．張協．雜詩十首之二》：「浮陽映翠林，迴颰扇綠竹。」
3.人間。與「陰」相對。如：「陽世」、「回陽」。
4.姓。如宋代有陽昌朝。
[形]
1.帶正電的。如：「陽電」、「陽極」、「陽離子」。
2.鮮明的。《詩經．豳風．七月》：「載玄載黃，我朱孔陽，為公子裳。」《文選．陸機．短歌行》：「時無重至，華不再陽。」
3.向陽的。唐．杜甫〈秦州雜詩〉二〇首之一三：「瘦地翻宜粟，陽坡可種瓜。」
4.凸的。如：「陽刻」。《儒林外史》第二一回：「一方陰文圖書，刻牛浦之印；一方陽文，刻『布衣』二字。」
[副]
偽裝、表面上。通「佯」。如：「陽奉陰違」。《韓非子．說難》：「所說陰為厚利而顯為名高者也，而說之以名高，則陽收其身，而實疏之。」《漢書．卷一．高帝紀上》：「陽尊懷王為義帝，實不用其命。」</t>
  </si>
  <si>
    <t>煬</t>
  </si>
  <si>
    <t>[動]
鎔化金屬。《集韻．平聲．陽韻》：「煬，爍金。」如：「煬金」、「煬鐵」。</t>
  </si>
  <si>
    <t>(一)ㄧㄤˋ yàng（11166）</t>
  </si>
  <si>
    <t>(一)ㄔㄤˋ chàng（08476）</t>
  </si>
  <si>
    <t>楊</t>
  </si>
  <si>
    <t>[名]
1.楊柳科楊屬喬木的統稱。與柳相似，枝條上挺，種子有白絮。種類很多，有銀白楊、毛白楊等。
2.戰國時代楊朱及其學派的簡稱。《孟子．滕文公下》：「天下之言，不歸楊則歸墨。」
3.姓。如漢代有楊震。</t>
  </si>
  <si>
    <t>暘</t>
  </si>
  <si>
    <t>[動]
日出。《說文解字．日部》：「暘，日出也。」
[名]
晴天。《書經．洪範》：「曰雨曰暘，曰燠曰寒。」明．徐光啟《農政全書．卷一六．水利．浙江水利》：「而青海周官海之流，亦罔瀦蓄，以故一遇恆暘，赤地千里，而莫之救也。」</t>
  </si>
  <si>
    <t>瘍</t>
  </si>
  <si>
    <t>[名]
1.瘡。如：「腫瘍」。《禮記．曲禮上》：「頭有創則沐，身有瘍則浴。」
2.參見「潰瘍」條。</t>
  </si>
  <si>
    <t>禓</t>
  </si>
  <si>
    <t>[動]
在路旁祭祀無主之鬼。《說文解字．示部》：「禓，道上祭。」《禮記．郊特牲》：「鄉人禓，孔子朝服立于阼，存室神也。」</t>
  </si>
  <si>
    <t>鍚</t>
  </si>
  <si>
    <t>[名]
1.馬額上的金屬飾物，行動時會發出聲響。《左傳．桓公二年》：「鍚鸞和鈴，昭其聲也。」晉．杜預．注：「鍚，在馬額。」
2.盾背上的金屬飾物。《禮記．郊特牲》：「朱干設鍚，冕而舞大武，乘大路，諸侯之僭禮也。」漢．鄭玄．注：「干，盾也；鍚，傅其背如龜也。」</t>
  </si>
  <si>
    <t>颺</t>
  </si>
  <si>
    <t>[動]
1.風吹。《說文解字．風部》：「颺，風所飛揚也。」唐．許渾〈送客歸峽中〉詩：「江風颺帆急，山月下樓遲。」
2.高飛。如：「高颺」、「遠颺」。《後漢書．卷七五．呂布傳》：「譬如養鷹，飢即為用，飽則颺去。」
3.顯揚。通「揚」。《左傳．昭公二十八年》：「今子少颺，子若無言，吾幾失子矣。」宋．蘇軾〈南安軍學記〉：「故使樂工採其謳謠諷議之言，而颺之以觀其心。」
4.簸揚，去除穀物的外皮。通「揚」。《晉書．卷五六．孫楚傳》：「簸之颺之，糠秕在前。」
5.拋、丟。《五燈會元．卷一九．東山覺禪師》：「颺下屠刀，立地成佛。」《聊齋志異．卷一．瞳人語》：「言已，掬轍土颺生。」</t>
  </si>
  <si>
    <t>ㄧㄤˇ</t>
  </si>
  <si>
    <t>yǎng</t>
  </si>
  <si>
    <t>[動]
1.仰仗。《說文解字．匕部》：「卬，望也，欲有所庶及也。」《荀子．議兵》：「上足卬則下可用也，上不卬則下不可用也。」
2.仰慕、仰望。通「仰」。《詩經．大雅．雲漢》：「瞻卬昊天，云如何里？」《楚辭．宋玉．九辯》：「卬明月而太息兮，步列星而極明。」
3.向上。《漢書．卷四九．鼂錯傳》：「雖然，兵，凶器也；戰，危事也。以大為小，以彊為弱，在俛卬之間耳。」</t>
  </si>
  <si>
    <t>(一)ㄤˊ áng（10450）</t>
  </si>
  <si>
    <t>仰</t>
  </si>
  <si>
    <t>[動]
1.抬頭。唐．韋應物〈郡齋雨中與諸文士燕集〉詩：「俯飲一杯酒，仰聆金玉章。」宋．岳飛〈滿江紅．怒髮衝冠〉詞：「抬望眼、仰天長嘯，壯懷激烈。」
2.朝上、向上。《淮南子．天文》：「冬日至則陽乘陰，是以萬物仰而生。」
3.敬慕。如：「敬仰」、「景仰」。《儒林外史》第九回：「如今若救出楊先生來，這一鎮的人，誰不感仰。」
4.舊時公文用語。上行文中置於懇、祈、請之前，表示尊敬，如：「仰懇鑒察」；下行文中，表示命令，如：「令仰遵照」。《通俗編．政治》引孔平仲《談苑》：「今公家文移，以上臨下，皆用仰字。」
5.依賴。如：「仰仗」、「仰賴」。《後漢書．卷一六．鄧禹傳》：「今吾眾雖多，能戰者少，前無可仰之積，後無轉饋之資。」
[名]
姓。如宋代有仰忻。</t>
  </si>
  <si>
    <t>坱</t>
  </si>
  <si>
    <t>[名]
塵埃。《說文解字．土部》：「坱，塵埃也。」唐．柳宗元〈法華寺石門精舍三十韻〉：「潛軀委韁鎖，高步謝塵坱。」
[副]
廣大而充滿的樣子。宋．朱熹〈仁說〉：「此心何心也？在天地則坱然生物之心，在人則溫然愛人利物之心。」</t>
  </si>
  <si>
    <t>(一)ㄧㄤ yāng（11132）</t>
  </si>
  <si>
    <t>氧</t>
  </si>
  <si>
    <t>[名]
（oxygen，O）化學元素。原子序8。非金屬元素之一。天然存於空氣中，為無色、無味之氣體。性助燃，易與他物化合，為動物呼吸不可或缺的氣體。俗稱為「氧氣」。</t>
  </si>
  <si>
    <t>養</t>
  </si>
  <si>
    <t>[動]
1.撫育、照顧。如：「撫養」、「養民」。《禮記．大學》：「未有學養子，而後嫁者也。」《史記．卷一一二．平津侯主父列傳．主父偃》：「百姓靡敝，孤寡老弱不能相養。」
2.生育。如：「養子不教誰之過。」
3.指哺乳。如：「哺養」。
4.經收養、扶養或相認構成的非親生親子關係。如：「養子」、「養女」、「養父」、「養母」。
5.教導、教育。《周禮．地官．保氏》：「保氏掌諫王惡，而養國子以道，乃教之六藝。」《孟子．離婁下》：「中也養不中，才也養不才，故人樂有賢父兄也。」《漢書．卷八八．儒林傳．序》：「或言孔子布衣，養徒三千人。」
6.陶冶、薰陶。如：「修養品德」、「修身養性」。《孟子．盡心下》：「養心莫善於寡欲。」
7.治療、醫治。如：「調養」、「養病」、「療養」。《儒林外史》第五回：「再折些須銀子給他養那打壞了的腿。」
8.增加、助長。《左傳．昭公二十年》：「私欲養求，不給則應。」唐．孔穎達．正義：「私有所欲，長養其情，求物共之，民不共給，則應之以罪。」
9.保養、保持。如：「養顏」、「頤養天年」、「養精蓄銳」。
10.培植、飼養。如：「養蘭」、「養雞」、「養殖」。《周禮．夏官．圉人》：「圉人，當養馬芻牧之事。」
[名]
1.修養、涵養。如：「學養」、「素養」。
2.姓。如春秋時楚國有養由基。</t>
  </si>
  <si>
    <t>(二)ㄧㄤˋ yàng（11163）</t>
  </si>
  <si>
    <t>瀁</t>
  </si>
  <si>
    <t>(一)ㄧㄤˋ yàng（11165）</t>
  </si>
  <si>
    <t>癢</t>
  </si>
  <si>
    <t>[名]
皮膚受到刺激而產生需要抓搔的感覺。如：「隔靴搔癢」。《禮記．內則》：「寒不敢襲，癢不敢搔。」</t>
  </si>
  <si>
    <t>怏</t>
  </si>
  <si>
    <t>ㄧㄤˋ</t>
  </si>
  <si>
    <t>yàng</t>
  </si>
  <si>
    <t>[副]
不滿、不服氣。《說文解字．心部》：「怏，不服懟也。」《戰國策．趙策三》：「辛垣衍怏然不悅曰：『嘻！亦太甚矣先生之言也！』」
[形]
失意、惆悵。《廣韻．上聲．養韻》：「怏，怏悵也。」
[動]
勉強、泥求。明．湯顯祖《牡丹亭》第二八齣：「教俺迷留沒亂的心嘈雜，無夜無明怏著他。」</t>
  </si>
  <si>
    <t>恙</t>
  </si>
  <si>
    <t>[名]
疾病。如：「小恙」、「別來無恙」。唐．陸龜蒙〈記事〉詩：「春歸迨秋末，固自嬰微恙。」
[動]
憂慮。《史記．卷一一二．平津侯傳》：「君不幸罹霜露之病，何恙不已。」唐．司馬貞．索隱：「恙，憂也。」</t>
  </si>
  <si>
    <t>羕</t>
  </si>
  <si>
    <t>[形]
流水悠長的樣子。《說文解字．永部》：「羕，水長也。」</t>
  </si>
  <si>
    <t>漾</t>
  </si>
  <si>
    <t>[副]
水波搖動的樣子。如：「蕩漾」。南朝梁．簡文帝〈述羈賦〉：「雲嵯峨而出岫，江搖漾而生風。」
[動]
1.搖動船隻。唐．王維〈藍田山石門精舍〉詩：「落日山水好，漾舟信歸風。」
2.拋擲。《董西廂》卷三：「待漾下，又瞻仰；道忘了，是口強，難割捨我兒模樣。」《水滸傳》第八一回：「兩邊都已會意，燕青便把索來漾將過去。」
3.液體滿而溢出。如：「漾奶」、「漾酸水」。
[形]
水流悠長。《文選．王粲．登樓賦》：「路逶迤而脩迥兮，川既漾而濟深。」
[名]
河川名。即漾水。源出大陸地區陝西省寧羌縣北嶓冢山，為漢水的上游。</t>
  </si>
  <si>
    <t>[動]
晚輩供養長輩。如：「奉養父母」。宋．歐陽修〈瀧岡阡表〉：「祭而豐，不如養之薄也。」
[名]
晚輩對長輩的供養。《孟子．離婁下》：「惰其四支，不顧父母之養，一不孝也。」</t>
  </si>
  <si>
    <t>(一)ㄧㄤˇ yǎng（11156）</t>
  </si>
  <si>
    <t>[名]_x000D_
1.形式、形狀。如：「圖樣」、「依樣畫葫蘆」。唐．杜甫〈楊監又出畫鷹十二扇〉詩：「近時馮紹正，能畫鷙鳥樣。」_x000D_
2.種類。如：「各式各樣」。宋．楊萬里〈曉出淨慈送林子方〉詩其二：「接天蓮葉無窮碧，映日荷花別樣紅。」_x000D_
3.作為標準的物品。如：「樣品」、「貨樣」。_x000D_
4.量詞。計算事物種類的單位。如：「六樣小菜」。_x000D_
[代]_x000D_
人事物的性質、程度、方式等。如：「他就是這樣一個循規蹈距的人。」</t>
  </si>
  <si>
    <t>(二)ㄒㄧㄤˋ xiàng（07223）</t>
  </si>
  <si>
    <t>參見「瀁瀁」條。</t>
  </si>
  <si>
    <t>(二)（又音）ㄧㄤˇ yǎng（11157）</t>
  </si>
  <si>
    <t>[動]
1.烘烤。《說文解字．火部》：「煬，炙燥也。」宋．沈括《夢溪筆談．卷一八．技藝》：「欲印，則以一鐵範置鐵板上，乃密布字印，滿鐵範為一板，持就火煬之。」
2.就火取暖。《淮南子．齊俗》：「冬則羊裘解札，短褐不掩形，而煬灶口。」
[形]
炎熱的。《新唐書．卷一四五．楊炎傳》：「時方煬，旱人情騷攜，群臣皆請赦文喜，帝不聽。」</t>
  </si>
  <si>
    <t>(二)ㄧㄤˊ yáng（11143）</t>
  </si>
  <si>
    <t>英</t>
  </si>
  <si>
    <t>ㄧㄥ</t>
  </si>
  <si>
    <t>yīng</t>
  </si>
  <si>
    <t>[名]
1.花。如：「落英繽紛」。《楚辭．屈原．離騷》：「朝飲木蘭之墜露兮，夕餐秋菊之落英。」《文選．古詩十九首．冉冉孤生竹》：「傷彼蕙蘭花，含英揚光輝。」
2.物質的精華部分。如：「精英」。唐．韓愈〈進學解〉：「沉浸醲郁，含英咀華。」
3.才德出眾的人。如：「群英大會」。《荀子．正論》：「堯舜者，天下之英也。」唐．李白〈為宋中丞自薦表〉：「收甚希世之英，以為清朝之寶。」
4.大不列顛暨北愛爾蘭聯合王國的簡稱。
5.姓。如漢代有英布。
[形]
1.美好的。《文選．左思．詠史詩八首之四》：「悠悠百世後，英名擅八區。」
2.傑出的。《孟子．盡心上》：「得天下英才而教育之，三樂也。」宋．陳亮〈滿江紅．曾洗乾坤〉詞：「試著眼階除當下，又添英物。」</t>
  </si>
  <si>
    <t>媖</t>
  </si>
  <si>
    <t>[名]
婦女的美稱。《玉篇．女部》：「媖，女人美稱。」</t>
  </si>
  <si>
    <t>瑛</t>
  </si>
  <si>
    <t>[名]
1.玉光。《說文解字．玉部》：「瑛，玉光也。」晉．庾闡〈涉江賦〉：「明月晞光以夕耀，金沙逐波而吐瑛。」
2.美玉、美石。晉．傅咸〈申懷賦〉：「何天施之弘普，廁瓦礫于瓊瑛。」</t>
  </si>
  <si>
    <t>霙</t>
  </si>
  <si>
    <t>[名]
雪花。南朝梁．簡文帝〈雪朝〉詩：「落梅飛四注，翻霙舞三襲。」宋．蘇軾〈雪夜獨宿柏仙庵〉詩：「晚雨纖纖變玉霙，小庵高臥有餘清。」</t>
  </si>
  <si>
    <t>嫈</t>
  </si>
  <si>
    <t>[形]
小心的樣子。《說文解字．女部》：「嫈，小心態也。」</t>
  </si>
  <si>
    <t>罃</t>
  </si>
  <si>
    <t>[名]
像瓶子一類的容器。同「罌」。《說文解字．缶部》「罃」字．清．段玉裁．注：「近人謂罌、罃一字。依許則劃然二物二字也。罌大，罃小，用各不同。」</t>
  </si>
  <si>
    <t>鶯</t>
  </si>
  <si>
    <t>[名]_x000D_
鳥綱雀形目的通稱。體型較麻雀為小，羽色多為褐色或暗綠色，喙短而尖，叫聲清脆。主食昆蟲，是農、林業的益鳥。種類甚多，分布亦廣。_x000D_
[形]_x000D_
鳥羽光華有文采的樣子。《詩經．小雅．桑扈》：「交交桑扈，有鶯其羽。」</t>
  </si>
  <si>
    <t>應</t>
  </si>
  <si>
    <t>[副]
1.當、該。《詩經．周頌．賚》：「文王既勤止，我應受之。」《南史．卷三六．江夷傳》：「人所應有盡有，所應無盡無者，其江智深乎？」
2.或是、想來是，表示推測的意思。南朝陳．徐陵〈走筆戲書應令〉詩：「秋來應瘦盡，偏自著腰身。」唐．杜甫〈贈花卿〉詩：「此曲祇應天上有，人間能得幾回聞？」</t>
  </si>
  <si>
    <t>(二)ㄧㄥˋ yìng（11216）</t>
  </si>
  <si>
    <t>膺</t>
  </si>
  <si>
    <t>[名]
1.胸、內心。如：「義憤填膺」。唐．李白〈蜀道難〉：「捫參歷井仰脅息，以手撫膺坐長歎。」《新唐書．卷一〇〇．封倫傳》：「然善矯飾，居之自如，人莫能探其膺肺。」
2.馬匹胸前的帶子。通「纓」。《詩經．秦風．小戎》：「蒙伐有苑，虎韔鏤膺。」漢．毛亨．傳：「膺，馬帶。」
[動]
1.接受。《文選．班固．東京賦》：「天子受四海之圖籍，膺萬國之貢珍。」
2.承擔。如：「榮膺大任」。《書經．武成》：「誕膺天命，以撫方夏。」</t>
  </si>
  <si>
    <t>鷹</t>
  </si>
  <si>
    <t>[名]
鷲鷹目猛禽類的通稱。體型稍大，上嘴鉤曲，趾有鉤爪，勁而有力。性凶猛，眼光銳利，飛行疾速，多捕食小鳥、野兔等。獵人多畜之，以逐禽兔。</t>
  </si>
  <si>
    <t>嬰</t>
  </si>
  <si>
    <t>[名]
初生的幼兒。如：「男嬰」、「女嬰」。唐．白居易〈吾雛〉詩：「老幼不相待，父衰汝孩嬰。」
[動]
1.環繞、圍繞。《山海經．西山經》：「湯其酒百標，嬰以百珪百璧。」《後漢書．卷二五．卓茂傳》論曰：「建武之初，雄豪方擾，虓呼者連響，嬰城者相望。」
2.纏、絆。《文選．陸機．赴洛中道作詩》：「借問子何之？世網嬰我身。」《新唐書．卷一六七．王播傳》：「（王龜）州人號郎君谷，未始以人事自嬰。」
3.繫戴。《荀子．富國》：「辟之，是猶使處女嬰寶珠、佩寶玉，負戴黃金，而遇中山之盜也。」
4.觸犯、觸怒。《荀子．彊國》：「教誨之，調一之，則兵勁城固，敵國不敢嬰也。」《新唐書．卷二〇二．文藝傳中．李適傳》：「都下有牛善觸，人莫敢嬰。」</t>
  </si>
  <si>
    <t>甖</t>
  </si>
  <si>
    <t>[名]
盛水酒的瓦器。同「罌」。《文選．劉伶．酒德頌》：「先生於是方捧甖承槽，銜杯漱醪。」</t>
  </si>
  <si>
    <t>攖</t>
  </si>
  <si>
    <t>[動]
1.擾亂。清．王念孫《廣雅疏證．卷三上．釋詁》：「攖，亂也。」《莊子．庾桑楚》：「不以人物利害相攖。」宋．陸游〈夜漏欲盡行度浮橋至錢清驛待舟〉詩：「湛然方寸間，不受塵事攖。」
2.觸犯、挨近。《孟子．盡心下》：「虎負嵎，莫之敢攖。」</t>
  </si>
  <si>
    <t>罌</t>
  </si>
  <si>
    <t>[名]
小口大肚的瓶子。《說文解字．缶部》：「罌，缶也。」清．段玉裁．注：「罌，缶器之大者。」漢．王充《論衡．譴告》：「釀酒於罌，烹肉於鼎，皆欲其氣味調得也。」《喻世明言．卷三〇．明悟禪師趕五戒》：「忽見一婦人，年約三旬，外服舊衣，內穿錦襠；身懷六甲，背負瓦罌而沒汲清泉。」</t>
  </si>
  <si>
    <t>嚶</t>
  </si>
  <si>
    <t>[擬]
形容鳥鳴叫的聲音。《詩經．小雅．伐木》：「伐木丁丁，鳥鳴嚶嚶。」明．謝讜《四喜記》第四齣：「春染萬林紅，春鳥嚶嚶隔花弄。」</t>
  </si>
  <si>
    <t>瓔</t>
  </si>
  <si>
    <t>櫻</t>
  </si>
  <si>
    <t>[名]
植物名。薔薇科李屬，「櫻桃」、「櫻花」之通稱，參見「櫻桃」、「櫻花」條。</t>
  </si>
  <si>
    <t>蘡</t>
  </si>
  <si>
    <t>參見「蘡薁」條。</t>
  </si>
  <si>
    <t>纓</t>
  </si>
  <si>
    <t>[名]
1.繫帽的帶子。《史記．卷一二六．滑稽傳．淳于髡傳》：「淳于髡仰天大笑，冠纓索絕。」《聊齋志異．卷七．金和尚》：「細纓革靴者，皆鳥集鵠立。」
2.綵帶。《儀禮．士昏禮》：「主人入，親說婦之纓。」漢．鄭玄．注：「婦人十五許嫁，笄而禮之，因著纓，明有繫也，蓋以五采為之，其制未聞。」
3.馬腹前的皮帶。《周禮．春官．巾車》：「錫樊纓十有再就。」漢．鄭玄．注：「纓，今馬鞅，王路之樊及纓皆以五采罽飾之。」
4.用線、繩、毛等做成像穗子的裝飾物。如：「長槍上紮著紅纓子。」《水滸傳》第三回：「史進頭戴白范陽氈大帽，上撒一撮紅纓。」
5.蘿蔔、芥菜等植物的莖和葉子。如：「蘿蔔纓子」、「芥菜纓兒」。
6.繩索。《漢書．卷六四下．終軍傳》：「軍自請：『願受長纓，必羈南越王而致之闕下。』」
[動]
繫。《文選．孔稚珪．北山移文》：「雖假容於江皋，乃纓情於好爵。」唐．柳宗元〈乞巧文〉：「乃纓弁束衽，促武縮氣。」</t>
  </si>
  <si>
    <t>鸚</t>
  </si>
  <si>
    <t>參見「鸚鵡」條。</t>
  </si>
  <si>
    <t>迎</t>
  </si>
  <si>
    <t>ㄧㄥˊ</t>
  </si>
  <si>
    <t>yíng</t>
  </si>
  <si>
    <t>[動]
1.接。如：「迎接」、「送往迎來」。《儀禮．士昏禮》：「主人如賓服迎于門外。」宋．王安石〈白溝行〉：「白溝河邊蕃塞地，送迎蕃使年年事。」
2.奉承。如：「逢迎」。《新唐書．卷九六．杜如晦傳》：「懷道及隋時位吏部主事，方煬帝幸江都，群臣迎阿，獨懷道執不可。」
3.朝著、向著。如：「迎面」、「迎風」。唐．李華〈河南府參軍廳壁記〉：「每從容府中，或有異政，雖不吾以，必預咨謀，如川決防，如竹迎刃。」</t>
  </si>
  <si>
    <t>(二)ㄧㄥˋ yìng（11212）</t>
  </si>
  <si>
    <t>盈</t>
  </si>
  <si>
    <t>[動]
1.充滿。漢．王充《論衡．論死》：「以囊橐盈粟米，米在囊中。」《金史．卷一一六．徒單兀典傳》：「隨軍婦女棄擲幼稚，哀號盈路。」
2.足、滿。《左傳．襄公三十一年》：「且年未盈五十，而諄諄焉如八九十者，弗能久矣。」宋．王安石〈上田正言書〉二首之二：「使天下舉首戴且者，盈其願而退，則後世之書，可勝傳哉？」
3.增加。《史記．卷七九．范雎蔡澤傳》：「進退盈縮，與時變化，聖人之常道也。」《文選．張衡．東京賦》：「土圭測景，不縮不盈。」
[形]
1.過多。通「贏」。《後漢書．卷二四．馬援傳》：「致求盈餘，但自苦耳。」
2.驕傲、自滿。《易經．謙卦．彖曰》：「人道惡盈而好謙。」《抱朴子．外篇．安貧》：「夫藏多者亡厚，好謙者忌盈。」
3.豐富、飽滿。《文選．宋玉．神女賦》：「貌豐盈以莊姝兮，苞溫潤之玉顏。」《西遊記》第四〇回：「霜凋紅葉林林瘦，雨熟黃粱處處盈。」</t>
  </si>
  <si>
    <t>楹</t>
  </si>
  <si>
    <t>[名]
1.廳堂前的直柱。後泛指柱子。南朝梁．劉勰《文心雕龍．誄碑》：「又宗廟有碑，樹之兩楹，事止麗牲，未勒勛績。」《資治通鑑．卷四三．漢紀三十五．光武帝建武十九年》：「即以頭擊楹，流血被面。」
2.量詞。古代計算房屋的單位。《新唐書．卷一九六．隱逸傳．陸龜蒙傳》：「有田數百畝，屋三十楹。」清．林紓〈蒼霞精舍後軒記〉：「屋五楹，前軒種竹數十竿。」</t>
  </si>
  <si>
    <t>[名]
1.古代車蓋柄下較粗的部分。《周禮．冬官考工記．輪人》：「輪人為蓋達常圍三寸，桯圍倍之六寸。」鄭玄注引鄭司農云：「桯，蓋杠也。」唐．賈公彥．疏：「此蓋柄下節，粗大常一倍，向上含達常也。」
2.堂屋前的柱子。通「楹」。元．關漢卿《竇娥冤》第四折：「怎不容我到燈影前，卻攔截在門桯外。」</t>
  </si>
  <si>
    <t>(一)ㄊㄧㄥ tīng（02731）</t>
  </si>
  <si>
    <t>塋</t>
  </si>
  <si>
    <t>[名]
墳地、墓地。如：「祖塋」、「先塋」。《漢書．卷一一．哀帝紀》：「太皇太后詔外家王氏田非冢塋，皆以賦貧民。」唐．陳子昂〈為義興公求拜掃表〉：「墳塋莫掃，松柏凋荒。」</t>
  </si>
  <si>
    <t>熒</t>
  </si>
  <si>
    <t>[形]
光線微弱的。《文選．班固．答賓戲》：「守窔奧之熒燭，未仰天庭而睹白日也。」唐．李善．注：「熒，小光也。」
[動]
眩惑。《莊子．人間世》：「而目將熒之，而色將平之，口將營之。」唐．成玄英．疏：「熒，眩也。」</t>
  </si>
  <si>
    <t>參見「滎經縣」條。</t>
  </si>
  <si>
    <t>(一)ㄒㄧㄥˊ xíng（07243）</t>
  </si>
  <si>
    <t>瑩</t>
  </si>
  <si>
    <t>[形]
透明光潔。如：「晶瑩剔透」。《紅樓夢》第八回：「只見大如雀卵，燿若明霞，瑩潤如酥，五色花紋纏護。」
[名]
美石。《詩經．齊風．著》：「充耳以青乎而，尚之以瓊瑩乎而。」
[動]
琢磨、磨治。《周書．卷二三．蘇綽傳》：「及其剖而瑩之，馳而試之，玉石駑驥，然後始分。」唐．段成式《酉陽雜俎．卷六．藝絕》：「開元中，筆匠名鐵頭，能瑩管如玉。」</t>
  </si>
  <si>
    <t>螢</t>
  </si>
  <si>
    <t>參見「螢火蟲」條。</t>
  </si>
  <si>
    <t>縈</t>
  </si>
  <si>
    <t>[動]
圍繞、纏繞。如：「縈繞」。唐．李白〈蜀道難〉：「青泥何盤盤，百步九折縈巖巒。」</t>
  </si>
  <si>
    <t>營</t>
  </si>
  <si>
    <t>[名]
1.軍隊駐紮的地方。如：「軍營」、「兵營」。《隋書．卷七〇．李密傳》：「讓欲乘勝進破其營，會日暮，密固止之。」
2.陸軍的編制單位。五百人為一營。如：「第一營」、「第九營」。
3.活動的組織名稱。如：「夏令營」、「戰鬥營」、「天體營」。
[動]
1.謀求。如：「營利」、「鑽營」。唐．韓愈〈送窮文〉：「蠅營狗苟，驅去復還。」
2.管理。如：「營業」、「公營」。《淮南子．主術》：「執正營事，則讒佞姦邪無由進矣。」
3.建設、建造。如：「營造」、「營建」。《清史稿．卷一二九．河渠志四》：「自五年分局至七年，營成水田六千頃有奇。」
4.眩惑。通「熒」。《淮南子．原道》：「不足以營其精神，亂其氣志。」漢．高誘．注：「營，惑也。」
5.測量。《呂氏春秋．孟冬紀．節喪》：「審棺槨之厚薄，營丘壟之小大高卑薄厚之度，貴賤之等級。」</t>
  </si>
  <si>
    <t>瀅</t>
  </si>
  <si>
    <t>[形]
水清澈的樣子。唐．韓愈〈曲江荷花行〉：「玉山前卻不復來，曲江汀瀅水平盃。」</t>
  </si>
  <si>
    <t>瀠</t>
  </si>
  <si>
    <t>[形]
水流迴旋的樣子。明．徐弘祖《徐霞客遊記．卷二上．江右遊日記》：「水從崖中墜壁下，瀠迴大石而出。」</t>
  </si>
  <si>
    <t>瀯</t>
  </si>
  <si>
    <t>參見「瀯瀯」條。</t>
  </si>
  <si>
    <t>嬴</t>
  </si>
  <si>
    <t>[形]
有剩餘的。如：「嬴利」、「嬴餘」。
[動]
1.得勝。同「贏」。《史記．卷六九．蘇秦傳》：「困則使太后弟穰侯為和，嬴則兼欺舅與母。」
2.背負、承擔。《後漢書．卷一六．鄧禹傳》論曰：「鄧公嬴糧徒步，觸紛亂而赴光武，可謂識所從會矣。」南朝梁．劉勰《文心雕龍．史傳》：「然史之為任，乃彌綸一代，負海內之責，而嬴是非之尤。」
[名]
姓。如秦始皇姓嬴名政。</t>
  </si>
  <si>
    <t>瀛</t>
  </si>
  <si>
    <t>[名]
1.大海。如：「瀛海」。唐．李白〈東海有勇婦〉詩：「捨罪警風俗，流芳播滄瀛。」
2.池澤。《楚辭．宋玉．招魂》：「路貫廬江兮左長薄，倚沼畦瀛兮遙望博。」漢．王逸．注：「瀛，池中也。」《文選．左思．蜀都賦》：「其沃瀛則有攢蔣叢蒲，綠菱紅蓮，雜以蘊藻，糅以蘋繁。」</t>
  </si>
  <si>
    <t>贏</t>
  </si>
  <si>
    <t>[名]
收支相抵後所獲得的利益。《戰國策．秦策五》：「歸而謂父曰：『耕田之利幾倍？』曰：『十倍。』『珠玉之贏幾倍？』曰：『百倍。』」《文選．張衡．西京賦》：「鬻者兼贏，求者不匱。」
[動]
1.勝。與「輸」相對。如：「贏得勝利」。宋．陸游〈農家〉詩：「互笑藏鉤拙，爭言鬥草贏。」
2.負擔。《荀子．議兵》：「贏三日之糧，日中而趨百里。」《後漢書．卷七九下．儒林傳》論曰：「精廬暫建，贏糧動有千百。」
3.增加、伸長。《淮南子．時則》：「孟春始贏，孟秋始縮。」</t>
  </si>
  <si>
    <t>籯</t>
  </si>
  <si>
    <t>[名]
竹編的籠子。《漢書．卷七三．韋賢傳》：「故鄒、魯諺曰：『遺子黃金滿籯，不如一經。』」唐．顏師古．注：「如淳曰：『籯，竹器，受三四斗。』」宋．蘇軾〈寄周安孺茶〉詩：「聞道早春時，攜籯赴初旭。」</t>
  </si>
  <si>
    <t>蠅</t>
  </si>
  <si>
    <t>[名]
昆蟲綱雙翅目蠅科的通稱。體長約六、七公釐，密生短毛，灰黑色，頭上有複眼甚大，口器伸為管狀，適於舐食。生長繁殖極快，能傳染霍亂、傷寒、結核、痢疾等的病原菌。常見的有家蠅、綠蠅、肉蠅等。</t>
  </si>
  <si>
    <t>郢</t>
  </si>
  <si>
    <t>ㄧㄥˇ</t>
  </si>
  <si>
    <t>yǐng</t>
  </si>
  <si>
    <t>[名]
地名。春秋時楚國的都城。故址在今湖北省江陵縣境。</t>
  </si>
  <si>
    <t>[名]
物體的形影、陰影。同「影」。《周禮．地官．大司徒》：「以土圭之法測土深，正日景以求地中。」</t>
  </si>
  <si>
    <t>(一)ㄐㄧㄥˇ jǐng（05941）</t>
  </si>
  <si>
    <t>影</t>
  </si>
  <si>
    <t>[名]
1.光線被遮擋而造成的陰暗形象。如：「人影」、「樹影」、「陰影」。唐．李白〈月下獨酌〉詩四首之一：「舉杯邀明月，對影成三人。」
2.人、物的形象或圖像。如：「攝影」、「背影」、「身影」。《水滸傳》第三一回：「寫了武松鄉貫、年甲、相模樣，畫影圖形，出三千貫信賞錢。」《紅樓夢》第三一回：「老太太和舅母那日想是纔拜了影回來。」
[動]
1.參見「影印」條。
2.仿照、描摹。如：「這篇小說是影了此一真人實事所寫成的。」南朝梁．劉勰《文心雕龍．通變》：「漢之賦頌，影寫楚世。」
3.掩蔽、隱藏。《水滸傳》第一六回：「只見對面松林裡影著一個人，在那里舒頭探腦家望。」</t>
  </si>
  <si>
    <t>潁</t>
  </si>
  <si>
    <t>參見「潁河」條。</t>
  </si>
  <si>
    <t>穎</t>
  </si>
  <si>
    <t>[名]
1.禾的尖端。《說文解字．禾部》：「穎，禾末也。」《書經．微子之命》：「唐叔得禾，異畝同穎。」《文選．左思．魏都賦》：「喜穎離合以䔿䔿，醴泉涌流而浩浩。」
2.物體尖銳的末端。《文選．左思．吳都賦》：「鉤爪鋸牙，自成鋒穎。」
3.筆尖。《警世通言．卷九．李謫仙醉草嚇蠻書》：「李白……右手舉起中山兔穎，向五花牋上，手不停揮。」
4.才能出眾的人。《三國志．卷五八．吳書．陸遜傳》：「皆當世秀穎，一時顯器。」
[形]
1.聰明的。如：「聰穎」。
2.新的、特出的。如：「新穎」。</t>
  </si>
  <si>
    <t>癭</t>
  </si>
  <si>
    <t>[名]
1.長在脖子上的囊狀瘤。《說文解字．疒部》：「癭，頸瘤也。」《洛陽伽藍記．卷二．景寧寺》：「所謂陽翟之民，不知癭之為醜。」
2.植物因外來生物之刺激，引起其某一部位細胞不正常增生或增大之現象，常稱「植物癭」。若由造癭昆蟲產卵及其幼蟲之分泌物刺激而產生之癭體組織，則稱「蟲癭」。唐．杜甫〈贈王二十四侍御契四十韻〉：「長歌敲柳癭，小睡憑藤輪。」《聊齋志異．卷一．嬌娜》：「未幾，割斷腐肉，團團然如樹上削下之癭。」</t>
  </si>
  <si>
    <t>ㄧㄥˋ</t>
  </si>
  <si>
    <t>yìng</t>
  </si>
  <si>
    <t>[動]
對方尚未到達而親自前往迎接。《詩經．大雅．大明》：「文定厥祥，親迎于渭。」晉．干寶《搜神記》卷一一：「昔縣人陳明，與梅氏為婚，未成而妖魅詐迎婦去。」</t>
  </si>
  <si>
    <t>(一)ㄧㄥˊ yíng（11187）</t>
  </si>
  <si>
    <t>映</t>
  </si>
  <si>
    <t>[動]
1.照射。南朝宋．謝靈運〈夜發石關亭〉詩：「亭亭曉月映，泠泠朝露滴。」《南史．卷一二．后妃傳下．陳後主沈皇后傳》：「每瞻視眄睞，光彩溢目，照映左右。」
2.光線照在物體反射出來。如：「倒映」。北周．庾信〈詠畫屏風詩〉二五首之五：「狹石分花逕，長橋映水門。」宋．陸游〈東湖新竹〉詩：「插棘編籬謹護持，養成寒碧映淪漪。」
[名]
日光、光影。南朝梁．任昉〈落日泛舟東谿〉詩：「交柯溪易陰，反景澄餘映。」</t>
  </si>
  <si>
    <t>硬</t>
  </si>
  <si>
    <t>[形]
1.物體組織緊密，性質堅固。相對於「軟」。唐．韓愈〈贈劉師服〉詩：「羨君齒牙牢且潔，大肉硬餅如刀截。」唐．白居易〈新樂府．紅線毯〉：「太原毯澀毳縷硬，蜀都褥薄錦花冷。」
2.剛強、強硬。如：「硬漢」、「硬作風」。《水滸傳》第二四回：「武松是個硬心直漢，卻不見怪。」《文明小史》第一二回：「他自己以為是總督大人派出來的，腰把子是硬的，武昌城裡任你是誰，總得讓他三分。」
3.不自然、不靈活。如：「生硬」。《老殘遊記》第一五回：「縣裡次日一清早，帶回仵作下鄉一一相驗，沒有一個受傷的人，骨節不硬，皮膚不發青紫，既非殺傷，又非服毒。」
4.人的能力強或事物的內容完好、紮實。如：「硬底子」、「硬戲碼」。
[副]
勉強、不顧一切。如：「生搬硬套」、「硬把他拖了來。」《儒林外史》第六回：「兒子是他的，須要他自己情願，我們如何硬作主！」</t>
  </si>
  <si>
    <t>媵</t>
  </si>
  <si>
    <t>[名]
1.古代陪送出嫁的女子和男子。《儀禮．士昏禮》：「媵御餕。」漢．鄭玄．注：「古者嫁女必姪娣從，謂之媵。姪，兄之子。娣，女弟也。」《韓非子．外儲說左上》：「昔秦伯嫁其女於晉公子，令晉為之飾裝，從文衣之媵七十人。」
2.侍妾。《後漢書．卷二八下．馮衍傳》：「衍娶北地任氏為妻，悍忌，不得蓄媵妾。」
[動]
1.陪嫁、送嫁。《左傳．僖公五年》：「執虞公及其大夫井伯，以媵秦穆姬。」晉．杜預．注：「送女曰媵。」
2.相送。《楚辭．屈原．九歌．河伯》：「波滔滔兮來迎，魚鄰鄰兮媵予。」《後漢書．卷五九．張衡傳》：「迅飆潚其媵我兮，鶩翩飄而不禁。」</t>
  </si>
  <si>
    <t>[動]
1.回答。《後漢書．卷一四．宗室四王三侯傳．齊武王縯傳》：「伯升笑而不應。」《水滸傳》第六回：「由洒家叫喚，沒一個應。」
2.允許、承諾。《樂府詩集．卷七三．雜曲歌辭十三．古辭．焦仲卿妻》：「以我應他人，君還何所望。」《紅樓夢》第九六回：「說是要救寶玉的命，諸事將就，自然應的。」
3.附和。如：「裡應外合」、「同聲相應」。《史記．卷四八．陳涉世家》：「諸郡縣苦秦吏者，皆刑其長吏，殺之以應陳涉。」
4.對付。如：「應世」、「隨機應變」。《莊子．齊物論》：「樞始得其環中，以應無窮。」
5.證實。如：「應驗」。《水滸傳》第三九回：「這四句謠言已都應了。」《紅樓夢》第四九回：「怪道昨兒晚上燈花爆了又爆，結了又結，原來應到今日。」
6.適合。如：「得心應手」。《易經．恆卦．彖曰》：「巽而動，剛柔皆應。」《老殘遊記》第七回：「其實，只要四五個應手的人，已經足用了。」
7.接受。《管子．小匡》：「應公之賜，殺之黃泉，死且不朽。」
[名]
姓。如明代有應元徵。</t>
  </si>
  <si>
    <t>(一)ㄧㄥ yīng（11174）</t>
  </si>
  <si>
    <t>汙</t>
  </si>
  <si>
    <t>ㄨ</t>
  </si>
  <si>
    <t>wū</t>
  </si>
  <si>
    <t>[名]
穢物。如：「藏汙納垢」。《左傳．宣公十五年》：「高下在心，川澤納汙，山藪藏疾，瑾瑜匿瑕。」
[形]
1.不清潔的。如：「汙水」、「汙泥」。《史記．卷一二六．滑稽傳．褚少孫補東方朔傳》：「飯已，盡懷其餘肉持去，衣盡汙。」
2.低劣的、不廉潔的。如：「貪官汙吏」。《書經．胤征》：「舊染汙俗，咸與惟新。」《後漢書．卷六七．黨錮傳．范滂傳》：「及至州境，守令自知臧汙，望風解印綬去。」
[動]
1.弄髒。《呂氏春秋．季冬紀．不侵》：「萬乘之嚴主辱其使者，退而自刎也，必以其血汙其衣。」唐．白居易〈新樂府．官牛〉：「昨來新拜右丞相，恐怕泥塗汙馬蹄。」
2.詆毀、毀謗。如：「汙衊」。漢．揚雄《法言．先知》：「若汙人老，屈人孤。」《新五代史．卷三四．一行傳．石昂傳》：「禁其家不可以佛事汙吾先人。」
3.衰微。《禮記．檀弓上》：「道隆則從而隆，道汙則從而汙。」</t>
  </si>
  <si>
    <t>(二)ㄨˋ wù（11284）(三)ㄩ yū（11552）(四)ㄩˊ yú（11558）(五)ㄨㄚ wā（11305）</t>
  </si>
  <si>
    <t>圬</t>
  </si>
  <si>
    <t>[名]
1.鏝刀，塗抹牆壁的工具。同「杇」。《集韻．平聲．模韻》：「杇，說文：『所以塗也。』……或作圬、釫。」
2.塗飾的工作。唐．韓愈〈圬者王承福傳〉：「圬之為技，賤且勞者也。」
[動]
塗抹。唐．白居易〈草堂記〉：「木斲而已不加丹，牆圬而已不加白。」</t>
  </si>
  <si>
    <t>杇</t>
  </si>
  <si>
    <t>[名]
泥水工塗刷牆壁的工具。俗稱為「瓦刀」、「鏝刀」。《說文解字．木部》：「杇，所以涂也。秦謂之杇，關東謂之槾。」清．段玉裁．注：「此器今江浙以鐵為之，或以木……杇、槾古字也，釫、鏝今字也。」
[動]
粉刷。《論語．公冶長》：「朽木不可雕也，糞土之牆不可杇也。」</t>
  </si>
  <si>
    <t>洿</t>
  </si>
  <si>
    <t>[名]
停積的水池、濁水池。《孟子．梁惠王上》：「數罟不入洿池，魚鱉不可勝食也。」唐．劉禹錫〈復荊門縣記〉：「昔飲于洿，夏溷冬枯；自公感通，觱沸生兮。」
[動]
1.掘地成池。《禮記．檀弓下》：「殺其人，壞其室，洿其宮而豬焉。」
2.塗抹。《漢書．卷九九．王莽傳下》：「曰：『毋使民復思也。』以墨洿色其周垣。」《文選．陳琳．檄吳將校部曲文》：「孫權小子，未辨菽麥，要領不足以膏齊斧，名字不足以洿簡墨。」
[形]
卑汙、不廉潔的。《漢書．卷九七．孝成許皇后傳》：「洿穢不修，曠職尸官。」</t>
  </si>
  <si>
    <t>巫</t>
  </si>
  <si>
    <t>[名]
1.神鬼的代言人或是代人祈禱，求鬼神賜福、解決問題的人。如：「女巫」、「巫祝」、「巫醫」。宋．樂雷發〈常寧道中懷許介之〉詩：「野巫豎石為神像，稚子搓泥作藥丸。」
2.姓。如商代有巫咸。</t>
  </si>
  <si>
    <t>(二)（讀音）ㄨˊ wú（11244）</t>
  </si>
  <si>
    <t>誣</t>
  </si>
  <si>
    <t>[動]
1.陷害、毀謗。如：「誣賴」、「誣陷」。南朝梁．江淹〈自序傳〉：「或為世士所嫉，遂誣淹以受金者。」《明史．卷一八七．馬中錫傳》：「誣為盜，遣甯杲、柳尚義繪形捕之，破其家。」
2.欺騙、矇騙。《孟子．滕文公下》：「邪說誣民，充塞仁義也。」宋．司馬光《資治通鑑．卷二四四．唐紀六十．文宗太和六年》：「當文宗求治之時，僧孺任居承弼，進則偷安取容以竊位，退則欺君誣世以盜名，罪孰大焉！」
[形]
虛妄不實的。《墨子．非儒下》：「儒者迎妻，妻之奉祭祀，子將守宗廟，故重之。應之曰：『此誣言也。』」《紅樓夢》第七八回：「小哥兒十三歲的人，就如此，可知家學淵源，真不誣矣。」</t>
  </si>
  <si>
    <t>(二)（讀音）ㄨˊ wú（11246）</t>
  </si>
  <si>
    <t>於</t>
  </si>
  <si>
    <t>[名]
「烏」的本字。《穆天子傳》卷三：「徂彼西土，爰居其野。虎豹為群，於鵲與處。」晉．郭璞．注：「於，讀曰烏。」
[歎]
表示感嘆、讚美的語氣。《詩經．周頌．清廟》：「於穆清廟，肅雝顯相。」《史記．卷二．夏本紀》：「皋陶曰：『於！慎其身脩。』」</t>
  </si>
  <si>
    <t>(一)ㄩˊ yú（11576）</t>
  </si>
  <si>
    <t>屋</t>
  </si>
  <si>
    <t>[名]
1.房舍。如：「茅屋」、「住屋」、「房屋」。
2.房間。如：「這屋子光線充足。」
3.車蓋。《文選．張衡．東京賦》：「輹弩重旃，朱旄青屋。」《遼史．卷五五．儀衛志一》：「平頭輦，常行用之。制如逍遙，無屋。」
4.帳幕。通「幄」。《詩經．大雅．抑》：「相在爾室，尚不愧于屋漏。」《墨子．節葬下》：「綸組節約，車馬藏乎壙，又必多為屋幕。」</t>
  </si>
  <si>
    <t>剭</t>
  </si>
  <si>
    <t>[動]
誅殺。《漢書．卷一〇〇．敘傳下》：「彫落洪支，底剭鼎臣。」顏師古注引服虔曰：「底，致也。周禮有屋誅，誅大臣於屋下，不露也。」</t>
  </si>
  <si>
    <t>(一)ㄨㄛˋ wò（11343）(三)ㄛ ō（10231）</t>
  </si>
  <si>
    <t>烏</t>
  </si>
  <si>
    <t>[名]
1.烏鴉的簡稱。唐．張繼〈楓橋夜泊〉詩：「月落烏啼霜滿天，江楓漁火對愁眠。」
2.俗以為日中有烏，故日稱為「烏」。參見「烏兔」條。晉．陶淵明〈怨詩楚調示龐主簿鄧治中〉詩：「造夕思雞鳴，及晨願烏遷。」
3.姓。如春秋時齊有烏餘。
[形]
黑色的。如：「烏雲」、「烏髮」。《史記．卷一一〇．匈奴傳》：「北方盡烏驪馬，南方盡騂馬。」《儒林外史》第一四回：「馬二先生身子又長，戴一頂高方巾，一幅烏黑的臉。」
[動]
染黑。明．李時珍《本草綱目．卷一六．草部．鱧腸》：「汁塗眉髮，生速而繁。烏髭髮，益腎陰。」
[副]
表示反問的語氣，相當於「何」、「安」、「哪裡」、「怎麼」。《呂氏春秋．季夏紀．明理》：「故亂世之主烏聞至樂？不聞至榮，其樂不樂。」唐．韓愈〈言箴〉：「不知言之人，烏可與言？」</t>
  </si>
  <si>
    <t>嗚</t>
  </si>
  <si>
    <t>參見「嗚呼」條。</t>
  </si>
  <si>
    <t>鄔</t>
  </si>
  <si>
    <t>[名]
1.地名：(1)春秋時鄭國邑地。故址約在今河南省偃師縣西南。(2)春秋時晉地。故址約在今山西省介休縣境。
2.姓。如明代有鄔良佐。</t>
  </si>
  <si>
    <t>歍</t>
  </si>
  <si>
    <t>[動]
嘔吐。《說文解字．欠部》：「歍，心有所惡，若吐也。」《山海經．大荒北經》：「共工之臣名曰相繇，九首蛇身，自環，食於九土，其所歍所尼，即為源澤。」</t>
  </si>
  <si>
    <t>鎢</t>
  </si>
  <si>
    <t>[名]
（tungsten，W）化學元素。原子序74。過渡金屬元素之一。鋼灰色，硬而脆，熔點及沸點是所有金屬中最高的，天然存在於鎢錳鐵礦中，主供製燈絲、車床工具和特殊合金等。</t>
  </si>
  <si>
    <t>[代]
如何、怎麼。《左傳．桓公十六年》：「棄父之命，惡用子矣！」唐．柳宗元〈愚溪對〉：「然以吾之愚，而獨好汝，汝惡得避是名耶？」
[歎]
表示驚訝的語氣。《孟子．公孫丑下》：「惡！是何言也！」</t>
  </si>
  <si>
    <t>(一)ㄜˋ è（10294）(二)ㄜˇ ě（10264）(三)ㄨˋ wù（11299）</t>
  </si>
  <si>
    <t>亡</t>
  </si>
  <si>
    <t>ㄨˊ</t>
  </si>
  <si>
    <t>wú</t>
  </si>
  <si>
    <t>[動]
沒有。同「無」。《論語．八佾》：「夷狄之有君，不如諸夏之亡也。」唐．韓愈〈進學解〉：「若夫商財賄之有亡，計班資之崇庳。」</t>
  </si>
  <si>
    <t>(一)ㄨㄤˊ wáng（11523）</t>
  </si>
  <si>
    <t>无</t>
  </si>
  <si>
    <t>毋</t>
  </si>
  <si>
    <t>[副]
1.不。表示否定的意思。《韓非子．說林下》：「以我為君子也，君子安可毋敬也？」《史記．卷七八．春申君傳》：「世有毋望之福，又有毋望之禍。」
2.不要、莫。表示禁止或勸誡的意思。如：「毋忘在莒」。《論語．子罕》：「子絕四：毋意，毋必，毋固，毋我。」《禮記．曲禮上》：「臨財毋苟得，臨難毋苟免。」
[動]
沒有。通「無」。《墨子．非命上》：「言而毋儀，譬如運鈞之上而立朝夕者也。」《史記．卷六．秦始皇本紀》：「身自持築臿，脛毋毛。」
[名]
1.姓。如晉代有毋雅。
2.二一四部首之一。</t>
  </si>
  <si>
    <t>吾</t>
  </si>
  <si>
    <t>[代]
1.我。《論語．為政》：「吾十有五而志於學，三十而立。」《楚辭．屈原．離騷》：「路漫漫其修遠兮，吾將上下而求索。」
2.我的。《孟子．公孫丑上》：「我善養吾浩然之氣。」唐．杜甫〈詠懷古蹟〉詩五首之二：「搖落深知宋玉悲，風流儒雅亦吾師。」
[名]
姓。如漢代有吾扈。</t>
  </si>
  <si>
    <t>(二)ㄩˊ yú（11567）</t>
  </si>
  <si>
    <t>浯</t>
  </si>
  <si>
    <t>參見「浯水」條。</t>
  </si>
  <si>
    <t>郚</t>
  </si>
  <si>
    <t>[名]
地名。春秋時齊國邑地。故城約在今山東省安丘縣西南。</t>
  </si>
  <si>
    <t>唔</t>
  </si>
  <si>
    <t>[擬]
形容吟詠詩書的聲音。清．蔣士銓〈鳴機夜課圖記〉：「母手任操作，口授句讀，咿唔之聲，與軋軋相間。」
[歎]
表允許或驚訝的語氣。如：「唔，是的！」、「唔！這可麻煩了！」</t>
  </si>
  <si>
    <t>峿</t>
  </si>
  <si>
    <t>參見「峿山」條。</t>
  </si>
  <si>
    <t>梧</t>
  </si>
  <si>
    <t>參見「梧桐」條。</t>
  </si>
  <si>
    <t>(二)ㄨˋ wù（11290）</t>
  </si>
  <si>
    <t>鋙</t>
  </si>
  <si>
    <t>鼯</t>
  </si>
  <si>
    <t>參見「鼯鼠」條。</t>
  </si>
  <si>
    <t>(一)（語音）ㄨ wū（11221）</t>
  </si>
  <si>
    <t>莁</t>
  </si>
  <si>
    <t>[名]
莁荑：植物名。榆科榆屬，「蔱蘠」、「蕪荑」之古稱。參見「蔱蘠」條。</t>
  </si>
  <si>
    <t>(一)（語音）ㄨ wū（11222）</t>
  </si>
  <si>
    <t>吳</t>
  </si>
  <si>
    <t>[動]
大聲說話、喧譁。《說文解字．夨部》：「吳，大言也。」清．段玉裁．注：「大言即謂譁也。」《詩經．魯頌．泮水》：「烝烝皇皇，不吳不揚。」
[名]
1.國名。周代諸侯國。泰伯封於吳地，故址在今江蘇省無錫縣。傳到夫差，為越王句踐所滅。
2.朝代名：(1)（西元222～280）三國之一。三國時期孫權所建。故址據有江、浙、湘、鄂、閩、粵、安南等地。後為晉朝所滅。(2)（西元902～937）十國之一。五代時期楊行密所建。故址據有淮南、江西等地。後為南唐徐知誥所篡。
3.地名。即蘇州。又江蘇省春秋時為吳國地，故也稱為「吳」。
4.姓。如清代有吳敬梓。</t>
  </si>
  <si>
    <t>蜈</t>
  </si>
  <si>
    <t>[動]
沒有。如：「有頭無尾」、「獨一無二」。《孫子．軍爭》：「是故軍無輜重則亡，無糧食則亡，無委積則亡。」《史記．卷一〇三．萬石君傳》：「上以為廉，忠實無他腸，乃拜綰為河間王太傅。」
[副]
1.不要。通「毋」。《孟子．告子下》：「無曲防，無遏糴。」南朝梁．劉孝威〈公無渡河〉詩：「請公無渡河，河廣風威厲。」
2.未。《荀子．正名》：「志輕理而不重物者，無之有也；外重物而不內憂者，無之有也。」唐．杜甫〈丹青引〉：「學書初學衛夫人，但恨無過王右軍。」
3.不論、不管。如：「事無大小，都由他決定。」《詩經．魯頌．泮水》：「無小無大，從公于邁。」
4.不、沒。《書經．洪範》：「無偏無黨，王道蕩蕩。」南朝宋．鮑照〈代陳思王京洛篇〉：「珠簾無隔露，羅幌不勝風。」
5.非、不是。《禮記．禮器》：「忠信之人，可以學禮，苟無忠信之人，則禮不虛道。」
[助]
1.用於句首。無義。《詩經．大雅．文王》：「王之藎臣，無念爾祖。」《左傳．隱公十一年》：「若寡人得沒于地，天其以禮悔禍于許，無寧茲許公復奉其社稷。」
2.用於句末。同「否」。唐．朱慶餘〈近試上張水部〉詩：「妝罷低聲問夫婿，畫眉深淺入時無？」
[名]
姓。如漢代有無且。</t>
  </si>
  <si>
    <t>(二)ㄇㄛˊ mó（01045）</t>
  </si>
  <si>
    <t>蕪</t>
  </si>
  <si>
    <t>[名]
1.叢生的草。五代十國南唐．李煜〈虞美人．風回小院庭蕪綠〉詞：「風回小院庭蕪綠，柳眼春相續。」宋．歐陽修〈蝶戀花．誰道閒情拋棄久〉詞：「河畔青蕪堤上柳，為問新愁，何事年年有。」
2.比喻繁雜的事物。如：「去蕪存菁」、「舉要刪蕪」。
[形]
雜亂。明．袁宏道《徐文長傳》：「先生詩文崛起，一掃近代蕪穢之習。」清．曾國藩〈歐陽生文集序〉：「深擯有宋諸子義理之說，以為不足復存；其為文尤蕪雜寡要。」
[動]
田園荒廢，亂草叢生。《文選．陶淵明．歸去來辭》：「田園將蕪，胡不歸？」宋．呂本中〈兵亂後雜詩〉三首之三：「蝸舍嗟蕪沒，孤城亂定初。」</t>
  </si>
  <si>
    <t>五</t>
  </si>
  <si>
    <t>ㄨˇ</t>
  </si>
  <si>
    <t>wǔ</t>
  </si>
  <si>
    <t>[名]
1.介於四與六之間的自然數。如：「三、四、五、六……。」大寫作「伍」，阿拉伯數字作「5」。
2.姓。如漢代有五京。</t>
  </si>
  <si>
    <t>伍</t>
  </si>
  <si>
    <t>[名]
1.古代軍隊的編制單位，以五人為一伍。明．張自烈《正字通．人部》：「伍，軍法五人為伍。」《周禮．天官．宮正》：「會其什伍而教之道藝。」
2.軍隊。如：「入伍」。唐．杜牧〈原十六衛〉：「籍藏將府，伍散田畝。」
3.古代基層的戶政編制單位，以五家為一伍。《左傳．襄公三十年》：「田有封洫，廬井有伍。」《管子．乘馬》：「五家而伍，十家而連。」
4.五的大寫。
5.姓。如春秋時楚國有伍子胥。
[動]
雜處、參雜。《荀子．議兵》：「窺敵觀變，欲潛以深，欲伍以參。」唐．楊倞．注：「伍參，猶錯雜也。」</t>
  </si>
  <si>
    <t>捂</t>
  </si>
  <si>
    <t>[動]
1.逆，對面。《儀禮．既夕禮》：「若無器，則捂受之。」唐．賈公彥．疏：「捂即逆也，對面相逢受也。」
2.牴觸。明．張自烈《正字通．手部》：「捂，相抵觸也。」唐．柳宗元〈送元十八山人南遊序〉：「又況楊、墨、申、商、刑名、縱橫之說，其迭相訾毀抵捂不合者，可勝言耶。」
3.遮掩、遮擋。如：「縱有千隻手，難捂萬人口。」</t>
  </si>
  <si>
    <t>啎</t>
  </si>
  <si>
    <t>[動]
違背、抵觸。《說文解字．牛部》：「啎，逆也。」《漢書．卷九〇．酷吏傳．嚴延年傳》：「自郡吏以下皆畏避之，莫敢與啎。」唐．顏師古．注：「啎，逆也。」</t>
  </si>
  <si>
    <t>牾</t>
  </si>
  <si>
    <t>[動]
違背、抵觸。如：「牴牾」。《資治通鑑．卷四五．漢紀三十七．明帝永平十四年》：「及其歸舍，口雖不言而仰屋竊歎，莫不知其多冤，無敢牾陛下言者。」</t>
  </si>
  <si>
    <t>[名]
1.地支的第七位。
2.時辰名。約當上午十一點到下午一點。
3.泛指白天的中間時段。如：「正午」、「中午」。《文選．孫綽．遊天台山賦》：「爾乃羲和亭午，遊氣高褰。」唐．李紳〈古風〉詩二首之二：「鋤禾日當午，汗滴禾下土。」
4.姓。如漢代有午汝臣。
[形]
白天或夜晚中間時段的。如：「午餐」、「午飯」、「午夜」。
[動]
違背、抵觸。通「牾」。《漢書．卷三六．楚元王劉交傳》：「朝臣舛午，膠戾乖剌，更相讒愬，轉相是非。」</t>
  </si>
  <si>
    <t>(二)˙ㄏㄨㄛ huo（05068）</t>
  </si>
  <si>
    <t>仵</t>
  </si>
  <si>
    <t>[形]
同等的、相同的。《集韻．去聲．莫韻》：「仵，同也。」《莊子．天下》：「以堅白同異之辯相訾，以觭偶不仵之辭相應。」
[名]
姓。如明代有仵瑜。</t>
  </si>
  <si>
    <t>忤</t>
  </si>
  <si>
    <t>[動]
違逆、不順從。《新唐書．卷二二三．姦臣傳上．李義府傳》：「凡忤意者，皆中傷之。」《水滸傳》第九七回：「以此忤了蔡太師，尋他罪過。」</t>
  </si>
  <si>
    <t>迕</t>
  </si>
  <si>
    <t>[動]
1.違背、違逆。《漢書．卷五三．景十三王傳．廣川惠王劉越傳》：「宮人畏之，莫敢復迕。」
2.遇、逢。《後漢書．卷六六．陳蕃傳》：「王甫時出，與蕃相迕。」
3.觸犯、冒犯。《資治通鑑．卷六三．漢紀五十五．獻帝建安五年》：「公貌寬而內忌，不亮吾忠，而吾數以至言迕之。」《聊齋志異．卷二．巧娘》：「笑問：『何迕巧娘？』生言：『不自知罪。』」
4.夾雜、錯雜。《文選．宋玉．風賦》：「耾耾雷聲，迴穴錯迕。」唐．李善．注：「錯迕，雜錯交迕也。」清．徐珂《清稗類鈔．動物類．毗陵驛馬》：「蹏聲、鐸聲、箠聲迕交衢，晝夜不絕。」</t>
  </si>
  <si>
    <t>(二)（又音）ㄨˋ wù（11287）</t>
  </si>
  <si>
    <t>武</t>
  </si>
  <si>
    <t>[名]
1.戰鬥、軍事、暴力等事。相對於文而言。如：「動武」、「比武」、「整軍經武」、「文武雙全」。《孫子．行軍》：「故令之以文，齊之以武。」
2.足跡。《詩經．大雅．生民》：「履帝武敏歆，攸介攸止。」《楚辭．屈原．離騷》：「忽奔走以先後兮，及前王之踵武。」
3.《詩經．周頌》的篇名。共一章。根據〈詩序〉：「武，奏大武也。」指周公所作歌頌武王武功之詩。本章二句為：「於皇武王，無競維烈。」
4.姓。如漢代有武臣。
[形]
1.與軍事、戰鬥有關的。如：「武器」。南朝宋．劉義慶《世說新語．賞譽》：「見鍾士季，如觀武庫，但睹矛戟。」
2.勇猛、威風。如：「勇武」、「威武」、「神武」、「英武」、「孔武有力」。唐．柳宗元〈送婁圖南秀才遊淮南將入道序〉：「羸而自養耶？則甚碩且武。」</t>
  </si>
  <si>
    <t>碔</t>
  </si>
  <si>
    <t>參見「碔砆」條。</t>
  </si>
  <si>
    <t>鵡</t>
  </si>
  <si>
    <t>侮</t>
  </si>
  <si>
    <t>[動]
1.欺凌。如：「欺侮」、「侮辱」。《詩經．大雅．烝民》：「不侮矜寡，不畏彊禦。」《史記．卷九二．淮陰侯傳》：「淮陰屠中少年有侮信者。」
2.輕慢、輕賤。如：「侮慢」。《史記．卷四．周本紀》：「殄廢先王明德，侮蔑神祇不祀。」
3.戲弄。宋．蘇軾〈古意〉詩：「兒童鞭笞學官府，翁憐兒痴旁笑侮。」</t>
  </si>
  <si>
    <t>摀</t>
  </si>
  <si>
    <t>[動]
1.遮掩。如：「摀住眼睛」、「摀上嘴巴」。
2.密封起來，使其不透氣。如：「放在罐子裡摀幾天。」</t>
  </si>
  <si>
    <t>舞</t>
  </si>
  <si>
    <t>[名]
一種配合音樂節奏移動身體，表演各種姿態的藝術。如：「芭蕾舞」、「華爾滋舞」、「交際舞」。《周禮．春官．樂師》：「凡舞，有帗舞，有羽舞，有皇舞，有旄舞，有干舞，有人舞。」
[動]
1.表演舞蹈。南朝宋．劉義慶《世說新語．品藻》：「劉尹、王長史同坐，長史酒酣起舞。」
2.耍動、揮動。如：「舞劍」、「手舞足蹈」。《禮記．樂記》：「嗟嘆之不足，故不知手之舞之足之蹈之也。」
3.飛揚、飛翔。如：「飛舞」、「眉飛色舞」、「龍飛鳳舞」。
4.賣弄、玩弄。如：「舞文弄墨」。《史記．卷一二〇．汲黯傳》：「好興事，舞文法，內懷詐以御主心，外挾賊吏以為威重。」
5.搞、弄、忙。《儒林外史》第三回：「鄰居一起上前，替他抹胸口，捶背心，舞了半日，漸漸喘息過來。」</t>
  </si>
  <si>
    <t>廡</t>
  </si>
  <si>
    <t>[名]
1.廳堂兩側的廂房。宋．蘇軾〈夜過舒堯文戲作〉詩：「先生堂上霜月苦，弟子讀書喧兩廡。」《清史稿．卷八二．禮志一》：「左右廡各五楹，陛一出，七級。」
2.泛指房屋。《漢書．卷八九．循吏傳．召信臣傳》：「太官園種冬生蔥韭菜茹，覆以屋廡。」《後漢書．卷四五．張酺傳》：「其無起祠堂，可作稿蓋廡，施祭其下而已。」</t>
  </si>
  <si>
    <t>憮</t>
  </si>
  <si>
    <t>[副]
1.失意的樣子。《論語．微子》：「夫子憮然曰：『鳥獸不可與同群，吾非斯人之徒與而誰與？』」《後漢書．卷七〇．孔融傳》：「聞之憮然，中夜而起。」
2.驚愕的樣子。《後漢書．卷六〇下．蔡邕傳》：「邕具以告，莫不憮然。」《晉書．卷一一四．苻堅載記下》：「顧謂融曰：『此亦勍敵也，何謂少乎！』憮然有懼色。」</t>
  </si>
  <si>
    <t>嘸</t>
  </si>
  <si>
    <t>[副]
驚訝的樣子。《漢書．卷三四．韓信傳》：「諸將皆嘸然，陽應曰：『諾。』」</t>
  </si>
  <si>
    <t>嫵</t>
  </si>
  <si>
    <t>參見「嫵媚」條。</t>
  </si>
  <si>
    <t>[形]
1.土地肥美。《玉篇．肉部》：「膴，土地腴美。」《詩經．大雅．綿》：「周原膴膴，堇荼如飴。」唐．劉禹錫〈連州刺史廳壁記〉：「原鮮而膴，卉物柔澤。」
2.厚。《詩經．小雅．節南山》：「瑣瑣姻亞，則無膴仕。」漢．毛亨．傳：「膴，厚也。」漢．鄭玄．注：「妻黨之小人，無厚任用之，置之大位，重其祿也。」</t>
  </si>
  <si>
    <t>(一)ㄏㄨ hū（04947）</t>
  </si>
  <si>
    <t>甒</t>
  </si>
  <si>
    <t>[名]
古代盛酒的瓦器。《禮記．禮器》：「五獻之尊，門外缶，門內壺，君尊瓦甒。」唐．李賀〈箜篌引〉：「隴畝油油黍與葫，瓦甒濁醪蟻浮浮。」</t>
  </si>
  <si>
    <t>兀</t>
  </si>
  <si>
    <t>ㄨˋ</t>
  </si>
  <si>
    <t>wù</t>
  </si>
  <si>
    <t>[形]
1.高聳特立。唐．劉禹錫〈九華山歌〉：「君不見敬亭之山黃索漠，兀如斷岸無稜角。」
2.光禿。如：「兀鷹」。唐．杜牧〈阿房宮賦〉：「蜀山兀，阿房出。」
[副]
1.尚、仍、還。《水滸傳》第九一回：「黑旋風李逵兀是火剌剌的只顧砍殺。」
2.渾然無知的樣子。《文選．陸機．文賦》：「兀若枯木，豁若涸流。」唐．李白〈月下獨酌〉詩四首之三：「醉後失天地，兀然就孤枕。」
3.不安的樣子。如：「兀兀難安」。漢．傅毅〈舞賦〉：「兀動赴度，指顧應聲。」
[動]
動搖、飄蕩。《後漢書．卷七四下．袁紹傳》：「未有棄親即異，兀其根本，而能全於長世者也。」宋．蘇軾〈好事近．湖上雨晴時〉詞：「獨棹小舟歸去，任煙波飄兀。」
[綴]
加在代詞前形成複詞。如：「兀那」、「兀誰」。</t>
  </si>
  <si>
    <t>扤</t>
  </si>
  <si>
    <t>[動]
動、搖。《詩經．小雅．正月》：「天之扤我，如不我克。」《文選．司馬相如．上林賦》：「揚翠葉，扤紫莖。」</t>
  </si>
  <si>
    <t>屼</t>
  </si>
  <si>
    <t>[形]
山光禿的樣子。《文選．左思．吳都賦》：「爾其山澤，則嵬嶷嶢屼。」唐．元結〈演興．招太靈〉詩：「招太靈兮山之巔，山屹屼兮水淪漣。」</t>
  </si>
  <si>
    <t>阢</t>
  </si>
  <si>
    <t>杌</t>
  </si>
  <si>
    <t>[名]
1.只有主幹而沒有旁枝的樹。《集韻．入聲．沒韻》：「杌，樹無枝也。」南朝梁．江淹〈遊黃櫱山〉詩：「殘杌千代木，廧崒萬古煙。」
2.方形而沒有椅背的椅子。《宋史．卷二八三．丁謂傳》：「遂賜坐，左右欲設墩，謂顧曰：『有旨復平章事。』乃更以杌進。」</t>
  </si>
  <si>
    <t>卼</t>
  </si>
  <si>
    <t>勿</t>
  </si>
  <si>
    <t>[副]
1.不要、不可。表示禁止、勸阻。如：「請勿吸煙」。《論語．衛靈公》：「己所不欲，勿施於人！」
2.不。表示否定。《論語．雍也》：「犁牛之子，騂且角，雖欲勿用，山川其舍諸？」</t>
  </si>
  <si>
    <t>沕</t>
  </si>
  <si>
    <t>[動]
1.潛藏。《集韻．入聲．質韻》：「沕，潛藏也。」《文選．賈誼．弔屈原文》：「襲九淵之神龍兮，沕深潛以自珍。」
2.精氣喪失。《文選．劉安．招隱士》：「罔兮沕，憭兮慄。」</t>
  </si>
  <si>
    <t>[名]
一種可供觀賞或食用的野菜。俗稱為「宿菜」、「土瓜」。《詩經．風邶．谷風》：「采葑采菲。」唐．孔穎達．正義：「陸璣云：『菲，似葍，莖麤，葉厚而長，有毛。三月中烝鬻為茹，滑美可作羹。幽州人謂之芴，《爾雅》謂之蒠菜，今河內人謂之宿菜。』」</t>
  </si>
  <si>
    <t>(二)ㄏㄨ hū（04938）</t>
  </si>
  <si>
    <t>物</t>
  </si>
  <si>
    <t>[名]
1.存在於天地間一切人事物的通稱。如：「天生萬物」。《易經．繫辭上》：「方以類聚，物以群分，吉凶生矣。」《列子．黃帝》：「凡有貌像聲色者，皆物也。」
2.指我以外的人、事、境界。相對於「我」而言。如：「物我兩忘」。《史記．卷二四．樂書》：「凡音之起，由人心生也。人心之動，物使之然也。」宋．范仲淹〈岳陽樓記〉：「不以物喜，不以己悲。」
3.指作品或言談中的內容。如：「言之有物」。《文選．陸機．文賦》：「體有萬殊，物無一量。」
4.典章制度。《左傳．哀公元年》：「復禹之績，祀夏配天，不失舊物。」《新唐書．卷九六．杜如晦傳》：「方為相時，天下新定，臺閣制度，憲物容典，率二人討裁。」
5.特指人。南朝宋．劉義慶《世說新語．言語》：「羊權為黃門侍郎，侍簡文坐。帝問曰：『夏侯湛作羊秉敘絕可想。是卿何物？有後不？』」唐．柳宗元〈衡陽與夢得分路贈別〉詩：「直以慵疏招物議，休將文字占時名。」
[動]
1.選擇。《左傳．昭公三十二年》：「計丈數，揣高卑，度厚薄，仞溝洫，物土方，議遠邇。」《淮南子．繆稱》：「欲知天道察其數，欲知地道物其樹，欲知人道從其欲。」
2.尋求。如：「物色」。</t>
  </si>
  <si>
    <t>戊</t>
  </si>
  <si>
    <t>[名]
1.天干的第五位。
2.等級、次第的第五位。如：「三年戊班」。</t>
  </si>
  <si>
    <t>[動]
洗滌去汙。《詩經．周南．葛覃》：「薄汙我私，薄澣我衣。」唐．李賀〈送秦光祿北征〉詩：「風吹雲路火，雪汙玉關泥。」</t>
  </si>
  <si>
    <t>(一)ㄨ wū（11217）(三)ㄩ yū（11552）(四)ㄩˊ yú（11558）(五)ㄨㄚ wā（11305）</t>
  </si>
  <si>
    <t>沃</t>
  </si>
  <si>
    <t>(一)ㄨㄛˋ wò（11337）</t>
  </si>
  <si>
    <t>鋈</t>
  </si>
  <si>
    <t>[名]
白金。《說文解字．金部》：「鋈，白金也。」北周．王襃〈館銘〉：「昆吾陶鑄，丹陽鋈銑。」
[動]
鍍。《詩經．秦風．小戎》：「龍盾之合，鋈以觼軜。」《元史．卷二〇．成宗本紀三》：「賜諸王也滅干鋈金印。」</t>
  </si>
  <si>
    <t>(一)ㄨˇ wǔ（11260）</t>
  </si>
  <si>
    <t>悟</t>
  </si>
  <si>
    <t>[動]
1.明白、覺醒。如：「覺悟」、「執迷不悟」、「恍然大悟」。《史記．卷六．秦始皇本紀》：「三主惑而終身不悟，亡，不亦宜乎？」
2.啟發他人使其覺悟。漢．崔駰〈達旨〉：「唐且華顛以悟秦，甘羅童牙而報趙。」《宋史．卷四三三．儒林傳三．楊萬里傳》：「臣聞古者人君，人不能悟之，則天地能悟之。」
[名]
姓。如漢代有悟明極。</t>
  </si>
  <si>
    <t>焐</t>
  </si>
  <si>
    <t>[動]
以熱的東西接觸涼的東西，使後者變暖。如：「用熱水袋焐一焐手。」元．李文蔚《燕青博魚》第三折：「你便殺了我，到那寒冬臘月裡害腳冷，誰與你焐腳？」</t>
  </si>
  <si>
    <t>參見「魁梧」條。</t>
  </si>
  <si>
    <t>(一)ㄨˊ wú（11241）</t>
  </si>
  <si>
    <t>晤</t>
  </si>
  <si>
    <t>[動]
見面。如：「會晤」、「有空請來寒舍一晤。」《詩經．陳風．東門之池》：「彼美淑姬，可與晤歌。」《三國演義》第四九回：「連日不晤君顏，何期貴體不安。」
[形]
聰明。《宋史．卷八．真宗本紀．贊曰》：「真宗英晤之主，其初踐位，相臣李沆慮其聰明必多作為。」</t>
  </si>
  <si>
    <t>痦</t>
  </si>
  <si>
    <t>參見「痦子」條。</t>
  </si>
  <si>
    <t>寤</t>
  </si>
  <si>
    <t>[動]
1.睡醒。《詩經．周南．關雎》：「窈窕淑女，寤寐求之。」《呂氏春秋．離俗覽．離俗》：「惕然而寤，徒夢也。」
2.覺悟、醒悟。通「悟」。《楚辭．屈原．離騷》：「閏中既以邃遠兮，哲王又不寤。」《後漢書．卷四〇．班彪傳上》：「仰寤東井之精，俯協河圖之靈。」</t>
  </si>
  <si>
    <t>務</t>
  </si>
  <si>
    <t>[動]
1.致力從事。如：「世代務農」。《論語．學而》：「君子務本，本立而道生。」《漢書．卷六八．霍光傳》：「女曹不務奉大將軍餘業，今大夫給事中，他人壹間，女能復自救邪？」
2.追求、謀取。唐．柳宗元〈答韋中立論師道書〉：「是故不苟為炳炳烺烺，務采色夸聲音而以為能也。」唐．韓愈〈進學解〉：「貪多務得，細大不捐。」
[名]
1.事情或工作。如：「家務」、「公務」、「事務」、「任務」。《韓非子．詭使》：「倉廩之所以實者，耕農之本務也。」南朝宋．劉義慶《世說新語．政事》：「望卿擺撥常務，應對玄言。」
2.古代掌管稅收的單位。如宋代有市易務、榷貨務。《新五代史．卷六六．十國世家．楚世家》：「乃自京師至襄、唐、郢、復等州置邸務以賣茶，其利十倍。」
3.姓。如堯時有務成子。
[副]
必須、一定。如：「務必小心」、「務請注意」。唐．柳宗元〈斷刑論下〉：「賞務速而後有勸，罰務速而後有懲。」</t>
  </si>
  <si>
    <t>婺</t>
  </si>
  <si>
    <t>參見「婺女」、「婺川」等條。</t>
  </si>
  <si>
    <t>霧</t>
  </si>
  <si>
    <t>[名]
空氣中接近地面的水蒸氣，因遇冷凝結成小水滴或冰晶，而漂浮在地表的一種現象。能見度低於一公里。如：「霧太濃了，幾乎伸手不見五指。」</t>
  </si>
  <si>
    <t>騖</t>
  </si>
  <si>
    <t>[動]_x000D_
1.奔馳。《楚辭．宋玉．招魂》：「步及驟處兮誘騁先，抑騖若通兮引車右還。」漢．班固〈答賓戲〉：「侯伯方軌，戰國橫騖。」_x000D_
2.放縱地追求。如：「好高騖遠」。晉．葛洪《神仙傳．卷五．欒巴》：「雖日宴坐，而心騖於外，營營然如飛蛾之赴霄燭，蒼蠅之觸曉窗，知往而不知返，知就利而不知避害。」宋．王安石〈與劉原父書〉：「方今萬事所以難合而易壞，常以諸賢無意耳，如鄙宗夷甫輩稍稍騖於世矣。」</t>
  </si>
  <si>
    <t>[名]
鳥類中的游禽類。俗稱為「野鴨」。唐．王勃〈滕王閣序〉：「彩徹雲衢，落霞與孤鶩齊飛，秋水共長天一色。」</t>
  </si>
  <si>
    <t>(二)（又音）ㄇㄨˋ mù（01523）</t>
  </si>
  <si>
    <t>[動]_x000D_
1.憎恨、討厭。《論語．里仁》：「唯仁者，能好人，能惡人。」唐．杜甫〈佳人〉詩：「世情惡衰歇，萬事隨轉燭。」_x000D_
2.冒犯、觸怒。唐．朱敬則〈梁武帝論〉：「且夫惡於齊而保於我，何補也？得一夫而亡一國，非智也。」《水滸傳》第一〇回：「我因惡了高太尉，生事陷害，受了一場官司，刺配到這裡。」《警世通言．卷二一．趙太祖千里送京娘》：「既在此借宿，惡不得他。」_x000D_
3.害怕、畏懼。《韓非子．八說》：「使人不衣不食，而不飢不寒，又不惡死，則無事上之意。」明．朱橚《普濟方．卷二．方脈總論．六經中傷病脈》：「其證：頭項強，腰脊痛，無汗，惡寒，不惡風。」_x000D_
4.毀謗、中傷。《漢書．卷四四．淮南衡山濟北王傳．衡山王劉賜》：「兩人相妒，厥姬乃惡徐來於太子。」明．沈愷〈敘唐祕監賀公〉：「未幾，王召為執珪，以不能事王左右，惡於王。王召責之，華免冠謝，則復歎曰：『敖真敗予矣。』」_x000D_
[名]_x000D_
羞恥。《史記．卷七六．平原君虞卿列傳．平原君》 ：「此百世之怨而趙之所羞，而王弗知惡焉。」</t>
  </si>
  <si>
    <t>(一)ㄜˋ è（10294）(二)ㄜˇ ě（10264）(四)ㄨ wū（11232）</t>
  </si>
  <si>
    <t>塢</t>
  </si>
  <si>
    <t>[名]
1.供防守的小城堡或障蔽物。《後漢書．卷七二．董卓傳》：「又築塢於郿，高厚七丈，號曰『萬歲塢』。」唐．柳宗元〈小石城山記〉：「有積石橫當其垠，其上為睥睨梁欐之形，其旁出堡塢，有若門焉。」
2.泛指四周高而中央低的地方。如：「山塢」、「船塢」。《紅樓夢》第五回：「方離柳塢，乍出花房。」
3.村落。唐．杜甫〈發閬中〉詩：「前有毒蛇後猛虎，溪行盡日無村塢。」</t>
  </si>
  <si>
    <t>誤</t>
  </si>
  <si>
    <t>[名]
差錯。《三國志．卷五四．吳書．周瑜傳》：「曲有誤，周郎顧。」
[動]
1.妨害、耽擱。唐．杜甫〈奉贈韋左丞丈二十二韻〉：「紈褲不餓死，儒冠多誤身。」《老殘遊記》第一九回：「但是我這銀子，三日內有個要緊用處，你可別誤了我的事！」
2.迷惑。《荀子．正論》：「是特姦人之誤於亂說，以欺愚者，而潮陷之，以偷取利焉。夫是之謂大姦。」《新唐書．卷一五二．李絳傳》：「此非陛下意，必憸人以此營誤上心。」
3.錯過。如：「誤時」、「火車誤點」。</t>
  </si>
  <si>
    <t>[動]
牴觸、冒犯。《列子．黃帝》：「死生驚懼，不入乎其胸，是故遻物而不慴。」</t>
  </si>
  <si>
    <t>(一)ㄜˋ è（10306）</t>
  </si>
  <si>
    <t>[動]
違逆不從。《莊子．寓言》：「使人乃以心服，而不敢蘁。」</t>
  </si>
  <si>
    <t>(一)ㄜˋ è（10303）</t>
  </si>
  <si>
    <t>ㄨㄚ</t>
  </si>
  <si>
    <t>wā</t>
  </si>
  <si>
    <t>參見「山凹」條。</t>
  </si>
  <si>
    <t>(一)ㄠ āo（10350）(二)（(一)之又音）ㄧㄠ yāo（10795）(四)ㄨㄚˋ wà（11320）</t>
  </si>
  <si>
    <t>參見「汙尊」、「汙膺」等條。</t>
  </si>
  <si>
    <t>(一)ㄨ wū（11217）(二)ㄨˋ wù（11284）(三)ㄩ yū（11552）(四)ㄩˊ yú（11558）</t>
  </si>
  <si>
    <t>[擬]
形容小孩子的啼哭聲。《書經．益稷》：「啟呱呱而泣。」</t>
  </si>
  <si>
    <t>(二)（讀音）ㄍㄨ gū（04142）(三)ㄍㄨㄚ guā（04198）</t>
  </si>
  <si>
    <t>窊</t>
  </si>
  <si>
    <t>[形]
凹陷的。《文選．左思．吳都賦》：「原隰殊品，窊隆異等。」唐．元結〈抔樽銘序〉：「石有窊顛者，因修之以藏酒。」</t>
  </si>
  <si>
    <t>[名]
窪下有水的地方。《水滸傳》第五五回：「小可分兵攻打，務要肅清山寨，掃盡水洼，擒獲眾賊，拆毀巢穴。」</t>
  </si>
  <si>
    <t>(二)ㄍㄨㄟ guī（04256）</t>
  </si>
  <si>
    <t>哇</t>
  </si>
  <si>
    <t>[擬]
形容哭聲。如：「那小孩哇的一聲哭了起來。」
[動]
嘔吐。《孟子．滕文公下》：「其兄自外至曰：『是鶂鶂之肉也。』出而哇之。」
[名]
淫靡的樂聲。唐．薛能〈寓題〉詩：「淫哇滿眼關雎弱，猶賀清朝有此身。」</t>
  </si>
  <si>
    <t>(二)˙ㄨㄚ wa（11326）</t>
  </si>
  <si>
    <t>[名]
低陷的地方。《呂氏春秋．士容論．任地》：「子能以窐為突乎？」</t>
  </si>
  <si>
    <t>(一)ㄍㄨㄟ guī（04259）</t>
  </si>
  <si>
    <t>蛙</t>
  </si>
  <si>
    <t>[名]
脊椎動物兩棲類的通稱。體短闊，前銳後廣，滑潤無鱗，可行氣體交換，且無頸無尾。四肢發達，但前肢短小，後肢長，趾間有蹼，為游泳之用，喜居陰溼地。冬季有冬眠行為。種類多，常見的有青蛙、牛蛙、樹蛙等。</t>
  </si>
  <si>
    <t>窪</t>
  </si>
  <si>
    <t>[名]_x000D_
1.四周高，中間低陷的地方。宋．釋道璨〈無準小師祭老彰〉：「石之窪，木之癭，乾坤變化，各正性命。」《古今圖書集成．曆象彙編乾象典．卷三八．月部藝文一》引明．陳仁錫《西湖月觀》：「泉自頂下山之窪，伏流飛注，水波皺而聲漸激。」_x000D_
2.水池，水坑。如：「水窪」。元．張憲〈富陽行〉：「城南城北血成窪，十里火雲飛火鴉。」_x000D_
[形]_x000D_
四周高，中間低。凹陷的。如：「低窪」、「岈然窪然」、「坑坑窪窪」。《老子》第二二章：「曲則全，枉則直；窪則盈，敝則新。」宋．蘇軾〈張幾仲有龍尾子石硯以銅劍易之〉詩：「我家銅劍如赤蛇，君家石硯蒼璧橢而窪。」_x000D_
[副]_x000D_
深。唐．白居易〈奉和思黯相公以李蘇州所寄太湖石奇狀絕倫因題二十韻見示兼呈夢得〉：「尖削琅玕筍，窪剜瑪瑙罍。」_x000D_
[量]_x000D_
用於計算聚積於窪坑或地面的液體。如：「一窪積水」。《金瓶梅》第一七回：「一窪死水全無浪，也有春風擺動時。」《醒世姻緣傳》第九〇回：「及至到了那邊，看得金碧輝煌，十分壯麗，心裡又痛又感，一面叩謝眾人，一面號啕痛哭，嘔了兩聲，吐了一窪鮮血，便覺昏沉，家人扶在驢上，攙他回去。」《浙江通志．卷一〇七．物産七．溫州府》引《龍泉縣志》：「楊梅嶺下有泉一窪，可沃楊梅，旬日不壞。」</t>
  </si>
  <si>
    <t>挖</t>
  </si>
  <si>
    <t>[動]
1.掘。明．湯顯祖《牡丹亭》第三五齣：「敢太歲頭上動土？向小姐腳跟挖窟。」《儒林外史》第三八回：「去地下挖了一個坑，把郭孝子提了放在坑裡。」
2.掏取。如：「小心荷包裡的錢，不要被小偷挖了。」《老殘遊記》第五回：「掌櫃的，你怎麼羞了？大家等你挖麵做飯吃呢！」</t>
  </si>
  <si>
    <t>(二)ㄨㄚˊ wá（11315）</t>
  </si>
  <si>
    <t>媧</t>
  </si>
  <si>
    <t>參見「女媧」條。</t>
  </si>
  <si>
    <t>ㄨㄚˊ</t>
  </si>
  <si>
    <t>wá</t>
  </si>
  <si>
    <t>耳挖子的挖的語音。</t>
  </si>
  <si>
    <t>(一)ㄨㄚ wā（11313）</t>
  </si>
  <si>
    <t>娃</t>
  </si>
  <si>
    <t>[名]
1.美女。漢．揚雄〈反離騷〉：「資娵娃之珍髢兮，鬻九戎而索賴。」元．馬致遠《漢宮秋．楔子》：「五穀豐登沒戰伐，寡人待刷室女選宮娃。」
2.小孩。如：「男娃」、「女娃」、「胖娃娃」。</t>
  </si>
  <si>
    <t>瓦</t>
  </si>
  <si>
    <t>ㄨㄚˇ</t>
  </si>
  <si>
    <t>wǎ</t>
  </si>
  <si>
    <t>[名]
1.用陶土燒成的器物的總稱。《詩經．小雅．斯干》：「乃生女子，載寢之地，載衣之裼，載弄之瓦。」唐．韓愈〈元和聖德〉詩：「皇帝儉勤，盥濯陶瓦。」
2.覆於屋頂上，用以遮蔽風雨的建築材料。如：「石綿瓦」。《莊子．達生》：「雖有忮心者，不怨飄瓦。」唐．杜甫〈越王樓歌〉：「孤城西北起高樓，碧瓦朱甍照城郭。」
3.楯脊，盾背栱起如覆瓦的部分。《左傳．昭公二十六年》：「齊子淵捷從洩聲子，射之，中楯瓦。」唐．王績〈三日賦〉：「鐵骸文鏇，銀鞍鏤瓦。」
4.瓦特的簡稱。參見「瓦特」1.條。
5.二一四部首之一。</t>
  </si>
  <si>
    <t>(二)ㄨㄚˋ wà（11319）</t>
  </si>
  <si>
    <t>佤</t>
  </si>
  <si>
    <t>參見「佤族」條。</t>
  </si>
  <si>
    <t>ㄨㄚˋ</t>
  </si>
  <si>
    <t>wà</t>
  </si>
  <si>
    <t>[動]
覆瓦於屋頂。《集韻．去聲．禡韻》：「瓦，施瓦於屋也。」宋．陸游〈撫州廣壽禪院經藏記〉：「予之始至也，纔屹立十餘柱，其上未瓦，其下未甃，其旁未垣。」</t>
  </si>
  <si>
    <t>(一)ㄨㄚˇ wǎ（11317）</t>
  </si>
  <si>
    <t>凹心臉兒、凹窯兒的凹的語音。</t>
  </si>
  <si>
    <t>(一)ㄠ āo（10350）(二)（(一)之又音）ㄧㄠ yāo（10795）(三)ㄨㄚ wā（11304）</t>
  </si>
  <si>
    <t>䍪</t>
  </si>
  <si>
    <t>參見「䍪羯」條。</t>
  </si>
  <si>
    <t>嗢</t>
  </si>
  <si>
    <t>[動]
吞嚥。《說文解字．口部》：「嗢，咽也。」唐．陸龜蒙〈奉酬襲美先輩吳中苦雨一百韻〉：「低頭增歎詫，到口復嗢咽。」</t>
  </si>
  <si>
    <t>殟</t>
  </si>
  <si>
    <t>[動]
突然失去知覺。《楚辭．王逸．九思．逢尤》：「仰長歎兮氣噎結，悒殟絕兮咶復蘇。」</t>
  </si>
  <si>
    <t>膃</t>
  </si>
  <si>
    <t>參見「膃肭」、「膃肭臍」等條。</t>
  </si>
  <si>
    <t>襪</t>
  </si>
  <si>
    <t>[名]
穿在腳上，用來保護或保暖的東西。通常用棉、毛、絲及合成纖維等製成。如：「絲襪」、「毛襪」。</t>
  </si>
  <si>
    <t>˙ㄨㄚ</t>
  </si>
  <si>
    <t>wa</t>
  </si>
  <si>
    <t>[助]
置於語尾，表驚嘆的語氣。如：「好哇！你竟然悶不吭聲的躲在這裡。」《兒女英雄傳》第三回：「那張老頭兒聽了說道：『好哇！正是這話了。』」</t>
  </si>
  <si>
    <t>(一)ㄨㄚ wā（11309）</t>
  </si>
  <si>
    <t>倭</t>
  </si>
  <si>
    <t>ㄨㄛ</t>
  </si>
  <si>
    <t>wō</t>
  </si>
  <si>
    <t>[名]
中國對日本的舊稱。《漢書．卷二八．地理志下》：「樂浪海中有倭人，分為百餘國，以歲時來獻見云。」《南史．卷七九．夷貊傳下．東夷傳》：「其國近倭，頗有文身者。」</t>
  </si>
  <si>
    <t>(二)ㄨㄟ wēi（11355）(三)ㄨㄛˇ wǒ（11334）</t>
  </si>
  <si>
    <t>[名]
1.旋轉流動成圓形而中間下陷的水流。如：「漩渦」。
2.像渦樣的凹點。如：「酒渦」。</t>
  </si>
  <si>
    <t>(二)ㄍㄨㄛ guō（04224）</t>
  </si>
  <si>
    <t>猧</t>
  </si>
  <si>
    <t>[名]
小狗。宋．陸游〈書歎〉：「猧子解迎門外客，貍奴知護案間書。」清．洪昇《長生殿》第四六齣：「眠猧不吠，宿鳥無喧，葉寧樹杪，蟲息階沿。」</t>
  </si>
  <si>
    <t>萵</t>
  </si>
  <si>
    <t>參見「萵苣」條。</t>
  </si>
  <si>
    <t>窩</t>
  </si>
  <si>
    <t>[名]
1.鳥獸昆蟲等的巢穴。如：「鳥窩」、「蜂窩」、「雞窩」、「豬窩」。
2.人聚集或居住的地方。如：「賊窩」、「土匪窩」。《儒林外史》第一四回：「馬二先生身子又長，戴一頂高方巾，一幅烏黑的臉，捵著個肚子，穿著一雙厚底破靴，橫著身子亂跑，只管在人窩子裡撞。」
3.凹陷的地方。如：「酒窩」、「胳肢窩」。
4.量詞。計算窩巢的單位。如：「一窩螞蟻」、「家裡的母狗昨晚生了一窩小狗。」
[動]
1.藏匿。如：「窩藏罪犯」。《警世通言．卷一五．金令史美婢酬秀童》：「你偷庫內這四錠元寶，藏於何處？窩在那家？」
2.停留、蜷伏。如：「別整天窩在家裡，到外頭透透氣吧！」《兒女英雄傳》第六回：「那三兒只叫得一聲：『我的媽呀！』鏜，把個銅鏇了扔了，咕咭也窩在那裡了。」
3.捲、繞。如：「把鐵絲窩個圈圈兒。」《西遊記》第四六回：「須臾，剃下髮來，窩作一團，塞在那櫃腳紇絡裡。」
4.鬱積。如：「窩了一肚子氣。」</t>
  </si>
  <si>
    <t>[動]
沾汙、弄髒。《淮南子．俶真》：「夫鑑明者，塵垢弗能薶。神清者，嗜欲弗能亂。」</t>
  </si>
  <si>
    <t>(一)ㄇㄞˊ mái（01105）</t>
  </si>
  <si>
    <t>ㄨㄛˇ</t>
  </si>
  <si>
    <t>wǒ</t>
  </si>
  <si>
    <t>[代]
1.自稱。《易經．中孚卦．九二》：「我有好爵，吾與爾靡之。」《詩經．小雅．采薇》：「昔我往矣，楊柳依依；今我來思，雨雪霏霏。」
2.自稱己方。《左傳．莊公十年》：「春，齊師伐我。」《漢書．卷五四．李廣傳》：「我軍雖煩擾，虜亦不得犯我。」
[形]
表示親切之意的語詞。《論語．述而》：「述而不作，信而好古，竊比於我老彭。」漢．曹操〈步出夏門行〉：「經過至我碣石，心惆悵我東海。」
[名]
1.私心、私意。如：「大公無我」。《論語．子罕》：「毋意，毋必，毋固，毋我。」
2.姓。如戰國時有我子。</t>
  </si>
  <si>
    <t>(二)（讀音）ㄜˇ ě（10256）</t>
  </si>
  <si>
    <t>[名]
倭墮：髮髻歪在一側的髮式。《集韻．上聲．果韻》：「倭，倭墮，髻貌。」《樂府詩集．卷二八．相和歌辭三．古辭．陌上桑》：「頭上倭墮髻，耳中明月珠。」</t>
  </si>
  <si>
    <t>(一)ㄨㄛ wō（11327）(二)ㄨㄟ wēi（11355）</t>
  </si>
  <si>
    <t>婑</t>
  </si>
  <si>
    <t>參見「婑媠」條。</t>
  </si>
  <si>
    <t>䰀</t>
  </si>
  <si>
    <t>參見「䰀鬌」條。</t>
  </si>
  <si>
    <t>ㄨㄛˋ</t>
  </si>
  <si>
    <t>wò</t>
  </si>
  <si>
    <t>[動]
1.灌溉、澆。如：「引水沃田」。《左傳．僖公二十三年》：「秦伯納女五人，懷嬴與焉，奉匜沃盥，既而揮之。」漢．王充《論衡．偶會》：「使火燃以水沃之，可謂水賊火。」
2.參見「沃果兒」條。
[形]
土地溼潤肥美。如：「沃野千里」。《左傳．成公六年》：「必居郇、瑕氏之地，沃饒而近鹽，國利君樂，不可失也。」晉．陸機〈懷土賦〉：「背故都之沃衍，適新邑之丘墟。」
[名]
姓。如漢代有沃焦。</t>
  </si>
  <si>
    <t>(二)（又音）ㄨˋ wù（11285）</t>
  </si>
  <si>
    <t>臥</t>
  </si>
  <si>
    <t>[動]
1.躺下、倒下。如：「仰臥」。唐．王翰〈涼州詞〉二首之一：「醉臥沙場君莫笑，古來征戰幾人回。」唐．杜牧〈秋夕〉詩：「天階夜色涼如水，臥看牽牛織女星。」
2.睡覺、休息。《史記．卷六五．孫子吳起傳》：「臥不設席，行不騎乘。」唐．柳宗元〈始得西山宴游記〉：「醉則更相枕而臥，臥而夢。」
3.趴伏、倒伏。如：「雞臥在草上。」《南史．卷五一．梁宗室傳上．吳平侯景傳》：「或遇風雨，仆臥中路。」
4.橫置、橫陳。唐．杜牧〈阿房宮賦〉：「長橋臥波，未雲何龍。」
5.隱居、遁隱。《晉書．卷七九．謝安傳》：「卿累違朝旨，高臥東山。」唐．李白〈送梁四歸東平〉詩：「莫學東山臥，參差老謝安。」
[形]
供睡覺或休息用的。如：「臥室」、「臥房」、「臥鋪」。</t>
  </si>
  <si>
    <t>涴</t>
  </si>
  <si>
    <t>[動]
汙染、弄髒。同「汙」。《廣韻．去聲．過韻》：「涴，泥著物也，亦作汙。」唐．杜甫〈虢國夫人〉詩：「卻嫌脂粉涴顏色，澹掃蛾眉朝至尊。」</t>
  </si>
  <si>
    <t>偓</t>
  </si>
  <si>
    <t>[形]
拘束的樣子。《玉篇．人部》：「偓，促拘之貌。」</t>
  </si>
  <si>
    <t>渥</t>
  </si>
  <si>
    <t>[動]
沾潤、沾濡。《說文解字．水部》：「渥，霑也。」
[形]
深重、濃厚。漢．賈誼〈上疏陳政事〉：「高皇帝以明聖威武即天子位，割膏腴之地以王諸公，多者百餘城，少者乃三四十縣，德至渥也。」《文選．李密．陳情表》：「過蒙拔擢，寵命優渥，豈敢盤桓，有所希冀？」</t>
  </si>
  <si>
    <t>握</t>
  </si>
  <si>
    <t>[動]
1.用手掌執持或抓緊。如：「握筆」、「握住」、「緊握雙手」。南朝宋．劉義慶《世說新語．言語》：「庾法暢造庾太尉，握麈尾至佳。」
2.掌管、控制。如：「掌握」、「把握」。《文選．揚雄．解嘲》：「旦握權則為卿相，夕失勢則為匹夫。」唐．皮日休〈十原系述．原化〉：「率邪以禦眾，握亂以治天下。」
[名]
量詞。計算一手抓滿的數量的單位。相當於「把」。如：「一握沙子」。明．徐弘祖《徐霞客遊記．卷一下．遊雁宕山日記》：「寺後覓方竹數握，細如枝。」</t>
  </si>
  <si>
    <t>[擬]_x000D_
形容公雞的叫聲。《說文解字．口部》：「喔，雞聲也。」唐．許渾〈秋日行次關西〉詩：「早霜雞喔喔，殘月馬蕭蕭。」《老殘遊記》第一一回：「聽窗外晨雞已經喔喔的啼了。」</t>
  </si>
  <si>
    <t>(二)（(一)之又音）ㄨ wū（11226）(三)ㄛ ō（10231）</t>
  </si>
  <si>
    <t>幄</t>
  </si>
  <si>
    <t>[名]
帳幕。《史記．卷三二．齊太公世家》：「子我在幄，出迎之，遂入，閉門。」《資治通鑑．卷一九八．唐紀十四．太宗貞觀十九年》：「上臨水設幄受其降，仍賜之食，八十以上賜帛有差。」</t>
  </si>
  <si>
    <t>腛</t>
  </si>
  <si>
    <t>[名]
豐厚的脂肪。《玉篇．肉部》：「腛，厚脂也。」
[形]
豐厚的。《周禮．冬官考工記．鮑人》：「欲其柔滑而腛脂之，則需。」</t>
  </si>
  <si>
    <t>齷</t>
  </si>
  <si>
    <t>參見「齷齪」條。</t>
  </si>
  <si>
    <t>[名]
1.瓢柄。《說文解字．斗部》：「斡，蠡柄也。」
2.姓。如唐代有斡道中。
[動]
運轉、旋轉。《說文解字．斗部》「斡」字．清．段玉裁．注：「必執其柄而後可以挹物，執其柄則運旋在我，故謂之斡，引申之，凡執柄樞轉運皆謂之斡。」如：「居中斡旋」。《文選．賈誼．鵩鳥賦》：「斡流而遷兮，或推而還。」</t>
  </si>
  <si>
    <t>(二)ㄍㄨㄢˇ guǎn（04326）</t>
  </si>
  <si>
    <t>(一)ㄏㄨㄛˋ huò（05060）</t>
  </si>
  <si>
    <t>(一)ㄏㄨㄛˋ huò（05061）</t>
  </si>
  <si>
    <t>(一)ㄏㄨㄛˋ huò（05063）</t>
  </si>
  <si>
    <t>歪</t>
  </si>
  <si>
    <t>ㄨㄞ</t>
  </si>
  <si>
    <t>wāi</t>
  </si>
  <si>
    <t>[形]
1.不正。如：「歪頭」、「歪斜」。
2.不正當的。如：「歪主意」、「上梁不正下梁歪」、「歪風不可長」。《水滸傳》第九四回：「本處有個歪學究，姓何名才。」
[動]
1.斜傾、偏向一邊。如：「歪著頭」。元．無名氏《獨角牛》第二折：「直打的這壁破，那壁傷，磣可可嘴塌鼻歪。」
2.暫時斜靠歇息。如：「在床上歪一會兒。」《二十年目睹之怪現狀》第二八回：「我送子明去了，便在書房裡隨意歪著，和衣稍歇。」</t>
  </si>
  <si>
    <t>(二)ㄨㄞˇ wǎi（11352）</t>
  </si>
  <si>
    <t>ㄨㄞˇ</t>
  </si>
  <si>
    <t>wǎi</t>
  </si>
  <si>
    <t>[動]
扭傷。如：「歪了腳」。</t>
  </si>
  <si>
    <t>(一)ㄨㄞ wāi（11351）</t>
  </si>
  <si>
    <t>外</t>
  </si>
  <si>
    <t>ㄨㄞˋ</t>
  </si>
  <si>
    <t>wài</t>
  </si>
  <si>
    <t>[名]_x000D_
1.不屬於某一定的範圍內均稱為「外」。相對於「內」而言。如：「內外」、「門外」、「屋外」。_x000D_
2.特指外國。如：「古今中外」、「對外貿易」。_x000D_
3.戲曲中的角色名稱，多扮演老年男子。清．孔尚任《桃花扇》第二五齣：「外扮沈公憲，淨扮張燕筑，小旦扮寇白門，丑扮鄭妥娘同上。」也稱為「老外」。_x000D_
[形]_x000D_
1.非自己所在或所屬的。如：「外幣」、「外地」、「外族」。_x000D_
2.稱母親、妻子、姊妹及女兒方面的親戚。如：「外家」、「外戚」、「外甥」。_x000D_
3.別的、其他的。如：「外一章」、「外一首」。《孟子．滕文公下》：「外人皆稱夫子好辯，敢問何也？」漢．王充《論衡．案書》：「國語，左氏之外傳也。」_x000D_
4.不是正式的。如：「外號」、「外史」。_x000D_
[動]_x000D_
1.疏遠。《易經．否卦》：「《彖》曰：內小人而外君子，小人道長，君子道消也。」《荀子．王霸》：「人主則外賢而偏舉，人臣則爭職而妒賢。」_x000D_
2.處於……之外。《國語．晉語六》：「今吾刑外乎大人，而忍於小民，將誰行武？」_x000D_
3.背叛。《管子．版法》：「驟令不行，民心乃外。」</t>
  </si>
  <si>
    <t>委</t>
  </si>
  <si>
    <t>ㄨㄟ</t>
  </si>
  <si>
    <t>wēi</t>
  </si>
  <si>
    <t>參見「委蛇」條。</t>
  </si>
  <si>
    <t>(一)ㄨㄟˇ wěi（11395）</t>
  </si>
  <si>
    <t>參見「倭遲」條。</t>
  </si>
  <si>
    <t>(一)ㄨㄛ wō（11327）(三)ㄨㄛˇ wǒ（11334）</t>
  </si>
  <si>
    <t>萎</t>
  </si>
  <si>
    <t>[動]
1.草木枯黃。如：「枯萎」。《詩經．小雅．谷風》：「無草不死，無木不萎。」
2.衰病。《禮記．檀弓上》：「泰山其頹乎？梁木其壞乎？哲人其萎乎？」漢．鄭玄．注：「萎，病也。」
[形]
衰頹、不振奮。如：「萎靡不振」。《魏書．卷六一．薛安都傳》：「民人萎餧，無以濟之。」</t>
  </si>
  <si>
    <t>(二)ㄨㄟˇ wěi（11396）</t>
  </si>
  <si>
    <t>逶</t>
  </si>
  <si>
    <t>參見「逶遲」、「逶隨」、「逶迤」等條。</t>
  </si>
  <si>
    <t>蜲</t>
  </si>
  <si>
    <t>[形]
蜲蜿：龍蛇盤曲的樣子。《文選．宋玉．高唐賦》：「振鱗奮翼，蜲蜲蜿蜿。」</t>
  </si>
  <si>
    <t>威</t>
  </si>
  <si>
    <t>[名]
1.尊嚴。如：「威儀」、「威信」、「威嚴」。《左傳．僖公九年》：「天威不違顏咫尺，小白余敢貪天子之命，無下拜。」《遼史．卷七四．韓知古傳》：「捐棄旗鼓，損威辱國。」
2.權勢，能壓服別人的力量。如：「發威」、「示威」。《商君書．去彊》：「刑生力，力生彊，彊生威。」《隋書．卷七〇．李密傳》：「且經城不拔，何以示威？」
3.姓。如清代有威應洪。
[動]
1.震懾。如：「聲威天下」。《易經．繫辭下》：「弧矢之利，以威天下。」
2.以聲勢或武力逼迫他人。如：「威脅」、「威嚇」。</t>
  </si>
  <si>
    <t>崴</t>
  </si>
  <si>
    <t>參見「崴嵬」條。</t>
  </si>
  <si>
    <t>葳</t>
  </si>
  <si>
    <t>參見「葳蕤」條。</t>
  </si>
  <si>
    <t>蝛</t>
  </si>
  <si>
    <t>參見「蛜蝛」條。</t>
  </si>
  <si>
    <t>偎</t>
  </si>
  <si>
    <t>[動]
1.傍著、靠著。如：「依偎」。唐．溫庭筠〈南湖〉詩：「野船著岸偎春草，水鳥帶波飛夕陽。」元．關漢卿《五侯宴》第三折：「偎山靠水安營寨，掃蕩賊兵建勛勞。」
2.安慰、勸誘，帶有哄騙的意思。《警世通言．卷二二．宋小官團圓破氈笠》：「只怕女兒不肯，須是緩緩的偎他。」</t>
  </si>
  <si>
    <t>渨</t>
  </si>
  <si>
    <t>[名]
水流彎曲的地方。同「隈」。明．陸采《懷香記》第七齣：「青山洞，碧水渨，人間到處有天臺。」</t>
  </si>
  <si>
    <t>隈</t>
  </si>
  <si>
    <t>[名]
1.水流彎曲的地方。《淮南子．覽冥》：「田者不侵畔，漁者不爭隈。」唐．孟浩然〈峴潭作〉詩：「石潭傍隈隩，沙岸曉夤緣。」
2.山彎曲的地方。《管子．形勢》：「大山之隈，奚有於深。」金．王元粹〈經廢宅〉詩：「誰家住宅北山隈，亂後逋人尚未回。」
3.角落。《文選．左思．魏都賦》：「考之四隈，則八埏之中；測之寒暑，則霜露所均。」唐．韓愈〈絰騝贈張籍〉詩：「度前鋪瓦隴，發木積牆隈。」</t>
  </si>
  <si>
    <t>煨</t>
  </si>
  <si>
    <t>[名]
熱灰、灰燼。《戰國策．秦策一》：「犯白刃，蹈煨炭。」《新唐書．卷八三．懿宗八女傳》：「咸通十年薨。……又許百官祭以金貝、寓車、廞服，火之，民爭取煨以汰寶。」
[動]
烹飪方法：(1)把生食埋在火灰中燒熟。如：「煨栗子」、「煨番薯」。宋．陸游〈初夏野興〉詩三首之三：「𤎖火就林煨苦筍，密甖沉井漬青梅。」(2)用微火慢慢燒煮，使食物熟而軟。如：「煨牛肉」、「煨蹄膀」。《宋史．卷三七三．洪皓傳》：「嘗大雪薪盡，以馬矢然火煨麵食之。」</t>
  </si>
  <si>
    <t>椳</t>
  </si>
  <si>
    <t>[名]
門樞。唐．韓愈〈進學解〉：「夫大木為杗，細木為桷，欂櫨侏儒，椳闑扂楔，各得其宜，施以成室者，匠氏之工也。」</t>
  </si>
  <si>
    <t>溦</t>
  </si>
  <si>
    <t>[名]
小雨。《說文解字．水部》：「溦，小雨也。」</t>
  </si>
  <si>
    <t>微</t>
  </si>
  <si>
    <t>(一)ㄨㄟˊ wéi（11390）</t>
  </si>
  <si>
    <t>囗</t>
  </si>
  <si>
    <t>ㄨㄟˊ</t>
  </si>
  <si>
    <t>wéi</t>
  </si>
  <si>
    <t>[動]
圍繞。同「圍」。《玉篇．囗部》：「囗，古圍字。」
[名]
二一四部首之一。</t>
  </si>
  <si>
    <t>圩</t>
  </si>
  <si>
    <t>(一)ㄩˊ yú（11560）</t>
  </si>
  <si>
    <t>危</t>
  </si>
  <si>
    <t>[形]
1.不安全。如：「危險」。《左傳．昭公十八年》：「小國忘守則危，況有災乎？」唐．韓愈〈後十九日復上書〉：「以蹈於窮餓之水火，其既危且亟矣。」
2.病重。如：「病危」、「垂危」。《隋書．卷六三．元壽傳》：「又命其子捨危惙之母，為聚斂之行。」《聊齋志異．卷二．耿十八》：「新城耿十八，病危篤，自知不起。」
3.高聳的。《莊子．盜跖》：「使子路去其危冠，解其長劍，而受教於子。」宋．陸游〈送七兄赴揚州帥幕〉詩：「急雪打窗心共碎，危樓望遠涕俱流。」
4.正直的。如：「危言」、「危行」。
5.不正的、偏頗的。《荀子．榮辱》：「故薄薄之地，不得履之，非地不安也，危足無所履者，凡在言也。」
6.艱困。《史記．卷六．秦始皇本紀》：「是以陳涉不用湯武之賢，不藉公侯之尊，奮臂於大澤而天下響應者，其民危也。」
[動]
1.恐懼、不安。《戰國策．西周策》：「夫本末更盛，虛實有時，竊為君危之。」
2.傷害。《左傳．昭公三十一年》：「若艱難其身，以險危大人，而有名章徹，攻難之士將奔走之。」漢．王充《論衡．答佞》：「讒以口害人，佞以事危人。」
[名]
1.屋脊。《史記．卷四四．魏世家》：「痤因上屋騎危，謂使者曰：『與其以死痤市，不如以生痤市。』」宋．蘇軾〈凌虛臺記〉：「使工鑿其前為方池，以其土築高出於屋之危而止。」
2.姓。如宋代有危祜。</t>
  </si>
  <si>
    <t>桅</t>
  </si>
  <si>
    <t>[名]
船上用來懸掛帆篷的竿子。如：「船桅」。《廣韻．平聲．灰韻》：「桅，小船上檣竿也。」唐．韓愈〈憶昨行和張十一〉詩：「念昔從君渡湘水，大帆夜劃窮高桅。」</t>
  </si>
  <si>
    <t>鮠</t>
  </si>
  <si>
    <t>[名]
硬骨魚綱黃顙魚科鮠屬的通稱。體色淺灰，無鱗，吻圓突，口腹部位具有四對鬚。以脊椎動物、小魚為食。主產於長江流域，臺灣亦有。</t>
  </si>
  <si>
    <t>為</t>
  </si>
  <si>
    <t>[動]_x000D_
1.製作。《詩經．周南．葛覃》：「為絺為綌，服之無斁。」《新唐書．卷九三．列傳．李靖》：「其舊物有佩筆，以木為管弢。」宋．沈括《夢溪筆談．卷一八．技藝》：「慶曆中，有布衣畢昇，又為活板。其法用膠泥刻字，薄如錢脣，每字為一印，火燒令堅。」_x000D_
2.建立、設置。《左傳．昭公六年》：「昔先王議事以制，不為刑辟，懼民之有爭心也。」《商君書．君臣》：「民眾而姦邪生，故立法制，為度量以禁之。」_x000D_
3.行、作。如：「為非作歹」、「事在人為」。《論語．為政》：「見義不為，無勇也。」《荀子．宥坐》：「為善者天報之以福，為不善者天報之以禍。」漢．枚乘〈上書諫吳王〉：「欲人勿聞，莫若勿言；欲人勿知，莫若勿為。」_x000D_
4.做出、表現出。唐．李德裕〈代劉沔與回鶻宰相頡于伽思書〉：「雖皇帝不許，當勤固請，為可憐之意。陳自託之誠，豈不感明主之心，塞華夷之望？」《南史．卷六五．陳宣帝諸子列傳．始興王叔陵》：「初喪日，偽為哀毀，自稱刺血寫《涅槃經》。未及十旬，乃日進甘膳。」_x000D_
5.訂定、訂立。《左傳．隱公元年》：「公攝位，而欲求好於邾，故為蔑之盟。」《隋書．卷六二．列傳．劉行本》：「然臣下車之始，與其為約。此吏故違，請加徒一年。」《宋史．卷二四四．宗室列傳一．魏王廷美》：「命普於榻前為約誓書，普於紙尾書云『臣普書』，藏之金匱，命謹密宮人掌之。」_x000D_
6.撰作、撰寫。《史記．卷七．項羽本紀》：「於是項王乃悲歌慷慨，自為詩曰：『力拔山兮氣蓋世，時不利兮騅不逝，騅不逝兮可奈何，虞兮虞兮奈若何！』」宋．王應麟《辭學指南．作文法》：「李漢老曰：『為文之法，有筆力、有筆路。』」_x000D_
7.運用、使用。《齊民要術．序》：「趙過始為牛耕，實勝耒耜之利；蔡倫立意造紙，豈方縑牘之煩？」宋．郭若虛《圖畫見聞誌．卷二．紀藝上》：「楊元真，不知何許人。工畫佛道，善為曹筆，尤精布色。」_x000D_
8.治理。《論語．為政》：「為政以德，譬如北辰，居其所，而眾星共之。」《國語．周語上》：「是故為川者，決之使導；為民者，宣之使言。」《商君書．農戰》：「善為國者，倉廩雖滿，不偷於農。」_x000D_
9.治療、醫治。《左傳．成公十年》：「公疾病，求醫于秦，秦伯使醫緩為之。」清．陳夢雷《醫部全錄．卷二五二．成無己明理論》：「疾成而後藥，雖神醫不可為也。」_x000D_
10.學習、研究。《陳書．卷三三．儒林列傳．王元規》：「自梁代諸儒相傳為《左氏》學者，皆以賈逵、服虔之義難駮杜預，凡一百八十條。」《清史稿．卷四八〇．儒林列傳一．陸世儀列傳》：「瑚之為學，博大精深，以經世自任。」_x000D_
11.演奏、吟誦。《史記．卷八一．廉頗藺相如列傳》：「趙王竊聞秦王善為秦聲，請奏盆缶秦王，以相娛樂。」《隋書．卷三五．經籍志四》：「隋時有釋道騫，善讀之，能為楚聲，音韻清切，至今傳《楚辭》者，皆祖騫公之音。」唐．白居易〈琵琶行〉：「輕攏慢撚抹復挑，初為霓裳後六么。」_x000D_
12.種植、栽種。《戰國策．東周策》：「東周欲為稻，西周不下水，東周患之。」明．陳懋仁《泉南雜志》卷上：「其地為稻利薄，蔗利厚，往往有改稻田種蔗者。」_x000D_
13.擔任。《論語．雍也》：「子游為武城宰，子曰：『女得人焉耳乎！』」《戰國策．齊策四》：「孟嘗君為相數十年。」《水滸傳》第四一回：「做得第一手裁縫，端的是飛針走線；更兼慣習鎗棒，曾拜薛永為師。」_x000D_
14.變成、成為。《詩經．小雅．十月之交》：「高岸為谷，深谷為陵。」《史記．卷五九．五宗世家》：「王服所犯，遂自殺。國除，地入于漢，為廣陵郡。」_x000D_
15.當作。《墨子．公輸》：「於是見公輸盤，子墨子解帶為城，以牒為械。」《莊子．應帝王》：「泰氏，其臥徐徐，其覺于于，一以己為馬，一以己為牛。」_x000D_
16.是。如：「十寸為一尺」、「失敗為成功之母」。《論語．微子》：「長沮曰：『夫執輿者為誰？』子路曰：『為孔丘。』」唐．杜甫〈垂老別〉詩：「何鄉為樂土，安敢尚盤桓？」_x000D_
17.使、讓。《易經．井卦》：「《象》曰：井渫不食，為我心惻。」《左傳．昭公二十年》：「今君疾病，為諸侯憂，是祝史之罪也。」_x000D_
[介]_x000D_
被。如：「不為所動」。《論語．子罕》：「出則事公卿，入則事父兄，喪事不敢不勉，不為酒困，何有於我哉？」《三國志．卷五四．吳書．周瑜魯肅呂蒙傳．呂蒙》：「師還，遂征合肥，既徹兵，為張遼等所襲，蒙與淩統以死扞衛。」唐．杜甫〈有懷台州鄭十八司戶〉詩：「從來禦魑魅，多為才名誤。」_x000D_
[連]_x000D_
1.則。《論語．陽貨》：「君子有勇而無義為亂，小人有勇而無義為盜。」《史記．卷一一八．淮南衡山列傳．淮南厲王》：「今暴摧折之，臣恐卒逢霧露病死，陛下為有殺弟之名，奈何？」_x000D_
2.假如、如果。《韓非子．內儲說下》：「王甚喜人之掩口也，為近王，必掩口。」《史記．卷三八．宋微子世家》：「今誠得治國，國治身死不恨。為死，終不得治，不如去。」_x000D_
3.或。表示選擇。南朝齊．王融〈永明十一年策秀才文〉五首之三：「豈薪槱之道未弘，為網羅之目尚簡？」《祖堂集．卷三．牛頭和尚》：「四祖曰：『汝學為有求？為無求耶？』」_x000D_
[助]_x000D_
1.用於句中的賓語倒裝。《孟子．告子上》：「使奕秋誨二人奕，其一人專心致志，惟奕秋之為聽。」《荀子．禮論》：「故人苟生之為見，若者必死；苟利之為見，若者必害。」_x000D_
2.用於句末，表示疑問、反詰的意思。《論語．顏淵》：「君子質而已矣，何以文為？」《楚辭．屈原．漁父》：「何故深思高舉，自令放為？」_x000D_
3.用於句末，表示感嘆的意思。《莊子．逍遙遊》：「歸休乎君，予无所用天下為！」_x000D_
4.表示程度加深或範圍擴大。如：「極為鮮明」、「廣為流傳」。《老殘遊記》第三回：「只有中間掛著一幅中堂，只畫了一個人，彷彿列子御風的形狀，衣服冠帶均被風吹起，筆力甚為遒勁。」《文明小史》第四一回：「等到上去之後，碰頭起來，上頭看他一臉的連鬢大鬍子，龍心大為不悅。」_x000D_
[名]_x000D_
姓。如漢代有為昆。</t>
  </si>
  <si>
    <t>(二)ㄨㄟˋ wèi（11422）</t>
  </si>
  <si>
    <t>鄬</t>
  </si>
  <si>
    <t>[名]
地名。春秋時鄭地。故址約在今河南省魯山縣境內。</t>
  </si>
  <si>
    <t>韋</t>
  </si>
  <si>
    <t>[名]
1.去毛加工製成的柔軟獸皮。《楚辭．屈原．卜居》：「將突梯滑稽，如脂如韋，以潔楹乎？」
2.姓。如唐代有韋應物。
3.二一四部首之一。</t>
  </si>
  <si>
    <t>幃</t>
  </si>
  <si>
    <t>[名]
1.香囊。《楚辭．屈原．離騷》：「椒專佞以慢慆兮，樧又欲充夫佩幃。」
2.帳幕。通「帷」。《後漢書．卷四九．仲長統傳》：「垂露成幃，張霄成幄。」唐．李白〈春思〉詩：「春風不相識，何事入羅幃？」</t>
  </si>
  <si>
    <t>圍</t>
  </si>
  <si>
    <t>[動]
1.從四周攔擋、包攏。如：「團團圍住」。《左傳．僖公五年》：「八月甲午，晉侯圍上陽。」《史記．卷八．高祖本紀》：「東至咸陽，引兵圍雍王廢丘。」
2.環繞。如：「圍繞」。《莊子．則陽》：「精至於无倫，大至於不可圍。」《紅樓夢》第五九回：「賈珍騎馬，率領眾家丁圍護。」
3.防守。《公羊傳．莊公十年》：「戰不言伐，圍不言戰。」唐．韓愈〈張中丞傳後敘〉：「當其圍守時，外無蚍蜉蟻子之援，所欲忠者，國與主耳。」
[名]
1.四周、周邊的大小長度。如：「周圍」、「外圍」。《周禮．冬官考工記．鳧氏》：「以其鉦之長為之甬長，以其甬長為之圍，參分其圍，去一以為衡圍。」明．徐弘祖《徐霞客遊記．卷三下．粵西遊日記二》：「道旁有空樹一圓，出地尺五，圍大五尺，中貯水一泓。」
2.遮蔽用的布類。如：「床圍」、「轎圍」。
3.量詞：(1)計算兩隻手的拇指和食指合圍的圓周長度的單位。如：「這個茶壺約有二圍大小。」(2)計算兩隻胳膊合抱長度的單位。如：「十圍粗的大樹。」《莊子．人間世》：「匠石之齊，至於曲轅，見櫟社樹。其大蔽數千牛，絜之百圍。」唐．杜甫〈古柏行〉：「霜皮溜雨四十圍，黛色參天二千尺。」
4.戰事的包擋陣勢。如：「突圍」。《史記．卷五六．陳丞相世家》：「高帝用陳平奇計，便單于閼氏，圍以得開。」</t>
  </si>
  <si>
    <t>違</t>
  </si>
  <si>
    <t>[動]
1.離開、離別。如：「久違」、「睽違」。唐．喬知之〈擬古贈陳子昂〉詩：「節物感離居，同衾違故鄉。」
2.距離、相距。《左傳．哀公二十七年》：「乃救鄭，及留舒，違穀七里，穀人不知。」《禮記．中庸》：「忠恕違道不遠，施諸己而不願，亦勿施於人。」
3.反、背。如：「違約」、「違命」、「違法」。《孟子．梁惠王上》：「不違農時，穀不可勝食也。」《文選．嵇康．幽憤詩》：「事與願違，遘茲淹留。」
4.避開。《易經．乾卦》：「文言曰：『樂則行之，憂則違之。』」《遼史．卷三二．營衛志中》：「秋冬違寒，春夏避暑，隨水草就畋漁，歲以為常。」
[名]
過失、邪行。《左傳．桓公二年》：「君人者，將昭德塞違，以臨照百官，猶懼或失之。」《樂府詩集．卷七三．雜曲歌辭十三．古辭．焦仲卿妻》：「十七遣汝嫁，謂言無誓違。」</t>
  </si>
  <si>
    <t>闈</t>
  </si>
  <si>
    <t>[名]
1.宮中的旁門。《左傳．哀公十四年》：「子我歸，屬徒攻闈與大門，皆不勝，乃出。」《文選．張衡．西京賦》：「天梁之宮，寔開高闈。」
2.宮內后妃所住的地方。《後漢書．卷一〇．皇后紀上．序》：「后正位宮闈，同體天王。」《宋書．卷四一．后妃傳．孝武文穆王皇后傳》：「庶儀發椒，闈化動中。」
3.內室、父母居住的房間。借指父母親。晉．束晳〈補亡詩．南陔〉：「眷戀庭闈，心不遑留。」
4.考試的場所。如：「春闈」、「秋闈」。唐．劉長卿〈送孫瑩京監擢第歸蜀覲省〉詩：「禮闈稱獨步，太學許能文。」
5.考試時辦理命題、印試卷的場所。如：「出闈」、「入闈」、「闈場」。</t>
  </si>
  <si>
    <t>惟</t>
  </si>
  <si>
    <t>[動]
1.思考、思量。《說文解字．心部》：「惟，凡思也。」《史記．卷一三〇．太史公自序》：「退而深惟曰：『夫詩書隱約者，欲遂其志之思也。』」《文選．楊惲．報孫會宗書》：「竊恨足下不深惟其終始，而猥隨俗之毀譽也。」
2.是、為。《書經．益稷》：「萬邦黎獻，共惟帝臣。」
3.有。《禮記．緇衣》：「自周有終，相亦惟終。」《文選．張衡．東京賦》：「召伯相宅，卜惟洛食。」
[副]
1.僅、獨、只有。《孟子．梁惠王上》：「無恆產而有恆心者，惟士為能。」
2.但是、只是。如：「病已治好，惟身體仍然虛弱無力。」
3.希望、祈使。《孟子．梁惠王下》：「先王無流連之樂，荒亡之行，惟君所行也。」《新唐書．卷一一五．郝處俊傳》：「處俊言可從，惟陛下不疑。」
[助]
1.發語詞，無義。通「唯」、「維」。《書經．泰誓上》：「惟十有一年，武王伐殷。」《孟子．滕文公下》：「惟士無田，則亦不祭。」
2.用於句中，無義。《書經．皋陶謨》：「百僚師師，百工惟時。」
[連]
1.雖然、即使。《史記．卷九二．淮陰侯傳》：「惟信亦為大王不如也。然臣嘗事之，請言項王之為人也。」
2.與、和。《書經．多方》：「告爾四國多方，惟爾殷侯尹民。」
3.則。《書經．呂刑》：「德威惟畏，德明惟明。」
[介]
以、因為。《書經．盤庚中》：「亦惟汝故，以丕從厥志。」</t>
  </si>
  <si>
    <t>唯</t>
  </si>
  <si>
    <t>[副]
1.獨、只有。通「惟」。《易經．同人卦．彖曰》：「唯君子為能通天下之志。」《楚辭．屈原．離騷》：「芳與澤其雜糅兮，唯昭質其猶未虧。」
2.以、因為。《左傳．僖公二年》：「冀之既病，則亦唯君故。」《禮記．檀弓下》：「予唯不食嗟來之食以至於斯也。」
3.希望、祈使。《史記．卷八一．廉頗藺相如傳》：「臣請就湯鑊，唯大王與群臣孰計議之。」《漢書．卷九七．外戚傳下．孝成趙皇后傳》：「陛下未有繼嗣，子無貴賤，唯留意！」
4.聽任、聽隨。《左傳．僖公十五年》：「唯所納之，無不如志。」《莊子．說劍》：「然臣有三劍，唯王所用，請先言而後試。」
[連]
雖。通「惟」。《荀子．性惡》：「今以仁義法正為固無可知可能之理邪？然則唯禹不知仁義法正，不能仁義法正也。」《史記．卷一二〇．汲黯傳》：「弘、湯深心疾黯，唯天子亦不說也。」
[助]
發語詞，無義。通「惟」、「維」。《論語．述而》：「互鄉難與言，童子見，門人惑。子曰：『與其進也，不與其退也，唯何甚！』」《漢書．卷四〇．張良傳》：「今乃立六國後，唯無復立者。」</t>
  </si>
  <si>
    <t>(二)ㄨㄟˇ wěi（11402）</t>
  </si>
  <si>
    <t>帷</t>
  </si>
  <si>
    <t>[名]
帳幕。如：「車帷」、「帷幕」。《史記．卷一二六．滑稽傳．褚少孫補西門豹傳》：「為治齋宮河上，張緹絳帷，女居其中。」《新唐書．卷二〇五．列女傳．房玄齡妻盧傳》：「盧泣入帷中，剔一目示玄齡，明無它。」</t>
  </si>
  <si>
    <t>維</t>
  </si>
  <si>
    <t>[名]
1.繫物的粗繩子。《說文解字．糸部》：「維，車蓋維也。」《儀禮．大射》：「中離維綱。」唐．賈公彥．疏：「綱與維皆用繩為之。」
2.法度、綱要。《後漢書．卷六六．陳蕃傳》：「人君者，攝天地之政，秉四海之維。」《文選．司馬遷．報任少卿書》：「不以此時引綱維，盡思慮。」
3.細長的東西。如：「纖維」。
4.姓。如漢代有維汜。
[動]
1.繫、拴。《儀禮．士相見禮》：「飾之以布，維之以索。」唐．元稹〈大觜鳥〉詩：「白鶴門外養，花鷹架上維。」
2.連結。《周禮．夏官．大司馬》：「建牧立監，以維邦國。」
3.保持、護全。如：「維持」、「維護」。《韓非子．心度》：「故民樸而禁之以名，則治，世知維之以刑，則從。」
[副]
僅、只有。《詩經．小雅．谷風》：「將恐將懼，維予與女。」《史記．卷二．夏本紀》：「毋若丹朱傲，維慢游是好，毋水行舟，朋淫于家，用絕其世。」
[助]
置於句首或句中的語氣詞，無義。通「惟」、「唯」。《詩經．召南．鵲巢》：「維鵲有巢，維鳩居之。」唐．王勃〈滕王閣序〉：「時維九月，序屬三秋。」</t>
  </si>
  <si>
    <t>濰</t>
  </si>
  <si>
    <t>參見「濰河」條。</t>
  </si>
  <si>
    <t>嵬</t>
  </si>
  <si>
    <t>[形]
1.高而不平的樣子。如：「崔嵬」。
2.狂妄的樣子。參見「嵬說」條。</t>
  </si>
  <si>
    <t>魏</t>
  </si>
  <si>
    <t>[形]
高大的樣子。同「巍」。《史記．卷三九．晉世家》：「萬，盈數也；魏，大名也。」裴駰集解引服虔曰：「魏喻巍。巍，高大也。」</t>
  </si>
  <si>
    <t>(一)ㄨㄟˋ wèi（11444）</t>
  </si>
  <si>
    <t>巍</t>
  </si>
  <si>
    <t>[形]
高大。《說文解字．嵬部》：「巍，高也。」《文選．張衡．思玄賦》：「瞻崑崙之巍巍兮，臨縈河之洋洋。」《紅樓夢》第一七回：「則見崇閣巍峨，層樓高起。」</t>
  </si>
  <si>
    <t>[動]
1.隱匿。《說文解字．彳部》：「微，隱行也。」《左傳．哀公十六年》：「白公奔山而縊，其徒微之。」
2.無、沒。《論語．憲問》：「微管仲，吾其被髮左衽矣。」《史記．卷八七．李斯傳》：「微趙君，幾為丞相所賣。」
3.非、不是。《詩經．邶風．柏舟》：「微我無酒，以敖以遊。」《呂氏春秋．離俗覽．離俗》：「然而以理義斲削，神農黃帝猶有可非，微獨舜湯。」
[形]
1.精妙幽深。《書經．大禹謨》：「人心惟危，道心惟微，惟精惟一，允執厥中。」《禮記．學記》：「其言也，約而達，微而臧。」
2.細小。如：「細微」、「具體而微」。
3.卑賤。如：「人微言輕」、「出身寒微」。《史記．卷九．呂太后本紀》：「呂太后者，高祖微時妃也。」《聊齋志異．卷一〇．臙脂》：「而又念其出身微，且日登公堂，為千人所窺指。」
4.衰落。如：「衰微」。《詩經．邶風．式微》：「式微式微，胡不歸？」《史記．卷三二．齊太公世家》：「是時周室微，唯齊、楚、秦、晉為彊。」
5.少。《禮記．祭義》：「雖有奇邪而不治者，則微矣。」
6.昏暗不明。《詩經．小雅．十月之交》：「彼月而微，此日而微。」《文選．謝靈運．石壁精舍還湖中作詩》：「出谷日尚早，入舟陽已微。」
[副]
1.暗中、祕密。如：「微行」。《漢書．卷四五．伍被傳》：「淮南王陰有邪謀，被數微諫。」唐．柳宗元〈童區寄傳〉：「童微伺其睡，以縳背刃，力上下得絕。」
2.伺探。《史記．卷一二．孝武本紀》：「使人微得趙綰等姦利事，召案綰、臧，綰臧自殺。」《漢書．卷九二．游俠傳．郭解傳》：「解使人微知賊處。賊窘自歸，具以實告解。」
3.稍、略。如：「稍微」、「略微」。《漢書．卷九九．王莽傳上》：「莽色厲而言方，欲有所為，微見風采，黨與承其指意而顯奏之。」《文選．宋玉．登徒子好色賦》：「含喜微笑，竊視流眄。」
[名]
姓。如春秋時魯國有微虎。</t>
  </si>
  <si>
    <t>(二)（又音）ㄨㄟ wēi（11369）</t>
  </si>
  <si>
    <t>薇</t>
  </si>
  <si>
    <t>[名]
植物名：(1)紫萁科紫萁屬，多年生草本，高五十至八十公分。葉叢生，有孢子葉與營養葉之分，營養葉三角狀卵形，二回羽狀複葉，小羽片全緣，游離脈；孢子葉全部或部分羽片著生孢子囊。幼嫩時可供食用，多生於山野向陽草地。也稱為「紫萁」。(2)豆科蠶豆屬，「苕子」、「大巢菜」之古稱，參見「苕子」條。</t>
  </si>
  <si>
    <t>ㄨㄟˇ</t>
  </si>
  <si>
    <t>wěi</t>
  </si>
  <si>
    <t>[名]
1.鳥獸蟲魚等脊椎末梢突出的部分。如：「尾巴」、「魚尾」。《三國志．卷一八．魏書．許褚傳》：「褚乃出陳前，一手逆曳牛尾，行百餘步。」
2.量詞。計算魚的數量的單位。如：「一尾魚」。唐．柳宗元〈游黃溪記〉：「有魚數百尾，方來會石下。」
3.最後、末端。如：「結尾」、「年尾」、「月尾」、「首尾」、「有頭有尾」。
[形]
1.末端的、後面的。如：「尾聲」、「尾舵」。
2.殘餘的、主要部分以外的。如：「尾數」、「尾款」。
[動]
1.追隨、跟著。《儒林外史》第一三回：「差人見那人出神，叫宦成坐著，自己悄悄尾了那人去。」
2.鳥獸交配。《列子．黃帝》：「雄雌在前，孳尾成群。」</t>
  </si>
  <si>
    <t>(二)（又音）ㄧˇ yǐ（10563）</t>
  </si>
  <si>
    <t>娓</t>
  </si>
  <si>
    <t>[動]
順從。《說文解字．女部》：「娓，順也。」《廣韻．去聲．至韻》：「娓，從也。」
[形]
美。《玉篇．女部》：「娓，美也。」
[副]
勤勉不倦的樣子。參見「娓娓」條。</t>
  </si>
  <si>
    <t>艉</t>
  </si>
  <si>
    <t>[名]
造船工程上指船體的尾部。</t>
  </si>
  <si>
    <t>[動]_x000D_
1.任命、託付。如：「委以官職」、「委身於人」。《資治通鑑．卷二三九．唐紀五十五．憲宗元和八年》：「以伯靖為歸州司馬，委荊南軍前驅使。」《二十年目睹之怪現狀》第四二回：「衙門裡幾位老夫子都弄不好，就委了方伯，方伯又轉委我。」_x000D_
2.捨棄。《孟子．公孫丑下》：「米粟非不多也，委而去之，是地利不如人和也。」唐．白居易〈長恨歌〉：「花鈿委地無人收，翠翹金雀玉搔頭。」_x000D_
3.推託、推卸。如：「委過於人」、「推委責任」。《晉書．卷一〇六．石季龍載記上》：「此政之失和，朕之不德，而欲委咎守宰，豈禹湯罪己之義耶？」_x000D_
4.累積、聚積。《公羊傳．桓公十四年》：「御廩者何？粢盛委之所藏也。」漢．揚雄〈甘泉賦〉：「儐暗藹兮降清壇，瑞穰穰兮委如山。」_x000D_
5.枯萎憔悴。三國魏．曹植〈贈丁儀詩〉：「黍稷委疇隴，農夫安所獲？」南朝齊．謝朓〈暫使下都夜發新林至京邑贈西府同僚〉詩：「時菊委嚴霜，寄言尉羅者。」_x000D_
6.放置。《戰國策．燕策三》：「是以委肉當餓虎之蹊，禍必不振矣。」南朝宋．劉義慶《世說新語．雅量》：「羊了不眄，唯腳委几上，詠囑自若。」_x000D_
[形]_x000D_
1.疲困、頹喪的。如：「委靡不振」。_x000D_
2.曲折的。如：「委婉」。_x000D_
3.細小的。參見「委瑣」條。_x000D_
[副]_x000D_
確實。《西遊記》第二六回：「弟子委偷了他三個，弟兄們分喫了。」清．洪昇《長生殿》第九齣：「朕委無聊賴，且到宮門外閒步片時。」_x000D_
[名]_x000D_
1.事情的終了。如：「窮源竟委」。唐．元稹〈和李校書新題樂府．驃國樂〉：「教化從來有源委，必將泳海先泳河。」_x000D_
2.委員的簡稱。如：「立委」、「監委」、「主委」。_x000D_
3.姓。如漢代有委進。</t>
  </si>
  <si>
    <t>(二)ㄨㄟ wēi（11354）</t>
  </si>
  <si>
    <t>參見「萎蕤」條。</t>
  </si>
  <si>
    <t>(一)ㄨㄟ wēi（11356）</t>
  </si>
  <si>
    <t>痿</t>
  </si>
  <si>
    <t>[名]
1.一種肌肉麻痺萎縮，不能行動自如的病。《黃帝內經素問．卷一二．痿論》：「居處相濕，肌肉濡漬，痹而不仁，發為肉痿。」
2.男子生殖器不能堅舉的病症。</t>
  </si>
  <si>
    <t>諉</t>
  </si>
  <si>
    <t>[動]
1.連累。《漢書．卷六七．胡建傳》：「執事不諉上，臣謹以斬，昧死以聞。」《新唐書．卷一六七．王播傳》：「訓敗，起素長厚，人不以訓諉之，止罷其判。」
2.推卸、推託。通「委」。如：「推諉」、「大丈夫做事，決不諉卸別人。」《漢書．卷四八．賈誼傳》：「然尚有可諉者，曰疏，臣請試言其親者。」《新唐書．卷一二四．姚崇傳》：「殺蟲救人，禍歸於崇，不以諉公也！」</t>
  </si>
  <si>
    <t>洧</t>
  </si>
  <si>
    <t>參見「洧河」條。</t>
  </si>
  <si>
    <t>痏</t>
  </si>
  <si>
    <t>[名]
瘡。《呂氏春秋．仲冬季．至忠》：「齊王疾痏，使人之宋迎文摯，文摯至，視王之疾。」明．方孝孺〈指喻〉：「而可以為天下患者，豈特瘡痏之於指乎？」</t>
  </si>
  <si>
    <t>鮪</t>
  </si>
  <si>
    <t>[名]
動物名。脊椎動物亞門硬骨魚綱鱸形目。身體呈紡綞形，背藍黑色，腹灰白色，吻尖長，尾鰭呈深叉形，游泳速度極快，多分布於溫帶或熱帶海洋中。</t>
  </si>
  <si>
    <t>[名]
對於尊長的應答之詞，表示恭敬的意思。《禮記．曲禮上》：「父召無諾，先生召無諾，唯而起。」漢．東方朔〈非有先生論〉：「意者寡人殆不明乎，非有先生伏而唯唯。」</t>
  </si>
  <si>
    <t>(一)ㄨㄟˊ wéi（11383）</t>
  </si>
  <si>
    <t>偉</t>
  </si>
  <si>
    <t>[形]
1.奇異的。《說文解字．人部》：「偉，奇也。」《管子．任法》：「無偉服，無奇行。」
2.盛壯、卓越。如：「偉績」、「豐功偉業」。《莊子．大宗師》：「偉哉，天造物者！將以予為此拘拘也。」《文選．左思．詠史詩八首之二》：「馮公豈不偉？白首不見招。」
3.高大。《後漢書．卷一九．耿弇傳》：「有偉體，腰帶八圍。」晉．潘尼〈桑樹賦〉：「觀茲樹之特偉，感先皇之攸植。」
[名]
姓。如漢代有偉璋。</t>
  </si>
  <si>
    <t>煒</t>
  </si>
  <si>
    <t>[形]
1.光亮的樣子。《說文解字．火部》：「煒，盛明貌。」
2.深紅。《詩經．邶風．靜女》：「彤管有煒，說懌女美。」漢．毛亨．傳：「煒，赤貌。」</t>
  </si>
  <si>
    <t>瑋</t>
  </si>
  <si>
    <t>[名]
美玉。《集韻．上聲．尾韻》：「瑋，美玉。」
[形]
珍奇的。《文選．宋玉．神女賦》：「瑰姿瑋態，不可勝贊。」《文選．陸機．辯亡論上》：「明珠瑋寶，耀於內府。」
[動]
讚美、誇耀。《後漢書．卷六七．黨錮傳．李膺傳》：「梁惠王瑋其照乘之珠，齊威王答以四臣。」《文選．左思．吳都賦》：「而吾子言蜀都之富，禺同之有，瑋其區域，美其林藪。」</t>
  </si>
  <si>
    <t>葦</t>
  </si>
  <si>
    <t>[名]
1.參見「蘆葦」條。
2.一種船身窄長如葦草的小舟。宋．蘇軾〈赤壁賦〉：「縱一葦之所如，凌萬頃之茫然。」</t>
  </si>
  <si>
    <t>暐</t>
  </si>
  <si>
    <t>[形]
光輝的樣子。《集韻．上聲．尾韻》：「暐，光盛貌。」南朝梁．江淹〈蕭被尚書敦勸重讓表〉：「不謂過延渥洽，謬攀河漢，榮宗蒕葐，寵華暐映。」唐．白居易〈讀史〉詩五首之三：「春華何暐曄，園中發桃李。」</t>
  </si>
  <si>
    <t>緯</t>
  </si>
  <si>
    <t>[名]_x000D_
1.織布時用梭穿織的橫紗或編織物的橫線。《左傳．昭公二十四年》：「嫠不恤其緯，而憂宗周之隕。」南朝梁．劉孝威〈鄀縣遇見人織率爾寄婦〉詩：「經稀疑杼澀，緯斷恨絲輕。」_x000D_
2.地理學上指假定跟赤道平行的線。以赤道為基準，南北各分九十度，以北稱為「北緯」，以南稱為「南緯」。_x000D_
3.緯書的簡稱。《漢書．卷七五．眭兩夏侯京翼李傳．李尋》：「五經六緯，尊術顯士。」《三國志．卷四二．蜀書．杜周杜許孟來尹李譙郤傳．譙周》：「治尚書，兼通諸經及圖緯。」_x000D_
4.樂器的弦。《楚辭．劉向．九歎．愍命》：「破伯牙之號鍾，挾人箏而彈緯。」_x000D_
[動]_x000D_
1.編織。《莊子．列禦寇》：「河上有家貧，恃緯蕭而食者。」唐．陸德明《經典釋文．卷二八．莊子音義下》：「緯，織也。蕭，荻蒿也。織蕭以為畚而賣之。」_x000D_
2.治理。如：「緯世經國」。《北史．卷八三．文苑列傳．序》：「經邦緯俗，藏用於百代。」</t>
  </si>
  <si>
    <t>韙</t>
  </si>
  <si>
    <t>[名]
對、是。《左傳．隱公十一年》：「犯五不韙，而以伐人，其喪師也，不亦宜乎？」《漢書．卷一〇〇．敘傳下》：「亡德不報，爰存二代，宰相外戚，昭韙見戒。」</t>
  </si>
  <si>
    <t>韡</t>
  </si>
  <si>
    <t>[形]
光明盛大的樣子。《詩經．小雅．常棣》：「常棣之華，鄂不韡韡。」南朝梁．劉勰《文心雕龍．才略》：「並楨幹之實才，非群華之韡萼也。」</t>
  </si>
  <si>
    <t>猥</t>
  </si>
  <si>
    <t>[形]_x000D_
1.眾多。《漢書．卷二九．溝洫志》：「聞禹治河時，本空此地，以為水猥，盛則放溢。」《後漢書．卷四九．王充王符仲長統列傳．仲長統》：「所恃者寡，所取者猥。」_x000D_
2.龐雜、混亂。《梁書．卷四六．列傳．杜崱》：「以霸先既非貴素，兵又猥雜。」《資治通鑑．卷七四．魏紀六．邵陵厲公正始五年》：「時戰國多事，公務煩猥。」_x000D_
3.鄙陋、微賤。《抱朴子．外篇．百里》：「庸猥之徒，器小志近。」北齊．顏之推《顏氏家訓．風操》：「今南北風俗，言其祖及二親，無云家者；田里猥人，方有此言耳。」_x000D_
[副]_x000D_
忽然。《公羊傳．成公十八年》：「晉殺其大夫胥童。」漢．何休．解詁：「厲公猥殺四大夫。」漢．馬融〈長笛賦〉：「於是山水猥至，渟涔障潰。」_x000D_
[動]_x000D_
累積。《漢書．卷五六．董仲舒傳》：「科別其條，勿猥勿并，取之於術，慎其所出。」晉．桓玄〈沙汰眾僧教〉：「避役鐘于百里，逋逃盈于寺廟，乃至一縣數千，猥成屯落。」</t>
  </si>
  <si>
    <t>蒍</t>
  </si>
  <si>
    <t>[名]
1.一種草。《說文解字．艸部》：「蒍，艸也。」
2.地名。春秋時楚國的邑城。
3.姓。如春秋時楚有蒍賈。</t>
  </si>
  <si>
    <t>骫</t>
  </si>
  <si>
    <t>[形]
骨頭彎曲的樣子。《玉篇．骨部》：「骫，骨曲也。」
[動]
1.枉曲、委曲。《呂氏春秋．孝行覽．必己》：「尊則虧，直則骫，合則離。」《漢書．卷四四．淮南厲王劉長傳》：「皇帝骫天下正法而許大王，甚厚。」
2.聚集。漢．揚雄《太玄經．卷五．積》：「測曰小人積非，禍所骫也。」</t>
  </si>
  <si>
    <t>隗</t>
  </si>
  <si>
    <t>[形]
高。同「嵬」。《說文解字．𨸏部》：「隗，高也。」
[名]
姓。如漢代有隗囂。</t>
  </si>
  <si>
    <t>頠</t>
  </si>
  <si>
    <t>[形]
安靜。《爾雅．釋詁上》：「頠，靜也。」</t>
  </si>
  <si>
    <t>壝</t>
  </si>
  <si>
    <t>[名]
有矮牆圍繞的壇。《周禮．地官．大司徒》：「設其社稷之壝，而樹之田主。」</t>
  </si>
  <si>
    <t>參見「亹亹」條。</t>
  </si>
  <si>
    <t>(二)ㄇㄣˊ mén（01255A）</t>
  </si>
  <si>
    <t>斖</t>
  </si>
  <si>
    <t>同「亹」。</t>
  </si>
  <si>
    <t>未</t>
  </si>
  <si>
    <t>ㄨㄟˋ</t>
  </si>
  <si>
    <t>wèi</t>
  </si>
  <si>
    <t>[名]
1.地支的第八位。
2.時辰名。約當下午一點到三點。
3.姓。如漢代有未央。
[副]
1.不。表示否定的意思。如：「火車誤點了，所以未能準時到達。」唐．溫庭筠〈楊柳〉詩八首之八：「塞門三月猶蕭索，縱有垂楊未覺春。」
2.沒有。如：「革命尚未成功，同志仍須努力。」《文選．諸葛亮．出師表》：「先帝創業未半，而中道崩殂。」《聊齋志異．卷六．蕭七》：「有幼女未字，欲充下陳，幸垂援拾。」
3.放於句末，表示疑問的意思。相當於「否」。唐．王維〈雜詩〉三首之二：「來日綺窗前，寒梅著花未？」宋．陸游〈劍門道中遇微雨〉詩：「此身合是詩人未？細雨騎驢入劍門！」</t>
  </si>
  <si>
    <t>味</t>
  </si>
  <si>
    <t>[名]
1.舌頭嘗東西所得到的感覺。如：「食不知味」、「酸、甜、苦、辣、鹹稱為五味。」《孫子．勢》：「味不過五，五味之變不可勝嘗也。」
2.鼻子聞東西所得到的感覺。如：「香味」、「怪味」、「臭味」。
3.感受、旨趣、意義。如：「趣味」、「禪味」。南朝梁．劉勰《文心雕龍．宗經》：「是以往者雖舊，餘味日新。」《紅樓夢》第一回：「滿紙荒唐言，一把辛酸淚，都云作者痴，誰解其中味？」
4.量詞。計算食物或中藥的單位。如：「菜五味」、「藥八味」。《左傳．哀公元年》：「昔闔盧食不二味，居不重席。」《儒林外史》第一一回：「改用一個丸劑的方子，加入幾味袪風的藥。」
5.菜餚。如：「山珍海味」。《後漢書．卷一．光武帝紀下》：「往年已敕郡國，異味不得有所獻御，今猶未止，非徒有豫養尊擇之勞。」
[動]
1.品嘗。《荀子．哀公》：「黼衣黻裳者不茹葷，非口不能味也，服使然也。」
2.研究、體察。如：「玩味」、「耐人尋味」。《文選．班固．答賓戲》：「委命供己，味道之腴。」《三國志．卷四五．蜀書．楊戲傳》：「抗志存義，味覽典文。」</t>
  </si>
  <si>
    <t>位</t>
  </si>
  <si>
    <t>[名]
1.所在的地方。如：「方位」、「座位」。《左傳．成公十七年》：「矯以戈殺駒伯苦成叔於其位。」
2.官職。如：「不計名位」。《論語．泰伯》：「不在其位，不謀其政。」唐．韓愈〈師說〉：「位卑則足羞，官盛則近諛。」
3.等級。如：「爵位」、「體位」。《周禮．天官．大宰》：「以八則治都鄙……四曰祿位，以馭其士。」
4.事物的準則。如：「單位」、「本位」。
5.對人的尊稱。如：「諸位」、「列位」、「幾位長輩」。《水滸傳》第一九回：「我有片言，不知眾位肯依我麼？」
6.量詞。計算人數的單位。多含敬意。如：「十位客人」、「五位老師」。
[動]
1.處、在。如：「中國位於亞洲的東南方。」《列子．天瑞》：「教化者不能違所宜，宜定者不出所位。」
2.安排。參見「位置」條。</t>
  </si>
  <si>
    <t>[介]_x000D_
1.因，表示原因。如：「為何不去？」「為什麼你不贊成？」《荀子．天論》：「天行有常，不為堯存，不為桀亡。」《老殘遊記》第一五回：「方纔為這一個毛丫頭的事，商議了半天，正經勾當，我的煙還沒吃好。」_x000D_
2.替、幫，用以引出動作的服務對象。如：「為民服務」、「為國增光」。《論語．學而》：「曾子曰：『吾日三省吾身：為人謀而不忠乎？與朋友交而不信乎？傳不習乎？』」《三國演義》第二一回：「吾面過君，又蒙丞相鈞語。今別無他議，公可速回，為我稟覆丞相。」_x000D_
3.與、同。《論語．衛靈公》：「道不同不相為謀。」北魏．酈道元《水經注．汾水注》：「辛貌醜，妻不為言，與之如皋，射雉雙中之則笑也。」晉．陶淵明〈桃花源記〉：「此中人語云，不足為外人道也。」唐．韓愈〈答李翊書〉：「不可不為生言之，生所謂立言者是也。」_x000D_
4.為了，表示行動的目的。如：「為正義而戰」。《樂府詩集．卷二五．橫吹曲辭五．古辭．木蘭詩二首之一》：「願為市鞍馬，從此替爺征。」《醒世恆言．卷一〇．劉小官雌雄兄弟》：「不忍之心，人皆有之。救人一命，勝造七級浮屠，若說報答，就是為利了。」_x000D_
[動]_x000D_
幫助。《詩經．大雅．鳧鷖》：「公尸燕飲，福祿來為。」《韓非子．二柄》：「越官則死，不當則罪，守業其官，所言者貞也，則群臣不得朋黨相為矣。」_x000D_
[副]_x000D_
將。《詩經．豳風．七月》：「嗟我婦子，曰為改歲，入此室處。」《孟子．梁惠王下》：「克告於君，君為來見也。」</t>
  </si>
  <si>
    <t>(一)ㄨㄟˊ wéi（11375）</t>
  </si>
  <si>
    <t>偽</t>
  </si>
  <si>
    <t>[動]
人為。《荀子．性惡》：「人之性惡，其善者偽也。」漢．王充《論衡．明雩》：「天至賢矣，時未當雨，偽請求之，故妄下其雨，人君聽請之類也。」
[副]
假裝。《隋書．卷七〇．李密傳》：「密知化及糧且盡，因偽與和，以敝其眾。」
[形]
1.假的。如：「偽鈔」、「偽證」。
2.竊據的、不合法的。如：「偽政權」。《文選．李密．陳情表》：「臣少仕偽朝，歷職郎署。」唐．皮日休〈題後魏釋老志〉：「則收之為是，媚於偽齊之君耶。」</t>
  </si>
  <si>
    <t>畏</t>
  </si>
  <si>
    <t>[動]
1.恐懼、害怕。如：「人言可畏」。《易經．震卦．象曰》：「雖凶無咎，畏鄰戒也。」《老子》第七四章：「民不畏死，奈何以死懼之？」
2.敬服。《論語．子罕》：「後生可畏。焉知來者之不如今也。」《漢書．卷三四．黥布傳》：「布善用兵，民素畏之。」
[形]
可怕的。《莊子．達生》：「夫畏塗者，十殺一人，則父子兄弟相戒也。」</t>
  </si>
  <si>
    <t>喂</t>
  </si>
  <si>
    <t>[嘆]_x000D_
用來引起注意或招呼的語詞。如：「喂！你上哪兒去？」《永樂大典戲文三種．張協狀元．第八出》：「喂！客長，相待過嶺歇子。」《兒女英雄傳》第四回：「喂！有四百錢的酒錢呢！」_x000D_
[動]_x000D_
餵養。《元史．卷一九七．孝友列傳一．張恭》：「母有疾，恭手除溷穢，喂哺飲食，且嘗糞以驗疾勢。」《西遊記》第四回：「似堂尊到任之後，這等慇懃，喂得馬肥，只落得道聲『好』字。」《醒世姻緣傳》第二六回：「外面多多的盛出飯去，吃不了的，大盆傾在草裡喂馬。」</t>
  </si>
  <si>
    <t>餵</t>
  </si>
  <si>
    <t>[動]_x000D_
1.將食物送進人的嘴裡。如：「餵奶」、「餵飯」。元．高文秀《黑旋風》第三折：「你看這呆廝，口裡只管篤篤喃喃的說著許多說話，既然有飯，快拏將來餵他些罷。」_x000D_
2.拿食物給動物吃。如：「餵雞」、「餵豬」。《文明小史》第四回：「到底人家的馬，漠不關心，並不當心餵草餵料。」</t>
  </si>
  <si>
    <t>胃</t>
  </si>
  <si>
    <t>[名]
1.動物的消化器官之一。形狀像口袋，上端與食道相連，下端與十二指腸相連。能分泌胃液，消化食物。
2.姓。如明代有胃宗海。</t>
  </si>
  <si>
    <t>渭</t>
  </si>
  <si>
    <t>參見「渭河」條。</t>
  </si>
  <si>
    <t>媦</t>
  </si>
  <si>
    <t>[名]
稱謂。楚人稱妹妹為「媦」。後來各地亦沿用。《公羊傳．桓公二年》：「若楚王之妻媦，無時焉可也。」《新唐書．卷八三．諸帝公主傳．世祖一女傳》：「同安公主，高祖同母媦也。」</t>
  </si>
  <si>
    <t>蝟</t>
  </si>
  <si>
    <t>[名]
動物名。脊椎動物哺乳綱食蟲目。形狀像鼠而較肥大，通體生毛，尖銳如針，能攢起如矢。穴土而居，晝伏夜出，以田間害蟲為食。俗稱為「刺蝟」。</t>
  </si>
  <si>
    <t>謂</t>
  </si>
  <si>
    <t>[動]
1.評論。《論語．八佾》：「子謂韶，盡美矣。」
2.告訴。《論語．雍也》：「子謂子夏曰：『女為君子儒，無為小人儒。』」《韓非子．說林上》：「魯人身善織屨，妻善織縞，而欲徙於越。或謂之曰：『子必窮矣。』」
3.說。《詩經．衛風．河廣》：「誰謂河廣，一葦杭之。」唐．杜甫〈上後園山腳〉詩：「勿謂地無疆，劣於山有陰。」
4.稱呼、叫做。《詩經．王風．葛藟》：「終遠兄弟，謂他人父。」《孟子．梁惠王上》：「文王以民力為臺為沼而民歡樂之，謂其臺曰靈臺，謂其沼曰靈沼。」
5.認為、以為。《左傳．僖公二十四年》：「臣謂君之入也，其知之矣。」《三國志．卷四七．吳書．吳主傳》：「張昭、周瑜等謂權可與共成大業，故委心而服事焉。」
6.奈。《詩經．邶風．北門》：「天實為之，謂之何哉！」《戰國策．齊策一》：「受薛於先王，雖惡於後王，吾獨謂先王何乎？」
7.是。通「為」。《詩經．小雅．賓之初筵》：「醉而不出，是謂伐德。」《左傳．僖公五年》：「一之謂甚，其可再乎？」
8.使、讓。《詩經．小雅．出車》：「自天子所，謂我來矣。」《左傳．昭公十六年》：「今吾子以好來辱，而謂敝邑背盟誓也，毋乃不可乎？」
[介]
與、和。通「為」。《史記．卷四二．鄭世家》：「晉於是欲得叔詹為僇，鄭文公恐，不敢謂叔詹言。」
[名]
1.道理、意義。如：「無謂之事」、「無謂之舉」。《三國志．卷四七．吳書．吳主傳》：「頃聞諸將出入，各尚謙約，不從人兵，甚非備慮愛身之謂。」唐．韓愈〈雜詩〉：「蛙黽鳴無謂，閤閤祇亂人。」
2.姓。如宋代有謂準。</t>
  </si>
  <si>
    <t>尉</t>
  </si>
  <si>
    <t>[名]
1.古代典獄及捕盜等官職多稱為「尉」。如：「廷尉」、「縣尉」。
2.現今軍階的名稱，在士官之上，校官之下。如：「上尉」、「中尉」、「少尉」。
[動]
安慰、安撫。通「慰」。《漢書．卷五二．韓安國傳》：「恢所部擊，猶頗可得，以尉士大夫心。」《資治通鑑．卷九九．晉紀二十一．穆帝永和八年》：「謝尚不能撫尉張遇，遇怒，據許昌叛。」</t>
  </si>
  <si>
    <t>(二)ㄩˋ yù（11692）</t>
  </si>
  <si>
    <t>蔚</t>
  </si>
  <si>
    <t>[形]
1.草木茂盛的樣子。如：「蓊蔚」。漢．班固〈西都賦〉：「茂樹蔭蔚，芳草被隄。」
2.文采華美的樣子。《易經．革卦》：「《象》曰：君子豹變，其文蔚也。」
[副]
盛大的樣子。如：「蔚為大觀」、「蔚為風氣」。南朝梁．劉勰《文心雕龍．詮賦》：「六義附庸，蔚成大國。」
[名]
植物名。菊科艾屬，多年生草本。地下莖短但肥厚，葉互生，寬匙形或倒卵形，不分裂或上端具三至五淺裂，裂片具二至三枚小鋸齒，基部楔形。頭狀花序多數，排成複總狀或狹長總狀，淡黃色，夏、秋開花。俗稱為「牡蒿」。</t>
  </si>
  <si>
    <t>(二)ㄩˋ yù（11693）</t>
  </si>
  <si>
    <t>慰</t>
  </si>
  <si>
    <t>[動]
安撫，用言行或物質等使人寬心。如：「慰問」、「勸慰」。《詩經．邶風．凱風》：「有子七人，莫慰母心。」南朝宋．劉義慶《世說新語．排調》：「生兒如此，足慰人意。」
[形]
1.心安。如：「欣慰」。
2.憂鬱。《莊子．外物》：「心若縣於天地之閒，慰睯沉屯，利害相摩，生火甚多。」</t>
  </si>
  <si>
    <t>罻</t>
  </si>
  <si>
    <t>[名]
捕鳥的小網。《說文解字．网部》：「罻，捕鳥网也。」《文選．張華．鷦鷯賦》：「鷹鸇過猶俄翼，尚何懼於罿罻。」</t>
  </si>
  <si>
    <t>褽</t>
  </si>
  <si>
    <t>[名]
衽席。《說文解字．衣部》：「褽，衽也。」清．段玉裁．注：「此衽當訓衽席。」
[動]
墊於下面。《集韻．去聲．未韻》：「褽，薦也。」《左傳．哀公十一年》：「公使太史固歸國子之元，寘之新篋，褽之以玄纁。」</t>
  </si>
  <si>
    <t>[名]
石磨，碾去穀物外皮的農具。《北齊書．卷一八．高隆之傳》：「又鑿渠引漳水周流城郭，造治碾磑，並有利於時。」宋．黃庭堅〈雙井茶送子瞻〉詩：「我家江南摘雲腴，落磑霏霏雪不如。」
[動]
磨碎。宋．陸游〈蝸廬〉詩：「有書嬾讀吾堪愧，睡起何妨自磑茶。」</t>
  </si>
  <si>
    <t>(二)ㄞˊ ái（10322）</t>
  </si>
  <si>
    <t>衛</t>
  </si>
  <si>
    <t>[動]
保護、防守。如：「防衛」、「自衛」。《國語．齊語》：「築五鹿、中牟、蓋興、牡丘，以衛諸夏之地。」《文選．阮瑀．為曹公作書與孫權》：「江河雖廣，其長難衛也。」
[名]
1.國名。為周朝時武王封予少弟康叔，故址約在今河北省南部和河南省北部一帶，後滅於秦。
2.擔任防護工作的人。如：「侍衛」、「警衛」。《左傳．文公七年》：「文公之入也無衛。」《聊齋志異．卷六．向杲》：「聞汾州有焦桐者，勇而善射，以多金聘為衛。」
3.古代邊境駐兵防敵的地方。如：「金山衛」、「屯衛」。《周禮．春官．巾車》：「革路，龍勒，條纓五就，建大白以即戎，以封四衛。」
4.驢的別稱。《聊齋志異．卷三．胡氏》：「次日，有客來謁，縶黑衛於門。」
5.姓。如漢代有衛青。</t>
  </si>
  <si>
    <t>讆</t>
  </si>
  <si>
    <t>[形]
欺詐、不實在的。通「偽」、「躗」。如：「讆言」。</t>
  </si>
  <si>
    <t>躗</t>
  </si>
  <si>
    <t>[形]
謬誤而不真實的。《左傳．哀公二十四年》：「往歲克敵，今又勝都，天奉多矣，又焉能進，是躗言也。」</t>
  </si>
  <si>
    <t>參見「濊貊」條。</t>
  </si>
  <si>
    <t>(一)ㄏㄨㄟˋ huì（05144）(三)ㄏㄨㄛˋ huò（05049）</t>
  </si>
  <si>
    <t>(一)ㄏㄨㄟˋ huì（05146）</t>
  </si>
  <si>
    <t>[動]
贈送、給予。《三國演義》第三三回：「表然其言，先遣人以書遺譚。」《史記．卷五五．留侯世家》：「漢王亦因令良厚遺項伯，使請漢中地。」</t>
  </si>
  <si>
    <t>(一)ㄧˊ yí（10552）</t>
  </si>
  <si>
    <t>[名]
1.國名。戰國時的一國，其故址約在今河南省北部、山西省西南部一帶，後滅於秦。
2.朝代名：(1)（西元220～265）三國之一。曹丕代漢稱帝，國號魏，與蜀、吳並稱三國。有今河北、河南、山東、山西、甘肅，及陝西中部、湖北、江蘇、安徽北部等地。(2)參見「後魏」條。
3.姓。宋代有魏文翁。</t>
  </si>
  <si>
    <t>(二)ㄨㄟˊ wéi（11388）</t>
  </si>
  <si>
    <t>剜</t>
  </si>
  <si>
    <t>ㄨㄢ</t>
  </si>
  <si>
    <t>wān</t>
  </si>
  <si>
    <t>[動]
用刀挖取。唐．聶夷中〈詠田家〉詩：「醫得眼前瘡，剜卻心頭肉。」元．關漢卿《救風塵》第一折：「那的是最容易剜眼睛嫌的，則除是親近著他便歡喜。」</t>
  </si>
  <si>
    <t>蜿</t>
  </si>
  <si>
    <t>(一)ㄨㄢˇ wǎn（11470）</t>
  </si>
  <si>
    <t>豌</t>
  </si>
  <si>
    <t>參見「豌豆」條。</t>
  </si>
  <si>
    <t>同「豌」。</t>
  </si>
  <si>
    <t>(一)ㄨㄢˇ wǎn（11473）(二)ㄍㄨㄢˇ guǎn（04318）(三)ㄍㄨㄢ guān（04311）</t>
  </si>
  <si>
    <t>婠</t>
  </si>
  <si>
    <t>[形]
體態美好的樣子。《說文解字．女部》：「婠，體德好也。」</t>
  </si>
  <si>
    <t>彎</t>
  </si>
  <si>
    <t>[動]
1.引弓、開弓。唐．李白〈大獵賦〉：「擢倚天之劍，彎落月之弓。」
2.屈曲。元．馬致遠《漢宮秋》第二折：「那壁廂鎖樹的怕彎著手，這壁廂攀欄的怕攧破了頭。」元．喬吉〈滿庭芳．秋江暮景〉詞：「臥御榻彎的腿疼，坐羊皮慣得身輕。」
3.停泊。通「灣」。《儒林外史》第四三回：「這日將到大姑塘，風色大作。大爺吩咐急急收了口子，彎了船。」
[形]
曲折的、不直的。如：「彎路」。宋．王安石〈初夏即事〉詩：「石梁茅屋有彎碕，流水濺濺度兩陂。」《西遊記》第五回：「彎弓硬弩雕翎箭，短棍蛇矛挾了魂。」</t>
  </si>
  <si>
    <t>灣</t>
  </si>
  <si>
    <t>[名]
1.水流彎曲的地方。如：「水灣」、「河灣」。
2.海岸深曲可以停泊船隻的地方。如：「港灣」、「大連灣」、「廣州灣」。
[動]
1.停泊。《水滸傳》第二〇回：「且把船來分作兩路，去那蘆花蕩中灣住。」《紅樓夢》第五七回：「那不是接他們來的船來了，灣在那裡呢！」
2.屈曲。通「彎」。《儒林外史》第三回：「胡屠戶站在一邊，不覺那隻手隱隱的疼將起來；自己看時，把個巴掌仰著，再也灣不過來。」</t>
  </si>
  <si>
    <t>丸</t>
  </si>
  <si>
    <t>ㄨㄢˊ</t>
  </si>
  <si>
    <t>wán</t>
  </si>
  <si>
    <t>[名]
1.形狀小而圓的物體。如：「彈丸」、「藥丸」。《左傳．宣公二年》：「晉靈公不君，厚斂以彫牆，從臺上彈人，而觀其辟丸也。」《抱朴子．內篇．至理》：「今醫家通明腎氣之丸，內補五絡之散。」
2.卵。《呂氏春秋．孝行覽．本味》：「流沙之西，丹山之南，有鳳之丸。」
3.量詞。計算小而圓物體的單位。《樂府詩集．卷三六．相和歌辭十一．古辭．善哉行》：「仙人王喬，奉藥一丸。」《新唐書．卷五七．藝文志一》：「季給上谷墨三百三十六丸。」
[動]
搓揉成球形。《晉書．卷八二．陳壽傳》：「有疾，使婢丸藥。」</t>
  </si>
  <si>
    <t>汍</t>
  </si>
  <si>
    <t>參見「汍瀾」條。</t>
  </si>
  <si>
    <t>芄</t>
  </si>
  <si>
    <t>參見「芄蘭」條。</t>
  </si>
  <si>
    <t>紈</t>
  </si>
  <si>
    <t>[名]
細緻而有光澤的白綢絹。《說文解字．糸部》：「紈，素也。」清．段玉裁．注：「素者，白緻繒也。紈即素也，故從丸，言其滑易也。」《戰國策．齊策四》：「下宮糅羅紈，曳綺縠。」《漢書．卷二八．地理志下》：「故其俗彌侈，織作冰紈綺繡純麗之物，號為冠帶衣履天下。」</t>
  </si>
  <si>
    <t>刓</t>
  </si>
  <si>
    <t>[動]
削刻、鏤刻。《楚辭．屈原．九章．懷沙》：「刓方以為圜兮，常度未替。」
[形]
壞損的。唐．韓愈〈請上尊號表〉：「堯誅九嬰以定下土，血兵刓刃，僅就厥功。」</t>
  </si>
  <si>
    <t>完</t>
  </si>
  <si>
    <t>[形]
1.齊全、完整。《戰國策．齊策四》：「夫玉生於山，制則破焉；非弗寶貴矣，然夫璞不完。」南朝宋．劉義慶《世說新語．言語》：「大人豈見覆巢之下復有完卵乎？」
2.堅固。《孟子．離婁上》：「城郭不完，兵甲不多，非國之災也。」《後漢書．卷二四．馬援傳》：「破羌以西城多完牢，易可依固。」
3.完美，品德沒有缺陷。如：「完人」。《韓非子．難言》：「敦厚恭祗，鯁固慎完，則見以為拙而不倫。」
[動]
1.保全。《左傳．昭公十五年》：「邑以賈怠，不如完舊。」《漢書．卷一．高帝紀上》：「吾非敢自愛，恐能薄，不能完父兄子弟。」
2.修繕、整治。《詩經．大雅．韓奕》：「溥彼韓城，燕師所完。」《金史．卷七八．劉彥宗傳》：「陝西邊帥請完沿邊城廓以備南寇。」
3.繳納。如：「完糧」、「完稅」。明．徐光啟《農政全書．卷八．農事．開墾上》：「收熟之時，照所佃糧額，竟赴管屯衙門，當官完納。」《官場現形記》第四〇回：「這一季的錢糧，已完到六七成了。」
4.畢、完成。如：「完稿」、「完工」。
5.比喻失敗。如：「這麼一來，他真的完了。」
[副]
盡，沒有剩餘。如：「用完」。《紅樓夢》第三七回：「若看完了還不交卷，是必罰的。」
[名]
1.一種古代的輕刑。因其僅剃去毛髮而不傷肢體，故稱為「完」。《漢書．卷二三．刑法志》：「刖者使守囿，完者使守積。」唐．顏師古．注：「完，謂不虧其體，但居作也。」
2.姓。如元代有完澤。</t>
  </si>
  <si>
    <t>抏</t>
  </si>
  <si>
    <t>[動]
消耗、耗損。《文選．司馬相如．上林賦》：「若夫終日馳騁，勞神苦形，罷車馬之用，抏士卒之精。」</t>
  </si>
  <si>
    <t>岏</t>
  </si>
  <si>
    <t>[形]
巑岏：山勢高聳。《集韻．平聲．桓韻》：「岏，巑岏，山銳貌。」《文選．宋玉．高唐賦》：「盤岸巑岏，裖陳磑磑。」</t>
  </si>
  <si>
    <t>玩</t>
  </si>
  <si>
    <t>[動]
1.遊戲、嬉戲。如：「出去玩！」、「每個小孩都玩得非常高興。」
2.把弄東西或做某種遊戲。如：「玩皮球」、「玩穚牌」、「玩躲貓貓」、「不要讓小孩玩電器，以免發生意外。」
3.耍弄、戲弄，多用於口語。如：「玩手腕兒」、「玩弄感情」、「少跟我玩花招！」
[形]
供人玩耍、遊戲的。如：「玩具」、「玩偶」。</t>
  </si>
  <si>
    <t>(一)ㄨㄢˋ wàn（11487）</t>
  </si>
  <si>
    <t>烷</t>
  </si>
  <si>
    <t>[名]
1.火。《集韻．平聲．桓韻》：「烷，火也。」
2.有機化學中，代表飽和的碳化氫，表示其分子結構中碳原子化合價完足的意思。</t>
  </si>
  <si>
    <t>頑</t>
  </si>
  <si>
    <t>[形]
1.固執、不易變化的。如：「頑固」。唐．李賀〈楊生青花紫石硯歌〉：「圓毫促點聲靜新，孔硯寬頑何足云。」宋．陸游〈野飯〉詩：「堪笑此翁頑戎嗼，還山又食一番新。」
2.愚蠢無知。《書經．堯典》：「父頑，母嚚，象傲，克諧以孝。」
3.貪。《孟子．萬章下》：「故聞伯夷之風者，頑夫廉，懦夫有立志。」《呂氏春秋．慎大覽．慎大》：「桀為無道，暴戾頑貪，天下顫恐而患之。」
4.淘氣、調皮。如：「頑皮」、「頑童」。
[動]
嬉戲。通「玩」。唐．姚合〈酬盧汀諫議〉詩：「杯觴引滿從衣溼，牆壁書多任手頑。」宋．陳造〈田家謠〉：「小婦初嫁當少寬，令伴阿姑頑過日。」</t>
  </si>
  <si>
    <t>宛</t>
  </si>
  <si>
    <t>ㄨㄢˇ</t>
  </si>
  <si>
    <t>wǎn</t>
  </si>
  <si>
    <t>[形]
曲折的。《史記．卷一一七．司馬相如傳》：「奔星更於閏闥，宛虹拖於楯軒。」唐．杜牧〈長安送友人遊湖南〉詩：「楚南饒風煙，湘岸苦縈宛。」
[動]
彎、折。《漢書．卷八七．揚雄傳下》：「是以欲談者，宛舌而固聲。」
[副]
彷彿、好像。如：「音容宛在」。《詩經．秦風．蒹葭》：「溯遊從之，宛在水中坻。」宋．陸游〈舟中〉詩：「悠然滄洲趣，宛與塵世隔。」
[名]
姓。如明代有宛嘉祥。</t>
  </si>
  <si>
    <t>(二)ㄩㄢ yuān（11758）</t>
  </si>
  <si>
    <t>婉</t>
  </si>
  <si>
    <t>[形]
1.和順的。如：「溫柔婉約」。《左傳．昭公二十六年》：「姑慈而從，婦聽而婉。」晉．杜預．注：「婉，順也。」
2.美好的。《詩經．曹風．候人》：「婉兮孌兮，季女斯飢。」晉．陸機〈贈紀士詩〉：「修姱協姝麗，華顏婉如玉。」</t>
  </si>
  <si>
    <t>琬</t>
  </si>
  <si>
    <t>參見「琬圭」、「琬琰」等條。</t>
  </si>
  <si>
    <t>菀</t>
  </si>
  <si>
    <t>[名]
植物名。卷柏科卷柏屬，「卷柏」之古稱，參見「卷柏」條。</t>
  </si>
  <si>
    <t>(二)ㄩˋ yù（11666）(三)ㄩㄢˋ yuàn（11803）</t>
  </si>
  <si>
    <t>晼</t>
  </si>
  <si>
    <t>參見「晼晚」條。</t>
  </si>
  <si>
    <t>碗</t>
  </si>
  <si>
    <t>[名]
1.盛飲食的器皿。如：「瓷碗」、「飯碗」。《西遊記》第一回：「跳過橋頭，一個個搶盆奪碗，佔灶爭床。」
2.量詞：(1)計算碗裝物的單位。如：「一碗茶」、「兩碗飯」。(2)計算燈籠的單位。《水滸傳》第二二回：「正勸不開，只見兩三碗燈籠，飛也似來。」</t>
  </si>
  <si>
    <t>畹</t>
  </si>
  <si>
    <t>[名]
量詞。舊時計算土地面積的單位。說法不一，十二畝稱為「畹」，或三十畝稱為「畹」。《說文解字．田部》：「畹，田三十畝也。」《楚辭．屈原．離騷》：「余既滋蘭之九畹兮，又樹蕙之百畝。」漢．王逸．注：「十二畝為畹。」</t>
  </si>
  <si>
    <t>參見「蜿蜒」、「蜿蜿」等條。</t>
  </si>
  <si>
    <t>(二)（又音）ㄨㄢ wān（11446）</t>
  </si>
  <si>
    <t>踠</t>
  </si>
  <si>
    <t>[動]
屈曲、彎曲。《抱朴子．外篇．嘉遯》：「驥騄踠趾而不馳，則追風之迅不形。」</t>
  </si>
  <si>
    <t>(一)ㄏㄨㄢˇ huǎn（05175）</t>
  </si>
  <si>
    <t>參見「莞爾」條。</t>
  </si>
  <si>
    <t>(二)ㄍㄨㄢˇ guǎn（04318）(三)ㄍㄨㄢ guān（04311）(四)ㄨㄢ wān（11448）</t>
  </si>
  <si>
    <t>[名]
胃腔。《說文解字．肉部》：「脘，胃脯也。」《警世通言．卷三．王安石三難蘇學士》：「太醫院官乃明醫，知老夫乃中脘變症。」</t>
  </si>
  <si>
    <t>(二)（讀音）ㄍㄨㄢˇ guǎn（04319）</t>
  </si>
  <si>
    <t>[名]
1.國名。春秋時立，漢置縣。故址約在今安徽省潛山縣北。
2.安徽省的簡稱。如：「皖北」、「直皖戰爭」。</t>
  </si>
  <si>
    <t>(二)（又音）ㄏㄨㄢˇ huǎn（05177）</t>
  </si>
  <si>
    <t>魭</t>
  </si>
  <si>
    <t>參見「魭斷」條。</t>
  </si>
  <si>
    <t>(一)ㄩㄢˊ yuán（▲11774）</t>
  </si>
  <si>
    <t>挽</t>
  </si>
  <si>
    <t>[動]
1.拉、引。如：「挽車」。唐．杜甫〈前出塞〉詩九首之六：「挽弓當挽強，用箭當用長。」
2.捲起。宋．蘇軾〈送周朝議守漢州〉詩：「召還當有詔，挽袖謝鄰里。」
3.繫、盤結。通「綰」。如：「挽髮」。《老殘遊記》第九回：「道士挽了個髻，叫人一望而知……是道士。」
[形]
哀悼死者的。通「輓」。如：「挽歌」、「挽聯」、「挽詞」。</t>
  </si>
  <si>
    <t>[形]
容貌嬌豔美好。《玉篇．女部》：「娩，媚好也。」《禮記．內則》：「女子十年不出，姆教婉娩聽從。」漢．鄭玄．注：「娩之言媚也，媚謂容貌也。」</t>
  </si>
  <si>
    <t>(二)ㄇㄧㄢˇ miǎn（01432）</t>
  </si>
  <si>
    <t>晚</t>
  </si>
  <si>
    <t>[名]
1.黃昏、日落時分。《說文解字．日部》：「晚，莫也。」清．段玉裁．注：「莫者，日且冥也。」
2.夜間。如：「晚間」、「昨晚」。《水滸傳》第一〇回：「李小二夫妻兩個，捏著兩把汗，當晚無事。」
3.對長輩的自稱。如：「學晚」。《儒林外史》第三四回：「極蒙臺愛，恕治晚不能躬送了。」
[形]
1.將盡的。宋．陳師道〈除夜對酒贈少章〉詩：「歲晚身何託，燈前客未空。」
2.繼任的、後來的。如：「晚娘」。《淮南子．本經》：「晚世學者，不知道之所一體，德之所總要。」
[副]
遲。如：「相見恨晚」。《孔子家語．卷三．弟子行》：「慮不先定，臨事而謀，不亦晚乎。」</t>
  </si>
  <si>
    <t>輓</t>
  </si>
  <si>
    <t>[動]
1.拉引。《說文解字．車部》：「輓，引車也。」《左傳．襄公十四年》：「夫二子者，或輓之，或推之，欲無人得乎。」明．徐光啟《農政全書．卷十八．水利．利用圖譜》：「犁轅貫以橫木，二人扶之，可使數牛輓行。」
2.運轉、運輸。《史記．卷五五．留侯世家》：「諸侯安定，河、渭漕輓天下，西給京師。」《漢書．卷五二．韓安國傳》：「又遣子弟乘邊守塞，轉粟輓輸，以為之備。」
[形]
1.哀悼死人的。如：「輓聯」、「輓辭」、「輓歌」。
2.晚。通「晚」。《史記．卷一二九．貨殖傳》：「必用此為務，輓近世塗民耳目，則幾無行矣。」</t>
  </si>
  <si>
    <t>(一)ㄇㄢˊ mán（01218）</t>
  </si>
  <si>
    <t>(一)ㄇㄧㄢˇ miǎn（01434）</t>
  </si>
  <si>
    <t>綰</t>
  </si>
  <si>
    <t>[動]
1.繫。《漢書．卷四〇．周勃傳》：「絳侯綰皇帝璽，將兵於北軍。」《文選．孔稚珪．北山移文》：「至其紐金章，綰墨綬，跨屬城之雄，冠百里之首。」
2.盤結。唐．劉禹錫〈楊柳枝詞〉九首之七：「如今綰作同心結，將贈行人知不知。」《紅樓夢》第三回：「頭上戴著金絲八寶攢珠髻，綰著朝陽五鳳挂珠釵。」
3.貫穿。《史記．卷一二九．貨殖傳》：「北鄰烏桓、夫餘，東綰穢貉、朝鮮、真番之利。」明．徐弘祖《徐霞客遊記．卷五上．滇遊日記二》：「北有小山綰塢口，廬舍懸其上，是曰豐塘，東西南皆迴峰環之。」</t>
  </si>
  <si>
    <t>(一)ㄏㄨㄢˇ huǎn（05180）</t>
  </si>
  <si>
    <t>卍</t>
  </si>
  <si>
    <t>ㄨㄢˋ</t>
  </si>
  <si>
    <t>wàn</t>
  </si>
  <si>
    <t>[名]
佛身上三十二相之一，代表吉祥。印度傳說以為是有德者的特徵。卍本非字，唯在中國皆收入字書中。卍字之形諸書亦不統一，也作「卐」。《龍龕手鑑．雜部》：「卐，音万。是如來身有吉祥文也。」</t>
  </si>
  <si>
    <t>忨</t>
  </si>
  <si>
    <t>[動]
貪愛、偷安。《玉篇．心部》：「忨，貪也，愛也。」《國語．晉語八》：「今忨日而㵣歲，怠偷甚矣。」</t>
  </si>
  <si>
    <t>[動]
1.用輕忽的態度來對待，多用於文言詞。如：「玩世不恭」。《書經．旅獒》：「玩人喪德，玩物喪志。」《國語．吳語》：「大夫種勇而善謀，將還玩吳國於股掌之上，以得其志。」
2.欣賞、觀賞。如：「賞玩」。《楚辭．屈原．九章．思美人》：「惜吾不及古人兮，吾誰與玩此芳草？」《鏡花緣》第七回：「一日，正值皓月當空，小山同唐敏坐在簷下，玩月談文。」
3.研習。《易經．繫辭上》：「是故君子所居而安者，易之序也；所樂而玩者，爻之辭也。」《文選．劉琨．答盧諶》：「損書及詩，備酸辛之苦言，暢經通之遠旨。執玩反覆，不能釋手。」
[名]
可供玩賞的東西。如：「古玩」、「珍玩」、「奇玩」。《國語．楚語下》：「若夫白珩，先王之玩也，何寶之焉？」《紅樓夢》第一八回：「各處監管都交清帳目；各處古董文玩皆已陳設齊備。」</t>
  </si>
  <si>
    <t>(二)ㄨㄢˊ wán（11460）</t>
  </si>
  <si>
    <t>杬</t>
  </si>
  <si>
    <t>[動]
按摩。《史記．卷一〇五．扁鵲倉公傳》：「鑱石撟引，案杬毒熨。」唐．司馬貞．索隱：「杬謂按摩而玩弄身體使調也。」</t>
  </si>
  <si>
    <t>(一)ㄩㄢˊ yuán（11772）</t>
  </si>
  <si>
    <t>翫</t>
  </si>
  <si>
    <t>[動]
1.安於習慣而鬆懈、輕忽。《左傳．僖公五年》：「晉不可啟，寇不可翫。」《晉書．卷三〇．刑法志》：「習翫所見而忽異聞，或未能咸服。」
2.戲弄。通「玩」。《左傳．昭公二十年》：「水懦弱，民狎而翫之，則多死焉。」《荀子．禮論》：「尒則翫，翫則厭，厭則忘。」
3.觀賞。通「玩」。《文選．張衡．東京賦》：「是以西匠營宮，目翫阿房。」南朝梁．劉勰《文心雕龍．辨騷》：「可謂鑒而弗精，翫而未覈者也。」
4.研習。通「玩」。《文選．嵇康．琴賦．序》：「余少好音聲，長而翫之。」《後漢書．卷一八．臧宮傳．論曰》：「斯誠雄心尚武之幾，先志翫兵之日。」</t>
  </si>
  <si>
    <t>惋</t>
  </si>
  <si>
    <t>[動]
痛惜、驚嘆。如：「惋惜」。《戰國策．秦策二》：「受欺於張儀，王必惋之。」《文選．陸機．文賦》：「故時撫空懷而自惋，吾未識夫開塞之所由。」</t>
  </si>
  <si>
    <t>腕</t>
  </si>
  <si>
    <t>[名]
前臂與手掌相連的關節部位。如：「手腕」、「扼腕」。《墨子．大取》：「斷指與斷腕，利於天下，相若無擇也。」也稱為「腕子」、「腕部」、「腕關節」。</t>
  </si>
  <si>
    <t>(一)ㄇㄢˋ màn（01235）</t>
  </si>
  <si>
    <t>(一)ㄇㄢˋ màn（01242）</t>
  </si>
  <si>
    <t>萬</t>
  </si>
  <si>
    <t>[名]
數目字。千的十倍。《玉篇．禸部》：「萬，十千也。」《孟子．梁惠王上》：「萬取千焉，千取百焉，不為不多矣。」唐．白居易〈寄元九〉詩：「三寄衣食資，數盈二十萬。」
[形]
眾多的。如：「排除萬難」。《易經．謙卦．象曰》：「勞謙君子，萬民服也。」《荀子．富國》：「古有萬國，今有十數焉。」
[副]
極、非常、絕對。如：「萬不得已」、「萬萬不可」。《漢書．卷三四．黥布傳》：「我之取天下可以萬全。」唐．韓愈〈柳子厚墓誌銘〉：「無辭以白其大人，且萬無母子俱往理。」</t>
  </si>
  <si>
    <t>溫</t>
  </si>
  <si>
    <t>ㄨㄣ</t>
  </si>
  <si>
    <t>wēn</t>
  </si>
  <si>
    <t>[形]
1.不冷不熱。如：「溫暖」、「溫水」、「溫帶」。漢．王充《論衡．寒溫》：「近水則寒，近火則溫。」
2.柔和。如：「溫柔」、「溫順」。《論語．述而》：「子溫而厲，威而不猛，恭而安。」
3.做事不爽快。如：「溫吞」、「這個人溫得很。」
[動]
1.使暖和。如：「溫一壺酒」。清．蔣士銓〈鳴機夜課圖記〉：「母坐於床，擁被覆雙足，解衣以胸溫兒背。」
2.複習。如：「溫書」、「溫習」。《論語．為政》：「溫故而知新，可以為師矣。」
[名]
1.冷熱的程度。如：「體溫」、「室溫」、「高溫」。
2.姓。如漢代有溫疥。</t>
  </si>
  <si>
    <t>塭</t>
  </si>
  <si>
    <t>[名]
濱海地區築堤攔水以養殖魚類的池塘。如：「魚塭」。</t>
  </si>
  <si>
    <t>瘟</t>
  </si>
  <si>
    <t>[名]
人或牲畜的急性傳染病。《集韻．平聲．魂韻》：「瘟，疫也。」如：「雞瘟」、「犬瘟」。</t>
  </si>
  <si>
    <t>轀</t>
  </si>
  <si>
    <t>參見「轀輬」、「轀車」等條。</t>
  </si>
  <si>
    <t>鰮</t>
  </si>
  <si>
    <t>鯡目鯡科某些魚類的通稱。小者二寸，大者尺許，背蒼腹白，以浮游生物為食。肉美，可鮮食，亦可製成罐頭食品。俗稱為「沙丁魚」。</t>
  </si>
  <si>
    <t>文</t>
  </si>
  <si>
    <t>ㄨㄣˊ</t>
  </si>
  <si>
    <t>wén</t>
  </si>
  <si>
    <t>[名]
1.線條交錯的圖案、花紋。《禮記．樂記》：「五色成文而不亂，八風從律而不姦。」漢．王充《論衡．言毒》：「蝮蛇多文。」
2.文字。如：「中文」、「英文」、「甲骨文」。《孟子．萬章上》：「故說詩者不以文害辭，不以辭害志。」
3.文章。如：「撰文」、「散文」。《後漢書．卷八〇．文苑傳下．禰衡傳》：「衡攬筆而作，文無加點，辭采甚麗。」
4.有關文學方面的才能。如：「文武雙全」。《國語．周語中》：「武不可覿，文不可匿。」
5.華麗有文采的外表。與「質」相對。參見「文質彬彬」條。
6.禮節、儀式。如：「繁文縟節」。《論語．子罕》：「文王既沒，文不在茲乎！」
7.法令、典章。《國語．周語上》：「有不祀則修言，有不享則修文。」三國吳．韋昭．注：「文，典法也。」《史記．卷一二九．貨殖傳》：「吏士舞文弄法，刻章偽書。」
8.現象。如：「天文」、「人文地理」。《莊子．應帝王》：「壺子曰：『鄉吾示之以地文。』」
9.量詞。古代計算銅幣的單位。如：「三文錢」、「分文不取」。《儒林外史》第一三回：「這箱子能值幾文？」
10. 姓。如宋代有文彥博。
11. 二一四部首之一。
[形]
1.溫和、優雅、不猛烈。如：「文雅」、「斯文」、「文火」。《禮記．文王世子》：「是故其成也懌，恭敬而溫文。」
2.有文彩的。《史記．卷四七．孔子世家》：「衣文衣而舞康樂。」
[動]
刺染花紋圖案。如：「文身」。《水滸傳》第一一回：「誰想今日被高俅這賊坑陷了我這一場，文了面，直斷送到這里。」</t>
  </si>
  <si>
    <t>(二)ㄨㄣˋ wèn（11510）</t>
  </si>
  <si>
    <t>[名]
玉的紋理。《集韻．平聲．文韻》：「玟，玉文。」</t>
  </si>
  <si>
    <t>(二)ㄇㄧㄣˊ mín（01452）</t>
  </si>
  <si>
    <t>蚊</t>
  </si>
  <si>
    <t>[名]
蚊科的通稱。幼蟲孑孓生活在水中。成蟲體呈灰褐色，喙管細長，雌蟲吸食人血，能傳染疾病，雄蟲只吸食花果的汁液。種類甚多，如三斑家蚊、瘧蚊、埃及斑蚊等。</t>
  </si>
  <si>
    <t>紋</t>
  </si>
  <si>
    <t>[名]
1.錦繡上的文采。唐．李商隱〈戊辰會靜中出貽同志二十韻〉：「飄颻被青霓，婀娜佩紫紋。」
2.物體呈現如線條的痕紋。如：「水紋」、「指紋」、「皺紋」。唐．李商隱〈促漏〉詩：「南塘漸暖蒲堪結，兩兩鴛鴦護水紋。」《聊齋志異．卷八．崔猛》：「針刺其臂，作十字紋，朱塗之，俾勿滅。」
[動]
刺染花紋圖案。如：「紋身」。</t>
  </si>
  <si>
    <t>雯</t>
  </si>
  <si>
    <t>[名]
成花紋的雲彩。《集韻．平聲．文韻》：「雯，雲成章曰雯。」金．王喆〈瑤臺月．攜雲放肆投閑路〉詞：「香煙起盤裊，盡成雯蓋。」《清史稿．卷九七．樂志四》：「帝奉帝，孫有孫，祥雯燦紫閽。」</t>
  </si>
  <si>
    <t>聞</t>
  </si>
  <si>
    <t>[動]
1.聽到。如：「百聞不如一見」。《論語．陽貨》：「子之武城，聞弦歌之聲。」《禮記．大學》：「心不在焉，視而不見，聽而不聞。」
2.傳達、傳布。《詩經．小雅．鶴鳴》：「鶴鳴于九皋，聲聞于野。」《呂氏春秋．審應覽．重言》：「與仲父謀伐莒，謀未發而聞其國。」
3.著稱。《隋書．卷七七．隱逸傳．李士謙傳》：「髫齓喪父，事母以孝聞。」唐．李白〈贈孟浩然〉詩：「吾愛孟夫子，風流天下聞。」
4.用鼻子嗅。如：「入芝蘭之室，久而不聞其香。」《韓非子．十過》：「共王駕而自往，入其幄中，聞酒臭而還。」
[名]
1.知識。如：「見聞廣博」、「孤陋寡聞」。《漢書．卷三六．楚元王劉交傳．贊曰》：「此數公者，皆博物洽聞，通達古今，其言有補於世。」《文選．王襃．四子講德論》：「俚人不識，寡見尟聞。」
2.音訊、消息。如：「新聞」、「趣聞」。《文選．司馬遷．報任少卿書》：「網羅天下放失舊聞，略考其行事，綜其終始。」《後漢書．卷四〇．班彪傳上》：「彪乃繼採前史遺事，傍貫異聞，作後傳數十篇。」
3.姓。宋代有聞見。</t>
  </si>
  <si>
    <t>(二)ㄨㄣˋ wèn（11518）</t>
  </si>
  <si>
    <t>閿</t>
  </si>
  <si>
    <t>參見「閿鄉」條。</t>
  </si>
  <si>
    <t>刎</t>
  </si>
  <si>
    <t>ㄨㄣˇ</t>
  </si>
  <si>
    <t>wěn</t>
  </si>
  <si>
    <t>[動]
用刀割頸。《戰國策．燕策三》：「樊于期偏袒扼腕而進曰：『此臣日夜切齒拊心也，乃今得聞教。』遂自刎。」《漢書．卷九〇．酷吏傳．田延年傳》：「聞鼓聲，自刎死。」</t>
  </si>
  <si>
    <t>吻</t>
  </si>
  <si>
    <t>[名]
嘴脣。《說文解字．口部》：「吻，口邊也。」《漢書．卷六四下．王襃傳》：「庸人之御駑馬，亦傷吻敝策而不進於行，匈喘膚汗，人極馬倦。」《聊齋志異．卷一．畫皮》：「乞人咯痰唾盈把，舉向陳吻曰：『食之！』」
[動]
用嘴脣接觸。如：「吻別」、「吻臉頰」。</t>
  </si>
  <si>
    <t>穩</t>
  </si>
  <si>
    <t>[形]
1.固定不動搖、安全。如：「安穩」、「平穩」、「穩定」、「穩如泰山」。
2.妥當、妥貼。如：「穩當」、「十拿九穩」。
3.沉著不輕浮。如：「穩健」、「穩重」。
[動]
1.控制、使安定。如：「穩住情緒」。
2.安頓、安排。元．秦𥳑夫《東堂老》第三折：「這兩個好無禮也！把我穩在茶坊裡，他兩個都走了，乾餓了我一日。」《孤本元明雜劇．翫江亭．第二折》：「將那先生穩在那酒店裡，我騎著風也似快馬，來到這荒郊野外。」
[副]
一定、準。如：「穩操勝算」、「甕中捉鱉，穩拿。」</t>
  </si>
  <si>
    <t>ㄨㄣˋ</t>
  </si>
  <si>
    <t>wèn</t>
  </si>
  <si>
    <t>[動]
1.掩飾。如：「文過飾非」。《論語．子張》：「小人之過也，必文。」
2.修飾。如：「文飾」。《荀子．儒效》：「小雅之所以為小雅者，取是而文之也。」</t>
  </si>
  <si>
    <t>(一)ㄨㄣˊ wén（11500）</t>
  </si>
  <si>
    <t>汶</t>
  </si>
  <si>
    <t>參見「汶水」條。</t>
  </si>
  <si>
    <t>抆</t>
  </si>
  <si>
    <t>[動]
擦拭。漢．曹丕〈又與吳質書〉：「閒者歷覽諸子之文，對之抆淚，既痛逝者，行自念也。」《文選．江淹．別賦》：「瀝泣共訣，抆血相視。」</t>
  </si>
  <si>
    <t>紊</t>
  </si>
  <si>
    <t>[形]
雜亂、混亂。如：「有條不紊」。《晉書．卷一二一．李期載記》：「慶賞威刑，皆決數人而已，于是綱維紊矣。」
[動]
擾亂。南朝梁．江淹〈建平王讓鎮南徐州刺史啟〉：「借權製之義，紊禮滅經。」</t>
  </si>
  <si>
    <t>[名]
古代一種脫冠紮髮的喪服。通「絻」。《集韻．去聲．問韻》：「絻，喪冠也。或省。」《左傳．僖公十五年》：「穆姬聞晉侯將至……使以免服衰絰逆且告。」晉．杜預．注：「免、衰、絰，遭喪之服。」
[動]
去冠紮髮，穿著喪服，以示哀悼。同「絻」。《禮記．檀弓上》：「公儀仲子之喪，檀弓免焉。」</t>
  </si>
  <si>
    <t>(一)ㄇㄧㄢˇ miǎn（01429）</t>
  </si>
  <si>
    <t>絻</t>
  </si>
  <si>
    <t>[動]
著喪服，去冠紮髮，以布纏裹。《左傳．哀公二年》：「使太子絻，八人衰絰，偽自衛逆者。」</t>
  </si>
  <si>
    <t>問</t>
  </si>
  <si>
    <t>[動]
1.向人請教。如：「詢問」、「發問」、「請問」。唐．杜牧〈清明〉詩：「借問酒家何處有？牧童遙指杏花村。」
2.責備、追究。如：「責問」、「追問」、「唯你是問」。
3.干預、干涉。如：「不聞不問」、「概不過問」。
4.審訊、判決。如：「訊問」、「審問」、「問案」。《紅樓夢》第一〇三回：「後來聽見你兄弟問了死罪，他雖哭了一場，以後倒擦脂抹粉的起來。」
5.為表示關切而探望、拜候。如：「慰問」、「訪問」、「問候」。
6.饋贈、贈送。《左傳．成公十六年》：「楚子使工尹襄問之以弓，曰：『方事之殷也』。」
[名]
1.音信、書信。《晉書．卷五四．陸機傳》：「既而羈遇京師，久無家問。」《宋書．卷四四．謝晦傳》：「穆之喪問至，高祖哭之甚慟。」
2.名譽。通「聞」(二)。《墨子．非命下》：「必使飢者得食，寒者得衣，勞者得息，亂者得治，遂得光譽令問於天下。」</t>
  </si>
  <si>
    <t>搵</t>
  </si>
  <si>
    <t>[動]
1.按、壓。如：「搵鈴」。元．陳以仁《存孝打虎》第二折：「大拳頭搵住嘴縫，闊腳板踏住胸脯。」《孤本元明雜劇．黃花峪．第二折》：「則我這拳著處滴溜撲著那廝身占土，急起來著那廝嘴搵地。」
2.擦拭、揩拭。同「抆」。宋．辛棄疾〈水龍吟．楚天千里清秋〉詞：「倩何人，喚取盈盈翠袖，搵英雄淚。」元．紀君祥《趙氏孤兒》第三折：「淚珠兒不敢對人拋，背地裡搵了。」</t>
  </si>
  <si>
    <t>[名]
名譽、名望。明．張自烈《正字通．耳部》：「聞，聲譽曰聞。」《書經．微子之歌》：「爾惟踐修厥猷，舊有令聞。」唐．韓愈〈原毀〉：「恐恐然惟懼其人之有聞也。」
[形]
著名的、有名望的。如：「聞人」。</t>
  </si>
  <si>
    <t>(一)ㄨㄣˊ wén（11505）</t>
  </si>
  <si>
    <t>璺</t>
  </si>
  <si>
    <t>[名]
陶瓷、玉、玻璃等器物上的裂痕。漢．揚雄《方言》卷六：「器破而未離謂之璺。」</t>
  </si>
  <si>
    <t>尢</t>
  </si>
  <si>
    <t>ㄨㄤ</t>
  </si>
  <si>
    <t>wāng</t>
  </si>
  <si>
    <t>[形]
腳跛。《玉篇．尢部》：「尢，跛、曲脛也。」
[名]
二一四部首之一。</t>
  </si>
  <si>
    <t>汪</t>
  </si>
  <si>
    <t>[形]
水深而廣。《說文解字．水部》：「汪，深廣也。」如：「汪洋大海」。
[名]
1.池。《左傳．桓公十五年》：「祭仲殺雍糾，尸諸周氏之汪。」晉．杜預．注：「汪，池也。」《西遊記》第四二回：「穿通兩腿刀尖出，血注成汪皮肉開。」
2.量詞。用於停聚一處的液體。如：「一汪秋水」、「一汪血」。
3.姓。如春秋時魯國有汪踦。
[擬]
形容狗叫聲。如：「那兒有隻小狗正汪汪的叫個不停。」
[動]
液體積聚。《金瓶梅》第七五回：「從早辰吃了口清茶，還汪在心裡！」《紅樓夢》第三一回：「地下的水淹著床腿，連席子上都汪著水。」</t>
  </si>
  <si>
    <t>尪</t>
  </si>
  <si>
    <t>[名]
一種骨骼彎曲的疾病。《呂氏春秋．季春紀．盡數》：「辛水所多疽與痤人，苦水所多尪與傴人。」漢．高誘．注：「尪，突胸仰向疾也。」
[形]
瘦弱。宋．蘇軾〈上神宗皇帝書〉：「世有尪羸而壽考，亦有盛壯而暴亡。」</t>
  </si>
  <si>
    <t>ㄨㄤˊ</t>
  </si>
  <si>
    <t>wáng</t>
  </si>
  <si>
    <t>[動]
1.逃跑。如：「流亡」、「逃亡」。《左傳．宣公二年》：「問其名居，不告而退，遂自亡也。」
2.失去。如：「亡羊補牢」。《新唐書．卷九六．房玄齡傳》：「一日去良弼，如亡左右手。」
3.死去。如：「死亡」、「傷亡」。
4.消滅。如：「滅亡」、「敗亡」。《禮記．中庸》：「國家將亡，必有妖孽。」
5.外出不在。《論語．陽貨》：「孔子時其亡也，而往拜之。」《聊齋志異．卷一〇．真生》：「明日，往投刺，適值其亡，凡三謁，皆不遇。」
6.忘記。通「忘」。漢．王充《論衡．語增》：「為長夜之飲，亡其甲子。」唐．戴叔倫〈南野〉詩：「身勩竟亡疲，團團欣在目。」
[形]
死去的。如：「亡父」、「亡兄」、「未亡人」。《後漢書．卷三五．鄭玄傳》：「末所憤憤者，亡親墳壟未成。」</t>
  </si>
  <si>
    <t>(二)ㄨˊ wú（11233）</t>
  </si>
  <si>
    <t>忘</t>
  </si>
  <si>
    <t>(一)（語音）ㄨㄤˋ wàng（11540）</t>
  </si>
  <si>
    <t>王</t>
  </si>
  <si>
    <t>[名]
1.古代稱統治天下的君主。如：「君王」、「帝王」、「國王」。《書經．洪範》：「天子作民父母，以為天下王。」
2.古代封建社會中地位在公侯之上的爵位。秦漢以後，天子的伯叔兄弟及異姓藩王均稱為「王」。如：「淮南王」。《漢書．卷一九．百官公卿表上》：「諸侯王，高帝初置，金璽盭綬，掌治其國。」
3.泛稱同類中的首領。如：「萬獸之王」。唐．杜甫〈前出塞〉詩九首之六：「射人先射馬，擒賊先擒王。」《西遊記》第一回：「那一個有本事的，鑽進去尋個源頭出來，不傷身體者，我等即拜他為王。」
4.技藝超群的人。如：「歌王」、「拳王」。
5.古代對祖父母輩的尊稱。參見「王父」、「王母」等條。
6.姓。如宋代有王安石。
[動]
古代諸侯朝見天子。《詩經．商頌．殷武》：「莫敢不來享，莫敢不來王。」《史記．卷四．周本紀》：「要服者貢，荒服者王。」
[形]
大。參見「王虺」、「王鮪」等條。</t>
  </si>
  <si>
    <t>(二)ㄨㄤˋ wàng（11536）(三)ㄩˋ yù（11644）</t>
  </si>
  <si>
    <t>网</t>
  </si>
  <si>
    <t>ㄨㄤˇ</t>
  </si>
  <si>
    <t>wǎng</t>
  </si>
  <si>
    <t>[名]
1.同「網」。明．張自烈《正字通．网部》：「网，網本字。」
2.二一四部首之一。</t>
  </si>
  <si>
    <t>枉</t>
  </si>
  <si>
    <t>[形]
1.彎曲的、不直的。《說文解字．木部》：「枉，衺曲也。」如：「枉尺」。《荀子．王霸》：「辟之是猶立直木而求其景之枉也。」
2.不正直的、邪惡的。《論語．顏淵》：「能使枉者直。」《元史．卷一七五．張珪傳》：「人有冤抑，必當昭雪，事有枉直，尤宜明辨。」
[動]
1.扭曲、歪曲。如：「貪贓枉法」。《論語．微子》：「枉道而事人，何必去父母之邦。」
2.冤陷。如：「冤枉」、「勿枉勿縱」。
3.遷就、委屈。參見「枉駕」、「枉顧」等條。
[名]
1.邪惡不正的人事物。如：「矯枉過正」。《論語．為政》：「舉直錯諸枉，則民服；舉枉錯諸直，則民不服。」
2.冤屈。《新唐書．卷一三五．高仙芝傳》：「我有罪，若輩可言；不爾，當呼枉。」
[副]
徒然、白費。如：「枉費」。唐．李白〈清平調〉三首之二：「一枝穠豔露凝香，雲雨巫山枉斷腸。」宋．蘇軾〈賀新郎．乳燕飛華屋〉詞：「簾外誰來推繡戶，枉教人、夢斷瑤臺曲。」</t>
  </si>
  <si>
    <t>俇</t>
  </si>
  <si>
    <t>參見「俇攘」、「俇俇」等條。</t>
  </si>
  <si>
    <t>罔</t>
  </si>
  <si>
    <t>[名]_x000D_
1.用繩線編成捕捉動物的器具。網的初文。《易經．繫辭下》：「作結繩而為罔罟，以佃以漁。」《資治通鑑．卷三二．漢紀二十四．成帝元延三年》：「南驅漢中，張羅罔罝罘，捕熊羆禽獸。」_x000D_
2.災禍、冤屈。《詩經．大雅．瞻卬》：「天之降罔，維其優矣。」《紅樓夢》第七八回：「既忳幽沉於不盡，復含罔屈於無窮。」_x000D_
[動]_x000D_
1.誣衊、陷害。《論語．雍也》：「君子可逝也，不可陷也；可欺也，不可罔也。」《孟子．梁惠王上》：「及陷於罪，然後從而刑之，是罔民也。」_x000D_
2.欺騙、蒙蔽。《漢書．卷二五．郊祀志下》：「知萬物之情，不可罔以非類。」《三國志．卷一．魏書．武帝紀》：「此皆以白為黑，欺天罔君者也。」_x000D_
3.沒有。通「無」。如：「藥石罔效」。_x000D_
[形]_x000D_
1.惆悵失意的樣子。通「惘」。東周戰國．宋玉〈神女賦．序〉：「罔兮不樂，悵然失志。」《資治通鑑．卷八二．晉紀四．武帝太康十年》：「久在中書，專管機事。及遷尚甚罔悵。」_x000D_
2.迷惑、困惑。通「惘」。《論語．為政》：「學而不思則罔，思而不學則殆。」_x000D_
[副]_x000D_
不可、不要。表示禁止。通「毋」。</t>
  </si>
  <si>
    <t>惘</t>
  </si>
  <si>
    <t>[形]
1.失意或失志的樣子。如：「悵惘」。南朝宋．劉義慶《世說新語．言語》：「袁彥伯為謝安南司馬，都下諸人送至瀨鄉。將別，既自悽惘。」
2.困惑、迷惑。如：「迷惘」。</t>
  </si>
  <si>
    <t>網</t>
  </si>
  <si>
    <t>[名]
1.用繩線編成捕捉動物的器具。如：「魚網」、「鳥網」、「三天打魚，二天晒網。」
2.像網狀的東西。如：「蜘蛛網」、「鐵絲網」。
3.分布周密而有連繫像網狀的組織系統。如：「交通網」、「廣播網」、「通訊網」。
4.比喻能約束人的事物、理法。如：「法網」、「天羅地網」。
[動]
1.用網捕捉。如：「網蜻蜓」、「網了一條魚」。
2.搜求、招致。參見「網羅」條。</t>
  </si>
  <si>
    <t>輞</t>
  </si>
  <si>
    <t>[名]
車輪的外框。明．張自烈《正字通．車部》：「輞，車輪外圍。」《續漢書志．卷二九．輿服志上》：「獵車，其飾皆如之。重輞縵輪，繆龍繞之。」</t>
  </si>
  <si>
    <t>魍</t>
  </si>
  <si>
    <t>往</t>
  </si>
  <si>
    <t>[動]
1.去。如：「前往」、「人來人往」。《易經．繫辭下》：「寒往則暑來，暑往則寒來，寒暑相推而歲成焉。」
2.歸向。如：「嚮往」、「神往」。《穀梁傳．莊公三年》：「其曰王者，民之所歸往也。」
3.交際、交朋友。如：「交往」。《禮記．檀弓上》：「非兄弟，雖鄰不往。」
4.致贈、贈送。《文選．曹植．與楊德祖書》：「今往僕少小所著辭賦一通相與。」
[形]
過去的、從前的。如：「往年」、「以往」。五代十國南唐．李煜〈虞美人．春花秋月何時了〉詞：「春花秋月何時了，往事知多少。」
[名]
1.昔日、昔時。《易經．繫辭下》：「夫易，彰往而察來，而微顯闡幽。」《荀子．解蔽》：「不慕往，不閔來，無邑憐之心。」
2.死者。《左傳．僖公九年》：「送往事居。」晉．杜預．注：「往，死者；居，生者。」
[介]
向、朝。表示動作的方向。如：「往東走」、「往前看」、「水往低處流，人往高處爬。」</t>
  </si>
  <si>
    <t>瀇</t>
  </si>
  <si>
    <t>參見「瀇洋」、「瀇瀁」等條。</t>
  </si>
  <si>
    <t>ㄨㄤˋ</t>
  </si>
  <si>
    <t>wàng</t>
  </si>
  <si>
    <t>[動]
統治天下、稱王。《詩經．大雅．皇矣》：「王此大邦，克順克比。」《史記．卷七．項羽本紀》：「懷王與諸將約曰：『先破秦入咸陽者王之』。」
[形]
興盛、旺盛。通「旺」。《莊子．養生主》：「澤雉十步一啄，百步一飲，不蘄畜乎樊中，神雖王，不善也。」唐．李白〈贈張相鎬〉詩二首之二：「英烈遺厥孫，百代神猶王。」</t>
  </si>
  <si>
    <t>(一)ㄨㄤˊ wáng（11525）(三)ㄩˋ yù（11644）</t>
  </si>
  <si>
    <t>[動]
前往。《說文解字．辵部》：「迋，往也。」《左傳．襄公二十八年》：「君使子展迋勞於東門之外而傲。」</t>
  </si>
  <si>
    <t>(二)ㄍㄨㄤˇ guǎng（04361）</t>
  </si>
  <si>
    <t>旺</t>
  </si>
  <si>
    <t>[形]
1.興盛。如：「六畜興旺」。《紅樓夢》第八八回：「此刻還算咱們家裡正旺的時候兒，他們就敢打架。」
2.熾盛、猛烈。《老殘遊記》第一六回：「屋內火盆旺著呢，快向屋裡烘去罷。」</t>
  </si>
  <si>
    <t>妄</t>
  </si>
  <si>
    <t>[副]
胡亂、任意。如：「輕舉妄動」、「妄下斷語」。《三國演義》第二回：「蹇碩設謀害我，可族滅其家，其餘不必妄加殘害。」
[形]
1.行為不正的。《左傳．哀公二十五年》：「彼好專利而妄，夫見君之入也，將先道焉。」《文選．孔稚珪．北山移文》：「截來轅於谷口，杜妄轡於郊端。」
2.荒誕不合事實的。如：「口出妄言」。漢．王充《論衡．變虛》：「是竟子韋之言妄，延年之語虛也。」
3.自大傲慢。如：「狂妄不羈」。</t>
  </si>
  <si>
    <t>[動]
1.不記得。如：「勿忘我」、「後事不忘前事之師」、「樂而忘返」、「廢寢忘食」、「得意忘形」。
2.遺失、喪失。《漢書．卷六三．武五子傳．戾太子劉據傳》：「臣聞子胥盡忠而忘其號，比干盡仁而遺其身。」唐．顏師古．注：「忘，亡也。吳王殺之，被以惡名，失其善稱號。」《文選．陸機．歎逝賦》：「樂隤心其如忘，哀緣情而來宅。」唐．李善．注：「忘，失也。」
3.遺棄、捨棄。《後漢書．卷二六．宋弘傳》：「臣聞貧賤之知不可忘，糟糠之妻不下堂。」</t>
  </si>
  <si>
    <t>(二)（讀音）ㄨㄤˊ wáng（11524）</t>
  </si>
  <si>
    <t>望</t>
  </si>
  <si>
    <t>[動]
1.向遠處或高處看。如：「登高望遠」、「一望無際」。唐．李白〈靜夜思〉詩：「舉頭望明月，低頭思故鄉。」宋．汪元量〈潮州歌〉：「北望燕雲不盡頭，大江東去水悠悠。」
2.希冀、期盼。如：「盼望」、「期望」、「渴望」。《孟子．梁惠王上》：「王如知此，則無望民之多於鄰國也。」
3.拜訪、慰問。如：「拜望」、「探望」。
4.怨恨、責備。《史記．卷八九．張耳陳餘傳》：「不意君之望臣深也！豈以臣為重去將哉？」《文選．司馬遷．報任少卿書》：「若望僕不相師，而用流俗人之言，僕非敢如此。」
5.將近、接近。唐．韓愈〈祭竇司業文〉：「逾七望八，年孰非翁。」《兒女英雄傳》第一回：「你那我雖然不至於老邁不堪，也是望五的人了。」
[名]
1.志願、心願。如：「願望」、「絕望」。
2.名譽、名聲。如：「名望」、「聲望」、「德高望重」。《三國演義》第八三回：「陸遜年幼望輕，恐諸公不服。」
3.農曆每月十五日，地球上所看見的滿月月相，後指農曆的每月十五日。《文選．枚乘．七發》：「將以八月之望，與諸侯遠方交游兄弟，並往觀濤乎廣陵之曲江。」宋．蘇軾〈後赤壁賦〉：「是歲十月之望，步自雪堂，將歸于臨皋。」
[介]
向、朝。如：「望後退」、「望前看」、「望我點點頭」。</t>
  </si>
  <si>
    <t>翁</t>
  </si>
  <si>
    <t>ㄨㄥ</t>
  </si>
  <si>
    <t>wēng</t>
  </si>
  <si>
    <t>[名]
1.父親。《史記．卷七．項羽本紀》：「吾翁即若翁，必欲烹而翁，則幸分我一桮羹。」宋．陸游〈示兒〉詩：「王師北定中原日，家祭無忘告乃翁。」
2.參見「翁姑」、「翁婿」等條。
3.對男性長者的尊稱。如：「老翁」、「李翁」、「漁翁」。唐．柳宗元〈江雪〉詩：「孤舟蓑笠翁，獨釣寒江雪。」
4.對男性的尊稱。如：「仁翁」、「某翁」。唐．杜甫〈自京赴奉先縣詠懷五百字〉：「取笑同學翁，浩歌彌激烈。」
5.姓。如漢代有翁伯。</t>
  </si>
  <si>
    <t>嗡</t>
  </si>
  <si>
    <t>[擬]
形容昆蟲翅膀拍動的聲音。如：「小蜜蜂，嗡嗡嗡，飛到西飛到東。」</t>
  </si>
  <si>
    <t>滃</t>
  </si>
  <si>
    <t>ㄨㄥˇ</t>
  </si>
  <si>
    <t>wěng</t>
  </si>
  <si>
    <t>[副]
1.雲氣湧起的樣子。《說文解字．水部》：「滃，雲氣起也。」漢．賈誼〈旱雲賦〉：「遙望白雲之蓬勃兮，滃澹澹而妄止。」
2.大水湧動的樣子。《廣韻．上聲．董韻》：「滃，大水貌。」宋．歐陽修〈豐樂亭記〉：「中有清泉，滃然而仰出。俯仰左右，顧而樂之。」</t>
  </si>
  <si>
    <t>塕</t>
  </si>
  <si>
    <t>[名]
塵土。《玉篇．土部》：「塕，塵也。」
[副]
風起塵土飛揚的樣子。《文選．宋玉．風賦》：「夫庶人之風，塕然起於窮巷之閒。」</t>
  </si>
  <si>
    <t>蓊</t>
  </si>
  <si>
    <t>[形]
參見「蓊蓊」、「蓊勃」等條。</t>
  </si>
  <si>
    <t>暡</t>
  </si>
  <si>
    <t>[形]
暡曚：天氣陰暗不明的樣子。《玉篇．日部》：「暡，暡曚，天氣不明也。」</t>
  </si>
  <si>
    <t>瓮</t>
  </si>
  <si>
    <t>ㄨㄥˋ</t>
  </si>
  <si>
    <t>wèng</t>
  </si>
  <si>
    <t>[名]
一種口小腹大，用以盛東西的器具。漢．揚雄《方言》卷五：「瓮，甖也。……自關而東，趙魏之郊謂之瓮，或謂之甖。」宋．王安石〈賜也〉詩：「桔槔俯仰妨何事，抱瓮區區者此身。」《水滸傳》第三三回：「此計大妙，卻似瓮中捉鱉，手到拿來。」</t>
  </si>
  <si>
    <t>甕</t>
  </si>
  <si>
    <t>[名]
1.一種口小腹大，用來盛東西的陶器。同「瓮」。如：「酒甕」、「水甕」、「菜甕」。
2.姓。如明代有甕蕙。</t>
  </si>
  <si>
    <t>罋</t>
  </si>
  <si>
    <t>[名]
一種口小腹大，用以盛東西的陶器。同「瓮」。《周禮．天官．膳夫》：「羞用百二十品，珍用八物，醬用百有二十罋。」南朝宋．劉義慶《世說新語．任誕》：「仲容至宗人閒共集，不復用常桮斟酌，以大罋盛酒，圍坐，相向大酌。」</t>
  </si>
  <si>
    <t>齆</t>
  </si>
  <si>
    <t>[名]
一種鼻道阻塞的疾病。《玉篇．鼻部》：「齆，鼻病也。」</t>
  </si>
  <si>
    <t>ㄩ</t>
  </si>
  <si>
    <t>yū</t>
  </si>
  <si>
    <t>[形]
彎曲不正的。通「紆」。《左傳．成公十四年》：「春秋之稱，微而顯，志而晦，婉而成章，盡而不汙。」《漢書．卷五一．鄒陽傳》：「回面汙行，以事諂諛之人。」</t>
  </si>
  <si>
    <t>(一)ㄨ wū（11217）(二)ㄨˋ wù（11284）(四)ㄩˊ yú（11558）(五)ㄨㄚ wā（11305）</t>
  </si>
  <si>
    <t>迂</t>
  </si>
  <si>
    <t>[形]
1.曲折。如：「迂迴」。宋．王令〈餓者行〉：「雨雪不止泥路迂，馬倒伏地人下扶。」
2.言行誇誕、不切實際。如：「迂腐」、「迂闊」。《國語．周語下》：「郤犫見，其語迂。」
[動]
繞道。明．徐弘祖《徐霞客遊記．卷一〇上．滇遊日記十二》：「騎夫以家在蕎甸，故強余迂此。」</t>
  </si>
  <si>
    <t>紆</t>
  </si>
  <si>
    <t>[形]
1.曲折。《說文解字．糸部》：「紆，詘也。」元．周伯琦〈野狐嶺〉詩：「澗谷深叵測，梯磴紆百盤。」
2.鬱結煩悶。《楚辭．劉向．九歎．憂苦》：「願假簧以舒憂兮，志紆鬱其難釋。」《文選．曹植．贈白馬王彪詩》：「玄黃猶能進，我思鬱以紆。」
[動]
1.圍繞、纏繞。《文選．陶淵明．始作鎮軍參軍經曲阿作詩》：「眇眇孤舟遊，綿綿歸思紆。」
2.繫戴、佩帶。《文選．揚雄．解嘲》：「紆青拖紫，朱丹其轂。」《文選．張衡．東京賦》：「冠通天，佩玉璽，紆皇組，要干將。」</t>
  </si>
  <si>
    <t>淤</t>
  </si>
  <si>
    <t>[名]
水中沉積的泥沙。《說文解字．水部》：「淤，澱滓濁泥。」《漢書．卷二九．溝洫志》：「春夏乾燥，少水時也，故使河流遲，貯淤而稍淺。」
[動]
沉積、阻塞。如：「淤積」。宋．沈括《夢溪筆談．卷二四．雜誌一》：「予出使至宿州，得一石碑，乃唐人鑿六陡門，發汴水以淤下澤，民獲其利，刻石以頌刺史之功。」
[形]
積滯不暢通的。如：「淤泥」。</t>
  </si>
  <si>
    <t>瘀</t>
  </si>
  <si>
    <t>參見「瘀血」條。</t>
  </si>
  <si>
    <t>ㄩˊ</t>
  </si>
  <si>
    <t>yú</t>
  </si>
  <si>
    <t>[動]
1.去、往。《文選．曹植．責躬詩》：「煢煢僕夫，于彼冀方。」
2.取。《詩經．豳風．七月》：「晝爾于茅，宵爾索綯。」《孟子．萬章下》：「殺越人于貨，閔不畏死，凡民罔不譈。」
[介]
1.在。同「於」。《儀禮．士昏禮》：「婿立于門外。」
2.以、用。《左傳．宣公十二年》：「楚自克庸以來，其君無日不以討國人而訓之，于民生之不易，禍至之無日，戒懼之不可以怠。」
3.對、對於。《詩經．邶風．泉水》：「有懷于衛，靡日不思。」
4.至、到。《淮南子．原道》：「以恬養性，以漠處神，則入于天門。」
5.依照。《書經．盤庚下》：「歷告爾百姓于朕志。」
6.為了。《孟子．萬章上》：「唯茲臣庶，女其于予治。」
[連]
和、與。《書經．康誥》：「告汝德之說，于罰之行。」
[助]
1.用於句首或句中，無義。如：「鳳凰于飛」。《詩經．周南．葛覃》：「黃鳥于飛。」
2.用於句尾，表示疑問的語氣。同「乎」。《呂氏春秋．審應覽．審應》：「然則先王聖于？」
[名]
姓。如明代有于謙。</t>
  </si>
  <si>
    <t>(二)ㄒㄩ xū（07260）</t>
  </si>
  <si>
    <t>參見「汙水」條。</t>
  </si>
  <si>
    <t>(一)ㄨ wū（11217）(二)ㄨˋ wù（11284）(三)ㄩ yū（11552）(五)ㄨㄚ wā（11305）</t>
  </si>
  <si>
    <t>邘</t>
  </si>
  <si>
    <t>[名]
國名。西周諸侯國之一。周武王封其子於此。故址約在今河南省沁陽縣西北。</t>
  </si>
  <si>
    <t>[名]
1.用來防水護田的隄岸。如：「堤圩」。清．顧炎武〈中憲大夫山西按察司副使寇公墓誌銘〉：「公乘舟出郊，勸民興工築圩，以食農民。」
2.兩淮鹽灘用來區別境域的土堤。如：「十二圩」。《儒林外史》第三二回：「你的事有指望了，而今我到圩裡去賣田。」
[形]
中間低而四周高起。《史記．卷四七．孔子世家》：「魯襄公二十二年而孔子生，生而首上圩頂，故因名曰丘云。」</t>
  </si>
  <si>
    <t>(二)（又音）ㄨㄟˊ wéi（11371）</t>
  </si>
  <si>
    <t>玗</t>
  </si>
  <si>
    <t>[名]
像玉的美石。《說文解字．玉部》：「玗，石之似玉者。」</t>
  </si>
  <si>
    <t>杅</t>
  </si>
  <si>
    <t>[名]
1.盛漿湯的器具。《儀禮．既夕禮》：「兩敦，兩杅，盤匜。」漢．鄭玄．注：「此皆常用之器也。杅，盛湯漿。」《後漢書．卷五二．崔駰傳》：「遠察近覽，俯仰有則，銘諸几杖，刻諸盤杅。」
2.沐浴用的器具。《禮記．玉藻》：「出杅，履蒯席，連用湯。」漢．鄭玄．注：「杅，浴器也。」唐．孔穎達．正義：「杅，浴之盆也。」</t>
  </si>
  <si>
    <t>盂</t>
  </si>
  <si>
    <t>[名]
1.盛食物或漿湯的容器。如：「水盂」、「缽盂」。《聊齋志異．卷一．勞山道士》：「遂各覓盎盂，競飲先釂，惟恐樽盡。」
2.地名：(1)春秋時衛地，約在今河北省濮陽縣東南。(2)春秋時宋地，約在今河南省睢縣。(3)春秋時晉地，約在今山西省陽曲縣東北。</t>
  </si>
  <si>
    <t>竽</t>
  </si>
  <si>
    <t>[名]
樂器名，吹管樂器。形似笙而較大，三十六管，後減至二十三管。《周禮．春官宗伯．笙師》：「笙師掌教吹竽、笙……管。」鄭玄注引鄭司農云：「竽，三十六簧；笙，十三簧。」</t>
  </si>
  <si>
    <t>予</t>
  </si>
  <si>
    <t>[代]
我。同「余」。《論語．述而》：「天生德於予，桓魋其如予何？」唐．李白〈送郄昂謫巴中〉詩：「予若洞庭葉，隨波送逐臣。」</t>
  </si>
  <si>
    <t>(二)ㄩˇ yǔ（11621）</t>
  </si>
  <si>
    <t>妤</t>
  </si>
  <si>
    <t>參見「吾吾」條。</t>
  </si>
  <si>
    <t>(一)ㄨˊ wú（11236）</t>
  </si>
  <si>
    <t>[副]
衙衙：列隊行走的樣子。《說文解字．行部》：「衙，衙衙，行貌。」清．段玉裁．注：「衙衙是行列之意。」《楚辭．宋玉．九辯》：「屬雷師之闐闐兮，通飛廉之衙衙。」</t>
  </si>
  <si>
    <t>(一)ㄧㄚˊ yá（10714）</t>
  </si>
  <si>
    <t>[名]
剩餘。《史記．卷二六．曆書》：「歸邪於終，事則不悖。」南朝宋．裴駰．集解：「邪，餘分也；終，閏月也。」</t>
  </si>
  <si>
    <t>(一)ㄒㄧㄝˊ xié（06931）(二)（(一)之又音）ㄒㄧㄚˊ xiá（06890）(三)ㄧㄝˊ yé（10742）(五)ㄒㄩˊ xú（06890）</t>
  </si>
  <si>
    <t>[代]
我，表第一人稱。《文選．班彪．北征賦》：「余遭世之顛覆兮，罹填塞之阨災。」《文選．陸機．歎逝賦》：「余將老而為客。」
[名]
1.剩下、多餘。同「餘」。《周禮．地官．委人》：「凡其余，聚以待頒賜。」
2.姓。如宋代有余靖。</t>
  </si>
  <si>
    <t>(二)ㄒㄩˊ xú（07284）</t>
  </si>
  <si>
    <t>狳</t>
  </si>
  <si>
    <t>[名]
開墾過二年的田地。《說文解字．田部》：「畬，二歲治田也。」</t>
  </si>
  <si>
    <t>(二)ㄕㄜ shē（08819）</t>
  </si>
  <si>
    <t>[名]
蝳蜍：蜘蛛的別名。參見「蜘蛛」條。</t>
  </si>
  <si>
    <t>(一)ㄔㄨˊ chú（08534）</t>
  </si>
  <si>
    <t>艅</t>
  </si>
  <si>
    <t>餘</t>
  </si>
  <si>
    <t>[形]
1.多出的、剩下的。如：「餘錢」、「不遺餘力」。宋．王庭珪〈和周秀實家行〉：「先輸官倉足兵食，餘粟尚可瓶中藏。」
2.殘留的、將盡的。如：「餘年」、「餘生」、「餘燼」。宋．方岳〈農謠〉二首之二：「漠漠餘香著草花，森森柔綠長桑麻。」
3.其他的。如：「餘念」、「餘事」。
4.不盡的、未完的。如：「死有餘辜」、「心有餘悸」、「餘音繞梁」。
[名]
1.某一事情、情況以外或以後的時間。如：「課餘」、「業餘」、「公餘」。唐．孟浩然〈行出東山望漢川〉詩：「雪餘春未暖，嵐解晝初陽。」
2.大數目或度量單位等的零數。如：「三十有餘」、「年四十餘」。清．姚鼐〈登泰山記〉：「四十五里，道皆砌石為磴，其級七千有餘。」
3.姓。如十六國時後燕有餘蔚。
[副]
以後。如：「他虛心反省之餘，決心改過。」
[動]
剩下、遺留。如：「餘留」。唐．戴叔倫〈屯田詞〉：「新禾未熟飛蝗至，青苗食盡餘枯莖。」宋．周邦彥〈浪淘沙慢．晝陰重〉詞：「弄夜色，空餘滿地梨花雪。」</t>
  </si>
  <si>
    <t>[介]_x000D_
1.在。如：「生於某年」、「舟行於海」、「生於斯，長於斯。」_x000D_
2.給。《論語．衛靈公》：「己所不欲，勿施於人。」_x000D_
3.向。《論語．學而》：「子禽問於子貢。」《明史．卷二．太祖本紀二》：「丙子，頒即位詔於天下。」_x000D_
4.對。如：「於心不忍」、「於事無補」。《論語．公冶長》：「始吾於人也，聽其言而信其行；今吾於人也，聽其言而觀其行。」_x000D_
5.到、至。《史記．卷二九．河渠書》：「於吳，則通渠三江、五湖；於齊，則通菑濟之閒。」唐．柳宗元〈捕蛇者說〉：「自吾氏三世居是鄉，積於今六十歲矣。」_x000D_
6.從、由。《老子》第六四章：「千里之行，始於足下。」南朝宋．劉義慶《世說新語．雅量》：「褚公於章安令遷太尉記室參軍。」_x000D_
7.被，置於動詞之後，表示被動。《左傳．成公二年》：「郤克傷於矢，流血及屨。」《史記．卷六八．商君傳》：「魏惠王兵數破於齊、秦，國內空，日以削，恐。」_x000D_
8.為、為了。《史記．卷三二．齊太公世家》：「齊使管仲平戎於周。」_x000D_
9.比，置於形容詞之後，表示比較。《禮記．檀弓下》：「苛政猛於虎也。」唐．李白〈蜀道難〉：「噫吁戲危乎高哉，蜀道之難、難於上青天。」_x000D_
10. 和、與、跟。《論語．子路》：「吾黨之直者異於是，父為子隱，子為父隱，直在其中矣。」宋．蘇軾〈日喻〉：「而人之未達也，無以異於眇。」_x000D_
[連]_x000D_
與、和，表示並列。《戰國策．齊策一》：「今趙之與秦，猶齊之於魯也。」《漢書．卷六〇．杜周傳》：「況將軍之於主上，主上之與將軍哉！」_x000D_
[動]_x000D_
依靠。三國魏．曹植〈當來日大難〉詩：「廣情故，心相於。」唐．劉得仁〈贈敬晊助教〉詩二首之一：「便欲去隨為弟子，片雲孤鶴可相於。」_x000D_
[助]_x000D_
位於句首的語氣詞，無義。《易經．繫辭下》：「於稽其類，其衰世之意邪。」唐．盧肇〈漢堤〉詩：「於惟餘甿，飢傷喘呼。」_x000D_
[名]_x000D_
姓。如宋代有於清言。</t>
  </si>
  <si>
    <t>(二)ㄨ wū（11223）</t>
  </si>
  <si>
    <t>[名]
枯萎。宋．司馬光〈論張堯佐除宣徽史狀〉：「盛夏日方中而灌之，瓜不旋踵而菸敗。」</t>
  </si>
  <si>
    <t>(一)ㄧㄢ yān（10949）</t>
  </si>
  <si>
    <t>臾</t>
  </si>
  <si>
    <t>[動]
捆綁拖拉。《說文解字．申部》：「臾，束縛捽抴為臾曳。」
[名]
1.參見「須臾」條。
2.姓。如春秋時晉國有臾駢。</t>
  </si>
  <si>
    <t>(二)ㄩㄥˇ yǒng（11901）</t>
  </si>
  <si>
    <t>舁</t>
  </si>
  <si>
    <t>[動]
1.抬舉、扛抬。《三國志．卷一三．魏書．鍾繇傳》：「時華歆亦以高年疾病，朝見皆使載輿車，虎賁舁上殿就坐。」《聊齋志異．卷八．陳錫九》：「意料女必死，遂舁歸錫九。」
2.裝載。唐．韓愈〈憶昨行和張十一〉詩：「車載牲牢甕舁酒，並召賓客延鄒枚。」《金史．卷一二七．隱逸傳．宋可傳》：「因呼妻子舁金歸之，鄉里用是重之。」</t>
  </si>
  <si>
    <t>楰</t>
  </si>
  <si>
    <t>[名]
古書上記載的一種楸樹。即鼠梓。葉大如桐樹而黑。《爾雅．釋木》：「楰，鼠梓。」清．郝懿行．義疏：「今一種楸，大葉如桐葉而黑，山中人謂檟楸。」《詩經．小雅．南山有臺》：「南山有枸，北山有楰。」唐．孔穎達．正義：「楰，鼠梓。……郭璞曰：『楸屬也。』陸璣．疏曰：『其樹葉、木理如楸，山楸之異者，今人謂之苦楸是也。』」</t>
  </si>
  <si>
    <t>萸</t>
  </si>
  <si>
    <t>腴</t>
  </si>
  <si>
    <t>[形]
1.肥沃。如：「膏腴之地」。《金史．卷四七．食貨志二》：「腴地盡入富家，瘠者乃付貧戶。」
2.豐滿。如：「豐腴」。唐．白行簡《李娃傳》：「未數月，肌膚稍腴，卒歲，平愈如初。」
[名]
1.肥肉。《文選．枚乘．七發》：「犓牛之腴，菜以筍蒲。」《南史．卷七．梁武帝本紀下》：「膳無鮮腴，惟豆羹糲飯而已。」
2.豬狗的腸胃。《禮記．少儀》：「君子不食圂腴，小子走而不趨，舉爵則坐立飲。」唐．孔穎達．正義：「腴，豬犬腸也。」
3.油脂。漢．王充《論衡．藝增》：「稻粱之味，甘而多腴。」宋．蘇軾〈送喬仝寄賀君〉詩六首之一：「結茅窮山啖松腴，路逢逃秦博士盧。」
4.富裕之境。《晉書．卷六九．周顗傳》：「伯仁凝正，處腴能約。」唐．孟浩然〈贈蕭少府〉詩：「處腴能不潤，居劇體常閒。」</t>
  </si>
  <si>
    <t>與</t>
  </si>
  <si>
    <t>[助]
1.置於句末，表示感嘆的語氣。同「歟」。《論語．學而》：「孝弟也者，其為仁之本與！」
2.置於句末，表示疑問、反詰的語氣。同「歟」。《楚辭．屈原．漁父》：「漁父見而問之曰：『子非三閭大夫與？』」漢．王充《論衡．刺孟》：「沈同以其私問曰：『燕可伐與？』」</t>
  </si>
  <si>
    <t>(一)ㄩˇ yǔ（11637）(二)ㄩˋ yù（11716）</t>
  </si>
  <si>
    <t>諛</t>
  </si>
  <si>
    <t>[動]
諂媚、奉承。如：「阿諛」。《書經．冏命》：「僕臣諛，厥后自聖。」《史記．卷一〇七．魏其武安侯傳》：「灌夫為人剛直使酒，不好面諛。」</t>
  </si>
  <si>
    <t>輿</t>
  </si>
  <si>
    <t>[名]
1.車。如：「舍舟就輿」。《老子》第八〇章：「雖有舟輿，無所乘之。」
2.轎子。如：「肩輿」、「彩輿」。《遼史．卷五五．儀衛志一》：「輿：以人肩之，天子用韝絡臂綰。」明．徐弘祖《徐霞客遊記．卷八下．滇遊日記九》：「油碧輿五六肩，乃婦人之遊於林間者，不能近辨其為何樹也。」
3.地域、疆域。如：「輿地」、「輿圖」。《史記．卷六〇．三王世家》：「御史奏輿地圖，他皆如前故事。」
[動]
扛抬。《漢書．卷六四上．嚴助傳》：「輿轎而隃領，拕舟而入水。」《隋書．卷八一．東夷傳．流求傳》：「王乘木獸，令左右輿之而行，導從不過數十人。」
[形]
公眾的。如：「輿論」。《資治通鑑．卷二二九．唐紀四十五．德宗建中四年》：「頃者竊聞輿議，頗究群情。」</t>
  </si>
  <si>
    <t>璵</t>
  </si>
  <si>
    <t>參見「璵璠」條。</t>
  </si>
  <si>
    <t>歟</t>
  </si>
  <si>
    <t>[助]
1.置於句末，表疑問、反詰等語氣。多用於文言文中。相當於「嗎」。唐．柳宗元〈連山郡復乳穴記〉：「斯其為政也，而獨非祥也歟？」
2.表示感嘆的語氣。多用於文言文中。相當於「啊」、「吧」。漢．武帝〈詔賢良〉：「未知所濟，猗歟！偉歟！」宋．蘇軾〈留侯論〉：「嗚呼！此其所以為子房歟！」</t>
  </si>
  <si>
    <t>旟</t>
  </si>
  <si>
    <t>[名]
古代指揮軍隊前進的旗子，畫有鳥振翅疾飛的圖像。《說文解字．㫃部》：「旟，錯革鳥其上，所以進士眾。」</t>
  </si>
  <si>
    <t>轝</t>
  </si>
  <si>
    <t>[名]
1.用手抬扛的車。《字彙．車部》：「轝，兩手對舉之車。」
2.泛指車。同「輿」。唐．李公佐〈南柯太守傳〉：「郡有官吏、僧道、耆老、音樂、車轝、武衛、鑾鈴，爭來迎奉。」
3.載送靈柩的器具。唐．玄宗〈優恤張守潔等制〉：「用加優恤，以慰泉壤。宜官造靈轝，給傳還鄉。」
[動]
扛、舉。《遼史．卷五五．儀衛志一》：「皇帝乘椅，自便殿轝至西便門。」</t>
  </si>
  <si>
    <t>禺</t>
  </si>
  <si>
    <t>[名]
區域。《管子．侈靡》：「王者上事，霸者生功，言重本，是為十禺。」唐．尹知章．注：「禺，猶區也。」</t>
  </si>
  <si>
    <t>(二)ㄩˋ yù（11670）</t>
  </si>
  <si>
    <t>喁</t>
  </si>
  <si>
    <t>[動]
(一)之又音。
[名]
相應和的聲音。《莊子．齊物論》：「前者唱于而隨者唱喁。」</t>
  </si>
  <si>
    <t>(一)ㄩㄥˊ yóng（11887）</t>
  </si>
  <si>
    <t>嵎</t>
  </si>
  <si>
    <t>[名]
1.山彎曲的地方。《字彙．山部》：「嵎，山曲曰嵎。」《西遊記》第七三回：「香蘭圍石屋，芳草映巖嵎。」
2.角落。通「隅」。晉．支遁〈述懷詩〉二首之一：「惚怳迴靈翰，息肩棲南嵎。」</t>
  </si>
  <si>
    <t>隅</t>
  </si>
  <si>
    <t>[名]
1.山、水彎曲轉角的地方。如：「海隅」。唐．杜甫〈潼關吏〉詩：「要我下馬行，為我指山隅。」
2.角、角落。如：「牆隅」、「四隅」。《詩經．邶風．靜女》：「靜女其姝，俟我於城隅。」
3.邊、旁。《樂府詩集．卷三七．相和歌辭十二．古辭．隴西行》：「桂樹夾道生，青龍對道隅。」
4.邊遠的地方。《淮南子．原道》：「經營四隅，還反於樞。」
5.事物的一端或一面。《後漢書．卷四九．仲長統傳．贊曰》：「舉端自理，滯隅則失。」</t>
  </si>
  <si>
    <t>愚</t>
  </si>
  <si>
    <t>[形]_x000D_
1.笨傻、不聰明。如：「愚笨」、「愚昧無知」。《論語．為政》：「退而省其私，亦足以發，回也不愚。」唐．白居易〈新樂府．澗底松〉：「高者未必賢，下者未必愚。」_x000D_
2.謙稱與自身有關的。如：「愚見」、「愚兄」。《戰國策．秦策五》：「臣效愚計，大王不用。」南朝梁．任昉〈百辟勸進今上牋〉：「某等不達通變，實有愚誠。」《儒林外史》第四五回：「不瞞大哥說，經過我愚弟兄兩個看的地，一毫也沒得辨駁的！」_x000D_
[動]_x000D_
欺騙、蒙騙。《孫子．九地》：「能愚士卒之耳目，使之無知。」漢．賈誼〈過秦論〉：「於是廢先王之道，燔百家之言，以愚黔首。」_x000D_
[代]_x000D_
自稱的謙詞。三國蜀．諸葛亮〈出師表〉：「愚以為宮中之事，事無大小，悉以咨之，然後施行。」唐．劉得仁〈賀顧非熊及第其年內索文章〉詩：「愚為童稚時，已解念君詩。」</t>
  </si>
  <si>
    <t>[形]
1.牙齒不正。《玉篇．齒部》：「齵，齒不齊也。」
2.參差不齊的樣子。《周禮．冬官考工記．輪人》：「察其菑蚤不齵，則輪雖敝不匡。」《荀子．君道》：「天下之變，境內之事，有弛易齵差者矣。」</t>
  </si>
  <si>
    <t>(二)（又音）ㄡˊ óu（10402）</t>
  </si>
  <si>
    <t>[動]
1.挖空樹木以作舟。《說文解字．舟部》：「俞，空中木為舟也。」
2.表示答應、允諾的意思。《漢書．卷五七．司馬相如傳下》：「於是天子沛然改容，曰：『俞乎，朕其試哉！』」
[名]
姓。如漢代有俞連。</t>
  </si>
  <si>
    <t>(二)ㄩˋ yù（11673）(三)ㄕㄨ shū（09053）</t>
  </si>
  <si>
    <t>渝</t>
  </si>
  <si>
    <t>[動]
變更、改變。如：「信守不渝」、「此情不渝」。《詩經．鄭風．羔裘》：「彼其之子，舍命不渝。」
[名]
四川省重慶市的簡稱。如：「成渝鐵路」。</t>
  </si>
  <si>
    <t>愉</t>
  </si>
  <si>
    <t>[形]
快樂、高興。如：「愉快」、「歡愉」、「愉悅」。</t>
  </si>
  <si>
    <t>[動]
1.拖曳、牽引。《說文解字．手部》：「揄，引也。」《史記．卷一一七．司馬相如傳》：「於是鄭女曼姬，被阿錫，揄紵縞。」唐．張守節．正義：「揄，曳也。」《聊齋志異．卷一．嬌娜》：「女乃斂羞容，揄長袖，就榻診視。」
2.揮動。《韓非子．內儲說下》：「御者因揄刀而劓美人。」《淮南子．氾論》：「揄三尺之刃，造桓公之胸。」
3.引出、提出。《淮南子．主術》：「使言之而非也，雖在卿相人君，揄策於廟堂之上，未必可用。」《漢書．卷二二．禮樂志》：「神之揄，臨壇宇。」唐．顏師古．注：「言神引來降臨之也。」
4.參見「揶揄」條。</t>
  </si>
  <si>
    <t>(二)ㄧㄠˊ yáo（10818）(三)ㄧㄡˊ yóu（10895）</t>
  </si>
  <si>
    <t>[動]
安享。《楚辭．屈原．卜居》：「寧正言不諱以危身乎，將從俗富貴以媮生乎。」</t>
  </si>
  <si>
    <t>(一)ㄊㄡ tōu（02517）</t>
  </si>
  <si>
    <t>參見「隃麋」條。</t>
  </si>
  <si>
    <t>(二)ㄧㄠˊ yáo（10819）</t>
  </si>
  <si>
    <t>瑜</t>
  </si>
  <si>
    <t>[名]
1.美玉。《楚辭．屈原．九章．懷沙》：「懷瑾握瑜兮，窮不知所示。」
2.玉的光彩。如：「瑕不掩瑜」。
3.參見「瑜伽」條。</t>
  </si>
  <si>
    <t>榆</t>
  </si>
  <si>
    <t>[名]
植物名。榆科榆屬，「榆樹」之古稱，參見「榆樹」條。</t>
  </si>
  <si>
    <t>逾</t>
  </si>
  <si>
    <t>[動]
1.越過、超過。如：「逾牆」、「逾時不候」、「年逾六十」。唐．柳宗元〈哭連州凌員外司馬〉詩：「著書逾十年，幽頤靡不推。」宋．蘇轍〈六國論〉：「秦人不敢逾韓魏以窺齊楚燕趙之國。」
2.經歷、經過。南朝梁．蕭統〈文選序〉：「時更七代，數逾千祀。」唐．柳宗元〈睢陽廟碑〉：「浩浩烈士，不聞濟師。兵食殲焉，守逾三時。」
[副]
更加。《淮南子．原道》：「不足以禁姦塞邪，亂乃逾滋。」《明史．卷二九五．忠義傳七．王勵精傳》：「其墨跡久逾新，滌之不滅。」</t>
  </si>
  <si>
    <t>(二)（又音）ㄕㄨ shū（09054）</t>
  </si>
  <si>
    <t>歈</t>
  </si>
  <si>
    <t>[名]
歌曲、歌謠。《楚辭．宋玉．招魂》：「吳歈蔡謳，奏大呂些。」唐．劉禹錫〈竹枝詞．序〉：「故余亦作竹枝九篇，俾善歌者颺之，附于末。後之聆巴歈，知變風之自焉。」</t>
  </si>
  <si>
    <t>(一)ㄕㄨˋ shù（09107）</t>
  </si>
  <si>
    <t>窬</t>
  </si>
  <si>
    <t>[名]
門邊牆上的圭形小洞。《說文解字．穴部》「窬」字．清．段玉裁．注：「是則於門旁穿壁，以木衺直居之，令如圭形，謂之圭窬。」
[動]
1.挖鑿、穿鑿。《淮南子．泰族》：「埏埴而為器，窬木而為舟。」
2.穿越、超越。通「踰」。《論語．陽貨》：「子曰：『色厲內荏，譬諸小人，其猶穿窬之盜也與。』」</t>
  </si>
  <si>
    <t>睮</t>
  </si>
  <si>
    <t>參見「睮睮」條。</t>
  </si>
  <si>
    <t>羭</t>
  </si>
  <si>
    <t>[名]
1.母羊。《列子．天瑞》：「老韭之為莧也，老羭之為猿也。」晉．張湛．注：「羭，牝羊也。」
2.美德。《左傳．僖公四年》：「專之渝，攘公之羭。」晉．杜預．注：「羭，美也。」</t>
  </si>
  <si>
    <t>褕</t>
  </si>
  <si>
    <t>[名]
參見「襜褕」條。
[形]
華美的。《史記．卷九二．淮陰侯傳》：「農夫莫不輟耕釋耒，褕衣甘食，傾耳以待命者。」</t>
  </si>
  <si>
    <t>蝓</t>
  </si>
  <si>
    <t>踰</t>
  </si>
  <si>
    <t>[動]
越過、超過。同「逾」。《詩經．鄭風．將仲子》：「無踰我牆，無折我樹桑。」《三國志．卷一七．魏書．徐晃傳》：「將軍之功，踰孫武、穰苴。」</t>
  </si>
  <si>
    <t>覦</t>
  </si>
  <si>
    <t>[動]
企求、冀求。如：「覬覦」。《後漢書．卷五五．章帝八王傳．河間孝王開傳》：「云與中大夫趙王謀圖不軌，闚覦神器。」《陳書．卷三一．蕭摩訶傳》：「會隋總管賀若弼鎮廣陵，窺覦江左，後主委摩訶備禦之任。」</t>
  </si>
  <si>
    <t>娛</t>
  </si>
  <si>
    <t>[名]
快樂、歡樂。如：「耳目之娛」。晉．王羲之〈三月三日蘭亭詩序〉：「足以極視聽之娛，信可樂也。」
[動]
1.取悅、使快樂。如：「自娛娛人」。南朝宋．謝靈運〈石壁精舍還湖中作〉詩：「清暉能娛人，游子憺忘歸。」
2.慰藉。《楚辭．屈原．九章．思美人》：「吾將蕩志而愉樂兮，遵江夏以娛憂。」唐．韓愈〈上兵部李侍郎書〉：「舒憂娛悲，雜以瑰怪之言。」</t>
  </si>
  <si>
    <t>虞</t>
  </si>
  <si>
    <t>[動]
1.憂慮。如：「性命堪虞」。明．馬中錫《中山狼傳》：「前虞跋胡後恐疐尾，三納之而未克。」
2.疑慮、顧慮。《詩經．魯頌．閟宮》：「無貳無虞，上帝臨女。」
3.預料、猜想。《孟子．離婁上》：「有不虞之譽，有求全之毀。」《新唐書．卷一三八．李嗣業傳》：「虜不虞軍至，因大潰。」
4.欺騙。如：「爾虞我詐」。《左傳．宣公十五年》：「我無爾詐，爾無我虞。」
[名]
1.國名：(1)傳說為舜祖先的封地，故址約在今山西省平陸縣虞城。(2)舜子商均受封之地，故城約在今河南省虞城縣西南。
2.參見「虞舜」條。
3.姓。如宋代有虞允文。</t>
  </si>
  <si>
    <t>雩</t>
  </si>
  <si>
    <t>[名]
古代一種求雨的祭典。《續漢書志．第五．禮儀志中》：「其旱也，公卿官長以次行雩禮求雨。」</t>
  </si>
  <si>
    <t>(二)ㄩˋ yù（11662）</t>
  </si>
  <si>
    <t>[動]
虛誇、胡說。《說文解字．言部》：「謣，妄言。」漢．揚雄《法言．問明》：「謣言敗俗，謣好敗則。」</t>
  </si>
  <si>
    <t>(二)ㄒㄩ xū（07282）</t>
  </si>
  <si>
    <t>魚</t>
  </si>
  <si>
    <t>[名]_x000D_
1.水生脊椎動物的總稱。體溫隨外界溫度而變化、卵生，大都有鰭和鱗，以鰓呼吸，種類繁多。參見「魚類」條。_x000D_
2.生活在於水中的軟體動物，如：章魚目之「章魚」、管魷目之「魷魚」、烏賊目之「墨魚」。_x000D_
3.生活在水中而非魚類的動物。如：哺乳動物之「鯨魚」、爬蟲類動物之「鱷魚」、脊椎動物之「甲魚」。_x000D_
4.非魚類而形狀像魚的動物。如：「蠹魚」。_x000D_
5.姓。如唐代有魚朝恩。_x000D_
6.二一四部首之一。</t>
  </si>
  <si>
    <t>漁</t>
  </si>
  <si>
    <t>[動]
1.捕魚。如：「竭澤而漁」。宋．歐陽修〈醉翁亭記〉：「臨溪而漁，溪深而魚肥。」
2.用不正當的手段掠奪、謀取。《商君書．修權》：「秩官之吏，隱下以漁百姓，此民之蠹也。」《元史．卷一七三．崔斌傳》：「既至，凡前日蠹國漁民不法之政，悉釐正之。」
[形]
與捕魚有關的。如：「漁業」、「漁翁」、「漁船」。
[名]
姓。如宋代有漁陽鴻。</t>
  </si>
  <si>
    <t>ㄩˇ</t>
  </si>
  <si>
    <t>yǔ</t>
  </si>
  <si>
    <t>[動]
1.給。通「與」。如：「給予」、「贈予」、「授予」、「賦予」。《詩經．小雅．采菽》：「彼交匪紓，天子所予。」
2.贊許。《管子．宙合》：「主盛處賢，而自予雄也。」《漢書．卷九七．外戚傳下．孝成趙皇后傳》：「魯嚴公夫人殺世子，齊桓召而誅焉。《春秋》予之。」</t>
  </si>
  <si>
    <t>(一)ㄩˊ yú（11565）</t>
  </si>
  <si>
    <t>宇</t>
  </si>
  <si>
    <t>[名]
1.屋簷。《易經．繫辭下》：「上古穴居而野處，後世聖人易之以宮室，上棟下宇，以待風雨，蓋取之大壯。」
2.房屋。如：「屋宇」。《楚辭．宋玉．招魂》：「高堂邃宇，檻層軒些。」宋．蘇軾〈水調歌頭．明月幾時有〉詞：「我欲乘風歸去，又恐瓊樓玉宇，高處不勝寒。」
3.疆域、國境。《左傳．昭公四年》：「或無難以喪其國，失其守宇。」《文選．枚乘．七發》：「今時天下安寧，四宇和平。」
4.上下四方，為整個空間的總稱。如：「宇宙」、「寰宇」。《荀子．富國》：「萬物同宇而異體，無宜而有用。」
5.人的儀表、風度。如：「眉宇」、「氣宇軒昂」。《晉書．卷七九．謝安傳》：「神識沉敏，風宇條暢。」</t>
  </si>
  <si>
    <t>羽</t>
  </si>
  <si>
    <t>[名]
1.鳥類的毛。《易經．漸卦．上九》：「鴻漸于陸，其羽可用為儀，吉。」《韓非子．解老》：「人無毛羽，不衣則不犯寒。」
2.鳥類或飛蟲的翅膀。《禮記．月令》：「鳴鳩拂其羽，戴勝降于桑。」漢．張衡〈七辯〉：「京城阿縞，譬之蟬羽。」
3.鳥類的代稱。如：「羽族」。《文選．曹植．七啟》：「野無毛類，林無羽群。」
4.古代舞者拿在手上的裝飾物，以雉尾製成。《淮南子．時則》：「命樂師脩鞀鼙玲瑟管簫，調竽曕，飾鐘磬，執干戚戈羽。」
5.古代五音之一。《呂氏春秋．孟冬紀．孟冬》：「其蟲介，其音羽。」晉．陶淵明〈詠荊軻詩〉：「商音更流涕，羽奏壯士驚。」
6.箭。《文選．鮑照．擬古詩三首之一》：「留我一白羽，將以分虎竹。」唐．王涯〈隴上行〉：「負羽到邊州，鳴笳度隴頭。」
7.同黨、朋友、嘍囉。如：「黨羽」。《韓非子．外儲說右上》：「立有閒，時季羽在側。」
8.釣魚用的浮標。《呂氏春秋．離俗覽．離俗》：「魚有大小，餌有宜適，羽有動靜。」
9.姓。如春秋時鄭國有羽頡。
10. 二一四部首之一。
[形]
以羽毛製成的。如：「羽扇綸巾」。《漢書．卷二五．郊祀志上》：「五利將軍亦衣羽衣，立白茅上受印。」</t>
  </si>
  <si>
    <t>雨</t>
  </si>
  <si>
    <t>[名]
1.空氣中的水蒸氣遇冷凝結而降落的小水滴。如：「春雨」、「梅雨」、「風雨交加」、「秋風秋雨愁煞人」。
2.朋友。如：「舊雨新知」。唐．杜甫〈秋述〉：「秋，杜子臥病長安旅次，……，青苔及榻，常時車馬之客，舊雨來，今雨不來。」
3.二一四部首之一。</t>
  </si>
  <si>
    <t>(二)ㄩˋ yù（11661）</t>
  </si>
  <si>
    <t>俁</t>
  </si>
  <si>
    <t>參見「俁俁」條。</t>
  </si>
  <si>
    <t>麌</t>
  </si>
  <si>
    <t>[名]
雄鹿。《廣韻．上聲．虞韻》：「麌，牡鹿。」
[形]
群聚的樣子。唐．杜甫〈朝享太廟賦〉：「熙事莽而充塞，群心麌以振蕩。」</t>
  </si>
  <si>
    <t>禹</t>
  </si>
  <si>
    <t>[名]
1.傳說中的一種蟲。《說文解字．禸部》：「禹，蟲也。」
2.人名。夏代開國之君。相傳因治水有功，得舜讓位，立國為夏。也稱為「大禹」、「夏禹」。
3.姓。如金代有禹顯。</t>
  </si>
  <si>
    <t>偊</t>
  </si>
  <si>
    <t>[副]
偊偊：獨行的樣子。明．張自烈《正字通．人部》：「偊，偊偊，獨行貌。」《列子．力命》：「汝奚往而反，偊偊而步，有深愧之色邪？」</t>
  </si>
  <si>
    <t>瑀</t>
  </si>
  <si>
    <t>[名]
1.質地似玉的美石。《說文解字．玉部》：「瑀，石之次玉者。」
2.玉佩。《續漢書志．第三十．輿服志下》：「至孝明皇帝，乃為大佩，衝牙雙瑀璜，皆以白玉。」</t>
  </si>
  <si>
    <t>[名]
1.一種草。《說文解字．艸部》：「萭，草名。」
2.姓。如漢代有萭章。</t>
  </si>
  <si>
    <t>(二)ㄐㄩˇ jǔ（06025）</t>
  </si>
  <si>
    <t>圄</t>
  </si>
  <si>
    <t>[動]
1.守禦。《說文解字．囗部》：「圄，守之也。」《漢書．卷四八．賈誼傳》：「輔翼之臣誠死君上，守圄扞敵之臣誠死城郭封疆。」
2.囚禁。《左傳．宣公四年》：「子越又惡之，乃以若敖氏之族，圄伯嬴於轑陽而殺之。」
[名]
監獄。如：「囹圄」。《晏子春秋．內篇．諫下》：「景公藉重而獄多，拘者滿圄，怨者滿朝。」《南史．卷五九．江淹傳》：「身陷幽圄，履影弔心。」</t>
  </si>
  <si>
    <t>敔</t>
  </si>
  <si>
    <t>[動]_x000D_
囚禁。《說文解字．攴部》：「敔，禁也。」_x000D_
[名]_x000D_
樂器名。古代的敲擊樂器之一。以木製成，形狀像趴著的老虎，背上裝有二十七個金屬片，用以停止音樂的進行。《書經．益稷》：「下管鞀鼓，合止柷敔。」唐．孔穎達．正義：「樂之初，擊柷以作之；樂之將末，戛敔以止之。」</t>
  </si>
  <si>
    <t>語</t>
  </si>
  <si>
    <t>[動]
1.說話、談論、議論。如：「不言不語」、「默默不語」。《論語．述而》：「子不語：怪、力、亂、神。」南朝宋．劉義慶《世說新語．文學》：「去後看莊、老，更與王語，便足相抗衡。」
2.蟲鳥野獸鳴叫。唐．韋莊〈應天長．綠槐陰裡黃鶯語〉詞：「綠槐陰裡黃鶯語，深院無人春晝午。」宋．范成大〈蛩〉詩：「壁下秋蟲語，一蛩鳴獨雄。」
[名]
1.用口頭表達的話。如：「語言」、「語無倫次」。唐．岑參〈逢入京使〉詩：「馬上相逢無紙筆，憑君傳語報平安。」
2.詩詞文章中的字句。唐．杜甫〈江上值水如海勢聊短述〉詩：「為人性僻耽佳句，語不驚人死不休。」《宋史．卷二六三．李穆傳》：「十歲為詩，往往有警語。」
3.特指古語、諺語、俗語等。《穀梁傳．僖公二年》：「語曰：『脣亡則齒寒。』」《商君書．更法》：「語曰：『愚者闇於成事，知者見於未萌。』」
4.傳達思想或訊息的動作或信號。如：「手語」、「旗語」。南朝梁．劉孝威〈鄀縣遇見人織率爾寄婦〉詩：「窗疏眉語度，紗輕眼笑來。」
5.蟲鳥等的鳴叫聲。如：「蟬語」。《後漢書．卷八六．南蠻西南夷傳．西南夷傳》：「及其化行，則緩耳雕腳之倫，獸居鳥語之類，莫不舉種盡落。」</t>
  </si>
  <si>
    <t>(二)ㄩˋ yù（11715）</t>
  </si>
  <si>
    <t>齬</t>
  </si>
  <si>
    <t>庾</t>
  </si>
  <si>
    <t>[名]
1.沒有頂蓋、露天的穀倉。《詩經．小雅．楚茨》：「我倉既盈，我庾維億。」漢．毛亨．傳：「露積曰庾。」《史記．卷一〇．孝文本紀》：「發倉庾以振貧民，民得賣爵。」
2.量詞。古代計算容量的單位。相當於十六斗。《左傳．昭公二十六年》：「能貨子猶為高氏後，粟五千庾。」晉．杜預．注：「庾，十六斗。」《論語．雍也》：「冉子為其母請粟。子曰：『與之釜。』請益。曰：『與之庾。』」
3.姓。如北周時有庾信。</t>
  </si>
  <si>
    <t>瘐</t>
  </si>
  <si>
    <t>參見「瘐死」條。</t>
  </si>
  <si>
    <t>[名]
同類、朋黨。《說文解字．舁部》：「與，黨與也。」《史記．卷八九．張耳陳餘傳》：「敵多則力分，與眾則兵彊。」《漢書．卷六三．武五子傳．燕刺王劉旦傳》：「群臣連與成朋，非毀宗室。」
[動]
1.贊成、允許。《論語．先進》：「夫子喟然歎曰：『吾與點也！』」《資治通鑑．卷三二．漢紀二十四．成帝綏和元年》：「傳不云乎：『朝過夕改，君子與之。』」
2.支助、贊助。《老子》第七九章：「天道無親，常與善人。」唐．陳子昂〈感遇〉詩三八首之一七：「豈無當世雄，天道與胡兵。」
3.給予。如：「贈與」、「授與」。《孟子．離婁下》：「可以與，可以無與。」《韓非子．忠孝》：「此明君且常與，而賢臣且常取也。」
4.接近、親近。《禮記．禮運》：「諸侯以禮相與，大夫以法相序。」《宋史．卷三三六．司馬光傳》：「所言盡害政之事，所與盡害政之人。」
5.跟從、跟隨。《國語．齊語》：「桓公知天下諸侯多與己也，故又大施忠焉。」《淮南子．墬形》：「蛤蟹珠龜，與月盛衰。」
6.結交、交往。《韓非子．姦劫弒臣》：「君臣之相與也，非有父子之親也。」
7.爭戰。《左傳．哀公九年》：「宋方吉，不可與也。」《國語．越語下》：「彼來從我，固守勿與。」
8.應付、對付。《史記．卷三四．燕召公世家》：「龐暖易與耳。」《宋史．卷三六五．岳飛傳》：「以為諸帥易與，獨飛不可當。」
9.如、相比。《漢書．卷三四．韓信傳》：「大王自料勇悍仁彊，孰與項王？」唐．李商隱〈送從翁從東川弘農尚書幕〉詩：「甘心與陳阮，揮手謝松喬。」
10. 等待。《論語．陽貨》：「日月逝矣，歲不我與。」《楚辭．屈原．離騷》：「汩余若將不及兮，恐年歲之不吾與。」
11. 推舉、選拔。通「舉」。如：「選賢與能」。
[副]
皆、全。通「舉」。《易經．无妄卦．象曰》：「天下雷行，物與无妄。」《墨子．天志中》：「天下之君子，與謂之不詳者。」
[介]
1.向、對。如：「與虎謀皮」。《孟子．公孫丑下》：「齊人無以仁義與王言者，豈以仁義為不美也。」
2.被。《戰國策．秦策五》：「（夫差）遂與勾踐禽，死於干隧。」
3.為、替。《孟子．離婁上》：「所欲，與之聚之。」
[連]
1.和、同、跟。如：「我與你」、「山與水」。《論語．公冶長》：「夫子之言性與天道，不可得而聞也。」
2.與其，表示比較。《韓非子．難二》：「與吾得革車千乘，不如聞行人燭過之一言也。」《史記．卷八三．魯仲連鄒陽傳》：「與人刃我，寧自刃。」</t>
  </si>
  <si>
    <t>(二)ㄩˋ yù（11716）(三)ㄩˊ yú（11583）</t>
  </si>
  <si>
    <t>嶼</t>
  </si>
  <si>
    <t>[名]
小島。如：「島嶼」。南朝宋．謝靈運〈登江中孤嶼〉詩：「亂流趨孤嶼，孤嶼媚中川。」唐．孟浩然〈登江中孤嶼贈白雲先生王迥〉詩：「悠悠清江水，水落沙嶼出。」</t>
  </si>
  <si>
    <t>圉</t>
  </si>
  <si>
    <t>[名]
1.牢獄、監牢。《說文解字．㚔部》：「圉，囹圉，所以拘罪人。」《漢書．卷六四下．王襃傳》：「昔周公躬吐捉之勞，故有圉空之隆。」
2.養馬的人。南朝陳．徐陵〈梁貞陽侯重與王太尉書〉：「詣諸圉牧，莫不皆知。」《水滸傳》第九八回：「卻有本部內一個軍卒，他原是田虎手下的馬圉。」
3.養馬的地方。晉．桓溫〈辭參朝政疏〉：「且不有行者，誰扞牧圉。」
4.邊境。《左傳．隱公十一年》：「寡人之使吾子處此，不唯許國之為，亦聊以固吾圉也。」
5.姓。如春秋時楚國有圉公陽。
[動]
1.禁止。通「圄」。《管子．任法》：「鐘鼓竽瑟，宮中之樂，無禁圉也。」
2.抗拒、防禦。通「禦」。《莊子．繕牲》：「其來不可圉，其去不可止。」《墨子．公輸》：「公輸盤之攻械盡，子墨子之守圉有餘。」
3.畜養。《左傳．哀公十四年》：「孟孺子洩將圉馬於成，成宰公孫宿不受。」</t>
  </si>
  <si>
    <t>傴</t>
  </si>
  <si>
    <t>[形]
駝背、背脊彎曲的。《呂氏春秋．季春紀．盡數》：「辛水所多疽與痤人，苦水所多尪與傴人。」《禮記．問喪》：「禿者不免，傴者不袒。」</t>
  </si>
  <si>
    <t>窳</t>
  </si>
  <si>
    <t>[形]
1.粗糙、不堅實。《史記．卷一．五帝本紀》：「陶河濱，河濱器皆不苦窳。」《文選．何晏．景福殿賦》：「觀器械之良窳，察俗化之誠偽。」
2.衰弱。《文選．枚乘．七發》：「血脈淫濯，手足墮窳。」漢．王充《論衡．命義》：「稟性軟弱者，氣少泊而性羸窳；羸窳則壽命短。」
3.怠惰的。《商君書．墾令》：「農無得糶，則窳惰之農勉疾。」
[動]
腐敗、敗壞。《三國志．卷四二．蜀書．郤正傳》：「然而道有隆窳，物有興廢，有聲有寂，有光有翳。」《清史稿．卷四一．災異志二》：「蘭州瓜窳，剖之有血，食者立病。」</t>
  </si>
  <si>
    <t>噢</t>
  </si>
  <si>
    <t>參見「噢咻」、「噢咿」等條。</t>
  </si>
  <si>
    <t>貐</t>
  </si>
  <si>
    <t>ㄩˋ</t>
  </si>
  <si>
    <t>yù</t>
  </si>
  <si>
    <t>同「玉」。《廣韻．入聲．燭韻》：「玉，說文本作王，隸加點以別王字。」</t>
  </si>
  <si>
    <t>(一)ㄨㄤˊ wáng（11525）(二)ㄨㄤˋ wàng（11536）</t>
  </si>
  <si>
    <t>玉</t>
  </si>
  <si>
    <t>[名]_x000D_
1.寶石的一種，一般指的是閃玉或輝玉。閃玉為含鎂的透閃石或含鐵的陽起石，輝玉為含鈉的輝石。閃玉的顏色為墨綠色、白色、黑色或棕色，蠟狀光澤、韌度高，部分纖維較長的可形成貓眼現象。臺灣的閃玉（也稱為「臺灣玉」）主要產地為花蓮縣豐田與萬榮地區。_x000D_
2.二一四部首之一。_x000D_
[形]_x000D_
1.用玉做成的。如：「玉璽」、「玉簪」、「玉環」。《史記．卷七．項羽本紀》：「玉斗一雙，欲與亞父。」_x000D_
2.潔白、晶瑩如玉般的美好。如：「玉手」、「玉顏」。晉．郭璞〈遊仙詩〉七首之二：「靈妃顧我美，粲然啟玉齒。」《南史．卷一九．列傳．謝晦》：「帝目之曰：『一時頓有兩玉人耳。』」_x000D_
3.珍貴的、精美的。如：「錦衣玉食」、「玉液瓊漿」。晉．左思〈吳都賦〉：「矜其宴居，則珠服玉饌。」_x000D_
4.敬辭。用於尊稱他人的身體或言行。如：「玉體」、「玉照」。三國魏．曹植〈七啟〉：「將敬滌耳，以聽玉音。」《水滸傳》第四回：「萬望長老收錄。慈悲，慈悲！看趙某薄面，披剃為僧。一應所用，弟子自當准備。煩望長老玉成。」_x000D_
[動]_x000D_
珍愛，襄助。《詩經．大雅．民勞》：「王欲玉女，是用大諫。」宋．朱熹．集傳：「玉，寶愛之意。」宋．張載〈西銘〉：「富貴福澤，將厚吾之生也。貧賤憂戚，庸玉女於成也。」</t>
  </si>
  <si>
    <t>鈺</t>
  </si>
  <si>
    <t>[名]
1.質地堅硬的金屬。《字彙．金部》：「鈺，堅金。」
2.珍寶。《五音集韻．卷一二．燭韻》：「鈺，寶也。」</t>
  </si>
  <si>
    <t>聿</t>
  </si>
  <si>
    <t>[名]
1.筆。《說文解字．聿部》：「聿，所以書也。」清．朱駿聲《說文通訓定聲．履部》：「秦以後皆作筆字。」唐．柳宗元〈湘源二妃廟碑〉：「咸執牘聿，至于祠下。」
2.姓。如商代有聿速。
3.二一四部首之一。
[助]
發語詞，用於句首或句中，無義。《書經．湯誥》：「聿求元聖，與之戮力。」《後漢書．卷八〇．文苑傳上．傅毅傳》：「二志靡成，聿勞我心。」</t>
  </si>
  <si>
    <t>[形]
1.急速。《楚辭．屈原．離騷》：「汩余若將不及兮，恐年歲之不吾與。」
2.潔淨。《文選．王延壽．魯靈光殿賦》：「汩磑磑以璀璨，赫燡燡而爥坤。」</t>
  </si>
  <si>
    <t>(一)ㄍㄨˇ gǔ（04166）</t>
  </si>
  <si>
    <t>育</t>
  </si>
  <si>
    <t>[動]
1.生育。如：「生兒育女」。《易經．漸卦．九三》：「夫征不復，婦孕不育。」《後漢書．卷四四．張禹傳》：「鄧太后以殤帝初育，欲令重臣居禁內。」
2.成長。《呂氏春秋．開春論．察賢》：「雪霜雨露時，則萬物育矣，人民修矣，疾病妖厲去矣。」《文選．潘岳．秋興賦》：「覽花蒔之時育兮，察盛衰之所託。」
3.撫養、培養。如：「養育」、「教育」、「育幼院」。《易經．蒙卦．彖曰》：「山下出泉蒙，君子以果行育德。」《詩經．小雅．蓼莪》：「拊我畜我，長我育我。」
[名]
姓。如上古時代有育唐。</t>
  </si>
  <si>
    <t>淯</t>
  </si>
  <si>
    <t>[動]
生養。通「育」。《管子．宙合》：「天淯陽，無計量。地化生，無法崖。」唐．尹知章．注：「淯，古育字。」
[名]
河川名。即白河。源出於河南省洛陽市嵩縣西南，東南流經南陽市宛城區、臥龍區、南召縣、新野縣，入湖北省襄陽市襄州區境會同唐河，注入漢水。</t>
  </si>
  <si>
    <t>堉</t>
  </si>
  <si>
    <t>[名]
肥沃的土壤。《集韻．入聲．屋韻》：「堉，肥壤謂之堉。」</t>
  </si>
  <si>
    <t>芋</t>
  </si>
  <si>
    <t>[名]
植物名。天南星科芋屬，「白芋」、「檳榔芋」之俗稱。參見「白芋」條。</t>
  </si>
  <si>
    <t>參見「吐谷渾」條。</t>
  </si>
  <si>
    <t>(一)ㄍㄨˇ gǔ（04167）</t>
  </si>
  <si>
    <t>浴</t>
  </si>
  <si>
    <t>[動]
1.洗澡。如：「沐浴」。《論語．先進》：「浴乎沂，風乎舞雩。」
2.洗滌。如：「浴佛」。《禮記．檀弓上》：「圉人浴馬，有流矢在白肉。」
3.浸染、浸泡。如：「浴血」、「永浴愛河」。《紅樓夢》第二六回：「剛到了沁芳橋，只見各色水禽都在池中浴水。」
[形]
洗澡用的。如：「浴室」、「浴池」、「浴巾」。
[名]
姓。如明代有浴沂。</t>
  </si>
  <si>
    <t>峪</t>
  </si>
  <si>
    <t>[名]
山谷。元．李直夫《虎頭牌》第二折：「你可便久鎮著南邊，夾山的那峪前，統領著軍健，相持的那地面。」</t>
  </si>
  <si>
    <t>欲</t>
  </si>
  <si>
    <t>[名]
1.願望，想得到滿足的意念。如：「食欲」、「欲望」。《易經．損卦．象曰》：「山下有澤損，君子以懲忿窒欲。」
2.情慾。同「慾」。《禮記．樂記》：「君子樂得其道；小人樂得其欲。」漢．鄭玄．注：「欲，謂淫邪也。」
[動]
期望、希求。《孟子．告子上》：「魚，我所欲也；熊掌，亦我所欲也。」唐．韓愈〈師說〉：「師道之不傳也久矣，欲人之無惑也難矣。」
[副]
1.想要。如：「欲哭無淚」、「暢所欲言」。《論語．衛靈公》：「工欲善其事，必先利其器。」
2.將要。如：「搖搖欲墜」。唐．許渾〈咸陽城東樓〉詩：「溪雲初起日沉閣，山雨欲來風滿樓。」</t>
  </si>
  <si>
    <t>裕</t>
  </si>
  <si>
    <t>[形]
富足。如：「富裕」、「充裕」、「寬裕」。
[動]
1.充滿。漢．揚雄《法言．孝至》：「天地裕於萬物乎！萬物裕乎天地乎！」
2.使富裕。《國語．吳語》：「裕其眾庶，其民殷眾，以多甲兵。」《荀子．富國》：「足國之道，節用裕民，兒善臧其餘。」
3.寬容。《書經．洛誥》：「彼裕我民，無遠用戾。」宋．蘇軾〈代張方平諫用兵書〉：「太宗仁聖寬厚，克己裕人，幾至刑措。」</t>
  </si>
  <si>
    <t>慾</t>
  </si>
  <si>
    <t>[名]_x000D_
1.兩性或同性間所引起的生理衝動與需求。如：「情慾」、「性慾」。_x000D_
2.心中想要滿足的意念、願望。通「欲」。如：「慾望」、「口腹之慾」。</t>
  </si>
  <si>
    <t>鵒</t>
  </si>
  <si>
    <t>參見「鴝鵒」條。</t>
  </si>
  <si>
    <t>[動]
抑制。《集韻．入聲．屋韻》：「拗，抑也。」《文選．班固．西都賦》：「蹂躪其十二三，乃拗怒而少息。」唐．杜甫〈天狗賦〉：「洎千蹄之迸集兮，始拗怒以相賀。」</t>
  </si>
  <si>
    <t>(一)ㄠˋ ào（10376）(二)ㄠˇ ǎo（10371）(三)ㄋㄧㄡˋ niù（03079）</t>
  </si>
  <si>
    <t>[動]
1.下雨。《詩經．小雅．大田》：「雨我公田，遂及我私。」《史記．卷六七．仲尼弟子傳．有若傳》：「他日，月宿畢，竟不雨。」
2.降落、落下。如：「雨雪」、「雨雹」。《淮南子．本經》：「昔者蒼頡作書，而天雨粟，鬼夜哭。」宋．蘇軾〈喜雨亭記〉：「使天而雨珠，寒者不得以為襦；使天而雨玉，飢者不得以為粟。」
3.滋潤、灌溉。唐．孟郊〈終南山下作〉詩：「山村不假陰，流水自雨田。」唐．鮑溶〈答客〉詩：「勞問圃人終歲事，桔槔聲裡雨春畦。」</t>
  </si>
  <si>
    <t>(一)ㄩˇ yǔ（11624）</t>
  </si>
  <si>
    <t>[名]
虹的別名。《爾雅．釋天》：「螮蝀謂之雩。螮蝀，虹也。」</t>
  </si>
  <si>
    <t>(一)ㄩˊ yú（11617）</t>
  </si>
  <si>
    <t>欥</t>
  </si>
  <si>
    <t>[助]
語氣詞，用於句首。承接上文以發其端，無義。《漢書．卷一〇〇．敘傳上》：「欥中龢為庶幾兮，顏與冉又不得。」</t>
  </si>
  <si>
    <t>郁</t>
  </si>
  <si>
    <t>[形]
1.文采豐盛。如：「文采郁郁」。《論語．八佾》：「周監於二代，郁郁乎文哉！吾從周。」
2.香氣濃烈。如：「濃郁」、「馥郁」。《晉書．卷四四．鄭袤等傳．贊曰》：「同鏘玉振，爭芬蘭郁。」
3.和暖。通「燠」。《文選．劉孝標．廣絕交論》：「敘溫郁則寒谷成暄，論嚴苦則春叢零葉。」
[名]
姓。如清代有郁松年。</t>
  </si>
  <si>
    <t>苑</t>
  </si>
  <si>
    <t>[動]
積聚、膠著、停滯。通「鬱」。《禮記．禮運》：「故事大積焉而不苑，並行而不繆。」唐．孔穎達．正義：「雖復萬機輻湊而應之有次序，不使苑積也。」</t>
  </si>
  <si>
    <t>(一)ㄩㄢˋ yuàn（11801）(二)ㄩㄢˊ yuán（11777）</t>
  </si>
  <si>
    <t>[形]
茂盛的樣子。《詩經．小雅．小弁》：「菀彼柳斯，鳴啁嘒嘒。」《楚辭．劉向．九歎．憂苦》：「菀彼青青，泣如頹兮。」
[動]
凝結、鬱積。通「鬱」。《楚辭．劉向．九歎．惜賢》：「芳若茲而不御兮，捐林薄而菀死。」</t>
  </si>
  <si>
    <t>(一)ㄨㄢˇ wǎn（11466）(三)ㄩㄢˋ yuàn（11803）</t>
  </si>
  <si>
    <t>[形]
黃黑色。《廣韻．入聲．月韻》：「黦，黃黑色。」
[動]
玷汙。宋．陸游〈月夕〉詩：「呼僮淨掃地，勿使黦月明。」明．梅鼎祚《玉合記》第三一齣：「芙蓉帳冷單枕怯，空使淚染桃花雙袖黦。」</t>
  </si>
  <si>
    <t>(二)ㄧㄝˋ yè（10782）</t>
  </si>
  <si>
    <t>昱</t>
  </si>
  <si>
    <t>[名]
日光。《廣韻．入聲．屋韻》：「昱，日光。」
[動]
照耀。漢．揚雄《太玄經．卷一〇．太玄告》：「日以昱乎晝，月以昱乎夜。」</t>
  </si>
  <si>
    <t>煜</t>
  </si>
  <si>
    <t>[動]
照耀。《說文解字．火部》：「煜，耀也。」
[形]
盛大的樣子。《文選．班固．東都賦》：「鐘鼓鏗鍧，管弦燁煜。」
[名]
火焰。晉．陸雲〈南征賦〉：「服縣炎揚而晃儵，飛烽戢煜而泱漭。」</t>
  </si>
  <si>
    <t>[名]
一種長尾猿。長尾，赤目。《山海經．南山經》：「（招搖之山）有獸焉，其狀如禺而白耳，伏行人走。」晉．郭璞．注：「禺似獼猴而大，赤目長尾。」</t>
  </si>
  <si>
    <t>(一)ㄩˊ yú（11590）</t>
  </si>
  <si>
    <t>寓</t>
  </si>
  <si>
    <t>[名]
住處、居住的地方。如：「公寓」、「寓所」。《漢書．卷一六．高惠高后文功臣表》：「故追述先父之志，錄遺老之策，高其位，大其寓，愛敬飭盡，命賜備厚。」
[動]
1.寄居。如：「寓居」。《孟子．離婁下》：「無寓人於我室，毀傷其薪木。」《宋史．卷四四二．文苑傳四．蘇舜欽傳》：「舜欽既放廢，寓于吳中，其友人韓維責以世居京師而去離都下，隔絕親交。」
2.託付、寄託。如：「寓意深遠」。《管子．大匡》：「賢者死忠以振疑，百姓寓焉。」宋．歐陽修〈醉翁亭記〉：「山水之樂，得之心而寓之酒也。」</t>
  </si>
  <si>
    <t>遇</t>
  </si>
  <si>
    <t>[動]
1.相逢、不期而會。如：「巧遇」。《書經．胤征》：「入自北門，乃遇汝鳩、汝方。」《史記．卷八．高祖本紀》：「還至栗，遇剛武侯，奪其軍。」
2.契合、投合。《孟子．公孫丑下》：「千里而見王，是予所欲也；不遇故去，豈予所欲哉？」《韓非子．難二》：「遇於法則行，不遇於法則止。」
3.得志、得到賞識。《史記．卷一二一．儒林傳．序》：「世以混濁莫能用，是以仲尼干七十餘君無所遇。」漢．王充《論衡．逢遇》：「吾仕數不遇，自傷年老失時，是以泣也。」
4.對待。如：「禮遇」。《宋史．卷三六一．張浚傳》：「浚知上遇俊厚，而俊純實可謀大事。」
5.遭受。《文選．司馬遷．報任少卿書》：「僕以口語遇此禍，重為鄉黨所笑。」明．宋濂〈送東陽馬生序〉：「或遇其叱咄，色愈恭，禮愈至，不敢出一言以復。」
6.抵擋、對付。《商君書．外內》：「以此遇敵，是以百石之弩射飄葉也。」《荀子．大略》：「無用吾之所短，遇人之所長。」
[名]
1.機會。如：「際遇」、「機遇」。三國吳．韋昭〈博奕論〉：「設程試之科，垂金爵之賞，誠千載之嘉會，百世之良遇也。」
2.姓。如漢代有遇沖。</t>
  </si>
  <si>
    <t>[動]
病好了。通「癒」。《荀子．解蔽》：「故傷於溼而擊鼓，鼓痺，則必有敝鼓喪豚之費矣，而未有俞疾之福也。」
[副]
更加。通「愈」。《漢書．卷二四上．食貨志上》：「德澤加於萬民，民俞勤農。」</t>
  </si>
  <si>
    <t>(一)ㄩˊ yú（11596）(三)ㄕㄨ shū（09053）</t>
  </si>
  <si>
    <t>喻</t>
  </si>
  <si>
    <t>[動]
1.告知、說明。通「諭」。如：「曉喻」、「告喻」。《淮南子．脩務》：「曉然意有所通於物，故作書以喻意，以為知者也。」《史記．卷五二．齊悼惠王世家》：「乃留兵屯滎陽，使使喻齊王及諸侯，與連和，以待呂氏之變而共誅之。」
2.知道、明白。如：「家喻戶曉」、「不言而喻」。唐．白居易〈秦中吟．買花〉：「低頭獨長歎，此歎無人喻。」
3.比方。如：「比喻」、「譬喻」。漢．王充《論衡．自紀》：「何以為辯？喻深以淺；何以為智？喻難以易。」
[名]
姓。如宋代有喻樗。</t>
  </si>
  <si>
    <t>愈</t>
  </si>
  <si>
    <t>[副]
更加、越發。如：「愈長愈高」。《詩經．小雅．小明》：「曷云其還，政事愈蹙。」
[動]
1.病情好轉。《孟子．公孫丑下》：「今病小愈，趨造於朝。」《紅樓夢》第六二回：「因天氣和暖，黛玉之疾漸愈，故也來了。」
2.勝過、高明。《論語．公冶長》：「子謂子貢曰：『女與回也孰愈？』」漢．王充《論衡．自紀》：「蓋文多勝寡，財寡愈貧。」
[名]
姓。如宋代有愈植、愈德勤。</t>
  </si>
  <si>
    <t>瘉</t>
  </si>
  <si>
    <t>[名]
1.病。《爾雅．釋詁下》：「瘉，病也。」《詩經．小雅．正月》：「父母生我，胡俾我瘉。」
2.賢才。《國語．晉語九》：「趙簡子問於壯馳茲曰：『東方之士孰為瘉？』」三國吳．韋昭．注：「瘉，賢也。」
[動]
1.病好了。《漢書．卷一．高帝紀上》：「漢王疾瘉，西入關，至櫟陽。」南朝梁．簡文帝〈答湘東王書〉：「雖西山白鹿，懼不能瘉。」
2.超過、勝過。《漢書．卷五〇．汲黯傳》：「使黯任職居官，亡以瘉人，然至其輔少主守成，雖自謂賁育弗能奪也。」
[副]
更加。通「愈」。《荀子．堯問》：「吾三相楚而心瘉卑，每益祿而施瘉博。」</t>
  </si>
  <si>
    <t>諭</t>
  </si>
  <si>
    <t>[動]_x000D_
1.告知、曉喻。《淮南子．氾論》：「教寡人以道者擊鼓，諭寡人以義者擊鐘，告寡人以事者振鐸。」《史記．卷七．項羽本紀》：「梁乃召故所知豪吏，諭以所為起大事，遂舉吳中兵。」_x000D_
2.明白、了解。《荀子．儒效》：「其言多當矣，而未諭也。」_x000D_
3.表明。《淮南子．主術》：「衰絰菅屨，辟踊哭泣，所以諭哀也。」唐．柳宗元〈答元饒州論政理書〉：「必勞申諭，乃得悅服。」_x000D_
4.比喻、比擬。《戰國策．齊策四》：「請以市諭，市朝則滿，夕則虛，非朝愛市而夕憎之也，求存故往，亡故去。」_x000D_
[名]_x000D_
1.上對下的命令告語。如：「聖諭」。《北史．卷二二．列傳．長孫嵩》：「上遣平持節宣諭，令其和解。」清．孔尚任《桃花扇》第一〇齣：「若肯發一手諭，必能退卻。」_x000D_
2.姓。如漢代有諭瑮。</t>
  </si>
  <si>
    <t>癒</t>
  </si>
  <si>
    <t>[動]
病好了。通「愈」、「瘉」。《集韻．上聲．虞韻》：「病瘳也。或作瘉。」如：「痊癒」、「病癒」。</t>
  </si>
  <si>
    <t>彧</t>
  </si>
  <si>
    <t>[形]
1.有文采的。清．王念孫《廣雅疏證．卷三上．釋詁》：「彧，文也。」疏證：「彧者，《說文》：『戫，有文章也。』《論語八佾篇》：『郁郁乎文哉。』彧、戫、郁並通。」
2.茂盛。明．徐弘祖《徐霞客遊記．卷五上．滇遊日記二》：「其中田禾芃彧，村落高下。」</t>
  </si>
  <si>
    <t>[名]
湍急的水流。《淮南子．本經》：「抑淢怒瀨，以揚激波。」《文選．張衡．南都賦》：「長輸遠逝，漻淚淢汩。」
[形]
悲傷的樣子。《文選．潘岳．笙賦》：「愀愴惻淢，虺韡煜熠。」</t>
  </si>
  <si>
    <t>(二)ㄒㄩˋ xù（07313）</t>
  </si>
  <si>
    <t>域</t>
  </si>
  <si>
    <t>[名]
1.在一定範圍內的地區。如：「區域」、「海域」、「疆域」。《周禮．地官．大司徒》：「以天下土地之圖，周知九州地域廣輪之數。」
2.邦國。如：「異域」。唐．駱賓王〈代李敬業討武后檄〉：「請看今日之域中，竟是誰家之天下。」
3.墓地。《舊唐書．卷七九．呂才傳》：「古之葬者，並在國都之北，域兆既有常所，何取姓墓之義？」
[動]
1.限制。《孟子．公孫丑下》：「域民不以封疆之界，固國不以山谿之險。」
2.居住。《史記．卷二三．禮書》：「人域是域，士君子也。」</t>
  </si>
  <si>
    <t>㖪</t>
  </si>
  <si>
    <t>[動]
忽然發出嚇人的聲音。《通俗編．語辭引桂海虞衡志》：「粵中俗字有閄，和馘切，隱身忽出驚人之聲也。按：《揚子方言》：『㖪，聲也。』……所云閄宇，當以作㖪為正。」</t>
  </si>
  <si>
    <t>棫</t>
  </si>
  <si>
    <t>[名]
植物名。薔薇科扁核木屬，「白桵」、「扁核木」之古稱，參見「白桵」條。《爾雅．釋木》：「棫，白桵。」晉．郭璞．注：「桵，小木叢生，有刺，實如耳璫，紫赤可啖。」</t>
  </si>
  <si>
    <t>罭</t>
  </si>
  <si>
    <t>參見「九罭」條。</t>
  </si>
  <si>
    <t>蜮</t>
  </si>
  <si>
    <t>[名]
1.傳說中一種會害人的水中毒蟲，形狀似鱉，能含沙射人。《抱朴子．內篇．登涉》：「又有短狐，一名蜮，一名射工，一名射影，其實水蟲也。……如聞人聲，緣口中物如角弩，以氣為矢，則因水而射人，中人身者，即發瘡，中影者亦病。」唐．白居易〈寄元九〉詩：「山無殺草霜，水有含沙蜮。」也稱為「短狐」。
2.一種食苗葉的害蟲。《呂氏春秋．士容論．任地》：「大草不生，又無螟蜮。」漢．高誘．注：「食葉曰蜮。」</t>
  </si>
  <si>
    <t>緎</t>
  </si>
  <si>
    <t>[名]
1.毛皮的接縫處。《爾雅．釋訓》：「緎，羔裘之縫也。」邢昺疏引孫炎曰：「緎之為界緎，然則縫合羔羊皮為裘，縫即皮之界緎，因名裘縫為緎。」
2.量詞。古代計算絲的單位。二十縷絲為一緎。《詩經．召南．羔羊》：「羔羊之革，素絲五緎。」</t>
  </si>
  <si>
    <t>閾</t>
  </si>
  <si>
    <t>[名]
1.門檻。《禮記．玉藻》：「賓入，不中門，不履閾。」唐．白居易〈續古詩〉十首之五：「晝居不踰閾，夜行常秉燭。」
2.門。《文選．曹植．應詔》：「仰瞻城閾，俯惟闕庭。」《文選．潘岳．西征賦》：「戾飲馬之陽橋，踐宣平之清閾。」唐．李善．注：「長安東出北頭第一城門名宣平門。」
3.界限、範圍。如：「視閾」、「聽閾」。
[動]
限制。唐．賈至〈虎牢關銘序〉：「宜其咽喉九州，閫閾中夏。」</t>
  </si>
  <si>
    <t>魊</t>
  </si>
  <si>
    <t>[名]
鬼魊：旋風。《廣韻．入聲．德韻》：「魊，鬼魊，旋風。」</t>
  </si>
  <si>
    <t>[動]
1.駕馭車馬。《說文解字．彳部》：「御，使馬也。」如：「駕御」、「御馬」。《韓非子．難三》：「知伯出，魏宣子御，韓康子為驂乘。」
2.統治、治理。《書經．大禹謨》：「臨下以簡，御眾以寬。」《國語．周語上》：「瞽告有協風至，王即齋宮，百官御事。」
3.侍奉。《書經．五子之歌》：「厥弟五人，御其母以從。」漢．孔安國．傳：「御，侍也。」
4.進獻。《禮記．曲禮上》：「御食於君，君賜餘器之溉者，不寫，其餘皆寫。」
5.抵擋、阻止。通「禦」。《詩經．邶風．谷風》：「我有旨蓄，亦以御冬。」《史記．卷一一〇．匈奴傳》：「是歲漢兵之出擊匈奴者，不得言功多少，功不得御。」
[形]
天子的、帝王的。如：「御膳」、「御醫」、「御花園」。
[名]
1.駕車的人。《詩經．小雅．車攻》：「徒御不驚，大庖不盈。」《左傳．成公十六年》：「其御屢顧，不在馬。」
2.侍從、僕役。《國語．吳語一》：「一介嫡男，奉槃匜以隨諸御。」唐．李白〈南奔書懷〉詩：「賓御如浮雲，從風各消散。」
3.姓。如周代有御鞅。</t>
  </si>
  <si>
    <t>(二)ㄧㄚˋ yà（10733）</t>
  </si>
  <si>
    <t>禦</t>
  </si>
  <si>
    <t>[動]
1.抵抗、抵擋。如：「防禦」、「禦寒」。《詩經．小雅．常棣》：「兄弟䦧於牆，外禦其務。」《國語．齊語》：「君有此士也三萬人，以方行於天下，以誅無道，以屏周室，天下大國之君莫之能禦。」
2.阻止、禁止。《周禮．秋官．司寤氏》：「禦晨行者，禁宵行者。」
[名]
1.強權、暴虐。《孟子．萬章下》：「今之諸侯取之於民也，猶禦也。」《抱朴子．外篇．行品》：「然而膽勁心方，不畏強禦，義正所在，視死猶歸。」
2.侍衛、衛兵。《隋書．卷二八．百官志下》：「改領軍為左右屯衛，加置左右禦。」《新唐書．卷一六二．獨孤及傳》：「自可扼要害之地，俾置屯禦，悉休其餘。」</t>
  </si>
  <si>
    <t>篽</t>
  </si>
  <si>
    <t>[名]
禁苑，皇宮內的園林。《說文解字．竹部》：「篽，禁苑也。」《漢書．卷八．宣帝紀》：「池篽未御幸者，假與貧民。」顏師古注引應劭曰：「池者，陂池也。篽者，禁苑也。」</t>
  </si>
  <si>
    <t>[名]
姓。如春秋時鄭國有尉止。</t>
  </si>
  <si>
    <t>(一)ㄨㄟˋ wèi（11432）</t>
  </si>
  <si>
    <t>[名]
姓。如明代有蔚能。</t>
  </si>
  <si>
    <t>(一)ㄨㄟˋ wèi（11433）</t>
  </si>
  <si>
    <t>熨</t>
  </si>
  <si>
    <t>參見「熨貼」條。</t>
  </si>
  <si>
    <t>(一)ㄩㄣˋ yùn（11860）</t>
  </si>
  <si>
    <t>棜</t>
  </si>
  <si>
    <t>[名]
古代祭祀時用來置放酒杯的承盤。長方形，似案，無足。《集韻．去聲．御韻》：「棜，承樽器，如案無足。」</t>
  </si>
  <si>
    <t>參見「閼與」條。</t>
  </si>
  <si>
    <t>(一)ㄜˋ è（10305）(二)ㄧㄢ yān（10950）</t>
  </si>
  <si>
    <t>馭</t>
  </si>
  <si>
    <t>[動]
1.駕控馬匹。如：「駕馭馬車」。《書經．五子之歌》：「予臨兆民，懍乎若朽索之馭六馬。」
2.控制、統御。《周禮．天官．大宰》：「以八柄詔王馭群臣。」《南史．卷六．梁武帝本紀上》：「以茲寡薄，臨馭萬方。」
3.乘御、乘駕。唐．陳鴻《長恨傳》：「又能遊神馭氣，出天界、沒地府以求之，不見。」宋．蘇軾〈張文定公墓誌銘〉：「乘雲馭風，與汁漫期，噫天何時，復生此傑。」
[名]
駕控馬車的人。《莊子．盜跖》：「顏回為馭，子貢為右，往見盜跖。」唐．薛用弱《集異記．卷二．韋知微》：「車馬風塵，僕馭憔悴。」</t>
  </si>
  <si>
    <t>飫</t>
  </si>
  <si>
    <t>[名]
宴食。《漢書．卷九二．游俠傳．陳遵傳》：「遵知飲酒飫宴有節，禮不入寡婦之門，而湛酒溷肴，亂男女之別。」
[動]
飽食、飽足。唐．李白〈上安州李長史書〉：「困河朔之清觴，飫中山之醇酎。」宋．陸游〈閑居對食書媿〉詩二首之二：「老病家居幸歲穰，味兼南北飫枯腸。」
[副]
滿、飽。唐．韓愈〈燕喜亭記〉：「極幽遐瑰詭之觀，宜其於山水飫聞而厭見也。」</t>
  </si>
  <si>
    <t>矞</t>
  </si>
  <si>
    <t>[動]
以錐穿刺。《說文解字．󰭸部》：「矞，以錐有所穿也。」
[形]
驚懼的樣子。《集韻．入聲．質韻》：「矞，驚遽貌。」
[名]
古代以為象徵祥瑞的彩雲。漢．董仲舒〈雨雹對〉：「雲則五色而為慶，三色而成矞。」《清史稿．卷九八．樂志五》：「成矞成卿，萬朵祥雲護帝霄。」</t>
  </si>
  <si>
    <t>遹</t>
  </si>
  <si>
    <t>[動]
遵循。《書經．康誥》：「今民將在祇遹乃文考，紹聞衣德言。」《資治通鑑．卷六八．漢紀六十．獻帝建安二十四年》：「繼以孝明、孝章，遹追先志，臨雍拜老，橫經問道。」
[助]
句首發語詞，無義。《詩經．大雅．文王有聲》：「遹求厥寧，遹觀厥成。」
[名]
姓。如宋代有遹復。</t>
  </si>
  <si>
    <t>繘</t>
  </si>
  <si>
    <t>[名]
汲水用的繩索。《玉篇．糸部》：「繘，綆也，用以汲水也。索也。」</t>
  </si>
  <si>
    <t>驈</t>
  </si>
  <si>
    <t>[名]
兩股間白色的黑馬。《詩經．魯頌．駉》：「薄言駉者，有驈有皇。」漢．毛亨．傳：「驪馬白跨曰驈。」</t>
  </si>
  <si>
    <t>[動]
1.賣。同「鬻」。《禮記．曲禮下》：「君子雖貧，不粥祭器。」《孔子家語．卷七．刑政》：「果實不時不粥於市，五木不中伐不粥於市。」
2.養。《周禮．秋官．脩閭氏》：「掌比國中宿互柝者，與其國粥。」漢．鄭玄．注：「粥，養也。」
3.嫁出。《禮記．檀弓上》：「請粥庶弟之母。」漢．鄭玄．注：「粥，謂嫁之也。」</t>
  </si>
  <si>
    <t>(一)（語音）ㄓㄡ zhōu（07745）(二)（讀音）ㄓㄨˋ zhù（08015）</t>
  </si>
  <si>
    <t>[動]
1.賣。《莊子．逍遙遊》：「今一朝而鬻技百金，請與之。」明．王世貞《鳴鳳記》第一四齣：「賣官鬻爵，取利下盡錙銖。」
2.生、養。《莊子．德充符》：「四者天鬻也，天鬻者，天食也。」《禮記．樂記》：「羽者，嫗伏，毛者孕鬻。」
[形]
幼稚、幼小。《詩經．豳風．鴟鴞》：「恩斯勤斯，鬻子之閔斯。」
[名]
姓。如周代有鬻熊。</t>
  </si>
  <si>
    <t>(二)ㄓㄨˋ zhù（08016）</t>
  </si>
  <si>
    <t>毓</t>
  </si>
  <si>
    <t>[動]
1.養育。同「育」。《廣韻．入聲．屋韻》：「毓，養也，長也。」《文選．班固．東都賦》：「發蘋藻以潛魚，豐圃草以毓獸。」
2.孕育、產生。同「育」。如：「鍾靈毓秀」。《國語．晉語四》：「黷則生怨，怨亂毓災，災毓滅姓。」</t>
  </si>
  <si>
    <t>[形]
溫暖。同「燠」。如：「雨旱寒奧」。《詩經．小雅．小明》：「昔我往矣，日月方奧。」《漢書．卷七五．眭兩夏侯京翼李傳．李尋》：「其月土濕奧，恐後有雷雹之變。」</t>
  </si>
  <si>
    <t>(一)ㄠˋ ào（10383）</t>
  </si>
  <si>
    <t>[名]
岸邊水流彎曲的地方。同「隩」。南朝齊．謝朓〈和王著作融八公山〉詩：「二別阻漢坻，雙崤望河澳。」</t>
  </si>
  <si>
    <t>(一)ㄠˋ ào（10384）</t>
  </si>
  <si>
    <t>[名]
1.岸邊水流彎曲的地方。《文選．郭璞．江賦》：「揚皜毦，擢紫茸。蔭潭隩，被長江。」明．徐弘祖《徐霞客遊記．卷九下．滇遊日記十一》：「其水漸且出峽，當前坳尖山之隩矣。」
2.可以居住的土地。《書經．禹貢》：「九州攸同，四隩既宅。」《文選．張衡．東京賦》：「掩觀九隩，靡地不營。」
[形]
暖和。通「燠」。《書經．堯典》：「厥民隩，鳥獸氄毛。」</t>
  </si>
  <si>
    <t>(二)ㄠˋ ào（10387）</t>
  </si>
  <si>
    <t>[形]
暖和。《禮記．內則》：「下氣怡聲，問衣燠寒。」唐．白居易〈潯陽三題．湓浦竹〉詩：「潯陽十月天，天氣仍溫燠。」</t>
  </si>
  <si>
    <t>(二)ㄠˋ ào（10388）</t>
  </si>
  <si>
    <t>薁</t>
  </si>
  <si>
    <t>[名]
植物名。葡萄科葡萄屬，「蘡薁」之古稱，參見「蘡薁」條。《詩經．豳風．七月》：「六月食鬱及薁。」漢．毛亨．傳：「薁，蘡薁也。」</t>
  </si>
  <si>
    <t>預</t>
  </si>
  <si>
    <t>[副]
事先、事前。如：「預計」、「天氣預報」。《戰國策．燕策三》：「於是太子預求天下之利匕首，得趙人徐夫人之匕首。」《晉書．卷五一．束皙傳》：「忠不足以衛己，禍不可以預度，是士諱登朝而競赴林薄。」
[動]
參與。通「與」。如：「干預」。《三國演義》第二回：「封皇子協為陳留王，董重為驃騎將軍，張讓等共預朝政。」</t>
  </si>
  <si>
    <t>澦</t>
  </si>
  <si>
    <t>參見「灩澦堆」條。</t>
  </si>
  <si>
    <t>豫</t>
  </si>
  <si>
    <t>[名]
1.安樂、逸樂。《爾雅．釋詁上》：「豫，樂也。」宋．邢昺．疏：「豫者，逸樂也。」《新五代史．卷三七．伶官傳．序》：「憂勞可以興國，逸豫可以亡身，自然之理也。」
2.易經卦名。六十四卦之一。坤（☷）下震（☳）上。象徵萬物被陽氣而生生不息。
3.河南省的簡稱。
4.姓。如戰國時晉國有豫讓。
[動]
1.巡遊。《孟子．梁惠王下》：「吾王不遊，吾何以休？吾王不豫，吾何以助？」
2.喜悅。《書經．金縢》：「王有疾，弗豫。」
3.欺騙。《荀子．儒效》：「魯之粥牛馬者不豫賈，必蚤正以待之也。」漢．桓寬《鹽鐵論．力耕》：「古者商通物而不豫，工致牢而不偽。」
4.參與。通「與」。《左傳．隱公元年》：「豫凶事，非禮也。」《後漢書．卷七八．宦者傳．蔡倫傳》：「及和帝即位，轉中常侍，豫參帷幄。」
[副]
1.遲疑不決。如：「猶豫」。《老子》第一五章：「豫焉若冬涉川，猶兮若畏四鄰。」
2.事先。通「預」。《漢書．卷六九．趙充國傳》：「宜遣使者行邊兵豫為備，敕視諸羌，毋令解仇，以發覺其謀。」</t>
  </si>
  <si>
    <t>[動]
告訴。《論語．陽貨》：「居，吾語女。」《晉書．卷六六．陶侃傳》：「常語人曰：『大禹聖者，乃惜寸陰；至於眾人，當惜分陰。』」</t>
  </si>
  <si>
    <t>(一)ㄩˇ yǔ（11633）</t>
  </si>
  <si>
    <t>[動]
1.參加。如：「參與」、「與會」。《漢書．卷九九．王莽傳上》：「以光為太師，與四輔之政。」
2.干涉、干預。《國語．魯語下》：「是故天子……日中考政，與百官之政事。」宋．范成大〈次韻時敘〉詩：「作詩惜春聊復爾，春亦何能與人事？」</t>
  </si>
  <si>
    <t>(一)ㄩˇ yǔ（11637）(三)ㄩˊ yú（11583）</t>
  </si>
  <si>
    <t>譽</t>
  </si>
  <si>
    <t>[動]
稱讚。如：「稱譽」。《論語．衛靈公》：「吾之於人也，誰毀誰譽？」《資治通鑑．卷九四．晉紀十六．成帝咸和三年》：「諸君怯懦，乃更譽賊！」
[名]
美好的名聲。如：「名譽」、「聲譽」、「商譽」。《詩經．周頌．振鷺》：「庶幾夙夜，以永終譽。」</t>
  </si>
  <si>
    <t>鸒</t>
  </si>
  <si>
    <t>[名]
動物名。即鵯鶋。一種鳥，大如鴿，腹下白，多群居。《爾雅．釋鳥》：「鸒斯，鵯鶋。」晉．郭璞．注：「鴉烏也，小而多群，腹下白，江東亦呼為鵯烏。」</t>
  </si>
  <si>
    <t>獄</t>
  </si>
  <si>
    <t>[名]
1.監牢。如：「監獄」。《漢書．卷六八．霍光傳》：「使人簿責勝，縛嘉繫獄。」
2.訴訟案件。如：「冤獄」。《左傳．莊公十年》：「小大之獄，雖不能察，必以情。」
[動]
訴訟、打官司。《周禮．秋官．大司寇》：「以兩劑禁民獄，入鈞金。」《呂氏春秋．離俗覽．高義》：「弟兄相獄，親戚相忍。」</t>
  </si>
  <si>
    <t>嫗</t>
  </si>
  <si>
    <t>[名]
1.母親。《說文解字．女部》：「嫗，母也。」《漢書．卷九〇．酷吏傳．嚴延年傳》：「東海莫不賢知其母。延年兄弟五人皆有吏材，至大官。東海號曰『萬石嚴嫗』。」
2.婦女的通稱。如：「老嫗」。《南史．卷七六．隱逸傳下．鄧郁傳》：「白日，神仙魏夫人忽來臨降，乘雲而至，從少嫗三十……，年皆可十七八許。」</t>
  </si>
  <si>
    <t>鴥</t>
  </si>
  <si>
    <t>[形]
飛得很快的樣子。《詩經．秦風．晨風》：「鴥彼晨風，鬱彼北林。」</t>
  </si>
  <si>
    <t>儥</t>
  </si>
  <si>
    <t>[動]
1.販賣。《周禮．地官．胥師》：「察其詐偽飾行儥慝者，而誅罰之。」漢．鄭玄．注：「儥，賣也。」
2.購買。《周禮．地官．司市》：「以量度成賈而徵儥。」漢．鄭玄．注：「儥，買也。物有定賈則買者來也。」</t>
  </si>
  <si>
    <t>鬱</t>
  </si>
  <si>
    <t>[動]
1.積聚、凝滯。如：「鬱積」、「鬱結」。《漢書．卷八．宣帝紀》：「朕不明六藝，鬱于大道，是以陰陽風雨未時。」唐．皮日休〈請韓文公配饗太學書〉：「雲霧久鬱，忽廓則清。」
2.怨恨。《呂氏春秋．仲夏紀．侈樂》：「故樂愈侈而民愈鬱，國愈亂。」
[形]
1.茂盛的樣子。如：「鬱鬱蒼蒼」。《詩經．秦風．晨風》：「鴥彼晨風，鬱彼北林。」
2.愁悶的。如：「憂鬱」、「鬱鬱寡歡」。《楚辭．劉向．九歎．憂苦》：「願假簧以舒憂兮，志紆鬱其難釋。」</t>
  </si>
  <si>
    <t>籲</t>
  </si>
  <si>
    <t>[動]
呼喊、請求。如：「呼籲」。《書經．泰誓》：「無辜籲天，穢德彰聞。」唐．柳宗元〈駁復讎議〉：「上下蒙冒，籲號不聞。」</t>
  </si>
  <si>
    <t>曰</t>
  </si>
  <si>
    <t>ㄩㄝ</t>
  </si>
  <si>
    <t>yuē</t>
  </si>
  <si>
    <t>[動]
1.說。用於文言文。《論語．學而》：「子曰：『學而時習之，不亦說乎？』」《孟子．梁惠王下》：「國人皆曰可殺，然後察之。」
2.稱為、叫做。用於文言文。《書經．洪範》：「五行：一曰水，二曰火，三曰木，四曰金，五曰土。」《爾雅．釋水》：「水中可居者曰洲，小洲曰渚。」
[助]
用於句首或句中，無義。《詩經．豳風．東山》：「我東曰歸，我心西悲。」《文選．張衡．東京賦》：「曰止曰時，昭明有融。」
[名]
二一四部首之一。</t>
  </si>
  <si>
    <t>約</t>
  </si>
  <si>
    <t>[動]_x000D_
1.纏束、束縛。三國魏．曹植〈美女篇〉：「攘袖見素手，皓腕約金環。」唐．李商隱〈又效江南曲〉：「掃黛開宮額，裁裙約楚腰。」_x000D_
2.限制、管束。《論語．子罕》：「博我以文，約我以禮。」《三國演義》第六七回：「主公可約馬退後，在放馬向前，跳過橋去。」_x000D_
3.協議、預先說定。《史記．卷七．項羽本紀》：「項王乃與漢約，中分天下。」_x000D_
4.定期相會。如：「約會」。宋．歐陽修〈生查子．去年元夜時〉詞：「月到柳梢頭，人約黃昏後。」_x000D_
5.邀請。宋．陸游〈謝池春．七十衰翁〉詞：「玉壺春酒，約群仙同醉。」《儒林外史》第二回：「新年正月初八日，集上人約齊了，都到庵裡來議鬧龍燈之事。」_x000D_
6.省略。《史記．卷一四．十二諸侯年表》：「約其辭文，去其煩重。」《漢書．卷四．文帝紀》：「漢興，除秦煩苛，約法令。」_x000D_
7.掠過。唐．韓愈〈獨釣〉詩四首之三：「露排四岸草，風約半池萍。」_x000D_
8.數學上指約分。如：「10/20可以約成1/2。」_x000D_
[形]_x000D_
1.儉省。《論語．里仁》：「以約失之者，鮮矣。」《新唐書．卷八五．列傳．竇建德》：「建德性約素，不喜肉食。」_x000D_
2.簡要、精練。《禮記．學記》：「其言也，約而達。」《史記．卷八四．屈原賈生列傳．屈原》：「其文約，其辭微，其志絜，其行廉。」_x000D_
3.窮困。《楚辭．宋玉．九辯》：「離芳藹之方壯兮，余萎約而悲愁。」《南史．卷五五．列傳．吉士瞻》：「在郡清約，家無私積。」_x000D_
4.柔弱、美好。如：「婉約」、「風姿綽約」。唐．鄭壁〈和襲美傷顧道士〉詩：「空留華表千年約，纔畢丹爐九轉功。」_x000D_
5.隱微不明顯。如：「隱約」。唐．王孝通〈上緝古算經表〉：「其理幽而微，其形祕而約。」_x000D_
[副]_x000D_
大略、大概。如：「約計」、「約略」。《三國志．卷二九．魏書．方技傳．華佗》：「疾者前入坐，見佗北壁縣此虵輩約以十數。」宋．許棐〈鷓鴣天．翠鳳金鸞繡欲成〉詞：「歸來玉醉花柔困，月濾窗紗約半更。」_x000D_
[名]_x000D_
預先說定共同遵守之事。如：「合約」、「毀約」、「條約」。《史記．卷八一．廉頗藺相如列傳》：「相如度秦王雖齋，決負約不償城。」</t>
  </si>
  <si>
    <t>[動]
1.因胃氣不順而打嗝。《說文解字．口部》：「噦，氣啎也。」《黃帝素問靈樞經．卷六．脹論》：「脾脹者善噦，四肢煩悗，體重不能勝衣，臥不安。」
2.乾嘔，嘔吐時只有聲音而沒有吐出東西。明．張自烈《正字通．口部》：「方書：有物無聲曰吐，有聲無物曰噦，有物有聲曰嘔。」明．劉基《郁離子．牧豭》：「客踸不能立，俯而噦，伏而不敢仰視。」</t>
  </si>
  <si>
    <t>(二)ㄏㄨㄟˋ huì（05145）</t>
  </si>
  <si>
    <t>月</t>
  </si>
  <si>
    <t>ㄩㄝˋ</t>
  </si>
  <si>
    <t>yuè</t>
  </si>
  <si>
    <t>[名]
1.月亮、月球。如：「新月」、「殘月」、「日月星辰」。
2.月光。唐．杜甫〈夢李白〉詩二首之一：「落月滿屋梁，猶疑照顏色。」
3.計時單位，約為月球繞行地球一周所需時間。陽曆月為大月31日，小月30日（二月除外），一年有十二個月。陰曆則以月球相位變化週期而制定，大月30日，小月29日。
4.姓。如明代有月文憲。
5.二一四部首之一。
[形]
1.圓形像月亮的。如：「月餅」。《新唐書．卷一三六．列傳．李光弼》：「治塹溝，築月城以守。」
2.每月的。如:「月會」、「月刊」、「月薪」。</t>
  </si>
  <si>
    <t>刖</t>
  </si>
  <si>
    <t>[名]
古代一種砍斷雙腳的刑罰。《漢書．卷二三．刑法志》：「刖罪五百。」
[動]
砍斷雙腳。如：「自刖而死」。唐．元稹〈出門行〉：「其兄因獻璞，再刖不履地。」</t>
  </si>
  <si>
    <t>玥</t>
  </si>
  <si>
    <t>[名]
古代傳說中的神珠。《集韻．入聲．月韻》：「玥，神珠也。」</t>
  </si>
  <si>
    <t>戉</t>
  </si>
  <si>
    <t>[名]
武器名。古代一種形狀似斧而較大的兵器。《說文解字．戉部》：「戉，大斧也。」</t>
  </si>
  <si>
    <t>越</t>
  </si>
  <si>
    <t>[動]
1.度過、跨過。如：「翻山越嶺」、「越牆而走」。《楚辭．屈原．天問》：「阻窮西征，巖何越焉？」唐．杜甫〈自京赴奉先縣詠懷五百字〉詩：「行旅相攀援，川廣不可越。」
2.經過。《書經．召誥》：「惟二月既望，越六日，乙未，王朝步自周，則至于豐。」宋．范仲淹〈岳陽樓記〉：「越明年，政通人和，百廢具興。」
3.不按次序，超出某種範圍或常規。如：「越位」、「越俎代庖」。《易經．繫辭下》：「其稱名也，雜而不越。」《後漢書．卷七．孝桓帝紀》：「桓自宗支，越躋天祿。」
4.墜落。《左傳．成公二年》：「射其左，越于車下；射其右，斃于車中。」
5.宣揚。《國語．晉語八》：「宣其德行，順其憲則，使越于諸侯。」
[形]
悠揚。《禮記．聘義》：「叩之，其聲清越以長，其終詘然，樂。」
[名]
1.中國古代少數民族之一。主要分布於大陸地區浙江、福建、廣東一帶。也稱為「百越」、「百粵」。
2.國名。春秋時諸侯國，姒姓。建都於會稽。曾占有今江蘇、浙江及山東的一部分，後滅於楚。
3.浙江省的別名。
4.姓。如春秋時齊有越百父。
[副]
更加。如：「越大越不懂事。」元．關漢卿《拜月亭》第三折：「恰隨妹妹閑行散悶些，到池沼，陌觀絕，越教人嘆嗟。」
[助]
句首發語詞，無義。《書經．微子》：「殷遂喪，越至于今。」《漢書．卷九九．王莽傳上》：「越若翊辛丑，諸生、庶民大和會。」</t>
  </si>
  <si>
    <t>鉞</t>
  </si>
  <si>
    <t>[名]
武器名。形制似斧而較大，通常以金屬製成，多用作禮仗，以象徵帝王的權威，也用為刑具。同「戉」。</t>
  </si>
  <si>
    <t>樾</t>
  </si>
  <si>
    <t>[名]
樹蔭。《玉篇．木部》：「樾，楚謂兩樹交陰之下曰樾。」《淮南子．人間》：「武王蔭暍人於樾下，左擁而右扇之，而天下懷其德。」宋．蘇軾〈中秋月寄子由〉詩三首之二：「三更歌吹罷，人影亂清樾。」</t>
  </si>
  <si>
    <t>[名]
即月。唐朝武則天所造的字。同「月」。《集韻．入聲．月韻》：「月，唐武后作囝。」</t>
  </si>
  <si>
    <t>(一)ㄐㄧㄢˇ jiǎn（05771）</t>
  </si>
  <si>
    <t>礿</t>
  </si>
  <si>
    <t>[名]
古代宗廟祭祀的名稱。夏、商二代春祭稱為「礿」，周代則改稱夏祭。《禮記．王制》：「天子諸侯宗廟之祭，春曰礿，夏曰禘，秋曰嘗，冬曰烝。」漢．鄭玄．注：「此蓋夏殷之祭名。周則改之，春曰祠，夏曰礿。」</t>
  </si>
  <si>
    <t>岳</t>
  </si>
  <si>
    <t>[名]
1.高大的山。同「嶽」。《文選．孔稚珪．北山移文》：「偶吹草堂，濫巾北岳。」
2.對妻子父母長輩的稱呼。如：「岳父」、「岳母」。《聊齋志異．卷二．水莽草》：「既婿矣，而不拜岳，妾復何心？」
3.姓。如宋代有岳飛。</t>
  </si>
  <si>
    <t>軏</t>
  </si>
  <si>
    <t>[名]
小車轅頭上連接橫木的關鍵。《論語．為政》：「大車無輗，小車無軏，其何以行之哉？」</t>
  </si>
  <si>
    <t>悅</t>
  </si>
  <si>
    <t>[形]_x000D_
愉快、高興。如：「和顏悅色」。《孫子．火攻》：「怒可以復喜，慍可以復悅。」《喻世明言．卷四〇．沈小霞相會出師表》：「訪知其事，心中甚是不悅。」_x000D_
[動]_x000D_
1.使愉快。漢．劉向《說苑．卷一九．脩文》：「嗜慾好惡者，所以悅心也。」宋．蘇軾〈墨君堂記〉：「君又疏簡抗勁，無聲色臭味，可以娛悅人之耳目鼻口，則與可之厚君也，其必有以賢君矣。」清．徐珂《清稗類鈔．戲劇類．徽調戲》：「是調聆音易解，高朗悅人，都人嗜者日多。」_x000D_
2.喜愛。《陳書．卷一．高祖本紀上》：「出為長城令，悅其山水，遂家焉。」明．葉憲祖《易水寒》第一折：「常言道：『女為悅己容，士為知己死。』」_x000D_
3.服從。《爾雅．釋詁》：「悅，服也。」《新唐書．卷一七五．列傳．柏耆》：「賚未至，舉軍譁議，穆宗遣耆論天子意，眾乃信悅。」_x000D_
[名]_x000D_
姓。如漢代有悅綰。</t>
  </si>
  <si>
    <t>[動]_x000D_
喜悅、高興。通「悅」。《詩經．召南．草蟲》：「未見君子，憂心惙惙；亦既見止，亦既覯止，我心則說。」《論語．學而》：「學而時習之，不亦說乎！」</t>
  </si>
  <si>
    <t>(一)ㄕㄨㄛ shuō（09114）(二)ㄕㄨㄟˋ shuì（09146）</t>
  </si>
  <si>
    <t>閱</t>
  </si>
  <si>
    <t>[動]
1.檢驗、視察。如：「閱兵」、「巡閱」、「檢閱」。《公羊傳．桓公六年》：「秋八月壬午大閱。大閱者何？簡車徒也。」唐．白居易〈太和戊申歲大有年詔賜百寮出城觀稼謹書盛事以俟采〉詩：「清晨承詔命，豐歲閱田閭。」
2.經歷。《史記．卷一〇．孝文本紀》：「楚王，季父也。春秋高，閱天下之義理多矣，明於國家之大體。」《漢書．卷八一．孔光傳》：「旬歲間閱三相，議者皆以為不及光也。」
3.看。如：「閱報」、「閱書」。唐．杜甫〈贈左僕射鄭國公嚴公武〉詩：「閱書百紙盡，落筆四座驚。」</t>
  </si>
  <si>
    <t>粵</t>
  </si>
  <si>
    <t>[助]
1.句首發語詞，無義。《漢書．卷八四．翟方進傳》：「粵其聞日，宗室之儁有四百人，民獻儀九萬夫，予敬以終於此謀繼嗣圖功。」
2.句中助詞，無義。《漢書．卷一〇〇．敘傳上》：「尚粵其幾，淪神域兮！」《晉書．卷七九．謝安傳》：「石奴以褊濁興累，雖粵微纇，猶稱名實。」
[名]
廣東省的簡稱。</t>
  </si>
  <si>
    <t>[名]
1.有規律而和諧動人的聲音。如：「音樂」、「奏樂」、「軍樂」。《論語．子路》：「事不成，則禮樂不興。」
2.六經之一。即樂經，相傳亡於秦火。如：「詩、書、禮、樂、易、春秋，謂之六經。」
3.姓。如戰國時燕國有樂毅。</t>
  </si>
  <si>
    <t>(二)ㄌㄜˋ lè（03197）(三)ㄌㄠˋ lào（03287）(四)ㄧㄠˋ yào（10854）</t>
  </si>
  <si>
    <t>嶽</t>
  </si>
  <si>
    <t>[名]
1.高山或山的最高峰。如：「三山五嶽」。唐．李白〈古風〉詩五九首之四：「藥物秘海嶽，採鉛青溪濱。」宋．陸游〈秋夜將曉出籬門迎涼有感〉詩：「三萬里河東入海，五千仞嶽上摩天。」
2.姓。如明代有嶽崇。</t>
  </si>
  <si>
    <t>鸑</t>
  </si>
  <si>
    <t>龠</t>
  </si>
  <si>
    <t>[名]
1.樂器名，吹管樂器。通常用竹管編成，形狀如笛而稍短，有三孔、六孔等。也作「籥」。
2.量詞。古代計算容積的單位。《漢書．卷二一．律曆志上》：「量者，龠、合、升、斗、斛也，所以量多少也。 」清．王念孫《廣雅疏證．卷八上．釋器》：「龠二曰合，合十曰升。」
3.二一四部首之一。</t>
  </si>
  <si>
    <t>[動]
1.浸漬。《說文解字．水部》：「瀹，漬也。」《儀禮．既夕禮》：「菅筲三，其實皆瀹。」唐．賈公彥．疏：「筲用菅草，黍稷皆淹而漬之。」
2.煮。《玉篇．水部》：「瀹，煮也，內菜湯中而出也。」唐．李洞〈和曹監春晴見寄〉詩：「蘭臺架列排書目，顧洘香浮瀹茗花。」宋．蘇軾〈超然臺記〉：「擷園蔬，取池魚，釀秫酒，瀹脫粟而食之曰：『樂哉遊乎！』」
3.疏濬、疏通。《孟子．滕文公上》：「禹疏九河，瀹濟漯而注諸海。」《明史．卷八五．河渠志三》：「淮、揚諸水所匯，徐、兗河流所經，疏瀹決排，繄人力是繫，故閘、河、湖於轉漕尤急。」</t>
  </si>
  <si>
    <t>(二)（又音）ㄧㄠˋ yào（10859）</t>
  </si>
  <si>
    <t>[名]
火光。《說文解字．火部》：「爚，火光也。」《史記．卷八四．屈原賈生傳》：「彌融爚以隱處兮，夫豈從螘與蛭螾。」三國魏．嵇康〈琴賦〉：「華容灼爚，發采揚明，何其麗也。」
[形]
光亮鮮明。《文選．何晏．景福殿賦》：「光明熠爚，文彩璘班。」</t>
  </si>
  <si>
    <t>(二)（又音）ㄧㄠˋ yào（10860）</t>
  </si>
  <si>
    <t>禴</t>
  </si>
  <si>
    <t>[名]
古代宗廟祭祀的名稱。夏、商二代為春祭，周代則改稱夏祭。同「礿」。《詩經．小雅．天保》：「禴祠烝嘗，于公先王。」漢．毛亨．傳：「春曰祠，夏曰禴，秋曰嘗，冬曰烝。」</t>
  </si>
  <si>
    <t>籥</t>
  </si>
  <si>
    <t>[名]
1.古代孩童習字用的竹片，可以擦拭再寫。《說文解字．竹部》：「籥，書僮竹笘也。」清．段玉裁．注：「籥亦謂之觚。蓋以白墡染之，可拭去再書者。」
2.樂器名，吹管樂器。為遠古短管形竹製簧管樂器，中國最早的竹樂器之一。形制似笛，有三孔或六孔之分。通「龠」。</t>
  </si>
  <si>
    <t>(一)（語音）ㄧㄠˋ yào（10861）</t>
  </si>
  <si>
    <t>[動]
銷鎔。《漢書．卷三〇．藝文志》：「後世燿金為刃，割革為甲，器械甚備。」</t>
  </si>
  <si>
    <t>(一)ㄧㄠˋ yào（10856）</t>
  </si>
  <si>
    <t>(一)ㄧㄠˋ yào（10857）</t>
  </si>
  <si>
    <t>(一)ㄧㄠˋ yào（10858）</t>
  </si>
  <si>
    <t>[動]
跳躍。《說文解字．走部》：「趯，躍也。」《漢書．卷七五．李尋傳》：「涌趯邪陰，湛溺太陽。」</t>
  </si>
  <si>
    <t>(二)ㄊㄧˋ tì（02664）</t>
  </si>
  <si>
    <t>躍</t>
  </si>
  <si>
    <t>[動]
1.跳動。如：「飛躍前進」、「一躍而起」、「雀躍不已」。《易經．乾卦．九四》：「或躍在淵。」《山海經．北山經》：「有鳥焉，其狀如雌雉而人面，見人則躍。」
2.價格上漲。漢．桓寬《鹽鐵論．本議》：「縣官猥發，闔門擅市，則萬物並收；萬物並收，則物騰躍。」《漢書．卷二四．食貨志下》：「而不軌逐利之民畜積餘贏以稽市物，痛騰躍，米至石萬錢，馬至匹百金。」</t>
  </si>
  <si>
    <t>籰</t>
  </si>
  <si>
    <t>[名]
紡織時用以收絲的器具。《集韻．入聲．藥韻》：「籰，《說文》：『收絲者也。』」</t>
  </si>
  <si>
    <t>ㄩㄢ</t>
  </si>
  <si>
    <t>yuān</t>
  </si>
  <si>
    <t>參見「大宛」條。</t>
  </si>
  <si>
    <t>(一)ㄨㄢˇ wǎn（11463）</t>
  </si>
  <si>
    <t>怨</t>
  </si>
  <si>
    <t>(一)ㄩㄢˋ yuàn（11802）</t>
  </si>
  <si>
    <t>眢</t>
  </si>
  <si>
    <t>[形]
1.眼睛枯陷不明。《說文解字．目部》：「眢，目無明也。」
2.乾枯無水的。《左傳．宣公十二年》：「目於眢井而拯之。」清．陸次雲〈費宮人傳〉：「費宮人目送其死而還，服主服，匿眢井中。」</t>
  </si>
  <si>
    <t>惌</t>
  </si>
  <si>
    <t>[名]
冤屈、委屈。同「冤」。《廣韻．平聲．元韻》：「惌，惌枉。」</t>
  </si>
  <si>
    <t>鴛</t>
  </si>
  <si>
    <t>[名]
1.參見「鴛鴦」條。
2.一種鳳鳥。通「鵷」。《洛陽伽藍記．卷四．追先寺》：「鴛鸞接翼，杞梓成陰。」南北朝．范祥雍．注：「鴛與鵷通，鴛鸞皆鳳族。」</t>
  </si>
  <si>
    <t>鵷</t>
  </si>
  <si>
    <t>參見「鵷雛」條。</t>
  </si>
  <si>
    <t>冤</t>
  </si>
  <si>
    <t>[形]
1.受到委屈的。如：「冤情」、「冤魂」。《史記．卷九二．淮陰侯傳》：「嗟乎，冤哉亨也！」
2.仇恨的、怨恨的。如：「冤家」。唐．李頻〈哭賈島〉詩：「恨聲流蜀魄，冤氣入湘雲。」
3.受騙、不划算。如：「花真錢，買假貨，太冤了。」
[名]
1.仇恨、怨恨。如：「結冤」、「冤冤相報」。唐．韓愈〈謝自然〉詩：「往者不可悔，孤魂抱深冤。」
2.委屈。如：「申冤」、「訴冤」。</t>
  </si>
  <si>
    <t>淵</t>
  </si>
  <si>
    <t>[名]
1.深水、深潭。如：「如臨深淵，如履薄冰。」《史記．卷八四．屈原賈生傳．太史公曰》：「適長沙，觀屈原所自沉淵，未嘗不垂涕，想見其為人。」
2.根源、本源。如：「淵源」。《新唐書．卷一四九．第五琦傳》：「今之急在兵，兵彊弱在賦，賦所出以江淮為淵。」
3.人或物聚集的地方。如：「罪惡之淵藪」。《後漢書．卷八〇．文苑傳上．杜篤傳》：「荒裔之地，不如保殖五穀之淵。」
4.姓。如春秋時齊國有淵秋。
[形]
深。如：「學問淵博」。明．徐弘祖《徐霞客遊記．卷三上．粵西遊日記一》：「其右有潭，淵黑一如獺子潭，而宏廣更過之，是名龍江。」</t>
  </si>
  <si>
    <t>蜎</t>
  </si>
  <si>
    <t>[名]
1.蚊子的幼蟲。即孑孓。《爾雅．釋魚》：「蜎，蠉。」晉．郭璞．注：「井中小蛣蟩，赤蟲，一名孑孓。」
2.姓。如春秋時楚國有蜎淵。
[動]
彎曲。《字彙．虫部》：「蜎，撓也。」
[形]
參見「蜎蜎」條。</t>
  </si>
  <si>
    <t>鳶</t>
  </si>
  <si>
    <t>[名]_x000D_
動物名。一種猛禽。嘴鉤曲，趾有鉤爪，強勁有力。全身呈褐色，尾形似魚尾。眼睛非常銳利，翼大擅長飛翔。捕食魚類、青蛙、鳥類等。俗稱為「老鷹」。</t>
  </si>
  <si>
    <t>嬽</t>
  </si>
  <si>
    <t>[形]
柔和、美好。《說文解字．女部》：「嬽，好也。」《漢書．卷五七．司馬相如傳上》：「柔橈嬽嬽，嫵媚孅弱。」唐．顏師古．注：「嬽嬽，柔屈貌也。」</t>
  </si>
  <si>
    <t>元</t>
  </si>
  <si>
    <t>ㄩㄢˊ</t>
  </si>
  <si>
    <t>yuán</t>
  </si>
  <si>
    <t>[名]
1.頭。《左傳．僖公三十三年》：「（先軫）免冑入狄師，死焉。狄人歸其元，面如生。」《孟子．滕文公下》：「志士不忘在溝壑，勇士不忘喪其元。」
2.量詞。計算錢幣的單位。一元等於十角。通「圓」。如：「十元」、「五十元」。
3.代數式中，表示未知數的文字稱為「元」。如：「一元一次方程式」。
4.朝代名。參見「元朝」條。
5.姓。如唐代有元稹。
[形]
1.為首的。如：「元兇」、「元首」。
2.開始的、第一的。如：「元年」、「元旦」。
3.大的。《書經．大禹謨》：「天之歷數在汝躬，汝終陟元后。」《三國志．卷二四．魏書．高柔傳》：「逮至漢初，蕭、曹之儔並以元勛代作心膂。」
4.善的。《書經．舜典》：「柔遠能邇，惇德允元。」《後漢書．卷五九．張衡傳》：「抨巫咸以占夢兮，迺貞吉之元符。」
5.基本的。如：「元素」。</t>
  </si>
  <si>
    <t>沅</t>
  </si>
  <si>
    <t>參見「沅江」條。</t>
  </si>
  <si>
    <t>邧</t>
  </si>
  <si>
    <t>[名]
地名。春秋時秦國都邑，故址約在今陝西省澄城縣境內。</t>
  </si>
  <si>
    <t>[名]
植物名：(1)瑞香科瑞香屬。「芫花」之別稱，參見「芫花」條。《爾雅．釋木》：「杬魚毒。」(2)一種大樹，皮厚正赤，前汁可藏眾果，使不敗壞。</t>
  </si>
  <si>
    <t>(二)ㄨㄢˋ wàn（11488）</t>
  </si>
  <si>
    <t>芫</t>
  </si>
  <si>
    <t>參見「芫花」條。</t>
  </si>
  <si>
    <t>黿</t>
  </si>
  <si>
    <t>[名]
動物名。爬蟲綱鱉科。似鱉而大，背甲近圓形，散生小疣，暗綠色，腹面白色。前肢外緣和蹼均呈白色。生活於河中。分布於大陸地區雲南、廣東、廣西、福建、浙江等地。</t>
  </si>
  <si>
    <t>[名]
墓地。如：「九京」。</t>
  </si>
  <si>
    <t>(一)ㄐㄧㄥ jīng（05918）</t>
  </si>
  <si>
    <t>垣</t>
  </si>
  <si>
    <t>[名]
1.矮牆。如：「牆垣」、「斷壁殘垣」。《文選．潘岳．西征賦》：「臨揜坎而累抃，步毀垣以延佇。」
2.官舍。唐．皮日休〈白太傅〉詩：「清望逸內署，直聲驚諫垣。」
3.城市。如：「省垣」。
4.姓。如漢代有垣恭。</t>
  </si>
  <si>
    <t>[名]
姓。如春秋時齊國有苑何忌。</t>
  </si>
  <si>
    <t>(一)ㄩㄢˋ yuàn（11801）(三)ㄩˋ yù（11665）</t>
  </si>
  <si>
    <t>爰</t>
  </si>
  <si>
    <t>[連]
於是。《書經．無逸》：「作其即位，爰知小人之依，能保惠于庶民。」《文選．張衡．思玄賦》：「將荅賦而不暇兮，爰整駕而亟行。」
[助]
發語詞，無義。《詩經．邶風．凱風》：「爰有寒泉，在浚之下。」
[動]
改變、更換。參見「爰田」條。
[名]
姓。如漢代有爰盎。</t>
  </si>
  <si>
    <t>湲</t>
  </si>
  <si>
    <t>[形]
水流動的樣子。《楚辭．屈原．九歌．湘夫人》：「荒忽兮遠望，觀流水兮潺湲。」</t>
  </si>
  <si>
    <t>援</t>
  </si>
  <si>
    <t>[動]
1.拉、牽引。《詩經．大雅．皇矣》：「以爾鉤援，與爾臨衝，以伐崇墉。」《周書．卷一九．達奚武傳》：「攀藤援枝，然後得上。」
2.引進。《禮記．儒行》：「苟利國家不求富貴，其舉賢援能有如此者。」宋．蘇軾〈答曾舍人啟〉：「某官異材秀出，博學名家，……今乃援而進之，論者惜其晚矣。」
3.引用。如：「援驗」。晉．郭璞〈爾雅序〉：「事有隱滯，援據徵之。」唐．劉洎〈諫詰難臣寮上言書〉：「飾辭以析其理，援古以排其議。」
4.持、拿。《左傳．成公二年》：「左并轡，右援枹而鼓。」《韓非子．內儲說下》：「援礪砥刀，利猶干將也。切肉肉斷，而髮不斷。」
5.救助。如：「援救」、「支援」。《孟子．離婁上》：「天下溺，援之以道；嫂溺，援之以手。」</t>
  </si>
  <si>
    <t>媛</t>
  </si>
  <si>
    <t>參見「嬋媛」條。</t>
  </si>
  <si>
    <t>(一)ㄩㄢˋ yuàn（11810）</t>
  </si>
  <si>
    <t>蝯</t>
  </si>
  <si>
    <t>[名]
一種善於攀援的獸類。《爾雅．釋獸》：「猱、蝯，善援。」晉．郭璞．注：「便攀援。」《漢書．卷八七．揚雄傳上》：「枳棘之榛榛兮，蝯貁擬而不敢下。」唐．顏師古．注：「蝯，善攀援。」</t>
  </si>
  <si>
    <t>鶢</t>
  </si>
  <si>
    <t>參見「鶢鶋」條。</t>
  </si>
  <si>
    <t>袁</t>
  </si>
  <si>
    <t>[形]
衣服長的樣子。《說文解字．衣部》：「袁，長衣貌。」
[名]
姓。如漢代有袁紹。</t>
  </si>
  <si>
    <t>園</t>
  </si>
  <si>
    <t>[名]
1.種植花木、蔬果的地方。如：「果園」、「菜園」、「茶園」。《詩經．鄭風．將仲子》：「將仲子兮，無踰我園，無折我樹檀。」
2.供人遊覽、休憩的地方。如：「公園」、「遊樂園」。南朝宋．劉義慶《世說新語．簡傲》：「王子敬自會稽經吳，聞顧辟疆有名園。」
3.帝王、后妃等的墓地。《史記．卷一一八．淮南王傳》：「追尊諡淮南王為厲王，置園復如諸侯儀。」《後漢書．卷一．光武帝紀下》：「遷呂太后廟主于園，四時上祭。」</t>
  </si>
  <si>
    <t>猿</t>
  </si>
  <si>
    <t>[名]
靈長目猿科動物的泛稱。與猴同類，惟頰下無囊，無尾，臀無堅皮。形似人，能坐能立，性聰慧，善於模倣，多生活於森林中。種類繁多，如長臂猿、黑猩猩等。</t>
  </si>
  <si>
    <t>轅</t>
  </si>
  <si>
    <t>[名]
1.車前用來套駕牲畜的兩根直木，左右各一。唐．柳宗元〈行路難〉三首之二：「深林土剪十取一，百牛連鞅摧雙轅。」
2.衙門、官署。《浮生六記．卷四．浪遊記快》：「城中有何新聞，撫軍在轅否？」
3.姓。如漢代有轅固。
[動]
改易、更換。《國語．晉語三》：「且賞以悅眾，眾皆哭，焉作轅田？」</t>
  </si>
  <si>
    <t>原</t>
  </si>
  <si>
    <t>[動]
1.本於、發生於。《莊子．天下》：「聖有所生，王有所成，皆原於一。」《禮記．王制》：「凡聽五刑之訟，必原父子之親，立君臣之義。」
2.推究根源。《易經．繫辭下》：「易之為書也，原始要終，以為質也。」宋．沈括《夢溪筆談．卷二四．雜誌一》：「磁石之指南，猶柏之指西，莫可原其理。」
3.寬恕、諒解。如：「原諒」、「情有可原」。《後漢書．卷八一．獨行傳．范冉傳》：「冉首自劾退，詔書特原不理罪。」
[名]
1.根本。《呂氏春秋．孟冬紀．異用》：「萬物不同，而用之於人異也，此治亂存亡死生之原。」漢．王符《潛夫論．務本》：「游業末事以收民利，此貧邦之原也。」
2.廣大而平坦的地方。如：「平原」、「高原」。《書經．盤庚上》：「若火之燎于原，不可嚮邇，其猶可撲滅。」唐．白居易〈賦得古原草送別〉詩：「離離原上草，一歲一枯榮。」
3.姓。如春秋時魯國有原壤。
[形]
1.最初的、本來的。如：「原文」、「原著」、「原油」、「物歸原主」。
2.再。《淮南子．泰族》：「原蠶一歲再收，非不利也，然而王法禁之者，為其殘桑也。」《資治通鑑．卷二七一．後梁紀六．均王貞明六年》：「閏月、庚申朔，蜀主作高祖原廟于萬里橋。」
[副]
本來。唐．薛能〈贈隱者〉詩：「甘貧原是道，苦學不為名。」《紅樓夢》第四二回：「賈母原沒有大病，不過是勞乏了，兼著了些涼。」</t>
  </si>
  <si>
    <t>(二)ㄩㄢˋ yuàn（11804）</t>
  </si>
  <si>
    <t>源</t>
  </si>
  <si>
    <t>[名]
1.水流的出處。如：「水源」、「泉源」、「飲水思源」。《國語．晉語一》：「伐木不自其本，必復生；塞水不自其源，必復流。」唐．李嶠〈河〉詩：「源出崑崙中，長波接漢空。」
2.根本、由來。《韓非子．主道》：「是以明君守始以知萬物之源，治紀以知善敗之端。」《文選．班固．東都賦》：「嗜欲之源滅，廉恥之心生。」
3.姓。如唐代有源乾曜。</t>
  </si>
  <si>
    <t>嫄</t>
  </si>
  <si>
    <t>參見「姜嫄」條。</t>
  </si>
  <si>
    <t>羱</t>
  </si>
  <si>
    <t>參見「羱羊」條。</t>
  </si>
  <si>
    <t>螈</t>
  </si>
  <si>
    <t>參見「蠑螈」、「螈蠶」等條。</t>
  </si>
  <si>
    <t>騵</t>
  </si>
  <si>
    <t>[名]
赤毛白腹的馬。《廣韻．平聲．元韻》：「騵，赤馬白腹。」《詩經．大雅．大明》：「牧野洋洋，檀車煌煌，駟騵彭彭。」漢．毛亨．傳：「騮馬白腹曰騵。」</t>
  </si>
  <si>
    <t>員</t>
  </si>
  <si>
    <t>[名]
1.圓形。通「圓」。《孟子．離婁上》：「規矩，方員之至也。」《淮南子．原道》：「員者常轉，窾者主浮，自然之勢也。」
2.周圍。如：「幅員廣大」。《詩經．商頌．玄鳥》：「景員維河，殷受命咸宜，百祿是何。」
3.人、物的數額。《史記．卷七六．平原君虞卿傳》：「今少一人，願君即以遂備員而行矣。」《漢書．卷七六．尹翁歸傳》：「豪彊有論罪，輸掌畜官，使斫莝，責以員程，不得取代。」唐．顏師古．注：「員，數也。計其人及日數為功程。」
4.從事某種職業的人。如：「教員」、「服務員」、「公務員」。
5.團體中的一分子。如：「黨員」、「會員」、「團員」。
6.量詞。計算人數的單位。如：「一員武將」。唐．韓愈〈江西觀察使韋公墓誌銘〉：「故事，使外國者，常賜州縣官十員，使以名上，以便其私，號私覿官。」《三國演義》第一五回：「原來那寨後放火的，乃是兩員健將。」</t>
  </si>
  <si>
    <t>(二)ㄩㄣˊ yún（11833）(三)ㄩㄣˋ yùn（11844）</t>
  </si>
  <si>
    <t>圓</t>
  </si>
  <si>
    <t>[形]
1.不露稜角的、環形的。相對於「方」。如：「圓球」、「圓桌」。
2.完整、周全、豐滿。《呂氏春秋．士容論．審時》：「疏穖而穗大，其粟圓而薄糠。」南朝梁．劉勰《文心雕龍．明詩》：「自商暨周，雅頌圓備。」
3.婉轉、滑潤。唐．元稹〈善歌如貫珠賦〉：「吟斷章而離離若間，引妙囀而一一皆圓。」明．湯顯祖《牡丹亭》第一〇齣：「生生燕語明如翦，嚦嚦鶯歌溜的圓。」
[名]
1.從中心到周圍每一點的距離都相等的形體稱為「圓」。《墨子．法儀》：「百工為方以矩，為圓以規。」
2.貨幣的名稱。如：「金圓」、「銀圓」、「日圓」。
3.量詞。計算錢幣的單位。一圓等於十角。如：「拾圓」、「伍圓」。
[動]
完成、使完整。如：「圓謊」、「自圓其說」。《紅樓夢》第六八回：「暫且住著，等滿了服再圓房。」</t>
  </si>
  <si>
    <t>隕</t>
  </si>
  <si>
    <t>[名]
周圍。通「員」。《詩經．商頌．長發》：「方外大國是疆，幅隕既長。」</t>
  </si>
  <si>
    <t>(一)ㄩㄣˇ yǔn（11839）</t>
  </si>
  <si>
    <t>緣</t>
  </si>
  <si>
    <t>[名]
1.衣服的花邊。《戰國策．齊策四》：「下宮糅羅紈，曳綺縠，而士不得以為緣。」《後漢書．卷一〇．皇后紀上．明德馬皇后紀》：「常衣大練，裙不加緣。」
2.器物的邊沿。《周書．卷一八．王羆傳》：「嘗有臺使，羆為其設食，使乃裂其薄餅緣。」唐．李商隱〈贈子直花下〉詩：「屏緣蝶留粉，窗油蜂印黃。」
3.原因。如：「無緣無故」。
4.人與人或事物之間遇合的機會。《史記．卷一〇四．田叔傳》：「（任安）少孤貧困，為人將車之長安，留，求事為小吏，未有因緣也，因占著名數。」唐．杜甫〈清明〉詩二首之一：「繡羽銜花他自得，紅顏騎竹我無緣。」
[動]
1.攀爬。《孟子．梁惠王上》：「以若所為，求若所欲，猶緣木而求魚也。」明．徐弘祖《徐霞客遊記．卷一．遊天台山日記》：「余赤足跳草莽中，揉木緣崖，蓮舟不能從。」
2.圍繞。《荀子．議兵》：「限之以鄧林，緣之以方城。」三國魏．曹植〈苦思行〉：「綠蘿緣玉樹，光曜粲相暉。」
3.沿、循。晉．陶淵明〈桃花源記〉：「緣溪行，忘路之遠近。」《南史．卷二．宋文帝本紀》：「壬午，內外戒嚴，緣江六七百里舳艫相接。」
4.憑藉。《荀子．正名》：「徵知，則緣耳而知聲可也，緣目而知形可也。」《後漢書．卷五四．楊震傳》：「安帝乳母王聖，因保養勤，緣恩放恣。」
[介]
因為、由於。唐．杜甫〈客至〉詩：「花徑不曾緣客掃，蓬門今始為君開。」宋．蘇軾〈題西林壁〉詩：「不識廬山真面目，只緣身在此山中。」</t>
  </si>
  <si>
    <t>(二)ㄩㄢˋ yuàn（11809）</t>
  </si>
  <si>
    <t>櫞</t>
  </si>
  <si>
    <t>[名]
植物名。芸香科柑桔屬，「枸櫞」、「香櫞」之古稱，參見「枸櫞」條。</t>
  </si>
  <si>
    <t>[名]
1.天體。《易經．說卦》：「乾為天，為圜。」《楚辭．屈原．天問》：「圜則九重，孰營度之？」
2.圓、圓形。《周禮．冬官考工記．輿人》：「圜者中規，方者中矩。」《史記．卷一二二．酷吏傳．序》：「破觚而為圜，斲雕而為朴。」</t>
  </si>
  <si>
    <t>(二)ㄏㄨㄢˊ huán（05165）</t>
  </si>
  <si>
    <t>遠</t>
  </si>
  <si>
    <t>ㄩㄢˇ</t>
  </si>
  <si>
    <t>yuǎn</t>
  </si>
  <si>
    <t>[形]
1.時間、空間的距離大。與「近」相對。如：「遙遠」、「邊遠」、「長遠」。《詩經．豳風．七月》：「取彼斧斨，以伐遠揚。」《警世通言．卷一一．蘇知縣羅衫再合》：「因船是年遠的，又帶貨太重，發起漏來。」
2.深奧。如：「深遠」。《易經．繫辭下》：「其旨遠，其辭文，其言曲而中。」
3.血緣關係不近的。如：「遠親不如近鄰」。《禮記．檀弓上》：「有殯，聞遠兄弟之喪，雖緦必往，非兄弟，雖鄰不往。」唐．杜甫〈鄭典設自施州歸〉詩：「中宵愜良會，裴鄭非遠戚。」
[名]
姓。如五代時有遠建平。</t>
  </si>
  <si>
    <t>(二)ㄩㄢˋ yuàn（11812）</t>
  </si>
  <si>
    <t>ㄩㄢˋ</t>
  </si>
  <si>
    <t>yuàn</t>
  </si>
  <si>
    <t>[名]
1.畜養禽獸或種植草木果蔬的地方，古代多指帝王遊樂狩獵的園林。《說文解字．艸部》：「苑，所以養禽獸。」如：「鹿苑」、「上林苑」。南朝宋．謝靈運〈石門岩上宿詩〉：「朝搴苑中蘭，畏彼霜下歇。」宋．劉子翬〈汴京紀事〉詩：「內苑珍林蔚絳霄，圍城不復禁芻蕘。」
2.事物會集的地方。如：「藝苑」。南朝梁．劉勰《文心雕龍．才略》：「觀夫後漢才林，可參西京，晉世文苑，足儷鄴都。」</t>
  </si>
  <si>
    <t>(二)ㄩㄢˊ yuán（11777）(三)ㄩˋ yù（11665）</t>
  </si>
  <si>
    <t>[動]
責備、怪罪、痛恨。如：「怨天尤人」、「任勞任怨」。《論語．里仁》：「事父母幾諫，見志不從，又敬不違，勞而不怨。」《史記．卷一〇七．魏其武安侯傳》：「武安由此大怨灌夫、魏其。」
[名]
仇恨。如：「結怨」、「宿怨」、「以德報怨」、「恩怨分明」。《左傳．成公三年》：「無怨無德，不知所報。」《禮記．儒行》：「儒有內稱不避親，外舉不避怨。」
[形]
不滿的、哀愁的。如：「怨言」、「怨婦」、「怨聲載道」。唐．白居易〈楊柳枝二十二韻〉：「樂童翻怨調，才子與妍詞。」</t>
  </si>
  <si>
    <t>(二)（又音）ㄩㄢ yuān（11759）</t>
  </si>
  <si>
    <t>[名]
園林。通「苑」。《管子．水地》：「地者，萬物之本原，諸生之根菀也。」《漢書．卷八六．王嘉傳》：「詔書罷菀，而以賜賢二千餘頃，均田之制從此墮壞。」</t>
  </si>
  <si>
    <t>(一)ㄨㄢˇ wǎn（11466）(二)ㄩˋ yù（11666）</t>
  </si>
  <si>
    <t>[形]
忠厚、拘謹。通「愿」。《論語．陽貨》：「鄉原，德之賊也。」</t>
  </si>
  <si>
    <t>(一)ㄩㄢˊ yuán（11788）</t>
  </si>
  <si>
    <t>愿</t>
  </si>
  <si>
    <t>[形]
忠厚、謹慎。《書經．皋陶謨》：「柔而立，愿而恭。」《後漢書．卷七六．循吏傳．劉寵傳》：「山民愿樸，乃有白首不入市井者，頗為官吏所擾。」</t>
  </si>
  <si>
    <t>願</t>
  </si>
  <si>
    <t>[名]
希望、期望。如：「心願」、「志願」、「許願」、「如願以償」。《文選．陶淵明．歸去來辭》：「富貴非吾願，帝鄉不可期。」
[動]
1.希望、期待。如：「但願」、「願天下有情人終成眷屬。」《楚辭．屈原．九章．惜誦》：「固煩言不可結詒兮，願陳志而無路。」
2.甘心、樂意。如：「願意」、「心甘情願」。《孟子．公孫丑上》：「管仲曾西之所不為也，而子為我願之乎？」
3.欽羨、傾慕。《荀子．榮辱》：「小人莫不延頸舉踵而願曰：『知慮材性，固有以賢人矣。』」《韓非子．忠孝》：「為人臣常譽先王之德厚而願之，是誹謗其君者也。」</t>
  </si>
  <si>
    <t>院</t>
  </si>
  <si>
    <t>[名]
1.圍牆內房屋四周的空地。如：「庭院」、「後院」。唐．李白〈之廣陵宿常二南郭幽居〉詩：「忘憂或假草，滿院羅叢萱。」五代十國南唐．李煜〈相見歡．無言獨上西樓〉詞：「無言獨上西樓，月如鉤，寂寞梧桐，深院鎖清秋。」
2.指公共場所的名稱。如：「書院」、「醫院」、「戲院」。
3.某些政府機關的名稱。如：「大理院」、「翰林院」、「立法院」、「行政院」、「法院」。
4.學院的簡稱。如：「大學院校」。</t>
  </si>
  <si>
    <t>掾</t>
  </si>
  <si>
    <t>[動]
輔助。清．朱駿聲《說文通訓定聲．手部》：「掾，緣也。按本訓當為佐助之誼，故從手。」
[名]
古代官府屬員的通稱。《漢書．卷三九．蕭何傳》：「（何）以文毋害，為沛主吏掾。」《新唐書．卷四九．百官志四下》：「掾一人，掌通判功曹、倉曹、戶曹事。」</t>
  </si>
  <si>
    <t>[名]
(一)[名]1.2.之讀音。
[動]
加飾。《漢書．卷五八．公孫弘傳》：「緣飾以儒術，上說之，一歲中至左內吏。」</t>
  </si>
  <si>
    <t>(一)ㄩㄢˊ yuán（11797）</t>
  </si>
  <si>
    <t>[名]
1.美女。《詩經．鄘風．君子偕老》：「展如之人兮，邦之媛也。」
2.對婦女的美稱。如：「名媛」、「淑媛」。</t>
  </si>
  <si>
    <t>(二)ㄩㄢˊ yuán（11781）</t>
  </si>
  <si>
    <t>瑗</t>
  </si>
  <si>
    <t>[名]
一種中間有圓孔的璧玉。是由早期環狀石斧演變成的臂飾，後來再演變為玉鐲。《荀子．大略》：「問士以璧，召人以瑗。」</t>
  </si>
  <si>
    <t>[動]
遠離、不接近。《論語．雍也》：「務民之義，敬鬼神而遠之，可謂知矣。」《文選．諸葛亮．出師表》：「親賢臣，遠小人，此先漢所以興隆也。」</t>
  </si>
  <si>
    <t>(一)ㄩㄢˇ yuǎn（11800）</t>
  </si>
  <si>
    <t>ㄩㄣ</t>
  </si>
  <si>
    <t>yūn</t>
  </si>
  <si>
    <t>(一)ㄊㄨㄣ tūn（02865）(二)ㄐㄩㄣ jūn（06157A）</t>
  </si>
  <si>
    <t>[動]
1.昏迷。如：「暈倒」、「暈厥」。
2.因外在環境而產生一種昏亂的感覺。如：「暈機」、「暈車」。
[形]
昏亂的。如：「頭暈眼花」。</t>
  </si>
  <si>
    <t>(二)ㄩㄣˋ yùn（11848）(三)ㄧㄣˋ yìn（11123）</t>
  </si>
  <si>
    <t>奫</t>
  </si>
  <si>
    <t>參見「奫淪」條。</t>
  </si>
  <si>
    <t>蒕</t>
  </si>
  <si>
    <t>[名]
千年蒕：植物名。百合科萬年青屬，多年生常綠草本。根莖粗壯，有多數鬚根。葉大，質厚有光澤。春日自葉心抽出總狀花序，花淡黃色或淡褐色。漿果球形，赤熟。園藝品種甚多，供觀賞用。也稱為「萬年青」。參見「萬年青」條。</t>
  </si>
  <si>
    <t>氳</t>
  </si>
  <si>
    <t>[形]
蝹蝹：龍的樣貌。《廣韻．平聲．真韻》：「蝹，蝹蝹，龍貌。」《文選．張衡．西京賦》：「海鱗變而成龍，狀蜿蜿以蝹蝹。」李善注引薛綜曰：「蜿蜿、蝹蝹，龍形貌也。」</t>
  </si>
  <si>
    <t>(二)ㄠˇ ǎo（10373）</t>
  </si>
  <si>
    <t>縕</t>
  </si>
  <si>
    <t>[名]
1.赤黃色。明．張自烈《正字通．糸部》：「縕，赤黃間色也。」
2.參見「絪縕」條。</t>
  </si>
  <si>
    <t>(一)ㄩㄣˋ yùn（11855）</t>
  </si>
  <si>
    <t>贇</t>
  </si>
  <si>
    <t>[形]
美好。《廣韻．平聲．真韻》：「贇，美好也。」</t>
  </si>
  <si>
    <t>云</t>
  </si>
  <si>
    <t>ㄩㄣˊ</t>
  </si>
  <si>
    <t>yún</t>
  </si>
  <si>
    <t>[名]
1.雲的古字。明．張自烈《正字通．二部》：「云，雲本字。」
2.姓。如漢代有云敞。
[動]
1.說。如：「人云亦云」。《文選．諸葛亮．出師表》：「臨表涕泣，不知所云。」
2.有。《荀子．法行》：「事已敗矣，乃重大息，其云益乎！」《文選．陸機．答賈謐》：「公之云感，貽此音翰。」
[助]
1.發語詞，無義。《詩經．邶風．簡兮》：「云誰之思，西方美人。」
2.用於句中，無義。《詩經．邶風．雄雉》：「道之云遠，曷云能來。」《左傳．成公十二年》：「日云莫矣，寡君須矣，吾子其入也。」
3.用於句尾，無義。《史記．卷六一．伯夷傳》：「余登箕山，其上蓋有許由冢云。」
[代]
如此。《左傳．襄公二十八年》：「子之言云，又焉用盟？」</t>
  </si>
  <si>
    <t>沄</t>
  </si>
  <si>
    <t>[形]
水波流轉的樣子。《爾雅．釋言》：「沄，沆也。」晉．郭璞．注：「水流漭沆。」《文選．張衡．思玄賦》：「揚芒熛而絳天兮，水泫沄而涌濤。」唐．杜甫〈次空靈岸〉詩：「沄沄逆素浪，落落展清眺。」</t>
  </si>
  <si>
    <t>芸</t>
  </si>
  <si>
    <t>[名]
1.參見「芸香」條。
2.一種美菜。《呂氏春秋．孝行覽．本味》：「菜之美者，……陽華之芸，雲夢之芹。」漢．高誘．注：「芸，芳菜也。」
3.姓。如周代晉國有芸賢。
[動]
除草。通「耘」。《列子．楊朱》：「先生有一妻一妾，而不能治，三畝之園，而不能芸。」宋．辛棄疾〈卜算子．千古李將軍〉詞：「芸草去陳根，筧竹添新瓦。」</t>
  </si>
  <si>
    <t>(二)ㄧˋ yì（▲10642）</t>
  </si>
  <si>
    <t>耘</t>
  </si>
  <si>
    <t>[動]
除草。《墨子．三辯》：「農夫春耕夏耘，秋斂冬藏，息於聆缶之樂。」《文選．張衡．東京賦》：「兆民勸於疆場，感懋力以耘耔。」</t>
  </si>
  <si>
    <t>紜</t>
  </si>
  <si>
    <t>[形]
多而亂的樣子。如：「眾說紛紜」。《文選．班固．東都賦》：「千乘雷起，萬騎紛紜。」</t>
  </si>
  <si>
    <t>雲</t>
  </si>
  <si>
    <t>[名]
1.水蒸氣遇冷，凝成細水滴，懸浮在空中的團狀物體。如：「白雲」、「烏雲蔽日」。
2.雲南省的簡稱。如：「雲貴高原」。
3.姓。如唐代有雲朝霞。
[副]
比喻多。如：「萬商雲集」。《文選．賈誼．過秦論》：「天下雲集而響應，嬴糧而景從。」</t>
  </si>
  <si>
    <t>澐</t>
  </si>
  <si>
    <t>[名]
江上大波。《說文解字．水部》：「澐，江水大波謂之澐。」清．段玉裁．注：「專謂江水也。」</t>
  </si>
  <si>
    <t>蕓</t>
  </si>
  <si>
    <t>參見「蕓薹」、「蕓輝」等條。</t>
  </si>
  <si>
    <t>勻</t>
  </si>
  <si>
    <t>[形]
平均的。如：「均勻」、「勻稱」。唐．杜甫〈麗人行〉：「態濃意遠淑且真，肌理細膩骨肉勻。」
[動]
分讓。如：「你今天務必勻出時間出來開會。」《儒林外史》第五二回：「叫家人勻出一匹馬，請鳳四老爹騎著。」</t>
  </si>
  <si>
    <t>昀</t>
  </si>
  <si>
    <t>[名]
日光。《玉篇．日部》：「昀，日光也。」</t>
  </si>
  <si>
    <t>畇</t>
  </si>
  <si>
    <t>參見「畇畇」條。</t>
  </si>
  <si>
    <t>筠</t>
  </si>
  <si>
    <t>[名]
1.竹子外層的青皮。唐．劉禹錫〈許給事見示哭工部劉尚書詩因命同作〉詩：「特達圭無玷，堅貞竹有筠。」宋．歐陽修〈漁家傲．四月園林春去後〉詞：「風雨時時添氣候，成行新筍霜筠厚。」
2.竹子。如：「翠筠」、「松筠」。唐．韋應物〈將往滁城戀新竹簡崔都水示端〉詩：「停車欲去繞叢竹，偏愛新筠十數竿。」
[形]
用竹子製成的。如：「筠筒」、「筠籃」。</t>
  </si>
  <si>
    <t>[動]
增益。《詩經．小雅．正月》：「無棄爾輔，員于爾輻。」
[名]
人名用字。如春秋時楚國有伍員。</t>
  </si>
  <si>
    <t>(一)ㄩㄢˊ yuán（11794）(三)ㄩㄣˋ yùn（11844）</t>
  </si>
  <si>
    <t>鄖</t>
  </si>
  <si>
    <t>[名]
1.國名。春秋時被楚所滅，故址在今湖北省安陸縣。
2.地名。春秋時吳國邑地。故址在江蘇省如皋縣南。</t>
  </si>
  <si>
    <t>篔</t>
  </si>
  <si>
    <t>熅</t>
  </si>
  <si>
    <t>[名]
有濃煙而無焰的火。《漢書．卷五四．蘇建傳》：「鑿地為坎，置熅火，覆武其上，蹈其背以出血。」</t>
  </si>
  <si>
    <t>(二)ㄩㄣˋ yùn（11854）</t>
  </si>
  <si>
    <t>允</t>
  </si>
  <si>
    <t>ㄩㄣˇ</t>
  </si>
  <si>
    <t>yǔn</t>
  </si>
  <si>
    <t>[動]
答應、許可。如：「應允」。唐．韓愈〈上鄭尚書相公啟〉：「不蒙察允，遽以慚歸。」
[形]
公平、得當。如：「公允」。《後漢書．卷五八．虞詡傳》：「祖父經，為郡縣獄吏，案法平允，務存寬恕。」
[副]
果真。《詩經．大雅．公劉》：「度其夕陽，豳居允荒。」漢．揚雄《法言．問道》：「允治天下，不待禮文與五教，則吾以黃帝堯舜為疣贅。」
[名]
姓。如上古時代有允格。</t>
  </si>
  <si>
    <t>狁</t>
  </si>
  <si>
    <t>[動]
1.墜落。《左傳．莊公七年》：「夏，恆星不見。夜明也，星隕如雨。」《文選．禰衡．鸚鵡賦》：「聞之者悲傷，見之者隕淚。」
2.毀壞。《管子．中匡》：「古之隳國家隕社稷者，非故且為之也。」《淮南子．覽冥》：「庶女叫天，雷電下擊，景公臺隕，支體傷折，海水大出。」
3.失去。《詩經．大雅．綿》：「肆不殄厥慍，亦不隕厥問。」
4.死亡。通「殞」。《左傳．襄公三十一年》：「巢隕諸樊，閽戕戴吳，天似啟之。」《文選．賈誼．弔屈原文》：「遭世罔極兮，乃隕厥身。」</t>
  </si>
  <si>
    <t>(二)ㄩㄢˊ yuán（11796）</t>
  </si>
  <si>
    <t>殞</t>
  </si>
  <si>
    <t>[動]
1.死亡。如：「香消玉殞」。《史記．卷一七．漢興以來諸侯王年表．序》：「大者叛逆，小者不軌于法。以危其命，殞身亡國。」《紅樓夢》第三三回：「（寶玉）只是此時一心總為金釧兒感傷，恨不得此時也身亡命殞。」
2.墜落。通「隕」。《淮南子．泰族》：「（趙王）思故鄉，作為山水之謳，聞者莫不殞涕。」《文選．潘岳．秋興賦》：「游氛朝興，槁葉夕殞。」</t>
  </si>
  <si>
    <t>霣</t>
  </si>
  <si>
    <t>[名]
雷雨。《廣韻．上聲．軫韻》：「《說文》：『雨也。』」
[動]
降落、墜落。通「隕」。《韓非子．內儲說上》：「春秋之記曰：『冬十二月，霣霜，不殺菽。』」《聊齋志異．卷六．絳妃》：「久矣朱旛不豎，娟娟者霣涕誰憐？」</t>
  </si>
  <si>
    <t>孕</t>
  </si>
  <si>
    <t>ㄩㄣˋ</t>
  </si>
  <si>
    <t>yùn</t>
  </si>
  <si>
    <t>[動]
1.懷胎。《易經．漸卦．九三》：「夫征不復，婦孕不育。」《國語．魯語上》：「鳥獸孕，水蟲成。」
2.培養。南朝梁．劉勰《文心雕龍．神思》：「拙辭或孕於巧義，庸事或萌於新意。」唐．李白〈述德兼陳情上哥舒大夫〉詩：「天為國家孕英才，森森矛戟擁靈臺。」
3.包含。如：「包孕」、「孕含」。唐．白居易〈與元九書〉：「於是乎孕大含深，貫微洞密。」</t>
  </si>
  <si>
    <t>[名]
和諧的音。通「韻」。《文選．成公綏．嘯賦》：「音均不恆，曲無定制。」</t>
  </si>
  <si>
    <t>(一)ㄐㄩㄣ jūn（06154）</t>
  </si>
  <si>
    <t>[名]_x000D_
姓。如唐代有員半千。</t>
  </si>
  <si>
    <t>(一)ㄩㄢˊ yuán（11794）(二)ㄩㄣˊ yún（11833）</t>
  </si>
  <si>
    <t>韻</t>
  </si>
  <si>
    <t>[名]
1.聲韻學將漢字音節分為前後兩部分，開頭部分為聲，聲之後即為韻。最複雜的韻包括韻首、韻腹、韻尾三部分。參見「韻母」條。
2.詩賦文學中的韻腳，或押韻之字，詩韻只考慮韻腹、韻尾是否相同。如東、公同屬一韻。南朝梁．劉勰《文心雕龍．聲律》：「異音相從謂之和，同聲相應謂之韻。」唐．王勃〈滕王閣序〉：「一言均賦，四韻俱成。」
3.和諧的聲音。如：「琴韻悠揚」。漢．蔡邕〈琴賦〉：「于是繁絃既抑，雅韻復揚。」
4.神態、風度、情趣。如：「風韻猶存」、「神韻」。晉．陶淵明〈歸園田居〉詩五首之一：「少無適俗韻，性本愛丘山。」《南史．卷二〇．謝弘微傳》：「康樂誕通度，實有名家韻，若加繩染功，剖瑩乃瓊瑾。」
[形]
風雅、風趣。南朝宋．劉義慶《世說新語．言語》：「或言道人畜馬不韻，支曰：『貧道重其神駿。』」《醒世恆言．卷二五．獨孤生歸途鬧夢》：「卻恁般淒楚，忒煞不韻！該罰！該罰！」</t>
  </si>
  <si>
    <t>惲</t>
  </si>
  <si>
    <t>[形]
渾厚。《說文解字．心部》：「惲，重厚也。」
[動]
籌劃。《玉篇．心部》：「惲，謀也，議也。」
[名]
姓。如清代有惲敬。</t>
  </si>
  <si>
    <t>鄆</t>
  </si>
  <si>
    <t>[名]
地名。春秋時魯國邑地：東鄆約在今山東省沂水縣北；西鄆約在今山東省鄆城縣東。</t>
  </si>
  <si>
    <t>[名]
1.太陽及月亮周圍的光環。《史記．卷二七．天官書》：「日月暈適，雲風，此天之客氣，其發見亦有大運。」唐．李白〈橫江詞〉六首之六：「月暈天風霧不開，海鯨東蹙百川迴。」
2.光影、色澤四周模糊的部分。唐．韓愈〈宿龍宮灘〉詩：「夢覺燈生暈，宵殘雨送涼。」宋．蘇軾〈墨花〉詩：「花心超墨暈，春色散毫端。」
3.面頰所泛生的輪狀紅色。如：「酒暈」。
[動]
擴散。如：「暈開」。明．湯顯祖《牡丹亭》第四三齣：「血暈幾重圍，孤城怎生料！」</t>
  </si>
  <si>
    <t>(一)ㄩㄣ yūn（11814）(三)ㄧㄣˋ yìn（11123）</t>
  </si>
  <si>
    <t>運</t>
  </si>
  <si>
    <t>[動]
1.移動、轉動。如：「運行」、「運轉」。明．徐弘祖《徐霞客遊記．卷一〇上．滇遊日記十二》：「以水運機，磨麥為麵。」
2.掄動、揮動。《莊子．徐无鬼》：「匠石運斤成風，聽而斲之。」《五燈會元．卷六．唐朝因禪師》：「唐朝因禪師，微時，嘗運槌擊土次，戲槌猛擊之，應碎。」
3.搬送。如：「搬運」、「裝運」、「運貨」。《三國志．卷三五．蜀書．諸葛亮傳》：「亮復出祁山，以木牛運，糧盡退軍。」
4.使用。如：「運思」、「運筆」。《孫子．九地》：「運兵計謀，為不可測。」《史記．卷七．項羽本紀》：「夫被堅執銳，義不如公；坐而運策，公不如義。」
[名]
1.氣數、命中註定的遭遇。如：「命運」、「好運」、「走運」、「鴻運當頭」、「國運昌隆」。《漢書．卷一．高帝紀下．贊曰》：「漢承堯運，德祚已盛。」
2.運動會的簡稱。如：「校運」、「區運」、「亞運」、「奧運」。
3.姓。如漢代有運期燿。</t>
  </si>
  <si>
    <t>餫</t>
  </si>
  <si>
    <t>[動]
贈人糧食。《左傳．成公五年》：「晉荀首如齊逆女，故宣伯餫諸穀。」</t>
  </si>
  <si>
    <t>韗</t>
  </si>
  <si>
    <t>參見「韗人」條。</t>
  </si>
  <si>
    <t>鶤</t>
  </si>
  <si>
    <t>[名]
1.古代一種大雞。《爾雅．釋畜》：「雞三尺為鶤。」晉．郭璞．注：「陽溝巨鶤，古之名雞。」
2.鳳凰的別名。《淮南子．覽冥》：「過歸雁於碣石，軼鶤雞於姑餘。」漢．高誘．注：「鶤雞，鳳皇之別名。」</t>
  </si>
  <si>
    <t>慍</t>
  </si>
  <si>
    <t>[動]
怨恨。《論語．學而》：「人不知而不慍，不亦君子乎？」《後漢書．卷二八下．馮衍傳》：「憤馮亭之不遂兮，慍去疾之遭惑。」</t>
  </si>
  <si>
    <t>[動]
使用熱力將東西弄平。同「熨」。《集韻．去聲．焮韻》：「熅，以火伸物。」</t>
  </si>
  <si>
    <t>(一)ㄩㄣˊ yún（11836）</t>
  </si>
  <si>
    <t>[名]
1.新舊相混的棉絮。《禮記．玉藻》：「纊為繭，縕為袍。」漢．鄭玄．注：「纊，謂今之新綿也；縕，謂今之纊及舊絮也。」
2.亂麻。《漢書．卷四五．蒯通傳》：「（里母）即束縕請火於亡肉家。」唐．顏師古．注：「縕，亂麻也。」
[形]
紛亂。漢．揚雄《法言．孝至》：「齊桓之時縕，而春秋美邵陵，習亂也。」晉．李軌．注：「縕，亂也。」</t>
  </si>
  <si>
    <t>(二)ㄩㄣ yūn（11819）</t>
  </si>
  <si>
    <t>醞</t>
  </si>
  <si>
    <t>[動]
1.釀酒。三國魏．曹植〈酒賦〉：「或秋藏冬發，或春醞夏成。」《北史．卷九一．列女傳．魏胡長命妻張氏傳》：「張以姑老且患，私為醞之，為有司所糾。」
2.逐漸形成。參見「醞釀」條。
[名]
借指酒。宋．陸游〈上巳〉詩：「名花紅滿舫，美醞綠盈甔。」《醒世恆言．卷三．賣油郎獨占花魁》：「六碗時新果子，一架攢盒佳肴美醞。」</t>
  </si>
  <si>
    <t>薀</t>
  </si>
  <si>
    <t>[動]
聚積。《玉篇．艸部》：「薀，藏也，積也，聚也，蓄也。」《左傳．襄公十一年》：「凡我同盟，毋薀年，毋壅利。」晉．杜預．注：「薀積年穀，而不分災。」</t>
  </si>
  <si>
    <t>韞</t>
  </si>
  <si>
    <t>[動]
包藏、蘊含。《文選．陸機．文賦》：「石韞玉而山輝，水懷珠而川媚。」《新五代史．卷三四．一行傳．序》：「自古材賢有韞于中而不見于外，或窮居陋巷，委身草莽。」</t>
  </si>
  <si>
    <t>蘊</t>
  </si>
  <si>
    <t>[動]
1.積聚。如：「這座山蘊藏豐富的資源。」《左傳．昭公十年》：「蘊利生孽，姑使無蘊乎？」
2.包含。如：「蘊含」。唐．李白〈化城寺大鐘銘〉：「少蘊才略，壯而有成。」
[名]
1.事理精奧之處。如：「精蘊」、「底蘊」。《清史稿．卷九四．樂志一》：「奧義微機，莫探其蘊。」
2.亂麻、枯草。《韓詩外傳》卷七：「今令姑呼汝，即束蘊，請火去婦之家。」</t>
  </si>
  <si>
    <t>[動]
1.藉熱力把衣物壓平。如：「熨衣服」。唐．王建〈宮詞〉一〇〇首之三六：「每夜停燈熨御衣，銀薰籠底火霏霏。」
2.緊靠著、緊貼著。南朝宋．劉義慶《世說新語．惑溺》：「冬月婦病熱，乃出中庭自取冷，還以身熨之。」明．湯顯祖《牡丹亭》第五三齣：「我為他偎熨的體酥融，我為他洗發的神清瑩。」</t>
  </si>
  <si>
    <t>(二)ㄩˋ yù（11694）</t>
  </si>
  <si>
    <t>邕</t>
  </si>
  <si>
    <t>ㄩㄥ</t>
  </si>
  <si>
    <t>yōng</t>
  </si>
  <si>
    <t>[名]
周圍被水環繞的都城。《說文解字．巛部》：「邕，邑四方有水自邕成池者是也。」
[動]
堵塞。同「壅」。《集韻．上聲．腫韻》：「壅，堨塞也。或作邕。」《漢書．卷九九．王莽傳中》：「長平館西岸崩，邕涇水不流。」
[形]
和樂的。《漢書．卷五八．兒寬傳》：「上元甲子，肅邕永享。」唐．顏師古．注：「邕，和也。」《晉書．卷八八．孝友傳．桑虞傳》：「虞五世同居，閨門邕穆。」</t>
  </si>
  <si>
    <t>嗈</t>
  </si>
  <si>
    <t>[擬]
嗈嗈：形容群鳥和鳴的聲音。《文選．孫綽．遊天台山賦》：「覿翔鸞之裔裔，聽鳴鳳之嗈嗈。」</t>
  </si>
  <si>
    <t>雝</t>
  </si>
  <si>
    <t>[名]
《詩經．周頌》的篇名。共一章。根據〈詩序〉：「雝，禘大祖也。」指武王祭文王之詩。本章二句為：「有來雝雝，至止肅肅。」
[形]
和樂的。參見「雝雝」條。</t>
  </si>
  <si>
    <t>灉</t>
  </si>
  <si>
    <t>[名]
從主流分出又回流的水。《爾雅．釋水》：「灉，反入。」晉．郭璞．注：「即河水決出又還入者。河之有灉，猶江之有沱。」</t>
  </si>
  <si>
    <t>廱</t>
  </si>
  <si>
    <t>[形]
和諧。《玉篇．广部》：「廱，和也。」《禮記．王制》：「天子曰辟廱，諸侯曰頖宮。」漢．鄭玄．注：「廱，和也。」
[動]
阻塞。通「壅」。《漢書．卷二七．五行志下之上》：「成公五年『夏，梁山崩』。穀梁傳曰廱河三日不流。」《後漢書．卷八〇．文苑傳上．杜篤傳》：「置列汧、隴，廱偃西戎。」</t>
  </si>
  <si>
    <t>癰</t>
  </si>
  <si>
    <t>[名]_x000D_
一種皮膚的化膿性及壞死性炎症，多由金黃葡萄球菌引起，侵犯相鄰的多個毛囊後融合形成局部腫脹，中央有許多小孔，呈瘻管狀，非常疼痛。有發燒、寒顫等現象，嚴重時，甚至併發敗血症。</t>
  </si>
  <si>
    <t>庸</t>
  </si>
  <si>
    <t>[動]
1.需要。如：「無庸置疑」。《禮記．內則》：「子婦未孝未敬，勿庸疾怨。」《老殘遊記》第七回：「我無庸去，只是教閣下想個至良極美的法則。」
2.任用、使用。唐．韓愈〈進學解〉：「占小善者率以錄，名一藝者無不庸。」
3.酬謝。如：「酬庸」。《孟子．盡心上》：「殺之而不怨，利之而不庸。」
[形]
1.平常的、普通的。如：「平庸」。《易經．乾卦．九二》：「庸言之信，庸行之謹。」《韓非子．五蠹》：「布帛尋常，庸人不釋。」
2.愚笨、拙劣的。如：「庸醫」。
[名]
1.功勞。《國語．晉語七》：「無功庸者，不敢居高位。」南朝宋．劉義慶《世說新語．方正》：「郭淮作關中都督，甚得民情，亦屢有戰庸。」
2.雇工。《韓非子．五蠹》：「澤居苦水者，買庸而決竇。」《漢書．卷三七．欒布傳》：「（彭越）窮困，賣庸於齊，為酒家保。」
3.姓。如戰國時秦國有庸芮。
[副]
豈。《左傳．莊公十四年》：「子儀在位，十四年矣；而謀召君者，庸非二乎？」漢．曹操〈敕有司取士毋廢偏短令〉：「士有偏短，庸可廢乎！」
[連]
於是。《左傳．襄公二十五年》：「庸以元女大姬配胡公，而封諸陳，以備三恪。」《北史．卷九．周孝閔帝本紀》：「今踵唐、虞舊典，禪位于周，庸布告爾焉。」</t>
  </si>
  <si>
    <t>(二)（又音）ㄩㄥˊ yóng（11881）</t>
  </si>
  <si>
    <t>傭</t>
  </si>
  <si>
    <t>[名]
1.僕役，受僱做事的人。如：「男傭」、「女傭」。《後漢書．卷六七．黨錮傳．夏馥傳》：「乃自翦鬚變形，入林慮山中，隱匿姓名，為冶家傭。」
2.工資。唐．李翶〈江州南湖隄銘〉：「厚其錢傭，以飽餓人。」《舊唐書．卷四九．食貨志下》：「凡三年，運七百萬石，省陸運之傭四十萬貫。」
[動]
1.僱人做事。唐．柳宗元〈送薛存義之任序〉：「向使傭一夫於家，受若直，怠若事。」
2.受僱。《後漢書．卷七六．循吏傳．衛颯傳》：「家貧好學問，隨師無糧，常傭以自給。」</t>
  </si>
  <si>
    <t>(二)（又音）ㄩㄥˊ yóng（11882）</t>
  </si>
  <si>
    <t>鄘</t>
  </si>
  <si>
    <t>[名]
1.國名。周代諸侯國，故城在今河南省汲縣境內，周武王封管叔監殷於此。
2.城市。通「墉」。《左傳．昭公二十一年》：「宋城舊鄘及桑林之門而守之。」晉．杜預．注：「舊鄘，故城也。」
3.姓。如明代有鄘瓊。</t>
  </si>
  <si>
    <t>(二)（又音）ㄩㄥˊ yóng（11883）</t>
  </si>
  <si>
    <t>慵</t>
  </si>
  <si>
    <t>[副]
懶。唐．白居易〈贈友〉詩五首之二：「畬田既慵斫，稻田亦懶耘。」元．武漢臣《生金閣》第一折：「每日慵將書去習，逐朝常把藥的那來扶。」</t>
  </si>
  <si>
    <t>(二)（又音）ㄩㄥˊ yóng（11884）</t>
  </si>
  <si>
    <t>墉</t>
  </si>
  <si>
    <t>[名]
1.小城。《詩經．大雅．皇矣》：「以爾鉤援，與爾臨衝，以伐崇墉。」漢．毛亨．傳：「墉，城也。」南朝宋．鮑照〈蕪城賦〉：「故能奓秦法，佚周令，劃崇墉，刳濬洫。」
2.高牆。《詩經．召南．行露》：「誰謂鼠無牙，何以穿我墉？」唐．崔融〈登東陽沈隱侯八詠樓〉詩：「旦登西北樓，樓峻石墉厚。」</t>
  </si>
  <si>
    <t>(二)（又音）ㄩㄥˊ yóng（11885）</t>
  </si>
  <si>
    <t>鏞</t>
  </si>
  <si>
    <t>[名]
樂器名，打擊樂器。即大鐘。古樂器，常懸吊式敲擊發聲。祭祀時放在廟堂的西邊。《書經．益稷》：「笙鏞以間，鳥獸蹌蹌。」漢．孔安國．傳：「鏞，大鍾。」</t>
  </si>
  <si>
    <t>(二)（又音）ㄩㄥˊ yóng（11886）</t>
  </si>
  <si>
    <t>雍</t>
  </si>
  <si>
    <t>[形]
和諧的、和睦的。如：「雍和」。《書經．堯典》：「百姓昭明，協和萬邦，黎民於變時雍。」
[動]
1.堵塞。通「壅」。《穀梁傳．僖公九年》：「毋雍泉，毋訖糴。」《漢書．卷九四．匈奴傳下．贊曰》：「隔以山谷，雍以沙幕。」
2.擁有。通「擁」。《戰國策．秦策五》：「雍天下之國，徙兩周之疆。」漢．高誘．注：「雍，有也。」
[名]
1.國名。周代諸侯國。故址在今河南省沁陽縣東北。
2.姓。如明代有雍泰。</t>
  </si>
  <si>
    <t>澭</t>
  </si>
  <si>
    <t>[名]
河川名：(1)古黃河的支流，約在今山東省菏澤市的東北方，現已淤積、堙沒。(2)約在今河南省商丘市附近。</t>
  </si>
  <si>
    <t>壅</t>
  </si>
  <si>
    <t>[動]
1.堵住、阻塞不通。如：「壅塞」。《國語．周語上》：「川壅而潰，傷人必多，民亦如之。」
2.遮蔽、蒙蔽。《史記．卷一三〇．太史公自序》：「周道衰廢，孔子為魯司寇，諸侯害之，大夫壅之。」《韓非子．難四》：「人君兼照一國，一人不能壅也。」
3.用泥土或肥料培養植物的根部。如：「壅肥」。漢．王充《論衡．道虛》：「物黃，人雖灌溉壅養，終不能青。」</t>
  </si>
  <si>
    <t>(二)（又音）ㄩㄥˇ yǒng（11902）</t>
  </si>
  <si>
    <t>擁</t>
  </si>
  <si>
    <t>(一)ㄩㄥˇ yǒng（11903）</t>
  </si>
  <si>
    <t>噰</t>
  </si>
  <si>
    <t>參見「噰噰」條。</t>
  </si>
  <si>
    <t>蕹</t>
  </si>
  <si>
    <t>[名]
植物名。旋花科牽牛屬，「蕹菜」、「空心菜」之古稱，參見「空心菜」條。</t>
  </si>
  <si>
    <t>臃</t>
  </si>
  <si>
    <t>參見「臃腫」條。</t>
  </si>
  <si>
    <t>(二)（又音）ㄩㄥˇ yǒng（11904）</t>
  </si>
  <si>
    <t>饔</t>
  </si>
  <si>
    <t>[名]
1.熟食。《玉篇．食部》：「饔，熟食也。」《詩經．小雅．祈父》：「胡轉予于恤？有母之尸饔。」《新唐書．卷一六五．鄭珣瑜傳》：「珣瑜與杜佑、高郢輟饔以待。」
2.早飯。《孟子．滕文公上》：「賢者與民並耕而食，饔飧而治。」
3.宰殺好的牲畜。《儀禮．聘禮》：「君使卿韋弁歸饔餼五牢。」漢．鄭玄．注：「牲殺曰饔，生曰餼。」</t>
  </si>
  <si>
    <t>ㄩㄥˊ</t>
  </si>
  <si>
    <t>yóng</t>
  </si>
  <si>
    <t>(一)ㄩㄥ yōng（11867）</t>
  </si>
  <si>
    <t>(一)ㄩㄥ yōng（11868）</t>
  </si>
  <si>
    <t>(一)ㄩㄥ yōng（11869）</t>
  </si>
  <si>
    <t>(一)ㄩㄥ yōng（11870）</t>
  </si>
  <si>
    <t>(一)ㄩㄥ yōng（11871）</t>
  </si>
  <si>
    <t>(一)ㄩㄥ yōng（11872）</t>
  </si>
  <si>
    <t>[動]
魚露出水面呼吸。《韓詩外傳》卷一：「水濁則魚喁，令苛則民亂。」</t>
  </si>
  <si>
    <t>(二)ㄩˊ yú（11591）</t>
  </si>
  <si>
    <t>顒</t>
  </si>
  <si>
    <t>[形]
1.大的樣子。《詩經．小雅．六月》：「四牡修廣，其大有顒。」漢．毛亨．傳：「顒，大貌。」
2.嚴正的樣子。《易經．觀卦》：「觀盥而不薦，有孚顒若。」
[副]
盼望。《文選．劉琨．勸進表》：「蒼生顒然，莫不欣戴。」宋．柳永〈八聲甘州．對瀟瀟〉詞：「想佳人、妝樓顒望，誤幾回、天際識歸舟。」</t>
  </si>
  <si>
    <t>永</t>
  </si>
  <si>
    <t>ㄩㄥˇ</t>
  </si>
  <si>
    <t>yǒng</t>
  </si>
  <si>
    <t>[形]
深長的、久遠的。三國魏．阮籍〈詠懷〉詩八二首之一七：「出門臨永路，不見行車馬。」宋．蘇軾〈和錢安道寄惠建茶〉詩：「雪花雨腳何足道，啜過始知真味永。」
[副]
恆久、久遠。如：「永垂不朽」。《論語．堯曰》：「四海困窮，天祿永終。」《史記．卷一一七．司馬相如傳》：「精罔閬而飛揚兮，拾九天而永逝。」</t>
  </si>
  <si>
    <t>泳</t>
  </si>
  <si>
    <t>[動]
在水中浮動。《說文解字．水部》：「泳，潛行水中也。」如：「游泳」、「晨泳」。《詩經．邶風．谷風》：「就其淺矣！泳之游之。」</t>
  </si>
  <si>
    <t>詠</t>
  </si>
  <si>
    <t>[動]
1.歌唱，以充滿抑揚頓挫的語調吟唱。如：「吟詠」。《論語．先進》：「風乎舞雩，詠而歸。」南朝宋．劉義慶《世說新語．文學》：「聞江渚閒估客船上有詠詩聲，甚有情致。」
2.抒寫、表達。《晉書．卷九二．文苑傳．袁宏傳》：「宏有逸才，文章絕美，曾為詠史詩，是其風情所寄。」
3.歌頌、贊揚。《文選．班固．東都賦》：「下舞上歌，蹈德詠仁。」唐．張籍〈和裴司空酬蒲城楊少尹〉詩：「聖朝偏重大司空，人詠元和第一功。」</t>
  </si>
  <si>
    <t>甬</t>
  </si>
  <si>
    <t>[名]
1.古代的一種量器。即斛。《玉篇．丂部》：「甬，斛也。」《呂氏春秋．仲秋紀．仲秋》：「平權衡，正鈞石，齊斗甬。」
2.鐘柄。《周禮．冬官考工記．鳧氏》：「鳧氏為鍾，……舞上謂之甬，甬上謂之衡。」
3.兩旁有牆壁遮蔽的通道。參見「甬道」條。
4.浙江省鄞縣的別稱，因甬江流經而得名。</t>
  </si>
  <si>
    <t>俑</t>
  </si>
  <si>
    <t>[名]
古代殉葬用的木偶。如：「陶俑」、「兵馬俑」。《孟子．梁惠王上》：「始作俑者，其無後乎？」《文選．謝惠連．祭古冢文》：「循題興念，撫俑增哀。」</t>
  </si>
  <si>
    <t>勇</t>
  </si>
  <si>
    <t>[形]
有膽量的、力氣大的。如：「英勇」、「勇氣」、「勇士」。《論語．憲問》：「仁者不憂，知者不惑，勇者不懼。」
[副]
敢作敢當、肯負責的。如：「勇於負責」、「勇於改過」。
[名]
士兵。清朝軍制稱官府於軍隊編制外另行招募的士兵為「勇」。如：「鄉勇」、「淮勇」。</t>
  </si>
  <si>
    <t>涌</t>
  </si>
  <si>
    <t>同「湧」。</t>
  </si>
  <si>
    <t>恿</t>
  </si>
  <si>
    <t>參見「慫恿」條。</t>
  </si>
  <si>
    <t>湧</t>
  </si>
  <si>
    <t>[動]
1.水從下向上冒出。如：「泉湧」。唐．杜甫〈秋興〉詩八首之一：「江間波浪兼天湧，塞上風雲接地陰。」
2.像水一樣的衝出。如：「風起雲湧」、「一大群人湧了出來。」</t>
  </si>
  <si>
    <t>蛹</t>
  </si>
  <si>
    <t>[名]
昆蟲類的幼蟲，長成至一定階段，即不動不食，其狀如死，形體發生變化，多為棗核形狀，於適合的環境條件下變為成蟲。</t>
  </si>
  <si>
    <t>踊</t>
  </si>
  <si>
    <t>[動]
1.跳、躍。《禮記．喪服四制》：「傴者不袒，跛者不踊。」《文選．曹植．洛神賦》：「鯨鯢踊而夾轂，水禽翔而為衛。」
2.登上。《公羊傳．成公二年》：「踊于棓而窺客，則客或跛或眇。」
3.物價上漲。《史記．卷三〇．平準書》：「物踊騰糶，米至石萬錢。」《舊唐書．卷一三四．馬燧傳》：「物價騰踊，軍乏糧餉。」
[名]
古代為被砍斷腳跟的人所特製的鞋子。《左傳．昭公三年》：「國之諸市，屨賤踊貴。」晉．杜預．注：「踊，刖足者屨。」</t>
  </si>
  <si>
    <t>踴</t>
  </si>
  <si>
    <t>[動]
1.跳躍。同「踊」。如：「一踴而起」。唐．柳宗元〈晉問〉：「掉躃擁踴，以登夫歷山之垂。」
2.物價上漲。同「踊」。《後漢書．卷六〇上．馬融傳》：「會羌虜飆起，邊方擾亂，米穀踴貴。」</t>
  </si>
  <si>
    <t>參見「縱臾」條。</t>
  </si>
  <si>
    <t>(一)ㄩˊ yú（11578）</t>
  </si>
  <si>
    <t>(一)ㄩㄥ yōng（11875）</t>
  </si>
  <si>
    <t>[動]
1.抱。如：「左擁右抱」。《儀禮．公食大夫禮》：「左擁簠粱，右執湆以降。」唐．駱賓王〈夏日夜憶張二〉詩：「伏枕憂思深，擁膝獨長吟。」
2.持、拿。《孔子家語．卷二．致思》：「擁鐮帶素，哭者不哀。」
3.圍著。唐．呂溫〈吐蕃別館和周十一郎中楊七錄事望白水山作〉詩：「玉障擁清氣，蓮峰開白花。」《紅樓夢》第四九回：「我已經打發人籠地炕去了，咱們大家擁爐作詩。」
4.聚集。《三國志．卷三五．蜀書．諸葛亮傳》：「今操已擁百萬之眾，挾天子而令諸侯，此誠不可與爭鋒。」唐．岑參〈奉和中書舍人賈至早朝大明宮〉詩：「金闕曉鐘開萬戶，玉階仙杖擁千官。」
5.護衛。《南史．卷一．宋武帝本紀》：「孟昶、諸葛長人懼，欲擁天子過江。」明．湯顯祖《牡丹亭》第四三齣：「日日風吹虜騎塵，三千犀甲擁朱輪。」
6.占有、據有。《文選．賈誼．過秦論》：「秦孝公據崤函之固，擁雍州之地。」唐．王勃〈上劉右相書〉：「於是遭不諱之主，擁非常之位。」
7.阻塞。通「壅」。《史記．卷一一五．朝鮮傳》：「真番旁眾國欲上書見天子，又擁閼不通。」唐．韓愈〈左遷至藍關示姪孫湘〉詩：「雲橫秦嶺家何在，雪擁藍關馬不前。」</t>
  </si>
  <si>
    <t>(二)（又音）ㄩㄥ yōng（11876）</t>
  </si>
  <si>
    <t>(一)ㄩㄥ yōng（11879）</t>
  </si>
  <si>
    <t>用</t>
  </si>
  <si>
    <t>ㄩㄥˋ</t>
  </si>
  <si>
    <t>yòng</t>
  </si>
  <si>
    <t>[名]
1.功效。如：「用處」、「功用」、「效用」、「作用」、「有用」。《論語．學而》：「禮之用，和為貴。」
2.花用的錢財。如：「家用」、「費用」。《論語．學而》：「道千乘之國，敬事而信，節用而愛人，使民以時。」
3.器物。如：「用具」、「器用」。《國語．周語上》：「司空除壇于籍，命農大夫咸戒農用。」
4.姓。如漢代有用虬。
5.二一四部首之一。
[動]
1.任命。如：「任用」、「舉用」。《論語．陽貨》：「如有用我者，吾其為東周乎！」《孟子．梁惠王下》：「見賢焉，然後用之。」
2.行使、施行。如：「用電」、「使用」、「運用」、「應用」。《左傳．襄公二十六年》：「雖楚有材，晉實用之。」《孟子．告子上》：「則凡可以得生者，何不用也。」
3.需要。多用於否定或反問。如：「不用再說了！」「這事還用你操心嗎？」《論語．陽貨》：「割雞焉用牛刀！」唐．杜甫〈曲江〉詩二首之一：「細推物理須行樂，何用浮名絆此身。」
4.進食、吃喝。如：「用餐」、「用茶」、「請用點水果。」《韓非子．外儲說左下》：「孔子御坐於魯哀公，哀公賜之桃與黍。哀公：『請用。』」
[介]
1.表示憑藉。相當於「以」。如：「用手蒙住眼睛。」《孟子．滕文公上》：「吾聞用夏變夷者，未聞變於夷者也。」《史記．卷一一〇．匈奴列傳》：「單于既得翕侯，以為自次王，用其姊妻之，與謀漢。」
2.因。表示原因、結果。相當於「因此」。《詩經．邶風．雄雉》：「不忮不求，何用不臧。」《國語．周語下》：「皇天弗福，庶民弗助，禍亂並興，共工用滅。」
[連]
表示動作行為的目的。相當於「因而」。如：「用特函達」。民國．孫文《建國方略．心理建設．自序》：「吾志所向，一往無前，愈挫愈奮，再接再勵，用能鼓勵風潮，造成時勢。」</t>
  </si>
  <si>
    <t>佣</t>
  </si>
  <si>
    <t>參見「佣金」條。</t>
  </si>
  <si>
    <t>禜</t>
  </si>
  <si>
    <t>[名]
古代一種祭拜日月、星辰、山川、風雨等的祭祀，以祈求消災除禍。《說文解字．示部》：「禜，設綿蕝為營，以禳風雨雪霜水旱癘疫於日月星辰山川也。」</t>
  </si>
  <si>
    <t>醟</t>
  </si>
  <si>
    <t>[副]
酒後亂性的樣子。《晉書．卷五〇．曹志等傳．贊曰》：「謀甫三爵，酗醟斯作。」</t>
  </si>
  <si>
    <t>罢</t>
  </si>
  <si>
    <t>「罷」的異體字。</t>
  </si>
  <si>
    <t xml:space="preserve">異體字 </t>
  </si>
  <si>
    <t>覇</t>
  </si>
  <si>
    <t>「霸」的異體字。</t>
  </si>
  <si>
    <t>垻</t>
  </si>
  <si>
    <t>「壩」的異體字。</t>
  </si>
  <si>
    <t>盋</t>
  </si>
  <si>
    <t>「缽」的異體字。</t>
  </si>
  <si>
    <t>鉢</t>
  </si>
  <si>
    <t>栢</t>
  </si>
  <si>
    <t>「柏」的異體字。</t>
  </si>
  <si>
    <t>䬪</t>
  </si>
  <si>
    <t>「餺」的異體字。</t>
  </si>
  <si>
    <t>𦆿</t>
  </si>
  <si>
    <t>「襮」的異體字。</t>
  </si>
  <si>
    <t>𪇰</t>
  </si>
  <si>
    <t>「鸔」的異體字。</t>
  </si>
  <si>
    <t>𠅢</t>
  </si>
  <si>
    <t>「亳」的異體字。</t>
  </si>
  <si>
    <t>𢯌</t>
  </si>
  <si>
    <t>「掰」的異體字。</t>
  </si>
  <si>
    <t>摆</t>
  </si>
  <si>
    <t>「擺」的異體字。</t>
  </si>
  <si>
    <t>𤰞</t>
  </si>
  <si>
    <t>「卑」的異體字。</t>
  </si>
  <si>
    <t>󴀳</t>
  </si>
  <si>
    <t>「碑」的異體字。</t>
  </si>
  <si>
    <t>㻗</t>
  </si>
  <si>
    <t>「琲」的異體字。</t>
  </si>
  <si>
    <t>俻</t>
  </si>
  <si>
    <t>「備」的異體字。</t>
  </si>
  <si>
    <t>󷈅</t>
  </si>
  <si>
    <t>僃</t>
  </si>
  <si>
    <t>襃</t>
  </si>
  <si>
    <t>「褒」的異體字。</t>
  </si>
  <si>
    <t>緥</t>
  </si>
  <si>
    <t>「褓」的異體字。</t>
  </si>
  <si>
    <t>寳</t>
  </si>
  <si>
    <t>「寶」的異體字。</t>
  </si>
  <si>
    <t>宝</t>
  </si>
  <si>
    <t>鑤</t>
  </si>
  <si>
    <t>「鉋」的異體字。</t>
  </si>
  <si>
    <t>报</t>
  </si>
  <si>
    <t>「報」的異體字。</t>
  </si>
  <si>
    <t>岅</t>
  </si>
  <si>
    <t>「阪」的異體字。</t>
  </si>
  <si>
    <t>䬳</t>
  </si>
  <si>
    <t>「粄」的異體字。</t>
  </si>
  <si>
    <t>办</t>
  </si>
  <si>
    <t>「辦」的異體字。</t>
  </si>
  <si>
    <t>犇</t>
  </si>
  <si>
    <t>「奔」的異體字。</t>
  </si>
  <si>
    <t>帮</t>
  </si>
  <si>
    <t>「幫」的異體字。</t>
  </si>
  <si>
    <t>幇</t>
  </si>
  <si>
    <t>㮄</t>
  </si>
  <si>
    <t>「榜」的異體字。</t>
  </si>
  <si>
    <t>󰀾</t>
  </si>
  <si>
    <t>「並」的異體字。</t>
  </si>
  <si>
    <t>竝</t>
  </si>
  <si>
    <t>蜯</t>
  </si>
  <si>
    <t>「蚌」的異體字。</t>
  </si>
  <si>
    <t>㫄</t>
  </si>
  <si>
    <t>「旁」的異體字。</t>
  </si>
  <si>
    <t>綳</t>
  </si>
  <si>
    <t>「繃」的異體字。</t>
  </si>
  <si>
    <t>絣</t>
  </si>
  <si>
    <t>「絣」的異體字。</t>
  </si>
  <si>
    <t>逬</t>
  </si>
  <si>
    <t>「迸」的異體字。</t>
  </si>
  <si>
    <t>鼻</t>
  </si>
  <si>
    <t>「鼻」的異體字。</t>
  </si>
  <si>
    <t>粃</t>
  </si>
  <si>
    <t>「秕」的異體字。</t>
  </si>
  <si>
    <t>笔</t>
  </si>
  <si>
    <t>「筆」的異體字。</t>
  </si>
  <si>
    <t>啚</t>
  </si>
  <si>
    <t>「鄙」的異體字。</t>
  </si>
  <si>
    <t>𨝣</t>
  </si>
  <si>
    <t>㻫</t>
  </si>
  <si>
    <t>「珌」的異體字。</t>
  </si>
  <si>
    <t>𡚁</t>
  </si>
  <si>
    <t>「弊」的異體字。</t>
  </si>
  <si>
    <t>䟆</t>
  </si>
  <si>
    <t>「蹕」的異體字。</t>
  </si>
  <si>
    <t>鞸</t>
  </si>
  <si>
    <t>「韠」的異體字。</t>
  </si>
  <si>
    <t>弻</t>
  </si>
  <si>
    <t>「弼」的異體字。</t>
  </si>
  <si>
    <t>躃</t>
  </si>
  <si>
    <t>「躄」的異體字。</t>
  </si>
  <si>
    <t>𢠳</t>
  </si>
  <si>
    <t>「憋」的異體字。</t>
  </si>
  <si>
    <t>鼈</t>
  </si>
  <si>
    <t>「鱉」的異體字。</t>
  </si>
  <si>
    <t>别</t>
  </si>
  <si>
    <t>「別」的異體字。</t>
  </si>
  <si>
    <t>䠥</t>
  </si>
  <si>
    <t>「蹩」的異體字。</t>
  </si>
  <si>
    <t>㿜</t>
  </si>
  <si>
    <t>「癟」的異體字。</t>
  </si>
  <si>
    <t>飇</t>
  </si>
  <si>
    <t>「飆」的異體字。</t>
  </si>
  <si>
    <t>飈</t>
  </si>
  <si>
    <t>标</t>
  </si>
  <si>
    <t>「標」的異體字。</t>
  </si>
  <si>
    <t>边</t>
  </si>
  <si>
    <t>「邊」的異體字。</t>
  </si>
  <si>
    <t>邉</t>
  </si>
  <si>
    <t>徧</t>
  </si>
  <si>
    <t>「遍」的異體字。</t>
  </si>
  <si>
    <t>変</t>
  </si>
  <si>
    <t>「變」的異體字。</t>
  </si>
  <si>
    <t>禀</t>
  </si>
  <si>
    <t>「稟」的異體字。</t>
  </si>
  <si>
    <t>宾</t>
  </si>
  <si>
    <t>「賓」的異體字。</t>
  </si>
  <si>
    <t>賔</t>
  </si>
  <si>
    <t>󼆻</t>
  </si>
  <si>
    <t>「儐」的異體字。</t>
  </si>
  <si>
    <t>浜</t>
  </si>
  <si>
    <t>「濱」的異體字。</t>
  </si>
  <si>
    <t>滨</t>
  </si>
  <si>
    <t>濵</t>
  </si>
  <si>
    <t>梹</t>
  </si>
  <si>
    <t>「檳」的異體字。</t>
  </si>
  <si>
    <t>㯽</t>
  </si>
  <si>
    <t>摈</t>
  </si>
  <si>
    <t>「擯」的異體字。</t>
  </si>
  <si>
    <t>殡</t>
  </si>
  <si>
    <t>「殯」的異體字。</t>
  </si>
  <si>
    <t>膑</t>
  </si>
  <si>
    <t>「臏」的異體字。</t>
  </si>
  <si>
    <t>髩</t>
  </si>
  <si>
    <t>「鬢」的異體字。</t>
  </si>
  <si>
    <t>鬂</t>
  </si>
  <si>
    <t>𩯭</t>
  </si>
  <si>
    <t>幷</t>
  </si>
  <si>
    <t>「并」的異體字。</t>
  </si>
  <si>
    <t>屛</t>
  </si>
  <si>
    <t>「屏」的異體字。</t>
  </si>
  <si>
    <t>栟</t>
  </si>
  <si>
    <t>「栟」的異體字。</t>
  </si>
  <si>
    <t>氷</t>
  </si>
  <si>
    <t>「冰」的異體字。</t>
  </si>
  <si>
    <t>昞</t>
  </si>
  <si>
    <t>「炳」的異體字。</t>
  </si>
  <si>
    <t>鉼</t>
  </si>
  <si>
    <t>「鉼」的異體字。</t>
  </si>
  <si>
    <t>餠</t>
  </si>
  <si>
    <t>「餅」的異體字。</t>
  </si>
  <si>
    <t>倂</t>
  </si>
  <si>
    <t>「併」的異體字。</t>
  </si>
  <si>
    <t>𠌸</t>
  </si>
  <si>
    <t>「偋」的異體字。</t>
  </si>
  <si>
    <t>󲓧</t>
  </si>
  <si>
    <t>「摒」的異體字。</t>
  </si>
  <si>
    <t>补</t>
  </si>
  <si>
    <t>「補」的異體字。</t>
  </si>
  <si>
    <t>㜑</t>
  </si>
  <si>
    <t>「婆」的異體字。</t>
  </si>
  <si>
    <t>廹</t>
  </si>
  <si>
    <t>「迫」的異體字。</t>
  </si>
  <si>
    <t>篺</t>
  </si>
  <si>
    <t>「簰」的異體字。</t>
  </si>
  <si>
    <t>󹀆</t>
  </si>
  <si>
    <t>「沛」的異體字。</t>
  </si>
  <si>
    <t>斾</t>
  </si>
  <si>
    <t>「旆」的異體字。</t>
  </si>
  <si>
    <t>抛</t>
  </si>
  <si>
    <t>「拋」的異體字。</t>
  </si>
  <si>
    <t>麅</t>
  </si>
  <si>
    <t>「麃」的異體字。</t>
  </si>
  <si>
    <t>礮</t>
  </si>
  <si>
    <t>「砲」的異體字。</t>
  </si>
  <si>
    <t>靤</t>
  </si>
  <si>
    <t>「皰」的異體字。</t>
  </si>
  <si>
    <t>䶌</t>
  </si>
  <si>
    <t>𢬵</t>
  </si>
  <si>
    <t>「拚」的異體字。</t>
  </si>
  <si>
    <t>瓫</t>
  </si>
  <si>
    <t>「盆」的異體字。</t>
  </si>
  <si>
    <t>䨦</t>
  </si>
  <si>
    <t>「雱」的異體字。</t>
  </si>
  <si>
    <t>霶</t>
  </si>
  <si>
    <t>龎</t>
  </si>
  <si>
    <t>「龐」的異體字。</t>
  </si>
  <si>
    <t>蟚</t>
  </si>
  <si>
    <t>「蟛」的異體字。</t>
  </si>
  <si>
    <t>㔻</t>
  </si>
  <si>
    <t>「丕」的異體字。</t>
  </si>
  <si>
    <t>肶</t>
  </si>
  <si>
    <t>「膍」的異體字。</t>
  </si>
  <si>
    <t>𤜻</t>
  </si>
  <si>
    <t>「貔」的異體字。</t>
  </si>
  <si>
    <t>豼</t>
  </si>
  <si>
    <t>噽</t>
  </si>
  <si>
    <t>「嚭」的異體字。</t>
  </si>
  <si>
    <t>鸊</t>
  </si>
  <si>
    <t>「鷿」的異體字。</t>
  </si>
  <si>
    <t>撆</t>
  </si>
  <si>
    <t>「撇」的異體字。</t>
  </si>
  <si>
    <t>𦹡</t>
  </si>
  <si>
    <t>「殍」的異體字。</t>
  </si>
  <si>
    <t>腁</t>
  </si>
  <si>
    <t>「胼」的異體字。</t>
  </si>
  <si>
    <t>騈</t>
  </si>
  <si>
    <t>「駢」的異體字。</t>
  </si>
  <si>
    <t>拼</t>
  </si>
  <si>
    <t>「拼」的異體字。</t>
  </si>
  <si>
    <t>姘</t>
  </si>
  <si>
    <t>「姘」的異體字。</t>
  </si>
  <si>
    <t>𢓳</t>
  </si>
  <si>
    <t>「俜」的異體字。</t>
  </si>
  <si>
    <t>頩</t>
  </si>
  <si>
    <t>「頩」的異體字。</t>
  </si>
  <si>
    <t>洴</t>
  </si>
  <si>
    <t>「洴」的異體字。</t>
  </si>
  <si>
    <t>帲</t>
  </si>
  <si>
    <t>「帡」的異體字。</t>
  </si>
  <si>
    <t>荓</t>
  </si>
  <si>
    <t>「荓」的異體字。</t>
  </si>
  <si>
    <t>甁</t>
  </si>
  <si>
    <t>「瓶」的異體字。</t>
  </si>
  <si>
    <t>蛢</t>
  </si>
  <si>
    <t>「蛢」的異體字。</t>
  </si>
  <si>
    <t>󸕦</t>
  </si>
  <si>
    <t>「缾」的異體字。</t>
  </si>
  <si>
    <t>輧</t>
  </si>
  <si>
    <t>「軿」的異體字。</t>
  </si>
  <si>
    <t>蓱</t>
  </si>
  <si>
    <t>「蓱」的異體字。</t>
  </si>
  <si>
    <t>鵧</t>
  </si>
  <si>
    <t>「鵧」的異體字。</t>
  </si>
  <si>
    <t>凭</t>
  </si>
  <si>
    <t>「憑」的異體字。</t>
  </si>
  <si>
    <t>凴</t>
  </si>
  <si>
    <t>攵</t>
  </si>
  <si>
    <t>「攴」的異體字。</t>
  </si>
  <si>
    <t>舖</t>
  </si>
  <si>
    <t>「鋪」的異體字。</t>
  </si>
  <si>
    <t>幞</t>
  </si>
  <si>
    <t>「襆」的異體字。</t>
  </si>
  <si>
    <t>襥</t>
  </si>
  <si>
    <t>諩</t>
  </si>
  <si>
    <t>「譜」的異體字。</t>
  </si>
  <si>
    <t>蔴</t>
  </si>
  <si>
    <t>「麻」的異體字。</t>
  </si>
  <si>
    <t>麻</t>
  </si>
  <si>
    <t>庅</t>
  </si>
  <si>
    <t>「麼」的異體字。</t>
  </si>
  <si>
    <t>麽</t>
  </si>
  <si>
    <t>蟇</t>
  </si>
  <si>
    <t>「蟆」的異體字。</t>
  </si>
  <si>
    <t>駡</t>
  </si>
  <si>
    <t>「罵」的異體字。</t>
  </si>
  <si>
    <t>饝</t>
  </si>
  <si>
    <t>「饃」的異體字。</t>
  </si>
  <si>
    <t>没</t>
  </si>
  <si>
    <t>「沒」的異體字。</t>
  </si>
  <si>
    <t>󰛫</t>
  </si>
  <si>
    <t>𣳚</t>
  </si>
  <si>
    <t>冒</t>
  </si>
  <si>
    <t>「冒」的異體字。</t>
  </si>
  <si>
    <t>脉</t>
  </si>
  <si>
    <t>「脈」的異體字。</t>
  </si>
  <si>
    <t>䘑</t>
  </si>
  <si>
    <t>衇</t>
  </si>
  <si>
    <t>霡</t>
  </si>
  <si>
    <t>「霢」的異體字。</t>
  </si>
  <si>
    <t>麦</t>
  </si>
  <si>
    <t>「麥」的異體字。</t>
  </si>
  <si>
    <t>狢</t>
  </si>
  <si>
    <t>「貉」的異體字。</t>
  </si>
  <si>
    <t>楳</t>
  </si>
  <si>
    <t>「梅」的異體字。</t>
  </si>
  <si>
    <t>槑</t>
  </si>
  <si>
    <t>睂</t>
  </si>
  <si>
    <t>「眉」的異體字。</t>
  </si>
  <si>
    <t>羙</t>
  </si>
  <si>
    <t>「美」的異體字。</t>
  </si>
  <si>
    <t>凂</t>
  </si>
  <si>
    <t>「浼」的異體字。</t>
  </si>
  <si>
    <t>䬠</t>
  </si>
  <si>
    <t>「霏」的異體字。</t>
  </si>
  <si>
    <t>猫</t>
  </si>
  <si>
    <t>「貓」的異體字。</t>
  </si>
  <si>
    <t>戼</t>
  </si>
  <si>
    <t>「卯」的異體字。</t>
  </si>
  <si>
    <t>冐</t>
  </si>
  <si>
    <t>皃</t>
  </si>
  <si>
    <t>「貌」的異體字。</t>
  </si>
  <si>
    <t>畆</t>
  </si>
  <si>
    <t>「畝」的異體字。</t>
  </si>
  <si>
    <t>畮</t>
  </si>
  <si>
    <t>蛮</t>
  </si>
  <si>
    <t>「蠻」的異體字。</t>
  </si>
  <si>
    <t>㬅</t>
  </si>
  <si>
    <t>「曼」的異體字。</t>
  </si>
  <si>
    <t>蝱</t>
  </si>
  <si>
    <t>「虻」的異體字。</t>
  </si>
  <si>
    <t>懜</t>
  </si>
  <si>
    <t>「懵」的異體字。</t>
  </si>
  <si>
    <t>梦</t>
  </si>
  <si>
    <t>「夢」的異體字。</t>
  </si>
  <si>
    <t>夢</t>
  </si>
  <si>
    <t>㝱</t>
  </si>
  <si>
    <t>釄</t>
  </si>
  <si>
    <t>「醾」的異體字。</t>
  </si>
  <si>
    <t>󸾮</t>
  </si>
  <si>
    <t>「彌」的異體字。</t>
  </si>
  <si>
    <t>祢</t>
  </si>
  <si>
    <t>「禰」的異體字。</t>
  </si>
  <si>
    <t>㳽</t>
  </si>
  <si>
    <t>「瀰」的異體字。</t>
  </si>
  <si>
    <t>猕</t>
  </si>
  <si>
    <t>「獼」的異體字。</t>
  </si>
  <si>
    <t>幂</t>
  </si>
  <si>
    <t>「冪」的異體字。</t>
  </si>
  <si>
    <t>󱛊</t>
  </si>
  <si>
    <t>「密」的異體字。</t>
  </si>
  <si>
    <t>覔</t>
  </si>
  <si>
    <t>「覓」的異體字。</t>
  </si>
  <si>
    <t>哶</t>
  </si>
  <si>
    <t>「咩」的異體字。</t>
  </si>
  <si>
    <t>㓕</t>
  </si>
  <si>
    <t>「滅」的異體字。</t>
  </si>
  <si>
    <t>玅</t>
  </si>
  <si>
    <t>「妙」的異體字。</t>
  </si>
  <si>
    <t>庙</t>
  </si>
  <si>
    <t>「廟」的異體字。</t>
  </si>
  <si>
    <t>庿</t>
  </si>
  <si>
    <t>緜</t>
  </si>
  <si>
    <t>「綿」的異體字。</t>
  </si>
  <si>
    <t>免</t>
  </si>
  <si>
    <t>「免」的異體字。</t>
  </si>
  <si>
    <t>勔</t>
  </si>
  <si>
    <t>「勉」的異體字。</t>
  </si>
  <si>
    <t>靣</t>
  </si>
  <si>
    <t>「面」的異體字。</t>
  </si>
  <si>
    <t>麪</t>
  </si>
  <si>
    <t>「麵」的異體字。</t>
  </si>
  <si>
    <t>㟭</t>
  </si>
  <si>
    <t>「岷」的異體字。</t>
  </si>
  <si>
    <t>瑉</t>
  </si>
  <si>
    <t>「珉」的異體字。</t>
  </si>
  <si>
    <t>䃉</t>
  </si>
  <si>
    <t>緍</t>
  </si>
  <si>
    <t>「緡」的異體字。</t>
  </si>
  <si>
    <t>𤸅</t>
  </si>
  <si>
    <t>「痻」的異體字。</t>
  </si>
  <si>
    <t>黾</t>
  </si>
  <si>
    <t>「黽」的異體字。</t>
  </si>
  <si>
    <t>眀</t>
  </si>
  <si>
    <t>「明」的異體字。</t>
  </si>
  <si>
    <t>朙</t>
  </si>
  <si>
    <t>䥈</t>
  </si>
  <si>
    <t>「鉧」的異體字。</t>
  </si>
  <si>
    <t>㳒</t>
  </si>
  <si>
    <t>「法」的異體字。</t>
  </si>
  <si>
    <t>灋</t>
  </si>
  <si>
    <t>彂</t>
  </si>
  <si>
    <t>「發」的異體字。</t>
  </si>
  <si>
    <t>󽦎</t>
  </si>
  <si>
    <t>㘺</t>
  </si>
  <si>
    <t>「垡」的異體字。</t>
  </si>
  <si>
    <t>罸</t>
  </si>
  <si>
    <t>「罰」的異體字。</t>
  </si>
  <si>
    <t>珐</t>
  </si>
  <si>
    <t>「琺」的異體字。</t>
  </si>
  <si>
    <t>仏</t>
  </si>
  <si>
    <t>「佛」的異體字。</t>
  </si>
  <si>
    <t>棑</t>
  </si>
  <si>
    <t>「棐」的異體字。</t>
  </si>
  <si>
    <t>䠊</t>
  </si>
  <si>
    <t>「剕」的異體字。</t>
  </si>
  <si>
    <t>疿</t>
  </si>
  <si>
    <t>「痱」的異體字。</t>
  </si>
  <si>
    <t>󰫂</t>
  </si>
  <si>
    <t>「反」的異體字。</t>
  </si>
  <si>
    <t>飜</t>
  </si>
  <si>
    <t>「翻」的異體字。</t>
  </si>
  <si>
    <t>凢</t>
  </si>
  <si>
    <t>「凡」的異體字。</t>
  </si>
  <si>
    <t>緐</t>
  </si>
  <si>
    <t>「繁」的異體字。</t>
  </si>
  <si>
    <t>飰</t>
  </si>
  <si>
    <t>「飯」的異體字。</t>
  </si>
  <si>
    <t>餴</t>
  </si>
  <si>
    <t>「饙」的異體字。</t>
  </si>
  <si>
    <t>蚠</t>
  </si>
  <si>
    <t>「蚡」的異體字。</t>
  </si>
  <si>
    <t>坆</t>
  </si>
  <si>
    <t>「墳」的異體字。</t>
  </si>
  <si>
    <t>旊</t>
  </si>
  <si>
    <t>「瓬」的異體字。</t>
  </si>
  <si>
    <t>风</t>
  </si>
  <si>
    <t>「風」的異體字。</t>
  </si>
  <si>
    <t>峯</t>
  </si>
  <si>
    <t>「峰」的異體字。</t>
  </si>
  <si>
    <t>蠭</t>
  </si>
  <si>
    <t>「蜂」的異體字。</t>
  </si>
  <si>
    <t>「豐」的異體字。</t>
  </si>
  <si>
    <t>「逢」的異體字。</t>
  </si>
  <si>
    <t>凤</t>
  </si>
  <si>
    <t>「鳳」的異體字。</t>
  </si>
  <si>
    <t>粰</t>
  </si>
  <si>
    <t>「麩」的異體字。</t>
  </si>
  <si>
    <t>䴸</t>
  </si>
  <si>
    <t>䔰</t>
  </si>
  <si>
    <t>「葍」的異體字。</t>
  </si>
  <si>
    <t>鳬</t>
  </si>
  <si>
    <t>「鳧」的異體字。</t>
  </si>
  <si>
    <t>鬴</t>
  </si>
  <si>
    <t>「釜」的異體字。</t>
  </si>
  <si>
    <t>坿</t>
  </si>
  <si>
    <t>「附」的異體字。</t>
  </si>
  <si>
    <t>𧒂</t>
  </si>
  <si>
    <t>「蛗」的異體字。</t>
  </si>
  <si>
    <t>覄</t>
  </si>
  <si>
    <t>「覆」的異體字。</t>
  </si>
  <si>
    <t>󽭐</t>
  </si>
  <si>
    <t>「負」的異體字。</t>
  </si>
  <si>
    <t>媍</t>
  </si>
  <si>
    <t>「婦」的異體字。</t>
  </si>
  <si>
    <t>「答」的異體字。</t>
  </si>
  <si>
    <t>淂</t>
  </si>
  <si>
    <t>「得」的異體字。</t>
  </si>
  <si>
    <t>䙷</t>
  </si>
  <si>
    <t>惪</t>
  </si>
  <si>
    <t>「德」的異體字。</t>
  </si>
  <si>
    <t>瑇</t>
  </si>
  <si>
    <t>「玳」的異體字。</t>
  </si>
  <si>
    <t>㠀</t>
  </si>
  <si>
    <t>「島」的異體字。</t>
  </si>
  <si>
    <t>祷</t>
  </si>
  <si>
    <t>「禱」的異體字。</t>
  </si>
  <si>
    <t>鬦</t>
  </si>
  <si>
    <t>「鬥」的異體字。</t>
  </si>
  <si>
    <t>鬪</t>
  </si>
  <si>
    <t>鬭</t>
  </si>
  <si>
    <t>󵧝</t>
  </si>
  <si>
    <t>「讀」的異體字。</t>
  </si>
  <si>
    <t>躭</t>
  </si>
  <si>
    <t>「耽」的異體字。</t>
  </si>
  <si>
    <t>耼</t>
  </si>
  <si>
    <t>「聃」的異體字。</t>
  </si>
  <si>
    <t>单</t>
  </si>
  <si>
    <t>「單」的異體字。</t>
  </si>
  <si>
    <t>担</t>
  </si>
  <si>
    <t>「擔」的異體字。</t>
  </si>
  <si>
    <t>胆</t>
  </si>
  <si>
    <t>「膽」的異體字。</t>
  </si>
  <si>
    <t>噉</t>
  </si>
  <si>
    <t>「啖」的異體字。</t>
  </si>
  <si>
    <t>弹</t>
  </si>
  <si>
    <t>「彈」的異體字。</t>
  </si>
  <si>
    <t>当</t>
  </si>
  <si>
    <t>「當」的異體字。</t>
  </si>
  <si>
    <t>󻐇</t>
  </si>
  <si>
    <t>「噹」的異體字。</t>
  </si>
  <si>
    <t>挡</t>
  </si>
  <si>
    <t>「擋」的異體字。</t>
  </si>
  <si>
    <t>「黨」的異體字。</t>
  </si>
  <si>
    <t>灯</t>
  </si>
  <si>
    <t>「燈」的異體字。</t>
  </si>
  <si>
    <t>䓁</t>
  </si>
  <si>
    <t>「等」的異體字。</t>
  </si>
  <si>
    <t>櫈</t>
  </si>
  <si>
    <t>「凳」的異體字。</t>
  </si>
  <si>
    <t>廸</t>
  </si>
  <si>
    <t>「迪」的異體字。</t>
  </si>
  <si>
    <t>籴</t>
  </si>
  <si>
    <t>「糴」的異體字。</t>
  </si>
  <si>
    <t>「底」的異體字。</t>
  </si>
  <si>
    <t>苐</t>
  </si>
  <si>
    <t>「第」的異體字。</t>
  </si>
  <si>
    <t>递</t>
  </si>
  <si>
    <t>「遞」的異體字。</t>
  </si>
  <si>
    <t>蜨</t>
  </si>
  <si>
    <t>「蝶」的異體字。</t>
  </si>
  <si>
    <t>叠</t>
  </si>
  <si>
    <t>「疊」的異體字。</t>
  </si>
  <si>
    <t>曡</t>
  </si>
  <si>
    <t>鼦</t>
  </si>
  <si>
    <t>「貂」的異體字。</t>
  </si>
  <si>
    <t>丢</t>
  </si>
  <si>
    <t>「丟」的異體字。</t>
  </si>
  <si>
    <t>󽆅</t>
  </si>
  <si>
    <t>「傎」的異體字。</t>
  </si>
  <si>
    <t>奌</t>
  </si>
  <si>
    <t>「點」的異體字。</t>
  </si>
  <si>
    <t>点</t>
  </si>
  <si>
    <t>电</t>
  </si>
  <si>
    <t>「電」的異體字。</t>
  </si>
  <si>
    <t>㣔</t>
  </si>
  <si>
    <t>「仃」的異體字。</t>
  </si>
  <si>
    <t>㝎</t>
  </si>
  <si>
    <t>「定」的異體字。</t>
  </si>
  <si>
    <t>独</t>
  </si>
  <si>
    <t>「獨」的異體字。</t>
  </si>
  <si>
    <t>凟</t>
  </si>
  <si>
    <t>「瀆」的異體字。</t>
  </si>
  <si>
    <t>匵</t>
  </si>
  <si>
    <t>「櫝」的異體字。</t>
  </si>
  <si>
    <t>覩</t>
  </si>
  <si>
    <t>「睹」的異體字。</t>
  </si>
  <si>
    <t>妬</t>
  </si>
  <si>
    <t>「妒」的異體字。</t>
  </si>
  <si>
    <t>蠧</t>
  </si>
  <si>
    <t>「蠹」的異體字。</t>
  </si>
  <si>
    <t>敓</t>
  </si>
  <si>
    <t>「奪」的異體字。</t>
  </si>
  <si>
    <t>朶</t>
  </si>
  <si>
    <t>「朵」的異體字。</t>
  </si>
  <si>
    <t>躱</t>
  </si>
  <si>
    <t>「躲」的異體字。</t>
  </si>
  <si>
    <t>軃</t>
  </si>
  <si>
    <t>「嚲」的異體字。</t>
  </si>
  <si>
    <t>「惰」的異體字。</t>
  </si>
  <si>
    <t>堕</t>
  </si>
  <si>
    <t>「墮」的異體字。</t>
  </si>
  <si>
    <t>兑</t>
  </si>
  <si>
    <t>「兌」的異體字。</t>
  </si>
  <si>
    <t>对</t>
  </si>
  <si>
    <t>「對」的異體字。</t>
  </si>
  <si>
    <t>煅</t>
  </si>
  <si>
    <t>「鍛」的異體字。</t>
  </si>
  <si>
    <t>断</t>
  </si>
  <si>
    <t>「斷」的異體字。</t>
  </si>
  <si>
    <t>㪟</t>
  </si>
  <si>
    <t>「敦」的異體字。</t>
  </si>
  <si>
    <t>墪</t>
  </si>
  <si>
    <t>「墩」的異體字。</t>
  </si>
  <si>
    <t>冬</t>
  </si>
  <si>
    <t>「冬」的異體字。</t>
  </si>
  <si>
    <t>峝</t>
  </si>
  <si>
    <t>「峒」的異體字。</t>
  </si>
  <si>
    <t>动</t>
  </si>
  <si>
    <t>「動」的異體字。</t>
  </si>
  <si>
    <t>󱗽</t>
  </si>
  <si>
    <t>「它」的異體字。</t>
  </si>
  <si>
    <t>㸰</t>
  </si>
  <si>
    <t>「牠」的異體字。</t>
  </si>
  <si>
    <t>擡</t>
  </si>
  <si>
    <t>「抬」的異體字。</t>
  </si>
  <si>
    <t>「臺」的異體字。</t>
  </si>
  <si>
    <t>䑓</t>
  </si>
  <si>
    <t>枱</t>
  </si>
  <si>
    <t>「檯」的異體字。</t>
  </si>
  <si>
    <t>忲</t>
  </si>
  <si>
    <t>「忕」的異體字。</t>
  </si>
  <si>
    <t>縧</t>
  </si>
  <si>
    <t>「絛」的異體字。</t>
  </si>
  <si>
    <t>涛</t>
  </si>
  <si>
    <t>「濤」的異體字。</t>
  </si>
  <si>
    <t>鞉</t>
  </si>
  <si>
    <t>「鞀」的異體字。</t>
  </si>
  <si>
    <t>𪔛</t>
  </si>
  <si>
    <t>鼗</t>
  </si>
  <si>
    <t>偸</t>
  </si>
  <si>
    <t>「偷」的異體字。</t>
  </si>
  <si>
    <t>头</t>
  </si>
  <si>
    <t>「頭」的異體字。</t>
  </si>
  <si>
    <t>滩</t>
  </si>
  <si>
    <t>「灘」的異體字。</t>
  </si>
  <si>
    <t>摊</t>
  </si>
  <si>
    <t>「攤」的異體字。</t>
  </si>
  <si>
    <t>壜</t>
  </si>
  <si>
    <t>「罈」的異體字。</t>
  </si>
  <si>
    <t>罎</t>
  </si>
  <si>
    <t>坛</t>
  </si>
  <si>
    <t>「壇」的異體字。</t>
  </si>
  <si>
    <t>枟</t>
  </si>
  <si>
    <t>「檀」的異體字。</t>
  </si>
  <si>
    <t>「袒」的異體字。</t>
  </si>
  <si>
    <t>𦧡</t>
  </si>
  <si>
    <t>「舕」的異體字。</t>
  </si>
  <si>
    <t>䗊</t>
  </si>
  <si>
    <t>唐</t>
  </si>
  <si>
    <t>「唐」的異體字。</t>
  </si>
  <si>
    <t>餹</t>
  </si>
  <si>
    <t>「糖」的異體字。</t>
  </si>
  <si>
    <t>坣</t>
  </si>
  <si>
    <t>「堂」的異體字。</t>
  </si>
  <si>
    <t>嗁</t>
  </si>
  <si>
    <t>「啼」的異體字。</t>
  </si>
  <si>
    <t>蹏</t>
  </si>
  <si>
    <t>「蹄」的異體字。</t>
  </si>
  <si>
    <t>体</t>
  </si>
  <si>
    <t>「體」的異體字。</t>
  </si>
  <si>
    <t>骵</t>
  </si>
  <si>
    <t>躰</t>
  </si>
  <si>
    <t>軆</t>
  </si>
  <si>
    <t>鬀</t>
  </si>
  <si>
    <t>「剃」的異體字。</t>
  </si>
  <si>
    <t>「倜」的異體字。</t>
  </si>
  <si>
    <t>惖</t>
  </si>
  <si>
    <t>「惕」的異體字。</t>
  </si>
  <si>
    <t>髢</t>
  </si>
  <si>
    <t>「鬄」的異體字。</t>
  </si>
  <si>
    <t>𩮜</t>
  </si>
  <si>
    <t>鉄</t>
  </si>
  <si>
    <t>「鐵」的異體字。</t>
  </si>
  <si>
    <t>銕</t>
  </si>
  <si>
    <t>䥫</t>
  </si>
  <si>
    <t>岹</t>
  </si>
  <si>
    <t>「岧」的異體字。</t>
  </si>
  <si>
    <t>䩦</t>
  </si>
  <si>
    <t>「鞗」的異體字。</t>
  </si>
  <si>
    <t>粜</t>
  </si>
  <si>
    <t>「糶」的異體字。</t>
  </si>
  <si>
    <t>靝</t>
  </si>
  <si>
    <t>「天」的異體字。</t>
  </si>
  <si>
    <t>甛</t>
  </si>
  <si>
    <t>「甜」的異體字。</t>
  </si>
  <si>
    <t>塡</t>
  </si>
  <si>
    <t>「填」的異體字。</t>
  </si>
  <si>
    <t>󸊍</t>
  </si>
  <si>
    <t>「磌」的異體字。</t>
  </si>
  <si>
    <t>䑙</t>
  </si>
  <si>
    <t>「舔」的異體字。</t>
  </si>
  <si>
    <t>覥</t>
  </si>
  <si>
    <t>「靦」的異體字。</t>
  </si>
  <si>
    <t>蚦</t>
  </si>
  <si>
    <t>「蚺」的異體字。</t>
  </si>
  <si>
    <t>󻕸</t>
  </si>
  <si>
    <t>「瑱」的異體字。</t>
  </si>
  <si>
    <t>「聽」的異體字。</t>
  </si>
  <si>
    <t>聼</t>
  </si>
  <si>
    <t>厛</t>
  </si>
  <si>
    <t>「廳」的異體字。</t>
  </si>
  <si>
    <t>㕔</t>
  </si>
  <si>
    <t>𠅘</t>
  </si>
  <si>
    <t>「亭」的異體字。</t>
  </si>
  <si>
    <t>秃</t>
  </si>
  <si>
    <t>「禿」的異體字。</t>
  </si>
  <si>
    <t>图</t>
  </si>
  <si>
    <t>「圖」的異體字。</t>
  </si>
  <si>
    <t>兎</t>
  </si>
  <si>
    <t>「兔」的異體字。</t>
  </si>
  <si>
    <t>兔</t>
  </si>
  <si>
    <t>駞</t>
  </si>
  <si>
    <t>「駝」的異體字。</t>
  </si>
  <si>
    <t>槖</t>
  </si>
  <si>
    <t>「橐」的異體字。</t>
  </si>
  <si>
    <t>骽</t>
  </si>
  <si>
    <t>「腿」的異體字。</t>
  </si>
  <si>
    <t>𨓤</t>
  </si>
  <si>
    <t>「退」的異體字。</t>
  </si>
  <si>
    <t>猯</t>
  </si>
  <si>
    <t>「貒」的異體字。</t>
  </si>
  <si>
    <t>呑</t>
  </si>
  <si>
    <t>「吞」的異體字。</t>
  </si>
  <si>
    <t>㹠</t>
  </si>
  <si>
    <t>「豚」的異體字。</t>
  </si>
  <si>
    <t>仝</t>
  </si>
  <si>
    <t>「同」的異體字。</t>
  </si>
  <si>
    <t>「拏」的異體字。</t>
  </si>
  <si>
    <t>内</t>
  </si>
  <si>
    <t>「內」的異體字。</t>
  </si>
  <si>
    <t>廼</t>
  </si>
  <si>
    <t>「迺」的異體字。</t>
  </si>
  <si>
    <t>「嬭」的異體字。</t>
  </si>
  <si>
    <t>㚷</t>
  </si>
  <si>
    <t>詉</t>
  </si>
  <si>
    <t>「呶」的異體字。</t>
  </si>
  <si>
    <t>恼</t>
  </si>
  <si>
    <t>「惱」的異體字。</t>
  </si>
  <si>
    <t>碯</t>
  </si>
  <si>
    <t>「瑙」的異體字。</t>
  </si>
  <si>
    <t>𠜶</t>
  </si>
  <si>
    <t>「腦」的異體字。</t>
  </si>
  <si>
    <t>閙</t>
  </si>
  <si>
    <t>「鬧」的異體字。</t>
  </si>
  <si>
    <t>枏</t>
  </si>
  <si>
    <t>「楠」的異體字。</t>
  </si>
  <si>
    <t>难</t>
  </si>
  <si>
    <t>「難」的異體字。</t>
  </si>
  <si>
    <t>󱢵</t>
  </si>
  <si>
    <t>「尼」的異體字。</t>
  </si>
  <si>
    <t>伱</t>
  </si>
  <si>
    <t>「你」的異體字。</t>
  </si>
  <si>
    <t>儞</t>
  </si>
  <si>
    <t>嫟</t>
  </si>
  <si>
    <t>「暱」的異體字。</t>
  </si>
  <si>
    <t>揑</t>
  </si>
  <si>
    <t>「捏」的異體字。</t>
  </si>
  <si>
    <t>湼</t>
  </si>
  <si>
    <t>「涅」的異體字。</t>
  </si>
  <si>
    <t>𦤞</t>
  </si>
  <si>
    <t>「臲」的異體字。</t>
  </si>
  <si>
    <t>孼</t>
  </si>
  <si>
    <t>「孽」的異體字。</t>
  </si>
  <si>
    <t>蘖</t>
  </si>
  <si>
    <t>「櫱」的異體字。</t>
  </si>
  <si>
    <t>糵</t>
  </si>
  <si>
    <t>「糱」的異體字。</t>
  </si>
  <si>
    <t>嚙</t>
  </si>
  <si>
    <t>「齧」的異體字。</t>
  </si>
  <si>
    <t>㜵</t>
  </si>
  <si>
    <t>「嫋」的異體字。</t>
  </si>
  <si>
    <t>秊</t>
  </si>
  <si>
    <t>「年」的異體字。</t>
  </si>
  <si>
    <t>「廿」的異體字。</t>
  </si>
  <si>
    <t>󱒎</t>
  </si>
  <si>
    <t>「娘」的異體字。</t>
  </si>
  <si>
    <t>寕</t>
  </si>
  <si>
    <t>「寧」的異體字。</t>
  </si>
  <si>
    <t>𡨴</t>
  </si>
  <si>
    <t>寜</t>
  </si>
  <si>
    <t>寗</t>
  </si>
  <si>
    <t>「甯」的異體字。</t>
  </si>
  <si>
    <t>愞</t>
  </si>
  <si>
    <t>「懦」的異體字。</t>
  </si>
  <si>
    <t>稬</t>
  </si>
  <si>
    <t>「糯」的異體字。</t>
  </si>
  <si>
    <t>穤</t>
  </si>
  <si>
    <t>煖</t>
  </si>
  <si>
    <t>「暖」的異體字。</t>
  </si>
  <si>
    <t>辳</t>
  </si>
  <si>
    <t>「農」的異體字。</t>
  </si>
  <si>
    <t>癑</t>
  </si>
  <si>
    <t>「膿」的異體字。</t>
  </si>
  <si>
    <t>󸧻</t>
  </si>
  <si>
    <t>「衄」的異體字。</t>
  </si>
  <si>
    <t>䶊</t>
  </si>
  <si>
    <t>「臘」的異體字。</t>
  </si>
  <si>
    <t>臈</t>
  </si>
  <si>
    <t>「蠟」的異體字。</t>
  </si>
  <si>
    <t>䗶</t>
  </si>
  <si>
    <t>𨭛</t>
  </si>
  <si>
    <t>「鑞」的異體字。</t>
  </si>
  <si>
    <t>乐</t>
  </si>
  <si>
    <t>「樂」的異體字。</t>
  </si>
  <si>
    <t>頼</t>
  </si>
  <si>
    <t>「賴」的異體字。</t>
  </si>
  <si>
    <t>虆</t>
  </si>
  <si>
    <t>「蔂」的異體字。</t>
  </si>
  <si>
    <t>靁</t>
  </si>
  <si>
    <t>「雷」的異體字。</t>
  </si>
  <si>
    <t>攂</t>
  </si>
  <si>
    <t>「擂」的異體字。</t>
  </si>
  <si>
    <t>泪</t>
  </si>
  <si>
    <t>「淚」的異體字。</t>
  </si>
  <si>
    <t>「礌」的異體字。</t>
  </si>
  <si>
    <t>𩔗</t>
  </si>
  <si>
    <t>「類」的異體字。</t>
  </si>
  <si>
    <t>劳</t>
  </si>
  <si>
    <t>「勞」的異體字。</t>
  </si>
  <si>
    <t>娄</t>
  </si>
  <si>
    <t>「婁」的異體字。</t>
  </si>
  <si>
    <t>偻</t>
  </si>
  <si>
    <t>「僂」的異體字。</t>
  </si>
  <si>
    <t>喽</t>
  </si>
  <si>
    <t>「嘍」的異體字。</t>
  </si>
  <si>
    <t>楼</t>
  </si>
  <si>
    <t>「樓」的異體字。</t>
  </si>
  <si>
    <t>蝼</t>
  </si>
  <si>
    <t>「螻」的異體字。</t>
  </si>
  <si>
    <t>󸜠</t>
  </si>
  <si>
    <t>「艛」的異體字。</t>
  </si>
  <si>
    <t>篓</t>
  </si>
  <si>
    <t>「簍」的異體字。</t>
  </si>
  <si>
    <t>瘘</t>
  </si>
  <si>
    <t>「瘻」的異體字。</t>
  </si>
  <si>
    <t>𨩐</t>
  </si>
  <si>
    <t>「鏤」的異體字。</t>
  </si>
  <si>
    <t>󵜶</t>
  </si>
  <si>
    <t>「覽」的異體字。</t>
  </si>
  <si>
    <t>覧</t>
  </si>
  <si>
    <t>㰖</t>
  </si>
  <si>
    <t>「欖」的異體字。</t>
  </si>
  <si>
    <t>瓈</t>
  </si>
  <si>
    <t>「璃」的異體字。</t>
  </si>
  <si>
    <t>篱</t>
  </si>
  <si>
    <t>「籬」的異體字。</t>
  </si>
  <si>
    <t>棃</t>
  </si>
  <si>
    <t>「梨」的異體字。</t>
  </si>
  <si>
    <t>犂</t>
  </si>
  <si>
    <t>「犁」的異體字。</t>
  </si>
  <si>
    <t>裏</t>
  </si>
  <si>
    <t>「裡」的異體字。</t>
  </si>
  <si>
    <t>礼</t>
  </si>
  <si>
    <t>「禮」的異體字。</t>
  </si>
  <si>
    <t>茘</t>
  </si>
  <si>
    <t>「荔」的異體字。</t>
  </si>
  <si>
    <t>涖</t>
  </si>
  <si>
    <t>「蒞」的異體字。</t>
  </si>
  <si>
    <t>莅</t>
  </si>
  <si>
    <t>󶵇</t>
  </si>
  <si>
    <t>「鬲」的異體字。</t>
  </si>
  <si>
    <t>历</t>
  </si>
  <si>
    <t>「歷」的異體字。</t>
  </si>
  <si>
    <t>厯</t>
  </si>
  <si>
    <t>󺫼</t>
  </si>
  <si>
    <t>「瀝」的異體字。</t>
  </si>
  <si>
    <t>󷏓</t>
  </si>
  <si>
    <t>「嚦」的異體字。</t>
  </si>
  <si>
    <t>󶡲</t>
  </si>
  <si>
    <t>「靂」的異體字。</t>
  </si>
  <si>
    <t>厉</t>
  </si>
  <si>
    <t>「厲」的異體字。</t>
  </si>
  <si>
    <t>励</t>
  </si>
  <si>
    <t>「勵」的異體字。</t>
  </si>
  <si>
    <t>㾐</t>
  </si>
  <si>
    <t>「癘」的異體字。</t>
  </si>
  <si>
    <t>隷</t>
  </si>
  <si>
    <t>「隸」的異體字。</t>
  </si>
  <si>
    <t>𨽻</t>
  </si>
  <si>
    <t>󽶤</t>
  </si>
  <si>
    <t>「麗」的異體字。</t>
  </si>
  <si>
    <t>㳅</t>
  </si>
  <si>
    <t>「流」的異體字。</t>
  </si>
  <si>
    <t>流</t>
  </si>
  <si>
    <t>畄</t>
  </si>
  <si>
    <t>「留」的異體字。</t>
  </si>
  <si>
    <t>畱</t>
  </si>
  <si>
    <t>駵</t>
  </si>
  <si>
    <t>「騮」的異體字。</t>
  </si>
  <si>
    <t>驑</t>
  </si>
  <si>
    <t>刘</t>
  </si>
  <si>
    <t>「劉」的異體字。</t>
  </si>
  <si>
    <t>栁</t>
  </si>
  <si>
    <t>「柳」的異體字。</t>
  </si>
  <si>
    <t>桺</t>
  </si>
  <si>
    <t>亷</t>
  </si>
  <si>
    <t>「廉」的異體字。</t>
  </si>
  <si>
    <t>怜</t>
  </si>
  <si>
    <t>「憐」的異體字。</t>
  </si>
  <si>
    <t>联</t>
  </si>
  <si>
    <t>「聯」的異體字。</t>
  </si>
  <si>
    <t>聮</t>
  </si>
  <si>
    <t>歛</t>
  </si>
  <si>
    <t>「斂」的異體字。</t>
  </si>
  <si>
    <t>薟</t>
  </si>
  <si>
    <t>「蘞」的異體字。</t>
  </si>
  <si>
    <t>恋</t>
  </si>
  <si>
    <t>「戀」的異體字。</t>
  </si>
  <si>
    <t>挛</t>
  </si>
  <si>
    <t>「攣」的異體字。</t>
  </si>
  <si>
    <t>隣</t>
  </si>
  <si>
    <t>「鄰」的異體字。</t>
  </si>
  <si>
    <t>麐</t>
  </si>
  <si>
    <t>「麟」的異體字。</t>
  </si>
  <si>
    <t>澟</t>
  </si>
  <si>
    <t>「凜」的異體字。</t>
  </si>
  <si>
    <t>㐭</t>
  </si>
  <si>
    <t>「廩」的異體字。</t>
  </si>
  <si>
    <t>凉</t>
  </si>
  <si>
    <t>「涼」的異體字。</t>
  </si>
  <si>
    <t>樑</t>
  </si>
  <si>
    <t>「梁」的異體字。</t>
  </si>
  <si>
    <t>粮</t>
  </si>
  <si>
    <t>「糧」的異體字。</t>
  </si>
  <si>
    <t>両</t>
  </si>
  <si>
    <t>「兩」的異體字。</t>
  </si>
  <si>
    <t>两</t>
  </si>
  <si>
    <t>㒳</t>
  </si>
  <si>
    <t>󿮫</t>
  </si>
  <si>
    <t>「靈」的異體字。</t>
  </si>
  <si>
    <t>霛</t>
  </si>
  <si>
    <t>󹾅</t>
  </si>
  <si>
    <t>「令」的異體字。</t>
  </si>
  <si>
    <t>󳹱</t>
  </si>
  <si>
    <t>「盧」的異體字。</t>
  </si>
  <si>
    <t>庐</t>
  </si>
  <si>
    <t>「廬」的異體字。</t>
  </si>
  <si>
    <t>炉</t>
  </si>
  <si>
    <t>「爐」的異體字。</t>
  </si>
  <si>
    <t>芦</t>
  </si>
  <si>
    <t>「蘆」的異體字。</t>
  </si>
  <si>
    <t>樐</t>
  </si>
  <si>
    <t>「櫓」的異體字。</t>
  </si>
  <si>
    <t>㯭</t>
  </si>
  <si>
    <t>緑</t>
  </si>
  <si>
    <t>「綠」的異體字。</t>
  </si>
  <si>
    <t>勠</t>
  </si>
  <si>
    <t>「戮」的異體字。</t>
  </si>
  <si>
    <t>啰</t>
  </si>
  <si>
    <t>「囉」的異體字。</t>
  </si>
  <si>
    <t>驘</t>
  </si>
  <si>
    <t>「騾」的異體字。</t>
  </si>
  <si>
    <t>罗</t>
  </si>
  <si>
    <t>「羅」的異體字。</t>
  </si>
  <si>
    <t>萝</t>
  </si>
  <si>
    <t>「蘿」的異體字。</t>
  </si>
  <si>
    <t>逻</t>
  </si>
  <si>
    <t>「邏」的異體字。</t>
  </si>
  <si>
    <t>箩</t>
  </si>
  <si>
    <t>「籮」的異體字。</t>
  </si>
  <si>
    <t>󹝺</t>
  </si>
  <si>
    <t>「鑼」的異體字。</t>
  </si>
  <si>
    <t>覼</t>
  </si>
  <si>
    <t>「覶」的異體字。</t>
  </si>
  <si>
    <t>躶</t>
  </si>
  <si>
    <t>「裸」的異體字。</t>
  </si>
  <si>
    <t>峦</t>
  </si>
  <si>
    <t>「巒」的異體字。</t>
  </si>
  <si>
    <t>娈</t>
  </si>
  <si>
    <t>「孌」的異體字。</t>
  </si>
  <si>
    <t>孪</t>
  </si>
  <si>
    <t>「孿」的異體字。</t>
  </si>
  <si>
    <t>栾</t>
  </si>
  <si>
    <t>「欒」的異體字。</t>
  </si>
  <si>
    <t>脔</t>
  </si>
  <si>
    <t>「臠」的異體字。</t>
  </si>
  <si>
    <t>滦</t>
  </si>
  <si>
    <t>「灤」的異體字。</t>
  </si>
  <si>
    <t>銮</t>
  </si>
  <si>
    <t>「鑾」的異體字。</t>
  </si>
  <si>
    <t>鵉</t>
  </si>
  <si>
    <t>「鸞」的異體字。</t>
  </si>
  <si>
    <t>乱</t>
  </si>
  <si>
    <t>「亂」的異體字。</t>
  </si>
  <si>
    <t>󰃨</t>
  </si>
  <si>
    <t>崘</t>
  </si>
  <si>
    <t>「崙」的異體字。</t>
  </si>
  <si>
    <t>壠</t>
  </si>
  <si>
    <t>「壟」的異體字。</t>
  </si>
  <si>
    <t>󿷐</t>
  </si>
  <si>
    <t>「膂」的異體字。</t>
  </si>
  <si>
    <t>屡</t>
  </si>
  <si>
    <t>「屢」的異體字。</t>
  </si>
  <si>
    <t>𫃵</t>
  </si>
  <si>
    <t>「縷」的異體字。</t>
  </si>
  <si>
    <t>畧</t>
  </si>
  <si>
    <t>「略」的異體字。</t>
  </si>
  <si>
    <t>𡯓</t>
  </si>
  <si>
    <t>「尬」的異體字。</t>
  </si>
  <si>
    <t>𡯗</t>
  </si>
  <si>
    <t>「價」的異體字。</t>
  </si>
  <si>
    <t>󰇹</t>
  </si>
  <si>
    <t>謌</t>
  </si>
  <si>
    <t>「歌」的異體字。</t>
  </si>
  <si>
    <t>个</t>
  </si>
  <si>
    <t>「個」的異體字。</t>
  </si>
  <si>
    <t>盖</t>
  </si>
  <si>
    <t>「蓋」的異體字。</t>
  </si>
  <si>
    <t>葢</t>
  </si>
  <si>
    <t>匄</t>
  </si>
  <si>
    <t>「丐」的異體字。</t>
  </si>
  <si>
    <t>匃</t>
  </si>
  <si>
    <t>󼭑</t>
  </si>
  <si>
    <t>「溉」的異體字。</t>
  </si>
  <si>
    <t>槪</t>
  </si>
  <si>
    <t>「概」的異體字。</t>
  </si>
  <si>
    <t>槩</t>
  </si>
  <si>
    <t>󰯁</t>
  </si>
  <si>
    <t>「咎」的異體字。</t>
  </si>
  <si>
    <t>餻</t>
  </si>
  <si>
    <t>「糕」的異體字。</t>
  </si>
  <si>
    <t>髙</t>
  </si>
  <si>
    <t>「高」的異體字。</t>
  </si>
  <si>
    <t>皐</t>
  </si>
  <si>
    <t>「皋」的異體字。</t>
  </si>
  <si>
    <t>臯</t>
  </si>
  <si>
    <t>槹</t>
  </si>
  <si>
    <t>「槔」的異體字。</t>
  </si>
  <si>
    <t>槀</t>
  </si>
  <si>
    <t>「槁」的異體字。</t>
  </si>
  <si>
    <t>稾</t>
  </si>
  <si>
    <t>「稿」的異體字。</t>
  </si>
  <si>
    <t>藳</t>
  </si>
  <si>
    <t>鈎</t>
  </si>
  <si>
    <t>「鉤」的異體字。</t>
  </si>
  <si>
    <t>区</t>
  </si>
  <si>
    <t>「區」的異體字。</t>
  </si>
  <si>
    <t>鞲</t>
  </si>
  <si>
    <t>「韝」的異體字。</t>
  </si>
  <si>
    <t>耉</t>
  </si>
  <si>
    <t>「耇」的異體字。</t>
  </si>
  <si>
    <t>耈</t>
  </si>
  <si>
    <t>够</t>
  </si>
  <si>
    <t>「夠」的異體字。</t>
  </si>
  <si>
    <t>尲</t>
  </si>
  <si>
    <t>「尷」的異體字。</t>
  </si>
  <si>
    <t>尶</t>
  </si>
  <si>
    <t>𡰛</t>
  </si>
  <si>
    <t>秆</t>
  </si>
  <si>
    <t>「稈」的異體字。</t>
  </si>
  <si>
    <t>「趕」的異體字。</t>
  </si>
  <si>
    <t>贑</t>
  </si>
  <si>
    <t>「贛」的異體字。</t>
  </si>
  <si>
    <t>𠀕</t>
  </si>
  <si>
    <t>「亙」的異體字。</t>
  </si>
  <si>
    <t>亘</t>
  </si>
  <si>
    <t>繮</t>
  </si>
  <si>
    <t>「韁」的異體字。</t>
  </si>
  <si>
    <t>戅</t>
  </si>
  <si>
    <t>「戇」的異體字。</t>
  </si>
  <si>
    <t>秔</t>
  </si>
  <si>
    <t>「粳」的異體字。</t>
  </si>
  <si>
    <t>稉</t>
  </si>
  <si>
    <t>絚</t>
  </si>
  <si>
    <t>「緪」的異體字。</t>
  </si>
  <si>
    <t>䋁</t>
  </si>
  <si>
    <t>「綆」的異體字。</t>
  </si>
  <si>
    <t>皷</t>
  </si>
  <si>
    <t>「鼓」的異體字。</t>
  </si>
  <si>
    <t>崓</t>
  </si>
  <si>
    <t>「崮」的異體字。</t>
  </si>
  <si>
    <t>頋</t>
  </si>
  <si>
    <t>「顧」的異體字。</t>
  </si>
  <si>
    <t>「掛」的異體字。</t>
  </si>
  <si>
    <t>袿</t>
  </si>
  <si>
    <t>「褂」的異體字。</t>
  </si>
  <si>
    <t>过</t>
  </si>
  <si>
    <t>「過」的異體字。</t>
  </si>
  <si>
    <t>囯</t>
  </si>
  <si>
    <t>「國」的異體字。</t>
  </si>
  <si>
    <t>菓</t>
  </si>
  <si>
    <t>「果」的異體字。</t>
  </si>
  <si>
    <t>柺</t>
  </si>
  <si>
    <t>「枴」的異體字。</t>
  </si>
  <si>
    <t>恠</t>
  </si>
  <si>
    <t>「怪」的異體字。</t>
  </si>
  <si>
    <t>槼</t>
  </si>
  <si>
    <t>「規」的異體字。</t>
  </si>
  <si>
    <t>潙</t>
  </si>
  <si>
    <t>「溈」的異體字。</t>
  </si>
  <si>
    <t>嬀</t>
  </si>
  <si>
    <t>「媯」的異體字。</t>
  </si>
  <si>
    <t>瓌</t>
  </si>
  <si>
    <t>「瑰」的異體字。</t>
  </si>
  <si>
    <t>龟</t>
  </si>
  <si>
    <t>「龜」的異體字。</t>
  </si>
  <si>
    <t>归</t>
  </si>
  <si>
    <t>「歸」的異體字。</t>
  </si>
  <si>
    <t>㱕</t>
  </si>
  <si>
    <t>「櫃」的異體字。</t>
  </si>
  <si>
    <t>会</t>
  </si>
  <si>
    <t>「會」的異體字。</t>
  </si>
  <si>
    <t>𤸄</t>
  </si>
  <si>
    <t>「瘝」的異體字。</t>
  </si>
  <si>
    <t>関</t>
  </si>
  <si>
    <t>「關」的異體字。</t>
  </si>
  <si>
    <t>覌</t>
  </si>
  <si>
    <t>「觀」的異體字。</t>
  </si>
  <si>
    <t>𬋩</t>
  </si>
  <si>
    <t>「管」的異體字。</t>
  </si>
  <si>
    <t>舘</t>
  </si>
  <si>
    <t>「館」的異體字。</t>
  </si>
  <si>
    <t>卝</t>
  </si>
  <si>
    <t>「丱」的異體字。</t>
  </si>
  <si>
    <t>衮</t>
  </si>
  <si>
    <t>「袞」的異體字。</t>
  </si>
  <si>
    <t>滚</t>
  </si>
  <si>
    <t>「滾」的異體字。</t>
  </si>
  <si>
    <t>蓘</t>
  </si>
  <si>
    <t>「蔉」的異體字。</t>
  </si>
  <si>
    <t>󱱬</t>
  </si>
  <si>
    <t>「廣」的異體字。</t>
  </si>
  <si>
    <t>躳</t>
  </si>
  <si>
    <t>「躬」的異體字。</t>
  </si>
  <si>
    <t>觵</t>
  </si>
  <si>
    <t>「觥」的異體字。</t>
  </si>
  <si>
    <t>鑛</t>
  </si>
  <si>
    <t>「礦」的異體字。</t>
  </si>
  <si>
    <t>疴</t>
  </si>
  <si>
    <t>「痾」的異體字。</t>
  </si>
  <si>
    <t>壳</t>
  </si>
  <si>
    <t>「殼」的異體字。</t>
  </si>
  <si>
    <t>尅</t>
  </si>
  <si>
    <t>「剋」的異體字。</t>
  </si>
  <si>
    <t>愙</t>
  </si>
  <si>
    <t>「恪」的異體字。</t>
  </si>
  <si>
    <t>慨</t>
  </si>
  <si>
    <t>「慨」的異體字。</t>
  </si>
  <si>
    <t>嘅</t>
  </si>
  <si>
    <t>「󺟑」的異體字。</t>
  </si>
  <si>
    <t>𦒱</t>
  </si>
  <si>
    <t>「考」的異體字。</t>
  </si>
  <si>
    <t>宼</t>
  </si>
  <si>
    <t>「寇」的異體字。</t>
  </si>
  <si>
    <t>𦸅</t>
  </si>
  <si>
    <t>「蔻」的異體字。</t>
  </si>
  <si>
    <t>「刊」的異體字。</t>
  </si>
  <si>
    <t>栞</t>
  </si>
  <si>
    <t>㸔</t>
  </si>
  <si>
    <t>「看」的異體字。</t>
  </si>
  <si>
    <t>偘</t>
  </si>
  <si>
    <t>「侃」的異體字。</t>
  </si>
  <si>
    <t>肎</t>
  </si>
  <si>
    <t>「肯」的異體字。</t>
  </si>
  <si>
    <t>忼</t>
  </si>
  <si>
    <t>「慷」的異體字。</t>
  </si>
  <si>
    <t>穅</t>
  </si>
  <si>
    <t>「糠」的異體字。</t>
  </si>
  <si>
    <t>䃘</t>
  </si>
  <si>
    <t>「硜」的異體字。</t>
  </si>
  <si>
    <t>袴</t>
  </si>
  <si>
    <t>「褲」的異體字。</t>
  </si>
  <si>
    <t>絝</t>
  </si>
  <si>
    <t>濶</t>
  </si>
  <si>
    <t>「闊」的異體字。</t>
  </si>
  <si>
    <t>鞟</t>
  </si>
  <si>
    <t>「鞹」的異體字。</t>
  </si>
  <si>
    <t>彍</t>
  </si>
  <si>
    <t>「彉」的異體字。</t>
  </si>
  <si>
    <t>凷</t>
  </si>
  <si>
    <t>「塊」的異體字。</t>
  </si>
  <si>
    <t>块</t>
  </si>
  <si>
    <t>侩</t>
  </si>
  <si>
    <t>「儈」的異體字。</t>
  </si>
  <si>
    <t>狯</t>
  </si>
  <si>
    <t>「獪」的異體字。</t>
  </si>
  <si>
    <t>脍</t>
  </si>
  <si>
    <t>「膾」的異體字。</t>
  </si>
  <si>
    <t>媿</t>
  </si>
  <si>
    <t>「愧」的異體字。</t>
  </si>
  <si>
    <t>󹤝</t>
  </si>
  <si>
    <t>「寬」的異體字。</t>
  </si>
  <si>
    <t>欵</t>
  </si>
  <si>
    <t>「款」的異體字。</t>
  </si>
  <si>
    <t>歀</t>
  </si>
  <si>
    <t>堃</t>
  </si>
  <si>
    <t>「坤」的異體字。</t>
  </si>
  <si>
    <t>崐</t>
  </si>
  <si>
    <t>「崑」的異體字。</t>
  </si>
  <si>
    <t>髠</t>
  </si>
  <si>
    <t>「髡」的異體字。</t>
  </si>
  <si>
    <t>㡓</t>
  </si>
  <si>
    <t>「褌」的異體字。</t>
  </si>
  <si>
    <t>裩</t>
  </si>
  <si>
    <t>况</t>
  </si>
  <si>
    <t>「況」的異體字。</t>
  </si>
  <si>
    <t>旷</t>
  </si>
  <si>
    <t>「曠」的異體字。</t>
  </si>
  <si>
    <t>虾</t>
  </si>
  <si>
    <t>「蝦」的異體字。</t>
  </si>
  <si>
    <t>咊</t>
  </si>
  <si>
    <t>「和」的異體字。</t>
  </si>
  <si>
    <t>󱙗</t>
  </si>
  <si>
    <t>「害」的異體字。</t>
  </si>
  <si>
    <t>盇</t>
  </si>
  <si>
    <t>「盍」的異體字。</t>
  </si>
  <si>
    <t>号</t>
  </si>
  <si>
    <t>「號」的異體字。</t>
  </si>
  <si>
    <t>󹢝</t>
  </si>
  <si>
    <t>「豪」的異體字。</t>
  </si>
  <si>
    <t>嘷</t>
  </si>
  <si>
    <t>「嗥」的異體字。</t>
  </si>
  <si>
    <t>獋</t>
  </si>
  <si>
    <t>晧</t>
  </si>
  <si>
    <t>「皓」的異體字。</t>
  </si>
  <si>
    <t>暭</t>
  </si>
  <si>
    <t>「皞」的異體字。</t>
  </si>
  <si>
    <t>皥</t>
  </si>
  <si>
    <t>矦</t>
  </si>
  <si>
    <t>「侯」的異體字。</t>
  </si>
  <si>
    <t>糇</t>
  </si>
  <si>
    <t>「餱」的異體字。</t>
  </si>
  <si>
    <t>垕</t>
  </si>
  <si>
    <t>「厚」的異體字。</t>
  </si>
  <si>
    <t>圅</t>
  </si>
  <si>
    <t>「函」的異體字。</t>
  </si>
  <si>
    <t>恒</t>
  </si>
  <si>
    <t>「恆」的異體字。</t>
  </si>
  <si>
    <t>「乎」的異體字。</t>
  </si>
  <si>
    <t>󿲂</t>
  </si>
  <si>
    <t>「虎」的異體字。</t>
  </si>
  <si>
    <t>歘</t>
  </si>
  <si>
    <t>「欻」的異體字。</t>
  </si>
  <si>
    <t>户</t>
  </si>
  <si>
    <t>「戶」的異體字。</t>
  </si>
  <si>
    <t>沪</t>
  </si>
  <si>
    <t>「滬」的異體字。</t>
  </si>
  <si>
    <t>芲</t>
  </si>
  <si>
    <t>「花」的異體字。</t>
  </si>
  <si>
    <t>「譁」的異體字。</t>
  </si>
  <si>
    <t>󰟿</t>
  </si>
  <si>
    <t>「劃」的異體字。</t>
  </si>
  <si>
    <t>画</t>
  </si>
  <si>
    <t>「畫」的異體字。</t>
  </si>
  <si>
    <t>𡱮</t>
  </si>
  <si>
    <t>󽅦</t>
  </si>
  <si>
    <t>旤</t>
  </si>
  <si>
    <t>「禍」的異體字。</t>
  </si>
  <si>
    <t>𦞦</t>
  </si>
  <si>
    <t>「臛」的異體字。</t>
  </si>
  <si>
    <t>彠</t>
  </si>
  <si>
    <t>「矱」的異體字。</t>
  </si>
  <si>
    <t>耯</t>
  </si>
  <si>
    <t>「穫」的異體字。</t>
  </si>
  <si>
    <t>怀</t>
  </si>
  <si>
    <t>「懷」的異體字。</t>
  </si>
  <si>
    <t>「壞」的異體字。</t>
  </si>
  <si>
    <t>灰</t>
  </si>
  <si>
    <t>「灰」的異體字。</t>
  </si>
  <si>
    <t>撝</t>
  </si>
  <si>
    <t>「撝」的異體字。</t>
  </si>
  <si>
    <t>囘</t>
  </si>
  <si>
    <t>「回」的異體字。</t>
  </si>
  <si>
    <t>囬</t>
  </si>
  <si>
    <t>廻</t>
  </si>
  <si>
    <t>「迴」的異體字。</t>
  </si>
  <si>
    <t>𤈦</t>
  </si>
  <si>
    <t>「燬」的異體字。</t>
  </si>
  <si>
    <t>滙</t>
  </si>
  <si>
    <t>「匯」的異體字。</t>
  </si>
  <si>
    <t>烩</t>
  </si>
  <si>
    <t>「燴」的異體字。</t>
  </si>
  <si>
    <t>絵</t>
  </si>
  <si>
    <t>「繪」的異體字。</t>
  </si>
  <si>
    <t>彚</t>
  </si>
  <si>
    <t>「彙」的異體字。</t>
  </si>
  <si>
    <t>貛</t>
  </si>
  <si>
    <t>「獾」的異體字。</t>
  </si>
  <si>
    <t>欢</t>
  </si>
  <si>
    <t>「歡」的異體字。</t>
  </si>
  <si>
    <t>环</t>
  </si>
  <si>
    <t>「環」的異體字。</t>
  </si>
  <si>
    <t>还</t>
  </si>
  <si>
    <t>「還」的異體字。</t>
  </si>
  <si>
    <t>昬</t>
  </si>
  <si>
    <t>「昏」的異體字。</t>
  </si>
  <si>
    <t>惽</t>
  </si>
  <si>
    <t>「惛」的異體字。</t>
  </si>
  <si>
    <t>㛰</t>
  </si>
  <si>
    <t>「婚」的異體字。</t>
  </si>
  <si>
    <t>㱪</t>
  </si>
  <si>
    <t>「殙」的異體字。</t>
  </si>
  <si>
    <t>䰟</t>
  </si>
  <si>
    <t>「魂」的異體字。</t>
  </si>
  <si>
    <t>㥵</t>
  </si>
  <si>
    <t>「慁」的異體字。</t>
  </si>
  <si>
    <t>鱑</t>
  </si>
  <si>
    <t>「鰉」的異體字。</t>
  </si>
  <si>
    <t>黄</t>
  </si>
  <si>
    <t>「黃」的異體字。</t>
  </si>
  <si>
    <t>󶾄</t>
  </si>
  <si>
    <t>󷺁</t>
  </si>
  <si>
    <t>「潢」的異體字。</t>
  </si>
  <si>
    <t>󳬙</t>
  </si>
  <si>
    <t>「璜」的異體字。</t>
  </si>
  <si>
    <t>󹖰</t>
  </si>
  <si>
    <t>「簧」的異體字。</t>
  </si>
  <si>
    <t>葓</t>
  </si>
  <si>
    <t>「葒」的異體字。</t>
  </si>
  <si>
    <t>閧</t>
  </si>
  <si>
    <t>「鬨」的異體字。</t>
  </si>
  <si>
    <t>「几」的異體字。</t>
  </si>
  <si>
    <t>朞</t>
  </si>
  <si>
    <t>「期」的異體字。</t>
  </si>
  <si>
    <t>覉</t>
  </si>
  <si>
    <t>「羇」的異體字。</t>
  </si>
  <si>
    <t>喞</t>
  </si>
  <si>
    <t>「唧」的異體字。</t>
  </si>
  <si>
    <t>筓</t>
  </si>
  <si>
    <t>「笄」的異體字。</t>
  </si>
  <si>
    <t>姬</t>
  </si>
  <si>
    <t>「姬」的異體字。</t>
  </si>
  <si>
    <t>「幾」的異體字。</t>
  </si>
  <si>
    <t>「機」的異體字。</t>
  </si>
  <si>
    <t>「饑」的異體字。</t>
  </si>
  <si>
    <t>迹</t>
  </si>
  <si>
    <t>「跡」的異體字。</t>
  </si>
  <si>
    <t>賫</t>
  </si>
  <si>
    <t>「齎」的異體字。</t>
  </si>
  <si>
    <t>賷</t>
  </si>
  <si>
    <t>韲</t>
  </si>
  <si>
    <t>「齏」的異體字。</t>
  </si>
  <si>
    <t>䪢</t>
  </si>
  <si>
    <t>𩐋</t>
  </si>
  <si>
    <t>鳮</t>
  </si>
  <si>
    <t>「雞」的異體字。</t>
  </si>
  <si>
    <t>鷄</t>
  </si>
  <si>
    <t>覊</t>
  </si>
  <si>
    <t>「羈」的異體字。</t>
  </si>
  <si>
    <t>及</t>
  </si>
  <si>
    <t>「及」的異體字。</t>
  </si>
  <si>
    <t>堲</t>
  </si>
  <si>
    <t>「堲」的異體字。</t>
  </si>
  <si>
    <t>󷮣</t>
  </si>
  <si>
    <t>「楖」的異體字。</t>
  </si>
  <si>
    <t>󸤪</t>
  </si>
  <si>
    <t>「蝍」的異體字。</t>
  </si>
  <si>
    <t>檝</t>
  </si>
  <si>
    <t>「楫」的異體字。</t>
  </si>
  <si>
    <t>剧</t>
  </si>
  <si>
    <t>「劇」的異體字。</t>
  </si>
  <si>
    <t>済</t>
  </si>
  <si>
    <t>「濟」的異體字。</t>
  </si>
  <si>
    <t>㨈</t>
  </si>
  <si>
    <t>「擠」的異體字。</t>
  </si>
  <si>
    <t>彑</t>
  </si>
  <si>
    <t>「彐」的異體字。</t>
  </si>
  <si>
    <t>旣</t>
  </si>
  <si>
    <t>「既」的異體字。</t>
  </si>
  <si>
    <t>墍</t>
  </si>
  <si>
    <t>「塈」的異體字。</t>
  </si>
  <si>
    <t>󿮻</t>
  </si>
  <si>
    <t>「蔇」的異體字。</t>
  </si>
  <si>
    <t>穊</t>
  </si>
  <si>
    <t>「穊」的異體字。</t>
  </si>
  <si>
    <t>际</t>
  </si>
  <si>
    <t>「際」的異體字。</t>
  </si>
  <si>
    <t>剤</t>
  </si>
  <si>
    <t>「劑」的異體字。</t>
  </si>
  <si>
    <t>𬰁</t>
  </si>
  <si>
    <t>「霽」的異體字。</t>
  </si>
  <si>
    <t>兾</t>
  </si>
  <si>
    <t>「冀」的異體字。</t>
  </si>
  <si>
    <t>継</t>
  </si>
  <si>
    <t>「繼」的異體字。</t>
  </si>
  <si>
    <t>侠</t>
  </si>
  <si>
    <t>「俠」的異體字。</t>
  </si>
  <si>
    <t>戞</t>
  </si>
  <si>
    <t>「戛」的異體字。</t>
  </si>
  <si>
    <t>裌</t>
  </si>
  <si>
    <t>「袷」的異體字。</t>
  </si>
  <si>
    <t>叚</t>
  </si>
  <si>
    <t>「假」的異體字。</t>
  </si>
  <si>
    <t>斚</t>
  </si>
  <si>
    <t>「斝」的異體字。</t>
  </si>
  <si>
    <t>堦</t>
  </si>
  <si>
    <t>「階」的異體字。</t>
  </si>
  <si>
    <t>稭</t>
  </si>
  <si>
    <t>「秸」的異體字。</t>
  </si>
  <si>
    <t>刦</t>
  </si>
  <si>
    <t>「劫」的異體字。</t>
  </si>
  <si>
    <t>刧</t>
  </si>
  <si>
    <t>刼</t>
  </si>
  <si>
    <t>㨗</t>
  </si>
  <si>
    <t>「捷」的異體字。</t>
  </si>
  <si>
    <t>莭</t>
  </si>
  <si>
    <t>「節」的異體字。</t>
  </si>
  <si>
    <t>󴒋</t>
  </si>
  <si>
    <t>櫛</t>
  </si>
  <si>
    <t>「櫛」的異體字。</t>
  </si>
  <si>
    <t>姉</t>
  </si>
  <si>
    <t>「姊」的異體字。</t>
  </si>
  <si>
    <t>觧</t>
  </si>
  <si>
    <t>「解」的異體字。</t>
  </si>
  <si>
    <t>届</t>
  </si>
  <si>
    <t>「屆」的異體字。</t>
  </si>
  <si>
    <t>𪠘</t>
  </si>
  <si>
    <t>「廨」的異體字。</t>
  </si>
  <si>
    <t>敎</t>
  </si>
  <si>
    <t>「教」的異體字。</t>
  </si>
  <si>
    <t>斅</t>
  </si>
  <si>
    <t>乔</t>
  </si>
  <si>
    <t>「喬」的異體字。</t>
  </si>
  <si>
    <t>娇</t>
  </si>
  <si>
    <t>「嬌」的異體字。</t>
  </si>
  <si>
    <t>󶱨</t>
  </si>
  <si>
    <t>「驕」的異體字。</t>
  </si>
  <si>
    <t>晈</t>
  </si>
  <si>
    <t>「皎」的異體字。</t>
  </si>
  <si>
    <t>脚</t>
  </si>
  <si>
    <t>「腳」的異體字。</t>
  </si>
  <si>
    <t>𠞰</t>
  </si>
  <si>
    <t>「剿」的異體字。</t>
  </si>
  <si>
    <t>矫</t>
  </si>
  <si>
    <t>「矯」的異體字。</t>
  </si>
  <si>
    <t>呌</t>
  </si>
  <si>
    <t>「叫」的異體字。</t>
  </si>
  <si>
    <t>󵹦</t>
  </si>
  <si>
    <t>「轎」的異體字。</t>
  </si>
  <si>
    <t>斍</t>
  </si>
  <si>
    <t>「覺」的異體字。</t>
  </si>
  <si>
    <t>覚</t>
  </si>
  <si>
    <t>「啾」的異體字。</t>
  </si>
  <si>
    <t>韮</t>
  </si>
  <si>
    <t>「韭」的異體字。</t>
  </si>
  <si>
    <t>匶</t>
  </si>
  <si>
    <t>「柩」的異體字。</t>
  </si>
  <si>
    <t>厩</t>
  </si>
  <si>
    <t>「廄」的異體字。</t>
  </si>
  <si>
    <t>廐</t>
  </si>
  <si>
    <t>廏</t>
  </si>
  <si>
    <t>开</t>
  </si>
  <si>
    <t>「幵」的異體字。</t>
  </si>
  <si>
    <t>豣</t>
  </si>
  <si>
    <t>「豜」的異體字。</t>
  </si>
  <si>
    <t>銒</t>
  </si>
  <si>
    <t>「鈃」的異體字。</t>
  </si>
  <si>
    <t>浅</t>
  </si>
  <si>
    <t>「淺」的異體字。</t>
  </si>
  <si>
    <t>󰘅</t>
  </si>
  <si>
    <t>「兼」的異體字。</t>
  </si>
  <si>
    <t>𠔥</t>
  </si>
  <si>
    <t>韀</t>
  </si>
  <si>
    <t>「韉」的異體字。</t>
  </si>
  <si>
    <t>趼</t>
  </si>
  <si>
    <t>「趼」的異體字。</t>
  </si>
  <si>
    <t>减</t>
  </si>
  <si>
    <t>「減」的異體字。</t>
  </si>
  <si>
    <t>碱</t>
  </si>
  <si>
    <t>「鹼」的異體字。</t>
  </si>
  <si>
    <t>𥳑</t>
  </si>
  <si>
    <t>「簡」的異體字。</t>
  </si>
  <si>
    <t>瀳</t>
  </si>
  <si>
    <t>「洊」的異體字。</t>
  </si>
  <si>
    <t>鍳</t>
  </si>
  <si>
    <t>「鑒」的異體字。</t>
  </si>
  <si>
    <t>僣</t>
  </si>
  <si>
    <t>「僭」的異體字。</t>
  </si>
  <si>
    <t>劒</t>
  </si>
  <si>
    <t>「劍」的異體字。</t>
  </si>
  <si>
    <t>卺</t>
  </si>
  <si>
    <t>「巹」的異體字。</t>
  </si>
  <si>
    <t>仅</t>
  </si>
  <si>
    <t>「僅」的異體字。</t>
  </si>
  <si>
    <t>厪</t>
  </si>
  <si>
    <t>「廑」的異體字。</t>
  </si>
  <si>
    <t>𦂳</t>
  </si>
  <si>
    <t>「緊」的異體字。</t>
  </si>
  <si>
    <t>侭</t>
  </si>
  <si>
    <t>「儘」的異體字。</t>
  </si>
  <si>
    <t>晋</t>
  </si>
  <si>
    <t>「晉」的異體字。</t>
  </si>
  <si>
    <t>尽</t>
  </si>
  <si>
    <t>「盡」的異體字。</t>
  </si>
  <si>
    <t>烬</t>
  </si>
  <si>
    <t>「燼」的異體字。</t>
  </si>
  <si>
    <t>䝲</t>
  </si>
  <si>
    <t>「贐」的異體字。</t>
  </si>
  <si>
    <t>畺</t>
  </si>
  <si>
    <t>「疆」的異體字。</t>
  </si>
  <si>
    <t>奬</t>
  </si>
  <si>
    <t>「獎」的異體字。</t>
  </si>
  <si>
    <t>󵤸</t>
  </si>
  <si>
    <t>「講」的異體字。</t>
  </si>
  <si>
    <t>强</t>
  </si>
  <si>
    <t>「強」的異體字。</t>
  </si>
  <si>
    <t>糡</t>
  </si>
  <si>
    <t>「糨」的異體字。</t>
  </si>
  <si>
    <t>靑</t>
  </si>
  <si>
    <t>「青」的異體字。</t>
  </si>
  <si>
    <t>荆</t>
  </si>
  <si>
    <t>「荊」的異體字。</t>
  </si>
  <si>
    <t>穽</t>
  </si>
  <si>
    <t>「阱」的異體字。</t>
  </si>
  <si>
    <t>踁</t>
  </si>
  <si>
    <t>「脛」的異體字。</t>
  </si>
  <si>
    <t>浄</t>
  </si>
  <si>
    <t>「淨」的異體字。</t>
  </si>
  <si>
    <t>静</t>
  </si>
  <si>
    <t>「靜」的異體字。</t>
  </si>
  <si>
    <t>𦊨</t>
  </si>
  <si>
    <t>「罝」的異體字。</t>
  </si>
  <si>
    <t>凥</t>
  </si>
  <si>
    <t>「居」的異體字。</t>
  </si>
  <si>
    <t>鴂</t>
  </si>
  <si>
    <t>「鴃」的異體字。</t>
  </si>
  <si>
    <t>榘</t>
  </si>
  <si>
    <t>「矩」的異體字。</t>
  </si>
  <si>
    <t>擧</t>
  </si>
  <si>
    <t>「舉」的異體字。</t>
  </si>
  <si>
    <t>歫</t>
  </si>
  <si>
    <t>「距」的異體字。</t>
  </si>
  <si>
    <t>惧</t>
  </si>
  <si>
    <t>「懼」的異體字。</t>
  </si>
  <si>
    <t>「據」的異體字。</t>
  </si>
  <si>
    <t>㩀</t>
  </si>
  <si>
    <t>珏</t>
  </si>
  <si>
    <t>「玨」的異體字。</t>
  </si>
  <si>
    <t>橜</t>
  </si>
  <si>
    <t>「橛」的異體字。</t>
  </si>
  <si>
    <t>鎸</t>
  </si>
  <si>
    <t>「鐫」的異體字。</t>
  </si>
  <si>
    <t>勌</t>
  </si>
  <si>
    <t>「倦」的異體字。</t>
  </si>
  <si>
    <t>隽</t>
  </si>
  <si>
    <t>「雋」的異體字。</t>
  </si>
  <si>
    <t>麏</t>
  </si>
  <si>
    <t>「麇」的異體字。</t>
  </si>
  <si>
    <t>麕</t>
  </si>
  <si>
    <t>儁</t>
  </si>
  <si>
    <t>「俊」的異體字。</t>
  </si>
  <si>
    <t>鵕</t>
  </si>
  <si>
    <t>「鵔」的異體字。</t>
  </si>
  <si>
    <t>攈</t>
  </si>
  <si>
    <t>「捃」的異體字。</t>
  </si>
  <si>
    <t>𢹲</t>
  </si>
  <si>
    <t>攟</t>
  </si>
  <si>
    <t>埛</t>
  </si>
  <si>
    <t>「坰」的異體字。</t>
  </si>
  <si>
    <t>烱</t>
  </si>
  <si>
    <t>「炯」的異體字。</t>
  </si>
  <si>
    <t>逈</t>
  </si>
  <si>
    <t>「迥」的異體字。</t>
  </si>
  <si>
    <t>慽</t>
  </si>
  <si>
    <t>「慼」的異體字。</t>
  </si>
  <si>
    <t>棊</t>
  </si>
  <si>
    <t>「棋」的異體字。</t>
  </si>
  <si>
    <t>碁</t>
  </si>
  <si>
    <t>竒</t>
  </si>
  <si>
    <t>「奇」的異體字。</t>
  </si>
  <si>
    <t>斉</t>
  </si>
  <si>
    <t>「齊」的異體字。</t>
  </si>
  <si>
    <t>唘</t>
  </si>
  <si>
    <t>「啟」的異體字。</t>
  </si>
  <si>
    <t>啔</t>
  </si>
  <si>
    <t>啓</t>
  </si>
  <si>
    <t>䭫</t>
  </si>
  <si>
    <t>「稽」的異體字。</t>
  </si>
  <si>
    <t>瘛</t>
  </si>
  <si>
    <t>「瘈」的異體字。</t>
  </si>
  <si>
    <t>弃</t>
  </si>
  <si>
    <t>「棄」的異體字。</t>
  </si>
  <si>
    <t>憇</t>
  </si>
  <si>
    <t>「憩」的異體字。</t>
  </si>
  <si>
    <t>噐</t>
  </si>
  <si>
    <t>「器」的異體字。</t>
  </si>
  <si>
    <t>切</t>
  </si>
  <si>
    <t>「切」的異體字。</t>
  </si>
  <si>
    <t>㥦</t>
  </si>
  <si>
    <t>「愜」的異體字。</t>
  </si>
  <si>
    <t>窃</t>
  </si>
  <si>
    <t>「竊」的異體字。</t>
  </si>
  <si>
    <t>鍫</t>
  </si>
  <si>
    <t>「鍬」的異體字。</t>
  </si>
  <si>
    <t>顦</t>
  </si>
  <si>
    <t>「憔」的異體字。</t>
  </si>
  <si>
    <t>秌</t>
  </si>
  <si>
    <t>「秋」的異體字。</t>
  </si>
  <si>
    <t>𥤚</t>
  </si>
  <si>
    <t>鞧</t>
  </si>
  <si>
    <t>「鞦」的異體字。</t>
  </si>
  <si>
    <t>鰌</t>
  </si>
  <si>
    <t>「鰍」的異體字。</t>
  </si>
  <si>
    <t>叴</t>
  </si>
  <si>
    <t>「厹」的異體字。</t>
  </si>
  <si>
    <t>虬</t>
  </si>
  <si>
    <t>「虯」的異體字。</t>
  </si>
  <si>
    <t>𢳍</t>
  </si>
  <si>
    <t>「扦」的異體字。</t>
  </si>
  <si>
    <t>汧</t>
  </si>
  <si>
    <t>「汧」的異體字。</t>
  </si>
  <si>
    <t>「鉛」的異體字。</t>
  </si>
  <si>
    <t>迁</t>
  </si>
  <si>
    <t>「遷」的異體字。</t>
  </si>
  <si>
    <t>𨔰</t>
  </si>
  <si>
    <t>籖</t>
  </si>
  <si>
    <t>「籤」的異體字。</t>
  </si>
  <si>
    <t>䖍</t>
  </si>
  <si>
    <t>「虔」的異體字。</t>
  </si>
  <si>
    <t>珡</t>
  </si>
  <si>
    <t>「琴」的異體字。</t>
  </si>
  <si>
    <t>琹</t>
  </si>
  <si>
    <t>𦍑</t>
  </si>
  <si>
    <t>「羌」的異體字。</t>
  </si>
  <si>
    <t>羗</t>
  </si>
  <si>
    <t>鏹</t>
  </si>
  <si>
    <t>「鏹」的異體字。</t>
  </si>
  <si>
    <t>墻</t>
  </si>
  <si>
    <t>「牆」的異體字。</t>
  </si>
  <si>
    <t>󸩖</t>
  </si>
  <si>
    <t>「襁」的異體字。</t>
  </si>
  <si>
    <t>繦</t>
  </si>
  <si>
    <t>「繈」的異體字。</t>
  </si>
  <si>
    <t>卿</t>
  </si>
  <si>
    <t>「卿」的異體字。</t>
  </si>
  <si>
    <t>軽</t>
  </si>
  <si>
    <t>「輕」的異體字。</t>
  </si>
  <si>
    <t>䡖</t>
  </si>
  <si>
    <t>剠</t>
  </si>
  <si>
    <t>「黥」的異體字。</t>
  </si>
  <si>
    <t>󽸽</t>
  </si>
  <si>
    <t>「慶」的異體字。</t>
  </si>
  <si>
    <t>𩭪</t>
  </si>
  <si>
    <t>「镼」的異體字。</t>
  </si>
  <si>
    <t>躯</t>
  </si>
  <si>
    <t>「軀」的異體字。</t>
  </si>
  <si>
    <t>駆</t>
  </si>
  <si>
    <t>「驅」的異體字。</t>
  </si>
  <si>
    <t>趋</t>
  </si>
  <si>
    <t>「趨」的異體字。</t>
  </si>
  <si>
    <t>鸜</t>
  </si>
  <si>
    <t>「鴝」的異體字。</t>
  </si>
  <si>
    <t>癯</t>
  </si>
  <si>
    <t>「臞」的異體字。</t>
  </si>
  <si>
    <t>麯</t>
  </si>
  <si>
    <t>「麴」的異體字。</t>
  </si>
  <si>
    <t>厺</t>
  </si>
  <si>
    <t>「去」的異體字。</t>
  </si>
  <si>
    <t>𨵢</t>
  </si>
  <si>
    <t>「闃」的異體字。</t>
  </si>
  <si>
    <t>覰</t>
  </si>
  <si>
    <t>「覷」的異體字。</t>
  </si>
  <si>
    <t>𡙇</t>
  </si>
  <si>
    <t>「缺」的異體字。</t>
  </si>
  <si>
    <t>却</t>
  </si>
  <si>
    <t>「卻」的異體字。</t>
  </si>
  <si>
    <t>㕁</t>
  </si>
  <si>
    <t>塙</t>
  </si>
  <si>
    <t>「確」的異體字。</t>
  </si>
  <si>
    <t>󰖢</t>
  </si>
  <si>
    <t>「全」的異體字。</t>
  </si>
  <si>
    <t>权</t>
  </si>
  <si>
    <t>「權」的異體字。</t>
  </si>
  <si>
    <t>劵</t>
  </si>
  <si>
    <t>「券」的異體字。</t>
  </si>
  <si>
    <t>劝</t>
  </si>
  <si>
    <t>「勸」的異體字。</t>
  </si>
  <si>
    <t>帬</t>
  </si>
  <si>
    <t>「裙」的異體字。</t>
  </si>
  <si>
    <t>裠</t>
  </si>
  <si>
    <t>羣</t>
  </si>
  <si>
    <t>「群」的異體字。</t>
  </si>
  <si>
    <t>穷</t>
  </si>
  <si>
    <t>「窮」的異體字。</t>
  </si>
  <si>
    <t>睘</t>
  </si>
  <si>
    <t>「瞏」的異體字。</t>
  </si>
  <si>
    <t>琼</t>
  </si>
  <si>
    <t>「瓊」的異體字。</t>
  </si>
  <si>
    <t>晳</t>
  </si>
  <si>
    <t>「皙」的異體字。</t>
  </si>
  <si>
    <t>𢘻</t>
  </si>
  <si>
    <t>「悉」的異體字。</t>
  </si>
  <si>
    <t>熺</t>
  </si>
  <si>
    <t>「熹」的異體字。</t>
  </si>
  <si>
    <t>厀</t>
  </si>
  <si>
    <t>「膝」的異體字。</t>
  </si>
  <si>
    <t>䤈</t>
  </si>
  <si>
    <t>「醯」的異體字。</t>
  </si>
  <si>
    <t>携</t>
  </si>
  <si>
    <t>「攜」的異體字。</t>
  </si>
  <si>
    <t>擕</t>
  </si>
  <si>
    <t>㩗</t>
  </si>
  <si>
    <t>󰲢</t>
  </si>
  <si>
    <t>「喜」的異體字。</t>
  </si>
  <si>
    <t>肹</t>
  </si>
  <si>
    <t>「肸」的異體字。</t>
  </si>
  <si>
    <t>郄</t>
  </si>
  <si>
    <t>「郤」的異體字。</t>
  </si>
  <si>
    <t>舃</t>
  </si>
  <si>
    <t>「舄」的異體字。</t>
  </si>
  <si>
    <t>󶛊</t>
  </si>
  <si>
    <t>「隙」的異體字。</t>
  </si>
  <si>
    <t>隟</t>
  </si>
  <si>
    <t>戏</t>
  </si>
  <si>
    <t>「戲」的異體字。</t>
  </si>
  <si>
    <t>戱</t>
  </si>
  <si>
    <t>䦧</t>
  </si>
  <si>
    <t>「鬩」的異體字。</t>
  </si>
  <si>
    <t>鰕</t>
  </si>
  <si>
    <t>厦</t>
  </si>
  <si>
    <t>「廈」的異體字。</t>
  </si>
  <si>
    <t>吓</t>
  </si>
  <si>
    <t>「嚇」的異體字。</t>
  </si>
  <si>
    <t>「蠍」的異體字。</t>
  </si>
  <si>
    <t>叶</t>
  </si>
  <si>
    <t>「協」的異體字。</t>
  </si>
  <si>
    <t>脇</t>
  </si>
  <si>
    <t>「脅」的異體字。</t>
  </si>
  <si>
    <t>衺</t>
  </si>
  <si>
    <t>「邪」的異體字。</t>
  </si>
  <si>
    <t>挟</t>
  </si>
  <si>
    <t>「挾」的異體字。</t>
  </si>
  <si>
    <t>鞵</t>
  </si>
  <si>
    <t>「鞋」的異體字。</t>
  </si>
  <si>
    <t>󱟂</t>
  </si>
  <si>
    <t>「寫」的異體字。</t>
  </si>
  <si>
    <t>蠏</t>
  </si>
  <si>
    <t>「蟹」的異體字。</t>
  </si>
  <si>
    <t>緤</t>
  </si>
  <si>
    <t>「紲」的異體字。</t>
  </si>
  <si>
    <t>㳿</t>
  </si>
  <si>
    <t>「渫」的異體字。</t>
  </si>
  <si>
    <t>䔥</t>
  </si>
  <si>
    <t>「蕭」的異體字。</t>
  </si>
  <si>
    <t>簘</t>
  </si>
  <si>
    <t>「簫」的異體字。</t>
  </si>
  <si>
    <t>蟰</t>
  </si>
  <si>
    <t>「蠨」的異體字。</t>
  </si>
  <si>
    <t>嚻</t>
  </si>
  <si>
    <t>「囂」的異體字。</t>
  </si>
  <si>
    <t>効</t>
  </si>
  <si>
    <t>「效」的異體字。</t>
  </si>
  <si>
    <t>俲</t>
  </si>
  <si>
    <t>「傚」的異體字。</t>
  </si>
  <si>
    <t>咲</t>
  </si>
  <si>
    <t>「笑」的異體字。</t>
  </si>
  <si>
    <t>歗</t>
  </si>
  <si>
    <t>「嘯」的異體字。</t>
  </si>
  <si>
    <t>褏</t>
  </si>
  <si>
    <t>「袖」的異體字。</t>
  </si>
  <si>
    <t>齅</t>
  </si>
  <si>
    <t>「嗅」的異體字。</t>
  </si>
  <si>
    <t>綉</t>
  </si>
  <si>
    <t>「繡」的異體字。</t>
  </si>
  <si>
    <t>繍</t>
  </si>
  <si>
    <t>銹</t>
  </si>
  <si>
    <t>「鏽」的異體字。</t>
  </si>
  <si>
    <t>&amp;99bc._104_0.gif;</t>
  </si>
  <si>
    <t>仚</t>
  </si>
  <si>
    <t>「仙」的異體字。</t>
  </si>
  <si>
    <t>姗</t>
  </si>
  <si>
    <t>「姍」的異體字。</t>
  </si>
  <si>
    <t>䄏</t>
  </si>
  <si>
    <t>「祅」的異體字。</t>
  </si>
  <si>
    <t>蹮</t>
  </si>
  <si>
    <t>「躚」的異體字。</t>
  </si>
  <si>
    <t>鱻</t>
  </si>
  <si>
    <t>「鮮」的異體字。</t>
  </si>
  <si>
    <t>纎</t>
  </si>
  <si>
    <t>「纖」的異體字。</t>
  </si>
  <si>
    <t>醎</t>
  </si>
  <si>
    <t>「鹹」的異體字。</t>
  </si>
  <si>
    <t>㳄</t>
  </si>
  <si>
    <t>「涎」的異體字。</t>
  </si>
  <si>
    <t>嫺</t>
  </si>
  <si>
    <t>「嫻」的異體字。</t>
  </si>
  <si>
    <t>鷴</t>
  </si>
  <si>
    <t>「鷳」的異體字。</t>
  </si>
  <si>
    <t>䝨</t>
  </si>
  <si>
    <t>「賢」的異體字。</t>
  </si>
  <si>
    <t>「洗」的異體字。</t>
  </si>
  <si>
    <t>尠</t>
  </si>
  <si>
    <t>「尟」的異體字。</t>
  </si>
  <si>
    <t>綫</t>
  </si>
  <si>
    <t>「線」的異體字。</t>
  </si>
  <si>
    <t>󼁚</t>
  </si>
  <si>
    <t>「縣」的異體字。</t>
  </si>
  <si>
    <t>献</t>
  </si>
  <si>
    <t>「獻」的異體字。</t>
  </si>
  <si>
    <t>衅</t>
  </si>
  <si>
    <t>「釁」的異體字。</t>
  </si>
  <si>
    <t>亯</t>
  </si>
  <si>
    <t>「享」的異體字。</t>
  </si>
  <si>
    <t>响</t>
  </si>
  <si>
    <t>「響」的異體字。</t>
  </si>
  <si>
    <t>蠁</t>
  </si>
  <si>
    <t>「蠁」的異體字。</t>
  </si>
  <si>
    <t>鯹</t>
  </si>
  <si>
    <t>「腥」的異體字。</t>
  </si>
  <si>
    <t>󽶞</t>
  </si>
  <si>
    <t>「興」的異體字。</t>
  </si>
  <si>
    <t>𤙡</t>
  </si>
  <si>
    <t>「騂」的異體字。</t>
  </si>
  <si>
    <t>𠛬</t>
  </si>
  <si>
    <t>「刑」的異體字。</t>
  </si>
  <si>
    <t>形</t>
  </si>
  <si>
    <t>「形」的異體字。</t>
  </si>
  <si>
    <t>郉</t>
  </si>
  <si>
    <t>「邢」的異體字。</t>
  </si>
  <si>
    <t>型</t>
  </si>
  <si>
    <t>「型」的異體字。</t>
  </si>
  <si>
    <t>虗</t>
  </si>
  <si>
    <t>「虛」的異體字。</t>
  </si>
  <si>
    <t>󵎆</t>
  </si>
  <si>
    <t>湏</t>
  </si>
  <si>
    <t>「須」的異體字。</t>
  </si>
  <si>
    <t>䘏</t>
  </si>
  <si>
    <t>「卹」的異體字。</t>
  </si>
  <si>
    <t>叙</t>
  </si>
  <si>
    <t>「敘」的異體字。</t>
  </si>
  <si>
    <t>敍</t>
  </si>
  <si>
    <t>壻</t>
  </si>
  <si>
    <t>「婿」的異體字。</t>
  </si>
  <si>
    <t>鞾</t>
  </si>
  <si>
    <t>「靴」的異體字。</t>
  </si>
  <si>
    <t>辥</t>
  </si>
  <si>
    <t>「薛」的異體字。</t>
  </si>
  <si>
    <t>斈</t>
  </si>
  <si>
    <t>「學」的異體字。</t>
  </si>
  <si>
    <t>蕿</t>
  </si>
  <si>
    <t>「萱」的異體字。</t>
  </si>
  <si>
    <t>𡎖</t>
  </si>
  <si>
    <t>「壎」的異體字。</t>
  </si>
  <si>
    <t>选</t>
  </si>
  <si>
    <t>「選」的異體字。</t>
  </si>
  <si>
    <t>勳</t>
  </si>
  <si>
    <t>「勛」的異體字。</t>
  </si>
  <si>
    <t>廵</t>
  </si>
  <si>
    <t>「巡」的異體字。</t>
  </si>
  <si>
    <t>孙</t>
  </si>
  <si>
    <t>「孫」的異體字。</t>
  </si>
  <si>
    <t>逊</t>
  </si>
  <si>
    <t>「遜」的異體字。</t>
  </si>
  <si>
    <t>訩</t>
  </si>
  <si>
    <t>「忷」的異體字。</t>
  </si>
  <si>
    <t>詾</t>
  </si>
  <si>
    <t>汹</t>
  </si>
  <si>
    <t>「洶」的異體字。</t>
  </si>
  <si>
    <t>胷</t>
  </si>
  <si>
    <t>「胸」的異體字。</t>
  </si>
  <si>
    <t>巵</t>
  </si>
  <si>
    <t>「卮」的異體字。</t>
  </si>
  <si>
    <t>鼅</t>
  </si>
  <si>
    <t>「蜘」的異體字。</t>
  </si>
  <si>
    <t>栀</t>
  </si>
  <si>
    <t>「梔」的異體字。</t>
  </si>
  <si>
    <t>値</t>
  </si>
  <si>
    <t>「值」的異體字。</t>
  </si>
  <si>
    <t>󿴶</t>
  </si>
  <si>
    <t>「埴」的異體字。</t>
  </si>
  <si>
    <t>󿵰</t>
  </si>
  <si>
    <t>「稙」的異體字。</t>
  </si>
  <si>
    <t>执</t>
  </si>
  <si>
    <t>「執」的異體字。</t>
  </si>
  <si>
    <t>蛰</t>
  </si>
  <si>
    <t>「蟄」的異體字。</t>
  </si>
  <si>
    <t>𨂂</t>
  </si>
  <si>
    <t>「蹠」的異體字。</t>
  </si>
  <si>
    <t>貭</t>
  </si>
  <si>
    <t>「質」的異體字。</t>
  </si>
  <si>
    <t>聀</t>
  </si>
  <si>
    <t>「職」的異體字。</t>
  </si>
  <si>
    <t>职</t>
  </si>
  <si>
    <t>軄</t>
  </si>
  <si>
    <t>掷</t>
  </si>
  <si>
    <t>「擲」的異體字。</t>
  </si>
  <si>
    <t>󲥛</t>
  </si>
  <si>
    <t>「旨」的異體字。</t>
  </si>
  <si>
    <t>㫖</t>
  </si>
  <si>
    <t>帒</t>
  </si>
  <si>
    <t>「紙」的異體字。</t>
  </si>
  <si>
    <t>厔</t>
  </si>
  <si>
    <t>「庢」的異體字。</t>
  </si>
  <si>
    <t>𦤶</t>
  </si>
  <si>
    <t>「致」的異體字。</t>
  </si>
  <si>
    <t>寘</t>
  </si>
  <si>
    <t>「寘」的異體字。</t>
  </si>
  <si>
    <t>󼹼</t>
  </si>
  <si>
    <t>「置」的異體字。</t>
  </si>
  <si>
    <t>隲</t>
  </si>
  <si>
    <t>「騭」的異體字。</t>
  </si>
  <si>
    <t>䛊</t>
  </si>
  <si>
    <t>「識」的異體字。</t>
  </si>
  <si>
    <t>揸</t>
  </si>
  <si>
    <t>「摣」的異體字。</t>
  </si>
  <si>
    <t>皶</t>
  </si>
  <si>
    <t>「皻」的異體字。</t>
  </si>
  <si>
    <t>紥</t>
  </si>
  <si>
    <t>「紮」的異體字。</t>
  </si>
  <si>
    <t>剳</t>
  </si>
  <si>
    <t>「劄」的異體字。</t>
  </si>
  <si>
    <t>咤</t>
  </si>
  <si>
    <t>「吒」的異體字。</t>
  </si>
  <si>
    <t>栅</t>
  </si>
  <si>
    <t>「柵」的異體字。</t>
  </si>
  <si>
    <t>喆</t>
  </si>
  <si>
    <t>「哲」的異體字。</t>
  </si>
  <si>
    <t>輙</t>
  </si>
  <si>
    <t>「輒」的異體字。</t>
  </si>
  <si>
    <t>讁</t>
  </si>
  <si>
    <t>「謫」的異體字。</t>
  </si>
  <si>
    <t>者</t>
  </si>
  <si>
    <t>「者」的異體字。</t>
  </si>
  <si>
    <t>这</t>
  </si>
  <si>
    <t>「這」的異體字。</t>
  </si>
  <si>
    <t>󼹵</t>
  </si>
  <si>
    <t>「著」的異體字。</t>
  </si>
  <si>
    <t>亝</t>
  </si>
  <si>
    <t>「齋」的異體字。</t>
  </si>
  <si>
    <t>斋</t>
  </si>
  <si>
    <t>𪭲</t>
  </si>
  <si>
    <t>「擇」的異體字。</t>
  </si>
  <si>
    <t>周</t>
  </si>
  <si>
    <t>「周」的異體字。</t>
  </si>
  <si>
    <t>箒</t>
  </si>
  <si>
    <t>「帚」的異體字。</t>
  </si>
  <si>
    <t>呪</t>
  </si>
  <si>
    <t>「咒」的異體字。</t>
  </si>
  <si>
    <t>昼</t>
  </si>
  <si>
    <t>「晝」的異體字。</t>
  </si>
  <si>
    <t>皱</t>
  </si>
  <si>
    <t>「皺」的異體字。</t>
  </si>
  <si>
    <t>籒</t>
  </si>
  <si>
    <t>「籀」的異體字。</t>
  </si>
  <si>
    <t>旜</t>
  </si>
  <si>
    <t>「旃」的異體字。</t>
  </si>
  <si>
    <t>毡</t>
  </si>
  <si>
    <t>「氈」的異體字。</t>
  </si>
  <si>
    <t>氊</t>
  </si>
  <si>
    <t>嶃</t>
  </si>
  <si>
    <t>「嶄」的異體字。</t>
  </si>
  <si>
    <t>战</t>
  </si>
  <si>
    <t>「戰」的異體字。</t>
  </si>
  <si>
    <t>珎</t>
  </si>
  <si>
    <t>「珍」的異體字。</t>
  </si>
  <si>
    <t>眞</t>
  </si>
  <si>
    <t>「真」的異體字。</t>
  </si>
  <si>
    <t>󻕵</t>
  </si>
  <si>
    <t>「禛」的異體字。</t>
  </si>
  <si>
    <t>󻕻</t>
  </si>
  <si>
    <t>「稹」的異體字。</t>
  </si>
  <si>
    <t>󹜁</t>
  </si>
  <si>
    <t>「縝」的異體字。</t>
  </si>
  <si>
    <t>麞</t>
  </si>
  <si>
    <t>「獐」的異體字。</t>
  </si>
  <si>
    <t>争</t>
  </si>
  <si>
    <t>「爭」的異體字。</t>
  </si>
  <si>
    <t>郑</t>
  </si>
  <si>
    <t>「鄭」的異體字。</t>
  </si>
  <si>
    <t>「證」的異體字。</t>
  </si>
  <si>
    <t>鼄</t>
  </si>
  <si>
    <t>「蛛」的異體字。</t>
  </si>
  <si>
    <t>猪</t>
  </si>
  <si>
    <t>「豬」的異體字。</t>
  </si>
  <si>
    <t>术</t>
  </si>
  <si>
    <t>「朮」的異體字。</t>
  </si>
  <si>
    <t>烛</t>
  </si>
  <si>
    <t>「燭」的異體字。</t>
  </si>
  <si>
    <t>煑</t>
  </si>
  <si>
    <t>「煮」的異體字。</t>
  </si>
  <si>
    <t>属</t>
  </si>
  <si>
    <t>「屬」的異體字。</t>
  </si>
  <si>
    <t>嘱</t>
  </si>
  <si>
    <t>「囑」的異體字。</t>
  </si>
  <si>
    <t>竚</t>
  </si>
  <si>
    <t>「佇」的異體字。</t>
  </si>
  <si>
    <t>䬡</t>
  </si>
  <si>
    <t>「翥」的異體字。</t>
  </si>
  <si>
    <t>筯</t>
  </si>
  <si>
    <t>「箸」的異體字。</t>
  </si>
  <si>
    <t>槕</t>
  </si>
  <si>
    <t>「桌」的異體字。</t>
  </si>
  <si>
    <t>斵</t>
  </si>
  <si>
    <t>「斲」的異體字。</t>
  </si>
  <si>
    <t>甎</t>
  </si>
  <si>
    <t>「磚」的異體字。</t>
  </si>
  <si>
    <t>転</t>
  </si>
  <si>
    <t>「轉」的異體字。</t>
  </si>
  <si>
    <t>籑</t>
  </si>
  <si>
    <t>「饌」的異體字。</t>
  </si>
  <si>
    <t>「妝」的異體字。</t>
  </si>
  <si>
    <t>粧</t>
  </si>
  <si>
    <t>庄</t>
  </si>
  <si>
    <t>「莊」的異體字。</t>
  </si>
  <si>
    <t>壮</t>
  </si>
  <si>
    <t>「壯」的異體字。</t>
  </si>
  <si>
    <t>󽬿</t>
  </si>
  <si>
    <t>「衷」的異體字。</t>
  </si>
  <si>
    <t>鈡</t>
  </si>
  <si>
    <t>「鐘」的異體字。</t>
  </si>
  <si>
    <t>「種」的異體字。</t>
  </si>
  <si>
    <t>歱</t>
  </si>
  <si>
    <t>「踵」的異體字。</t>
  </si>
  <si>
    <t>众</t>
  </si>
  <si>
    <t>「眾」的異體字。</t>
  </si>
  <si>
    <t>󿶛</t>
  </si>
  <si>
    <t>󳻱</t>
  </si>
  <si>
    <t>糉</t>
  </si>
  <si>
    <t>「粽」的異體字。</t>
  </si>
  <si>
    <t>癡</t>
  </si>
  <si>
    <t>「痴」的異體字。</t>
  </si>
  <si>
    <t>茬</t>
  </si>
  <si>
    <t>「茌」的異體字。</t>
  </si>
  <si>
    <t>遟</t>
  </si>
  <si>
    <t>「遲」的異體字。</t>
  </si>
  <si>
    <t>竾</t>
  </si>
  <si>
    <t>「篪」的異體字。</t>
  </si>
  <si>
    <t>耻</t>
  </si>
  <si>
    <t>「恥」的異體字。</t>
  </si>
  <si>
    <t>翄</t>
  </si>
  <si>
    <t>「翅」的異體字。</t>
  </si>
  <si>
    <t>勅</t>
  </si>
  <si>
    <t>「敕」的異體字。</t>
  </si>
  <si>
    <t>𢽟</t>
  </si>
  <si>
    <t>𪃠</t>
  </si>
  <si>
    <t>「鶒」的異體字。</t>
  </si>
  <si>
    <t>揷</t>
  </si>
  <si>
    <t>「插」的異體字。</t>
  </si>
  <si>
    <t>詧</t>
  </si>
  <si>
    <t>「察」的異體字。</t>
  </si>
  <si>
    <t>姹</t>
  </si>
  <si>
    <t>「奼」的異體字。</t>
  </si>
  <si>
    <t>刹</t>
  </si>
  <si>
    <t>「剎」的異體字。</t>
  </si>
  <si>
    <t>󽇅</t>
  </si>
  <si>
    <t>「釵」的異體字。</t>
  </si>
  <si>
    <t>㑪</t>
  </si>
  <si>
    <t>「儕」的異體字。</t>
  </si>
  <si>
    <t>册</t>
  </si>
  <si>
    <t>「冊」的異體字。</t>
  </si>
  <si>
    <t>犫</t>
  </si>
  <si>
    <t>「犨」的異體字。</t>
  </si>
  <si>
    <t>酧</t>
  </si>
  <si>
    <t>「酬」的異體字。</t>
  </si>
  <si>
    <t>醻</t>
  </si>
  <si>
    <t>讐</t>
  </si>
  <si>
    <t>「讎」的異體字。</t>
  </si>
  <si>
    <t>俦</t>
  </si>
  <si>
    <t>「儔」的異體字。</t>
  </si>
  <si>
    <t>󰀉</t>
  </si>
  <si>
    <t>「丑」的異體字。</t>
  </si>
  <si>
    <t>矁</t>
  </si>
  <si>
    <t>「瞅」的異體字。</t>
  </si>
  <si>
    <t>緾</t>
  </si>
  <si>
    <t>「纏」的異體字。</t>
  </si>
  <si>
    <t>纒</t>
  </si>
  <si>
    <t>讇</t>
  </si>
  <si>
    <t>「諂」的異體字。</t>
  </si>
  <si>
    <t>賝</t>
  </si>
  <si>
    <t>「琛」的異體字。</t>
  </si>
  <si>
    <t>󹬳</t>
  </si>
  <si>
    <t>「嗔」的異體字。</t>
  </si>
  <si>
    <t>趻</t>
  </si>
  <si>
    <t>「踸」的異體字。</t>
  </si>
  <si>
    <t>趂</t>
  </si>
  <si>
    <t>「趁」的異體字。</t>
  </si>
  <si>
    <t>称</t>
  </si>
  <si>
    <t>「稱」的異體字。</t>
  </si>
  <si>
    <t>尝</t>
  </si>
  <si>
    <t>「嘗」的異體字。</t>
  </si>
  <si>
    <t>甞</t>
  </si>
  <si>
    <t>㘯</t>
  </si>
  <si>
    <t>「場」的異體字。</t>
  </si>
  <si>
    <t>塲</t>
  </si>
  <si>
    <t>膓</t>
  </si>
  <si>
    <t>「腸」的異體字。</t>
  </si>
  <si>
    <t>厰</t>
  </si>
  <si>
    <t>「廠」的異體字。</t>
  </si>
  <si>
    <t>撑</t>
  </si>
  <si>
    <t>「撐」的異體字。</t>
  </si>
  <si>
    <t>𣛟</t>
  </si>
  <si>
    <t>「橕」的異體字。</t>
  </si>
  <si>
    <t>䞓</t>
  </si>
  <si>
    <t>「赬」的異體字。</t>
  </si>
  <si>
    <t>頳</t>
  </si>
  <si>
    <t>呈</t>
  </si>
  <si>
    <t>「呈」的異體字。</t>
  </si>
  <si>
    <t>惩</t>
  </si>
  <si>
    <t>「懲」的異體字。</t>
  </si>
  <si>
    <t>蒭</t>
  </si>
  <si>
    <t>「芻」的異體字。</t>
  </si>
  <si>
    <t>鶵</t>
  </si>
  <si>
    <t>「雛」的異體字。</t>
  </si>
  <si>
    <t>厨</t>
  </si>
  <si>
    <t>「廚」的異體字。</t>
  </si>
  <si>
    <t>㕑</t>
  </si>
  <si>
    <t>蹰</t>
  </si>
  <si>
    <t>「躕」的異體字。</t>
  </si>
  <si>
    <t>󻑤</t>
  </si>
  <si>
    <t>「處」的異體字。</t>
  </si>
  <si>
    <t>処</t>
  </si>
  <si>
    <t>䖏</t>
  </si>
  <si>
    <t>椘</t>
  </si>
  <si>
    <t>「楚」的異體字。</t>
  </si>
  <si>
    <t>龡</t>
  </si>
  <si>
    <t>「吹」的異體字。</t>
  </si>
  <si>
    <t>󰿀</t>
  </si>
  <si>
    <t>「垂」的異體字。</t>
  </si>
  <si>
    <t>𡍮</t>
  </si>
  <si>
    <t>「川」的異體字。</t>
  </si>
  <si>
    <t>舩</t>
  </si>
  <si>
    <t>「船」的異體字。</t>
  </si>
  <si>
    <t>旾</t>
  </si>
  <si>
    <t>「春」的異體字。</t>
  </si>
  <si>
    <t>湻</t>
  </si>
  <si>
    <t>「淳」的異體字。</t>
  </si>
  <si>
    <t>醕</t>
  </si>
  <si>
    <t>「醇」的異體字。</t>
  </si>
  <si>
    <t>「脣」的異體字。</t>
  </si>
  <si>
    <t>窓</t>
  </si>
  <si>
    <t>「窗」的異體字。</t>
  </si>
  <si>
    <t>牎</t>
  </si>
  <si>
    <t>窻</t>
  </si>
  <si>
    <t>牕</t>
  </si>
  <si>
    <t>牀</t>
  </si>
  <si>
    <t>「床」的異體字。</t>
  </si>
  <si>
    <t>剏</t>
  </si>
  <si>
    <t>「創」的異體字。</t>
  </si>
  <si>
    <t>剙</t>
  </si>
  <si>
    <t>𠘺</t>
  </si>
  <si>
    <t>「充」的異體字。</t>
  </si>
  <si>
    <t>冲</t>
  </si>
  <si>
    <t>「沖」的異體字。</t>
  </si>
  <si>
    <t>瘇</t>
  </si>
  <si>
    <t>「尰」的異體字。</t>
  </si>
  <si>
    <t>师</t>
  </si>
  <si>
    <t>「師」的異體字。</t>
  </si>
  <si>
    <t>𣺯</t>
  </si>
  <si>
    <t>「溼」的異體字。</t>
  </si>
  <si>
    <t>时</t>
  </si>
  <si>
    <t>「時」的異體字。</t>
  </si>
  <si>
    <t>旹</t>
  </si>
  <si>
    <t>实</t>
  </si>
  <si>
    <t>「實」的異體字。</t>
  </si>
  <si>
    <t>㕜</t>
  </si>
  <si>
    <t>「史」的異體字。</t>
  </si>
  <si>
    <t>柹</t>
  </si>
  <si>
    <t>「柿」的異體字。</t>
  </si>
  <si>
    <t>眎</t>
  </si>
  <si>
    <t>「視」的異體字。</t>
  </si>
  <si>
    <t>眡</t>
  </si>
  <si>
    <t>𠀍</t>
  </si>
  <si>
    <t>「世」的異體字。</t>
  </si>
  <si>
    <t>卋</t>
  </si>
  <si>
    <t>昰</t>
  </si>
  <si>
    <t>「是」的異體字。</t>
  </si>
  <si>
    <t>势</t>
  </si>
  <si>
    <t>「勢」的異體字。</t>
  </si>
  <si>
    <t>「適」的異體字。</t>
  </si>
  <si>
    <t>「諡」的異體字。</t>
  </si>
  <si>
    <t>𣏂</t>
  </si>
  <si>
    <t>「殺」的異體字。</t>
  </si>
  <si>
    <t>儍</t>
  </si>
  <si>
    <t>「傻」的異體字。</t>
  </si>
  <si>
    <t>挱</t>
  </si>
  <si>
    <t>「挲」的異體字。</t>
  </si>
  <si>
    <t>󴺣</t>
  </si>
  <si>
    <t>「舌」的異體字。</t>
  </si>
  <si>
    <t>虵</t>
  </si>
  <si>
    <t>「蛇」的異體字。</t>
  </si>
  <si>
    <t>󽽕</t>
  </si>
  <si>
    <t>「色」的異體字。</t>
  </si>
  <si>
    <t>曬</t>
  </si>
  <si>
    <t>「晒」的異體字。</t>
  </si>
  <si>
    <t>󹾬</t>
  </si>
  <si>
    <t>「勺」的異體字。</t>
  </si>
  <si>
    <t>収</t>
  </si>
  <si>
    <t>「收」的異體字。</t>
  </si>
  <si>
    <t>寿</t>
  </si>
  <si>
    <t>「壽」的異體字。</t>
  </si>
  <si>
    <t>𡔽</t>
  </si>
  <si>
    <t>删</t>
  </si>
  <si>
    <t>「刪」的異體字。</t>
  </si>
  <si>
    <t>羴</t>
  </si>
  <si>
    <t>「羶」的異體字。</t>
  </si>
  <si>
    <t>善</t>
  </si>
  <si>
    <t>「善」的異體字。</t>
  </si>
  <si>
    <t>善</t>
  </si>
  <si>
    <t>饍</t>
  </si>
  <si>
    <t>「膳」的異體字。</t>
  </si>
  <si>
    <t>鱓</t>
  </si>
  <si>
    <t>「鱔」的異體字。</t>
  </si>
  <si>
    <t>蟮</t>
  </si>
  <si>
    <t>「蟺」的異體字。</t>
  </si>
  <si>
    <t>昚</t>
  </si>
  <si>
    <t>「慎」的異體字。</t>
  </si>
  <si>
    <t>愼</t>
  </si>
  <si>
    <t>伤</t>
  </si>
  <si>
    <t>「傷」的異體字。</t>
  </si>
  <si>
    <t>声</t>
  </si>
  <si>
    <t>「聲」的異體字。</t>
  </si>
  <si>
    <t>䋲</t>
  </si>
  <si>
    <t>「繩」的異體字。</t>
  </si>
  <si>
    <t>疎</t>
  </si>
  <si>
    <t>「疏」的異體字。</t>
  </si>
  <si>
    <t>踈</t>
  </si>
  <si>
    <t>数</t>
  </si>
  <si>
    <t>「數」的異體字。</t>
  </si>
  <si>
    <t>庻</t>
  </si>
  <si>
    <t>「庶」的異體字。</t>
  </si>
  <si>
    <t>倐</t>
  </si>
  <si>
    <t>「倏」的異體字。</t>
  </si>
  <si>
    <t>𣗳</t>
  </si>
  <si>
    <t>「樹」的異體字。</t>
  </si>
  <si>
    <t>竪</t>
  </si>
  <si>
    <t>「豎」的異體字。</t>
  </si>
  <si>
    <t>矟</t>
  </si>
  <si>
    <t>「槊」的異體字。</t>
  </si>
  <si>
    <t>双</t>
  </si>
  <si>
    <t>「雙」的異體字。</t>
  </si>
  <si>
    <t>热</t>
  </si>
  <si>
    <t>「熱」的異體字。</t>
  </si>
  <si>
    <t>衻</t>
  </si>
  <si>
    <t>「袡」的異體字。</t>
  </si>
  <si>
    <t>髥</t>
  </si>
  <si>
    <t>「髯」的異體字。</t>
  </si>
  <si>
    <t>冄</t>
  </si>
  <si>
    <t>「冉」的異體字。</t>
  </si>
  <si>
    <t>㚩</t>
  </si>
  <si>
    <t>「姌」的異體字。</t>
  </si>
  <si>
    <t>𣑱</t>
  </si>
  <si>
    <t>「染」的異體字。</t>
  </si>
  <si>
    <t>󿮮</t>
  </si>
  <si>
    <t>「壬」的異體字。</t>
  </si>
  <si>
    <t>姙</t>
  </si>
  <si>
    <t>「妊」的異體字。</t>
  </si>
  <si>
    <t>絍</t>
  </si>
  <si>
    <t>「紝」的異體字。</t>
  </si>
  <si>
    <t>刃</t>
  </si>
  <si>
    <t>「刃」的異體字。</t>
  </si>
  <si>
    <t>刄</t>
  </si>
  <si>
    <t>靭</t>
  </si>
  <si>
    <t>「韌」的異體字。</t>
  </si>
  <si>
    <t>袵</t>
  </si>
  <si>
    <t>「衽」的異體字。</t>
  </si>
  <si>
    <t>餁</t>
  </si>
  <si>
    <t>「飪」的異體字。</t>
  </si>
  <si>
    <t>誏</t>
  </si>
  <si>
    <t>「讓」的異體字。</t>
  </si>
  <si>
    <t>𡦗</t>
  </si>
  <si>
    <t>「孺」的異體字。</t>
  </si>
  <si>
    <t>𡦘</t>
  </si>
  <si>
    <t>甤</t>
  </si>
  <si>
    <t>「蕤」的異體字。</t>
  </si>
  <si>
    <t>輭</t>
  </si>
  <si>
    <t>「軟」的異體字。</t>
  </si>
  <si>
    <t>荣</t>
  </si>
  <si>
    <t>「榮」的異體字。</t>
  </si>
  <si>
    <t>宂</t>
  </si>
  <si>
    <t>「冗」的異體字。</t>
  </si>
  <si>
    <t>次</t>
  </si>
  <si>
    <t>「次」的異體字。</t>
  </si>
  <si>
    <t>趦</t>
  </si>
  <si>
    <t>「趑」的異體字。</t>
  </si>
  <si>
    <t>甾</t>
  </si>
  <si>
    <t>「菑」的異體字。</t>
  </si>
  <si>
    <t>頿</t>
  </si>
  <si>
    <t>「髭」的異體字。</t>
  </si>
  <si>
    <t>眦</t>
  </si>
  <si>
    <t>「眥」的異體字。</t>
  </si>
  <si>
    <t>帀</t>
  </si>
  <si>
    <t>「匝」的異體字。</t>
  </si>
  <si>
    <t>桚</t>
  </si>
  <si>
    <t>「拶」的異體字。</t>
  </si>
  <si>
    <t>雑</t>
  </si>
  <si>
    <t>「雜」的異體字。</t>
  </si>
  <si>
    <t>襍</t>
  </si>
  <si>
    <t>󽧨</t>
  </si>
  <si>
    <t>「澤」的異體字。</t>
  </si>
  <si>
    <t>齚</t>
  </si>
  <si>
    <t>「齰」的異體字。</t>
  </si>
  <si>
    <t>灾</t>
  </si>
  <si>
    <t>「災」的異體字。</t>
  </si>
  <si>
    <t>烖</t>
  </si>
  <si>
    <t>竈</t>
  </si>
  <si>
    <t>「灶」的異體字。</t>
  </si>
  <si>
    <t>唣</t>
  </si>
  <si>
    <t>「唕」的異體字。</t>
  </si>
  <si>
    <t>󱎑</t>
  </si>
  <si>
    <t>「奏」的異體字。</t>
  </si>
  <si>
    <t>儧</t>
  </si>
  <si>
    <t>「儹」的異體字。</t>
  </si>
  <si>
    <t>賛</t>
  </si>
  <si>
    <t>「贊」的異體字。</t>
  </si>
  <si>
    <t>賍</t>
  </si>
  <si>
    <t>「贓」的異體字。</t>
  </si>
  <si>
    <t>贜</t>
  </si>
  <si>
    <t>塟</t>
  </si>
  <si>
    <t>「葬」的異體字。</t>
  </si>
  <si>
    <t>䘚</t>
  </si>
  <si>
    <t>「卒」的異體字。</t>
  </si>
  <si>
    <t>䘒</t>
  </si>
  <si>
    <t>「脧」的異體字。</t>
  </si>
  <si>
    <t>㝡</t>
  </si>
  <si>
    <t>「最」的異體字。</t>
  </si>
  <si>
    <t>酔</t>
  </si>
  <si>
    <t>「醉」的異體字。</t>
  </si>
  <si>
    <t>辠</t>
  </si>
  <si>
    <t>「罪」的異體字。</t>
  </si>
  <si>
    <t>罇</t>
  </si>
  <si>
    <t>「樽」的異體字。</t>
  </si>
  <si>
    <t>椶</t>
  </si>
  <si>
    <t>「棕」的異體字。</t>
  </si>
  <si>
    <t>㯶</t>
  </si>
  <si>
    <t>嵸</t>
  </si>
  <si>
    <t>「嵷」的異體字。</t>
  </si>
  <si>
    <t>踪</t>
  </si>
  <si>
    <t>「蹤」的異體字。</t>
  </si>
  <si>
    <t>騌</t>
  </si>
  <si>
    <t>「騣」的異體字。</t>
  </si>
  <si>
    <t>偬</t>
  </si>
  <si>
    <t>「傯」的異體字。</t>
  </si>
  <si>
    <t>愡</t>
  </si>
  <si>
    <t>「憁」的異體字。</t>
  </si>
  <si>
    <t>捴</t>
  </si>
  <si>
    <t>「摠」的異體字。</t>
  </si>
  <si>
    <t>揔</t>
  </si>
  <si>
    <t>総</t>
  </si>
  <si>
    <t>「總」的異體字。</t>
  </si>
  <si>
    <t>从</t>
  </si>
  <si>
    <t>「從」的異體字。</t>
  </si>
  <si>
    <t>従</t>
  </si>
  <si>
    <t>䛐</t>
  </si>
  <si>
    <t>「詞」的異體字。</t>
  </si>
  <si>
    <t>甆</t>
  </si>
  <si>
    <t>「瓷」的異體字。</t>
  </si>
  <si>
    <t>糍</t>
  </si>
  <si>
    <t>「餈」的異體字。</t>
  </si>
  <si>
    <t>慈</t>
  </si>
  <si>
    <t>「慈」的異體字。</t>
  </si>
  <si>
    <t>鷀</t>
  </si>
  <si>
    <t>「鶿」的異體字。</t>
  </si>
  <si>
    <t>辝</t>
  </si>
  <si>
    <t>「辭」的異體字。</t>
  </si>
  <si>
    <t>辞</t>
  </si>
  <si>
    <t>辤</t>
  </si>
  <si>
    <t>刾</t>
  </si>
  <si>
    <t>「刺」的異體字。</t>
  </si>
  <si>
    <t>厠</t>
  </si>
  <si>
    <t>「廁」的異體字。</t>
  </si>
  <si>
    <t>筞</t>
  </si>
  <si>
    <t>「策」的異體字。</t>
  </si>
  <si>
    <t>󲗦</t>
  </si>
  <si>
    <t>「操」的異體字。</t>
  </si>
  <si>
    <t>󹶁</t>
  </si>
  <si>
    <t>「曹」的異體字。</t>
  </si>
  <si>
    <t>凑</t>
  </si>
  <si>
    <t>「湊」的異體字。</t>
  </si>
  <si>
    <t>「參」的異體字。</t>
  </si>
  <si>
    <t>㕘</t>
  </si>
  <si>
    <t>飡</t>
  </si>
  <si>
    <t>「餐」的異體字。</t>
  </si>
  <si>
    <t>湌</t>
  </si>
  <si>
    <t>慙</t>
  </si>
  <si>
    <t>「慚」的異體字。</t>
  </si>
  <si>
    <t>蚕</t>
  </si>
  <si>
    <t>「蠶」的異體字。</t>
  </si>
  <si>
    <t>麁</t>
  </si>
  <si>
    <t>「麤」的異體字。</t>
  </si>
  <si>
    <t>麄</t>
  </si>
  <si>
    <t>䠞</t>
  </si>
  <si>
    <t>「蹙」的異體字。</t>
  </si>
  <si>
    <t>蹵</t>
  </si>
  <si>
    <t>「蹴」的異體字。</t>
  </si>
  <si>
    <t>顇</t>
  </si>
  <si>
    <t>「悴」的異體字。</t>
  </si>
  <si>
    <t>脃</t>
  </si>
  <si>
    <t>「脆」的異體字。</t>
  </si>
  <si>
    <t>邨</t>
  </si>
  <si>
    <t>「村」的異體字。</t>
  </si>
  <si>
    <t>忩</t>
  </si>
  <si>
    <t>「匆」的異體字。</t>
  </si>
  <si>
    <t>怱</t>
  </si>
  <si>
    <t>悤</t>
  </si>
  <si>
    <t>葱</t>
  </si>
  <si>
    <t>「蔥」的異體字。</t>
  </si>
  <si>
    <t>樷</t>
  </si>
  <si>
    <t>「叢」的異體字。</t>
  </si>
  <si>
    <t>厮</t>
  </si>
  <si>
    <t>「廝」的異體字。</t>
  </si>
  <si>
    <t>㒋</t>
  </si>
  <si>
    <t>「絲」的異體字。</t>
  </si>
  <si>
    <t>𢇁</t>
  </si>
  <si>
    <t>禩</t>
  </si>
  <si>
    <t>「祀」的異體字。</t>
  </si>
  <si>
    <t>󱟶</t>
  </si>
  <si>
    <t>「寺」的異體字。</t>
  </si>
  <si>
    <t>佀</t>
  </si>
  <si>
    <t>「似」的異體字。</t>
  </si>
  <si>
    <t>飤</t>
  </si>
  <si>
    <t>「飼」的異體字。</t>
  </si>
  <si>
    <t>竢</t>
  </si>
  <si>
    <t>「俟」的異體字。</t>
  </si>
  <si>
    <t>弎</t>
  </si>
  <si>
    <t>「三」的異體字。</t>
  </si>
  <si>
    <t>「灑」的異體字。</t>
  </si>
  <si>
    <t>澁</t>
  </si>
  <si>
    <t>「澀」的異體字。</t>
  </si>
  <si>
    <t>顋</t>
  </si>
  <si>
    <t>「腮」的異體字。</t>
  </si>
  <si>
    <t>䑹</t>
  </si>
  <si>
    <t>「艘」的異體字。</t>
  </si>
  <si>
    <t>繅</t>
  </si>
  <si>
    <t>「繅」的異體字。</t>
  </si>
  <si>
    <t>埽</t>
  </si>
  <si>
    <t>「掃」的異體字。</t>
  </si>
  <si>
    <t>㛮</t>
  </si>
  <si>
    <t>「嫂」的異體字。</t>
  </si>
  <si>
    <t>叜</t>
  </si>
  <si>
    <t>「叟」的異體字。</t>
  </si>
  <si>
    <t>䘮</t>
  </si>
  <si>
    <t>「喪」的異體字。</t>
  </si>
  <si>
    <t>苏</t>
  </si>
  <si>
    <t>「蘇」的異體字。</t>
  </si>
  <si>
    <t>㝛</t>
  </si>
  <si>
    <t>「宿」的異體字。</t>
  </si>
  <si>
    <t>粛</t>
  </si>
  <si>
    <t>「肅」的異體字。</t>
  </si>
  <si>
    <t>㴑</t>
  </si>
  <si>
    <t>「溯」的異體字。</t>
  </si>
  <si>
    <t>遡</t>
  </si>
  <si>
    <t>𠩄</t>
  </si>
  <si>
    <t>「所」的異體字。</t>
  </si>
  <si>
    <t>鏁</t>
  </si>
  <si>
    <t>「鎖」的異體字。</t>
  </si>
  <si>
    <t>陏</t>
  </si>
  <si>
    <t>「隋」的異體字。</t>
  </si>
  <si>
    <t>随</t>
  </si>
  <si>
    <t>「隨」的異體字。</t>
  </si>
  <si>
    <t>髄</t>
  </si>
  <si>
    <t>「髓」的異體字。</t>
  </si>
  <si>
    <t>岁</t>
  </si>
  <si>
    <t>「歲」的異體字。</t>
  </si>
  <si>
    <t>󽙠</t>
  </si>
  <si>
    <t>「算」的異體字。</t>
  </si>
  <si>
    <t>飱</t>
  </si>
  <si>
    <t>「飧」的異體字。</t>
  </si>
  <si>
    <t>笋</t>
  </si>
  <si>
    <t>「筍」的異體字。</t>
  </si>
  <si>
    <t>娿</t>
  </si>
  <si>
    <t>「婀」的異體字。</t>
  </si>
  <si>
    <t>󻾹</t>
  </si>
  <si>
    <t>「訛」的異體字。</t>
  </si>
  <si>
    <t>譌</t>
  </si>
  <si>
    <t>峩</t>
  </si>
  <si>
    <t>「峨」的異體字。</t>
  </si>
  <si>
    <t>䖸</t>
  </si>
  <si>
    <t>「蛾」的異體字。</t>
  </si>
  <si>
    <t>鵞</t>
  </si>
  <si>
    <t>「鵝」的異體字。</t>
  </si>
  <si>
    <t>䳘</t>
  </si>
  <si>
    <t>悪</t>
  </si>
  <si>
    <t>「惡」的異體字。</t>
  </si>
  <si>
    <t>歺</t>
  </si>
  <si>
    <t>「歹」的異體字。</t>
  </si>
  <si>
    <t>󰨳</t>
  </si>
  <si>
    <t>「厄」的異體字。</t>
  </si>
  <si>
    <t>󽾱</t>
  </si>
  <si>
    <t>㧖</t>
  </si>
  <si>
    <t>「扼」的異體字。</t>
  </si>
  <si>
    <t>阸</t>
  </si>
  <si>
    <t>「阨」的異體字。</t>
  </si>
  <si>
    <t>腭</t>
  </si>
  <si>
    <t>「齶」的異體字。</t>
  </si>
  <si>
    <t>唖</t>
  </si>
  <si>
    <t>「啞」的異體字。</t>
  </si>
  <si>
    <t>鰐</t>
  </si>
  <si>
    <t>「鱷」的異體字。</t>
  </si>
  <si>
    <t>碍</t>
  </si>
  <si>
    <t>「礙」的異體字。</t>
  </si>
  <si>
    <t>󻔥</t>
  </si>
  <si>
    <t>「敖」的異體字。</t>
  </si>
  <si>
    <t>󲛭</t>
  </si>
  <si>
    <t>翶</t>
  </si>
  <si>
    <t>「翱」的異體字。</t>
  </si>
  <si>
    <t>抝</t>
  </si>
  <si>
    <t>「拗」的異體字。</t>
  </si>
  <si>
    <t>袄</t>
  </si>
  <si>
    <t>「襖」的異體字。</t>
  </si>
  <si>
    <t>慠</t>
  </si>
  <si>
    <t>「傲」的異體字。</t>
  </si>
  <si>
    <t>轜</t>
  </si>
  <si>
    <t>「輀」的異體字。</t>
  </si>
  <si>
    <t>尔</t>
  </si>
  <si>
    <t>「爾」的異體字。</t>
  </si>
  <si>
    <t>迩</t>
  </si>
  <si>
    <t>「邇」的異體字。</t>
  </si>
  <si>
    <t>弍</t>
  </si>
  <si>
    <t>「二」的異體字。</t>
  </si>
  <si>
    <t>弌</t>
  </si>
  <si>
    <t>「一」的異體字。</t>
  </si>
  <si>
    <t>医</t>
  </si>
  <si>
    <t>「醫」的異體字。</t>
  </si>
  <si>
    <t>󽙹</t>
  </si>
  <si>
    <t>「益」的異體字。</t>
  </si>
  <si>
    <t>仪</t>
  </si>
  <si>
    <t>「儀」的異體字。</t>
  </si>
  <si>
    <t>彛</t>
  </si>
  <si>
    <t>「彞」的異體字。</t>
  </si>
  <si>
    <t>釶</t>
  </si>
  <si>
    <t>「釔」的異體字。</t>
  </si>
  <si>
    <t>㕥</t>
  </si>
  <si>
    <t>「以」的異體字。</t>
  </si>
  <si>
    <t>㠯</t>
  </si>
  <si>
    <t>苢</t>
  </si>
  <si>
    <t>「苡」的異體字。</t>
  </si>
  <si>
    <t>蚁</t>
  </si>
  <si>
    <t>「蟻」的異體字。</t>
  </si>
  <si>
    <t>「藝」的異體字。</t>
  </si>
  <si>
    <t>󵊼</t>
  </si>
  <si>
    <t>义</t>
  </si>
  <si>
    <t>「義」的異體字。</t>
  </si>
  <si>
    <t>&amp;9677._104_0.gif;</t>
  </si>
  <si>
    <t>「議」的異體字。</t>
  </si>
  <si>
    <t>「臆」的異體字。</t>
  </si>
  <si>
    <t>鵶</t>
  </si>
  <si>
    <t>「鴉」的異體字。</t>
  </si>
  <si>
    <t>亜</t>
  </si>
  <si>
    <t>「亞」的異體字。</t>
  </si>
  <si>
    <t>压</t>
  </si>
  <si>
    <t>「壓」的異體字。</t>
  </si>
  <si>
    <t>瘂</t>
  </si>
  <si>
    <t>䝟</t>
  </si>
  <si>
    <t>「猰」的異體字。</t>
  </si>
  <si>
    <t>鋣</t>
  </si>
  <si>
    <t>「釾」的異體字。</t>
  </si>
  <si>
    <t>壄</t>
  </si>
  <si>
    <t>「野」的異體字。</t>
  </si>
  <si>
    <t>亱</t>
  </si>
  <si>
    <t>「夜」的異體字。</t>
  </si>
  <si>
    <t>爗</t>
  </si>
  <si>
    <t>「燁」的異體字。</t>
  </si>
  <si>
    <t>曅</t>
  </si>
  <si>
    <t>「曄」的異體字。</t>
  </si>
  <si>
    <t>擪</t>
  </si>
  <si>
    <t>「擫」的異體字。</t>
  </si>
  <si>
    <t>「么」的異體字。</t>
  </si>
  <si>
    <t>窰</t>
  </si>
  <si>
    <t>「窯」的異體字。</t>
  </si>
  <si>
    <t>齩</t>
  </si>
  <si>
    <t>「咬」的異體字。</t>
  </si>
  <si>
    <t>「藥」的異體字。</t>
  </si>
  <si>
    <t>「優」的異體字。</t>
  </si>
  <si>
    <t>肬</t>
  </si>
  <si>
    <t>「疣」的異體字。</t>
  </si>
  <si>
    <t>㳺</t>
  </si>
  <si>
    <t>「游」的異體字。</t>
  </si>
  <si>
    <t>逰</t>
  </si>
  <si>
    <t>「遊」的異體字。</t>
  </si>
  <si>
    <t>犹</t>
  </si>
  <si>
    <t>「猶」的異體字。</t>
  </si>
  <si>
    <t>丣</t>
  </si>
  <si>
    <t>「酉」的異體字。</t>
  </si>
  <si>
    <t>烟</t>
  </si>
  <si>
    <t>「煙」的異體字。</t>
  </si>
  <si>
    <t>懕</t>
  </si>
  <si>
    <t>「懨」的異體字。</t>
  </si>
  <si>
    <t>姸</t>
  </si>
  <si>
    <t>「妍」的異體字。</t>
  </si>
  <si>
    <t>硏</t>
  </si>
  <si>
    <t>「研」的異體字。</t>
  </si>
  <si>
    <t>揅</t>
  </si>
  <si>
    <t>「揅」的異體字。</t>
  </si>
  <si>
    <t>鳽</t>
  </si>
  <si>
    <t>「鳽」的異體字。</t>
  </si>
  <si>
    <t>㳂</t>
  </si>
  <si>
    <t>「沿」的異體字。</t>
  </si>
  <si>
    <t>󹹵</t>
  </si>
  <si>
    <t>沿</t>
  </si>
  <si>
    <t>塩</t>
  </si>
  <si>
    <t>「鹽」的異體字。</t>
  </si>
  <si>
    <t>鼹</t>
  </si>
  <si>
    <t>「鼴」的異體字。</t>
  </si>
  <si>
    <t>檿</t>
  </si>
  <si>
    <t>「𣝓」的異體字。</t>
  </si>
  <si>
    <t>彦</t>
  </si>
  <si>
    <t>「彥」的異體字。</t>
  </si>
  <si>
    <t>贋</t>
  </si>
  <si>
    <t>「贗」的異體字。</t>
  </si>
  <si>
    <t>㦔</t>
  </si>
  <si>
    <t>「厭」的異體字。</t>
  </si>
  <si>
    <t>騐</t>
  </si>
  <si>
    <t>「驗」的異體字。</t>
  </si>
  <si>
    <t>艳</t>
  </si>
  <si>
    <t>「豔」的異體字。</t>
  </si>
  <si>
    <t>艶</t>
  </si>
  <si>
    <t>艷</t>
  </si>
  <si>
    <t>灧</t>
  </si>
  <si>
    <t>「灩」的異體字。</t>
  </si>
  <si>
    <t>婣</t>
  </si>
  <si>
    <t>「姻」的異體字。</t>
  </si>
  <si>
    <t>囙</t>
  </si>
  <si>
    <t>「因」的異體字。</t>
  </si>
  <si>
    <t>陻</t>
  </si>
  <si>
    <t>「堙」的異體字。</t>
  </si>
  <si>
    <t>隂</t>
  </si>
  <si>
    <t>「陰」的異體字。</t>
  </si>
  <si>
    <t>㱃</t>
  </si>
  <si>
    <t>「飲」的異體字。</t>
  </si>
  <si>
    <t>隐</t>
  </si>
  <si>
    <t>「隱」的異體字。</t>
  </si>
  <si>
    <t>憗</t>
  </si>
  <si>
    <t>「憖」的異體字。</t>
  </si>
  <si>
    <t>󽘗</t>
  </si>
  <si>
    <t>「養」的異體字。</t>
  </si>
  <si>
    <t>「癢」的異體字。</t>
  </si>
  <si>
    <t>鸎</t>
  </si>
  <si>
    <t>「鶯」的異體字。</t>
  </si>
  <si>
    <t>应</t>
  </si>
  <si>
    <t>「應」的異體字。</t>
  </si>
  <si>
    <t>迊</t>
  </si>
  <si>
    <t>「迎」的異體字。</t>
  </si>
  <si>
    <t>籝</t>
  </si>
  <si>
    <t>「籯」的異體字。</t>
  </si>
  <si>
    <t>󵒽</t>
  </si>
  <si>
    <t>「蠅」的異體字。</t>
  </si>
  <si>
    <t>頴</t>
  </si>
  <si>
    <t>「穎」的異體字。</t>
  </si>
  <si>
    <t>暎</t>
  </si>
  <si>
    <t>「映」的異體字。</t>
  </si>
  <si>
    <t>汚</t>
  </si>
  <si>
    <t>「汙」的異體字。</t>
  </si>
  <si>
    <t>兦</t>
  </si>
  <si>
    <t>「亡」的異體字。</t>
  </si>
  <si>
    <t>吴</t>
  </si>
  <si>
    <t>「吳」的異體字。</t>
  </si>
  <si>
    <t>「無」的異體字。</t>
  </si>
  <si>
    <t>𠨜</t>
  </si>
  <si>
    <t>「卼」的異體字。</t>
  </si>
  <si>
    <t>悞</t>
  </si>
  <si>
    <t>「誤」的異體字。</t>
  </si>
  <si>
    <t>󵡝</t>
  </si>
  <si>
    <t>鼃</t>
  </si>
  <si>
    <t>「蛙」的異體字。</t>
  </si>
  <si>
    <t>󷏄</t>
  </si>
  <si>
    <t>「嗢」的異體字。</t>
  </si>
  <si>
    <t>「襪」的異體字。</t>
  </si>
  <si>
    <t>𥿉</t>
  </si>
  <si>
    <t>韈</t>
  </si>
  <si>
    <t>韤</t>
  </si>
  <si>
    <t>卧</t>
  </si>
  <si>
    <t>「臥」的異體字。</t>
  </si>
  <si>
    <t>爲</t>
  </si>
  <si>
    <t>「為」的異體字。</t>
  </si>
  <si>
    <t>󸶭</t>
  </si>
  <si>
    <t>「鄬」的異體字。</t>
  </si>
  <si>
    <t>囲</t>
  </si>
  <si>
    <t>「圍」的異體字。</t>
  </si>
  <si>
    <t>蔿</t>
  </si>
  <si>
    <t>「蒍」的異體字。</t>
  </si>
  <si>
    <t>僞</t>
  </si>
  <si>
    <t>「偽」的異體字。</t>
  </si>
  <si>
    <t>餧</t>
  </si>
  <si>
    <t>「餵」的異體字。</t>
  </si>
  <si>
    <t>猬</t>
  </si>
  <si>
    <t>「蝟」的異體字。</t>
  </si>
  <si>
    <t>衞</t>
  </si>
  <si>
    <t>「衛」的異體字。</t>
  </si>
  <si>
    <t>弯</t>
  </si>
  <si>
    <t>「彎」的異體字。</t>
  </si>
  <si>
    <t>湾</t>
  </si>
  <si>
    <t>「灣」的異體字。</t>
  </si>
  <si>
    <t>丸</t>
  </si>
  <si>
    <t>「丸」的異體字。</t>
  </si>
  <si>
    <t>盌</t>
  </si>
  <si>
    <t>「碗」的異體字。</t>
  </si>
  <si>
    <t>椀</t>
  </si>
  <si>
    <t>「萬」的異體字。</t>
  </si>
  <si>
    <t>温</t>
  </si>
  <si>
    <t>「溫」的異體字。</t>
  </si>
  <si>
    <t>「文」的異體字。</t>
  </si>
  <si>
    <t>蚉</t>
  </si>
  <si>
    <t>「蚊」的異體字。</t>
  </si>
  <si>
    <t>螡</t>
  </si>
  <si>
    <t>脗</t>
  </si>
  <si>
    <t>「吻」的異體字。</t>
  </si>
  <si>
    <t>稳</t>
  </si>
  <si>
    <t>「穩」的異體字。</t>
  </si>
  <si>
    <t>尩</t>
  </si>
  <si>
    <t>「尪」的異體字。</t>
  </si>
  <si>
    <t>𦊀</t>
  </si>
  <si>
    <t>「罔」的異體字。</t>
  </si>
  <si>
    <t>䋄</t>
  </si>
  <si>
    <t>「網」的異體字。</t>
  </si>
  <si>
    <t>徃</t>
  </si>
  <si>
    <t>「往」的異體字。</t>
  </si>
  <si>
    <t>亏</t>
  </si>
  <si>
    <t>「于」的異體字。</t>
  </si>
  <si>
    <t>伃</t>
  </si>
  <si>
    <t>「妤」的異體字。</t>
  </si>
  <si>
    <t>扵</t>
  </si>
  <si>
    <t>「於」的異體字。</t>
  </si>
  <si>
    <t>󹽭</t>
  </si>
  <si>
    <t>「與」的異體字。</t>
  </si>
  <si>
    <t>欤</t>
  </si>
  <si>
    <t>「歟」的異體字。</t>
  </si>
  <si>
    <t>娱</t>
  </si>
  <si>
    <t>「娛」的異體字。</t>
  </si>
  <si>
    <t>󿽆</t>
  </si>
  <si>
    <t>「羽」的異體字。</t>
  </si>
  <si>
    <t>育</t>
  </si>
  <si>
    <t>「育」的異體字。</t>
  </si>
  <si>
    <t>喩</t>
  </si>
  <si>
    <t>「喻」的異體字。</t>
  </si>
  <si>
    <t>㽣</t>
  </si>
  <si>
    <t>「域」的異體字。</t>
  </si>
  <si>
    <t>籞</t>
  </si>
  <si>
    <t>「篽」的異體字。</t>
  </si>
  <si>
    <t>誉</t>
  </si>
  <si>
    <t>「譽」的異體字。</t>
  </si>
  <si>
    <t>欝</t>
  </si>
  <si>
    <t>「鬱」的異體字。</t>
  </si>
  <si>
    <t>龥</t>
  </si>
  <si>
    <t>「籲」的異體字。</t>
  </si>
  <si>
    <t>寃</t>
  </si>
  <si>
    <t>「冤」的異體字。</t>
  </si>
  <si>
    <t>渊</t>
  </si>
  <si>
    <t>「淵」的異體字。</t>
  </si>
  <si>
    <t>「黿」的異體字。</t>
  </si>
  <si>
    <t>󰻾</t>
  </si>
  <si>
    <t>「園」的異體字。</t>
  </si>
  <si>
    <t>猨</t>
  </si>
  <si>
    <t>「猿」的異體字。</t>
  </si>
  <si>
    <t>貟</t>
  </si>
  <si>
    <t>「員」的異體字。</t>
  </si>
  <si>
    <t>园</t>
  </si>
  <si>
    <t>「圓」的異體字。</t>
  </si>
  <si>
    <t>縁</t>
  </si>
  <si>
    <t>「緣」的異體字。</t>
  </si>
  <si>
    <t>远</t>
  </si>
  <si>
    <t>「遠」的異體字。</t>
  </si>
  <si>
    <t>逺</t>
  </si>
  <si>
    <t>匀</t>
  </si>
  <si>
    <t>「勻」的異體字。</t>
  </si>
  <si>
    <t>󼵺</t>
  </si>
  <si>
    <t>「隕」的異體字。</t>
  </si>
  <si>
    <t>韵</t>
  </si>
  <si>
    <t>「韻」的異體字。</t>
  </si>
  <si>
    <t>愠</t>
  </si>
  <si>
    <t>「慍」的異體字。</t>
  </si>
  <si>
    <t>藴</t>
  </si>
  <si>
    <t>「蘊」的異體字。</t>
  </si>
  <si>
    <t>咏</t>
  </si>
  <si>
    <t>「詠」的異體字。</t>
  </si>
  <si>
    <t>[名]
人名用字。如南朝有謝朓。</t>
  </si>
  <si>
    <t>(一)ㄊㄧㄠˇ tiǎo（02692）</t>
  </si>
  <si>
    <t>參見「屯留縣」條。</t>
  </si>
  <si>
    <t>(一)ㄊㄨㄣˊ tún（02869）(二)ㄓㄨㄣ zhūn（08106）</t>
  </si>
  <si>
    <t>(一)ㄌㄟˇ lěi（03236）</t>
  </si>
  <si>
    <t>[名]
柱上方木。</t>
  </si>
  <si>
    <t>(二)ㄓㄨˇ zhǔ（07978）</t>
  </si>
  <si>
    <t>[名]
姓。出絳州。如唐有郇模。</t>
  </si>
  <si>
    <t>(二)ㄒㄩㄣˊ xún（07416）</t>
  </si>
  <si>
    <t>厘</t>
  </si>
  <si>
    <t>參見「厘米」條。</t>
  </si>
  <si>
    <t>[動]喘氣。同「喘」。《說文解字．欠部》：「歂，口气引也。」《南齊書．卷四一．周顒傳》：「歂彼弱麑，顧步宜愍。」</t>
  </si>
  <si>
    <t>(二)（(一)之又音）ㄔㄨㄢˊ chuán（08623）</t>
  </si>
  <si>
    <t>箬</t>
  </si>
  <si>
    <t>[名]
1.竹皮。「篛」的本字。《說文解字．竹部》：「箬，楚謂竹皮曰箬。」
2.竹名。稈細柱形，高約一公尺，葉片很大，可包粽子及做斗笠等。同「篛」。《玉篇．竹部》：「箬，竹大葉。」
3.箬竹的葉子。同「篛」。唐．柳宗元〈柳州峒氓〉詩：「青箬裹鹽歸峒客，綠荷包飯趁虛人。」</t>
  </si>
  <si>
    <t>「釐」的異體字。</t>
  </si>
  <si>
    <t>塼</t>
  </si>
  <si>
    <t>1.陶製紡錘。《詩經．小雅．斯干》：「載弄之瓦。」漢．毛亨．傳：「瓦，紡塼也。」《後漢書．卷八四．列女傳．曹世叔妻》：「古者生女三日，臥之床下，弄之瓦塼，而齋告焉。」
2.用土坯燒成的建材。同「磚」。南朝宋．謝惠連〈祭古冢文并序〉：「東府掘城北塹，入丈餘，得古冢，上無封域，不用塼甓，以木為槨。」《梁書．卷五四．諸夷列傳．海南諸國》：「其國累塼為城，重門樓閣。」</t>
  </si>
  <si>
    <t>瘜</t>
  </si>
  <si>
    <t>一種因黏膜異常而形成的突起物。多發生在鼻腔或腸道內。病因不明，僅知有遺傳性和非遺傳性之分。段注本《說文解字．疒部》：「瘜，寄肉也。」清．段玉裁．注：「息肉即瘜肉。」</t>
  </si>
  <si>
    <t>瀽</t>
  </si>
  <si>
    <t>傾、倒。元．關漢卿〈溫太真玉鏡臺〉第一折：「我欲說話瀽無甚伎倆，把一瀽酒瀽一半在階基上。」元．李壽卿〈臨江驛瀟湘秋夜雨》第三折：「忽聽的摧林怪風鼓，更那堪瓮瀽盆傾驟雨。」元．鄭廷玉〈呂洞賓三醉岳陽樓〉第二折：「打的我死狗兒彎足全，青泥也腐爛，頭披也髻散。呀，葫蘆裡瀽了些靈丹。」</t>
  </si>
  <si>
    <t>參見「羧酸」條。</t>
  </si>
  <si>
    <t>[動]_x000D_
至靈前弔唁。《左傳．宣公十二年》：「鄭人卜行成，不吉。卜臨于大宮，且巷出車，吉。」晉．杜預．注：「臨，哭也。」《史記．卷八．高祖本紀》：「漢王聞之，袒而大哭。遂為義帝發喪，臨三日。」後泛指哀悼。漢．文帝〈遺詔〉：「今乃幸以天年，得復供養于高廟。朕之不明與，嘉之，其奚哀念之有？其令天下吏民，令到，出臨三日，皆釋服。」</t>
  </si>
  <si>
    <t>趖</t>
  </si>
  <si>
    <t>1.疾走的樣子。《玉篇．走部》：「趖，走貌。」_x000D_
2.下墜、落下。五代十國．歐陽炯〈南鄉子．袖斂鮫綃〉詞：「鋪葵席，豆蔲花間趖晚日。」《儒林外史》第二六回：「又慢慢梳頭、洗臉、穿衣服，直弄到日頭趖西纔清白。」清．陳維崧〈醉花陰．滿院黃花趖白晝〉詞：「滿院黃花趖白晝，絲雨篩銅獸。」_x000D_
3.參見「鼎邊趖」條。</t>
  </si>
  <si>
    <t>[名]_x000D_
參見「吡啶」條。</t>
  </si>
  <si>
    <t>[名]_x000D_
地名用字。如臺北市萬華區有加蚋。</t>
  </si>
  <si>
    <t>異體字</t>
    <phoneticPr fontId="18" type="noConversion"/>
  </si>
  <si>
    <t>Zhuyin1</t>
  </si>
  <si>
    <t>Zhuyin2</t>
  </si>
  <si>
    <t>Zhuyin3</t>
  </si>
  <si>
    <t>Zhuyin0</t>
  </si>
  <si>
    <t>˙</t>
  </si>
  <si>
    <t>ㄅ</t>
  </si>
  <si>
    <t>ㄟ</t>
  </si>
  <si>
    <t>ㄆ</t>
  </si>
  <si>
    <t>ㄇ</t>
  </si>
  <si>
    <t>ㄉ</t>
  </si>
  <si>
    <t>ㄊ</t>
  </si>
  <si>
    <t>ㄋ</t>
  </si>
  <si>
    <t>ㄌ</t>
  </si>
  <si>
    <t>ㄍ</t>
  </si>
  <si>
    <t>ㄏ</t>
  </si>
  <si>
    <t>ㄑ</t>
  </si>
  <si>
    <t/>
  </si>
  <si>
    <t>ㄝ</t>
  </si>
  <si>
    <t>Zhuyin4</t>
  </si>
  <si>
    <t>ˋ</t>
  </si>
  <si>
    <t>ˊ</t>
  </si>
  <si>
    <t>ˇ</t>
  </si>
  <si>
    <t>詞類 (word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</si>
</sst>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2"/>
      <color theme="1"/>
      <name val="Aptos Narrow"/>
      <family val="2"/>
      <charset val="136"/>
      <scheme val="minor"/>
    </font>
    <font>
      <sz val="12"/>
      <color theme="1"/>
      <name val="Aptos Narrow"/>
      <family val="2"/>
      <charset val="136"/>
      <scheme val="minor"/>
    </font>
    <font>
      <sz val="18"/>
      <color theme="3"/>
      <name val="Aptos Display"/>
      <family val="2"/>
      <charset val="136"/>
      <scheme val="major"/>
    </font>
    <font>
      <b/>
      <sz val="15"/>
      <color theme="3"/>
      <name val="Aptos Narrow"/>
      <family val="2"/>
      <charset val="136"/>
      <scheme val="minor"/>
    </font>
    <font>
      <b/>
      <sz val="13"/>
      <color theme="3"/>
      <name val="Aptos Narrow"/>
      <family val="2"/>
      <charset val="136"/>
      <scheme val="minor"/>
    </font>
    <font>
      <b/>
      <sz val="11"/>
      <color theme="3"/>
      <name val="Aptos Narrow"/>
      <family val="2"/>
      <charset val="136"/>
      <scheme val="minor"/>
    </font>
    <font>
      <sz val="12"/>
      <color rgb="FF006100"/>
      <name val="Aptos Narrow"/>
      <family val="2"/>
      <charset val="136"/>
      <scheme val="minor"/>
    </font>
    <font>
      <sz val="12"/>
      <color rgb="FF9C0006"/>
      <name val="Aptos Narrow"/>
      <family val="2"/>
      <charset val="136"/>
      <scheme val="minor"/>
    </font>
    <font>
      <sz val="12"/>
      <color rgb="FF9C5700"/>
      <name val="Aptos Narrow"/>
      <family val="2"/>
      <charset val="136"/>
      <scheme val="minor"/>
    </font>
    <font>
      <sz val="12"/>
      <color rgb="FF3F3F76"/>
      <name val="Aptos Narrow"/>
      <family val="2"/>
      <charset val="136"/>
      <scheme val="minor"/>
    </font>
    <font>
      <b/>
      <sz val="12"/>
      <color rgb="FF3F3F3F"/>
      <name val="Aptos Narrow"/>
      <family val="2"/>
      <charset val="136"/>
      <scheme val="minor"/>
    </font>
    <font>
      <b/>
      <sz val="12"/>
      <color rgb="FFFA7D00"/>
      <name val="Aptos Narrow"/>
      <family val="2"/>
      <charset val="136"/>
      <scheme val="minor"/>
    </font>
    <font>
      <sz val="12"/>
      <color rgb="FFFA7D00"/>
      <name val="Aptos Narrow"/>
      <family val="2"/>
      <charset val="136"/>
      <scheme val="minor"/>
    </font>
    <font>
      <b/>
      <sz val="12"/>
      <color theme="0"/>
      <name val="Aptos Narrow"/>
      <family val="2"/>
      <charset val="136"/>
      <scheme val="minor"/>
    </font>
    <font>
      <sz val="12"/>
      <color rgb="FFFF0000"/>
      <name val="Aptos Narrow"/>
      <family val="2"/>
      <charset val="136"/>
      <scheme val="minor"/>
    </font>
    <font>
      <i/>
      <sz val="12"/>
      <color rgb="FF7F7F7F"/>
      <name val="Aptos Narrow"/>
      <family val="2"/>
      <charset val="136"/>
      <scheme val="minor"/>
    </font>
    <font>
      <b/>
      <sz val="12"/>
      <color theme="1"/>
      <name val="Aptos Narrow"/>
      <family val="2"/>
      <charset val="136"/>
      <scheme val="minor"/>
    </font>
    <font>
      <sz val="12"/>
      <color theme="0"/>
      <name val="Aptos Narrow"/>
      <family val="2"/>
      <charset val="136"/>
      <scheme val="minor"/>
    </font>
    <font>
      <sz val="9"/>
      <name val="Aptos Narrow"/>
      <family val="2"/>
      <charset val="136"/>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xf>
    <xf numFmtId="0" fontId="0" fillId="33" borderId="0" xfId="0" applyFill="1" applyAlignment="1">
      <alignment vertical="center"/>
    </xf>
    <xf numFmtId="0" fontId="0" fillId="34" borderId="0" xfId="0" applyFill="1" applyAlignment="1">
      <alignment vertical="center"/>
    </xf>
    <xf numFmtId="0" fontId="0" fillId="0" borderId="0" xfId="0" applyAlignment="1">
      <alignmen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21D23-FEE1-4508-9548-F8E6D0181F70}">
  <sheetPr filterMode="1"/>
  <dimension ref="A1:AR13418"/>
  <sheetViews>
    <sheetView tabSelected="1" topLeftCell="B1" workbookViewId="0">
      <pane ySplit="1" topLeftCell="A2047" activePane="bottomLeft" state="frozen"/>
      <selection pane="bottomLeft" activeCell="AR2061" sqref="AR2061"/>
    </sheetView>
  </sheetViews>
  <sheetFormatPr defaultColWidth="9" defaultRowHeight="16.2"/>
  <cols>
    <col min="1" max="14" width="9" style="1"/>
    <col min="15" max="17" width="9" style="1" hidden="1" customWidth="1"/>
    <col min="18" max="18" width="9" style="1" customWidth="1"/>
    <col min="19" max="21" width="9" style="1" hidden="1" customWidth="1"/>
    <col min="22" max="22" width="46.21875" style="1" customWidth="1"/>
    <col min="23" max="43" width="0" style="1" hidden="1" customWidth="1"/>
    <col min="44" max="16384" width="9" style="1"/>
  </cols>
  <sheetData>
    <row r="1" spans="1:44">
      <c r="A1" s="1" t="s">
        <v>0</v>
      </c>
      <c r="B1" s="1" t="s">
        <v>1</v>
      </c>
      <c r="C1" s="1" t="s">
        <v>2</v>
      </c>
      <c r="D1" s="1" t="s">
        <v>3</v>
      </c>
      <c r="E1" s="1" t="s">
        <v>4</v>
      </c>
      <c r="F1" s="1" t="s">
        <v>5</v>
      </c>
      <c r="G1" s="1" t="s">
        <v>6</v>
      </c>
      <c r="H1" s="1" t="s">
        <v>7</v>
      </c>
      <c r="I1" s="1" t="s">
        <v>8</v>
      </c>
      <c r="J1" s="1" t="s">
        <v>30558</v>
      </c>
      <c r="K1" s="1" t="s">
        <v>30555</v>
      </c>
      <c r="L1" s="1" t="s">
        <v>30556</v>
      </c>
      <c r="M1" s="1" t="s">
        <v>30557</v>
      </c>
      <c r="N1" s="1" t="s">
        <v>30573</v>
      </c>
      <c r="O1" s="1" t="s">
        <v>30577</v>
      </c>
      <c r="P1" s="1" t="s">
        <v>9</v>
      </c>
      <c r="Q1" s="1" t="s">
        <v>10</v>
      </c>
      <c r="R1" s="1" t="s">
        <v>11</v>
      </c>
      <c r="S1" s="1" t="s">
        <v>12</v>
      </c>
      <c r="T1" s="1" t="s">
        <v>13</v>
      </c>
      <c r="U1" s="1" t="s">
        <v>14</v>
      </c>
      <c r="V1" s="1" t="s">
        <v>15</v>
      </c>
      <c r="W1" s="1" t="s">
        <v>16</v>
      </c>
      <c r="X1" s="1" t="s">
        <v>30554</v>
      </c>
    </row>
    <row r="2" spans="1:44" hidden="1">
      <c r="A2" s="1" t="s">
        <v>27840</v>
      </c>
      <c r="C2" s="1">
        <v>1</v>
      </c>
      <c r="D2" s="1" t="str">
        <f>"00031-1"</f>
        <v>00031-1</v>
      </c>
      <c r="E2" s="1" t="s">
        <v>118</v>
      </c>
      <c r="F2" s="1">
        <v>10</v>
      </c>
      <c r="G2" s="1">
        <v>5</v>
      </c>
      <c r="H2" s="1">
        <v>0</v>
      </c>
      <c r="K2" s="1" t="str">
        <f t="shared" ref="K2:K65" si="0">LEFT(I2, 1)</f>
        <v/>
      </c>
      <c r="L2" s="1" t="str">
        <f t="shared" ref="L2:L65" si="1">MID(I2, 2, 1)</f>
        <v/>
      </c>
      <c r="M2" s="1" t="str">
        <f t="shared" ref="M2:M65" si="2">MID(I2, 3, 1)</f>
        <v/>
      </c>
      <c r="P2" s="1" t="s">
        <v>20</v>
      </c>
      <c r="V2" s="1" t="s">
        <v>27841</v>
      </c>
      <c r="X2" s="1" t="s">
        <v>27842</v>
      </c>
      <c r="AR2" s="1" t="str">
        <f>"| ["&amp;I2&amp;"]("&amp;I2&amp;".md) | ["&amp;A2&amp;"]("&amp;A2&amp;".md) | "&amp;" | "&amp;R2&amp;" | "&amp;V2&amp;" |"</f>
        <v>| [](.md) | [罢](罢.md) |  |  | 「罷」的異體字。 |</v>
      </c>
    </row>
    <row r="3" spans="1:44" hidden="1">
      <c r="A3" s="1" t="s">
        <v>27843</v>
      </c>
      <c r="C3" s="1">
        <v>1</v>
      </c>
      <c r="D3" s="1" t="str">
        <f>"00033-1"</f>
        <v>00033-1</v>
      </c>
      <c r="E3" s="1" t="s">
        <v>4317</v>
      </c>
      <c r="F3" s="1">
        <v>19</v>
      </c>
      <c r="G3" s="1">
        <v>13</v>
      </c>
      <c r="H3" s="1">
        <v>0</v>
      </c>
      <c r="K3" s="1" t="str">
        <f t="shared" si="0"/>
        <v/>
      </c>
      <c r="L3" s="1" t="str">
        <f t="shared" si="1"/>
        <v/>
      </c>
      <c r="M3" s="1" t="str">
        <f t="shared" si="2"/>
        <v/>
      </c>
      <c r="P3" s="1" t="s">
        <v>20</v>
      </c>
      <c r="V3" s="1" t="s">
        <v>27844</v>
      </c>
      <c r="X3" s="1" t="s">
        <v>27842</v>
      </c>
      <c r="AR3" s="1" t="str">
        <f t="shared" ref="AR3:AR66" si="3">"| ["&amp;I3&amp;"]("&amp;I3&amp;".md) | ["&amp;A3&amp;"]("&amp;A3&amp;".md) | "&amp;" | "&amp;R3&amp;" | "&amp;V3&amp;" |"</f>
        <v>| [](.md) | [覇](覇.md) |  |  | 「霸」的異體字。 |</v>
      </c>
    </row>
    <row r="4" spans="1:44" hidden="1">
      <c r="A4" s="1" t="s">
        <v>27845</v>
      </c>
      <c r="C4" s="1">
        <v>1</v>
      </c>
      <c r="D4" s="1" t="str">
        <f>"00035-1"</f>
        <v>00035-1</v>
      </c>
      <c r="E4" s="1" t="s">
        <v>132</v>
      </c>
      <c r="F4" s="1">
        <v>10</v>
      </c>
      <c r="G4" s="1">
        <v>7</v>
      </c>
      <c r="H4" s="1">
        <v>0</v>
      </c>
      <c r="K4" s="1" t="str">
        <f t="shared" si="0"/>
        <v/>
      </c>
      <c r="L4" s="1" t="str">
        <f t="shared" si="1"/>
        <v/>
      </c>
      <c r="M4" s="1" t="str">
        <f t="shared" si="2"/>
        <v/>
      </c>
      <c r="P4" s="1" t="s">
        <v>20</v>
      </c>
      <c r="V4" s="1" t="s">
        <v>27846</v>
      </c>
      <c r="X4" s="1" t="s">
        <v>27842</v>
      </c>
      <c r="AR4" s="1" t="str">
        <f t="shared" si="3"/>
        <v>| [](.md) | [垻](垻.md) |  |  | 「壩」的異體字。 |</v>
      </c>
    </row>
    <row r="5" spans="1:44" hidden="1">
      <c r="A5" s="1" t="s">
        <v>27847</v>
      </c>
      <c r="C5" s="1">
        <v>1</v>
      </c>
      <c r="D5" s="1" t="str">
        <f>"00050-1"</f>
        <v>00050-1</v>
      </c>
      <c r="E5" s="1" t="s">
        <v>438</v>
      </c>
      <c r="F5" s="1">
        <v>10</v>
      </c>
      <c r="G5" s="1">
        <v>5</v>
      </c>
      <c r="H5" s="1">
        <v>0</v>
      </c>
      <c r="K5" s="1" t="str">
        <f t="shared" si="0"/>
        <v/>
      </c>
      <c r="L5" s="1" t="str">
        <f t="shared" si="1"/>
        <v/>
      </c>
      <c r="M5" s="1" t="str">
        <f t="shared" si="2"/>
        <v/>
      </c>
      <c r="P5" s="1" t="s">
        <v>20</v>
      </c>
      <c r="V5" s="1" t="s">
        <v>27848</v>
      </c>
      <c r="X5" s="1" t="s">
        <v>27842</v>
      </c>
      <c r="AR5" s="1" t="str">
        <f t="shared" si="3"/>
        <v>| [](.md) | [盋](盋.md) |  |  | 「缽」的異體字。 |</v>
      </c>
    </row>
    <row r="6" spans="1:44" hidden="1">
      <c r="A6" s="1" t="s">
        <v>27849</v>
      </c>
      <c r="C6" s="1">
        <v>1</v>
      </c>
      <c r="D6" s="1" t="str">
        <f>"00050-2"</f>
        <v>00050-2</v>
      </c>
      <c r="E6" s="1" t="s">
        <v>55</v>
      </c>
      <c r="F6" s="1">
        <v>13</v>
      </c>
      <c r="G6" s="1">
        <v>5</v>
      </c>
      <c r="H6" s="1">
        <v>0</v>
      </c>
      <c r="K6" s="1" t="str">
        <f t="shared" si="0"/>
        <v/>
      </c>
      <c r="L6" s="1" t="str">
        <f t="shared" si="1"/>
        <v/>
      </c>
      <c r="M6" s="1" t="str">
        <f t="shared" si="2"/>
        <v/>
      </c>
      <c r="P6" s="1" t="s">
        <v>20</v>
      </c>
      <c r="V6" s="1" t="s">
        <v>27848</v>
      </c>
      <c r="X6" s="1" t="s">
        <v>27842</v>
      </c>
      <c r="AR6" s="1" t="str">
        <f t="shared" si="3"/>
        <v>| [](.md) | [鉢](鉢.md) |  |  | 「缽」的異體字。 |</v>
      </c>
    </row>
    <row r="7" spans="1:44" hidden="1">
      <c r="A7" s="1" t="s">
        <v>27850</v>
      </c>
      <c r="C7" s="1">
        <v>1</v>
      </c>
      <c r="D7" s="1" t="str">
        <f>"00067-1"</f>
        <v>00067-1</v>
      </c>
      <c r="E7" s="1" t="s">
        <v>139</v>
      </c>
      <c r="F7" s="1">
        <v>10</v>
      </c>
      <c r="G7" s="1">
        <v>6</v>
      </c>
      <c r="H7" s="1">
        <v>0</v>
      </c>
      <c r="K7" s="1" t="str">
        <f t="shared" si="0"/>
        <v/>
      </c>
      <c r="L7" s="1" t="str">
        <f t="shared" si="1"/>
        <v/>
      </c>
      <c r="M7" s="1" t="str">
        <f t="shared" si="2"/>
        <v/>
      </c>
      <c r="P7" s="1" t="s">
        <v>20</v>
      </c>
      <c r="V7" s="1" t="s">
        <v>27851</v>
      </c>
      <c r="X7" s="1" t="s">
        <v>27842</v>
      </c>
      <c r="AR7" s="1" t="str">
        <f t="shared" si="3"/>
        <v>| [](.md) | [栢](栢.md) |  |  | 「柏」的異體字。 |</v>
      </c>
    </row>
    <row r="8" spans="1:44" hidden="1">
      <c r="A8" s="1" t="s">
        <v>27852</v>
      </c>
      <c r="C8" s="1">
        <v>1</v>
      </c>
      <c r="D8" s="1" t="str">
        <f>"00097-1"</f>
        <v>00097-1</v>
      </c>
      <c r="E8" s="1" t="s">
        <v>193</v>
      </c>
      <c r="F8" s="1">
        <v>12</v>
      </c>
      <c r="G8" s="1">
        <v>4</v>
      </c>
      <c r="H8" s="1">
        <v>0</v>
      </c>
      <c r="K8" s="1" t="str">
        <f t="shared" si="0"/>
        <v/>
      </c>
      <c r="L8" s="1" t="str">
        <f t="shared" si="1"/>
        <v/>
      </c>
      <c r="M8" s="1" t="str">
        <f t="shared" si="2"/>
        <v/>
      </c>
      <c r="P8" s="1" t="s">
        <v>20</v>
      </c>
      <c r="V8" s="1" t="s">
        <v>27853</v>
      </c>
      <c r="X8" s="1" t="s">
        <v>27842</v>
      </c>
      <c r="AR8" s="1" t="str">
        <f t="shared" si="3"/>
        <v>| [](.md) | [䬪](䬪.md) |  |  | 「餺」的異體字。 |</v>
      </c>
    </row>
    <row r="9" spans="1:44" hidden="1">
      <c r="A9" s="1" t="s">
        <v>27854</v>
      </c>
      <c r="C9" s="1">
        <v>1</v>
      </c>
      <c r="D9" s="1" t="str">
        <f>"00112-1"</f>
        <v>00112-1</v>
      </c>
      <c r="E9" s="1" t="s">
        <v>725</v>
      </c>
      <c r="F9" s="1">
        <v>21</v>
      </c>
      <c r="G9" s="1">
        <v>15</v>
      </c>
      <c r="H9" s="1">
        <v>0</v>
      </c>
      <c r="K9" s="1" t="str">
        <f t="shared" si="0"/>
        <v/>
      </c>
      <c r="L9" s="1" t="str">
        <f t="shared" si="1"/>
        <v/>
      </c>
      <c r="M9" s="1" t="str">
        <f t="shared" si="2"/>
        <v/>
      </c>
      <c r="P9" s="1" t="s">
        <v>20</v>
      </c>
      <c r="V9" s="1" t="s">
        <v>27855</v>
      </c>
      <c r="X9" s="1" t="s">
        <v>27842</v>
      </c>
      <c r="AR9" s="1" t="str">
        <f t="shared" si="3"/>
        <v>| [](.md) | [𦆿](𦆿.md) |  |  | 「襮」的異體字。 |</v>
      </c>
    </row>
    <row r="10" spans="1:44" hidden="1">
      <c r="A10" s="1" t="s">
        <v>27856</v>
      </c>
      <c r="C10" s="1">
        <v>1</v>
      </c>
      <c r="D10" s="1" t="str">
        <f>"00113-1"</f>
        <v>00113-1</v>
      </c>
      <c r="E10" s="1" t="s">
        <v>272</v>
      </c>
      <c r="F10" s="1">
        <v>26</v>
      </c>
      <c r="G10" s="1">
        <v>15</v>
      </c>
      <c r="H10" s="1">
        <v>0</v>
      </c>
      <c r="K10" s="1" t="str">
        <f t="shared" si="0"/>
        <v/>
      </c>
      <c r="L10" s="1" t="str">
        <f t="shared" si="1"/>
        <v/>
      </c>
      <c r="M10" s="1" t="str">
        <f t="shared" si="2"/>
        <v/>
      </c>
      <c r="P10" s="1" t="s">
        <v>20</v>
      </c>
      <c r="V10" s="1" t="s">
        <v>27857</v>
      </c>
      <c r="X10" s="1" t="s">
        <v>27842</v>
      </c>
      <c r="AR10" s="1" t="str">
        <f t="shared" si="3"/>
        <v>| [](.md) | [𪇰](𪇰.md) |  |  | 「鸔」的異體字。 |</v>
      </c>
    </row>
    <row r="11" spans="1:44" hidden="1">
      <c r="A11" s="1" t="s">
        <v>27858</v>
      </c>
      <c r="C11" s="1">
        <v>1</v>
      </c>
      <c r="D11" s="1" t="str">
        <f>"00121-1"</f>
        <v>00121-1</v>
      </c>
      <c r="E11" s="1" t="s">
        <v>1279</v>
      </c>
      <c r="F11" s="1">
        <v>11</v>
      </c>
      <c r="G11" s="1">
        <v>9</v>
      </c>
      <c r="H11" s="1">
        <v>0</v>
      </c>
      <c r="K11" s="1" t="str">
        <f t="shared" si="0"/>
        <v/>
      </c>
      <c r="L11" s="1" t="str">
        <f t="shared" si="1"/>
        <v/>
      </c>
      <c r="M11" s="1" t="str">
        <f t="shared" si="2"/>
        <v/>
      </c>
      <c r="P11" s="1" t="s">
        <v>20</v>
      </c>
      <c r="V11" s="1" t="s">
        <v>27859</v>
      </c>
      <c r="X11" s="1" t="s">
        <v>27842</v>
      </c>
      <c r="AR11" s="1" t="str">
        <f t="shared" si="3"/>
        <v>| [](.md) | [𠅢](𠅢.md) |  |  | 「亳」的異體字。 |</v>
      </c>
    </row>
    <row r="12" spans="1:44" hidden="1">
      <c r="A12" s="1" t="s">
        <v>27860</v>
      </c>
      <c r="C12" s="1">
        <v>1</v>
      </c>
      <c r="D12" s="1" t="str">
        <f>"00131-1"</f>
        <v>00131-1</v>
      </c>
      <c r="E12" s="1" t="s">
        <v>24</v>
      </c>
      <c r="F12" s="1">
        <v>12</v>
      </c>
      <c r="G12" s="1">
        <v>8</v>
      </c>
      <c r="H12" s="1">
        <v>0</v>
      </c>
      <c r="K12" s="1" t="str">
        <f t="shared" si="0"/>
        <v/>
      </c>
      <c r="L12" s="1" t="str">
        <f t="shared" si="1"/>
        <v/>
      </c>
      <c r="M12" s="1" t="str">
        <f t="shared" si="2"/>
        <v/>
      </c>
      <c r="P12" s="1" t="s">
        <v>20</v>
      </c>
      <c r="V12" s="1" t="s">
        <v>27861</v>
      </c>
      <c r="X12" s="1" t="s">
        <v>27842</v>
      </c>
      <c r="AR12" s="1" t="str">
        <f t="shared" si="3"/>
        <v>| [](.md) | [𢯌](𢯌.md) |  |  | 「掰」的異體字。 |</v>
      </c>
    </row>
    <row r="13" spans="1:44" hidden="1">
      <c r="A13" s="1" t="s">
        <v>27862</v>
      </c>
      <c r="C13" s="1">
        <v>1</v>
      </c>
      <c r="D13" s="1" t="str">
        <f>"00139-1"</f>
        <v>00139-1</v>
      </c>
      <c r="E13" s="1" t="s">
        <v>24</v>
      </c>
      <c r="F13" s="1">
        <v>13</v>
      </c>
      <c r="G13" s="1">
        <v>10</v>
      </c>
      <c r="H13" s="1">
        <v>0</v>
      </c>
      <c r="K13" s="1" t="str">
        <f t="shared" si="0"/>
        <v/>
      </c>
      <c r="L13" s="1" t="str">
        <f t="shared" si="1"/>
        <v/>
      </c>
      <c r="M13" s="1" t="str">
        <f t="shared" si="2"/>
        <v/>
      </c>
      <c r="P13" s="1" t="s">
        <v>20</v>
      </c>
      <c r="V13" s="1" t="s">
        <v>27863</v>
      </c>
      <c r="X13" s="1" t="s">
        <v>27842</v>
      </c>
      <c r="AR13" s="1" t="str">
        <f t="shared" si="3"/>
        <v>| [](.md) | [摆](摆.md) |  |  | 「擺」的異體字。 |</v>
      </c>
    </row>
    <row r="14" spans="1:44" hidden="1">
      <c r="A14" s="1" t="s">
        <v>27864</v>
      </c>
      <c r="C14" s="1">
        <v>1</v>
      </c>
      <c r="D14" s="1" t="str">
        <f>"00149-1"</f>
        <v>00149-1</v>
      </c>
      <c r="E14" s="1" t="s">
        <v>286</v>
      </c>
      <c r="F14" s="1">
        <v>7</v>
      </c>
      <c r="G14" s="1">
        <v>5</v>
      </c>
      <c r="H14" s="1">
        <v>0</v>
      </c>
      <c r="K14" s="1" t="str">
        <f t="shared" si="0"/>
        <v/>
      </c>
      <c r="L14" s="1" t="str">
        <f t="shared" si="1"/>
        <v/>
      </c>
      <c r="M14" s="1" t="str">
        <f t="shared" si="2"/>
        <v/>
      </c>
      <c r="P14" s="1" t="s">
        <v>20</v>
      </c>
      <c r="V14" s="1" t="s">
        <v>27865</v>
      </c>
      <c r="X14" s="1" t="s">
        <v>27842</v>
      </c>
      <c r="AR14" s="1" t="str">
        <f t="shared" si="3"/>
        <v>| [](.md) | [𤰞](𤰞.md) |  |  | 「卑」的異體字。 |</v>
      </c>
    </row>
    <row r="15" spans="1:44" hidden="1">
      <c r="A15" s="1" t="s">
        <v>27866</v>
      </c>
      <c r="C15" s="1">
        <v>1</v>
      </c>
      <c r="D15" s="1" t="str">
        <f>"00155-1"</f>
        <v>00155-1</v>
      </c>
      <c r="E15" s="1" t="s">
        <v>169</v>
      </c>
      <c r="F15" s="1">
        <v>12</v>
      </c>
      <c r="G15" s="1">
        <v>7</v>
      </c>
      <c r="H15" s="1">
        <v>0</v>
      </c>
      <c r="K15" s="1" t="str">
        <f t="shared" si="0"/>
        <v/>
      </c>
      <c r="L15" s="1" t="str">
        <f t="shared" si="1"/>
        <v/>
      </c>
      <c r="M15" s="1" t="str">
        <f t="shared" si="2"/>
        <v/>
      </c>
      <c r="P15" s="1" t="s">
        <v>20</v>
      </c>
      <c r="V15" s="1" t="s">
        <v>27867</v>
      </c>
      <c r="X15" s="1" t="s">
        <v>27842</v>
      </c>
      <c r="AR15" s="1" t="str">
        <f t="shared" si="3"/>
        <v>| [](.md) | [󴀳](󴀳.md) |  |  | 「碑」的異體字。 |</v>
      </c>
    </row>
    <row r="16" spans="1:44" hidden="1">
      <c r="A16" s="1" t="s">
        <v>27868</v>
      </c>
      <c r="C16" s="1">
        <v>1</v>
      </c>
      <c r="D16" s="1" t="str">
        <f>"00188-1"</f>
        <v>00188-1</v>
      </c>
      <c r="E16" s="1" t="s">
        <v>142</v>
      </c>
      <c r="F16" s="1">
        <v>13</v>
      </c>
      <c r="G16" s="1">
        <v>8</v>
      </c>
      <c r="H16" s="1">
        <v>0</v>
      </c>
      <c r="K16" s="1" t="str">
        <f t="shared" si="0"/>
        <v/>
      </c>
      <c r="L16" s="1" t="str">
        <f t="shared" si="1"/>
        <v/>
      </c>
      <c r="M16" s="1" t="str">
        <f t="shared" si="2"/>
        <v/>
      </c>
      <c r="P16" s="1" t="s">
        <v>20</v>
      </c>
      <c r="V16" s="1" t="s">
        <v>27869</v>
      </c>
      <c r="X16" s="1" t="s">
        <v>27842</v>
      </c>
      <c r="AR16" s="1" t="str">
        <f t="shared" si="3"/>
        <v>| [](.md) | [㻗](㻗.md) |  |  | 「琲」的異體字。 |</v>
      </c>
    </row>
    <row r="17" spans="1:44" hidden="1">
      <c r="A17" s="1" t="s">
        <v>27870</v>
      </c>
      <c r="C17" s="1">
        <v>1</v>
      </c>
      <c r="D17" s="1" t="str">
        <f>"00190-1"</f>
        <v>00190-1</v>
      </c>
      <c r="E17" s="1" t="s">
        <v>114</v>
      </c>
      <c r="F17" s="1">
        <v>10</v>
      </c>
      <c r="G17" s="1">
        <v>8</v>
      </c>
      <c r="H17" s="1">
        <v>0</v>
      </c>
      <c r="K17" s="1" t="str">
        <f t="shared" si="0"/>
        <v/>
      </c>
      <c r="L17" s="1" t="str">
        <f t="shared" si="1"/>
        <v/>
      </c>
      <c r="M17" s="1" t="str">
        <f t="shared" si="2"/>
        <v/>
      </c>
      <c r="P17" s="1" t="s">
        <v>20</v>
      </c>
      <c r="V17" s="1" t="s">
        <v>27871</v>
      </c>
      <c r="X17" s="1" t="s">
        <v>27842</v>
      </c>
      <c r="AR17" s="1" t="str">
        <f t="shared" si="3"/>
        <v>| [](.md) | [俻](俻.md) |  |  | 「備」的異體字。 |</v>
      </c>
    </row>
    <row r="18" spans="1:44" hidden="1">
      <c r="A18" s="1" t="s">
        <v>27872</v>
      </c>
      <c r="C18" s="1">
        <v>1</v>
      </c>
      <c r="D18" s="1" t="str">
        <f>"00190-2"</f>
        <v>00190-2</v>
      </c>
      <c r="E18" s="1" t="s">
        <v>114</v>
      </c>
      <c r="F18" s="1">
        <v>11</v>
      </c>
      <c r="G18" s="1">
        <v>9</v>
      </c>
      <c r="H18" s="1">
        <v>0</v>
      </c>
      <c r="K18" s="1" t="str">
        <f t="shared" si="0"/>
        <v/>
      </c>
      <c r="L18" s="1" t="str">
        <f t="shared" si="1"/>
        <v/>
      </c>
      <c r="M18" s="1" t="str">
        <f t="shared" si="2"/>
        <v/>
      </c>
      <c r="P18" s="1" t="s">
        <v>20</v>
      </c>
      <c r="V18" s="1" t="s">
        <v>27871</v>
      </c>
      <c r="X18" s="1" t="s">
        <v>27842</v>
      </c>
      <c r="AR18" s="1" t="str">
        <f t="shared" si="3"/>
        <v>| [](.md) | [󷈅](󷈅.md) |  |  | 「備」的異體字。 |</v>
      </c>
    </row>
    <row r="19" spans="1:44" hidden="1">
      <c r="A19" s="1" t="s">
        <v>27873</v>
      </c>
      <c r="C19" s="1">
        <v>1</v>
      </c>
      <c r="D19" s="1" t="str">
        <f>"00190-4"</f>
        <v>00190-4</v>
      </c>
      <c r="E19" s="1" t="s">
        <v>114</v>
      </c>
      <c r="F19" s="1">
        <v>13</v>
      </c>
      <c r="G19" s="1">
        <v>11</v>
      </c>
      <c r="H19" s="1">
        <v>0</v>
      </c>
      <c r="K19" s="1" t="str">
        <f t="shared" si="0"/>
        <v/>
      </c>
      <c r="L19" s="1" t="str">
        <f t="shared" si="1"/>
        <v/>
      </c>
      <c r="M19" s="1" t="str">
        <f t="shared" si="2"/>
        <v/>
      </c>
      <c r="P19" s="1" t="s">
        <v>20</v>
      </c>
      <c r="V19" s="1" t="s">
        <v>27871</v>
      </c>
      <c r="X19" s="1" t="s">
        <v>27842</v>
      </c>
      <c r="AR19" s="1" t="str">
        <f t="shared" si="3"/>
        <v>| [](.md) | [僃](僃.md) |  |  | 「備」的異體字。 |</v>
      </c>
    </row>
    <row r="20" spans="1:44" hidden="1">
      <c r="A20" s="1" t="s">
        <v>27874</v>
      </c>
      <c r="C20" s="1">
        <v>1</v>
      </c>
      <c r="D20" s="1" t="str">
        <f>"00212-1"</f>
        <v>00212-1</v>
      </c>
      <c r="E20" s="1" t="s">
        <v>340</v>
      </c>
      <c r="F20" s="1">
        <v>17</v>
      </c>
      <c r="G20" s="1">
        <v>11</v>
      </c>
      <c r="H20" s="1">
        <v>0</v>
      </c>
      <c r="K20" s="1" t="str">
        <f t="shared" si="0"/>
        <v/>
      </c>
      <c r="L20" s="1" t="str">
        <f t="shared" si="1"/>
        <v/>
      </c>
      <c r="M20" s="1" t="str">
        <f t="shared" si="2"/>
        <v/>
      </c>
      <c r="P20" s="1" t="s">
        <v>20</v>
      </c>
      <c r="V20" s="1" t="s">
        <v>27875</v>
      </c>
      <c r="X20" s="1" t="s">
        <v>27842</v>
      </c>
      <c r="AR20" s="1" t="str">
        <f t="shared" si="3"/>
        <v>| [](.md) | [襃](襃.md) |  |  | 「褒」的異體字。 |</v>
      </c>
    </row>
    <row r="21" spans="1:44" hidden="1">
      <c r="A21" s="1" t="s">
        <v>27876</v>
      </c>
      <c r="C21" s="1">
        <v>1</v>
      </c>
      <c r="D21" s="1" t="str">
        <f>"00219-1"</f>
        <v>00219-1</v>
      </c>
      <c r="E21" s="1" t="s">
        <v>725</v>
      </c>
      <c r="F21" s="1">
        <v>15</v>
      </c>
      <c r="G21" s="1">
        <v>9</v>
      </c>
      <c r="H21" s="1">
        <v>0</v>
      </c>
      <c r="K21" s="1" t="str">
        <f t="shared" si="0"/>
        <v/>
      </c>
      <c r="L21" s="1" t="str">
        <f t="shared" si="1"/>
        <v/>
      </c>
      <c r="M21" s="1" t="str">
        <f t="shared" si="2"/>
        <v/>
      </c>
      <c r="P21" s="1" t="s">
        <v>20</v>
      </c>
      <c r="V21" s="1" t="s">
        <v>27877</v>
      </c>
      <c r="X21" s="1" t="s">
        <v>27842</v>
      </c>
      <c r="AR21" s="1" t="str">
        <f t="shared" si="3"/>
        <v>| [](.md) | [緥](緥.md) |  |  | 「褓」的異體字。 |</v>
      </c>
    </row>
    <row r="22" spans="1:44" hidden="1">
      <c r="A22" s="1" t="s">
        <v>27878</v>
      </c>
      <c r="C22" s="1">
        <v>1</v>
      </c>
      <c r="D22" s="1" t="str">
        <f>"00222-1"</f>
        <v>00222-1</v>
      </c>
      <c r="E22" s="1" t="s">
        <v>624</v>
      </c>
      <c r="F22" s="1">
        <v>19</v>
      </c>
      <c r="G22" s="1">
        <v>16</v>
      </c>
      <c r="H22" s="1">
        <v>0</v>
      </c>
      <c r="K22" s="1" t="str">
        <f t="shared" si="0"/>
        <v/>
      </c>
      <c r="L22" s="1" t="str">
        <f t="shared" si="1"/>
        <v/>
      </c>
      <c r="M22" s="1" t="str">
        <f t="shared" si="2"/>
        <v/>
      </c>
      <c r="P22" s="1" t="s">
        <v>20</v>
      </c>
      <c r="V22" s="1" t="s">
        <v>27879</v>
      </c>
      <c r="X22" s="1" t="s">
        <v>27842</v>
      </c>
      <c r="AR22" s="1" t="str">
        <f t="shared" si="3"/>
        <v>| [](.md) | [寳](寳.md) |  |  | 「寶」的異體字。 |</v>
      </c>
    </row>
    <row r="23" spans="1:44" hidden="1">
      <c r="A23" s="1" t="s">
        <v>27880</v>
      </c>
      <c r="C23" s="1">
        <v>1</v>
      </c>
      <c r="D23" s="1" t="str">
        <f>"00222-2"</f>
        <v>00222-2</v>
      </c>
      <c r="E23" s="1" t="s">
        <v>624</v>
      </c>
      <c r="F23" s="1">
        <v>8</v>
      </c>
      <c r="G23" s="1">
        <v>5</v>
      </c>
      <c r="H23" s="1">
        <v>0</v>
      </c>
      <c r="K23" s="1" t="str">
        <f t="shared" si="0"/>
        <v/>
      </c>
      <c r="L23" s="1" t="str">
        <f t="shared" si="1"/>
        <v/>
      </c>
      <c r="M23" s="1" t="str">
        <f t="shared" si="2"/>
        <v/>
      </c>
      <c r="P23" s="1" t="s">
        <v>20</v>
      </c>
      <c r="V23" s="1" t="s">
        <v>27879</v>
      </c>
      <c r="X23" s="1" t="s">
        <v>27842</v>
      </c>
      <c r="AR23" s="1" t="str">
        <f t="shared" si="3"/>
        <v>| [](.md) | [宝](宝.md) |  |  | 「寶」的異體字。 |</v>
      </c>
    </row>
    <row r="24" spans="1:44" hidden="1">
      <c r="A24" s="1" t="s">
        <v>27881</v>
      </c>
      <c r="C24" s="1">
        <v>1</v>
      </c>
      <c r="D24" s="1" t="str">
        <f>"00226-1"</f>
        <v>00226-1</v>
      </c>
      <c r="E24" s="1" t="s">
        <v>55</v>
      </c>
      <c r="F24" s="1">
        <v>23</v>
      </c>
      <c r="G24" s="1">
        <v>15</v>
      </c>
      <c r="H24" s="1">
        <v>0</v>
      </c>
      <c r="K24" s="1" t="str">
        <f t="shared" si="0"/>
        <v/>
      </c>
      <c r="L24" s="1" t="str">
        <f t="shared" si="1"/>
        <v/>
      </c>
      <c r="M24" s="1" t="str">
        <f t="shared" si="2"/>
        <v/>
      </c>
      <c r="P24" s="1" t="s">
        <v>20</v>
      </c>
      <c r="V24" s="1" t="s">
        <v>27882</v>
      </c>
      <c r="X24" s="1" t="s">
        <v>27842</v>
      </c>
      <c r="AR24" s="1" t="str">
        <f t="shared" si="3"/>
        <v>| [](.md) | [鑤](鑤.md) |  |  | 「鉋」的異體字。 |</v>
      </c>
    </row>
    <row r="25" spans="1:44" hidden="1">
      <c r="A25" s="1" t="s">
        <v>27883</v>
      </c>
      <c r="C25" s="1">
        <v>1</v>
      </c>
      <c r="D25" s="1" t="str">
        <f>"00230-1"</f>
        <v>00230-1</v>
      </c>
      <c r="E25" s="1" t="s">
        <v>24</v>
      </c>
      <c r="F25" s="1">
        <v>7</v>
      </c>
      <c r="G25" s="1">
        <v>4</v>
      </c>
      <c r="H25" s="1">
        <v>0</v>
      </c>
      <c r="K25" s="1" t="str">
        <f t="shared" si="0"/>
        <v/>
      </c>
      <c r="L25" s="1" t="str">
        <f t="shared" si="1"/>
        <v/>
      </c>
      <c r="M25" s="1" t="str">
        <f t="shared" si="2"/>
        <v/>
      </c>
      <c r="P25" s="1" t="s">
        <v>20</v>
      </c>
      <c r="V25" s="1" t="s">
        <v>27884</v>
      </c>
      <c r="X25" s="1" t="s">
        <v>27842</v>
      </c>
      <c r="AR25" s="1" t="str">
        <f t="shared" si="3"/>
        <v>| [](.md) | [报](报.md) |  |  | 「報」的異體字。 |</v>
      </c>
    </row>
    <row r="26" spans="1:44" hidden="1">
      <c r="A26" s="1" t="s">
        <v>27885</v>
      </c>
      <c r="C26" s="1">
        <v>1</v>
      </c>
      <c r="D26" s="1" t="str">
        <f>"00248-1"</f>
        <v>00248-1</v>
      </c>
      <c r="E26" s="1" t="s">
        <v>190</v>
      </c>
      <c r="F26" s="1">
        <v>7</v>
      </c>
      <c r="G26" s="1">
        <v>4</v>
      </c>
      <c r="H26" s="1">
        <v>0</v>
      </c>
      <c r="K26" s="1" t="str">
        <f t="shared" si="0"/>
        <v/>
      </c>
      <c r="L26" s="1" t="str">
        <f t="shared" si="1"/>
        <v/>
      </c>
      <c r="M26" s="1" t="str">
        <f t="shared" si="2"/>
        <v/>
      </c>
      <c r="P26" s="1" t="s">
        <v>20</v>
      </c>
      <c r="V26" s="1" t="s">
        <v>27886</v>
      </c>
      <c r="X26" s="1" t="s">
        <v>27842</v>
      </c>
      <c r="AR26" s="1" t="str">
        <f t="shared" si="3"/>
        <v>| [](.md) | [岅](岅.md) |  |  | 「阪」的異體字。 |</v>
      </c>
    </row>
    <row r="27" spans="1:44" hidden="1">
      <c r="A27" s="1" t="s">
        <v>27887</v>
      </c>
      <c r="C27" s="1">
        <v>1</v>
      </c>
      <c r="D27" s="1" t="str">
        <f>"00252-1"</f>
        <v>00252-1</v>
      </c>
      <c r="E27" s="1" t="s">
        <v>193</v>
      </c>
      <c r="F27" s="1">
        <v>13</v>
      </c>
      <c r="G27" s="1">
        <v>5</v>
      </c>
      <c r="H27" s="1">
        <v>0</v>
      </c>
      <c r="K27" s="1" t="str">
        <f t="shared" si="0"/>
        <v/>
      </c>
      <c r="L27" s="1" t="str">
        <f t="shared" si="1"/>
        <v/>
      </c>
      <c r="M27" s="1" t="str">
        <f t="shared" si="2"/>
        <v/>
      </c>
      <c r="P27" s="1" t="s">
        <v>20</v>
      </c>
      <c r="V27" s="1" t="s">
        <v>27888</v>
      </c>
      <c r="X27" s="1" t="s">
        <v>27842</v>
      </c>
      <c r="AR27" s="1" t="str">
        <f t="shared" si="3"/>
        <v>| [](.md) | [䬳](䬳.md) |  |  | 「粄」的異體字。 |</v>
      </c>
    </row>
    <row r="28" spans="1:44" hidden="1">
      <c r="A28" s="1" t="s">
        <v>27889</v>
      </c>
      <c r="C28" s="1">
        <v>1</v>
      </c>
      <c r="D28" s="1" t="str">
        <f>"00264-1"</f>
        <v>00264-1</v>
      </c>
      <c r="E28" s="1" t="s">
        <v>245</v>
      </c>
      <c r="F28" s="1">
        <v>4</v>
      </c>
      <c r="G28" s="1">
        <v>2</v>
      </c>
      <c r="H28" s="1">
        <v>0</v>
      </c>
      <c r="K28" s="1" t="str">
        <f t="shared" si="0"/>
        <v/>
      </c>
      <c r="L28" s="1" t="str">
        <f t="shared" si="1"/>
        <v/>
      </c>
      <c r="M28" s="1" t="str">
        <f t="shared" si="2"/>
        <v/>
      </c>
      <c r="P28" s="1" t="s">
        <v>20</v>
      </c>
      <c r="V28" s="1" t="s">
        <v>27890</v>
      </c>
      <c r="X28" s="1" t="s">
        <v>27842</v>
      </c>
      <c r="AR28" s="1" t="str">
        <f t="shared" si="3"/>
        <v>| [](.md) | [办](办.md) |  |  | 「辦」的異體字。 |</v>
      </c>
    </row>
    <row r="29" spans="1:44" hidden="1">
      <c r="A29" s="1" t="s">
        <v>27891</v>
      </c>
      <c r="C29" s="1">
        <v>1</v>
      </c>
      <c r="D29" s="1" t="str">
        <f>"00266-1"</f>
        <v>00266-1</v>
      </c>
      <c r="E29" s="1" t="s">
        <v>518</v>
      </c>
      <c r="F29" s="1">
        <v>12</v>
      </c>
      <c r="G29" s="1">
        <v>8</v>
      </c>
      <c r="H29" s="1">
        <v>0</v>
      </c>
      <c r="K29" s="1" t="str">
        <f t="shared" si="0"/>
        <v/>
      </c>
      <c r="L29" s="1" t="str">
        <f t="shared" si="1"/>
        <v/>
      </c>
      <c r="M29" s="1" t="str">
        <f t="shared" si="2"/>
        <v/>
      </c>
      <c r="P29" s="1" t="s">
        <v>20</v>
      </c>
      <c r="V29" s="1" t="s">
        <v>27892</v>
      </c>
      <c r="X29" s="1" t="s">
        <v>27842</v>
      </c>
      <c r="AR29" s="1" t="str">
        <f t="shared" si="3"/>
        <v>| [](.md) | [犇](犇.md) |  |  | 「奔」的異體字。 |</v>
      </c>
    </row>
    <row r="30" spans="1:44" hidden="1">
      <c r="A30" s="1" t="s">
        <v>27893</v>
      </c>
      <c r="C30" s="1">
        <v>1</v>
      </c>
      <c r="D30" s="1" t="str">
        <f>"00279-1"</f>
        <v>00279-1</v>
      </c>
      <c r="E30" s="1" t="s">
        <v>222</v>
      </c>
      <c r="F30" s="1">
        <v>10</v>
      </c>
      <c r="G30" s="1">
        <v>7</v>
      </c>
      <c r="H30" s="1">
        <v>0</v>
      </c>
      <c r="K30" s="1" t="str">
        <f t="shared" si="0"/>
        <v/>
      </c>
      <c r="L30" s="1" t="str">
        <f t="shared" si="1"/>
        <v/>
      </c>
      <c r="M30" s="1" t="str">
        <f t="shared" si="2"/>
        <v/>
      </c>
      <c r="P30" s="1" t="s">
        <v>20</v>
      </c>
      <c r="V30" s="1" t="s">
        <v>27894</v>
      </c>
      <c r="X30" s="1" t="s">
        <v>27842</v>
      </c>
      <c r="AR30" s="1" t="str">
        <f t="shared" si="3"/>
        <v>| [](.md) | [帮](帮.md) |  |  | 「幫」的異體字。 |</v>
      </c>
    </row>
    <row r="31" spans="1:44" hidden="1">
      <c r="A31" s="1" t="s">
        <v>27895</v>
      </c>
      <c r="C31" s="1">
        <v>1</v>
      </c>
      <c r="D31" s="1" t="str">
        <f>"00279-2"</f>
        <v>00279-2</v>
      </c>
      <c r="E31" s="1" t="s">
        <v>222</v>
      </c>
      <c r="F31" s="1">
        <v>12</v>
      </c>
      <c r="G31" s="1">
        <v>9</v>
      </c>
      <c r="H31" s="1">
        <v>0</v>
      </c>
      <c r="K31" s="1" t="str">
        <f t="shared" si="0"/>
        <v/>
      </c>
      <c r="L31" s="1" t="str">
        <f t="shared" si="1"/>
        <v/>
      </c>
      <c r="M31" s="1" t="str">
        <f t="shared" si="2"/>
        <v/>
      </c>
      <c r="P31" s="1" t="s">
        <v>20</v>
      </c>
      <c r="V31" s="1" t="s">
        <v>27894</v>
      </c>
      <c r="X31" s="1" t="s">
        <v>27842</v>
      </c>
      <c r="AR31" s="1" t="str">
        <f t="shared" si="3"/>
        <v>| [](.md) | [幇](幇.md) |  |  | 「幫」的異體字。 |</v>
      </c>
    </row>
    <row r="32" spans="1:44" hidden="1">
      <c r="A32" s="1" t="s">
        <v>27896</v>
      </c>
      <c r="C32" s="1">
        <v>1</v>
      </c>
      <c r="D32" s="1" t="str">
        <f>"00281-1"</f>
        <v>00281-1</v>
      </c>
      <c r="E32" s="1" t="s">
        <v>139</v>
      </c>
      <c r="F32" s="1">
        <v>12</v>
      </c>
      <c r="G32" s="1">
        <v>8</v>
      </c>
      <c r="H32" s="1">
        <v>0</v>
      </c>
      <c r="K32" s="1" t="str">
        <f t="shared" si="0"/>
        <v/>
      </c>
      <c r="L32" s="1" t="str">
        <f t="shared" si="1"/>
        <v/>
      </c>
      <c r="M32" s="1" t="str">
        <f t="shared" si="2"/>
        <v/>
      </c>
      <c r="P32" s="1" t="s">
        <v>20</v>
      </c>
      <c r="V32" s="1" t="s">
        <v>27897</v>
      </c>
      <c r="X32" s="1" t="s">
        <v>27842</v>
      </c>
      <c r="AR32" s="1" t="str">
        <f t="shared" si="3"/>
        <v>| [](.md) | [㮄](㮄.md) |  |  | 「榜」的異體字。 |</v>
      </c>
    </row>
    <row r="33" spans="1:44" hidden="1">
      <c r="A33" s="1" t="s">
        <v>27898</v>
      </c>
      <c r="C33" s="1">
        <v>1</v>
      </c>
      <c r="D33" s="1" t="str">
        <f>"00285-1"</f>
        <v>00285-1</v>
      </c>
      <c r="E33" s="1" t="s">
        <v>789</v>
      </c>
      <c r="F33" s="1">
        <v>9</v>
      </c>
      <c r="G33" s="1">
        <v>8</v>
      </c>
      <c r="H33" s="1">
        <v>0</v>
      </c>
      <c r="K33" s="1" t="str">
        <f t="shared" si="0"/>
        <v/>
      </c>
      <c r="L33" s="1" t="str">
        <f t="shared" si="1"/>
        <v/>
      </c>
      <c r="M33" s="1" t="str">
        <f t="shared" si="2"/>
        <v/>
      </c>
      <c r="P33" s="1" t="s">
        <v>20</v>
      </c>
      <c r="V33" s="1" t="s">
        <v>27899</v>
      </c>
      <c r="X33" s="1" t="s">
        <v>27842</v>
      </c>
      <c r="AR33" s="1" t="str">
        <f t="shared" si="3"/>
        <v>| [](.md) | [󰀾](󰀾.md) |  |  | 「並」的異體字。 |</v>
      </c>
    </row>
    <row r="34" spans="1:44" hidden="1">
      <c r="A34" s="1" t="s">
        <v>27900</v>
      </c>
      <c r="C34" s="1">
        <v>1</v>
      </c>
      <c r="D34" s="1" t="str">
        <f>"00285-2"</f>
        <v>00285-2</v>
      </c>
      <c r="E34" s="1" t="s">
        <v>5784</v>
      </c>
      <c r="F34" s="1">
        <v>10</v>
      </c>
      <c r="G34" s="1">
        <v>5</v>
      </c>
      <c r="H34" s="1">
        <v>0</v>
      </c>
      <c r="K34" s="1" t="str">
        <f t="shared" si="0"/>
        <v/>
      </c>
      <c r="L34" s="1" t="str">
        <f t="shared" si="1"/>
        <v/>
      </c>
      <c r="M34" s="1" t="str">
        <f t="shared" si="2"/>
        <v/>
      </c>
      <c r="P34" s="1" t="s">
        <v>20</v>
      </c>
      <c r="V34" s="1" t="s">
        <v>27899</v>
      </c>
      <c r="X34" s="1" t="s">
        <v>27842</v>
      </c>
      <c r="AR34" s="1" t="str">
        <f t="shared" si="3"/>
        <v>| [](.md) | [竝](竝.md) |  |  | 「並」的異體字。 |</v>
      </c>
    </row>
    <row r="35" spans="1:44" hidden="1">
      <c r="A35" s="1" t="s">
        <v>27901</v>
      </c>
      <c r="C35" s="1">
        <v>1</v>
      </c>
      <c r="D35" s="1" t="str">
        <f>"00287-1"</f>
        <v>00287-1</v>
      </c>
      <c r="E35" s="1" t="s">
        <v>679</v>
      </c>
      <c r="F35" s="1">
        <v>14</v>
      </c>
      <c r="G35" s="1">
        <v>8</v>
      </c>
      <c r="H35" s="1">
        <v>0</v>
      </c>
      <c r="K35" s="1" t="str">
        <f t="shared" si="0"/>
        <v/>
      </c>
      <c r="L35" s="1" t="str">
        <f t="shared" si="1"/>
        <v/>
      </c>
      <c r="M35" s="1" t="str">
        <f t="shared" si="2"/>
        <v/>
      </c>
      <c r="P35" s="1" t="s">
        <v>20</v>
      </c>
      <c r="V35" s="1" t="s">
        <v>27902</v>
      </c>
      <c r="X35" s="1" t="s">
        <v>27842</v>
      </c>
      <c r="AR35" s="1" t="str">
        <f t="shared" si="3"/>
        <v>| [](.md) | [蜯](蜯.md) |  |  | 「蚌」的異體字。 |</v>
      </c>
    </row>
    <row r="36" spans="1:44" hidden="1">
      <c r="A36" s="1" t="s">
        <v>27903</v>
      </c>
      <c r="C36" s="1">
        <v>1</v>
      </c>
      <c r="D36" s="1" t="str">
        <f>"00288-1"</f>
        <v>00288-1</v>
      </c>
      <c r="E36" s="1" t="s">
        <v>800</v>
      </c>
      <c r="F36" s="1">
        <v>8</v>
      </c>
      <c r="G36" s="1">
        <v>4</v>
      </c>
      <c r="H36" s="1">
        <v>0</v>
      </c>
      <c r="K36" s="1" t="str">
        <f t="shared" si="0"/>
        <v/>
      </c>
      <c r="L36" s="1" t="str">
        <f t="shared" si="1"/>
        <v/>
      </c>
      <c r="M36" s="1" t="str">
        <f t="shared" si="2"/>
        <v/>
      </c>
      <c r="P36" s="1" t="s">
        <v>20</v>
      </c>
      <c r="V36" s="1" t="s">
        <v>27904</v>
      </c>
      <c r="X36" s="1" t="s">
        <v>27842</v>
      </c>
      <c r="AR36" s="1" t="str">
        <f t="shared" si="3"/>
        <v>| [](.md) | [㫄](㫄.md) |  |  | 「旁」的異體字。 |</v>
      </c>
    </row>
    <row r="37" spans="1:44" hidden="1">
      <c r="A37" s="1" t="s">
        <v>27905</v>
      </c>
      <c r="C37" s="1">
        <v>1</v>
      </c>
      <c r="D37" s="1" t="str">
        <f>"00300-1"</f>
        <v>00300-1</v>
      </c>
      <c r="E37" s="1" t="s">
        <v>725</v>
      </c>
      <c r="F37" s="1">
        <v>14</v>
      </c>
      <c r="G37" s="1">
        <v>8</v>
      </c>
      <c r="H37" s="1">
        <v>0</v>
      </c>
      <c r="K37" s="1" t="str">
        <f t="shared" si="0"/>
        <v/>
      </c>
      <c r="L37" s="1" t="str">
        <f t="shared" si="1"/>
        <v/>
      </c>
      <c r="M37" s="1" t="str">
        <f t="shared" si="2"/>
        <v/>
      </c>
      <c r="P37" s="1" t="s">
        <v>20</v>
      </c>
      <c r="V37" s="1" t="s">
        <v>27906</v>
      </c>
      <c r="X37" s="1" t="s">
        <v>27842</v>
      </c>
      <c r="AR37" s="1" t="str">
        <f t="shared" si="3"/>
        <v>| [](.md) | [綳](綳.md) |  |  | 「繃」的異體字。 |</v>
      </c>
    </row>
    <row r="38" spans="1:44" hidden="1">
      <c r="A38" s="1" t="s">
        <v>27907</v>
      </c>
      <c r="C38" s="1">
        <v>1</v>
      </c>
      <c r="D38" s="1" t="str">
        <f>"00301-1"</f>
        <v>00301-1</v>
      </c>
      <c r="E38" s="1" t="s">
        <v>725</v>
      </c>
      <c r="F38" s="1">
        <v>14</v>
      </c>
      <c r="G38" s="1">
        <v>8</v>
      </c>
      <c r="H38" s="1">
        <v>0</v>
      </c>
      <c r="K38" s="1" t="str">
        <f t="shared" si="0"/>
        <v/>
      </c>
      <c r="L38" s="1" t="str">
        <f t="shared" si="1"/>
        <v/>
      </c>
      <c r="M38" s="1" t="str">
        <f t="shared" si="2"/>
        <v/>
      </c>
      <c r="P38" s="1" t="s">
        <v>20</v>
      </c>
      <c r="V38" s="1" t="s">
        <v>27908</v>
      </c>
      <c r="X38" s="1" t="s">
        <v>27842</v>
      </c>
      <c r="AR38" s="1" t="str">
        <f t="shared" si="3"/>
        <v>| [](.md) | [絣](絣.md) |  |  | 「絣」的異體字。 |</v>
      </c>
    </row>
    <row r="39" spans="1:44" hidden="1">
      <c r="A39" s="1" t="s">
        <v>27909</v>
      </c>
      <c r="C39" s="1">
        <v>1</v>
      </c>
      <c r="D39" s="1" t="str">
        <f>"00307-1"</f>
        <v>00307-1</v>
      </c>
      <c r="E39" s="1" t="s">
        <v>558</v>
      </c>
      <c r="F39" s="1">
        <v>12</v>
      </c>
      <c r="G39" s="1">
        <v>8</v>
      </c>
      <c r="H39" s="1">
        <v>0</v>
      </c>
      <c r="K39" s="1" t="str">
        <f t="shared" si="0"/>
        <v/>
      </c>
      <c r="L39" s="1" t="str">
        <f t="shared" si="1"/>
        <v/>
      </c>
      <c r="M39" s="1" t="str">
        <f t="shared" si="2"/>
        <v/>
      </c>
      <c r="P39" s="1" t="s">
        <v>20</v>
      </c>
      <c r="V39" s="1" t="s">
        <v>27910</v>
      </c>
      <c r="X39" s="1" t="s">
        <v>27842</v>
      </c>
      <c r="AR39" s="1" t="str">
        <f t="shared" si="3"/>
        <v>| [](.md) | [逬](逬.md) |  |  | 「迸」的異體字。 |</v>
      </c>
    </row>
    <row r="40" spans="1:44" hidden="1">
      <c r="A40" s="1" t="s">
        <v>27911</v>
      </c>
      <c r="C40" s="1">
        <v>1</v>
      </c>
      <c r="D40" s="1" t="str">
        <f>"00318-1"</f>
        <v>00318-1</v>
      </c>
      <c r="E40" s="1" t="s">
        <v>889</v>
      </c>
      <c r="F40" s="1">
        <v>14</v>
      </c>
      <c r="G40" s="1">
        <v>0</v>
      </c>
      <c r="H40" s="1">
        <v>0</v>
      </c>
      <c r="K40" s="1" t="str">
        <f t="shared" si="0"/>
        <v/>
      </c>
      <c r="L40" s="1" t="str">
        <f t="shared" si="1"/>
        <v/>
      </c>
      <c r="M40" s="1" t="str">
        <f t="shared" si="2"/>
        <v/>
      </c>
      <c r="P40" s="1" t="s">
        <v>20</v>
      </c>
      <c r="V40" s="1" t="s">
        <v>27912</v>
      </c>
      <c r="X40" s="1" t="s">
        <v>27842</v>
      </c>
      <c r="AR40" s="1" t="str">
        <f t="shared" si="3"/>
        <v>| [](.md) | [鼻](鼻.md) |  |  | 「鼻」的異體字。 |</v>
      </c>
    </row>
    <row r="41" spans="1:44" hidden="1">
      <c r="A41" s="1" t="s">
        <v>27913</v>
      </c>
      <c r="C41" s="1">
        <v>1</v>
      </c>
      <c r="D41" s="1" t="str">
        <f>"00323-1"</f>
        <v>00323-1</v>
      </c>
      <c r="E41" s="1" t="s">
        <v>46</v>
      </c>
      <c r="F41" s="1">
        <v>10</v>
      </c>
      <c r="G41" s="1">
        <v>4</v>
      </c>
      <c r="H41" s="1">
        <v>0</v>
      </c>
      <c r="K41" s="1" t="str">
        <f t="shared" si="0"/>
        <v/>
      </c>
      <c r="L41" s="1" t="str">
        <f t="shared" si="1"/>
        <v/>
      </c>
      <c r="M41" s="1" t="str">
        <f t="shared" si="2"/>
        <v/>
      </c>
      <c r="P41" s="1" t="s">
        <v>20</v>
      </c>
      <c r="V41" s="1" t="s">
        <v>27914</v>
      </c>
      <c r="X41" s="1" t="s">
        <v>27842</v>
      </c>
      <c r="AR41" s="1" t="str">
        <f t="shared" si="3"/>
        <v>| [](.md) | [粃](粃.md) |  |  | 「秕」的異體字。 |</v>
      </c>
    </row>
    <row r="42" spans="1:44" hidden="1">
      <c r="A42" s="1" t="s">
        <v>27915</v>
      </c>
      <c r="C42" s="1">
        <v>1</v>
      </c>
      <c r="D42" s="1" t="str">
        <f>"00327-1"</f>
        <v>00327-1</v>
      </c>
      <c r="E42" s="1" t="s">
        <v>49</v>
      </c>
      <c r="F42" s="1">
        <v>10</v>
      </c>
      <c r="G42" s="1">
        <v>4</v>
      </c>
      <c r="H42" s="1">
        <v>0</v>
      </c>
      <c r="K42" s="1" t="str">
        <f t="shared" si="0"/>
        <v/>
      </c>
      <c r="L42" s="1" t="str">
        <f t="shared" si="1"/>
        <v/>
      </c>
      <c r="M42" s="1" t="str">
        <f t="shared" si="2"/>
        <v/>
      </c>
      <c r="P42" s="1" t="s">
        <v>20</v>
      </c>
      <c r="V42" s="1" t="s">
        <v>27916</v>
      </c>
      <c r="X42" s="1" t="s">
        <v>27842</v>
      </c>
      <c r="AR42" s="1" t="str">
        <f t="shared" si="3"/>
        <v>| [](.md) | [笔](笔.md) |  |  | 「筆」的異體字。 |</v>
      </c>
    </row>
    <row r="43" spans="1:44" hidden="1">
      <c r="A43" s="1" t="s">
        <v>27917</v>
      </c>
      <c r="C43" s="1">
        <v>1</v>
      </c>
      <c r="D43" s="1" t="str">
        <f>"00328-1"</f>
        <v>00328-1</v>
      </c>
      <c r="E43" s="1" t="s">
        <v>28</v>
      </c>
      <c r="F43" s="1">
        <v>11</v>
      </c>
      <c r="G43" s="1">
        <v>8</v>
      </c>
      <c r="H43" s="1">
        <v>0</v>
      </c>
      <c r="K43" s="1" t="str">
        <f t="shared" si="0"/>
        <v/>
      </c>
      <c r="L43" s="1" t="str">
        <f t="shared" si="1"/>
        <v/>
      </c>
      <c r="M43" s="1" t="str">
        <f t="shared" si="2"/>
        <v/>
      </c>
      <c r="P43" s="1" t="s">
        <v>20</v>
      </c>
      <c r="V43" s="1" t="s">
        <v>27918</v>
      </c>
      <c r="X43" s="1" t="s">
        <v>27842</v>
      </c>
      <c r="AR43" s="1" t="str">
        <f t="shared" si="3"/>
        <v>| [](.md) | [啚](啚.md) |  |  | 「鄙」的異體字。 |</v>
      </c>
    </row>
    <row r="44" spans="1:44" hidden="1">
      <c r="A44" s="1" t="s">
        <v>27919</v>
      </c>
      <c r="C44" s="1">
        <v>1</v>
      </c>
      <c r="D44" s="1" t="str">
        <f>"00328-2"</f>
        <v>00328-2</v>
      </c>
      <c r="E44" s="1" t="s">
        <v>256</v>
      </c>
      <c r="F44" s="1">
        <v>14</v>
      </c>
      <c r="G44" s="1">
        <v>11</v>
      </c>
      <c r="H44" s="1">
        <v>0</v>
      </c>
      <c r="K44" s="1" t="str">
        <f t="shared" si="0"/>
        <v/>
      </c>
      <c r="L44" s="1" t="str">
        <f t="shared" si="1"/>
        <v/>
      </c>
      <c r="M44" s="1" t="str">
        <f t="shared" si="2"/>
        <v/>
      </c>
      <c r="P44" s="1" t="s">
        <v>20</v>
      </c>
      <c r="V44" s="1" t="s">
        <v>27918</v>
      </c>
      <c r="X44" s="1" t="s">
        <v>27842</v>
      </c>
      <c r="AR44" s="1" t="str">
        <f t="shared" si="3"/>
        <v>| [](.md) | [𨝣](𨝣.md) |  |  | 「鄙」的異體字。 |</v>
      </c>
    </row>
    <row r="45" spans="1:44" hidden="1">
      <c r="A45" s="1" t="s">
        <v>27920</v>
      </c>
      <c r="C45" s="1">
        <v>1</v>
      </c>
      <c r="D45" s="1" t="str">
        <f>"00346-1"</f>
        <v>00346-1</v>
      </c>
      <c r="E45" s="1" t="s">
        <v>142</v>
      </c>
      <c r="F45" s="1">
        <v>15</v>
      </c>
      <c r="G45" s="1">
        <v>11</v>
      </c>
      <c r="H45" s="1">
        <v>0</v>
      </c>
      <c r="K45" s="1" t="str">
        <f t="shared" si="0"/>
        <v/>
      </c>
      <c r="L45" s="1" t="str">
        <f t="shared" si="1"/>
        <v/>
      </c>
      <c r="M45" s="1" t="str">
        <f t="shared" si="2"/>
        <v/>
      </c>
      <c r="P45" s="1" t="s">
        <v>20</v>
      </c>
      <c r="V45" s="1" t="s">
        <v>27921</v>
      </c>
      <c r="X45" s="1" t="s">
        <v>27842</v>
      </c>
      <c r="AR45" s="1" t="str">
        <f t="shared" si="3"/>
        <v>| [](.md) | [㻫](㻫.md) |  |  | 「珌」的異體字。 |</v>
      </c>
    </row>
    <row r="46" spans="1:44" hidden="1">
      <c r="A46" s="1" t="s">
        <v>27922</v>
      </c>
      <c r="C46" s="1">
        <v>1</v>
      </c>
      <c r="D46" s="1" t="str">
        <f>"00377-1"</f>
        <v>00377-1</v>
      </c>
      <c r="E46" s="1" t="s">
        <v>563</v>
      </c>
      <c r="F46" s="1">
        <v>14</v>
      </c>
      <c r="G46" s="1">
        <v>11</v>
      </c>
      <c r="H46" s="1">
        <v>0</v>
      </c>
      <c r="K46" s="1" t="str">
        <f t="shared" si="0"/>
        <v/>
      </c>
      <c r="L46" s="1" t="str">
        <f t="shared" si="1"/>
        <v/>
      </c>
      <c r="M46" s="1" t="str">
        <f t="shared" si="2"/>
        <v/>
      </c>
      <c r="P46" s="1" t="s">
        <v>20</v>
      </c>
      <c r="V46" s="1" t="s">
        <v>27923</v>
      </c>
      <c r="X46" s="1" t="s">
        <v>27842</v>
      </c>
      <c r="AR46" s="1" t="str">
        <f t="shared" si="3"/>
        <v>| [](.md) | [𡚁](𡚁.md) |  |  | 「弊」的異體字。 |</v>
      </c>
    </row>
    <row r="47" spans="1:44" hidden="1">
      <c r="A47" s="1" t="s">
        <v>27924</v>
      </c>
      <c r="C47" s="1">
        <v>1</v>
      </c>
      <c r="D47" s="1" t="str">
        <f>"00389-1"</f>
        <v>00389-1</v>
      </c>
      <c r="E47" s="1" t="s">
        <v>4563</v>
      </c>
      <c r="F47" s="1">
        <v>18</v>
      </c>
      <c r="G47" s="1">
        <v>11</v>
      </c>
      <c r="H47" s="1">
        <v>0</v>
      </c>
      <c r="K47" s="1" t="str">
        <f t="shared" si="0"/>
        <v/>
      </c>
      <c r="L47" s="1" t="str">
        <f t="shared" si="1"/>
        <v/>
      </c>
      <c r="M47" s="1" t="str">
        <f t="shared" si="2"/>
        <v/>
      </c>
      <c r="P47" s="1" t="s">
        <v>20</v>
      </c>
      <c r="V47" s="1" t="s">
        <v>27925</v>
      </c>
      <c r="X47" s="1" t="s">
        <v>27842</v>
      </c>
      <c r="AR47" s="1" t="str">
        <f t="shared" si="3"/>
        <v>| [](.md) | [䟆](䟆.md) |  |  | 「蹕」的異體字。 |</v>
      </c>
    </row>
    <row r="48" spans="1:44" hidden="1">
      <c r="A48" s="1" t="s">
        <v>27926</v>
      </c>
      <c r="C48" s="1">
        <v>1</v>
      </c>
      <c r="D48" s="1" t="str">
        <f>"00391-1"</f>
        <v>00391-1</v>
      </c>
      <c r="E48" s="1" t="s">
        <v>96</v>
      </c>
      <c r="F48" s="1">
        <v>20</v>
      </c>
      <c r="G48" s="1">
        <v>11</v>
      </c>
      <c r="H48" s="1">
        <v>0</v>
      </c>
      <c r="K48" s="1" t="str">
        <f t="shared" si="0"/>
        <v/>
      </c>
      <c r="L48" s="1" t="str">
        <f t="shared" si="1"/>
        <v/>
      </c>
      <c r="M48" s="1" t="str">
        <f t="shared" si="2"/>
        <v/>
      </c>
      <c r="P48" s="1" t="s">
        <v>20</v>
      </c>
      <c r="V48" s="1" t="s">
        <v>27927</v>
      </c>
      <c r="X48" s="1" t="s">
        <v>27842</v>
      </c>
      <c r="AR48" s="1" t="str">
        <f t="shared" si="3"/>
        <v>| [](.md) | [鞸](鞸.md) |  |  | 「韠」的異體字。 |</v>
      </c>
    </row>
    <row r="49" spans="1:44" hidden="1">
      <c r="A49" s="1" t="s">
        <v>27928</v>
      </c>
      <c r="C49" s="1">
        <v>1</v>
      </c>
      <c r="D49" s="1" t="str">
        <f>"00406-1"</f>
        <v>00406-1</v>
      </c>
      <c r="E49" s="1" t="s">
        <v>103</v>
      </c>
      <c r="F49" s="1">
        <v>12</v>
      </c>
      <c r="G49" s="1">
        <v>9</v>
      </c>
      <c r="H49" s="1">
        <v>0</v>
      </c>
      <c r="K49" s="1" t="str">
        <f t="shared" si="0"/>
        <v/>
      </c>
      <c r="L49" s="1" t="str">
        <f t="shared" si="1"/>
        <v/>
      </c>
      <c r="M49" s="1" t="str">
        <f t="shared" si="2"/>
        <v/>
      </c>
      <c r="P49" s="1" t="s">
        <v>20</v>
      </c>
      <c r="V49" s="1" t="s">
        <v>27929</v>
      </c>
      <c r="X49" s="1" t="s">
        <v>27842</v>
      </c>
      <c r="AR49" s="1" t="str">
        <f t="shared" si="3"/>
        <v>| [](.md) | [弻](弻.md) |  |  | 「弼」的異體字。 |</v>
      </c>
    </row>
    <row r="50" spans="1:44" hidden="1">
      <c r="A50" s="1" t="s">
        <v>27930</v>
      </c>
      <c r="C50" s="1">
        <v>1</v>
      </c>
      <c r="D50" s="1" t="str">
        <f>"00417-1"</f>
        <v>00417-1</v>
      </c>
      <c r="E50" s="1" t="s">
        <v>77</v>
      </c>
      <c r="F50" s="1">
        <v>20</v>
      </c>
      <c r="G50" s="1">
        <v>13</v>
      </c>
      <c r="H50" s="1">
        <v>0</v>
      </c>
      <c r="K50" s="1" t="str">
        <f t="shared" si="0"/>
        <v/>
      </c>
      <c r="L50" s="1" t="str">
        <f t="shared" si="1"/>
        <v/>
      </c>
      <c r="M50" s="1" t="str">
        <f t="shared" si="2"/>
        <v/>
      </c>
      <c r="P50" s="1" t="s">
        <v>20</v>
      </c>
      <c r="V50" s="1" t="s">
        <v>27931</v>
      </c>
      <c r="X50" s="1" t="s">
        <v>27842</v>
      </c>
      <c r="AR50" s="1" t="str">
        <f t="shared" si="3"/>
        <v>| [](.md) | [躃](躃.md) |  |  | 「躄」的異體字。 |</v>
      </c>
    </row>
    <row r="51" spans="1:44" hidden="1">
      <c r="A51" s="1" t="s">
        <v>27932</v>
      </c>
      <c r="C51" s="1">
        <v>1</v>
      </c>
      <c r="D51" s="1" t="str">
        <f>"00422-1"</f>
        <v>00422-1</v>
      </c>
      <c r="E51" s="1" t="s">
        <v>250</v>
      </c>
      <c r="F51" s="1">
        <v>14</v>
      </c>
      <c r="G51" s="1">
        <v>11</v>
      </c>
      <c r="H51" s="1">
        <v>0</v>
      </c>
      <c r="K51" s="1" t="str">
        <f t="shared" si="0"/>
        <v/>
      </c>
      <c r="L51" s="1" t="str">
        <f t="shared" si="1"/>
        <v/>
      </c>
      <c r="M51" s="1" t="str">
        <f t="shared" si="2"/>
        <v/>
      </c>
      <c r="P51" s="1" t="s">
        <v>20</v>
      </c>
      <c r="V51" s="1" t="s">
        <v>27933</v>
      </c>
      <c r="X51" s="1" t="s">
        <v>27842</v>
      </c>
      <c r="AR51" s="1" t="str">
        <f t="shared" si="3"/>
        <v>| [](.md) | [𢠳](𢠳.md) |  |  | 「憋」的異體字。 |</v>
      </c>
    </row>
    <row r="52" spans="1:44" hidden="1">
      <c r="A52" s="1" t="s">
        <v>27934</v>
      </c>
      <c r="C52" s="1">
        <v>1</v>
      </c>
      <c r="D52" s="1" t="str">
        <f>"00424-1"</f>
        <v>00424-1</v>
      </c>
      <c r="E52" s="1" t="s">
        <v>3331</v>
      </c>
      <c r="F52" s="1">
        <v>24</v>
      </c>
      <c r="G52" s="1">
        <v>11</v>
      </c>
      <c r="H52" s="1">
        <v>0</v>
      </c>
      <c r="K52" s="1" t="str">
        <f t="shared" si="0"/>
        <v/>
      </c>
      <c r="L52" s="1" t="str">
        <f t="shared" si="1"/>
        <v/>
      </c>
      <c r="M52" s="1" t="str">
        <f t="shared" si="2"/>
        <v/>
      </c>
      <c r="P52" s="1" t="s">
        <v>20</v>
      </c>
      <c r="V52" s="1" t="s">
        <v>27935</v>
      </c>
      <c r="X52" s="1" t="s">
        <v>27842</v>
      </c>
      <c r="AR52" s="1" t="str">
        <f t="shared" si="3"/>
        <v>| [](.md) | [鼈](鼈.md) |  |  | 「鱉」的異體字。 |</v>
      </c>
    </row>
    <row r="53" spans="1:44" hidden="1">
      <c r="A53" s="1" t="s">
        <v>27936</v>
      </c>
      <c r="C53" s="1">
        <v>1</v>
      </c>
      <c r="D53" s="1" t="str">
        <f>"00425-1"</f>
        <v>00425-1</v>
      </c>
      <c r="E53" s="1" t="s">
        <v>185</v>
      </c>
      <c r="F53" s="1">
        <v>7</v>
      </c>
      <c r="G53" s="1">
        <v>5</v>
      </c>
      <c r="H53" s="1">
        <v>0</v>
      </c>
      <c r="K53" s="1" t="str">
        <f t="shared" si="0"/>
        <v/>
      </c>
      <c r="L53" s="1" t="str">
        <f t="shared" si="1"/>
        <v/>
      </c>
      <c r="M53" s="1" t="str">
        <f t="shared" si="2"/>
        <v/>
      </c>
      <c r="P53" s="1" t="s">
        <v>20</v>
      </c>
      <c r="V53" s="1" t="s">
        <v>27937</v>
      </c>
      <c r="X53" s="1" t="s">
        <v>27842</v>
      </c>
      <c r="AR53" s="1" t="str">
        <f t="shared" si="3"/>
        <v>| [](.md) | [别](别.md) |  |  | 「別」的異體字。 |</v>
      </c>
    </row>
    <row r="54" spans="1:44" hidden="1">
      <c r="A54" s="1" t="s">
        <v>27938</v>
      </c>
      <c r="C54" s="1">
        <v>1</v>
      </c>
      <c r="D54" s="1" t="str">
        <f>"00430-1"</f>
        <v>00430-1</v>
      </c>
      <c r="E54" s="1" t="s">
        <v>77</v>
      </c>
      <c r="F54" s="1">
        <v>18</v>
      </c>
      <c r="G54" s="1">
        <v>11</v>
      </c>
      <c r="H54" s="1">
        <v>0</v>
      </c>
      <c r="K54" s="1" t="str">
        <f t="shared" si="0"/>
        <v/>
      </c>
      <c r="L54" s="1" t="str">
        <f t="shared" si="1"/>
        <v/>
      </c>
      <c r="M54" s="1" t="str">
        <f t="shared" si="2"/>
        <v/>
      </c>
      <c r="P54" s="1" t="s">
        <v>20</v>
      </c>
      <c r="V54" s="1" t="s">
        <v>27939</v>
      </c>
      <c r="X54" s="1" t="s">
        <v>27842</v>
      </c>
      <c r="AR54" s="1" t="str">
        <f t="shared" si="3"/>
        <v>| [](.md) | [䠥](䠥.md) |  |  | 「蹩」的異體字。 |</v>
      </c>
    </row>
    <row r="55" spans="1:44" hidden="1">
      <c r="A55" s="1" t="s">
        <v>27940</v>
      </c>
      <c r="C55" s="1">
        <v>1</v>
      </c>
      <c r="D55" s="1" t="str">
        <f>"00431-1"</f>
        <v>00431-1</v>
      </c>
      <c r="E55" s="1" t="s">
        <v>40</v>
      </c>
      <c r="F55" s="1">
        <v>28</v>
      </c>
      <c r="G55" s="1">
        <v>23</v>
      </c>
      <c r="H55" s="1">
        <v>0</v>
      </c>
      <c r="K55" s="1" t="str">
        <f t="shared" si="0"/>
        <v/>
      </c>
      <c r="L55" s="1" t="str">
        <f t="shared" si="1"/>
        <v/>
      </c>
      <c r="M55" s="1" t="str">
        <f t="shared" si="2"/>
        <v/>
      </c>
      <c r="P55" s="1" t="s">
        <v>20</v>
      </c>
      <c r="V55" s="1" t="s">
        <v>27941</v>
      </c>
      <c r="X55" s="1" t="s">
        <v>27842</v>
      </c>
      <c r="AR55" s="1" t="str">
        <f t="shared" si="3"/>
        <v>| [](.md) | [㿜](㿜.md) |  |  | 「癟」的異體字。 |</v>
      </c>
    </row>
    <row r="56" spans="1:44" hidden="1">
      <c r="A56" s="1" t="s">
        <v>27942</v>
      </c>
      <c r="C56" s="1">
        <v>1</v>
      </c>
      <c r="D56" s="1" t="str">
        <f>"00439-1"</f>
        <v>00439-1</v>
      </c>
      <c r="E56" s="1" t="s">
        <v>1161</v>
      </c>
      <c r="F56" s="1">
        <v>21</v>
      </c>
      <c r="G56" s="1">
        <v>12</v>
      </c>
      <c r="H56" s="1">
        <v>0</v>
      </c>
      <c r="K56" s="1" t="str">
        <f t="shared" si="0"/>
        <v/>
      </c>
      <c r="L56" s="1" t="str">
        <f t="shared" si="1"/>
        <v/>
      </c>
      <c r="M56" s="1" t="str">
        <f t="shared" si="2"/>
        <v/>
      </c>
      <c r="P56" s="1" t="s">
        <v>20</v>
      </c>
      <c r="V56" s="1" t="s">
        <v>27943</v>
      </c>
      <c r="X56" s="1" t="s">
        <v>27842</v>
      </c>
      <c r="AR56" s="1" t="str">
        <f t="shared" si="3"/>
        <v>| [](.md) | [飇](飇.md) |  |  | 「飆」的異體字。 |</v>
      </c>
    </row>
    <row r="57" spans="1:44" hidden="1">
      <c r="A57" s="1" t="s">
        <v>27944</v>
      </c>
      <c r="C57" s="1">
        <v>1</v>
      </c>
      <c r="D57" s="1" t="str">
        <f>"00439-2"</f>
        <v>00439-2</v>
      </c>
      <c r="E57" s="1" t="s">
        <v>1161</v>
      </c>
      <c r="F57" s="1">
        <v>21</v>
      </c>
      <c r="G57" s="1">
        <v>12</v>
      </c>
      <c r="H57" s="1">
        <v>0</v>
      </c>
      <c r="K57" s="1" t="str">
        <f t="shared" si="0"/>
        <v/>
      </c>
      <c r="L57" s="1" t="str">
        <f t="shared" si="1"/>
        <v/>
      </c>
      <c r="M57" s="1" t="str">
        <f t="shared" si="2"/>
        <v/>
      </c>
      <c r="P57" s="1" t="s">
        <v>20</v>
      </c>
      <c r="V57" s="1" t="s">
        <v>27943</v>
      </c>
      <c r="X57" s="1" t="s">
        <v>27842</v>
      </c>
      <c r="AR57" s="1" t="str">
        <f t="shared" si="3"/>
        <v>| [](.md) | [飈](飈.md) |  |  | 「飆」的異體字。 |</v>
      </c>
    </row>
    <row r="58" spans="1:44" hidden="1">
      <c r="A58" s="1" t="s">
        <v>27945</v>
      </c>
      <c r="C58" s="1">
        <v>1</v>
      </c>
      <c r="D58" s="1" t="str">
        <f>"00442-1"</f>
        <v>00442-1</v>
      </c>
      <c r="E58" s="1" t="s">
        <v>139</v>
      </c>
      <c r="F58" s="1">
        <v>9</v>
      </c>
      <c r="G58" s="1">
        <v>5</v>
      </c>
      <c r="H58" s="1">
        <v>0</v>
      </c>
      <c r="K58" s="1" t="str">
        <f t="shared" si="0"/>
        <v/>
      </c>
      <c r="L58" s="1" t="str">
        <f t="shared" si="1"/>
        <v/>
      </c>
      <c r="M58" s="1" t="str">
        <f t="shared" si="2"/>
        <v/>
      </c>
      <c r="P58" s="1" t="s">
        <v>20</v>
      </c>
      <c r="V58" s="1" t="s">
        <v>27946</v>
      </c>
      <c r="X58" s="1" t="s">
        <v>27842</v>
      </c>
      <c r="AR58" s="1" t="str">
        <f t="shared" si="3"/>
        <v>| [](.md) | [标](标.md) |  |  | 「標」的異體字。 |</v>
      </c>
    </row>
    <row r="59" spans="1:44" hidden="1">
      <c r="A59" s="1" t="s">
        <v>27947</v>
      </c>
      <c r="C59" s="1">
        <v>1</v>
      </c>
      <c r="D59" s="1" t="str">
        <f>"00472-1"</f>
        <v>00472-1</v>
      </c>
      <c r="E59" s="1" t="s">
        <v>558</v>
      </c>
      <c r="F59" s="1">
        <v>6</v>
      </c>
      <c r="G59" s="1">
        <v>2</v>
      </c>
      <c r="H59" s="1">
        <v>0</v>
      </c>
      <c r="K59" s="1" t="str">
        <f t="shared" si="0"/>
        <v/>
      </c>
      <c r="L59" s="1" t="str">
        <f t="shared" si="1"/>
        <v/>
      </c>
      <c r="M59" s="1" t="str">
        <f t="shared" si="2"/>
        <v/>
      </c>
      <c r="P59" s="1" t="s">
        <v>20</v>
      </c>
      <c r="V59" s="1" t="s">
        <v>27948</v>
      </c>
      <c r="X59" s="1" t="s">
        <v>27842</v>
      </c>
      <c r="AR59" s="1" t="str">
        <f t="shared" si="3"/>
        <v>| [](.md) | [边](边.md) |  |  | 「邊」的異體字。 |</v>
      </c>
    </row>
    <row r="60" spans="1:44" hidden="1">
      <c r="A60" s="1" t="s">
        <v>27949</v>
      </c>
      <c r="C60" s="1">
        <v>1</v>
      </c>
      <c r="D60" s="1" t="str">
        <f>"00472-2"</f>
        <v>00472-2</v>
      </c>
      <c r="E60" s="1" t="s">
        <v>558</v>
      </c>
      <c r="F60" s="1">
        <v>18</v>
      </c>
      <c r="G60" s="1">
        <v>14</v>
      </c>
      <c r="H60" s="1">
        <v>0</v>
      </c>
      <c r="K60" s="1" t="str">
        <f t="shared" si="0"/>
        <v/>
      </c>
      <c r="L60" s="1" t="str">
        <f t="shared" si="1"/>
        <v/>
      </c>
      <c r="M60" s="1" t="str">
        <f t="shared" si="2"/>
        <v/>
      </c>
      <c r="P60" s="1" t="s">
        <v>20</v>
      </c>
      <c r="V60" s="1" t="s">
        <v>27948</v>
      </c>
      <c r="X60" s="1" t="s">
        <v>27842</v>
      </c>
      <c r="AR60" s="1" t="str">
        <f t="shared" si="3"/>
        <v>| [](.md) | [邉](邉.md) |  |  | 「邊」的異體字。 |</v>
      </c>
    </row>
    <row r="61" spans="1:44" hidden="1">
      <c r="A61" s="1" t="s">
        <v>27950</v>
      </c>
      <c r="C61" s="1">
        <v>1</v>
      </c>
      <c r="D61" s="1" t="str">
        <f>"00495-1"</f>
        <v>00495-1</v>
      </c>
      <c r="E61" s="1" t="s">
        <v>234</v>
      </c>
      <c r="F61" s="1">
        <v>12</v>
      </c>
      <c r="G61" s="1">
        <v>9</v>
      </c>
      <c r="H61" s="1">
        <v>0</v>
      </c>
      <c r="K61" s="1" t="str">
        <f t="shared" si="0"/>
        <v/>
      </c>
      <c r="L61" s="1" t="str">
        <f t="shared" si="1"/>
        <v/>
      </c>
      <c r="M61" s="1" t="str">
        <f t="shared" si="2"/>
        <v/>
      </c>
      <c r="P61" s="1" t="s">
        <v>20</v>
      </c>
      <c r="V61" s="1" t="s">
        <v>27951</v>
      </c>
      <c r="X61" s="1" t="s">
        <v>27842</v>
      </c>
      <c r="AR61" s="1" t="str">
        <f t="shared" si="3"/>
        <v>| [](.md) | [徧](徧.md) |  |  | 「遍」的異體字。 |</v>
      </c>
    </row>
    <row r="62" spans="1:44" hidden="1">
      <c r="A62" s="1" t="s">
        <v>27952</v>
      </c>
      <c r="C62" s="1">
        <v>1</v>
      </c>
      <c r="D62" s="1" t="str">
        <f>"00501-1"</f>
        <v>00501-1</v>
      </c>
      <c r="E62" s="1" t="s">
        <v>3981</v>
      </c>
      <c r="F62" s="1">
        <v>9</v>
      </c>
      <c r="G62" s="1">
        <v>6</v>
      </c>
      <c r="H62" s="1">
        <v>0</v>
      </c>
      <c r="K62" s="1" t="str">
        <f t="shared" si="0"/>
        <v/>
      </c>
      <c r="L62" s="1" t="str">
        <f t="shared" si="1"/>
        <v/>
      </c>
      <c r="M62" s="1" t="str">
        <f t="shared" si="2"/>
        <v/>
      </c>
      <c r="P62" s="1" t="s">
        <v>20</v>
      </c>
      <c r="V62" s="1" t="s">
        <v>27953</v>
      </c>
      <c r="X62" s="1" t="s">
        <v>27842</v>
      </c>
      <c r="AR62" s="1" t="str">
        <f t="shared" si="3"/>
        <v>| [](.md) | [変](変.md) |  |  | 「變」的異體字。 |</v>
      </c>
    </row>
    <row r="63" spans="1:44" hidden="1">
      <c r="A63" s="1" t="s">
        <v>27954</v>
      </c>
      <c r="C63" s="1">
        <v>1</v>
      </c>
      <c r="D63" s="1" t="str">
        <f>"00508-1"</f>
        <v>00508-1</v>
      </c>
      <c r="E63" s="1" t="s">
        <v>825</v>
      </c>
      <c r="F63" s="1">
        <v>13</v>
      </c>
      <c r="G63" s="1">
        <v>8</v>
      </c>
      <c r="H63" s="1">
        <v>0</v>
      </c>
      <c r="K63" s="1" t="str">
        <f t="shared" si="0"/>
        <v/>
      </c>
      <c r="L63" s="1" t="str">
        <f t="shared" si="1"/>
        <v/>
      </c>
      <c r="M63" s="1" t="str">
        <f t="shared" si="2"/>
        <v/>
      </c>
      <c r="P63" s="1" t="s">
        <v>20</v>
      </c>
      <c r="V63" s="1" t="s">
        <v>27955</v>
      </c>
      <c r="X63" s="1" t="s">
        <v>27842</v>
      </c>
      <c r="AR63" s="1" t="str">
        <f t="shared" si="3"/>
        <v>| [](.md) | [禀](禀.md) |  |  | 「稟」的異體字。 |</v>
      </c>
    </row>
    <row r="64" spans="1:44" hidden="1">
      <c r="A64" s="1" t="s">
        <v>27956</v>
      </c>
      <c r="C64" s="1">
        <v>1</v>
      </c>
      <c r="D64" s="1" t="str">
        <f>"00509-1"</f>
        <v>00509-1</v>
      </c>
      <c r="E64" s="1" t="s">
        <v>624</v>
      </c>
      <c r="F64" s="1">
        <v>10</v>
      </c>
      <c r="G64" s="1">
        <v>7</v>
      </c>
      <c r="H64" s="1">
        <v>0</v>
      </c>
      <c r="K64" s="1" t="str">
        <f t="shared" si="0"/>
        <v/>
      </c>
      <c r="L64" s="1" t="str">
        <f t="shared" si="1"/>
        <v/>
      </c>
      <c r="M64" s="1" t="str">
        <f t="shared" si="2"/>
        <v/>
      </c>
      <c r="P64" s="1" t="s">
        <v>20</v>
      </c>
      <c r="V64" s="1" t="s">
        <v>27957</v>
      </c>
      <c r="X64" s="1" t="s">
        <v>27842</v>
      </c>
      <c r="AR64" s="1" t="str">
        <f t="shared" si="3"/>
        <v>| [](.md) | [宾](宾.md) |  |  | 「賓」的異體字。 |</v>
      </c>
    </row>
    <row r="65" spans="1:44" hidden="1">
      <c r="A65" s="1" t="s">
        <v>27958</v>
      </c>
      <c r="C65" s="1">
        <v>1</v>
      </c>
      <c r="D65" s="1" t="str">
        <f>"00509-2"</f>
        <v>00509-2</v>
      </c>
      <c r="E65" s="1" t="s">
        <v>505</v>
      </c>
      <c r="F65" s="1">
        <v>14</v>
      </c>
      <c r="G65" s="1">
        <v>7</v>
      </c>
      <c r="H65" s="1">
        <v>0</v>
      </c>
      <c r="K65" s="1" t="str">
        <f t="shared" si="0"/>
        <v/>
      </c>
      <c r="L65" s="1" t="str">
        <f t="shared" si="1"/>
        <v/>
      </c>
      <c r="M65" s="1" t="str">
        <f t="shared" si="2"/>
        <v/>
      </c>
      <c r="P65" s="1" t="s">
        <v>20</v>
      </c>
      <c r="V65" s="1" t="s">
        <v>27957</v>
      </c>
      <c r="X65" s="1" t="s">
        <v>27842</v>
      </c>
      <c r="AR65" s="1" t="str">
        <f t="shared" si="3"/>
        <v>| [](.md) | [賔](賔.md) |  |  | 「賓」的異體字。 |</v>
      </c>
    </row>
    <row r="66" spans="1:44" hidden="1">
      <c r="A66" s="1" t="s">
        <v>27959</v>
      </c>
      <c r="C66" s="1">
        <v>1</v>
      </c>
      <c r="D66" s="1" t="str">
        <f>"00510-1"</f>
        <v>00510-1</v>
      </c>
      <c r="E66" s="1" t="s">
        <v>114</v>
      </c>
      <c r="F66" s="1">
        <v>16</v>
      </c>
      <c r="G66" s="1">
        <v>14</v>
      </c>
      <c r="H66" s="1">
        <v>0</v>
      </c>
      <c r="K66" s="1" t="str">
        <f t="shared" ref="K66:K129" si="4">LEFT(I66, 1)</f>
        <v/>
      </c>
      <c r="L66" s="1" t="str">
        <f t="shared" ref="L66:L129" si="5">MID(I66, 2, 1)</f>
        <v/>
      </c>
      <c r="M66" s="1" t="str">
        <f t="shared" ref="M66:M129" si="6">MID(I66, 3, 1)</f>
        <v/>
      </c>
      <c r="P66" s="1" t="s">
        <v>20</v>
      </c>
      <c r="V66" s="1" t="s">
        <v>27960</v>
      </c>
      <c r="X66" s="1" t="s">
        <v>27842</v>
      </c>
      <c r="AR66" s="1" t="str">
        <f t="shared" si="3"/>
        <v>| [](.md) | [󼆻](󼆻.md) |  |  | 「儐」的異體字。 |</v>
      </c>
    </row>
    <row r="67" spans="1:44" hidden="1">
      <c r="A67" s="1" t="s">
        <v>27961</v>
      </c>
      <c r="C67" s="1">
        <v>1</v>
      </c>
      <c r="D67" s="1" t="str">
        <f>"00511-1"</f>
        <v>00511-1</v>
      </c>
      <c r="E67" s="1" t="s">
        <v>129</v>
      </c>
      <c r="F67" s="1">
        <v>10</v>
      </c>
      <c r="G67" s="1">
        <v>7</v>
      </c>
      <c r="H67" s="1">
        <v>0</v>
      </c>
      <c r="K67" s="1" t="str">
        <f t="shared" si="4"/>
        <v/>
      </c>
      <c r="L67" s="1" t="str">
        <f t="shared" si="5"/>
        <v/>
      </c>
      <c r="M67" s="1" t="str">
        <f t="shared" si="6"/>
        <v/>
      </c>
      <c r="P67" s="1" t="s">
        <v>20</v>
      </c>
      <c r="V67" s="1" t="s">
        <v>27962</v>
      </c>
      <c r="X67" s="1" t="s">
        <v>27842</v>
      </c>
      <c r="AR67" s="1" t="str">
        <f t="shared" ref="AR67:AR130" si="7">"| ["&amp;I67&amp;"]("&amp;I67&amp;".md) | ["&amp;A67&amp;"]("&amp;A67&amp;".md) | "&amp;" | "&amp;R67&amp;" | "&amp;V67&amp;" |"</f>
        <v>| [](.md) | [浜](浜.md) |  |  | 「濱」的異體字。 |</v>
      </c>
    </row>
    <row r="68" spans="1:44" hidden="1">
      <c r="A68" s="1" t="s">
        <v>27963</v>
      </c>
      <c r="C68" s="1">
        <v>1</v>
      </c>
      <c r="D68" s="1" t="str">
        <f>"00511-2"</f>
        <v>00511-2</v>
      </c>
      <c r="E68" s="1" t="s">
        <v>129</v>
      </c>
      <c r="F68" s="1">
        <v>13</v>
      </c>
      <c r="G68" s="1">
        <v>10</v>
      </c>
      <c r="H68" s="1">
        <v>0</v>
      </c>
      <c r="K68" s="1" t="str">
        <f t="shared" si="4"/>
        <v/>
      </c>
      <c r="L68" s="1" t="str">
        <f t="shared" si="5"/>
        <v/>
      </c>
      <c r="M68" s="1" t="str">
        <f t="shared" si="6"/>
        <v/>
      </c>
      <c r="P68" s="1" t="s">
        <v>20</v>
      </c>
      <c r="V68" s="1" t="s">
        <v>27962</v>
      </c>
      <c r="X68" s="1" t="s">
        <v>27842</v>
      </c>
      <c r="AR68" s="1" t="str">
        <f t="shared" si="7"/>
        <v>| [](.md) | [滨](滨.md) |  |  | 「濱」的異體字。 |</v>
      </c>
    </row>
    <row r="69" spans="1:44" hidden="1">
      <c r="A69" s="1" t="s">
        <v>27964</v>
      </c>
      <c r="C69" s="1">
        <v>1</v>
      </c>
      <c r="D69" s="1" t="str">
        <f>"00511-3"</f>
        <v>00511-3</v>
      </c>
      <c r="E69" s="1" t="s">
        <v>129</v>
      </c>
      <c r="F69" s="1">
        <v>17</v>
      </c>
      <c r="G69" s="1">
        <v>14</v>
      </c>
      <c r="H69" s="1">
        <v>0</v>
      </c>
      <c r="K69" s="1" t="str">
        <f t="shared" si="4"/>
        <v/>
      </c>
      <c r="L69" s="1" t="str">
        <f t="shared" si="5"/>
        <v/>
      </c>
      <c r="M69" s="1" t="str">
        <f t="shared" si="6"/>
        <v/>
      </c>
      <c r="P69" s="1" t="s">
        <v>20</v>
      </c>
      <c r="V69" s="1" t="s">
        <v>27962</v>
      </c>
      <c r="X69" s="1" t="s">
        <v>27842</v>
      </c>
      <c r="AR69" s="1" t="str">
        <f t="shared" si="7"/>
        <v>| [](.md) | [濵](濵.md) |  |  | 「濱」的異體字。 |</v>
      </c>
    </row>
    <row r="70" spans="1:44" hidden="1">
      <c r="A70" s="1" t="s">
        <v>27965</v>
      </c>
      <c r="C70" s="1">
        <v>1</v>
      </c>
      <c r="D70" s="1" t="str">
        <f>"00512-1"</f>
        <v>00512-1</v>
      </c>
      <c r="E70" s="1" t="s">
        <v>139</v>
      </c>
      <c r="F70" s="1">
        <v>11</v>
      </c>
      <c r="G70" s="1">
        <v>7</v>
      </c>
      <c r="H70" s="1">
        <v>0</v>
      </c>
      <c r="K70" s="1" t="str">
        <f t="shared" si="4"/>
        <v/>
      </c>
      <c r="L70" s="1" t="str">
        <f t="shared" si="5"/>
        <v/>
      </c>
      <c r="M70" s="1" t="str">
        <f t="shared" si="6"/>
        <v/>
      </c>
      <c r="P70" s="1" t="s">
        <v>20</v>
      </c>
      <c r="V70" s="1" t="s">
        <v>27966</v>
      </c>
      <c r="X70" s="1" t="s">
        <v>27842</v>
      </c>
      <c r="AR70" s="1" t="str">
        <f t="shared" si="7"/>
        <v>| [](.md) | [梹](梹.md) |  |  | 「檳」的異體字。 |</v>
      </c>
    </row>
    <row r="71" spans="1:44" hidden="1">
      <c r="A71" s="1" t="s">
        <v>27967</v>
      </c>
      <c r="C71" s="1">
        <v>1</v>
      </c>
      <c r="D71" s="1" t="str">
        <f>"00512-2"</f>
        <v>00512-2</v>
      </c>
      <c r="E71" s="1" t="s">
        <v>139</v>
      </c>
      <c r="F71" s="1">
        <v>18</v>
      </c>
      <c r="G71" s="1">
        <v>14</v>
      </c>
      <c r="H71" s="1">
        <v>0</v>
      </c>
      <c r="K71" s="1" t="str">
        <f t="shared" si="4"/>
        <v/>
      </c>
      <c r="L71" s="1" t="str">
        <f t="shared" si="5"/>
        <v/>
      </c>
      <c r="M71" s="1" t="str">
        <f t="shared" si="6"/>
        <v/>
      </c>
      <c r="P71" s="1" t="s">
        <v>20</v>
      </c>
      <c r="V71" s="1" t="s">
        <v>27966</v>
      </c>
      <c r="X71" s="1" t="s">
        <v>27842</v>
      </c>
      <c r="AR71" s="1" t="str">
        <f t="shared" si="7"/>
        <v>| [](.md) | [㯽](㯽.md) |  |  | 「檳」的異體字。 |</v>
      </c>
    </row>
    <row r="72" spans="1:44" hidden="1">
      <c r="A72" s="1" t="s">
        <v>27968</v>
      </c>
      <c r="C72" s="1">
        <v>1</v>
      </c>
      <c r="D72" s="1" t="str">
        <f>"00520-1"</f>
        <v>00520-1</v>
      </c>
      <c r="E72" s="1" t="s">
        <v>24</v>
      </c>
      <c r="F72" s="1">
        <v>13</v>
      </c>
      <c r="G72" s="1">
        <v>10</v>
      </c>
      <c r="H72" s="1">
        <v>0</v>
      </c>
      <c r="K72" s="1" t="str">
        <f t="shared" si="4"/>
        <v/>
      </c>
      <c r="L72" s="1" t="str">
        <f t="shared" si="5"/>
        <v/>
      </c>
      <c r="M72" s="1" t="str">
        <f t="shared" si="6"/>
        <v/>
      </c>
      <c r="P72" s="1" t="s">
        <v>20</v>
      </c>
      <c r="V72" s="1" t="s">
        <v>27969</v>
      </c>
      <c r="X72" s="1" t="s">
        <v>27842</v>
      </c>
      <c r="AR72" s="1" t="str">
        <f t="shared" si="7"/>
        <v>| [](.md) | [摈](摈.md) |  |  | 「擯」的異體字。 |</v>
      </c>
    </row>
    <row r="73" spans="1:44" hidden="1">
      <c r="A73" s="1" t="s">
        <v>27970</v>
      </c>
      <c r="C73" s="1">
        <v>1</v>
      </c>
      <c r="D73" s="1" t="str">
        <f>"00521-1"</f>
        <v>00521-1</v>
      </c>
      <c r="E73" s="1" t="s">
        <v>1372</v>
      </c>
      <c r="F73" s="1">
        <v>14</v>
      </c>
      <c r="G73" s="1">
        <v>10</v>
      </c>
      <c r="H73" s="1">
        <v>0</v>
      </c>
      <c r="K73" s="1" t="str">
        <f t="shared" si="4"/>
        <v/>
      </c>
      <c r="L73" s="1" t="str">
        <f t="shared" si="5"/>
        <v/>
      </c>
      <c r="M73" s="1" t="str">
        <f t="shared" si="6"/>
        <v/>
      </c>
      <c r="P73" s="1" t="s">
        <v>20</v>
      </c>
      <c r="V73" s="1" t="s">
        <v>27971</v>
      </c>
      <c r="X73" s="1" t="s">
        <v>27842</v>
      </c>
      <c r="AR73" s="1" t="str">
        <f t="shared" si="7"/>
        <v>| [](.md) | [殡](殡.md) |  |  | 「殯」的異體字。 |</v>
      </c>
    </row>
    <row r="74" spans="1:44" hidden="1">
      <c r="A74" s="1" t="s">
        <v>27972</v>
      </c>
      <c r="C74" s="1">
        <v>1</v>
      </c>
      <c r="D74" s="1" t="str">
        <f>"00522-1"</f>
        <v>00522-1</v>
      </c>
      <c r="E74" s="1" t="s">
        <v>68</v>
      </c>
      <c r="F74" s="1">
        <v>14</v>
      </c>
      <c r="G74" s="1">
        <v>10</v>
      </c>
      <c r="H74" s="1">
        <v>0</v>
      </c>
      <c r="K74" s="1" t="str">
        <f t="shared" si="4"/>
        <v/>
      </c>
      <c r="L74" s="1" t="str">
        <f t="shared" si="5"/>
        <v/>
      </c>
      <c r="M74" s="1" t="str">
        <f t="shared" si="6"/>
        <v/>
      </c>
      <c r="P74" s="1" t="s">
        <v>20</v>
      </c>
      <c r="V74" s="1" t="s">
        <v>27973</v>
      </c>
      <c r="X74" s="1" t="s">
        <v>27842</v>
      </c>
      <c r="AR74" s="1" t="str">
        <f t="shared" si="7"/>
        <v>| [](.md) | [膑](膑.md) |  |  | 「臏」的異體字。 |</v>
      </c>
    </row>
    <row r="75" spans="1:44" hidden="1">
      <c r="A75" s="1" t="s">
        <v>27974</v>
      </c>
      <c r="C75" s="1">
        <v>1</v>
      </c>
      <c r="D75" s="1" t="str">
        <f>"00523-1"</f>
        <v>00523-1</v>
      </c>
      <c r="E75" s="1" t="s">
        <v>1078</v>
      </c>
      <c r="F75" s="1">
        <v>14</v>
      </c>
      <c r="G75" s="1">
        <v>4</v>
      </c>
      <c r="H75" s="1">
        <v>0</v>
      </c>
      <c r="K75" s="1" t="str">
        <f t="shared" si="4"/>
        <v/>
      </c>
      <c r="L75" s="1" t="str">
        <f t="shared" si="5"/>
        <v/>
      </c>
      <c r="M75" s="1" t="str">
        <f t="shared" si="6"/>
        <v/>
      </c>
      <c r="P75" s="1" t="s">
        <v>20</v>
      </c>
      <c r="V75" s="1" t="s">
        <v>27975</v>
      </c>
      <c r="X75" s="1" t="s">
        <v>27842</v>
      </c>
      <c r="AR75" s="1" t="str">
        <f t="shared" si="7"/>
        <v>| [](.md) | [髩](髩.md) |  |  | 「鬢」的異體字。 |</v>
      </c>
    </row>
    <row r="76" spans="1:44" hidden="1">
      <c r="A76" s="1" t="s">
        <v>27976</v>
      </c>
      <c r="C76" s="1">
        <v>1</v>
      </c>
      <c r="D76" s="1" t="str">
        <f>"00523-2"</f>
        <v>00523-2</v>
      </c>
      <c r="E76" s="1" t="s">
        <v>1078</v>
      </c>
      <c r="F76" s="1">
        <v>17</v>
      </c>
      <c r="G76" s="1">
        <v>7</v>
      </c>
      <c r="H76" s="1">
        <v>0</v>
      </c>
      <c r="K76" s="1" t="str">
        <f t="shared" si="4"/>
        <v/>
      </c>
      <c r="L76" s="1" t="str">
        <f t="shared" si="5"/>
        <v/>
      </c>
      <c r="M76" s="1" t="str">
        <f t="shared" si="6"/>
        <v/>
      </c>
      <c r="P76" s="1" t="s">
        <v>20</v>
      </c>
      <c r="V76" s="1" t="s">
        <v>27975</v>
      </c>
      <c r="X76" s="1" t="s">
        <v>27842</v>
      </c>
      <c r="AR76" s="1" t="str">
        <f t="shared" si="7"/>
        <v>| [](.md) | [鬂](鬂.md) |  |  | 「鬢」的異體字。 |</v>
      </c>
    </row>
    <row r="77" spans="1:44" hidden="1">
      <c r="A77" s="1" t="s">
        <v>27977</v>
      </c>
      <c r="C77" s="1">
        <v>1</v>
      </c>
      <c r="D77" s="1" t="str">
        <f>"00523-3"</f>
        <v>00523-3</v>
      </c>
      <c r="E77" s="1" t="s">
        <v>1078</v>
      </c>
      <c r="F77" s="1">
        <v>24</v>
      </c>
      <c r="G77" s="1">
        <v>14</v>
      </c>
      <c r="H77" s="1">
        <v>0</v>
      </c>
      <c r="K77" s="1" t="str">
        <f t="shared" si="4"/>
        <v/>
      </c>
      <c r="L77" s="1" t="str">
        <f t="shared" si="5"/>
        <v/>
      </c>
      <c r="M77" s="1" t="str">
        <f t="shared" si="6"/>
        <v/>
      </c>
      <c r="P77" s="1" t="s">
        <v>20</v>
      </c>
      <c r="V77" s="1" t="s">
        <v>27975</v>
      </c>
      <c r="X77" s="1" t="s">
        <v>27842</v>
      </c>
      <c r="AR77" s="1" t="str">
        <f t="shared" si="7"/>
        <v>| [](.md) | [𩯭](𩯭.md) |  |  | 「鬢」的異體字。 |</v>
      </c>
    </row>
    <row r="78" spans="1:44" hidden="1">
      <c r="A78" s="1" t="s">
        <v>27978</v>
      </c>
      <c r="C78" s="1">
        <v>1</v>
      </c>
      <c r="D78" s="1" t="str">
        <f>"00526-1"</f>
        <v>00526-1</v>
      </c>
      <c r="E78" s="1" t="s">
        <v>1386</v>
      </c>
      <c r="F78" s="1">
        <v>8</v>
      </c>
      <c r="G78" s="1">
        <v>5</v>
      </c>
      <c r="H78" s="1">
        <v>0</v>
      </c>
      <c r="K78" s="1" t="str">
        <f t="shared" si="4"/>
        <v/>
      </c>
      <c r="L78" s="1" t="str">
        <f t="shared" si="5"/>
        <v/>
      </c>
      <c r="M78" s="1" t="str">
        <f t="shared" si="6"/>
        <v/>
      </c>
      <c r="P78" s="1" t="s">
        <v>20</v>
      </c>
      <c r="V78" s="1" t="s">
        <v>27979</v>
      </c>
      <c r="X78" s="1" t="s">
        <v>27842</v>
      </c>
      <c r="AR78" s="1" t="str">
        <f t="shared" si="7"/>
        <v>| [](.md) | [幷](幷.md) |  |  | 「并」的異體字。 |</v>
      </c>
    </row>
    <row r="79" spans="1:44" hidden="1">
      <c r="A79" s="1" t="s">
        <v>27980</v>
      </c>
      <c r="C79" s="1">
        <v>1</v>
      </c>
      <c r="D79" s="1" t="str">
        <f>"00527-1"</f>
        <v>00527-1</v>
      </c>
      <c r="E79" s="1" t="s">
        <v>871</v>
      </c>
      <c r="F79" s="1">
        <v>11</v>
      </c>
      <c r="G79" s="1">
        <v>8</v>
      </c>
      <c r="H79" s="1">
        <v>0</v>
      </c>
      <c r="K79" s="1" t="str">
        <f t="shared" si="4"/>
        <v/>
      </c>
      <c r="L79" s="1" t="str">
        <f t="shared" si="5"/>
        <v/>
      </c>
      <c r="M79" s="1" t="str">
        <f t="shared" si="6"/>
        <v/>
      </c>
      <c r="P79" s="1" t="s">
        <v>20</v>
      </c>
      <c r="V79" s="1" t="s">
        <v>27981</v>
      </c>
      <c r="X79" s="1" t="s">
        <v>27842</v>
      </c>
      <c r="AR79" s="1" t="str">
        <f t="shared" si="7"/>
        <v>| [](.md) | [屛](屛.md) |  |  | 「屏」的異體字。 |</v>
      </c>
    </row>
    <row r="80" spans="1:44" hidden="1">
      <c r="A80" s="1" t="s">
        <v>27982</v>
      </c>
      <c r="C80" s="1">
        <v>1</v>
      </c>
      <c r="D80" s="1" t="str">
        <f>"00528-1"</f>
        <v>00528-1</v>
      </c>
      <c r="E80" s="1" t="s">
        <v>139</v>
      </c>
      <c r="F80" s="1">
        <v>12</v>
      </c>
      <c r="G80" s="1">
        <v>8</v>
      </c>
      <c r="H80" s="1">
        <v>0</v>
      </c>
      <c r="K80" s="1" t="str">
        <f t="shared" si="4"/>
        <v/>
      </c>
      <c r="L80" s="1" t="str">
        <f t="shared" si="5"/>
        <v/>
      </c>
      <c r="M80" s="1" t="str">
        <f t="shared" si="6"/>
        <v/>
      </c>
      <c r="P80" s="1" t="s">
        <v>20</v>
      </c>
      <c r="V80" s="1" t="s">
        <v>27983</v>
      </c>
      <c r="X80" s="1" t="s">
        <v>27842</v>
      </c>
      <c r="AR80" s="1" t="str">
        <f t="shared" si="7"/>
        <v>| [](.md) | [栟](栟.md) |  |  | 「栟」的異體字。 |</v>
      </c>
    </row>
    <row r="81" spans="1:44" hidden="1">
      <c r="A81" s="1" t="s">
        <v>27984</v>
      </c>
      <c r="C81" s="1">
        <v>1</v>
      </c>
      <c r="D81" s="1" t="str">
        <f>"00529-1"</f>
        <v>00529-1</v>
      </c>
      <c r="E81" s="1" t="s">
        <v>129</v>
      </c>
      <c r="F81" s="1">
        <v>5</v>
      </c>
      <c r="G81" s="1">
        <v>1</v>
      </c>
      <c r="H81" s="1">
        <v>0</v>
      </c>
      <c r="K81" s="1" t="str">
        <f t="shared" si="4"/>
        <v/>
      </c>
      <c r="L81" s="1" t="str">
        <f t="shared" si="5"/>
        <v/>
      </c>
      <c r="M81" s="1" t="str">
        <f t="shared" si="6"/>
        <v/>
      </c>
      <c r="P81" s="1" t="s">
        <v>20</v>
      </c>
      <c r="V81" s="1" t="s">
        <v>27985</v>
      </c>
      <c r="X81" s="1" t="s">
        <v>27842</v>
      </c>
      <c r="AR81" s="1" t="str">
        <f t="shared" si="7"/>
        <v>| [](.md) | [氷](氷.md) |  |  | 「冰」的異體字。 |</v>
      </c>
    </row>
    <row r="82" spans="1:44" hidden="1">
      <c r="A82" s="1" t="s">
        <v>27986</v>
      </c>
      <c r="C82" s="1">
        <v>1</v>
      </c>
      <c r="D82" s="1" t="str">
        <f>"00536-1"</f>
        <v>00536-1</v>
      </c>
      <c r="E82" s="1" t="s">
        <v>646</v>
      </c>
      <c r="F82" s="1">
        <v>9</v>
      </c>
      <c r="G82" s="1">
        <v>5</v>
      </c>
      <c r="H82" s="1">
        <v>0</v>
      </c>
      <c r="K82" s="1" t="str">
        <f t="shared" si="4"/>
        <v/>
      </c>
      <c r="L82" s="1" t="str">
        <f t="shared" si="5"/>
        <v/>
      </c>
      <c r="M82" s="1" t="str">
        <f t="shared" si="6"/>
        <v/>
      </c>
      <c r="P82" s="1" t="s">
        <v>20</v>
      </c>
      <c r="V82" s="1" t="s">
        <v>27987</v>
      </c>
      <c r="X82" s="1" t="s">
        <v>27842</v>
      </c>
      <c r="AR82" s="1" t="str">
        <f t="shared" si="7"/>
        <v>| [](.md) | [昞](昞.md) |  |  | 「炳」的異體字。 |</v>
      </c>
    </row>
    <row r="83" spans="1:44" hidden="1">
      <c r="A83" s="1" t="s">
        <v>27988</v>
      </c>
      <c r="C83" s="1">
        <v>1</v>
      </c>
      <c r="D83" s="1" t="str">
        <f>"00542-1"</f>
        <v>00542-1</v>
      </c>
      <c r="E83" s="1" t="s">
        <v>55</v>
      </c>
      <c r="F83" s="1">
        <v>16</v>
      </c>
      <c r="G83" s="1">
        <v>8</v>
      </c>
      <c r="H83" s="1">
        <v>0</v>
      </c>
      <c r="K83" s="1" t="str">
        <f t="shared" si="4"/>
        <v/>
      </c>
      <c r="L83" s="1" t="str">
        <f t="shared" si="5"/>
        <v/>
      </c>
      <c r="M83" s="1" t="str">
        <f t="shared" si="6"/>
        <v/>
      </c>
      <c r="P83" s="1" t="s">
        <v>20</v>
      </c>
      <c r="V83" s="1" t="s">
        <v>27989</v>
      </c>
      <c r="X83" s="1" t="s">
        <v>27842</v>
      </c>
      <c r="AR83" s="1" t="str">
        <f t="shared" si="7"/>
        <v>| [](.md) | [鉼](鉼.md) |  |  | 「鉼」的異體字。 |</v>
      </c>
    </row>
    <row r="84" spans="1:44" hidden="1">
      <c r="A84" s="1" t="s">
        <v>27990</v>
      </c>
      <c r="C84" s="1">
        <v>1</v>
      </c>
      <c r="D84" s="1" t="str">
        <f>"00543-1"</f>
        <v>00543-1</v>
      </c>
      <c r="E84" s="1" t="s">
        <v>193</v>
      </c>
      <c r="F84" s="1">
        <v>16</v>
      </c>
      <c r="G84" s="1">
        <v>8</v>
      </c>
      <c r="H84" s="1">
        <v>0</v>
      </c>
      <c r="K84" s="1" t="str">
        <f t="shared" si="4"/>
        <v/>
      </c>
      <c r="L84" s="1" t="str">
        <f t="shared" si="5"/>
        <v/>
      </c>
      <c r="M84" s="1" t="str">
        <f t="shared" si="6"/>
        <v/>
      </c>
      <c r="P84" s="1" t="s">
        <v>20</v>
      </c>
      <c r="V84" s="1" t="s">
        <v>27991</v>
      </c>
      <c r="X84" s="1" t="s">
        <v>27842</v>
      </c>
      <c r="AR84" s="1" t="str">
        <f t="shared" si="7"/>
        <v>| [](.md) | [餠](餠.md) |  |  | 「餅」的異體字。 |</v>
      </c>
    </row>
    <row r="85" spans="1:44" hidden="1">
      <c r="A85" s="1" t="s">
        <v>27992</v>
      </c>
      <c r="C85" s="1">
        <v>1</v>
      </c>
      <c r="D85" s="1" t="str">
        <f>"00547-1"</f>
        <v>00547-1</v>
      </c>
      <c r="E85" s="1" t="s">
        <v>114</v>
      </c>
      <c r="F85" s="1">
        <v>10</v>
      </c>
      <c r="G85" s="1">
        <v>8</v>
      </c>
      <c r="H85" s="1">
        <v>0</v>
      </c>
      <c r="K85" s="1" t="str">
        <f t="shared" si="4"/>
        <v/>
      </c>
      <c r="L85" s="1" t="str">
        <f t="shared" si="5"/>
        <v/>
      </c>
      <c r="M85" s="1" t="str">
        <f t="shared" si="6"/>
        <v/>
      </c>
      <c r="P85" s="1" t="s">
        <v>20</v>
      </c>
      <c r="V85" s="1" t="s">
        <v>27993</v>
      </c>
      <c r="X85" s="1" t="s">
        <v>27842</v>
      </c>
      <c r="AR85" s="1" t="str">
        <f t="shared" si="7"/>
        <v>| [](.md) | [倂](倂.md) |  |  | 「併」的異體字。 |</v>
      </c>
    </row>
    <row r="86" spans="1:44" hidden="1">
      <c r="A86" s="1" t="s">
        <v>27994</v>
      </c>
      <c r="C86" s="1">
        <v>1</v>
      </c>
      <c r="D86" s="1" t="str">
        <f>"00548-1"</f>
        <v>00548-1</v>
      </c>
      <c r="E86" s="1" t="s">
        <v>114</v>
      </c>
      <c r="F86" s="1">
        <v>13</v>
      </c>
      <c r="G86" s="1">
        <v>11</v>
      </c>
      <c r="H86" s="1">
        <v>0</v>
      </c>
      <c r="K86" s="1" t="str">
        <f t="shared" si="4"/>
        <v/>
      </c>
      <c r="L86" s="1" t="str">
        <f t="shared" si="5"/>
        <v/>
      </c>
      <c r="M86" s="1" t="str">
        <f t="shared" si="6"/>
        <v/>
      </c>
      <c r="P86" s="1" t="s">
        <v>20</v>
      </c>
      <c r="V86" s="1" t="s">
        <v>27995</v>
      </c>
      <c r="X86" s="1" t="s">
        <v>27842</v>
      </c>
      <c r="AR86" s="1" t="str">
        <f t="shared" si="7"/>
        <v>| [](.md) | [𠌸](𠌸.md) |  |  | 「偋」的異體字。 |</v>
      </c>
    </row>
    <row r="87" spans="1:44" hidden="1">
      <c r="A87" s="1" t="s">
        <v>27996</v>
      </c>
      <c r="C87" s="1">
        <v>1</v>
      </c>
      <c r="D87" s="1" t="str">
        <f>"00549-1"</f>
        <v>00549-1</v>
      </c>
      <c r="E87" s="1" t="s">
        <v>24</v>
      </c>
      <c r="F87" s="1">
        <v>14</v>
      </c>
      <c r="G87" s="1">
        <v>11</v>
      </c>
      <c r="H87" s="1">
        <v>0</v>
      </c>
      <c r="K87" s="1" t="str">
        <f t="shared" si="4"/>
        <v/>
      </c>
      <c r="L87" s="1" t="str">
        <f t="shared" si="5"/>
        <v/>
      </c>
      <c r="M87" s="1" t="str">
        <f t="shared" si="6"/>
        <v/>
      </c>
      <c r="P87" s="1" t="s">
        <v>20</v>
      </c>
      <c r="V87" s="1" t="s">
        <v>27997</v>
      </c>
      <c r="X87" s="1" t="s">
        <v>27842</v>
      </c>
      <c r="AR87" s="1" t="str">
        <f t="shared" si="7"/>
        <v>| [](.md) | [󲓧](󲓧.md) |  |  | 「摒」的異體字。 |</v>
      </c>
    </row>
    <row r="88" spans="1:44" hidden="1">
      <c r="A88" s="1" t="s">
        <v>27998</v>
      </c>
      <c r="C88" s="1">
        <v>1</v>
      </c>
      <c r="D88" s="1" t="str">
        <f>"00564-1"</f>
        <v>00564-1</v>
      </c>
      <c r="E88" s="1" t="s">
        <v>340</v>
      </c>
      <c r="F88" s="1">
        <v>8</v>
      </c>
      <c r="G88" s="1">
        <v>2</v>
      </c>
      <c r="H88" s="1">
        <v>0</v>
      </c>
      <c r="K88" s="1" t="str">
        <f t="shared" si="4"/>
        <v/>
      </c>
      <c r="L88" s="1" t="str">
        <f t="shared" si="5"/>
        <v/>
      </c>
      <c r="M88" s="1" t="str">
        <f t="shared" si="6"/>
        <v/>
      </c>
      <c r="P88" s="1" t="s">
        <v>20</v>
      </c>
      <c r="V88" s="1" t="s">
        <v>27999</v>
      </c>
      <c r="X88" s="1" t="s">
        <v>27842</v>
      </c>
      <c r="AR88" s="1" t="str">
        <f t="shared" si="7"/>
        <v>| [](.md) | [补](补.md) |  |  | 「補」的異體字。 |</v>
      </c>
    </row>
    <row r="89" spans="1:44" hidden="1">
      <c r="A89" s="1" t="s">
        <v>28000</v>
      </c>
      <c r="C89" s="1">
        <v>1</v>
      </c>
      <c r="D89" s="1" t="str">
        <f>"00603-1"</f>
        <v>00603-1</v>
      </c>
      <c r="E89" s="1" t="s">
        <v>534</v>
      </c>
      <c r="F89" s="1">
        <v>13</v>
      </c>
      <c r="G89" s="1">
        <v>10</v>
      </c>
      <c r="H89" s="1">
        <v>0</v>
      </c>
      <c r="K89" s="1" t="str">
        <f t="shared" si="4"/>
        <v/>
      </c>
      <c r="L89" s="1" t="str">
        <f t="shared" si="5"/>
        <v/>
      </c>
      <c r="M89" s="1" t="str">
        <f t="shared" si="6"/>
        <v/>
      </c>
      <c r="P89" s="1" t="s">
        <v>20</v>
      </c>
      <c r="V89" s="1" t="s">
        <v>28001</v>
      </c>
      <c r="X89" s="1" t="s">
        <v>27842</v>
      </c>
      <c r="AR89" s="1" t="str">
        <f t="shared" si="7"/>
        <v>| [](.md) | [㜑](㜑.md) |  |  | 「婆」的異體字。 |</v>
      </c>
    </row>
    <row r="90" spans="1:44" hidden="1">
      <c r="A90" s="1" t="s">
        <v>28002</v>
      </c>
      <c r="C90" s="1">
        <v>1</v>
      </c>
      <c r="D90" s="1" t="str">
        <f>"00621-1"</f>
        <v>00621-1</v>
      </c>
      <c r="E90" s="1" t="s">
        <v>6679</v>
      </c>
      <c r="F90" s="1">
        <v>8</v>
      </c>
      <c r="G90" s="1">
        <v>5</v>
      </c>
      <c r="H90" s="1">
        <v>0</v>
      </c>
      <c r="K90" s="1" t="str">
        <f t="shared" si="4"/>
        <v/>
      </c>
      <c r="L90" s="1" t="str">
        <f t="shared" si="5"/>
        <v/>
      </c>
      <c r="M90" s="1" t="str">
        <f t="shared" si="6"/>
        <v/>
      </c>
      <c r="P90" s="1" t="s">
        <v>20</v>
      </c>
      <c r="V90" s="1" t="s">
        <v>28003</v>
      </c>
      <c r="X90" s="1" t="s">
        <v>27842</v>
      </c>
      <c r="AR90" s="1" t="str">
        <f t="shared" si="7"/>
        <v>| [](.md) | [廹](廹.md) |  |  | 「迫」的異體字。 |</v>
      </c>
    </row>
    <row r="91" spans="1:44" hidden="1">
      <c r="A91" s="1" t="s">
        <v>28004</v>
      </c>
      <c r="C91" s="1">
        <v>1</v>
      </c>
      <c r="D91" s="1" t="str">
        <f>"00638-1"</f>
        <v>00638-1</v>
      </c>
      <c r="E91" s="1" t="s">
        <v>49</v>
      </c>
      <c r="F91" s="1">
        <v>17</v>
      </c>
      <c r="G91" s="1">
        <v>11</v>
      </c>
      <c r="H91" s="1">
        <v>0</v>
      </c>
      <c r="K91" s="1" t="str">
        <f t="shared" si="4"/>
        <v/>
      </c>
      <c r="L91" s="1" t="str">
        <f t="shared" si="5"/>
        <v/>
      </c>
      <c r="M91" s="1" t="str">
        <f t="shared" si="6"/>
        <v/>
      </c>
      <c r="P91" s="1" t="s">
        <v>20</v>
      </c>
      <c r="V91" s="1" t="s">
        <v>28005</v>
      </c>
      <c r="X91" s="1" t="s">
        <v>27842</v>
      </c>
      <c r="AR91" s="1" t="str">
        <f t="shared" si="7"/>
        <v>| [](.md) | [篺](篺.md) |  |  | 「簰」的異體字。 |</v>
      </c>
    </row>
    <row r="92" spans="1:44" hidden="1">
      <c r="A92" s="1" t="s">
        <v>28006</v>
      </c>
      <c r="C92" s="1">
        <v>1</v>
      </c>
      <c r="D92" s="1" t="str">
        <f>"00659-1"</f>
        <v>00659-1</v>
      </c>
      <c r="E92" s="1" t="s">
        <v>129</v>
      </c>
      <c r="F92" s="1">
        <v>8</v>
      </c>
      <c r="G92" s="1">
        <v>5</v>
      </c>
      <c r="H92" s="1">
        <v>0</v>
      </c>
      <c r="K92" s="1" t="str">
        <f t="shared" si="4"/>
        <v/>
      </c>
      <c r="L92" s="1" t="str">
        <f t="shared" si="5"/>
        <v/>
      </c>
      <c r="M92" s="1" t="str">
        <f t="shared" si="6"/>
        <v/>
      </c>
      <c r="P92" s="1" t="s">
        <v>20</v>
      </c>
      <c r="V92" s="1" t="s">
        <v>28007</v>
      </c>
      <c r="X92" s="1" t="s">
        <v>27842</v>
      </c>
      <c r="AR92" s="1" t="str">
        <f t="shared" si="7"/>
        <v>| [](.md) | [󹀆](󹀆.md) |  |  | 「沛」的異體字。 |</v>
      </c>
    </row>
    <row r="93" spans="1:44" hidden="1">
      <c r="A93" s="1" t="s">
        <v>28008</v>
      </c>
      <c r="C93" s="1">
        <v>1</v>
      </c>
      <c r="D93" s="1" t="str">
        <f>"00661-1"</f>
        <v>00661-1</v>
      </c>
      <c r="E93" s="1" t="s">
        <v>800</v>
      </c>
      <c r="F93" s="1">
        <v>9</v>
      </c>
      <c r="G93" s="1">
        <v>5</v>
      </c>
      <c r="H93" s="1">
        <v>0</v>
      </c>
      <c r="K93" s="1" t="str">
        <f t="shared" si="4"/>
        <v/>
      </c>
      <c r="L93" s="1" t="str">
        <f t="shared" si="5"/>
        <v/>
      </c>
      <c r="M93" s="1" t="str">
        <f t="shared" si="6"/>
        <v/>
      </c>
      <c r="P93" s="1" t="s">
        <v>20</v>
      </c>
      <c r="V93" s="1" t="s">
        <v>28009</v>
      </c>
      <c r="X93" s="1" t="s">
        <v>27842</v>
      </c>
      <c r="AR93" s="1" t="str">
        <f t="shared" si="7"/>
        <v>| [](.md) | [斾](斾.md) |  |  | 「旆」的異體字。 |</v>
      </c>
    </row>
    <row r="94" spans="1:44" hidden="1">
      <c r="A94" s="1" t="s">
        <v>28010</v>
      </c>
      <c r="C94" s="1">
        <v>1</v>
      </c>
      <c r="D94" s="1" t="str">
        <f>"00670-1"</f>
        <v>00670-1</v>
      </c>
      <c r="E94" s="1" t="s">
        <v>24</v>
      </c>
      <c r="F94" s="1">
        <v>7</v>
      </c>
      <c r="G94" s="1">
        <v>4</v>
      </c>
      <c r="H94" s="1">
        <v>0</v>
      </c>
      <c r="K94" s="1" t="str">
        <f t="shared" si="4"/>
        <v/>
      </c>
      <c r="L94" s="1" t="str">
        <f t="shared" si="5"/>
        <v/>
      </c>
      <c r="M94" s="1" t="str">
        <f t="shared" si="6"/>
        <v/>
      </c>
      <c r="P94" s="1" t="s">
        <v>20</v>
      </c>
      <c r="V94" s="1" t="s">
        <v>28011</v>
      </c>
      <c r="X94" s="1" t="s">
        <v>27842</v>
      </c>
      <c r="AR94" s="1" t="str">
        <f t="shared" si="7"/>
        <v>| [](.md) | [抛](抛.md) |  |  | 「拋」的異體字。 |</v>
      </c>
    </row>
    <row r="95" spans="1:44" hidden="1">
      <c r="A95" s="1" t="s">
        <v>28012</v>
      </c>
      <c r="C95" s="1">
        <v>1</v>
      </c>
      <c r="D95" s="1" t="str">
        <f>"00685-1"</f>
        <v>00685-1</v>
      </c>
      <c r="E95" s="1" t="s">
        <v>1190</v>
      </c>
      <c r="F95" s="1">
        <v>16</v>
      </c>
      <c r="G95" s="1">
        <v>5</v>
      </c>
      <c r="H95" s="1">
        <v>0</v>
      </c>
      <c r="K95" s="1" t="str">
        <f t="shared" si="4"/>
        <v/>
      </c>
      <c r="L95" s="1" t="str">
        <f t="shared" si="5"/>
        <v/>
      </c>
      <c r="M95" s="1" t="str">
        <f t="shared" si="6"/>
        <v/>
      </c>
      <c r="P95" s="1" t="s">
        <v>20</v>
      </c>
      <c r="V95" s="1" t="s">
        <v>28013</v>
      </c>
      <c r="X95" s="1" t="s">
        <v>27842</v>
      </c>
      <c r="AR95" s="1" t="str">
        <f t="shared" si="7"/>
        <v>| [](.md) | [麅](麅.md) |  |  | 「麃」的異體字。 |</v>
      </c>
    </row>
    <row r="96" spans="1:44" hidden="1">
      <c r="A96" s="1" t="s">
        <v>28014</v>
      </c>
      <c r="C96" s="1">
        <v>1</v>
      </c>
      <c r="D96" s="1" t="str">
        <f>"00690-1"</f>
        <v>00690-1</v>
      </c>
      <c r="E96" s="1" t="s">
        <v>169</v>
      </c>
      <c r="F96" s="1">
        <v>21</v>
      </c>
      <c r="G96" s="1">
        <v>16</v>
      </c>
      <c r="H96" s="1">
        <v>0</v>
      </c>
      <c r="K96" s="1" t="str">
        <f t="shared" si="4"/>
        <v/>
      </c>
      <c r="L96" s="1" t="str">
        <f t="shared" si="5"/>
        <v/>
      </c>
      <c r="M96" s="1" t="str">
        <f t="shared" si="6"/>
        <v/>
      </c>
      <c r="P96" s="1" t="s">
        <v>20</v>
      </c>
      <c r="V96" s="1" t="s">
        <v>28015</v>
      </c>
      <c r="X96" s="1" t="s">
        <v>27842</v>
      </c>
      <c r="AR96" s="1" t="str">
        <f t="shared" si="7"/>
        <v>| [](.md) | [礮](礮.md) |  |  | 「砲」的異體字。 |</v>
      </c>
    </row>
    <row r="97" spans="1:44" hidden="1">
      <c r="A97" s="1" t="s">
        <v>28016</v>
      </c>
      <c r="C97" s="1">
        <v>1</v>
      </c>
      <c r="D97" s="1" t="str">
        <f>"00691-1"</f>
        <v>00691-1</v>
      </c>
      <c r="E97" s="1" t="s">
        <v>3610</v>
      </c>
      <c r="F97" s="1">
        <v>14</v>
      </c>
      <c r="G97" s="1">
        <v>5</v>
      </c>
      <c r="H97" s="1">
        <v>0</v>
      </c>
      <c r="K97" s="1" t="str">
        <f t="shared" si="4"/>
        <v/>
      </c>
      <c r="L97" s="1" t="str">
        <f t="shared" si="5"/>
        <v/>
      </c>
      <c r="M97" s="1" t="str">
        <f t="shared" si="6"/>
        <v/>
      </c>
      <c r="P97" s="1" t="s">
        <v>20</v>
      </c>
      <c r="V97" s="1" t="s">
        <v>28017</v>
      </c>
      <c r="X97" s="1" t="s">
        <v>27842</v>
      </c>
      <c r="AR97" s="1" t="str">
        <f t="shared" si="7"/>
        <v>| [](.md) | [靤](靤.md) |  |  | 「皰」的異體字。 |</v>
      </c>
    </row>
    <row r="98" spans="1:44" hidden="1">
      <c r="A98" s="1" t="s">
        <v>28018</v>
      </c>
      <c r="C98" s="1">
        <v>1</v>
      </c>
      <c r="D98" s="1" t="str">
        <f>"00691-2"</f>
        <v>00691-2</v>
      </c>
      <c r="E98" s="1" t="s">
        <v>889</v>
      </c>
      <c r="F98" s="1">
        <v>19</v>
      </c>
      <c r="G98" s="1">
        <v>5</v>
      </c>
      <c r="H98" s="1">
        <v>0</v>
      </c>
      <c r="K98" s="1" t="str">
        <f t="shared" si="4"/>
        <v/>
      </c>
      <c r="L98" s="1" t="str">
        <f t="shared" si="5"/>
        <v/>
      </c>
      <c r="M98" s="1" t="str">
        <f t="shared" si="6"/>
        <v/>
      </c>
      <c r="P98" s="1" t="s">
        <v>20</v>
      </c>
      <c r="V98" s="1" t="s">
        <v>28017</v>
      </c>
      <c r="X98" s="1" t="s">
        <v>27842</v>
      </c>
      <c r="AR98" s="1" t="str">
        <f t="shared" si="7"/>
        <v>| [](.md) | [䶌](䶌.md) |  |  | 「皰」的異體字。 |</v>
      </c>
    </row>
    <row r="99" spans="1:44" hidden="1">
      <c r="A99" s="1" t="s">
        <v>28019</v>
      </c>
      <c r="C99" s="1">
        <v>1</v>
      </c>
      <c r="D99" s="1" t="str">
        <f>"00732-1"</f>
        <v>00732-1</v>
      </c>
      <c r="E99" s="1" t="s">
        <v>24</v>
      </c>
      <c r="F99" s="1">
        <v>10</v>
      </c>
      <c r="G99" s="1">
        <v>7</v>
      </c>
      <c r="H99" s="1">
        <v>0</v>
      </c>
      <c r="K99" s="1" t="str">
        <f t="shared" si="4"/>
        <v/>
      </c>
      <c r="L99" s="1" t="str">
        <f t="shared" si="5"/>
        <v/>
      </c>
      <c r="M99" s="1" t="str">
        <f t="shared" si="6"/>
        <v/>
      </c>
      <c r="P99" s="1" t="s">
        <v>20</v>
      </c>
      <c r="V99" s="1" t="s">
        <v>28020</v>
      </c>
      <c r="X99" s="1" t="s">
        <v>27842</v>
      </c>
      <c r="AR99" s="1" t="str">
        <f t="shared" si="7"/>
        <v>| [](.md) | [𢬵](𢬵.md) |  |  | 「拚」的異體字。 |</v>
      </c>
    </row>
    <row r="100" spans="1:44" hidden="1">
      <c r="A100" s="1" t="s">
        <v>28021</v>
      </c>
      <c r="C100" s="1">
        <v>1</v>
      </c>
      <c r="D100" s="1" t="str">
        <f>"00738-1"</f>
        <v>00738-1</v>
      </c>
      <c r="E100" s="1" t="s">
        <v>1824</v>
      </c>
      <c r="F100" s="1">
        <v>9</v>
      </c>
      <c r="G100" s="1">
        <v>4</v>
      </c>
      <c r="H100" s="1">
        <v>0</v>
      </c>
      <c r="K100" s="1" t="str">
        <f t="shared" si="4"/>
        <v/>
      </c>
      <c r="L100" s="1" t="str">
        <f t="shared" si="5"/>
        <v/>
      </c>
      <c r="M100" s="1" t="str">
        <f t="shared" si="6"/>
        <v/>
      </c>
      <c r="P100" s="1" t="s">
        <v>20</v>
      </c>
      <c r="V100" s="1" t="s">
        <v>28022</v>
      </c>
      <c r="X100" s="1" t="s">
        <v>27842</v>
      </c>
      <c r="AR100" s="1" t="str">
        <f t="shared" si="7"/>
        <v>| [](.md) | [瓫](瓫.md) |  |  | 「盆」的異體字。 |</v>
      </c>
    </row>
    <row r="101" spans="1:44" hidden="1">
      <c r="A101" s="1" t="s">
        <v>28023</v>
      </c>
      <c r="C101" s="1">
        <v>1</v>
      </c>
      <c r="D101" s="1" t="str">
        <f>"00752-1"</f>
        <v>00752-1</v>
      </c>
      <c r="E101" s="1" t="s">
        <v>125</v>
      </c>
      <c r="F101" s="1">
        <v>18</v>
      </c>
      <c r="G101" s="1">
        <v>10</v>
      </c>
      <c r="H101" s="1">
        <v>0</v>
      </c>
      <c r="K101" s="1" t="str">
        <f t="shared" si="4"/>
        <v/>
      </c>
      <c r="L101" s="1" t="str">
        <f t="shared" si="5"/>
        <v/>
      </c>
      <c r="M101" s="1" t="str">
        <f t="shared" si="6"/>
        <v/>
      </c>
      <c r="P101" s="1" t="s">
        <v>20</v>
      </c>
      <c r="V101" s="1" t="s">
        <v>28024</v>
      </c>
      <c r="X101" s="1" t="s">
        <v>27842</v>
      </c>
      <c r="AR101" s="1" t="str">
        <f t="shared" si="7"/>
        <v>| [](.md) | [䨦](䨦.md) |  |  | 「雱」的異體字。 |</v>
      </c>
    </row>
    <row r="102" spans="1:44" hidden="1">
      <c r="A102" s="1" t="s">
        <v>28025</v>
      </c>
      <c r="C102" s="1">
        <v>1</v>
      </c>
      <c r="D102" s="1" t="str">
        <f>"00752-2"</f>
        <v>00752-2</v>
      </c>
      <c r="E102" s="1" t="s">
        <v>125</v>
      </c>
      <c r="F102" s="1">
        <v>21</v>
      </c>
      <c r="G102" s="1">
        <v>13</v>
      </c>
      <c r="H102" s="1">
        <v>0</v>
      </c>
      <c r="K102" s="1" t="str">
        <f t="shared" si="4"/>
        <v/>
      </c>
      <c r="L102" s="1" t="str">
        <f t="shared" si="5"/>
        <v/>
      </c>
      <c r="M102" s="1" t="str">
        <f t="shared" si="6"/>
        <v/>
      </c>
      <c r="P102" s="1" t="s">
        <v>20</v>
      </c>
      <c r="V102" s="1" t="s">
        <v>28024</v>
      </c>
      <c r="X102" s="1" t="s">
        <v>27842</v>
      </c>
      <c r="AR102" s="1" t="str">
        <f t="shared" si="7"/>
        <v>| [](.md) | [霶](霶.md) |  |  | 「雱」的異體字。 |</v>
      </c>
    </row>
    <row r="103" spans="1:44" hidden="1">
      <c r="A103" s="1" t="s">
        <v>28026</v>
      </c>
      <c r="C103" s="1">
        <v>1</v>
      </c>
      <c r="D103" s="1" t="str">
        <f>"00759-1"</f>
        <v>00759-1</v>
      </c>
      <c r="E103" s="1" t="s">
        <v>1941</v>
      </c>
      <c r="F103" s="1">
        <v>18</v>
      </c>
      <c r="G103" s="1">
        <v>16</v>
      </c>
      <c r="H103" s="1">
        <v>0</v>
      </c>
      <c r="K103" s="1" t="str">
        <f t="shared" si="4"/>
        <v/>
      </c>
      <c r="L103" s="1" t="str">
        <f t="shared" si="5"/>
        <v/>
      </c>
      <c r="M103" s="1" t="str">
        <f t="shared" si="6"/>
        <v/>
      </c>
      <c r="P103" s="1" t="s">
        <v>20</v>
      </c>
      <c r="V103" s="1" t="s">
        <v>28027</v>
      </c>
      <c r="X103" s="1" t="s">
        <v>27842</v>
      </c>
      <c r="AR103" s="1" t="str">
        <f t="shared" si="7"/>
        <v>| [](.md) | [龎](龎.md) |  |  | 「龐」的異體字。 |</v>
      </c>
    </row>
    <row r="104" spans="1:44" hidden="1">
      <c r="A104" s="1" t="s">
        <v>28028</v>
      </c>
      <c r="C104" s="1">
        <v>1</v>
      </c>
      <c r="D104" s="1" t="str">
        <f>"00793-1"</f>
        <v>00793-1</v>
      </c>
      <c r="E104" s="1" t="s">
        <v>679</v>
      </c>
      <c r="F104" s="1">
        <v>18</v>
      </c>
      <c r="G104" s="1">
        <v>12</v>
      </c>
      <c r="H104" s="1">
        <v>0</v>
      </c>
      <c r="K104" s="1" t="str">
        <f t="shared" si="4"/>
        <v/>
      </c>
      <c r="L104" s="1" t="str">
        <f t="shared" si="5"/>
        <v/>
      </c>
      <c r="M104" s="1" t="str">
        <f t="shared" si="6"/>
        <v/>
      </c>
      <c r="P104" s="1" t="s">
        <v>20</v>
      </c>
      <c r="V104" s="1" t="s">
        <v>28029</v>
      </c>
      <c r="X104" s="1" t="s">
        <v>27842</v>
      </c>
      <c r="AR104" s="1" t="str">
        <f t="shared" si="7"/>
        <v>| [](.md) | [蟚](蟚.md) |  |  | 「蟛」的異體字。 |</v>
      </c>
    </row>
    <row r="105" spans="1:44" hidden="1">
      <c r="A105" s="1" t="s">
        <v>28030</v>
      </c>
      <c r="C105" s="1">
        <v>1</v>
      </c>
      <c r="D105" s="1" t="str">
        <f>"00800-1"</f>
        <v>00800-1</v>
      </c>
      <c r="E105" s="1" t="s">
        <v>286</v>
      </c>
      <c r="F105" s="1">
        <v>6</v>
      </c>
      <c r="G105" s="1">
        <v>4</v>
      </c>
      <c r="H105" s="1">
        <v>0</v>
      </c>
      <c r="K105" s="1" t="str">
        <f t="shared" si="4"/>
        <v/>
      </c>
      <c r="L105" s="1" t="str">
        <f t="shared" si="5"/>
        <v/>
      </c>
      <c r="M105" s="1" t="str">
        <f t="shared" si="6"/>
        <v/>
      </c>
      <c r="P105" s="1" t="s">
        <v>20</v>
      </c>
      <c r="V105" s="1" t="s">
        <v>28031</v>
      </c>
      <c r="X105" s="1" t="s">
        <v>27842</v>
      </c>
      <c r="AR105" s="1" t="str">
        <f t="shared" si="7"/>
        <v>| [](.md) | [㔻](㔻.md) |  |  | 「丕」的異體字。 |</v>
      </c>
    </row>
    <row r="106" spans="1:44" hidden="1">
      <c r="A106" s="1" t="s">
        <v>28032</v>
      </c>
      <c r="C106" s="1">
        <v>1</v>
      </c>
      <c r="D106" s="1" t="str">
        <f>"00827-1"</f>
        <v>00827-1</v>
      </c>
      <c r="E106" s="1" t="s">
        <v>68</v>
      </c>
      <c r="F106" s="1">
        <v>8</v>
      </c>
      <c r="G106" s="1">
        <v>4</v>
      </c>
      <c r="H106" s="1">
        <v>0</v>
      </c>
      <c r="K106" s="1" t="str">
        <f t="shared" si="4"/>
        <v/>
      </c>
      <c r="L106" s="1" t="str">
        <f t="shared" si="5"/>
        <v/>
      </c>
      <c r="M106" s="1" t="str">
        <f t="shared" si="6"/>
        <v/>
      </c>
      <c r="P106" s="1" t="s">
        <v>20</v>
      </c>
      <c r="V106" s="1" t="s">
        <v>28033</v>
      </c>
      <c r="X106" s="1" t="s">
        <v>27842</v>
      </c>
      <c r="AR106" s="1" t="str">
        <f t="shared" si="7"/>
        <v>| [](.md) | [肶](肶.md) |  |  | 「膍」的異體字。 |</v>
      </c>
    </row>
    <row r="107" spans="1:44" hidden="1">
      <c r="A107" s="1" t="s">
        <v>28034</v>
      </c>
      <c r="C107" s="1">
        <v>1</v>
      </c>
      <c r="D107" s="1" t="str">
        <f>"00828-1"</f>
        <v>00828-1</v>
      </c>
      <c r="E107" s="1" t="s">
        <v>198</v>
      </c>
      <c r="F107" s="1">
        <v>8</v>
      </c>
      <c r="G107" s="1">
        <v>4</v>
      </c>
      <c r="H107" s="1">
        <v>0</v>
      </c>
      <c r="K107" s="1" t="str">
        <f t="shared" si="4"/>
        <v/>
      </c>
      <c r="L107" s="1" t="str">
        <f t="shared" si="5"/>
        <v/>
      </c>
      <c r="M107" s="1" t="str">
        <f t="shared" si="6"/>
        <v/>
      </c>
      <c r="P107" s="1" t="s">
        <v>20</v>
      </c>
      <c r="V107" s="1" t="s">
        <v>28035</v>
      </c>
      <c r="X107" s="1" t="s">
        <v>27842</v>
      </c>
      <c r="AR107" s="1" t="str">
        <f t="shared" si="7"/>
        <v>| [](.md) | [𤜻](𤜻.md) |  |  | 「貔」的異體字。 |</v>
      </c>
    </row>
    <row r="108" spans="1:44" hidden="1">
      <c r="A108" s="1" t="s">
        <v>28036</v>
      </c>
      <c r="C108" s="1">
        <v>1</v>
      </c>
      <c r="D108" s="1" t="str">
        <f>"00828-2"</f>
        <v>00828-2</v>
      </c>
      <c r="E108" s="1" t="s">
        <v>537</v>
      </c>
      <c r="F108" s="1">
        <v>11</v>
      </c>
      <c r="G108" s="1">
        <v>4</v>
      </c>
      <c r="H108" s="1">
        <v>0</v>
      </c>
      <c r="K108" s="1" t="str">
        <f t="shared" si="4"/>
        <v/>
      </c>
      <c r="L108" s="1" t="str">
        <f t="shared" si="5"/>
        <v/>
      </c>
      <c r="M108" s="1" t="str">
        <f t="shared" si="6"/>
        <v/>
      </c>
      <c r="P108" s="1" t="s">
        <v>20</v>
      </c>
      <c r="V108" s="1" t="s">
        <v>28035</v>
      </c>
      <c r="X108" s="1" t="s">
        <v>27842</v>
      </c>
      <c r="AR108" s="1" t="str">
        <f t="shared" si="7"/>
        <v>| [](.md) | [豼](豼.md) |  |  | 「貔」的異體字。 |</v>
      </c>
    </row>
    <row r="109" spans="1:44" hidden="1">
      <c r="A109" s="1" t="s">
        <v>28037</v>
      </c>
      <c r="C109" s="1">
        <v>1</v>
      </c>
      <c r="D109" s="1" t="str">
        <f>"00853-1"</f>
        <v>00853-1</v>
      </c>
      <c r="E109" s="1" t="s">
        <v>28</v>
      </c>
      <c r="F109" s="1">
        <v>17</v>
      </c>
      <c r="G109" s="1">
        <v>14</v>
      </c>
      <c r="H109" s="1">
        <v>0</v>
      </c>
      <c r="K109" s="1" t="str">
        <f t="shared" si="4"/>
        <v/>
      </c>
      <c r="L109" s="1" t="str">
        <f t="shared" si="5"/>
        <v/>
      </c>
      <c r="M109" s="1" t="str">
        <f t="shared" si="6"/>
        <v/>
      </c>
      <c r="P109" s="1" t="s">
        <v>20</v>
      </c>
      <c r="V109" s="1" t="s">
        <v>28038</v>
      </c>
      <c r="X109" s="1" t="s">
        <v>27842</v>
      </c>
      <c r="AR109" s="1" t="str">
        <f t="shared" si="7"/>
        <v>| [](.md) | [噽](噽.md) |  |  | 「嚭」的異體字。 |</v>
      </c>
    </row>
    <row r="110" spans="1:44" hidden="1">
      <c r="A110" s="1" t="s">
        <v>28039</v>
      </c>
      <c r="C110" s="1">
        <v>1</v>
      </c>
      <c r="D110" s="1" t="str">
        <f>"00870-1"</f>
        <v>00870-1</v>
      </c>
      <c r="E110" s="1" t="s">
        <v>272</v>
      </c>
      <c r="F110" s="1">
        <v>24</v>
      </c>
      <c r="G110" s="1">
        <v>13</v>
      </c>
      <c r="H110" s="1">
        <v>0</v>
      </c>
      <c r="K110" s="1" t="str">
        <f t="shared" si="4"/>
        <v/>
      </c>
      <c r="L110" s="1" t="str">
        <f t="shared" si="5"/>
        <v/>
      </c>
      <c r="M110" s="1" t="str">
        <f t="shared" si="6"/>
        <v/>
      </c>
      <c r="P110" s="1" t="s">
        <v>20</v>
      </c>
      <c r="V110" s="1" t="s">
        <v>28040</v>
      </c>
      <c r="X110" s="1" t="s">
        <v>27842</v>
      </c>
      <c r="AR110" s="1" t="str">
        <f t="shared" si="7"/>
        <v>| [](.md) | [鸊](鸊.md) |  |  | 「鷿」的異體字。 |</v>
      </c>
    </row>
    <row r="111" spans="1:44" hidden="1">
      <c r="A111" s="1" t="s">
        <v>28041</v>
      </c>
      <c r="C111" s="1">
        <v>1</v>
      </c>
      <c r="D111" s="1" t="str">
        <f>"00877-1"</f>
        <v>00877-1</v>
      </c>
      <c r="E111" s="1" t="s">
        <v>24</v>
      </c>
      <c r="F111" s="1">
        <v>15</v>
      </c>
      <c r="G111" s="1">
        <v>11</v>
      </c>
      <c r="H111" s="1">
        <v>0</v>
      </c>
      <c r="K111" s="1" t="str">
        <f t="shared" si="4"/>
        <v/>
      </c>
      <c r="L111" s="1" t="str">
        <f t="shared" si="5"/>
        <v/>
      </c>
      <c r="M111" s="1" t="str">
        <f t="shared" si="6"/>
        <v/>
      </c>
      <c r="P111" s="1" t="s">
        <v>20</v>
      </c>
      <c r="V111" s="1" t="s">
        <v>28042</v>
      </c>
      <c r="X111" s="1" t="s">
        <v>27842</v>
      </c>
      <c r="AR111" s="1" t="str">
        <f t="shared" si="7"/>
        <v>| [](.md) | [撆](撆.md) |  |  | 「撇」的異體字。 |</v>
      </c>
    </row>
    <row r="112" spans="1:44" hidden="1">
      <c r="A112" s="1" t="s">
        <v>28043</v>
      </c>
      <c r="C112" s="1">
        <v>1</v>
      </c>
      <c r="D112" s="1" t="str">
        <f>"00893-1"</f>
        <v>00893-1</v>
      </c>
      <c r="E112" s="1" t="s">
        <v>37</v>
      </c>
      <c r="F112" s="1">
        <v>15</v>
      </c>
      <c r="G112" s="1">
        <v>11</v>
      </c>
      <c r="H112" s="1">
        <v>0</v>
      </c>
      <c r="K112" s="1" t="str">
        <f t="shared" si="4"/>
        <v/>
      </c>
      <c r="L112" s="1" t="str">
        <f t="shared" si="5"/>
        <v/>
      </c>
      <c r="M112" s="1" t="str">
        <f t="shared" si="6"/>
        <v/>
      </c>
      <c r="P112" s="1" t="s">
        <v>20</v>
      </c>
      <c r="V112" s="1" t="s">
        <v>28044</v>
      </c>
      <c r="X112" s="1" t="s">
        <v>27842</v>
      </c>
      <c r="AR112" s="1" t="str">
        <f t="shared" si="7"/>
        <v>| [](.md) | [𦹡](𦹡.md) |  |  | 「殍」的異體字。 |</v>
      </c>
    </row>
    <row r="113" spans="1:44" hidden="1">
      <c r="A113" s="1" t="s">
        <v>28045</v>
      </c>
      <c r="C113" s="1">
        <v>1</v>
      </c>
      <c r="D113" s="1" t="str">
        <f>"00923-1"</f>
        <v>00923-1</v>
      </c>
      <c r="E113" s="1" t="s">
        <v>68</v>
      </c>
      <c r="F113" s="1">
        <v>12</v>
      </c>
      <c r="G113" s="1">
        <v>8</v>
      </c>
      <c r="H113" s="1">
        <v>0</v>
      </c>
      <c r="K113" s="1" t="str">
        <f t="shared" si="4"/>
        <v/>
      </c>
      <c r="L113" s="1" t="str">
        <f t="shared" si="5"/>
        <v/>
      </c>
      <c r="M113" s="1" t="str">
        <f t="shared" si="6"/>
        <v/>
      </c>
      <c r="P113" s="1" t="s">
        <v>20</v>
      </c>
      <c r="V113" s="1" t="s">
        <v>28046</v>
      </c>
      <c r="X113" s="1" t="s">
        <v>27842</v>
      </c>
      <c r="AR113" s="1" t="str">
        <f t="shared" si="7"/>
        <v>| [](.md) | [腁](腁.md) |  |  | 「胼」的異體字。 |</v>
      </c>
    </row>
    <row r="114" spans="1:44" hidden="1">
      <c r="A114" s="1" t="s">
        <v>28047</v>
      </c>
      <c r="C114" s="1">
        <v>1</v>
      </c>
      <c r="D114" s="1" t="str">
        <f>"00924-1"</f>
        <v>00924-1</v>
      </c>
      <c r="E114" s="1" t="s">
        <v>319</v>
      </c>
      <c r="F114" s="1">
        <v>18</v>
      </c>
      <c r="G114" s="1">
        <v>8</v>
      </c>
      <c r="H114" s="1">
        <v>0</v>
      </c>
      <c r="K114" s="1" t="str">
        <f t="shared" si="4"/>
        <v/>
      </c>
      <c r="L114" s="1" t="str">
        <f t="shared" si="5"/>
        <v/>
      </c>
      <c r="M114" s="1" t="str">
        <f t="shared" si="6"/>
        <v/>
      </c>
      <c r="P114" s="1" t="s">
        <v>20</v>
      </c>
      <c r="V114" s="1" t="s">
        <v>28048</v>
      </c>
      <c r="X114" s="1" t="s">
        <v>27842</v>
      </c>
      <c r="AR114" s="1" t="str">
        <f t="shared" si="7"/>
        <v>| [](.md) | [騈](騈.md) |  |  | 「駢」的異體字。 |</v>
      </c>
    </row>
    <row r="115" spans="1:44" hidden="1">
      <c r="A115" s="1" t="s">
        <v>28049</v>
      </c>
      <c r="C115" s="1">
        <v>1</v>
      </c>
      <c r="D115" s="1" t="str">
        <f>"00935-1"</f>
        <v>00935-1</v>
      </c>
      <c r="E115" s="1" t="s">
        <v>24</v>
      </c>
      <c r="F115" s="1">
        <v>11</v>
      </c>
      <c r="G115" s="1">
        <v>8</v>
      </c>
      <c r="H115" s="1">
        <v>0</v>
      </c>
      <c r="K115" s="1" t="str">
        <f t="shared" si="4"/>
        <v/>
      </c>
      <c r="L115" s="1" t="str">
        <f t="shared" si="5"/>
        <v/>
      </c>
      <c r="M115" s="1" t="str">
        <f t="shared" si="6"/>
        <v/>
      </c>
      <c r="P115" s="1" t="s">
        <v>20</v>
      </c>
      <c r="V115" s="1" t="s">
        <v>28050</v>
      </c>
      <c r="X115" s="1" t="s">
        <v>27842</v>
      </c>
      <c r="AR115" s="1" t="str">
        <f t="shared" si="7"/>
        <v>| [](.md) | [拼](拼.md) |  |  | 「拼」的異體字。 |</v>
      </c>
    </row>
    <row r="116" spans="1:44" hidden="1">
      <c r="A116" s="1" t="s">
        <v>28051</v>
      </c>
      <c r="C116" s="1">
        <v>1</v>
      </c>
      <c r="D116" s="1" t="str">
        <f>"00936-1"</f>
        <v>00936-1</v>
      </c>
      <c r="E116" s="1" t="s">
        <v>534</v>
      </c>
      <c r="F116" s="1">
        <v>11</v>
      </c>
      <c r="G116" s="1">
        <v>8</v>
      </c>
      <c r="H116" s="1">
        <v>0</v>
      </c>
      <c r="K116" s="1" t="str">
        <f t="shared" si="4"/>
        <v/>
      </c>
      <c r="L116" s="1" t="str">
        <f t="shared" si="5"/>
        <v/>
      </c>
      <c r="M116" s="1" t="str">
        <f t="shared" si="6"/>
        <v/>
      </c>
      <c r="P116" s="1" t="s">
        <v>20</v>
      </c>
      <c r="V116" s="1" t="s">
        <v>28052</v>
      </c>
      <c r="X116" s="1" t="s">
        <v>27842</v>
      </c>
      <c r="AR116" s="1" t="str">
        <f t="shared" si="7"/>
        <v>| [](.md) | [姘](姘.md) |  |  | 「姘」的異體字。 |</v>
      </c>
    </row>
    <row r="117" spans="1:44" hidden="1">
      <c r="A117" s="1" t="s">
        <v>28053</v>
      </c>
      <c r="C117" s="1">
        <v>1</v>
      </c>
      <c r="D117" s="1" t="str">
        <f>"00952-1"</f>
        <v>00952-1</v>
      </c>
      <c r="E117" s="1" t="s">
        <v>234</v>
      </c>
      <c r="F117" s="1">
        <v>10</v>
      </c>
      <c r="G117" s="1">
        <v>7</v>
      </c>
      <c r="H117" s="1">
        <v>0</v>
      </c>
      <c r="K117" s="1" t="str">
        <f t="shared" si="4"/>
        <v/>
      </c>
      <c r="L117" s="1" t="str">
        <f t="shared" si="5"/>
        <v/>
      </c>
      <c r="M117" s="1" t="str">
        <f t="shared" si="6"/>
        <v/>
      </c>
      <c r="P117" s="1" t="s">
        <v>20</v>
      </c>
      <c r="V117" s="1" t="s">
        <v>28054</v>
      </c>
      <c r="X117" s="1" t="s">
        <v>27842</v>
      </c>
      <c r="AR117" s="1" t="str">
        <f t="shared" si="7"/>
        <v>| [](.md) | [𢓳](𢓳.md) |  |  | 「俜」的異體字。 |</v>
      </c>
    </row>
    <row r="118" spans="1:44" hidden="1">
      <c r="A118" s="1" t="s">
        <v>28055</v>
      </c>
      <c r="C118" s="1">
        <v>1</v>
      </c>
      <c r="D118" s="1" t="str">
        <f>"00955-1"</f>
        <v>00955-1</v>
      </c>
      <c r="E118" s="1" t="s">
        <v>684</v>
      </c>
      <c r="F118" s="1">
        <v>17</v>
      </c>
      <c r="G118" s="1">
        <v>8</v>
      </c>
      <c r="H118" s="1">
        <v>0</v>
      </c>
      <c r="K118" s="1" t="str">
        <f t="shared" si="4"/>
        <v/>
      </c>
      <c r="L118" s="1" t="str">
        <f t="shared" si="5"/>
        <v/>
      </c>
      <c r="M118" s="1" t="str">
        <f t="shared" si="6"/>
        <v/>
      </c>
      <c r="P118" s="1" t="s">
        <v>20</v>
      </c>
      <c r="V118" s="1" t="s">
        <v>28056</v>
      </c>
      <c r="X118" s="1" t="s">
        <v>27842</v>
      </c>
      <c r="AR118" s="1" t="str">
        <f t="shared" si="7"/>
        <v>| [](.md) | [頩](頩.md) |  |  | 「頩」的異體字。 |</v>
      </c>
    </row>
    <row r="119" spans="1:44" hidden="1">
      <c r="A119" s="1" t="s">
        <v>28057</v>
      </c>
      <c r="C119" s="1">
        <v>1</v>
      </c>
      <c r="D119" s="1" t="str">
        <f>"00963-1"</f>
        <v>00963-1</v>
      </c>
      <c r="E119" s="1" t="s">
        <v>129</v>
      </c>
      <c r="F119" s="1">
        <v>11</v>
      </c>
      <c r="G119" s="1">
        <v>8</v>
      </c>
      <c r="H119" s="1">
        <v>0</v>
      </c>
      <c r="K119" s="1" t="str">
        <f t="shared" si="4"/>
        <v/>
      </c>
      <c r="L119" s="1" t="str">
        <f t="shared" si="5"/>
        <v/>
      </c>
      <c r="M119" s="1" t="str">
        <f t="shared" si="6"/>
        <v/>
      </c>
      <c r="P119" s="1" t="s">
        <v>20</v>
      </c>
      <c r="V119" s="1" t="s">
        <v>28058</v>
      </c>
      <c r="X119" s="1" t="s">
        <v>27842</v>
      </c>
      <c r="AR119" s="1" t="str">
        <f t="shared" si="7"/>
        <v>| [](.md) | [洴](洴.md) |  |  | 「洴」的異體字。 |</v>
      </c>
    </row>
    <row r="120" spans="1:44" hidden="1">
      <c r="A120" s="1" t="s">
        <v>28059</v>
      </c>
      <c r="C120" s="1">
        <v>1</v>
      </c>
      <c r="D120" s="1" t="str">
        <f>"00964-1"</f>
        <v>00964-1</v>
      </c>
      <c r="E120" s="1" t="s">
        <v>222</v>
      </c>
      <c r="F120" s="1">
        <v>11</v>
      </c>
      <c r="G120" s="1">
        <v>8</v>
      </c>
      <c r="H120" s="1">
        <v>0</v>
      </c>
      <c r="K120" s="1" t="str">
        <f t="shared" si="4"/>
        <v/>
      </c>
      <c r="L120" s="1" t="str">
        <f t="shared" si="5"/>
        <v/>
      </c>
      <c r="M120" s="1" t="str">
        <f t="shared" si="6"/>
        <v/>
      </c>
      <c r="P120" s="1" t="s">
        <v>20</v>
      </c>
      <c r="V120" s="1" t="s">
        <v>28060</v>
      </c>
      <c r="X120" s="1" t="s">
        <v>27842</v>
      </c>
      <c r="AR120" s="1" t="str">
        <f t="shared" si="7"/>
        <v>| [](.md) | [帲](帲.md) |  |  | 「帡」的異體字。 |</v>
      </c>
    </row>
    <row r="121" spans="1:44" hidden="1">
      <c r="A121" s="1" t="s">
        <v>28061</v>
      </c>
      <c r="C121" s="1">
        <v>1</v>
      </c>
      <c r="D121" s="1" t="str">
        <f>"00967-1"</f>
        <v>00967-1</v>
      </c>
      <c r="E121" s="1" t="s">
        <v>37</v>
      </c>
      <c r="F121" s="1">
        <v>12</v>
      </c>
      <c r="G121" s="1">
        <v>8</v>
      </c>
      <c r="H121" s="1">
        <v>0</v>
      </c>
      <c r="K121" s="1" t="str">
        <f t="shared" si="4"/>
        <v/>
      </c>
      <c r="L121" s="1" t="str">
        <f t="shared" si="5"/>
        <v/>
      </c>
      <c r="M121" s="1" t="str">
        <f t="shared" si="6"/>
        <v/>
      </c>
      <c r="P121" s="1" t="s">
        <v>20</v>
      </c>
      <c r="V121" s="1" t="s">
        <v>28062</v>
      </c>
      <c r="X121" s="1" t="s">
        <v>27842</v>
      </c>
      <c r="AR121" s="1" t="str">
        <f t="shared" si="7"/>
        <v>| [](.md) | [荓](荓.md) |  |  | 「荓」的異體字。 |</v>
      </c>
    </row>
    <row r="122" spans="1:44" hidden="1">
      <c r="A122" s="1" t="s">
        <v>28063</v>
      </c>
      <c r="C122" s="1">
        <v>1</v>
      </c>
      <c r="D122" s="1" t="str">
        <f>"00968-1"</f>
        <v>00968-1</v>
      </c>
      <c r="E122" s="1" t="s">
        <v>1824</v>
      </c>
      <c r="F122" s="1">
        <v>13</v>
      </c>
      <c r="G122" s="1">
        <v>8</v>
      </c>
      <c r="H122" s="1">
        <v>0</v>
      </c>
      <c r="K122" s="1" t="str">
        <f t="shared" si="4"/>
        <v/>
      </c>
      <c r="L122" s="1" t="str">
        <f t="shared" si="5"/>
        <v/>
      </c>
      <c r="M122" s="1" t="str">
        <f t="shared" si="6"/>
        <v/>
      </c>
      <c r="P122" s="1" t="s">
        <v>20</v>
      </c>
      <c r="V122" s="1" t="s">
        <v>28064</v>
      </c>
      <c r="X122" s="1" t="s">
        <v>27842</v>
      </c>
      <c r="AR122" s="1" t="str">
        <f t="shared" si="7"/>
        <v>| [](.md) | [甁](甁.md) |  |  | 「瓶」的異體字。 |</v>
      </c>
    </row>
    <row r="123" spans="1:44" hidden="1">
      <c r="A123" s="1" t="s">
        <v>28065</v>
      </c>
      <c r="C123" s="1">
        <v>1</v>
      </c>
      <c r="D123" s="1" t="str">
        <f>"00970-1"</f>
        <v>00970-1</v>
      </c>
      <c r="E123" s="1" t="s">
        <v>679</v>
      </c>
      <c r="F123" s="1">
        <v>14</v>
      </c>
      <c r="G123" s="1">
        <v>8</v>
      </c>
      <c r="H123" s="1">
        <v>0</v>
      </c>
      <c r="K123" s="1" t="str">
        <f t="shared" si="4"/>
        <v/>
      </c>
      <c r="L123" s="1" t="str">
        <f t="shared" si="5"/>
        <v/>
      </c>
      <c r="M123" s="1" t="str">
        <f t="shared" si="6"/>
        <v/>
      </c>
      <c r="P123" s="1" t="s">
        <v>20</v>
      </c>
      <c r="V123" s="1" t="s">
        <v>28066</v>
      </c>
      <c r="X123" s="1" t="s">
        <v>27842</v>
      </c>
      <c r="AR123" s="1" t="str">
        <f t="shared" si="7"/>
        <v>| [](.md) | [蛢](蛢.md) |  |  | 「蛢」的異體字。 |</v>
      </c>
    </row>
    <row r="124" spans="1:44" hidden="1">
      <c r="A124" s="1" t="s">
        <v>28067</v>
      </c>
      <c r="C124" s="1">
        <v>1</v>
      </c>
      <c r="D124" s="1" t="str">
        <f>"00971-1"</f>
        <v>00971-1</v>
      </c>
      <c r="E124" s="1" t="s">
        <v>175</v>
      </c>
      <c r="F124" s="1">
        <v>14</v>
      </c>
      <c r="G124" s="1">
        <v>8</v>
      </c>
      <c r="H124" s="1">
        <v>0</v>
      </c>
      <c r="K124" s="1" t="str">
        <f t="shared" si="4"/>
        <v/>
      </c>
      <c r="L124" s="1" t="str">
        <f t="shared" si="5"/>
        <v/>
      </c>
      <c r="M124" s="1" t="str">
        <f t="shared" si="6"/>
        <v/>
      </c>
      <c r="P124" s="1" t="s">
        <v>20</v>
      </c>
      <c r="V124" s="1" t="s">
        <v>28068</v>
      </c>
      <c r="X124" s="1" t="s">
        <v>27842</v>
      </c>
      <c r="AR124" s="1" t="str">
        <f t="shared" si="7"/>
        <v>| [](.md) | [󸕦](󸕦.md) |  |  | 「缾」的異體字。 |</v>
      </c>
    </row>
    <row r="125" spans="1:44" hidden="1">
      <c r="A125" s="1" t="s">
        <v>28069</v>
      </c>
      <c r="C125" s="1">
        <v>1</v>
      </c>
      <c r="D125" s="1" t="str">
        <f>"00972-1"</f>
        <v>00972-1</v>
      </c>
      <c r="E125" s="1" t="s">
        <v>71</v>
      </c>
      <c r="F125" s="1">
        <v>15</v>
      </c>
      <c r="G125" s="1">
        <v>8</v>
      </c>
      <c r="H125" s="1">
        <v>0</v>
      </c>
      <c r="K125" s="1" t="str">
        <f t="shared" si="4"/>
        <v/>
      </c>
      <c r="L125" s="1" t="str">
        <f t="shared" si="5"/>
        <v/>
      </c>
      <c r="M125" s="1" t="str">
        <f t="shared" si="6"/>
        <v/>
      </c>
      <c r="P125" s="1" t="s">
        <v>20</v>
      </c>
      <c r="V125" s="1" t="s">
        <v>28070</v>
      </c>
      <c r="X125" s="1" t="s">
        <v>27842</v>
      </c>
      <c r="AR125" s="1" t="str">
        <f t="shared" si="7"/>
        <v>| [](.md) | [輧](輧.md) |  |  | 「軿」的異體字。 |</v>
      </c>
    </row>
    <row r="126" spans="1:44" hidden="1">
      <c r="A126" s="1" t="s">
        <v>28071</v>
      </c>
      <c r="C126" s="1">
        <v>1</v>
      </c>
      <c r="D126" s="1" t="str">
        <f>"00973-1"</f>
        <v>00973-1</v>
      </c>
      <c r="E126" s="1" t="s">
        <v>37</v>
      </c>
      <c r="F126" s="1">
        <v>15</v>
      </c>
      <c r="G126" s="1">
        <v>11</v>
      </c>
      <c r="H126" s="1">
        <v>0</v>
      </c>
      <c r="K126" s="1" t="str">
        <f t="shared" si="4"/>
        <v/>
      </c>
      <c r="L126" s="1" t="str">
        <f t="shared" si="5"/>
        <v/>
      </c>
      <c r="M126" s="1" t="str">
        <f t="shared" si="6"/>
        <v/>
      </c>
      <c r="P126" s="1" t="s">
        <v>20</v>
      </c>
      <c r="V126" s="1" t="s">
        <v>28072</v>
      </c>
      <c r="X126" s="1" t="s">
        <v>27842</v>
      </c>
      <c r="AR126" s="1" t="str">
        <f t="shared" si="7"/>
        <v>| [](.md) | [蓱](蓱.md) |  |  | 「蓱」的異體字。 |</v>
      </c>
    </row>
    <row r="127" spans="1:44" hidden="1">
      <c r="A127" s="1" t="s">
        <v>28073</v>
      </c>
      <c r="C127" s="1">
        <v>1</v>
      </c>
      <c r="D127" s="1" t="str">
        <f>"00974-1"</f>
        <v>00974-1</v>
      </c>
      <c r="E127" s="1" t="s">
        <v>272</v>
      </c>
      <c r="F127" s="1">
        <v>19</v>
      </c>
      <c r="G127" s="1">
        <v>8</v>
      </c>
      <c r="H127" s="1">
        <v>0</v>
      </c>
      <c r="K127" s="1" t="str">
        <f t="shared" si="4"/>
        <v/>
      </c>
      <c r="L127" s="1" t="str">
        <f t="shared" si="5"/>
        <v/>
      </c>
      <c r="M127" s="1" t="str">
        <f t="shared" si="6"/>
        <v/>
      </c>
      <c r="P127" s="1" t="s">
        <v>20</v>
      </c>
      <c r="V127" s="1" t="s">
        <v>28074</v>
      </c>
      <c r="X127" s="1" t="s">
        <v>27842</v>
      </c>
      <c r="AR127" s="1" t="str">
        <f t="shared" si="7"/>
        <v>| [](.md) | [鵧](鵧.md) |  |  | 「鵧」的異體字。 |</v>
      </c>
    </row>
    <row r="128" spans="1:44" hidden="1">
      <c r="A128" s="1" t="s">
        <v>28075</v>
      </c>
      <c r="C128" s="1">
        <v>1</v>
      </c>
      <c r="D128" s="1" t="str">
        <f>"00976-1"</f>
        <v>00976-1</v>
      </c>
      <c r="E128" s="1" t="s">
        <v>5107</v>
      </c>
      <c r="F128" s="1">
        <v>8</v>
      </c>
      <c r="G128" s="1">
        <v>6</v>
      </c>
      <c r="H128" s="1">
        <v>0</v>
      </c>
      <c r="K128" s="1" t="str">
        <f t="shared" si="4"/>
        <v/>
      </c>
      <c r="L128" s="1" t="str">
        <f t="shared" si="5"/>
        <v/>
      </c>
      <c r="M128" s="1" t="str">
        <f t="shared" si="6"/>
        <v/>
      </c>
      <c r="P128" s="1" t="s">
        <v>20</v>
      </c>
      <c r="V128" s="1" t="s">
        <v>28076</v>
      </c>
      <c r="X128" s="1" t="s">
        <v>27842</v>
      </c>
      <c r="AR128" s="1" t="str">
        <f t="shared" si="7"/>
        <v>| [](.md) | [凭](凭.md) |  |  | 「憑」的異體字。 |</v>
      </c>
    </row>
    <row r="129" spans="1:44" hidden="1">
      <c r="A129" s="1" t="s">
        <v>28077</v>
      </c>
      <c r="C129" s="1">
        <v>1</v>
      </c>
      <c r="D129" s="1" t="str">
        <f>"00976-2"</f>
        <v>00976-2</v>
      </c>
      <c r="E129" s="1" t="s">
        <v>5107</v>
      </c>
      <c r="F129" s="1">
        <v>14</v>
      </c>
      <c r="G129" s="1">
        <v>12</v>
      </c>
      <c r="H129" s="1">
        <v>0</v>
      </c>
      <c r="K129" s="1" t="str">
        <f t="shared" si="4"/>
        <v/>
      </c>
      <c r="L129" s="1" t="str">
        <f t="shared" si="5"/>
        <v/>
      </c>
      <c r="M129" s="1" t="str">
        <f t="shared" si="6"/>
        <v/>
      </c>
      <c r="P129" s="1" t="s">
        <v>20</v>
      </c>
      <c r="V129" s="1" t="s">
        <v>28076</v>
      </c>
      <c r="X129" s="1" t="s">
        <v>27842</v>
      </c>
      <c r="AR129" s="1" t="str">
        <f t="shared" si="7"/>
        <v>| [](.md) | [凴](凴.md) |  |  | 「憑」的異體字。 |</v>
      </c>
    </row>
    <row r="130" spans="1:44" hidden="1">
      <c r="A130" s="1" t="s">
        <v>28078</v>
      </c>
      <c r="C130" s="1">
        <v>1</v>
      </c>
      <c r="D130" s="1" t="str">
        <f>"00979-1"</f>
        <v>00979-1</v>
      </c>
      <c r="E130" s="1" t="s">
        <v>426</v>
      </c>
      <c r="F130" s="1">
        <v>4</v>
      </c>
      <c r="G130" s="1">
        <v>0</v>
      </c>
      <c r="H130" s="1">
        <v>0</v>
      </c>
      <c r="K130" s="1" t="str">
        <f t="shared" ref="K130:K193" si="8">LEFT(I130, 1)</f>
        <v/>
      </c>
      <c r="L130" s="1" t="str">
        <f t="shared" ref="L130:L193" si="9">MID(I130, 2, 1)</f>
        <v/>
      </c>
      <c r="M130" s="1" t="str">
        <f t="shared" ref="M130:M193" si="10">MID(I130, 3, 1)</f>
        <v/>
      </c>
      <c r="P130" s="1" t="s">
        <v>20</v>
      </c>
      <c r="V130" s="1" t="s">
        <v>28079</v>
      </c>
      <c r="X130" s="1" t="s">
        <v>27842</v>
      </c>
      <c r="AR130" s="1" t="str">
        <f t="shared" si="7"/>
        <v>| [](.md) | [攵](攵.md) |  |  | 「攴」的異體字。 |</v>
      </c>
    </row>
    <row r="131" spans="1:44" hidden="1">
      <c r="A131" s="1" t="s">
        <v>28080</v>
      </c>
      <c r="C131" s="1">
        <v>1</v>
      </c>
      <c r="D131" s="1" t="str">
        <f>"00983-1"</f>
        <v>00983-1</v>
      </c>
      <c r="E131" s="1" t="s">
        <v>6303</v>
      </c>
      <c r="F131" s="1">
        <v>15</v>
      </c>
      <c r="G131" s="1">
        <v>9</v>
      </c>
      <c r="H131" s="1">
        <v>0</v>
      </c>
      <c r="K131" s="1" t="str">
        <f t="shared" si="8"/>
        <v/>
      </c>
      <c r="L131" s="1" t="str">
        <f t="shared" si="9"/>
        <v/>
      </c>
      <c r="M131" s="1" t="str">
        <f t="shared" si="10"/>
        <v/>
      </c>
      <c r="P131" s="1" t="s">
        <v>20</v>
      </c>
      <c r="V131" s="1" t="s">
        <v>28081</v>
      </c>
      <c r="X131" s="1" t="s">
        <v>27842</v>
      </c>
      <c r="AR131" s="1" t="str">
        <f t="shared" ref="AR131:AR194" si="11">"| ["&amp;I131&amp;"]("&amp;I131&amp;".md) | ["&amp;A131&amp;"]("&amp;A131&amp;".md) | "&amp;" | "&amp;R131&amp;" | "&amp;V131&amp;" |"</f>
        <v>| [](.md) | [舖](舖.md) |  |  | 「鋪」的異體字。 |</v>
      </c>
    </row>
    <row r="132" spans="1:44" hidden="1">
      <c r="A132" s="1" t="s">
        <v>28082</v>
      </c>
      <c r="C132" s="1">
        <v>1</v>
      </c>
      <c r="D132" s="1" t="str">
        <f>"01001-1"</f>
        <v>01001-1</v>
      </c>
      <c r="E132" s="1" t="s">
        <v>222</v>
      </c>
      <c r="F132" s="1">
        <v>15</v>
      </c>
      <c r="G132" s="1">
        <v>3</v>
      </c>
      <c r="H132" s="1">
        <v>0</v>
      </c>
      <c r="K132" s="1" t="str">
        <f t="shared" si="8"/>
        <v/>
      </c>
      <c r="L132" s="1" t="str">
        <f t="shared" si="9"/>
        <v/>
      </c>
      <c r="M132" s="1" t="str">
        <f t="shared" si="10"/>
        <v/>
      </c>
      <c r="P132" s="1" t="s">
        <v>20</v>
      </c>
      <c r="V132" s="1" t="s">
        <v>28083</v>
      </c>
      <c r="X132" s="1" t="s">
        <v>27842</v>
      </c>
      <c r="AR132" s="1" t="str">
        <f t="shared" si="11"/>
        <v>| [](.md) | [幞](幞.md) |  |  | 「襆」的異體字。 |</v>
      </c>
    </row>
    <row r="133" spans="1:44" hidden="1">
      <c r="A133" s="1" t="s">
        <v>28084</v>
      </c>
      <c r="C133" s="1">
        <v>1</v>
      </c>
      <c r="D133" s="1" t="str">
        <f>"01001-2"</f>
        <v>01001-2</v>
      </c>
      <c r="E133" s="1" t="s">
        <v>340</v>
      </c>
      <c r="F133" s="1">
        <v>19</v>
      </c>
      <c r="G133" s="1">
        <v>14</v>
      </c>
      <c r="H133" s="1">
        <v>0</v>
      </c>
      <c r="K133" s="1" t="str">
        <f t="shared" si="8"/>
        <v/>
      </c>
      <c r="L133" s="1" t="str">
        <f t="shared" si="9"/>
        <v/>
      </c>
      <c r="M133" s="1" t="str">
        <f t="shared" si="10"/>
        <v/>
      </c>
      <c r="P133" s="1" t="s">
        <v>20</v>
      </c>
      <c r="V133" s="1" t="s">
        <v>28083</v>
      </c>
      <c r="X133" s="1" t="s">
        <v>27842</v>
      </c>
      <c r="AR133" s="1" t="str">
        <f t="shared" si="11"/>
        <v>| [](.md) | [襥](襥.md) |  |  | 「襆」的異體字。 |</v>
      </c>
    </row>
    <row r="134" spans="1:44" hidden="1">
      <c r="A134" s="1" t="s">
        <v>28085</v>
      </c>
      <c r="C134" s="1">
        <v>1</v>
      </c>
      <c r="D134" s="1" t="str">
        <f>"01012-1"</f>
        <v>01012-1</v>
      </c>
      <c r="E134" s="1" t="s">
        <v>331</v>
      </c>
      <c r="F134" s="1">
        <v>15</v>
      </c>
      <c r="G134" s="1">
        <v>8</v>
      </c>
      <c r="H134" s="1">
        <v>0</v>
      </c>
      <c r="K134" s="1" t="str">
        <f t="shared" si="8"/>
        <v/>
      </c>
      <c r="L134" s="1" t="str">
        <f t="shared" si="9"/>
        <v/>
      </c>
      <c r="M134" s="1" t="str">
        <f t="shared" si="10"/>
        <v/>
      </c>
      <c r="P134" s="1" t="s">
        <v>20</v>
      </c>
      <c r="V134" s="1" t="s">
        <v>28086</v>
      </c>
      <c r="X134" s="1" t="s">
        <v>27842</v>
      </c>
      <c r="AR134" s="1" t="str">
        <f t="shared" si="11"/>
        <v>| [](.md) | [諩](諩.md) |  |  | 「譜」的異體字。 |</v>
      </c>
    </row>
    <row r="135" spans="1:44" hidden="1">
      <c r="A135" s="1" t="s">
        <v>28087</v>
      </c>
      <c r="C135" s="1">
        <v>1</v>
      </c>
      <c r="D135" s="1" t="str">
        <f>"01023-1"</f>
        <v>01023-1</v>
      </c>
      <c r="E135" s="1" t="s">
        <v>37</v>
      </c>
      <c r="F135" s="1">
        <v>15</v>
      </c>
      <c r="G135" s="1">
        <v>9</v>
      </c>
      <c r="H135" s="1">
        <v>0</v>
      </c>
      <c r="K135" s="1" t="str">
        <f t="shared" si="8"/>
        <v/>
      </c>
      <c r="L135" s="1" t="str">
        <f t="shared" si="9"/>
        <v/>
      </c>
      <c r="M135" s="1" t="str">
        <f t="shared" si="10"/>
        <v/>
      </c>
      <c r="P135" s="1" t="s">
        <v>20</v>
      </c>
      <c r="V135" s="1" t="s">
        <v>28088</v>
      </c>
      <c r="X135" s="1" t="s">
        <v>27842</v>
      </c>
      <c r="AR135" s="1" t="str">
        <f t="shared" si="11"/>
        <v>| [](.md) | [蔴](蔴.md) |  |  | 「麻」的異體字。 |</v>
      </c>
    </row>
    <row r="136" spans="1:44" hidden="1">
      <c r="A136" s="1" t="s">
        <v>28089</v>
      </c>
      <c r="C136" s="1">
        <v>1</v>
      </c>
      <c r="D136" s="1" t="str">
        <f>"01023-2"</f>
        <v>01023-2</v>
      </c>
      <c r="E136" s="1" t="s">
        <v>2591</v>
      </c>
      <c r="F136" s="1">
        <v>11</v>
      </c>
      <c r="G136" s="1">
        <v>0</v>
      </c>
      <c r="H136" s="1">
        <v>0</v>
      </c>
      <c r="K136" s="1" t="str">
        <f t="shared" si="8"/>
        <v/>
      </c>
      <c r="L136" s="1" t="str">
        <f t="shared" si="9"/>
        <v/>
      </c>
      <c r="M136" s="1" t="str">
        <f t="shared" si="10"/>
        <v/>
      </c>
      <c r="P136" s="1" t="s">
        <v>20</v>
      </c>
      <c r="V136" s="1" t="s">
        <v>28088</v>
      </c>
      <c r="X136" s="1" t="s">
        <v>27842</v>
      </c>
      <c r="AR136" s="1" t="str">
        <f t="shared" si="11"/>
        <v>| [](.md) | [麻](麻.md) |  |  | 「麻」的異體字。 |</v>
      </c>
    </row>
    <row r="137" spans="1:44" hidden="1">
      <c r="A137" s="1" t="s">
        <v>28090</v>
      </c>
      <c r="C137" s="1">
        <v>1</v>
      </c>
      <c r="D137" s="1" t="str">
        <f>"01025-1"</f>
        <v>01025-1</v>
      </c>
      <c r="E137" s="1" t="s">
        <v>447</v>
      </c>
      <c r="F137" s="1">
        <v>6</v>
      </c>
      <c r="G137" s="1">
        <v>3</v>
      </c>
      <c r="H137" s="1">
        <v>0</v>
      </c>
      <c r="K137" s="1" t="str">
        <f t="shared" si="8"/>
        <v/>
      </c>
      <c r="L137" s="1" t="str">
        <f t="shared" si="9"/>
        <v/>
      </c>
      <c r="M137" s="1" t="str">
        <f t="shared" si="10"/>
        <v/>
      </c>
      <c r="P137" s="1" t="s">
        <v>20</v>
      </c>
      <c r="V137" s="1" t="s">
        <v>28091</v>
      </c>
      <c r="X137" s="1" t="s">
        <v>27842</v>
      </c>
      <c r="AR137" s="1" t="str">
        <f t="shared" si="11"/>
        <v>| [](.md) | [庅](庅.md) |  |  | 「麼」的異體字。 |</v>
      </c>
    </row>
    <row r="138" spans="1:44" hidden="1">
      <c r="A138" s="1" t="s">
        <v>28092</v>
      </c>
      <c r="C138" s="1">
        <v>1</v>
      </c>
      <c r="D138" s="1" t="str">
        <f>"01025-2"</f>
        <v>01025-2</v>
      </c>
      <c r="E138" s="1" t="s">
        <v>2591</v>
      </c>
      <c r="F138" s="1">
        <v>14</v>
      </c>
      <c r="G138" s="1">
        <v>3</v>
      </c>
      <c r="H138" s="1">
        <v>0</v>
      </c>
      <c r="K138" s="1" t="str">
        <f t="shared" si="8"/>
        <v/>
      </c>
      <c r="L138" s="1" t="str">
        <f t="shared" si="9"/>
        <v/>
      </c>
      <c r="M138" s="1" t="str">
        <f t="shared" si="10"/>
        <v/>
      </c>
      <c r="P138" s="1" t="s">
        <v>20</v>
      </c>
      <c r="V138" s="1" t="s">
        <v>28091</v>
      </c>
      <c r="X138" s="1" t="s">
        <v>27842</v>
      </c>
      <c r="AR138" s="1" t="str">
        <f t="shared" si="11"/>
        <v>| [](.md) | [麽](麽.md) |  |  | 「麼」的異體字。 |</v>
      </c>
    </row>
    <row r="139" spans="1:44" hidden="1">
      <c r="A139" s="1" t="s">
        <v>28093</v>
      </c>
      <c r="C139" s="1">
        <v>1</v>
      </c>
      <c r="D139" s="1" t="str">
        <f>"01028-1"</f>
        <v>01028-1</v>
      </c>
      <c r="E139" s="1" t="s">
        <v>679</v>
      </c>
      <c r="F139" s="1">
        <v>17</v>
      </c>
      <c r="G139" s="1">
        <v>11</v>
      </c>
      <c r="H139" s="1">
        <v>0</v>
      </c>
      <c r="K139" s="1" t="str">
        <f t="shared" si="8"/>
        <v/>
      </c>
      <c r="L139" s="1" t="str">
        <f t="shared" si="9"/>
        <v/>
      </c>
      <c r="M139" s="1" t="str">
        <f t="shared" si="10"/>
        <v/>
      </c>
      <c r="P139" s="1" t="s">
        <v>20</v>
      </c>
      <c r="V139" s="1" t="s">
        <v>28094</v>
      </c>
      <c r="X139" s="1" t="s">
        <v>27842</v>
      </c>
      <c r="AR139" s="1" t="str">
        <f t="shared" si="11"/>
        <v>| [](.md) | [蟇](蟇.md) |  |  | 「蟆」的異體字。 |</v>
      </c>
    </row>
    <row r="140" spans="1:44" hidden="1">
      <c r="A140" s="1" t="s">
        <v>28095</v>
      </c>
      <c r="C140" s="1">
        <v>1</v>
      </c>
      <c r="D140" s="1" t="str">
        <f>"01038-1"</f>
        <v>01038-1</v>
      </c>
      <c r="E140" s="1" t="s">
        <v>319</v>
      </c>
      <c r="F140" s="1">
        <v>16</v>
      </c>
      <c r="G140" s="1">
        <v>6</v>
      </c>
      <c r="H140" s="1">
        <v>0</v>
      </c>
      <c r="K140" s="1" t="str">
        <f t="shared" si="8"/>
        <v/>
      </c>
      <c r="L140" s="1" t="str">
        <f t="shared" si="9"/>
        <v/>
      </c>
      <c r="M140" s="1" t="str">
        <f t="shared" si="10"/>
        <v/>
      </c>
      <c r="P140" s="1" t="s">
        <v>20</v>
      </c>
      <c r="V140" s="1" t="s">
        <v>28096</v>
      </c>
      <c r="X140" s="1" t="s">
        <v>27842</v>
      </c>
      <c r="AR140" s="1" t="str">
        <f t="shared" si="11"/>
        <v>| [](.md) | [駡](駡.md) |  |  | 「罵」的異體字。 |</v>
      </c>
    </row>
    <row r="141" spans="1:44" hidden="1">
      <c r="A141" s="1" t="s">
        <v>28097</v>
      </c>
      <c r="C141" s="1">
        <v>1</v>
      </c>
      <c r="D141" s="1" t="str">
        <f>"01059-1"</f>
        <v>01059-1</v>
      </c>
      <c r="E141" s="1" t="s">
        <v>193</v>
      </c>
      <c r="F141" s="1">
        <v>24</v>
      </c>
      <c r="G141" s="1">
        <v>16</v>
      </c>
      <c r="H141" s="1">
        <v>0</v>
      </c>
      <c r="K141" s="1" t="str">
        <f t="shared" si="8"/>
        <v/>
      </c>
      <c r="L141" s="1" t="str">
        <f t="shared" si="9"/>
        <v/>
      </c>
      <c r="M141" s="1" t="str">
        <f t="shared" si="10"/>
        <v/>
      </c>
      <c r="P141" s="1" t="s">
        <v>20</v>
      </c>
      <c r="V141" s="1" t="s">
        <v>28098</v>
      </c>
      <c r="X141" s="1" t="s">
        <v>27842</v>
      </c>
      <c r="AR141" s="1" t="str">
        <f t="shared" si="11"/>
        <v>| [](.md) | [饝](饝.md) |  |  | 「饃」的異體字。 |</v>
      </c>
    </row>
    <row r="142" spans="1:44" hidden="1">
      <c r="A142" s="1" t="s">
        <v>28099</v>
      </c>
      <c r="C142" s="1">
        <v>1</v>
      </c>
      <c r="D142" s="1" t="str">
        <f>"01071-1"</f>
        <v>01071-1</v>
      </c>
      <c r="E142" s="1" t="s">
        <v>129</v>
      </c>
      <c r="F142" s="1">
        <v>7</v>
      </c>
      <c r="G142" s="1">
        <v>4</v>
      </c>
      <c r="H142" s="1">
        <v>0</v>
      </c>
      <c r="K142" s="1" t="str">
        <f t="shared" si="8"/>
        <v/>
      </c>
      <c r="L142" s="1" t="str">
        <f t="shared" si="9"/>
        <v/>
      </c>
      <c r="M142" s="1" t="str">
        <f t="shared" si="10"/>
        <v/>
      </c>
      <c r="P142" s="1" t="s">
        <v>20</v>
      </c>
      <c r="V142" s="1" t="s">
        <v>28100</v>
      </c>
      <c r="X142" s="1" t="s">
        <v>27842</v>
      </c>
      <c r="AR142" s="1" t="str">
        <f t="shared" si="11"/>
        <v>| [](.md) | [没](没.md) |  |  | 「沒」的異體字。 |</v>
      </c>
    </row>
    <row r="143" spans="1:44" hidden="1">
      <c r="A143" s="1" t="s">
        <v>28101</v>
      </c>
      <c r="C143" s="1">
        <v>1</v>
      </c>
      <c r="D143" s="1" t="str">
        <f>"01071-2"</f>
        <v>01071-2</v>
      </c>
      <c r="E143" s="1" t="s">
        <v>129</v>
      </c>
      <c r="F143" s="1">
        <v>7</v>
      </c>
      <c r="G143" s="1">
        <v>4</v>
      </c>
      <c r="H143" s="1">
        <v>0</v>
      </c>
      <c r="K143" s="1" t="str">
        <f t="shared" si="8"/>
        <v/>
      </c>
      <c r="L143" s="1" t="str">
        <f t="shared" si="9"/>
        <v/>
      </c>
      <c r="M143" s="1" t="str">
        <f t="shared" si="10"/>
        <v/>
      </c>
      <c r="P143" s="1" t="s">
        <v>20</v>
      </c>
      <c r="V143" s="1" t="s">
        <v>28100</v>
      </c>
      <c r="X143" s="1" t="s">
        <v>27842</v>
      </c>
      <c r="AR143" s="1" t="str">
        <f t="shared" si="11"/>
        <v>| [](.md) | [󰛫](󰛫.md) |  |  | 「沒」的異體字。 |</v>
      </c>
    </row>
    <row r="144" spans="1:44" hidden="1">
      <c r="A144" s="1" t="s">
        <v>28102</v>
      </c>
      <c r="C144" s="1">
        <v>1</v>
      </c>
      <c r="D144" s="1" t="str">
        <f>"01071-3"</f>
        <v>01071-3</v>
      </c>
      <c r="E144" s="1" t="s">
        <v>129</v>
      </c>
      <c r="F144" s="1">
        <v>8</v>
      </c>
      <c r="G144" s="1">
        <v>5</v>
      </c>
      <c r="H144" s="1">
        <v>0</v>
      </c>
      <c r="K144" s="1" t="str">
        <f t="shared" si="8"/>
        <v/>
      </c>
      <c r="L144" s="1" t="str">
        <f t="shared" si="9"/>
        <v/>
      </c>
      <c r="M144" s="1" t="str">
        <f t="shared" si="10"/>
        <v/>
      </c>
      <c r="P144" s="1" t="s">
        <v>20</v>
      </c>
      <c r="V144" s="1" t="s">
        <v>28100</v>
      </c>
      <c r="X144" s="1" t="s">
        <v>27842</v>
      </c>
      <c r="AR144" s="1" t="str">
        <f t="shared" si="11"/>
        <v>| [](.md) | [𣳚](𣳚.md) |  |  | 「沒」的異體字。 |</v>
      </c>
    </row>
    <row r="145" spans="1:44" hidden="1">
      <c r="A145" s="1" t="s">
        <v>28103</v>
      </c>
      <c r="C145" s="1">
        <v>1</v>
      </c>
      <c r="D145" s="1" t="str">
        <f>"01077-1"</f>
        <v>01077-1</v>
      </c>
      <c r="E145" s="1" t="s">
        <v>6488</v>
      </c>
      <c r="F145" s="1">
        <v>9</v>
      </c>
      <c r="G145" s="1">
        <v>5</v>
      </c>
      <c r="H145" s="1">
        <v>0</v>
      </c>
      <c r="K145" s="1" t="str">
        <f t="shared" si="8"/>
        <v/>
      </c>
      <c r="L145" s="1" t="str">
        <f t="shared" si="9"/>
        <v/>
      </c>
      <c r="M145" s="1" t="str">
        <f t="shared" si="10"/>
        <v/>
      </c>
      <c r="P145" s="1" t="s">
        <v>20</v>
      </c>
      <c r="V145" s="1" t="s">
        <v>28104</v>
      </c>
      <c r="X145" s="1" t="s">
        <v>27842</v>
      </c>
      <c r="AR145" s="1" t="str">
        <f t="shared" si="11"/>
        <v>| [](.md) | [冒](冒.md) |  |  | 「冒」的異體字。 |</v>
      </c>
    </row>
    <row r="146" spans="1:44" hidden="1">
      <c r="A146" s="1" t="s">
        <v>28105</v>
      </c>
      <c r="C146" s="1">
        <v>1</v>
      </c>
      <c r="D146" s="1" t="str">
        <f>"01078-1"</f>
        <v>01078-1</v>
      </c>
      <c r="E146" s="1" t="s">
        <v>68</v>
      </c>
      <c r="F146" s="1">
        <v>9</v>
      </c>
      <c r="G146" s="1">
        <v>5</v>
      </c>
      <c r="H146" s="1">
        <v>0</v>
      </c>
      <c r="K146" s="1" t="str">
        <f t="shared" si="8"/>
        <v/>
      </c>
      <c r="L146" s="1" t="str">
        <f t="shared" si="9"/>
        <v/>
      </c>
      <c r="M146" s="1" t="str">
        <f t="shared" si="10"/>
        <v/>
      </c>
      <c r="P146" s="1" t="s">
        <v>20</v>
      </c>
      <c r="V146" s="1" t="s">
        <v>28106</v>
      </c>
      <c r="X146" s="1" t="s">
        <v>27842</v>
      </c>
      <c r="AR146" s="1" t="str">
        <f t="shared" si="11"/>
        <v>| [](.md) | [脉](脉.md) |  |  | 「脈」的異體字。 |</v>
      </c>
    </row>
    <row r="147" spans="1:44" hidden="1">
      <c r="A147" s="1" t="s">
        <v>28107</v>
      </c>
      <c r="C147" s="1">
        <v>1</v>
      </c>
      <c r="D147" s="1" t="str">
        <f>"01078-2"</f>
        <v>01078-2</v>
      </c>
      <c r="E147" s="1" t="s">
        <v>1681</v>
      </c>
      <c r="F147" s="1">
        <v>11</v>
      </c>
      <c r="G147" s="1">
        <v>5</v>
      </c>
      <c r="H147" s="1">
        <v>0</v>
      </c>
      <c r="K147" s="1" t="str">
        <f t="shared" si="8"/>
        <v/>
      </c>
      <c r="L147" s="1" t="str">
        <f t="shared" si="9"/>
        <v/>
      </c>
      <c r="M147" s="1" t="str">
        <f t="shared" si="10"/>
        <v/>
      </c>
      <c r="P147" s="1" t="s">
        <v>20</v>
      </c>
      <c r="V147" s="1" t="s">
        <v>28106</v>
      </c>
      <c r="X147" s="1" t="s">
        <v>27842</v>
      </c>
      <c r="AR147" s="1" t="str">
        <f t="shared" si="11"/>
        <v>| [](.md) | [䘑](䘑.md) |  |  | 「脈」的異體字。 |</v>
      </c>
    </row>
    <row r="148" spans="1:44" hidden="1">
      <c r="A148" s="1" t="s">
        <v>28108</v>
      </c>
      <c r="C148" s="1">
        <v>1</v>
      </c>
      <c r="D148" s="1" t="str">
        <f>"01078-3"</f>
        <v>01078-3</v>
      </c>
      <c r="E148" s="1" t="s">
        <v>1681</v>
      </c>
      <c r="F148" s="1">
        <v>12</v>
      </c>
      <c r="G148" s="1">
        <v>6</v>
      </c>
      <c r="H148" s="1">
        <v>0</v>
      </c>
      <c r="K148" s="1" t="str">
        <f t="shared" si="8"/>
        <v/>
      </c>
      <c r="L148" s="1" t="str">
        <f t="shared" si="9"/>
        <v/>
      </c>
      <c r="M148" s="1" t="str">
        <f t="shared" si="10"/>
        <v/>
      </c>
      <c r="P148" s="1" t="s">
        <v>20</v>
      </c>
      <c r="V148" s="1" t="s">
        <v>28106</v>
      </c>
      <c r="X148" s="1" t="s">
        <v>27842</v>
      </c>
      <c r="AR148" s="1" t="str">
        <f t="shared" si="11"/>
        <v>| [](.md) | [衇](衇.md) |  |  | 「脈」的異體字。 |</v>
      </c>
    </row>
    <row r="149" spans="1:44" hidden="1">
      <c r="A149" s="1" t="s">
        <v>28109</v>
      </c>
      <c r="C149" s="1">
        <v>1</v>
      </c>
      <c r="D149" s="1" t="str">
        <f>"01081-1"</f>
        <v>01081-1</v>
      </c>
      <c r="E149" s="1" t="s">
        <v>125</v>
      </c>
      <c r="F149" s="1">
        <v>17</v>
      </c>
      <c r="G149" s="1">
        <v>9</v>
      </c>
      <c r="H149" s="1">
        <v>0</v>
      </c>
      <c r="K149" s="1" t="str">
        <f t="shared" si="8"/>
        <v/>
      </c>
      <c r="L149" s="1" t="str">
        <f t="shared" si="9"/>
        <v/>
      </c>
      <c r="M149" s="1" t="str">
        <f t="shared" si="10"/>
        <v/>
      </c>
      <c r="P149" s="1" t="s">
        <v>20</v>
      </c>
      <c r="V149" s="1" t="s">
        <v>28110</v>
      </c>
      <c r="X149" s="1" t="s">
        <v>27842</v>
      </c>
      <c r="AR149" s="1" t="str">
        <f t="shared" si="11"/>
        <v>| [](.md) | [霡](霡.md) |  |  | 「霢」的異體字。 |</v>
      </c>
    </row>
    <row r="150" spans="1:44" hidden="1">
      <c r="A150" s="1" t="s">
        <v>28111</v>
      </c>
      <c r="C150" s="1">
        <v>1</v>
      </c>
      <c r="D150" s="1" t="str">
        <f>"01082-1"</f>
        <v>01082-1</v>
      </c>
      <c r="E150" s="1" t="s">
        <v>3981</v>
      </c>
      <c r="F150" s="1">
        <v>7</v>
      </c>
      <c r="G150" s="1">
        <v>4</v>
      </c>
      <c r="H150" s="1">
        <v>0</v>
      </c>
      <c r="K150" s="1" t="str">
        <f t="shared" si="8"/>
        <v/>
      </c>
      <c r="L150" s="1" t="str">
        <f t="shared" si="9"/>
        <v/>
      </c>
      <c r="M150" s="1" t="str">
        <f t="shared" si="10"/>
        <v/>
      </c>
      <c r="P150" s="1" t="s">
        <v>20</v>
      </c>
      <c r="V150" s="1" t="s">
        <v>28112</v>
      </c>
      <c r="X150" s="1" t="s">
        <v>27842</v>
      </c>
      <c r="AR150" s="1" t="str">
        <f t="shared" si="11"/>
        <v>| [](.md) | [麦](麦.md) |  |  | 「麥」的異體字。 |</v>
      </c>
    </row>
    <row r="151" spans="1:44" hidden="1">
      <c r="A151" s="1" t="s">
        <v>28113</v>
      </c>
      <c r="C151" s="1">
        <v>1</v>
      </c>
      <c r="D151" s="1" t="str">
        <f>"01094-1"</f>
        <v>01094-1</v>
      </c>
      <c r="E151" s="1" t="s">
        <v>198</v>
      </c>
      <c r="F151" s="1">
        <v>9</v>
      </c>
      <c r="G151" s="1">
        <v>6</v>
      </c>
      <c r="H151" s="1">
        <v>0</v>
      </c>
      <c r="K151" s="1" t="str">
        <f t="shared" si="8"/>
        <v/>
      </c>
      <c r="L151" s="1" t="str">
        <f t="shared" si="9"/>
        <v/>
      </c>
      <c r="M151" s="1" t="str">
        <f t="shared" si="10"/>
        <v/>
      </c>
      <c r="P151" s="1" t="s">
        <v>20</v>
      </c>
      <c r="V151" s="1" t="s">
        <v>28114</v>
      </c>
      <c r="X151" s="1" t="s">
        <v>27842</v>
      </c>
      <c r="AR151" s="1" t="str">
        <f t="shared" si="11"/>
        <v>| [](.md) | [狢](狢.md) |  |  | 「貉」的異體字。 |</v>
      </c>
    </row>
    <row r="152" spans="1:44" hidden="1">
      <c r="A152" s="1" t="s">
        <v>28115</v>
      </c>
      <c r="C152" s="1">
        <v>1</v>
      </c>
      <c r="D152" s="1" t="str">
        <f>"01118-1"</f>
        <v>01118-1</v>
      </c>
      <c r="E152" s="1" t="s">
        <v>139</v>
      </c>
      <c r="F152" s="1">
        <v>13</v>
      </c>
      <c r="G152" s="1">
        <v>9</v>
      </c>
      <c r="H152" s="1">
        <v>0</v>
      </c>
      <c r="K152" s="1" t="str">
        <f t="shared" si="8"/>
        <v/>
      </c>
      <c r="L152" s="1" t="str">
        <f t="shared" si="9"/>
        <v/>
      </c>
      <c r="M152" s="1" t="str">
        <f t="shared" si="10"/>
        <v/>
      </c>
      <c r="P152" s="1" t="s">
        <v>20</v>
      </c>
      <c r="V152" s="1" t="s">
        <v>28116</v>
      </c>
      <c r="X152" s="1" t="s">
        <v>27842</v>
      </c>
      <c r="AR152" s="1" t="str">
        <f t="shared" si="11"/>
        <v>| [](.md) | [楳](楳.md) |  |  | 「梅」的異體字。 |</v>
      </c>
    </row>
    <row r="153" spans="1:44" hidden="1">
      <c r="A153" s="1" t="s">
        <v>28117</v>
      </c>
      <c r="C153" s="1">
        <v>1</v>
      </c>
      <c r="D153" s="1" t="str">
        <f>"01118-2"</f>
        <v>01118-2</v>
      </c>
      <c r="E153" s="1" t="s">
        <v>139</v>
      </c>
      <c r="F153" s="1">
        <v>14</v>
      </c>
      <c r="G153" s="1">
        <v>10</v>
      </c>
      <c r="H153" s="1">
        <v>0</v>
      </c>
      <c r="K153" s="1" t="str">
        <f t="shared" si="8"/>
        <v/>
      </c>
      <c r="L153" s="1" t="str">
        <f t="shared" si="9"/>
        <v/>
      </c>
      <c r="M153" s="1" t="str">
        <f t="shared" si="10"/>
        <v/>
      </c>
      <c r="P153" s="1" t="s">
        <v>20</v>
      </c>
      <c r="V153" s="1" t="s">
        <v>28116</v>
      </c>
      <c r="X153" s="1" t="s">
        <v>27842</v>
      </c>
      <c r="AR153" s="1" t="str">
        <f t="shared" si="11"/>
        <v>| [](.md) | [槑](槑.md) |  |  | 「梅」的異體字。 |</v>
      </c>
    </row>
    <row r="154" spans="1:44" hidden="1">
      <c r="A154" s="1" t="s">
        <v>28118</v>
      </c>
      <c r="C154" s="1">
        <v>1</v>
      </c>
      <c r="D154" s="1" t="str">
        <f>"01124-1"</f>
        <v>01124-1</v>
      </c>
      <c r="E154" s="1" t="s">
        <v>1015</v>
      </c>
      <c r="F154" s="1">
        <v>12</v>
      </c>
      <c r="G154" s="1">
        <v>7</v>
      </c>
      <c r="H154" s="1">
        <v>0</v>
      </c>
      <c r="K154" s="1" t="str">
        <f t="shared" si="8"/>
        <v/>
      </c>
      <c r="L154" s="1" t="str">
        <f t="shared" si="9"/>
        <v/>
      </c>
      <c r="M154" s="1" t="str">
        <f t="shared" si="10"/>
        <v/>
      </c>
      <c r="P154" s="1" t="s">
        <v>20</v>
      </c>
      <c r="V154" s="1" t="s">
        <v>28119</v>
      </c>
      <c r="X154" s="1" t="s">
        <v>27842</v>
      </c>
      <c r="AR154" s="1" t="str">
        <f t="shared" si="11"/>
        <v>| [](.md) | [睂](睂.md) |  |  | 「眉」的異體字。 |</v>
      </c>
    </row>
    <row r="155" spans="1:44" hidden="1">
      <c r="A155" s="1" t="s">
        <v>28120</v>
      </c>
      <c r="C155" s="1">
        <v>1</v>
      </c>
      <c r="D155" s="1" t="str">
        <f>"01138-1"</f>
        <v>01138-1</v>
      </c>
      <c r="E155" s="1" t="s">
        <v>43</v>
      </c>
      <c r="F155" s="1">
        <v>10</v>
      </c>
      <c r="G155" s="1">
        <v>4</v>
      </c>
      <c r="H155" s="1">
        <v>0</v>
      </c>
      <c r="K155" s="1" t="str">
        <f t="shared" si="8"/>
        <v/>
      </c>
      <c r="L155" s="1" t="str">
        <f t="shared" si="9"/>
        <v/>
      </c>
      <c r="M155" s="1" t="str">
        <f t="shared" si="10"/>
        <v/>
      </c>
      <c r="P155" s="1" t="s">
        <v>20</v>
      </c>
      <c r="V155" s="1" t="s">
        <v>28121</v>
      </c>
      <c r="X155" s="1" t="s">
        <v>27842</v>
      </c>
      <c r="AR155" s="1" t="str">
        <f t="shared" si="11"/>
        <v>| [](.md) | [羙](羙.md) |  |  | 「美」的異體字。 |</v>
      </c>
    </row>
    <row r="156" spans="1:44" hidden="1">
      <c r="A156" s="1" t="s">
        <v>28122</v>
      </c>
      <c r="C156" s="1">
        <v>1</v>
      </c>
      <c r="D156" s="1" t="str">
        <f>"01141-1"</f>
        <v>01141-1</v>
      </c>
      <c r="E156" s="1" t="s">
        <v>1381</v>
      </c>
      <c r="F156" s="1">
        <v>9</v>
      </c>
      <c r="G156" s="1">
        <v>7</v>
      </c>
      <c r="H156" s="1">
        <v>0</v>
      </c>
      <c r="K156" s="1" t="str">
        <f t="shared" si="8"/>
        <v/>
      </c>
      <c r="L156" s="1" t="str">
        <f t="shared" si="9"/>
        <v/>
      </c>
      <c r="M156" s="1" t="str">
        <f t="shared" si="10"/>
        <v/>
      </c>
      <c r="P156" s="1" t="s">
        <v>20</v>
      </c>
      <c r="V156" s="1" t="s">
        <v>28123</v>
      </c>
      <c r="X156" s="1" t="s">
        <v>27842</v>
      </c>
      <c r="AR156" s="1" t="str">
        <f t="shared" si="11"/>
        <v>| [](.md) | [凂](凂.md) |  |  | 「浼」的異體字。 |</v>
      </c>
    </row>
    <row r="157" spans="1:44" hidden="1">
      <c r="A157" s="1" t="s">
        <v>28124</v>
      </c>
      <c r="C157" s="1">
        <v>1</v>
      </c>
      <c r="D157" s="1" t="str">
        <f>"01553-1"</f>
        <v>01553-1</v>
      </c>
      <c r="E157" s="1" t="s">
        <v>125</v>
      </c>
      <c r="F157" s="1">
        <v>17</v>
      </c>
      <c r="G157" s="1">
        <v>9</v>
      </c>
      <c r="H157" s="1">
        <v>0</v>
      </c>
      <c r="K157" s="1" t="str">
        <f t="shared" si="8"/>
        <v/>
      </c>
      <c r="L157" s="1" t="str">
        <f t="shared" si="9"/>
        <v/>
      </c>
      <c r="M157" s="1" t="str">
        <f t="shared" si="10"/>
        <v/>
      </c>
      <c r="P157" s="1" t="s">
        <v>20</v>
      </c>
      <c r="V157" s="1" t="s">
        <v>28125</v>
      </c>
      <c r="X157" s="1" t="s">
        <v>27842</v>
      </c>
      <c r="AR157" s="1" t="str">
        <f t="shared" si="11"/>
        <v>| [](.md) | [䬠](䬠.md) |  |  | 「霏」的異體字。 |</v>
      </c>
    </row>
    <row r="158" spans="1:44" hidden="1">
      <c r="A158" s="1" t="s">
        <v>28126</v>
      </c>
      <c r="C158" s="1">
        <v>1</v>
      </c>
      <c r="D158" s="1" t="str">
        <f>"01157-1"</f>
        <v>01157-1</v>
      </c>
      <c r="E158" s="1" t="s">
        <v>198</v>
      </c>
      <c r="F158" s="1">
        <v>12</v>
      </c>
      <c r="G158" s="1">
        <v>9</v>
      </c>
      <c r="H158" s="1">
        <v>0</v>
      </c>
      <c r="K158" s="1" t="str">
        <f t="shared" si="8"/>
        <v/>
      </c>
      <c r="L158" s="1" t="str">
        <f t="shared" si="9"/>
        <v/>
      </c>
      <c r="M158" s="1" t="str">
        <f t="shared" si="10"/>
        <v/>
      </c>
      <c r="P158" s="1" t="s">
        <v>20</v>
      </c>
      <c r="V158" s="1" t="s">
        <v>28127</v>
      </c>
      <c r="X158" s="1" t="s">
        <v>27842</v>
      </c>
      <c r="AR158" s="1" t="str">
        <f t="shared" si="11"/>
        <v>| [](.md) | [猫](猫.md) |  |  | 「貓」的異體字。 |</v>
      </c>
    </row>
    <row r="159" spans="1:44" hidden="1">
      <c r="A159" s="1" t="s">
        <v>28128</v>
      </c>
      <c r="C159" s="1">
        <v>1</v>
      </c>
      <c r="D159" s="1" t="str">
        <f>"01170-1"</f>
        <v>01170-1</v>
      </c>
      <c r="E159" s="1" t="s">
        <v>1252</v>
      </c>
      <c r="F159" s="1">
        <v>7</v>
      </c>
      <c r="G159" s="1">
        <v>3</v>
      </c>
      <c r="H159" s="1">
        <v>0</v>
      </c>
      <c r="K159" s="1" t="str">
        <f t="shared" si="8"/>
        <v/>
      </c>
      <c r="L159" s="1" t="str">
        <f t="shared" si="9"/>
        <v/>
      </c>
      <c r="M159" s="1" t="str">
        <f t="shared" si="10"/>
        <v/>
      </c>
      <c r="P159" s="1" t="s">
        <v>20</v>
      </c>
      <c r="V159" s="1" t="s">
        <v>28129</v>
      </c>
      <c r="X159" s="1" t="s">
        <v>27842</v>
      </c>
      <c r="AR159" s="1" t="str">
        <f t="shared" si="11"/>
        <v>| [](.md) | [戼](戼.md) |  |  | 「卯」的異體字。 |</v>
      </c>
    </row>
    <row r="160" spans="1:44" hidden="1">
      <c r="A160" s="1" t="s">
        <v>28130</v>
      </c>
      <c r="C160" s="1">
        <v>1</v>
      </c>
      <c r="D160" s="1" t="str">
        <f>"01182-1"</f>
        <v>01182-1</v>
      </c>
      <c r="E160" s="1" t="s">
        <v>2729</v>
      </c>
      <c r="F160" s="1">
        <v>8</v>
      </c>
      <c r="G160" s="1">
        <v>6</v>
      </c>
      <c r="H160" s="1">
        <v>0</v>
      </c>
      <c r="K160" s="1" t="str">
        <f t="shared" si="8"/>
        <v/>
      </c>
      <c r="L160" s="1" t="str">
        <f t="shared" si="9"/>
        <v/>
      </c>
      <c r="M160" s="1" t="str">
        <f t="shared" si="10"/>
        <v/>
      </c>
      <c r="P160" s="1" t="s">
        <v>20</v>
      </c>
      <c r="V160" s="1" t="s">
        <v>28104</v>
      </c>
      <c r="X160" s="1" t="s">
        <v>27842</v>
      </c>
      <c r="AR160" s="1" t="str">
        <f t="shared" si="11"/>
        <v>| [](.md) | [冐](冐.md) |  |  | 「冒」的異體字。 |</v>
      </c>
    </row>
    <row r="161" spans="1:44" hidden="1">
      <c r="A161" s="1" t="s">
        <v>28131</v>
      </c>
      <c r="C161" s="1">
        <v>1</v>
      </c>
      <c r="D161" s="1" t="str">
        <f>"01193-1"</f>
        <v>01193-1</v>
      </c>
      <c r="E161" s="1" t="s">
        <v>205</v>
      </c>
      <c r="F161" s="1">
        <v>7</v>
      </c>
      <c r="G161" s="1">
        <v>2</v>
      </c>
      <c r="H161" s="1">
        <v>0</v>
      </c>
      <c r="K161" s="1" t="str">
        <f t="shared" si="8"/>
        <v/>
      </c>
      <c r="L161" s="1" t="str">
        <f t="shared" si="9"/>
        <v/>
      </c>
      <c r="M161" s="1" t="str">
        <f t="shared" si="10"/>
        <v/>
      </c>
      <c r="P161" s="1" t="s">
        <v>20</v>
      </c>
      <c r="V161" s="1" t="s">
        <v>28132</v>
      </c>
      <c r="X161" s="1" t="s">
        <v>27842</v>
      </c>
      <c r="AR161" s="1" t="str">
        <f t="shared" si="11"/>
        <v>| [](.md) | [皃](皃.md) |  |  | 「貌」的異體字。 |</v>
      </c>
    </row>
    <row r="162" spans="1:44" hidden="1">
      <c r="A162" s="1" t="s">
        <v>28133</v>
      </c>
      <c r="C162" s="1">
        <v>1</v>
      </c>
      <c r="D162" s="1" t="str">
        <f>"01207-1"</f>
        <v>01207-1</v>
      </c>
      <c r="E162" s="1" t="s">
        <v>753</v>
      </c>
      <c r="F162" s="1">
        <v>9</v>
      </c>
      <c r="G162" s="1">
        <v>4</v>
      </c>
      <c r="H162" s="1">
        <v>0</v>
      </c>
      <c r="K162" s="1" t="str">
        <f t="shared" si="8"/>
        <v/>
      </c>
      <c r="L162" s="1" t="str">
        <f t="shared" si="9"/>
        <v/>
      </c>
      <c r="M162" s="1" t="str">
        <f t="shared" si="10"/>
        <v/>
      </c>
      <c r="P162" s="1" t="s">
        <v>20</v>
      </c>
      <c r="V162" s="1" t="s">
        <v>28134</v>
      </c>
      <c r="X162" s="1" t="s">
        <v>27842</v>
      </c>
      <c r="AR162" s="1" t="str">
        <f t="shared" si="11"/>
        <v>| [](.md) | [畆](畆.md) |  |  | 「畝」的異體字。 |</v>
      </c>
    </row>
    <row r="163" spans="1:44" hidden="1">
      <c r="A163" s="1" t="s">
        <v>28135</v>
      </c>
      <c r="C163" s="1">
        <v>1</v>
      </c>
      <c r="D163" s="1" t="str">
        <f>"01207-2"</f>
        <v>01207-2</v>
      </c>
      <c r="E163" s="1" t="s">
        <v>753</v>
      </c>
      <c r="F163" s="1">
        <v>12</v>
      </c>
      <c r="G163" s="1">
        <v>7</v>
      </c>
      <c r="H163" s="1">
        <v>0</v>
      </c>
      <c r="K163" s="1" t="str">
        <f t="shared" si="8"/>
        <v/>
      </c>
      <c r="L163" s="1" t="str">
        <f t="shared" si="9"/>
        <v/>
      </c>
      <c r="M163" s="1" t="str">
        <f t="shared" si="10"/>
        <v/>
      </c>
      <c r="P163" s="1" t="s">
        <v>20</v>
      </c>
      <c r="V163" s="1" t="s">
        <v>28134</v>
      </c>
      <c r="X163" s="1" t="s">
        <v>27842</v>
      </c>
      <c r="AR163" s="1" t="str">
        <f t="shared" si="11"/>
        <v>| [](.md) | [畮](畮.md) |  |  | 「畝」的異體字。 |</v>
      </c>
    </row>
    <row r="164" spans="1:44" hidden="1">
      <c r="A164" s="1" t="s">
        <v>28136</v>
      </c>
      <c r="C164" s="1">
        <v>1</v>
      </c>
      <c r="D164" s="1" t="str">
        <f>"01232-1"</f>
        <v>01232-1</v>
      </c>
      <c r="E164" s="1" t="s">
        <v>679</v>
      </c>
      <c r="F164" s="1">
        <v>12</v>
      </c>
      <c r="G164" s="1">
        <v>6</v>
      </c>
      <c r="H164" s="1">
        <v>0</v>
      </c>
      <c r="K164" s="1" t="str">
        <f t="shared" si="8"/>
        <v/>
      </c>
      <c r="L164" s="1" t="str">
        <f t="shared" si="9"/>
        <v/>
      </c>
      <c r="M164" s="1" t="str">
        <f t="shared" si="10"/>
        <v/>
      </c>
      <c r="P164" s="1" t="s">
        <v>20</v>
      </c>
      <c r="V164" s="1" t="s">
        <v>28137</v>
      </c>
      <c r="X164" s="1" t="s">
        <v>27842</v>
      </c>
      <c r="AR164" s="1" t="str">
        <f t="shared" si="11"/>
        <v>| [](.md) | [蛮](蛮.md) |  |  | 「蠻」的異體字。 |</v>
      </c>
    </row>
    <row r="165" spans="1:44" hidden="1">
      <c r="A165" s="1" t="s">
        <v>28138</v>
      </c>
      <c r="C165" s="1">
        <v>1</v>
      </c>
      <c r="D165" s="1" t="str">
        <f>"01235-2"</f>
        <v>01235-2</v>
      </c>
      <c r="E165" s="1" t="s">
        <v>6488</v>
      </c>
      <c r="F165" s="1">
        <v>13</v>
      </c>
      <c r="G165" s="1">
        <v>9</v>
      </c>
      <c r="H165" s="1">
        <v>0</v>
      </c>
      <c r="K165" s="1" t="str">
        <f t="shared" si="8"/>
        <v/>
      </c>
      <c r="L165" s="1" t="str">
        <f t="shared" si="9"/>
        <v/>
      </c>
      <c r="M165" s="1" t="str">
        <f t="shared" si="10"/>
        <v/>
      </c>
      <c r="P165" s="1" t="s">
        <v>20</v>
      </c>
      <c r="V165" s="1" t="s">
        <v>28139</v>
      </c>
      <c r="X165" s="1" t="s">
        <v>27842</v>
      </c>
      <c r="AR165" s="1" t="str">
        <f t="shared" si="11"/>
        <v>| [](.md) | [㬅](㬅.md) |  |  | 「曼」的異體字。 |</v>
      </c>
    </row>
    <row r="166" spans="1:44" hidden="1">
      <c r="A166" s="1" t="s">
        <v>28140</v>
      </c>
      <c r="C166" s="1">
        <v>1</v>
      </c>
      <c r="D166" s="1" t="str">
        <f>"01293-1"</f>
        <v>01293-1</v>
      </c>
      <c r="E166" s="1" t="s">
        <v>679</v>
      </c>
      <c r="F166" s="1">
        <v>15</v>
      </c>
      <c r="G166" s="1">
        <v>9</v>
      </c>
      <c r="H166" s="1">
        <v>0</v>
      </c>
      <c r="K166" s="1" t="str">
        <f t="shared" si="8"/>
        <v/>
      </c>
      <c r="L166" s="1" t="str">
        <f t="shared" si="9"/>
        <v/>
      </c>
      <c r="M166" s="1" t="str">
        <f t="shared" si="10"/>
        <v/>
      </c>
      <c r="P166" s="1" t="s">
        <v>20</v>
      </c>
      <c r="V166" s="1" t="s">
        <v>28141</v>
      </c>
      <c r="X166" s="1" t="s">
        <v>27842</v>
      </c>
      <c r="AR166" s="1" t="str">
        <f t="shared" si="11"/>
        <v>| [](.md) | [蝱](蝱.md) |  |  | 「虻」的異體字。 |</v>
      </c>
    </row>
    <row r="167" spans="1:44" hidden="1">
      <c r="A167" s="1" t="s">
        <v>28142</v>
      </c>
      <c r="C167" s="1">
        <v>1</v>
      </c>
      <c r="D167" s="1" t="str">
        <f>"01317-1"</f>
        <v>01317-1</v>
      </c>
      <c r="E167" s="1" t="s">
        <v>250</v>
      </c>
      <c r="F167" s="1">
        <v>17</v>
      </c>
      <c r="G167" s="1">
        <v>14</v>
      </c>
      <c r="H167" s="1">
        <v>0</v>
      </c>
      <c r="K167" s="1" t="str">
        <f t="shared" si="8"/>
        <v/>
      </c>
      <c r="L167" s="1" t="str">
        <f t="shared" si="9"/>
        <v/>
      </c>
      <c r="M167" s="1" t="str">
        <f t="shared" si="10"/>
        <v/>
      </c>
      <c r="P167" s="1" t="s">
        <v>20</v>
      </c>
      <c r="V167" s="1" t="s">
        <v>28143</v>
      </c>
      <c r="X167" s="1" t="s">
        <v>27842</v>
      </c>
      <c r="AR167" s="1" t="str">
        <f t="shared" si="11"/>
        <v>| [](.md) | [懜](懜.md) |  |  | 「懵」的異體字。 |</v>
      </c>
    </row>
    <row r="168" spans="1:44" hidden="1">
      <c r="A168" s="1" t="s">
        <v>3277</v>
      </c>
      <c r="C168" s="1">
        <v>1</v>
      </c>
      <c r="D168" s="1" t="str">
        <f>"01332-1"</f>
        <v>01332-1</v>
      </c>
      <c r="E168" s="1" t="s">
        <v>250</v>
      </c>
      <c r="F168" s="1">
        <v>17</v>
      </c>
      <c r="G168" s="1">
        <v>14</v>
      </c>
      <c r="H168" s="1">
        <v>0</v>
      </c>
      <c r="K168" s="1" t="str">
        <f t="shared" si="8"/>
        <v/>
      </c>
      <c r="L168" s="1" t="str">
        <f t="shared" si="9"/>
        <v/>
      </c>
      <c r="M168" s="1" t="str">
        <f t="shared" si="10"/>
        <v/>
      </c>
      <c r="P168" s="1" t="s">
        <v>20</v>
      </c>
      <c r="V168" s="1" t="s">
        <v>28143</v>
      </c>
      <c r="X168" s="1" t="s">
        <v>27842</v>
      </c>
      <c r="AR168" s="1" t="str">
        <f t="shared" si="11"/>
        <v>| [](.md) | [懞](懞.md) |  |  | 「懵」的異體字。 |</v>
      </c>
    </row>
    <row r="169" spans="1:44" hidden="1">
      <c r="A169" s="1" t="s">
        <v>28144</v>
      </c>
      <c r="C169" s="1">
        <v>1</v>
      </c>
      <c r="D169" s="1" t="str">
        <f>"01334-1"</f>
        <v>01334-1</v>
      </c>
      <c r="E169" s="1" t="s">
        <v>3347</v>
      </c>
      <c r="F169" s="1">
        <v>11</v>
      </c>
      <c r="G169" s="1">
        <v>8</v>
      </c>
      <c r="H169" s="1">
        <v>0</v>
      </c>
      <c r="K169" s="1" t="str">
        <f t="shared" si="8"/>
        <v/>
      </c>
      <c r="L169" s="1" t="str">
        <f t="shared" si="9"/>
        <v/>
      </c>
      <c r="M169" s="1" t="str">
        <f t="shared" si="10"/>
        <v/>
      </c>
      <c r="P169" s="1" t="s">
        <v>20</v>
      </c>
      <c r="V169" s="1" t="s">
        <v>28145</v>
      </c>
      <c r="X169" s="1" t="s">
        <v>27842</v>
      </c>
      <c r="AR169" s="1" t="str">
        <f t="shared" si="11"/>
        <v>| [](.md) | [梦](梦.md) |  |  | 「夢」的異體字。 |</v>
      </c>
    </row>
    <row r="170" spans="1:44" hidden="1">
      <c r="A170" s="1" t="s">
        <v>28146</v>
      </c>
      <c r="C170" s="1">
        <v>1</v>
      </c>
      <c r="D170" s="1" t="str">
        <f>"01334-2"</f>
        <v>01334-2</v>
      </c>
      <c r="E170" s="1" t="s">
        <v>3347</v>
      </c>
      <c r="F170" s="1">
        <v>14</v>
      </c>
      <c r="G170" s="1">
        <v>11</v>
      </c>
      <c r="H170" s="1">
        <v>0</v>
      </c>
      <c r="K170" s="1" t="str">
        <f t="shared" si="8"/>
        <v/>
      </c>
      <c r="L170" s="1" t="str">
        <f t="shared" si="9"/>
        <v/>
      </c>
      <c r="M170" s="1" t="str">
        <f t="shared" si="10"/>
        <v/>
      </c>
      <c r="P170" s="1" t="s">
        <v>20</v>
      </c>
      <c r="V170" s="1" t="s">
        <v>28145</v>
      </c>
      <c r="X170" s="1" t="s">
        <v>27842</v>
      </c>
      <c r="AR170" s="1" t="str">
        <f t="shared" si="11"/>
        <v>| [](.md) | [夢](夢.md) |  |  | 「夢」的異體字。 |</v>
      </c>
    </row>
    <row r="171" spans="1:44" hidden="1">
      <c r="A171" s="1" t="s">
        <v>28147</v>
      </c>
      <c r="C171" s="1">
        <v>1</v>
      </c>
      <c r="D171" s="1" t="str">
        <f>"01334-3"</f>
        <v>01334-3</v>
      </c>
      <c r="E171" s="1" t="s">
        <v>624</v>
      </c>
      <c r="F171" s="1">
        <v>21</v>
      </c>
      <c r="G171" s="1">
        <v>18</v>
      </c>
      <c r="H171" s="1">
        <v>0</v>
      </c>
      <c r="K171" s="1" t="str">
        <f t="shared" si="8"/>
        <v/>
      </c>
      <c r="L171" s="1" t="str">
        <f t="shared" si="9"/>
        <v/>
      </c>
      <c r="M171" s="1" t="str">
        <f t="shared" si="10"/>
        <v/>
      </c>
      <c r="P171" s="1" t="s">
        <v>20</v>
      </c>
      <c r="V171" s="1" t="s">
        <v>28145</v>
      </c>
      <c r="X171" s="1" t="s">
        <v>27842</v>
      </c>
      <c r="AR171" s="1" t="str">
        <f t="shared" si="11"/>
        <v>| [](.md) | [㝱](㝱.md) |  |  | 「夢」的異體字。 |</v>
      </c>
    </row>
    <row r="172" spans="1:44" hidden="1">
      <c r="A172" s="1" t="s">
        <v>28148</v>
      </c>
      <c r="C172" s="1">
        <v>1</v>
      </c>
      <c r="D172" s="1" t="str">
        <f>"01345-1"</f>
        <v>01345-1</v>
      </c>
      <c r="E172" s="1" t="s">
        <v>1462</v>
      </c>
      <c r="F172" s="1">
        <v>26</v>
      </c>
      <c r="G172" s="1">
        <v>19</v>
      </c>
      <c r="H172" s="1">
        <v>0</v>
      </c>
      <c r="K172" s="1" t="str">
        <f t="shared" si="8"/>
        <v/>
      </c>
      <c r="L172" s="1" t="str">
        <f t="shared" si="9"/>
        <v/>
      </c>
      <c r="M172" s="1" t="str">
        <f t="shared" si="10"/>
        <v/>
      </c>
      <c r="P172" s="1" t="s">
        <v>20</v>
      </c>
      <c r="V172" s="1" t="s">
        <v>28149</v>
      </c>
      <c r="X172" s="1" t="s">
        <v>27842</v>
      </c>
      <c r="AR172" s="1" t="str">
        <f t="shared" si="11"/>
        <v>| [](.md) | [釄](釄.md) |  |  | 「醾」的異體字。 |</v>
      </c>
    </row>
    <row r="173" spans="1:44" hidden="1">
      <c r="A173" s="1" t="s">
        <v>28150</v>
      </c>
      <c r="C173" s="1">
        <v>1</v>
      </c>
      <c r="D173" s="1" t="str">
        <f>"01347-1"</f>
        <v>01347-1</v>
      </c>
      <c r="E173" s="1" t="s">
        <v>103</v>
      </c>
      <c r="F173" s="1">
        <v>8</v>
      </c>
      <c r="G173" s="1">
        <v>5</v>
      </c>
      <c r="H173" s="1">
        <v>0</v>
      </c>
      <c r="K173" s="1" t="str">
        <f t="shared" si="8"/>
        <v/>
      </c>
      <c r="L173" s="1" t="str">
        <f t="shared" si="9"/>
        <v/>
      </c>
      <c r="M173" s="1" t="str">
        <f t="shared" si="10"/>
        <v/>
      </c>
      <c r="P173" s="1" t="s">
        <v>20</v>
      </c>
      <c r="V173" s="1" t="s">
        <v>28151</v>
      </c>
      <c r="X173" s="1" t="s">
        <v>27842</v>
      </c>
      <c r="AR173" s="1" t="str">
        <f t="shared" si="11"/>
        <v>| [](.md) | [󸾮](󸾮.md) |  |  | 「彌」的異體字。 |</v>
      </c>
    </row>
    <row r="174" spans="1:44" hidden="1">
      <c r="A174" s="1" t="s">
        <v>28152</v>
      </c>
      <c r="C174" s="1">
        <v>1</v>
      </c>
      <c r="D174" s="1" t="str">
        <f>"01348-1"</f>
        <v>01348-1</v>
      </c>
      <c r="E174" s="1" t="s">
        <v>825</v>
      </c>
      <c r="F174" s="1">
        <v>10</v>
      </c>
      <c r="G174" s="1">
        <v>5</v>
      </c>
      <c r="H174" s="1">
        <v>0</v>
      </c>
      <c r="K174" s="1" t="str">
        <f t="shared" si="8"/>
        <v/>
      </c>
      <c r="L174" s="1" t="str">
        <f t="shared" si="9"/>
        <v/>
      </c>
      <c r="M174" s="1" t="str">
        <f t="shared" si="10"/>
        <v/>
      </c>
      <c r="P174" s="1" t="s">
        <v>20</v>
      </c>
      <c r="V174" s="1" t="s">
        <v>28153</v>
      </c>
      <c r="X174" s="1" t="s">
        <v>27842</v>
      </c>
      <c r="AR174" s="1" t="str">
        <f t="shared" si="11"/>
        <v>| [](.md) | [祢](祢.md) |  |  | 「禰」的異體字。 |</v>
      </c>
    </row>
    <row r="175" spans="1:44" hidden="1">
      <c r="A175" s="1" t="s">
        <v>28154</v>
      </c>
      <c r="C175" s="1">
        <v>1</v>
      </c>
      <c r="D175" s="1" t="str">
        <f>"01349-1"</f>
        <v>01349-1</v>
      </c>
      <c r="E175" s="1" t="s">
        <v>129</v>
      </c>
      <c r="F175" s="1">
        <v>11</v>
      </c>
      <c r="G175" s="1">
        <v>8</v>
      </c>
      <c r="H175" s="1">
        <v>0</v>
      </c>
      <c r="K175" s="1" t="str">
        <f t="shared" si="8"/>
        <v/>
      </c>
      <c r="L175" s="1" t="str">
        <f t="shared" si="9"/>
        <v/>
      </c>
      <c r="M175" s="1" t="str">
        <f t="shared" si="10"/>
        <v/>
      </c>
      <c r="P175" s="1" t="s">
        <v>20</v>
      </c>
      <c r="V175" s="1" t="s">
        <v>28155</v>
      </c>
      <c r="X175" s="1" t="s">
        <v>27842</v>
      </c>
      <c r="AR175" s="1" t="str">
        <f t="shared" si="11"/>
        <v>| [](.md) | [㳽](㳽.md) |  |  | 「瀰」的異體字。 |</v>
      </c>
    </row>
    <row r="176" spans="1:44" hidden="1">
      <c r="A176" s="1" t="s">
        <v>28156</v>
      </c>
      <c r="C176" s="1">
        <v>1</v>
      </c>
      <c r="D176" s="1" t="str">
        <f>"01350-1"</f>
        <v>01350-1</v>
      </c>
      <c r="E176" s="1" t="s">
        <v>198</v>
      </c>
      <c r="F176" s="1">
        <v>11</v>
      </c>
      <c r="G176" s="1">
        <v>8</v>
      </c>
      <c r="H176" s="1">
        <v>0</v>
      </c>
      <c r="K176" s="1" t="str">
        <f t="shared" si="8"/>
        <v/>
      </c>
      <c r="L176" s="1" t="str">
        <f t="shared" si="9"/>
        <v/>
      </c>
      <c r="M176" s="1" t="str">
        <f t="shared" si="10"/>
        <v/>
      </c>
      <c r="P176" s="1" t="s">
        <v>20</v>
      </c>
      <c r="V176" s="1" t="s">
        <v>28157</v>
      </c>
      <c r="X176" s="1" t="s">
        <v>27842</v>
      </c>
      <c r="AR176" s="1" t="str">
        <f t="shared" si="11"/>
        <v>| [](.md) | [猕](猕.md) |  |  | 「獼」的異體字。 |</v>
      </c>
    </row>
    <row r="177" spans="1:44" hidden="1">
      <c r="A177" s="1" t="s">
        <v>28158</v>
      </c>
      <c r="C177" s="1">
        <v>1</v>
      </c>
      <c r="D177" s="1" t="str">
        <f>"01372-1"</f>
        <v>01372-1</v>
      </c>
      <c r="E177" s="1" t="s">
        <v>3359</v>
      </c>
      <c r="F177" s="1">
        <v>12</v>
      </c>
      <c r="G177" s="1">
        <v>10</v>
      </c>
      <c r="H177" s="1">
        <v>0</v>
      </c>
      <c r="K177" s="1" t="str">
        <f t="shared" si="8"/>
        <v/>
      </c>
      <c r="L177" s="1" t="str">
        <f t="shared" si="9"/>
        <v/>
      </c>
      <c r="M177" s="1" t="str">
        <f t="shared" si="10"/>
        <v/>
      </c>
      <c r="P177" s="1" t="s">
        <v>20</v>
      </c>
      <c r="V177" s="1" t="s">
        <v>28159</v>
      </c>
      <c r="X177" s="1" t="s">
        <v>27842</v>
      </c>
      <c r="AR177" s="1" t="str">
        <f t="shared" si="11"/>
        <v>| [](.md) | [幂](幂.md) |  |  | 「冪」的異體字。 |</v>
      </c>
    </row>
    <row r="178" spans="1:44" hidden="1">
      <c r="A178" s="1" t="s">
        <v>28160</v>
      </c>
      <c r="C178" s="1">
        <v>1</v>
      </c>
      <c r="D178" s="1" t="str">
        <f>"01380-1"</f>
        <v>01380-1</v>
      </c>
      <c r="E178" s="1" t="s">
        <v>624</v>
      </c>
      <c r="F178" s="1">
        <v>11</v>
      </c>
      <c r="G178" s="1">
        <v>8</v>
      </c>
      <c r="H178" s="1">
        <v>0</v>
      </c>
      <c r="K178" s="1" t="str">
        <f t="shared" si="8"/>
        <v/>
      </c>
      <c r="L178" s="1" t="str">
        <f t="shared" si="9"/>
        <v/>
      </c>
      <c r="M178" s="1" t="str">
        <f t="shared" si="10"/>
        <v/>
      </c>
      <c r="P178" s="1" t="s">
        <v>20</v>
      </c>
      <c r="V178" s="1" t="s">
        <v>28161</v>
      </c>
      <c r="X178" s="1" t="s">
        <v>27842</v>
      </c>
      <c r="AR178" s="1" t="str">
        <f t="shared" si="11"/>
        <v>| [](.md) | [󱛊](󱛊.md) |  |  | 「密」的異體字。 |</v>
      </c>
    </row>
    <row r="179" spans="1:44" hidden="1">
      <c r="A179" s="1" t="s">
        <v>28162</v>
      </c>
      <c r="C179" s="1">
        <v>1</v>
      </c>
      <c r="D179" s="1" t="str">
        <f>"01387-1"</f>
        <v>01387-1</v>
      </c>
      <c r="E179" s="1" t="s">
        <v>2233</v>
      </c>
      <c r="F179" s="1">
        <v>11</v>
      </c>
      <c r="G179" s="1">
        <v>4</v>
      </c>
      <c r="H179" s="1">
        <v>0</v>
      </c>
      <c r="K179" s="1" t="str">
        <f t="shared" si="8"/>
        <v/>
      </c>
      <c r="L179" s="1" t="str">
        <f t="shared" si="9"/>
        <v/>
      </c>
      <c r="M179" s="1" t="str">
        <f t="shared" si="10"/>
        <v/>
      </c>
      <c r="P179" s="1" t="s">
        <v>20</v>
      </c>
      <c r="V179" s="1" t="s">
        <v>28163</v>
      </c>
      <c r="X179" s="1" t="s">
        <v>27842</v>
      </c>
      <c r="AR179" s="1" t="str">
        <f t="shared" si="11"/>
        <v>| [](.md) | [覔](覔.md) |  |  | 「覓」的異體字。 |</v>
      </c>
    </row>
    <row r="180" spans="1:44" hidden="1">
      <c r="A180" s="1" t="s">
        <v>28164</v>
      </c>
      <c r="C180" s="1">
        <v>1</v>
      </c>
      <c r="D180" s="1" t="str">
        <f>"01393-1"</f>
        <v>01393-1</v>
      </c>
      <c r="E180" s="1" t="s">
        <v>28</v>
      </c>
      <c r="F180" s="1">
        <v>10</v>
      </c>
      <c r="G180" s="1">
        <v>7</v>
      </c>
      <c r="H180" s="1">
        <v>0</v>
      </c>
      <c r="K180" s="1" t="str">
        <f t="shared" si="8"/>
        <v/>
      </c>
      <c r="L180" s="1" t="str">
        <f t="shared" si="9"/>
        <v/>
      </c>
      <c r="M180" s="1" t="str">
        <f t="shared" si="10"/>
        <v/>
      </c>
      <c r="P180" s="1" t="s">
        <v>20</v>
      </c>
      <c r="V180" s="1" t="s">
        <v>28165</v>
      </c>
      <c r="X180" s="1" t="s">
        <v>27842</v>
      </c>
      <c r="AR180" s="1" t="str">
        <f t="shared" si="11"/>
        <v>| [](.md) | [哶](哶.md) |  |  | 「咩」的異體字。 |</v>
      </c>
    </row>
    <row r="181" spans="1:44" hidden="1">
      <c r="A181" s="1" t="s">
        <v>28166</v>
      </c>
      <c r="C181" s="1">
        <v>1</v>
      </c>
      <c r="D181" s="1" t="str">
        <f>"01395-1"</f>
        <v>01395-1</v>
      </c>
      <c r="E181" s="1" t="s">
        <v>1381</v>
      </c>
      <c r="F181" s="1">
        <v>12</v>
      </c>
      <c r="G181" s="1">
        <v>10</v>
      </c>
      <c r="H181" s="1">
        <v>0</v>
      </c>
      <c r="K181" s="1" t="str">
        <f t="shared" si="8"/>
        <v/>
      </c>
      <c r="L181" s="1" t="str">
        <f t="shared" si="9"/>
        <v/>
      </c>
      <c r="M181" s="1" t="str">
        <f t="shared" si="10"/>
        <v/>
      </c>
      <c r="P181" s="1" t="s">
        <v>20</v>
      </c>
      <c r="V181" s="1" t="s">
        <v>28167</v>
      </c>
      <c r="X181" s="1" t="s">
        <v>27842</v>
      </c>
      <c r="AR181" s="1" t="str">
        <f t="shared" si="11"/>
        <v>| [](.md) | [㓕](㓕.md) |  |  | 「滅」的異體字。 |</v>
      </c>
    </row>
    <row r="182" spans="1:44" hidden="1">
      <c r="A182" s="1" t="s">
        <v>28168</v>
      </c>
      <c r="C182" s="1">
        <v>1</v>
      </c>
      <c r="D182" s="1" t="str">
        <f>"01413-1"</f>
        <v>01413-1</v>
      </c>
      <c r="E182" s="1" t="s">
        <v>9085</v>
      </c>
      <c r="F182" s="1">
        <v>9</v>
      </c>
      <c r="G182" s="1">
        <v>4</v>
      </c>
      <c r="H182" s="1">
        <v>0</v>
      </c>
      <c r="K182" s="1" t="str">
        <f t="shared" si="8"/>
        <v/>
      </c>
      <c r="L182" s="1" t="str">
        <f t="shared" si="9"/>
        <v/>
      </c>
      <c r="M182" s="1" t="str">
        <f t="shared" si="10"/>
        <v/>
      </c>
      <c r="P182" s="1" t="s">
        <v>20</v>
      </c>
      <c r="V182" s="1" t="s">
        <v>28169</v>
      </c>
      <c r="X182" s="1" t="s">
        <v>27842</v>
      </c>
      <c r="AR182" s="1" t="str">
        <f t="shared" si="11"/>
        <v>| [](.md) | [玅](玅.md) |  |  | 「妙」的異體字。 |</v>
      </c>
    </row>
    <row r="183" spans="1:44" hidden="1">
      <c r="A183" s="1" t="s">
        <v>28170</v>
      </c>
      <c r="C183" s="1">
        <v>1</v>
      </c>
      <c r="D183" s="1" t="str">
        <f>"01414-1"</f>
        <v>01414-1</v>
      </c>
      <c r="E183" s="1" t="s">
        <v>447</v>
      </c>
      <c r="F183" s="1">
        <v>8</v>
      </c>
      <c r="G183" s="1">
        <v>5</v>
      </c>
      <c r="H183" s="1">
        <v>0</v>
      </c>
      <c r="K183" s="1" t="str">
        <f t="shared" si="8"/>
        <v/>
      </c>
      <c r="L183" s="1" t="str">
        <f t="shared" si="9"/>
        <v/>
      </c>
      <c r="M183" s="1" t="str">
        <f t="shared" si="10"/>
        <v/>
      </c>
      <c r="P183" s="1" t="s">
        <v>20</v>
      </c>
      <c r="V183" s="1" t="s">
        <v>28171</v>
      </c>
      <c r="X183" s="1" t="s">
        <v>27842</v>
      </c>
      <c r="AR183" s="1" t="str">
        <f t="shared" si="11"/>
        <v>| [](.md) | [庙](庙.md) |  |  | 「廟」的異體字。 |</v>
      </c>
    </row>
    <row r="184" spans="1:44" hidden="1">
      <c r="A184" s="1" t="s">
        <v>28172</v>
      </c>
      <c r="C184" s="1">
        <v>1</v>
      </c>
      <c r="D184" s="1" t="str">
        <f>"01414-2"</f>
        <v>01414-2</v>
      </c>
      <c r="E184" s="1" t="s">
        <v>447</v>
      </c>
      <c r="F184" s="1">
        <v>12</v>
      </c>
      <c r="G184" s="1">
        <v>9</v>
      </c>
      <c r="H184" s="1">
        <v>0</v>
      </c>
      <c r="K184" s="1" t="str">
        <f t="shared" si="8"/>
        <v/>
      </c>
      <c r="L184" s="1" t="str">
        <f t="shared" si="9"/>
        <v/>
      </c>
      <c r="M184" s="1" t="str">
        <f t="shared" si="10"/>
        <v/>
      </c>
      <c r="P184" s="1" t="s">
        <v>20</v>
      </c>
      <c r="V184" s="1" t="s">
        <v>28171</v>
      </c>
      <c r="X184" s="1" t="s">
        <v>27842</v>
      </c>
      <c r="AR184" s="1" t="str">
        <f t="shared" si="11"/>
        <v>| [](.md) | [庿](庿.md) |  |  | 「廟」的異體字。 |</v>
      </c>
    </row>
    <row r="185" spans="1:44" hidden="1">
      <c r="A185" s="1" t="s">
        <v>28173</v>
      </c>
      <c r="C185" s="1">
        <v>1</v>
      </c>
      <c r="D185" s="1" t="str">
        <f>"01421-1"</f>
        <v>01421-1</v>
      </c>
      <c r="E185" s="1" t="s">
        <v>725</v>
      </c>
      <c r="F185" s="1">
        <v>15</v>
      </c>
      <c r="G185" s="1">
        <v>9</v>
      </c>
      <c r="H185" s="1">
        <v>0</v>
      </c>
      <c r="K185" s="1" t="str">
        <f t="shared" si="8"/>
        <v/>
      </c>
      <c r="L185" s="1" t="str">
        <f t="shared" si="9"/>
        <v/>
      </c>
      <c r="M185" s="1" t="str">
        <f t="shared" si="10"/>
        <v/>
      </c>
      <c r="P185" s="1" t="s">
        <v>20</v>
      </c>
      <c r="V185" s="1" t="s">
        <v>28174</v>
      </c>
      <c r="X185" s="1" t="s">
        <v>27842</v>
      </c>
      <c r="AR185" s="1" t="str">
        <f t="shared" si="11"/>
        <v>| [](.md) | [緜](緜.md) |  |  | 「綿」的異體字。 |</v>
      </c>
    </row>
    <row r="186" spans="1:44" hidden="1">
      <c r="A186" s="1" t="s">
        <v>28175</v>
      </c>
      <c r="C186" s="1">
        <v>1</v>
      </c>
      <c r="D186" s="1" t="str">
        <f>"01429-1"</f>
        <v>01429-1</v>
      </c>
      <c r="E186" s="1" t="s">
        <v>3581</v>
      </c>
      <c r="F186" s="1">
        <v>7</v>
      </c>
      <c r="G186" s="1">
        <v>5</v>
      </c>
      <c r="H186" s="1">
        <v>0</v>
      </c>
      <c r="K186" s="1" t="str">
        <f t="shared" si="8"/>
        <v/>
      </c>
      <c r="L186" s="1" t="str">
        <f t="shared" si="9"/>
        <v/>
      </c>
      <c r="M186" s="1" t="str">
        <f t="shared" si="10"/>
        <v/>
      </c>
      <c r="P186" s="1" t="s">
        <v>20</v>
      </c>
      <c r="V186" s="1" t="s">
        <v>28176</v>
      </c>
      <c r="X186" s="1" t="s">
        <v>27842</v>
      </c>
      <c r="AR186" s="1" t="str">
        <f t="shared" si="11"/>
        <v>| [](.md) | [免](免.md) |  |  | 「免」的異體字。 |</v>
      </c>
    </row>
    <row r="187" spans="1:44" hidden="1">
      <c r="A187" s="1" t="s">
        <v>28177</v>
      </c>
      <c r="C187" s="1">
        <v>1</v>
      </c>
      <c r="D187" s="1" t="str">
        <f>"01431-1"</f>
        <v>01431-1</v>
      </c>
      <c r="E187" s="1" t="s">
        <v>245</v>
      </c>
      <c r="F187" s="1">
        <v>11</v>
      </c>
      <c r="G187" s="1">
        <v>9</v>
      </c>
      <c r="H187" s="1">
        <v>0</v>
      </c>
      <c r="K187" s="1" t="str">
        <f t="shared" si="8"/>
        <v/>
      </c>
      <c r="L187" s="1" t="str">
        <f t="shared" si="9"/>
        <v/>
      </c>
      <c r="M187" s="1" t="str">
        <f t="shared" si="10"/>
        <v/>
      </c>
      <c r="P187" s="1" t="s">
        <v>20</v>
      </c>
      <c r="V187" s="1" t="s">
        <v>28178</v>
      </c>
      <c r="X187" s="1" t="s">
        <v>27842</v>
      </c>
      <c r="AR187" s="1" t="str">
        <f t="shared" si="11"/>
        <v>| [](.md) | [勔](勔.md) |  |  | 「勉」的異體字。 |</v>
      </c>
    </row>
    <row r="188" spans="1:44" hidden="1">
      <c r="A188" s="1" t="s">
        <v>28179</v>
      </c>
      <c r="C188" s="1">
        <v>1</v>
      </c>
      <c r="D188" s="1" t="str">
        <f>"01443-1"</f>
        <v>01443-1</v>
      </c>
      <c r="E188" s="1" t="s">
        <v>3610</v>
      </c>
      <c r="F188" s="1">
        <v>8</v>
      </c>
      <c r="G188" s="1">
        <v>0</v>
      </c>
      <c r="H188" s="1">
        <v>0</v>
      </c>
      <c r="K188" s="1" t="str">
        <f t="shared" si="8"/>
        <v/>
      </c>
      <c r="L188" s="1" t="str">
        <f t="shared" si="9"/>
        <v/>
      </c>
      <c r="M188" s="1" t="str">
        <f t="shared" si="10"/>
        <v/>
      </c>
      <c r="P188" s="1" t="s">
        <v>20</v>
      </c>
      <c r="V188" s="1" t="s">
        <v>28180</v>
      </c>
      <c r="X188" s="1" t="s">
        <v>27842</v>
      </c>
      <c r="AR188" s="1" t="str">
        <f t="shared" si="11"/>
        <v>| [](.md) | [靣](靣.md) |  |  | 「面」的異體字。 |</v>
      </c>
    </row>
    <row r="189" spans="1:44" hidden="1">
      <c r="A189" s="1" t="s">
        <v>28181</v>
      </c>
      <c r="C189" s="1">
        <v>1</v>
      </c>
      <c r="D189" s="1" t="str">
        <f>"01444-1"</f>
        <v>01444-1</v>
      </c>
      <c r="E189" s="1" t="s">
        <v>2743</v>
      </c>
      <c r="F189" s="1">
        <v>15</v>
      </c>
      <c r="G189" s="1">
        <v>4</v>
      </c>
      <c r="H189" s="1">
        <v>0</v>
      </c>
      <c r="K189" s="1" t="str">
        <f t="shared" si="8"/>
        <v/>
      </c>
      <c r="L189" s="1" t="str">
        <f t="shared" si="9"/>
        <v/>
      </c>
      <c r="M189" s="1" t="str">
        <f t="shared" si="10"/>
        <v/>
      </c>
      <c r="P189" s="1" t="s">
        <v>20</v>
      </c>
      <c r="V189" s="1" t="s">
        <v>28182</v>
      </c>
      <c r="X189" s="1" t="s">
        <v>27842</v>
      </c>
      <c r="AR189" s="1" t="str">
        <f t="shared" si="11"/>
        <v>| [](.md) | [麪](麪.md) |  |  | 「麵」的異體字。 |</v>
      </c>
    </row>
    <row r="190" spans="1:44" hidden="1">
      <c r="A190" s="1" t="s">
        <v>28183</v>
      </c>
      <c r="C190" s="1">
        <v>1</v>
      </c>
      <c r="D190" s="1" t="str">
        <f>"01447-1"</f>
        <v>01447-1</v>
      </c>
      <c r="E190" s="1" t="s">
        <v>190</v>
      </c>
      <c r="F190" s="1">
        <v>12</v>
      </c>
      <c r="G190" s="1">
        <v>9</v>
      </c>
      <c r="H190" s="1">
        <v>0</v>
      </c>
      <c r="K190" s="1" t="str">
        <f t="shared" si="8"/>
        <v/>
      </c>
      <c r="L190" s="1" t="str">
        <f t="shared" si="9"/>
        <v/>
      </c>
      <c r="M190" s="1" t="str">
        <f t="shared" si="10"/>
        <v/>
      </c>
      <c r="P190" s="1" t="s">
        <v>20</v>
      </c>
      <c r="V190" s="1" t="s">
        <v>28184</v>
      </c>
      <c r="X190" s="1" t="s">
        <v>27842</v>
      </c>
      <c r="AR190" s="1" t="str">
        <f t="shared" si="11"/>
        <v>| [](.md) | [㟭](㟭.md) |  |  | 「岷」的異體字。 |</v>
      </c>
    </row>
    <row r="191" spans="1:44" hidden="1">
      <c r="A191" s="1" t="s">
        <v>28185</v>
      </c>
      <c r="C191" s="1">
        <v>1</v>
      </c>
      <c r="D191" s="1" t="str">
        <f>"01448-1"</f>
        <v>01448-1</v>
      </c>
      <c r="E191" s="1" t="s">
        <v>142</v>
      </c>
      <c r="F191" s="1">
        <v>13</v>
      </c>
      <c r="G191" s="1">
        <v>9</v>
      </c>
      <c r="H191" s="1">
        <v>0</v>
      </c>
      <c r="K191" s="1" t="str">
        <f t="shared" si="8"/>
        <v/>
      </c>
      <c r="L191" s="1" t="str">
        <f t="shared" si="9"/>
        <v/>
      </c>
      <c r="M191" s="1" t="str">
        <f t="shared" si="10"/>
        <v/>
      </c>
      <c r="P191" s="1" t="s">
        <v>20</v>
      </c>
      <c r="V191" s="1" t="s">
        <v>28186</v>
      </c>
      <c r="X191" s="1" t="s">
        <v>27842</v>
      </c>
      <c r="AR191" s="1" t="str">
        <f t="shared" si="11"/>
        <v>| [](.md) | [瑉](瑉.md) |  |  | 「珉」的異體字。 |</v>
      </c>
    </row>
    <row r="192" spans="1:44" hidden="1">
      <c r="A192" s="1" t="s">
        <v>28187</v>
      </c>
      <c r="C192" s="1">
        <v>1</v>
      </c>
      <c r="D192" s="1" t="str">
        <f>"01448-2"</f>
        <v>01448-2</v>
      </c>
      <c r="E192" s="1" t="s">
        <v>169</v>
      </c>
      <c r="F192" s="1">
        <v>14</v>
      </c>
      <c r="G192" s="1">
        <v>9</v>
      </c>
      <c r="H192" s="1">
        <v>0</v>
      </c>
      <c r="K192" s="1" t="str">
        <f t="shared" si="8"/>
        <v/>
      </c>
      <c r="L192" s="1" t="str">
        <f t="shared" si="9"/>
        <v/>
      </c>
      <c r="M192" s="1" t="str">
        <f t="shared" si="10"/>
        <v/>
      </c>
      <c r="P192" s="1" t="s">
        <v>20</v>
      </c>
      <c r="V192" s="1" t="s">
        <v>28186</v>
      </c>
      <c r="X192" s="1" t="s">
        <v>27842</v>
      </c>
      <c r="AR192" s="1" t="str">
        <f t="shared" si="11"/>
        <v>| [](.md) | [䃉](䃉.md) |  |  | 「珉」的異體字。 |</v>
      </c>
    </row>
    <row r="193" spans="1:44" hidden="1">
      <c r="A193" s="1" t="s">
        <v>28188</v>
      </c>
      <c r="C193" s="1">
        <v>1</v>
      </c>
      <c r="D193" s="1" t="str">
        <f>"01450-1"</f>
        <v>01450-1</v>
      </c>
      <c r="E193" s="1" t="s">
        <v>725</v>
      </c>
      <c r="F193" s="1">
        <v>14</v>
      </c>
      <c r="G193" s="1">
        <v>8</v>
      </c>
      <c r="H193" s="1">
        <v>0</v>
      </c>
      <c r="K193" s="1" t="str">
        <f t="shared" si="8"/>
        <v/>
      </c>
      <c r="L193" s="1" t="str">
        <f t="shared" si="9"/>
        <v/>
      </c>
      <c r="M193" s="1" t="str">
        <f t="shared" si="10"/>
        <v/>
      </c>
      <c r="P193" s="1" t="s">
        <v>20</v>
      </c>
      <c r="V193" s="1" t="s">
        <v>28189</v>
      </c>
      <c r="X193" s="1" t="s">
        <v>27842</v>
      </c>
      <c r="AR193" s="1" t="str">
        <f t="shared" si="11"/>
        <v>| [](.md) | [緍](緍.md) |  |  | 「緡」的異體字。 |</v>
      </c>
    </row>
    <row r="194" spans="1:44" hidden="1">
      <c r="A194" s="1" t="s">
        <v>28190</v>
      </c>
      <c r="C194" s="1">
        <v>1</v>
      </c>
      <c r="D194" s="1" t="str">
        <f>"01455-1"</f>
        <v>01455-1</v>
      </c>
      <c r="E194" s="1" t="s">
        <v>40</v>
      </c>
      <c r="F194" s="1">
        <v>14</v>
      </c>
      <c r="G194" s="1">
        <v>9</v>
      </c>
      <c r="H194" s="1">
        <v>0</v>
      </c>
      <c r="K194" s="1" t="str">
        <f t="shared" ref="K194:K257" si="12">LEFT(I194, 1)</f>
        <v/>
      </c>
      <c r="L194" s="1" t="str">
        <f t="shared" ref="L194:L257" si="13">MID(I194, 2, 1)</f>
        <v/>
      </c>
      <c r="M194" s="1" t="str">
        <f t="shared" ref="M194:M257" si="14">MID(I194, 3, 1)</f>
        <v/>
      </c>
      <c r="P194" s="1" t="s">
        <v>20</v>
      </c>
      <c r="V194" s="1" t="s">
        <v>28191</v>
      </c>
      <c r="X194" s="1" t="s">
        <v>27842</v>
      </c>
      <c r="AR194" s="1" t="str">
        <f t="shared" si="11"/>
        <v>| [](.md) | [𤸅](𤸅.md) |  |  | 「痻」的異體字。 |</v>
      </c>
    </row>
    <row r="195" spans="1:44" hidden="1">
      <c r="A195" s="1" t="s">
        <v>28192</v>
      </c>
      <c r="C195" s="1">
        <v>1</v>
      </c>
      <c r="D195" s="1" t="str">
        <f>"01468-1"</f>
        <v>01468-1</v>
      </c>
      <c r="E195" s="1" t="s">
        <v>3331</v>
      </c>
      <c r="F195" s="1">
        <v>8</v>
      </c>
      <c r="G195" s="1">
        <v>0</v>
      </c>
      <c r="H195" s="1">
        <v>0</v>
      </c>
      <c r="K195" s="1" t="str">
        <f t="shared" si="12"/>
        <v/>
      </c>
      <c r="L195" s="1" t="str">
        <f t="shared" si="13"/>
        <v/>
      </c>
      <c r="M195" s="1" t="str">
        <f t="shared" si="14"/>
        <v/>
      </c>
      <c r="P195" s="1" t="s">
        <v>20</v>
      </c>
      <c r="V195" s="1" t="s">
        <v>28193</v>
      </c>
      <c r="X195" s="1" t="s">
        <v>27842</v>
      </c>
      <c r="AR195" s="1" t="str">
        <f t="shared" ref="AR195:AR258" si="15">"| ["&amp;I195&amp;"]("&amp;I195&amp;".md) | ["&amp;A195&amp;"]("&amp;A195&amp;".md) | "&amp;" | "&amp;R195&amp;" | "&amp;V195&amp;" |"</f>
        <v>| [](.md) | [黾](黾.md) |  |  | 「黽」的異體字。 |</v>
      </c>
    </row>
    <row r="196" spans="1:44" hidden="1">
      <c r="A196" s="1" t="s">
        <v>28194</v>
      </c>
      <c r="C196" s="1">
        <v>1</v>
      </c>
      <c r="D196" s="1" t="str">
        <f>"01477-1"</f>
        <v>01477-1</v>
      </c>
      <c r="E196" s="1" t="s">
        <v>1015</v>
      </c>
      <c r="F196" s="1">
        <v>9</v>
      </c>
      <c r="G196" s="1">
        <v>4</v>
      </c>
      <c r="H196" s="1">
        <v>0</v>
      </c>
      <c r="K196" s="1" t="str">
        <f t="shared" si="12"/>
        <v/>
      </c>
      <c r="L196" s="1" t="str">
        <f t="shared" si="13"/>
        <v/>
      </c>
      <c r="M196" s="1" t="str">
        <f t="shared" si="14"/>
        <v/>
      </c>
      <c r="P196" s="1" t="s">
        <v>20</v>
      </c>
      <c r="V196" s="1" t="s">
        <v>28195</v>
      </c>
      <c r="X196" s="1" t="s">
        <v>27842</v>
      </c>
      <c r="AR196" s="1" t="str">
        <f t="shared" si="15"/>
        <v>| [](.md) | [眀](眀.md) |  |  | 「明」的異體字。 |</v>
      </c>
    </row>
    <row r="197" spans="1:44" hidden="1">
      <c r="A197" s="1" t="s">
        <v>28196</v>
      </c>
      <c r="C197" s="1">
        <v>1</v>
      </c>
      <c r="D197" s="1" t="str">
        <f>"01477-2"</f>
        <v>01477-2</v>
      </c>
      <c r="E197" s="1" t="s">
        <v>2014</v>
      </c>
      <c r="F197" s="1">
        <v>11</v>
      </c>
      <c r="G197" s="1">
        <v>7</v>
      </c>
      <c r="H197" s="1">
        <v>0</v>
      </c>
      <c r="K197" s="1" t="str">
        <f t="shared" si="12"/>
        <v/>
      </c>
      <c r="L197" s="1" t="str">
        <f t="shared" si="13"/>
        <v/>
      </c>
      <c r="M197" s="1" t="str">
        <f t="shared" si="14"/>
        <v/>
      </c>
      <c r="P197" s="1" t="s">
        <v>20</v>
      </c>
      <c r="V197" s="1" t="s">
        <v>28195</v>
      </c>
      <c r="X197" s="1" t="s">
        <v>27842</v>
      </c>
      <c r="AR197" s="1" t="str">
        <f t="shared" si="15"/>
        <v>| [](.md) | [朙](朙.md) |  |  | 「明」的異體字。 |</v>
      </c>
    </row>
    <row r="198" spans="1:44" hidden="1">
      <c r="A198" s="1" t="s">
        <v>28197</v>
      </c>
      <c r="C198" s="1">
        <v>1</v>
      </c>
      <c r="D198" s="1" t="str">
        <f>"01501-1"</f>
        <v>01501-1</v>
      </c>
      <c r="E198" s="1" t="s">
        <v>55</v>
      </c>
      <c r="F198" s="1">
        <v>19</v>
      </c>
      <c r="G198" s="1">
        <v>11</v>
      </c>
      <c r="H198" s="1">
        <v>0</v>
      </c>
      <c r="K198" s="1" t="str">
        <f t="shared" si="12"/>
        <v/>
      </c>
      <c r="L198" s="1" t="str">
        <f t="shared" si="13"/>
        <v/>
      </c>
      <c r="M198" s="1" t="str">
        <f t="shared" si="14"/>
        <v/>
      </c>
      <c r="P198" s="1" t="s">
        <v>20</v>
      </c>
      <c r="V198" s="1" t="s">
        <v>28198</v>
      </c>
      <c r="X198" s="1" t="s">
        <v>27842</v>
      </c>
      <c r="AR198" s="1" t="str">
        <f t="shared" si="15"/>
        <v>| [](.md) | [䥈](䥈.md) |  |  | 「鉧」的異體字。 |</v>
      </c>
    </row>
    <row r="199" spans="1:44" hidden="1">
      <c r="A199" s="1" t="s">
        <v>28199</v>
      </c>
      <c r="C199" s="1">
        <v>1</v>
      </c>
      <c r="D199" s="1" t="str">
        <f>"01525-1"</f>
        <v>01525-1</v>
      </c>
      <c r="E199" s="1" t="s">
        <v>129</v>
      </c>
      <c r="F199" s="1">
        <v>8</v>
      </c>
      <c r="G199" s="1">
        <v>5</v>
      </c>
      <c r="H199" s="1">
        <v>0</v>
      </c>
      <c r="K199" s="1" t="str">
        <f t="shared" si="12"/>
        <v/>
      </c>
      <c r="L199" s="1" t="str">
        <f t="shared" si="13"/>
        <v/>
      </c>
      <c r="M199" s="1" t="str">
        <f t="shared" si="14"/>
        <v/>
      </c>
      <c r="P199" s="1" t="s">
        <v>20</v>
      </c>
      <c r="V199" s="1" t="s">
        <v>28200</v>
      </c>
      <c r="X199" s="1" t="s">
        <v>27842</v>
      </c>
      <c r="AR199" s="1" t="str">
        <f t="shared" si="15"/>
        <v>| [](.md) | [㳒](㳒.md) |  |  | 「法」的異體字。 |</v>
      </c>
    </row>
    <row r="200" spans="1:44" hidden="1">
      <c r="A200" s="1" t="s">
        <v>28201</v>
      </c>
      <c r="C200" s="1">
        <v>1</v>
      </c>
      <c r="D200" s="1" t="str">
        <f>"01525-2"</f>
        <v>01525-2</v>
      </c>
      <c r="E200" s="1" t="s">
        <v>129</v>
      </c>
      <c r="F200" s="1">
        <v>21</v>
      </c>
      <c r="G200" s="1">
        <v>18</v>
      </c>
      <c r="H200" s="1">
        <v>0</v>
      </c>
      <c r="K200" s="1" t="str">
        <f t="shared" si="12"/>
        <v/>
      </c>
      <c r="L200" s="1" t="str">
        <f t="shared" si="13"/>
        <v/>
      </c>
      <c r="M200" s="1" t="str">
        <f t="shared" si="14"/>
        <v/>
      </c>
      <c r="P200" s="1" t="s">
        <v>20</v>
      </c>
      <c r="V200" s="1" t="s">
        <v>28200</v>
      </c>
      <c r="X200" s="1" t="s">
        <v>27842</v>
      </c>
      <c r="AR200" s="1" t="str">
        <f t="shared" si="15"/>
        <v>| [](.md) | [灋](灋.md) |  |  | 「法」的異體字。 |</v>
      </c>
    </row>
    <row r="201" spans="1:44" hidden="1">
      <c r="A201" s="1" t="s">
        <v>28202</v>
      </c>
      <c r="C201" s="1">
        <v>1</v>
      </c>
      <c r="D201" s="1" t="str">
        <f>"01526-1"</f>
        <v>01526-1</v>
      </c>
      <c r="E201" s="1" t="s">
        <v>103</v>
      </c>
      <c r="F201" s="1">
        <v>13</v>
      </c>
      <c r="G201" s="1">
        <v>10</v>
      </c>
      <c r="H201" s="1">
        <v>0</v>
      </c>
      <c r="K201" s="1" t="str">
        <f t="shared" si="12"/>
        <v/>
      </c>
      <c r="L201" s="1" t="str">
        <f t="shared" si="13"/>
        <v/>
      </c>
      <c r="M201" s="1" t="str">
        <f t="shared" si="14"/>
        <v/>
      </c>
      <c r="P201" s="1" t="s">
        <v>20</v>
      </c>
      <c r="V201" s="1" t="s">
        <v>28203</v>
      </c>
      <c r="X201" s="1" t="s">
        <v>27842</v>
      </c>
      <c r="AR201" s="1" t="str">
        <f t="shared" si="15"/>
        <v>| [](.md) | [彂](彂.md) |  |  | 「發」的異體字。 |</v>
      </c>
    </row>
    <row r="202" spans="1:44" hidden="1">
      <c r="A202" s="1" t="s">
        <v>28204</v>
      </c>
      <c r="C202" s="1">
        <v>1</v>
      </c>
      <c r="D202" s="1" t="str">
        <f>"01526-2"</f>
        <v>01526-2</v>
      </c>
      <c r="E202" s="1" t="s">
        <v>147</v>
      </c>
      <c r="F202" s="1">
        <v>9</v>
      </c>
      <c r="G202" s="1">
        <v>4</v>
      </c>
      <c r="H202" s="1">
        <v>0</v>
      </c>
      <c r="K202" s="1" t="str">
        <f t="shared" si="12"/>
        <v/>
      </c>
      <c r="L202" s="1" t="str">
        <f t="shared" si="13"/>
        <v/>
      </c>
      <c r="M202" s="1" t="str">
        <f t="shared" si="14"/>
        <v/>
      </c>
      <c r="P202" s="1" t="s">
        <v>20</v>
      </c>
      <c r="V202" s="1" t="s">
        <v>28203</v>
      </c>
      <c r="X202" s="1" t="s">
        <v>27842</v>
      </c>
      <c r="AR202" s="1" t="str">
        <f t="shared" si="15"/>
        <v>| [](.md) | [󽦎](󽦎.md) |  |  | 「發」的異體字。 |</v>
      </c>
    </row>
    <row r="203" spans="1:44" hidden="1">
      <c r="A203" s="1" t="s">
        <v>28205</v>
      </c>
      <c r="C203" s="1">
        <v>1</v>
      </c>
      <c r="D203" s="1" t="str">
        <f>"01530-1"</f>
        <v>01530-1</v>
      </c>
      <c r="E203" s="1" t="s">
        <v>132</v>
      </c>
      <c r="F203" s="1">
        <v>9</v>
      </c>
      <c r="G203" s="1">
        <v>6</v>
      </c>
      <c r="H203" s="1">
        <v>0</v>
      </c>
      <c r="K203" s="1" t="str">
        <f t="shared" si="12"/>
        <v/>
      </c>
      <c r="L203" s="1" t="str">
        <f t="shared" si="13"/>
        <v/>
      </c>
      <c r="M203" s="1" t="str">
        <f t="shared" si="14"/>
        <v/>
      </c>
      <c r="P203" s="1" t="s">
        <v>20</v>
      </c>
      <c r="V203" s="1" t="s">
        <v>28206</v>
      </c>
      <c r="X203" s="1" t="s">
        <v>27842</v>
      </c>
      <c r="AR203" s="1" t="str">
        <f t="shared" si="15"/>
        <v>| [](.md) | [㘺](㘺.md) |  |  | 「垡」的異體字。 |</v>
      </c>
    </row>
    <row r="204" spans="1:44" hidden="1">
      <c r="A204" s="1" t="s">
        <v>28207</v>
      </c>
      <c r="C204" s="1">
        <v>1</v>
      </c>
      <c r="D204" s="1" t="str">
        <f>"01535-1"</f>
        <v>01535-1</v>
      </c>
      <c r="E204" s="1" t="s">
        <v>118</v>
      </c>
      <c r="F204" s="1">
        <v>15</v>
      </c>
      <c r="G204" s="1">
        <v>10</v>
      </c>
      <c r="H204" s="1">
        <v>0</v>
      </c>
      <c r="K204" s="1" t="str">
        <f t="shared" si="12"/>
        <v/>
      </c>
      <c r="L204" s="1" t="str">
        <f t="shared" si="13"/>
        <v/>
      </c>
      <c r="M204" s="1" t="str">
        <f t="shared" si="14"/>
        <v/>
      </c>
      <c r="P204" s="1" t="s">
        <v>20</v>
      </c>
      <c r="V204" s="1" t="s">
        <v>28208</v>
      </c>
      <c r="X204" s="1" t="s">
        <v>27842</v>
      </c>
      <c r="AR204" s="1" t="str">
        <f t="shared" si="15"/>
        <v>| [](.md) | [罸](罸.md) |  |  | 「罰」的異體字。 |</v>
      </c>
    </row>
    <row r="205" spans="1:44" hidden="1">
      <c r="A205" s="1" t="s">
        <v>28209</v>
      </c>
      <c r="C205" s="1">
        <v>1</v>
      </c>
      <c r="D205" s="1" t="str">
        <f>"01541-1"</f>
        <v>01541-1</v>
      </c>
      <c r="E205" s="1" t="s">
        <v>142</v>
      </c>
      <c r="F205" s="1">
        <v>9</v>
      </c>
      <c r="G205" s="1">
        <v>5</v>
      </c>
      <c r="H205" s="1">
        <v>0</v>
      </c>
      <c r="K205" s="1" t="str">
        <f t="shared" si="12"/>
        <v/>
      </c>
      <c r="L205" s="1" t="str">
        <f t="shared" si="13"/>
        <v/>
      </c>
      <c r="M205" s="1" t="str">
        <f t="shared" si="14"/>
        <v/>
      </c>
      <c r="P205" s="1" t="s">
        <v>20</v>
      </c>
      <c r="V205" s="1" t="s">
        <v>28210</v>
      </c>
      <c r="X205" s="1" t="s">
        <v>27842</v>
      </c>
      <c r="AR205" s="1" t="str">
        <f t="shared" si="15"/>
        <v>| [](.md) | [珐](珐.md) |  |  | 「琺」的異體字。 |</v>
      </c>
    </row>
    <row r="206" spans="1:44" hidden="1">
      <c r="A206" s="1" t="s">
        <v>28211</v>
      </c>
      <c r="C206" s="1">
        <v>1</v>
      </c>
      <c r="D206" s="1" t="str">
        <f>"01542-1"</f>
        <v>01542-1</v>
      </c>
      <c r="E206" s="1" t="s">
        <v>114</v>
      </c>
      <c r="F206" s="1">
        <v>4</v>
      </c>
      <c r="G206" s="1">
        <v>2</v>
      </c>
      <c r="H206" s="1">
        <v>0</v>
      </c>
      <c r="K206" s="1" t="str">
        <f t="shared" si="12"/>
        <v/>
      </c>
      <c r="L206" s="1" t="str">
        <f t="shared" si="13"/>
        <v/>
      </c>
      <c r="M206" s="1" t="str">
        <f t="shared" si="14"/>
        <v/>
      </c>
      <c r="P206" s="1" t="s">
        <v>20</v>
      </c>
      <c r="V206" s="1" t="s">
        <v>28212</v>
      </c>
      <c r="X206" s="1" t="s">
        <v>27842</v>
      </c>
      <c r="AR206" s="1" t="str">
        <f t="shared" si="15"/>
        <v>| [](.md) | [仏](仏.md) |  |  | 「佛」的異體字。 |</v>
      </c>
    </row>
    <row r="207" spans="1:44" hidden="1">
      <c r="A207" s="1" t="s">
        <v>28213</v>
      </c>
      <c r="C207" s="1">
        <v>1</v>
      </c>
      <c r="D207" s="1" t="str">
        <f>"01565-1"</f>
        <v>01565-1</v>
      </c>
      <c r="E207" s="1" t="s">
        <v>139</v>
      </c>
      <c r="F207" s="1">
        <v>12</v>
      </c>
      <c r="G207" s="1">
        <v>8</v>
      </c>
      <c r="H207" s="1">
        <v>0</v>
      </c>
      <c r="K207" s="1" t="str">
        <f t="shared" si="12"/>
        <v/>
      </c>
      <c r="L207" s="1" t="str">
        <f t="shared" si="13"/>
        <v/>
      </c>
      <c r="M207" s="1" t="str">
        <f t="shared" si="14"/>
        <v/>
      </c>
      <c r="P207" s="1" t="s">
        <v>20</v>
      </c>
      <c r="V207" s="1" t="s">
        <v>28214</v>
      </c>
      <c r="X207" s="1" t="s">
        <v>27842</v>
      </c>
      <c r="AR207" s="1" t="str">
        <f t="shared" si="15"/>
        <v>| [](.md) | [棑](棑.md) |  |  | 「棐」的異體字。 |</v>
      </c>
    </row>
    <row r="208" spans="1:44" hidden="1">
      <c r="A208" s="1" t="s">
        <v>28215</v>
      </c>
      <c r="C208" s="1">
        <v>1</v>
      </c>
      <c r="D208" s="1" t="str">
        <f>"01583-1"</f>
        <v>01583-1</v>
      </c>
      <c r="E208" s="1" t="s">
        <v>77</v>
      </c>
      <c r="F208" s="1">
        <v>15</v>
      </c>
      <c r="G208" s="1">
        <v>8</v>
      </c>
      <c r="H208" s="1">
        <v>0</v>
      </c>
      <c r="K208" s="1" t="str">
        <f t="shared" si="12"/>
        <v/>
      </c>
      <c r="L208" s="1" t="str">
        <f t="shared" si="13"/>
        <v/>
      </c>
      <c r="M208" s="1" t="str">
        <f t="shared" si="14"/>
        <v/>
      </c>
      <c r="P208" s="1" t="s">
        <v>20</v>
      </c>
      <c r="V208" s="1" t="s">
        <v>28216</v>
      </c>
      <c r="X208" s="1" t="s">
        <v>27842</v>
      </c>
      <c r="AR208" s="1" t="str">
        <f t="shared" si="15"/>
        <v>| [](.md) | [䠊](䠊.md) |  |  | 「剕」的異體字。 |</v>
      </c>
    </row>
    <row r="209" spans="1:44" hidden="1">
      <c r="A209" s="1" t="s">
        <v>28217</v>
      </c>
      <c r="C209" s="1">
        <v>1</v>
      </c>
      <c r="D209" s="1" t="str">
        <f>"01586-1"</f>
        <v>01586-1</v>
      </c>
      <c r="E209" s="1" t="s">
        <v>40</v>
      </c>
      <c r="F209" s="1">
        <v>10</v>
      </c>
      <c r="G209" s="1">
        <v>5</v>
      </c>
      <c r="H209" s="1">
        <v>0</v>
      </c>
      <c r="K209" s="1" t="str">
        <f t="shared" si="12"/>
        <v/>
      </c>
      <c r="L209" s="1" t="str">
        <f t="shared" si="13"/>
        <v/>
      </c>
      <c r="M209" s="1" t="str">
        <f t="shared" si="14"/>
        <v/>
      </c>
      <c r="P209" s="1" t="s">
        <v>20</v>
      </c>
      <c r="V209" s="1" t="s">
        <v>28218</v>
      </c>
      <c r="X209" s="1" t="s">
        <v>27842</v>
      </c>
      <c r="AR209" s="1" t="str">
        <f t="shared" si="15"/>
        <v>| [](.md) | [疿](疿.md) |  |  | 「痱」的異體字。 |</v>
      </c>
    </row>
    <row r="210" spans="1:44" hidden="1">
      <c r="A210" s="1" t="s">
        <v>28219</v>
      </c>
      <c r="C210" s="1">
        <v>1</v>
      </c>
      <c r="D210" s="1" t="str">
        <f>"01603-1"</f>
        <v>01603-1</v>
      </c>
      <c r="E210" s="1" t="s">
        <v>1880</v>
      </c>
      <c r="F210" s="1">
        <v>4</v>
      </c>
      <c r="G210" s="1">
        <v>2</v>
      </c>
      <c r="H210" s="1">
        <v>0</v>
      </c>
      <c r="K210" s="1" t="str">
        <f t="shared" si="12"/>
        <v/>
      </c>
      <c r="L210" s="1" t="str">
        <f t="shared" si="13"/>
        <v/>
      </c>
      <c r="M210" s="1" t="str">
        <f t="shared" si="14"/>
        <v/>
      </c>
      <c r="P210" s="1" t="s">
        <v>20</v>
      </c>
      <c r="V210" s="1" t="s">
        <v>28220</v>
      </c>
      <c r="X210" s="1" t="s">
        <v>27842</v>
      </c>
      <c r="AR210" s="1" t="str">
        <f t="shared" si="15"/>
        <v>| [](.md) | [󰫂](󰫂.md) |  |  | 「反」的異體字。 |</v>
      </c>
    </row>
    <row r="211" spans="1:44" hidden="1">
      <c r="A211" s="1" t="s">
        <v>28221</v>
      </c>
      <c r="C211" s="1">
        <v>1</v>
      </c>
      <c r="D211" s="1" t="str">
        <f>"01610-1"</f>
        <v>01610-1</v>
      </c>
      <c r="E211" s="1" t="s">
        <v>3875</v>
      </c>
      <c r="F211" s="1">
        <v>21</v>
      </c>
      <c r="G211" s="1">
        <v>12</v>
      </c>
      <c r="H211" s="1">
        <v>0</v>
      </c>
      <c r="K211" s="1" t="str">
        <f t="shared" si="12"/>
        <v/>
      </c>
      <c r="L211" s="1" t="str">
        <f t="shared" si="13"/>
        <v/>
      </c>
      <c r="M211" s="1" t="str">
        <f t="shared" si="14"/>
        <v/>
      </c>
      <c r="P211" s="1" t="s">
        <v>20</v>
      </c>
      <c r="V211" s="1" t="s">
        <v>28222</v>
      </c>
      <c r="X211" s="1" t="s">
        <v>27842</v>
      </c>
      <c r="AR211" s="1" t="str">
        <f t="shared" si="15"/>
        <v>| [](.md) | [飜](飜.md) |  |  | 「翻」的異體字。 |</v>
      </c>
    </row>
    <row r="212" spans="1:44" hidden="1">
      <c r="A212" s="1" t="s">
        <v>28223</v>
      </c>
      <c r="C212" s="1">
        <v>1</v>
      </c>
      <c r="D212" s="1" t="str">
        <f>"01614-1"</f>
        <v>01614-1</v>
      </c>
      <c r="E212" s="1" t="s">
        <v>4017</v>
      </c>
      <c r="F212" s="1">
        <v>3</v>
      </c>
      <c r="G212" s="1">
        <v>2</v>
      </c>
      <c r="H212" s="1">
        <v>0</v>
      </c>
      <c r="K212" s="1" t="str">
        <f t="shared" si="12"/>
        <v/>
      </c>
      <c r="L212" s="1" t="str">
        <f t="shared" si="13"/>
        <v/>
      </c>
      <c r="M212" s="1" t="str">
        <f t="shared" si="14"/>
        <v/>
      </c>
      <c r="P212" s="1" t="s">
        <v>20</v>
      </c>
      <c r="V212" s="1" t="s">
        <v>28224</v>
      </c>
      <c r="X212" s="1" t="s">
        <v>27842</v>
      </c>
      <c r="AR212" s="1" t="str">
        <f t="shared" si="15"/>
        <v>| [](.md) | [凢](凢.md) |  |  | 「凡」的異體字。 |</v>
      </c>
    </row>
    <row r="213" spans="1:44" hidden="1">
      <c r="A213" s="1" t="s">
        <v>28225</v>
      </c>
      <c r="C213" s="1">
        <v>1</v>
      </c>
      <c r="D213" s="1" t="str">
        <f>"01634-1"</f>
        <v>01634-1</v>
      </c>
      <c r="E213" s="1" t="s">
        <v>725</v>
      </c>
      <c r="F213" s="1">
        <v>14</v>
      </c>
      <c r="G213" s="1">
        <v>8</v>
      </c>
      <c r="H213" s="1">
        <v>0</v>
      </c>
      <c r="K213" s="1" t="str">
        <f t="shared" si="12"/>
        <v/>
      </c>
      <c r="L213" s="1" t="str">
        <f t="shared" si="13"/>
        <v/>
      </c>
      <c r="M213" s="1" t="str">
        <f t="shared" si="14"/>
        <v/>
      </c>
      <c r="P213" s="1" t="s">
        <v>20</v>
      </c>
      <c r="V213" s="1" t="s">
        <v>28226</v>
      </c>
      <c r="X213" s="1" t="s">
        <v>27842</v>
      </c>
      <c r="AR213" s="1" t="str">
        <f t="shared" si="15"/>
        <v>| [](.md) | [緐](緐.md) |  |  | 「繁」的異體字。 |</v>
      </c>
    </row>
    <row r="214" spans="1:44" hidden="1">
      <c r="A214" s="1" t="s">
        <v>28227</v>
      </c>
      <c r="C214" s="1">
        <v>1</v>
      </c>
      <c r="D214" s="1" t="str">
        <f>"01642-1"</f>
        <v>01642-1</v>
      </c>
      <c r="E214" s="1" t="s">
        <v>193</v>
      </c>
      <c r="F214" s="1">
        <v>12</v>
      </c>
      <c r="G214" s="1">
        <v>4</v>
      </c>
      <c r="H214" s="1">
        <v>0</v>
      </c>
      <c r="K214" s="1" t="str">
        <f t="shared" si="12"/>
        <v/>
      </c>
      <c r="L214" s="1" t="str">
        <f t="shared" si="13"/>
        <v/>
      </c>
      <c r="M214" s="1" t="str">
        <f t="shared" si="14"/>
        <v/>
      </c>
      <c r="P214" s="1" t="s">
        <v>20</v>
      </c>
      <c r="V214" s="1" t="s">
        <v>28228</v>
      </c>
      <c r="X214" s="1" t="s">
        <v>27842</v>
      </c>
      <c r="AR214" s="1" t="str">
        <f t="shared" si="15"/>
        <v>| [](.md) | [飰](飰.md) |  |  | 「飯」的異體字。 |</v>
      </c>
    </row>
    <row r="215" spans="1:44" hidden="1">
      <c r="A215" s="1" t="s">
        <v>28229</v>
      </c>
      <c r="C215" s="1">
        <v>1</v>
      </c>
      <c r="D215" s="1" t="str">
        <f>"01662-1"</f>
        <v>01662-1</v>
      </c>
      <c r="E215" s="1" t="s">
        <v>193</v>
      </c>
      <c r="F215" s="1">
        <v>16</v>
      </c>
      <c r="G215" s="1">
        <v>8</v>
      </c>
      <c r="H215" s="1">
        <v>0</v>
      </c>
      <c r="K215" s="1" t="str">
        <f t="shared" si="12"/>
        <v/>
      </c>
      <c r="L215" s="1" t="str">
        <f t="shared" si="13"/>
        <v/>
      </c>
      <c r="M215" s="1" t="str">
        <f t="shared" si="14"/>
        <v/>
      </c>
      <c r="P215" s="1" t="s">
        <v>20</v>
      </c>
      <c r="V215" s="1" t="s">
        <v>28230</v>
      </c>
      <c r="X215" s="1" t="s">
        <v>27842</v>
      </c>
      <c r="AR215" s="1" t="str">
        <f t="shared" si="15"/>
        <v>| [](.md) | [餴](餴.md) |  |  | 「饙」的異體字。 |</v>
      </c>
    </row>
    <row r="216" spans="1:44" hidden="1">
      <c r="A216" s="1" t="s">
        <v>28231</v>
      </c>
      <c r="C216" s="1">
        <v>1</v>
      </c>
      <c r="D216" s="1" t="str">
        <f>"01668-1"</f>
        <v>01668-1</v>
      </c>
      <c r="E216" s="1" t="s">
        <v>679</v>
      </c>
      <c r="F216" s="1">
        <v>10</v>
      </c>
      <c r="G216" s="1">
        <v>4</v>
      </c>
      <c r="H216" s="1">
        <v>0</v>
      </c>
      <c r="K216" s="1" t="str">
        <f t="shared" si="12"/>
        <v/>
      </c>
      <c r="L216" s="1" t="str">
        <f t="shared" si="13"/>
        <v/>
      </c>
      <c r="M216" s="1" t="str">
        <f t="shared" si="14"/>
        <v/>
      </c>
      <c r="P216" s="1" t="s">
        <v>20</v>
      </c>
      <c r="V216" s="1" t="s">
        <v>28232</v>
      </c>
      <c r="X216" s="1" t="s">
        <v>27842</v>
      </c>
      <c r="AR216" s="1" t="str">
        <f t="shared" si="15"/>
        <v>| [](.md) | [蚠](蚠.md) |  |  | 「蚡」的異體字。 |</v>
      </c>
    </row>
    <row r="217" spans="1:44" hidden="1">
      <c r="A217" s="1" t="s">
        <v>28233</v>
      </c>
      <c r="C217" s="1">
        <v>1</v>
      </c>
      <c r="D217" s="1" t="str">
        <f>"01673-1"</f>
        <v>01673-1</v>
      </c>
      <c r="E217" s="1" t="s">
        <v>132</v>
      </c>
      <c r="F217" s="1">
        <v>7</v>
      </c>
      <c r="G217" s="1">
        <v>4</v>
      </c>
      <c r="H217" s="1">
        <v>0</v>
      </c>
      <c r="K217" s="1" t="str">
        <f t="shared" si="12"/>
        <v/>
      </c>
      <c r="L217" s="1" t="str">
        <f t="shared" si="13"/>
        <v/>
      </c>
      <c r="M217" s="1" t="str">
        <f t="shared" si="14"/>
        <v/>
      </c>
      <c r="P217" s="1" t="s">
        <v>20</v>
      </c>
      <c r="V217" s="1" t="s">
        <v>28234</v>
      </c>
      <c r="X217" s="1" t="s">
        <v>27842</v>
      </c>
      <c r="AR217" s="1" t="str">
        <f t="shared" si="15"/>
        <v>| [](.md) | [坆](坆.md) |  |  | 「墳」的異體字。 |</v>
      </c>
    </row>
    <row r="218" spans="1:44" hidden="1">
      <c r="A218" s="1" t="s">
        <v>28235</v>
      </c>
      <c r="C218" s="1">
        <v>1</v>
      </c>
      <c r="D218" s="1" t="str">
        <f>"01716-1"</f>
        <v>01716-1</v>
      </c>
      <c r="E218" s="1" t="s">
        <v>800</v>
      </c>
      <c r="F218" s="1">
        <v>11</v>
      </c>
      <c r="G218" s="1">
        <v>7</v>
      </c>
      <c r="H218" s="1">
        <v>0</v>
      </c>
      <c r="K218" s="1" t="str">
        <f t="shared" si="12"/>
        <v/>
      </c>
      <c r="L218" s="1" t="str">
        <f t="shared" si="13"/>
        <v/>
      </c>
      <c r="M218" s="1" t="str">
        <f t="shared" si="14"/>
        <v/>
      </c>
      <c r="P218" s="1" t="s">
        <v>20</v>
      </c>
      <c r="V218" s="1" t="s">
        <v>28236</v>
      </c>
      <c r="X218" s="1" t="s">
        <v>27842</v>
      </c>
      <c r="AR218" s="1" t="str">
        <f t="shared" si="15"/>
        <v>| [](.md) | [旊](旊.md) |  |  | 「瓬」的異體字。 |</v>
      </c>
    </row>
    <row r="219" spans="1:44" hidden="1">
      <c r="A219" s="1" t="s">
        <v>28237</v>
      </c>
      <c r="C219" s="1">
        <v>1</v>
      </c>
      <c r="D219" s="1" t="str">
        <f>"01727-1"</f>
        <v>01727-1</v>
      </c>
      <c r="E219" s="1" t="s">
        <v>5107</v>
      </c>
      <c r="F219" s="1">
        <v>4</v>
      </c>
      <c r="G219" s="1">
        <v>0</v>
      </c>
      <c r="H219" s="1">
        <v>0</v>
      </c>
      <c r="K219" s="1" t="str">
        <f t="shared" si="12"/>
        <v/>
      </c>
      <c r="L219" s="1" t="str">
        <f t="shared" si="13"/>
        <v/>
      </c>
      <c r="M219" s="1" t="str">
        <f t="shared" si="14"/>
        <v/>
      </c>
      <c r="P219" s="1" t="s">
        <v>20</v>
      </c>
      <c r="V219" s="1" t="s">
        <v>28238</v>
      </c>
      <c r="X219" s="1" t="s">
        <v>27842</v>
      </c>
      <c r="AR219" s="1" t="str">
        <f t="shared" si="15"/>
        <v>| [](.md) | [风](风.md) |  |  | 「風」的異體字。 |</v>
      </c>
    </row>
    <row r="220" spans="1:44" hidden="1">
      <c r="A220" s="1" t="s">
        <v>28239</v>
      </c>
      <c r="C220" s="1">
        <v>1</v>
      </c>
      <c r="D220" s="1" t="str">
        <f>"01731-1"</f>
        <v>01731-1</v>
      </c>
      <c r="E220" s="1" t="s">
        <v>190</v>
      </c>
      <c r="F220" s="1">
        <v>10</v>
      </c>
      <c r="G220" s="1">
        <v>7</v>
      </c>
      <c r="H220" s="1">
        <v>0</v>
      </c>
      <c r="K220" s="1" t="str">
        <f t="shared" si="12"/>
        <v/>
      </c>
      <c r="L220" s="1" t="str">
        <f t="shared" si="13"/>
        <v/>
      </c>
      <c r="M220" s="1" t="str">
        <f t="shared" si="14"/>
        <v/>
      </c>
      <c r="P220" s="1" t="s">
        <v>20</v>
      </c>
      <c r="V220" s="1" t="s">
        <v>28240</v>
      </c>
      <c r="X220" s="1" t="s">
        <v>27842</v>
      </c>
      <c r="AR220" s="1" t="str">
        <f t="shared" si="15"/>
        <v>| [](.md) | [峯](峯.md) |  |  | 「峰」的異體字。 |</v>
      </c>
    </row>
    <row r="221" spans="1:44" hidden="1">
      <c r="A221" s="1" t="s">
        <v>28241</v>
      </c>
      <c r="C221" s="1">
        <v>1</v>
      </c>
      <c r="D221" s="1" t="str">
        <f>"01733-1"</f>
        <v>01733-1</v>
      </c>
      <c r="E221" s="1" t="s">
        <v>679</v>
      </c>
      <c r="F221" s="1">
        <v>23</v>
      </c>
      <c r="G221" s="1">
        <v>17</v>
      </c>
      <c r="H221" s="1">
        <v>0</v>
      </c>
      <c r="K221" s="1" t="str">
        <f t="shared" si="12"/>
        <v/>
      </c>
      <c r="L221" s="1" t="str">
        <f t="shared" si="13"/>
        <v/>
      </c>
      <c r="M221" s="1" t="str">
        <f t="shared" si="14"/>
        <v/>
      </c>
      <c r="P221" s="1" t="s">
        <v>20</v>
      </c>
      <c r="V221" s="1" t="s">
        <v>28242</v>
      </c>
      <c r="X221" s="1" t="s">
        <v>27842</v>
      </c>
      <c r="AR221" s="1" t="str">
        <f t="shared" si="15"/>
        <v>| [](.md) | [蠭](蠭.md) |  |  | 「蜂」的異體字。 |</v>
      </c>
    </row>
    <row r="222" spans="1:44" hidden="1">
      <c r="A222" s="1" t="s">
        <v>4264</v>
      </c>
      <c r="C222" s="1">
        <v>1</v>
      </c>
      <c r="D222" s="1" t="str">
        <f>"01735-1"</f>
        <v>01735-1</v>
      </c>
      <c r="E222" s="1" t="s">
        <v>4265</v>
      </c>
      <c r="F222" s="1">
        <v>4</v>
      </c>
      <c r="G222" s="1">
        <v>3</v>
      </c>
      <c r="H222" s="1">
        <v>0</v>
      </c>
      <c r="K222" s="1" t="str">
        <f t="shared" si="12"/>
        <v/>
      </c>
      <c r="L222" s="1" t="str">
        <f t="shared" si="13"/>
        <v/>
      </c>
      <c r="M222" s="1" t="str">
        <f t="shared" si="14"/>
        <v/>
      </c>
      <c r="P222" s="1" t="s">
        <v>20</v>
      </c>
      <c r="V222" s="1" t="s">
        <v>28243</v>
      </c>
      <c r="X222" s="1" t="s">
        <v>27842</v>
      </c>
      <c r="AR222" s="1" t="str">
        <f t="shared" si="15"/>
        <v>| [](.md) | [丰](丰.md) |  |  | 「豐」的異體字。 |</v>
      </c>
    </row>
    <row r="223" spans="1:44" hidden="1">
      <c r="A223" s="1" t="s">
        <v>1965</v>
      </c>
      <c r="C223" s="1">
        <v>1</v>
      </c>
      <c r="D223" s="1" t="str">
        <f>"01738-1"</f>
        <v>01738-1</v>
      </c>
      <c r="E223" s="1" t="s">
        <v>558</v>
      </c>
      <c r="F223" s="1">
        <v>10</v>
      </c>
      <c r="G223" s="1">
        <v>6</v>
      </c>
      <c r="H223" s="1">
        <v>0</v>
      </c>
      <c r="K223" s="1" t="str">
        <f t="shared" si="12"/>
        <v/>
      </c>
      <c r="L223" s="1" t="str">
        <f t="shared" si="13"/>
        <v/>
      </c>
      <c r="M223" s="1" t="str">
        <f t="shared" si="14"/>
        <v/>
      </c>
      <c r="P223" s="1" t="s">
        <v>20</v>
      </c>
      <c r="V223" s="1" t="s">
        <v>28244</v>
      </c>
      <c r="X223" s="1" t="s">
        <v>27842</v>
      </c>
      <c r="AR223" s="1" t="str">
        <f t="shared" si="15"/>
        <v>| [](.md) | [逄](逄.md) |  |  | 「逢」的異體字。 |</v>
      </c>
    </row>
    <row r="224" spans="1:44" hidden="1">
      <c r="A224" s="1" t="s">
        <v>28245</v>
      </c>
      <c r="C224" s="1">
        <v>1</v>
      </c>
      <c r="D224" s="1" t="str">
        <f>"01750-1"</f>
        <v>01750-1</v>
      </c>
      <c r="E224" s="1" t="s">
        <v>5107</v>
      </c>
      <c r="F224" s="1">
        <v>4</v>
      </c>
      <c r="G224" s="1">
        <v>2</v>
      </c>
      <c r="H224" s="1">
        <v>0</v>
      </c>
      <c r="K224" s="1" t="str">
        <f t="shared" si="12"/>
        <v/>
      </c>
      <c r="L224" s="1" t="str">
        <f t="shared" si="13"/>
        <v/>
      </c>
      <c r="M224" s="1" t="str">
        <f t="shared" si="14"/>
        <v/>
      </c>
      <c r="P224" s="1" t="s">
        <v>20</v>
      </c>
      <c r="V224" s="1" t="s">
        <v>28246</v>
      </c>
      <c r="X224" s="1" t="s">
        <v>27842</v>
      </c>
      <c r="AR224" s="1" t="str">
        <f t="shared" si="15"/>
        <v>| [](.md) | [凤](凤.md) |  |  | 「鳳」的異體字。 |</v>
      </c>
    </row>
    <row r="225" spans="1:44" hidden="1">
      <c r="A225" s="1" t="s">
        <v>28247</v>
      </c>
      <c r="C225" s="1">
        <v>1</v>
      </c>
      <c r="D225" s="1" t="str">
        <f>"01758-1"</f>
        <v>01758-1</v>
      </c>
      <c r="E225" s="1" t="s">
        <v>46</v>
      </c>
      <c r="F225" s="1">
        <v>13</v>
      </c>
      <c r="G225" s="1">
        <v>7</v>
      </c>
      <c r="H225" s="1">
        <v>0</v>
      </c>
      <c r="K225" s="1" t="str">
        <f t="shared" si="12"/>
        <v/>
      </c>
      <c r="L225" s="1" t="str">
        <f t="shared" si="13"/>
        <v/>
      </c>
      <c r="M225" s="1" t="str">
        <f t="shared" si="14"/>
        <v/>
      </c>
      <c r="P225" s="1" t="s">
        <v>20</v>
      </c>
      <c r="V225" s="1" t="s">
        <v>28248</v>
      </c>
      <c r="X225" s="1" t="s">
        <v>27842</v>
      </c>
      <c r="AR225" s="1" t="str">
        <f t="shared" si="15"/>
        <v>| [](.md) | [粰](粰.md) |  |  | 「麩」的異體字。 |</v>
      </c>
    </row>
    <row r="226" spans="1:44" hidden="1">
      <c r="A226" s="1" t="s">
        <v>28249</v>
      </c>
      <c r="C226" s="1">
        <v>1</v>
      </c>
      <c r="D226" s="1" t="str">
        <f>"01758-2"</f>
        <v>01758-2</v>
      </c>
      <c r="E226" s="1" t="s">
        <v>2743</v>
      </c>
      <c r="F226" s="1">
        <v>18</v>
      </c>
      <c r="G226" s="1">
        <v>7</v>
      </c>
      <c r="H226" s="1">
        <v>0</v>
      </c>
      <c r="K226" s="1" t="str">
        <f t="shared" si="12"/>
        <v/>
      </c>
      <c r="L226" s="1" t="str">
        <f t="shared" si="13"/>
        <v/>
      </c>
      <c r="M226" s="1" t="str">
        <f t="shared" si="14"/>
        <v/>
      </c>
      <c r="P226" s="1" t="s">
        <v>20</v>
      </c>
      <c r="V226" s="1" t="s">
        <v>28248</v>
      </c>
      <c r="X226" s="1" t="s">
        <v>27842</v>
      </c>
      <c r="AR226" s="1" t="str">
        <f t="shared" si="15"/>
        <v>| [](.md) | [䴸](䴸.md) |  |  | 「麩」的異體字。 |</v>
      </c>
    </row>
    <row r="227" spans="1:44" hidden="1">
      <c r="A227" s="1" t="s">
        <v>28250</v>
      </c>
      <c r="C227" s="1">
        <v>1</v>
      </c>
      <c r="D227" s="1" t="str">
        <f>"01825-1"</f>
        <v>01825-1</v>
      </c>
      <c r="E227" s="1" t="s">
        <v>37</v>
      </c>
      <c r="F227" s="1">
        <v>16</v>
      </c>
      <c r="G227" s="1">
        <v>12</v>
      </c>
      <c r="H227" s="1">
        <v>0</v>
      </c>
      <c r="K227" s="1" t="str">
        <f t="shared" si="12"/>
        <v/>
      </c>
      <c r="L227" s="1" t="str">
        <f t="shared" si="13"/>
        <v/>
      </c>
      <c r="M227" s="1" t="str">
        <f t="shared" si="14"/>
        <v/>
      </c>
      <c r="P227" s="1" t="s">
        <v>20</v>
      </c>
      <c r="V227" s="1" t="s">
        <v>28251</v>
      </c>
      <c r="X227" s="1" t="s">
        <v>27842</v>
      </c>
      <c r="AR227" s="1" t="str">
        <f t="shared" si="15"/>
        <v>| [](.md) | [䔰](䔰.md) |  |  | 「葍」的異體字。 |</v>
      </c>
    </row>
    <row r="228" spans="1:44" hidden="1">
      <c r="A228" s="1" t="s">
        <v>28252</v>
      </c>
      <c r="C228" s="1">
        <v>1</v>
      </c>
      <c r="D228" s="1" t="str">
        <f>"01830-1"</f>
        <v>01830-1</v>
      </c>
      <c r="E228" s="1" t="s">
        <v>272</v>
      </c>
      <c r="F228" s="1">
        <v>9</v>
      </c>
      <c r="G228" s="1">
        <v>2</v>
      </c>
      <c r="H228" s="1">
        <v>0</v>
      </c>
      <c r="K228" s="1" t="str">
        <f t="shared" si="12"/>
        <v/>
      </c>
      <c r="L228" s="1" t="str">
        <f t="shared" si="13"/>
        <v/>
      </c>
      <c r="M228" s="1" t="str">
        <f t="shared" si="14"/>
        <v/>
      </c>
      <c r="P228" s="1" t="s">
        <v>20</v>
      </c>
      <c r="V228" s="1" t="s">
        <v>28253</v>
      </c>
      <c r="X228" s="1" t="s">
        <v>27842</v>
      </c>
      <c r="AR228" s="1" t="str">
        <f t="shared" si="15"/>
        <v>| [](.md) | [鳬](鳬.md) |  |  | 「鳧」的異體字。 |</v>
      </c>
    </row>
    <row r="229" spans="1:44" hidden="1">
      <c r="A229" s="1" t="s">
        <v>28254</v>
      </c>
      <c r="C229" s="1">
        <v>1</v>
      </c>
      <c r="D229" s="1" t="str">
        <f>"01839-1"</f>
        <v>01839-1</v>
      </c>
      <c r="E229" s="1" t="s">
        <v>275</v>
      </c>
      <c r="F229" s="1">
        <v>17</v>
      </c>
      <c r="G229" s="1">
        <v>7</v>
      </c>
      <c r="H229" s="1">
        <v>0</v>
      </c>
      <c r="K229" s="1" t="str">
        <f t="shared" si="12"/>
        <v/>
      </c>
      <c r="L229" s="1" t="str">
        <f t="shared" si="13"/>
        <v/>
      </c>
      <c r="M229" s="1" t="str">
        <f t="shared" si="14"/>
        <v/>
      </c>
      <c r="P229" s="1" t="s">
        <v>20</v>
      </c>
      <c r="V229" s="1" t="s">
        <v>28255</v>
      </c>
      <c r="X229" s="1" t="s">
        <v>27842</v>
      </c>
      <c r="AR229" s="1" t="str">
        <f t="shared" si="15"/>
        <v>| [](.md) | [鬴](鬴.md) |  |  | 「釜」的異體字。 |</v>
      </c>
    </row>
    <row r="230" spans="1:44" hidden="1">
      <c r="A230" s="1" t="s">
        <v>28256</v>
      </c>
      <c r="C230" s="1">
        <v>1</v>
      </c>
      <c r="D230" s="1" t="str">
        <f>"01863-1"</f>
        <v>01863-1</v>
      </c>
      <c r="E230" s="1" t="s">
        <v>132</v>
      </c>
      <c r="F230" s="1">
        <v>8</v>
      </c>
      <c r="G230" s="1">
        <v>5</v>
      </c>
      <c r="H230" s="1">
        <v>0</v>
      </c>
      <c r="K230" s="1" t="str">
        <f t="shared" si="12"/>
        <v/>
      </c>
      <c r="L230" s="1" t="str">
        <f t="shared" si="13"/>
        <v/>
      </c>
      <c r="M230" s="1" t="str">
        <f t="shared" si="14"/>
        <v/>
      </c>
      <c r="P230" s="1" t="s">
        <v>20</v>
      </c>
      <c r="V230" s="1" t="s">
        <v>28257</v>
      </c>
      <c r="X230" s="1" t="s">
        <v>27842</v>
      </c>
      <c r="AR230" s="1" t="str">
        <f t="shared" si="15"/>
        <v>| [](.md) | [坿](坿.md) |  |  | 「附」的異體字。 |</v>
      </c>
    </row>
    <row r="231" spans="1:44" hidden="1">
      <c r="A231" s="1" t="s">
        <v>28258</v>
      </c>
      <c r="C231" s="1">
        <v>1</v>
      </c>
      <c r="D231" s="1" t="str">
        <f>"01870-1"</f>
        <v>01870-1</v>
      </c>
      <c r="E231" s="1" t="s">
        <v>679</v>
      </c>
      <c r="F231" s="1">
        <v>18</v>
      </c>
      <c r="G231" s="1">
        <v>12</v>
      </c>
      <c r="H231" s="1">
        <v>0</v>
      </c>
      <c r="K231" s="1" t="str">
        <f t="shared" si="12"/>
        <v/>
      </c>
      <c r="L231" s="1" t="str">
        <f t="shared" si="13"/>
        <v/>
      </c>
      <c r="M231" s="1" t="str">
        <f t="shared" si="14"/>
        <v/>
      </c>
      <c r="P231" s="1" t="s">
        <v>20</v>
      </c>
      <c r="V231" s="1" t="s">
        <v>28259</v>
      </c>
      <c r="X231" s="1" t="s">
        <v>27842</v>
      </c>
      <c r="AR231" s="1" t="str">
        <f t="shared" si="15"/>
        <v>| [](.md) | [𧒂](𧒂.md) |  |  | 「蛗」的異體字。 |</v>
      </c>
    </row>
    <row r="232" spans="1:44" hidden="1">
      <c r="A232" s="1" t="s">
        <v>28260</v>
      </c>
      <c r="C232" s="1">
        <v>1</v>
      </c>
      <c r="D232" s="1" t="str">
        <f>"01878-1"</f>
        <v>01878-1</v>
      </c>
      <c r="E232" s="1" t="s">
        <v>4317</v>
      </c>
      <c r="F232" s="1">
        <v>12</v>
      </c>
      <c r="G232" s="1">
        <v>6</v>
      </c>
      <c r="H232" s="1">
        <v>0</v>
      </c>
      <c r="K232" s="1" t="str">
        <f t="shared" si="12"/>
        <v/>
      </c>
      <c r="L232" s="1" t="str">
        <f t="shared" si="13"/>
        <v/>
      </c>
      <c r="M232" s="1" t="str">
        <f t="shared" si="14"/>
        <v/>
      </c>
      <c r="P232" s="1" t="s">
        <v>20</v>
      </c>
      <c r="V232" s="1" t="s">
        <v>28261</v>
      </c>
      <c r="X232" s="1" t="s">
        <v>27842</v>
      </c>
      <c r="AR232" s="1" t="str">
        <f t="shared" si="15"/>
        <v>| [](.md) | [覄](覄.md) |  |  | 「覆」的異體字。 |</v>
      </c>
    </row>
    <row r="233" spans="1:44" hidden="1">
      <c r="A233" s="1" t="s">
        <v>28262</v>
      </c>
      <c r="C233" s="1">
        <v>1</v>
      </c>
      <c r="D233" s="1" t="str">
        <f>"01881-1"</f>
        <v>01881-1</v>
      </c>
      <c r="E233" s="1" t="s">
        <v>505</v>
      </c>
      <c r="F233" s="1">
        <v>9</v>
      </c>
      <c r="G233" s="1">
        <v>2</v>
      </c>
      <c r="H233" s="1">
        <v>0</v>
      </c>
      <c r="K233" s="1" t="str">
        <f t="shared" si="12"/>
        <v/>
      </c>
      <c r="L233" s="1" t="str">
        <f t="shared" si="13"/>
        <v/>
      </c>
      <c r="M233" s="1" t="str">
        <f t="shared" si="14"/>
        <v/>
      </c>
      <c r="P233" s="1" t="s">
        <v>20</v>
      </c>
      <c r="V233" s="1" t="s">
        <v>28263</v>
      </c>
      <c r="X233" s="1" t="s">
        <v>27842</v>
      </c>
      <c r="AR233" s="1" t="str">
        <f t="shared" si="15"/>
        <v>| [](.md) | [󽭐](󽭐.md) |  |  | 「負」的異體字。 |</v>
      </c>
    </row>
    <row r="234" spans="1:44" hidden="1">
      <c r="A234" s="1" t="s">
        <v>28264</v>
      </c>
      <c r="C234" s="1">
        <v>1</v>
      </c>
      <c r="D234" s="1" t="str">
        <f>"01888-1"</f>
        <v>01888-1</v>
      </c>
      <c r="E234" s="1" t="s">
        <v>534</v>
      </c>
      <c r="F234" s="1">
        <v>12</v>
      </c>
      <c r="G234" s="1">
        <v>9</v>
      </c>
      <c r="H234" s="1">
        <v>0</v>
      </c>
      <c r="K234" s="1" t="str">
        <f t="shared" si="12"/>
        <v/>
      </c>
      <c r="L234" s="1" t="str">
        <f t="shared" si="13"/>
        <v/>
      </c>
      <c r="M234" s="1" t="str">
        <f t="shared" si="14"/>
        <v/>
      </c>
      <c r="P234" s="1" t="s">
        <v>20</v>
      </c>
      <c r="V234" s="1" t="s">
        <v>28265</v>
      </c>
      <c r="X234" s="1" t="s">
        <v>27842</v>
      </c>
      <c r="AR234" s="1" t="str">
        <f t="shared" si="15"/>
        <v>| [](.md) | [媍](媍.md) |  |  | 「婦」的異體字。 |</v>
      </c>
    </row>
    <row r="235" spans="1:44" hidden="1">
      <c r="A235" s="1" t="s">
        <v>4658</v>
      </c>
      <c r="C235" s="1">
        <v>1</v>
      </c>
      <c r="D235" s="1" t="str">
        <f>"01893-1"</f>
        <v>01893-1</v>
      </c>
      <c r="E235" s="1" t="s">
        <v>37</v>
      </c>
      <c r="F235" s="1">
        <v>10</v>
      </c>
      <c r="G235" s="1">
        <v>6</v>
      </c>
      <c r="H235" s="1">
        <v>0</v>
      </c>
      <c r="K235" s="1" t="str">
        <f t="shared" si="12"/>
        <v/>
      </c>
      <c r="L235" s="1" t="str">
        <f t="shared" si="13"/>
        <v/>
      </c>
      <c r="M235" s="1" t="str">
        <f t="shared" si="14"/>
        <v/>
      </c>
      <c r="P235" s="1" t="s">
        <v>20</v>
      </c>
      <c r="V235" s="1" t="s">
        <v>28266</v>
      </c>
      <c r="X235" s="1" t="s">
        <v>27842</v>
      </c>
      <c r="AR235" s="1" t="str">
        <f t="shared" si="15"/>
        <v>| [](.md) | [荅](荅.md) |  |  | 「答」的異體字。 |</v>
      </c>
    </row>
    <row r="236" spans="1:44" hidden="1">
      <c r="A236" s="1" t="s">
        <v>28267</v>
      </c>
      <c r="C236" s="1">
        <v>1</v>
      </c>
      <c r="D236" s="1" t="str">
        <f>"01917-1"</f>
        <v>01917-1</v>
      </c>
      <c r="E236" s="1" t="s">
        <v>129</v>
      </c>
      <c r="F236" s="1">
        <v>11</v>
      </c>
      <c r="G236" s="1">
        <v>8</v>
      </c>
      <c r="H236" s="1">
        <v>0</v>
      </c>
      <c r="K236" s="1" t="str">
        <f t="shared" si="12"/>
        <v/>
      </c>
      <c r="L236" s="1" t="str">
        <f t="shared" si="13"/>
        <v/>
      </c>
      <c r="M236" s="1" t="str">
        <f t="shared" si="14"/>
        <v/>
      </c>
      <c r="P236" s="1" t="s">
        <v>20</v>
      </c>
      <c r="V236" s="1" t="s">
        <v>28268</v>
      </c>
      <c r="X236" s="1" t="s">
        <v>27842</v>
      </c>
      <c r="AR236" s="1" t="str">
        <f t="shared" si="15"/>
        <v>| [](.md) | [淂](淂.md) |  |  | 「得」的異體字。 |</v>
      </c>
    </row>
    <row r="237" spans="1:44" hidden="1">
      <c r="A237" s="1" t="s">
        <v>28269</v>
      </c>
      <c r="C237" s="1">
        <v>1</v>
      </c>
      <c r="D237" s="1" t="str">
        <f>"01917-2"</f>
        <v>01917-2</v>
      </c>
      <c r="E237" s="1" t="s">
        <v>2233</v>
      </c>
      <c r="F237" s="1">
        <v>10</v>
      </c>
      <c r="G237" s="1">
        <v>3</v>
      </c>
      <c r="H237" s="1">
        <v>0</v>
      </c>
      <c r="K237" s="1" t="str">
        <f t="shared" si="12"/>
        <v/>
      </c>
      <c r="L237" s="1" t="str">
        <f t="shared" si="13"/>
        <v/>
      </c>
      <c r="M237" s="1" t="str">
        <f t="shared" si="14"/>
        <v/>
      </c>
      <c r="P237" s="1" t="s">
        <v>20</v>
      </c>
      <c r="V237" s="1" t="s">
        <v>28268</v>
      </c>
      <c r="X237" s="1" t="s">
        <v>27842</v>
      </c>
      <c r="AR237" s="1" t="str">
        <f t="shared" si="15"/>
        <v>| [](.md) | [䙷](䙷.md) |  |  | 「得」的異體字。 |</v>
      </c>
    </row>
    <row r="238" spans="1:44" hidden="1">
      <c r="A238" s="1" t="s">
        <v>28270</v>
      </c>
      <c r="C238" s="1">
        <v>1</v>
      </c>
      <c r="D238" s="1" t="str">
        <f>"01918-1"</f>
        <v>01918-1</v>
      </c>
      <c r="E238" s="1" t="s">
        <v>250</v>
      </c>
      <c r="F238" s="1">
        <v>12</v>
      </c>
      <c r="G238" s="1">
        <v>8</v>
      </c>
      <c r="H238" s="1">
        <v>0</v>
      </c>
      <c r="K238" s="1" t="str">
        <f t="shared" si="12"/>
        <v/>
      </c>
      <c r="L238" s="1" t="str">
        <f t="shared" si="13"/>
        <v/>
      </c>
      <c r="M238" s="1" t="str">
        <f t="shared" si="14"/>
        <v/>
      </c>
      <c r="P238" s="1" t="s">
        <v>20</v>
      </c>
      <c r="V238" s="1" t="s">
        <v>28271</v>
      </c>
      <c r="X238" s="1" t="s">
        <v>27842</v>
      </c>
      <c r="AR238" s="1" t="str">
        <f t="shared" si="15"/>
        <v>| [](.md) | [惪](惪.md) |  |  | 「德」的異體字。 |</v>
      </c>
    </row>
    <row r="239" spans="1:44" hidden="1">
      <c r="A239" s="1" t="s">
        <v>28272</v>
      </c>
      <c r="C239" s="1">
        <v>1</v>
      </c>
      <c r="D239" s="1" t="str">
        <f>"01935-1"</f>
        <v>01935-1</v>
      </c>
      <c r="E239" s="1" t="s">
        <v>142</v>
      </c>
      <c r="F239" s="1">
        <v>12</v>
      </c>
      <c r="G239" s="1">
        <v>8</v>
      </c>
      <c r="H239" s="1">
        <v>0</v>
      </c>
      <c r="K239" s="1" t="str">
        <f t="shared" si="12"/>
        <v/>
      </c>
      <c r="L239" s="1" t="str">
        <f t="shared" si="13"/>
        <v/>
      </c>
      <c r="M239" s="1" t="str">
        <f t="shared" si="14"/>
        <v/>
      </c>
      <c r="P239" s="1" t="s">
        <v>20</v>
      </c>
      <c r="V239" s="1" t="s">
        <v>28273</v>
      </c>
      <c r="X239" s="1" t="s">
        <v>27842</v>
      </c>
      <c r="AR239" s="1" t="str">
        <f t="shared" si="15"/>
        <v>| [](.md) | [瑇](瑇.md) |  |  | 「玳」的異體字。 |</v>
      </c>
    </row>
    <row r="240" spans="1:44" hidden="1">
      <c r="A240" s="1" t="s">
        <v>28274</v>
      </c>
      <c r="C240" s="1">
        <v>1</v>
      </c>
      <c r="D240" s="1" t="str">
        <f>"01961-1"</f>
        <v>01961-1</v>
      </c>
      <c r="E240" s="1" t="s">
        <v>190</v>
      </c>
      <c r="F240" s="1">
        <v>14</v>
      </c>
      <c r="G240" s="1">
        <v>11</v>
      </c>
      <c r="H240" s="1">
        <v>0</v>
      </c>
      <c r="K240" s="1" t="str">
        <f t="shared" si="12"/>
        <v/>
      </c>
      <c r="L240" s="1" t="str">
        <f t="shared" si="13"/>
        <v/>
      </c>
      <c r="M240" s="1" t="str">
        <f t="shared" si="14"/>
        <v/>
      </c>
      <c r="P240" s="1" t="s">
        <v>20</v>
      </c>
      <c r="V240" s="1" t="s">
        <v>28275</v>
      </c>
      <c r="X240" s="1" t="s">
        <v>27842</v>
      </c>
      <c r="AR240" s="1" t="str">
        <f t="shared" si="15"/>
        <v>| [](.md) | [㠀](㠀.md) |  |  | 「島」的異體字。 |</v>
      </c>
    </row>
    <row r="241" spans="1:44" hidden="1">
      <c r="A241" s="1" t="s">
        <v>28276</v>
      </c>
      <c r="C241" s="1">
        <v>1</v>
      </c>
      <c r="D241" s="1" t="str">
        <f>"01965-1"</f>
        <v>01965-1</v>
      </c>
      <c r="E241" s="1" t="s">
        <v>825</v>
      </c>
      <c r="F241" s="1">
        <v>12</v>
      </c>
      <c r="G241" s="1">
        <v>7</v>
      </c>
      <c r="H241" s="1">
        <v>0</v>
      </c>
      <c r="K241" s="1" t="str">
        <f t="shared" si="12"/>
        <v/>
      </c>
      <c r="L241" s="1" t="str">
        <f t="shared" si="13"/>
        <v/>
      </c>
      <c r="M241" s="1" t="str">
        <f t="shared" si="14"/>
        <v/>
      </c>
      <c r="P241" s="1" t="s">
        <v>20</v>
      </c>
      <c r="V241" s="1" t="s">
        <v>28277</v>
      </c>
      <c r="X241" s="1" t="s">
        <v>27842</v>
      </c>
      <c r="AR241" s="1" t="str">
        <f t="shared" si="15"/>
        <v>| [](.md) | [祷](祷.md) |  |  | 「禱」的異體字。 |</v>
      </c>
    </row>
    <row r="242" spans="1:44" hidden="1">
      <c r="A242" s="1" t="s">
        <v>28278</v>
      </c>
      <c r="C242" s="1">
        <v>1</v>
      </c>
      <c r="D242" s="1" t="str">
        <f>"01993-1"</f>
        <v>01993-1</v>
      </c>
      <c r="E242" s="1" t="s">
        <v>4894</v>
      </c>
      <c r="F242" s="1">
        <v>14</v>
      </c>
      <c r="G242" s="1">
        <v>4</v>
      </c>
      <c r="H242" s="1">
        <v>0</v>
      </c>
      <c r="K242" s="1" t="str">
        <f t="shared" si="12"/>
        <v/>
      </c>
      <c r="L242" s="1" t="str">
        <f t="shared" si="13"/>
        <v/>
      </c>
      <c r="M242" s="1" t="str">
        <f t="shared" si="14"/>
        <v/>
      </c>
      <c r="P242" s="1" t="s">
        <v>20</v>
      </c>
      <c r="V242" s="1" t="s">
        <v>28279</v>
      </c>
      <c r="X242" s="1" t="s">
        <v>27842</v>
      </c>
      <c r="AR242" s="1" t="str">
        <f t="shared" si="15"/>
        <v>| [](.md) | [鬦](鬦.md) |  |  | 「鬥」的異體字。 |</v>
      </c>
    </row>
    <row r="243" spans="1:44" hidden="1">
      <c r="A243" s="1" t="s">
        <v>28280</v>
      </c>
      <c r="C243" s="1">
        <v>1</v>
      </c>
      <c r="D243" s="1" t="str">
        <f>"01993-2"</f>
        <v>01993-2</v>
      </c>
      <c r="E243" s="1" t="s">
        <v>4894</v>
      </c>
      <c r="F243" s="1">
        <v>20</v>
      </c>
      <c r="G243" s="1">
        <v>10</v>
      </c>
      <c r="H243" s="1">
        <v>0</v>
      </c>
      <c r="K243" s="1" t="str">
        <f t="shared" si="12"/>
        <v/>
      </c>
      <c r="L243" s="1" t="str">
        <f t="shared" si="13"/>
        <v/>
      </c>
      <c r="M243" s="1" t="str">
        <f t="shared" si="14"/>
        <v/>
      </c>
      <c r="P243" s="1" t="s">
        <v>20</v>
      </c>
      <c r="V243" s="1" t="s">
        <v>28279</v>
      </c>
      <c r="X243" s="1" t="s">
        <v>27842</v>
      </c>
      <c r="AR243" s="1" t="str">
        <f t="shared" si="15"/>
        <v>| [](.md) | [鬪](鬪.md) |  |  | 「鬥」的異體字。 |</v>
      </c>
    </row>
    <row r="244" spans="1:44" hidden="1">
      <c r="A244" s="1" t="s">
        <v>28281</v>
      </c>
      <c r="C244" s="1">
        <v>1</v>
      </c>
      <c r="D244" s="1" t="str">
        <f>"01993-4"</f>
        <v>01993-4</v>
      </c>
      <c r="E244" s="1" t="s">
        <v>4894</v>
      </c>
      <c r="F244" s="1">
        <v>25</v>
      </c>
      <c r="G244" s="1">
        <v>15</v>
      </c>
      <c r="H244" s="1">
        <v>0</v>
      </c>
      <c r="K244" s="1" t="str">
        <f t="shared" si="12"/>
        <v/>
      </c>
      <c r="L244" s="1" t="str">
        <f t="shared" si="13"/>
        <v/>
      </c>
      <c r="M244" s="1" t="str">
        <f t="shared" si="14"/>
        <v/>
      </c>
      <c r="P244" s="1" t="s">
        <v>20</v>
      </c>
      <c r="V244" s="1" t="s">
        <v>28279</v>
      </c>
      <c r="X244" s="1" t="s">
        <v>27842</v>
      </c>
      <c r="AR244" s="1" t="str">
        <f t="shared" si="15"/>
        <v>| [](.md) | [鬭](鬭.md) |  |  | 「鬥」的異體字。 |</v>
      </c>
    </row>
    <row r="245" spans="1:44" hidden="1">
      <c r="A245" s="1" t="s">
        <v>28282</v>
      </c>
      <c r="C245" s="1">
        <v>1</v>
      </c>
      <c r="D245" s="1" t="str">
        <f>"01995-1"</f>
        <v>01995-1</v>
      </c>
      <c r="E245" s="1" t="s">
        <v>331</v>
      </c>
      <c r="F245" s="1">
        <v>17</v>
      </c>
      <c r="G245" s="1">
        <v>10</v>
      </c>
      <c r="H245" s="1">
        <v>0</v>
      </c>
      <c r="K245" s="1" t="str">
        <f t="shared" si="12"/>
        <v/>
      </c>
      <c r="L245" s="1" t="str">
        <f t="shared" si="13"/>
        <v/>
      </c>
      <c r="M245" s="1" t="str">
        <f t="shared" si="14"/>
        <v/>
      </c>
      <c r="P245" s="1" t="s">
        <v>20</v>
      </c>
      <c r="V245" s="1" t="s">
        <v>28283</v>
      </c>
      <c r="X245" s="1" t="s">
        <v>27842</v>
      </c>
      <c r="AR245" s="1" t="str">
        <f t="shared" si="15"/>
        <v>| [](.md) | [󵧝](󵧝.md) |  |  | 「讀」的異體字。 |</v>
      </c>
    </row>
    <row r="246" spans="1:44" hidden="1">
      <c r="A246" s="1" t="s">
        <v>28284</v>
      </c>
      <c r="C246" s="1">
        <v>1</v>
      </c>
      <c r="D246" s="1" t="str">
        <f>"01998-1"</f>
        <v>01998-1</v>
      </c>
      <c r="E246" s="1" t="s">
        <v>5692</v>
      </c>
      <c r="F246" s="1">
        <v>11</v>
      </c>
      <c r="G246" s="1">
        <v>4</v>
      </c>
      <c r="H246" s="1">
        <v>0</v>
      </c>
      <c r="K246" s="1" t="str">
        <f t="shared" si="12"/>
        <v/>
      </c>
      <c r="L246" s="1" t="str">
        <f t="shared" si="13"/>
        <v/>
      </c>
      <c r="M246" s="1" t="str">
        <f t="shared" si="14"/>
        <v/>
      </c>
      <c r="P246" s="1" t="s">
        <v>20</v>
      </c>
      <c r="V246" s="1" t="s">
        <v>28285</v>
      </c>
      <c r="X246" s="1" t="s">
        <v>27842</v>
      </c>
      <c r="AR246" s="1" t="str">
        <f t="shared" si="15"/>
        <v>| [](.md) | [躭](躭.md) |  |  | 「耽」的異體字。 |</v>
      </c>
    </row>
    <row r="247" spans="1:44" hidden="1">
      <c r="A247" s="1" t="s">
        <v>28286</v>
      </c>
      <c r="C247" s="1">
        <v>1</v>
      </c>
      <c r="D247" s="1" t="str">
        <f>"02000-1"</f>
        <v>02000-1</v>
      </c>
      <c r="E247" s="1" t="s">
        <v>2419</v>
      </c>
      <c r="F247" s="1">
        <v>10</v>
      </c>
      <c r="G247" s="1">
        <v>4</v>
      </c>
      <c r="H247" s="1">
        <v>0</v>
      </c>
      <c r="K247" s="1" t="str">
        <f t="shared" si="12"/>
        <v/>
      </c>
      <c r="L247" s="1" t="str">
        <f t="shared" si="13"/>
        <v/>
      </c>
      <c r="M247" s="1" t="str">
        <f t="shared" si="14"/>
        <v/>
      </c>
      <c r="P247" s="1" t="s">
        <v>20</v>
      </c>
      <c r="V247" s="1" t="s">
        <v>28287</v>
      </c>
      <c r="X247" s="1" t="s">
        <v>27842</v>
      </c>
      <c r="AR247" s="1" t="str">
        <f t="shared" si="15"/>
        <v>| [](.md) | [耼](耼.md) |  |  | 「聃」的異體字。 |</v>
      </c>
    </row>
    <row r="248" spans="1:44" hidden="1">
      <c r="A248" s="1" t="s">
        <v>28288</v>
      </c>
      <c r="C248" s="1">
        <v>1</v>
      </c>
      <c r="D248" s="1" t="str">
        <f>"02003-1"</f>
        <v>02003-1</v>
      </c>
      <c r="E248" s="1" t="s">
        <v>286</v>
      </c>
      <c r="F248" s="1">
        <v>8</v>
      </c>
      <c r="G248" s="1">
        <v>6</v>
      </c>
      <c r="H248" s="1">
        <v>0</v>
      </c>
      <c r="K248" s="1" t="str">
        <f t="shared" si="12"/>
        <v/>
      </c>
      <c r="L248" s="1" t="str">
        <f t="shared" si="13"/>
        <v/>
      </c>
      <c r="M248" s="1" t="str">
        <f t="shared" si="14"/>
        <v/>
      </c>
      <c r="P248" s="1" t="s">
        <v>20</v>
      </c>
      <c r="V248" s="1" t="s">
        <v>28289</v>
      </c>
      <c r="X248" s="1" t="s">
        <v>27842</v>
      </c>
      <c r="AR248" s="1" t="str">
        <f t="shared" si="15"/>
        <v>| [](.md) | [单](单.md) |  |  | 「單」的異體字。 |</v>
      </c>
    </row>
    <row r="249" spans="1:44" hidden="1">
      <c r="A249" s="1" t="s">
        <v>28290</v>
      </c>
      <c r="C249" s="1">
        <v>1</v>
      </c>
      <c r="D249" s="1" t="str">
        <f>"02010-1"</f>
        <v>02010-1</v>
      </c>
      <c r="E249" s="1" t="s">
        <v>24</v>
      </c>
      <c r="F249" s="1">
        <v>8</v>
      </c>
      <c r="G249" s="1">
        <v>5</v>
      </c>
      <c r="H249" s="1">
        <v>0</v>
      </c>
      <c r="K249" s="1" t="str">
        <f t="shared" si="12"/>
        <v/>
      </c>
      <c r="L249" s="1" t="str">
        <f t="shared" si="13"/>
        <v/>
      </c>
      <c r="M249" s="1" t="str">
        <f t="shared" si="14"/>
        <v/>
      </c>
      <c r="P249" s="1" t="s">
        <v>20</v>
      </c>
      <c r="V249" s="1" t="s">
        <v>28291</v>
      </c>
      <c r="X249" s="1" t="s">
        <v>27842</v>
      </c>
      <c r="AR249" s="1" t="str">
        <f t="shared" si="15"/>
        <v>| [](.md) | [担](担.md) |  |  | 「擔」的異體字。 |</v>
      </c>
    </row>
    <row r="250" spans="1:44" hidden="1">
      <c r="A250" s="1" t="s">
        <v>28292</v>
      </c>
      <c r="C250" s="1">
        <v>1</v>
      </c>
      <c r="D250" s="1" t="str">
        <f>"02019-1"</f>
        <v>02019-1</v>
      </c>
      <c r="E250" s="1" t="s">
        <v>68</v>
      </c>
      <c r="F250" s="1">
        <v>9</v>
      </c>
      <c r="G250" s="1">
        <v>5</v>
      </c>
      <c r="H250" s="1">
        <v>0</v>
      </c>
      <c r="K250" s="1" t="str">
        <f t="shared" si="12"/>
        <v/>
      </c>
      <c r="L250" s="1" t="str">
        <f t="shared" si="13"/>
        <v/>
      </c>
      <c r="M250" s="1" t="str">
        <f t="shared" si="14"/>
        <v/>
      </c>
      <c r="P250" s="1" t="s">
        <v>20</v>
      </c>
      <c r="V250" s="1" t="s">
        <v>28293</v>
      </c>
      <c r="X250" s="1" t="s">
        <v>27842</v>
      </c>
      <c r="AR250" s="1" t="str">
        <f t="shared" si="15"/>
        <v>| [](.md) | [胆](胆.md) |  |  | 「膽」的異體字。 |</v>
      </c>
    </row>
    <row r="251" spans="1:44" hidden="1">
      <c r="A251" s="1" t="s">
        <v>28294</v>
      </c>
      <c r="C251" s="1">
        <v>1</v>
      </c>
      <c r="D251" s="1" t="str">
        <f>"02027-1"</f>
        <v>02027-1</v>
      </c>
      <c r="E251" s="1" t="s">
        <v>28</v>
      </c>
      <c r="F251" s="1">
        <v>15</v>
      </c>
      <c r="G251" s="1">
        <v>12</v>
      </c>
      <c r="H251" s="1">
        <v>0</v>
      </c>
      <c r="K251" s="1" t="str">
        <f t="shared" si="12"/>
        <v/>
      </c>
      <c r="L251" s="1" t="str">
        <f t="shared" si="13"/>
        <v/>
      </c>
      <c r="M251" s="1" t="str">
        <f t="shared" si="14"/>
        <v/>
      </c>
      <c r="P251" s="1" t="s">
        <v>20</v>
      </c>
      <c r="V251" s="1" t="s">
        <v>28295</v>
      </c>
      <c r="X251" s="1" t="s">
        <v>27842</v>
      </c>
      <c r="AR251" s="1" t="str">
        <f t="shared" si="15"/>
        <v>| [](.md) | [噉](噉.md) |  |  | 「啖」的異體字。 |</v>
      </c>
    </row>
    <row r="252" spans="1:44" hidden="1">
      <c r="A252" s="1" t="s">
        <v>28296</v>
      </c>
      <c r="C252" s="1">
        <v>1</v>
      </c>
      <c r="D252" s="1" t="str">
        <f>"02038-1"</f>
        <v>02038-1</v>
      </c>
      <c r="E252" s="1" t="s">
        <v>103</v>
      </c>
      <c r="F252" s="1">
        <v>11</v>
      </c>
      <c r="G252" s="1">
        <v>8</v>
      </c>
      <c r="H252" s="1">
        <v>0</v>
      </c>
      <c r="K252" s="1" t="str">
        <f t="shared" si="12"/>
        <v/>
      </c>
      <c r="L252" s="1" t="str">
        <f t="shared" si="13"/>
        <v/>
      </c>
      <c r="M252" s="1" t="str">
        <f t="shared" si="14"/>
        <v/>
      </c>
      <c r="P252" s="1" t="s">
        <v>20</v>
      </c>
      <c r="V252" s="1" t="s">
        <v>28297</v>
      </c>
      <c r="X252" s="1" t="s">
        <v>27842</v>
      </c>
      <c r="AR252" s="1" t="str">
        <f t="shared" si="15"/>
        <v>| [](.md) | [弹](弹.md) |  |  | 「彈」的異體字。 |</v>
      </c>
    </row>
    <row r="253" spans="1:44" hidden="1">
      <c r="A253" s="1" t="s">
        <v>28298</v>
      </c>
      <c r="C253" s="1">
        <v>1</v>
      </c>
      <c r="D253" s="1" t="str">
        <f>"02047-1"</f>
        <v>02047-1</v>
      </c>
      <c r="E253" s="1" t="s">
        <v>13811</v>
      </c>
      <c r="F253" s="1">
        <v>6</v>
      </c>
      <c r="G253" s="1">
        <v>3</v>
      </c>
      <c r="H253" s="1">
        <v>0</v>
      </c>
      <c r="K253" s="1" t="str">
        <f t="shared" si="12"/>
        <v/>
      </c>
      <c r="L253" s="1" t="str">
        <f t="shared" si="13"/>
        <v/>
      </c>
      <c r="M253" s="1" t="str">
        <f t="shared" si="14"/>
        <v/>
      </c>
      <c r="P253" s="1" t="s">
        <v>20</v>
      </c>
      <c r="V253" s="1" t="s">
        <v>28299</v>
      </c>
      <c r="X253" s="1" t="s">
        <v>27842</v>
      </c>
      <c r="AR253" s="1" t="str">
        <f t="shared" si="15"/>
        <v>| [](.md) | [当](当.md) |  |  | 「當」的異體字。 |</v>
      </c>
    </row>
    <row r="254" spans="1:44" hidden="1">
      <c r="A254" s="1" t="s">
        <v>28300</v>
      </c>
      <c r="C254" s="1">
        <v>1</v>
      </c>
      <c r="D254" s="1" t="str">
        <f>"02048-1"</f>
        <v>02048-1</v>
      </c>
      <c r="E254" s="1" t="s">
        <v>28</v>
      </c>
      <c r="F254" s="1">
        <v>9</v>
      </c>
      <c r="G254" s="1">
        <v>6</v>
      </c>
      <c r="H254" s="1">
        <v>0</v>
      </c>
      <c r="K254" s="1" t="str">
        <f t="shared" si="12"/>
        <v/>
      </c>
      <c r="L254" s="1" t="str">
        <f t="shared" si="13"/>
        <v/>
      </c>
      <c r="M254" s="1" t="str">
        <f t="shared" si="14"/>
        <v/>
      </c>
      <c r="P254" s="1" t="s">
        <v>20</v>
      </c>
      <c r="V254" s="1" t="s">
        <v>28301</v>
      </c>
      <c r="X254" s="1" t="s">
        <v>27842</v>
      </c>
      <c r="AR254" s="1" t="str">
        <f t="shared" si="15"/>
        <v>| [](.md) | [󻐇](󻐇.md) |  |  | 「噹」的異體字。 |</v>
      </c>
    </row>
    <row r="255" spans="1:44" hidden="1">
      <c r="A255" s="1" t="s">
        <v>28302</v>
      </c>
      <c r="C255" s="1">
        <v>1</v>
      </c>
      <c r="D255" s="1" t="str">
        <f>"02056-1"</f>
        <v>02056-1</v>
      </c>
      <c r="E255" s="1" t="s">
        <v>24</v>
      </c>
      <c r="F255" s="1">
        <v>9</v>
      </c>
      <c r="G255" s="1">
        <v>6</v>
      </c>
      <c r="H255" s="1">
        <v>0</v>
      </c>
      <c r="K255" s="1" t="str">
        <f t="shared" si="12"/>
        <v/>
      </c>
      <c r="L255" s="1" t="str">
        <f t="shared" si="13"/>
        <v/>
      </c>
      <c r="M255" s="1" t="str">
        <f t="shared" si="14"/>
        <v/>
      </c>
      <c r="P255" s="1" t="s">
        <v>20</v>
      </c>
      <c r="V255" s="1" t="s">
        <v>28303</v>
      </c>
      <c r="X255" s="1" t="s">
        <v>27842</v>
      </c>
      <c r="AR255" s="1" t="str">
        <f t="shared" si="15"/>
        <v>| [](.md) | [挡](挡.md) |  |  | 「擋」的異體字。 |</v>
      </c>
    </row>
    <row r="256" spans="1:44" hidden="1">
      <c r="A256" s="1" t="s">
        <v>5045</v>
      </c>
      <c r="C256" s="1">
        <v>1</v>
      </c>
      <c r="D256" s="1" t="str">
        <f>"02058-1"</f>
        <v>02058-1</v>
      </c>
      <c r="E256" s="1" t="s">
        <v>3581</v>
      </c>
      <c r="F256" s="1">
        <v>10</v>
      </c>
      <c r="G256" s="1">
        <v>8</v>
      </c>
      <c r="H256" s="1">
        <v>0</v>
      </c>
      <c r="K256" s="1" t="str">
        <f t="shared" si="12"/>
        <v/>
      </c>
      <c r="L256" s="1" t="str">
        <f t="shared" si="13"/>
        <v/>
      </c>
      <c r="M256" s="1" t="str">
        <f t="shared" si="14"/>
        <v/>
      </c>
      <c r="P256" s="1" t="s">
        <v>20</v>
      </c>
      <c r="V256" s="1" t="s">
        <v>28304</v>
      </c>
      <c r="X256" s="1" t="s">
        <v>27842</v>
      </c>
      <c r="AR256" s="1" t="str">
        <f t="shared" si="15"/>
        <v>| [](.md) | [党](党.md) |  |  | 「黨」的異體字。 |</v>
      </c>
    </row>
    <row r="257" spans="1:44" hidden="1">
      <c r="A257" s="1" t="s">
        <v>28305</v>
      </c>
      <c r="C257" s="1">
        <v>1</v>
      </c>
      <c r="D257" s="1" t="str">
        <f>"02072-1"</f>
        <v>02072-1</v>
      </c>
      <c r="E257" s="1" t="s">
        <v>336</v>
      </c>
      <c r="F257" s="1">
        <v>6</v>
      </c>
      <c r="G257" s="1">
        <v>2</v>
      </c>
      <c r="H257" s="1">
        <v>0</v>
      </c>
      <c r="K257" s="1" t="str">
        <f t="shared" si="12"/>
        <v/>
      </c>
      <c r="L257" s="1" t="str">
        <f t="shared" si="13"/>
        <v/>
      </c>
      <c r="M257" s="1" t="str">
        <f t="shared" si="14"/>
        <v/>
      </c>
      <c r="P257" s="1" t="s">
        <v>20</v>
      </c>
      <c r="V257" s="1" t="s">
        <v>28306</v>
      </c>
      <c r="X257" s="1" t="s">
        <v>27842</v>
      </c>
      <c r="AR257" s="1" t="str">
        <f t="shared" si="15"/>
        <v>| [](.md) | [灯](灯.md) |  |  | 「燈」的異體字。 |</v>
      </c>
    </row>
    <row r="258" spans="1:44" hidden="1">
      <c r="A258" s="1" t="s">
        <v>28307</v>
      </c>
      <c r="C258" s="1">
        <v>1</v>
      </c>
      <c r="D258" s="1" t="str">
        <f>"02077-1"</f>
        <v>02077-1</v>
      </c>
      <c r="E258" s="1" t="s">
        <v>37</v>
      </c>
      <c r="F258" s="1">
        <v>10</v>
      </c>
      <c r="G258" s="1">
        <v>6</v>
      </c>
      <c r="H258" s="1">
        <v>0</v>
      </c>
      <c r="K258" s="1" t="str">
        <f t="shared" ref="K258:K321" si="16">LEFT(I258, 1)</f>
        <v/>
      </c>
      <c r="L258" s="1" t="str">
        <f t="shared" ref="L258:L321" si="17">MID(I258, 2, 1)</f>
        <v/>
      </c>
      <c r="M258" s="1" t="str">
        <f t="shared" ref="M258:M321" si="18">MID(I258, 3, 1)</f>
        <v/>
      </c>
      <c r="P258" s="1" t="s">
        <v>20</v>
      </c>
      <c r="V258" s="1" t="s">
        <v>28308</v>
      </c>
      <c r="X258" s="1" t="s">
        <v>27842</v>
      </c>
      <c r="AR258" s="1" t="str">
        <f t="shared" si="15"/>
        <v>| [](.md) | [䓁](䓁.md) |  |  | 「等」的異體字。 |</v>
      </c>
    </row>
    <row r="259" spans="1:44" hidden="1">
      <c r="A259" s="1" t="s">
        <v>28309</v>
      </c>
      <c r="C259" s="1">
        <v>1</v>
      </c>
      <c r="D259" s="1" t="str">
        <f>"02079-1"</f>
        <v>02079-1</v>
      </c>
      <c r="E259" s="1" t="s">
        <v>139</v>
      </c>
      <c r="F259" s="1">
        <v>18</v>
      </c>
      <c r="G259" s="1">
        <v>14</v>
      </c>
      <c r="H259" s="1">
        <v>0</v>
      </c>
      <c r="K259" s="1" t="str">
        <f t="shared" si="16"/>
        <v/>
      </c>
      <c r="L259" s="1" t="str">
        <f t="shared" si="17"/>
        <v/>
      </c>
      <c r="M259" s="1" t="str">
        <f t="shared" si="18"/>
        <v/>
      </c>
      <c r="P259" s="1" t="s">
        <v>20</v>
      </c>
      <c r="V259" s="1" t="s">
        <v>28310</v>
      </c>
      <c r="X259" s="1" t="s">
        <v>27842</v>
      </c>
      <c r="AR259" s="1" t="str">
        <f t="shared" ref="AR259:AR322" si="19">"| ["&amp;I259&amp;"]("&amp;I259&amp;".md) | ["&amp;A259&amp;"]("&amp;A259&amp;".md) | "&amp;" | "&amp;R259&amp;" | "&amp;V259&amp;" |"</f>
        <v>| [](.md) | [櫈](櫈.md) |  |  | 「凳」的異體字。 |</v>
      </c>
    </row>
    <row r="260" spans="1:44" hidden="1">
      <c r="A260" s="1" t="s">
        <v>28311</v>
      </c>
      <c r="C260" s="1">
        <v>1</v>
      </c>
      <c r="D260" s="1" t="str">
        <f>"02105-1"</f>
        <v>02105-1</v>
      </c>
      <c r="E260" s="1" t="s">
        <v>6679</v>
      </c>
      <c r="F260" s="1">
        <v>8</v>
      </c>
      <c r="G260" s="1">
        <v>5</v>
      </c>
      <c r="H260" s="1">
        <v>0</v>
      </c>
      <c r="K260" s="1" t="str">
        <f t="shared" si="16"/>
        <v/>
      </c>
      <c r="L260" s="1" t="str">
        <f t="shared" si="17"/>
        <v/>
      </c>
      <c r="M260" s="1" t="str">
        <f t="shared" si="18"/>
        <v/>
      </c>
      <c r="P260" s="1" t="s">
        <v>20</v>
      </c>
      <c r="V260" s="1" t="s">
        <v>28312</v>
      </c>
      <c r="X260" s="1" t="s">
        <v>27842</v>
      </c>
      <c r="AR260" s="1" t="str">
        <f t="shared" si="19"/>
        <v>| [](.md) | [廸](廸.md) |  |  | 「迪」的異體字。 |</v>
      </c>
    </row>
    <row r="261" spans="1:44" hidden="1">
      <c r="A261" s="1" t="s">
        <v>28313</v>
      </c>
      <c r="C261" s="1">
        <v>1</v>
      </c>
      <c r="D261" s="1" t="str">
        <f>"02118-1"</f>
        <v>02118-1</v>
      </c>
      <c r="E261" s="1" t="s">
        <v>46</v>
      </c>
      <c r="F261" s="1">
        <v>8</v>
      </c>
      <c r="G261" s="1">
        <v>2</v>
      </c>
      <c r="H261" s="1">
        <v>0</v>
      </c>
      <c r="K261" s="1" t="str">
        <f t="shared" si="16"/>
        <v/>
      </c>
      <c r="L261" s="1" t="str">
        <f t="shared" si="17"/>
        <v/>
      </c>
      <c r="M261" s="1" t="str">
        <f t="shared" si="18"/>
        <v/>
      </c>
      <c r="P261" s="1" t="s">
        <v>20</v>
      </c>
      <c r="V261" s="1" t="s">
        <v>28314</v>
      </c>
      <c r="X261" s="1" t="s">
        <v>27842</v>
      </c>
      <c r="AR261" s="1" t="str">
        <f t="shared" si="19"/>
        <v>| [](.md) | [籴](籴.md) |  |  | 「糴」的異體字。 |</v>
      </c>
    </row>
    <row r="262" spans="1:44" hidden="1">
      <c r="A262" s="1" t="s">
        <v>17846</v>
      </c>
      <c r="C262" s="1">
        <v>1</v>
      </c>
      <c r="D262" s="1" t="str">
        <f>"02123-1"</f>
        <v>02123-1</v>
      </c>
      <c r="E262" s="1" t="s">
        <v>1941</v>
      </c>
      <c r="F262" s="1">
        <v>7</v>
      </c>
      <c r="G262" s="1">
        <v>5</v>
      </c>
      <c r="H262" s="1">
        <v>0</v>
      </c>
      <c r="K262" s="1" t="str">
        <f t="shared" si="16"/>
        <v/>
      </c>
      <c r="L262" s="1" t="str">
        <f t="shared" si="17"/>
        <v/>
      </c>
      <c r="M262" s="1" t="str">
        <f t="shared" si="18"/>
        <v/>
      </c>
      <c r="P262" s="1" t="s">
        <v>20</v>
      </c>
      <c r="V262" s="1" t="s">
        <v>28315</v>
      </c>
      <c r="X262" s="1" t="s">
        <v>27842</v>
      </c>
      <c r="AR262" s="1" t="str">
        <f t="shared" si="19"/>
        <v>| [](.md) | [厎](厎.md) |  |  | 「底」的異體字。 |</v>
      </c>
    </row>
    <row r="263" spans="1:44" hidden="1">
      <c r="A263" s="1" t="s">
        <v>28316</v>
      </c>
      <c r="C263" s="1">
        <v>1</v>
      </c>
      <c r="D263" s="1" t="str">
        <f>"02137-1"</f>
        <v>02137-1</v>
      </c>
      <c r="E263" s="1" t="s">
        <v>37</v>
      </c>
      <c r="F263" s="1">
        <v>9</v>
      </c>
      <c r="G263" s="1">
        <v>5</v>
      </c>
      <c r="H263" s="1">
        <v>0</v>
      </c>
      <c r="K263" s="1" t="str">
        <f t="shared" si="16"/>
        <v/>
      </c>
      <c r="L263" s="1" t="str">
        <f t="shared" si="17"/>
        <v/>
      </c>
      <c r="M263" s="1" t="str">
        <f t="shared" si="18"/>
        <v/>
      </c>
      <c r="P263" s="1" t="s">
        <v>20</v>
      </c>
      <c r="V263" s="1" t="s">
        <v>28317</v>
      </c>
      <c r="X263" s="1" t="s">
        <v>27842</v>
      </c>
      <c r="AR263" s="1" t="str">
        <f t="shared" si="19"/>
        <v>| [](.md) | [苐](苐.md) |  |  | 「第」的異體字。 |</v>
      </c>
    </row>
    <row r="264" spans="1:44" hidden="1">
      <c r="A264" s="1" t="s">
        <v>28318</v>
      </c>
      <c r="C264" s="1">
        <v>1</v>
      </c>
      <c r="D264" s="1" t="str">
        <f>"02152-1"</f>
        <v>02152-1</v>
      </c>
      <c r="E264" s="1" t="s">
        <v>558</v>
      </c>
      <c r="F264" s="1">
        <v>11</v>
      </c>
      <c r="G264" s="1">
        <v>7</v>
      </c>
      <c r="H264" s="1">
        <v>0</v>
      </c>
      <c r="K264" s="1" t="str">
        <f t="shared" si="16"/>
        <v/>
      </c>
      <c r="L264" s="1" t="str">
        <f t="shared" si="17"/>
        <v/>
      </c>
      <c r="M264" s="1" t="str">
        <f t="shared" si="18"/>
        <v/>
      </c>
      <c r="P264" s="1" t="s">
        <v>20</v>
      </c>
      <c r="V264" s="1" t="s">
        <v>28319</v>
      </c>
      <c r="X264" s="1" t="s">
        <v>27842</v>
      </c>
      <c r="AR264" s="1" t="str">
        <f t="shared" si="19"/>
        <v>| [](.md) | [递](递.md) |  |  | 「遞」的異體字。 |</v>
      </c>
    </row>
    <row r="265" spans="1:44" hidden="1">
      <c r="A265" s="1" t="s">
        <v>28320</v>
      </c>
      <c r="C265" s="1">
        <v>1</v>
      </c>
      <c r="D265" s="1" t="str">
        <f>"02178-1"</f>
        <v>02178-1</v>
      </c>
      <c r="E265" s="1" t="s">
        <v>679</v>
      </c>
      <c r="F265" s="1">
        <v>14</v>
      </c>
      <c r="G265" s="1">
        <v>8</v>
      </c>
      <c r="H265" s="1">
        <v>0</v>
      </c>
      <c r="K265" s="1" t="str">
        <f t="shared" si="16"/>
        <v/>
      </c>
      <c r="L265" s="1" t="str">
        <f t="shared" si="17"/>
        <v/>
      </c>
      <c r="M265" s="1" t="str">
        <f t="shared" si="18"/>
        <v/>
      </c>
      <c r="P265" s="1" t="s">
        <v>20</v>
      </c>
      <c r="V265" s="1" t="s">
        <v>28321</v>
      </c>
      <c r="X265" s="1" t="s">
        <v>27842</v>
      </c>
      <c r="AR265" s="1" t="str">
        <f t="shared" si="19"/>
        <v>| [](.md) | [蜨](蜨.md) |  |  | 「蝶」的異體字。 |</v>
      </c>
    </row>
    <row r="266" spans="1:44" hidden="1">
      <c r="A266" s="1" t="s">
        <v>28322</v>
      </c>
      <c r="C266" s="1">
        <v>1</v>
      </c>
      <c r="D266" s="1" t="str">
        <f>"02187-1"</f>
        <v>02187-1</v>
      </c>
      <c r="E266" s="1" t="s">
        <v>1880</v>
      </c>
      <c r="F266" s="1">
        <v>13</v>
      </c>
      <c r="G266" s="1">
        <v>11</v>
      </c>
      <c r="H266" s="1">
        <v>0</v>
      </c>
      <c r="K266" s="1" t="str">
        <f t="shared" si="16"/>
        <v/>
      </c>
      <c r="L266" s="1" t="str">
        <f t="shared" si="17"/>
        <v/>
      </c>
      <c r="M266" s="1" t="str">
        <f t="shared" si="18"/>
        <v/>
      </c>
      <c r="P266" s="1" t="s">
        <v>20</v>
      </c>
      <c r="V266" s="1" t="s">
        <v>28323</v>
      </c>
      <c r="X266" s="1" t="s">
        <v>27842</v>
      </c>
      <c r="AR266" s="1" t="str">
        <f t="shared" si="19"/>
        <v>| [](.md) | [叠](叠.md) |  |  | 「疊」的異體字。 |</v>
      </c>
    </row>
    <row r="267" spans="1:44" hidden="1">
      <c r="A267" s="1" t="s">
        <v>28324</v>
      </c>
      <c r="C267" s="1">
        <v>1</v>
      </c>
      <c r="D267" s="1" t="str">
        <f>"02187-2"</f>
        <v>02187-2</v>
      </c>
      <c r="E267" s="1" t="s">
        <v>646</v>
      </c>
      <c r="F267" s="1">
        <v>19</v>
      </c>
      <c r="G267" s="1">
        <v>15</v>
      </c>
      <c r="H267" s="1">
        <v>0</v>
      </c>
      <c r="K267" s="1" t="str">
        <f t="shared" si="16"/>
        <v/>
      </c>
      <c r="L267" s="1" t="str">
        <f t="shared" si="17"/>
        <v/>
      </c>
      <c r="M267" s="1" t="str">
        <f t="shared" si="18"/>
        <v/>
      </c>
      <c r="P267" s="1" t="s">
        <v>20</v>
      </c>
      <c r="V267" s="1" t="s">
        <v>28323</v>
      </c>
      <c r="X267" s="1" t="s">
        <v>27842</v>
      </c>
      <c r="AR267" s="1" t="str">
        <f t="shared" si="19"/>
        <v>| [](.md) | [曡](曡.md) |  |  | 「疊」的異體字。 |</v>
      </c>
    </row>
    <row r="268" spans="1:44" hidden="1">
      <c r="A268" s="1" t="s">
        <v>28325</v>
      </c>
      <c r="C268" s="1">
        <v>1</v>
      </c>
      <c r="D268" s="1" t="str">
        <f>"02199-1"</f>
        <v>02199-1</v>
      </c>
      <c r="E268" s="1" t="s">
        <v>86</v>
      </c>
      <c r="F268" s="1">
        <v>18</v>
      </c>
      <c r="G268" s="1">
        <v>5</v>
      </c>
      <c r="H268" s="1">
        <v>0</v>
      </c>
      <c r="K268" s="1" t="str">
        <f t="shared" si="16"/>
        <v/>
      </c>
      <c r="L268" s="1" t="str">
        <f t="shared" si="17"/>
        <v/>
      </c>
      <c r="M268" s="1" t="str">
        <f t="shared" si="18"/>
        <v/>
      </c>
      <c r="P268" s="1" t="s">
        <v>20</v>
      </c>
      <c r="V268" s="1" t="s">
        <v>28326</v>
      </c>
      <c r="X268" s="1" t="s">
        <v>27842</v>
      </c>
      <c r="AR268" s="1" t="str">
        <f t="shared" si="19"/>
        <v>| [](.md) | [鼦](鼦.md) |  |  | 「貂」的異體字。 |</v>
      </c>
    </row>
    <row r="269" spans="1:44" hidden="1">
      <c r="A269" s="1" t="s">
        <v>28327</v>
      </c>
      <c r="C269" s="1">
        <v>1</v>
      </c>
      <c r="D269" s="1" t="str">
        <f>"02214-1"</f>
        <v>02214-1</v>
      </c>
      <c r="E269" s="1" t="s">
        <v>1663</v>
      </c>
      <c r="F269" s="1">
        <v>6</v>
      </c>
      <c r="G269" s="1">
        <v>5</v>
      </c>
      <c r="H269" s="1">
        <v>0</v>
      </c>
      <c r="K269" s="1" t="str">
        <f t="shared" si="16"/>
        <v/>
      </c>
      <c r="L269" s="1" t="str">
        <f t="shared" si="17"/>
        <v/>
      </c>
      <c r="M269" s="1" t="str">
        <f t="shared" si="18"/>
        <v/>
      </c>
      <c r="P269" s="1" t="s">
        <v>20</v>
      </c>
      <c r="V269" s="1" t="s">
        <v>28328</v>
      </c>
      <c r="X269" s="1" t="s">
        <v>27842</v>
      </c>
      <c r="AR269" s="1" t="str">
        <f t="shared" si="19"/>
        <v>| [](.md) | [丢](丢.md) |  |  | 「丟」的異體字。 |</v>
      </c>
    </row>
    <row r="270" spans="1:44" hidden="1">
      <c r="A270" s="1" t="s">
        <v>28329</v>
      </c>
      <c r="C270" s="1">
        <v>1</v>
      </c>
      <c r="D270" s="1" t="str">
        <f>"02220-1"</f>
        <v>02220-1</v>
      </c>
      <c r="E270" s="1" t="s">
        <v>114</v>
      </c>
      <c r="F270" s="1">
        <v>12</v>
      </c>
      <c r="G270" s="1">
        <v>10</v>
      </c>
      <c r="H270" s="1">
        <v>0</v>
      </c>
      <c r="K270" s="1" t="str">
        <f t="shared" si="16"/>
        <v/>
      </c>
      <c r="L270" s="1" t="str">
        <f t="shared" si="17"/>
        <v/>
      </c>
      <c r="M270" s="1" t="str">
        <f t="shared" si="18"/>
        <v/>
      </c>
      <c r="P270" s="1" t="s">
        <v>20</v>
      </c>
      <c r="V270" s="1" t="s">
        <v>28330</v>
      </c>
      <c r="X270" s="1" t="s">
        <v>27842</v>
      </c>
      <c r="AR270" s="1" t="str">
        <f t="shared" si="19"/>
        <v>| [](.md) | [󽆅](󽆅.md) |  |  | 「傎」的異體字。 |</v>
      </c>
    </row>
    <row r="271" spans="1:44" hidden="1">
      <c r="A271" s="1" t="s">
        <v>28331</v>
      </c>
      <c r="C271" s="1">
        <v>1</v>
      </c>
      <c r="D271" s="1" t="str">
        <f>"02231-1"</f>
        <v>02231-1</v>
      </c>
      <c r="E271" s="1" t="s">
        <v>563</v>
      </c>
      <c r="F271" s="1">
        <v>8</v>
      </c>
      <c r="G271" s="1">
        <v>5</v>
      </c>
      <c r="H271" s="1">
        <v>0</v>
      </c>
      <c r="K271" s="1" t="str">
        <f t="shared" si="16"/>
        <v/>
      </c>
      <c r="L271" s="1" t="str">
        <f t="shared" si="17"/>
        <v/>
      </c>
      <c r="M271" s="1" t="str">
        <f t="shared" si="18"/>
        <v/>
      </c>
      <c r="P271" s="1" t="s">
        <v>20</v>
      </c>
      <c r="V271" s="1" t="s">
        <v>28332</v>
      </c>
      <c r="X271" s="1" t="s">
        <v>27842</v>
      </c>
      <c r="AR271" s="1" t="str">
        <f t="shared" si="19"/>
        <v>| [](.md) | [奌](奌.md) |  |  | 「點」的異體字。 |</v>
      </c>
    </row>
    <row r="272" spans="1:44" hidden="1">
      <c r="A272" s="1" t="s">
        <v>28333</v>
      </c>
      <c r="C272" s="1">
        <v>1</v>
      </c>
      <c r="D272" s="1" t="str">
        <f>"02231-2"</f>
        <v>02231-2</v>
      </c>
      <c r="E272" s="1" t="s">
        <v>336</v>
      </c>
      <c r="F272" s="1">
        <v>9</v>
      </c>
      <c r="G272" s="1">
        <v>5</v>
      </c>
      <c r="H272" s="1">
        <v>0</v>
      </c>
      <c r="K272" s="1" t="str">
        <f t="shared" si="16"/>
        <v/>
      </c>
      <c r="L272" s="1" t="str">
        <f t="shared" si="17"/>
        <v/>
      </c>
      <c r="M272" s="1" t="str">
        <f t="shared" si="18"/>
        <v/>
      </c>
      <c r="P272" s="1" t="s">
        <v>20</v>
      </c>
      <c r="V272" s="1" t="s">
        <v>28332</v>
      </c>
      <c r="X272" s="1" t="s">
        <v>27842</v>
      </c>
      <c r="AR272" s="1" t="str">
        <f t="shared" si="19"/>
        <v>| [](.md) | [点](点.md) |  |  | 「點」的異體字。 |</v>
      </c>
    </row>
    <row r="273" spans="1:44" hidden="1">
      <c r="A273" s="1" t="s">
        <v>28334</v>
      </c>
      <c r="C273" s="1">
        <v>1</v>
      </c>
      <c r="D273" s="1" t="str">
        <f>"02244-1"</f>
        <v>02244-1</v>
      </c>
      <c r="E273" s="1" t="s">
        <v>3480</v>
      </c>
      <c r="F273" s="1">
        <v>5</v>
      </c>
      <c r="G273" s="1">
        <v>4</v>
      </c>
      <c r="H273" s="1">
        <v>0</v>
      </c>
      <c r="K273" s="1" t="str">
        <f t="shared" si="16"/>
        <v/>
      </c>
      <c r="L273" s="1" t="str">
        <f t="shared" si="17"/>
        <v/>
      </c>
      <c r="M273" s="1" t="str">
        <f t="shared" si="18"/>
        <v/>
      </c>
      <c r="P273" s="1" t="s">
        <v>20</v>
      </c>
      <c r="V273" s="1" t="s">
        <v>28335</v>
      </c>
      <c r="X273" s="1" t="s">
        <v>27842</v>
      </c>
      <c r="AR273" s="1" t="str">
        <f t="shared" si="19"/>
        <v>| [](.md) | [电](电.md) |  |  | 「電」的異體字。 |</v>
      </c>
    </row>
    <row r="274" spans="1:44" hidden="1">
      <c r="A274" s="1" t="s">
        <v>28336</v>
      </c>
      <c r="C274" s="1">
        <v>1</v>
      </c>
      <c r="D274" s="1" t="str">
        <f>"02253-1"</f>
        <v>02253-1</v>
      </c>
      <c r="E274" s="1" t="s">
        <v>234</v>
      </c>
      <c r="F274" s="1">
        <v>5</v>
      </c>
      <c r="G274" s="1">
        <v>2</v>
      </c>
      <c r="H274" s="1">
        <v>0</v>
      </c>
      <c r="K274" s="1" t="str">
        <f t="shared" si="16"/>
        <v/>
      </c>
      <c r="L274" s="1" t="str">
        <f t="shared" si="17"/>
        <v/>
      </c>
      <c r="M274" s="1" t="str">
        <f t="shared" si="18"/>
        <v/>
      </c>
      <c r="P274" s="1" t="s">
        <v>20</v>
      </c>
      <c r="V274" s="1" t="s">
        <v>28337</v>
      </c>
      <c r="X274" s="1" t="s">
        <v>27842</v>
      </c>
      <c r="AR274" s="1" t="str">
        <f t="shared" si="19"/>
        <v>| [](.md) | [㣔](㣔.md) |  |  | 「仃」的異體字。 |</v>
      </c>
    </row>
    <row r="275" spans="1:44" hidden="1">
      <c r="A275" s="1" t="s">
        <v>28338</v>
      </c>
      <c r="C275" s="1">
        <v>1</v>
      </c>
      <c r="D275" s="1" t="str">
        <f>"02264-1"</f>
        <v>02264-1</v>
      </c>
      <c r="E275" s="1" t="s">
        <v>624</v>
      </c>
      <c r="F275" s="1">
        <v>6</v>
      </c>
      <c r="G275" s="1">
        <v>3</v>
      </c>
      <c r="H275" s="1">
        <v>0</v>
      </c>
      <c r="K275" s="1" t="str">
        <f t="shared" si="16"/>
        <v/>
      </c>
      <c r="L275" s="1" t="str">
        <f t="shared" si="17"/>
        <v/>
      </c>
      <c r="M275" s="1" t="str">
        <f t="shared" si="18"/>
        <v/>
      </c>
      <c r="P275" s="1" t="s">
        <v>20</v>
      </c>
      <c r="V275" s="1" t="s">
        <v>28339</v>
      </c>
      <c r="X275" s="1" t="s">
        <v>27842</v>
      </c>
      <c r="AR275" s="1" t="str">
        <f t="shared" si="19"/>
        <v>| [](.md) | [㝎](㝎.md) |  |  | 「定」的異體字。 |</v>
      </c>
    </row>
    <row r="276" spans="1:44" hidden="1">
      <c r="A276" s="1" t="s">
        <v>28340</v>
      </c>
      <c r="C276" s="1">
        <v>1</v>
      </c>
      <c r="D276" s="1" t="str">
        <f>"02281-1"</f>
        <v>02281-1</v>
      </c>
      <c r="E276" s="1" t="s">
        <v>198</v>
      </c>
      <c r="F276" s="1">
        <v>9</v>
      </c>
      <c r="G276" s="1">
        <v>6</v>
      </c>
      <c r="H276" s="1">
        <v>0</v>
      </c>
      <c r="K276" s="1" t="str">
        <f t="shared" si="16"/>
        <v/>
      </c>
      <c r="L276" s="1" t="str">
        <f t="shared" si="17"/>
        <v/>
      </c>
      <c r="M276" s="1" t="str">
        <f t="shared" si="18"/>
        <v/>
      </c>
      <c r="P276" s="1" t="s">
        <v>20</v>
      </c>
      <c r="V276" s="1" t="s">
        <v>28341</v>
      </c>
      <c r="X276" s="1" t="s">
        <v>27842</v>
      </c>
      <c r="AR276" s="1" t="str">
        <f t="shared" si="19"/>
        <v>| [](.md) | [独](独.md) |  |  | 「獨」的異體字。 |</v>
      </c>
    </row>
    <row r="277" spans="1:44" hidden="1">
      <c r="A277" s="1" t="s">
        <v>28342</v>
      </c>
      <c r="C277" s="1">
        <v>1</v>
      </c>
      <c r="D277" s="1" t="str">
        <f>"02284-1"</f>
        <v>02284-1</v>
      </c>
      <c r="E277" s="1" t="s">
        <v>1381</v>
      </c>
      <c r="F277" s="1">
        <v>17</v>
      </c>
      <c r="G277" s="1">
        <v>15</v>
      </c>
      <c r="H277" s="1">
        <v>0</v>
      </c>
      <c r="K277" s="1" t="str">
        <f t="shared" si="16"/>
        <v/>
      </c>
      <c r="L277" s="1" t="str">
        <f t="shared" si="17"/>
        <v/>
      </c>
      <c r="M277" s="1" t="str">
        <f t="shared" si="18"/>
        <v/>
      </c>
      <c r="P277" s="1" t="s">
        <v>20</v>
      </c>
      <c r="V277" s="1" t="s">
        <v>28343</v>
      </c>
      <c r="X277" s="1" t="s">
        <v>27842</v>
      </c>
      <c r="AR277" s="1" t="str">
        <f t="shared" si="19"/>
        <v>| [](.md) | [凟](凟.md) |  |  | 「瀆」的異體字。 |</v>
      </c>
    </row>
    <row r="278" spans="1:44" hidden="1">
      <c r="A278" s="1" t="s">
        <v>28344</v>
      </c>
      <c r="C278" s="1">
        <v>1</v>
      </c>
      <c r="D278" s="1" t="str">
        <f>"02285-1"</f>
        <v>02285-1</v>
      </c>
      <c r="E278" s="1" t="s">
        <v>3892</v>
      </c>
      <c r="F278" s="1">
        <v>17</v>
      </c>
      <c r="G278" s="1">
        <v>15</v>
      </c>
      <c r="H278" s="1">
        <v>0</v>
      </c>
      <c r="K278" s="1" t="str">
        <f t="shared" si="16"/>
        <v/>
      </c>
      <c r="L278" s="1" t="str">
        <f t="shared" si="17"/>
        <v/>
      </c>
      <c r="M278" s="1" t="str">
        <f t="shared" si="18"/>
        <v/>
      </c>
      <c r="P278" s="1" t="s">
        <v>20</v>
      </c>
      <c r="V278" s="1" t="s">
        <v>28345</v>
      </c>
      <c r="X278" s="1" t="s">
        <v>27842</v>
      </c>
      <c r="AR278" s="1" t="str">
        <f t="shared" si="19"/>
        <v>| [](.md) | [匵](匵.md) |  |  | 「櫝」的異體字。 |</v>
      </c>
    </row>
    <row r="279" spans="1:44" hidden="1">
      <c r="A279" s="1" t="s">
        <v>28346</v>
      </c>
      <c r="C279" s="1">
        <v>1</v>
      </c>
      <c r="D279" s="1" t="str">
        <f>"02295-1"</f>
        <v>02295-1</v>
      </c>
      <c r="E279" s="1" t="s">
        <v>2233</v>
      </c>
      <c r="F279" s="1">
        <v>15</v>
      </c>
      <c r="G279" s="1">
        <v>8</v>
      </c>
      <c r="H279" s="1">
        <v>0</v>
      </c>
      <c r="K279" s="1" t="str">
        <f t="shared" si="16"/>
        <v/>
      </c>
      <c r="L279" s="1" t="str">
        <f t="shared" si="17"/>
        <v/>
      </c>
      <c r="M279" s="1" t="str">
        <f t="shared" si="18"/>
        <v/>
      </c>
      <c r="P279" s="1" t="s">
        <v>20</v>
      </c>
      <c r="V279" s="1" t="s">
        <v>28347</v>
      </c>
      <c r="X279" s="1" t="s">
        <v>27842</v>
      </c>
      <c r="AR279" s="1" t="str">
        <f t="shared" si="19"/>
        <v>| [](.md) | [覩](覩.md) |  |  | 「睹」的異體字。 |</v>
      </c>
    </row>
    <row r="280" spans="1:44" hidden="1">
      <c r="A280" s="1" t="s">
        <v>28348</v>
      </c>
      <c r="C280" s="1">
        <v>1</v>
      </c>
      <c r="D280" s="1" t="str">
        <f>"02301-1"</f>
        <v>02301-1</v>
      </c>
      <c r="E280" s="1" t="s">
        <v>534</v>
      </c>
      <c r="F280" s="1">
        <v>8</v>
      </c>
      <c r="G280" s="1">
        <v>5</v>
      </c>
      <c r="H280" s="1">
        <v>0</v>
      </c>
      <c r="K280" s="1" t="str">
        <f t="shared" si="16"/>
        <v/>
      </c>
      <c r="L280" s="1" t="str">
        <f t="shared" si="17"/>
        <v/>
      </c>
      <c r="M280" s="1" t="str">
        <f t="shared" si="18"/>
        <v/>
      </c>
      <c r="P280" s="1" t="s">
        <v>20</v>
      </c>
      <c r="V280" s="1" t="s">
        <v>28349</v>
      </c>
      <c r="X280" s="1" t="s">
        <v>27842</v>
      </c>
      <c r="AR280" s="1" t="str">
        <f t="shared" si="19"/>
        <v>| [](.md) | [妬](妬.md) |  |  | 「妒」的異體字。 |</v>
      </c>
    </row>
    <row r="281" spans="1:44" hidden="1">
      <c r="A281" s="1" t="s">
        <v>28350</v>
      </c>
      <c r="C281" s="1">
        <v>1</v>
      </c>
      <c r="D281" s="1" t="str">
        <f>"02307-1"</f>
        <v>02307-1</v>
      </c>
      <c r="E281" s="1" t="s">
        <v>679</v>
      </c>
      <c r="F281" s="1">
        <v>22</v>
      </c>
      <c r="G281" s="1">
        <v>16</v>
      </c>
      <c r="H281" s="1">
        <v>0</v>
      </c>
      <c r="K281" s="1" t="str">
        <f t="shared" si="16"/>
        <v/>
      </c>
      <c r="L281" s="1" t="str">
        <f t="shared" si="17"/>
        <v/>
      </c>
      <c r="M281" s="1" t="str">
        <f t="shared" si="18"/>
        <v/>
      </c>
      <c r="P281" s="1" t="s">
        <v>20</v>
      </c>
      <c r="V281" s="1" t="s">
        <v>28351</v>
      </c>
      <c r="X281" s="1" t="s">
        <v>27842</v>
      </c>
      <c r="AR281" s="1" t="str">
        <f t="shared" si="19"/>
        <v>| [](.md) | [蠧](蠧.md) |  |  | 「蠹」的異體字。 |</v>
      </c>
    </row>
    <row r="282" spans="1:44" hidden="1">
      <c r="A282" s="1" t="s">
        <v>28352</v>
      </c>
      <c r="C282" s="1">
        <v>1</v>
      </c>
      <c r="D282" s="1" t="str">
        <f>"02318-1"</f>
        <v>02318-1</v>
      </c>
      <c r="E282" s="1" t="s">
        <v>426</v>
      </c>
      <c r="F282" s="1">
        <v>11</v>
      </c>
      <c r="G282" s="1">
        <v>7</v>
      </c>
      <c r="H282" s="1">
        <v>0</v>
      </c>
      <c r="K282" s="1" t="str">
        <f t="shared" si="16"/>
        <v/>
      </c>
      <c r="L282" s="1" t="str">
        <f t="shared" si="17"/>
        <v/>
      </c>
      <c r="M282" s="1" t="str">
        <f t="shared" si="18"/>
        <v/>
      </c>
      <c r="P282" s="1" t="s">
        <v>20</v>
      </c>
      <c r="V282" s="1" t="s">
        <v>28353</v>
      </c>
      <c r="X282" s="1" t="s">
        <v>27842</v>
      </c>
      <c r="AR282" s="1" t="str">
        <f t="shared" si="19"/>
        <v>| [](.md) | [敓](敓.md) |  |  | 「奪」的異體字。 |</v>
      </c>
    </row>
    <row r="283" spans="1:44" hidden="1">
      <c r="A283" s="1" t="s">
        <v>28354</v>
      </c>
      <c r="C283" s="1">
        <v>1</v>
      </c>
      <c r="D283" s="1" t="str">
        <f>"02321-1"</f>
        <v>02321-1</v>
      </c>
      <c r="E283" s="1" t="s">
        <v>139</v>
      </c>
      <c r="F283" s="1">
        <v>6</v>
      </c>
      <c r="G283" s="1">
        <v>2</v>
      </c>
      <c r="H283" s="1">
        <v>0</v>
      </c>
      <c r="K283" s="1" t="str">
        <f t="shared" si="16"/>
        <v/>
      </c>
      <c r="L283" s="1" t="str">
        <f t="shared" si="17"/>
        <v/>
      </c>
      <c r="M283" s="1" t="str">
        <f t="shared" si="18"/>
        <v/>
      </c>
      <c r="P283" s="1" t="s">
        <v>20</v>
      </c>
      <c r="V283" s="1" t="s">
        <v>28355</v>
      </c>
      <c r="X283" s="1" t="s">
        <v>27842</v>
      </c>
      <c r="AR283" s="1" t="str">
        <f t="shared" si="19"/>
        <v>| [](.md) | [朶](朶.md) |  |  | 「朵」的異體字。 |</v>
      </c>
    </row>
    <row r="284" spans="1:44" hidden="1">
      <c r="A284" s="1" t="s">
        <v>28356</v>
      </c>
      <c r="C284" s="1">
        <v>1</v>
      </c>
      <c r="D284" s="1" t="str">
        <f>"02324-1"</f>
        <v>02324-1</v>
      </c>
      <c r="E284" s="1" t="s">
        <v>5692</v>
      </c>
      <c r="F284" s="1">
        <v>13</v>
      </c>
      <c r="G284" s="1">
        <v>6</v>
      </c>
      <c r="H284" s="1">
        <v>0</v>
      </c>
      <c r="K284" s="1" t="str">
        <f t="shared" si="16"/>
        <v/>
      </c>
      <c r="L284" s="1" t="str">
        <f t="shared" si="17"/>
        <v/>
      </c>
      <c r="M284" s="1" t="str">
        <f t="shared" si="18"/>
        <v/>
      </c>
      <c r="P284" s="1" t="s">
        <v>20</v>
      </c>
      <c r="V284" s="1" t="s">
        <v>28357</v>
      </c>
      <c r="X284" s="1" t="s">
        <v>27842</v>
      </c>
      <c r="AR284" s="1" t="str">
        <f t="shared" si="19"/>
        <v>| [](.md) | [躱](躱.md) |  |  | 「躲」的異體字。 |</v>
      </c>
    </row>
    <row r="285" spans="1:44" hidden="1">
      <c r="A285" s="1" t="s">
        <v>28358</v>
      </c>
      <c r="C285" s="1">
        <v>1</v>
      </c>
      <c r="D285" s="1" t="str">
        <f>"02324-2"</f>
        <v>02324-2</v>
      </c>
      <c r="E285" s="1" t="s">
        <v>5692</v>
      </c>
      <c r="F285" s="1">
        <v>19</v>
      </c>
      <c r="G285" s="1">
        <v>12</v>
      </c>
      <c r="H285" s="1">
        <v>0</v>
      </c>
      <c r="K285" s="1" t="str">
        <f t="shared" si="16"/>
        <v/>
      </c>
      <c r="L285" s="1" t="str">
        <f t="shared" si="17"/>
        <v/>
      </c>
      <c r="M285" s="1" t="str">
        <f t="shared" si="18"/>
        <v/>
      </c>
      <c r="P285" s="1" t="s">
        <v>20</v>
      </c>
      <c r="V285" s="1" t="s">
        <v>28357</v>
      </c>
      <c r="X285" s="1" t="s">
        <v>27842</v>
      </c>
      <c r="AR285" s="1" t="str">
        <f t="shared" si="19"/>
        <v>| [](.md) | [軃](軃.md) |  |  | 「躲」的異體字。 |</v>
      </c>
    </row>
    <row r="286" spans="1:44" hidden="1">
      <c r="A286" s="1" t="s">
        <v>28358</v>
      </c>
      <c r="C286" s="1">
        <v>1</v>
      </c>
      <c r="D286" s="1" t="str">
        <f>"02328-1"</f>
        <v>02328-1</v>
      </c>
      <c r="E286" s="1" t="s">
        <v>5692</v>
      </c>
      <c r="F286" s="1">
        <v>19</v>
      </c>
      <c r="G286" s="1">
        <v>12</v>
      </c>
      <c r="H286" s="1">
        <v>0</v>
      </c>
      <c r="K286" s="1" t="str">
        <f t="shared" si="16"/>
        <v/>
      </c>
      <c r="L286" s="1" t="str">
        <f t="shared" si="17"/>
        <v/>
      </c>
      <c r="M286" s="1" t="str">
        <f t="shared" si="18"/>
        <v/>
      </c>
      <c r="P286" s="1" t="s">
        <v>20</v>
      </c>
      <c r="V286" s="1" t="s">
        <v>28359</v>
      </c>
      <c r="X286" s="1" t="s">
        <v>27842</v>
      </c>
      <c r="AR286" s="1" t="str">
        <f t="shared" si="19"/>
        <v>| [](.md) | [軃](軃.md) |  |  | 「嚲」的異體字。 |</v>
      </c>
    </row>
    <row r="287" spans="1:44" hidden="1">
      <c r="A287" s="1" t="s">
        <v>6887</v>
      </c>
      <c r="C287" s="1">
        <v>1</v>
      </c>
      <c r="D287" s="1" t="str">
        <f>"02344-1"</f>
        <v>02344-1</v>
      </c>
      <c r="E287" s="1" t="s">
        <v>534</v>
      </c>
      <c r="F287" s="1">
        <v>12</v>
      </c>
      <c r="G287" s="1">
        <v>9</v>
      </c>
      <c r="H287" s="1">
        <v>0</v>
      </c>
      <c r="K287" s="1" t="str">
        <f t="shared" si="16"/>
        <v/>
      </c>
      <c r="L287" s="1" t="str">
        <f t="shared" si="17"/>
        <v/>
      </c>
      <c r="M287" s="1" t="str">
        <f t="shared" si="18"/>
        <v/>
      </c>
      <c r="P287" s="1" t="s">
        <v>20</v>
      </c>
      <c r="V287" s="1" t="s">
        <v>28360</v>
      </c>
      <c r="X287" s="1" t="s">
        <v>27842</v>
      </c>
      <c r="AR287" s="1" t="str">
        <f t="shared" si="19"/>
        <v>| [](.md) | [媠](媠.md) |  |  | 「惰」的異體字。 |</v>
      </c>
    </row>
    <row r="288" spans="1:44" hidden="1">
      <c r="A288" s="1" t="s">
        <v>28361</v>
      </c>
      <c r="C288" s="1">
        <v>1</v>
      </c>
      <c r="D288" s="1" t="str">
        <f>"02346-1"</f>
        <v>02346-1</v>
      </c>
      <c r="E288" s="1" t="s">
        <v>132</v>
      </c>
      <c r="F288" s="1">
        <v>12</v>
      </c>
      <c r="G288" s="1">
        <v>9</v>
      </c>
      <c r="H288" s="1">
        <v>0</v>
      </c>
      <c r="K288" s="1" t="str">
        <f t="shared" si="16"/>
        <v/>
      </c>
      <c r="L288" s="1" t="str">
        <f t="shared" si="17"/>
        <v/>
      </c>
      <c r="M288" s="1" t="str">
        <f t="shared" si="18"/>
        <v/>
      </c>
      <c r="P288" s="1" t="s">
        <v>20</v>
      </c>
      <c r="V288" s="1" t="s">
        <v>28362</v>
      </c>
      <c r="X288" s="1" t="s">
        <v>27842</v>
      </c>
      <c r="AR288" s="1" t="str">
        <f t="shared" si="19"/>
        <v>| [](.md) | [堕](堕.md) |  |  | 「墮」的異體字。 |</v>
      </c>
    </row>
    <row r="289" spans="1:44" hidden="1">
      <c r="A289" s="1" t="s">
        <v>28363</v>
      </c>
      <c r="C289" s="1">
        <v>1</v>
      </c>
      <c r="D289" s="1" t="str">
        <f>"02352-1"</f>
        <v>02352-1</v>
      </c>
      <c r="E289" s="1" t="s">
        <v>3581</v>
      </c>
      <c r="F289" s="1">
        <v>7</v>
      </c>
      <c r="G289" s="1">
        <v>5</v>
      </c>
      <c r="H289" s="1">
        <v>0</v>
      </c>
      <c r="K289" s="1" t="str">
        <f t="shared" si="16"/>
        <v/>
      </c>
      <c r="L289" s="1" t="str">
        <f t="shared" si="17"/>
        <v/>
      </c>
      <c r="M289" s="1" t="str">
        <f t="shared" si="18"/>
        <v/>
      </c>
      <c r="P289" s="1" t="s">
        <v>20</v>
      </c>
      <c r="V289" s="1" t="s">
        <v>28364</v>
      </c>
      <c r="X289" s="1" t="s">
        <v>27842</v>
      </c>
      <c r="AR289" s="1" t="str">
        <f t="shared" si="19"/>
        <v>| [](.md) | [兑](兑.md) |  |  | 「兌」的異體字。 |</v>
      </c>
    </row>
    <row r="290" spans="1:44" hidden="1">
      <c r="A290" s="1" t="s">
        <v>28365</v>
      </c>
      <c r="C290" s="1">
        <v>1</v>
      </c>
      <c r="D290" s="1" t="str">
        <f>"02358-1"</f>
        <v>02358-1</v>
      </c>
      <c r="E290" s="1" t="s">
        <v>1595</v>
      </c>
      <c r="F290" s="1">
        <v>5</v>
      </c>
      <c r="G290" s="1">
        <v>2</v>
      </c>
      <c r="H290" s="1">
        <v>0</v>
      </c>
      <c r="K290" s="1" t="str">
        <f t="shared" si="16"/>
        <v/>
      </c>
      <c r="L290" s="1" t="str">
        <f t="shared" si="17"/>
        <v/>
      </c>
      <c r="M290" s="1" t="str">
        <f t="shared" si="18"/>
        <v/>
      </c>
      <c r="P290" s="1" t="s">
        <v>20</v>
      </c>
      <c r="V290" s="1" t="s">
        <v>28366</v>
      </c>
      <c r="X290" s="1" t="s">
        <v>27842</v>
      </c>
      <c r="AR290" s="1" t="str">
        <f t="shared" si="19"/>
        <v>| [](.md) | [对](对.md) |  |  | 「對」的異體字。 |</v>
      </c>
    </row>
    <row r="291" spans="1:44" hidden="1">
      <c r="A291" s="1" t="s">
        <v>28367</v>
      </c>
      <c r="C291" s="1">
        <v>1</v>
      </c>
      <c r="D291" s="1" t="str">
        <f>"02369-1"</f>
        <v>02369-1</v>
      </c>
      <c r="E291" s="1" t="s">
        <v>336</v>
      </c>
      <c r="F291" s="1">
        <v>13</v>
      </c>
      <c r="G291" s="1">
        <v>9</v>
      </c>
      <c r="H291" s="1">
        <v>0</v>
      </c>
      <c r="K291" s="1" t="str">
        <f t="shared" si="16"/>
        <v/>
      </c>
      <c r="L291" s="1" t="str">
        <f t="shared" si="17"/>
        <v/>
      </c>
      <c r="M291" s="1" t="str">
        <f t="shared" si="18"/>
        <v/>
      </c>
      <c r="P291" s="1" t="s">
        <v>20</v>
      </c>
      <c r="V291" s="1" t="s">
        <v>28368</v>
      </c>
      <c r="X291" s="1" t="s">
        <v>27842</v>
      </c>
      <c r="AR291" s="1" t="str">
        <f t="shared" si="19"/>
        <v>| [](.md) | [煅](煅.md) |  |  | 「鍛」的異體字。 |</v>
      </c>
    </row>
    <row r="292" spans="1:44" hidden="1">
      <c r="A292" s="1" t="s">
        <v>28369</v>
      </c>
      <c r="C292" s="1">
        <v>1</v>
      </c>
      <c r="D292" s="1" t="str">
        <f>"02370-1"</f>
        <v>02370-1</v>
      </c>
      <c r="E292" s="1" t="s">
        <v>4517</v>
      </c>
      <c r="F292" s="1">
        <v>11</v>
      </c>
      <c r="G292" s="1">
        <v>7</v>
      </c>
      <c r="H292" s="1">
        <v>0</v>
      </c>
      <c r="K292" s="1" t="str">
        <f t="shared" si="16"/>
        <v/>
      </c>
      <c r="L292" s="1" t="str">
        <f t="shared" si="17"/>
        <v/>
      </c>
      <c r="M292" s="1" t="str">
        <f t="shared" si="18"/>
        <v/>
      </c>
      <c r="P292" s="1" t="s">
        <v>20</v>
      </c>
      <c r="V292" s="1" t="s">
        <v>28370</v>
      </c>
      <c r="X292" s="1" t="s">
        <v>27842</v>
      </c>
      <c r="AR292" s="1" t="str">
        <f t="shared" si="19"/>
        <v>| [](.md) | [断](断.md) |  |  | 「斷」的異體字。 |</v>
      </c>
    </row>
    <row r="293" spans="1:44" hidden="1">
      <c r="A293" s="1" t="s">
        <v>28371</v>
      </c>
      <c r="C293" s="1">
        <v>1</v>
      </c>
      <c r="D293" s="1" t="str">
        <f>"02373-1"</f>
        <v>02373-1</v>
      </c>
      <c r="E293" s="1" t="s">
        <v>426</v>
      </c>
      <c r="F293" s="1">
        <v>13</v>
      </c>
      <c r="G293" s="1">
        <v>9</v>
      </c>
      <c r="H293" s="1">
        <v>0</v>
      </c>
      <c r="K293" s="1" t="str">
        <f t="shared" si="16"/>
        <v/>
      </c>
      <c r="L293" s="1" t="str">
        <f t="shared" si="17"/>
        <v/>
      </c>
      <c r="M293" s="1" t="str">
        <f t="shared" si="18"/>
        <v/>
      </c>
      <c r="P293" s="1" t="s">
        <v>20</v>
      </c>
      <c r="V293" s="1" t="s">
        <v>28372</v>
      </c>
      <c r="X293" s="1" t="s">
        <v>27842</v>
      </c>
      <c r="AR293" s="1" t="str">
        <f t="shared" si="19"/>
        <v>| [](.md) | [㪟](㪟.md) |  |  | 「敦」的異體字。 |</v>
      </c>
    </row>
    <row r="294" spans="1:44" hidden="1">
      <c r="A294" s="1" t="s">
        <v>28373</v>
      </c>
      <c r="C294" s="1">
        <v>1</v>
      </c>
      <c r="D294" s="1" t="str">
        <f>"02374-1"</f>
        <v>02374-1</v>
      </c>
      <c r="E294" s="1" t="s">
        <v>132</v>
      </c>
      <c r="F294" s="1">
        <v>15</v>
      </c>
      <c r="G294" s="1">
        <v>12</v>
      </c>
      <c r="H294" s="1">
        <v>0</v>
      </c>
      <c r="K294" s="1" t="str">
        <f t="shared" si="16"/>
        <v/>
      </c>
      <c r="L294" s="1" t="str">
        <f t="shared" si="17"/>
        <v/>
      </c>
      <c r="M294" s="1" t="str">
        <f t="shared" si="18"/>
        <v/>
      </c>
      <c r="P294" s="1" t="s">
        <v>20</v>
      </c>
      <c r="V294" s="1" t="s">
        <v>28374</v>
      </c>
      <c r="X294" s="1" t="s">
        <v>27842</v>
      </c>
      <c r="AR294" s="1" t="str">
        <f t="shared" si="19"/>
        <v>| [](.md) | [墪](墪.md) |  |  | 「墩」的異體字。 |</v>
      </c>
    </row>
    <row r="295" spans="1:44" hidden="1">
      <c r="A295" s="1" t="s">
        <v>28375</v>
      </c>
      <c r="C295" s="1">
        <v>1</v>
      </c>
      <c r="D295" s="1" t="str">
        <f>"02390-1"</f>
        <v>02390-1</v>
      </c>
      <c r="E295" s="1" t="s">
        <v>1381</v>
      </c>
      <c r="F295" s="1">
        <v>5</v>
      </c>
      <c r="G295" s="1">
        <v>3</v>
      </c>
      <c r="H295" s="1">
        <v>0</v>
      </c>
      <c r="K295" s="1" t="str">
        <f t="shared" si="16"/>
        <v/>
      </c>
      <c r="L295" s="1" t="str">
        <f t="shared" si="17"/>
        <v/>
      </c>
      <c r="M295" s="1" t="str">
        <f t="shared" si="18"/>
        <v/>
      </c>
      <c r="P295" s="1" t="s">
        <v>20</v>
      </c>
      <c r="V295" s="1" t="s">
        <v>28376</v>
      </c>
      <c r="X295" s="1" t="s">
        <v>27842</v>
      </c>
      <c r="AR295" s="1" t="str">
        <f t="shared" si="19"/>
        <v>| [](.md) | [冬](冬.md) |  |  | 「冬」的異體字。 |</v>
      </c>
    </row>
    <row r="296" spans="1:44" hidden="1">
      <c r="A296" s="1" t="s">
        <v>28377</v>
      </c>
      <c r="C296" s="1">
        <v>1</v>
      </c>
      <c r="D296" s="1" t="str">
        <f>"02403-1"</f>
        <v>02403-1</v>
      </c>
      <c r="E296" s="1" t="s">
        <v>190</v>
      </c>
      <c r="F296" s="1">
        <v>9</v>
      </c>
      <c r="G296" s="1">
        <v>6</v>
      </c>
      <c r="H296" s="1">
        <v>0</v>
      </c>
      <c r="K296" s="1" t="str">
        <f t="shared" si="16"/>
        <v/>
      </c>
      <c r="L296" s="1" t="str">
        <f t="shared" si="17"/>
        <v/>
      </c>
      <c r="M296" s="1" t="str">
        <f t="shared" si="18"/>
        <v/>
      </c>
      <c r="P296" s="1" t="s">
        <v>20</v>
      </c>
      <c r="V296" s="1" t="s">
        <v>28378</v>
      </c>
      <c r="X296" s="1" t="s">
        <v>27842</v>
      </c>
      <c r="AR296" s="1" t="str">
        <f t="shared" si="19"/>
        <v>| [](.md) | [峝](峝.md) |  |  | 「峒」的異體字。 |</v>
      </c>
    </row>
    <row r="297" spans="1:44" hidden="1">
      <c r="A297" s="1" t="s">
        <v>28379</v>
      </c>
      <c r="C297" s="1">
        <v>1</v>
      </c>
      <c r="D297" s="1" t="str">
        <f>"02409-1"</f>
        <v>02409-1</v>
      </c>
      <c r="E297" s="1" t="s">
        <v>245</v>
      </c>
      <c r="F297" s="1">
        <v>6</v>
      </c>
      <c r="G297" s="1">
        <v>2</v>
      </c>
      <c r="H297" s="1">
        <v>0</v>
      </c>
      <c r="K297" s="1" t="str">
        <f t="shared" si="16"/>
        <v/>
      </c>
      <c r="L297" s="1" t="str">
        <f t="shared" si="17"/>
        <v/>
      </c>
      <c r="M297" s="1" t="str">
        <f t="shared" si="18"/>
        <v/>
      </c>
      <c r="P297" s="1" t="s">
        <v>20</v>
      </c>
      <c r="V297" s="1" t="s">
        <v>28380</v>
      </c>
      <c r="X297" s="1" t="s">
        <v>27842</v>
      </c>
      <c r="AR297" s="1" t="str">
        <f t="shared" si="19"/>
        <v>| [](.md) | [动](动.md) |  |  | 「動」的異體字。 |</v>
      </c>
    </row>
    <row r="298" spans="1:44" hidden="1">
      <c r="A298" s="1" t="s">
        <v>28381</v>
      </c>
      <c r="C298" s="1">
        <v>1</v>
      </c>
      <c r="D298" s="1" t="str">
        <f>"02411-1"</f>
        <v>02411-1</v>
      </c>
      <c r="E298" s="1" t="s">
        <v>624</v>
      </c>
      <c r="F298" s="1">
        <v>5</v>
      </c>
      <c r="G298" s="1">
        <v>2</v>
      </c>
      <c r="H298" s="1">
        <v>0</v>
      </c>
      <c r="K298" s="1" t="str">
        <f t="shared" si="16"/>
        <v/>
      </c>
      <c r="L298" s="1" t="str">
        <f t="shared" si="17"/>
        <v/>
      </c>
      <c r="M298" s="1" t="str">
        <f t="shared" si="18"/>
        <v/>
      </c>
      <c r="P298" s="1" t="s">
        <v>20</v>
      </c>
      <c r="V298" s="1" t="s">
        <v>28382</v>
      </c>
      <c r="X298" s="1" t="s">
        <v>27842</v>
      </c>
      <c r="AR298" s="1" t="str">
        <f t="shared" si="19"/>
        <v>| [](.md) | [󱗽](󱗽.md) |  |  | 「它」的異體字。 |</v>
      </c>
    </row>
    <row r="299" spans="1:44" hidden="1">
      <c r="A299" s="1" t="s">
        <v>28383</v>
      </c>
      <c r="C299" s="1">
        <v>1</v>
      </c>
      <c r="D299" s="1" t="str">
        <f>"02416-1"</f>
        <v>02416-1</v>
      </c>
      <c r="E299" s="1" t="s">
        <v>518</v>
      </c>
      <c r="F299" s="1">
        <v>9</v>
      </c>
      <c r="G299" s="1">
        <v>5</v>
      </c>
      <c r="H299" s="1">
        <v>0</v>
      </c>
      <c r="K299" s="1" t="str">
        <f t="shared" si="16"/>
        <v/>
      </c>
      <c r="L299" s="1" t="str">
        <f t="shared" si="17"/>
        <v/>
      </c>
      <c r="M299" s="1" t="str">
        <f t="shared" si="18"/>
        <v/>
      </c>
      <c r="P299" s="1" t="s">
        <v>20</v>
      </c>
      <c r="V299" s="1" t="s">
        <v>28384</v>
      </c>
      <c r="X299" s="1" t="s">
        <v>27842</v>
      </c>
      <c r="AR299" s="1" t="str">
        <f t="shared" si="19"/>
        <v>| [](.md) | [㸰](㸰.md) |  |  | 「牠」的異體字。 |</v>
      </c>
    </row>
    <row r="300" spans="1:44" hidden="1">
      <c r="A300" s="1" t="s">
        <v>28385</v>
      </c>
      <c r="C300" s="1">
        <v>1</v>
      </c>
      <c r="D300" s="1" t="str">
        <f>"02462-1"</f>
        <v>02462-1</v>
      </c>
      <c r="E300" s="1" t="s">
        <v>24</v>
      </c>
      <c r="F300" s="1">
        <v>17</v>
      </c>
      <c r="G300" s="1">
        <v>14</v>
      </c>
      <c r="H300" s="1">
        <v>0</v>
      </c>
      <c r="K300" s="1" t="str">
        <f t="shared" si="16"/>
        <v/>
      </c>
      <c r="L300" s="1" t="str">
        <f t="shared" si="17"/>
        <v/>
      </c>
      <c r="M300" s="1" t="str">
        <f t="shared" si="18"/>
        <v/>
      </c>
      <c r="P300" s="1" t="s">
        <v>20</v>
      </c>
      <c r="V300" s="1" t="s">
        <v>28386</v>
      </c>
      <c r="X300" s="1" t="s">
        <v>27842</v>
      </c>
      <c r="AR300" s="1" t="str">
        <f t="shared" si="19"/>
        <v>| [](.md) | [擡](擡.md) |  |  | 「抬」的異體字。 |</v>
      </c>
    </row>
    <row r="301" spans="1:44" hidden="1">
      <c r="A301" s="1" t="s">
        <v>6025</v>
      </c>
      <c r="C301" s="1">
        <v>1</v>
      </c>
      <c r="D301" s="1" t="str">
        <f>"02470-1"</f>
        <v>02470-1</v>
      </c>
      <c r="E301" s="1" t="s">
        <v>28</v>
      </c>
      <c r="F301" s="1">
        <v>5</v>
      </c>
      <c r="G301" s="1">
        <v>2</v>
      </c>
      <c r="H301" s="1">
        <v>0</v>
      </c>
      <c r="K301" s="1" t="str">
        <f t="shared" si="16"/>
        <v/>
      </c>
      <c r="L301" s="1" t="str">
        <f t="shared" si="17"/>
        <v/>
      </c>
      <c r="M301" s="1" t="str">
        <f t="shared" si="18"/>
        <v/>
      </c>
      <c r="P301" s="1" t="s">
        <v>20</v>
      </c>
      <c r="V301" s="1" t="s">
        <v>28387</v>
      </c>
      <c r="X301" s="1" t="s">
        <v>27842</v>
      </c>
      <c r="AR301" s="1" t="str">
        <f t="shared" si="19"/>
        <v>| [](.md) | [台](台.md) |  |  | 「臺」的異體字。 |</v>
      </c>
    </row>
    <row r="302" spans="1:44" hidden="1">
      <c r="A302" s="1" t="s">
        <v>28388</v>
      </c>
      <c r="C302" s="1">
        <v>1</v>
      </c>
      <c r="D302" s="1" t="str">
        <f>"02470-2"</f>
        <v>02470-2</v>
      </c>
      <c r="E302" s="1" t="s">
        <v>5320</v>
      </c>
      <c r="F302" s="1">
        <v>13</v>
      </c>
      <c r="G302" s="1">
        <v>7</v>
      </c>
      <c r="H302" s="1">
        <v>0</v>
      </c>
      <c r="K302" s="1" t="str">
        <f t="shared" si="16"/>
        <v/>
      </c>
      <c r="L302" s="1" t="str">
        <f t="shared" si="17"/>
        <v/>
      </c>
      <c r="M302" s="1" t="str">
        <f t="shared" si="18"/>
        <v/>
      </c>
      <c r="P302" s="1" t="s">
        <v>20</v>
      </c>
      <c r="V302" s="1" t="s">
        <v>28387</v>
      </c>
      <c r="X302" s="1" t="s">
        <v>27842</v>
      </c>
      <c r="AR302" s="1" t="str">
        <f t="shared" si="19"/>
        <v>| [](.md) | [䑓](䑓.md) |  |  | 「臺」的異體字。 |</v>
      </c>
    </row>
    <row r="303" spans="1:44" hidden="1">
      <c r="A303" s="1" t="s">
        <v>28389</v>
      </c>
      <c r="C303" s="1">
        <v>1</v>
      </c>
      <c r="D303" s="1" t="str">
        <f>"02473-1"</f>
        <v>02473-1</v>
      </c>
      <c r="E303" s="1" t="s">
        <v>139</v>
      </c>
      <c r="F303" s="1">
        <v>9</v>
      </c>
      <c r="G303" s="1">
        <v>5</v>
      </c>
      <c r="H303" s="1">
        <v>0</v>
      </c>
      <c r="K303" s="1" t="str">
        <f t="shared" si="16"/>
        <v/>
      </c>
      <c r="L303" s="1" t="str">
        <f t="shared" si="17"/>
        <v/>
      </c>
      <c r="M303" s="1" t="str">
        <f t="shared" si="18"/>
        <v/>
      </c>
      <c r="P303" s="1" t="s">
        <v>20</v>
      </c>
      <c r="V303" s="1" t="s">
        <v>28390</v>
      </c>
      <c r="X303" s="1" t="s">
        <v>27842</v>
      </c>
      <c r="AR303" s="1" t="str">
        <f t="shared" si="19"/>
        <v>| [](.md) | [枱](枱.md) |  |  | 「檯」的異體字。 |</v>
      </c>
    </row>
    <row r="304" spans="1:44" hidden="1">
      <c r="A304" s="1" t="s">
        <v>28391</v>
      </c>
      <c r="C304" s="1">
        <v>1</v>
      </c>
      <c r="D304" s="1" t="str">
        <f>"02477-1"</f>
        <v>02477-1</v>
      </c>
      <c r="E304" s="1" t="s">
        <v>250</v>
      </c>
      <c r="F304" s="1">
        <v>7</v>
      </c>
      <c r="G304" s="1">
        <v>4</v>
      </c>
      <c r="H304" s="1">
        <v>0</v>
      </c>
      <c r="K304" s="1" t="str">
        <f t="shared" si="16"/>
        <v/>
      </c>
      <c r="L304" s="1" t="str">
        <f t="shared" si="17"/>
        <v/>
      </c>
      <c r="M304" s="1" t="str">
        <f t="shared" si="18"/>
        <v/>
      </c>
      <c r="P304" s="1" t="s">
        <v>20</v>
      </c>
      <c r="V304" s="1" t="s">
        <v>28392</v>
      </c>
      <c r="X304" s="1" t="s">
        <v>27842</v>
      </c>
      <c r="AR304" s="1" t="str">
        <f t="shared" si="19"/>
        <v>| [](.md) | [忲](忲.md) |  |  | 「忕」的異體字。 |</v>
      </c>
    </row>
    <row r="305" spans="1:44" hidden="1">
      <c r="A305" s="1" t="s">
        <v>28393</v>
      </c>
      <c r="C305" s="1">
        <v>1</v>
      </c>
      <c r="D305" s="1" t="str">
        <f>"02494-1"</f>
        <v>02494-1</v>
      </c>
      <c r="E305" s="1" t="s">
        <v>725</v>
      </c>
      <c r="F305" s="1">
        <v>17</v>
      </c>
      <c r="G305" s="1">
        <v>11</v>
      </c>
      <c r="H305" s="1">
        <v>0</v>
      </c>
      <c r="K305" s="1" t="str">
        <f t="shared" si="16"/>
        <v/>
      </c>
      <c r="L305" s="1" t="str">
        <f t="shared" si="17"/>
        <v/>
      </c>
      <c r="M305" s="1" t="str">
        <f t="shared" si="18"/>
        <v/>
      </c>
      <c r="P305" s="1" t="s">
        <v>20</v>
      </c>
      <c r="V305" s="1" t="s">
        <v>28394</v>
      </c>
      <c r="X305" s="1" t="s">
        <v>27842</v>
      </c>
      <c r="AR305" s="1" t="str">
        <f t="shared" si="19"/>
        <v>| [](.md) | [縧](縧.md) |  |  | 「絛」的異體字。 |</v>
      </c>
    </row>
    <row r="306" spans="1:44" hidden="1">
      <c r="A306" s="1" t="s">
        <v>28395</v>
      </c>
      <c r="C306" s="1">
        <v>1</v>
      </c>
      <c r="D306" s="1" t="str">
        <f>"02495-1"</f>
        <v>02495-1</v>
      </c>
      <c r="E306" s="1" t="s">
        <v>129</v>
      </c>
      <c r="F306" s="1">
        <v>10</v>
      </c>
      <c r="G306" s="1">
        <v>7</v>
      </c>
      <c r="H306" s="1">
        <v>0</v>
      </c>
      <c r="K306" s="1" t="str">
        <f t="shared" si="16"/>
        <v/>
      </c>
      <c r="L306" s="1" t="str">
        <f t="shared" si="17"/>
        <v/>
      </c>
      <c r="M306" s="1" t="str">
        <f t="shared" si="18"/>
        <v/>
      </c>
      <c r="P306" s="1" t="s">
        <v>20</v>
      </c>
      <c r="V306" s="1" t="s">
        <v>28396</v>
      </c>
      <c r="X306" s="1" t="s">
        <v>27842</v>
      </c>
      <c r="AR306" s="1" t="str">
        <f t="shared" si="19"/>
        <v>| [](.md) | [涛](涛.md) |  |  | 「濤」的異體字。 |</v>
      </c>
    </row>
    <row r="307" spans="1:44" hidden="1">
      <c r="A307" s="1" t="s">
        <v>28397</v>
      </c>
      <c r="C307" s="1">
        <v>1</v>
      </c>
      <c r="D307" s="1" t="str">
        <f>"02508-1"</f>
        <v>02508-1</v>
      </c>
      <c r="E307" s="1" t="s">
        <v>96</v>
      </c>
      <c r="F307" s="1">
        <v>15</v>
      </c>
      <c r="G307" s="1">
        <v>6</v>
      </c>
      <c r="H307" s="1">
        <v>0</v>
      </c>
      <c r="K307" s="1" t="str">
        <f t="shared" si="16"/>
        <v/>
      </c>
      <c r="L307" s="1" t="str">
        <f t="shared" si="17"/>
        <v/>
      </c>
      <c r="M307" s="1" t="str">
        <f t="shared" si="18"/>
        <v/>
      </c>
      <c r="P307" s="1" t="s">
        <v>20</v>
      </c>
      <c r="V307" s="1" t="s">
        <v>28398</v>
      </c>
      <c r="X307" s="1" t="s">
        <v>27842</v>
      </c>
      <c r="AR307" s="1" t="str">
        <f t="shared" si="19"/>
        <v>| [](.md) | [鞉](鞉.md) |  |  | 「鞀」的異體字。 |</v>
      </c>
    </row>
    <row r="308" spans="1:44" hidden="1">
      <c r="A308" s="1" t="s">
        <v>28399</v>
      </c>
      <c r="C308" s="1">
        <v>1</v>
      </c>
      <c r="D308" s="1" t="str">
        <f>"02508-2"</f>
        <v>02508-2</v>
      </c>
      <c r="E308" s="1" t="s">
        <v>2154</v>
      </c>
      <c r="F308" s="1">
        <v>19</v>
      </c>
      <c r="G308" s="1">
        <v>6</v>
      </c>
      <c r="H308" s="1">
        <v>0</v>
      </c>
      <c r="K308" s="1" t="str">
        <f t="shared" si="16"/>
        <v/>
      </c>
      <c r="L308" s="1" t="str">
        <f t="shared" si="17"/>
        <v/>
      </c>
      <c r="M308" s="1" t="str">
        <f t="shared" si="18"/>
        <v/>
      </c>
      <c r="P308" s="1" t="s">
        <v>20</v>
      </c>
      <c r="V308" s="1" t="s">
        <v>28398</v>
      </c>
      <c r="X308" s="1" t="s">
        <v>27842</v>
      </c>
      <c r="AR308" s="1" t="str">
        <f t="shared" si="19"/>
        <v>| [](.md) | [𪔛](𪔛.md) |  |  | 「鞀」的異體字。 |</v>
      </c>
    </row>
    <row r="309" spans="1:44" hidden="1">
      <c r="A309" s="1" t="s">
        <v>28400</v>
      </c>
      <c r="C309" s="1">
        <v>1</v>
      </c>
      <c r="D309" s="1" t="str">
        <f>"02508-3"</f>
        <v>02508-3</v>
      </c>
      <c r="E309" s="1" t="s">
        <v>2154</v>
      </c>
      <c r="F309" s="1">
        <v>19</v>
      </c>
      <c r="G309" s="1">
        <v>6</v>
      </c>
      <c r="H309" s="1">
        <v>0</v>
      </c>
      <c r="K309" s="1" t="str">
        <f t="shared" si="16"/>
        <v/>
      </c>
      <c r="L309" s="1" t="str">
        <f t="shared" si="17"/>
        <v/>
      </c>
      <c r="M309" s="1" t="str">
        <f t="shared" si="18"/>
        <v/>
      </c>
      <c r="P309" s="1" t="s">
        <v>20</v>
      </c>
      <c r="V309" s="1" t="s">
        <v>28398</v>
      </c>
      <c r="X309" s="1" t="s">
        <v>27842</v>
      </c>
      <c r="AR309" s="1" t="str">
        <f t="shared" si="19"/>
        <v>| [](.md) | [鼗](鼗.md) |  |  | 「鞀」的異體字。 |</v>
      </c>
    </row>
    <row r="310" spans="1:44" hidden="1">
      <c r="A310" s="1" t="s">
        <v>28401</v>
      </c>
      <c r="C310" s="1">
        <v>1</v>
      </c>
      <c r="D310" s="1" t="str">
        <f>"02516-1"</f>
        <v>02516-1</v>
      </c>
      <c r="E310" s="1" t="s">
        <v>114</v>
      </c>
      <c r="F310" s="1">
        <v>11</v>
      </c>
      <c r="G310" s="1">
        <v>9</v>
      </c>
      <c r="H310" s="1">
        <v>0</v>
      </c>
      <c r="K310" s="1" t="str">
        <f t="shared" si="16"/>
        <v/>
      </c>
      <c r="L310" s="1" t="str">
        <f t="shared" si="17"/>
        <v/>
      </c>
      <c r="M310" s="1" t="str">
        <f t="shared" si="18"/>
        <v/>
      </c>
      <c r="P310" s="1" t="s">
        <v>20</v>
      </c>
      <c r="V310" s="1" t="s">
        <v>28402</v>
      </c>
      <c r="X310" s="1" t="s">
        <v>27842</v>
      </c>
      <c r="AR310" s="1" t="str">
        <f t="shared" si="19"/>
        <v>| [](.md) | [偸](偸.md) |  |  | 「偷」的異體字。 |</v>
      </c>
    </row>
    <row r="311" spans="1:44" hidden="1">
      <c r="A311" s="1" t="s">
        <v>28403</v>
      </c>
      <c r="C311" s="1">
        <v>1</v>
      </c>
      <c r="D311" s="1" t="str">
        <f>"02523-1"</f>
        <v>02523-1</v>
      </c>
      <c r="E311" s="1" t="s">
        <v>563</v>
      </c>
      <c r="F311" s="1">
        <v>5</v>
      </c>
      <c r="G311" s="1">
        <v>2</v>
      </c>
      <c r="H311" s="1">
        <v>0</v>
      </c>
      <c r="K311" s="1" t="str">
        <f t="shared" si="16"/>
        <v/>
      </c>
      <c r="L311" s="1" t="str">
        <f t="shared" si="17"/>
        <v/>
      </c>
      <c r="M311" s="1" t="str">
        <f t="shared" si="18"/>
        <v/>
      </c>
      <c r="P311" s="1" t="s">
        <v>20</v>
      </c>
      <c r="V311" s="1" t="s">
        <v>28404</v>
      </c>
      <c r="X311" s="1" t="s">
        <v>27842</v>
      </c>
      <c r="AR311" s="1" t="str">
        <f t="shared" si="19"/>
        <v>| [](.md) | [头](头.md) |  |  | 「頭」的異體字。 |</v>
      </c>
    </row>
    <row r="312" spans="1:44" hidden="1">
      <c r="A312" s="1" t="s">
        <v>28405</v>
      </c>
      <c r="C312" s="1">
        <v>1</v>
      </c>
      <c r="D312" s="1" t="str">
        <f>"02533-1"</f>
        <v>02533-1</v>
      </c>
      <c r="E312" s="1" t="s">
        <v>129</v>
      </c>
      <c r="F312" s="1">
        <v>13</v>
      </c>
      <c r="G312" s="1">
        <v>10</v>
      </c>
      <c r="H312" s="1">
        <v>0</v>
      </c>
      <c r="K312" s="1" t="str">
        <f t="shared" si="16"/>
        <v/>
      </c>
      <c r="L312" s="1" t="str">
        <f t="shared" si="17"/>
        <v/>
      </c>
      <c r="M312" s="1" t="str">
        <f t="shared" si="18"/>
        <v/>
      </c>
      <c r="P312" s="1" t="s">
        <v>20</v>
      </c>
      <c r="V312" s="1" t="s">
        <v>28406</v>
      </c>
      <c r="X312" s="1" t="s">
        <v>27842</v>
      </c>
      <c r="AR312" s="1" t="str">
        <f t="shared" si="19"/>
        <v>| [](.md) | [滩](滩.md) |  |  | 「灘」的異體字。 |</v>
      </c>
    </row>
    <row r="313" spans="1:44" hidden="1">
      <c r="A313" s="1" t="s">
        <v>28407</v>
      </c>
      <c r="C313" s="1">
        <v>1</v>
      </c>
      <c r="D313" s="1" t="str">
        <f>"02534-1"</f>
        <v>02534-1</v>
      </c>
      <c r="E313" s="1" t="s">
        <v>24</v>
      </c>
      <c r="F313" s="1">
        <v>13</v>
      </c>
      <c r="G313" s="1">
        <v>10</v>
      </c>
      <c r="H313" s="1">
        <v>0</v>
      </c>
      <c r="K313" s="1" t="str">
        <f t="shared" si="16"/>
        <v/>
      </c>
      <c r="L313" s="1" t="str">
        <f t="shared" si="17"/>
        <v/>
      </c>
      <c r="M313" s="1" t="str">
        <f t="shared" si="18"/>
        <v/>
      </c>
      <c r="P313" s="1" t="s">
        <v>20</v>
      </c>
      <c r="V313" s="1" t="s">
        <v>28408</v>
      </c>
      <c r="X313" s="1" t="s">
        <v>27842</v>
      </c>
      <c r="AR313" s="1" t="str">
        <f t="shared" si="19"/>
        <v>| [](.md) | [摊](摊.md) |  |  | 「攤」的異體字。 |</v>
      </c>
    </row>
    <row r="314" spans="1:44" hidden="1">
      <c r="A314" s="1" t="s">
        <v>28409</v>
      </c>
      <c r="C314" s="1">
        <v>1</v>
      </c>
      <c r="D314" s="1" t="str">
        <f>"02548-1"</f>
        <v>02548-1</v>
      </c>
      <c r="E314" s="1" t="s">
        <v>132</v>
      </c>
      <c r="F314" s="1">
        <v>19</v>
      </c>
      <c r="G314" s="1">
        <v>16</v>
      </c>
      <c r="H314" s="1">
        <v>0</v>
      </c>
      <c r="K314" s="1" t="str">
        <f t="shared" si="16"/>
        <v/>
      </c>
      <c r="L314" s="1" t="str">
        <f t="shared" si="17"/>
        <v/>
      </c>
      <c r="M314" s="1" t="str">
        <f t="shared" si="18"/>
        <v/>
      </c>
      <c r="P314" s="1" t="s">
        <v>20</v>
      </c>
      <c r="V314" s="1" t="s">
        <v>28410</v>
      </c>
      <c r="X314" s="1" t="s">
        <v>27842</v>
      </c>
      <c r="AR314" s="1" t="str">
        <f t="shared" si="19"/>
        <v>| [](.md) | [壜](壜.md) |  |  | 「罈」的異體字。 |</v>
      </c>
    </row>
    <row r="315" spans="1:44" hidden="1">
      <c r="A315" s="1" t="s">
        <v>28411</v>
      </c>
      <c r="C315" s="1">
        <v>1</v>
      </c>
      <c r="D315" s="1" t="str">
        <f>"02548-2"</f>
        <v>02548-2</v>
      </c>
      <c r="E315" s="1" t="s">
        <v>175</v>
      </c>
      <c r="F315" s="1">
        <v>22</v>
      </c>
      <c r="G315" s="1">
        <v>16</v>
      </c>
      <c r="H315" s="1">
        <v>0</v>
      </c>
      <c r="K315" s="1" t="str">
        <f t="shared" si="16"/>
        <v/>
      </c>
      <c r="L315" s="1" t="str">
        <f t="shared" si="17"/>
        <v/>
      </c>
      <c r="M315" s="1" t="str">
        <f t="shared" si="18"/>
        <v/>
      </c>
      <c r="P315" s="1" t="s">
        <v>20</v>
      </c>
      <c r="V315" s="1" t="s">
        <v>28410</v>
      </c>
      <c r="X315" s="1" t="s">
        <v>27842</v>
      </c>
      <c r="AR315" s="1" t="str">
        <f t="shared" si="19"/>
        <v>| [](.md) | [罎](罎.md) |  |  | 「罈」的異體字。 |</v>
      </c>
    </row>
    <row r="316" spans="1:44" hidden="1">
      <c r="A316" s="1" t="s">
        <v>28412</v>
      </c>
      <c r="C316" s="1">
        <v>1</v>
      </c>
      <c r="D316" s="1" t="str">
        <f>"02555-1"</f>
        <v>02555-1</v>
      </c>
      <c r="E316" s="1" t="s">
        <v>132</v>
      </c>
      <c r="F316" s="1">
        <v>7</v>
      </c>
      <c r="G316" s="1">
        <v>4</v>
      </c>
      <c r="H316" s="1">
        <v>0</v>
      </c>
      <c r="K316" s="1" t="str">
        <f t="shared" si="16"/>
        <v/>
      </c>
      <c r="L316" s="1" t="str">
        <f t="shared" si="17"/>
        <v/>
      </c>
      <c r="M316" s="1" t="str">
        <f t="shared" si="18"/>
        <v/>
      </c>
      <c r="P316" s="1" t="s">
        <v>20</v>
      </c>
      <c r="V316" s="1" t="s">
        <v>28413</v>
      </c>
      <c r="X316" s="1" t="s">
        <v>27842</v>
      </c>
      <c r="AR316" s="1" t="str">
        <f t="shared" si="19"/>
        <v>| [](.md) | [坛](坛.md) |  |  | 「壇」的異體字。 |</v>
      </c>
    </row>
    <row r="317" spans="1:44" hidden="1">
      <c r="A317" s="1" t="s">
        <v>28414</v>
      </c>
      <c r="C317" s="1">
        <v>1</v>
      </c>
      <c r="D317" s="1" t="str">
        <f>"02556-1"</f>
        <v>02556-1</v>
      </c>
      <c r="E317" s="1" t="s">
        <v>139</v>
      </c>
      <c r="F317" s="1">
        <v>8</v>
      </c>
      <c r="G317" s="1">
        <v>4</v>
      </c>
      <c r="H317" s="1">
        <v>0</v>
      </c>
      <c r="K317" s="1" t="str">
        <f t="shared" si="16"/>
        <v/>
      </c>
      <c r="L317" s="1" t="str">
        <f t="shared" si="17"/>
        <v/>
      </c>
      <c r="M317" s="1" t="str">
        <f t="shared" si="18"/>
        <v/>
      </c>
      <c r="P317" s="1" t="s">
        <v>20</v>
      </c>
      <c r="V317" s="1" t="s">
        <v>28415</v>
      </c>
      <c r="X317" s="1" t="s">
        <v>27842</v>
      </c>
      <c r="AR317" s="1" t="str">
        <f t="shared" si="19"/>
        <v>| [](.md) | [枟](枟.md) |  |  | 「檀」的異體字。 |</v>
      </c>
    </row>
    <row r="318" spans="1:44" hidden="1">
      <c r="A318" s="1" t="s">
        <v>18497</v>
      </c>
      <c r="C318" s="1">
        <v>1</v>
      </c>
      <c r="D318" s="1" t="str">
        <f>"02561-1"</f>
        <v>02561-1</v>
      </c>
      <c r="E318" s="1" t="s">
        <v>340</v>
      </c>
      <c r="F318" s="1">
        <v>19</v>
      </c>
      <c r="G318" s="1">
        <v>13</v>
      </c>
      <c r="H318" s="1">
        <v>0</v>
      </c>
      <c r="K318" s="1" t="str">
        <f t="shared" si="16"/>
        <v/>
      </c>
      <c r="L318" s="1" t="str">
        <f t="shared" si="17"/>
        <v/>
      </c>
      <c r="M318" s="1" t="str">
        <f t="shared" si="18"/>
        <v/>
      </c>
      <c r="P318" s="1" t="s">
        <v>20</v>
      </c>
      <c r="V318" s="1" t="s">
        <v>28416</v>
      </c>
      <c r="X318" s="1" t="s">
        <v>27842</v>
      </c>
      <c r="AR318" s="1" t="str">
        <f t="shared" si="19"/>
        <v>| [](.md) | [襢](襢.md) |  |  | 「袒」的異體字。 |</v>
      </c>
    </row>
    <row r="319" spans="1:44" hidden="1">
      <c r="A319" s="1" t="s">
        <v>28417</v>
      </c>
      <c r="C319" s="1">
        <v>1</v>
      </c>
      <c r="D319" s="1" t="str">
        <f>"02576-1"</f>
        <v>02576-1</v>
      </c>
      <c r="E319" s="1" t="s">
        <v>6303</v>
      </c>
      <c r="F319" s="1">
        <v>14</v>
      </c>
      <c r="G319" s="1">
        <v>8</v>
      </c>
      <c r="H319" s="1">
        <v>0</v>
      </c>
      <c r="K319" s="1" t="str">
        <f t="shared" si="16"/>
        <v/>
      </c>
      <c r="L319" s="1" t="str">
        <f t="shared" si="17"/>
        <v/>
      </c>
      <c r="M319" s="1" t="str">
        <f t="shared" si="18"/>
        <v/>
      </c>
      <c r="P319" s="1" t="s">
        <v>20</v>
      </c>
      <c r="V319" s="1" t="s">
        <v>28418</v>
      </c>
      <c r="X319" s="1" t="s">
        <v>27842</v>
      </c>
      <c r="AR319" s="1" t="str">
        <f t="shared" si="19"/>
        <v>| [](.md) | [𦧡](𦧡.md) |  |  | 「舕」的異體字。 |</v>
      </c>
    </row>
    <row r="320" spans="1:44" hidden="1">
      <c r="A320" s="1" t="s">
        <v>28419</v>
      </c>
      <c r="C320" s="1">
        <v>1</v>
      </c>
      <c r="D320" s="1" t="str">
        <f>"02576-2"</f>
        <v>02576-2</v>
      </c>
      <c r="E320" s="1" t="s">
        <v>679</v>
      </c>
      <c r="F320" s="1">
        <v>14</v>
      </c>
      <c r="G320" s="1">
        <v>8</v>
      </c>
      <c r="H320" s="1">
        <v>0</v>
      </c>
      <c r="K320" s="1" t="str">
        <f t="shared" si="16"/>
        <v/>
      </c>
      <c r="L320" s="1" t="str">
        <f t="shared" si="17"/>
        <v/>
      </c>
      <c r="M320" s="1" t="str">
        <f t="shared" si="18"/>
        <v/>
      </c>
      <c r="P320" s="1" t="s">
        <v>20</v>
      </c>
      <c r="V320" s="1" t="s">
        <v>28418</v>
      </c>
      <c r="X320" s="1" t="s">
        <v>27842</v>
      </c>
      <c r="AR320" s="1" t="str">
        <f t="shared" si="19"/>
        <v>| [](.md) | [䗊](䗊.md) |  |  | 「舕」的異體字。 |</v>
      </c>
    </row>
    <row r="321" spans="1:44" hidden="1">
      <c r="A321" s="1" t="s">
        <v>28420</v>
      </c>
      <c r="C321" s="1">
        <v>1</v>
      </c>
      <c r="D321" s="1" t="str">
        <f>"02582-1"</f>
        <v>02582-1</v>
      </c>
      <c r="E321" s="1" t="s">
        <v>28</v>
      </c>
      <c r="F321" s="1">
        <v>10</v>
      </c>
      <c r="G321" s="1">
        <v>7</v>
      </c>
      <c r="H321" s="1">
        <v>0</v>
      </c>
      <c r="K321" s="1" t="str">
        <f t="shared" si="16"/>
        <v/>
      </c>
      <c r="L321" s="1" t="str">
        <f t="shared" si="17"/>
        <v/>
      </c>
      <c r="M321" s="1" t="str">
        <f t="shared" si="18"/>
        <v/>
      </c>
      <c r="P321" s="1" t="s">
        <v>20</v>
      </c>
      <c r="V321" s="1" t="s">
        <v>28421</v>
      </c>
      <c r="X321" s="1" t="s">
        <v>27842</v>
      </c>
      <c r="AR321" s="1" t="str">
        <f t="shared" si="19"/>
        <v>| [](.md) | [唐](唐.md) |  |  | 「唐」的異體字。 |</v>
      </c>
    </row>
    <row r="322" spans="1:44" hidden="1">
      <c r="A322" s="1" t="s">
        <v>28422</v>
      </c>
      <c r="C322" s="1">
        <v>1</v>
      </c>
      <c r="D322" s="1" t="str">
        <f>"02589-1"</f>
        <v>02589-1</v>
      </c>
      <c r="E322" s="1" t="s">
        <v>193</v>
      </c>
      <c r="F322" s="1">
        <v>18</v>
      </c>
      <c r="G322" s="1">
        <v>10</v>
      </c>
      <c r="H322" s="1">
        <v>0</v>
      </c>
      <c r="K322" s="1" t="str">
        <f t="shared" ref="K322:K385" si="20">LEFT(I322, 1)</f>
        <v/>
      </c>
      <c r="L322" s="1" t="str">
        <f t="shared" ref="L322:L385" si="21">MID(I322, 2, 1)</f>
        <v/>
      </c>
      <c r="M322" s="1" t="str">
        <f t="shared" ref="M322:M385" si="22">MID(I322, 3, 1)</f>
        <v/>
      </c>
      <c r="P322" s="1" t="s">
        <v>20</v>
      </c>
      <c r="V322" s="1" t="s">
        <v>28423</v>
      </c>
      <c r="X322" s="1" t="s">
        <v>27842</v>
      </c>
      <c r="AR322" s="1" t="str">
        <f t="shared" si="19"/>
        <v>| [](.md) | [餹](餹.md) |  |  | 「糖」的異體字。 |</v>
      </c>
    </row>
    <row r="323" spans="1:44" hidden="1">
      <c r="A323" s="1" t="s">
        <v>28424</v>
      </c>
      <c r="C323" s="1">
        <v>1</v>
      </c>
      <c r="D323" s="1" t="str">
        <f>"02593-1"</f>
        <v>02593-1</v>
      </c>
      <c r="E323" s="1" t="s">
        <v>132</v>
      </c>
      <c r="F323" s="1">
        <v>8</v>
      </c>
      <c r="G323" s="1">
        <v>5</v>
      </c>
      <c r="H323" s="1">
        <v>0</v>
      </c>
      <c r="K323" s="1" t="str">
        <f t="shared" si="20"/>
        <v/>
      </c>
      <c r="L323" s="1" t="str">
        <f t="shared" si="21"/>
        <v/>
      </c>
      <c r="M323" s="1" t="str">
        <f t="shared" si="22"/>
        <v/>
      </c>
      <c r="P323" s="1" t="s">
        <v>20</v>
      </c>
      <c r="V323" s="1" t="s">
        <v>28425</v>
      </c>
      <c r="X323" s="1" t="s">
        <v>27842</v>
      </c>
      <c r="AR323" s="1" t="str">
        <f t="shared" ref="AR323:AR386" si="23">"| ["&amp;I323&amp;"]("&amp;I323&amp;".md) | ["&amp;A323&amp;"]("&amp;A323&amp;".md) | "&amp;" | "&amp;R323&amp;" | "&amp;V323&amp;" |"</f>
        <v>| [](.md) | [坣](坣.md) |  |  | 「堂」的異體字。 |</v>
      </c>
    </row>
    <row r="324" spans="1:44" hidden="1">
      <c r="A324" s="1" t="s">
        <v>28426</v>
      </c>
      <c r="C324" s="1">
        <v>1</v>
      </c>
      <c r="D324" s="1" t="str">
        <f>"02637-1"</f>
        <v>02637-1</v>
      </c>
      <c r="E324" s="1" t="s">
        <v>28</v>
      </c>
      <c r="F324" s="1">
        <v>13</v>
      </c>
      <c r="G324" s="1">
        <v>10</v>
      </c>
      <c r="H324" s="1">
        <v>0</v>
      </c>
      <c r="K324" s="1" t="str">
        <f t="shared" si="20"/>
        <v/>
      </c>
      <c r="L324" s="1" t="str">
        <f t="shared" si="21"/>
        <v/>
      </c>
      <c r="M324" s="1" t="str">
        <f t="shared" si="22"/>
        <v/>
      </c>
      <c r="P324" s="1" t="s">
        <v>20</v>
      </c>
      <c r="V324" s="1" t="s">
        <v>28427</v>
      </c>
      <c r="X324" s="1" t="s">
        <v>27842</v>
      </c>
      <c r="AR324" s="1" t="str">
        <f t="shared" si="23"/>
        <v>| [](.md) | [嗁](嗁.md) |  |  | 「啼」的異體字。 |</v>
      </c>
    </row>
    <row r="325" spans="1:44" hidden="1">
      <c r="A325" s="1" t="s">
        <v>28428</v>
      </c>
      <c r="C325" s="1">
        <v>1</v>
      </c>
      <c r="D325" s="1" t="str">
        <f>"02638-1"</f>
        <v>02638-1</v>
      </c>
      <c r="E325" s="1" t="s">
        <v>77</v>
      </c>
      <c r="F325" s="1">
        <v>17</v>
      </c>
      <c r="G325" s="1">
        <v>10</v>
      </c>
      <c r="H325" s="1">
        <v>0</v>
      </c>
      <c r="K325" s="1" t="str">
        <f t="shared" si="20"/>
        <v/>
      </c>
      <c r="L325" s="1" t="str">
        <f t="shared" si="21"/>
        <v/>
      </c>
      <c r="M325" s="1" t="str">
        <f t="shared" si="22"/>
        <v/>
      </c>
      <c r="P325" s="1" t="s">
        <v>20</v>
      </c>
      <c r="V325" s="1" t="s">
        <v>28429</v>
      </c>
      <c r="X325" s="1" t="s">
        <v>27842</v>
      </c>
      <c r="AR325" s="1" t="str">
        <f t="shared" si="23"/>
        <v>| [](.md) | [蹏](蹏.md) |  |  | 「蹄」的異體字。 |</v>
      </c>
    </row>
    <row r="326" spans="1:44" hidden="1">
      <c r="A326" s="1" t="s">
        <v>28430</v>
      </c>
      <c r="C326" s="1">
        <v>1</v>
      </c>
      <c r="D326" s="1" t="str">
        <f>"02643-1"</f>
        <v>02643-1</v>
      </c>
      <c r="E326" s="1" t="s">
        <v>114</v>
      </c>
      <c r="F326" s="1">
        <v>7</v>
      </c>
      <c r="G326" s="1">
        <v>5</v>
      </c>
      <c r="H326" s="1">
        <v>0</v>
      </c>
      <c r="K326" s="1" t="str">
        <f t="shared" si="20"/>
        <v/>
      </c>
      <c r="L326" s="1" t="str">
        <f t="shared" si="21"/>
        <v/>
      </c>
      <c r="M326" s="1" t="str">
        <f t="shared" si="22"/>
        <v/>
      </c>
      <c r="P326" s="1" t="s">
        <v>20</v>
      </c>
      <c r="V326" s="1" t="s">
        <v>28431</v>
      </c>
      <c r="X326" s="1" t="s">
        <v>27842</v>
      </c>
      <c r="AR326" s="1" t="str">
        <f t="shared" si="23"/>
        <v>| [](.md) | [体](体.md) |  |  | 「體」的異體字。 |</v>
      </c>
    </row>
    <row r="327" spans="1:44" hidden="1">
      <c r="A327" s="1" t="s">
        <v>28432</v>
      </c>
      <c r="C327" s="1">
        <v>1</v>
      </c>
      <c r="D327" s="1" t="str">
        <f>"02643-2"</f>
        <v>02643-2</v>
      </c>
      <c r="E327" s="1" t="s">
        <v>283</v>
      </c>
      <c r="F327" s="1">
        <v>15</v>
      </c>
      <c r="G327" s="1">
        <v>5</v>
      </c>
      <c r="H327" s="1">
        <v>0</v>
      </c>
      <c r="K327" s="1" t="str">
        <f t="shared" si="20"/>
        <v/>
      </c>
      <c r="L327" s="1" t="str">
        <f t="shared" si="21"/>
        <v/>
      </c>
      <c r="M327" s="1" t="str">
        <f t="shared" si="22"/>
        <v/>
      </c>
      <c r="P327" s="1" t="s">
        <v>20</v>
      </c>
      <c r="V327" s="1" t="s">
        <v>28431</v>
      </c>
      <c r="X327" s="1" t="s">
        <v>27842</v>
      </c>
      <c r="AR327" s="1" t="str">
        <f t="shared" si="23"/>
        <v>| [](.md) | [骵](骵.md) |  |  | 「體」的異體字。 |</v>
      </c>
    </row>
    <row r="328" spans="1:44" hidden="1">
      <c r="A328" s="1" t="s">
        <v>28433</v>
      </c>
      <c r="C328" s="1">
        <v>1</v>
      </c>
      <c r="D328" s="1" t="str">
        <f>"02643-3"</f>
        <v>02643-3</v>
      </c>
      <c r="E328" s="1" t="s">
        <v>5692</v>
      </c>
      <c r="F328" s="1">
        <v>12</v>
      </c>
      <c r="G328" s="1">
        <v>5</v>
      </c>
      <c r="H328" s="1">
        <v>0</v>
      </c>
      <c r="K328" s="1" t="str">
        <f t="shared" si="20"/>
        <v/>
      </c>
      <c r="L328" s="1" t="str">
        <f t="shared" si="21"/>
        <v/>
      </c>
      <c r="M328" s="1" t="str">
        <f t="shared" si="22"/>
        <v/>
      </c>
      <c r="P328" s="1" t="s">
        <v>20</v>
      </c>
      <c r="V328" s="1" t="s">
        <v>28431</v>
      </c>
      <c r="X328" s="1" t="s">
        <v>27842</v>
      </c>
      <c r="AR328" s="1" t="str">
        <f t="shared" si="23"/>
        <v>| [](.md) | [躰](躰.md) |  |  | 「體」的異體字。 |</v>
      </c>
    </row>
    <row r="329" spans="1:44" hidden="1">
      <c r="A329" s="1" t="s">
        <v>28434</v>
      </c>
      <c r="C329" s="1">
        <v>1</v>
      </c>
      <c r="D329" s="1" t="str">
        <f>"02643-4"</f>
        <v>02643-4</v>
      </c>
      <c r="E329" s="1" t="s">
        <v>5692</v>
      </c>
      <c r="F329" s="1">
        <v>20</v>
      </c>
      <c r="G329" s="1">
        <v>13</v>
      </c>
      <c r="H329" s="1">
        <v>0</v>
      </c>
      <c r="K329" s="1" t="str">
        <f t="shared" si="20"/>
        <v/>
      </c>
      <c r="L329" s="1" t="str">
        <f t="shared" si="21"/>
        <v/>
      </c>
      <c r="M329" s="1" t="str">
        <f t="shared" si="22"/>
        <v/>
      </c>
      <c r="P329" s="1" t="s">
        <v>20</v>
      </c>
      <c r="V329" s="1" t="s">
        <v>28431</v>
      </c>
      <c r="X329" s="1" t="s">
        <v>27842</v>
      </c>
      <c r="AR329" s="1" t="str">
        <f t="shared" si="23"/>
        <v>| [](.md) | [軆](軆.md) |  |  | 「體」的異體字。 |</v>
      </c>
    </row>
    <row r="330" spans="1:44" hidden="1">
      <c r="A330" s="1" t="s">
        <v>28435</v>
      </c>
      <c r="C330" s="1">
        <v>1</v>
      </c>
      <c r="D330" s="1" t="str">
        <f>"02645-1"</f>
        <v>02645-1</v>
      </c>
      <c r="E330" s="1" t="s">
        <v>1078</v>
      </c>
      <c r="F330" s="1">
        <v>17</v>
      </c>
      <c r="G330" s="1">
        <v>7</v>
      </c>
      <c r="H330" s="1">
        <v>0</v>
      </c>
      <c r="K330" s="1" t="str">
        <f t="shared" si="20"/>
        <v/>
      </c>
      <c r="L330" s="1" t="str">
        <f t="shared" si="21"/>
        <v/>
      </c>
      <c r="M330" s="1" t="str">
        <f t="shared" si="22"/>
        <v/>
      </c>
      <c r="P330" s="1" t="s">
        <v>20</v>
      </c>
      <c r="V330" s="1" t="s">
        <v>28436</v>
      </c>
      <c r="X330" s="1" t="s">
        <v>27842</v>
      </c>
      <c r="AR330" s="1" t="str">
        <f t="shared" si="23"/>
        <v>| [](.md) | [鬀](鬀.md) |  |  | 「剃」的異體字。 |</v>
      </c>
    </row>
    <row r="331" spans="1:44" hidden="1">
      <c r="A331" s="1" t="s">
        <v>20216</v>
      </c>
      <c r="C331" s="1">
        <v>1</v>
      </c>
      <c r="D331" s="1" t="str">
        <f>"02649-1"</f>
        <v>02649-1</v>
      </c>
      <c r="E331" s="1" t="s">
        <v>114</v>
      </c>
      <c r="F331" s="1">
        <v>10</v>
      </c>
      <c r="G331" s="1">
        <v>8</v>
      </c>
      <c r="H331" s="1">
        <v>0</v>
      </c>
      <c r="K331" s="1" t="str">
        <f t="shared" si="20"/>
        <v/>
      </c>
      <c r="L331" s="1" t="str">
        <f t="shared" si="21"/>
        <v/>
      </c>
      <c r="M331" s="1" t="str">
        <f t="shared" si="22"/>
        <v/>
      </c>
      <c r="P331" s="1" t="s">
        <v>20</v>
      </c>
      <c r="V331" s="1" t="s">
        <v>28437</v>
      </c>
      <c r="X331" s="1" t="s">
        <v>27842</v>
      </c>
      <c r="AR331" s="1" t="str">
        <f t="shared" si="23"/>
        <v>| [](.md) | [俶](俶.md) |  |  | 「倜」的異體字。 |</v>
      </c>
    </row>
    <row r="332" spans="1:44" hidden="1">
      <c r="A332" s="1" t="s">
        <v>28438</v>
      </c>
      <c r="C332" s="1">
        <v>1</v>
      </c>
      <c r="D332" s="1" t="str">
        <f>"02650-1"</f>
        <v>02650-1</v>
      </c>
      <c r="E332" s="1" t="s">
        <v>250</v>
      </c>
      <c r="F332" s="1">
        <v>12</v>
      </c>
      <c r="G332" s="1">
        <v>8</v>
      </c>
      <c r="H332" s="1">
        <v>0</v>
      </c>
      <c r="K332" s="1" t="str">
        <f t="shared" si="20"/>
        <v/>
      </c>
      <c r="L332" s="1" t="str">
        <f t="shared" si="21"/>
        <v/>
      </c>
      <c r="M332" s="1" t="str">
        <f t="shared" si="22"/>
        <v/>
      </c>
      <c r="P332" s="1" t="s">
        <v>20</v>
      </c>
      <c r="V332" s="1" t="s">
        <v>28439</v>
      </c>
      <c r="X332" s="1" t="s">
        <v>27842</v>
      </c>
      <c r="AR332" s="1" t="str">
        <f t="shared" si="23"/>
        <v>| [](.md) | [惖](惖.md) |  |  | 「惕」的異體字。 |</v>
      </c>
    </row>
    <row r="333" spans="1:44" hidden="1">
      <c r="A333" s="1" t="s">
        <v>28440</v>
      </c>
      <c r="C333" s="1">
        <v>1</v>
      </c>
      <c r="D333" s="1" t="str">
        <f>"02652-1"</f>
        <v>02652-1</v>
      </c>
      <c r="E333" s="1" t="s">
        <v>1078</v>
      </c>
      <c r="F333" s="1">
        <v>13</v>
      </c>
      <c r="G333" s="1">
        <v>3</v>
      </c>
      <c r="H333" s="1">
        <v>0</v>
      </c>
      <c r="K333" s="1" t="str">
        <f t="shared" si="20"/>
        <v/>
      </c>
      <c r="L333" s="1" t="str">
        <f t="shared" si="21"/>
        <v/>
      </c>
      <c r="M333" s="1" t="str">
        <f t="shared" si="22"/>
        <v/>
      </c>
      <c r="P333" s="1" t="s">
        <v>20</v>
      </c>
      <c r="V333" s="1" t="s">
        <v>28441</v>
      </c>
      <c r="X333" s="1" t="s">
        <v>27842</v>
      </c>
      <c r="AR333" s="1" t="str">
        <f t="shared" si="23"/>
        <v>| [](.md) | [髢](髢.md) |  |  | 「鬄」的異體字。 |</v>
      </c>
    </row>
    <row r="334" spans="1:44" hidden="1">
      <c r="A334" s="1" t="s">
        <v>28442</v>
      </c>
      <c r="C334" s="1">
        <v>1</v>
      </c>
      <c r="D334" s="1" t="str">
        <f>"02652-2"</f>
        <v>02652-2</v>
      </c>
      <c r="E334" s="1" t="s">
        <v>1078</v>
      </c>
      <c r="F334" s="1">
        <v>20</v>
      </c>
      <c r="G334" s="1">
        <v>10</v>
      </c>
      <c r="H334" s="1">
        <v>0</v>
      </c>
      <c r="K334" s="1" t="str">
        <f t="shared" si="20"/>
        <v/>
      </c>
      <c r="L334" s="1" t="str">
        <f t="shared" si="21"/>
        <v/>
      </c>
      <c r="M334" s="1" t="str">
        <f t="shared" si="22"/>
        <v/>
      </c>
      <c r="P334" s="1" t="s">
        <v>20</v>
      </c>
      <c r="V334" s="1" t="s">
        <v>28441</v>
      </c>
      <c r="X334" s="1" t="s">
        <v>27842</v>
      </c>
      <c r="AR334" s="1" t="str">
        <f t="shared" si="23"/>
        <v>| [](.md) | [𩮜](𩮜.md) |  |  | 「鬄」的異體字。 |</v>
      </c>
    </row>
    <row r="335" spans="1:44" hidden="1">
      <c r="A335" s="1" t="s">
        <v>28443</v>
      </c>
      <c r="C335" s="1">
        <v>1</v>
      </c>
      <c r="D335" s="1" t="str">
        <f>"02670-1"</f>
        <v>02670-1</v>
      </c>
      <c r="E335" s="1" t="s">
        <v>55</v>
      </c>
      <c r="F335" s="1">
        <v>13</v>
      </c>
      <c r="G335" s="1">
        <v>5</v>
      </c>
      <c r="H335" s="1">
        <v>0</v>
      </c>
      <c r="K335" s="1" t="str">
        <f t="shared" si="20"/>
        <v/>
      </c>
      <c r="L335" s="1" t="str">
        <f t="shared" si="21"/>
        <v/>
      </c>
      <c r="M335" s="1" t="str">
        <f t="shared" si="22"/>
        <v/>
      </c>
      <c r="P335" s="1" t="s">
        <v>20</v>
      </c>
      <c r="V335" s="1" t="s">
        <v>28444</v>
      </c>
      <c r="X335" s="1" t="s">
        <v>27842</v>
      </c>
      <c r="AR335" s="1" t="str">
        <f t="shared" si="23"/>
        <v>| [](.md) | [鉄](鉄.md) |  |  | 「鐵」的異體字。 |</v>
      </c>
    </row>
    <row r="336" spans="1:44" hidden="1">
      <c r="A336" s="1" t="s">
        <v>28445</v>
      </c>
      <c r="C336" s="1">
        <v>1</v>
      </c>
      <c r="D336" s="1" t="str">
        <f>"02670-2"</f>
        <v>02670-2</v>
      </c>
      <c r="E336" s="1" t="s">
        <v>55</v>
      </c>
      <c r="F336" s="1">
        <v>14</v>
      </c>
      <c r="G336" s="1">
        <v>6</v>
      </c>
      <c r="H336" s="1">
        <v>0</v>
      </c>
      <c r="K336" s="1" t="str">
        <f t="shared" si="20"/>
        <v/>
      </c>
      <c r="L336" s="1" t="str">
        <f t="shared" si="21"/>
        <v/>
      </c>
      <c r="M336" s="1" t="str">
        <f t="shared" si="22"/>
        <v/>
      </c>
      <c r="P336" s="1" t="s">
        <v>20</v>
      </c>
      <c r="V336" s="1" t="s">
        <v>28444</v>
      </c>
      <c r="X336" s="1" t="s">
        <v>27842</v>
      </c>
      <c r="AR336" s="1" t="str">
        <f t="shared" si="23"/>
        <v>| [](.md) | [銕](銕.md) |  |  | 「鐵」的異體字。 |</v>
      </c>
    </row>
    <row r="337" spans="1:44" hidden="1">
      <c r="A337" s="1" t="s">
        <v>28446</v>
      </c>
      <c r="C337" s="1">
        <v>1</v>
      </c>
      <c r="D337" s="1" t="str">
        <f>"02670-3"</f>
        <v>02670-3</v>
      </c>
      <c r="E337" s="1" t="s">
        <v>55</v>
      </c>
      <c r="F337" s="1">
        <v>22</v>
      </c>
      <c r="G337" s="1">
        <v>14</v>
      </c>
      <c r="H337" s="1">
        <v>0</v>
      </c>
      <c r="K337" s="1" t="str">
        <f t="shared" si="20"/>
        <v/>
      </c>
      <c r="L337" s="1" t="str">
        <f t="shared" si="21"/>
        <v/>
      </c>
      <c r="M337" s="1" t="str">
        <f t="shared" si="22"/>
        <v/>
      </c>
      <c r="P337" s="1" t="s">
        <v>20</v>
      </c>
      <c r="V337" s="1" t="s">
        <v>28444</v>
      </c>
      <c r="X337" s="1" t="s">
        <v>27842</v>
      </c>
      <c r="AR337" s="1" t="str">
        <f t="shared" si="23"/>
        <v>| [](.md) | [䥫](䥫.md) |  |  | 「鐵」的異體字。 |</v>
      </c>
    </row>
    <row r="338" spans="1:44" hidden="1">
      <c r="A338" s="1" t="s">
        <v>28447</v>
      </c>
      <c r="C338" s="1">
        <v>1</v>
      </c>
      <c r="D338" s="1" t="str">
        <f>"02679-1"</f>
        <v>02679-1</v>
      </c>
      <c r="E338" s="1" t="s">
        <v>190</v>
      </c>
      <c r="F338" s="1">
        <v>8</v>
      </c>
      <c r="G338" s="1">
        <v>5</v>
      </c>
      <c r="H338" s="1">
        <v>0</v>
      </c>
      <c r="K338" s="1" t="str">
        <f t="shared" si="20"/>
        <v/>
      </c>
      <c r="L338" s="1" t="str">
        <f t="shared" si="21"/>
        <v/>
      </c>
      <c r="M338" s="1" t="str">
        <f t="shared" si="22"/>
        <v/>
      </c>
      <c r="P338" s="1" t="s">
        <v>20</v>
      </c>
      <c r="V338" s="1" t="s">
        <v>28448</v>
      </c>
      <c r="X338" s="1" t="s">
        <v>27842</v>
      </c>
      <c r="AR338" s="1" t="str">
        <f t="shared" si="23"/>
        <v>| [](.md) | [岹](岹.md) |  |  | 「岧」的異體字。 |</v>
      </c>
    </row>
    <row r="339" spans="1:44" hidden="1">
      <c r="A339" s="1" t="s">
        <v>28449</v>
      </c>
      <c r="C339" s="1">
        <v>1</v>
      </c>
      <c r="D339" s="1" t="str">
        <f>"02690-1"</f>
        <v>02690-1</v>
      </c>
      <c r="E339" s="1" t="s">
        <v>96</v>
      </c>
      <c r="F339" s="1">
        <v>16</v>
      </c>
      <c r="G339" s="1">
        <v>7</v>
      </c>
      <c r="H339" s="1">
        <v>0</v>
      </c>
      <c r="K339" s="1" t="str">
        <f t="shared" si="20"/>
        <v/>
      </c>
      <c r="L339" s="1" t="str">
        <f t="shared" si="21"/>
        <v/>
      </c>
      <c r="M339" s="1" t="str">
        <f t="shared" si="22"/>
        <v/>
      </c>
      <c r="P339" s="1" t="s">
        <v>20</v>
      </c>
      <c r="V339" s="1" t="s">
        <v>28450</v>
      </c>
      <c r="X339" s="1" t="s">
        <v>27842</v>
      </c>
      <c r="AR339" s="1" t="str">
        <f t="shared" si="23"/>
        <v>| [](.md) | [䩦](䩦.md) |  |  | 「鞗」的異體字。 |</v>
      </c>
    </row>
    <row r="340" spans="1:44" hidden="1">
      <c r="A340" s="1" t="s">
        <v>28451</v>
      </c>
      <c r="C340" s="1">
        <v>1</v>
      </c>
      <c r="D340" s="1" t="str">
        <f>"02700-1"</f>
        <v>02700-1</v>
      </c>
      <c r="E340" s="1" t="s">
        <v>46</v>
      </c>
      <c r="F340" s="1">
        <v>11</v>
      </c>
      <c r="G340" s="1">
        <v>5</v>
      </c>
      <c r="H340" s="1">
        <v>0</v>
      </c>
      <c r="K340" s="1" t="str">
        <f t="shared" si="20"/>
        <v/>
      </c>
      <c r="L340" s="1" t="str">
        <f t="shared" si="21"/>
        <v/>
      </c>
      <c r="M340" s="1" t="str">
        <f t="shared" si="22"/>
        <v/>
      </c>
      <c r="P340" s="1" t="s">
        <v>20</v>
      </c>
      <c r="V340" s="1" t="s">
        <v>28452</v>
      </c>
      <c r="X340" s="1" t="s">
        <v>27842</v>
      </c>
      <c r="AR340" s="1" t="str">
        <f t="shared" si="23"/>
        <v>| [](.md) | [粜](粜.md) |  |  | 「糶」的異體字。 |</v>
      </c>
    </row>
    <row r="341" spans="1:44" hidden="1">
      <c r="A341" s="1" t="s">
        <v>28453</v>
      </c>
      <c r="C341" s="1">
        <v>1</v>
      </c>
      <c r="D341" s="1" t="str">
        <f>"02701-1"</f>
        <v>02701-1</v>
      </c>
      <c r="E341" s="1" t="s">
        <v>5514</v>
      </c>
      <c r="F341" s="1">
        <v>18</v>
      </c>
      <c r="G341" s="1">
        <v>10</v>
      </c>
      <c r="H341" s="1">
        <v>0</v>
      </c>
      <c r="K341" s="1" t="str">
        <f t="shared" si="20"/>
        <v/>
      </c>
      <c r="L341" s="1" t="str">
        <f t="shared" si="21"/>
        <v/>
      </c>
      <c r="M341" s="1" t="str">
        <f t="shared" si="22"/>
        <v/>
      </c>
      <c r="P341" s="1" t="s">
        <v>20</v>
      </c>
      <c r="V341" s="1" t="s">
        <v>28454</v>
      </c>
      <c r="X341" s="1" t="s">
        <v>27842</v>
      </c>
      <c r="AR341" s="1" t="str">
        <f t="shared" si="23"/>
        <v>| [](.md) | [靝](靝.md) |  |  | 「天」的異體字。 |</v>
      </c>
    </row>
    <row r="342" spans="1:44" hidden="1">
      <c r="A342" s="1" t="s">
        <v>28455</v>
      </c>
      <c r="C342" s="1">
        <v>1</v>
      </c>
      <c r="D342" s="1" t="str">
        <f>"02710-1"</f>
        <v>02710-1</v>
      </c>
      <c r="E342" s="1" t="s">
        <v>6621</v>
      </c>
      <c r="F342" s="1">
        <v>11</v>
      </c>
      <c r="G342" s="1">
        <v>6</v>
      </c>
      <c r="H342" s="1">
        <v>0</v>
      </c>
      <c r="K342" s="1" t="str">
        <f t="shared" si="20"/>
        <v/>
      </c>
      <c r="L342" s="1" t="str">
        <f t="shared" si="21"/>
        <v/>
      </c>
      <c r="M342" s="1" t="str">
        <f t="shared" si="22"/>
        <v/>
      </c>
      <c r="P342" s="1" t="s">
        <v>20</v>
      </c>
      <c r="V342" s="1" t="s">
        <v>28456</v>
      </c>
      <c r="X342" s="1" t="s">
        <v>27842</v>
      </c>
      <c r="AR342" s="1" t="str">
        <f t="shared" si="23"/>
        <v>| [](.md) | [甛](甛.md) |  |  | 「甜」的異體字。 |</v>
      </c>
    </row>
    <row r="343" spans="1:44" hidden="1">
      <c r="A343" s="1" t="s">
        <v>28457</v>
      </c>
      <c r="C343" s="1">
        <v>1</v>
      </c>
      <c r="D343" s="1" t="str">
        <f>"02712-1"</f>
        <v>02712-1</v>
      </c>
      <c r="E343" s="1" t="s">
        <v>132</v>
      </c>
      <c r="F343" s="1">
        <v>13</v>
      </c>
      <c r="G343" s="1">
        <v>10</v>
      </c>
      <c r="H343" s="1">
        <v>0</v>
      </c>
      <c r="K343" s="1" t="str">
        <f t="shared" si="20"/>
        <v/>
      </c>
      <c r="L343" s="1" t="str">
        <f t="shared" si="21"/>
        <v/>
      </c>
      <c r="M343" s="1" t="str">
        <f t="shared" si="22"/>
        <v/>
      </c>
      <c r="P343" s="1" t="s">
        <v>20</v>
      </c>
      <c r="V343" s="1" t="s">
        <v>28458</v>
      </c>
      <c r="X343" s="1" t="s">
        <v>27842</v>
      </c>
      <c r="AR343" s="1" t="str">
        <f t="shared" si="23"/>
        <v>| [](.md) | [塡](塡.md) |  |  | 「填」的異體字。 |</v>
      </c>
    </row>
    <row r="344" spans="1:44" hidden="1">
      <c r="A344" s="1" t="s">
        <v>28459</v>
      </c>
      <c r="C344" s="1">
        <v>1</v>
      </c>
      <c r="D344" s="1" t="str">
        <f>"02714-1"</f>
        <v>02714-1</v>
      </c>
      <c r="E344" s="1" t="s">
        <v>169</v>
      </c>
      <c r="F344" s="1">
        <v>15</v>
      </c>
      <c r="G344" s="1">
        <v>10</v>
      </c>
      <c r="H344" s="1">
        <v>0</v>
      </c>
      <c r="K344" s="1" t="str">
        <f t="shared" si="20"/>
        <v/>
      </c>
      <c r="L344" s="1" t="str">
        <f t="shared" si="21"/>
        <v/>
      </c>
      <c r="M344" s="1" t="str">
        <f t="shared" si="22"/>
        <v/>
      </c>
      <c r="P344" s="1" t="s">
        <v>20</v>
      </c>
      <c r="V344" s="1" t="s">
        <v>28460</v>
      </c>
      <c r="X344" s="1" t="s">
        <v>27842</v>
      </c>
      <c r="AR344" s="1" t="str">
        <f t="shared" si="23"/>
        <v>| [](.md) | [󸊍](󸊍.md) |  |  | 「磌」的異體字。 |</v>
      </c>
    </row>
    <row r="345" spans="1:44" hidden="1">
      <c r="A345" s="1" t="s">
        <v>28461</v>
      </c>
      <c r="C345" s="1">
        <v>1</v>
      </c>
      <c r="D345" s="1" t="str">
        <f>"02717-1"</f>
        <v>02717-1</v>
      </c>
      <c r="E345" s="1" t="s">
        <v>6303</v>
      </c>
      <c r="F345" s="1">
        <v>10</v>
      </c>
      <c r="G345" s="1">
        <v>4</v>
      </c>
      <c r="H345" s="1">
        <v>0</v>
      </c>
      <c r="K345" s="1" t="str">
        <f t="shared" si="20"/>
        <v/>
      </c>
      <c r="L345" s="1" t="str">
        <f t="shared" si="21"/>
        <v/>
      </c>
      <c r="M345" s="1" t="str">
        <f t="shared" si="22"/>
        <v/>
      </c>
      <c r="P345" s="1" t="s">
        <v>20</v>
      </c>
      <c r="V345" s="1" t="s">
        <v>28462</v>
      </c>
      <c r="X345" s="1" t="s">
        <v>27842</v>
      </c>
      <c r="AR345" s="1" t="str">
        <f t="shared" si="23"/>
        <v>| [](.md) | [䑙](䑙.md) |  |  | 「舔」的異體字。 |</v>
      </c>
    </row>
    <row r="346" spans="1:44" hidden="1">
      <c r="A346" s="1" t="s">
        <v>28463</v>
      </c>
      <c r="C346" s="1">
        <v>1</v>
      </c>
      <c r="D346" s="1" t="str">
        <f>"02724-1"</f>
        <v>02724-1</v>
      </c>
      <c r="E346" s="1" t="s">
        <v>2233</v>
      </c>
      <c r="F346" s="1">
        <v>15</v>
      </c>
      <c r="G346" s="1">
        <v>8</v>
      </c>
      <c r="H346" s="1">
        <v>0</v>
      </c>
      <c r="K346" s="1" t="str">
        <f t="shared" si="20"/>
        <v/>
      </c>
      <c r="L346" s="1" t="str">
        <f t="shared" si="21"/>
        <v/>
      </c>
      <c r="M346" s="1" t="str">
        <f t="shared" si="22"/>
        <v/>
      </c>
      <c r="P346" s="1" t="s">
        <v>20</v>
      </c>
      <c r="V346" s="1" t="s">
        <v>28464</v>
      </c>
      <c r="X346" s="1" t="s">
        <v>27842</v>
      </c>
      <c r="AR346" s="1" t="str">
        <f t="shared" si="23"/>
        <v>| [](.md) | [覥](覥.md) |  |  | 「靦」的異體字。 |</v>
      </c>
    </row>
    <row r="347" spans="1:44" hidden="1">
      <c r="A347" s="1" t="s">
        <v>28465</v>
      </c>
      <c r="C347" s="1">
        <v>1</v>
      </c>
      <c r="D347" s="1" t="str">
        <f>"02726-1"</f>
        <v>02726-1</v>
      </c>
      <c r="E347" s="1" t="s">
        <v>679</v>
      </c>
      <c r="F347" s="1">
        <v>10</v>
      </c>
      <c r="G347" s="1">
        <v>4</v>
      </c>
      <c r="H347" s="1">
        <v>0</v>
      </c>
      <c r="K347" s="1" t="str">
        <f t="shared" si="20"/>
        <v/>
      </c>
      <c r="L347" s="1" t="str">
        <f t="shared" si="21"/>
        <v/>
      </c>
      <c r="M347" s="1" t="str">
        <f t="shared" si="22"/>
        <v/>
      </c>
      <c r="P347" s="1" t="s">
        <v>20</v>
      </c>
      <c r="V347" s="1" t="s">
        <v>28466</v>
      </c>
      <c r="X347" s="1" t="s">
        <v>27842</v>
      </c>
      <c r="AR347" s="1" t="str">
        <f t="shared" si="23"/>
        <v>| [](.md) | [蚦](蚦.md) |  |  | 「蚺」的異體字。 |</v>
      </c>
    </row>
    <row r="348" spans="1:44" hidden="1">
      <c r="A348" s="1" t="s">
        <v>28467</v>
      </c>
      <c r="C348" s="1">
        <v>1</v>
      </c>
      <c r="D348" s="1" t="str">
        <f>"02727-1"</f>
        <v>02727-1</v>
      </c>
      <c r="E348" s="1" t="s">
        <v>142</v>
      </c>
      <c r="F348" s="1">
        <v>14</v>
      </c>
      <c r="G348" s="1">
        <v>10</v>
      </c>
      <c r="H348" s="1">
        <v>0</v>
      </c>
      <c r="K348" s="1" t="str">
        <f t="shared" si="20"/>
        <v/>
      </c>
      <c r="L348" s="1" t="str">
        <f t="shared" si="21"/>
        <v/>
      </c>
      <c r="M348" s="1" t="str">
        <f t="shared" si="22"/>
        <v/>
      </c>
      <c r="P348" s="1" t="s">
        <v>20</v>
      </c>
      <c r="V348" s="1" t="s">
        <v>28468</v>
      </c>
      <c r="X348" s="1" t="s">
        <v>27842</v>
      </c>
      <c r="AR348" s="1" t="str">
        <f t="shared" si="23"/>
        <v>| [](.md) | [󻕸](󻕸.md) |  |  | 「瑱」的異體字。 |</v>
      </c>
    </row>
    <row r="349" spans="1:44" hidden="1">
      <c r="A349" s="1" t="s">
        <v>26097</v>
      </c>
      <c r="C349" s="1">
        <v>1</v>
      </c>
      <c r="D349" s="1" t="str">
        <f>"02734-1"</f>
        <v>02734-1</v>
      </c>
      <c r="E349" s="1" t="s">
        <v>28</v>
      </c>
      <c r="F349" s="1">
        <v>7</v>
      </c>
      <c r="G349" s="1">
        <v>4</v>
      </c>
      <c r="H349" s="1">
        <v>0</v>
      </c>
      <c r="K349" s="1" t="str">
        <f t="shared" si="20"/>
        <v/>
      </c>
      <c r="L349" s="1" t="str">
        <f t="shared" si="21"/>
        <v/>
      </c>
      <c r="M349" s="1" t="str">
        <f t="shared" si="22"/>
        <v/>
      </c>
      <c r="P349" s="1" t="s">
        <v>20</v>
      </c>
      <c r="V349" s="1" t="s">
        <v>28469</v>
      </c>
      <c r="X349" s="1" t="s">
        <v>27842</v>
      </c>
      <c r="AR349" s="1" t="str">
        <f t="shared" si="23"/>
        <v>| [](.md) | [听](听.md) |  |  | 「聽」的異體字。 |</v>
      </c>
    </row>
    <row r="350" spans="1:44" hidden="1">
      <c r="A350" s="1" t="s">
        <v>28470</v>
      </c>
      <c r="C350" s="1">
        <v>1</v>
      </c>
      <c r="D350" s="1" t="str">
        <f>"02734-2"</f>
        <v>02734-2</v>
      </c>
      <c r="E350" s="1" t="s">
        <v>2419</v>
      </c>
      <c r="F350" s="1">
        <v>20</v>
      </c>
      <c r="G350" s="1">
        <v>14</v>
      </c>
      <c r="H350" s="1">
        <v>0</v>
      </c>
      <c r="K350" s="1" t="str">
        <f t="shared" si="20"/>
        <v/>
      </c>
      <c r="L350" s="1" t="str">
        <f t="shared" si="21"/>
        <v/>
      </c>
      <c r="M350" s="1" t="str">
        <f t="shared" si="22"/>
        <v/>
      </c>
      <c r="P350" s="1" t="s">
        <v>20</v>
      </c>
      <c r="V350" s="1" t="s">
        <v>28469</v>
      </c>
      <c r="X350" s="1" t="s">
        <v>27842</v>
      </c>
      <c r="AR350" s="1" t="str">
        <f t="shared" si="23"/>
        <v>| [](.md) | [聼](聼.md) |  |  | 「聽」的異體字。 |</v>
      </c>
    </row>
    <row r="351" spans="1:44" hidden="1">
      <c r="A351" s="1" t="s">
        <v>28471</v>
      </c>
      <c r="C351" s="1">
        <v>1</v>
      </c>
      <c r="D351" s="1" t="str">
        <f>"02735-1"</f>
        <v>02735-1</v>
      </c>
      <c r="E351" s="1" t="s">
        <v>1941</v>
      </c>
      <c r="F351" s="1">
        <v>9</v>
      </c>
      <c r="G351" s="1">
        <v>7</v>
      </c>
      <c r="H351" s="1">
        <v>0</v>
      </c>
      <c r="K351" s="1" t="str">
        <f t="shared" si="20"/>
        <v/>
      </c>
      <c r="L351" s="1" t="str">
        <f t="shared" si="21"/>
        <v/>
      </c>
      <c r="M351" s="1" t="str">
        <f t="shared" si="22"/>
        <v/>
      </c>
      <c r="P351" s="1" t="s">
        <v>20</v>
      </c>
      <c r="V351" s="1" t="s">
        <v>28472</v>
      </c>
      <c r="X351" s="1" t="s">
        <v>27842</v>
      </c>
      <c r="AR351" s="1" t="str">
        <f t="shared" si="23"/>
        <v>| [](.md) | [厛](厛.md) |  |  | 「廳」的異體字。 |</v>
      </c>
    </row>
    <row r="352" spans="1:44" hidden="1">
      <c r="A352" s="1" t="s">
        <v>28473</v>
      </c>
      <c r="C352" s="1">
        <v>1</v>
      </c>
      <c r="D352" s="1" t="str">
        <f>"02735-2"</f>
        <v>02735-2</v>
      </c>
      <c r="E352" s="1" t="s">
        <v>1941</v>
      </c>
      <c r="F352" s="1">
        <v>24</v>
      </c>
      <c r="G352" s="1">
        <v>22</v>
      </c>
      <c r="H352" s="1">
        <v>0</v>
      </c>
      <c r="K352" s="1" t="str">
        <f t="shared" si="20"/>
        <v/>
      </c>
      <c r="L352" s="1" t="str">
        <f t="shared" si="21"/>
        <v/>
      </c>
      <c r="M352" s="1" t="str">
        <f t="shared" si="22"/>
        <v/>
      </c>
      <c r="P352" s="1" t="s">
        <v>20</v>
      </c>
      <c r="V352" s="1" t="s">
        <v>28472</v>
      </c>
      <c r="X352" s="1" t="s">
        <v>27842</v>
      </c>
      <c r="AR352" s="1" t="str">
        <f t="shared" si="23"/>
        <v>| [](.md) | [㕔](㕔.md) |  |  | 「廳」的異體字。 |</v>
      </c>
    </row>
    <row r="353" spans="1:44" hidden="1">
      <c r="A353" s="1" t="s">
        <v>28474</v>
      </c>
      <c r="C353" s="1">
        <v>1</v>
      </c>
      <c r="D353" s="1" t="str">
        <f>"02743-1"</f>
        <v>02743-1</v>
      </c>
      <c r="E353" s="1" t="s">
        <v>367</v>
      </c>
      <c r="F353" s="1">
        <v>10</v>
      </c>
      <c r="G353" s="1">
        <v>8</v>
      </c>
      <c r="H353" s="1">
        <v>0</v>
      </c>
      <c r="K353" s="1" t="str">
        <f t="shared" si="20"/>
        <v/>
      </c>
      <c r="L353" s="1" t="str">
        <f t="shared" si="21"/>
        <v/>
      </c>
      <c r="M353" s="1" t="str">
        <f t="shared" si="22"/>
        <v/>
      </c>
      <c r="P353" s="1" t="s">
        <v>20</v>
      </c>
      <c r="V353" s="1" t="s">
        <v>28475</v>
      </c>
      <c r="X353" s="1" t="s">
        <v>27842</v>
      </c>
      <c r="AR353" s="1" t="str">
        <f t="shared" si="23"/>
        <v>| [](.md) | [𠅘](𠅘.md) |  |  | 「亭」的異體字。 |</v>
      </c>
    </row>
    <row r="354" spans="1:44" hidden="1">
      <c r="A354" s="1" t="s">
        <v>28476</v>
      </c>
      <c r="C354" s="1">
        <v>1</v>
      </c>
      <c r="D354" s="1" t="str">
        <f>"02760-1"</f>
        <v>02760-1</v>
      </c>
      <c r="E354" s="1" t="s">
        <v>429</v>
      </c>
      <c r="F354" s="1">
        <v>7</v>
      </c>
      <c r="G354" s="1">
        <v>2</v>
      </c>
      <c r="H354" s="1">
        <v>0</v>
      </c>
      <c r="K354" s="1" t="str">
        <f t="shared" si="20"/>
        <v/>
      </c>
      <c r="L354" s="1" t="str">
        <f t="shared" si="21"/>
        <v/>
      </c>
      <c r="M354" s="1" t="str">
        <f t="shared" si="22"/>
        <v/>
      </c>
      <c r="P354" s="1" t="s">
        <v>20</v>
      </c>
      <c r="V354" s="1" t="s">
        <v>28477</v>
      </c>
      <c r="X354" s="1" t="s">
        <v>27842</v>
      </c>
      <c r="AR354" s="1" t="str">
        <f t="shared" si="23"/>
        <v>| [](.md) | [秃](秃.md) |  |  | 「禿」的異體字。 |</v>
      </c>
    </row>
    <row r="355" spans="1:44" hidden="1">
      <c r="A355" s="1" t="s">
        <v>28478</v>
      </c>
      <c r="C355" s="1">
        <v>1</v>
      </c>
      <c r="D355" s="1" t="str">
        <f>"02785-1"</f>
        <v>02785-1</v>
      </c>
      <c r="E355" s="1" t="s">
        <v>2557</v>
      </c>
      <c r="F355" s="1">
        <v>8</v>
      </c>
      <c r="G355" s="1">
        <v>5</v>
      </c>
      <c r="H355" s="1">
        <v>0</v>
      </c>
      <c r="K355" s="1" t="str">
        <f t="shared" si="20"/>
        <v/>
      </c>
      <c r="L355" s="1" t="str">
        <f t="shared" si="21"/>
        <v/>
      </c>
      <c r="M355" s="1" t="str">
        <f t="shared" si="22"/>
        <v/>
      </c>
      <c r="P355" s="1" t="s">
        <v>20</v>
      </c>
      <c r="V355" s="1" t="s">
        <v>28479</v>
      </c>
      <c r="X355" s="1" t="s">
        <v>27842</v>
      </c>
      <c r="AR355" s="1" t="str">
        <f t="shared" si="23"/>
        <v>| [](.md) | [图](图.md) |  |  | 「圖」的異體字。 |</v>
      </c>
    </row>
    <row r="356" spans="1:44" hidden="1">
      <c r="A356" s="1" t="s">
        <v>27917</v>
      </c>
      <c r="C356" s="1">
        <v>1</v>
      </c>
      <c r="D356" s="1" t="str">
        <f>"02785-2"</f>
        <v>02785-2</v>
      </c>
      <c r="E356" s="1" t="s">
        <v>28</v>
      </c>
      <c r="F356" s="1">
        <v>11</v>
      </c>
      <c r="G356" s="1">
        <v>8</v>
      </c>
      <c r="H356" s="1">
        <v>0</v>
      </c>
      <c r="K356" s="1" t="str">
        <f t="shared" si="20"/>
        <v/>
      </c>
      <c r="L356" s="1" t="str">
        <f t="shared" si="21"/>
        <v/>
      </c>
      <c r="M356" s="1" t="str">
        <f t="shared" si="22"/>
        <v/>
      </c>
      <c r="P356" s="1" t="s">
        <v>20</v>
      </c>
      <c r="V356" s="1" t="s">
        <v>28479</v>
      </c>
      <c r="X356" s="1" t="s">
        <v>27842</v>
      </c>
      <c r="AR356" s="1" t="str">
        <f t="shared" si="23"/>
        <v>| [](.md) | [啚](啚.md) |  |  | 「圖」的異體字。 |</v>
      </c>
    </row>
    <row r="357" spans="1:44" hidden="1">
      <c r="A357" s="1" t="s">
        <v>28480</v>
      </c>
      <c r="C357" s="1">
        <v>1</v>
      </c>
      <c r="D357" s="1" t="str">
        <f>"02791-1"</f>
        <v>02791-1</v>
      </c>
      <c r="E357" s="1" t="s">
        <v>3581</v>
      </c>
      <c r="F357" s="1">
        <v>7</v>
      </c>
      <c r="G357" s="1">
        <v>5</v>
      </c>
      <c r="H357" s="1">
        <v>0</v>
      </c>
      <c r="K357" s="1" t="str">
        <f t="shared" si="20"/>
        <v/>
      </c>
      <c r="L357" s="1" t="str">
        <f t="shared" si="21"/>
        <v/>
      </c>
      <c r="M357" s="1" t="str">
        <f t="shared" si="22"/>
        <v/>
      </c>
      <c r="P357" s="1" t="s">
        <v>20</v>
      </c>
      <c r="V357" s="1" t="s">
        <v>28481</v>
      </c>
      <c r="X357" s="1" t="s">
        <v>27842</v>
      </c>
      <c r="AR357" s="1" t="str">
        <f t="shared" si="23"/>
        <v>| [](.md) | [兎](兎.md) |  |  | 「兔」的異體字。 |</v>
      </c>
    </row>
    <row r="358" spans="1:44" hidden="1">
      <c r="A358" s="1" t="s">
        <v>28482</v>
      </c>
      <c r="C358" s="1">
        <v>1</v>
      </c>
      <c r="D358" s="1" t="str">
        <f>"02791-2"</f>
        <v>02791-2</v>
      </c>
      <c r="E358" s="1" t="s">
        <v>3581</v>
      </c>
      <c r="F358" s="1">
        <v>8</v>
      </c>
      <c r="G358" s="1">
        <v>6</v>
      </c>
      <c r="H358" s="1">
        <v>0</v>
      </c>
      <c r="K358" s="1" t="str">
        <f t="shared" si="20"/>
        <v/>
      </c>
      <c r="L358" s="1" t="str">
        <f t="shared" si="21"/>
        <v/>
      </c>
      <c r="M358" s="1" t="str">
        <f t="shared" si="22"/>
        <v/>
      </c>
      <c r="P358" s="1" t="s">
        <v>20</v>
      </c>
      <c r="V358" s="1" t="s">
        <v>28481</v>
      </c>
      <c r="X358" s="1" t="s">
        <v>27842</v>
      </c>
      <c r="AR358" s="1" t="str">
        <f t="shared" si="23"/>
        <v>| [](.md) | [兔](兔.md) |  |  | 「兔」的異體字。 |</v>
      </c>
    </row>
    <row r="359" spans="1:44" hidden="1">
      <c r="A359" s="1" t="s">
        <v>28483</v>
      </c>
      <c r="C359" s="1">
        <v>1</v>
      </c>
      <c r="D359" s="1" t="str">
        <f>"02817-1"</f>
        <v>02817-1</v>
      </c>
      <c r="E359" s="1" t="s">
        <v>319</v>
      </c>
      <c r="F359" s="1">
        <v>15</v>
      </c>
      <c r="G359" s="1">
        <v>5</v>
      </c>
      <c r="H359" s="1">
        <v>0</v>
      </c>
      <c r="K359" s="1" t="str">
        <f t="shared" si="20"/>
        <v/>
      </c>
      <c r="L359" s="1" t="str">
        <f t="shared" si="21"/>
        <v/>
      </c>
      <c r="M359" s="1" t="str">
        <f t="shared" si="22"/>
        <v/>
      </c>
      <c r="P359" s="1" t="s">
        <v>20</v>
      </c>
      <c r="V359" s="1" t="s">
        <v>28484</v>
      </c>
      <c r="X359" s="1" t="s">
        <v>27842</v>
      </c>
      <c r="AR359" s="1" t="str">
        <f t="shared" si="23"/>
        <v>| [](.md) | [駞](駞.md) |  |  | 「駝」的異體字。 |</v>
      </c>
    </row>
    <row r="360" spans="1:44" hidden="1">
      <c r="A360" s="1" t="s">
        <v>28485</v>
      </c>
      <c r="C360" s="1">
        <v>1</v>
      </c>
      <c r="D360" s="1" t="str">
        <f>"02823-1"</f>
        <v>02823-1</v>
      </c>
      <c r="E360" s="1" t="s">
        <v>139</v>
      </c>
      <c r="F360" s="1">
        <v>14</v>
      </c>
      <c r="G360" s="1">
        <v>10</v>
      </c>
      <c r="H360" s="1">
        <v>0</v>
      </c>
      <c r="K360" s="1" t="str">
        <f t="shared" si="20"/>
        <v/>
      </c>
      <c r="L360" s="1" t="str">
        <f t="shared" si="21"/>
        <v/>
      </c>
      <c r="M360" s="1" t="str">
        <f t="shared" si="22"/>
        <v/>
      </c>
      <c r="P360" s="1" t="s">
        <v>20</v>
      </c>
      <c r="V360" s="1" t="s">
        <v>28486</v>
      </c>
      <c r="X360" s="1" t="s">
        <v>27842</v>
      </c>
      <c r="AR360" s="1" t="str">
        <f t="shared" si="23"/>
        <v>| [](.md) | [槖](槖.md) |  |  | 「橐」的異體字。 |</v>
      </c>
    </row>
    <row r="361" spans="1:44" hidden="1">
      <c r="A361" s="1" t="s">
        <v>28487</v>
      </c>
      <c r="C361" s="1">
        <v>1</v>
      </c>
      <c r="D361" s="1" t="str">
        <f>"02844-1"</f>
        <v>02844-1</v>
      </c>
      <c r="E361" s="1" t="s">
        <v>283</v>
      </c>
      <c r="F361" s="1">
        <v>17</v>
      </c>
      <c r="G361" s="1">
        <v>7</v>
      </c>
      <c r="H361" s="1">
        <v>0</v>
      </c>
      <c r="K361" s="1" t="str">
        <f t="shared" si="20"/>
        <v/>
      </c>
      <c r="L361" s="1" t="str">
        <f t="shared" si="21"/>
        <v/>
      </c>
      <c r="M361" s="1" t="str">
        <f t="shared" si="22"/>
        <v/>
      </c>
      <c r="P361" s="1" t="s">
        <v>20</v>
      </c>
      <c r="V361" s="1" t="s">
        <v>28488</v>
      </c>
      <c r="X361" s="1" t="s">
        <v>27842</v>
      </c>
      <c r="AR361" s="1" t="str">
        <f t="shared" si="23"/>
        <v>| [](.md) | [骽](骽.md) |  |  | 「腿」的異體字。 |</v>
      </c>
    </row>
    <row r="362" spans="1:44" hidden="1">
      <c r="A362" s="1" t="s">
        <v>28489</v>
      </c>
      <c r="C362" s="1">
        <v>1</v>
      </c>
      <c r="D362" s="1" t="str">
        <f>"02849-1"</f>
        <v>02849-1</v>
      </c>
      <c r="E362" s="1" t="s">
        <v>558</v>
      </c>
      <c r="F362" s="1">
        <v>11</v>
      </c>
      <c r="G362" s="1">
        <v>7</v>
      </c>
      <c r="H362" s="1">
        <v>0</v>
      </c>
      <c r="K362" s="1" t="str">
        <f t="shared" si="20"/>
        <v/>
      </c>
      <c r="L362" s="1" t="str">
        <f t="shared" si="21"/>
        <v/>
      </c>
      <c r="M362" s="1" t="str">
        <f t="shared" si="22"/>
        <v/>
      </c>
      <c r="P362" s="1" t="s">
        <v>20</v>
      </c>
      <c r="V362" s="1" t="s">
        <v>28490</v>
      </c>
      <c r="X362" s="1" t="s">
        <v>27842</v>
      </c>
      <c r="AR362" s="1" t="str">
        <f t="shared" si="23"/>
        <v>| [](.md) | [𨓤](𨓤.md) |  |  | 「退」的異體字。 |</v>
      </c>
    </row>
    <row r="363" spans="1:44" hidden="1">
      <c r="A363" s="1" t="s">
        <v>28491</v>
      </c>
      <c r="C363" s="1">
        <v>1</v>
      </c>
      <c r="D363" s="1" t="str">
        <f>"02852-1"</f>
        <v>02852-1</v>
      </c>
      <c r="E363" s="1" t="s">
        <v>198</v>
      </c>
      <c r="F363" s="1">
        <v>12</v>
      </c>
      <c r="G363" s="1">
        <v>9</v>
      </c>
      <c r="H363" s="1">
        <v>0</v>
      </c>
      <c r="K363" s="1" t="str">
        <f t="shared" si="20"/>
        <v/>
      </c>
      <c r="L363" s="1" t="str">
        <f t="shared" si="21"/>
        <v/>
      </c>
      <c r="M363" s="1" t="str">
        <f t="shared" si="22"/>
        <v/>
      </c>
      <c r="P363" s="1" t="s">
        <v>20</v>
      </c>
      <c r="V363" s="1" t="s">
        <v>28492</v>
      </c>
      <c r="X363" s="1" t="s">
        <v>27842</v>
      </c>
      <c r="AR363" s="1" t="str">
        <f t="shared" si="23"/>
        <v>| [](.md) | [猯](猯.md) |  |  | 「貒」的異體字。 |</v>
      </c>
    </row>
    <row r="364" spans="1:44" hidden="1">
      <c r="A364" s="1" t="s">
        <v>28493</v>
      </c>
      <c r="C364" s="1">
        <v>1</v>
      </c>
      <c r="D364" s="1" t="str">
        <f>"02864-1"</f>
        <v>02864-1</v>
      </c>
      <c r="E364" s="1" t="s">
        <v>28</v>
      </c>
      <c r="F364" s="1">
        <v>7</v>
      </c>
      <c r="G364" s="1">
        <v>4</v>
      </c>
      <c r="H364" s="1">
        <v>0</v>
      </c>
      <c r="K364" s="1" t="str">
        <f t="shared" si="20"/>
        <v/>
      </c>
      <c r="L364" s="1" t="str">
        <f t="shared" si="21"/>
        <v/>
      </c>
      <c r="M364" s="1" t="str">
        <f t="shared" si="22"/>
        <v/>
      </c>
      <c r="P364" s="1" t="s">
        <v>20</v>
      </c>
      <c r="V364" s="1" t="s">
        <v>28494</v>
      </c>
      <c r="X364" s="1" t="s">
        <v>27842</v>
      </c>
      <c r="AR364" s="1" t="str">
        <f t="shared" si="23"/>
        <v>| [](.md) | [呑](呑.md) |  |  | 「吞」的異體字。 |</v>
      </c>
    </row>
    <row r="365" spans="1:44" hidden="1">
      <c r="A365" s="1" t="s">
        <v>28495</v>
      </c>
      <c r="C365" s="1">
        <v>1</v>
      </c>
      <c r="D365" s="1" t="str">
        <f>"02876-1"</f>
        <v>02876-1</v>
      </c>
      <c r="E365" s="1" t="s">
        <v>198</v>
      </c>
      <c r="F365" s="1">
        <v>7</v>
      </c>
      <c r="G365" s="1">
        <v>4</v>
      </c>
      <c r="H365" s="1">
        <v>0</v>
      </c>
      <c r="K365" s="1" t="str">
        <f t="shared" si="20"/>
        <v/>
      </c>
      <c r="L365" s="1" t="str">
        <f t="shared" si="21"/>
        <v/>
      </c>
      <c r="M365" s="1" t="str">
        <f t="shared" si="22"/>
        <v/>
      </c>
      <c r="P365" s="1" t="s">
        <v>20</v>
      </c>
      <c r="V365" s="1" t="s">
        <v>28496</v>
      </c>
      <c r="X365" s="1" t="s">
        <v>27842</v>
      </c>
      <c r="AR365" s="1" t="str">
        <f t="shared" si="23"/>
        <v>| [](.md) | [㹠](㹠.md) |  |  | 「豚」的異體字。 |</v>
      </c>
    </row>
    <row r="366" spans="1:44" hidden="1">
      <c r="A366" s="1" t="s">
        <v>28497</v>
      </c>
      <c r="C366" s="1">
        <v>1</v>
      </c>
      <c r="D366" s="1" t="str">
        <f>"02883-1"</f>
        <v>02883-1</v>
      </c>
      <c r="E366" s="1" t="s">
        <v>114</v>
      </c>
      <c r="F366" s="1">
        <v>5</v>
      </c>
      <c r="G366" s="1">
        <v>3</v>
      </c>
      <c r="H366" s="1">
        <v>0</v>
      </c>
      <c r="K366" s="1" t="str">
        <f t="shared" si="20"/>
        <v/>
      </c>
      <c r="L366" s="1" t="str">
        <f t="shared" si="21"/>
        <v/>
      </c>
      <c r="M366" s="1" t="str">
        <f t="shared" si="22"/>
        <v/>
      </c>
      <c r="P366" s="1" t="s">
        <v>20</v>
      </c>
      <c r="V366" s="1" t="s">
        <v>28498</v>
      </c>
      <c r="X366" s="1" t="s">
        <v>27842</v>
      </c>
      <c r="AR366" s="1" t="str">
        <f t="shared" si="23"/>
        <v>| [](.md) | [仝](仝.md) |  |  | 「同」的異體字。 |</v>
      </c>
    </row>
    <row r="367" spans="1:44" hidden="1">
      <c r="A367" s="1" t="s">
        <v>21907</v>
      </c>
      <c r="C367" s="1">
        <v>1</v>
      </c>
      <c r="D367" s="1" t="str">
        <f>"02918-1"</f>
        <v>02918-1</v>
      </c>
      <c r="E367" s="1" t="s">
        <v>24</v>
      </c>
      <c r="F367" s="1">
        <v>10</v>
      </c>
      <c r="G367" s="1">
        <v>6</v>
      </c>
      <c r="H367" s="1">
        <v>0</v>
      </c>
      <c r="K367" s="1" t="str">
        <f t="shared" si="20"/>
        <v/>
      </c>
      <c r="L367" s="1" t="str">
        <f t="shared" si="21"/>
        <v/>
      </c>
      <c r="M367" s="1" t="str">
        <f t="shared" si="22"/>
        <v/>
      </c>
      <c r="P367" s="1" t="s">
        <v>20</v>
      </c>
      <c r="V367" s="1" t="s">
        <v>28499</v>
      </c>
      <c r="X367" s="1" t="s">
        <v>27842</v>
      </c>
      <c r="AR367" s="1" t="str">
        <f t="shared" si="23"/>
        <v>| [](.md) | [挐](挐.md) |  |  | 「拏」的異體字。 |</v>
      </c>
    </row>
    <row r="368" spans="1:44" hidden="1">
      <c r="A368" s="1" t="s">
        <v>28500</v>
      </c>
      <c r="C368" s="1">
        <v>1</v>
      </c>
      <c r="D368" s="1" t="str">
        <f>"02922-1"</f>
        <v>02922-1</v>
      </c>
      <c r="E368" s="1" t="s">
        <v>114</v>
      </c>
      <c r="F368" s="1">
        <v>4</v>
      </c>
      <c r="G368" s="1">
        <v>2</v>
      </c>
      <c r="H368" s="1">
        <v>0</v>
      </c>
      <c r="K368" s="1" t="str">
        <f t="shared" si="20"/>
        <v/>
      </c>
      <c r="L368" s="1" t="str">
        <f t="shared" si="21"/>
        <v/>
      </c>
      <c r="M368" s="1" t="str">
        <f t="shared" si="22"/>
        <v/>
      </c>
      <c r="P368" s="1" t="s">
        <v>20</v>
      </c>
      <c r="V368" s="1" t="s">
        <v>28501</v>
      </c>
      <c r="X368" s="1" t="s">
        <v>27842</v>
      </c>
      <c r="AR368" s="1" t="str">
        <f t="shared" si="23"/>
        <v>| [](.md) | [内](内.md) |  |  | 「內」的異體字。 |</v>
      </c>
    </row>
    <row r="369" spans="1:44" hidden="1">
      <c r="A369" s="1" t="s">
        <v>28502</v>
      </c>
      <c r="C369" s="1">
        <v>1</v>
      </c>
      <c r="D369" s="1" t="str">
        <f>"02940-1"</f>
        <v>02940-1</v>
      </c>
      <c r="E369" s="1" t="s">
        <v>558</v>
      </c>
      <c r="F369" s="1">
        <v>9</v>
      </c>
      <c r="G369" s="1">
        <v>6</v>
      </c>
      <c r="H369" s="1">
        <v>0</v>
      </c>
      <c r="K369" s="1" t="str">
        <f t="shared" si="20"/>
        <v/>
      </c>
      <c r="L369" s="1" t="str">
        <f t="shared" si="21"/>
        <v/>
      </c>
      <c r="M369" s="1" t="str">
        <f t="shared" si="22"/>
        <v/>
      </c>
      <c r="P369" s="1" t="s">
        <v>20</v>
      </c>
      <c r="V369" s="1" t="s">
        <v>28503</v>
      </c>
      <c r="X369" s="1" t="s">
        <v>27842</v>
      </c>
      <c r="AR369" s="1" t="str">
        <f t="shared" si="23"/>
        <v>| [](.md) | [廼](廼.md) |  |  | 「迺」的異體字。 |</v>
      </c>
    </row>
    <row r="370" spans="1:44" hidden="1">
      <c r="A370" s="1" t="s">
        <v>7378</v>
      </c>
      <c r="C370" s="1">
        <v>1</v>
      </c>
      <c r="D370" s="1" t="str">
        <f>"02941-1"</f>
        <v>02941-1</v>
      </c>
      <c r="E370" s="1" t="s">
        <v>534</v>
      </c>
      <c r="F370" s="1">
        <v>8</v>
      </c>
      <c r="G370" s="1">
        <v>5</v>
      </c>
      <c r="H370" s="1">
        <v>0</v>
      </c>
      <c r="K370" s="1" t="str">
        <f t="shared" si="20"/>
        <v/>
      </c>
      <c r="L370" s="1" t="str">
        <f t="shared" si="21"/>
        <v/>
      </c>
      <c r="M370" s="1" t="str">
        <f t="shared" si="22"/>
        <v/>
      </c>
      <c r="P370" s="1" t="s">
        <v>20</v>
      </c>
      <c r="V370" s="1" t="s">
        <v>28504</v>
      </c>
      <c r="X370" s="1" t="s">
        <v>27842</v>
      </c>
      <c r="AR370" s="1" t="str">
        <f t="shared" si="23"/>
        <v>| [](.md) | [妳](妳.md) |  |  | 「嬭」的異體字。 |</v>
      </c>
    </row>
    <row r="371" spans="1:44" hidden="1">
      <c r="A371" s="1" t="s">
        <v>28505</v>
      </c>
      <c r="C371" s="1">
        <v>1</v>
      </c>
      <c r="D371" s="1" t="str">
        <f>"02941-2"</f>
        <v>02941-2</v>
      </c>
      <c r="E371" s="1" t="s">
        <v>534</v>
      </c>
      <c r="F371" s="1">
        <v>8</v>
      </c>
      <c r="G371" s="1">
        <v>5</v>
      </c>
      <c r="H371" s="1">
        <v>0</v>
      </c>
      <c r="K371" s="1" t="str">
        <f t="shared" si="20"/>
        <v/>
      </c>
      <c r="L371" s="1" t="str">
        <f t="shared" si="21"/>
        <v/>
      </c>
      <c r="M371" s="1" t="str">
        <f t="shared" si="22"/>
        <v/>
      </c>
      <c r="P371" s="1" t="s">
        <v>20</v>
      </c>
      <c r="V371" s="1" t="s">
        <v>28504</v>
      </c>
      <c r="X371" s="1" t="s">
        <v>27842</v>
      </c>
      <c r="AR371" s="1" t="str">
        <f t="shared" si="23"/>
        <v>| [](.md) | [㚷](㚷.md) |  |  | 「嬭」的異體字。 |</v>
      </c>
    </row>
    <row r="372" spans="1:44" hidden="1">
      <c r="A372" s="1" t="s">
        <v>28506</v>
      </c>
      <c r="C372" s="1">
        <v>1</v>
      </c>
      <c r="D372" s="1" t="str">
        <f>"02956-1"</f>
        <v>02956-1</v>
      </c>
      <c r="E372" s="1" t="s">
        <v>331</v>
      </c>
      <c r="F372" s="1">
        <v>12</v>
      </c>
      <c r="G372" s="1">
        <v>5</v>
      </c>
      <c r="H372" s="1">
        <v>0</v>
      </c>
      <c r="K372" s="1" t="str">
        <f t="shared" si="20"/>
        <v/>
      </c>
      <c r="L372" s="1" t="str">
        <f t="shared" si="21"/>
        <v/>
      </c>
      <c r="M372" s="1" t="str">
        <f t="shared" si="22"/>
        <v/>
      </c>
      <c r="P372" s="1" t="s">
        <v>20</v>
      </c>
      <c r="V372" s="1" t="s">
        <v>28507</v>
      </c>
      <c r="X372" s="1" t="s">
        <v>27842</v>
      </c>
      <c r="AR372" s="1" t="str">
        <f t="shared" si="23"/>
        <v>| [](.md) | [詉](詉.md) |  |  | 「呶」的異體字。 |</v>
      </c>
    </row>
    <row r="373" spans="1:44" hidden="1">
      <c r="A373" s="1" t="s">
        <v>28508</v>
      </c>
      <c r="C373" s="1">
        <v>1</v>
      </c>
      <c r="D373" s="1" t="str">
        <f>"02966-1"</f>
        <v>02966-1</v>
      </c>
      <c r="E373" s="1" t="s">
        <v>250</v>
      </c>
      <c r="F373" s="1">
        <v>9</v>
      </c>
      <c r="G373" s="1">
        <v>6</v>
      </c>
      <c r="H373" s="1">
        <v>0</v>
      </c>
      <c r="K373" s="1" t="str">
        <f t="shared" si="20"/>
        <v/>
      </c>
      <c r="L373" s="1" t="str">
        <f t="shared" si="21"/>
        <v/>
      </c>
      <c r="M373" s="1" t="str">
        <f t="shared" si="22"/>
        <v/>
      </c>
      <c r="P373" s="1" t="s">
        <v>20</v>
      </c>
      <c r="V373" s="1" t="s">
        <v>28509</v>
      </c>
      <c r="X373" s="1" t="s">
        <v>27842</v>
      </c>
      <c r="AR373" s="1" t="str">
        <f t="shared" si="23"/>
        <v>| [](.md) | [恼](恼.md) |  |  | 「惱」的異體字。 |</v>
      </c>
    </row>
    <row r="374" spans="1:44" hidden="1">
      <c r="A374" s="1" t="s">
        <v>28510</v>
      </c>
      <c r="C374" s="1">
        <v>1</v>
      </c>
      <c r="D374" s="1" t="str">
        <f>"02967-1"</f>
        <v>02967-1</v>
      </c>
      <c r="E374" s="1" t="s">
        <v>169</v>
      </c>
      <c r="F374" s="1">
        <v>14</v>
      </c>
      <c r="G374" s="1">
        <v>9</v>
      </c>
      <c r="H374" s="1">
        <v>0</v>
      </c>
      <c r="K374" s="1" t="str">
        <f t="shared" si="20"/>
        <v/>
      </c>
      <c r="L374" s="1" t="str">
        <f t="shared" si="21"/>
        <v/>
      </c>
      <c r="M374" s="1" t="str">
        <f t="shared" si="22"/>
        <v/>
      </c>
      <c r="P374" s="1" t="s">
        <v>20</v>
      </c>
      <c r="V374" s="1" t="s">
        <v>28511</v>
      </c>
      <c r="X374" s="1" t="s">
        <v>27842</v>
      </c>
      <c r="AR374" s="1" t="str">
        <f t="shared" si="23"/>
        <v>| [](.md) | [碯](碯.md) |  |  | 「瑙」的異體字。 |</v>
      </c>
    </row>
    <row r="375" spans="1:44" hidden="1">
      <c r="A375" s="1" t="s">
        <v>28512</v>
      </c>
      <c r="C375" s="1">
        <v>1</v>
      </c>
      <c r="D375" s="1" t="str">
        <f>"02968-2"</f>
        <v>02968-2</v>
      </c>
      <c r="E375" s="1" t="s">
        <v>185</v>
      </c>
      <c r="F375" s="1">
        <v>10</v>
      </c>
      <c r="G375" s="1">
        <v>8</v>
      </c>
      <c r="H375" s="1">
        <v>0</v>
      </c>
      <c r="K375" s="1" t="str">
        <f t="shared" si="20"/>
        <v/>
      </c>
      <c r="L375" s="1" t="str">
        <f t="shared" si="21"/>
        <v/>
      </c>
      <c r="M375" s="1" t="str">
        <f t="shared" si="22"/>
        <v/>
      </c>
      <c r="P375" s="1" t="s">
        <v>20</v>
      </c>
      <c r="V375" s="1" t="s">
        <v>28513</v>
      </c>
      <c r="X375" s="1" t="s">
        <v>27842</v>
      </c>
      <c r="AR375" s="1" t="str">
        <f t="shared" si="23"/>
        <v>| [](.md) | [𠜶](𠜶.md) |  |  | 「腦」的異體字。 |</v>
      </c>
    </row>
    <row r="376" spans="1:44" hidden="1">
      <c r="A376" s="1" t="s">
        <v>28514</v>
      </c>
      <c r="C376" s="1">
        <v>1</v>
      </c>
      <c r="D376" s="1" t="str">
        <f>"02970-1"</f>
        <v>02970-1</v>
      </c>
      <c r="E376" s="1" t="s">
        <v>709</v>
      </c>
      <c r="F376" s="1">
        <v>13</v>
      </c>
      <c r="G376" s="1">
        <v>5</v>
      </c>
      <c r="H376" s="1">
        <v>0</v>
      </c>
      <c r="K376" s="1" t="str">
        <f t="shared" si="20"/>
        <v/>
      </c>
      <c r="L376" s="1" t="str">
        <f t="shared" si="21"/>
        <v/>
      </c>
      <c r="M376" s="1" t="str">
        <f t="shared" si="22"/>
        <v/>
      </c>
      <c r="P376" s="1" t="s">
        <v>20</v>
      </c>
      <c r="V376" s="1" t="s">
        <v>28515</v>
      </c>
      <c r="X376" s="1" t="s">
        <v>27842</v>
      </c>
      <c r="AR376" s="1" t="str">
        <f t="shared" si="23"/>
        <v>| [](.md) | [閙](閙.md) |  |  | 「鬧」的異體字。 |</v>
      </c>
    </row>
    <row r="377" spans="1:44" hidden="1">
      <c r="A377" s="1" t="s">
        <v>28516</v>
      </c>
      <c r="C377" s="1">
        <v>1</v>
      </c>
      <c r="D377" s="1" t="str">
        <f>"02981-1"</f>
        <v>02981-1</v>
      </c>
      <c r="E377" s="1" t="s">
        <v>139</v>
      </c>
      <c r="F377" s="1">
        <v>8</v>
      </c>
      <c r="G377" s="1">
        <v>4</v>
      </c>
      <c r="H377" s="1">
        <v>0</v>
      </c>
      <c r="K377" s="1" t="str">
        <f t="shared" si="20"/>
        <v/>
      </c>
      <c r="L377" s="1" t="str">
        <f t="shared" si="21"/>
        <v/>
      </c>
      <c r="M377" s="1" t="str">
        <f t="shared" si="22"/>
        <v/>
      </c>
      <c r="P377" s="1" t="s">
        <v>20</v>
      </c>
      <c r="V377" s="1" t="s">
        <v>28517</v>
      </c>
      <c r="X377" s="1" t="s">
        <v>27842</v>
      </c>
      <c r="AR377" s="1" t="str">
        <f t="shared" si="23"/>
        <v>| [](.md) | [枏](枏.md) |  |  | 「楠」的異體字。 |</v>
      </c>
    </row>
    <row r="378" spans="1:44" hidden="1">
      <c r="A378" s="1" t="s">
        <v>28518</v>
      </c>
      <c r="C378" s="1">
        <v>1</v>
      </c>
      <c r="D378" s="1" t="str">
        <f>"02984-1"</f>
        <v>02984-1</v>
      </c>
      <c r="E378" s="1" t="s">
        <v>5383</v>
      </c>
      <c r="F378" s="1">
        <v>10</v>
      </c>
      <c r="G378" s="1">
        <v>2</v>
      </c>
      <c r="H378" s="1">
        <v>0</v>
      </c>
      <c r="K378" s="1" t="str">
        <f t="shared" si="20"/>
        <v/>
      </c>
      <c r="L378" s="1" t="str">
        <f t="shared" si="21"/>
        <v/>
      </c>
      <c r="M378" s="1" t="str">
        <f t="shared" si="22"/>
        <v/>
      </c>
      <c r="P378" s="1" t="s">
        <v>20</v>
      </c>
      <c r="V378" s="1" t="s">
        <v>28519</v>
      </c>
      <c r="X378" s="1" t="s">
        <v>27842</v>
      </c>
      <c r="AR378" s="1" t="str">
        <f t="shared" si="23"/>
        <v>| [](.md) | [难](难.md) |  |  | 「難」的異體字。 |</v>
      </c>
    </row>
    <row r="379" spans="1:44" hidden="1">
      <c r="A379" s="1" t="s">
        <v>28520</v>
      </c>
      <c r="C379" s="1">
        <v>1</v>
      </c>
      <c r="D379" s="1" t="str">
        <f>"02998-1"</f>
        <v>02998-1</v>
      </c>
      <c r="E379" s="1" t="s">
        <v>871</v>
      </c>
      <c r="F379" s="1">
        <v>5</v>
      </c>
      <c r="G379" s="1">
        <v>2</v>
      </c>
      <c r="H379" s="1">
        <v>0</v>
      </c>
      <c r="K379" s="1" t="str">
        <f t="shared" si="20"/>
        <v/>
      </c>
      <c r="L379" s="1" t="str">
        <f t="shared" si="21"/>
        <v/>
      </c>
      <c r="M379" s="1" t="str">
        <f t="shared" si="22"/>
        <v/>
      </c>
      <c r="P379" s="1" t="s">
        <v>20</v>
      </c>
      <c r="V379" s="1" t="s">
        <v>28521</v>
      </c>
      <c r="X379" s="1" t="s">
        <v>27842</v>
      </c>
      <c r="AR379" s="1" t="str">
        <f t="shared" si="23"/>
        <v>| [](.md) | [󱢵](󱢵.md) |  |  | 「尼」的異體字。 |</v>
      </c>
    </row>
    <row r="380" spans="1:44" hidden="1">
      <c r="A380" s="1" t="s">
        <v>28522</v>
      </c>
      <c r="C380" s="1">
        <v>1</v>
      </c>
      <c r="D380" s="1" t="str">
        <f>"03015-1"</f>
        <v>03015-1</v>
      </c>
      <c r="E380" s="1" t="s">
        <v>114</v>
      </c>
      <c r="F380" s="1">
        <v>7</v>
      </c>
      <c r="G380" s="1">
        <v>5</v>
      </c>
      <c r="H380" s="1">
        <v>0</v>
      </c>
      <c r="K380" s="1" t="str">
        <f t="shared" si="20"/>
        <v/>
      </c>
      <c r="L380" s="1" t="str">
        <f t="shared" si="21"/>
        <v/>
      </c>
      <c r="M380" s="1" t="str">
        <f t="shared" si="22"/>
        <v/>
      </c>
      <c r="P380" s="1" t="s">
        <v>20</v>
      </c>
      <c r="V380" s="1" t="s">
        <v>28523</v>
      </c>
      <c r="X380" s="1" t="s">
        <v>27842</v>
      </c>
      <c r="AR380" s="1" t="str">
        <f t="shared" si="23"/>
        <v>| [](.md) | [伱](伱.md) |  |  | 「你」的異體字。 |</v>
      </c>
    </row>
    <row r="381" spans="1:44" hidden="1">
      <c r="A381" s="1" t="s">
        <v>28524</v>
      </c>
      <c r="C381" s="1">
        <v>1</v>
      </c>
      <c r="D381" s="1" t="str">
        <f>"03015-2"</f>
        <v>03015-2</v>
      </c>
      <c r="E381" s="1" t="s">
        <v>114</v>
      </c>
      <c r="F381" s="1">
        <v>16</v>
      </c>
      <c r="G381" s="1">
        <v>14</v>
      </c>
      <c r="H381" s="1">
        <v>0</v>
      </c>
      <c r="K381" s="1" t="str">
        <f t="shared" si="20"/>
        <v/>
      </c>
      <c r="L381" s="1" t="str">
        <f t="shared" si="21"/>
        <v/>
      </c>
      <c r="M381" s="1" t="str">
        <f t="shared" si="22"/>
        <v/>
      </c>
      <c r="P381" s="1" t="s">
        <v>20</v>
      </c>
      <c r="V381" s="1" t="s">
        <v>28523</v>
      </c>
      <c r="X381" s="1" t="s">
        <v>27842</v>
      </c>
      <c r="AR381" s="1" t="str">
        <f t="shared" si="23"/>
        <v>| [](.md) | [儞](儞.md) |  |  | 「你」的異體字。 |</v>
      </c>
    </row>
    <row r="382" spans="1:44" hidden="1">
      <c r="A382" s="1" t="s">
        <v>28525</v>
      </c>
      <c r="C382" s="1">
        <v>1</v>
      </c>
      <c r="D382" s="1" t="str">
        <f>"03028-1"</f>
        <v>03028-1</v>
      </c>
      <c r="E382" s="1" t="s">
        <v>534</v>
      </c>
      <c r="F382" s="1">
        <v>14</v>
      </c>
      <c r="G382" s="1">
        <v>11</v>
      </c>
      <c r="H382" s="1">
        <v>0</v>
      </c>
      <c r="K382" s="1" t="str">
        <f t="shared" si="20"/>
        <v/>
      </c>
      <c r="L382" s="1" t="str">
        <f t="shared" si="21"/>
        <v/>
      </c>
      <c r="M382" s="1" t="str">
        <f t="shared" si="22"/>
        <v/>
      </c>
      <c r="P382" s="1" t="s">
        <v>20</v>
      </c>
      <c r="V382" s="1" t="s">
        <v>28526</v>
      </c>
      <c r="X382" s="1" t="s">
        <v>27842</v>
      </c>
      <c r="AR382" s="1" t="str">
        <f t="shared" si="23"/>
        <v>| [](.md) | [嫟](嫟.md) |  |  | 「暱」的異體字。 |</v>
      </c>
    </row>
    <row r="383" spans="1:44" hidden="1">
      <c r="A383" s="1" t="s">
        <v>28527</v>
      </c>
      <c r="C383" s="1">
        <v>1</v>
      </c>
      <c r="D383" s="1" t="str">
        <f>"03034-1"</f>
        <v>03034-1</v>
      </c>
      <c r="E383" s="1" t="s">
        <v>24</v>
      </c>
      <c r="F383" s="1">
        <v>12</v>
      </c>
      <c r="G383" s="1">
        <v>9</v>
      </c>
      <c r="H383" s="1">
        <v>0</v>
      </c>
      <c r="K383" s="1" t="str">
        <f t="shared" si="20"/>
        <v/>
      </c>
      <c r="L383" s="1" t="str">
        <f t="shared" si="21"/>
        <v/>
      </c>
      <c r="M383" s="1" t="str">
        <f t="shared" si="22"/>
        <v/>
      </c>
      <c r="P383" s="1" t="s">
        <v>20</v>
      </c>
      <c r="V383" s="1" t="s">
        <v>28528</v>
      </c>
      <c r="X383" s="1" t="s">
        <v>27842</v>
      </c>
      <c r="AR383" s="1" t="str">
        <f t="shared" si="23"/>
        <v>| [](.md) | [揑](揑.md) |  |  | 「捏」的異體字。 |</v>
      </c>
    </row>
    <row r="384" spans="1:44" hidden="1">
      <c r="A384" s="1" t="s">
        <v>28529</v>
      </c>
      <c r="C384" s="1">
        <v>1</v>
      </c>
      <c r="D384" s="1" t="str">
        <f>"03039-1"</f>
        <v>03039-1</v>
      </c>
      <c r="E384" s="1" t="s">
        <v>129</v>
      </c>
      <c r="F384" s="1">
        <v>12</v>
      </c>
      <c r="G384" s="1">
        <v>9</v>
      </c>
      <c r="H384" s="1">
        <v>0</v>
      </c>
      <c r="K384" s="1" t="str">
        <f t="shared" si="20"/>
        <v/>
      </c>
      <c r="L384" s="1" t="str">
        <f t="shared" si="21"/>
        <v/>
      </c>
      <c r="M384" s="1" t="str">
        <f t="shared" si="22"/>
        <v/>
      </c>
      <c r="P384" s="1" t="s">
        <v>20</v>
      </c>
      <c r="V384" s="1" t="s">
        <v>28530</v>
      </c>
      <c r="X384" s="1" t="s">
        <v>27842</v>
      </c>
      <c r="AR384" s="1" t="str">
        <f t="shared" si="23"/>
        <v>| [](.md) | [湼](湼.md) |  |  | 「涅」的異體字。 |</v>
      </c>
    </row>
    <row r="385" spans="1:44" hidden="1">
      <c r="A385" s="1" t="s">
        <v>28531</v>
      </c>
      <c r="C385" s="1">
        <v>1</v>
      </c>
      <c r="D385" s="1" t="str">
        <f>"03042-1"</f>
        <v>03042-1</v>
      </c>
      <c r="E385" s="1" t="s">
        <v>7438</v>
      </c>
      <c r="F385" s="1">
        <v>16</v>
      </c>
      <c r="G385" s="1">
        <v>10</v>
      </c>
      <c r="H385" s="1">
        <v>0</v>
      </c>
      <c r="K385" s="1" t="str">
        <f t="shared" si="20"/>
        <v/>
      </c>
      <c r="L385" s="1" t="str">
        <f t="shared" si="21"/>
        <v/>
      </c>
      <c r="M385" s="1" t="str">
        <f t="shared" si="22"/>
        <v/>
      </c>
      <c r="P385" s="1" t="s">
        <v>20</v>
      </c>
      <c r="V385" s="1" t="s">
        <v>28532</v>
      </c>
      <c r="X385" s="1" t="s">
        <v>27842</v>
      </c>
      <c r="AR385" s="1" t="str">
        <f t="shared" si="23"/>
        <v>| [](.md) | [𦤞](𦤞.md) |  |  | 「臲」的異體字。 |</v>
      </c>
    </row>
    <row r="386" spans="1:44" hidden="1">
      <c r="A386" s="1" t="s">
        <v>28533</v>
      </c>
      <c r="C386" s="1">
        <v>1</v>
      </c>
      <c r="D386" s="1" t="str">
        <f>"03057-1"</f>
        <v>03057-1</v>
      </c>
      <c r="E386" s="1" t="s">
        <v>241</v>
      </c>
      <c r="F386" s="1">
        <v>19</v>
      </c>
      <c r="G386" s="1">
        <v>16</v>
      </c>
      <c r="H386" s="1">
        <v>0</v>
      </c>
      <c r="K386" s="1" t="str">
        <f t="shared" ref="K386:K449" si="24">LEFT(I386, 1)</f>
        <v/>
      </c>
      <c r="L386" s="1" t="str">
        <f t="shared" ref="L386:L449" si="25">MID(I386, 2, 1)</f>
        <v/>
      </c>
      <c r="M386" s="1" t="str">
        <f t="shared" ref="M386:M449" si="26">MID(I386, 3, 1)</f>
        <v/>
      </c>
      <c r="P386" s="1" t="s">
        <v>20</v>
      </c>
      <c r="V386" s="1" t="s">
        <v>28534</v>
      </c>
      <c r="X386" s="1" t="s">
        <v>27842</v>
      </c>
      <c r="AR386" s="1" t="str">
        <f t="shared" si="23"/>
        <v>| [](.md) | [孼](孼.md) |  |  | 「孽」的異體字。 |</v>
      </c>
    </row>
    <row r="387" spans="1:44" hidden="1">
      <c r="A387" s="1" t="s">
        <v>28535</v>
      </c>
      <c r="C387" s="1">
        <v>1</v>
      </c>
      <c r="D387" s="1" t="str">
        <f>"03058-1"</f>
        <v>03058-1</v>
      </c>
      <c r="E387" s="1" t="s">
        <v>139</v>
      </c>
      <c r="F387" s="1">
        <v>21</v>
      </c>
      <c r="G387" s="1">
        <v>17</v>
      </c>
      <c r="H387" s="1">
        <v>0</v>
      </c>
      <c r="K387" s="1" t="str">
        <f t="shared" si="24"/>
        <v/>
      </c>
      <c r="L387" s="1" t="str">
        <f t="shared" si="25"/>
        <v/>
      </c>
      <c r="M387" s="1" t="str">
        <f t="shared" si="26"/>
        <v/>
      </c>
      <c r="P387" s="1" t="s">
        <v>20</v>
      </c>
      <c r="V387" s="1" t="s">
        <v>28536</v>
      </c>
      <c r="X387" s="1" t="s">
        <v>27842</v>
      </c>
      <c r="AR387" s="1" t="str">
        <f t="shared" ref="AR387:AR450" si="27">"| ["&amp;I387&amp;"]("&amp;I387&amp;".md) | ["&amp;A387&amp;"]("&amp;A387&amp;".md) | "&amp;" | "&amp;R387&amp;" | "&amp;V387&amp;" |"</f>
        <v>| [](.md) | [蘖](蘖.md) |  |  | 「櫱」的異體字。 |</v>
      </c>
    </row>
    <row r="388" spans="1:44" hidden="1">
      <c r="A388" s="1" t="s">
        <v>28537</v>
      </c>
      <c r="C388" s="1">
        <v>1</v>
      </c>
      <c r="D388" s="1" t="str">
        <f>"03059-1"</f>
        <v>03059-1</v>
      </c>
      <c r="E388" s="1" t="s">
        <v>46</v>
      </c>
      <c r="F388" s="1">
        <v>23</v>
      </c>
      <c r="G388" s="1">
        <v>17</v>
      </c>
      <c r="H388" s="1">
        <v>0</v>
      </c>
      <c r="K388" s="1" t="str">
        <f t="shared" si="24"/>
        <v/>
      </c>
      <c r="L388" s="1" t="str">
        <f t="shared" si="25"/>
        <v/>
      </c>
      <c r="M388" s="1" t="str">
        <f t="shared" si="26"/>
        <v/>
      </c>
      <c r="P388" s="1" t="s">
        <v>20</v>
      </c>
      <c r="V388" s="1" t="s">
        <v>28538</v>
      </c>
      <c r="X388" s="1" t="s">
        <v>27842</v>
      </c>
      <c r="AR388" s="1" t="str">
        <f t="shared" si="27"/>
        <v>| [](.md) | [糵](糵.md) |  |  | 「糱」的異體字。 |</v>
      </c>
    </row>
    <row r="389" spans="1:44" hidden="1">
      <c r="A389" s="1" t="s">
        <v>28539</v>
      </c>
      <c r="C389" s="1">
        <v>1</v>
      </c>
      <c r="D389" s="1" t="str">
        <f>"03061-1"</f>
        <v>03061-1</v>
      </c>
      <c r="E389" s="1" t="s">
        <v>28</v>
      </c>
      <c r="F389" s="1">
        <v>18</v>
      </c>
      <c r="G389" s="1">
        <v>15</v>
      </c>
      <c r="H389" s="1">
        <v>0</v>
      </c>
      <c r="K389" s="1" t="str">
        <f t="shared" si="24"/>
        <v/>
      </c>
      <c r="L389" s="1" t="str">
        <f t="shared" si="25"/>
        <v/>
      </c>
      <c r="M389" s="1" t="str">
        <f t="shared" si="26"/>
        <v/>
      </c>
      <c r="P389" s="1" t="s">
        <v>20</v>
      </c>
      <c r="V389" s="1" t="s">
        <v>28540</v>
      </c>
      <c r="X389" s="1" t="s">
        <v>27842</v>
      </c>
      <c r="AR389" s="1" t="str">
        <f t="shared" si="27"/>
        <v>| [](.md) | [嚙](嚙.md) |  |  | 「齧」的異體字。 |</v>
      </c>
    </row>
    <row r="390" spans="1:44" hidden="1">
      <c r="A390" s="1" t="s">
        <v>28541</v>
      </c>
      <c r="C390" s="1">
        <v>1</v>
      </c>
      <c r="D390" s="1" t="str">
        <f>"03066-1"</f>
        <v>03066-1</v>
      </c>
      <c r="E390" s="1" t="s">
        <v>534</v>
      </c>
      <c r="F390" s="1">
        <v>19</v>
      </c>
      <c r="G390" s="1">
        <v>16</v>
      </c>
      <c r="H390" s="1">
        <v>0</v>
      </c>
      <c r="K390" s="1" t="str">
        <f t="shared" si="24"/>
        <v/>
      </c>
      <c r="L390" s="1" t="str">
        <f t="shared" si="25"/>
        <v/>
      </c>
      <c r="M390" s="1" t="str">
        <f t="shared" si="26"/>
        <v/>
      </c>
      <c r="P390" s="1" t="s">
        <v>20</v>
      </c>
      <c r="V390" s="1" t="s">
        <v>28542</v>
      </c>
      <c r="X390" s="1" t="s">
        <v>27842</v>
      </c>
      <c r="AR390" s="1" t="str">
        <f t="shared" si="27"/>
        <v>| [](.md) | [㜵](㜵.md) |  |  | 「嫋」的異體字。 |</v>
      </c>
    </row>
    <row r="391" spans="1:44" hidden="1">
      <c r="A391" s="1" t="s">
        <v>28543</v>
      </c>
      <c r="C391" s="1">
        <v>1</v>
      </c>
      <c r="D391" s="1" t="str">
        <f>"03081-1"</f>
        <v>03081-1</v>
      </c>
      <c r="E391" s="1" t="s">
        <v>429</v>
      </c>
      <c r="F391" s="1">
        <v>8</v>
      </c>
      <c r="G391" s="1">
        <v>3</v>
      </c>
      <c r="H391" s="1">
        <v>0</v>
      </c>
      <c r="K391" s="1" t="str">
        <f t="shared" si="24"/>
        <v/>
      </c>
      <c r="L391" s="1" t="str">
        <f t="shared" si="25"/>
        <v/>
      </c>
      <c r="M391" s="1" t="str">
        <f t="shared" si="26"/>
        <v/>
      </c>
      <c r="P391" s="1" t="s">
        <v>20</v>
      </c>
      <c r="V391" s="1" t="s">
        <v>28544</v>
      </c>
      <c r="X391" s="1" t="s">
        <v>27842</v>
      </c>
      <c r="AR391" s="1" t="str">
        <f t="shared" si="27"/>
        <v>| [](.md) | [秊](秊.md) |  |  | 「年」的異體字。 |</v>
      </c>
    </row>
    <row r="392" spans="1:44" hidden="1">
      <c r="A392" s="1" t="s">
        <v>10673</v>
      </c>
      <c r="C392" s="1">
        <v>1</v>
      </c>
      <c r="D392" s="1" t="str">
        <f>"03096-1"</f>
        <v>03096-1</v>
      </c>
      <c r="E392" s="1" t="s">
        <v>1027</v>
      </c>
      <c r="F392" s="1">
        <v>3</v>
      </c>
      <c r="G392" s="1">
        <v>0</v>
      </c>
      <c r="H392" s="1">
        <v>0</v>
      </c>
      <c r="K392" s="1" t="str">
        <f t="shared" si="24"/>
        <v/>
      </c>
      <c r="L392" s="1" t="str">
        <f t="shared" si="25"/>
        <v/>
      </c>
      <c r="M392" s="1" t="str">
        <f t="shared" si="26"/>
        <v/>
      </c>
      <c r="P392" s="1" t="s">
        <v>20</v>
      </c>
      <c r="V392" s="1" t="s">
        <v>28545</v>
      </c>
      <c r="X392" s="1" t="s">
        <v>27842</v>
      </c>
      <c r="AR392" s="1" t="str">
        <f t="shared" si="27"/>
        <v>| [](.md) | [廾](廾.md) |  |  | 「廿」的異體字。 |</v>
      </c>
    </row>
    <row r="393" spans="1:44" hidden="1">
      <c r="A393" s="1" t="s">
        <v>28546</v>
      </c>
      <c r="C393" s="1">
        <v>1</v>
      </c>
      <c r="D393" s="1" t="str">
        <f>"03102-1"</f>
        <v>03102-1</v>
      </c>
      <c r="E393" s="1" t="s">
        <v>534</v>
      </c>
      <c r="F393" s="1">
        <v>5</v>
      </c>
      <c r="G393" s="1">
        <v>2</v>
      </c>
      <c r="H393" s="1">
        <v>0</v>
      </c>
      <c r="K393" s="1" t="str">
        <f t="shared" si="24"/>
        <v/>
      </c>
      <c r="L393" s="1" t="str">
        <f t="shared" si="25"/>
        <v/>
      </c>
      <c r="M393" s="1" t="str">
        <f t="shared" si="26"/>
        <v/>
      </c>
      <c r="P393" s="1" t="s">
        <v>20</v>
      </c>
      <c r="V393" s="1" t="s">
        <v>28547</v>
      </c>
      <c r="X393" s="1" t="s">
        <v>27842</v>
      </c>
      <c r="AR393" s="1" t="str">
        <f t="shared" si="27"/>
        <v>| [](.md) | [󱒎](󱒎.md) |  |  | 「娘」的異體字。 |</v>
      </c>
    </row>
    <row r="394" spans="1:44" hidden="1">
      <c r="A394" s="1" t="s">
        <v>28548</v>
      </c>
      <c r="C394" s="1">
        <v>1</v>
      </c>
      <c r="D394" s="1" t="str">
        <f>"03107-1"</f>
        <v>03107-1</v>
      </c>
      <c r="E394" s="1" t="s">
        <v>624</v>
      </c>
      <c r="F394" s="1">
        <v>12</v>
      </c>
      <c r="G394" s="1">
        <v>9</v>
      </c>
      <c r="H394" s="1">
        <v>0</v>
      </c>
      <c r="K394" s="1" t="str">
        <f t="shared" si="24"/>
        <v/>
      </c>
      <c r="L394" s="1" t="str">
        <f t="shared" si="25"/>
        <v/>
      </c>
      <c r="M394" s="1" t="str">
        <f t="shared" si="26"/>
        <v/>
      </c>
      <c r="P394" s="1" t="s">
        <v>20</v>
      </c>
      <c r="V394" s="1" t="s">
        <v>28549</v>
      </c>
      <c r="X394" s="1" t="s">
        <v>27842</v>
      </c>
      <c r="AR394" s="1" t="str">
        <f t="shared" si="27"/>
        <v>| [](.md) | [寕](寕.md) |  |  | 「寧」的異體字。 |</v>
      </c>
    </row>
    <row r="395" spans="1:44" hidden="1">
      <c r="A395" s="1" t="s">
        <v>28550</v>
      </c>
      <c r="C395" s="1">
        <v>1</v>
      </c>
      <c r="D395" s="1" t="str">
        <f>"03107-2"</f>
        <v>03107-2</v>
      </c>
      <c r="E395" s="1" t="s">
        <v>624</v>
      </c>
      <c r="F395" s="1">
        <v>11</v>
      </c>
      <c r="G395" s="1">
        <v>8</v>
      </c>
      <c r="H395" s="1">
        <v>0</v>
      </c>
      <c r="K395" s="1" t="str">
        <f t="shared" si="24"/>
        <v/>
      </c>
      <c r="L395" s="1" t="str">
        <f t="shared" si="25"/>
        <v/>
      </c>
      <c r="M395" s="1" t="str">
        <f t="shared" si="26"/>
        <v/>
      </c>
      <c r="P395" s="1" t="s">
        <v>20</v>
      </c>
      <c r="V395" s="1" t="s">
        <v>28549</v>
      </c>
      <c r="X395" s="1" t="s">
        <v>27842</v>
      </c>
      <c r="AR395" s="1" t="str">
        <f t="shared" si="27"/>
        <v>| [](.md) | [𡨴](𡨴.md) |  |  | 「寧」的異體字。 |</v>
      </c>
    </row>
    <row r="396" spans="1:44" hidden="1">
      <c r="A396" s="1" t="s">
        <v>28551</v>
      </c>
      <c r="C396" s="1">
        <v>1</v>
      </c>
      <c r="D396" s="1" t="str">
        <f>"03107-3"</f>
        <v>03107-3</v>
      </c>
      <c r="E396" s="1" t="s">
        <v>624</v>
      </c>
      <c r="F396" s="1">
        <v>13</v>
      </c>
      <c r="G396" s="1">
        <v>10</v>
      </c>
      <c r="H396" s="1">
        <v>0</v>
      </c>
      <c r="K396" s="1" t="str">
        <f t="shared" si="24"/>
        <v/>
      </c>
      <c r="L396" s="1" t="str">
        <f t="shared" si="25"/>
        <v/>
      </c>
      <c r="M396" s="1" t="str">
        <f t="shared" si="26"/>
        <v/>
      </c>
      <c r="P396" s="1" t="s">
        <v>20</v>
      </c>
      <c r="V396" s="1" t="s">
        <v>28549</v>
      </c>
      <c r="X396" s="1" t="s">
        <v>27842</v>
      </c>
      <c r="AR396" s="1" t="str">
        <f t="shared" si="27"/>
        <v>| [](.md) | [寜](寜.md) |  |  | 「寧」的異體字。 |</v>
      </c>
    </row>
    <row r="397" spans="1:44" hidden="1">
      <c r="A397" s="1" t="s">
        <v>28552</v>
      </c>
      <c r="C397" s="1">
        <v>1</v>
      </c>
      <c r="D397" s="1" t="str">
        <f>"03117-1"</f>
        <v>03117-1</v>
      </c>
      <c r="E397" s="1" t="s">
        <v>839</v>
      </c>
      <c r="F397" s="1">
        <v>12</v>
      </c>
      <c r="G397" s="1">
        <v>7</v>
      </c>
      <c r="H397" s="1">
        <v>0</v>
      </c>
      <c r="K397" s="1" t="str">
        <f t="shared" si="24"/>
        <v/>
      </c>
      <c r="L397" s="1" t="str">
        <f t="shared" si="25"/>
        <v/>
      </c>
      <c r="M397" s="1" t="str">
        <f t="shared" si="26"/>
        <v/>
      </c>
      <c r="P397" s="1" t="s">
        <v>20</v>
      </c>
      <c r="V397" s="1" t="s">
        <v>28553</v>
      </c>
      <c r="X397" s="1" t="s">
        <v>27842</v>
      </c>
      <c r="AR397" s="1" t="str">
        <f t="shared" si="27"/>
        <v>| [](.md) | [寗](寗.md) |  |  | 「甯」的異體字。 |</v>
      </c>
    </row>
    <row r="398" spans="1:44" hidden="1">
      <c r="A398" s="1" t="s">
        <v>28554</v>
      </c>
      <c r="C398" s="1">
        <v>1</v>
      </c>
      <c r="D398" s="1" t="str">
        <f>"03143-1"</f>
        <v>03143-1</v>
      </c>
      <c r="E398" s="1" t="s">
        <v>250</v>
      </c>
      <c r="F398" s="1">
        <v>12</v>
      </c>
      <c r="G398" s="1">
        <v>9</v>
      </c>
      <c r="H398" s="1">
        <v>0</v>
      </c>
      <c r="K398" s="1" t="str">
        <f t="shared" si="24"/>
        <v/>
      </c>
      <c r="L398" s="1" t="str">
        <f t="shared" si="25"/>
        <v/>
      </c>
      <c r="M398" s="1" t="str">
        <f t="shared" si="26"/>
        <v/>
      </c>
      <c r="P398" s="1" t="s">
        <v>20</v>
      </c>
      <c r="V398" s="1" t="s">
        <v>28555</v>
      </c>
      <c r="X398" s="1" t="s">
        <v>27842</v>
      </c>
      <c r="AR398" s="1" t="str">
        <f t="shared" si="27"/>
        <v>| [](.md) | [愞](愞.md) |  |  | 「懦」的異體字。 |</v>
      </c>
    </row>
    <row r="399" spans="1:44" hidden="1">
      <c r="A399" s="1" t="s">
        <v>28556</v>
      </c>
      <c r="C399" s="1">
        <v>1</v>
      </c>
      <c r="D399" s="1" t="str">
        <f>"03144-1"</f>
        <v>03144-1</v>
      </c>
      <c r="E399" s="1" t="s">
        <v>429</v>
      </c>
      <c r="F399" s="1">
        <v>14</v>
      </c>
      <c r="G399" s="1">
        <v>9</v>
      </c>
      <c r="H399" s="1">
        <v>0</v>
      </c>
      <c r="K399" s="1" t="str">
        <f t="shared" si="24"/>
        <v/>
      </c>
      <c r="L399" s="1" t="str">
        <f t="shared" si="25"/>
        <v/>
      </c>
      <c r="M399" s="1" t="str">
        <f t="shared" si="26"/>
        <v/>
      </c>
      <c r="P399" s="1" t="s">
        <v>20</v>
      </c>
      <c r="V399" s="1" t="s">
        <v>28557</v>
      </c>
      <c r="X399" s="1" t="s">
        <v>27842</v>
      </c>
      <c r="AR399" s="1" t="str">
        <f t="shared" si="27"/>
        <v>| [](.md) | [稬](稬.md) |  |  | 「糯」的異體字。 |</v>
      </c>
    </row>
    <row r="400" spans="1:44" hidden="1">
      <c r="A400" s="1" t="s">
        <v>28558</v>
      </c>
      <c r="C400" s="1">
        <v>1</v>
      </c>
      <c r="D400" s="1" t="str">
        <f>"03144-2"</f>
        <v>03144-2</v>
      </c>
      <c r="E400" s="1" t="s">
        <v>429</v>
      </c>
      <c r="F400" s="1">
        <v>19</v>
      </c>
      <c r="G400" s="1">
        <v>14</v>
      </c>
      <c r="H400" s="1">
        <v>0</v>
      </c>
      <c r="K400" s="1" t="str">
        <f t="shared" si="24"/>
        <v/>
      </c>
      <c r="L400" s="1" t="str">
        <f t="shared" si="25"/>
        <v/>
      </c>
      <c r="M400" s="1" t="str">
        <f t="shared" si="26"/>
        <v/>
      </c>
      <c r="P400" s="1" t="s">
        <v>20</v>
      </c>
      <c r="V400" s="1" t="s">
        <v>28557</v>
      </c>
      <c r="X400" s="1" t="s">
        <v>27842</v>
      </c>
      <c r="AR400" s="1" t="str">
        <f t="shared" si="27"/>
        <v>| [](.md) | [穤](穤.md) |  |  | 「糯」的異體字。 |</v>
      </c>
    </row>
    <row r="401" spans="1:44" hidden="1">
      <c r="A401" s="1" t="s">
        <v>28559</v>
      </c>
      <c r="C401" s="1">
        <v>1</v>
      </c>
      <c r="D401" s="1" t="str">
        <f>"03147-1"</f>
        <v>03147-1</v>
      </c>
      <c r="E401" s="1" t="s">
        <v>336</v>
      </c>
      <c r="F401" s="1">
        <v>13</v>
      </c>
      <c r="G401" s="1">
        <v>9</v>
      </c>
      <c r="H401" s="1">
        <v>0</v>
      </c>
      <c r="K401" s="1" t="str">
        <f t="shared" si="24"/>
        <v/>
      </c>
      <c r="L401" s="1" t="str">
        <f t="shared" si="25"/>
        <v/>
      </c>
      <c r="M401" s="1" t="str">
        <f t="shared" si="26"/>
        <v/>
      </c>
      <c r="P401" s="1" t="s">
        <v>20</v>
      </c>
      <c r="V401" s="1" t="s">
        <v>28560</v>
      </c>
      <c r="X401" s="1" t="s">
        <v>27842</v>
      </c>
      <c r="AR401" s="1" t="str">
        <f t="shared" si="27"/>
        <v>| [](.md) | [煖](煖.md) |  |  | 「暖」的異體字。 |</v>
      </c>
    </row>
    <row r="402" spans="1:44" hidden="1">
      <c r="A402" s="1" t="s">
        <v>28561</v>
      </c>
      <c r="C402" s="1">
        <v>1</v>
      </c>
      <c r="D402" s="1" t="str">
        <f>"03149-1"</f>
        <v>03149-1</v>
      </c>
      <c r="E402" s="1" t="s">
        <v>7720</v>
      </c>
      <c r="F402" s="1">
        <v>15</v>
      </c>
      <c r="G402" s="1">
        <v>8</v>
      </c>
      <c r="H402" s="1">
        <v>0</v>
      </c>
      <c r="K402" s="1" t="str">
        <f t="shared" si="24"/>
        <v/>
      </c>
      <c r="L402" s="1" t="str">
        <f t="shared" si="25"/>
        <v/>
      </c>
      <c r="M402" s="1" t="str">
        <f t="shared" si="26"/>
        <v/>
      </c>
      <c r="P402" s="1" t="s">
        <v>20</v>
      </c>
      <c r="V402" s="1" t="s">
        <v>28562</v>
      </c>
      <c r="X402" s="1" t="s">
        <v>27842</v>
      </c>
      <c r="AR402" s="1" t="str">
        <f t="shared" si="27"/>
        <v>| [](.md) | [辳](辳.md) |  |  | 「農」的異體字。 |</v>
      </c>
    </row>
    <row r="403" spans="1:44" hidden="1">
      <c r="A403" s="1" t="s">
        <v>28563</v>
      </c>
      <c r="C403" s="1">
        <v>1</v>
      </c>
      <c r="D403" s="1" t="str">
        <f>"03154-1"</f>
        <v>03154-1</v>
      </c>
      <c r="E403" s="1" t="s">
        <v>40</v>
      </c>
      <c r="F403" s="1">
        <v>18</v>
      </c>
      <c r="G403" s="1">
        <v>13</v>
      </c>
      <c r="H403" s="1">
        <v>0</v>
      </c>
      <c r="K403" s="1" t="str">
        <f t="shared" si="24"/>
        <v/>
      </c>
      <c r="L403" s="1" t="str">
        <f t="shared" si="25"/>
        <v/>
      </c>
      <c r="M403" s="1" t="str">
        <f t="shared" si="26"/>
        <v/>
      </c>
      <c r="P403" s="1" t="s">
        <v>20</v>
      </c>
      <c r="V403" s="1" t="s">
        <v>28564</v>
      </c>
      <c r="X403" s="1" t="s">
        <v>27842</v>
      </c>
      <c r="AR403" s="1" t="str">
        <f t="shared" si="27"/>
        <v>| [](.md) | [癑](癑.md) |  |  | 「膿」的異體字。 |</v>
      </c>
    </row>
    <row r="404" spans="1:44" hidden="1">
      <c r="A404" s="1" t="s">
        <v>28565</v>
      </c>
      <c r="C404" s="1">
        <v>1</v>
      </c>
      <c r="D404" s="1" t="str">
        <f>"03164-1"</f>
        <v>03164-1</v>
      </c>
      <c r="E404" s="1" t="s">
        <v>1681</v>
      </c>
      <c r="F404" s="1">
        <v>9</v>
      </c>
      <c r="G404" s="1">
        <v>3</v>
      </c>
      <c r="H404" s="1">
        <v>0</v>
      </c>
      <c r="K404" s="1" t="str">
        <f t="shared" si="24"/>
        <v/>
      </c>
      <c r="L404" s="1" t="str">
        <f t="shared" si="25"/>
        <v/>
      </c>
      <c r="M404" s="1" t="str">
        <f t="shared" si="26"/>
        <v/>
      </c>
      <c r="P404" s="1" t="s">
        <v>20</v>
      </c>
      <c r="V404" s="1" t="s">
        <v>28566</v>
      </c>
      <c r="X404" s="1" t="s">
        <v>27842</v>
      </c>
      <c r="AR404" s="1" t="str">
        <f t="shared" si="27"/>
        <v>| [](.md) | [󸧻](󸧻.md) |  |  | 「衄」的異體字。 |</v>
      </c>
    </row>
    <row r="405" spans="1:44" hidden="1">
      <c r="A405" s="1" t="s">
        <v>28567</v>
      </c>
      <c r="C405" s="1">
        <v>1</v>
      </c>
      <c r="D405" s="1" t="str">
        <f>"03164-2"</f>
        <v>03164-2</v>
      </c>
      <c r="E405" s="1" t="s">
        <v>889</v>
      </c>
      <c r="F405" s="1">
        <v>18</v>
      </c>
      <c r="G405" s="1">
        <v>4</v>
      </c>
      <c r="H405" s="1">
        <v>0</v>
      </c>
      <c r="K405" s="1" t="str">
        <f t="shared" si="24"/>
        <v/>
      </c>
      <c r="L405" s="1" t="str">
        <f t="shared" si="25"/>
        <v/>
      </c>
      <c r="M405" s="1" t="str">
        <f t="shared" si="26"/>
        <v/>
      </c>
      <c r="P405" s="1" t="s">
        <v>20</v>
      </c>
      <c r="V405" s="1" t="s">
        <v>28566</v>
      </c>
      <c r="X405" s="1" t="s">
        <v>27842</v>
      </c>
      <c r="AR405" s="1" t="str">
        <f t="shared" si="27"/>
        <v>| [](.md) | [䶊](䶊.md) |  |  | 「衄」的異體字。 |</v>
      </c>
    </row>
    <row r="406" spans="1:44" hidden="1">
      <c r="A406" s="1" t="s">
        <v>16220</v>
      </c>
      <c r="C406" s="1">
        <v>1</v>
      </c>
      <c r="D406" s="1" t="str">
        <f>"03181-1"</f>
        <v>03181-1</v>
      </c>
      <c r="E406" s="1" t="s">
        <v>68</v>
      </c>
      <c r="F406" s="1">
        <v>12</v>
      </c>
      <c r="G406" s="1">
        <v>8</v>
      </c>
      <c r="H406" s="1">
        <v>0</v>
      </c>
      <c r="K406" s="1" t="str">
        <f t="shared" si="24"/>
        <v/>
      </c>
      <c r="L406" s="1" t="str">
        <f t="shared" si="25"/>
        <v/>
      </c>
      <c r="M406" s="1" t="str">
        <f t="shared" si="26"/>
        <v/>
      </c>
      <c r="P406" s="1" t="s">
        <v>20</v>
      </c>
      <c r="V406" s="1" t="s">
        <v>28568</v>
      </c>
      <c r="X406" s="1" t="s">
        <v>27842</v>
      </c>
      <c r="AR406" s="1" t="str">
        <f t="shared" si="27"/>
        <v>| [](.md) | [腊](腊.md) |  |  | 「臘」的異體字。 |</v>
      </c>
    </row>
    <row r="407" spans="1:44" hidden="1">
      <c r="A407" s="1" t="s">
        <v>28569</v>
      </c>
      <c r="C407" s="1">
        <v>1</v>
      </c>
      <c r="D407" s="1" t="str">
        <f>"03181-2"</f>
        <v>03181-2</v>
      </c>
      <c r="E407" s="1" t="s">
        <v>68</v>
      </c>
      <c r="F407" s="1">
        <v>17</v>
      </c>
      <c r="G407" s="1">
        <v>13</v>
      </c>
      <c r="H407" s="1">
        <v>0</v>
      </c>
      <c r="K407" s="1" t="str">
        <f t="shared" si="24"/>
        <v/>
      </c>
      <c r="L407" s="1" t="str">
        <f t="shared" si="25"/>
        <v/>
      </c>
      <c r="M407" s="1" t="str">
        <f t="shared" si="26"/>
        <v/>
      </c>
      <c r="P407" s="1" t="s">
        <v>20</v>
      </c>
      <c r="V407" s="1" t="s">
        <v>28568</v>
      </c>
      <c r="X407" s="1" t="s">
        <v>27842</v>
      </c>
      <c r="AR407" s="1" t="str">
        <f t="shared" si="27"/>
        <v>| [](.md) | [臈](臈.md) |  |  | 「臘」的異體字。 |</v>
      </c>
    </row>
    <row r="408" spans="1:44" hidden="1">
      <c r="A408" s="1" t="s">
        <v>18107</v>
      </c>
      <c r="C408" s="1">
        <v>1</v>
      </c>
      <c r="D408" s="1" t="str">
        <f>"03182-1"</f>
        <v>03182-1</v>
      </c>
      <c r="E408" s="1" t="s">
        <v>679</v>
      </c>
      <c r="F408" s="1">
        <v>14</v>
      </c>
      <c r="G408" s="1">
        <v>8</v>
      </c>
      <c r="H408" s="1">
        <v>0</v>
      </c>
      <c r="K408" s="1" t="str">
        <f t="shared" si="24"/>
        <v/>
      </c>
      <c r="L408" s="1" t="str">
        <f t="shared" si="25"/>
        <v/>
      </c>
      <c r="M408" s="1" t="str">
        <f t="shared" si="26"/>
        <v/>
      </c>
      <c r="P408" s="1" t="s">
        <v>20</v>
      </c>
      <c r="V408" s="1" t="s">
        <v>28570</v>
      </c>
      <c r="X408" s="1" t="s">
        <v>27842</v>
      </c>
      <c r="AR408" s="1" t="str">
        <f t="shared" si="27"/>
        <v>| [](.md) | [蜡](蜡.md) |  |  | 「蠟」的異體字。 |</v>
      </c>
    </row>
    <row r="409" spans="1:44" hidden="1">
      <c r="A409" s="1" t="s">
        <v>28571</v>
      </c>
      <c r="C409" s="1">
        <v>1</v>
      </c>
      <c r="D409" s="1" t="str">
        <f>"03182-2"</f>
        <v>03182-2</v>
      </c>
      <c r="E409" s="1" t="s">
        <v>679</v>
      </c>
      <c r="F409" s="1">
        <v>19</v>
      </c>
      <c r="G409" s="1">
        <v>13</v>
      </c>
      <c r="H409" s="1">
        <v>0</v>
      </c>
      <c r="K409" s="1" t="str">
        <f t="shared" si="24"/>
        <v/>
      </c>
      <c r="L409" s="1" t="str">
        <f t="shared" si="25"/>
        <v/>
      </c>
      <c r="M409" s="1" t="str">
        <f t="shared" si="26"/>
        <v/>
      </c>
      <c r="P409" s="1" t="s">
        <v>20</v>
      </c>
      <c r="V409" s="1" t="s">
        <v>28570</v>
      </c>
      <c r="X409" s="1" t="s">
        <v>27842</v>
      </c>
      <c r="AR409" s="1" t="str">
        <f t="shared" si="27"/>
        <v>| [](.md) | [䗶](䗶.md) |  |  | 「蠟」的異體字。 |</v>
      </c>
    </row>
    <row r="410" spans="1:44" hidden="1">
      <c r="A410" s="1" t="s">
        <v>28572</v>
      </c>
      <c r="C410" s="1">
        <v>1</v>
      </c>
      <c r="D410" s="1" t="str">
        <f>"03183-1"</f>
        <v>03183-1</v>
      </c>
      <c r="E410" s="1" t="s">
        <v>55</v>
      </c>
      <c r="F410" s="1">
        <v>21</v>
      </c>
      <c r="G410" s="1">
        <v>13</v>
      </c>
      <c r="H410" s="1">
        <v>0</v>
      </c>
      <c r="K410" s="1" t="str">
        <f t="shared" si="24"/>
        <v/>
      </c>
      <c r="L410" s="1" t="str">
        <f t="shared" si="25"/>
        <v/>
      </c>
      <c r="M410" s="1" t="str">
        <f t="shared" si="26"/>
        <v/>
      </c>
      <c r="P410" s="1" t="s">
        <v>20</v>
      </c>
      <c r="V410" s="1" t="s">
        <v>28573</v>
      </c>
      <c r="X410" s="1" t="s">
        <v>27842</v>
      </c>
      <c r="AR410" s="1" t="str">
        <f t="shared" si="27"/>
        <v>| [](.md) | [𨭛](𨭛.md) |  |  | 「鑞」的異體字。 |</v>
      </c>
    </row>
    <row r="411" spans="1:44" hidden="1">
      <c r="A411" s="1" t="s">
        <v>28574</v>
      </c>
      <c r="C411" s="1">
        <v>1</v>
      </c>
      <c r="D411" s="1" t="str">
        <f>"03197-1"</f>
        <v>03197-1</v>
      </c>
      <c r="E411" s="1" t="s">
        <v>139</v>
      </c>
      <c r="F411" s="1">
        <v>5</v>
      </c>
      <c r="G411" s="1">
        <v>1</v>
      </c>
      <c r="H411" s="1">
        <v>0</v>
      </c>
      <c r="K411" s="1" t="str">
        <f t="shared" si="24"/>
        <v/>
      </c>
      <c r="L411" s="1" t="str">
        <f t="shared" si="25"/>
        <v/>
      </c>
      <c r="M411" s="1" t="str">
        <f t="shared" si="26"/>
        <v/>
      </c>
      <c r="P411" s="1" t="s">
        <v>20</v>
      </c>
      <c r="V411" s="1" t="s">
        <v>28575</v>
      </c>
      <c r="X411" s="1" t="s">
        <v>27842</v>
      </c>
      <c r="AR411" s="1" t="str">
        <f t="shared" si="27"/>
        <v>| [](.md) | [乐](乐.md) |  |  | 「樂」的異體字。 |</v>
      </c>
    </row>
    <row r="412" spans="1:44" hidden="1">
      <c r="A412" s="1" t="s">
        <v>28576</v>
      </c>
      <c r="C412" s="1">
        <v>1</v>
      </c>
      <c r="D412" s="1" t="str">
        <f>"03218-1"</f>
        <v>03218-1</v>
      </c>
      <c r="E412" s="1" t="s">
        <v>684</v>
      </c>
      <c r="F412" s="1">
        <v>16</v>
      </c>
      <c r="G412" s="1">
        <v>7</v>
      </c>
      <c r="H412" s="1">
        <v>0</v>
      </c>
      <c r="K412" s="1" t="str">
        <f t="shared" si="24"/>
        <v/>
      </c>
      <c r="L412" s="1" t="str">
        <f t="shared" si="25"/>
        <v/>
      </c>
      <c r="M412" s="1" t="str">
        <f t="shared" si="26"/>
        <v/>
      </c>
      <c r="P412" s="1" t="s">
        <v>20</v>
      </c>
      <c r="V412" s="1" t="s">
        <v>28577</v>
      </c>
      <c r="X412" s="1" t="s">
        <v>27842</v>
      </c>
      <c r="AR412" s="1" t="str">
        <f t="shared" si="27"/>
        <v>| [](.md) | [頼](頼.md) |  |  | 「賴」的異體字。 |</v>
      </c>
    </row>
    <row r="413" spans="1:44" hidden="1">
      <c r="A413" s="1" t="s">
        <v>28578</v>
      </c>
      <c r="C413" s="1">
        <v>1</v>
      </c>
      <c r="D413" s="1" t="str">
        <f>"03226-1"</f>
        <v>03226-1</v>
      </c>
      <c r="E413" s="1" t="s">
        <v>37</v>
      </c>
      <c r="F413" s="1">
        <v>25</v>
      </c>
      <c r="G413" s="1">
        <v>21</v>
      </c>
      <c r="H413" s="1">
        <v>0</v>
      </c>
      <c r="K413" s="1" t="str">
        <f t="shared" si="24"/>
        <v/>
      </c>
      <c r="L413" s="1" t="str">
        <f t="shared" si="25"/>
        <v/>
      </c>
      <c r="M413" s="1" t="str">
        <f t="shared" si="26"/>
        <v/>
      </c>
      <c r="P413" s="1" t="s">
        <v>20</v>
      </c>
      <c r="V413" s="1" t="s">
        <v>28579</v>
      </c>
      <c r="X413" s="1" t="s">
        <v>27842</v>
      </c>
      <c r="AR413" s="1" t="str">
        <f t="shared" si="27"/>
        <v>| [](.md) | [虆](虆.md) |  |  | 「蔂」的異體字。 |</v>
      </c>
    </row>
    <row r="414" spans="1:44" hidden="1">
      <c r="A414" s="1" t="s">
        <v>28580</v>
      </c>
      <c r="C414" s="1">
        <v>1</v>
      </c>
      <c r="D414" s="1" t="str">
        <f>"03228-1"</f>
        <v>03228-1</v>
      </c>
      <c r="E414" s="1" t="s">
        <v>125</v>
      </c>
      <c r="F414" s="1">
        <v>23</v>
      </c>
      <c r="G414" s="1">
        <v>15</v>
      </c>
      <c r="H414" s="1">
        <v>0</v>
      </c>
      <c r="K414" s="1" t="str">
        <f t="shared" si="24"/>
        <v/>
      </c>
      <c r="L414" s="1" t="str">
        <f t="shared" si="25"/>
        <v/>
      </c>
      <c r="M414" s="1" t="str">
        <f t="shared" si="26"/>
        <v/>
      </c>
      <c r="P414" s="1" t="s">
        <v>20</v>
      </c>
      <c r="V414" s="1" t="s">
        <v>28581</v>
      </c>
      <c r="X414" s="1" t="s">
        <v>27842</v>
      </c>
      <c r="AR414" s="1" t="str">
        <f t="shared" si="27"/>
        <v>| [](.md) | [靁](靁.md) |  |  | 「雷」的異體字。 |</v>
      </c>
    </row>
    <row r="415" spans="1:44" hidden="1">
      <c r="A415" s="1" t="s">
        <v>28582</v>
      </c>
      <c r="C415" s="1">
        <v>1</v>
      </c>
      <c r="D415" s="1" t="str">
        <f>"03229-1"</f>
        <v>03229-1</v>
      </c>
      <c r="E415" s="1" t="s">
        <v>24</v>
      </c>
      <c r="F415" s="1">
        <v>18</v>
      </c>
      <c r="G415" s="1">
        <v>15</v>
      </c>
      <c r="H415" s="1">
        <v>0</v>
      </c>
      <c r="K415" s="1" t="str">
        <f t="shared" si="24"/>
        <v/>
      </c>
      <c r="L415" s="1" t="str">
        <f t="shared" si="25"/>
        <v/>
      </c>
      <c r="M415" s="1" t="str">
        <f t="shared" si="26"/>
        <v/>
      </c>
      <c r="P415" s="1" t="s">
        <v>20</v>
      </c>
      <c r="V415" s="1" t="s">
        <v>28583</v>
      </c>
      <c r="X415" s="1" t="s">
        <v>27842</v>
      </c>
      <c r="AR415" s="1" t="str">
        <f t="shared" si="27"/>
        <v>| [](.md) | [攂](攂.md) |  |  | 「擂」的異體字。 |</v>
      </c>
    </row>
    <row r="416" spans="1:44" hidden="1">
      <c r="A416" s="1" t="s">
        <v>28584</v>
      </c>
      <c r="C416" s="1">
        <v>1</v>
      </c>
      <c r="D416" s="1" t="str">
        <f>"03250-1"</f>
        <v>03250-1</v>
      </c>
      <c r="E416" s="1" t="s">
        <v>129</v>
      </c>
      <c r="F416" s="1">
        <v>8</v>
      </c>
      <c r="G416" s="1">
        <v>5</v>
      </c>
      <c r="H416" s="1">
        <v>0</v>
      </c>
      <c r="K416" s="1" t="str">
        <f t="shared" si="24"/>
        <v/>
      </c>
      <c r="L416" s="1" t="str">
        <f t="shared" si="25"/>
        <v/>
      </c>
      <c r="M416" s="1" t="str">
        <f t="shared" si="26"/>
        <v/>
      </c>
      <c r="P416" s="1" t="s">
        <v>20</v>
      </c>
      <c r="V416" s="1" t="s">
        <v>28585</v>
      </c>
      <c r="X416" s="1" t="s">
        <v>27842</v>
      </c>
      <c r="AR416" s="1" t="str">
        <f t="shared" si="27"/>
        <v>| [](.md) | [泪](泪.md) |  |  | 「淚」的異體字。 |</v>
      </c>
    </row>
    <row r="417" spans="1:44" hidden="1">
      <c r="A417" s="1" t="s">
        <v>7973</v>
      </c>
      <c r="C417" s="1">
        <v>1</v>
      </c>
      <c r="D417" s="1" t="str">
        <f>"03254-1"</f>
        <v>03254-1</v>
      </c>
      <c r="E417" s="1" t="s">
        <v>169</v>
      </c>
      <c r="F417" s="1">
        <v>20</v>
      </c>
      <c r="G417" s="1">
        <v>15</v>
      </c>
      <c r="H417" s="1">
        <v>0</v>
      </c>
      <c r="K417" s="1" t="str">
        <f t="shared" si="24"/>
        <v/>
      </c>
      <c r="L417" s="1" t="str">
        <f t="shared" si="25"/>
        <v/>
      </c>
      <c r="M417" s="1" t="str">
        <f t="shared" si="26"/>
        <v/>
      </c>
      <c r="P417" s="1" t="s">
        <v>20</v>
      </c>
      <c r="V417" s="1" t="s">
        <v>28586</v>
      </c>
      <c r="X417" s="1" t="s">
        <v>27842</v>
      </c>
      <c r="AR417" s="1" t="str">
        <f t="shared" si="27"/>
        <v>| [](.md) | [礧](礧.md) |  |  | 「礌」的異體字。 |</v>
      </c>
    </row>
    <row r="418" spans="1:44" hidden="1">
      <c r="A418" s="1" t="s">
        <v>28587</v>
      </c>
      <c r="C418" s="1">
        <v>1</v>
      </c>
      <c r="D418" s="1" t="str">
        <f>"03255-2"</f>
        <v>03255-2</v>
      </c>
      <c r="E418" s="1" t="s">
        <v>684</v>
      </c>
      <c r="F418" s="1">
        <v>18</v>
      </c>
      <c r="G418" s="1">
        <v>9</v>
      </c>
      <c r="H418" s="1">
        <v>0</v>
      </c>
      <c r="K418" s="1" t="str">
        <f t="shared" si="24"/>
        <v/>
      </c>
      <c r="L418" s="1" t="str">
        <f t="shared" si="25"/>
        <v/>
      </c>
      <c r="M418" s="1" t="str">
        <f t="shared" si="26"/>
        <v/>
      </c>
      <c r="P418" s="1" t="s">
        <v>20</v>
      </c>
      <c r="V418" s="1" t="s">
        <v>28588</v>
      </c>
      <c r="X418" s="1" t="s">
        <v>27842</v>
      </c>
      <c r="AR418" s="1" t="str">
        <f t="shared" si="27"/>
        <v>| [](.md) | [𩔗](𩔗.md) |  |  | 「類」的異體字。 |</v>
      </c>
    </row>
    <row r="419" spans="1:44" hidden="1">
      <c r="A419" s="1" t="s">
        <v>28589</v>
      </c>
      <c r="C419" s="1">
        <v>1</v>
      </c>
      <c r="D419" s="1" t="str">
        <f>"03261-1"</f>
        <v>03261-1</v>
      </c>
      <c r="E419" s="1" t="s">
        <v>245</v>
      </c>
      <c r="F419" s="1">
        <v>8</v>
      </c>
      <c r="G419" s="1">
        <v>6</v>
      </c>
      <c r="H419" s="1">
        <v>0</v>
      </c>
      <c r="K419" s="1" t="str">
        <f t="shared" si="24"/>
        <v/>
      </c>
      <c r="L419" s="1" t="str">
        <f t="shared" si="25"/>
        <v/>
      </c>
      <c r="M419" s="1" t="str">
        <f t="shared" si="26"/>
        <v/>
      </c>
      <c r="P419" s="1" t="s">
        <v>20</v>
      </c>
      <c r="V419" s="1" t="s">
        <v>28590</v>
      </c>
      <c r="X419" s="1" t="s">
        <v>27842</v>
      </c>
      <c r="AR419" s="1" t="str">
        <f t="shared" si="27"/>
        <v>| [](.md) | [劳](劳.md) |  |  | 「勞」的異體字。 |</v>
      </c>
    </row>
    <row r="420" spans="1:44" hidden="1">
      <c r="A420" s="1" t="s">
        <v>28591</v>
      </c>
      <c r="C420" s="1">
        <v>1</v>
      </c>
      <c r="D420" s="1" t="str">
        <f>"03289-1"</f>
        <v>03289-1</v>
      </c>
      <c r="E420" s="1" t="s">
        <v>534</v>
      </c>
      <c r="F420" s="1">
        <v>9</v>
      </c>
      <c r="G420" s="1">
        <v>6</v>
      </c>
      <c r="H420" s="1">
        <v>0</v>
      </c>
      <c r="K420" s="1" t="str">
        <f t="shared" si="24"/>
        <v/>
      </c>
      <c r="L420" s="1" t="str">
        <f t="shared" si="25"/>
        <v/>
      </c>
      <c r="M420" s="1" t="str">
        <f t="shared" si="26"/>
        <v/>
      </c>
      <c r="P420" s="1" t="s">
        <v>20</v>
      </c>
      <c r="V420" s="1" t="s">
        <v>28592</v>
      </c>
      <c r="X420" s="1" t="s">
        <v>27842</v>
      </c>
      <c r="AR420" s="1" t="str">
        <f t="shared" si="27"/>
        <v>| [](.md) | [娄](娄.md) |  |  | 「婁」的異體字。 |</v>
      </c>
    </row>
    <row r="421" spans="1:44" hidden="1">
      <c r="A421" s="1" t="s">
        <v>28593</v>
      </c>
      <c r="C421" s="1">
        <v>1</v>
      </c>
      <c r="D421" s="1" t="str">
        <f>"03290-1"</f>
        <v>03290-1</v>
      </c>
      <c r="E421" s="1" t="s">
        <v>114</v>
      </c>
      <c r="F421" s="1">
        <v>11</v>
      </c>
      <c r="G421" s="1">
        <v>9</v>
      </c>
      <c r="H421" s="1">
        <v>0</v>
      </c>
      <c r="K421" s="1" t="str">
        <f t="shared" si="24"/>
        <v/>
      </c>
      <c r="L421" s="1" t="str">
        <f t="shared" si="25"/>
        <v/>
      </c>
      <c r="M421" s="1" t="str">
        <f t="shared" si="26"/>
        <v/>
      </c>
      <c r="P421" s="1" t="s">
        <v>20</v>
      </c>
      <c r="V421" s="1" t="s">
        <v>28594</v>
      </c>
      <c r="X421" s="1" t="s">
        <v>27842</v>
      </c>
      <c r="AR421" s="1" t="str">
        <f t="shared" si="27"/>
        <v>| [](.md) | [偻](偻.md) |  |  | 「僂」的異體字。 |</v>
      </c>
    </row>
    <row r="422" spans="1:44" hidden="1">
      <c r="A422" s="1" t="s">
        <v>28595</v>
      </c>
      <c r="C422" s="1">
        <v>1</v>
      </c>
      <c r="D422" s="1" t="str">
        <f>"03295-1"</f>
        <v>03295-1</v>
      </c>
      <c r="E422" s="1" t="s">
        <v>28</v>
      </c>
      <c r="F422" s="1">
        <v>12</v>
      </c>
      <c r="G422" s="1">
        <v>9</v>
      </c>
      <c r="H422" s="1">
        <v>0</v>
      </c>
      <c r="K422" s="1" t="str">
        <f t="shared" si="24"/>
        <v/>
      </c>
      <c r="L422" s="1" t="str">
        <f t="shared" si="25"/>
        <v/>
      </c>
      <c r="M422" s="1" t="str">
        <f t="shared" si="26"/>
        <v/>
      </c>
      <c r="P422" s="1" t="s">
        <v>20</v>
      </c>
      <c r="V422" s="1" t="s">
        <v>28596</v>
      </c>
      <c r="X422" s="1" t="s">
        <v>27842</v>
      </c>
      <c r="AR422" s="1" t="str">
        <f t="shared" si="27"/>
        <v>| [](.md) | [喽](喽.md) |  |  | 「嘍」的異體字。 |</v>
      </c>
    </row>
    <row r="423" spans="1:44" hidden="1">
      <c r="A423" s="1" t="s">
        <v>28597</v>
      </c>
      <c r="C423" s="1">
        <v>1</v>
      </c>
      <c r="D423" s="1" t="str">
        <f>"03296-1"</f>
        <v>03296-1</v>
      </c>
      <c r="E423" s="1" t="s">
        <v>139</v>
      </c>
      <c r="F423" s="1">
        <v>13</v>
      </c>
      <c r="G423" s="1">
        <v>9</v>
      </c>
      <c r="H423" s="1">
        <v>0</v>
      </c>
      <c r="K423" s="1" t="str">
        <f t="shared" si="24"/>
        <v/>
      </c>
      <c r="L423" s="1" t="str">
        <f t="shared" si="25"/>
        <v/>
      </c>
      <c r="M423" s="1" t="str">
        <f t="shared" si="26"/>
        <v/>
      </c>
      <c r="P423" s="1" t="s">
        <v>20</v>
      </c>
      <c r="V423" s="1" t="s">
        <v>28598</v>
      </c>
      <c r="X423" s="1" t="s">
        <v>27842</v>
      </c>
      <c r="AR423" s="1" t="str">
        <f t="shared" si="27"/>
        <v>| [](.md) | [楼](楼.md) |  |  | 「樓」的異體字。 |</v>
      </c>
    </row>
    <row r="424" spans="1:44" hidden="1">
      <c r="A424" s="1" t="s">
        <v>28599</v>
      </c>
      <c r="C424" s="1">
        <v>1</v>
      </c>
      <c r="D424" s="1" t="str">
        <f>"03299-1"</f>
        <v>03299-1</v>
      </c>
      <c r="E424" s="1" t="s">
        <v>679</v>
      </c>
      <c r="F424" s="1">
        <v>15</v>
      </c>
      <c r="G424" s="1">
        <v>9</v>
      </c>
      <c r="H424" s="1">
        <v>0</v>
      </c>
      <c r="K424" s="1" t="str">
        <f t="shared" si="24"/>
        <v/>
      </c>
      <c r="L424" s="1" t="str">
        <f t="shared" si="25"/>
        <v/>
      </c>
      <c r="M424" s="1" t="str">
        <f t="shared" si="26"/>
        <v/>
      </c>
      <c r="P424" s="1" t="s">
        <v>20</v>
      </c>
      <c r="V424" s="1" t="s">
        <v>28600</v>
      </c>
      <c r="X424" s="1" t="s">
        <v>27842</v>
      </c>
      <c r="AR424" s="1" t="str">
        <f t="shared" si="27"/>
        <v>| [](.md) | [蝼](蝼.md) |  |  | 「螻」的異體字。 |</v>
      </c>
    </row>
    <row r="425" spans="1:44" hidden="1">
      <c r="A425" s="1" t="s">
        <v>28601</v>
      </c>
      <c r="C425" s="1">
        <v>1</v>
      </c>
      <c r="D425" s="1" t="str">
        <f>"03301-1"</f>
        <v>03301-1</v>
      </c>
      <c r="E425" s="1" t="s">
        <v>181</v>
      </c>
      <c r="F425" s="1">
        <v>15</v>
      </c>
      <c r="G425" s="1">
        <v>9</v>
      </c>
      <c r="H425" s="1">
        <v>0</v>
      </c>
      <c r="K425" s="1" t="str">
        <f t="shared" si="24"/>
        <v/>
      </c>
      <c r="L425" s="1" t="str">
        <f t="shared" si="25"/>
        <v/>
      </c>
      <c r="M425" s="1" t="str">
        <f t="shared" si="26"/>
        <v/>
      </c>
      <c r="P425" s="1" t="s">
        <v>20</v>
      </c>
      <c r="V425" s="1" t="s">
        <v>28602</v>
      </c>
      <c r="X425" s="1" t="s">
        <v>27842</v>
      </c>
      <c r="AR425" s="1" t="str">
        <f t="shared" si="27"/>
        <v>| [](.md) | [󸜠](󸜠.md) |  |  | 「艛」的異體字。 |</v>
      </c>
    </row>
    <row r="426" spans="1:44" hidden="1">
      <c r="A426" s="1" t="s">
        <v>28603</v>
      </c>
      <c r="C426" s="1">
        <v>1</v>
      </c>
      <c r="D426" s="1" t="str">
        <f>"03307-1"</f>
        <v>03307-1</v>
      </c>
      <c r="E426" s="1" t="s">
        <v>49</v>
      </c>
      <c r="F426" s="1">
        <v>15</v>
      </c>
      <c r="G426" s="1">
        <v>9</v>
      </c>
      <c r="H426" s="1">
        <v>0</v>
      </c>
      <c r="K426" s="1" t="str">
        <f t="shared" si="24"/>
        <v/>
      </c>
      <c r="L426" s="1" t="str">
        <f t="shared" si="25"/>
        <v/>
      </c>
      <c r="M426" s="1" t="str">
        <f t="shared" si="26"/>
        <v/>
      </c>
      <c r="P426" s="1" t="s">
        <v>20</v>
      </c>
      <c r="V426" s="1" t="s">
        <v>28604</v>
      </c>
      <c r="X426" s="1" t="s">
        <v>27842</v>
      </c>
      <c r="AR426" s="1" t="str">
        <f t="shared" si="27"/>
        <v>| [](.md) | [篓](篓.md) |  |  | 「簍」的異體字。 |</v>
      </c>
    </row>
    <row r="427" spans="1:44" hidden="1">
      <c r="A427" s="1" t="s">
        <v>28605</v>
      </c>
      <c r="C427" s="1">
        <v>1</v>
      </c>
      <c r="D427" s="1" t="str">
        <f>"03311-1"</f>
        <v>03311-1</v>
      </c>
      <c r="E427" s="1" t="s">
        <v>40</v>
      </c>
      <c r="F427" s="1">
        <v>14</v>
      </c>
      <c r="G427" s="1">
        <v>9</v>
      </c>
      <c r="H427" s="1">
        <v>0</v>
      </c>
      <c r="K427" s="1" t="str">
        <f t="shared" si="24"/>
        <v/>
      </c>
      <c r="L427" s="1" t="str">
        <f t="shared" si="25"/>
        <v/>
      </c>
      <c r="M427" s="1" t="str">
        <f t="shared" si="26"/>
        <v/>
      </c>
      <c r="P427" s="1" t="s">
        <v>20</v>
      </c>
      <c r="V427" s="1" t="s">
        <v>28606</v>
      </c>
      <c r="X427" s="1" t="s">
        <v>27842</v>
      </c>
      <c r="AR427" s="1" t="str">
        <f t="shared" si="27"/>
        <v>| [](.md) | [瘘](瘘.md) |  |  | 「瘻」的異體字。 |</v>
      </c>
    </row>
    <row r="428" spans="1:44" hidden="1">
      <c r="A428" s="1" t="s">
        <v>28607</v>
      </c>
      <c r="C428" s="1">
        <v>1</v>
      </c>
      <c r="D428" s="1" t="str">
        <f>"03312-1"</f>
        <v>03312-1</v>
      </c>
      <c r="E428" s="1" t="s">
        <v>55</v>
      </c>
      <c r="F428" s="1">
        <v>17</v>
      </c>
      <c r="G428" s="1">
        <v>9</v>
      </c>
      <c r="H428" s="1">
        <v>0</v>
      </c>
      <c r="K428" s="1" t="str">
        <f t="shared" si="24"/>
        <v/>
      </c>
      <c r="L428" s="1" t="str">
        <f t="shared" si="25"/>
        <v/>
      </c>
      <c r="M428" s="1" t="str">
        <f t="shared" si="26"/>
        <v/>
      </c>
      <c r="P428" s="1" t="s">
        <v>20</v>
      </c>
      <c r="V428" s="1" t="s">
        <v>28608</v>
      </c>
      <c r="X428" s="1" t="s">
        <v>27842</v>
      </c>
      <c r="AR428" s="1" t="str">
        <f t="shared" si="27"/>
        <v>| [](.md) | [𨩐](𨩐.md) |  |  | 「鏤」的異體字。 |</v>
      </c>
    </row>
    <row r="429" spans="1:44" hidden="1">
      <c r="A429" s="1" t="s">
        <v>28609</v>
      </c>
      <c r="C429" s="1">
        <v>1</v>
      </c>
      <c r="D429" s="1" t="str">
        <f>"03338-1"</f>
        <v>03338-1</v>
      </c>
      <c r="E429" s="1" t="s">
        <v>2233</v>
      </c>
      <c r="F429" s="1">
        <v>12</v>
      </c>
      <c r="G429" s="1">
        <v>5</v>
      </c>
      <c r="H429" s="1">
        <v>0</v>
      </c>
      <c r="K429" s="1" t="str">
        <f t="shared" si="24"/>
        <v/>
      </c>
      <c r="L429" s="1" t="str">
        <f t="shared" si="25"/>
        <v/>
      </c>
      <c r="M429" s="1" t="str">
        <f t="shared" si="26"/>
        <v/>
      </c>
      <c r="P429" s="1" t="s">
        <v>20</v>
      </c>
      <c r="V429" s="1" t="s">
        <v>28610</v>
      </c>
      <c r="X429" s="1" t="s">
        <v>27842</v>
      </c>
      <c r="AR429" s="1" t="str">
        <f t="shared" si="27"/>
        <v>| [](.md) | [󵜶](󵜶.md) |  |  | 「覽」的異體字。 |</v>
      </c>
    </row>
    <row r="430" spans="1:44" hidden="1">
      <c r="A430" s="1" t="s">
        <v>28611</v>
      </c>
      <c r="C430" s="1">
        <v>1</v>
      </c>
      <c r="D430" s="1" t="str">
        <f>"03338-2"</f>
        <v>03338-2</v>
      </c>
      <c r="E430" s="1" t="s">
        <v>2233</v>
      </c>
      <c r="F430" s="1">
        <v>16</v>
      </c>
      <c r="G430" s="1">
        <v>9</v>
      </c>
      <c r="H430" s="1">
        <v>0</v>
      </c>
      <c r="K430" s="1" t="str">
        <f t="shared" si="24"/>
        <v/>
      </c>
      <c r="L430" s="1" t="str">
        <f t="shared" si="25"/>
        <v/>
      </c>
      <c r="M430" s="1" t="str">
        <f t="shared" si="26"/>
        <v/>
      </c>
      <c r="P430" s="1" t="s">
        <v>20</v>
      </c>
      <c r="V430" s="1" t="s">
        <v>28610</v>
      </c>
      <c r="X430" s="1" t="s">
        <v>27842</v>
      </c>
      <c r="AR430" s="1" t="str">
        <f t="shared" si="27"/>
        <v>| [](.md) | [覧](覧.md) |  |  | 「覽」的異體字。 |</v>
      </c>
    </row>
    <row r="431" spans="1:44" hidden="1">
      <c r="A431" s="1" t="s">
        <v>28612</v>
      </c>
      <c r="C431" s="1">
        <v>1</v>
      </c>
      <c r="D431" s="1" t="str">
        <f>"03340-1"</f>
        <v>03340-1</v>
      </c>
      <c r="E431" s="1" t="s">
        <v>139</v>
      </c>
      <c r="F431" s="1">
        <v>20</v>
      </c>
      <c r="G431" s="1">
        <v>16</v>
      </c>
      <c r="H431" s="1">
        <v>0</v>
      </c>
      <c r="K431" s="1" t="str">
        <f t="shared" si="24"/>
        <v/>
      </c>
      <c r="L431" s="1" t="str">
        <f t="shared" si="25"/>
        <v/>
      </c>
      <c r="M431" s="1" t="str">
        <f t="shared" si="26"/>
        <v/>
      </c>
      <c r="P431" s="1" t="s">
        <v>20</v>
      </c>
      <c r="V431" s="1" t="s">
        <v>28613</v>
      </c>
      <c r="X431" s="1" t="s">
        <v>27842</v>
      </c>
      <c r="AR431" s="1" t="str">
        <f t="shared" si="27"/>
        <v>| [](.md) | [㰖](㰖.md) |  |  | 「欖」的異體字。 |</v>
      </c>
    </row>
    <row r="432" spans="1:44" hidden="1">
      <c r="A432" s="1" t="s">
        <v>28614</v>
      </c>
      <c r="C432" s="1">
        <v>1</v>
      </c>
      <c r="D432" s="1" t="str">
        <f>"03388-1"</f>
        <v>03388-1</v>
      </c>
      <c r="E432" s="1" t="s">
        <v>142</v>
      </c>
      <c r="F432" s="1">
        <v>19</v>
      </c>
      <c r="G432" s="1">
        <v>15</v>
      </c>
      <c r="H432" s="1">
        <v>0</v>
      </c>
      <c r="K432" s="1" t="str">
        <f t="shared" si="24"/>
        <v/>
      </c>
      <c r="L432" s="1" t="str">
        <f t="shared" si="25"/>
        <v/>
      </c>
      <c r="M432" s="1" t="str">
        <f t="shared" si="26"/>
        <v/>
      </c>
      <c r="P432" s="1" t="s">
        <v>20</v>
      </c>
      <c r="V432" s="1" t="s">
        <v>28615</v>
      </c>
      <c r="X432" s="1" t="s">
        <v>27842</v>
      </c>
      <c r="AR432" s="1" t="str">
        <f t="shared" si="27"/>
        <v>| [](.md) | [瓈](瓈.md) |  |  | 「璃」的異體字。 |</v>
      </c>
    </row>
    <row r="433" spans="1:44" hidden="1">
      <c r="A433" s="1" t="s">
        <v>28616</v>
      </c>
      <c r="C433" s="1">
        <v>1</v>
      </c>
      <c r="D433" s="1" t="str">
        <f>"03395-1"</f>
        <v>03395-1</v>
      </c>
      <c r="E433" s="1" t="s">
        <v>49</v>
      </c>
      <c r="F433" s="1">
        <v>17</v>
      </c>
      <c r="G433" s="1">
        <v>11</v>
      </c>
      <c r="H433" s="1">
        <v>0</v>
      </c>
      <c r="K433" s="1" t="str">
        <f t="shared" si="24"/>
        <v/>
      </c>
      <c r="L433" s="1" t="str">
        <f t="shared" si="25"/>
        <v/>
      </c>
      <c r="M433" s="1" t="str">
        <f t="shared" si="26"/>
        <v/>
      </c>
      <c r="P433" s="1" t="s">
        <v>20</v>
      </c>
      <c r="V433" s="1" t="s">
        <v>28617</v>
      </c>
      <c r="X433" s="1" t="s">
        <v>27842</v>
      </c>
      <c r="AR433" s="1" t="str">
        <f t="shared" si="27"/>
        <v>| [](.md) | [篱](篱.md) |  |  | 「籬」的異體字。 |</v>
      </c>
    </row>
    <row r="434" spans="1:44" hidden="1">
      <c r="A434" s="1" t="s">
        <v>28618</v>
      </c>
      <c r="C434" s="1">
        <v>1</v>
      </c>
      <c r="D434" s="1" t="str">
        <f>"03396-1"</f>
        <v>03396-1</v>
      </c>
      <c r="E434" s="1" t="s">
        <v>139</v>
      </c>
      <c r="F434" s="1">
        <v>12</v>
      </c>
      <c r="G434" s="1">
        <v>8</v>
      </c>
      <c r="H434" s="1">
        <v>0</v>
      </c>
      <c r="K434" s="1" t="str">
        <f t="shared" si="24"/>
        <v/>
      </c>
      <c r="L434" s="1" t="str">
        <f t="shared" si="25"/>
        <v/>
      </c>
      <c r="M434" s="1" t="str">
        <f t="shared" si="26"/>
        <v/>
      </c>
      <c r="P434" s="1" t="s">
        <v>20</v>
      </c>
      <c r="V434" s="1" t="s">
        <v>28619</v>
      </c>
      <c r="X434" s="1" t="s">
        <v>27842</v>
      </c>
      <c r="AR434" s="1" t="str">
        <f t="shared" si="27"/>
        <v>| [](.md) | [棃](棃.md) |  |  | 「梨」的異體字。 |</v>
      </c>
    </row>
    <row r="435" spans="1:44" hidden="1">
      <c r="A435" s="1" t="s">
        <v>28620</v>
      </c>
      <c r="C435" s="1">
        <v>1</v>
      </c>
      <c r="D435" s="1" t="str">
        <f>"03397-1"</f>
        <v>03397-1</v>
      </c>
      <c r="E435" s="1" t="s">
        <v>518</v>
      </c>
      <c r="F435" s="1">
        <v>12</v>
      </c>
      <c r="G435" s="1">
        <v>8</v>
      </c>
      <c r="H435" s="1">
        <v>0</v>
      </c>
      <c r="K435" s="1" t="str">
        <f t="shared" si="24"/>
        <v/>
      </c>
      <c r="L435" s="1" t="str">
        <f t="shared" si="25"/>
        <v/>
      </c>
      <c r="M435" s="1" t="str">
        <f t="shared" si="26"/>
        <v/>
      </c>
      <c r="P435" s="1" t="s">
        <v>20</v>
      </c>
      <c r="V435" s="1" t="s">
        <v>28621</v>
      </c>
      <c r="X435" s="1" t="s">
        <v>27842</v>
      </c>
      <c r="AR435" s="1" t="str">
        <f t="shared" si="27"/>
        <v>| [](.md) | [犂](犂.md) |  |  | 「犁」的異體字。 |</v>
      </c>
    </row>
    <row r="436" spans="1:44" hidden="1">
      <c r="A436" s="1" t="s">
        <v>28622</v>
      </c>
      <c r="C436" s="1">
        <v>1</v>
      </c>
      <c r="D436" s="1" t="str">
        <f>"03426-1"</f>
        <v>03426-1</v>
      </c>
      <c r="E436" s="1" t="s">
        <v>340</v>
      </c>
      <c r="F436" s="1">
        <v>13</v>
      </c>
      <c r="G436" s="1">
        <v>7</v>
      </c>
      <c r="H436" s="1">
        <v>0</v>
      </c>
      <c r="K436" s="1" t="str">
        <f t="shared" si="24"/>
        <v/>
      </c>
      <c r="L436" s="1" t="str">
        <f t="shared" si="25"/>
        <v/>
      </c>
      <c r="M436" s="1" t="str">
        <f t="shared" si="26"/>
        <v/>
      </c>
      <c r="P436" s="1" t="s">
        <v>20</v>
      </c>
      <c r="V436" s="1" t="s">
        <v>28623</v>
      </c>
      <c r="X436" s="1" t="s">
        <v>27842</v>
      </c>
      <c r="AR436" s="1" t="str">
        <f t="shared" si="27"/>
        <v>| [](.md) | [裏](裏.md) |  |  | 「裡」的異體字。 |</v>
      </c>
    </row>
    <row r="437" spans="1:44" hidden="1">
      <c r="A437" s="1" t="s">
        <v>28624</v>
      </c>
      <c r="C437" s="1">
        <v>1</v>
      </c>
      <c r="D437" s="1" t="str">
        <f>"03431-1"</f>
        <v>03431-1</v>
      </c>
      <c r="E437" s="1" t="s">
        <v>825</v>
      </c>
      <c r="F437" s="1">
        <v>6</v>
      </c>
      <c r="G437" s="1">
        <v>1</v>
      </c>
      <c r="H437" s="1">
        <v>0</v>
      </c>
      <c r="K437" s="1" t="str">
        <f t="shared" si="24"/>
        <v/>
      </c>
      <c r="L437" s="1" t="str">
        <f t="shared" si="25"/>
        <v/>
      </c>
      <c r="M437" s="1" t="str">
        <f t="shared" si="26"/>
        <v/>
      </c>
      <c r="P437" s="1" t="s">
        <v>20</v>
      </c>
      <c r="V437" s="1" t="s">
        <v>28625</v>
      </c>
      <c r="X437" s="1" t="s">
        <v>27842</v>
      </c>
      <c r="AR437" s="1" t="str">
        <f t="shared" si="27"/>
        <v>| [](.md) | [礼](礼.md) |  |  | 「禮」的異體字。 |</v>
      </c>
    </row>
    <row r="438" spans="1:44" hidden="1">
      <c r="A438" s="1" t="s">
        <v>28626</v>
      </c>
      <c r="C438" s="1">
        <v>1</v>
      </c>
      <c r="D438" s="1" t="str">
        <f>"03438-1"</f>
        <v>03438-1</v>
      </c>
      <c r="E438" s="1" t="s">
        <v>37</v>
      </c>
      <c r="F438" s="1">
        <v>10</v>
      </c>
      <c r="G438" s="1">
        <v>6</v>
      </c>
      <c r="H438" s="1">
        <v>0</v>
      </c>
      <c r="K438" s="1" t="str">
        <f t="shared" si="24"/>
        <v/>
      </c>
      <c r="L438" s="1" t="str">
        <f t="shared" si="25"/>
        <v/>
      </c>
      <c r="M438" s="1" t="str">
        <f t="shared" si="26"/>
        <v/>
      </c>
      <c r="P438" s="1" t="s">
        <v>20</v>
      </c>
      <c r="V438" s="1" t="s">
        <v>28627</v>
      </c>
      <c r="X438" s="1" t="s">
        <v>27842</v>
      </c>
      <c r="AR438" s="1" t="str">
        <f t="shared" si="27"/>
        <v>| [](.md) | [茘](茘.md) |  |  | 「荔」的異體字。 |</v>
      </c>
    </row>
    <row r="439" spans="1:44" hidden="1">
      <c r="A439" s="1" t="s">
        <v>28628</v>
      </c>
      <c r="C439" s="1">
        <v>1</v>
      </c>
      <c r="D439" s="1" t="str">
        <f>"03443-1"</f>
        <v>03443-1</v>
      </c>
      <c r="E439" s="1" t="s">
        <v>129</v>
      </c>
      <c r="F439" s="1">
        <v>10</v>
      </c>
      <c r="G439" s="1">
        <v>7</v>
      </c>
      <c r="H439" s="1">
        <v>0</v>
      </c>
      <c r="K439" s="1" t="str">
        <f t="shared" si="24"/>
        <v/>
      </c>
      <c r="L439" s="1" t="str">
        <f t="shared" si="25"/>
        <v/>
      </c>
      <c r="M439" s="1" t="str">
        <f t="shared" si="26"/>
        <v/>
      </c>
      <c r="P439" s="1" t="s">
        <v>20</v>
      </c>
      <c r="V439" s="1" t="s">
        <v>28629</v>
      </c>
      <c r="X439" s="1" t="s">
        <v>27842</v>
      </c>
      <c r="AR439" s="1" t="str">
        <f t="shared" si="27"/>
        <v>| [](.md) | [涖](涖.md) |  |  | 「蒞」的異體字。 |</v>
      </c>
    </row>
    <row r="440" spans="1:44" hidden="1">
      <c r="A440" s="1" t="s">
        <v>28630</v>
      </c>
      <c r="C440" s="1">
        <v>1</v>
      </c>
      <c r="D440" s="1" t="str">
        <f>"03443-2"</f>
        <v>03443-2</v>
      </c>
      <c r="E440" s="1" t="s">
        <v>37</v>
      </c>
      <c r="F440" s="1">
        <v>11</v>
      </c>
      <c r="G440" s="1">
        <v>7</v>
      </c>
      <c r="H440" s="1">
        <v>0</v>
      </c>
      <c r="K440" s="1" t="str">
        <f t="shared" si="24"/>
        <v/>
      </c>
      <c r="L440" s="1" t="str">
        <f t="shared" si="25"/>
        <v/>
      </c>
      <c r="M440" s="1" t="str">
        <f t="shared" si="26"/>
        <v/>
      </c>
      <c r="P440" s="1" t="s">
        <v>20</v>
      </c>
      <c r="V440" s="1" t="s">
        <v>28629</v>
      </c>
      <c r="X440" s="1" t="s">
        <v>27842</v>
      </c>
      <c r="AR440" s="1" t="str">
        <f t="shared" si="27"/>
        <v>| [](.md) | [莅](莅.md) |  |  | 「蒞」的異體字。 |</v>
      </c>
    </row>
    <row r="441" spans="1:44" hidden="1">
      <c r="A441" s="1" t="s">
        <v>28631</v>
      </c>
      <c r="C441" s="1">
        <v>1</v>
      </c>
      <c r="D441" s="1" t="str">
        <f>"03460-1"</f>
        <v>03460-1</v>
      </c>
      <c r="E441" s="1" t="s">
        <v>275</v>
      </c>
      <c r="F441" s="1">
        <v>11</v>
      </c>
      <c r="G441" s="1">
        <v>1</v>
      </c>
      <c r="H441" s="1">
        <v>0</v>
      </c>
      <c r="K441" s="1" t="str">
        <f t="shared" si="24"/>
        <v/>
      </c>
      <c r="L441" s="1" t="str">
        <f t="shared" si="25"/>
        <v/>
      </c>
      <c r="M441" s="1" t="str">
        <f t="shared" si="26"/>
        <v/>
      </c>
      <c r="P441" s="1" t="s">
        <v>20</v>
      </c>
      <c r="V441" s="1" t="s">
        <v>28632</v>
      </c>
      <c r="X441" s="1" t="s">
        <v>27842</v>
      </c>
      <c r="AR441" s="1" t="str">
        <f t="shared" si="27"/>
        <v>| [](.md) | [󶵇](󶵇.md) |  |  | 「鬲」的異體字。 |</v>
      </c>
    </row>
    <row r="442" spans="1:44" hidden="1">
      <c r="A442" s="1" t="s">
        <v>28633</v>
      </c>
      <c r="C442" s="1">
        <v>1</v>
      </c>
      <c r="D442" s="1" t="str">
        <f>"03468-1"</f>
        <v>03468-1</v>
      </c>
      <c r="E442" s="1" t="s">
        <v>1941</v>
      </c>
      <c r="F442" s="1">
        <v>4</v>
      </c>
      <c r="G442" s="1">
        <v>2</v>
      </c>
      <c r="H442" s="1">
        <v>0</v>
      </c>
      <c r="K442" s="1" t="str">
        <f t="shared" si="24"/>
        <v/>
      </c>
      <c r="L442" s="1" t="str">
        <f t="shared" si="25"/>
        <v/>
      </c>
      <c r="M442" s="1" t="str">
        <f t="shared" si="26"/>
        <v/>
      </c>
      <c r="P442" s="1" t="s">
        <v>20</v>
      </c>
      <c r="V442" s="1" t="s">
        <v>28634</v>
      </c>
      <c r="X442" s="1" t="s">
        <v>27842</v>
      </c>
      <c r="AR442" s="1" t="str">
        <f t="shared" si="27"/>
        <v>| [](.md) | [历](历.md) |  |  | 「歷」的異體字。 |</v>
      </c>
    </row>
    <row r="443" spans="1:44" hidden="1">
      <c r="A443" s="1" t="s">
        <v>28635</v>
      </c>
      <c r="C443" s="1">
        <v>1</v>
      </c>
      <c r="D443" s="1" t="str">
        <f>"03468-2"</f>
        <v>03468-2</v>
      </c>
      <c r="E443" s="1" t="s">
        <v>1941</v>
      </c>
      <c r="F443" s="1">
        <v>13</v>
      </c>
      <c r="G443" s="1">
        <v>11</v>
      </c>
      <c r="H443" s="1">
        <v>0</v>
      </c>
      <c r="K443" s="1" t="str">
        <f t="shared" si="24"/>
        <v/>
      </c>
      <c r="L443" s="1" t="str">
        <f t="shared" si="25"/>
        <v/>
      </c>
      <c r="M443" s="1" t="str">
        <f t="shared" si="26"/>
        <v/>
      </c>
      <c r="P443" s="1" t="s">
        <v>20</v>
      </c>
      <c r="V443" s="1" t="s">
        <v>28634</v>
      </c>
      <c r="X443" s="1" t="s">
        <v>27842</v>
      </c>
      <c r="AR443" s="1" t="str">
        <f t="shared" si="27"/>
        <v>| [](.md) | [厯](厯.md) |  |  | 「歷」的異體字。 |</v>
      </c>
    </row>
    <row r="444" spans="1:44" hidden="1">
      <c r="A444" s="1" t="s">
        <v>28636</v>
      </c>
      <c r="C444" s="1">
        <v>1</v>
      </c>
      <c r="D444" s="1" t="str">
        <f>"03470-1"</f>
        <v>03470-1</v>
      </c>
      <c r="E444" s="1" t="s">
        <v>129</v>
      </c>
      <c r="F444" s="1">
        <v>18</v>
      </c>
      <c r="G444" s="1">
        <v>15</v>
      </c>
      <c r="H444" s="1">
        <v>0</v>
      </c>
      <c r="K444" s="1" t="str">
        <f t="shared" si="24"/>
        <v/>
      </c>
      <c r="L444" s="1" t="str">
        <f t="shared" si="25"/>
        <v/>
      </c>
      <c r="M444" s="1" t="str">
        <f t="shared" si="26"/>
        <v/>
      </c>
      <c r="P444" s="1" t="s">
        <v>20</v>
      </c>
      <c r="V444" s="1" t="s">
        <v>28637</v>
      </c>
      <c r="X444" s="1" t="s">
        <v>27842</v>
      </c>
      <c r="AR444" s="1" t="str">
        <f t="shared" si="27"/>
        <v>| [](.md) | [󺫼](󺫼.md) |  |  | 「瀝」的異體字。 |</v>
      </c>
    </row>
    <row r="445" spans="1:44" hidden="1">
      <c r="A445" s="1" t="s">
        <v>28638</v>
      </c>
      <c r="C445" s="1">
        <v>1</v>
      </c>
      <c r="D445" s="1" t="str">
        <f>"03472-1"</f>
        <v>03472-1</v>
      </c>
      <c r="E445" s="1" t="s">
        <v>28</v>
      </c>
      <c r="F445" s="1">
        <v>19</v>
      </c>
      <c r="G445" s="1">
        <v>16</v>
      </c>
      <c r="H445" s="1">
        <v>0</v>
      </c>
      <c r="K445" s="1" t="str">
        <f t="shared" si="24"/>
        <v/>
      </c>
      <c r="L445" s="1" t="str">
        <f t="shared" si="25"/>
        <v/>
      </c>
      <c r="M445" s="1" t="str">
        <f t="shared" si="26"/>
        <v/>
      </c>
      <c r="P445" s="1" t="s">
        <v>20</v>
      </c>
      <c r="V445" s="1" t="s">
        <v>28639</v>
      </c>
      <c r="X445" s="1" t="s">
        <v>27842</v>
      </c>
      <c r="AR445" s="1" t="str">
        <f t="shared" si="27"/>
        <v>| [](.md) | [󷏓](󷏓.md) |  |  | 「嚦」的異體字。 |</v>
      </c>
    </row>
    <row r="446" spans="1:44" hidden="1">
      <c r="A446" s="1" t="s">
        <v>28640</v>
      </c>
      <c r="C446" s="1">
        <v>1</v>
      </c>
      <c r="D446" s="1" t="str">
        <f>"03475-1"</f>
        <v>03475-1</v>
      </c>
      <c r="E446" s="1" t="s">
        <v>125</v>
      </c>
      <c r="F446" s="1">
        <v>23</v>
      </c>
      <c r="G446" s="1">
        <v>15</v>
      </c>
      <c r="H446" s="1">
        <v>0</v>
      </c>
      <c r="K446" s="1" t="str">
        <f t="shared" si="24"/>
        <v/>
      </c>
      <c r="L446" s="1" t="str">
        <f t="shared" si="25"/>
        <v/>
      </c>
      <c r="M446" s="1" t="str">
        <f t="shared" si="26"/>
        <v/>
      </c>
      <c r="P446" s="1" t="s">
        <v>20</v>
      </c>
      <c r="V446" s="1" t="s">
        <v>28641</v>
      </c>
      <c r="X446" s="1" t="s">
        <v>27842</v>
      </c>
      <c r="AR446" s="1" t="str">
        <f t="shared" si="27"/>
        <v>| [](.md) | [󶡲](󶡲.md) |  |  | 「靂」的異體字。 |</v>
      </c>
    </row>
    <row r="447" spans="1:44" hidden="1">
      <c r="A447" s="1" t="s">
        <v>28642</v>
      </c>
      <c r="C447" s="1">
        <v>1</v>
      </c>
      <c r="D447" s="1" t="str">
        <f>"03477-1"</f>
        <v>03477-1</v>
      </c>
      <c r="E447" s="1" t="s">
        <v>1941</v>
      </c>
      <c r="F447" s="1">
        <v>5</v>
      </c>
      <c r="G447" s="1">
        <v>3</v>
      </c>
      <c r="H447" s="1">
        <v>0</v>
      </c>
      <c r="K447" s="1" t="str">
        <f t="shared" si="24"/>
        <v/>
      </c>
      <c r="L447" s="1" t="str">
        <f t="shared" si="25"/>
        <v/>
      </c>
      <c r="M447" s="1" t="str">
        <f t="shared" si="26"/>
        <v/>
      </c>
      <c r="P447" s="1" t="s">
        <v>20</v>
      </c>
      <c r="V447" s="1" t="s">
        <v>28643</v>
      </c>
      <c r="X447" s="1" t="s">
        <v>27842</v>
      </c>
      <c r="AR447" s="1" t="str">
        <f t="shared" si="27"/>
        <v>| [](.md) | [厉](厉.md) |  |  | 「厲」的異體字。 |</v>
      </c>
    </row>
    <row r="448" spans="1:44" hidden="1">
      <c r="A448" s="1" t="s">
        <v>28644</v>
      </c>
      <c r="C448" s="1">
        <v>1</v>
      </c>
      <c r="D448" s="1" t="str">
        <f>"03478-1"</f>
        <v>03478-1</v>
      </c>
      <c r="E448" s="1" t="s">
        <v>245</v>
      </c>
      <c r="F448" s="1">
        <v>7</v>
      </c>
      <c r="G448" s="1">
        <v>5</v>
      </c>
      <c r="H448" s="1">
        <v>0</v>
      </c>
      <c r="K448" s="1" t="str">
        <f t="shared" si="24"/>
        <v/>
      </c>
      <c r="L448" s="1" t="str">
        <f t="shared" si="25"/>
        <v/>
      </c>
      <c r="M448" s="1" t="str">
        <f t="shared" si="26"/>
        <v/>
      </c>
      <c r="P448" s="1" t="s">
        <v>20</v>
      </c>
      <c r="V448" s="1" t="s">
        <v>28645</v>
      </c>
      <c r="X448" s="1" t="s">
        <v>27842</v>
      </c>
      <c r="AR448" s="1" t="str">
        <f t="shared" si="27"/>
        <v>| [](.md) | [励](励.md) |  |  | 「勵」的異體字。 |</v>
      </c>
    </row>
    <row r="449" spans="1:44" hidden="1">
      <c r="A449" s="1" t="s">
        <v>28646</v>
      </c>
      <c r="C449" s="1">
        <v>1</v>
      </c>
      <c r="D449" s="1" t="str">
        <f>"03479-1"</f>
        <v>03479-1</v>
      </c>
      <c r="E449" s="1" t="s">
        <v>40</v>
      </c>
      <c r="F449" s="1">
        <v>11</v>
      </c>
      <c r="G449" s="1">
        <v>6</v>
      </c>
      <c r="H449" s="1">
        <v>0</v>
      </c>
      <c r="K449" s="1" t="str">
        <f t="shared" si="24"/>
        <v/>
      </c>
      <c r="L449" s="1" t="str">
        <f t="shared" si="25"/>
        <v/>
      </c>
      <c r="M449" s="1" t="str">
        <f t="shared" si="26"/>
        <v/>
      </c>
      <c r="P449" s="1" t="s">
        <v>20</v>
      </c>
      <c r="V449" s="1" t="s">
        <v>28647</v>
      </c>
      <c r="X449" s="1" t="s">
        <v>27842</v>
      </c>
      <c r="AR449" s="1" t="str">
        <f t="shared" si="27"/>
        <v>| [](.md) | [㾐](㾐.md) |  |  | 「癘」的異體字。 |</v>
      </c>
    </row>
    <row r="450" spans="1:44" hidden="1">
      <c r="A450" s="1" t="s">
        <v>28648</v>
      </c>
      <c r="C450" s="1">
        <v>1</v>
      </c>
      <c r="D450" s="1" t="str">
        <f>"03483-1"</f>
        <v>03483-1</v>
      </c>
      <c r="E450" s="1" t="s">
        <v>4758</v>
      </c>
      <c r="F450" s="1">
        <v>16</v>
      </c>
      <c r="G450" s="1">
        <v>8</v>
      </c>
      <c r="H450" s="1">
        <v>0</v>
      </c>
      <c r="K450" s="1" t="str">
        <f t="shared" ref="K450:K513" si="28">LEFT(I450, 1)</f>
        <v/>
      </c>
      <c r="L450" s="1" t="str">
        <f t="shared" ref="L450:L513" si="29">MID(I450, 2, 1)</f>
        <v/>
      </c>
      <c r="M450" s="1" t="str">
        <f t="shared" ref="M450:M513" si="30">MID(I450, 3, 1)</f>
        <v/>
      </c>
      <c r="P450" s="1" t="s">
        <v>20</v>
      </c>
      <c r="V450" s="1" t="s">
        <v>28649</v>
      </c>
      <c r="X450" s="1" t="s">
        <v>27842</v>
      </c>
      <c r="AR450" s="1" t="str">
        <f t="shared" si="27"/>
        <v>| [](.md) | [隷](隷.md) |  |  | 「隸」的異體字。 |</v>
      </c>
    </row>
    <row r="451" spans="1:44" hidden="1">
      <c r="A451" s="1" t="s">
        <v>28650</v>
      </c>
      <c r="C451" s="1">
        <v>1</v>
      </c>
      <c r="D451" s="1" t="str">
        <f>"03483-2"</f>
        <v>03483-2</v>
      </c>
      <c r="E451" s="1" t="s">
        <v>4758</v>
      </c>
      <c r="F451" s="1">
        <v>15</v>
      </c>
      <c r="G451" s="1">
        <v>7</v>
      </c>
      <c r="H451" s="1">
        <v>0</v>
      </c>
      <c r="K451" s="1" t="str">
        <f t="shared" si="28"/>
        <v/>
      </c>
      <c r="L451" s="1" t="str">
        <f t="shared" si="29"/>
        <v/>
      </c>
      <c r="M451" s="1" t="str">
        <f t="shared" si="30"/>
        <v/>
      </c>
      <c r="P451" s="1" t="s">
        <v>20</v>
      </c>
      <c r="V451" s="1" t="s">
        <v>28649</v>
      </c>
      <c r="X451" s="1" t="s">
        <v>27842</v>
      </c>
      <c r="AR451" s="1" t="str">
        <f t="shared" ref="AR451:AR514" si="31">"| ["&amp;I451&amp;"]("&amp;I451&amp;".md) | ["&amp;A451&amp;"]("&amp;A451&amp;".md) | "&amp;" | "&amp;R451&amp;" | "&amp;V451&amp;" |"</f>
        <v>| [](.md) | [𨽻](𨽻.md) |  |  | 「隸」的異體字。 |</v>
      </c>
    </row>
    <row r="452" spans="1:44" hidden="1">
      <c r="A452" s="1" t="s">
        <v>28651</v>
      </c>
      <c r="C452" s="1">
        <v>1</v>
      </c>
      <c r="D452" s="1" t="str">
        <f>"03489-1"</f>
        <v>03489-1</v>
      </c>
      <c r="E452" s="1" t="s">
        <v>789</v>
      </c>
      <c r="F452" s="1">
        <v>8</v>
      </c>
      <c r="G452" s="1">
        <v>7</v>
      </c>
      <c r="H452" s="1">
        <v>0</v>
      </c>
      <c r="K452" s="1" t="str">
        <f t="shared" si="28"/>
        <v/>
      </c>
      <c r="L452" s="1" t="str">
        <f t="shared" si="29"/>
        <v/>
      </c>
      <c r="M452" s="1" t="str">
        <f t="shared" si="30"/>
        <v/>
      </c>
      <c r="P452" s="1" t="s">
        <v>20</v>
      </c>
      <c r="V452" s="1" t="s">
        <v>28652</v>
      </c>
      <c r="X452" s="1" t="s">
        <v>27842</v>
      </c>
      <c r="AR452" s="1" t="str">
        <f t="shared" si="31"/>
        <v>| [](.md) | [󽶤](󽶤.md) |  |  | 「麗」的異體字。 |</v>
      </c>
    </row>
    <row r="453" spans="1:44" hidden="1">
      <c r="A453" s="1" t="s">
        <v>28653</v>
      </c>
      <c r="C453" s="1">
        <v>1</v>
      </c>
      <c r="D453" s="1" t="str">
        <f>"03553-1"</f>
        <v>03553-1</v>
      </c>
      <c r="E453" s="1" t="s">
        <v>129</v>
      </c>
      <c r="F453" s="1">
        <v>7</v>
      </c>
      <c r="G453" s="1">
        <v>4</v>
      </c>
      <c r="H453" s="1">
        <v>0</v>
      </c>
      <c r="K453" s="1" t="str">
        <f t="shared" si="28"/>
        <v/>
      </c>
      <c r="L453" s="1" t="str">
        <f t="shared" si="29"/>
        <v/>
      </c>
      <c r="M453" s="1" t="str">
        <f t="shared" si="30"/>
        <v/>
      </c>
      <c r="P453" s="1" t="s">
        <v>20</v>
      </c>
      <c r="V453" s="1" t="s">
        <v>28654</v>
      </c>
      <c r="X453" s="1" t="s">
        <v>27842</v>
      </c>
      <c r="AR453" s="1" t="str">
        <f t="shared" si="31"/>
        <v>| [](.md) | [㳅](㳅.md) |  |  | 「流」的異體字。 |</v>
      </c>
    </row>
    <row r="454" spans="1:44" hidden="1">
      <c r="A454" s="1" t="s">
        <v>28655</v>
      </c>
      <c r="C454" s="1">
        <v>1</v>
      </c>
      <c r="D454" s="1" t="str">
        <f>"03553-2"</f>
        <v>03553-2</v>
      </c>
      <c r="E454" s="1" t="s">
        <v>129</v>
      </c>
      <c r="F454" s="1">
        <v>10</v>
      </c>
      <c r="G454" s="1">
        <v>7</v>
      </c>
      <c r="H454" s="1">
        <v>0</v>
      </c>
      <c r="K454" s="1" t="str">
        <f t="shared" si="28"/>
        <v/>
      </c>
      <c r="L454" s="1" t="str">
        <f t="shared" si="29"/>
        <v/>
      </c>
      <c r="M454" s="1" t="str">
        <f t="shared" si="30"/>
        <v/>
      </c>
      <c r="P454" s="1" t="s">
        <v>20</v>
      </c>
      <c r="V454" s="1" t="s">
        <v>28654</v>
      </c>
      <c r="X454" s="1" t="s">
        <v>27842</v>
      </c>
      <c r="AR454" s="1" t="str">
        <f t="shared" si="31"/>
        <v>| [](.md) | [流](流.md) |  |  | 「流」的異體字。 |</v>
      </c>
    </row>
    <row r="455" spans="1:44" hidden="1">
      <c r="A455" s="1" t="s">
        <v>28656</v>
      </c>
      <c r="C455" s="1">
        <v>1</v>
      </c>
      <c r="D455" s="1" t="str">
        <f>"03558-1"</f>
        <v>03558-1</v>
      </c>
      <c r="E455" s="1" t="s">
        <v>753</v>
      </c>
      <c r="F455" s="1">
        <v>8</v>
      </c>
      <c r="G455" s="1">
        <v>3</v>
      </c>
      <c r="H455" s="1">
        <v>0</v>
      </c>
      <c r="K455" s="1" t="str">
        <f t="shared" si="28"/>
        <v/>
      </c>
      <c r="L455" s="1" t="str">
        <f t="shared" si="29"/>
        <v/>
      </c>
      <c r="M455" s="1" t="str">
        <f t="shared" si="30"/>
        <v/>
      </c>
      <c r="P455" s="1" t="s">
        <v>20</v>
      </c>
      <c r="V455" s="1" t="s">
        <v>28657</v>
      </c>
      <c r="X455" s="1" t="s">
        <v>27842</v>
      </c>
      <c r="AR455" s="1" t="str">
        <f t="shared" si="31"/>
        <v>| [](.md) | [畄](畄.md) |  |  | 「留」的異體字。 |</v>
      </c>
    </row>
    <row r="456" spans="1:44" hidden="1">
      <c r="A456" s="1" t="s">
        <v>28658</v>
      </c>
      <c r="C456" s="1">
        <v>1</v>
      </c>
      <c r="D456" s="1" t="str">
        <f>"03558-2"</f>
        <v>03558-2</v>
      </c>
      <c r="E456" s="1" t="s">
        <v>753</v>
      </c>
      <c r="F456" s="1">
        <v>12</v>
      </c>
      <c r="G456" s="1">
        <v>7</v>
      </c>
      <c r="H456" s="1">
        <v>0</v>
      </c>
      <c r="K456" s="1" t="str">
        <f t="shared" si="28"/>
        <v/>
      </c>
      <c r="L456" s="1" t="str">
        <f t="shared" si="29"/>
        <v/>
      </c>
      <c r="M456" s="1" t="str">
        <f t="shared" si="30"/>
        <v/>
      </c>
      <c r="P456" s="1" t="s">
        <v>20</v>
      </c>
      <c r="V456" s="1" t="s">
        <v>28657</v>
      </c>
      <c r="X456" s="1" t="s">
        <v>27842</v>
      </c>
      <c r="AR456" s="1" t="str">
        <f t="shared" si="31"/>
        <v>| [](.md) | [畱](畱.md) |  |  | 「留」的異體字。 |</v>
      </c>
    </row>
    <row r="457" spans="1:44" hidden="1">
      <c r="A457" s="1" t="s">
        <v>28659</v>
      </c>
      <c r="C457" s="1">
        <v>1</v>
      </c>
      <c r="D457" s="1" t="str">
        <f>"03565-1"</f>
        <v>03565-1</v>
      </c>
      <c r="E457" s="1" t="s">
        <v>319</v>
      </c>
      <c r="F457" s="1">
        <v>17</v>
      </c>
      <c r="G457" s="1">
        <v>7</v>
      </c>
      <c r="H457" s="1">
        <v>0</v>
      </c>
      <c r="K457" s="1" t="str">
        <f t="shared" si="28"/>
        <v/>
      </c>
      <c r="L457" s="1" t="str">
        <f t="shared" si="29"/>
        <v/>
      </c>
      <c r="M457" s="1" t="str">
        <f t="shared" si="30"/>
        <v/>
      </c>
      <c r="P457" s="1" t="s">
        <v>20</v>
      </c>
      <c r="V457" s="1" t="s">
        <v>28660</v>
      </c>
      <c r="X457" s="1" t="s">
        <v>27842</v>
      </c>
      <c r="AR457" s="1" t="str">
        <f t="shared" si="31"/>
        <v>| [](.md) | [駵](駵.md) |  |  | 「騮」的異體字。 |</v>
      </c>
    </row>
    <row r="458" spans="1:44" hidden="1">
      <c r="A458" s="1" t="s">
        <v>28661</v>
      </c>
      <c r="C458" s="1">
        <v>1</v>
      </c>
      <c r="D458" s="1" t="str">
        <f>"03565-2"</f>
        <v>03565-2</v>
      </c>
      <c r="E458" s="1" t="s">
        <v>319</v>
      </c>
      <c r="F458" s="1">
        <v>20</v>
      </c>
      <c r="G458" s="1">
        <v>12</v>
      </c>
      <c r="H458" s="1">
        <v>0</v>
      </c>
      <c r="K458" s="1" t="str">
        <f t="shared" si="28"/>
        <v/>
      </c>
      <c r="L458" s="1" t="str">
        <f t="shared" si="29"/>
        <v/>
      </c>
      <c r="M458" s="1" t="str">
        <f t="shared" si="30"/>
        <v/>
      </c>
      <c r="P458" s="1" t="s">
        <v>20</v>
      </c>
      <c r="V458" s="1" t="s">
        <v>28660</v>
      </c>
      <c r="X458" s="1" t="s">
        <v>27842</v>
      </c>
      <c r="AR458" s="1" t="str">
        <f t="shared" si="31"/>
        <v>| [](.md) | [驑](驑.md) |  |  | 「騮」的異體字。 |</v>
      </c>
    </row>
    <row r="459" spans="1:44" hidden="1">
      <c r="A459" s="1" t="s">
        <v>28662</v>
      </c>
      <c r="C459" s="1">
        <v>1</v>
      </c>
      <c r="D459" s="1" t="str">
        <f>"03567-1"</f>
        <v>03567-1</v>
      </c>
      <c r="E459" s="1" t="s">
        <v>185</v>
      </c>
      <c r="F459" s="1">
        <v>6</v>
      </c>
      <c r="G459" s="1">
        <v>4</v>
      </c>
      <c r="H459" s="1">
        <v>0</v>
      </c>
      <c r="K459" s="1" t="str">
        <f t="shared" si="28"/>
        <v/>
      </c>
      <c r="L459" s="1" t="str">
        <f t="shared" si="29"/>
        <v/>
      </c>
      <c r="M459" s="1" t="str">
        <f t="shared" si="30"/>
        <v/>
      </c>
      <c r="P459" s="1" t="s">
        <v>20</v>
      </c>
      <c r="V459" s="1" t="s">
        <v>28663</v>
      </c>
      <c r="X459" s="1" t="s">
        <v>27842</v>
      </c>
      <c r="AR459" s="1" t="str">
        <f t="shared" si="31"/>
        <v>| [](.md) | [刘](刘.md) |  |  | 「劉」的異體字。 |</v>
      </c>
    </row>
    <row r="460" spans="1:44" hidden="1">
      <c r="A460" s="1" t="s">
        <v>28664</v>
      </c>
      <c r="C460" s="1">
        <v>1</v>
      </c>
      <c r="D460" s="1" t="str">
        <f>"03572-1"</f>
        <v>03572-1</v>
      </c>
      <c r="E460" s="1" t="s">
        <v>139</v>
      </c>
      <c r="F460" s="1">
        <v>9</v>
      </c>
      <c r="G460" s="1">
        <v>5</v>
      </c>
      <c r="H460" s="1">
        <v>0</v>
      </c>
      <c r="K460" s="1" t="str">
        <f t="shared" si="28"/>
        <v/>
      </c>
      <c r="L460" s="1" t="str">
        <f t="shared" si="29"/>
        <v/>
      </c>
      <c r="M460" s="1" t="str">
        <f t="shared" si="30"/>
        <v/>
      </c>
      <c r="P460" s="1" t="s">
        <v>20</v>
      </c>
      <c r="V460" s="1" t="s">
        <v>28665</v>
      </c>
      <c r="X460" s="1" t="s">
        <v>27842</v>
      </c>
      <c r="AR460" s="1" t="str">
        <f t="shared" si="31"/>
        <v>| [](.md) | [栁](栁.md) |  |  | 「柳」的異體字。 |</v>
      </c>
    </row>
    <row r="461" spans="1:44" hidden="1">
      <c r="A461" s="1" t="s">
        <v>28666</v>
      </c>
      <c r="C461" s="1">
        <v>1</v>
      </c>
      <c r="D461" s="1" t="str">
        <f>"03572-2"</f>
        <v>03572-2</v>
      </c>
      <c r="E461" s="1" t="s">
        <v>139</v>
      </c>
      <c r="F461" s="1">
        <v>11</v>
      </c>
      <c r="G461" s="1">
        <v>7</v>
      </c>
      <c r="H461" s="1">
        <v>0</v>
      </c>
      <c r="K461" s="1" t="str">
        <f t="shared" si="28"/>
        <v/>
      </c>
      <c r="L461" s="1" t="str">
        <f t="shared" si="29"/>
        <v/>
      </c>
      <c r="M461" s="1" t="str">
        <f t="shared" si="30"/>
        <v/>
      </c>
      <c r="P461" s="1" t="s">
        <v>20</v>
      </c>
      <c r="V461" s="1" t="s">
        <v>28665</v>
      </c>
      <c r="X461" s="1" t="s">
        <v>27842</v>
      </c>
      <c r="AR461" s="1" t="str">
        <f t="shared" si="31"/>
        <v>| [](.md) | [桺](桺.md) |  |  | 「柳」的異體字。 |</v>
      </c>
    </row>
    <row r="462" spans="1:44" hidden="1">
      <c r="A462" s="1" t="s">
        <v>28667</v>
      </c>
      <c r="C462" s="1">
        <v>1</v>
      </c>
      <c r="D462" s="1" t="str">
        <f>"03594-1"</f>
        <v>03594-1</v>
      </c>
      <c r="E462" s="1" t="s">
        <v>367</v>
      </c>
      <c r="F462" s="1">
        <v>13</v>
      </c>
      <c r="G462" s="1">
        <v>11</v>
      </c>
      <c r="H462" s="1">
        <v>0</v>
      </c>
      <c r="K462" s="1" t="str">
        <f t="shared" si="28"/>
        <v/>
      </c>
      <c r="L462" s="1" t="str">
        <f t="shared" si="29"/>
        <v/>
      </c>
      <c r="M462" s="1" t="str">
        <f t="shared" si="30"/>
        <v/>
      </c>
      <c r="P462" s="1" t="s">
        <v>20</v>
      </c>
      <c r="V462" s="1" t="s">
        <v>28668</v>
      </c>
      <c r="X462" s="1" t="s">
        <v>27842</v>
      </c>
      <c r="AR462" s="1" t="str">
        <f t="shared" si="31"/>
        <v>| [](.md) | [亷](亷.md) |  |  | 「廉」的異體字。 |</v>
      </c>
    </row>
    <row r="463" spans="1:44" hidden="1">
      <c r="A463" s="1" t="s">
        <v>28669</v>
      </c>
      <c r="C463" s="1">
        <v>1</v>
      </c>
      <c r="D463" s="1" t="str">
        <f>"03603-1"</f>
        <v>03603-1</v>
      </c>
      <c r="E463" s="1" t="s">
        <v>250</v>
      </c>
      <c r="F463" s="1">
        <v>8</v>
      </c>
      <c r="G463" s="1">
        <v>5</v>
      </c>
      <c r="H463" s="1">
        <v>0</v>
      </c>
      <c r="K463" s="1" t="str">
        <f t="shared" si="28"/>
        <v/>
      </c>
      <c r="L463" s="1" t="str">
        <f t="shared" si="29"/>
        <v/>
      </c>
      <c r="M463" s="1" t="str">
        <f t="shared" si="30"/>
        <v/>
      </c>
      <c r="P463" s="1" t="s">
        <v>20</v>
      </c>
      <c r="V463" s="1" t="s">
        <v>28670</v>
      </c>
      <c r="X463" s="1" t="s">
        <v>27842</v>
      </c>
      <c r="AR463" s="1" t="str">
        <f t="shared" si="31"/>
        <v>| [](.md) | [怜](怜.md) |  |  | 「憐」的異體字。 |</v>
      </c>
    </row>
    <row r="464" spans="1:44" hidden="1">
      <c r="A464" s="1" t="s">
        <v>28671</v>
      </c>
      <c r="C464" s="1">
        <v>1</v>
      </c>
      <c r="D464" s="1" t="str">
        <f>"03604-1"</f>
        <v>03604-1</v>
      </c>
      <c r="E464" s="1" t="s">
        <v>2419</v>
      </c>
      <c r="F464" s="1">
        <v>12</v>
      </c>
      <c r="G464" s="1">
        <v>6</v>
      </c>
      <c r="H464" s="1">
        <v>0</v>
      </c>
      <c r="K464" s="1" t="str">
        <f t="shared" si="28"/>
        <v/>
      </c>
      <c r="L464" s="1" t="str">
        <f t="shared" si="29"/>
        <v/>
      </c>
      <c r="M464" s="1" t="str">
        <f t="shared" si="30"/>
        <v/>
      </c>
      <c r="P464" s="1" t="s">
        <v>20</v>
      </c>
      <c r="V464" s="1" t="s">
        <v>28672</v>
      </c>
      <c r="X464" s="1" t="s">
        <v>27842</v>
      </c>
      <c r="AR464" s="1" t="str">
        <f t="shared" si="31"/>
        <v>| [](.md) | [联](联.md) |  |  | 「聯」的異體字。 |</v>
      </c>
    </row>
    <row r="465" spans="1:44" hidden="1">
      <c r="A465" s="1" t="s">
        <v>28673</v>
      </c>
      <c r="C465" s="1">
        <v>1</v>
      </c>
      <c r="D465" s="1" t="str">
        <f>"03604-2"</f>
        <v>03604-2</v>
      </c>
      <c r="E465" s="1" t="s">
        <v>2419</v>
      </c>
      <c r="F465" s="1">
        <v>16</v>
      </c>
      <c r="G465" s="1">
        <v>10</v>
      </c>
      <c r="H465" s="1">
        <v>0</v>
      </c>
      <c r="K465" s="1" t="str">
        <f t="shared" si="28"/>
        <v/>
      </c>
      <c r="L465" s="1" t="str">
        <f t="shared" si="29"/>
        <v/>
      </c>
      <c r="M465" s="1" t="str">
        <f t="shared" si="30"/>
        <v/>
      </c>
      <c r="P465" s="1" t="s">
        <v>20</v>
      </c>
      <c r="V465" s="1" t="s">
        <v>28672</v>
      </c>
      <c r="X465" s="1" t="s">
        <v>27842</v>
      </c>
      <c r="AR465" s="1" t="str">
        <f t="shared" si="31"/>
        <v>| [](.md) | [聮](聮.md) |  |  | 「聯」的異體字。 |</v>
      </c>
    </row>
    <row r="466" spans="1:44" hidden="1">
      <c r="A466" s="1" t="s">
        <v>28674</v>
      </c>
      <c r="C466" s="1">
        <v>1</v>
      </c>
      <c r="D466" s="1" t="str">
        <f>"03617-1"</f>
        <v>03617-1</v>
      </c>
      <c r="E466" s="1" t="s">
        <v>1908</v>
      </c>
      <c r="F466" s="1">
        <v>17</v>
      </c>
      <c r="G466" s="1">
        <v>13</v>
      </c>
      <c r="H466" s="1">
        <v>0</v>
      </c>
      <c r="K466" s="1" t="str">
        <f t="shared" si="28"/>
        <v/>
      </c>
      <c r="L466" s="1" t="str">
        <f t="shared" si="29"/>
        <v/>
      </c>
      <c r="M466" s="1" t="str">
        <f t="shared" si="30"/>
        <v/>
      </c>
      <c r="P466" s="1" t="s">
        <v>20</v>
      </c>
      <c r="V466" s="1" t="s">
        <v>28675</v>
      </c>
      <c r="X466" s="1" t="s">
        <v>27842</v>
      </c>
      <c r="AR466" s="1" t="str">
        <f t="shared" si="31"/>
        <v>| [](.md) | [歛](歛.md) |  |  | 「斂」的異體字。 |</v>
      </c>
    </row>
    <row r="467" spans="1:44" hidden="1">
      <c r="A467" s="1" t="s">
        <v>28676</v>
      </c>
      <c r="C467" s="1">
        <v>1</v>
      </c>
      <c r="D467" s="1" t="str">
        <f>"03620-1"</f>
        <v>03620-1</v>
      </c>
      <c r="E467" s="1" t="s">
        <v>37</v>
      </c>
      <c r="F467" s="1">
        <v>17</v>
      </c>
      <c r="G467" s="1">
        <v>13</v>
      </c>
      <c r="H467" s="1">
        <v>0</v>
      </c>
      <c r="K467" s="1" t="str">
        <f t="shared" si="28"/>
        <v/>
      </c>
      <c r="L467" s="1" t="str">
        <f t="shared" si="29"/>
        <v/>
      </c>
      <c r="M467" s="1" t="str">
        <f t="shared" si="30"/>
        <v/>
      </c>
      <c r="P467" s="1" t="s">
        <v>20</v>
      </c>
      <c r="V467" s="1" t="s">
        <v>28677</v>
      </c>
      <c r="X467" s="1" t="s">
        <v>27842</v>
      </c>
      <c r="AR467" s="1" t="str">
        <f t="shared" si="31"/>
        <v>| [](.md) | [薟](薟.md) |  |  | 「蘞」的異體字。 |</v>
      </c>
    </row>
    <row r="468" spans="1:44" hidden="1">
      <c r="A468" s="1" t="s">
        <v>28678</v>
      </c>
      <c r="C468" s="1">
        <v>1</v>
      </c>
      <c r="D468" s="1" t="str">
        <f>"03621-1"</f>
        <v>03621-1</v>
      </c>
      <c r="E468" s="1" t="s">
        <v>250</v>
      </c>
      <c r="F468" s="1">
        <v>10</v>
      </c>
      <c r="G468" s="1">
        <v>6</v>
      </c>
      <c r="H468" s="1">
        <v>0</v>
      </c>
      <c r="K468" s="1" t="str">
        <f t="shared" si="28"/>
        <v/>
      </c>
      <c r="L468" s="1" t="str">
        <f t="shared" si="29"/>
        <v/>
      </c>
      <c r="M468" s="1" t="str">
        <f t="shared" si="30"/>
        <v/>
      </c>
      <c r="P468" s="1" t="s">
        <v>20</v>
      </c>
      <c r="V468" s="1" t="s">
        <v>28679</v>
      </c>
      <c r="X468" s="1" t="s">
        <v>27842</v>
      </c>
      <c r="AR468" s="1" t="str">
        <f t="shared" si="31"/>
        <v>| [](.md) | [恋](恋.md) |  |  | 「戀」的異體字。 |</v>
      </c>
    </row>
    <row r="469" spans="1:44" hidden="1">
      <c r="A469" s="1" t="s">
        <v>28680</v>
      </c>
      <c r="C469" s="1">
        <v>1</v>
      </c>
      <c r="D469" s="1" t="str">
        <f>"03622-1"</f>
        <v>03622-1</v>
      </c>
      <c r="E469" s="1" t="s">
        <v>24</v>
      </c>
      <c r="F469" s="1">
        <v>10</v>
      </c>
      <c r="G469" s="1">
        <v>6</v>
      </c>
      <c r="H469" s="1">
        <v>0</v>
      </c>
      <c r="K469" s="1" t="str">
        <f t="shared" si="28"/>
        <v/>
      </c>
      <c r="L469" s="1" t="str">
        <f t="shared" si="29"/>
        <v/>
      </c>
      <c r="M469" s="1" t="str">
        <f t="shared" si="30"/>
        <v/>
      </c>
      <c r="P469" s="1" t="s">
        <v>20</v>
      </c>
      <c r="V469" s="1" t="s">
        <v>28681</v>
      </c>
      <c r="X469" s="1" t="s">
        <v>27842</v>
      </c>
      <c r="AR469" s="1" t="str">
        <f t="shared" si="31"/>
        <v>| [](.md) | [挛](挛.md) |  |  | 「攣」的異體字。 |</v>
      </c>
    </row>
    <row r="470" spans="1:44" hidden="1">
      <c r="A470" s="1" t="s">
        <v>28682</v>
      </c>
      <c r="C470" s="1">
        <v>1</v>
      </c>
      <c r="D470" s="1" t="str">
        <f>"03632-1"</f>
        <v>03632-1</v>
      </c>
      <c r="E470" s="1" t="s">
        <v>691</v>
      </c>
      <c r="F470" s="1">
        <v>15</v>
      </c>
      <c r="G470" s="1">
        <v>12</v>
      </c>
      <c r="H470" s="1">
        <v>0</v>
      </c>
      <c r="K470" s="1" t="str">
        <f t="shared" si="28"/>
        <v/>
      </c>
      <c r="L470" s="1" t="str">
        <f t="shared" si="29"/>
        <v/>
      </c>
      <c r="M470" s="1" t="str">
        <f t="shared" si="30"/>
        <v/>
      </c>
      <c r="P470" s="1" t="s">
        <v>20</v>
      </c>
      <c r="V470" s="1" t="s">
        <v>28683</v>
      </c>
      <c r="X470" s="1" t="s">
        <v>27842</v>
      </c>
      <c r="AR470" s="1" t="str">
        <f t="shared" si="31"/>
        <v>| [](.md) | [隣](隣.md) |  |  | 「鄰」的異體字。 |</v>
      </c>
    </row>
    <row r="471" spans="1:44" hidden="1">
      <c r="A471" s="1" t="s">
        <v>28684</v>
      </c>
      <c r="C471" s="1">
        <v>1</v>
      </c>
      <c r="D471" s="1" t="str">
        <f>"03641-1"</f>
        <v>03641-1</v>
      </c>
      <c r="E471" s="1" t="s">
        <v>1190</v>
      </c>
      <c r="F471" s="1">
        <v>18</v>
      </c>
      <c r="G471" s="1">
        <v>7</v>
      </c>
      <c r="H471" s="1">
        <v>0</v>
      </c>
      <c r="K471" s="1" t="str">
        <f t="shared" si="28"/>
        <v/>
      </c>
      <c r="L471" s="1" t="str">
        <f t="shared" si="29"/>
        <v/>
      </c>
      <c r="M471" s="1" t="str">
        <f t="shared" si="30"/>
        <v/>
      </c>
      <c r="P471" s="1" t="s">
        <v>20</v>
      </c>
      <c r="V471" s="1" t="s">
        <v>28685</v>
      </c>
      <c r="X471" s="1" t="s">
        <v>27842</v>
      </c>
      <c r="AR471" s="1" t="str">
        <f t="shared" si="31"/>
        <v>| [](.md) | [麐](麐.md) |  |  | 「麟」的異體字。 |</v>
      </c>
    </row>
    <row r="472" spans="1:44" hidden="1">
      <c r="A472" s="1" t="s">
        <v>28686</v>
      </c>
      <c r="C472" s="1">
        <v>1</v>
      </c>
      <c r="D472" s="1" t="str">
        <f>"03646-1"</f>
        <v>03646-1</v>
      </c>
      <c r="E472" s="1" t="s">
        <v>129</v>
      </c>
      <c r="F472" s="1">
        <v>16</v>
      </c>
      <c r="G472" s="1">
        <v>13</v>
      </c>
      <c r="H472" s="1">
        <v>0</v>
      </c>
      <c r="K472" s="1" t="str">
        <f t="shared" si="28"/>
        <v/>
      </c>
      <c r="L472" s="1" t="str">
        <f t="shared" si="29"/>
        <v/>
      </c>
      <c r="M472" s="1" t="str">
        <f t="shared" si="30"/>
        <v/>
      </c>
      <c r="P472" s="1" t="s">
        <v>20</v>
      </c>
      <c r="V472" s="1" t="s">
        <v>28687</v>
      </c>
      <c r="X472" s="1" t="s">
        <v>27842</v>
      </c>
      <c r="AR472" s="1" t="str">
        <f t="shared" si="31"/>
        <v>| [](.md) | [澟](澟.md) |  |  | 「凜」的異體字。 |</v>
      </c>
    </row>
    <row r="473" spans="1:44" hidden="1">
      <c r="A473" s="1" t="s">
        <v>28688</v>
      </c>
      <c r="C473" s="1">
        <v>1</v>
      </c>
      <c r="D473" s="1" t="str">
        <f>"03647-1"</f>
        <v>03647-1</v>
      </c>
      <c r="E473" s="1" t="s">
        <v>367</v>
      </c>
      <c r="F473" s="1">
        <v>8</v>
      </c>
      <c r="G473" s="1">
        <v>6</v>
      </c>
      <c r="H473" s="1">
        <v>0</v>
      </c>
      <c r="K473" s="1" t="str">
        <f t="shared" si="28"/>
        <v/>
      </c>
      <c r="L473" s="1" t="str">
        <f t="shared" si="29"/>
        <v/>
      </c>
      <c r="M473" s="1" t="str">
        <f t="shared" si="30"/>
        <v/>
      </c>
      <c r="P473" s="1" t="s">
        <v>20</v>
      </c>
      <c r="V473" s="1" t="s">
        <v>28689</v>
      </c>
      <c r="X473" s="1" t="s">
        <v>27842</v>
      </c>
      <c r="AR473" s="1" t="str">
        <f t="shared" si="31"/>
        <v>| [](.md) | [㐭](㐭.md) |  |  | 「廩」的異體字。 |</v>
      </c>
    </row>
    <row r="474" spans="1:44" hidden="1">
      <c r="A474" s="1" t="s">
        <v>28690</v>
      </c>
      <c r="C474" s="1">
        <v>1</v>
      </c>
      <c r="D474" s="1" t="str">
        <f>"03659-1"</f>
        <v>03659-1</v>
      </c>
      <c r="E474" s="1" t="s">
        <v>1381</v>
      </c>
      <c r="F474" s="1">
        <v>10</v>
      </c>
      <c r="G474" s="1">
        <v>8</v>
      </c>
      <c r="H474" s="1">
        <v>0</v>
      </c>
      <c r="K474" s="1" t="str">
        <f t="shared" si="28"/>
        <v/>
      </c>
      <c r="L474" s="1" t="str">
        <f t="shared" si="29"/>
        <v/>
      </c>
      <c r="M474" s="1" t="str">
        <f t="shared" si="30"/>
        <v/>
      </c>
      <c r="P474" s="1" t="s">
        <v>20</v>
      </c>
      <c r="V474" s="1" t="s">
        <v>28691</v>
      </c>
      <c r="X474" s="1" t="s">
        <v>27842</v>
      </c>
      <c r="AR474" s="1" t="str">
        <f t="shared" si="31"/>
        <v>| [](.md) | [凉](凉.md) |  |  | 「涼」的異體字。 |</v>
      </c>
    </row>
    <row r="475" spans="1:44" hidden="1">
      <c r="A475" s="1" t="s">
        <v>28692</v>
      </c>
      <c r="C475" s="1">
        <v>1</v>
      </c>
      <c r="D475" s="1" t="str">
        <f>"03662-1"</f>
        <v>03662-1</v>
      </c>
      <c r="E475" s="1" t="s">
        <v>139</v>
      </c>
      <c r="F475" s="1">
        <v>15</v>
      </c>
      <c r="G475" s="1">
        <v>11</v>
      </c>
      <c r="H475" s="1">
        <v>0</v>
      </c>
      <c r="K475" s="1" t="str">
        <f t="shared" si="28"/>
        <v/>
      </c>
      <c r="L475" s="1" t="str">
        <f t="shared" si="29"/>
        <v/>
      </c>
      <c r="M475" s="1" t="str">
        <f t="shared" si="30"/>
        <v/>
      </c>
      <c r="P475" s="1" t="s">
        <v>20</v>
      </c>
      <c r="V475" s="1" t="s">
        <v>28693</v>
      </c>
      <c r="X475" s="1" t="s">
        <v>27842</v>
      </c>
      <c r="AR475" s="1" t="str">
        <f t="shared" si="31"/>
        <v>| [](.md) | [樑](樑.md) |  |  | 「梁」的異體字。 |</v>
      </c>
    </row>
    <row r="476" spans="1:44" hidden="1">
      <c r="A476" s="1" t="s">
        <v>28694</v>
      </c>
      <c r="C476" s="1">
        <v>1</v>
      </c>
      <c r="D476" s="1" t="str">
        <f>"03665-1"</f>
        <v>03665-1</v>
      </c>
      <c r="E476" s="1" t="s">
        <v>46</v>
      </c>
      <c r="F476" s="1">
        <v>13</v>
      </c>
      <c r="G476" s="1">
        <v>7</v>
      </c>
      <c r="H476" s="1">
        <v>0</v>
      </c>
      <c r="K476" s="1" t="str">
        <f t="shared" si="28"/>
        <v/>
      </c>
      <c r="L476" s="1" t="str">
        <f t="shared" si="29"/>
        <v/>
      </c>
      <c r="M476" s="1" t="str">
        <f t="shared" si="30"/>
        <v/>
      </c>
      <c r="P476" s="1" t="s">
        <v>20</v>
      </c>
      <c r="V476" s="1" t="s">
        <v>28695</v>
      </c>
      <c r="X476" s="1" t="s">
        <v>27842</v>
      </c>
      <c r="AR476" s="1" t="str">
        <f t="shared" si="31"/>
        <v>| [](.md) | [粮](粮.md) |  |  | 「糧」的異體字。 |</v>
      </c>
    </row>
    <row r="477" spans="1:44" hidden="1">
      <c r="A477" s="1" t="s">
        <v>28696</v>
      </c>
      <c r="C477" s="1">
        <v>1</v>
      </c>
      <c r="D477" s="1" t="str">
        <f>"03666-1"</f>
        <v>03666-1</v>
      </c>
      <c r="E477" s="1" t="s">
        <v>789</v>
      </c>
      <c r="F477" s="1">
        <v>6</v>
      </c>
      <c r="G477" s="1">
        <v>5</v>
      </c>
      <c r="H477" s="1">
        <v>0</v>
      </c>
      <c r="K477" s="1" t="str">
        <f t="shared" si="28"/>
        <v/>
      </c>
      <c r="L477" s="1" t="str">
        <f t="shared" si="29"/>
        <v/>
      </c>
      <c r="M477" s="1" t="str">
        <f t="shared" si="30"/>
        <v/>
      </c>
      <c r="P477" s="1" t="s">
        <v>20</v>
      </c>
      <c r="V477" s="1" t="s">
        <v>28697</v>
      </c>
      <c r="X477" s="1" t="s">
        <v>27842</v>
      </c>
      <c r="AR477" s="1" t="str">
        <f t="shared" si="31"/>
        <v>| [](.md) | [両](両.md) |  |  | 「兩」的異體字。 |</v>
      </c>
    </row>
    <row r="478" spans="1:44" hidden="1">
      <c r="A478" s="1" t="s">
        <v>28698</v>
      </c>
      <c r="C478" s="1">
        <v>1</v>
      </c>
      <c r="D478" s="1" t="str">
        <f>"03666-2"</f>
        <v>03666-2</v>
      </c>
      <c r="E478" s="1" t="s">
        <v>789</v>
      </c>
      <c r="F478" s="1">
        <v>7</v>
      </c>
      <c r="G478" s="1">
        <v>6</v>
      </c>
      <c r="H478" s="1">
        <v>0</v>
      </c>
      <c r="K478" s="1" t="str">
        <f t="shared" si="28"/>
        <v/>
      </c>
      <c r="L478" s="1" t="str">
        <f t="shared" si="29"/>
        <v/>
      </c>
      <c r="M478" s="1" t="str">
        <f t="shared" si="30"/>
        <v/>
      </c>
      <c r="P478" s="1" t="s">
        <v>20</v>
      </c>
      <c r="V478" s="1" t="s">
        <v>28697</v>
      </c>
      <c r="X478" s="1" t="s">
        <v>27842</v>
      </c>
      <c r="AR478" s="1" t="str">
        <f t="shared" si="31"/>
        <v>| [](.md) | [两](两.md) |  |  | 「兩」的異體字。 |</v>
      </c>
    </row>
    <row r="479" spans="1:44" hidden="1">
      <c r="A479" s="1" t="s">
        <v>28699</v>
      </c>
      <c r="C479" s="1">
        <v>1</v>
      </c>
      <c r="D479" s="1" t="str">
        <f>"03666-3"</f>
        <v>03666-3</v>
      </c>
      <c r="E479" s="1" t="s">
        <v>7132</v>
      </c>
      <c r="F479" s="1">
        <v>7</v>
      </c>
      <c r="G479" s="1">
        <v>5</v>
      </c>
      <c r="H479" s="1">
        <v>0</v>
      </c>
      <c r="K479" s="1" t="str">
        <f t="shared" si="28"/>
        <v/>
      </c>
      <c r="L479" s="1" t="str">
        <f t="shared" si="29"/>
        <v/>
      </c>
      <c r="M479" s="1" t="str">
        <f t="shared" si="30"/>
        <v/>
      </c>
      <c r="P479" s="1" t="s">
        <v>20</v>
      </c>
      <c r="V479" s="1" t="s">
        <v>28697</v>
      </c>
      <c r="X479" s="1" t="s">
        <v>27842</v>
      </c>
      <c r="AR479" s="1" t="str">
        <f t="shared" si="31"/>
        <v>| [](.md) | [㒳](㒳.md) |  |  | 「兩」的異體字。 |</v>
      </c>
    </row>
    <row r="480" spans="1:44" hidden="1">
      <c r="A480" s="1" t="s">
        <v>28700</v>
      </c>
      <c r="C480" s="1">
        <v>1</v>
      </c>
      <c r="D480" s="1" t="str">
        <f>"03713-1"</f>
        <v>03713-1</v>
      </c>
      <c r="E480" s="1" t="s">
        <v>336</v>
      </c>
      <c r="F480" s="1">
        <v>7</v>
      </c>
      <c r="G480" s="1">
        <v>3</v>
      </c>
      <c r="H480" s="1">
        <v>0</v>
      </c>
      <c r="K480" s="1" t="str">
        <f t="shared" si="28"/>
        <v/>
      </c>
      <c r="L480" s="1" t="str">
        <f t="shared" si="29"/>
        <v/>
      </c>
      <c r="M480" s="1" t="str">
        <f t="shared" si="30"/>
        <v/>
      </c>
      <c r="P480" s="1" t="s">
        <v>20</v>
      </c>
      <c r="V480" s="1" t="s">
        <v>28701</v>
      </c>
      <c r="X480" s="1" t="s">
        <v>27842</v>
      </c>
      <c r="AR480" s="1" t="str">
        <f t="shared" si="31"/>
        <v>| [](.md) | [󿮫](󿮫.md) |  |  | 「靈」的異體字。 |</v>
      </c>
    </row>
    <row r="481" spans="1:44" hidden="1">
      <c r="A481" s="1" t="s">
        <v>28702</v>
      </c>
      <c r="C481" s="1">
        <v>1</v>
      </c>
      <c r="D481" s="1" t="str">
        <f>"03713-2"</f>
        <v>03713-2</v>
      </c>
      <c r="E481" s="1" t="s">
        <v>125</v>
      </c>
      <c r="F481" s="1">
        <v>17</v>
      </c>
      <c r="G481" s="1">
        <v>9</v>
      </c>
      <c r="H481" s="1">
        <v>0</v>
      </c>
      <c r="K481" s="1" t="str">
        <f t="shared" si="28"/>
        <v/>
      </c>
      <c r="L481" s="1" t="str">
        <f t="shared" si="29"/>
        <v/>
      </c>
      <c r="M481" s="1" t="str">
        <f t="shared" si="30"/>
        <v/>
      </c>
      <c r="P481" s="1" t="s">
        <v>20</v>
      </c>
      <c r="V481" s="1" t="s">
        <v>28701</v>
      </c>
      <c r="X481" s="1" t="s">
        <v>27842</v>
      </c>
      <c r="AR481" s="1" t="str">
        <f t="shared" si="31"/>
        <v>| [](.md) | [霛](霛.md) |  |  | 「靈」的異體字。 |</v>
      </c>
    </row>
    <row r="482" spans="1:44" hidden="1">
      <c r="A482" s="1" t="s">
        <v>28703</v>
      </c>
      <c r="C482" s="1">
        <v>1</v>
      </c>
      <c r="D482" s="1" t="str">
        <f>"03719-1"</f>
        <v>03719-1</v>
      </c>
      <c r="E482" s="1" t="s">
        <v>114</v>
      </c>
      <c r="F482" s="1">
        <v>5</v>
      </c>
      <c r="G482" s="1">
        <v>3</v>
      </c>
      <c r="H482" s="1">
        <v>0</v>
      </c>
      <c r="K482" s="1" t="str">
        <f t="shared" si="28"/>
        <v/>
      </c>
      <c r="L482" s="1" t="str">
        <f t="shared" si="29"/>
        <v/>
      </c>
      <c r="M482" s="1" t="str">
        <f t="shared" si="30"/>
        <v/>
      </c>
      <c r="P482" s="1" t="s">
        <v>20</v>
      </c>
      <c r="V482" s="1" t="s">
        <v>28704</v>
      </c>
      <c r="X482" s="1" t="s">
        <v>27842</v>
      </c>
      <c r="AR482" s="1" t="str">
        <f t="shared" si="31"/>
        <v>| [](.md) | [󹾅](󹾅.md) |  |  | 「令」的異體字。 |</v>
      </c>
    </row>
    <row r="483" spans="1:44" hidden="1">
      <c r="A483" s="1" t="s">
        <v>28705</v>
      </c>
      <c r="C483" s="1">
        <v>1</v>
      </c>
      <c r="D483" s="1" t="str">
        <f>"03722-1"</f>
        <v>03722-1</v>
      </c>
      <c r="E483" s="1" t="s">
        <v>438</v>
      </c>
      <c r="F483" s="1">
        <v>16</v>
      </c>
      <c r="G483" s="1">
        <v>11</v>
      </c>
      <c r="H483" s="1">
        <v>0</v>
      </c>
      <c r="K483" s="1" t="str">
        <f t="shared" si="28"/>
        <v/>
      </c>
      <c r="L483" s="1" t="str">
        <f t="shared" si="29"/>
        <v/>
      </c>
      <c r="M483" s="1" t="str">
        <f t="shared" si="30"/>
        <v/>
      </c>
      <c r="P483" s="1" t="s">
        <v>20</v>
      </c>
      <c r="V483" s="1" t="s">
        <v>28706</v>
      </c>
      <c r="X483" s="1" t="s">
        <v>27842</v>
      </c>
      <c r="AR483" s="1" t="str">
        <f t="shared" si="31"/>
        <v>| [](.md) | [󳹱](󳹱.md) |  |  | 「盧」的異體字。 |</v>
      </c>
    </row>
    <row r="484" spans="1:44" hidden="1">
      <c r="A484" s="1" t="s">
        <v>28707</v>
      </c>
      <c r="C484" s="1">
        <v>1</v>
      </c>
      <c r="D484" s="1" t="str">
        <f>"03724-1"</f>
        <v>03724-1</v>
      </c>
      <c r="E484" s="1" t="s">
        <v>447</v>
      </c>
      <c r="F484" s="1">
        <v>7</v>
      </c>
      <c r="G484" s="1">
        <v>4</v>
      </c>
      <c r="H484" s="1">
        <v>0</v>
      </c>
      <c r="K484" s="1" t="str">
        <f t="shared" si="28"/>
        <v/>
      </c>
      <c r="L484" s="1" t="str">
        <f t="shared" si="29"/>
        <v/>
      </c>
      <c r="M484" s="1" t="str">
        <f t="shared" si="30"/>
        <v/>
      </c>
      <c r="P484" s="1" t="s">
        <v>20</v>
      </c>
      <c r="V484" s="1" t="s">
        <v>28708</v>
      </c>
      <c r="X484" s="1" t="s">
        <v>27842</v>
      </c>
      <c r="AR484" s="1" t="str">
        <f t="shared" si="31"/>
        <v>| [](.md) | [庐](庐.md) |  |  | 「廬」的異體字。 |</v>
      </c>
    </row>
    <row r="485" spans="1:44" hidden="1">
      <c r="A485" s="1" t="s">
        <v>28709</v>
      </c>
      <c r="C485" s="1">
        <v>1</v>
      </c>
      <c r="D485" s="1" t="str">
        <f>"03727-1"</f>
        <v>03727-1</v>
      </c>
      <c r="E485" s="1" t="s">
        <v>336</v>
      </c>
      <c r="F485" s="1">
        <v>8</v>
      </c>
      <c r="G485" s="1">
        <v>4</v>
      </c>
      <c r="H485" s="1">
        <v>0</v>
      </c>
      <c r="K485" s="1" t="str">
        <f t="shared" si="28"/>
        <v/>
      </c>
      <c r="L485" s="1" t="str">
        <f t="shared" si="29"/>
        <v/>
      </c>
      <c r="M485" s="1" t="str">
        <f t="shared" si="30"/>
        <v/>
      </c>
      <c r="P485" s="1" t="s">
        <v>20</v>
      </c>
      <c r="V485" s="1" t="s">
        <v>28710</v>
      </c>
      <c r="X485" s="1" t="s">
        <v>27842</v>
      </c>
      <c r="AR485" s="1" t="str">
        <f t="shared" si="31"/>
        <v>| [](.md) | [炉](炉.md) |  |  | 「爐」的異體字。 |</v>
      </c>
    </row>
    <row r="486" spans="1:44" hidden="1">
      <c r="A486" s="1" t="s">
        <v>28711</v>
      </c>
      <c r="C486" s="1">
        <v>1</v>
      </c>
      <c r="D486" s="1" t="str">
        <f>"03729-1"</f>
        <v>03729-1</v>
      </c>
      <c r="E486" s="1" t="s">
        <v>37</v>
      </c>
      <c r="F486" s="1">
        <v>8</v>
      </c>
      <c r="G486" s="1">
        <v>4</v>
      </c>
      <c r="H486" s="1">
        <v>0</v>
      </c>
      <c r="K486" s="1" t="str">
        <f t="shared" si="28"/>
        <v/>
      </c>
      <c r="L486" s="1" t="str">
        <f t="shared" si="29"/>
        <v/>
      </c>
      <c r="M486" s="1" t="str">
        <f t="shared" si="30"/>
        <v/>
      </c>
      <c r="P486" s="1" t="s">
        <v>20</v>
      </c>
      <c r="V486" s="1" t="s">
        <v>28712</v>
      </c>
      <c r="X486" s="1" t="s">
        <v>27842</v>
      </c>
      <c r="AR486" s="1" t="str">
        <f t="shared" si="31"/>
        <v>| [](.md) | [芦](芦.md) |  |  | 「蘆」的異體字。 |</v>
      </c>
    </row>
    <row r="487" spans="1:44" hidden="1">
      <c r="A487" s="1" t="s">
        <v>28713</v>
      </c>
      <c r="C487" s="1">
        <v>1</v>
      </c>
      <c r="D487" s="1" t="str">
        <f>"03745-1"</f>
        <v>03745-1</v>
      </c>
      <c r="E487" s="1" t="s">
        <v>139</v>
      </c>
      <c r="F487" s="1">
        <v>15</v>
      </c>
      <c r="G487" s="1">
        <v>11</v>
      </c>
      <c r="H487" s="1">
        <v>0</v>
      </c>
      <c r="K487" s="1" t="str">
        <f t="shared" si="28"/>
        <v/>
      </c>
      <c r="L487" s="1" t="str">
        <f t="shared" si="29"/>
        <v/>
      </c>
      <c r="M487" s="1" t="str">
        <f t="shared" si="30"/>
        <v/>
      </c>
      <c r="P487" s="1" t="s">
        <v>20</v>
      </c>
      <c r="V487" s="1" t="s">
        <v>28714</v>
      </c>
      <c r="X487" s="1" t="s">
        <v>27842</v>
      </c>
      <c r="AR487" s="1" t="str">
        <f t="shared" si="31"/>
        <v>| [](.md) | [樐](樐.md) |  |  | 「櫓」的異體字。 |</v>
      </c>
    </row>
    <row r="488" spans="1:44" hidden="1">
      <c r="A488" s="1" t="s">
        <v>28715</v>
      </c>
      <c r="C488" s="1">
        <v>1</v>
      </c>
      <c r="D488" s="1" t="str">
        <f>"03745-2"</f>
        <v>03745-2</v>
      </c>
      <c r="E488" s="1" t="s">
        <v>139</v>
      </c>
      <c r="F488" s="1">
        <v>17</v>
      </c>
      <c r="G488" s="1">
        <v>13</v>
      </c>
      <c r="H488" s="1">
        <v>0</v>
      </c>
      <c r="K488" s="1" t="str">
        <f t="shared" si="28"/>
        <v/>
      </c>
      <c r="L488" s="1" t="str">
        <f t="shared" si="29"/>
        <v/>
      </c>
      <c r="M488" s="1" t="str">
        <f t="shared" si="30"/>
        <v/>
      </c>
      <c r="P488" s="1" t="s">
        <v>20</v>
      </c>
      <c r="V488" s="1" t="s">
        <v>28714</v>
      </c>
      <c r="X488" s="1" t="s">
        <v>27842</v>
      </c>
      <c r="AR488" s="1" t="str">
        <f t="shared" si="31"/>
        <v>| [](.md) | [㯭](㯭.md) |  |  | 「櫓」的異體字。 |</v>
      </c>
    </row>
    <row r="489" spans="1:44" hidden="1">
      <c r="A489" s="1" t="s">
        <v>28716</v>
      </c>
      <c r="C489" s="1">
        <v>1</v>
      </c>
      <c r="D489" s="1" t="str">
        <f>"03760-1"</f>
        <v>03760-1</v>
      </c>
      <c r="E489" s="1" t="s">
        <v>725</v>
      </c>
      <c r="F489" s="1">
        <v>14</v>
      </c>
      <c r="G489" s="1">
        <v>8</v>
      </c>
      <c r="H489" s="1">
        <v>0</v>
      </c>
      <c r="K489" s="1" t="str">
        <f t="shared" si="28"/>
        <v/>
      </c>
      <c r="L489" s="1" t="str">
        <f t="shared" si="29"/>
        <v/>
      </c>
      <c r="M489" s="1" t="str">
        <f t="shared" si="30"/>
        <v/>
      </c>
      <c r="P489" s="1" t="s">
        <v>20</v>
      </c>
      <c r="V489" s="1" t="s">
        <v>28717</v>
      </c>
      <c r="X489" s="1" t="s">
        <v>27842</v>
      </c>
      <c r="AR489" s="1" t="str">
        <f t="shared" si="31"/>
        <v>| [](.md) | [緑](緑.md) |  |  | 「綠」的異體字。 |</v>
      </c>
    </row>
    <row r="490" spans="1:44" hidden="1">
      <c r="A490" s="1" t="s">
        <v>28718</v>
      </c>
      <c r="C490" s="1">
        <v>1</v>
      </c>
      <c r="D490" s="1" t="str">
        <f>"03784-1"</f>
        <v>03784-1</v>
      </c>
      <c r="E490" s="1" t="s">
        <v>245</v>
      </c>
      <c r="F490" s="1">
        <v>13</v>
      </c>
      <c r="G490" s="1">
        <v>11</v>
      </c>
      <c r="H490" s="1">
        <v>0</v>
      </c>
      <c r="K490" s="1" t="str">
        <f t="shared" si="28"/>
        <v/>
      </c>
      <c r="L490" s="1" t="str">
        <f t="shared" si="29"/>
        <v/>
      </c>
      <c r="M490" s="1" t="str">
        <f t="shared" si="30"/>
        <v/>
      </c>
      <c r="P490" s="1" t="s">
        <v>20</v>
      </c>
      <c r="V490" s="1" t="s">
        <v>28719</v>
      </c>
      <c r="X490" s="1" t="s">
        <v>27842</v>
      </c>
      <c r="AR490" s="1" t="str">
        <f t="shared" si="31"/>
        <v>| [](.md) | [勠](勠.md) |  |  | 「戮」的異體字。 |</v>
      </c>
    </row>
    <row r="491" spans="1:44" hidden="1">
      <c r="A491" s="1" t="s">
        <v>28720</v>
      </c>
      <c r="C491" s="1">
        <v>1</v>
      </c>
      <c r="D491" s="1" t="str">
        <f>"03788-1"</f>
        <v>03788-1</v>
      </c>
      <c r="E491" s="1" t="s">
        <v>28</v>
      </c>
      <c r="F491" s="1">
        <v>11</v>
      </c>
      <c r="G491" s="1">
        <v>8</v>
      </c>
      <c r="H491" s="1">
        <v>0</v>
      </c>
      <c r="K491" s="1" t="str">
        <f t="shared" si="28"/>
        <v/>
      </c>
      <c r="L491" s="1" t="str">
        <f t="shared" si="29"/>
        <v/>
      </c>
      <c r="M491" s="1" t="str">
        <f t="shared" si="30"/>
        <v/>
      </c>
      <c r="P491" s="1" t="s">
        <v>20</v>
      </c>
      <c r="V491" s="1" t="s">
        <v>28721</v>
      </c>
      <c r="X491" s="1" t="s">
        <v>27842</v>
      </c>
      <c r="AR491" s="1" t="str">
        <f t="shared" si="31"/>
        <v>| [](.md) | [啰](啰.md) |  |  | 「囉」的異體字。 |</v>
      </c>
    </row>
    <row r="492" spans="1:44" hidden="1">
      <c r="A492" s="1" t="s">
        <v>28722</v>
      </c>
      <c r="C492" s="1">
        <v>1</v>
      </c>
      <c r="D492" s="1" t="str">
        <f>"03792-1"</f>
        <v>03792-1</v>
      </c>
      <c r="E492" s="1" t="s">
        <v>319</v>
      </c>
      <c r="F492" s="1">
        <v>23</v>
      </c>
      <c r="G492" s="1">
        <v>13</v>
      </c>
      <c r="H492" s="1">
        <v>0</v>
      </c>
      <c r="K492" s="1" t="str">
        <f t="shared" si="28"/>
        <v/>
      </c>
      <c r="L492" s="1" t="str">
        <f t="shared" si="29"/>
        <v/>
      </c>
      <c r="M492" s="1" t="str">
        <f t="shared" si="30"/>
        <v/>
      </c>
      <c r="P492" s="1" t="s">
        <v>20</v>
      </c>
      <c r="V492" s="1" t="s">
        <v>28723</v>
      </c>
      <c r="X492" s="1" t="s">
        <v>27842</v>
      </c>
      <c r="AR492" s="1" t="str">
        <f t="shared" si="31"/>
        <v>| [](.md) | [驘](驘.md) |  |  | 「騾」的異體字。 |</v>
      </c>
    </row>
    <row r="493" spans="1:44" hidden="1">
      <c r="A493" s="1" t="s">
        <v>28724</v>
      </c>
      <c r="C493" s="1">
        <v>1</v>
      </c>
      <c r="D493" s="1" t="str">
        <f>"03793-1"</f>
        <v>03793-1</v>
      </c>
      <c r="E493" s="1" t="s">
        <v>118</v>
      </c>
      <c r="F493" s="1">
        <v>8</v>
      </c>
      <c r="G493" s="1">
        <v>3</v>
      </c>
      <c r="H493" s="1">
        <v>0</v>
      </c>
      <c r="K493" s="1" t="str">
        <f t="shared" si="28"/>
        <v/>
      </c>
      <c r="L493" s="1" t="str">
        <f t="shared" si="29"/>
        <v/>
      </c>
      <c r="M493" s="1" t="str">
        <f t="shared" si="30"/>
        <v/>
      </c>
      <c r="P493" s="1" t="s">
        <v>20</v>
      </c>
      <c r="V493" s="1" t="s">
        <v>28725</v>
      </c>
      <c r="X493" s="1" t="s">
        <v>27842</v>
      </c>
      <c r="AR493" s="1" t="str">
        <f t="shared" si="31"/>
        <v>| [](.md) | [罗](罗.md) |  |  | 「羅」的異體字。 |</v>
      </c>
    </row>
    <row r="494" spans="1:44" hidden="1">
      <c r="A494" s="1" t="s">
        <v>28726</v>
      </c>
      <c r="C494" s="1">
        <v>1</v>
      </c>
      <c r="D494" s="1" t="str">
        <f>"03797-1"</f>
        <v>03797-1</v>
      </c>
      <c r="E494" s="1" t="s">
        <v>37</v>
      </c>
      <c r="F494" s="1">
        <v>12</v>
      </c>
      <c r="G494" s="1">
        <v>8</v>
      </c>
      <c r="H494" s="1">
        <v>0</v>
      </c>
      <c r="K494" s="1" t="str">
        <f t="shared" si="28"/>
        <v/>
      </c>
      <c r="L494" s="1" t="str">
        <f t="shared" si="29"/>
        <v/>
      </c>
      <c r="M494" s="1" t="str">
        <f t="shared" si="30"/>
        <v/>
      </c>
      <c r="P494" s="1" t="s">
        <v>20</v>
      </c>
      <c r="V494" s="1" t="s">
        <v>28727</v>
      </c>
      <c r="X494" s="1" t="s">
        <v>27842</v>
      </c>
      <c r="AR494" s="1" t="str">
        <f t="shared" si="31"/>
        <v>| [](.md) | [萝](萝.md) |  |  | 「蘿」的異體字。 |</v>
      </c>
    </row>
    <row r="495" spans="1:44" hidden="1">
      <c r="A495" s="1" t="s">
        <v>28728</v>
      </c>
      <c r="C495" s="1">
        <v>1</v>
      </c>
      <c r="D495" s="1" t="str">
        <f>"03798-1"</f>
        <v>03798-1</v>
      </c>
      <c r="E495" s="1" t="s">
        <v>558</v>
      </c>
      <c r="F495" s="1">
        <v>12</v>
      </c>
      <c r="G495" s="1">
        <v>8</v>
      </c>
      <c r="H495" s="1">
        <v>0</v>
      </c>
      <c r="K495" s="1" t="str">
        <f t="shared" si="28"/>
        <v/>
      </c>
      <c r="L495" s="1" t="str">
        <f t="shared" si="29"/>
        <v/>
      </c>
      <c r="M495" s="1" t="str">
        <f t="shared" si="30"/>
        <v/>
      </c>
      <c r="P495" s="1" t="s">
        <v>20</v>
      </c>
      <c r="V495" s="1" t="s">
        <v>28729</v>
      </c>
      <c r="X495" s="1" t="s">
        <v>27842</v>
      </c>
      <c r="AR495" s="1" t="str">
        <f t="shared" si="31"/>
        <v>| [](.md) | [逻](逻.md) |  |  | 「邏」的異體字。 |</v>
      </c>
    </row>
    <row r="496" spans="1:44" hidden="1">
      <c r="A496" s="1" t="s">
        <v>28730</v>
      </c>
      <c r="C496" s="1">
        <v>1</v>
      </c>
      <c r="D496" s="1" t="str">
        <f>"03799-1"</f>
        <v>03799-1</v>
      </c>
      <c r="E496" s="1" t="s">
        <v>49</v>
      </c>
      <c r="F496" s="1">
        <v>14</v>
      </c>
      <c r="G496" s="1">
        <v>8</v>
      </c>
      <c r="H496" s="1">
        <v>0</v>
      </c>
      <c r="K496" s="1" t="str">
        <f t="shared" si="28"/>
        <v/>
      </c>
      <c r="L496" s="1" t="str">
        <f t="shared" si="29"/>
        <v/>
      </c>
      <c r="M496" s="1" t="str">
        <f t="shared" si="30"/>
        <v/>
      </c>
      <c r="P496" s="1" t="s">
        <v>20</v>
      </c>
      <c r="V496" s="1" t="s">
        <v>28731</v>
      </c>
      <c r="X496" s="1" t="s">
        <v>27842</v>
      </c>
      <c r="AR496" s="1" t="str">
        <f t="shared" si="31"/>
        <v>| [](.md) | [箩](箩.md) |  |  | 「籮」的異體字。 |</v>
      </c>
    </row>
    <row r="497" spans="1:44" hidden="1">
      <c r="A497" s="1" t="s">
        <v>28732</v>
      </c>
      <c r="C497" s="1">
        <v>1</v>
      </c>
      <c r="D497" s="1" t="str">
        <f>"03800-1"</f>
        <v>03800-1</v>
      </c>
      <c r="E497" s="1" t="s">
        <v>55</v>
      </c>
      <c r="F497" s="1">
        <v>16</v>
      </c>
      <c r="G497" s="1">
        <v>8</v>
      </c>
      <c r="H497" s="1">
        <v>0</v>
      </c>
      <c r="K497" s="1" t="str">
        <f t="shared" si="28"/>
        <v/>
      </c>
      <c r="L497" s="1" t="str">
        <f t="shared" si="29"/>
        <v/>
      </c>
      <c r="M497" s="1" t="str">
        <f t="shared" si="30"/>
        <v/>
      </c>
      <c r="P497" s="1" t="s">
        <v>20</v>
      </c>
      <c r="V497" s="1" t="s">
        <v>28733</v>
      </c>
      <c r="X497" s="1" t="s">
        <v>27842</v>
      </c>
      <c r="AR497" s="1" t="str">
        <f t="shared" si="31"/>
        <v>| [](.md) | [󹝺](󹝺.md) |  |  | 「鑼」的異體字。 |</v>
      </c>
    </row>
    <row r="498" spans="1:44" hidden="1">
      <c r="A498" s="1" t="s">
        <v>28734</v>
      </c>
      <c r="C498" s="1">
        <v>1</v>
      </c>
      <c r="D498" s="1" t="str">
        <f>"03802-1"</f>
        <v>03802-1</v>
      </c>
      <c r="E498" s="1" t="s">
        <v>2233</v>
      </c>
      <c r="F498" s="1">
        <v>21</v>
      </c>
      <c r="G498" s="1">
        <v>14</v>
      </c>
      <c r="H498" s="1">
        <v>0</v>
      </c>
      <c r="K498" s="1" t="str">
        <f t="shared" si="28"/>
        <v/>
      </c>
      <c r="L498" s="1" t="str">
        <f t="shared" si="29"/>
        <v/>
      </c>
      <c r="M498" s="1" t="str">
        <f t="shared" si="30"/>
        <v/>
      </c>
      <c r="P498" s="1" t="s">
        <v>20</v>
      </c>
      <c r="V498" s="1" t="s">
        <v>28735</v>
      </c>
      <c r="X498" s="1" t="s">
        <v>27842</v>
      </c>
      <c r="AR498" s="1" t="str">
        <f t="shared" si="31"/>
        <v>| [](.md) | [覼](覼.md) |  |  | 「覶」的異體字。 |</v>
      </c>
    </row>
    <row r="499" spans="1:44" hidden="1">
      <c r="A499" s="1" t="s">
        <v>28736</v>
      </c>
      <c r="C499" s="1">
        <v>1</v>
      </c>
      <c r="D499" s="1" t="str">
        <f>"03805-1"</f>
        <v>03805-1</v>
      </c>
      <c r="E499" s="1" t="s">
        <v>5692</v>
      </c>
      <c r="F499" s="1">
        <v>15</v>
      </c>
      <c r="G499" s="1">
        <v>8</v>
      </c>
      <c r="H499" s="1">
        <v>0</v>
      </c>
      <c r="K499" s="1" t="str">
        <f t="shared" si="28"/>
        <v/>
      </c>
      <c r="L499" s="1" t="str">
        <f t="shared" si="29"/>
        <v/>
      </c>
      <c r="M499" s="1" t="str">
        <f t="shared" si="30"/>
        <v/>
      </c>
      <c r="P499" s="1" t="s">
        <v>20</v>
      </c>
      <c r="V499" s="1" t="s">
        <v>28737</v>
      </c>
      <c r="X499" s="1" t="s">
        <v>27842</v>
      </c>
      <c r="AR499" s="1" t="str">
        <f t="shared" si="31"/>
        <v>| [](.md) | [躶](躶.md) |  |  | 「裸」的異體字。 |</v>
      </c>
    </row>
    <row r="500" spans="1:44" hidden="1">
      <c r="A500" s="1" t="s">
        <v>28738</v>
      </c>
      <c r="C500" s="1">
        <v>1</v>
      </c>
      <c r="D500" s="1" t="str">
        <f>"03828-1"</f>
        <v>03828-1</v>
      </c>
      <c r="E500" s="1" t="s">
        <v>190</v>
      </c>
      <c r="F500" s="1">
        <v>9</v>
      </c>
      <c r="G500" s="1">
        <v>6</v>
      </c>
      <c r="H500" s="1">
        <v>0</v>
      </c>
      <c r="K500" s="1" t="str">
        <f t="shared" si="28"/>
        <v/>
      </c>
      <c r="L500" s="1" t="str">
        <f t="shared" si="29"/>
        <v/>
      </c>
      <c r="M500" s="1" t="str">
        <f t="shared" si="30"/>
        <v/>
      </c>
      <c r="P500" s="1" t="s">
        <v>20</v>
      </c>
      <c r="V500" s="1" t="s">
        <v>28739</v>
      </c>
      <c r="X500" s="1" t="s">
        <v>27842</v>
      </c>
      <c r="AR500" s="1" t="str">
        <f t="shared" si="31"/>
        <v>| [](.md) | [峦](峦.md) |  |  | 「巒」的異體字。 |</v>
      </c>
    </row>
    <row r="501" spans="1:44" hidden="1">
      <c r="A501" s="1" t="s">
        <v>28740</v>
      </c>
      <c r="C501" s="1">
        <v>1</v>
      </c>
      <c r="D501" s="1" t="str">
        <f>"03829-1"</f>
        <v>03829-1</v>
      </c>
      <c r="E501" s="1" t="s">
        <v>534</v>
      </c>
      <c r="F501" s="1">
        <v>9</v>
      </c>
      <c r="G501" s="1">
        <v>6</v>
      </c>
      <c r="H501" s="1">
        <v>0</v>
      </c>
      <c r="K501" s="1" t="str">
        <f t="shared" si="28"/>
        <v/>
      </c>
      <c r="L501" s="1" t="str">
        <f t="shared" si="29"/>
        <v/>
      </c>
      <c r="M501" s="1" t="str">
        <f t="shared" si="30"/>
        <v/>
      </c>
      <c r="P501" s="1" t="s">
        <v>20</v>
      </c>
      <c r="V501" s="1" t="s">
        <v>28741</v>
      </c>
      <c r="X501" s="1" t="s">
        <v>27842</v>
      </c>
      <c r="AR501" s="1" t="str">
        <f t="shared" si="31"/>
        <v>| [](.md) | [娈](娈.md) |  |  | 「孌」的異體字。 |</v>
      </c>
    </row>
    <row r="502" spans="1:44" hidden="1">
      <c r="A502" s="1" t="s">
        <v>28742</v>
      </c>
      <c r="C502" s="1">
        <v>1</v>
      </c>
      <c r="D502" s="1" t="str">
        <f>"03830-1"</f>
        <v>03830-1</v>
      </c>
      <c r="E502" s="1" t="s">
        <v>241</v>
      </c>
      <c r="F502" s="1">
        <v>9</v>
      </c>
      <c r="G502" s="1">
        <v>6</v>
      </c>
      <c r="H502" s="1">
        <v>0</v>
      </c>
      <c r="K502" s="1" t="str">
        <f t="shared" si="28"/>
        <v/>
      </c>
      <c r="L502" s="1" t="str">
        <f t="shared" si="29"/>
        <v/>
      </c>
      <c r="M502" s="1" t="str">
        <f t="shared" si="30"/>
        <v/>
      </c>
      <c r="P502" s="1" t="s">
        <v>20</v>
      </c>
      <c r="V502" s="1" t="s">
        <v>28743</v>
      </c>
      <c r="X502" s="1" t="s">
        <v>27842</v>
      </c>
      <c r="AR502" s="1" t="str">
        <f t="shared" si="31"/>
        <v>| [](.md) | [孪](孪.md) |  |  | 「孿」的異體字。 |</v>
      </c>
    </row>
    <row r="503" spans="1:44" hidden="1">
      <c r="A503" s="1" t="s">
        <v>28744</v>
      </c>
      <c r="C503" s="1">
        <v>1</v>
      </c>
      <c r="D503" s="1" t="str">
        <f>"03831-1"</f>
        <v>03831-1</v>
      </c>
      <c r="E503" s="1" t="s">
        <v>139</v>
      </c>
      <c r="F503" s="1">
        <v>10</v>
      </c>
      <c r="G503" s="1">
        <v>6</v>
      </c>
      <c r="H503" s="1">
        <v>0</v>
      </c>
      <c r="K503" s="1" t="str">
        <f t="shared" si="28"/>
        <v/>
      </c>
      <c r="L503" s="1" t="str">
        <f t="shared" si="29"/>
        <v/>
      </c>
      <c r="M503" s="1" t="str">
        <f t="shared" si="30"/>
        <v/>
      </c>
      <c r="P503" s="1" t="s">
        <v>20</v>
      </c>
      <c r="V503" s="1" t="s">
        <v>28745</v>
      </c>
      <c r="X503" s="1" t="s">
        <v>27842</v>
      </c>
      <c r="AR503" s="1" t="str">
        <f t="shared" si="31"/>
        <v>| [](.md) | [栾](栾.md) |  |  | 「欒」的異體字。 |</v>
      </c>
    </row>
    <row r="504" spans="1:44" hidden="1">
      <c r="A504" s="1" t="s">
        <v>28746</v>
      </c>
      <c r="C504" s="1">
        <v>1</v>
      </c>
      <c r="D504" s="1" t="str">
        <f>"03833-1"</f>
        <v>03833-1</v>
      </c>
      <c r="E504" s="1" t="s">
        <v>68</v>
      </c>
      <c r="F504" s="1">
        <v>12</v>
      </c>
      <c r="G504" s="1">
        <v>6</v>
      </c>
      <c r="H504" s="1">
        <v>0</v>
      </c>
      <c r="K504" s="1" t="str">
        <f t="shared" si="28"/>
        <v/>
      </c>
      <c r="L504" s="1" t="str">
        <f t="shared" si="29"/>
        <v/>
      </c>
      <c r="M504" s="1" t="str">
        <f t="shared" si="30"/>
        <v/>
      </c>
      <c r="P504" s="1" t="s">
        <v>20</v>
      </c>
      <c r="V504" s="1" t="s">
        <v>28747</v>
      </c>
      <c r="X504" s="1" t="s">
        <v>27842</v>
      </c>
      <c r="AR504" s="1" t="str">
        <f t="shared" si="31"/>
        <v>| [](.md) | [脔](脔.md) |  |  | 「臠」的異體字。 |</v>
      </c>
    </row>
    <row r="505" spans="1:44" hidden="1">
      <c r="A505" s="1" t="s">
        <v>28748</v>
      </c>
      <c r="C505" s="1">
        <v>1</v>
      </c>
      <c r="D505" s="1" t="str">
        <f>"03834-1"</f>
        <v>03834-1</v>
      </c>
      <c r="E505" s="1" t="s">
        <v>129</v>
      </c>
      <c r="F505" s="1">
        <v>13</v>
      </c>
      <c r="G505" s="1">
        <v>10</v>
      </c>
      <c r="H505" s="1">
        <v>0</v>
      </c>
      <c r="K505" s="1" t="str">
        <f t="shared" si="28"/>
        <v/>
      </c>
      <c r="L505" s="1" t="str">
        <f t="shared" si="29"/>
        <v/>
      </c>
      <c r="M505" s="1" t="str">
        <f t="shared" si="30"/>
        <v/>
      </c>
      <c r="P505" s="1" t="s">
        <v>20</v>
      </c>
      <c r="V505" s="1" t="s">
        <v>28749</v>
      </c>
      <c r="X505" s="1" t="s">
        <v>27842</v>
      </c>
      <c r="AR505" s="1" t="str">
        <f t="shared" si="31"/>
        <v>| [](.md) | [滦](滦.md) |  |  | 「灤」的異體字。 |</v>
      </c>
    </row>
    <row r="506" spans="1:44" hidden="1">
      <c r="A506" s="1" t="s">
        <v>28750</v>
      </c>
      <c r="C506" s="1">
        <v>1</v>
      </c>
      <c r="D506" s="1" t="str">
        <f>"03835-1"</f>
        <v>03835-1</v>
      </c>
      <c r="E506" s="1" t="s">
        <v>55</v>
      </c>
      <c r="F506" s="1">
        <v>14</v>
      </c>
      <c r="G506" s="1">
        <v>6</v>
      </c>
      <c r="H506" s="1">
        <v>0</v>
      </c>
      <c r="K506" s="1" t="str">
        <f t="shared" si="28"/>
        <v/>
      </c>
      <c r="L506" s="1" t="str">
        <f t="shared" si="29"/>
        <v/>
      </c>
      <c r="M506" s="1" t="str">
        <f t="shared" si="30"/>
        <v/>
      </c>
      <c r="P506" s="1" t="s">
        <v>20</v>
      </c>
      <c r="V506" s="1" t="s">
        <v>28751</v>
      </c>
      <c r="X506" s="1" t="s">
        <v>27842</v>
      </c>
      <c r="AR506" s="1" t="str">
        <f t="shared" si="31"/>
        <v>| [](.md) | [銮](銮.md) |  |  | 「鑾」的異體字。 |</v>
      </c>
    </row>
    <row r="507" spans="1:44" hidden="1">
      <c r="A507" s="1" t="s">
        <v>28752</v>
      </c>
      <c r="C507" s="1">
        <v>1</v>
      </c>
      <c r="D507" s="1" t="str">
        <f>"03836-1"</f>
        <v>03836-1</v>
      </c>
      <c r="E507" s="1" t="s">
        <v>272</v>
      </c>
      <c r="F507" s="1">
        <v>17</v>
      </c>
      <c r="G507" s="1">
        <v>6</v>
      </c>
      <c r="H507" s="1">
        <v>0</v>
      </c>
      <c r="K507" s="1" t="str">
        <f t="shared" si="28"/>
        <v/>
      </c>
      <c r="L507" s="1" t="str">
        <f t="shared" si="29"/>
        <v/>
      </c>
      <c r="M507" s="1" t="str">
        <f t="shared" si="30"/>
        <v/>
      </c>
      <c r="P507" s="1" t="s">
        <v>20</v>
      </c>
      <c r="V507" s="1" t="s">
        <v>28753</v>
      </c>
      <c r="X507" s="1" t="s">
        <v>27842</v>
      </c>
      <c r="AR507" s="1" t="str">
        <f t="shared" si="31"/>
        <v>| [](.md) | [鵉](鵉.md) |  |  | 「鸞」的異體字。 |</v>
      </c>
    </row>
    <row r="508" spans="1:44" hidden="1">
      <c r="A508" s="1" t="s">
        <v>28754</v>
      </c>
      <c r="C508" s="1">
        <v>1</v>
      </c>
      <c r="D508" s="1" t="str">
        <f>"03839-1"</f>
        <v>03839-1</v>
      </c>
      <c r="E508" s="1" t="s">
        <v>3480</v>
      </c>
      <c r="F508" s="1">
        <v>7</v>
      </c>
      <c r="G508" s="1">
        <v>6</v>
      </c>
      <c r="H508" s="1">
        <v>0</v>
      </c>
      <c r="K508" s="1" t="str">
        <f t="shared" si="28"/>
        <v/>
      </c>
      <c r="L508" s="1" t="str">
        <f t="shared" si="29"/>
        <v/>
      </c>
      <c r="M508" s="1" t="str">
        <f t="shared" si="30"/>
        <v/>
      </c>
      <c r="P508" s="1" t="s">
        <v>20</v>
      </c>
      <c r="V508" s="1" t="s">
        <v>28755</v>
      </c>
      <c r="X508" s="1" t="s">
        <v>27842</v>
      </c>
      <c r="AR508" s="1" t="str">
        <f t="shared" si="31"/>
        <v>| [](.md) | [乱](乱.md) |  |  | 「亂」的異體字。 |</v>
      </c>
    </row>
    <row r="509" spans="1:44" hidden="1">
      <c r="A509" s="1" t="s">
        <v>28756</v>
      </c>
      <c r="C509" s="1">
        <v>1</v>
      </c>
      <c r="D509" s="1" t="str">
        <f>"03839-2"</f>
        <v>03839-2</v>
      </c>
      <c r="E509" s="1" t="s">
        <v>3480</v>
      </c>
      <c r="F509" s="1">
        <v>10</v>
      </c>
      <c r="G509" s="1">
        <v>9</v>
      </c>
      <c r="H509" s="1">
        <v>0</v>
      </c>
      <c r="K509" s="1" t="str">
        <f t="shared" si="28"/>
        <v/>
      </c>
      <c r="L509" s="1" t="str">
        <f t="shared" si="29"/>
        <v/>
      </c>
      <c r="M509" s="1" t="str">
        <f t="shared" si="30"/>
        <v/>
      </c>
      <c r="P509" s="1" t="s">
        <v>20</v>
      </c>
      <c r="V509" s="1" t="s">
        <v>28755</v>
      </c>
      <c r="X509" s="1" t="s">
        <v>27842</v>
      </c>
      <c r="AR509" s="1" t="str">
        <f t="shared" si="31"/>
        <v>| [](.md) | [󰃨](󰃨.md) |  |  | 「亂」的異體字。 |</v>
      </c>
    </row>
    <row r="510" spans="1:44" hidden="1">
      <c r="A510" s="1" t="s">
        <v>28757</v>
      </c>
      <c r="C510" s="1">
        <v>1</v>
      </c>
      <c r="D510" s="1" t="str">
        <f>"03845-1"</f>
        <v>03845-1</v>
      </c>
      <c r="E510" s="1" t="s">
        <v>190</v>
      </c>
      <c r="F510" s="1">
        <v>11</v>
      </c>
      <c r="G510" s="1">
        <v>8</v>
      </c>
      <c r="H510" s="1">
        <v>0</v>
      </c>
      <c r="K510" s="1" t="str">
        <f t="shared" si="28"/>
        <v/>
      </c>
      <c r="L510" s="1" t="str">
        <f t="shared" si="29"/>
        <v/>
      </c>
      <c r="M510" s="1" t="str">
        <f t="shared" si="30"/>
        <v/>
      </c>
      <c r="P510" s="1" t="s">
        <v>20</v>
      </c>
      <c r="V510" s="1" t="s">
        <v>28758</v>
      </c>
      <c r="X510" s="1" t="s">
        <v>27842</v>
      </c>
      <c r="AR510" s="1" t="str">
        <f t="shared" si="31"/>
        <v>| [](.md) | [崘](崘.md) |  |  | 「崙」的異體字。 |</v>
      </c>
    </row>
    <row r="511" spans="1:44" hidden="1">
      <c r="A511" s="1" t="s">
        <v>28759</v>
      </c>
      <c r="C511" s="1">
        <v>1</v>
      </c>
      <c r="D511" s="1" t="str">
        <f>"03869-1"</f>
        <v>03869-1</v>
      </c>
      <c r="E511" s="1" t="s">
        <v>132</v>
      </c>
      <c r="F511" s="1">
        <v>19</v>
      </c>
      <c r="G511" s="1">
        <v>16</v>
      </c>
      <c r="H511" s="1">
        <v>0</v>
      </c>
      <c r="K511" s="1" t="str">
        <f t="shared" si="28"/>
        <v/>
      </c>
      <c r="L511" s="1" t="str">
        <f t="shared" si="29"/>
        <v/>
      </c>
      <c r="M511" s="1" t="str">
        <f t="shared" si="30"/>
        <v/>
      </c>
      <c r="P511" s="1" t="s">
        <v>20</v>
      </c>
      <c r="V511" s="1" t="s">
        <v>28760</v>
      </c>
      <c r="X511" s="1" t="s">
        <v>27842</v>
      </c>
      <c r="AR511" s="1" t="str">
        <f t="shared" si="31"/>
        <v>| [](.md) | [壠](壠.md) |  |  | 「壟」的異體字。 |</v>
      </c>
    </row>
    <row r="512" spans="1:44" hidden="1">
      <c r="A512" s="1" t="s">
        <v>28761</v>
      </c>
      <c r="C512" s="1">
        <v>1</v>
      </c>
      <c r="D512" s="1" t="str">
        <f>"03886-1"</f>
        <v>03886-1</v>
      </c>
      <c r="E512" s="1" t="s">
        <v>245</v>
      </c>
      <c r="F512" s="1">
        <v>12</v>
      </c>
      <c r="G512" s="1">
        <v>10</v>
      </c>
      <c r="H512" s="1">
        <v>0</v>
      </c>
      <c r="K512" s="1" t="str">
        <f t="shared" si="28"/>
        <v/>
      </c>
      <c r="L512" s="1" t="str">
        <f t="shared" si="29"/>
        <v/>
      </c>
      <c r="M512" s="1" t="str">
        <f t="shared" si="30"/>
        <v/>
      </c>
      <c r="P512" s="1" t="s">
        <v>20</v>
      </c>
      <c r="V512" s="1" t="s">
        <v>28762</v>
      </c>
      <c r="X512" s="1" t="s">
        <v>27842</v>
      </c>
      <c r="AR512" s="1" t="str">
        <f t="shared" si="31"/>
        <v>| [](.md) | [󿷐](󿷐.md) |  |  | 「膂」的異體字。 |</v>
      </c>
    </row>
    <row r="513" spans="1:44" hidden="1">
      <c r="A513" s="1" t="s">
        <v>28763</v>
      </c>
      <c r="C513" s="1">
        <v>1</v>
      </c>
      <c r="D513" s="1" t="str">
        <f>"03890-1"</f>
        <v>03890-1</v>
      </c>
      <c r="E513" s="1" t="s">
        <v>871</v>
      </c>
      <c r="F513" s="1">
        <v>12</v>
      </c>
      <c r="G513" s="1">
        <v>9</v>
      </c>
      <c r="H513" s="1">
        <v>0</v>
      </c>
      <c r="K513" s="1" t="str">
        <f t="shared" si="28"/>
        <v/>
      </c>
      <c r="L513" s="1" t="str">
        <f t="shared" si="29"/>
        <v/>
      </c>
      <c r="M513" s="1" t="str">
        <f t="shared" si="30"/>
        <v/>
      </c>
      <c r="P513" s="1" t="s">
        <v>20</v>
      </c>
      <c r="V513" s="1" t="s">
        <v>28764</v>
      </c>
      <c r="X513" s="1" t="s">
        <v>27842</v>
      </c>
      <c r="AR513" s="1" t="str">
        <f t="shared" si="31"/>
        <v>| [](.md) | [屡](屡.md) |  |  | 「屢」的異體字。 |</v>
      </c>
    </row>
    <row r="514" spans="1:44" hidden="1">
      <c r="A514" s="1" t="s">
        <v>28765</v>
      </c>
      <c r="C514" s="1">
        <v>1</v>
      </c>
      <c r="D514" s="1" t="str">
        <f>"03892-1"</f>
        <v>03892-1</v>
      </c>
      <c r="E514" s="1" t="s">
        <v>725</v>
      </c>
      <c r="F514" s="1">
        <v>15</v>
      </c>
      <c r="G514" s="1">
        <v>9</v>
      </c>
      <c r="H514" s="1">
        <v>0</v>
      </c>
      <c r="K514" s="1" t="str">
        <f t="shared" ref="K514:K577" si="32">LEFT(I514, 1)</f>
        <v/>
      </c>
      <c r="L514" s="1" t="str">
        <f t="shared" ref="L514:L577" si="33">MID(I514, 2, 1)</f>
        <v/>
      </c>
      <c r="M514" s="1" t="str">
        <f t="shared" ref="M514:M577" si="34">MID(I514, 3, 1)</f>
        <v/>
      </c>
      <c r="P514" s="1" t="s">
        <v>20</v>
      </c>
      <c r="V514" s="1" t="s">
        <v>28766</v>
      </c>
      <c r="X514" s="1" t="s">
        <v>27842</v>
      </c>
      <c r="AR514" s="1" t="str">
        <f t="shared" si="31"/>
        <v>| [](.md) | [𫃵](𫃵.md) |  |  | 「縷」的異體字。 |</v>
      </c>
    </row>
    <row r="515" spans="1:44" hidden="1">
      <c r="A515" s="1" t="s">
        <v>28767</v>
      </c>
      <c r="C515" s="1">
        <v>1</v>
      </c>
      <c r="D515" s="1" t="str">
        <f>"03905-1"</f>
        <v>03905-1</v>
      </c>
      <c r="E515" s="1" t="s">
        <v>753</v>
      </c>
      <c r="F515" s="1">
        <v>11</v>
      </c>
      <c r="G515" s="1">
        <v>6</v>
      </c>
      <c r="H515" s="1">
        <v>0</v>
      </c>
      <c r="K515" s="1" t="str">
        <f t="shared" si="32"/>
        <v/>
      </c>
      <c r="L515" s="1" t="str">
        <f t="shared" si="33"/>
        <v/>
      </c>
      <c r="M515" s="1" t="str">
        <f t="shared" si="34"/>
        <v/>
      </c>
      <c r="P515" s="1" t="s">
        <v>20</v>
      </c>
      <c r="V515" s="1" t="s">
        <v>28768</v>
      </c>
      <c r="X515" s="1" t="s">
        <v>27842</v>
      </c>
      <c r="AR515" s="1" t="str">
        <f t="shared" ref="AR515:AR578" si="35">"| ["&amp;I515&amp;"]("&amp;I515&amp;".md) | ["&amp;A515&amp;"]("&amp;A515&amp;".md) | "&amp;" | "&amp;R515&amp;" | "&amp;V515&amp;" |"</f>
        <v>| [](.md) | [畧](畧.md) |  |  | 「略」的異體字。 |</v>
      </c>
    </row>
    <row r="516" spans="1:44" hidden="1">
      <c r="A516" s="1" t="s">
        <v>28769</v>
      </c>
      <c r="C516" s="1">
        <v>1</v>
      </c>
      <c r="D516" s="1" t="str">
        <f>"03918-1"</f>
        <v>03918-1</v>
      </c>
      <c r="E516" s="1" t="s">
        <v>1935</v>
      </c>
      <c r="F516" s="1">
        <v>7</v>
      </c>
      <c r="G516" s="1">
        <v>4</v>
      </c>
      <c r="H516" s="1">
        <v>0</v>
      </c>
      <c r="K516" s="1" t="str">
        <f t="shared" si="32"/>
        <v/>
      </c>
      <c r="L516" s="1" t="str">
        <f t="shared" si="33"/>
        <v/>
      </c>
      <c r="M516" s="1" t="str">
        <f t="shared" si="34"/>
        <v/>
      </c>
      <c r="P516" s="1" t="s">
        <v>20</v>
      </c>
      <c r="V516" s="1" t="s">
        <v>28770</v>
      </c>
      <c r="X516" s="1" t="s">
        <v>27842</v>
      </c>
      <c r="AR516" s="1" t="str">
        <f t="shared" si="35"/>
        <v>| [](.md) | [𡯓](𡯓.md) |  |  | 「尬」的異體字。 |</v>
      </c>
    </row>
    <row r="517" spans="1:44" hidden="1">
      <c r="A517" s="1" t="s">
        <v>28771</v>
      </c>
      <c r="C517" s="1">
        <v>1</v>
      </c>
      <c r="D517" s="1" t="str">
        <f>"03918-2"</f>
        <v>03918-2</v>
      </c>
      <c r="E517" s="1" t="s">
        <v>1935</v>
      </c>
      <c r="F517" s="1">
        <v>8</v>
      </c>
      <c r="G517" s="1">
        <v>4</v>
      </c>
      <c r="H517" s="1">
        <v>0</v>
      </c>
      <c r="K517" s="1" t="str">
        <f t="shared" si="32"/>
        <v/>
      </c>
      <c r="L517" s="1" t="str">
        <f t="shared" si="33"/>
        <v/>
      </c>
      <c r="M517" s="1" t="str">
        <f t="shared" si="34"/>
        <v/>
      </c>
      <c r="P517" s="1" t="s">
        <v>20</v>
      </c>
      <c r="V517" s="1" t="s">
        <v>28770</v>
      </c>
      <c r="X517" s="1" t="s">
        <v>27842</v>
      </c>
      <c r="AR517" s="1" t="str">
        <f t="shared" si="35"/>
        <v>| [](.md) | [𡯗](𡯗.md) |  |  | 「尬」的異體字。 |</v>
      </c>
    </row>
    <row r="518" spans="1:44" hidden="1">
      <c r="A518" s="1" t="s">
        <v>13505</v>
      </c>
      <c r="C518" s="1">
        <v>1</v>
      </c>
      <c r="D518" s="1" t="str">
        <f>"03919-1"</f>
        <v>03919-1</v>
      </c>
      <c r="E518" s="1" t="s">
        <v>114</v>
      </c>
      <c r="F518" s="1">
        <v>6</v>
      </c>
      <c r="G518" s="1">
        <v>4</v>
      </c>
      <c r="H518" s="1">
        <v>0</v>
      </c>
      <c r="K518" s="1" t="str">
        <f t="shared" si="32"/>
        <v/>
      </c>
      <c r="L518" s="1" t="str">
        <f t="shared" si="33"/>
        <v/>
      </c>
      <c r="M518" s="1" t="str">
        <f t="shared" si="34"/>
        <v/>
      </c>
      <c r="P518" s="1" t="s">
        <v>20</v>
      </c>
      <c r="V518" s="1" t="s">
        <v>28772</v>
      </c>
      <c r="X518" s="1" t="s">
        <v>27842</v>
      </c>
      <c r="AR518" s="1" t="str">
        <f t="shared" si="35"/>
        <v>| [](.md) | [价](价.md) |  |  | 「價」的異體字。 |</v>
      </c>
    </row>
    <row r="519" spans="1:44" hidden="1">
      <c r="A519" s="1" t="s">
        <v>28773</v>
      </c>
      <c r="C519" s="1">
        <v>1</v>
      </c>
      <c r="D519" s="1" t="str">
        <f>"03919-2"</f>
        <v>03919-2</v>
      </c>
      <c r="E519" s="1" t="s">
        <v>114</v>
      </c>
      <c r="F519" s="1">
        <v>8</v>
      </c>
      <c r="G519" s="1">
        <v>6</v>
      </c>
      <c r="H519" s="1">
        <v>0</v>
      </c>
      <c r="K519" s="1" t="str">
        <f t="shared" si="32"/>
        <v/>
      </c>
      <c r="L519" s="1" t="str">
        <f t="shared" si="33"/>
        <v/>
      </c>
      <c r="M519" s="1" t="str">
        <f t="shared" si="34"/>
        <v/>
      </c>
      <c r="P519" s="1" t="s">
        <v>20</v>
      </c>
      <c r="V519" s="1" t="s">
        <v>28772</v>
      </c>
      <c r="X519" s="1" t="s">
        <v>27842</v>
      </c>
      <c r="AR519" s="1" t="str">
        <f t="shared" si="35"/>
        <v>| [](.md) | [󰇹](󰇹.md) |  |  | 「價」的異體字。 |</v>
      </c>
    </row>
    <row r="520" spans="1:44" hidden="1">
      <c r="A520" s="1" t="s">
        <v>28774</v>
      </c>
      <c r="C520" s="1">
        <v>1</v>
      </c>
      <c r="D520" s="1" t="str">
        <f>"03929-1"</f>
        <v>03929-1</v>
      </c>
      <c r="E520" s="1" t="s">
        <v>331</v>
      </c>
      <c r="F520" s="1">
        <v>17</v>
      </c>
      <c r="G520" s="1">
        <v>10</v>
      </c>
      <c r="H520" s="1">
        <v>0</v>
      </c>
      <c r="K520" s="1" t="str">
        <f t="shared" si="32"/>
        <v/>
      </c>
      <c r="L520" s="1" t="str">
        <f t="shared" si="33"/>
        <v/>
      </c>
      <c r="M520" s="1" t="str">
        <f t="shared" si="34"/>
        <v/>
      </c>
      <c r="P520" s="1" t="s">
        <v>20</v>
      </c>
      <c r="V520" s="1" t="s">
        <v>28775</v>
      </c>
      <c r="X520" s="1" t="s">
        <v>27842</v>
      </c>
      <c r="AR520" s="1" t="str">
        <f t="shared" si="35"/>
        <v>| [](.md) | [謌](謌.md) |  |  | 「歌」的異體字。 |</v>
      </c>
    </row>
    <row r="521" spans="1:44" hidden="1">
      <c r="A521" s="1" t="s">
        <v>28776</v>
      </c>
      <c r="C521" s="1">
        <v>1</v>
      </c>
      <c r="D521" s="1" t="str">
        <f>"03958-1"</f>
        <v>03958-1</v>
      </c>
      <c r="E521" s="1" t="s">
        <v>4265</v>
      </c>
      <c r="F521" s="1">
        <v>3</v>
      </c>
      <c r="G521" s="1">
        <v>2</v>
      </c>
      <c r="H521" s="1">
        <v>0</v>
      </c>
      <c r="K521" s="1" t="str">
        <f t="shared" si="32"/>
        <v/>
      </c>
      <c r="L521" s="1" t="str">
        <f t="shared" si="33"/>
        <v/>
      </c>
      <c r="M521" s="1" t="str">
        <f t="shared" si="34"/>
        <v/>
      </c>
      <c r="P521" s="1" t="s">
        <v>20</v>
      </c>
      <c r="V521" s="1" t="s">
        <v>28777</v>
      </c>
      <c r="X521" s="1" t="s">
        <v>27842</v>
      </c>
      <c r="AR521" s="1" t="str">
        <f t="shared" si="35"/>
        <v>| [](.md) | [个](个.md) |  |  | 「個」的異體字。 |</v>
      </c>
    </row>
    <row r="522" spans="1:44" hidden="1">
      <c r="A522" s="1" t="s">
        <v>28778</v>
      </c>
      <c r="C522" s="1">
        <v>1</v>
      </c>
      <c r="D522" s="1" t="str">
        <f>"03963-1"</f>
        <v>03963-1</v>
      </c>
      <c r="E522" s="1" t="s">
        <v>438</v>
      </c>
      <c r="F522" s="1">
        <v>11</v>
      </c>
      <c r="G522" s="1">
        <v>6</v>
      </c>
      <c r="H522" s="1">
        <v>0</v>
      </c>
      <c r="K522" s="1" t="str">
        <f t="shared" si="32"/>
        <v/>
      </c>
      <c r="L522" s="1" t="str">
        <f t="shared" si="33"/>
        <v/>
      </c>
      <c r="M522" s="1" t="str">
        <f t="shared" si="34"/>
        <v/>
      </c>
      <c r="P522" s="1" t="s">
        <v>20</v>
      </c>
      <c r="V522" s="1" t="s">
        <v>28779</v>
      </c>
      <c r="X522" s="1" t="s">
        <v>27842</v>
      </c>
      <c r="AR522" s="1" t="str">
        <f t="shared" si="35"/>
        <v>| [](.md) | [盖](盖.md) |  |  | 「蓋」的異體字。 |</v>
      </c>
    </row>
    <row r="523" spans="1:44" hidden="1">
      <c r="A523" s="1" t="s">
        <v>28780</v>
      </c>
      <c r="C523" s="1">
        <v>1</v>
      </c>
      <c r="D523" s="1" t="str">
        <f>"03963-2"</f>
        <v>03963-2</v>
      </c>
      <c r="E523" s="1" t="s">
        <v>37</v>
      </c>
      <c r="F523" s="1">
        <v>13</v>
      </c>
      <c r="G523" s="1">
        <v>9</v>
      </c>
      <c r="H523" s="1">
        <v>0</v>
      </c>
      <c r="K523" s="1" t="str">
        <f t="shared" si="32"/>
        <v/>
      </c>
      <c r="L523" s="1" t="str">
        <f t="shared" si="33"/>
        <v/>
      </c>
      <c r="M523" s="1" t="str">
        <f t="shared" si="34"/>
        <v/>
      </c>
      <c r="P523" s="1" t="s">
        <v>20</v>
      </c>
      <c r="V523" s="1" t="s">
        <v>28779</v>
      </c>
      <c r="X523" s="1" t="s">
        <v>27842</v>
      </c>
      <c r="AR523" s="1" t="str">
        <f t="shared" si="35"/>
        <v>| [](.md) | [葢](葢.md) |  |  | 「蓋」的異體字。 |</v>
      </c>
    </row>
    <row r="524" spans="1:44" hidden="1">
      <c r="A524" s="1" t="s">
        <v>9669</v>
      </c>
      <c r="C524" s="1">
        <v>1</v>
      </c>
      <c r="D524" s="1" t="str">
        <f>"03970-2"</f>
        <v>03970-2</v>
      </c>
      <c r="E524" s="1" t="s">
        <v>49</v>
      </c>
      <c r="F524" s="1">
        <v>14</v>
      </c>
      <c r="G524" s="1">
        <v>8</v>
      </c>
      <c r="H524" s="1">
        <v>0</v>
      </c>
      <c r="K524" s="1" t="str">
        <f t="shared" si="32"/>
        <v/>
      </c>
      <c r="L524" s="1" t="str">
        <f t="shared" si="33"/>
        <v/>
      </c>
      <c r="M524" s="1" t="str">
        <f t="shared" si="34"/>
        <v/>
      </c>
      <c r="P524" s="1" t="s">
        <v>20</v>
      </c>
      <c r="V524" s="1" t="s">
        <v>28777</v>
      </c>
      <c r="X524" s="1" t="s">
        <v>27842</v>
      </c>
      <c r="AR524" s="1" t="str">
        <f t="shared" si="35"/>
        <v>| [](.md) | [箇](箇.md) |  |  | 「個」的異體字。 |</v>
      </c>
    </row>
    <row r="525" spans="1:44" hidden="1">
      <c r="A525" s="1" t="s">
        <v>28781</v>
      </c>
      <c r="C525" s="1">
        <v>1</v>
      </c>
      <c r="D525" s="1" t="str">
        <f>"03977-1"</f>
        <v>03977-1</v>
      </c>
      <c r="E525" s="1" t="s">
        <v>570</v>
      </c>
      <c r="F525" s="1">
        <v>5</v>
      </c>
      <c r="G525" s="1">
        <v>3</v>
      </c>
      <c r="H525" s="1">
        <v>0</v>
      </c>
      <c r="K525" s="1" t="str">
        <f t="shared" si="32"/>
        <v/>
      </c>
      <c r="L525" s="1" t="str">
        <f t="shared" si="33"/>
        <v/>
      </c>
      <c r="M525" s="1" t="str">
        <f t="shared" si="34"/>
        <v/>
      </c>
      <c r="P525" s="1" t="s">
        <v>20</v>
      </c>
      <c r="V525" s="1" t="s">
        <v>28782</v>
      </c>
      <c r="X525" s="1" t="s">
        <v>27842</v>
      </c>
      <c r="AR525" s="1" t="str">
        <f t="shared" si="35"/>
        <v>| [](.md) | [匄](匄.md) |  |  | 「丐」的異體字。 |</v>
      </c>
    </row>
    <row r="526" spans="1:44" hidden="1">
      <c r="A526" s="1" t="s">
        <v>28783</v>
      </c>
      <c r="C526" s="1">
        <v>1</v>
      </c>
      <c r="D526" s="1" t="str">
        <f>"03977-2"</f>
        <v>03977-2</v>
      </c>
      <c r="E526" s="1" t="s">
        <v>570</v>
      </c>
      <c r="F526" s="1">
        <v>5</v>
      </c>
      <c r="G526" s="1">
        <v>3</v>
      </c>
      <c r="H526" s="1">
        <v>0</v>
      </c>
      <c r="K526" s="1" t="str">
        <f t="shared" si="32"/>
        <v/>
      </c>
      <c r="L526" s="1" t="str">
        <f t="shared" si="33"/>
        <v/>
      </c>
      <c r="M526" s="1" t="str">
        <f t="shared" si="34"/>
        <v/>
      </c>
      <c r="P526" s="1" t="s">
        <v>20</v>
      </c>
      <c r="V526" s="1" t="s">
        <v>28782</v>
      </c>
      <c r="X526" s="1" t="s">
        <v>27842</v>
      </c>
      <c r="AR526" s="1" t="str">
        <f t="shared" si="35"/>
        <v>| [](.md) | [匃](匃.md) |  |  | 「丐」的異體字。 |</v>
      </c>
    </row>
    <row r="527" spans="1:44" hidden="1">
      <c r="A527" s="1" t="s">
        <v>28784</v>
      </c>
      <c r="C527" s="1">
        <v>1</v>
      </c>
      <c r="D527" s="1" t="str">
        <f>"03979-1"</f>
        <v>03979-1</v>
      </c>
      <c r="E527" s="1" t="s">
        <v>129</v>
      </c>
      <c r="F527" s="1">
        <v>14</v>
      </c>
      <c r="G527" s="1">
        <v>11</v>
      </c>
      <c r="H527" s="1">
        <v>0</v>
      </c>
      <c r="K527" s="1" t="str">
        <f t="shared" si="32"/>
        <v/>
      </c>
      <c r="L527" s="1" t="str">
        <f t="shared" si="33"/>
        <v/>
      </c>
      <c r="M527" s="1" t="str">
        <f t="shared" si="34"/>
        <v/>
      </c>
      <c r="P527" s="1" t="s">
        <v>20</v>
      </c>
      <c r="V527" s="1" t="s">
        <v>28785</v>
      </c>
      <c r="X527" s="1" t="s">
        <v>27842</v>
      </c>
      <c r="AR527" s="1" t="str">
        <f t="shared" si="35"/>
        <v>| [](.md) | [󼭑](󼭑.md) |  |  | 「溉」的異體字。 |</v>
      </c>
    </row>
    <row r="528" spans="1:44" hidden="1">
      <c r="A528" s="1" t="s">
        <v>28786</v>
      </c>
      <c r="C528" s="1">
        <v>1</v>
      </c>
      <c r="D528" s="1" t="str">
        <f>"03980-1"</f>
        <v>03980-1</v>
      </c>
      <c r="E528" s="1" t="s">
        <v>139</v>
      </c>
      <c r="F528" s="1">
        <v>15</v>
      </c>
      <c r="G528" s="1">
        <v>11</v>
      </c>
      <c r="H528" s="1">
        <v>0</v>
      </c>
      <c r="K528" s="1" t="str">
        <f t="shared" si="32"/>
        <v/>
      </c>
      <c r="L528" s="1" t="str">
        <f t="shared" si="33"/>
        <v/>
      </c>
      <c r="M528" s="1" t="str">
        <f t="shared" si="34"/>
        <v/>
      </c>
      <c r="P528" s="1" t="s">
        <v>20</v>
      </c>
      <c r="V528" s="1" t="s">
        <v>28787</v>
      </c>
      <c r="X528" s="1" t="s">
        <v>27842</v>
      </c>
      <c r="AR528" s="1" t="str">
        <f t="shared" si="35"/>
        <v>| [](.md) | [槪](槪.md) |  |  | 「概」的異體字。 |</v>
      </c>
    </row>
    <row r="529" spans="1:44" hidden="1">
      <c r="A529" s="1" t="s">
        <v>28788</v>
      </c>
      <c r="C529" s="1">
        <v>1</v>
      </c>
      <c r="D529" s="1" t="str">
        <f>"03980-2"</f>
        <v>03980-2</v>
      </c>
      <c r="E529" s="1" t="s">
        <v>139</v>
      </c>
      <c r="F529" s="1">
        <v>15</v>
      </c>
      <c r="G529" s="1">
        <v>11</v>
      </c>
      <c r="H529" s="1">
        <v>0</v>
      </c>
      <c r="K529" s="1" t="str">
        <f t="shared" si="32"/>
        <v/>
      </c>
      <c r="L529" s="1" t="str">
        <f t="shared" si="33"/>
        <v/>
      </c>
      <c r="M529" s="1" t="str">
        <f t="shared" si="34"/>
        <v/>
      </c>
      <c r="P529" s="1" t="s">
        <v>20</v>
      </c>
      <c r="V529" s="1" t="s">
        <v>28787</v>
      </c>
      <c r="X529" s="1" t="s">
        <v>27842</v>
      </c>
      <c r="AR529" s="1" t="str">
        <f t="shared" si="35"/>
        <v>| [](.md) | [槩](槩.md) |  |  | 「概」的異體字。 |</v>
      </c>
    </row>
    <row r="530" spans="1:44" hidden="1">
      <c r="A530" s="1" t="s">
        <v>28789</v>
      </c>
      <c r="C530" s="1">
        <v>1</v>
      </c>
      <c r="D530" s="1" t="str">
        <f>"03984-1"</f>
        <v>03984-1</v>
      </c>
      <c r="E530" s="1" t="s">
        <v>28</v>
      </c>
      <c r="F530" s="1">
        <v>8</v>
      </c>
      <c r="G530" s="1">
        <v>5</v>
      </c>
      <c r="H530" s="1">
        <v>0</v>
      </c>
      <c r="K530" s="1" t="str">
        <f t="shared" si="32"/>
        <v/>
      </c>
      <c r="L530" s="1" t="str">
        <f t="shared" si="33"/>
        <v/>
      </c>
      <c r="M530" s="1" t="str">
        <f t="shared" si="34"/>
        <v/>
      </c>
      <c r="P530" s="1" t="s">
        <v>20</v>
      </c>
      <c r="V530" s="1" t="s">
        <v>28790</v>
      </c>
      <c r="X530" s="1" t="s">
        <v>27842</v>
      </c>
      <c r="AR530" s="1" t="str">
        <f t="shared" si="35"/>
        <v>| [](.md) | [󰯁](󰯁.md) |  |  | 「咎」的異體字。 |</v>
      </c>
    </row>
    <row r="531" spans="1:44" hidden="1">
      <c r="A531" s="1" t="s">
        <v>28791</v>
      </c>
      <c r="C531" s="1">
        <v>1</v>
      </c>
      <c r="D531" s="1" t="str">
        <f>"03988-1"</f>
        <v>03988-1</v>
      </c>
      <c r="E531" s="1" t="s">
        <v>193</v>
      </c>
      <c r="F531" s="1">
        <v>18</v>
      </c>
      <c r="G531" s="1">
        <v>10</v>
      </c>
      <c r="H531" s="1">
        <v>0</v>
      </c>
      <c r="K531" s="1" t="str">
        <f t="shared" si="32"/>
        <v/>
      </c>
      <c r="L531" s="1" t="str">
        <f t="shared" si="33"/>
        <v/>
      </c>
      <c r="M531" s="1" t="str">
        <f t="shared" si="34"/>
        <v/>
      </c>
      <c r="P531" s="1" t="s">
        <v>20</v>
      </c>
      <c r="V531" s="1" t="s">
        <v>28792</v>
      </c>
      <c r="X531" s="1" t="s">
        <v>27842</v>
      </c>
      <c r="AR531" s="1" t="str">
        <f t="shared" si="35"/>
        <v>| [](.md) | [餻](餻.md) |  |  | 「糕」的異體字。 |</v>
      </c>
    </row>
    <row r="532" spans="1:44" hidden="1">
      <c r="A532" s="1" t="s">
        <v>28793</v>
      </c>
      <c r="C532" s="1">
        <v>1</v>
      </c>
      <c r="D532" s="1" t="str">
        <f>"03989-1"</f>
        <v>03989-1</v>
      </c>
      <c r="E532" s="1" t="s">
        <v>9724</v>
      </c>
      <c r="F532" s="1">
        <v>11</v>
      </c>
      <c r="G532" s="1">
        <v>1</v>
      </c>
      <c r="H532" s="1">
        <v>0</v>
      </c>
      <c r="K532" s="1" t="str">
        <f t="shared" si="32"/>
        <v/>
      </c>
      <c r="L532" s="1" t="str">
        <f t="shared" si="33"/>
        <v/>
      </c>
      <c r="M532" s="1" t="str">
        <f t="shared" si="34"/>
        <v/>
      </c>
      <c r="P532" s="1" t="s">
        <v>20</v>
      </c>
      <c r="V532" s="1" t="s">
        <v>28794</v>
      </c>
      <c r="X532" s="1" t="s">
        <v>27842</v>
      </c>
      <c r="AR532" s="1" t="str">
        <f t="shared" si="35"/>
        <v>| [](.md) | [髙](髙.md) |  |  | 「高」的異體字。 |</v>
      </c>
    </row>
    <row r="533" spans="1:44" hidden="1">
      <c r="A533" s="1" t="s">
        <v>28795</v>
      </c>
      <c r="C533" s="1">
        <v>1</v>
      </c>
      <c r="D533" s="1" t="str">
        <f>"03992-1"</f>
        <v>03992-1</v>
      </c>
      <c r="E533" s="1" t="s">
        <v>205</v>
      </c>
      <c r="F533" s="1">
        <v>11</v>
      </c>
      <c r="G533" s="1">
        <v>6</v>
      </c>
      <c r="H533" s="1">
        <v>0</v>
      </c>
      <c r="K533" s="1" t="str">
        <f t="shared" si="32"/>
        <v/>
      </c>
      <c r="L533" s="1" t="str">
        <f t="shared" si="33"/>
        <v/>
      </c>
      <c r="M533" s="1" t="str">
        <f t="shared" si="34"/>
        <v/>
      </c>
      <c r="P533" s="1" t="s">
        <v>20</v>
      </c>
      <c r="V533" s="1" t="s">
        <v>28796</v>
      </c>
      <c r="X533" s="1" t="s">
        <v>27842</v>
      </c>
      <c r="AR533" s="1" t="str">
        <f t="shared" si="35"/>
        <v>| [](.md) | [皐](皐.md) |  |  | 「皋」的異體字。 |</v>
      </c>
    </row>
    <row r="534" spans="1:44" hidden="1">
      <c r="A534" s="1" t="s">
        <v>28797</v>
      </c>
      <c r="C534" s="1">
        <v>1</v>
      </c>
      <c r="D534" s="1" t="str">
        <f>"03992-2"</f>
        <v>03992-2</v>
      </c>
      <c r="E534" s="1" t="s">
        <v>7438</v>
      </c>
      <c r="F534" s="1">
        <v>12</v>
      </c>
      <c r="G534" s="1">
        <v>6</v>
      </c>
      <c r="H534" s="1">
        <v>0</v>
      </c>
      <c r="K534" s="1" t="str">
        <f t="shared" si="32"/>
        <v/>
      </c>
      <c r="L534" s="1" t="str">
        <f t="shared" si="33"/>
        <v/>
      </c>
      <c r="M534" s="1" t="str">
        <f t="shared" si="34"/>
        <v/>
      </c>
      <c r="P534" s="1" t="s">
        <v>20</v>
      </c>
      <c r="V534" s="1" t="s">
        <v>28796</v>
      </c>
      <c r="X534" s="1" t="s">
        <v>27842</v>
      </c>
      <c r="AR534" s="1" t="str">
        <f t="shared" si="35"/>
        <v>| [](.md) | [臯](臯.md) |  |  | 「皋」的異體字。 |</v>
      </c>
    </row>
    <row r="535" spans="1:44" hidden="1">
      <c r="A535" s="1" t="s">
        <v>28798</v>
      </c>
      <c r="C535" s="1">
        <v>1</v>
      </c>
      <c r="D535" s="1" t="str">
        <f>"03993-1"</f>
        <v>03993-1</v>
      </c>
      <c r="E535" s="1" t="s">
        <v>139</v>
      </c>
      <c r="F535" s="1">
        <v>16</v>
      </c>
      <c r="G535" s="1">
        <v>12</v>
      </c>
      <c r="H535" s="1">
        <v>0</v>
      </c>
      <c r="K535" s="1" t="str">
        <f t="shared" si="32"/>
        <v/>
      </c>
      <c r="L535" s="1" t="str">
        <f t="shared" si="33"/>
        <v/>
      </c>
      <c r="M535" s="1" t="str">
        <f t="shared" si="34"/>
        <v/>
      </c>
      <c r="P535" s="1" t="s">
        <v>20</v>
      </c>
      <c r="V535" s="1" t="s">
        <v>28799</v>
      </c>
      <c r="X535" s="1" t="s">
        <v>27842</v>
      </c>
      <c r="AR535" s="1" t="str">
        <f t="shared" si="35"/>
        <v>| [](.md) | [槹](槹.md) |  |  | 「槔」的異體字。 |</v>
      </c>
    </row>
    <row r="536" spans="1:44" hidden="1">
      <c r="A536" s="1" t="s">
        <v>28800</v>
      </c>
      <c r="C536" s="1">
        <v>1</v>
      </c>
      <c r="D536" s="1" t="str">
        <f>"03999-1"</f>
        <v>03999-1</v>
      </c>
      <c r="E536" s="1" t="s">
        <v>139</v>
      </c>
      <c r="F536" s="1">
        <v>14</v>
      </c>
      <c r="G536" s="1">
        <v>10</v>
      </c>
      <c r="H536" s="1">
        <v>0</v>
      </c>
      <c r="K536" s="1" t="str">
        <f t="shared" si="32"/>
        <v/>
      </c>
      <c r="L536" s="1" t="str">
        <f t="shared" si="33"/>
        <v/>
      </c>
      <c r="M536" s="1" t="str">
        <f t="shared" si="34"/>
        <v/>
      </c>
      <c r="P536" s="1" t="s">
        <v>20</v>
      </c>
      <c r="V536" s="1" t="s">
        <v>28801</v>
      </c>
      <c r="X536" s="1" t="s">
        <v>27842</v>
      </c>
      <c r="AR536" s="1" t="str">
        <f t="shared" si="35"/>
        <v>| [](.md) | [槀](槀.md) |  |  | 「槁」的異體字。 |</v>
      </c>
    </row>
    <row r="537" spans="1:44" hidden="1">
      <c r="A537" s="1" t="s">
        <v>28802</v>
      </c>
      <c r="C537" s="1">
        <v>1</v>
      </c>
      <c r="D537" s="1" t="str">
        <f>"04001-1"</f>
        <v>04001-1</v>
      </c>
      <c r="E537" s="1" t="s">
        <v>429</v>
      </c>
      <c r="F537" s="1">
        <v>15</v>
      </c>
      <c r="G537" s="1">
        <v>10</v>
      </c>
      <c r="H537" s="1">
        <v>0</v>
      </c>
      <c r="K537" s="1" t="str">
        <f t="shared" si="32"/>
        <v/>
      </c>
      <c r="L537" s="1" t="str">
        <f t="shared" si="33"/>
        <v/>
      </c>
      <c r="M537" s="1" t="str">
        <f t="shared" si="34"/>
        <v/>
      </c>
      <c r="P537" s="1" t="s">
        <v>20</v>
      </c>
      <c r="V537" s="1" t="s">
        <v>28803</v>
      </c>
      <c r="X537" s="1" t="s">
        <v>27842</v>
      </c>
      <c r="AR537" s="1" t="str">
        <f t="shared" si="35"/>
        <v>| [](.md) | [稾](稾.md) |  |  | 「稿」的異體字。 |</v>
      </c>
    </row>
    <row r="538" spans="1:44" hidden="1">
      <c r="A538" s="1" t="s">
        <v>28804</v>
      </c>
      <c r="C538" s="1">
        <v>1</v>
      </c>
      <c r="D538" s="1" t="str">
        <f>"04001-2"</f>
        <v>04001-2</v>
      </c>
      <c r="E538" s="1" t="s">
        <v>37</v>
      </c>
      <c r="F538" s="1">
        <v>19</v>
      </c>
      <c r="G538" s="1">
        <v>15</v>
      </c>
      <c r="H538" s="1">
        <v>0</v>
      </c>
      <c r="K538" s="1" t="str">
        <f t="shared" si="32"/>
        <v/>
      </c>
      <c r="L538" s="1" t="str">
        <f t="shared" si="33"/>
        <v/>
      </c>
      <c r="M538" s="1" t="str">
        <f t="shared" si="34"/>
        <v/>
      </c>
      <c r="P538" s="1" t="s">
        <v>20</v>
      </c>
      <c r="V538" s="1" t="s">
        <v>28803</v>
      </c>
      <c r="X538" s="1" t="s">
        <v>27842</v>
      </c>
      <c r="AR538" s="1" t="str">
        <f t="shared" si="35"/>
        <v>| [](.md) | [藳](藳.md) |  |  | 「稿」的異體字。 |</v>
      </c>
    </row>
    <row r="539" spans="1:44" hidden="1">
      <c r="A539" s="1" t="s">
        <v>28805</v>
      </c>
      <c r="C539" s="1">
        <v>1</v>
      </c>
      <c r="D539" s="1" t="str">
        <f>"04015-1"</f>
        <v>04015-1</v>
      </c>
      <c r="E539" s="1" t="s">
        <v>55</v>
      </c>
      <c r="F539" s="1">
        <v>12</v>
      </c>
      <c r="G539" s="1">
        <v>4</v>
      </c>
      <c r="H539" s="1">
        <v>0</v>
      </c>
      <c r="K539" s="1" t="str">
        <f t="shared" si="32"/>
        <v/>
      </c>
      <c r="L539" s="1" t="str">
        <f t="shared" si="33"/>
        <v/>
      </c>
      <c r="M539" s="1" t="str">
        <f t="shared" si="34"/>
        <v/>
      </c>
      <c r="P539" s="1" t="s">
        <v>20</v>
      </c>
      <c r="V539" s="1" t="s">
        <v>28806</v>
      </c>
      <c r="X539" s="1" t="s">
        <v>27842</v>
      </c>
      <c r="AR539" s="1" t="str">
        <f t="shared" si="35"/>
        <v>| [](.md) | [鈎](鈎.md) |  |  | 「鉤」的異體字。 |</v>
      </c>
    </row>
    <row r="540" spans="1:44" hidden="1">
      <c r="A540" s="1" t="s">
        <v>28807</v>
      </c>
      <c r="C540" s="1">
        <v>1</v>
      </c>
      <c r="D540" s="1" t="str">
        <f>"04016-1"</f>
        <v>04016-1</v>
      </c>
      <c r="E540" s="1" t="s">
        <v>1258</v>
      </c>
      <c r="F540" s="1">
        <v>4</v>
      </c>
      <c r="G540" s="1">
        <v>2</v>
      </c>
      <c r="H540" s="1">
        <v>0</v>
      </c>
      <c r="K540" s="1" t="str">
        <f t="shared" si="32"/>
        <v/>
      </c>
      <c r="L540" s="1" t="str">
        <f t="shared" si="33"/>
        <v/>
      </c>
      <c r="M540" s="1" t="str">
        <f t="shared" si="34"/>
        <v/>
      </c>
      <c r="P540" s="1" t="s">
        <v>20</v>
      </c>
      <c r="V540" s="1" t="s">
        <v>28808</v>
      </c>
      <c r="X540" s="1" t="s">
        <v>27842</v>
      </c>
      <c r="AR540" s="1" t="str">
        <f t="shared" si="35"/>
        <v>| [](.md) | [区](区.md) |  |  | 「區」的異體字。 |</v>
      </c>
    </row>
    <row r="541" spans="1:44" hidden="1">
      <c r="A541" s="1" t="s">
        <v>28809</v>
      </c>
      <c r="C541" s="1">
        <v>1</v>
      </c>
      <c r="D541" s="1" t="str">
        <f>"04019-1"</f>
        <v>04019-1</v>
      </c>
      <c r="E541" s="1" t="s">
        <v>96</v>
      </c>
      <c r="F541" s="1">
        <v>19</v>
      </c>
      <c r="G541" s="1">
        <v>10</v>
      </c>
      <c r="H541" s="1">
        <v>0</v>
      </c>
      <c r="K541" s="1" t="str">
        <f t="shared" si="32"/>
        <v/>
      </c>
      <c r="L541" s="1" t="str">
        <f t="shared" si="33"/>
        <v/>
      </c>
      <c r="M541" s="1" t="str">
        <f t="shared" si="34"/>
        <v/>
      </c>
      <c r="P541" s="1" t="s">
        <v>20</v>
      </c>
      <c r="V541" s="1" t="s">
        <v>28810</v>
      </c>
      <c r="X541" s="1" t="s">
        <v>27842</v>
      </c>
      <c r="AR541" s="1" t="str">
        <f t="shared" si="35"/>
        <v>| [](.md) | [鞲](鞲.md) |  |  | 「韝」的異體字。 |</v>
      </c>
    </row>
    <row r="542" spans="1:44" hidden="1">
      <c r="A542" s="1" t="s">
        <v>28811</v>
      </c>
      <c r="C542" s="1">
        <v>1</v>
      </c>
      <c r="D542" s="1" t="str">
        <f>"04023-1"</f>
        <v>04023-1</v>
      </c>
      <c r="E542" s="1" t="s">
        <v>2975</v>
      </c>
      <c r="F542" s="1">
        <v>12</v>
      </c>
      <c r="G542" s="1">
        <v>3</v>
      </c>
      <c r="H542" s="1">
        <v>0</v>
      </c>
      <c r="K542" s="1" t="str">
        <f t="shared" si="32"/>
        <v/>
      </c>
      <c r="L542" s="1" t="str">
        <f t="shared" si="33"/>
        <v/>
      </c>
      <c r="M542" s="1" t="str">
        <f t="shared" si="34"/>
        <v/>
      </c>
      <c r="P542" s="1" t="s">
        <v>20</v>
      </c>
      <c r="V542" s="1" t="s">
        <v>28812</v>
      </c>
      <c r="X542" s="1" t="s">
        <v>27842</v>
      </c>
      <c r="AR542" s="1" t="str">
        <f t="shared" si="35"/>
        <v>| [](.md) | [耉](耉.md) |  |  | 「耇」的異體字。 |</v>
      </c>
    </row>
    <row r="543" spans="1:44" hidden="1">
      <c r="A543" s="1" t="s">
        <v>28813</v>
      </c>
      <c r="C543" s="1">
        <v>1</v>
      </c>
      <c r="D543" s="1" t="str">
        <f>"04023-2"</f>
        <v>04023-2</v>
      </c>
      <c r="E543" s="1" t="s">
        <v>2975</v>
      </c>
      <c r="F543" s="1">
        <v>11</v>
      </c>
      <c r="G543" s="1">
        <v>5</v>
      </c>
      <c r="H543" s="1">
        <v>0</v>
      </c>
      <c r="K543" s="1" t="str">
        <f t="shared" si="32"/>
        <v/>
      </c>
      <c r="L543" s="1" t="str">
        <f t="shared" si="33"/>
        <v/>
      </c>
      <c r="M543" s="1" t="str">
        <f t="shared" si="34"/>
        <v/>
      </c>
      <c r="P543" s="1" t="s">
        <v>20</v>
      </c>
      <c r="V543" s="1" t="s">
        <v>28812</v>
      </c>
      <c r="X543" s="1" t="s">
        <v>27842</v>
      </c>
      <c r="AR543" s="1" t="str">
        <f t="shared" si="35"/>
        <v>| [](.md) | [耈](耈.md) |  |  | 「耇」的異體字。 |</v>
      </c>
    </row>
    <row r="544" spans="1:44" hidden="1">
      <c r="A544" s="1" t="s">
        <v>28814</v>
      </c>
      <c r="C544" s="1">
        <v>1</v>
      </c>
      <c r="D544" s="1" t="str">
        <f>"04030-1"</f>
        <v>04030-1</v>
      </c>
      <c r="E544" s="1" t="s">
        <v>3347</v>
      </c>
      <c r="F544" s="1">
        <v>11</v>
      </c>
      <c r="G544" s="1">
        <v>8</v>
      </c>
      <c r="H544" s="1">
        <v>0</v>
      </c>
      <c r="K544" s="1" t="str">
        <f t="shared" si="32"/>
        <v/>
      </c>
      <c r="L544" s="1" t="str">
        <f t="shared" si="33"/>
        <v/>
      </c>
      <c r="M544" s="1" t="str">
        <f t="shared" si="34"/>
        <v/>
      </c>
      <c r="P544" s="1" t="s">
        <v>20</v>
      </c>
      <c r="V544" s="1" t="s">
        <v>28815</v>
      </c>
      <c r="X544" s="1" t="s">
        <v>27842</v>
      </c>
      <c r="AR544" s="1" t="str">
        <f t="shared" si="35"/>
        <v>| [](.md) | [够](够.md) |  |  | 「夠」的異體字。 |</v>
      </c>
    </row>
    <row r="545" spans="1:44" hidden="1">
      <c r="A545" s="1" t="s">
        <v>28816</v>
      </c>
      <c r="C545" s="1">
        <v>1</v>
      </c>
      <c r="D545" s="1" t="str">
        <f>"04059-1"</f>
        <v>04059-1</v>
      </c>
      <c r="E545" s="1" t="s">
        <v>1935</v>
      </c>
      <c r="F545" s="1">
        <v>13</v>
      </c>
      <c r="G545" s="1">
        <v>10</v>
      </c>
      <c r="H545" s="1">
        <v>0</v>
      </c>
      <c r="K545" s="1" t="str">
        <f t="shared" si="32"/>
        <v/>
      </c>
      <c r="L545" s="1" t="str">
        <f t="shared" si="33"/>
        <v/>
      </c>
      <c r="M545" s="1" t="str">
        <f t="shared" si="34"/>
        <v/>
      </c>
      <c r="P545" s="1" t="s">
        <v>20</v>
      </c>
      <c r="V545" s="1" t="s">
        <v>28817</v>
      </c>
      <c r="X545" s="1" t="s">
        <v>27842</v>
      </c>
      <c r="AR545" s="1" t="str">
        <f t="shared" si="35"/>
        <v>| [](.md) | [尲](尲.md) |  |  | 「尷」的異體字。 |</v>
      </c>
    </row>
    <row r="546" spans="1:44" hidden="1">
      <c r="A546" s="1" t="s">
        <v>28818</v>
      </c>
      <c r="C546" s="1">
        <v>1</v>
      </c>
      <c r="D546" s="1" t="str">
        <f>"04059-2"</f>
        <v>04059-2</v>
      </c>
      <c r="E546" s="1" t="s">
        <v>1935</v>
      </c>
      <c r="F546" s="1">
        <v>17</v>
      </c>
      <c r="G546" s="1">
        <v>14</v>
      </c>
      <c r="H546" s="1">
        <v>0</v>
      </c>
      <c r="K546" s="1" t="str">
        <f t="shared" si="32"/>
        <v/>
      </c>
      <c r="L546" s="1" t="str">
        <f t="shared" si="33"/>
        <v/>
      </c>
      <c r="M546" s="1" t="str">
        <f t="shared" si="34"/>
        <v/>
      </c>
      <c r="P546" s="1" t="s">
        <v>20</v>
      </c>
      <c r="V546" s="1" t="s">
        <v>28817</v>
      </c>
      <c r="X546" s="1" t="s">
        <v>27842</v>
      </c>
      <c r="AR546" s="1" t="str">
        <f t="shared" si="35"/>
        <v>| [](.md) | [尶](尶.md) |  |  | 「尷」的異體字。 |</v>
      </c>
    </row>
    <row r="547" spans="1:44" hidden="1">
      <c r="A547" s="1" t="s">
        <v>28819</v>
      </c>
      <c r="C547" s="1">
        <v>1</v>
      </c>
      <c r="D547" s="1" t="str">
        <f>"04059-3"</f>
        <v>04059-3</v>
      </c>
      <c r="E547" s="1" t="s">
        <v>1935</v>
      </c>
      <c r="F547" s="1">
        <v>18</v>
      </c>
      <c r="G547" s="1">
        <v>14</v>
      </c>
      <c r="H547" s="1">
        <v>0</v>
      </c>
      <c r="K547" s="1" t="str">
        <f t="shared" si="32"/>
        <v/>
      </c>
      <c r="L547" s="1" t="str">
        <f t="shared" si="33"/>
        <v/>
      </c>
      <c r="M547" s="1" t="str">
        <f t="shared" si="34"/>
        <v/>
      </c>
      <c r="P547" s="1" t="s">
        <v>20</v>
      </c>
      <c r="V547" s="1" t="s">
        <v>28817</v>
      </c>
      <c r="X547" s="1" t="s">
        <v>27842</v>
      </c>
      <c r="AR547" s="1" t="str">
        <f t="shared" si="35"/>
        <v>| [](.md) | [𡰛](𡰛.md) |  |  | 「尷」的異體字。 |</v>
      </c>
    </row>
    <row r="548" spans="1:44" hidden="1">
      <c r="A548" s="1" t="s">
        <v>28820</v>
      </c>
      <c r="C548" s="1">
        <v>1</v>
      </c>
      <c r="D548" s="1" t="str">
        <f>"04062-1"</f>
        <v>04062-1</v>
      </c>
      <c r="E548" s="1" t="s">
        <v>429</v>
      </c>
      <c r="F548" s="1">
        <v>8</v>
      </c>
      <c r="G548" s="1">
        <v>3</v>
      </c>
      <c r="H548" s="1">
        <v>0</v>
      </c>
      <c r="K548" s="1" t="str">
        <f t="shared" si="32"/>
        <v/>
      </c>
      <c r="L548" s="1" t="str">
        <f t="shared" si="33"/>
        <v/>
      </c>
      <c r="M548" s="1" t="str">
        <f t="shared" si="34"/>
        <v/>
      </c>
      <c r="P548" s="1" t="s">
        <v>20</v>
      </c>
      <c r="V548" s="1" t="s">
        <v>28821</v>
      </c>
      <c r="X548" s="1" t="s">
        <v>27842</v>
      </c>
      <c r="AR548" s="1" t="str">
        <f t="shared" si="35"/>
        <v>| [](.md) | [秆](秆.md) |  |  | 「稈」的異體字。 |</v>
      </c>
    </row>
    <row r="549" spans="1:44" hidden="1">
      <c r="A549" s="1" t="s">
        <v>15459</v>
      </c>
      <c r="C549" s="1">
        <v>1</v>
      </c>
      <c r="D549" s="1" t="str">
        <f>"04063-1"</f>
        <v>04063-1</v>
      </c>
      <c r="E549" s="1" t="s">
        <v>4563</v>
      </c>
      <c r="F549" s="1">
        <v>10</v>
      </c>
      <c r="G549" s="1">
        <v>3</v>
      </c>
      <c r="H549" s="1">
        <v>0</v>
      </c>
      <c r="K549" s="1" t="str">
        <f t="shared" si="32"/>
        <v/>
      </c>
      <c r="L549" s="1" t="str">
        <f t="shared" si="33"/>
        <v/>
      </c>
      <c r="M549" s="1" t="str">
        <f t="shared" si="34"/>
        <v/>
      </c>
      <c r="P549" s="1" t="s">
        <v>20</v>
      </c>
      <c r="V549" s="1" t="s">
        <v>28822</v>
      </c>
      <c r="X549" s="1" t="s">
        <v>27842</v>
      </c>
      <c r="AR549" s="1" t="str">
        <f t="shared" si="35"/>
        <v>| [](.md) | [赶](赶.md) |  |  | 「趕」的異體字。 |</v>
      </c>
    </row>
    <row r="550" spans="1:44" hidden="1">
      <c r="A550" s="1" t="s">
        <v>28823</v>
      </c>
      <c r="C550" s="1">
        <v>1</v>
      </c>
      <c r="D550" s="1" t="str">
        <f>"04078-1"</f>
        <v>04078-1</v>
      </c>
      <c r="E550" s="1" t="s">
        <v>505</v>
      </c>
      <c r="F550" s="1">
        <v>21</v>
      </c>
      <c r="G550" s="1">
        <v>14</v>
      </c>
      <c r="H550" s="1">
        <v>0</v>
      </c>
      <c r="K550" s="1" t="str">
        <f t="shared" si="32"/>
        <v/>
      </c>
      <c r="L550" s="1" t="str">
        <f t="shared" si="33"/>
        <v/>
      </c>
      <c r="M550" s="1" t="str">
        <f t="shared" si="34"/>
        <v/>
      </c>
      <c r="P550" s="1" t="s">
        <v>20</v>
      </c>
      <c r="V550" s="1" t="s">
        <v>28824</v>
      </c>
      <c r="X550" s="1" t="s">
        <v>27842</v>
      </c>
      <c r="AR550" s="1" t="str">
        <f t="shared" si="35"/>
        <v>| [](.md) | [贑](贑.md) |  |  | 「贛」的異體字。 |</v>
      </c>
    </row>
    <row r="551" spans="1:44" hidden="1">
      <c r="A551" s="1" t="s">
        <v>28825</v>
      </c>
      <c r="C551" s="1">
        <v>1</v>
      </c>
      <c r="D551" s="1" t="str">
        <f>"04084-1"</f>
        <v>04084-1</v>
      </c>
      <c r="E551" s="1" t="s">
        <v>9954</v>
      </c>
      <c r="F551" s="1">
        <v>5</v>
      </c>
      <c r="G551" s="1">
        <v>3</v>
      </c>
      <c r="H551" s="1">
        <v>0</v>
      </c>
      <c r="K551" s="1" t="str">
        <f t="shared" si="32"/>
        <v/>
      </c>
      <c r="L551" s="1" t="str">
        <f t="shared" si="33"/>
        <v/>
      </c>
      <c r="M551" s="1" t="str">
        <f t="shared" si="34"/>
        <v/>
      </c>
      <c r="P551" s="1" t="s">
        <v>20</v>
      </c>
      <c r="V551" s="1" t="s">
        <v>28826</v>
      </c>
      <c r="X551" s="1" t="s">
        <v>27842</v>
      </c>
      <c r="AR551" s="1" t="str">
        <f t="shared" si="35"/>
        <v>| [](.md) | [𠀕](𠀕.md) |  |  | 「亙」的異體字。 |</v>
      </c>
    </row>
    <row r="552" spans="1:44" hidden="1">
      <c r="A552" s="1" t="s">
        <v>28827</v>
      </c>
      <c r="C552" s="1">
        <v>1</v>
      </c>
      <c r="D552" s="1" t="str">
        <f>"04084-2"</f>
        <v>04084-2</v>
      </c>
      <c r="E552" s="1" t="s">
        <v>9954</v>
      </c>
      <c r="F552" s="1">
        <v>6</v>
      </c>
      <c r="G552" s="1">
        <v>4</v>
      </c>
      <c r="H552" s="1">
        <v>0</v>
      </c>
      <c r="K552" s="1" t="str">
        <f t="shared" si="32"/>
        <v/>
      </c>
      <c r="L552" s="1" t="str">
        <f t="shared" si="33"/>
        <v/>
      </c>
      <c r="M552" s="1" t="str">
        <f t="shared" si="34"/>
        <v/>
      </c>
      <c r="P552" s="1" t="s">
        <v>20</v>
      </c>
      <c r="V552" s="1" t="s">
        <v>28826</v>
      </c>
      <c r="X552" s="1" t="s">
        <v>27842</v>
      </c>
      <c r="AR552" s="1" t="str">
        <f t="shared" si="35"/>
        <v>| [](.md) | [亘](亘.md) |  |  | 「亙」的異體字。 |</v>
      </c>
    </row>
    <row r="553" spans="1:44" hidden="1">
      <c r="A553" s="1" t="s">
        <v>28828</v>
      </c>
      <c r="C553" s="1">
        <v>1</v>
      </c>
      <c r="D553" s="1" t="str">
        <f>"04103-1"</f>
        <v>04103-1</v>
      </c>
      <c r="E553" s="1" t="s">
        <v>725</v>
      </c>
      <c r="F553" s="1">
        <v>19</v>
      </c>
      <c r="G553" s="1">
        <v>13</v>
      </c>
      <c r="H553" s="1">
        <v>0</v>
      </c>
      <c r="K553" s="1" t="str">
        <f t="shared" si="32"/>
        <v/>
      </c>
      <c r="L553" s="1" t="str">
        <f t="shared" si="33"/>
        <v/>
      </c>
      <c r="M553" s="1" t="str">
        <f t="shared" si="34"/>
        <v/>
      </c>
      <c r="P553" s="1" t="s">
        <v>20</v>
      </c>
      <c r="V553" s="1" t="s">
        <v>28829</v>
      </c>
      <c r="X553" s="1" t="s">
        <v>27842</v>
      </c>
      <c r="AR553" s="1" t="str">
        <f t="shared" si="35"/>
        <v>| [](.md) | [繮](繮.md) |  |  | 「韁」的異體字。 |</v>
      </c>
    </row>
    <row r="554" spans="1:44" hidden="1">
      <c r="A554" s="1" t="s">
        <v>28830</v>
      </c>
      <c r="C554" s="1">
        <v>1</v>
      </c>
      <c r="D554" s="1" t="str">
        <f>"04110-1"</f>
        <v>04110-1</v>
      </c>
      <c r="E554" s="1" t="s">
        <v>250</v>
      </c>
      <c r="F554" s="1">
        <v>25</v>
      </c>
      <c r="G554" s="1">
        <v>21</v>
      </c>
      <c r="H554" s="1">
        <v>0</v>
      </c>
      <c r="K554" s="1" t="str">
        <f t="shared" si="32"/>
        <v/>
      </c>
      <c r="L554" s="1" t="str">
        <f t="shared" si="33"/>
        <v/>
      </c>
      <c r="M554" s="1" t="str">
        <f t="shared" si="34"/>
        <v/>
      </c>
      <c r="P554" s="1" t="s">
        <v>20</v>
      </c>
      <c r="V554" s="1" t="s">
        <v>28831</v>
      </c>
      <c r="X554" s="1" t="s">
        <v>27842</v>
      </c>
      <c r="AR554" s="1" t="str">
        <f t="shared" si="35"/>
        <v>| [](.md) | [戅](戅.md) |  |  | 「戇」的異體字。 |</v>
      </c>
    </row>
    <row r="555" spans="1:44" hidden="1">
      <c r="A555" s="1" t="s">
        <v>28832</v>
      </c>
      <c r="C555" s="1">
        <v>1</v>
      </c>
      <c r="D555" s="1" t="str">
        <f>"04112-1"</f>
        <v>04112-1</v>
      </c>
      <c r="E555" s="1" t="s">
        <v>429</v>
      </c>
      <c r="F555" s="1">
        <v>9</v>
      </c>
      <c r="G555" s="1">
        <v>4</v>
      </c>
      <c r="H555" s="1">
        <v>0</v>
      </c>
      <c r="K555" s="1" t="str">
        <f t="shared" si="32"/>
        <v/>
      </c>
      <c r="L555" s="1" t="str">
        <f t="shared" si="33"/>
        <v/>
      </c>
      <c r="M555" s="1" t="str">
        <f t="shared" si="34"/>
        <v/>
      </c>
      <c r="P555" s="1" t="s">
        <v>20</v>
      </c>
      <c r="V555" s="1" t="s">
        <v>28833</v>
      </c>
      <c r="X555" s="1" t="s">
        <v>27842</v>
      </c>
      <c r="AR555" s="1" t="str">
        <f t="shared" si="35"/>
        <v>| [](.md) | [秔](秔.md) |  |  | 「粳」的異體字。 |</v>
      </c>
    </row>
    <row r="556" spans="1:44" hidden="1">
      <c r="A556" s="1" t="s">
        <v>28834</v>
      </c>
      <c r="C556" s="1">
        <v>1</v>
      </c>
      <c r="D556" s="1" t="str">
        <f>"04112-2"</f>
        <v>04112-2</v>
      </c>
      <c r="E556" s="1" t="s">
        <v>429</v>
      </c>
      <c r="F556" s="1">
        <v>12</v>
      </c>
      <c r="G556" s="1">
        <v>7</v>
      </c>
      <c r="H556" s="1">
        <v>0</v>
      </c>
      <c r="K556" s="1" t="str">
        <f t="shared" si="32"/>
        <v/>
      </c>
      <c r="L556" s="1" t="str">
        <f t="shared" si="33"/>
        <v/>
      </c>
      <c r="M556" s="1" t="str">
        <f t="shared" si="34"/>
        <v/>
      </c>
      <c r="P556" s="1" t="s">
        <v>20</v>
      </c>
      <c r="V556" s="1" t="s">
        <v>28833</v>
      </c>
      <c r="X556" s="1" t="s">
        <v>27842</v>
      </c>
      <c r="AR556" s="1" t="str">
        <f t="shared" si="35"/>
        <v>| [](.md) | [稉](稉.md) |  |  | 「粳」的異體字。 |</v>
      </c>
    </row>
    <row r="557" spans="1:44" hidden="1">
      <c r="A557" s="1" t="s">
        <v>28835</v>
      </c>
      <c r="C557" s="1">
        <v>1</v>
      </c>
      <c r="D557" s="1" t="str">
        <f>"04118-1"</f>
        <v>04118-1</v>
      </c>
      <c r="E557" s="1" t="s">
        <v>725</v>
      </c>
      <c r="F557" s="1">
        <v>12</v>
      </c>
      <c r="G557" s="1">
        <v>6</v>
      </c>
      <c r="H557" s="1">
        <v>0</v>
      </c>
      <c r="K557" s="1" t="str">
        <f t="shared" si="32"/>
        <v/>
      </c>
      <c r="L557" s="1" t="str">
        <f t="shared" si="33"/>
        <v/>
      </c>
      <c r="M557" s="1" t="str">
        <f t="shared" si="34"/>
        <v/>
      </c>
      <c r="P557" s="1" t="s">
        <v>20</v>
      </c>
      <c r="V557" s="1" t="s">
        <v>28836</v>
      </c>
      <c r="X557" s="1" t="s">
        <v>27842</v>
      </c>
      <c r="AR557" s="1" t="str">
        <f t="shared" si="35"/>
        <v>| [](.md) | [絚](絚.md) |  |  | 「緪」的異體字。 |</v>
      </c>
    </row>
    <row r="558" spans="1:44" hidden="1">
      <c r="A558" s="1" t="s">
        <v>28837</v>
      </c>
      <c r="C558" s="1">
        <v>1</v>
      </c>
      <c r="D558" s="1" t="str">
        <f>"04124-1"</f>
        <v>04124-1</v>
      </c>
      <c r="E558" s="1" t="s">
        <v>725</v>
      </c>
      <c r="F558" s="1">
        <v>10</v>
      </c>
      <c r="G558" s="1">
        <v>4</v>
      </c>
      <c r="H558" s="1">
        <v>0</v>
      </c>
      <c r="K558" s="1" t="str">
        <f t="shared" si="32"/>
        <v/>
      </c>
      <c r="L558" s="1" t="str">
        <f t="shared" si="33"/>
        <v/>
      </c>
      <c r="M558" s="1" t="str">
        <f t="shared" si="34"/>
        <v/>
      </c>
      <c r="P558" s="1" t="s">
        <v>20</v>
      </c>
      <c r="V558" s="1" t="s">
        <v>28838</v>
      </c>
      <c r="X558" s="1" t="s">
        <v>27842</v>
      </c>
      <c r="AR558" s="1" t="str">
        <f t="shared" si="35"/>
        <v>| [](.md) | [䋁](䋁.md) |  |  | 「綆」的異體字。 |</v>
      </c>
    </row>
    <row r="559" spans="1:44" hidden="1">
      <c r="A559" s="1" t="s">
        <v>28839</v>
      </c>
      <c r="C559" s="1">
        <v>1</v>
      </c>
      <c r="D559" s="1" t="str">
        <f>"04176-1"</f>
        <v>04176-1</v>
      </c>
      <c r="E559" s="1" t="s">
        <v>1792</v>
      </c>
      <c r="F559" s="1">
        <v>14</v>
      </c>
      <c r="G559" s="1">
        <v>9</v>
      </c>
      <c r="H559" s="1">
        <v>0</v>
      </c>
      <c r="K559" s="1" t="str">
        <f t="shared" si="32"/>
        <v/>
      </c>
      <c r="L559" s="1" t="str">
        <f t="shared" si="33"/>
        <v/>
      </c>
      <c r="M559" s="1" t="str">
        <f t="shared" si="34"/>
        <v/>
      </c>
      <c r="P559" s="1" t="s">
        <v>20</v>
      </c>
      <c r="V559" s="1" t="s">
        <v>28840</v>
      </c>
      <c r="X559" s="1" t="s">
        <v>27842</v>
      </c>
      <c r="AR559" s="1" t="str">
        <f t="shared" si="35"/>
        <v>| [](.md) | [皷](皷.md) |  |  | 「鼓」的異體字。 |</v>
      </c>
    </row>
    <row r="560" spans="1:44" hidden="1">
      <c r="A560" s="1" t="s">
        <v>28841</v>
      </c>
      <c r="C560" s="1">
        <v>1</v>
      </c>
      <c r="D560" s="1" t="str">
        <f>"04191-1"</f>
        <v>04191-1</v>
      </c>
      <c r="E560" s="1" t="s">
        <v>190</v>
      </c>
      <c r="F560" s="1">
        <v>11</v>
      </c>
      <c r="G560" s="1">
        <v>8</v>
      </c>
      <c r="H560" s="1">
        <v>0</v>
      </c>
      <c r="K560" s="1" t="str">
        <f t="shared" si="32"/>
        <v/>
      </c>
      <c r="L560" s="1" t="str">
        <f t="shared" si="33"/>
        <v/>
      </c>
      <c r="M560" s="1" t="str">
        <f t="shared" si="34"/>
        <v/>
      </c>
      <c r="P560" s="1" t="s">
        <v>20</v>
      </c>
      <c r="V560" s="1" t="s">
        <v>28842</v>
      </c>
      <c r="X560" s="1" t="s">
        <v>27842</v>
      </c>
      <c r="AR560" s="1" t="str">
        <f t="shared" si="35"/>
        <v>| [](.md) | [崓](崓.md) |  |  | 「崮」的異體字。 |</v>
      </c>
    </row>
    <row r="561" spans="1:44" hidden="1">
      <c r="A561" s="1" t="s">
        <v>28843</v>
      </c>
      <c r="C561" s="1">
        <v>1</v>
      </c>
      <c r="D561" s="1" t="str">
        <f>"04196-1"</f>
        <v>04196-1</v>
      </c>
      <c r="E561" s="1" t="s">
        <v>684</v>
      </c>
      <c r="F561" s="1">
        <v>13</v>
      </c>
      <c r="G561" s="1">
        <v>4</v>
      </c>
      <c r="H561" s="1">
        <v>0</v>
      </c>
      <c r="K561" s="1" t="str">
        <f t="shared" si="32"/>
        <v/>
      </c>
      <c r="L561" s="1" t="str">
        <f t="shared" si="33"/>
        <v/>
      </c>
      <c r="M561" s="1" t="str">
        <f t="shared" si="34"/>
        <v/>
      </c>
      <c r="P561" s="1" t="s">
        <v>20</v>
      </c>
      <c r="V561" s="1" t="s">
        <v>28844</v>
      </c>
      <c r="X561" s="1" t="s">
        <v>27842</v>
      </c>
      <c r="AR561" s="1" t="str">
        <f t="shared" si="35"/>
        <v>| [](.md) | [頋](頋.md) |  |  | 「顧」的異體字。 |</v>
      </c>
    </row>
    <row r="562" spans="1:44" hidden="1">
      <c r="A562" s="1" t="s">
        <v>10265</v>
      </c>
      <c r="C562" s="1">
        <v>1</v>
      </c>
      <c r="D562" s="1" t="str">
        <f>"04216-1"</f>
        <v>04216-1</v>
      </c>
      <c r="E562" s="1" t="s">
        <v>24</v>
      </c>
      <c r="F562" s="1">
        <v>9</v>
      </c>
      <c r="G562" s="1">
        <v>6</v>
      </c>
      <c r="H562" s="1">
        <v>0</v>
      </c>
      <c r="K562" s="1" t="str">
        <f t="shared" si="32"/>
        <v/>
      </c>
      <c r="L562" s="1" t="str">
        <f t="shared" si="33"/>
        <v/>
      </c>
      <c r="M562" s="1" t="str">
        <f t="shared" si="34"/>
        <v/>
      </c>
      <c r="P562" s="1" t="s">
        <v>20</v>
      </c>
      <c r="V562" s="1" t="s">
        <v>28845</v>
      </c>
      <c r="X562" s="1" t="s">
        <v>27842</v>
      </c>
      <c r="AR562" s="1" t="str">
        <f t="shared" si="35"/>
        <v>| [](.md) | [挂](挂.md) |  |  | 「掛」的異體字。 |</v>
      </c>
    </row>
    <row r="563" spans="1:44" hidden="1">
      <c r="A563" s="1" t="s">
        <v>28846</v>
      </c>
      <c r="C563" s="1">
        <v>1</v>
      </c>
      <c r="D563" s="1" t="str">
        <f>"04221-1"</f>
        <v>04221-1</v>
      </c>
      <c r="E563" s="1" t="s">
        <v>340</v>
      </c>
      <c r="F563" s="1">
        <v>12</v>
      </c>
      <c r="G563" s="1">
        <v>6</v>
      </c>
      <c r="H563" s="1">
        <v>0</v>
      </c>
      <c r="K563" s="1" t="str">
        <f t="shared" si="32"/>
        <v/>
      </c>
      <c r="L563" s="1" t="str">
        <f t="shared" si="33"/>
        <v/>
      </c>
      <c r="M563" s="1" t="str">
        <f t="shared" si="34"/>
        <v/>
      </c>
      <c r="P563" s="1" t="s">
        <v>20</v>
      </c>
      <c r="V563" s="1" t="s">
        <v>28847</v>
      </c>
      <c r="X563" s="1" t="s">
        <v>27842</v>
      </c>
      <c r="AR563" s="1" t="str">
        <f t="shared" si="35"/>
        <v>| [](.md) | [袿](袿.md) |  |  | 「褂」的異體字。 |</v>
      </c>
    </row>
    <row r="564" spans="1:44" hidden="1">
      <c r="A564" s="1" t="s">
        <v>28848</v>
      </c>
      <c r="C564" s="1">
        <v>1</v>
      </c>
      <c r="D564" s="1" t="str">
        <f>"04226-1"</f>
        <v>04226-1</v>
      </c>
      <c r="E564" s="1" t="s">
        <v>558</v>
      </c>
      <c r="F564" s="1">
        <v>7</v>
      </c>
      <c r="G564" s="1">
        <v>3</v>
      </c>
      <c r="H564" s="1">
        <v>0</v>
      </c>
      <c r="K564" s="1" t="str">
        <f t="shared" si="32"/>
        <v/>
      </c>
      <c r="L564" s="1" t="str">
        <f t="shared" si="33"/>
        <v/>
      </c>
      <c r="M564" s="1" t="str">
        <f t="shared" si="34"/>
        <v/>
      </c>
      <c r="P564" s="1" t="s">
        <v>20</v>
      </c>
      <c r="V564" s="1" t="s">
        <v>28849</v>
      </c>
      <c r="X564" s="1" t="s">
        <v>27842</v>
      </c>
      <c r="AR564" s="1" t="str">
        <f t="shared" si="35"/>
        <v>| [](.md) | [过](过.md) |  |  | 「過」的異體字。 |</v>
      </c>
    </row>
    <row r="565" spans="1:44" hidden="1">
      <c r="A565" s="1" t="s">
        <v>28850</v>
      </c>
      <c r="C565" s="1">
        <v>1</v>
      </c>
      <c r="D565" s="1" t="str">
        <f>"04230-1"</f>
        <v>04230-1</v>
      </c>
      <c r="E565" s="1" t="s">
        <v>2557</v>
      </c>
      <c r="F565" s="1">
        <v>7</v>
      </c>
      <c r="G565" s="1">
        <v>4</v>
      </c>
      <c r="H565" s="1">
        <v>0</v>
      </c>
      <c r="K565" s="1" t="str">
        <f t="shared" si="32"/>
        <v/>
      </c>
      <c r="L565" s="1" t="str">
        <f t="shared" si="33"/>
        <v/>
      </c>
      <c r="M565" s="1" t="str">
        <f t="shared" si="34"/>
        <v/>
      </c>
      <c r="P565" s="1" t="s">
        <v>20</v>
      </c>
      <c r="V565" s="1" t="s">
        <v>28851</v>
      </c>
      <c r="X565" s="1" t="s">
        <v>27842</v>
      </c>
      <c r="AR565" s="1" t="str">
        <f t="shared" si="35"/>
        <v>| [](.md) | [囯](囯.md) |  |  | 「國」的異體字。 |</v>
      </c>
    </row>
    <row r="566" spans="1:44" hidden="1">
      <c r="A566" s="1" t="s">
        <v>28852</v>
      </c>
      <c r="C566" s="1">
        <v>1</v>
      </c>
      <c r="D566" s="1" t="str">
        <f>"04237-1"</f>
        <v>04237-1</v>
      </c>
      <c r="E566" s="1" t="s">
        <v>37</v>
      </c>
      <c r="F566" s="1">
        <v>12</v>
      </c>
      <c r="G566" s="1">
        <v>8</v>
      </c>
      <c r="H566" s="1">
        <v>0</v>
      </c>
      <c r="K566" s="1" t="str">
        <f t="shared" si="32"/>
        <v/>
      </c>
      <c r="L566" s="1" t="str">
        <f t="shared" si="33"/>
        <v/>
      </c>
      <c r="M566" s="1" t="str">
        <f t="shared" si="34"/>
        <v/>
      </c>
      <c r="P566" s="1" t="s">
        <v>20</v>
      </c>
      <c r="V566" s="1" t="s">
        <v>28853</v>
      </c>
      <c r="X566" s="1" t="s">
        <v>27842</v>
      </c>
      <c r="AR566" s="1" t="str">
        <f t="shared" si="35"/>
        <v>| [](.md) | [菓](菓.md) |  |  | 「果」的異體字。 |</v>
      </c>
    </row>
    <row r="567" spans="1:44" hidden="1">
      <c r="A567" s="1" t="s">
        <v>28854</v>
      </c>
      <c r="C567" s="1">
        <v>1</v>
      </c>
      <c r="D567" s="1" t="str">
        <f>"04250-1"</f>
        <v>04250-1</v>
      </c>
      <c r="E567" s="1" t="s">
        <v>139</v>
      </c>
      <c r="F567" s="1">
        <v>9</v>
      </c>
      <c r="G567" s="1">
        <v>5</v>
      </c>
      <c r="H567" s="1">
        <v>0</v>
      </c>
      <c r="K567" s="1" t="str">
        <f t="shared" si="32"/>
        <v/>
      </c>
      <c r="L567" s="1" t="str">
        <f t="shared" si="33"/>
        <v/>
      </c>
      <c r="M567" s="1" t="str">
        <f t="shared" si="34"/>
        <v/>
      </c>
      <c r="P567" s="1" t="s">
        <v>20</v>
      </c>
      <c r="V567" s="1" t="s">
        <v>28855</v>
      </c>
      <c r="X567" s="1" t="s">
        <v>27842</v>
      </c>
      <c r="AR567" s="1" t="str">
        <f t="shared" si="35"/>
        <v>| [](.md) | [柺](柺.md) |  |  | 「枴」的異體字。 |</v>
      </c>
    </row>
    <row r="568" spans="1:44" hidden="1">
      <c r="A568" s="1" t="s">
        <v>28856</v>
      </c>
      <c r="C568" s="1">
        <v>1</v>
      </c>
      <c r="D568" s="1" t="str">
        <f>"04253-1"</f>
        <v>04253-1</v>
      </c>
      <c r="E568" s="1" t="s">
        <v>250</v>
      </c>
      <c r="F568" s="1">
        <v>9</v>
      </c>
      <c r="G568" s="1">
        <v>6</v>
      </c>
      <c r="H568" s="1">
        <v>0</v>
      </c>
      <c r="K568" s="1" t="str">
        <f t="shared" si="32"/>
        <v/>
      </c>
      <c r="L568" s="1" t="str">
        <f t="shared" si="33"/>
        <v/>
      </c>
      <c r="M568" s="1" t="str">
        <f t="shared" si="34"/>
        <v/>
      </c>
      <c r="P568" s="1" t="s">
        <v>20</v>
      </c>
      <c r="V568" s="1" t="s">
        <v>28857</v>
      </c>
      <c r="X568" s="1" t="s">
        <v>27842</v>
      </c>
      <c r="AR568" s="1" t="str">
        <f t="shared" si="35"/>
        <v>| [](.md) | [恠](恠.md) |  |  | 「怪」的異體字。 |</v>
      </c>
    </row>
    <row r="569" spans="1:44" hidden="1">
      <c r="A569" s="1" t="s">
        <v>28858</v>
      </c>
      <c r="C569" s="1">
        <v>1</v>
      </c>
      <c r="D569" s="1" t="str">
        <f>"04264-1"</f>
        <v>04264-1</v>
      </c>
      <c r="E569" s="1" t="s">
        <v>139</v>
      </c>
      <c r="F569" s="1">
        <v>15</v>
      </c>
      <c r="G569" s="1">
        <v>11</v>
      </c>
      <c r="H569" s="1">
        <v>0</v>
      </c>
      <c r="K569" s="1" t="str">
        <f t="shared" si="32"/>
        <v/>
      </c>
      <c r="L569" s="1" t="str">
        <f t="shared" si="33"/>
        <v/>
      </c>
      <c r="M569" s="1" t="str">
        <f t="shared" si="34"/>
        <v/>
      </c>
      <c r="P569" s="1" t="s">
        <v>20</v>
      </c>
      <c r="V569" s="1" t="s">
        <v>28859</v>
      </c>
      <c r="X569" s="1" t="s">
        <v>27842</v>
      </c>
      <c r="AR569" s="1" t="str">
        <f t="shared" si="35"/>
        <v>| [](.md) | [槼](槼.md) |  |  | 「規」的異體字。 |</v>
      </c>
    </row>
    <row r="570" spans="1:44" hidden="1">
      <c r="A570" s="1" t="s">
        <v>28860</v>
      </c>
      <c r="C570" s="1">
        <v>1</v>
      </c>
      <c r="D570" s="1" t="str">
        <f>"04266-1"</f>
        <v>04266-1</v>
      </c>
      <c r="E570" s="1" t="s">
        <v>129</v>
      </c>
      <c r="F570" s="1">
        <v>15</v>
      </c>
      <c r="G570" s="1">
        <v>12</v>
      </c>
      <c r="H570" s="1">
        <v>0</v>
      </c>
      <c r="K570" s="1" t="str">
        <f t="shared" si="32"/>
        <v/>
      </c>
      <c r="L570" s="1" t="str">
        <f t="shared" si="33"/>
        <v/>
      </c>
      <c r="M570" s="1" t="str">
        <f t="shared" si="34"/>
        <v/>
      </c>
      <c r="P570" s="1" t="s">
        <v>20</v>
      </c>
      <c r="V570" s="1" t="s">
        <v>28861</v>
      </c>
      <c r="X570" s="1" t="s">
        <v>27842</v>
      </c>
      <c r="AR570" s="1" t="str">
        <f t="shared" si="35"/>
        <v>| [](.md) | [潙](潙.md) |  |  | 「溈」的異體字。 |</v>
      </c>
    </row>
    <row r="571" spans="1:44" hidden="1">
      <c r="A571" s="1" t="s">
        <v>28862</v>
      </c>
      <c r="C571" s="1">
        <v>1</v>
      </c>
      <c r="D571" s="1" t="str">
        <f>"04267-1"</f>
        <v>04267-1</v>
      </c>
      <c r="E571" s="1" t="s">
        <v>534</v>
      </c>
      <c r="F571" s="1">
        <v>15</v>
      </c>
      <c r="G571" s="1">
        <v>12</v>
      </c>
      <c r="H571" s="1">
        <v>0</v>
      </c>
      <c r="K571" s="1" t="str">
        <f t="shared" si="32"/>
        <v/>
      </c>
      <c r="L571" s="1" t="str">
        <f t="shared" si="33"/>
        <v/>
      </c>
      <c r="M571" s="1" t="str">
        <f t="shared" si="34"/>
        <v/>
      </c>
      <c r="P571" s="1" t="s">
        <v>20</v>
      </c>
      <c r="V571" s="1" t="s">
        <v>28863</v>
      </c>
      <c r="X571" s="1" t="s">
        <v>27842</v>
      </c>
      <c r="AR571" s="1" t="str">
        <f t="shared" si="35"/>
        <v>| [](.md) | [嬀](嬀.md) |  |  | 「媯」的異體字。 |</v>
      </c>
    </row>
    <row r="572" spans="1:44" hidden="1">
      <c r="A572" s="1" t="s">
        <v>28864</v>
      </c>
      <c r="C572" s="1">
        <v>1</v>
      </c>
      <c r="D572" s="1" t="str">
        <f>"04269-1"</f>
        <v>04269-1</v>
      </c>
      <c r="E572" s="1" t="s">
        <v>142</v>
      </c>
      <c r="F572" s="1">
        <v>20</v>
      </c>
      <c r="G572" s="1">
        <v>16</v>
      </c>
      <c r="H572" s="1">
        <v>0</v>
      </c>
      <c r="K572" s="1" t="str">
        <f t="shared" si="32"/>
        <v/>
      </c>
      <c r="L572" s="1" t="str">
        <f t="shared" si="33"/>
        <v/>
      </c>
      <c r="M572" s="1" t="str">
        <f t="shared" si="34"/>
        <v/>
      </c>
      <c r="P572" s="1" t="s">
        <v>20</v>
      </c>
      <c r="V572" s="1" t="s">
        <v>28865</v>
      </c>
      <c r="X572" s="1" t="s">
        <v>27842</v>
      </c>
      <c r="AR572" s="1" t="str">
        <f t="shared" si="35"/>
        <v>| [](.md) | [瓌](瓌.md) |  |  | 「瑰」的異體字。 |</v>
      </c>
    </row>
    <row r="573" spans="1:44" hidden="1">
      <c r="A573" s="1" t="s">
        <v>28866</v>
      </c>
      <c r="C573" s="1">
        <v>1</v>
      </c>
      <c r="D573" s="1" t="str">
        <f>"04270-1"</f>
        <v>04270-1</v>
      </c>
      <c r="E573" s="1" t="s">
        <v>3480</v>
      </c>
      <c r="F573" s="1">
        <v>7</v>
      </c>
      <c r="G573" s="1">
        <v>6</v>
      </c>
      <c r="H573" s="1">
        <v>0</v>
      </c>
      <c r="K573" s="1" t="str">
        <f t="shared" si="32"/>
        <v/>
      </c>
      <c r="L573" s="1" t="str">
        <f t="shared" si="33"/>
        <v/>
      </c>
      <c r="M573" s="1" t="str">
        <f t="shared" si="34"/>
        <v/>
      </c>
      <c r="P573" s="1" t="s">
        <v>20</v>
      </c>
      <c r="V573" s="1" t="s">
        <v>28867</v>
      </c>
      <c r="X573" s="1" t="s">
        <v>27842</v>
      </c>
      <c r="AR573" s="1" t="str">
        <f t="shared" si="35"/>
        <v>| [](.md) | [龟](龟.md) |  |  | 「龜」的異體字。 |</v>
      </c>
    </row>
    <row r="574" spans="1:44" hidden="1">
      <c r="A574" s="1" t="s">
        <v>28868</v>
      </c>
      <c r="C574" s="1">
        <v>1</v>
      </c>
      <c r="D574" s="1" t="str">
        <f>"04271-1"</f>
        <v>04271-1</v>
      </c>
      <c r="E574" s="1" t="s">
        <v>6976</v>
      </c>
      <c r="F574" s="1">
        <v>5</v>
      </c>
      <c r="G574" s="1">
        <v>2</v>
      </c>
      <c r="H574" s="1">
        <v>0</v>
      </c>
      <c r="K574" s="1" t="str">
        <f t="shared" si="32"/>
        <v/>
      </c>
      <c r="L574" s="1" t="str">
        <f t="shared" si="33"/>
        <v/>
      </c>
      <c r="M574" s="1" t="str">
        <f t="shared" si="34"/>
        <v/>
      </c>
      <c r="P574" s="1" t="s">
        <v>20</v>
      </c>
      <c r="V574" s="1" t="s">
        <v>28869</v>
      </c>
      <c r="X574" s="1" t="s">
        <v>27842</v>
      </c>
      <c r="AR574" s="1" t="str">
        <f t="shared" si="35"/>
        <v>| [](.md) | [归](归.md) |  |  | 「歸」的異體字。 |</v>
      </c>
    </row>
    <row r="575" spans="1:44" hidden="1">
      <c r="A575" s="1" t="s">
        <v>28870</v>
      </c>
      <c r="C575" s="1">
        <v>1</v>
      </c>
      <c r="D575" s="1" t="str">
        <f>"04271-2"</f>
        <v>04271-2</v>
      </c>
      <c r="E575" s="1" t="s">
        <v>1495</v>
      </c>
      <c r="F575" s="1">
        <v>12</v>
      </c>
      <c r="G575" s="1">
        <v>8</v>
      </c>
      <c r="H575" s="1">
        <v>0</v>
      </c>
      <c r="K575" s="1" t="str">
        <f t="shared" si="32"/>
        <v/>
      </c>
      <c r="L575" s="1" t="str">
        <f t="shared" si="33"/>
        <v/>
      </c>
      <c r="M575" s="1" t="str">
        <f t="shared" si="34"/>
        <v/>
      </c>
      <c r="P575" s="1" t="s">
        <v>20</v>
      </c>
      <c r="V575" s="1" t="s">
        <v>28869</v>
      </c>
      <c r="X575" s="1" t="s">
        <v>27842</v>
      </c>
      <c r="AR575" s="1" t="str">
        <f t="shared" si="35"/>
        <v>| [](.md) | [㱕](㱕.md) |  |  | 「歸」的異體字。 |</v>
      </c>
    </row>
    <row r="576" spans="1:44" hidden="1">
      <c r="A576" s="1" t="s">
        <v>14439</v>
      </c>
      <c r="C576" s="1">
        <v>1</v>
      </c>
      <c r="D576" s="1" t="str">
        <f>"04294-1"</f>
        <v>04294-1</v>
      </c>
      <c r="E576" s="1" t="s">
        <v>139</v>
      </c>
      <c r="F576" s="1">
        <v>9</v>
      </c>
      <c r="G576" s="1">
        <v>5</v>
      </c>
      <c r="H576" s="1">
        <v>0</v>
      </c>
      <c r="K576" s="1" t="str">
        <f t="shared" si="32"/>
        <v/>
      </c>
      <c r="L576" s="1" t="str">
        <f t="shared" si="33"/>
        <v/>
      </c>
      <c r="M576" s="1" t="str">
        <f t="shared" si="34"/>
        <v/>
      </c>
      <c r="P576" s="1" t="s">
        <v>20</v>
      </c>
      <c r="V576" s="1" t="s">
        <v>28871</v>
      </c>
      <c r="X576" s="1" t="s">
        <v>27842</v>
      </c>
      <c r="AR576" s="1" t="str">
        <f t="shared" si="35"/>
        <v>| [](.md) | [柜](柜.md) |  |  | 「櫃」的異體字。 |</v>
      </c>
    </row>
    <row r="577" spans="1:44" hidden="1">
      <c r="A577" s="1" t="s">
        <v>28872</v>
      </c>
      <c r="C577" s="1">
        <v>1</v>
      </c>
      <c r="D577" s="1" t="str">
        <f>"04298-1"</f>
        <v>04298-1</v>
      </c>
      <c r="E577" s="1" t="s">
        <v>114</v>
      </c>
      <c r="F577" s="1">
        <v>6</v>
      </c>
      <c r="G577" s="1">
        <v>4</v>
      </c>
      <c r="H577" s="1">
        <v>0</v>
      </c>
      <c r="K577" s="1" t="str">
        <f t="shared" si="32"/>
        <v/>
      </c>
      <c r="L577" s="1" t="str">
        <f t="shared" si="33"/>
        <v/>
      </c>
      <c r="M577" s="1" t="str">
        <f t="shared" si="34"/>
        <v/>
      </c>
      <c r="P577" s="1" t="s">
        <v>20</v>
      </c>
      <c r="V577" s="1" t="s">
        <v>28873</v>
      </c>
      <c r="X577" s="1" t="s">
        <v>27842</v>
      </c>
      <c r="AR577" s="1" t="str">
        <f t="shared" si="35"/>
        <v>| [](.md) | [会](会.md) |  |  | 「會」的異體字。 |</v>
      </c>
    </row>
    <row r="578" spans="1:44" hidden="1">
      <c r="A578" s="1" t="s">
        <v>28874</v>
      </c>
      <c r="C578" s="1">
        <v>1</v>
      </c>
      <c r="D578" s="1" t="str">
        <f>"04313-1"</f>
        <v>04313-1</v>
      </c>
      <c r="E578" s="1" t="s">
        <v>40</v>
      </c>
      <c r="F578" s="1">
        <v>14</v>
      </c>
      <c r="G578" s="1">
        <v>9</v>
      </c>
      <c r="H578" s="1">
        <v>0</v>
      </c>
      <c r="K578" s="1" t="str">
        <f t="shared" ref="K578:K641" si="36">LEFT(I578, 1)</f>
        <v/>
      </c>
      <c r="L578" s="1" t="str">
        <f t="shared" ref="L578:L641" si="37">MID(I578, 2, 1)</f>
        <v/>
      </c>
      <c r="M578" s="1" t="str">
        <f t="shared" ref="M578:M641" si="38">MID(I578, 3, 1)</f>
        <v/>
      </c>
      <c r="P578" s="1" t="s">
        <v>20</v>
      </c>
      <c r="V578" s="1" t="s">
        <v>28875</v>
      </c>
      <c r="X578" s="1" t="s">
        <v>27842</v>
      </c>
      <c r="AR578" s="1" t="str">
        <f t="shared" si="35"/>
        <v>| [](.md) | [𤸄](𤸄.md) |  |  | 「瘝」的異體字。 |</v>
      </c>
    </row>
    <row r="579" spans="1:44" hidden="1">
      <c r="A579" s="1" t="s">
        <v>28876</v>
      </c>
      <c r="C579" s="1">
        <v>1</v>
      </c>
      <c r="D579" s="1" t="str">
        <f>"04315-1"</f>
        <v>04315-1</v>
      </c>
      <c r="E579" s="1" t="s">
        <v>709</v>
      </c>
      <c r="F579" s="1">
        <v>14</v>
      </c>
      <c r="G579" s="1">
        <v>6</v>
      </c>
      <c r="H579" s="1">
        <v>0</v>
      </c>
      <c r="K579" s="1" t="str">
        <f t="shared" si="36"/>
        <v/>
      </c>
      <c r="L579" s="1" t="str">
        <f t="shared" si="37"/>
        <v/>
      </c>
      <c r="M579" s="1" t="str">
        <f t="shared" si="38"/>
        <v/>
      </c>
      <c r="P579" s="1" t="s">
        <v>20</v>
      </c>
      <c r="V579" s="1" t="s">
        <v>28877</v>
      </c>
      <c r="X579" s="1" t="s">
        <v>27842</v>
      </c>
      <c r="AR579" s="1" t="str">
        <f t="shared" ref="AR579:AR642" si="39">"| ["&amp;I579&amp;"]("&amp;I579&amp;".md) | ["&amp;A579&amp;"]("&amp;A579&amp;".md) | "&amp;" | "&amp;R579&amp;" | "&amp;V579&amp;" |"</f>
        <v>| [](.md) | [関](関.md) |  |  | 「關」的異體字。 |</v>
      </c>
    </row>
    <row r="580" spans="1:44" hidden="1">
      <c r="A580" s="1" t="s">
        <v>28878</v>
      </c>
      <c r="C580" s="1">
        <v>1</v>
      </c>
      <c r="D580" s="1" t="str">
        <f>"04316-1"</f>
        <v>04316-1</v>
      </c>
      <c r="E580" s="1" t="s">
        <v>2233</v>
      </c>
      <c r="F580" s="1">
        <v>9</v>
      </c>
      <c r="G580" s="1">
        <v>2</v>
      </c>
      <c r="H580" s="1">
        <v>0</v>
      </c>
      <c r="K580" s="1" t="str">
        <f t="shared" si="36"/>
        <v/>
      </c>
      <c r="L580" s="1" t="str">
        <f t="shared" si="37"/>
        <v/>
      </c>
      <c r="M580" s="1" t="str">
        <f t="shared" si="38"/>
        <v/>
      </c>
      <c r="P580" s="1" t="s">
        <v>20</v>
      </c>
      <c r="V580" s="1" t="s">
        <v>28879</v>
      </c>
      <c r="X580" s="1" t="s">
        <v>27842</v>
      </c>
      <c r="AR580" s="1" t="str">
        <f t="shared" si="39"/>
        <v>| [](.md) | [覌](覌.md) |  |  | 「觀」的異體字。 |</v>
      </c>
    </row>
    <row r="581" spans="1:44" hidden="1">
      <c r="A581" s="1" t="s">
        <v>28880</v>
      </c>
      <c r="C581" s="1">
        <v>1</v>
      </c>
      <c r="D581" s="1" t="str">
        <f>"04323-1"</f>
        <v>04323-1</v>
      </c>
      <c r="E581" s="1" t="s">
        <v>1533</v>
      </c>
      <c r="F581" s="1">
        <v>11</v>
      </c>
      <c r="G581" s="1">
        <v>7</v>
      </c>
      <c r="H581" s="1">
        <v>0</v>
      </c>
      <c r="K581" s="1" t="str">
        <f t="shared" si="36"/>
        <v/>
      </c>
      <c r="L581" s="1" t="str">
        <f t="shared" si="37"/>
        <v/>
      </c>
      <c r="M581" s="1" t="str">
        <f t="shared" si="38"/>
        <v/>
      </c>
      <c r="P581" s="1" t="s">
        <v>20</v>
      </c>
      <c r="V581" s="1" t="s">
        <v>28881</v>
      </c>
      <c r="X581" s="1" t="s">
        <v>27842</v>
      </c>
      <c r="AR581" s="1" t="str">
        <f t="shared" si="39"/>
        <v>| [](.md) | [𬋩](𬋩.md) |  |  | 「管」的異體字。 |</v>
      </c>
    </row>
    <row r="582" spans="1:44" hidden="1">
      <c r="A582" s="1" t="s">
        <v>28882</v>
      </c>
      <c r="C582" s="1">
        <v>1</v>
      </c>
      <c r="D582" s="1" t="str">
        <f>"04325-1"</f>
        <v>04325-1</v>
      </c>
      <c r="E582" s="1" t="s">
        <v>6303</v>
      </c>
      <c r="F582" s="1">
        <v>16</v>
      </c>
      <c r="G582" s="1">
        <v>10</v>
      </c>
      <c r="H582" s="1">
        <v>0</v>
      </c>
      <c r="K582" s="1" t="str">
        <f t="shared" si="36"/>
        <v/>
      </c>
      <c r="L582" s="1" t="str">
        <f t="shared" si="37"/>
        <v/>
      </c>
      <c r="M582" s="1" t="str">
        <f t="shared" si="38"/>
        <v/>
      </c>
      <c r="P582" s="1" t="s">
        <v>20</v>
      </c>
      <c r="V582" s="1" t="s">
        <v>28883</v>
      </c>
      <c r="X582" s="1" t="s">
        <v>27842</v>
      </c>
      <c r="AR582" s="1" t="str">
        <f t="shared" si="39"/>
        <v>| [](.md) | [舘](舘.md) |  |  | 「館」的異體字。 |</v>
      </c>
    </row>
    <row r="583" spans="1:44" hidden="1">
      <c r="A583" s="1" t="s">
        <v>28884</v>
      </c>
      <c r="C583" s="1">
        <v>1</v>
      </c>
      <c r="D583" s="1" t="str">
        <f>"04331-1"</f>
        <v>04331-1</v>
      </c>
      <c r="E583" s="1" t="s">
        <v>1279</v>
      </c>
      <c r="F583" s="1">
        <v>4</v>
      </c>
      <c r="G583" s="1">
        <v>2</v>
      </c>
      <c r="H583" s="1">
        <v>0</v>
      </c>
      <c r="K583" s="1" t="str">
        <f t="shared" si="36"/>
        <v/>
      </c>
      <c r="L583" s="1" t="str">
        <f t="shared" si="37"/>
        <v/>
      </c>
      <c r="M583" s="1" t="str">
        <f t="shared" si="38"/>
        <v/>
      </c>
      <c r="P583" s="1" t="s">
        <v>20</v>
      </c>
      <c r="V583" s="1" t="s">
        <v>28885</v>
      </c>
      <c r="X583" s="1" t="s">
        <v>27842</v>
      </c>
      <c r="AR583" s="1" t="str">
        <f t="shared" si="39"/>
        <v>| [](.md) | [卝](卝.md) |  |  | 「丱」的異體字。 |</v>
      </c>
    </row>
    <row r="584" spans="1:44" hidden="1">
      <c r="A584" s="1" t="s">
        <v>28886</v>
      </c>
      <c r="C584" s="1">
        <v>1</v>
      </c>
      <c r="D584" s="1" t="str">
        <f>"04348-1"</f>
        <v>04348-1</v>
      </c>
      <c r="E584" s="1" t="s">
        <v>340</v>
      </c>
      <c r="F584" s="1">
        <v>10</v>
      </c>
      <c r="G584" s="1">
        <v>4</v>
      </c>
      <c r="H584" s="1">
        <v>0</v>
      </c>
      <c r="K584" s="1" t="str">
        <f t="shared" si="36"/>
        <v/>
      </c>
      <c r="L584" s="1" t="str">
        <f t="shared" si="37"/>
        <v/>
      </c>
      <c r="M584" s="1" t="str">
        <f t="shared" si="38"/>
        <v/>
      </c>
      <c r="P584" s="1" t="s">
        <v>20</v>
      </c>
      <c r="V584" s="1" t="s">
        <v>28887</v>
      </c>
      <c r="X584" s="1" t="s">
        <v>27842</v>
      </c>
      <c r="AR584" s="1" t="str">
        <f t="shared" si="39"/>
        <v>| [](.md) | [衮](衮.md) |  |  | 「袞」的異體字。 |</v>
      </c>
    </row>
    <row r="585" spans="1:44" hidden="1">
      <c r="A585" s="1" t="s">
        <v>28888</v>
      </c>
      <c r="C585" s="1">
        <v>1</v>
      </c>
      <c r="D585" s="1" t="str">
        <f>"04349-1"</f>
        <v>04349-1</v>
      </c>
      <c r="E585" s="1" t="s">
        <v>129</v>
      </c>
      <c r="F585" s="1">
        <v>13</v>
      </c>
      <c r="G585" s="1">
        <v>10</v>
      </c>
      <c r="H585" s="1">
        <v>0</v>
      </c>
      <c r="K585" s="1" t="str">
        <f t="shared" si="36"/>
        <v/>
      </c>
      <c r="L585" s="1" t="str">
        <f t="shared" si="37"/>
        <v/>
      </c>
      <c r="M585" s="1" t="str">
        <f t="shared" si="38"/>
        <v/>
      </c>
      <c r="P585" s="1" t="s">
        <v>20</v>
      </c>
      <c r="V585" s="1" t="s">
        <v>28889</v>
      </c>
      <c r="X585" s="1" t="s">
        <v>27842</v>
      </c>
      <c r="AR585" s="1" t="str">
        <f t="shared" si="39"/>
        <v>| [](.md) | [滚](滚.md) |  |  | 「滾」的異體字。 |</v>
      </c>
    </row>
    <row r="586" spans="1:44" hidden="1">
      <c r="A586" s="1" t="s">
        <v>28890</v>
      </c>
      <c r="C586" s="1">
        <v>1</v>
      </c>
      <c r="D586" s="1" t="str">
        <f>"04350-1"</f>
        <v>04350-1</v>
      </c>
      <c r="E586" s="1" t="s">
        <v>37</v>
      </c>
      <c r="F586" s="1">
        <v>14</v>
      </c>
      <c r="G586" s="1">
        <v>10</v>
      </c>
      <c r="H586" s="1">
        <v>0</v>
      </c>
      <c r="K586" s="1" t="str">
        <f t="shared" si="36"/>
        <v/>
      </c>
      <c r="L586" s="1" t="str">
        <f t="shared" si="37"/>
        <v/>
      </c>
      <c r="M586" s="1" t="str">
        <f t="shared" si="38"/>
        <v/>
      </c>
      <c r="P586" s="1" t="s">
        <v>20</v>
      </c>
      <c r="V586" s="1" t="s">
        <v>28891</v>
      </c>
      <c r="X586" s="1" t="s">
        <v>27842</v>
      </c>
      <c r="AR586" s="1" t="str">
        <f t="shared" si="39"/>
        <v>| [](.md) | [蓘](蓘.md) |  |  | 「蔉」的異體字。 |</v>
      </c>
    </row>
    <row r="587" spans="1:44" hidden="1">
      <c r="A587" s="1" t="s">
        <v>28892</v>
      </c>
      <c r="C587" s="1">
        <v>1</v>
      </c>
      <c r="D587" s="1" t="str">
        <f>"04362-1"</f>
        <v>04362-1</v>
      </c>
      <c r="E587" s="1" t="s">
        <v>447</v>
      </c>
      <c r="F587" s="1">
        <v>14</v>
      </c>
      <c r="G587" s="1">
        <v>11</v>
      </c>
      <c r="H587" s="1">
        <v>0</v>
      </c>
      <c r="K587" s="1" t="str">
        <f t="shared" si="36"/>
        <v/>
      </c>
      <c r="L587" s="1" t="str">
        <f t="shared" si="37"/>
        <v/>
      </c>
      <c r="M587" s="1" t="str">
        <f t="shared" si="38"/>
        <v/>
      </c>
      <c r="P587" s="1" t="s">
        <v>20</v>
      </c>
      <c r="V587" s="1" t="s">
        <v>28893</v>
      </c>
      <c r="X587" s="1" t="s">
        <v>27842</v>
      </c>
      <c r="AR587" s="1" t="str">
        <f t="shared" si="39"/>
        <v>| [](.md) | [󱱬](󱱬.md) |  |  | 「廣」的異體字。 |</v>
      </c>
    </row>
    <row r="588" spans="1:44" hidden="1">
      <c r="A588" s="1" t="s">
        <v>28894</v>
      </c>
      <c r="C588" s="1">
        <v>1</v>
      </c>
      <c r="D588" s="1" t="str">
        <f>"04372-1"</f>
        <v>04372-1</v>
      </c>
      <c r="E588" s="1" t="s">
        <v>5692</v>
      </c>
      <c r="F588" s="1">
        <v>14</v>
      </c>
      <c r="G588" s="1">
        <v>7</v>
      </c>
      <c r="H588" s="1">
        <v>0</v>
      </c>
      <c r="K588" s="1" t="str">
        <f t="shared" si="36"/>
        <v/>
      </c>
      <c r="L588" s="1" t="str">
        <f t="shared" si="37"/>
        <v/>
      </c>
      <c r="M588" s="1" t="str">
        <f t="shared" si="38"/>
        <v/>
      </c>
      <c r="P588" s="1" t="s">
        <v>20</v>
      </c>
      <c r="V588" s="1" t="s">
        <v>28895</v>
      </c>
      <c r="X588" s="1" t="s">
        <v>27842</v>
      </c>
      <c r="AR588" s="1" t="str">
        <f t="shared" si="39"/>
        <v>| [](.md) | [躳](躳.md) |  |  | 「躬」的異體字。 |</v>
      </c>
    </row>
    <row r="589" spans="1:44" hidden="1">
      <c r="A589" s="1" t="s">
        <v>28896</v>
      </c>
      <c r="C589" s="1">
        <v>1</v>
      </c>
      <c r="D589" s="1" t="str">
        <f>"04382-1"</f>
        <v>04382-1</v>
      </c>
      <c r="E589" s="1" t="s">
        <v>1117</v>
      </c>
      <c r="F589" s="1">
        <v>19</v>
      </c>
      <c r="G589" s="1">
        <v>12</v>
      </c>
      <c r="H589" s="1">
        <v>0</v>
      </c>
      <c r="K589" s="1" t="str">
        <f t="shared" si="36"/>
        <v/>
      </c>
      <c r="L589" s="1" t="str">
        <f t="shared" si="37"/>
        <v/>
      </c>
      <c r="M589" s="1" t="str">
        <f t="shared" si="38"/>
        <v/>
      </c>
      <c r="P589" s="1" t="s">
        <v>20</v>
      </c>
      <c r="V589" s="1" t="s">
        <v>28897</v>
      </c>
      <c r="X589" s="1" t="s">
        <v>27842</v>
      </c>
      <c r="AR589" s="1" t="str">
        <f t="shared" si="39"/>
        <v>| [](.md) | [觵](觵.md) |  |  | 「觥」的異體字。 |</v>
      </c>
    </row>
    <row r="590" spans="1:44" hidden="1">
      <c r="A590" s="1" t="s">
        <v>28898</v>
      </c>
      <c r="C590" s="1">
        <v>1</v>
      </c>
      <c r="D590" s="1" t="str">
        <f>"04392-1"</f>
        <v>04392-1</v>
      </c>
      <c r="E590" s="1" t="s">
        <v>55</v>
      </c>
      <c r="F590" s="1">
        <v>23</v>
      </c>
      <c r="G590" s="1">
        <v>15</v>
      </c>
      <c r="H590" s="1">
        <v>0</v>
      </c>
      <c r="K590" s="1" t="str">
        <f t="shared" si="36"/>
        <v/>
      </c>
      <c r="L590" s="1" t="str">
        <f t="shared" si="37"/>
        <v/>
      </c>
      <c r="M590" s="1" t="str">
        <f t="shared" si="38"/>
        <v/>
      </c>
      <c r="P590" s="1" t="s">
        <v>20</v>
      </c>
      <c r="V590" s="1" t="s">
        <v>28899</v>
      </c>
      <c r="X590" s="1" t="s">
        <v>27842</v>
      </c>
      <c r="AR590" s="1" t="str">
        <f t="shared" si="39"/>
        <v>| [](.md) | [鑛](鑛.md) |  |  | 「礦」的異體字。 |</v>
      </c>
    </row>
    <row r="591" spans="1:44" hidden="1">
      <c r="A591" s="1" t="s">
        <v>28900</v>
      </c>
      <c r="C591" s="1">
        <v>1</v>
      </c>
      <c r="D591" s="1" t="str">
        <f>"04415-1"</f>
        <v>04415-1</v>
      </c>
      <c r="E591" s="1" t="s">
        <v>40</v>
      </c>
      <c r="F591" s="1">
        <v>10</v>
      </c>
      <c r="G591" s="1">
        <v>5</v>
      </c>
      <c r="H591" s="1">
        <v>0</v>
      </c>
      <c r="K591" s="1" t="str">
        <f t="shared" si="36"/>
        <v/>
      </c>
      <c r="L591" s="1" t="str">
        <f t="shared" si="37"/>
        <v/>
      </c>
      <c r="M591" s="1" t="str">
        <f t="shared" si="38"/>
        <v/>
      </c>
      <c r="P591" s="1" t="s">
        <v>20</v>
      </c>
      <c r="V591" s="1" t="s">
        <v>28901</v>
      </c>
      <c r="X591" s="1" t="s">
        <v>27842</v>
      </c>
      <c r="AR591" s="1" t="str">
        <f t="shared" si="39"/>
        <v>| [](.md) | [疴](疴.md) |  |  | 「痾」的異體字。 |</v>
      </c>
    </row>
    <row r="592" spans="1:44" hidden="1">
      <c r="A592" s="1" t="s">
        <v>28902</v>
      </c>
      <c r="C592" s="1">
        <v>1</v>
      </c>
      <c r="D592" s="1" t="str">
        <f>"04433-1"</f>
        <v>04433-1</v>
      </c>
      <c r="E592" s="1" t="s">
        <v>11385</v>
      </c>
      <c r="F592" s="1">
        <v>8</v>
      </c>
      <c r="G592" s="1">
        <v>5</v>
      </c>
      <c r="H592" s="1">
        <v>0</v>
      </c>
      <c r="K592" s="1" t="str">
        <f t="shared" si="36"/>
        <v/>
      </c>
      <c r="L592" s="1" t="str">
        <f t="shared" si="37"/>
        <v/>
      </c>
      <c r="M592" s="1" t="str">
        <f t="shared" si="38"/>
        <v/>
      </c>
      <c r="P592" s="1" t="s">
        <v>20</v>
      </c>
      <c r="V592" s="1" t="s">
        <v>28903</v>
      </c>
      <c r="X592" s="1" t="s">
        <v>27842</v>
      </c>
      <c r="AR592" s="1" t="str">
        <f t="shared" si="39"/>
        <v>| [](.md) | [壳](壳.md) |  |  | 「殼」的異體字。 |</v>
      </c>
    </row>
    <row r="593" spans="1:44" hidden="1">
      <c r="A593" s="1" t="s">
        <v>28904</v>
      </c>
      <c r="C593" s="1">
        <v>1</v>
      </c>
      <c r="D593" s="1" t="str">
        <f>"04443-1"</f>
        <v>04443-1</v>
      </c>
      <c r="E593" s="1" t="s">
        <v>1595</v>
      </c>
      <c r="F593" s="1">
        <v>10</v>
      </c>
      <c r="G593" s="1">
        <v>7</v>
      </c>
      <c r="H593" s="1">
        <v>0</v>
      </c>
      <c r="K593" s="1" t="str">
        <f t="shared" si="36"/>
        <v/>
      </c>
      <c r="L593" s="1" t="str">
        <f t="shared" si="37"/>
        <v/>
      </c>
      <c r="M593" s="1" t="str">
        <f t="shared" si="38"/>
        <v/>
      </c>
      <c r="P593" s="1" t="s">
        <v>20</v>
      </c>
      <c r="V593" s="1" t="s">
        <v>28905</v>
      </c>
      <c r="X593" s="1" t="s">
        <v>27842</v>
      </c>
      <c r="AR593" s="1" t="str">
        <f t="shared" si="39"/>
        <v>| [](.md) | [尅](尅.md) |  |  | 「剋」的異體字。 |</v>
      </c>
    </row>
    <row r="594" spans="1:44" hidden="1">
      <c r="A594" s="1" t="s">
        <v>28906</v>
      </c>
      <c r="C594" s="1">
        <v>1</v>
      </c>
      <c r="D594" s="1" t="str">
        <f>"04447-1"</f>
        <v>04447-1</v>
      </c>
      <c r="E594" s="1" t="s">
        <v>250</v>
      </c>
      <c r="F594" s="1">
        <v>13</v>
      </c>
      <c r="G594" s="1">
        <v>9</v>
      </c>
      <c r="H594" s="1">
        <v>0</v>
      </c>
      <c r="K594" s="1" t="str">
        <f t="shared" si="36"/>
        <v/>
      </c>
      <c r="L594" s="1" t="str">
        <f t="shared" si="37"/>
        <v/>
      </c>
      <c r="M594" s="1" t="str">
        <f t="shared" si="38"/>
        <v/>
      </c>
      <c r="P594" s="1" t="s">
        <v>20</v>
      </c>
      <c r="V594" s="1" t="s">
        <v>28907</v>
      </c>
      <c r="X594" s="1" t="s">
        <v>27842</v>
      </c>
      <c r="AR594" s="1" t="str">
        <f t="shared" si="39"/>
        <v>| [](.md) | [愙](愙.md) |  |  | 「恪」的異體字。 |</v>
      </c>
    </row>
    <row r="595" spans="1:44" hidden="1">
      <c r="A595" s="1" t="s">
        <v>28908</v>
      </c>
      <c r="C595" s="1">
        <v>1</v>
      </c>
      <c r="D595" s="1" t="str">
        <f>"04466-1"</f>
        <v>04466-1</v>
      </c>
      <c r="E595" s="1" t="s">
        <v>250</v>
      </c>
      <c r="F595" s="1">
        <v>14</v>
      </c>
      <c r="G595" s="1">
        <v>11</v>
      </c>
      <c r="H595" s="1">
        <v>0</v>
      </c>
      <c r="K595" s="1" t="str">
        <f t="shared" si="36"/>
        <v/>
      </c>
      <c r="L595" s="1" t="str">
        <f t="shared" si="37"/>
        <v/>
      </c>
      <c r="M595" s="1" t="str">
        <f t="shared" si="38"/>
        <v/>
      </c>
      <c r="P595" s="1" t="s">
        <v>20</v>
      </c>
      <c r="V595" s="1" t="s">
        <v>28909</v>
      </c>
      <c r="X595" s="1" t="s">
        <v>27842</v>
      </c>
      <c r="AR595" s="1" t="str">
        <f t="shared" si="39"/>
        <v>| [](.md) | [慨](慨.md) |  |  | 「慨」的異體字。 |</v>
      </c>
    </row>
    <row r="596" spans="1:44" hidden="1">
      <c r="A596" s="1" t="s">
        <v>28910</v>
      </c>
      <c r="C596" s="1">
        <v>1</v>
      </c>
      <c r="D596" s="1" t="str">
        <f>"04467-1"</f>
        <v>04467-1</v>
      </c>
      <c r="E596" s="1" t="s">
        <v>28</v>
      </c>
      <c r="F596" s="1">
        <v>14</v>
      </c>
      <c r="G596" s="1">
        <v>11</v>
      </c>
      <c r="H596" s="1">
        <v>0</v>
      </c>
      <c r="K596" s="1" t="str">
        <f t="shared" si="36"/>
        <v/>
      </c>
      <c r="L596" s="1" t="str">
        <f t="shared" si="37"/>
        <v/>
      </c>
      <c r="M596" s="1" t="str">
        <f t="shared" si="38"/>
        <v/>
      </c>
      <c r="P596" s="1" t="s">
        <v>20</v>
      </c>
      <c r="V596" s="1" t="s">
        <v>28911</v>
      </c>
      <c r="X596" s="1" t="s">
        <v>27842</v>
      </c>
      <c r="AR596" s="1" t="str">
        <f t="shared" si="39"/>
        <v>| [](.md) | [嘅](嘅.md) |  |  | 「󺟑」的異體字。 |</v>
      </c>
    </row>
    <row r="597" spans="1:44" hidden="1">
      <c r="A597" s="1" t="s">
        <v>28912</v>
      </c>
      <c r="C597" s="1">
        <v>1</v>
      </c>
      <c r="D597" s="1" t="str">
        <f>"04479-1"</f>
        <v>04479-1</v>
      </c>
      <c r="E597" s="1" t="s">
        <v>2975</v>
      </c>
      <c r="F597" s="1">
        <v>6</v>
      </c>
      <c r="G597" s="1">
        <v>2</v>
      </c>
      <c r="H597" s="1">
        <v>0</v>
      </c>
      <c r="K597" s="1" t="str">
        <f t="shared" si="36"/>
        <v/>
      </c>
      <c r="L597" s="1" t="str">
        <f t="shared" si="37"/>
        <v/>
      </c>
      <c r="M597" s="1" t="str">
        <f t="shared" si="38"/>
        <v/>
      </c>
      <c r="P597" s="1" t="s">
        <v>20</v>
      </c>
      <c r="V597" s="1" t="s">
        <v>28913</v>
      </c>
      <c r="X597" s="1" t="s">
        <v>27842</v>
      </c>
      <c r="AR597" s="1" t="str">
        <f t="shared" si="39"/>
        <v>| [](.md) | [𦒱](𦒱.md) |  |  | 「考」的異體字。 |</v>
      </c>
    </row>
    <row r="598" spans="1:44" hidden="1">
      <c r="A598" s="1" t="s">
        <v>28914</v>
      </c>
      <c r="C598" s="1">
        <v>1</v>
      </c>
      <c r="D598" s="1" t="str">
        <f>"04496-1"</f>
        <v>04496-1</v>
      </c>
      <c r="E598" s="1" t="s">
        <v>624</v>
      </c>
      <c r="F598" s="1">
        <v>10</v>
      </c>
      <c r="G598" s="1">
        <v>7</v>
      </c>
      <c r="H598" s="1">
        <v>0</v>
      </c>
      <c r="K598" s="1" t="str">
        <f t="shared" si="36"/>
        <v/>
      </c>
      <c r="L598" s="1" t="str">
        <f t="shared" si="37"/>
        <v/>
      </c>
      <c r="M598" s="1" t="str">
        <f t="shared" si="38"/>
        <v/>
      </c>
      <c r="P598" s="1" t="s">
        <v>20</v>
      </c>
      <c r="V598" s="1" t="s">
        <v>28915</v>
      </c>
      <c r="X598" s="1" t="s">
        <v>27842</v>
      </c>
      <c r="AR598" s="1" t="str">
        <f t="shared" si="39"/>
        <v>| [](.md) | [宼](宼.md) |  |  | 「寇」的異體字。 |</v>
      </c>
    </row>
    <row r="599" spans="1:44" hidden="1">
      <c r="A599" s="1" t="s">
        <v>28916</v>
      </c>
      <c r="C599" s="1">
        <v>1</v>
      </c>
      <c r="D599" s="1" t="str">
        <f>"04497-1"</f>
        <v>04497-1</v>
      </c>
      <c r="E599" s="1" t="s">
        <v>37</v>
      </c>
      <c r="F599" s="1">
        <v>14</v>
      </c>
      <c r="G599" s="1">
        <v>10</v>
      </c>
      <c r="H599" s="1">
        <v>0</v>
      </c>
      <c r="K599" s="1" t="str">
        <f t="shared" si="36"/>
        <v/>
      </c>
      <c r="L599" s="1" t="str">
        <f t="shared" si="37"/>
        <v/>
      </c>
      <c r="M599" s="1" t="str">
        <f t="shared" si="38"/>
        <v/>
      </c>
      <c r="P599" s="1" t="s">
        <v>20</v>
      </c>
      <c r="V599" s="1" t="s">
        <v>28917</v>
      </c>
      <c r="X599" s="1" t="s">
        <v>27842</v>
      </c>
      <c r="AR599" s="1" t="str">
        <f t="shared" si="39"/>
        <v>| [](.md) | [𦸅](𦸅.md) |  |  | 「蔻」的異體字。 |</v>
      </c>
    </row>
    <row r="600" spans="1:44" hidden="1">
      <c r="A600" s="1" t="s">
        <v>28919</v>
      </c>
      <c r="C600" s="1">
        <v>1</v>
      </c>
      <c r="D600" s="1" t="str">
        <f>"04500-3"</f>
        <v>04500-3</v>
      </c>
      <c r="E600" s="1" t="s">
        <v>139</v>
      </c>
      <c r="F600" s="1">
        <v>10</v>
      </c>
      <c r="G600" s="1">
        <v>6</v>
      </c>
      <c r="H600" s="1">
        <v>0</v>
      </c>
      <c r="K600" s="1" t="str">
        <f t="shared" si="36"/>
        <v/>
      </c>
      <c r="L600" s="1" t="str">
        <f t="shared" si="37"/>
        <v/>
      </c>
      <c r="M600" s="1" t="str">
        <f t="shared" si="38"/>
        <v/>
      </c>
      <c r="P600" s="1" t="s">
        <v>20</v>
      </c>
      <c r="V600" s="1" t="s">
        <v>28918</v>
      </c>
      <c r="X600" s="1" t="s">
        <v>27842</v>
      </c>
      <c r="AR600" s="1" t="str">
        <f t="shared" si="39"/>
        <v>| [](.md) | [栞](栞.md) |  |  | 「刊」的異體字。 |</v>
      </c>
    </row>
    <row r="601" spans="1:44" hidden="1">
      <c r="A601" s="1" t="s">
        <v>28920</v>
      </c>
      <c r="C601" s="1">
        <v>1</v>
      </c>
      <c r="D601" s="1" t="str">
        <f>"04501-1"</f>
        <v>04501-1</v>
      </c>
      <c r="E601" s="1" t="s">
        <v>1015</v>
      </c>
      <c r="F601" s="1">
        <v>10</v>
      </c>
      <c r="G601" s="1">
        <v>5</v>
      </c>
      <c r="H601" s="1">
        <v>0</v>
      </c>
      <c r="K601" s="1" t="str">
        <f t="shared" si="36"/>
        <v/>
      </c>
      <c r="L601" s="1" t="str">
        <f t="shared" si="37"/>
        <v/>
      </c>
      <c r="M601" s="1" t="str">
        <f t="shared" si="38"/>
        <v/>
      </c>
      <c r="P601" s="1" t="s">
        <v>20</v>
      </c>
      <c r="V601" s="1" t="s">
        <v>28921</v>
      </c>
      <c r="X601" s="1" t="s">
        <v>27842</v>
      </c>
      <c r="AR601" s="1" t="str">
        <f t="shared" si="39"/>
        <v>| [](.md) | [㸔](㸔.md) |  |  | 「看」的異體字。 |</v>
      </c>
    </row>
    <row r="602" spans="1:44" hidden="1">
      <c r="A602" s="1" t="s">
        <v>28922</v>
      </c>
      <c r="C602" s="1">
        <v>1</v>
      </c>
      <c r="D602" s="1" t="str">
        <f>"04511-1"</f>
        <v>04511-1</v>
      </c>
      <c r="E602" s="1" t="s">
        <v>114</v>
      </c>
      <c r="F602" s="1">
        <v>11</v>
      </c>
      <c r="G602" s="1">
        <v>9</v>
      </c>
      <c r="H602" s="1">
        <v>0</v>
      </c>
      <c r="K602" s="1" t="str">
        <f t="shared" si="36"/>
        <v/>
      </c>
      <c r="L602" s="1" t="str">
        <f t="shared" si="37"/>
        <v/>
      </c>
      <c r="M602" s="1" t="str">
        <f t="shared" si="38"/>
        <v/>
      </c>
      <c r="P602" s="1" t="s">
        <v>20</v>
      </c>
      <c r="V602" s="1" t="s">
        <v>28923</v>
      </c>
      <c r="X602" s="1" t="s">
        <v>27842</v>
      </c>
      <c r="AR602" s="1" t="str">
        <f t="shared" si="39"/>
        <v>| [](.md) | [偘](偘.md) |  |  | 「侃」的異體字。 |</v>
      </c>
    </row>
    <row r="603" spans="1:44" hidden="1">
      <c r="A603" s="1" t="s">
        <v>28924</v>
      </c>
      <c r="C603" s="1">
        <v>1</v>
      </c>
      <c r="D603" s="1" t="str">
        <f>"04525-1"</f>
        <v>04525-1</v>
      </c>
      <c r="E603" s="1" t="s">
        <v>68</v>
      </c>
      <c r="F603" s="1">
        <v>6</v>
      </c>
      <c r="G603" s="1">
        <v>2</v>
      </c>
      <c r="H603" s="1">
        <v>0</v>
      </c>
      <c r="K603" s="1" t="str">
        <f t="shared" si="36"/>
        <v/>
      </c>
      <c r="L603" s="1" t="str">
        <f t="shared" si="37"/>
        <v/>
      </c>
      <c r="M603" s="1" t="str">
        <f t="shared" si="38"/>
        <v/>
      </c>
      <c r="P603" s="1" t="s">
        <v>20</v>
      </c>
      <c r="V603" s="1" t="s">
        <v>28925</v>
      </c>
      <c r="X603" s="1" t="s">
        <v>27842</v>
      </c>
      <c r="AR603" s="1" t="str">
        <f t="shared" si="39"/>
        <v>| [](.md) | [肎](肎.md) |  |  | 「肯」的異體字。 |</v>
      </c>
    </row>
    <row r="604" spans="1:44" hidden="1">
      <c r="A604" s="1" t="s">
        <v>28926</v>
      </c>
      <c r="C604" s="1">
        <v>1</v>
      </c>
      <c r="D604" s="1" t="str">
        <f>"04534-1"</f>
        <v>04534-1</v>
      </c>
      <c r="E604" s="1" t="s">
        <v>250</v>
      </c>
      <c r="F604" s="1">
        <v>7</v>
      </c>
      <c r="G604" s="1">
        <v>4</v>
      </c>
      <c r="H604" s="1">
        <v>0</v>
      </c>
      <c r="K604" s="1" t="str">
        <f t="shared" si="36"/>
        <v/>
      </c>
      <c r="L604" s="1" t="str">
        <f t="shared" si="37"/>
        <v/>
      </c>
      <c r="M604" s="1" t="str">
        <f t="shared" si="38"/>
        <v/>
      </c>
      <c r="P604" s="1" t="s">
        <v>20</v>
      </c>
      <c r="V604" s="1" t="s">
        <v>28927</v>
      </c>
      <c r="X604" s="1" t="s">
        <v>27842</v>
      </c>
      <c r="AR604" s="1" t="str">
        <f t="shared" si="39"/>
        <v>| [](.md) | [忼](忼.md) |  |  | 「慷」的異體字。 |</v>
      </c>
    </row>
    <row r="605" spans="1:44" hidden="1">
      <c r="A605" s="1" t="s">
        <v>28928</v>
      </c>
      <c r="C605" s="1">
        <v>1</v>
      </c>
      <c r="D605" s="1" t="str">
        <f>"04535-1"</f>
        <v>04535-1</v>
      </c>
      <c r="E605" s="1" t="s">
        <v>429</v>
      </c>
      <c r="F605" s="1">
        <v>16</v>
      </c>
      <c r="G605" s="1">
        <v>11</v>
      </c>
      <c r="H605" s="1">
        <v>0</v>
      </c>
      <c r="K605" s="1" t="str">
        <f t="shared" si="36"/>
        <v/>
      </c>
      <c r="L605" s="1" t="str">
        <f t="shared" si="37"/>
        <v/>
      </c>
      <c r="M605" s="1" t="str">
        <f t="shared" si="38"/>
        <v/>
      </c>
      <c r="P605" s="1" t="s">
        <v>20</v>
      </c>
      <c r="V605" s="1" t="s">
        <v>28929</v>
      </c>
      <c r="X605" s="1" t="s">
        <v>27842</v>
      </c>
      <c r="AR605" s="1" t="str">
        <f t="shared" si="39"/>
        <v>| [](.md) | [穅](穅.md) |  |  | 「糠」的異體字。 |</v>
      </c>
    </row>
    <row r="606" spans="1:44" hidden="1">
      <c r="A606" s="1" t="s">
        <v>28930</v>
      </c>
      <c r="C606" s="1">
        <v>1</v>
      </c>
      <c r="D606" s="1" t="str">
        <f>"04553-1"</f>
        <v>04553-1</v>
      </c>
      <c r="E606" s="1" t="s">
        <v>169</v>
      </c>
      <c r="F606" s="1">
        <v>16</v>
      </c>
      <c r="G606" s="1">
        <v>11</v>
      </c>
      <c r="H606" s="1">
        <v>0</v>
      </c>
      <c r="K606" s="1" t="str">
        <f t="shared" si="36"/>
        <v/>
      </c>
      <c r="L606" s="1" t="str">
        <f t="shared" si="37"/>
        <v/>
      </c>
      <c r="M606" s="1" t="str">
        <f t="shared" si="38"/>
        <v/>
      </c>
      <c r="P606" s="1" t="s">
        <v>20</v>
      </c>
      <c r="V606" s="1" t="s">
        <v>28931</v>
      </c>
      <c r="X606" s="1" t="s">
        <v>27842</v>
      </c>
      <c r="AR606" s="1" t="str">
        <f t="shared" si="39"/>
        <v>| [](.md) | [䃘](䃘.md) |  |  | 「硜」的異體字。 |</v>
      </c>
    </row>
    <row r="607" spans="1:44" hidden="1">
      <c r="A607" s="1" t="s">
        <v>28932</v>
      </c>
      <c r="C607" s="1">
        <v>1</v>
      </c>
      <c r="D607" s="1" t="str">
        <f>"04568-1"</f>
        <v>04568-1</v>
      </c>
      <c r="E607" s="1" t="s">
        <v>340</v>
      </c>
      <c r="F607" s="1">
        <v>12</v>
      </c>
      <c r="G607" s="1">
        <v>6</v>
      </c>
      <c r="H607" s="1">
        <v>0</v>
      </c>
      <c r="K607" s="1" t="str">
        <f t="shared" si="36"/>
        <v/>
      </c>
      <c r="L607" s="1" t="str">
        <f t="shared" si="37"/>
        <v/>
      </c>
      <c r="M607" s="1" t="str">
        <f t="shared" si="38"/>
        <v/>
      </c>
      <c r="P607" s="1" t="s">
        <v>20</v>
      </c>
      <c r="V607" s="1" t="s">
        <v>28933</v>
      </c>
      <c r="X607" s="1" t="s">
        <v>27842</v>
      </c>
      <c r="AR607" s="1" t="str">
        <f t="shared" si="39"/>
        <v>| [](.md) | [袴](袴.md) |  |  | 「褲」的異體字。 |</v>
      </c>
    </row>
    <row r="608" spans="1:44" hidden="1">
      <c r="A608" s="1" t="s">
        <v>28934</v>
      </c>
      <c r="C608" s="1">
        <v>1</v>
      </c>
      <c r="D608" s="1" t="str">
        <f>"04568-2"</f>
        <v>04568-2</v>
      </c>
      <c r="E608" s="1" t="s">
        <v>725</v>
      </c>
      <c r="F608" s="1">
        <v>12</v>
      </c>
      <c r="G608" s="1">
        <v>6</v>
      </c>
      <c r="H608" s="1">
        <v>0</v>
      </c>
      <c r="K608" s="1" t="str">
        <f t="shared" si="36"/>
        <v/>
      </c>
      <c r="L608" s="1" t="str">
        <f t="shared" si="37"/>
        <v/>
      </c>
      <c r="M608" s="1" t="str">
        <f t="shared" si="38"/>
        <v/>
      </c>
      <c r="P608" s="1" t="s">
        <v>20</v>
      </c>
      <c r="V608" s="1" t="s">
        <v>28933</v>
      </c>
      <c r="X608" s="1" t="s">
        <v>27842</v>
      </c>
      <c r="AR608" s="1" t="str">
        <f t="shared" si="39"/>
        <v>| [](.md) | [絝](絝.md) |  |  | 「褲」的異體字。 |</v>
      </c>
    </row>
    <row r="609" spans="1:44" hidden="1">
      <c r="A609" s="1" t="s">
        <v>28935</v>
      </c>
      <c r="C609" s="1">
        <v>1</v>
      </c>
      <c r="D609" s="1" t="str">
        <f>"04583-1"</f>
        <v>04583-1</v>
      </c>
      <c r="E609" s="1" t="s">
        <v>129</v>
      </c>
      <c r="F609" s="1">
        <v>17</v>
      </c>
      <c r="G609" s="1">
        <v>14</v>
      </c>
      <c r="H609" s="1">
        <v>0</v>
      </c>
      <c r="K609" s="1" t="str">
        <f t="shared" si="36"/>
        <v/>
      </c>
      <c r="L609" s="1" t="str">
        <f t="shared" si="37"/>
        <v/>
      </c>
      <c r="M609" s="1" t="str">
        <f t="shared" si="38"/>
        <v/>
      </c>
      <c r="P609" s="1" t="s">
        <v>20</v>
      </c>
      <c r="V609" s="1" t="s">
        <v>28936</v>
      </c>
      <c r="X609" s="1" t="s">
        <v>27842</v>
      </c>
      <c r="AR609" s="1" t="str">
        <f t="shared" si="39"/>
        <v>| [](.md) | [濶](濶.md) |  |  | 「闊」的異體字。 |</v>
      </c>
    </row>
    <row r="610" spans="1:44" hidden="1">
      <c r="A610" s="1" t="s">
        <v>28937</v>
      </c>
      <c r="C610" s="1">
        <v>1</v>
      </c>
      <c r="D610" s="1" t="str">
        <f>"04586-1"</f>
        <v>04586-1</v>
      </c>
      <c r="E610" s="1" t="s">
        <v>96</v>
      </c>
      <c r="F610" s="1">
        <v>17</v>
      </c>
      <c r="G610" s="1">
        <v>8</v>
      </c>
      <c r="H610" s="1">
        <v>0</v>
      </c>
      <c r="K610" s="1" t="str">
        <f t="shared" si="36"/>
        <v/>
      </c>
      <c r="L610" s="1" t="str">
        <f t="shared" si="37"/>
        <v/>
      </c>
      <c r="M610" s="1" t="str">
        <f t="shared" si="38"/>
        <v/>
      </c>
      <c r="P610" s="1" t="s">
        <v>20</v>
      </c>
      <c r="V610" s="1" t="s">
        <v>28938</v>
      </c>
      <c r="X610" s="1" t="s">
        <v>27842</v>
      </c>
      <c r="AR610" s="1" t="str">
        <f t="shared" si="39"/>
        <v>| [](.md) | [鞟](鞟.md) |  |  | 「鞹」的異體字。 |</v>
      </c>
    </row>
    <row r="611" spans="1:44" hidden="1">
      <c r="A611" s="1" t="s">
        <v>28939</v>
      </c>
      <c r="C611" s="1">
        <v>1</v>
      </c>
      <c r="D611" s="1" t="str">
        <f>"04587-1"</f>
        <v>04587-1</v>
      </c>
      <c r="E611" s="1" t="s">
        <v>103</v>
      </c>
      <c r="F611" s="1">
        <v>18</v>
      </c>
      <c r="G611" s="1">
        <v>15</v>
      </c>
      <c r="H611" s="1">
        <v>0</v>
      </c>
      <c r="K611" s="1" t="str">
        <f t="shared" si="36"/>
        <v/>
      </c>
      <c r="L611" s="1" t="str">
        <f t="shared" si="37"/>
        <v/>
      </c>
      <c r="M611" s="1" t="str">
        <f t="shared" si="38"/>
        <v/>
      </c>
      <c r="P611" s="1" t="s">
        <v>20</v>
      </c>
      <c r="V611" s="1" t="s">
        <v>28940</v>
      </c>
      <c r="X611" s="1" t="s">
        <v>27842</v>
      </c>
      <c r="AR611" s="1" t="str">
        <f t="shared" si="39"/>
        <v>| [](.md) | [彍](彍.md) |  |  | 「彉」的異體字。 |</v>
      </c>
    </row>
    <row r="612" spans="1:44" hidden="1">
      <c r="A612" s="1" t="s">
        <v>28941</v>
      </c>
      <c r="C612" s="1">
        <v>1</v>
      </c>
      <c r="D612" s="1" t="str">
        <f>"04596-1"</f>
        <v>04596-1</v>
      </c>
      <c r="E612" s="1" t="s">
        <v>5293</v>
      </c>
      <c r="F612" s="1">
        <v>5</v>
      </c>
      <c r="G612" s="1">
        <v>3</v>
      </c>
      <c r="H612" s="1">
        <v>0</v>
      </c>
      <c r="K612" s="1" t="str">
        <f t="shared" si="36"/>
        <v/>
      </c>
      <c r="L612" s="1" t="str">
        <f t="shared" si="37"/>
        <v/>
      </c>
      <c r="M612" s="1" t="str">
        <f t="shared" si="38"/>
        <v/>
      </c>
      <c r="P612" s="1" t="s">
        <v>20</v>
      </c>
      <c r="V612" s="1" t="s">
        <v>28942</v>
      </c>
      <c r="X612" s="1" t="s">
        <v>27842</v>
      </c>
      <c r="AR612" s="1" t="str">
        <f t="shared" si="39"/>
        <v>| [](.md) | [凷](凷.md) |  |  | 「塊」的異體字。 |</v>
      </c>
    </row>
    <row r="613" spans="1:44" hidden="1">
      <c r="A613" s="1" t="s">
        <v>28943</v>
      </c>
      <c r="C613" s="1">
        <v>1</v>
      </c>
      <c r="D613" s="1" t="str">
        <f>"04596-2"</f>
        <v>04596-2</v>
      </c>
      <c r="E613" s="1" t="s">
        <v>132</v>
      </c>
      <c r="F613" s="1">
        <v>7</v>
      </c>
      <c r="G613" s="1">
        <v>4</v>
      </c>
      <c r="H613" s="1">
        <v>0</v>
      </c>
      <c r="K613" s="1" t="str">
        <f t="shared" si="36"/>
        <v/>
      </c>
      <c r="L613" s="1" t="str">
        <f t="shared" si="37"/>
        <v/>
      </c>
      <c r="M613" s="1" t="str">
        <f t="shared" si="38"/>
        <v/>
      </c>
      <c r="P613" s="1" t="s">
        <v>20</v>
      </c>
      <c r="V613" s="1" t="s">
        <v>28942</v>
      </c>
      <c r="X613" s="1" t="s">
        <v>27842</v>
      </c>
      <c r="AR613" s="1" t="str">
        <f t="shared" si="39"/>
        <v>| [](.md) | [块](块.md) |  |  | 「塊」的異體字。 |</v>
      </c>
    </row>
    <row r="614" spans="1:44" hidden="1">
      <c r="A614" s="1" t="s">
        <v>28944</v>
      </c>
      <c r="C614" s="1">
        <v>1</v>
      </c>
      <c r="D614" s="1" t="str">
        <f>"04598-1"</f>
        <v>04598-1</v>
      </c>
      <c r="E614" s="1" t="s">
        <v>114</v>
      </c>
      <c r="F614" s="1">
        <v>8</v>
      </c>
      <c r="G614" s="1">
        <v>6</v>
      </c>
      <c r="H614" s="1">
        <v>0</v>
      </c>
      <c r="K614" s="1" t="str">
        <f t="shared" si="36"/>
        <v/>
      </c>
      <c r="L614" s="1" t="str">
        <f t="shared" si="37"/>
        <v/>
      </c>
      <c r="M614" s="1" t="str">
        <f t="shared" si="38"/>
        <v/>
      </c>
      <c r="P614" s="1" t="s">
        <v>20</v>
      </c>
      <c r="V614" s="1" t="s">
        <v>28945</v>
      </c>
      <c r="X614" s="1" t="s">
        <v>27842</v>
      </c>
      <c r="AR614" s="1" t="str">
        <f t="shared" si="39"/>
        <v>| [](.md) | [侩](侩.md) |  |  | 「儈」的異體字。 |</v>
      </c>
    </row>
    <row r="615" spans="1:44" hidden="1">
      <c r="A615" s="1" t="s">
        <v>28946</v>
      </c>
      <c r="C615" s="1">
        <v>1</v>
      </c>
      <c r="D615" s="1" t="str">
        <f>"04604-1"</f>
        <v>04604-1</v>
      </c>
      <c r="E615" s="1" t="s">
        <v>198</v>
      </c>
      <c r="F615" s="1">
        <v>9</v>
      </c>
      <c r="G615" s="1">
        <v>6</v>
      </c>
      <c r="H615" s="1">
        <v>0</v>
      </c>
      <c r="K615" s="1" t="str">
        <f t="shared" si="36"/>
        <v/>
      </c>
      <c r="L615" s="1" t="str">
        <f t="shared" si="37"/>
        <v/>
      </c>
      <c r="M615" s="1" t="str">
        <f t="shared" si="38"/>
        <v/>
      </c>
      <c r="P615" s="1" t="s">
        <v>20</v>
      </c>
      <c r="V615" s="1" t="s">
        <v>28947</v>
      </c>
      <c r="X615" s="1" t="s">
        <v>27842</v>
      </c>
      <c r="AR615" s="1" t="str">
        <f t="shared" si="39"/>
        <v>| [](.md) | [狯](狯.md) |  |  | 「獪」的異體字。 |</v>
      </c>
    </row>
    <row r="616" spans="1:44" hidden="1">
      <c r="A616" s="1" t="s">
        <v>28948</v>
      </c>
      <c r="C616" s="1">
        <v>1</v>
      </c>
      <c r="D616" s="1" t="str">
        <f>"04606-1"</f>
        <v>04606-1</v>
      </c>
      <c r="E616" s="1" t="s">
        <v>68</v>
      </c>
      <c r="F616" s="1">
        <v>10</v>
      </c>
      <c r="G616" s="1">
        <v>6</v>
      </c>
      <c r="H616" s="1">
        <v>0</v>
      </c>
      <c r="K616" s="1" t="str">
        <f t="shared" si="36"/>
        <v/>
      </c>
      <c r="L616" s="1" t="str">
        <f t="shared" si="37"/>
        <v/>
      </c>
      <c r="M616" s="1" t="str">
        <f t="shared" si="38"/>
        <v/>
      </c>
      <c r="P616" s="1" t="s">
        <v>20</v>
      </c>
      <c r="V616" s="1" t="s">
        <v>28949</v>
      </c>
      <c r="X616" s="1" t="s">
        <v>27842</v>
      </c>
      <c r="AR616" s="1" t="str">
        <f t="shared" si="39"/>
        <v>| [](.md) | [脍](脍.md) |  |  | 「膾」的異體字。 |</v>
      </c>
    </row>
    <row r="617" spans="1:44" hidden="1">
      <c r="A617" s="1" t="s">
        <v>28950</v>
      </c>
      <c r="C617" s="1">
        <v>1</v>
      </c>
      <c r="D617" s="1" t="str">
        <f>"04638-1"</f>
        <v>04638-1</v>
      </c>
      <c r="E617" s="1" t="s">
        <v>534</v>
      </c>
      <c r="F617" s="1">
        <v>13</v>
      </c>
      <c r="G617" s="1">
        <v>10</v>
      </c>
      <c r="H617" s="1">
        <v>0</v>
      </c>
      <c r="K617" s="1" t="str">
        <f t="shared" si="36"/>
        <v/>
      </c>
      <c r="L617" s="1" t="str">
        <f t="shared" si="37"/>
        <v/>
      </c>
      <c r="M617" s="1" t="str">
        <f t="shared" si="38"/>
        <v/>
      </c>
      <c r="P617" s="1" t="s">
        <v>20</v>
      </c>
      <c r="V617" s="1" t="s">
        <v>28951</v>
      </c>
      <c r="X617" s="1" t="s">
        <v>27842</v>
      </c>
      <c r="AR617" s="1" t="str">
        <f t="shared" si="39"/>
        <v>| [](.md) | [媿](媿.md) |  |  | 「愧」的異體字。 |</v>
      </c>
    </row>
    <row r="618" spans="1:44" hidden="1">
      <c r="A618" s="1" t="s">
        <v>28952</v>
      </c>
      <c r="C618" s="1">
        <v>1</v>
      </c>
      <c r="D618" s="1" t="str">
        <f>"04649-1"</f>
        <v>04649-1</v>
      </c>
      <c r="E618" s="1" t="s">
        <v>624</v>
      </c>
      <c r="F618" s="1">
        <v>13</v>
      </c>
      <c r="G618" s="1">
        <v>11</v>
      </c>
      <c r="H618" s="1">
        <v>0</v>
      </c>
      <c r="K618" s="1" t="str">
        <f t="shared" si="36"/>
        <v/>
      </c>
      <c r="L618" s="1" t="str">
        <f t="shared" si="37"/>
        <v/>
      </c>
      <c r="M618" s="1" t="str">
        <f t="shared" si="38"/>
        <v/>
      </c>
      <c r="P618" s="1" t="s">
        <v>20</v>
      </c>
      <c r="V618" s="1" t="s">
        <v>28953</v>
      </c>
      <c r="X618" s="1" t="s">
        <v>27842</v>
      </c>
      <c r="AR618" s="1" t="str">
        <f t="shared" si="39"/>
        <v>| [](.md) | [󹤝](󹤝.md) |  |  | 「寬」的異體字。 |</v>
      </c>
    </row>
    <row r="619" spans="1:44" hidden="1">
      <c r="A619" s="1" t="s">
        <v>28954</v>
      </c>
      <c r="C619" s="1">
        <v>1</v>
      </c>
      <c r="D619" s="1" t="str">
        <f>"04653-1"</f>
        <v>04653-1</v>
      </c>
      <c r="E619" s="1" t="s">
        <v>1908</v>
      </c>
      <c r="F619" s="1">
        <v>11</v>
      </c>
      <c r="G619" s="1">
        <v>7</v>
      </c>
      <c r="H619" s="1">
        <v>0</v>
      </c>
      <c r="K619" s="1" t="str">
        <f t="shared" si="36"/>
        <v/>
      </c>
      <c r="L619" s="1" t="str">
        <f t="shared" si="37"/>
        <v/>
      </c>
      <c r="M619" s="1" t="str">
        <f t="shared" si="38"/>
        <v/>
      </c>
      <c r="P619" s="1" t="s">
        <v>20</v>
      </c>
      <c r="V619" s="1" t="s">
        <v>28955</v>
      </c>
      <c r="X619" s="1" t="s">
        <v>27842</v>
      </c>
      <c r="AR619" s="1" t="str">
        <f t="shared" si="39"/>
        <v>| [](.md) | [欵](欵.md) |  |  | 「款」的異體字。 |</v>
      </c>
    </row>
    <row r="620" spans="1:44" hidden="1">
      <c r="A620" s="1" t="s">
        <v>28956</v>
      </c>
      <c r="C620" s="1">
        <v>1</v>
      </c>
      <c r="D620" s="1" t="str">
        <f>"04653-2"</f>
        <v>04653-2</v>
      </c>
      <c r="E620" s="1" t="s">
        <v>1908</v>
      </c>
      <c r="F620" s="1">
        <v>13</v>
      </c>
      <c r="G620" s="1">
        <v>9</v>
      </c>
      <c r="H620" s="1">
        <v>0</v>
      </c>
      <c r="K620" s="1" t="str">
        <f t="shared" si="36"/>
        <v/>
      </c>
      <c r="L620" s="1" t="str">
        <f t="shared" si="37"/>
        <v/>
      </c>
      <c r="M620" s="1" t="str">
        <f t="shared" si="38"/>
        <v/>
      </c>
      <c r="P620" s="1" t="s">
        <v>20</v>
      </c>
      <c r="V620" s="1" t="s">
        <v>28955</v>
      </c>
      <c r="X620" s="1" t="s">
        <v>27842</v>
      </c>
      <c r="AR620" s="1" t="str">
        <f t="shared" si="39"/>
        <v>| [](.md) | [歀](歀.md) |  |  | 「款」的異體字。 |</v>
      </c>
    </row>
    <row r="621" spans="1:44" hidden="1">
      <c r="A621" s="1" t="s">
        <v>28957</v>
      </c>
      <c r="C621" s="1">
        <v>1</v>
      </c>
      <c r="D621" s="1" t="str">
        <f>"04655-1"</f>
        <v>04655-1</v>
      </c>
      <c r="E621" s="1" t="s">
        <v>132</v>
      </c>
      <c r="F621" s="1">
        <v>11</v>
      </c>
      <c r="G621" s="1">
        <v>8</v>
      </c>
      <c r="H621" s="1">
        <v>0</v>
      </c>
      <c r="K621" s="1" t="str">
        <f t="shared" si="36"/>
        <v/>
      </c>
      <c r="L621" s="1" t="str">
        <f t="shared" si="37"/>
        <v/>
      </c>
      <c r="M621" s="1" t="str">
        <f t="shared" si="38"/>
        <v/>
      </c>
      <c r="P621" s="1" t="s">
        <v>20</v>
      </c>
      <c r="V621" s="1" t="s">
        <v>28958</v>
      </c>
      <c r="X621" s="1" t="s">
        <v>27842</v>
      </c>
      <c r="AR621" s="1" t="str">
        <f t="shared" si="39"/>
        <v>| [](.md) | [堃](堃.md) |  |  | 「坤」的異體字。 |</v>
      </c>
    </row>
    <row r="622" spans="1:44" hidden="1">
      <c r="A622" s="1" t="s">
        <v>28959</v>
      </c>
      <c r="C622" s="1">
        <v>1</v>
      </c>
      <c r="D622" s="1" t="str">
        <f>"04658-1"</f>
        <v>04658-1</v>
      </c>
      <c r="E622" s="1" t="s">
        <v>190</v>
      </c>
      <c r="F622" s="1">
        <v>11</v>
      </c>
      <c r="G622" s="1">
        <v>8</v>
      </c>
      <c r="H622" s="1">
        <v>0</v>
      </c>
      <c r="K622" s="1" t="str">
        <f t="shared" si="36"/>
        <v/>
      </c>
      <c r="L622" s="1" t="str">
        <f t="shared" si="37"/>
        <v/>
      </c>
      <c r="M622" s="1" t="str">
        <f t="shared" si="38"/>
        <v/>
      </c>
      <c r="P622" s="1" t="s">
        <v>20</v>
      </c>
      <c r="V622" s="1" t="s">
        <v>28960</v>
      </c>
      <c r="X622" s="1" t="s">
        <v>27842</v>
      </c>
      <c r="AR622" s="1" t="str">
        <f t="shared" si="39"/>
        <v>| [](.md) | [崐](崐.md) |  |  | 「崑」的異體字。 |</v>
      </c>
    </row>
    <row r="623" spans="1:44" hidden="1">
      <c r="A623" s="1" t="s">
        <v>28961</v>
      </c>
      <c r="C623" s="1">
        <v>1</v>
      </c>
      <c r="D623" s="1" t="str">
        <f>"04666-1"</f>
        <v>04666-1</v>
      </c>
      <c r="E623" s="1" t="s">
        <v>1078</v>
      </c>
      <c r="F623" s="1">
        <v>12</v>
      </c>
      <c r="G623" s="1">
        <v>2</v>
      </c>
      <c r="H623" s="1">
        <v>0</v>
      </c>
      <c r="K623" s="1" t="str">
        <f t="shared" si="36"/>
        <v/>
      </c>
      <c r="L623" s="1" t="str">
        <f t="shared" si="37"/>
        <v/>
      </c>
      <c r="M623" s="1" t="str">
        <f t="shared" si="38"/>
        <v/>
      </c>
      <c r="P623" s="1" t="s">
        <v>20</v>
      </c>
      <c r="V623" s="1" t="s">
        <v>28962</v>
      </c>
      <c r="X623" s="1" t="s">
        <v>27842</v>
      </c>
      <c r="AR623" s="1" t="str">
        <f t="shared" si="39"/>
        <v>| [](.md) | [髠](髠.md) |  |  | 「髡」的異體字。 |</v>
      </c>
    </row>
    <row r="624" spans="1:44" hidden="1">
      <c r="A624" s="1" t="s">
        <v>28963</v>
      </c>
      <c r="C624" s="1">
        <v>1</v>
      </c>
      <c r="D624" s="1" t="str">
        <f>"04667-1"</f>
        <v>04667-1</v>
      </c>
      <c r="E624" s="1" t="s">
        <v>222</v>
      </c>
      <c r="F624" s="1">
        <v>12</v>
      </c>
      <c r="G624" s="1">
        <v>9</v>
      </c>
      <c r="H624" s="1">
        <v>0</v>
      </c>
      <c r="K624" s="1" t="str">
        <f t="shared" si="36"/>
        <v/>
      </c>
      <c r="L624" s="1" t="str">
        <f t="shared" si="37"/>
        <v/>
      </c>
      <c r="M624" s="1" t="str">
        <f t="shared" si="38"/>
        <v/>
      </c>
      <c r="P624" s="1" t="s">
        <v>20</v>
      </c>
      <c r="V624" s="1" t="s">
        <v>28964</v>
      </c>
      <c r="X624" s="1" t="s">
        <v>27842</v>
      </c>
      <c r="AR624" s="1" t="str">
        <f t="shared" si="39"/>
        <v>| [](.md) | [㡓](㡓.md) |  |  | 「褌」的異體字。 |</v>
      </c>
    </row>
    <row r="625" spans="1:44" hidden="1">
      <c r="A625" s="1" t="s">
        <v>28965</v>
      </c>
      <c r="C625" s="1">
        <v>1</v>
      </c>
      <c r="D625" s="1" t="str">
        <f>"04667-2"</f>
        <v>04667-2</v>
      </c>
      <c r="E625" s="1" t="s">
        <v>340</v>
      </c>
      <c r="F625" s="1">
        <v>14</v>
      </c>
      <c r="G625" s="1">
        <v>8</v>
      </c>
      <c r="H625" s="1">
        <v>0</v>
      </c>
      <c r="K625" s="1" t="str">
        <f t="shared" si="36"/>
        <v/>
      </c>
      <c r="L625" s="1" t="str">
        <f t="shared" si="37"/>
        <v/>
      </c>
      <c r="M625" s="1" t="str">
        <f t="shared" si="38"/>
        <v/>
      </c>
      <c r="P625" s="1" t="s">
        <v>20</v>
      </c>
      <c r="V625" s="1" t="s">
        <v>28964</v>
      </c>
      <c r="X625" s="1" t="s">
        <v>27842</v>
      </c>
      <c r="AR625" s="1" t="str">
        <f t="shared" si="39"/>
        <v>| [](.md) | [裩](裩.md) |  |  | 「褌」的異體字。 |</v>
      </c>
    </row>
    <row r="626" spans="1:44" hidden="1">
      <c r="A626" s="1" t="s">
        <v>28966</v>
      </c>
      <c r="C626" s="1">
        <v>1</v>
      </c>
      <c r="D626" s="1" t="str">
        <f>"04688-1"</f>
        <v>04688-1</v>
      </c>
      <c r="E626" s="1" t="s">
        <v>1381</v>
      </c>
      <c r="F626" s="1">
        <v>7</v>
      </c>
      <c r="G626" s="1">
        <v>5</v>
      </c>
      <c r="H626" s="1">
        <v>0</v>
      </c>
      <c r="K626" s="1" t="str">
        <f t="shared" si="36"/>
        <v/>
      </c>
      <c r="L626" s="1" t="str">
        <f t="shared" si="37"/>
        <v/>
      </c>
      <c r="M626" s="1" t="str">
        <f t="shared" si="38"/>
        <v/>
      </c>
      <c r="P626" s="1" t="s">
        <v>20</v>
      </c>
      <c r="V626" s="1" t="s">
        <v>28967</v>
      </c>
      <c r="X626" s="1" t="s">
        <v>27842</v>
      </c>
      <c r="AR626" s="1" t="str">
        <f t="shared" si="39"/>
        <v>| [](.md) | [况](况.md) |  |  | 「況」的異體字。 |</v>
      </c>
    </row>
    <row r="627" spans="1:44" hidden="1">
      <c r="A627" s="1" t="s">
        <v>28968</v>
      </c>
      <c r="C627" s="1">
        <v>1</v>
      </c>
      <c r="D627" s="1" t="str">
        <f>"04695-1"</f>
        <v>04695-1</v>
      </c>
      <c r="E627" s="1" t="s">
        <v>646</v>
      </c>
      <c r="F627" s="1">
        <v>7</v>
      </c>
      <c r="G627" s="1">
        <v>3</v>
      </c>
      <c r="H627" s="1">
        <v>0</v>
      </c>
      <c r="K627" s="1" t="str">
        <f t="shared" si="36"/>
        <v/>
      </c>
      <c r="L627" s="1" t="str">
        <f t="shared" si="37"/>
        <v/>
      </c>
      <c r="M627" s="1" t="str">
        <f t="shared" si="38"/>
        <v/>
      </c>
      <c r="P627" s="1" t="s">
        <v>20</v>
      </c>
      <c r="V627" s="1" t="s">
        <v>28969</v>
      </c>
      <c r="X627" s="1" t="s">
        <v>27842</v>
      </c>
      <c r="AR627" s="1" t="str">
        <f t="shared" si="39"/>
        <v>| [](.md) | [旷](旷.md) |  |  | 「曠」的異體字。 |</v>
      </c>
    </row>
    <row r="628" spans="1:44" hidden="1">
      <c r="A628" s="1" t="s">
        <v>28970</v>
      </c>
      <c r="C628" s="1">
        <v>1</v>
      </c>
      <c r="D628" s="1" t="str">
        <f>"04715-1"</f>
        <v>04715-1</v>
      </c>
      <c r="E628" s="1" t="s">
        <v>679</v>
      </c>
      <c r="F628" s="1">
        <v>9</v>
      </c>
      <c r="G628" s="1">
        <v>3</v>
      </c>
      <c r="H628" s="1">
        <v>0</v>
      </c>
      <c r="K628" s="1" t="str">
        <f t="shared" si="36"/>
        <v/>
      </c>
      <c r="L628" s="1" t="str">
        <f t="shared" si="37"/>
        <v/>
      </c>
      <c r="M628" s="1" t="str">
        <f t="shared" si="38"/>
        <v/>
      </c>
      <c r="P628" s="1" t="s">
        <v>20</v>
      </c>
      <c r="V628" s="1" t="s">
        <v>28971</v>
      </c>
      <c r="X628" s="1" t="s">
        <v>27842</v>
      </c>
      <c r="AR628" s="1" t="str">
        <f t="shared" si="39"/>
        <v>| [](.md) | [虾](虾.md) |  |  | 「蝦」的異體字。 |</v>
      </c>
    </row>
    <row r="629" spans="1:44" hidden="1">
      <c r="A629" s="1" t="s">
        <v>28972</v>
      </c>
      <c r="C629" s="1">
        <v>1</v>
      </c>
      <c r="D629" s="1" t="str">
        <f>"04721-1"</f>
        <v>04721-1</v>
      </c>
      <c r="E629" s="1" t="s">
        <v>28</v>
      </c>
      <c r="F629" s="1">
        <v>8</v>
      </c>
      <c r="G629" s="1">
        <v>5</v>
      </c>
      <c r="H629" s="1">
        <v>0</v>
      </c>
      <c r="K629" s="1" t="str">
        <f t="shared" si="36"/>
        <v/>
      </c>
      <c r="L629" s="1" t="str">
        <f t="shared" si="37"/>
        <v/>
      </c>
      <c r="M629" s="1" t="str">
        <f t="shared" si="38"/>
        <v/>
      </c>
      <c r="P629" s="1" t="s">
        <v>20</v>
      </c>
      <c r="V629" s="1" t="s">
        <v>28973</v>
      </c>
      <c r="X629" s="1" t="s">
        <v>27842</v>
      </c>
      <c r="AR629" s="1" t="str">
        <f t="shared" si="39"/>
        <v>| [](.md) | [咊](咊.md) |  |  | 「和」的異體字。 |</v>
      </c>
    </row>
    <row r="630" spans="1:44" hidden="1">
      <c r="A630" s="1" t="s">
        <v>28974</v>
      </c>
      <c r="C630" s="1">
        <v>1</v>
      </c>
      <c r="D630" s="1" t="str">
        <f>"04744-1"</f>
        <v>04744-1</v>
      </c>
      <c r="E630" s="1" t="s">
        <v>624</v>
      </c>
      <c r="F630" s="1">
        <v>10</v>
      </c>
      <c r="G630" s="1">
        <v>7</v>
      </c>
      <c r="H630" s="1">
        <v>0</v>
      </c>
      <c r="K630" s="1" t="str">
        <f t="shared" si="36"/>
        <v/>
      </c>
      <c r="L630" s="1" t="str">
        <f t="shared" si="37"/>
        <v/>
      </c>
      <c r="M630" s="1" t="str">
        <f t="shared" si="38"/>
        <v/>
      </c>
      <c r="P630" s="1" t="s">
        <v>20</v>
      </c>
      <c r="V630" s="1" t="s">
        <v>28975</v>
      </c>
      <c r="X630" s="1" t="s">
        <v>27842</v>
      </c>
      <c r="AR630" s="1" t="str">
        <f t="shared" si="39"/>
        <v>| [](.md) | [󱙗](󱙗.md) |  |  | 「害」的異體字。 |</v>
      </c>
    </row>
    <row r="631" spans="1:44" hidden="1">
      <c r="A631" s="1" t="s">
        <v>28976</v>
      </c>
      <c r="C631" s="1">
        <v>1</v>
      </c>
      <c r="D631" s="1" t="str">
        <f>"04745-1"</f>
        <v>04745-1</v>
      </c>
      <c r="E631" s="1" t="s">
        <v>438</v>
      </c>
      <c r="F631" s="1">
        <v>9</v>
      </c>
      <c r="G631" s="1">
        <v>4</v>
      </c>
      <c r="H631" s="1">
        <v>0</v>
      </c>
      <c r="K631" s="1" t="str">
        <f t="shared" si="36"/>
        <v/>
      </c>
      <c r="L631" s="1" t="str">
        <f t="shared" si="37"/>
        <v/>
      </c>
      <c r="M631" s="1" t="str">
        <f t="shared" si="38"/>
        <v/>
      </c>
      <c r="P631" s="1" t="s">
        <v>20</v>
      </c>
      <c r="V631" s="1" t="s">
        <v>28977</v>
      </c>
      <c r="X631" s="1" t="s">
        <v>27842</v>
      </c>
      <c r="AR631" s="1" t="str">
        <f t="shared" si="39"/>
        <v>| [](.md) | [盇](盇.md) |  |  | 「盍」的異體字。 |</v>
      </c>
    </row>
    <row r="632" spans="1:44" hidden="1">
      <c r="A632" s="1" t="s">
        <v>28978</v>
      </c>
      <c r="C632" s="1">
        <v>1</v>
      </c>
      <c r="D632" s="1" t="str">
        <f>"04790-1"</f>
        <v>04790-1</v>
      </c>
      <c r="E632" s="1" t="s">
        <v>28</v>
      </c>
      <c r="F632" s="1">
        <v>5</v>
      </c>
      <c r="G632" s="1">
        <v>2</v>
      </c>
      <c r="H632" s="1">
        <v>0</v>
      </c>
      <c r="K632" s="1" t="str">
        <f t="shared" si="36"/>
        <v/>
      </c>
      <c r="L632" s="1" t="str">
        <f t="shared" si="37"/>
        <v/>
      </c>
      <c r="M632" s="1" t="str">
        <f t="shared" si="38"/>
        <v/>
      </c>
      <c r="P632" s="1" t="s">
        <v>20</v>
      </c>
      <c r="V632" s="1" t="s">
        <v>28979</v>
      </c>
      <c r="X632" s="1" t="s">
        <v>27842</v>
      </c>
      <c r="AR632" s="1" t="str">
        <f t="shared" si="39"/>
        <v>| [](.md) | [号](号.md) |  |  | 「號」的異體字。 |</v>
      </c>
    </row>
    <row r="633" spans="1:44" hidden="1">
      <c r="A633" s="1" t="s">
        <v>28980</v>
      </c>
      <c r="C633" s="1">
        <v>1</v>
      </c>
      <c r="D633" s="1" t="str">
        <f>"04792-1"</f>
        <v>04792-1</v>
      </c>
      <c r="E633" s="1" t="s">
        <v>52</v>
      </c>
      <c r="F633" s="1">
        <v>15</v>
      </c>
      <c r="G633" s="1">
        <v>8</v>
      </c>
      <c r="H633" s="1">
        <v>0</v>
      </c>
      <c r="K633" s="1" t="str">
        <f t="shared" si="36"/>
        <v/>
      </c>
      <c r="L633" s="1" t="str">
        <f t="shared" si="37"/>
        <v/>
      </c>
      <c r="M633" s="1" t="str">
        <f t="shared" si="38"/>
        <v/>
      </c>
      <c r="P633" s="1" t="s">
        <v>20</v>
      </c>
      <c r="V633" s="1" t="s">
        <v>28981</v>
      </c>
      <c r="X633" s="1" t="s">
        <v>27842</v>
      </c>
      <c r="AR633" s="1" t="str">
        <f t="shared" si="39"/>
        <v>| [](.md) | [󹢝](󹢝.md) |  |  | 「豪」的異體字。 |</v>
      </c>
    </row>
    <row r="634" spans="1:44" hidden="1">
      <c r="A634" s="1" t="s">
        <v>28982</v>
      </c>
      <c r="C634" s="1">
        <v>1</v>
      </c>
      <c r="D634" s="1" t="str">
        <f>"04797-1"</f>
        <v>04797-1</v>
      </c>
      <c r="E634" s="1" t="s">
        <v>28</v>
      </c>
      <c r="F634" s="1">
        <v>15</v>
      </c>
      <c r="G634" s="1">
        <v>12</v>
      </c>
      <c r="H634" s="1">
        <v>0</v>
      </c>
      <c r="K634" s="1" t="str">
        <f t="shared" si="36"/>
        <v/>
      </c>
      <c r="L634" s="1" t="str">
        <f t="shared" si="37"/>
        <v/>
      </c>
      <c r="M634" s="1" t="str">
        <f t="shared" si="38"/>
        <v/>
      </c>
      <c r="P634" s="1" t="s">
        <v>20</v>
      </c>
      <c r="V634" s="1" t="s">
        <v>28983</v>
      </c>
      <c r="X634" s="1" t="s">
        <v>27842</v>
      </c>
      <c r="AR634" s="1" t="str">
        <f t="shared" si="39"/>
        <v>| [](.md) | [嘷](嘷.md) |  |  | 「嗥」的異體字。 |</v>
      </c>
    </row>
    <row r="635" spans="1:44" hidden="1">
      <c r="A635" s="1" t="s">
        <v>28984</v>
      </c>
      <c r="C635" s="1">
        <v>1</v>
      </c>
      <c r="D635" s="1" t="str">
        <f>"04797-2"</f>
        <v>04797-2</v>
      </c>
      <c r="E635" s="1" t="s">
        <v>198</v>
      </c>
      <c r="F635" s="1">
        <v>15</v>
      </c>
      <c r="G635" s="1">
        <v>12</v>
      </c>
      <c r="H635" s="1">
        <v>0</v>
      </c>
      <c r="K635" s="1" t="str">
        <f t="shared" si="36"/>
        <v/>
      </c>
      <c r="L635" s="1" t="str">
        <f t="shared" si="37"/>
        <v/>
      </c>
      <c r="M635" s="1" t="str">
        <f t="shared" si="38"/>
        <v/>
      </c>
      <c r="P635" s="1" t="s">
        <v>20</v>
      </c>
      <c r="V635" s="1" t="s">
        <v>28983</v>
      </c>
      <c r="X635" s="1" t="s">
        <v>27842</v>
      </c>
      <c r="AR635" s="1" t="str">
        <f t="shared" si="39"/>
        <v>| [](.md) | [獋](獋.md) |  |  | 「嗥」的異體字。 |</v>
      </c>
    </row>
    <row r="636" spans="1:44" hidden="1">
      <c r="A636" s="1" t="s">
        <v>28985</v>
      </c>
      <c r="C636" s="1">
        <v>1</v>
      </c>
      <c r="D636" s="1" t="str">
        <f>"04807-1"</f>
        <v>04807-1</v>
      </c>
      <c r="E636" s="1" t="s">
        <v>646</v>
      </c>
      <c r="F636" s="1">
        <v>11</v>
      </c>
      <c r="G636" s="1">
        <v>7</v>
      </c>
      <c r="H636" s="1">
        <v>0</v>
      </c>
      <c r="K636" s="1" t="str">
        <f t="shared" si="36"/>
        <v/>
      </c>
      <c r="L636" s="1" t="str">
        <f t="shared" si="37"/>
        <v/>
      </c>
      <c r="M636" s="1" t="str">
        <f t="shared" si="38"/>
        <v/>
      </c>
      <c r="P636" s="1" t="s">
        <v>20</v>
      </c>
      <c r="V636" s="1" t="s">
        <v>28986</v>
      </c>
      <c r="X636" s="1" t="s">
        <v>27842</v>
      </c>
      <c r="AR636" s="1" t="str">
        <f t="shared" si="39"/>
        <v>| [](.md) | [晧](晧.md) |  |  | 「皓」的異體字。 |</v>
      </c>
    </row>
    <row r="637" spans="1:44" hidden="1">
      <c r="A637" s="1" t="s">
        <v>28987</v>
      </c>
      <c r="C637" s="1">
        <v>1</v>
      </c>
      <c r="D637" s="1" t="str">
        <f>"04816-1"</f>
        <v>04816-1</v>
      </c>
      <c r="E637" s="1" t="s">
        <v>646</v>
      </c>
      <c r="F637" s="1">
        <v>15</v>
      </c>
      <c r="G637" s="1">
        <v>11</v>
      </c>
      <c r="H637" s="1">
        <v>0</v>
      </c>
      <c r="K637" s="1" t="str">
        <f t="shared" si="36"/>
        <v/>
      </c>
      <c r="L637" s="1" t="str">
        <f t="shared" si="37"/>
        <v/>
      </c>
      <c r="M637" s="1" t="str">
        <f t="shared" si="38"/>
        <v/>
      </c>
      <c r="P637" s="1" t="s">
        <v>20</v>
      </c>
      <c r="V637" s="1" t="s">
        <v>28988</v>
      </c>
      <c r="X637" s="1" t="s">
        <v>27842</v>
      </c>
      <c r="AR637" s="1" t="str">
        <f t="shared" si="39"/>
        <v>| [](.md) | [暭](暭.md) |  |  | 「皞」的異體字。 |</v>
      </c>
    </row>
    <row r="638" spans="1:44" hidden="1">
      <c r="A638" s="1" t="s">
        <v>28989</v>
      </c>
      <c r="C638" s="1">
        <v>1</v>
      </c>
      <c r="D638" s="1" t="str">
        <f>"04816-2"</f>
        <v>04816-2</v>
      </c>
      <c r="E638" s="1" t="s">
        <v>205</v>
      </c>
      <c r="F638" s="1">
        <v>17</v>
      </c>
      <c r="G638" s="1">
        <v>12</v>
      </c>
      <c r="H638" s="1">
        <v>0</v>
      </c>
      <c r="K638" s="1" t="str">
        <f t="shared" si="36"/>
        <v/>
      </c>
      <c r="L638" s="1" t="str">
        <f t="shared" si="37"/>
        <v/>
      </c>
      <c r="M638" s="1" t="str">
        <f t="shared" si="38"/>
        <v/>
      </c>
      <c r="P638" s="1" t="s">
        <v>20</v>
      </c>
      <c r="V638" s="1" t="s">
        <v>28988</v>
      </c>
      <c r="X638" s="1" t="s">
        <v>27842</v>
      </c>
      <c r="AR638" s="1" t="str">
        <f t="shared" si="39"/>
        <v>| [](.md) | [皥](皥.md) |  |  | 「皞」的異體字。 |</v>
      </c>
    </row>
    <row r="639" spans="1:44" hidden="1">
      <c r="A639" s="1" t="s">
        <v>28990</v>
      </c>
      <c r="C639" s="1">
        <v>1</v>
      </c>
      <c r="D639" s="1" t="str">
        <f>"04821-1"</f>
        <v>04821-1</v>
      </c>
      <c r="E639" s="1" t="s">
        <v>114</v>
      </c>
      <c r="F639" s="1">
        <v>9</v>
      </c>
      <c r="G639" s="1">
        <v>7</v>
      </c>
      <c r="H639" s="1">
        <v>0</v>
      </c>
      <c r="K639" s="1" t="str">
        <f t="shared" si="36"/>
        <v/>
      </c>
      <c r="L639" s="1" t="str">
        <f t="shared" si="37"/>
        <v/>
      </c>
      <c r="M639" s="1" t="str">
        <f t="shared" si="38"/>
        <v/>
      </c>
      <c r="P639" s="1" t="s">
        <v>20</v>
      </c>
      <c r="V639" s="1" t="s">
        <v>28991</v>
      </c>
      <c r="X639" s="1" t="s">
        <v>27842</v>
      </c>
      <c r="AR639" s="1" t="str">
        <f t="shared" si="39"/>
        <v>| [](.md) | [矦](矦.md) |  |  | 「侯」的異體字。 |</v>
      </c>
    </row>
    <row r="640" spans="1:44" hidden="1">
      <c r="A640" s="1" t="s">
        <v>28992</v>
      </c>
      <c r="C640" s="1">
        <v>1</v>
      </c>
      <c r="D640" s="1" t="str">
        <f>"04828-1"</f>
        <v>04828-1</v>
      </c>
      <c r="E640" s="1" t="s">
        <v>46</v>
      </c>
      <c r="F640" s="1">
        <v>15</v>
      </c>
      <c r="G640" s="1">
        <v>9</v>
      </c>
      <c r="H640" s="1">
        <v>0</v>
      </c>
      <c r="K640" s="1" t="str">
        <f t="shared" si="36"/>
        <v/>
      </c>
      <c r="L640" s="1" t="str">
        <f t="shared" si="37"/>
        <v/>
      </c>
      <c r="M640" s="1" t="str">
        <f t="shared" si="38"/>
        <v/>
      </c>
      <c r="P640" s="1" t="s">
        <v>20</v>
      </c>
      <c r="V640" s="1" t="s">
        <v>28993</v>
      </c>
      <c r="X640" s="1" t="s">
        <v>27842</v>
      </c>
      <c r="AR640" s="1" t="str">
        <f t="shared" si="39"/>
        <v>| [](.md) | [糇](糇.md) |  |  | 「餱」的異體字。 |</v>
      </c>
    </row>
    <row r="641" spans="1:44" hidden="1">
      <c r="A641" s="1" t="s">
        <v>28994</v>
      </c>
      <c r="C641" s="1">
        <v>1</v>
      </c>
      <c r="D641" s="1" t="str">
        <f>"04834-1"</f>
        <v>04834-1</v>
      </c>
      <c r="E641" s="1" t="s">
        <v>132</v>
      </c>
      <c r="F641" s="1">
        <v>9</v>
      </c>
      <c r="G641" s="1">
        <v>6</v>
      </c>
      <c r="H641" s="1">
        <v>0</v>
      </c>
      <c r="K641" s="1" t="str">
        <f t="shared" si="36"/>
        <v/>
      </c>
      <c r="L641" s="1" t="str">
        <f t="shared" si="37"/>
        <v/>
      </c>
      <c r="M641" s="1" t="str">
        <f t="shared" si="38"/>
        <v/>
      </c>
      <c r="P641" s="1" t="s">
        <v>20</v>
      </c>
      <c r="V641" s="1" t="s">
        <v>28995</v>
      </c>
      <c r="X641" s="1" t="s">
        <v>27842</v>
      </c>
      <c r="AR641" s="1" t="str">
        <f t="shared" si="39"/>
        <v>| [](.md) | [垕](垕.md) |  |  | 「厚」的異體字。 |</v>
      </c>
    </row>
    <row r="642" spans="1:44" hidden="1">
      <c r="A642" s="1" t="s">
        <v>28996</v>
      </c>
      <c r="C642" s="1">
        <v>1</v>
      </c>
      <c r="D642" s="1" t="str">
        <f>"04854-1"</f>
        <v>04854-1</v>
      </c>
      <c r="E642" s="1" t="s">
        <v>28</v>
      </c>
      <c r="F642" s="1">
        <v>10</v>
      </c>
      <c r="G642" s="1">
        <v>7</v>
      </c>
      <c r="H642" s="1">
        <v>0</v>
      </c>
      <c r="K642" s="1" t="str">
        <f t="shared" ref="K642:K705" si="40">LEFT(I642, 1)</f>
        <v/>
      </c>
      <c r="L642" s="1" t="str">
        <f t="shared" ref="L642:L705" si="41">MID(I642, 2, 1)</f>
        <v/>
      </c>
      <c r="M642" s="1" t="str">
        <f t="shared" ref="M642:M705" si="42">MID(I642, 3, 1)</f>
        <v/>
      </c>
      <c r="P642" s="1" t="s">
        <v>20</v>
      </c>
      <c r="V642" s="1" t="s">
        <v>28997</v>
      </c>
      <c r="X642" s="1" t="s">
        <v>27842</v>
      </c>
      <c r="AR642" s="1" t="str">
        <f t="shared" si="39"/>
        <v>| [](.md) | [圅](圅.md) |  |  | 「函」的異體字。 |</v>
      </c>
    </row>
    <row r="643" spans="1:44" hidden="1">
      <c r="A643" s="1" t="s">
        <v>28998</v>
      </c>
      <c r="C643" s="1">
        <v>1</v>
      </c>
      <c r="D643" s="1" t="str">
        <f>"04920-1"</f>
        <v>04920-1</v>
      </c>
      <c r="E643" s="1" t="s">
        <v>250</v>
      </c>
      <c r="F643" s="1">
        <v>9</v>
      </c>
      <c r="G643" s="1">
        <v>6</v>
      </c>
      <c r="H643" s="1">
        <v>0</v>
      </c>
      <c r="K643" s="1" t="str">
        <f t="shared" si="40"/>
        <v/>
      </c>
      <c r="L643" s="1" t="str">
        <f t="shared" si="41"/>
        <v/>
      </c>
      <c r="M643" s="1" t="str">
        <f t="shared" si="42"/>
        <v/>
      </c>
      <c r="P643" s="1" t="s">
        <v>20</v>
      </c>
      <c r="V643" s="1" t="s">
        <v>28999</v>
      </c>
      <c r="X643" s="1" t="s">
        <v>27842</v>
      </c>
      <c r="AR643" s="1" t="str">
        <f t="shared" ref="AR643:AR706" si="43">"| ["&amp;I643&amp;"]("&amp;I643&amp;".md) | ["&amp;A643&amp;"]("&amp;A643&amp;".md) | "&amp;" | "&amp;R643&amp;" | "&amp;V643&amp;" |"</f>
        <v>| [](.md) | [恒](恒.md) |  |  | 「恆」的異體字。 |</v>
      </c>
    </row>
    <row r="644" spans="1:44" hidden="1">
      <c r="A644" s="1" t="s">
        <v>12001</v>
      </c>
      <c r="C644" s="1">
        <v>1</v>
      </c>
      <c r="D644" s="1" t="str">
        <f>"04929-1"</f>
        <v>04929-1</v>
      </c>
      <c r="E644" s="1" t="s">
        <v>660</v>
      </c>
      <c r="F644" s="1">
        <v>11</v>
      </c>
      <c r="G644" s="1">
        <v>5</v>
      </c>
      <c r="H644" s="1">
        <v>0</v>
      </c>
      <c r="K644" s="1" t="str">
        <f t="shared" si="40"/>
        <v/>
      </c>
      <c r="L644" s="1" t="str">
        <f t="shared" si="41"/>
        <v/>
      </c>
      <c r="M644" s="1" t="str">
        <f t="shared" si="42"/>
        <v/>
      </c>
      <c r="P644" s="1" t="s">
        <v>20</v>
      </c>
      <c r="V644" s="1" t="s">
        <v>29000</v>
      </c>
      <c r="X644" s="1" t="s">
        <v>27842</v>
      </c>
      <c r="AR644" s="1" t="str">
        <f t="shared" si="43"/>
        <v>| [](.md) | [虖](虖.md) |  |  | 「乎」的異體字。 |</v>
      </c>
    </row>
    <row r="645" spans="1:44" hidden="1">
      <c r="A645" s="1" t="s">
        <v>29001</v>
      </c>
      <c r="C645" s="1">
        <v>1</v>
      </c>
      <c r="D645" s="1" t="str">
        <f>"04937-1"</f>
        <v>04937-1</v>
      </c>
      <c r="E645" s="1" t="s">
        <v>660</v>
      </c>
      <c r="F645" s="1">
        <v>8</v>
      </c>
      <c r="G645" s="1">
        <v>2</v>
      </c>
      <c r="H645" s="1">
        <v>0</v>
      </c>
      <c r="K645" s="1" t="str">
        <f t="shared" si="40"/>
        <v/>
      </c>
      <c r="L645" s="1" t="str">
        <f t="shared" si="41"/>
        <v/>
      </c>
      <c r="M645" s="1" t="str">
        <f t="shared" si="42"/>
        <v/>
      </c>
      <c r="P645" s="1" t="s">
        <v>20</v>
      </c>
      <c r="V645" s="1" t="s">
        <v>29002</v>
      </c>
      <c r="X645" s="1" t="s">
        <v>27842</v>
      </c>
      <c r="AR645" s="1" t="str">
        <f t="shared" si="43"/>
        <v>| [](.md) | [󿲂](󿲂.md) |  |  | 「虎」的異體字。 |</v>
      </c>
    </row>
    <row r="646" spans="1:44" hidden="1">
      <c r="A646" s="1" t="s">
        <v>29003</v>
      </c>
      <c r="C646" s="1">
        <v>1</v>
      </c>
      <c r="D646" s="1" t="str">
        <f>"04944-1"</f>
        <v>04944-1</v>
      </c>
      <c r="E646" s="1" t="s">
        <v>336</v>
      </c>
      <c r="F646" s="1">
        <v>16</v>
      </c>
      <c r="G646" s="1">
        <v>12</v>
      </c>
      <c r="H646" s="1">
        <v>0</v>
      </c>
      <c r="K646" s="1" t="str">
        <f t="shared" si="40"/>
        <v/>
      </c>
      <c r="L646" s="1" t="str">
        <f t="shared" si="41"/>
        <v/>
      </c>
      <c r="M646" s="1" t="str">
        <f t="shared" si="42"/>
        <v/>
      </c>
      <c r="P646" s="1" t="s">
        <v>20</v>
      </c>
      <c r="V646" s="1" t="s">
        <v>29004</v>
      </c>
      <c r="X646" s="1" t="s">
        <v>27842</v>
      </c>
      <c r="AR646" s="1" t="str">
        <f t="shared" si="43"/>
        <v>| [](.md) | [歘](歘.md) |  |  | 「欻」的異體字。 |</v>
      </c>
    </row>
    <row r="647" spans="1:44" hidden="1">
      <c r="A647" s="1" t="s">
        <v>29005</v>
      </c>
      <c r="C647" s="1">
        <v>1</v>
      </c>
      <c r="D647" s="1" t="str">
        <f>"04984-1"</f>
        <v>04984-1</v>
      </c>
      <c r="E647" s="1" t="s">
        <v>1252</v>
      </c>
      <c r="F647" s="1">
        <v>4</v>
      </c>
      <c r="G647" s="1">
        <v>0</v>
      </c>
      <c r="H647" s="1">
        <v>0</v>
      </c>
      <c r="K647" s="1" t="str">
        <f t="shared" si="40"/>
        <v/>
      </c>
      <c r="L647" s="1" t="str">
        <f t="shared" si="41"/>
        <v/>
      </c>
      <c r="M647" s="1" t="str">
        <f t="shared" si="42"/>
        <v/>
      </c>
      <c r="P647" s="1" t="s">
        <v>20</v>
      </c>
      <c r="V647" s="1" t="s">
        <v>29006</v>
      </c>
      <c r="X647" s="1" t="s">
        <v>27842</v>
      </c>
      <c r="AR647" s="1" t="str">
        <f t="shared" si="43"/>
        <v>| [](.md) | [户](户.md) |  |  | 「戶」的異體字。 |</v>
      </c>
    </row>
    <row r="648" spans="1:44" hidden="1">
      <c r="A648" s="1" t="s">
        <v>29007</v>
      </c>
      <c r="C648" s="1">
        <v>1</v>
      </c>
      <c r="D648" s="1" t="str">
        <f>"04987-1"</f>
        <v>04987-1</v>
      </c>
      <c r="E648" s="1" t="s">
        <v>129</v>
      </c>
      <c r="F648" s="1">
        <v>7</v>
      </c>
      <c r="G648" s="1">
        <v>4</v>
      </c>
      <c r="H648" s="1">
        <v>0</v>
      </c>
      <c r="K648" s="1" t="str">
        <f t="shared" si="40"/>
        <v/>
      </c>
      <c r="L648" s="1" t="str">
        <f t="shared" si="41"/>
        <v/>
      </c>
      <c r="M648" s="1" t="str">
        <f t="shared" si="42"/>
        <v/>
      </c>
      <c r="P648" s="1" t="s">
        <v>20</v>
      </c>
      <c r="V648" s="1" t="s">
        <v>29008</v>
      </c>
      <c r="X648" s="1" t="s">
        <v>27842</v>
      </c>
      <c r="AR648" s="1" t="str">
        <f t="shared" si="43"/>
        <v>| [](.md) | [沪](沪.md) |  |  | 「滬」的異體字。 |</v>
      </c>
    </row>
    <row r="649" spans="1:44" hidden="1">
      <c r="A649" s="1" t="s">
        <v>29009</v>
      </c>
      <c r="C649" s="1">
        <v>1</v>
      </c>
      <c r="D649" s="1" t="str">
        <f>"05005-1"</f>
        <v>05005-1</v>
      </c>
      <c r="E649" s="1" t="s">
        <v>37</v>
      </c>
      <c r="F649" s="1">
        <v>8</v>
      </c>
      <c r="G649" s="1">
        <v>4</v>
      </c>
      <c r="H649" s="1">
        <v>0</v>
      </c>
      <c r="K649" s="1" t="str">
        <f t="shared" si="40"/>
        <v/>
      </c>
      <c r="L649" s="1" t="str">
        <f t="shared" si="41"/>
        <v/>
      </c>
      <c r="M649" s="1" t="str">
        <f t="shared" si="42"/>
        <v/>
      </c>
      <c r="P649" s="1" t="s">
        <v>20</v>
      </c>
      <c r="V649" s="1" t="s">
        <v>29010</v>
      </c>
      <c r="X649" s="1" t="s">
        <v>27842</v>
      </c>
      <c r="AR649" s="1" t="str">
        <f t="shared" si="43"/>
        <v>| [](.md) | [芲](芲.md) |  |  | 「花」的異體字。 |</v>
      </c>
    </row>
    <row r="650" spans="1:44" hidden="1">
      <c r="A650" s="1" t="s">
        <v>12171</v>
      </c>
      <c r="C650" s="1">
        <v>1</v>
      </c>
      <c r="D650" s="1" t="str">
        <f>"05011-1"</f>
        <v>05011-1</v>
      </c>
      <c r="E650" s="1" t="s">
        <v>28</v>
      </c>
      <c r="F650" s="1">
        <v>15</v>
      </c>
      <c r="G650" s="1">
        <v>12</v>
      </c>
      <c r="H650" s="1">
        <v>0</v>
      </c>
      <c r="K650" s="1" t="str">
        <f t="shared" si="40"/>
        <v/>
      </c>
      <c r="L650" s="1" t="str">
        <f t="shared" si="41"/>
        <v/>
      </c>
      <c r="M650" s="1" t="str">
        <f t="shared" si="42"/>
        <v/>
      </c>
      <c r="P650" s="1" t="s">
        <v>20</v>
      </c>
      <c r="V650" s="1" t="s">
        <v>29011</v>
      </c>
      <c r="X650" s="1" t="s">
        <v>27842</v>
      </c>
      <c r="AR650" s="1" t="str">
        <f t="shared" si="43"/>
        <v>| [](.md) | [嘩](嘩.md) |  |  | 「譁」的異體字。 |</v>
      </c>
    </row>
    <row r="651" spans="1:44" hidden="1">
      <c r="A651" s="1" t="s">
        <v>29012</v>
      </c>
      <c r="C651" s="1">
        <v>1</v>
      </c>
      <c r="D651" s="1" t="str">
        <f>"05018-1"</f>
        <v>05018-1</v>
      </c>
      <c r="E651" s="1" t="s">
        <v>185</v>
      </c>
      <c r="F651" s="1">
        <v>10</v>
      </c>
      <c r="G651" s="1">
        <v>8</v>
      </c>
      <c r="H651" s="1">
        <v>0</v>
      </c>
      <c r="K651" s="1" t="str">
        <f t="shared" si="40"/>
        <v/>
      </c>
      <c r="L651" s="1" t="str">
        <f t="shared" si="41"/>
        <v/>
      </c>
      <c r="M651" s="1" t="str">
        <f t="shared" si="42"/>
        <v/>
      </c>
      <c r="P651" s="1" t="s">
        <v>20</v>
      </c>
      <c r="V651" s="1" t="s">
        <v>29013</v>
      </c>
      <c r="X651" s="1" t="s">
        <v>27842</v>
      </c>
      <c r="AR651" s="1" t="str">
        <f t="shared" si="43"/>
        <v>| [](.md) | [󰟿](󰟿.md) |  |  | 「劃」的異體字。 |</v>
      </c>
    </row>
    <row r="652" spans="1:44" hidden="1">
      <c r="A652" s="1" t="s">
        <v>29014</v>
      </c>
      <c r="C652" s="1">
        <v>1</v>
      </c>
      <c r="D652" s="1" t="str">
        <f>"05022-1"</f>
        <v>05022-1</v>
      </c>
      <c r="E652" s="1" t="s">
        <v>753</v>
      </c>
      <c r="F652" s="1">
        <v>8</v>
      </c>
      <c r="G652" s="1">
        <v>3</v>
      </c>
      <c r="H652" s="1">
        <v>0</v>
      </c>
      <c r="K652" s="1" t="str">
        <f t="shared" si="40"/>
        <v/>
      </c>
      <c r="L652" s="1" t="str">
        <f t="shared" si="41"/>
        <v/>
      </c>
      <c r="M652" s="1" t="str">
        <f t="shared" si="42"/>
        <v/>
      </c>
      <c r="P652" s="1" t="s">
        <v>20</v>
      </c>
      <c r="V652" s="1" t="s">
        <v>29015</v>
      </c>
      <c r="X652" s="1" t="s">
        <v>27842</v>
      </c>
      <c r="AR652" s="1" t="str">
        <f t="shared" si="43"/>
        <v>| [](.md) | [画](画.md) |  |  | 「畫」的異體字。 |</v>
      </c>
    </row>
    <row r="653" spans="1:44" hidden="1">
      <c r="A653" s="1" t="s">
        <v>29016</v>
      </c>
      <c r="C653" s="1">
        <v>1</v>
      </c>
      <c r="D653" s="1" t="str">
        <f>"05022-2"</f>
        <v>05022-2</v>
      </c>
      <c r="E653" s="1" t="s">
        <v>753</v>
      </c>
      <c r="F653" s="1">
        <v>10</v>
      </c>
      <c r="G653" s="1">
        <v>5</v>
      </c>
      <c r="H653" s="1">
        <v>0</v>
      </c>
      <c r="K653" s="1" t="str">
        <f t="shared" si="40"/>
        <v/>
      </c>
      <c r="L653" s="1" t="str">
        <f t="shared" si="41"/>
        <v/>
      </c>
      <c r="M653" s="1" t="str">
        <f t="shared" si="42"/>
        <v/>
      </c>
      <c r="P653" s="1" t="s">
        <v>20</v>
      </c>
      <c r="V653" s="1" t="s">
        <v>29015</v>
      </c>
      <c r="X653" s="1" t="s">
        <v>27842</v>
      </c>
      <c r="AR653" s="1" t="str">
        <f t="shared" si="43"/>
        <v>| [](.md) | [𡱮](𡱮.md) |  |  | 「畫」的異體字。 |</v>
      </c>
    </row>
    <row r="654" spans="1:44" hidden="1">
      <c r="A654" s="1" t="s">
        <v>29017</v>
      </c>
      <c r="C654" s="1">
        <v>1</v>
      </c>
      <c r="D654" s="1" t="str">
        <f>"05023-2"</f>
        <v>05023-2</v>
      </c>
      <c r="E654" s="1" t="s">
        <v>185</v>
      </c>
      <c r="F654" s="1">
        <v>12</v>
      </c>
      <c r="G654" s="1">
        <v>10</v>
      </c>
      <c r="H654" s="1">
        <v>0</v>
      </c>
      <c r="K654" s="1" t="str">
        <f t="shared" si="40"/>
        <v/>
      </c>
      <c r="L654" s="1" t="str">
        <f t="shared" si="41"/>
        <v/>
      </c>
      <c r="M654" s="1" t="str">
        <f t="shared" si="42"/>
        <v/>
      </c>
      <c r="P654" s="1" t="s">
        <v>20</v>
      </c>
      <c r="V654" s="1" t="s">
        <v>29013</v>
      </c>
      <c r="X654" s="1" t="s">
        <v>27842</v>
      </c>
      <c r="AR654" s="1" t="str">
        <f t="shared" si="43"/>
        <v>| [](.md) | [󽅦](󽅦.md) |  |  | 「劃」的異體字。 |</v>
      </c>
    </row>
    <row r="655" spans="1:44" hidden="1">
      <c r="A655" s="1" t="s">
        <v>29018</v>
      </c>
      <c r="C655" s="1">
        <v>1</v>
      </c>
      <c r="D655" s="1" t="str">
        <f>"05048-1"</f>
        <v>05048-1</v>
      </c>
      <c r="E655" s="1" t="s">
        <v>13099</v>
      </c>
      <c r="F655" s="1">
        <v>13</v>
      </c>
      <c r="G655" s="1">
        <v>9</v>
      </c>
      <c r="H655" s="1">
        <v>0</v>
      </c>
      <c r="K655" s="1" t="str">
        <f t="shared" si="40"/>
        <v/>
      </c>
      <c r="L655" s="1" t="str">
        <f t="shared" si="41"/>
        <v/>
      </c>
      <c r="M655" s="1" t="str">
        <f t="shared" si="42"/>
        <v/>
      </c>
      <c r="P655" s="1" t="s">
        <v>20</v>
      </c>
      <c r="V655" s="1" t="s">
        <v>29019</v>
      </c>
      <c r="X655" s="1" t="s">
        <v>27842</v>
      </c>
      <c r="AR655" s="1" t="str">
        <f t="shared" si="43"/>
        <v>| [](.md) | [旤](旤.md) |  |  | 「禍」的異體字。 |</v>
      </c>
    </row>
    <row r="656" spans="1:44" hidden="1">
      <c r="A656" s="1" t="s">
        <v>29020</v>
      </c>
      <c r="C656" s="1">
        <v>1</v>
      </c>
      <c r="D656" s="1" t="str">
        <f>"05054-1"</f>
        <v>05054-1</v>
      </c>
      <c r="E656" s="1" t="s">
        <v>68</v>
      </c>
      <c r="F656" s="1">
        <v>14</v>
      </c>
      <c r="G656" s="1">
        <v>10</v>
      </c>
      <c r="H656" s="1">
        <v>0</v>
      </c>
      <c r="K656" s="1" t="str">
        <f t="shared" si="40"/>
        <v/>
      </c>
      <c r="L656" s="1" t="str">
        <f t="shared" si="41"/>
        <v/>
      </c>
      <c r="M656" s="1" t="str">
        <f t="shared" si="42"/>
        <v/>
      </c>
      <c r="P656" s="1" t="s">
        <v>20</v>
      </c>
      <c r="V656" s="1" t="s">
        <v>29021</v>
      </c>
      <c r="X656" s="1" t="s">
        <v>27842</v>
      </c>
      <c r="AR656" s="1" t="str">
        <f t="shared" si="43"/>
        <v>| [](.md) | [𦞦](𦞦.md) |  |  | 「臛」的異體字。 |</v>
      </c>
    </row>
    <row r="657" spans="1:44" hidden="1">
      <c r="A657" s="1" t="s">
        <v>29022</v>
      </c>
      <c r="C657" s="1">
        <v>1</v>
      </c>
      <c r="D657" s="1" t="str">
        <f>"05061-1"</f>
        <v>05061-1</v>
      </c>
      <c r="E657" s="1" t="s">
        <v>6976</v>
      </c>
      <c r="F657" s="1">
        <v>26</v>
      </c>
      <c r="G657" s="1">
        <v>23</v>
      </c>
      <c r="H657" s="1">
        <v>0</v>
      </c>
      <c r="K657" s="1" t="str">
        <f t="shared" si="40"/>
        <v/>
      </c>
      <c r="L657" s="1" t="str">
        <f t="shared" si="41"/>
        <v/>
      </c>
      <c r="M657" s="1" t="str">
        <f t="shared" si="42"/>
        <v/>
      </c>
      <c r="P657" s="1" t="s">
        <v>20</v>
      </c>
      <c r="V657" s="1" t="s">
        <v>29023</v>
      </c>
      <c r="X657" s="1" t="s">
        <v>27842</v>
      </c>
      <c r="AR657" s="1" t="str">
        <f t="shared" si="43"/>
        <v>| [](.md) | [彠](彠.md) |  |  | 「矱」的異體字。 |</v>
      </c>
    </row>
    <row r="658" spans="1:44" hidden="1">
      <c r="A658" s="1" t="s">
        <v>29024</v>
      </c>
      <c r="C658" s="1">
        <v>1</v>
      </c>
      <c r="D658" s="1" t="str">
        <f>"05062-1"</f>
        <v>05062-1</v>
      </c>
      <c r="E658" s="1" t="s">
        <v>109</v>
      </c>
      <c r="F658" s="1">
        <v>20</v>
      </c>
      <c r="G658" s="1">
        <v>14</v>
      </c>
      <c r="H658" s="1">
        <v>0</v>
      </c>
      <c r="K658" s="1" t="str">
        <f t="shared" si="40"/>
        <v/>
      </c>
      <c r="L658" s="1" t="str">
        <f t="shared" si="41"/>
        <v/>
      </c>
      <c r="M658" s="1" t="str">
        <f t="shared" si="42"/>
        <v/>
      </c>
      <c r="P658" s="1" t="s">
        <v>20</v>
      </c>
      <c r="V658" s="1" t="s">
        <v>29025</v>
      </c>
      <c r="X658" s="1" t="s">
        <v>27842</v>
      </c>
      <c r="AR658" s="1" t="str">
        <f t="shared" si="43"/>
        <v>| [](.md) | [耯](耯.md) |  |  | 「穫」的異體字。 |</v>
      </c>
    </row>
    <row r="659" spans="1:44" hidden="1">
      <c r="A659" s="1" t="s">
        <v>29026</v>
      </c>
      <c r="C659" s="1">
        <v>1</v>
      </c>
      <c r="D659" s="1" t="str">
        <f>"05077-1"</f>
        <v>05077-1</v>
      </c>
      <c r="E659" s="1" t="s">
        <v>250</v>
      </c>
      <c r="F659" s="1">
        <v>7</v>
      </c>
      <c r="G659" s="1">
        <v>4</v>
      </c>
      <c r="H659" s="1">
        <v>0</v>
      </c>
      <c r="K659" s="1" t="str">
        <f t="shared" si="40"/>
        <v/>
      </c>
      <c r="L659" s="1" t="str">
        <f t="shared" si="41"/>
        <v/>
      </c>
      <c r="M659" s="1" t="str">
        <f t="shared" si="42"/>
        <v/>
      </c>
      <c r="P659" s="1" t="s">
        <v>20</v>
      </c>
      <c r="V659" s="1" t="s">
        <v>29027</v>
      </c>
      <c r="X659" s="1" t="s">
        <v>27842</v>
      </c>
      <c r="AR659" s="1" t="str">
        <f t="shared" si="43"/>
        <v>| [](.md) | [怀](怀.md) |  |  | 「懷」的異體字。 |</v>
      </c>
    </row>
    <row r="660" spans="1:44" hidden="1">
      <c r="A660" s="1" t="s">
        <v>1688</v>
      </c>
      <c r="C660" s="1">
        <v>1</v>
      </c>
      <c r="D660" s="1" t="str">
        <f>"05081-1"</f>
        <v>05081-1</v>
      </c>
      <c r="E660" s="1" t="s">
        <v>132</v>
      </c>
      <c r="F660" s="1">
        <v>7</v>
      </c>
      <c r="G660" s="1">
        <v>4</v>
      </c>
      <c r="H660" s="1">
        <v>0</v>
      </c>
      <c r="K660" s="1" t="str">
        <f t="shared" si="40"/>
        <v/>
      </c>
      <c r="L660" s="1" t="str">
        <f t="shared" si="41"/>
        <v/>
      </c>
      <c r="M660" s="1" t="str">
        <f t="shared" si="42"/>
        <v/>
      </c>
      <c r="P660" s="1" t="s">
        <v>20</v>
      </c>
      <c r="V660" s="1" t="s">
        <v>29028</v>
      </c>
      <c r="X660" s="1" t="s">
        <v>27842</v>
      </c>
      <c r="AR660" s="1" t="str">
        <f t="shared" si="43"/>
        <v>| [](.md) | [坏](坏.md) |  |  | 「壞」的異體字。 |</v>
      </c>
    </row>
    <row r="661" spans="1:44" hidden="1">
      <c r="A661" s="1" t="s">
        <v>29029</v>
      </c>
      <c r="C661" s="1">
        <v>1</v>
      </c>
      <c r="D661" s="1" t="str">
        <f>"05083-1"</f>
        <v>05083-1</v>
      </c>
      <c r="E661" s="1" t="s">
        <v>336</v>
      </c>
      <c r="F661" s="1">
        <v>6</v>
      </c>
      <c r="G661" s="1">
        <v>2</v>
      </c>
      <c r="H661" s="1">
        <v>0</v>
      </c>
      <c r="K661" s="1" t="str">
        <f t="shared" si="40"/>
        <v/>
      </c>
      <c r="L661" s="1" t="str">
        <f t="shared" si="41"/>
        <v/>
      </c>
      <c r="M661" s="1" t="str">
        <f t="shared" si="42"/>
        <v/>
      </c>
      <c r="P661" s="1" t="s">
        <v>20</v>
      </c>
      <c r="V661" s="1" t="s">
        <v>29030</v>
      </c>
      <c r="X661" s="1" t="s">
        <v>27842</v>
      </c>
      <c r="AR661" s="1" t="str">
        <f t="shared" si="43"/>
        <v>| [](.md) | [灰](灰.md) |  |  | 「灰」的異體字。 |</v>
      </c>
    </row>
    <row r="662" spans="1:44" hidden="1">
      <c r="A662" s="1" t="s">
        <v>29031</v>
      </c>
      <c r="C662" s="1">
        <v>1</v>
      </c>
      <c r="D662" s="1" t="str">
        <f>"05089-1"</f>
        <v>05089-1</v>
      </c>
      <c r="E662" s="1" t="s">
        <v>24</v>
      </c>
      <c r="F662" s="1">
        <v>15</v>
      </c>
      <c r="G662" s="1">
        <v>12</v>
      </c>
      <c r="H662" s="1">
        <v>0</v>
      </c>
      <c r="K662" s="1" t="str">
        <f t="shared" si="40"/>
        <v/>
      </c>
      <c r="L662" s="1" t="str">
        <f t="shared" si="41"/>
        <v/>
      </c>
      <c r="M662" s="1" t="str">
        <f t="shared" si="42"/>
        <v/>
      </c>
      <c r="P662" s="1" t="s">
        <v>20</v>
      </c>
      <c r="V662" s="1" t="s">
        <v>29032</v>
      </c>
      <c r="X662" s="1" t="s">
        <v>27842</v>
      </c>
      <c r="AR662" s="1" t="str">
        <f t="shared" si="43"/>
        <v>| [](.md) | [撝](撝.md) |  |  | 「撝」的異體字。 |</v>
      </c>
    </row>
    <row r="663" spans="1:44" hidden="1">
      <c r="A663" s="1" t="s">
        <v>29033</v>
      </c>
      <c r="C663" s="1">
        <v>1</v>
      </c>
      <c r="D663" s="1" t="str">
        <f>"05102-1"</f>
        <v>05102-1</v>
      </c>
      <c r="E663" s="1" t="s">
        <v>2729</v>
      </c>
      <c r="F663" s="1">
        <v>5</v>
      </c>
      <c r="G663" s="1">
        <v>3</v>
      </c>
      <c r="H663" s="1">
        <v>0</v>
      </c>
      <c r="K663" s="1" t="str">
        <f t="shared" si="40"/>
        <v/>
      </c>
      <c r="L663" s="1" t="str">
        <f t="shared" si="41"/>
        <v/>
      </c>
      <c r="M663" s="1" t="str">
        <f t="shared" si="42"/>
        <v/>
      </c>
      <c r="P663" s="1" t="s">
        <v>20</v>
      </c>
      <c r="V663" s="1" t="s">
        <v>29034</v>
      </c>
      <c r="X663" s="1" t="s">
        <v>27842</v>
      </c>
      <c r="AR663" s="1" t="str">
        <f t="shared" si="43"/>
        <v>| [](.md) | [囘](囘.md) |  |  | 「回」的異體字。 |</v>
      </c>
    </row>
    <row r="664" spans="1:44" hidden="1">
      <c r="A664" s="1" t="s">
        <v>29035</v>
      </c>
      <c r="C664" s="1">
        <v>1</v>
      </c>
      <c r="D664" s="1" t="str">
        <f>"05102-2"</f>
        <v>05102-2</v>
      </c>
      <c r="E664" s="1" t="s">
        <v>2557</v>
      </c>
      <c r="F664" s="1">
        <v>7</v>
      </c>
      <c r="G664" s="1">
        <v>4</v>
      </c>
      <c r="H664" s="1">
        <v>0</v>
      </c>
      <c r="K664" s="1" t="str">
        <f t="shared" si="40"/>
        <v/>
      </c>
      <c r="L664" s="1" t="str">
        <f t="shared" si="41"/>
        <v/>
      </c>
      <c r="M664" s="1" t="str">
        <f t="shared" si="42"/>
        <v/>
      </c>
      <c r="P664" s="1" t="s">
        <v>20</v>
      </c>
      <c r="V664" s="1" t="s">
        <v>29034</v>
      </c>
      <c r="X664" s="1" t="s">
        <v>27842</v>
      </c>
      <c r="AR664" s="1" t="str">
        <f t="shared" si="43"/>
        <v>| [](.md) | [囬](囬.md) |  |  | 「回」的異體字。 |</v>
      </c>
    </row>
    <row r="665" spans="1:44" hidden="1">
      <c r="A665" s="1" t="s">
        <v>29036</v>
      </c>
      <c r="C665" s="1">
        <v>1</v>
      </c>
      <c r="D665" s="1" t="str">
        <f>"05107-1"</f>
        <v>05107-1</v>
      </c>
      <c r="E665" s="1" t="s">
        <v>6679</v>
      </c>
      <c r="F665" s="1">
        <v>9</v>
      </c>
      <c r="G665" s="1">
        <v>6</v>
      </c>
      <c r="H665" s="1">
        <v>0</v>
      </c>
      <c r="K665" s="1" t="str">
        <f t="shared" si="40"/>
        <v/>
      </c>
      <c r="L665" s="1" t="str">
        <f t="shared" si="41"/>
        <v/>
      </c>
      <c r="M665" s="1" t="str">
        <f t="shared" si="42"/>
        <v/>
      </c>
      <c r="P665" s="1" t="s">
        <v>20</v>
      </c>
      <c r="V665" s="1" t="s">
        <v>29037</v>
      </c>
      <c r="X665" s="1" t="s">
        <v>27842</v>
      </c>
      <c r="AR665" s="1" t="str">
        <f t="shared" si="43"/>
        <v>| [](.md) | [廻](廻.md) |  |  | 「迴」的異體字。 |</v>
      </c>
    </row>
    <row r="666" spans="1:44" hidden="1">
      <c r="A666" s="1" t="s">
        <v>29038</v>
      </c>
      <c r="C666" s="1">
        <v>1</v>
      </c>
      <c r="D666" s="1" t="str">
        <f>"05115-1"</f>
        <v>05115-1</v>
      </c>
      <c r="E666" s="1" t="s">
        <v>336</v>
      </c>
      <c r="F666" s="1">
        <v>11</v>
      </c>
      <c r="G666" s="1">
        <v>7</v>
      </c>
      <c r="H666" s="1">
        <v>0</v>
      </c>
      <c r="K666" s="1" t="str">
        <f t="shared" si="40"/>
        <v/>
      </c>
      <c r="L666" s="1" t="str">
        <f t="shared" si="41"/>
        <v/>
      </c>
      <c r="M666" s="1" t="str">
        <f t="shared" si="42"/>
        <v/>
      </c>
      <c r="P666" s="1" t="s">
        <v>20</v>
      </c>
      <c r="V666" s="1" t="s">
        <v>29039</v>
      </c>
      <c r="X666" s="1" t="s">
        <v>27842</v>
      </c>
      <c r="AR666" s="1" t="str">
        <f t="shared" si="43"/>
        <v>| [](.md) | [𤈦](𤈦.md) |  |  | 「燬」的異體字。 |</v>
      </c>
    </row>
    <row r="667" spans="1:44" hidden="1">
      <c r="A667" s="1" t="s">
        <v>29040</v>
      </c>
      <c r="C667" s="1">
        <v>1</v>
      </c>
      <c r="D667" s="1" t="str">
        <f>"05132-1"</f>
        <v>05132-1</v>
      </c>
      <c r="E667" s="1" t="s">
        <v>129</v>
      </c>
      <c r="F667" s="1">
        <v>13</v>
      </c>
      <c r="G667" s="1">
        <v>10</v>
      </c>
      <c r="H667" s="1">
        <v>0</v>
      </c>
      <c r="K667" s="1" t="str">
        <f t="shared" si="40"/>
        <v/>
      </c>
      <c r="L667" s="1" t="str">
        <f t="shared" si="41"/>
        <v/>
      </c>
      <c r="M667" s="1" t="str">
        <f t="shared" si="42"/>
        <v/>
      </c>
      <c r="P667" s="1" t="s">
        <v>20</v>
      </c>
      <c r="V667" s="1" t="s">
        <v>29041</v>
      </c>
      <c r="X667" s="1" t="s">
        <v>27842</v>
      </c>
      <c r="AR667" s="1" t="str">
        <f t="shared" si="43"/>
        <v>| [](.md) | [滙](滙.md) |  |  | 「匯」的異體字。 |</v>
      </c>
    </row>
    <row r="668" spans="1:44" hidden="1">
      <c r="A668" s="1" t="s">
        <v>29042</v>
      </c>
      <c r="C668" s="1">
        <v>1</v>
      </c>
      <c r="D668" s="1" t="str">
        <f>"05135-1"</f>
        <v>05135-1</v>
      </c>
      <c r="E668" s="1" t="s">
        <v>336</v>
      </c>
      <c r="F668" s="1">
        <v>10</v>
      </c>
      <c r="G668" s="1">
        <v>6</v>
      </c>
      <c r="H668" s="1">
        <v>0</v>
      </c>
      <c r="K668" s="1" t="str">
        <f t="shared" si="40"/>
        <v/>
      </c>
      <c r="L668" s="1" t="str">
        <f t="shared" si="41"/>
        <v/>
      </c>
      <c r="M668" s="1" t="str">
        <f t="shared" si="42"/>
        <v/>
      </c>
      <c r="P668" s="1" t="s">
        <v>20</v>
      </c>
      <c r="V668" s="1" t="s">
        <v>29043</v>
      </c>
      <c r="X668" s="1" t="s">
        <v>27842</v>
      </c>
      <c r="AR668" s="1" t="str">
        <f t="shared" si="43"/>
        <v>| [](.md) | [烩](烩.md) |  |  | 「燴」的異體字。 |</v>
      </c>
    </row>
    <row r="669" spans="1:44" hidden="1">
      <c r="A669" s="1" t="s">
        <v>29044</v>
      </c>
      <c r="C669" s="1">
        <v>1</v>
      </c>
      <c r="D669" s="1" t="str">
        <f>"05137-1"</f>
        <v>05137-1</v>
      </c>
      <c r="E669" s="1" t="s">
        <v>725</v>
      </c>
      <c r="F669" s="1">
        <v>12</v>
      </c>
      <c r="G669" s="1">
        <v>6</v>
      </c>
      <c r="H669" s="1">
        <v>0</v>
      </c>
      <c r="K669" s="1" t="str">
        <f t="shared" si="40"/>
        <v/>
      </c>
      <c r="L669" s="1" t="str">
        <f t="shared" si="41"/>
        <v/>
      </c>
      <c r="M669" s="1" t="str">
        <f t="shared" si="42"/>
        <v/>
      </c>
      <c r="P669" s="1" t="s">
        <v>20</v>
      </c>
      <c r="V669" s="1" t="s">
        <v>29045</v>
      </c>
      <c r="X669" s="1" t="s">
        <v>27842</v>
      </c>
      <c r="AR669" s="1" t="str">
        <f t="shared" si="43"/>
        <v>| [](.md) | [絵](絵.md) |  |  | 「繪」的異體字。 |</v>
      </c>
    </row>
    <row r="670" spans="1:44" hidden="1">
      <c r="A670" s="1" t="s">
        <v>29046</v>
      </c>
      <c r="C670" s="1">
        <v>1</v>
      </c>
      <c r="D670" s="1" t="str">
        <f>"05138-1"</f>
        <v>05138-1</v>
      </c>
      <c r="E670" s="1" t="s">
        <v>6976</v>
      </c>
      <c r="F670" s="1">
        <v>13</v>
      </c>
      <c r="G670" s="1">
        <v>10</v>
      </c>
      <c r="H670" s="1">
        <v>0</v>
      </c>
      <c r="K670" s="1" t="str">
        <f t="shared" si="40"/>
        <v/>
      </c>
      <c r="L670" s="1" t="str">
        <f t="shared" si="41"/>
        <v/>
      </c>
      <c r="M670" s="1" t="str">
        <f t="shared" si="42"/>
        <v/>
      </c>
      <c r="P670" s="1" t="s">
        <v>20</v>
      </c>
      <c r="V670" s="1" t="s">
        <v>29047</v>
      </c>
      <c r="X670" s="1" t="s">
        <v>27842</v>
      </c>
      <c r="AR670" s="1" t="str">
        <f t="shared" si="43"/>
        <v>| [](.md) | [彚](彚.md) |  |  | 「彙」的異體字。 |</v>
      </c>
    </row>
    <row r="671" spans="1:44" hidden="1">
      <c r="A671" s="1" t="s">
        <v>29048</v>
      </c>
      <c r="C671" s="1">
        <v>1</v>
      </c>
      <c r="D671" s="1" t="str">
        <f>"05152-1"</f>
        <v>05152-1</v>
      </c>
      <c r="E671" s="1" t="s">
        <v>537</v>
      </c>
      <c r="F671" s="1">
        <v>25</v>
      </c>
      <c r="G671" s="1">
        <v>18</v>
      </c>
      <c r="H671" s="1">
        <v>0</v>
      </c>
      <c r="K671" s="1" t="str">
        <f t="shared" si="40"/>
        <v/>
      </c>
      <c r="L671" s="1" t="str">
        <f t="shared" si="41"/>
        <v/>
      </c>
      <c r="M671" s="1" t="str">
        <f t="shared" si="42"/>
        <v/>
      </c>
      <c r="P671" s="1" t="s">
        <v>20</v>
      </c>
      <c r="V671" s="1" t="s">
        <v>29049</v>
      </c>
      <c r="X671" s="1" t="s">
        <v>27842</v>
      </c>
      <c r="AR671" s="1" t="str">
        <f t="shared" si="43"/>
        <v>| [](.md) | [貛](貛.md) |  |  | 「獾」的異體字。 |</v>
      </c>
    </row>
    <row r="672" spans="1:44" hidden="1">
      <c r="A672" s="1" t="s">
        <v>29050</v>
      </c>
      <c r="C672" s="1">
        <v>1</v>
      </c>
      <c r="D672" s="1" t="str">
        <f>"05153-1"</f>
        <v>05153-1</v>
      </c>
      <c r="E672" s="1" t="s">
        <v>1908</v>
      </c>
      <c r="F672" s="1">
        <v>6</v>
      </c>
      <c r="G672" s="1">
        <v>2</v>
      </c>
      <c r="H672" s="1">
        <v>0</v>
      </c>
      <c r="K672" s="1" t="str">
        <f t="shared" si="40"/>
        <v/>
      </c>
      <c r="L672" s="1" t="str">
        <f t="shared" si="41"/>
        <v/>
      </c>
      <c r="M672" s="1" t="str">
        <f t="shared" si="42"/>
        <v/>
      </c>
      <c r="P672" s="1" t="s">
        <v>20</v>
      </c>
      <c r="V672" s="1" t="s">
        <v>29051</v>
      </c>
      <c r="X672" s="1" t="s">
        <v>27842</v>
      </c>
      <c r="AR672" s="1" t="str">
        <f t="shared" si="43"/>
        <v>| [](.md) | [欢](欢.md) |  |  | 「歡」的異體字。 |</v>
      </c>
    </row>
    <row r="673" spans="1:44" hidden="1">
      <c r="A673" s="1" t="s">
        <v>29052</v>
      </c>
      <c r="C673" s="1">
        <v>1</v>
      </c>
      <c r="D673" s="1" t="str">
        <f>"05167-1"</f>
        <v>05167-1</v>
      </c>
      <c r="E673" s="1" t="s">
        <v>142</v>
      </c>
      <c r="F673" s="1">
        <v>8</v>
      </c>
      <c r="G673" s="1">
        <v>4</v>
      </c>
      <c r="H673" s="1">
        <v>0</v>
      </c>
      <c r="K673" s="1" t="str">
        <f t="shared" si="40"/>
        <v/>
      </c>
      <c r="L673" s="1" t="str">
        <f t="shared" si="41"/>
        <v/>
      </c>
      <c r="M673" s="1" t="str">
        <f t="shared" si="42"/>
        <v/>
      </c>
      <c r="P673" s="1" t="s">
        <v>20</v>
      </c>
      <c r="V673" s="1" t="s">
        <v>29053</v>
      </c>
      <c r="X673" s="1" t="s">
        <v>27842</v>
      </c>
      <c r="AR673" s="1" t="str">
        <f t="shared" si="43"/>
        <v>| [](.md) | [环](环.md) |  |  | 「環」的異體字。 |</v>
      </c>
    </row>
    <row r="674" spans="1:44" hidden="1">
      <c r="A674" s="1" t="s">
        <v>29054</v>
      </c>
      <c r="C674" s="1">
        <v>1</v>
      </c>
      <c r="D674" s="1" t="str">
        <f>"05168-1"</f>
        <v>05168-1</v>
      </c>
      <c r="E674" s="1" t="s">
        <v>558</v>
      </c>
      <c r="F674" s="1">
        <v>8</v>
      </c>
      <c r="G674" s="1">
        <v>4</v>
      </c>
      <c r="H674" s="1">
        <v>0</v>
      </c>
      <c r="K674" s="1" t="str">
        <f t="shared" si="40"/>
        <v/>
      </c>
      <c r="L674" s="1" t="str">
        <f t="shared" si="41"/>
        <v/>
      </c>
      <c r="M674" s="1" t="str">
        <f t="shared" si="42"/>
        <v/>
      </c>
      <c r="P674" s="1" t="s">
        <v>20</v>
      </c>
      <c r="V674" s="1" t="s">
        <v>29055</v>
      </c>
      <c r="X674" s="1" t="s">
        <v>27842</v>
      </c>
      <c r="AR674" s="1" t="str">
        <f t="shared" si="43"/>
        <v>| [](.md) | [还](还.md) |  |  | 「還」的異體字。 |</v>
      </c>
    </row>
    <row r="675" spans="1:44" hidden="1">
      <c r="A675" s="1" t="s">
        <v>29056</v>
      </c>
      <c r="C675" s="1">
        <v>1</v>
      </c>
      <c r="D675" s="1" t="str">
        <f>"05198-1"</f>
        <v>05198-1</v>
      </c>
      <c r="E675" s="1" t="s">
        <v>646</v>
      </c>
      <c r="F675" s="1">
        <v>9</v>
      </c>
      <c r="G675" s="1">
        <v>5</v>
      </c>
      <c r="H675" s="1">
        <v>0</v>
      </c>
      <c r="K675" s="1" t="str">
        <f t="shared" si="40"/>
        <v/>
      </c>
      <c r="L675" s="1" t="str">
        <f t="shared" si="41"/>
        <v/>
      </c>
      <c r="M675" s="1" t="str">
        <f t="shared" si="42"/>
        <v/>
      </c>
      <c r="P675" s="1" t="s">
        <v>20</v>
      </c>
      <c r="V675" s="1" t="s">
        <v>29057</v>
      </c>
      <c r="X675" s="1" t="s">
        <v>27842</v>
      </c>
      <c r="AR675" s="1" t="str">
        <f t="shared" si="43"/>
        <v>| [](.md) | [昬](昬.md) |  |  | 「昏」的異體字。 |</v>
      </c>
    </row>
    <row r="676" spans="1:44" hidden="1">
      <c r="A676" s="1" t="s">
        <v>29058</v>
      </c>
      <c r="C676" s="1">
        <v>1</v>
      </c>
      <c r="D676" s="1" t="str">
        <f>"05199-1"</f>
        <v>05199-1</v>
      </c>
      <c r="E676" s="1" t="s">
        <v>250</v>
      </c>
      <c r="F676" s="1">
        <v>12</v>
      </c>
      <c r="G676" s="1">
        <v>9</v>
      </c>
      <c r="H676" s="1">
        <v>0</v>
      </c>
      <c r="K676" s="1" t="str">
        <f t="shared" si="40"/>
        <v/>
      </c>
      <c r="L676" s="1" t="str">
        <f t="shared" si="41"/>
        <v/>
      </c>
      <c r="M676" s="1" t="str">
        <f t="shared" si="42"/>
        <v/>
      </c>
      <c r="P676" s="1" t="s">
        <v>20</v>
      </c>
      <c r="V676" s="1" t="s">
        <v>29059</v>
      </c>
      <c r="X676" s="1" t="s">
        <v>27842</v>
      </c>
      <c r="AR676" s="1" t="str">
        <f t="shared" si="43"/>
        <v>| [](.md) | [惽](惽.md) |  |  | 「惛」的異體字。 |</v>
      </c>
    </row>
    <row r="677" spans="1:44" hidden="1">
      <c r="A677" s="1" t="s">
        <v>29060</v>
      </c>
      <c r="C677" s="1">
        <v>1</v>
      </c>
      <c r="D677" s="1" t="str">
        <f>"05200-1"</f>
        <v>05200-1</v>
      </c>
      <c r="E677" s="1" t="s">
        <v>534</v>
      </c>
      <c r="F677" s="1">
        <v>12</v>
      </c>
      <c r="G677" s="1">
        <v>9</v>
      </c>
      <c r="H677" s="1">
        <v>0</v>
      </c>
      <c r="K677" s="1" t="str">
        <f t="shared" si="40"/>
        <v/>
      </c>
      <c r="L677" s="1" t="str">
        <f t="shared" si="41"/>
        <v/>
      </c>
      <c r="M677" s="1" t="str">
        <f t="shared" si="42"/>
        <v/>
      </c>
      <c r="P677" s="1" t="s">
        <v>20</v>
      </c>
      <c r="V677" s="1" t="s">
        <v>29061</v>
      </c>
      <c r="X677" s="1" t="s">
        <v>27842</v>
      </c>
      <c r="AR677" s="1" t="str">
        <f t="shared" si="43"/>
        <v>| [](.md) | [㛰](㛰.md) |  |  | 「婚」的異體字。 |</v>
      </c>
    </row>
    <row r="678" spans="1:44" hidden="1">
      <c r="A678" s="1" t="s">
        <v>29062</v>
      </c>
      <c r="C678" s="1">
        <v>1</v>
      </c>
      <c r="D678" s="1" t="str">
        <f>"05201-1"</f>
        <v>05201-1</v>
      </c>
      <c r="E678" s="1" t="s">
        <v>1372</v>
      </c>
      <c r="F678" s="1">
        <v>13</v>
      </c>
      <c r="G678" s="1">
        <v>9</v>
      </c>
      <c r="H678" s="1">
        <v>0</v>
      </c>
      <c r="K678" s="1" t="str">
        <f t="shared" si="40"/>
        <v/>
      </c>
      <c r="L678" s="1" t="str">
        <f t="shared" si="41"/>
        <v/>
      </c>
      <c r="M678" s="1" t="str">
        <f t="shared" si="42"/>
        <v/>
      </c>
      <c r="P678" s="1" t="s">
        <v>20</v>
      </c>
      <c r="V678" s="1" t="s">
        <v>29063</v>
      </c>
      <c r="X678" s="1" t="s">
        <v>27842</v>
      </c>
      <c r="AR678" s="1" t="str">
        <f t="shared" si="43"/>
        <v>| [](.md) | [㱪](㱪.md) |  |  | 「殙」的異體字。 |</v>
      </c>
    </row>
    <row r="679" spans="1:44" hidden="1">
      <c r="A679" s="1" t="s">
        <v>29064</v>
      </c>
      <c r="C679" s="1">
        <v>1</v>
      </c>
      <c r="D679" s="1" t="str">
        <f>"05210-1"</f>
        <v>05210-1</v>
      </c>
      <c r="E679" s="1" t="s">
        <v>83</v>
      </c>
      <c r="F679" s="1">
        <v>14</v>
      </c>
      <c r="G679" s="1">
        <v>4</v>
      </c>
      <c r="H679" s="1">
        <v>0</v>
      </c>
      <c r="K679" s="1" t="str">
        <f t="shared" si="40"/>
        <v/>
      </c>
      <c r="L679" s="1" t="str">
        <f t="shared" si="41"/>
        <v/>
      </c>
      <c r="M679" s="1" t="str">
        <f t="shared" si="42"/>
        <v/>
      </c>
      <c r="P679" s="1" t="s">
        <v>20</v>
      </c>
      <c r="V679" s="1" t="s">
        <v>29065</v>
      </c>
      <c r="X679" s="1" t="s">
        <v>27842</v>
      </c>
      <c r="AR679" s="1" t="str">
        <f t="shared" si="43"/>
        <v>| [](.md) | [䰟](䰟.md) |  |  | 「魂」的異體字。 |</v>
      </c>
    </row>
    <row r="680" spans="1:44" hidden="1">
      <c r="A680" s="1" t="s">
        <v>29066</v>
      </c>
      <c r="C680" s="1">
        <v>1</v>
      </c>
      <c r="D680" s="1" t="str">
        <f>"05214-1"</f>
        <v>05214-1</v>
      </c>
      <c r="E680" s="1" t="s">
        <v>250</v>
      </c>
      <c r="F680" s="1">
        <v>13</v>
      </c>
      <c r="G680" s="1">
        <v>10</v>
      </c>
      <c r="H680" s="1">
        <v>0</v>
      </c>
      <c r="K680" s="1" t="str">
        <f t="shared" si="40"/>
        <v/>
      </c>
      <c r="L680" s="1" t="str">
        <f t="shared" si="41"/>
        <v/>
      </c>
      <c r="M680" s="1" t="str">
        <f t="shared" si="42"/>
        <v/>
      </c>
      <c r="P680" s="1" t="s">
        <v>20</v>
      </c>
      <c r="V680" s="1" t="s">
        <v>29067</v>
      </c>
      <c r="X680" s="1" t="s">
        <v>27842</v>
      </c>
      <c r="AR680" s="1" t="str">
        <f t="shared" si="43"/>
        <v>| [](.md) | [㥵](㥵.md) |  |  | 「慁」的異體字。 |</v>
      </c>
    </row>
    <row r="681" spans="1:44" hidden="1">
      <c r="A681" s="1" t="s">
        <v>29068</v>
      </c>
      <c r="C681" s="1">
        <v>1</v>
      </c>
      <c r="D681" s="1" t="str">
        <f>"05239-1"</f>
        <v>05239-1</v>
      </c>
      <c r="E681" s="1" t="s">
        <v>156</v>
      </c>
      <c r="F681" s="1">
        <v>23</v>
      </c>
      <c r="G681" s="1">
        <v>12</v>
      </c>
      <c r="H681" s="1">
        <v>0</v>
      </c>
      <c r="K681" s="1" t="str">
        <f t="shared" si="40"/>
        <v/>
      </c>
      <c r="L681" s="1" t="str">
        <f t="shared" si="41"/>
        <v/>
      </c>
      <c r="M681" s="1" t="str">
        <f t="shared" si="42"/>
        <v/>
      </c>
      <c r="P681" s="1" t="s">
        <v>20</v>
      </c>
      <c r="V681" s="1" t="s">
        <v>29069</v>
      </c>
      <c r="X681" s="1" t="s">
        <v>27842</v>
      </c>
      <c r="AR681" s="1" t="str">
        <f t="shared" si="43"/>
        <v>| [](.md) | [鱑](鱑.md) |  |  | 「鰉」的異體字。 |</v>
      </c>
    </row>
    <row r="682" spans="1:44" hidden="1">
      <c r="A682" s="1" t="s">
        <v>29070</v>
      </c>
      <c r="C682" s="1">
        <v>1</v>
      </c>
      <c r="D682" s="1" t="str">
        <f>"05240-1"</f>
        <v>05240-1</v>
      </c>
      <c r="E682" s="1" t="s">
        <v>6180</v>
      </c>
      <c r="F682" s="1">
        <v>11</v>
      </c>
      <c r="G682" s="1">
        <v>0</v>
      </c>
      <c r="H682" s="1">
        <v>0</v>
      </c>
      <c r="K682" s="1" t="str">
        <f t="shared" si="40"/>
        <v/>
      </c>
      <c r="L682" s="1" t="str">
        <f t="shared" si="41"/>
        <v/>
      </c>
      <c r="M682" s="1" t="str">
        <f t="shared" si="42"/>
        <v/>
      </c>
      <c r="P682" s="1" t="s">
        <v>20</v>
      </c>
      <c r="V682" s="1" t="s">
        <v>29071</v>
      </c>
      <c r="X682" s="1" t="s">
        <v>27842</v>
      </c>
      <c r="AR682" s="1" t="str">
        <f t="shared" si="43"/>
        <v>| [](.md) | [黄](黄.md) |  |  | 「黃」的異體字。 |</v>
      </c>
    </row>
    <row r="683" spans="1:44" hidden="1">
      <c r="A683" s="1" t="s">
        <v>29072</v>
      </c>
      <c r="C683" s="1">
        <v>1</v>
      </c>
      <c r="D683" s="1" t="str">
        <f>"05240-2"</f>
        <v>05240-2</v>
      </c>
      <c r="E683" s="1" t="s">
        <v>6180</v>
      </c>
      <c r="F683" s="1">
        <v>12</v>
      </c>
      <c r="G683" s="1">
        <v>0</v>
      </c>
      <c r="H683" s="1">
        <v>0</v>
      </c>
      <c r="K683" s="1" t="str">
        <f t="shared" si="40"/>
        <v/>
      </c>
      <c r="L683" s="1" t="str">
        <f t="shared" si="41"/>
        <v/>
      </c>
      <c r="M683" s="1" t="str">
        <f t="shared" si="42"/>
        <v/>
      </c>
      <c r="P683" s="1" t="s">
        <v>20</v>
      </c>
      <c r="V683" s="1" t="s">
        <v>29071</v>
      </c>
      <c r="X683" s="1" t="s">
        <v>27842</v>
      </c>
      <c r="AR683" s="1" t="str">
        <f t="shared" si="43"/>
        <v>| [](.md) | [󶾄](󶾄.md) |  |  | 「黃」的異體字。 |</v>
      </c>
    </row>
    <row r="684" spans="1:44" hidden="1">
      <c r="A684" s="1" t="s">
        <v>29073</v>
      </c>
      <c r="C684" s="1">
        <v>1</v>
      </c>
      <c r="D684" s="1" t="str">
        <f>"05241-1"</f>
        <v>05241-1</v>
      </c>
      <c r="E684" s="1" t="s">
        <v>129</v>
      </c>
      <c r="F684" s="1">
        <v>14</v>
      </c>
      <c r="G684" s="1">
        <v>11</v>
      </c>
      <c r="H684" s="1">
        <v>0</v>
      </c>
      <c r="K684" s="1" t="str">
        <f t="shared" si="40"/>
        <v/>
      </c>
      <c r="L684" s="1" t="str">
        <f t="shared" si="41"/>
        <v/>
      </c>
      <c r="M684" s="1" t="str">
        <f t="shared" si="42"/>
        <v/>
      </c>
      <c r="P684" s="1" t="s">
        <v>20</v>
      </c>
      <c r="V684" s="1" t="s">
        <v>29074</v>
      </c>
      <c r="X684" s="1" t="s">
        <v>27842</v>
      </c>
      <c r="AR684" s="1" t="str">
        <f t="shared" si="43"/>
        <v>| [](.md) | [󷺁](󷺁.md) |  |  | 「潢」的異體字。 |</v>
      </c>
    </row>
    <row r="685" spans="1:44" hidden="1">
      <c r="A685" s="1" t="s">
        <v>29075</v>
      </c>
      <c r="C685" s="1">
        <v>1</v>
      </c>
      <c r="D685" s="1" t="str">
        <f>"05242-1"</f>
        <v>05242-1</v>
      </c>
      <c r="E685" s="1" t="s">
        <v>142</v>
      </c>
      <c r="F685" s="1">
        <v>15</v>
      </c>
      <c r="G685" s="1">
        <v>11</v>
      </c>
      <c r="H685" s="1">
        <v>0</v>
      </c>
      <c r="K685" s="1" t="str">
        <f t="shared" si="40"/>
        <v/>
      </c>
      <c r="L685" s="1" t="str">
        <f t="shared" si="41"/>
        <v/>
      </c>
      <c r="M685" s="1" t="str">
        <f t="shared" si="42"/>
        <v/>
      </c>
      <c r="P685" s="1" t="s">
        <v>20</v>
      </c>
      <c r="V685" s="1" t="s">
        <v>29076</v>
      </c>
      <c r="X685" s="1" t="s">
        <v>27842</v>
      </c>
      <c r="AR685" s="1" t="str">
        <f t="shared" si="43"/>
        <v>| [](.md) | [󳬙](󳬙.md) |  |  | 「璜」的異體字。 |</v>
      </c>
    </row>
    <row r="686" spans="1:44" hidden="1">
      <c r="A686" s="1" t="s">
        <v>29077</v>
      </c>
      <c r="C686" s="1">
        <v>1</v>
      </c>
      <c r="D686" s="1" t="str">
        <f>"05245-1"</f>
        <v>05245-1</v>
      </c>
      <c r="E686" s="1" t="s">
        <v>49</v>
      </c>
      <c r="F686" s="1">
        <v>17</v>
      </c>
      <c r="G686" s="1">
        <v>11</v>
      </c>
      <c r="H686" s="1">
        <v>0</v>
      </c>
      <c r="K686" s="1" t="str">
        <f t="shared" si="40"/>
        <v/>
      </c>
      <c r="L686" s="1" t="str">
        <f t="shared" si="41"/>
        <v/>
      </c>
      <c r="M686" s="1" t="str">
        <f t="shared" si="42"/>
        <v/>
      </c>
      <c r="P686" s="1" t="s">
        <v>20</v>
      </c>
      <c r="V686" s="1" t="s">
        <v>29078</v>
      </c>
      <c r="X686" s="1" t="s">
        <v>27842</v>
      </c>
      <c r="AR686" s="1" t="str">
        <f t="shared" si="43"/>
        <v>| [](.md) | [󹖰](󹖰.md) |  |  | 「簧」的異體字。 |</v>
      </c>
    </row>
    <row r="687" spans="1:44" hidden="1">
      <c r="A687" s="1" t="s">
        <v>29079</v>
      </c>
      <c r="C687" s="1">
        <v>1</v>
      </c>
      <c r="D687" s="1" t="str">
        <f>"05281-1"</f>
        <v>05281-1</v>
      </c>
      <c r="E687" s="1" t="s">
        <v>37</v>
      </c>
      <c r="F687" s="1">
        <v>13</v>
      </c>
      <c r="G687" s="1">
        <v>9</v>
      </c>
      <c r="H687" s="1">
        <v>0</v>
      </c>
      <c r="K687" s="1" t="str">
        <f t="shared" si="40"/>
        <v/>
      </c>
      <c r="L687" s="1" t="str">
        <f t="shared" si="41"/>
        <v/>
      </c>
      <c r="M687" s="1" t="str">
        <f t="shared" si="42"/>
        <v/>
      </c>
      <c r="P687" s="1" t="s">
        <v>20</v>
      </c>
      <c r="V687" s="1" t="s">
        <v>29080</v>
      </c>
      <c r="X687" s="1" t="s">
        <v>27842</v>
      </c>
      <c r="AR687" s="1" t="str">
        <f t="shared" si="43"/>
        <v>| [](.md) | [葓](葓.md) |  |  | 「葒」的異體字。 |</v>
      </c>
    </row>
    <row r="688" spans="1:44" hidden="1">
      <c r="A688" s="1" t="s">
        <v>29081</v>
      </c>
      <c r="C688" s="1">
        <v>1</v>
      </c>
      <c r="D688" s="1" t="str">
        <f>"05289-1"</f>
        <v>05289-1</v>
      </c>
      <c r="E688" s="1" t="s">
        <v>709</v>
      </c>
      <c r="F688" s="1">
        <v>14</v>
      </c>
      <c r="G688" s="1">
        <v>6</v>
      </c>
      <c r="H688" s="1">
        <v>0</v>
      </c>
      <c r="K688" s="1" t="str">
        <f t="shared" si="40"/>
        <v/>
      </c>
      <c r="L688" s="1" t="str">
        <f t="shared" si="41"/>
        <v/>
      </c>
      <c r="M688" s="1" t="str">
        <f t="shared" si="42"/>
        <v/>
      </c>
      <c r="P688" s="1" t="s">
        <v>20</v>
      </c>
      <c r="V688" s="1" t="s">
        <v>29082</v>
      </c>
      <c r="X688" s="1" t="s">
        <v>27842</v>
      </c>
      <c r="AR688" s="1" t="str">
        <f t="shared" si="43"/>
        <v>| [](.md) | [閧](閧.md) |  |  | 「鬨」的異體字。 |</v>
      </c>
    </row>
    <row r="689" spans="1:44" hidden="1">
      <c r="A689" s="1" t="s">
        <v>12820</v>
      </c>
      <c r="C689" s="1">
        <v>1</v>
      </c>
      <c r="D689" s="1" t="str">
        <f>"05291-1"</f>
        <v>05291-1</v>
      </c>
      <c r="E689" s="1" t="s">
        <v>139</v>
      </c>
      <c r="F689" s="1">
        <v>6</v>
      </c>
      <c r="G689" s="1">
        <v>2</v>
      </c>
      <c r="H689" s="1">
        <v>0</v>
      </c>
      <c r="K689" s="1" t="str">
        <f t="shared" si="40"/>
        <v/>
      </c>
      <c r="L689" s="1" t="str">
        <f t="shared" si="41"/>
        <v/>
      </c>
      <c r="M689" s="1" t="str">
        <f t="shared" si="42"/>
        <v/>
      </c>
      <c r="P689" s="1" t="s">
        <v>20</v>
      </c>
      <c r="V689" s="1" t="s">
        <v>29083</v>
      </c>
      <c r="X689" s="1" t="s">
        <v>27842</v>
      </c>
      <c r="AR689" s="1" t="str">
        <f t="shared" si="43"/>
        <v>| [](.md) | [机](机.md) |  |  | 「几」的異體字。 |</v>
      </c>
    </row>
    <row r="690" spans="1:44" hidden="1">
      <c r="A690" s="1" t="s">
        <v>29084</v>
      </c>
      <c r="C690" s="1">
        <v>1</v>
      </c>
      <c r="D690" s="1" t="str">
        <f>"05301-1"</f>
        <v>05301-1</v>
      </c>
      <c r="E690" s="1" t="s">
        <v>2014</v>
      </c>
      <c r="F690" s="1">
        <v>12</v>
      </c>
      <c r="G690" s="1">
        <v>8</v>
      </c>
      <c r="H690" s="1">
        <v>0</v>
      </c>
      <c r="K690" s="1" t="str">
        <f t="shared" si="40"/>
        <v/>
      </c>
      <c r="L690" s="1" t="str">
        <f t="shared" si="41"/>
        <v/>
      </c>
      <c r="M690" s="1" t="str">
        <f t="shared" si="42"/>
        <v/>
      </c>
      <c r="P690" s="1" t="s">
        <v>20</v>
      </c>
      <c r="V690" s="1" t="s">
        <v>29085</v>
      </c>
      <c r="X690" s="1" t="s">
        <v>27842</v>
      </c>
      <c r="AR690" s="1" t="str">
        <f t="shared" si="43"/>
        <v>| [](.md) | [朞](朞.md) |  |  | 「期」的異體字。 |</v>
      </c>
    </row>
    <row r="691" spans="1:44" hidden="1">
      <c r="A691" s="1" t="s">
        <v>29086</v>
      </c>
      <c r="C691" s="1">
        <v>1</v>
      </c>
      <c r="D691" s="1" t="str">
        <f>"05311-1"</f>
        <v>05311-1</v>
      </c>
      <c r="E691" s="1" t="s">
        <v>4317</v>
      </c>
      <c r="F691" s="1">
        <v>23</v>
      </c>
      <c r="G691" s="1">
        <v>17</v>
      </c>
      <c r="H691" s="1">
        <v>0</v>
      </c>
      <c r="K691" s="1" t="str">
        <f t="shared" si="40"/>
        <v/>
      </c>
      <c r="L691" s="1" t="str">
        <f t="shared" si="41"/>
        <v/>
      </c>
      <c r="M691" s="1" t="str">
        <f t="shared" si="42"/>
        <v/>
      </c>
      <c r="P691" s="1" t="s">
        <v>20</v>
      </c>
      <c r="V691" s="1" t="s">
        <v>29087</v>
      </c>
      <c r="X691" s="1" t="s">
        <v>27842</v>
      </c>
      <c r="AR691" s="1" t="str">
        <f t="shared" si="43"/>
        <v>| [](.md) | [覉](覉.md) |  |  | 「羇」的異體字。 |</v>
      </c>
    </row>
    <row r="692" spans="1:44" hidden="1">
      <c r="A692" s="1" t="s">
        <v>29088</v>
      </c>
      <c r="C692" s="1">
        <v>1</v>
      </c>
      <c r="D692" s="1" t="str">
        <f>"05314-1"</f>
        <v>05314-1</v>
      </c>
      <c r="E692" s="1" t="s">
        <v>28</v>
      </c>
      <c r="F692" s="1">
        <v>12</v>
      </c>
      <c r="G692" s="1">
        <v>9</v>
      </c>
      <c r="H692" s="1">
        <v>0</v>
      </c>
      <c r="K692" s="1" t="str">
        <f t="shared" si="40"/>
        <v/>
      </c>
      <c r="L692" s="1" t="str">
        <f t="shared" si="41"/>
        <v/>
      </c>
      <c r="M692" s="1" t="str">
        <f t="shared" si="42"/>
        <v/>
      </c>
      <c r="P692" s="1" t="s">
        <v>20</v>
      </c>
      <c r="V692" s="1" t="s">
        <v>29089</v>
      </c>
      <c r="X692" s="1" t="s">
        <v>27842</v>
      </c>
      <c r="AR692" s="1" t="str">
        <f t="shared" si="43"/>
        <v>| [](.md) | [喞](喞.md) |  |  | 「唧」的異體字。 |</v>
      </c>
    </row>
    <row r="693" spans="1:44" hidden="1">
      <c r="A693" s="1" t="s">
        <v>29090</v>
      </c>
      <c r="C693" s="1">
        <v>1</v>
      </c>
      <c r="D693" s="1" t="str">
        <f>"05315-1"</f>
        <v>05315-1</v>
      </c>
      <c r="E693" s="1" t="s">
        <v>49</v>
      </c>
      <c r="F693" s="1">
        <v>12</v>
      </c>
      <c r="G693" s="1">
        <v>6</v>
      </c>
      <c r="H693" s="1">
        <v>0</v>
      </c>
      <c r="K693" s="1" t="str">
        <f t="shared" si="40"/>
        <v/>
      </c>
      <c r="L693" s="1" t="str">
        <f t="shared" si="41"/>
        <v/>
      </c>
      <c r="M693" s="1" t="str">
        <f t="shared" si="42"/>
        <v/>
      </c>
      <c r="P693" s="1" t="s">
        <v>20</v>
      </c>
      <c r="V693" s="1" t="s">
        <v>29091</v>
      </c>
      <c r="X693" s="1" t="s">
        <v>27842</v>
      </c>
      <c r="AR693" s="1" t="str">
        <f t="shared" si="43"/>
        <v>| [](.md) | [筓](筓.md) |  |  | 「笄」的異體字。 |</v>
      </c>
    </row>
    <row r="694" spans="1:44" hidden="1">
      <c r="A694" s="1" t="s">
        <v>29092</v>
      </c>
      <c r="C694" s="1">
        <v>1</v>
      </c>
      <c r="D694" s="1" t="str">
        <f>"05317-1"</f>
        <v>05317-1</v>
      </c>
      <c r="E694" s="1" t="s">
        <v>534</v>
      </c>
      <c r="F694" s="1">
        <v>10</v>
      </c>
      <c r="G694" s="1">
        <v>7</v>
      </c>
      <c r="H694" s="1">
        <v>0</v>
      </c>
      <c r="K694" s="1" t="str">
        <f t="shared" si="40"/>
        <v/>
      </c>
      <c r="L694" s="1" t="str">
        <f t="shared" si="41"/>
        <v/>
      </c>
      <c r="M694" s="1" t="str">
        <f t="shared" si="42"/>
        <v/>
      </c>
      <c r="P694" s="1" t="s">
        <v>20</v>
      </c>
      <c r="V694" s="1" t="s">
        <v>29093</v>
      </c>
      <c r="X694" s="1" t="s">
        <v>27842</v>
      </c>
      <c r="AR694" s="1" t="str">
        <f t="shared" si="43"/>
        <v>| [](.md) | [姬](姬.md) |  |  | 「姬」的異體字。 |</v>
      </c>
    </row>
    <row r="695" spans="1:44" hidden="1">
      <c r="A695" s="1" t="s">
        <v>12816</v>
      </c>
      <c r="C695" s="1">
        <v>1</v>
      </c>
      <c r="D695" s="1" t="str">
        <f>"05320-1"</f>
        <v>05320-1</v>
      </c>
      <c r="E695" s="1" t="s">
        <v>5107</v>
      </c>
      <c r="F695" s="1">
        <v>2</v>
      </c>
      <c r="G695" s="1">
        <v>0</v>
      </c>
      <c r="H695" s="1">
        <v>0</v>
      </c>
      <c r="K695" s="1" t="str">
        <f t="shared" si="40"/>
        <v/>
      </c>
      <c r="L695" s="1" t="str">
        <f t="shared" si="41"/>
        <v/>
      </c>
      <c r="M695" s="1" t="str">
        <f t="shared" si="42"/>
        <v/>
      </c>
      <c r="P695" s="1" t="s">
        <v>20</v>
      </c>
      <c r="V695" s="1" t="s">
        <v>29094</v>
      </c>
      <c r="X695" s="1" t="s">
        <v>27842</v>
      </c>
      <c r="AR695" s="1" t="str">
        <f t="shared" si="43"/>
        <v>| [](.md) | [几](几.md) |  |  | 「幾」的異體字。 |</v>
      </c>
    </row>
    <row r="696" spans="1:44" hidden="1">
      <c r="A696" s="1" t="s">
        <v>12820</v>
      </c>
      <c r="C696" s="1">
        <v>1</v>
      </c>
      <c r="D696" s="1" t="str">
        <f>"05324-1"</f>
        <v>05324-1</v>
      </c>
      <c r="E696" s="1" t="s">
        <v>139</v>
      </c>
      <c r="F696" s="1">
        <v>6</v>
      </c>
      <c r="G696" s="1">
        <v>2</v>
      </c>
      <c r="H696" s="1">
        <v>0</v>
      </c>
      <c r="K696" s="1" t="str">
        <f t="shared" si="40"/>
        <v/>
      </c>
      <c r="L696" s="1" t="str">
        <f t="shared" si="41"/>
        <v/>
      </c>
      <c r="M696" s="1" t="str">
        <f t="shared" si="42"/>
        <v/>
      </c>
      <c r="P696" s="1" t="s">
        <v>20</v>
      </c>
      <c r="V696" s="1" t="s">
        <v>29095</v>
      </c>
      <c r="X696" s="1" t="s">
        <v>27842</v>
      </c>
      <c r="AR696" s="1" t="str">
        <f t="shared" si="43"/>
        <v>| [](.md) | [机](机.md) |  |  | 「機」的異體字。 |</v>
      </c>
    </row>
    <row r="697" spans="1:44" hidden="1">
      <c r="A697" s="1" t="s">
        <v>12825</v>
      </c>
      <c r="C697" s="1">
        <v>1</v>
      </c>
      <c r="D697" s="1" t="str">
        <f>"05328-1"</f>
        <v>05328-1</v>
      </c>
      <c r="E697" s="1" t="s">
        <v>193</v>
      </c>
      <c r="F697" s="1">
        <v>10</v>
      </c>
      <c r="G697" s="1">
        <v>2</v>
      </c>
      <c r="H697" s="1">
        <v>0</v>
      </c>
      <c r="K697" s="1" t="str">
        <f t="shared" si="40"/>
        <v/>
      </c>
      <c r="L697" s="1" t="str">
        <f t="shared" si="41"/>
        <v/>
      </c>
      <c r="M697" s="1" t="str">
        <f t="shared" si="42"/>
        <v/>
      </c>
      <c r="P697" s="1" t="s">
        <v>20</v>
      </c>
      <c r="V697" s="1" t="s">
        <v>29096</v>
      </c>
      <c r="X697" s="1" t="s">
        <v>27842</v>
      </c>
      <c r="AR697" s="1" t="str">
        <f t="shared" si="43"/>
        <v>| [](.md) | [飢](飢.md) |  |  | 「饑」的異體字。 |</v>
      </c>
    </row>
    <row r="698" spans="1:44" hidden="1">
      <c r="A698" s="1" t="s">
        <v>29097</v>
      </c>
      <c r="C698" s="1">
        <v>1</v>
      </c>
      <c r="D698" s="1" t="str">
        <f>"05335-1"</f>
        <v>05335-1</v>
      </c>
      <c r="E698" s="1" t="s">
        <v>558</v>
      </c>
      <c r="F698" s="1">
        <v>10</v>
      </c>
      <c r="G698" s="1">
        <v>6</v>
      </c>
      <c r="H698" s="1">
        <v>0</v>
      </c>
      <c r="K698" s="1" t="str">
        <f t="shared" si="40"/>
        <v/>
      </c>
      <c r="L698" s="1" t="str">
        <f t="shared" si="41"/>
        <v/>
      </c>
      <c r="M698" s="1" t="str">
        <f t="shared" si="42"/>
        <v/>
      </c>
      <c r="P698" s="1" t="s">
        <v>20</v>
      </c>
      <c r="V698" s="1" t="s">
        <v>29098</v>
      </c>
      <c r="X698" s="1" t="s">
        <v>27842</v>
      </c>
      <c r="AR698" s="1" t="str">
        <f t="shared" si="43"/>
        <v>| [](.md) | [迹](迹.md) |  |  | 「跡」的異體字。 |</v>
      </c>
    </row>
    <row r="699" spans="1:44" hidden="1">
      <c r="A699" s="1" t="s">
        <v>29099</v>
      </c>
      <c r="C699" s="1">
        <v>1</v>
      </c>
      <c r="D699" s="1" t="str">
        <f>"05338-1"</f>
        <v>05338-1</v>
      </c>
      <c r="E699" s="1" t="s">
        <v>505</v>
      </c>
      <c r="F699" s="1">
        <v>15</v>
      </c>
      <c r="G699" s="1">
        <v>8</v>
      </c>
      <c r="H699" s="1">
        <v>0</v>
      </c>
      <c r="K699" s="1" t="str">
        <f t="shared" si="40"/>
        <v/>
      </c>
      <c r="L699" s="1" t="str">
        <f t="shared" si="41"/>
        <v/>
      </c>
      <c r="M699" s="1" t="str">
        <f t="shared" si="42"/>
        <v/>
      </c>
      <c r="P699" s="1" t="s">
        <v>20</v>
      </c>
      <c r="V699" s="1" t="s">
        <v>29100</v>
      </c>
      <c r="X699" s="1" t="s">
        <v>27842</v>
      </c>
      <c r="AR699" s="1" t="str">
        <f t="shared" si="43"/>
        <v>| [](.md) | [賫](賫.md) |  |  | 「齎」的異體字。 |</v>
      </c>
    </row>
    <row r="700" spans="1:44" hidden="1">
      <c r="A700" s="1" t="s">
        <v>29101</v>
      </c>
      <c r="C700" s="1">
        <v>1</v>
      </c>
      <c r="D700" s="1" t="str">
        <f>"05338-2"</f>
        <v>05338-2</v>
      </c>
      <c r="E700" s="1" t="s">
        <v>505</v>
      </c>
      <c r="F700" s="1">
        <v>17</v>
      </c>
      <c r="G700" s="1">
        <v>10</v>
      </c>
      <c r="H700" s="1">
        <v>0</v>
      </c>
      <c r="K700" s="1" t="str">
        <f t="shared" si="40"/>
        <v/>
      </c>
      <c r="L700" s="1" t="str">
        <f t="shared" si="41"/>
        <v/>
      </c>
      <c r="M700" s="1" t="str">
        <f t="shared" si="42"/>
        <v/>
      </c>
      <c r="P700" s="1" t="s">
        <v>20</v>
      </c>
      <c r="V700" s="1" t="s">
        <v>29100</v>
      </c>
      <c r="X700" s="1" t="s">
        <v>27842</v>
      </c>
      <c r="AR700" s="1" t="str">
        <f t="shared" si="43"/>
        <v>| [](.md) | [賷](賷.md) |  |  | 「齎」的異體字。 |</v>
      </c>
    </row>
    <row r="701" spans="1:44" hidden="1">
      <c r="A701" s="1" t="s">
        <v>29102</v>
      </c>
      <c r="C701" s="1">
        <v>1</v>
      </c>
      <c r="D701" s="1" t="str">
        <f>"05340-1"</f>
        <v>05340-1</v>
      </c>
      <c r="E701" s="1" t="s">
        <v>13764</v>
      </c>
      <c r="F701" s="1">
        <v>19</v>
      </c>
      <c r="G701" s="1">
        <v>10</v>
      </c>
      <c r="H701" s="1">
        <v>0</v>
      </c>
      <c r="K701" s="1" t="str">
        <f t="shared" si="40"/>
        <v/>
      </c>
      <c r="L701" s="1" t="str">
        <f t="shared" si="41"/>
        <v/>
      </c>
      <c r="M701" s="1" t="str">
        <f t="shared" si="42"/>
        <v/>
      </c>
      <c r="P701" s="1" t="s">
        <v>20</v>
      </c>
      <c r="V701" s="1" t="s">
        <v>29103</v>
      </c>
      <c r="X701" s="1" t="s">
        <v>27842</v>
      </c>
      <c r="AR701" s="1" t="str">
        <f t="shared" si="43"/>
        <v>| [](.md) | [韲](韲.md) |  |  | 「齏」的異體字。 |</v>
      </c>
    </row>
    <row r="702" spans="1:44" hidden="1">
      <c r="A702" s="1" t="s">
        <v>29104</v>
      </c>
      <c r="C702" s="1">
        <v>1</v>
      </c>
      <c r="D702" s="1" t="str">
        <f>"05340-2"</f>
        <v>05340-2</v>
      </c>
      <c r="E702" s="1" t="s">
        <v>13764</v>
      </c>
      <c r="F702" s="1">
        <v>20</v>
      </c>
      <c r="G702" s="1">
        <v>11</v>
      </c>
      <c r="H702" s="1">
        <v>0</v>
      </c>
      <c r="K702" s="1" t="str">
        <f t="shared" si="40"/>
        <v/>
      </c>
      <c r="L702" s="1" t="str">
        <f t="shared" si="41"/>
        <v/>
      </c>
      <c r="M702" s="1" t="str">
        <f t="shared" si="42"/>
        <v/>
      </c>
      <c r="P702" s="1" t="s">
        <v>20</v>
      </c>
      <c r="V702" s="1" t="s">
        <v>29103</v>
      </c>
      <c r="X702" s="1" t="s">
        <v>27842</v>
      </c>
      <c r="AR702" s="1" t="str">
        <f t="shared" si="43"/>
        <v>| [](.md) | [䪢](䪢.md) |  |  | 「齏」的異體字。 |</v>
      </c>
    </row>
    <row r="703" spans="1:44" hidden="1">
      <c r="A703" s="1" t="s">
        <v>29105</v>
      </c>
      <c r="C703" s="1">
        <v>1</v>
      </c>
      <c r="D703" s="1" t="str">
        <f>"05340-3"</f>
        <v>05340-3</v>
      </c>
      <c r="E703" s="1" t="s">
        <v>13764</v>
      </c>
      <c r="F703" s="1">
        <v>20</v>
      </c>
      <c r="G703" s="1">
        <v>11</v>
      </c>
      <c r="H703" s="1">
        <v>0</v>
      </c>
      <c r="K703" s="1" t="str">
        <f t="shared" si="40"/>
        <v/>
      </c>
      <c r="L703" s="1" t="str">
        <f t="shared" si="41"/>
        <v/>
      </c>
      <c r="M703" s="1" t="str">
        <f t="shared" si="42"/>
        <v/>
      </c>
      <c r="P703" s="1" t="s">
        <v>20</v>
      </c>
      <c r="V703" s="1" t="s">
        <v>29103</v>
      </c>
      <c r="X703" s="1" t="s">
        <v>27842</v>
      </c>
      <c r="AR703" s="1" t="str">
        <f t="shared" si="43"/>
        <v>| [](.md) | [𩐋](𩐋.md) |  |  | 「齏」的異體字。 |</v>
      </c>
    </row>
    <row r="704" spans="1:44" hidden="1">
      <c r="A704" s="1" t="s">
        <v>29106</v>
      </c>
      <c r="C704" s="1">
        <v>1</v>
      </c>
      <c r="D704" s="1" t="str">
        <f>"05342-1"</f>
        <v>05342-1</v>
      </c>
      <c r="E704" s="1" t="s">
        <v>272</v>
      </c>
      <c r="F704" s="1">
        <v>13</v>
      </c>
      <c r="G704" s="1">
        <v>2</v>
      </c>
      <c r="H704" s="1">
        <v>0</v>
      </c>
      <c r="K704" s="1" t="str">
        <f t="shared" si="40"/>
        <v/>
      </c>
      <c r="L704" s="1" t="str">
        <f t="shared" si="41"/>
        <v/>
      </c>
      <c r="M704" s="1" t="str">
        <f t="shared" si="42"/>
        <v/>
      </c>
      <c r="P704" s="1" t="s">
        <v>20</v>
      </c>
      <c r="V704" s="1" t="s">
        <v>29107</v>
      </c>
      <c r="X704" s="1" t="s">
        <v>27842</v>
      </c>
      <c r="AR704" s="1" t="str">
        <f t="shared" si="43"/>
        <v>| [](.md) | [鳮](鳮.md) |  |  | 「雞」的異體字。 |</v>
      </c>
    </row>
    <row r="705" spans="1:44" hidden="1">
      <c r="A705" s="1" t="s">
        <v>29108</v>
      </c>
      <c r="C705" s="1">
        <v>1</v>
      </c>
      <c r="D705" s="1" t="str">
        <f>"05342-2"</f>
        <v>05342-2</v>
      </c>
      <c r="E705" s="1" t="s">
        <v>272</v>
      </c>
      <c r="F705" s="1">
        <v>21</v>
      </c>
      <c r="G705" s="1">
        <v>10</v>
      </c>
      <c r="H705" s="1">
        <v>0</v>
      </c>
      <c r="K705" s="1" t="str">
        <f t="shared" si="40"/>
        <v/>
      </c>
      <c r="L705" s="1" t="str">
        <f t="shared" si="41"/>
        <v/>
      </c>
      <c r="M705" s="1" t="str">
        <f t="shared" si="42"/>
        <v/>
      </c>
      <c r="P705" s="1" t="s">
        <v>20</v>
      </c>
      <c r="V705" s="1" t="s">
        <v>29107</v>
      </c>
      <c r="X705" s="1" t="s">
        <v>27842</v>
      </c>
      <c r="AR705" s="1" t="str">
        <f t="shared" si="43"/>
        <v>| [](.md) | [鷄](鷄.md) |  |  | 「雞」的異體字。 |</v>
      </c>
    </row>
    <row r="706" spans="1:44" hidden="1">
      <c r="A706" s="1" t="s">
        <v>29109</v>
      </c>
      <c r="C706" s="1">
        <v>1</v>
      </c>
      <c r="D706" s="1" t="str">
        <f>"05343-1"</f>
        <v>05343-1</v>
      </c>
      <c r="E706" s="1" t="s">
        <v>4317</v>
      </c>
      <c r="F706" s="1">
        <v>25</v>
      </c>
      <c r="G706" s="1">
        <v>19</v>
      </c>
      <c r="H706" s="1">
        <v>0</v>
      </c>
      <c r="K706" s="1" t="str">
        <f t="shared" ref="K706:K769" si="44">LEFT(I706, 1)</f>
        <v/>
      </c>
      <c r="L706" s="1" t="str">
        <f t="shared" ref="L706:L769" si="45">MID(I706, 2, 1)</f>
        <v/>
      </c>
      <c r="M706" s="1" t="str">
        <f t="shared" ref="M706:M769" si="46">MID(I706, 3, 1)</f>
        <v/>
      </c>
      <c r="P706" s="1" t="s">
        <v>20</v>
      </c>
      <c r="V706" s="1" t="s">
        <v>29110</v>
      </c>
      <c r="X706" s="1" t="s">
        <v>27842</v>
      </c>
      <c r="AR706" s="1" t="str">
        <f t="shared" si="43"/>
        <v>| [](.md) | [覊](覊.md) |  |  | 「羈」的異體字。 |</v>
      </c>
    </row>
    <row r="707" spans="1:44" hidden="1">
      <c r="A707" s="1" t="s">
        <v>29111</v>
      </c>
      <c r="C707" s="1">
        <v>1</v>
      </c>
      <c r="D707" s="1" t="str">
        <f>"05344-1"</f>
        <v>05344-1</v>
      </c>
      <c r="E707" s="1" t="s">
        <v>1663</v>
      </c>
      <c r="F707" s="1">
        <v>3</v>
      </c>
      <c r="G707" s="1">
        <v>2</v>
      </c>
      <c r="H707" s="1">
        <v>0</v>
      </c>
      <c r="K707" s="1" t="str">
        <f t="shared" si="44"/>
        <v/>
      </c>
      <c r="L707" s="1" t="str">
        <f t="shared" si="45"/>
        <v/>
      </c>
      <c r="M707" s="1" t="str">
        <f t="shared" si="46"/>
        <v/>
      </c>
      <c r="P707" s="1" t="s">
        <v>20</v>
      </c>
      <c r="V707" s="1" t="s">
        <v>29112</v>
      </c>
      <c r="X707" s="1" t="s">
        <v>27842</v>
      </c>
      <c r="AR707" s="1" t="str">
        <f t="shared" ref="AR707:AR770" si="47">"| ["&amp;I707&amp;"]("&amp;I707&amp;".md) | ["&amp;A707&amp;"]("&amp;A707&amp;".md) | "&amp;" | "&amp;R707&amp;" | "&amp;V707&amp;" |"</f>
        <v>| [](.md) | [及](及.md) |  |  | 「及」的異體字。 |</v>
      </c>
    </row>
    <row r="708" spans="1:44" hidden="1">
      <c r="A708" s="1" t="s">
        <v>29113</v>
      </c>
      <c r="C708" s="1">
        <v>1</v>
      </c>
      <c r="D708" s="1" t="str">
        <f>"05361-1"</f>
        <v>05361-1</v>
      </c>
      <c r="E708" s="1" t="s">
        <v>132</v>
      </c>
      <c r="F708" s="1">
        <v>12</v>
      </c>
      <c r="G708" s="1">
        <v>9</v>
      </c>
      <c r="H708" s="1">
        <v>0</v>
      </c>
      <c r="K708" s="1" t="str">
        <f t="shared" si="44"/>
        <v/>
      </c>
      <c r="L708" s="1" t="str">
        <f t="shared" si="45"/>
        <v/>
      </c>
      <c r="M708" s="1" t="str">
        <f t="shared" si="46"/>
        <v/>
      </c>
      <c r="P708" s="1" t="s">
        <v>20</v>
      </c>
      <c r="V708" s="1" t="s">
        <v>29114</v>
      </c>
      <c r="X708" s="1" t="s">
        <v>27842</v>
      </c>
      <c r="AR708" s="1" t="str">
        <f t="shared" si="47"/>
        <v>| [](.md) | [堲](堲.md) |  |  | 「堲」的異體字。 |</v>
      </c>
    </row>
    <row r="709" spans="1:44" hidden="1">
      <c r="A709" s="1" t="s">
        <v>29115</v>
      </c>
      <c r="C709" s="1">
        <v>1</v>
      </c>
      <c r="D709" s="1" t="str">
        <f>"05362-1"</f>
        <v>05362-1</v>
      </c>
      <c r="E709" s="1" t="s">
        <v>139</v>
      </c>
      <c r="F709" s="1">
        <v>13</v>
      </c>
      <c r="G709" s="1">
        <v>9</v>
      </c>
      <c r="H709" s="1">
        <v>0</v>
      </c>
      <c r="K709" s="1" t="str">
        <f t="shared" si="44"/>
        <v/>
      </c>
      <c r="L709" s="1" t="str">
        <f t="shared" si="45"/>
        <v/>
      </c>
      <c r="M709" s="1" t="str">
        <f t="shared" si="46"/>
        <v/>
      </c>
      <c r="P709" s="1" t="s">
        <v>20</v>
      </c>
      <c r="V709" s="1" t="s">
        <v>29116</v>
      </c>
      <c r="X709" s="1" t="s">
        <v>27842</v>
      </c>
      <c r="AR709" s="1" t="str">
        <f t="shared" si="47"/>
        <v>| [](.md) | [󷮣](󷮣.md) |  |  | 「楖」的異體字。 |</v>
      </c>
    </row>
    <row r="710" spans="1:44" hidden="1">
      <c r="A710" s="1" t="s">
        <v>29117</v>
      </c>
      <c r="C710" s="1">
        <v>1</v>
      </c>
      <c r="D710" s="1" t="str">
        <f>"05363-1"</f>
        <v>05363-1</v>
      </c>
      <c r="E710" s="1" t="s">
        <v>679</v>
      </c>
      <c r="F710" s="1">
        <v>15</v>
      </c>
      <c r="G710" s="1">
        <v>9</v>
      </c>
      <c r="H710" s="1">
        <v>0</v>
      </c>
      <c r="K710" s="1" t="str">
        <f t="shared" si="44"/>
        <v/>
      </c>
      <c r="L710" s="1" t="str">
        <f t="shared" si="45"/>
        <v/>
      </c>
      <c r="M710" s="1" t="str">
        <f t="shared" si="46"/>
        <v/>
      </c>
      <c r="P710" s="1" t="s">
        <v>20</v>
      </c>
      <c r="V710" s="1" t="s">
        <v>29118</v>
      </c>
      <c r="X710" s="1" t="s">
        <v>27842</v>
      </c>
      <c r="AR710" s="1" t="str">
        <f t="shared" si="47"/>
        <v>| [](.md) | [󸤪](󸤪.md) |  |  | 「蝍」的異體字。 |</v>
      </c>
    </row>
    <row r="711" spans="1:44" hidden="1">
      <c r="A711" s="1" t="s">
        <v>29119</v>
      </c>
      <c r="C711" s="1">
        <v>1</v>
      </c>
      <c r="D711" s="1" t="str">
        <f>"05384-1"</f>
        <v>05384-1</v>
      </c>
      <c r="E711" s="1" t="s">
        <v>139</v>
      </c>
      <c r="F711" s="1">
        <v>17</v>
      </c>
      <c r="G711" s="1">
        <v>13</v>
      </c>
      <c r="H711" s="1">
        <v>0</v>
      </c>
      <c r="K711" s="1" t="str">
        <f t="shared" si="44"/>
        <v/>
      </c>
      <c r="L711" s="1" t="str">
        <f t="shared" si="45"/>
        <v/>
      </c>
      <c r="M711" s="1" t="str">
        <f t="shared" si="46"/>
        <v/>
      </c>
      <c r="P711" s="1" t="s">
        <v>20</v>
      </c>
      <c r="V711" s="1" t="s">
        <v>29120</v>
      </c>
      <c r="X711" s="1" t="s">
        <v>27842</v>
      </c>
      <c r="AR711" s="1" t="str">
        <f t="shared" si="47"/>
        <v>| [](.md) | [檝](檝.md) |  |  | 「楫」的異體字。 |</v>
      </c>
    </row>
    <row r="712" spans="1:44" hidden="1">
      <c r="A712" s="1" t="s">
        <v>29121</v>
      </c>
      <c r="C712" s="1">
        <v>1</v>
      </c>
      <c r="D712" s="1" t="str">
        <f>"05396-1"</f>
        <v>05396-1</v>
      </c>
      <c r="E712" s="1" t="s">
        <v>185</v>
      </c>
      <c r="F712" s="1">
        <v>10</v>
      </c>
      <c r="G712" s="1">
        <v>8</v>
      </c>
      <c r="H712" s="1">
        <v>0</v>
      </c>
      <c r="K712" s="1" t="str">
        <f t="shared" si="44"/>
        <v/>
      </c>
      <c r="L712" s="1" t="str">
        <f t="shared" si="45"/>
        <v/>
      </c>
      <c r="M712" s="1" t="str">
        <f t="shared" si="46"/>
        <v/>
      </c>
      <c r="P712" s="1" t="s">
        <v>20</v>
      </c>
      <c r="V712" s="1" t="s">
        <v>29122</v>
      </c>
      <c r="X712" s="1" t="s">
        <v>27842</v>
      </c>
      <c r="AR712" s="1" t="str">
        <f t="shared" si="47"/>
        <v>| [](.md) | [剧](剧.md) |  |  | 「劇」的異體字。 |</v>
      </c>
    </row>
    <row r="713" spans="1:44" hidden="1">
      <c r="A713" s="1" t="s">
        <v>29123</v>
      </c>
      <c r="C713" s="1">
        <v>1</v>
      </c>
      <c r="D713" s="1" t="str">
        <f>"05413-1"</f>
        <v>05413-1</v>
      </c>
      <c r="E713" s="1" t="s">
        <v>129</v>
      </c>
      <c r="F713" s="1">
        <v>11</v>
      </c>
      <c r="G713" s="1">
        <v>8</v>
      </c>
      <c r="H713" s="1">
        <v>0</v>
      </c>
      <c r="K713" s="1" t="str">
        <f t="shared" si="44"/>
        <v/>
      </c>
      <c r="L713" s="1" t="str">
        <f t="shared" si="45"/>
        <v/>
      </c>
      <c r="M713" s="1" t="str">
        <f t="shared" si="46"/>
        <v/>
      </c>
      <c r="P713" s="1" t="s">
        <v>20</v>
      </c>
      <c r="V713" s="1" t="s">
        <v>29124</v>
      </c>
      <c r="X713" s="1" t="s">
        <v>27842</v>
      </c>
      <c r="AR713" s="1" t="str">
        <f t="shared" si="47"/>
        <v>| [](.md) | [済](済.md) |  |  | 「濟」的異體字。 |</v>
      </c>
    </row>
    <row r="714" spans="1:44" hidden="1">
      <c r="A714" s="1" t="s">
        <v>29125</v>
      </c>
      <c r="C714" s="1">
        <v>1</v>
      </c>
      <c r="D714" s="1" t="str">
        <f>"05414-1"</f>
        <v>05414-1</v>
      </c>
      <c r="E714" s="1" t="s">
        <v>24</v>
      </c>
      <c r="F714" s="1">
        <v>11</v>
      </c>
      <c r="G714" s="1">
        <v>8</v>
      </c>
      <c r="H714" s="1">
        <v>0</v>
      </c>
      <c r="K714" s="1" t="str">
        <f t="shared" si="44"/>
        <v/>
      </c>
      <c r="L714" s="1" t="str">
        <f t="shared" si="45"/>
        <v/>
      </c>
      <c r="M714" s="1" t="str">
        <f t="shared" si="46"/>
        <v/>
      </c>
      <c r="P714" s="1" t="s">
        <v>20</v>
      </c>
      <c r="V714" s="1" t="s">
        <v>29126</v>
      </c>
      <c r="X714" s="1" t="s">
        <v>27842</v>
      </c>
      <c r="AR714" s="1" t="str">
        <f t="shared" si="47"/>
        <v>| [](.md) | [㨈](㨈.md) |  |  | 「擠」的異體字。 |</v>
      </c>
    </row>
    <row r="715" spans="1:44" hidden="1">
      <c r="A715" s="1" t="s">
        <v>29127</v>
      </c>
      <c r="C715" s="1">
        <v>1</v>
      </c>
      <c r="D715" s="1" t="str">
        <f>"05415-1"</f>
        <v>05415-1</v>
      </c>
      <c r="E715" s="1" t="s">
        <v>6976</v>
      </c>
      <c r="F715" s="1">
        <v>3</v>
      </c>
      <c r="G715" s="1">
        <v>0</v>
      </c>
      <c r="H715" s="1">
        <v>0</v>
      </c>
      <c r="K715" s="1" t="str">
        <f t="shared" si="44"/>
        <v/>
      </c>
      <c r="L715" s="1" t="str">
        <f t="shared" si="45"/>
        <v/>
      </c>
      <c r="M715" s="1" t="str">
        <f t="shared" si="46"/>
        <v/>
      </c>
      <c r="P715" s="1" t="s">
        <v>20</v>
      </c>
      <c r="V715" s="1" t="s">
        <v>29128</v>
      </c>
      <c r="X715" s="1" t="s">
        <v>27842</v>
      </c>
      <c r="AR715" s="1" t="str">
        <f t="shared" si="47"/>
        <v>| [](.md) | [彑](彑.md) |  |  | 「彐」的異體字。 |</v>
      </c>
    </row>
    <row r="716" spans="1:44" hidden="1">
      <c r="A716" s="1" t="s">
        <v>29129</v>
      </c>
      <c r="C716" s="1">
        <v>1</v>
      </c>
      <c r="D716" s="1" t="str">
        <f>"05417-1"</f>
        <v>05417-1</v>
      </c>
      <c r="E716" s="1" t="s">
        <v>13099</v>
      </c>
      <c r="F716" s="1">
        <v>11</v>
      </c>
      <c r="G716" s="1">
        <v>7</v>
      </c>
      <c r="H716" s="1">
        <v>0</v>
      </c>
      <c r="K716" s="1" t="str">
        <f t="shared" si="44"/>
        <v/>
      </c>
      <c r="L716" s="1" t="str">
        <f t="shared" si="45"/>
        <v/>
      </c>
      <c r="M716" s="1" t="str">
        <f t="shared" si="46"/>
        <v/>
      </c>
      <c r="P716" s="1" t="s">
        <v>20</v>
      </c>
      <c r="V716" s="1" t="s">
        <v>29130</v>
      </c>
      <c r="X716" s="1" t="s">
        <v>27842</v>
      </c>
      <c r="AR716" s="1" t="str">
        <f t="shared" si="47"/>
        <v>| [](.md) | [旣](旣.md) |  |  | 「既」的異體字。 |</v>
      </c>
    </row>
    <row r="717" spans="1:44" hidden="1">
      <c r="A717" s="1" t="s">
        <v>29131</v>
      </c>
      <c r="C717" s="1">
        <v>1</v>
      </c>
      <c r="D717" s="1" t="str">
        <f>"05418-1"</f>
        <v>05418-1</v>
      </c>
      <c r="E717" s="1" t="s">
        <v>132</v>
      </c>
      <c r="F717" s="1">
        <v>14</v>
      </c>
      <c r="G717" s="1">
        <v>11</v>
      </c>
      <c r="H717" s="1">
        <v>0</v>
      </c>
      <c r="K717" s="1" t="str">
        <f t="shared" si="44"/>
        <v/>
      </c>
      <c r="L717" s="1" t="str">
        <f t="shared" si="45"/>
        <v/>
      </c>
      <c r="M717" s="1" t="str">
        <f t="shared" si="46"/>
        <v/>
      </c>
      <c r="P717" s="1" t="s">
        <v>20</v>
      </c>
      <c r="V717" s="1" t="s">
        <v>29132</v>
      </c>
      <c r="X717" s="1" t="s">
        <v>27842</v>
      </c>
      <c r="AR717" s="1" t="str">
        <f t="shared" si="47"/>
        <v>| [](.md) | [墍](墍.md) |  |  | 「塈」的異體字。 |</v>
      </c>
    </row>
    <row r="718" spans="1:44" hidden="1">
      <c r="A718" s="1" t="s">
        <v>29133</v>
      </c>
      <c r="C718" s="1">
        <v>1</v>
      </c>
      <c r="D718" s="1" t="str">
        <f>"05419-1"</f>
        <v>05419-1</v>
      </c>
      <c r="E718" s="1" t="s">
        <v>37</v>
      </c>
      <c r="F718" s="1">
        <v>15</v>
      </c>
      <c r="G718" s="1">
        <v>11</v>
      </c>
      <c r="H718" s="1">
        <v>0</v>
      </c>
      <c r="K718" s="1" t="str">
        <f t="shared" si="44"/>
        <v/>
      </c>
      <c r="L718" s="1" t="str">
        <f t="shared" si="45"/>
        <v/>
      </c>
      <c r="M718" s="1" t="str">
        <f t="shared" si="46"/>
        <v/>
      </c>
      <c r="P718" s="1" t="s">
        <v>20</v>
      </c>
      <c r="V718" s="1" t="s">
        <v>29134</v>
      </c>
      <c r="X718" s="1" t="s">
        <v>27842</v>
      </c>
      <c r="AR718" s="1" t="str">
        <f t="shared" si="47"/>
        <v>| [](.md) | [󿮻](󿮻.md) |  |  | 「蔇」的異體字。 |</v>
      </c>
    </row>
    <row r="719" spans="1:44" hidden="1">
      <c r="A719" s="1" t="s">
        <v>29135</v>
      </c>
      <c r="C719" s="1">
        <v>1</v>
      </c>
      <c r="D719" s="1" t="str">
        <f>"05420-1"</f>
        <v>05420-1</v>
      </c>
      <c r="E719" s="1" t="s">
        <v>429</v>
      </c>
      <c r="F719" s="1">
        <v>16</v>
      </c>
      <c r="G719" s="1">
        <v>11</v>
      </c>
      <c r="H719" s="1">
        <v>0</v>
      </c>
      <c r="K719" s="1" t="str">
        <f t="shared" si="44"/>
        <v/>
      </c>
      <c r="L719" s="1" t="str">
        <f t="shared" si="45"/>
        <v/>
      </c>
      <c r="M719" s="1" t="str">
        <f t="shared" si="46"/>
        <v/>
      </c>
      <c r="P719" s="1" t="s">
        <v>20</v>
      </c>
      <c r="V719" s="1" t="s">
        <v>29136</v>
      </c>
      <c r="X719" s="1" t="s">
        <v>27842</v>
      </c>
      <c r="AR719" s="1" t="str">
        <f t="shared" si="47"/>
        <v>| [](.md) | [穊](穊.md) |  |  | 「穊」的異體字。 |</v>
      </c>
    </row>
    <row r="720" spans="1:44" hidden="1">
      <c r="A720" s="1" t="s">
        <v>29137</v>
      </c>
      <c r="C720" s="1">
        <v>1</v>
      </c>
      <c r="D720" s="1" t="str">
        <f>"05447-1"</f>
        <v>05447-1</v>
      </c>
      <c r="E720" s="1" t="s">
        <v>691</v>
      </c>
      <c r="F720" s="1">
        <v>8</v>
      </c>
      <c r="G720" s="1">
        <v>5</v>
      </c>
      <c r="H720" s="1">
        <v>0</v>
      </c>
      <c r="K720" s="1" t="str">
        <f t="shared" si="44"/>
        <v/>
      </c>
      <c r="L720" s="1" t="str">
        <f t="shared" si="45"/>
        <v/>
      </c>
      <c r="M720" s="1" t="str">
        <f t="shared" si="46"/>
        <v/>
      </c>
      <c r="P720" s="1" t="s">
        <v>20</v>
      </c>
      <c r="V720" s="1" t="s">
        <v>29138</v>
      </c>
      <c r="X720" s="1" t="s">
        <v>27842</v>
      </c>
      <c r="AR720" s="1" t="str">
        <f t="shared" si="47"/>
        <v>| [](.md) | [际](际.md) |  |  | 「際」的異體字。 |</v>
      </c>
    </row>
    <row r="721" spans="1:44" hidden="1">
      <c r="A721" s="1" t="s">
        <v>29139</v>
      </c>
      <c r="C721" s="1">
        <v>1</v>
      </c>
      <c r="D721" s="1" t="str">
        <f>"05451-1"</f>
        <v>05451-1</v>
      </c>
      <c r="E721" s="1" t="s">
        <v>185</v>
      </c>
      <c r="F721" s="1">
        <v>10</v>
      </c>
      <c r="G721" s="1">
        <v>8</v>
      </c>
      <c r="H721" s="1">
        <v>0</v>
      </c>
      <c r="K721" s="1" t="str">
        <f t="shared" si="44"/>
        <v/>
      </c>
      <c r="L721" s="1" t="str">
        <f t="shared" si="45"/>
        <v/>
      </c>
      <c r="M721" s="1" t="str">
        <f t="shared" si="46"/>
        <v/>
      </c>
      <c r="P721" s="1" t="s">
        <v>20</v>
      </c>
      <c r="V721" s="1" t="s">
        <v>29140</v>
      </c>
      <c r="X721" s="1" t="s">
        <v>27842</v>
      </c>
      <c r="AR721" s="1" t="str">
        <f t="shared" si="47"/>
        <v>| [](.md) | [剤](剤.md) |  |  | 「劑」的異體字。 |</v>
      </c>
    </row>
    <row r="722" spans="1:44" hidden="1">
      <c r="A722" s="1" t="s">
        <v>29141</v>
      </c>
      <c r="C722" s="1">
        <v>1</v>
      </c>
      <c r="D722" s="1" t="str">
        <f>"05458-1"</f>
        <v>05458-1</v>
      </c>
      <c r="E722" s="1" t="s">
        <v>125</v>
      </c>
      <c r="F722" s="1">
        <v>16</v>
      </c>
      <c r="G722" s="1">
        <v>8</v>
      </c>
      <c r="H722" s="1">
        <v>0</v>
      </c>
      <c r="K722" s="1" t="str">
        <f t="shared" si="44"/>
        <v/>
      </c>
      <c r="L722" s="1" t="str">
        <f t="shared" si="45"/>
        <v/>
      </c>
      <c r="M722" s="1" t="str">
        <f t="shared" si="46"/>
        <v/>
      </c>
      <c r="P722" s="1" t="s">
        <v>20</v>
      </c>
      <c r="V722" s="1" t="s">
        <v>29142</v>
      </c>
      <c r="X722" s="1" t="s">
        <v>27842</v>
      </c>
      <c r="AR722" s="1" t="str">
        <f t="shared" si="47"/>
        <v>| [](.md) | [𬰁](𬰁.md) |  |  | 「霽」的異體字。 |</v>
      </c>
    </row>
    <row r="723" spans="1:44" hidden="1">
      <c r="A723" s="1" t="s">
        <v>29143</v>
      </c>
      <c r="C723" s="1">
        <v>1</v>
      </c>
      <c r="D723" s="1" t="str">
        <f>"05462-1"</f>
        <v>05462-1</v>
      </c>
      <c r="E723" s="1" t="s">
        <v>18</v>
      </c>
      <c r="F723" s="1">
        <v>13</v>
      </c>
      <c r="G723" s="1">
        <v>11</v>
      </c>
      <c r="H723" s="1">
        <v>0</v>
      </c>
      <c r="K723" s="1" t="str">
        <f t="shared" si="44"/>
        <v/>
      </c>
      <c r="L723" s="1" t="str">
        <f t="shared" si="45"/>
        <v/>
      </c>
      <c r="M723" s="1" t="str">
        <f t="shared" si="46"/>
        <v/>
      </c>
      <c r="P723" s="1" t="s">
        <v>20</v>
      </c>
      <c r="V723" s="1" t="s">
        <v>29144</v>
      </c>
      <c r="X723" s="1" t="s">
        <v>27842</v>
      </c>
      <c r="AR723" s="1" t="str">
        <f t="shared" si="47"/>
        <v>| [](.md) | [兾](兾.md) |  |  | 「冀」的異體字。 |</v>
      </c>
    </row>
    <row r="724" spans="1:44" hidden="1">
      <c r="A724" s="1" t="s">
        <v>29145</v>
      </c>
      <c r="C724" s="1">
        <v>1</v>
      </c>
      <c r="D724" s="1" t="str">
        <f>"05473-1"</f>
        <v>05473-1</v>
      </c>
      <c r="E724" s="1" t="s">
        <v>725</v>
      </c>
      <c r="F724" s="1">
        <v>13</v>
      </c>
      <c r="G724" s="1">
        <v>7</v>
      </c>
      <c r="H724" s="1">
        <v>0</v>
      </c>
      <c r="K724" s="1" t="str">
        <f t="shared" si="44"/>
        <v/>
      </c>
      <c r="L724" s="1" t="str">
        <f t="shared" si="45"/>
        <v/>
      </c>
      <c r="M724" s="1" t="str">
        <f t="shared" si="46"/>
        <v/>
      </c>
      <c r="P724" s="1" t="s">
        <v>20</v>
      </c>
      <c r="V724" s="1" t="s">
        <v>29146</v>
      </c>
      <c r="X724" s="1" t="s">
        <v>27842</v>
      </c>
      <c r="AR724" s="1" t="str">
        <f t="shared" si="47"/>
        <v>| [](.md) | [継](継.md) |  |  | 「繼」的異體字。 |</v>
      </c>
    </row>
    <row r="725" spans="1:44" hidden="1">
      <c r="A725" s="1" t="s">
        <v>29147</v>
      </c>
      <c r="C725" s="1">
        <v>1</v>
      </c>
      <c r="D725" s="1" t="str">
        <f>"05496-1"</f>
        <v>05496-1</v>
      </c>
      <c r="E725" s="1" t="s">
        <v>114</v>
      </c>
      <c r="F725" s="1">
        <v>8</v>
      </c>
      <c r="G725" s="1">
        <v>6</v>
      </c>
      <c r="H725" s="1">
        <v>0</v>
      </c>
      <c r="K725" s="1" t="str">
        <f t="shared" si="44"/>
        <v/>
      </c>
      <c r="L725" s="1" t="str">
        <f t="shared" si="45"/>
        <v/>
      </c>
      <c r="M725" s="1" t="str">
        <f t="shared" si="46"/>
        <v/>
      </c>
      <c r="P725" s="1" t="s">
        <v>20</v>
      </c>
      <c r="V725" s="1" t="s">
        <v>29148</v>
      </c>
      <c r="X725" s="1" t="s">
        <v>27842</v>
      </c>
      <c r="AR725" s="1" t="str">
        <f t="shared" si="47"/>
        <v>| [](.md) | [侠](侠.md) |  |  | 「俠」的異體字。 |</v>
      </c>
    </row>
    <row r="726" spans="1:44" hidden="1">
      <c r="A726" s="1" t="s">
        <v>29149</v>
      </c>
      <c r="C726" s="1">
        <v>1</v>
      </c>
      <c r="D726" s="1" t="str">
        <f>"05508-1"</f>
        <v>05508-1</v>
      </c>
      <c r="E726" s="1" t="s">
        <v>4785</v>
      </c>
      <c r="F726" s="1">
        <v>12</v>
      </c>
      <c r="G726" s="1">
        <v>8</v>
      </c>
      <c r="H726" s="1">
        <v>0</v>
      </c>
      <c r="K726" s="1" t="str">
        <f t="shared" si="44"/>
        <v/>
      </c>
      <c r="L726" s="1" t="str">
        <f t="shared" si="45"/>
        <v/>
      </c>
      <c r="M726" s="1" t="str">
        <f t="shared" si="46"/>
        <v/>
      </c>
      <c r="P726" s="1" t="s">
        <v>20</v>
      </c>
      <c r="V726" s="1" t="s">
        <v>29150</v>
      </c>
      <c r="X726" s="1" t="s">
        <v>27842</v>
      </c>
      <c r="AR726" s="1" t="str">
        <f t="shared" si="47"/>
        <v>| [](.md) | [戞](戞.md) |  |  | 「戛」的異體字。 |</v>
      </c>
    </row>
    <row r="727" spans="1:44" hidden="1">
      <c r="A727" s="1" t="s">
        <v>29151</v>
      </c>
      <c r="C727" s="1">
        <v>1</v>
      </c>
      <c r="D727" s="1" t="str">
        <f>"05509-1"</f>
        <v>05509-1</v>
      </c>
      <c r="E727" s="1" t="s">
        <v>340</v>
      </c>
      <c r="F727" s="1">
        <v>13</v>
      </c>
      <c r="G727" s="1">
        <v>7</v>
      </c>
      <c r="H727" s="1">
        <v>0</v>
      </c>
      <c r="K727" s="1" t="str">
        <f t="shared" si="44"/>
        <v/>
      </c>
      <c r="L727" s="1" t="str">
        <f t="shared" si="45"/>
        <v/>
      </c>
      <c r="M727" s="1" t="str">
        <f t="shared" si="46"/>
        <v/>
      </c>
      <c r="P727" s="1" t="s">
        <v>20</v>
      </c>
      <c r="V727" s="1" t="s">
        <v>29152</v>
      </c>
      <c r="X727" s="1" t="s">
        <v>27842</v>
      </c>
      <c r="AR727" s="1" t="str">
        <f t="shared" si="47"/>
        <v>| [](.md) | [裌](裌.md) |  |  | 「袷」的異體字。 |</v>
      </c>
    </row>
    <row r="728" spans="1:44" hidden="1">
      <c r="A728" s="1" t="s">
        <v>29153</v>
      </c>
      <c r="C728" s="1">
        <v>1</v>
      </c>
      <c r="D728" s="1" t="str">
        <f>"05518-1"</f>
        <v>05518-1</v>
      </c>
      <c r="E728" s="1" t="s">
        <v>1880</v>
      </c>
      <c r="F728" s="1">
        <v>9</v>
      </c>
      <c r="G728" s="1">
        <v>7</v>
      </c>
      <c r="H728" s="1">
        <v>0</v>
      </c>
      <c r="K728" s="1" t="str">
        <f t="shared" si="44"/>
        <v/>
      </c>
      <c r="L728" s="1" t="str">
        <f t="shared" si="45"/>
        <v/>
      </c>
      <c r="M728" s="1" t="str">
        <f t="shared" si="46"/>
        <v/>
      </c>
      <c r="P728" s="1" t="s">
        <v>20</v>
      </c>
      <c r="V728" s="1" t="s">
        <v>29154</v>
      </c>
      <c r="X728" s="1" t="s">
        <v>27842</v>
      </c>
      <c r="AR728" s="1" t="str">
        <f t="shared" si="47"/>
        <v>| [](.md) | [叚](叚.md) |  |  | 「假」的異體字。 |</v>
      </c>
    </row>
    <row r="729" spans="1:44" hidden="1">
      <c r="A729" s="1" t="s">
        <v>29155</v>
      </c>
      <c r="C729" s="1">
        <v>1</v>
      </c>
      <c r="D729" s="1" t="str">
        <f>"05521-1"</f>
        <v>05521-1</v>
      </c>
      <c r="E729" s="1" t="s">
        <v>4869</v>
      </c>
      <c r="F729" s="1">
        <v>10</v>
      </c>
      <c r="G729" s="1">
        <v>6</v>
      </c>
      <c r="H729" s="1">
        <v>0</v>
      </c>
      <c r="K729" s="1" t="str">
        <f t="shared" si="44"/>
        <v/>
      </c>
      <c r="L729" s="1" t="str">
        <f t="shared" si="45"/>
        <v/>
      </c>
      <c r="M729" s="1" t="str">
        <f t="shared" si="46"/>
        <v/>
      </c>
      <c r="P729" s="1" t="s">
        <v>20</v>
      </c>
      <c r="V729" s="1" t="s">
        <v>29156</v>
      </c>
      <c r="X729" s="1" t="s">
        <v>27842</v>
      </c>
      <c r="AR729" s="1" t="str">
        <f t="shared" si="47"/>
        <v>| [](.md) | [斚](斚.md) |  |  | 「斝」的異體字。 |</v>
      </c>
    </row>
    <row r="730" spans="1:44" hidden="1">
      <c r="A730" s="1" t="s">
        <v>29157</v>
      </c>
      <c r="C730" s="1">
        <v>1</v>
      </c>
      <c r="D730" s="1" t="str">
        <f>"05536-1"</f>
        <v>05536-1</v>
      </c>
      <c r="E730" s="1" t="s">
        <v>132</v>
      </c>
      <c r="F730" s="1">
        <v>12</v>
      </c>
      <c r="G730" s="1">
        <v>9</v>
      </c>
      <c r="H730" s="1">
        <v>0</v>
      </c>
      <c r="K730" s="1" t="str">
        <f t="shared" si="44"/>
        <v/>
      </c>
      <c r="L730" s="1" t="str">
        <f t="shared" si="45"/>
        <v/>
      </c>
      <c r="M730" s="1" t="str">
        <f t="shared" si="46"/>
        <v/>
      </c>
      <c r="P730" s="1" t="s">
        <v>20</v>
      </c>
      <c r="V730" s="1" t="s">
        <v>29158</v>
      </c>
      <c r="X730" s="1" t="s">
        <v>27842</v>
      </c>
      <c r="AR730" s="1" t="str">
        <f t="shared" si="47"/>
        <v>| [](.md) | [堦](堦.md) |  |  | 「階」的異體字。 |</v>
      </c>
    </row>
    <row r="731" spans="1:44" hidden="1">
      <c r="A731" s="1" t="s">
        <v>29159</v>
      </c>
      <c r="C731" s="1">
        <v>1</v>
      </c>
      <c r="D731" s="1" t="str">
        <f>"05541-1"</f>
        <v>05541-1</v>
      </c>
      <c r="E731" s="1" t="s">
        <v>429</v>
      </c>
      <c r="F731" s="1">
        <v>14</v>
      </c>
      <c r="G731" s="1">
        <v>9</v>
      </c>
      <c r="H731" s="1">
        <v>0</v>
      </c>
      <c r="K731" s="1" t="str">
        <f t="shared" si="44"/>
        <v/>
      </c>
      <c r="L731" s="1" t="str">
        <f t="shared" si="45"/>
        <v/>
      </c>
      <c r="M731" s="1" t="str">
        <f t="shared" si="46"/>
        <v/>
      </c>
      <c r="P731" s="1" t="s">
        <v>20</v>
      </c>
      <c r="V731" s="1" t="s">
        <v>29160</v>
      </c>
      <c r="X731" s="1" t="s">
        <v>27842</v>
      </c>
      <c r="AR731" s="1" t="str">
        <f t="shared" si="47"/>
        <v>| [](.md) | [稭](稭.md) |  |  | 「秸」的異體字。 |</v>
      </c>
    </row>
    <row r="732" spans="1:44" hidden="1">
      <c r="A732" s="1" t="s">
        <v>29161</v>
      </c>
      <c r="C732" s="1">
        <v>1</v>
      </c>
      <c r="D732" s="1" t="str">
        <f>"05551-1"</f>
        <v>05551-1</v>
      </c>
      <c r="E732" s="1" t="s">
        <v>185</v>
      </c>
      <c r="F732" s="1">
        <v>7</v>
      </c>
      <c r="G732" s="1">
        <v>5</v>
      </c>
      <c r="H732" s="1">
        <v>0</v>
      </c>
      <c r="K732" s="1" t="str">
        <f t="shared" si="44"/>
        <v/>
      </c>
      <c r="L732" s="1" t="str">
        <f t="shared" si="45"/>
        <v/>
      </c>
      <c r="M732" s="1" t="str">
        <f t="shared" si="46"/>
        <v/>
      </c>
      <c r="P732" s="1" t="s">
        <v>20</v>
      </c>
      <c r="V732" s="1" t="s">
        <v>29162</v>
      </c>
      <c r="X732" s="1" t="s">
        <v>27842</v>
      </c>
      <c r="AR732" s="1" t="str">
        <f t="shared" si="47"/>
        <v>| [](.md) | [刦](刦.md) |  |  | 「劫」的異體字。 |</v>
      </c>
    </row>
    <row r="733" spans="1:44" hidden="1">
      <c r="A733" s="1" t="s">
        <v>29163</v>
      </c>
      <c r="C733" s="1">
        <v>1</v>
      </c>
      <c r="D733" s="1" t="str">
        <f>"05551-2"</f>
        <v>05551-2</v>
      </c>
      <c r="E733" s="1" t="s">
        <v>185</v>
      </c>
      <c r="F733" s="1">
        <v>7</v>
      </c>
      <c r="G733" s="1">
        <v>5</v>
      </c>
      <c r="H733" s="1">
        <v>0</v>
      </c>
      <c r="K733" s="1" t="str">
        <f t="shared" si="44"/>
        <v/>
      </c>
      <c r="L733" s="1" t="str">
        <f t="shared" si="45"/>
        <v/>
      </c>
      <c r="M733" s="1" t="str">
        <f t="shared" si="46"/>
        <v/>
      </c>
      <c r="P733" s="1" t="s">
        <v>20</v>
      </c>
      <c r="V733" s="1" t="s">
        <v>29162</v>
      </c>
      <c r="X733" s="1" t="s">
        <v>27842</v>
      </c>
      <c r="AR733" s="1" t="str">
        <f t="shared" si="47"/>
        <v>| [](.md) | [刧](刧.md) |  |  | 「劫」的異體字。 |</v>
      </c>
    </row>
    <row r="734" spans="1:44" hidden="1">
      <c r="A734" s="1" t="s">
        <v>29164</v>
      </c>
      <c r="C734" s="1">
        <v>1</v>
      </c>
      <c r="D734" s="1" t="str">
        <f>"05551-3"</f>
        <v>05551-3</v>
      </c>
      <c r="E734" s="1" t="s">
        <v>185</v>
      </c>
      <c r="F734" s="1">
        <v>8</v>
      </c>
      <c r="G734" s="1">
        <v>6</v>
      </c>
      <c r="H734" s="1">
        <v>0</v>
      </c>
      <c r="K734" s="1" t="str">
        <f t="shared" si="44"/>
        <v/>
      </c>
      <c r="L734" s="1" t="str">
        <f t="shared" si="45"/>
        <v/>
      </c>
      <c r="M734" s="1" t="str">
        <f t="shared" si="46"/>
        <v/>
      </c>
      <c r="P734" s="1" t="s">
        <v>20</v>
      </c>
      <c r="V734" s="1" t="s">
        <v>29162</v>
      </c>
      <c r="X734" s="1" t="s">
        <v>27842</v>
      </c>
      <c r="AR734" s="1" t="str">
        <f t="shared" si="47"/>
        <v>| [](.md) | [刼](刼.md) |  |  | 「劫」的異體字。 |</v>
      </c>
    </row>
    <row r="735" spans="1:44" hidden="1">
      <c r="A735" s="1" t="s">
        <v>29165</v>
      </c>
      <c r="C735" s="1">
        <v>1</v>
      </c>
      <c r="D735" s="1" t="str">
        <f>"05566-1"</f>
        <v>05566-1</v>
      </c>
      <c r="E735" s="1" t="s">
        <v>24</v>
      </c>
      <c r="F735" s="1">
        <v>12</v>
      </c>
      <c r="G735" s="1">
        <v>9</v>
      </c>
      <c r="H735" s="1">
        <v>0</v>
      </c>
      <c r="K735" s="1" t="str">
        <f t="shared" si="44"/>
        <v/>
      </c>
      <c r="L735" s="1" t="str">
        <f t="shared" si="45"/>
        <v/>
      </c>
      <c r="M735" s="1" t="str">
        <f t="shared" si="46"/>
        <v/>
      </c>
      <c r="P735" s="1" t="s">
        <v>20</v>
      </c>
      <c r="V735" s="1" t="s">
        <v>29166</v>
      </c>
      <c r="X735" s="1" t="s">
        <v>27842</v>
      </c>
      <c r="AR735" s="1" t="str">
        <f t="shared" si="47"/>
        <v>| [](.md) | [㨗](㨗.md) |  |  | 「捷」的異體字。 |</v>
      </c>
    </row>
    <row r="736" spans="1:44" hidden="1">
      <c r="A736" s="1" t="s">
        <v>29167</v>
      </c>
      <c r="C736" s="1">
        <v>1</v>
      </c>
      <c r="D736" s="1" t="str">
        <f>"05578-1"</f>
        <v>05578-1</v>
      </c>
      <c r="E736" s="1" t="s">
        <v>37</v>
      </c>
      <c r="F736" s="1">
        <v>11</v>
      </c>
      <c r="G736" s="1">
        <v>7</v>
      </c>
      <c r="H736" s="1">
        <v>0</v>
      </c>
      <c r="K736" s="1" t="str">
        <f t="shared" si="44"/>
        <v/>
      </c>
      <c r="L736" s="1" t="str">
        <f t="shared" si="45"/>
        <v/>
      </c>
      <c r="M736" s="1" t="str">
        <f t="shared" si="46"/>
        <v/>
      </c>
      <c r="P736" s="1" t="s">
        <v>20</v>
      </c>
      <c r="V736" s="1" t="s">
        <v>29168</v>
      </c>
      <c r="X736" s="1" t="s">
        <v>27842</v>
      </c>
      <c r="AR736" s="1" t="str">
        <f t="shared" si="47"/>
        <v>| [](.md) | [莭](莭.md) |  |  | 「節」的異體字。 |</v>
      </c>
    </row>
    <row r="737" spans="1:44" hidden="1">
      <c r="A737" s="1" t="s">
        <v>29169</v>
      </c>
      <c r="C737" s="1">
        <v>1</v>
      </c>
      <c r="D737" s="1" t="str">
        <f>"05578-2"</f>
        <v>05578-2</v>
      </c>
      <c r="E737" s="1" t="s">
        <v>49</v>
      </c>
      <c r="F737" s="1">
        <v>15</v>
      </c>
      <c r="G737" s="1">
        <v>9</v>
      </c>
      <c r="H737" s="1">
        <v>0</v>
      </c>
      <c r="K737" s="1" t="str">
        <f t="shared" si="44"/>
        <v/>
      </c>
      <c r="L737" s="1" t="str">
        <f t="shared" si="45"/>
        <v/>
      </c>
      <c r="M737" s="1" t="str">
        <f t="shared" si="46"/>
        <v/>
      </c>
      <c r="P737" s="1" t="s">
        <v>20</v>
      </c>
      <c r="V737" s="1" t="s">
        <v>29168</v>
      </c>
      <c r="X737" s="1" t="s">
        <v>27842</v>
      </c>
      <c r="AR737" s="1" t="str">
        <f t="shared" si="47"/>
        <v>| [](.md) | [󴒋](󴒋.md) |  |  | 「節」的異體字。 |</v>
      </c>
    </row>
    <row r="738" spans="1:44" hidden="1">
      <c r="A738" s="1" t="s">
        <v>29170</v>
      </c>
      <c r="C738" s="1">
        <v>1</v>
      </c>
      <c r="D738" s="1" t="str">
        <f>"05580-1"</f>
        <v>05580-1</v>
      </c>
      <c r="E738" s="1" t="s">
        <v>139</v>
      </c>
      <c r="F738" s="1">
        <v>19</v>
      </c>
      <c r="G738" s="1">
        <v>15</v>
      </c>
      <c r="H738" s="1">
        <v>0</v>
      </c>
      <c r="K738" s="1" t="str">
        <f t="shared" si="44"/>
        <v/>
      </c>
      <c r="L738" s="1" t="str">
        <f t="shared" si="45"/>
        <v/>
      </c>
      <c r="M738" s="1" t="str">
        <f t="shared" si="46"/>
        <v/>
      </c>
      <c r="P738" s="1" t="s">
        <v>20</v>
      </c>
      <c r="V738" s="1" t="s">
        <v>29171</v>
      </c>
      <c r="X738" s="1" t="s">
        <v>27842</v>
      </c>
      <c r="AR738" s="1" t="str">
        <f t="shared" si="47"/>
        <v>| [](.md) | [櫛](櫛.md) |  |  | 「櫛」的異體字。 |</v>
      </c>
    </row>
    <row r="739" spans="1:44" hidden="1">
      <c r="A739" s="1" t="s">
        <v>29172</v>
      </c>
      <c r="C739" s="1">
        <v>1</v>
      </c>
      <c r="D739" s="1" t="str">
        <f>"05594-1"</f>
        <v>05594-1</v>
      </c>
      <c r="E739" s="1" t="s">
        <v>534</v>
      </c>
      <c r="F739" s="1">
        <v>8</v>
      </c>
      <c r="G739" s="1">
        <v>5</v>
      </c>
      <c r="H739" s="1">
        <v>0</v>
      </c>
      <c r="K739" s="1" t="str">
        <f t="shared" si="44"/>
        <v/>
      </c>
      <c r="L739" s="1" t="str">
        <f t="shared" si="45"/>
        <v/>
      </c>
      <c r="M739" s="1" t="str">
        <f t="shared" si="46"/>
        <v/>
      </c>
      <c r="P739" s="1" t="s">
        <v>20</v>
      </c>
      <c r="V739" s="1" t="s">
        <v>29173</v>
      </c>
      <c r="X739" s="1" t="s">
        <v>27842</v>
      </c>
      <c r="AR739" s="1" t="str">
        <f t="shared" si="47"/>
        <v>| [](.md) | [姉](姉.md) |  |  | 「姊」的異體字。 |</v>
      </c>
    </row>
    <row r="740" spans="1:44" hidden="1">
      <c r="A740" s="1" t="s">
        <v>29174</v>
      </c>
      <c r="C740" s="1">
        <v>1</v>
      </c>
      <c r="D740" s="1" t="str">
        <f>"05595-1"</f>
        <v>05595-1</v>
      </c>
      <c r="E740" s="1" t="s">
        <v>1117</v>
      </c>
      <c r="F740" s="1">
        <v>13</v>
      </c>
      <c r="G740" s="1">
        <v>6</v>
      </c>
      <c r="H740" s="1">
        <v>0</v>
      </c>
      <c r="K740" s="1" t="str">
        <f t="shared" si="44"/>
        <v/>
      </c>
      <c r="L740" s="1" t="str">
        <f t="shared" si="45"/>
        <v/>
      </c>
      <c r="M740" s="1" t="str">
        <f t="shared" si="46"/>
        <v/>
      </c>
      <c r="P740" s="1" t="s">
        <v>20</v>
      </c>
      <c r="V740" s="1" t="s">
        <v>29175</v>
      </c>
      <c r="X740" s="1" t="s">
        <v>27842</v>
      </c>
      <c r="AR740" s="1" t="str">
        <f t="shared" si="47"/>
        <v>| [](.md) | [觧](觧.md) |  |  | 「解」的異體字。 |</v>
      </c>
    </row>
    <row r="741" spans="1:44" hidden="1">
      <c r="A741" s="1" t="s">
        <v>29176</v>
      </c>
      <c r="C741" s="1">
        <v>1</v>
      </c>
      <c r="D741" s="1" t="str">
        <f>"05608-1"</f>
        <v>05608-1</v>
      </c>
      <c r="E741" s="1" t="s">
        <v>871</v>
      </c>
      <c r="F741" s="1">
        <v>8</v>
      </c>
      <c r="G741" s="1">
        <v>5</v>
      </c>
      <c r="H741" s="1">
        <v>0</v>
      </c>
      <c r="K741" s="1" t="str">
        <f t="shared" si="44"/>
        <v/>
      </c>
      <c r="L741" s="1" t="str">
        <f t="shared" si="45"/>
        <v/>
      </c>
      <c r="M741" s="1" t="str">
        <f t="shared" si="46"/>
        <v/>
      </c>
      <c r="P741" s="1" t="s">
        <v>20</v>
      </c>
      <c r="V741" s="1" t="s">
        <v>29177</v>
      </c>
      <c r="X741" s="1" t="s">
        <v>27842</v>
      </c>
      <c r="AR741" s="1" t="str">
        <f t="shared" si="47"/>
        <v>| [](.md) | [届](届.md) |  |  | 「屆」的異體字。 |</v>
      </c>
    </row>
    <row r="742" spans="1:44" hidden="1">
      <c r="A742" s="1" t="s">
        <v>29178</v>
      </c>
      <c r="C742" s="1">
        <v>1</v>
      </c>
      <c r="D742" s="1" t="str">
        <f>"05615-1"</f>
        <v>05615-1</v>
      </c>
      <c r="E742" s="1" t="s">
        <v>1941</v>
      </c>
      <c r="F742" s="1">
        <v>15</v>
      </c>
      <c r="G742" s="1">
        <v>13</v>
      </c>
      <c r="H742" s="1">
        <v>0</v>
      </c>
      <c r="K742" s="1" t="str">
        <f t="shared" si="44"/>
        <v/>
      </c>
      <c r="L742" s="1" t="str">
        <f t="shared" si="45"/>
        <v/>
      </c>
      <c r="M742" s="1" t="str">
        <f t="shared" si="46"/>
        <v/>
      </c>
      <c r="P742" s="1" t="s">
        <v>20</v>
      </c>
      <c r="V742" s="1" t="s">
        <v>29179</v>
      </c>
      <c r="X742" s="1" t="s">
        <v>27842</v>
      </c>
      <c r="AR742" s="1" t="str">
        <f t="shared" si="47"/>
        <v>| [](.md) | [𪠘](𪠘.md) |  |  | 「廨」的異體字。 |</v>
      </c>
    </row>
    <row r="743" spans="1:44" hidden="1">
      <c r="A743" s="1" t="s">
        <v>29180</v>
      </c>
      <c r="C743" s="1">
        <v>1</v>
      </c>
      <c r="D743" s="1" t="str">
        <f>"05628-1"</f>
        <v>05628-1</v>
      </c>
      <c r="E743" s="1" t="s">
        <v>426</v>
      </c>
      <c r="F743" s="1">
        <v>11</v>
      </c>
      <c r="G743" s="1">
        <v>7</v>
      </c>
      <c r="H743" s="1">
        <v>0</v>
      </c>
      <c r="K743" s="1" t="str">
        <f t="shared" si="44"/>
        <v/>
      </c>
      <c r="L743" s="1" t="str">
        <f t="shared" si="45"/>
        <v/>
      </c>
      <c r="M743" s="1" t="str">
        <f t="shared" si="46"/>
        <v/>
      </c>
      <c r="P743" s="1" t="s">
        <v>20</v>
      </c>
      <c r="V743" s="1" t="s">
        <v>29181</v>
      </c>
      <c r="X743" s="1" t="s">
        <v>27842</v>
      </c>
      <c r="AR743" s="1" t="str">
        <f t="shared" si="47"/>
        <v>| [](.md) | [敎](敎.md) |  |  | 「教」的異體字。 |</v>
      </c>
    </row>
    <row r="744" spans="1:44" hidden="1">
      <c r="A744" s="1" t="s">
        <v>29182</v>
      </c>
      <c r="C744" s="1">
        <v>1</v>
      </c>
      <c r="D744" s="1" t="str">
        <f>"05628-2"</f>
        <v>05628-2</v>
      </c>
      <c r="E744" s="1" t="s">
        <v>426</v>
      </c>
      <c r="F744" s="1">
        <v>20</v>
      </c>
      <c r="G744" s="1">
        <v>16</v>
      </c>
      <c r="H744" s="1">
        <v>0</v>
      </c>
      <c r="K744" s="1" t="str">
        <f t="shared" si="44"/>
        <v/>
      </c>
      <c r="L744" s="1" t="str">
        <f t="shared" si="45"/>
        <v/>
      </c>
      <c r="M744" s="1" t="str">
        <f t="shared" si="46"/>
        <v/>
      </c>
      <c r="P744" s="1" t="s">
        <v>20</v>
      </c>
      <c r="V744" s="1" t="s">
        <v>29181</v>
      </c>
      <c r="X744" s="1" t="s">
        <v>27842</v>
      </c>
      <c r="AR744" s="1" t="str">
        <f t="shared" si="47"/>
        <v>| [](.md) | [斅](斅.md) |  |  | 「教」的異體字。 |</v>
      </c>
    </row>
    <row r="745" spans="1:44" hidden="1">
      <c r="A745" s="1" t="s">
        <v>29183</v>
      </c>
      <c r="C745" s="1">
        <v>1</v>
      </c>
      <c r="D745" s="1" t="str">
        <f>"05630-1"</f>
        <v>05630-1</v>
      </c>
      <c r="E745" s="1" t="s">
        <v>563</v>
      </c>
      <c r="F745" s="1">
        <v>6</v>
      </c>
      <c r="G745" s="1">
        <v>3</v>
      </c>
      <c r="H745" s="1">
        <v>0</v>
      </c>
      <c r="K745" s="1" t="str">
        <f t="shared" si="44"/>
        <v/>
      </c>
      <c r="L745" s="1" t="str">
        <f t="shared" si="45"/>
        <v/>
      </c>
      <c r="M745" s="1" t="str">
        <f t="shared" si="46"/>
        <v/>
      </c>
      <c r="P745" s="1" t="s">
        <v>20</v>
      </c>
      <c r="V745" s="1" t="s">
        <v>29184</v>
      </c>
      <c r="X745" s="1" t="s">
        <v>27842</v>
      </c>
      <c r="AR745" s="1" t="str">
        <f t="shared" si="47"/>
        <v>| [](.md) | [乔](乔.md) |  |  | 「喬」的異體字。 |</v>
      </c>
    </row>
    <row r="746" spans="1:44" hidden="1">
      <c r="A746" s="1" t="s">
        <v>29185</v>
      </c>
      <c r="C746" s="1">
        <v>1</v>
      </c>
      <c r="D746" s="1" t="str">
        <f>"05632-1"</f>
        <v>05632-1</v>
      </c>
      <c r="E746" s="1" t="s">
        <v>534</v>
      </c>
      <c r="F746" s="1">
        <v>9</v>
      </c>
      <c r="G746" s="1">
        <v>6</v>
      </c>
      <c r="H746" s="1">
        <v>0</v>
      </c>
      <c r="K746" s="1" t="str">
        <f t="shared" si="44"/>
        <v/>
      </c>
      <c r="L746" s="1" t="str">
        <f t="shared" si="45"/>
        <v/>
      </c>
      <c r="M746" s="1" t="str">
        <f t="shared" si="46"/>
        <v/>
      </c>
      <c r="P746" s="1" t="s">
        <v>20</v>
      </c>
      <c r="V746" s="1" t="s">
        <v>29186</v>
      </c>
      <c r="X746" s="1" t="s">
        <v>27842</v>
      </c>
      <c r="AR746" s="1" t="str">
        <f t="shared" si="47"/>
        <v>| [](.md) | [娇](娇.md) |  |  | 「嬌」的異體字。 |</v>
      </c>
    </row>
    <row r="747" spans="1:44" hidden="1">
      <c r="A747" s="1" t="s">
        <v>29187</v>
      </c>
      <c r="C747" s="1">
        <v>1</v>
      </c>
      <c r="D747" s="1" t="str">
        <f>"05633-1"</f>
        <v>05633-1</v>
      </c>
      <c r="E747" s="1" t="s">
        <v>319</v>
      </c>
      <c r="F747" s="1">
        <v>16</v>
      </c>
      <c r="G747" s="1">
        <v>6</v>
      </c>
      <c r="H747" s="1">
        <v>0</v>
      </c>
      <c r="K747" s="1" t="str">
        <f t="shared" si="44"/>
        <v/>
      </c>
      <c r="L747" s="1" t="str">
        <f t="shared" si="45"/>
        <v/>
      </c>
      <c r="M747" s="1" t="str">
        <f t="shared" si="46"/>
        <v/>
      </c>
      <c r="P747" s="1" t="s">
        <v>20</v>
      </c>
      <c r="V747" s="1" t="s">
        <v>29188</v>
      </c>
      <c r="X747" s="1" t="s">
        <v>27842</v>
      </c>
      <c r="AR747" s="1" t="str">
        <f t="shared" si="47"/>
        <v>| [](.md) | [󶱨](󶱨.md) |  |  | 「驕」的異體字。 |</v>
      </c>
    </row>
    <row r="748" spans="1:44" hidden="1">
      <c r="A748" s="1" t="s">
        <v>29189</v>
      </c>
      <c r="C748" s="1">
        <v>1</v>
      </c>
      <c r="D748" s="1" t="str">
        <f>"05652-1"</f>
        <v>05652-1</v>
      </c>
      <c r="E748" s="1" t="s">
        <v>646</v>
      </c>
      <c r="F748" s="1">
        <v>10</v>
      </c>
      <c r="G748" s="1">
        <v>6</v>
      </c>
      <c r="H748" s="1">
        <v>0</v>
      </c>
      <c r="K748" s="1" t="str">
        <f t="shared" si="44"/>
        <v/>
      </c>
      <c r="L748" s="1" t="str">
        <f t="shared" si="45"/>
        <v/>
      </c>
      <c r="M748" s="1" t="str">
        <f t="shared" si="46"/>
        <v/>
      </c>
      <c r="P748" s="1" t="s">
        <v>20</v>
      </c>
      <c r="V748" s="1" t="s">
        <v>29190</v>
      </c>
      <c r="X748" s="1" t="s">
        <v>27842</v>
      </c>
      <c r="AR748" s="1" t="str">
        <f t="shared" si="47"/>
        <v>| [](.md) | [晈](晈.md) |  |  | 「皎」的異體字。 |</v>
      </c>
    </row>
    <row r="749" spans="1:44" hidden="1">
      <c r="A749" s="1" t="s">
        <v>29191</v>
      </c>
      <c r="C749" s="1">
        <v>1</v>
      </c>
      <c r="D749" s="1" t="str">
        <f>"05659-1"</f>
        <v>05659-1</v>
      </c>
      <c r="E749" s="1" t="s">
        <v>68</v>
      </c>
      <c r="F749" s="1">
        <v>11</v>
      </c>
      <c r="G749" s="1">
        <v>7</v>
      </c>
      <c r="H749" s="1">
        <v>0</v>
      </c>
      <c r="K749" s="1" t="str">
        <f t="shared" si="44"/>
        <v/>
      </c>
      <c r="L749" s="1" t="str">
        <f t="shared" si="45"/>
        <v/>
      </c>
      <c r="M749" s="1" t="str">
        <f t="shared" si="46"/>
        <v/>
      </c>
      <c r="P749" s="1" t="s">
        <v>20</v>
      </c>
      <c r="V749" s="1" t="s">
        <v>29192</v>
      </c>
      <c r="X749" s="1" t="s">
        <v>27842</v>
      </c>
      <c r="AR749" s="1" t="str">
        <f t="shared" si="47"/>
        <v>| [](.md) | [脚](脚.md) |  |  | 「腳」的異體字。 |</v>
      </c>
    </row>
    <row r="750" spans="1:44" hidden="1">
      <c r="A750" s="1" t="s">
        <v>29193</v>
      </c>
      <c r="C750" s="1">
        <v>1</v>
      </c>
      <c r="D750" s="1" t="str">
        <f>"05660-1"</f>
        <v>05660-1</v>
      </c>
      <c r="E750" s="1" t="s">
        <v>185</v>
      </c>
      <c r="F750" s="1">
        <v>13</v>
      </c>
      <c r="G750" s="1">
        <v>11</v>
      </c>
      <c r="H750" s="1">
        <v>0</v>
      </c>
      <c r="K750" s="1" t="str">
        <f t="shared" si="44"/>
        <v/>
      </c>
      <c r="L750" s="1" t="str">
        <f t="shared" si="45"/>
        <v/>
      </c>
      <c r="M750" s="1" t="str">
        <f t="shared" si="46"/>
        <v/>
      </c>
      <c r="P750" s="1" t="s">
        <v>20</v>
      </c>
      <c r="V750" s="1" t="s">
        <v>29194</v>
      </c>
      <c r="X750" s="1" t="s">
        <v>27842</v>
      </c>
      <c r="AR750" s="1" t="str">
        <f t="shared" si="47"/>
        <v>| [](.md) | [𠞰](𠞰.md) |  |  | 「剿」的異體字。 |</v>
      </c>
    </row>
    <row r="751" spans="1:44" hidden="1">
      <c r="A751" s="1" t="s">
        <v>29195</v>
      </c>
      <c r="C751" s="1">
        <v>1</v>
      </c>
      <c r="D751" s="1" t="str">
        <f>"05664-1"</f>
        <v>05664-1</v>
      </c>
      <c r="E751" s="1" t="s">
        <v>122</v>
      </c>
      <c r="F751" s="1">
        <v>11</v>
      </c>
      <c r="G751" s="1">
        <v>6</v>
      </c>
      <c r="H751" s="1">
        <v>0</v>
      </c>
      <c r="K751" s="1" t="str">
        <f t="shared" si="44"/>
        <v/>
      </c>
      <c r="L751" s="1" t="str">
        <f t="shared" si="45"/>
        <v/>
      </c>
      <c r="M751" s="1" t="str">
        <f t="shared" si="46"/>
        <v/>
      </c>
      <c r="P751" s="1" t="s">
        <v>20</v>
      </c>
      <c r="V751" s="1" t="s">
        <v>29196</v>
      </c>
      <c r="X751" s="1" t="s">
        <v>27842</v>
      </c>
      <c r="AR751" s="1" t="str">
        <f t="shared" si="47"/>
        <v>| [](.md) | [矫](矫.md) |  |  | 「矯」的異體字。 |</v>
      </c>
    </row>
    <row r="752" spans="1:44" hidden="1">
      <c r="A752" s="1" t="s">
        <v>29197</v>
      </c>
      <c r="C752" s="1">
        <v>1</v>
      </c>
      <c r="D752" s="1" t="str">
        <f>"05671-1"</f>
        <v>05671-1</v>
      </c>
      <c r="E752" s="1" t="s">
        <v>28</v>
      </c>
      <c r="F752" s="1">
        <v>7</v>
      </c>
      <c r="G752" s="1">
        <v>4</v>
      </c>
      <c r="H752" s="1">
        <v>0</v>
      </c>
      <c r="K752" s="1" t="str">
        <f t="shared" si="44"/>
        <v/>
      </c>
      <c r="L752" s="1" t="str">
        <f t="shared" si="45"/>
        <v/>
      </c>
      <c r="M752" s="1" t="str">
        <f t="shared" si="46"/>
        <v/>
      </c>
      <c r="P752" s="1" t="s">
        <v>20</v>
      </c>
      <c r="V752" s="1" t="s">
        <v>29198</v>
      </c>
      <c r="X752" s="1" t="s">
        <v>27842</v>
      </c>
      <c r="AR752" s="1" t="str">
        <f t="shared" si="47"/>
        <v>| [](.md) | [呌](呌.md) |  |  | 「叫」的異體字。 |</v>
      </c>
    </row>
    <row r="753" spans="1:44" hidden="1">
      <c r="A753" s="1" t="s">
        <v>29199</v>
      </c>
      <c r="C753" s="1">
        <v>1</v>
      </c>
      <c r="D753" s="1" t="str">
        <f>"05684-1"</f>
        <v>05684-1</v>
      </c>
      <c r="E753" s="1" t="s">
        <v>71</v>
      </c>
      <c r="F753" s="1">
        <v>13</v>
      </c>
      <c r="G753" s="1">
        <v>6</v>
      </c>
      <c r="H753" s="1">
        <v>0</v>
      </c>
      <c r="K753" s="1" t="str">
        <f t="shared" si="44"/>
        <v/>
      </c>
      <c r="L753" s="1" t="str">
        <f t="shared" si="45"/>
        <v/>
      </c>
      <c r="M753" s="1" t="str">
        <f t="shared" si="46"/>
        <v/>
      </c>
      <c r="P753" s="1" t="s">
        <v>20</v>
      </c>
      <c r="V753" s="1" t="s">
        <v>29200</v>
      </c>
      <c r="X753" s="1" t="s">
        <v>27842</v>
      </c>
      <c r="AR753" s="1" t="str">
        <f t="shared" si="47"/>
        <v>| [](.md) | [󵹦](󵹦.md) |  |  | 「轎」的異體字。 |</v>
      </c>
    </row>
    <row r="754" spans="1:44" hidden="1">
      <c r="A754" s="1" t="s">
        <v>29201</v>
      </c>
      <c r="C754" s="1">
        <v>1</v>
      </c>
      <c r="D754" s="1" t="str">
        <f>"05691-1"</f>
        <v>05691-1</v>
      </c>
      <c r="E754" s="1" t="s">
        <v>2233</v>
      </c>
      <c r="F754" s="1">
        <v>11</v>
      </c>
      <c r="G754" s="1">
        <v>4</v>
      </c>
      <c r="H754" s="1">
        <v>0</v>
      </c>
      <c r="K754" s="1" t="str">
        <f t="shared" si="44"/>
        <v/>
      </c>
      <c r="L754" s="1" t="str">
        <f t="shared" si="45"/>
        <v/>
      </c>
      <c r="M754" s="1" t="str">
        <f t="shared" si="46"/>
        <v/>
      </c>
      <c r="P754" s="1" t="s">
        <v>20</v>
      </c>
      <c r="V754" s="1" t="s">
        <v>29202</v>
      </c>
      <c r="X754" s="1" t="s">
        <v>27842</v>
      </c>
      <c r="AR754" s="1" t="str">
        <f t="shared" si="47"/>
        <v>| [](.md) | [斍](斍.md) |  |  | 「覺」的異體字。 |</v>
      </c>
    </row>
    <row r="755" spans="1:44" hidden="1">
      <c r="A755" s="1" t="s">
        <v>29203</v>
      </c>
      <c r="C755" s="1">
        <v>1</v>
      </c>
      <c r="D755" s="1" t="str">
        <f>"05691-2"</f>
        <v>05691-2</v>
      </c>
      <c r="E755" s="1" t="s">
        <v>2233</v>
      </c>
      <c r="F755" s="1">
        <v>12</v>
      </c>
      <c r="G755" s="1">
        <v>5</v>
      </c>
      <c r="H755" s="1">
        <v>0</v>
      </c>
      <c r="K755" s="1" t="str">
        <f t="shared" si="44"/>
        <v/>
      </c>
      <c r="L755" s="1" t="str">
        <f t="shared" si="45"/>
        <v/>
      </c>
      <c r="M755" s="1" t="str">
        <f t="shared" si="46"/>
        <v/>
      </c>
      <c r="P755" s="1" t="s">
        <v>20</v>
      </c>
      <c r="V755" s="1" t="s">
        <v>29202</v>
      </c>
      <c r="X755" s="1" t="s">
        <v>27842</v>
      </c>
      <c r="AR755" s="1" t="str">
        <f t="shared" si="47"/>
        <v>| [](.md) | [覚](覚.md) |  |  | 「覺」的異體字。 |</v>
      </c>
    </row>
    <row r="756" spans="1:44" hidden="1">
      <c r="A756" s="1" t="s">
        <v>13588</v>
      </c>
      <c r="C756" s="1">
        <v>1</v>
      </c>
      <c r="D756" s="1" t="str">
        <f>"05699-1"</f>
        <v>05699-1</v>
      </c>
      <c r="E756" s="1" t="s">
        <v>28</v>
      </c>
      <c r="F756" s="1">
        <v>15</v>
      </c>
      <c r="G756" s="1">
        <v>12</v>
      </c>
      <c r="H756" s="1">
        <v>0</v>
      </c>
      <c r="K756" s="1" t="str">
        <f t="shared" si="44"/>
        <v/>
      </c>
      <c r="L756" s="1" t="str">
        <f t="shared" si="45"/>
        <v/>
      </c>
      <c r="M756" s="1" t="str">
        <f t="shared" si="46"/>
        <v/>
      </c>
      <c r="P756" s="1" t="s">
        <v>20</v>
      </c>
      <c r="V756" s="1" t="s">
        <v>29204</v>
      </c>
      <c r="X756" s="1" t="s">
        <v>27842</v>
      </c>
      <c r="AR756" s="1" t="str">
        <f t="shared" si="47"/>
        <v>| [](.md) | [噍](噍.md) |  |  | 「啾」的異體字。 |</v>
      </c>
    </row>
    <row r="757" spans="1:44" hidden="1">
      <c r="A757" s="1" t="s">
        <v>29205</v>
      </c>
      <c r="C757" s="1">
        <v>1</v>
      </c>
      <c r="D757" s="1" t="str">
        <f>"05712-1"</f>
        <v>05712-1</v>
      </c>
      <c r="E757" s="1" t="s">
        <v>37</v>
      </c>
      <c r="F757" s="1">
        <v>13</v>
      </c>
      <c r="G757" s="1">
        <v>9</v>
      </c>
      <c r="H757" s="1">
        <v>0</v>
      </c>
      <c r="K757" s="1" t="str">
        <f t="shared" si="44"/>
        <v/>
      </c>
      <c r="L757" s="1" t="str">
        <f t="shared" si="45"/>
        <v/>
      </c>
      <c r="M757" s="1" t="str">
        <f t="shared" si="46"/>
        <v/>
      </c>
      <c r="P757" s="1" t="s">
        <v>20</v>
      </c>
      <c r="V757" s="1" t="s">
        <v>29206</v>
      </c>
      <c r="X757" s="1" t="s">
        <v>27842</v>
      </c>
      <c r="AR757" s="1" t="str">
        <f t="shared" si="47"/>
        <v>| [](.md) | [韮](韮.md) |  |  | 「韭」的異體字。 |</v>
      </c>
    </row>
    <row r="758" spans="1:44" hidden="1">
      <c r="A758" s="1" t="s">
        <v>29207</v>
      </c>
      <c r="C758" s="1">
        <v>1</v>
      </c>
      <c r="D758" s="1" t="str">
        <f>"05720-1"</f>
        <v>05720-1</v>
      </c>
      <c r="E758" s="1" t="s">
        <v>3892</v>
      </c>
      <c r="F758" s="1">
        <v>20</v>
      </c>
      <c r="G758" s="1">
        <v>18</v>
      </c>
      <c r="H758" s="1">
        <v>0</v>
      </c>
      <c r="K758" s="1" t="str">
        <f t="shared" si="44"/>
        <v/>
      </c>
      <c r="L758" s="1" t="str">
        <f t="shared" si="45"/>
        <v/>
      </c>
      <c r="M758" s="1" t="str">
        <f t="shared" si="46"/>
        <v/>
      </c>
      <c r="P758" s="1" t="s">
        <v>20</v>
      </c>
      <c r="V758" s="1" t="s">
        <v>29208</v>
      </c>
      <c r="X758" s="1" t="s">
        <v>27842</v>
      </c>
      <c r="AR758" s="1" t="str">
        <f t="shared" si="47"/>
        <v>| [](.md) | [匶](匶.md) |  |  | 「柩」的異體字。 |</v>
      </c>
    </row>
    <row r="759" spans="1:44" hidden="1">
      <c r="A759" s="1" t="s">
        <v>29209</v>
      </c>
      <c r="C759" s="1">
        <v>1</v>
      </c>
      <c r="D759" s="1" t="str">
        <f>"05727-1"</f>
        <v>05727-1</v>
      </c>
      <c r="E759" s="1" t="s">
        <v>1941</v>
      </c>
      <c r="F759" s="1">
        <v>13</v>
      </c>
      <c r="G759" s="1">
        <v>11</v>
      </c>
      <c r="H759" s="1">
        <v>0</v>
      </c>
      <c r="K759" s="1" t="str">
        <f t="shared" si="44"/>
        <v/>
      </c>
      <c r="L759" s="1" t="str">
        <f t="shared" si="45"/>
        <v/>
      </c>
      <c r="M759" s="1" t="str">
        <f t="shared" si="46"/>
        <v/>
      </c>
      <c r="P759" s="1" t="s">
        <v>20</v>
      </c>
      <c r="V759" s="1" t="s">
        <v>29210</v>
      </c>
      <c r="X759" s="1" t="s">
        <v>27842</v>
      </c>
      <c r="AR759" s="1" t="str">
        <f t="shared" si="47"/>
        <v>| [](.md) | [厩](厩.md) |  |  | 「廄」的異體字。 |</v>
      </c>
    </row>
    <row r="760" spans="1:44" hidden="1">
      <c r="A760" s="1" t="s">
        <v>29211</v>
      </c>
      <c r="C760" s="1">
        <v>1</v>
      </c>
      <c r="D760" s="1" t="str">
        <f>"05727-2"</f>
        <v>05727-2</v>
      </c>
      <c r="E760" s="1" t="s">
        <v>447</v>
      </c>
      <c r="F760" s="1">
        <v>14</v>
      </c>
      <c r="G760" s="1">
        <v>11</v>
      </c>
      <c r="H760" s="1">
        <v>0</v>
      </c>
      <c r="K760" s="1" t="str">
        <f t="shared" si="44"/>
        <v/>
      </c>
      <c r="L760" s="1" t="str">
        <f t="shared" si="45"/>
        <v/>
      </c>
      <c r="M760" s="1" t="str">
        <f t="shared" si="46"/>
        <v/>
      </c>
      <c r="P760" s="1" t="s">
        <v>20</v>
      </c>
      <c r="V760" s="1" t="s">
        <v>29210</v>
      </c>
      <c r="X760" s="1" t="s">
        <v>27842</v>
      </c>
      <c r="AR760" s="1" t="str">
        <f t="shared" si="47"/>
        <v>| [](.md) | [廐](廐.md) |  |  | 「廄」的異體字。 |</v>
      </c>
    </row>
    <row r="761" spans="1:44" hidden="1">
      <c r="A761" s="1" t="s">
        <v>29212</v>
      </c>
      <c r="C761" s="1">
        <v>1</v>
      </c>
      <c r="D761" s="1" t="str">
        <f>"05727-3"</f>
        <v>05727-3</v>
      </c>
      <c r="E761" s="1" t="s">
        <v>447</v>
      </c>
      <c r="F761" s="1">
        <v>14</v>
      </c>
      <c r="G761" s="1">
        <v>11</v>
      </c>
      <c r="H761" s="1">
        <v>0</v>
      </c>
      <c r="K761" s="1" t="str">
        <f t="shared" si="44"/>
        <v/>
      </c>
      <c r="L761" s="1" t="str">
        <f t="shared" si="45"/>
        <v/>
      </c>
      <c r="M761" s="1" t="str">
        <f t="shared" si="46"/>
        <v/>
      </c>
      <c r="P761" s="1" t="s">
        <v>20</v>
      </c>
      <c r="V761" s="1" t="s">
        <v>29210</v>
      </c>
      <c r="X761" s="1" t="s">
        <v>27842</v>
      </c>
      <c r="AR761" s="1" t="str">
        <f t="shared" si="47"/>
        <v>| [](.md) | [廏](廏.md) |  |  | 「廄」的異體字。 |</v>
      </c>
    </row>
    <row r="762" spans="1:44" hidden="1">
      <c r="A762" s="1" t="s">
        <v>29213</v>
      </c>
      <c r="C762" s="1">
        <v>1</v>
      </c>
      <c r="D762" s="1" t="str">
        <f>"05728-1"</f>
        <v>05728-1</v>
      </c>
      <c r="E762" s="1" t="s">
        <v>1386</v>
      </c>
      <c r="F762" s="1">
        <v>4</v>
      </c>
      <c r="G762" s="1">
        <v>1</v>
      </c>
      <c r="H762" s="1">
        <v>0</v>
      </c>
      <c r="K762" s="1" t="str">
        <f t="shared" si="44"/>
        <v/>
      </c>
      <c r="L762" s="1" t="str">
        <f t="shared" si="45"/>
        <v/>
      </c>
      <c r="M762" s="1" t="str">
        <f t="shared" si="46"/>
        <v/>
      </c>
      <c r="P762" s="1" t="s">
        <v>20</v>
      </c>
      <c r="V762" s="1" t="s">
        <v>29214</v>
      </c>
      <c r="X762" s="1" t="s">
        <v>27842</v>
      </c>
      <c r="AR762" s="1" t="str">
        <f t="shared" si="47"/>
        <v>| [](.md) | [开](开.md) |  |  | 「幵」的異體字。 |</v>
      </c>
    </row>
    <row r="763" spans="1:44" hidden="1">
      <c r="A763" s="1" t="s">
        <v>29215</v>
      </c>
      <c r="C763" s="1">
        <v>1</v>
      </c>
      <c r="D763" s="1" t="str">
        <f>"05730-1"</f>
        <v>05730-1</v>
      </c>
      <c r="E763" s="1" t="s">
        <v>52</v>
      </c>
      <c r="F763" s="1">
        <v>13</v>
      </c>
      <c r="G763" s="1">
        <v>6</v>
      </c>
      <c r="H763" s="1">
        <v>0</v>
      </c>
      <c r="K763" s="1" t="str">
        <f t="shared" si="44"/>
        <v/>
      </c>
      <c r="L763" s="1" t="str">
        <f t="shared" si="45"/>
        <v/>
      </c>
      <c r="M763" s="1" t="str">
        <f t="shared" si="46"/>
        <v/>
      </c>
      <c r="P763" s="1" t="s">
        <v>20</v>
      </c>
      <c r="V763" s="1" t="s">
        <v>29216</v>
      </c>
      <c r="X763" s="1" t="s">
        <v>27842</v>
      </c>
      <c r="AR763" s="1" t="str">
        <f t="shared" si="47"/>
        <v>| [](.md) | [豣](豣.md) |  |  | 「豜」的異體字。 |</v>
      </c>
    </row>
    <row r="764" spans="1:44" hidden="1">
      <c r="A764" s="1" t="s">
        <v>29217</v>
      </c>
      <c r="C764" s="1">
        <v>1</v>
      </c>
      <c r="D764" s="1" t="str">
        <f>"05731-1"</f>
        <v>05731-1</v>
      </c>
      <c r="E764" s="1" t="s">
        <v>55</v>
      </c>
      <c r="F764" s="1">
        <v>14</v>
      </c>
      <c r="G764" s="1">
        <v>6</v>
      </c>
      <c r="H764" s="1">
        <v>0</v>
      </c>
      <c r="K764" s="1" t="str">
        <f t="shared" si="44"/>
        <v/>
      </c>
      <c r="L764" s="1" t="str">
        <f t="shared" si="45"/>
        <v/>
      </c>
      <c r="M764" s="1" t="str">
        <f t="shared" si="46"/>
        <v/>
      </c>
      <c r="P764" s="1" t="s">
        <v>20</v>
      </c>
      <c r="V764" s="1" t="s">
        <v>29218</v>
      </c>
      <c r="X764" s="1" t="s">
        <v>27842</v>
      </c>
      <c r="AR764" s="1" t="str">
        <f t="shared" si="47"/>
        <v>| [](.md) | [銒](銒.md) |  |  | 「鈃」的異體字。 |</v>
      </c>
    </row>
    <row r="765" spans="1:44" hidden="1">
      <c r="A765" s="1" t="s">
        <v>29219</v>
      </c>
      <c r="C765" s="1">
        <v>1</v>
      </c>
      <c r="D765" s="1" t="str">
        <f>"05734-1"</f>
        <v>05734-1</v>
      </c>
      <c r="E765" s="1" t="s">
        <v>129</v>
      </c>
      <c r="F765" s="1">
        <v>9</v>
      </c>
      <c r="G765" s="1">
        <v>6</v>
      </c>
      <c r="H765" s="1">
        <v>0</v>
      </c>
      <c r="K765" s="1" t="str">
        <f t="shared" si="44"/>
        <v/>
      </c>
      <c r="L765" s="1" t="str">
        <f t="shared" si="45"/>
        <v/>
      </c>
      <c r="M765" s="1" t="str">
        <f t="shared" si="46"/>
        <v/>
      </c>
      <c r="P765" s="1" t="s">
        <v>20</v>
      </c>
      <c r="V765" s="1" t="s">
        <v>29220</v>
      </c>
      <c r="X765" s="1" t="s">
        <v>27842</v>
      </c>
      <c r="AR765" s="1" t="str">
        <f t="shared" si="47"/>
        <v>| [](.md) | [浅](浅.md) |  |  | 「淺」的異體字。 |</v>
      </c>
    </row>
    <row r="766" spans="1:44" hidden="1">
      <c r="A766" s="1" t="s">
        <v>29221</v>
      </c>
      <c r="C766" s="1">
        <v>1</v>
      </c>
      <c r="D766" s="1" t="str">
        <f>"05740-1"</f>
        <v>05740-1</v>
      </c>
      <c r="E766" s="1" t="s">
        <v>18</v>
      </c>
      <c r="F766" s="1">
        <v>10</v>
      </c>
      <c r="G766" s="1">
        <v>8</v>
      </c>
      <c r="H766" s="1">
        <v>0</v>
      </c>
      <c r="K766" s="1" t="str">
        <f t="shared" si="44"/>
        <v/>
      </c>
      <c r="L766" s="1" t="str">
        <f t="shared" si="45"/>
        <v/>
      </c>
      <c r="M766" s="1" t="str">
        <f t="shared" si="46"/>
        <v/>
      </c>
      <c r="P766" s="1" t="s">
        <v>20</v>
      </c>
      <c r="V766" s="1" t="s">
        <v>29222</v>
      </c>
      <c r="X766" s="1" t="s">
        <v>27842</v>
      </c>
      <c r="AR766" s="1" t="str">
        <f t="shared" si="47"/>
        <v>| [](.md) | [󰘅](󰘅.md) |  |  | 「兼」的異體字。 |</v>
      </c>
    </row>
    <row r="767" spans="1:44" hidden="1">
      <c r="A767" s="1" t="s">
        <v>29223</v>
      </c>
      <c r="C767" s="1">
        <v>1</v>
      </c>
      <c r="D767" s="1" t="str">
        <f>"05740-2"</f>
        <v>05740-2</v>
      </c>
      <c r="E767" s="1" t="s">
        <v>336</v>
      </c>
      <c r="F767" s="1">
        <v>12</v>
      </c>
      <c r="G767" s="1">
        <v>8</v>
      </c>
      <c r="H767" s="1">
        <v>0</v>
      </c>
      <c r="K767" s="1" t="str">
        <f t="shared" si="44"/>
        <v/>
      </c>
      <c r="L767" s="1" t="str">
        <f t="shared" si="45"/>
        <v/>
      </c>
      <c r="M767" s="1" t="str">
        <f t="shared" si="46"/>
        <v/>
      </c>
      <c r="P767" s="1" t="s">
        <v>20</v>
      </c>
      <c r="V767" s="1" t="s">
        <v>29222</v>
      </c>
      <c r="X767" s="1" t="s">
        <v>27842</v>
      </c>
      <c r="AR767" s="1" t="str">
        <f t="shared" si="47"/>
        <v>| [](.md) | [𠔥](𠔥.md) |  |  | 「兼」的異體字。 |</v>
      </c>
    </row>
    <row r="768" spans="1:44" hidden="1">
      <c r="A768" s="1" t="s">
        <v>29224</v>
      </c>
      <c r="C768" s="1">
        <v>1</v>
      </c>
      <c r="D768" s="1" t="str">
        <f>"05770-1"</f>
        <v>05770-1</v>
      </c>
      <c r="E768" s="1" t="s">
        <v>96</v>
      </c>
      <c r="F768" s="1">
        <v>22</v>
      </c>
      <c r="G768" s="1">
        <v>13</v>
      </c>
      <c r="H768" s="1">
        <v>0</v>
      </c>
      <c r="K768" s="1" t="str">
        <f t="shared" si="44"/>
        <v/>
      </c>
      <c r="L768" s="1" t="str">
        <f t="shared" si="45"/>
        <v/>
      </c>
      <c r="M768" s="1" t="str">
        <f t="shared" si="46"/>
        <v/>
      </c>
      <c r="P768" s="1" t="s">
        <v>20</v>
      </c>
      <c r="V768" s="1" t="s">
        <v>29225</v>
      </c>
      <c r="X768" s="1" t="s">
        <v>27842</v>
      </c>
      <c r="AR768" s="1" t="str">
        <f t="shared" si="47"/>
        <v>| [](.md) | [韀](韀.md) |  |  | 「韉」的異體字。 |</v>
      </c>
    </row>
    <row r="769" spans="1:44" hidden="1">
      <c r="A769" s="1" t="s">
        <v>29226</v>
      </c>
      <c r="C769" s="1">
        <v>1</v>
      </c>
      <c r="D769" s="1" t="str">
        <f>"05778-1"</f>
        <v>05778-1</v>
      </c>
      <c r="E769" s="1" t="s">
        <v>77</v>
      </c>
      <c r="F769" s="1">
        <v>13</v>
      </c>
      <c r="G769" s="1">
        <v>6</v>
      </c>
      <c r="H769" s="1">
        <v>0</v>
      </c>
      <c r="K769" s="1" t="str">
        <f t="shared" si="44"/>
        <v/>
      </c>
      <c r="L769" s="1" t="str">
        <f t="shared" si="45"/>
        <v/>
      </c>
      <c r="M769" s="1" t="str">
        <f t="shared" si="46"/>
        <v/>
      </c>
      <c r="P769" s="1" t="s">
        <v>20</v>
      </c>
      <c r="V769" s="1" t="s">
        <v>29227</v>
      </c>
      <c r="X769" s="1" t="s">
        <v>27842</v>
      </c>
      <c r="AR769" s="1" t="str">
        <f t="shared" si="47"/>
        <v>| [](.md) | [趼](趼.md) |  |  | 「趼」的異體字。 |</v>
      </c>
    </row>
    <row r="770" spans="1:44" hidden="1">
      <c r="A770" s="1" t="s">
        <v>29228</v>
      </c>
      <c r="C770" s="1">
        <v>1</v>
      </c>
      <c r="D770" s="1" t="str">
        <f>"05781-1"</f>
        <v>05781-1</v>
      </c>
      <c r="E770" s="1" t="s">
        <v>1381</v>
      </c>
      <c r="F770" s="1">
        <v>11</v>
      </c>
      <c r="G770" s="1">
        <v>9</v>
      </c>
      <c r="H770" s="1">
        <v>0</v>
      </c>
      <c r="K770" s="1" t="str">
        <f t="shared" ref="K770:K833" si="48">LEFT(I770, 1)</f>
        <v/>
      </c>
      <c r="L770" s="1" t="str">
        <f t="shared" ref="L770:L833" si="49">MID(I770, 2, 1)</f>
        <v/>
      </c>
      <c r="M770" s="1" t="str">
        <f t="shared" ref="M770:M833" si="50">MID(I770, 3, 1)</f>
        <v/>
      </c>
      <c r="P770" s="1" t="s">
        <v>20</v>
      </c>
      <c r="V770" s="1" t="s">
        <v>29229</v>
      </c>
      <c r="X770" s="1" t="s">
        <v>27842</v>
      </c>
      <c r="AR770" s="1" t="str">
        <f t="shared" si="47"/>
        <v>| [](.md) | [减](减.md) |  |  | 「減」的異體字。 |</v>
      </c>
    </row>
    <row r="771" spans="1:44" hidden="1">
      <c r="A771" s="1" t="s">
        <v>29230</v>
      </c>
      <c r="C771" s="1">
        <v>1</v>
      </c>
      <c r="D771" s="1" t="str">
        <f>"05788-1"</f>
        <v>05788-1</v>
      </c>
      <c r="E771" s="1" t="s">
        <v>169</v>
      </c>
      <c r="F771" s="1">
        <v>14</v>
      </c>
      <c r="G771" s="1">
        <v>9</v>
      </c>
      <c r="H771" s="1">
        <v>0</v>
      </c>
      <c r="K771" s="1" t="str">
        <f t="shared" si="48"/>
        <v/>
      </c>
      <c r="L771" s="1" t="str">
        <f t="shared" si="49"/>
        <v/>
      </c>
      <c r="M771" s="1" t="str">
        <f t="shared" si="50"/>
        <v/>
      </c>
      <c r="P771" s="1" t="s">
        <v>20</v>
      </c>
      <c r="V771" s="1" t="s">
        <v>29231</v>
      </c>
      <c r="X771" s="1" t="s">
        <v>27842</v>
      </c>
      <c r="AR771" s="1" t="str">
        <f t="shared" ref="AR771:AR834" si="51">"| ["&amp;I771&amp;"]("&amp;I771&amp;".md) | ["&amp;A771&amp;"]("&amp;A771&amp;".md) | "&amp;" | "&amp;R771&amp;" | "&amp;V771&amp;" |"</f>
        <v>| [](.md) | [碱](碱.md) |  |  | 「鹼」的異體字。 |</v>
      </c>
    </row>
    <row r="772" spans="1:44" hidden="1">
      <c r="A772" s="1" t="s">
        <v>29232</v>
      </c>
      <c r="C772" s="1">
        <v>1</v>
      </c>
      <c r="D772" s="1" t="str">
        <f>"05793-1"</f>
        <v>05793-1</v>
      </c>
      <c r="E772" s="1" t="s">
        <v>49</v>
      </c>
      <c r="F772" s="1">
        <v>18</v>
      </c>
      <c r="G772" s="1">
        <v>12</v>
      </c>
      <c r="H772" s="1">
        <v>0</v>
      </c>
      <c r="K772" s="1" t="str">
        <f t="shared" si="48"/>
        <v/>
      </c>
      <c r="L772" s="1" t="str">
        <f t="shared" si="49"/>
        <v/>
      </c>
      <c r="M772" s="1" t="str">
        <f t="shared" si="50"/>
        <v/>
      </c>
      <c r="P772" s="1" t="s">
        <v>20</v>
      </c>
      <c r="V772" s="1" t="s">
        <v>29233</v>
      </c>
      <c r="X772" s="1" t="s">
        <v>27842</v>
      </c>
      <c r="AR772" s="1" t="str">
        <f t="shared" si="51"/>
        <v>| [](.md) | [𥳑](𥳑.md) |  |  | 「簡」的異體字。 |</v>
      </c>
    </row>
    <row r="773" spans="1:44" hidden="1">
      <c r="A773" s="1" t="s">
        <v>29234</v>
      </c>
      <c r="C773" s="1">
        <v>1</v>
      </c>
      <c r="D773" s="1" t="str">
        <f>"05798-1"</f>
        <v>05798-1</v>
      </c>
      <c r="E773" s="1" t="s">
        <v>129</v>
      </c>
      <c r="F773" s="1">
        <v>20</v>
      </c>
      <c r="G773" s="1">
        <v>17</v>
      </c>
      <c r="H773" s="1">
        <v>0</v>
      </c>
      <c r="K773" s="1" t="str">
        <f t="shared" si="48"/>
        <v/>
      </c>
      <c r="L773" s="1" t="str">
        <f t="shared" si="49"/>
        <v/>
      </c>
      <c r="M773" s="1" t="str">
        <f t="shared" si="50"/>
        <v/>
      </c>
      <c r="P773" s="1" t="s">
        <v>20</v>
      </c>
      <c r="V773" s="1" t="s">
        <v>29235</v>
      </c>
      <c r="X773" s="1" t="s">
        <v>27842</v>
      </c>
      <c r="AR773" s="1" t="str">
        <f t="shared" si="51"/>
        <v>| [](.md) | [瀳](瀳.md) |  |  | 「洊」的異體字。 |</v>
      </c>
    </row>
    <row r="774" spans="1:44" hidden="1">
      <c r="A774" s="1" t="s">
        <v>29236</v>
      </c>
      <c r="C774" s="1">
        <v>1</v>
      </c>
      <c r="D774" s="1" t="str">
        <f>"05824-1"</f>
        <v>05824-1</v>
      </c>
      <c r="E774" s="1" t="s">
        <v>55</v>
      </c>
      <c r="F774" s="1">
        <v>17</v>
      </c>
      <c r="G774" s="1">
        <v>9</v>
      </c>
      <c r="H774" s="1">
        <v>0</v>
      </c>
      <c r="K774" s="1" t="str">
        <f t="shared" si="48"/>
        <v/>
      </c>
      <c r="L774" s="1" t="str">
        <f t="shared" si="49"/>
        <v/>
      </c>
      <c r="M774" s="1" t="str">
        <f t="shared" si="50"/>
        <v/>
      </c>
      <c r="P774" s="1" t="s">
        <v>20</v>
      </c>
      <c r="V774" s="1" t="s">
        <v>29237</v>
      </c>
      <c r="X774" s="1" t="s">
        <v>27842</v>
      </c>
      <c r="AR774" s="1" t="str">
        <f t="shared" si="51"/>
        <v>| [](.md) | [鍳](鍳.md) |  |  | 「鑒」的異體字。 |</v>
      </c>
    </row>
    <row r="775" spans="1:44" hidden="1">
      <c r="A775" s="1" t="s">
        <v>29238</v>
      </c>
      <c r="C775" s="1">
        <v>1</v>
      </c>
      <c r="D775" s="1" t="str">
        <f>"05827-1"</f>
        <v>05827-1</v>
      </c>
      <c r="E775" s="1" t="s">
        <v>114</v>
      </c>
      <c r="F775" s="1">
        <v>14</v>
      </c>
      <c r="G775" s="1">
        <v>12</v>
      </c>
      <c r="H775" s="1">
        <v>0</v>
      </c>
      <c r="K775" s="1" t="str">
        <f t="shared" si="48"/>
        <v/>
      </c>
      <c r="L775" s="1" t="str">
        <f t="shared" si="49"/>
        <v/>
      </c>
      <c r="M775" s="1" t="str">
        <f t="shared" si="50"/>
        <v/>
      </c>
      <c r="P775" s="1" t="s">
        <v>20</v>
      </c>
      <c r="V775" s="1" t="s">
        <v>29239</v>
      </c>
      <c r="X775" s="1" t="s">
        <v>27842</v>
      </c>
      <c r="AR775" s="1" t="str">
        <f t="shared" si="51"/>
        <v>| [](.md) | [僣](僣.md) |  |  | 「僭」的異體字。 |</v>
      </c>
    </row>
    <row r="776" spans="1:44" hidden="1">
      <c r="A776" s="1" t="s">
        <v>29240</v>
      </c>
      <c r="C776" s="1">
        <v>1</v>
      </c>
      <c r="D776" s="1" t="str">
        <f>"05829-1"</f>
        <v>05829-1</v>
      </c>
      <c r="E776" s="1" t="s">
        <v>185</v>
      </c>
      <c r="F776" s="1">
        <v>16</v>
      </c>
      <c r="G776" s="1">
        <v>14</v>
      </c>
      <c r="H776" s="1">
        <v>0</v>
      </c>
      <c r="K776" s="1" t="str">
        <f t="shared" si="48"/>
        <v/>
      </c>
      <c r="L776" s="1" t="str">
        <f t="shared" si="49"/>
        <v/>
      </c>
      <c r="M776" s="1" t="str">
        <f t="shared" si="50"/>
        <v/>
      </c>
      <c r="P776" s="1" t="s">
        <v>20</v>
      </c>
      <c r="V776" s="1" t="s">
        <v>29241</v>
      </c>
      <c r="X776" s="1" t="s">
        <v>27842</v>
      </c>
      <c r="AR776" s="1" t="str">
        <f t="shared" si="51"/>
        <v>| [](.md) | [劒](劒.md) |  |  | 「劍」的異體字。 |</v>
      </c>
    </row>
    <row r="777" spans="1:44" hidden="1">
      <c r="A777" s="1" t="s">
        <v>29242</v>
      </c>
      <c r="C777" s="1">
        <v>1</v>
      </c>
      <c r="D777" s="1" t="str">
        <f>"05846-1"</f>
        <v>05846-1</v>
      </c>
      <c r="E777" s="1" t="s">
        <v>2954</v>
      </c>
      <c r="F777" s="1">
        <v>8</v>
      </c>
      <c r="G777" s="1">
        <v>6</v>
      </c>
      <c r="H777" s="1">
        <v>0</v>
      </c>
      <c r="K777" s="1" t="str">
        <f t="shared" si="48"/>
        <v/>
      </c>
      <c r="L777" s="1" t="str">
        <f t="shared" si="49"/>
        <v/>
      </c>
      <c r="M777" s="1" t="str">
        <f t="shared" si="50"/>
        <v/>
      </c>
      <c r="P777" s="1" t="s">
        <v>20</v>
      </c>
      <c r="V777" s="1" t="s">
        <v>29243</v>
      </c>
      <c r="X777" s="1" t="s">
        <v>27842</v>
      </c>
      <c r="AR777" s="1" t="str">
        <f t="shared" si="51"/>
        <v>| [](.md) | [卺](卺.md) |  |  | 「巹」的異體字。 |</v>
      </c>
    </row>
    <row r="778" spans="1:44" hidden="1">
      <c r="A778" s="1" t="s">
        <v>29244</v>
      </c>
      <c r="C778" s="1">
        <v>1</v>
      </c>
      <c r="D778" s="1" t="str">
        <f>"05849-1"</f>
        <v>05849-1</v>
      </c>
      <c r="E778" s="1" t="s">
        <v>114</v>
      </c>
      <c r="F778" s="1">
        <v>4</v>
      </c>
      <c r="G778" s="1">
        <v>2</v>
      </c>
      <c r="H778" s="1">
        <v>0</v>
      </c>
      <c r="K778" s="1" t="str">
        <f t="shared" si="48"/>
        <v/>
      </c>
      <c r="L778" s="1" t="str">
        <f t="shared" si="49"/>
        <v/>
      </c>
      <c r="M778" s="1" t="str">
        <f t="shared" si="50"/>
        <v/>
      </c>
      <c r="P778" s="1" t="s">
        <v>20</v>
      </c>
      <c r="V778" s="1" t="s">
        <v>29245</v>
      </c>
      <c r="X778" s="1" t="s">
        <v>27842</v>
      </c>
      <c r="AR778" s="1" t="str">
        <f t="shared" si="51"/>
        <v>| [](.md) | [仅](仅.md) |  |  | 「僅」的異體字。 |</v>
      </c>
    </row>
    <row r="779" spans="1:44" hidden="1">
      <c r="A779" s="1" t="s">
        <v>29246</v>
      </c>
      <c r="C779" s="1">
        <v>1</v>
      </c>
      <c r="D779" s="1" t="str">
        <f>"05850-1"</f>
        <v>05850-1</v>
      </c>
      <c r="E779" s="1" t="s">
        <v>1941</v>
      </c>
      <c r="F779" s="1">
        <v>13</v>
      </c>
      <c r="G779" s="1">
        <v>11</v>
      </c>
      <c r="H779" s="1">
        <v>0</v>
      </c>
      <c r="K779" s="1" t="str">
        <f t="shared" si="48"/>
        <v/>
      </c>
      <c r="L779" s="1" t="str">
        <f t="shared" si="49"/>
        <v/>
      </c>
      <c r="M779" s="1" t="str">
        <f t="shared" si="50"/>
        <v/>
      </c>
      <c r="P779" s="1" t="s">
        <v>20</v>
      </c>
      <c r="V779" s="1" t="s">
        <v>29247</v>
      </c>
      <c r="X779" s="1" t="s">
        <v>27842</v>
      </c>
      <c r="AR779" s="1" t="str">
        <f t="shared" si="51"/>
        <v>| [](.md) | [厪](厪.md) |  |  | 「廑」的異體字。 |</v>
      </c>
    </row>
    <row r="780" spans="1:44" hidden="1">
      <c r="A780" s="1" t="s">
        <v>29248</v>
      </c>
      <c r="C780" s="1">
        <v>1</v>
      </c>
      <c r="D780" s="1" t="str">
        <f>"05858-1"</f>
        <v>05858-1</v>
      </c>
      <c r="E780" s="1" t="s">
        <v>725</v>
      </c>
      <c r="F780" s="1">
        <v>15</v>
      </c>
      <c r="G780" s="1">
        <v>9</v>
      </c>
      <c r="H780" s="1">
        <v>0</v>
      </c>
      <c r="K780" s="1" t="str">
        <f t="shared" si="48"/>
        <v/>
      </c>
      <c r="L780" s="1" t="str">
        <f t="shared" si="49"/>
        <v/>
      </c>
      <c r="M780" s="1" t="str">
        <f t="shared" si="50"/>
        <v/>
      </c>
      <c r="P780" s="1" t="s">
        <v>20</v>
      </c>
      <c r="V780" s="1" t="s">
        <v>29249</v>
      </c>
      <c r="X780" s="1" t="s">
        <v>27842</v>
      </c>
      <c r="AR780" s="1" t="str">
        <f t="shared" si="51"/>
        <v>| [](.md) | [𦂳](𦂳.md) |  |  | 「緊」的異體字。 |</v>
      </c>
    </row>
    <row r="781" spans="1:44" hidden="1">
      <c r="A781" s="1" t="s">
        <v>29250</v>
      </c>
      <c r="C781" s="1">
        <v>1</v>
      </c>
      <c r="D781" s="1" t="str">
        <f>"05859-1"</f>
        <v>05859-1</v>
      </c>
      <c r="E781" s="1" t="s">
        <v>114</v>
      </c>
      <c r="F781" s="1">
        <v>8</v>
      </c>
      <c r="G781" s="1">
        <v>6</v>
      </c>
      <c r="H781" s="1">
        <v>0</v>
      </c>
      <c r="K781" s="1" t="str">
        <f t="shared" si="48"/>
        <v/>
      </c>
      <c r="L781" s="1" t="str">
        <f t="shared" si="49"/>
        <v/>
      </c>
      <c r="M781" s="1" t="str">
        <f t="shared" si="50"/>
        <v/>
      </c>
      <c r="P781" s="1" t="s">
        <v>20</v>
      </c>
      <c r="V781" s="1" t="s">
        <v>29251</v>
      </c>
      <c r="X781" s="1" t="s">
        <v>27842</v>
      </c>
      <c r="AR781" s="1" t="str">
        <f t="shared" si="51"/>
        <v>| [](.md) | [侭](侭.md) |  |  | 「儘」的異體字。 |</v>
      </c>
    </row>
    <row r="782" spans="1:44" hidden="1">
      <c r="A782" s="1" t="s">
        <v>29252</v>
      </c>
      <c r="C782" s="1">
        <v>1</v>
      </c>
      <c r="D782" s="1" t="str">
        <f>"05866-1"</f>
        <v>05866-1</v>
      </c>
      <c r="E782" s="1" t="s">
        <v>646</v>
      </c>
      <c r="F782" s="1">
        <v>10</v>
      </c>
      <c r="G782" s="1">
        <v>6</v>
      </c>
      <c r="H782" s="1">
        <v>0</v>
      </c>
      <c r="K782" s="1" t="str">
        <f t="shared" si="48"/>
        <v/>
      </c>
      <c r="L782" s="1" t="str">
        <f t="shared" si="49"/>
        <v/>
      </c>
      <c r="M782" s="1" t="str">
        <f t="shared" si="50"/>
        <v/>
      </c>
      <c r="P782" s="1" t="s">
        <v>20</v>
      </c>
      <c r="V782" s="1" t="s">
        <v>29253</v>
      </c>
      <c r="X782" s="1" t="s">
        <v>27842</v>
      </c>
      <c r="AR782" s="1" t="str">
        <f t="shared" si="51"/>
        <v>| [](.md) | [晋](晋.md) |  |  | 「晉」的異體字。 |</v>
      </c>
    </row>
    <row r="783" spans="1:44" hidden="1">
      <c r="A783" s="1" t="s">
        <v>29254</v>
      </c>
      <c r="C783" s="1">
        <v>1</v>
      </c>
      <c r="D783" s="1" t="str">
        <f>"05882-1"</f>
        <v>05882-1</v>
      </c>
      <c r="E783" s="1" t="s">
        <v>871</v>
      </c>
      <c r="F783" s="1">
        <v>6</v>
      </c>
      <c r="G783" s="1">
        <v>3</v>
      </c>
      <c r="H783" s="1">
        <v>0</v>
      </c>
      <c r="K783" s="1" t="str">
        <f t="shared" si="48"/>
        <v/>
      </c>
      <c r="L783" s="1" t="str">
        <f t="shared" si="49"/>
        <v/>
      </c>
      <c r="M783" s="1" t="str">
        <f t="shared" si="50"/>
        <v/>
      </c>
      <c r="P783" s="1" t="s">
        <v>20</v>
      </c>
      <c r="V783" s="1" t="s">
        <v>29255</v>
      </c>
      <c r="X783" s="1" t="s">
        <v>27842</v>
      </c>
      <c r="AR783" s="1" t="str">
        <f t="shared" si="51"/>
        <v>| [](.md) | [尽](尽.md) |  |  | 「盡」的異體字。 |</v>
      </c>
    </row>
    <row r="784" spans="1:44" hidden="1">
      <c r="A784" s="1" t="s">
        <v>29256</v>
      </c>
      <c r="C784" s="1">
        <v>1</v>
      </c>
      <c r="D784" s="1" t="str">
        <f>"05884-1"</f>
        <v>05884-1</v>
      </c>
      <c r="E784" s="1" t="s">
        <v>336</v>
      </c>
      <c r="F784" s="1">
        <v>10</v>
      </c>
      <c r="G784" s="1">
        <v>6</v>
      </c>
      <c r="H784" s="1">
        <v>0</v>
      </c>
      <c r="K784" s="1" t="str">
        <f t="shared" si="48"/>
        <v/>
      </c>
      <c r="L784" s="1" t="str">
        <f t="shared" si="49"/>
        <v/>
      </c>
      <c r="M784" s="1" t="str">
        <f t="shared" si="50"/>
        <v/>
      </c>
      <c r="P784" s="1" t="s">
        <v>20</v>
      </c>
      <c r="V784" s="1" t="s">
        <v>29257</v>
      </c>
      <c r="X784" s="1" t="s">
        <v>27842</v>
      </c>
      <c r="AR784" s="1" t="str">
        <f t="shared" si="51"/>
        <v>| [](.md) | [烬](烬.md) |  |  | 「燼」的異體字。 |</v>
      </c>
    </row>
    <row r="785" spans="1:44" hidden="1">
      <c r="A785" s="1" t="s">
        <v>29258</v>
      </c>
      <c r="C785" s="1">
        <v>1</v>
      </c>
      <c r="D785" s="1" t="str">
        <f>"05886-1"</f>
        <v>05886-1</v>
      </c>
      <c r="E785" s="1" t="s">
        <v>505</v>
      </c>
      <c r="F785" s="1">
        <v>13</v>
      </c>
      <c r="G785" s="1">
        <v>6</v>
      </c>
      <c r="H785" s="1">
        <v>0</v>
      </c>
      <c r="K785" s="1" t="str">
        <f t="shared" si="48"/>
        <v/>
      </c>
      <c r="L785" s="1" t="str">
        <f t="shared" si="49"/>
        <v/>
      </c>
      <c r="M785" s="1" t="str">
        <f t="shared" si="50"/>
        <v/>
      </c>
      <c r="P785" s="1" t="s">
        <v>20</v>
      </c>
      <c r="V785" s="1" t="s">
        <v>29259</v>
      </c>
      <c r="X785" s="1" t="s">
        <v>27842</v>
      </c>
      <c r="AR785" s="1" t="str">
        <f t="shared" si="51"/>
        <v>| [](.md) | [䝲](䝲.md) |  |  | 「贐」的異體字。 |</v>
      </c>
    </row>
    <row r="786" spans="1:44" hidden="1">
      <c r="A786" s="1" t="s">
        <v>29260</v>
      </c>
      <c r="C786" s="1">
        <v>1</v>
      </c>
      <c r="D786" s="1" t="str">
        <f>"05900-1"</f>
        <v>05900-1</v>
      </c>
      <c r="E786" s="1" t="s">
        <v>753</v>
      </c>
      <c r="F786" s="1">
        <v>13</v>
      </c>
      <c r="G786" s="1">
        <v>8</v>
      </c>
      <c r="H786" s="1">
        <v>0</v>
      </c>
      <c r="K786" s="1" t="str">
        <f t="shared" si="48"/>
        <v/>
      </c>
      <c r="L786" s="1" t="str">
        <f t="shared" si="49"/>
        <v/>
      </c>
      <c r="M786" s="1" t="str">
        <f t="shared" si="50"/>
        <v/>
      </c>
      <c r="P786" s="1" t="s">
        <v>20</v>
      </c>
      <c r="V786" s="1" t="s">
        <v>29261</v>
      </c>
      <c r="X786" s="1" t="s">
        <v>27842</v>
      </c>
      <c r="AR786" s="1" t="str">
        <f t="shared" si="51"/>
        <v>| [](.md) | [畺](畺.md) |  |  | 「疆」的異體字。 |</v>
      </c>
    </row>
    <row r="787" spans="1:44" hidden="1">
      <c r="A787" s="1" t="s">
        <v>29262</v>
      </c>
      <c r="C787" s="1">
        <v>1</v>
      </c>
      <c r="D787" s="1" t="str">
        <f>"05904-1"</f>
        <v>05904-1</v>
      </c>
      <c r="E787" s="1" t="s">
        <v>563</v>
      </c>
      <c r="F787" s="1">
        <v>14</v>
      </c>
      <c r="G787" s="1">
        <v>11</v>
      </c>
      <c r="H787" s="1">
        <v>0</v>
      </c>
      <c r="K787" s="1" t="str">
        <f t="shared" si="48"/>
        <v/>
      </c>
      <c r="L787" s="1" t="str">
        <f t="shared" si="49"/>
        <v/>
      </c>
      <c r="M787" s="1" t="str">
        <f t="shared" si="50"/>
        <v/>
      </c>
      <c r="P787" s="1" t="s">
        <v>20</v>
      </c>
      <c r="V787" s="1" t="s">
        <v>29263</v>
      </c>
      <c r="X787" s="1" t="s">
        <v>27842</v>
      </c>
      <c r="AR787" s="1" t="str">
        <f t="shared" si="51"/>
        <v>| [](.md) | [奬](奬.md) |  |  | 「獎」的異體字。 |</v>
      </c>
    </row>
    <row r="788" spans="1:44" hidden="1">
      <c r="A788" s="1" t="s">
        <v>29264</v>
      </c>
      <c r="C788" s="1">
        <v>1</v>
      </c>
      <c r="D788" s="1" t="str">
        <f>"05905-1"</f>
        <v>05905-1</v>
      </c>
      <c r="E788" s="1" t="s">
        <v>331</v>
      </c>
      <c r="F788" s="1">
        <v>15</v>
      </c>
      <c r="G788" s="1">
        <v>8</v>
      </c>
      <c r="H788" s="1">
        <v>0</v>
      </c>
      <c r="K788" s="1" t="str">
        <f t="shared" si="48"/>
        <v/>
      </c>
      <c r="L788" s="1" t="str">
        <f t="shared" si="49"/>
        <v/>
      </c>
      <c r="M788" s="1" t="str">
        <f t="shared" si="50"/>
        <v/>
      </c>
      <c r="P788" s="1" t="s">
        <v>20</v>
      </c>
      <c r="V788" s="1" t="s">
        <v>29265</v>
      </c>
      <c r="X788" s="1" t="s">
        <v>27842</v>
      </c>
      <c r="AR788" s="1" t="str">
        <f t="shared" si="51"/>
        <v>| [](.md) | [󵤸](󵤸.md) |  |  | 「講」的異體字。 |</v>
      </c>
    </row>
    <row r="789" spans="1:44" hidden="1">
      <c r="A789" s="1" t="s">
        <v>29266</v>
      </c>
      <c r="C789" s="1">
        <v>1</v>
      </c>
      <c r="D789" s="1" t="str">
        <f>"05912-1"</f>
        <v>05912-1</v>
      </c>
      <c r="E789" s="1" t="s">
        <v>103</v>
      </c>
      <c r="F789" s="1">
        <v>12</v>
      </c>
      <c r="G789" s="1">
        <v>9</v>
      </c>
      <c r="H789" s="1">
        <v>0</v>
      </c>
      <c r="K789" s="1" t="str">
        <f t="shared" si="48"/>
        <v/>
      </c>
      <c r="L789" s="1" t="str">
        <f t="shared" si="49"/>
        <v/>
      </c>
      <c r="M789" s="1" t="str">
        <f t="shared" si="50"/>
        <v/>
      </c>
      <c r="P789" s="1" t="s">
        <v>20</v>
      </c>
      <c r="V789" s="1" t="s">
        <v>29267</v>
      </c>
      <c r="X789" s="1" t="s">
        <v>27842</v>
      </c>
      <c r="AR789" s="1" t="str">
        <f t="shared" si="51"/>
        <v>| [](.md) | [强](强.md) |  |  | 「強」的異體字。 |</v>
      </c>
    </row>
    <row r="790" spans="1:44" hidden="1">
      <c r="A790" s="1" t="s">
        <v>15672</v>
      </c>
      <c r="C790" s="1">
        <v>1</v>
      </c>
      <c r="D790" s="1" t="str">
        <f>"05912-2"</f>
        <v>05912-2</v>
      </c>
      <c r="E790" s="1" t="s">
        <v>103</v>
      </c>
      <c r="F790" s="1">
        <v>16</v>
      </c>
      <c r="G790" s="1">
        <v>13</v>
      </c>
      <c r="H790" s="1">
        <v>0</v>
      </c>
      <c r="K790" s="1" t="str">
        <f t="shared" si="48"/>
        <v/>
      </c>
      <c r="L790" s="1" t="str">
        <f t="shared" si="49"/>
        <v/>
      </c>
      <c r="M790" s="1" t="str">
        <f t="shared" si="50"/>
        <v/>
      </c>
      <c r="P790" s="1" t="s">
        <v>20</v>
      </c>
      <c r="V790" s="1" t="s">
        <v>29267</v>
      </c>
      <c r="X790" s="1" t="s">
        <v>27842</v>
      </c>
      <c r="AR790" s="1" t="str">
        <f t="shared" si="51"/>
        <v>| [](.md) | [彊](彊.md) |  |  | 「強」的異體字。 |</v>
      </c>
    </row>
    <row r="791" spans="1:44" hidden="1">
      <c r="A791" s="1" t="s">
        <v>29268</v>
      </c>
      <c r="C791" s="1">
        <v>1</v>
      </c>
      <c r="D791" s="1" t="str">
        <f>"05913-1"</f>
        <v>05913-1</v>
      </c>
      <c r="E791" s="1" t="s">
        <v>46</v>
      </c>
      <c r="F791" s="1">
        <v>17</v>
      </c>
      <c r="G791" s="1">
        <v>11</v>
      </c>
      <c r="H791" s="1">
        <v>0</v>
      </c>
      <c r="K791" s="1" t="str">
        <f t="shared" si="48"/>
        <v/>
      </c>
      <c r="L791" s="1" t="str">
        <f t="shared" si="49"/>
        <v/>
      </c>
      <c r="M791" s="1" t="str">
        <f t="shared" si="50"/>
        <v/>
      </c>
      <c r="P791" s="1" t="s">
        <v>20</v>
      </c>
      <c r="V791" s="1" t="s">
        <v>29269</v>
      </c>
      <c r="X791" s="1" t="s">
        <v>27842</v>
      </c>
      <c r="AR791" s="1" t="str">
        <f t="shared" si="51"/>
        <v>| [](.md) | [糡](糡.md) |  |  | 「糨」的異體字。 |</v>
      </c>
    </row>
    <row r="792" spans="1:44" hidden="1">
      <c r="A792" s="1" t="s">
        <v>29270</v>
      </c>
      <c r="C792" s="1">
        <v>1</v>
      </c>
      <c r="D792" s="1" t="str">
        <f>"05920-1"</f>
        <v>05920-1</v>
      </c>
      <c r="E792" s="1" t="s">
        <v>5514</v>
      </c>
      <c r="F792" s="1">
        <v>8</v>
      </c>
      <c r="G792" s="1">
        <v>0</v>
      </c>
      <c r="H792" s="1">
        <v>0</v>
      </c>
      <c r="K792" s="1" t="str">
        <f t="shared" si="48"/>
        <v/>
      </c>
      <c r="L792" s="1" t="str">
        <f t="shared" si="49"/>
        <v/>
      </c>
      <c r="M792" s="1" t="str">
        <f t="shared" si="50"/>
        <v/>
      </c>
      <c r="P792" s="1" t="s">
        <v>20</v>
      </c>
      <c r="V792" s="1" t="s">
        <v>29271</v>
      </c>
      <c r="X792" s="1" t="s">
        <v>27842</v>
      </c>
      <c r="AR792" s="1" t="str">
        <f t="shared" si="51"/>
        <v>| [](.md) | [靑](靑.md) |  |  | 「青」的異體字。 |</v>
      </c>
    </row>
    <row r="793" spans="1:44" hidden="1">
      <c r="A793" s="1" t="s">
        <v>29272</v>
      </c>
      <c r="C793" s="1">
        <v>1</v>
      </c>
      <c r="D793" s="1" t="str">
        <f>"05930-1"</f>
        <v>05930-1</v>
      </c>
      <c r="E793" s="1" t="s">
        <v>37</v>
      </c>
      <c r="F793" s="1">
        <v>12</v>
      </c>
      <c r="G793" s="1">
        <v>8</v>
      </c>
      <c r="H793" s="1">
        <v>0</v>
      </c>
      <c r="K793" s="1" t="str">
        <f t="shared" si="48"/>
        <v/>
      </c>
      <c r="L793" s="1" t="str">
        <f t="shared" si="49"/>
        <v/>
      </c>
      <c r="M793" s="1" t="str">
        <f t="shared" si="50"/>
        <v/>
      </c>
      <c r="P793" s="1" t="s">
        <v>20</v>
      </c>
      <c r="V793" s="1" t="s">
        <v>29273</v>
      </c>
      <c r="X793" s="1" t="s">
        <v>27842</v>
      </c>
      <c r="AR793" s="1" t="str">
        <f t="shared" si="51"/>
        <v>| [](.md) | [荆](荆.md) |  |  | 「荊」的異體字。 |</v>
      </c>
    </row>
    <row r="794" spans="1:44" hidden="1">
      <c r="A794" s="1" t="s">
        <v>29274</v>
      </c>
      <c r="C794" s="1">
        <v>1</v>
      </c>
      <c r="D794" s="1" t="str">
        <f>"05938-1"</f>
        <v>05938-1</v>
      </c>
      <c r="E794" s="1" t="s">
        <v>1274</v>
      </c>
      <c r="F794" s="1">
        <v>9</v>
      </c>
      <c r="G794" s="1">
        <v>4</v>
      </c>
      <c r="H794" s="1">
        <v>0</v>
      </c>
      <c r="K794" s="1" t="str">
        <f t="shared" si="48"/>
        <v/>
      </c>
      <c r="L794" s="1" t="str">
        <f t="shared" si="49"/>
        <v/>
      </c>
      <c r="M794" s="1" t="str">
        <f t="shared" si="50"/>
        <v/>
      </c>
      <c r="P794" s="1" t="s">
        <v>20</v>
      </c>
      <c r="V794" s="1" t="s">
        <v>29275</v>
      </c>
      <c r="X794" s="1" t="s">
        <v>27842</v>
      </c>
      <c r="AR794" s="1" t="str">
        <f t="shared" si="51"/>
        <v>| [](.md) | [穽](穽.md) |  |  | 「阱」的異體字。 |</v>
      </c>
    </row>
    <row r="795" spans="1:44" hidden="1">
      <c r="A795" s="1" t="s">
        <v>29276</v>
      </c>
      <c r="C795" s="1">
        <v>1</v>
      </c>
      <c r="D795" s="1" t="str">
        <f>"05950-1"</f>
        <v>05950-1</v>
      </c>
      <c r="E795" s="1" t="s">
        <v>77</v>
      </c>
      <c r="F795" s="1">
        <v>14</v>
      </c>
      <c r="G795" s="1">
        <v>7</v>
      </c>
      <c r="H795" s="1">
        <v>0</v>
      </c>
      <c r="K795" s="1" t="str">
        <f t="shared" si="48"/>
        <v/>
      </c>
      <c r="L795" s="1" t="str">
        <f t="shared" si="49"/>
        <v/>
      </c>
      <c r="M795" s="1" t="str">
        <f t="shared" si="50"/>
        <v/>
      </c>
      <c r="P795" s="1" t="s">
        <v>20</v>
      </c>
      <c r="V795" s="1" t="s">
        <v>29277</v>
      </c>
      <c r="X795" s="1" t="s">
        <v>27842</v>
      </c>
      <c r="AR795" s="1" t="str">
        <f t="shared" si="51"/>
        <v>| [](.md) | [踁](踁.md) |  |  | 「脛」的異體字。 |</v>
      </c>
    </row>
    <row r="796" spans="1:44" hidden="1">
      <c r="A796" s="1" t="s">
        <v>29278</v>
      </c>
      <c r="C796" s="1">
        <v>1</v>
      </c>
      <c r="D796" s="1" t="str">
        <f>"05957-1"</f>
        <v>05957-1</v>
      </c>
      <c r="E796" s="1" t="s">
        <v>129</v>
      </c>
      <c r="F796" s="1">
        <v>9</v>
      </c>
      <c r="G796" s="1">
        <v>6</v>
      </c>
      <c r="H796" s="1">
        <v>0</v>
      </c>
      <c r="K796" s="1" t="str">
        <f t="shared" si="48"/>
        <v/>
      </c>
      <c r="L796" s="1" t="str">
        <f t="shared" si="49"/>
        <v/>
      </c>
      <c r="M796" s="1" t="str">
        <f t="shared" si="50"/>
        <v/>
      </c>
      <c r="P796" s="1" t="s">
        <v>20</v>
      </c>
      <c r="V796" s="1" t="s">
        <v>29279</v>
      </c>
      <c r="X796" s="1" t="s">
        <v>27842</v>
      </c>
      <c r="AR796" s="1" t="str">
        <f t="shared" si="51"/>
        <v>| [](.md) | [浄](浄.md) |  |  | 「淨」的異體字。 |</v>
      </c>
    </row>
    <row r="797" spans="1:44" hidden="1">
      <c r="A797" s="1" t="s">
        <v>29280</v>
      </c>
      <c r="C797" s="1">
        <v>1</v>
      </c>
      <c r="D797" s="1" t="str">
        <f>"05959-1"</f>
        <v>05959-1</v>
      </c>
      <c r="E797" s="1" t="s">
        <v>5514</v>
      </c>
      <c r="F797" s="1">
        <v>14</v>
      </c>
      <c r="G797" s="1">
        <v>6</v>
      </c>
      <c r="H797" s="1">
        <v>0</v>
      </c>
      <c r="K797" s="1" t="str">
        <f t="shared" si="48"/>
        <v/>
      </c>
      <c r="L797" s="1" t="str">
        <f t="shared" si="49"/>
        <v/>
      </c>
      <c r="M797" s="1" t="str">
        <f t="shared" si="50"/>
        <v/>
      </c>
      <c r="P797" s="1" t="s">
        <v>20</v>
      </c>
      <c r="V797" s="1" t="s">
        <v>29281</v>
      </c>
      <c r="X797" s="1" t="s">
        <v>27842</v>
      </c>
      <c r="AR797" s="1" t="str">
        <f t="shared" si="51"/>
        <v>| [](.md) | [静](静.md) |  |  | 「靜」的異體字。 |</v>
      </c>
    </row>
    <row r="798" spans="1:44" hidden="1">
      <c r="A798" s="1" t="s">
        <v>29282</v>
      </c>
      <c r="C798" s="1">
        <v>1</v>
      </c>
      <c r="D798" s="1" t="str">
        <f>"05972-1"</f>
        <v>05972-1</v>
      </c>
      <c r="E798" s="1" t="s">
        <v>118</v>
      </c>
      <c r="F798" s="1">
        <v>9</v>
      </c>
      <c r="G798" s="1">
        <v>5</v>
      </c>
      <c r="H798" s="1">
        <v>0</v>
      </c>
      <c r="K798" s="1" t="str">
        <f t="shared" si="48"/>
        <v/>
      </c>
      <c r="L798" s="1" t="str">
        <f t="shared" si="49"/>
        <v/>
      </c>
      <c r="M798" s="1" t="str">
        <f t="shared" si="50"/>
        <v/>
      </c>
      <c r="P798" s="1" t="s">
        <v>20</v>
      </c>
      <c r="V798" s="1" t="s">
        <v>29283</v>
      </c>
      <c r="X798" s="1" t="s">
        <v>27842</v>
      </c>
      <c r="AR798" s="1" t="str">
        <f t="shared" si="51"/>
        <v>| [](.md) | [𦊨](𦊨.md) |  |  | 「罝」的異體字。 |</v>
      </c>
    </row>
    <row r="799" spans="1:44" hidden="1">
      <c r="A799" s="1" t="s">
        <v>29284</v>
      </c>
      <c r="C799" s="1">
        <v>1</v>
      </c>
      <c r="D799" s="1" t="str">
        <f>"05982-1"</f>
        <v>05982-1</v>
      </c>
      <c r="E799" s="1" t="s">
        <v>871</v>
      </c>
      <c r="F799" s="1">
        <v>5</v>
      </c>
      <c r="G799" s="1">
        <v>2</v>
      </c>
      <c r="H799" s="1">
        <v>0</v>
      </c>
      <c r="K799" s="1" t="str">
        <f t="shared" si="48"/>
        <v/>
      </c>
      <c r="L799" s="1" t="str">
        <f t="shared" si="49"/>
        <v/>
      </c>
      <c r="M799" s="1" t="str">
        <f t="shared" si="50"/>
        <v/>
      </c>
      <c r="P799" s="1" t="s">
        <v>20</v>
      </c>
      <c r="V799" s="1" t="s">
        <v>29285</v>
      </c>
      <c r="X799" s="1" t="s">
        <v>27842</v>
      </c>
      <c r="AR799" s="1" t="str">
        <f t="shared" si="51"/>
        <v>| [](.md) | [凥](凥.md) |  |  | 「居」的異體字。 |</v>
      </c>
    </row>
    <row r="800" spans="1:44" hidden="1">
      <c r="A800" s="1" t="s">
        <v>29286</v>
      </c>
      <c r="C800" s="1">
        <v>1</v>
      </c>
      <c r="D800" s="1" t="str">
        <f>"06009-1"</f>
        <v>06009-1</v>
      </c>
      <c r="E800" s="1" t="s">
        <v>272</v>
      </c>
      <c r="F800" s="1">
        <v>15</v>
      </c>
      <c r="G800" s="1">
        <v>4</v>
      </c>
      <c r="H800" s="1">
        <v>0</v>
      </c>
      <c r="K800" s="1" t="str">
        <f t="shared" si="48"/>
        <v/>
      </c>
      <c r="L800" s="1" t="str">
        <f t="shared" si="49"/>
        <v/>
      </c>
      <c r="M800" s="1" t="str">
        <f t="shared" si="50"/>
        <v/>
      </c>
      <c r="P800" s="1" t="s">
        <v>20</v>
      </c>
      <c r="V800" s="1" t="s">
        <v>29287</v>
      </c>
      <c r="X800" s="1" t="s">
        <v>27842</v>
      </c>
      <c r="AR800" s="1" t="str">
        <f t="shared" si="51"/>
        <v>| [](.md) | [鴂](鴂.md) |  |  | 「鴃」的異體字。 |</v>
      </c>
    </row>
    <row r="801" spans="1:44" hidden="1">
      <c r="A801" s="1" t="s">
        <v>29288</v>
      </c>
      <c r="C801" s="1">
        <v>1</v>
      </c>
      <c r="D801" s="1" t="str">
        <f>"06018-1"</f>
        <v>06018-1</v>
      </c>
      <c r="E801" s="1" t="s">
        <v>139</v>
      </c>
      <c r="F801" s="1">
        <v>14</v>
      </c>
      <c r="G801" s="1">
        <v>10</v>
      </c>
      <c r="H801" s="1">
        <v>0</v>
      </c>
      <c r="K801" s="1" t="str">
        <f t="shared" si="48"/>
        <v/>
      </c>
      <c r="L801" s="1" t="str">
        <f t="shared" si="49"/>
        <v/>
      </c>
      <c r="M801" s="1" t="str">
        <f t="shared" si="50"/>
        <v/>
      </c>
      <c r="P801" s="1" t="s">
        <v>20</v>
      </c>
      <c r="V801" s="1" t="s">
        <v>29289</v>
      </c>
      <c r="X801" s="1" t="s">
        <v>27842</v>
      </c>
      <c r="AR801" s="1" t="str">
        <f t="shared" si="51"/>
        <v>| [](.md) | [榘](榘.md) |  |  | 「矩」的異體字。 |</v>
      </c>
    </row>
    <row r="802" spans="1:44" hidden="1">
      <c r="A802" s="1" t="s">
        <v>29290</v>
      </c>
      <c r="C802" s="1">
        <v>1</v>
      </c>
      <c r="D802" s="1" t="str">
        <f>"06027-1"</f>
        <v>06027-1</v>
      </c>
      <c r="E802" s="1" t="s">
        <v>24</v>
      </c>
      <c r="F802" s="1">
        <v>18</v>
      </c>
      <c r="G802" s="1">
        <v>14</v>
      </c>
      <c r="H802" s="1">
        <v>0</v>
      </c>
      <c r="K802" s="1" t="str">
        <f t="shared" si="48"/>
        <v/>
      </c>
      <c r="L802" s="1" t="str">
        <f t="shared" si="49"/>
        <v/>
      </c>
      <c r="M802" s="1" t="str">
        <f t="shared" si="50"/>
        <v/>
      </c>
      <c r="P802" s="1" t="s">
        <v>20</v>
      </c>
      <c r="V802" s="1" t="s">
        <v>29291</v>
      </c>
      <c r="X802" s="1" t="s">
        <v>27842</v>
      </c>
      <c r="AR802" s="1" t="str">
        <f t="shared" si="51"/>
        <v>| [](.md) | [擧](擧.md) |  |  | 「舉」的異體字。 |</v>
      </c>
    </row>
    <row r="803" spans="1:44" hidden="1">
      <c r="A803" s="1" t="s">
        <v>29292</v>
      </c>
      <c r="C803" s="1">
        <v>1</v>
      </c>
      <c r="D803" s="1" t="str">
        <f>"06038-1"</f>
        <v>06038-1</v>
      </c>
      <c r="E803" s="1" t="s">
        <v>1495</v>
      </c>
      <c r="F803" s="1">
        <v>9</v>
      </c>
      <c r="G803" s="1">
        <v>5</v>
      </c>
      <c r="H803" s="1">
        <v>0</v>
      </c>
      <c r="K803" s="1" t="str">
        <f t="shared" si="48"/>
        <v/>
      </c>
      <c r="L803" s="1" t="str">
        <f t="shared" si="49"/>
        <v/>
      </c>
      <c r="M803" s="1" t="str">
        <f t="shared" si="50"/>
        <v/>
      </c>
      <c r="P803" s="1" t="s">
        <v>20</v>
      </c>
      <c r="V803" s="1" t="s">
        <v>29293</v>
      </c>
      <c r="X803" s="1" t="s">
        <v>27842</v>
      </c>
      <c r="AR803" s="1" t="str">
        <f t="shared" si="51"/>
        <v>| [](.md) | [歫](歫.md) |  |  | 「距」的異體字。 |</v>
      </c>
    </row>
    <row r="804" spans="1:44" hidden="1">
      <c r="A804" s="1" t="s">
        <v>29294</v>
      </c>
      <c r="C804" s="1">
        <v>1</v>
      </c>
      <c r="D804" s="1" t="str">
        <f>"06053-1"</f>
        <v>06053-1</v>
      </c>
      <c r="E804" s="1" t="s">
        <v>250</v>
      </c>
      <c r="F804" s="1">
        <v>11</v>
      </c>
      <c r="G804" s="1">
        <v>8</v>
      </c>
      <c r="H804" s="1">
        <v>0</v>
      </c>
      <c r="K804" s="1" t="str">
        <f t="shared" si="48"/>
        <v/>
      </c>
      <c r="L804" s="1" t="str">
        <f t="shared" si="49"/>
        <v/>
      </c>
      <c r="M804" s="1" t="str">
        <f t="shared" si="50"/>
        <v/>
      </c>
      <c r="P804" s="1" t="s">
        <v>20</v>
      </c>
      <c r="V804" s="1" t="s">
        <v>29295</v>
      </c>
      <c r="X804" s="1" t="s">
        <v>27842</v>
      </c>
      <c r="AR804" s="1" t="str">
        <f t="shared" si="51"/>
        <v>| [](.md) | [惧](惧.md) |  |  | 「懼」的異體字。 |</v>
      </c>
    </row>
    <row r="805" spans="1:44" hidden="1">
      <c r="A805" s="1" t="s">
        <v>14366</v>
      </c>
      <c r="C805" s="1">
        <v>1</v>
      </c>
      <c r="D805" s="1" t="str">
        <f>"06060-1"</f>
        <v>06060-1</v>
      </c>
      <c r="E805" s="1" t="s">
        <v>24</v>
      </c>
      <c r="F805" s="1">
        <v>11</v>
      </c>
      <c r="G805" s="1">
        <v>8</v>
      </c>
      <c r="H805" s="1">
        <v>0</v>
      </c>
      <c r="K805" s="1" t="str">
        <f t="shared" si="48"/>
        <v/>
      </c>
      <c r="L805" s="1" t="str">
        <f t="shared" si="49"/>
        <v/>
      </c>
      <c r="M805" s="1" t="str">
        <f t="shared" si="50"/>
        <v/>
      </c>
      <c r="P805" s="1" t="s">
        <v>20</v>
      </c>
      <c r="V805" s="1" t="s">
        <v>29296</v>
      </c>
      <c r="X805" s="1" t="s">
        <v>27842</v>
      </c>
      <c r="AR805" s="1" t="str">
        <f t="shared" si="51"/>
        <v>| [](.md) | [据](据.md) |  |  | 「據」的異體字。 |</v>
      </c>
    </row>
    <row r="806" spans="1:44" hidden="1">
      <c r="A806" s="1" t="s">
        <v>29297</v>
      </c>
      <c r="C806" s="1">
        <v>1</v>
      </c>
      <c r="D806" s="1" t="str">
        <f>"06060-2"</f>
        <v>06060-2</v>
      </c>
      <c r="E806" s="1" t="s">
        <v>24</v>
      </c>
      <c r="F806" s="1">
        <v>14</v>
      </c>
      <c r="G806" s="1">
        <v>11</v>
      </c>
      <c r="H806" s="1">
        <v>0</v>
      </c>
      <c r="K806" s="1" t="str">
        <f t="shared" si="48"/>
        <v/>
      </c>
      <c r="L806" s="1" t="str">
        <f t="shared" si="49"/>
        <v/>
      </c>
      <c r="M806" s="1" t="str">
        <f t="shared" si="50"/>
        <v/>
      </c>
      <c r="P806" s="1" t="s">
        <v>20</v>
      </c>
      <c r="V806" s="1" t="s">
        <v>29296</v>
      </c>
      <c r="X806" s="1" t="s">
        <v>27842</v>
      </c>
      <c r="AR806" s="1" t="str">
        <f t="shared" si="51"/>
        <v>| [](.md) | [㩀](㩀.md) |  |  | 「據」的異體字。 |</v>
      </c>
    </row>
    <row r="807" spans="1:44" hidden="1">
      <c r="A807" s="1" t="s">
        <v>29298</v>
      </c>
      <c r="C807" s="1">
        <v>1</v>
      </c>
      <c r="D807" s="1" t="str">
        <f>"06088-1"</f>
        <v>06088-1</v>
      </c>
      <c r="E807" s="1" t="s">
        <v>142</v>
      </c>
      <c r="F807" s="1">
        <v>9</v>
      </c>
      <c r="G807" s="1">
        <v>5</v>
      </c>
      <c r="H807" s="1">
        <v>0</v>
      </c>
      <c r="K807" s="1" t="str">
        <f t="shared" si="48"/>
        <v/>
      </c>
      <c r="L807" s="1" t="str">
        <f t="shared" si="49"/>
        <v/>
      </c>
      <c r="M807" s="1" t="str">
        <f t="shared" si="50"/>
        <v/>
      </c>
      <c r="P807" s="1" t="s">
        <v>20</v>
      </c>
      <c r="V807" s="1" t="s">
        <v>29299</v>
      </c>
      <c r="X807" s="1" t="s">
        <v>27842</v>
      </c>
      <c r="AR807" s="1" t="str">
        <f t="shared" si="51"/>
        <v>| [](.md) | [珏](珏.md) |  |  | 「玨」的異體字。 |</v>
      </c>
    </row>
    <row r="808" spans="1:44" hidden="1">
      <c r="A808" s="1" t="s">
        <v>29300</v>
      </c>
      <c r="C808" s="1">
        <v>1</v>
      </c>
      <c r="D808" s="1" t="str">
        <f>"06097-1"</f>
        <v>06097-1</v>
      </c>
      <c r="E808" s="1" t="s">
        <v>139</v>
      </c>
      <c r="F808" s="1">
        <v>16</v>
      </c>
      <c r="G808" s="1">
        <v>12</v>
      </c>
      <c r="H808" s="1">
        <v>0</v>
      </c>
      <c r="K808" s="1" t="str">
        <f t="shared" si="48"/>
        <v/>
      </c>
      <c r="L808" s="1" t="str">
        <f t="shared" si="49"/>
        <v/>
      </c>
      <c r="M808" s="1" t="str">
        <f t="shared" si="50"/>
        <v/>
      </c>
      <c r="P808" s="1" t="s">
        <v>20</v>
      </c>
      <c r="V808" s="1" t="s">
        <v>29301</v>
      </c>
      <c r="X808" s="1" t="s">
        <v>27842</v>
      </c>
      <c r="AR808" s="1" t="str">
        <f t="shared" si="51"/>
        <v>| [](.md) | [橜](橜.md) |  |  | 「橛」的異體字。 |</v>
      </c>
    </row>
    <row r="809" spans="1:44" hidden="1">
      <c r="A809" s="1" t="s">
        <v>29302</v>
      </c>
      <c r="C809" s="1">
        <v>1</v>
      </c>
      <c r="D809" s="1" t="str">
        <f>"06135-1"</f>
        <v>06135-1</v>
      </c>
      <c r="E809" s="1" t="s">
        <v>55</v>
      </c>
      <c r="F809" s="1">
        <v>18</v>
      </c>
      <c r="G809" s="1">
        <v>10</v>
      </c>
      <c r="H809" s="1">
        <v>0</v>
      </c>
      <c r="K809" s="1" t="str">
        <f t="shared" si="48"/>
        <v/>
      </c>
      <c r="L809" s="1" t="str">
        <f t="shared" si="49"/>
        <v/>
      </c>
      <c r="M809" s="1" t="str">
        <f t="shared" si="50"/>
        <v/>
      </c>
      <c r="P809" s="1" t="s">
        <v>20</v>
      </c>
      <c r="V809" s="1" t="s">
        <v>29303</v>
      </c>
      <c r="X809" s="1" t="s">
        <v>27842</v>
      </c>
      <c r="AR809" s="1" t="str">
        <f t="shared" si="51"/>
        <v>| [](.md) | [鎸](鎸.md) |  |  | 「鐫」的異體字。 |</v>
      </c>
    </row>
    <row r="810" spans="1:44" hidden="1">
      <c r="A810" s="1" t="s">
        <v>29304</v>
      </c>
      <c r="C810" s="1">
        <v>1</v>
      </c>
      <c r="D810" s="1" t="str">
        <f>"06142-1"</f>
        <v>06142-1</v>
      </c>
      <c r="E810" s="1" t="s">
        <v>245</v>
      </c>
      <c r="F810" s="1">
        <v>10</v>
      </c>
      <c r="G810" s="1">
        <v>8</v>
      </c>
      <c r="H810" s="1">
        <v>0</v>
      </c>
      <c r="K810" s="1" t="str">
        <f t="shared" si="48"/>
        <v/>
      </c>
      <c r="L810" s="1" t="str">
        <f t="shared" si="49"/>
        <v/>
      </c>
      <c r="M810" s="1" t="str">
        <f t="shared" si="50"/>
        <v/>
      </c>
      <c r="P810" s="1" t="s">
        <v>20</v>
      </c>
      <c r="V810" s="1" t="s">
        <v>29305</v>
      </c>
      <c r="X810" s="1" t="s">
        <v>27842</v>
      </c>
      <c r="AR810" s="1" t="str">
        <f t="shared" si="51"/>
        <v>| [](.md) | [勌](勌.md) |  |  | 「倦」的異體字。 |</v>
      </c>
    </row>
    <row r="811" spans="1:44" hidden="1">
      <c r="A811" s="1" t="s">
        <v>29306</v>
      </c>
      <c r="C811" s="1">
        <v>1</v>
      </c>
      <c r="D811" s="1" t="str">
        <f>"06152-1"</f>
        <v>06152-1</v>
      </c>
      <c r="E811" s="1" t="s">
        <v>5383</v>
      </c>
      <c r="F811" s="1">
        <v>10</v>
      </c>
      <c r="G811" s="1">
        <v>2</v>
      </c>
      <c r="H811" s="1">
        <v>0</v>
      </c>
      <c r="K811" s="1" t="str">
        <f t="shared" si="48"/>
        <v/>
      </c>
      <c r="L811" s="1" t="str">
        <f t="shared" si="49"/>
        <v/>
      </c>
      <c r="M811" s="1" t="str">
        <f t="shared" si="50"/>
        <v/>
      </c>
      <c r="P811" s="1" t="s">
        <v>20</v>
      </c>
      <c r="V811" s="1" t="s">
        <v>29307</v>
      </c>
      <c r="X811" s="1" t="s">
        <v>27842</v>
      </c>
      <c r="AR811" s="1" t="str">
        <f t="shared" si="51"/>
        <v>| [](.md) | [隽](隽.md) |  |  | 「雋」的異體字。 |</v>
      </c>
    </row>
    <row r="812" spans="1:44" hidden="1">
      <c r="A812" s="1" t="s">
        <v>29308</v>
      </c>
      <c r="C812" s="1">
        <v>1</v>
      </c>
      <c r="D812" s="1" t="str">
        <f>"06162-1"</f>
        <v>06162-1</v>
      </c>
      <c r="E812" s="1" t="s">
        <v>1190</v>
      </c>
      <c r="F812" s="1">
        <v>18</v>
      </c>
      <c r="G812" s="1">
        <v>7</v>
      </c>
      <c r="H812" s="1">
        <v>0</v>
      </c>
      <c r="K812" s="1" t="str">
        <f t="shared" si="48"/>
        <v/>
      </c>
      <c r="L812" s="1" t="str">
        <f t="shared" si="49"/>
        <v/>
      </c>
      <c r="M812" s="1" t="str">
        <f t="shared" si="50"/>
        <v/>
      </c>
      <c r="P812" s="1" t="s">
        <v>20</v>
      </c>
      <c r="V812" s="1" t="s">
        <v>29309</v>
      </c>
      <c r="X812" s="1" t="s">
        <v>27842</v>
      </c>
      <c r="AR812" s="1" t="str">
        <f t="shared" si="51"/>
        <v>| [](.md) | [麏](麏.md) |  |  | 「麇」的異體字。 |</v>
      </c>
    </row>
    <row r="813" spans="1:44" hidden="1">
      <c r="A813" s="1" t="s">
        <v>29310</v>
      </c>
      <c r="C813" s="1">
        <v>1</v>
      </c>
      <c r="D813" s="1" t="str">
        <f>"06162-2"</f>
        <v>06162-2</v>
      </c>
      <c r="E813" s="1" t="s">
        <v>1190</v>
      </c>
      <c r="F813" s="1">
        <v>19</v>
      </c>
      <c r="G813" s="1">
        <v>8</v>
      </c>
      <c r="H813" s="1">
        <v>0</v>
      </c>
      <c r="K813" s="1" t="str">
        <f t="shared" si="48"/>
        <v/>
      </c>
      <c r="L813" s="1" t="str">
        <f t="shared" si="49"/>
        <v/>
      </c>
      <c r="M813" s="1" t="str">
        <f t="shared" si="50"/>
        <v/>
      </c>
      <c r="P813" s="1" t="s">
        <v>20</v>
      </c>
      <c r="V813" s="1" t="s">
        <v>29309</v>
      </c>
      <c r="X813" s="1" t="s">
        <v>27842</v>
      </c>
      <c r="AR813" s="1" t="str">
        <f t="shared" si="51"/>
        <v>| [](.md) | [麕](麕.md) |  |  | 「麇」的異體字。 |</v>
      </c>
    </row>
    <row r="814" spans="1:44" hidden="1">
      <c r="A814" s="1" t="s">
        <v>29311</v>
      </c>
      <c r="C814" s="1">
        <v>1</v>
      </c>
      <c r="D814" s="1" t="str">
        <f>"06165-1"</f>
        <v>06165-1</v>
      </c>
      <c r="E814" s="1" t="s">
        <v>114</v>
      </c>
      <c r="F814" s="1">
        <v>14</v>
      </c>
      <c r="G814" s="1">
        <v>12</v>
      </c>
      <c r="H814" s="1">
        <v>0</v>
      </c>
      <c r="K814" s="1" t="str">
        <f t="shared" si="48"/>
        <v/>
      </c>
      <c r="L814" s="1" t="str">
        <f t="shared" si="49"/>
        <v/>
      </c>
      <c r="M814" s="1" t="str">
        <f t="shared" si="50"/>
        <v/>
      </c>
      <c r="P814" s="1" t="s">
        <v>20</v>
      </c>
      <c r="V814" s="1" t="s">
        <v>29312</v>
      </c>
      <c r="X814" s="1" t="s">
        <v>27842</v>
      </c>
      <c r="AR814" s="1" t="str">
        <f t="shared" si="51"/>
        <v>| [](.md) | [儁](儁.md) |  |  | 「俊」的異體字。 |</v>
      </c>
    </row>
    <row r="815" spans="1:44" hidden="1">
      <c r="A815" s="1" t="s">
        <v>29313</v>
      </c>
      <c r="C815" s="1">
        <v>1</v>
      </c>
      <c r="D815" s="1" t="str">
        <f>"06177-1"</f>
        <v>06177-1</v>
      </c>
      <c r="E815" s="1" t="s">
        <v>272</v>
      </c>
      <c r="F815" s="1">
        <v>18</v>
      </c>
      <c r="G815" s="1">
        <v>7</v>
      </c>
      <c r="H815" s="1">
        <v>0</v>
      </c>
      <c r="K815" s="1" t="str">
        <f t="shared" si="48"/>
        <v/>
      </c>
      <c r="L815" s="1" t="str">
        <f t="shared" si="49"/>
        <v/>
      </c>
      <c r="M815" s="1" t="str">
        <f t="shared" si="50"/>
        <v/>
      </c>
      <c r="P815" s="1" t="s">
        <v>20</v>
      </c>
      <c r="V815" s="1" t="s">
        <v>29314</v>
      </c>
      <c r="X815" s="1" t="s">
        <v>27842</v>
      </c>
      <c r="AR815" s="1" t="str">
        <f t="shared" si="51"/>
        <v>| [](.md) | [鵕](鵕.md) |  |  | 「鵔」的異體字。 |</v>
      </c>
    </row>
    <row r="816" spans="1:44" hidden="1">
      <c r="A816" s="1" t="s">
        <v>29315</v>
      </c>
      <c r="C816" s="1">
        <v>1</v>
      </c>
      <c r="D816" s="1" t="str">
        <f>"06178-1"</f>
        <v>06178-1</v>
      </c>
      <c r="E816" s="1" t="s">
        <v>24</v>
      </c>
      <c r="F816" s="1">
        <v>19</v>
      </c>
      <c r="G816" s="1">
        <v>16</v>
      </c>
      <c r="H816" s="1">
        <v>0</v>
      </c>
      <c r="K816" s="1" t="str">
        <f t="shared" si="48"/>
        <v/>
      </c>
      <c r="L816" s="1" t="str">
        <f t="shared" si="49"/>
        <v/>
      </c>
      <c r="M816" s="1" t="str">
        <f t="shared" si="50"/>
        <v/>
      </c>
      <c r="P816" s="1" t="s">
        <v>20</v>
      </c>
      <c r="V816" s="1" t="s">
        <v>29316</v>
      </c>
      <c r="X816" s="1" t="s">
        <v>27842</v>
      </c>
      <c r="AR816" s="1" t="str">
        <f t="shared" si="51"/>
        <v>| [](.md) | [攈](攈.md) |  |  | 「捃」的異體字。 |</v>
      </c>
    </row>
    <row r="817" spans="1:44" hidden="1">
      <c r="A817" s="1" t="s">
        <v>29317</v>
      </c>
      <c r="C817" s="1">
        <v>1</v>
      </c>
      <c r="D817" s="1" t="str">
        <f>"06178-2"</f>
        <v>06178-2</v>
      </c>
      <c r="E817" s="1" t="s">
        <v>24</v>
      </c>
      <c r="F817" s="1">
        <v>21</v>
      </c>
      <c r="G817" s="1">
        <v>18</v>
      </c>
      <c r="H817" s="1">
        <v>0</v>
      </c>
      <c r="K817" s="1" t="str">
        <f t="shared" si="48"/>
        <v/>
      </c>
      <c r="L817" s="1" t="str">
        <f t="shared" si="49"/>
        <v/>
      </c>
      <c r="M817" s="1" t="str">
        <f t="shared" si="50"/>
        <v/>
      </c>
      <c r="P817" s="1" t="s">
        <v>20</v>
      </c>
      <c r="V817" s="1" t="s">
        <v>29316</v>
      </c>
      <c r="X817" s="1" t="s">
        <v>27842</v>
      </c>
      <c r="AR817" s="1" t="str">
        <f t="shared" si="51"/>
        <v>| [](.md) | [𢹲](𢹲.md) |  |  | 「捃」的異體字。 |</v>
      </c>
    </row>
    <row r="818" spans="1:44" hidden="1">
      <c r="A818" s="1" t="s">
        <v>29318</v>
      </c>
      <c r="C818" s="1">
        <v>1</v>
      </c>
      <c r="D818" s="1" t="str">
        <f>"06178-3"</f>
        <v>06178-3</v>
      </c>
      <c r="E818" s="1" t="s">
        <v>24</v>
      </c>
      <c r="F818" s="1">
        <v>22</v>
      </c>
      <c r="G818" s="1">
        <v>19</v>
      </c>
      <c r="H818" s="1">
        <v>0</v>
      </c>
      <c r="K818" s="1" t="str">
        <f t="shared" si="48"/>
        <v/>
      </c>
      <c r="L818" s="1" t="str">
        <f t="shared" si="49"/>
        <v/>
      </c>
      <c r="M818" s="1" t="str">
        <f t="shared" si="50"/>
        <v/>
      </c>
      <c r="P818" s="1" t="s">
        <v>20</v>
      </c>
      <c r="V818" s="1" t="s">
        <v>29316</v>
      </c>
      <c r="X818" s="1" t="s">
        <v>27842</v>
      </c>
      <c r="AR818" s="1" t="str">
        <f t="shared" si="51"/>
        <v>| [](.md) | [攟](攟.md) |  |  | 「捃」的異體字。 |</v>
      </c>
    </row>
    <row r="819" spans="1:44" hidden="1">
      <c r="A819" s="1" t="s">
        <v>29319</v>
      </c>
      <c r="C819" s="1">
        <v>1</v>
      </c>
      <c r="D819" s="1" t="str">
        <f>"06187-1"</f>
        <v>06187-1</v>
      </c>
      <c r="E819" s="1" t="s">
        <v>132</v>
      </c>
      <c r="F819" s="1">
        <v>10</v>
      </c>
      <c r="G819" s="1">
        <v>7</v>
      </c>
      <c r="H819" s="1">
        <v>0</v>
      </c>
      <c r="K819" s="1" t="str">
        <f t="shared" si="48"/>
        <v/>
      </c>
      <c r="L819" s="1" t="str">
        <f t="shared" si="49"/>
        <v/>
      </c>
      <c r="M819" s="1" t="str">
        <f t="shared" si="50"/>
        <v/>
      </c>
      <c r="P819" s="1" t="s">
        <v>20</v>
      </c>
      <c r="V819" s="1" t="s">
        <v>29320</v>
      </c>
      <c r="X819" s="1" t="s">
        <v>27842</v>
      </c>
      <c r="AR819" s="1" t="str">
        <f t="shared" si="51"/>
        <v>| [](.md) | [埛](埛.md) |  |  | 「坰」的異體字。 |</v>
      </c>
    </row>
    <row r="820" spans="1:44" hidden="1">
      <c r="A820" s="1" t="s">
        <v>29321</v>
      </c>
      <c r="C820" s="1">
        <v>1</v>
      </c>
      <c r="D820" s="1" t="str">
        <f>"06193-1"</f>
        <v>06193-1</v>
      </c>
      <c r="E820" s="1" t="s">
        <v>336</v>
      </c>
      <c r="F820" s="1">
        <v>11</v>
      </c>
      <c r="G820" s="1">
        <v>7</v>
      </c>
      <c r="H820" s="1">
        <v>0</v>
      </c>
      <c r="K820" s="1" t="str">
        <f t="shared" si="48"/>
        <v/>
      </c>
      <c r="L820" s="1" t="str">
        <f t="shared" si="49"/>
        <v/>
      </c>
      <c r="M820" s="1" t="str">
        <f t="shared" si="50"/>
        <v/>
      </c>
      <c r="P820" s="1" t="s">
        <v>20</v>
      </c>
      <c r="V820" s="1" t="s">
        <v>29322</v>
      </c>
      <c r="X820" s="1" t="s">
        <v>27842</v>
      </c>
      <c r="AR820" s="1" t="str">
        <f t="shared" si="51"/>
        <v>| [](.md) | [烱](烱.md) |  |  | 「炯」的異體字。 |</v>
      </c>
    </row>
    <row r="821" spans="1:44" hidden="1">
      <c r="A821" s="1" t="s">
        <v>29323</v>
      </c>
      <c r="C821" s="1">
        <v>1</v>
      </c>
      <c r="D821" s="1" t="str">
        <f>"06194-1"</f>
        <v>06194-1</v>
      </c>
      <c r="E821" s="1" t="s">
        <v>558</v>
      </c>
      <c r="F821" s="1">
        <v>10</v>
      </c>
      <c r="G821" s="1">
        <v>6</v>
      </c>
      <c r="H821" s="1">
        <v>0</v>
      </c>
      <c r="K821" s="1" t="str">
        <f t="shared" si="48"/>
        <v/>
      </c>
      <c r="L821" s="1" t="str">
        <f t="shared" si="49"/>
        <v/>
      </c>
      <c r="M821" s="1" t="str">
        <f t="shared" si="50"/>
        <v/>
      </c>
      <c r="P821" s="1" t="s">
        <v>20</v>
      </c>
      <c r="V821" s="1" t="s">
        <v>29324</v>
      </c>
      <c r="X821" s="1" t="s">
        <v>27842</v>
      </c>
      <c r="AR821" s="1" t="str">
        <f t="shared" si="51"/>
        <v>| [](.md) | [逈](逈.md) |  |  | 「迥」的異體字。 |</v>
      </c>
    </row>
    <row r="822" spans="1:44" hidden="1">
      <c r="A822" s="1" t="s">
        <v>29325</v>
      </c>
      <c r="C822" s="1">
        <v>1</v>
      </c>
      <c r="D822" s="1" t="str">
        <f>"06223-1"</f>
        <v>06223-1</v>
      </c>
      <c r="E822" s="1" t="s">
        <v>250</v>
      </c>
      <c r="F822" s="1">
        <v>14</v>
      </c>
      <c r="G822" s="1">
        <v>11</v>
      </c>
      <c r="H822" s="1">
        <v>0</v>
      </c>
      <c r="K822" s="1" t="str">
        <f t="shared" si="48"/>
        <v/>
      </c>
      <c r="L822" s="1" t="str">
        <f t="shared" si="49"/>
        <v/>
      </c>
      <c r="M822" s="1" t="str">
        <f t="shared" si="50"/>
        <v/>
      </c>
      <c r="P822" s="1" t="s">
        <v>20</v>
      </c>
      <c r="V822" s="1" t="s">
        <v>29326</v>
      </c>
      <c r="X822" s="1" t="s">
        <v>27842</v>
      </c>
      <c r="AR822" s="1" t="str">
        <f t="shared" si="51"/>
        <v>| [](.md) | [慽](慽.md) |  |  | 「慼」的異體字。 |</v>
      </c>
    </row>
    <row r="823" spans="1:44" hidden="1">
      <c r="A823" s="1" t="s">
        <v>29327</v>
      </c>
      <c r="C823" s="1">
        <v>1</v>
      </c>
      <c r="D823" s="1" t="str">
        <f>"06249-1"</f>
        <v>06249-1</v>
      </c>
      <c r="E823" s="1" t="s">
        <v>139</v>
      </c>
      <c r="F823" s="1">
        <v>12</v>
      </c>
      <c r="G823" s="1">
        <v>8</v>
      </c>
      <c r="H823" s="1">
        <v>0</v>
      </c>
      <c r="K823" s="1" t="str">
        <f t="shared" si="48"/>
        <v/>
      </c>
      <c r="L823" s="1" t="str">
        <f t="shared" si="49"/>
        <v/>
      </c>
      <c r="M823" s="1" t="str">
        <f t="shared" si="50"/>
        <v/>
      </c>
      <c r="P823" s="1" t="s">
        <v>20</v>
      </c>
      <c r="V823" s="1" t="s">
        <v>29328</v>
      </c>
      <c r="X823" s="1" t="s">
        <v>27842</v>
      </c>
      <c r="AR823" s="1" t="str">
        <f t="shared" si="51"/>
        <v>| [](.md) | [棊](棊.md) |  |  | 「棋」的異體字。 |</v>
      </c>
    </row>
    <row r="824" spans="1:44" hidden="1">
      <c r="A824" s="1" t="s">
        <v>29329</v>
      </c>
      <c r="C824" s="1">
        <v>1</v>
      </c>
      <c r="D824" s="1" t="str">
        <f>"06249-2"</f>
        <v>06249-2</v>
      </c>
      <c r="E824" s="1" t="s">
        <v>169</v>
      </c>
      <c r="F824" s="1">
        <v>13</v>
      </c>
      <c r="G824" s="1">
        <v>8</v>
      </c>
      <c r="H824" s="1">
        <v>0</v>
      </c>
      <c r="K824" s="1" t="str">
        <f t="shared" si="48"/>
        <v/>
      </c>
      <c r="L824" s="1" t="str">
        <f t="shared" si="49"/>
        <v/>
      </c>
      <c r="M824" s="1" t="str">
        <f t="shared" si="50"/>
        <v/>
      </c>
      <c r="P824" s="1" t="s">
        <v>20</v>
      </c>
      <c r="V824" s="1" t="s">
        <v>29328</v>
      </c>
      <c r="X824" s="1" t="s">
        <v>27842</v>
      </c>
      <c r="AR824" s="1" t="str">
        <f t="shared" si="51"/>
        <v>| [](.md) | [碁](碁.md) |  |  | 「棋」的異體字。 |</v>
      </c>
    </row>
    <row r="825" spans="1:44" hidden="1">
      <c r="A825" s="1" t="s">
        <v>29330</v>
      </c>
      <c r="C825" s="1">
        <v>1</v>
      </c>
      <c r="D825" s="1" t="str">
        <f>"06257-1"</f>
        <v>06257-1</v>
      </c>
      <c r="E825" s="1" t="s">
        <v>5784</v>
      </c>
      <c r="F825" s="1">
        <v>9</v>
      </c>
      <c r="G825" s="1">
        <v>4</v>
      </c>
      <c r="H825" s="1">
        <v>0</v>
      </c>
      <c r="K825" s="1" t="str">
        <f t="shared" si="48"/>
        <v/>
      </c>
      <c r="L825" s="1" t="str">
        <f t="shared" si="49"/>
        <v/>
      </c>
      <c r="M825" s="1" t="str">
        <f t="shared" si="50"/>
        <v/>
      </c>
      <c r="P825" s="1" t="s">
        <v>20</v>
      </c>
      <c r="V825" s="1" t="s">
        <v>29331</v>
      </c>
      <c r="X825" s="1" t="s">
        <v>27842</v>
      </c>
      <c r="AR825" s="1" t="str">
        <f t="shared" si="51"/>
        <v>| [](.md) | [竒](竒.md) |  |  | 「奇」的異體字。 |</v>
      </c>
    </row>
    <row r="826" spans="1:44" hidden="1">
      <c r="A826" s="1" t="s">
        <v>29332</v>
      </c>
      <c r="C826" s="1">
        <v>1</v>
      </c>
      <c r="D826" s="1" t="str">
        <f>"06274-1"</f>
        <v>06274-1</v>
      </c>
      <c r="E826" s="1" t="s">
        <v>670</v>
      </c>
      <c r="F826" s="1">
        <v>8</v>
      </c>
      <c r="G826" s="1">
        <v>4</v>
      </c>
      <c r="H826" s="1">
        <v>0</v>
      </c>
      <c r="K826" s="1" t="str">
        <f t="shared" si="48"/>
        <v/>
      </c>
      <c r="L826" s="1" t="str">
        <f t="shared" si="49"/>
        <v/>
      </c>
      <c r="M826" s="1" t="str">
        <f t="shared" si="50"/>
        <v/>
      </c>
      <c r="P826" s="1" t="s">
        <v>20</v>
      </c>
      <c r="V826" s="1" t="s">
        <v>29333</v>
      </c>
      <c r="X826" s="1" t="s">
        <v>27842</v>
      </c>
      <c r="AR826" s="1" t="str">
        <f t="shared" si="51"/>
        <v>| [](.md) | [斉](斉.md) |  |  | 「齊」的異體字。 |</v>
      </c>
    </row>
    <row r="827" spans="1:44" hidden="1">
      <c r="A827" s="1" t="s">
        <v>29334</v>
      </c>
      <c r="C827" s="1">
        <v>1</v>
      </c>
      <c r="D827" s="1" t="str">
        <f>"06286-1"</f>
        <v>06286-1</v>
      </c>
      <c r="E827" s="1" t="s">
        <v>28</v>
      </c>
      <c r="F827" s="1">
        <v>10</v>
      </c>
      <c r="G827" s="1">
        <v>7</v>
      </c>
      <c r="H827" s="1">
        <v>0</v>
      </c>
      <c r="K827" s="1" t="str">
        <f t="shared" si="48"/>
        <v/>
      </c>
      <c r="L827" s="1" t="str">
        <f t="shared" si="49"/>
        <v/>
      </c>
      <c r="M827" s="1" t="str">
        <f t="shared" si="50"/>
        <v/>
      </c>
      <c r="P827" s="1" t="s">
        <v>20</v>
      </c>
      <c r="V827" s="1" t="s">
        <v>29335</v>
      </c>
      <c r="X827" s="1" t="s">
        <v>27842</v>
      </c>
      <c r="AR827" s="1" t="str">
        <f t="shared" si="51"/>
        <v>| [](.md) | [唘](唘.md) |  |  | 「啟」的異體字。 |</v>
      </c>
    </row>
    <row r="828" spans="1:44" hidden="1">
      <c r="A828" s="1" t="s">
        <v>29336</v>
      </c>
      <c r="C828" s="1">
        <v>1</v>
      </c>
      <c r="D828" s="1" t="str">
        <f>"06286-2"</f>
        <v>06286-2</v>
      </c>
      <c r="E828" s="1" t="s">
        <v>28</v>
      </c>
      <c r="F828" s="1">
        <v>11</v>
      </c>
      <c r="G828" s="1">
        <v>8</v>
      </c>
      <c r="H828" s="1">
        <v>0</v>
      </c>
      <c r="K828" s="1" t="str">
        <f t="shared" si="48"/>
        <v/>
      </c>
      <c r="L828" s="1" t="str">
        <f t="shared" si="49"/>
        <v/>
      </c>
      <c r="M828" s="1" t="str">
        <f t="shared" si="50"/>
        <v/>
      </c>
      <c r="P828" s="1" t="s">
        <v>20</v>
      </c>
      <c r="V828" s="1" t="s">
        <v>29335</v>
      </c>
      <c r="X828" s="1" t="s">
        <v>27842</v>
      </c>
      <c r="AR828" s="1" t="str">
        <f t="shared" si="51"/>
        <v>| [](.md) | [啔](啔.md) |  |  | 「啟」的異體字。 |</v>
      </c>
    </row>
    <row r="829" spans="1:44" hidden="1">
      <c r="A829" s="1" t="s">
        <v>29337</v>
      </c>
      <c r="C829" s="1">
        <v>1</v>
      </c>
      <c r="D829" s="1" t="str">
        <f>"06286-3"</f>
        <v>06286-3</v>
      </c>
      <c r="E829" s="1" t="s">
        <v>28</v>
      </c>
      <c r="F829" s="1">
        <v>11</v>
      </c>
      <c r="G829" s="1">
        <v>8</v>
      </c>
      <c r="H829" s="1">
        <v>0</v>
      </c>
      <c r="K829" s="1" t="str">
        <f t="shared" si="48"/>
        <v/>
      </c>
      <c r="L829" s="1" t="str">
        <f t="shared" si="49"/>
        <v/>
      </c>
      <c r="M829" s="1" t="str">
        <f t="shared" si="50"/>
        <v/>
      </c>
      <c r="P829" s="1" t="s">
        <v>20</v>
      </c>
      <c r="V829" s="1" t="s">
        <v>29335</v>
      </c>
      <c r="X829" s="1" t="s">
        <v>27842</v>
      </c>
      <c r="AR829" s="1" t="str">
        <f t="shared" si="51"/>
        <v>| [](.md) | [啓](啓.md) |  |  | 「啟」的異體字。 |</v>
      </c>
    </row>
    <row r="830" spans="1:44" hidden="1">
      <c r="A830" s="1" t="s">
        <v>29338</v>
      </c>
      <c r="C830" s="1">
        <v>1</v>
      </c>
      <c r="D830" s="1" t="str">
        <f>"06291-1"</f>
        <v>06291-1</v>
      </c>
      <c r="E830" s="1" t="s">
        <v>10311</v>
      </c>
      <c r="F830" s="1">
        <v>15</v>
      </c>
      <c r="G830" s="1">
        <v>6</v>
      </c>
      <c r="H830" s="1">
        <v>0</v>
      </c>
      <c r="K830" s="1" t="str">
        <f t="shared" si="48"/>
        <v/>
      </c>
      <c r="L830" s="1" t="str">
        <f t="shared" si="49"/>
        <v/>
      </c>
      <c r="M830" s="1" t="str">
        <f t="shared" si="50"/>
        <v/>
      </c>
      <c r="P830" s="1" t="s">
        <v>20</v>
      </c>
      <c r="V830" s="1" t="s">
        <v>29339</v>
      </c>
      <c r="X830" s="1" t="s">
        <v>27842</v>
      </c>
      <c r="AR830" s="1" t="str">
        <f t="shared" si="51"/>
        <v>| [](.md) | [䭫](䭫.md) |  |  | 「稽」的異體字。 |</v>
      </c>
    </row>
    <row r="831" spans="1:44" hidden="1">
      <c r="A831" s="1" t="s">
        <v>29340</v>
      </c>
      <c r="C831" s="1">
        <v>1</v>
      </c>
      <c r="D831" s="1" t="str">
        <f>"06306-1"</f>
        <v>06306-1</v>
      </c>
      <c r="E831" s="1" t="s">
        <v>40</v>
      </c>
      <c r="F831" s="1">
        <v>15</v>
      </c>
      <c r="G831" s="1">
        <v>10</v>
      </c>
      <c r="H831" s="1">
        <v>0</v>
      </c>
      <c r="K831" s="1" t="str">
        <f t="shared" si="48"/>
        <v/>
      </c>
      <c r="L831" s="1" t="str">
        <f t="shared" si="49"/>
        <v/>
      </c>
      <c r="M831" s="1" t="str">
        <f t="shared" si="50"/>
        <v/>
      </c>
      <c r="P831" s="1" t="s">
        <v>20</v>
      </c>
      <c r="V831" s="1" t="s">
        <v>29341</v>
      </c>
      <c r="X831" s="1" t="s">
        <v>27842</v>
      </c>
      <c r="AR831" s="1" t="str">
        <f t="shared" si="51"/>
        <v>| [](.md) | [瘛](瘛.md) |  |  | 「瘈」的異體字。 |</v>
      </c>
    </row>
    <row r="832" spans="1:44" hidden="1">
      <c r="A832" s="1" t="s">
        <v>29342</v>
      </c>
      <c r="C832" s="1">
        <v>1</v>
      </c>
      <c r="D832" s="1" t="str">
        <f>"06309-1"</f>
        <v>06309-1</v>
      </c>
      <c r="E832" s="1" t="s">
        <v>1027</v>
      </c>
      <c r="F832" s="1">
        <v>7</v>
      </c>
      <c r="G832" s="1">
        <v>4</v>
      </c>
      <c r="H832" s="1">
        <v>0</v>
      </c>
      <c r="K832" s="1" t="str">
        <f t="shared" si="48"/>
        <v/>
      </c>
      <c r="L832" s="1" t="str">
        <f t="shared" si="49"/>
        <v/>
      </c>
      <c r="M832" s="1" t="str">
        <f t="shared" si="50"/>
        <v/>
      </c>
      <c r="P832" s="1" t="s">
        <v>20</v>
      </c>
      <c r="V832" s="1" t="s">
        <v>29343</v>
      </c>
      <c r="X832" s="1" t="s">
        <v>27842</v>
      </c>
      <c r="AR832" s="1" t="str">
        <f t="shared" si="51"/>
        <v>| [](.md) | [弃](弃.md) |  |  | 「棄」的異體字。 |</v>
      </c>
    </row>
    <row r="833" spans="1:44" hidden="1">
      <c r="A833" s="1" t="s">
        <v>29344</v>
      </c>
      <c r="C833" s="1">
        <v>1</v>
      </c>
      <c r="D833" s="1" t="str">
        <f>"06315-1"</f>
        <v>06315-1</v>
      </c>
      <c r="E833" s="1" t="s">
        <v>250</v>
      </c>
      <c r="F833" s="1">
        <v>15</v>
      </c>
      <c r="G833" s="1">
        <v>11</v>
      </c>
      <c r="H833" s="1">
        <v>0</v>
      </c>
      <c r="K833" s="1" t="str">
        <f t="shared" si="48"/>
        <v/>
      </c>
      <c r="L833" s="1" t="str">
        <f t="shared" si="49"/>
        <v/>
      </c>
      <c r="M833" s="1" t="str">
        <f t="shared" si="50"/>
        <v/>
      </c>
      <c r="P833" s="1" t="s">
        <v>20</v>
      </c>
      <c r="V833" s="1" t="s">
        <v>29345</v>
      </c>
      <c r="X833" s="1" t="s">
        <v>27842</v>
      </c>
      <c r="AR833" s="1" t="str">
        <f t="shared" si="51"/>
        <v>| [](.md) | [憇](憇.md) |  |  | 「憩」的異體字。 |</v>
      </c>
    </row>
    <row r="834" spans="1:44" hidden="1">
      <c r="A834" s="1" t="s">
        <v>29346</v>
      </c>
      <c r="C834" s="1">
        <v>1</v>
      </c>
      <c r="D834" s="1" t="str">
        <f>"06317-1"</f>
        <v>06317-1</v>
      </c>
      <c r="E834" s="1" t="s">
        <v>28</v>
      </c>
      <c r="F834" s="1">
        <v>15</v>
      </c>
      <c r="G834" s="1">
        <v>12</v>
      </c>
      <c r="H834" s="1">
        <v>0</v>
      </c>
      <c r="K834" s="1" t="str">
        <f t="shared" ref="K834:K897" si="52">LEFT(I834, 1)</f>
        <v/>
      </c>
      <c r="L834" s="1" t="str">
        <f t="shared" ref="L834:L897" si="53">MID(I834, 2, 1)</f>
        <v/>
      </c>
      <c r="M834" s="1" t="str">
        <f t="shared" ref="M834:M897" si="54">MID(I834, 3, 1)</f>
        <v/>
      </c>
      <c r="P834" s="1" t="s">
        <v>20</v>
      </c>
      <c r="V834" s="1" t="s">
        <v>29347</v>
      </c>
      <c r="X834" s="1" t="s">
        <v>27842</v>
      </c>
      <c r="AR834" s="1" t="str">
        <f t="shared" si="51"/>
        <v>| [](.md) | [噐](噐.md) |  |  | 「器」的異體字。 |</v>
      </c>
    </row>
    <row r="835" spans="1:44" hidden="1">
      <c r="A835" s="1" t="s">
        <v>29348</v>
      </c>
      <c r="C835" s="1">
        <v>1</v>
      </c>
      <c r="D835" s="1" t="str">
        <f>"06327-1"</f>
        <v>06327-1</v>
      </c>
      <c r="E835" s="1" t="s">
        <v>132</v>
      </c>
      <c r="F835" s="1">
        <v>5</v>
      </c>
      <c r="G835" s="1">
        <v>2</v>
      </c>
      <c r="H835" s="1">
        <v>0</v>
      </c>
      <c r="K835" s="1" t="str">
        <f t="shared" si="52"/>
        <v/>
      </c>
      <c r="L835" s="1" t="str">
        <f t="shared" si="53"/>
        <v/>
      </c>
      <c r="M835" s="1" t="str">
        <f t="shared" si="54"/>
        <v/>
      </c>
      <c r="P835" s="1" t="s">
        <v>20</v>
      </c>
      <c r="V835" s="1" t="s">
        <v>29349</v>
      </c>
      <c r="X835" s="1" t="s">
        <v>27842</v>
      </c>
      <c r="AR835" s="1" t="str">
        <f t="shared" ref="AR835:AR898" si="55">"| ["&amp;I835&amp;"]("&amp;I835&amp;".md) | ["&amp;A835&amp;"]("&amp;A835&amp;".md) | "&amp;" | "&amp;R835&amp;" | "&amp;V835&amp;" |"</f>
        <v>| [](.md) | [切](切.md) |  |  | 「切」的異體字。 |</v>
      </c>
    </row>
    <row r="836" spans="1:44" hidden="1">
      <c r="A836" s="1" t="s">
        <v>29350</v>
      </c>
      <c r="C836" s="1">
        <v>1</v>
      </c>
      <c r="D836" s="1" t="str">
        <f>"06342-1"</f>
        <v>06342-1</v>
      </c>
      <c r="E836" s="1" t="s">
        <v>250</v>
      </c>
      <c r="F836" s="1">
        <v>13</v>
      </c>
      <c r="G836" s="1">
        <v>9</v>
      </c>
      <c r="H836" s="1">
        <v>0</v>
      </c>
      <c r="K836" s="1" t="str">
        <f t="shared" si="52"/>
        <v/>
      </c>
      <c r="L836" s="1" t="str">
        <f t="shared" si="53"/>
        <v/>
      </c>
      <c r="M836" s="1" t="str">
        <f t="shared" si="54"/>
        <v/>
      </c>
      <c r="P836" s="1" t="s">
        <v>20</v>
      </c>
      <c r="V836" s="1" t="s">
        <v>29351</v>
      </c>
      <c r="X836" s="1" t="s">
        <v>27842</v>
      </c>
      <c r="AR836" s="1" t="str">
        <f t="shared" si="55"/>
        <v>| [](.md) | [㥦](㥦.md) |  |  | 「愜」的異體字。 |</v>
      </c>
    </row>
    <row r="837" spans="1:44" hidden="1">
      <c r="A837" s="1" t="s">
        <v>29352</v>
      </c>
      <c r="C837" s="1">
        <v>1</v>
      </c>
      <c r="D837" s="1" t="str">
        <f>"06346-1"</f>
        <v>06346-1</v>
      </c>
      <c r="E837" s="1" t="s">
        <v>1274</v>
      </c>
      <c r="F837" s="1">
        <v>9</v>
      </c>
      <c r="G837" s="1">
        <v>4</v>
      </c>
      <c r="H837" s="1">
        <v>0</v>
      </c>
      <c r="K837" s="1" t="str">
        <f t="shared" si="52"/>
        <v/>
      </c>
      <c r="L837" s="1" t="str">
        <f t="shared" si="53"/>
        <v/>
      </c>
      <c r="M837" s="1" t="str">
        <f t="shared" si="54"/>
        <v/>
      </c>
      <c r="P837" s="1" t="s">
        <v>20</v>
      </c>
      <c r="V837" s="1" t="s">
        <v>29353</v>
      </c>
      <c r="X837" s="1" t="s">
        <v>27842</v>
      </c>
      <c r="AR837" s="1" t="str">
        <f t="shared" si="55"/>
        <v>| [](.md) | [窃](窃.md) |  |  | 「竊」的異體字。 |</v>
      </c>
    </row>
    <row r="838" spans="1:44" hidden="1">
      <c r="A838" s="1" t="s">
        <v>29354</v>
      </c>
      <c r="C838" s="1">
        <v>1</v>
      </c>
      <c r="D838" s="1" t="str">
        <f>"06359-1"</f>
        <v>06359-1</v>
      </c>
      <c r="E838" s="1" t="s">
        <v>55</v>
      </c>
      <c r="F838" s="1">
        <v>17</v>
      </c>
      <c r="G838" s="1">
        <v>9</v>
      </c>
      <c r="H838" s="1">
        <v>0</v>
      </c>
      <c r="K838" s="1" t="str">
        <f t="shared" si="52"/>
        <v/>
      </c>
      <c r="L838" s="1" t="str">
        <f t="shared" si="53"/>
        <v/>
      </c>
      <c r="M838" s="1" t="str">
        <f t="shared" si="54"/>
        <v/>
      </c>
      <c r="P838" s="1" t="s">
        <v>20</v>
      </c>
      <c r="V838" s="1" t="s">
        <v>29355</v>
      </c>
      <c r="X838" s="1" t="s">
        <v>27842</v>
      </c>
      <c r="AR838" s="1" t="str">
        <f t="shared" si="55"/>
        <v>| [](.md) | [鍫](鍫.md) |  |  | 「鍬」的異體字。 |</v>
      </c>
    </row>
    <row r="839" spans="1:44" hidden="1">
      <c r="A839" s="1" t="s">
        <v>29356</v>
      </c>
      <c r="C839" s="1">
        <v>1</v>
      </c>
      <c r="D839" s="1" t="str">
        <f>"06373-1"</f>
        <v>06373-1</v>
      </c>
      <c r="E839" s="1" t="s">
        <v>684</v>
      </c>
      <c r="F839" s="1">
        <v>21</v>
      </c>
      <c r="G839" s="1">
        <v>12</v>
      </c>
      <c r="H839" s="1">
        <v>0</v>
      </c>
      <c r="K839" s="1" t="str">
        <f t="shared" si="52"/>
        <v/>
      </c>
      <c r="L839" s="1" t="str">
        <f t="shared" si="53"/>
        <v/>
      </c>
      <c r="M839" s="1" t="str">
        <f t="shared" si="54"/>
        <v/>
      </c>
      <c r="P839" s="1" t="s">
        <v>20</v>
      </c>
      <c r="V839" s="1" t="s">
        <v>29357</v>
      </c>
      <c r="X839" s="1" t="s">
        <v>27842</v>
      </c>
      <c r="AR839" s="1" t="str">
        <f t="shared" si="55"/>
        <v>| [](.md) | [顦](顦.md) |  |  | 「憔」的異體字。 |</v>
      </c>
    </row>
    <row r="840" spans="1:44" hidden="1">
      <c r="A840" s="1" t="s">
        <v>29358</v>
      </c>
      <c r="C840" s="1">
        <v>1</v>
      </c>
      <c r="D840" s="1" t="str">
        <f>"06402-1"</f>
        <v>06402-1</v>
      </c>
      <c r="E840" s="1" t="s">
        <v>429</v>
      </c>
      <c r="F840" s="1">
        <v>9</v>
      </c>
      <c r="G840" s="1">
        <v>4</v>
      </c>
      <c r="H840" s="1">
        <v>0</v>
      </c>
      <c r="K840" s="1" t="str">
        <f t="shared" si="52"/>
        <v/>
      </c>
      <c r="L840" s="1" t="str">
        <f t="shared" si="53"/>
        <v/>
      </c>
      <c r="M840" s="1" t="str">
        <f t="shared" si="54"/>
        <v/>
      </c>
      <c r="P840" s="1" t="s">
        <v>20</v>
      </c>
      <c r="V840" s="1" t="s">
        <v>29359</v>
      </c>
      <c r="X840" s="1" t="s">
        <v>27842</v>
      </c>
      <c r="AR840" s="1" t="str">
        <f t="shared" si="55"/>
        <v>| [](.md) | [秌](秌.md) |  |  | 「秋」的異體字。 |</v>
      </c>
    </row>
    <row r="841" spans="1:44" hidden="1">
      <c r="A841" s="1" t="s">
        <v>29360</v>
      </c>
      <c r="C841" s="1">
        <v>1</v>
      </c>
      <c r="D841" s="1" t="str">
        <f>"06402-2"</f>
        <v>06402-2</v>
      </c>
      <c r="E841" s="1" t="s">
        <v>429</v>
      </c>
      <c r="F841" s="1">
        <v>25</v>
      </c>
      <c r="G841" s="1">
        <v>20</v>
      </c>
      <c r="H841" s="1">
        <v>0</v>
      </c>
      <c r="K841" s="1" t="str">
        <f t="shared" si="52"/>
        <v/>
      </c>
      <c r="L841" s="1" t="str">
        <f t="shared" si="53"/>
        <v/>
      </c>
      <c r="M841" s="1" t="str">
        <f t="shared" si="54"/>
        <v/>
      </c>
      <c r="P841" s="1" t="s">
        <v>20</v>
      </c>
      <c r="V841" s="1" t="s">
        <v>29359</v>
      </c>
      <c r="X841" s="1" t="s">
        <v>27842</v>
      </c>
      <c r="AR841" s="1" t="str">
        <f t="shared" si="55"/>
        <v>| [](.md) | [𥤚](𥤚.md) |  |  | 「秋」的異體字。 |</v>
      </c>
    </row>
    <row r="842" spans="1:44" hidden="1">
      <c r="A842" s="1" t="s">
        <v>29361</v>
      </c>
      <c r="C842" s="1">
        <v>1</v>
      </c>
      <c r="D842" s="1" t="str">
        <f>"06405-1"</f>
        <v>06405-1</v>
      </c>
      <c r="E842" s="1" t="s">
        <v>96</v>
      </c>
      <c r="F842" s="1">
        <v>18</v>
      </c>
      <c r="G842" s="1">
        <v>9</v>
      </c>
      <c r="H842" s="1">
        <v>0</v>
      </c>
      <c r="K842" s="1" t="str">
        <f t="shared" si="52"/>
        <v/>
      </c>
      <c r="L842" s="1" t="str">
        <f t="shared" si="53"/>
        <v/>
      </c>
      <c r="M842" s="1" t="str">
        <f t="shared" si="54"/>
        <v/>
      </c>
      <c r="P842" s="1" t="s">
        <v>20</v>
      </c>
      <c r="V842" s="1" t="s">
        <v>29362</v>
      </c>
      <c r="X842" s="1" t="s">
        <v>27842</v>
      </c>
      <c r="AR842" s="1" t="str">
        <f t="shared" si="55"/>
        <v>| [](.md) | [鞧](鞧.md) |  |  | 「鞦」的異體字。 |</v>
      </c>
    </row>
    <row r="843" spans="1:44" hidden="1">
      <c r="A843" s="1" t="s">
        <v>29363</v>
      </c>
      <c r="C843" s="1">
        <v>1</v>
      </c>
      <c r="D843" s="1" t="str">
        <f>"06407-1"</f>
        <v>06407-1</v>
      </c>
      <c r="E843" s="1" t="s">
        <v>156</v>
      </c>
      <c r="F843" s="1">
        <v>20</v>
      </c>
      <c r="G843" s="1">
        <v>9</v>
      </c>
      <c r="H843" s="1">
        <v>0</v>
      </c>
      <c r="K843" s="1" t="str">
        <f t="shared" si="52"/>
        <v/>
      </c>
      <c r="L843" s="1" t="str">
        <f t="shared" si="53"/>
        <v/>
      </c>
      <c r="M843" s="1" t="str">
        <f t="shared" si="54"/>
        <v/>
      </c>
      <c r="P843" s="1" t="s">
        <v>20</v>
      </c>
      <c r="V843" s="1" t="s">
        <v>29364</v>
      </c>
      <c r="X843" s="1" t="s">
        <v>27842</v>
      </c>
      <c r="AR843" s="1" t="str">
        <f t="shared" si="55"/>
        <v>| [](.md) | [鰌](鰌.md) |  |  | 「鰍」的異體字。 |</v>
      </c>
    </row>
    <row r="844" spans="1:44" hidden="1">
      <c r="A844" s="1" t="s">
        <v>29365</v>
      </c>
      <c r="C844" s="1">
        <v>1</v>
      </c>
      <c r="D844" s="1" t="str">
        <f>"06411-1"</f>
        <v>06411-1</v>
      </c>
      <c r="E844" s="1" t="s">
        <v>28</v>
      </c>
      <c r="F844" s="1">
        <v>5</v>
      </c>
      <c r="G844" s="1">
        <v>2</v>
      </c>
      <c r="H844" s="1">
        <v>0</v>
      </c>
      <c r="K844" s="1" t="str">
        <f t="shared" si="52"/>
        <v/>
      </c>
      <c r="L844" s="1" t="str">
        <f t="shared" si="53"/>
        <v/>
      </c>
      <c r="M844" s="1" t="str">
        <f t="shared" si="54"/>
        <v/>
      </c>
      <c r="P844" s="1" t="s">
        <v>20</v>
      </c>
      <c r="V844" s="1" t="s">
        <v>29366</v>
      </c>
      <c r="X844" s="1" t="s">
        <v>27842</v>
      </c>
      <c r="AR844" s="1" t="str">
        <f t="shared" si="55"/>
        <v>| [](.md) | [叴](叴.md) |  |  | 「厹」的異體字。 |</v>
      </c>
    </row>
    <row r="845" spans="1:44" hidden="1">
      <c r="A845" s="1" t="s">
        <v>29367</v>
      </c>
      <c r="C845" s="1">
        <v>1</v>
      </c>
      <c r="D845" s="1" t="str">
        <f>"06430-1"</f>
        <v>06430-1</v>
      </c>
      <c r="E845" s="1" t="s">
        <v>679</v>
      </c>
      <c r="F845" s="1">
        <v>7</v>
      </c>
      <c r="G845" s="1">
        <v>1</v>
      </c>
      <c r="H845" s="1">
        <v>0</v>
      </c>
      <c r="K845" s="1" t="str">
        <f t="shared" si="52"/>
        <v/>
      </c>
      <c r="L845" s="1" t="str">
        <f t="shared" si="53"/>
        <v/>
      </c>
      <c r="M845" s="1" t="str">
        <f t="shared" si="54"/>
        <v/>
      </c>
      <c r="P845" s="1" t="s">
        <v>20</v>
      </c>
      <c r="V845" s="1" t="s">
        <v>29368</v>
      </c>
      <c r="X845" s="1" t="s">
        <v>27842</v>
      </c>
      <c r="AR845" s="1" t="str">
        <f t="shared" si="55"/>
        <v>| [](.md) | [虬](虬.md) |  |  | 「虯」的異體字。 |</v>
      </c>
    </row>
    <row r="846" spans="1:44" hidden="1">
      <c r="A846" s="1" t="s">
        <v>29369</v>
      </c>
      <c r="C846" s="1">
        <v>1</v>
      </c>
      <c r="D846" s="1" t="str">
        <f>"06439-1"</f>
        <v>06439-1</v>
      </c>
      <c r="E846" s="1" t="s">
        <v>24</v>
      </c>
      <c r="F846" s="1">
        <v>14</v>
      </c>
      <c r="G846" s="1">
        <v>11</v>
      </c>
      <c r="H846" s="1">
        <v>0</v>
      </c>
      <c r="K846" s="1" t="str">
        <f t="shared" si="52"/>
        <v/>
      </c>
      <c r="L846" s="1" t="str">
        <f t="shared" si="53"/>
        <v/>
      </c>
      <c r="M846" s="1" t="str">
        <f t="shared" si="54"/>
        <v/>
      </c>
      <c r="P846" s="1" t="s">
        <v>20</v>
      </c>
      <c r="V846" s="1" t="s">
        <v>29370</v>
      </c>
      <c r="X846" s="1" t="s">
        <v>27842</v>
      </c>
      <c r="AR846" s="1" t="str">
        <f t="shared" si="55"/>
        <v>| [](.md) | [𢳍](𢳍.md) |  |  | 「扦」的異體字。 |</v>
      </c>
    </row>
    <row r="847" spans="1:44" hidden="1">
      <c r="A847" s="1" t="s">
        <v>29371</v>
      </c>
      <c r="C847" s="1">
        <v>1</v>
      </c>
      <c r="D847" s="1" t="str">
        <f>"06442-1"</f>
        <v>06442-1</v>
      </c>
      <c r="E847" s="1" t="s">
        <v>129</v>
      </c>
      <c r="F847" s="1">
        <v>9</v>
      </c>
      <c r="G847" s="1">
        <v>6</v>
      </c>
      <c r="H847" s="1">
        <v>0</v>
      </c>
      <c r="K847" s="1" t="str">
        <f t="shared" si="52"/>
        <v/>
      </c>
      <c r="L847" s="1" t="str">
        <f t="shared" si="53"/>
        <v/>
      </c>
      <c r="M847" s="1" t="str">
        <f t="shared" si="54"/>
        <v/>
      </c>
      <c r="P847" s="1" t="s">
        <v>20</v>
      </c>
      <c r="V847" s="1" t="s">
        <v>29372</v>
      </c>
      <c r="X847" s="1" t="s">
        <v>27842</v>
      </c>
      <c r="AR847" s="1" t="str">
        <f t="shared" si="55"/>
        <v>| [](.md) | [汧](汧.md) |  |  | 「汧」的異體字。 |</v>
      </c>
    </row>
    <row r="848" spans="1:44" hidden="1">
      <c r="A848" s="1" t="s">
        <v>25800</v>
      </c>
      <c r="C848" s="1">
        <v>1</v>
      </c>
      <c r="D848" s="1" t="str">
        <f>"06450-1"</f>
        <v>06450-1</v>
      </c>
      <c r="E848" s="1" t="s">
        <v>55</v>
      </c>
      <c r="F848" s="1">
        <v>12</v>
      </c>
      <c r="G848" s="1">
        <v>4</v>
      </c>
      <c r="H848" s="1">
        <v>0</v>
      </c>
      <c r="K848" s="1" t="str">
        <f t="shared" si="52"/>
        <v/>
      </c>
      <c r="L848" s="1" t="str">
        <f t="shared" si="53"/>
        <v/>
      </c>
      <c r="M848" s="1" t="str">
        <f t="shared" si="54"/>
        <v/>
      </c>
      <c r="P848" s="1" t="s">
        <v>20</v>
      </c>
      <c r="V848" s="1" t="s">
        <v>29373</v>
      </c>
      <c r="X848" s="1" t="s">
        <v>27842</v>
      </c>
      <c r="AR848" s="1" t="str">
        <f t="shared" si="55"/>
        <v>| [](.md) | [鈆](鈆.md) |  |  | 「鉛」的異體字。 |</v>
      </c>
    </row>
    <row r="849" spans="1:44" hidden="1">
      <c r="A849" s="1" t="s">
        <v>29374</v>
      </c>
      <c r="C849" s="1">
        <v>1</v>
      </c>
      <c r="D849" s="1" t="str">
        <f>"06457-1"</f>
        <v>06457-1</v>
      </c>
      <c r="E849" s="1" t="s">
        <v>558</v>
      </c>
      <c r="F849" s="1">
        <v>7</v>
      </c>
      <c r="G849" s="1">
        <v>3</v>
      </c>
      <c r="H849" s="1">
        <v>0</v>
      </c>
      <c r="K849" s="1" t="str">
        <f t="shared" si="52"/>
        <v/>
      </c>
      <c r="L849" s="1" t="str">
        <f t="shared" si="53"/>
        <v/>
      </c>
      <c r="M849" s="1" t="str">
        <f t="shared" si="54"/>
        <v/>
      </c>
      <c r="P849" s="1" t="s">
        <v>20</v>
      </c>
      <c r="V849" s="1" t="s">
        <v>29375</v>
      </c>
      <c r="X849" s="1" t="s">
        <v>27842</v>
      </c>
      <c r="AR849" s="1" t="str">
        <f t="shared" si="55"/>
        <v>| [](.md) | [迁](迁.md) |  |  | 「遷」的異體字。 |</v>
      </c>
    </row>
    <row r="850" spans="1:44" hidden="1">
      <c r="A850" s="1" t="s">
        <v>29376</v>
      </c>
      <c r="C850" s="1">
        <v>1</v>
      </c>
      <c r="D850" s="1" t="str">
        <f>"06457-2"</f>
        <v>06457-2</v>
      </c>
      <c r="E850" s="1" t="s">
        <v>558</v>
      </c>
      <c r="F850" s="1">
        <v>13</v>
      </c>
      <c r="G850" s="1">
        <v>9</v>
      </c>
      <c r="H850" s="1">
        <v>0</v>
      </c>
      <c r="K850" s="1" t="str">
        <f t="shared" si="52"/>
        <v/>
      </c>
      <c r="L850" s="1" t="str">
        <f t="shared" si="53"/>
        <v/>
      </c>
      <c r="M850" s="1" t="str">
        <f t="shared" si="54"/>
        <v/>
      </c>
      <c r="P850" s="1" t="s">
        <v>20</v>
      </c>
      <c r="V850" s="1" t="s">
        <v>29375</v>
      </c>
      <c r="X850" s="1" t="s">
        <v>27842</v>
      </c>
      <c r="AR850" s="1" t="str">
        <f t="shared" si="55"/>
        <v>| [](.md) | [𨔰](𨔰.md) |  |  | 「遷」的異體字。 |</v>
      </c>
    </row>
    <row r="851" spans="1:44" hidden="1">
      <c r="A851" s="1" t="s">
        <v>29377</v>
      </c>
      <c r="C851" s="1">
        <v>1</v>
      </c>
      <c r="D851" s="1" t="str">
        <f>"06461-1"</f>
        <v>06461-1</v>
      </c>
      <c r="E851" s="1" t="s">
        <v>49</v>
      </c>
      <c r="F851" s="1">
        <v>21</v>
      </c>
      <c r="G851" s="1">
        <v>15</v>
      </c>
      <c r="H851" s="1">
        <v>0</v>
      </c>
      <c r="K851" s="1" t="str">
        <f t="shared" si="52"/>
        <v/>
      </c>
      <c r="L851" s="1" t="str">
        <f t="shared" si="53"/>
        <v/>
      </c>
      <c r="M851" s="1" t="str">
        <f t="shared" si="54"/>
        <v/>
      </c>
      <c r="P851" s="1" t="s">
        <v>20</v>
      </c>
      <c r="V851" s="1" t="s">
        <v>29378</v>
      </c>
      <c r="X851" s="1" t="s">
        <v>27842</v>
      </c>
      <c r="AR851" s="1" t="str">
        <f t="shared" si="55"/>
        <v>| [](.md) | [籖](籖.md) |  |  | 「籤」的異體字。 |</v>
      </c>
    </row>
    <row r="852" spans="1:44" hidden="1">
      <c r="A852" s="1" t="s">
        <v>29379</v>
      </c>
      <c r="C852" s="1">
        <v>1</v>
      </c>
      <c r="D852" s="1" t="str">
        <f>"06472-1"</f>
        <v>06472-1</v>
      </c>
      <c r="E852" s="1" t="s">
        <v>660</v>
      </c>
      <c r="F852" s="1">
        <v>10</v>
      </c>
      <c r="G852" s="1">
        <v>4</v>
      </c>
      <c r="H852" s="1">
        <v>0</v>
      </c>
      <c r="K852" s="1" t="str">
        <f t="shared" si="52"/>
        <v/>
      </c>
      <c r="L852" s="1" t="str">
        <f t="shared" si="53"/>
        <v/>
      </c>
      <c r="M852" s="1" t="str">
        <f t="shared" si="54"/>
        <v/>
      </c>
      <c r="P852" s="1" t="s">
        <v>20</v>
      </c>
      <c r="V852" s="1" t="s">
        <v>29380</v>
      </c>
      <c r="X852" s="1" t="s">
        <v>27842</v>
      </c>
      <c r="AR852" s="1" t="str">
        <f t="shared" si="55"/>
        <v>| [](.md) | [䖍](䖍.md) |  |  | 「虔」的異體字。 |</v>
      </c>
    </row>
    <row r="853" spans="1:44" hidden="1">
      <c r="A853" s="1" t="s">
        <v>29381</v>
      </c>
      <c r="C853" s="1">
        <v>1</v>
      </c>
      <c r="D853" s="1" t="str">
        <f>"06514-1"</f>
        <v>06514-1</v>
      </c>
      <c r="E853" s="1" t="s">
        <v>142</v>
      </c>
      <c r="F853" s="1">
        <v>10</v>
      </c>
      <c r="G853" s="1">
        <v>6</v>
      </c>
      <c r="H853" s="1">
        <v>0</v>
      </c>
      <c r="K853" s="1" t="str">
        <f t="shared" si="52"/>
        <v/>
      </c>
      <c r="L853" s="1" t="str">
        <f t="shared" si="53"/>
        <v/>
      </c>
      <c r="M853" s="1" t="str">
        <f t="shared" si="54"/>
        <v/>
      </c>
      <c r="P853" s="1" t="s">
        <v>20</v>
      </c>
      <c r="V853" s="1" t="s">
        <v>29382</v>
      </c>
      <c r="X853" s="1" t="s">
        <v>27842</v>
      </c>
      <c r="AR853" s="1" t="str">
        <f t="shared" si="55"/>
        <v>| [](.md) | [珡](珡.md) |  |  | 「琴」的異體字。 |</v>
      </c>
    </row>
    <row r="854" spans="1:44" hidden="1">
      <c r="A854" s="1" t="s">
        <v>29383</v>
      </c>
      <c r="C854" s="1">
        <v>1</v>
      </c>
      <c r="D854" s="1" t="str">
        <f>"06514-2"</f>
        <v>06514-2</v>
      </c>
      <c r="E854" s="1" t="s">
        <v>139</v>
      </c>
      <c r="F854" s="1">
        <v>12</v>
      </c>
      <c r="G854" s="1">
        <v>8</v>
      </c>
      <c r="H854" s="1">
        <v>0</v>
      </c>
      <c r="K854" s="1" t="str">
        <f t="shared" si="52"/>
        <v/>
      </c>
      <c r="L854" s="1" t="str">
        <f t="shared" si="53"/>
        <v/>
      </c>
      <c r="M854" s="1" t="str">
        <f t="shared" si="54"/>
        <v/>
      </c>
      <c r="P854" s="1" t="s">
        <v>20</v>
      </c>
      <c r="V854" s="1" t="s">
        <v>29382</v>
      </c>
      <c r="X854" s="1" t="s">
        <v>27842</v>
      </c>
      <c r="AR854" s="1" t="str">
        <f t="shared" si="55"/>
        <v>| [](.md) | [琹](琹.md) |  |  | 「琴」的異體字。 |</v>
      </c>
    </row>
    <row r="855" spans="1:44" hidden="1">
      <c r="A855" s="1" t="s">
        <v>29384</v>
      </c>
      <c r="C855" s="1">
        <v>1</v>
      </c>
      <c r="D855" s="1" t="str">
        <f>"06535-1"</f>
        <v>06535-1</v>
      </c>
      <c r="E855" s="1" t="s">
        <v>43</v>
      </c>
      <c r="F855" s="1">
        <v>9</v>
      </c>
      <c r="G855" s="1">
        <v>3</v>
      </c>
      <c r="H855" s="1">
        <v>0</v>
      </c>
      <c r="K855" s="1" t="str">
        <f t="shared" si="52"/>
        <v/>
      </c>
      <c r="L855" s="1" t="str">
        <f t="shared" si="53"/>
        <v/>
      </c>
      <c r="M855" s="1" t="str">
        <f t="shared" si="54"/>
        <v/>
      </c>
      <c r="P855" s="1" t="s">
        <v>20</v>
      </c>
      <c r="V855" s="1" t="s">
        <v>29385</v>
      </c>
      <c r="X855" s="1" t="s">
        <v>27842</v>
      </c>
      <c r="AR855" s="1" t="str">
        <f t="shared" si="55"/>
        <v>| [](.md) | [𦍑](𦍑.md) |  |  | 「羌」的異體字。 |</v>
      </c>
    </row>
    <row r="856" spans="1:44" hidden="1">
      <c r="A856" s="1" t="s">
        <v>29386</v>
      </c>
      <c r="C856" s="1">
        <v>1</v>
      </c>
      <c r="D856" s="1" t="str">
        <f>"06535-2"</f>
        <v>06535-2</v>
      </c>
      <c r="E856" s="1" t="s">
        <v>43</v>
      </c>
      <c r="F856" s="1">
        <v>10</v>
      </c>
      <c r="G856" s="1">
        <v>4</v>
      </c>
      <c r="H856" s="1">
        <v>0</v>
      </c>
      <c r="K856" s="1" t="str">
        <f t="shared" si="52"/>
        <v/>
      </c>
      <c r="L856" s="1" t="str">
        <f t="shared" si="53"/>
        <v/>
      </c>
      <c r="M856" s="1" t="str">
        <f t="shared" si="54"/>
        <v/>
      </c>
      <c r="P856" s="1" t="s">
        <v>20</v>
      </c>
      <c r="V856" s="1" t="s">
        <v>29385</v>
      </c>
      <c r="X856" s="1" t="s">
        <v>27842</v>
      </c>
      <c r="AR856" s="1" t="str">
        <f t="shared" si="55"/>
        <v>| [](.md) | [羗](羗.md) |  |  | 「羌」的異體字。 |</v>
      </c>
    </row>
    <row r="857" spans="1:44" hidden="1">
      <c r="A857" s="1" t="s">
        <v>29387</v>
      </c>
      <c r="C857" s="1">
        <v>1</v>
      </c>
      <c r="D857" s="1" t="str">
        <f>"06553-1"</f>
        <v>06553-1</v>
      </c>
      <c r="E857" s="1" t="s">
        <v>55</v>
      </c>
      <c r="F857" s="1">
        <v>20</v>
      </c>
      <c r="G857" s="1">
        <v>12</v>
      </c>
      <c r="H857" s="1">
        <v>0</v>
      </c>
      <c r="K857" s="1" t="str">
        <f t="shared" si="52"/>
        <v/>
      </c>
      <c r="L857" s="1" t="str">
        <f t="shared" si="53"/>
        <v/>
      </c>
      <c r="M857" s="1" t="str">
        <f t="shared" si="54"/>
        <v/>
      </c>
      <c r="P857" s="1" t="s">
        <v>20</v>
      </c>
      <c r="V857" s="1" t="s">
        <v>29388</v>
      </c>
      <c r="X857" s="1" t="s">
        <v>27842</v>
      </c>
      <c r="AR857" s="1" t="str">
        <f t="shared" si="55"/>
        <v>| [](.md) | [鏹](鏹.md) |  |  | 「鏹」的異體字。 |</v>
      </c>
    </row>
    <row r="858" spans="1:44" hidden="1">
      <c r="A858" s="1" t="s">
        <v>29389</v>
      </c>
      <c r="C858" s="1">
        <v>1</v>
      </c>
      <c r="D858" s="1" t="str">
        <f>"06561-1"</f>
        <v>06561-1</v>
      </c>
      <c r="E858" s="1" t="s">
        <v>132</v>
      </c>
      <c r="F858" s="1">
        <v>16</v>
      </c>
      <c r="G858" s="1">
        <v>13</v>
      </c>
      <c r="H858" s="1">
        <v>0</v>
      </c>
      <c r="K858" s="1" t="str">
        <f t="shared" si="52"/>
        <v/>
      </c>
      <c r="L858" s="1" t="str">
        <f t="shared" si="53"/>
        <v/>
      </c>
      <c r="M858" s="1" t="str">
        <f t="shared" si="54"/>
        <v/>
      </c>
      <c r="P858" s="1" t="s">
        <v>20</v>
      </c>
      <c r="V858" s="1" t="s">
        <v>29390</v>
      </c>
      <c r="X858" s="1" t="s">
        <v>27842</v>
      </c>
      <c r="AR858" s="1" t="str">
        <f t="shared" si="55"/>
        <v>| [](.md) | [墻](墻.md) |  |  | 「牆」的異體字。 |</v>
      </c>
    </row>
    <row r="859" spans="1:44" hidden="1">
      <c r="A859" s="1" t="s">
        <v>29391</v>
      </c>
      <c r="C859" s="1">
        <v>1</v>
      </c>
      <c r="D859" s="1" t="str">
        <f>"06565-1"</f>
        <v>06565-1</v>
      </c>
      <c r="E859" s="1" t="s">
        <v>340</v>
      </c>
      <c r="F859" s="1">
        <v>18</v>
      </c>
      <c r="G859" s="1">
        <v>12</v>
      </c>
      <c r="H859" s="1">
        <v>0</v>
      </c>
      <c r="K859" s="1" t="str">
        <f t="shared" si="52"/>
        <v/>
      </c>
      <c r="L859" s="1" t="str">
        <f t="shared" si="53"/>
        <v/>
      </c>
      <c r="M859" s="1" t="str">
        <f t="shared" si="54"/>
        <v/>
      </c>
      <c r="P859" s="1" t="s">
        <v>20</v>
      </c>
      <c r="V859" s="1" t="s">
        <v>29392</v>
      </c>
      <c r="X859" s="1" t="s">
        <v>27842</v>
      </c>
      <c r="AR859" s="1" t="str">
        <f t="shared" si="55"/>
        <v>| [](.md) | [󸩖](󸩖.md) |  |  | 「襁」的異體字。 |</v>
      </c>
    </row>
    <row r="860" spans="1:44" hidden="1">
      <c r="A860" s="1" t="s">
        <v>29393</v>
      </c>
      <c r="C860" s="1">
        <v>1</v>
      </c>
      <c r="D860" s="1" t="str">
        <f>"06566-1"</f>
        <v>06566-1</v>
      </c>
      <c r="E860" s="1" t="s">
        <v>725</v>
      </c>
      <c r="F860" s="1">
        <v>18</v>
      </c>
      <c r="G860" s="1">
        <v>12</v>
      </c>
      <c r="H860" s="1">
        <v>0</v>
      </c>
      <c r="K860" s="1" t="str">
        <f t="shared" si="52"/>
        <v/>
      </c>
      <c r="L860" s="1" t="str">
        <f t="shared" si="53"/>
        <v/>
      </c>
      <c r="M860" s="1" t="str">
        <f t="shared" si="54"/>
        <v/>
      </c>
      <c r="P860" s="1" t="s">
        <v>20</v>
      </c>
      <c r="V860" s="1" t="s">
        <v>29394</v>
      </c>
      <c r="X860" s="1" t="s">
        <v>27842</v>
      </c>
      <c r="AR860" s="1" t="str">
        <f t="shared" si="55"/>
        <v>| [](.md) | [繦](繦.md) |  |  | 「繈」的異體字。 |</v>
      </c>
    </row>
    <row r="861" spans="1:44" hidden="1">
      <c r="A861" s="1" t="s">
        <v>29395</v>
      </c>
      <c r="C861" s="1">
        <v>1</v>
      </c>
      <c r="D861" s="1" t="str">
        <f>"06583-1"</f>
        <v>06583-1</v>
      </c>
      <c r="E861" s="1" t="s">
        <v>2954</v>
      </c>
      <c r="F861" s="1">
        <v>12</v>
      </c>
      <c r="G861" s="1">
        <v>10</v>
      </c>
      <c r="H861" s="1">
        <v>0</v>
      </c>
      <c r="K861" s="1" t="str">
        <f t="shared" si="52"/>
        <v/>
      </c>
      <c r="L861" s="1" t="str">
        <f t="shared" si="53"/>
        <v/>
      </c>
      <c r="M861" s="1" t="str">
        <f t="shared" si="54"/>
        <v/>
      </c>
      <c r="P861" s="1" t="s">
        <v>20</v>
      </c>
      <c r="V861" s="1" t="s">
        <v>29396</v>
      </c>
      <c r="X861" s="1" t="s">
        <v>27842</v>
      </c>
      <c r="AR861" s="1" t="str">
        <f t="shared" si="55"/>
        <v>| [](.md) | [卿](卿.md) |  |  | 「卿」的異體字。 |</v>
      </c>
    </row>
    <row r="862" spans="1:44" hidden="1">
      <c r="A862" s="1" t="s">
        <v>29397</v>
      </c>
      <c r="C862" s="1">
        <v>1</v>
      </c>
      <c r="D862" s="1" t="str">
        <f>"06586-1"</f>
        <v>06586-1</v>
      </c>
      <c r="E862" s="1" t="s">
        <v>71</v>
      </c>
      <c r="F862" s="1">
        <v>12</v>
      </c>
      <c r="G862" s="1">
        <v>5</v>
      </c>
      <c r="H862" s="1">
        <v>0</v>
      </c>
      <c r="K862" s="1" t="str">
        <f t="shared" si="52"/>
        <v/>
      </c>
      <c r="L862" s="1" t="str">
        <f t="shared" si="53"/>
        <v/>
      </c>
      <c r="M862" s="1" t="str">
        <f t="shared" si="54"/>
        <v/>
      </c>
      <c r="P862" s="1" t="s">
        <v>20</v>
      </c>
      <c r="V862" s="1" t="s">
        <v>29398</v>
      </c>
      <c r="X862" s="1" t="s">
        <v>27842</v>
      </c>
      <c r="AR862" s="1" t="str">
        <f t="shared" si="55"/>
        <v>| [](.md) | [軽](軽.md) |  |  | 「輕」的異體字。 |</v>
      </c>
    </row>
    <row r="863" spans="1:44" hidden="1">
      <c r="A863" s="1" t="s">
        <v>29399</v>
      </c>
      <c r="C863" s="1">
        <v>1</v>
      </c>
      <c r="D863" s="1" t="str">
        <f>"06586-2"</f>
        <v>06586-2</v>
      </c>
      <c r="E863" s="1" t="s">
        <v>71</v>
      </c>
      <c r="F863" s="1">
        <v>13</v>
      </c>
      <c r="G863" s="1">
        <v>6</v>
      </c>
      <c r="H863" s="1">
        <v>0</v>
      </c>
      <c r="K863" s="1" t="str">
        <f t="shared" si="52"/>
        <v/>
      </c>
      <c r="L863" s="1" t="str">
        <f t="shared" si="53"/>
        <v/>
      </c>
      <c r="M863" s="1" t="str">
        <f t="shared" si="54"/>
        <v/>
      </c>
      <c r="P863" s="1" t="s">
        <v>20</v>
      </c>
      <c r="V863" s="1" t="s">
        <v>29398</v>
      </c>
      <c r="X863" s="1" t="s">
        <v>27842</v>
      </c>
      <c r="AR863" s="1" t="str">
        <f t="shared" si="55"/>
        <v>| [](.md) | [䡖](䡖.md) |  |  | 「輕」的異體字。 |</v>
      </c>
    </row>
    <row r="864" spans="1:44" hidden="1">
      <c r="A864" s="1" t="s">
        <v>29400</v>
      </c>
      <c r="C864" s="1">
        <v>1</v>
      </c>
      <c r="D864" s="1" t="str">
        <f>"06590-1"</f>
        <v>06590-1</v>
      </c>
      <c r="E864" s="1" t="s">
        <v>185</v>
      </c>
      <c r="F864" s="1">
        <v>10</v>
      </c>
      <c r="G864" s="1">
        <v>8</v>
      </c>
      <c r="H864" s="1">
        <v>0</v>
      </c>
      <c r="K864" s="1" t="str">
        <f t="shared" si="52"/>
        <v/>
      </c>
      <c r="L864" s="1" t="str">
        <f t="shared" si="53"/>
        <v/>
      </c>
      <c r="M864" s="1" t="str">
        <f t="shared" si="54"/>
        <v/>
      </c>
      <c r="P864" s="1" t="s">
        <v>20</v>
      </c>
      <c r="V864" s="1" t="s">
        <v>29401</v>
      </c>
      <c r="X864" s="1" t="s">
        <v>27842</v>
      </c>
      <c r="AR864" s="1" t="str">
        <f t="shared" si="55"/>
        <v>| [](.md) | [剠](剠.md) |  |  | 「黥」的異體字。 |</v>
      </c>
    </row>
    <row r="865" spans="1:44" hidden="1">
      <c r="A865" s="1" t="s">
        <v>29402</v>
      </c>
      <c r="C865" s="1">
        <v>1</v>
      </c>
      <c r="D865" s="1" t="str">
        <f>"06601-1"</f>
        <v>06601-1</v>
      </c>
      <c r="E865" s="1" t="s">
        <v>447</v>
      </c>
      <c r="F865" s="1">
        <v>7</v>
      </c>
      <c r="G865" s="1">
        <v>4</v>
      </c>
      <c r="H865" s="1">
        <v>0</v>
      </c>
      <c r="K865" s="1" t="str">
        <f t="shared" si="52"/>
        <v/>
      </c>
      <c r="L865" s="1" t="str">
        <f t="shared" si="53"/>
        <v/>
      </c>
      <c r="M865" s="1" t="str">
        <f t="shared" si="54"/>
        <v/>
      </c>
      <c r="P865" s="1" t="s">
        <v>20</v>
      </c>
      <c r="V865" s="1" t="s">
        <v>29403</v>
      </c>
      <c r="X865" s="1" t="s">
        <v>27842</v>
      </c>
      <c r="AR865" s="1" t="str">
        <f t="shared" si="55"/>
        <v>| [](.md) | [󽸽](󽸽.md) |  |  | 「慶」的異體字。 |</v>
      </c>
    </row>
    <row r="866" spans="1:44" hidden="1">
      <c r="A866" s="1" t="s">
        <v>29404</v>
      </c>
      <c r="C866" s="1">
        <v>1</v>
      </c>
      <c r="D866" s="1" t="str">
        <f>"06617-1"</f>
        <v>06617-1</v>
      </c>
      <c r="E866" s="1" t="s">
        <v>1078</v>
      </c>
      <c r="F866" s="1">
        <v>18</v>
      </c>
      <c r="G866" s="1">
        <v>8</v>
      </c>
      <c r="H866" s="1">
        <v>0</v>
      </c>
      <c r="K866" s="1" t="str">
        <f t="shared" si="52"/>
        <v/>
      </c>
      <c r="L866" s="1" t="str">
        <f t="shared" si="53"/>
        <v/>
      </c>
      <c r="M866" s="1" t="str">
        <f t="shared" si="54"/>
        <v/>
      </c>
      <c r="P866" s="1" t="s">
        <v>20</v>
      </c>
      <c r="V866" s="1" t="s">
        <v>29405</v>
      </c>
      <c r="X866" s="1" t="s">
        <v>27842</v>
      </c>
      <c r="AR866" s="1" t="str">
        <f t="shared" si="55"/>
        <v>| [](.md) | [𩭪](𩭪.md) |  |  | 「镼」的異體字。 |</v>
      </c>
    </row>
    <row r="867" spans="1:44" hidden="1">
      <c r="A867" s="1" t="s">
        <v>29406</v>
      </c>
      <c r="C867" s="1">
        <v>1</v>
      </c>
      <c r="D867" s="1" t="str">
        <f>"06621-1"</f>
        <v>06621-1</v>
      </c>
      <c r="E867" s="1" t="s">
        <v>5692</v>
      </c>
      <c r="F867" s="1">
        <v>11</v>
      </c>
      <c r="G867" s="1">
        <v>4</v>
      </c>
      <c r="H867" s="1">
        <v>0</v>
      </c>
      <c r="K867" s="1" t="str">
        <f t="shared" si="52"/>
        <v/>
      </c>
      <c r="L867" s="1" t="str">
        <f t="shared" si="53"/>
        <v/>
      </c>
      <c r="M867" s="1" t="str">
        <f t="shared" si="54"/>
        <v/>
      </c>
      <c r="P867" s="1" t="s">
        <v>20</v>
      </c>
      <c r="V867" s="1" t="s">
        <v>29407</v>
      </c>
      <c r="X867" s="1" t="s">
        <v>27842</v>
      </c>
      <c r="AR867" s="1" t="str">
        <f t="shared" si="55"/>
        <v>| [](.md) | [躯](躯.md) |  |  | 「軀」的異體字。 |</v>
      </c>
    </row>
    <row r="868" spans="1:44" hidden="1">
      <c r="A868" s="1" t="s">
        <v>29408</v>
      </c>
      <c r="C868" s="1">
        <v>1</v>
      </c>
      <c r="D868" s="1" t="str">
        <f>"06622-1"</f>
        <v>06622-1</v>
      </c>
      <c r="E868" s="1" t="s">
        <v>319</v>
      </c>
      <c r="F868" s="1">
        <v>14</v>
      </c>
      <c r="G868" s="1">
        <v>4</v>
      </c>
      <c r="H868" s="1">
        <v>0</v>
      </c>
      <c r="K868" s="1" t="str">
        <f t="shared" si="52"/>
        <v/>
      </c>
      <c r="L868" s="1" t="str">
        <f t="shared" si="53"/>
        <v/>
      </c>
      <c r="M868" s="1" t="str">
        <f t="shared" si="54"/>
        <v/>
      </c>
      <c r="P868" s="1" t="s">
        <v>20</v>
      </c>
      <c r="V868" s="1" t="s">
        <v>29409</v>
      </c>
      <c r="X868" s="1" t="s">
        <v>27842</v>
      </c>
      <c r="AR868" s="1" t="str">
        <f t="shared" si="55"/>
        <v>| [](.md) | [駆](駆.md) |  |  | 「驅」的異體字。 |</v>
      </c>
    </row>
    <row r="869" spans="1:44" hidden="1">
      <c r="A869" s="1" t="s">
        <v>29410</v>
      </c>
      <c r="C869" s="1">
        <v>1</v>
      </c>
      <c r="D869" s="1" t="str">
        <f>"06624-1"</f>
        <v>06624-1</v>
      </c>
      <c r="E869" s="1" t="s">
        <v>4563</v>
      </c>
      <c r="F869" s="1">
        <v>12</v>
      </c>
      <c r="G869" s="1">
        <v>5</v>
      </c>
      <c r="H869" s="1">
        <v>0</v>
      </c>
      <c r="K869" s="1" t="str">
        <f t="shared" si="52"/>
        <v/>
      </c>
      <c r="L869" s="1" t="str">
        <f t="shared" si="53"/>
        <v/>
      </c>
      <c r="M869" s="1" t="str">
        <f t="shared" si="54"/>
        <v/>
      </c>
      <c r="P869" s="1" t="s">
        <v>20</v>
      </c>
      <c r="V869" s="1" t="s">
        <v>29411</v>
      </c>
      <c r="X869" s="1" t="s">
        <v>27842</v>
      </c>
      <c r="AR869" s="1" t="str">
        <f t="shared" si="55"/>
        <v>| [](.md) | [趋](趋.md) |  |  | 「趨」的異體字。 |</v>
      </c>
    </row>
    <row r="870" spans="1:44" hidden="1">
      <c r="A870" s="1" t="s">
        <v>29412</v>
      </c>
      <c r="C870" s="1">
        <v>1</v>
      </c>
      <c r="D870" s="1" t="str">
        <f>"06630-1"</f>
        <v>06630-1</v>
      </c>
      <c r="E870" s="1" t="s">
        <v>272</v>
      </c>
      <c r="F870" s="1">
        <v>29</v>
      </c>
      <c r="G870" s="1">
        <v>18</v>
      </c>
      <c r="H870" s="1">
        <v>0</v>
      </c>
      <c r="K870" s="1" t="str">
        <f t="shared" si="52"/>
        <v/>
      </c>
      <c r="L870" s="1" t="str">
        <f t="shared" si="53"/>
        <v/>
      </c>
      <c r="M870" s="1" t="str">
        <f t="shared" si="54"/>
        <v/>
      </c>
      <c r="P870" s="1" t="s">
        <v>20</v>
      </c>
      <c r="V870" s="1" t="s">
        <v>29413</v>
      </c>
      <c r="X870" s="1" t="s">
        <v>27842</v>
      </c>
      <c r="AR870" s="1" t="str">
        <f t="shared" si="55"/>
        <v>| [](.md) | [鸜](鸜.md) |  |  | 「鴝」的異體字。 |</v>
      </c>
    </row>
    <row r="871" spans="1:44" hidden="1">
      <c r="A871" s="1" t="s">
        <v>29414</v>
      </c>
      <c r="C871" s="1">
        <v>1</v>
      </c>
      <c r="D871" s="1" t="str">
        <f>"06640-1"</f>
        <v>06640-1</v>
      </c>
      <c r="E871" s="1" t="s">
        <v>40</v>
      </c>
      <c r="F871" s="1">
        <v>23</v>
      </c>
      <c r="G871" s="1">
        <v>18</v>
      </c>
      <c r="H871" s="1">
        <v>0</v>
      </c>
      <c r="K871" s="1" t="str">
        <f t="shared" si="52"/>
        <v/>
      </c>
      <c r="L871" s="1" t="str">
        <f t="shared" si="53"/>
        <v/>
      </c>
      <c r="M871" s="1" t="str">
        <f t="shared" si="54"/>
        <v/>
      </c>
      <c r="P871" s="1" t="s">
        <v>20</v>
      </c>
      <c r="V871" s="1" t="s">
        <v>29415</v>
      </c>
      <c r="X871" s="1" t="s">
        <v>27842</v>
      </c>
      <c r="AR871" s="1" t="str">
        <f t="shared" si="55"/>
        <v>| [](.md) | [癯](癯.md) |  |  | 「臞」的異體字。 |</v>
      </c>
    </row>
    <row r="872" spans="1:44" hidden="1">
      <c r="A872" s="1" t="s">
        <v>29416</v>
      </c>
      <c r="C872" s="1">
        <v>1</v>
      </c>
      <c r="D872" s="1" t="str">
        <f>"06644-1"</f>
        <v>06644-1</v>
      </c>
      <c r="E872" s="1" t="s">
        <v>2743</v>
      </c>
      <c r="F872" s="1">
        <v>17</v>
      </c>
      <c r="G872" s="1">
        <v>6</v>
      </c>
      <c r="H872" s="1">
        <v>0</v>
      </c>
      <c r="K872" s="1" t="str">
        <f t="shared" si="52"/>
        <v/>
      </c>
      <c r="L872" s="1" t="str">
        <f t="shared" si="53"/>
        <v/>
      </c>
      <c r="M872" s="1" t="str">
        <f t="shared" si="54"/>
        <v/>
      </c>
      <c r="P872" s="1" t="s">
        <v>20</v>
      </c>
      <c r="V872" s="1" t="s">
        <v>29417</v>
      </c>
      <c r="X872" s="1" t="s">
        <v>27842</v>
      </c>
      <c r="AR872" s="1" t="str">
        <f t="shared" si="55"/>
        <v>| [](.md) | [麯](麯.md) |  |  | 「麴」的異體字。 |</v>
      </c>
    </row>
    <row r="873" spans="1:44" hidden="1">
      <c r="A873" s="1" t="s">
        <v>29418</v>
      </c>
      <c r="C873" s="1">
        <v>1</v>
      </c>
      <c r="D873" s="1" t="str">
        <f>"06650-1"</f>
        <v>06650-1</v>
      </c>
      <c r="E873" s="1" t="s">
        <v>14794</v>
      </c>
      <c r="F873" s="1">
        <v>5</v>
      </c>
      <c r="G873" s="1">
        <v>3</v>
      </c>
      <c r="H873" s="1">
        <v>0</v>
      </c>
      <c r="K873" s="1" t="str">
        <f t="shared" si="52"/>
        <v/>
      </c>
      <c r="L873" s="1" t="str">
        <f t="shared" si="53"/>
        <v/>
      </c>
      <c r="M873" s="1" t="str">
        <f t="shared" si="54"/>
        <v/>
      </c>
      <c r="P873" s="1" t="s">
        <v>20</v>
      </c>
      <c r="V873" s="1" t="s">
        <v>29419</v>
      </c>
      <c r="X873" s="1" t="s">
        <v>27842</v>
      </c>
      <c r="AR873" s="1" t="str">
        <f t="shared" si="55"/>
        <v>| [](.md) | [厺](厺.md) |  |  | 「去」的異體字。 |</v>
      </c>
    </row>
    <row r="874" spans="1:44" hidden="1">
      <c r="A874" s="1" t="s">
        <v>29420</v>
      </c>
      <c r="C874" s="1">
        <v>1</v>
      </c>
      <c r="D874" s="1" t="str">
        <f>"06655-1"</f>
        <v>06655-1</v>
      </c>
      <c r="E874" s="1" t="s">
        <v>709</v>
      </c>
      <c r="F874" s="1">
        <v>16</v>
      </c>
      <c r="G874" s="1">
        <v>8</v>
      </c>
      <c r="H874" s="1">
        <v>0</v>
      </c>
      <c r="K874" s="1" t="str">
        <f t="shared" si="52"/>
        <v/>
      </c>
      <c r="L874" s="1" t="str">
        <f t="shared" si="53"/>
        <v/>
      </c>
      <c r="M874" s="1" t="str">
        <f t="shared" si="54"/>
        <v/>
      </c>
      <c r="P874" s="1" t="s">
        <v>20</v>
      </c>
      <c r="V874" s="1" t="s">
        <v>29421</v>
      </c>
      <c r="X874" s="1" t="s">
        <v>27842</v>
      </c>
      <c r="AR874" s="1" t="str">
        <f t="shared" si="55"/>
        <v>| [](.md) | [𨵢](𨵢.md) |  |  | 「闃」的異體字。 |</v>
      </c>
    </row>
    <row r="875" spans="1:44" hidden="1">
      <c r="A875" s="1" t="s">
        <v>29422</v>
      </c>
      <c r="C875" s="1">
        <v>1</v>
      </c>
      <c r="D875" s="1" t="str">
        <f>"06656-1"</f>
        <v>06656-1</v>
      </c>
      <c r="E875" s="1" t="s">
        <v>2233</v>
      </c>
      <c r="F875" s="1">
        <v>18</v>
      </c>
      <c r="G875" s="1">
        <v>11</v>
      </c>
      <c r="H875" s="1">
        <v>0</v>
      </c>
      <c r="K875" s="1" t="str">
        <f t="shared" si="52"/>
        <v/>
      </c>
      <c r="L875" s="1" t="str">
        <f t="shared" si="53"/>
        <v/>
      </c>
      <c r="M875" s="1" t="str">
        <f t="shared" si="54"/>
        <v/>
      </c>
      <c r="P875" s="1" t="s">
        <v>20</v>
      </c>
      <c r="V875" s="1" t="s">
        <v>29423</v>
      </c>
      <c r="X875" s="1" t="s">
        <v>27842</v>
      </c>
      <c r="AR875" s="1" t="str">
        <f t="shared" si="55"/>
        <v>| [](.md) | [覰](覰.md) |  |  | 「覷」的異體字。 |</v>
      </c>
    </row>
    <row r="876" spans="1:44" hidden="1">
      <c r="A876" s="1" t="s">
        <v>29424</v>
      </c>
      <c r="C876" s="1">
        <v>1</v>
      </c>
      <c r="D876" s="1" t="str">
        <f>"06658-1"</f>
        <v>06658-1</v>
      </c>
      <c r="E876" s="1" t="s">
        <v>563</v>
      </c>
      <c r="F876" s="1">
        <v>13</v>
      </c>
      <c r="G876" s="1">
        <v>10</v>
      </c>
      <c r="H876" s="1">
        <v>0</v>
      </c>
      <c r="K876" s="1" t="str">
        <f t="shared" si="52"/>
        <v/>
      </c>
      <c r="L876" s="1" t="str">
        <f t="shared" si="53"/>
        <v/>
      </c>
      <c r="M876" s="1" t="str">
        <f t="shared" si="54"/>
        <v/>
      </c>
      <c r="P876" s="1" t="s">
        <v>20</v>
      </c>
      <c r="V876" s="1" t="s">
        <v>29425</v>
      </c>
      <c r="X876" s="1" t="s">
        <v>27842</v>
      </c>
      <c r="AR876" s="1" t="str">
        <f t="shared" si="55"/>
        <v>| [](.md) | [𡙇](𡙇.md) |  |  | 「缺」的異體字。 |</v>
      </c>
    </row>
    <row r="877" spans="1:44" hidden="1">
      <c r="A877" s="1" t="s">
        <v>29426</v>
      </c>
      <c r="C877" s="1">
        <v>1</v>
      </c>
      <c r="D877" s="1" t="str">
        <f>"06663-1"</f>
        <v>06663-1</v>
      </c>
      <c r="E877" s="1" t="s">
        <v>2954</v>
      </c>
      <c r="F877" s="1">
        <v>7</v>
      </c>
      <c r="G877" s="1">
        <v>5</v>
      </c>
      <c r="H877" s="1">
        <v>0</v>
      </c>
      <c r="K877" s="1" t="str">
        <f t="shared" si="52"/>
        <v/>
      </c>
      <c r="L877" s="1" t="str">
        <f t="shared" si="53"/>
        <v/>
      </c>
      <c r="M877" s="1" t="str">
        <f t="shared" si="54"/>
        <v/>
      </c>
      <c r="P877" s="1" t="s">
        <v>20</v>
      </c>
      <c r="V877" s="1" t="s">
        <v>29427</v>
      </c>
      <c r="X877" s="1" t="s">
        <v>27842</v>
      </c>
      <c r="AR877" s="1" t="str">
        <f t="shared" si="55"/>
        <v>| [](.md) | [却](却.md) |  |  | 「卻」的異體字。 |</v>
      </c>
    </row>
    <row r="878" spans="1:44" hidden="1">
      <c r="A878" s="1" t="s">
        <v>29428</v>
      </c>
      <c r="C878" s="1">
        <v>1</v>
      </c>
      <c r="D878" s="1" t="str">
        <f>"06663-2"</f>
        <v>06663-2</v>
      </c>
      <c r="E878" s="1" t="s">
        <v>2954</v>
      </c>
      <c r="F878" s="1">
        <v>8</v>
      </c>
      <c r="G878" s="1">
        <v>6</v>
      </c>
      <c r="H878" s="1">
        <v>0</v>
      </c>
      <c r="K878" s="1" t="str">
        <f t="shared" si="52"/>
        <v/>
      </c>
      <c r="L878" s="1" t="str">
        <f t="shared" si="53"/>
        <v/>
      </c>
      <c r="M878" s="1" t="str">
        <f t="shared" si="54"/>
        <v/>
      </c>
      <c r="P878" s="1" t="s">
        <v>20</v>
      </c>
      <c r="V878" s="1" t="s">
        <v>29427</v>
      </c>
      <c r="X878" s="1" t="s">
        <v>27842</v>
      </c>
      <c r="AR878" s="1" t="str">
        <f t="shared" si="55"/>
        <v>| [](.md) | [㕁](㕁.md) |  |  | 「卻」的異體字。 |</v>
      </c>
    </row>
    <row r="879" spans="1:44" hidden="1">
      <c r="A879" s="1" t="s">
        <v>29429</v>
      </c>
      <c r="C879" s="1">
        <v>1</v>
      </c>
      <c r="D879" s="1" t="str">
        <f>"06674-1"</f>
        <v>06674-1</v>
      </c>
      <c r="E879" s="1" t="s">
        <v>132</v>
      </c>
      <c r="F879" s="1">
        <v>13</v>
      </c>
      <c r="G879" s="1">
        <v>10</v>
      </c>
      <c r="H879" s="1">
        <v>0</v>
      </c>
      <c r="K879" s="1" t="str">
        <f t="shared" si="52"/>
        <v/>
      </c>
      <c r="L879" s="1" t="str">
        <f t="shared" si="53"/>
        <v/>
      </c>
      <c r="M879" s="1" t="str">
        <f t="shared" si="54"/>
        <v/>
      </c>
      <c r="P879" s="1" t="s">
        <v>20</v>
      </c>
      <c r="V879" s="1" t="s">
        <v>29430</v>
      </c>
      <c r="X879" s="1" t="s">
        <v>27842</v>
      </c>
      <c r="AR879" s="1" t="str">
        <f t="shared" si="55"/>
        <v>| [](.md) | [塙](塙.md) |  |  | 「確」的異體字。 |</v>
      </c>
    </row>
    <row r="880" spans="1:44" hidden="1">
      <c r="A880" s="1" t="s">
        <v>29431</v>
      </c>
      <c r="C880" s="1">
        <v>1</v>
      </c>
      <c r="D880" s="1" t="str">
        <f>"06682-1"</f>
        <v>06682-1</v>
      </c>
      <c r="E880" s="1" t="s">
        <v>114</v>
      </c>
      <c r="F880" s="1">
        <v>6</v>
      </c>
      <c r="G880" s="1">
        <v>4</v>
      </c>
      <c r="H880" s="1">
        <v>0</v>
      </c>
      <c r="K880" s="1" t="str">
        <f t="shared" si="52"/>
        <v/>
      </c>
      <c r="L880" s="1" t="str">
        <f t="shared" si="53"/>
        <v/>
      </c>
      <c r="M880" s="1" t="str">
        <f t="shared" si="54"/>
        <v/>
      </c>
      <c r="P880" s="1" t="s">
        <v>20</v>
      </c>
      <c r="V880" s="1" t="s">
        <v>29432</v>
      </c>
      <c r="X880" s="1" t="s">
        <v>27842</v>
      </c>
      <c r="AR880" s="1" t="str">
        <f t="shared" si="55"/>
        <v>| [](.md) | [󰖢](󰖢.md) |  |  | 「全」的異體字。 |</v>
      </c>
    </row>
    <row r="881" spans="1:44" hidden="1">
      <c r="A881" s="1" t="s">
        <v>29433</v>
      </c>
      <c r="C881" s="1">
        <v>1</v>
      </c>
      <c r="D881" s="1" t="str">
        <f>"06701-1"</f>
        <v>06701-1</v>
      </c>
      <c r="E881" s="1" t="s">
        <v>139</v>
      </c>
      <c r="F881" s="1">
        <v>6</v>
      </c>
      <c r="G881" s="1">
        <v>2</v>
      </c>
      <c r="H881" s="1">
        <v>0</v>
      </c>
      <c r="K881" s="1" t="str">
        <f t="shared" si="52"/>
        <v/>
      </c>
      <c r="L881" s="1" t="str">
        <f t="shared" si="53"/>
        <v/>
      </c>
      <c r="M881" s="1" t="str">
        <f t="shared" si="54"/>
        <v/>
      </c>
      <c r="P881" s="1" t="s">
        <v>20</v>
      </c>
      <c r="V881" s="1" t="s">
        <v>29434</v>
      </c>
      <c r="X881" s="1" t="s">
        <v>27842</v>
      </c>
      <c r="AR881" s="1" t="str">
        <f t="shared" si="55"/>
        <v>| [](.md) | [权](权.md) |  |  | 「權」的異體字。 |</v>
      </c>
    </row>
    <row r="882" spans="1:44" hidden="1">
      <c r="A882" s="1" t="s">
        <v>29435</v>
      </c>
      <c r="C882" s="1">
        <v>1</v>
      </c>
      <c r="D882" s="1" t="str">
        <f>"06707-1"</f>
        <v>06707-1</v>
      </c>
      <c r="E882" s="1" t="s">
        <v>245</v>
      </c>
      <c r="F882" s="1">
        <v>8</v>
      </c>
      <c r="G882" s="1">
        <v>6</v>
      </c>
      <c r="H882" s="1">
        <v>0</v>
      </c>
      <c r="K882" s="1" t="str">
        <f t="shared" si="52"/>
        <v/>
      </c>
      <c r="L882" s="1" t="str">
        <f t="shared" si="53"/>
        <v/>
      </c>
      <c r="M882" s="1" t="str">
        <f t="shared" si="54"/>
        <v/>
      </c>
      <c r="P882" s="1" t="s">
        <v>20</v>
      </c>
      <c r="V882" s="1" t="s">
        <v>29436</v>
      </c>
      <c r="X882" s="1" t="s">
        <v>27842</v>
      </c>
      <c r="AR882" s="1" t="str">
        <f t="shared" si="55"/>
        <v>| [](.md) | [劵](劵.md) |  |  | 「券」的異體字。 |</v>
      </c>
    </row>
    <row r="883" spans="1:44" hidden="1">
      <c r="A883" s="1" t="s">
        <v>29437</v>
      </c>
      <c r="C883" s="1">
        <v>1</v>
      </c>
      <c r="D883" s="1" t="str">
        <f>"06709-1"</f>
        <v>06709-1</v>
      </c>
      <c r="E883" s="1" t="s">
        <v>245</v>
      </c>
      <c r="F883" s="1">
        <v>4</v>
      </c>
      <c r="G883" s="1">
        <v>2</v>
      </c>
      <c r="H883" s="1">
        <v>0</v>
      </c>
      <c r="K883" s="1" t="str">
        <f t="shared" si="52"/>
        <v/>
      </c>
      <c r="L883" s="1" t="str">
        <f t="shared" si="53"/>
        <v/>
      </c>
      <c r="M883" s="1" t="str">
        <f t="shared" si="54"/>
        <v/>
      </c>
      <c r="P883" s="1" t="s">
        <v>20</v>
      </c>
      <c r="V883" s="1" t="s">
        <v>29438</v>
      </c>
      <c r="X883" s="1" t="s">
        <v>27842</v>
      </c>
      <c r="AR883" s="1" t="str">
        <f t="shared" si="55"/>
        <v>| [](.md) | [劝](劝.md) |  |  | 「勸」的異體字。 |</v>
      </c>
    </row>
    <row r="884" spans="1:44" hidden="1">
      <c r="A884" s="1" t="s">
        <v>29439</v>
      </c>
      <c r="C884" s="1">
        <v>1</v>
      </c>
      <c r="D884" s="1" t="str">
        <f>"06712-1"</f>
        <v>06712-1</v>
      </c>
      <c r="E884" s="1" t="s">
        <v>222</v>
      </c>
      <c r="F884" s="1">
        <v>10</v>
      </c>
      <c r="G884" s="1">
        <v>7</v>
      </c>
      <c r="H884" s="1">
        <v>0</v>
      </c>
      <c r="K884" s="1" t="str">
        <f t="shared" si="52"/>
        <v/>
      </c>
      <c r="L884" s="1" t="str">
        <f t="shared" si="53"/>
        <v/>
      </c>
      <c r="M884" s="1" t="str">
        <f t="shared" si="54"/>
        <v/>
      </c>
      <c r="P884" s="1" t="s">
        <v>20</v>
      </c>
      <c r="V884" s="1" t="s">
        <v>29440</v>
      </c>
      <c r="X884" s="1" t="s">
        <v>27842</v>
      </c>
      <c r="AR884" s="1" t="str">
        <f t="shared" si="55"/>
        <v>| [](.md) | [帬](帬.md) |  |  | 「裙」的異體字。 |</v>
      </c>
    </row>
    <row r="885" spans="1:44" hidden="1">
      <c r="A885" s="1" t="s">
        <v>29441</v>
      </c>
      <c r="C885" s="1">
        <v>1</v>
      </c>
      <c r="D885" s="1" t="str">
        <f>"06712-2"</f>
        <v>06712-2</v>
      </c>
      <c r="E885" s="1" t="s">
        <v>340</v>
      </c>
      <c r="F885" s="1">
        <v>13</v>
      </c>
      <c r="G885" s="1">
        <v>7</v>
      </c>
      <c r="H885" s="1">
        <v>0</v>
      </c>
      <c r="K885" s="1" t="str">
        <f t="shared" si="52"/>
        <v/>
      </c>
      <c r="L885" s="1" t="str">
        <f t="shared" si="53"/>
        <v/>
      </c>
      <c r="M885" s="1" t="str">
        <f t="shared" si="54"/>
        <v/>
      </c>
      <c r="P885" s="1" t="s">
        <v>20</v>
      </c>
      <c r="V885" s="1" t="s">
        <v>29440</v>
      </c>
      <c r="X885" s="1" t="s">
        <v>27842</v>
      </c>
      <c r="AR885" s="1" t="str">
        <f t="shared" si="55"/>
        <v>| [](.md) | [裠](裠.md) |  |  | 「裙」的異體字。 |</v>
      </c>
    </row>
    <row r="886" spans="1:44" hidden="1">
      <c r="A886" s="1" t="s">
        <v>29442</v>
      </c>
      <c r="C886" s="1">
        <v>1</v>
      </c>
      <c r="D886" s="1" t="str">
        <f>"06713-1"</f>
        <v>06713-1</v>
      </c>
      <c r="E886" s="1" t="s">
        <v>43</v>
      </c>
      <c r="F886" s="1">
        <v>13</v>
      </c>
      <c r="G886" s="1">
        <v>7</v>
      </c>
      <c r="H886" s="1">
        <v>0</v>
      </c>
      <c r="K886" s="1" t="str">
        <f t="shared" si="52"/>
        <v/>
      </c>
      <c r="L886" s="1" t="str">
        <f t="shared" si="53"/>
        <v/>
      </c>
      <c r="M886" s="1" t="str">
        <f t="shared" si="54"/>
        <v/>
      </c>
      <c r="P886" s="1" t="s">
        <v>20</v>
      </c>
      <c r="V886" s="1" t="s">
        <v>29443</v>
      </c>
      <c r="X886" s="1" t="s">
        <v>27842</v>
      </c>
      <c r="AR886" s="1" t="str">
        <f t="shared" si="55"/>
        <v>| [](.md) | [羣](羣.md) |  |  | 「群」的異體字。 |</v>
      </c>
    </row>
    <row r="887" spans="1:44" hidden="1">
      <c r="A887" s="1" t="s">
        <v>29444</v>
      </c>
      <c r="C887" s="1">
        <v>1</v>
      </c>
      <c r="D887" s="1" t="str">
        <f>"06726-1"</f>
        <v>06726-1</v>
      </c>
      <c r="E887" s="1" t="s">
        <v>1274</v>
      </c>
      <c r="F887" s="1">
        <v>7</v>
      </c>
      <c r="G887" s="1">
        <v>2</v>
      </c>
      <c r="H887" s="1">
        <v>0</v>
      </c>
      <c r="K887" s="1" t="str">
        <f t="shared" si="52"/>
        <v/>
      </c>
      <c r="L887" s="1" t="str">
        <f t="shared" si="53"/>
        <v/>
      </c>
      <c r="M887" s="1" t="str">
        <f t="shared" si="54"/>
        <v/>
      </c>
      <c r="P887" s="1" t="s">
        <v>20</v>
      </c>
      <c r="V887" s="1" t="s">
        <v>29445</v>
      </c>
      <c r="X887" s="1" t="s">
        <v>27842</v>
      </c>
      <c r="AR887" s="1" t="str">
        <f t="shared" si="55"/>
        <v>| [](.md) | [穷](穷.md) |  |  | 「窮」的異體字。 |</v>
      </c>
    </row>
    <row r="888" spans="1:44" hidden="1">
      <c r="A888" s="1" t="s">
        <v>29446</v>
      </c>
      <c r="C888" s="1">
        <v>1</v>
      </c>
      <c r="D888" s="1" t="str">
        <f>"06728-1"</f>
        <v>06728-1</v>
      </c>
      <c r="E888" s="1" t="s">
        <v>1015</v>
      </c>
      <c r="F888" s="1">
        <v>13</v>
      </c>
      <c r="G888" s="1">
        <v>8</v>
      </c>
      <c r="H888" s="1">
        <v>0</v>
      </c>
      <c r="K888" s="1" t="str">
        <f t="shared" si="52"/>
        <v/>
      </c>
      <c r="L888" s="1" t="str">
        <f t="shared" si="53"/>
        <v/>
      </c>
      <c r="M888" s="1" t="str">
        <f t="shared" si="54"/>
        <v/>
      </c>
      <c r="P888" s="1" t="s">
        <v>20</v>
      </c>
      <c r="V888" s="1" t="s">
        <v>29447</v>
      </c>
      <c r="X888" s="1" t="s">
        <v>27842</v>
      </c>
      <c r="AR888" s="1" t="str">
        <f t="shared" si="55"/>
        <v>| [](.md) | [睘](睘.md) |  |  | 「瞏」的異體字。 |</v>
      </c>
    </row>
    <row r="889" spans="1:44" hidden="1">
      <c r="A889" s="1" t="s">
        <v>29448</v>
      </c>
      <c r="C889" s="1">
        <v>1</v>
      </c>
      <c r="D889" s="1" t="str">
        <f>"06731-1"</f>
        <v>06731-1</v>
      </c>
      <c r="E889" s="1" t="s">
        <v>142</v>
      </c>
      <c r="F889" s="1">
        <v>12</v>
      </c>
      <c r="G889" s="1">
        <v>8</v>
      </c>
      <c r="H889" s="1">
        <v>0</v>
      </c>
      <c r="K889" s="1" t="str">
        <f t="shared" si="52"/>
        <v/>
      </c>
      <c r="L889" s="1" t="str">
        <f t="shared" si="53"/>
        <v/>
      </c>
      <c r="M889" s="1" t="str">
        <f t="shared" si="54"/>
        <v/>
      </c>
      <c r="P889" s="1" t="s">
        <v>20</v>
      </c>
      <c r="V889" s="1" t="s">
        <v>29449</v>
      </c>
      <c r="X889" s="1" t="s">
        <v>27842</v>
      </c>
      <c r="AR889" s="1" t="str">
        <f t="shared" si="55"/>
        <v>| [](.md) | [琼](琼.md) |  |  | 「瓊」的異體字。 |</v>
      </c>
    </row>
    <row r="890" spans="1:44" hidden="1">
      <c r="A890" s="1" t="s">
        <v>29450</v>
      </c>
      <c r="C890" s="1">
        <v>1</v>
      </c>
      <c r="D890" s="1" t="str">
        <f>"06757-1"</f>
        <v>06757-1</v>
      </c>
      <c r="E890" s="1" t="s">
        <v>646</v>
      </c>
      <c r="F890" s="1">
        <v>12</v>
      </c>
      <c r="G890" s="1">
        <v>8</v>
      </c>
      <c r="H890" s="1">
        <v>0</v>
      </c>
      <c r="K890" s="1" t="str">
        <f t="shared" si="52"/>
        <v/>
      </c>
      <c r="L890" s="1" t="str">
        <f t="shared" si="53"/>
        <v/>
      </c>
      <c r="M890" s="1" t="str">
        <f t="shared" si="54"/>
        <v/>
      </c>
      <c r="P890" s="1" t="s">
        <v>20</v>
      </c>
      <c r="V890" s="1" t="s">
        <v>29451</v>
      </c>
      <c r="X890" s="1" t="s">
        <v>27842</v>
      </c>
      <c r="AR890" s="1" t="str">
        <f t="shared" si="55"/>
        <v>| [](.md) | [晳](晳.md) |  |  | 「皙」的異體字。 |</v>
      </c>
    </row>
    <row r="891" spans="1:44" hidden="1">
      <c r="A891" s="1" t="s">
        <v>29452</v>
      </c>
      <c r="C891" s="1">
        <v>1</v>
      </c>
      <c r="D891" s="1" t="str">
        <f>"06774-1"</f>
        <v>06774-1</v>
      </c>
      <c r="E891" s="1" t="s">
        <v>250</v>
      </c>
      <c r="F891" s="1">
        <v>10</v>
      </c>
      <c r="G891" s="1">
        <v>6</v>
      </c>
      <c r="H891" s="1">
        <v>0</v>
      </c>
      <c r="K891" s="1" t="str">
        <f t="shared" si="52"/>
        <v/>
      </c>
      <c r="L891" s="1" t="str">
        <f t="shared" si="53"/>
        <v/>
      </c>
      <c r="M891" s="1" t="str">
        <f t="shared" si="54"/>
        <v/>
      </c>
      <c r="P891" s="1" t="s">
        <v>20</v>
      </c>
      <c r="V891" s="1" t="s">
        <v>29453</v>
      </c>
      <c r="X891" s="1" t="s">
        <v>27842</v>
      </c>
      <c r="AR891" s="1" t="str">
        <f t="shared" si="55"/>
        <v>| [](.md) | [𢘻](𢘻.md) |  |  | 「悉」的異體字。 |</v>
      </c>
    </row>
    <row r="892" spans="1:44" hidden="1">
      <c r="A892" s="1" t="s">
        <v>29454</v>
      </c>
      <c r="C892" s="1">
        <v>1</v>
      </c>
      <c r="D892" s="1" t="str">
        <f>"06785-1"</f>
        <v>06785-1</v>
      </c>
      <c r="E892" s="1" t="s">
        <v>336</v>
      </c>
      <c r="F892" s="1">
        <v>16</v>
      </c>
      <c r="G892" s="1">
        <v>12</v>
      </c>
      <c r="H892" s="1">
        <v>0</v>
      </c>
      <c r="K892" s="1" t="str">
        <f t="shared" si="52"/>
        <v/>
      </c>
      <c r="L892" s="1" t="str">
        <f t="shared" si="53"/>
        <v/>
      </c>
      <c r="M892" s="1" t="str">
        <f t="shared" si="54"/>
        <v/>
      </c>
      <c r="P892" s="1" t="s">
        <v>20</v>
      </c>
      <c r="V892" s="1" t="s">
        <v>29455</v>
      </c>
      <c r="X892" s="1" t="s">
        <v>27842</v>
      </c>
      <c r="AR892" s="1" t="str">
        <f t="shared" si="55"/>
        <v>| [](.md) | [熺](熺.md) |  |  | 「熹」的異體字。 |</v>
      </c>
    </row>
    <row r="893" spans="1:44" hidden="1">
      <c r="A893" s="1" t="s">
        <v>29456</v>
      </c>
      <c r="C893" s="1">
        <v>1</v>
      </c>
      <c r="D893" s="1" t="str">
        <f>"06791-1"</f>
        <v>06791-1</v>
      </c>
      <c r="E893" s="1" t="s">
        <v>2954</v>
      </c>
      <c r="F893" s="1">
        <v>13</v>
      </c>
      <c r="G893" s="1">
        <v>11</v>
      </c>
      <c r="H893" s="1">
        <v>0</v>
      </c>
      <c r="K893" s="1" t="str">
        <f t="shared" si="52"/>
        <v/>
      </c>
      <c r="L893" s="1" t="str">
        <f t="shared" si="53"/>
        <v/>
      </c>
      <c r="M893" s="1" t="str">
        <f t="shared" si="54"/>
        <v/>
      </c>
      <c r="P893" s="1" t="s">
        <v>20</v>
      </c>
      <c r="V893" s="1" t="s">
        <v>29457</v>
      </c>
      <c r="X893" s="1" t="s">
        <v>27842</v>
      </c>
      <c r="AR893" s="1" t="str">
        <f t="shared" si="55"/>
        <v>| [](.md) | [厀](厀.md) |  |  | 「膝」的異體字。 |</v>
      </c>
    </row>
    <row r="894" spans="1:44" hidden="1">
      <c r="A894" s="1" t="s">
        <v>29458</v>
      </c>
      <c r="C894" s="1">
        <v>1</v>
      </c>
      <c r="D894" s="1" t="str">
        <f>"06797-1"</f>
        <v>06797-1</v>
      </c>
      <c r="E894" s="1" t="s">
        <v>1462</v>
      </c>
      <c r="F894" s="1">
        <v>16</v>
      </c>
      <c r="G894" s="1">
        <v>9</v>
      </c>
      <c r="H894" s="1">
        <v>0</v>
      </c>
      <c r="K894" s="1" t="str">
        <f t="shared" si="52"/>
        <v/>
      </c>
      <c r="L894" s="1" t="str">
        <f t="shared" si="53"/>
        <v/>
      </c>
      <c r="M894" s="1" t="str">
        <f t="shared" si="54"/>
        <v/>
      </c>
      <c r="P894" s="1" t="s">
        <v>20</v>
      </c>
      <c r="V894" s="1" t="s">
        <v>29459</v>
      </c>
      <c r="X894" s="1" t="s">
        <v>27842</v>
      </c>
      <c r="AR894" s="1" t="str">
        <f t="shared" si="55"/>
        <v>| [](.md) | [䤈](䤈.md) |  |  | 「醯」的異體字。 |</v>
      </c>
    </row>
    <row r="895" spans="1:44" hidden="1">
      <c r="A895" s="1" t="s">
        <v>29460</v>
      </c>
      <c r="C895" s="1">
        <v>1</v>
      </c>
      <c r="D895" s="1" t="str">
        <f>"06800-1"</f>
        <v>06800-1</v>
      </c>
      <c r="E895" s="1" t="s">
        <v>24</v>
      </c>
      <c r="F895" s="1">
        <v>13</v>
      </c>
      <c r="G895" s="1">
        <v>10</v>
      </c>
      <c r="H895" s="1">
        <v>0</v>
      </c>
      <c r="K895" s="1" t="str">
        <f t="shared" si="52"/>
        <v/>
      </c>
      <c r="L895" s="1" t="str">
        <f t="shared" si="53"/>
        <v/>
      </c>
      <c r="M895" s="1" t="str">
        <f t="shared" si="54"/>
        <v/>
      </c>
      <c r="P895" s="1" t="s">
        <v>20</v>
      </c>
      <c r="V895" s="1" t="s">
        <v>29461</v>
      </c>
      <c r="X895" s="1" t="s">
        <v>27842</v>
      </c>
      <c r="AR895" s="1" t="str">
        <f t="shared" si="55"/>
        <v>| [](.md) | [携](携.md) |  |  | 「攜」的異體字。 |</v>
      </c>
    </row>
    <row r="896" spans="1:44" hidden="1">
      <c r="A896" s="1" t="s">
        <v>29462</v>
      </c>
      <c r="C896" s="1">
        <v>1</v>
      </c>
      <c r="D896" s="1" t="str">
        <f>"06800-2"</f>
        <v>06800-2</v>
      </c>
      <c r="E896" s="1" t="s">
        <v>24</v>
      </c>
      <c r="F896" s="1">
        <v>15</v>
      </c>
      <c r="G896" s="1">
        <v>12</v>
      </c>
      <c r="H896" s="1">
        <v>0</v>
      </c>
      <c r="K896" s="1" t="str">
        <f t="shared" si="52"/>
        <v/>
      </c>
      <c r="L896" s="1" t="str">
        <f t="shared" si="53"/>
        <v/>
      </c>
      <c r="M896" s="1" t="str">
        <f t="shared" si="54"/>
        <v/>
      </c>
      <c r="P896" s="1" t="s">
        <v>20</v>
      </c>
      <c r="V896" s="1" t="s">
        <v>29461</v>
      </c>
      <c r="X896" s="1" t="s">
        <v>27842</v>
      </c>
      <c r="AR896" s="1" t="str">
        <f t="shared" si="55"/>
        <v>| [](.md) | [擕](擕.md) |  |  | 「攜」的異體字。 |</v>
      </c>
    </row>
    <row r="897" spans="1:44" hidden="1">
      <c r="A897" s="1" t="s">
        <v>29463</v>
      </c>
      <c r="C897" s="1">
        <v>1</v>
      </c>
      <c r="D897" s="1" t="str">
        <f>"06800-3"</f>
        <v>06800-3</v>
      </c>
      <c r="E897" s="1" t="s">
        <v>24</v>
      </c>
      <c r="F897" s="1">
        <v>16</v>
      </c>
      <c r="G897" s="1">
        <v>13</v>
      </c>
      <c r="H897" s="1">
        <v>0</v>
      </c>
      <c r="K897" s="1" t="str">
        <f t="shared" si="52"/>
        <v/>
      </c>
      <c r="L897" s="1" t="str">
        <f t="shared" si="53"/>
        <v/>
      </c>
      <c r="M897" s="1" t="str">
        <f t="shared" si="54"/>
        <v/>
      </c>
      <c r="P897" s="1" t="s">
        <v>20</v>
      </c>
      <c r="V897" s="1" t="s">
        <v>29461</v>
      </c>
      <c r="X897" s="1" t="s">
        <v>27842</v>
      </c>
      <c r="AR897" s="1" t="str">
        <f t="shared" si="55"/>
        <v>| [](.md) | [㩗](㩗.md) |  |  | 「攜」的異體字。 |</v>
      </c>
    </row>
    <row r="898" spans="1:44" hidden="1">
      <c r="A898" s="1" t="s">
        <v>29464</v>
      </c>
      <c r="C898" s="1">
        <v>1</v>
      </c>
      <c r="D898" s="1" t="str">
        <f>"06833-1"</f>
        <v>06833-1</v>
      </c>
      <c r="E898" s="1" t="s">
        <v>28</v>
      </c>
      <c r="F898" s="1">
        <v>12</v>
      </c>
      <c r="G898" s="1">
        <v>9</v>
      </c>
      <c r="H898" s="1">
        <v>0</v>
      </c>
      <c r="K898" s="1" t="str">
        <f t="shared" ref="K898:K961" si="56">LEFT(I898, 1)</f>
        <v/>
      </c>
      <c r="L898" s="1" t="str">
        <f t="shared" ref="L898:L961" si="57">MID(I898, 2, 1)</f>
        <v/>
      </c>
      <c r="M898" s="1" t="str">
        <f t="shared" ref="M898:M961" si="58">MID(I898, 3, 1)</f>
        <v/>
      </c>
      <c r="P898" s="1" t="s">
        <v>20</v>
      </c>
      <c r="V898" s="1" t="s">
        <v>29465</v>
      </c>
      <c r="X898" s="1" t="s">
        <v>27842</v>
      </c>
      <c r="AR898" s="1" t="str">
        <f t="shared" si="55"/>
        <v>| [](.md) | [󰲢](󰲢.md) |  |  | 「喜」的異體字。 |</v>
      </c>
    </row>
    <row r="899" spans="1:44" hidden="1">
      <c r="A899" s="1" t="s">
        <v>29466</v>
      </c>
      <c r="C899" s="1">
        <v>1</v>
      </c>
      <c r="D899" s="1" t="str">
        <f>"06854-1"</f>
        <v>06854-1</v>
      </c>
      <c r="E899" s="1" t="s">
        <v>68</v>
      </c>
      <c r="F899" s="1">
        <v>8</v>
      </c>
      <c r="G899" s="1">
        <v>4</v>
      </c>
      <c r="H899" s="1">
        <v>0</v>
      </c>
      <c r="K899" s="1" t="str">
        <f t="shared" si="56"/>
        <v/>
      </c>
      <c r="L899" s="1" t="str">
        <f t="shared" si="57"/>
        <v/>
      </c>
      <c r="M899" s="1" t="str">
        <f t="shared" si="58"/>
        <v/>
      </c>
      <c r="P899" s="1" t="s">
        <v>20</v>
      </c>
      <c r="V899" s="1" t="s">
        <v>29467</v>
      </c>
      <c r="X899" s="1" t="s">
        <v>27842</v>
      </c>
      <c r="AR899" s="1" t="str">
        <f t="shared" ref="AR899:AR962" si="59">"| ["&amp;I899&amp;"]("&amp;I899&amp;".md) | ["&amp;A899&amp;"]("&amp;A899&amp;".md) | "&amp;" | "&amp;R899&amp;" | "&amp;V899&amp;" |"</f>
        <v>| [](.md) | [肹](肹.md) |  |  | 「肸」的異體字。 |</v>
      </c>
    </row>
    <row r="900" spans="1:44" hidden="1">
      <c r="A900" s="1" t="s">
        <v>29468</v>
      </c>
      <c r="C900" s="1">
        <v>1</v>
      </c>
      <c r="D900" s="1" t="str">
        <f>"06857-1"</f>
        <v>06857-1</v>
      </c>
      <c r="E900" s="1" t="s">
        <v>256</v>
      </c>
      <c r="F900" s="1">
        <v>9</v>
      </c>
      <c r="G900" s="1">
        <v>6</v>
      </c>
      <c r="H900" s="1">
        <v>0</v>
      </c>
      <c r="K900" s="1" t="str">
        <f t="shared" si="56"/>
        <v/>
      </c>
      <c r="L900" s="1" t="str">
        <f t="shared" si="57"/>
        <v/>
      </c>
      <c r="M900" s="1" t="str">
        <f t="shared" si="58"/>
        <v/>
      </c>
      <c r="P900" s="1" t="s">
        <v>20</v>
      </c>
      <c r="V900" s="1" t="s">
        <v>29469</v>
      </c>
      <c r="X900" s="1" t="s">
        <v>27842</v>
      </c>
      <c r="AR900" s="1" t="str">
        <f t="shared" si="59"/>
        <v>| [](.md) | [郄](郄.md) |  |  | 「郤」的異體字。 |</v>
      </c>
    </row>
    <row r="901" spans="1:44" hidden="1">
      <c r="A901" s="1" t="s">
        <v>29470</v>
      </c>
      <c r="C901" s="1">
        <v>1</v>
      </c>
      <c r="D901" s="1" t="str">
        <f>"06859-1"</f>
        <v>06859-1</v>
      </c>
      <c r="E901" s="1" t="s">
        <v>13771</v>
      </c>
      <c r="F901" s="1">
        <v>12</v>
      </c>
      <c r="G901" s="1">
        <v>6</v>
      </c>
      <c r="H901" s="1">
        <v>0</v>
      </c>
      <c r="K901" s="1" t="str">
        <f t="shared" si="56"/>
        <v/>
      </c>
      <c r="L901" s="1" t="str">
        <f t="shared" si="57"/>
        <v/>
      </c>
      <c r="M901" s="1" t="str">
        <f t="shared" si="58"/>
        <v/>
      </c>
      <c r="P901" s="1" t="s">
        <v>20</v>
      </c>
      <c r="V901" s="1" t="s">
        <v>29471</v>
      </c>
      <c r="X901" s="1" t="s">
        <v>27842</v>
      </c>
      <c r="AR901" s="1" t="str">
        <f t="shared" si="59"/>
        <v>| [](.md) | [舃](舃.md) |  |  | 「舄」的異體字。 |</v>
      </c>
    </row>
    <row r="902" spans="1:44" hidden="1">
      <c r="A902" s="1" t="s">
        <v>29472</v>
      </c>
      <c r="C902" s="1">
        <v>1</v>
      </c>
      <c r="D902" s="1" t="str">
        <f>"06876-1"</f>
        <v>06876-1</v>
      </c>
      <c r="E902" s="1" t="s">
        <v>691</v>
      </c>
      <c r="F902" s="1">
        <v>13</v>
      </c>
      <c r="G902" s="1">
        <v>10</v>
      </c>
      <c r="H902" s="1">
        <v>0</v>
      </c>
      <c r="K902" s="1" t="str">
        <f t="shared" si="56"/>
        <v/>
      </c>
      <c r="L902" s="1" t="str">
        <f t="shared" si="57"/>
        <v/>
      </c>
      <c r="M902" s="1" t="str">
        <f t="shared" si="58"/>
        <v/>
      </c>
      <c r="P902" s="1" t="s">
        <v>20</v>
      </c>
      <c r="V902" s="1" t="s">
        <v>29473</v>
      </c>
      <c r="X902" s="1" t="s">
        <v>27842</v>
      </c>
      <c r="AR902" s="1" t="str">
        <f t="shared" si="59"/>
        <v>| [](.md) | [󶛊](󶛊.md) |  |  | 「隙」的異體字。 |</v>
      </c>
    </row>
    <row r="903" spans="1:44" hidden="1">
      <c r="A903" s="1" t="s">
        <v>29474</v>
      </c>
      <c r="C903" s="1">
        <v>1</v>
      </c>
      <c r="D903" s="1" t="str">
        <f>"06876-2"</f>
        <v>06876-2</v>
      </c>
      <c r="E903" s="1" t="s">
        <v>691</v>
      </c>
      <c r="F903" s="1">
        <v>14</v>
      </c>
      <c r="G903" s="1">
        <v>11</v>
      </c>
      <c r="H903" s="1">
        <v>0</v>
      </c>
      <c r="K903" s="1" t="str">
        <f t="shared" si="56"/>
        <v/>
      </c>
      <c r="L903" s="1" t="str">
        <f t="shared" si="57"/>
        <v/>
      </c>
      <c r="M903" s="1" t="str">
        <f t="shared" si="58"/>
        <v/>
      </c>
      <c r="P903" s="1" t="s">
        <v>20</v>
      </c>
      <c r="V903" s="1" t="s">
        <v>29473</v>
      </c>
      <c r="X903" s="1" t="s">
        <v>27842</v>
      </c>
      <c r="AR903" s="1" t="str">
        <f t="shared" si="59"/>
        <v>| [](.md) | [隟](隟.md) |  |  | 「隙」的異體字。 |</v>
      </c>
    </row>
    <row r="904" spans="1:44" hidden="1">
      <c r="A904" s="1" t="s">
        <v>29475</v>
      </c>
      <c r="C904" s="1">
        <v>1</v>
      </c>
      <c r="D904" s="1" t="str">
        <f>"06878-1"</f>
        <v>06878-1</v>
      </c>
      <c r="E904" s="1" t="s">
        <v>4785</v>
      </c>
      <c r="F904" s="1">
        <v>6</v>
      </c>
      <c r="G904" s="1">
        <v>2</v>
      </c>
      <c r="H904" s="1">
        <v>0</v>
      </c>
      <c r="K904" s="1" t="str">
        <f t="shared" si="56"/>
        <v/>
      </c>
      <c r="L904" s="1" t="str">
        <f t="shared" si="57"/>
        <v/>
      </c>
      <c r="M904" s="1" t="str">
        <f t="shared" si="58"/>
        <v/>
      </c>
      <c r="P904" s="1" t="s">
        <v>20</v>
      </c>
      <c r="V904" s="1" t="s">
        <v>29476</v>
      </c>
      <c r="X904" s="1" t="s">
        <v>27842</v>
      </c>
      <c r="AR904" s="1" t="str">
        <f t="shared" si="59"/>
        <v>| [](.md) | [戏](戏.md) |  |  | 「戲」的異體字。 |</v>
      </c>
    </row>
    <row r="905" spans="1:44" hidden="1">
      <c r="A905" s="1" t="s">
        <v>29477</v>
      </c>
      <c r="C905" s="1">
        <v>1</v>
      </c>
      <c r="D905" s="1" t="str">
        <f>"06878-2"</f>
        <v>06878-2</v>
      </c>
      <c r="E905" s="1" t="s">
        <v>4785</v>
      </c>
      <c r="F905" s="1">
        <v>16</v>
      </c>
      <c r="G905" s="1">
        <v>12</v>
      </c>
      <c r="H905" s="1">
        <v>0</v>
      </c>
      <c r="K905" s="1" t="str">
        <f t="shared" si="56"/>
        <v/>
      </c>
      <c r="L905" s="1" t="str">
        <f t="shared" si="57"/>
        <v/>
      </c>
      <c r="M905" s="1" t="str">
        <f t="shared" si="58"/>
        <v/>
      </c>
      <c r="P905" s="1" t="s">
        <v>20</v>
      </c>
      <c r="V905" s="1" t="s">
        <v>29476</v>
      </c>
      <c r="X905" s="1" t="s">
        <v>27842</v>
      </c>
      <c r="AR905" s="1" t="str">
        <f t="shared" si="59"/>
        <v>| [](.md) | [戱](戱.md) |  |  | 「戲」的異體字。 |</v>
      </c>
    </row>
    <row r="906" spans="1:44" hidden="1">
      <c r="A906" s="1" t="s">
        <v>29478</v>
      </c>
      <c r="C906" s="1">
        <v>1</v>
      </c>
      <c r="D906" s="1" t="str">
        <f>"06879-1"</f>
        <v>06879-1</v>
      </c>
      <c r="E906" s="1" t="s">
        <v>709</v>
      </c>
      <c r="F906" s="1">
        <v>16</v>
      </c>
      <c r="G906" s="1">
        <v>8</v>
      </c>
      <c r="H906" s="1">
        <v>0</v>
      </c>
      <c r="K906" s="1" t="str">
        <f t="shared" si="56"/>
        <v/>
      </c>
      <c r="L906" s="1" t="str">
        <f t="shared" si="57"/>
        <v/>
      </c>
      <c r="M906" s="1" t="str">
        <f t="shared" si="58"/>
        <v/>
      </c>
      <c r="P906" s="1" t="s">
        <v>20</v>
      </c>
      <c r="V906" s="1" t="s">
        <v>29479</v>
      </c>
      <c r="X906" s="1" t="s">
        <v>27842</v>
      </c>
      <c r="AR906" s="1" t="str">
        <f t="shared" si="59"/>
        <v>| [](.md) | [䦧](䦧.md) |  |  | 「鬩」的異體字。 |</v>
      </c>
    </row>
    <row r="907" spans="1:44" hidden="1">
      <c r="A907" s="1" t="s">
        <v>29480</v>
      </c>
      <c r="C907" s="1">
        <v>1</v>
      </c>
      <c r="D907" s="1" t="str">
        <f>"06884-2"</f>
        <v>06884-2</v>
      </c>
      <c r="E907" s="1" t="s">
        <v>156</v>
      </c>
      <c r="F907" s="1">
        <v>20</v>
      </c>
      <c r="G907" s="1">
        <v>9</v>
      </c>
      <c r="H907" s="1">
        <v>0</v>
      </c>
      <c r="K907" s="1" t="str">
        <f t="shared" si="56"/>
        <v/>
      </c>
      <c r="L907" s="1" t="str">
        <f t="shared" si="57"/>
        <v/>
      </c>
      <c r="M907" s="1" t="str">
        <f t="shared" si="58"/>
        <v/>
      </c>
      <c r="P907" s="1" t="s">
        <v>20</v>
      </c>
      <c r="V907" s="1" t="s">
        <v>28971</v>
      </c>
      <c r="X907" s="1" t="s">
        <v>27842</v>
      </c>
      <c r="AR907" s="1" t="str">
        <f t="shared" si="59"/>
        <v>| [](.md) | [鰕](鰕.md) |  |  | 「蝦」的異體字。 |</v>
      </c>
    </row>
    <row r="908" spans="1:44" hidden="1">
      <c r="A908" s="1" t="s">
        <v>29481</v>
      </c>
      <c r="C908" s="1">
        <v>1</v>
      </c>
      <c r="D908" s="1" t="str">
        <f>"06914-1"</f>
        <v>06914-1</v>
      </c>
      <c r="E908" s="1" t="s">
        <v>1941</v>
      </c>
      <c r="F908" s="1">
        <v>12</v>
      </c>
      <c r="G908" s="1">
        <v>10</v>
      </c>
      <c r="H908" s="1">
        <v>0</v>
      </c>
      <c r="K908" s="1" t="str">
        <f t="shared" si="56"/>
        <v/>
      </c>
      <c r="L908" s="1" t="str">
        <f t="shared" si="57"/>
        <v/>
      </c>
      <c r="M908" s="1" t="str">
        <f t="shared" si="58"/>
        <v/>
      </c>
      <c r="P908" s="1" t="s">
        <v>20</v>
      </c>
      <c r="V908" s="1" t="s">
        <v>29482</v>
      </c>
      <c r="X908" s="1" t="s">
        <v>27842</v>
      </c>
      <c r="AR908" s="1" t="str">
        <f t="shared" si="59"/>
        <v>| [](.md) | [厦](厦.md) |  |  | 「廈」的異體字。 |</v>
      </c>
    </row>
    <row r="909" spans="1:44" hidden="1">
      <c r="A909" s="1" t="s">
        <v>29483</v>
      </c>
      <c r="C909" s="1">
        <v>1</v>
      </c>
      <c r="D909" s="1" t="str">
        <f>"06918-1"</f>
        <v>06918-1</v>
      </c>
      <c r="E909" s="1" t="s">
        <v>28</v>
      </c>
      <c r="F909" s="1">
        <v>6</v>
      </c>
      <c r="G909" s="1">
        <v>3</v>
      </c>
      <c r="H909" s="1">
        <v>0</v>
      </c>
      <c r="K909" s="1" t="str">
        <f t="shared" si="56"/>
        <v/>
      </c>
      <c r="L909" s="1" t="str">
        <f t="shared" si="57"/>
        <v/>
      </c>
      <c r="M909" s="1" t="str">
        <f t="shared" si="58"/>
        <v/>
      </c>
      <c r="P909" s="1" t="s">
        <v>20</v>
      </c>
      <c r="V909" s="1" t="s">
        <v>29484</v>
      </c>
      <c r="X909" s="1" t="s">
        <v>27842</v>
      </c>
      <c r="AR909" s="1" t="str">
        <f t="shared" si="59"/>
        <v>| [](.md) | [吓](吓.md) |  |  | 「嚇」的異體字。 |</v>
      </c>
    </row>
    <row r="910" spans="1:44" hidden="1">
      <c r="A910" s="1" t="s">
        <v>11543</v>
      </c>
      <c r="C910" s="1">
        <v>1</v>
      </c>
      <c r="D910" s="1" t="str">
        <f>"06925-1"</f>
        <v>06925-1</v>
      </c>
      <c r="E910" s="1" t="s">
        <v>679</v>
      </c>
      <c r="F910" s="1">
        <v>15</v>
      </c>
      <c r="G910" s="1">
        <v>9</v>
      </c>
      <c r="H910" s="1">
        <v>0</v>
      </c>
      <c r="K910" s="1" t="str">
        <f t="shared" si="56"/>
        <v/>
      </c>
      <c r="L910" s="1" t="str">
        <f t="shared" si="57"/>
        <v/>
      </c>
      <c r="M910" s="1" t="str">
        <f t="shared" si="58"/>
        <v/>
      </c>
      <c r="P910" s="1" t="s">
        <v>20</v>
      </c>
      <c r="V910" s="1" t="s">
        <v>29485</v>
      </c>
      <c r="X910" s="1" t="s">
        <v>27842</v>
      </c>
      <c r="AR910" s="1" t="str">
        <f t="shared" si="59"/>
        <v>| [](.md) | [蝎](蝎.md) |  |  | 「蠍」的異體字。 |</v>
      </c>
    </row>
    <row r="911" spans="1:44" hidden="1">
      <c r="A911" s="1" t="s">
        <v>29486</v>
      </c>
      <c r="C911" s="1">
        <v>1</v>
      </c>
      <c r="D911" s="1" t="str">
        <f>"06927-1"</f>
        <v>06927-1</v>
      </c>
      <c r="E911" s="1" t="s">
        <v>28</v>
      </c>
      <c r="F911" s="1">
        <v>5</v>
      </c>
      <c r="G911" s="1">
        <v>2</v>
      </c>
      <c r="H911" s="1">
        <v>0</v>
      </c>
      <c r="K911" s="1" t="str">
        <f t="shared" si="56"/>
        <v/>
      </c>
      <c r="L911" s="1" t="str">
        <f t="shared" si="57"/>
        <v/>
      </c>
      <c r="M911" s="1" t="str">
        <f t="shared" si="58"/>
        <v/>
      </c>
      <c r="P911" s="1" t="s">
        <v>20</v>
      </c>
      <c r="V911" s="1" t="s">
        <v>29487</v>
      </c>
      <c r="X911" s="1" t="s">
        <v>27842</v>
      </c>
      <c r="AR911" s="1" t="str">
        <f t="shared" si="59"/>
        <v>| [](.md) | [叶](叶.md) |  |  | 「協」的異體字。 |</v>
      </c>
    </row>
    <row r="912" spans="1:44" hidden="1">
      <c r="A912" s="1" t="s">
        <v>29488</v>
      </c>
      <c r="C912" s="1">
        <v>1</v>
      </c>
      <c r="D912" s="1" t="str">
        <f>"06928-1"</f>
        <v>06928-1</v>
      </c>
      <c r="E912" s="1" t="s">
        <v>68</v>
      </c>
      <c r="F912" s="1">
        <v>10</v>
      </c>
      <c r="G912" s="1">
        <v>6</v>
      </c>
      <c r="H912" s="1">
        <v>0</v>
      </c>
      <c r="K912" s="1" t="str">
        <f t="shared" si="56"/>
        <v/>
      </c>
      <c r="L912" s="1" t="str">
        <f t="shared" si="57"/>
        <v/>
      </c>
      <c r="M912" s="1" t="str">
        <f t="shared" si="58"/>
        <v/>
      </c>
      <c r="P912" s="1" t="s">
        <v>20</v>
      </c>
      <c r="V912" s="1" t="s">
        <v>29489</v>
      </c>
      <c r="X912" s="1" t="s">
        <v>27842</v>
      </c>
      <c r="AR912" s="1" t="str">
        <f t="shared" si="59"/>
        <v>| [](.md) | [脇](脇.md) |  |  | 「脅」的異體字。 |</v>
      </c>
    </row>
    <row r="913" spans="1:44" hidden="1">
      <c r="A913" s="1" t="s">
        <v>29490</v>
      </c>
      <c r="C913" s="1">
        <v>1</v>
      </c>
      <c r="D913" s="1" t="str">
        <f>"06931-1"</f>
        <v>06931-1</v>
      </c>
      <c r="E913" s="1" t="s">
        <v>340</v>
      </c>
      <c r="F913" s="1">
        <v>10</v>
      </c>
      <c r="G913" s="1">
        <v>4</v>
      </c>
      <c r="H913" s="1">
        <v>0</v>
      </c>
      <c r="K913" s="1" t="str">
        <f t="shared" si="56"/>
        <v/>
      </c>
      <c r="L913" s="1" t="str">
        <f t="shared" si="57"/>
        <v/>
      </c>
      <c r="M913" s="1" t="str">
        <f t="shared" si="58"/>
        <v/>
      </c>
      <c r="P913" s="1" t="s">
        <v>20</v>
      </c>
      <c r="V913" s="1" t="s">
        <v>29491</v>
      </c>
      <c r="X913" s="1" t="s">
        <v>27842</v>
      </c>
      <c r="AR913" s="1" t="str">
        <f t="shared" si="59"/>
        <v>| [](.md) | [衺](衺.md) |  |  | 「邪」的異體字。 |</v>
      </c>
    </row>
    <row r="914" spans="1:44" hidden="1">
      <c r="A914" s="1" t="s">
        <v>29492</v>
      </c>
      <c r="C914" s="1">
        <v>1</v>
      </c>
      <c r="D914" s="1" t="str">
        <f>"06937-1"</f>
        <v>06937-1</v>
      </c>
      <c r="E914" s="1" t="s">
        <v>24</v>
      </c>
      <c r="F914" s="1">
        <v>9</v>
      </c>
      <c r="G914" s="1">
        <v>6</v>
      </c>
      <c r="H914" s="1">
        <v>0</v>
      </c>
      <c r="K914" s="1" t="str">
        <f t="shared" si="56"/>
        <v/>
      </c>
      <c r="L914" s="1" t="str">
        <f t="shared" si="57"/>
        <v/>
      </c>
      <c r="M914" s="1" t="str">
        <f t="shared" si="58"/>
        <v/>
      </c>
      <c r="P914" s="1" t="s">
        <v>20</v>
      </c>
      <c r="V914" s="1" t="s">
        <v>29493</v>
      </c>
      <c r="X914" s="1" t="s">
        <v>27842</v>
      </c>
      <c r="AR914" s="1" t="str">
        <f t="shared" si="59"/>
        <v>| [](.md) | [挟](挟.md) |  |  | 「挾」的異體字。 |</v>
      </c>
    </row>
    <row r="915" spans="1:44" hidden="1">
      <c r="A915" s="1" t="s">
        <v>29494</v>
      </c>
      <c r="C915" s="1">
        <v>1</v>
      </c>
      <c r="D915" s="1" t="str">
        <f>"06943-1"</f>
        <v>06943-1</v>
      </c>
      <c r="E915" s="1" t="s">
        <v>96</v>
      </c>
      <c r="F915" s="1">
        <v>19</v>
      </c>
      <c r="G915" s="1">
        <v>10</v>
      </c>
      <c r="H915" s="1">
        <v>0</v>
      </c>
      <c r="K915" s="1" t="str">
        <f t="shared" si="56"/>
        <v/>
      </c>
      <c r="L915" s="1" t="str">
        <f t="shared" si="57"/>
        <v/>
      </c>
      <c r="M915" s="1" t="str">
        <f t="shared" si="58"/>
        <v/>
      </c>
      <c r="P915" s="1" t="s">
        <v>20</v>
      </c>
      <c r="V915" s="1" t="s">
        <v>29495</v>
      </c>
      <c r="X915" s="1" t="s">
        <v>27842</v>
      </c>
      <c r="AR915" s="1" t="str">
        <f t="shared" si="59"/>
        <v>| [](.md) | [鞵](鞵.md) |  |  | 「鞋」的異體字。 |</v>
      </c>
    </row>
    <row r="916" spans="1:44" hidden="1">
      <c r="A916" s="1" t="s">
        <v>29496</v>
      </c>
      <c r="C916" s="1">
        <v>1</v>
      </c>
      <c r="D916" s="1" t="str">
        <f>"06947-1"</f>
        <v>06947-1</v>
      </c>
      <c r="E916" s="1" t="s">
        <v>3359</v>
      </c>
      <c r="F916" s="1">
        <v>11</v>
      </c>
      <c r="G916" s="1">
        <v>9</v>
      </c>
      <c r="H916" s="1">
        <v>0</v>
      </c>
      <c r="K916" s="1" t="str">
        <f t="shared" si="56"/>
        <v/>
      </c>
      <c r="L916" s="1" t="str">
        <f t="shared" si="57"/>
        <v/>
      </c>
      <c r="M916" s="1" t="str">
        <f t="shared" si="58"/>
        <v/>
      </c>
      <c r="P916" s="1" t="s">
        <v>20</v>
      </c>
      <c r="V916" s="1" t="s">
        <v>29497</v>
      </c>
      <c r="X916" s="1" t="s">
        <v>27842</v>
      </c>
      <c r="AR916" s="1" t="str">
        <f t="shared" si="59"/>
        <v>| [](.md) | [󱟂](󱟂.md) |  |  | 「寫」的異體字。 |</v>
      </c>
    </row>
    <row r="917" spans="1:44" hidden="1">
      <c r="A917" s="1" t="s">
        <v>29498</v>
      </c>
      <c r="C917" s="1">
        <v>1</v>
      </c>
      <c r="D917" s="1" t="str">
        <f>"06948-1"</f>
        <v>06948-1</v>
      </c>
      <c r="E917" s="1" t="s">
        <v>679</v>
      </c>
      <c r="F917" s="1">
        <v>19</v>
      </c>
      <c r="G917" s="1">
        <v>13</v>
      </c>
      <c r="H917" s="1">
        <v>0</v>
      </c>
      <c r="K917" s="1" t="str">
        <f t="shared" si="56"/>
        <v/>
      </c>
      <c r="L917" s="1" t="str">
        <f t="shared" si="57"/>
        <v/>
      </c>
      <c r="M917" s="1" t="str">
        <f t="shared" si="58"/>
        <v/>
      </c>
      <c r="P917" s="1" t="s">
        <v>20</v>
      </c>
      <c r="V917" s="1" t="s">
        <v>29499</v>
      </c>
      <c r="X917" s="1" t="s">
        <v>27842</v>
      </c>
      <c r="AR917" s="1" t="str">
        <f t="shared" si="59"/>
        <v>| [](.md) | [蠏](蠏.md) |  |  | 「蟹」的異體字。 |</v>
      </c>
    </row>
    <row r="918" spans="1:44" hidden="1">
      <c r="A918" s="1" t="s">
        <v>29500</v>
      </c>
      <c r="C918" s="1">
        <v>1</v>
      </c>
      <c r="D918" s="1" t="str">
        <f>"06951-1"</f>
        <v>06951-1</v>
      </c>
      <c r="E918" s="1" t="s">
        <v>725</v>
      </c>
      <c r="F918" s="1">
        <v>15</v>
      </c>
      <c r="G918" s="1">
        <v>9</v>
      </c>
      <c r="H918" s="1">
        <v>0</v>
      </c>
      <c r="K918" s="1" t="str">
        <f t="shared" si="56"/>
        <v/>
      </c>
      <c r="L918" s="1" t="str">
        <f t="shared" si="57"/>
        <v/>
      </c>
      <c r="M918" s="1" t="str">
        <f t="shared" si="58"/>
        <v/>
      </c>
      <c r="P918" s="1" t="s">
        <v>20</v>
      </c>
      <c r="V918" s="1" t="s">
        <v>29501</v>
      </c>
      <c r="X918" s="1" t="s">
        <v>27842</v>
      </c>
      <c r="AR918" s="1" t="str">
        <f t="shared" si="59"/>
        <v>| [](.md) | [緤](緤.md) |  |  | 「紲」的異體字。 |</v>
      </c>
    </row>
    <row r="919" spans="1:44" hidden="1">
      <c r="A919" s="1" t="s">
        <v>29502</v>
      </c>
      <c r="C919" s="1">
        <v>1</v>
      </c>
      <c r="D919" s="1" t="str">
        <f>"06952-1"</f>
        <v>06952-1</v>
      </c>
      <c r="E919" s="1" t="s">
        <v>129</v>
      </c>
      <c r="F919" s="1">
        <v>11</v>
      </c>
      <c r="G919" s="1">
        <v>8</v>
      </c>
      <c r="H919" s="1">
        <v>0</v>
      </c>
      <c r="K919" s="1" t="str">
        <f t="shared" si="56"/>
        <v/>
      </c>
      <c r="L919" s="1" t="str">
        <f t="shared" si="57"/>
        <v/>
      </c>
      <c r="M919" s="1" t="str">
        <f t="shared" si="58"/>
        <v/>
      </c>
      <c r="P919" s="1" t="s">
        <v>20</v>
      </c>
      <c r="V919" s="1" t="s">
        <v>29503</v>
      </c>
      <c r="X919" s="1" t="s">
        <v>27842</v>
      </c>
      <c r="AR919" s="1" t="str">
        <f t="shared" si="59"/>
        <v>| [](.md) | [㳿](㳿.md) |  |  | 「渫」的異體字。 |</v>
      </c>
    </row>
    <row r="920" spans="1:44" hidden="1">
      <c r="A920" s="1" t="s">
        <v>29504</v>
      </c>
      <c r="C920" s="1">
        <v>1</v>
      </c>
      <c r="D920" s="1" t="str">
        <f>"07008-1"</f>
        <v>07008-1</v>
      </c>
      <c r="E920" s="1" t="s">
        <v>37</v>
      </c>
      <c r="F920" s="1">
        <v>15</v>
      </c>
      <c r="G920" s="1">
        <v>11</v>
      </c>
      <c r="H920" s="1">
        <v>0</v>
      </c>
      <c r="K920" s="1" t="str">
        <f t="shared" si="56"/>
        <v/>
      </c>
      <c r="L920" s="1" t="str">
        <f t="shared" si="57"/>
        <v/>
      </c>
      <c r="M920" s="1" t="str">
        <f t="shared" si="58"/>
        <v/>
      </c>
      <c r="P920" s="1" t="s">
        <v>20</v>
      </c>
      <c r="V920" s="1" t="s">
        <v>29505</v>
      </c>
      <c r="X920" s="1" t="s">
        <v>27842</v>
      </c>
      <c r="AR920" s="1" t="str">
        <f t="shared" si="59"/>
        <v>| [](.md) | [䔥](䔥.md) |  |  | 「蕭」的異體字。 |</v>
      </c>
    </row>
    <row r="921" spans="1:44" hidden="1">
      <c r="A921" s="1" t="s">
        <v>29506</v>
      </c>
      <c r="C921" s="1">
        <v>1</v>
      </c>
      <c r="D921" s="1" t="str">
        <f>"07009-1"</f>
        <v>07009-1</v>
      </c>
      <c r="E921" s="1" t="s">
        <v>49</v>
      </c>
      <c r="F921" s="1">
        <v>17</v>
      </c>
      <c r="G921" s="1">
        <v>11</v>
      </c>
      <c r="H921" s="1">
        <v>0</v>
      </c>
      <c r="K921" s="1" t="str">
        <f t="shared" si="56"/>
        <v/>
      </c>
      <c r="L921" s="1" t="str">
        <f t="shared" si="57"/>
        <v/>
      </c>
      <c r="M921" s="1" t="str">
        <f t="shared" si="58"/>
        <v/>
      </c>
      <c r="P921" s="1" t="s">
        <v>20</v>
      </c>
      <c r="V921" s="1" t="s">
        <v>29507</v>
      </c>
      <c r="X921" s="1" t="s">
        <v>27842</v>
      </c>
      <c r="AR921" s="1" t="str">
        <f t="shared" si="59"/>
        <v>| [](.md) | [簘](簘.md) |  |  | 「簫」的異體字。 |</v>
      </c>
    </row>
    <row r="922" spans="1:44" hidden="1">
      <c r="A922" s="1" t="s">
        <v>29508</v>
      </c>
      <c r="C922" s="1">
        <v>1</v>
      </c>
      <c r="D922" s="1" t="str">
        <f>"07011-1"</f>
        <v>07011-1</v>
      </c>
      <c r="E922" s="1" t="s">
        <v>679</v>
      </c>
      <c r="F922" s="1">
        <v>18</v>
      </c>
      <c r="G922" s="1">
        <v>12</v>
      </c>
      <c r="H922" s="1">
        <v>0</v>
      </c>
      <c r="K922" s="1" t="str">
        <f t="shared" si="56"/>
        <v/>
      </c>
      <c r="L922" s="1" t="str">
        <f t="shared" si="57"/>
        <v/>
      </c>
      <c r="M922" s="1" t="str">
        <f t="shared" si="58"/>
        <v/>
      </c>
      <c r="P922" s="1" t="s">
        <v>20</v>
      </c>
      <c r="V922" s="1" t="s">
        <v>29509</v>
      </c>
      <c r="X922" s="1" t="s">
        <v>27842</v>
      </c>
      <c r="AR922" s="1" t="str">
        <f t="shared" si="59"/>
        <v>| [](.md) | [蟰](蟰.md) |  |  | 「蠨」的異體字。 |</v>
      </c>
    </row>
    <row r="923" spans="1:44" hidden="1">
      <c r="A923" s="1" t="s">
        <v>29510</v>
      </c>
      <c r="C923" s="1">
        <v>1</v>
      </c>
      <c r="D923" s="1" t="str">
        <f>"07016-1"</f>
        <v>07016-1</v>
      </c>
      <c r="E923" s="1" t="s">
        <v>28</v>
      </c>
      <c r="F923" s="1">
        <v>21</v>
      </c>
      <c r="G923" s="1">
        <v>18</v>
      </c>
      <c r="H923" s="1">
        <v>0</v>
      </c>
      <c r="K923" s="1" t="str">
        <f t="shared" si="56"/>
        <v/>
      </c>
      <c r="L923" s="1" t="str">
        <f t="shared" si="57"/>
        <v/>
      </c>
      <c r="M923" s="1" t="str">
        <f t="shared" si="58"/>
        <v/>
      </c>
      <c r="P923" s="1" t="s">
        <v>20</v>
      </c>
      <c r="V923" s="1" t="s">
        <v>29511</v>
      </c>
      <c r="X923" s="1" t="s">
        <v>27842</v>
      </c>
      <c r="AR923" s="1" t="str">
        <f t="shared" si="59"/>
        <v>| [](.md) | [嚻](嚻.md) |  |  | 「囂」的異體字。 |</v>
      </c>
    </row>
    <row r="924" spans="1:44" hidden="1">
      <c r="A924" s="1" t="s">
        <v>29512</v>
      </c>
      <c r="C924" s="1">
        <v>1</v>
      </c>
      <c r="D924" s="1" t="str">
        <f>"07032-1"</f>
        <v>07032-1</v>
      </c>
      <c r="E924" s="1" t="s">
        <v>245</v>
      </c>
      <c r="F924" s="1">
        <v>8</v>
      </c>
      <c r="G924" s="1">
        <v>6</v>
      </c>
      <c r="H924" s="1">
        <v>0</v>
      </c>
      <c r="K924" s="1" t="str">
        <f t="shared" si="56"/>
        <v/>
      </c>
      <c r="L924" s="1" t="str">
        <f t="shared" si="57"/>
        <v/>
      </c>
      <c r="M924" s="1" t="str">
        <f t="shared" si="58"/>
        <v/>
      </c>
      <c r="P924" s="1" t="s">
        <v>20</v>
      </c>
      <c r="V924" s="1" t="s">
        <v>29513</v>
      </c>
      <c r="X924" s="1" t="s">
        <v>27842</v>
      </c>
      <c r="AR924" s="1" t="str">
        <f t="shared" si="59"/>
        <v>| [](.md) | [効](効.md) |  |  | 「效」的異體字。 |</v>
      </c>
    </row>
    <row r="925" spans="1:44" hidden="1">
      <c r="A925" s="1" t="s">
        <v>29514</v>
      </c>
      <c r="C925" s="1">
        <v>1</v>
      </c>
      <c r="D925" s="1" t="str">
        <f>"07034-1"</f>
        <v>07034-1</v>
      </c>
      <c r="E925" s="1" t="s">
        <v>114</v>
      </c>
      <c r="F925" s="1">
        <v>10</v>
      </c>
      <c r="G925" s="1">
        <v>8</v>
      </c>
      <c r="H925" s="1">
        <v>0</v>
      </c>
      <c r="K925" s="1" t="str">
        <f t="shared" si="56"/>
        <v/>
      </c>
      <c r="L925" s="1" t="str">
        <f t="shared" si="57"/>
        <v/>
      </c>
      <c r="M925" s="1" t="str">
        <f t="shared" si="58"/>
        <v/>
      </c>
      <c r="P925" s="1" t="s">
        <v>20</v>
      </c>
      <c r="V925" s="1" t="s">
        <v>29515</v>
      </c>
      <c r="X925" s="1" t="s">
        <v>27842</v>
      </c>
      <c r="AR925" s="1" t="str">
        <f t="shared" si="59"/>
        <v>| [](.md) | [俲](俲.md) |  |  | 「傚」的異體字。 |</v>
      </c>
    </row>
    <row r="926" spans="1:44" hidden="1">
      <c r="A926" s="1" t="s">
        <v>29516</v>
      </c>
      <c r="C926" s="1">
        <v>1</v>
      </c>
      <c r="D926" s="1" t="str">
        <f>"07035-1"</f>
        <v>07035-1</v>
      </c>
      <c r="E926" s="1" t="s">
        <v>28</v>
      </c>
      <c r="F926" s="1">
        <v>9</v>
      </c>
      <c r="G926" s="1">
        <v>6</v>
      </c>
      <c r="H926" s="1">
        <v>0</v>
      </c>
      <c r="K926" s="1" t="str">
        <f t="shared" si="56"/>
        <v/>
      </c>
      <c r="L926" s="1" t="str">
        <f t="shared" si="57"/>
        <v/>
      </c>
      <c r="M926" s="1" t="str">
        <f t="shared" si="58"/>
        <v/>
      </c>
      <c r="P926" s="1" t="s">
        <v>20</v>
      </c>
      <c r="V926" s="1" t="s">
        <v>29517</v>
      </c>
      <c r="X926" s="1" t="s">
        <v>27842</v>
      </c>
      <c r="AR926" s="1" t="str">
        <f t="shared" si="59"/>
        <v>| [](.md) | [咲](咲.md) |  |  | 「笑」的異體字。 |</v>
      </c>
    </row>
    <row r="927" spans="1:44" hidden="1">
      <c r="A927" s="1" t="s">
        <v>29518</v>
      </c>
      <c r="C927" s="1">
        <v>1</v>
      </c>
      <c r="D927" s="1" t="str">
        <f>"07036-1"</f>
        <v>07036-1</v>
      </c>
      <c r="E927" s="1" t="s">
        <v>1908</v>
      </c>
      <c r="F927" s="1">
        <v>16</v>
      </c>
      <c r="G927" s="1">
        <v>12</v>
      </c>
      <c r="H927" s="1">
        <v>0</v>
      </c>
      <c r="K927" s="1" t="str">
        <f t="shared" si="56"/>
        <v/>
      </c>
      <c r="L927" s="1" t="str">
        <f t="shared" si="57"/>
        <v/>
      </c>
      <c r="M927" s="1" t="str">
        <f t="shared" si="58"/>
        <v/>
      </c>
      <c r="P927" s="1" t="s">
        <v>20</v>
      </c>
      <c r="V927" s="1" t="s">
        <v>29519</v>
      </c>
      <c r="X927" s="1" t="s">
        <v>27842</v>
      </c>
      <c r="AR927" s="1" t="str">
        <f t="shared" si="59"/>
        <v>| [](.md) | [歗](歗.md) |  |  | 「嘯」的異體字。 |</v>
      </c>
    </row>
    <row r="928" spans="1:44" hidden="1">
      <c r="A928" s="1" t="s">
        <v>29520</v>
      </c>
      <c r="C928" s="1">
        <v>1</v>
      </c>
      <c r="D928" s="1" t="str">
        <f>"07055-1"</f>
        <v>07055-1</v>
      </c>
      <c r="E928" s="1" t="s">
        <v>340</v>
      </c>
      <c r="F928" s="1">
        <v>15</v>
      </c>
      <c r="G928" s="1">
        <v>9</v>
      </c>
      <c r="H928" s="1">
        <v>0</v>
      </c>
      <c r="K928" s="1" t="str">
        <f t="shared" si="56"/>
        <v/>
      </c>
      <c r="L928" s="1" t="str">
        <f t="shared" si="57"/>
        <v/>
      </c>
      <c r="M928" s="1" t="str">
        <f t="shared" si="58"/>
        <v/>
      </c>
      <c r="P928" s="1" t="s">
        <v>20</v>
      </c>
      <c r="V928" s="1" t="s">
        <v>29521</v>
      </c>
      <c r="X928" s="1" t="s">
        <v>27842</v>
      </c>
      <c r="AR928" s="1" t="str">
        <f t="shared" si="59"/>
        <v>| [](.md) | [褏](褏.md) |  |  | 「袖」的異體字。 |</v>
      </c>
    </row>
    <row r="929" spans="1:44" hidden="1">
      <c r="A929" s="1" t="s">
        <v>29522</v>
      </c>
      <c r="C929" s="1">
        <v>1</v>
      </c>
      <c r="D929" s="1" t="str">
        <f>"07058-1"</f>
        <v>07058-1</v>
      </c>
      <c r="E929" s="1" t="s">
        <v>889</v>
      </c>
      <c r="F929" s="1">
        <v>24</v>
      </c>
      <c r="G929" s="1">
        <v>10</v>
      </c>
      <c r="H929" s="1">
        <v>0</v>
      </c>
      <c r="K929" s="1" t="str">
        <f t="shared" si="56"/>
        <v/>
      </c>
      <c r="L929" s="1" t="str">
        <f t="shared" si="57"/>
        <v/>
      </c>
      <c r="M929" s="1" t="str">
        <f t="shared" si="58"/>
        <v/>
      </c>
      <c r="P929" s="1" t="s">
        <v>20</v>
      </c>
      <c r="V929" s="1" t="s">
        <v>29523</v>
      </c>
      <c r="X929" s="1" t="s">
        <v>27842</v>
      </c>
      <c r="AR929" s="1" t="str">
        <f t="shared" si="59"/>
        <v>| [](.md) | [齅](齅.md) |  |  | 「嗅」的異體字。 |</v>
      </c>
    </row>
    <row r="930" spans="1:44" hidden="1">
      <c r="A930" s="1" t="s">
        <v>29524</v>
      </c>
      <c r="C930" s="1">
        <v>1</v>
      </c>
      <c r="D930" s="1" t="str">
        <f>"07062-1"</f>
        <v>07062-1</v>
      </c>
      <c r="E930" s="1" t="s">
        <v>725</v>
      </c>
      <c r="F930" s="1">
        <v>13</v>
      </c>
      <c r="G930" s="1">
        <v>7</v>
      </c>
      <c r="H930" s="1">
        <v>0</v>
      </c>
      <c r="K930" s="1" t="str">
        <f t="shared" si="56"/>
        <v/>
      </c>
      <c r="L930" s="1" t="str">
        <f t="shared" si="57"/>
        <v/>
      </c>
      <c r="M930" s="1" t="str">
        <f t="shared" si="58"/>
        <v/>
      </c>
      <c r="P930" s="1" t="s">
        <v>20</v>
      </c>
      <c r="V930" s="1" t="s">
        <v>29525</v>
      </c>
      <c r="X930" s="1" t="s">
        <v>27842</v>
      </c>
      <c r="AR930" s="1" t="str">
        <f t="shared" si="59"/>
        <v>| [](.md) | [綉](綉.md) |  |  | 「繡」的異體字。 |</v>
      </c>
    </row>
    <row r="931" spans="1:44" hidden="1">
      <c r="A931" s="1" t="s">
        <v>29526</v>
      </c>
      <c r="C931" s="1">
        <v>1</v>
      </c>
      <c r="D931" s="1" t="str">
        <f>"07062-2"</f>
        <v>07062-2</v>
      </c>
      <c r="E931" s="1" t="s">
        <v>725</v>
      </c>
      <c r="F931" s="1">
        <v>17</v>
      </c>
      <c r="G931" s="1">
        <v>11</v>
      </c>
      <c r="H931" s="1">
        <v>0</v>
      </c>
      <c r="K931" s="1" t="str">
        <f t="shared" si="56"/>
        <v/>
      </c>
      <c r="L931" s="1" t="str">
        <f t="shared" si="57"/>
        <v/>
      </c>
      <c r="M931" s="1" t="str">
        <f t="shared" si="58"/>
        <v/>
      </c>
      <c r="P931" s="1" t="s">
        <v>20</v>
      </c>
      <c r="V931" s="1" t="s">
        <v>29525</v>
      </c>
      <c r="X931" s="1" t="s">
        <v>27842</v>
      </c>
      <c r="AR931" s="1" t="str">
        <f t="shared" si="59"/>
        <v>| [](.md) | [繍](繍.md) |  |  | 「繡」的異體字。 |</v>
      </c>
    </row>
    <row r="932" spans="1:44" hidden="1">
      <c r="A932" s="1" t="s">
        <v>29527</v>
      </c>
      <c r="C932" s="1">
        <v>1</v>
      </c>
      <c r="D932" s="1" t="str">
        <f>"07063-1"</f>
        <v>07063-1</v>
      </c>
      <c r="E932" s="1" t="s">
        <v>55</v>
      </c>
      <c r="F932" s="1">
        <v>15</v>
      </c>
      <c r="G932" s="1">
        <v>7</v>
      </c>
      <c r="H932" s="1">
        <v>0</v>
      </c>
      <c r="K932" s="1" t="str">
        <f t="shared" si="56"/>
        <v/>
      </c>
      <c r="L932" s="1" t="str">
        <f t="shared" si="57"/>
        <v/>
      </c>
      <c r="M932" s="1" t="str">
        <f t="shared" si="58"/>
        <v/>
      </c>
      <c r="P932" s="1" t="s">
        <v>20</v>
      </c>
      <c r="V932" s="1" t="s">
        <v>29528</v>
      </c>
      <c r="X932" s="1" t="s">
        <v>27842</v>
      </c>
      <c r="AR932" s="1" t="str">
        <f t="shared" si="59"/>
        <v>| [](.md) | [銹](銹.md) |  |  | 「鏽」的異體字。 |</v>
      </c>
    </row>
    <row r="933" spans="1:44" hidden="1">
      <c r="A933" s="1" t="s">
        <v>29529</v>
      </c>
      <c r="C933" s="1">
        <v>1</v>
      </c>
      <c r="D933" s="1" t="str">
        <f>"07063-2"</f>
        <v>07063-2</v>
      </c>
      <c r="E933" s="1" t="s">
        <v>55</v>
      </c>
      <c r="F933" s="1">
        <v>19</v>
      </c>
      <c r="G933" s="1">
        <v>11</v>
      </c>
      <c r="H933" s="1">
        <v>0</v>
      </c>
      <c r="K933" s="1" t="str">
        <f t="shared" si="56"/>
        <v/>
      </c>
      <c r="L933" s="1" t="str">
        <f t="shared" si="57"/>
        <v/>
      </c>
      <c r="M933" s="1" t="str">
        <f t="shared" si="58"/>
        <v/>
      </c>
      <c r="P933" s="1" t="s">
        <v>20</v>
      </c>
      <c r="V933" s="1" t="s">
        <v>29528</v>
      </c>
      <c r="X933" s="1" t="s">
        <v>27842</v>
      </c>
      <c r="AR933" s="1" t="str">
        <f t="shared" si="59"/>
        <v>| [](.md) | [&amp;99bc._104_0.gif;](&amp;99bc._104_0.gif;.md) |  |  | 「鏽」的異體字。 |</v>
      </c>
    </row>
    <row r="934" spans="1:44" hidden="1">
      <c r="A934" s="1" t="s">
        <v>29530</v>
      </c>
      <c r="C934" s="1">
        <v>1</v>
      </c>
      <c r="D934" s="1" t="str">
        <f>"07064-1"</f>
        <v>07064-1</v>
      </c>
      <c r="E934" s="1" t="s">
        <v>114</v>
      </c>
      <c r="F934" s="1">
        <v>5</v>
      </c>
      <c r="G934" s="1">
        <v>3</v>
      </c>
      <c r="H934" s="1">
        <v>0</v>
      </c>
      <c r="K934" s="1" t="str">
        <f t="shared" si="56"/>
        <v/>
      </c>
      <c r="L934" s="1" t="str">
        <f t="shared" si="57"/>
        <v/>
      </c>
      <c r="M934" s="1" t="str">
        <f t="shared" si="58"/>
        <v/>
      </c>
      <c r="P934" s="1" t="s">
        <v>20</v>
      </c>
      <c r="V934" s="1" t="s">
        <v>29531</v>
      </c>
      <c r="X934" s="1" t="s">
        <v>27842</v>
      </c>
      <c r="AR934" s="1" t="str">
        <f t="shared" si="59"/>
        <v>| [](.md) | [仚](仚.md) |  |  | 「仙」的異體字。 |</v>
      </c>
    </row>
    <row r="935" spans="1:44" hidden="1">
      <c r="A935" s="1" t="s">
        <v>29532</v>
      </c>
      <c r="C935" s="1">
        <v>1</v>
      </c>
      <c r="D935" s="1" t="str">
        <f>"07071-1"</f>
        <v>07071-1</v>
      </c>
      <c r="E935" s="1" t="s">
        <v>534</v>
      </c>
      <c r="F935" s="1">
        <v>8</v>
      </c>
      <c r="G935" s="1">
        <v>5</v>
      </c>
      <c r="H935" s="1">
        <v>0</v>
      </c>
      <c r="K935" s="1" t="str">
        <f t="shared" si="56"/>
        <v/>
      </c>
      <c r="L935" s="1" t="str">
        <f t="shared" si="57"/>
        <v/>
      </c>
      <c r="M935" s="1" t="str">
        <f t="shared" si="58"/>
        <v/>
      </c>
      <c r="P935" s="1" t="s">
        <v>20</v>
      </c>
      <c r="V935" s="1" t="s">
        <v>29533</v>
      </c>
      <c r="X935" s="1" t="s">
        <v>27842</v>
      </c>
      <c r="AR935" s="1" t="str">
        <f t="shared" si="59"/>
        <v>| [](.md) | [姗](姗.md) |  |  | 「姍」的異體字。 |</v>
      </c>
    </row>
    <row r="936" spans="1:44" hidden="1">
      <c r="A936" s="1" t="s">
        <v>29534</v>
      </c>
      <c r="C936" s="1">
        <v>1</v>
      </c>
      <c r="D936" s="1" t="str">
        <f>"07072-1"</f>
        <v>07072-1</v>
      </c>
      <c r="E936" s="1" t="s">
        <v>825</v>
      </c>
      <c r="F936" s="1">
        <v>13</v>
      </c>
      <c r="G936" s="1">
        <v>8</v>
      </c>
      <c r="H936" s="1">
        <v>0</v>
      </c>
      <c r="K936" s="1" t="str">
        <f t="shared" si="56"/>
        <v/>
      </c>
      <c r="L936" s="1" t="str">
        <f t="shared" si="57"/>
        <v/>
      </c>
      <c r="M936" s="1" t="str">
        <f t="shared" si="58"/>
        <v/>
      </c>
      <c r="P936" s="1" t="s">
        <v>20</v>
      </c>
      <c r="V936" s="1" t="s">
        <v>29535</v>
      </c>
      <c r="X936" s="1" t="s">
        <v>27842</v>
      </c>
      <c r="AR936" s="1" t="str">
        <f t="shared" si="59"/>
        <v>| [](.md) | [䄏](䄏.md) |  |  | 「祅」的異體字。 |</v>
      </c>
    </row>
    <row r="937" spans="1:44" hidden="1">
      <c r="A937" s="1" t="s">
        <v>29536</v>
      </c>
      <c r="C937" s="1">
        <v>1</v>
      </c>
      <c r="D937" s="1" t="str">
        <f>"07075-1"</f>
        <v>07075-1</v>
      </c>
      <c r="E937" s="1" t="s">
        <v>77</v>
      </c>
      <c r="F937" s="1">
        <v>19</v>
      </c>
      <c r="G937" s="1">
        <v>12</v>
      </c>
      <c r="H937" s="1">
        <v>0</v>
      </c>
      <c r="K937" s="1" t="str">
        <f t="shared" si="56"/>
        <v/>
      </c>
      <c r="L937" s="1" t="str">
        <f t="shared" si="57"/>
        <v/>
      </c>
      <c r="M937" s="1" t="str">
        <f t="shared" si="58"/>
        <v/>
      </c>
      <c r="P937" s="1" t="s">
        <v>20</v>
      </c>
      <c r="V937" s="1" t="s">
        <v>29537</v>
      </c>
      <c r="X937" s="1" t="s">
        <v>27842</v>
      </c>
      <c r="AR937" s="1" t="str">
        <f t="shared" si="59"/>
        <v>| [](.md) | [蹮](蹮.md) |  |  | 「躚」的異體字。 |</v>
      </c>
    </row>
    <row r="938" spans="1:44" hidden="1">
      <c r="A938" s="1" t="s">
        <v>29538</v>
      </c>
      <c r="C938" s="1">
        <v>1</v>
      </c>
      <c r="D938" s="1" t="str">
        <f>"07082-1"</f>
        <v>07082-1</v>
      </c>
      <c r="E938" s="1" t="s">
        <v>156</v>
      </c>
      <c r="F938" s="1">
        <v>33</v>
      </c>
      <c r="G938" s="1">
        <v>22</v>
      </c>
      <c r="H938" s="1">
        <v>0</v>
      </c>
      <c r="K938" s="1" t="str">
        <f t="shared" si="56"/>
        <v/>
      </c>
      <c r="L938" s="1" t="str">
        <f t="shared" si="57"/>
        <v/>
      </c>
      <c r="M938" s="1" t="str">
        <f t="shared" si="58"/>
        <v/>
      </c>
      <c r="P938" s="1" t="s">
        <v>20</v>
      </c>
      <c r="V938" s="1" t="s">
        <v>29539</v>
      </c>
      <c r="X938" s="1" t="s">
        <v>27842</v>
      </c>
      <c r="AR938" s="1" t="str">
        <f t="shared" si="59"/>
        <v>| [](.md) | [鱻](鱻.md) |  |  | 「鮮」的異體字。 |</v>
      </c>
    </row>
    <row r="939" spans="1:44" hidden="1">
      <c r="A939" s="1" t="s">
        <v>29540</v>
      </c>
      <c r="C939" s="1">
        <v>1</v>
      </c>
      <c r="D939" s="1" t="str">
        <f>"07086-1"</f>
        <v>07086-1</v>
      </c>
      <c r="E939" s="1" t="s">
        <v>725</v>
      </c>
      <c r="F939" s="1">
        <v>21</v>
      </c>
      <c r="G939" s="1">
        <v>15</v>
      </c>
      <c r="H939" s="1">
        <v>0</v>
      </c>
      <c r="K939" s="1" t="str">
        <f t="shared" si="56"/>
        <v/>
      </c>
      <c r="L939" s="1" t="str">
        <f t="shared" si="57"/>
        <v/>
      </c>
      <c r="M939" s="1" t="str">
        <f t="shared" si="58"/>
        <v/>
      </c>
      <c r="P939" s="1" t="s">
        <v>20</v>
      </c>
      <c r="V939" s="1" t="s">
        <v>29541</v>
      </c>
      <c r="X939" s="1" t="s">
        <v>27842</v>
      </c>
      <c r="AR939" s="1" t="str">
        <f t="shared" si="59"/>
        <v>| [](.md) | [纎](纎.md) |  |  | 「纖」的異體字。 |</v>
      </c>
    </row>
    <row r="940" spans="1:44" hidden="1">
      <c r="A940" s="1" t="s">
        <v>29542</v>
      </c>
      <c r="C940" s="1">
        <v>1</v>
      </c>
      <c r="D940" s="1" t="str">
        <f>"07095-1"</f>
        <v>07095-1</v>
      </c>
      <c r="E940" s="1" t="s">
        <v>1462</v>
      </c>
      <c r="F940" s="1">
        <v>16</v>
      </c>
      <c r="G940" s="1">
        <v>9</v>
      </c>
      <c r="H940" s="1">
        <v>0</v>
      </c>
      <c r="K940" s="1" t="str">
        <f t="shared" si="56"/>
        <v/>
      </c>
      <c r="L940" s="1" t="str">
        <f t="shared" si="57"/>
        <v/>
      </c>
      <c r="M940" s="1" t="str">
        <f t="shared" si="58"/>
        <v/>
      </c>
      <c r="P940" s="1" t="s">
        <v>20</v>
      </c>
      <c r="V940" s="1" t="s">
        <v>29543</v>
      </c>
      <c r="X940" s="1" t="s">
        <v>27842</v>
      </c>
      <c r="AR940" s="1" t="str">
        <f t="shared" si="59"/>
        <v>| [](.md) | [醎](醎.md) |  |  | 「鹹」的異體字。 |</v>
      </c>
    </row>
    <row r="941" spans="1:44" hidden="1">
      <c r="A941" s="1" t="s">
        <v>29544</v>
      </c>
      <c r="C941" s="1">
        <v>1</v>
      </c>
      <c r="D941" s="1" t="str">
        <f>"07096-1"</f>
        <v>07096-1</v>
      </c>
      <c r="E941" s="1" t="s">
        <v>129</v>
      </c>
      <c r="F941" s="1">
        <v>7</v>
      </c>
      <c r="G941" s="1">
        <v>4</v>
      </c>
      <c r="H941" s="1">
        <v>0</v>
      </c>
      <c r="K941" s="1" t="str">
        <f t="shared" si="56"/>
        <v/>
      </c>
      <c r="L941" s="1" t="str">
        <f t="shared" si="57"/>
        <v/>
      </c>
      <c r="M941" s="1" t="str">
        <f t="shared" si="58"/>
        <v/>
      </c>
      <c r="P941" s="1" t="s">
        <v>20</v>
      </c>
      <c r="V941" s="1" t="s">
        <v>29545</v>
      </c>
      <c r="X941" s="1" t="s">
        <v>27842</v>
      </c>
      <c r="AR941" s="1" t="str">
        <f t="shared" si="59"/>
        <v>| [](.md) | [㳄](㳄.md) |  |  | 「涎」的異體字。 |</v>
      </c>
    </row>
    <row r="942" spans="1:44" hidden="1">
      <c r="A942" s="1" t="s">
        <v>29546</v>
      </c>
      <c r="C942" s="1">
        <v>1</v>
      </c>
      <c r="D942" s="1" t="str">
        <f>"07101-1"</f>
        <v>07101-1</v>
      </c>
      <c r="E942" s="1" t="s">
        <v>534</v>
      </c>
      <c r="F942" s="1">
        <v>15</v>
      </c>
      <c r="G942" s="1">
        <v>12</v>
      </c>
      <c r="H942" s="1">
        <v>0</v>
      </c>
      <c r="K942" s="1" t="str">
        <f t="shared" si="56"/>
        <v/>
      </c>
      <c r="L942" s="1" t="str">
        <f t="shared" si="57"/>
        <v/>
      </c>
      <c r="M942" s="1" t="str">
        <f t="shared" si="58"/>
        <v/>
      </c>
      <c r="P942" s="1" t="s">
        <v>20</v>
      </c>
      <c r="V942" s="1" t="s">
        <v>29547</v>
      </c>
      <c r="X942" s="1" t="s">
        <v>27842</v>
      </c>
      <c r="AR942" s="1" t="str">
        <f t="shared" si="59"/>
        <v>| [](.md) | [嫺](嫺.md) |  |  | 「嫻」的異體字。 |</v>
      </c>
    </row>
    <row r="943" spans="1:44" hidden="1">
      <c r="A943" s="1" t="s">
        <v>29548</v>
      </c>
      <c r="C943" s="1">
        <v>1</v>
      </c>
      <c r="D943" s="1" t="str">
        <f>"07103-1"</f>
        <v>07103-1</v>
      </c>
      <c r="E943" s="1" t="s">
        <v>272</v>
      </c>
      <c r="F943" s="1">
        <v>23</v>
      </c>
      <c r="G943" s="1">
        <v>12</v>
      </c>
      <c r="H943" s="1">
        <v>0</v>
      </c>
      <c r="K943" s="1" t="str">
        <f t="shared" si="56"/>
        <v/>
      </c>
      <c r="L943" s="1" t="str">
        <f t="shared" si="57"/>
        <v/>
      </c>
      <c r="M943" s="1" t="str">
        <f t="shared" si="58"/>
        <v/>
      </c>
      <c r="P943" s="1" t="s">
        <v>20</v>
      </c>
      <c r="V943" s="1" t="s">
        <v>29549</v>
      </c>
      <c r="X943" s="1" t="s">
        <v>27842</v>
      </c>
      <c r="AR943" s="1" t="str">
        <f t="shared" si="59"/>
        <v>| [](.md) | [鷴](鷴.md) |  |  | 「鷳」的異體字。 |</v>
      </c>
    </row>
    <row r="944" spans="1:44" hidden="1">
      <c r="A944" s="1" t="s">
        <v>29550</v>
      </c>
      <c r="C944" s="1">
        <v>1</v>
      </c>
      <c r="D944" s="1" t="str">
        <f>"07107-1"</f>
        <v>07107-1</v>
      </c>
      <c r="E944" s="1" t="s">
        <v>505</v>
      </c>
      <c r="F944" s="1">
        <v>11</v>
      </c>
      <c r="G944" s="1">
        <v>4</v>
      </c>
      <c r="H944" s="1">
        <v>0</v>
      </c>
      <c r="K944" s="1" t="str">
        <f t="shared" si="56"/>
        <v/>
      </c>
      <c r="L944" s="1" t="str">
        <f t="shared" si="57"/>
        <v/>
      </c>
      <c r="M944" s="1" t="str">
        <f t="shared" si="58"/>
        <v/>
      </c>
      <c r="P944" s="1" t="s">
        <v>20</v>
      </c>
      <c r="V944" s="1" t="s">
        <v>29551</v>
      </c>
      <c r="X944" s="1" t="s">
        <v>27842</v>
      </c>
      <c r="AR944" s="1" t="str">
        <f t="shared" si="59"/>
        <v>| [](.md) | [䝨](䝨.md) |  |  | 「賢」的異體字。 |</v>
      </c>
    </row>
    <row r="945" spans="1:44" hidden="1">
      <c r="A945" s="1" t="s">
        <v>21320</v>
      </c>
      <c r="C945" s="1">
        <v>1</v>
      </c>
      <c r="D945" s="1" t="str">
        <f>"07109-1"</f>
        <v>07109-1</v>
      </c>
      <c r="E945" s="1" t="s">
        <v>1381</v>
      </c>
      <c r="F945" s="1">
        <v>8</v>
      </c>
      <c r="G945" s="1">
        <v>6</v>
      </c>
      <c r="H945" s="1">
        <v>0</v>
      </c>
      <c r="K945" s="1" t="str">
        <f t="shared" si="56"/>
        <v/>
      </c>
      <c r="L945" s="1" t="str">
        <f t="shared" si="57"/>
        <v/>
      </c>
      <c r="M945" s="1" t="str">
        <f t="shared" si="58"/>
        <v/>
      </c>
      <c r="P945" s="1" t="s">
        <v>20</v>
      </c>
      <c r="V945" s="1" t="s">
        <v>29552</v>
      </c>
      <c r="X945" s="1" t="s">
        <v>27842</v>
      </c>
      <c r="AR945" s="1" t="str">
        <f t="shared" si="59"/>
        <v>| [](.md) | [冼](冼.md) |  |  | 「洗」的異體字。 |</v>
      </c>
    </row>
    <row r="946" spans="1:44" hidden="1">
      <c r="A946" s="1" t="s">
        <v>29553</v>
      </c>
      <c r="C946" s="1">
        <v>1</v>
      </c>
      <c r="D946" s="1" t="str">
        <f>"07116-1"</f>
        <v>07116-1</v>
      </c>
      <c r="E946" s="1" t="s">
        <v>13811</v>
      </c>
      <c r="F946" s="1">
        <v>13</v>
      </c>
      <c r="G946" s="1">
        <v>10</v>
      </c>
      <c r="H946" s="1">
        <v>0</v>
      </c>
      <c r="K946" s="1" t="str">
        <f t="shared" si="56"/>
        <v/>
      </c>
      <c r="L946" s="1" t="str">
        <f t="shared" si="57"/>
        <v/>
      </c>
      <c r="M946" s="1" t="str">
        <f t="shared" si="58"/>
        <v/>
      </c>
      <c r="P946" s="1" t="s">
        <v>20</v>
      </c>
      <c r="V946" s="1" t="s">
        <v>29554</v>
      </c>
      <c r="X946" s="1" t="s">
        <v>27842</v>
      </c>
      <c r="AR946" s="1" t="str">
        <f t="shared" si="59"/>
        <v>| [](.md) | [尠](尠.md) |  |  | 「尟」的異體字。 |</v>
      </c>
    </row>
    <row r="947" spans="1:44" hidden="1">
      <c r="A947" s="1" t="s">
        <v>29555</v>
      </c>
      <c r="C947" s="1">
        <v>1</v>
      </c>
      <c r="D947" s="1" t="str">
        <f>"07145-1"</f>
        <v>07145-1</v>
      </c>
      <c r="E947" s="1" t="s">
        <v>725</v>
      </c>
      <c r="F947" s="1">
        <v>14</v>
      </c>
      <c r="G947" s="1">
        <v>8</v>
      </c>
      <c r="H947" s="1">
        <v>0</v>
      </c>
      <c r="K947" s="1" t="str">
        <f t="shared" si="56"/>
        <v/>
      </c>
      <c r="L947" s="1" t="str">
        <f t="shared" si="57"/>
        <v/>
      </c>
      <c r="M947" s="1" t="str">
        <f t="shared" si="58"/>
        <v/>
      </c>
      <c r="P947" s="1" t="s">
        <v>20</v>
      </c>
      <c r="V947" s="1" t="s">
        <v>29556</v>
      </c>
      <c r="X947" s="1" t="s">
        <v>27842</v>
      </c>
      <c r="AR947" s="1" t="str">
        <f t="shared" si="59"/>
        <v>| [](.md) | [綫](綫.md) |  |  | 「線」的異體字。 |</v>
      </c>
    </row>
    <row r="948" spans="1:44" hidden="1">
      <c r="A948" s="1" t="s">
        <v>29557</v>
      </c>
      <c r="C948" s="1">
        <v>1</v>
      </c>
      <c r="D948" s="1" t="str">
        <f>"07150-2"</f>
        <v>07150-2</v>
      </c>
      <c r="E948" s="1" t="s">
        <v>725</v>
      </c>
      <c r="F948" s="1">
        <v>16</v>
      </c>
      <c r="G948" s="1">
        <v>10</v>
      </c>
      <c r="H948" s="1">
        <v>0</v>
      </c>
      <c r="K948" s="1" t="str">
        <f t="shared" si="56"/>
        <v/>
      </c>
      <c r="L948" s="1" t="str">
        <f t="shared" si="57"/>
        <v/>
      </c>
      <c r="M948" s="1" t="str">
        <f t="shared" si="58"/>
        <v/>
      </c>
      <c r="P948" s="1" t="s">
        <v>20</v>
      </c>
      <c r="V948" s="1" t="s">
        <v>29558</v>
      </c>
      <c r="X948" s="1" t="s">
        <v>27842</v>
      </c>
      <c r="AR948" s="1" t="str">
        <f t="shared" si="59"/>
        <v>| [](.md) | [󼁚](󼁚.md) |  |  | 「縣」的異體字。 |</v>
      </c>
    </row>
    <row r="949" spans="1:44" hidden="1">
      <c r="A949" s="1" t="s">
        <v>29559</v>
      </c>
      <c r="C949" s="1">
        <v>1</v>
      </c>
      <c r="D949" s="1" t="str">
        <f>"07152-1"</f>
        <v>07152-1</v>
      </c>
      <c r="E949" s="1" t="s">
        <v>198</v>
      </c>
      <c r="F949" s="1">
        <v>13</v>
      </c>
      <c r="G949" s="1">
        <v>9</v>
      </c>
      <c r="H949" s="1">
        <v>0</v>
      </c>
      <c r="K949" s="1" t="str">
        <f t="shared" si="56"/>
        <v/>
      </c>
      <c r="L949" s="1" t="str">
        <f t="shared" si="57"/>
        <v/>
      </c>
      <c r="M949" s="1" t="str">
        <f t="shared" si="58"/>
        <v/>
      </c>
      <c r="P949" s="1" t="s">
        <v>20</v>
      </c>
      <c r="V949" s="1" t="s">
        <v>29560</v>
      </c>
      <c r="X949" s="1" t="s">
        <v>27842</v>
      </c>
      <c r="AR949" s="1" t="str">
        <f t="shared" si="59"/>
        <v>| [](.md) | [献](献.md) |  |  | 「獻」的異體字。 |</v>
      </c>
    </row>
    <row r="950" spans="1:44" hidden="1">
      <c r="A950" s="1" t="s">
        <v>29561</v>
      </c>
      <c r="C950" s="1">
        <v>1</v>
      </c>
      <c r="D950" s="1" t="str">
        <f>"07178-1"</f>
        <v>07178-1</v>
      </c>
      <c r="E950" s="1" t="s">
        <v>1681</v>
      </c>
      <c r="F950" s="1">
        <v>11</v>
      </c>
      <c r="G950" s="1">
        <v>5</v>
      </c>
      <c r="H950" s="1">
        <v>0</v>
      </c>
      <c r="K950" s="1" t="str">
        <f t="shared" si="56"/>
        <v/>
      </c>
      <c r="L950" s="1" t="str">
        <f t="shared" si="57"/>
        <v/>
      </c>
      <c r="M950" s="1" t="str">
        <f t="shared" si="58"/>
        <v/>
      </c>
      <c r="P950" s="1" t="s">
        <v>20</v>
      </c>
      <c r="V950" s="1" t="s">
        <v>29562</v>
      </c>
      <c r="X950" s="1" t="s">
        <v>27842</v>
      </c>
      <c r="AR950" s="1" t="str">
        <f t="shared" si="59"/>
        <v>| [](.md) | [衅](衅.md) |  |  | 「釁」的異體字。 |</v>
      </c>
    </row>
    <row r="951" spans="1:44" hidden="1">
      <c r="A951" s="1" t="s">
        <v>29563</v>
      </c>
      <c r="C951" s="1">
        <v>1</v>
      </c>
      <c r="D951" s="1" t="str">
        <f>"07203-1"</f>
        <v>07203-1</v>
      </c>
      <c r="E951" s="1" t="s">
        <v>1279</v>
      </c>
      <c r="F951" s="1">
        <v>9</v>
      </c>
      <c r="G951" s="1">
        <v>7</v>
      </c>
      <c r="H951" s="1">
        <v>0</v>
      </c>
      <c r="K951" s="1" t="str">
        <f t="shared" si="56"/>
        <v/>
      </c>
      <c r="L951" s="1" t="str">
        <f t="shared" si="57"/>
        <v/>
      </c>
      <c r="M951" s="1" t="str">
        <f t="shared" si="58"/>
        <v/>
      </c>
      <c r="P951" s="1" t="s">
        <v>20</v>
      </c>
      <c r="V951" s="1" t="s">
        <v>29564</v>
      </c>
      <c r="X951" s="1" t="s">
        <v>27842</v>
      </c>
      <c r="AR951" s="1" t="str">
        <f t="shared" si="59"/>
        <v>| [](.md) | [亯](亯.md) |  |  | 「享」的異體字。 |</v>
      </c>
    </row>
    <row r="952" spans="1:44" hidden="1">
      <c r="A952" s="1" t="s">
        <v>29565</v>
      </c>
      <c r="C952" s="1">
        <v>1</v>
      </c>
      <c r="D952" s="1" t="str">
        <f>"07207-1"</f>
        <v>07207-1</v>
      </c>
      <c r="E952" s="1" t="s">
        <v>28</v>
      </c>
      <c r="F952" s="1">
        <v>9</v>
      </c>
      <c r="G952" s="1">
        <v>6</v>
      </c>
      <c r="H952" s="1">
        <v>0</v>
      </c>
      <c r="K952" s="1" t="str">
        <f t="shared" si="56"/>
        <v/>
      </c>
      <c r="L952" s="1" t="str">
        <f t="shared" si="57"/>
        <v/>
      </c>
      <c r="M952" s="1" t="str">
        <f t="shared" si="58"/>
        <v/>
      </c>
      <c r="P952" s="1" t="s">
        <v>20</v>
      </c>
      <c r="V952" s="1" t="s">
        <v>29566</v>
      </c>
      <c r="X952" s="1" t="s">
        <v>27842</v>
      </c>
      <c r="AR952" s="1" t="str">
        <f t="shared" si="59"/>
        <v>| [](.md) | [响](响.md) |  |  | 「響」的異體字。 |</v>
      </c>
    </row>
    <row r="953" spans="1:44" hidden="1">
      <c r="A953" s="1" t="s">
        <v>29567</v>
      </c>
      <c r="C953" s="1">
        <v>1</v>
      </c>
      <c r="D953" s="1" t="str">
        <f>"07221-1"</f>
        <v>07221-1</v>
      </c>
      <c r="E953" s="1" t="s">
        <v>679</v>
      </c>
      <c r="F953" s="1">
        <v>19</v>
      </c>
      <c r="G953" s="1">
        <v>13</v>
      </c>
      <c r="H953" s="1">
        <v>0</v>
      </c>
      <c r="K953" s="1" t="str">
        <f t="shared" si="56"/>
        <v/>
      </c>
      <c r="L953" s="1" t="str">
        <f t="shared" si="57"/>
        <v/>
      </c>
      <c r="M953" s="1" t="str">
        <f t="shared" si="58"/>
        <v/>
      </c>
      <c r="P953" s="1" t="s">
        <v>20</v>
      </c>
      <c r="V953" s="1" t="s">
        <v>29568</v>
      </c>
      <c r="X953" s="1" t="s">
        <v>27842</v>
      </c>
      <c r="AR953" s="1" t="str">
        <f t="shared" si="59"/>
        <v>| [](.md) | [蠁](蠁.md) |  |  | 「蠁」的異體字。 |</v>
      </c>
    </row>
    <row r="954" spans="1:44" hidden="1">
      <c r="A954" s="1" t="s">
        <v>29569</v>
      </c>
      <c r="C954" s="1">
        <v>1</v>
      </c>
      <c r="D954" s="1" t="str">
        <f>"07228-1"</f>
        <v>07228-1</v>
      </c>
      <c r="E954" s="1" t="s">
        <v>156</v>
      </c>
      <c r="F954" s="1">
        <v>20</v>
      </c>
      <c r="G954" s="1">
        <v>9</v>
      </c>
      <c r="H954" s="1">
        <v>0</v>
      </c>
      <c r="K954" s="1" t="str">
        <f t="shared" si="56"/>
        <v/>
      </c>
      <c r="L954" s="1" t="str">
        <f t="shared" si="57"/>
        <v/>
      </c>
      <c r="M954" s="1" t="str">
        <f t="shared" si="58"/>
        <v/>
      </c>
      <c r="P954" s="1" t="s">
        <v>20</v>
      </c>
      <c r="V954" s="1" t="s">
        <v>29570</v>
      </c>
      <c r="X954" s="1" t="s">
        <v>27842</v>
      </c>
      <c r="AR954" s="1" t="str">
        <f t="shared" si="59"/>
        <v>| [](.md) | [鯹](鯹.md) |  |  | 「腥」的異體字。 |</v>
      </c>
    </row>
    <row r="955" spans="1:44" hidden="1">
      <c r="A955" s="1" t="s">
        <v>29571</v>
      </c>
      <c r="C955" s="1">
        <v>1</v>
      </c>
      <c r="D955" s="1" t="str">
        <f>"07230-1"</f>
        <v>07230-1</v>
      </c>
      <c r="E955" s="1" t="s">
        <v>18</v>
      </c>
      <c r="F955" s="1">
        <v>8</v>
      </c>
      <c r="G955" s="1">
        <v>6</v>
      </c>
      <c r="H955" s="1">
        <v>0</v>
      </c>
      <c r="K955" s="1" t="str">
        <f t="shared" si="56"/>
        <v/>
      </c>
      <c r="L955" s="1" t="str">
        <f t="shared" si="57"/>
        <v/>
      </c>
      <c r="M955" s="1" t="str">
        <f t="shared" si="58"/>
        <v/>
      </c>
      <c r="P955" s="1" t="s">
        <v>20</v>
      </c>
      <c r="V955" s="1" t="s">
        <v>29572</v>
      </c>
      <c r="X955" s="1" t="s">
        <v>27842</v>
      </c>
      <c r="AR955" s="1" t="str">
        <f t="shared" si="59"/>
        <v>| [](.md) | [󽶞](󽶞.md) |  |  | 「興」的異體字。 |</v>
      </c>
    </row>
    <row r="956" spans="1:44" hidden="1">
      <c r="A956" s="1" t="s">
        <v>29573</v>
      </c>
      <c r="C956" s="1">
        <v>1</v>
      </c>
      <c r="D956" s="1" t="str">
        <f>"07231-1"</f>
        <v>07231-1</v>
      </c>
      <c r="E956" s="1" t="s">
        <v>518</v>
      </c>
      <c r="F956" s="1">
        <v>11</v>
      </c>
      <c r="G956" s="1">
        <v>7</v>
      </c>
      <c r="H956" s="1">
        <v>0</v>
      </c>
      <c r="K956" s="1" t="str">
        <f t="shared" si="56"/>
        <v/>
      </c>
      <c r="L956" s="1" t="str">
        <f t="shared" si="57"/>
        <v/>
      </c>
      <c r="M956" s="1" t="str">
        <f t="shared" si="58"/>
        <v/>
      </c>
      <c r="P956" s="1" t="s">
        <v>20</v>
      </c>
      <c r="V956" s="1" t="s">
        <v>29574</v>
      </c>
      <c r="X956" s="1" t="s">
        <v>27842</v>
      </c>
      <c r="AR956" s="1" t="str">
        <f t="shared" si="59"/>
        <v>| [](.md) | [𤙡](𤙡.md) |  |  | 「騂」的異體字。 |</v>
      </c>
    </row>
    <row r="957" spans="1:44" hidden="1">
      <c r="A957" s="1" t="s">
        <v>29575</v>
      </c>
      <c r="C957" s="1">
        <v>1</v>
      </c>
      <c r="D957" s="1" t="str">
        <f>"07233-1"</f>
        <v>07233-1</v>
      </c>
      <c r="E957" s="1" t="s">
        <v>185</v>
      </c>
      <c r="F957" s="1">
        <v>8</v>
      </c>
      <c r="G957" s="1">
        <v>6</v>
      </c>
      <c r="H957" s="1">
        <v>0</v>
      </c>
      <c r="K957" s="1" t="str">
        <f t="shared" si="56"/>
        <v/>
      </c>
      <c r="L957" s="1" t="str">
        <f t="shared" si="57"/>
        <v/>
      </c>
      <c r="M957" s="1" t="str">
        <f t="shared" si="58"/>
        <v/>
      </c>
      <c r="P957" s="1" t="s">
        <v>20</v>
      </c>
      <c r="V957" s="1" t="s">
        <v>29576</v>
      </c>
      <c r="X957" s="1" t="s">
        <v>27842</v>
      </c>
      <c r="AR957" s="1" t="str">
        <f t="shared" si="59"/>
        <v>| [](.md) | [𠛬](𠛬.md) |  |  | 「刑」的異體字。 |</v>
      </c>
    </row>
    <row r="958" spans="1:44" hidden="1">
      <c r="A958" s="1" t="s">
        <v>29577</v>
      </c>
      <c r="C958" s="1">
        <v>1</v>
      </c>
      <c r="D958" s="1" t="str">
        <f>"07234-1"</f>
        <v>07234-1</v>
      </c>
      <c r="E958" s="1" t="s">
        <v>1335</v>
      </c>
      <c r="F958" s="1">
        <v>9</v>
      </c>
      <c r="G958" s="1">
        <v>6</v>
      </c>
      <c r="H958" s="1">
        <v>0</v>
      </c>
      <c r="K958" s="1" t="str">
        <f t="shared" si="56"/>
        <v/>
      </c>
      <c r="L958" s="1" t="str">
        <f t="shared" si="57"/>
        <v/>
      </c>
      <c r="M958" s="1" t="str">
        <f t="shared" si="58"/>
        <v/>
      </c>
      <c r="P958" s="1" t="s">
        <v>20</v>
      </c>
      <c r="V958" s="1" t="s">
        <v>29578</v>
      </c>
      <c r="X958" s="1" t="s">
        <v>27842</v>
      </c>
      <c r="AR958" s="1" t="str">
        <f t="shared" si="59"/>
        <v>| [](.md) | [形](形.md) |  |  | 「形」的異體字。 |</v>
      </c>
    </row>
    <row r="959" spans="1:44" hidden="1">
      <c r="A959" s="1" t="s">
        <v>29579</v>
      </c>
      <c r="C959" s="1">
        <v>1</v>
      </c>
      <c r="D959" s="1" t="str">
        <f>"07235-1"</f>
        <v>07235-1</v>
      </c>
      <c r="E959" s="1" t="s">
        <v>256</v>
      </c>
      <c r="F959" s="1">
        <v>9</v>
      </c>
      <c r="G959" s="1">
        <v>6</v>
      </c>
      <c r="H959" s="1">
        <v>0</v>
      </c>
      <c r="K959" s="1" t="str">
        <f t="shared" si="56"/>
        <v/>
      </c>
      <c r="L959" s="1" t="str">
        <f t="shared" si="57"/>
        <v/>
      </c>
      <c r="M959" s="1" t="str">
        <f t="shared" si="58"/>
        <v/>
      </c>
      <c r="P959" s="1" t="s">
        <v>20</v>
      </c>
      <c r="V959" s="1" t="s">
        <v>29580</v>
      </c>
      <c r="X959" s="1" t="s">
        <v>27842</v>
      </c>
      <c r="AR959" s="1" t="str">
        <f t="shared" si="59"/>
        <v>| [](.md) | [郉](郉.md) |  |  | 「邢」的異體字。 |</v>
      </c>
    </row>
    <row r="960" spans="1:44" hidden="1">
      <c r="A960" s="1" t="s">
        <v>29581</v>
      </c>
      <c r="C960" s="1">
        <v>1</v>
      </c>
      <c r="D960" s="1" t="str">
        <f>"07236-1"</f>
        <v>07236-1</v>
      </c>
      <c r="E960" s="1" t="s">
        <v>132</v>
      </c>
      <c r="F960" s="1">
        <v>11</v>
      </c>
      <c r="G960" s="1">
        <v>8</v>
      </c>
      <c r="H960" s="1">
        <v>0</v>
      </c>
      <c r="K960" s="1" t="str">
        <f t="shared" si="56"/>
        <v/>
      </c>
      <c r="L960" s="1" t="str">
        <f t="shared" si="57"/>
        <v/>
      </c>
      <c r="M960" s="1" t="str">
        <f t="shared" si="58"/>
        <v/>
      </c>
      <c r="P960" s="1" t="s">
        <v>20</v>
      </c>
      <c r="V960" s="1" t="s">
        <v>29582</v>
      </c>
      <c r="X960" s="1" t="s">
        <v>27842</v>
      </c>
      <c r="AR960" s="1" t="str">
        <f t="shared" si="59"/>
        <v>| [](.md) | [型](型.md) |  |  | 「型」的異體字。 |</v>
      </c>
    </row>
    <row r="961" spans="1:44" hidden="1">
      <c r="A961" s="1" t="s">
        <v>29583</v>
      </c>
      <c r="C961" s="1">
        <v>1</v>
      </c>
      <c r="D961" s="1" t="str">
        <f>"07271-1"</f>
        <v>07271-1</v>
      </c>
      <c r="E961" s="1" t="s">
        <v>660</v>
      </c>
      <c r="F961" s="1">
        <v>11</v>
      </c>
      <c r="G961" s="1">
        <v>5</v>
      </c>
      <c r="H961" s="1">
        <v>0</v>
      </c>
      <c r="K961" s="1" t="str">
        <f t="shared" si="56"/>
        <v/>
      </c>
      <c r="L961" s="1" t="str">
        <f t="shared" si="57"/>
        <v/>
      </c>
      <c r="M961" s="1" t="str">
        <f t="shared" si="58"/>
        <v/>
      </c>
      <c r="P961" s="1" t="s">
        <v>20</v>
      </c>
      <c r="V961" s="1" t="s">
        <v>29584</v>
      </c>
      <c r="X961" s="1" t="s">
        <v>27842</v>
      </c>
      <c r="AR961" s="1" t="str">
        <f t="shared" si="59"/>
        <v>| [](.md) | [虗](虗.md) |  |  | 「虛」的異體字。 |</v>
      </c>
    </row>
    <row r="962" spans="1:44" hidden="1">
      <c r="A962" s="1" t="s">
        <v>29585</v>
      </c>
      <c r="C962" s="1">
        <v>1</v>
      </c>
      <c r="D962" s="1" t="str">
        <f>"07271-2"</f>
        <v>07271-2</v>
      </c>
      <c r="E962" s="1" t="s">
        <v>660</v>
      </c>
      <c r="F962" s="1">
        <v>11</v>
      </c>
      <c r="G962" s="1">
        <v>5</v>
      </c>
      <c r="H962" s="1">
        <v>0</v>
      </c>
      <c r="K962" s="1" t="str">
        <f t="shared" ref="K962:K1025" si="60">LEFT(I962, 1)</f>
        <v/>
      </c>
      <c r="L962" s="1" t="str">
        <f t="shared" ref="L962:L1025" si="61">MID(I962, 2, 1)</f>
        <v/>
      </c>
      <c r="M962" s="1" t="str">
        <f t="shared" ref="M962:M1025" si="62">MID(I962, 3, 1)</f>
        <v/>
      </c>
      <c r="P962" s="1" t="s">
        <v>20</v>
      </c>
      <c r="V962" s="1" t="s">
        <v>29584</v>
      </c>
      <c r="X962" s="1" t="s">
        <v>27842</v>
      </c>
      <c r="AR962" s="1" t="str">
        <f t="shared" si="59"/>
        <v>| [](.md) | [󵎆](󵎆.md) |  |  | 「虛」的異體字。 |</v>
      </c>
    </row>
    <row r="963" spans="1:44" hidden="1">
      <c r="A963" s="1" t="s">
        <v>29586</v>
      </c>
      <c r="C963" s="1">
        <v>1</v>
      </c>
      <c r="D963" s="1" t="str">
        <f>"07275-1"</f>
        <v>07275-1</v>
      </c>
      <c r="E963" s="1" t="s">
        <v>684</v>
      </c>
      <c r="F963" s="1">
        <v>12</v>
      </c>
      <c r="G963" s="1">
        <v>3</v>
      </c>
      <c r="H963" s="1">
        <v>0</v>
      </c>
      <c r="K963" s="1" t="str">
        <f t="shared" si="60"/>
        <v/>
      </c>
      <c r="L963" s="1" t="str">
        <f t="shared" si="61"/>
        <v/>
      </c>
      <c r="M963" s="1" t="str">
        <f t="shared" si="62"/>
        <v/>
      </c>
      <c r="P963" s="1" t="s">
        <v>20</v>
      </c>
      <c r="V963" s="1" t="s">
        <v>29587</v>
      </c>
      <c r="X963" s="1" t="s">
        <v>27842</v>
      </c>
      <c r="AR963" s="1" t="str">
        <f t="shared" ref="AR963:AR1026" si="63">"| ["&amp;I963&amp;"]("&amp;I963&amp;".md) | ["&amp;A963&amp;"]("&amp;A963&amp;".md) | "&amp;" | "&amp;R963&amp;" | "&amp;V963&amp;" |"</f>
        <v>| [](.md) | [湏](湏.md) |  |  | 「須」的異體字。 |</v>
      </c>
    </row>
    <row r="964" spans="1:44" hidden="1">
      <c r="A964" s="1" t="s">
        <v>29588</v>
      </c>
      <c r="C964" s="1">
        <v>1</v>
      </c>
      <c r="D964" s="1" t="str">
        <f>"07306-1"</f>
        <v>07306-1</v>
      </c>
      <c r="E964" s="1" t="s">
        <v>1681</v>
      </c>
      <c r="F964" s="1">
        <v>9</v>
      </c>
      <c r="G964" s="1">
        <v>3</v>
      </c>
      <c r="H964" s="1">
        <v>0</v>
      </c>
      <c r="K964" s="1" t="str">
        <f t="shared" si="60"/>
        <v/>
      </c>
      <c r="L964" s="1" t="str">
        <f t="shared" si="61"/>
        <v/>
      </c>
      <c r="M964" s="1" t="str">
        <f t="shared" si="62"/>
        <v/>
      </c>
      <c r="P964" s="1" t="s">
        <v>20</v>
      </c>
      <c r="V964" s="1" t="s">
        <v>29589</v>
      </c>
      <c r="X964" s="1" t="s">
        <v>27842</v>
      </c>
      <c r="AR964" s="1" t="str">
        <f t="shared" si="63"/>
        <v>| [](.md) | [䘏](䘏.md) |  |  | 「卹」的異體字。 |</v>
      </c>
    </row>
    <row r="965" spans="1:44" hidden="1">
      <c r="A965" s="1" t="s">
        <v>29590</v>
      </c>
      <c r="C965" s="1">
        <v>1</v>
      </c>
      <c r="D965" s="1" t="str">
        <f>"07317-1"</f>
        <v>07317-1</v>
      </c>
      <c r="E965" s="1" t="s">
        <v>1880</v>
      </c>
      <c r="F965" s="1">
        <v>9</v>
      </c>
      <c r="G965" s="1">
        <v>7</v>
      </c>
      <c r="H965" s="1">
        <v>0</v>
      </c>
      <c r="K965" s="1" t="str">
        <f t="shared" si="60"/>
        <v/>
      </c>
      <c r="L965" s="1" t="str">
        <f t="shared" si="61"/>
        <v/>
      </c>
      <c r="M965" s="1" t="str">
        <f t="shared" si="62"/>
        <v/>
      </c>
      <c r="P965" s="1" t="s">
        <v>20</v>
      </c>
      <c r="V965" s="1" t="s">
        <v>29591</v>
      </c>
      <c r="X965" s="1" t="s">
        <v>27842</v>
      </c>
      <c r="AR965" s="1" t="str">
        <f t="shared" si="63"/>
        <v>| [](.md) | [叙](叙.md) |  |  | 「敘」的異體字。 |</v>
      </c>
    </row>
    <row r="966" spans="1:44" hidden="1">
      <c r="A966" s="1" t="s">
        <v>29592</v>
      </c>
      <c r="C966" s="1">
        <v>1</v>
      </c>
      <c r="D966" s="1" t="str">
        <f>"07317-2"</f>
        <v>07317-2</v>
      </c>
      <c r="E966" s="1" t="s">
        <v>24</v>
      </c>
      <c r="F966" s="1">
        <v>11</v>
      </c>
      <c r="G966" s="1">
        <v>7</v>
      </c>
      <c r="H966" s="1">
        <v>0</v>
      </c>
      <c r="K966" s="1" t="str">
        <f t="shared" si="60"/>
        <v/>
      </c>
      <c r="L966" s="1" t="str">
        <f t="shared" si="61"/>
        <v/>
      </c>
      <c r="M966" s="1" t="str">
        <f t="shared" si="62"/>
        <v/>
      </c>
      <c r="P966" s="1" t="s">
        <v>20</v>
      </c>
      <c r="V966" s="1" t="s">
        <v>29591</v>
      </c>
      <c r="X966" s="1" t="s">
        <v>27842</v>
      </c>
      <c r="AR966" s="1" t="str">
        <f t="shared" si="63"/>
        <v>| [](.md) | [敍](敍.md) |  |  | 「敘」的異體字。 |</v>
      </c>
    </row>
    <row r="967" spans="1:44" hidden="1">
      <c r="A967" s="1" t="s">
        <v>29593</v>
      </c>
      <c r="C967" s="1">
        <v>1</v>
      </c>
      <c r="D967" s="1" t="str">
        <f>"07321-1"</f>
        <v>07321-1</v>
      </c>
      <c r="E967" s="1" t="s">
        <v>11385</v>
      </c>
      <c r="F967" s="1">
        <v>12</v>
      </c>
      <c r="G967" s="1">
        <v>9</v>
      </c>
      <c r="H967" s="1">
        <v>0</v>
      </c>
      <c r="K967" s="1" t="str">
        <f t="shared" si="60"/>
        <v/>
      </c>
      <c r="L967" s="1" t="str">
        <f t="shared" si="61"/>
        <v/>
      </c>
      <c r="M967" s="1" t="str">
        <f t="shared" si="62"/>
        <v/>
      </c>
      <c r="P967" s="1" t="s">
        <v>20</v>
      </c>
      <c r="V967" s="1" t="s">
        <v>29594</v>
      </c>
      <c r="X967" s="1" t="s">
        <v>27842</v>
      </c>
      <c r="AR967" s="1" t="str">
        <f t="shared" si="63"/>
        <v>| [](.md) | [壻](壻.md) |  |  | 「婿」的異體字。 |</v>
      </c>
    </row>
    <row r="968" spans="1:44" hidden="1">
      <c r="A968" s="1" t="s">
        <v>29595</v>
      </c>
      <c r="C968" s="1">
        <v>1</v>
      </c>
      <c r="D968" s="1" t="str">
        <f>"07331-1"</f>
        <v>07331-1</v>
      </c>
      <c r="E968" s="1" t="s">
        <v>96</v>
      </c>
      <c r="F968" s="1">
        <v>21</v>
      </c>
      <c r="G968" s="1">
        <v>12</v>
      </c>
      <c r="H968" s="1">
        <v>0</v>
      </c>
      <c r="K968" s="1" t="str">
        <f t="shared" si="60"/>
        <v/>
      </c>
      <c r="L968" s="1" t="str">
        <f t="shared" si="61"/>
        <v/>
      </c>
      <c r="M968" s="1" t="str">
        <f t="shared" si="62"/>
        <v/>
      </c>
      <c r="P968" s="1" t="s">
        <v>20</v>
      </c>
      <c r="V968" s="1" t="s">
        <v>29596</v>
      </c>
      <c r="X968" s="1" t="s">
        <v>27842</v>
      </c>
      <c r="AR968" s="1" t="str">
        <f t="shared" si="63"/>
        <v>| [](.md) | [鞾](鞾.md) |  |  | 「靴」的異體字。 |</v>
      </c>
    </row>
    <row r="969" spans="1:44" hidden="1">
      <c r="A969" s="1" t="s">
        <v>29597</v>
      </c>
      <c r="C969" s="1">
        <v>1</v>
      </c>
      <c r="D969" s="1" t="str">
        <f>"07333-1"</f>
        <v>07333-1</v>
      </c>
      <c r="E969" s="1" t="s">
        <v>732</v>
      </c>
      <c r="F969" s="1">
        <v>16</v>
      </c>
      <c r="G969" s="1">
        <v>9</v>
      </c>
      <c r="H969" s="1">
        <v>0</v>
      </c>
      <c r="K969" s="1" t="str">
        <f t="shared" si="60"/>
        <v/>
      </c>
      <c r="L969" s="1" t="str">
        <f t="shared" si="61"/>
        <v/>
      </c>
      <c r="M969" s="1" t="str">
        <f t="shared" si="62"/>
        <v/>
      </c>
      <c r="P969" s="1" t="s">
        <v>20</v>
      </c>
      <c r="V969" s="1" t="s">
        <v>29598</v>
      </c>
      <c r="X969" s="1" t="s">
        <v>27842</v>
      </c>
      <c r="AR969" s="1" t="str">
        <f t="shared" si="63"/>
        <v>| [](.md) | [辥](辥.md) |  |  | 「薛」的異體字。 |</v>
      </c>
    </row>
    <row r="970" spans="1:44" hidden="1">
      <c r="A970" s="1" t="s">
        <v>29599</v>
      </c>
      <c r="C970" s="1">
        <v>1</v>
      </c>
      <c r="D970" s="1" t="str">
        <f>"07336-1"</f>
        <v>07336-1</v>
      </c>
      <c r="E970" s="1" t="s">
        <v>241</v>
      </c>
      <c r="F970" s="1">
        <v>7</v>
      </c>
      <c r="G970" s="1">
        <v>4</v>
      </c>
      <c r="H970" s="1">
        <v>0</v>
      </c>
      <c r="K970" s="1" t="str">
        <f t="shared" si="60"/>
        <v/>
      </c>
      <c r="L970" s="1" t="str">
        <f t="shared" si="61"/>
        <v/>
      </c>
      <c r="M970" s="1" t="str">
        <f t="shared" si="62"/>
        <v/>
      </c>
      <c r="P970" s="1" t="s">
        <v>20</v>
      </c>
      <c r="V970" s="1" t="s">
        <v>29600</v>
      </c>
      <c r="X970" s="1" t="s">
        <v>27842</v>
      </c>
      <c r="AR970" s="1" t="str">
        <f t="shared" si="63"/>
        <v>| [](.md) | [斈](斈.md) |  |  | 「學」的異體字。 |</v>
      </c>
    </row>
    <row r="971" spans="1:44" hidden="1">
      <c r="A971" s="1" t="s">
        <v>29182</v>
      </c>
      <c r="C971" s="1">
        <v>1</v>
      </c>
      <c r="D971" s="1" t="str">
        <f>"07336-3"</f>
        <v>07336-3</v>
      </c>
      <c r="E971" s="1" t="s">
        <v>426</v>
      </c>
      <c r="F971" s="1">
        <v>20</v>
      </c>
      <c r="G971" s="1">
        <v>16</v>
      </c>
      <c r="H971" s="1">
        <v>0</v>
      </c>
      <c r="K971" s="1" t="str">
        <f t="shared" si="60"/>
        <v/>
      </c>
      <c r="L971" s="1" t="str">
        <f t="shared" si="61"/>
        <v/>
      </c>
      <c r="M971" s="1" t="str">
        <f t="shared" si="62"/>
        <v/>
      </c>
      <c r="P971" s="1" t="s">
        <v>20</v>
      </c>
      <c r="V971" s="1" t="s">
        <v>29600</v>
      </c>
      <c r="X971" s="1" t="s">
        <v>27842</v>
      </c>
      <c r="AR971" s="1" t="str">
        <f t="shared" si="63"/>
        <v>| [](.md) | [斅](斅.md) |  |  | 「學」的異體字。 |</v>
      </c>
    </row>
    <row r="972" spans="1:44" hidden="1">
      <c r="A972" s="1" t="s">
        <v>29601</v>
      </c>
      <c r="C972" s="1">
        <v>1</v>
      </c>
      <c r="D972" s="1" t="str">
        <f>"07355-1"</f>
        <v>07355-1</v>
      </c>
      <c r="E972" s="1" t="s">
        <v>37</v>
      </c>
      <c r="F972" s="1">
        <v>17</v>
      </c>
      <c r="G972" s="1">
        <v>13</v>
      </c>
      <c r="H972" s="1">
        <v>0</v>
      </c>
      <c r="K972" s="1" t="str">
        <f t="shared" si="60"/>
        <v/>
      </c>
      <c r="L972" s="1" t="str">
        <f t="shared" si="61"/>
        <v/>
      </c>
      <c r="M972" s="1" t="str">
        <f t="shared" si="62"/>
        <v/>
      </c>
      <c r="P972" s="1" t="s">
        <v>20</v>
      </c>
      <c r="V972" s="1" t="s">
        <v>29602</v>
      </c>
      <c r="X972" s="1" t="s">
        <v>27842</v>
      </c>
      <c r="AR972" s="1" t="str">
        <f t="shared" si="63"/>
        <v>| [](.md) | [蕿](蕿.md) |  |  | 「萱」的異體字。 |</v>
      </c>
    </row>
    <row r="973" spans="1:44" hidden="1">
      <c r="A973" s="1" t="s">
        <v>29603</v>
      </c>
      <c r="C973" s="1">
        <v>1</v>
      </c>
      <c r="D973" s="1" t="str">
        <f>"07368-1"</f>
        <v>07368-1</v>
      </c>
      <c r="E973" s="1" t="s">
        <v>132</v>
      </c>
      <c r="F973" s="1">
        <v>12</v>
      </c>
      <c r="G973" s="1">
        <v>9</v>
      </c>
      <c r="H973" s="1">
        <v>0</v>
      </c>
      <c r="K973" s="1" t="str">
        <f t="shared" si="60"/>
        <v/>
      </c>
      <c r="L973" s="1" t="str">
        <f t="shared" si="61"/>
        <v/>
      </c>
      <c r="M973" s="1" t="str">
        <f t="shared" si="62"/>
        <v/>
      </c>
      <c r="P973" s="1" t="s">
        <v>20</v>
      </c>
      <c r="V973" s="1" t="s">
        <v>29604</v>
      </c>
      <c r="X973" s="1" t="s">
        <v>27842</v>
      </c>
      <c r="AR973" s="1" t="str">
        <f t="shared" si="63"/>
        <v>| [](.md) | [𡎖](𡎖.md) |  |  | 「壎」的異體字。 |</v>
      </c>
    </row>
    <row r="974" spans="1:44" hidden="1">
      <c r="A974" s="1" t="s">
        <v>29605</v>
      </c>
      <c r="C974" s="1">
        <v>1</v>
      </c>
      <c r="D974" s="1" t="str">
        <f>"07380-1"</f>
        <v>07380-1</v>
      </c>
      <c r="E974" s="1" t="s">
        <v>558</v>
      </c>
      <c r="F974" s="1">
        <v>10</v>
      </c>
      <c r="G974" s="1">
        <v>6</v>
      </c>
      <c r="H974" s="1">
        <v>0</v>
      </c>
      <c r="K974" s="1" t="str">
        <f t="shared" si="60"/>
        <v/>
      </c>
      <c r="L974" s="1" t="str">
        <f t="shared" si="61"/>
        <v/>
      </c>
      <c r="M974" s="1" t="str">
        <f t="shared" si="62"/>
        <v/>
      </c>
      <c r="P974" s="1" t="s">
        <v>20</v>
      </c>
      <c r="V974" s="1" t="s">
        <v>29606</v>
      </c>
      <c r="X974" s="1" t="s">
        <v>27842</v>
      </c>
      <c r="AR974" s="1" t="str">
        <f t="shared" si="63"/>
        <v>| [](.md) | [选](选.md) |  |  | 「選」的異體字。 |</v>
      </c>
    </row>
    <row r="975" spans="1:44" hidden="1">
      <c r="A975" s="1" t="s">
        <v>29607</v>
      </c>
      <c r="C975" s="1">
        <v>1</v>
      </c>
      <c r="D975" s="1" t="str">
        <f>"07399-1"</f>
        <v>07399-1</v>
      </c>
      <c r="E975" s="1" t="s">
        <v>245</v>
      </c>
      <c r="F975" s="1">
        <v>16</v>
      </c>
      <c r="G975" s="1">
        <v>14</v>
      </c>
      <c r="H975" s="1">
        <v>0</v>
      </c>
      <c r="K975" s="1" t="str">
        <f t="shared" si="60"/>
        <v/>
      </c>
      <c r="L975" s="1" t="str">
        <f t="shared" si="61"/>
        <v/>
      </c>
      <c r="M975" s="1" t="str">
        <f t="shared" si="62"/>
        <v/>
      </c>
      <c r="P975" s="1" t="s">
        <v>20</v>
      </c>
      <c r="V975" s="1" t="s">
        <v>29608</v>
      </c>
      <c r="X975" s="1" t="s">
        <v>27842</v>
      </c>
      <c r="AR975" s="1" t="str">
        <f t="shared" si="63"/>
        <v>| [](.md) | [勳](勳.md) |  |  | 「勛」的異體字。 |</v>
      </c>
    </row>
    <row r="976" spans="1:44" hidden="1">
      <c r="A976" s="1" t="s">
        <v>29609</v>
      </c>
      <c r="C976" s="1">
        <v>1</v>
      </c>
      <c r="D976" s="1" t="str">
        <f>"07421-1"</f>
        <v>07421-1</v>
      </c>
      <c r="E976" s="1" t="s">
        <v>6679</v>
      </c>
      <c r="F976" s="1">
        <v>6</v>
      </c>
      <c r="G976" s="1">
        <v>3</v>
      </c>
      <c r="H976" s="1">
        <v>0</v>
      </c>
      <c r="K976" s="1" t="str">
        <f t="shared" si="60"/>
        <v/>
      </c>
      <c r="L976" s="1" t="str">
        <f t="shared" si="61"/>
        <v/>
      </c>
      <c r="M976" s="1" t="str">
        <f t="shared" si="62"/>
        <v/>
      </c>
      <c r="P976" s="1" t="s">
        <v>20</v>
      </c>
      <c r="V976" s="1" t="s">
        <v>29610</v>
      </c>
      <c r="X976" s="1" t="s">
        <v>27842</v>
      </c>
      <c r="AR976" s="1" t="str">
        <f t="shared" si="63"/>
        <v>| [](.md) | [廵](廵.md) |  |  | 「巡」的異體字。 |</v>
      </c>
    </row>
    <row r="977" spans="1:44" hidden="1">
      <c r="A977" s="1" t="s">
        <v>29611</v>
      </c>
      <c r="C977" s="1">
        <v>1</v>
      </c>
      <c r="D977" s="1" t="str">
        <f>"07443-1"</f>
        <v>07443-1</v>
      </c>
      <c r="E977" s="1" t="s">
        <v>241</v>
      </c>
      <c r="F977" s="1">
        <v>6</v>
      </c>
      <c r="G977" s="1">
        <v>3</v>
      </c>
      <c r="H977" s="1">
        <v>0</v>
      </c>
      <c r="K977" s="1" t="str">
        <f t="shared" si="60"/>
        <v/>
      </c>
      <c r="L977" s="1" t="str">
        <f t="shared" si="61"/>
        <v/>
      </c>
      <c r="M977" s="1" t="str">
        <f t="shared" si="62"/>
        <v/>
      </c>
      <c r="P977" s="1" t="s">
        <v>20</v>
      </c>
      <c r="V977" s="1" t="s">
        <v>29612</v>
      </c>
      <c r="X977" s="1" t="s">
        <v>27842</v>
      </c>
      <c r="AR977" s="1" t="str">
        <f t="shared" si="63"/>
        <v>| [](.md) | [孙](孙.md) |  |  | 「孫」的異體字。 |</v>
      </c>
    </row>
    <row r="978" spans="1:44" hidden="1">
      <c r="A978" s="1" t="s">
        <v>29613</v>
      </c>
      <c r="C978" s="1">
        <v>1</v>
      </c>
      <c r="D978" s="1" t="str">
        <f>"07444-1"</f>
        <v>07444-1</v>
      </c>
      <c r="E978" s="1" t="s">
        <v>558</v>
      </c>
      <c r="F978" s="1">
        <v>10</v>
      </c>
      <c r="G978" s="1">
        <v>6</v>
      </c>
      <c r="H978" s="1">
        <v>0</v>
      </c>
      <c r="K978" s="1" t="str">
        <f t="shared" si="60"/>
        <v/>
      </c>
      <c r="L978" s="1" t="str">
        <f t="shared" si="61"/>
        <v/>
      </c>
      <c r="M978" s="1" t="str">
        <f t="shared" si="62"/>
        <v/>
      </c>
      <c r="P978" s="1" t="s">
        <v>20</v>
      </c>
      <c r="V978" s="1" t="s">
        <v>29614</v>
      </c>
      <c r="X978" s="1" t="s">
        <v>27842</v>
      </c>
      <c r="AR978" s="1" t="str">
        <f t="shared" si="63"/>
        <v>| [](.md) | [逊](逊.md) |  |  | 「遜」的異體字。 |</v>
      </c>
    </row>
    <row r="979" spans="1:44" hidden="1">
      <c r="A979" s="1" t="s">
        <v>29615</v>
      </c>
      <c r="C979" s="1">
        <v>1</v>
      </c>
      <c r="D979" s="1" t="str">
        <f>"07453-1"</f>
        <v>07453-1</v>
      </c>
      <c r="E979" s="1" t="s">
        <v>331</v>
      </c>
      <c r="F979" s="1">
        <v>11</v>
      </c>
      <c r="G979" s="1">
        <v>4</v>
      </c>
      <c r="H979" s="1">
        <v>0</v>
      </c>
      <c r="K979" s="1" t="str">
        <f t="shared" si="60"/>
        <v/>
      </c>
      <c r="L979" s="1" t="str">
        <f t="shared" si="61"/>
        <v/>
      </c>
      <c r="M979" s="1" t="str">
        <f t="shared" si="62"/>
        <v/>
      </c>
      <c r="P979" s="1" t="s">
        <v>20</v>
      </c>
      <c r="V979" s="1" t="s">
        <v>29616</v>
      </c>
      <c r="X979" s="1" t="s">
        <v>27842</v>
      </c>
      <c r="AR979" s="1" t="str">
        <f t="shared" si="63"/>
        <v>| [](.md) | [訩](訩.md) |  |  | 「忷」的異體字。 |</v>
      </c>
    </row>
    <row r="980" spans="1:44" hidden="1">
      <c r="A980" s="1" t="s">
        <v>29617</v>
      </c>
      <c r="C980" s="1">
        <v>1</v>
      </c>
      <c r="D980" s="1" t="str">
        <f>"07453-2"</f>
        <v>07453-2</v>
      </c>
      <c r="E980" s="1" t="s">
        <v>331</v>
      </c>
      <c r="F980" s="1">
        <v>13</v>
      </c>
      <c r="G980" s="1">
        <v>6</v>
      </c>
      <c r="H980" s="1">
        <v>0</v>
      </c>
      <c r="K980" s="1" t="str">
        <f t="shared" si="60"/>
        <v/>
      </c>
      <c r="L980" s="1" t="str">
        <f t="shared" si="61"/>
        <v/>
      </c>
      <c r="M980" s="1" t="str">
        <f t="shared" si="62"/>
        <v/>
      </c>
      <c r="P980" s="1" t="s">
        <v>20</v>
      </c>
      <c r="V980" s="1" t="s">
        <v>29616</v>
      </c>
      <c r="X980" s="1" t="s">
        <v>27842</v>
      </c>
      <c r="AR980" s="1" t="str">
        <f t="shared" si="63"/>
        <v>| [](.md) | [詾](詾.md) |  |  | 「忷」的異體字。 |</v>
      </c>
    </row>
    <row r="981" spans="1:44" hidden="1">
      <c r="A981" s="1" t="s">
        <v>29618</v>
      </c>
      <c r="C981" s="1">
        <v>1</v>
      </c>
      <c r="D981" s="1" t="str">
        <f>"07454-1"</f>
        <v>07454-1</v>
      </c>
      <c r="E981" s="1" t="s">
        <v>129</v>
      </c>
      <c r="F981" s="1">
        <v>7</v>
      </c>
      <c r="G981" s="1">
        <v>4</v>
      </c>
      <c r="H981" s="1">
        <v>0</v>
      </c>
      <c r="K981" s="1" t="str">
        <f t="shared" si="60"/>
        <v/>
      </c>
      <c r="L981" s="1" t="str">
        <f t="shared" si="61"/>
        <v/>
      </c>
      <c r="M981" s="1" t="str">
        <f t="shared" si="62"/>
        <v/>
      </c>
      <c r="P981" s="1" t="s">
        <v>20</v>
      </c>
      <c r="V981" s="1" t="s">
        <v>29619</v>
      </c>
      <c r="X981" s="1" t="s">
        <v>27842</v>
      </c>
      <c r="AR981" s="1" t="str">
        <f t="shared" si="63"/>
        <v>| [](.md) | [汹](汹.md) |  |  | 「洶」的異體字。 |</v>
      </c>
    </row>
    <row r="982" spans="1:44" hidden="1">
      <c r="A982" s="1" t="s">
        <v>29620</v>
      </c>
      <c r="C982" s="1">
        <v>1</v>
      </c>
      <c r="D982" s="1" t="str">
        <f>"07457-1"</f>
        <v>07457-1</v>
      </c>
      <c r="E982" s="1" t="s">
        <v>68</v>
      </c>
      <c r="F982" s="1">
        <v>10</v>
      </c>
      <c r="G982" s="1">
        <v>6</v>
      </c>
      <c r="H982" s="1">
        <v>0</v>
      </c>
      <c r="K982" s="1" t="str">
        <f t="shared" si="60"/>
        <v/>
      </c>
      <c r="L982" s="1" t="str">
        <f t="shared" si="61"/>
        <v/>
      </c>
      <c r="M982" s="1" t="str">
        <f t="shared" si="62"/>
        <v/>
      </c>
      <c r="P982" s="1" t="s">
        <v>20</v>
      </c>
      <c r="V982" s="1" t="s">
        <v>29621</v>
      </c>
      <c r="X982" s="1" t="s">
        <v>27842</v>
      </c>
      <c r="AR982" s="1" t="str">
        <f t="shared" si="63"/>
        <v>| [](.md) | [胷](胷.md) |  |  | 「胸」的異體字。 |</v>
      </c>
    </row>
    <row r="983" spans="1:44" hidden="1">
      <c r="A983" s="1" t="s">
        <v>29622</v>
      </c>
      <c r="C983" s="1">
        <v>1</v>
      </c>
      <c r="D983" s="1" t="str">
        <f>"07480-1"</f>
        <v>07480-1</v>
      </c>
      <c r="E983" s="1" t="s">
        <v>31</v>
      </c>
      <c r="F983" s="1">
        <v>7</v>
      </c>
      <c r="G983" s="1">
        <v>4</v>
      </c>
      <c r="H983" s="1">
        <v>0</v>
      </c>
      <c r="K983" s="1" t="str">
        <f t="shared" si="60"/>
        <v/>
      </c>
      <c r="L983" s="1" t="str">
        <f t="shared" si="61"/>
        <v/>
      </c>
      <c r="M983" s="1" t="str">
        <f t="shared" si="62"/>
        <v/>
      </c>
      <c r="P983" s="1" t="s">
        <v>20</v>
      </c>
      <c r="V983" s="1" t="s">
        <v>29623</v>
      </c>
      <c r="X983" s="1" t="s">
        <v>27842</v>
      </c>
      <c r="AR983" s="1" t="str">
        <f t="shared" si="63"/>
        <v>| [](.md) | [巵](巵.md) |  |  | 「卮」的異體字。 |</v>
      </c>
    </row>
    <row r="984" spans="1:44" hidden="1">
      <c r="A984" s="1" t="s">
        <v>29624</v>
      </c>
      <c r="C984" s="1">
        <v>1</v>
      </c>
      <c r="D984" s="1" t="str">
        <f>"07482-1"</f>
        <v>07482-1</v>
      </c>
      <c r="E984" s="1" t="s">
        <v>3331</v>
      </c>
      <c r="F984" s="1">
        <v>21</v>
      </c>
      <c r="G984" s="1">
        <v>8</v>
      </c>
      <c r="H984" s="1">
        <v>0</v>
      </c>
      <c r="K984" s="1" t="str">
        <f t="shared" si="60"/>
        <v/>
      </c>
      <c r="L984" s="1" t="str">
        <f t="shared" si="61"/>
        <v/>
      </c>
      <c r="M984" s="1" t="str">
        <f t="shared" si="62"/>
        <v/>
      </c>
      <c r="P984" s="1" t="s">
        <v>20</v>
      </c>
      <c r="V984" s="1" t="s">
        <v>29625</v>
      </c>
      <c r="X984" s="1" t="s">
        <v>27842</v>
      </c>
      <c r="AR984" s="1" t="str">
        <f t="shared" si="63"/>
        <v>| [](.md) | [鼅](鼅.md) |  |  | 「蜘」的異體字。 |</v>
      </c>
    </row>
    <row r="985" spans="1:44" hidden="1">
      <c r="A985" s="1" t="s">
        <v>29626</v>
      </c>
      <c r="C985" s="1">
        <v>1</v>
      </c>
      <c r="D985" s="1" t="str">
        <f>"07485-1"</f>
        <v>07485-1</v>
      </c>
      <c r="E985" s="1" t="s">
        <v>139</v>
      </c>
      <c r="F985" s="1">
        <v>9</v>
      </c>
      <c r="G985" s="1">
        <v>5</v>
      </c>
      <c r="H985" s="1">
        <v>0</v>
      </c>
      <c r="K985" s="1" t="str">
        <f t="shared" si="60"/>
        <v/>
      </c>
      <c r="L985" s="1" t="str">
        <f t="shared" si="61"/>
        <v/>
      </c>
      <c r="M985" s="1" t="str">
        <f t="shared" si="62"/>
        <v/>
      </c>
      <c r="P985" s="1" t="s">
        <v>20</v>
      </c>
      <c r="V985" s="1" t="s">
        <v>29627</v>
      </c>
      <c r="X985" s="1" t="s">
        <v>27842</v>
      </c>
      <c r="AR985" s="1" t="str">
        <f t="shared" si="63"/>
        <v>| [](.md) | [栀](栀.md) |  |  | 「梔」的異體字。 |</v>
      </c>
    </row>
    <row r="986" spans="1:44" hidden="1">
      <c r="A986" s="1" t="s">
        <v>29628</v>
      </c>
      <c r="C986" s="1">
        <v>1</v>
      </c>
      <c r="D986" s="1" t="str">
        <f>"07490-1"</f>
        <v>07490-1</v>
      </c>
      <c r="E986" s="1" t="s">
        <v>114</v>
      </c>
      <c r="F986" s="1">
        <v>10</v>
      </c>
      <c r="G986" s="1">
        <v>8</v>
      </c>
      <c r="H986" s="1">
        <v>0</v>
      </c>
      <c r="K986" s="1" t="str">
        <f t="shared" si="60"/>
        <v/>
      </c>
      <c r="L986" s="1" t="str">
        <f t="shared" si="61"/>
        <v/>
      </c>
      <c r="M986" s="1" t="str">
        <f t="shared" si="62"/>
        <v/>
      </c>
      <c r="P986" s="1" t="s">
        <v>20</v>
      </c>
      <c r="V986" s="1" t="s">
        <v>29629</v>
      </c>
      <c r="X986" s="1" t="s">
        <v>27842</v>
      </c>
      <c r="AR986" s="1" t="str">
        <f t="shared" si="63"/>
        <v>| [](.md) | [値](値.md) |  |  | 「值」的異體字。 |</v>
      </c>
    </row>
    <row r="987" spans="1:44" hidden="1">
      <c r="A987" s="1" t="s">
        <v>29630</v>
      </c>
      <c r="C987" s="1">
        <v>1</v>
      </c>
      <c r="D987" s="1" t="str">
        <f>"07491-1"</f>
        <v>07491-1</v>
      </c>
      <c r="E987" s="1" t="s">
        <v>132</v>
      </c>
      <c r="F987" s="1">
        <v>11</v>
      </c>
      <c r="G987" s="1">
        <v>8</v>
      </c>
      <c r="H987" s="1">
        <v>0</v>
      </c>
      <c r="K987" s="1" t="str">
        <f t="shared" si="60"/>
        <v/>
      </c>
      <c r="L987" s="1" t="str">
        <f t="shared" si="61"/>
        <v/>
      </c>
      <c r="M987" s="1" t="str">
        <f t="shared" si="62"/>
        <v/>
      </c>
      <c r="P987" s="1" t="s">
        <v>20</v>
      </c>
      <c r="V987" s="1" t="s">
        <v>29631</v>
      </c>
      <c r="X987" s="1" t="s">
        <v>27842</v>
      </c>
      <c r="AR987" s="1" t="str">
        <f t="shared" si="63"/>
        <v>| [](.md) | [󿴶](󿴶.md) |  |  | 「埴」的異體字。 |</v>
      </c>
    </row>
    <row r="988" spans="1:44" hidden="1">
      <c r="A988" s="1" t="s">
        <v>29632</v>
      </c>
      <c r="C988" s="1">
        <v>1</v>
      </c>
      <c r="D988" s="1" t="str">
        <f>"07495-1"</f>
        <v>07495-1</v>
      </c>
      <c r="E988" s="1" t="s">
        <v>429</v>
      </c>
      <c r="F988" s="1">
        <v>13</v>
      </c>
      <c r="G988" s="1">
        <v>8</v>
      </c>
      <c r="H988" s="1">
        <v>0</v>
      </c>
      <c r="K988" s="1" t="str">
        <f t="shared" si="60"/>
        <v/>
      </c>
      <c r="L988" s="1" t="str">
        <f t="shared" si="61"/>
        <v/>
      </c>
      <c r="M988" s="1" t="str">
        <f t="shared" si="62"/>
        <v/>
      </c>
      <c r="P988" s="1" t="s">
        <v>20</v>
      </c>
      <c r="V988" s="1" t="s">
        <v>29633</v>
      </c>
      <c r="X988" s="1" t="s">
        <v>27842</v>
      </c>
      <c r="AR988" s="1" t="str">
        <f t="shared" si="63"/>
        <v>| [](.md) | [󿵰](󿵰.md) |  |  | 「稙」的異體字。 |</v>
      </c>
    </row>
    <row r="989" spans="1:44" hidden="1">
      <c r="A989" s="1" t="s">
        <v>29634</v>
      </c>
      <c r="C989" s="1">
        <v>1</v>
      </c>
      <c r="D989" s="1" t="str">
        <f>"07500-1"</f>
        <v>07500-1</v>
      </c>
      <c r="E989" s="1" t="s">
        <v>24</v>
      </c>
      <c r="F989" s="1">
        <v>6</v>
      </c>
      <c r="G989" s="1">
        <v>3</v>
      </c>
      <c r="H989" s="1">
        <v>0</v>
      </c>
      <c r="K989" s="1" t="str">
        <f t="shared" si="60"/>
        <v/>
      </c>
      <c r="L989" s="1" t="str">
        <f t="shared" si="61"/>
        <v/>
      </c>
      <c r="M989" s="1" t="str">
        <f t="shared" si="62"/>
        <v/>
      </c>
      <c r="P989" s="1" t="s">
        <v>20</v>
      </c>
      <c r="V989" s="1" t="s">
        <v>29635</v>
      </c>
      <c r="X989" s="1" t="s">
        <v>27842</v>
      </c>
      <c r="AR989" s="1" t="str">
        <f t="shared" si="63"/>
        <v>| [](.md) | [执](执.md) |  |  | 「執」的異體字。 |</v>
      </c>
    </row>
    <row r="990" spans="1:44" hidden="1">
      <c r="A990" s="1" t="s">
        <v>29636</v>
      </c>
      <c r="C990" s="1">
        <v>1</v>
      </c>
      <c r="D990" s="1" t="str">
        <f>"07501-1"</f>
        <v>07501-1</v>
      </c>
      <c r="E990" s="1" t="s">
        <v>679</v>
      </c>
      <c r="F990" s="1">
        <v>12</v>
      </c>
      <c r="G990" s="1">
        <v>6</v>
      </c>
      <c r="H990" s="1">
        <v>0</v>
      </c>
      <c r="K990" s="1" t="str">
        <f t="shared" si="60"/>
        <v/>
      </c>
      <c r="L990" s="1" t="str">
        <f t="shared" si="61"/>
        <v/>
      </c>
      <c r="M990" s="1" t="str">
        <f t="shared" si="62"/>
        <v/>
      </c>
      <c r="P990" s="1" t="s">
        <v>20</v>
      </c>
      <c r="V990" s="1" t="s">
        <v>29637</v>
      </c>
      <c r="X990" s="1" t="s">
        <v>27842</v>
      </c>
      <c r="AR990" s="1" t="str">
        <f t="shared" si="63"/>
        <v>| [](.md) | [蛰](蛰.md) |  |  | 「蟄」的異體字。 |</v>
      </c>
    </row>
    <row r="991" spans="1:44" hidden="1">
      <c r="A991" s="1" t="s">
        <v>29638</v>
      </c>
      <c r="C991" s="1">
        <v>1</v>
      </c>
      <c r="D991" s="1" t="str">
        <f>"07505-1"</f>
        <v>07505-1</v>
      </c>
      <c r="E991" s="1" t="s">
        <v>77</v>
      </c>
      <c r="F991" s="1">
        <v>15</v>
      </c>
      <c r="G991" s="1">
        <v>8</v>
      </c>
      <c r="H991" s="1">
        <v>0</v>
      </c>
      <c r="K991" s="1" t="str">
        <f t="shared" si="60"/>
        <v/>
      </c>
      <c r="L991" s="1" t="str">
        <f t="shared" si="61"/>
        <v/>
      </c>
      <c r="M991" s="1" t="str">
        <f t="shared" si="62"/>
        <v/>
      </c>
      <c r="P991" s="1" t="s">
        <v>20</v>
      </c>
      <c r="V991" s="1" t="s">
        <v>29639</v>
      </c>
      <c r="X991" s="1" t="s">
        <v>27842</v>
      </c>
      <c r="AR991" s="1" t="str">
        <f t="shared" si="63"/>
        <v>| [](.md) | [𨂂](𨂂.md) |  |  | 「蹠」的異體字。 |</v>
      </c>
    </row>
    <row r="992" spans="1:44" hidden="1">
      <c r="A992" s="1" t="s">
        <v>29640</v>
      </c>
      <c r="C992" s="1">
        <v>1</v>
      </c>
      <c r="D992" s="1" t="str">
        <f>"07506-1"</f>
        <v>07506-1</v>
      </c>
      <c r="E992" s="1" t="s">
        <v>505</v>
      </c>
      <c r="F992" s="1">
        <v>11</v>
      </c>
      <c r="G992" s="1">
        <v>4</v>
      </c>
      <c r="H992" s="1">
        <v>0</v>
      </c>
      <c r="K992" s="1" t="str">
        <f t="shared" si="60"/>
        <v/>
      </c>
      <c r="L992" s="1" t="str">
        <f t="shared" si="61"/>
        <v/>
      </c>
      <c r="M992" s="1" t="str">
        <f t="shared" si="62"/>
        <v/>
      </c>
      <c r="P992" s="1" t="s">
        <v>20</v>
      </c>
      <c r="V992" s="1" t="s">
        <v>29641</v>
      </c>
      <c r="X992" s="1" t="s">
        <v>27842</v>
      </c>
      <c r="AR992" s="1" t="str">
        <f t="shared" si="63"/>
        <v>| [](.md) | [貭](貭.md) |  |  | 「質」的異體字。 |</v>
      </c>
    </row>
    <row r="993" spans="1:44" hidden="1">
      <c r="A993" s="1" t="s">
        <v>29642</v>
      </c>
      <c r="C993" s="1">
        <v>1</v>
      </c>
      <c r="D993" s="1" t="str">
        <f>"07510-1"</f>
        <v>07510-1</v>
      </c>
      <c r="E993" s="1" t="s">
        <v>2419</v>
      </c>
      <c r="F993" s="1">
        <v>10</v>
      </c>
      <c r="G993" s="1">
        <v>4</v>
      </c>
      <c r="H993" s="1">
        <v>0</v>
      </c>
      <c r="K993" s="1" t="str">
        <f t="shared" si="60"/>
        <v/>
      </c>
      <c r="L993" s="1" t="str">
        <f t="shared" si="61"/>
        <v/>
      </c>
      <c r="M993" s="1" t="str">
        <f t="shared" si="62"/>
        <v/>
      </c>
      <c r="P993" s="1" t="s">
        <v>20</v>
      </c>
      <c r="V993" s="1" t="s">
        <v>29643</v>
      </c>
      <c r="X993" s="1" t="s">
        <v>27842</v>
      </c>
      <c r="AR993" s="1" t="str">
        <f t="shared" si="63"/>
        <v>| [](.md) | [聀](聀.md) |  |  | 「職」的異體字。 |</v>
      </c>
    </row>
    <row r="994" spans="1:44" hidden="1">
      <c r="A994" s="1" t="s">
        <v>29644</v>
      </c>
      <c r="C994" s="1">
        <v>1</v>
      </c>
      <c r="D994" s="1" t="str">
        <f>"07510-2"</f>
        <v>07510-2</v>
      </c>
      <c r="E994" s="1" t="s">
        <v>2419</v>
      </c>
      <c r="F994" s="1">
        <v>11</v>
      </c>
      <c r="G994" s="1">
        <v>5</v>
      </c>
      <c r="H994" s="1">
        <v>0</v>
      </c>
      <c r="K994" s="1" t="str">
        <f t="shared" si="60"/>
        <v/>
      </c>
      <c r="L994" s="1" t="str">
        <f t="shared" si="61"/>
        <v/>
      </c>
      <c r="M994" s="1" t="str">
        <f t="shared" si="62"/>
        <v/>
      </c>
      <c r="P994" s="1" t="s">
        <v>20</v>
      </c>
      <c r="V994" s="1" t="s">
        <v>29643</v>
      </c>
      <c r="X994" s="1" t="s">
        <v>27842</v>
      </c>
      <c r="AR994" s="1" t="str">
        <f t="shared" si="63"/>
        <v>| [](.md) | [职](职.md) |  |  | 「職」的異體字。 |</v>
      </c>
    </row>
    <row r="995" spans="1:44" hidden="1">
      <c r="A995" s="1" t="s">
        <v>29645</v>
      </c>
      <c r="C995" s="1">
        <v>1</v>
      </c>
      <c r="D995" s="1" t="str">
        <f>"07510-3"</f>
        <v>07510-3</v>
      </c>
      <c r="E995" s="1" t="s">
        <v>5692</v>
      </c>
      <c r="F995" s="1">
        <v>19</v>
      </c>
      <c r="G995" s="1">
        <v>12</v>
      </c>
      <c r="H995" s="1">
        <v>0</v>
      </c>
      <c r="K995" s="1" t="str">
        <f t="shared" si="60"/>
        <v/>
      </c>
      <c r="L995" s="1" t="str">
        <f t="shared" si="61"/>
        <v/>
      </c>
      <c r="M995" s="1" t="str">
        <f t="shared" si="62"/>
        <v/>
      </c>
      <c r="P995" s="1" t="s">
        <v>20</v>
      </c>
      <c r="V995" s="1" t="s">
        <v>29643</v>
      </c>
      <c r="X995" s="1" t="s">
        <v>27842</v>
      </c>
      <c r="AR995" s="1" t="str">
        <f t="shared" si="63"/>
        <v>| [](.md) | [軄](軄.md) |  |  | 「職」的異體字。 |</v>
      </c>
    </row>
    <row r="996" spans="1:44" hidden="1">
      <c r="A996" s="1" t="s">
        <v>29646</v>
      </c>
      <c r="C996" s="1">
        <v>1</v>
      </c>
      <c r="D996" s="1" t="str">
        <f>"07512-1"</f>
        <v>07512-1</v>
      </c>
      <c r="E996" s="1" t="s">
        <v>24</v>
      </c>
      <c r="F996" s="1">
        <v>12</v>
      </c>
      <c r="G996" s="1">
        <v>9</v>
      </c>
      <c r="H996" s="1">
        <v>0</v>
      </c>
      <c r="K996" s="1" t="str">
        <f t="shared" si="60"/>
        <v/>
      </c>
      <c r="L996" s="1" t="str">
        <f t="shared" si="61"/>
        <v/>
      </c>
      <c r="M996" s="1" t="str">
        <f t="shared" si="62"/>
        <v/>
      </c>
      <c r="P996" s="1" t="s">
        <v>20</v>
      </c>
      <c r="V996" s="1" t="s">
        <v>29647</v>
      </c>
      <c r="X996" s="1" t="s">
        <v>27842</v>
      </c>
      <c r="AR996" s="1" t="str">
        <f t="shared" si="63"/>
        <v>| [](.md) | [掷](掷.md) |  |  | 「擲」的異體字。 |</v>
      </c>
    </row>
    <row r="997" spans="1:44" hidden="1">
      <c r="A997" s="1" t="s">
        <v>29648</v>
      </c>
      <c r="C997" s="1">
        <v>1</v>
      </c>
      <c r="D997" s="1" t="str">
        <f>"07529-1"</f>
        <v>07529-1</v>
      </c>
      <c r="E997" s="1" t="s">
        <v>646</v>
      </c>
      <c r="F997" s="1">
        <v>6</v>
      </c>
      <c r="G997" s="1">
        <v>3</v>
      </c>
      <c r="H997" s="1">
        <v>0</v>
      </c>
      <c r="K997" s="1" t="str">
        <f t="shared" si="60"/>
        <v/>
      </c>
      <c r="L997" s="1" t="str">
        <f t="shared" si="61"/>
        <v/>
      </c>
      <c r="M997" s="1" t="str">
        <f t="shared" si="62"/>
        <v/>
      </c>
      <c r="P997" s="1" t="s">
        <v>20</v>
      </c>
      <c r="V997" s="1" t="s">
        <v>29649</v>
      </c>
      <c r="X997" s="1" t="s">
        <v>27842</v>
      </c>
      <c r="AR997" s="1" t="str">
        <f t="shared" si="63"/>
        <v>| [](.md) | [󲥛](󲥛.md) |  |  | 「旨」的異體字。 |</v>
      </c>
    </row>
    <row r="998" spans="1:44" hidden="1">
      <c r="A998" s="1" t="s">
        <v>29650</v>
      </c>
      <c r="C998" s="1">
        <v>1</v>
      </c>
      <c r="D998" s="1" t="str">
        <f>"07529-2"</f>
        <v>07529-2</v>
      </c>
      <c r="E998" s="1" t="s">
        <v>646</v>
      </c>
      <c r="F998" s="1">
        <v>7</v>
      </c>
      <c r="G998" s="1">
        <v>3</v>
      </c>
      <c r="H998" s="1">
        <v>0</v>
      </c>
      <c r="K998" s="1" t="str">
        <f t="shared" si="60"/>
        <v/>
      </c>
      <c r="L998" s="1" t="str">
        <f t="shared" si="61"/>
        <v/>
      </c>
      <c r="M998" s="1" t="str">
        <f t="shared" si="62"/>
        <v/>
      </c>
      <c r="P998" s="1" t="s">
        <v>20</v>
      </c>
      <c r="V998" s="1" t="s">
        <v>29649</v>
      </c>
      <c r="X998" s="1" t="s">
        <v>27842</v>
      </c>
      <c r="AR998" s="1" t="str">
        <f t="shared" si="63"/>
        <v>| [](.md) | [㫖](㫖.md) |  |  | 「旨」的異體字。 |</v>
      </c>
    </row>
    <row r="999" spans="1:44" hidden="1">
      <c r="A999" s="1" t="s">
        <v>29651</v>
      </c>
      <c r="C999" s="1">
        <v>1</v>
      </c>
      <c r="D999" s="1" t="str">
        <f>"07537-1"</f>
        <v>07537-1</v>
      </c>
      <c r="E999" s="1" t="s">
        <v>222</v>
      </c>
      <c r="F999" s="1">
        <v>8</v>
      </c>
      <c r="G999" s="1">
        <v>5</v>
      </c>
      <c r="H999" s="1">
        <v>0</v>
      </c>
      <c r="K999" s="1" t="str">
        <f t="shared" si="60"/>
        <v/>
      </c>
      <c r="L999" s="1" t="str">
        <f t="shared" si="61"/>
        <v/>
      </c>
      <c r="M999" s="1" t="str">
        <f t="shared" si="62"/>
        <v/>
      </c>
      <c r="P999" s="1" t="s">
        <v>20</v>
      </c>
      <c r="V999" s="1" t="s">
        <v>29652</v>
      </c>
      <c r="X999" s="1" t="s">
        <v>27842</v>
      </c>
      <c r="AR999" s="1" t="str">
        <f t="shared" si="63"/>
        <v>| [](.md) | [帒](帒.md) |  |  | 「紙」的異體字。 |</v>
      </c>
    </row>
    <row r="1000" spans="1:44" hidden="1">
      <c r="A1000" s="1" t="s">
        <v>29653</v>
      </c>
      <c r="C1000" s="1">
        <v>1</v>
      </c>
      <c r="D1000" s="1" t="str">
        <f>"07541-1"</f>
        <v>07541-1</v>
      </c>
      <c r="E1000" s="1" t="s">
        <v>1941</v>
      </c>
      <c r="F1000" s="1">
        <v>8</v>
      </c>
      <c r="G1000" s="1">
        <v>6</v>
      </c>
      <c r="H1000" s="1">
        <v>0</v>
      </c>
      <c r="K1000" s="1" t="str">
        <f t="shared" si="60"/>
        <v/>
      </c>
      <c r="L1000" s="1" t="str">
        <f t="shared" si="61"/>
        <v/>
      </c>
      <c r="M1000" s="1" t="str">
        <f t="shared" si="62"/>
        <v/>
      </c>
      <c r="P1000" s="1" t="s">
        <v>20</v>
      </c>
      <c r="V1000" s="1" t="s">
        <v>29654</v>
      </c>
      <c r="X1000" s="1" t="s">
        <v>27842</v>
      </c>
      <c r="AR1000" s="1" t="str">
        <f t="shared" si="63"/>
        <v>| [](.md) | [厔](厔.md) |  |  | 「庢」的異體字。 |</v>
      </c>
    </row>
    <row r="1001" spans="1:44" hidden="1">
      <c r="A1001" s="1" t="s">
        <v>29655</v>
      </c>
      <c r="C1001" s="1">
        <v>1</v>
      </c>
      <c r="D1001" s="1" t="str">
        <f>"07542-1"</f>
        <v>07542-1</v>
      </c>
      <c r="E1001" s="1" t="s">
        <v>5320</v>
      </c>
      <c r="F1001" s="1">
        <v>10</v>
      </c>
      <c r="G1001" s="1">
        <v>4</v>
      </c>
      <c r="H1001" s="1">
        <v>0</v>
      </c>
      <c r="K1001" s="1" t="str">
        <f t="shared" si="60"/>
        <v/>
      </c>
      <c r="L1001" s="1" t="str">
        <f t="shared" si="61"/>
        <v/>
      </c>
      <c r="M1001" s="1" t="str">
        <f t="shared" si="62"/>
        <v/>
      </c>
      <c r="P1001" s="1" t="s">
        <v>20</v>
      </c>
      <c r="V1001" s="1" t="s">
        <v>29656</v>
      </c>
      <c r="X1001" s="1" t="s">
        <v>27842</v>
      </c>
      <c r="AR1001" s="1" t="str">
        <f t="shared" si="63"/>
        <v>| [](.md) | [𦤶](𦤶.md) |  |  | 「致」的異體字。 |</v>
      </c>
    </row>
    <row r="1002" spans="1:44" hidden="1">
      <c r="A1002" s="1" t="s">
        <v>29657</v>
      </c>
      <c r="C1002" s="1">
        <v>1</v>
      </c>
      <c r="D1002" s="1" t="str">
        <f>"07576-1"</f>
        <v>07576-1</v>
      </c>
      <c r="E1002" s="1" t="s">
        <v>624</v>
      </c>
      <c r="F1002" s="1">
        <v>13</v>
      </c>
      <c r="G1002" s="1">
        <v>10</v>
      </c>
      <c r="H1002" s="1">
        <v>0</v>
      </c>
      <c r="K1002" s="1" t="str">
        <f t="shared" si="60"/>
        <v/>
      </c>
      <c r="L1002" s="1" t="str">
        <f t="shared" si="61"/>
        <v/>
      </c>
      <c r="M1002" s="1" t="str">
        <f t="shared" si="62"/>
        <v/>
      </c>
      <c r="P1002" s="1" t="s">
        <v>20</v>
      </c>
      <c r="V1002" s="1" t="s">
        <v>29658</v>
      </c>
      <c r="X1002" s="1" t="s">
        <v>27842</v>
      </c>
      <c r="AR1002" s="1" t="str">
        <f t="shared" si="63"/>
        <v>| [](.md) | [寘](寘.md) |  |  | 「寘」的異體字。 |</v>
      </c>
    </row>
    <row r="1003" spans="1:44" hidden="1">
      <c r="A1003" s="1" t="s">
        <v>29659</v>
      </c>
      <c r="C1003" s="1">
        <v>1</v>
      </c>
      <c r="D1003" s="1" t="str">
        <f>"07577-1"</f>
        <v>07577-1</v>
      </c>
      <c r="E1003" s="1" t="s">
        <v>118</v>
      </c>
      <c r="F1003" s="1">
        <v>13</v>
      </c>
      <c r="G1003" s="1">
        <v>8</v>
      </c>
      <c r="H1003" s="1">
        <v>0</v>
      </c>
      <c r="K1003" s="1" t="str">
        <f t="shared" si="60"/>
        <v/>
      </c>
      <c r="L1003" s="1" t="str">
        <f t="shared" si="61"/>
        <v/>
      </c>
      <c r="M1003" s="1" t="str">
        <f t="shared" si="62"/>
        <v/>
      </c>
      <c r="P1003" s="1" t="s">
        <v>20</v>
      </c>
      <c r="V1003" s="1" t="s">
        <v>29660</v>
      </c>
      <c r="X1003" s="1" t="s">
        <v>27842</v>
      </c>
      <c r="AR1003" s="1" t="str">
        <f t="shared" si="63"/>
        <v>| [](.md) | [󼹼](󼹼.md) |  |  | 「置」的異體字。 |</v>
      </c>
    </row>
    <row r="1004" spans="1:44" hidden="1">
      <c r="A1004" s="1" t="s">
        <v>29661</v>
      </c>
      <c r="C1004" s="1">
        <v>1</v>
      </c>
      <c r="D1004" s="1" t="str">
        <f>"07579-1"</f>
        <v>07579-1</v>
      </c>
      <c r="E1004" s="1" t="s">
        <v>691</v>
      </c>
      <c r="F1004" s="1">
        <v>17</v>
      </c>
      <c r="G1004" s="1">
        <v>14</v>
      </c>
      <c r="H1004" s="1">
        <v>0</v>
      </c>
      <c r="K1004" s="1" t="str">
        <f t="shared" si="60"/>
        <v/>
      </c>
      <c r="L1004" s="1" t="str">
        <f t="shared" si="61"/>
        <v/>
      </c>
      <c r="M1004" s="1" t="str">
        <f t="shared" si="62"/>
        <v/>
      </c>
      <c r="P1004" s="1" t="s">
        <v>20</v>
      </c>
      <c r="V1004" s="1" t="s">
        <v>29662</v>
      </c>
      <c r="X1004" s="1" t="s">
        <v>27842</v>
      </c>
      <c r="AR1004" s="1" t="str">
        <f t="shared" si="63"/>
        <v>| [](.md) | [隲](隲.md) |  |  | 「騭」的異體字。 |</v>
      </c>
    </row>
    <row r="1005" spans="1:44" hidden="1">
      <c r="A1005" s="1" t="s">
        <v>29663</v>
      </c>
      <c r="C1005" s="1">
        <v>1</v>
      </c>
      <c r="D1005" s="1" t="str">
        <f>"07593-1"</f>
        <v>07593-1</v>
      </c>
      <c r="E1005" s="1" t="s">
        <v>331</v>
      </c>
      <c r="F1005" s="1">
        <v>12</v>
      </c>
      <c r="G1005" s="1">
        <v>5</v>
      </c>
      <c r="H1005" s="1">
        <v>0</v>
      </c>
      <c r="K1005" s="1" t="str">
        <f t="shared" si="60"/>
        <v/>
      </c>
      <c r="L1005" s="1" t="str">
        <f t="shared" si="61"/>
        <v/>
      </c>
      <c r="M1005" s="1" t="str">
        <f t="shared" si="62"/>
        <v/>
      </c>
      <c r="P1005" s="1" t="s">
        <v>20</v>
      </c>
      <c r="V1005" s="1" t="s">
        <v>29664</v>
      </c>
      <c r="X1005" s="1" t="s">
        <v>27842</v>
      </c>
      <c r="AR1005" s="1" t="str">
        <f t="shared" si="63"/>
        <v>| [](.md) | [䛊](䛊.md) |  |  | 「識」的異體字。 |</v>
      </c>
    </row>
    <row r="1006" spans="1:44" hidden="1">
      <c r="A1006" s="1" t="s">
        <v>29665</v>
      </c>
      <c r="C1006" s="1">
        <v>1</v>
      </c>
      <c r="D1006" s="1" t="str">
        <f>"07606-1"</f>
        <v>07606-1</v>
      </c>
      <c r="E1006" s="1" t="s">
        <v>24</v>
      </c>
      <c r="F1006" s="1">
        <v>12</v>
      </c>
      <c r="G1006" s="1">
        <v>9</v>
      </c>
      <c r="H1006" s="1">
        <v>0</v>
      </c>
      <c r="K1006" s="1" t="str">
        <f t="shared" si="60"/>
        <v/>
      </c>
      <c r="L1006" s="1" t="str">
        <f t="shared" si="61"/>
        <v/>
      </c>
      <c r="M1006" s="1" t="str">
        <f t="shared" si="62"/>
        <v/>
      </c>
      <c r="P1006" s="1" t="s">
        <v>20</v>
      </c>
      <c r="V1006" s="1" t="s">
        <v>29666</v>
      </c>
      <c r="X1006" s="1" t="s">
        <v>27842</v>
      </c>
      <c r="AR1006" s="1" t="str">
        <f t="shared" si="63"/>
        <v>| [](.md) | [揸](揸.md) |  |  | 「摣」的異體字。 |</v>
      </c>
    </row>
    <row r="1007" spans="1:44" hidden="1">
      <c r="A1007" s="1" t="s">
        <v>29667</v>
      </c>
      <c r="C1007" s="1">
        <v>1</v>
      </c>
      <c r="D1007" s="1" t="str">
        <f>"07608-1"</f>
        <v>07608-1</v>
      </c>
      <c r="E1007" s="1" t="s">
        <v>1792</v>
      </c>
      <c r="F1007" s="1">
        <v>14</v>
      </c>
      <c r="G1007" s="1">
        <v>9</v>
      </c>
      <c r="H1007" s="1">
        <v>0</v>
      </c>
      <c r="K1007" s="1" t="str">
        <f t="shared" si="60"/>
        <v/>
      </c>
      <c r="L1007" s="1" t="str">
        <f t="shared" si="61"/>
        <v/>
      </c>
      <c r="M1007" s="1" t="str">
        <f t="shared" si="62"/>
        <v/>
      </c>
      <c r="P1007" s="1" t="s">
        <v>20</v>
      </c>
      <c r="V1007" s="1" t="s">
        <v>29668</v>
      </c>
      <c r="X1007" s="1" t="s">
        <v>27842</v>
      </c>
      <c r="AR1007" s="1" t="str">
        <f t="shared" si="63"/>
        <v>| [](.md) | [皶](皶.md) |  |  | 「皻」的異體字。 |</v>
      </c>
    </row>
    <row r="1008" spans="1:44" hidden="1">
      <c r="A1008" s="1" t="s">
        <v>29669</v>
      </c>
      <c r="C1008" s="1">
        <v>1</v>
      </c>
      <c r="D1008" s="1" t="str">
        <f>"07616-1"</f>
        <v>07616-1</v>
      </c>
      <c r="E1008" s="1" t="s">
        <v>725</v>
      </c>
      <c r="F1008" s="1">
        <v>10</v>
      </c>
      <c r="G1008" s="1">
        <v>4</v>
      </c>
      <c r="H1008" s="1">
        <v>0</v>
      </c>
      <c r="K1008" s="1" t="str">
        <f t="shared" si="60"/>
        <v/>
      </c>
      <c r="L1008" s="1" t="str">
        <f t="shared" si="61"/>
        <v/>
      </c>
      <c r="M1008" s="1" t="str">
        <f t="shared" si="62"/>
        <v/>
      </c>
      <c r="P1008" s="1" t="s">
        <v>20</v>
      </c>
      <c r="V1008" s="1" t="s">
        <v>29670</v>
      </c>
      <c r="X1008" s="1" t="s">
        <v>27842</v>
      </c>
      <c r="AR1008" s="1" t="str">
        <f t="shared" si="63"/>
        <v>| [](.md) | [紥](紥.md) |  |  | 「紮」的異體字。 |</v>
      </c>
    </row>
    <row r="1009" spans="1:44" hidden="1">
      <c r="A1009" s="1" t="s">
        <v>29671</v>
      </c>
      <c r="C1009" s="1">
        <v>1</v>
      </c>
      <c r="D1009" s="1" t="str">
        <f>"07623-1"</f>
        <v>07623-1</v>
      </c>
      <c r="E1009" s="1" t="s">
        <v>185</v>
      </c>
      <c r="F1009" s="1">
        <v>12</v>
      </c>
      <c r="G1009" s="1">
        <v>10</v>
      </c>
      <c r="H1009" s="1">
        <v>0</v>
      </c>
      <c r="K1009" s="1" t="str">
        <f t="shared" si="60"/>
        <v/>
      </c>
      <c r="L1009" s="1" t="str">
        <f t="shared" si="61"/>
        <v/>
      </c>
      <c r="M1009" s="1" t="str">
        <f t="shared" si="62"/>
        <v/>
      </c>
      <c r="P1009" s="1" t="s">
        <v>20</v>
      </c>
      <c r="V1009" s="1" t="s">
        <v>29672</v>
      </c>
      <c r="X1009" s="1" t="s">
        <v>27842</v>
      </c>
      <c r="AR1009" s="1" t="str">
        <f t="shared" si="63"/>
        <v>| [](.md) | [剳](剳.md) |  |  | 「劄」的異體字。 |</v>
      </c>
    </row>
    <row r="1010" spans="1:44" hidden="1">
      <c r="A1010" s="1" t="s">
        <v>29673</v>
      </c>
      <c r="C1010" s="1">
        <v>1</v>
      </c>
      <c r="D1010" s="1" t="str">
        <f>"07646-1"</f>
        <v>07646-1</v>
      </c>
      <c r="E1010" s="1" t="s">
        <v>28</v>
      </c>
      <c r="F1010" s="1">
        <v>9</v>
      </c>
      <c r="G1010" s="1">
        <v>6</v>
      </c>
      <c r="H1010" s="1">
        <v>0</v>
      </c>
      <c r="K1010" s="1" t="str">
        <f t="shared" si="60"/>
        <v/>
      </c>
      <c r="L1010" s="1" t="str">
        <f t="shared" si="61"/>
        <v/>
      </c>
      <c r="M1010" s="1" t="str">
        <f t="shared" si="62"/>
        <v/>
      </c>
      <c r="P1010" s="1" t="s">
        <v>20</v>
      </c>
      <c r="V1010" s="1" t="s">
        <v>29674</v>
      </c>
      <c r="X1010" s="1" t="s">
        <v>27842</v>
      </c>
      <c r="AR1010" s="1" t="str">
        <f t="shared" si="63"/>
        <v>| [](.md) | [咤](咤.md) |  |  | 「吒」的異體字。 |</v>
      </c>
    </row>
    <row r="1011" spans="1:44" hidden="1">
      <c r="A1011" s="1" t="s">
        <v>29675</v>
      </c>
      <c r="C1011" s="1">
        <v>1</v>
      </c>
      <c r="D1011" s="1" t="str">
        <f>"07648-1"</f>
        <v>07648-1</v>
      </c>
      <c r="E1011" s="1" t="s">
        <v>139</v>
      </c>
      <c r="F1011" s="1">
        <v>9</v>
      </c>
      <c r="G1011" s="1">
        <v>5</v>
      </c>
      <c r="H1011" s="1">
        <v>0</v>
      </c>
      <c r="K1011" s="1" t="str">
        <f t="shared" si="60"/>
        <v/>
      </c>
      <c r="L1011" s="1" t="str">
        <f t="shared" si="61"/>
        <v/>
      </c>
      <c r="M1011" s="1" t="str">
        <f t="shared" si="62"/>
        <v/>
      </c>
      <c r="P1011" s="1" t="s">
        <v>20</v>
      </c>
      <c r="V1011" s="1" t="s">
        <v>29676</v>
      </c>
      <c r="X1011" s="1" t="s">
        <v>27842</v>
      </c>
      <c r="AR1011" s="1" t="str">
        <f t="shared" si="63"/>
        <v>| [](.md) | [栅](栅.md) |  |  | 「柵」的異體字。 |</v>
      </c>
    </row>
    <row r="1012" spans="1:44" hidden="1">
      <c r="A1012" s="1" t="s">
        <v>29677</v>
      </c>
      <c r="C1012" s="1">
        <v>1</v>
      </c>
      <c r="D1012" s="1" t="str">
        <f>"07657-1"</f>
        <v>07657-1</v>
      </c>
      <c r="E1012" s="1" t="s">
        <v>28</v>
      </c>
      <c r="F1012" s="1">
        <v>12</v>
      </c>
      <c r="G1012" s="1">
        <v>9</v>
      </c>
      <c r="H1012" s="1">
        <v>0</v>
      </c>
      <c r="K1012" s="1" t="str">
        <f t="shared" si="60"/>
        <v/>
      </c>
      <c r="L1012" s="1" t="str">
        <f t="shared" si="61"/>
        <v/>
      </c>
      <c r="M1012" s="1" t="str">
        <f t="shared" si="62"/>
        <v/>
      </c>
      <c r="P1012" s="1" t="s">
        <v>20</v>
      </c>
      <c r="V1012" s="1" t="s">
        <v>29678</v>
      </c>
      <c r="X1012" s="1" t="s">
        <v>27842</v>
      </c>
      <c r="AR1012" s="1" t="str">
        <f t="shared" si="63"/>
        <v>| [](.md) | [喆](喆.md) |  |  | 「哲」的異體字。 |</v>
      </c>
    </row>
    <row r="1013" spans="1:44" hidden="1">
      <c r="A1013" s="1" t="s">
        <v>29679</v>
      </c>
      <c r="C1013" s="1">
        <v>1</v>
      </c>
      <c r="D1013" s="1" t="str">
        <f>"07664-1"</f>
        <v>07664-1</v>
      </c>
      <c r="E1013" s="1" t="s">
        <v>71</v>
      </c>
      <c r="F1013" s="1">
        <v>15</v>
      </c>
      <c r="G1013" s="1">
        <v>8</v>
      </c>
      <c r="H1013" s="1">
        <v>0</v>
      </c>
      <c r="K1013" s="1" t="str">
        <f t="shared" si="60"/>
        <v/>
      </c>
      <c r="L1013" s="1" t="str">
        <f t="shared" si="61"/>
        <v/>
      </c>
      <c r="M1013" s="1" t="str">
        <f t="shared" si="62"/>
        <v/>
      </c>
      <c r="P1013" s="1" t="s">
        <v>20</v>
      </c>
      <c r="V1013" s="1" t="s">
        <v>29680</v>
      </c>
      <c r="X1013" s="1" t="s">
        <v>27842</v>
      </c>
      <c r="AR1013" s="1" t="str">
        <f t="shared" si="63"/>
        <v>| [](.md) | [輙](輙.md) |  |  | 「輒」的異體字。 |</v>
      </c>
    </row>
    <row r="1014" spans="1:44" hidden="1">
      <c r="A1014" s="1" t="s">
        <v>29681</v>
      </c>
      <c r="C1014" s="1">
        <v>1</v>
      </c>
      <c r="D1014" s="1" t="str">
        <f>"07668-1"</f>
        <v>07668-1</v>
      </c>
      <c r="E1014" s="1" t="s">
        <v>331</v>
      </c>
      <c r="F1014" s="1">
        <v>22</v>
      </c>
      <c r="G1014" s="1">
        <v>15</v>
      </c>
      <c r="H1014" s="1">
        <v>0</v>
      </c>
      <c r="K1014" s="1" t="str">
        <f t="shared" si="60"/>
        <v/>
      </c>
      <c r="L1014" s="1" t="str">
        <f t="shared" si="61"/>
        <v/>
      </c>
      <c r="M1014" s="1" t="str">
        <f t="shared" si="62"/>
        <v/>
      </c>
      <c r="P1014" s="1" t="s">
        <v>20</v>
      </c>
      <c r="V1014" s="1" t="s">
        <v>29682</v>
      </c>
      <c r="X1014" s="1" t="s">
        <v>27842</v>
      </c>
      <c r="AR1014" s="1" t="str">
        <f t="shared" si="63"/>
        <v>| [](.md) | [讁](讁.md) |  |  | 「謫」的異體字。 |</v>
      </c>
    </row>
    <row r="1015" spans="1:44" hidden="1">
      <c r="A1015" s="1" t="s">
        <v>29683</v>
      </c>
      <c r="C1015" s="1">
        <v>1</v>
      </c>
      <c r="D1015" s="1" t="str">
        <f>"07675-1"</f>
        <v>07675-1</v>
      </c>
      <c r="E1015" s="1" t="s">
        <v>2975</v>
      </c>
      <c r="F1015" s="1">
        <v>9</v>
      </c>
      <c r="G1015" s="1">
        <v>5</v>
      </c>
      <c r="H1015" s="1">
        <v>0</v>
      </c>
      <c r="K1015" s="1" t="str">
        <f t="shared" si="60"/>
        <v/>
      </c>
      <c r="L1015" s="1" t="str">
        <f t="shared" si="61"/>
        <v/>
      </c>
      <c r="M1015" s="1" t="str">
        <f t="shared" si="62"/>
        <v/>
      </c>
      <c r="P1015" s="1" t="s">
        <v>20</v>
      </c>
      <c r="V1015" s="1" t="s">
        <v>29684</v>
      </c>
      <c r="X1015" s="1" t="s">
        <v>27842</v>
      </c>
      <c r="AR1015" s="1" t="str">
        <f t="shared" si="63"/>
        <v>| [](.md) | [者](者.md) |  |  | 「者」的異體字。 |</v>
      </c>
    </row>
    <row r="1016" spans="1:44" hidden="1">
      <c r="A1016" s="1" t="s">
        <v>29685</v>
      </c>
      <c r="C1016" s="1">
        <v>1</v>
      </c>
      <c r="D1016" s="1" t="str">
        <f>"07684-1"</f>
        <v>07684-1</v>
      </c>
      <c r="E1016" s="1" t="s">
        <v>558</v>
      </c>
      <c r="F1016" s="1">
        <v>8</v>
      </c>
      <c r="G1016" s="1">
        <v>4</v>
      </c>
      <c r="H1016" s="1">
        <v>0</v>
      </c>
      <c r="K1016" s="1" t="str">
        <f t="shared" si="60"/>
        <v/>
      </c>
      <c r="L1016" s="1" t="str">
        <f t="shared" si="61"/>
        <v/>
      </c>
      <c r="M1016" s="1" t="str">
        <f t="shared" si="62"/>
        <v/>
      </c>
      <c r="P1016" s="1" t="s">
        <v>20</v>
      </c>
      <c r="V1016" s="1" t="s">
        <v>29686</v>
      </c>
      <c r="X1016" s="1" t="s">
        <v>27842</v>
      </c>
      <c r="AR1016" s="1" t="str">
        <f t="shared" si="63"/>
        <v>| [](.md) | [这](这.md) |  |  | 「這」的異體字。 |</v>
      </c>
    </row>
    <row r="1017" spans="1:44" hidden="1">
      <c r="A1017" s="1" t="s">
        <v>29687</v>
      </c>
      <c r="C1017" s="1">
        <v>1</v>
      </c>
      <c r="D1017" s="1" t="str">
        <f>"07689-1"</f>
        <v>07689-1</v>
      </c>
      <c r="E1017" s="1" t="s">
        <v>1015</v>
      </c>
      <c r="F1017" s="1">
        <v>12</v>
      </c>
      <c r="G1017" s="1">
        <v>7</v>
      </c>
      <c r="H1017" s="1">
        <v>0</v>
      </c>
      <c r="K1017" s="1" t="str">
        <f t="shared" si="60"/>
        <v/>
      </c>
      <c r="L1017" s="1" t="str">
        <f t="shared" si="61"/>
        <v/>
      </c>
      <c r="M1017" s="1" t="str">
        <f t="shared" si="62"/>
        <v/>
      </c>
      <c r="P1017" s="1" t="s">
        <v>20</v>
      </c>
      <c r="V1017" s="1" t="s">
        <v>29688</v>
      </c>
      <c r="X1017" s="1" t="s">
        <v>27842</v>
      </c>
      <c r="AR1017" s="1" t="str">
        <f t="shared" si="63"/>
        <v>| [](.md) | [󼹵](󼹵.md) |  |  | 「著」的異體字。 |</v>
      </c>
    </row>
    <row r="1018" spans="1:44" hidden="1">
      <c r="A1018" s="1" t="s">
        <v>29689</v>
      </c>
      <c r="C1018" s="1">
        <v>1</v>
      </c>
      <c r="D1018" s="1" t="str">
        <f>"07691-1"</f>
        <v>07691-1</v>
      </c>
      <c r="E1018" s="1" t="s">
        <v>9954</v>
      </c>
      <c r="F1018" s="1">
        <v>8</v>
      </c>
      <c r="G1018" s="1">
        <v>6</v>
      </c>
      <c r="H1018" s="1">
        <v>0</v>
      </c>
      <c r="K1018" s="1" t="str">
        <f t="shared" si="60"/>
        <v/>
      </c>
      <c r="L1018" s="1" t="str">
        <f t="shared" si="61"/>
        <v/>
      </c>
      <c r="M1018" s="1" t="str">
        <f t="shared" si="62"/>
        <v/>
      </c>
      <c r="P1018" s="1" t="s">
        <v>20</v>
      </c>
      <c r="V1018" s="1" t="s">
        <v>29690</v>
      </c>
      <c r="X1018" s="1" t="s">
        <v>27842</v>
      </c>
      <c r="AR1018" s="1" t="str">
        <f t="shared" si="63"/>
        <v>| [](.md) | [亝](亝.md) |  |  | 「齋」的異體字。 |</v>
      </c>
    </row>
    <row r="1019" spans="1:44" hidden="1">
      <c r="A1019" s="1" t="s">
        <v>29691</v>
      </c>
      <c r="C1019" s="1">
        <v>1</v>
      </c>
      <c r="D1019" s="1" t="str">
        <f>"07691-2"</f>
        <v>07691-2</v>
      </c>
      <c r="E1019" s="1" t="s">
        <v>670</v>
      </c>
      <c r="F1019" s="1">
        <v>10</v>
      </c>
      <c r="G1019" s="1">
        <v>6</v>
      </c>
      <c r="H1019" s="1">
        <v>0</v>
      </c>
      <c r="K1019" s="1" t="str">
        <f t="shared" si="60"/>
        <v/>
      </c>
      <c r="L1019" s="1" t="str">
        <f t="shared" si="61"/>
        <v/>
      </c>
      <c r="M1019" s="1" t="str">
        <f t="shared" si="62"/>
        <v/>
      </c>
      <c r="P1019" s="1" t="s">
        <v>20</v>
      </c>
      <c r="V1019" s="1" t="s">
        <v>29690</v>
      </c>
      <c r="X1019" s="1" t="s">
        <v>27842</v>
      </c>
      <c r="AR1019" s="1" t="str">
        <f t="shared" si="63"/>
        <v>| [](.md) | [斋](斋.md) |  |  | 「齋」的異體字。 |</v>
      </c>
    </row>
    <row r="1020" spans="1:44" hidden="1">
      <c r="A1020" s="1" t="s">
        <v>29692</v>
      </c>
      <c r="C1020" s="1">
        <v>1</v>
      </c>
      <c r="D1020" s="1" t="str">
        <f>"07695-1"</f>
        <v>07695-1</v>
      </c>
      <c r="E1020" s="1" t="s">
        <v>24</v>
      </c>
      <c r="F1020" s="1">
        <v>9</v>
      </c>
      <c r="G1020" s="1">
        <v>6</v>
      </c>
      <c r="H1020" s="1">
        <v>0</v>
      </c>
      <c r="K1020" s="1" t="str">
        <f t="shared" si="60"/>
        <v/>
      </c>
      <c r="L1020" s="1" t="str">
        <f t="shared" si="61"/>
        <v/>
      </c>
      <c r="M1020" s="1" t="str">
        <f t="shared" si="62"/>
        <v/>
      </c>
      <c r="P1020" s="1" t="s">
        <v>20</v>
      </c>
      <c r="V1020" s="1" t="s">
        <v>29693</v>
      </c>
      <c r="X1020" s="1" t="s">
        <v>27842</v>
      </c>
      <c r="AR1020" s="1" t="str">
        <f t="shared" si="63"/>
        <v>| [](.md) | [𪭲](𪭲.md) |  |  | 「擇」的異體字。 |</v>
      </c>
    </row>
    <row r="1021" spans="1:44" hidden="1">
      <c r="A1021" s="1" t="s">
        <v>29694</v>
      </c>
      <c r="C1021" s="1">
        <v>1</v>
      </c>
      <c r="D1021" s="1" t="str">
        <f>"07739-1"</f>
        <v>07739-1</v>
      </c>
      <c r="E1021" s="1" t="s">
        <v>28</v>
      </c>
      <c r="F1021" s="1">
        <v>8</v>
      </c>
      <c r="G1021" s="1">
        <v>5</v>
      </c>
      <c r="H1021" s="1">
        <v>0</v>
      </c>
      <c r="K1021" s="1" t="str">
        <f t="shared" si="60"/>
        <v/>
      </c>
      <c r="L1021" s="1" t="str">
        <f t="shared" si="61"/>
        <v/>
      </c>
      <c r="M1021" s="1" t="str">
        <f t="shared" si="62"/>
        <v/>
      </c>
      <c r="P1021" s="1" t="s">
        <v>20</v>
      </c>
      <c r="V1021" s="1" t="s">
        <v>29695</v>
      </c>
      <c r="X1021" s="1" t="s">
        <v>27842</v>
      </c>
      <c r="AR1021" s="1" t="str">
        <f t="shared" si="63"/>
        <v>| [](.md) | [周](周.md) |  |  | 「周」的異體字。 |</v>
      </c>
    </row>
    <row r="1022" spans="1:44" hidden="1">
      <c r="A1022" s="1" t="s">
        <v>29696</v>
      </c>
      <c r="C1022" s="1">
        <v>1</v>
      </c>
      <c r="D1022" s="1" t="str">
        <f>"07752-2"</f>
        <v>07752-2</v>
      </c>
      <c r="E1022" s="1" t="s">
        <v>49</v>
      </c>
      <c r="F1022" s="1">
        <v>14</v>
      </c>
      <c r="G1022" s="1">
        <v>8</v>
      </c>
      <c r="H1022" s="1">
        <v>0</v>
      </c>
      <c r="K1022" s="1" t="str">
        <f t="shared" si="60"/>
        <v/>
      </c>
      <c r="L1022" s="1" t="str">
        <f t="shared" si="61"/>
        <v/>
      </c>
      <c r="M1022" s="1" t="str">
        <f t="shared" si="62"/>
        <v/>
      </c>
      <c r="P1022" s="1" t="s">
        <v>20</v>
      </c>
      <c r="V1022" s="1" t="s">
        <v>29697</v>
      </c>
      <c r="X1022" s="1" t="s">
        <v>27842</v>
      </c>
      <c r="AR1022" s="1" t="str">
        <f t="shared" si="63"/>
        <v>| [](.md) | [箒](箒.md) |  |  | 「帚」的異體字。 |</v>
      </c>
    </row>
    <row r="1023" spans="1:44" hidden="1">
      <c r="A1023" s="1" t="s">
        <v>29698</v>
      </c>
      <c r="C1023" s="1">
        <v>1</v>
      </c>
      <c r="D1023" s="1" t="str">
        <f>"07757-1"</f>
        <v>07757-1</v>
      </c>
      <c r="E1023" s="1" t="s">
        <v>28</v>
      </c>
      <c r="F1023" s="1">
        <v>8</v>
      </c>
      <c r="G1023" s="1">
        <v>5</v>
      </c>
      <c r="H1023" s="1">
        <v>0</v>
      </c>
      <c r="K1023" s="1" t="str">
        <f t="shared" si="60"/>
        <v/>
      </c>
      <c r="L1023" s="1" t="str">
        <f t="shared" si="61"/>
        <v/>
      </c>
      <c r="M1023" s="1" t="str">
        <f t="shared" si="62"/>
        <v/>
      </c>
      <c r="P1023" s="1" t="s">
        <v>20</v>
      </c>
      <c r="V1023" s="1" t="s">
        <v>29699</v>
      </c>
      <c r="X1023" s="1" t="s">
        <v>27842</v>
      </c>
      <c r="AR1023" s="1" t="str">
        <f t="shared" si="63"/>
        <v>| [](.md) | [呪](呪.md) |  |  | 「咒」的異體字。 |</v>
      </c>
    </row>
    <row r="1024" spans="1:44" hidden="1">
      <c r="A1024" s="1" t="s">
        <v>29700</v>
      </c>
      <c r="C1024" s="1">
        <v>1</v>
      </c>
      <c r="D1024" s="1" t="str">
        <f>"07761-1"</f>
        <v>07761-1</v>
      </c>
      <c r="E1024" s="1" t="s">
        <v>871</v>
      </c>
      <c r="F1024" s="1">
        <v>9</v>
      </c>
      <c r="G1024" s="1">
        <v>6</v>
      </c>
      <c r="H1024" s="1">
        <v>0</v>
      </c>
      <c r="K1024" s="1" t="str">
        <f t="shared" si="60"/>
        <v/>
      </c>
      <c r="L1024" s="1" t="str">
        <f t="shared" si="61"/>
        <v/>
      </c>
      <c r="M1024" s="1" t="str">
        <f t="shared" si="62"/>
        <v/>
      </c>
      <c r="P1024" s="1" t="s">
        <v>20</v>
      </c>
      <c r="V1024" s="1" t="s">
        <v>29701</v>
      </c>
      <c r="X1024" s="1" t="s">
        <v>27842</v>
      </c>
      <c r="AR1024" s="1" t="str">
        <f t="shared" si="63"/>
        <v>| [](.md) | [昼](昼.md) |  |  | 「晝」的異體字。 |</v>
      </c>
    </row>
    <row r="1025" spans="1:44" hidden="1">
      <c r="A1025" s="1" t="s">
        <v>29702</v>
      </c>
      <c r="C1025" s="1">
        <v>1</v>
      </c>
      <c r="D1025" s="1" t="str">
        <f>"07763-1"</f>
        <v>07763-1</v>
      </c>
      <c r="E1025" s="1" t="s">
        <v>1792</v>
      </c>
      <c r="F1025" s="1">
        <v>10</v>
      </c>
      <c r="G1025" s="1">
        <v>5</v>
      </c>
      <c r="H1025" s="1">
        <v>0</v>
      </c>
      <c r="K1025" s="1" t="str">
        <f t="shared" si="60"/>
        <v/>
      </c>
      <c r="L1025" s="1" t="str">
        <f t="shared" si="61"/>
        <v/>
      </c>
      <c r="M1025" s="1" t="str">
        <f t="shared" si="62"/>
        <v/>
      </c>
      <c r="P1025" s="1" t="s">
        <v>20</v>
      </c>
      <c r="V1025" s="1" t="s">
        <v>29703</v>
      </c>
      <c r="X1025" s="1" t="s">
        <v>27842</v>
      </c>
      <c r="AR1025" s="1" t="str">
        <f t="shared" si="63"/>
        <v>| [](.md) | [皱](皱.md) |  |  | 「皺」的異體字。 |</v>
      </c>
    </row>
    <row r="1026" spans="1:44" hidden="1">
      <c r="A1026" s="1" t="s">
        <v>29704</v>
      </c>
      <c r="C1026" s="1">
        <v>1</v>
      </c>
      <c r="D1026" s="1" t="str">
        <f>"07769-1"</f>
        <v>07769-1</v>
      </c>
      <c r="E1026" s="1" t="s">
        <v>49</v>
      </c>
      <c r="F1026" s="1">
        <v>21</v>
      </c>
      <c r="G1026" s="1">
        <v>15</v>
      </c>
      <c r="H1026" s="1">
        <v>0</v>
      </c>
      <c r="K1026" s="1" t="str">
        <f t="shared" ref="K1026:K1089" si="64">LEFT(I1026, 1)</f>
        <v/>
      </c>
      <c r="L1026" s="1" t="str">
        <f t="shared" ref="L1026:L1089" si="65">MID(I1026, 2, 1)</f>
        <v/>
      </c>
      <c r="M1026" s="1" t="str">
        <f t="shared" ref="M1026:M1089" si="66">MID(I1026, 3, 1)</f>
        <v/>
      </c>
      <c r="P1026" s="1" t="s">
        <v>20</v>
      </c>
      <c r="V1026" s="1" t="s">
        <v>29705</v>
      </c>
      <c r="X1026" s="1" t="s">
        <v>27842</v>
      </c>
      <c r="AR1026" s="1" t="str">
        <f t="shared" si="63"/>
        <v>| [](.md) | [籒](籒.md) |  |  | 「籀」的異體字。 |</v>
      </c>
    </row>
    <row r="1027" spans="1:44" hidden="1">
      <c r="A1027" s="1" t="s">
        <v>29706</v>
      </c>
      <c r="C1027" s="1">
        <v>1</v>
      </c>
      <c r="D1027" s="1" t="str">
        <f>"07777-1"</f>
        <v>07777-1</v>
      </c>
      <c r="E1027" s="1" t="s">
        <v>800</v>
      </c>
      <c r="F1027" s="1">
        <v>19</v>
      </c>
      <c r="G1027" s="1">
        <v>15</v>
      </c>
      <c r="H1027" s="1">
        <v>0</v>
      </c>
      <c r="K1027" s="1" t="str">
        <f t="shared" si="64"/>
        <v/>
      </c>
      <c r="L1027" s="1" t="str">
        <f t="shared" si="65"/>
        <v/>
      </c>
      <c r="M1027" s="1" t="str">
        <f t="shared" si="66"/>
        <v/>
      </c>
      <c r="P1027" s="1" t="s">
        <v>20</v>
      </c>
      <c r="V1027" s="1" t="s">
        <v>29707</v>
      </c>
      <c r="X1027" s="1" t="s">
        <v>27842</v>
      </c>
      <c r="AR1027" s="1" t="str">
        <f t="shared" ref="AR1027:AR1090" si="67">"| ["&amp;I1027&amp;"]("&amp;I1027&amp;".md) | ["&amp;A1027&amp;"]("&amp;A1027&amp;".md) | "&amp;" | "&amp;R1027&amp;" | "&amp;V1027&amp;" |"</f>
        <v>| [](.md) | [旜](旜.md) |  |  | 「旃」的異體字。 |</v>
      </c>
    </row>
    <row r="1028" spans="1:44" hidden="1">
      <c r="A1028" s="1" t="s">
        <v>29708</v>
      </c>
      <c r="C1028" s="1">
        <v>1</v>
      </c>
      <c r="D1028" s="1" t="str">
        <f>"07784-1"</f>
        <v>07784-1</v>
      </c>
      <c r="E1028" s="1" t="s">
        <v>1703</v>
      </c>
      <c r="F1028" s="1">
        <v>9</v>
      </c>
      <c r="G1028" s="1">
        <v>5</v>
      </c>
      <c r="H1028" s="1">
        <v>0</v>
      </c>
      <c r="K1028" s="1" t="str">
        <f t="shared" si="64"/>
        <v/>
      </c>
      <c r="L1028" s="1" t="str">
        <f t="shared" si="65"/>
        <v/>
      </c>
      <c r="M1028" s="1" t="str">
        <f t="shared" si="66"/>
        <v/>
      </c>
      <c r="P1028" s="1" t="s">
        <v>20</v>
      </c>
      <c r="V1028" s="1" t="s">
        <v>29709</v>
      </c>
      <c r="X1028" s="1" t="s">
        <v>27842</v>
      </c>
      <c r="AR1028" s="1" t="str">
        <f t="shared" si="67"/>
        <v>| [](.md) | [毡](毡.md) |  |  | 「氈」的異體字。 |</v>
      </c>
    </row>
    <row r="1029" spans="1:44" hidden="1">
      <c r="A1029" s="1" t="s">
        <v>29710</v>
      </c>
      <c r="C1029" s="1">
        <v>1</v>
      </c>
      <c r="D1029" s="1" t="str">
        <f>"07784-2"</f>
        <v>07784-2</v>
      </c>
      <c r="E1029" s="1" t="s">
        <v>1703</v>
      </c>
      <c r="F1029" s="1">
        <v>17</v>
      </c>
      <c r="G1029" s="1">
        <v>13</v>
      </c>
      <c r="H1029" s="1">
        <v>0</v>
      </c>
      <c r="K1029" s="1" t="str">
        <f t="shared" si="64"/>
        <v/>
      </c>
      <c r="L1029" s="1" t="str">
        <f t="shared" si="65"/>
        <v/>
      </c>
      <c r="M1029" s="1" t="str">
        <f t="shared" si="66"/>
        <v/>
      </c>
      <c r="P1029" s="1" t="s">
        <v>20</v>
      </c>
      <c r="V1029" s="1" t="s">
        <v>29709</v>
      </c>
      <c r="X1029" s="1" t="s">
        <v>27842</v>
      </c>
      <c r="AR1029" s="1" t="str">
        <f t="shared" si="67"/>
        <v>| [](.md) | [氊](氊.md) |  |  | 「氈」的異體字。 |</v>
      </c>
    </row>
    <row r="1030" spans="1:44" hidden="1">
      <c r="A1030" s="1" t="s">
        <v>29711</v>
      </c>
      <c r="C1030" s="1">
        <v>1</v>
      </c>
      <c r="D1030" s="1" t="str">
        <f>"07793-1"</f>
        <v>07793-1</v>
      </c>
      <c r="E1030" s="1" t="s">
        <v>190</v>
      </c>
      <c r="F1030" s="1">
        <v>14</v>
      </c>
      <c r="G1030" s="1">
        <v>11</v>
      </c>
      <c r="H1030" s="1">
        <v>0</v>
      </c>
      <c r="K1030" s="1" t="str">
        <f t="shared" si="64"/>
        <v/>
      </c>
      <c r="L1030" s="1" t="str">
        <f t="shared" si="65"/>
        <v/>
      </c>
      <c r="M1030" s="1" t="str">
        <f t="shared" si="66"/>
        <v/>
      </c>
      <c r="P1030" s="1" t="s">
        <v>20</v>
      </c>
      <c r="V1030" s="1" t="s">
        <v>29712</v>
      </c>
      <c r="X1030" s="1" t="s">
        <v>27842</v>
      </c>
      <c r="AR1030" s="1" t="str">
        <f t="shared" si="67"/>
        <v>| [](.md) | [嶃](嶃.md) |  |  | 「嶄」的異體字。 |</v>
      </c>
    </row>
    <row r="1031" spans="1:44" hidden="1">
      <c r="A1031" s="1" t="s">
        <v>29713</v>
      </c>
      <c r="C1031" s="1">
        <v>1</v>
      </c>
      <c r="D1031" s="1" t="str">
        <f>"07809-1"</f>
        <v>07809-1</v>
      </c>
      <c r="E1031" s="1" t="s">
        <v>4785</v>
      </c>
      <c r="F1031" s="1">
        <v>9</v>
      </c>
      <c r="G1031" s="1">
        <v>5</v>
      </c>
      <c r="H1031" s="1">
        <v>0</v>
      </c>
      <c r="K1031" s="1" t="str">
        <f t="shared" si="64"/>
        <v/>
      </c>
      <c r="L1031" s="1" t="str">
        <f t="shared" si="65"/>
        <v/>
      </c>
      <c r="M1031" s="1" t="str">
        <f t="shared" si="66"/>
        <v/>
      </c>
      <c r="P1031" s="1" t="s">
        <v>20</v>
      </c>
      <c r="V1031" s="1" t="s">
        <v>29714</v>
      </c>
      <c r="X1031" s="1" t="s">
        <v>27842</v>
      </c>
      <c r="AR1031" s="1" t="str">
        <f t="shared" si="67"/>
        <v>| [](.md) | [战](战.md) |  |  | 「戰」的異體字。 |</v>
      </c>
    </row>
    <row r="1032" spans="1:44" hidden="1">
      <c r="A1032" s="1" t="s">
        <v>29715</v>
      </c>
      <c r="C1032" s="1">
        <v>1</v>
      </c>
      <c r="D1032" s="1" t="str">
        <f>"07815-1"</f>
        <v>07815-1</v>
      </c>
      <c r="E1032" s="1" t="s">
        <v>142</v>
      </c>
      <c r="F1032" s="1">
        <v>9</v>
      </c>
      <c r="G1032" s="1">
        <v>5</v>
      </c>
      <c r="H1032" s="1">
        <v>0</v>
      </c>
      <c r="K1032" s="1" t="str">
        <f t="shared" si="64"/>
        <v/>
      </c>
      <c r="L1032" s="1" t="str">
        <f t="shared" si="65"/>
        <v/>
      </c>
      <c r="M1032" s="1" t="str">
        <f t="shared" si="66"/>
        <v/>
      </c>
      <c r="P1032" s="1" t="s">
        <v>20</v>
      </c>
      <c r="V1032" s="1" t="s">
        <v>29716</v>
      </c>
      <c r="X1032" s="1" t="s">
        <v>27842</v>
      </c>
      <c r="AR1032" s="1" t="str">
        <f t="shared" si="67"/>
        <v>| [](.md) | [珎](珎.md) |  |  | 「珍」的異體字。 |</v>
      </c>
    </row>
    <row r="1033" spans="1:44" hidden="1">
      <c r="A1033" s="1" t="s">
        <v>29717</v>
      </c>
      <c r="C1033" s="1">
        <v>1</v>
      </c>
      <c r="D1033" s="1" t="str">
        <f>"07824-1"</f>
        <v>07824-1</v>
      </c>
      <c r="E1033" s="1" t="s">
        <v>1015</v>
      </c>
      <c r="F1033" s="1">
        <v>10</v>
      </c>
      <c r="G1033" s="1">
        <v>5</v>
      </c>
      <c r="H1033" s="1">
        <v>0</v>
      </c>
      <c r="K1033" s="1" t="str">
        <f t="shared" si="64"/>
        <v/>
      </c>
      <c r="L1033" s="1" t="str">
        <f t="shared" si="65"/>
        <v/>
      </c>
      <c r="M1033" s="1" t="str">
        <f t="shared" si="66"/>
        <v/>
      </c>
      <c r="P1033" s="1" t="s">
        <v>20</v>
      </c>
      <c r="V1033" s="1" t="s">
        <v>29718</v>
      </c>
      <c r="X1033" s="1" t="s">
        <v>27842</v>
      </c>
      <c r="AR1033" s="1" t="str">
        <f t="shared" si="67"/>
        <v>| [](.md) | [眞](眞.md) |  |  | 「真」的異體字。 |</v>
      </c>
    </row>
    <row r="1034" spans="1:44" hidden="1">
      <c r="A1034" s="1" t="s">
        <v>29719</v>
      </c>
      <c r="C1034" s="1">
        <v>1</v>
      </c>
      <c r="D1034" s="1" t="str">
        <f>"07825-1"</f>
        <v>07825-1</v>
      </c>
      <c r="E1034" s="1" t="s">
        <v>825</v>
      </c>
      <c r="F1034" s="1">
        <v>15</v>
      </c>
      <c r="G1034" s="1">
        <v>10</v>
      </c>
      <c r="H1034" s="1">
        <v>0</v>
      </c>
      <c r="K1034" s="1" t="str">
        <f t="shared" si="64"/>
        <v/>
      </c>
      <c r="L1034" s="1" t="str">
        <f t="shared" si="65"/>
        <v/>
      </c>
      <c r="M1034" s="1" t="str">
        <f t="shared" si="66"/>
        <v/>
      </c>
      <c r="P1034" s="1" t="s">
        <v>20</v>
      </c>
      <c r="V1034" s="1" t="s">
        <v>29720</v>
      </c>
      <c r="X1034" s="1" t="s">
        <v>27842</v>
      </c>
      <c r="AR1034" s="1" t="str">
        <f t="shared" si="67"/>
        <v>| [](.md) | [󻕵](󻕵.md) |  |  | 「禛」的異體字。 |</v>
      </c>
    </row>
    <row r="1035" spans="1:44" hidden="1">
      <c r="A1035" s="1" t="s">
        <v>29721</v>
      </c>
      <c r="C1035" s="1">
        <v>1</v>
      </c>
      <c r="D1035" s="1" t="str">
        <f>"07853-1"</f>
        <v>07853-1</v>
      </c>
      <c r="E1035" s="1" t="s">
        <v>429</v>
      </c>
      <c r="F1035" s="1">
        <v>15</v>
      </c>
      <c r="G1035" s="1">
        <v>10</v>
      </c>
      <c r="H1035" s="1">
        <v>0</v>
      </c>
      <c r="K1035" s="1" t="str">
        <f t="shared" si="64"/>
        <v/>
      </c>
      <c r="L1035" s="1" t="str">
        <f t="shared" si="65"/>
        <v/>
      </c>
      <c r="M1035" s="1" t="str">
        <f t="shared" si="66"/>
        <v/>
      </c>
      <c r="P1035" s="1" t="s">
        <v>20</v>
      </c>
      <c r="V1035" s="1" t="s">
        <v>29722</v>
      </c>
      <c r="X1035" s="1" t="s">
        <v>27842</v>
      </c>
      <c r="AR1035" s="1" t="str">
        <f t="shared" si="67"/>
        <v>| [](.md) | [󻕻](󻕻.md) |  |  | 「稹」的異體字。 |</v>
      </c>
    </row>
    <row r="1036" spans="1:44" hidden="1">
      <c r="A1036" s="1" t="s">
        <v>29723</v>
      </c>
      <c r="C1036" s="1">
        <v>1</v>
      </c>
      <c r="D1036" s="1" t="str">
        <f>"07854-1"</f>
        <v>07854-1</v>
      </c>
      <c r="E1036" s="1" t="s">
        <v>725</v>
      </c>
      <c r="F1036" s="1">
        <v>16</v>
      </c>
      <c r="G1036" s="1">
        <v>10</v>
      </c>
      <c r="H1036" s="1">
        <v>0</v>
      </c>
      <c r="K1036" s="1" t="str">
        <f t="shared" si="64"/>
        <v/>
      </c>
      <c r="L1036" s="1" t="str">
        <f t="shared" si="65"/>
        <v/>
      </c>
      <c r="M1036" s="1" t="str">
        <f t="shared" si="66"/>
        <v/>
      </c>
      <c r="P1036" s="1" t="s">
        <v>20</v>
      </c>
      <c r="V1036" s="1" t="s">
        <v>29724</v>
      </c>
      <c r="X1036" s="1" t="s">
        <v>27842</v>
      </c>
      <c r="AR1036" s="1" t="str">
        <f t="shared" si="67"/>
        <v>| [](.md) | [󹜁](󹜁.md) |  |  | 「縝」的異體字。 |</v>
      </c>
    </row>
    <row r="1037" spans="1:44" hidden="1">
      <c r="A1037" s="1" t="s">
        <v>29725</v>
      </c>
      <c r="C1037" s="1">
        <v>1</v>
      </c>
      <c r="D1037" s="1" t="str">
        <f>"07881-1"</f>
        <v>07881-1</v>
      </c>
      <c r="E1037" s="1" t="s">
        <v>1190</v>
      </c>
      <c r="F1037" s="1">
        <v>22</v>
      </c>
      <c r="G1037" s="1">
        <v>11</v>
      </c>
      <c r="H1037" s="1">
        <v>0</v>
      </c>
      <c r="K1037" s="1" t="str">
        <f t="shared" si="64"/>
        <v/>
      </c>
      <c r="L1037" s="1" t="str">
        <f t="shared" si="65"/>
        <v/>
      </c>
      <c r="M1037" s="1" t="str">
        <f t="shared" si="66"/>
        <v/>
      </c>
      <c r="P1037" s="1" t="s">
        <v>20</v>
      </c>
      <c r="V1037" s="1" t="s">
        <v>29726</v>
      </c>
      <c r="X1037" s="1" t="s">
        <v>27842</v>
      </c>
      <c r="AR1037" s="1" t="str">
        <f t="shared" si="67"/>
        <v>| [](.md) | [麞](麞.md) |  |  | 「獐」的異體字。 |</v>
      </c>
    </row>
    <row r="1038" spans="1:44" hidden="1">
      <c r="A1038" s="1" t="s">
        <v>29727</v>
      </c>
      <c r="C1038" s="1">
        <v>1</v>
      </c>
      <c r="D1038" s="1" t="str">
        <f>"07912-1"</f>
        <v>07912-1</v>
      </c>
      <c r="E1038" s="1" t="s">
        <v>7857</v>
      </c>
      <c r="F1038" s="1">
        <v>6</v>
      </c>
      <c r="G1038" s="1">
        <v>5</v>
      </c>
      <c r="H1038" s="1">
        <v>0</v>
      </c>
      <c r="K1038" s="1" t="str">
        <f t="shared" si="64"/>
        <v/>
      </c>
      <c r="L1038" s="1" t="str">
        <f t="shared" si="65"/>
        <v/>
      </c>
      <c r="M1038" s="1" t="str">
        <f t="shared" si="66"/>
        <v/>
      </c>
      <c r="P1038" s="1" t="s">
        <v>20</v>
      </c>
      <c r="V1038" s="1" t="s">
        <v>29728</v>
      </c>
      <c r="X1038" s="1" t="s">
        <v>27842</v>
      </c>
      <c r="AR1038" s="1" t="str">
        <f t="shared" si="67"/>
        <v>| [](.md) | [争](争.md) |  |  | 「爭」的異體字。 |</v>
      </c>
    </row>
    <row r="1039" spans="1:44" hidden="1">
      <c r="A1039" s="1" t="s">
        <v>29729</v>
      </c>
      <c r="C1039" s="1">
        <v>1</v>
      </c>
      <c r="D1039" s="1" t="str">
        <f>"07936-1"</f>
        <v>07936-1</v>
      </c>
      <c r="E1039" s="1" t="s">
        <v>256</v>
      </c>
      <c r="F1039" s="1">
        <v>9</v>
      </c>
      <c r="G1039" s="1">
        <v>6</v>
      </c>
      <c r="H1039" s="1">
        <v>0</v>
      </c>
      <c r="K1039" s="1" t="str">
        <f t="shared" si="64"/>
        <v/>
      </c>
      <c r="L1039" s="1" t="str">
        <f t="shared" si="65"/>
        <v/>
      </c>
      <c r="M1039" s="1" t="str">
        <f t="shared" si="66"/>
        <v/>
      </c>
      <c r="P1039" s="1" t="s">
        <v>20</v>
      </c>
      <c r="V1039" s="1" t="s">
        <v>29730</v>
      </c>
      <c r="X1039" s="1" t="s">
        <v>27842</v>
      </c>
      <c r="AR1039" s="1" t="str">
        <f t="shared" si="67"/>
        <v>| [](.md) | [郑](郑.md) |  |  | 「鄭」的異體字。 |</v>
      </c>
    </row>
    <row r="1040" spans="1:44" hidden="1">
      <c r="A1040" s="1" t="s">
        <v>18777</v>
      </c>
      <c r="C1040" s="1">
        <v>1</v>
      </c>
      <c r="D1040" s="1" t="str">
        <f>"07937-1"</f>
        <v>07937-1</v>
      </c>
      <c r="E1040" s="1" t="s">
        <v>331</v>
      </c>
      <c r="F1040" s="1">
        <v>12</v>
      </c>
      <c r="G1040" s="1">
        <v>5</v>
      </c>
      <c r="H1040" s="1">
        <v>0</v>
      </c>
      <c r="K1040" s="1" t="str">
        <f t="shared" si="64"/>
        <v/>
      </c>
      <c r="L1040" s="1" t="str">
        <f t="shared" si="65"/>
        <v/>
      </c>
      <c r="M1040" s="1" t="str">
        <f t="shared" si="66"/>
        <v/>
      </c>
      <c r="P1040" s="1" t="s">
        <v>20</v>
      </c>
      <c r="V1040" s="1" t="s">
        <v>29731</v>
      </c>
      <c r="X1040" s="1" t="s">
        <v>27842</v>
      </c>
      <c r="AR1040" s="1" t="str">
        <f t="shared" si="67"/>
        <v>| [](.md) | [証](証.md) |  |  | 「證」的異體字。 |</v>
      </c>
    </row>
    <row r="1041" spans="1:44" hidden="1">
      <c r="A1041" s="1" t="s">
        <v>29732</v>
      </c>
      <c r="C1041" s="1">
        <v>1</v>
      </c>
      <c r="D1041" s="1" t="str">
        <f>"07947-1"</f>
        <v>07947-1</v>
      </c>
      <c r="E1041" s="1" t="s">
        <v>3331</v>
      </c>
      <c r="F1041" s="1">
        <v>19</v>
      </c>
      <c r="G1041" s="1">
        <v>6</v>
      </c>
      <c r="H1041" s="1">
        <v>0</v>
      </c>
      <c r="K1041" s="1" t="str">
        <f t="shared" si="64"/>
        <v/>
      </c>
      <c r="L1041" s="1" t="str">
        <f t="shared" si="65"/>
        <v/>
      </c>
      <c r="M1041" s="1" t="str">
        <f t="shared" si="66"/>
        <v/>
      </c>
      <c r="P1041" s="1" t="s">
        <v>20</v>
      </c>
      <c r="V1041" s="1" t="s">
        <v>29733</v>
      </c>
      <c r="X1041" s="1" t="s">
        <v>27842</v>
      </c>
      <c r="AR1041" s="1" t="str">
        <f t="shared" si="67"/>
        <v>| [](.md) | [鼄](鼄.md) |  |  | 「蛛」的異體字。 |</v>
      </c>
    </row>
    <row r="1042" spans="1:44" hidden="1">
      <c r="A1042" s="1" t="s">
        <v>29734</v>
      </c>
      <c r="C1042" s="1">
        <v>1</v>
      </c>
      <c r="D1042" s="1" t="str">
        <f>"07952-1"</f>
        <v>07952-1</v>
      </c>
      <c r="E1042" s="1" t="s">
        <v>198</v>
      </c>
      <c r="F1042" s="1">
        <v>11</v>
      </c>
      <c r="G1042" s="1">
        <v>8</v>
      </c>
      <c r="H1042" s="1">
        <v>0</v>
      </c>
      <c r="K1042" s="1" t="str">
        <f t="shared" si="64"/>
        <v/>
      </c>
      <c r="L1042" s="1" t="str">
        <f t="shared" si="65"/>
        <v/>
      </c>
      <c r="M1042" s="1" t="str">
        <f t="shared" si="66"/>
        <v/>
      </c>
      <c r="P1042" s="1" t="s">
        <v>20</v>
      </c>
      <c r="V1042" s="1" t="s">
        <v>29735</v>
      </c>
      <c r="X1042" s="1" t="s">
        <v>27842</v>
      </c>
      <c r="AR1042" s="1" t="str">
        <f t="shared" si="67"/>
        <v>| [](.md) | [猪](猪.md) |  |  | 「豬」的異體字。 |</v>
      </c>
    </row>
    <row r="1043" spans="1:44" hidden="1">
      <c r="A1043" s="1" t="s">
        <v>29736</v>
      </c>
      <c r="C1043" s="1">
        <v>1</v>
      </c>
      <c r="D1043" s="1" t="str">
        <f>"07957-1"</f>
        <v>07957-1</v>
      </c>
      <c r="E1043" s="1" t="s">
        <v>139</v>
      </c>
      <c r="F1043" s="1">
        <v>5</v>
      </c>
      <c r="G1043" s="1">
        <v>1</v>
      </c>
      <c r="H1043" s="1">
        <v>0</v>
      </c>
      <c r="K1043" s="1" t="str">
        <f t="shared" si="64"/>
        <v/>
      </c>
      <c r="L1043" s="1" t="str">
        <f t="shared" si="65"/>
        <v/>
      </c>
      <c r="M1043" s="1" t="str">
        <f t="shared" si="66"/>
        <v/>
      </c>
      <c r="P1043" s="1" t="s">
        <v>20</v>
      </c>
      <c r="V1043" s="1" t="s">
        <v>29737</v>
      </c>
      <c r="X1043" s="1" t="s">
        <v>27842</v>
      </c>
      <c r="AR1043" s="1" t="str">
        <f t="shared" si="67"/>
        <v>| [](.md) | [术](术.md) |  |  | 「朮」的異體字。 |</v>
      </c>
    </row>
    <row r="1044" spans="1:44" hidden="1">
      <c r="A1044" s="1" t="s">
        <v>29738</v>
      </c>
      <c r="C1044" s="1">
        <v>1</v>
      </c>
      <c r="D1044" s="1" t="str">
        <f>"07969-1"</f>
        <v>07969-1</v>
      </c>
      <c r="E1044" s="1" t="s">
        <v>336</v>
      </c>
      <c r="F1044" s="1">
        <v>10</v>
      </c>
      <c r="G1044" s="1">
        <v>6</v>
      </c>
      <c r="H1044" s="1">
        <v>0</v>
      </c>
      <c r="K1044" s="1" t="str">
        <f t="shared" si="64"/>
        <v/>
      </c>
      <c r="L1044" s="1" t="str">
        <f t="shared" si="65"/>
        <v/>
      </c>
      <c r="M1044" s="1" t="str">
        <f t="shared" si="66"/>
        <v/>
      </c>
      <c r="P1044" s="1" t="s">
        <v>20</v>
      </c>
      <c r="V1044" s="1" t="s">
        <v>29739</v>
      </c>
      <c r="X1044" s="1" t="s">
        <v>27842</v>
      </c>
      <c r="AR1044" s="1" t="str">
        <f t="shared" si="67"/>
        <v>| [](.md) | [烛](烛.md) |  |  | 「燭」的異體字。 |</v>
      </c>
    </row>
    <row r="1045" spans="1:44" hidden="1">
      <c r="A1045" s="1" t="s">
        <v>29740</v>
      </c>
      <c r="C1045" s="1">
        <v>1</v>
      </c>
      <c r="D1045" s="1" t="str">
        <f>"07981-1"</f>
        <v>07981-1</v>
      </c>
      <c r="E1045" s="1" t="s">
        <v>336</v>
      </c>
      <c r="F1045" s="1">
        <v>12</v>
      </c>
      <c r="G1045" s="1">
        <v>8</v>
      </c>
      <c r="H1045" s="1">
        <v>0</v>
      </c>
      <c r="K1045" s="1" t="str">
        <f t="shared" si="64"/>
        <v/>
      </c>
      <c r="L1045" s="1" t="str">
        <f t="shared" si="65"/>
        <v/>
      </c>
      <c r="M1045" s="1" t="str">
        <f t="shared" si="66"/>
        <v/>
      </c>
      <c r="P1045" s="1" t="s">
        <v>20</v>
      </c>
      <c r="V1045" s="1" t="s">
        <v>29741</v>
      </c>
      <c r="X1045" s="1" t="s">
        <v>27842</v>
      </c>
      <c r="AR1045" s="1" t="str">
        <f t="shared" si="67"/>
        <v>| [](.md) | [煑](煑.md) |  |  | 「煮」的異體字。 |</v>
      </c>
    </row>
    <row r="1046" spans="1:44" hidden="1">
      <c r="A1046" s="1" t="s">
        <v>29742</v>
      </c>
      <c r="C1046" s="1">
        <v>1</v>
      </c>
      <c r="D1046" s="1" t="str">
        <f>"07983-1"</f>
        <v>07983-1</v>
      </c>
      <c r="E1046" s="1" t="s">
        <v>871</v>
      </c>
      <c r="F1046" s="1">
        <v>12</v>
      </c>
      <c r="G1046" s="1">
        <v>9</v>
      </c>
      <c r="H1046" s="1">
        <v>0</v>
      </c>
      <c r="K1046" s="1" t="str">
        <f t="shared" si="64"/>
        <v/>
      </c>
      <c r="L1046" s="1" t="str">
        <f t="shared" si="65"/>
        <v/>
      </c>
      <c r="M1046" s="1" t="str">
        <f t="shared" si="66"/>
        <v/>
      </c>
      <c r="P1046" s="1" t="s">
        <v>20</v>
      </c>
      <c r="V1046" s="1" t="s">
        <v>29743</v>
      </c>
      <c r="X1046" s="1" t="s">
        <v>27842</v>
      </c>
      <c r="AR1046" s="1" t="str">
        <f t="shared" si="67"/>
        <v>| [](.md) | [属](属.md) |  |  | 「屬」的異體字。 |</v>
      </c>
    </row>
    <row r="1047" spans="1:44" hidden="1">
      <c r="A1047" s="1" t="s">
        <v>29744</v>
      </c>
      <c r="C1047" s="1">
        <v>1</v>
      </c>
      <c r="D1047" s="1" t="str">
        <f>"07984-1"</f>
        <v>07984-1</v>
      </c>
      <c r="E1047" s="1" t="s">
        <v>28</v>
      </c>
      <c r="F1047" s="1">
        <v>15</v>
      </c>
      <c r="G1047" s="1">
        <v>12</v>
      </c>
      <c r="H1047" s="1">
        <v>0</v>
      </c>
      <c r="K1047" s="1" t="str">
        <f t="shared" si="64"/>
        <v/>
      </c>
      <c r="L1047" s="1" t="str">
        <f t="shared" si="65"/>
        <v/>
      </c>
      <c r="M1047" s="1" t="str">
        <f t="shared" si="66"/>
        <v/>
      </c>
      <c r="P1047" s="1" t="s">
        <v>20</v>
      </c>
      <c r="V1047" s="1" t="s">
        <v>29745</v>
      </c>
      <c r="X1047" s="1" t="s">
        <v>27842</v>
      </c>
      <c r="AR1047" s="1" t="str">
        <f t="shared" si="67"/>
        <v>| [](.md) | [嘱](嘱.md) |  |  | 「囑」的異體字。 |</v>
      </c>
    </row>
    <row r="1048" spans="1:44" hidden="1">
      <c r="A1048" s="1" t="s">
        <v>29746</v>
      </c>
      <c r="C1048" s="1">
        <v>1</v>
      </c>
      <c r="D1048" s="1" t="str">
        <f>"07987-1"</f>
        <v>07987-1</v>
      </c>
      <c r="E1048" s="1" t="s">
        <v>5784</v>
      </c>
      <c r="F1048" s="1">
        <v>10</v>
      </c>
      <c r="G1048" s="1">
        <v>5</v>
      </c>
      <c r="H1048" s="1">
        <v>0</v>
      </c>
      <c r="K1048" s="1" t="str">
        <f t="shared" si="64"/>
        <v/>
      </c>
      <c r="L1048" s="1" t="str">
        <f t="shared" si="65"/>
        <v/>
      </c>
      <c r="M1048" s="1" t="str">
        <f t="shared" si="66"/>
        <v/>
      </c>
      <c r="P1048" s="1" t="s">
        <v>20</v>
      </c>
      <c r="V1048" s="1" t="s">
        <v>29747</v>
      </c>
      <c r="X1048" s="1" t="s">
        <v>27842</v>
      </c>
      <c r="AR1048" s="1" t="str">
        <f t="shared" si="67"/>
        <v>| [](.md) | [竚](竚.md) |  |  | 「佇」的異體字。 |</v>
      </c>
    </row>
    <row r="1049" spans="1:44" hidden="1">
      <c r="A1049" s="1" t="s">
        <v>29748</v>
      </c>
      <c r="C1049" s="1">
        <v>1</v>
      </c>
      <c r="D1049" s="1" t="str">
        <f>"08012-1"</f>
        <v>08012-1</v>
      </c>
      <c r="E1049" s="1" t="s">
        <v>3875</v>
      </c>
      <c r="F1049" s="1">
        <v>17</v>
      </c>
      <c r="G1049" s="1">
        <v>8</v>
      </c>
      <c r="H1049" s="1">
        <v>0</v>
      </c>
      <c r="K1049" s="1" t="str">
        <f t="shared" si="64"/>
        <v/>
      </c>
      <c r="L1049" s="1" t="str">
        <f t="shared" si="65"/>
        <v/>
      </c>
      <c r="M1049" s="1" t="str">
        <f t="shared" si="66"/>
        <v/>
      </c>
      <c r="P1049" s="1" t="s">
        <v>20</v>
      </c>
      <c r="V1049" s="1" t="s">
        <v>29749</v>
      </c>
      <c r="X1049" s="1" t="s">
        <v>27842</v>
      </c>
      <c r="AR1049" s="1" t="str">
        <f t="shared" si="67"/>
        <v>| [](.md) | [䬡](䬡.md) |  |  | 「翥」的異體字。 |</v>
      </c>
    </row>
    <row r="1050" spans="1:44" hidden="1">
      <c r="A1050" s="1" t="s">
        <v>29750</v>
      </c>
      <c r="C1050" s="1">
        <v>1</v>
      </c>
      <c r="D1050" s="1" t="str">
        <f>"08013-1"</f>
        <v>08013-1</v>
      </c>
      <c r="E1050" s="1" t="s">
        <v>49</v>
      </c>
      <c r="F1050" s="1">
        <v>13</v>
      </c>
      <c r="G1050" s="1">
        <v>7</v>
      </c>
      <c r="H1050" s="1">
        <v>0</v>
      </c>
      <c r="K1050" s="1" t="str">
        <f t="shared" si="64"/>
        <v/>
      </c>
      <c r="L1050" s="1" t="str">
        <f t="shared" si="65"/>
        <v/>
      </c>
      <c r="M1050" s="1" t="str">
        <f t="shared" si="66"/>
        <v/>
      </c>
      <c r="P1050" s="1" t="s">
        <v>20</v>
      </c>
      <c r="V1050" s="1" t="s">
        <v>29751</v>
      </c>
      <c r="X1050" s="1" t="s">
        <v>27842</v>
      </c>
      <c r="AR1050" s="1" t="str">
        <f t="shared" si="67"/>
        <v>| [](.md) | [筯](筯.md) |  |  | 「箸」的異體字。 |</v>
      </c>
    </row>
    <row r="1051" spans="1:44" hidden="1">
      <c r="A1051" s="1" t="s">
        <v>29752</v>
      </c>
      <c r="C1051" s="1">
        <v>1</v>
      </c>
      <c r="D1051" s="1" t="str">
        <f>"08025-1"</f>
        <v>08025-1</v>
      </c>
      <c r="E1051" s="1" t="s">
        <v>139</v>
      </c>
      <c r="F1051" s="1">
        <v>14</v>
      </c>
      <c r="G1051" s="1">
        <v>10</v>
      </c>
      <c r="H1051" s="1">
        <v>0</v>
      </c>
      <c r="K1051" s="1" t="str">
        <f t="shared" si="64"/>
        <v/>
      </c>
      <c r="L1051" s="1" t="str">
        <f t="shared" si="65"/>
        <v/>
      </c>
      <c r="M1051" s="1" t="str">
        <f t="shared" si="66"/>
        <v/>
      </c>
      <c r="P1051" s="1" t="s">
        <v>20</v>
      </c>
      <c r="V1051" s="1" t="s">
        <v>29753</v>
      </c>
      <c r="X1051" s="1" t="s">
        <v>27842</v>
      </c>
      <c r="AR1051" s="1" t="str">
        <f t="shared" si="67"/>
        <v>| [](.md) | [槕](槕.md) |  |  | 「桌」的異體字。 |</v>
      </c>
    </row>
    <row r="1052" spans="1:44" hidden="1">
      <c r="A1052" s="1" t="s">
        <v>29754</v>
      </c>
      <c r="C1052" s="1">
        <v>1</v>
      </c>
      <c r="D1052" s="1" t="str">
        <f>"08046-1"</f>
        <v>08046-1</v>
      </c>
      <c r="E1052" s="1" t="s">
        <v>4517</v>
      </c>
      <c r="F1052" s="1">
        <v>17</v>
      </c>
      <c r="G1052" s="1">
        <v>13</v>
      </c>
      <c r="H1052" s="1">
        <v>0</v>
      </c>
      <c r="K1052" s="1" t="str">
        <f t="shared" si="64"/>
        <v/>
      </c>
      <c r="L1052" s="1" t="str">
        <f t="shared" si="65"/>
        <v/>
      </c>
      <c r="M1052" s="1" t="str">
        <f t="shared" si="66"/>
        <v/>
      </c>
      <c r="P1052" s="1" t="s">
        <v>20</v>
      </c>
      <c r="V1052" s="1" t="s">
        <v>29755</v>
      </c>
      <c r="X1052" s="1" t="s">
        <v>27842</v>
      </c>
      <c r="AR1052" s="1" t="str">
        <f t="shared" si="67"/>
        <v>| [](.md) | [斵](斵.md) |  |  | 「斲」的異體字。 |</v>
      </c>
    </row>
    <row r="1053" spans="1:44" hidden="1">
      <c r="A1053" s="1" t="s">
        <v>29756</v>
      </c>
      <c r="C1053" s="1">
        <v>1</v>
      </c>
      <c r="D1053" s="1" t="str">
        <f>"08089-1"</f>
        <v>08089-1</v>
      </c>
      <c r="E1053" s="1" t="s">
        <v>1824</v>
      </c>
      <c r="F1053" s="1">
        <v>16</v>
      </c>
      <c r="G1053" s="1">
        <v>11</v>
      </c>
      <c r="H1053" s="1">
        <v>0</v>
      </c>
      <c r="K1053" s="1" t="str">
        <f t="shared" si="64"/>
        <v/>
      </c>
      <c r="L1053" s="1" t="str">
        <f t="shared" si="65"/>
        <v/>
      </c>
      <c r="M1053" s="1" t="str">
        <f t="shared" si="66"/>
        <v/>
      </c>
      <c r="P1053" s="1" t="s">
        <v>20</v>
      </c>
      <c r="V1053" s="1" t="s">
        <v>29757</v>
      </c>
      <c r="X1053" s="1" t="s">
        <v>27842</v>
      </c>
      <c r="AR1053" s="1" t="str">
        <f t="shared" si="67"/>
        <v>| [](.md) | [甎](甎.md) |  |  | 「磚」的異體字。 |</v>
      </c>
    </row>
    <row r="1054" spans="1:44" hidden="1">
      <c r="A1054" s="1" t="s">
        <v>29758</v>
      </c>
      <c r="C1054" s="1">
        <v>1</v>
      </c>
      <c r="D1054" s="1" t="str">
        <f>"08093-1"</f>
        <v>08093-1</v>
      </c>
      <c r="E1054" s="1" t="s">
        <v>71</v>
      </c>
      <c r="F1054" s="1">
        <v>11</v>
      </c>
      <c r="G1054" s="1">
        <v>4</v>
      </c>
      <c r="H1054" s="1">
        <v>0</v>
      </c>
      <c r="K1054" s="1" t="str">
        <f t="shared" si="64"/>
        <v/>
      </c>
      <c r="L1054" s="1" t="str">
        <f t="shared" si="65"/>
        <v/>
      </c>
      <c r="M1054" s="1" t="str">
        <f t="shared" si="66"/>
        <v/>
      </c>
      <c r="P1054" s="1" t="s">
        <v>20</v>
      </c>
      <c r="V1054" s="1" t="s">
        <v>29759</v>
      </c>
      <c r="X1054" s="1" t="s">
        <v>27842</v>
      </c>
      <c r="AR1054" s="1" t="str">
        <f t="shared" si="67"/>
        <v>| [](.md) | [転](転.md) |  |  | 「轉」的異體字。 |</v>
      </c>
    </row>
    <row r="1055" spans="1:44" hidden="1">
      <c r="A1055" s="1" t="s">
        <v>29760</v>
      </c>
      <c r="C1055" s="1">
        <v>1</v>
      </c>
      <c r="D1055" s="1" t="str">
        <f>"08103-1"</f>
        <v>08103-1</v>
      </c>
      <c r="E1055" s="1" t="s">
        <v>49</v>
      </c>
      <c r="F1055" s="1">
        <v>21</v>
      </c>
      <c r="G1055" s="1">
        <v>15</v>
      </c>
      <c r="H1055" s="1">
        <v>0</v>
      </c>
      <c r="K1055" s="1" t="str">
        <f t="shared" si="64"/>
        <v/>
      </c>
      <c r="L1055" s="1" t="str">
        <f t="shared" si="65"/>
        <v/>
      </c>
      <c r="M1055" s="1" t="str">
        <f t="shared" si="66"/>
        <v/>
      </c>
      <c r="P1055" s="1" t="s">
        <v>20</v>
      </c>
      <c r="V1055" s="1" t="s">
        <v>29761</v>
      </c>
      <c r="X1055" s="1" t="s">
        <v>27842</v>
      </c>
      <c r="AR1055" s="1" t="str">
        <f t="shared" si="67"/>
        <v>| [](.md) | [籑](籑.md) |  |  | 「饌」的異體字。 |</v>
      </c>
    </row>
    <row r="1056" spans="1:44" hidden="1">
      <c r="A1056" s="1" t="s">
        <v>7750</v>
      </c>
      <c r="C1056" s="1">
        <v>1</v>
      </c>
      <c r="D1056" s="1" t="str">
        <f>"08118-1"</f>
        <v>08118-1</v>
      </c>
      <c r="E1056" s="1" t="s">
        <v>46</v>
      </c>
      <c r="F1056" s="1">
        <v>9</v>
      </c>
      <c r="G1056" s="1">
        <v>3</v>
      </c>
      <c r="H1056" s="1">
        <v>0</v>
      </c>
      <c r="K1056" s="1" t="str">
        <f t="shared" si="64"/>
        <v/>
      </c>
      <c r="L1056" s="1" t="str">
        <f t="shared" si="65"/>
        <v/>
      </c>
      <c r="M1056" s="1" t="str">
        <f t="shared" si="66"/>
        <v/>
      </c>
      <c r="P1056" s="1" t="s">
        <v>20</v>
      </c>
      <c r="V1056" s="1" t="s">
        <v>29762</v>
      </c>
      <c r="X1056" s="1" t="s">
        <v>27842</v>
      </c>
      <c r="AR1056" s="1" t="str">
        <f t="shared" si="67"/>
        <v>| [](.md) | [籹](籹.md) |  |  | 「妝」的異體字。 |</v>
      </c>
    </row>
    <row r="1057" spans="1:44" hidden="1">
      <c r="A1057" s="1" t="s">
        <v>29763</v>
      </c>
      <c r="C1057" s="1">
        <v>1</v>
      </c>
      <c r="D1057" s="1" t="str">
        <f>"08118-2"</f>
        <v>08118-2</v>
      </c>
      <c r="E1057" s="1" t="s">
        <v>46</v>
      </c>
      <c r="F1057" s="1">
        <v>12</v>
      </c>
      <c r="G1057" s="1">
        <v>6</v>
      </c>
      <c r="H1057" s="1">
        <v>0</v>
      </c>
      <c r="K1057" s="1" t="str">
        <f t="shared" si="64"/>
        <v/>
      </c>
      <c r="L1057" s="1" t="str">
        <f t="shared" si="65"/>
        <v/>
      </c>
      <c r="M1057" s="1" t="str">
        <f t="shared" si="66"/>
        <v/>
      </c>
      <c r="P1057" s="1" t="s">
        <v>20</v>
      </c>
      <c r="V1057" s="1" t="s">
        <v>29762</v>
      </c>
      <c r="X1057" s="1" t="s">
        <v>27842</v>
      </c>
      <c r="AR1057" s="1" t="str">
        <f t="shared" si="67"/>
        <v>| [](.md) | [粧](粧.md) |  |  | 「妝」的異體字。 |</v>
      </c>
    </row>
    <row r="1058" spans="1:44" hidden="1">
      <c r="A1058" s="1" t="s">
        <v>29764</v>
      </c>
      <c r="C1058" s="1">
        <v>1</v>
      </c>
      <c r="D1058" s="1" t="str">
        <f>"08119-1"</f>
        <v>08119-1</v>
      </c>
      <c r="E1058" s="1" t="s">
        <v>447</v>
      </c>
      <c r="F1058" s="1">
        <v>6</v>
      </c>
      <c r="G1058" s="1">
        <v>3</v>
      </c>
      <c r="H1058" s="1">
        <v>0</v>
      </c>
      <c r="K1058" s="1" t="str">
        <f t="shared" si="64"/>
        <v/>
      </c>
      <c r="L1058" s="1" t="str">
        <f t="shared" si="65"/>
        <v/>
      </c>
      <c r="M1058" s="1" t="str">
        <f t="shared" si="66"/>
        <v/>
      </c>
      <c r="P1058" s="1" t="s">
        <v>20</v>
      </c>
      <c r="V1058" s="1" t="s">
        <v>29765</v>
      </c>
      <c r="X1058" s="1" t="s">
        <v>27842</v>
      </c>
      <c r="AR1058" s="1" t="str">
        <f t="shared" si="67"/>
        <v>| [](.md) | [庄](庄.md) |  |  | 「莊」的異體字。 |</v>
      </c>
    </row>
    <row r="1059" spans="1:44" hidden="1">
      <c r="A1059" s="1" t="s">
        <v>29766</v>
      </c>
      <c r="C1059" s="1">
        <v>1</v>
      </c>
      <c r="D1059" s="1" t="str">
        <f>"08123-1"</f>
        <v>08123-1</v>
      </c>
      <c r="E1059" s="1" t="s">
        <v>11385</v>
      </c>
      <c r="F1059" s="1">
        <v>6</v>
      </c>
      <c r="G1059" s="1">
        <v>3</v>
      </c>
      <c r="H1059" s="1">
        <v>0</v>
      </c>
      <c r="K1059" s="1" t="str">
        <f t="shared" si="64"/>
        <v/>
      </c>
      <c r="L1059" s="1" t="str">
        <f t="shared" si="65"/>
        <v/>
      </c>
      <c r="M1059" s="1" t="str">
        <f t="shared" si="66"/>
        <v/>
      </c>
      <c r="P1059" s="1" t="s">
        <v>20</v>
      </c>
      <c r="V1059" s="1" t="s">
        <v>29767</v>
      </c>
      <c r="X1059" s="1" t="s">
        <v>27842</v>
      </c>
      <c r="AR1059" s="1" t="str">
        <f t="shared" si="67"/>
        <v>| [](.md) | [壮](壮.md) |  |  | 「壯」的異體字。 |</v>
      </c>
    </row>
    <row r="1060" spans="1:44" hidden="1">
      <c r="A1060" s="1" t="s">
        <v>29768</v>
      </c>
      <c r="C1060" s="1">
        <v>1</v>
      </c>
      <c r="D1060" s="1" t="str">
        <f>"08133-1"</f>
        <v>08133-1</v>
      </c>
      <c r="E1060" s="1" t="s">
        <v>340</v>
      </c>
      <c r="F1060" s="1">
        <v>9</v>
      </c>
      <c r="G1060" s="1">
        <v>5</v>
      </c>
      <c r="H1060" s="1">
        <v>0</v>
      </c>
      <c r="K1060" s="1" t="str">
        <f t="shared" si="64"/>
        <v/>
      </c>
      <c r="L1060" s="1" t="str">
        <f t="shared" si="65"/>
        <v/>
      </c>
      <c r="M1060" s="1" t="str">
        <f t="shared" si="66"/>
        <v/>
      </c>
      <c r="P1060" s="1" t="s">
        <v>20</v>
      </c>
      <c r="V1060" s="1" t="s">
        <v>29769</v>
      </c>
      <c r="X1060" s="1" t="s">
        <v>27842</v>
      </c>
      <c r="AR1060" s="1" t="str">
        <f t="shared" si="67"/>
        <v>| [](.md) | [󽬿](󽬿.md) |  |  | 「衷」的異體字。 |</v>
      </c>
    </row>
    <row r="1061" spans="1:44" hidden="1">
      <c r="A1061" s="1" t="s">
        <v>29770</v>
      </c>
      <c r="C1061" s="1">
        <v>1</v>
      </c>
      <c r="D1061" s="1" t="str">
        <f>"08143-1"</f>
        <v>08143-1</v>
      </c>
      <c r="E1061" s="1" t="s">
        <v>55</v>
      </c>
      <c r="F1061" s="1">
        <v>12</v>
      </c>
      <c r="G1061" s="1">
        <v>4</v>
      </c>
      <c r="H1061" s="1">
        <v>0</v>
      </c>
      <c r="K1061" s="1" t="str">
        <f t="shared" si="64"/>
        <v/>
      </c>
      <c r="L1061" s="1" t="str">
        <f t="shared" si="65"/>
        <v/>
      </c>
      <c r="M1061" s="1" t="str">
        <f t="shared" si="66"/>
        <v/>
      </c>
      <c r="P1061" s="1" t="s">
        <v>20</v>
      </c>
      <c r="V1061" s="1" t="s">
        <v>29771</v>
      </c>
      <c r="X1061" s="1" t="s">
        <v>27842</v>
      </c>
      <c r="AR1061" s="1" t="str">
        <f t="shared" si="67"/>
        <v>| [](.md) | [鈡](鈡.md) |  |  | 「鐘」的異體字。 |</v>
      </c>
    </row>
    <row r="1062" spans="1:44" hidden="1">
      <c r="A1062" s="1" t="s">
        <v>20503</v>
      </c>
      <c r="C1062" s="1">
        <v>1</v>
      </c>
      <c r="D1062" s="1" t="str">
        <f>"08148-1"</f>
        <v>08148-1</v>
      </c>
      <c r="E1062" s="1" t="s">
        <v>429</v>
      </c>
      <c r="F1062" s="1">
        <v>9</v>
      </c>
      <c r="G1062" s="1">
        <v>4</v>
      </c>
      <c r="H1062" s="1">
        <v>0</v>
      </c>
      <c r="K1062" s="1" t="str">
        <f t="shared" si="64"/>
        <v/>
      </c>
      <c r="L1062" s="1" t="str">
        <f t="shared" si="65"/>
        <v/>
      </c>
      <c r="M1062" s="1" t="str">
        <f t="shared" si="66"/>
        <v/>
      </c>
      <c r="P1062" s="1" t="s">
        <v>20</v>
      </c>
      <c r="V1062" s="1" t="s">
        <v>29772</v>
      </c>
      <c r="X1062" s="1" t="s">
        <v>27842</v>
      </c>
      <c r="AR1062" s="1" t="str">
        <f t="shared" si="67"/>
        <v>| [](.md) | [种](种.md) |  |  | 「種」的異體字。 |</v>
      </c>
    </row>
    <row r="1063" spans="1:44" hidden="1">
      <c r="A1063" s="1" t="s">
        <v>29773</v>
      </c>
      <c r="C1063" s="1">
        <v>1</v>
      </c>
      <c r="D1063" s="1" t="str">
        <f>"08149-1"</f>
        <v>08149-1</v>
      </c>
      <c r="E1063" s="1" t="s">
        <v>1495</v>
      </c>
      <c r="F1063" s="1">
        <v>13</v>
      </c>
      <c r="G1063" s="1">
        <v>9</v>
      </c>
      <c r="H1063" s="1">
        <v>0</v>
      </c>
      <c r="K1063" s="1" t="str">
        <f t="shared" si="64"/>
        <v/>
      </c>
      <c r="L1063" s="1" t="str">
        <f t="shared" si="65"/>
        <v/>
      </c>
      <c r="M1063" s="1" t="str">
        <f t="shared" si="66"/>
        <v/>
      </c>
      <c r="P1063" s="1" t="s">
        <v>20</v>
      </c>
      <c r="V1063" s="1" t="s">
        <v>29774</v>
      </c>
      <c r="X1063" s="1" t="s">
        <v>27842</v>
      </c>
      <c r="AR1063" s="1" t="str">
        <f t="shared" si="67"/>
        <v>| [](.md) | [歱](歱.md) |  |  | 「踵」的異體字。 |</v>
      </c>
    </row>
    <row r="1064" spans="1:44" hidden="1">
      <c r="A1064" s="1" t="s">
        <v>29775</v>
      </c>
      <c r="C1064" s="1">
        <v>1</v>
      </c>
      <c r="D1064" s="1" t="str">
        <f>"08154-1"</f>
        <v>08154-1</v>
      </c>
      <c r="E1064" s="1" t="s">
        <v>114</v>
      </c>
      <c r="F1064" s="1">
        <v>6</v>
      </c>
      <c r="G1064" s="1">
        <v>4</v>
      </c>
      <c r="H1064" s="1">
        <v>0</v>
      </c>
      <c r="K1064" s="1" t="str">
        <f t="shared" si="64"/>
        <v/>
      </c>
      <c r="L1064" s="1" t="str">
        <f t="shared" si="65"/>
        <v/>
      </c>
      <c r="M1064" s="1" t="str">
        <f t="shared" si="66"/>
        <v/>
      </c>
      <c r="P1064" s="1" t="s">
        <v>20</v>
      </c>
      <c r="V1064" s="1" t="s">
        <v>29776</v>
      </c>
      <c r="X1064" s="1" t="s">
        <v>27842</v>
      </c>
      <c r="AR1064" s="1" t="str">
        <f t="shared" si="67"/>
        <v>| [](.md) | [众](众.md) |  |  | 「眾」的異體字。 |</v>
      </c>
    </row>
    <row r="1065" spans="1:44" hidden="1">
      <c r="A1065" s="1" t="s">
        <v>29777</v>
      </c>
      <c r="C1065" s="1">
        <v>1</v>
      </c>
      <c r="D1065" s="1" t="str">
        <f>"08154-2"</f>
        <v>08154-2</v>
      </c>
      <c r="E1065" s="1" t="s">
        <v>1681</v>
      </c>
      <c r="F1065" s="1">
        <v>12</v>
      </c>
      <c r="G1065" s="1">
        <v>6</v>
      </c>
      <c r="H1065" s="1">
        <v>0</v>
      </c>
      <c r="K1065" s="1" t="str">
        <f t="shared" si="64"/>
        <v/>
      </c>
      <c r="L1065" s="1" t="str">
        <f t="shared" si="65"/>
        <v/>
      </c>
      <c r="M1065" s="1" t="str">
        <f t="shared" si="66"/>
        <v/>
      </c>
      <c r="P1065" s="1" t="s">
        <v>20</v>
      </c>
      <c r="V1065" s="1" t="s">
        <v>29776</v>
      </c>
      <c r="X1065" s="1" t="s">
        <v>27842</v>
      </c>
      <c r="AR1065" s="1" t="str">
        <f t="shared" si="67"/>
        <v>| [](.md) | [󿶛](󿶛.md) |  |  | 「眾」的異體字。 |</v>
      </c>
    </row>
    <row r="1066" spans="1:44" hidden="1">
      <c r="A1066" s="1" t="s">
        <v>29778</v>
      </c>
      <c r="C1066" s="1">
        <v>1</v>
      </c>
      <c r="D1066" s="1" t="str">
        <f>"08154-3"</f>
        <v>08154-3</v>
      </c>
      <c r="E1066" s="1" t="s">
        <v>1681</v>
      </c>
      <c r="F1066" s="1">
        <v>12</v>
      </c>
      <c r="G1066" s="1">
        <v>6</v>
      </c>
      <c r="H1066" s="1">
        <v>0</v>
      </c>
      <c r="K1066" s="1" t="str">
        <f t="shared" si="64"/>
        <v/>
      </c>
      <c r="L1066" s="1" t="str">
        <f t="shared" si="65"/>
        <v/>
      </c>
      <c r="M1066" s="1" t="str">
        <f t="shared" si="66"/>
        <v/>
      </c>
      <c r="P1066" s="1" t="s">
        <v>20</v>
      </c>
      <c r="V1066" s="1" t="s">
        <v>29776</v>
      </c>
      <c r="X1066" s="1" t="s">
        <v>27842</v>
      </c>
      <c r="AR1066" s="1" t="str">
        <f t="shared" si="67"/>
        <v>| [](.md) | [󳻱](󳻱.md) |  |  | 「眾」的異體字。 |</v>
      </c>
    </row>
    <row r="1067" spans="1:44" hidden="1">
      <c r="A1067" s="1" t="s">
        <v>29779</v>
      </c>
      <c r="C1067" s="1">
        <v>1</v>
      </c>
      <c r="D1067" s="1" t="str">
        <f>"08155-1"</f>
        <v>08155-1</v>
      </c>
      <c r="E1067" s="1" t="s">
        <v>46</v>
      </c>
      <c r="F1067" s="1">
        <v>15</v>
      </c>
      <c r="G1067" s="1">
        <v>9</v>
      </c>
      <c r="H1067" s="1">
        <v>0</v>
      </c>
      <c r="K1067" s="1" t="str">
        <f t="shared" si="64"/>
        <v/>
      </c>
      <c r="L1067" s="1" t="str">
        <f t="shared" si="65"/>
        <v/>
      </c>
      <c r="M1067" s="1" t="str">
        <f t="shared" si="66"/>
        <v/>
      </c>
      <c r="P1067" s="1" t="s">
        <v>20</v>
      </c>
      <c r="V1067" s="1" t="s">
        <v>29780</v>
      </c>
      <c r="X1067" s="1" t="s">
        <v>27842</v>
      </c>
      <c r="AR1067" s="1" t="str">
        <f t="shared" si="67"/>
        <v>| [](.md) | [糉](糉.md) |  |  | 「粽」的異體字。 |</v>
      </c>
    </row>
    <row r="1068" spans="1:44" hidden="1">
      <c r="A1068" s="1" t="s">
        <v>29781</v>
      </c>
      <c r="C1068" s="1">
        <v>1</v>
      </c>
      <c r="D1068" s="1" t="str">
        <f>"08169-1"</f>
        <v>08169-1</v>
      </c>
      <c r="E1068" s="1" t="s">
        <v>40</v>
      </c>
      <c r="F1068" s="1">
        <v>19</v>
      </c>
      <c r="G1068" s="1">
        <v>14</v>
      </c>
      <c r="H1068" s="1">
        <v>0</v>
      </c>
      <c r="K1068" s="1" t="str">
        <f t="shared" si="64"/>
        <v/>
      </c>
      <c r="L1068" s="1" t="str">
        <f t="shared" si="65"/>
        <v/>
      </c>
      <c r="M1068" s="1" t="str">
        <f t="shared" si="66"/>
        <v/>
      </c>
      <c r="P1068" s="1" t="s">
        <v>20</v>
      </c>
      <c r="V1068" s="1" t="s">
        <v>29782</v>
      </c>
      <c r="X1068" s="1" t="s">
        <v>27842</v>
      </c>
      <c r="AR1068" s="1" t="str">
        <f t="shared" si="67"/>
        <v>| [](.md) | [癡](癡.md) |  |  | 「痴」的異體字。 |</v>
      </c>
    </row>
    <row r="1069" spans="1:44" hidden="1">
      <c r="A1069" s="1" t="s">
        <v>29783</v>
      </c>
      <c r="C1069" s="1">
        <v>1</v>
      </c>
      <c r="D1069" s="1" t="str">
        <f>"08187-1"</f>
        <v>08187-1</v>
      </c>
      <c r="E1069" s="1" t="s">
        <v>37</v>
      </c>
      <c r="F1069" s="1">
        <v>10</v>
      </c>
      <c r="G1069" s="1">
        <v>6</v>
      </c>
      <c r="H1069" s="1">
        <v>0</v>
      </c>
      <c r="K1069" s="1" t="str">
        <f t="shared" si="64"/>
        <v/>
      </c>
      <c r="L1069" s="1" t="str">
        <f t="shared" si="65"/>
        <v/>
      </c>
      <c r="M1069" s="1" t="str">
        <f t="shared" si="66"/>
        <v/>
      </c>
      <c r="P1069" s="1" t="s">
        <v>20</v>
      </c>
      <c r="V1069" s="1" t="s">
        <v>29784</v>
      </c>
      <c r="X1069" s="1" t="s">
        <v>27842</v>
      </c>
      <c r="AR1069" s="1" t="str">
        <f t="shared" si="67"/>
        <v>| [](.md) | [茬](茬.md) |  |  | 「茌」的異體字。 |</v>
      </c>
    </row>
    <row r="1070" spans="1:44" hidden="1">
      <c r="A1070" s="1" t="s">
        <v>29785</v>
      </c>
      <c r="C1070" s="1">
        <v>1</v>
      </c>
      <c r="D1070" s="1" t="str">
        <f>"08194-1"</f>
        <v>08194-1</v>
      </c>
      <c r="E1070" s="1" t="s">
        <v>558</v>
      </c>
      <c r="F1070" s="1">
        <v>14</v>
      </c>
      <c r="G1070" s="1">
        <v>10</v>
      </c>
      <c r="H1070" s="1">
        <v>0</v>
      </c>
      <c r="K1070" s="1" t="str">
        <f t="shared" si="64"/>
        <v/>
      </c>
      <c r="L1070" s="1" t="str">
        <f t="shared" si="65"/>
        <v/>
      </c>
      <c r="M1070" s="1" t="str">
        <f t="shared" si="66"/>
        <v/>
      </c>
      <c r="P1070" s="1" t="s">
        <v>20</v>
      </c>
      <c r="V1070" s="1" t="s">
        <v>29786</v>
      </c>
      <c r="X1070" s="1" t="s">
        <v>27842</v>
      </c>
      <c r="AR1070" s="1" t="str">
        <f t="shared" si="67"/>
        <v>| [](.md) | [遟](遟.md) |  |  | 「遲」的異體字。 |</v>
      </c>
    </row>
    <row r="1071" spans="1:44" hidden="1">
      <c r="A1071" s="1" t="s">
        <v>29787</v>
      </c>
      <c r="C1071" s="1">
        <v>1</v>
      </c>
      <c r="D1071" s="1" t="str">
        <f>"08195-1"</f>
        <v>08195-1</v>
      </c>
      <c r="E1071" s="1" t="s">
        <v>49</v>
      </c>
      <c r="F1071" s="1">
        <v>9</v>
      </c>
      <c r="G1071" s="1">
        <v>3</v>
      </c>
      <c r="H1071" s="1">
        <v>0</v>
      </c>
      <c r="K1071" s="1" t="str">
        <f t="shared" si="64"/>
        <v/>
      </c>
      <c r="L1071" s="1" t="str">
        <f t="shared" si="65"/>
        <v/>
      </c>
      <c r="M1071" s="1" t="str">
        <f t="shared" si="66"/>
        <v/>
      </c>
      <c r="P1071" s="1" t="s">
        <v>20</v>
      </c>
      <c r="V1071" s="1" t="s">
        <v>29788</v>
      </c>
      <c r="X1071" s="1" t="s">
        <v>27842</v>
      </c>
      <c r="AR1071" s="1" t="str">
        <f t="shared" si="67"/>
        <v>| [](.md) | [竾](竾.md) |  |  | 「篪」的異體字。 |</v>
      </c>
    </row>
    <row r="1072" spans="1:44" hidden="1">
      <c r="A1072" s="1" t="s">
        <v>29789</v>
      </c>
      <c r="C1072" s="1">
        <v>1</v>
      </c>
      <c r="D1072" s="1" t="str">
        <f>"08202-1"</f>
        <v>08202-1</v>
      </c>
      <c r="E1072" s="1" t="s">
        <v>2419</v>
      </c>
      <c r="F1072" s="1">
        <v>10</v>
      </c>
      <c r="G1072" s="1">
        <v>4</v>
      </c>
      <c r="H1072" s="1">
        <v>0</v>
      </c>
      <c r="K1072" s="1" t="str">
        <f t="shared" si="64"/>
        <v/>
      </c>
      <c r="L1072" s="1" t="str">
        <f t="shared" si="65"/>
        <v/>
      </c>
      <c r="M1072" s="1" t="str">
        <f t="shared" si="66"/>
        <v/>
      </c>
      <c r="P1072" s="1" t="s">
        <v>20</v>
      </c>
      <c r="V1072" s="1" t="s">
        <v>29790</v>
      </c>
      <c r="X1072" s="1" t="s">
        <v>27842</v>
      </c>
      <c r="AR1072" s="1" t="str">
        <f t="shared" si="67"/>
        <v>| [](.md) | [耻](耻.md) |  |  | 「恥」的異體字。 |</v>
      </c>
    </row>
    <row r="1073" spans="1:44" hidden="1">
      <c r="A1073" s="1" t="s">
        <v>29791</v>
      </c>
      <c r="C1073" s="1">
        <v>1</v>
      </c>
      <c r="D1073" s="1" t="str">
        <f>"08211-1"</f>
        <v>08211-1</v>
      </c>
      <c r="E1073" s="1" t="s">
        <v>2271</v>
      </c>
      <c r="F1073" s="1">
        <v>10</v>
      </c>
      <c r="G1073" s="1">
        <v>4</v>
      </c>
      <c r="H1073" s="1">
        <v>0</v>
      </c>
      <c r="K1073" s="1" t="str">
        <f t="shared" si="64"/>
        <v/>
      </c>
      <c r="L1073" s="1" t="str">
        <f t="shared" si="65"/>
        <v/>
      </c>
      <c r="M1073" s="1" t="str">
        <f t="shared" si="66"/>
        <v/>
      </c>
      <c r="P1073" s="1" t="s">
        <v>20</v>
      </c>
      <c r="V1073" s="1" t="s">
        <v>29792</v>
      </c>
      <c r="X1073" s="1" t="s">
        <v>27842</v>
      </c>
      <c r="AR1073" s="1" t="str">
        <f t="shared" si="67"/>
        <v>| [](.md) | [翄](翄.md) |  |  | 「翅」的異體字。 |</v>
      </c>
    </row>
    <row r="1074" spans="1:44" hidden="1">
      <c r="A1074" s="1" t="s">
        <v>29793</v>
      </c>
      <c r="C1074" s="1">
        <v>1</v>
      </c>
      <c r="D1074" s="1" t="str">
        <f>"08213-1"</f>
        <v>08213-1</v>
      </c>
      <c r="E1074" s="1" t="s">
        <v>245</v>
      </c>
      <c r="F1074" s="1">
        <v>9</v>
      </c>
      <c r="G1074" s="1">
        <v>7</v>
      </c>
      <c r="H1074" s="1">
        <v>0</v>
      </c>
      <c r="K1074" s="1" t="str">
        <f t="shared" si="64"/>
        <v/>
      </c>
      <c r="L1074" s="1" t="str">
        <f t="shared" si="65"/>
        <v/>
      </c>
      <c r="M1074" s="1" t="str">
        <f t="shared" si="66"/>
        <v/>
      </c>
      <c r="P1074" s="1" t="s">
        <v>20</v>
      </c>
      <c r="V1074" s="1" t="s">
        <v>29794</v>
      </c>
      <c r="X1074" s="1" t="s">
        <v>27842</v>
      </c>
      <c r="AR1074" s="1" t="str">
        <f t="shared" si="67"/>
        <v>| [](.md) | [勅](勅.md) |  |  | 「敕」的異體字。 |</v>
      </c>
    </row>
    <row r="1075" spans="1:44" hidden="1">
      <c r="A1075" s="1" t="s">
        <v>7896</v>
      </c>
      <c r="C1075" s="1">
        <v>1</v>
      </c>
      <c r="D1075" s="1" t="str">
        <f>"08213-2"</f>
        <v>08213-2</v>
      </c>
      <c r="E1075" s="1" t="s">
        <v>245</v>
      </c>
      <c r="F1075" s="1">
        <v>10</v>
      </c>
      <c r="G1075" s="1">
        <v>8</v>
      </c>
      <c r="H1075" s="1">
        <v>0</v>
      </c>
      <c r="K1075" s="1" t="str">
        <f t="shared" si="64"/>
        <v/>
      </c>
      <c r="L1075" s="1" t="str">
        <f t="shared" si="65"/>
        <v/>
      </c>
      <c r="M1075" s="1" t="str">
        <f t="shared" si="66"/>
        <v/>
      </c>
      <c r="P1075" s="1" t="s">
        <v>20</v>
      </c>
      <c r="V1075" s="1" t="s">
        <v>29794</v>
      </c>
      <c r="X1075" s="1" t="s">
        <v>27842</v>
      </c>
      <c r="AR1075" s="1" t="str">
        <f t="shared" si="67"/>
        <v>| [](.md) | [勑](勑.md) |  |  | 「敕」的異體字。 |</v>
      </c>
    </row>
    <row r="1076" spans="1:44" hidden="1">
      <c r="A1076" s="1" t="s">
        <v>29795</v>
      </c>
      <c r="C1076" s="1">
        <v>1</v>
      </c>
      <c r="D1076" s="1" t="str">
        <f>"08213-3"</f>
        <v>08213-3</v>
      </c>
      <c r="E1076" s="1" t="s">
        <v>426</v>
      </c>
      <c r="F1076" s="1">
        <v>12</v>
      </c>
      <c r="G1076" s="1">
        <v>8</v>
      </c>
      <c r="H1076" s="1">
        <v>0</v>
      </c>
      <c r="K1076" s="1" t="str">
        <f t="shared" si="64"/>
        <v/>
      </c>
      <c r="L1076" s="1" t="str">
        <f t="shared" si="65"/>
        <v/>
      </c>
      <c r="M1076" s="1" t="str">
        <f t="shared" si="66"/>
        <v/>
      </c>
      <c r="P1076" s="1" t="s">
        <v>20</v>
      </c>
      <c r="V1076" s="1" t="s">
        <v>29794</v>
      </c>
      <c r="X1076" s="1" t="s">
        <v>27842</v>
      </c>
      <c r="AR1076" s="1" t="str">
        <f t="shared" si="67"/>
        <v>| [](.md) | [𢽟](𢽟.md) |  |  | 「敕」的異體字。 |</v>
      </c>
    </row>
    <row r="1077" spans="1:44" hidden="1">
      <c r="A1077" s="1" t="s">
        <v>29796</v>
      </c>
      <c r="C1077" s="1">
        <v>1</v>
      </c>
      <c r="D1077" s="1" t="str">
        <f>"08223-1"</f>
        <v>08223-1</v>
      </c>
      <c r="E1077" s="1" t="s">
        <v>272</v>
      </c>
      <c r="F1077" s="1">
        <v>20</v>
      </c>
      <c r="G1077" s="1">
        <v>9</v>
      </c>
      <c r="H1077" s="1">
        <v>0</v>
      </c>
      <c r="K1077" s="1" t="str">
        <f t="shared" si="64"/>
        <v/>
      </c>
      <c r="L1077" s="1" t="str">
        <f t="shared" si="65"/>
        <v/>
      </c>
      <c r="M1077" s="1" t="str">
        <f t="shared" si="66"/>
        <v/>
      </c>
      <c r="P1077" s="1" t="s">
        <v>20</v>
      </c>
      <c r="V1077" s="1" t="s">
        <v>29797</v>
      </c>
      <c r="X1077" s="1" t="s">
        <v>27842</v>
      </c>
      <c r="AR1077" s="1" t="str">
        <f t="shared" si="67"/>
        <v>| [](.md) | [𪃠](𪃠.md) |  |  | 「鶒」的異體字。 |</v>
      </c>
    </row>
    <row r="1078" spans="1:44" hidden="1">
      <c r="A1078" s="1" t="s">
        <v>29798</v>
      </c>
      <c r="C1078" s="1">
        <v>1</v>
      </c>
      <c r="D1078" s="1" t="str">
        <f>"08229-2"</f>
        <v>08229-2</v>
      </c>
      <c r="E1078" s="1" t="s">
        <v>24</v>
      </c>
      <c r="F1078" s="1">
        <v>12</v>
      </c>
      <c r="G1078" s="1">
        <v>9</v>
      </c>
      <c r="H1078" s="1">
        <v>0</v>
      </c>
      <c r="K1078" s="1" t="str">
        <f t="shared" si="64"/>
        <v/>
      </c>
      <c r="L1078" s="1" t="str">
        <f t="shared" si="65"/>
        <v/>
      </c>
      <c r="M1078" s="1" t="str">
        <f t="shared" si="66"/>
        <v/>
      </c>
      <c r="P1078" s="1" t="s">
        <v>20</v>
      </c>
      <c r="V1078" s="1" t="s">
        <v>29799</v>
      </c>
      <c r="X1078" s="1" t="s">
        <v>27842</v>
      </c>
      <c r="AR1078" s="1" t="str">
        <f t="shared" si="67"/>
        <v>| [](.md) | [揷](揷.md) |  |  | 「插」的異體字。 |</v>
      </c>
    </row>
    <row r="1079" spans="1:44" hidden="1">
      <c r="A1079" s="1" t="s">
        <v>29800</v>
      </c>
      <c r="C1079" s="1">
        <v>1</v>
      </c>
      <c r="D1079" s="1" t="str">
        <f>"08242-1"</f>
        <v>08242-1</v>
      </c>
      <c r="E1079" s="1" t="s">
        <v>331</v>
      </c>
      <c r="F1079" s="1">
        <v>13</v>
      </c>
      <c r="G1079" s="1">
        <v>6</v>
      </c>
      <c r="H1079" s="1">
        <v>0</v>
      </c>
      <c r="K1079" s="1" t="str">
        <f t="shared" si="64"/>
        <v/>
      </c>
      <c r="L1079" s="1" t="str">
        <f t="shared" si="65"/>
        <v/>
      </c>
      <c r="M1079" s="1" t="str">
        <f t="shared" si="66"/>
        <v/>
      </c>
      <c r="P1079" s="1" t="s">
        <v>20</v>
      </c>
      <c r="V1079" s="1" t="s">
        <v>29801</v>
      </c>
      <c r="X1079" s="1" t="s">
        <v>27842</v>
      </c>
      <c r="AR1079" s="1" t="str">
        <f t="shared" si="67"/>
        <v>| [](.md) | [詧](詧.md) |  |  | 「察」的異體字。 |</v>
      </c>
    </row>
    <row r="1080" spans="1:44" hidden="1">
      <c r="A1080" s="1" t="s">
        <v>29802</v>
      </c>
      <c r="C1080" s="1">
        <v>1</v>
      </c>
      <c r="D1080" s="1" t="str">
        <f>"08252-1"</f>
        <v>08252-1</v>
      </c>
      <c r="E1080" s="1" t="s">
        <v>534</v>
      </c>
      <c r="F1080" s="1">
        <v>9</v>
      </c>
      <c r="G1080" s="1">
        <v>6</v>
      </c>
      <c r="H1080" s="1">
        <v>0</v>
      </c>
      <c r="K1080" s="1" t="str">
        <f t="shared" si="64"/>
        <v/>
      </c>
      <c r="L1080" s="1" t="str">
        <f t="shared" si="65"/>
        <v/>
      </c>
      <c r="M1080" s="1" t="str">
        <f t="shared" si="66"/>
        <v/>
      </c>
      <c r="P1080" s="1" t="s">
        <v>20</v>
      </c>
      <c r="V1080" s="1" t="s">
        <v>29803</v>
      </c>
      <c r="X1080" s="1" t="s">
        <v>27842</v>
      </c>
      <c r="AR1080" s="1" t="str">
        <f t="shared" si="67"/>
        <v>| [](.md) | [姹](姹.md) |  |  | 「奼」的異體字。 |</v>
      </c>
    </row>
    <row r="1081" spans="1:44" hidden="1">
      <c r="A1081" s="1" t="s">
        <v>29804</v>
      </c>
      <c r="C1081" s="1">
        <v>1</v>
      </c>
      <c r="D1081" s="1" t="str">
        <f>"08256-1"</f>
        <v>08256-1</v>
      </c>
      <c r="E1081" s="1" t="s">
        <v>185</v>
      </c>
      <c r="F1081" s="1">
        <v>8</v>
      </c>
      <c r="G1081" s="1">
        <v>6</v>
      </c>
      <c r="H1081" s="1">
        <v>0</v>
      </c>
      <c r="K1081" s="1" t="str">
        <f t="shared" si="64"/>
        <v/>
      </c>
      <c r="L1081" s="1" t="str">
        <f t="shared" si="65"/>
        <v/>
      </c>
      <c r="M1081" s="1" t="str">
        <f t="shared" si="66"/>
        <v/>
      </c>
      <c r="P1081" s="1" t="s">
        <v>20</v>
      </c>
      <c r="V1081" s="1" t="s">
        <v>29805</v>
      </c>
      <c r="X1081" s="1" t="s">
        <v>27842</v>
      </c>
      <c r="AR1081" s="1" t="str">
        <f t="shared" si="67"/>
        <v>| [](.md) | [刹](刹.md) |  |  | 「剎」的異體字。 |</v>
      </c>
    </row>
    <row r="1082" spans="1:44" hidden="1">
      <c r="A1082" s="1" t="s">
        <v>29806</v>
      </c>
      <c r="C1082" s="1">
        <v>1</v>
      </c>
      <c r="D1082" s="1" t="str">
        <f>"08278-1"</f>
        <v>08278-1</v>
      </c>
      <c r="E1082" s="1" t="s">
        <v>55</v>
      </c>
      <c r="F1082" s="1">
        <v>11</v>
      </c>
      <c r="G1082" s="1">
        <v>3</v>
      </c>
      <c r="H1082" s="1">
        <v>0</v>
      </c>
      <c r="K1082" s="1" t="str">
        <f t="shared" si="64"/>
        <v/>
      </c>
      <c r="L1082" s="1" t="str">
        <f t="shared" si="65"/>
        <v/>
      </c>
      <c r="M1082" s="1" t="str">
        <f t="shared" si="66"/>
        <v/>
      </c>
      <c r="P1082" s="1" t="s">
        <v>20</v>
      </c>
      <c r="V1082" s="1" t="s">
        <v>29807</v>
      </c>
      <c r="X1082" s="1" t="s">
        <v>27842</v>
      </c>
      <c r="AR1082" s="1" t="str">
        <f t="shared" si="67"/>
        <v>| [](.md) | [󽇅](󽇅.md) |  |  | 「釵」的異體字。 |</v>
      </c>
    </row>
    <row r="1083" spans="1:44" hidden="1">
      <c r="A1083" s="1" t="s">
        <v>29808</v>
      </c>
      <c r="C1083" s="1">
        <v>1</v>
      </c>
      <c r="D1083" s="1" t="str">
        <f>"08284-1"</f>
        <v>08284-1</v>
      </c>
      <c r="E1083" s="1" t="s">
        <v>114</v>
      </c>
      <c r="F1083" s="1">
        <v>10</v>
      </c>
      <c r="G1083" s="1">
        <v>8</v>
      </c>
      <c r="H1083" s="1">
        <v>0</v>
      </c>
      <c r="K1083" s="1" t="str">
        <f t="shared" si="64"/>
        <v/>
      </c>
      <c r="L1083" s="1" t="str">
        <f t="shared" si="65"/>
        <v/>
      </c>
      <c r="M1083" s="1" t="str">
        <f t="shared" si="66"/>
        <v/>
      </c>
      <c r="P1083" s="1" t="s">
        <v>20</v>
      </c>
      <c r="V1083" s="1" t="s">
        <v>29809</v>
      </c>
      <c r="X1083" s="1" t="s">
        <v>27842</v>
      </c>
      <c r="AR1083" s="1" t="str">
        <f t="shared" si="67"/>
        <v>| [](.md) | [㑪](㑪.md) |  |  | 「儕」的異體字。 |</v>
      </c>
    </row>
    <row r="1084" spans="1:44" hidden="1">
      <c r="A1084" s="1" t="s">
        <v>29810</v>
      </c>
      <c r="C1084" s="1">
        <v>1</v>
      </c>
      <c r="D1084" s="1" t="str">
        <f>"08285-1"</f>
        <v>08285-1</v>
      </c>
      <c r="E1084" s="1" t="s">
        <v>2729</v>
      </c>
      <c r="F1084" s="1">
        <v>5</v>
      </c>
      <c r="G1084" s="1">
        <v>3</v>
      </c>
      <c r="H1084" s="1">
        <v>0</v>
      </c>
      <c r="K1084" s="1" t="str">
        <f t="shared" si="64"/>
        <v/>
      </c>
      <c r="L1084" s="1" t="str">
        <f t="shared" si="65"/>
        <v/>
      </c>
      <c r="M1084" s="1" t="str">
        <f t="shared" si="66"/>
        <v/>
      </c>
      <c r="P1084" s="1" t="s">
        <v>20</v>
      </c>
      <c r="V1084" s="1" t="s">
        <v>29811</v>
      </c>
      <c r="X1084" s="1" t="s">
        <v>27842</v>
      </c>
      <c r="AR1084" s="1" t="str">
        <f t="shared" si="67"/>
        <v>| [](.md) | [册](册.md) |  |  | 「冊」的異體字。 |</v>
      </c>
    </row>
    <row r="1085" spans="1:44" hidden="1">
      <c r="A1085" s="1" t="s">
        <v>29812</v>
      </c>
      <c r="C1085" s="1">
        <v>1</v>
      </c>
      <c r="D1085" s="1" t="str">
        <f>"08319-1"</f>
        <v>08319-1</v>
      </c>
      <c r="E1085" s="1" t="s">
        <v>518</v>
      </c>
      <c r="F1085" s="1">
        <v>27</v>
      </c>
      <c r="G1085" s="1">
        <v>23</v>
      </c>
      <c r="H1085" s="1">
        <v>0</v>
      </c>
      <c r="K1085" s="1" t="str">
        <f t="shared" si="64"/>
        <v/>
      </c>
      <c r="L1085" s="1" t="str">
        <f t="shared" si="65"/>
        <v/>
      </c>
      <c r="M1085" s="1" t="str">
        <f t="shared" si="66"/>
        <v/>
      </c>
      <c r="P1085" s="1" t="s">
        <v>20</v>
      </c>
      <c r="V1085" s="1" t="s">
        <v>29813</v>
      </c>
      <c r="X1085" s="1" t="s">
        <v>27842</v>
      </c>
      <c r="AR1085" s="1" t="str">
        <f t="shared" si="67"/>
        <v>| [](.md) | [犫](犫.md) |  |  | 「犨」的異體字。 |</v>
      </c>
    </row>
    <row r="1086" spans="1:44" hidden="1">
      <c r="A1086" s="1" t="s">
        <v>29814</v>
      </c>
      <c r="C1086" s="1">
        <v>1</v>
      </c>
      <c r="D1086" s="1" t="str">
        <f>"08329-1"</f>
        <v>08329-1</v>
      </c>
      <c r="E1086" s="1" t="s">
        <v>1462</v>
      </c>
      <c r="F1086" s="1">
        <v>13</v>
      </c>
      <c r="G1086" s="1">
        <v>6</v>
      </c>
      <c r="H1086" s="1">
        <v>0</v>
      </c>
      <c r="K1086" s="1" t="str">
        <f t="shared" si="64"/>
        <v/>
      </c>
      <c r="L1086" s="1" t="str">
        <f t="shared" si="65"/>
        <v/>
      </c>
      <c r="M1086" s="1" t="str">
        <f t="shared" si="66"/>
        <v/>
      </c>
      <c r="P1086" s="1" t="s">
        <v>20</v>
      </c>
      <c r="V1086" s="1" t="s">
        <v>29815</v>
      </c>
      <c r="X1086" s="1" t="s">
        <v>27842</v>
      </c>
      <c r="AR1086" s="1" t="str">
        <f t="shared" si="67"/>
        <v>| [](.md) | [酧](酧.md) |  |  | 「酬」的異體字。 |</v>
      </c>
    </row>
    <row r="1087" spans="1:44" hidden="1">
      <c r="A1087" s="1" t="s">
        <v>29816</v>
      </c>
      <c r="C1087" s="1">
        <v>1</v>
      </c>
      <c r="D1087" s="1" t="str">
        <f>"08329-2"</f>
        <v>08329-2</v>
      </c>
      <c r="E1087" s="1" t="s">
        <v>1462</v>
      </c>
      <c r="F1087" s="1">
        <v>21</v>
      </c>
      <c r="G1087" s="1">
        <v>14</v>
      </c>
      <c r="H1087" s="1">
        <v>0</v>
      </c>
      <c r="K1087" s="1" t="str">
        <f t="shared" si="64"/>
        <v/>
      </c>
      <c r="L1087" s="1" t="str">
        <f t="shared" si="65"/>
        <v/>
      </c>
      <c r="M1087" s="1" t="str">
        <f t="shared" si="66"/>
        <v/>
      </c>
      <c r="P1087" s="1" t="s">
        <v>20</v>
      </c>
      <c r="V1087" s="1" t="s">
        <v>29815</v>
      </c>
      <c r="X1087" s="1" t="s">
        <v>27842</v>
      </c>
      <c r="AR1087" s="1" t="str">
        <f t="shared" si="67"/>
        <v>| [](.md) | [醻](醻.md) |  |  | 「酬」的異體字。 |</v>
      </c>
    </row>
    <row r="1088" spans="1:44" hidden="1">
      <c r="A1088" s="1" t="s">
        <v>29817</v>
      </c>
      <c r="C1088" s="1">
        <v>1</v>
      </c>
      <c r="D1088" s="1" t="str">
        <f>"08333-1"</f>
        <v>08333-1</v>
      </c>
      <c r="E1088" s="1" t="s">
        <v>331</v>
      </c>
      <c r="F1088" s="1">
        <v>23</v>
      </c>
      <c r="G1088" s="1">
        <v>16</v>
      </c>
      <c r="H1088" s="1">
        <v>0</v>
      </c>
      <c r="K1088" s="1" t="str">
        <f t="shared" si="64"/>
        <v/>
      </c>
      <c r="L1088" s="1" t="str">
        <f t="shared" si="65"/>
        <v/>
      </c>
      <c r="M1088" s="1" t="str">
        <f t="shared" si="66"/>
        <v/>
      </c>
      <c r="P1088" s="1" t="s">
        <v>20</v>
      </c>
      <c r="V1088" s="1" t="s">
        <v>29818</v>
      </c>
      <c r="X1088" s="1" t="s">
        <v>27842</v>
      </c>
      <c r="AR1088" s="1" t="str">
        <f t="shared" si="67"/>
        <v>| [](.md) | [讐](讐.md) |  |  | 「讎」的異體字。 |</v>
      </c>
    </row>
    <row r="1089" spans="1:44" hidden="1">
      <c r="A1089" s="1" t="s">
        <v>29819</v>
      </c>
      <c r="C1089" s="1">
        <v>1</v>
      </c>
      <c r="D1089" s="1" t="str">
        <f>"08334-1"</f>
        <v>08334-1</v>
      </c>
      <c r="E1089" s="1" t="s">
        <v>114</v>
      </c>
      <c r="F1089" s="1">
        <v>9</v>
      </c>
      <c r="G1089" s="1">
        <v>7</v>
      </c>
      <c r="H1089" s="1">
        <v>0</v>
      </c>
      <c r="K1089" s="1" t="str">
        <f t="shared" si="64"/>
        <v/>
      </c>
      <c r="L1089" s="1" t="str">
        <f t="shared" si="65"/>
        <v/>
      </c>
      <c r="M1089" s="1" t="str">
        <f t="shared" si="66"/>
        <v/>
      </c>
      <c r="P1089" s="1" t="s">
        <v>20</v>
      </c>
      <c r="V1089" s="1" t="s">
        <v>29820</v>
      </c>
      <c r="X1089" s="1" t="s">
        <v>27842</v>
      </c>
      <c r="AR1089" s="1" t="str">
        <f t="shared" si="67"/>
        <v>| [](.md) | [俦](俦.md) |  |  | 「儔」的異體字。 |</v>
      </c>
    </row>
    <row r="1090" spans="1:44" hidden="1">
      <c r="A1090" s="1" t="s">
        <v>29821</v>
      </c>
      <c r="C1090" s="1">
        <v>1</v>
      </c>
      <c r="D1090" s="1" t="str">
        <f>"08341-1"</f>
        <v>08341-1</v>
      </c>
      <c r="E1090" s="1" t="s">
        <v>789</v>
      </c>
      <c r="F1090" s="1">
        <v>4</v>
      </c>
      <c r="G1090" s="1">
        <v>3</v>
      </c>
      <c r="H1090" s="1">
        <v>0</v>
      </c>
      <c r="K1090" s="1" t="str">
        <f t="shared" ref="K1090:K1153" si="68">LEFT(I1090, 1)</f>
        <v/>
      </c>
      <c r="L1090" s="1" t="str">
        <f t="shared" ref="L1090:L1153" si="69">MID(I1090, 2, 1)</f>
        <v/>
      </c>
      <c r="M1090" s="1" t="str">
        <f t="shared" ref="M1090:M1153" si="70">MID(I1090, 3, 1)</f>
        <v/>
      </c>
      <c r="P1090" s="1" t="s">
        <v>20</v>
      </c>
      <c r="V1090" s="1" t="s">
        <v>29822</v>
      </c>
      <c r="X1090" s="1" t="s">
        <v>27842</v>
      </c>
      <c r="AR1090" s="1" t="str">
        <f t="shared" si="67"/>
        <v>| [](.md) | [󰀉](󰀉.md) |  |  | 「丑」的異體字。 |</v>
      </c>
    </row>
    <row r="1091" spans="1:44" hidden="1">
      <c r="A1091" s="1" t="s">
        <v>29823</v>
      </c>
      <c r="C1091" s="1">
        <v>1</v>
      </c>
      <c r="D1091" s="1" t="str">
        <f>"08344-1"</f>
        <v>08344-1</v>
      </c>
      <c r="E1091" s="1" t="s">
        <v>1015</v>
      </c>
      <c r="F1091" s="1">
        <v>18</v>
      </c>
      <c r="G1091" s="1">
        <v>13</v>
      </c>
      <c r="H1091" s="1">
        <v>0</v>
      </c>
      <c r="K1091" s="1" t="str">
        <f t="shared" si="68"/>
        <v/>
      </c>
      <c r="L1091" s="1" t="str">
        <f t="shared" si="69"/>
        <v/>
      </c>
      <c r="M1091" s="1" t="str">
        <f t="shared" si="70"/>
        <v/>
      </c>
      <c r="P1091" s="1" t="s">
        <v>20</v>
      </c>
      <c r="V1091" s="1" t="s">
        <v>29824</v>
      </c>
      <c r="X1091" s="1" t="s">
        <v>27842</v>
      </c>
      <c r="AR1091" s="1" t="str">
        <f t="shared" ref="AR1091:AR1154" si="71">"| ["&amp;I1091&amp;"]("&amp;I1091&amp;".md) | ["&amp;A1091&amp;"]("&amp;A1091&amp;".md) | "&amp;" | "&amp;R1091&amp;" | "&amp;V1091&amp;" |"</f>
        <v>| [](.md) | [矁](矁.md) |  |  | 「瞅」的異體字。 |</v>
      </c>
    </row>
    <row r="1092" spans="1:44" hidden="1">
      <c r="A1092" s="1" t="s">
        <v>29825</v>
      </c>
      <c r="C1092" s="1">
        <v>1</v>
      </c>
      <c r="D1092" s="1" t="str">
        <f>"08365-1"</f>
        <v>08365-1</v>
      </c>
      <c r="E1092" s="1" t="s">
        <v>725</v>
      </c>
      <c r="F1092" s="1">
        <v>15</v>
      </c>
      <c r="G1092" s="1">
        <v>9</v>
      </c>
      <c r="H1092" s="1">
        <v>0</v>
      </c>
      <c r="K1092" s="1" t="str">
        <f t="shared" si="68"/>
        <v/>
      </c>
      <c r="L1092" s="1" t="str">
        <f t="shared" si="69"/>
        <v/>
      </c>
      <c r="M1092" s="1" t="str">
        <f t="shared" si="70"/>
        <v/>
      </c>
      <c r="P1092" s="1" t="s">
        <v>20</v>
      </c>
      <c r="V1092" s="1" t="s">
        <v>29826</v>
      </c>
      <c r="X1092" s="1" t="s">
        <v>27842</v>
      </c>
      <c r="AR1092" s="1" t="str">
        <f t="shared" si="71"/>
        <v>| [](.md) | [緾](緾.md) |  |  | 「纏」的異體字。 |</v>
      </c>
    </row>
    <row r="1093" spans="1:44" hidden="1">
      <c r="A1093" s="1" t="s">
        <v>29827</v>
      </c>
      <c r="C1093" s="1">
        <v>1</v>
      </c>
      <c r="D1093" s="1" t="str">
        <f>"08365-2"</f>
        <v>08365-2</v>
      </c>
      <c r="E1093" s="1" t="s">
        <v>725</v>
      </c>
      <c r="F1093" s="1">
        <v>20</v>
      </c>
      <c r="G1093" s="1">
        <v>14</v>
      </c>
      <c r="H1093" s="1">
        <v>0</v>
      </c>
      <c r="K1093" s="1" t="str">
        <f t="shared" si="68"/>
        <v/>
      </c>
      <c r="L1093" s="1" t="str">
        <f t="shared" si="69"/>
        <v/>
      </c>
      <c r="M1093" s="1" t="str">
        <f t="shared" si="70"/>
        <v/>
      </c>
      <c r="P1093" s="1" t="s">
        <v>20</v>
      </c>
      <c r="V1093" s="1" t="s">
        <v>29826</v>
      </c>
      <c r="X1093" s="1" t="s">
        <v>27842</v>
      </c>
      <c r="AR1093" s="1" t="str">
        <f t="shared" si="71"/>
        <v>| [](.md) | [纒](纒.md) |  |  | 「纏」的異體字。 |</v>
      </c>
    </row>
    <row r="1094" spans="1:44" hidden="1">
      <c r="A1094" s="1" t="s">
        <v>29828</v>
      </c>
      <c r="C1094" s="1">
        <v>1</v>
      </c>
      <c r="D1094" s="1" t="str">
        <f>"08387-1"</f>
        <v>08387-1</v>
      </c>
      <c r="E1094" s="1" t="s">
        <v>331</v>
      </c>
      <c r="F1094" s="1">
        <v>23</v>
      </c>
      <c r="G1094" s="1">
        <v>16</v>
      </c>
      <c r="H1094" s="1">
        <v>0</v>
      </c>
      <c r="K1094" s="1" t="str">
        <f t="shared" si="68"/>
        <v/>
      </c>
      <c r="L1094" s="1" t="str">
        <f t="shared" si="69"/>
        <v/>
      </c>
      <c r="M1094" s="1" t="str">
        <f t="shared" si="70"/>
        <v/>
      </c>
      <c r="P1094" s="1" t="s">
        <v>20</v>
      </c>
      <c r="V1094" s="1" t="s">
        <v>29829</v>
      </c>
      <c r="X1094" s="1" t="s">
        <v>27842</v>
      </c>
      <c r="AR1094" s="1" t="str">
        <f t="shared" si="71"/>
        <v>| [](.md) | [讇](讇.md) |  |  | 「諂」的異體字。 |</v>
      </c>
    </row>
    <row r="1095" spans="1:44" hidden="1">
      <c r="A1095" s="1" t="s">
        <v>29830</v>
      </c>
      <c r="C1095" s="1">
        <v>1</v>
      </c>
      <c r="D1095" s="1" t="str">
        <f>"08409-1"</f>
        <v>08409-1</v>
      </c>
      <c r="E1095" s="1" t="s">
        <v>505</v>
      </c>
      <c r="F1095" s="1">
        <v>15</v>
      </c>
      <c r="G1095" s="1">
        <v>8</v>
      </c>
      <c r="H1095" s="1">
        <v>0</v>
      </c>
      <c r="K1095" s="1" t="str">
        <f t="shared" si="68"/>
        <v/>
      </c>
      <c r="L1095" s="1" t="str">
        <f t="shared" si="69"/>
        <v/>
      </c>
      <c r="M1095" s="1" t="str">
        <f t="shared" si="70"/>
        <v/>
      </c>
      <c r="P1095" s="1" t="s">
        <v>20</v>
      </c>
      <c r="V1095" s="1" t="s">
        <v>29831</v>
      </c>
      <c r="X1095" s="1" t="s">
        <v>27842</v>
      </c>
      <c r="AR1095" s="1" t="str">
        <f t="shared" si="71"/>
        <v>| [](.md) | [賝](賝.md) |  |  | 「琛」的異體字。 |</v>
      </c>
    </row>
    <row r="1096" spans="1:44" hidden="1">
      <c r="A1096" s="1" t="s">
        <v>29832</v>
      </c>
      <c r="C1096" s="1">
        <v>1</v>
      </c>
      <c r="D1096" s="1" t="str">
        <f>"08410-1"</f>
        <v>08410-1</v>
      </c>
      <c r="E1096" s="1" t="s">
        <v>28</v>
      </c>
      <c r="F1096" s="1">
        <v>13</v>
      </c>
      <c r="G1096" s="1">
        <v>10</v>
      </c>
      <c r="H1096" s="1">
        <v>0</v>
      </c>
      <c r="K1096" s="1" t="str">
        <f t="shared" si="68"/>
        <v/>
      </c>
      <c r="L1096" s="1" t="str">
        <f t="shared" si="69"/>
        <v/>
      </c>
      <c r="M1096" s="1" t="str">
        <f t="shared" si="70"/>
        <v/>
      </c>
      <c r="P1096" s="1" t="s">
        <v>20</v>
      </c>
      <c r="V1096" s="1" t="s">
        <v>29833</v>
      </c>
      <c r="X1096" s="1" t="s">
        <v>27842</v>
      </c>
      <c r="AR1096" s="1" t="str">
        <f t="shared" si="71"/>
        <v>| [](.md) | [󹬳](󹬳.md) |  |  | 「嗔」的異體字。 |</v>
      </c>
    </row>
    <row r="1097" spans="1:44" hidden="1">
      <c r="A1097" s="1" t="s">
        <v>29834</v>
      </c>
      <c r="C1097" s="1">
        <v>1</v>
      </c>
      <c r="D1097" s="1" t="str">
        <f>"08429-1"</f>
        <v>08429-1</v>
      </c>
      <c r="E1097" s="1" t="s">
        <v>77</v>
      </c>
      <c r="F1097" s="1">
        <v>11</v>
      </c>
      <c r="G1097" s="1">
        <v>4</v>
      </c>
      <c r="H1097" s="1">
        <v>0</v>
      </c>
      <c r="K1097" s="1" t="str">
        <f t="shared" si="68"/>
        <v/>
      </c>
      <c r="L1097" s="1" t="str">
        <f t="shared" si="69"/>
        <v/>
      </c>
      <c r="M1097" s="1" t="str">
        <f t="shared" si="70"/>
        <v/>
      </c>
      <c r="P1097" s="1" t="s">
        <v>20</v>
      </c>
      <c r="V1097" s="1" t="s">
        <v>29835</v>
      </c>
      <c r="X1097" s="1" t="s">
        <v>27842</v>
      </c>
      <c r="AR1097" s="1" t="str">
        <f t="shared" si="71"/>
        <v>| [](.md) | [趻](趻.md) |  |  | 「踸」的異體字。 |</v>
      </c>
    </row>
    <row r="1098" spans="1:44" hidden="1">
      <c r="A1098" s="1" t="s">
        <v>29836</v>
      </c>
      <c r="C1098" s="1">
        <v>1</v>
      </c>
      <c r="D1098" s="1" t="str">
        <f>"08432-1"</f>
        <v>08432-1</v>
      </c>
      <c r="E1098" s="1" t="s">
        <v>4563</v>
      </c>
      <c r="F1098" s="1">
        <v>12</v>
      </c>
      <c r="G1098" s="1">
        <v>5</v>
      </c>
      <c r="H1098" s="1">
        <v>0</v>
      </c>
      <c r="K1098" s="1" t="str">
        <f t="shared" si="68"/>
        <v/>
      </c>
      <c r="L1098" s="1" t="str">
        <f t="shared" si="69"/>
        <v/>
      </c>
      <c r="M1098" s="1" t="str">
        <f t="shared" si="70"/>
        <v/>
      </c>
      <c r="P1098" s="1" t="s">
        <v>20</v>
      </c>
      <c r="V1098" s="1" t="s">
        <v>29837</v>
      </c>
      <c r="X1098" s="1" t="s">
        <v>27842</v>
      </c>
      <c r="AR1098" s="1" t="str">
        <f t="shared" si="71"/>
        <v>| [](.md) | [趂](趂.md) |  |  | 「趁」的異體字。 |</v>
      </c>
    </row>
    <row r="1099" spans="1:44" hidden="1">
      <c r="A1099" s="1" t="s">
        <v>29838</v>
      </c>
      <c r="C1099" s="1">
        <v>1</v>
      </c>
      <c r="D1099" s="1" t="str">
        <f>"08433-1"</f>
        <v>08433-1</v>
      </c>
      <c r="E1099" s="1" t="s">
        <v>429</v>
      </c>
      <c r="F1099" s="1">
        <v>10</v>
      </c>
      <c r="G1099" s="1">
        <v>5</v>
      </c>
      <c r="H1099" s="1">
        <v>0</v>
      </c>
      <c r="K1099" s="1" t="str">
        <f t="shared" si="68"/>
        <v/>
      </c>
      <c r="L1099" s="1" t="str">
        <f t="shared" si="69"/>
        <v/>
      </c>
      <c r="M1099" s="1" t="str">
        <f t="shared" si="70"/>
        <v/>
      </c>
      <c r="P1099" s="1" t="s">
        <v>20</v>
      </c>
      <c r="V1099" s="1" t="s">
        <v>29839</v>
      </c>
      <c r="X1099" s="1" t="s">
        <v>27842</v>
      </c>
      <c r="AR1099" s="1" t="str">
        <f t="shared" si="71"/>
        <v>| [](.md) | [称](称.md) |  |  | 「稱」的異體字。 |</v>
      </c>
    </row>
    <row r="1100" spans="1:44" hidden="1">
      <c r="A1100" s="1" t="s">
        <v>29840</v>
      </c>
      <c r="C1100" s="1">
        <v>1</v>
      </c>
      <c r="D1100" s="1" t="str">
        <f>"08457-1"</f>
        <v>08457-1</v>
      </c>
      <c r="E1100" s="1" t="s">
        <v>14794</v>
      </c>
      <c r="F1100" s="1">
        <v>9</v>
      </c>
      <c r="G1100" s="1">
        <v>7</v>
      </c>
      <c r="H1100" s="1">
        <v>0</v>
      </c>
      <c r="K1100" s="1" t="str">
        <f t="shared" si="68"/>
        <v/>
      </c>
      <c r="L1100" s="1" t="str">
        <f t="shared" si="69"/>
        <v/>
      </c>
      <c r="M1100" s="1" t="str">
        <f t="shared" si="70"/>
        <v/>
      </c>
      <c r="P1100" s="1" t="s">
        <v>20</v>
      </c>
      <c r="V1100" s="1" t="s">
        <v>29841</v>
      </c>
      <c r="X1100" s="1" t="s">
        <v>27842</v>
      </c>
      <c r="AR1100" s="1" t="str">
        <f t="shared" si="71"/>
        <v>| [](.md) | [尝](尝.md) |  |  | 「嘗」的異體字。 |</v>
      </c>
    </row>
    <row r="1101" spans="1:44" hidden="1">
      <c r="A1101" s="1" t="s">
        <v>29842</v>
      </c>
      <c r="C1101" s="1">
        <v>1</v>
      </c>
      <c r="D1101" s="1" t="str">
        <f>"08457-2"</f>
        <v>08457-2</v>
      </c>
      <c r="E1101" s="1" t="s">
        <v>6621</v>
      </c>
      <c r="F1101" s="1">
        <v>13</v>
      </c>
      <c r="G1101" s="1">
        <v>8</v>
      </c>
      <c r="H1101" s="1">
        <v>0</v>
      </c>
      <c r="K1101" s="1" t="str">
        <f t="shared" si="68"/>
        <v/>
      </c>
      <c r="L1101" s="1" t="str">
        <f t="shared" si="69"/>
        <v/>
      </c>
      <c r="M1101" s="1" t="str">
        <f t="shared" si="70"/>
        <v/>
      </c>
      <c r="P1101" s="1" t="s">
        <v>20</v>
      </c>
      <c r="V1101" s="1" t="s">
        <v>29841</v>
      </c>
      <c r="X1101" s="1" t="s">
        <v>27842</v>
      </c>
      <c r="AR1101" s="1" t="str">
        <f t="shared" si="71"/>
        <v>| [](.md) | [甞](甞.md) |  |  | 「嘗」的異體字。 |</v>
      </c>
    </row>
    <row r="1102" spans="1:44" hidden="1">
      <c r="A1102" s="1" t="s">
        <v>29843</v>
      </c>
      <c r="C1102" s="1">
        <v>1</v>
      </c>
      <c r="D1102" s="1" t="str">
        <f>"08462-1"</f>
        <v>08462-1</v>
      </c>
      <c r="E1102" s="1" t="s">
        <v>132</v>
      </c>
      <c r="F1102" s="1">
        <v>7</v>
      </c>
      <c r="G1102" s="1">
        <v>4</v>
      </c>
      <c r="H1102" s="1">
        <v>0</v>
      </c>
      <c r="K1102" s="1" t="str">
        <f t="shared" si="68"/>
        <v/>
      </c>
      <c r="L1102" s="1" t="str">
        <f t="shared" si="69"/>
        <v/>
      </c>
      <c r="M1102" s="1" t="str">
        <f t="shared" si="70"/>
        <v/>
      </c>
      <c r="P1102" s="1" t="s">
        <v>20</v>
      </c>
      <c r="V1102" s="1" t="s">
        <v>29844</v>
      </c>
      <c r="X1102" s="1" t="s">
        <v>27842</v>
      </c>
      <c r="AR1102" s="1" t="str">
        <f t="shared" si="71"/>
        <v>| [](.md) | [㘯](㘯.md) |  |  | 「場」的異體字。 |</v>
      </c>
    </row>
    <row r="1103" spans="1:44" hidden="1">
      <c r="A1103" s="1" t="s">
        <v>29845</v>
      </c>
      <c r="C1103" s="1">
        <v>1</v>
      </c>
      <c r="D1103" s="1" t="str">
        <f>"08462-2"</f>
        <v>08462-2</v>
      </c>
      <c r="E1103" s="1" t="s">
        <v>132</v>
      </c>
      <c r="F1103" s="1">
        <v>14</v>
      </c>
      <c r="G1103" s="1">
        <v>11</v>
      </c>
      <c r="H1103" s="1">
        <v>0</v>
      </c>
      <c r="K1103" s="1" t="str">
        <f t="shared" si="68"/>
        <v/>
      </c>
      <c r="L1103" s="1" t="str">
        <f t="shared" si="69"/>
        <v/>
      </c>
      <c r="M1103" s="1" t="str">
        <f t="shared" si="70"/>
        <v/>
      </c>
      <c r="P1103" s="1" t="s">
        <v>20</v>
      </c>
      <c r="V1103" s="1" t="s">
        <v>29844</v>
      </c>
      <c r="X1103" s="1" t="s">
        <v>27842</v>
      </c>
      <c r="AR1103" s="1" t="str">
        <f t="shared" si="71"/>
        <v>| [](.md) | [塲](塲.md) |  |  | 「場」的異體字。 |</v>
      </c>
    </row>
    <row r="1104" spans="1:44" hidden="1">
      <c r="A1104" s="1" t="s">
        <v>29846</v>
      </c>
      <c r="C1104" s="1">
        <v>1</v>
      </c>
      <c r="D1104" s="1" t="str">
        <f>"08463-1"</f>
        <v>08463-1</v>
      </c>
      <c r="E1104" s="1" t="s">
        <v>68</v>
      </c>
      <c r="F1104" s="1">
        <v>15</v>
      </c>
      <c r="G1104" s="1">
        <v>11</v>
      </c>
      <c r="H1104" s="1">
        <v>0</v>
      </c>
      <c r="K1104" s="1" t="str">
        <f t="shared" si="68"/>
        <v/>
      </c>
      <c r="L1104" s="1" t="str">
        <f t="shared" si="69"/>
        <v/>
      </c>
      <c r="M1104" s="1" t="str">
        <f t="shared" si="70"/>
        <v/>
      </c>
      <c r="P1104" s="1" t="s">
        <v>20</v>
      </c>
      <c r="V1104" s="1" t="s">
        <v>29847</v>
      </c>
      <c r="X1104" s="1" t="s">
        <v>27842</v>
      </c>
      <c r="AR1104" s="1" t="str">
        <f t="shared" si="71"/>
        <v>| [](.md) | [膓](膓.md) |  |  | 「腸」的異體字。 |</v>
      </c>
    </row>
    <row r="1105" spans="1:44" hidden="1">
      <c r="A1105" s="1" t="s">
        <v>29848</v>
      </c>
      <c r="C1105" s="1">
        <v>1</v>
      </c>
      <c r="D1105" s="1" t="str">
        <f>"08467-1"</f>
        <v>08467-1</v>
      </c>
      <c r="E1105" s="1" t="s">
        <v>1941</v>
      </c>
      <c r="F1105" s="1">
        <v>14</v>
      </c>
      <c r="G1105" s="1">
        <v>12</v>
      </c>
      <c r="H1105" s="1">
        <v>0</v>
      </c>
      <c r="K1105" s="1" t="str">
        <f t="shared" si="68"/>
        <v/>
      </c>
      <c r="L1105" s="1" t="str">
        <f t="shared" si="69"/>
        <v/>
      </c>
      <c r="M1105" s="1" t="str">
        <f t="shared" si="70"/>
        <v/>
      </c>
      <c r="P1105" s="1" t="s">
        <v>20</v>
      </c>
      <c r="V1105" s="1" t="s">
        <v>29849</v>
      </c>
      <c r="X1105" s="1" t="s">
        <v>27842</v>
      </c>
      <c r="AR1105" s="1" t="str">
        <f t="shared" si="71"/>
        <v>| [](.md) | [厰](厰.md) |  |  | 「廠」的異體字。 |</v>
      </c>
    </row>
    <row r="1106" spans="1:44" hidden="1">
      <c r="A1106" s="1" t="s">
        <v>29850</v>
      </c>
      <c r="C1106" s="1">
        <v>1</v>
      </c>
      <c r="D1106" s="1" t="str">
        <f>"08482-1"</f>
        <v>08482-1</v>
      </c>
      <c r="E1106" s="1" t="s">
        <v>24</v>
      </c>
      <c r="F1106" s="1">
        <v>15</v>
      </c>
      <c r="G1106" s="1">
        <v>12</v>
      </c>
      <c r="H1106" s="1">
        <v>0</v>
      </c>
      <c r="K1106" s="1" t="str">
        <f t="shared" si="68"/>
        <v/>
      </c>
      <c r="L1106" s="1" t="str">
        <f t="shared" si="69"/>
        <v/>
      </c>
      <c r="M1106" s="1" t="str">
        <f t="shared" si="70"/>
        <v/>
      </c>
      <c r="P1106" s="1" t="s">
        <v>20</v>
      </c>
      <c r="V1106" s="1" t="s">
        <v>29851</v>
      </c>
      <c r="X1106" s="1" t="s">
        <v>27842</v>
      </c>
      <c r="AR1106" s="1" t="str">
        <f t="shared" si="71"/>
        <v>| [](.md) | [撑](撑.md) |  |  | 「撐」的異體字。 |</v>
      </c>
    </row>
    <row r="1107" spans="1:44" hidden="1">
      <c r="A1107" s="1" t="s">
        <v>29852</v>
      </c>
      <c r="C1107" s="1">
        <v>1</v>
      </c>
      <c r="D1107" s="1" t="str">
        <f>"08483-1"</f>
        <v>08483-1</v>
      </c>
      <c r="E1107" s="1" t="s">
        <v>139</v>
      </c>
      <c r="F1107" s="1">
        <v>16</v>
      </c>
      <c r="G1107" s="1">
        <v>12</v>
      </c>
      <c r="H1107" s="1">
        <v>0</v>
      </c>
      <c r="K1107" s="1" t="str">
        <f t="shared" si="68"/>
        <v/>
      </c>
      <c r="L1107" s="1" t="str">
        <f t="shared" si="69"/>
        <v/>
      </c>
      <c r="M1107" s="1" t="str">
        <f t="shared" si="70"/>
        <v/>
      </c>
      <c r="P1107" s="1" t="s">
        <v>20</v>
      </c>
      <c r="V1107" s="1" t="s">
        <v>29853</v>
      </c>
      <c r="X1107" s="1" t="s">
        <v>27842</v>
      </c>
      <c r="AR1107" s="1" t="str">
        <f t="shared" si="71"/>
        <v>| [](.md) | [𣛟](𣛟.md) |  |  | 「橕」的異體字。 |</v>
      </c>
    </row>
    <row r="1108" spans="1:44" hidden="1">
      <c r="A1108" s="1" t="s">
        <v>29854</v>
      </c>
      <c r="C1108" s="1">
        <v>1</v>
      </c>
      <c r="D1108" s="1" t="str">
        <f>"08487-1"</f>
        <v>08487-1</v>
      </c>
      <c r="E1108" s="1" t="s">
        <v>6340</v>
      </c>
      <c r="F1108" s="1">
        <v>14</v>
      </c>
      <c r="G1108" s="1">
        <v>7</v>
      </c>
      <c r="H1108" s="1">
        <v>0</v>
      </c>
      <c r="K1108" s="1" t="str">
        <f t="shared" si="68"/>
        <v/>
      </c>
      <c r="L1108" s="1" t="str">
        <f t="shared" si="69"/>
        <v/>
      </c>
      <c r="M1108" s="1" t="str">
        <f t="shared" si="70"/>
        <v/>
      </c>
      <c r="P1108" s="1" t="s">
        <v>20</v>
      </c>
      <c r="V1108" s="1" t="s">
        <v>29855</v>
      </c>
      <c r="X1108" s="1" t="s">
        <v>27842</v>
      </c>
      <c r="AR1108" s="1" t="str">
        <f t="shared" si="71"/>
        <v>| [](.md) | [䞓](䞓.md) |  |  | 「赬」的異體字。 |</v>
      </c>
    </row>
    <row r="1109" spans="1:44" hidden="1">
      <c r="A1109" s="1" t="s">
        <v>29856</v>
      </c>
      <c r="C1109" s="1">
        <v>1</v>
      </c>
      <c r="D1109" s="1" t="str">
        <f>"08487-2"</f>
        <v>08487-2</v>
      </c>
      <c r="E1109" s="1" t="s">
        <v>684</v>
      </c>
      <c r="F1109" s="1">
        <v>16</v>
      </c>
      <c r="G1109" s="1">
        <v>7</v>
      </c>
      <c r="H1109" s="1">
        <v>0</v>
      </c>
      <c r="K1109" s="1" t="str">
        <f t="shared" si="68"/>
        <v/>
      </c>
      <c r="L1109" s="1" t="str">
        <f t="shared" si="69"/>
        <v/>
      </c>
      <c r="M1109" s="1" t="str">
        <f t="shared" si="70"/>
        <v/>
      </c>
      <c r="P1109" s="1" t="s">
        <v>20</v>
      </c>
      <c r="V1109" s="1" t="s">
        <v>29855</v>
      </c>
      <c r="X1109" s="1" t="s">
        <v>27842</v>
      </c>
      <c r="AR1109" s="1" t="str">
        <f t="shared" si="71"/>
        <v>| [](.md) | [頳](頳.md) |  |  | 「赬」的異體字。 |</v>
      </c>
    </row>
    <row r="1110" spans="1:44" hidden="1">
      <c r="A1110" s="1" t="s">
        <v>29857</v>
      </c>
      <c r="C1110" s="1">
        <v>1</v>
      </c>
      <c r="D1110" s="1" t="str">
        <f>"08502-1"</f>
        <v>08502-1</v>
      </c>
      <c r="E1110" s="1" t="s">
        <v>28</v>
      </c>
      <c r="F1110" s="1">
        <v>7</v>
      </c>
      <c r="G1110" s="1">
        <v>4</v>
      </c>
      <c r="H1110" s="1">
        <v>0</v>
      </c>
      <c r="K1110" s="1" t="str">
        <f t="shared" si="68"/>
        <v/>
      </c>
      <c r="L1110" s="1" t="str">
        <f t="shared" si="69"/>
        <v/>
      </c>
      <c r="M1110" s="1" t="str">
        <f t="shared" si="70"/>
        <v/>
      </c>
      <c r="P1110" s="1" t="s">
        <v>20</v>
      </c>
      <c r="V1110" s="1" t="s">
        <v>29858</v>
      </c>
      <c r="X1110" s="1" t="s">
        <v>27842</v>
      </c>
      <c r="AR1110" s="1" t="str">
        <f t="shared" si="71"/>
        <v>| [](.md) | [呈](呈.md) |  |  | 「呈」的異體字。 |</v>
      </c>
    </row>
    <row r="1111" spans="1:44" hidden="1">
      <c r="A1111" s="1" t="s">
        <v>29859</v>
      </c>
      <c r="C1111" s="1">
        <v>1</v>
      </c>
      <c r="D1111" s="1" t="str">
        <f>"08518-1"</f>
        <v>08518-1</v>
      </c>
      <c r="E1111" s="1" t="s">
        <v>250</v>
      </c>
      <c r="F1111" s="1">
        <v>12</v>
      </c>
      <c r="G1111" s="1">
        <v>8</v>
      </c>
      <c r="H1111" s="1">
        <v>0</v>
      </c>
      <c r="K1111" s="1" t="str">
        <f t="shared" si="68"/>
        <v/>
      </c>
      <c r="L1111" s="1" t="str">
        <f t="shared" si="69"/>
        <v/>
      </c>
      <c r="M1111" s="1" t="str">
        <f t="shared" si="70"/>
        <v/>
      </c>
      <c r="P1111" s="1" t="s">
        <v>20</v>
      </c>
      <c r="V1111" s="1" t="s">
        <v>29860</v>
      </c>
      <c r="X1111" s="1" t="s">
        <v>27842</v>
      </c>
      <c r="AR1111" s="1" t="str">
        <f t="shared" si="71"/>
        <v>| [](.md) | [惩](惩.md) |  |  | 「懲」的異體字。 |</v>
      </c>
    </row>
    <row r="1112" spans="1:44" hidden="1">
      <c r="A1112" s="1" t="s">
        <v>29861</v>
      </c>
      <c r="C1112" s="1">
        <v>1</v>
      </c>
      <c r="D1112" s="1" t="str">
        <f>"08530-1"</f>
        <v>08530-1</v>
      </c>
      <c r="E1112" s="1" t="s">
        <v>37</v>
      </c>
      <c r="F1112" s="1">
        <v>14</v>
      </c>
      <c r="G1112" s="1">
        <v>10</v>
      </c>
      <c r="H1112" s="1">
        <v>0</v>
      </c>
      <c r="K1112" s="1" t="str">
        <f t="shared" si="68"/>
        <v/>
      </c>
      <c r="L1112" s="1" t="str">
        <f t="shared" si="69"/>
        <v/>
      </c>
      <c r="M1112" s="1" t="str">
        <f t="shared" si="70"/>
        <v/>
      </c>
      <c r="P1112" s="1" t="s">
        <v>20</v>
      </c>
      <c r="V1112" s="1" t="s">
        <v>29862</v>
      </c>
      <c r="X1112" s="1" t="s">
        <v>27842</v>
      </c>
      <c r="AR1112" s="1" t="str">
        <f t="shared" si="71"/>
        <v>| [](.md) | [蒭](蒭.md) |  |  | 「芻」的異體字。 |</v>
      </c>
    </row>
    <row r="1113" spans="1:44" hidden="1">
      <c r="A1113" s="1" t="s">
        <v>29863</v>
      </c>
      <c r="C1113" s="1">
        <v>1</v>
      </c>
      <c r="D1113" s="1" t="str">
        <f>"08531-1"</f>
        <v>08531-1</v>
      </c>
      <c r="E1113" s="1" t="s">
        <v>272</v>
      </c>
      <c r="F1113" s="1">
        <v>21</v>
      </c>
      <c r="G1113" s="1">
        <v>10</v>
      </c>
      <c r="H1113" s="1">
        <v>0</v>
      </c>
      <c r="K1113" s="1" t="str">
        <f t="shared" si="68"/>
        <v/>
      </c>
      <c r="L1113" s="1" t="str">
        <f t="shared" si="69"/>
        <v/>
      </c>
      <c r="M1113" s="1" t="str">
        <f t="shared" si="70"/>
        <v/>
      </c>
      <c r="P1113" s="1" t="s">
        <v>20</v>
      </c>
      <c r="V1113" s="1" t="s">
        <v>29864</v>
      </c>
      <c r="X1113" s="1" t="s">
        <v>27842</v>
      </c>
      <c r="AR1113" s="1" t="str">
        <f t="shared" si="71"/>
        <v>| [](.md) | [鶵](鶵.md) |  |  | 「雛」的異體字。 |</v>
      </c>
    </row>
    <row r="1114" spans="1:44" hidden="1">
      <c r="A1114" s="1" t="s">
        <v>29865</v>
      </c>
      <c r="C1114" s="1">
        <v>1</v>
      </c>
      <c r="D1114" s="1" t="str">
        <f>"08544-1"</f>
        <v>08544-1</v>
      </c>
      <c r="E1114" s="1" t="s">
        <v>1941</v>
      </c>
      <c r="F1114" s="1">
        <v>12</v>
      </c>
      <c r="G1114" s="1">
        <v>10</v>
      </c>
      <c r="H1114" s="1">
        <v>0</v>
      </c>
      <c r="K1114" s="1" t="str">
        <f t="shared" si="68"/>
        <v/>
      </c>
      <c r="L1114" s="1" t="str">
        <f t="shared" si="69"/>
        <v/>
      </c>
      <c r="M1114" s="1" t="str">
        <f t="shared" si="70"/>
        <v/>
      </c>
      <c r="P1114" s="1" t="s">
        <v>20</v>
      </c>
      <c r="V1114" s="1" t="s">
        <v>29866</v>
      </c>
      <c r="X1114" s="1" t="s">
        <v>27842</v>
      </c>
      <c r="AR1114" s="1" t="str">
        <f t="shared" si="71"/>
        <v>| [](.md) | [厨](厨.md) |  |  | 「廚」的異體字。 |</v>
      </c>
    </row>
    <row r="1115" spans="1:44" hidden="1">
      <c r="A1115" s="1" t="s">
        <v>29867</v>
      </c>
      <c r="C1115" s="1">
        <v>1</v>
      </c>
      <c r="D1115" s="1" t="str">
        <f>"08544-2"</f>
        <v>08544-2</v>
      </c>
      <c r="E1115" s="1" t="s">
        <v>1941</v>
      </c>
      <c r="F1115" s="1">
        <v>14</v>
      </c>
      <c r="G1115" s="1">
        <v>12</v>
      </c>
      <c r="H1115" s="1">
        <v>0</v>
      </c>
      <c r="K1115" s="1" t="str">
        <f t="shared" si="68"/>
        <v/>
      </c>
      <c r="L1115" s="1" t="str">
        <f t="shared" si="69"/>
        <v/>
      </c>
      <c r="M1115" s="1" t="str">
        <f t="shared" si="70"/>
        <v/>
      </c>
      <c r="P1115" s="1" t="s">
        <v>20</v>
      </c>
      <c r="V1115" s="1" t="s">
        <v>29866</v>
      </c>
      <c r="X1115" s="1" t="s">
        <v>27842</v>
      </c>
      <c r="AR1115" s="1" t="str">
        <f t="shared" si="71"/>
        <v>| [](.md) | [㕑](㕑.md) |  |  | 「廚」的異體字。 |</v>
      </c>
    </row>
    <row r="1116" spans="1:44" hidden="1">
      <c r="A1116" s="1" t="s">
        <v>29868</v>
      </c>
      <c r="C1116" s="1">
        <v>1</v>
      </c>
      <c r="D1116" s="1" t="str">
        <f>"08547-1"</f>
        <v>08547-1</v>
      </c>
      <c r="E1116" s="1" t="s">
        <v>77</v>
      </c>
      <c r="F1116" s="1">
        <v>21</v>
      </c>
      <c r="G1116" s="1">
        <v>14</v>
      </c>
      <c r="H1116" s="1">
        <v>0</v>
      </c>
      <c r="K1116" s="1" t="str">
        <f t="shared" si="68"/>
        <v/>
      </c>
      <c r="L1116" s="1" t="str">
        <f t="shared" si="69"/>
        <v/>
      </c>
      <c r="M1116" s="1" t="str">
        <f t="shared" si="70"/>
        <v/>
      </c>
      <c r="P1116" s="1" t="s">
        <v>20</v>
      </c>
      <c r="V1116" s="1" t="s">
        <v>29869</v>
      </c>
      <c r="X1116" s="1" t="s">
        <v>27842</v>
      </c>
      <c r="AR1116" s="1" t="str">
        <f t="shared" si="71"/>
        <v>| [](.md) | [蹰](蹰.md) |  |  | 「躕」的異體字。 |</v>
      </c>
    </row>
    <row r="1117" spans="1:44" hidden="1">
      <c r="A1117" s="1" t="s">
        <v>29870</v>
      </c>
      <c r="C1117" s="1">
        <v>1</v>
      </c>
      <c r="D1117" s="1" t="str">
        <f>"08549-1"</f>
        <v>08549-1</v>
      </c>
      <c r="E1117" s="1" t="s">
        <v>1279</v>
      </c>
      <c r="F1117" s="1">
        <v>5</v>
      </c>
      <c r="G1117" s="1">
        <v>3</v>
      </c>
      <c r="H1117" s="1">
        <v>0</v>
      </c>
      <c r="K1117" s="1" t="str">
        <f t="shared" si="68"/>
        <v/>
      </c>
      <c r="L1117" s="1" t="str">
        <f t="shared" si="69"/>
        <v/>
      </c>
      <c r="M1117" s="1" t="str">
        <f t="shared" si="70"/>
        <v/>
      </c>
      <c r="P1117" s="1" t="s">
        <v>20</v>
      </c>
      <c r="V1117" s="1" t="s">
        <v>29871</v>
      </c>
      <c r="X1117" s="1" t="s">
        <v>27842</v>
      </c>
      <c r="AR1117" s="1" t="str">
        <f t="shared" si="71"/>
        <v>| [](.md) | [󻑤](󻑤.md) |  |  | 「處」的異體字。 |</v>
      </c>
    </row>
    <row r="1118" spans="1:44" hidden="1">
      <c r="A1118" s="1" t="s">
        <v>29872</v>
      </c>
      <c r="C1118" s="1">
        <v>1</v>
      </c>
      <c r="D1118" s="1" t="str">
        <f>"08549-2"</f>
        <v>08549-2</v>
      </c>
      <c r="E1118" s="1" t="s">
        <v>5107</v>
      </c>
      <c r="F1118" s="1">
        <v>5</v>
      </c>
      <c r="G1118" s="1">
        <v>3</v>
      </c>
      <c r="H1118" s="1">
        <v>0</v>
      </c>
      <c r="K1118" s="1" t="str">
        <f t="shared" si="68"/>
        <v/>
      </c>
      <c r="L1118" s="1" t="str">
        <f t="shared" si="69"/>
        <v/>
      </c>
      <c r="M1118" s="1" t="str">
        <f t="shared" si="70"/>
        <v/>
      </c>
      <c r="P1118" s="1" t="s">
        <v>20</v>
      </c>
      <c r="V1118" s="1" t="s">
        <v>29871</v>
      </c>
      <c r="X1118" s="1" t="s">
        <v>27842</v>
      </c>
      <c r="AR1118" s="1" t="str">
        <f t="shared" si="71"/>
        <v>| [](.md) | [処](処.md) |  |  | 「處」的異體字。 |</v>
      </c>
    </row>
    <row r="1119" spans="1:44" hidden="1">
      <c r="A1119" s="1" t="s">
        <v>29873</v>
      </c>
      <c r="C1119" s="1">
        <v>1</v>
      </c>
      <c r="D1119" s="1" t="str">
        <f>"08549-3"</f>
        <v>08549-3</v>
      </c>
      <c r="E1119" s="1" t="s">
        <v>660</v>
      </c>
      <c r="F1119" s="1">
        <v>11</v>
      </c>
      <c r="G1119" s="1">
        <v>5</v>
      </c>
      <c r="H1119" s="1">
        <v>0</v>
      </c>
      <c r="K1119" s="1" t="str">
        <f t="shared" si="68"/>
        <v/>
      </c>
      <c r="L1119" s="1" t="str">
        <f t="shared" si="69"/>
        <v/>
      </c>
      <c r="M1119" s="1" t="str">
        <f t="shared" si="70"/>
        <v/>
      </c>
      <c r="P1119" s="1" t="s">
        <v>20</v>
      </c>
      <c r="V1119" s="1" t="s">
        <v>29871</v>
      </c>
      <c r="X1119" s="1" t="s">
        <v>27842</v>
      </c>
      <c r="AR1119" s="1" t="str">
        <f t="shared" si="71"/>
        <v>| [](.md) | [䖏](䖏.md) |  |  | 「處」的異體字。 |</v>
      </c>
    </row>
    <row r="1120" spans="1:44" hidden="1">
      <c r="A1120" s="1" t="s">
        <v>29874</v>
      </c>
      <c r="C1120" s="1">
        <v>1</v>
      </c>
      <c r="D1120" s="1" t="str">
        <f>"08553-1"</f>
        <v>08553-1</v>
      </c>
      <c r="E1120" s="1" t="s">
        <v>139</v>
      </c>
      <c r="F1120" s="1">
        <v>12</v>
      </c>
      <c r="G1120" s="1">
        <v>8</v>
      </c>
      <c r="H1120" s="1">
        <v>0</v>
      </c>
      <c r="K1120" s="1" t="str">
        <f t="shared" si="68"/>
        <v/>
      </c>
      <c r="L1120" s="1" t="str">
        <f t="shared" si="69"/>
        <v/>
      </c>
      <c r="M1120" s="1" t="str">
        <f t="shared" si="70"/>
        <v/>
      </c>
      <c r="P1120" s="1" t="s">
        <v>20</v>
      </c>
      <c r="V1120" s="1" t="s">
        <v>29875</v>
      </c>
      <c r="X1120" s="1" t="s">
        <v>27842</v>
      </c>
      <c r="AR1120" s="1" t="str">
        <f t="shared" si="71"/>
        <v>| [](.md) | [椘](椘.md) |  |  | 「楚」的異體字。 |</v>
      </c>
    </row>
    <row r="1121" spans="1:44" hidden="1">
      <c r="A1121" s="1" t="s">
        <v>29876</v>
      </c>
      <c r="C1121" s="1">
        <v>1</v>
      </c>
      <c r="D1121" s="1" t="str">
        <f>"08598-1"</f>
        <v>08598-1</v>
      </c>
      <c r="E1121" s="1" t="s">
        <v>11513</v>
      </c>
      <c r="F1121" s="1">
        <v>21</v>
      </c>
      <c r="G1121" s="1">
        <v>4</v>
      </c>
      <c r="H1121" s="1">
        <v>0</v>
      </c>
      <c r="K1121" s="1" t="str">
        <f t="shared" si="68"/>
        <v/>
      </c>
      <c r="L1121" s="1" t="str">
        <f t="shared" si="69"/>
        <v/>
      </c>
      <c r="M1121" s="1" t="str">
        <f t="shared" si="70"/>
        <v/>
      </c>
      <c r="P1121" s="1" t="s">
        <v>20</v>
      </c>
      <c r="V1121" s="1" t="s">
        <v>29877</v>
      </c>
      <c r="X1121" s="1" t="s">
        <v>27842</v>
      </c>
      <c r="AR1121" s="1" t="str">
        <f t="shared" si="71"/>
        <v>| [](.md) | [龡](龡.md) |  |  | 「吹」的異體字。 |</v>
      </c>
    </row>
    <row r="1122" spans="1:44" hidden="1">
      <c r="A1122" s="1" t="s">
        <v>29878</v>
      </c>
      <c r="C1122" s="1">
        <v>1</v>
      </c>
      <c r="D1122" s="1" t="str">
        <f>"08600-1"</f>
        <v>08600-1</v>
      </c>
      <c r="E1122" s="1" t="s">
        <v>1663</v>
      </c>
      <c r="F1122" s="1">
        <v>8</v>
      </c>
      <c r="G1122" s="1">
        <v>7</v>
      </c>
      <c r="H1122" s="1">
        <v>0</v>
      </c>
      <c r="K1122" s="1" t="str">
        <f t="shared" si="68"/>
        <v/>
      </c>
      <c r="L1122" s="1" t="str">
        <f t="shared" si="69"/>
        <v/>
      </c>
      <c r="M1122" s="1" t="str">
        <f t="shared" si="70"/>
        <v/>
      </c>
      <c r="P1122" s="1" t="s">
        <v>20</v>
      </c>
      <c r="V1122" s="1" t="s">
        <v>29879</v>
      </c>
      <c r="X1122" s="1" t="s">
        <v>27842</v>
      </c>
      <c r="AR1122" s="1" t="str">
        <f t="shared" si="71"/>
        <v>| [](.md) | [󰿀](󰿀.md) |  |  | 「垂」的異體字。 |</v>
      </c>
    </row>
    <row r="1123" spans="1:44" hidden="1">
      <c r="A1123" s="1" t="s">
        <v>29880</v>
      </c>
      <c r="C1123" s="1">
        <v>1</v>
      </c>
      <c r="D1123" s="1" t="str">
        <f>"08600-2"</f>
        <v>08600-2</v>
      </c>
      <c r="E1123" s="1" t="s">
        <v>132</v>
      </c>
      <c r="F1123" s="1">
        <v>12</v>
      </c>
      <c r="G1123" s="1">
        <v>9</v>
      </c>
      <c r="H1123" s="1">
        <v>0</v>
      </c>
      <c r="K1123" s="1" t="str">
        <f t="shared" si="68"/>
        <v/>
      </c>
      <c r="L1123" s="1" t="str">
        <f t="shared" si="69"/>
        <v/>
      </c>
      <c r="M1123" s="1" t="str">
        <f t="shared" si="70"/>
        <v/>
      </c>
      <c r="P1123" s="1" t="s">
        <v>20</v>
      </c>
      <c r="V1123" s="1" t="s">
        <v>29879</v>
      </c>
      <c r="X1123" s="1" t="s">
        <v>27842</v>
      </c>
      <c r="AR1123" s="1" t="str">
        <f t="shared" si="71"/>
        <v>| [](.md) | [𡍮](𡍮.md) |  |  | 「垂」的異體字。 |</v>
      </c>
    </row>
    <row r="1124" spans="1:44" hidden="1">
      <c r="A1124" s="1" t="s">
        <v>20357</v>
      </c>
      <c r="C1124" s="1">
        <v>1</v>
      </c>
      <c r="D1124" s="1" t="str">
        <f>"08616-1"</f>
        <v>08616-1</v>
      </c>
      <c r="E1124" s="1" t="s">
        <v>10354</v>
      </c>
      <c r="F1124" s="1">
        <v>3</v>
      </c>
      <c r="G1124" s="1">
        <v>0</v>
      </c>
      <c r="H1124" s="1">
        <v>0</v>
      </c>
      <c r="K1124" s="1" t="str">
        <f t="shared" si="68"/>
        <v/>
      </c>
      <c r="L1124" s="1" t="str">
        <f t="shared" si="69"/>
        <v/>
      </c>
      <c r="M1124" s="1" t="str">
        <f t="shared" si="70"/>
        <v/>
      </c>
      <c r="P1124" s="1" t="s">
        <v>20</v>
      </c>
      <c r="V1124" s="1" t="s">
        <v>29881</v>
      </c>
      <c r="X1124" s="1" t="s">
        <v>27842</v>
      </c>
      <c r="AR1124" s="1" t="str">
        <f t="shared" si="71"/>
        <v>| [](.md) | [巛](巛.md) |  |  | 「川」的異體字。 |</v>
      </c>
    </row>
    <row r="1125" spans="1:44" hidden="1">
      <c r="A1125" s="1" t="s">
        <v>29882</v>
      </c>
      <c r="C1125" s="1">
        <v>1</v>
      </c>
      <c r="D1125" s="1" t="str">
        <f>"08620-1"</f>
        <v>08620-1</v>
      </c>
      <c r="E1125" s="1" t="s">
        <v>181</v>
      </c>
      <c r="F1125" s="1">
        <v>10</v>
      </c>
      <c r="G1125" s="1">
        <v>4</v>
      </c>
      <c r="H1125" s="1">
        <v>0</v>
      </c>
      <c r="K1125" s="1" t="str">
        <f t="shared" si="68"/>
        <v/>
      </c>
      <c r="L1125" s="1" t="str">
        <f t="shared" si="69"/>
        <v/>
      </c>
      <c r="M1125" s="1" t="str">
        <f t="shared" si="70"/>
        <v/>
      </c>
      <c r="P1125" s="1" t="s">
        <v>20</v>
      </c>
      <c r="V1125" s="1" t="s">
        <v>29883</v>
      </c>
      <c r="X1125" s="1" t="s">
        <v>27842</v>
      </c>
      <c r="AR1125" s="1" t="str">
        <f t="shared" si="71"/>
        <v>| [](.md) | [舩](舩.md) |  |  | 「船」的異體字。 |</v>
      </c>
    </row>
    <row r="1126" spans="1:44" hidden="1">
      <c r="A1126" s="1" t="s">
        <v>29884</v>
      </c>
      <c r="C1126" s="1">
        <v>1</v>
      </c>
      <c r="D1126" s="1" t="str">
        <f>"08634-1"</f>
        <v>08634-1</v>
      </c>
      <c r="E1126" s="1" t="s">
        <v>646</v>
      </c>
      <c r="F1126" s="1">
        <v>8</v>
      </c>
      <c r="G1126" s="1">
        <v>4</v>
      </c>
      <c r="H1126" s="1">
        <v>0</v>
      </c>
      <c r="K1126" s="1" t="str">
        <f t="shared" si="68"/>
        <v/>
      </c>
      <c r="L1126" s="1" t="str">
        <f t="shared" si="69"/>
        <v/>
      </c>
      <c r="M1126" s="1" t="str">
        <f t="shared" si="70"/>
        <v/>
      </c>
      <c r="P1126" s="1" t="s">
        <v>20</v>
      </c>
      <c r="V1126" s="1" t="s">
        <v>29885</v>
      </c>
      <c r="X1126" s="1" t="s">
        <v>27842</v>
      </c>
      <c r="AR1126" s="1" t="str">
        <f t="shared" si="71"/>
        <v>| [](.md) | [旾](旾.md) |  |  | 「春」的異體字。 |</v>
      </c>
    </row>
    <row r="1127" spans="1:44" hidden="1">
      <c r="A1127" s="1" t="s">
        <v>29886</v>
      </c>
      <c r="C1127" s="1">
        <v>1</v>
      </c>
      <c r="D1127" s="1" t="str">
        <f>"08638-1"</f>
        <v>08638-1</v>
      </c>
      <c r="E1127" s="1" t="s">
        <v>129</v>
      </c>
      <c r="F1127" s="1">
        <v>12</v>
      </c>
      <c r="G1127" s="1">
        <v>9</v>
      </c>
      <c r="H1127" s="1">
        <v>0</v>
      </c>
      <c r="K1127" s="1" t="str">
        <f t="shared" si="68"/>
        <v/>
      </c>
      <c r="L1127" s="1" t="str">
        <f t="shared" si="69"/>
        <v/>
      </c>
      <c r="M1127" s="1" t="str">
        <f t="shared" si="70"/>
        <v/>
      </c>
      <c r="P1127" s="1" t="s">
        <v>20</v>
      </c>
      <c r="V1127" s="1" t="s">
        <v>29887</v>
      </c>
      <c r="X1127" s="1" t="s">
        <v>27842</v>
      </c>
      <c r="AR1127" s="1" t="str">
        <f t="shared" si="71"/>
        <v>| [](.md) | [湻](湻.md) |  |  | 「淳」的異體字。 |</v>
      </c>
    </row>
    <row r="1128" spans="1:44" hidden="1">
      <c r="A1128" s="1" t="s">
        <v>29888</v>
      </c>
      <c r="C1128" s="1">
        <v>1</v>
      </c>
      <c r="D1128" s="1" t="str">
        <f>"08640-1"</f>
        <v>08640-1</v>
      </c>
      <c r="E1128" s="1" t="s">
        <v>1462</v>
      </c>
      <c r="F1128" s="1">
        <v>16</v>
      </c>
      <c r="G1128" s="1">
        <v>9</v>
      </c>
      <c r="H1128" s="1">
        <v>0</v>
      </c>
      <c r="K1128" s="1" t="str">
        <f t="shared" si="68"/>
        <v/>
      </c>
      <c r="L1128" s="1" t="str">
        <f t="shared" si="69"/>
        <v/>
      </c>
      <c r="M1128" s="1" t="str">
        <f t="shared" si="70"/>
        <v/>
      </c>
      <c r="P1128" s="1" t="s">
        <v>20</v>
      </c>
      <c r="V1128" s="1" t="s">
        <v>29889</v>
      </c>
      <c r="X1128" s="1" t="s">
        <v>27842</v>
      </c>
      <c r="AR1128" s="1" t="str">
        <f t="shared" si="71"/>
        <v>| [](.md) | [醕](醕.md) |  |  | 「醇」的異體字。 |</v>
      </c>
    </row>
    <row r="1129" spans="1:44" hidden="1">
      <c r="A1129" s="1" t="s">
        <v>18540</v>
      </c>
      <c r="C1129" s="1">
        <v>1</v>
      </c>
      <c r="D1129" s="1" t="str">
        <f>"08643-1"</f>
        <v>08643-1</v>
      </c>
      <c r="E1129" s="1" t="s">
        <v>28</v>
      </c>
      <c r="F1129" s="1">
        <v>10</v>
      </c>
      <c r="G1129" s="1">
        <v>7</v>
      </c>
      <c r="H1129" s="1">
        <v>0</v>
      </c>
      <c r="K1129" s="1" t="str">
        <f t="shared" si="68"/>
        <v/>
      </c>
      <c r="L1129" s="1" t="str">
        <f t="shared" si="69"/>
        <v/>
      </c>
      <c r="M1129" s="1" t="str">
        <f t="shared" si="70"/>
        <v/>
      </c>
      <c r="P1129" s="1" t="s">
        <v>20</v>
      </c>
      <c r="V1129" s="1" t="s">
        <v>29890</v>
      </c>
      <c r="X1129" s="1" t="s">
        <v>27842</v>
      </c>
      <c r="AR1129" s="1" t="str">
        <f t="shared" si="71"/>
        <v>| [](.md) | [唇](唇.md) |  |  | 「脣」的異體字。 |</v>
      </c>
    </row>
    <row r="1130" spans="1:44" hidden="1">
      <c r="A1130" s="1" t="s">
        <v>29891</v>
      </c>
      <c r="C1130" s="1">
        <v>1</v>
      </c>
      <c r="D1130" s="1" t="str">
        <f>"08649-1"</f>
        <v>08649-1</v>
      </c>
      <c r="E1130" s="1" t="s">
        <v>1274</v>
      </c>
      <c r="F1130" s="1">
        <v>11</v>
      </c>
      <c r="G1130" s="1">
        <v>6</v>
      </c>
      <c r="H1130" s="1">
        <v>0</v>
      </c>
      <c r="K1130" s="1" t="str">
        <f t="shared" si="68"/>
        <v/>
      </c>
      <c r="L1130" s="1" t="str">
        <f t="shared" si="69"/>
        <v/>
      </c>
      <c r="M1130" s="1" t="str">
        <f t="shared" si="70"/>
        <v/>
      </c>
      <c r="P1130" s="1" t="s">
        <v>20</v>
      </c>
      <c r="V1130" s="1" t="s">
        <v>29892</v>
      </c>
      <c r="X1130" s="1" t="s">
        <v>27842</v>
      </c>
      <c r="AR1130" s="1" t="str">
        <f t="shared" si="71"/>
        <v>| [](.md) | [窓](窓.md) |  |  | 「窗」的異體字。 |</v>
      </c>
    </row>
    <row r="1131" spans="1:44" hidden="1">
      <c r="A1131" s="1" t="s">
        <v>29893</v>
      </c>
      <c r="C1131" s="1">
        <v>1</v>
      </c>
      <c r="D1131" s="1" t="str">
        <f>"08649-2"</f>
        <v>08649-2</v>
      </c>
      <c r="E1131" s="1" t="s">
        <v>698</v>
      </c>
      <c r="F1131" s="1">
        <v>13</v>
      </c>
      <c r="G1131" s="1">
        <v>9</v>
      </c>
      <c r="H1131" s="1">
        <v>0</v>
      </c>
      <c r="K1131" s="1" t="str">
        <f t="shared" si="68"/>
        <v/>
      </c>
      <c r="L1131" s="1" t="str">
        <f t="shared" si="69"/>
        <v/>
      </c>
      <c r="M1131" s="1" t="str">
        <f t="shared" si="70"/>
        <v/>
      </c>
      <c r="P1131" s="1" t="s">
        <v>20</v>
      </c>
      <c r="V1131" s="1" t="s">
        <v>29892</v>
      </c>
      <c r="X1131" s="1" t="s">
        <v>27842</v>
      </c>
      <c r="AR1131" s="1" t="str">
        <f t="shared" si="71"/>
        <v>| [](.md) | [牎](牎.md) |  |  | 「窗」的異體字。 |</v>
      </c>
    </row>
    <row r="1132" spans="1:44" hidden="1">
      <c r="A1132" s="1" t="s">
        <v>29894</v>
      </c>
      <c r="C1132" s="1">
        <v>1</v>
      </c>
      <c r="D1132" s="1" t="str">
        <f>"08649-3"</f>
        <v>08649-3</v>
      </c>
      <c r="E1132" s="1" t="s">
        <v>1274</v>
      </c>
      <c r="F1132" s="1">
        <v>16</v>
      </c>
      <c r="G1132" s="1">
        <v>11</v>
      </c>
      <c r="H1132" s="1">
        <v>0</v>
      </c>
      <c r="K1132" s="1" t="str">
        <f t="shared" si="68"/>
        <v/>
      </c>
      <c r="L1132" s="1" t="str">
        <f t="shared" si="69"/>
        <v/>
      </c>
      <c r="M1132" s="1" t="str">
        <f t="shared" si="70"/>
        <v/>
      </c>
      <c r="P1132" s="1" t="s">
        <v>20</v>
      </c>
      <c r="V1132" s="1" t="s">
        <v>29892</v>
      </c>
      <c r="X1132" s="1" t="s">
        <v>27842</v>
      </c>
      <c r="AR1132" s="1" t="str">
        <f t="shared" si="71"/>
        <v>| [](.md) | [窻](窻.md) |  |  | 「窗」的異體字。 |</v>
      </c>
    </row>
    <row r="1133" spans="1:44" hidden="1">
      <c r="A1133" s="1" t="s">
        <v>29895</v>
      </c>
      <c r="C1133" s="1">
        <v>1</v>
      </c>
      <c r="D1133" s="1" t="str">
        <f>"08649-4"</f>
        <v>08649-4</v>
      </c>
      <c r="E1133" s="1" t="s">
        <v>698</v>
      </c>
      <c r="F1133" s="1">
        <v>15</v>
      </c>
      <c r="G1133" s="1">
        <v>11</v>
      </c>
      <c r="H1133" s="1">
        <v>0</v>
      </c>
      <c r="K1133" s="1" t="str">
        <f t="shared" si="68"/>
        <v/>
      </c>
      <c r="L1133" s="1" t="str">
        <f t="shared" si="69"/>
        <v/>
      </c>
      <c r="M1133" s="1" t="str">
        <f t="shared" si="70"/>
        <v/>
      </c>
      <c r="P1133" s="1" t="s">
        <v>20</v>
      </c>
      <c r="V1133" s="1" t="s">
        <v>29892</v>
      </c>
      <c r="X1133" s="1" t="s">
        <v>27842</v>
      </c>
      <c r="AR1133" s="1" t="str">
        <f t="shared" si="71"/>
        <v>| [](.md) | [牕](牕.md) |  |  | 「窗」的異體字。 |</v>
      </c>
    </row>
    <row r="1134" spans="1:44" hidden="1">
      <c r="A1134" s="1" t="s">
        <v>29896</v>
      </c>
      <c r="C1134" s="1">
        <v>1</v>
      </c>
      <c r="D1134" s="1" t="str">
        <f>"08654-1"</f>
        <v>08654-1</v>
      </c>
      <c r="E1134" s="1" t="s">
        <v>712</v>
      </c>
      <c r="F1134" s="1">
        <v>8</v>
      </c>
      <c r="G1134" s="1">
        <v>4</v>
      </c>
      <c r="H1134" s="1">
        <v>0</v>
      </c>
      <c r="K1134" s="1" t="str">
        <f t="shared" si="68"/>
        <v/>
      </c>
      <c r="L1134" s="1" t="str">
        <f t="shared" si="69"/>
        <v/>
      </c>
      <c r="M1134" s="1" t="str">
        <f t="shared" si="70"/>
        <v/>
      </c>
      <c r="P1134" s="1" t="s">
        <v>20</v>
      </c>
      <c r="V1134" s="1" t="s">
        <v>29897</v>
      </c>
      <c r="X1134" s="1" t="s">
        <v>27842</v>
      </c>
      <c r="AR1134" s="1" t="str">
        <f t="shared" si="71"/>
        <v>| [](.md) | [牀](牀.md) |  |  | 「床」的異體字。 |</v>
      </c>
    </row>
    <row r="1135" spans="1:44" hidden="1">
      <c r="A1135" s="1" t="s">
        <v>29898</v>
      </c>
      <c r="C1135" s="1">
        <v>1</v>
      </c>
      <c r="D1135" s="1" t="str">
        <f>"08663-1"</f>
        <v>08663-1</v>
      </c>
      <c r="E1135" s="1" t="s">
        <v>185</v>
      </c>
      <c r="F1135" s="1">
        <v>9</v>
      </c>
      <c r="G1135" s="1">
        <v>7</v>
      </c>
      <c r="H1135" s="1">
        <v>0</v>
      </c>
      <c r="K1135" s="1" t="str">
        <f t="shared" si="68"/>
        <v/>
      </c>
      <c r="L1135" s="1" t="str">
        <f t="shared" si="69"/>
        <v/>
      </c>
      <c r="M1135" s="1" t="str">
        <f t="shared" si="70"/>
        <v/>
      </c>
      <c r="P1135" s="1" t="s">
        <v>20</v>
      </c>
      <c r="V1135" s="1" t="s">
        <v>29899</v>
      </c>
      <c r="X1135" s="1" t="s">
        <v>27842</v>
      </c>
      <c r="AR1135" s="1" t="str">
        <f t="shared" si="71"/>
        <v>| [](.md) | [剏](剏.md) |  |  | 「創」的異體字。 |</v>
      </c>
    </row>
    <row r="1136" spans="1:44" hidden="1">
      <c r="A1136" s="1" t="s">
        <v>29900</v>
      </c>
      <c r="C1136" s="1">
        <v>1</v>
      </c>
      <c r="D1136" s="1" t="str">
        <f>"08663-2"</f>
        <v>08663-2</v>
      </c>
      <c r="E1136" s="1" t="s">
        <v>185</v>
      </c>
      <c r="F1136" s="1">
        <v>10</v>
      </c>
      <c r="G1136" s="1">
        <v>8</v>
      </c>
      <c r="H1136" s="1">
        <v>0</v>
      </c>
      <c r="K1136" s="1" t="str">
        <f t="shared" si="68"/>
        <v/>
      </c>
      <c r="L1136" s="1" t="str">
        <f t="shared" si="69"/>
        <v/>
      </c>
      <c r="M1136" s="1" t="str">
        <f t="shared" si="70"/>
        <v/>
      </c>
      <c r="P1136" s="1" t="s">
        <v>20</v>
      </c>
      <c r="V1136" s="1" t="s">
        <v>29899</v>
      </c>
      <c r="X1136" s="1" t="s">
        <v>27842</v>
      </c>
      <c r="AR1136" s="1" t="str">
        <f t="shared" si="71"/>
        <v>| [](.md) | [剙](剙.md) |  |  | 「創」的異體字。 |</v>
      </c>
    </row>
    <row r="1137" spans="1:44" hidden="1">
      <c r="A1137" s="1" t="s">
        <v>29901</v>
      </c>
      <c r="C1137" s="1">
        <v>1</v>
      </c>
      <c r="D1137" s="1" t="str">
        <f>"08666-1"</f>
        <v>08666-1</v>
      </c>
      <c r="E1137" s="1" t="s">
        <v>3581</v>
      </c>
      <c r="F1137" s="1">
        <v>6</v>
      </c>
      <c r="G1137" s="1">
        <v>4</v>
      </c>
      <c r="H1137" s="1">
        <v>0</v>
      </c>
      <c r="K1137" s="1" t="str">
        <f t="shared" si="68"/>
        <v/>
      </c>
      <c r="L1137" s="1" t="str">
        <f t="shared" si="69"/>
        <v/>
      </c>
      <c r="M1137" s="1" t="str">
        <f t="shared" si="70"/>
        <v/>
      </c>
      <c r="P1137" s="1" t="s">
        <v>20</v>
      </c>
      <c r="V1137" s="1" t="s">
        <v>29902</v>
      </c>
      <c r="X1137" s="1" t="s">
        <v>27842</v>
      </c>
      <c r="AR1137" s="1" t="str">
        <f t="shared" si="71"/>
        <v>| [](.md) | [𠘺](𠘺.md) |  |  | 「充」的異體字。 |</v>
      </c>
    </row>
    <row r="1138" spans="1:44" hidden="1">
      <c r="A1138" s="1" t="s">
        <v>29903</v>
      </c>
      <c r="C1138" s="1">
        <v>1</v>
      </c>
      <c r="D1138" s="1" t="str">
        <f>"08668-1"</f>
        <v>08668-1</v>
      </c>
      <c r="E1138" s="1" t="s">
        <v>1381</v>
      </c>
      <c r="F1138" s="1">
        <v>6</v>
      </c>
      <c r="G1138" s="1">
        <v>4</v>
      </c>
      <c r="H1138" s="1">
        <v>0</v>
      </c>
      <c r="K1138" s="1" t="str">
        <f t="shared" si="68"/>
        <v/>
      </c>
      <c r="L1138" s="1" t="str">
        <f t="shared" si="69"/>
        <v/>
      </c>
      <c r="M1138" s="1" t="str">
        <f t="shared" si="70"/>
        <v/>
      </c>
      <c r="P1138" s="1" t="s">
        <v>20</v>
      </c>
      <c r="V1138" s="1" t="s">
        <v>29904</v>
      </c>
      <c r="X1138" s="1" t="s">
        <v>27842</v>
      </c>
      <c r="AR1138" s="1" t="str">
        <f t="shared" si="71"/>
        <v>| [](.md) | [冲](冲.md) |  |  | 「沖」的異體字。 |</v>
      </c>
    </row>
    <row r="1139" spans="1:44" hidden="1">
      <c r="A1139" s="1" t="s">
        <v>29905</v>
      </c>
      <c r="C1139" s="1">
        <v>1</v>
      </c>
      <c r="D1139" s="1" t="str">
        <f>"08683-1"</f>
        <v>08683-1</v>
      </c>
      <c r="E1139" s="1" t="s">
        <v>40</v>
      </c>
      <c r="F1139" s="1">
        <v>14</v>
      </c>
      <c r="G1139" s="1">
        <v>9</v>
      </c>
      <c r="H1139" s="1">
        <v>0</v>
      </c>
      <c r="K1139" s="1" t="str">
        <f t="shared" si="68"/>
        <v/>
      </c>
      <c r="L1139" s="1" t="str">
        <f t="shared" si="69"/>
        <v/>
      </c>
      <c r="M1139" s="1" t="str">
        <f t="shared" si="70"/>
        <v/>
      </c>
      <c r="P1139" s="1" t="s">
        <v>20</v>
      </c>
      <c r="V1139" s="1" t="s">
        <v>29906</v>
      </c>
      <c r="X1139" s="1" t="s">
        <v>27842</v>
      </c>
      <c r="AR1139" s="1" t="str">
        <f t="shared" si="71"/>
        <v>| [](.md) | [瘇](瘇.md) |  |  | 「尰」的異體字。 |</v>
      </c>
    </row>
    <row r="1140" spans="1:44" hidden="1">
      <c r="A1140" s="1" t="s">
        <v>29907</v>
      </c>
      <c r="C1140" s="1">
        <v>1</v>
      </c>
      <c r="D1140" s="1" t="str">
        <f>"08697-1"</f>
        <v>08697-1</v>
      </c>
      <c r="E1140" s="1" t="s">
        <v>222</v>
      </c>
      <c r="F1140" s="1">
        <v>6</v>
      </c>
      <c r="G1140" s="1">
        <v>3</v>
      </c>
      <c r="H1140" s="1">
        <v>0</v>
      </c>
      <c r="K1140" s="1" t="str">
        <f t="shared" si="68"/>
        <v/>
      </c>
      <c r="L1140" s="1" t="str">
        <f t="shared" si="69"/>
        <v/>
      </c>
      <c r="M1140" s="1" t="str">
        <f t="shared" si="70"/>
        <v/>
      </c>
      <c r="P1140" s="1" t="s">
        <v>20</v>
      </c>
      <c r="V1140" s="1" t="s">
        <v>29908</v>
      </c>
      <c r="X1140" s="1" t="s">
        <v>27842</v>
      </c>
      <c r="AR1140" s="1" t="str">
        <f t="shared" si="71"/>
        <v>| [](.md) | [师](师.md) |  |  | 「師」的異體字。 |</v>
      </c>
    </row>
    <row r="1141" spans="1:44" hidden="1">
      <c r="A1141" s="1" t="s">
        <v>29909</v>
      </c>
      <c r="C1141" s="1">
        <v>1</v>
      </c>
      <c r="D1141" s="1" t="str">
        <f>"08700-1"</f>
        <v>08700-1</v>
      </c>
      <c r="E1141" s="1" t="s">
        <v>129</v>
      </c>
      <c r="F1141" s="1">
        <v>13</v>
      </c>
      <c r="G1141" s="1">
        <v>10</v>
      </c>
      <c r="H1141" s="1">
        <v>0</v>
      </c>
      <c r="K1141" s="1" t="str">
        <f t="shared" si="68"/>
        <v/>
      </c>
      <c r="L1141" s="1" t="str">
        <f t="shared" si="69"/>
        <v/>
      </c>
      <c r="M1141" s="1" t="str">
        <f t="shared" si="70"/>
        <v/>
      </c>
      <c r="P1141" s="1" t="s">
        <v>20</v>
      </c>
      <c r="V1141" s="1" t="s">
        <v>29910</v>
      </c>
      <c r="X1141" s="1" t="s">
        <v>27842</v>
      </c>
      <c r="AR1141" s="1" t="str">
        <f t="shared" si="71"/>
        <v>| [](.md) | [𣺯](𣺯.md) |  |  | 「溼」的異體字。 |</v>
      </c>
    </row>
    <row r="1142" spans="1:44" hidden="1">
      <c r="A1142" s="1" t="s">
        <v>29911</v>
      </c>
      <c r="C1142" s="1">
        <v>1</v>
      </c>
      <c r="D1142" s="1" t="str">
        <f>"08715-1"</f>
        <v>08715-1</v>
      </c>
      <c r="E1142" s="1" t="s">
        <v>646</v>
      </c>
      <c r="F1142" s="1">
        <v>7</v>
      </c>
      <c r="G1142" s="1">
        <v>3</v>
      </c>
      <c r="H1142" s="1">
        <v>0</v>
      </c>
      <c r="K1142" s="1" t="str">
        <f t="shared" si="68"/>
        <v/>
      </c>
      <c r="L1142" s="1" t="str">
        <f t="shared" si="69"/>
        <v/>
      </c>
      <c r="M1142" s="1" t="str">
        <f t="shared" si="70"/>
        <v/>
      </c>
      <c r="P1142" s="1" t="s">
        <v>20</v>
      </c>
      <c r="V1142" s="1" t="s">
        <v>29912</v>
      </c>
      <c r="X1142" s="1" t="s">
        <v>27842</v>
      </c>
      <c r="AR1142" s="1" t="str">
        <f t="shared" si="71"/>
        <v>| [](.md) | [时](时.md) |  |  | 「時」的異體字。 |</v>
      </c>
    </row>
    <row r="1143" spans="1:44" hidden="1">
      <c r="A1143" s="1" t="s">
        <v>29913</v>
      </c>
      <c r="C1143" s="1">
        <v>1</v>
      </c>
      <c r="D1143" s="1" t="str">
        <f>"08715-2"</f>
        <v>08715-2</v>
      </c>
      <c r="E1143" s="1" t="s">
        <v>646</v>
      </c>
      <c r="F1143" s="1">
        <v>8</v>
      </c>
      <c r="G1143" s="1">
        <v>4</v>
      </c>
      <c r="H1143" s="1">
        <v>0</v>
      </c>
      <c r="K1143" s="1" t="str">
        <f t="shared" si="68"/>
        <v/>
      </c>
      <c r="L1143" s="1" t="str">
        <f t="shared" si="69"/>
        <v/>
      </c>
      <c r="M1143" s="1" t="str">
        <f t="shared" si="70"/>
        <v/>
      </c>
      <c r="P1143" s="1" t="s">
        <v>20</v>
      </c>
      <c r="V1143" s="1" t="s">
        <v>29912</v>
      </c>
      <c r="X1143" s="1" t="s">
        <v>27842</v>
      </c>
      <c r="AR1143" s="1" t="str">
        <f t="shared" si="71"/>
        <v>| [](.md) | [旹](旹.md) |  |  | 「時」的異體字。 |</v>
      </c>
    </row>
    <row r="1144" spans="1:44" hidden="1">
      <c r="A1144" s="1" t="s">
        <v>29914</v>
      </c>
      <c r="C1144" s="1">
        <v>1</v>
      </c>
      <c r="D1144" s="1" t="str">
        <f>"08723-1"</f>
        <v>08723-1</v>
      </c>
      <c r="E1144" s="1" t="s">
        <v>624</v>
      </c>
      <c r="F1144" s="1">
        <v>8</v>
      </c>
      <c r="G1144" s="1">
        <v>5</v>
      </c>
      <c r="H1144" s="1">
        <v>0</v>
      </c>
      <c r="K1144" s="1" t="str">
        <f t="shared" si="68"/>
        <v/>
      </c>
      <c r="L1144" s="1" t="str">
        <f t="shared" si="69"/>
        <v/>
      </c>
      <c r="M1144" s="1" t="str">
        <f t="shared" si="70"/>
        <v/>
      </c>
      <c r="P1144" s="1" t="s">
        <v>20</v>
      </c>
      <c r="V1144" s="1" t="s">
        <v>29915</v>
      </c>
      <c r="X1144" s="1" t="s">
        <v>27842</v>
      </c>
      <c r="AR1144" s="1" t="str">
        <f t="shared" si="71"/>
        <v>| [](.md) | [实](实.md) |  |  | 「實」的異體字。 |</v>
      </c>
    </row>
    <row r="1145" spans="1:44" hidden="1">
      <c r="A1145" s="1" t="s">
        <v>29916</v>
      </c>
      <c r="C1145" s="1">
        <v>1</v>
      </c>
      <c r="D1145" s="1" t="str">
        <f>"08724-1"</f>
        <v>08724-1</v>
      </c>
      <c r="E1145" s="1" t="s">
        <v>1880</v>
      </c>
      <c r="F1145" s="1">
        <v>6</v>
      </c>
      <c r="G1145" s="1">
        <v>4</v>
      </c>
      <c r="H1145" s="1">
        <v>0</v>
      </c>
      <c r="K1145" s="1" t="str">
        <f t="shared" si="68"/>
        <v/>
      </c>
      <c r="L1145" s="1" t="str">
        <f t="shared" si="69"/>
        <v/>
      </c>
      <c r="M1145" s="1" t="str">
        <f t="shared" si="70"/>
        <v/>
      </c>
      <c r="P1145" s="1" t="s">
        <v>20</v>
      </c>
      <c r="V1145" s="1" t="s">
        <v>29917</v>
      </c>
      <c r="X1145" s="1" t="s">
        <v>27842</v>
      </c>
      <c r="AR1145" s="1" t="str">
        <f t="shared" si="71"/>
        <v>| [](.md) | [㕜](㕜.md) |  |  | 「史」的異體字。 |</v>
      </c>
    </row>
    <row r="1146" spans="1:44" hidden="1">
      <c r="A1146" s="1" t="s">
        <v>29918</v>
      </c>
      <c r="C1146" s="1">
        <v>1</v>
      </c>
      <c r="D1146" s="1" t="str">
        <f>"08739-1"</f>
        <v>08739-1</v>
      </c>
      <c r="E1146" s="1" t="s">
        <v>139</v>
      </c>
      <c r="F1146" s="1">
        <v>9</v>
      </c>
      <c r="G1146" s="1">
        <v>5</v>
      </c>
      <c r="H1146" s="1">
        <v>0</v>
      </c>
      <c r="K1146" s="1" t="str">
        <f t="shared" si="68"/>
        <v/>
      </c>
      <c r="L1146" s="1" t="str">
        <f t="shared" si="69"/>
        <v/>
      </c>
      <c r="M1146" s="1" t="str">
        <f t="shared" si="70"/>
        <v/>
      </c>
      <c r="P1146" s="1" t="s">
        <v>20</v>
      </c>
      <c r="V1146" s="1" t="s">
        <v>29919</v>
      </c>
      <c r="X1146" s="1" t="s">
        <v>27842</v>
      </c>
      <c r="AR1146" s="1" t="str">
        <f t="shared" si="71"/>
        <v>| [](.md) | [柹](柹.md) |  |  | 「柿」的異體字。 |</v>
      </c>
    </row>
    <row r="1147" spans="1:44" hidden="1">
      <c r="A1147" s="1" t="s">
        <v>29920</v>
      </c>
      <c r="C1147" s="1">
        <v>1</v>
      </c>
      <c r="D1147" s="1" t="str">
        <f>"08742-1"</f>
        <v>08742-1</v>
      </c>
      <c r="E1147" s="1" t="s">
        <v>1015</v>
      </c>
      <c r="F1147" s="1">
        <v>10</v>
      </c>
      <c r="G1147" s="1">
        <v>5</v>
      </c>
      <c r="H1147" s="1">
        <v>0</v>
      </c>
      <c r="K1147" s="1" t="str">
        <f t="shared" si="68"/>
        <v/>
      </c>
      <c r="L1147" s="1" t="str">
        <f t="shared" si="69"/>
        <v/>
      </c>
      <c r="M1147" s="1" t="str">
        <f t="shared" si="70"/>
        <v/>
      </c>
      <c r="P1147" s="1" t="s">
        <v>20</v>
      </c>
      <c r="V1147" s="1" t="s">
        <v>29921</v>
      </c>
      <c r="X1147" s="1" t="s">
        <v>27842</v>
      </c>
      <c r="AR1147" s="1" t="str">
        <f t="shared" si="71"/>
        <v>| [](.md) | [眎](眎.md) |  |  | 「視」的異體字。 |</v>
      </c>
    </row>
    <row r="1148" spans="1:44" hidden="1">
      <c r="A1148" s="1" t="s">
        <v>29922</v>
      </c>
      <c r="C1148" s="1">
        <v>1</v>
      </c>
      <c r="D1148" s="1" t="str">
        <f>"08742-2"</f>
        <v>08742-2</v>
      </c>
      <c r="E1148" s="1" t="s">
        <v>1015</v>
      </c>
      <c r="F1148" s="1">
        <v>10</v>
      </c>
      <c r="G1148" s="1">
        <v>5</v>
      </c>
      <c r="H1148" s="1">
        <v>0</v>
      </c>
      <c r="K1148" s="1" t="str">
        <f t="shared" si="68"/>
        <v/>
      </c>
      <c r="L1148" s="1" t="str">
        <f t="shared" si="69"/>
        <v/>
      </c>
      <c r="M1148" s="1" t="str">
        <f t="shared" si="70"/>
        <v/>
      </c>
      <c r="P1148" s="1" t="s">
        <v>20</v>
      </c>
      <c r="V1148" s="1" t="s">
        <v>29921</v>
      </c>
      <c r="X1148" s="1" t="s">
        <v>27842</v>
      </c>
      <c r="AR1148" s="1" t="str">
        <f t="shared" si="71"/>
        <v>| [](.md) | [眡](眡.md) |  |  | 「視」的異體字。 |</v>
      </c>
    </row>
    <row r="1149" spans="1:44" hidden="1">
      <c r="A1149" s="1" t="s">
        <v>29923</v>
      </c>
      <c r="C1149" s="1">
        <v>1</v>
      </c>
      <c r="D1149" s="1" t="str">
        <f>"08743-1"</f>
        <v>08743-1</v>
      </c>
      <c r="E1149" s="1" t="s">
        <v>789</v>
      </c>
      <c r="F1149" s="1">
        <v>5</v>
      </c>
      <c r="G1149" s="1">
        <v>4</v>
      </c>
      <c r="H1149" s="1">
        <v>0</v>
      </c>
      <c r="K1149" s="1" t="str">
        <f t="shared" si="68"/>
        <v/>
      </c>
      <c r="L1149" s="1" t="str">
        <f t="shared" si="69"/>
        <v/>
      </c>
      <c r="M1149" s="1" t="str">
        <f t="shared" si="70"/>
        <v/>
      </c>
      <c r="P1149" s="1" t="s">
        <v>20</v>
      </c>
      <c r="V1149" s="1" t="s">
        <v>29924</v>
      </c>
      <c r="X1149" s="1" t="s">
        <v>27842</v>
      </c>
      <c r="AR1149" s="1" t="str">
        <f t="shared" si="71"/>
        <v>| [](.md) | [𠀍](𠀍.md) |  |  | 「世」的異體字。 |</v>
      </c>
    </row>
    <row r="1150" spans="1:44" hidden="1">
      <c r="A1150" s="1" t="s">
        <v>29925</v>
      </c>
      <c r="C1150" s="1">
        <v>1</v>
      </c>
      <c r="D1150" s="1" t="str">
        <f>"08743-2"</f>
        <v>08743-2</v>
      </c>
      <c r="E1150" s="1" t="s">
        <v>286</v>
      </c>
      <c r="F1150" s="1">
        <v>6</v>
      </c>
      <c r="G1150" s="1">
        <v>4</v>
      </c>
      <c r="H1150" s="1">
        <v>0</v>
      </c>
      <c r="K1150" s="1" t="str">
        <f t="shared" si="68"/>
        <v/>
      </c>
      <c r="L1150" s="1" t="str">
        <f t="shared" si="69"/>
        <v/>
      </c>
      <c r="M1150" s="1" t="str">
        <f t="shared" si="70"/>
        <v/>
      </c>
      <c r="P1150" s="1" t="s">
        <v>20</v>
      </c>
      <c r="V1150" s="1" t="s">
        <v>29924</v>
      </c>
      <c r="X1150" s="1" t="s">
        <v>27842</v>
      </c>
      <c r="AR1150" s="1" t="str">
        <f t="shared" si="71"/>
        <v>| [](.md) | [卋](卋.md) |  |  | 「世」的異體字。 |</v>
      </c>
    </row>
    <row r="1151" spans="1:44" hidden="1">
      <c r="A1151" s="1" t="s">
        <v>29926</v>
      </c>
      <c r="C1151" s="1">
        <v>1</v>
      </c>
      <c r="D1151" s="1" t="str">
        <f>"08758-1"</f>
        <v>08758-1</v>
      </c>
      <c r="E1151" s="1" t="s">
        <v>646</v>
      </c>
      <c r="F1151" s="1">
        <v>9</v>
      </c>
      <c r="G1151" s="1">
        <v>5</v>
      </c>
      <c r="H1151" s="1">
        <v>0</v>
      </c>
      <c r="K1151" s="1" t="str">
        <f t="shared" si="68"/>
        <v/>
      </c>
      <c r="L1151" s="1" t="str">
        <f t="shared" si="69"/>
        <v/>
      </c>
      <c r="M1151" s="1" t="str">
        <f t="shared" si="70"/>
        <v/>
      </c>
      <c r="P1151" s="1" t="s">
        <v>20</v>
      </c>
      <c r="V1151" s="1" t="s">
        <v>29927</v>
      </c>
      <c r="X1151" s="1" t="s">
        <v>27842</v>
      </c>
      <c r="AR1151" s="1" t="str">
        <f t="shared" si="71"/>
        <v>| [](.md) | [昰](昰.md) |  |  | 「是」的異體字。 |</v>
      </c>
    </row>
    <row r="1152" spans="1:44" hidden="1">
      <c r="A1152" s="1" t="s">
        <v>29928</v>
      </c>
      <c r="C1152" s="1">
        <v>1</v>
      </c>
      <c r="D1152" s="1" t="str">
        <f>"08763-1"</f>
        <v>08763-1</v>
      </c>
      <c r="E1152" s="1" t="s">
        <v>245</v>
      </c>
      <c r="F1152" s="1">
        <v>8</v>
      </c>
      <c r="G1152" s="1">
        <v>6</v>
      </c>
      <c r="H1152" s="1">
        <v>0</v>
      </c>
      <c r="K1152" s="1" t="str">
        <f t="shared" si="68"/>
        <v/>
      </c>
      <c r="L1152" s="1" t="str">
        <f t="shared" si="69"/>
        <v/>
      </c>
      <c r="M1152" s="1" t="str">
        <f t="shared" si="70"/>
        <v/>
      </c>
      <c r="P1152" s="1" t="s">
        <v>20</v>
      </c>
      <c r="V1152" s="1" t="s">
        <v>29929</v>
      </c>
      <c r="X1152" s="1" t="s">
        <v>27842</v>
      </c>
      <c r="AR1152" s="1" t="str">
        <f t="shared" si="71"/>
        <v>| [](.md) | [势](势.md) |  |  | 「勢」的異體字。 |</v>
      </c>
    </row>
    <row r="1153" spans="1:44" hidden="1">
      <c r="A1153" s="1" t="s">
        <v>10236</v>
      </c>
      <c r="C1153" s="1">
        <v>1</v>
      </c>
      <c r="D1153" s="1" t="str">
        <f>"08774-1"</f>
        <v>08774-1</v>
      </c>
      <c r="E1153" s="1" t="s">
        <v>558</v>
      </c>
      <c r="F1153" s="1">
        <v>10</v>
      </c>
      <c r="G1153" s="1">
        <v>6</v>
      </c>
      <c r="H1153" s="1">
        <v>0</v>
      </c>
      <c r="K1153" s="1" t="str">
        <f t="shared" si="68"/>
        <v/>
      </c>
      <c r="L1153" s="1" t="str">
        <f t="shared" si="69"/>
        <v/>
      </c>
      <c r="M1153" s="1" t="str">
        <f t="shared" si="70"/>
        <v/>
      </c>
      <c r="P1153" s="1" t="s">
        <v>20</v>
      </c>
      <c r="V1153" s="1" t="s">
        <v>29930</v>
      </c>
      <c r="X1153" s="1" t="s">
        <v>27842</v>
      </c>
      <c r="AR1153" s="1" t="str">
        <f t="shared" si="71"/>
        <v>| [](.md) | [适](适.md) |  |  | 「適」的異體字。 |</v>
      </c>
    </row>
    <row r="1154" spans="1:44" hidden="1">
      <c r="A1154" s="1" t="s">
        <v>25086</v>
      </c>
      <c r="C1154" s="1">
        <v>1</v>
      </c>
      <c r="D1154" s="1" t="str">
        <f>"08778-1"</f>
        <v>08778-1</v>
      </c>
      <c r="E1154" s="1" t="s">
        <v>331</v>
      </c>
      <c r="F1154" s="1">
        <v>17</v>
      </c>
      <c r="G1154" s="1">
        <v>10</v>
      </c>
      <c r="H1154" s="1">
        <v>0</v>
      </c>
      <c r="K1154" s="1" t="str">
        <f t="shared" ref="K1154:K1217" si="72">LEFT(I1154, 1)</f>
        <v/>
      </c>
      <c r="L1154" s="1" t="str">
        <f t="shared" ref="L1154:L1217" si="73">MID(I1154, 2, 1)</f>
        <v/>
      </c>
      <c r="M1154" s="1" t="str">
        <f t="shared" ref="M1154:M1217" si="74">MID(I1154, 3, 1)</f>
        <v/>
      </c>
      <c r="P1154" s="1" t="s">
        <v>20</v>
      </c>
      <c r="V1154" s="1" t="s">
        <v>29931</v>
      </c>
      <c r="X1154" s="1" t="s">
        <v>27842</v>
      </c>
      <c r="AR1154" s="1" t="str">
        <f t="shared" si="71"/>
        <v>| [](.md) | [謚](謚.md) |  |  | 「諡」的異體字。 |</v>
      </c>
    </row>
    <row r="1155" spans="1:44" hidden="1">
      <c r="A1155" s="1" t="s">
        <v>29932</v>
      </c>
      <c r="C1155" s="1">
        <v>1</v>
      </c>
      <c r="D1155" s="1" t="str">
        <f>"08796-1"</f>
        <v>08796-1</v>
      </c>
      <c r="E1155" s="1" t="s">
        <v>139</v>
      </c>
      <c r="F1155" s="1">
        <v>7</v>
      </c>
      <c r="G1155" s="1">
        <v>3</v>
      </c>
      <c r="H1155" s="1">
        <v>0</v>
      </c>
      <c r="K1155" s="1" t="str">
        <f t="shared" si="72"/>
        <v/>
      </c>
      <c r="L1155" s="1" t="str">
        <f t="shared" si="73"/>
        <v/>
      </c>
      <c r="M1155" s="1" t="str">
        <f t="shared" si="74"/>
        <v/>
      </c>
      <c r="P1155" s="1" t="s">
        <v>20</v>
      </c>
      <c r="V1155" s="1" t="s">
        <v>29933</v>
      </c>
      <c r="X1155" s="1" t="s">
        <v>27842</v>
      </c>
      <c r="AR1155" s="1" t="str">
        <f t="shared" ref="AR1155:AR1218" si="75">"| ["&amp;I1155&amp;"]("&amp;I1155&amp;".md) | ["&amp;A1155&amp;"]("&amp;A1155&amp;".md) | "&amp;" | "&amp;R1155&amp;" | "&amp;V1155&amp;" |"</f>
        <v>| [](.md) | [𣏂](𣏂.md) |  |  | 「殺」的異體字。 |</v>
      </c>
    </row>
    <row r="1156" spans="1:44" hidden="1">
      <c r="A1156" s="1" t="s">
        <v>29934</v>
      </c>
      <c r="C1156" s="1">
        <v>1</v>
      </c>
      <c r="D1156" s="1" t="str">
        <f>"08802-1"</f>
        <v>08802-1</v>
      </c>
      <c r="E1156" s="1" t="s">
        <v>114</v>
      </c>
      <c r="F1156" s="1">
        <v>15</v>
      </c>
      <c r="G1156" s="1">
        <v>13</v>
      </c>
      <c r="H1156" s="1">
        <v>0</v>
      </c>
      <c r="K1156" s="1" t="str">
        <f t="shared" si="72"/>
        <v/>
      </c>
      <c r="L1156" s="1" t="str">
        <f t="shared" si="73"/>
        <v/>
      </c>
      <c r="M1156" s="1" t="str">
        <f t="shared" si="74"/>
        <v/>
      </c>
      <c r="P1156" s="1" t="s">
        <v>20</v>
      </c>
      <c r="V1156" s="1" t="s">
        <v>29935</v>
      </c>
      <c r="X1156" s="1" t="s">
        <v>27842</v>
      </c>
      <c r="AR1156" s="1" t="str">
        <f t="shared" si="75"/>
        <v>| [](.md) | [儍](儍.md) |  |  | 「傻」的異體字。 |</v>
      </c>
    </row>
    <row r="1157" spans="1:44" hidden="1">
      <c r="A1157" s="1" t="s">
        <v>29936</v>
      </c>
      <c r="C1157" s="1">
        <v>1</v>
      </c>
      <c r="D1157" s="1" t="str">
        <f>"08816-1"</f>
        <v>08816-1</v>
      </c>
      <c r="E1157" s="1" t="s">
        <v>24</v>
      </c>
      <c r="F1157" s="1">
        <v>10</v>
      </c>
      <c r="G1157" s="1">
        <v>7</v>
      </c>
      <c r="H1157" s="1">
        <v>0</v>
      </c>
      <c r="K1157" s="1" t="str">
        <f t="shared" si="72"/>
        <v/>
      </c>
      <c r="L1157" s="1" t="str">
        <f t="shared" si="73"/>
        <v/>
      </c>
      <c r="M1157" s="1" t="str">
        <f t="shared" si="74"/>
        <v/>
      </c>
      <c r="P1157" s="1" t="s">
        <v>20</v>
      </c>
      <c r="V1157" s="1" t="s">
        <v>29937</v>
      </c>
      <c r="X1157" s="1" t="s">
        <v>27842</v>
      </c>
      <c r="AR1157" s="1" t="str">
        <f t="shared" si="75"/>
        <v>| [](.md) | [挱](挱.md) |  |  | 「挲」的異體字。 |</v>
      </c>
    </row>
    <row r="1158" spans="1:44" hidden="1">
      <c r="A1158" s="1" t="s">
        <v>29938</v>
      </c>
      <c r="C1158" s="1">
        <v>1</v>
      </c>
      <c r="D1158" s="1" t="str">
        <f>"08822-1"</f>
        <v>08822-1</v>
      </c>
      <c r="E1158" s="1" t="s">
        <v>6303</v>
      </c>
      <c r="F1158" s="1">
        <v>6</v>
      </c>
      <c r="G1158" s="1">
        <v>0</v>
      </c>
      <c r="H1158" s="1">
        <v>0</v>
      </c>
      <c r="K1158" s="1" t="str">
        <f t="shared" si="72"/>
        <v/>
      </c>
      <c r="L1158" s="1" t="str">
        <f t="shared" si="73"/>
        <v/>
      </c>
      <c r="M1158" s="1" t="str">
        <f t="shared" si="74"/>
        <v/>
      </c>
      <c r="P1158" s="1" t="s">
        <v>20</v>
      </c>
      <c r="V1158" s="1" t="s">
        <v>29939</v>
      </c>
      <c r="X1158" s="1" t="s">
        <v>27842</v>
      </c>
      <c r="AR1158" s="1" t="str">
        <f t="shared" si="75"/>
        <v>| [](.md) | [󴺣](󴺣.md) |  |  | 「舌」的異體字。 |</v>
      </c>
    </row>
    <row r="1159" spans="1:44" hidden="1">
      <c r="A1159" s="1" t="s">
        <v>29940</v>
      </c>
      <c r="C1159" s="1">
        <v>1</v>
      </c>
      <c r="D1159" s="1" t="str">
        <f>"08826-1"</f>
        <v>08826-1</v>
      </c>
      <c r="E1159" s="1" t="s">
        <v>679</v>
      </c>
      <c r="F1159" s="1">
        <v>9</v>
      </c>
      <c r="G1159" s="1">
        <v>3</v>
      </c>
      <c r="H1159" s="1">
        <v>0</v>
      </c>
      <c r="K1159" s="1" t="str">
        <f t="shared" si="72"/>
        <v/>
      </c>
      <c r="L1159" s="1" t="str">
        <f t="shared" si="73"/>
        <v/>
      </c>
      <c r="M1159" s="1" t="str">
        <f t="shared" si="74"/>
        <v/>
      </c>
      <c r="P1159" s="1" t="s">
        <v>20</v>
      </c>
      <c r="V1159" s="1" t="s">
        <v>29941</v>
      </c>
      <c r="X1159" s="1" t="s">
        <v>27842</v>
      </c>
      <c r="AR1159" s="1" t="str">
        <f t="shared" si="75"/>
        <v>| [](.md) | [虵](虵.md) |  |  | 「蛇」的異體字。 |</v>
      </c>
    </row>
    <row r="1160" spans="1:44" hidden="1">
      <c r="A1160" s="1" t="s">
        <v>29942</v>
      </c>
      <c r="C1160" s="1">
        <v>1</v>
      </c>
      <c r="D1160" s="1" t="str">
        <f>"08831-1"</f>
        <v>08831-1</v>
      </c>
      <c r="E1160" s="1" t="s">
        <v>185</v>
      </c>
      <c r="F1160" s="1">
        <v>6</v>
      </c>
      <c r="G1160" s="1">
        <v>4</v>
      </c>
      <c r="H1160" s="1">
        <v>0</v>
      </c>
      <c r="K1160" s="1" t="str">
        <f t="shared" si="72"/>
        <v/>
      </c>
      <c r="L1160" s="1" t="str">
        <f t="shared" si="73"/>
        <v/>
      </c>
      <c r="M1160" s="1" t="str">
        <f t="shared" si="74"/>
        <v/>
      </c>
      <c r="P1160" s="1" t="s">
        <v>20</v>
      </c>
      <c r="V1160" s="1" t="s">
        <v>29943</v>
      </c>
      <c r="X1160" s="1" t="s">
        <v>27842</v>
      </c>
      <c r="AR1160" s="1" t="str">
        <f t="shared" si="75"/>
        <v>| [](.md) | [󽽕](󽽕.md) |  |  | 「色」的異體字。 |</v>
      </c>
    </row>
    <row r="1161" spans="1:44" hidden="1">
      <c r="A1161" s="1" t="s">
        <v>29944</v>
      </c>
      <c r="C1161" s="1">
        <v>1</v>
      </c>
      <c r="D1161" s="1" t="str">
        <f>"08854-1"</f>
        <v>08854-1</v>
      </c>
      <c r="E1161" s="1" t="s">
        <v>646</v>
      </c>
      <c r="F1161" s="1">
        <v>23</v>
      </c>
      <c r="G1161" s="1">
        <v>19</v>
      </c>
      <c r="H1161" s="1">
        <v>0</v>
      </c>
      <c r="K1161" s="1" t="str">
        <f t="shared" si="72"/>
        <v/>
      </c>
      <c r="L1161" s="1" t="str">
        <f t="shared" si="73"/>
        <v/>
      </c>
      <c r="M1161" s="1" t="str">
        <f t="shared" si="74"/>
        <v/>
      </c>
      <c r="P1161" s="1" t="s">
        <v>20</v>
      </c>
      <c r="V1161" s="1" t="s">
        <v>29945</v>
      </c>
      <c r="X1161" s="1" t="s">
        <v>27842</v>
      </c>
      <c r="AR1161" s="1" t="str">
        <f t="shared" si="75"/>
        <v>| [](.md) | [曬](曬.md) |  |  | 「晒」的異體字。 |</v>
      </c>
    </row>
    <row r="1162" spans="1:44" hidden="1">
      <c r="A1162" s="1" t="s">
        <v>29946</v>
      </c>
      <c r="C1162" s="1">
        <v>1</v>
      </c>
      <c r="D1162" s="1" t="str">
        <f>"08872-1"</f>
        <v>08872-1</v>
      </c>
      <c r="E1162" s="1" t="s">
        <v>570</v>
      </c>
      <c r="F1162" s="1">
        <v>3</v>
      </c>
      <c r="G1162" s="1">
        <v>1</v>
      </c>
      <c r="H1162" s="1">
        <v>0</v>
      </c>
      <c r="K1162" s="1" t="str">
        <f t="shared" si="72"/>
        <v/>
      </c>
      <c r="L1162" s="1" t="str">
        <f t="shared" si="73"/>
        <v/>
      </c>
      <c r="M1162" s="1" t="str">
        <f t="shared" si="74"/>
        <v/>
      </c>
      <c r="P1162" s="1" t="s">
        <v>20</v>
      </c>
      <c r="V1162" s="1" t="s">
        <v>29947</v>
      </c>
      <c r="X1162" s="1" t="s">
        <v>27842</v>
      </c>
      <c r="AR1162" s="1" t="str">
        <f t="shared" si="75"/>
        <v>| [](.md) | [󹾬](󹾬.md) |  |  | 「勺」的異體字。 |</v>
      </c>
    </row>
    <row r="1163" spans="1:44" hidden="1">
      <c r="A1163" s="1" t="s">
        <v>29948</v>
      </c>
      <c r="C1163" s="1">
        <v>1</v>
      </c>
      <c r="D1163" s="1" t="str">
        <f>"08889-1"</f>
        <v>08889-1</v>
      </c>
      <c r="E1163" s="1" t="s">
        <v>1880</v>
      </c>
      <c r="F1163" s="1">
        <v>4</v>
      </c>
      <c r="G1163" s="1">
        <v>2</v>
      </c>
      <c r="H1163" s="1">
        <v>0</v>
      </c>
      <c r="K1163" s="1" t="str">
        <f t="shared" si="72"/>
        <v/>
      </c>
      <c r="L1163" s="1" t="str">
        <f t="shared" si="73"/>
        <v/>
      </c>
      <c r="M1163" s="1" t="str">
        <f t="shared" si="74"/>
        <v/>
      </c>
      <c r="P1163" s="1" t="s">
        <v>20</v>
      </c>
      <c r="V1163" s="1" t="s">
        <v>29949</v>
      </c>
      <c r="X1163" s="1" t="s">
        <v>27842</v>
      </c>
      <c r="AR1163" s="1" t="str">
        <f t="shared" si="75"/>
        <v>| [](.md) | [収](収.md) |  |  | 「收」的異體字。 |</v>
      </c>
    </row>
    <row r="1164" spans="1:44" hidden="1">
      <c r="A1164" s="1" t="s">
        <v>29950</v>
      </c>
      <c r="C1164" s="1">
        <v>1</v>
      </c>
      <c r="D1164" s="1" t="str">
        <f>"08902-1"</f>
        <v>08902-1</v>
      </c>
      <c r="E1164" s="1" t="s">
        <v>1595</v>
      </c>
      <c r="F1164" s="1">
        <v>7</v>
      </c>
      <c r="G1164" s="1">
        <v>4</v>
      </c>
      <c r="H1164" s="1">
        <v>0</v>
      </c>
      <c r="K1164" s="1" t="str">
        <f t="shared" si="72"/>
        <v/>
      </c>
      <c r="L1164" s="1" t="str">
        <f t="shared" si="73"/>
        <v/>
      </c>
      <c r="M1164" s="1" t="str">
        <f t="shared" si="74"/>
        <v/>
      </c>
      <c r="P1164" s="1" t="s">
        <v>20</v>
      </c>
      <c r="V1164" s="1" t="s">
        <v>29951</v>
      </c>
      <c r="X1164" s="1" t="s">
        <v>27842</v>
      </c>
      <c r="AR1164" s="1" t="str">
        <f t="shared" si="75"/>
        <v>| [](.md) | [寿](寿.md) |  |  | 「壽」的異體字。 |</v>
      </c>
    </row>
    <row r="1165" spans="1:44" hidden="1">
      <c r="A1165" s="1" t="s">
        <v>19688</v>
      </c>
      <c r="C1165" s="1">
        <v>1</v>
      </c>
      <c r="D1165" s="1" t="str">
        <f>"08902-2"</f>
        <v>08902-2</v>
      </c>
      <c r="E1165" s="1" t="s">
        <v>28</v>
      </c>
      <c r="F1165" s="1">
        <v>12</v>
      </c>
      <c r="G1165" s="1">
        <v>9</v>
      </c>
      <c r="H1165" s="1">
        <v>0</v>
      </c>
      <c r="K1165" s="1" t="str">
        <f t="shared" si="72"/>
        <v/>
      </c>
      <c r="L1165" s="1" t="str">
        <f t="shared" si="73"/>
        <v/>
      </c>
      <c r="M1165" s="1" t="str">
        <f t="shared" si="74"/>
        <v/>
      </c>
      <c r="P1165" s="1" t="s">
        <v>20</v>
      </c>
      <c r="V1165" s="1" t="s">
        <v>29951</v>
      </c>
      <c r="X1165" s="1" t="s">
        <v>27842</v>
      </c>
      <c r="AR1165" s="1" t="str">
        <f t="shared" si="75"/>
        <v>| [](.md) | [𠷎](𠷎.md) |  |  | 「壽」的異體字。 |</v>
      </c>
    </row>
    <row r="1166" spans="1:44" hidden="1">
      <c r="A1166" s="1" t="s">
        <v>29952</v>
      </c>
      <c r="C1166" s="1">
        <v>1</v>
      </c>
      <c r="D1166" s="1" t="str">
        <f>"08902-3"</f>
        <v>08902-3</v>
      </c>
      <c r="E1166" s="1" t="s">
        <v>11385</v>
      </c>
      <c r="F1166" s="1">
        <v>15</v>
      </c>
      <c r="G1166" s="1">
        <v>12</v>
      </c>
      <c r="H1166" s="1">
        <v>0</v>
      </c>
      <c r="K1166" s="1" t="str">
        <f t="shared" si="72"/>
        <v/>
      </c>
      <c r="L1166" s="1" t="str">
        <f t="shared" si="73"/>
        <v/>
      </c>
      <c r="M1166" s="1" t="str">
        <f t="shared" si="74"/>
        <v/>
      </c>
      <c r="P1166" s="1" t="s">
        <v>20</v>
      </c>
      <c r="V1166" s="1" t="s">
        <v>29951</v>
      </c>
      <c r="X1166" s="1" t="s">
        <v>27842</v>
      </c>
      <c r="AR1166" s="1" t="str">
        <f t="shared" si="75"/>
        <v>| [](.md) | [𡔽](𡔽.md) |  |  | 「壽」的異體字。 |</v>
      </c>
    </row>
    <row r="1167" spans="1:44" hidden="1">
      <c r="A1167" s="1" t="s">
        <v>29953</v>
      </c>
      <c r="C1167" s="1">
        <v>1</v>
      </c>
      <c r="D1167" s="1" t="str">
        <f>"08912-1"</f>
        <v>08912-1</v>
      </c>
      <c r="E1167" s="1" t="s">
        <v>185</v>
      </c>
      <c r="F1167" s="1">
        <v>7</v>
      </c>
      <c r="G1167" s="1">
        <v>5</v>
      </c>
      <c r="H1167" s="1">
        <v>0</v>
      </c>
      <c r="K1167" s="1" t="str">
        <f t="shared" si="72"/>
        <v/>
      </c>
      <c r="L1167" s="1" t="str">
        <f t="shared" si="73"/>
        <v/>
      </c>
      <c r="M1167" s="1" t="str">
        <f t="shared" si="74"/>
        <v/>
      </c>
      <c r="P1167" s="1" t="s">
        <v>20</v>
      </c>
      <c r="V1167" s="1" t="s">
        <v>29954</v>
      </c>
      <c r="X1167" s="1" t="s">
        <v>27842</v>
      </c>
      <c r="AR1167" s="1" t="str">
        <f t="shared" si="75"/>
        <v>| [](.md) | [删](删.md) |  |  | 「刪」的異體字。 |</v>
      </c>
    </row>
    <row r="1168" spans="1:44" hidden="1">
      <c r="A1168" s="1" t="s">
        <v>29955</v>
      </c>
      <c r="C1168" s="1">
        <v>1</v>
      </c>
      <c r="D1168" s="1" t="str">
        <f>"08928-1"</f>
        <v>08928-1</v>
      </c>
      <c r="E1168" s="1" t="s">
        <v>43</v>
      </c>
      <c r="F1168" s="1">
        <v>18</v>
      </c>
      <c r="G1168" s="1">
        <v>12</v>
      </c>
      <c r="H1168" s="1">
        <v>0</v>
      </c>
      <c r="K1168" s="1" t="str">
        <f t="shared" si="72"/>
        <v/>
      </c>
      <c r="L1168" s="1" t="str">
        <f t="shared" si="73"/>
        <v/>
      </c>
      <c r="M1168" s="1" t="str">
        <f t="shared" si="74"/>
        <v/>
      </c>
      <c r="P1168" s="1" t="s">
        <v>20</v>
      </c>
      <c r="V1168" s="1" t="s">
        <v>29956</v>
      </c>
      <c r="X1168" s="1" t="s">
        <v>27842</v>
      </c>
      <c r="AR1168" s="1" t="str">
        <f t="shared" si="75"/>
        <v>| [](.md) | [羴](羴.md) |  |  | 「羶」的異體字。 |</v>
      </c>
    </row>
    <row r="1169" spans="1:44" hidden="1">
      <c r="A1169" s="1" t="s">
        <v>29957</v>
      </c>
      <c r="C1169" s="1">
        <v>1</v>
      </c>
      <c r="D1169" s="1" t="str">
        <f>"08943-1"</f>
        <v>08943-1</v>
      </c>
      <c r="E1169" s="1" t="s">
        <v>43</v>
      </c>
      <c r="F1169" s="1">
        <v>12</v>
      </c>
      <c r="G1169" s="1">
        <v>6</v>
      </c>
      <c r="H1169" s="1">
        <v>0</v>
      </c>
      <c r="K1169" s="1" t="str">
        <f t="shared" si="72"/>
        <v/>
      </c>
      <c r="L1169" s="1" t="str">
        <f t="shared" si="73"/>
        <v/>
      </c>
      <c r="M1169" s="1" t="str">
        <f t="shared" si="74"/>
        <v/>
      </c>
      <c r="P1169" s="1" t="s">
        <v>20</v>
      </c>
      <c r="V1169" s="1" t="s">
        <v>29958</v>
      </c>
      <c r="X1169" s="1" t="s">
        <v>27842</v>
      </c>
      <c r="AR1169" s="1" t="str">
        <f t="shared" si="75"/>
        <v>| [](.md) | [善](善.md) |  |  | 「善」的異體字。 |</v>
      </c>
    </row>
    <row r="1170" spans="1:44" hidden="1">
      <c r="A1170" s="1" t="s">
        <v>29959</v>
      </c>
      <c r="C1170" s="1">
        <v>1</v>
      </c>
      <c r="D1170" s="1" t="str">
        <f>"08943-2"</f>
        <v>08943-2</v>
      </c>
      <c r="E1170" s="1" t="s">
        <v>43</v>
      </c>
      <c r="F1170" s="1">
        <v>12</v>
      </c>
      <c r="G1170" s="1">
        <v>6</v>
      </c>
      <c r="H1170" s="1">
        <v>0</v>
      </c>
      <c r="K1170" s="1" t="str">
        <f t="shared" si="72"/>
        <v/>
      </c>
      <c r="L1170" s="1" t="str">
        <f t="shared" si="73"/>
        <v/>
      </c>
      <c r="M1170" s="1" t="str">
        <f t="shared" si="74"/>
        <v/>
      </c>
      <c r="P1170" s="1" t="s">
        <v>20</v>
      </c>
      <c r="V1170" s="1" t="s">
        <v>29958</v>
      </c>
      <c r="X1170" s="1" t="s">
        <v>27842</v>
      </c>
      <c r="AR1170" s="1" t="str">
        <f t="shared" si="75"/>
        <v>| [](.md) | [善](善.md) |  |  | 「善」的異體字。 |</v>
      </c>
    </row>
    <row r="1171" spans="1:44" hidden="1">
      <c r="A1171" s="1" t="s">
        <v>29960</v>
      </c>
      <c r="C1171" s="1">
        <v>1</v>
      </c>
      <c r="D1171" s="1" t="str">
        <f>"08946-1"</f>
        <v>08946-1</v>
      </c>
      <c r="E1171" s="1" t="s">
        <v>193</v>
      </c>
      <c r="F1171" s="1">
        <v>20</v>
      </c>
      <c r="G1171" s="1">
        <v>12</v>
      </c>
      <c r="H1171" s="1">
        <v>0</v>
      </c>
      <c r="K1171" s="1" t="str">
        <f t="shared" si="72"/>
        <v/>
      </c>
      <c r="L1171" s="1" t="str">
        <f t="shared" si="73"/>
        <v/>
      </c>
      <c r="M1171" s="1" t="str">
        <f t="shared" si="74"/>
        <v/>
      </c>
      <c r="P1171" s="1" t="s">
        <v>20</v>
      </c>
      <c r="V1171" s="1" t="s">
        <v>29961</v>
      </c>
      <c r="X1171" s="1" t="s">
        <v>27842</v>
      </c>
      <c r="AR1171" s="1" t="str">
        <f t="shared" si="75"/>
        <v>| [](.md) | [饍](饍.md) |  |  | 「膳」的異體字。 |</v>
      </c>
    </row>
    <row r="1172" spans="1:44" hidden="1">
      <c r="A1172" s="1" t="s">
        <v>29962</v>
      </c>
      <c r="C1172" s="1">
        <v>1</v>
      </c>
      <c r="D1172" s="1" t="str">
        <f>"08948-1"</f>
        <v>08948-1</v>
      </c>
      <c r="E1172" s="1" t="s">
        <v>156</v>
      </c>
      <c r="F1172" s="1">
        <v>23</v>
      </c>
      <c r="G1172" s="1">
        <v>12</v>
      </c>
      <c r="H1172" s="1">
        <v>0</v>
      </c>
      <c r="K1172" s="1" t="str">
        <f t="shared" si="72"/>
        <v/>
      </c>
      <c r="L1172" s="1" t="str">
        <f t="shared" si="73"/>
        <v/>
      </c>
      <c r="M1172" s="1" t="str">
        <f t="shared" si="74"/>
        <v/>
      </c>
      <c r="P1172" s="1" t="s">
        <v>20</v>
      </c>
      <c r="V1172" s="1" t="s">
        <v>29963</v>
      </c>
      <c r="X1172" s="1" t="s">
        <v>27842</v>
      </c>
      <c r="AR1172" s="1" t="str">
        <f t="shared" si="75"/>
        <v>| [](.md) | [鱓](鱓.md) |  |  | 「鱔」的異體字。 |</v>
      </c>
    </row>
    <row r="1173" spans="1:44" hidden="1">
      <c r="A1173" s="1" t="s">
        <v>29964</v>
      </c>
      <c r="C1173" s="1">
        <v>1</v>
      </c>
      <c r="D1173" s="1" t="str">
        <f>"08958-1"</f>
        <v>08958-1</v>
      </c>
      <c r="E1173" s="1" t="s">
        <v>679</v>
      </c>
      <c r="F1173" s="1">
        <v>18</v>
      </c>
      <c r="G1173" s="1">
        <v>12</v>
      </c>
      <c r="H1173" s="1">
        <v>0</v>
      </c>
      <c r="K1173" s="1" t="str">
        <f t="shared" si="72"/>
        <v/>
      </c>
      <c r="L1173" s="1" t="str">
        <f t="shared" si="73"/>
        <v/>
      </c>
      <c r="M1173" s="1" t="str">
        <f t="shared" si="74"/>
        <v/>
      </c>
      <c r="P1173" s="1" t="s">
        <v>20</v>
      </c>
      <c r="V1173" s="1" t="s">
        <v>29965</v>
      </c>
      <c r="X1173" s="1" t="s">
        <v>27842</v>
      </c>
      <c r="AR1173" s="1" t="str">
        <f t="shared" si="75"/>
        <v>| [](.md) | [蟮](蟮.md) |  |  | 「蟺」的異體字。 |</v>
      </c>
    </row>
    <row r="1174" spans="1:44" hidden="1">
      <c r="A1174" s="1" t="s">
        <v>29966</v>
      </c>
      <c r="C1174" s="1">
        <v>1</v>
      </c>
      <c r="D1174" s="1" t="str">
        <f>"09005-1"</f>
        <v>09005-1</v>
      </c>
      <c r="E1174" s="1" t="s">
        <v>646</v>
      </c>
      <c r="F1174" s="1">
        <v>9</v>
      </c>
      <c r="G1174" s="1">
        <v>5</v>
      </c>
      <c r="H1174" s="1">
        <v>0</v>
      </c>
      <c r="K1174" s="1" t="str">
        <f t="shared" si="72"/>
        <v/>
      </c>
      <c r="L1174" s="1" t="str">
        <f t="shared" si="73"/>
        <v/>
      </c>
      <c r="M1174" s="1" t="str">
        <f t="shared" si="74"/>
        <v/>
      </c>
      <c r="P1174" s="1" t="s">
        <v>20</v>
      </c>
      <c r="V1174" s="1" t="s">
        <v>29967</v>
      </c>
      <c r="X1174" s="1" t="s">
        <v>27842</v>
      </c>
      <c r="AR1174" s="1" t="str">
        <f t="shared" si="75"/>
        <v>| [](.md) | [昚](昚.md) |  |  | 「慎」的異體字。 |</v>
      </c>
    </row>
    <row r="1175" spans="1:44" hidden="1">
      <c r="A1175" s="1" t="s">
        <v>29968</v>
      </c>
      <c r="C1175" s="1">
        <v>1</v>
      </c>
      <c r="D1175" s="1" t="str">
        <f>"09005-2"</f>
        <v>09005-2</v>
      </c>
      <c r="E1175" s="1" t="s">
        <v>250</v>
      </c>
      <c r="F1175" s="1">
        <v>13</v>
      </c>
      <c r="G1175" s="1">
        <v>10</v>
      </c>
      <c r="H1175" s="1">
        <v>0</v>
      </c>
      <c r="K1175" s="1" t="str">
        <f t="shared" si="72"/>
        <v/>
      </c>
      <c r="L1175" s="1" t="str">
        <f t="shared" si="73"/>
        <v/>
      </c>
      <c r="M1175" s="1" t="str">
        <f t="shared" si="74"/>
        <v/>
      </c>
      <c r="P1175" s="1" t="s">
        <v>20</v>
      </c>
      <c r="V1175" s="1" t="s">
        <v>29967</v>
      </c>
      <c r="X1175" s="1" t="s">
        <v>27842</v>
      </c>
      <c r="AR1175" s="1" t="str">
        <f t="shared" si="75"/>
        <v>| [](.md) | [愼](愼.md) |  |  | 「慎」的異體字。 |</v>
      </c>
    </row>
    <row r="1176" spans="1:44" hidden="1">
      <c r="A1176" s="1" t="s">
        <v>29969</v>
      </c>
      <c r="C1176" s="1">
        <v>1</v>
      </c>
      <c r="D1176" s="1" t="str">
        <f>"09010-1"</f>
        <v>09010-1</v>
      </c>
      <c r="E1176" s="1" t="s">
        <v>114</v>
      </c>
      <c r="F1176" s="1">
        <v>6</v>
      </c>
      <c r="G1176" s="1">
        <v>4</v>
      </c>
      <c r="H1176" s="1">
        <v>0</v>
      </c>
      <c r="K1176" s="1" t="str">
        <f t="shared" si="72"/>
        <v/>
      </c>
      <c r="L1176" s="1" t="str">
        <f t="shared" si="73"/>
        <v/>
      </c>
      <c r="M1176" s="1" t="str">
        <f t="shared" si="74"/>
        <v/>
      </c>
      <c r="P1176" s="1" t="s">
        <v>20</v>
      </c>
      <c r="V1176" s="1" t="s">
        <v>29970</v>
      </c>
      <c r="X1176" s="1" t="s">
        <v>27842</v>
      </c>
      <c r="AR1176" s="1" t="str">
        <f t="shared" si="75"/>
        <v>| [](.md) | [伤](伤.md) |  |  | 「傷」的異體字。 |</v>
      </c>
    </row>
    <row r="1177" spans="1:44" hidden="1">
      <c r="A1177" s="1" t="s">
        <v>29971</v>
      </c>
      <c r="C1177" s="1">
        <v>1</v>
      </c>
      <c r="D1177" s="1" t="str">
        <f>"09031-1"</f>
        <v>09031-1</v>
      </c>
      <c r="E1177" s="1" t="s">
        <v>11385</v>
      </c>
      <c r="F1177" s="1">
        <v>7</v>
      </c>
      <c r="G1177" s="1">
        <v>4</v>
      </c>
      <c r="H1177" s="1">
        <v>0</v>
      </c>
      <c r="K1177" s="1" t="str">
        <f t="shared" si="72"/>
        <v/>
      </c>
      <c r="L1177" s="1" t="str">
        <f t="shared" si="73"/>
        <v/>
      </c>
      <c r="M1177" s="1" t="str">
        <f t="shared" si="74"/>
        <v/>
      </c>
      <c r="P1177" s="1" t="s">
        <v>20</v>
      </c>
      <c r="V1177" s="1" t="s">
        <v>29972</v>
      </c>
      <c r="X1177" s="1" t="s">
        <v>27842</v>
      </c>
      <c r="AR1177" s="1" t="str">
        <f t="shared" si="75"/>
        <v>| [](.md) | [声](声.md) |  |  | 「聲」的異體字。 |</v>
      </c>
    </row>
    <row r="1178" spans="1:44" hidden="1">
      <c r="A1178" s="1" t="s">
        <v>29973</v>
      </c>
      <c r="C1178" s="1">
        <v>1</v>
      </c>
      <c r="D1178" s="1" t="str">
        <f>"09033-1"</f>
        <v>09033-1</v>
      </c>
      <c r="E1178" s="1" t="s">
        <v>725</v>
      </c>
      <c r="F1178" s="1">
        <v>14</v>
      </c>
      <c r="G1178" s="1">
        <v>8</v>
      </c>
      <c r="H1178" s="1">
        <v>0</v>
      </c>
      <c r="K1178" s="1" t="str">
        <f t="shared" si="72"/>
        <v/>
      </c>
      <c r="L1178" s="1" t="str">
        <f t="shared" si="73"/>
        <v/>
      </c>
      <c r="M1178" s="1" t="str">
        <f t="shared" si="74"/>
        <v/>
      </c>
      <c r="P1178" s="1" t="s">
        <v>20</v>
      </c>
      <c r="V1178" s="1" t="s">
        <v>29974</v>
      </c>
      <c r="X1178" s="1" t="s">
        <v>27842</v>
      </c>
      <c r="AR1178" s="1" t="str">
        <f t="shared" si="75"/>
        <v>| [](.md) | [䋲](䋲.md) |  |  | 「繩」的異體字。 |</v>
      </c>
    </row>
    <row r="1179" spans="1:44" hidden="1">
      <c r="A1179" s="1" t="s">
        <v>29975</v>
      </c>
      <c r="C1179" s="1">
        <v>1</v>
      </c>
      <c r="D1179" s="1" t="str">
        <f>"09057-1"</f>
        <v>09057-1</v>
      </c>
      <c r="E1179" s="1" t="s">
        <v>2173</v>
      </c>
      <c r="F1179" s="1">
        <v>12</v>
      </c>
      <c r="G1179" s="1">
        <v>7</v>
      </c>
      <c r="H1179" s="1">
        <v>0</v>
      </c>
      <c r="K1179" s="1" t="str">
        <f t="shared" si="72"/>
        <v/>
      </c>
      <c r="L1179" s="1" t="str">
        <f t="shared" si="73"/>
        <v/>
      </c>
      <c r="M1179" s="1" t="str">
        <f t="shared" si="74"/>
        <v/>
      </c>
      <c r="P1179" s="1" t="s">
        <v>20</v>
      </c>
      <c r="V1179" s="1" t="s">
        <v>29976</v>
      </c>
      <c r="X1179" s="1" t="s">
        <v>27842</v>
      </c>
      <c r="AR1179" s="1" t="str">
        <f t="shared" si="75"/>
        <v>| [](.md) | [疎](疎.md) |  |  | 「疏」的異體字。 |</v>
      </c>
    </row>
    <row r="1180" spans="1:44" hidden="1">
      <c r="A1180" s="1" t="s">
        <v>29977</v>
      </c>
      <c r="C1180" s="1">
        <v>1</v>
      </c>
      <c r="D1180" s="1" t="str">
        <f>"09057-2"</f>
        <v>09057-2</v>
      </c>
      <c r="E1180" s="1" t="s">
        <v>77</v>
      </c>
      <c r="F1180" s="1">
        <v>14</v>
      </c>
      <c r="G1180" s="1">
        <v>7</v>
      </c>
      <c r="H1180" s="1">
        <v>0</v>
      </c>
      <c r="K1180" s="1" t="str">
        <f t="shared" si="72"/>
        <v/>
      </c>
      <c r="L1180" s="1" t="str">
        <f t="shared" si="73"/>
        <v/>
      </c>
      <c r="M1180" s="1" t="str">
        <f t="shared" si="74"/>
        <v/>
      </c>
      <c r="P1180" s="1" t="s">
        <v>20</v>
      </c>
      <c r="V1180" s="1" t="s">
        <v>29976</v>
      </c>
      <c r="X1180" s="1" t="s">
        <v>27842</v>
      </c>
      <c r="AR1180" s="1" t="str">
        <f t="shared" si="75"/>
        <v>| [](.md) | [踈](踈.md) |  |  | 「疏」的異體字。 |</v>
      </c>
    </row>
    <row r="1181" spans="1:44" hidden="1">
      <c r="A1181" s="1" t="s">
        <v>29978</v>
      </c>
      <c r="C1181" s="1">
        <v>1</v>
      </c>
      <c r="D1181" s="1" t="str">
        <f>"09086-1"</f>
        <v>09086-1</v>
      </c>
      <c r="E1181" s="1" t="s">
        <v>426</v>
      </c>
      <c r="F1181" s="1">
        <v>13</v>
      </c>
      <c r="G1181" s="1">
        <v>9</v>
      </c>
      <c r="H1181" s="1">
        <v>0</v>
      </c>
      <c r="K1181" s="1" t="str">
        <f t="shared" si="72"/>
        <v/>
      </c>
      <c r="L1181" s="1" t="str">
        <f t="shared" si="73"/>
        <v/>
      </c>
      <c r="M1181" s="1" t="str">
        <f t="shared" si="74"/>
        <v/>
      </c>
      <c r="P1181" s="1" t="s">
        <v>20</v>
      </c>
      <c r="V1181" s="1" t="s">
        <v>29979</v>
      </c>
      <c r="X1181" s="1" t="s">
        <v>27842</v>
      </c>
      <c r="AR1181" s="1" t="str">
        <f t="shared" si="75"/>
        <v>| [](.md) | [数](数.md) |  |  | 「數」的異體字。 |</v>
      </c>
    </row>
    <row r="1182" spans="1:44" hidden="1">
      <c r="A1182" s="1" t="s">
        <v>29980</v>
      </c>
      <c r="C1182" s="1">
        <v>1</v>
      </c>
      <c r="D1182" s="1" t="str">
        <f>"09095-1"</f>
        <v>09095-1</v>
      </c>
      <c r="E1182" s="1" t="s">
        <v>447</v>
      </c>
      <c r="F1182" s="1">
        <v>11</v>
      </c>
      <c r="G1182" s="1">
        <v>8</v>
      </c>
      <c r="H1182" s="1">
        <v>0</v>
      </c>
      <c r="K1182" s="1" t="str">
        <f t="shared" si="72"/>
        <v/>
      </c>
      <c r="L1182" s="1" t="str">
        <f t="shared" si="73"/>
        <v/>
      </c>
      <c r="M1182" s="1" t="str">
        <f t="shared" si="74"/>
        <v/>
      </c>
      <c r="P1182" s="1" t="s">
        <v>20</v>
      </c>
      <c r="V1182" s="1" t="s">
        <v>29981</v>
      </c>
      <c r="X1182" s="1" t="s">
        <v>27842</v>
      </c>
      <c r="AR1182" s="1" t="str">
        <f t="shared" si="75"/>
        <v>| [](.md) | [庻](庻.md) |  |  | 「庶」的異體字。 |</v>
      </c>
    </row>
    <row r="1183" spans="1:44" hidden="1">
      <c r="A1183" s="1" t="s">
        <v>29982</v>
      </c>
      <c r="C1183" s="1">
        <v>1</v>
      </c>
      <c r="D1183" s="1" t="str">
        <f>"09096-1"</f>
        <v>09096-1</v>
      </c>
      <c r="E1183" s="1" t="s">
        <v>114</v>
      </c>
      <c r="F1183" s="1">
        <v>11</v>
      </c>
      <c r="G1183" s="1">
        <v>9</v>
      </c>
      <c r="H1183" s="1">
        <v>0</v>
      </c>
      <c r="K1183" s="1" t="str">
        <f t="shared" si="72"/>
        <v/>
      </c>
      <c r="L1183" s="1" t="str">
        <f t="shared" si="73"/>
        <v/>
      </c>
      <c r="M1183" s="1" t="str">
        <f t="shared" si="74"/>
        <v/>
      </c>
      <c r="P1183" s="1" t="s">
        <v>20</v>
      </c>
      <c r="V1183" s="1" t="s">
        <v>29983</v>
      </c>
      <c r="X1183" s="1" t="s">
        <v>27842</v>
      </c>
      <c r="AR1183" s="1" t="str">
        <f t="shared" si="75"/>
        <v>| [](.md) | [倐](倐.md) |  |  | 「倏」的異體字。 |</v>
      </c>
    </row>
    <row r="1184" spans="1:44" hidden="1">
      <c r="A1184" s="1" t="s">
        <v>29984</v>
      </c>
      <c r="C1184" s="1">
        <v>1</v>
      </c>
      <c r="D1184" s="1" t="str">
        <f>"09102-1"</f>
        <v>09102-1</v>
      </c>
      <c r="E1184" s="1" t="s">
        <v>139</v>
      </c>
      <c r="F1184" s="1">
        <v>14</v>
      </c>
      <c r="G1184" s="1">
        <v>10</v>
      </c>
      <c r="H1184" s="1">
        <v>0</v>
      </c>
      <c r="K1184" s="1" t="str">
        <f t="shared" si="72"/>
        <v/>
      </c>
      <c r="L1184" s="1" t="str">
        <f t="shared" si="73"/>
        <v/>
      </c>
      <c r="M1184" s="1" t="str">
        <f t="shared" si="74"/>
        <v/>
      </c>
      <c r="P1184" s="1" t="s">
        <v>20</v>
      </c>
      <c r="V1184" s="1" t="s">
        <v>29985</v>
      </c>
      <c r="X1184" s="1" t="s">
        <v>27842</v>
      </c>
      <c r="AR1184" s="1" t="str">
        <f t="shared" si="75"/>
        <v>| [](.md) | [𣗳](𣗳.md) |  |  | 「樹」的異體字。 |</v>
      </c>
    </row>
    <row r="1185" spans="1:44" hidden="1">
      <c r="A1185" s="1" t="s">
        <v>29986</v>
      </c>
      <c r="C1185" s="1">
        <v>1</v>
      </c>
      <c r="D1185" s="1" t="str">
        <f>"09104-1"</f>
        <v>09104-1</v>
      </c>
      <c r="E1185" s="1" t="s">
        <v>5784</v>
      </c>
      <c r="F1185" s="1">
        <v>13</v>
      </c>
      <c r="G1185" s="1">
        <v>8</v>
      </c>
      <c r="H1185" s="1">
        <v>0</v>
      </c>
      <c r="K1185" s="1" t="str">
        <f t="shared" si="72"/>
        <v/>
      </c>
      <c r="L1185" s="1" t="str">
        <f t="shared" si="73"/>
        <v/>
      </c>
      <c r="M1185" s="1" t="str">
        <f t="shared" si="74"/>
        <v/>
      </c>
      <c r="P1185" s="1" t="s">
        <v>20</v>
      </c>
      <c r="V1185" s="1" t="s">
        <v>29987</v>
      </c>
      <c r="X1185" s="1" t="s">
        <v>27842</v>
      </c>
      <c r="AR1185" s="1" t="str">
        <f t="shared" si="75"/>
        <v>| [](.md) | [竪](竪.md) |  |  | 「豎」的異體字。 |</v>
      </c>
    </row>
    <row r="1186" spans="1:44" hidden="1">
      <c r="A1186" s="1" t="s">
        <v>29988</v>
      </c>
      <c r="C1186" s="1">
        <v>1</v>
      </c>
      <c r="D1186" s="1" t="str">
        <f>"09122-1"</f>
        <v>09122-1</v>
      </c>
      <c r="E1186" s="1" t="s">
        <v>2930</v>
      </c>
      <c r="F1186" s="1">
        <v>12</v>
      </c>
      <c r="G1186" s="1">
        <v>7</v>
      </c>
      <c r="H1186" s="1">
        <v>0</v>
      </c>
      <c r="K1186" s="1" t="str">
        <f t="shared" si="72"/>
        <v/>
      </c>
      <c r="L1186" s="1" t="str">
        <f t="shared" si="73"/>
        <v/>
      </c>
      <c r="M1186" s="1" t="str">
        <f t="shared" si="74"/>
        <v/>
      </c>
      <c r="P1186" s="1" t="s">
        <v>20</v>
      </c>
      <c r="V1186" s="1" t="s">
        <v>29989</v>
      </c>
      <c r="X1186" s="1" t="s">
        <v>27842</v>
      </c>
      <c r="AR1186" s="1" t="str">
        <f t="shared" si="75"/>
        <v>| [](.md) | [矟](矟.md) |  |  | 「槊」的異體字。 |</v>
      </c>
    </row>
    <row r="1187" spans="1:44" hidden="1">
      <c r="A1187" s="1" t="s">
        <v>29990</v>
      </c>
      <c r="C1187" s="1">
        <v>1</v>
      </c>
      <c r="D1187" s="1" t="str">
        <f>"09167-1"</f>
        <v>09167-1</v>
      </c>
      <c r="E1187" s="1" t="s">
        <v>1880</v>
      </c>
      <c r="F1187" s="1">
        <v>4</v>
      </c>
      <c r="G1187" s="1">
        <v>2</v>
      </c>
      <c r="H1187" s="1">
        <v>0</v>
      </c>
      <c r="K1187" s="1" t="str">
        <f t="shared" si="72"/>
        <v/>
      </c>
      <c r="L1187" s="1" t="str">
        <f t="shared" si="73"/>
        <v/>
      </c>
      <c r="M1187" s="1" t="str">
        <f t="shared" si="74"/>
        <v/>
      </c>
      <c r="P1187" s="1" t="s">
        <v>20</v>
      </c>
      <c r="V1187" s="1" t="s">
        <v>29991</v>
      </c>
      <c r="X1187" s="1" t="s">
        <v>27842</v>
      </c>
      <c r="AR1187" s="1" t="str">
        <f t="shared" si="75"/>
        <v>| [](.md) | [双](双.md) |  |  | 「雙」的異體字。 |</v>
      </c>
    </row>
    <row r="1188" spans="1:44" hidden="1">
      <c r="A1188" s="1" t="s">
        <v>29992</v>
      </c>
      <c r="C1188" s="1">
        <v>1</v>
      </c>
      <c r="D1188" s="1" t="str">
        <f>"09182-1"</f>
        <v>09182-1</v>
      </c>
      <c r="E1188" s="1" t="s">
        <v>336</v>
      </c>
      <c r="F1188" s="1">
        <v>10</v>
      </c>
      <c r="G1188" s="1">
        <v>6</v>
      </c>
      <c r="H1188" s="1">
        <v>0</v>
      </c>
      <c r="K1188" s="1" t="str">
        <f t="shared" si="72"/>
        <v/>
      </c>
      <c r="L1188" s="1" t="str">
        <f t="shared" si="73"/>
        <v/>
      </c>
      <c r="M1188" s="1" t="str">
        <f t="shared" si="74"/>
        <v/>
      </c>
      <c r="P1188" s="1" t="s">
        <v>20</v>
      </c>
      <c r="V1188" s="1" t="s">
        <v>29993</v>
      </c>
      <c r="X1188" s="1" t="s">
        <v>27842</v>
      </c>
      <c r="AR1188" s="1" t="str">
        <f t="shared" si="75"/>
        <v>| [](.md) | [热](热.md) |  |  | 「熱」的異體字。 |</v>
      </c>
    </row>
    <row r="1189" spans="1:44" hidden="1">
      <c r="A1189" s="1" t="s">
        <v>29994</v>
      </c>
      <c r="C1189" s="1">
        <v>1</v>
      </c>
      <c r="D1189" s="1" t="str">
        <f>"09204-1"</f>
        <v>09204-1</v>
      </c>
      <c r="E1189" s="1" t="s">
        <v>340</v>
      </c>
      <c r="F1189" s="1">
        <v>10</v>
      </c>
      <c r="G1189" s="1">
        <v>4</v>
      </c>
      <c r="H1189" s="1">
        <v>0</v>
      </c>
      <c r="K1189" s="1" t="str">
        <f t="shared" si="72"/>
        <v/>
      </c>
      <c r="L1189" s="1" t="str">
        <f t="shared" si="73"/>
        <v/>
      </c>
      <c r="M1189" s="1" t="str">
        <f t="shared" si="74"/>
        <v/>
      </c>
      <c r="P1189" s="1" t="s">
        <v>20</v>
      </c>
      <c r="V1189" s="1" t="s">
        <v>29995</v>
      </c>
      <c r="X1189" s="1" t="s">
        <v>27842</v>
      </c>
      <c r="AR1189" s="1" t="str">
        <f t="shared" si="75"/>
        <v>| [](.md) | [衻](衻.md) |  |  | 「袡」的異體字。 |</v>
      </c>
    </row>
    <row r="1190" spans="1:44" hidden="1">
      <c r="A1190" s="1" t="s">
        <v>29996</v>
      </c>
      <c r="C1190" s="1">
        <v>1</v>
      </c>
      <c r="D1190" s="1" t="str">
        <f>"09206-1"</f>
        <v>09206-1</v>
      </c>
      <c r="E1190" s="1" t="s">
        <v>1078</v>
      </c>
      <c r="F1190" s="1">
        <v>14</v>
      </c>
      <c r="G1190" s="1">
        <v>4</v>
      </c>
      <c r="H1190" s="1">
        <v>0</v>
      </c>
      <c r="K1190" s="1" t="str">
        <f t="shared" si="72"/>
        <v/>
      </c>
      <c r="L1190" s="1" t="str">
        <f t="shared" si="73"/>
        <v/>
      </c>
      <c r="M1190" s="1" t="str">
        <f t="shared" si="74"/>
        <v/>
      </c>
      <c r="P1190" s="1" t="s">
        <v>20</v>
      </c>
      <c r="V1190" s="1" t="s">
        <v>29997</v>
      </c>
      <c r="X1190" s="1" t="s">
        <v>27842</v>
      </c>
      <c r="AR1190" s="1" t="str">
        <f t="shared" si="75"/>
        <v>| [](.md) | [髥](髥.md) |  |  | 「髯」的異體字。 |</v>
      </c>
    </row>
    <row r="1191" spans="1:44" hidden="1">
      <c r="A1191" s="1" t="s">
        <v>29998</v>
      </c>
      <c r="C1191" s="1">
        <v>1</v>
      </c>
      <c r="D1191" s="1" t="str">
        <f>"09209-1"</f>
        <v>09209-1</v>
      </c>
      <c r="E1191" s="1" t="s">
        <v>2729</v>
      </c>
      <c r="F1191" s="1">
        <v>4</v>
      </c>
      <c r="G1191" s="1">
        <v>2</v>
      </c>
      <c r="H1191" s="1">
        <v>0</v>
      </c>
      <c r="K1191" s="1" t="str">
        <f t="shared" si="72"/>
        <v/>
      </c>
      <c r="L1191" s="1" t="str">
        <f t="shared" si="73"/>
        <v/>
      </c>
      <c r="M1191" s="1" t="str">
        <f t="shared" si="74"/>
        <v/>
      </c>
      <c r="P1191" s="1" t="s">
        <v>20</v>
      </c>
      <c r="V1191" s="1" t="s">
        <v>29999</v>
      </c>
      <c r="X1191" s="1" t="s">
        <v>27842</v>
      </c>
      <c r="AR1191" s="1" t="str">
        <f t="shared" si="75"/>
        <v>| [](.md) | [冄](冄.md) |  |  | 「冉」的異體字。 |</v>
      </c>
    </row>
    <row r="1192" spans="1:44" hidden="1">
      <c r="A1192" s="1" t="s">
        <v>30000</v>
      </c>
      <c r="C1192" s="1">
        <v>1</v>
      </c>
      <c r="D1192" s="1" t="str">
        <f>"09210-1"</f>
        <v>09210-1</v>
      </c>
      <c r="E1192" s="1" t="s">
        <v>534</v>
      </c>
      <c r="F1192" s="1">
        <v>6</v>
      </c>
      <c r="G1192" s="1">
        <v>3</v>
      </c>
      <c r="H1192" s="1">
        <v>0</v>
      </c>
      <c r="K1192" s="1" t="str">
        <f t="shared" si="72"/>
        <v/>
      </c>
      <c r="L1192" s="1" t="str">
        <f t="shared" si="73"/>
        <v/>
      </c>
      <c r="M1192" s="1" t="str">
        <f t="shared" si="74"/>
        <v/>
      </c>
      <c r="P1192" s="1" t="s">
        <v>20</v>
      </c>
      <c r="V1192" s="1" t="s">
        <v>30001</v>
      </c>
      <c r="X1192" s="1" t="s">
        <v>27842</v>
      </c>
      <c r="AR1192" s="1" t="str">
        <f t="shared" si="75"/>
        <v>| [](.md) | [㚩](㚩.md) |  |  | 「姌」的異體字。 |</v>
      </c>
    </row>
    <row r="1193" spans="1:44" hidden="1">
      <c r="A1193" s="1" t="s">
        <v>30002</v>
      </c>
      <c r="C1193" s="1">
        <v>1</v>
      </c>
      <c r="D1193" s="1" t="str">
        <f>"09212-1"</f>
        <v>09212-1</v>
      </c>
      <c r="E1193" s="1" t="s">
        <v>139</v>
      </c>
      <c r="F1193" s="1">
        <v>10</v>
      </c>
      <c r="G1193" s="1">
        <v>6</v>
      </c>
      <c r="H1193" s="1">
        <v>0</v>
      </c>
      <c r="K1193" s="1" t="str">
        <f t="shared" si="72"/>
        <v/>
      </c>
      <c r="L1193" s="1" t="str">
        <f t="shared" si="73"/>
        <v/>
      </c>
      <c r="M1193" s="1" t="str">
        <f t="shared" si="74"/>
        <v/>
      </c>
      <c r="P1193" s="1" t="s">
        <v>20</v>
      </c>
      <c r="V1193" s="1" t="s">
        <v>30003</v>
      </c>
      <c r="X1193" s="1" t="s">
        <v>27842</v>
      </c>
      <c r="AR1193" s="1" t="str">
        <f t="shared" si="75"/>
        <v>| [](.md) | [𣑱](𣑱.md) |  |  | 「染」的異體字。 |</v>
      </c>
    </row>
    <row r="1194" spans="1:44" hidden="1">
      <c r="A1194" s="1" t="s">
        <v>30004</v>
      </c>
      <c r="C1194" s="1">
        <v>1</v>
      </c>
      <c r="D1194" s="1" t="str">
        <f>"09216-1"</f>
        <v>09216-1</v>
      </c>
      <c r="E1194" s="1" t="s">
        <v>11385</v>
      </c>
      <c r="F1194" s="1">
        <v>4</v>
      </c>
      <c r="G1194" s="1">
        <v>1</v>
      </c>
      <c r="H1194" s="1">
        <v>0</v>
      </c>
      <c r="K1194" s="1" t="str">
        <f t="shared" si="72"/>
        <v/>
      </c>
      <c r="L1194" s="1" t="str">
        <f t="shared" si="73"/>
        <v/>
      </c>
      <c r="M1194" s="1" t="str">
        <f t="shared" si="74"/>
        <v/>
      </c>
      <c r="P1194" s="1" t="s">
        <v>20</v>
      </c>
      <c r="V1194" s="1" t="s">
        <v>30005</v>
      </c>
      <c r="X1194" s="1" t="s">
        <v>27842</v>
      </c>
      <c r="AR1194" s="1" t="str">
        <f t="shared" si="75"/>
        <v>| [](.md) | [󿮮](󿮮.md) |  |  | 「壬」的異體字。 |</v>
      </c>
    </row>
    <row r="1195" spans="1:44" hidden="1">
      <c r="A1195" s="1" t="s">
        <v>6705</v>
      </c>
      <c r="C1195" s="1">
        <v>1</v>
      </c>
      <c r="D1195" s="1" t="str">
        <f>"09216-2"</f>
        <v>09216-2</v>
      </c>
      <c r="E1195" s="1" t="s">
        <v>132</v>
      </c>
      <c r="F1195" s="1">
        <v>4</v>
      </c>
      <c r="G1195" s="1">
        <v>1</v>
      </c>
      <c r="H1195" s="1">
        <v>0</v>
      </c>
      <c r="K1195" s="1" t="str">
        <f t="shared" si="72"/>
        <v/>
      </c>
      <c r="L1195" s="1" t="str">
        <f t="shared" si="73"/>
        <v/>
      </c>
      <c r="M1195" s="1" t="str">
        <f t="shared" si="74"/>
        <v/>
      </c>
      <c r="P1195" s="1" t="s">
        <v>20</v>
      </c>
      <c r="V1195" s="1" t="s">
        <v>30005</v>
      </c>
      <c r="X1195" s="1" t="s">
        <v>27842</v>
      </c>
      <c r="AR1195" s="1" t="str">
        <f t="shared" si="75"/>
        <v>| [](.md) | [𡈼](𡈼.md) |  |  | 「壬」的異體字。 |</v>
      </c>
    </row>
    <row r="1196" spans="1:44" hidden="1">
      <c r="A1196" s="1" t="s">
        <v>30006</v>
      </c>
      <c r="C1196" s="1">
        <v>1</v>
      </c>
      <c r="D1196" s="1" t="str">
        <f>"09218-1"</f>
        <v>09218-1</v>
      </c>
      <c r="E1196" s="1" t="s">
        <v>534</v>
      </c>
      <c r="F1196" s="1">
        <v>9</v>
      </c>
      <c r="G1196" s="1">
        <v>6</v>
      </c>
      <c r="H1196" s="1">
        <v>0</v>
      </c>
      <c r="K1196" s="1" t="str">
        <f t="shared" si="72"/>
        <v/>
      </c>
      <c r="L1196" s="1" t="str">
        <f t="shared" si="73"/>
        <v/>
      </c>
      <c r="M1196" s="1" t="str">
        <f t="shared" si="74"/>
        <v/>
      </c>
      <c r="P1196" s="1" t="s">
        <v>20</v>
      </c>
      <c r="V1196" s="1" t="s">
        <v>30007</v>
      </c>
      <c r="X1196" s="1" t="s">
        <v>27842</v>
      </c>
      <c r="AR1196" s="1" t="str">
        <f t="shared" si="75"/>
        <v>| [](.md) | [姙](姙.md) |  |  | 「妊」的異體字。 |</v>
      </c>
    </row>
    <row r="1197" spans="1:44" hidden="1">
      <c r="A1197" s="1" t="s">
        <v>30008</v>
      </c>
      <c r="C1197" s="1">
        <v>1</v>
      </c>
      <c r="D1197" s="1" t="str">
        <f>"09219-1"</f>
        <v>09219-1</v>
      </c>
      <c r="E1197" s="1" t="s">
        <v>725</v>
      </c>
      <c r="F1197" s="1">
        <v>12</v>
      </c>
      <c r="G1197" s="1">
        <v>6</v>
      </c>
      <c r="H1197" s="1">
        <v>0</v>
      </c>
      <c r="K1197" s="1" t="str">
        <f t="shared" si="72"/>
        <v/>
      </c>
      <c r="L1197" s="1" t="str">
        <f t="shared" si="73"/>
        <v/>
      </c>
      <c r="M1197" s="1" t="str">
        <f t="shared" si="74"/>
        <v/>
      </c>
      <c r="P1197" s="1" t="s">
        <v>20</v>
      </c>
      <c r="V1197" s="1" t="s">
        <v>30009</v>
      </c>
      <c r="X1197" s="1" t="s">
        <v>27842</v>
      </c>
      <c r="AR1197" s="1" t="str">
        <f t="shared" si="75"/>
        <v>| [](.md) | [絍](絍.md) |  |  | 「紝」的異體字。 |</v>
      </c>
    </row>
    <row r="1198" spans="1:44" hidden="1">
      <c r="A1198" s="1" t="s">
        <v>30010</v>
      </c>
      <c r="C1198" s="1">
        <v>1</v>
      </c>
      <c r="D1198" s="1" t="str">
        <f>"09227-1"</f>
        <v>09227-1</v>
      </c>
      <c r="E1198" s="1" t="s">
        <v>185</v>
      </c>
      <c r="F1198" s="1">
        <v>3</v>
      </c>
      <c r="G1198" s="1">
        <v>1</v>
      </c>
      <c r="H1198" s="1">
        <v>0</v>
      </c>
      <c r="K1198" s="1" t="str">
        <f t="shared" si="72"/>
        <v/>
      </c>
      <c r="L1198" s="1" t="str">
        <f t="shared" si="73"/>
        <v/>
      </c>
      <c r="M1198" s="1" t="str">
        <f t="shared" si="74"/>
        <v/>
      </c>
      <c r="P1198" s="1" t="s">
        <v>20</v>
      </c>
      <c r="V1198" s="1" t="s">
        <v>30011</v>
      </c>
      <c r="X1198" s="1" t="s">
        <v>27842</v>
      </c>
      <c r="AR1198" s="1" t="str">
        <f t="shared" si="75"/>
        <v>| [](.md) | [刃](刃.md) |  |  | 「刃」的異體字。 |</v>
      </c>
    </row>
    <row r="1199" spans="1:44" hidden="1">
      <c r="A1199" s="1" t="s">
        <v>30012</v>
      </c>
      <c r="C1199" s="1">
        <v>1</v>
      </c>
      <c r="D1199" s="1" t="str">
        <f>"09227-2"</f>
        <v>09227-2</v>
      </c>
      <c r="E1199" s="1" t="s">
        <v>185</v>
      </c>
      <c r="F1199" s="1">
        <v>3</v>
      </c>
      <c r="G1199" s="1">
        <v>1</v>
      </c>
      <c r="H1199" s="1">
        <v>0</v>
      </c>
      <c r="K1199" s="1" t="str">
        <f t="shared" si="72"/>
        <v/>
      </c>
      <c r="L1199" s="1" t="str">
        <f t="shared" si="73"/>
        <v/>
      </c>
      <c r="M1199" s="1" t="str">
        <f t="shared" si="74"/>
        <v/>
      </c>
      <c r="P1199" s="1" t="s">
        <v>20</v>
      </c>
      <c r="V1199" s="1" t="s">
        <v>30011</v>
      </c>
      <c r="X1199" s="1" t="s">
        <v>27842</v>
      </c>
      <c r="AR1199" s="1" t="str">
        <f t="shared" si="75"/>
        <v>| [](.md) | [刄](刄.md) |  |  | 「刃」的異體字。 |</v>
      </c>
    </row>
    <row r="1200" spans="1:44" hidden="1">
      <c r="A1200" s="1" t="s">
        <v>30013</v>
      </c>
      <c r="C1200" s="1">
        <v>1</v>
      </c>
      <c r="D1200" s="1" t="str">
        <f>"09234-1"</f>
        <v>09234-1</v>
      </c>
      <c r="E1200" s="1" t="s">
        <v>96</v>
      </c>
      <c r="F1200" s="1">
        <v>12</v>
      </c>
      <c r="G1200" s="1">
        <v>3</v>
      </c>
      <c r="H1200" s="1">
        <v>0</v>
      </c>
      <c r="K1200" s="1" t="str">
        <f t="shared" si="72"/>
        <v/>
      </c>
      <c r="L1200" s="1" t="str">
        <f t="shared" si="73"/>
        <v/>
      </c>
      <c r="M1200" s="1" t="str">
        <f t="shared" si="74"/>
        <v/>
      </c>
      <c r="P1200" s="1" t="s">
        <v>20</v>
      </c>
      <c r="V1200" s="1" t="s">
        <v>30014</v>
      </c>
      <c r="X1200" s="1" t="s">
        <v>27842</v>
      </c>
      <c r="AR1200" s="1" t="str">
        <f t="shared" si="75"/>
        <v>| [](.md) | [靭](靭.md) |  |  | 「韌」的異體字。 |</v>
      </c>
    </row>
    <row r="1201" spans="1:44" hidden="1">
      <c r="A1201" s="1" t="s">
        <v>30015</v>
      </c>
      <c r="C1201" s="1">
        <v>1</v>
      </c>
      <c r="D1201" s="1" t="str">
        <f>"09238-1"</f>
        <v>09238-1</v>
      </c>
      <c r="E1201" s="1" t="s">
        <v>340</v>
      </c>
      <c r="F1201" s="1">
        <v>12</v>
      </c>
      <c r="G1201" s="1">
        <v>6</v>
      </c>
      <c r="H1201" s="1">
        <v>0</v>
      </c>
      <c r="K1201" s="1" t="str">
        <f t="shared" si="72"/>
        <v/>
      </c>
      <c r="L1201" s="1" t="str">
        <f t="shared" si="73"/>
        <v/>
      </c>
      <c r="M1201" s="1" t="str">
        <f t="shared" si="74"/>
        <v/>
      </c>
      <c r="P1201" s="1" t="s">
        <v>20</v>
      </c>
      <c r="V1201" s="1" t="s">
        <v>30016</v>
      </c>
      <c r="X1201" s="1" t="s">
        <v>27842</v>
      </c>
      <c r="AR1201" s="1" t="str">
        <f t="shared" si="75"/>
        <v>| [](.md) | [袵](袵.md) |  |  | 「衽」的異體字。 |</v>
      </c>
    </row>
    <row r="1202" spans="1:44" hidden="1">
      <c r="A1202" s="1" t="s">
        <v>30017</v>
      </c>
      <c r="C1202" s="1">
        <v>1</v>
      </c>
      <c r="D1202" s="1" t="str">
        <f>"09241-1"</f>
        <v>09241-1</v>
      </c>
      <c r="E1202" s="1" t="s">
        <v>193</v>
      </c>
      <c r="F1202" s="1">
        <v>14</v>
      </c>
      <c r="G1202" s="1">
        <v>6</v>
      </c>
      <c r="H1202" s="1">
        <v>0</v>
      </c>
      <c r="K1202" s="1" t="str">
        <f t="shared" si="72"/>
        <v/>
      </c>
      <c r="L1202" s="1" t="str">
        <f t="shared" si="73"/>
        <v/>
      </c>
      <c r="M1202" s="1" t="str">
        <f t="shared" si="74"/>
        <v/>
      </c>
      <c r="P1202" s="1" t="s">
        <v>20</v>
      </c>
      <c r="V1202" s="1" t="s">
        <v>30018</v>
      </c>
      <c r="X1202" s="1" t="s">
        <v>27842</v>
      </c>
      <c r="AR1202" s="1" t="str">
        <f t="shared" si="75"/>
        <v>| [](.md) | [餁](餁.md) |  |  | 「飪」的異體字。 |</v>
      </c>
    </row>
    <row r="1203" spans="1:44" hidden="1">
      <c r="A1203" s="1" t="s">
        <v>30019</v>
      </c>
      <c r="C1203" s="1">
        <v>1</v>
      </c>
      <c r="D1203" s="1" t="str">
        <f>"09262-1"</f>
        <v>09262-1</v>
      </c>
      <c r="E1203" s="1" t="s">
        <v>331</v>
      </c>
      <c r="F1203" s="1">
        <v>14</v>
      </c>
      <c r="G1203" s="1">
        <v>7</v>
      </c>
      <c r="H1203" s="1">
        <v>0</v>
      </c>
      <c r="K1203" s="1" t="str">
        <f t="shared" si="72"/>
        <v/>
      </c>
      <c r="L1203" s="1" t="str">
        <f t="shared" si="73"/>
        <v/>
      </c>
      <c r="M1203" s="1" t="str">
        <f t="shared" si="74"/>
        <v/>
      </c>
      <c r="P1203" s="1" t="s">
        <v>20</v>
      </c>
      <c r="V1203" s="1" t="s">
        <v>30020</v>
      </c>
      <c r="X1203" s="1" t="s">
        <v>27842</v>
      </c>
      <c r="AR1203" s="1" t="str">
        <f t="shared" si="75"/>
        <v>| [](.md) | [誏](誏.md) |  |  | 「讓」的異體字。 |</v>
      </c>
    </row>
    <row r="1204" spans="1:44" hidden="1">
      <c r="A1204" s="1" t="s">
        <v>30021</v>
      </c>
      <c r="C1204" s="1">
        <v>1</v>
      </c>
      <c r="D1204" s="1" t="str">
        <f>"09284-1"</f>
        <v>09284-1</v>
      </c>
      <c r="E1204" s="1" t="s">
        <v>241</v>
      </c>
      <c r="F1204" s="1">
        <v>15</v>
      </c>
      <c r="G1204" s="1">
        <v>12</v>
      </c>
      <c r="H1204" s="1">
        <v>0</v>
      </c>
      <c r="K1204" s="1" t="str">
        <f t="shared" si="72"/>
        <v/>
      </c>
      <c r="L1204" s="1" t="str">
        <f t="shared" si="73"/>
        <v/>
      </c>
      <c r="M1204" s="1" t="str">
        <f t="shared" si="74"/>
        <v/>
      </c>
      <c r="P1204" s="1" t="s">
        <v>20</v>
      </c>
      <c r="V1204" s="1" t="s">
        <v>30022</v>
      </c>
      <c r="X1204" s="1" t="s">
        <v>27842</v>
      </c>
      <c r="AR1204" s="1" t="str">
        <f t="shared" si="75"/>
        <v>| [](.md) | [𡦗](𡦗.md) |  |  | 「孺」的異體字。 |</v>
      </c>
    </row>
    <row r="1205" spans="1:44" hidden="1">
      <c r="A1205" s="1" t="s">
        <v>30023</v>
      </c>
      <c r="C1205" s="1">
        <v>1</v>
      </c>
      <c r="D1205" s="1" t="str">
        <f>"09284-2"</f>
        <v>09284-2</v>
      </c>
      <c r="E1205" s="1" t="s">
        <v>241</v>
      </c>
      <c r="F1205" s="1">
        <v>15</v>
      </c>
      <c r="G1205" s="1">
        <v>12</v>
      </c>
      <c r="H1205" s="1">
        <v>0</v>
      </c>
      <c r="K1205" s="1" t="str">
        <f t="shared" si="72"/>
        <v/>
      </c>
      <c r="L1205" s="1" t="str">
        <f t="shared" si="73"/>
        <v/>
      </c>
      <c r="M1205" s="1" t="str">
        <f t="shared" si="74"/>
        <v/>
      </c>
      <c r="P1205" s="1" t="s">
        <v>20</v>
      </c>
      <c r="V1205" s="1" t="s">
        <v>30022</v>
      </c>
      <c r="X1205" s="1" t="s">
        <v>27842</v>
      </c>
      <c r="AR1205" s="1" t="str">
        <f t="shared" si="75"/>
        <v>| [](.md) | [𡦘](𡦘.md) |  |  | 「孺」的異體字。 |</v>
      </c>
    </row>
    <row r="1206" spans="1:44" hidden="1">
      <c r="A1206" s="1" t="s">
        <v>30024</v>
      </c>
      <c r="C1206" s="1">
        <v>1</v>
      </c>
      <c r="D1206" s="1" t="str">
        <f>"09318-1"</f>
        <v>09318-1</v>
      </c>
      <c r="E1206" s="1" t="s">
        <v>19817</v>
      </c>
      <c r="F1206" s="1">
        <v>12</v>
      </c>
      <c r="G1206" s="1">
        <v>7</v>
      </c>
      <c r="H1206" s="1">
        <v>0</v>
      </c>
      <c r="K1206" s="1" t="str">
        <f t="shared" si="72"/>
        <v/>
      </c>
      <c r="L1206" s="1" t="str">
        <f t="shared" si="73"/>
        <v/>
      </c>
      <c r="M1206" s="1" t="str">
        <f t="shared" si="74"/>
        <v/>
      </c>
      <c r="P1206" s="1" t="s">
        <v>20</v>
      </c>
      <c r="V1206" s="1" t="s">
        <v>30025</v>
      </c>
      <c r="X1206" s="1" t="s">
        <v>27842</v>
      </c>
      <c r="AR1206" s="1" t="str">
        <f t="shared" si="75"/>
        <v>| [](.md) | [甤](甤.md) |  |  | 「蕤」的異體字。 |</v>
      </c>
    </row>
    <row r="1207" spans="1:44" hidden="1">
      <c r="A1207" s="1" t="s">
        <v>30026</v>
      </c>
      <c r="C1207" s="1">
        <v>1</v>
      </c>
      <c r="D1207" s="1" t="str">
        <f>"09338-1"</f>
        <v>09338-1</v>
      </c>
      <c r="E1207" s="1" t="s">
        <v>71</v>
      </c>
      <c r="F1207" s="1">
        <v>16</v>
      </c>
      <c r="G1207" s="1">
        <v>9</v>
      </c>
      <c r="H1207" s="1">
        <v>0</v>
      </c>
      <c r="K1207" s="1" t="str">
        <f t="shared" si="72"/>
        <v/>
      </c>
      <c r="L1207" s="1" t="str">
        <f t="shared" si="73"/>
        <v/>
      </c>
      <c r="M1207" s="1" t="str">
        <f t="shared" si="74"/>
        <v/>
      </c>
      <c r="P1207" s="1" t="s">
        <v>20</v>
      </c>
      <c r="V1207" s="1" t="s">
        <v>30027</v>
      </c>
      <c r="X1207" s="1" t="s">
        <v>27842</v>
      </c>
      <c r="AR1207" s="1" t="str">
        <f t="shared" si="75"/>
        <v>| [](.md) | [輭](輭.md) |  |  | 「軟」的異體字。 |</v>
      </c>
    </row>
    <row r="1208" spans="1:44" hidden="1">
      <c r="A1208" s="1" t="s">
        <v>30028</v>
      </c>
      <c r="C1208" s="1">
        <v>1</v>
      </c>
      <c r="D1208" s="1" t="str">
        <f>"09362-1"</f>
        <v>09362-1</v>
      </c>
      <c r="E1208" s="1" t="s">
        <v>139</v>
      </c>
      <c r="F1208" s="1">
        <v>10</v>
      </c>
      <c r="G1208" s="1">
        <v>6</v>
      </c>
      <c r="H1208" s="1">
        <v>0</v>
      </c>
      <c r="K1208" s="1" t="str">
        <f t="shared" si="72"/>
        <v/>
      </c>
      <c r="L1208" s="1" t="str">
        <f t="shared" si="73"/>
        <v/>
      </c>
      <c r="M1208" s="1" t="str">
        <f t="shared" si="74"/>
        <v/>
      </c>
      <c r="P1208" s="1" t="s">
        <v>20</v>
      </c>
      <c r="V1208" s="1" t="s">
        <v>30029</v>
      </c>
      <c r="X1208" s="1" t="s">
        <v>27842</v>
      </c>
      <c r="AR1208" s="1" t="str">
        <f t="shared" si="75"/>
        <v>| [](.md) | [荣](荣.md) |  |  | 「榮」的異體字。 |</v>
      </c>
    </row>
    <row r="1209" spans="1:44" hidden="1">
      <c r="A1209" s="1" t="s">
        <v>30030</v>
      </c>
      <c r="C1209" s="1">
        <v>1</v>
      </c>
      <c r="D1209" s="1" t="str">
        <f>"09366-1"</f>
        <v>09366-1</v>
      </c>
      <c r="E1209" s="1" t="s">
        <v>624</v>
      </c>
      <c r="F1209" s="1">
        <v>5</v>
      </c>
      <c r="G1209" s="1">
        <v>2</v>
      </c>
      <c r="H1209" s="1">
        <v>0</v>
      </c>
      <c r="K1209" s="1" t="str">
        <f t="shared" si="72"/>
        <v/>
      </c>
      <c r="L1209" s="1" t="str">
        <f t="shared" si="73"/>
        <v/>
      </c>
      <c r="M1209" s="1" t="str">
        <f t="shared" si="74"/>
        <v/>
      </c>
      <c r="P1209" s="1" t="s">
        <v>20</v>
      </c>
      <c r="V1209" s="1" t="s">
        <v>30031</v>
      </c>
      <c r="X1209" s="1" t="s">
        <v>27842</v>
      </c>
      <c r="AR1209" s="1" t="str">
        <f t="shared" si="75"/>
        <v>| [](.md) | [宂](宂.md) |  |  | 「冗」的異體字。 |</v>
      </c>
    </row>
    <row r="1210" spans="1:44" hidden="1">
      <c r="A1210" s="1" t="s">
        <v>30032</v>
      </c>
      <c r="C1210" s="1">
        <v>1</v>
      </c>
      <c r="D1210" s="1" t="str">
        <f>"09372-1"</f>
        <v>09372-1</v>
      </c>
      <c r="E1210" s="1" t="s">
        <v>1908</v>
      </c>
      <c r="F1210" s="1">
        <v>6</v>
      </c>
      <c r="G1210" s="1">
        <v>2</v>
      </c>
      <c r="H1210" s="1">
        <v>0</v>
      </c>
      <c r="K1210" s="1" t="str">
        <f t="shared" si="72"/>
        <v/>
      </c>
      <c r="L1210" s="1" t="str">
        <f t="shared" si="73"/>
        <v/>
      </c>
      <c r="M1210" s="1" t="str">
        <f t="shared" si="74"/>
        <v/>
      </c>
      <c r="P1210" s="1" t="s">
        <v>20</v>
      </c>
      <c r="V1210" s="1" t="s">
        <v>30033</v>
      </c>
      <c r="X1210" s="1" t="s">
        <v>27842</v>
      </c>
      <c r="AR1210" s="1" t="str">
        <f t="shared" si="75"/>
        <v>| [](.md) | [次](次.md) |  |  | 「次」的異體字。 |</v>
      </c>
    </row>
    <row r="1211" spans="1:44" hidden="1">
      <c r="A1211" s="1" t="s">
        <v>30034</v>
      </c>
      <c r="C1211" s="1">
        <v>1</v>
      </c>
      <c r="D1211" s="1" t="str">
        <f>"09378-1"</f>
        <v>09378-1</v>
      </c>
      <c r="E1211" s="1" t="s">
        <v>4563</v>
      </c>
      <c r="F1211" s="1">
        <v>16</v>
      </c>
      <c r="G1211" s="1">
        <v>9</v>
      </c>
      <c r="H1211" s="1">
        <v>0</v>
      </c>
      <c r="K1211" s="1" t="str">
        <f t="shared" si="72"/>
        <v/>
      </c>
      <c r="L1211" s="1" t="str">
        <f t="shared" si="73"/>
        <v/>
      </c>
      <c r="M1211" s="1" t="str">
        <f t="shared" si="74"/>
        <v/>
      </c>
      <c r="P1211" s="1" t="s">
        <v>20</v>
      </c>
      <c r="V1211" s="1" t="s">
        <v>30035</v>
      </c>
      <c r="X1211" s="1" t="s">
        <v>27842</v>
      </c>
      <c r="AR1211" s="1" t="str">
        <f t="shared" si="75"/>
        <v>| [](.md) | [趦](趦.md) |  |  | 「趑」的異體字。 |</v>
      </c>
    </row>
    <row r="1212" spans="1:44" hidden="1">
      <c r="A1212" s="1" t="s">
        <v>30036</v>
      </c>
      <c r="C1212" s="1">
        <v>1</v>
      </c>
      <c r="D1212" s="1" t="str">
        <f>"09384-1"</f>
        <v>09384-1</v>
      </c>
      <c r="E1212" s="1" t="s">
        <v>753</v>
      </c>
      <c r="F1212" s="1">
        <v>9</v>
      </c>
      <c r="G1212" s="1">
        <v>4</v>
      </c>
      <c r="H1212" s="1">
        <v>0</v>
      </c>
      <c r="K1212" s="1" t="str">
        <f t="shared" si="72"/>
        <v/>
      </c>
      <c r="L1212" s="1" t="str">
        <f t="shared" si="73"/>
        <v/>
      </c>
      <c r="M1212" s="1" t="str">
        <f t="shared" si="74"/>
        <v/>
      </c>
      <c r="P1212" s="1" t="s">
        <v>20</v>
      </c>
      <c r="V1212" s="1" t="s">
        <v>30037</v>
      </c>
      <c r="X1212" s="1" t="s">
        <v>27842</v>
      </c>
      <c r="AR1212" s="1" t="str">
        <f t="shared" si="75"/>
        <v>| [](.md) | [甾](甾.md) |  |  | 「菑」的異體字。 |</v>
      </c>
    </row>
    <row r="1213" spans="1:44" hidden="1">
      <c r="A1213" s="1" t="s">
        <v>30038</v>
      </c>
      <c r="C1213" s="1">
        <v>1</v>
      </c>
      <c r="D1213" s="1" t="str">
        <f>"09399-1"</f>
        <v>09399-1</v>
      </c>
      <c r="E1213" s="1" t="s">
        <v>684</v>
      </c>
      <c r="F1213" s="1">
        <v>18</v>
      </c>
      <c r="G1213" s="1">
        <v>9</v>
      </c>
      <c r="H1213" s="1">
        <v>0</v>
      </c>
      <c r="K1213" s="1" t="str">
        <f t="shared" si="72"/>
        <v/>
      </c>
      <c r="L1213" s="1" t="str">
        <f t="shared" si="73"/>
        <v/>
      </c>
      <c r="M1213" s="1" t="str">
        <f t="shared" si="74"/>
        <v/>
      </c>
      <c r="P1213" s="1" t="s">
        <v>20</v>
      </c>
      <c r="V1213" s="1" t="s">
        <v>30039</v>
      </c>
      <c r="X1213" s="1" t="s">
        <v>27842</v>
      </c>
      <c r="AR1213" s="1" t="str">
        <f t="shared" si="75"/>
        <v>| [](.md) | [頿](頿.md) |  |  | 「髭」的異體字。 |</v>
      </c>
    </row>
    <row r="1214" spans="1:44" hidden="1">
      <c r="A1214" s="1" t="s">
        <v>30040</v>
      </c>
      <c r="C1214" s="1">
        <v>1</v>
      </c>
      <c r="D1214" s="1" t="str">
        <f>"09425-1"</f>
        <v>09425-1</v>
      </c>
      <c r="E1214" s="1" t="s">
        <v>1015</v>
      </c>
      <c r="F1214" s="1">
        <v>11</v>
      </c>
      <c r="G1214" s="1">
        <v>6</v>
      </c>
      <c r="H1214" s="1">
        <v>0</v>
      </c>
      <c r="K1214" s="1" t="str">
        <f t="shared" si="72"/>
        <v/>
      </c>
      <c r="L1214" s="1" t="str">
        <f t="shared" si="73"/>
        <v/>
      </c>
      <c r="M1214" s="1" t="str">
        <f t="shared" si="74"/>
        <v/>
      </c>
      <c r="P1214" s="1" t="s">
        <v>20</v>
      </c>
      <c r="V1214" s="1" t="s">
        <v>30041</v>
      </c>
      <c r="X1214" s="1" t="s">
        <v>27842</v>
      </c>
      <c r="AR1214" s="1" t="str">
        <f t="shared" si="75"/>
        <v>| [](.md) | [眦](眦.md) |  |  | 「眥」的異體字。 |</v>
      </c>
    </row>
    <row r="1215" spans="1:44" hidden="1">
      <c r="A1215" s="1" t="s">
        <v>30042</v>
      </c>
      <c r="C1215" s="1">
        <v>1</v>
      </c>
      <c r="D1215" s="1" t="str">
        <f>"09432-1"</f>
        <v>09432-1</v>
      </c>
      <c r="E1215" s="1" t="s">
        <v>222</v>
      </c>
      <c r="F1215" s="1">
        <v>4</v>
      </c>
      <c r="G1215" s="1">
        <v>1</v>
      </c>
      <c r="H1215" s="1">
        <v>0</v>
      </c>
      <c r="K1215" s="1" t="str">
        <f t="shared" si="72"/>
        <v/>
      </c>
      <c r="L1215" s="1" t="str">
        <f t="shared" si="73"/>
        <v/>
      </c>
      <c r="M1215" s="1" t="str">
        <f t="shared" si="74"/>
        <v/>
      </c>
      <c r="P1215" s="1" t="s">
        <v>20</v>
      </c>
      <c r="V1215" s="1" t="s">
        <v>30043</v>
      </c>
      <c r="X1215" s="1" t="s">
        <v>27842</v>
      </c>
      <c r="AR1215" s="1" t="str">
        <f t="shared" si="75"/>
        <v>| [](.md) | [帀](帀.md) |  |  | 「匝」的異體字。 |</v>
      </c>
    </row>
    <row r="1216" spans="1:44" hidden="1">
      <c r="A1216" s="1" t="s">
        <v>30044</v>
      </c>
      <c r="C1216" s="1">
        <v>1</v>
      </c>
      <c r="D1216" s="1" t="str">
        <f>"09437-1"</f>
        <v>09437-1</v>
      </c>
      <c r="E1216" s="1" t="s">
        <v>139</v>
      </c>
      <c r="F1216" s="1">
        <v>10</v>
      </c>
      <c r="G1216" s="1">
        <v>6</v>
      </c>
      <c r="H1216" s="1">
        <v>0</v>
      </c>
      <c r="K1216" s="1" t="str">
        <f t="shared" si="72"/>
        <v/>
      </c>
      <c r="L1216" s="1" t="str">
        <f t="shared" si="73"/>
        <v/>
      </c>
      <c r="M1216" s="1" t="str">
        <f t="shared" si="74"/>
        <v/>
      </c>
      <c r="P1216" s="1" t="s">
        <v>20</v>
      </c>
      <c r="V1216" s="1" t="s">
        <v>30045</v>
      </c>
      <c r="X1216" s="1" t="s">
        <v>27842</v>
      </c>
      <c r="AR1216" s="1" t="str">
        <f t="shared" si="75"/>
        <v>| [](.md) | [桚](桚.md) |  |  | 「拶」的異體字。 |</v>
      </c>
    </row>
    <row r="1217" spans="1:44" hidden="1">
      <c r="A1217" s="1" t="s">
        <v>30046</v>
      </c>
      <c r="C1217" s="1">
        <v>1</v>
      </c>
      <c r="D1217" s="1" t="str">
        <f>"09444-1"</f>
        <v>09444-1</v>
      </c>
      <c r="E1217" s="1" t="s">
        <v>5383</v>
      </c>
      <c r="F1217" s="1">
        <v>14</v>
      </c>
      <c r="G1217" s="1">
        <v>6</v>
      </c>
      <c r="H1217" s="1">
        <v>0</v>
      </c>
      <c r="K1217" s="1" t="str">
        <f t="shared" si="72"/>
        <v/>
      </c>
      <c r="L1217" s="1" t="str">
        <f t="shared" si="73"/>
        <v/>
      </c>
      <c r="M1217" s="1" t="str">
        <f t="shared" si="74"/>
        <v/>
      </c>
      <c r="P1217" s="1" t="s">
        <v>20</v>
      </c>
      <c r="V1217" s="1" t="s">
        <v>30047</v>
      </c>
      <c r="X1217" s="1" t="s">
        <v>27842</v>
      </c>
      <c r="AR1217" s="1" t="str">
        <f t="shared" si="75"/>
        <v>| [](.md) | [雑](雑.md) |  |  | 「雜」的異體字。 |</v>
      </c>
    </row>
    <row r="1218" spans="1:44" hidden="1">
      <c r="A1218" s="1" t="s">
        <v>30048</v>
      </c>
      <c r="C1218" s="1">
        <v>1</v>
      </c>
      <c r="D1218" s="1" t="str">
        <f>"09444-2"</f>
        <v>09444-2</v>
      </c>
      <c r="E1218" s="1" t="s">
        <v>340</v>
      </c>
      <c r="F1218" s="1">
        <v>18</v>
      </c>
      <c r="G1218" s="1">
        <v>12</v>
      </c>
      <c r="H1218" s="1">
        <v>0</v>
      </c>
      <c r="K1218" s="1" t="str">
        <f t="shared" ref="K1218:K1281" si="76">LEFT(I1218, 1)</f>
        <v/>
      </c>
      <c r="L1218" s="1" t="str">
        <f t="shared" ref="L1218:L1281" si="77">MID(I1218, 2, 1)</f>
        <v/>
      </c>
      <c r="M1218" s="1" t="str">
        <f t="shared" ref="M1218:M1281" si="78">MID(I1218, 3, 1)</f>
        <v/>
      </c>
      <c r="P1218" s="1" t="s">
        <v>20</v>
      </c>
      <c r="V1218" s="1" t="s">
        <v>30047</v>
      </c>
      <c r="X1218" s="1" t="s">
        <v>27842</v>
      </c>
      <c r="AR1218" s="1" t="str">
        <f t="shared" si="75"/>
        <v>| [](.md) | [襍](襍.md) |  |  | 「雜」的異體字。 |</v>
      </c>
    </row>
    <row r="1219" spans="1:44" hidden="1">
      <c r="A1219" s="1" t="s">
        <v>30049</v>
      </c>
      <c r="C1219" s="1">
        <v>1</v>
      </c>
      <c r="D1219" s="1" t="str">
        <f>"09462-1"</f>
        <v>09462-1</v>
      </c>
      <c r="E1219" s="1" t="s">
        <v>129</v>
      </c>
      <c r="F1219" s="1">
        <v>9</v>
      </c>
      <c r="G1219" s="1">
        <v>6</v>
      </c>
      <c r="H1219" s="1">
        <v>0</v>
      </c>
      <c r="K1219" s="1" t="str">
        <f t="shared" si="76"/>
        <v/>
      </c>
      <c r="L1219" s="1" t="str">
        <f t="shared" si="77"/>
        <v/>
      </c>
      <c r="M1219" s="1" t="str">
        <f t="shared" si="78"/>
        <v/>
      </c>
      <c r="P1219" s="1" t="s">
        <v>20</v>
      </c>
      <c r="V1219" s="1" t="s">
        <v>30050</v>
      </c>
      <c r="X1219" s="1" t="s">
        <v>27842</v>
      </c>
      <c r="AR1219" s="1" t="str">
        <f t="shared" ref="AR1219:AR1282" si="79">"| ["&amp;I1219&amp;"]("&amp;I1219&amp;".md) | ["&amp;A1219&amp;"]("&amp;A1219&amp;".md) | "&amp;" | "&amp;R1219&amp;" | "&amp;V1219&amp;" |"</f>
        <v>| [](.md) | [󽧨](󽧨.md) |  |  | 「澤」的異體字。 |</v>
      </c>
    </row>
    <row r="1220" spans="1:44" hidden="1">
      <c r="A1220" s="1" t="s">
        <v>30051</v>
      </c>
      <c r="C1220" s="1">
        <v>1</v>
      </c>
      <c r="D1220" s="1" t="str">
        <f>"09465-1"</f>
        <v>09465-1</v>
      </c>
      <c r="E1220" s="1" t="s">
        <v>592</v>
      </c>
      <c r="F1220" s="1">
        <v>20</v>
      </c>
      <c r="G1220" s="1">
        <v>5</v>
      </c>
      <c r="H1220" s="1">
        <v>0</v>
      </c>
      <c r="K1220" s="1" t="str">
        <f t="shared" si="76"/>
        <v/>
      </c>
      <c r="L1220" s="1" t="str">
        <f t="shared" si="77"/>
        <v/>
      </c>
      <c r="M1220" s="1" t="str">
        <f t="shared" si="78"/>
        <v/>
      </c>
      <c r="P1220" s="1" t="s">
        <v>20</v>
      </c>
      <c r="V1220" s="1" t="s">
        <v>30052</v>
      </c>
      <c r="X1220" s="1" t="s">
        <v>27842</v>
      </c>
      <c r="AR1220" s="1" t="str">
        <f t="shared" si="79"/>
        <v>| [](.md) | [齚](齚.md) |  |  | 「齰」的異體字。 |</v>
      </c>
    </row>
    <row r="1221" spans="1:44" hidden="1">
      <c r="A1221" s="1" t="s">
        <v>30053</v>
      </c>
      <c r="C1221" s="1">
        <v>1</v>
      </c>
      <c r="D1221" s="1" t="str">
        <f>"09474-1"</f>
        <v>09474-1</v>
      </c>
      <c r="E1221" s="1" t="s">
        <v>336</v>
      </c>
      <c r="F1221" s="1">
        <v>7</v>
      </c>
      <c r="G1221" s="1">
        <v>3</v>
      </c>
      <c r="H1221" s="1">
        <v>0</v>
      </c>
      <c r="K1221" s="1" t="str">
        <f t="shared" si="76"/>
        <v/>
      </c>
      <c r="L1221" s="1" t="str">
        <f t="shared" si="77"/>
        <v/>
      </c>
      <c r="M1221" s="1" t="str">
        <f t="shared" si="78"/>
        <v/>
      </c>
      <c r="P1221" s="1" t="s">
        <v>20</v>
      </c>
      <c r="V1221" s="1" t="s">
        <v>30054</v>
      </c>
      <c r="X1221" s="1" t="s">
        <v>27842</v>
      </c>
      <c r="AR1221" s="1" t="str">
        <f t="shared" si="79"/>
        <v>| [](.md) | [灾](灾.md) |  |  | 「災」的異體字。 |</v>
      </c>
    </row>
    <row r="1222" spans="1:44" hidden="1">
      <c r="A1222" s="1" t="s">
        <v>30055</v>
      </c>
      <c r="C1222" s="1">
        <v>1</v>
      </c>
      <c r="D1222" s="1" t="str">
        <f>"09474-2"</f>
        <v>09474-2</v>
      </c>
      <c r="E1222" s="1" t="s">
        <v>336</v>
      </c>
      <c r="F1222" s="1">
        <v>10</v>
      </c>
      <c r="G1222" s="1">
        <v>6</v>
      </c>
      <c r="H1222" s="1">
        <v>0</v>
      </c>
      <c r="K1222" s="1" t="str">
        <f t="shared" si="76"/>
        <v/>
      </c>
      <c r="L1222" s="1" t="str">
        <f t="shared" si="77"/>
        <v/>
      </c>
      <c r="M1222" s="1" t="str">
        <f t="shared" si="78"/>
        <v/>
      </c>
      <c r="P1222" s="1" t="s">
        <v>20</v>
      </c>
      <c r="V1222" s="1" t="s">
        <v>30054</v>
      </c>
      <c r="X1222" s="1" t="s">
        <v>27842</v>
      </c>
      <c r="AR1222" s="1" t="str">
        <f t="shared" si="79"/>
        <v>| [](.md) | [烖](烖.md) |  |  | 「災」的異體字。 |</v>
      </c>
    </row>
    <row r="1223" spans="1:44" hidden="1">
      <c r="A1223" s="1" t="s">
        <v>30056</v>
      </c>
      <c r="C1223" s="1">
        <v>1</v>
      </c>
      <c r="D1223" s="1" t="str">
        <f>"09499-1"</f>
        <v>09499-1</v>
      </c>
      <c r="E1223" s="1" t="s">
        <v>1274</v>
      </c>
      <c r="F1223" s="1">
        <v>21</v>
      </c>
      <c r="G1223" s="1">
        <v>16</v>
      </c>
      <c r="H1223" s="1">
        <v>0</v>
      </c>
      <c r="K1223" s="1" t="str">
        <f t="shared" si="76"/>
        <v/>
      </c>
      <c r="L1223" s="1" t="str">
        <f t="shared" si="77"/>
        <v/>
      </c>
      <c r="M1223" s="1" t="str">
        <f t="shared" si="78"/>
        <v/>
      </c>
      <c r="P1223" s="1" t="s">
        <v>20</v>
      </c>
      <c r="V1223" s="1" t="s">
        <v>30057</v>
      </c>
      <c r="X1223" s="1" t="s">
        <v>27842</v>
      </c>
      <c r="AR1223" s="1" t="str">
        <f t="shared" si="79"/>
        <v>| [](.md) | [竈](竈.md) |  |  | 「灶」的異體字。 |</v>
      </c>
    </row>
    <row r="1224" spans="1:44" hidden="1">
      <c r="A1224" s="1" t="s">
        <v>30058</v>
      </c>
      <c r="C1224" s="1">
        <v>1</v>
      </c>
      <c r="D1224" s="1" t="str">
        <f>"09502-1"</f>
        <v>09502-1</v>
      </c>
      <c r="E1224" s="1" t="s">
        <v>28</v>
      </c>
      <c r="F1224" s="1">
        <v>10</v>
      </c>
      <c r="G1224" s="1">
        <v>7</v>
      </c>
      <c r="H1224" s="1">
        <v>0</v>
      </c>
      <c r="K1224" s="1" t="str">
        <f t="shared" si="76"/>
        <v/>
      </c>
      <c r="L1224" s="1" t="str">
        <f t="shared" si="77"/>
        <v/>
      </c>
      <c r="M1224" s="1" t="str">
        <f t="shared" si="78"/>
        <v/>
      </c>
      <c r="P1224" s="1" t="s">
        <v>20</v>
      </c>
      <c r="V1224" s="1" t="s">
        <v>30059</v>
      </c>
      <c r="X1224" s="1" t="s">
        <v>27842</v>
      </c>
      <c r="AR1224" s="1" t="str">
        <f t="shared" si="79"/>
        <v>| [](.md) | [唣](唣.md) |  |  | 「唕」的異體字。 |</v>
      </c>
    </row>
    <row r="1225" spans="1:44" hidden="1">
      <c r="A1225" s="1" t="s">
        <v>30060</v>
      </c>
      <c r="C1225" s="1">
        <v>1</v>
      </c>
      <c r="D1225" s="1" t="str">
        <f>"09529-1"</f>
        <v>09529-1</v>
      </c>
      <c r="E1225" s="1" t="s">
        <v>563</v>
      </c>
      <c r="F1225" s="1">
        <v>9</v>
      </c>
      <c r="G1225" s="1">
        <v>6</v>
      </c>
      <c r="H1225" s="1">
        <v>0</v>
      </c>
      <c r="K1225" s="1" t="str">
        <f t="shared" si="76"/>
        <v/>
      </c>
      <c r="L1225" s="1" t="str">
        <f t="shared" si="77"/>
        <v/>
      </c>
      <c r="M1225" s="1" t="str">
        <f t="shared" si="78"/>
        <v/>
      </c>
      <c r="P1225" s="1" t="s">
        <v>20</v>
      </c>
      <c r="V1225" s="1" t="s">
        <v>30061</v>
      </c>
      <c r="X1225" s="1" t="s">
        <v>27842</v>
      </c>
      <c r="AR1225" s="1" t="str">
        <f t="shared" si="79"/>
        <v>| [](.md) | [󱎑](󱎑.md) |  |  | 「奏」的異體字。 |</v>
      </c>
    </row>
    <row r="1226" spans="1:44" hidden="1">
      <c r="A1226" s="1" t="s">
        <v>30062</v>
      </c>
      <c r="C1226" s="1">
        <v>1</v>
      </c>
      <c r="D1226" s="1" t="str">
        <f>"09544-1"</f>
        <v>09544-1</v>
      </c>
      <c r="E1226" s="1" t="s">
        <v>114</v>
      </c>
      <c r="F1226" s="1">
        <v>17</v>
      </c>
      <c r="G1226" s="1">
        <v>15</v>
      </c>
      <c r="H1226" s="1">
        <v>0</v>
      </c>
      <c r="K1226" s="1" t="str">
        <f t="shared" si="76"/>
        <v/>
      </c>
      <c r="L1226" s="1" t="str">
        <f t="shared" si="77"/>
        <v/>
      </c>
      <c r="M1226" s="1" t="str">
        <f t="shared" si="78"/>
        <v/>
      </c>
      <c r="P1226" s="1" t="s">
        <v>20</v>
      </c>
      <c r="V1226" s="1" t="s">
        <v>30063</v>
      </c>
      <c r="X1226" s="1" t="s">
        <v>27842</v>
      </c>
      <c r="AR1226" s="1" t="str">
        <f t="shared" si="79"/>
        <v>| [](.md) | [儧](儧.md) |  |  | 「儹」的異體字。 |</v>
      </c>
    </row>
    <row r="1227" spans="1:44" hidden="1">
      <c r="A1227" s="1" t="s">
        <v>30064</v>
      </c>
      <c r="C1227" s="1">
        <v>1</v>
      </c>
      <c r="D1227" s="1" t="str">
        <f>"09552-1"</f>
        <v>09552-1</v>
      </c>
      <c r="E1227" s="1" t="s">
        <v>505</v>
      </c>
      <c r="F1227" s="1">
        <v>15</v>
      </c>
      <c r="G1227" s="1">
        <v>8</v>
      </c>
      <c r="H1227" s="1">
        <v>0</v>
      </c>
      <c r="K1227" s="1" t="str">
        <f t="shared" si="76"/>
        <v/>
      </c>
      <c r="L1227" s="1" t="str">
        <f t="shared" si="77"/>
        <v/>
      </c>
      <c r="M1227" s="1" t="str">
        <f t="shared" si="78"/>
        <v/>
      </c>
      <c r="P1227" s="1" t="s">
        <v>20</v>
      </c>
      <c r="V1227" s="1" t="s">
        <v>30065</v>
      </c>
      <c r="X1227" s="1" t="s">
        <v>27842</v>
      </c>
      <c r="AR1227" s="1" t="str">
        <f t="shared" si="79"/>
        <v>| [](.md) | [賛](賛.md) |  |  | 「贊」的異體字。 |</v>
      </c>
    </row>
    <row r="1228" spans="1:44" hidden="1">
      <c r="A1228" s="1" t="s">
        <v>30066</v>
      </c>
      <c r="C1228" s="1">
        <v>1</v>
      </c>
      <c r="D1228" s="1" t="str">
        <f>"09562-1"</f>
        <v>09562-1</v>
      </c>
      <c r="E1228" s="1" t="s">
        <v>505</v>
      </c>
      <c r="F1228" s="1">
        <v>13</v>
      </c>
      <c r="G1228" s="1">
        <v>6</v>
      </c>
      <c r="H1228" s="1">
        <v>0</v>
      </c>
      <c r="K1228" s="1" t="str">
        <f t="shared" si="76"/>
        <v/>
      </c>
      <c r="L1228" s="1" t="str">
        <f t="shared" si="77"/>
        <v/>
      </c>
      <c r="M1228" s="1" t="str">
        <f t="shared" si="78"/>
        <v/>
      </c>
      <c r="P1228" s="1" t="s">
        <v>20</v>
      </c>
      <c r="V1228" s="1" t="s">
        <v>30067</v>
      </c>
      <c r="X1228" s="1" t="s">
        <v>27842</v>
      </c>
      <c r="AR1228" s="1" t="str">
        <f t="shared" si="79"/>
        <v>| [](.md) | [賍](賍.md) |  |  | 「贓」的異體字。 |</v>
      </c>
    </row>
    <row r="1229" spans="1:44" hidden="1">
      <c r="A1229" s="1" t="s">
        <v>30068</v>
      </c>
      <c r="C1229" s="1">
        <v>1</v>
      </c>
      <c r="D1229" s="1" t="str">
        <f>"09562-2"</f>
        <v>09562-2</v>
      </c>
      <c r="E1229" s="1" t="s">
        <v>505</v>
      </c>
      <c r="F1229" s="1">
        <v>25</v>
      </c>
      <c r="G1229" s="1">
        <v>18</v>
      </c>
      <c r="H1229" s="1">
        <v>0</v>
      </c>
      <c r="K1229" s="1" t="str">
        <f t="shared" si="76"/>
        <v/>
      </c>
      <c r="L1229" s="1" t="str">
        <f t="shared" si="77"/>
        <v/>
      </c>
      <c r="M1229" s="1" t="str">
        <f t="shared" si="78"/>
        <v/>
      </c>
      <c r="P1229" s="1" t="s">
        <v>20</v>
      </c>
      <c r="V1229" s="1" t="s">
        <v>30067</v>
      </c>
      <c r="X1229" s="1" t="s">
        <v>27842</v>
      </c>
      <c r="AR1229" s="1" t="str">
        <f t="shared" si="79"/>
        <v>| [](.md) | [贜](贜.md) |  |  | 「贓」的異體字。 |</v>
      </c>
    </row>
    <row r="1230" spans="1:44" hidden="1">
      <c r="A1230" s="1" t="s">
        <v>30069</v>
      </c>
      <c r="C1230" s="1">
        <v>1</v>
      </c>
      <c r="D1230" s="1" t="str">
        <f>"09568-1"</f>
        <v>09568-1</v>
      </c>
      <c r="E1230" s="1" t="s">
        <v>37</v>
      </c>
      <c r="F1230" s="1">
        <v>13</v>
      </c>
      <c r="G1230" s="1">
        <v>9</v>
      </c>
      <c r="H1230" s="1">
        <v>0</v>
      </c>
      <c r="K1230" s="1" t="str">
        <f t="shared" si="76"/>
        <v/>
      </c>
      <c r="L1230" s="1" t="str">
        <f t="shared" si="77"/>
        <v/>
      </c>
      <c r="M1230" s="1" t="str">
        <f t="shared" si="78"/>
        <v/>
      </c>
      <c r="P1230" s="1" t="s">
        <v>20</v>
      </c>
      <c r="V1230" s="1" t="s">
        <v>30070</v>
      </c>
      <c r="X1230" s="1" t="s">
        <v>27842</v>
      </c>
      <c r="AR1230" s="1" t="str">
        <f t="shared" si="79"/>
        <v>| [](.md) | [塟](塟.md) |  |  | 「葬」的異體字。 |</v>
      </c>
    </row>
    <row r="1231" spans="1:44" hidden="1">
      <c r="A1231" s="1" t="s">
        <v>30071</v>
      </c>
      <c r="C1231" s="1">
        <v>1</v>
      </c>
      <c r="D1231" s="1" t="str">
        <f>"09587-1"</f>
        <v>09587-1</v>
      </c>
      <c r="E1231" s="1" t="s">
        <v>340</v>
      </c>
      <c r="F1231" s="1">
        <v>8</v>
      </c>
      <c r="G1231" s="1">
        <v>2</v>
      </c>
      <c r="H1231" s="1">
        <v>0</v>
      </c>
      <c r="K1231" s="1" t="str">
        <f t="shared" si="76"/>
        <v/>
      </c>
      <c r="L1231" s="1" t="str">
        <f t="shared" si="77"/>
        <v/>
      </c>
      <c r="M1231" s="1" t="str">
        <f t="shared" si="78"/>
        <v/>
      </c>
      <c r="P1231" s="1" t="s">
        <v>20</v>
      </c>
      <c r="V1231" s="1" t="s">
        <v>30072</v>
      </c>
      <c r="X1231" s="1" t="s">
        <v>27842</v>
      </c>
      <c r="AR1231" s="1" t="str">
        <f t="shared" si="79"/>
        <v>| [](.md) | [䘚](䘚.md) |  |  | 「卒」的異體字。 |</v>
      </c>
    </row>
    <row r="1232" spans="1:44" hidden="1">
      <c r="A1232" s="1" t="s">
        <v>30073</v>
      </c>
      <c r="C1232" s="1">
        <v>1</v>
      </c>
      <c r="D1232" s="1" t="str">
        <f>"09624-1"</f>
        <v>09624-1</v>
      </c>
      <c r="E1232" s="1" t="s">
        <v>1681</v>
      </c>
      <c r="F1232" s="1">
        <v>13</v>
      </c>
      <c r="G1232" s="1">
        <v>7</v>
      </c>
      <c r="H1232" s="1">
        <v>0</v>
      </c>
      <c r="K1232" s="1" t="str">
        <f t="shared" si="76"/>
        <v/>
      </c>
      <c r="L1232" s="1" t="str">
        <f t="shared" si="77"/>
        <v/>
      </c>
      <c r="M1232" s="1" t="str">
        <f t="shared" si="78"/>
        <v/>
      </c>
      <c r="P1232" s="1" t="s">
        <v>20</v>
      </c>
      <c r="V1232" s="1" t="s">
        <v>30074</v>
      </c>
      <c r="X1232" s="1" t="s">
        <v>27842</v>
      </c>
      <c r="AR1232" s="1" t="str">
        <f t="shared" si="79"/>
        <v>| [](.md) | [䘒](䘒.md) |  |  | 「脧」的異體字。 |</v>
      </c>
    </row>
    <row r="1233" spans="1:44" hidden="1">
      <c r="A1233" s="1" t="s">
        <v>30075</v>
      </c>
      <c r="C1233" s="1">
        <v>1</v>
      </c>
      <c r="D1233" s="1" t="str">
        <f>"09630-1"</f>
        <v>09630-1</v>
      </c>
      <c r="E1233" s="1" t="s">
        <v>624</v>
      </c>
      <c r="F1233" s="1">
        <v>11</v>
      </c>
      <c r="G1233" s="1">
        <v>8</v>
      </c>
      <c r="H1233" s="1">
        <v>0</v>
      </c>
      <c r="K1233" s="1" t="str">
        <f t="shared" si="76"/>
        <v/>
      </c>
      <c r="L1233" s="1" t="str">
        <f t="shared" si="77"/>
        <v/>
      </c>
      <c r="M1233" s="1" t="str">
        <f t="shared" si="78"/>
        <v/>
      </c>
      <c r="P1233" s="1" t="s">
        <v>20</v>
      </c>
      <c r="V1233" s="1" t="s">
        <v>30076</v>
      </c>
      <c r="X1233" s="1" t="s">
        <v>27842</v>
      </c>
      <c r="AR1233" s="1" t="str">
        <f t="shared" si="79"/>
        <v>| [](.md) | [㝡](㝡.md) |  |  | 「最」的異體字。 |</v>
      </c>
    </row>
    <row r="1234" spans="1:44" hidden="1">
      <c r="A1234" s="1" t="s">
        <v>30077</v>
      </c>
      <c r="C1234" s="1">
        <v>1</v>
      </c>
      <c r="D1234" s="1" t="str">
        <f>"09634-1"</f>
        <v>09634-1</v>
      </c>
      <c r="E1234" s="1" t="s">
        <v>1462</v>
      </c>
      <c r="F1234" s="1">
        <v>11</v>
      </c>
      <c r="G1234" s="1">
        <v>4</v>
      </c>
      <c r="H1234" s="1">
        <v>0</v>
      </c>
      <c r="K1234" s="1" t="str">
        <f t="shared" si="76"/>
        <v/>
      </c>
      <c r="L1234" s="1" t="str">
        <f t="shared" si="77"/>
        <v/>
      </c>
      <c r="M1234" s="1" t="str">
        <f t="shared" si="78"/>
        <v/>
      </c>
      <c r="P1234" s="1" t="s">
        <v>20</v>
      </c>
      <c r="V1234" s="1" t="s">
        <v>30078</v>
      </c>
      <c r="X1234" s="1" t="s">
        <v>27842</v>
      </c>
      <c r="AR1234" s="1" t="str">
        <f t="shared" si="79"/>
        <v>| [](.md) | [酔](酔.md) |  |  | 「醉」的異體字。 |</v>
      </c>
    </row>
    <row r="1235" spans="1:44" hidden="1">
      <c r="A1235" s="1" t="s">
        <v>30079</v>
      </c>
      <c r="C1235" s="1">
        <v>1</v>
      </c>
      <c r="D1235" s="1" t="str">
        <f>"09635-1"</f>
        <v>09635-1</v>
      </c>
      <c r="E1235" s="1" t="s">
        <v>732</v>
      </c>
      <c r="F1235" s="1">
        <v>13</v>
      </c>
      <c r="G1235" s="1">
        <v>6</v>
      </c>
      <c r="H1235" s="1">
        <v>0</v>
      </c>
      <c r="K1235" s="1" t="str">
        <f t="shared" si="76"/>
        <v/>
      </c>
      <c r="L1235" s="1" t="str">
        <f t="shared" si="77"/>
        <v/>
      </c>
      <c r="M1235" s="1" t="str">
        <f t="shared" si="78"/>
        <v/>
      </c>
      <c r="P1235" s="1" t="s">
        <v>20</v>
      </c>
      <c r="V1235" s="1" t="s">
        <v>30080</v>
      </c>
      <c r="X1235" s="1" t="s">
        <v>27842</v>
      </c>
      <c r="AR1235" s="1" t="str">
        <f t="shared" si="79"/>
        <v>| [](.md) | [辠](辠.md) |  |  | 「罪」的異體字。 |</v>
      </c>
    </row>
    <row r="1236" spans="1:44" hidden="1">
      <c r="A1236" s="1" t="s">
        <v>30081</v>
      </c>
      <c r="C1236" s="1">
        <v>1</v>
      </c>
      <c r="D1236" s="1" t="str">
        <f>"09651-1"</f>
        <v>09651-1</v>
      </c>
      <c r="E1236" s="1" t="s">
        <v>175</v>
      </c>
      <c r="F1236" s="1">
        <v>18</v>
      </c>
      <c r="G1236" s="1">
        <v>12</v>
      </c>
      <c r="H1236" s="1">
        <v>0</v>
      </c>
      <c r="K1236" s="1" t="str">
        <f t="shared" si="76"/>
        <v/>
      </c>
      <c r="L1236" s="1" t="str">
        <f t="shared" si="77"/>
        <v/>
      </c>
      <c r="M1236" s="1" t="str">
        <f t="shared" si="78"/>
        <v/>
      </c>
      <c r="P1236" s="1" t="s">
        <v>20</v>
      </c>
      <c r="V1236" s="1" t="s">
        <v>30082</v>
      </c>
      <c r="X1236" s="1" t="s">
        <v>27842</v>
      </c>
      <c r="AR1236" s="1" t="str">
        <f t="shared" si="79"/>
        <v>| [](.md) | [罇](罇.md) |  |  | 「樽」的異體字。 |</v>
      </c>
    </row>
    <row r="1237" spans="1:44" hidden="1">
      <c r="A1237" s="1" t="s">
        <v>30083</v>
      </c>
      <c r="C1237" s="1">
        <v>1</v>
      </c>
      <c r="D1237" s="1" t="str">
        <f>"09663-1"</f>
        <v>09663-1</v>
      </c>
      <c r="E1237" s="1" t="s">
        <v>139</v>
      </c>
      <c r="F1237" s="1">
        <v>13</v>
      </c>
      <c r="G1237" s="1">
        <v>9</v>
      </c>
      <c r="H1237" s="1">
        <v>0</v>
      </c>
      <c r="K1237" s="1" t="str">
        <f t="shared" si="76"/>
        <v/>
      </c>
      <c r="L1237" s="1" t="str">
        <f t="shared" si="77"/>
        <v/>
      </c>
      <c r="M1237" s="1" t="str">
        <f t="shared" si="78"/>
        <v/>
      </c>
      <c r="P1237" s="1" t="s">
        <v>20</v>
      </c>
      <c r="V1237" s="1" t="s">
        <v>30084</v>
      </c>
      <c r="X1237" s="1" t="s">
        <v>27842</v>
      </c>
      <c r="AR1237" s="1" t="str">
        <f t="shared" si="79"/>
        <v>| [](.md) | [椶](椶.md) |  |  | 「棕」的異體字。 |</v>
      </c>
    </row>
    <row r="1238" spans="1:44" hidden="1">
      <c r="A1238" s="1" t="s">
        <v>30085</v>
      </c>
      <c r="C1238" s="1">
        <v>1</v>
      </c>
      <c r="D1238" s="1" t="str">
        <f>"09663-2"</f>
        <v>09663-2</v>
      </c>
      <c r="E1238" s="1" t="s">
        <v>139</v>
      </c>
      <c r="F1238" s="1">
        <v>17</v>
      </c>
      <c r="G1238" s="1">
        <v>13</v>
      </c>
      <c r="H1238" s="1">
        <v>0</v>
      </c>
      <c r="K1238" s="1" t="str">
        <f t="shared" si="76"/>
        <v/>
      </c>
      <c r="L1238" s="1" t="str">
        <f t="shared" si="77"/>
        <v/>
      </c>
      <c r="M1238" s="1" t="str">
        <f t="shared" si="78"/>
        <v/>
      </c>
      <c r="P1238" s="1" t="s">
        <v>20</v>
      </c>
      <c r="V1238" s="1" t="s">
        <v>30084</v>
      </c>
      <c r="X1238" s="1" t="s">
        <v>27842</v>
      </c>
      <c r="AR1238" s="1" t="str">
        <f t="shared" si="79"/>
        <v>| [](.md) | [㯶](㯶.md) |  |  | 「棕」的異體字。 |</v>
      </c>
    </row>
    <row r="1239" spans="1:44" hidden="1">
      <c r="A1239" s="1" t="s">
        <v>30086</v>
      </c>
      <c r="C1239" s="1">
        <v>1</v>
      </c>
      <c r="D1239" s="1" t="str">
        <f>"09666-1"</f>
        <v>09666-1</v>
      </c>
      <c r="E1239" s="1" t="s">
        <v>190</v>
      </c>
      <c r="F1239" s="1">
        <v>14</v>
      </c>
      <c r="G1239" s="1">
        <v>11</v>
      </c>
      <c r="H1239" s="1">
        <v>0</v>
      </c>
      <c r="K1239" s="1" t="str">
        <f t="shared" si="76"/>
        <v/>
      </c>
      <c r="L1239" s="1" t="str">
        <f t="shared" si="77"/>
        <v/>
      </c>
      <c r="M1239" s="1" t="str">
        <f t="shared" si="78"/>
        <v/>
      </c>
      <c r="P1239" s="1" t="s">
        <v>20</v>
      </c>
      <c r="V1239" s="1" t="s">
        <v>30087</v>
      </c>
      <c r="X1239" s="1" t="s">
        <v>27842</v>
      </c>
      <c r="AR1239" s="1" t="str">
        <f t="shared" si="79"/>
        <v>| [](.md) | [嵸](嵸.md) |  |  | 「嵷」的異體字。 |</v>
      </c>
    </row>
    <row r="1240" spans="1:44" hidden="1">
      <c r="A1240" s="1" t="s">
        <v>30088</v>
      </c>
      <c r="C1240" s="1">
        <v>1</v>
      </c>
      <c r="D1240" s="1" t="str">
        <f>"09669-1"</f>
        <v>09669-1</v>
      </c>
      <c r="E1240" s="1" t="s">
        <v>77</v>
      </c>
      <c r="F1240" s="1">
        <v>15</v>
      </c>
      <c r="G1240" s="1">
        <v>8</v>
      </c>
      <c r="H1240" s="1">
        <v>0</v>
      </c>
      <c r="K1240" s="1" t="str">
        <f t="shared" si="76"/>
        <v/>
      </c>
      <c r="L1240" s="1" t="str">
        <f t="shared" si="77"/>
        <v/>
      </c>
      <c r="M1240" s="1" t="str">
        <f t="shared" si="78"/>
        <v/>
      </c>
      <c r="P1240" s="1" t="s">
        <v>20</v>
      </c>
      <c r="V1240" s="1" t="s">
        <v>30089</v>
      </c>
      <c r="X1240" s="1" t="s">
        <v>27842</v>
      </c>
      <c r="AR1240" s="1" t="str">
        <f t="shared" si="79"/>
        <v>| [](.md) | [踪](踪.md) |  |  | 「蹤」的異體字。 |</v>
      </c>
    </row>
    <row r="1241" spans="1:44" hidden="1">
      <c r="A1241" s="1" t="s">
        <v>30090</v>
      </c>
      <c r="C1241" s="1">
        <v>1</v>
      </c>
      <c r="D1241" s="1" t="str">
        <f>"09673-1"</f>
        <v>09673-1</v>
      </c>
      <c r="E1241" s="1" t="s">
        <v>319</v>
      </c>
      <c r="F1241" s="1">
        <v>18</v>
      </c>
      <c r="G1241" s="1">
        <v>8</v>
      </c>
      <c r="H1241" s="1">
        <v>0</v>
      </c>
      <c r="K1241" s="1" t="str">
        <f t="shared" si="76"/>
        <v/>
      </c>
      <c r="L1241" s="1" t="str">
        <f t="shared" si="77"/>
        <v/>
      </c>
      <c r="M1241" s="1" t="str">
        <f t="shared" si="78"/>
        <v/>
      </c>
      <c r="P1241" s="1" t="s">
        <v>20</v>
      </c>
      <c r="V1241" s="1" t="s">
        <v>30091</v>
      </c>
      <c r="X1241" s="1" t="s">
        <v>27842</v>
      </c>
      <c r="AR1241" s="1" t="str">
        <f t="shared" si="79"/>
        <v>| [](.md) | [騌](騌.md) |  |  | 「騣」的異體字。 |</v>
      </c>
    </row>
    <row r="1242" spans="1:44" hidden="1">
      <c r="A1242" s="1" t="s">
        <v>30092</v>
      </c>
      <c r="C1242" s="1">
        <v>1</v>
      </c>
      <c r="D1242" s="1" t="str">
        <f>"09675-1"</f>
        <v>09675-1</v>
      </c>
      <c r="E1242" s="1" t="s">
        <v>114</v>
      </c>
      <c r="F1242" s="1">
        <v>11</v>
      </c>
      <c r="G1242" s="1">
        <v>9</v>
      </c>
      <c r="H1242" s="1">
        <v>0</v>
      </c>
      <c r="K1242" s="1" t="str">
        <f t="shared" si="76"/>
        <v/>
      </c>
      <c r="L1242" s="1" t="str">
        <f t="shared" si="77"/>
        <v/>
      </c>
      <c r="M1242" s="1" t="str">
        <f t="shared" si="78"/>
        <v/>
      </c>
      <c r="P1242" s="1" t="s">
        <v>20</v>
      </c>
      <c r="V1242" s="1" t="s">
        <v>30093</v>
      </c>
      <c r="X1242" s="1" t="s">
        <v>27842</v>
      </c>
      <c r="AR1242" s="1" t="str">
        <f t="shared" si="79"/>
        <v>| [](.md) | [偬](偬.md) |  |  | 「傯」的異體字。 |</v>
      </c>
    </row>
    <row r="1243" spans="1:44" hidden="1">
      <c r="A1243" s="1" t="s">
        <v>30094</v>
      </c>
      <c r="C1243" s="1">
        <v>1</v>
      </c>
      <c r="D1243" s="1" t="str">
        <f>"09676-1"</f>
        <v>09676-1</v>
      </c>
      <c r="E1243" s="1" t="s">
        <v>250</v>
      </c>
      <c r="F1243" s="1">
        <v>12</v>
      </c>
      <c r="G1243" s="1">
        <v>9</v>
      </c>
      <c r="H1243" s="1">
        <v>0</v>
      </c>
      <c r="K1243" s="1" t="str">
        <f t="shared" si="76"/>
        <v/>
      </c>
      <c r="L1243" s="1" t="str">
        <f t="shared" si="77"/>
        <v/>
      </c>
      <c r="M1243" s="1" t="str">
        <f t="shared" si="78"/>
        <v/>
      </c>
      <c r="P1243" s="1" t="s">
        <v>20</v>
      </c>
      <c r="V1243" s="1" t="s">
        <v>30095</v>
      </c>
      <c r="X1243" s="1" t="s">
        <v>27842</v>
      </c>
      <c r="AR1243" s="1" t="str">
        <f t="shared" si="79"/>
        <v>| [](.md) | [愡](愡.md) |  |  | 「憁」的異體字。 |</v>
      </c>
    </row>
    <row r="1244" spans="1:44" hidden="1">
      <c r="A1244" s="1" t="s">
        <v>30096</v>
      </c>
      <c r="C1244" s="1">
        <v>1</v>
      </c>
      <c r="D1244" s="1" t="str">
        <f>"09677-1"</f>
        <v>09677-1</v>
      </c>
      <c r="E1244" s="1" t="s">
        <v>24</v>
      </c>
      <c r="F1244" s="1">
        <v>11</v>
      </c>
      <c r="G1244" s="1">
        <v>8</v>
      </c>
      <c r="H1244" s="1">
        <v>0</v>
      </c>
      <c r="K1244" s="1" t="str">
        <f t="shared" si="76"/>
        <v/>
      </c>
      <c r="L1244" s="1" t="str">
        <f t="shared" si="77"/>
        <v/>
      </c>
      <c r="M1244" s="1" t="str">
        <f t="shared" si="78"/>
        <v/>
      </c>
      <c r="P1244" s="1" t="s">
        <v>20</v>
      </c>
      <c r="V1244" s="1" t="s">
        <v>30097</v>
      </c>
      <c r="X1244" s="1" t="s">
        <v>27842</v>
      </c>
      <c r="AR1244" s="1" t="str">
        <f t="shared" si="79"/>
        <v>| [](.md) | [捴](捴.md) |  |  | 「摠」的異體字。 |</v>
      </c>
    </row>
    <row r="1245" spans="1:44" hidden="1">
      <c r="A1245" s="1" t="s">
        <v>30098</v>
      </c>
      <c r="C1245" s="1">
        <v>1</v>
      </c>
      <c r="D1245" s="1" t="str">
        <f>"09677-2"</f>
        <v>09677-2</v>
      </c>
      <c r="E1245" s="1" t="s">
        <v>24</v>
      </c>
      <c r="F1245" s="1">
        <v>12</v>
      </c>
      <c r="G1245" s="1">
        <v>9</v>
      </c>
      <c r="H1245" s="1">
        <v>0</v>
      </c>
      <c r="K1245" s="1" t="str">
        <f t="shared" si="76"/>
        <v/>
      </c>
      <c r="L1245" s="1" t="str">
        <f t="shared" si="77"/>
        <v/>
      </c>
      <c r="M1245" s="1" t="str">
        <f t="shared" si="78"/>
        <v/>
      </c>
      <c r="P1245" s="1" t="s">
        <v>20</v>
      </c>
      <c r="V1245" s="1" t="s">
        <v>30097</v>
      </c>
      <c r="X1245" s="1" t="s">
        <v>27842</v>
      </c>
      <c r="AR1245" s="1" t="str">
        <f t="shared" si="79"/>
        <v>| [](.md) | [揔](揔.md) |  |  | 「摠」的異體字。 |</v>
      </c>
    </row>
    <row r="1246" spans="1:44" hidden="1">
      <c r="A1246" s="1" t="s">
        <v>30099</v>
      </c>
      <c r="C1246" s="1">
        <v>1</v>
      </c>
      <c r="D1246" s="1" t="str">
        <f>"09678-1"</f>
        <v>09678-1</v>
      </c>
      <c r="E1246" s="1" t="s">
        <v>725</v>
      </c>
      <c r="F1246" s="1">
        <v>14</v>
      </c>
      <c r="G1246" s="1">
        <v>8</v>
      </c>
      <c r="H1246" s="1">
        <v>0</v>
      </c>
      <c r="K1246" s="1" t="str">
        <f t="shared" si="76"/>
        <v/>
      </c>
      <c r="L1246" s="1" t="str">
        <f t="shared" si="77"/>
        <v/>
      </c>
      <c r="M1246" s="1" t="str">
        <f t="shared" si="78"/>
        <v/>
      </c>
      <c r="P1246" s="1" t="s">
        <v>20</v>
      </c>
      <c r="V1246" s="1" t="s">
        <v>30100</v>
      </c>
      <c r="X1246" s="1" t="s">
        <v>27842</v>
      </c>
      <c r="AR1246" s="1" t="str">
        <f t="shared" si="79"/>
        <v>| [](.md) | [総](総.md) |  |  | 「總」的異體字。 |</v>
      </c>
    </row>
    <row r="1247" spans="1:44" hidden="1">
      <c r="A1247" s="1" t="s">
        <v>22857</v>
      </c>
      <c r="C1247" s="1">
        <v>1</v>
      </c>
      <c r="D1247" s="1" t="str">
        <f>"09678-2"</f>
        <v>09678-2</v>
      </c>
      <c r="E1247" s="1" t="s">
        <v>725</v>
      </c>
      <c r="F1247" s="1">
        <v>15</v>
      </c>
      <c r="G1247" s="1">
        <v>9</v>
      </c>
      <c r="H1247" s="1">
        <v>0</v>
      </c>
      <c r="K1247" s="1" t="str">
        <f t="shared" si="76"/>
        <v/>
      </c>
      <c r="L1247" s="1" t="str">
        <f t="shared" si="77"/>
        <v/>
      </c>
      <c r="M1247" s="1" t="str">
        <f t="shared" si="78"/>
        <v/>
      </c>
      <c r="P1247" s="1" t="s">
        <v>20</v>
      </c>
      <c r="V1247" s="1" t="s">
        <v>30100</v>
      </c>
      <c r="X1247" s="1" t="s">
        <v>27842</v>
      </c>
      <c r="AR1247" s="1" t="str">
        <f t="shared" si="79"/>
        <v>| [](.md) | [緫](緫.md) |  |  | 「總」的異體字。 |</v>
      </c>
    </row>
    <row r="1248" spans="1:44" hidden="1">
      <c r="A1248" s="1" t="s">
        <v>30101</v>
      </c>
      <c r="C1248" s="1">
        <v>1</v>
      </c>
      <c r="D1248" s="1" t="str">
        <f>"09680-1"</f>
        <v>09680-1</v>
      </c>
      <c r="E1248" s="1" t="s">
        <v>114</v>
      </c>
      <c r="F1248" s="1">
        <v>4</v>
      </c>
      <c r="G1248" s="1">
        <v>2</v>
      </c>
      <c r="H1248" s="1">
        <v>0</v>
      </c>
      <c r="K1248" s="1" t="str">
        <f t="shared" si="76"/>
        <v/>
      </c>
      <c r="L1248" s="1" t="str">
        <f t="shared" si="77"/>
        <v/>
      </c>
      <c r="M1248" s="1" t="str">
        <f t="shared" si="78"/>
        <v/>
      </c>
      <c r="P1248" s="1" t="s">
        <v>20</v>
      </c>
      <c r="V1248" s="1" t="s">
        <v>30102</v>
      </c>
      <c r="X1248" s="1" t="s">
        <v>27842</v>
      </c>
      <c r="AR1248" s="1" t="str">
        <f t="shared" si="79"/>
        <v>| [](.md) | [从](从.md) |  |  | 「從」的異體字。 |</v>
      </c>
    </row>
    <row r="1249" spans="1:44" hidden="1">
      <c r="A1249" s="1" t="s">
        <v>30103</v>
      </c>
      <c r="C1249" s="1">
        <v>1</v>
      </c>
      <c r="D1249" s="1" t="str">
        <f>"09680-2"</f>
        <v>09680-2</v>
      </c>
      <c r="E1249" s="1" t="s">
        <v>234</v>
      </c>
      <c r="F1249" s="1">
        <v>10</v>
      </c>
      <c r="G1249" s="1">
        <v>7</v>
      </c>
      <c r="H1249" s="1">
        <v>0</v>
      </c>
      <c r="K1249" s="1" t="str">
        <f t="shared" si="76"/>
        <v/>
      </c>
      <c r="L1249" s="1" t="str">
        <f t="shared" si="77"/>
        <v/>
      </c>
      <c r="M1249" s="1" t="str">
        <f t="shared" si="78"/>
        <v/>
      </c>
      <c r="P1249" s="1" t="s">
        <v>20</v>
      </c>
      <c r="V1249" s="1" t="s">
        <v>30102</v>
      </c>
      <c r="X1249" s="1" t="s">
        <v>27842</v>
      </c>
      <c r="AR1249" s="1" t="str">
        <f t="shared" si="79"/>
        <v>| [](.md) | [従](従.md) |  |  | 「從」的異體字。 |</v>
      </c>
    </row>
    <row r="1250" spans="1:44" hidden="1">
      <c r="A1250" s="1" t="s">
        <v>30104</v>
      </c>
      <c r="C1250" s="1">
        <v>1</v>
      </c>
      <c r="D1250" s="1" t="str">
        <f>"09694-1"</f>
        <v>09694-1</v>
      </c>
      <c r="E1250" s="1" t="s">
        <v>331</v>
      </c>
      <c r="F1250" s="1">
        <v>12</v>
      </c>
      <c r="G1250" s="1">
        <v>5</v>
      </c>
      <c r="H1250" s="1">
        <v>0</v>
      </c>
      <c r="K1250" s="1" t="str">
        <f t="shared" si="76"/>
        <v/>
      </c>
      <c r="L1250" s="1" t="str">
        <f t="shared" si="77"/>
        <v/>
      </c>
      <c r="M1250" s="1" t="str">
        <f t="shared" si="78"/>
        <v/>
      </c>
      <c r="P1250" s="1" t="s">
        <v>20</v>
      </c>
      <c r="V1250" s="1" t="s">
        <v>30105</v>
      </c>
      <c r="X1250" s="1" t="s">
        <v>27842</v>
      </c>
      <c r="AR1250" s="1" t="str">
        <f t="shared" si="79"/>
        <v>| [](.md) | [䛐](䛐.md) |  |  | 「詞」的異體字。 |</v>
      </c>
    </row>
    <row r="1251" spans="1:44" hidden="1">
      <c r="A1251" s="1" t="s">
        <v>30106</v>
      </c>
      <c r="C1251" s="1">
        <v>1</v>
      </c>
      <c r="D1251" s="1" t="str">
        <f>"09696-1"</f>
        <v>09696-1</v>
      </c>
      <c r="E1251" s="1" t="s">
        <v>1824</v>
      </c>
      <c r="F1251" s="1">
        <v>14</v>
      </c>
      <c r="G1251" s="1">
        <v>9</v>
      </c>
      <c r="H1251" s="1">
        <v>0</v>
      </c>
      <c r="K1251" s="1" t="str">
        <f t="shared" si="76"/>
        <v/>
      </c>
      <c r="L1251" s="1" t="str">
        <f t="shared" si="77"/>
        <v/>
      </c>
      <c r="M1251" s="1" t="str">
        <f t="shared" si="78"/>
        <v/>
      </c>
      <c r="P1251" s="1" t="s">
        <v>20</v>
      </c>
      <c r="V1251" s="1" t="s">
        <v>30107</v>
      </c>
      <c r="X1251" s="1" t="s">
        <v>27842</v>
      </c>
      <c r="AR1251" s="1" t="str">
        <f t="shared" si="79"/>
        <v>| [](.md) | [甆](甆.md) |  |  | 「瓷」的異體字。 |</v>
      </c>
    </row>
    <row r="1252" spans="1:44" hidden="1">
      <c r="A1252" s="1" t="s">
        <v>30108</v>
      </c>
      <c r="C1252" s="1">
        <v>1</v>
      </c>
      <c r="D1252" s="1" t="str">
        <f>"09697-1"</f>
        <v>09697-1</v>
      </c>
      <c r="E1252" s="1" t="s">
        <v>46</v>
      </c>
      <c r="F1252" s="1">
        <v>15</v>
      </c>
      <c r="G1252" s="1">
        <v>9</v>
      </c>
      <c r="H1252" s="1">
        <v>0</v>
      </c>
      <c r="K1252" s="1" t="str">
        <f t="shared" si="76"/>
        <v/>
      </c>
      <c r="L1252" s="1" t="str">
        <f t="shared" si="77"/>
        <v/>
      </c>
      <c r="M1252" s="1" t="str">
        <f t="shared" si="78"/>
        <v/>
      </c>
      <c r="P1252" s="1" t="s">
        <v>20</v>
      </c>
      <c r="V1252" s="1" t="s">
        <v>30109</v>
      </c>
      <c r="X1252" s="1" t="s">
        <v>27842</v>
      </c>
      <c r="AR1252" s="1" t="str">
        <f t="shared" si="79"/>
        <v>| [](.md) | [糍](糍.md) |  |  | 「餈」的異體字。 |</v>
      </c>
    </row>
    <row r="1253" spans="1:44" hidden="1">
      <c r="A1253" s="1" t="s">
        <v>30110</v>
      </c>
      <c r="C1253" s="1">
        <v>1</v>
      </c>
      <c r="D1253" s="1" t="str">
        <f>"09702-1"</f>
        <v>09702-1</v>
      </c>
      <c r="E1253" s="1" t="s">
        <v>250</v>
      </c>
      <c r="F1253" s="1">
        <v>14</v>
      </c>
      <c r="G1253" s="1">
        <v>10</v>
      </c>
      <c r="H1253" s="1">
        <v>0</v>
      </c>
      <c r="K1253" s="1" t="str">
        <f t="shared" si="76"/>
        <v/>
      </c>
      <c r="L1253" s="1" t="str">
        <f t="shared" si="77"/>
        <v/>
      </c>
      <c r="M1253" s="1" t="str">
        <f t="shared" si="78"/>
        <v/>
      </c>
      <c r="P1253" s="1" t="s">
        <v>20</v>
      </c>
      <c r="V1253" s="1" t="s">
        <v>30111</v>
      </c>
      <c r="X1253" s="1" t="s">
        <v>27842</v>
      </c>
      <c r="AR1253" s="1" t="str">
        <f t="shared" si="79"/>
        <v>| [](.md) | [慈](慈.md) |  |  | 「慈」的異體字。 |</v>
      </c>
    </row>
    <row r="1254" spans="1:44" hidden="1">
      <c r="A1254" s="1" t="s">
        <v>30112</v>
      </c>
      <c r="C1254" s="1">
        <v>1</v>
      </c>
      <c r="D1254" s="1" t="str">
        <f>"09704-1"</f>
        <v>09704-1</v>
      </c>
      <c r="E1254" s="1" t="s">
        <v>272</v>
      </c>
      <c r="F1254" s="1">
        <v>21</v>
      </c>
      <c r="G1254" s="1">
        <v>10</v>
      </c>
      <c r="H1254" s="1">
        <v>0</v>
      </c>
      <c r="K1254" s="1" t="str">
        <f t="shared" si="76"/>
        <v/>
      </c>
      <c r="L1254" s="1" t="str">
        <f t="shared" si="77"/>
        <v/>
      </c>
      <c r="M1254" s="1" t="str">
        <f t="shared" si="78"/>
        <v/>
      </c>
      <c r="P1254" s="1" t="s">
        <v>20</v>
      </c>
      <c r="V1254" s="1" t="s">
        <v>30113</v>
      </c>
      <c r="X1254" s="1" t="s">
        <v>27842</v>
      </c>
      <c r="AR1254" s="1" t="str">
        <f t="shared" si="79"/>
        <v>| [](.md) | [鷀](鷀.md) |  |  | 「鶿」的異體字。 |</v>
      </c>
    </row>
    <row r="1255" spans="1:44" hidden="1">
      <c r="A1255" s="1" t="s">
        <v>30114</v>
      </c>
      <c r="C1255" s="1">
        <v>1</v>
      </c>
      <c r="D1255" s="1" t="str">
        <f>"09705-1"</f>
        <v>09705-1</v>
      </c>
      <c r="E1255" s="1" t="s">
        <v>732</v>
      </c>
      <c r="F1255" s="1">
        <v>12</v>
      </c>
      <c r="G1255" s="1">
        <v>5</v>
      </c>
      <c r="H1255" s="1">
        <v>0</v>
      </c>
      <c r="K1255" s="1" t="str">
        <f t="shared" si="76"/>
        <v/>
      </c>
      <c r="L1255" s="1" t="str">
        <f t="shared" si="77"/>
        <v/>
      </c>
      <c r="M1255" s="1" t="str">
        <f t="shared" si="78"/>
        <v/>
      </c>
      <c r="P1255" s="1" t="s">
        <v>20</v>
      </c>
      <c r="V1255" s="1" t="s">
        <v>30115</v>
      </c>
      <c r="X1255" s="1" t="s">
        <v>27842</v>
      </c>
      <c r="AR1255" s="1" t="str">
        <f t="shared" si="79"/>
        <v>| [](.md) | [辝](辝.md) |  |  | 「辭」的異體字。 |</v>
      </c>
    </row>
    <row r="1256" spans="1:44" hidden="1">
      <c r="A1256" s="1" t="s">
        <v>30116</v>
      </c>
      <c r="C1256" s="1">
        <v>1</v>
      </c>
      <c r="D1256" s="1" t="str">
        <f>"09705-2"</f>
        <v>09705-2</v>
      </c>
      <c r="E1256" s="1" t="s">
        <v>732</v>
      </c>
      <c r="F1256" s="1">
        <v>13</v>
      </c>
      <c r="G1256" s="1">
        <v>6</v>
      </c>
      <c r="H1256" s="1">
        <v>0</v>
      </c>
      <c r="K1256" s="1" t="str">
        <f t="shared" si="76"/>
        <v/>
      </c>
      <c r="L1256" s="1" t="str">
        <f t="shared" si="77"/>
        <v/>
      </c>
      <c r="M1256" s="1" t="str">
        <f t="shared" si="78"/>
        <v/>
      </c>
      <c r="P1256" s="1" t="s">
        <v>20</v>
      </c>
      <c r="V1256" s="1" t="s">
        <v>30115</v>
      </c>
      <c r="X1256" s="1" t="s">
        <v>27842</v>
      </c>
      <c r="AR1256" s="1" t="str">
        <f t="shared" si="79"/>
        <v>| [](.md) | [辞](辞.md) |  |  | 「辭」的異體字。 |</v>
      </c>
    </row>
    <row r="1257" spans="1:44" hidden="1">
      <c r="A1257" s="1" t="s">
        <v>30117</v>
      </c>
      <c r="C1257" s="1">
        <v>1</v>
      </c>
      <c r="D1257" s="1" t="str">
        <f>"09705-3"</f>
        <v>09705-3</v>
      </c>
      <c r="E1257" s="1" t="s">
        <v>732</v>
      </c>
      <c r="F1257" s="1">
        <v>15</v>
      </c>
      <c r="G1257" s="1">
        <v>8</v>
      </c>
      <c r="H1257" s="1">
        <v>0</v>
      </c>
      <c r="K1257" s="1" t="str">
        <f t="shared" si="76"/>
        <v/>
      </c>
      <c r="L1257" s="1" t="str">
        <f t="shared" si="77"/>
        <v/>
      </c>
      <c r="M1257" s="1" t="str">
        <f t="shared" si="78"/>
        <v/>
      </c>
      <c r="P1257" s="1" t="s">
        <v>20</v>
      </c>
      <c r="V1257" s="1" t="s">
        <v>30115</v>
      </c>
      <c r="X1257" s="1" t="s">
        <v>27842</v>
      </c>
      <c r="AR1257" s="1" t="str">
        <f t="shared" si="79"/>
        <v>| [](.md) | [辤](辤.md) |  |  | 「辭」的異體字。 |</v>
      </c>
    </row>
    <row r="1258" spans="1:44" hidden="1">
      <c r="A1258" s="1" t="s">
        <v>30118</v>
      </c>
      <c r="C1258" s="1">
        <v>1</v>
      </c>
      <c r="D1258" s="1" t="str">
        <f>"09714-1"</f>
        <v>09714-1</v>
      </c>
      <c r="E1258" s="1" t="s">
        <v>185</v>
      </c>
      <c r="F1258" s="1">
        <v>8</v>
      </c>
      <c r="G1258" s="1">
        <v>6</v>
      </c>
      <c r="H1258" s="1">
        <v>0</v>
      </c>
      <c r="K1258" s="1" t="str">
        <f t="shared" si="76"/>
        <v/>
      </c>
      <c r="L1258" s="1" t="str">
        <f t="shared" si="77"/>
        <v/>
      </c>
      <c r="M1258" s="1" t="str">
        <f t="shared" si="78"/>
        <v/>
      </c>
      <c r="P1258" s="1" t="s">
        <v>20</v>
      </c>
      <c r="V1258" s="1" t="s">
        <v>30119</v>
      </c>
      <c r="X1258" s="1" t="s">
        <v>27842</v>
      </c>
      <c r="AR1258" s="1" t="str">
        <f t="shared" si="79"/>
        <v>| [](.md) | [刾](刾.md) |  |  | 「刺」的異體字。 |</v>
      </c>
    </row>
    <row r="1259" spans="1:44" hidden="1">
      <c r="A1259" s="1" t="s">
        <v>30120</v>
      </c>
      <c r="C1259" s="1">
        <v>1</v>
      </c>
      <c r="D1259" s="1" t="str">
        <f>"09717-1"</f>
        <v>09717-1</v>
      </c>
      <c r="E1259" s="1" t="s">
        <v>1941</v>
      </c>
      <c r="F1259" s="1">
        <v>11</v>
      </c>
      <c r="G1259" s="1">
        <v>9</v>
      </c>
      <c r="H1259" s="1">
        <v>0</v>
      </c>
      <c r="K1259" s="1" t="str">
        <f t="shared" si="76"/>
        <v/>
      </c>
      <c r="L1259" s="1" t="str">
        <f t="shared" si="77"/>
        <v/>
      </c>
      <c r="M1259" s="1" t="str">
        <f t="shared" si="78"/>
        <v/>
      </c>
      <c r="P1259" s="1" t="s">
        <v>20</v>
      </c>
      <c r="V1259" s="1" t="s">
        <v>30121</v>
      </c>
      <c r="X1259" s="1" t="s">
        <v>27842</v>
      </c>
      <c r="AR1259" s="1" t="str">
        <f t="shared" si="79"/>
        <v>| [](.md) | [厠](厠.md) |  |  | 「廁」的異體字。 |</v>
      </c>
    </row>
    <row r="1260" spans="1:44" hidden="1">
      <c r="A1260" s="1" t="s">
        <v>30122</v>
      </c>
      <c r="C1260" s="1">
        <v>1</v>
      </c>
      <c r="D1260" s="1" t="str">
        <f>"09730-1"</f>
        <v>09730-1</v>
      </c>
      <c r="E1260" s="1" t="s">
        <v>49</v>
      </c>
      <c r="F1260" s="1">
        <v>13</v>
      </c>
      <c r="G1260" s="1">
        <v>7</v>
      </c>
      <c r="H1260" s="1">
        <v>0</v>
      </c>
      <c r="K1260" s="1" t="str">
        <f t="shared" si="76"/>
        <v/>
      </c>
      <c r="L1260" s="1" t="str">
        <f t="shared" si="77"/>
        <v/>
      </c>
      <c r="M1260" s="1" t="str">
        <f t="shared" si="78"/>
        <v/>
      </c>
      <c r="P1260" s="1" t="s">
        <v>20</v>
      </c>
      <c r="V1260" s="1" t="s">
        <v>30123</v>
      </c>
      <c r="X1260" s="1" t="s">
        <v>27842</v>
      </c>
      <c r="AR1260" s="1" t="str">
        <f t="shared" si="79"/>
        <v>| [](.md) | [筞](筞.md) |  |  | 「策」的異體字。 |</v>
      </c>
    </row>
    <row r="1261" spans="1:44" hidden="1">
      <c r="A1261" s="1" t="s">
        <v>30124</v>
      </c>
      <c r="C1261" s="1">
        <v>1</v>
      </c>
      <c r="D1261" s="1" t="str">
        <f>"09752-1"</f>
        <v>09752-1</v>
      </c>
      <c r="E1261" s="1" t="s">
        <v>24</v>
      </c>
      <c r="F1261" s="1">
        <v>15</v>
      </c>
      <c r="G1261" s="1">
        <v>12</v>
      </c>
      <c r="H1261" s="1">
        <v>0</v>
      </c>
      <c r="K1261" s="1" t="str">
        <f t="shared" si="76"/>
        <v/>
      </c>
      <c r="L1261" s="1" t="str">
        <f t="shared" si="77"/>
        <v/>
      </c>
      <c r="M1261" s="1" t="str">
        <f t="shared" si="78"/>
        <v/>
      </c>
      <c r="P1261" s="1" t="s">
        <v>20</v>
      </c>
      <c r="V1261" s="1" t="s">
        <v>30125</v>
      </c>
      <c r="X1261" s="1" t="s">
        <v>27842</v>
      </c>
      <c r="AR1261" s="1" t="str">
        <f t="shared" si="79"/>
        <v>| [](.md) | [󲗦](󲗦.md) |  |  | 「操」的異體字。 |</v>
      </c>
    </row>
    <row r="1262" spans="1:44" hidden="1">
      <c r="A1262" s="1" t="s">
        <v>30126</v>
      </c>
      <c r="C1262" s="1">
        <v>1</v>
      </c>
      <c r="D1262" s="1" t="str">
        <f>"09754-1"</f>
        <v>09754-1</v>
      </c>
      <c r="E1262" s="1" t="s">
        <v>6488</v>
      </c>
      <c r="F1262" s="1">
        <v>10</v>
      </c>
      <c r="G1262" s="1">
        <v>6</v>
      </c>
      <c r="H1262" s="1">
        <v>0</v>
      </c>
      <c r="K1262" s="1" t="str">
        <f t="shared" si="76"/>
        <v/>
      </c>
      <c r="L1262" s="1" t="str">
        <f t="shared" si="77"/>
        <v/>
      </c>
      <c r="M1262" s="1" t="str">
        <f t="shared" si="78"/>
        <v/>
      </c>
      <c r="P1262" s="1" t="s">
        <v>20</v>
      </c>
      <c r="V1262" s="1" t="s">
        <v>30127</v>
      </c>
      <c r="X1262" s="1" t="s">
        <v>27842</v>
      </c>
      <c r="AR1262" s="1" t="str">
        <f t="shared" si="79"/>
        <v>| [](.md) | [󹶁](󹶁.md) |  |  | 「曹」的異體字。 |</v>
      </c>
    </row>
    <row r="1263" spans="1:44" hidden="1">
      <c r="A1263" s="1" t="s">
        <v>30128</v>
      </c>
      <c r="C1263" s="1">
        <v>1</v>
      </c>
      <c r="D1263" s="1" t="str">
        <f>"09769-1"</f>
        <v>09769-1</v>
      </c>
      <c r="E1263" s="1" t="s">
        <v>1381</v>
      </c>
      <c r="F1263" s="1">
        <v>11</v>
      </c>
      <c r="G1263" s="1">
        <v>9</v>
      </c>
      <c r="H1263" s="1">
        <v>0</v>
      </c>
      <c r="K1263" s="1" t="str">
        <f t="shared" si="76"/>
        <v/>
      </c>
      <c r="L1263" s="1" t="str">
        <f t="shared" si="77"/>
        <v/>
      </c>
      <c r="M1263" s="1" t="str">
        <f t="shared" si="78"/>
        <v/>
      </c>
      <c r="P1263" s="1" t="s">
        <v>20</v>
      </c>
      <c r="V1263" s="1" t="s">
        <v>30129</v>
      </c>
      <c r="X1263" s="1" t="s">
        <v>27842</v>
      </c>
      <c r="AR1263" s="1" t="str">
        <f t="shared" si="79"/>
        <v>| [](.md) | [凑](凑.md) |  |  | 「湊」的異體字。 |</v>
      </c>
    </row>
    <row r="1264" spans="1:44" hidden="1">
      <c r="A1264" s="1" t="s">
        <v>23762</v>
      </c>
      <c r="C1264" s="1">
        <v>1</v>
      </c>
      <c r="D1264" s="1" t="str">
        <f>"09773-1"</f>
        <v>09773-1</v>
      </c>
      <c r="E1264" s="1" t="s">
        <v>14794</v>
      </c>
      <c r="F1264" s="1">
        <v>8</v>
      </c>
      <c r="G1264" s="1">
        <v>6</v>
      </c>
      <c r="H1264" s="1">
        <v>0</v>
      </c>
      <c r="K1264" s="1" t="str">
        <f t="shared" si="76"/>
        <v/>
      </c>
      <c r="L1264" s="1" t="str">
        <f t="shared" si="77"/>
        <v/>
      </c>
      <c r="M1264" s="1" t="str">
        <f t="shared" si="78"/>
        <v/>
      </c>
      <c r="P1264" s="1" t="s">
        <v>20</v>
      </c>
      <c r="V1264" s="1" t="s">
        <v>30130</v>
      </c>
      <c r="X1264" s="1" t="s">
        <v>27842</v>
      </c>
      <c r="AR1264" s="1" t="str">
        <f t="shared" si="79"/>
        <v>| [](.md) | [参](参.md) |  |  | 「參」的異體字。 |</v>
      </c>
    </row>
    <row r="1265" spans="1:44" hidden="1">
      <c r="A1265" s="1" t="s">
        <v>30131</v>
      </c>
      <c r="C1265" s="1">
        <v>1</v>
      </c>
      <c r="D1265" s="1" t="str">
        <f>"09773-2"</f>
        <v>09773-2</v>
      </c>
      <c r="E1265" s="1" t="s">
        <v>14794</v>
      </c>
      <c r="F1265" s="1">
        <v>11</v>
      </c>
      <c r="G1265" s="1">
        <v>9</v>
      </c>
      <c r="H1265" s="1">
        <v>0</v>
      </c>
      <c r="K1265" s="1" t="str">
        <f t="shared" si="76"/>
        <v/>
      </c>
      <c r="L1265" s="1" t="str">
        <f t="shared" si="77"/>
        <v/>
      </c>
      <c r="M1265" s="1" t="str">
        <f t="shared" si="78"/>
        <v/>
      </c>
      <c r="P1265" s="1" t="s">
        <v>20</v>
      </c>
      <c r="V1265" s="1" t="s">
        <v>30130</v>
      </c>
      <c r="X1265" s="1" t="s">
        <v>27842</v>
      </c>
      <c r="AR1265" s="1" t="str">
        <f t="shared" si="79"/>
        <v>| [](.md) | [㕘](㕘.md) |  |  | 「參」的異體字。 |</v>
      </c>
    </row>
    <row r="1266" spans="1:44" hidden="1">
      <c r="A1266" s="1" t="s">
        <v>30132</v>
      </c>
      <c r="C1266" s="1">
        <v>1</v>
      </c>
      <c r="D1266" s="1" t="str">
        <f>"09775-1"</f>
        <v>09775-1</v>
      </c>
      <c r="E1266" s="1" t="s">
        <v>193</v>
      </c>
      <c r="F1266" s="1">
        <v>11</v>
      </c>
      <c r="G1266" s="1">
        <v>2</v>
      </c>
      <c r="H1266" s="1">
        <v>0</v>
      </c>
      <c r="K1266" s="1" t="str">
        <f t="shared" si="76"/>
        <v/>
      </c>
      <c r="L1266" s="1" t="str">
        <f t="shared" si="77"/>
        <v/>
      </c>
      <c r="M1266" s="1" t="str">
        <f t="shared" si="78"/>
        <v/>
      </c>
      <c r="P1266" s="1" t="s">
        <v>20</v>
      </c>
      <c r="V1266" s="1" t="s">
        <v>30133</v>
      </c>
      <c r="X1266" s="1" t="s">
        <v>27842</v>
      </c>
      <c r="AR1266" s="1" t="str">
        <f t="shared" si="79"/>
        <v>| [](.md) | [飡](飡.md) |  |  | 「餐」的異體字。 |</v>
      </c>
    </row>
    <row r="1267" spans="1:44" hidden="1">
      <c r="A1267" s="1" t="s">
        <v>30134</v>
      </c>
      <c r="C1267" s="1">
        <v>1</v>
      </c>
      <c r="D1267" s="1" t="str">
        <f>"09775-2"</f>
        <v>09775-2</v>
      </c>
      <c r="E1267" s="1" t="s">
        <v>129</v>
      </c>
      <c r="F1267" s="1">
        <v>12</v>
      </c>
      <c r="G1267" s="1">
        <v>9</v>
      </c>
      <c r="H1267" s="1">
        <v>0</v>
      </c>
      <c r="K1267" s="1" t="str">
        <f t="shared" si="76"/>
        <v/>
      </c>
      <c r="L1267" s="1" t="str">
        <f t="shared" si="77"/>
        <v/>
      </c>
      <c r="M1267" s="1" t="str">
        <f t="shared" si="78"/>
        <v/>
      </c>
      <c r="P1267" s="1" t="s">
        <v>20</v>
      </c>
      <c r="V1267" s="1" t="s">
        <v>30133</v>
      </c>
      <c r="X1267" s="1" t="s">
        <v>27842</v>
      </c>
      <c r="AR1267" s="1" t="str">
        <f t="shared" si="79"/>
        <v>| [](.md) | [湌](湌.md) |  |  | 「餐」的異體字。 |</v>
      </c>
    </row>
    <row r="1268" spans="1:44" hidden="1">
      <c r="A1268" s="1" t="s">
        <v>30135</v>
      </c>
      <c r="C1268" s="1">
        <v>1</v>
      </c>
      <c r="D1268" s="1" t="str">
        <f>"09778-1"</f>
        <v>09778-1</v>
      </c>
      <c r="E1268" s="1" t="s">
        <v>250</v>
      </c>
      <c r="F1268" s="1">
        <v>15</v>
      </c>
      <c r="G1268" s="1">
        <v>11</v>
      </c>
      <c r="H1268" s="1">
        <v>0</v>
      </c>
      <c r="K1268" s="1" t="str">
        <f t="shared" si="76"/>
        <v/>
      </c>
      <c r="L1268" s="1" t="str">
        <f t="shared" si="77"/>
        <v/>
      </c>
      <c r="M1268" s="1" t="str">
        <f t="shared" si="78"/>
        <v/>
      </c>
      <c r="P1268" s="1" t="s">
        <v>20</v>
      </c>
      <c r="V1268" s="1" t="s">
        <v>30136</v>
      </c>
      <c r="X1268" s="1" t="s">
        <v>27842</v>
      </c>
      <c r="AR1268" s="1" t="str">
        <f t="shared" si="79"/>
        <v>| [](.md) | [慙](慙.md) |  |  | 「慚」的異體字。 |</v>
      </c>
    </row>
    <row r="1269" spans="1:44" hidden="1">
      <c r="A1269" s="1" t="s">
        <v>30137</v>
      </c>
      <c r="C1269" s="1">
        <v>1</v>
      </c>
      <c r="D1269" s="1" t="str">
        <f>"09779-1"</f>
        <v>09779-1</v>
      </c>
      <c r="E1269" s="1" t="s">
        <v>679</v>
      </c>
      <c r="F1269" s="1">
        <v>10</v>
      </c>
      <c r="G1269" s="1">
        <v>4</v>
      </c>
      <c r="H1269" s="1">
        <v>0</v>
      </c>
      <c r="K1269" s="1" t="str">
        <f t="shared" si="76"/>
        <v/>
      </c>
      <c r="L1269" s="1" t="str">
        <f t="shared" si="77"/>
        <v/>
      </c>
      <c r="M1269" s="1" t="str">
        <f t="shared" si="78"/>
        <v/>
      </c>
      <c r="P1269" s="1" t="s">
        <v>20</v>
      </c>
      <c r="V1269" s="1" t="s">
        <v>30138</v>
      </c>
      <c r="X1269" s="1" t="s">
        <v>27842</v>
      </c>
      <c r="AR1269" s="1" t="str">
        <f t="shared" si="79"/>
        <v>| [](.md) | [蚕](蚕.md) |  |  | 「蠶」的異體字。 |</v>
      </c>
    </row>
    <row r="1270" spans="1:44" hidden="1">
      <c r="A1270" s="1" t="s">
        <v>30139</v>
      </c>
      <c r="C1270" s="1">
        <v>1</v>
      </c>
      <c r="D1270" s="1" t="str">
        <f>"09810-1"</f>
        <v>09810-1</v>
      </c>
      <c r="E1270" s="1" t="s">
        <v>1190</v>
      </c>
      <c r="F1270" s="1">
        <v>13</v>
      </c>
      <c r="G1270" s="1">
        <v>2</v>
      </c>
      <c r="H1270" s="1">
        <v>0</v>
      </c>
      <c r="K1270" s="1" t="str">
        <f t="shared" si="76"/>
        <v/>
      </c>
      <c r="L1270" s="1" t="str">
        <f t="shared" si="77"/>
        <v/>
      </c>
      <c r="M1270" s="1" t="str">
        <f t="shared" si="78"/>
        <v/>
      </c>
      <c r="P1270" s="1" t="s">
        <v>20</v>
      </c>
      <c r="V1270" s="1" t="s">
        <v>30140</v>
      </c>
      <c r="X1270" s="1" t="s">
        <v>27842</v>
      </c>
      <c r="AR1270" s="1" t="str">
        <f t="shared" si="79"/>
        <v>| [](.md) | [麁](麁.md) |  |  | 「麤」的異體字。 |</v>
      </c>
    </row>
    <row r="1271" spans="1:44" hidden="1">
      <c r="A1271" s="1" t="s">
        <v>30141</v>
      </c>
      <c r="C1271" s="1">
        <v>1</v>
      </c>
      <c r="D1271" s="1" t="str">
        <f>"09810-2"</f>
        <v>09810-2</v>
      </c>
      <c r="E1271" s="1" t="s">
        <v>1190</v>
      </c>
      <c r="F1271" s="1">
        <v>15</v>
      </c>
      <c r="G1271" s="1">
        <v>4</v>
      </c>
      <c r="H1271" s="1">
        <v>0</v>
      </c>
      <c r="K1271" s="1" t="str">
        <f t="shared" si="76"/>
        <v/>
      </c>
      <c r="L1271" s="1" t="str">
        <f t="shared" si="77"/>
        <v/>
      </c>
      <c r="M1271" s="1" t="str">
        <f t="shared" si="78"/>
        <v/>
      </c>
      <c r="P1271" s="1" t="s">
        <v>20</v>
      </c>
      <c r="V1271" s="1" t="s">
        <v>30140</v>
      </c>
      <c r="X1271" s="1" t="s">
        <v>27842</v>
      </c>
      <c r="AR1271" s="1" t="str">
        <f t="shared" si="79"/>
        <v>| [](.md) | [麄](麄.md) |  |  | 「麤」的異體字。 |</v>
      </c>
    </row>
    <row r="1272" spans="1:44" hidden="1">
      <c r="A1272" s="1" t="s">
        <v>30142</v>
      </c>
      <c r="C1272" s="1">
        <v>1</v>
      </c>
      <c r="D1272" s="1" t="str">
        <f>"09818-1"</f>
        <v>09818-1</v>
      </c>
      <c r="E1272" s="1" t="s">
        <v>77</v>
      </c>
      <c r="F1272" s="1">
        <v>18</v>
      </c>
      <c r="G1272" s="1">
        <v>11</v>
      </c>
      <c r="H1272" s="1">
        <v>0</v>
      </c>
      <c r="K1272" s="1" t="str">
        <f t="shared" si="76"/>
        <v/>
      </c>
      <c r="L1272" s="1" t="str">
        <f t="shared" si="77"/>
        <v/>
      </c>
      <c r="M1272" s="1" t="str">
        <f t="shared" si="78"/>
        <v/>
      </c>
      <c r="P1272" s="1" t="s">
        <v>20</v>
      </c>
      <c r="V1272" s="1" t="s">
        <v>30143</v>
      </c>
      <c r="X1272" s="1" t="s">
        <v>27842</v>
      </c>
      <c r="AR1272" s="1" t="str">
        <f t="shared" si="79"/>
        <v>| [](.md) | [䠞](䠞.md) |  |  | 「蹙」的異體字。 |</v>
      </c>
    </row>
    <row r="1273" spans="1:44" hidden="1">
      <c r="A1273" s="1" t="s">
        <v>30144</v>
      </c>
      <c r="C1273" s="1">
        <v>1</v>
      </c>
      <c r="D1273" s="1" t="str">
        <f>"09822-1"</f>
        <v>09822-1</v>
      </c>
      <c r="E1273" s="1" t="s">
        <v>77</v>
      </c>
      <c r="F1273" s="1">
        <v>19</v>
      </c>
      <c r="G1273" s="1">
        <v>12</v>
      </c>
      <c r="H1273" s="1">
        <v>0</v>
      </c>
      <c r="K1273" s="1" t="str">
        <f t="shared" si="76"/>
        <v/>
      </c>
      <c r="L1273" s="1" t="str">
        <f t="shared" si="77"/>
        <v/>
      </c>
      <c r="M1273" s="1" t="str">
        <f t="shared" si="78"/>
        <v/>
      </c>
      <c r="P1273" s="1" t="s">
        <v>20</v>
      </c>
      <c r="V1273" s="1" t="s">
        <v>30145</v>
      </c>
      <c r="X1273" s="1" t="s">
        <v>27842</v>
      </c>
      <c r="AR1273" s="1" t="str">
        <f t="shared" si="79"/>
        <v>| [](.md) | [蹵](蹵.md) |  |  | 「蹴」的異體字。 |</v>
      </c>
    </row>
    <row r="1274" spans="1:44" hidden="1">
      <c r="A1274" s="1" t="s">
        <v>30146</v>
      </c>
      <c r="C1274" s="1">
        <v>1</v>
      </c>
      <c r="D1274" s="1" t="str">
        <f>"09877-1"</f>
        <v>09877-1</v>
      </c>
      <c r="E1274" s="1" t="s">
        <v>684</v>
      </c>
      <c r="F1274" s="1">
        <v>17</v>
      </c>
      <c r="G1274" s="1">
        <v>8</v>
      </c>
      <c r="H1274" s="1">
        <v>0</v>
      </c>
      <c r="K1274" s="1" t="str">
        <f t="shared" si="76"/>
        <v/>
      </c>
      <c r="L1274" s="1" t="str">
        <f t="shared" si="77"/>
        <v/>
      </c>
      <c r="M1274" s="1" t="str">
        <f t="shared" si="78"/>
        <v/>
      </c>
      <c r="P1274" s="1" t="s">
        <v>20</v>
      </c>
      <c r="V1274" s="1" t="s">
        <v>30147</v>
      </c>
      <c r="X1274" s="1" t="s">
        <v>27842</v>
      </c>
      <c r="AR1274" s="1" t="str">
        <f t="shared" si="79"/>
        <v>| [](.md) | [顇](顇.md) |  |  | 「悴」的異體字。 |</v>
      </c>
    </row>
    <row r="1275" spans="1:44" hidden="1">
      <c r="A1275" s="1" t="s">
        <v>30148</v>
      </c>
      <c r="C1275" s="1">
        <v>1</v>
      </c>
      <c r="D1275" s="1" t="str">
        <f>"09887-1"</f>
        <v>09887-1</v>
      </c>
      <c r="E1275" s="1" t="s">
        <v>68</v>
      </c>
      <c r="F1275" s="1">
        <v>10</v>
      </c>
      <c r="G1275" s="1">
        <v>6</v>
      </c>
      <c r="H1275" s="1">
        <v>0</v>
      </c>
      <c r="K1275" s="1" t="str">
        <f t="shared" si="76"/>
        <v/>
      </c>
      <c r="L1275" s="1" t="str">
        <f t="shared" si="77"/>
        <v/>
      </c>
      <c r="M1275" s="1" t="str">
        <f t="shared" si="78"/>
        <v/>
      </c>
      <c r="P1275" s="1" t="s">
        <v>20</v>
      </c>
      <c r="V1275" s="1" t="s">
        <v>30149</v>
      </c>
      <c r="X1275" s="1" t="s">
        <v>27842</v>
      </c>
      <c r="AR1275" s="1" t="str">
        <f t="shared" si="79"/>
        <v>| [](.md) | [脃](脃.md) |  |  | 「脆」的異體字。 |</v>
      </c>
    </row>
    <row r="1276" spans="1:44" hidden="1">
      <c r="A1276" s="1" t="s">
        <v>30150</v>
      </c>
      <c r="C1276" s="1">
        <v>1</v>
      </c>
      <c r="D1276" s="1" t="str">
        <f>"09902-1"</f>
        <v>09902-1</v>
      </c>
      <c r="E1276" s="1" t="s">
        <v>256</v>
      </c>
      <c r="F1276" s="1">
        <v>7</v>
      </c>
      <c r="G1276" s="1">
        <v>4</v>
      </c>
      <c r="H1276" s="1">
        <v>0</v>
      </c>
      <c r="K1276" s="1" t="str">
        <f t="shared" si="76"/>
        <v/>
      </c>
      <c r="L1276" s="1" t="str">
        <f t="shared" si="77"/>
        <v/>
      </c>
      <c r="M1276" s="1" t="str">
        <f t="shared" si="78"/>
        <v/>
      </c>
      <c r="P1276" s="1" t="s">
        <v>20</v>
      </c>
      <c r="V1276" s="1" t="s">
        <v>30151</v>
      </c>
      <c r="X1276" s="1" t="s">
        <v>27842</v>
      </c>
      <c r="AR1276" s="1" t="str">
        <f t="shared" si="79"/>
        <v>| [](.md) | [邨](邨.md) |  |  | 「村」的異體字。 |</v>
      </c>
    </row>
    <row r="1277" spans="1:44" hidden="1">
      <c r="A1277" s="1" t="s">
        <v>30152</v>
      </c>
      <c r="C1277" s="1">
        <v>1</v>
      </c>
      <c r="D1277" s="1" t="str">
        <f>"09911-1"</f>
        <v>09911-1</v>
      </c>
      <c r="E1277" s="1" t="s">
        <v>250</v>
      </c>
      <c r="F1277" s="1">
        <v>8</v>
      </c>
      <c r="G1277" s="1">
        <v>4</v>
      </c>
      <c r="H1277" s="1">
        <v>0</v>
      </c>
      <c r="K1277" s="1" t="str">
        <f t="shared" si="76"/>
        <v/>
      </c>
      <c r="L1277" s="1" t="str">
        <f t="shared" si="77"/>
        <v/>
      </c>
      <c r="M1277" s="1" t="str">
        <f t="shared" si="78"/>
        <v/>
      </c>
      <c r="P1277" s="1" t="s">
        <v>20</v>
      </c>
      <c r="V1277" s="1" t="s">
        <v>30153</v>
      </c>
      <c r="X1277" s="1" t="s">
        <v>27842</v>
      </c>
      <c r="AR1277" s="1" t="str">
        <f t="shared" si="79"/>
        <v>| [](.md) | [忩](忩.md) |  |  | 「匆」的異體字。 |</v>
      </c>
    </row>
    <row r="1278" spans="1:44" hidden="1">
      <c r="A1278" s="1" t="s">
        <v>30154</v>
      </c>
      <c r="C1278" s="1">
        <v>1</v>
      </c>
      <c r="D1278" s="1" t="str">
        <f>"09911-2"</f>
        <v>09911-2</v>
      </c>
      <c r="E1278" s="1" t="s">
        <v>250</v>
      </c>
      <c r="F1278" s="1">
        <v>9</v>
      </c>
      <c r="G1278" s="1">
        <v>5</v>
      </c>
      <c r="H1278" s="1">
        <v>0</v>
      </c>
      <c r="K1278" s="1" t="str">
        <f t="shared" si="76"/>
        <v/>
      </c>
      <c r="L1278" s="1" t="str">
        <f t="shared" si="77"/>
        <v/>
      </c>
      <c r="M1278" s="1" t="str">
        <f t="shared" si="78"/>
        <v/>
      </c>
      <c r="P1278" s="1" t="s">
        <v>20</v>
      </c>
      <c r="V1278" s="1" t="s">
        <v>30153</v>
      </c>
      <c r="X1278" s="1" t="s">
        <v>27842</v>
      </c>
      <c r="AR1278" s="1" t="str">
        <f t="shared" si="79"/>
        <v>| [](.md) | [怱](怱.md) |  |  | 「匆」的異體字。 |</v>
      </c>
    </row>
    <row r="1279" spans="1:44" hidden="1">
      <c r="A1279" s="1" t="s">
        <v>30155</v>
      </c>
      <c r="C1279" s="1">
        <v>1</v>
      </c>
      <c r="D1279" s="1" t="str">
        <f>"09911-3"</f>
        <v>09911-3</v>
      </c>
      <c r="E1279" s="1" t="s">
        <v>250</v>
      </c>
      <c r="F1279" s="1">
        <v>11</v>
      </c>
      <c r="G1279" s="1">
        <v>7</v>
      </c>
      <c r="H1279" s="1">
        <v>0</v>
      </c>
      <c r="K1279" s="1" t="str">
        <f t="shared" si="76"/>
        <v/>
      </c>
      <c r="L1279" s="1" t="str">
        <f t="shared" si="77"/>
        <v/>
      </c>
      <c r="M1279" s="1" t="str">
        <f t="shared" si="78"/>
        <v/>
      </c>
      <c r="P1279" s="1" t="s">
        <v>20</v>
      </c>
      <c r="V1279" s="1" t="s">
        <v>30153</v>
      </c>
      <c r="X1279" s="1" t="s">
        <v>27842</v>
      </c>
      <c r="AR1279" s="1" t="str">
        <f t="shared" si="79"/>
        <v>| [](.md) | [悤](悤.md) |  |  | 「匆」的異體字。 |</v>
      </c>
    </row>
    <row r="1280" spans="1:44" hidden="1">
      <c r="A1280" s="1" t="s">
        <v>30156</v>
      </c>
      <c r="C1280" s="1">
        <v>1</v>
      </c>
      <c r="D1280" s="1" t="str">
        <f>"09915-1"</f>
        <v>09915-1</v>
      </c>
      <c r="E1280" s="1" t="s">
        <v>37</v>
      </c>
      <c r="F1280" s="1">
        <v>13</v>
      </c>
      <c r="G1280" s="1">
        <v>9</v>
      </c>
      <c r="H1280" s="1">
        <v>0</v>
      </c>
      <c r="K1280" s="1" t="str">
        <f t="shared" si="76"/>
        <v/>
      </c>
      <c r="L1280" s="1" t="str">
        <f t="shared" si="77"/>
        <v/>
      </c>
      <c r="M1280" s="1" t="str">
        <f t="shared" si="78"/>
        <v/>
      </c>
      <c r="P1280" s="1" t="s">
        <v>20</v>
      </c>
      <c r="V1280" s="1" t="s">
        <v>30157</v>
      </c>
      <c r="X1280" s="1" t="s">
        <v>27842</v>
      </c>
      <c r="AR1280" s="1" t="str">
        <f t="shared" si="79"/>
        <v>| [](.md) | [葱](葱.md) |  |  | 「蔥」的異體字。 |</v>
      </c>
    </row>
    <row r="1281" spans="1:44" hidden="1">
      <c r="A1281" s="1" t="s">
        <v>30158</v>
      </c>
      <c r="C1281" s="1">
        <v>1</v>
      </c>
      <c r="D1281" s="1" t="str">
        <f>"09923-1"</f>
        <v>09923-1</v>
      </c>
      <c r="E1281" s="1" t="s">
        <v>139</v>
      </c>
      <c r="F1281" s="1">
        <v>16</v>
      </c>
      <c r="G1281" s="1">
        <v>12</v>
      </c>
      <c r="H1281" s="1">
        <v>0</v>
      </c>
      <c r="K1281" s="1" t="str">
        <f t="shared" si="76"/>
        <v/>
      </c>
      <c r="L1281" s="1" t="str">
        <f t="shared" si="77"/>
        <v/>
      </c>
      <c r="M1281" s="1" t="str">
        <f t="shared" si="78"/>
        <v/>
      </c>
      <c r="P1281" s="1" t="s">
        <v>20</v>
      </c>
      <c r="V1281" s="1" t="s">
        <v>30159</v>
      </c>
      <c r="X1281" s="1" t="s">
        <v>27842</v>
      </c>
      <c r="AR1281" s="1" t="str">
        <f t="shared" si="79"/>
        <v>| [](.md) | [樷](樷.md) |  |  | 「叢」的異體字。 |</v>
      </c>
    </row>
    <row r="1282" spans="1:44" hidden="1">
      <c r="A1282" s="1" t="s">
        <v>30160</v>
      </c>
      <c r="C1282" s="1">
        <v>1</v>
      </c>
      <c r="D1282" s="1" t="str">
        <f>"09945-1"</f>
        <v>09945-1</v>
      </c>
      <c r="E1282" s="1" t="s">
        <v>1941</v>
      </c>
      <c r="F1282" s="1">
        <v>14</v>
      </c>
      <c r="G1282" s="1">
        <v>12</v>
      </c>
      <c r="H1282" s="1">
        <v>0</v>
      </c>
      <c r="K1282" s="1" t="str">
        <f t="shared" ref="K1282:K1345" si="80">LEFT(I1282, 1)</f>
        <v/>
      </c>
      <c r="L1282" s="1" t="str">
        <f t="shared" ref="L1282:L1345" si="81">MID(I1282, 2, 1)</f>
        <v/>
      </c>
      <c r="M1282" s="1" t="str">
        <f t="shared" ref="M1282:M1345" si="82">MID(I1282, 3, 1)</f>
        <v/>
      </c>
      <c r="P1282" s="1" t="s">
        <v>20</v>
      </c>
      <c r="V1282" s="1" t="s">
        <v>30161</v>
      </c>
      <c r="X1282" s="1" t="s">
        <v>27842</v>
      </c>
      <c r="AR1282" s="1" t="str">
        <f t="shared" si="79"/>
        <v>| [](.md) | [厮](厮.md) |  |  | 「廝」的異體字。 |</v>
      </c>
    </row>
    <row r="1283" spans="1:44" hidden="1">
      <c r="A1283" s="1" t="s">
        <v>30162</v>
      </c>
      <c r="C1283" s="1">
        <v>1</v>
      </c>
      <c r="D1283" s="1" t="str">
        <f>"09945-2"</f>
        <v>09945-2</v>
      </c>
      <c r="E1283" s="1" t="s">
        <v>114</v>
      </c>
      <c r="F1283" s="1">
        <v>14</v>
      </c>
      <c r="G1283" s="1">
        <v>12</v>
      </c>
      <c r="H1283" s="1">
        <v>0</v>
      </c>
      <c r="K1283" s="1" t="str">
        <f t="shared" si="80"/>
        <v/>
      </c>
      <c r="L1283" s="1" t="str">
        <f t="shared" si="81"/>
        <v/>
      </c>
      <c r="M1283" s="1" t="str">
        <f t="shared" si="82"/>
        <v/>
      </c>
      <c r="P1283" s="1" t="s">
        <v>20</v>
      </c>
      <c r="V1283" s="1" t="s">
        <v>30161</v>
      </c>
      <c r="X1283" s="1" t="s">
        <v>27842</v>
      </c>
      <c r="AR1283" s="1" t="str">
        <f t="shared" ref="AR1283:AR1346" si="83">"| ["&amp;I1283&amp;"]("&amp;I1283&amp;".md) | ["&amp;A1283&amp;"]("&amp;A1283&amp;".md) | "&amp;" | "&amp;R1283&amp;" | "&amp;V1283&amp;" |"</f>
        <v>| [](.md) | [㒋](㒋.md) |  |  | 「廝」的異體字。 |</v>
      </c>
    </row>
    <row r="1284" spans="1:44" hidden="1">
      <c r="A1284" s="1" t="s">
        <v>3446</v>
      </c>
      <c r="C1284" s="1">
        <v>1</v>
      </c>
      <c r="D1284" s="1" t="str">
        <f>"09948-1"</f>
        <v>09948-1</v>
      </c>
      <c r="E1284" s="1" t="s">
        <v>725</v>
      </c>
      <c r="F1284" s="1">
        <v>6</v>
      </c>
      <c r="G1284" s="1">
        <v>0</v>
      </c>
      <c r="H1284" s="1">
        <v>0</v>
      </c>
      <c r="K1284" s="1" t="str">
        <f t="shared" si="80"/>
        <v/>
      </c>
      <c r="L1284" s="1" t="str">
        <f t="shared" si="81"/>
        <v/>
      </c>
      <c r="M1284" s="1" t="str">
        <f t="shared" si="82"/>
        <v/>
      </c>
      <c r="P1284" s="1" t="s">
        <v>20</v>
      </c>
      <c r="V1284" s="1" t="s">
        <v>30163</v>
      </c>
      <c r="X1284" s="1" t="s">
        <v>27842</v>
      </c>
      <c r="AR1284" s="1" t="str">
        <f t="shared" si="83"/>
        <v>| [](.md) | [糸](糸.md) |  |  | 「絲」的異體字。 |</v>
      </c>
    </row>
    <row r="1285" spans="1:44" hidden="1">
      <c r="A1285" s="1" t="s">
        <v>30164</v>
      </c>
      <c r="C1285" s="1">
        <v>1</v>
      </c>
      <c r="D1285" s="1" t="str">
        <f>"09948-2"</f>
        <v>09948-2</v>
      </c>
      <c r="E1285" s="1" t="s">
        <v>725</v>
      </c>
      <c r="F1285" s="1">
        <v>10</v>
      </c>
      <c r="G1285" s="1">
        <v>4</v>
      </c>
      <c r="H1285" s="1">
        <v>0</v>
      </c>
      <c r="K1285" s="1" t="str">
        <f t="shared" si="80"/>
        <v/>
      </c>
      <c r="L1285" s="1" t="str">
        <f t="shared" si="81"/>
        <v/>
      </c>
      <c r="M1285" s="1" t="str">
        <f t="shared" si="82"/>
        <v/>
      </c>
      <c r="P1285" s="1" t="s">
        <v>20</v>
      </c>
      <c r="V1285" s="1" t="s">
        <v>30163</v>
      </c>
      <c r="X1285" s="1" t="s">
        <v>27842</v>
      </c>
      <c r="AR1285" s="1" t="str">
        <f t="shared" si="83"/>
        <v>| [](.md) | [𢇁](𢇁.md) |  |  | 「絲」的異體字。 |</v>
      </c>
    </row>
    <row r="1286" spans="1:44" hidden="1">
      <c r="A1286" s="1" t="s">
        <v>30165</v>
      </c>
      <c r="C1286" s="1">
        <v>1</v>
      </c>
      <c r="D1286" s="1" t="str">
        <f>"09955-1"</f>
        <v>09955-1</v>
      </c>
      <c r="E1286" s="1" t="s">
        <v>825</v>
      </c>
      <c r="F1286" s="1">
        <v>16</v>
      </c>
      <c r="G1286" s="1">
        <v>11</v>
      </c>
      <c r="H1286" s="1">
        <v>0</v>
      </c>
      <c r="K1286" s="1" t="str">
        <f t="shared" si="80"/>
        <v/>
      </c>
      <c r="L1286" s="1" t="str">
        <f t="shared" si="81"/>
        <v/>
      </c>
      <c r="M1286" s="1" t="str">
        <f t="shared" si="82"/>
        <v/>
      </c>
      <c r="P1286" s="1" t="s">
        <v>20</v>
      </c>
      <c r="V1286" s="1" t="s">
        <v>30166</v>
      </c>
      <c r="X1286" s="1" t="s">
        <v>27842</v>
      </c>
      <c r="AR1286" s="1" t="str">
        <f t="shared" si="83"/>
        <v>| [](.md) | [禩](禩.md) |  |  | 「祀」的異體字。 |</v>
      </c>
    </row>
    <row r="1287" spans="1:44" hidden="1">
      <c r="A1287" s="1" t="s">
        <v>30167</v>
      </c>
      <c r="C1287" s="1">
        <v>1</v>
      </c>
      <c r="D1287" s="1" t="str">
        <f>"09962-1"</f>
        <v>09962-1</v>
      </c>
      <c r="E1287" s="1" t="s">
        <v>1595</v>
      </c>
      <c r="F1287" s="1">
        <v>6</v>
      </c>
      <c r="G1287" s="1">
        <v>3</v>
      </c>
      <c r="H1287" s="1">
        <v>0</v>
      </c>
      <c r="K1287" s="1" t="str">
        <f t="shared" si="80"/>
        <v/>
      </c>
      <c r="L1287" s="1" t="str">
        <f t="shared" si="81"/>
        <v/>
      </c>
      <c r="M1287" s="1" t="str">
        <f t="shared" si="82"/>
        <v/>
      </c>
      <c r="P1287" s="1" t="s">
        <v>20</v>
      </c>
      <c r="V1287" s="1" t="s">
        <v>30168</v>
      </c>
      <c r="X1287" s="1" t="s">
        <v>27842</v>
      </c>
      <c r="AR1287" s="1" t="str">
        <f t="shared" si="83"/>
        <v>| [](.md) | [󱟶](󱟶.md) |  |  | 「寺」的異體字。 |</v>
      </c>
    </row>
    <row r="1288" spans="1:44" hidden="1">
      <c r="A1288" s="1" t="s">
        <v>30169</v>
      </c>
      <c r="C1288" s="1">
        <v>1</v>
      </c>
      <c r="D1288" s="1" t="str">
        <f>"09964-1"</f>
        <v>09964-1</v>
      </c>
      <c r="E1288" s="1" t="s">
        <v>114</v>
      </c>
      <c r="F1288" s="1">
        <v>7</v>
      </c>
      <c r="G1288" s="1">
        <v>5</v>
      </c>
      <c r="H1288" s="1">
        <v>0</v>
      </c>
      <c r="K1288" s="1" t="str">
        <f t="shared" si="80"/>
        <v/>
      </c>
      <c r="L1288" s="1" t="str">
        <f t="shared" si="81"/>
        <v/>
      </c>
      <c r="M1288" s="1" t="str">
        <f t="shared" si="82"/>
        <v/>
      </c>
      <c r="P1288" s="1" t="s">
        <v>20</v>
      </c>
      <c r="V1288" s="1" t="s">
        <v>30170</v>
      </c>
      <c r="X1288" s="1" t="s">
        <v>27842</v>
      </c>
      <c r="AR1288" s="1" t="str">
        <f t="shared" si="83"/>
        <v>| [](.md) | [佀](佀.md) |  |  | 「似」的異體字。 |</v>
      </c>
    </row>
    <row r="1289" spans="1:44" hidden="1">
      <c r="A1289" s="1" t="s">
        <v>30171</v>
      </c>
      <c r="C1289" s="1">
        <v>1</v>
      </c>
      <c r="D1289" s="1" t="str">
        <f>"09969-1"</f>
        <v>09969-1</v>
      </c>
      <c r="E1289" s="1" t="s">
        <v>193</v>
      </c>
      <c r="F1289" s="1">
        <v>10</v>
      </c>
      <c r="G1289" s="1">
        <v>2</v>
      </c>
      <c r="H1289" s="1">
        <v>0</v>
      </c>
      <c r="K1289" s="1" t="str">
        <f t="shared" si="80"/>
        <v/>
      </c>
      <c r="L1289" s="1" t="str">
        <f t="shared" si="81"/>
        <v/>
      </c>
      <c r="M1289" s="1" t="str">
        <f t="shared" si="82"/>
        <v/>
      </c>
      <c r="P1289" s="1" t="s">
        <v>20</v>
      </c>
      <c r="V1289" s="1" t="s">
        <v>30172</v>
      </c>
      <c r="X1289" s="1" t="s">
        <v>27842</v>
      </c>
      <c r="AR1289" s="1" t="str">
        <f t="shared" si="83"/>
        <v>| [](.md) | [飤](飤.md) |  |  | 「飼」的異體字。 |</v>
      </c>
    </row>
    <row r="1290" spans="1:44" hidden="1">
      <c r="A1290" s="1" t="s">
        <v>30173</v>
      </c>
      <c r="C1290" s="1">
        <v>1</v>
      </c>
      <c r="D1290" s="1" t="str">
        <f>"09971-1"</f>
        <v>09971-1</v>
      </c>
      <c r="E1290" s="1" t="s">
        <v>5784</v>
      </c>
      <c r="F1290" s="1">
        <v>12</v>
      </c>
      <c r="G1290" s="1">
        <v>7</v>
      </c>
      <c r="H1290" s="1">
        <v>0</v>
      </c>
      <c r="K1290" s="1" t="str">
        <f t="shared" si="80"/>
        <v/>
      </c>
      <c r="L1290" s="1" t="str">
        <f t="shared" si="81"/>
        <v/>
      </c>
      <c r="M1290" s="1" t="str">
        <f t="shared" si="82"/>
        <v/>
      </c>
      <c r="P1290" s="1" t="s">
        <v>20</v>
      </c>
      <c r="V1290" s="1" t="s">
        <v>30174</v>
      </c>
      <c r="X1290" s="1" t="s">
        <v>27842</v>
      </c>
      <c r="AR1290" s="1" t="str">
        <f t="shared" si="83"/>
        <v>| [](.md) | [竢](竢.md) |  |  | 「俟」的異體字。 |</v>
      </c>
    </row>
    <row r="1291" spans="1:44" hidden="1">
      <c r="A1291" s="1" t="s">
        <v>30175</v>
      </c>
      <c r="C1291" s="1">
        <v>1</v>
      </c>
      <c r="D1291" s="1" t="str">
        <f>"09979-1"</f>
        <v>09979-1</v>
      </c>
      <c r="E1291" s="1" t="s">
        <v>20659</v>
      </c>
      <c r="F1291" s="1">
        <v>6</v>
      </c>
      <c r="G1291" s="1">
        <v>3</v>
      </c>
      <c r="H1291" s="1">
        <v>0</v>
      </c>
      <c r="K1291" s="1" t="str">
        <f t="shared" si="80"/>
        <v/>
      </c>
      <c r="L1291" s="1" t="str">
        <f t="shared" si="81"/>
        <v/>
      </c>
      <c r="M1291" s="1" t="str">
        <f t="shared" si="82"/>
        <v/>
      </c>
      <c r="P1291" s="1" t="s">
        <v>20</v>
      </c>
      <c r="V1291" s="1" t="s">
        <v>30176</v>
      </c>
      <c r="X1291" s="1" t="s">
        <v>27842</v>
      </c>
      <c r="AR1291" s="1" t="str">
        <f t="shared" si="83"/>
        <v>| [](.md) | [弎](弎.md) |  |  | 「三」的異體字。 |</v>
      </c>
    </row>
    <row r="1292" spans="1:44" hidden="1">
      <c r="A1292" s="1" t="s">
        <v>16261</v>
      </c>
      <c r="C1292" s="1">
        <v>1</v>
      </c>
      <c r="D1292" s="1" t="str">
        <f>"09985-1"</f>
        <v>09985-1</v>
      </c>
      <c r="E1292" s="1" t="s">
        <v>129</v>
      </c>
      <c r="F1292" s="1">
        <v>9</v>
      </c>
      <c r="G1292" s="1">
        <v>6</v>
      </c>
      <c r="H1292" s="1">
        <v>0</v>
      </c>
      <c r="K1292" s="1" t="str">
        <f t="shared" si="80"/>
        <v/>
      </c>
      <c r="L1292" s="1" t="str">
        <f t="shared" si="81"/>
        <v/>
      </c>
      <c r="M1292" s="1" t="str">
        <f t="shared" si="82"/>
        <v/>
      </c>
      <c r="P1292" s="1" t="s">
        <v>20</v>
      </c>
      <c r="V1292" s="1" t="s">
        <v>30177</v>
      </c>
      <c r="X1292" s="1" t="s">
        <v>27842</v>
      </c>
      <c r="AR1292" s="1" t="str">
        <f t="shared" si="83"/>
        <v>| [](.md) | [洒](洒.md) |  |  | 「灑」的異體字。 |</v>
      </c>
    </row>
    <row r="1293" spans="1:44" hidden="1">
      <c r="A1293" s="1" t="s">
        <v>30178</v>
      </c>
      <c r="C1293" s="1">
        <v>1</v>
      </c>
      <c r="D1293" s="1" t="str">
        <f>"10007-1"</f>
        <v>10007-1</v>
      </c>
      <c r="E1293" s="1" t="s">
        <v>129</v>
      </c>
      <c r="F1293" s="1">
        <v>15</v>
      </c>
      <c r="G1293" s="1">
        <v>12</v>
      </c>
      <c r="H1293" s="1">
        <v>0</v>
      </c>
      <c r="K1293" s="1" t="str">
        <f t="shared" si="80"/>
        <v/>
      </c>
      <c r="L1293" s="1" t="str">
        <f t="shared" si="81"/>
        <v/>
      </c>
      <c r="M1293" s="1" t="str">
        <f t="shared" si="82"/>
        <v/>
      </c>
      <c r="P1293" s="1" t="s">
        <v>20</v>
      </c>
      <c r="V1293" s="1" t="s">
        <v>30179</v>
      </c>
      <c r="X1293" s="1" t="s">
        <v>27842</v>
      </c>
      <c r="AR1293" s="1" t="str">
        <f t="shared" si="83"/>
        <v>| [](.md) | [澁](澁.md) |  |  | 「澀」的異體字。 |</v>
      </c>
    </row>
    <row r="1294" spans="1:44" hidden="1">
      <c r="A1294" s="1" t="s">
        <v>30180</v>
      </c>
      <c r="C1294" s="1">
        <v>1</v>
      </c>
      <c r="D1294" s="1" t="str">
        <f>"10011-1"</f>
        <v>10011-1</v>
      </c>
      <c r="E1294" s="1" t="s">
        <v>684</v>
      </c>
      <c r="F1294" s="1">
        <v>18</v>
      </c>
      <c r="G1294" s="1">
        <v>9</v>
      </c>
      <c r="H1294" s="1">
        <v>0</v>
      </c>
      <c r="K1294" s="1" t="str">
        <f t="shared" si="80"/>
        <v/>
      </c>
      <c r="L1294" s="1" t="str">
        <f t="shared" si="81"/>
        <v/>
      </c>
      <c r="M1294" s="1" t="str">
        <f t="shared" si="82"/>
        <v/>
      </c>
      <c r="P1294" s="1" t="s">
        <v>20</v>
      </c>
      <c r="V1294" s="1" t="s">
        <v>30181</v>
      </c>
      <c r="X1294" s="1" t="s">
        <v>27842</v>
      </c>
      <c r="AR1294" s="1" t="str">
        <f t="shared" si="83"/>
        <v>| [](.md) | [顋](顋.md) |  |  | 「腮」的異體字。 |</v>
      </c>
    </row>
    <row r="1295" spans="1:44" hidden="1">
      <c r="A1295" s="1" t="s">
        <v>30182</v>
      </c>
      <c r="C1295" s="1">
        <v>1</v>
      </c>
      <c r="D1295" s="1" t="str">
        <f>"10025-1"</f>
        <v>10025-1</v>
      </c>
      <c r="E1295" s="1" t="s">
        <v>181</v>
      </c>
      <c r="F1295" s="1">
        <v>15</v>
      </c>
      <c r="G1295" s="1">
        <v>9</v>
      </c>
      <c r="H1295" s="1">
        <v>0</v>
      </c>
      <c r="K1295" s="1" t="str">
        <f t="shared" si="80"/>
        <v/>
      </c>
      <c r="L1295" s="1" t="str">
        <f t="shared" si="81"/>
        <v/>
      </c>
      <c r="M1295" s="1" t="str">
        <f t="shared" si="82"/>
        <v/>
      </c>
      <c r="P1295" s="1" t="s">
        <v>20</v>
      </c>
      <c r="V1295" s="1" t="s">
        <v>30183</v>
      </c>
      <c r="X1295" s="1" t="s">
        <v>27842</v>
      </c>
      <c r="AR1295" s="1" t="str">
        <f t="shared" si="83"/>
        <v>| [](.md) | [䑹](䑹.md) |  |  | 「艘」的異體字。 |</v>
      </c>
    </row>
    <row r="1296" spans="1:44" hidden="1">
      <c r="A1296" s="1" t="s">
        <v>30184</v>
      </c>
      <c r="C1296" s="1">
        <v>1</v>
      </c>
      <c r="D1296" s="1" t="str">
        <f>"10028-1"</f>
        <v>10028-1</v>
      </c>
      <c r="E1296" s="1" t="s">
        <v>725</v>
      </c>
      <c r="F1296" s="1">
        <v>20</v>
      </c>
      <c r="G1296" s="1">
        <v>14</v>
      </c>
      <c r="H1296" s="1">
        <v>0</v>
      </c>
      <c r="K1296" s="1" t="str">
        <f t="shared" si="80"/>
        <v/>
      </c>
      <c r="L1296" s="1" t="str">
        <f t="shared" si="81"/>
        <v/>
      </c>
      <c r="M1296" s="1" t="str">
        <f t="shared" si="82"/>
        <v/>
      </c>
      <c r="P1296" s="1" t="s">
        <v>20</v>
      </c>
      <c r="V1296" s="1" t="s">
        <v>30185</v>
      </c>
      <c r="X1296" s="1" t="s">
        <v>27842</v>
      </c>
      <c r="AR1296" s="1" t="str">
        <f t="shared" si="83"/>
        <v>| [](.md) | [繅](繅.md) |  |  | 「繅」的異體字。 |</v>
      </c>
    </row>
    <row r="1297" spans="1:44" hidden="1">
      <c r="A1297" s="1" t="s">
        <v>30186</v>
      </c>
      <c r="C1297" s="1">
        <v>1</v>
      </c>
      <c r="D1297" s="1" t="str">
        <f>"10029-1"</f>
        <v>10029-1</v>
      </c>
      <c r="E1297" s="1" t="s">
        <v>132</v>
      </c>
      <c r="F1297" s="1">
        <v>11</v>
      </c>
      <c r="G1297" s="1">
        <v>8</v>
      </c>
      <c r="H1297" s="1">
        <v>0</v>
      </c>
      <c r="K1297" s="1" t="str">
        <f t="shared" si="80"/>
        <v/>
      </c>
      <c r="L1297" s="1" t="str">
        <f t="shared" si="81"/>
        <v/>
      </c>
      <c r="M1297" s="1" t="str">
        <f t="shared" si="82"/>
        <v/>
      </c>
      <c r="P1297" s="1" t="s">
        <v>20</v>
      </c>
      <c r="V1297" s="1" t="s">
        <v>30187</v>
      </c>
      <c r="X1297" s="1" t="s">
        <v>27842</v>
      </c>
      <c r="AR1297" s="1" t="str">
        <f t="shared" si="83"/>
        <v>| [](.md) | [埽](埽.md) |  |  | 「掃」的異體字。 |</v>
      </c>
    </row>
    <row r="1298" spans="1:44" hidden="1">
      <c r="A1298" s="1" t="s">
        <v>30188</v>
      </c>
      <c r="C1298" s="1">
        <v>1</v>
      </c>
      <c r="D1298" s="1" t="str">
        <f>"10030-1"</f>
        <v>10030-1</v>
      </c>
      <c r="E1298" s="1" t="s">
        <v>534</v>
      </c>
      <c r="F1298" s="1">
        <v>12</v>
      </c>
      <c r="G1298" s="1">
        <v>9</v>
      </c>
      <c r="H1298" s="1">
        <v>0</v>
      </c>
      <c r="K1298" s="1" t="str">
        <f t="shared" si="80"/>
        <v/>
      </c>
      <c r="L1298" s="1" t="str">
        <f t="shared" si="81"/>
        <v/>
      </c>
      <c r="M1298" s="1" t="str">
        <f t="shared" si="82"/>
        <v/>
      </c>
      <c r="P1298" s="1" t="s">
        <v>20</v>
      </c>
      <c r="V1298" s="1" t="s">
        <v>30189</v>
      </c>
      <c r="X1298" s="1" t="s">
        <v>27842</v>
      </c>
      <c r="AR1298" s="1" t="str">
        <f t="shared" si="83"/>
        <v>| [](.md) | [㛮](㛮.md) |  |  | 「嫂」的異體字。 |</v>
      </c>
    </row>
    <row r="1299" spans="1:44" hidden="1">
      <c r="A1299" s="1" t="s">
        <v>30190</v>
      </c>
      <c r="C1299" s="1">
        <v>1</v>
      </c>
      <c r="D1299" s="1" t="str">
        <f>"10033-1"</f>
        <v>10033-1</v>
      </c>
      <c r="E1299" s="1" t="s">
        <v>1880</v>
      </c>
      <c r="F1299" s="1">
        <v>9</v>
      </c>
      <c r="G1299" s="1">
        <v>7</v>
      </c>
      <c r="H1299" s="1">
        <v>0</v>
      </c>
      <c r="K1299" s="1" t="str">
        <f t="shared" si="80"/>
        <v/>
      </c>
      <c r="L1299" s="1" t="str">
        <f t="shared" si="81"/>
        <v/>
      </c>
      <c r="M1299" s="1" t="str">
        <f t="shared" si="82"/>
        <v/>
      </c>
      <c r="P1299" s="1" t="s">
        <v>20</v>
      </c>
      <c r="V1299" s="1" t="s">
        <v>30191</v>
      </c>
      <c r="X1299" s="1" t="s">
        <v>27842</v>
      </c>
      <c r="AR1299" s="1" t="str">
        <f t="shared" si="83"/>
        <v>| [](.md) | [叜](叜.md) |  |  | 「叟」的異體字。 |</v>
      </c>
    </row>
    <row r="1300" spans="1:44" hidden="1">
      <c r="A1300" s="1" t="s">
        <v>30192</v>
      </c>
      <c r="C1300" s="1">
        <v>1</v>
      </c>
      <c r="D1300" s="1" t="str">
        <f>"10071-1"</f>
        <v>10071-1</v>
      </c>
      <c r="E1300" s="1" t="s">
        <v>114</v>
      </c>
      <c r="F1300" s="1">
        <v>10</v>
      </c>
      <c r="G1300" s="1">
        <v>8</v>
      </c>
      <c r="H1300" s="1">
        <v>0</v>
      </c>
      <c r="K1300" s="1" t="str">
        <f t="shared" si="80"/>
        <v/>
      </c>
      <c r="L1300" s="1" t="str">
        <f t="shared" si="81"/>
        <v/>
      </c>
      <c r="M1300" s="1" t="str">
        <f t="shared" si="82"/>
        <v/>
      </c>
      <c r="P1300" s="1" t="s">
        <v>20</v>
      </c>
      <c r="V1300" s="1" t="s">
        <v>30193</v>
      </c>
      <c r="X1300" s="1" t="s">
        <v>27842</v>
      </c>
      <c r="AR1300" s="1" t="str">
        <f t="shared" si="83"/>
        <v>| [](.md) | [䘮](䘮.md) |  |  | 「喪」的異體字。 |</v>
      </c>
    </row>
    <row r="1301" spans="1:44" hidden="1">
      <c r="A1301" s="1" t="s">
        <v>30194</v>
      </c>
      <c r="C1301" s="1">
        <v>1</v>
      </c>
      <c r="D1301" s="1" t="str">
        <f>"10084-1"</f>
        <v>10084-1</v>
      </c>
      <c r="E1301" s="1" t="s">
        <v>37</v>
      </c>
      <c r="F1301" s="1">
        <v>8</v>
      </c>
      <c r="G1301" s="1">
        <v>6</v>
      </c>
      <c r="H1301" s="1">
        <v>0</v>
      </c>
      <c r="K1301" s="1" t="str">
        <f t="shared" si="80"/>
        <v/>
      </c>
      <c r="L1301" s="1" t="str">
        <f t="shared" si="81"/>
        <v/>
      </c>
      <c r="M1301" s="1" t="str">
        <f t="shared" si="82"/>
        <v/>
      </c>
      <c r="P1301" s="1" t="s">
        <v>20</v>
      </c>
      <c r="V1301" s="1" t="s">
        <v>30195</v>
      </c>
      <c r="X1301" s="1" t="s">
        <v>27842</v>
      </c>
      <c r="AR1301" s="1" t="str">
        <f t="shared" si="83"/>
        <v>| [](.md) | [苏](苏.md) |  |  | 「蘇」的異體字。 |</v>
      </c>
    </row>
    <row r="1302" spans="1:44" hidden="1">
      <c r="A1302" s="1" t="s">
        <v>30196</v>
      </c>
      <c r="C1302" s="1">
        <v>1</v>
      </c>
      <c r="D1302" s="1" t="str">
        <f>"10104-1"</f>
        <v>10104-1</v>
      </c>
      <c r="E1302" s="1" t="s">
        <v>624</v>
      </c>
      <c r="F1302" s="1">
        <v>11</v>
      </c>
      <c r="G1302" s="1">
        <v>8</v>
      </c>
      <c r="H1302" s="1">
        <v>0</v>
      </c>
      <c r="K1302" s="1" t="str">
        <f t="shared" si="80"/>
        <v/>
      </c>
      <c r="L1302" s="1" t="str">
        <f t="shared" si="81"/>
        <v/>
      </c>
      <c r="M1302" s="1" t="str">
        <f t="shared" si="82"/>
        <v/>
      </c>
      <c r="P1302" s="1" t="s">
        <v>20</v>
      </c>
      <c r="V1302" s="1" t="s">
        <v>30197</v>
      </c>
      <c r="X1302" s="1" t="s">
        <v>27842</v>
      </c>
      <c r="AR1302" s="1" t="str">
        <f t="shared" si="83"/>
        <v>| [](.md) | [㝛](㝛.md) |  |  | 「宿」的異體字。 |</v>
      </c>
    </row>
    <row r="1303" spans="1:44" hidden="1">
      <c r="A1303" s="1" t="s">
        <v>30198</v>
      </c>
      <c r="C1303" s="1">
        <v>1</v>
      </c>
      <c r="D1303" s="1" t="str">
        <f>"10110-1"</f>
        <v>10110-1</v>
      </c>
      <c r="E1303" s="1" t="s">
        <v>18309</v>
      </c>
      <c r="F1303" s="1">
        <v>11</v>
      </c>
      <c r="G1303" s="1">
        <v>6</v>
      </c>
      <c r="H1303" s="1">
        <v>0</v>
      </c>
      <c r="K1303" s="1" t="str">
        <f t="shared" si="80"/>
        <v/>
      </c>
      <c r="L1303" s="1" t="str">
        <f t="shared" si="81"/>
        <v/>
      </c>
      <c r="M1303" s="1" t="str">
        <f t="shared" si="82"/>
        <v/>
      </c>
      <c r="P1303" s="1" t="s">
        <v>20</v>
      </c>
      <c r="V1303" s="1" t="s">
        <v>30199</v>
      </c>
      <c r="X1303" s="1" t="s">
        <v>27842</v>
      </c>
      <c r="AR1303" s="1" t="str">
        <f t="shared" si="83"/>
        <v>| [](.md) | [粛](粛.md) |  |  | 「肅」的異體字。 |</v>
      </c>
    </row>
    <row r="1304" spans="1:44" hidden="1">
      <c r="A1304" s="1" t="s">
        <v>30200</v>
      </c>
      <c r="C1304" s="1">
        <v>1</v>
      </c>
      <c r="D1304" s="1" t="str">
        <f>"10114-1"</f>
        <v>10114-1</v>
      </c>
      <c r="E1304" s="1" t="s">
        <v>129</v>
      </c>
      <c r="F1304" s="1">
        <v>12</v>
      </c>
      <c r="G1304" s="1">
        <v>9</v>
      </c>
      <c r="H1304" s="1">
        <v>0</v>
      </c>
      <c r="K1304" s="1" t="str">
        <f t="shared" si="80"/>
        <v/>
      </c>
      <c r="L1304" s="1" t="str">
        <f t="shared" si="81"/>
        <v/>
      </c>
      <c r="M1304" s="1" t="str">
        <f t="shared" si="82"/>
        <v/>
      </c>
      <c r="P1304" s="1" t="s">
        <v>20</v>
      </c>
      <c r="V1304" s="1" t="s">
        <v>30201</v>
      </c>
      <c r="X1304" s="1" t="s">
        <v>27842</v>
      </c>
      <c r="AR1304" s="1" t="str">
        <f t="shared" si="83"/>
        <v>| [](.md) | [㴑](㴑.md) |  |  | 「溯」的異體字。 |</v>
      </c>
    </row>
    <row r="1305" spans="1:44" hidden="1">
      <c r="A1305" s="1" t="s">
        <v>30202</v>
      </c>
      <c r="C1305" s="1">
        <v>1</v>
      </c>
      <c r="D1305" s="1" t="str">
        <f>"10114-2"</f>
        <v>10114-2</v>
      </c>
      <c r="E1305" s="1" t="s">
        <v>558</v>
      </c>
      <c r="F1305" s="1">
        <v>14</v>
      </c>
      <c r="G1305" s="1">
        <v>10</v>
      </c>
      <c r="H1305" s="1">
        <v>0</v>
      </c>
      <c r="K1305" s="1" t="str">
        <f t="shared" si="80"/>
        <v/>
      </c>
      <c r="L1305" s="1" t="str">
        <f t="shared" si="81"/>
        <v/>
      </c>
      <c r="M1305" s="1" t="str">
        <f t="shared" si="82"/>
        <v/>
      </c>
      <c r="P1305" s="1" t="s">
        <v>20</v>
      </c>
      <c r="V1305" s="1" t="s">
        <v>30201</v>
      </c>
      <c r="X1305" s="1" t="s">
        <v>27842</v>
      </c>
      <c r="AR1305" s="1" t="str">
        <f t="shared" si="83"/>
        <v>| [](.md) | [遡](遡.md) |  |  | 「溯」的異體字。 |</v>
      </c>
    </row>
    <row r="1306" spans="1:44" hidden="1">
      <c r="A1306" s="1" t="s">
        <v>30203</v>
      </c>
      <c r="C1306" s="1">
        <v>1</v>
      </c>
      <c r="D1306" s="1" t="str">
        <f>"10135-1"</f>
        <v>10135-1</v>
      </c>
      <c r="E1306" s="1" t="s">
        <v>1941</v>
      </c>
      <c r="F1306" s="1">
        <v>7</v>
      </c>
      <c r="G1306" s="1">
        <v>5</v>
      </c>
      <c r="H1306" s="1">
        <v>0</v>
      </c>
      <c r="K1306" s="1" t="str">
        <f t="shared" si="80"/>
        <v/>
      </c>
      <c r="L1306" s="1" t="str">
        <f t="shared" si="81"/>
        <v/>
      </c>
      <c r="M1306" s="1" t="str">
        <f t="shared" si="82"/>
        <v/>
      </c>
      <c r="P1306" s="1" t="s">
        <v>20</v>
      </c>
      <c r="V1306" s="1" t="s">
        <v>30204</v>
      </c>
      <c r="X1306" s="1" t="s">
        <v>27842</v>
      </c>
      <c r="AR1306" s="1" t="str">
        <f t="shared" si="83"/>
        <v>| [](.md) | [𠩄](𠩄.md) |  |  | 「所」的異體字。 |</v>
      </c>
    </row>
    <row r="1307" spans="1:44" hidden="1">
      <c r="A1307" s="1" t="s">
        <v>30205</v>
      </c>
      <c r="C1307" s="1">
        <v>1</v>
      </c>
      <c r="D1307" s="1" t="str">
        <f>"10140-1"</f>
        <v>10140-1</v>
      </c>
      <c r="E1307" s="1" t="s">
        <v>55</v>
      </c>
      <c r="F1307" s="1">
        <v>19</v>
      </c>
      <c r="G1307" s="1">
        <v>11</v>
      </c>
      <c r="H1307" s="1">
        <v>0</v>
      </c>
      <c r="K1307" s="1" t="str">
        <f t="shared" si="80"/>
        <v/>
      </c>
      <c r="L1307" s="1" t="str">
        <f t="shared" si="81"/>
        <v/>
      </c>
      <c r="M1307" s="1" t="str">
        <f t="shared" si="82"/>
        <v/>
      </c>
      <c r="P1307" s="1" t="s">
        <v>20</v>
      </c>
      <c r="V1307" s="1" t="s">
        <v>30206</v>
      </c>
      <c r="X1307" s="1" t="s">
        <v>27842</v>
      </c>
      <c r="AR1307" s="1" t="str">
        <f t="shared" si="83"/>
        <v>| [](.md) | [鏁](鏁.md) |  |  | 「鎖」的異體字。 |</v>
      </c>
    </row>
    <row r="1308" spans="1:44" hidden="1">
      <c r="A1308" s="1" t="s">
        <v>30207</v>
      </c>
      <c r="C1308" s="1">
        <v>1</v>
      </c>
      <c r="D1308" s="1" t="str">
        <f>"10149-1"</f>
        <v>10149-1</v>
      </c>
      <c r="E1308" s="1" t="s">
        <v>691</v>
      </c>
      <c r="F1308" s="1">
        <v>9</v>
      </c>
      <c r="G1308" s="1">
        <v>6</v>
      </c>
      <c r="H1308" s="1">
        <v>0</v>
      </c>
      <c r="K1308" s="1" t="str">
        <f t="shared" si="80"/>
        <v/>
      </c>
      <c r="L1308" s="1" t="str">
        <f t="shared" si="81"/>
        <v/>
      </c>
      <c r="M1308" s="1" t="str">
        <f t="shared" si="82"/>
        <v/>
      </c>
      <c r="P1308" s="1" t="s">
        <v>20</v>
      </c>
      <c r="V1308" s="1" t="s">
        <v>30208</v>
      </c>
      <c r="X1308" s="1" t="s">
        <v>27842</v>
      </c>
      <c r="AR1308" s="1" t="str">
        <f t="shared" si="83"/>
        <v>| [](.md) | [陏](陏.md) |  |  | 「隋」的異體字。 |</v>
      </c>
    </row>
    <row r="1309" spans="1:44" hidden="1">
      <c r="A1309" s="1" t="s">
        <v>30209</v>
      </c>
      <c r="C1309" s="1">
        <v>1</v>
      </c>
      <c r="D1309" s="1" t="str">
        <f>"10150-1"</f>
        <v>10150-1</v>
      </c>
      <c r="E1309" s="1" t="s">
        <v>691</v>
      </c>
      <c r="F1309" s="1">
        <v>13</v>
      </c>
      <c r="G1309" s="1">
        <v>10</v>
      </c>
      <c r="H1309" s="1">
        <v>0</v>
      </c>
      <c r="K1309" s="1" t="str">
        <f t="shared" si="80"/>
        <v/>
      </c>
      <c r="L1309" s="1" t="str">
        <f t="shared" si="81"/>
        <v/>
      </c>
      <c r="M1309" s="1" t="str">
        <f t="shared" si="82"/>
        <v/>
      </c>
      <c r="P1309" s="1" t="s">
        <v>20</v>
      </c>
      <c r="V1309" s="1" t="s">
        <v>30210</v>
      </c>
      <c r="X1309" s="1" t="s">
        <v>27842</v>
      </c>
      <c r="AR1309" s="1" t="str">
        <f t="shared" si="83"/>
        <v>| [](.md) | [随](随.md) |  |  | 「隨」的異體字。 |</v>
      </c>
    </row>
    <row r="1310" spans="1:44" hidden="1">
      <c r="A1310" s="1" t="s">
        <v>30211</v>
      </c>
      <c r="C1310" s="1">
        <v>1</v>
      </c>
      <c r="D1310" s="1" t="str">
        <f>"10155-1"</f>
        <v>10155-1</v>
      </c>
      <c r="E1310" s="1" t="s">
        <v>283</v>
      </c>
      <c r="F1310" s="1">
        <v>20</v>
      </c>
      <c r="G1310" s="1">
        <v>10</v>
      </c>
      <c r="H1310" s="1">
        <v>0</v>
      </c>
      <c r="K1310" s="1" t="str">
        <f t="shared" si="80"/>
        <v/>
      </c>
      <c r="L1310" s="1" t="str">
        <f t="shared" si="81"/>
        <v/>
      </c>
      <c r="M1310" s="1" t="str">
        <f t="shared" si="82"/>
        <v/>
      </c>
      <c r="P1310" s="1" t="s">
        <v>20</v>
      </c>
      <c r="V1310" s="1" t="s">
        <v>30212</v>
      </c>
      <c r="X1310" s="1" t="s">
        <v>27842</v>
      </c>
      <c r="AR1310" s="1" t="str">
        <f t="shared" si="83"/>
        <v>| [](.md) | [髄](髄.md) |  |  | 「髓」的異體字。 |</v>
      </c>
    </row>
    <row r="1311" spans="1:44" hidden="1">
      <c r="A1311" s="1" t="s">
        <v>30213</v>
      </c>
      <c r="C1311" s="1">
        <v>1</v>
      </c>
      <c r="D1311" s="1" t="str">
        <f>"10171-1"</f>
        <v>10171-1</v>
      </c>
      <c r="E1311" s="1" t="s">
        <v>3347</v>
      </c>
      <c r="F1311" s="1">
        <v>6</v>
      </c>
      <c r="G1311" s="1">
        <v>3</v>
      </c>
      <c r="H1311" s="1">
        <v>0</v>
      </c>
      <c r="K1311" s="1" t="str">
        <f t="shared" si="80"/>
        <v/>
      </c>
      <c r="L1311" s="1" t="str">
        <f t="shared" si="81"/>
        <v/>
      </c>
      <c r="M1311" s="1" t="str">
        <f t="shared" si="82"/>
        <v/>
      </c>
      <c r="P1311" s="1" t="s">
        <v>20</v>
      </c>
      <c r="V1311" s="1" t="s">
        <v>30214</v>
      </c>
      <c r="X1311" s="1" t="s">
        <v>27842</v>
      </c>
      <c r="AR1311" s="1" t="str">
        <f t="shared" si="83"/>
        <v>| [](.md) | [岁](岁.md) |  |  | 「歲」的異體字。 |</v>
      </c>
    </row>
    <row r="1312" spans="1:44" hidden="1">
      <c r="A1312" s="1" t="s">
        <v>30215</v>
      </c>
      <c r="C1312" s="1">
        <v>1</v>
      </c>
      <c r="D1312" s="1" t="str">
        <f>"10181-1"</f>
        <v>10181-1</v>
      </c>
      <c r="E1312" s="1" t="s">
        <v>825</v>
      </c>
      <c r="F1312" s="1">
        <v>10</v>
      </c>
      <c r="G1312" s="1">
        <v>5</v>
      </c>
      <c r="H1312" s="1">
        <v>0</v>
      </c>
      <c r="K1312" s="1" t="str">
        <f t="shared" si="80"/>
        <v/>
      </c>
      <c r="L1312" s="1" t="str">
        <f t="shared" si="81"/>
        <v/>
      </c>
      <c r="M1312" s="1" t="str">
        <f t="shared" si="82"/>
        <v/>
      </c>
      <c r="P1312" s="1" t="s">
        <v>20</v>
      </c>
      <c r="V1312" s="1" t="s">
        <v>30216</v>
      </c>
      <c r="X1312" s="1" t="s">
        <v>27842</v>
      </c>
      <c r="AR1312" s="1" t="str">
        <f t="shared" si="83"/>
        <v>| [](.md) | [󽙠](󽙠.md) |  |  | 「算」的異體字。 |</v>
      </c>
    </row>
    <row r="1313" spans="1:44" hidden="1">
      <c r="A1313" s="1" t="s">
        <v>30217</v>
      </c>
      <c r="C1313" s="1">
        <v>1</v>
      </c>
      <c r="D1313" s="1" t="str">
        <f>"10186-1"</f>
        <v>10186-1</v>
      </c>
      <c r="E1313" s="1" t="s">
        <v>193</v>
      </c>
      <c r="F1313" s="1">
        <v>13</v>
      </c>
      <c r="G1313" s="1">
        <v>4</v>
      </c>
      <c r="H1313" s="1">
        <v>0</v>
      </c>
      <c r="K1313" s="1" t="str">
        <f t="shared" si="80"/>
        <v/>
      </c>
      <c r="L1313" s="1" t="str">
        <f t="shared" si="81"/>
        <v/>
      </c>
      <c r="M1313" s="1" t="str">
        <f t="shared" si="82"/>
        <v/>
      </c>
      <c r="P1313" s="1" t="s">
        <v>20</v>
      </c>
      <c r="V1313" s="1" t="s">
        <v>30218</v>
      </c>
      <c r="X1313" s="1" t="s">
        <v>27842</v>
      </c>
      <c r="AR1313" s="1" t="str">
        <f t="shared" si="83"/>
        <v>| [](.md) | [飱](飱.md) |  |  | 「飧」的異體字。 |</v>
      </c>
    </row>
    <row r="1314" spans="1:44" hidden="1">
      <c r="A1314" s="1" t="s">
        <v>30219</v>
      </c>
      <c r="C1314" s="1">
        <v>1</v>
      </c>
      <c r="D1314" s="1" t="str">
        <f>"10188-1"</f>
        <v>10188-1</v>
      </c>
      <c r="E1314" s="1" t="s">
        <v>49</v>
      </c>
      <c r="F1314" s="1">
        <v>10</v>
      </c>
      <c r="G1314" s="1">
        <v>4</v>
      </c>
      <c r="H1314" s="1">
        <v>0</v>
      </c>
      <c r="K1314" s="1" t="str">
        <f t="shared" si="80"/>
        <v/>
      </c>
      <c r="L1314" s="1" t="str">
        <f t="shared" si="81"/>
        <v/>
      </c>
      <c r="M1314" s="1" t="str">
        <f t="shared" si="82"/>
        <v/>
      </c>
      <c r="P1314" s="1" t="s">
        <v>20</v>
      </c>
      <c r="V1314" s="1" t="s">
        <v>30220</v>
      </c>
      <c r="X1314" s="1" t="s">
        <v>27842</v>
      </c>
      <c r="AR1314" s="1" t="str">
        <f t="shared" si="83"/>
        <v>| [](.md) | [笋](笋.md) |  |  | 「筍」的異體字。 |</v>
      </c>
    </row>
    <row r="1315" spans="1:44" hidden="1">
      <c r="A1315" s="1" t="s">
        <v>30221</v>
      </c>
      <c r="C1315" s="1">
        <v>1</v>
      </c>
      <c r="D1315" s="1" t="str">
        <f>"10237-1"</f>
        <v>10237-1</v>
      </c>
      <c r="E1315" s="1" t="s">
        <v>534</v>
      </c>
      <c r="F1315" s="1">
        <v>11</v>
      </c>
      <c r="G1315" s="1">
        <v>8</v>
      </c>
      <c r="H1315" s="1">
        <v>0</v>
      </c>
      <c r="K1315" s="1" t="str">
        <f t="shared" si="80"/>
        <v/>
      </c>
      <c r="L1315" s="1" t="str">
        <f t="shared" si="81"/>
        <v/>
      </c>
      <c r="M1315" s="1" t="str">
        <f t="shared" si="82"/>
        <v/>
      </c>
      <c r="P1315" s="1" t="s">
        <v>20</v>
      </c>
      <c r="V1315" s="1" t="s">
        <v>30222</v>
      </c>
      <c r="X1315" s="1" t="s">
        <v>27842</v>
      </c>
      <c r="AR1315" s="1" t="str">
        <f t="shared" si="83"/>
        <v>| [](.md) | [娿](娿.md) |  |  | 「婀」的異體字。 |</v>
      </c>
    </row>
    <row r="1316" spans="1:44" hidden="1">
      <c r="A1316" s="1" t="s">
        <v>30223</v>
      </c>
      <c r="C1316" s="1">
        <v>1</v>
      </c>
      <c r="D1316" s="1" t="str">
        <f>"10242-1"</f>
        <v>10242-1</v>
      </c>
      <c r="E1316" s="1" t="s">
        <v>331</v>
      </c>
      <c r="F1316" s="1">
        <v>16</v>
      </c>
      <c r="G1316" s="1">
        <v>9</v>
      </c>
      <c r="H1316" s="1">
        <v>0</v>
      </c>
      <c r="K1316" s="1" t="str">
        <f t="shared" si="80"/>
        <v/>
      </c>
      <c r="L1316" s="1" t="str">
        <f t="shared" si="81"/>
        <v/>
      </c>
      <c r="M1316" s="1" t="str">
        <f t="shared" si="82"/>
        <v/>
      </c>
      <c r="P1316" s="1" t="s">
        <v>20</v>
      </c>
      <c r="V1316" s="1" t="s">
        <v>30224</v>
      </c>
      <c r="X1316" s="1" t="s">
        <v>27842</v>
      </c>
      <c r="AR1316" s="1" t="str">
        <f t="shared" si="83"/>
        <v>| [](.md) | [󻾹](󻾹.md) |  |  | 「訛」的異體字。 |</v>
      </c>
    </row>
    <row r="1317" spans="1:44" hidden="1">
      <c r="A1317" s="1" t="s">
        <v>30225</v>
      </c>
      <c r="C1317" s="1">
        <v>1</v>
      </c>
      <c r="D1317" s="1" t="str">
        <f>"10242-2"</f>
        <v>10242-2</v>
      </c>
      <c r="E1317" s="1" t="s">
        <v>331</v>
      </c>
      <c r="F1317" s="1">
        <v>19</v>
      </c>
      <c r="G1317" s="1">
        <v>12</v>
      </c>
      <c r="H1317" s="1">
        <v>0</v>
      </c>
      <c r="K1317" s="1" t="str">
        <f t="shared" si="80"/>
        <v/>
      </c>
      <c r="L1317" s="1" t="str">
        <f t="shared" si="81"/>
        <v/>
      </c>
      <c r="M1317" s="1" t="str">
        <f t="shared" si="82"/>
        <v/>
      </c>
      <c r="P1317" s="1" t="s">
        <v>20</v>
      </c>
      <c r="V1317" s="1" t="s">
        <v>30224</v>
      </c>
      <c r="X1317" s="1" t="s">
        <v>27842</v>
      </c>
      <c r="AR1317" s="1" t="str">
        <f t="shared" si="83"/>
        <v>| [](.md) | [譌](譌.md) |  |  | 「訛」的異體字。 |</v>
      </c>
    </row>
    <row r="1318" spans="1:44" hidden="1">
      <c r="A1318" s="1" t="s">
        <v>30226</v>
      </c>
      <c r="C1318" s="1">
        <v>1</v>
      </c>
      <c r="D1318" s="1" t="str">
        <f>"10245-1"</f>
        <v>10245-1</v>
      </c>
      <c r="E1318" s="1" t="s">
        <v>190</v>
      </c>
      <c r="F1318" s="1">
        <v>10</v>
      </c>
      <c r="G1318" s="1">
        <v>7</v>
      </c>
      <c r="H1318" s="1">
        <v>0</v>
      </c>
      <c r="K1318" s="1" t="str">
        <f t="shared" si="80"/>
        <v/>
      </c>
      <c r="L1318" s="1" t="str">
        <f t="shared" si="81"/>
        <v/>
      </c>
      <c r="M1318" s="1" t="str">
        <f t="shared" si="82"/>
        <v/>
      </c>
      <c r="P1318" s="1" t="s">
        <v>20</v>
      </c>
      <c r="V1318" s="1" t="s">
        <v>30227</v>
      </c>
      <c r="X1318" s="1" t="s">
        <v>27842</v>
      </c>
      <c r="AR1318" s="1" t="str">
        <f t="shared" si="83"/>
        <v>| [](.md) | [峩](峩.md) |  |  | 「峨」的異體字。 |</v>
      </c>
    </row>
    <row r="1319" spans="1:44" hidden="1">
      <c r="A1319" s="1" t="s">
        <v>30228</v>
      </c>
      <c r="C1319" s="1">
        <v>1</v>
      </c>
      <c r="D1319" s="1" t="str">
        <f>"10250-1"</f>
        <v>10250-1</v>
      </c>
      <c r="E1319" s="1" t="s">
        <v>679</v>
      </c>
      <c r="F1319" s="1">
        <v>13</v>
      </c>
      <c r="G1319" s="1">
        <v>7</v>
      </c>
      <c r="H1319" s="1">
        <v>0</v>
      </c>
      <c r="K1319" s="1" t="str">
        <f t="shared" si="80"/>
        <v/>
      </c>
      <c r="L1319" s="1" t="str">
        <f t="shared" si="81"/>
        <v/>
      </c>
      <c r="M1319" s="1" t="str">
        <f t="shared" si="82"/>
        <v/>
      </c>
      <c r="P1319" s="1" t="s">
        <v>20</v>
      </c>
      <c r="V1319" s="1" t="s">
        <v>30229</v>
      </c>
      <c r="X1319" s="1" t="s">
        <v>27842</v>
      </c>
      <c r="AR1319" s="1" t="str">
        <f t="shared" si="83"/>
        <v>| [](.md) | [䖸](䖸.md) |  |  | 「蛾」的異體字。 |</v>
      </c>
    </row>
    <row r="1320" spans="1:44" hidden="1">
      <c r="A1320" s="1" t="s">
        <v>30230</v>
      </c>
      <c r="C1320" s="1">
        <v>1</v>
      </c>
      <c r="D1320" s="1" t="str">
        <f>"10252-1"</f>
        <v>10252-1</v>
      </c>
      <c r="E1320" s="1" t="s">
        <v>272</v>
      </c>
      <c r="F1320" s="1">
        <v>18</v>
      </c>
      <c r="G1320" s="1">
        <v>7</v>
      </c>
      <c r="H1320" s="1">
        <v>0</v>
      </c>
      <c r="K1320" s="1" t="str">
        <f t="shared" si="80"/>
        <v/>
      </c>
      <c r="L1320" s="1" t="str">
        <f t="shared" si="81"/>
        <v/>
      </c>
      <c r="M1320" s="1" t="str">
        <f t="shared" si="82"/>
        <v/>
      </c>
      <c r="P1320" s="1" t="s">
        <v>20</v>
      </c>
      <c r="V1320" s="1" t="s">
        <v>30231</v>
      </c>
      <c r="X1320" s="1" t="s">
        <v>27842</v>
      </c>
      <c r="AR1320" s="1" t="str">
        <f t="shared" si="83"/>
        <v>| [](.md) | [鵞](鵞.md) |  |  | 「鵝」的異體字。 |</v>
      </c>
    </row>
    <row r="1321" spans="1:44" hidden="1">
      <c r="A1321" s="1" t="s">
        <v>30232</v>
      </c>
      <c r="C1321" s="1">
        <v>1</v>
      </c>
      <c r="D1321" s="1" t="str">
        <f>"10252-2"</f>
        <v>10252-2</v>
      </c>
      <c r="E1321" s="1" t="s">
        <v>272</v>
      </c>
      <c r="F1321" s="1">
        <v>18</v>
      </c>
      <c r="G1321" s="1">
        <v>7</v>
      </c>
      <c r="H1321" s="1">
        <v>0</v>
      </c>
      <c r="K1321" s="1" t="str">
        <f t="shared" si="80"/>
        <v/>
      </c>
      <c r="L1321" s="1" t="str">
        <f t="shared" si="81"/>
        <v/>
      </c>
      <c r="M1321" s="1" t="str">
        <f t="shared" si="82"/>
        <v/>
      </c>
      <c r="P1321" s="1" t="s">
        <v>20</v>
      </c>
      <c r="V1321" s="1" t="s">
        <v>30231</v>
      </c>
      <c r="X1321" s="1" t="s">
        <v>27842</v>
      </c>
      <c r="AR1321" s="1" t="str">
        <f t="shared" si="83"/>
        <v>| [](.md) | [䳘](䳘.md) |  |  | 「鵝」的異體字。 |</v>
      </c>
    </row>
    <row r="1322" spans="1:44" hidden="1">
      <c r="A1322" s="1" t="s">
        <v>30233</v>
      </c>
      <c r="C1322" s="1">
        <v>1</v>
      </c>
      <c r="D1322" s="1" t="str">
        <f>"10264-1"</f>
        <v>10264-1</v>
      </c>
      <c r="E1322" s="1" t="s">
        <v>250</v>
      </c>
      <c r="F1322" s="1">
        <v>11</v>
      </c>
      <c r="G1322" s="1">
        <v>7</v>
      </c>
      <c r="H1322" s="1">
        <v>0</v>
      </c>
      <c r="K1322" s="1" t="str">
        <f t="shared" si="80"/>
        <v/>
      </c>
      <c r="L1322" s="1" t="str">
        <f t="shared" si="81"/>
        <v/>
      </c>
      <c r="M1322" s="1" t="str">
        <f t="shared" si="82"/>
        <v/>
      </c>
      <c r="P1322" s="1" t="s">
        <v>20</v>
      </c>
      <c r="V1322" s="1" t="s">
        <v>30234</v>
      </c>
      <c r="X1322" s="1" t="s">
        <v>27842</v>
      </c>
      <c r="AR1322" s="1" t="str">
        <f t="shared" si="83"/>
        <v>| [](.md) | [悪](悪.md) |  |  | 「惡」的異體字。 |</v>
      </c>
    </row>
    <row r="1323" spans="1:44" hidden="1">
      <c r="A1323" s="1" t="s">
        <v>30235</v>
      </c>
      <c r="C1323" s="1">
        <v>1</v>
      </c>
      <c r="D1323" s="1" t="str">
        <f>"10266-1"</f>
        <v>10266-1</v>
      </c>
      <c r="E1323" s="1" t="s">
        <v>1372</v>
      </c>
      <c r="F1323" s="1">
        <v>5</v>
      </c>
      <c r="G1323" s="1">
        <v>1</v>
      </c>
      <c r="H1323" s="1">
        <v>0</v>
      </c>
      <c r="K1323" s="1" t="str">
        <f t="shared" si="80"/>
        <v/>
      </c>
      <c r="L1323" s="1" t="str">
        <f t="shared" si="81"/>
        <v/>
      </c>
      <c r="M1323" s="1" t="str">
        <f t="shared" si="82"/>
        <v/>
      </c>
      <c r="P1323" s="1" t="s">
        <v>20</v>
      </c>
      <c r="V1323" s="1" t="s">
        <v>30236</v>
      </c>
      <c r="X1323" s="1" t="s">
        <v>27842</v>
      </c>
      <c r="AR1323" s="1" t="str">
        <f t="shared" si="83"/>
        <v>| [](.md) | [歺](歺.md) |  |  | 「歹」的異體字。 |</v>
      </c>
    </row>
    <row r="1324" spans="1:44" hidden="1">
      <c r="A1324" s="1" t="s">
        <v>30237</v>
      </c>
      <c r="C1324" s="1">
        <v>1</v>
      </c>
      <c r="D1324" s="1" t="str">
        <f>"10267-1"</f>
        <v>10267-1</v>
      </c>
      <c r="E1324" s="1" t="s">
        <v>1941</v>
      </c>
      <c r="F1324" s="1">
        <v>4</v>
      </c>
      <c r="G1324" s="1">
        <v>2</v>
      </c>
      <c r="H1324" s="1">
        <v>0</v>
      </c>
      <c r="K1324" s="1" t="str">
        <f t="shared" si="80"/>
        <v/>
      </c>
      <c r="L1324" s="1" t="str">
        <f t="shared" si="81"/>
        <v/>
      </c>
      <c r="M1324" s="1" t="str">
        <f t="shared" si="82"/>
        <v/>
      </c>
      <c r="P1324" s="1" t="s">
        <v>20</v>
      </c>
      <c r="V1324" s="1" t="s">
        <v>30238</v>
      </c>
      <c r="X1324" s="1" t="s">
        <v>27842</v>
      </c>
      <c r="AR1324" s="1" t="str">
        <f t="shared" si="83"/>
        <v>| [](.md) | [󰨳](󰨳.md) |  |  | 「厄」的異體字。 |</v>
      </c>
    </row>
    <row r="1325" spans="1:44" hidden="1">
      <c r="A1325" s="1" t="s">
        <v>30239</v>
      </c>
      <c r="C1325" s="1">
        <v>1</v>
      </c>
      <c r="D1325" s="1" t="str">
        <f>"10267-2"</f>
        <v>10267-2</v>
      </c>
      <c r="E1325" s="1" t="s">
        <v>1941</v>
      </c>
      <c r="F1325" s="1">
        <v>5</v>
      </c>
      <c r="G1325" s="1">
        <v>3</v>
      </c>
      <c r="H1325" s="1">
        <v>0</v>
      </c>
      <c r="K1325" s="1" t="str">
        <f t="shared" si="80"/>
        <v/>
      </c>
      <c r="L1325" s="1" t="str">
        <f t="shared" si="81"/>
        <v/>
      </c>
      <c r="M1325" s="1" t="str">
        <f t="shared" si="82"/>
        <v/>
      </c>
      <c r="P1325" s="1" t="s">
        <v>20</v>
      </c>
      <c r="V1325" s="1" t="s">
        <v>30238</v>
      </c>
      <c r="X1325" s="1" t="s">
        <v>27842</v>
      </c>
      <c r="AR1325" s="1" t="str">
        <f t="shared" si="83"/>
        <v>| [](.md) | [󽾱](󽾱.md) |  |  | 「厄」的異體字。 |</v>
      </c>
    </row>
    <row r="1326" spans="1:44" hidden="1">
      <c r="A1326" s="1" t="s">
        <v>30240</v>
      </c>
      <c r="C1326" s="1">
        <v>1</v>
      </c>
      <c r="D1326" s="1" t="str">
        <f>"10268-1"</f>
        <v>10268-1</v>
      </c>
      <c r="E1326" s="1" t="s">
        <v>24</v>
      </c>
      <c r="F1326" s="1">
        <v>8</v>
      </c>
      <c r="G1326" s="1">
        <v>5</v>
      </c>
      <c r="H1326" s="1">
        <v>0</v>
      </c>
      <c r="K1326" s="1" t="str">
        <f t="shared" si="80"/>
        <v/>
      </c>
      <c r="L1326" s="1" t="str">
        <f t="shared" si="81"/>
        <v/>
      </c>
      <c r="M1326" s="1" t="str">
        <f t="shared" si="82"/>
        <v/>
      </c>
      <c r="P1326" s="1" t="s">
        <v>20</v>
      </c>
      <c r="V1326" s="1" t="s">
        <v>30241</v>
      </c>
      <c r="X1326" s="1" t="s">
        <v>27842</v>
      </c>
      <c r="AR1326" s="1" t="str">
        <f t="shared" si="83"/>
        <v>| [](.md) | [㧖](㧖.md) |  |  | 「扼」的異體字。 |</v>
      </c>
    </row>
    <row r="1327" spans="1:44" hidden="1">
      <c r="A1327" s="1" t="s">
        <v>30242</v>
      </c>
      <c r="C1327" s="1">
        <v>1</v>
      </c>
      <c r="D1327" s="1" t="str">
        <f>"10270-1"</f>
        <v>10270-1</v>
      </c>
      <c r="E1327" s="1" t="s">
        <v>691</v>
      </c>
      <c r="F1327" s="1">
        <v>8</v>
      </c>
      <c r="G1327" s="1">
        <v>5</v>
      </c>
      <c r="H1327" s="1">
        <v>0</v>
      </c>
      <c r="K1327" s="1" t="str">
        <f t="shared" si="80"/>
        <v/>
      </c>
      <c r="L1327" s="1" t="str">
        <f t="shared" si="81"/>
        <v/>
      </c>
      <c r="M1327" s="1" t="str">
        <f t="shared" si="82"/>
        <v/>
      </c>
      <c r="P1327" s="1" t="s">
        <v>20</v>
      </c>
      <c r="V1327" s="1" t="s">
        <v>30243</v>
      </c>
      <c r="X1327" s="1" t="s">
        <v>27842</v>
      </c>
      <c r="AR1327" s="1" t="str">
        <f t="shared" si="83"/>
        <v>| [](.md) | [阸](阸.md) |  |  | 「阨」的異體字。 |</v>
      </c>
    </row>
    <row r="1328" spans="1:44" hidden="1">
      <c r="A1328" s="1" t="s">
        <v>30244</v>
      </c>
      <c r="C1328" s="1">
        <v>1</v>
      </c>
      <c r="D1328" s="1" t="str">
        <f>"10288-1"</f>
        <v>10288-1</v>
      </c>
      <c r="E1328" s="1" t="s">
        <v>68</v>
      </c>
      <c r="F1328" s="1">
        <v>13</v>
      </c>
      <c r="G1328" s="1">
        <v>9</v>
      </c>
      <c r="H1328" s="1">
        <v>0</v>
      </c>
      <c r="K1328" s="1" t="str">
        <f t="shared" si="80"/>
        <v/>
      </c>
      <c r="L1328" s="1" t="str">
        <f t="shared" si="81"/>
        <v/>
      </c>
      <c r="M1328" s="1" t="str">
        <f t="shared" si="82"/>
        <v/>
      </c>
      <c r="P1328" s="1" t="s">
        <v>20</v>
      </c>
      <c r="V1328" s="1" t="s">
        <v>30245</v>
      </c>
      <c r="X1328" s="1" t="s">
        <v>27842</v>
      </c>
      <c r="AR1328" s="1" t="str">
        <f t="shared" si="83"/>
        <v>| [](.md) | [腭](腭.md) |  |  | 「齶」的異體字。 |</v>
      </c>
    </row>
    <row r="1329" spans="1:44" hidden="1">
      <c r="A1329" s="1" t="s">
        <v>30246</v>
      </c>
      <c r="C1329" s="1">
        <v>1</v>
      </c>
      <c r="D1329" s="1" t="str">
        <f>"10293-1"</f>
        <v>10293-1</v>
      </c>
      <c r="E1329" s="1" t="s">
        <v>28</v>
      </c>
      <c r="F1329" s="1">
        <v>10</v>
      </c>
      <c r="G1329" s="1">
        <v>7</v>
      </c>
      <c r="H1329" s="1">
        <v>0</v>
      </c>
      <c r="K1329" s="1" t="str">
        <f t="shared" si="80"/>
        <v/>
      </c>
      <c r="L1329" s="1" t="str">
        <f t="shared" si="81"/>
        <v/>
      </c>
      <c r="M1329" s="1" t="str">
        <f t="shared" si="82"/>
        <v/>
      </c>
      <c r="P1329" s="1" t="s">
        <v>20</v>
      </c>
      <c r="V1329" s="1" t="s">
        <v>30247</v>
      </c>
      <c r="X1329" s="1" t="s">
        <v>27842</v>
      </c>
      <c r="AR1329" s="1" t="str">
        <f t="shared" si="83"/>
        <v>| [](.md) | [唖](唖.md) |  |  | 「啞」的異體字。 |</v>
      </c>
    </row>
    <row r="1330" spans="1:44" hidden="1">
      <c r="A1330" s="1" t="s">
        <v>30248</v>
      </c>
      <c r="C1330" s="1">
        <v>1</v>
      </c>
      <c r="D1330" s="1" t="str">
        <f>"10304-1"</f>
        <v>10304-1</v>
      </c>
      <c r="E1330" s="1" t="s">
        <v>156</v>
      </c>
      <c r="F1330" s="1">
        <v>20</v>
      </c>
      <c r="G1330" s="1">
        <v>9</v>
      </c>
      <c r="H1330" s="1">
        <v>0</v>
      </c>
      <c r="K1330" s="1" t="str">
        <f t="shared" si="80"/>
        <v/>
      </c>
      <c r="L1330" s="1" t="str">
        <f t="shared" si="81"/>
        <v/>
      </c>
      <c r="M1330" s="1" t="str">
        <f t="shared" si="82"/>
        <v/>
      </c>
      <c r="P1330" s="1" t="s">
        <v>20</v>
      </c>
      <c r="V1330" s="1" t="s">
        <v>30249</v>
      </c>
      <c r="X1330" s="1" t="s">
        <v>27842</v>
      </c>
      <c r="AR1330" s="1" t="str">
        <f t="shared" si="83"/>
        <v>| [](.md) | [鰐](鰐.md) |  |  | 「鱷」的異體字。 |</v>
      </c>
    </row>
    <row r="1331" spans="1:44" hidden="1">
      <c r="A1331" s="1" t="s">
        <v>30250</v>
      </c>
      <c r="C1331" s="1">
        <v>1</v>
      </c>
      <c r="D1331" s="1" t="str">
        <f>"10347-1"</f>
        <v>10347-1</v>
      </c>
      <c r="E1331" s="1" t="s">
        <v>169</v>
      </c>
      <c r="F1331" s="1">
        <v>13</v>
      </c>
      <c r="G1331" s="1">
        <v>8</v>
      </c>
      <c r="H1331" s="1">
        <v>0</v>
      </c>
      <c r="K1331" s="1" t="str">
        <f t="shared" si="80"/>
        <v/>
      </c>
      <c r="L1331" s="1" t="str">
        <f t="shared" si="81"/>
        <v/>
      </c>
      <c r="M1331" s="1" t="str">
        <f t="shared" si="82"/>
        <v/>
      </c>
      <c r="P1331" s="1" t="s">
        <v>20</v>
      </c>
      <c r="V1331" s="1" t="s">
        <v>30251</v>
      </c>
      <c r="X1331" s="1" t="s">
        <v>27842</v>
      </c>
      <c r="AR1331" s="1" t="str">
        <f t="shared" si="83"/>
        <v>| [](.md) | [碍](碍.md) |  |  | 「礙」的異體字。 |</v>
      </c>
    </row>
    <row r="1332" spans="1:44" hidden="1">
      <c r="A1332" s="1" t="s">
        <v>30252</v>
      </c>
      <c r="C1332" s="1">
        <v>1</v>
      </c>
      <c r="D1332" s="1" t="str">
        <f>"10353-1"</f>
        <v>10353-1</v>
      </c>
      <c r="E1332" s="1" t="s">
        <v>426</v>
      </c>
      <c r="F1332" s="1">
        <v>10</v>
      </c>
      <c r="G1332" s="1">
        <v>6</v>
      </c>
      <c r="H1332" s="1">
        <v>0</v>
      </c>
      <c r="K1332" s="1" t="str">
        <f t="shared" si="80"/>
        <v/>
      </c>
      <c r="L1332" s="1" t="str">
        <f t="shared" si="81"/>
        <v/>
      </c>
      <c r="M1332" s="1" t="str">
        <f t="shared" si="82"/>
        <v/>
      </c>
      <c r="P1332" s="1" t="s">
        <v>20</v>
      </c>
      <c r="V1332" s="1" t="s">
        <v>30253</v>
      </c>
      <c r="X1332" s="1" t="s">
        <v>27842</v>
      </c>
      <c r="AR1332" s="1" t="str">
        <f t="shared" si="83"/>
        <v>| [](.md) | [󻔥](󻔥.md) |  |  | 「敖」的異體字。 |</v>
      </c>
    </row>
    <row r="1333" spans="1:44" hidden="1">
      <c r="A1333" s="1" t="s">
        <v>30254</v>
      </c>
      <c r="C1333" s="1">
        <v>1</v>
      </c>
      <c r="D1333" s="1" t="str">
        <f>"10353-2"</f>
        <v>10353-2</v>
      </c>
      <c r="E1333" s="1" t="s">
        <v>426</v>
      </c>
      <c r="F1333" s="1">
        <v>11</v>
      </c>
      <c r="G1333" s="1">
        <v>7</v>
      </c>
      <c r="H1333" s="1">
        <v>0</v>
      </c>
      <c r="K1333" s="1" t="str">
        <f t="shared" si="80"/>
        <v/>
      </c>
      <c r="L1333" s="1" t="str">
        <f t="shared" si="81"/>
        <v/>
      </c>
      <c r="M1333" s="1" t="str">
        <f t="shared" si="82"/>
        <v/>
      </c>
      <c r="P1333" s="1" t="s">
        <v>20</v>
      </c>
      <c r="V1333" s="1" t="s">
        <v>30253</v>
      </c>
      <c r="X1333" s="1" t="s">
        <v>27842</v>
      </c>
      <c r="AR1333" s="1" t="str">
        <f t="shared" si="83"/>
        <v>| [](.md) | [󲛭](󲛭.md) |  |  | 「敖」的異體字。 |</v>
      </c>
    </row>
    <row r="1334" spans="1:44" hidden="1">
      <c r="A1334" s="1" t="s">
        <v>30255</v>
      </c>
      <c r="C1334" s="1">
        <v>1</v>
      </c>
      <c r="D1334" s="1" t="str">
        <f>"10367-1"</f>
        <v>10367-1</v>
      </c>
      <c r="E1334" s="1" t="s">
        <v>2271</v>
      </c>
      <c r="F1334" s="1">
        <v>17</v>
      </c>
      <c r="G1334" s="1">
        <v>11</v>
      </c>
      <c r="H1334" s="1">
        <v>0</v>
      </c>
      <c r="K1334" s="1" t="str">
        <f t="shared" si="80"/>
        <v/>
      </c>
      <c r="L1334" s="1" t="str">
        <f t="shared" si="81"/>
        <v/>
      </c>
      <c r="M1334" s="1" t="str">
        <f t="shared" si="82"/>
        <v/>
      </c>
      <c r="P1334" s="1" t="s">
        <v>20</v>
      </c>
      <c r="V1334" s="1" t="s">
        <v>30256</v>
      </c>
      <c r="X1334" s="1" t="s">
        <v>27842</v>
      </c>
      <c r="AR1334" s="1" t="str">
        <f t="shared" si="83"/>
        <v>| [](.md) | [翶](翶.md) |  |  | 「翱」的異體字。 |</v>
      </c>
    </row>
    <row r="1335" spans="1:44" hidden="1">
      <c r="A1335" s="1" t="s">
        <v>30257</v>
      </c>
      <c r="C1335" s="1">
        <v>1</v>
      </c>
      <c r="D1335" s="1" t="str">
        <f>"10371-1"</f>
        <v>10371-1</v>
      </c>
      <c r="E1335" s="1" t="s">
        <v>24</v>
      </c>
      <c r="F1335" s="1">
        <v>7</v>
      </c>
      <c r="G1335" s="1">
        <v>4</v>
      </c>
      <c r="H1335" s="1">
        <v>0</v>
      </c>
      <c r="K1335" s="1" t="str">
        <f t="shared" si="80"/>
        <v/>
      </c>
      <c r="L1335" s="1" t="str">
        <f t="shared" si="81"/>
        <v/>
      </c>
      <c r="M1335" s="1" t="str">
        <f t="shared" si="82"/>
        <v/>
      </c>
      <c r="P1335" s="1" t="s">
        <v>20</v>
      </c>
      <c r="V1335" s="1" t="s">
        <v>30258</v>
      </c>
      <c r="X1335" s="1" t="s">
        <v>27842</v>
      </c>
      <c r="AR1335" s="1" t="str">
        <f t="shared" si="83"/>
        <v>| [](.md) | [抝](抝.md) |  |  | 「拗」的異體字。 |</v>
      </c>
    </row>
    <row r="1336" spans="1:44" hidden="1">
      <c r="A1336" s="1" t="s">
        <v>30259</v>
      </c>
      <c r="C1336" s="1">
        <v>1</v>
      </c>
      <c r="D1336" s="1" t="str">
        <f>"10374-1"</f>
        <v>10374-1</v>
      </c>
      <c r="E1336" s="1" t="s">
        <v>340</v>
      </c>
      <c r="F1336" s="1">
        <v>10</v>
      </c>
      <c r="G1336" s="1">
        <v>4</v>
      </c>
      <c r="H1336" s="1">
        <v>0</v>
      </c>
      <c r="K1336" s="1" t="str">
        <f t="shared" si="80"/>
        <v/>
      </c>
      <c r="L1336" s="1" t="str">
        <f t="shared" si="81"/>
        <v/>
      </c>
      <c r="M1336" s="1" t="str">
        <f t="shared" si="82"/>
        <v/>
      </c>
      <c r="P1336" s="1" t="s">
        <v>20</v>
      </c>
      <c r="V1336" s="1" t="s">
        <v>30260</v>
      </c>
      <c r="X1336" s="1" t="s">
        <v>27842</v>
      </c>
      <c r="AR1336" s="1" t="str">
        <f t="shared" si="83"/>
        <v>| [](.md) | [袄](袄.md) |  |  | 「襖」的異體字。 |</v>
      </c>
    </row>
    <row r="1337" spans="1:44" hidden="1">
      <c r="A1337" s="1" t="s">
        <v>30261</v>
      </c>
      <c r="C1337" s="1">
        <v>1</v>
      </c>
      <c r="D1337" s="1" t="str">
        <f>"10378-1"</f>
        <v>10378-1</v>
      </c>
      <c r="E1337" s="1" t="s">
        <v>250</v>
      </c>
      <c r="F1337" s="1">
        <v>14</v>
      </c>
      <c r="G1337" s="1">
        <v>11</v>
      </c>
      <c r="H1337" s="1">
        <v>0</v>
      </c>
      <c r="K1337" s="1" t="str">
        <f t="shared" si="80"/>
        <v/>
      </c>
      <c r="L1337" s="1" t="str">
        <f t="shared" si="81"/>
        <v/>
      </c>
      <c r="M1337" s="1" t="str">
        <f t="shared" si="82"/>
        <v/>
      </c>
      <c r="P1337" s="1" t="s">
        <v>20</v>
      </c>
      <c r="V1337" s="1" t="s">
        <v>30262</v>
      </c>
      <c r="X1337" s="1" t="s">
        <v>27842</v>
      </c>
      <c r="AR1337" s="1" t="str">
        <f t="shared" si="83"/>
        <v>| [](.md) | [慠](慠.md) |  |  | 「傲」的異體字。 |</v>
      </c>
    </row>
    <row r="1338" spans="1:44" hidden="1">
      <c r="A1338" s="1" t="s">
        <v>30263</v>
      </c>
      <c r="C1338" s="1">
        <v>1</v>
      </c>
      <c r="D1338" s="1" t="str">
        <f>"10460-1"</f>
        <v>10460-1</v>
      </c>
      <c r="E1338" s="1" t="s">
        <v>71</v>
      </c>
      <c r="F1338" s="1">
        <v>21</v>
      </c>
      <c r="G1338" s="1">
        <v>14</v>
      </c>
      <c r="H1338" s="1">
        <v>0</v>
      </c>
      <c r="K1338" s="1" t="str">
        <f t="shared" si="80"/>
        <v/>
      </c>
      <c r="L1338" s="1" t="str">
        <f t="shared" si="81"/>
        <v/>
      </c>
      <c r="M1338" s="1" t="str">
        <f t="shared" si="82"/>
        <v/>
      </c>
      <c r="P1338" s="1" t="s">
        <v>20</v>
      </c>
      <c r="V1338" s="1" t="s">
        <v>30264</v>
      </c>
      <c r="X1338" s="1" t="s">
        <v>27842</v>
      </c>
      <c r="AR1338" s="1" t="str">
        <f t="shared" si="83"/>
        <v>| [](.md) | [轜](轜.md) |  |  | 「輀」的異體字。 |</v>
      </c>
    </row>
    <row r="1339" spans="1:44" hidden="1">
      <c r="A1339" s="1" t="s">
        <v>30265</v>
      </c>
      <c r="C1339" s="1">
        <v>1</v>
      </c>
      <c r="D1339" s="1" t="str">
        <f>"10472-1"</f>
        <v>10472-1</v>
      </c>
      <c r="E1339" s="1" t="s">
        <v>13811</v>
      </c>
      <c r="F1339" s="1">
        <v>5</v>
      </c>
      <c r="G1339" s="1">
        <v>2</v>
      </c>
      <c r="H1339" s="1">
        <v>0</v>
      </c>
      <c r="K1339" s="1" t="str">
        <f t="shared" si="80"/>
        <v/>
      </c>
      <c r="L1339" s="1" t="str">
        <f t="shared" si="81"/>
        <v/>
      </c>
      <c r="M1339" s="1" t="str">
        <f t="shared" si="82"/>
        <v/>
      </c>
      <c r="P1339" s="1" t="s">
        <v>20</v>
      </c>
      <c r="V1339" s="1" t="s">
        <v>30266</v>
      </c>
      <c r="X1339" s="1" t="s">
        <v>27842</v>
      </c>
      <c r="AR1339" s="1" t="str">
        <f t="shared" si="83"/>
        <v>| [](.md) | [尔](尔.md) |  |  | 「爾」的異體字。 |</v>
      </c>
    </row>
    <row r="1340" spans="1:44" hidden="1">
      <c r="A1340" s="1" t="s">
        <v>30267</v>
      </c>
      <c r="C1340" s="1">
        <v>1</v>
      </c>
      <c r="D1340" s="1" t="str">
        <f>"10473-1"</f>
        <v>10473-1</v>
      </c>
      <c r="E1340" s="1" t="s">
        <v>558</v>
      </c>
      <c r="F1340" s="1">
        <v>9</v>
      </c>
      <c r="G1340" s="1">
        <v>5</v>
      </c>
      <c r="H1340" s="1">
        <v>0</v>
      </c>
      <c r="K1340" s="1" t="str">
        <f t="shared" si="80"/>
        <v/>
      </c>
      <c r="L1340" s="1" t="str">
        <f t="shared" si="81"/>
        <v/>
      </c>
      <c r="M1340" s="1" t="str">
        <f t="shared" si="82"/>
        <v/>
      </c>
      <c r="P1340" s="1" t="s">
        <v>20</v>
      </c>
      <c r="V1340" s="1" t="s">
        <v>30268</v>
      </c>
      <c r="X1340" s="1" t="s">
        <v>27842</v>
      </c>
      <c r="AR1340" s="1" t="str">
        <f t="shared" si="83"/>
        <v>| [](.md) | [迩](迩.md) |  |  | 「邇」的異體字。 |</v>
      </c>
    </row>
    <row r="1341" spans="1:44" hidden="1">
      <c r="A1341" s="1" t="s">
        <v>30269</v>
      </c>
      <c r="C1341" s="1">
        <v>1</v>
      </c>
      <c r="D1341" s="1" t="str">
        <f>"10474-1"</f>
        <v>10474-1</v>
      </c>
      <c r="E1341" s="1" t="s">
        <v>20659</v>
      </c>
      <c r="F1341" s="1">
        <v>5</v>
      </c>
      <c r="G1341" s="1">
        <v>2</v>
      </c>
      <c r="H1341" s="1">
        <v>0</v>
      </c>
      <c r="K1341" s="1" t="str">
        <f t="shared" si="80"/>
        <v/>
      </c>
      <c r="L1341" s="1" t="str">
        <f t="shared" si="81"/>
        <v/>
      </c>
      <c r="M1341" s="1" t="str">
        <f t="shared" si="82"/>
        <v/>
      </c>
      <c r="P1341" s="1" t="s">
        <v>20</v>
      </c>
      <c r="V1341" s="1" t="s">
        <v>30270</v>
      </c>
      <c r="X1341" s="1" t="s">
        <v>27842</v>
      </c>
      <c r="AR1341" s="1" t="str">
        <f t="shared" si="83"/>
        <v>| [](.md) | [弍](弍.md) |  |  | 「二」的異體字。 |</v>
      </c>
    </row>
    <row r="1342" spans="1:44" hidden="1">
      <c r="A1342" s="1" t="s">
        <v>30271</v>
      </c>
      <c r="C1342" s="1">
        <v>1</v>
      </c>
      <c r="D1342" s="1" t="str">
        <f>"10482-1"</f>
        <v>10482-1</v>
      </c>
      <c r="E1342" s="1" t="s">
        <v>4785</v>
      </c>
      <c r="F1342" s="1">
        <v>4</v>
      </c>
      <c r="G1342" s="1">
        <v>1</v>
      </c>
      <c r="H1342" s="1">
        <v>0</v>
      </c>
      <c r="K1342" s="1" t="str">
        <f t="shared" si="80"/>
        <v/>
      </c>
      <c r="L1342" s="1" t="str">
        <f t="shared" si="81"/>
        <v/>
      </c>
      <c r="M1342" s="1" t="str">
        <f t="shared" si="82"/>
        <v/>
      </c>
      <c r="P1342" s="1" t="s">
        <v>20</v>
      </c>
      <c r="V1342" s="1" t="s">
        <v>30272</v>
      </c>
      <c r="X1342" s="1" t="s">
        <v>27842</v>
      </c>
      <c r="AR1342" s="1" t="str">
        <f t="shared" si="83"/>
        <v>| [](.md) | [弌](弌.md) |  |  | 「一」的異體字。 |</v>
      </c>
    </row>
    <row r="1343" spans="1:44" hidden="1">
      <c r="A1343" s="1" t="s">
        <v>30273</v>
      </c>
      <c r="C1343" s="1">
        <v>1</v>
      </c>
      <c r="D1343" s="1" t="str">
        <f>"10494-1"</f>
        <v>10494-1</v>
      </c>
      <c r="E1343" s="1" t="s">
        <v>1258</v>
      </c>
      <c r="F1343" s="1">
        <v>7</v>
      </c>
      <c r="G1343" s="1">
        <v>5</v>
      </c>
      <c r="H1343" s="1">
        <v>0</v>
      </c>
      <c r="K1343" s="1" t="str">
        <f t="shared" si="80"/>
        <v/>
      </c>
      <c r="L1343" s="1" t="str">
        <f t="shared" si="81"/>
        <v/>
      </c>
      <c r="M1343" s="1" t="str">
        <f t="shared" si="82"/>
        <v/>
      </c>
      <c r="P1343" s="1" t="s">
        <v>20</v>
      </c>
      <c r="V1343" s="1" t="s">
        <v>30274</v>
      </c>
      <c r="X1343" s="1" t="s">
        <v>27842</v>
      </c>
      <c r="AR1343" s="1" t="str">
        <f t="shared" si="83"/>
        <v>| [](.md) | [医](医.md) |  |  | 「醫」的異體字。 |</v>
      </c>
    </row>
    <row r="1344" spans="1:44" hidden="1">
      <c r="A1344" s="1" t="s">
        <v>30275</v>
      </c>
      <c r="C1344" s="1">
        <v>1</v>
      </c>
      <c r="D1344" s="1" t="str">
        <f>"10538-1"</f>
        <v>10538-1</v>
      </c>
      <c r="E1344" s="1" t="s">
        <v>438</v>
      </c>
      <c r="F1344" s="1">
        <v>10</v>
      </c>
      <c r="G1344" s="1">
        <v>5</v>
      </c>
      <c r="H1344" s="1">
        <v>0</v>
      </c>
      <c r="K1344" s="1" t="str">
        <f t="shared" si="80"/>
        <v/>
      </c>
      <c r="L1344" s="1" t="str">
        <f t="shared" si="81"/>
        <v/>
      </c>
      <c r="M1344" s="1" t="str">
        <f t="shared" si="82"/>
        <v/>
      </c>
      <c r="P1344" s="1" t="s">
        <v>20</v>
      </c>
      <c r="V1344" s="1" t="s">
        <v>30276</v>
      </c>
      <c r="X1344" s="1" t="s">
        <v>27842</v>
      </c>
      <c r="AR1344" s="1" t="str">
        <f t="shared" si="83"/>
        <v>| [](.md) | [󽙹](󽙹.md) |  |  | 「益」的異體字。 |</v>
      </c>
    </row>
    <row r="1345" spans="1:44" hidden="1">
      <c r="A1345" s="1" t="s">
        <v>30277</v>
      </c>
      <c r="C1345" s="1">
        <v>1</v>
      </c>
      <c r="D1345" s="1" t="str">
        <f>"10550-1"</f>
        <v>10550-1</v>
      </c>
      <c r="E1345" s="1" t="s">
        <v>114</v>
      </c>
      <c r="F1345" s="1">
        <v>5</v>
      </c>
      <c r="G1345" s="1">
        <v>3</v>
      </c>
      <c r="H1345" s="1">
        <v>0</v>
      </c>
      <c r="K1345" s="1" t="str">
        <f t="shared" si="80"/>
        <v/>
      </c>
      <c r="L1345" s="1" t="str">
        <f t="shared" si="81"/>
        <v/>
      </c>
      <c r="M1345" s="1" t="str">
        <f t="shared" si="82"/>
        <v/>
      </c>
      <c r="P1345" s="1" t="s">
        <v>20</v>
      </c>
      <c r="V1345" s="1" t="s">
        <v>30278</v>
      </c>
      <c r="X1345" s="1" t="s">
        <v>27842</v>
      </c>
      <c r="AR1345" s="1" t="str">
        <f t="shared" si="83"/>
        <v>| [](.md) | [仪](仪.md) |  |  | 「儀」的異體字。 |</v>
      </c>
    </row>
    <row r="1346" spans="1:44" hidden="1">
      <c r="A1346" s="1" t="s">
        <v>30279</v>
      </c>
      <c r="C1346" s="1">
        <v>1</v>
      </c>
      <c r="D1346" s="1" t="str">
        <f>"10553-1"</f>
        <v>10553-1</v>
      </c>
      <c r="E1346" s="1" t="s">
        <v>6976</v>
      </c>
      <c r="F1346" s="1">
        <v>16</v>
      </c>
      <c r="G1346" s="1">
        <v>13</v>
      </c>
      <c r="H1346" s="1">
        <v>0</v>
      </c>
      <c r="K1346" s="1" t="str">
        <f t="shared" ref="K1346:K1409" si="84">LEFT(I1346, 1)</f>
        <v/>
      </c>
      <c r="L1346" s="1" t="str">
        <f t="shared" ref="L1346:L1409" si="85">MID(I1346, 2, 1)</f>
        <v/>
      </c>
      <c r="M1346" s="1" t="str">
        <f t="shared" ref="M1346:M1409" si="86">MID(I1346, 3, 1)</f>
        <v/>
      </c>
      <c r="P1346" s="1" t="s">
        <v>20</v>
      </c>
      <c r="V1346" s="1" t="s">
        <v>30280</v>
      </c>
      <c r="X1346" s="1" t="s">
        <v>27842</v>
      </c>
      <c r="AR1346" s="1" t="str">
        <f t="shared" si="83"/>
        <v>| [](.md) | [彛](彛.md) |  |  | 「彞」的異體字。 |</v>
      </c>
    </row>
    <row r="1347" spans="1:44" hidden="1">
      <c r="A1347" s="1" t="s">
        <v>30281</v>
      </c>
      <c r="C1347" s="1">
        <v>1</v>
      </c>
      <c r="D1347" s="1" t="str">
        <f>"10555-1"</f>
        <v>10555-1</v>
      </c>
      <c r="E1347" s="1" t="s">
        <v>55</v>
      </c>
      <c r="F1347" s="1">
        <v>11</v>
      </c>
      <c r="G1347" s="1">
        <v>3</v>
      </c>
      <c r="H1347" s="1">
        <v>0</v>
      </c>
      <c r="K1347" s="1" t="str">
        <f t="shared" si="84"/>
        <v/>
      </c>
      <c r="L1347" s="1" t="str">
        <f t="shared" si="85"/>
        <v/>
      </c>
      <c r="M1347" s="1" t="str">
        <f t="shared" si="86"/>
        <v/>
      </c>
      <c r="P1347" s="1" t="s">
        <v>20</v>
      </c>
      <c r="V1347" s="1" t="s">
        <v>30282</v>
      </c>
      <c r="X1347" s="1" t="s">
        <v>27842</v>
      </c>
      <c r="AR1347" s="1" t="str">
        <f t="shared" ref="AR1347:AR1410" si="87">"| ["&amp;I1347&amp;"]("&amp;I1347&amp;".md) | ["&amp;A1347&amp;"]("&amp;A1347&amp;".md) | "&amp;" | "&amp;R1347&amp;" | "&amp;V1347&amp;" |"</f>
        <v>| [](.md) | [釶](釶.md) |  |  | 「釔」的異體字。 |</v>
      </c>
    </row>
    <row r="1348" spans="1:44" hidden="1">
      <c r="A1348" s="1" t="s">
        <v>30283</v>
      </c>
      <c r="C1348" s="1">
        <v>1</v>
      </c>
      <c r="D1348" s="1" t="str">
        <f>"10557-1"</f>
        <v>10557-1</v>
      </c>
      <c r="E1348" s="1" t="s">
        <v>28</v>
      </c>
      <c r="F1348" s="1">
        <v>5</v>
      </c>
      <c r="G1348" s="1">
        <v>2</v>
      </c>
      <c r="H1348" s="1">
        <v>0</v>
      </c>
      <c r="K1348" s="1" t="str">
        <f t="shared" si="84"/>
        <v/>
      </c>
      <c r="L1348" s="1" t="str">
        <f t="shared" si="85"/>
        <v/>
      </c>
      <c r="M1348" s="1" t="str">
        <f t="shared" si="86"/>
        <v/>
      </c>
      <c r="P1348" s="1" t="s">
        <v>20</v>
      </c>
      <c r="V1348" s="1" t="s">
        <v>30284</v>
      </c>
      <c r="X1348" s="1" t="s">
        <v>27842</v>
      </c>
      <c r="AR1348" s="1" t="str">
        <f t="shared" si="87"/>
        <v>| [](.md) | [㕥](㕥.md) |  |  | 「以」的異體字。 |</v>
      </c>
    </row>
    <row r="1349" spans="1:44" hidden="1">
      <c r="A1349" s="1" t="s">
        <v>30285</v>
      </c>
      <c r="C1349" s="1">
        <v>1</v>
      </c>
      <c r="D1349" s="1" t="str">
        <f>"10557-2"</f>
        <v>10557-2</v>
      </c>
      <c r="E1349" s="1" t="s">
        <v>31</v>
      </c>
      <c r="F1349" s="1">
        <v>5</v>
      </c>
      <c r="G1349" s="1">
        <v>2</v>
      </c>
      <c r="H1349" s="1">
        <v>0</v>
      </c>
      <c r="K1349" s="1" t="str">
        <f t="shared" si="84"/>
        <v/>
      </c>
      <c r="L1349" s="1" t="str">
        <f t="shared" si="85"/>
        <v/>
      </c>
      <c r="M1349" s="1" t="str">
        <f t="shared" si="86"/>
        <v/>
      </c>
      <c r="P1349" s="1" t="s">
        <v>20</v>
      </c>
      <c r="V1349" s="1" t="s">
        <v>30284</v>
      </c>
      <c r="X1349" s="1" t="s">
        <v>27842</v>
      </c>
      <c r="AR1349" s="1" t="str">
        <f t="shared" si="87"/>
        <v>| [](.md) | [㠯](㠯.md) |  |  | 「以」的異體字。 |</v>
      </c>
    </row>
    <row r="1350" spans="1:44" hidden="1">
      <c r="A1350" s="1" t="s">
        <v>30286</v>
      </c>
      <c r="C1350" s="1">
        <v>1</v>
      </c>
      <c r="D1350" s="1" t="str">
        <f>"10558-1"</f>
        <v>10558-1</v>
      </c>
      <c r="E1350" s="1" t="s">
        <v>37</v>
      </c>
      <c r="F1350" s="1">
        <v>9</v>
      </c>
      <c r="G1350" s="1">
        <v>5</v>
      </c>
      <c r="H1350" s="1">
        <v>0</v>
      </c>
      <c r="K1350" s="1" t="str">
        <f t="shared" si="84"/>
        <v/>
      </c>
      <c r="L1350" s="1" t="str">
        <f t="shared" si="85"/>
        <v/>
      </c>
      <c r="M1350" s="1" t="str">
        <f t="shared" si="86"/>
        <v/>
      </c>
      <c r="P1350" s="1" t="s">
        <v>20</v>
      </c>
      <c r="V1350" s="1" t="s">
        <v>30287</v>
      </c>
      <c r="X1350" s="1" t="s">
        <v>27842</v>
      </c>
      <c r="AR1350" s="1" t="str">
        <f t="shared" si="87"/>
        <v>| [](.md) | [苢](苢.md) |  |  | 「苡」的異體字。 |</v>
      </c>
    </row>
    <row r="1351" spans="1:44" hidden="1">
      <c r="A1351" s="1" t="s">
        <v>30288</v>
      </c>
      <c r="C1351" s="1">
        <v>1</v>
      </c>
      <c r="D1351" s="1" t="str">
        <f>"10576-1"</f>
        <v>10576-1</v>
      </c>
      <c r="E1351" s="1" t="s">
        <v>679</v>
      </c>
      <c r="F1351" s="1">
        <v>9</v>
      </c>
      <c r="G1351" s="1">
        <v>3</v>
      </c>
      <c r="H1351" s="1">
        <v>0</v>
      </c>
      <c r="K1351" s="1" t="str">
        <f t="shared" si="84"/>
        <v/>
      </c>
      <c r="L1351" s="1" t="str">
        <f t="shared" si="85"/>
        <v/>
      </c>
      <c r="M1351" s="1" t="str">
        <f t="shared" si="86"/>
        <v/>
      </c>
      <c r="P1351" s="1" t="s">
        <v>20</v>
      </c>
      <c r="V1351" s="1" t="s">
        <v>30289</v>
      </c>
      <c r="X1351" s="1" t="s">
        <v>27842</v>
      </c>
      <c r="AR1351" s="1" t="str">
        <f t="shared" si="87"/>
        <v>| [](.md) | [蚁](蚁.md) |  |  | 「蟻」的異體字。 |</v>
      </c>
    </row>
    <row r="1352" spans="1:44" hidden="1">
      <c r="A1352" s="1" t="s">
        <v>27656</v>
      </c>
      <c r="C1352" s="1">
        <v>1</v>
      </c>
      <c r="D1352" s="1" t="str">
        <f>"10642-1"</f>
        <v>10642-1</v>
      </c>
      <c r="E1352" s="1" t="s">
        <v>37</v>
      </c>
      <c r="F1352" s="1">
        <v>8</v>
      </c>
      <c r="G1352" s="1">
        <v>4</v>
      </c>
      <c r="H1352" s="1">
        <v>0</v>
      </c>
      <c r="K1352" s="1" t="str">
        <f t="shared" si="84"/>
        <v/>
      </c>
      <c r="L1352" s="1" t="str">
        <f t="shared" si="85"/>
        <v/>
      </c>
      <c r="M1352" s="1" t="str">
        <f t="shared" si="86"/>
        <v/>
      </c>
      <c r="P1352" s="1" t="s">
        <v>20</v>
      </c>
      <c r="V1352" s="1" t="s">
        <v>30290</v>
      </c>
      <c r="X1352" s="1" t="s">
        <v>27842</v>
      </c>
      <c r="AR1352" s="1" t="str">
        <f t="shared" si="87"/>
        <v>| [](.md) | [芸](芸.md) |  |  | 「藝」的異體字。 |</v>
      </c>
    </row>
    <row r="1353" spans="1:44" hidden="1">
      <c r="A1353" s="1" t="s">
        <v>30291</v>
      </c>
      <c r="C1353" s="1">
        <v>1</v>
      </c>
      <c r="D1353" s="1" t="str">
        <f>"10642-2"</f>
        <v>10642-2</v>
      </c>
      <c r="E1353" s="1" t="s">
        <v>37</v>
      </c>
      <c r="F1353" s="1">
        <v>14</v>
      </c>
      <c r="G1353" s="1">
        <v>10</v>
      </c>
      <c r="H1353" s="1">
        <v>0</v>
      </c>
      <c r="K1353" s="1" t="str">
        <f t="shared" si="84"/>
        <v/>
      </c>
      <c r="L1353" s="1" t="str">
        <f t="shared" si="85"/>
        <v/>
      </c>
      <c r="M1353" s="1" t="str">
        <f t="shared" si="86"/>
        <v/>
      </c>
      <c r="P1353" s="1" t="s">
        <v>20</v>
      </c>
      <c r="V1353" s="1" t="s">
        <v>30290</v>
      </c>
      <c r="X1353" s="1" t="s">
        <v>27842</v>
      </c>
      <c r="AR1353" s="1" t="str">
        <f t="shared" si="87"/>
        <v>| [](.md) | [󵊼](󵊼.md) |  |  | 「藝」的異體字。 |</v>
      </c>
    </row>
    <row r="1354" spans="1:44" hidden="1">
      <c r="A1354" s="1" t="s">
        <v>30292</v>
      </c>
      <c r="C1354" s="1">
        <v>1</v>
      </c>
      <c r="D1354" s="1" t="str">
        <f>"10649-1"</f>
        <v>10649-1</v>
      </c>
      <c r="E1354" s="1" t="s">
        <v>1663</v>
      </c>
      <c r="F1354" s="1">
        <v>3</v>
      </c>
      <c r="G1354" s="1">
        <v>2</v>
      </c>
      <c r="H1354" s="1">
        <v>0</v>
      </c>
      <c r="K1354" s="1" t="str">
        <f t="shared" si="84"/>
        <v/>
      </c>
      <c r="L1354" s="1" t="str">
        <f t="shared" si="85"/>
        <v/>
      </c>
      <c r="M1354" s="1" t="str">
        <f t="shared" si="86"/>
        <v/>
      </c>
      <c r="P1354" s="1" t="s">
        <v>20</v>
      </c>
      <c r="V1354" s="1" t="s">
        <v>30293</v>
      </c>
      <c r="X1354" s="1" t="s">
        <v>27842</v>
      </c>
      <c r="AR1354" s="1" t="str">
        <f t="shared" si="87"/>
        <v>| [](.md) | [义](义.md) |  |  | 「義」的異體字。 |</v>
      </c>
    </row>
    <row r="1355" spans="1:44" hidden="1">
      <c r="A1355" s="1" t="s">
        <v>30294</v>
      </c>
      <c r="C1355" s="1">
        <v>1</v>
      </c>
      <c r="D1355" s="1" t="str">
        <f>"10650-1"</f>
        <v>10650-1</v>
      </c>
      <c r="E1355" s="1" t="s">
        <v>331</v>
      </c>
      <c r="F1355" s="1">
        <v>10</v>
      </c>
      <c r="G1355" s="1">
        <v>3</v>
      </c>
      <c r="H1355" s="1">
        <v>0</v>
      </c>
      <c r="K1355" s="1" t="str">
        <f t="shared" si="84"/>
        <v/>
      </c>
      <c r="L1355" s="1" t="str">
        <f t="shared" si="85"/>
        <v/>
      </c>
      <c r="M1355" s="1" t="str">
        <f t="shared" si="86"/>
        <v/>
      </c>
      <c r="P1355" s="1" t="s">
        <v>20</v>
      </c>
      <c r="V1355" s="1" t="s">
        <v>30295</v>
      </c>
      <c r="X1355" s="1" t="s">
        <v>27842</v>
      </c>
      <c r="AR1355" s="1" t="str">
        <f t="shared" si="87"/>
        <v>| [](.md) | [&amp;9677._104_0.gif;](&amp;9677._104_0.gif;.md) |  |  | 「議」的異體字。 |</v>
      </c>
    </row>
    <row r="1356" spans="1:44" hidden="1">
      <c r="A1356" s="1" t="s">
        <v>24995</v>
      </c>
      <c r="C1356" s="1">
        <v>1</v>
      </c>
      <c r="D1356" s="1" t="str">
        <f>"10657-1"</f>
        <v>10657-1</v>
      </c>
      <c r="E1356" s="1" t="s">
        <v>68</v>
      </c>
      <c r="F1356" s="1">
        <v>5</v>
      </c>
      <c r="G1356" s="1">
        <v>1</v>
      </c>
      <c r="H1356" s="1">
        <v>0</v>
      </c>
      <c r="K1356" s="1" t="str">
        <f t="shared" si="84"/>
        <v/>
      </c>
      <c r="L1356" s="1" t="str">
        <f t="shared" si="85"/>
        <v/>
      </c>
      <c r="M1356" s="1" t="str">
        <f t="shared" si="86"/>
        <v/>
      </c>
      <c r="P1356" s="1" t="s">
        <v>20</v>
      </c>
      <c r="V1356" s="1" t="s">
        <v>30296</v>
      </c>
      <c r="X1356" s="1" t="s">
        <v>27842</v>
      </c>
      <c r="AR1356" s="1" t="str">
        <f t="shared" si="87"/>
        <v>| [](.md) | [肊](肊.md) |  |  | 「臆」的異體字。 |</v>
      </c>
    </row>
    <row r="1357" spans="1:44" hidden="1">
      <c r="A1357" s="1" t="s">
        <v>30297</v>
      </c>
      <c r="C1357" s="1">
        <v>1</v>
      </c>
      <c r="D1357" s="1" t="str">
        <f>"10698-1"</f>
        <v>10698-1</v>
      </c>
      <c r="E1357" s="1" t="s">
        <v>272</v>
      </c>
      <c r="F1357" s="1">
        <v>19</v>
      </c>
      <c r="G1357" s="1">
        <v>8</v>
      </c>
      <c r="H1357" s="1">
        <v>0</v>
      </c>
      <c r="K1357" s="1" t="str">
        <f t="shared" si="84"/>
        <v/>
      </c>
      <c r="L1357" s="1" t="str">
        <f t="shared" si="85"/>
        <v/>
      </c>
      <c r="M1357" s="1" t="str">
        <f t="shared" si="86"/>
        <v/>
      </c>
      <c r="P1357" s="1" t="s">
        <v>20</v>
      </c>
      <c r="V1357" s="1" t="s">
        <v>30298</v>
      </c>
      <c r="X1357" s="1" t="s">
        <v>27842</v>
      </c>
      <c r="AR1357" s="1" t="str">
        <f t="shared" si="87"/>
        <v>| [](.md) | [鵶](鵶.md) |  |  | 「鴉」的異體字。 |</v>
      </c>
    </row>
    <row r="1358" spans="1:44" hidden="1">
      <c r="A1358" s="1" t="s">
        <v>30299</v>
      </c>
      <c r="C1358" s="1">
        <v>1</v>
      </c>
      <c r="D1358" s="1" t="str">
        <f>"10701-1"</f>
        <v>10701-1</v>
      </c>
      <c r="E1358" s="1" t="s">
        <v>9954</v>
      </c>
      <c r="F1358" s="1">
        <v>7</v>
      </c>
      <c r="G1358" s="1">
        <v>5</v>
      </c>
      <c r="H1358" s="1">
        <v>0</v>
      </c>
      <c r="K1358" s="1" t="str">
        <f t="shared" si="84"/>
        <v/>
      </c>
      <c r="L1358" s="1" t="str">
        <f t="shared" si="85"/>
        <v/>
      </c>
      <c r="M1358" s="1" t="str">
        <f t="shared" si="86"/>
        <v/>
      </c>
      <c r="P1358" s="1" t="s">
        <v>20</v>
      </c>
      <c r="V1358" s="1" t="s">
        <v>30300</v>
      </c>
      <c r="X1358" s="1" t="s">
        <v>27842</v>
      </c>
      <c r="AR1358" s="1" t="str">
        <f t="shared" si="87"/>
        <v>| [](.md) | [亜](亜.md) |  |  | 「亞」的異體字。 |</v>
      </c>
    </row>
    <row r="1359" spans="1:44" hidden="1">
      <c r="A1359" s="1" t="s">
        <v>30301</v>
      </c>
      <c r="C1359" s="1">
        <v>1</v>
      </c>
      <c r="D1359" s="1" t="str">
        <f>"10704-1"</f>
        <v>10704-1</v>
      </c>
      <c r="E1359" s="1" t="s">
        <v>132</v>
      </c>
      <c r="F1359" s="1">
        <v>6</v>
      </c>
      <c r="G1359" s="1">
        <v>3</v>
      </c>
      <c r="H1359" s="1">
        <v>0</v>
      </c>
      <c r="K1359" s="1" t="str">
        <f t="shared" si="84"/>
        <v/>
      </c>
      <c r="L1359" s="1" t="str">
        <f t="shared" si="85"/>
        <v/>
      </c>
      <c r="M1359" s="1" t="str">
        <f t="shared" si="86"/>
        <v/>
      </c>
      <c r="P1359" s="1" t="s">
        <v>20</v>
      </c>
      <c r="V1359" s="1" t="s">
        <v>30302</v>
      </c>
      <c r="X1359" s="1" t="s">
        <v>27842</v>
      </c>
      <c r="AR1359" s="1" t="str">
        <f t="shared" si="87"/>
        <v>| [](.md) | [压](压.md) |  |  | 「壓」的異體字。 |</v>
      </c>
    </row>
    <row r="1360" spans="1:44" hidden="1">
      <c r="A1360" s="1" t="s">
        <v>30303</v>
      </c>
      <c r="C1360" s="1">
        <v>1</v>
      </c>
      <c r="D1360" s="1" t="str">
        <f>"10721-2"</f>
        <v>10721-2</v>
      </c>
      <c r="E1360" s="1" t="s">
        <v>40</v>
      </c>
      <c r="F1360" s="1">
        <v>13</v>
      </c>
      <c r="G1360" s="1">
        <v>8</v>
      </c>
      <c r="H1360" s="1">
        <v>0</v>
      </c>
      <c r="K1360" s="1" t="str">
        <f t="shared" si="84"/>
        <v/>
      </c>
      <c r="L1360" s="1" t="str">
        <f t="shared" si="85"/>
        <v/>
      </c>
      <c r="M1360" s="1" t="str">
        <f t="shared" si="86"/>
        <v/>
      </c>
      <c r="P1360" s="1" t="s">
        <v>20</v>
      </c>
      <c r="V1360" s="1" t="s">
        <v>30247</v>
      </c>
      <c r="X1360" s="1" t="s">
        <v>27842</v>
      </c>
      <c r="AR1360" s="1" t="str">
        <f t="shared" si="87"/>
        <v>| [](.md) | [瘂](瘂.md) |  |  | 「啞」的異體字。 |</v>
      </c>
    </row>
    <row r="1361" spans="1:44" hidden="1">
      <c r="A1361" s="1" t="s">
        <v>30304</v>
      </c>
      <c r="C1361" s="1">
        <v>1</v>
      </c>
      <c r="D1361" s="1" t="str">
        <f>"10736-1"</f>
        <v>10736-1</v>
      </c>
      <c r="E1361" s="1" t="s">
        <v>537</v>
      </c>
      <c r="F1361" s="1">
        <v>16</v>
      </c>
      <c r="G1361" s="1">
        <v>9</v>
      </c>
      <c r="H1361" s="1">
        <v>0</v>
      </c>
      <c r="K1361" s="1" t="str">
        <f t="shared" si="84"/>
        <v/>
      </c>
      <c r="L1361" s="1" t="str">
        <f t="shared" si="85"/>
        <v/>
      </c>
      <c r="M1361" s="1" t="str">
        <f t="shared" si="86"/>
        <v/>
      </c>
      <c r="P1361" s="1" t="s">
        <v>20</v>
      </c>
      <c r="V1361" s="1" t="s">
        <v>30305</v>
      </c>
      <c r="X1361" s="1" t="s">
        <v>27842</v>
      </c>
      <c r="AR1361" s="1" t="str">
        <f t="shared" si="87"/>
        <v>| [](.md) | [䝟](䝟.md) |  |  | 「猰」的異體字。 |</v>
      </c>
    </row>
    <row r="1362" spans="1:44" hidden="1">
      <c r="A1362" s="1" t="s">
        <v>30306</v>
      </c>
      <c r="C1362" s="1">
        <v>1</v>
      </c>
      <c r="D1362" s="1" t="str">
        <f>"10744-1"</f>
        <v>10744-1</v>
      </c>
      <c r="E1362" s="1" t="s">
        <v>55</v>
      </c>
      <c r="F1362" s="1">
        <v>15</v>
      </c>
      <c r="G1362" s="1">
        <v>7</v>
      </c>
      <c r="H1362" s="1">
        <v>0</v>
      </c>
      <c r="K1362" s="1" t="str">
        <f t="shared" si="84"/>
        <v/>
      </c>
      <c r="L1362" s="1" t="str">
        <f t="shared" si="85"/>
        <v/>
      </c>
      <c r="M1362" s="1" t="str">
        <f t="shared" si="86"/>
        <v/>
      </c>
      <c r="P1362" s="1" t="s">
        <v>20</v>
      </c>
      <c r="V1362" s="1" t="s">
        <v>30307</v>
      </c>
      <c r="X1362" s="1" t="s">
        <v>27842</v>
      </c>
      <c r="AR1362" s="1" t="str">
        <f t="shared" si="87"/>
        <v>| [](.md) | [鋣](鋣.md) |  |  | 「釾」的異體字。 |</v>
      </c>
    </row>
    <row r="1363" spans="1:44" hidden="1">
      <c r="A1363" s="1" t="s">
        <v>30308</v>
      </c>
      <c r="C1363" s="1">
        <v>1</v>
      </c>
      <c r="D1363" s="1" t="str">
        <f>"10755-1"</f>
        <v>10755-1</v>
      </c>
      <c r="E1363" s="1" t="s">
        <v>132</v>
      </c>
      <c r="F1363" s="1">
        <v>16</v>
      </c>
      <c r="G1363" s="1">
        <v>13</v>
      </c>
      <c r="H1363" s="1">
        <v>0</v>
      </c>
      <c r="K1363" s="1" t="str">
        <f t="shared" si="84"/>
        <v/>
      </c>
      <c r="L1363" s="1" t="str">
        <f t="shared" si="85"/>
        <v/>
      </c>
      <c r="M1363" s="1" t="str">
        <f t="shared" si="86"/>
        <v/>
      </c>
      <c r="P1363" s="1" t="s">
        <v>20</v>
      </c>
      <c r="V1363" s="1" t="s">
        <v>30309</v>
      </c>
      <c r="X1363" s="1" t="s">
        <v>27842</v>
      </c>
      <c r="AR1363" s="1" t="str">
        <f t="shared" si="87"/>
        <v>| [](.md) | [壄](壄.md) |  |  | 「野」的異體字。 |</v>
      </c>
    </row>
    <row r="1364" spans="1:44" hidden="1">
      <c r="A1364" s="1" t="s">
        <v>30310</v>
      </c>
      <c r="C1364" s="1">
        <v>1</v>
      </c>
      <c r="D1364" s="1" t="str">
        <f>"10758-1"</f>
        <v>10758-1</v>
      </c>
      <c r="E1364" s="1" t="s">
        <v>367</v>
      </c>
      <c r="F1364" s="1">
        <v>9</v>
      </c>
      <c r="G1364" s="1">
        <v>7</v>
      </c>
      <c r="H1364" s="1">
        <v>0</v>
      </c>
      <c r="K1364" s="1" t="str">
        <f t="shared" si="84"/>
        <v/>
      </c>
      <c r="L1364" s="1" t="str">
        <f t="shared" si="85"/>
        <v/>
      </c>
      <c r="M1364" s="1" t="str">
        <f t="shared" si="86"/>
        <v/>
      </c>
      <c r="P1364" s="1" t="s">
        <v>20</v>
      </c>
      <c r="V1364" s="1" t="s">
        <v>30311</v>
      </c>
      <c r="X1364" s="1" t="s">
        <v>27842</v>
      </c>
      <c r="AR1364" s="1" t="str">
        <f t="shared" si="87"/>
        <v>| [](.md) | [亱](亱.md) |  |  | 「夜」的異體字。 |</v>
      </c>
    </row>
    <row r="1365" spans="1:44" hidden="1">
      <c r="A1365" s="1" t="s">
        <v>30312</v>
      </c>
      <c r="C1365" s="1">
        <v>1</v>
      </c>
      <c r="D1365" s="1" t="str">
        <f>"10777-1"</f>
        <v>10777-1</v>
      </c>
      <c r="E1365" s="1" t="s">
        <v>336</v>
      </c>
      <c r="F1365" s="1">
        <v>20</v>
      </c>
      <c r="G1365" s="1">
        <v>16</v>
      </c>
      <c r="H1365" s="1">
        <v>0</v>
      </c>
      <c r="K1365" s="1" t="str">
        <f t="shared" si="84"/>
        <v/>
      </c>
      <c r="L1365" s="1" t="str">
        <f t="shared" si="85"/>
        <v/>
      </c>
      <c r="M1365" s="1" t="str">
        <f t="shared" si="86"/>
        <v/>
      </c>
      <c r="P1365" s="1" t="s">
        <v>20</v>
      </c>
      <c r="V1365" s="1" t="s">
        <v>30313</v>
      </c>
      <c r="X1365" s="1" t="s">
        <v>27842</v>
      </c>
      <c r="AR1365" s="1" t="str">
        <f t="shared" si="87"/>
        <v>| [](.md) | [爗](爗.md) |  |  | 「燁」的異體字。 |</v>
      </c>
    </row>
    <row r="1366" spans="1:44" hidden="1">
      <c r="A1366" s="1" t="s">
        <v>30314</v>
      </c>
      <c r="C1366" s="1">
        <v>1</v>
      </c>
      <c r="D1366" s="1" t="str">
        <f>"10778-1"</f>
        <v>10778-1</v>
      </c>
      <c r="E1366" s="1" t="s">
        <v>646</v>
      </c>
      <c r="F1366" s="1">
        <v>16</v>
      </c>
      <c r="G1366" s="1">
        <v>12</v>
      </c>
      <c r="H1366" s="1">
        <v>0</v>
      </c>
      <c r="K1366" s="1" t="str">
        <f t="shared" si="84"/>
        <v/>
      </c>
      <c r="L1366" s="1" t="str">
        <f t="shared" si="85"/>
        <v/>
      </c>
      <c r="M1366" s="1" t="str">
        <f t="shared" si="86"/>
        <v/>
      </c>
      <c r="P1366" s="1" t="s">
        <v>20</v>
      </c>
      <c r="V1366" s="1" t="s">
        <v>30315</v>
      </c>
      <c r="X1366" s="1" t="s">
        <v>27842</v>
      </c>
      <c r="AR1366" s="1" t="str">
        <f t="shared" si="87"/>
        <v>| [](.md) | [曅](曅.md) |  |  | 「曄」的異體字。 |</v>
      </c>
    </row>
    <row r="1367" spans="1:44" hidden="1">
      <c r="A1367" s="1" t="s">
        <v>30316</v>
      </c>
      <c r="C1367" s="1">
        <v>1</v>
      </c>
      <c r="D1367" s="1" t="str">
        <f>"10779-1"</f>
        <v>10779-1</v>
      </c>
      <c r="E1367" s="1" t="s">
        <v>24</v>
      </c>
      <c r="F1367" s="1">
        <v>18</v>
      </c>
      <c r="G1367" s="1">
        <v>14</v>
      </c>
      <c r="H1367" s="1">
        <v>0</v>
      </c>
      <c r="K1367" s="1" t="str">
        <f t="shared" si="84"/>
        <v/>
      </c>
      <c r="L1367" s="1" t="str">
        <f t="shared" si="85"/>
        <v/>
      </c>
      <c r="M1367" s="1" t="str">
        <f t="shared" si="86"/>
        <v/>
      </c>
      <c r="P1367" s="1" t="s">
        <v>20</v>
      </c>
      <c r="V1367" s="1" t="s">
        <v>30317</v>
      </c>
      <c r="X1367" s="1" t="s">
        <v>27842</v>
      </c>
      <c r="AR1367" s="1" t="str">
        <f t="shared" si="87"/>
        <v>| [](.md) | [擪](擪.md) |  |  | 「擫」的異體字。 |</v>
      </c>
    </row>
    <row r="1368" spans="1:44" hidden="1">
      <c r="A1368" s="1" t="s">
        <v>24445</v>
      </c>
      <c r="C1368" s="1">
        <v>1</v>
      </c>
      <c r="D1368" s="1" t="str">
        <f>"10788-1"</f>
        <v>10788-1</v>
      </c>
      <c r="E1368" s="1" t="s">
        <v>12565</v>
      </c>
      <c r="F1368" s="1">
        <v>3</v>
      </c>
      <c r="G1368" s="1">
        <v>0</v>
      </c>
      <c r="H1368" s="1">
        <v>0</v>
      </c>
      <c r="K1368" s="1" t="str">
        <f t="shared" si="84"/>
        <v/>
      </c>
      <c r="L1368" s="1" t="str">
        <f t="shared" si="85"/>
        <v/>
      </c>
      <c r="M1368" s="1" t="str">
        <f t="shared" si="86"/>
        <v/>
      </c>
      <c r="P1368" s="1" t="s">
        <v>20</v>
      </c>
      <c r="V1368" s="1" t="s">
        <v>30318</v>
      </c>
      <c r="X1368" s="1" t="s">
        <v>27842</v>
      </c>
      <c r="AR1368" s="1" t="str">
        <f t="shared" si="87"/>
        <v>| [](.md) | [幺](幺.md) |  |  | 「么」的異體字。 |</v>
      </c>
    </row>
    <row r="1369" spans="1:44" hidden="1">
      <c r="A1369" s="1" t="s">
        <v>30319</v>
      </c>
      <c r="C1369" s="1">
        <v>1</v>
      </c>
      <c r="D1369" s="1" t="str">
        <f>"10834-1"</f>
        <v>10834-1</v>
      </c>
      <c r="E1369" s="1" t="s">
        <v>1274</v>
      </c>
      <c r="F1369" s="1">
        <v>15</v>
      </c>
      <c r="G1369" s="1">
        <v>10</v>
      </c>
      <c r="H1369" s="1">
        <v>0</v>
      </c>
      <c r="K1369" s="1" t="str">
        <f t="shared" si="84"/>
        <v/>
      </c>
      <c r="L1369" s="1" t="str">
        <f t="shared" si="85"/>
        <v/>
      </c>
      <c r="M1369" s="1" t="str">
        <f t="shared" si="86"/>
        <v/>
      </c>
      <c r="P1369" s="1" t="s">
        <v>20</v>
      </c>
      <c r="V1369" s="1" t="s">
        <v>30320</v>
      </c>
      <c r="X1369" s="1" t="s">
        <v>27842</v>
      </c>
      <c r="AR1369" s="1" t="str">
        <f t="shared" si="87"/>
        <v>| [](.md) | [窰](窰.md) |  |  | 「窯」的異體字。 |</v>
      </c>
    </row>
    <row r="1370" spans="1:44" hidden="1">
      <c r="A1370" s="1" t="s">
        <v>30321</v>
      </c>
      <c r="C1370" s="1">
        <v>1</v>
      </c>
      <c r="D1370" s="1" t="str">
        <f>"10840-1"</f>
        <v>10840-1</v>
      </c>
      <c r="E1370" s="1" t="s">
        <v>592</v>
      </c>
      <c r="F1370" s="1">
        <v>21</v>
      </c>
      <c r="G1370" s="1">
        <v>6</v>
      </c>
      <c r="H1370" s="1">
        <v>0</v>
      </c>
      <c r="K1370" s="1" t="str">
        <f t="shared" si="84"/>
        <v/>
      </c>
      <c r="L1370" s="1" t="str">
        <f t="shared" si="85"/>
        <v/>
      </c>
      <c r="M1370" s="1" t="str">
        <f t="shared" si="86"/>
        <v/>
      </c>
      <c r="P1370" s="1" t="s">
        <v>20</v>
      </c>
      <c r="V1370" s="1" t="s">
        <v>30322</v>
      </c>
      <c r="X1370" s="1" t="s">
        <v>27842</v>
      </c>
      <c r="AR1370" s="1" t="str">
        <f t="shared" si="87"/>
        <v>| [](.md) | [齩](齩.md) |  |  | 「咬」的異體字。 |</v>
      </c>
    </row>
    <row r="1371" spans="1:44" hidden="1">
      <c r="A1371" s="1" t="s">
        <v>25559</v>
      </c>
      <c r="C1371" s="1">
        <v>1</v>
      </c>
      <c r="D1371" s="1" t="str">
        <f>"10855-1"</f>
        <v>10855-1</v>
      </c>
      <c r="E1371" s="1" t="s">
        <v>37</v>
      </c>
      <c r="F1371" s="1">
        <v>13</v>
      </c>
      <c r="G1371" s="1">
        <v>9</v>
      </c>
      <c r="H1371" s="1">
        <v>0</v>
      </c>
      <c r="K1371" s="1" t="str">
        <f t="shared" si="84"/>
        <v/>
      </c>
      <c r="L1371" s="1" t="str">
        <f t="shared" si="85"/>
        <v/>
      </c>
      <c r="M1371" s="1" t="str">
        <f t="shared" si="86"/>
        <v/>
      </c>
      <c r="P1371" s="1" t="s">
        <v>20</v>
      </c>
      <c r="V1371" s="1" t="s">
        <v>30323</v>
      </c>
      <c r="X1371" s="1" t="s">
        <v>27842</v>
      </c>
      <c r="AR1371" s="1" t="str">
        <f t="shared" si="87"/>
        <v>| [](.md) | [葯](葯.md) |  |  | 「藥」的異體字。 |</v>
      </c>
    </row>
    <row r="1372" spans="1:44" hidden="1">
      <c r="A1372" s="1" t="s">
        <v>25583</v>
      </c>
      <c r="C1372" s="1">
        <v>1</v>
      </c>
      <c r="D1372" s="1" t="str">
        <f>"10872-1"</f>
        <v>10872-1</v>
      </c>
      <c r="E1372" s="1" t="s">
        <v>114</v>
      </c>
      <c r="F1372" s="1">
        <v>6</v>
      </c>
      <c r="G1372" s="1">
        <v>4</v>
      </c>
      <c r="H1372" s="1">
        <v>0</v>
      </c>
      <c r="K1372" s="1" t="str">
        <f t="shared" si="84"/>
        <v/>
      </c>
      <c r="L1372" s="1" t="str">
        <f t="shared" si="85"/>
        <v/>
      </c>
      <c r="M1372" s="1" t="str">
        <f t="shared" si="86"/>
        <v/>
      </c>
      <c r="P1372" s="1" t="s">
        <v>20</v>
      </c>
      <c r="V1372" s="1" t="s">
        <v>30324</v>
      </c>
      <c r="X1372" s="1" t="s">
        <v>27842</v>
      </c>
      <c r="AR1372" s="1" t="str">
        <f t="shared" si="87"/>
        <v>| [](.md) | [优](优.md) |  |  | 「優」的異體字。 |</v>
      </c>
    </row>
    <row r="1373" spans="1:44" hidden="1">
      <c r="A1373" s="1" t="s">
        <v>30325</v>
      </c>
      <c r="C1373" s="1">
        <v>1</v>
      </c>
      <c r="D1373" s="1" t="str">
        <f>"10880-1"</f>
        <v>10880-1</v>
      </c>
      <c r="E1373" s="1" t="s">
        <v>68</v>
      </c>
      <c r="F1373" s="1">
        <v>8</v>
      </c>
      <c r="G1373" s="1">
        <v>4</v>
      </c>
      <c r="H1373" s="1">
        <v>0</v>
      </c>
      <c r="K1373" s="1" t="str">
        <f t="shared" si="84"/>
        <v/>
      </c>
      <c r="L1373" s="1" t="str">
        <f t="shared" si="85"/>
        <v/>
      </c>
      <c r="M1373" s="1" t="str">
        <f t="shared" si="86"/>
        <v/>
      </c>
      <c r="P1373" s="1" t="s">
        <v>20</v>
      </c>
      <c r="V1373" s="1" t="s">
        <v>30326</v>
      </c>
      <c r="X1373" s="1" t="s">
        <v>27842</v>
      </c>
      <c r="AR1373" s="1" t="str">
        <f t="shared" si="87"/>
        <v>| [](.md) | [肬](肬.md) |  |  | 「疣」的異體字。 |</v>
      </c>
    </row>
    <row r="1374" spans="1:44" hidden="1">
      <c r="A1374" s="1" t="s">
        <v>30327</v>
      </c>
      <c r="C1374" s="1">
        <v>1</v>
      </c>
      <c r="D1374" s="1" t="str">
        <f>"10891-1"</f>
        <v>10891-1</v>
      </c>
      <c r="E1374" s="1" t="s">
        <v>129</v>
      </c>
      <c r="F1374" s="1">
        <v>11</v>
      </c>
      <c r="G1374" s="1">
        <v>8</v>
      </c>
      <c r="H1374" s="1">
        <v>0</v>
      </c>
      <c r="K1374" s="1" t="str">
        <f t="shared" si="84"/>
        <v/>
      </c>
      <c r="L1374" s="1" t="str">
        <f t="shared" si="85"/>
        <v/>
      </c>
      <c r="M1374" s="1" t="str">
        <f t="shared" si="86"/>
        <v/>
      </c>
      <c r="P1374" s="1" t="s">
        <v>20</v>
      </c>
      <c r="V1374" s="1" t="s">
        <v>30328</v>
      </c>
      <c r="X1374" s="1" t="s">
        <v>27842</v>
      </c>
      <c r="AR1374" s="1" t="str">
        <f t="shared" si="87"/>
        <v>| [](.md) | [㳺](㳺.md) |  |  | 「游」的異體字。 |</v>
      </c>
    </row>
    <row r="1375" spans="1:44" hidden="1">
      <c r="A1375" s="1" t="s">
        <v>30329</v>
      </c>
      <c r="C1375" s="1">
        <v>1</v>
      </c>
      <c r="D1375" s="1" t="str">
        <f>"10892-1"</f>
        <v>10892-1</v>
      </c>
      <c r="E1375" s="1" t="s">
        <v>558</v>
      </c>
      <c r="F1375" s="1">
        <v>12</v>
      </c>
      <c r="G1375" s="1">
        <v>8</v>
      </c>
      <c r="H1375" s="1">
        <v>0</v>
      </c>
      <c r="K1375" s="1" t="str">
        <f t="shared" si="84"/>
        <v/>
      </c>
      <c r="L1375" s="1" t="str">
        <f t="shared" si="85"/>
        <v/>
      </c>
      <c r="M1375" s="1" t="str">
        <f t="shared" si="86"/>
        <v/>
      </c>
      <c r="P1375" s="1" t="s">
        <v>20</v>
      </c>
      <c r="V1375" s="1" t="s">
        <v>30330</v>
      </c>
      <c r="X1375" s="1" t="s">
        <v>27842</v>
      </c>
      <c r="AR1375" s="1" t="str">
        <f t="shared" si="87"/>
        <v>| [](.md) | [逰](逰.md) |  |  | 「遊」的異體字。 |</v>
      </c>
    </row>
    <row r="1376" spans="1:44" hidden="1">
      <c r="A1376" s="1" t="s">
        <v>30331</v>
      </c>
      <c r="C1376" s="1">
        <v>1</v>
      </c>
      <c r="D1376" s="1" t="str">
        <f>"10897-1"</f>
        <v>10897-1</v>
      </c>
      <c r="E1376" s="1" t="s">
        <v>198</v>
      </c>
      <c r="F1376" s="1">
        <v>7</v>
      </c>
      <c r="G1376" s="1">
        <v>4</v>
      </c>
      <c r="H1376" s="1">
        <v>0</v>
      </c>
      <c r="K1376" s="1" t="str">
        <f t="shared" si="84"/>
        <v/>
      </c>
      <c r="L1376" s="1" t="str">
        <f t="shared" si="85"/>
        <v/>
      </c>
      <c r="M1376" s="1" t="str">
        <f t="shared" si="86"/>
        <v/>
      </c>
      <c r="P1376" s="1" t="s">
        <v>20</v>
      </c>
      <c r="V1376" s="1" t="s">
        <v>30332</v>
      </c>
      <c r="X1376" s="1" t="s">
        <v>27842</v>
      </c>
      <c r="AR1376" s="1" t="str">
        <f t="shared" si="87"/>
        <v>| [](.md) | [犹](犹.md) |  |  | 「猶」的異體字。 |</v>
      </c>
    </row>
    <row r="1377" spans="1:44" hidden="1">
      <c r="A1377" s="1" t="s">
        <v>30333</v>
      </c>
      <c r="C1377" s="1">
        <v>1</v>
      </c>
      <c r="D1377" s="1" t="str">
        <f>"10907-1"</f>
        <v>10907-1</v>
      </c>
      <c r="E1377" s="1" t="s">
        <v>789</v>
      </c>
      <c r="F1377" s="1">
        <v>7</v>
      </c>
      <c r="G1377" s="1">
        <v>6</v>
      </c>
      <c r="H1377" s="1">
        <v>0</v>
      </c>
      <c r="K1377" s="1" t="str">
        <f t="shared" si="84"/>
        <v/>
      </c>
      <c r="L1377" s="1" t="str">
        <f t="shared" si="85"/>
        <v/>
      </c>
      <c r="M1377" s="1" t="str">
        <f t="shared" si="86"/>
        <v/>
      </c>
      <c r="P1377" s="1" t="s">
        <v>20</v>
      </c>
      <c r="V1377" s="1" t="s">
        <v>30334</v>
      </c>
      <c r="X1377" s="1" t="s">
        <v>27842</v>
      </c>
      <c r="AR1377" s="1" t="str">
        <f t="shared" si="87"/>
        <v>| [](.md) | [丣](丣.md) |  |  | 「酉」的異體字。 |</v>
      </c>
    </row>
    <row r="1378" spans="1:44" hidden="1">
      <c r="A1378" s="1" t="s">
        <v>30335</v>
      </c>
      <c r="C1378" s="1">
        <v>1</v>
      </c>
      <c r="D1378" s="1" t="str">
        <f>"10948-1"</f>
        <v>10948-1</v>
      </c>
      <c r="E1378" s="1" t="s">
        <v>336</v>
      </c>
      <c r="F1378" s="1">
        <v>10</v>
      </c>
      <c r="G1378" s="1">
        <v>6</v>
      </c>
      <c r="H1378" s="1">
        <v>0</v>
      </c>
      <c r="K1378" s="1" t="str">
        <f t="shared" si="84"/>
        <v/>
      </c>
      <c r="L1378" s="1" t="str">
        <f t="shared" si="85"/>
        <v/>
      </c>
      <c r="M1378" s="1" t="str">
        <f t="shared" si="86"/>
        <v/>
      </c>
      <c r="P1378" s="1" t="s">
        <v>20</v>
      </c>
      <c r="V1378" s="1" t="s">
        <v>30336</v>
      </c>
      <c r="X1378" s="1" t="s">
        <v>27842</v>
      </c>
      <c r="AR1378" s="1" t="str">
        <f t="shared" si="87"/>
        <v>| [](.md) | [烟](烟.md) |  |  | 「煙」的異體字。 |</v>
      </c>
    </row>
    <row r="1379" spans="1:44" hidden="1">
      <c r="A1379" s="1" t="s">
        <v>30337</v>
      </c>
      <c r="C1379" s="1">
        <v>1</v>
      </c>
      <c r="D1379" s="1" t="str">
        <f>"10952-1"</f>
        <v>10952-1</v>
      </c>
      <c r="E1379" s="1" t="s">
        <v>250</v>
      </c>
      <c r="F1379" s="1">
        <v>18</v>
      </c>
      <c r="G1379" s="1">
        <v>14</v>
      </c>
      <c r="H1379" s="1">
        <v>0</v>
      </c>
      <c r="K1379" s="1" t="str">
        <f t="shared" si="84"/>
        <v/>
      </c>
      <c r="L1379" s="1" t="str">
        <f t="shared" si="85"/>
        <v/>
      </c>
      <c r="M1379" s="1" t="str">
        <f t="shared" si="86"/>
        <v/>
      </c>
      <c r="P1379" s="1" t="s">
        <v>20</v>
      </c>
      <c r="V1379" s="1" t="s">
        <v>30338</v>
      </c>
      <c r="X1379" s="1" t="s">
        <v>27842</v>
      </c>
      <c r="AR1379" s="1" t="str">
        <f t="shared" si="87"/>
        <v>| [](.md) | [懕](懕.md) |  |  | 「懨」的異體字。 |</v>
      </c>
    </row>
    <row r="1380" spans="1:44" hidden="1">
      <c r="A1380" s="1" t="s">
        <v>30339</v>
      </c>
      <c r="C1380" s="1">
        <v>1</v>
      </c>
      <c r="D1380" s="1" t="str">
        <f>"10955-1"</f>
        <v>10955-1</v>
      </c>
      <c r="E1380" s="1" t="s">
        <v>534</v>
      </c>
      <c r="F1380" s="1">
        <v>9</v>
      </c>
      <c r="G1380" s="1">
        <v>6</v>
      </c>
      <c r="H1380" s="1">
        <v>0</v>
      </c>
      <c r="K1380" s="1" t="str">
        <f t="shared" si="84"/>
        <v/>
      </c>
      <c r="L1380" s="1" t="str">
        <f t="shared" si="85"/>
        <v/>
      </c>
      <c r="M1380" s="1" t="str">
        <f t="shared" si="86"/>
        <v/>
      </c>
      <c r="P1380" s="1" t="s">
        <v>20</v>
      </c>
      <c r="V1380" s="1" t="s">
        <v>30340</v>
      </c>
      <c r="X1380" s="1" t="s">
        <v>27842</v>
      </c>
      <c r="AR1380" s="1" t="str">
        <f t="shared" si="87"/>
        <v>| [](.md) | [姸](姸.md) |  |  | 「妍」的異體字。 |</v>
      </c>
    </row>
    <row r="1381" spans="1:44" hidden="1">
      <c r="A1381" s="1" t="s">
        <v>30341</v>
      </c>
      <c r="C1381" s="1">
        <v>1</v>
      </c>
      <c r="D1381" s="1" t="str">
        <f>"10956-1"</f>
        <v>10956-1</v>
      </c>
      <c r="E1381" s="1" t="s">
        <v>169</v>
      </c>
      <c r="F1381" s="1">
        <v>11</v>
      </c>
      <c r="G1381" s="1">
        <v>6</v>
      </c>
      <c r="H1381" s="1">
        <v>0</v>
      </c>
      <c r="K1381" s="1" t="str">
        <f t="shared" si="84"/>
        <v/>
      </c>
      <c r="L1381" s="1" t="str">
        <f t="shared" si="85"/>
        <v/>
      </c>
      <c r="M1381" s="1" t="str">
        <f t="shared" si="86"/>
        <v/>
      </c>
      <c r="P1381" s="1" t="s">
        <v>20</v>
      </c>
      <c r="V1381" s="1" t="s">
        <v>30342</v>
      </c>
      <c r="X1381" s="1" t="s">
        <v>27842</v>
      </c>
      <c r="AR1381" s="1" t="str">
        <f t="shared" si="87"/>
        <v>| [](.md) | [硏](硏.md) |  |  | 「研」的異體字。 |</v>
      </c>
    </row>
    <row r="1382" spans="1:44" hidden="1">
      <c r="A1382" s="1" t="s">
        <v>30343</v>
      </c>
      <c r="C1382" s="1">
        <v>1</v>
      </c>
      <c r="D1382" s="1" t="str">
        <f>"10958-1"</f>
        <v>10958-1</v>
      </c>
      <c r="E1382" s="1" t="s">
        <v>24</v>
      </c>
      <c r="F1382" s="1">
        <v>15</v>
      </c>
      <c r="G1382" s="1">
        <v>11</v>
      </c>
      <c r="H1382" s="1">
        <v>0</v>
      </c>
      <c r="K1382" s="1" t="str">
        <f t="shared" si="84"/>
        <v/>
      </c>
      <c r="L1382" s="1" t="str">
        <f t="shared" si="85"/>
        <v/>
      </c>
      <c r="M1382" s="1" t="str">
        <f t="shared" si="86"/>
        <v/>
      </c>
      <c r="P1382" s="1" t="s">
        <v>20</v>
      </c>
      <c r="V1382" s="1" t="s">
        <v>30344</v>
      </c>
      <c r="X1382" s="1" t="s">
        <v>27842</v>
      </c>
      <c r="AR1382" s="1" t="str">
        <f t="shared" si="87"/>
        <v>| [](.md) | [揅](揅.md) |  |  | 「揅」的異體字。 |</v>
      </c>
    </row>
    <row r="1383" spans="1:44" hidden="1">
      <c r="A1383" s="1" t="s">
        <v>30345</v>
      </c>
      <c r="C1383" s="1">
        <v>1</v>
      </c>
      <c r="D1383" s="1" t="str">
        <f>"10959-1"</f>
        <v>10959-1</v>
      </c>
      <c r="E1383" s="1" t="s">
        <v>272</v>
      </c>
      <c r="F1383" s="1">
        <v>7</v>
      </c>
      <c r="G1383" s="1">
        <v>6</v>
      </c>
      <c r="H1383" s="1">
        <v>0</v>
      </c>
      <c r="K1383" s="1" t="str">
        <f t="shared" si="84"/>
        <v/>
      </c>
      <c r="L1383" s="1" t="str">
        <f t="shared" si="85"/>
        <v/>
      </c>
      <c r="M1383" s="1" t="str">
        <f t="shared" si="86"/>
        <v/>
      </c>
      <c r="P1383" s="1" t="s">
        <v>20</v>
      </c>
      <c r="V1383" s="1" t="s">
        <v>30346</v>
      </c>
      <c r="X1383" s="1" t="s">
        <v>27842</v>
      </c>
      <c r="AR1383" s="1" t="str">
        <f t="shared" si="87"/>
        <v>| [](.md) | [鳽](鳽.md) |  |  | 「鳽」的異體字。 |</v>
      </c>
    </row>
    <row r="1384" spans="1:44" hidden="1">
      <c r="A1384" s="1" t="s">
        <v>30347</v>
      </c>
      <c r="C1384" s="1">
        <v>1</v>
      </c>
      <c r="D1384" s="1" t="str">
        <f>"10960-1"</f>
        <v>10960-1</v>
      </c>
      <c r="E1384" s="1" t="s">
        <v>129</v>
      </c>
      <c r="F1384" s="1">
        <v>7</v>
      </c>
      <c r="G1384" s="1">
        <v>4</v>
      </c>
      <c r="H1384" s="1">
        <v>0</v>
      </c>
      <c r="K1384" s="1" t="str">
        <f t="shared" si="84"/>
        <v/>
      </c>
      <c r="L1384" s="1" t="str">
        <f t="shared" si="85"/>
        <v/>
      </c>
      <c r="M1384" s="1" t="str">
        <f t="shared" si="86"/>
        <v/>
      </c>
      <c r="P1384" s="1" t="s">
        <v>20</v>
      </c>
      <c r="V1384" s="1" t="s">
        <v>30348</v>
      </c>
      <c r="X1384" s="1" t="s">
        <v>27842</v>
      </c>
      <c r="AR1384" s="1" t="str">
        <f t="shared" si="87"/>
        <v>| [](.md) | [㳂](㳂.md) |  |  | 「沿」的異體字。 |</v>
      </c>
    </row>
    <row r="1385" spans="1:44" hidden="1">
      <c r="A1385" s="1" t="s">
        <v>30349</v>
      </c>
      <c r="C1385" s="1">
        <v>1</v>
      </c>
      <c r="D1385" s="1" t="str">
        <f>"10960-2"</f>
        <v>10960-2</v>
      </c>
      <c r="E1385" s="1" t="s">
        <v>129</v>
      </c>
      <c r="F1385" s="1">
        <v>8</v>
      </c>
      <c r="G1385" s="1">
        <v>5</v>
      </c>
      <c r="H1385" s="1">
        <v>0</v>
      </c>
      <c r="K1385" s="1" t="str">
        <f t="shared" si="84"/>
        <v/>
      </c>
      <c r="L1385" s="1" t="str">
        <f t="shared" si="85"/>
        <v/>
      </c>
      <c r="M1385" s="1" t="str">
        <f t="shared" si="86"/>
        <v/>
      </c>
      <c r="P1385" s="1" t="s">
        <v>20</v>
      </c>
      <c r="V1385" s="1" t="s">
        <v>30348</v>
      </c>
      <c r="X1385" s="1" t="s">
        <v>27842</v>
      </c>
      <c r="AR1385" s="1" t="str">
        <f t="shared" si="87"/>
        <v>| [](.md) | [󹹵](󹹵.md) |  |  | 「沿」的異體字。 |</v>
      </c>
    </row>
    <row r="1386" spans="1:44" hidden="1">
      <c r="A1386" s="1" t="s">
        <v>30350</v>
      </c>
      <c r="C1386" s="1">
        <v>1</v>
      </c>
      <c r="D1386" s="1" t="str">
        <f>"10960-3"</f>
        <v>10960-3</v>
      </c>
      <c r="E1386" s="1" t="s">
        <v>129</v>
      </c>
      <c r="F1386" s="1">
        <v>8</v>
      </c>
      <c r="G1386" s="1">
        <v>5</v>
      </c>
      <c r="H1386" s="1">
        <v>0</v>
      </c>
      <c r="K1386" s="1" t="str">
        <f t="shared" si="84"/>
        <v/>
      </c>
      <c r="L1386" s="1" t="str">
        <f t="shared" si="85"/>
        <v/>
      </c>
      <c r="M1386" s="1" t="str">
        <f t="shared" si="86"/>
        <v/>
      </c>
      <c r="P1386" s="1" t="s">
        <v>20</v>
      </c>
      <c r="V1386" s="1" t="s">
        <v>30348</v>
      </c>
      <c r="X1386" s="1" t="s">
        <v>27842</v>
      </c>
      <c r="AR1386" s="1" t="str">
        <f t="shared" si="87"/>
        <v>| [](.md) | [沿](沿.md) |  |  | 「沿」的異體字。 |</v>
      </c>
    </row>
    <row r="1387" spans="1:44" hidden="1">
      <c r="A1387" s="1" t="s">
        <v>30351</v>
      </c>
      <c r="C1387" s="1">
        <v>1</v>
      </c>
      <c r="D1387" s="1" t="str">
        <f>"10982-1"</f>
        <v>10982-1</v>
      </c>
      <c r="E1387" s="1" t="s">
        <v>438</v>
      </c>
      <c r="F1387" s="1">
        <v>13</v>
      </c>
      <c r="G1387" s="1">
        <v>8</v>
      </c>
      <c r="H1387" s="1">
        <v>0</v>
      </c>
      <c r="K1387" s="1" t="str">
        <f t="shared" si="84"/>
        <v/>
      </c>
      <c r="L1387" s="1" t="str">
        <f t="shared" si="85"/>
        <v/>
      </c>
      <c r="M1387" s="1" t="str">
        <f t="shared" si="86"/>
        <v/>
      </c>
      <c r="P1387" s="1" t="s">
        <v>20</v>
      </c>
      <c r="V1387" s="1" t="s">
        <v>30352</v>
      </c>
      <c r="X1387" s="1" t="s">
        <v>27842</v>
      </c>
      <c r="AR1387" s="1" t="str">
        <f t="shared" si="87"/>
        <v>| [](.md) | [塩](塩.md) |  |  | 「鹽」的異體字。 |</v>
      </c>
    </row>
    <row r="1388" spans="1:44" hidden="1">
      <c r="A1388" s="1" t="s">
        <v>30353</v>
      </c>
      <c r="C1388" s="1">
        <v>1</v>
      </c>
      <c r="D1388" s="1" t="str">
        <f>"10996-1"</f>
        <v>10996-1</v>
      </c>
      <c r="E1388" s="1" t="s">
        <v>86</v>
      </c>
      <c r="F1388" s="1">
        <v>23</v>
      </c>
      <c r="G1388" s="1">
        <v>10</v>
      </c>
      <c r="H1388" s="1">
        <v>0</v>
      </c>
      <c r="K1388" s="1" t="str">
        <f t="shared" si="84"/>
        <v/>
      </c>
      <c r="L1388" s="1" t="str">
        <f t="shared" si="85"/>
        <v/>
      </c>
      <c r="M1388" s="1" t="str">
        <f t="shared" si="86"/>
        <v/>
      </c>
      <c r="P1388" s="1" t="s">
        <v>20</v>
      </c>
      <c r="V1388" s="1" t="s">
        <v>30354</v>
      </c>
      <c r="X1388" s="1" t="s">
        <v>27842</v>
      </c>
      <c r="AR1388" s="1" t="str">
        <f t="shared" si="87"/>
        <v>| [](.md) | [鼹](鼹.md) |  |  | 「鼴」的異體字。 |</v>
      </c>
    </row>
    <row r="1389" spans="1:44" hidden="1">
      <c r="A1389" s="1" t="s">
        <v>30355</v>
      </c>
      <c r="C1389" s="1">
        <v>1</v>
      </c>
      <c r="D1389" s="1" t="str">
        <f>"11009-1"</f>
        <v>11009-1</v>
      </c>
      <c r="E1389" s="1" t="s">
        <v>139</v>
      </c>
      <c r="F1389" s="1">
        <v>18</v>
      </c>
      <c r="G1389" s="1">
        <v>14</v>
      </c>
      <c r="H1389" s="1">
        <v>0</v>
      </c>
      <c r="K1389" s="1" t="str">
        <f t="shared" si="84"/>
        <v/>
      </c>
      <c r="L1389" s="1" t="str">
        <f t="shared" si="85"/>
        <v/>
      </c>
      <c r="M1389" s="1" t="str">
        <f t="shared" si="86"/>
        <v/>
      </c>
      <c r="P1389" s="1" t="s">
        <v>20</v>
      </c>
      <c r="V1389" s="1" t="s">
        <v>30356</v>
      </c>
      <c r="X1389" s="1" t="s">
        <v>27842</v>
      </c>
      <c r="AR1389" s="1" t="str">
        <f t="shared" si="87"/>
        <v>| [](.md) | [檿](檿.md) |  |  | 「𣝓」的異體字。 |</v>
      </c>
    </row>
    <row r="1390" spans="1:44" hidden="1">
      <c r="A1390" s="1" t="s">
        <v>30357</v>
      </c>
      <c r="C1390" s="1">
        <v>1</v>
      </c>
      <c r="D1390" s="1" t="str">
        <f>"11019-1"</f>
        <v>11019-1</v>
      </c>
      <c r="E1390" s="1" t="s">
        <v>1335</v>
      </c>
      <c r="F1390" s="1">
        <v>9</v>
      </c>
      <c r="G1390" s="1">
        <v>6</v>
      </c>
      <c r="H1390" s="1">
        <v>0</v>
      </c>
      <c r="K1390" s="1" t="str">
        <f t="shared" si="84"/>
        <v/>
      </c>
      <c r="L1390" s="1" t="str">
        <f t="shared" si="85"/>
        <v/>
      </c>
      <c r="M1390" s="1" t="str">
        <f t="shared" si="86"/>
        <v/>
      </c>
      <c r="P1390" s="1" t="s">
        <v>20</v>
      </c>
      <c r="V1390" s="1" t="s">
        <v>30358</v>
      </c>
      <c r="X1390" s="1" t="s">
        <v>27842</v>
      </c>
      <c r="AR1390" s="1" t="str">
        <f t="shared" si="87"/>
        <v>| [](.md) | [彦](彦.md) |  |  | 「彥」的異體字。 |</v>
      </c>
    </row>
    <row r="1391" spans="1:44" hidden="1">
      <c r="A1391" s="1" t="s">
        <v>30359</v>
      </c>
      <c r="C1391" s="1">
        <v>1</v>
      </c>
      <c r="D1391" s="1" t="str">
        <f>"11041-1"</f>
        <v>11041-1</v>
      </c>
      <c r="E1391" s="1" t="s">
        <v>505</v>
      </c>
      <c r="F1391" s="1">
        <v>19</v>
      </c>
      <c r="G1391" s="1">
        <v>12</v>
      </c>
      <c r="H1391" s="1">
        <v>0</v>
      </c>
      <c r="K1391" s="1" t="str">
        <f t="shared" si="84"/>
        <v/>
      </c>
      <c r="L1391" s="1" t="str">
        <f t="shared" si="85"/>
        <v/>
      </c>
      <c r="M1391" s="1" t="str">
        <f t="shared" si="86"/>
        <v/>
      </c>
      <c r="P1391" s="1" t="s">
        <v>20</v>
      </c>
      <c r="V1391" s="1" t="s">
        <v>30360</v>
      </c>
      <c r="X1391" s="1" t="s">
        <v>27842</v>
      </c>
      <c r="AR1391" s="1" t="str">
        <f t="shared" si="87"/>
        <v>| [](.md) | [贋](贋.md) |  |  | 「贗」的異體字。 |</v>
      </c>
    </row>
    <row r="1392" spans="1:44" hidden="1">
      <c r="A1392" s="1" t="s">
        <v>30361</v>
      </c>
      <c r="C1392" s="1">
        <v>1</v>
      </c>
      <c r="D1392" s="1" t="str">
        <f>"11043-1"</f>
        <v>11043-1</v>
      </c>
      <c r="E1392" s="1" t="s">
        <v>250</v>
      </c>
      <c r="F1392" s="1">
        <v>16</v>
      </c>
      <c r="G1392" s="1">
        <v>12</v>
      </c>
      <c r="H1392" s="1">
        <v>0</v>
      </c>
      <c r="K1392" s="1" t="str">
        <f t="shared" si="84"/>
        <v/>
      </c>
      <c r="L1392" s="1" t="str">
        <f t="shared" si="85"/>
        <v/>
      </c>
      <c r="M1392" s="1" t="str">
        <f t="shared" si="86"/>
        <v/>
      </c>
      <c r="P1392" s="1" t="s">
        <v>20</v>
      </c>
      <c r="V1392" s="1" t="s">
        <v>30362</v>
      </c>
      <c r="X1392" s="1" t="s">
        <v>27842</v>
      </c>
      <c r="AR1392" s="1" t="str">
        <f t="shared" si="87"/>
        <v>| [](.md) | [㦔](㦔.md) |  |  | 「厭」的異體字。 |</v>
      </c>
    </row>
    <row r="1393" spans="1:44" hidden="1">
      <c r="A1393" s="1" t="s">
        <v>30363</v>
      </c>
      <c r="C1393" s="1">
        <v>1</v>
      </c>
      <c r="D1393" s="1" t="str">
        <f>"11050-1"</f>
        <v>11050-1</v>
      </c>
      <c r="E1393" s="1" t="s">
        <v>319</v>
      </c>
      <c r="F1393" s="1">
        <v>18</v>
      </c>
      <c r="G1393" s="1">
        <v>8</v>
      </c>
      <c r="H1393" s="1">
        <v>0</v>
      </c>
      <c r="K1393" s="1" t="str">
        <f t="shared" si="84"/>
        <v/>
      </c>
      <c r="L1393" s="1" t="str">
        <f t="shared" si="85"/>
        <v/>
      </c>
      <c r="M1393" s="1" t="str">
        <f t="shared" si="86"/>
        <v/>
      </c>
      <c r="P1393" s="1" t="s">
        <v>20</v>
      </c>
      <c r="V1393" s="1" t="s">
        <v>30364</v>
      </c>
      <c r="X1393" s="1" t="s">
        <v>27842</v>
      </c>
      <c r="AR1393" s="1" t="str">
        <f t="shared" si="87"/>
        <v>| [](.md) | [騐](騐.md) |  |  | 「驗」的異體字。 |</v>
      </c>
    </row>
    <row r="1394" spans="1:44" hidden="1">
      <c r="A1394" s="1" t="s">
        <v>30365</v>
      </c>
      <c r="C1394" s="1">
        <v>1</v>
      </c>
      <c r="D1394" s="1" t="str">
        <f>"11054-1"</f>
        <v>11054-1</v>
      </c>
      <c r="E1394" s="1" t="s">
        <v>2433</v>
      </c>
      <c r="F1394" s="1">
        <v>10</v>
      </c>
      <c r="G1394" s="1">
        <v>4</v>
      </c>
      <c r="H1394" s="1">
        <v>0</v>
      </c>
      <c r="K1394" s="1" t="str">
        <f t="shared" si="84"/>
        <v/>
      </c>
      <c r="L1394" s="1" t="str">
        <f t="shared" si="85"/>
        <v/>
      </c>
      <c r="M1394" s="1" t="str">
        <f t="shared" si="86"/>
        <v/>
      </c>
      <c r="P1394" s="1" t="s">
        <v>20</v>
      </c>
      <c r="V1394" s="1" t="s">
        <v>30366</v>
      </c>
      <c r="X1394" s="1" t="s">
        <v>27842</v>
      </c>
      <c r="AR1394" s="1" t="str">
        <f t="shared" si="87"/>
        <v>| [](.md) | [艳](艳.md) |  |  | 「豔」的異體字。 |</v>
      </c>
    </row>
    <row r="1395" spans="1:44" hidden="1">
      <c r="A1395" s="1" t="s">
        <v>30367</v>
      </c>
      <c r="C1395" s="1">
        <v>1</v>
      </c>
      <c r="D1395" s="1" t="str">
        <f>"11054-2"</f>
        <v>11054-2</v>
      </c>
      <c r="E1395" s="1" t="s">
        <v>2433</v>
      </c>
      <c r="F1395" s="1">
        <v>19</v>
      </c>
      <c r="G1395" s="1">
        <v>13</v>
      </c>
      <c r="H1395" s="1">
        <v>0</v>
      </c>
      <c r="K1395" s="1" t="str">
        <f t="shared" si="84"/>
        <v/>
      </c>
      <c r="L1395" s="1" t="str">
        <f t="shared" si="85"/>
        <v/>
      </c>
      <c r="M1395" s="1" t="str">
        <f t="shared" si="86"/>
        <v/>
      </c>
      <c r="P1395" s="1" t="s">
        <v>20</v>
      </c>
      <c r="V1395" s="1" t="s">
        <v>30366</v>
      </c>
      <c r="X1395" s="1" t="s">
        <v>27842</v>
      </c>
      <c r="AR1395" s="1" t="str">
        <f t="shared" si="87"/>
        <v>| [](.md) | [艶](艶.md) |  |  | 「豔」的異體字。 |</v>
      </c>
    </row>
    <row r="1396" spans="1:44" hidden="1">
      <c r="A1396" s="1" t="s">
        <v>30368</v>
      </c>
      <c r="C1396" s="1">
        <v>1</v>
      </c>
      <c r="D1396" s="1" t="str">
        <f>"11054-3"</f>
        <v>11054-3</v>
      </c>
      <c r="E1396" s="1" t="s">
        <v>2433</v>
      </c>
      <c r="F1396" s="1">
        <v>24</v>
      </c>
      <c r="G1396" s="1">
        <v>18</v>
      </c>
      <c r="H1396" s="1">
        <v>0</v>
      </c>
      <c r="K1396" s="1" t="str">
        <f t="shared" si="84"/>
        <v/>
      </c>
      <c r="L1396" s="1" t="str">
        <f t="shared" si="85"/>
        <v/>
      </c>
      <c r="M1396" s="1" t="str">
        <f t="shared" si="86"/>
        <v/>
      </c>
      <c r="P1396" s="1" t="s">
        <v>20</v>
      </c>
      <c r="V1396" s="1" t="s">
        <v>30366</v>
      </c>
      <c r="X1396" s="1" t="s">
        <v>27842</v>
      </c>
      <c r="AR1396" s="1" t="str">
        <f t="shared" si="87"/>
        <v>| [](.md) | [艷](艷.md) |  |  | 「豔」的異體字。 |</v>
      </c>
    </row>
    <row r="1397" spans="1:44" hidden="1">
      <c r="A1397" s="1" t="s">
        <v>30369</v>
      </c>
      <c r="C1397" s="1">
        <v>1</v>
      </c>
      <c r="D1397" s="1" t="str">
        <f>"11055-1"</f>
        <v>11055-1</v>
      </c>
      <c r="E1397" s="1" t="s">
        <v>129</v>
      </c>
      <c r="F1397" s="1">
        <v>27</v>
      </c>
      <c r="G1397" s="1">
        <v>24</v>
      </c>
      <c r="H1397" s="1">
        <v>0</v>
      </c>
      <c r="K1397" s="1" t="str">
        <f t="shared" si="84"/>
        <v/>
      </c>
      <c r="L1397" s="1" t="str">
        <f t="shared" si="85"/>
        <v/>
      </c>
      <c r="M1397" s="1" t="str">
        <f t="shared" si="86"/>
        <v/>
      </c>
      <c r="P1397" s="1" t="s">
        <v>20</v>
      </c>
      <c r="V1397" s="1" t="s">
        <v>30370</v>
      </c>
      <c r="X1397" s="1" t="s">
        <v>27842</v>
      </c>
      <c r="AR1397" s="1" t="str">
        <f t="shared" si="87"/>
        <v>| [](.md) | [灧](灧.md) |  |  | 「灩」的異體字。 |</v>
      </c>
    </row>
    <row r="1398" spans="1:44" hidden="1">
      <c r="A1398" s="1" t="s">
        <v>30371</v>
      </c>
      <c r="C1398" s="1">
        <v>1</v>
      </c>
      <c r="D1398" s="1" t="str">
        <f>"11057-1"</f>
        <v>11057-1</v>
      </c>
      <c r="E1398" s="1" t="s">
        <v>534</v>
      </c>
      <c r="F1398" s="1">
        <v>11</v>
      </c>
      <c r="G1398" s="1">
        <v>8</v>
      </c>
      <c r="H1398" s="1">
        <v>0</v>
      </c>
      <c r="K1398" s="1" t="str">
        <f t="shared" si="84"/>
        <v/>
      </c>
      <c r="L1398" s="1" t="str">
        <f t="shared" si="85"/>
        <v/>
      </c>
      <c r="M1398" s="1" t="str">
        <f t="shared" si="86"/>
        <v/>
      </c>
      <c r="P1398" s="1" t="s">
        <v>20</v>
      </c>
      <c r="V1398" s="1" t="s">
        <v>30372</v>
      </c>
      <c r="X1398" s="1" t="s">
        <v>27842</v>
      </c>
      <c r="AR1398" s="1" t="str">
        <f t="shared" si="87"/>
        <v>| [](.md) | [婣](婣.md) |  |  | 「姻」的異體字。 |</v>
      </c>
    </row>
    <row r="1399" spans="1:44" hidden="1">
      <c r="A1399" s="1" t="s">
        <v>30373</v>
      </c>
      <c r="C1399" s="1">
        <v>1</v>
      </c>
      <c r="D1399" s="1" t="str">
        <f>"11065-1"</f>
        <v>11065-1</v>
      </c>
      <c r="E1399" s="1" t="s">
        <v>2557</v>
      </c>
      <c r="F1399" s="1">
        <v>5</v>
      </c>
      <c r="G1399" s="1">
        <v>2</v>
      </c>
      <c r="H1399" s="1">
        <v>0</v>
      </c>
      <c r="K1399" s="1" t="str">
        <f t="shared" si="84"/>
        <v/>
      </c>
      <c r="L1399" s="1" t="str">
        <f t="shared" si="85"/>
        <v/>
      </c>
      <c r="M1399" s="1" t="str">
        <f t="shared" si="86"/>
        <v/>
      </c>
      <c r="P1399" s="1" t="s">
        <v>20</v>
      </c>
      <c r="V1399" s="1" t="s">
        <v>30374</v>
      </c>
      <c r="X1399" s="1" t="s">
        <v>27842</v>
      </c>
      <c r="AR1399" s="1" t="str">
        <f t="shared" si="87"/>
        <v>| [](.md) | [囙](囙.md) |  |  | 「因」的異體字。 |</v>
      </c>
    </row>
    <row r="1400" spans="1:44" hidden="1">
      <c r="A1400" s="1" t="s">
        <v>30375</v>
      </c>
      <c r="C1400" s="1">
        <v>1</v>
      </c>
      <c r="D1400" s="1" t="str">
        <f>"11071-1"</f>
        <v>11071-1</v>
      </c>
      <c r="E1400" s="1" t="s">
        <v>691</v>
      </c>
      <c r="F1400" s="1">
        <v>12</v>
      </c>
      <c r="G1400" s="1">
        <v>9</v>
      </c>
      <c r="H1400" s="1">
        <v>0</v>
      </c>
      <c r="K1400" s="1" t="str">
        <f t="shared" si="84"/>
        <v/>
      </c>
      <c r="L1400" s="1" t="str">
        <f t="shared" si="85"/>
        <v/>
      </c>
      <c r="M1400" s="1" t="str">
        <f t="shared" si="86"/>
        <v/>
      </c>
      <c r="P1400" s="1" t="s">
        <v>20</v>
      </c>
      <c r="V1400" s="1" t="s">
        <v>30376</v>
      </c>
      <c r="X1400" s="1" t="s">
        <v>27842</v>
      </c>
      <c r="AR1400" s="1" t="str">
        <f t="shared" si="87"/>
        <v>| [](.md) | [陻](陻.md) |  |  | 「堙」的異體字。 |</v>
      </c>
    </row>
    <row r="1401" spans="1:44" hidden="1">
      <c r="A1401" s="1" t="s">
        <v>30377</v>
      </c>
      <c r="C1401" s="1">
        <v>1</v>
      </c>
      <c r="D1401" s="1" t="str">
        <f>"11076-1"</f>
        <v>11076-1</v>
      </c>
      <c r="E1401" s="1" t="s">
        <v>691</v>
      </c>
      <c r="F1401" s="1">
        <v>12</v>
      </c>
      <c r="G1401" s="1">
        <v>9</v>
      </c>
      <c r="H1401" s="1">
        <v>0</v>
      </c>
      <c r="K1401" s="1" t="str">
        <f t="shared" si="84"/>
        <v/>
      </c>
      <c r="L1401" s="1" t="str">
        <f t="shared" si="85"/>
        <v/>
      </c>
      <c r="M1401" s="1" t="str">
        <f t="shared" si="86"/>
        <v/>
      </c>
      <c r="P1401" s="1" t="s">
        <v>20</v>
      </c>
      <c r="V1401" s="1" t="s">
        <v>30378</v>
      </c>
      <c r="X1401" s="1" t="s">
        <v>27842</v>
      </c>
      <c r="AR1401" s="1" t="str">
        <f t="shared" si="87"/>
        <v>| [](.md) | [隂](隂.md) |  |  | 「陰」的異體字。 |</v>
      </c>
    </row>
    <row r="1402" spans="1:44" hidden="1">
      <c r="A1402" s="1" t="s">
        <v>30379</v>
      </c>
      <c r="C1402" s="1">
        <v>1</v>
      </c>
      <c r="D1402" s="1" t="str">
        <f>"11106-1"</f>
        <v>11106-1</v>
      </c>
      <c r="E1402" s="1" t="s">
        <v>1908</v>
      </c>
      <c r="F1402" s="1">
        <v>15</v>
      </c>
      <c r="G1402" s="1">
        <v>11</v>
      </c>
      <c r="H1402" s="1">
        <v>0</v>
      </c>
      <c r="K1402" s="1" t="str">
        <f t="shared" si="84"/>
        <v/>
      </c>
      <c r="L1402" s="1" t="str">
        <f t="shared" si="85"/>
        <v/>
      </c>
      <c r="M1402" s="1" t="str">
        <f t="shared" si="86"/>
        <v/>
      </c>
      <c r="P1402" s="1" t="s">
        <v>20</v>
      </c>
      <c r="V1402" s="1" t="s">
        <v>30380</v>
      </c>
      <c r="X1402" s="1" t="s">
        <v>27842</v>
      </c>
      <c r="AR1402" s="1" t="str">
        <f t="shared" si="87"/>
        <v>| [](.md) | [㱃](㱃.md) |  |  | 「飲」的異體字。 |</v>
      </c>
    </row>
    <row r="1403" spans="1:44" hidden="1">
      <c r="A1403" s="1" t="s">
        <v>30381</v>
      </c>
      <c r="C1403" s="1">
        <v>1</v>
      </c>
      <c r="D1403" s="1" t="str">
        <f>"11110-1"</f>
        <v>11110-1</v>
      </c>
      <c r="E1403" s="1" t="s">
        <v>691</v>
      </c>
      <c r="F1403" s="1">
        <v>12</v>
      </c>
      <c r="G1403" s="1">
        <v>9</v>
      </c>
      <c r="H1403" s="1">
        <v>0</v>
      </c>
      <c r="K1403" s="1" t="str">
        <f t="shared" si="84"/>
        <v/>
      </c>
      <c r="L1403" s="1" t="str">
        <f t="shared" si="85"/>
        <v/>
      </c>
      <c r="M1403" s="1" t="str">
        <f t="shared" si="86"/>
        <v/>
      </c>
      <c r="P1403" s="1" t="s">
        <v>20</v>
      </c>
      <c r="V1403" s="1" t="s">
        <v>30382</v>
      </c>
      <c r="X1403" s="1" t="s">
        <v>27842</v>
      </c>
      <c r="AR1403" s="1" t="str">
        <f t="shared" si="87"/>
        <v>| [](.md) | [隐](隐.md) |  |  | 「隱」的異體字。 |</v>
      </c>
    </row>
    <row r="1404" spans="1:44" hidden="1">
      <c r="A1404" s="1" t="s">
        <v>30383</v>
      </c>
      <c r="C1404" s="1">
        <v>1</v>
      </c>
      <c r="D1404" s="1" t="str">
        <f>"11124-1"</f>
        <v>11124-1</v>
      </c>
      <c r="E1404" s="1" t="s">
        <v>250</v>
      </c>
      <c r="F1404" s="1">
        <v>16</v>
      </c>
      <c r="G1404" s="1">
        <v>12</v>
      </c>
      <c r="H1404" s="1">
        <v>0</v>
      </c>
      <c r="K1404" s="1" t="str">
        <f t="shared" si="84"/>
        <v/>
      </c>
      <c r="L1404" s="1" t="str">
        <f t="shared" si="85"/>
        <v/>
      </c>
      <c r="M1404" s="1" t="str">
        <f t="shared" si="86"/>
        <v/>
      </c>
      <c r="P1404" s="1" t="s">
        <v>20</v>
      </c>
      <c r="V1404" s="1" t="s">
        <v>30384</v>
      </c>
      <c r="X1404" s="1" t="s">
        <v>27842</v>
      </c>
      <c r="AR1404" s="1" t="str">
        <f t="shared" si="87"/>
        <v>| [](.md) | [憗](憗.md) |  |  | 「憖」的異體字。 |</v>
      </c>
    </row>
    <row r="1405" spans="1:44" hidden="1">
      <c r="A1405" s="1" t="s">
        <v>30385</v>
      </c>
      <c r="C1405" s="1">
        <v>1</v>
      </c>
      <c r="D1405" s="1" t="str">
        <f>"11156-1"</f>
        <v>11156-1</v>
      </c>
      <c r="E1405" s="1" t="s">
        <v>43</v>
      </c>
      <c r="F1405" s="1">
        <v>10</v>
      </c>
      <c r="G1405" s="1">
        <v>4</v>
      </c>
      <c r="H1405" s="1">
        <v>0</v>
      </c>
      <c r="K1405" s="1" t="str">
        <f t="shared" si="84"/>
        <v/>
      </c>
      <c r="L1405" s="1" t="str">
        <f t="shared" si="85"/>
        <v/>
      </c>
      <c r="M1405" s="1" t="str">
        <f t="shared" si="86"/>
        <v/>
      </c>
      <c r="P1405" s="1" t="s">
        <v>20</v>
      </c>
      <c r="V1405" s="1" t="s">
        <v>30386</v>
      </c>
      <c r="X1405" s="1" t="s">
        <v>27842</v>
      </c>
      <c r="AR1405" s="1" t="str">
        <f t="shared" si="87"/>
        <v>| [](.md) | [󽘗](󽘗.md) |  |  | 「養」的異體字。 |</v>
      </c>
    </row>
    <row r="1406" spans="1:44" hidden="1">
      <c r="A1406" s="1" t="s">
        <v>26177</v>
      </c>
      <c r="C1406" s="1">
        <v>1</v>
      </c>
      <c r="D1406" s="1" t="str">
        <f>"11158-1"</f>
        <v>11158-1</v>
      </c>
      <c r="E1406" s="1" t="s">
        <v>40</v>
      </c>
      <c r="F1406" s="1">
        <v>11</v>
      </c>
      <c r="G1406" s="1">
        <v>6</v>
      </c>
      <c r="H1406" s="1">
        <v>0</v>
      </c>
      <c r="K1406" s="1" t="str">
        <f t="shared" si="84"/>
        <v/>
      </c>
      <c r="L1406" s="1" t="str">
        <f t="shared" si="85"/>
        <v/>
      </c>
      <c r="M1406" s="1" t="str">
        <f t="shared" si="86"/>
        <v/>
      </c>
      <c r="P1406" s="1" t="s">
        <v>20</v>
      </c>
      <c r="V1406" s="1" t="s">
        <v>30387</v>
      </c>
      <c r="X1406" s="1" t="s">
        <v>27842</v>
      </c>
      <c r="AR1406" s="1" t="str">
        <f t="shared" si="87"/>
        <v>| [](.md) | [痒](痒.md) |  |  | 「癢」的異體字。 |</v>
      </c>
    </row>
    <row r="1407" spans="1:44" hidden="1">
      <c r="A1407" s="1" t="s">
        <v>30388</v>
      </c>
      <c r="C1407" s="1">
        <v>1</v>
      </c>
      <c r="D1407" s="1" t="str">
        <f>"11173-1"</f>
        <v>11173-1</v>
      </c>
      <c r="E1407" s="1" t="s">
        <v>272</v>
      </c>
      <c r="F1407" s="1">
        <v>25</v>
      </c>
      <c r="G1407" s="1">
        <v>14</v>
      </c>
      <c r="H1407" s="1">
        <v>0</v>
      </c>
      <c r="K1407" s="1" t="str">
        <f t="shared" si="84"/>
        <v/>
      </c>
      <c r="L1407" s="1" t="str">
        <f t="shared" si="85"/>
        <v/>
      </c>
      <c r="M1407" s="1" t="str">
        <f t="shared" si="86"/>
        <v/>
      </c>
      <c r="P1407" s="1" t="s">
        <v>20</v>
      </c>
      <c r="V1407" s="1" t="s">
        <v>30389</v>
      </c>
      <c r="X1407" s="1" t="s">
        <v>27842</v>
      </c>
      <c r="AR1407" s="1" t="str">
        <f t="shared" si="87"/>
        <v>| [](.md) | [鸎](鸎.md) |  |  | 「鶯」的異體字。 |</v>
      </c>
    </row>
    <row r="1408" spans="1:44" hidden="1">
      <c r="A1408" s="1" t="s">
        <v>30390</v>
      </c>
      <c r="C1408" s="1">
        <v>1</v>
      </c>
      <c r="D1408" s="1" t="str">
        <f>"11174-1"</f>
        <v>11174-1</v>
      </c>
      <c r="E1408" s="1" t="s">
        <v>447</v>
      </c>
      <c r="F1408" s="1">
        <v>7</v>
      </c>
      <c r="G1408" s="1">
        <v>4</v>
      </c>
      <c r="H1408" s="1">
        <v>0</v>
      </c>
      <c r="K1408" s="1" t="str">
        <f t="shared" si="84"/>
        <v/>
      </c>
      <c r="L1408" s="1" t="str">
        <f t="shared" si="85"/>
        <v/>
      </c>
      <c r="M1408" s="1" t="str">
        <f t="shared" si="86"/>
        <v/>
      </c>
      <c r="P1408" s="1" t="s">
        <v>20</v>
      </c>
      <c r="V1408" s="1" t="s">
        <v>30391</v>
      </c>
      <c r="X1408" s="1" t="s">
        <v>27842</v>
      </c>
      <c r="AR1408" s="1" t="str">
        <f t="shared" si="87"/>
        <v>| [](.md) | [应](应.md) |  |  | 「應」的異體字。 |</v>
      </c>
    </row>
    <row r="1409" spans="1:44" hidden="1">
      <c r="A1409" s="1" t="s">
        <v>30392</v>
      </c>
      <c r="C1409" s="1">
        <v>1</v>
      </c>
      <c r="D1409" s="1" t="str">
        <f>"11187-1"</f>
        <v>11187-1</v>
      </c>
      <c r="E1409" s="1" t="s">
        <v>558</v>
      </c>
      <c r="F1409" s="1">
        <v>8</v>
      </c>
      <c r="G1409" s="1">
        <v>4</v>
      </c>
      <c r="H1409" s="1">
        <v>0</v>
      </c>
      <c r="K1409" s="1" t="str">
        <f t="shared" si="84"/>
        <v/>
      </c>
      <c r="L1409" s="1" t="str">
        <f t="shared" si="85"/>
        <v/>
      </c>
      <c r="M1409" s="1" t="str">
        <f t="shared" si="86"/>
        <v/>
      </c>
      <c r="P1409" s="1" t="s">
        <v>20</v>
      </c>
      <c r="V1409" s="1" t="s">
        <v>30393</v>
      </c>
      <c r="X1409" s="1" t="s">
        <v>27842</v>
      </c>
      <c r="AR1409" s="1" t="str">
        <f t="shared" si="87"/>
        <v>| [](.md) | [迊](迊.md) |  |  | 「迎」的異體字。 |</v>
      </c>
    </row>
    <row r="1410" spans="1:44" hidden="1">
      <c r="A1410" s="1" t="s">
        <v>30394</v>
      </c>
      <c r="C1410" s="1">
        <v>1</v>
      </c>
      <c r="D1410" s="1" t="str">
        <f>"11204-1"</f>
        <v>11204-1</v>
      </c>
      <c r="E1410" s="1" t="s">
        <v>49</v>
      </c>
      <c r="F1410" s="1">
        <v>22</v>
      </c>
      <c r="G1410" s="1">
        <v>16</v>
      </c>
      <c r="H1410" s="1">
        <v>0</v>
      </c>
      <c r="K1410" s="1" t="str">
        <f t="shared" ref="K1410:K1473" si="88">LEFT(I1410, 1)</f>
        <v/>
      </c>
      <c r="L1410" s="1" t="str">
        <f t="shared" ref="L1410:L1473" si="89">MID(I1410, 2, 1)</f>
        <v/>
      </c>
      <c r="M1410" s="1" t="str">
        <f t="shared" ref="M1410:M1473" si="90">MID(I1410, 3, 1)</f>
        <v/>
      </c>
      <c r="P1410" s="1" t="s">
        <v>20</v>
      </c>
      <c r="V1410" s="1" t="s">
        <v>30395</v>
      </c>
      <c r="X1410" s="1" t="s">
        <v>27842</v>
      </c>
      <c r="AR1410" s="1" t="str">
        <f t="shared" si="87"/>
        <v>| [](.md) | [籝](籝.md) |  |  | 「籯」的異體字。 |</v>
      </c>
    </row>
    <row r="1411" spans="1:44" hidden="1">
      <c r="A1411" s="1" t="s">
        <v>30396</v>
      </c>
      <c r="C1411" s="1">
        <v>1</v>
      </c>
      <c r="D1411" s="1" t="str">
        <f>"11205-1"</f>
        <v>11205-1</v>
      </c>
      <c r="E1411" s="1" t="s">
        <v>679</v>
      </c>
      <c r="F1411" s="1">
        <v>14</v>
      </c>
      <c r="G1411" s="1">
        <v>8</v>
      </c>
      <c r="H1411" s="1">
        <v>0</v>
      </c>
      <c r="K1411" s="1" t="str">
        <f t="shared" si="88"/>
        <v/>
      </c>
      <c r="L1411" s="1" t="str">
        <f t="shared" si="89"/>
        <v/>
      </c>
      <c r="M1411" s="1" t="str">
        <f t="shared" si="90"/>
        <v/>
      </c>
      <c r="P1411" s="1" t="s">
        <v>20</v>
      </c>
      <c r="V1411" s="1" t="s">
        <v>30397</v>
      </c>
      <c r="X1411" s="1" t="s">
        <v>27842</v>
      </c>
      <c r="AR1411" s="1" t="str">
        <f t="shared" ref="AR1411:AR1474" si="91">"| ["&amp;I1411&amp;"]("&amp;I1411&amp;".md) | ["&amp;A1411&amp;"]("&amp;A1411&amp;".md) | "&amp;" | "&amp;R1411&amp;" | "&amp;V1411&amp;" |"</f>
        <v>| [](.md) | [󵒽](󵒽.md) |  |  | 「蠅」的異體字。 |</v>
      </c>
    </row>
    <row r="1412" spans="1:44" hidden="1">
      <c r="A1412" s="1" t="s">
        <v>30398</v>
      </c>
      <c r="C1412" s="1">
        <v>1</v>
      </c>
      <c r="D1412" s="1" t="str">
        <f>"11210-1"</f>
        <v>11210-1</v>
      </c>
      <c r="E1412" s="1" t="s">
        <v>684</v>
      </c>
      <c r="F1412" s="1">
        <v>16</v>
      </c>
      <c r="G1412" s="1">
        <v>7</v>
      </c>
      <c r="H1412" s="1">
        <v>0</v>
      </c>
      <c r="K1412" s="1" t="str">
        <f t="shared" si="88"/>
        <v/>
      </c>
      <c r="L1412" s="1" t="str">
        <f t="shared" si="89"/>
        <v/>
      </c>
      <c r="M1412" s="1" t="str">
        <f t="shared" si="90"/>
        <v/>
      </c>
      <c r="P1412" s="1" t="s">
        <v>20</v>
      </c>
      <c r="V1412" s="1" t="s">
        <v>30399</v>
      </c>
      <c r="X1412" s="1" t="s">
        <v>27842</v>
      </c>
      <c r="AR1412" s="1" t="str">
        <f t="shared" si="91"/>
        <v>| [](.md) | [頴](頴.md) |  |  | 「穎」的異體字。 |</v>
      </c>
    </row>
    <row r="1413" spans="1:44" hidden="1">
      <c r="A1413" s="1" t="s">
        <v>30400</v>
      </c>
      <c r="C1413" s="1">
        <v>1</v>
      </c>
      <c r="D1413" s="1" t="str">
        <f>"11213-1"</f>
        <v>11213-1</v>
      </c>
      <c r="E1413" s="1" t="s">
        <v>646</v>
      </c>
      <c r="F1413" s="1">
        <v>13</v>
      </c>
      <c r="G1413" s="1">
        <v>9</v>
      </c>
      <c r="H1413" s="1">
        <v>0</v>
      </c>
      <c r="K1413" s="1" t="str">
        <f t="shared" si="88"/>
        <v/>
      </c>
      <c r="L1413" s="1" t="str">
        <f t="shared" si="89"/>
        <v/>
      </c>
      <c r="M1413" s="1" t="str">
        <f t="shared" si="90"/>
        <v/>
      </c>
      <c r="P1413" s="1" t="s">
        <v>20</v>
      </c>
      <c r="V1413" s="1" t="s">
        <v>30401</v>
      </c>
      <c r="X1413" s="1" t="s">
        <v>27842</v>
      </c>
      <c r="AR1413" s="1" t="str">
        <f t="shared" si="91"/>
        <v>| [](.md) | [暎](暎.md) |  |  | 「映」的異體字。 |</v>
      </c>
    </row>
    <row r="1414" spans="1:44" hidden="1">
      <c r="A1414" s="1" t="s">
        <v>30402</v>
      </c>
      <c r="C1414" s="1">
        <v>1</v>
      </c>
      <c r="D1414" s="1" t="str">
        <f>"11217-1"</f>
        <v>11217-1</v>
      </c>
      <c r="E1414" s="1" t="s">
        <v>129</v>
      </c>
      <c r="F1414" s="1">
        <v>6</v>
      </c>
      <c r="G1414" s="1">
        <v>3</v>
      </c>
      <c r="H1414" s="1">
        <v>0</v>
      </c>
      <c r="K1414" s="1" t="str">
        <f t="shared" si="88"/>
        <v/>
      </c>
      <c r="L1414" s="1" t="str">
        <f t="shared" si="89"/>
        <v/>
      </c>
      <c r="M1414" s="1" t="str">
        <f t="shared" si="90"/>
        <v/>
      </c>
      <c r="P1414" s="1" t="s">
        <v>20</v>
      </c>
      <c r="V1414" s="1" t="s">
        <v>30403</v>
      </c>
      <c r="X1414" s="1" t="s">
        <v>27842</v>
      </c>
      <c r="AR1414" s="1" t="str">
        <f t="shared" si="91"/>
        <v>| [](.md) | [汚](汚.md) |  |  | 「汙」的異體字。 |</v>
      </c>
    </row>
    <row r="1415" spans="1:44" hidden="1">
      <c r="A1415" s="1" t="s">
        <v>30404</v>
      </c>
      <c r="C1415" s="1">
        <v>1</v>
      </c>
      <c r="D1415" s="1" t="str">
        <f>"11233-1"</f>
        <v>11233-1</v>
      </c>
      <c r="E1415" s="1" t="s">
        <v>7132</v>
      </c>
      <c r="F1415" s="1">
        <v>3</v>
      </c>
      <c r="G1415" s="1">
        <v>1</v>
      </c>
      <c r="H1415" s="1">
        <v>0</v>
      </c>
      <c r="K1415" s="1" t="str">
        <f t="shared" si="88"/>
        <v/>
      </c>
      <c r="L1415" s="1" t="str">
        <f t="shared" si="89"/>
        <v/>
      </c>
      <c r="M1415" s="1" t="str">
        <f t="shared" si="90"/>
        <v/>
      </c>
      <c r="P1415" s="1" t="s">
        <v>20</v>
      </c>
      <c r="V1415" s="1" t="s">
        <v>30405</v>
      </c>
      <c r="X1415" s="1" t="s">
        <v>27842</v>
      </c>
      <c r="AR1415" s="1" t="str">
        <f t="shared" si="91"/>
        <v>| [](.md) | [兦](兦.md) |  |  | 「亡」的異體字。 |</v>
      </c>
    </row>
    <row r="1416" spans="1:44" hidden="1">
      <c r="A1416" s="1" t="s">
        <v>30406</v>
      </c>
      <c r="C1416" s="1">
        <v>1</v>
      </c>
      <c r="D1416" s="1" t="str">
        <f>"11247-1"</f>
        <v>11247-1</v>
      </c>
      <c r="E1416" s="1" t="s">
        <v>28</v>
      </c>
      <c r="F1416" s="1">
        <v>7</v>
      </c>
      <c r="G1416" s="1">
        <v>4</v>
      </c>
      <c r="H1416" s="1">
        <v>0</v>
      </c>
      <c r="K1416" s="1" t="str">
        <f t="shared" si="88"/>
        <v/>
      </c>
      <c r="L1416" s="1" t="str">
        <f t="shared" si="89"/>
        <v/>
      </c>
      <c r="M1416" s="1" t="str">
        <f t="shared" si="90"/>
        <v/>
      </c>
      <c r="P1416" s="1" t="s">
        <v>20</v>
      </c>
      <c r="V1416" s="1" t="s">
        <v>30407</v>
      </c>
      <c r="X1416" s="1" t="s">
        <v>27842</v>
      </c>
      <c r="AR1416" s="1" t="str">
        <f t="shared" si="91"/>
        <v>| [](.md) | [吴](吴.md) |  |  | 「吳」的異體字。 |</v>
      </c>
    </row>
    <row r="1417" spans="1:44" hidden="1">
      <c r="A1417" s="1" t="s">
        <v>26389</v>
      </c>
      <c r="C1417" s="1">
        <v>1</v>
      </c>
      <c r="D1417" s="1" t="str">
        <f>"11249-1"</f>
        <v>11249-1</v>
      </c>
      <c r="E1417" s="1" t="s">
        <v>13099</v>
      </c>
      <c r="F1417" s="1">
        <v>4</v>
      </c>
      <c r="G1417" s="1">
        <v>0</v>
      </c>
      <c r="H1417" s="1">
        <v>0</v>
      </c>
      <c r="K1417" s="1" t="str">
        <f t="shared" si="88"/>
        <v/>
      </c>
      <c r="L1417" s="1" t="str">
        <f t="shared" si="89"/>
        <v/>
      </c>
      <c r="M1417" s="1" t="str">
        <f t="shared" si="90"/>
        <v/>
      </c>
      <c r="P1417" s="1" t="s">
        <v>20</v>
      </c>
      <c r="V1417" s="1" t="s">
        <v>30408</v>
      </c>
      <c r="X1417" s="1" t="s">
        <v>27842</v>
      </c>
      <c r="AR1417" s="1" t="str">
        <f t="shared" si="91"/>
        <v>| [](.md) | [无](无.md) |  |  | 「無」的異體字。 |</v>
      </c>
    </row>
    <row r="1418" spans="1:44" hidden="1">
      <c r="A1418" s="1" t="s">
        <v>30409</v>
      </c>
      <c r="C1418" s="1">
        <v>1</v>
      </c>
      <c r="D1418" s="1" t="str">
        <f>"11278-1"</f>
        <v>11278-1</v>
      </c>
      <c r="E1418" s="1" t="s">
        <v>2954</v>
      </c>
      <c r="F1418" s="1">
        <v>9</v>
      </c>
      <c r="G1418" s="1">
        <v>7</v>
      </c>
      <c r="H1418" s="1">
        <v>0</v>
      </c>
      <c r="K1418" s="1" t="str">
        <f t="shared" si="88"/>
        <v/>
      </c>
      <c r="L1418" s="1" t="str">
        <f t="shared" si="89"/>
        <v/>
      </c>
      <c r="M1418" s="1" t="str">
        <f t="shared" si="90"/>
        <v/>
      </c>
      <c r="P1418" s="1" t="s">
        <v>20</v>
      </c>
      <c r="V1418" s="1" t="s">
        <v>30410</v>
      </c>
      <c r="X1418" s="1" t="s">
        <v>27842</v>
      </c>
      <c r="AR1418" s="1" t="str">
        <f t="shared" si="91"/>
        <v>| [](.md) | [𠨜](𠨜.md) |  |  | 「卼」的異體字。 |</v>
      </c>
    </row>
    <row r="1419" spans="1:44" hidden="1">
      <c r="A1419" s="1" t="s">
        <v>30411</v>
      </c>
      <c r="C1419" s="1">
        <v>1</v>
      </c>
      <c r="D1419" s="1" t="str">
        <f>"11301-1"</f>
        <v>11301-1</v>
      </c>
      <c r="E1419" s="1" t="s">
        <v>250</v>
      </c>
      <c r="F1419" s="1">
        <v>10</v>
      </c>
      <c r="G1419" s="1">
        <v>7</v>
      </c>
      <c r="H1419" s="1">
        <v>0</v>
      </c>
      <c r="K1419" s="1" t="str">
        <f t="shared" si="88"/>
        <v/>
      </c>
      <c r="L1419" s="1" t="str">
        <f t="shared" si="89"/>
        <v/>
      </c>
      <c r="M1419" s="1" t="str">
        <f t="shared" si="90"/>
        <v/>
      </c>
      <c r="P1419" s="1" t="s">
        <v>20</v>
      </c>
      <c r="V1419" s="1" t="s">
        <v>30412</v>
      </c>
      <c r="X1419" s="1" t="s">
        <v>27842</v>
      </c>
      <c r="AR1419" s="1" t="str">
        <f t="shared" si="91"/>
        <v>| [](.md) | [悞](悞.md) |  |  | 「誤」的異體字。 |</v>
      </c>
    </row>
    <row r="1420" spans="1:44" hidden="1">
      <c r="A1420" s="1" t="s">
        <v>30413</v>
      </c>
      <c r="C1420" s="1">
        <v>1</v>
      </c>
      <c r="D1420" s="1" t="str">
        <f>"11301-2"</f>
        <v>11301-2</v>
      </c>
      <c r="E1420" s="1" t="s">
        <v>331</v>
      </c>
      <c r="F1420" s="1">
        <v>14</v>
      </c>
      <c r="G1420" s="1">
        <v>7</v>
      </c>
      <c r="H1420" s="1">
        <v>0</v>
      </c>
      <c r="K1420" s="1" t="str">
        <f t="shared" si="88"/>
        <v/>
      </c>
      <c r="L1420" s="1" t="str">
        <f t="shared" si="89"/>
        <v/>
      </c>
      <c r="M1420" s="1" t="str">
        <f t="shared" si="90"/>
        <v/>
      </c>
      <c r="P1420" s="1" t="s">
        <v>20</v>
      </c>
      <c r="V1420" s="1" t="s">
        <v>30412</v>
      </c>
      <c r="X1420" s="1" t="s">
        <v>27842</v>
      </c>
      <c r="AR1420" s="1" t="str">
        <f t="shared" si="91"/>
        <v>| [](.md) | [󵡝](󵡝.md) |  |  | 「誤」的異體字。 |</v>
      </c>
    </row>
    <row r="1421" spans="1:44" hidden="1">
      <c r="A1421" s="1" t="s">
        <v>30414</v>
      </c>
      <c r="C1421" s="1">
        <v>1</v>
      </c>
      <c r="D1421" s="1" t="str">
        <f>"11311-1"</f>
        <v>11311-1</v>
      </c>
      <c r="E1421" s="1" t="s">
        <v>3331</v>
      </c>
      <c r="F1421" s="1">
        <v>19</v>
      </c>
      <c r="G1421" s="1">
        <v>6</v>
      </c>
      <c r="H1421" s="1">
        <v>0</v>
      </c>
      <c r="K1421" s="1" t="str">
        <f t="shared" si="88"/>
        <v/>
      </c>
      <c r="L1421" s="1" t="str">
        <f t="shared" si="89"/>
        <v/>
      </c>
      <c r="M1421" s="1" t="str">
        <f t="shared" si="90"/>
        <v/>
      </c>
      <c r="P1421" s="1" t="s">
        <v>20</v>
      </c>
      <c r="V1421" s="1" t="s">
        <v>30415</v>
      </c>
      <c r="X1421" s="1" t="s">
        <v>27842</v>
      </c>
      <c r="AR1421" s="1" t="str">
        <f t="shared" si="91"/>
        <v>| [](.md) | [鼃](鼃.md) |  |  | 「蛙」的異體字。 |</v>
      </c>
    </row>
    <row r="1422" spans="1:44" hidden="1">
      <c r="A1422" s="1" t="s">
        <v>30416</v>
      </c>
      <c r="C1422" s="1">
        <v>1</v>
      </c>
      <c r="D1422" s="1" t="str">
        <f>"11322-1"</f>
        <v>11322-1</v>
      </c>
      <c r="E1422" s="1" t="s">
        <v>28</v>
      </c>
      <c r="F1422" s="1">
        <v>12</v>
      </c>
      <c r="G1422" s="1">
        <v>9</v>
      </c>
      <c r="H1422" s="1">
        <v>0</v>
      </c>
      <c r="K1422" s="1" t="str">
        <f t="shared" si="88"/>
        <v/>
      </c>
      <c r="L1422" s="1" t="str">
        <f t="shared" si="89"/>
        <v/>
      </c>
      <c r="M1422" s="1" t="str">
        <f t="shared" si="90"/>
        <v/>
      </c>
      <c r="P1422" s="1" t="s">
        <v>20</v>
      </c>
      <c r="V1422" s="1" t="s">
        <v>30417</v>
      </c>
      <c r="X1422" s="1" t="s">
        <v>27842</v>
      </c>
      <c r="AR1422" s="1" t="str">
        <f t="shared" si="91"/>
        <v>| [](.md) | [󷏄](󷏄.md) |  |  | 「嗢」的異體字。 |</v>
      </c>
    </row>
    <row r="1423" spans="1:44" hidden="1">
      <c r="A1423" s="1" t="s">
        <v>2710</v>
      </c>
      <c r="C1423" s="1">
        <v>1</v>
      </c>
      <c r="D1423" s="1" t="str">
        <f>"11325-1"</f>
        <v>11325-1</v>
      </c>
      <c r="E1423" s="1" t="s">
        <v>340</v>
      </c>
      <c r="F1423" s="1">
        <v>11</v>
      </c>
      <c r="G1423" s="1">
        <v>5</v>
      </c>
      <c r="H1423" s="1">
        <v>0</v>
      </c>
      <c r="K1423" s="1" t="str">
        <f t="shared" si="88"/>
        <v/>
      </c>
      <c r="L1423" s="1" t="str">
        <f t="shared" si="89"/>
        <v/>
      </c>
      <c r="M1423" s="1" t="str">
        <f t="shared" si="90"/>
        <v/>
      </c>
      <c r="P1423" s="1" t="s">
        <v>20</v>
      </c>
      <c r="V1423" s="1" t="s">
        <v>30418</v>
      </c>
      <c r="X1423" s="1" t="s">
        <v>27842</v>
      </c>
      <c r="AR1423" s="1" t="str">
        <f t="shared" si="91"/>
        <v>| [](.md) | [袜](袜.md) |  |  | 「襪」的異體字。 |</v>
      </c>
    </row>
    <row r="1424" spans="1:44" hidden="1">
      <c r="A1424" s="1" t="s">
        <v>30419</v>
      </c>
      <c r="C1424" s="1">
        <v>1</v>
      </c>
      <c r="D1424" s="1" t="str">
        <f>"11325-2"</f>
        <v>11325-2</v>
      </c>
      <c r="E1424" s="1" t="s">
        <v>725</v>
      </c>
      <c r="F1424" s="1">
        <v>11</v>
      </c>
      <c r="G1424" s="1">
        <v>5</v>
      </c>
      <c r="H1424" s="1">
        <v>0</v>
      </c>
      <c r="K1424" s="1" t="str">
        <f t="shared" si="88"/>
        <v/>
      </c>
      <c r="L1424" s="1" t="str">
        <f t="shared" si="89"/>
        <v/>
      </c>
      <c r="M1424" s="1" t="str">
        <f t="shared" si="90"/>
        <v/>
      </c>
      <c r="P1424" s="1" t="s">
        <v>20</v>
      </c>
      <c r="V1424" s="1" t="s">
        <v>30418</v>
      </c>
      <c r="X1424" s="1" t="s">
        <v>27842</v>
      </c>
      <c r="AR1424" s="1" t="str">
        <f t="shared" si="91"/>
        <v>| [](.md) | [𥿉](𥿉.md) |  |  | 「襪」的異體字。 |</v>
      </c>
    </row>
    <row r="1425" spans="1:44" hidden="1">
      <c r="A1425" s="1" t="s">
        <v>30420</v>
      </c>
      <c r="C1425" s="1">
        <v>1</v>
      </c>
      <c r="D1425" s="1" t="str">
        <f>"11325-3"</f>
        <v>11325-3</v>
      </c>
      <c r="E1425" s="1" t="s">
        <v>96</v>
      </c>
      <c r="F1425" s="1">
        <v>24</v>
      </c>
      <c r="G1425" s="1">
        <v>15</v>
      </c>
      <c r="H1425" s="1">
        <v>0</v>
      </c>
      <c r="K1425" s="1" t="str">
        <f t="shared" si="88"/>
        <v/>
      </c>
      <c r="L1425" s="1" t="str">
        <f t="shared" si="89"/>
        <v/>
      </c>
      <c r="M1425" s="1" t="str">
        <f t="shared" si="90"/>
        <v/>
      </c>
      <c r="P1425" s="1" t="s">
        <v>20</v>
      </c>
      <c r="V1425" s="1" t="s">
        <v>30418</v>
      </c>
      <c r="X1425" s="1" t="s">
        <v>27842</v>
      </c>
      <c r="AR1425" s="1" t="str">
        <f t="shared" si="91"/>
        <v>| [](.md) | [韈](韈.md) |  |  | 「襪」的異體字。 |</v>
      </c>
    </row>
    <row r="1426" spans="1:44" hidden="1">
      <c r="A1426" s="1" t="s">
        <v>30421</v>
      </c>
      <c r="C1426" s="1">
        <v>1</v>
      </c>
      <c r="D1426" s="1" t="str">
        <f>"11325-4"</f>
        <v>11325-4</v>
      </c>
      <c r="E1426" s="1" t="s">
        <v>1058</v>
      </c>
      <c r="F1426" s="1">
        <v>24</v>
      </c>
      <c r="G1426" s="1">
        <v>15</v>
      </c>
      <c r="H1426" s="1">
        <v>0</v>
      </c>
      <c r="K1426" s="1" t="str">
        <f t="shared" si="88"/>
        <v/>
      </c>
      <c r="L1426" s="1" t="str">
        <f t="shared" si="89"/>
        <v/>
      </c>
      <c r="M1426" s="1" t="str">
        <f t="shared" si="90"/>
        <v/>
      </c>
      <c r="P1426" s="1" t="s">
        <v>20</v>
      </c>
      <c r="V1426" s="1" t="s">
        <v>30418</v>
      </c>
      <c r="X1426" s="1" t="s">
        <v>27842</v>
      </c>
      <c r="AR1426" s="1" t="str">
        <f t="shared" si="91"/>
        <v>| [](.md) | [韤](韤.md) |  |  | 「襪」的異體字。 |</v>
      </c>
    </row>
    <row r="1427" spans="1:44" hidden="1">
      <c r="A1427" s="1" t="s">
        <v>30422</v>
      </c>
      <c r="C1427" s="1">
        <v>1</v>
      </c>
      <c r="D1427" s="1" t="str">
        <f>"11338-1"</f>
        <v>11338-1</v>
      </c>
      <c r="E1427" s="1" t="s">
        <v>8899</v>
      </c>
      <c r="F1427" s="1">
        <v>8</v>
      </c>
      <c r="G1427" s="1">
        <v>2</v>
      </c>
      <c r="H1427" s="1">
        <v>0</v>
      </c>
      <c r="K1427" s="1" t="str">
        <f t="shared" si="88"/>
        <v/>
      </c>
      <c r="L1427" s="1" t="str">
        <f t="shared" si="89"/>
        <v/>
      </c>
      <c r="M1427" s="1" t="str">
        <f t="shared" si="90"/>
        <v/>
      </c>
      <c r="P1427" s="1" t="s">
        <v>20</v>
      </c>
      <c r="V1427" s="1" t="s">
        <v>30423</v>
      </c>
      <c r="X1427" s="1" t="s">
        <v>27842</v>
      </c>
      <c r="AR1427" s="1" t="str">
        <f t="shared" si="91"/>
        <v>| [](.md) | [卧](卧.md) |  |  | 「臥」的異體字。 |</v>
      </c>
    </row>
    <row r="1428" spans="1:44" hidden="1">
      <c r="A1428" s="1" t="s">
        <v>30424</v>
      </c>
      <c r="C1428" s="1">
        <v>1</v>
      </c>
      <c r="D1428" s="1" t="str">
        <f>"11375-1"</f>
        <v>11375-1</v>
      </c>
      <c r="E1428" s="1" t="s">
        <v>1533</v>
      </c>
      <c r="F1428" s="1">
        <v>12</v>
      </c>
      <c r="G1428" s="1">
        <v>8</v>
      </c>
      <c r="H1428" s="1">
        <v>0</v>
      </c>
      <c r="K1428" s="1" t="str">
        <f t="shared" si="88"/>
        <v/>
      </c>
      <c r="L1428" s="1" t="str">
        <f t="shared" si="89"/>
        <v/>
      </c>
      <c r="M1428" s="1" t="str">
        <f t="shared" si="90"/>
        <v/>
      </c>
      <c r="P1428" s="1" t="s">
        <v>20</v>
      </c>
      <c r="V1428" s="1" t="s">
        <v>30425</v>
      </c>
      <c r="X1428" s="1" t="s">
        <v>27842</v>
      </c>
      <c r="AR1428" s="1" t="str">
        <f t="shared" si="91"/>
        <v>| [](.md) | [爲](爲.md) |  |  | 「為」的異體字。 |</v>
      </c>
    </row>
    <row r="1429" spans="1:44" hidden="1">
      <c r="A1429" s="1" t="s">
        <v>30426</v>
      </c>
      <c r="C1429" s="1">
        <v>1</v>
      </c>
      <c r="D1429" s="1" t="str">
        <f>"11376-1"</f>
        <v>11376-1</v>
      </c>
      <c r="E1429" s="1" t="s">
        <v>256</v>
      </c>
      <c r="F1429" s="1">
        <v>15</v>
      </c>
      <c r="G1429" s="1">
        <v>12</v>
      </c>
      <c r="H1429" s="1">
        <v>0</v>
      </c>
      <c r="K1429" s="1" t="str">
        <f t="shared" si="88"/>
        <v/>
      </c>
      <c r="L1429" s="1" t="str">
        <f t="shared" si="89"/>
        <v/>
      </c>
      <c r="M1429" s="1" t="str">
        <f t="shared" si="90"/>
        <v/>
      </c>
      <c r="P1429" s="1" t="s">
        <v>20</v>
      </c>
      <c r="V1429" s="1" t="s">
        <v>30427</v>
      </c>
      <c r="X1429" s="1" t="s">
        <v>27842</v>
      </c>
      <c r="AR1429" s="1" t="str">
        <f t="shared" si="91"/>
        <v>| [](.md) | [󸶭](󸶭.md) |  |  | 「鄬」的異體字。 |</v>
      </c>
    </row>
    <row r="1430" spans="1:44" hidden="1">
      <c r="A1430" s="1" t="s">
        <v>30428</v>
      </c>
      <c r="C1430" s="1">
        <v>1</v>
      </c>
      <c r="D1430" s="1" t="str">
        <f>"11379-1"</f>
        <v>11379-1</v>
      </c>
      <c r="E1430" s="1" t="s">
        <v>2557</v>
      </c>
      <c r="F1430" s="1">
        <v>7</v>
      </c>
      <c r="G1430" s="1">
        <v>4</v>
      </c>
      <c r="H1430" s="1">
        <v>0</v>
      </c>
      <c r="K1430" s="1" t="str">
        <f t="shared" si="88"/>
        <v/>
      </c>
      <c r="L1430" s="1" t="str">
        <f t="shared" si="89"/>
        <v/>
      </c>
      <c r="M1430" s="1" t="str">
        <f t="shared" si="90"/>
        <v/>
      </c>
      <c r="P1430" s="1" t="s">
        <v>20</v>
      </c>
      <c r="V1430" s="1" t="s">
        <v>30429</v>
      </c>
      <c r="X1430" s="1" t="s">
        <v>27842</v>
      </c>
      <c r="AR1430" s="1" t="str">
        <f t="shared" si="91"/>
        <v>| [](.md) | [囲](囲.md) |  |  | 「圍」的異體字。 |</v>
      </c>
    </row>
    <row r="1431" spans="1:44" hidden="1">
      <c r="A1431" s="1" t="s">
        <v>30430</v>
      </c>
      <c r="C1431" s="1">
        <v>1</v>
      </c>
      <c r="D1431" s="1" t="str">
        <f>"11412-1"</f>
        <v>11412-1</v>
      </c>
      <c r="E1431" s="1" t="s">
        <v>37</v>
      </c>
      <c r="F1431" s="1">
        <v>16</v>
      </c>
      <c r="G1431" s="1">
        <v>12</v>
      </c>
      <c r="H1431" s="1">
        <v>0</v>
      </c>
      <c r="K1431" s="1" t="str">
        <f t="shared" si="88"/>
        <v/>
      </c>
      <c r="L1431" s="1" t="str">
        <f t="shared" si="89"/>
        <v/>
      </c>
      <c r="M1431" s="1" t="str">
        <f t="shared" si="90"/>
        <v/>
      </c>
      <c r="P1431" s="1" t="s">
        <v>20</v>
      </c>
      <c r="V1431" s="1" t="s">
        <v>30431</v>
      </c>
      <c r="X1431" s="1" t="s">
        <v>27842</v>
      </c>
      <c r="AR1431" s="1" t="str">
        <f t="shared" si="91"/>
        <v>| [](.md) | [蔿](蔿.md) |  |  | 「蒍」的異體字。 |</v>
      </c>
    </row>
    <row r="1432" spans="1:44" hidden="1">
      <c r="A1432" s="1" t="s">
        <v>30432</v>
      </c>
      <c r="C1432" s="1">
        <v>1</v>
      </c>
      <c r="D1432" s="1" t="str">
        <f>"11423-1"</f>
        <v>11423-1</v>
      </c>
      <c r="E1432" s="1" t="s">
        <v>114</v>
      </c>
      <c r="F1432" s="1">
        <v>14</v>
      </c>
      <c r="G1432" s="1">
        <v>12</v>
      </c>
      <c r="H1432" s="1">
        <v>0</v>
      </c>
      <c r="K1432" s="1" t="str">
        <f t="shared" si="88"/>
        <v/>
      </c>
      <c r="L1432" s="1" t="str">
        <f t="shared" si="89"/>
        <v/>
      </c>
      <c r="M1432" s="1" t="str">
        <f t="shared" si="90"/>
        <v/>
      </c>
      <c r="P1432" s="1" t="s">
        <v>20</v>
      </c>
      <c r="V1432" s="1" t="s">
        <v>30433</v>
      </c>
      <c r="X1432" s="1" t="s">
        <v>27842</v>
      </c>
      <c r="AR1432" s="1" t="str">
        <f t="shared" si="91"/>
        <v>| [](.md) | [僞](僞.md) |  |  | 「偽」的異體字。 |</v>
      </c>
    </row>
    <row r="1433" spans="1:44" hidden="1">
      <c r="A1433" s="1" t="s">
        <v>30434</v>
      </c>
      <c r="C1433" s="1">
        <v>1</v>
      </c>
      <c r="D1433" s="1" t="str">
        <f>"11426-1"</f>
        <v>11426-1</v>
      </c>
      <c r="E1433" s="1" t="s">
        <v>193</v>
      </c>
      <c r="F1433" s="1">
        <v>16</v>
      </c>
      <c r="G1433" s="1">
        <v>8</v>
      </c>
      <c r="H1433" s="1">
        <v>0</v>
      </c>
      <c r="K1433" s="1" t="str">
        <f t="shared" si="88"/>
        <v/>
      </c>
      <c r="L1433" s="1" t="str">
        <f t="shared" si="89"/>
        <v/>
      </c>
      <c r="M1433" s="1" t="str">
        <f t="shared" si="90"/>
        <v/>
      </c>
      <c r="P1433" s="1" t="s">
        <v>20</v>
      </c>
      <c r="V1433" s="1" t="s">
        <v>30435</v>
      </c>
      <c r="X1433" s="1" t="s">
        <v>27842</v>
      </c>
      <c r="AR1433" s="1" t="str">
        <f t="shared" si="91"/>
        <v>| [](.md) | [餧](餧.md) |  |  | 「餵」的異體字。 |</v>
      </c>
    </row>
    <row r="1434" spans="1:44" hidden="1">
      <c r="A1434" s="1" t="s">
        <v>30436</v>
      </c>
      <c r="C1434" s="1">
        <v>1</v>
      </c>
      <c r="D1434" s="1" t="str">
        <f>"11430-1"</f>
        <v>11430-1</v>
      </c>
      <c r="E1434" s="1" t="s">
        <v>198</v>
      </c>
      <c r="F1434" s="1">
        <v>12</v>
      </c>
      <c r="G1434" s="1">
        <v>9</v>
      </c>
      <c r="H1434" s="1">
        <v>0</v>
      </c>
      <c r="K1434" s="1" t="str">
        <f t="shared" si="88"/>
        <v/>
      </c>
      <c r="L1434" s="1" t="str">
        <f t="shared" si="89"/>
        <v/>
      </c>
      <c r="M1434" s="1" t="str">
        <f t="shared" si="90"/>
        <v/>
      </c>
      <c r="P1434" s="1" t="s">
        <v>20</v>
      </c>
      <c r="V1434" s="1" t="s">
        <v>30437</v>
      </c>
      <c r="X1434" s="1" t="s">
        <v>27842</v>
      </c>
      <c r="AR1434" s="1" t="str">
        <f t="shared" si="91"/>
        <v>| [](.md) | [猬](猬.md) |  |  | 「蝟」的異體字。 |</v>
      </c>
    </row>
    <row r="1435" spans="1:44" hidden="1">
      <c r="A1435" s="1" t="s">
        <v>30438</v>
      </c>
      <c r="C1435" s="1">
        <v>1</v>
      </c>
      <c r="D1435" s="1" t="str">
        <f>"11438-1"</f>
        <v>11438-1</v>
      </c>
      <c r="E1435" s="1" t="s">
        <v>7105</v>
      </c>
      <c r="F1435" s="1">
        <v>16</v>
      </c>
      <c r="G1435" s="1">
        <v>10</v>
      </c>
      <c r="H1435" s="1">
        <v>0</v>
      </c>
      <c r="K1435" s="1" t="str">
        <f t="shared" si="88"/>
        <v/>
      </c>
      <c r="L1435" s="1" t="str">
        <f t="shared" si="89"/>
        <v/>
      </c>
      <c r="M1435" s="1" t="str">
        <f t="shared" si="90"/>
        <v/>
      </c>
      <c r="P1435" s="1" t="s">
        <v>20</v>
      </c>
      <c r="V1435" s="1" t="s">
        <v>30439</v>
      </c>
      <c r="X1435" s="1" t="s">
        <v>27842</v>
      </c>
      <c r="AR1435" s="1" t="str">
        <f t="shared" si="91"/>
        <v>| [](.md) | [衞](衞.md) |  |  | 「衛」的異體字。 |</v>
      </c>
    </row>
    <row r="1436" spans="1:44" hidden="1">
      <c r="A1436" s="1" t="s">
        <v>30440</v>
      </c>
      <c r="C1436" s="1">
        <v>1</v>
      </c>
      <c r="D1436" s="1" t="str">
        <f>"11450-1"</f>
        <v>11450-1</v>
      </c>
      <c r="E1436" s="1" t="s">
        <v>103</v>
      </c>
      <c r="F1436" s="1">
        <v>9</v>
      </c>
      <c r="G1436" s="1">
        <v>6</v>
      </c>
      <c r="H1436" s="1">
        <v>0</v>
      </c>
      <c r="K1436" s="1" t="str">
        <f t="shared" si="88"/>
        <v/>
      </c>
      <c r="L1436" s="1" t="str">
        <f t="shared" si="89"/>
        <v/>
      </c>
      <c r="M1436" s="1" t="str">
        <f t="shared" si="90"/>
        <v/>
      </c>
      <c r="P1436" s="1" t="s">
        <v>20</v>
      </c>
      <c r="V1436" s="1" t="s">
        <v>30441</v>
      </c>
      <c r="X1436" s="1" t="s">
        <v>27842</v>
      </c>
      <c r="AR1436" s="1" t="str">
        <f t="shared" si="91"/>
        <v>| [](.md) | [弯](弯.md) |  |  | 「彎」的異體字。 |</v>
      </c>
    </row>
    <row r="1437" spans="1:44" hidden="1">
      <c r="A1437" s="1" t="s">
        <v>30442</v>
      </c>
      <c r="C1437" s="1">
        <v>1</v>
      </c>
      <c r="D1437" s="1" t="str">
        <f>"11451-1"</f>
        <v>11451-1</v>
      </c>
      <c r="E1437" s="1" t="s">
        <v>129</v>
      </c>
      <c r="F1437" s="1">
        <v>12</v>
      </c>
      <c r="G1437" s="1">
        <v>9</v>
      </c>
      <c r="H1437" s="1">
        <v>0</v>
      </c>
      <c r="K1437" s="1" t="str">
        <f t="shared" si="88"/>
        <v/>
      </c>
      <c r="L1437" s="1" t="str">
        <f t="shared" si="89"/>
        <v/>
      </c>
      <c r="M1437" s="1" t="str">
        <f t="shared" si="90"/>
        <v/>
      </c>
      <c r="P1437" s="1" t="s">
        <v>20</v>
      </c>
      <c r="V1437" s="1" t="s">
        <v>30443</v>
      </c>
      <c r="X1437" s="1" t="s">
        <v>27842</v>
      </c>
      <c r="AR1437" s="1" t="str">
        <f t="shared" si="91"/>
        <v>| [](.md) | [湾](湾.md) |  |  | 「灣」的異體字。 |</v>
      </c>
    </row>
    <row r="1438" spans="1:44" hidden="1">
      <c r="A1438" s="1" t="s">
        <v>30444</v>
      </c>
      <c r="C1438" s="1">
        <v>1</v>
      </c>
      <c r="D1438" s="1" t="str">
        <f>"11452-1"</f>
        <v>11452-1</v>
      </c>
      <c r="E1438" s="1" t="s">
        <v>4017</v>
      </c>
      <c r="F1438" s="1">
        <v>3</v>
      </c>
      <c r="G1438" s="1">
        <v>2</v>
      </c>
      <c r="H1438" s="1">
        <v>0</v>
      </c>
      <c r="K1438" s="1" t="str">
        <f t="shared" si="88"/>
        <v/>
      </c>
      <c r="L1438" s="1" t="str">
        <f t="shared" si="89"/>
        <v/>
      </c>
      <c r="M1438" s="1" t="str">
        <f t="shared" si="90"/>
        <v/>
      </c>
      <c r="P1438" s="1" t="s">
        <v>20</v>
      </c>
      <c r="V1438" s="1" t="s">
        <v>30445</v>
      </c>
      <c r="X1438" s="1" t="s">
        <v>27842</v>
      </c>
      <c r="AR1438" s="1" t="str">
        <f t="shared" si="91"/>
        <v>| [](.md) | [丸](丸.md) |  |  | 「丸」的異體字。 |</v>
      </c>
    </row>
    <row r="1439" spans="1:44" hidden="1">
      <c r="A1439" s="1" t="s">
        <v>30446</v>
      </c>
      <c r="C1439" s="1">
        <v>1</v>
      </c>
      <c r="D1439" s="1" t="str">
        <f>"11468-1"</f>
        <v>11468-1</v>
      </c>
      <c r="E1439" s="1" t="s">
        <v>438</v>
      </c>
      <c r="F1439" s="1">
        <v>10</v>
      </c>
      <c r="G1439" s="1">
        <v>5</v>
      </c>
      <c r="H1439" s="1">
        <v>0</v>
      </c>
      <c r="K1439" s="1" t="str">
        <f t="shared" si="88"/>
        <v/>
      </c>
      <c r="L1439" s="1" t="str">
        <f t="shared" si="89"/>
        <v/>
      </c>
      <c r="M1439" s="1" t="str">
        <f t="shared" si="90"/>
        <v/>
      </c>
      <c r="P1439" s="1" t="s">
        <v>20</v>
      </c>
      <c r="V1439" s="1" t="s">
        <v>30447</v>
      </c>
      <c r="X1439" s="1" t="s">
        <v>27842</v>
      </c>
      <c r="AR1439" s="1" t="str">
        <f t="shared" si="91"/>
        <v>| [](.md) | [盌](盌.md) |  |  | 「碗」的異體字。 |</v>
      </c>
    </row>
    <row r="1440" spans="1:44" hidden="1">
      <c r="A1440" s="1" t="s">
        <v>30448</v>
      </c>
      <c r="C1440" s="1">
        <v>1</v>
      </c>
      <c r="D1440" s="1" t="str">
        <f>"11468-2"</f>
        <v>11468-2</v>
      </c>
      <c r="E1440" s="1" t="s">
        <v>139</v>
      </c>
      <c r="F1440" s="1">
        <v>12</v>
      </c>
      <c r="G1440" s="1">
        <v>8</v>
      </c>
      <c r="H1440" s="1">
        <v>0</v>
      </c>
      <c r="K1440" s="1" t="str">
        <f t="shared" si="88"/>
        <v/>
      </c>
      <c r="L1440" s="1" t="str">
        <f t="shared" si="89"/>
        <v/>
      </c>
      <c r="M1440" s="1" t="str">
        <f t="shared" si="90"/>
        <v/>
      </c>
      <c r="P1440" s="1" t="s">
        <v>20</v>
      </c>
      <c r="V1440" s="1" t="s">
        <v>30447</v>
      </c>
      <c r="X1440" s="1" t="s">
        <v>27842</v>
      </c>
      <c r="AR1440" s="1" t="str">
        <f t="shared" si="91"/>
        <v>| [](.md) | [椀](椀.md) |  |  | 「碗」的異體字。 |</v>
      </c>
    </row>
    <row r="1441" spans="1:44" hidden="1">
      <c r="A1441" s="1" t="s">
        <v>2693</v>
      </c>
      <c r="C1441" s="1">
        <v>1</v>
      </c>
      <c r="D1441" s="1" t="str">
        <f>"11494-1"</f>
        <v>11494-1</v>
      </c>
      <c r="E1441" s="1" t="s">
        <v>789</v>
      </c>
      <c r="F1441" s="1">
        <v>3</v>
      </c>
      <c r="G1441" s="1">
        <v>2</v>
      </c>
      <c r="H1441" s="1">
        <v>0</v>
      </c>
      <c r="K1441" s="1" t="str">
        <f t="shared" si="88"/>
        <v/>
      </c>
      <c r="L1441" s="1" t="str">
        <f t="shared" si="89"/>
        <v/>
      </c>
      <c r="M1441" s="1" t="str">
        <f t="shared" si="90"/>
        <v/>
      </c>
      <c r="P1441" s="1" t="s">
        <v>20</v>
      </c>
      <c r="V1441" s="1" t="s">
        <v>30449</v>
      </c>
      <c r="X1441" s="1" t="s">
        <v>27842</v>
      </c>
      <c r="AR1441" s="1" t="str">
        <f t="shared" si="91"/>
        <v>| [](.md) | [万](万.md) |  |  | 「萬」的異體字。 |</v>
      </c>
    </row>
    <row r="1442" spans="1:44" hidden="1">
      <c r="A1442" s="1" t="s">
        <v>30450</v>
      </c>
      <c r="C1442" s="1">
        <v>1</v>
      </c>
      <c r="D1442" s="1" t="str">
        <f>"11495-1"</f>
        <v>11495-1</v>
      </c>
      <c r="E1442" s="1" t="s">
        <v>129</v>
      </c>
      <c r="F1442" s="1">
        <v>12</v>
      </c>
      <c r="G1442" s="1">
        <v>9</v>
      </c>
      <c r="H1442" s="1">
        <v>0</v>
      </c>
      <c r="K1442" s="1" t="str">
        <f t="shared" si="88"/>
        <v/>
      </c>
      <c r="L1442" s="1" t="str">
        <f t="shared" si="89"/>
        <v/>
      </c>
      <c r="M1442" s="1" t="str">
        <f t="shared" si="90"/>
        <v/>
      </c>
      <c r="P1442" s="1" t="s">
        <v>20</v>
      </c>
      <c r="V1442" s="1" t="s">
        <v>30451</v>
      </c>
      <c r="X1442" s="1" t="s">
        <v>27842</v>
      </c>
      <c r="AR1442" s="1" t="str">
        <f t="shared" si="91"/>
        <v>| [](.md) | [温](温.md) |  |  | 「溫」的異體字。 |</v>
      </c>
    </row>
    <row r="1443" spans="1:44" hidden="1">
      <c r="A1443" s="1" t="s">
        <v>28078</v>
      </c>
      <c r="C1443" s="1">
        <v>1</v>
      </c>
      <c r="D1443" s="1" t="str">
        <f>"11500-1"</f>
        <v>11500-1</v>
      </c>
      <c r="E1443" s="1" t="s">
        <v>426</v>
      </c>
      <c r="F1443" s="1">
        <v>4</v>
      </c>
      <c r="G1443" s="1">
        <v>0</v>
      </c>
      <c r="H1443" s="1">
        <v>0</v>
      </c>
      <c r="K1443" s="1" t="str">
        <f t="shared" si="88"/>
        <v/>
      </c>
      <c r="L1443" s="1" t="str">
        <f t="shared" si="89"/>
        <v/>
      </c>
      <c r="M1443" s="1" t="str">
        <f t="shared" si="90"/>
        <v/>
      </c>
      <c r="P1443" s="1" t="s">
        <v>20</v>
      </c>
      <c r="V1443" s="1" t="s">
        <v>30452</v>
      </c>
      <c r="X1443" s="1" t="s">
        <v>27842</v>
      </c>
      <c r="AR1443" s="1" t="str">
        <f t="shared" si="91"/>
        <v>| [](.md) | [攵](攵.md) |  |  | 「文」的異體字。 |</v>
      </c>
    </row>
    <row r="1444" spans="1:44" hidden="1">
      <c r="A1444" s="1" t="s">
        <v>30453</v>
      </c>
      <c r="C1444" s="1">
        <v>1</v>
      </c>
      <c r="D1444" s="1" t="str">
        <f>"11502-1"</f>
        <v>11502-1</v>
      </c>
      <c r="E1444" s="1" t="s">
        <v>679</v>
      </c>
      <c r="F1444" s="1">
        <v>10</v>
      </c>
      <c r="G1444" s="1">
        <v>4</v>
      </c>
      <c r="H1444" s="1">
        <v>0</v>
      </c>
      <c r="K1444" s="1" t="str">
        <f t="shared" si="88"/>
        <v/>
      </c>
      <c r="L1444" s="1" t="str">
        <f t="shared" si="89"/>
        <v/>
      </c>
      <c r="M1444" s="1" t="str">
        <f t="shared" si="90"/>
        <v/>
      </c>
      <c r="P1444" s="1" t="s">
        <v>20</v>
      </c>
      <c r="V1444" s="1" t="s">
        <v>30454</v>
      </c>
      <c r="X1444" s="1" t="s">
        <v>27842</v>
      </c>
      <c r="AR1444" s="1" t="str">
        <f t="shared" si="91"/>
        <v>| [](.md) | [蚉](蚉.md) |  |  | 「蚊」的異體字。 |</v>
      </c>
    </row>
    <row r="1445" spans="1:44" hidden="1">
      <c r="A1445" s="1" t="s">
        <v>30455</v>
      </c>
      <c r="C1445" s="1">
        <v>1</v>
      </c>
      <c r="D1445" s="1" t="str">
        <f>"11502-2"</f>
        <v>11502-2</v>
      </c>
      <c r="E1445" s="1" t="s">
        <v>679</v>
      </c>
      <c r="F1445" s="1">
        <v>16</v>
      </c>
      <c r="G1445" s="1">
        <v>10</v>
      </c>
      <c r="H1445" s="1">
        <v>0</v>
      </c>
      <c r="K1445" s="1" t="str">
        <f t="shared" si="88"/>
        <v/>
      </c>
      <c r="L1445" s="1" t="str">
        <f t="shared" si="89"/>
        <v/>
      </c>
      <c r="M1445" s="1" t="str">
        <f t="shared" si="90"/>
        <v/>
      </c>
      <c r="P1445" s="1" t="s">
        <v>20</v>
      </c>
      <c r="V1445" s="1" t="s">
        <v>30454</v>
      </c>
      <c r="X1445" s="1" t="s">
        <v>27842</v>
      </c>
      <c r="AR1445" s="1" t="str">
        <f t="shared" si="91"/>
        <v>| [](.md) | [螡](螡.md) |  |  | 「蚊」的異體字。 |</v>
      </c>
    </row>
    <row r="1446" spans="1:44" hidden="1">
      <c r="A1446" s="1" t="s">
        <v>30456</v>
      </c>
      <c r="C1446" s="1">
        <v>1</v>
      </c>
      <c r="D1446" s="1" t="str">
        <f>"11508-1"</f>
        <v>11508-1</v>
      </c>
      <c r="E1446" s="1" t="s">
        <v>68</v>
      </c>
      <c r="F1446" s="1">
        <v>11</v>
      </c>
      <c r="G1446" s="1">
        <v>7</v>
      </c>
      <c r="H1446" s="1">
        <v>0</v>
      </c>
      <c r="K1446" s="1" t="str">
        <f t="shared" si="88"/>
        <v/>
      </c>
      <c r="L1446" s="1" t="str">
        <f t="shared" si="89"/>
        <v/>
      </c>
      <c r="M1446" s="1" t="str">
        <f t="shared" si="90"/>
        <v/>
      </c>
      <c r="P1446" s="1" t="s">
        <v>20</v>
      </c>
      <c r="V1446" s="1" t="s">
        <v>30457</v>
      </c>
      <c r="X1446" s="1" t="s">
        <v>27842</v>
      </c>
      <c r="AR1446" s="1" t="str">
        <f t="shared" si="91"/>
        <v>| [](.md) | [脗](脗.md) |  |  | 「吻」的異體字。 |</v>
      </c>
    </row>
    <row r="1447" spans="1:44" hidden="1">
      <c r="A1447" s="1" t="s">
        <v>30458</v>
      </c>
      <c r="C1447" s="1">
        <v>1</v>
      </c>
      <c r="D1447" s="1" t="str">
        <f>"11509-1"</f>
        <v>11509-1</v>
      </c>
      <c r="E1447" s="1" t="s">
        <v>429</v>
      </c>
      <c r="F1447" s="1">
        <v>14</v>
      </c>
      <c r="G1447" s="1">
        <v>9</v>
      </c>
      <c r="H1447" s="1">
        <v>0</v>
      </c>
      <c r="K1447" s="1" t="str">
        <f t="shared" si="88"/>
        <v/>
      </c>
      <c r="L1447" s="1" t="str">
        <f t="shared" si="89"/>
        <v/>
      </c>
      <c r="M1447" s="1" t="str">
        <f t="shared" si="90"/>
        <v/>
      </c>
      <c r="P1447" s="1" t="s">
        <v>20</v>
      </c>
      <c r="V1447" s="1" t="s">
        <v>30459</v>
      </c>
      <c r="X1447" s="1" t="s">
        <v>27842</v>
      </c>
      <c r="AR1447" s="1" t="str">
        <f t="shared" si="91"/>
        <v>| [](.md) | [稳](稳.md) |  |  | 「穩」的異體字。 |</v>
      </c>
    </row>
    <row r="1448" spans="1:44" hidden="1">
      <c r="A1448" s="1" t="s">
        <v>30460</v>
      </c>
      <c r="C1448" s="1">
        <v>1</v>
      </c>
      <c r="D1448" s="1" t="str">
        <f>"11522-1"</f>
        <v>11522-1</v>
      </c>
      <c r="E1448" s="1" t="s">
        <v>1935</v>
      </c>
      <c r="F1448" s="1">
        <v>8</v>
      </c>
      <c r="G1448" s="1">
        <v>5</v>
      </c>
      <c r="H1448" s="1">
        <v>0</v>
      </c>
      <c r="K1448" s="1" t="str">
        <f t="shared" si="88"/>
        <v/>
      </c>
      <c r="L1448" s="1" t="str">
        <f t="shared" si="89"/>
        <v/>
      </c>
      <c r="M1448" s="1" t="str">
        <f t="shared" si="90"/>
        <v/>
      </c>
      <c r="P1448" s="1" t="s">
        <v>20</v>
      </c>
      <c r="V1448" s="1" t="s">
        <v>30461</v>
      </c>
      <c r="X1448" s="1" t="s">
        <v>27842</v>
      </c>
      <c r="AR1448" s="1" t="str">
        <f t="shared" si="91"/>
        <v>| [](.md) | [尩](尩.md) |  |  | 「尪」的異體字。 |</v>
      </c>
    </row>
    <row r="1449" spans="1:44" hidden="1">
      <c r="A1449" s="1" t="s">
        <v>30462</v>
      </c>
      <c r="C1449" s="1">
        <v>1</v>
      </c>
      <c r="D1449" s="1" t="str">
        <f>"11529-1"</f>
        <v>11529-1</v>
      </c>
      <c r="E1449" s="1" t="s">
        <v>118</v>
      </c>
      <c r="F1449" s="1">
        <v>7</v>
      </c>
      <c r="G1449" s="1">
        <v>3</v>
      </c>
      <c r="H1449" s="1">
        <v>0</v>
      </c>
      <c r="K1449" s="1" t="str">
        <f t="shared" si="88"/>
        <v/>
      </c>
      <c r="L1449" s="1" t="str">
        <f t="shared" si="89"/>
        <v/>
      </c>
      <c r="M1449" s="1" t="str">
        <f t="shared" si="90"/>
        <v/>
      </c>
      <c r="P1449" s="1" t="s">
        <v>20</v>
      </c>
      <c r="V1449" s="1" t="s">
        <v>30463</v>
      </c>
      <c r="X1449" s="1" t="s">
        <v>27842</v>
      </c>
      <c r="AR1449" s="1" t="str">
        <f t="shared" si="91"/>
        <v>| [](.md) | [𦊀](𦊀.md) |  |  | 「罔」的異體字。 |</v>
      </c>
    </row>
    <row r="1450" spans="1:44" hidden="1">
      <c r="A1450" s="1" t="s">
        <v>30464</v>
      </c>
      <c r="C1450" s="1">
        <v>1</v>
      </c>
      <c r="D1450" s="1" t="str">
        <f>"11531-1"</f>
        <v>11531-1</v>
      </c>
      <c r="E1450" s="1" t="s">
        <v>725</v>
      </c>
      <c r="F1450" s="1">
        <v>10</v>
      </c>
      <c r="G1450" s="1">
        <v>4</v>
      </c>
      <c r="H1450" s="1">
        <v>0</v>
      </c>
      <c r="K1450" s="1" t="str">
        <f t="shared" si="88"/>
        <v/>
      </c>
      <c r="L1450" s="1" t="str">
        <f t="shared" si="89"/>
        <v/>
      </c>
      <c r="M1450" s="1" t="str">
        <f t="shared" si="90"/>
        <v/>
      </c>
      <c r="P1450" s="1" t="s">
        <v>20</v>
      </c>
      <c r="V1450" s="1" t="s">
        <v>30465</v>
      </c>
      <c r="X1450" s="1" t="s">
        <v>27842</v>
      </c>
      <c r="AR1450" s="1" t="str">
        <f t="shared" si="91"/>
        <v>| [](.md) | [䋄](䋄.md) |  |  | 「網」的異體字。 |</v>
      </c>
    </row>
    <row r="1451" spans="1:44" hidden="1">
      <c r="A1451" s="1" t="s">
        <v>30466</v>
      </c>
      <c r="C1451" s="1">
        <v>1</v>
      </c>
      <c r="D1451" s="1" t="str">
        <f>"11534-1"</f>
        <v>11534-1</v>
      </c>
      <c r="E1451" s="1" t="s">
        <v>234</v>
      </c>
      <c r="F1451" s="1">
        <v>8</v>
      </c>
      <c r="G1451" s="1">
        <v>5</v>
      </c>
      <c r="H1451" s="1">
        <v>0</v>
      </c>
      <c r="K1451" s="1" t="str">
        <f t="shared" si="88"/>
        <v/>
      </c>
      <c r="L1451" s="1" t="str">
        <f t="shared" si="89"/>
        <v/>
      </c>
      <c r="M1451" s="1" t="str">
        <f t="shared" si="90"/>
        <v/>
      </c>
      <c r="P1451" s="1" t="s">
        <v>20</v>
      </c>
      <c r="V1451" s="1" t="s">
        <v>30467</v>
      </c>
      <c r="X1451" s="1" t="s">
        <v>27842</v>
      </c>
      <c r="AR1451" s="1" t="str">
        <f t="shared" si="91"/>
        <v>| [](.md) | [徃](徃.md) |  |  | 「往」的異體字。 |</v>
      </c>
    </row>
    <row r="1452" spans="1:44" hidden="1">
      <c r="A1452" s="1" t="s">
        <v>30468</v>
      </c>
      <c r="C1452" s="1">
        <v>1</v>
      </c>
      <c r="D1452" s="1" t="str">
        <f>"11557-1"</f>
        <v>11557-1</v>
      </c>
      <c r="E1452" s="1" t="s">
        <v>9954</v>
      </c>
      <c r="F1452" s="1">
        <v>3</v>
      </c>
      <c r="G1452" s="1">
        <v>1</v>
      </c>
      <c r="H1452" s="1">
        <v>0</v>
      </c>
      <c r="K1452" s="1" t="str">
        <f t="shared" si="88"/>
        <v/>
      </c>
      <c r="L1452" s="1" t="str">
        <f t="shared" si="89"/>
        <v/>
      </c>
      <c r="M1452" s="1" t="str">
        <f t="shared" si="90"/>
        <v/>
      </c>
      <c r="P1452" s="1" t="s">
        <v>20</v>
      </c>
      <c r="V1452" s="1" t="s">
        <v>30469</v>
      </c>
      <c r="X1452" s="1" t="s">
        <v>27842</v>
      </c>
      <c r="AR1452" s="1" t="str">
        <f t="shared" si="91"/>
        <v>| [](.md) | [亏](亏.md) |  |  | 「于」的異體字。 |</v>
      </c>
    </row>
    <row r="1453" spans="1:44" hidden="1">
      <c r="A1453" s="1" t="s">
        <v>30470</v>
      </c>
      <c r="C1453" s="1">
        <v>1</v>
      </c>
      <c r="D1453" s="1" t="str">
        <f>"11566-1"</f>
        <v>11566-1</v>
      </c>
      <c r="E1453" s="1" t="s">
        <v>114</v>
      </c>
      <c r="F1453" s="1">
        <v>6</v>
      </c>
      <c r="G1453" s="1">
        <v>4</v>
      </c>
      <c r="H1453" s="1">
        <v>0</v>
      </c>
      <c r="K1453" s="1" t="str">
        <f t="shared" si="88"/>
        <v/>
      </c>
      <c r="L1453" s="1" t="str">
        <f t="shared" si="89"/>
        <v/>
      </c>
      <c r="M1453" s="1" t="str">
        <f t="shared" si="90"/>
        <v/>
      </c>
      <c r="P1453" s="1" t="s">
        <v>20</v>
      </c>
      <c r="V1453" s="1" t="s">
        <v>30471</v>
      </c>
      <c r="X1453" s="1" t="s">
        <v>27842</v>
      </c>
      <c r="AR1453" s="1" t="str">
        <f t="shared" si="91"/>
        <v>| [](.md) | [伃](伃.md) |  |  | 「妤」的異體字。 |</v>
      </c>
    </row>
    <row r="1454" spans="1:44" hidden="1">
      <c r="A1454" s="1" t="s">
        <v>30472</v>
      </c>
      <c r="C1454" s="1">
        <v>1</v>
      </c>
      <c r="D1454" s="1" t="str">
        <f>"11576-1"</f>
        <v>11576-1</v>
      </c>
      <c r="E1454" s="1" t="s">
        <v>24</v>
      </c>
      <c r="F1454" s="1">
        <v>7</v>
      </c>
      <c r="G1454" s="1">
        <v>4</v>
      </c>
      <c r="H1454" s="1">
        <v>0</v>
      </c>
      <c r="K1454" s="1" t="str">
        <f t="shared" si="88"/>
        <v/>
      </c>
      <c r="L1454" s="1" t="str">
        <f t="shared" si="89"/>
        <v/>
      </c>
      <c r="M1454" s="1" t="str">
        <f t="shared" si="90"/>
        <v/>
      </c>
      <c r="P1454" s="1" t="s">
        <v>20</v>
      </c>
      <c r="V1454" s="1" t="s">
        <v>30473</v>
      </c>
      <c r="X1454" s="1" t="s">
        <v>27842</v>
      </c>
      <c r="AR1454" s="1" t="str">
        <f t="shared" si="91"/>
        <v>| [](.md) | [扵](扵.md) |  |  | 「於」的異體字。 |</v>
      </c>
    </row>
    <row r="1455" spans="1:44" hidden="1">
      <c r="A1455" s="1" t="s">
        <v>30474</v>
      </c>
      <c r="C1455" s="1">
        <v>1</v>
      </c>
      <c r="D1455" s="1" t="str">
        <f>"11583-1"</f>
        <v>11583-1</v>
      </c>
      <c r="E1455" s="1" t="s">
        <v>789</v>
      </c>
      <c r="F1455" s="1">
        <v>5</v>
      </c>
      <c r="G1455" s="1">
        <v>4</v>
      </c>
      <c r="H1455" s="1">
        <v>0</v>
      </c>
      <c r="K1455" s="1" t="str">
        <f t="shared" si="88"/>
        <v/>
      </c>
      <c r="L1455" s="1" t="str">
        <f t="shared" si="89"/>
        <v/>
      </c>
      <c r="M1455" s="1" t="str">
        <f t="shared" si="90"/>
        <v/>
      </c>
      <c r="P1455" s="1" t="s">
        <v>20</v>
      </c>
      <c r="V1455" s="1" t="s">
        <v>30475</v>
      </c>
      <c r="X1455" s="1" t="s">
        <v>27842</v>
      </c>
      <c r="AR1455" s="1" t="str">
        <f t="shared" si="91"/>
        <v>| [](.md) | [󹽭](󹽭.md) |  |  | 「與」的異體字。 |</v>
      </c>
    </row>
    <row r="1456" spans="1:44" hidden="1">
      <c r="A1456" s="1" t="s">
        <v>30476</v>
      </c>
      <c r="C1456" s="1">
        <v>1</v>
      </c>
      <c r="D1456" s="1" t="str">
        <f>"11587-1"</f>
        <v>11587-1</v>
      </c>
      <c r="E1456" s="1" t="s">
        <v>1908</v>
      </c>
      <c r="F1456" s="1">
        <v>8</v>
      </c>
      <c r="G1456" s="1">
        <v>4</v>
      </c>
      <c r="H1456" s="1">
        <v>0</v>
      </c>
      <c r="K1456" s="1" t="str">
        <f t="shared" si="88"/>
        <v/>
      </c>
      <c r="L1456" s="1" t="str">
        <f t="shared" si="89"/>
        <v/>
      </c>
      <c r="M1456" s="1" t="str">
        <f t="shared" si="90"/>
        <v/>
      </c>
      <c r="P1456" s="1" t="s">
        <v>20</v>
      </c>
      <c r="V1456" s="1" t="s">
        <v>30477</v>
      </c>
      <c r="X1456" s="1" t="s">
        <v>27842</v>
      </c>
      <c r="AR1456" s="1" t="str">
        <f t="shared" si="91"/>
        <v>| [](.md) | [欤](欤.md) |  |  | 「歟」的異體字。 |</v>
      </c>
    </row>
    <row r="1457" spans="1:44" hidden="1">
      <c r="A1457" s="1" t="s">
        <v>30478</v>
      </c>
      <c r="C1457" s="1">
        <v>1</v>
      </c>
      <c r="D1457" s="1" t="str">
        <f>"11615-1"</f>
        <v>11615-1</v>
      </c>
      <c r="E1457" s="1" t="s">
        <v>534</v>
      </c>
      <c r="F1457" s="1">
        <v>10</v>
      </c>
      <c r="G1457" s="1">
        <v>7</v>
      </c>
      <c r="H1457" s="1">
        <v>0</v>
      </c>
      <c r="K1457" s="1" t="str">
        <f t="shared" si="88"/>
        <v/>
      </c>
      <c r="L1457" s="1" t="str">
        <f t="shared" si="89"/>
        <v/>
      </c>
      <c r="M1457" s="1" t="str">
        <f t="shared" si="90"/>
        <v/>
      </c>
      <c r="P1457" s="1" t="s">
        <v>20</v>
      </c>
      <c r="V1457" s="1" t="s">
        <v>30479</v>
      </c>
      <c r="X1457" s="1" t="s">
        <v>27842</v>
      </c>
      <c r="AR1457" s="1" t="str">
        <f t="shared" si="91"/>
        <v>| [](.md) | [娱](娱.md) |  |  | 「娛」的異體字。 |</v>
      </c>
    </row>
    <row r="1458" spans="1:44" hidden="1">
      <c r="A1458" s="1" t="s">
        <v>30480</v>
      </c>
      <c r="C1458" s="1">
        <v>1</v>
      </c>
      <c r="D1458" s="1" t="str">
        <f>"11623-1"</f>
        <v>11623-1</v>
      </c>
      <c r="E1458" s="1" t="s">
        <v>2271</v>
      </c>
      <c r="F1458" s="1">
        <v>6</v>
      </c>
      <c r="G1458" s="1">
        <v>0</v>
      </c>
      <c r="H1458" s="1">
        <v>0</v>
      </c>
      <c r="K1458" s="1" t="str">
        <f t="shared" si="88"/>
        <v/>
      </c>
      <c r="L1458" s="1" t="str">
        <f t="shared" si="89"/>
        <v/>
      </c>
      <c r="M1458" s="1" t="str">
        <f t="shared" si="90"/>
        <v/>
      </c>
      <c r="P1458" s="1" t="s">
        <v>20</v>
      </c>
      <c r="V1458" s="1" t="s">
        <v>30481</v>
      </c>
      <c r="X1458" s="1" t="s">
        <v>27842</v>
      </c>
      <c r="AR1458" s="1" t="str">
        <f t="shared" si="91"/>
        <v>| [](.md) | [󿽆](󿽆.md) |  |  | 「羽」的異體字。 |</v>
      </c>
    </row>
    <row r="1459" spans="1:44" hidden="1">
      <c r="A1459" s="1" t="s">
        <v>30482</v>
      </c>
      <c r="C1459" s="1">
        <v>1</v>
      </c>
      <c r="D1459" s="1" t="str">
        <f>"11649-1"</f>
        <v>11649-1</v>
      </c>
      <c r="E1459" s="1" t="s">
        <v>68</v>
      </c>
      <c r="F1459" s="1">
        <v>8</v>
      </c>
      <c r="G1459" s="1">
        <v>4</v>
      </c>
      <c r="H1459" s="1">
        <v>0</v>
      </c>
      <c r="K1459" s="1" t="str">
        <f t="shared" si="88"/>
        <v/>
      </c>
      <c r="L1459" s="1" t="str">
        <f t="shared" si="89"/>
        <v/>
      </c>
      <c r="M1459" s="1" t="str">
        <f t="shared" si="90"/>
        <v/>
      </c>
      <c r="P1459" s="1" t="s">
        <v>20</v>
      </c>
      <c r="V1459" s="1" t="s">
        <v>30483</v>
      </c>
      <c r="X1459" s="1" t="s">
        <v>27842</v>
      </c>
      <c r="AR1459" s="1" t="str">
        <f t="shared" si="91"/>
        <v>| [](.md) | [育](育.md) |  |  | 「育」的異體字。 |</v>
      </c>
    </row>
    <row r="1460" spans="1:44" hidden="1">
      <c r="A1460" s="1" t="s">
        <v>30484</v>
      </c>
      <c r="C1460" s="1">
        <v>1</v>
      </c>
      <c r="D1460" s="1" t="str">
        <f>"11674-1"</f>
        <v>11674-1</v>
      </c>
      <c r="E1460" s="1" t="s">
        <v>28</v>
      </c>
      <c r="F1460" s="1">
        <v>12</v>
      </c>
      <c r="G1460" s="1">
        <v>9</v>
      </c>
      <c r="H1460" s="1">
        <v>0</v>
      </c>
      <c r="K1460" s="1" t="str">
        <f t="shared" si="88"/>
        <v/>
      </c>
      <c r="L1460" s="1" t="str">
        <f t="shared" si="89"/>
        <v/>
      </c>
      <c r="M1460" s="1" t="str">
        <f t="shared" si="90"/>
        <v/>
      </c>
      <c r="P1460" s="1" t="s">
        <v>20</v>
      </c>
      <c r="V1460" s="1" t="s">
        <v>30485</v>
      </c>
      <c r="X1460" s="1" t="s">
        <v>27842</v>
      </c>
      <c r="AR1460" s="1" t="str">
        <f t="shared" si="91"/>
        <v>| [](.md) | [喩](喩.md) |  |  | 「喻」的異體字。 |</v>
      </c>
    </row>
    <row r="1461" spans="1:44" hidden="1">
      <c r="A1461" s="1" t="s">
        <v>30486</v>
      </c>
      <c r="C1461" s="1">
        <v>1</v>
      </c>
      <c r="D1461" s="1" t="str">
        <f>"11681-1"</f>
        <v>11681-1</v>
      </c>
      <c r="E1461" s="1" t="s">
        <v>753</v>
      </c>
      <c r="F1461" s="1">
        <v>13</v>
      </c>
      <c r="G1461" s="1">
        <v>8</v>
      </c>
      <c r="H1461" s="1">
        <v>0</v>
      </c>
      <c r="K1461" s="1" t="str">
        <f t="shared" si="88"/>
        <v/>
      </c>
      <c r="L1461" s="1" t="str">
        <f t="shared" si="89"/>
        <v/>
      </c>
      <c r="M1461" s="1" t="str">
        <f t="shared" si="90"/>
        <v/>
      </c>
      <c r="P1461" s="1" t="s">
        <v>20</v>
      </c>
      <c r="V1461" s="1" t="s">
        <v>30487</v>
      </c>
      <c r="X1461" s="1" t="s">
        <v>27842</v>
      </c>
      <c r="AR1461" s="1" t="str">
        <f t="shared" si="91"/>
        <v>| [](.md) | [㽣](㽣.md) |  |  | 「域」的異體字。 |</v>
      </c>
    </row>
    <row r="1462" spans="1:44" hidden="1">
      <c r="A1462" s="1" t="s">
        <v>30488</v>
      </c>
      <c r="C1462" s="1">
        <v>1</v>
      </c>
      <c r="D1462" s="1" t="str">
        <f>"11691-1"</f>
        <v>11691-1</v>
      </c>
      <c r="E1462" s="1" t="s">
        <v>49</v>
      </c>
      <c r="F1462" s="1">
        <v>22</v>
      </c>
      <c r="G1462" s="1">
        <v>16</v>
      </c>
      <c r="H1462" s="1">
        <v>0</v>
      </c>
      <c r="K1462" s="1" t="str">
        <f t="shared" si="88"/>
        <v/>
      </c>
      <c r="L1462" s="1" t="str">
        <f t="shared" si="89"/>
        <v/>
      </c>
      <c r="M1462" s="1" t="str">
        <f t="shared" si="90"/>
        <v/>
      </c>
      <c r="P1462" s="1" t="s">
        <v>20</v>
      </c>
      <c r="V1462" s="1" t="s">
        <v>30489</v>
      </c>
      <c r="X1462" s="1" t="s">
        <v>27842</v>
      </c>
      <c r="AR1462" s="1" t="str">
        <f t="shared" si="91"/>
        <v>| [](.md) | [籞](籞.md) |  |  | 「篽」的異體字。 |</v>
      </c>
    </row>
    <row r="1463" spans="1:44" hidden="1">
      <c r="A1463" s="1" t="s">
        <v>30490</v>
      </c>
      <c r="C1463" s="1">
        <v>1</v>
      </c>
      <c r="D1463" s="1" t="str">
        <f>"11717-1"</f>
        <v>11717-1</v>
      </c>
      <c r="E1463" s="1" t="s">
        <v>331</v>
      </c>
      <c r="F1463" s="1">
        <v>13</v>
      </c>
      <c r="G1463" s="1">
        <v>6</v>
      </c>
      <c r="H1463" s="1">
        <v>0</v>
      </c>
      <c r="K1463" s="1" t="str">
        <f t="shared" si="88"/>
        <v/>
      </c>
      <c r="L1463" s="1" t="str">
        <f t="shared" si="89"/>
        <v/>
      </c>
      <c r="M1463" s="1" t="str">
        <f t="shared" si="90"/>
        <v/>
      </c>
      <c r="P1463" s="1" t="s">
        <v>20</v>
      </c>
      <c r="V1463" s="1" t="s">
        <v>30491</v>
      </c>
      <c r="X1463" s="1" t="s">
        <v>27842</v>
      </c>
      <c r="AR1463" s="1" t="str">
        <f t="shared" si="91"/>
        <v>| [](.md) | [誉](誉.md) |  |  | 「譽」的異體字。 |</v>
      </c>
    </row>
    <row r="1464" spans="1:44" hidden="1">
      <c r="A1464" s="1" t="s">
        <v>30492</v>
      </c>
      <c r="C1464" s="1">
        <v>1</v>
      </c>
      <c r="D1464" s="1" t="str">
        <f>"11723-1"</f>
        <v>11723-1</v>
      </c>
      <c r="E1464" s="1" t="s">
        <v>139</v>
      </c>
      <c r="F1464" s="1">
        <v>26</v>
      </c>
      <c r="G1464" s="1">
        <v>22</v>
      </c>
      <c r="H1464" s="1">
        <v>0</v>
      </c>
      <c r="K1464" s="1" t="str">
        <f t="shared" si="88"/>
        <v/>
      </c>
      <c r="L1464" s="1" t="str">
        <f t="shared" si="89"/>
        <v/>
      </c>
      <c r="M1464" s="1" t="str">
        <f t="shared" si="90"/>
        <v/>
      </c>
      <c r="P1464" s="1" t="s">
        <v>20</v>
      </c>
      <c r="V1464" s="1" t="s">
        <v>30493</v>
      </c>
      <c r="X1464" s="1" t="s">
        <v>27842</v>
      </c>
      <c r="AR1464" s="1" t="str">
        <f t="shared" si="91"/>
        <v>| [](.md) | [欝](欝.md) |  |  | 「鬱」的異體字。 |</v>
      </c>
    </row>
    <row r="1465" spans="1:44" hidden="1">
      <c r="A1465" s="1" t="s">
        <v>30494</v>
      </c>
      <c r="C1465" s="1">
        <v>1</v>
      </c>
      <c r="D1465" s="1" t="str">
        <f>"11724-1"</f>
        <v>11724-1</v>
      </c>
      <c r="E1465" s="1" t="s">
        <v>11513</v>
      </c>
      <c r="F1465" s="1">
        <v>26</v>
      </c>
      <c r="G1465" s="1">
        <v>9</v>
      </c>
      <c r="H1465" s="1">
        <v>0</v>
      </c>
      <c r="K1465" s="1" t="str">
        <f t="shared" si="88"/>
        <v/>
      </c>
      <c r="L1465" s="1" t="str">
        <f t="shared" si="89"/>
        <v/>
      </c>
      <c r="M1465" s="1" t="str">
        <f t="shared" si="90"/>
        <v/>
      </c>
      <c r="P1465" s="1" t="s">
        <v>20</v>
      </c>
      <c r="V1465" s="1" t="s">
        <v>30495</v>
      </c>
      <c r="X1465" s="1" t="s">
        <v>27842</v>
      </c>
      <c r="AR1465" s="1" t="str">
        <f t="shared" si="91"/>
        <v>| [](.md) | [龥](龥.md) |  |  | 「籲」的異體字。 |</v>
      </c>
    </row>
    <row r="1466" spans="1:44" hidden="1">
      <c r="A1466" s="1" t="s">
        <v>30496</v>
      </c>
      <c r="C1466" s="1">
        <v>1</v>
      </c>
      <c r="D1466" s="1" t="str">
        <f>"11764-1"</f>
        <v>11764-1</v>
      </c>
      <c r="E1466" s="1" t="s">
        <v>624</v>
      </c>
      <c r="F1466" s="1">
        <v>11</v>
      </c>
      <c r="G1466" s="1">
        <v>8</v>
      </c>
      <c r="H1466" s="1">
        <v>0</v>
      </c>
      <c r="K1466" s="1" t="str">
        <f t="shared" si="88"/>
        <v/>
      </c>
      <c r="L1466" s="1" t="str">
        <f t="shared" si="89"/>
        <v/>
      </c>
      <c r="M1466" s="1" t="str">
        <f t="shared" si="90"/>
        <v/>
      </c>
      <c r="P1466" s="1" t="s">
        <v>20</v>
      </c>
      <c r="V1466" s="1" t="s">
        <v>30497</v>
      </c>
      <c r="X1466" s="1" t="s">
        <v>27842</v>
      </c>
      <c r="AR1466" s="1" t="str">
        <f t="shared" si="91"/>
        <v>| [](.md) | [寃](寃.md) |  |  | 「冤」的異體字。 |</v>
      </c>
    </row>
    <row r="1467" spans="1:44" hidden="1">
      <c r="A1467" s="1" t="s">
        <v>30498</v>
      </c>
      <c r="C1467" s="1">
        <v>1</v>
      </c>
      <c r="D1467" s="1" t="str">
        <f>"11765-1"</f>
        <v>11765-1</v>
      </c>
      <c r="E1467" s="1" t="s">
        <v>129</v>
      </c>
      <c r="F1467" s="1">
        <v>11</v>
      </c>
      <c r="G1467" s="1">
        <v>8</v>
      </c>
      <c r="H1467" s="1">
        <v>0</v>
      </c>
      <c r="K1467" s="1" t="str">
        <f t="shared" si="88"/>
        <v/>
      </c>
      <c r="L1467" s="1" t="str">
        <f t="shared" si="89"/>
        <v/>
      </c>
      <c r="M1467" s="1" t="str">
        <f t="shared" si="90"/>
        <v/>
      </c>
      <c r="P1467" s="1" t="s">
        <v>20</v>
      </c>
      <c r="V1467" s="1" t="s">
        <v>30499</v>
      </c>
      <c r="X1467" s="1" t="s">
        <v>27842</v>
      </c>
      <c r="AR1467" s="1" t="str">
        <f t="shared" si="91"/>
        <v>| [](.md) | [渊](渊.md) |  |  | 「淵」的異體字。 |</v>
      </c>
    </row>
    <row r="1468" spans="1:44" hidden="1">
      <c r="A1468" s="1" t="s">
        <v>26915</v>
      </c>
      <c r="C1468" s="1">
        <v>1</v>
      </c>
      <c r="D1468" s="1" t="str">
        <f>"11774-1"</f>
        <v>11774-1</v>
      </c>
      <c r="E1468" s="1" t="s">
        <v>156</v>
      </c>
      <c r="F1468" s="1">
        <v>15</v>
      </c>
      <c r="G1468" s="1">
        <v>4</v>
      </c>
      <c r="H1468" s="1">
        <v>0</v>
      </c>
      <c r="K1468" s="1" t="str">
        <f t="shared" si="88"/>
        <v/>
      </c>
      <c r="L1468" s="1" t="str">
        <f t="shared" si="89"/>
        <v/>
      </c>
      <c r="M1468" s="1" t="str">
        <f t="shared" si="90"/>
        <v/>
      </c>
      <c r="P1468" s="1" t="s">
        <v>20</v>
      </c>
      <c r="V1468" s="1" t="s">
        <v>30500</v>
      </c>
      <c r="X1468" s="1" t="s">
        <v>27842</v>
      </c>
      <c r="AR1468" s="1" t="str">
        <f t="shared" si="91"/>
        <v>| [](.md) | [魭](魭.md) |  |  | 「黿」的異體字。 |</v>
      </c>
    </row>
    <row r="1469" spans="1:44" hidden="1">
      <c r="A1469" s="1" t="s">
        <v>30501</v>
      </c>
      <c r="C1469" s="1">
        <v>1</v>
      </c>
      <c r="D1469" s="1" t="str">
        <f>"11785-1"</f>
        <v>11785-1</v>
      </c>
      <c r="E1469" s="1" t="s">
        <v>28</v>
      </c>
      <c r="F1469" s="1">
        <v>11</v>
      </c>
      <c r="G1469" s="1">
        <v>8</v>
      </c>
      <c r="H1469" s="1">
        <v>0</v>
      </c>
      <c r="K1469" s="1" t="str">
        <f t="shared" si="88"/>
        <v/>
      </c>
      <c r="L1469" s="1" t="str">
        <f t="shared" si="89"/>
        <v/>
      </c>
      <c r="M1469" s="1" t="str">
        <f t="shared" si="90"/>
        <v/>
      </c>
      <c r="P1469" s="1" t="s">
        <v>20</v>
      </c>
      <c r="V1469" s="1" t="s">
        <v>30502</v>
      </c>
      <c r="X1469" s="1" t="s">
        <v>27842</v>
      </c>
      <c r="AR1469" s="1" t="str">
        <f t="shared" si="91"/>
        <v>| [](.md) | [󰻾](󰻾.md) |  |  | 「園」的異體字。 |</v>
      </c>
    </row>
    <row r="1470" spans="1:44" hidden="1">
      <c r="A1470" s="1" t="s">
        <v>30503</v>
      </c>
      <c r="C1470" s="1">
        <v>1</v>
      </c>
      <c r="D1470" s="1" t="str">
        <f>"11786-1"</f>
        <v>11786-1</v>
      </c>
      <c r="E1470" s="1" t="s">
        <v>198</v>
      </c>
      <c r="F1470" s="1">
        <v>12</v>
      </c>
      <c r="G1470" s="1">
        <v>9</v>
      </c>
      <c r="H1470" s="1">
        <v>0</v>
      </c>
      <c r="K1470" s="1" t="str">
        <f t="shared" si="88"/>
        <v/>
      </c>
      <c r="L1470" s="1" t="str">
        <f t="shared" si="89"/>
        <v/>
      </c>
      <c r="M1470" s="1" t="str">
        <f t="shared" si="90"/>
        <v/>
      </c>
      <c r="P1470" s="1" t="s">
        <v>20</v>
      </c>
      <c r="V1470" s="1" t="s">
        <v>30504</v>
      </c>
      <c r="X1470" s="1" t="s">
        <v>27842</v>
      </c>
      <c r="AR1470" s="1" t="str">
        <f t="shared" si="91"/>
        <v>| [](.md) | [猨](猨.md) |  |  | 「猿」的異體字。 |</v>
      </c>
    </row>
    <row r="1471" spans="1:44" hidden="1">
      <c r="A1471" s="1" t="s">
        <v>30505</v>
      </c>
      <c r="C1471" s="1">
        <v>1</v>
      </c>
      <c r="D1471" s="1" t="str">
        <f>"11794-1"</f>
        <v>11794-1</v>
      </c>
      <c r="E1471" s="1" t="s">
        <v>505</v>
      </c>
      <c r="F1471" s="1">
        <v>9</v>
      </c>
      <c r="G1471" s="1">
        <v>2</v>
      </c>
      <c r="H1471" s="1">
        <v>0</v>
      </c>
      <c r="K1471" s="1" t="str">
        <f t="shared" si="88"/>
        <v/>
      </c>
      <c r="L1471" s="1" t="str">
        <f t="shared" si="89"/>
        <v/>
      </c>
      <c r="M1471" s="1" t="str">
        <f t="shared" si="90"/>
        <v/>
      </c>
      <c r="P1471" s="1" t="s">
        <v>20</v>
      </c>
      <c r="V1471" s="1" t="s">
        <v>30506</v>
      </c>
      <c r="X1471" s="1" t="s">
        <v>27842</v>
      </c>
      <c r="AR1471" s="1" t="str">
        <f t="shared" si="91"/>
        <v>| [](.md) | [貟](貟.md) |  |  | 「員」的異體字。 |</v>
      </c>
    </row>
    <row r="1472" spans="1:44" hidden="1">
      <c r="A1472" s="1" t="s">
        <v>30507</v>
      </c>
      <c r="C1472" s="1">
        <v>1</v>
      </c>
      <c r="D1472" s="1" t="str">
        <f>"11795-1"</f>
        <v>11795-1</v>
      </c>
      <c r="E1472" s="1" t="s">
        <v>2557</v>
      </c>
      <c r="F1472" s="1">
        <v>7</v>
      </c>
      <c r="G1472" s="1">
        <v>4</v>
      </c>
      <c r="H1472" s="1">
        <v>0</v>
      </c>
      <c r="K1472" s="1" t="str">
        <f t="shared" si="88"/>
        <v/>
      </c>
      <c r="L1472" s="1" t="str">
        <f t="shared" si="89"/>
        <v/>
      </c>
      <c r="M1472" s="1" t="str">
        <f t="shared" si="90"/>
        <v/>
      </c>
      <c r="P1472" s="1" t="s">
        <v>20</v>
      </c>
      <c r="V1472" s="1" t="s">
        <v>30508</v>
      </c>
      <c r="X1472" s="1" t="s">
        <v>27842</v>
      </c>
      <c r="AR1472" s="1" t="str">
        <f t="shared" si="91"/>
        <v>| [](.md) | [园](园.md) |  |  | 「圓」的異體字。 |</v>
      </c>
    </row>
    <row r="1473" spans="1:44" hidden="1">
      <c r="A1473" s="1" t="s">
        <v>30509</v>
      </c>
      <c r="C1473" s="1">
        <v>1</v>
      </c>
      <c r="D1473" s="1" t="str">
        <f>"11797-1"</f>
        <v>11797-1</v>
      </c>
      <c r="E1473" s="1" t="s">
        <v>725</v>
      </c>
      <c r="F1473" s="1">
        <v>15</v>
      </c>
      <c r="G1473" s="1">
        <v>9</v>
      </c>
      <c r="H1473" s="1">
        <v>0</v>
      </c>
      <c r="K1473" s="1" t="str">
        <f t="shared" si="88"/>
        <v/>
      </c>
      <c r="L1473" s="1" t="str">
        <f t="shared" si="89"/>
        <v/>
      </c>
      <c r="M1473" s="1" t="str">
        <f t="shared" si="90"/>
        <v/>
      </c>
      <c r="P1473" s="1" t="s">
        <v>20</v>
      </c>
      <c r="V1473" s="1" t="s">
        <v>30510</v>
      </c>
      <c r="X1473" s="1" t="s">
        <v>27842</v>
      </c>
      <c r="AR1473" s="1" t="str">
        <f t="shared" si="91"/>
        <v>| [](.md) | [縁](縁.md) |  |  | 「緣」的異體字。 |</v>
      </c>
    </row>
    <row r="1474" spans="1:44" hidden="1">
      <c r="A1474" s="1" t="s">
        <v>30511</v>
      </c>
      <c r="C1474" s="1">
        <v>1</v>
      </c>
      <c r="D1474" s="1" t="str">
        <f>"11800-1"</f>
        <v>11800-1</v>
      </c>
      <c r="E1474" s="1" t="s">
        <v>558</v>
      </c>
      <c r="F1474" s="1">
        <v>8</v>
      </c>
      <c r="G1474" s="1">
        <v>4</v>
      </c>
      <c r="H1474" s="1">
        <v>0</v>
      </c>
      <c r="K1474" s="1" t="str">
        <f t="shared" ref="K1474:K1537" si="92">LEFT(I1474, 1)</f>
        <v/>
      </c>
      <c r="L1474" s="1" t="str">
        <f t="shared" ref="L1474:L1537" si="93">MID(I1474, 2, 1)</f>
        <v/>
      </c>
      <c r="M1474" s="1" t="str">
        <f t="shared" ref="M1474:M1537" si="94">MID(I1474, 3, 1)</f>
        <v/>
      </c>
      <c r="P1474" s="1" t="s">
        <v>20</v>
      </c>
      <c r="V1474" s="1" t="s">
        <v>30512</v>
      </c>
      <c r="X1474" s="1" t="s">
        <v>27842</v>
      </c>
      <c r="AR1474" s="1" t="str">
        <f t="shared" si="91"/>
        <v>| [](.md) | [远](远.md) |  |  | 「遠」的異體字。 |</v>
      </c>
    </row>
    <row r="1475" spans="1:44" hidden="1">
      <c r="A1475" s="1" t="s">
        <v>30513</v>
      </c>
      <c r="C1475" s="1">
        <v>1</v>
      </c>
      <c r="D1475" s="1" t="str">
        <f>"11800-2"</f>
        <v>11800-2</v>
      </c>
      <c r="E1475" s="1" t="s">
        <v>558</v>
      </c>
      <c r="F1475" s="1">
        <v>12</v>
      </c>
      <c r="G1475" s="1">
        <v>8</v>
      </c>
      <c r="H1475" s="1">
        <v>0</v>
      </c>
      <c r="K1475" s="1" t="str">
        <f t="shared" si="92"/>
        <v/>
      </c>
      <c r="L1475" s="1" t="str">
        <f t="shared" si="93"/>
        <v/>
      </c>
      <c r="M1475" s="1" t="str">
        <f t="shared" si="94"/>
        <v/>
      </c>
      <c r="P1475" s="1" t="s">
        <v>20</v>
      </c>
      <c r="V1475" s="1" t="s">
        <v>30512</v>
      </c>
      <c r="X1475" s="1" t="s">
        <v>27842</v>
      </c>
      <c r="AR1475" s="1" t="str">
        <f t="shared" ref="AR1475:AR1538" si="95">"| ["&amp;I1475&amp;"]("&amp;I1475&amp;".md) | ["&amp;A1475&amp;"]("&amp;A1475&amp;".md) | "&amp;" | "&amp;R1475&amp;" | "&amp;V1475&amp;" |"</f>
        <v>| [](.md) | [逺](逺.md) |  |  | 「遠」的異體字。 |</v>
      </c>
    </row>
    <row r="1476" spans="1:44" hidden="1">
      <c r="A1476" s="1" t="s">
        <v>30514</v>
      </c>
      <c r="C1476" s="1">
        <v>1</v>
      </c>
      <c r="D1476" s="1" t="str">
        <f>"11829-1"</f>
        <v>11829-1</v>
      </c>
      <c r="E1476" s="1" t="s">
        <v>570</v>
      </c>
      <c r="F1476" s="1">
        <v>4</v>
      </c>
      <c r="G1476" s="1">
        <v>2</v>
      </c>
      <c r="H1476" s="1">
        <v>0</v>
      </c>
      <c r="K1476" s="1" t="str">
        <f t="shared" si="92"/>
        <v/>
      </c>
      <c r="L1476" s="1" t="str">
        <f t="shared" si="93"/>
        <v/>
      </c>
      <c r="M1476" s="1" t="str">
        <f t="shared" si="94"/>
        <v/>
      </c>
      <c r="P1476" s="1" t="s">
        <v>20</v>
      </c>
      <c r="V1476" s="1" t="s">
        <v>30515</v>
      </c>
      <c r="X1476" s="1" t="s">
        <v>27842</v>
      </c>
      <c r="AR1476" s="1" t="str">
        <f t="shared" si="95"/>
        <v>| [](.md) | [匀](匀.md) |  |  | 「勻」的異體字。 |</v>
      </c>
    </row>
    <row r="1477" spans="1:44" hidden="1">
      <c r="A1477" s="1" t="s">
        <v>30516</v>
      </c>
      <c r="C1477" s="1">
        <v>1</v>
      </c>
      <c r="D1477" s="1" t="str">
        <f>"11839-1"</f>
        <v>11839-1</v>
      </c>
      <c r="E1477" s="1" t="s">
        <v>691</v>
      </c>
      <c r="F1477" s="1">
        <v>12</v>
      </c>
      <c r="G1477" s="1">
        <v>9</v>
      </c>
      <c r="H1477" s="1">
        <v>0</v>
      </c>
      <c r="K1477" s="1" t="str">
        <f t="shared" si="92"/>
        <v/>
      </c>
      <c r="L1477" s="1" t="str">
        <f t="shared" si="93"/>
        <v/>
      </c>
      <c r="M1477" s="1" t="str">
        <f t="shared" si="94"/>
        <v/>
      </c>
      <c r="P1477" s="1" t="s">
        <v>20</v>
      </c>
      <c r="V1477" s="1" t="s">
        <v>30517</v>
      </c>
      <c r="X1477" s="1" t="s">
        <v>27842</v>
      </c>
      <c r="AR1477" s="1" t="str">
        <f t="shared" si="95"/>
        <v>| [](.md) | [󼵺](󼵺.md) |  |  | 「隕」的異體字。 |</v>
      </c>
    </row>
    <row r="1478" spans="1:44" hidden="1">
      <c r="A1478" s="1" t="s">
        <v>30518</v>
      </c>
      <c r="C1478" s="1">
        <v>1</v>
      </c>
      <c r="D1478" s="1" t="str">
        <f>"11845-1"</f>
        <v>11845-1</v>
      </c>
      <c r="E1478" s="1" t="s">
        <v>14314</v>
      </c>
      <c r="F1478" s="1">
        <v>13</v>
      </c>
      <c r="G1478" s="1">
        <v>4</v>
      </c>
      <c r="H1478" s="1">
        <v>0</v>
      </c>
      <c r="K1478" s="1" t="str">
        <f t="shared" si="92"/>
        <v/>
      </c>
      <c r="L1478" s="1" t="str">
        <f t="shared" si="93"/>
        <v/>
      </c>
      <c r="M1478" s="1" t="str">
        <f t="shared" si="94"/>
        <v/>
      </c>
      <c r="P1478" s="1" t="s">
        <v>20</v>
      </c>
      <c r="V1478" s="1" t="s">
        <v>30519</v>
      </c>
      <c r="X1478" s="1" t="s">
        <v>27842</v>
      </c>
      <c r="AR1478" s="1" t="str">
        <f t="shared" si="95"/>
        <v>| [](.md) | [韵](韵.md) |  |  | 「韻」的異體字。 |</v>
      </c>
    </row>
    <row r="1479" spans="1:44" hidden="1">
      <c r="A1479" s="1" t="s">
        <v>30520</v>
      </c>
      <c r="C1479" s="1">
        <v>1</v>
      </c>
      <c r="D1479" s="1" t="str">
        <f>"11853-1"</f>
        <v>11853-1</v>
      </c>
      <c r="E1479" s="1" t="s">
        <v>250</v>
      </c>
      <c r="F1479" s="1">
        <v>12</v>
      </c>
      <c r="G1479" s="1">
        <v>9</v>
      </c>
      <c r="H1479" s="1">
        <v>0</v>
      </c>
      <c r="K1479" s="1" t="str">
        <f t="shared" si="92"/>
        <v/>
      </c>
      <c r="L1479" s="1" t="str">
        <f t="shared" si="93"/>
        <v/>
      </c>
      <c r="M1479" s="1" t="str">
        <f t="shared" si="94"/>
        <v/>
      </c>
      <c r="P1479" s="1" t="s">
        <v>20</v>
      </c>
      <c r="V1479" s="1" t="s">
        <v>30521</v>
      </c>
      <c r="X1479" s="1" t="s">
        <v>27842</v>
      </c>
      <c r="AR1479" s="1" t="str">
        <f t="shared" si="95"/>
        <v>| [](.md) | [愠](愠.md) |  |  | 「慍」的異體字。 |</v>
      </c>
    </row>
    <row r="1480" spans="1:44" hidden="1">
      <c r="A1480" s="1" t="s">
        <v>30522</v>
      </c>
      <c r="C1480" s="1">
        <v>1</v>
      </c>
      <c r="D1480" s="1" t="str">
        <f>"11859-1"</f>
        <v>11859-1</v>
      </c>
      <c r="E1480" s="1" t="s">
        <v>37</v>
      </c>
      <c r="F1480" s="1">
        <v>19</v>
      </c>
      <c r="G1480" s="1">
        <v>15</v>
      </c>
      <c r="H1480" s="1">
        <v>0</v>
      </c>
      <c r="K1480" s="1" t="str">
        <f t="shared" si="92"/>
        <v/>
      </c>
      <c r="L1480" s="1" t="str">
        <f t="shared" si="93"/>
        <v/>
      </c>
      <c r="M1480" s="1" t="str">
        <f t="shared" si="94"/>
        <v/>
      </c>
      <c r="P1480" s="1" t="s">
        <v>20</v>
      </c>
      <c r="V1480" s="1" t="s">
        <v>30523</v>
      </c>
      <c r="X1480" s="1" t="s">
        <v>27842</v>
      </c>
      <c r="AR1480" s="1" t="str">
        <f t="shared" si="95"/>
        <v>| [](.md) | [藴](藴.md) |  |  | 「蘊」的異體字。 |</v>
      </c>
    </row>
    <row r="1481" spans="1:44" hidden="1">
      <c r="A1481" s="1" t="s">
        <v>30524</v>
      </c>
      <c r="C1481" s="1">
        <v>1</v>
      </c>
      <c r="D1481" s="1" t="str">
        <f>"11891-1"</f>
        <v>11891-1</v>
      </c>
      <c r="E1481" s="1" t="s">
        <v>28</v>
      </c>
      <c r="F1481" s="1">
        <v>8</v>
      </c>
      <c r="G1481" s="1">
        <v>5</v>
      </c>
      <c r="H1481" s="1">
        <v>0</v>
      </c>
      <c r="K1481" s="1" t="str">
        <f t="shared" si="92"/>
        <v/>
      </c>
      <c r="L1481" s="1" t="str">
        <f t="shared" si="93"/>
        <v/>
      </c>
      <c r="M1481" s="1" t="str">
        <f t="shared" si="94"/>
        <v/>
      </c>
      <c r="P1481" s="1" t="s">
        <v>20</v>
      </c>
      <c r="V1481" s="1" t="s">
        <v>30525</v>
      </c>
      <c r="X1481" s="1" t="s">
        <v>27842</v>
      </c>
      <c r="AR1481" s="1" t="str">
        <f t="shared" si="95"/>
        <v>| [](.md) | [咏](咏.md) |  |  | 「詠」的異體字。 |</v>
      </c>
    </row>
    <row r="1482" spans="1:44" hidden="1">
      <c r="A1482" s="1" t="s">
        <v>30535</v>
      </c>
      <c r="C1482" s="1">
        <v>1</v>
      </c>
      <c r="D1482" s="1" t="str">
        <f>"03408-1"</f>
        <v>03408-1</v>
      </c>
      <c r="E1482" s="1" t="s">
        <v>1941</v>
      </c>
      <c r="F1482" s="1">
        <v>9</v>
      </c>
      <c r="G1482" s="1">
        <v>7</v>
      </c>
      <c r="H1482" s="1">
        <v>0</v>
      </c>
      <c r="K1482" s="1" t="str">
        <f t="shared" si="92"/>
        <v/>
      </c>
      <c r="L1482" s="1" t="str">
        <f t="shared" si="93"/>
        <v/>
      </c>
      <c r="M1482" s="1" t="str">
        <f t="shared" si="94"/>
        <v/>
      </c>
      <c r="P1482" s="1" t="s">
        <v>20</v>
      </c>
      <c r="V1482" s="1" t="s">
        <v>30541</v>
      </c>
      <c r="X1482" s="1" t="s">
        <v>27842</v>
      </c>
      <c r="AR1482" s="1" t="str">
        <f t="shared" si="95"/>
        <v>| [](.md) | [厘](厘.md) |  |  | 「釐」的異體字。 |</v>
      </c>
    </row>
    <row r="1483" spans="1:44">
      <c r="A1483" s="1" t="s">
        <v>17</v>
      </c>
      <c r="C1483" s="1">
        <v>1</v>
      </c>
      <c r="D1483" s="1" t="str">
        <f>"00001"</f>
        <v>00001</v>
      </c>
      <c r="E1483" s="1" t="s">
        <v>18</v>
      </c>
      <c r="F1483" s="1">
        <v>2</v>
      </c>
      <c r="G1483" s="1">
        <v>0</v>
      </c>
      <c r="H1483" s="1">
        <v>0</v>
      </c>
      <c r="I1483" s="1" t="s">
        <v>19</v>
      </c>
      <c r="K1483" s="1" t="str">
        <f t="shared" si="92"/>
        <v>ㄅ</v>
      </c>
      <c r="L1483" s="1" t="str">
        <f t="shared" si="93"/>
        <v>ㄚ</v>
      </c>
      <c r="M1483" s="1" t="str">
        <f t="shared" si="94"/>
        <v/>
      </c>
      <c r="P1483" s="1" t="s">
        <v>20</v>
      </c>
      <c r="R1483" s="1" t="s">
        <v>21</v>
      </c>
      <c r="V1483" s="1" t="s">
        <v>22</v>
      </c>
      <c r="AR1483" s="1" t="str">
        <f t="shared" si="95"/>
        <v>| [ㄅㄚ](ㄅㄚ.md) | [八](八.md) |  | bā | [名]_x000D_
1.介於七與九之間的自然數。如：「六、七、八、九……」。大寫作「捌」，阿拉伯數字作「8」。_x000D_
2.姓。如漢代有西域人八滑。_x000D_
3.二一四部首之一。_x000D_
[形]_x000D_
表示數量是八的。如：「八字」、「八方」。_x000D_
[副]_x000D_
形容多數或多方面。如：「四通八達」。_x000D_
（「八」字口語連用在去聲字前讀成陽平，如：「八號」、「八拜」。） |</v>
      </c>
    </row>
    <row r="1484" spans="1:44">
      <c r="A1484" s="1" t="s">
        <v>23</v>
      </c>
      <c r="C1484" s="1">
        <v>1</v>
      </c>
      <c r="D1484" s="1" t="str">
        <f>"00002"</f>
        <v>00002</v>
      </c>
      <c r="E1484" s="1" t="s">
        <v>24</v>
      </c>
      <c r="F1484" s="1">
        <v>5</v>
      </c>
      <c r="G1484" s="1">
        <v>2</v>
      </c>
      <c r="H1484" s="1">
        <v>1</v>
      </c>
      <c r="I1484" s="1" t="s">
        <v>19</v>
      </c>
      <c r="K1484" s="1" t="str">
        <f t="shared" si="92"/>
        <v>ㄅ</v>
      </c>
      <c r="L1484" s="1" t="str">
        <f t="shared" si="93"/>
        <v>ㄚ</v>
      </c>
      <c r="M1484" s="1" t="str">
        <f t="shared" si="94"/>
        <v/>
      </c>
      <c r="P1484" s="1" t="s">
        <v>20</v>
      </c>
      <c r="R1484" s="1" t="s">
        <v>21</v>
      </c>
      <c r="V1484" s="1" t="s">
        <v>25</v>
      </c>
      <c r="W1484" s="1" t="s">
        <v>26</v>
      </c>
      <c r="AR1484" s="1" t="str">
        <f t="shared" si="95"/>
        <v>| [ㄅㄚ](ㄅㄚ.md) | [扒](扒.md) |  | bā | [動]
1.剝開。如：「把橘子扒開來吃。」
2.扯掉。如：「扒衣裳」。
3.挖開、刨開。如：「扒土」、「扒堤」。
4.用手攀住東西。如：「扒著欄杆」、「你扒住，不然會掉下去。」 |</v>
      </c>
    </row>
    <row r="1485" spans="1:44">
      <c r="A1485" s="1" t="s">
        <v>27</v>
      </c>
      <c r="C1485" s="1">
        <v>1</v>
      </c>
      <c r="D1485" s="1" t="str">
        <f>"00003"</f>
        <v>00003</v>
      </c>
      <c r="E1485" s="1" t="s">
        <v>28</v>
      </c>
      <c r="F1485" s="1">
        <v>5</v>
      </c>
      <c r="G1485" s="1">
        <v>2</v>
      </c>
      <c r="H1485" s="1">
        <v>0</v>
      </c>
      <c r="I1485" s="1" t="s">
        <v>19</v>
      </c>
      <c r="K1485" s="1" t="str">
        <f t="shared" si="92"/>
        <v>ㄅ</v>
      </c>
      <c r="L1485" s="1" t="str">
        <f t="shared" si="93"/>
        <v>ㄚ</v>
      </c>
      <c r="M1485" s="1" t="str">
        <f t="shared" si="94"/>
        <v/>
      </c>
      <c r="P1485" s="1" t="s">
        <v>20</v>
      </c>
      <c r="R1485" s="1" t="s">
        <v>21</v>
      </c>
      <c r="V1485" s="1" t="s">
        <v>29</v>
      </c>
      <c r="AR1485" s="1" t="str">
        <f t="shared" si="95"/>
        <v>| [ㄅㄚ](ㄅㄚ.md) | [叭](叭.md) |  | bā | [名]_x000D_
參見「喇叭」條。_x000D_
[擬]_x000D_
模擬汽車、機車的喇叭聲。如：「忽聽叭的一聲，嚇了我一跳！」 |</v>
      </c>
    </row>
    <row r="1486" spans="1:44">
      <c r="A1486" s="1" t="s">
        <v>30</v>
      </c>
      <c r="C1486" s="1">
        <v>1</v>
      </c>
      <c r="D1486" s="1" t="str">
        <f>"00004"</f>
        <v>00004</v>
      </c>
      <c r="E1486" s="1" t="s">
        <v>31</v>
      </c>
      <c r="F1486" s="1">
        <v>4</v>
      </c>
      <c r="G1486" s="1">
        <v>1</v>
      </c>
      <c r="H1486" s="1">
        <v>0</v>
      </c>
      <c r="I1486" s="1" t="s">
        <v>19</v>
      </c>
      <c r="K1486" s="1" t="str">
        <f t="shared" si="92"/>
        <v>ㄅ</v>
      </c>
      <c r="L1486" s="1" t="str">
        <f t="shared" si="93"/>
        <v>ㄚ</v>
      </c>
      <c r="M1486" s="1" t="str">
        <f t="shared" si="94"/>
        <v/>
      </c>
      <c r="P1486" s="1" t="s">
        <v>20</v>
      </c>
      <c r="R1486" s="1" t="s">
        <v>21</v>
      </c>
      <c r="V1486" s="1" t="s">
        <v>32</v>
      </c>
      <c r="AR1486" s="1" t="str">
        <f t="shared" si="95"/>
        <v>| [ㄅㄚ](ㄅㄚ.md) | [巴](巴.md) |  | bā | [名]
1.國名。春秋時所建的國家，故城約在今大陸地區四川省東部。
2.量詞。計算大氣壓力的單位。為英語bar的音譯。每平方公尺受力十萬牛噸，即每平方公分受力一百萬達因的壓力稱為「一巴」，其千分之一稱為「毫巴」。也譯作「巴爾」。
3.姓。如漢代有巴祗。
[動]
1.期望、盼望。如：「巴望」。元．秦𥳑夫《東堂老》第二折：「凍剌剌窯中巴不到那明，痛親眷敲門都沒個應。」
2.努力營求。《二刻拍案驚奇》卷二六：「守了一世書窗，指望巴個出身，多少掙些家私。」
3.接近、貼近。《水滸傳》第三回：「前不巴村，後不巴店。」《紅樓夢》第九九回：「巴著窗戶眼兒一瞧，原來寶妹妹坐在炕沿上，寶兄弟站在地上。」
[綴]
1.附屬在物體下面、後面的東西。如：「尾巴」、「下巴」。
2.指因乾燥、溼稠凝結成塊的東西。如：「鍋巴」、「泥巴」、「鹽巴」。 |</v>
      </c>
    </row>
    <row r="1487" spans="1:44">
      <c r="A1487" s="1" t="s">
        <v>33</v>
      </c>
      <c r="C1487" s="1">
        <v>1</v>
      </c>
      <c r="D1487" s="1" t="str">
        <f>"00005"</f>
        <v>00005</v>
      </c>
      <c r="E1487" s="1" t="s">
        <v>28</v>
      </c>
      <c r="F1487" s="1">
        <v>7</v>
      </c>
      <c r="G1487" s="1">
        <v>4</v>
      </c>
      <c r="H1487" s="1">
        <v>1</v>
      </c>
      <c r="I1487" s="1" t="s">
        <v>19</v>
      </c>
      <c r="K1487" s="1" t="str">
        <f t="shared" si="92"/>
        <v>ㄅ</v>
      </c>
      <c r="L1487" s="1" t="str">
        <f t="shared" si="93"/>
        <v>ㄚ</v>
      </c>
      <c r="M1487" s="1" t="str">
        <f t="shared" si="94"/>
        <v/>
      </c>
      <c r="P1487" s="1" t="s">
        <v>20</v>
      </c>
      <c r="R1487" s="1" t="s">
        <v>21</v>
      </c>
      <c r="V1487" s="1" t="s">
        <v>34</v>
      </c>
      <c r="W1487" s="1" t="s">
        <v>35</v>
      </c>
      <c r="AR1487" s="1" t="str">
        <f t="shared" si="95"/>
        <v>| [ㄅㄚ](ㄅㄚ.md) | [吧](吧.md) |  | bā | [名]_x000D_
酒吧。為英文bar的音譯。如：「吧檯」、「吧女」、「鋼琴酒吧」。_x000D_
[動]_x000D_
吸。如：「他吧了一口菸，緩和一下情緒。」_x000D_
[擬]_x000D_
模擬短暫的爆裂聲。如：「吧！吧！吧！打了三槍。」 |</v>
      </c>
    </row>
    <row r="1488" spans="1:44">
      <c r="A1488" s="1" t="s">
        <v>36</v>
      </c>
      <c r="C1488" s="1">
        <v>1</v>
      </c>
      <c r="D1488" s="1" t="str">
        <f>"00006"</f>
        <v>00006</v>
      </c>
      <c r="E1488" s="1" t="s">
        <v>37</v>
      </c>
      <c r="F1488" s="1">
        <v>8</v>
      </c>
      <c r="G1488" s="1">
        <v>4</v>
      </c>
      <c r="H1488" s="1">
        <v>0</v>
      </c>
      <c r="I1488" s="1" t="s">
        <v>19</v>
      </c>
      <c r="K1488" s="1" t="str">
        <f t="shared" si="92"/>
        <v>ㄅ</v>
      </c>
      <c r="L1488" s="1" t="str">
        <f t="shared" si="93"/>
        <v>ㄚ</v>
      </c>
      <c r="M1488" s="1" t="str">
        <f t="shared" si="94"/>
        <v/>
      </c>
      <c r="P1488" s="1" t="s">
        <v>20</v>
      </c>
      <c r="R1488" s="1" t="s">
        <v>21</v>
      </c>
      <c r="V1488" s="1" t="s">
        <v>38</v>
      </c>
      <c r="AR1488" s="1" t="str">
        <f t="shared" si="95"/>
        <v>| [ㄅㄚ](ㄅㄚ.md) | [芭](芭.md) |  | bā | [名]
1.一種香草。《楚辭．屈原．九歌．禮魂》：「成禮兮會鼓，傳芭兮代舞。」宋．洪興祖．補注：「芭，巫所持香草名也。」
2.參見「芭蕉」條。
3.一種有刺的竹子。通「笆」。
4.花。通「葩」。
5.姓。如夏朝有芭莨。 |</v>
      </c>
    </row>
    <row r="1489" spans="1:44">
      <c r="A1489" s="1" t="s">
        <v>39</v>
      </c>
      <c r="C1489" s="1">
        <v>1</v>
      </c>
      <c r="D1489" s="1" t="str">
        <f>"00007"</f>
        <v>00007</v>
      </c>
      <c r="E1489" s="1" t="s">
        <v>40</v>
      </c>
      <c r="F1489" s="1">
        <v>9</v>
      </c>
      <c r="G1489" s="1">
        <v>4</v>
      </c>
      <c r="H1489" s="1">
        <v>0</v>
      </c>
      <c r="I1489" s="1" t="s">
        <v>19</v>
      </c>
      <c r="K1489" s="1" t="str">
        <f t="shared" si="92"/>
        <v>ㄅ</v>
      </c>
      <c r="L1489" s="1" t="str">
        <f t="shared" si="93"/>
        <v>ㄚ</v>
      </c>
      <c r="M1489" s="1" t="str">
        <f t="shared" si="94"/>
        <v/>
      </c>
      <c r="P1489" s="1" t="s">
        <v>20</v>
      </c>
      <c r="R1489" s="1" t="s">
        <v>21</v>
      </c>
      <c r="V1489" s="1" t="s">
        <v>41</v>
      </c>
      <c r="AR1489" s="1" t="str">
        <f t="shared" si="95"/>
        <v>| [ㄅㄚ](ㄅㄚ.md) | [疤](疤.md) |  | bā | [名]
1.瘡口或傷口癒合後所留下的痕跡。明．張自烈《正字通．疒部》：「疤，俗呼瘡痕曰：『疤』。本作瘢。」如：「刀疤」、「瘡疤」。
2.類似傷疤的痕跡。如：「鍋底有個疤。」、「這牆上怎麼坑坑疤疤的？」 |</v>
      </c>
    </row>
    <row r="1490" spans="1:44">
      <c r="A1490" s="1" t="s">
        <v>42</v>
      </c>
      <c r="C1490" s="1">
        <v>1</v>
      </c>
      <c r="D1490" s="1" t="str">
        <f>"00008"</f>
        <v>00008</v>
      </c>
      <c r="E1490" s="1" t="s">
        <v>43</v>
      </c>
      <c r="F1490" s="1">
        <v>10</v>
      </c>
      <c r="G1490" s="1">
        <v>4</v>
      </c>
      <c r="H1490" s="1">
        <v>0</v>
      </c>
      <c r="I1490" s="1" t="s">
        <v>19</v>
      </c>
      <c r="K1490" s="1" t="str">
        <f t="shared" si="92"/>
        <v>ㄅ</v>
      </c>
      <c r="L1490" s="1" t="str">
        <f t="shared" si="93"/>
        <v>ㄚ</v>
      </c>
      <c r="M1490" s="1" t="str">
        <f t="shared" si="94"/>
        <v/>
      </c>
      <c r="P1490" s="1" t="s">
        <v>20</v>
      </c>
      <c r="R1490" s="1" t="s">
        <v>21</v>
      </c>
      <c r="V1490" s="1" t="s">
        <v>44</v>
      </c>
      <c r="AR1490" s="1" t="str">
        <f t="shared" si="95"/>
        <v>| [ㄅㄚ](ㄅㄚ.md) | [羓](羓.md) |  | bā | [名]
1.乾肉。《集韻．平聲．麻韻》：「羓，腊屬。」如：「羓子」、「羊羓」。《新五代史．卷七二．四夷附錄》：「契丹破其腹，去其腸胃，實之以鹽，載而北。晉人謂之『帝羓』焉。」
2.泛指一般乾製食品。宋．楊萬里〈初食太原生蒲萄時十二月二日〉詩：「淮北蒲萄十月熟，縱可作羓也無肉。」 |</v>
      </c>
    </row>
    <row r="1491" spans="1:44">
      <c r="A1491" s="1" t="s">
        <v>45</v>
      </c>
      <c r="C1491" s="1">
        <v>1</v>
      </c>
      <c r="D1491" s="1" t="str">
        <f>"00009"</f>
        <v>00009</v>
      </c>
      <c r="E1491" s="1" t="s">
        <v>46</v>
      </c>
      <c r="F1491" s="1">
        <v>10</v>
      </c>
      <c r="G1491" s="1">
        <v>4</v>
      </c>
      <c r="H1491" s="1">
        <v>0</v>
      </c>
      <c r="I1491" s="1" t="s">
        <v>19</v>
      </c>
      <c r="K1491" s="1" t="str">
        <f t="shared" si="92"/>
        <v>ㄅ</v>
      </c>
      <c r="L1491" s="1" t="str">
        <f t="shared" si="93"/>
        <v>ㄚ</v>
      </c>
      <c r="M1491" s="1" t="str">
        <f t="shared" si="94"/>
        <v/>
      </c>
      <c r="P1491" s="1" t="s">
        <v>20</v>
      </c>
      <c r="R1491" s="1" t="s">
        <v>21</v>
      </c>
      <c r="V1491" s="1" t="s">
        <v>47</v>
      </c>
      <c r="AR1491" s="1" t="str">
        <f t="shared" si="95"/>
        <v>| [ㄅㄚ](ㄅㄚ.md) | [粑](粑.md) |  | bā | [名]
譯音用字。參見「糌粑」條。
[綴]
表乾扁的食物。如：「鍋粑」。 |</v>
      </c>
    </row>
    <row r="1492" spans="1:44">
      <c r="A1492" s="1" t="s">
        <v>48</v>
      </c>
      <c r="C1492" s="1">
        <v>1</v>
      </c>
      <c r="D1492" s="1" t="str">
        <f>"00010"</f>
        <v>00010</v>
      </c>
      <c r="E1492" s="1" t="s">
        <v>49</v>
      </c>
      <c r="F1492" s="1">
        <v>10</v>
      </c>
      <c r="G1492" s="1">
        <v>4</v>
      </c>
      <c r="H1492" s="1">
        <v>0</v>
      </c>
      <c r="I1492" s="1" t="s">
        <v>19</v>
      </c>
      <c r="K1492" s="1" t="str">
        <f t="shared" si="92"/>
        <v>ㄅ</v>
      </c>
      <c r="L1492" s="1" t="str">
        <f t="shared" si="93"/>
        <v>ㄚ</v>
      </c>
      <c r="M1492" s="1" t="str">
        <f t="shared" si="94"/>
        <v/>
      </c>
      <c r="P1492" s="1" t="s">
        <v>20</v>
      </c>
      <c r="R1492" s="1" t="s">
        <v>21</v>
      </c>
      <c r="V1492" s="1" t="s">
        <v>50</v>
      </c>
      <c r="AR1492" s="1" t="str">
        <f t="shared" si="95"/>
        <v>| [ㄅㄚ](ㄅㄚ.md) | [笆](笆.md) |  | bā | [名]_x000D_
1.一種有刺的竹子，即棘竹。《玉篇．竹部》：「笆，竹有刺。」_x000D_
2.用竹枝或竹片編成的片狀物。俗稱為「竹籬笆」。唐．白居易〈秦中吟．買花〉：「上張幄幕庇，旁織笆籬護。」也稱為「籬笆」。 |</v>
      </c>
    </row>
    <row r="1493" spans="1:44">
      <c r="A1493" s="1" t="s">
        <v>51</v>
      </c>
      <c r="C1493" s="1">
        <v>1</v>
      </c>
      <c r="D1493" s="1" t="str">
        <f>"00011"</f>
        <v>00011</v>
      </c>
      <c r="E1493" s="1" t="s">
        <v>52</v>
      </c>
      <c r="F1493" s="1">
        <v>11</v>
      </c>
      <c r="G1493" s="1">
        <v>4</v>
      </c>
      <c r="H1493" s="1">
        <v>0</v>
      </c>
      <c r="I1493" s="1" t="s">
        <v>19</v>
      </c>
      <c r="K1493" s="1" t="str">
        <f t="shared" si="92"/>
        <v>ㄅ</v>
      </c>
      <c r="L1493" s="1" t="str">
        <f t="shared" si="93"/>
        <v>ㄚ</v>
      </c>
      <c r="M1493" s="1" t="str">
        <f t="shared" si="94"/>
        <v/>
      </c>
      <c r="P1493" s="1" t="s">
        <v>20</v>
      </c>
      <c r="R1493" s="1" t="s">
        <v>21</v>
      </c>
      <c r="V1493" s="1" t="s">
        <v>53</v>
      </c>
      <c r="AR1493" s="1" t="str">
        <f t="shared" si="95"/>
        <v>| [ㄅㄚ](ㄅㄚ.md) | [豝](豝.md) |  | bā | [名]
1.母豬。《說文解字．豕部》：「豝，牝豕也。」《詩經．召南．騶虞》：「彼茁者葭，壹發五豝。」
2.豬二歲稱為「豝」。《說文解字．豕部》：「豝，一曰：『二歲豕，能相杷拏者也。』」 |</v>
      </c>
    </row>
    <row r="1494" spans="1:44">
      <c r="A1494" s="1" t="s">
        <v>54</v>
      </c>
      <c r="C1494" s="1">
        <v>1</v>
      </c>
      <c r="D1494" s="1" t="str">
        <f>"00012"</f>
        <v>00012</v>
      </c>
      <c r="E1494" s="1" t="s">
        <v>55</v>
      </c>
      <c r="F1494" s="1">
        <v>12</v>
      </c>
      <c r="G1494" s="1">
        <v>4</v>
      </c>
      <c r="H1494" s="1">
        <v>2</v>
      </c>
      <c r="I1494" s="1" t="s">
        <v>19</v>
      </c>
      <c r="K1494" s="1" t="str">
        <f t="shared" si="92"/>
        <v>ㄅ</v>
      </c>
      <c r="L1494" s="1" t="str">
        <f t="shared" si="93"/>
        <v>ㄚ</v>
      </c>
      <c r="M1494" s="1" t="str">
        <f t="shared" si="94"/>
        <v/>
      </c>
      <c r="P1494" s="1" t="s">
        <v>20</v>
      </c>
      <c r="R1494" s="1" t="s">
        <v>21</v>
      </c>
      <c r="V1494" s="1" t="s">
        <v>56</v>
      </c>
      <c r="W1494" s="1" t="s">
        <v>57</v>
      </c>
      <c r="AR1494" s="1" t="str">
        <f t="shared" si="95"/>
        <v>| [ㄅㄚ](ㄅㄚ.md) | [鈀](鈀.md) |  | bā | [名]
（palladium，Pd）化學元素。原子序46。色白如銀，可製合金，與鉑同產，因熔點較鉑低，故從白金礦中提取。可作為氫化反應的觸媒。 |</v>
      </c>
    </row>
    <row r="1495" spans="1:44">
      <c r="A1495" s="1" t="s">
        <v>58</v>
      </c>
      <c r="C1495" s="1">
        <v>1</v>
      </c>
      <c r="D1495" s="1" t="str">
        <f>"00013"</f>
        <v>00013</v>
      </c>
      <c r="E1495" s="1" t="s">
        <v>24</v>
      </c>
      <c r="F1495" s="1">
        <v>10</v>
      </c>
      <c r="G1495" s="1">
        <v>7</v>
      </c>
      <c r="H1495" s="1">
        <v>0</v>
      </c>
      <c r="I1495" s="1" t="s">
        <v>19</v>
      </c>
      <c r="K1495" s="1" t="str">
        <f t="shared" si="92"/>
        <v>ㄅ</v>
      </c>
      <c r="L1495" s="1" t="str">
        <f t="shared" si="93"/>
        <v>ㄚ</v>
      </c>
      <c r="M1495" s="1" t="str">
        <f t="shared" si="94"/>
        <v/>
      </c>
      <c r="P1495" s="1" t="s">
        <v>20</v>
      </c>
      <c r="R1495" s="1" t="s">
        <v>21</v>
      </c>
      <c r="V1495" s="1" t="s">
        <v>59</v>
      </c>
      <c r="AR1495" s="1" t="str">
        <f t="shared" si="95"/>
        <v>| [ㄅㄚ](ㄅㄚ.md) | [捌](捌.md) |  | bā | [名]
1.八的大寫。
2.一種農具。即無齒杷，用來推聚晒穀場上稻穀的器具。漢．史游《急就篇》卷三：「捃、穫、秉、把、插、捌、杷……。」唐．顏師古．注：「無齒為捌，有齒為杷。」
[動]
剝開、分開。同「扒」。 |</v>
      </c>
    </row>
    <row r="1496" spans="1:44">
      <c r="A1496" s="1" t="s">
        <v>146</v>
      </c>
      <c r="C1496" s="1">
        <v>1</v>
      </c>
      <c r="D1496" s="1" t="str">
        <f>"00040"</f>
        <v>00040</v>
      </c>
      <c r="E1496" s="1" t="s">
        <v>147</v>
      </c>
      <c r="F1496" s="1">
        <v>5</v>
      </c>
      <c r="G1496" s="1">
        <v>0</v>
      </c>
      <c r="H1496" s="1">
        <v>0</v>
      </c>
      <c r="I1496" s="1" t="s">
        <v>148</v>
      </c>
      <c r="K1496" s="1" t="str">
        <f t="shared" si="92"/>
        <v>ㄅ</v>
      </c>
      <c r="L1496" s="1" t="str">
        <f t="shared" si="93"/>
        <v>ㄛ</v>
      </c>
      <c r="M1496" s="1" t="str">
        <f t="shared" si="94"/>
        <v/>
      </c>
      <c r="P1496" s="1" t="s">
        <v>20</v>
      </c>
      <c r="R1496" s="1" t="s">
        <v>149</v>
      </c>
      <c r="V1496" s="1" t="s">
        <v>150</v>
      </c>
      <c r="AR1496" s="1" t="str">
        <f t="shared" si="95"/>
        <v>| [ㄅㄛ](ㄅㄛ.md) | [癶](癶.md) |  | bō | [形]
足剌癶：兩個腳掌向外張開行走的樣子。《說文解字．癶部》：「癶，足剌癶也。」
[動]
行走。五代周．衛元嵩《元包經．卷二．少陽四》：「漸，辵之癶。」唐．蘇源明．傳：「足有所行也。」唐．李江．注：「癶，行也。」
[名]
二一四部首之一。 |</v>
      </c>
    </row>
    <row r="1497" spans="1:44">
      <c r="A1497" s="1" t="s">
        <v>151</v>
      </c>
      <c r="C1497" s="1">
        <v>1</v>
      </c>
      <c r="D1497" s="1" t="str">
        <f>"00041"</f>
        <v>00041</v>
      </c>
      <c r="E1497" s="1" t="s">
        <v>24</v>
      </c>
      <c r="F1497" s="1">
        <v>15</v>
      </c>
      <c r="G1497" s="1">
        <v>12</v>
      </c>
      <c r="H1497" s="1">
        <v>0</v>
      </c>
      <c r="I1497" s="1" t="s">
        <v>148</v>
      </c>
      <c r="K1497" s="1" t="str">
        <f t="shared" si="92"/>
        <v>ㄅ</v>
      </c>
      <c r="L1497" s="1" t="str">
        <f t="shared" si="93"/>
        <v>ㄛ</v>
      </c>
      <c r="M1497" s="1" t="str">
        <f t="shared" si="94"/>
        <v/>
      </c>
      <c r="P1497" s="1" t="s">
        <v>20</v>
      </c>
      <c r="R1497" s="1" t="s">
        <v>149</v>
      </c>
      <c r="V1497" s="1" t="s">
        <v>152</v>
      </c>
      <c r="AR1497" s="1" t="str">
        <f t="shared" si="95"/>
        <v>| [ㄅㄛ](ㄅㄛ.md) | [撥](撥.md) |  | bō | [動]
1.橫向推開或排除。如：「撥草」、「撥雲見日」。
2.用手轉動、挑動或拉動。如：「撥鐘」、「撥弦」、「撥轉馬頭」。
3.扭轉。《公羊傳．哀公十四年》：「撥亂世，反諸正。」
4.提出部分發放。如：「撥一筆基金給孤兒院。」
5.碰觸撞擊。唐．岑參〈走馬川行奉送出師西征〉詩：「將軍金甲夜不脫，半夜軍行戈相撥。」
[名]
1.挑動、彈動弦索樂器的用具。唐．白居易〈琵琶行〉：「曲終收撥當心畫，四弦一聲如裂帛。」
2.量詞。計算成批或分組人群的單位。如：「有一撥人馬剛打這裡經過。」、「分成兩撥人進行工作。」 |</v>
      </c>
    </row>
    <row r="1498" spans="1:44">
      <c r="A1498" s="1" t="s">
        <v>153</v>
      </c>
      <c r="C1498" s="1">
        <v>1</v>
      </c>
      <c r="D1498" s="1" t="str">
        <f>"00042"</f>
        <v>00042</v>
      </c>
      <c r="E1498" s="1" t="s">
        <v>77</v>
      </c>
      <c r="F1498" s="1">
        <v>19</v>
      </c>
      <c r="G1498" s="1">
        <v>12</v>
      </c>
      <c r="H1498" s="1">
        <v>0</v>
      </c>
      <c r="I1498" s="1" t="s">
        <v>148</v>
      </c>
      <c r="K1498" s="1" t="str">
        <f t="shared" si="92"/>
        <v>ㄅ</v>
      </c>
      <c r="L1498" s="1" t="str">
        <f t="shared" si="93"/>
        <v>ㄛ</v>
      </c>
      <c r="M1498" s="1" t="str">
        <f t="shared" si="94"/>
        <v/>
      </c>
      <c r="P1498" s="1" t="s">
        <v>20</v>
      </c>
      <c r="R1498" s="1" t="s">
        <v>149</v>
      </c>
      <c r="V1498" s="1" t="s">
        <v>154</v>
      </c>
      <c r="AR1498" s="1" t="str">
        <f t="shared" si="95"/>
        <v>| [ㄅㄛ](ㄅㄛ.md) | [蹳](蹳.md) |  | bō | [動]
踢踏、踢落。《集韻．入聲．末韻》：「蹳，足跋物。」《漢書．卷四一．夏侯嬰傳》：「漢王急，馬罷，虜在後，常蹳兩兒棄之。」 |</v>
      </c>
    </row>
    <row r="1499" spans="1:44">
      <c r="A1499" s="1" t="s">
        <v>155</v>
      </c>
      <c r="C1499" s="1">
        <v>1</v>
      </c>
      <c r="D1499" s="1" t="str">
        <f>"00043"</f>
        <v>00043</v>
      </c>
      <c r="E1499" s="1" t="s">
        <v>156</v>
      </c>
      <c r="F1499" s="1">
        <v>23</v>
      </c>
      <c r="G1499" s="1">
        <v>12</v>
      </c>
      <c r="H1499" s="1">
        <v>0</v>
      </c>
      <c r="I1499" s="1" t="s">
        <v>148</v>
      </c>
      <c r="K1499" s="1" t="str">
        <f t="shared" si="92"/>
        <v>ㄅ</v>
      </c>
      <c r="L1499" s="1" t="str">
        <f t="shared" si="93"/>
        <v>ㄛ</v>
      </c>
      <c r="M1499" s="1" t="str">
        <f t="shared" si="94"/>
        <v/>
      </c>
      <c r="P1499" s="1" t="s">
        <v>20</v>
      </c>
      <c r="R1499" s="1" t="s">
        <v>149</v>
      </c>
      <c r="V1499" s="1" t="s">
        <v>157</v>
      </c>
      <c r="AR1499" s="1" t="str">
        <f t="shared" si="95"/>
        <v>| [ㄅㄛ](ㄅㄛ.md) | [鱍](鱍.md) |  | bō | 參見「鱍鱍」條。 |</v>
      </c>
    </row>
    <row r="1500" spans="1:44">
      <c r="A1500" s="1" t="s">
        <v>158</v>
      </c>
      <c r="C1500" s="1">
        <v>1</v>
      </c>
      <c r="D1500" s="1" t="str">
        <f>"00044"</f>
        <v>00044</v>
      </c>
      <c r="E1500" s="1" t="s">
        <v>129</v>
      </c>
      <c r="F1500" s="1">
        <v>8</v>
      </c>
      <c r="G1500" s="1">
        <v>5</v>
      </c>
      <c r="H1500" s="1">
        <v>1</v>
      </c>
      <c r="I1500" s="1" t="s">
        <v>148</v>
      </c>
      <c r="K1500" s="1" t="str">
        <f t="shared" si="92"/>
        <v>ㄅ</v>
      </c>
      <c r="L1500" s="1" t="str">
        <f t="shared" si="93"/>
        <v>ㄛ</v>
      </c>
      <c r="M1500" s="1" t="str">
        <f t="shared" si="94"/>
        <v/>
      </c>
      <c r="P1500" s="1" t="s">
        <v>20</v>
      </c>
      <c r="R1500" s="1" t="s">
        <v>149</v>
      </c>
      <c r="V1500" s="1" t="s">
        <v>159</v>
      </c>
      <c r="W1500" s="1" t="s">
        <v>160</v>
      </c>
      <c r="AR1500" s="1" t="str">
        <f t="shared" si="95"/>
        <v>| [ㄅㄛ](ㄅㄛ.md) | [波](波.md) |  | bō | [名]
1.水因湧流或風力振盪所產生的起伏現象。如：「水波」、「海波」。
2.比喻目光。如：「眼波」、「秋波」。《文選．宋玉．神女賦》：「望余帷而延視兮，若流波之將瀾。」
3.物理學上指由彈性體振動所產生像波浪一樣起落的現象。如：「音波」、「電波」。
4.永字八法之一。唐．張彥遠《法書要錄．卷一．王右軍題衛夫人筆陣圖後》：「每作一波，常三過折筆。」也稱為「捺」、「磔」。
5.量詞。計算接續情勢的單位。如：「第三波」、「一波又一波的攻勢。」
6.姓。如漢代有波儁。
[動]
1.跑。如：「奔波」。明．李翊《俗呼小錄》卷一：「跑謂之波。」
2.逃。《法苑珠林．卷二六》引南齊．王琰《冥祥記》：「蘇峻之亂，都邑人士皆東西波遷。」《樂府詩集．卷二五．企喻歌辭．橫吹曲辭五．四曲之一》：「鷂子經天飛，群雀兩向波。」
[助]
元曲科白中常用作語助詞，置於句中或句末。同「吧」。元．王實甫《西廂記．第三本．第一折》：「心波學士！我願為之，並不推辭，自有言語。」 |</v>
      </c>
    </row>
    <row r="1501" spans="1:44">
      <c r="A1501" s="1" t="s">
        <v>161</v>
      </c>
      <c r="C1501" s="1">
        <v>1</v>
      </c>
      <c r="D1501" s="1" t="str">
        <f>"00045"</f>
        <v>00045</v>
      </c>
      <c r="E1501" s="1" t="s">
        <v>142</v>
      </c>
      <c r="F1501" s="1">
        <v>9</v>
      </c>
      <c r="G1501" s="1">
        <v>5</v>
      </c>
      <c r="H1501" s="1">
        <v>0</v>
      </c>
      <c r="I1501" s="1" t="s">
        <v>148</v>
      </c>
      <c r="K1501" s="1" t="str">
        <f t="shared" si="92"/>
        <v>ㄅ</v>
      </c>
      <c r="L1501" s="1" t="str">
        <f t="shared" si="93"/>
        <v>ㄛ</v>
      </c>
      <c r="M1501" s="1" t="str">
        <f t="shared" si="94"/>
        <v/>
      </c>
      <c r="P1501" s="1" t="s">
        <v>20</v>
      </c>
      <c r="R1501" s="1" t="s">
        <v>149</v>
      </c>
      <c r="V1501" s="1" t="s">
        <v>162</v>
      </c>
      <c r="AR1501" s="1" t="str">
        <f t="shared" si="95"/>
        <v>| [ㄅㄛ](ㄅㄛ.md) | [玻](玻.md) |  | bō | 參見「玻璃」條。 |</v>
      </c>
    </row>
    <row r="1502" spans="1:44">
      <c r="A1502" s="1" t="s">
        <v>163</v>
      </c>
      <c r="C1502" s="1">
        <v>1</v>
      </c>
      <c r="D1502" s="1" t="str">
        <f>"00046"</f>
        <v>00046</v>
      </c>
      <c r="E1502" s="1" t="s">
        <v>28</v>
      </c>
      <c r="F1502" s="1">
        <v>11</v>
      </c>
      <c r="G1502" s="1">
        <v>8</v>
      </c>
      <c r="H1502" s="1">
        <v>1</v>
      </c>
      <c r="I1502" s="1" t="s">
        <v>148</v>
      </c>
      <c r="K1502" s="1" t="str">
        <f t="shared" si="92"/>
        <v>ㄅ</v>
      </c>
      <c r="L1502" s="1" t="str">
        <f t="shared" si="93"/>
        <v>ㄛ</v>
      </c>
      <c r="M1502" s="1" t="str">
        <f t="shared" si="94"/>
        <v/>
      </c>
      <c r="P1502" s="1" t="s">
        <v>20</v>
      </c>
      <c r="R1502" s="1" t="s">
        <v>149</v>
      </c>
      <c r="V1502" s="1" t="s">
        <v>164</v>
      </c>
      <c r="W1502" s="1" t="s">
        <v>165</v>
      </c>
      <c r="AR1502" s="1" t="str">
        <f t="shared" si="95"/>
        <v>| [ㄅㄛ](ㄅㄛ.md) | [啵](啵.md) |  | bō | [動]
親吻。如：「啵一下臉頰」。
[助]
表示商榷或祈使的語尾助詞。如：「弟兄們，努力幹啵。」 |</v>
      </c>
    </row>
    <row r="1503" spans="1:44">
      <c r="A1503" s="1" t="s">
        <v>166</v>
      </c>
      <c r="C1503" s="1">
        <v>1</v>
      </c>
      <c r="D1503" s="1" t="str">
        <f>"00047"</f>
        <v>00047</v>
      </c>
      <c r="E1503" s="1" t="s">
        <v>37</v>
      </c>
      <c r="F1503" s="1">
        <v>12</v>
      </c>
      <c r="G1503" s="1">
        <v>8</v>
      </c>
      <c r="H1503" s="1">
        <v>0</v>
      </c>
      <c r="I1503" s="1" t="s">
        <v>148</v>
      </c>
      <c r="K1503" s="1" t="str">
        <f t="shared" si="92"/>
        <v>ㄅ</v>
      </c>
      <c r="L1503" s="1" t="str">
        <f t="shared" si="93"/>
        <v>ㄛ</v>
      </c>
      <c r="M1503" s="1" t="str">
        <f t="shared" si="94"/>
        <v/>
      </c>
      <c r="P1503" s="1" t="s">
        <v>20</v>
      </c>
      <c r="R1503" s="1" t="s">
        <v>149</v>
      </c>
      <c r="V1503" s="1" t="s">
        <v>167</v>
      </c>
      <c r="AR1503" s="1" t="str">
        <f t="shared" si="95"/>
        <v>| [ㄅㄛ](ㄅㄛ.md) | [菠](菠.md) |  | bō | 參見「菠菜」條。 |</v>
      </c>
    </row>
    <row r="1504" spans="1:44">
      <c r="A1504" s="1" t="s">
        <v>168</v>
      </c>
      <c r="C1504" s="1">
        <v>1</v>
      </c>
      <c r="D1504" s="1" t="str">
        <f>"00048"</f>
        <v>00048</v>
      </c>
      <c r="E1504" s="1" t="s">
        <v>169</v>
      </c>
      <c r="F1504" s="1">
        <v>13</v>
      </c>
      <c r="G1504" s="1">
        <v>8</v>
      </c>
      <c r="H1504" s="1">
        <v>1</v>
      </c>
      <c r="I1504" s="1" t="s">
        <v>148</v>
      </c>
      <c r="K1504" s="1" t="str">
        <f t="shared" si="92"/>
        <v>ㄅ</v>
      </c>
      <c r="L1504" s="1" t="str">
        <f t="shared" si="93"/>
        <v>ㄛ</v>
      </c>
      <c r="M1504" s="1" t="str">
        <f t="shared" si="94"/>
        <v/>
      </c>
      <c r="P1504" s="1" t="s">
        <v>20</v>
      </c>
      <c r="R1504" s="1" t="s">
        <v>149</v>
      </c>
      <c r="V1504" s="1" t="s">
        <v>170</v>
      </c>
      <c r="W1504" s="1" t="s">
        <v>171</v>
      </c>
      <c r="AR1504" s="1" t="str">
        <f t="shared" si="95"/>
        <v>| [ㄅㄛ](ㄅㄛ.md) | [碆](碆.md) |  | bō | [名]
射鳥用的石製箭頭。《集韻．平聲．戈韻》：「碆，石也。可為矢鏃。」
[動]
用石製箭頭繫於絲弦上，射擊飛鳥。《史記．卷四〇．楚世家》：「出寶弓，碆新繳，射噣鳥於東海。」 |</v>
      </c>
    </row>
    <row r="1505" spans="1:44">
      <c r="A1505" s="1" t="s">
        <v>172</v>
      </c>
      <c r="C1505" s="1">
        <v>1</v>
      </c>
      <c r="D1505" s="1" t="str">
        <f>"00049"</f>
        <v>00049</v>
      </c>
      <c r="E1505" s="1" t="s">
        <v>169</v>
      </c>
      <c r="F1505" s="1">
        <v>10</v>
      </c>
      <c r="G1505" s="1">
        <v>5</v>
      </c>
      <c r="H1505" s="1">
        <v>0</v>
      </c>
      <c r="I1505" s="1" t="s">
        <v>148</v>
      </c>
      <c r="K1505" s="1" t="str">
        <f t="shared" si="92"/>
        <v>ㄅ</v>
      </c>
      <c r="L1505" s="1" t="str">
        <f t="shared" si="93"/>
        <v>ㄛ</v>
      </c>
      <c r="M1505" s="1" t="str">
        <f t="shared" si="94"/>
        <v/>
      </c>
      <c r="P1505" s="1" t="s">
        <v>20</v>
      </c>
      <c r="R1505" s="1" t="s">
        <v>149</v>
      </c>
      <c r="V1505" s="1" t="s">
        <v>173</v>
      </c>
      <c r="AR1505" s="1" t="str">
        <f t="shared" si="95"/>
        <v>| [ㄅㄛ](ㄅㄛ.md) | [砵](砵.md) |  | bō | 參見「砵酒」條。 |</v>
      </c>
    </row>
    <row r="1506" spans="1:44">
      <c r="A1506" s="1" t="s">
        <v>174</v>
      </c>
      <c r="C1506" s="1">
        <v>1</v>
      </c>
      <c r="D1506" s="1" t="str">
        <f>"00050"</f>
        <v>00050</v>
      </c>
      <c r="E1506" s="1" t="s">
        <v>175</v>
      </c>
      <c r="F1506" s="1">
        <v>11</v>
      </c>
      <c r="G1506" s="1">
        <v>5</v>
      </c>
      <c r="H1506" s="1">
        <v>0</v>
      </c>
      <c r="I1506" s="1" t="s">
        <v>148</v>
      </c>
      <c r="K1506" s="1" t="str">
        <f t="shared" si="92"/>
        <v>ㄅ</v>
      </c>
      <c r="L1506" s="1" t="str">
        <f t="shared" si="93"/>
        <v>ㄛ</v>
      </c>
      <c r="M1506" s="1" t="str">
        <f t="shared" si="94"/>
        <v/>
      </c>
      <c r="P1506" s="1" t="s">
        <v>20</v>
      </c>
      <c r="R1506" s="1" t="s">
        <v>149</v>
      </c>
      <c r="V1506" s="1" t="s">
        <v>176</v>
      </c>
      <c r="AR1506" s="1" t="str">
        <f t="shared" si="95"/>
        <v>| [ㄅㄛ](ㄅㄛ.md) | [缽](缽.md) |  | bō | [名]
1.梵語ｐāｔｒａ音譯的省稱。出家人盛飯食的器具。《晉書．卷九五．藝術列傳．佛圖澄》：「澄即取缽盛水，燒香咒之。」
2.泛稱可盛酒、裝東西或洗滌東西的圓形金屬或陶瓷用具。如：「酒缽」、「飯缽」。 |</v>
      </c>
    </row>
    <row r="1507" spans="1:44">
      <c r="A1507" s="1" t="s">
        <v>177</v>
      </c>
      <c r="C1507" s="1">
        <v>1</v>
      </c>
      <c r="D1507" s="1" t="str">
        <f>"00051"</f>
        <v>00051</v>
      </c>
      <c r="E1507" s="1" t="s">
        <v>77</v>
      </c>
      <c r="F1507" s="1">
        <v>10</v>
      </c>
      <c r="G1507" s="1">
        <v>3</v>
      </c>
      <c r="H1507" s="1">
        <v>2</v>
      </c>
      <c r="I1507" s="1" t="s">
        <v>148</v>
      </c>
      <c r="K1507" s="1" t="str">
        <f t="shared" si="92"/>
        <v>ㄅ</v>
      </c>
      <c r="L1507" s="1" t="str">
        <f t="shared" si="93"/>
        <v>ㄛ</v>
      </c>
      <c r="M1507" s="1" t="str">
        <f t="shared" si="94"/>
        <v/>
      </c>
      <c r="P1507" s="1" t="s">
        <v>20</v>
      </c>
      <c r="R1507" s="1" t="s">
        <v>149</v>
      </c>
      <c r="V1507" s="1" t="s">
        <v>178</v>
      </c>
      <c r="W1507" s="1" t="s">
        <v>179</v>
      </c>
      <c r="AR1507" s="1" t="str">
        <f t="shared" si="95"/>
        <v>| [ㄅㄛ](ㄅㄛ.md) | [趵](趵.md) |  | bō | [擬]_x000D_
模擬腳踏地的聲音。《玉篇．足部》：「趵，足擊聲。」_x000D_
[動]_x000D_
用腳踩踏。《廣韻．入聲．覺韻》：「趵，足擊。」 |</v>
      </c>
    </row>
    <row r="1508" spans="1:44">
      <c r="A1508" s="1" t="s">
        <v>180</v>
      </c>
      <c r="C1508" s="1">
        <v>1</v>
      </c>
      <c r="D1508" s="1" t="str">
        <f>"00052"</f>
        <v>00052</v>
      </c>
      <c r="E1508" s="1" t="s">
        <v>181</v>
      </c>
      <c r="F1508" s="1">
        <v>10</v>
      </c>
      <c r="G1508" s="1">
        <v>4</v>
      </c>
      <c r="H1508" s="1">
        <v>3</v>
      </c>
      <c r="I1508" s="1" t="s">
        <v>148</v>
      </c>
      <c r="K1508" s="1" t="str">
        <f t="shared" si="92"/>
        <v>ㄅ</v>
      </c>
      <c r="L1508" s="1" t="str">
        <f t="shared" si="93"/>
        <v>ㄛ</v>
      </c>
      <c r="M1508" s="1" t="str">
        <f t="shared" si="94"/>
        <v/>
      </c>
      <c r="P1508" s="1" t="s">
        <v>20</v>
      </c>
      <c r="R1508" s="1" t="s">
        <v>149</v>
      </c>
      <c r="V1508" s="1" t="s">
        <v>182</v>
      </c>
      <c r="W1508" s="1" t="s">
        <v>183</v>
      </c>
      <c r="AR1508" s="1" t="str">
        <f t="shared" si="95"/>
        <v>| [ㄅㄛ](ㄅㄛ.md) | [般](般.md) |  | bō | 參見「般若」條。 |</v>
      </c>
    </row>
    <row r="1509" spans="1:44">
      <c r="A1509" s="1" t="s">
        <v>184</v>
      </c>
      <c r="C1509" s="1">
        <v>1</v>
      </c>
      <c r="D1509" s="1" t="str">
        <f>"00053"</f>
        <v>00053</v>
      </c>
      <c r="E1509" s="1" t="s">
        <v>185</v>
      </c>
      <c r="F1509" s="1">
        <v>10</v>
      </c>
      <c r="G1509" s="1">
        <v>8</v>
      </c>
      <c r="H1509" s="1">
        <v>1</v>
      </c>
      <c r="I1509" s="1" t="s">
        <v>148</v>
      </c>
      <c r="K1509" s="1" t="str">
        <f t="shared" si="92"/>
        <v>ㄅ</v>
      </c>
      <c r="L1509" s="1" t="str">
        <f t="shared" si="93"/>
        <v>ㄛ</v>
      </c>
      <c r="M1509" s="1" t="str">
        <f t="shared" si="94"/>
        <v/>
      </c>
      <c r="P1509" s="1" t="s">
        <v>186</v>
      </c>
      <c r="R1509" s="1" t="s">
        <v>149</v>
      </c>
      <c r="V1509" s="1" t="s">
        <v>187</v>
      </c>
      <c r="W1509" s="1" t="s">
        <v>188</v>
      </c>
      <c r="AR1509" s="1" t="str">
        <f t="shared" si="95"/>
        <v>| [ㄅㄛ](ㄅㄛ.md) | [剝](剝.md) |  | bō | [動]
1.脫落。《廣雅．釋詁》：「剝，脫也。」《莊子．人間世》：「夫柤梨橘柚果蓏之屬，實熟則剝。」北魏．酈道元《水經注．穀水注》：「文字剝缺，不復可識。」
2.脫去。唐．白居易〈新樂府．杜陵叟〉：「剝我身上帛，奪我口中粟。」《水滸傳》第四三回：「朱貴慌忙攔住，李逵方纔住了手就士兵身上，剝了兩件衣服穿上。」
3.除去物體外表的皮殼。如：「剝橘子」、「剝花生」、「抽絲剝繭」。
4.強制除去。如：「剝削」、「剝奪」。〈後漢書．卷七八．宦者傳．序〉：「狗馬飾雕文，土木被緹繡。皆剝割萌黎，競恣奢欲。」
[名]
《易經》卦名。六十四卦之一。坤（☷）下艮（☶）上，剝落之象。 |</v>
      </c>
    </row>
    <row r="1510" spans="1:44">
      <c r="A1510" s="1" t="s">
        <v>189</v>
      </c>
      <c r="C1510" s="1">
        <v>1</v>
      </c>
      <c r="D1510" s="1" t="str">
        <f>"00054"</f>
        <v>00054</v>
      </c>
      <c r="E1510" s="1" t="s">
        <v>190</v>
      </c>
      <c r="F1510" s="1">
        <v>15</v>
      </c>
      <c r="G1510" s="1">
        <v>12</v>
      </c>
      <c r="H1510" s="1">
        <v>0</v>
      </c>
      <c r="I1510" s="1" t="s">
        <v>148</v>
      </c>
      <c r="K1510" s="1" t="str">
        <f t="shared" si="92"/>
        <v>ㄅ</v>
      </c>
      <c r="L1510" s="1" t="str">
        <f t="shared" si="93"/>
        <v>ㄛ</v>
      </c>
      <c r="M1510" s="1" t="str">
        <f t="shared" si="94"/>
        <v/>
      </c>
      <c r="P1510" s="1" t="s">
        <v>20</v>
      </c>
      <c r="R1510" s="1" t="s">
        <v>149</v>
      </c>
      <c r="V1510" s="1" t="s">
        <v>191</v>
      </c>
      <c r="AR1510" s="1" t="str">
        <f t="shared" si="95"/>
        <v>| [ㄅㄛ](ㄅㄛ.md) | [嶓](嶓.md) |  | bō | 參見「嶓冢」條。 |</v>
      </c>
    </row>
    <row r="1511" spans="1:44">
      <c r="A1511" s="1" t="s">
        <v>192</v>
      </c>
      <c r="C1511" s="1">
        <v>1</v>
      </c>
      <c r="D1511" s="1" t="str">
        <f>"00055"</f>
        <v>00055</v>
      </c>
      <c r="E1511" s="1" t="s">
        <v>193</v>
      </c>
      <c r="F1511" s="1">
        <v>15</v>
      </c>
      <c r="G1511" s="1">
        <v>7</v>
      </c>
      <c r="H1511" s="1">
        <v>0</v>
      </c>
      <c r="I1511" s="1" t="s">
        <v>148</v>
      </c>
      <c r="K1511" s="1" t="str">
        <f t="shared" si="92"/>
        <v>ㄅ</v>
      </c>
      <c r="L1511" s="1" t="str">
        <f t="shared" si="93"/>
        <v>ㄛ</v>
      </c>
      <c r="M1511" s="1" t="str">
        <f t="shared" si="94"/>
        <v/>
      </c>
      <c r="P1511" s="1" t="s">
        <v>20</v>
      </c>
      <c r="R1511" s="1" t="s">
        <v>149</v>
      </c>
      <c r="V1511" s="1" t="s">
        <v>194</v>
      </c>
      <c r="AR1511" s="1" t="str">
        <f t="shared" si="95"/>
        <v>| [ㄅㄛ](ㄅㄛ.md) | [餑](餑.md) |  | bō | [名]
1.煮茶所得的精華。茶煮好後浮在表面上的泡，稱為「沫」。輕的沫稱為「花」，在湯中層層混合的茶沫稱為「餑」。唐．陸羽《茶經．卷下．五之煮》：「凡酌置諸碗，令沫、餑均。沫、薄，湯之華也。華之薄者曰：『沫』，厚者曰：『餑』，細輕者曰：『花』。」
2.麵食。參見「餑餑」條。 |</v>
      </c>
    </row>
    <row r="1512" spans="1:44">
      <c r="A1512" s="1" t="s">
        <v>195</v>
      </c>
      <c r="C1512" s="1">
        <v>1</v>
      </c>
      <c r="D1512" s="1" t="str">
        <f>"00056"</f>
        <v>00056</v>
      </c>
      <c r="E1512" s="1" t="s">
        <v>28</v>
      </c>
      <c r="F1512" s="1">
        <v>18</v>
      </c>
      <c r="G1512" s="1">
        <v>15</v>
      </c>
      <c r="H1512" s="1">
        <v>0</v>
      </c>
      <c r="I1512" s="1" t="s">
        <v>148</v>
      </c>
      <c r="K1512" s="1" t="str">
        <f t="shared" si="92"/>
        <v>ㄅ</v>
      </c>
      <c r="L1512" s="1" t="str">
        <f t="shared" si="93"/>
        <v>ㄛ</v>
      </c>
      <c r="M1512" s="1" t="str">
        <f t="shared" si="94"/>
        <v/>
      </c>
      <c r="P1512" s="1" t="s">
        <v>20</v>
      </c>
      <c r="R1512" s="1" t="s">
        <v>149</v>
      </c>
      <c r="V1512" s="1" t="s">
        <v>196</v>
      </c>
      <c r="AR1512" s="1" t="str">
        <f t="shared" si="95"/>
        <v>| [ㄅㄛ](ㄅㄛ.md) | [嚗](嚗.md) |  | bō | [擬]_x000D_
1.模擬發怒的聲音。《集韻．入聲．覺韻》：「嚗，怒聲。」_x000D_
2.模擬物體迸裂的聲音。唐．段成式《酉陽雜俎．卷一四．諾皋記上》：「柳氏遽取（胡桃）翫之掌中，遂長，初如拳如碗，驚顧之際，已如盤矣，嚗然分為兩扇。」 |</v>
      </c>
    </row>
    <row r="1513" spans="1:44">
      <c r="A1513" s="1" t="s">
        <v>391</v>
      </c>
      <c r="C1513" s="1">
        <v>1</v>
      </c>
      <c r="D1513" s="1" t="str">
        <f>"00131"</f>
        <v>00131</v>
      </c>
      <c r="E1513" s="1" t="s">
        <v>24</v>
      </c>
      <c r="F1513" s="1">
        <v>12</v>
      </c>
      <c r="G1513" s="1">
        <v>8</v>
      </c>
      <c r="H1513" s="1">
        <v>0</v>
      </c>
      <c r="I1513" s="1" t="s">
        <v>392</v>
      </c>
      <c r="K1513" s="1" t="str">
        <f t="shared" si="92"/>
        <v>ㄅ</v>
      </c>
      <c r="L1513" s="1" t="str">
        <f t="shared" si="93"/>
        <v>ㄞ</v>
      </c>
      <c r="M1513" s="1" t="str">
        <f t="shared" si="94"/>
        <v/>
      </c>
      <c r="P1513" s="1" t="s">
        <v>20</v>
      </c>
      <c r="R1513" s="1" t="s">
        <v>393</v>
      </c>
      <c r="V1513" s="1" t="s">
        <v>394</v>
      </c>
      <c r="AR1513" s="1" t="str">
        <f t="shared" si="95"/>
        <v>| [ㄅㄞ](ㄅㄞ.md) | [掰](掰.md) |  | bāi | [動]
1.用雙手使勁將東西分開。《紅樓夢》第六〇回：「便把手內的糕一塊一塊的掰了，擲打著雀兒頑。」
2.胡扯、亂吹。如：「瞎掰」、「亂掰」。 |</v>
      </c>
    </row>
    <row r="1514" spans="1:44">
      <c r="A1514" s="1" t="s">
        <v>433</v>
      </c>
      <c r="C1514" s="1">
        <v>1</v>
      </c>
      <c r="D1514" s="1" t="str">
        <f>"00146"</f>
        <v>00146</v>
      </c>
      <c r="E1514" s="1" t="s">
        <v>139</v>
      </c>
      <c r="F1514" s="1">
        <v>8</v>
      </c>
      <c r="G1514" s="1">
        <v>4</v>
      </c>
      <c r="H1514" s="1">
        <v>0</v>
      </c>
      <c r="I1514" s="1" t="s">
        <v>434</v>
      </c>
      <c r="K1514" s="1" t="str">
        <f t="shared" si="92"/>
        <v>ㄅ</v>
      </c>
      <c r="L1514" s="1" t="str">
        <f t="shared" si="93"/>
        <v>ㄟ</v>
      </c>
      <c r="M1514" s="1" t="str">
        <f t="shared" si="94"/>
        <v/>
      </c>
      <c r="P1514" s="1" t="s">
        <v>20</v>
      </c>
      <c r="R1514" s="1" t="s">
        <v>435</v>
      </c>
      <c r="V1514" s="1" t="s">
        <v>436</v>
      </c>
      <c r="AR1514" s="1" t="str">
        <f t="shared" si="95"/>
        <v>| [ㄅㄟ](ㄅㄟ.md) | [杯](杯.md) |  | bēi | [名]
1.一種盛酒、水、茶等液體的器皿。《儒林外史》第一回：「王冕左手持杯，右手持著天上的星，向秦老道：『你看貫索犯文昌，一代文人有厄！』」
2.競賽優勝的獎品，也借指競賽。如：「獎杯」、「世界杯」。今多用「盃」字。
3.量詞。計算杯裝物的單位。如：「一杯水」、「兩杯麵粉」。 |</v>
      </c>
    </row>
    <row r="1515" spans="1:44">
      <c r="A1515" s="1" t="s">
        <v>437</v>
      </c>
      <c r="C1515" s="1">
        <v>1</v>
      </c>
      <c r="D1515" s="1" t="str">
        <f>"00147"</f>
        <v>00147</v>
      </c>
      <c r="E1515" s="1" t="s">
        <v>438</v>
      </c>
      <c r="F1515" s="1">
        <v>9</v>
      </c>
      <c r="G1515" s="1">
        <v>4</v>
      </c>
      <c r="H1515" s="1">
        <v>0</v>
      </c>
      <c r="I1515" s="1" t="s">
        <v>434</v>
      </c>
      <c r="K1515" s="1" t="str">
        <f t="shared" si="92"/>
        <v>ㄅ</v>
      </c>
      <c r="L1515" s="1" t="str">
        <f t="shared" si="93"/>
        <v>ㄟ</v>
      </c>
      <c r="M1515" s="1" t="str">
        <f t="shared" si="94"/>
        <v/>
      </c>
      <c r="P1515" s="1" t="s">
        <v>20</v>
      </c>
      <c r="R1515" s="1" t="s">
        <v>435</v>
      </c>
      <c r="V1515" s="1" t="s">
        <v>439</v>
      </c>
      <c r="AR1515" s="1" t="str">
        <f t="shared" si="95"/>
        <v>| [ㄅㄟ](ㄅㄟ.md) | [盃](盃.md) |  | bēi | [名]
1.一種盛酒、水、茶等液體的器皿。同「杯」。漢．司馬遷〈報任少卿書〉：「僕與李陵俱居門下，素非能相善也，趨舍異路，未嘗銜盃酒，接殷勤之餘歡。」
2.競賽優勝的獎品，也借指競賽。同「杯」。如：「獎盃」、「世界盃」。
3.量詞。以盃的容量作為計算的單位。三國魏．嵇康〈與山巨源絕交書〉：「濁酒一盃，彈琴一曲，志願畢矣！」 |</v>
      </c>
    </row>
    <row r="1516" spans="1:44">
      <c r="A1516" s="1" t="s">
        <v>440</v>
      </c>
      <c r="C1516" s="1">
        <v>1</v>
      </c>
      <c r="D1516" s="1" t="str">
        <f>"00148"</f>
        <v>00148</v>
      </c>
      <c r="E1516" s="1" t="s">
        <v>139</v>
      </c>
      <c r="F1516" s="1">
        <v>11</v>
      </c>
      <c r="G1516" s="1">
        <v>7</v>
      </c>
      <c r="H1516" s="1">
        <v>0</v>
      </c>
      <c r="I1516" s="1" t="s">
        <v>434</v>
      </c>
      <c r="K1516" s="1" t="str">
        <f t="shared" si="92"/>
        <v>ㄅ</v>
      </c>
      <c r="L1516" s="1" t="str">
        <f t="shared" si="93"/>
        <v>ㄟ</v>
      </c>
      <c r="M1516" s="1" t="str">
        <f t="shared" si="94"/>
        <v/>
      </c>
      <c r="P1516" s="1" t="s">
        <v>20</v>
      </c>
      <c r="R1516" s="1" t="s">
        <v>435</v>
      </c>
      <c r="V1516" s="1" t="s">
        <v>441</v>
      </c>
      <c r="AR1516" s="1" t="str">
        <f t="shared" si="95"/>
        <v>| [ㄅㄟ](ㄅㄟ.md) | [桮](桮.md) |  | bēi | [名]
盛湯、酒等液體的器皿。同「杯」。《說文解字．木部》：「桮，㔶也。」清．段玉裁．注：「古以桮盛羹，桮圈是也。」《史記．卷七．項羽本紀》：「必欲烹而翁，則幸分我一桮羹。」明．宋徵輿〈小重山．春流半繞鳳凰臺〉詞：「十年花月夜，汎金桮。玉簫嗚咽畫船開。」 |</v>
      </c>
    </row>
    <row r="1517" spans="1:44">
      <c r="A1517" s="1" t="s">
        <v>442</v>
      </c>
      <c r="C1517" s="1">
        <v>1</v>
      </c>
      <c r="D1517" s="1" t="str">
        <f>"00149"</f>
        <v>00149</v>
      </c>
      <c r="E1517" s="1" t="s">
        <v>286</v>
      </c>
      <c r="F1517" s="1">
        <v>8</v>
      </c>
      <c r="G1517" s="1">
        <v>6</v>
      </c>
      <c r="H1517" s="1">
        <v>0</v>
      </c>
      <c r="I1517" s="1" t="s">
        <v>434</v>
      </c>
      <c r="K1517" s="1" t="str">
        <f t="shared" si="92"/>
        <v>ㄅ</v>
      </c>
      <c r="L1517" s="1" t="str">
        <f t="shared" si="93"/>
        <v>ㄟ</v>
      </c>
      <c r="M1517" s="1" t="str">
        <f t="shared" si="94"/>
        <v/>
      </c>
      <c r="P1517" s="1" t="s">
        <v>20</v>
      </c>
      <c r="R1517" s="1" t="s">
        <v>435</v>
      </c>
      <c r="V1517" s="1" t="s">
        <v>443</v>
      </c>
      <c r="AR1517" s="1" t="str">
        <f t="shared" si="95"/>
        <v>| [ㄅㄟ](ㄅㄟ.md) | [卑](卑.md) |  | bēi | [形]_x000D_
1.低下、低微。如：「卑賤」、「天尊地卑」。南朝梁．沈約〈恩倖傳論〉：「人主謂其身卑位薄，以為權不得重。」_x000D_
2.衰微、沒落。《國語．周語上》：「王室其將卑乎？」_x000D_
3.簡陋。漢．張衡〈東京賦〉：「慕唐虞之茅茨，思夏后之卑室。」_x000D_
4.品格低劣。《孟子．公孫丑上》：「行乎國政，如彼其久也；功烈，如彼其卑也。」_x000D_
5.謙恭。如：「謙卑」、「卑躬屈膝」、「卑詞厚禮」。_x000D_
[名]_x000D_
低下的地方。如：「登高必自卑」。_x000D_
[動]_x000D_
1.使簡陋、低俗。《論語．秦伯》：「卑宮室而盡力乎溝洫。」宋．邢昺．疏：「言禹卑下所居之宮室而盡力以治田間之溝洫。」_x000D_
2.輕視、藐視。《國語．晉語四》：「秦、晉匹也，何以卑我？」 |</v>
      </c>
    </row>
    <row r="1518" spans="1:44">
      <c r="A1518" s="1" t="s">
        <v>444</v>
      </c>
      <c r="C1518" s="1">
        <v>1</v>
      </c>
      <c r="D1518" s="1" t="str">
        <f>"00150"</f>
        <v>00150</v>
      </c>
      <c r="E1518" s="1" t="s">
        <v>114</v>
      </c>
      <c r="F1518" s="1">
        <v>10</v>
      </c>
      <c r="G1518" s="1">
        <v>8</v>
      </c>
      <c r="H1518" s="1">
        <v>2</v>
      </c>
      <c r="I1518" s="1" t="s">
        <v>434</v>
      </c>
      <c r="K1518" s="1" t="str">
        <f t="shared" si="92"/>
        <v>ㄅ</v>
      </c>
      <c r="L1518" s="1" t="str">
        <f t="shared" si="93"/>
        <v>ㄟ</v>
      </c>
      <c r="M1518" s="1" t="str">
        <f t="shared" si="94"/>
        <v/>
      </c>
      <c r="P1518" s="1" t="s">
        <v>110</v>
      </c>
      <c r="R1518" s="1" t="s">
        <v>435</v>
      </c>
      <c r="V1518" s="1" t="s">
        <v>111</v>
      </c>
      <c r="W1518" s="1" t="s">
        <v>445</v>
      </c>
      <c r="AR1518" s="1" t="str">
        <f t="shared" si="95"/>
        <v>| [ㄅㄟ](ㄅㄟ.md) | [俾](俾.md) |  | bēi | (一)之又音。 |</v>
      </c>
    </row>
    <row r="1519" spans="1:44">
      <c r="A1519" s="1" t="s">
        <v>446</v>
      </c>
      <c r="C1519" s="1">
        <v>1</v>
      </c>
      <c r="D1519" s="1" t="str">
        <f>"00151"</f>
        <v>00151</v>
      </c>
      <c r="E1519" s="1" t="s">
        <v>447</v>
      </c>
      <c r="F1519" s="1">
        <v>11</v>
      </c>
      <c r="G1519" s="1">
        <v>8</v>
      </c>
      <c r="H1519" s="1">
        <v>2</v>
      </c>
      <c r="I1519" s="1" t="s">
        <v>434</v>
      </c>
      <c r="K1519" s="1" t="str">
        <f t="shared" si="92"/>
        <v>ㄅ</v>
      </c>
      <c r="L1519" s="1" t="str">
        <f t="shared" si="93"/>
        <v>ㄟ</v>
      </c>
      <c r="M1519" s="1" t="str">
        <f t="shared" si="94"/>
        <v/>
      </c>
      <c r="P1519" s="1" t="s">
        <v>20</v>
      </c>
      <c r="R1519" s="1" t="s">
        <v>435</v>
      </c>
      <c r="V1519" s="1" t="s">
        <v>448</v>
      </c>
      <c r="W1519" s="1" t="s">
        <v>449</v>
      </c>
      <c r="AR1519" s="1" t="str">
        <f t="shared" si="95"/>
        <v>| [ㄅㄟ](ㄅㄟ.md) | [庳](庳.md) |  | bēi | [形]
1.低下。《史記．卷一一九．循吏傳．孫叔敖傳》：「楚民俗好庳車。」
2.短小。《周禮．地官．大司徒》：「其民豐肉而庳。」
[名]
眾水聚集的地方。漢．揚雄《太玄經．卷一．增卦》：「澤庳其容，眾潤攸同。」 |</v>
      </c>
    </row>
    <row r="1520" spans="1:44">
      <c r="A1520" s="1" t="s">
        <v>450</v>
      </c>
      <c r="C1520" s="1">
        <v>1</v>
      </c>
      <c r="D1520" s="1" t="str">
        <f>"00152"</f>
        <v>00152</v>
      </c>
      <c r="E1520" s="1" t="s">
        <v>132</v>
      </c>
      <c r="F1520" s="1">
        <v>11</v>
      </c>
      <c r="G1520" s="1">
        <v>8</v>
      </c>
      <c r="H1520" s="1">
        <v>4</v>
      </c>
      <c r="I1520" s="1" t="s">
        <v>434</v>
      </c>
      <c r="K1520" s="1" t="str">
        <f t="shared" si="92"/>
        <v>ㄅ</v>
      </c>
      <c r="L1520" s="1" t="str">
        <f t="shared" si="93"/>
        <v>ㄟ</v>
      </c>
      <c r="M1520" s="1" t="str">
        <f t="shared" si="94"/>
        <v/>
      </c>
      <c r="P1520" s="1" t="s">
        <v>20</v>
      </c>
      <c r="R1520" s="1" t="s">
        <v>435</v>
      </c>
      <c r="V1520" s="1" t="s">
        <v>451</v>
      </c>
      <c r="W1520" s="1" t="s">
        <v>452</v>
      </c>
      <c r="AR1520" s="1" t="str">
        <f t="shared" si="95"/>
        <v>| [ㄅㄟ](ㄅㄟ.md) | [埤](埤.md) |  | bēi | [形]
低下。通「卑」。《字彙．土部》：「埤，音悲。與卑同。汙下也。」《荀子．非相》：「故君子之於言無厭。鄙夫反是：好其實不恤其文，是以終身不免埤汙傭俗。」 |</v>
      </c>
    </row>
    <row r="1521" spans="1:44">
      <c r="A1521" s="1" t="s">
        <v>453</v>
      </c>
      <c r="C1521" s="1">
        <v>1</v>
      </c>
      <c r="D1521" s="1" t="str">
        <f>"00153"</f>
        <v>00153</v>
      </c>
      <c r="E1521" s="1" t="s">
        <v>139</v>
      </c>
      <c r="F1521" s="1">
        <v>12</v>
      </c>
      <c r="G1521" s="1">
        <v>8</v>
      </c>
      <c r="H1521" s="1">
        <v>1</v>
      </c>
      <c r="I1521" s="1" t="s">
        <v>434</v>
      </c>
      <c r="K1521" s="1" t="str">
        <f t="shared" si="92"/>
        <v>ㄅ</v>
      </c>
      <c r="L1521" s="1" t="str">
        <f t="shared" si="93"/>
        <v>ㄟ</v>
      </c>
      <c r="M1521" s="1" t="str">
        <f t="shared" si="94"/>
        <v/>
      </c>
      <c r="P1521" s="1" t="s">
        <v>20</v>
      </c>
      <c r="R1521" s="1" t="s">
        <v>435</v>
      </c>
      <c r="V1521" s="1" t="s">
        <v>454</v>
      </c>
      <c r="W1521" s="1" t="s">
        <v>455</v>
      </c>
      <c r="AR1521" s="1" t="str">
        <f t="shared" si="95"/>
        <v>| [ㄅㄟ](ㄅㄟ.md) | [椑](椑.md) |  | bēi | 參見「椑柿」條。 |</v>
      </c>
    </row>
    <row r="1522" spans="1:44">
      <c r="A1522" s="1" t="s">
        <v>456</v>
      </c>
      <c r="C1522" s="1">
        <v>1</v>
      </c>
      <c r="D1522" s="1" t="str">
        <f>"00154"</f>
        <v>00154</v>
      </c>
      <c r="E1522" s="1" t="s">
        <v>37</v>
      </c>
      <c r="F1522" s="1">
        <v>12</v>
      </c>
      <c r="G1522" s="1">
        <v>8</v>
      </c>
      <c r="H1522" s="1">
        <v>1</v>
      </c>
      <c r="I1522" s="1" t="s">
        <v>434</v>
      </c>
      <c r="K1522" s="1" t="str">
        <f t="shared" si="92"/>
        <v>ㄅ</v>
      </c>
      <c r="L1522" s="1" t="str">
        <f t="shared" si="93"/>
        <v>ㄟ</v>
      </c>
      <c r="M1522" s="1" t="str">
        <f t="shared" si="94"/>
        <v/>
      </c>
      <c r="P1522" s="1" t="s">
        <v>20</v>
      </c>
      <c r="R1522" s="1" t="s">
        <v>435</v>
      </c>
      <c r="V1522" s="1" t="s">
        <v>457</v>
      </c>
      <c r="W1522" s="1" t="s">
        <v>458</v>
      </c>
      <c r="AR1522" s="1" t="str">
        <f t="shared" si="95"/>
        <v>| [ㄅㄟ](ㄅㄟ.md) | [萆](萆.md) |  | bēi | [名]
一種草。蒿類。《集韻．平聲．支韻》：「萆，一曰：『蒿類』。」 |</v>
      </c>
    </row>
    <row r="1523" spans="1:44">
      <c r="A1523" s="1" t="s">
        <v>459</v>
      </c>
      <c r="C1523" s="1">
        <v>1</v>
      </c>
      <c r="D1523" s="1" t="str">
        <f>"00155"</f>
        <v>00155</v>
      </c>
      <c r="E1523" s="1" t="s">
        <v>169</v>
      </c>
      <c r="F1523" s="1">
        <v>13</v>
      </c>
      <c r="G1523" s="1">
        <v>8</v>
      </c>
      <c r="H1523" s="1">
        <v>0</v>
      </c>
      <c r="I1523" s="1" t="s">
        <v>434</v>
      </c>
      <c r="K1523" s="1" t="str">
        <f t="shared" si="92"/>
        <v>ㄅ</v>
      </c>
      <c r="L1523" s="1" t="str">
        <f t="shared" si="93"/>
        <v>ㄟ</v>
      </c>
      <c r="M1523" s="1" t="str">
        <f t="shared" si="94"/>
        <v/>
      </c>
      <c r="P1523" s="1" t="s">
        <v>20</v>
      </c>
      <c r="R1523" s="1" t="s">
        <v>435</v>
      </c>
      <c r="V1523" s="1" t="s">
        <v>460</v>
      </c>
      <c r="AR1523" s="1" t="str">
        <f t="shared" si="95"/>
        <v>| [ㄅㄟ](ㄅㄟ.md) | [碑](碑.md) |  | bēi | [名]
1.豎起來的大石塊或木柱。古代用來觀測日影、拴綁牲口、引棺入穴等。上或有穿孔。《說文解字．石部》：「碑，豎石也。」清．段玉裁．注：「《聘禮》鄭注曰：『宮必有碑，所以識日景，引陰陽也；凡碑引物者宗廟則麗牲焉；其材，宮廟以石，窆用木。』」
2.刻上文字或圖案的石塊，豎立起來作為標誌，或紀念之用。如：「界碑」、「里程碑」、「紀念碑」。
3.文體名。刻在石上的文詞，用以頌揚功德，或記載死者的行誼等。如：「北魏嵩高靈廟碑」、「東魏敬史君碑」。
4.碑刻的書法資料。指將碑的正面（碑陽）、背面（碑陰）、兩旁（碑側）、上頭（碑額）、下座（碑趺）上面的文字搨摹下來，以供書法臨寫。如：「禮器碑」、「曹全碑」、「北魏張猛龍碑」。 |</v>
      </c>
    </row>
    <row r="1524" spans="1:44">
      <c r="A1524" s="1" t="s">
        <v>461</v>
      </c>
      <c r="C1524" s="1">
        <v>1</v>
      </c>
      <c r="D1524" s="1" t="str">
        <f>"00156"</f>
        <v>00156</v>
      </c>
      <c r="E1524" s="1" t="s">
        <v>49</v>
      </c>
      <c r="F1524" s="1">
        <v>14</v>
      </c>
      <c r="G1524" s="1">
        <v>8</v>
      </c>
      <c r="H1524" s="1">
        <v>2</v>
      </c>
      <c r="I1524" s="1" t="s">
        <v>434</v>
      </c>
      <c r="K1524" s="1" t="str">
        <f t="shared" si="92"/>
        <v>ㄅ</v>
      </c>
      <c r="L1524" s="1" t="str">
        <f t="shared" si="93"/>
        <v>ㄟ</v>
      </c>
      <c r="M1524" s="1" t="str">
        <f t="shared" si="94"/>
        <v/>
      </c>
      <c r="P1524" s="1" t="s">
        <v>20</v>
      </c>
      <c r="R1524" s="1" t="s">
        <v>435</v>
      </c>
      <c r="V1524" s="1" t="s">
        <v>462</v>
      </c>
      <c r="W1524" s="1" t="s">
        <v>463</v>
      </c>
      <c r="AR1524" s="1" t="str">
        <f t="shared" si="95"/>
        <v>| [ㄅㄟ](ㄅㄟ.md) | [箄](箄.md) |  | bēi | [名]
古代置於甑底，防止食物掉落鍋中的竹蓆。南朝宋．劉義慶《世說新語．夙惠》：「炊忘箸箄，飯落釜中。」 |</v>
      </c>
    </row>
    <row r="1525" spans="1:44">
      <c r="A1525" s="1" t="s">
        <v>464</v>
      </c>
      <c r="C1525" s="1">
        <v>1</v>
      </c>
      <c r="D1525" s="1" t="str">
        <f>"00157"</f>
        <v>00157</v>
      </c>
      <c r="E1525" s="1" t="s">
        <v>96</v>
      </c>
      <c r="F1525" s="1">
        <v>17</v>
      </c>
      <c r="G1525" s="1">
        <v>8</v>
      </c>
      <c r="H1525" s="1">
        <v>2</v>
      </c>
      <c r="I1525" s="1" t="s">
        <v>434</v>
      </c>
      <c r="K1525" s="1" t="str">
        <f t="shared" si="92"/>
        <v>ㄅ</v>
      </c>
      <c r="L1525" s="1" t="str">
        <f t="shared" si="93"/>
        <v>ㄟ</v>
      </c>
      <c r="M1525" s="1" t="str">
        <f t="shared" si="94"/>
        <v/>
      </c>
      <c r="P1525" s="1" t="s">
        <v>20</v>
      </c>
      <c r="R1525" s="1" t="s">
        <v>435</v>
      </c>
      <c r="V1525" s="1" t="s">
        <v>465</v>
      </c>
      <c r="W1525" s="1" t="s">
        <v>466</v>
      </c>
      <c r="AR1525" s="1" t="str">
        <f t="shared" si="95"/>
        <v>| [ㄅㄟ](ㄅㄟ.md) | [鞞](鞞.md) |  | bēi | [名]
牛鞞：縣名。漢代時設置，約在今大陸地區四川省簡陽縣東。《廣韻．平聲．支韻》：「鞞，牛鞞縣，在蜀。」 |</v>
      </c>
    </row>
    <row r="1526" spans="1:44">
      <c r="A1526" s="1" t="s">
        <v>467</v>
      </c>
      <c r="C1526" s="1">
        <v>1</v>
      </c>
      <c r="D1526" s="1" t="str">
        <f>"00158"</f>
        <v>00158</v>
      </c>
      <c r="E1526" s="1" t="s">
        <v>272</v>
      </c>
      <c r="F1526" s="1">
        <v>19</v>
      </c>
      <c r="G1526" s="1">
        <v>8</v>
      </c>
      <c r="H1526" s="1">
        <v>0</v>
      </c>
      <c r="I1526" s="1" t="s">
        <v>434</v>
      </c>
      <c r="K1526" s="1" t="str">
        <f t="shared" si="92"/>
        <v>ㄅ</v>
      </c>
      <c r="L1526" s="1" t="str">
        <f t="shared" si="93"/>
        <v>ㄟ</v>
      </c>
      <c r="M1526" s="1" t="str">
        <f t="shared" si="94"/>
        <v/>
      </c>
      <c r="P1526" s="1" t="s">
        <v>20</v>
      </c>
      <c r="R1526" s="1" t="s">
        <v>435</v>
      </c>
      <c r="V1526" s="1" t="s">
        <v>468</v>
      </c>
      <c r="AR1526" s="1" t="str">
        <f t="shared" si="95"/>
        <v>| [ㄅㄟ](ㄅㄟ.md) | [鵯](鵯.md) |  | bēi | 參見「鵯鵊」、「鵯鶋」等條。 |</v>
      </c>
    </row>
    <row r="1527" spans="1:44">
      <c r="A1527" s="1" t="s">
        <v>469</v>
      </c>
      <c r="C1527" s="1">
        <v>1</v>
      </c>
      <c r="D1527" s="1" t="str">
        <f>"00159"</f>
        <v>00159</v>
      </c>
      <c r="E1527" s="1" t="s">
        <v>68</v>
      </c>
      <c r="F1527" s="1">
        <v>9</v>
      </c>
      <c r="G1527" s="1">
        <v>5</v>
      </c>
      <c r="H1527" s="1">
        <v>2</v>
      </c>
      <c r="I1527" s="1" t="s">
        <v>434</v>
      </c>
      <c r="K1527" s="1" t="str">
        <f t="shared" si="92"/>
        <v>ㄅ</v>
      </c>
      <c r="L1527" s="1" t="str">
        <f t="shared" si="93"/>
        <v>ㄟ</v>
      </c>
      <c r="M1527" s="1" t="str">
        <f t="shared" si="94"/>
        <v/>
      </c>
      <c r="P1527" s="1" t="s">
        <v>20</v>
      </c>
      <c r="R1527" s="1" t="s">
        <v>435</v>
      </c>
      <c r="V1527" s="1" t="s">
        <v>470</v>
      </c>
      <c r="W1527" s="1" t="s">
        <v>471</v>
      </c>
      <c r="AR1527" s="1" t="str">
        <f t="shared" si="95"/>
        <v>| [ㄅㄟ](ㄅㄟ.md) | [背](背.md) |  | bēi | [動]
負荷。如：「背負重任」、「背小孩」。《紅樓夢》第四七回：「你老人家嫌乏，我背了你老人家去。」 |</v>
      </c>
    </row>
    <row r="1528" spans="1:44">
      <c r="A1528" s="1" t="s">
        <v>472</v>
      </c>
      <c r="C1528" s="1">
        <v>1</v>
      </c>
      <c r="D1528" s="1" t="str">
        <f>"00160"</f>
        <v>00160</v>
      </c>
      <c r="E1528" s="1" t="s">
        <v>24</v>
      </c>
      <c r="F1528" s="1">
        <v>12</v>
      </c>
      <c r="G1528" s="1">
        <v>9</v>
      </c>
      <c r="H1528" s="1">
        <v>0</v>
      </c>
      <c r="I1528" s="1" t="s">
        <v>434</v>
      </c>
      <c r="K1528" s="1" t="str">
        <f t="shared" si="92"/>
        <v>ㄅ</v>
      </c>
      <c r="L1528" s="1" t="str">
        <f t="shared" si="93"/>
        <v>ㄟ</v>
      </c>
      <c r="M1528" s="1" t="str">
        <f t="shared" si="94"/>
        <v/>
      </c>
      <c r="P1528" s="1" t="s">
        <v>20</v>
      </c>
      <c r="R1528" s="1" t="s">
        <v>435</v>
      </c>
      <c r="V1528" s="1" t="s">
        <v>473</v>
      </c>
      <c r="AR1528" s="1" t="str">
        <f t="shared" si="95"/>
        <v>| [ㄅㄟ](ㄅㄟ.md) | [揹](揹.md) |  | bēi | [動]
負荷。同「背」。如：「揹黑鍋」。 |</v>
      </c>
    </row>
    <row r="1529" spans="1:44">
      <c r="A1529" s="1" t="s">
        <v>474</v>
      </c>
      <c r="C1529" s="1">
        <v>1</v>
      </c>
      <c r="D1529" s="1" t="str">
        <f>"00161"</f>
        <v>00161</v>
      </c>
      <c r="E1529" s="1" t="s">
        <v>250</v>
      </c>
      <c r="F1529" s="1">
        <v>12</v>
      </c>
      <c r="G1529" s="1">
        <v>8</v>
      </c>
      <c r="H1529" s="1">
        <v>0</v>
      </c>
      <c r="I1529" s="1" t="s">
        <v>434</v>
      </c>
      <c r="K1529" s="1" t="str">
        <f t="shared" si="92"/>
        <v>ㄅ</v>
      </c>
      <c r="L1529" s="1" t="str">
        <f t="shared" si="93"/>
        <v>ㄟ</v>
      </c>
      <c r="M1529" s="1" t="str">
        <f t="shared" si="94"/>
        <v/>
      </c>
      <c r="P1529" s="1" t="s">
        <v>20</v>
      </c>
      <c r="R1529" s="1" t="s">
        <v>435</v>
      </c>
      <c r="V1529" s="1" t="s">
        <v>475</v>
      </c>
      <c r="AR1529" s="1" t="str">
        <f t="shared" si="95"/>
        <v>| [ㄅㄟ](ㄅㄟ.md) | [悲](悲.md) |  | bēi | [動]
1.哀傷。唐．李白〈將進酒〉：「君不見高堂明鏡悲白髮，朝如青絲暮成雪。」唐．杜甫〈登高〉詩：「萬里悲秋常作客，百年多病獨登臺。」
2.思念、顧念。《詩經．豳風．東山》：「我東日歸，我心西悲。」《漢書．卷一．高帝紀下》：「謂沛父兄曰：『游子悲故鄉。吾雖都關中，萬歲之後，吾魂魄猶思沛。』」
[名]
1.哀痛。如：「忍悲」、「含悲」、「樂極生悲」。唐．白居易〈新樂府．上陽白髮人〉：「憶昔吞悲別親族，扶入車中不教哭。」
2.佛學中拔除眾生痛苦的行為、心境。如：「慈悲」。
[形]
1.哀傷的。《詩經．豳風．七月》：「女心傷悲，殆及公子同歸。」
2.淒厲的。如：「悲曲」、「悲聲」。唐．杜甫〈自京赴奉先縣詠懷五百字〉詩：「暖客貂鼠裘，悲管逐清瑟。」 |</v>
      </c>
    </row>
    <row r="1530" spans="1:44">
      <c r="A1530" s="1" t="s">
        <v>476</v>
      </c>
      <c r="C1530" s="1">
        <v>1</v>
      </c>
      <c r="D1530" s="1" t="str">
        <f>"00162"</f>
        <v>00162</v>
      </c>
      <c r="E1530" s="1" t="s">
        <v>37</v>
      </c>
      <c r="F1530" s="1">
        <v>19</v>
      </c>
      <c r="G1530" s="1">
        <v>15</v>
      </c>
      <c r="H1530" s="1">
        <v>0</v>
      </c>
      <c r="I1530" s="1" t="s">
        <v>434</v>
      </c>
      <c r="K1530" s="1" t="str">
        <f t="shared" si="92"/>
        <v>ㄅ</v>
      </c>
      <c r="L1530" s="1" t="str">
        <f t="shared" si="93"/>
        <v>ㄟ</v>
      </c>
      <c r="M1530" s="1" t="str">
        <f t="shared" si="94"/>
        <v/>
      </c>
      <c r="P1530" s="1" t="s">
        <v>20</v>
      </c>
      <c r="R1530" s="1" t="s">
        <v>435</v>
      </c>
      <c r="V1530" s="1" t="s">
        <v>477</v>
      </c>
      <c r="AR1530" s="1" t="str">
        <f t="shared" si="95"/>
        <v>| [ㄅㄟ](ㄅㄟ.md) | [藣](藣.md) |  | bēi | [名]
1.一種草。《說文解字．艸部》：「藣，艸也。」
2.旄舞時舞者所執的牛尾，像藣草，故稱為「藣」。《爾雅．釋器》：「旄謂之『藣』。」宋．邢昺．疏：「旄，牛尾，一名藣，舞者所執也。」 |</v>
      </c>
    </row>
    <row r="1531" spans="1:44">
      <c r="A1531" s="1" t="s">
        <v>415</v>
      </c>
      <c r="C1531" s="1">
        <v>1</v>
      </c>
      <c r="D1531" s="1" t="str">
        <f>"00163"</f>
        <v>00163</v>
      </c>
      <c r="E1531" s="1" t="s">
        <v>340</v>
      </c>
      <c r="F1531" s="1">
        <v>21</v>
      </c>
      <c r="G1531" s="1">
        <v>15</v>
      </c>
      <c r="H1531" s="1">
        <v>1</v>
      </c>
      <c r="I1531" s="1" t="s">
        <v>434</v>
      </c>
      <c r="K1531" s="1" t="str">
        <f t="shared" si="92"/>
        <v>ㄅ</v>
      </c>
      <c r="L1531" s="1" t="str">
        <f t="shared" si="93"/>
        <v>ㄟ</v>
      </c>
      <c r="M1531" s="1" t="str">
        <f t="shared" si="94"/>
        <v/>
      </c>
      <c r="P1531" s="1" t="s">
        <v>20</v>
      </c>
      <c r="R1531" s="1" t="s">
        <v>435</v>
      </c>
      <c r="V1531" s="1" t="s">
        <v>478</v>
      </c>
      <c r="W1531" s="1" t="s">
        <v>479</v>
      </c>
      <c r="AR1531" s="1" t="str">
        <f t="shared" si="95"/>
        <v>| [ㄅㄟ](ㄅㄟ.md) | [襬](襬.md) |  | bēi | [名]
裙子的別名。漢．揚雄《方言》卷四：「裙，陳魏之間謂之『帔』，自關而東謂之『襬』。」 |</v>
      </c>
    </row>
    <row r="1532" spans="1:44">
      <c r="A1532" s="1" t="s">
        <v>569</v>
      </c>
      <c r="C1532" s="1">
        <v>1</v>
      </c>
      <c r="D1532" s="1" t="str">
        <f>"00201"</f>
        <v>00201</v>
      </c>
      <c r="E1532" s="1" t="s">
        <v>570</v>
      </c>
      <c r="F1532" s="1">
        <v>2</v>
      </c>
      <c r="G1532" s="1">
        <v>0</v>
      </c>
      <c r="H1532" s="1">
        <v>0</v>
      </c>
      <c r="I1532" s="1" t="s">
        <v>571</v>
      </c>
      <c r="K1532" s="1" t="str">
        <f t="shared" si="92"/>
        <v>ㄅ</v>
      </c>
      <c r="L1532" s="1" t="str">
        <f t="shared" si="93"/>
        <v>ㄠ</v>
      </c>
      <c r="M1532" s="1" t="str">
        <f t="shared" si="94"/>
        <v/>
      </c>
      <c r="P1532" s="1" t="s">
        <v>20</v>
      </c>
      <c r="R1532" s="1" t="s">
        <v>572</v>
      </c>
      <c r="V1532" s="1" t="s">
        <v>573</v>
      </c>
      <c r="AR1532" s="1" t="str">
        <f t="shared" si="95"/>
        <v>| [ㄅㄠ](ㄅㄠ.md) | [勹](勹.md) |  | bāo | [動]
包裹。「包」的本字。《說文解字．勹部》：「勹，裹也，象人曲行，有所包裹。」清．段玉裁．注：「今字『包』行，而『勹』廢矣。」
[名]
二一四部首之一。 |</v>
      </c>
    </row>
    <row r="1533" spans="1:44">
      <c r="A1533" s="1" t="s">
        <v>574</v>
      </c>
      <c r="C1533" s="1">
        <v>1</v>
      </c>
      <c r="D1533" s="1" t="str">
        <f>"00202"</f>
        <v>00202</v>
      </c>
      <c r="E1533" s="1" t="s">
        <v>570</v>
      </c>
      <c r="F1533" s="1">
        <v>5</v>
      </c>
      <c r="G1533" s="1">
        <v>3</v>
      </c>
      <c r="H1533" s="1">
        <v>0</v>
      </c>
      <c r="I1533" s="1" t="s">
        <v>571</v>
      </c>
      <c r="K1533" s="1" t="str">
        <f t="shared" si="92"/>
        <v>ㄅ</v>
      </c>
      <c r="L1533" s="1" t="str">
        <f t="shared" si="93"/>
        <v>ㄠ</v>
      </c>
      <c r="M1533" s="1" t="str">
        <f t="shared" si="94"/>
        <v/>
      </c>
      <c r="P1533" s="1" t="s">
        <v>20</v>
      </c>
      <c r="R1533" s="1" t="s">
        <v>572</v>
      </c>
      <c r="V1533" s="1" t="s">
        <v>575</v>
      </c>
      <c r="AR1533" s="1" t="str">
        <f t="shared" si="95"/>
        <v>| [ㄅㄠ](ㄅㄠ.md) | [包](包.md) |  | bāo | [動]
1.裹紮、容納其中。如：「包裝」、「包容」、「無所不包」。《詩經．召南．野有死麕》：「野有死麕，白茅包之。」
2.圍住。如：「士兵分兩路包過去了。」
3.藏。《漢書．卷九七．外戚傳上．孝武李夫人傳》：「包紅顏而弗明。」顏師古注引晉灼曰：「包，藏也。」
4.保證、擔保。如：「包你滿意」、「包管沒事」。元．鄭廷玉《楚昭公》第一折：「只怕我伯嚭身上，包殺的他尿流屁滾。」
5.負責。如：「包打聽」、「一手包辦」。
6.承攬。如：「承包」、「發包工程」。
7.約定專用。如：「包車」、「包場子」。
[名]
1.裝東西的袋子。如：「皮包」、「書包」、「荷包」、「腰包」。
2.氈製的圓頂帳篷。如：「蒙古包」。
3.物體或身體上鼓起的疙瘩。如：「頭上撞腫了一個包。」
4.一種麵粉做成的食物。如：「麵包」、「包子」。
5.量詞。計算成包的物品的單位。如：「一包糖果」、「十包水泥」。
6.姓。如漢代有包咸，宋代有包拯。 |</v>
      </c>
    </row>
    <row r="1534" spans="1:44">
      <c r="A1534" s="1" t="s">
        <v>576</v>
      </c>
      <c r="C1534" s="1">
        <v>1</v>
      </c>
      <c r="D1534" s="1" t="str">
        <f>"00203"</f>
        <v>00203</v>
      </c>
      <c r="E1534" s="1" t="s">
        <v>241</v>
      </c>
      <c r="F1534" s="1">
        <v>8</v>
      </c>
      <c r="G1534" s="1">
        <v>5</v>
      </c>
      <c r="H1534" s="1">
        <v>0</v>
      </c>
      <c r="I1534" s="1" t="s">
        <v>571</v>
      </c>
      <c r="K1534" s="1" t="str">
        <f t="shared" si="92"/>
        <v>ㄅ</v>
      </c>
      <c r="L1534" s="1" t="str">
        <f t="shared" si="93"/>
        <v>ㄠ</v>
      </c>
      <c r="M1534" s="1" t="str">
        <f t="shared" si="94"/>
        <v/>
      </c>
      <c r="P1534" s="1" t="s">
        <v>20</v>
      </c>
      <c r="R1534" s="1" t="s">
        <v>572</v>
      </c>
      <c r="V1534" s="1" t="s">
        <v>577</v>
      </c>
      <c r="AR1534" s="1" t="str">
        <f t="shared" si="95"/>
        <v>| [ㄅㄠ](ㄅㄠ.md) | [孢](孢.md) |  | bāo | 參見「孢子」、「胞囊孢子」等條。 |</v>
      </c>
    </row>
    <row r="1535" spans="1:44">
      <c r="A1535" s="1" t="s">
        <v>578</v>
      </c>
      <c r="C1535" s="1">
        <v>1</v>
      </c>
      <c r="D1535" s="1" t="str">
        <f>"00204"</f>
        <v>00204</v>
      </c>
      <c r="E1535" s="1" t="s">
        <v>336</v>
      </c>
      <c r="F1535" s="1">
        <v>9</v>
      </c>
      <c r="G1535" s="1">
        <v>5</v>
      </c>
      <c r="H1535" s="1">
        <v>3</v>
      </c>
      <c r="I1535" s="1" t="s">
        <v>571</v>
      </c>
      <c r="K1535" s="1" t="str">
        <f t="shared" si="92"/>
        <v>ㄅ</v>
      </c>
      <c r="L1535" s="1" t="str">
        <f t="shared" si="93"/>
        <v>ㄠ</v>
      </c>
      <c r="M1535" s="1" t="str">
        <f t="shared" si="94"/>
        <v/>
      </c>
      <c r="P1535" s="1" t="s">
        <v>20</v>
      </c>
      <c r="R1535" s="1" t="s">
        <v>572</v>
      </c>
      <c r="V1535" s="1" t="s">
        <v>579</v>
      </c>
      <c r="W1535" s="1" t="s">
        <v>580</v>
      </c>
      <c r="AR1535" s="1" t="str">
        <f t="shared" si="95"/>
        <v>| [ㄅㄠ](ㄅㄠ.md) | [炮](炮.md) |  | bāo | [動]
1.一種烹飪法。在旺火上急炒。用於快炒肉片、肉丁等。如：「炮羊肉」、「炮炒雞丁」。《意林．卷一》引《韓非子》：「熾爐炮肉盡赤，而髮尚繞，臣罪三也。」《金瓶梅詞話》第三四回：「第二道又是四碗嗄飯：一甌兒濾蒸的燒鴨、一甌兒水晶膀蹄、一甌兒白煠豬肉、一甌兒炮炒的腰子。」
2.把東西置於器物上烘乾。如：「將鞋子放在爐臺上炮乾。」 |</v>
      </c>
    </row>
    <row r="1536" spans="1:44">
      <c r="A1536" s="1" t="s">
        <v>581</v>
      </c>
      <c r="C1536" s="1">
        <v>1</v>
      </c>
      <c r="D1536" s="1" t="str">
        <f>"00205"</f>
        <v>00205</v>
      </c>
      <c r="E1536" s="1" t="s">
        <v>139</v>
      </c>
      <c r="F1536" s="1">
        <v>9</v>
      </c>
      <c r="G1536" s="1">
        <v>5</v>
      </c>
      <c r="H1536" s="1">
        <v>3</v>
      </c>
      <c r="I1536" s="1" t="s">
        <v>571</v>
      </c>
      <c r="K1536" s="1" t="str">
        <f t="shared" si="92"/>
        <v>ㄅ</v>
      </c>
      <c r="L1536" s="1" t="str">
        <f t="shared" si="93"/>
        <v>ㄠ</v>
      </c>
      <c r="M1536" s="1" t="str">
        <f t="shared" si="94"/>
        <v/>
      </c>
      <c r="P1536" s="1" t="s">
        <v>20</v>
      </c>
      <c r="R1536" s="1" t="s">
        <v>572</v>
      </c>
      <c r="V1536" s="1" t="s">
        <v>582</v>
      </c>
      <c r="W1536" s="1" t="s">
        <v>583</v>
      </c>
      <c r="AR1536" s="1" t="str">
        <f t="shared" si="95"/>
        <v>| [ㄅㄠ](ㄅㄠ.md) | [枹](枹.md) |  | bāo | 參見「枹木」條。 |</v>
      </c>
    </row>
    <row r="1537" spans="1:44">
      <c r="A1537" s="1" t="s">
        <v>584</v>
      </c>
      <c r="C1537" s="1">
        <v>1</v>
      </c>
      <c r="D1537" s="1" t="str">
        <f>"00206"</f>
        <v>00206</v>
      </c>
      <c r="E1537" s="1" t="s">
        <v>37</v>
      </c>
      <c r="F1537" s="1">
        <v>9</v>
      </c>
      <c r="G1537" s="1">
        <v>5</v>
      </c>
      <c r="H1537" s="1">
        <v>0</v>
      </c>
      <c r="I1537" s="1" t="s">
        <v>571</v>
      </c>
      <c r="K1537" s="1" t="str">
        <f t="shared" si="92"/>
        <v>ㄅ</v>
      </c>
      <c r="L1537" s="1" t="str">
        <f t="shared" si="93"/>
        <v>ㄠ</v>
      </c>
      <c r="M1537" s="1" t="str">
        <f t="shared" si="94"/>
        <v/>
      </c>
      <c r="P1537" s="1" t="s">
        <v>20</v>
      </c>
      <c r="R1537" s="1" t="s">
        <v>572</v>
      </c>
      <c r="V1537" s="1" t="s">
        <v>585</v>
      </c>
      <c r="AR1537" s="1" t="str">
        <f t="shared" si="95"/>
        <v>| [ㄅㄠ](ㄅㄠ.md) | [苞](苞.md) |  | bāo | [名]
1.花或花序基部之退化葉或葉狀結構。如：「含苞待放」。
2.蓆草。可用來編織席子、草鞋等。
[動]
1.將東西包裹起來。通「包」。
2.容納。晉．左思〈魏都賦〉：「巷苞諸公，都護之堂，殿居綺窗。」
3.總攬。三國魏．何晏〈景福殿賦〉：「兼苞博落，不常一象。」
[形]
草木茂盛。如：「竹苞松茂」。 |</v>
      </c>
    </row>
    <row r="1538" spans="1:44">
      <c r="A1538" s="1" t="s">
        <v>586</v>
      </c>
      <c r="C1538" s="1">
        <v>1</v>
      </c>
      <c r="D1538" s="1" t="str">
        <f>"00207"</f>
        <v>00207</v>
      </c>
      <c r="E1538" s="1" t="s">
        <v>68</v>
      </c>
      <c r="F1538" s="1">
        <v>9</v>
      </c>
      <c r="G1538" s="1">
        <v>5</v>
      </c>
      <c r="H1538" s="1">
        <v>0</v>
      </c>
      <c r="I1538" s="1" t="s">
        <v>571</v>
      </c>
      <c r="K1538" s="1" t="str">
        <f t="shared" ref="K1538:K1601" si="96">LEFT(I1538, 1)</f>
        <v>ㄅ</v>
      </c>
      <c r="L1538" s="1" t="str">
        <f t="shared" ref="L1538:L1601" si="97">MID(I1538, 2, 1)</f>
        <v>ㄠ</v>
      </c>
      <c r="M1538" s="1" t="str">
        <f t="shared" ref="M1538:M1601" si="98">MID(I1538, 3, 1)</f>
        <v/>
      </c>
      <c r="P1538" s="1" t="s">
        <v>20</v>
      </c>
      <c r="R1538" s="1" t="s">
        <v>572</v>
      </c>
      <c r="V1538" s="1" t="s">
        <v>587</v>
      </c>
      <c r="AR1538" s="1" t="str">
        <f t="shared" si="95"/>
        <v>| [ㄅㄠ](ㄅㄠ.md) | [胞](胞.md) |  | bāo | [名]
1.胞衣。包裹在胎兒外面的薄膜。《漢書．卷九七．外戚傳下．孝成趙皇后傳》：「宮曰：『善臧我兒胞，丞知是何等兒也！』」唐．顏師古．注：「胞謂胎之衣也。」
2.同父母所生的兄弟姊妹。《文選．東方朔．答客難》：「同胞之徒，無所容居、其故何也？」
3.今稱同國或同民族的人。如：「同胞」。
4.病瘡。《戰國策．楚策四》：「夫癘雖癰腫胞疾，上比前世，未至絞纓射股。下比近代，未至擢筋而餓死也。」 |</v>
      </c>
    </row>
    <row r="1539" spans="1:44">
      <c r="A1539" s="1" t="s">
        <v>588</v>
      </c>
      <c r="C1539" s="1">
        <v>1</v>
      </c>
      <c r="D1539" s="1" t="str">
        <f>"00208"</f>
        <v>00208</v>
      </c>
      <c r="E1539" s="1" t="s">
        <v>96</v>
      </c>
      <c r="F1539" s="1">
        <v>14</v>
      </c>
      <c r="G1539" s="1">
        <v>5</v>
      </c>
      <c r="H1539" s="1">
        <v>2</v>
      </c>
      <c r="I1539" s="1" t="s">
        <v>571</v>
      </c>
      <c r="K1539" s="1" t="str">
        <f t="shared" si="96"/>
        <v>ㄅ</v>
      </c>
      <c r="L1539" s="1" t="str">
        <f t="shared" si="97"/>
        <v>ㄠ</v>
      </c>
      <c r="M1539" s="1" t="str">
        <f t="shared" si="98"/>
        <v/>
      </c>
      <c r="P1539" s="1" t="s">
        <v>20</v>
      </c>
      <c r="R1539" s="1" t="s">
        <v>572</v>
      </c>
      <c r="V1539" s="1" t="s">
        <v>589</v>
      </c>
      <c r="W1539" s="1" t="s">
        <v>590</v>
      </c>
      <c r="AR1539" s="1" t="str">
        <f t="shared" ref="AR1539:AR1602" si="99">"| ["&amp;I1539&amp;"]("&amp;I1539&amp;".md) | ["&amp;A1539&amp;"]("&amp;A1539&amp;".md) | "&amp;" | "&amp;R1539&amp;" | "&amp;V1539&amp;" |"</f>
        <v>| [ㄅㄠ](ㄅㄠ.md) | [鞄](鞄.md) |  | bāo | [名]
軟皮做成的小箱子。如：「提鞄」。 |</v>
      </c>
    </row>
    <row r="1540" spans="1:44">
      <c r="A1540" s="1" t="s">
        <v>591</v>
      </c>
      <c r="C1540" s="1">
        <v>1</v>
      </c>
      <c r="D1540" s="1" t="str">
        <f>"00209"</f>
        <v>00209</v>
      </c>
      <c r="E1540" s="1" t="s">
        <v>592</v>
      </c>
      <c r="F1540" s="1">
        <v>20</v>
      </c>
      <c r="G1540" s="1">
        <v>5</v>
      </c>
      <c r="H1540" s="1">
        <v>1</v>
      </c>
      <c r="I1540" s="1" t="s">
        <v>571</v>
      </c>
      <c r="K1540" s="1" t="str">
        <f t="shared" si="96"/>
        <v>ㄅ</v>
      </c>
      <c r="L1540" s="1" t="str">
        <f t="shared" si="97"/>
        <v>ㄠ</v>
      </c>
      <c r="M1540" s="1" t="str">
        <f t="shared" si="98"/>
        <v/>
      </c>
      <c r="P1540" s="1" t="s">
        <v>388</v>
      </c>
      <c r="R1540" s="1" t="s">
        <v>572</v>
      </c>
      <c r="V1540" s="1" t="s">
        <v>593</v>
      </c>
      <c r="W1540" s="1" t="s">
        <v>594</v>
      </c>
      <c r="AR1540" s="1" t="str">
        <f t="shared" si="99"/>
        <v>| [ㄅㄠ](ㄅㄠ.md) | [齙](齙.md) |  | bāo | [動]
牙齒突露。《玉篇．齒部》：「齙，露齒。」《資治通鑑．卷二六八．後梁紀三．均王乾化三年》：「蜀太子元膺，豭喙齙齒，目視不正。」 |</v>
      </c>
    </row>
    <row r="1541" spans="1:44">
      <c r="A1541" s="1" t="s">
        <v>184</v>
      </c>
      <c r="C1541" s="1">
        <v>1</v>
      </c>
      <c r="D1541" s="1" t="str">
        <f>"00210"</f>
        <v>00210</v>
      </c>
      <c r="E1541" s="1" t="s">
        <v>185</v>
      </c>
      <c r="F1541" s="1">
        <v>10</v>
      </c>
      <c r="G1541" s="1">
        <v>8</v>
      </c>
      <c r="H1541" s="1">
        <v>2</v>
      </c>
      <c r="I1541" s="1" t="s">
        <v>571</v>
      </c>
      <c r="K1541" s="1" t="str">
        <f t="shared" si="96"/>
        <v>ㄅ</v>
      </c>
      <c r="L1541" s="1" t="str">
        <f t="shared" si="97"/>
        <v>ㄠ</v>
      </c>
      <c r="M1541" s="1" t="str">
        <f t="shared" si="98"/>
        <v/>
      </c>
      <c r="P1541" s="1" t="s">
        <v>388</v>
      </c>
      <c r="R1541" s="1" t="s">
        <v>572</v>
      </c>
      <c r="V1541" s="1" t="s">
        <v>407</v>
      </c>
      <c r="W1541" s="1" t="s">
        <v>595</v>
      </c>
      <c r="AR1541" s="1" t="str">
        <f t="shared" si="99"/>
        <v>| [ㄅㄠ](ㄅㄠ.md) | [剝](剝.md) |  | bāo | (一)之語音。 |</v>
      </c>
    </row>
    <row r="1542" spans="1:44">
      <c r="A1542" s="1" t="s">
        <v>596</v>
      </c>
      <c r="C1542" s="1">
        <v>1</v>
      </c>
      <c r="D1542" s="1" t="str">
        <f>"00211"</f>
        <v>00211</v>
      </c>
      <c r="E1542" s="1" t="s">
        <v>336</v>
      </c>
      <c r="F1542" s="1">
        <v>13</v>
      </c>
      <c r="G1542" s="1">
        <v>9</v>
      </c>
      <c r="H1542" s="1">
        <v>0</v>
      </c>
      <c r="I1542" s="1" t="s">
        <v>571</v>
      </c>
      <c r="K1542" s="1" t="str">
        <f t="shared" si="96"/>
        <v>ㄅ</v>
      </c>
      <c r="L1542" s="1" t="str">
        <f t="shared" si="97"/>
        <v>ㄠ</v>
      </c>
      <c r="M1542" s="1" t="str">
        <f t="shared" si="98"/>
        <v/>
      </c>
      <c r="P1542" s="1" t="s">
        <v>20</v>
      </c>
      <c r="R1542" s="1" t="s">
        <v>572</v>
      </c>
      <c r="V1542" s="1" t="s">
        <v>597</v>
      </c>
      <c r="AR1542" s="1" t="str">
        <f t="shared" si="99"/>
        <v>| [ㄅㄠ](ㄅㄠ.md) | [煲](煲.md) |  | bāo | [動]
用慢火熬煮食物。如：「煲粥」、「煲湯」、「雞煲飯」。 |</v>
      </c>
    </row>
    <row r="1543" spans="1:44">
      <c r="A1543" s="1" t="s">
        <v>598</v>
      </c>
      <c r="C1543" s="1">
        <v>1</v>
      </c>
      <c r="D1543" s="1" t="str">
        <f>"00212"</f>
        <v>00212</v>
      </c>
      <c r="E1543" s="1" t="s">
        <v>340</v>
      </c>
      <c r="F1543" s="1">
        <v>15</v>
      </c>
      <c r="G1543" s="1">
        <v>9</v>
      </c>
      <c r="H1543" s="1">
        <v>0</v>
      </c>
      <c r="I1543" s="1" t="s">
        <v>571</v>
      </c>
      <c r="K1543" s="1" t="str">
        <f t="shared" si="96"/>
        <v>ㄅ</v>
      </c>
      <c r="L1543" s="1" t="str">
        <f t="shared" si="97"/>
        <v>ㄠ</v>
      </c>
      <c r="M1543" s="1" t="str">
        <f t="shared" si="98"/>
        <v/>
      </c>
      <c r="P1543" s="1" t="s">
        <v>20</v>
      </c>
      <c r="R1543" s="1" t="s">
        <v>572</v>
      </c>
      <c r="V1543" s="1" t="s">
        <v>599</v>
      </c>
      <c r="AR1543" s="1" t="str">
        <f t="shared" si="99"/>
        <v>| [ㄅㄠ](ㄅㄠ.md) | [褒](褒.md) |  | bāo | [動]
1.穿著寬大的衣服。《說文解字．衣部》：「褒，衣博裾。」
2.稱揚、讚許。與「貶」相對而言。《公羊傳．隱公元年》：「與公盟者眾矣，曷為獨褒乎此？」南朝梁．蕭統〈文選序〉：「頌者所以游揚德業，褒讚成功。」
[名]
1.獎賞。《新唐書．卷一六二．呂元膺傳》：「請明枉直，以顯褒懲。」
2.國名。周代時所建，故地在今大陸地區陝西省褒城縣東南。也稱為「有褒」。
[形]
大。《淮南子．主術》：「一人被之而不褒，萬人蒙之而不褊。」《漢書．卷八三．朱博傳》：「官屬多褒衣大袑，不中節度，自今掾史衣皆令去地三寸。」 |</v>
      </c>
    </row>
    <row r="1544" spans="1:44">
      <c r="A1544" s="1" t="s">
        <v>662</v>
      </c>
      <c r="C1544" s="1">
        <v>1</v>
      </c>
      <c r="D1544" s="1" t="str">
        <f>"00238"</f>
        <v>00238</v>
      </c>
      <c r="E1544" s="1" t="s">
        <v>24</v>
      </c>
      <c r="F1544" s="1">
        <v>7</v>
      </c>
      <c r="G1544" s="1">
        <v>4</v>
      </c>
      <c r="H1544" s="1">
        <v>1</v>
      </c>
      <c r="I1544" s="1" t="s">
        <v>663</v>
      </c>
      <c r="K1544" s="1" t="str">
        <f t="shared" si="96"/>
        <v>ㄅ</v>
      </c>
      <c r="L1544" s="1" t="str">
        <f t="shared" si="97"/>
        <v>ㄢ</v>
      </c>
      <c r="M1544" s="1" t="str">
        <f t="shared" si="98"/>
        <v/>
      </c>
      <c r="P1544" s="1" t="s">
        <v>20</v>
      </c>
      <c r="R1544" s="1" t="s">
        <v>664</v>
      </c>
      <c r="V1544" s="1" t="s">
        <v>665</v>
      </c>
      <c r="W1544" s="1" t="s">
        <v>666</v>
      </c>
      <c r="AR1544" s="1" t="str">
        <f t="shared" si="99"/>
        <v>| [ㄅㄢ](ㄅㄢ.md) | [扳](扳.md) |  | bān | [動]
1.向某一方向拉。如：「向上扳開」。
2.將物體反轉過來。《紅樓夢》第二六回：「寶玉纔走上來，要扳他的身子，只見黛玉的奶娘並兩個婆子卻跟了進來，說：『妹妹睡覺呢，等醒了再請來。』」
3.挽回頹勢。如：「將比數扳平」。 |</v>
      </c>
    </row>
    <row r="1545" spans="1:44">
      <c r="A1545" s="1" t="s">
        <v>667</v>
      </c>
      <c r="C1545" s="1">
        <v>1</v>
      </c>
      <c r="D1545" s="1" t="str">
        <f>"00239"</f>
        <v>00239</v>
      </c>
      <c r="E1545" s="1" t="s">
        <v>142</v>
      </c>
      <c r="F1545" s="1">
        <v>10</v>
      </c>
      <c r="G1545" s="1">
        <v>6</v>
      </c>
      <c r="H1545" s="1">
        <v>0</v>
      </c>
      <c r="I1545" s="1" t="s">
        <v>663</v>
      </c>
      <c r="K1545" s="1" t="str">
        <f t="shared" si="96"/>
        <v>ㄅ</v>
      </c>
      <c r="L1545" s="1" t="str">
        <f t="shared" si="97"/>
        <v>ㄢ</v>
      </c>
      <c r="M1545" s="1" t="str">
        <f t="shared" si="98"/>
        <v/>
      </c>
      <c r="P1545" s="1" t="s">
        <v>20</v>
      </c>
      <c r="R1545" s="1" t="s">
        <v>664</v>
      </c>
      <c r="V1545" s="1" t="s">
        <v>668</v>
      </c>
      <c r="AR1545" s="1" t="str">
        <f t="shared" si="99"/>
        <v>| [ㄅㄢ](ㄅㄢ.md) | [班](班.md) |  | bān | [動]
1.古代將玉質的信物中分為二，雙方各執其一以為信。《說文解字．玨部》：「班，分端玉。」《書經．舜典》：「既月乃日，覲四岳群牧，班瑞于群后。」
2.分開、分別。參見「班馬」條。
3.分予、贈給。《後漢書．卷二四．馬援傳》：「（援）乃散盡（貨殖財產）以班昆弟、故舊，身衣羊裘、皮褲。」
4.頒布。《漢書．卷九九．王莽傳》中：「秋，遣五威將王奇等十二人，班符命於天下。」南朝梁．劉勰《文心雕龍．史傳》：「自周命維新，姬公定法，紬三正以班歷，貫四時以聯事。」
5.回、還。如：「班師回朝」。南朝宋．劉義慶《世說新語．德行》：「遂班軍而回還，一郡並獲全。」
6.相等、等同。《孟子．公孫丑上》：「伯夷、伊尹於孔子，若是班乎？」漢．趙岐．注：「班，齊等之貌也。」
[名]
1.工作或學習人員的分組組別。如：「甲班」、「初級班」、「才藝班」、「進修班」。
2.行業中的小團體。如：「戲班」。
3.軍隊中編制的單位。屬於排，通常由十人組成。
4.行列、行次。如：「排班」。《文選．張衡．東京賦》：「然後百辟乃入，司儀辨等，尊卑以班。」三國吳．薛綜．注：「班，位次也。謂尊卑有等差也。」
5.按時間分成的工作段落。如：「上班」、「值班」、「加班」、「三班制」。
6.量詞：(1)計算人群的單位。如：「一班人馬」。(2)計算交通工具定時開動的單位。如：「這家航空公司每週有三班飛機飛往歐洲。」(3)計算班級的單位。如：「我們學校有二十五班學生。」(4)計算工作時段的單位。如：「這星期加了三班工作。」
7.姓。如漢代有班彪、班超、班昭。
[形]
定時開動的。如：「班機」、「班車」。清．徐珂《清稗類鈔．舟車類．班船》：「江蘇之稱航船，曰：『班船』。喻其往來有定，更番為代也。」 |</v>
      </c>
    </row>
    <row r="1546" spans="1:44">
      <c r="A1546" s="1" t="s">
        <v>669</v>
      </c>
      <c r="C1546" s="1">
        <v>1</v>
      </c>
      <c r="D1546" s="1" t="str">
        <f>"00240"</f>
        <v>00240</v>
      </c>
      <c r="E1546" s="1" t="s">
        <v>670</v>
      </c>
      <c r="F1546" s="1">
        <v>12</v>
      </c>
      <c r="G1546" s="1">
        <v>8</v>
      </c>
      <c r="H1546" s="1">
        <v>0</v>
      </c>
      <c r="I1546" s="1" t="s">
        <v>663</v>
      </c>
      <c r="K1546" s="1" t="str">
        <f t="shared" si="96"/>
        <v>ㄅ</v>
      </c>
      <c r="L1546" s="1" t="str">
        <f t="shared" si="97"/>
        <v>ㄢ</v>
      </c>
      <c r="M1546" s="1" t="str">
        <f t="shared" si="98"/>
        <v/>
      </c>
      <c r="P1546" s="1" t="s">
        <v>20</v>
      </c>
      <c r="R1546" s="1" t="s">
        <v>664</v>
      </c>
      <c r="V1546" s="1" t="s">
        <v>671</v>
      </c>
      <c r="AR1546" s="1" t="str">
        <f t="shared" si="99"/>
        <v>| [ㄅㄢ](ㄅㄢ.md) | [斑](斑.md) |  | bān | [名]
1.雜色的點或花紋。《說文解字．文部》：「辬，駁文也。」清．段玉裁．注：「斑者，辬之俗。今乃斑行而辬廢矣。」如：「白斑」、「紅斑」。唐．宋之問〈晚泊湘江〉詩：「唯餘望鄉淚，更染竹成斑。」
2.痕跡。元．錢惟善〈和季文山齋早春〉詩：「落梅風細小窗寒，石上餘香點點斑。」
3.一小部分。如：「可見一斑」。
[形]
1.灰白。顏色雜而不純。如：「斑白」。唐．韋應物〈淮上喜會梁川故人〉詩：「歡笑情如舊，蕭疏鬢已斑。」
2.雜亂。《楚辭．屈原．離騷》：「紛總總其離合兮，斑陸離其上下。」漢．王逸．注：「斑，亂貌。」 |</v>
      </c>
    </row>
    <row r="1547" spans="1:44">
      <c r="A1547" s="1" t="s">
        <v>180</v>
      </c>
      <c r="C1547" s="1">
        <v>1</v>
      </c>
      <c r="D1547" s="1" t="str">
        <f>"00241"</f>
        <v>00241</v>
      </c>
      <c r="E1547" s="1" t="s">
        <v>181</v>
      </c>
      <c r="F1547" s="1">
        <v>10</v>
      </c>
      <c r="G1547" s="1">
        <v>4</v>
      </c>
      <c r="H1547" s="1">
        <v>1</v>
      </c>
      <c r="I1547" s="1" t="s">
        <v>663</v>
      </c>
      <c r="K1547" s="1" t="str">
        <f t="shared" si="96"/>
        <v>ㄅ</v>
      </c>
      <c r="L1547" s="1" t="str">
        <f t="shared" si="97"/>
        <v>ㄢ</v>
      </c>
      <c r="M1547" s="1" t="str">
        <f t="shared" si="98"/>
        <v/>
      </c>
      <c r="P1547" s="1" t="s">
        <v>20</v>
      </c>
      <c r="R1547" s="1" t="s">
        <v>664</v>
      </c>
      <c r="V1547" s="1" t="s">
        <v>672</v>
      </c>
      <c r="W1547" s="1" t="s">
        <v>673</v>
      </c>
      <c r="AR1547" s="1" t="str">
        <f t="shared" si="99"/>
        <v>| [ㄅㄢ](ㄅㄢ.md) | [般](般.md) |  | bān | [名]
1.樣、種類。如：「那般」、「萬般無奈」、「百般勸解」、「如此這般」。元．關漢卿《救風塵》第一折：「無般不曉，無般不會。」
2.人名。少皞之子。《山海經．海內經》：「少皞生般，般是始為弓矢。」
[動]
還、返回。通「班」。參見「般師」條。
[形]
同樣的。如：「兄弟般的友誼」、「姊妹般的感情」。 |</v>
      </c>
    </row>
    <row r="1548" spans="1:44">
      <c r="A1548" s="1" t="s">
        <v>674</v>
      </c>
      <c r="C1548" s="1">
        <v>1</v>
      </c>
      <c r="D1548" s="1" t="str">
        <f>"00242"</f>
        <v>00242</v>
      </c>
      <c r="E1548" s="1" t="s">
        <v>24</v>
      </c>
      <c r="F1548" s="1">
        <v>13</v>
      </c>
      <c r="G1548" s="1">
        <v>10</v>
      </c>
      <c r="H1548" s="1">
        <v>0</v>
      </c>
      <c r="I1548" s="1" t="s">
        <v>663</v>
      </c>
      <c r="K1548" s="1" t="str">
        <f t="shared" si="96"/>
        <v>ㄅ</v>
      </c>
      <c r="L1548" s="1" t="str">
        <f t="shared" si="97"/>
        <v>ㄢ</v>
      </c>
      <c r="M1548" s="1" t="str">
        <f t="shared" si="98"/>
        <v/>
      </c>
      <c r="P1548" s="1" t="s">
        <v>20</v>
      </c>
      <c r="R1548" s="1" t="s">
        <v>664</v>
      </c>
      <c r="V1548" s="1" t="s">
        <v>675</v>
      </c>
      <c r="AR1548" s="1" t="str">
        <f t="shared" si="99"/>
        <v>| [ㄅㄢ](ㄅㄢ.md) | [搬](搬.md) |  | bān | [動]
1.使出力氣移動較笨重或較大物體的位置。如：「搬動」、「搬移」。
2.遷移。如：「搬家」、「你家搬到那裡去了？」
3.表演、扮演。如：「搬演」。《永樂大典戲文三種．張協狀元．第一出》：「狀元張協傳，前回曾演，汝輩搬成。」
4.挑撥。如：「搬弄是非」。元．狄君厚《介子推》第二折：「送的個前家兒惹罪遭殃，搬得個親夫主出乖弄醜。」 |</v>
      </c>
    </row>
    <row r="1549" spans="1:44">
      <c r="A1549" s="1" t="s">
        <v>676</v>
      </c>
      <c r="C1549" s="1">
        <v>1</v>
      </c>
      <c r="D1549" s="1" t="str">
        <f>"00243"</f>
        <v>00243</v>
      </c>
      <c r="E1549" s="1" t="s">
        <v>40</v>
      </c>
      <c r="F1549" s="1">
        <v>15</v>
      </c>
      <c r="G1549" s="1">
        <v>10</v>
      </c>
      <c r="H1549" s="1">
        <v>0</v>
      </c>
      <c r="I1549" s="1" t="s">
        <v>663</v>
      </c>
      <c r="K1549" s="1" t="str">
        <f t="shared" si="96"/>
        <v>ㄅ</v>
      </c>
      <c r="L1549" s="1" t="str">
        <f t="shared" si="97"/>
        <v>ㄢ</v>
      </c>
      <c r="M1549" s="1" t="str">
        <f t="shared" si="98"/>
        <v/>
      </c>
      <c r="P1549" s="1" t="s">
        <v>20</v>
      </c>
      <c r="R1549" s="1" t="s">
        <v>664</v>
      </c>
      <c r="V1549" s="1" t="s">
        <v>677</v>
      </c>
      <c r="AR1549" s="1" t="str">
        <f t="shared" si="99"/>
        <v>| [ㄅㄢ](ㄅㄢ.md) | [瘢](瘢.md) |  | bān | [名]
1.瘡痕、疤痕。《漢書．卷八．宣帝紀》「刑者不可息」句下顏師古注引李斐曰：「若黥劓者，雖欲改過，其創瘢不可復滅也。」漢．蔡琰〈胡笳十八拍〉：「塞上黃蒿兮枝枯葉乾，沙場白骨兮刀痕箭瘢。」
2.皮膚上的斑點。如：「雀瘢」。也作「斑」。
3.過失、罪惡。《新唐書．卷九七．魏徵傳》：「好則鑽皮出羽，惡則洗垢索瘢。」 |</v>
      </c>
    </row>
    <row r="1550" spans="1:44">
      <c r="A1550" s="1" t="s">
        <v>678</v>
      </c>
      <c r="C1550" s="1">
        <v>1</v>
      </c>
      <c r="D1550" s="1" t="str">
        <f>"00244"</f>
        <v>00244</v>
      </c>
      <c r="E1550" s="1" t="s">
        <v>679</v>
      </c>
      <c r="F1550" s="1">
        <v>16</v>
      </c>
      <c r="G1550" s="1">
        <v>10</v>
      </c>
      <c r="H1550" s="1">
        <v>0</v>
      </c>
      <c r="I1550" s="1" t="s">
        <v>663</v>
      </c>
      <c r="K1550" s="1" t="str">
        <f t="shared" si="96"/>
        <v>ㄅ</v>
      </c>
      <c r="L1550" s="1" t="str">
        <f t="shared" si="97"/>
        <v>ㄢ</v>
      </c>
      <c r="M1550" s="1" t="str">
        <f t="shared" si="98"/>
        <v/>
      </c>
      <c r="P1550" s="1" t="s">
        <v>20</v>
      </c>
      <c r="R1550" s="1" t="s">
        <v>664</v>
      </c>
      <c r="V1550" s="1" t="s">
        <v>680</v>
      </c>
      <c r="AR1550" s="1" t="str">
        <f t="shared" si="99"/>
        <v>| [ㄅㄢ](ㄅㄢ.md) | [螌](螌.md) |  | bān | 參見「螌蝥」條。 |</v>
      </c>
    </row>
    <row r="1551" spans="1:44">
      <c r="A1551" s="1" t="s">
        <v>681</v>
      </c>
      <c r="C1551" s="1">
        <v>1</v>
      </c>
      <c r="D1551" s="1" t="str">
        <f>"00245"</f>
        <v>00245</v>
      </c>
      <c r="E1551" s="1" t="s">
        <v>670</v>
      </c>
      <c r="F1551" s="1">
        <v>13</v>
      </c>
      <c r="G1551" s="1">
        <v>9</v>
      </c>
      <c r="H1551" s="1">
        <v>0</v>
      </c>
      <c r="I1551" s="1" t="s">
        <v>663</v>
      </c>
      <c r="K1551" s="1" t="str">
        <f t="shared" si="96"/>
        <v>ㄅ</v>
      </c>
      <c r="L1551" s="1" t="str">
        <f t="shared" si="97"/>
        <v>ㄢ</v>
      </c>
      <c r="M1551" s="1" t="str">
        <f t="shared" si="98"/>
        <v/>
      </c>
      <c r="P1551" s="1" t="s">
        <v>20</v>
      </c>
      <c r="R1551" s="1" t="s">
        <v>664</v>
      </c>
      <c r="V1551" s="1" t="s">
        <v>682</v>
      </c>
      <c r="AR1551" s="1" t="str">
        <f t="shared" si="99"/>
        <v>| [ㄅㄢ](ㄅㄢ.md) | [斒](斒.md) |  | bān | 參見「斒斕」條。 |</v>
      </c>
    </row>
    <row r="1552" spans="1:44">
      <c r="A1552" s="1" t="s">
        <v>683</v>
      </c>
      <c r="C1552" s="1">
        <v>1</v>
      </c>
      <c r="D1552" s="1" t="str">
        <f>"00246"</f>
        <v>00246</v>
      </c>
      <c r="E1552" s="1" t="s">
        <v>684</v>
      </c>
      <c r="F1552" s="1">
        <v>13</v>
      </c>
      <c r="G1552" s="1">
        <v>4</v>
      </c>
      <c r="H1552" s="1">
        <v>0</v>
      </c>
      <c r="I1552" s="1" t="s">
        <v>663</v>
      </c>
      <c r="K1552" s="1" t="str">
        <f t="shared" si="96"/>
        <v>ㄅ</v>
      </c>
      <c r="L1552" s="1" t="str">
        <f t="shared" si="97"/>
        <v>ㄢ</v>
      </c>
      <c r="M1552" s="1" t="str">
        <f t="shared" si="98"/>
        <v/>
      </c>
      <c r="P1552" s="1" t="s">
        <v>20</v>
      </c>
      <c r="R1552" s="1" t="s">
        <v>664</v>
      </c>
      <c r="V1552" s="1" t="s">
        <v>685</v>
      </c>
      <c r="AR1552" s="1" t="str">
        <f t="shared" si="99"/>
        <v>| [ㄅㄢ](ㄅㄢ.md) | [頒](頒.md) |  | bān | [動]
1.賜給、發給。如：「頒獎」、「頒發」。《文選．潘岳．馬汧督誄》：「司勛頒爵，亦兆後昆。」《宋史．卷三六五．岳飛傳》：「凡有頒犒，均給軍吏，秋毫不私。」
2.宣布、公布。如：「頒布」、「部頒課程標準」。《禮記．明堂位》：「頒度量而天下大服。」《文選．張衡．東京賦》：「乃營三宮，布教頒常。」
[形]
黑白相間。通「斑」。如：「頭髮頒白」。 |</v>
      </c>
    </row>
    <row r="1553" spans="1:44">
      <c r="A1553" s="1" t="s">
        <v>736</v>
      </c>
      <c r="C1553" s="1">
        <v>1</v>
      </c>
      <c r="D1553" s="1" t="str">
        <f>"00266"</f>
        <v>00266</v>
      </c>
      <c r="E1553" s="1" t="s">
        <v>563</v>
      </c>
      <c r="F1553" s="1">
        <v>8</v>
      </c>
      <c r="G1553" s="1">
        <v>5</v>
      </c>
      <c r="H1553" s="1">
        <v>1</v>
      </c>
      <c r="I1553" s="1" t="s">
        <v>737</v>
      </c>
      <c r="K1553" s="1" t="str">
        <f t="shared" si="96"/>
        <v>ㄅ</v>
      </c>
      <c r="L1553" s="1" t="str">
        <f t="shared" si="97"/>
        <v>ㄣ</v>
      </c>
      <c r="M1553" s="1" t="str">
        <f t="shared" si="98"/>
        <v/>
      </c>
      <c r="P1553" s="1" t="s">
        <v>20</v>
      </c>
      <c r="R1553" s="1" t="s">
        <v>738</v>
      </c>
      <c r="V1553" s="1" t="s">
        <v>739</v>
      </c>
      <c r="W1553" s="1" t="s">
        <v>740</v>
      </c>
      <c r="AR1553" s="1" t="str">
        <f t="shared" si="99"/>
        <v>| [ㄅㄣ](ㄅㄣ.md) | [奔](奔.md) |  | bēn | [動]
1.急走。如：「狂奔」、「奔跑」、「奔馳」。《詩經．周頌．清廟》：「駿奔走在廟，不顯不承，無射於人斯。」
2.趕赴、赴投。如：「疲於奔命」。《左傳．襄公十五年》：「鄭公孫夏，如晉奔喪，子蟜送葬。」
3.逃走、逃亡。如：「林冲夜奔」。《左傳．隱公元年》：「五月辛丑，大叔出奔共。」三國魏．李康〈運命論〉：「卒散於陣，民奔于邑，城池無藩籬之固，山川無溝阜之勢。」
4.私自出走與相戀者結合。《詩經．王風．大車》：「豈不爾思，畏子不奔。」《史記．卷一一七．司馬相如列傳》：「文君夜亡奔相如，相如乃與馳歸成都。」
[形]
快走的、急馳的。如：「奔瀑」。漢．枚乘〈七發〉：「誠奮厥武，如振如怒，沌沌渾渾，狀如奔馬。」唐．魏徵〈論時政疏〉：「載舟覆舟，所宜深慎。奔車朽索，其可忽乎？」
[名]
姓。如五代時後晉有奔洪進。 |</v>
      </c>
    </row>
    <row r="1554" spans="1:44">
      <c r="A1554" s="1" t="s">
        <v>741</v>
      </c>
      <c r="C1554" s="1">
        <v>1</v>
      </c>
      <c r="D1554" s="1" t="str">
        <f>"00267"</f>
        <v>00267</v>
      </c>
      <c r="E1554" s="1" t="s">
        <v>55</v>
      </c>
      <c r="F1554" s="1">
        <v>16</v>
      </c>
      <c r="G1554" s="1">
        <v>8</v>
      </c>
      <c r="H1554" s="1">
        <v>0</v>
      </c>
      <c r="I1554" s="1" t="s">
        <v>737</v>
      </c>
      <c r="K1554" s="1" t="str">
        <f t="shared" si="96"/>
        <v>ㄅ</v>
      </c>
      <c r="L1554" s="1" t="str">
        <f t="shared" si="97"/>
        <v>ㄣ</v>
      </c>
      <c r="M1554" s="1" t="str">
        <f t="shared" si="98"/>
        <v/>
      </c>
      <c r="P1554" s="1" t="s">
        <v>20</v>
      </c>
      <c r="R1554" s="1" t="s">
        <v>738</v>
      </c>
      <c r="V1554" s="1" t="s">
        <v>742</v>
      </c>
      <c r="AR1554" s="1" t="str">
        <f t="shared" si="99"/>
        <v>| [ㄅㄣ](ㄅㄣ.md) | [錛](錛.md) |  | bēn | [名]
一種向內砍刺、削平木頭的工具。柄長，體呈單斜面或雙斜面，頂端有斧刃。青銅錛始見殷商，春秋戰國時數量增多，有不少流傳至後代。也稱為「錛子」、「錛鋤」。
[動]
用錛子砍削。如：「把這塊大木頭錛開。」 |</v>
      </c>
    </row>
    <row r="1555" spans="1:44">
      <c r="A1555" s="1" t="s">
        <v>743</v>
      </c>
      <c r="C1555" s="1">
        <v>1</v>
      </c>
      <c r="D1555" s="1" t="str">
        <f>"00268"</f>
        <v>00268</v>
      </c>
      <c r="E1555" s="1" t="s">
        <v>505</v>
      </c>
      <c r="F1555" s="1">
        <v>12</v>
      </c>
      <c r="G1555" s="1">
        <v>5</v>
      </c>
      <c r="H1555" s="1">
        <v>2</v>
      </c>
      <c r="I1555" s="1" t="s">
        <v>737</v>
      </c>
      <c r="K1555" s="1" t="str">
        <f t="shared" si="96"/>
        <v>ㄅ</v>
      </c>
      <c r="L1555" s="1" t="str">
        <f t="shared" si="97"/>
        <v>ㄣ</v>
      </c>
      <c r="M1555" s="1" t="str">
        <f t="shared" si="98"/>
        <v/>
      </c>
      <c r="P1555" s="1" t="s">
        <v>20</v>
      </c>
      <c r="R1555" s="1" t="s">
        <v>738</v>
      </c>
      <c r="V1555" s="1" t="s">
        <v>744</v>
      </c>
      <c r="W1555" s="1" t="s">
        <v>745</v>
      </c>
      <c r="AR1555" s="1" t="str">
        <f t="shared" si="99"/>
        <v>| [ㄅㄣ](ㄅㄣ.md) | [賁](賁.md) |  | bēn | [形]
富於勇力而行走迅速。《廣韻．平聲．魂韻》：「賁，勇也。」《墨子．備梯》：「令賁士、主將皆聽城鼓之音而出。」
[名]
1.參見「賁門」條。
2.姓。如春秋時魯國有賁浦。 |</v>
      </c>
    </row>
    <row r="1556" spans="1:44">
      <c r="A1556" s="1" t="s">
        <v>765</v>
      </c>
      <c r="C1556" s="1">
        <v>1</v>
      </c>
      <c r="D1556" s="1" t="str">
        <f>"00276"</f>
        <v>00276</v>
      </c>
      <c r="E1556" s="1" t="s">
        <v>256</v>
      </c>
      <c r="F1556" s="1">
        <v>7</v>
      </c>
      <c r="G1556" s="1">
        <v>4</v>
      </c>
      <c r="H1556" s="1">
        <v>0</v>
      </c>
      <c r="I1556" s="1" t="s">
        <v>766</v>
      </c>
      <c r="K1556" s="1" t="str">
        <f t="shared" si="96"/>
        <v>ㄅ</v>
      </c>
      <c r="L1556" s="1" t="str">
        <f t="shared" si="97"/>
        <v>ㄤ</v>
      </c>
      <c r="M1556" s="1" t="str">
        <f t="shared" si="98"/>
        <v/>
      </c>
      <c r="P1556" s="1" t="s">
        <v>20</v>
      </c>
      <c r="R1556" s="1" t="s">
        <v>767</v>
      </c>
      <c r="V1556" s="1" t="s">
        <v>768</v>
      </c>
      <c r="AR1556" s="1" t="str">
        <f t="shared" si="99"/>
        <v>| [ㄅㄤ](ㄅㄤ.md) | [邦](邦.md) |  | bāng | [名]
1.古時諸侯的封土，大的稱為「邦」，小的稱為「國」。《周禮．天官．大宰》：「大宰之職，掌建邦之六典，以佐王治邦國。」漢．鄭玄．注：「大曰邦，小曰國，邦之所居亦曰國。」
2.泛稱國家。如：「友邦」、「鄰邦」、「聯邦」、「盟邦」、「多難興邦」。《文選．丘遲．與陳伯之書》：「故知霜露所均，不育異類；姬漢舊邦，無所雜種。」 |</v>
      </c>
    </row>
    <row r="1557" spans="1:44">
      <c r="A1557" s="1" t="s">
        <v>769</v>
      </c>
      <c r="C1557" s="1">
        <v>1</v>
      </c>
      <c r="D1557" s="1" t="str">
        <f>"00277"</f>
        <v>00277</v>
      </c>
      <c r="E1557" s="1" t="s">
        <v>139</v>
      </c>
      <c r="F1557" s="1">
        <v>11</v>
      </c>
      <c r="G1557" s="1">
        <v>7</v>
      </c>
      <c r="H1557" s="1">
        <v>0</v>
      </c>
      <c r="I1557" s="1" t="s">
        <v>766</v>
      </c>
      <c r="K1557" s="1" t="str">
        <f t="shared" si="96"/>
        <v>ㄅ</v>
      </c>
      <c r="L1557" s="1" t="str">
        <f t="shared" si="97"/>
        <v>ㄤ</v>
      </c>
      <c r="M1557" s="1" t="str">
        <f t="shared" si="98"/>
        <v/>
      </c>
      <c r="P1557" s="1" t="s">
        <v>20</v>
      </c>
      <c r="R1557" s="1" t="s">
        <v>767</v>
      </c>
      <c r="V1557" s="1" t="s">
        <v>770</v>
      </c>
      <c r="AR1557" s="1" t="str">
        <f t="shared" si="99"/>
        <v>| [ㄅㄤ](ㄅㄤ.md) | [梆](梆.md) |  | bāng | [名]
1.巡更或號召群眾時，用來敲擊的器具。以竹、木製成。如：「木梆」、「竹梆」。也稱為「梆子」。
2.參見「梆子」條。 |</v>
      </c>
    </row>
    <row r="1558" spans="1:44">
      <c r="A1558" s="1" t="s">
        <v>771</v>
      </c>
      <c r="C1558" s="1">
        <v>1</v>
      </c>
      <c r="D1558" s="1" t="str">
        <f>"00278"</f>
        <v>00278</v>
      </c>
      <c r="E1558" s="1" t="s">
        <v>114</v>
      </c>
      <c r="F1558" s="1">
        <v>12</v>
      </c>
      <c r="G1558" s="1">
        <v>10</v>
      </c>
      <c r="H1558" s="1">
        <v>3</v>
      </c>
      <c r="I1558" s="1" t="s">
        <v>766</v>
      </c>
      <c r="K1558" s="1" t="str">
        <f t="shared" si="96"/>
        <v>ㄅ</v>
      </c>
      <c r="L1558" s="1" t="str">
        <f t="shared" si="97"/>
        <v>ㄤ</v>
      </c>
      <c r="M1558" s="1" t="str">
        <f t="shared" si="98"/>
        <v/>
      </c>
      <c r="P1558" s="1" t="s">
        <v>20</v>
      </c>
      <c r="R1558" s="1" t="s">
        <v>767</v>
      </c>
      <c r="V1558" s="1" t="s">
        <v>772</v>
      </c>
      <c r="W1558" s="1" t="s">
        <v>773</v>
      </c>
      <c r="AR1558" s="1" t="str">
        <f t="shared" si="99"/>
        <v>| [ㄅㄤ](ㄅㄤ.md) | [傍](傍.md) |  | bāng | [動]
臨近。如：「傍午」、「傍晚」。 |</v>
      </c>
    </row>
    <row r="1559" spans="1:44">
      <c r="A1559" s="1" t="s">
        <v>774</v>
      </c>
      <c r="C1559" s="1">
        <v>1</v>
      </c>
      <c r="D1559" s="1" t="str">
        <f>"00279"</f>
        <v>00279</v>
      </c>
      <c r="E1559" s="1" t="s">
        <v>222</v>
      </c>
      <c r="F1559" s="1">
        <v>17</v>
      </c>
      <c r="G1559" s="1">
        <v>14</v>
      </c>
      <c r="H1559" s="1">
        <v>0</v>
      </c>
      <c r="I1559" s="1" t="s">
        <v>766</v>
      </c>
      <c r="K1559" s="1" t="str">
        <f t="shared" si="96"/>
        <v>ㄅ</v>
      </c>
      <c r="L1559" s="1" t="str">
        <f t="shared" si="97"/>
        <v>ㄤ</v>
      </c>
      <c r="M1559" s="1" t="str">
        <f t="shared" si="98"/>
        <v/>
      </c>
      <c r="P1559" s="1" t="s">
        <v>20</v>
      </c>
      <c r="R1559" s="1" t="s">
        <v>767</v>
      </c>
      <c r="V1559" s="1" t="s">
        <v>775</v>
      </c>
      <c r="AR1559" s="1" t="str">
        <f t="shared" si="99"/>
        <v>| [ㄅㄤ](ㄅㄤ.md) | [幫](幫.md) |  | bāng | [動]
1.佐助、輔助。如：「幫助」、「幫忙」。《水滸傳》第七回：「智深道：『我來幫你廝打！』」《儒林外史》第五一回：「只見下水頭支支查查又搖了一隻小船來幫著泊。」
2.附和。如：「幫腔」。《儒林外史》第一八回：「浦墨卿走上去幫了幾句。」
[名]
1.物體旁邊豎起的部分。如：「鞋幫」、「船幫」。元．關漢卿《拜月亭》第一折：「這一對繡鞋兒分不得幫和底。」
2.同性質的人因政治或經濟等目的而組成的團體。如：「幫會」、「馬幫」、「丐幫」。
3.量詞。計算成批、成群事物的單位。如：「一幫人馬」。 |</v>
      </c>
    </row>
    <row r="1560" spans="1:44">
      <c r="A1560" s="1" t="s">
        <v>824</v>
      </c>
      <c r="C1560" s="1">
        <v>1</v>
      </c>
      <c r="D1560" s="1" t="str">
        <f>"00297"</f>
        <v>00297</v>
      </c>
      <c r="E1560" s="1" t="s">
        <v>825</v>
      </c>
      <c r="F1560" s="1">
        <v>9</v>
      </c>
      <c r="G1560" s="1">
        <v>4</v>
      </c>
      <c r="H1560" s="1">
        <v>0</v>
      </c>
      <c r="I1560" s="1" t="s">
        <v>826</v>
      </c>
      <c r="K1560" s="1" t="str">
        <f t="shared" si="96"/>
        <v>ㄅ</v>
      </c>
      <c r="L1560" s="1" t="str">
        <f t="shared" si="97"/>
        <v>ㄥ</v>
      </c>
      <c r="M1560" s="1" t="str">
        <f t="shared" si="98"/>
        <v/>
      </c>
      <c r="P1560" s="1" t="s">
        <v>20</v>
      </c>
      <c r="R1560" s="1" t="s">
        <v>827</v>
      </c>
      <c r="V1560" s="1" t="s">
        <v>828</v>
      </c>
      <c r="AR1560" s="1" t="str">
        <f t="shared" si="99"/>
        <v>| [ㄅㄥ](ㄅㄥ.md) | [祊](祊.md) |  | bēng | [名]
1.門內旁邊設祭處。《詩經．小雅．楚茨》：「祝祭于祊，祀事孔明。」
2.正祭次日，祭先祖於廟門內之旁稱為「祊」。《禮記．禮器》：「設祭于堂，為祊乎外。」漢．鄭玄．注：「祊祭，明日之繹祭也。謂之祊者，於廟門之旁，因名焉。」
3.地名。春秋時魯邑。在今大陸地區山東省費縣東南。 |</v>
      </c>
    </row>
    <row r="1561" spans="1:44">
      <c r="A1561" s="1" t="s">
        <v>829</v>
      </c>
      <c r="C1561" s="1">
        <v>1</v>
      </c>
      <c r="D1561" s="1" t="str">
        <f>"00298"</f>
        <v>00298</v>
      </c>
      <c r="E1561" s="1" t="s">
        <v>190</v>
      </c>
      <c r="F1561" s="1">
        <v>11</v>
      </c>
      <c r="G1561" s="1">
        <v>8</v>
      </c>
      <c r="H1561" s="1">
        <v>0</v>
      </c>
      <c r="I1561" s="1" t="s">
        <v>826</v>
      </c>
      <c r="K1561" s="1" t="str">
        <f t="shared" si="96"/>
        <v>ㄅ</v>
      </c>
      <c r="L1561" s="1" t="str">
        <f t="shared" si="97"/>
        <v>ㄥ</v>
      </c>
      <c r="M1561" s="1" t="str">
        <f t="shared" si="98"/>
        <v/>
      </c>
      <c r="P1561" s="1" t="s">
        <v>20</v>
      </c>
      <c r="R1561" s="1" t="s">
        <v>827</v>
      </c>
      <c r="V1561" s="1" t="s">
        <v>830</v>
      </c>
      <c r="AR1561" s="1" t="str">
        <f t="shared" si="99"/>
        <v>| [ㄅㄥ](ㄅㄥ.md) | [崩](崩.md) |  | bēng | [動]
1.倒塌。如：「崩塌」、「天崩地裂」。《詩經．小雅．十月之交》：「百川沸騰，山冢崒崩。」唐．李白〈蜀道難〉：「地崩山摧壯士死，然後天梯石棧相鉤連。」
2.毀壞。《論語．陽貨》：「君子三年不為禮，禮必壞；三年不為樂，樂必崩。」《漢書．卷八八．儒林傳．序》：「今禮廢樂崩，朕甚愍焉！」
3.滅亡。《史記．卷一三〇．太史公自序》：「非兵不彊，非德不昌，黃帝、湯、武以興，桀、紂、二世以崩，可不慎歟？」
4.古稱天子之死。如：「駕崩」、「崩殂」。《禮記．曲禮下》：「天子死曰崩，諸侯曰薨。」《史記．卷一〇九．李將軍傳》：「孝景崩，武帝立，左右以為廣名將也，於是廣以上郡太守為未央衛尉。」 |</v>
      </c>
    </row>
    <row r="1562" spans="1:44">
      <c r="A1562" s="1" t="s">
        <v>831</v>
      </c>
      <c r="C1562" s="1">
        <v>1</v>
      </c>
      <c r="D1562" s="1" t="str">
        <f>"00299"</f>
        <v>00299</v>
      </c>
      <c r="E1562" s="1" t="s">
        <v>103</v>
      </c>
      <c r="F1562" s="1">
        <v>11</v>
      </c>
      <c r="G1562" s="1">
        <v>8</v>
      </c>
      <c r="H1562" s="1">
        <v>2</v>
      </c>
      <c r="I1562" s="1" t="s">
        <v>826</v>
      </c>
      <c r="K1562" s="1" t="str">
        <f t="shared" si="96"/>
        <v>ㄅ</v>
      </c>
      <c r="L1562" s="1" t="str">
        <f t="shared" si="97"/>
        <v>ㄥ</v>
      </c>
      <c r="M1562" s="1" t="str">
        <f t="shared" si="98"/>
        <v/>
      </c>
      <c r="P1562" s="1" t="s">
        <v>110</v>
      </c>
      <c r="R1562" s="1" t="s">
        <v>827</v>
      </c>
      <c r="V1562" s="1" t="s">
        <v>111</v>
      </c>
      <c r="W1562" s="1" t="s">
        <v>832</v>
      </c>
      <c r="AR1562" s="1" t="str">
        <f t="shared" si="99"/>
        <v>| [ㄅㄥ](ㄅㄥ.md) | [弸](弸.md) |  | bēng | (一)之又音。 |</v>
      </c>
    </row>
    <row r="1563" spans="1:44">
      <c r="A1563" s="1" t="s">
        <v>833</v>
      </c>
      <c r="C1563" s="1">
        <v>1</v>
      </c>
      <c r="D1563" s="1" t="str">
        <f>"00300"</f>
        <v>00300</v>
      </c>
      <c r="E1563" s="1" t="s">
        <v>725</v>
      </c>
      <c r="F1563" s="1">
        <v>17</v>
      </c>
      <c r="G1563" s="1">
        <v>11</v>
      </c>
      <c r="H1563" s="1">
        <v>1</v>
      </c>
      <c r="I1563" s="1" t="s">
        <v>826</v>
      </c>
      <c r="K1563" s="1" t="str">
        <f t="shared" si="96"/>
        <v>ㄅ</v>
      </c>
      <c r="L1563" s="1" t="str">
        <f t="shared" si="97"/>
        <v>ㄥ</v>
      </c>
      <c r="M1563" s="1" t="str">
        <f t="shared" si="98"/>
        <v/>
      </c>
      <c r="P1563" s="1" t="s">
        <v>20</v>
      </c>
      <c r="R1563" s="1" t="s">
        <v>827</v>
      </c>
      <c r="V1563" s="1" t="s">
        <v>834</v>
      </c>
      <c r="W1563" s="1" t="s">
        <v>835</v>
      </c>
      <c r="AR1563" s="1" t="str">
        <f t="shared" si="99"/>
        <v>| [ㄅㄥ](ㄅㄥ.md) | [繃](繃.md) |  | bēng | [動]
1.纏束。《說文解字．糸部》：「繃，束也。」
2.拉緊。如：「拔河時，把繩子繃得緊緊的。」
3.衣物的撐緊。如：「衣服緊繃在身上。」
4.間隔疏鬆的縫綴。如：「先把口袋繃在衣服上，等會兒再細細的縫。」
5.勉強支持。如：「繃場面」。《西遊記》第二二回：「就把喫奶的氣力也使盡了，只繃得個手平。」
[名]
背負嬰兒、孩童所用的寬布帶。《廣韻．平聲．耕韻》：「繃，束兒衣。」《漢書．卷八．宣帝紀》「曾孫雖在襁褓」句下唐．顏師古．注：「襁，即今之小兒繃。」 |</v>
      </c>
    </row>
    <row r="1564" spans="1:44">
      <c r="A1564" s="1" t="s">
        <v>836</v>
      </c>
      <c r="C1564" s="1">
        <v>1</v>
      </c>
      <c r="D1564" s="1" t="str">
        <f>"00301"</f>
        <v>00301</v>
      </c>
      <c r="E1564" s="1" t="s">
        <v>725</v>
      </c>
      <c r="F1564" s="1">
        <v>12</v>
      </c>
      <c r="G1564" s="1">
        <v>6</v>
      </c>
      <c r="H1564" s="1">
        <v>0</v>
      </c>
      <c r="I1564" s="1" t="s">
        <v>826</v>
      </c>
      <c r="K1564" s="1" t="str">
        <f t="shared" si="96"/>
        <v>ㄅ</v>
      </c>
      <c r="L1564" s="1" t="str">
        <f t="shared" si="97"/>
        <v>ㄥ</v>
      </c>
      <c r="M1564" s="1" t="str">
        <f t="shared" si="98"/>
        <v/>
      </c>
      <c r="P1564" s="1" t="s">
        <v>20</v>
      </c>
      <c r="R1564" s="1" t="s">
        <v>827</v>
      </c>
      <c r="V1564" s="1" t="s">
        <v>837</v>
      </c>
      <c r="AR1564" s="1" t="str">
        <f t="shared" si="99"/>
        <v>| [ㄅㄥ](ㄅㄥ.md) | [絣](絣.md) |  | bēng | [名]
古代氐人以不同顏色絲線混織成的布匹。《說文解字．糸部》：「絣，氐人殊縷布也。」
[動]
1.編織。如：「絣繡」。明．袁宏道〈舒大家誌石銘〉：「朝絣暮織，為余叔督家政，甚勤苦。」
2.延續。《後漢書．卷四〇．班彪傳下》：「將絣萬嗣，煬洪暉，奮景炎，扇遺風，播芳烈。」
3.纏、綑。《水滸傳》第二〇回：「身穿一領黑綠羅襖，下面腿絣護膝。」《喻世明言．卷一五．史弘肇龍虎君臣會》：「罪人入獄，教獄子絣在廊上。」 |</v>
      </c>
    </row>
    <row r="1565" spans="1:44">
      <c r="A1565" s="1" t="s">
        <v>870</v>
      </c>
      <c r="C1565" s="1">
        <v>1</v>
      </c>
      <c r="D1565" s="1" t="str">
        <f>"00314"</f>
        <v>00314</v>
      </c>
      <c r="E1565" s="1" t="s">
        <v>871</v>
      </c>
      <c r="F1565" s="1">
        <v>8</v>
      </c>
      <c r="G1565" s="1">
        <v>5</v>
      </c>
      <c r="H1565" s="1">
        <v>0</v>
      </c>
      <c r="I1565" s="1" t="s">
        <v>872</v>
      </c>
      <c r="K1565" s="1" t="str">
        <f t="shared" si="96"/>
        <v>ㄅ</v>
      </c>
      <c r="L1565" s="1" t="str">
        <f t="shared" si="97"/>
        <v>ㄧ</v>
      </c>
      <c r="M1565" s="1" t="str">
        <f t="shared" si="98"/>
        <v/>
      </c>
      <c r="P1565" s="1" t="s">
        <v>20</v>
      </c>
      <c r="R1565" s="1" t="s">
        <v>873</v>
      </c>
      <c r="V1565" s="1" t="s">
        <v>874</v>
      </c>
      <c r="AR1565" s="1" t="str">
        <f t="shared" si="99"/>
        <v>| [ㄅㄧ](ㄅㄧ.md) | [屄](屄.md) |  | bī | [名]
女子的外生殖器。《字彙．尸部》：「屄，女人陰戶。」 |</v>
      </c>
    </row>
    <row r="1566" spans="1:44">
      <c r="A1566" s="1" t="s">
        <v>875</v>
      </c>
      <c r="C1566" s="1">
        <v>1</v>
      </c>
      <c r="D1566" s="1" t="str">
        <f>"00315"</f>
        <v>00315</v>
      </c>
      <c r="E1566" s="1" t="s">
        <v>114</v>
      </c>
      <c r="F1566" s="1">
        <v>11</v>
      </c>
      <c r="G1566" s="1">
        <v>9</v>
      </c>
      <c r="H1566" s="1">
        <v>1</v>
      </c>
      <c r="I1566" s="1" t="s">
        <v>872</v>
      </c>
      <c r="K1566" s="1" t="str">
        <f t="shared" si="96"/>
        <v>ㄅ</v>
      </c>
      <c r="L1566" s="1" t="str">
        <f t="shared" si="97"/>
        <v>ㄧ</v>
      </c>
      <c r="M1566" s="1" t="str">
        <f t="shared" si="98"/>
        <v/>
      </c>
      <c r="P1566" s="1" t="s">
        <v>20</v>
      </c>
      <c r="R1566" s="1" t="s">
        <v>873</v>
      </c>
      <c r="V1566" s="1" t="s">
        <v>876</v>
      </c>
      <c r="W1566" s="1" t="s">
        <v>877</v>
      </c>
      <c r="AR1566" s="1" t="str">
        <f t="shared" si="99"/>
        <v>| [ㄅㄧ](ㄅㄧ.md) | [偪](偪.md) |  | bī | [動]
侵迫。同「逼」。《左傳．僖公五年》：「桓莊之族何罪，而以為戮，不唯偪乎？」《孟子．滕文公上》：「草木暢茂，禽獸繁殖；五穀不登，禽獸偪人。」
[名]
即行縢。包裹在足脛上，使跳騰輕便。俗稱為「綁腿」。《詩經．小雅．采菽》「赤芾在股，邪幅在下」句下漢．毛亨．傳：「幅，偪也，所以自偪束也。」漢．鄭玄．箋：「邪幅，如今行縢也，偪束其脛，自足至膝，故曰在下。」《禮記．內則》：「偪屨著綦。」 |</v>
      </c>
    </row>
    <row r="1567" spans="1:44">
      <c r="A1567" s="1" t="s">
        <v>878</v>
      </c>
      <c r="C1567" s="1">
        <v>1</v>
      </c>
      <c r="D1567" s="1" t="str">
        <f>"00315A"</f>
        <v>00315A</v>
      </c>
      <c r="E1567" s="1" t="s">
        <v>222</v>
      </c>
      <c r="F1567" s="1">
        <v>12</v>
      </c>
      <c r="G1567" s="1">
        <v>9</v>
      </c>
      <c r="H1567" s="1">
        <v>2</v>
      </c>
      <c r="I1567" s="1" t="s">
        <v>872</v>
      </c>
      <c r="K1567" s="1" t="str">
        <f t="shared" si="96"/>
        <v>ㄅ</v>
      </c>
      <c r="L1567" s="1" t="str">
        <f t="shared" si="97"/>
        <v>ㄧ</v>
      </c>
      <c r="M1567" s="1" t="str">
        <f t="shared" si="98"/>
        <v/>
      </c>
      <c r="P1567" s="1" t="s">
        <v>20</v>
      </c>
      <c r="R1567" s="1" t="s">
        <v>873</v>
      </c>
      <c r="V1567" s="1" t="s">
        <v>879</v>
      </c>
      <c r="W1567" s="1" t="s">
        <v>880</v>
      </c>
      <c r="AR1567" s="1" t="str">
        <f t="shared" si="99"/>
        <v>| [ㄅㄧ](ㄅㄧ.md) | [幅](幅.md) |  | bī | 行縢。即綁腿。《廣韻．入聲．職韻》：「幅，行縢名。」《左傳．桓公二年》：「帶裳幅舄。」 |</v>
      </c>
    </row>
    <row r="1568" spans="1:44">
      <c r="A1568" s="1" t="s">
        <v>881</v>
      </c>
      <c r="C1568" s="1">
        <v>1</v>
      </c>
      <c r="D1568" s="1" t="str">
        <f>"00316"</f>
        <v>00316</v>
      </c>
      <c r="E1568" s="1" t="s">
        <v>558</v>
      </c>
      <c r="F1568" s="1">
        <v>13</v>
      </c>
      <c r="G1568" s="1">
        <v>9</v>
      </c>
      <c r="H1568" s="1">
        <v>1</v>
      </c>
      <c r="I1568" s="1" t="s">
        <v>872</v>
      </c>
      <c r="K1568" s="1" t="str">
        <f t="shared" si="96"/>
        <v>ㄅ</v>
      </c>
      <c r="L1568" s="1" t="str">
        <f t="shared" si="97"/>
        <v>ㄧ</v>
      </c>
      <c r="M1568" s="1" t="str">
        <f t="shared" si="98"/>
        <v/>
      </c>
      <c r="P1568" s="1" t="s">
        <v>20</v>
      </c>
      <c r="R1568" s="1" t="s">
        <v>873</v>
      </c>
      <c r="V1568" s="1" t="s">
        <v>882</v>
      </c>
      <c r="W1568" s="1" t="s">
        <v>883</v>
      </c>
      <c r="AR1568" s="1" t="str">
        <f t="shared" si="99"/>
        <v>| [ㄅㄧ](ㄅㄧ.md) | [逼](逼.md) |  | bī | [動]
1.威脅、強迫。如：「逼債」、「催逼」、「咄咄逼人」、「逼上梁山」。《樂府詩集．卷七三．雜曲歌辭十三．古辭．焦仲卿妻．序》：「其家逼之，乃沒水而死。」
2.接近、迫近。如：「逼視」。宋．蘇洵〈心術論〉：「袒裼而案劍，則烏獲不敢逼。」清．袁枚〈祭妹文〉：「舊事填膺，思之棲梗。如影歷歷，逼取便逝。」
[形]
狹窄。《文選．曹植．七啟》：「於是人稠網密，地逼勢脅。」
[副]
非常。如：「逼真」、「逼肖」。 |</v>
      </c>
    </row>
    <row r="1569" spans="1:44">
      <c r="A1569" s="1" t="s">
        <v>1448</v>
      </c>
      <c r="C1569" s="1">
        <v>1</v>
      </c>
      <c r="D1569" s="1" t="str">
        <f>"00554"</f>
        <v>00554</v>
      </c>
      <c r="E1569" s="1" t="s">
        <v>558</v>
      </c>
      <c r="F1569" s="1">
        <v>11</v>
      </c>
      <c r="G1569" s="1">
        <v>7</v>
      </c>
      <c r="H1569" s="1">
        <v>0</v>
      </c>
      <c r="I1569" s="1" t="s">
        <v>1449</v>
      </c>
      <c r="K1569" s="1" t="str">
        <f t="shared" si="96"/>
        <v>ㄅ</v>
      </c>
      <c r="L1569" s="1" t="str">
        <f t="shared" si="97"/>
        <v>ㄨ</v>
      </c>
      <c r="M1569" s="1" t="str">
        <f t="shared" si="98"/>
        <v/>
      </c>
      <c r="P1569" s="1" t="s">
        <v>20</v>
      </c>
      <c r="R1569" s="1" t="s">
        <v>1450</v>
      </c>
      <c r="V1569" s="1" t="s">
        <v>1451</v>
      </c>
      <c r="AR1569" s="1" t="str">
        <f t="shared" si="99"/>
        <v>| [ㄅㄨ](ㄅㄨ.md) | [逋](逋.md) |  | bū | [動]
1.逃走、逃亡。《說文解字．辵部》：「逋，亡也。」《左傳．僖公十五年》：「六年其逋，逃歸其國而棄其家。」明．徐弘祖《徐霞客遊記．卷一〇上．滇遊日記十三》：「訊其來何以故？曰：『悉檀長老命來候相公者。』余知僕逋。」
2.拖欠。如：「逋租」、「逋債」。元．周霆震〈埋怨樹〉詩：「朝旴械繫逮詞訟，夕敝鞭撲逋稅錢。」 |</v>
      </c>
    </row>
    <row r="1570" spans="1:44">
      <c r="A1570" s="1" t="s">
        <v>1452</v>
      </c>
      <c r="C1570" s="1">
        <v>1</v>
      </c>
      <c r="D1570" s="1" t="str">
        <f>"00555"</f>
        <v>00555</v>
      </c>
      <c r="E1570" s="1" t="s">
        <v>646</v>
      </c>
      <c r="F1570" s="1">
        <v>11</v>
      </c>
      <c r="G1570" s="1">
        <v>7</v>
      </c>
      <c r="H1570" s="1">
        <v>0</v>
      </c>
      <c r="I1570" s="1" t="s">
        <v>1449</v>
      </c>
      <c r="K1570" s="1" t="str">
        <f t="shared" si="96"/>
        <v>ㄅ</v>
      </c>
      <c r="L1570" s="1" t="str">
        <f t="shared" si="97"/>
        <v>ㄨ</v>
      </c>
      <c r="M1570" s="1" t="str">
        <f t="shared" si="98"/>
        <v/>
      </c>
      <c r="P1570" s="1" t="s">
        <v>20</v>
      </c>
      <c r="R1570" s="1" t="s">
        <v>1450</v>
      </c>
      <c r="V1570" s="1" t="s">
        <v>1453</v>
      </c>
      <c r="AR1570" s="1" t="str">
        <f t="shared" si="99"/>
        <v>| [ㄅㄨ](ㄅㄨ.md) | [晡](晡.md) |  | bū | [名]
申時。約當午後三時至五時。一般泛指下午或黃昏。通「餔」。《廣韻．平聲．模韻》：「晡，申時。」漢．馬第伯〈封禪儀記〉：「早食上，晡後到天門。」《五代史平話．晉史．卷下》：「高行周跳馬出戰，自午至晡，彼此各有勝敗。」 |</v>
      </c>
    </row>
    <row r="1571" spans="1:44">
      <c r="A1571" s="1" t="s">
        <v>1454</v>
      </c>
      <c r="C1571" s="1">
        <v>1</v>
      </c>
      <c r="D1571" s="1" t="str">
        <f>"00556"</f>
        <v>00556</v>
      </c>
      <c r="E1571" s="1" t="s">
        <v>193</v>
      </c>
      <c r="F1571" s="1">
        <v>15</v>
      </c>
      <c r="G1571" s="1">
        <v>7</v>
      </c>
      <c r="H1571" s="1">
        <v>1</v>
      </c>
      <c r="I1571" s="1" t="s">
        <v>1449</v>
      </c>
      <c r="K1571" s="1" t="str">
        <f t="shared" si="96"/>
        <v>ㄅ</v>
      </c>
      <c r="L1571" s="1" t="str">
        <f t="shared" si="97"/>
        <v>ㄨ</v>
      </c>
      <c r="M1571" s="1" t="str">
        <f t="shared" si="98"/>
        <v/>
      </c>
      <c r="P1571" s="1" t="s">
        <v>20</v>
      </c>
      <c r="R1571" s="1" t="s">
        <v>1450</v>
      </c>
      <c r="V1571" s="1" t="s">
        <v>1455</v>
      </c>
      <c r="W1571" s="1" t="s">
        <v>1456</v>
      </c>
      <c r="AR1571" s="1" t="str">
        <f t="shared" si="99"/>
        <v>| [ㄅㄨ](ㄅㄨ.md) | [餔](餔.md) |  | bū | [動]_x000D_
1.傍晚進食，猶吃晚餐。《說文解字．食部》：「餔，申時食也。」_x000D_
2.吃。《莊子．盜跖》：「盜跖乃方休卒徒大山之陽，膾人肝而餔之。」宋．蘇軾〈超然臺記〉：「餔糟啜漓，皆可以醉。」_x000D_
[名]_x000D_
申時。指下午三點到五點。或泛指黃昏時分。通「晡」。《後漢書．卷四九．王充王符仲長統列傳．王符》：「非朝餔不得通，非意氣不得見。」唐．章懷太子．注：「《說文》曰：『餔，謂日加申時也。』」 |</v>
      </c>
    </row>
    <row r="1572" spans="1:44">
      <c r="A1572" s="1" t="s">
        <v>1121</v>
      </c>
      <c r="C1572" s="1">
        <v>1</v>
      </c>
      <c r="D1572" s="1" t="str">
        <f>"00422"</f>
        <v>00422</v>
      </c>
      <c r="E1572" s="1" t="s">
        <v>250</v>
      </c>
      <c r="F1572" s="1">
        <v>15</v>
      </c>
      <c r="G1572" s="1">
        <v>11</v>
      </c>
      <c r="H1572" s="1">
        <v>0</v>
      </c>
      <c r="I1572" s="1" t="s">
        <v>1122</v>
      </c>
      <c r="K1572" s="1" t="str">
        <f t="shared" si="96"/>
        <v>ㄅ</v>
      </c>
      <c r="L1572" s="1" t="str">
        <f t="shared" si="97"/>
        <v>ㄧ</v>
      </c>
      <c r="M1572" s="1" t="str">
        <f t="shared" si="98"/>
        <v>ㄝ</v>
      </c>
      <c r="P1572" s="1" t="s">
        <v>20</v>
      </c>
      <c r="R1572" s="1" t="s">
        <v>1123</v>
      </c>
      <c r="V1572" s="1" t="s">
        <v>1124</v>
      </c>
      <c r="AR1572" s="1" t="str">
        <f t="shared" si="99"/>
        <v>| [ㄅㄧㄝ](ㄅㄧㄝ.md) | [憋](憋.md) |  | biē | [動]
1.壓抑、強忍著。如：「憋氣」、「憋尿」。
2.悶在心中。如：「心裡憋得慌。」、「有困難便說，不要憋在心裡。」
3.心中暗自盤算。多含有負面的意義。如：「我怎知他心中憋什麼鬼胎？」 |</v>
      </c>
    </row>
    <row r="1573" spans="1:44">
      <c r="A1573" s="1" t="s">
        <v>1036</v>
      </c>
      <c r="C1573" s="1">
        <v>1</v>
      </c>
      <c r="D1573" s="1" t="str">
        <f>"00423"</f>
        <v>00423</v>
      </c>
      <c r="E1573" s="1" t="s">
        <v>272</v>
      </c>
      <c r="F1573" s="1">
        <v>22</v>
      </c>
      <c r="G1573" s="1">
        <v>11</v>
      </c>
      <c r="H1573" s="1">
        <v>2</v>
      </c>
      <c r="I1573" s="1" t="s">
        <v>1122</v>
      </c>
      <c r="K1573" s="1" t="str">
        <f t="shared" si="96"/>
        <v>ㄅ</v>
      </c>
      <c r="L1573" s="1" t="str">
        <f t="shared" si="97"/>
        <v>ㄧ</v>
      </c>
      <c r="M1573" s="1" t="str">
        <f t="shared" si="98"/>
        <v>ㄝ</v>
      </c>
      <c r="P1573" s="1" t="s">
        <v>110</v>
      </c>
      <c r="R1573" s="1" t="s">
        <v>1123</v>
      </c>
      <c r="V1573" s="1" t="s">
        <v>111</v>
      </c>
      <c r="W1573" s="1" t="s">
        <v>1125</v>
      </c>
      <c r="AR1573" s="1" t="str">
        <f t="shared" si="99"/>
        <v>| [ㄅㄧㄝ](ㄅㄧㄝ.md) | [鷩](鷩.md) |  | biē | (一)之又音。 |</v>
      </c>
    </row>
    <row r="1574" spans="1:44">
      <c r="A1574" s="1" t="s">
        <v>1126</v>
      </c>
      <c r="C1574" s="1">
        <v>1</v>
      </c>
      <c r="D1574" s="1" t="str">
        <f>"00424"</f>
        <v>00424</v>
      </c>
      <c r="E1574" s="1" t="s">
        <v>156</v>
      </c>
      <c r="F1574" s="1">
        <v>22</v>
      </c>
      <c r="G1574" s="1">
        <v>11</v>
      </c>
      <c r="H1574" s="1">
        <v>0</v>
      </c>
      <c r="I1574" s="1" t="s">
        <v>1122</v>
      </c>
      <c r="K1574" s="1" t="str">
        <f t="shared" si="96"/>
        <v>ㄅ</v>
      </c>
      <c r="L1574" s="1" t="str">
        <f t="shared" si="97"/>
        <v>ㄧ</v>
      </c>
      <c r="M1574" s="1" t="str">
        <f t="shared" si="98"/>
        <v>ㄝ</v>
      </c>
      <c r="P1574" s="1" t="s">
        <v>20</v>
      </c>
      <c r="R1574" s="1" t="s">
        <v>1123</v>
      </c>
      <c r="V1574" s="1" t="s">
        <v>1127</v>
      </c>
      <c r="AR1574" s="1" t="str">
        <f t="shared" si="99"/>
        <v>| [ㄅㄧㄝ](ㄅㄧㄝ.md) | [鱉](鱉.md) |  | biē | [名]
動物名。脊椎動物亞門爬蟲綱龜鱉目。外形像龜，背甲呈灰黑色，有軟皮。腹部白色或淡黃色。頸部甚長，四肢粗短，有厚蹼。多棲息於湖沼等溫、熱帶水域。背甲圓形，邊緣柔軟，肉供食用，甲殼可入藥。也稱為「團魚」、「甲魚」、「王八」、「黿魚」。 |</v>
      </c>
    </row>
    <row r="1575" spans="1:44">
      <c r="A1575" s="1" t="s">
        <v>1128</v>
      </c>
      <c r="C1575" s="1">
        <v>1</v>
      </c>
      <c r="D1575" s="1" t="str">
        <f>"00425"</f>
        <v>00425</v>
      </c>
      <c r="E1575" s="1" t="s">
        <v>185</v>
      </c>
      <c r="F1575" s="1">
        <v>7</v>
      </c>
      <c r="G1575" s="1">
        <v>5</v>
      </c>
      <c r="H1575" s="1">
        <v>0</v>
      </c>
      <c r="I1575" s="1" t="s">
        <v>1129</v>
      </c>
      <c r="K1575" s="1" t="str">
        <f t="shared" si="96"/>
        <v>ㄅ</v>
      </c>
      <c r="L1575" s="1" t="str">
        <f t="shared" si="97"/>
        <v>ㄧ</v>
      </c>
      <c r="M1575" s="1" t="str">
        <f t="shared" si="98"/>
        <v>ㄝ</v>
      </c>
      <c r="P1575" s="1" t="s">
        <v>20</v>
      </c>
      <c r="R1575" s="1" t="s">
        <v>1130</v>
      </c>
      <c r="V1575" s="1" t="s">
        <v>1131</v>
      </c>
      <c r="AR1575" s="1" t="str">
        <f t="shared" si="99"/>
        <v>| [ㄅㄧㄝˊ](ㄅㄧㄝˊ.md) | [別](別.md) |  | bié | [動]
1.分離、離開。如：「告別」、「暫別」、「永別」、「臨別依依」、「久別重逢」。唐．李商隱〈無題〉詩：「相見時難別亦難，東風無力百花殘。」
2.區分、分辨。如：「辨別」、「鑑別」、「識別證」、「分門別類」。《史記．卷一二六．滑稽傳．褚少孫補西門豹傳》：「三子之才能，誰最賢哉？辨治者當能別之。」
3.用別針或大頭針等固定物品。如：「別上一朵胸花。」、「把紀念章別在胸前。」
4.插著、卡住。如：「把門拴別上！」、「上衣口袋別著一隻鋼筆。」
5.折、轉。如：「別起腿來」、「別過臉去」。《清平山堂話本．花燈轎蓮女成佛記》：「小官只不肯說，別了面皮，朝裡壁睡了。」
[名]
1.類。如：「性別」、「國別」、「派別」、「職別」。
2.差距、分別。如：「天淵之別」。宋．王安石〈論陶冶人才〉：「蓋古者有賢不肖之分，而無流品之別。」
3.姓。如南北朝有別浦，宋代有別之杰。
[形]
1.另外的。如：「別人」、「別家」、「別稱」、「別處」。
2.特殊、與眾不同。如：「別格」。元．關漢卿《玉鏡臺》第二折：「小姐比昨日打扮的又別，真神仙中人也。」
[副]
1.另、外。如：「別具匠心」、「別開生面」、「別樹一幟」。五代十國南唐．李煜〈相見歡．無言獨上西樓〉詞：「翦不斷，理還亂，是離愁，別是一般滋味在心頭。」宋．司馬光〈與王介甫書〉：「徒欲別出新意，以自為功名耳。此其為害已甚矣。」
2.不要。表勸阻或禁止的意思。如：「別走！」、「別生氣！」、「別打岔！」、「別理她！」
3.莫非、莫不是。表揣測的意味，常與「是」連用。如：「別是我猜錯了？」 |</v>
      </c>
    </row>
    <row r="1576" spans="1:44">
      <c r="A1576" s="1" t="s">
        <v>1132</v>
      </c>
      <c r="C1576" s="1">
        <v>1</v>
      </c>
      <c r="D1576" s="1" t="str">
        <f>"00426"</f>
        <v>00426</v>
      </c>
      <c r="E1576" s="1" t="s">
        <v>37</v>
      </c>
      <c r="F1576" s="1">
        <v>11</v>
      </c>
      <c r="G1576" s="1">
        <v>7</v>
      </c>
      <c r="H1576" s="1">
        <v>0</v>
      </c>
      <c r="I1576" s="1" t="s">
        <v>1129</v>
      </c>
      <c r="K1576" s="1" t="str">
        <f t="shared" si="96"/>
        <v>ㄅ</v>
      </c>
      <c r="L1576" s="1" t="str">
        <f t="shared" si="97"/>
        <v>ㄧ</v>
      </c>
      <c r="M1576" s="1" t="str">
        <f t="shared" si="98"/>
        <v>ㄝ</v>
      </c>
      <c r="P1576" s="1" t="s">
        <v>20</v>
      </c>
      <c r="R1576" s="1" t="s">
        <v>1130</v>
      </c>
      <c r="V1576" s="1" t="s">
        <v>1133</v>
      </c>
      <c r="AR1576" s="1" t="str">
        <f t="shared" si="99"/>
        <v>| [ㄅㄧㄝˊ](ㄅㄧㄝˊ.md) | [莂](莂.md) |  | bié | [名]
古代的契約寫在簡帛上，從中剖開，雙方各執一半，以為憑證，稱為「莂」。亦泛指券書、合同。漢．劉熙《釋名．釋書契》：「莂，別也。大書中央，中破別之也。」 |</v>
      </c>
    </row>
    <row r="1577" spans="1:44">
      <c r="A1577" s="1" t="s">
        <v>909</v>
      </c>
      <c r="C1577" s="1">
        <v>1</v>
      </c>
      <c r="D1577" s="1" t="str">
        <f>"00427"</f>
        <v>00427</v>
      </c>
      <c r="E1577" s="1" t="s">
        <v>28</v>
      </c>
      <c r="F1577" s="1">
        <v>8</v>
      </c>
      <c r="G1577" s="1">
        <v>5</v>
      </c>
      <c r="H1577" s="1">
        <v>1</v>
      </c>
      <c r="I1577" s="1" t="s">
        <v>1129</v>
      </c>
      <c r="K1577" s="1" t="str">
        <f t="shared" si="96"/>
        <v>ㄅ</v>
      </c>
      <c r="L1577" s="1" t="str">
        <f t="shared" si="97"/>
        <v>ㄧ</v>
      </c>
      <c r="M1577" s="1" t="str">
        <f t="shared" si="98"/>
        <v>ㄝ</v>
      </c>
      <c r="P1577" s="1" t="s">
        <v>20</v>
      </c>
      <c r="R1577" s="1" t="s">
        <v>1130</v>
      </c>
      <c r="V1577" s="1" t="s">
        <v>1134</v>
      </c>
      <c r="W1577" s="1" t="s">
        <v>1135</v>
      </c>
      <c r="AR1577" s="1" t="str">
        <f t="shared" si="99"/>
        <v>| [ㄅㄧㄝˊ](ㄅㄧㄝˊ.md) | [咇](咇.md) |  | bié | [形]
咇茀：香氣濃郁。《文選．司馬相如．上林賦》：「肸蠁布寫，䁆薆咇茀。」晉．郭璞．注：「香氣盛，馝馞也。」唐．李善．注：「馝馞，咇茀音義同。」 |</v>
      </c>
    </row>
    <row r="1578" spans="1:44">
      <c r="A1578" s="1" t="s">
        <v>1136</v>
      </c>
      <c r="C1578" s="1">
        <v>1</v>
      </c>
      <c r="D1578" s="1" t="str">
        <f>"00428"</f>
        <v>00428</v>
      </c>
      <c r="E1578" s="1" t="s">
        <v>679</v>
      </c>
      <c r="F1578" s="1">
        <v>11</v>
      </c>
      <c r="G1578" s="1">
        <v>5</v>
      </c>
      <c r="H1578" s="1">
        <v>0</v>
      </c>
      <c r="I1578" s="1" t="s">
        <v>1129</v>
      </c>
      <c r="K1578" s="1" t="str">
        <f t="shared" si="96"/>
        <v>ㄅ</v>
      </c>
      <c r="L1578" s="1" t="str">
        <f t="shared" si="97"/>
        <v>ㄧ</v>
      </c>
      <c r="M1578" s="1" t="str">
        <f t="shared" si="98"/>
        <v>ㄝ</v>
      </c>
      <c r="P1578" s="1" t="s">
        <v>20</v>
      </c>
      <c r="R1578" s="1" t="s">
        <v>1130</v>
      </c>
      <c r="V1578" s="1" t="s">
        <v>1137</v>
      </c>
      <c r="AR1578" s="1" t="str">
        <f t="shared" si="99"/>
        <v>| [ㄅㄧㄝˊ](ㄅㄧㄝˊ.md) | [蛂](蛂.md) |  | bié | [名]
動物名。一種害蟲。屬甲蟲類，體呈綠色。《爾雅．釋蟲》：「蛂，蟥蛢。」晉．郭璞．注：「甲蟲也。大如虎豆，綠色。今江東呼黃蛢。」 |</v>
      </c>
    </row>
    <row r="1579" spans="1:44">
      <c r="A1579" s="1" t="s">
        <v>1138</v>
      </c>
      <c r="C1579" s="1">
        <v>1</v>
      </c>
      <c r="D1579" s="1" t="str">
        <f>"00429"</f>
        <v>00429</v>
      </c>
      <c r="E1579" s="1" t="s">
        <v>340</v>
      </c>
      <c r="F1579" s="1">
        <v>17</v>
      </c>
      <c r="G1579" s="1">
        <v>11</v>
      </c>
      <c r="H1579" s="1">
        <v>0</v>
      </c>
      <c r="I1579" s="1" t="s">
        <v>1129</v>
      </c>
      <c r="K1579" s="1" t="str">
        <f t="shared" si="96"/>
        <v>ㄅ</v>
      </c>
      <c r="L1579" s="1" t="str">
        <f t="shared" si="97"/>
        <v>ㄧ</v>
      </c>
      <c r="M1579" s="1" t="str">
        <f t="shared" si="98"/>
        <v>ㄝ</v>
      </c>
      <c r="P1579" s="1" t="s">
        <v>20</v>
      </c>
      <c r="R1579" s="1" t="s">
        <v>1130</v>
      </c>
      <c r="V1579" s="1" t="s">
        <v>1139</v>
      </c>
      <c r="AR1579" s="1" t="str">
        <f t="shared" si="99"/>
        <v>| [ㄅㄧㄝˊ](ㄅㄧㄝˊ.md) | [襒](襒.md) |  | bié | [動]
擦拭。參見「襒席」條。 |</v>
      </c>
    </row>
    <row r="1580" spans="1:44">
      <c r="A1580" s="1" t="s">
        <v>1140</v>
      </c>
      <c r="C1580" s="1">
        <v>1</v>
      </c>
      <c r="D1580" s="1" t="str">
        <f>"00430"</f>
        <v>00430</v>
      </c>
      <c r="E1580" s="1" t="s">
        <v>77</v>
      </c>
      <c r="F1580" s="1">
        <v>18</v>
      </c>
      <c r="G1580" s="1">
        <v>11</v>
      </c>
      <c r="H1580" s="1">
        <v>0</v>
      </c>
      <c r="I1580" s="1" t="s">
        <v>1129</v>
      </c>
      <c r="K1580" s="1" t="str">
        <f t="shared" si="96"/>
        <v>ㄅ</v>
      </c>
      <c r="L1580" s="1" t="str">
        <f t="shared" si="97"/>
        <v>ㄧ</v>
      </c>
      <c r="M1580" s="1" t="str">
        <f t="shared" si="98"/>
        <v>ㄝ</v>
      </c>
      <c r="P1580" s="1" t="s">
        <v>20</v>
      </c>
      <c r="R1580" s="1" t="s">
        <v>1130</v>
      </c>
      <c r="V1580" s="1" t="s">
        <v>1141</v>
      </c>
      <c r="AR1580" s="1" t="str">
        <f t="shared" si="99"/>
        <v>| [ㄅㄧㄝˊ](ㄅㄧㄝˊ.md) | [蹩](蹩.md) |  | bié | 參見「蹩躠」條。 |</v>
      </c>
    </row>
    <row r="1581" spans="1:44">
      <c r="A1581" s="1" t="s">
        <v>1142</v>
      </c>
      <c r="C1581" s="1">
        <v>1</v>
      </c>
      <c r="D1581" s="1" t="str">
        <f>"00431"</f>
        <v>00431</v>
      </c>
      <c r="E1581" s="1" t="s">
        <v>40</v>
      </c>
      <c r="F1581" s="1">
        <v>19</v>
      </c>
      <c r="G1581" s="1">
        <v>14</v>
      </c>
      <c r="H1581" s="1">
        <v>0</v>
      </c>
      <c r="I1581" s="1" t="s">
        <v>1143</v>
      </c>
      <c r="K1581" s="1" t="str">
        <f t="shared" si="96"/>
        <v>ㄅ</v>
      </c>
      <c r="L1581" s="1" t="str">
        <f t="shared" si="97"/>
        <v>ㄧ</v>
      </c>
      <c r="M1581" s="1" t="str">
        <f t="shared" si="98"/>
        <v>ㄝ</v>
      </c>
      <c r="P1581" s="1" t="s">
        <v>20</v>
      </c>
      <c r="R1581" s="1" t="s">
        <v>1144</v>
      </c>
      <c r="V1581" s="1" t="s">
        <v>1145</v>
      </c>
      <c r="AR1581" s="1" t="str">
        <f t="shared" si="99"/>
        <v>| [ㄅㄧㄝˇ](ㄅㄧㄝˇ.md) | [癟](癟.md) |  | biě | [形]
1.凹下去、不飽滿。如：「肚子餓癟了。」
2.物體逐漸縮小。如：「皮球漏氣，越來越癟了。」
[動]
1.使凹下去。如：「癟嘴」。
2.倒閉。如：「長時間這樣入不敷出，咱們的公司非癟不可。」
3.難堪、使窘迫。如：「缺錢的日子裡，大夥可癟了。」、「遲遲不發餉，真是癟人！」。 |</v>
      </c>
    </row>
    <row r="1582" spans="1:44">
      <c r="A1582" s="1" t="s">
        <v>1146</v>
      </c>
      <c r="C1582" s="1">
        <v>1</v>
      </c>
      <c r="D1582" s="1" t="str">
        <f>"00432"</f>
        <v>00432</v>
      </c>
      <c r="E1582" s="1" t="s">
        <v>103</v>
      </c>
      <c r="F1582" s="1">
        <v>14</v>
      </c>
      <c r="G1582" s="1">
        <v>11</v>
      </c>
      <c r="H1582" s="1">
        <v>0</v>
      </c>
      <c r="I1582" s="1" t="s">
        <v>1147</v>
      </c>
      <c r="K1582" s="1" t="str">
        <f t="shared" si="96"/>
        <v>ㄅ</v>
      </c>
      <c r="L1582" s="1" t="str">
        <f t="shared" si="97"/>
        <v>ㄧ</v>
      </c>
      <c r="M1582" s="1" t="str">
        <f t="shared" si="98"/>
        <v>ㄝ</v>
      </c>
      <c r="P1582" s="1" t="s">
        <v>20</v>
      </c>
      <c r="R1582" s="1" t="s">
        <v>1148</v>
      </c>
      <c r="V1582" s="1" t="s">
        <v>1149</v>
      </c>
      <c r="AR1582" s="1" t="str">
        <f t="shared" si="99"/>
        <v>| [ㄅㄧㄝˋ](ㄅㄧㄝˋ.md) | [彆](彆.md) |  | biè | [名]
弓末彎曲的地方。《說文解字．弓部》：「彆，弓戾也。」《詩經．小雅．采薇》「象弭魚服」句下漢．鄭玄．箋：「弭，弓反末彆者。」
[動]
1.執拗。如：「彆扭」。《水滸傳》第三五回：「要換座頭，便是趙官家，老爺也彆鳥不換。」
2.改變他人的想法、意見。如：「彆不過他，只好順從了。」
3.強忍住。同「憋」。《喻世明言．卷三九．汪信之一死救全家》：「因與哥哥汪孚酒中爭論一句閒話，彆口氣，隻身逕走出門。」《紅樓夢》第七一回：「又羞又氣，一時抓尋不著頭腦，彆得臉紫脹。」 |</v>
      </c>
    </row>
    <row r="1583" spans="1:44">
      <c r="A1583" s="1" t="s">
        <v>1150</v>
      </c>
      <c r="C1583" s="1">
        <v>1</v>
      </c>
      <c r="D1583" s="1" t="str">
        <f>"00433"</f>
        <v>00433</v>
      </c>
      <c r="E1583" s="1" t="s">
        <v>139</v>
      </c>
      <c r="F1583" s="1">
        <v>7</v>
      </c>
      <c r="G1583" s="1">
        <v>3</v>
      </c>
      <c r="H1583" s="1">
        <v>1</v>
      </c>
      <c r="I1583" s="1" t="s">
        <v>1151</v>
      </c>
      <c r="K1583" s="1" t="str">
        <f t="shared" si="96"/>
        <v>ㄅ</v>
      </c>
      <c r="L1583" s="1" t="str">
        <f t="shared" si="97"/>
        <v>ㄧ</v>
      </c>
      <c r="M1583" s="1" t="str">
        <f t="shared" si="98"/>
        <v>ㄠ</v>
      </c>
      <c r="P1583" s="1" t="s">
        <v>20</v>
      </c>
      <c r="R1583" s="1" t="s">
        <v>1152</v>
      </c>
      <c r="V1583" s="1" t="s">
        <v>1153</v>
      </c>
      <c r="W1583" s="1" t="s">
        <v>1154</v>
      </c>
      <c r="AR1583" s="1" t="str">
        <f t="shared" si="99"/>
        <v>| [ㄅㄧㄠ](ㄅㄧㄠ.md) | [杓](杓.md) |  | biāo | [名]
1.勺子的柄。《說文解字．木部》：「杓，枓柄也。」清．段玉裁．注：「枓柄者，勺柄也。勺謂之枓，勺柄謂之杓。」
2.北斗七星的柄，指第五到第七顆星。《淮南子．天文》：「斗杓為小歲，正月建寅。」漢．高誘．注：「斗，第一星至第四為魁，第五至第七為杓。」《老殘遊記》第一二回：「那北斗正斜倚在紫微垣的西邊，上面杓在上，魁在下。」
[動]
1.拉開。《淮南子．道應》：「孔子勁杓國門之關，而不肯以力聞。」漢．高誘．注：「杓，引也。古者縣門下，從上杓引之者難也。」
2.擊。《淮南子．兵略》：「故淩人者勝，待人者敗，為人杓者死。」漢．高誘．注：「杓，所擊也。」 |</v>
      </c>
    </row>
    <row r="1584" spans="1:44">
      <c r="A1584" s="1" t="s">
        <v>1155</v>
      </c>
      <c r="C1584" s="1">
        <v>1</v>
      </c>
      <c r="D1584" s="1" t="str">
        <f>"00434"</f>
        <v>00434</v>
      </c>
      <c r="E1584" s="1" t="s">
        <v>1078</v>
      </c>
      <c r="F1584" s="1">
        <v>10</v>
      </c>
      <c r="G1584" s="1">
        <v>0</v>
      </c>
      <c r="H1584" s="1">
        <v>1</v>
      </c>
      <c r="I1584" s="1" t="s">
        <v>1151</v>
      </c>
      <c r="K1584" s="1" t="str">
        <f t="shared" si="96"/>
        <v>ㄅ</v>
      </c>
      <c r="L1584" s="1" t="str">
        <f t="shared" si="97"/>
        <v>ㄧ</v>
      </c>
      <c r="M1584" s="1" t="str">
        <f t="shared" si="98"/>
        <v>ㄠ</v>
      </c>
      <c r="P1584" s="1" t="s">
        <v>20</v>
      </c>
      <c r="R1584" s="1" t="s">
        <v>1152</v>
      </c>
      <c r="V1584" s="1" t="s">
        <v>1156</v>
      </c>
      <c r="W1584" s="1" t="s">
        <v>1157</v>
      </c>
      <c r="AR1584" s="1" t="str">
        <f t="shared" si="99"/>
        <v>| [ㄅㄧㄠ](ㄅㄧㄠ.md) | [髟](髟.md) |  | biāo | [形]
形容毛髮垂披。《文選．潘岳．秋興賦》：「斑鬢髟以承弁兮，素髮颯以垂領。」
[名]
二一四部首之一。 |</v>
      </c>
    </row>
    <row r="1585" spans="1:44">
      <c r="A1585" s="1" t="s">
        <v>1158</v>
      </c>
      <c r="C1585" s="1">
        <v>1</v>
      </c>
      <c r="D1585" s="1" t="str">
        <f>"00435"</f>
        <v>00435</v>
      </c>
      <c r="E1585" s="1" t="s">
        <v>660</v>
      </c>
      <c r="F1585" s="1">
        <v>11</v>
      </c>
      <c r="G1585" s="1">
        <v>5</v>
      </c>
      <c r="H1585" s="1">
        <v>0</v>
      </c>
      <c r="I1585" s="1" t="s">
        <v>1151</v>
      </c>
      <c r="K1585" s="1" t="str">
        <f t="shared" si="96"/>
        <v>ㄅ</v>
      </c>
      <c r="L1585" s="1" t="str">
        <f t="shared" si="97"/>
        <v>ㄧ</v>
      </c>
      <c r="M1585" s="1" t="str">
        <f t="shared" si="98"/>
        <v>ㄠ</v>
      </c>
      <c r="P1585" s="1" t="s">
        <v>20</v>
      </c>
      <c r="R1585" s="1" t="s">
        <v>1152</v>
      </c>
      <c r="V1585" s="1" t="s">
        <v>1159</v>
      </c>
      <c r="AR1585" s="1" t="str">
        <f t="shared" si="99"/>
        <v>| [ㄅㄧㄠ](ㄅㄧㄠ.md) | [彪](彪.md) |  | biāo | [名]
1.老虎身上的斑紋。《說文解字．虎部》：「彪，虎文也。」
2.老虎。北周．庾信〈枯樹賦〉：「熊彪顧盼，魚龍起伏。」
3.姓。如春秋時衛國有彪傒、彪夫，宋代有彪居正。
[動]
1.文采顯現。漢．揚雄《法言．君子》：「或問：『君子言則成文，動則成德，何以也』曰：『以其弸中而彪外也。』」晉．李軌．注：「弸，滿也。彪，文也。積行內滿，文辭外發。」晉．張華〈勵志詩〉：「體之以質，彪之以文。」
2.明悟。漢．蔡邕〈處士圈典碑〉：「童蒙來求，彪之用文。」
[形]
健壯如虎。如：「彪形大漢。」《北史．卷五四．斛律金傳》：「光字明月，馬面彪身，神爽雄傑。」 |</v>
      </c>
    </row>
    <row r="1586" spans="1:44">
      <c r="A1586" s="1" t="s">
        <v>1160</v>
      </c>
      <c r="C1586" s="1">
        <v>1</v>
      </c>
      <c r="D1586" s="1" t="str">
        <f>"00436"</f>
        <v>00436</v>
      </c>
      <c r="E1586" s="1" t="s">
        <v>1161</v>
      </c>
      <c r="F1586" s="1">
        <v>12</v>
      </c>
      <c r="G1586" s="1">
        <v>3</v>
      </c>
      <c r="H1586" s="1">
        <v>1</v>
      </c>
      <c r="I1586" s="1" t="s">
        <v>1151</v>
      </c>
      <c r="K1586" s="1" t="str">
        <f t="shared" si="96"/>
        <v>ㄅ</v>
      </c>
      <c r="L1586" s="1" t="str">
        <f t="shared" si="97"/>
        <v>ㄧ</v>
      </c>
      <c r="M1586" s="1" t="str">
        <f t="shared" si="98"/>
        <v>ㄠ</v>
      </c>
      <c r="P1586" s="1" t="s">
        <v>20</v>
      </c>
      <c r="R1586" s="1" t="s">
        <v>1152</v>
      </c>
      <c r="V1586" s="1" t="s">
        <v>1162</v>
      </c>
      <c r="W1586" s="1" t="s">
        <v>1163</v>
      </c>
      <c r="AR1586" s="1" t="str">
        <f t="shared" si="99"/>
        <v>| [ㄅㄧㄠ](ㄅㄧㄠ.md) | [颩](颩.md) |  | biāo | [動]
1.丟棄。元．王實甫《西廂記．第二本．楔子》：「颩了僧伽帽，袒下我這偏衫。」
2.揮打。元．馬致遠〈耍孩兒．近來時買得匹蒲梢騎套．三煞〉：「休教鞭颩著馬眼，休教鞭擦損毛衣。」 |</v>
      </c>
    </row>
    <row r="1587" spans="1:44">
      <c r="A1587" s="1" t="s">
        <v>1164</v>
      </c>
      <c r="C1587" s="1">
        <v>1</v>
      </c>
      <c r="D1587" s="1" t="str">
        <f>"00437"</f>
        <v>00437</v>
      </c>
      <c r="E1587" s="1" t="s">
        <v>129</v>
      </c>
      <c r="F1587" s="1">
        <v>14</v>
      </c>
      <c r="G1587" s="1">
        <v>11</v>
      </c>
      <c r="H1587" s="1">
        <v>0</v>
      </c>
      <c r="I1587" s="1" t="s">
        <v>1151</v>
      </c>
      <c r="K1587" s="1" t="str">
        <f t="shared" si="96"/>
        <v>ㄅ</v>
      </c>
      <c r="L1587" s="1" t="str">
        <f t="shared" si="97"/>
        <v>ㄧ</v>
      </c>
      <c r="M1587" s="1" t="str">
        <f t="shared" si="98"/>
        <v>ㄠ</v>
      </c>
      <c r="P1587" s="1" t="s">
        <v>20</v>
      </c>
      <c r="R1587" s="1" t="s">
        <v>1152</v>
      </c>
      <c r="V1587" s="1" t="s">
        <v>1165</v>
      </c>
      <c r="AR1587" s="1" t="str">
        <f t="shared" si="99"/>
        <v>| [ㄅㄧㄠ](ㄅㄧㄠ.md) | [滮](滮.md) |  | biāo | [形]
水流動的樣子。《詩經．小雅．白華》：「滮池北流，浸彼稻田。」漢．毛亨．傳：「滮，流貌。」唐．李翶〈江州南湖堤銘〉：「漭漭南陂，冬乾夏滮，九江暴漲，潛潮逆流。」 |</v>
      </c>
    </row>
    <row r="1588" spans="1:44">
      <c r="A1588" s="1" t="s">
        <v>1166</v>
      </c>
      <c r="C1588" s="1">
        <v>1</v>
      </c>
      <c r="D1588" s="1" t="str">
        <f>"00438"</f>
        <v>00438</v>
      </c>
      <c r="E1588" s="1" t="s">
        <v>198</v>
      </c>
      <c r="F1588" s="1">
        <v>12</v>
      </c>
      <c r="G1588" s="1">
        <v>8</v>
      </c>
      <c r="H1588" s="1">
        <v>0</v>
      </c>
      <c r="I1588" s="1" t="s">
        <v>1151</v>
      </c>
      <c r="K1588" s="1" t="str">
        <f t="shared" si="96"/>
        <v>ㄅ</v>
      </c>
      <c r="L1588" s="1" t="str">
        <f t="shared" si="97"/>
        <v>ㄧ</v>
      </c>
      <c r="M1588" s="1" t="str">
        <f t="shared" si="98"/>
        <v>ㄠ</v>
      </c>
      <c r="P1588" s="1" t="s">
        <v>20</v>
      </c>
      <c r="R1588" s="1" t="s">
        <v>1152</v>
      </c>
      <c r="V1588" s="1" t="s">
        <v>1167</v>
      </c>
      <c r="AR1588" s="1" t="str">
        <f t="shared" si="99"/>
        <v>| [ㄅㄧㄠ](ㄅㄧㄠ.md) | [猋](猋.md) |  | biāo | [形]
犬急奔。《說文解字．犬部》：「猋，犬走貌。」
[副]
迅急前往。《楚辭．屈原．九歌．雲中君》：「靈皇皇兮既降，猋遠舉兮雲中。」漢．王逸．注：「猋，去疾貌也。」《續漢書．第一〇．天文志上》：「是時光武將兵數千人赴救昆陽，奔擊二公，并力猋發，號呼聲動天地，虎豹驚怖敗振。」
[名]
暴風。同「飆」。《禮記．月令》：「猋風暴雨總至，藜莠蓬蒿並興。」 |</v>
      </c>
    </row>
    <row r="1589" spans="1:44">
      <c r="A1589" s="1" t="s">
        <v>1168</v>
      </c>
      <c r="C1589" s="1">
        <v>1</v>
      </c>
      <c r="D1589" s="1" t="str">
        <f>"00439"</f>
        <v>00439</v>
      </c>
      <c r="E1589" s="1" t="s">
        <v>1161</v>
      </c>
      <c r="F1589" s="1">
        <v>21</v>
      </c>
      <c r="G1589" s="1">
        <v>12</v>
      </c>
      <c r="H1589" s="1">
        <v>0</v>
      </c>
      <c r="I1589" s="1" t="s">
        <v>1151</v>
      </c>
      <c r="K1589" s="1" t="str">
        <f t="shared" si="96"/>
        <v>ㄅ</v>
      </c>
      <c r="L1589" s="1" t="str">
        <f t="shared" si="97"/>
        <v>ㄧ</v>
      </c>
      <c r="M1589" s="1" t="str">
        <f t="shared" si="98"/>
        <v>ㄠ</v>
      </c>
      <c r="P1589" s="1" t="s">
        <v>20</v>
      </c>
      <c r="R1589" s="1" t="s">
        <v>1152</v>
      </c>
      <c r="V1589" s="1" t="s">
        <v>1169</v>
      </c>
      <c r="AR1589" s="1" t="str">
        <f t="shared" si="99"/>
        <v>| [ㄅㄧㄠ](ㄅㄧㄠ.md) | [飆](飆.md) |  | biāo | [名]
1.暴風。《漢書．卷八七．揚雄傳上》：「風發飆拂，神騰鬼趡。」晉．陸雲〈南征賦〉：「狂飆起而妄駭，行雲藹而芊眠。」
2.風。《晉書．卷五四．陸機傳》：「落葉俟微飆以隕，而風之力蓋寡；孟嘗遭雍門以泣，而琴之感以末。」唐．白居易〈立秋夕有懷夢得〉詩：「是夕涼飆起，閒境入幽情。」
[動]
如暴風一樣的行動。如：「飆車」、「股票狂飆」。 |</v>
      </c>
    </row>
    <row r="1590" spans="1:44">
      <c r="A1590" s="1" t="s">
        <v>1170</v>
      </c>
      <c r="C1590" s="1">
        <v>1</v>
      </c>
      <c r="D1590" s="1" t="str">
        <f>"00440"</f>
        <v>00440</v>
      </c>
      <c r="E1590" s="1" t="s">
        <v>24</v>
      </c>
      <c r="F1590" s="1">
        <v>14</v>
      </c>
      <c r="G1590" s="1">
        <v>11</v>
      </c>
      <c r="H1590" s="1">
        <v>1</v>
      </c>
      <c r="I1590" s="1" t="s">
        <v>1151</v>
      </c>
      <c r="K1590" s="1" t="str">
        <f t="shared" si="96"/>
        <v>ㄅ</v>
      </c>
      <c r="L1590" s="1" t="str">
        <f t="shared" si="97"/>
        <v>ㄧ</v>
      </c>
      <c r="M1590" s="1" t="str">
        <f t="shared" si="98"/>
        <v>ㄠ</v>
      </c>
      <c r="P1590" s="1" t="s">
        <v>20</v>
      </c>
      <c r="R1590" s="1" t="s">
        <v>1152</v>
      </c>
      <c r="V1590" s="1" t="s">
        <v>1171</v>
      </c>
      <c r="W1590" s="1" t="s">
        <v>1172</v>
      </c>
      <c r="AR1590" s="1" t="str">
        <f t="shared" si="99"/>
        <v>| [ㄅㄧㄠ](ㄅㄧㄠ.md) | [摽](摽.md) |  | biāo | [動]
1.揮之使離去。《孟子．萬章下》：「摽使者出諸大門之外。」
2.拋落、丟棄。《公羊傳．莊公十三年》：「已盟，曹子摽劍而去之。」
3.擊。《左傳．哀公十二年》：「長木之斃，無不摽也。」元．李壽卿《伍員吹簫》第二折：「千金寶劍賽吳鉤，一片精光射斗牛……隨身偏壯忠臣膽，入手能摽逆子頭。」
[名]
標記、記號。通「標」。參見「摽幟」條。 |</v>
      </c>
    </row>
    <row r="1591" spans="1:44">
      <c r="A1591" s="1" t="s">
        <v>1173</v>
      </c>
      <c r="C1591" s="1">
        <v>1</v>
      </c>
      <c r="D1591" s="1" t="str">
        <f>"00441"</f>
        <v>00441</v>
      </c>
      <c r="E1591" s="1" t="s">
        <v>336</v>
      </c>
      <c r="F1591" s="1">
        <v>15</v>
      </c>
      <c r="G1591" s="1">
        <v>11</v>
      </c>
      <c r="H1591" s="1">
        <v>0</v>
      </c>
      <c r="I1591" s="1" t="s">
        <v>1151</v>
      </c>
      <c r="K1591" s="1" t="str">
        <f t="shared" si="96"/>
        <v>ㄅ</v>
      </c>
      <c r="L1591" s="1" t="str">
        <f t="shared" si="97"/>
        <v>ㄧ</v>
      </c>
      <c r="M1591" s="1" t="str">
        <f t="shared" si="98"/>
        <v>ㄠ</v>
      </c>
      <c r="P1591" s="1" t="s">
        <v>20</v>
      </c>
      <c r="R1591" s="1" t="s">
        <v>1152</v>
      </c>
      <c r="V1591" s="1" t="s">
        <v>1174</v>
      </c>
      <c r="AR1591" s="1" t="str">
        <f t="shared" si="99"/>
        <v>| [ㄅㄧㄠ](ㄅㄧㄠ.md) | [熛](熛.md) |  | biāo | [名]
火焰。《史記．卷九二．淮陰侯傳》：「天下之士雲合霧集，魚鱗雜遝，熛至風起。」《唐書．卷二二〇．東夷傳．高麗傳》：「士縱火焚西南，熛延城中，屋幾盡。」
[形]
迅速、疾速。如：「熛風」。
[副]
突然、驟然。如：「熛起」。 |</v>
      </c>
    </row>
    <row r="1592" spans="1:44">
      <c r="A1592" s="1" t="s">
        <v>1175</v>
      </c>
      <c r="C1592" s="1">
        <v>1</v>
      </c>
      <c r="D1592" s="1" t="str">
        <f>"00442"</f>
        <v>00442</v>
      </c>
      <c r="E1592" s="1" t="s">
        <v>139</v>
      </c>
      <c r="F1592" s="1">
        <v>15</v>
      </c>
      <c r="G1592" s="1">
        <v>11</v>
      </c>
      <c r="H1592" s="1">
        <v>1</v>
      </c>
      <c r="I1592" s="1" t="s">
        <v>1151</v>
      </c>
      <c r="K1592" s="1" t="str">
        <f t="shared" si="96"/>
        <v>ㄅ</v>
      </c>
      <c r="L1592" s="1" t="str">
        <f t="shared" si="97"/>
        <v>ㄧ</v>
      </c>
      <c r="M1592" s="1" t="str">
        <f t="shared" si="98"/>
        <v>ㄠ</v>
      </c>
      <c r="P1592" s="1" t="s">
        <v>20</v>
      </c>
      <c r="R1592" s="1" t="s">
        <v>1152</v>
      </c>
      <c r="V1592" s="1" t="s">
        <v>1176</v>
      </c>
      <c r="W1592" s="1" t="s">
        <v>1177</v>
      </c>
      <c r="AR1592" s="1" t="str">
        <f t="shared" si="99"/>
        <v>| [ㄅㄧㄠ](ㄅㄧㄠ.md) | [標](標.md) |  | biāo | [名]
1.樹梢。《玉篇．木部》：「標，木末也。」《文選．盧諶．贈劉琨詩》：「綿綿女蘿，施于松標。」
2.末尾。指非根本的事物。如：「治標」。《管子．霸言》：「大本而小標。」唐．尹知章．注：「標，末也。」《淮南子．天文》：「物類相動，本標相應。」
3.表記、符號。如：「商標」、「路標」、「音標」、「游標」、「浮標」。唐．李白〈蜀道難〉：「上有六龍回日之高標，下有衝波逆折之回川。」
4.旗幟。宋．陶穀《清異錄．卷四．火龍標》：「梁祖自初起，每令左右持大赤旗，緩急之際，用以揮軍，祖自目為火龍標。」
5.準則、榜樣。《晉書．卷八〇．王羲之傳》：「楨之曰：『亡叔一時之標，公是千載之英。』」《封神演義》第二回：「且君為臣之標率，君不向道，臣下將化之。」
6.授給競賽中優勝者的獎勵品。如：「錦標」、「奪標」。宋．吳自牧《夢粱錄．卷一．八日祠山聖誕》：「其龍舟遠列成行，而先進者得捷取標賞，聲喏而退，餘者以錢酒支犒也。」
7.對一定數量的工程或商品，照一定的標準估定的價目。如：「底標」、「投標」、「開標」、「招標」。
8.清末陸軍編制，以三營為一標，相當於今日陸軍的團。
[動]
1.特出、揭舉。如：「標榜」、「標新立異」。南朝梁．劉勰《文心雕龍．明詩》：「唯嵇志清峻，阮旨遙深，故能標焉。」唐．李白〈明堂賦〉：「遠則標熊耳以作揭，豁龍門以開關。」
2.表明、顯示。如：「標示」、「標明」、「標價」。《醒世恆言．卷四．灌園叟晚逢仙女》：「梅標清骨，蘭挺幽芳。」
3.出標子比價競取。如：「標會」、「標購」。
[形]
才能出眾，很有本事的樣子。元．李文蔚《圯橋進履》第三折：「我做大將甚是標，兵書戰策不曾學，聽的廝殺推害病，正是買賣歸來汗未消。」元．無名氏《延安府》第二折：「我做廚子實是標，偏能蒸作快烹炰。」 |</v>
      </c>
    </row>
    <row r="1593" spans="1:44">
      <c r="A1593" s="1" t="s">
        <v>1178</v>
      </c>
      <c r="C1593" s="1">
        <v>1</v>
      </c>
      <c r="D1593" s="1" t="str">
        <f>"00443"</f>
        <v>00443</v>
      </c>
      <c r="E1593" s="1" t="s">
        <v>37</v>
      </c>
      <c r="F1593" s="1">
        <v>15</v>
      </c>
      <c r="G1593" s="1">
        <v>11</v>
      </c>
      <c r="H1593" s="1">
        <v>0</v>
      </c>
      <c r="I1593" s="1" t="s">
        <v>1151</v>
      </c>
      <c r="K1593" s="1" t="str">
        <f t="shared" si="96"/>
        <v>ㄅ</v>
      </c>
      <c r="L1593" s="1" t="str">
        <f t="shared" si="97"/>
        <v>ㄧ</v>
      </c>
      <c r="M1593" s="1" t="str">
        <f t="shared" si="98"/>
        <v>ㄠ</v>
      </c>
      <c r="P1593" s="1" t="s">
        <v>20</v>
      </c>
      <c r="R1593" s="1" t="s">
        <v>1152</v>
      </c>
      <c r="V1593" s="1" t="s">
        <v>1179</v>
      </c>
      <c r="AR1593" s="1" t="str">
        <f t="shared" si="99"/>
        <v>| [ㄅㄧㄠ](ㄅㄧㄠ.md) | [蔈](蔈.md) |  | biāo | [名]
1.開黃色花朵的凌霄花。《爾雅．釋草》：「苕，陵苕。黃華，蔈；白華，茇。」宋．邢昺．疏：「苕，一名陵苕。……黃花名蔈，白華名茇，別華色之名也。」
2.無根的水中草。通「薸」。《淮南子．墬形》：「容華生蔈，蔈生萍藻，萍藻生浮草。」 |</v>
      </c>
    </row>
    <row r="1594" spans="1:44">
      <c r="A1594" s="1" t="s">
        <v>1180</v>
      </c>
      <c r="C1594" s="1">
        <v>1</v>
      </c>
      <c r="D1594" s="1" t="str">
        <f>"00444"</f>
        <v>00444</v>
      </c>
      <c r="E1594" s="1" t="s">
        <v>68</v>
      </c>
      <c r="F1594" s="1">
        <v>15</v>
      </c>
      <c r="G1594" s="1">
        <v>11</v>
      </c>
      <c r="H1594" s="1">
        <v>0</v>
      </c>
      <c r="I1594" s="1" t="s">
        <v>1151</v>
      </c>
      <c r="K1594" s="1" t="str">
        <f t="shared" si="96"/>
        <v>ㄅ</v>
      </c>
      <c r="L1594" s="1" t="str">
        <f t="shared" si="97"/>
        <v>ㄧ</v>
      </c>
      <c r="M1594" s="1" t="str">
        <f t="shared" si="98"/>
        <v>ㄠ</v>
      </c>
      <c r="P1594" s="1" t="s">
        <v>20</v>
      </c>
      <c r="R1594" s="1" t="s">
        <v>1152</v>
      </c>
      <c r="V1594" s="1" t="s">
        <v>1181</v>
      </c>
      <c r="AR1594" s="1" t="str">
        <f t="shared" si="99"/>
        <v>| [ㄅㄧㄠ](ㄅㄧㄠ.md) | [膘](膘.md) |  | biāo | [名]
1.牛小腹兩旁的肉。《說文解字．肉部》：「膘，牛脅後髀前合革肉也。」
2.肥肉。元．秦𥳑夫《趙禮讓肥》第二折：「我這裡骨崖崖欲行還倒，我是個餓損的人有甚麼脂膘。」《西遊記》第四回：「那些天馬見了他，泯耳攢蹄，倒養得肉膘肥滿。」 |</v>
      </c>
    </row>
    <row r="1595" spans="1:44">
      <c r="A1595" s="1" t="s">
        <v>1182</v>
      </c>
      <c r="C1595" s="1">
        <v>1</v>
      </c>
      <c r="D1595" s="1" t="str">
        <f>"00445"</f>
        <v>00445</v>
      </c>
      <c r="E1595" s="1" t="s">
        <v>40</v>
      </c>
      <c r="F1595" s="1">
        <v>16</v>
      </c>
      <c r="G1595" s="1">
        <v>11</v>
      </c>
      <c r="H1595" s="1">
        <v>0</v>
      </c>
      <c r="I1595" s="1" t="s">
        <v>1151</v>
      </c>
      <c r="K1595" s="1" t="str">
        <f t="shared" si="96"/>
        <v>ㄅ</v>
      </c>
      <c r="L1595" s="1" t="str">
        <f t="shared" si="97"/>
        <v>ㄧ</v>
      </c>
      <c r="M1595" s="1" t="str">
        <f t="shared" si="98"/>
        <v>ㄠ</v>
      </c>
      <c r="P1595" s="1" t="s">
        <v>20</v>
      </c>
      <c r="R1595" s="1" t="s">
        <v>1152</v>
      </c>
      <c r="V1595" s="1" t="s">
        <v>1183</v>
      </c>
      <c r="AR1595" s="1" t="str">
        <f t="shared" si="99"/>
        <v>| [ㄅㄧㄠ](ㄅㄧㄠ.md) | [瘭](瘭.md) |  | biāo | 參見「瘭疽」條。 |</v>
      </c>
    </row>
    <row r="1596" spans="1:44">
      <c r="A1596" s="1" t="s">
        <v>1184</v>
      </c>
      <c r="C1596" s="1">
        <v>1</v>
      </c>
      <c r="D1596" s="1" t="str">
        <f>"00446"</f>
        <v>00446</v>
      </c>
      <c r="E1596" s="1" t="s">
        <v>55</v>
      </c>
      <c r="F1596" s="1">
        <v>19</v>
      </c>
      <c r="G1596" s="1">
        <v>11</v>
      </c>
      <c r="H1596" s="1">
        <v>0</v>
      </c>
      <c r="I1596" s="1" t="s">
        <v>1151</v>
      </c>
      <c r="K1596" s="1" t="str">
        <f t="shared" si="96"/>
        <v>ㄅ</v>
      </c>
      <c r="L1596" s="1" t="str">
        <f t="shared" si="97"/>
        <v>ㄧ</v>
      </c>
      <c r="M1596" s="1" t="str">
        <f t="shared" si="98"/>
        <v>ㄠ</v>
      </c>
      <c r="P1596" s="1" t="s">
        <v>20</v>
      </c>
      <c r="R1596" s="1" t="s">
        <v>1152</v>
      </c>
      <c r="V1596" s="1" t="s">
        <v>1185</v>
      </c>
      <c r="AR1596" s="1" t="str">
        <f t="shared" si="99"/>
        <v>| [ㄅㄧㄠ](ㄅㄧㄠ.md) | [鏢](鏢.md) |  | biāo | [名]
1.舊時一種金屬暗器。形似矛頭，長短輕重不一，可投擲，具殺傷力。如：「飛鏢」、「毒鏢」。《兒女英雄傳》第一五回：「他把手裡這枝鏢，迎著那枝鏢發出去，打個正著！」
2.古代委託鏢局保護運送的行李或財物。如：「失鏢」、「索鏢」、「走鏢」。 |</v>
      </c>
    </row>
    <row r="1597" spans="1:44">
      <c r="A1597" s="1" t="s">
        <v>1186</v>
      </c>
      <c r="C1597" s="1">
        <v>1</v>
      </c>
      <c r="D1597" s="1" t="str">
        <f>"00447"</f>
        <v>00447</v>
      </c>
      <c r="E1597" s="1" t="s">
        <v>1161</v>
      </c>
      <c r="F1597" s="1">
        <v>14</v>
      </c>
      <c r="G1597" s="1">
        <v>5</v>
      </c>
      <c r="H1597" s="1">
        <v>2</v>
      </c>
      <c r="I1597" s="1" t="s">
        <v>1151</v>
      </c>
      <c r="K1597" s="1" t="str">
        <f t="shared" si="96"/>
        <v>ㄅ</v>
      </c>
      <c r="L1597" s="1" t="str">
        <f t="shared" si="97"/>
        <v>ㄧ</v>
      </c>
      <c r="M1597" s="1" t="str">
        <f t="shared" si="98"/>
        <v>ㄠ</v>
      </c>
      <c r="P1597" s="1" t="s">
        <v>20</v>
      </c>
      <c r="R1597" s="1" t="s">
        <v>1152</v>
      </c>
      <c r="V1597" s="1" t="s">
        <v>1187</v>
      </c>
      <c r="W1597" s="1" t="s">
        <v>1188</v>
      </c>
      <c r="AR1597" s="1" t="str">
        <f t="shared" si="99"/>
        <v>| [ㄅㄧㄠ](ㄅㄧㄠ.md) | [颮](颮.md) |  | biāo | [名]
扶搖而上的風。同「飆」。《說文解字．風部》：「颮，古文飆。」 |</v>
      </c>
    </row>
    <row r="1598" spans="1:44">
      <c r="A1598" s="1" t="s">
        <v>1189</v>
      </c>
      <c r="C1598" s="1">
        <v>1</v>
      </c>
      <c r="D1598" s="1" t="str">
        <f>"00448"</f>
        <v>00448</v>
      </c>
      <c r="E1598" s="1" t="s">
        <v>1190</v>
      </c>
      <c r="F1598" s="1">
        <v>15</v>
      </c>
      <c r="G1598" s="1">
        <v>4</v>
      </c>
      <c r="H1598" s="1">
        <v>1</v>
      </c>
      <c r="I1598" s="1" t="s">
        <v>1151</v>
      </c>
      <c r="K1598" s="1" t="str">
        <f t="shared" si="96"/>
        <v>ㄅ</v>
      </c>
      <c r="L1598" s="1" t="str">
        <f t="shared" si="97"/>
        <v>ㄧ</v>
      </c>
      <c r="M1598" s="1" t="str">
        <f t="shared" si="98"/>
        <v>ㄠ</v>
      </c>
      <c r="P1598" s="1" t="s">
        <v>20</v>
      </c>
      <c r="R1598" s="1" t="s">
        <v>1152</v>
      </c>
      <c r="V1598" s="1" t="s">
        <v>1191</v>
      </c>
      <c r="W1598" s="1" t="s">
        <v>1192</v>
      </c>
      <c r="AR1598" s="1" t="str">
        <f t="shared" si="99"/>
        <v>| [ㄅㄧㄠ](ㄅㄧㄠ.md) | [麃](麃.md) |  | biāo | [形]
參見「麃麃」條。
[動]
除去田間雜草。《詩經．周頌．載芟》：「驛驛其達，有厭其傑；厭厭其苗，綿綿其麃。」漢．毛亨．傳：「麃，耘也。」 |</v>
      </c>
    </row>
    <row r="1599" spans="1:44">
      <c r="A1599" s="1" t="s">
        <v>1193</v>
      </c>
      <c r="C1599" s="1">
        <v>1</v>
      </c>
      <c r="D1599" s="1" t="str">
        <f>"00449"</f>
        <v>00449</v>
      </c>
      <c r="E1599" s="1" t="s">
        <v>114</v>
      </c>
      <c r="F1599" s="1">
        <v>17</v>
      </c>
      <c r="G1599" s="1">
        <v>15</v>
      </c>
      <c r="H1599" s="1">
        <v>0</v>
      </c>
      <c r="I1599" s="1" t="s">
        <v>1151</v>
      </c>
      <c r="K1599" s="1" t="str">
        <f t="shared" si="96"/>
        <v>ㄅ</v>
      </c>
      <c r="L1599" s="1" t="str">
        <f t="shared" si="97"/>
        <v>ㄧ</v>
      </c>
      <c r="M1599" s="1" t="str">
        <f t="shared" si="98"/>
        <v>ㄠ</v>
      </c>
      <c r="P1599" s="1" t="s">
        <v>20</v>
      </c>
      <c r="R1599" s="1" t="s">
        <v>1152</v>
      </c>
      <c r="V1599" s="1" t="s">
        <v>1194</v>
      </c>
      <c r="AR1599" s="1" t="str">
        <f t="shared" si="99"/>
        <v>| [ㄅㄧㄠ](ㄅㄧㄠ.md) | [儦](儦.md) |  | biāo | 參見「儦儦」條。 |</v>
      </c>
    </row>
    <row r="1600" spans="1:44">
      <c r="A1600" s="1" t="s">
        <v>1195</v>
      </c>
      <c r="C1600" s="1">
        <v>1</v>
      </c>
      <c r="D1600" s="1" t="str">
        <f>"00450"</f>
        <v>00450</v>
      </c>
      <c r="E1600" s="1" t="s">
        <v>129</v>
      </c>
      <c r="F1600" s="1">
        <v>18</v>
      </c>
      <c r="G1600" s="1">
        <v>15</v>
      </c>
      <c r="H1600" s="1">
        <v>0</v>
      </c>
      <c r="I1600" s="1" t="s">
        <v>1151</v>
      </c>
      <c r="K1600" s="1" t="str">
        <f t="shared" si="96"/>
        <v>ㄅ</v>
      </c>
      <c r="L1600" s="1" t="str">
        <f t="shared" si="97"/>
        <v>ㄧ</v>
      </c>
      <c r="M1600" s="1" t="str">
        <f t="shared" si="98"/>
        <v>ㄠ</v>
      </c>
      <c r="P1600" s="1" t="s">
        <v>20</v>
      </c>
      <c r="R1600" s="1" t="s">
        <v>1152</v>
      </c>
      <c r="V1600" s="1" t="s">
        <v>1196</v>
      </c>
      <c r="AR1600" s="1" t="str">
        <f t="shared" si="99"/>
        <v>| [ㄅㄧㄠ](ㄅㄧㄠ.md) | [瀌](瀌.md) |  | biāo | 參見「瀌瀌」條。 |</v>
      </c>
    </row>
    <row r="1601" spans="1:44">
      <c r="A1601" s="1" t="s">
        <v>1197</v>
      </c>
      <c r="C1601" s="1">
        <v>1</v>
      </c>
      <c r="D1601" s="1" t="str">
        <f>"00451"</f>
        <v>00451</v>
      </c>
      <c r="E1601" s="1" t="s">
        <v>37</v>
      </c>
      <c r="F1601" s="1">
        <v>19</v>
      </c>
      <c r="G1601" s="1">
        <v>15</v>
      </c>
      <c r="H1601" s="1">
        <v>0</v>
      </c>
      <c r="I1601" s="1" t="s">
        <v>1151</v>
      </c>
      <c r="K1601" s="1" t="str">
        <f t="shared" si="96"/>
        <v>ㄅ</v>
      </c>
      <c r="L1601" s="1" t="str">
        <f t="shared" si="97"/>
        <v>ㄧ</v>
      </c>
      <c r="M1601" s="1" t="str">
        <f t="shared" si="98"/>
        <v>ㄠ</v>
      </c>
      <c r="P1601" s="1" t="s">
        <v>20</v>
      </c>
      <c r="R1601" s="1" t="s">
        <v>1152</v>
      </c>
      <c r="V1601" s="1" t="s">
        <v>1198</v>
      </c>
      <c r="AR1601" s="1" t="str">
        <f t="shared" si="99"/>
        <v>| [ㄅㄧㄠ](ㄅㄧㄠ.md) | [藨](藨.md) |  | biāo | [名]_x000D_
植物名：(1)薔薇科懸鉤子屬，「茅莓」、「紅莓消」之古稱，參見「茅莓」條。《爾雅．釋草》：「藨，麃。」晉．郭璞．注：「麃，即莓也。今江東呼為藨莓。子似覆葐而大，赤，酢甜可啖。」明．李時珍《本草綱目．卷一八．草部．蓬蘽》：「一種蔓小於蓬虆，一枝三葉，葉面青，背淡白而微有毛，開小白花，四月實熟，其色紅如櫻桃者，俗名&amp;9A6C._104_0.gif;田藨，即《爾雅》所謂藨者也。」(2)豆科鹿藿屬，「鹿藿」之古稱，參見「鹿藿」條。_x000D_
[動]_x000D_
除草。通「穮」、「麃」。晉．張華〈勵志詩〉：「如彼南畝，力耒既勤，藨蔉致功，必有豐殷。」 |</v>
      </c>
    </row>
    <row r="1602" spans="1:44">
      <c r="A1602" s="1" t="s">
        <v>1199</v>
      </c>
      <c r="C1602" s="1">
        <v>1</v>
      </c>
      <c r="D1602" s="1" t="str">
        <f>"00452"</f>
        <v>00452</v>
      </c>
      <c r="E1602" s="1" t="s">
        <v>68</v>
      </c>
      <c r="F1602" s="1">
        <v>19</v>
      </c>
      <c r="G1602" s="1">
        <v>15</v>
      </c>
      <c r="H1602" s="1">
        <v>0</v>
      </c>
      <c r="I1602" s="1" t="s">
        <v>1151</v>
      </c>
      <c r="K1602" s="1" t="str">
        <f t="shared" ref="K1602:K1665" si="100">LEFT(I1602, 1)</f>
        <v>ㄅ</v>
      </c>
      <c r="L1602" s="1" t="str">
        <f t="shared" ref="L1602:L1665" si="101">MID(I1602, 2, 1)</f>
        <v>ㄧ</v>
      </c>
      <c r="M1602" s="1" t="str">
        <f t="shared" ref="M1602:M1665" si="102">MID(I1602, 3, 1)</f>
        <v>ㄠ</v>
      </c>
      <c r="P1602" s="1" t="s">
        <v>20</v>
      </c>
      <c r="R1602" s="1" t="s">
        <v>1152</v>
      </c>
      <c r="V1602" s="1" t="s">
        <v>1200</v>
      </c>
      <c r="AR1602" s="1" t="str">
        <f t="shared" si="99"/>
        <v>| [ㄅㄧㄠ](ㄅㄧㄠ.md) | [臕](臕.md) |  | biāo | [名]
肥肉或肥厚的脂肪。《樂府詩集．卷二五．橫吹曲辭五．企喻歌辭四曲之二》：「放馬大澤中，草好馬著臕。」《警世通言．卷二四．玉堂春落難逢夫》：「只看他這等黃瘦，一棍打在那裡？等他臕滿肉肥，那時打他不遲。」 |</v>
      </c>
    </row>
    <row r="1603" spans="1:44">
      <c r="A1603" s="1" t="s">
        <v>1201</v>
      </c>
      <c r="C1603" s="1">
        <v>1</v>
      </c>
      <c r="D1603" s="1" t="str">
        <f>"00453"</f>
        <v>00453</v>
      </c>
      <c r="E1603" s="1" t="s">
        <v>429</v>
      </c>
      <c r="F1603" s="1">
        <v>20</v>
      </c>
      <c r="G1603" s="1">
        <v>15</v>
      </c>
      <c r="H1603" s="1">
        <v>0</v>
      </c>
      <c r="I1603" s="1" t="s">
        <v>1151</v>
      </c>
      <c r="K1603" s="1" t="str">
        <f t="shared" si="100"/>
        <v>ㄅ</v>
      </c>
      <c r="L1603" s="1" t="str">
        <f t="shared" si="101"/>
        <v>ㄧ</v>
      </c>
      <c r="M1603" s="1" t="str">
        <f t="shared" si="102"/>
        <v>ㄠ</v>
      </c>
      <c r="P1603" s="1" t="s">
        <v>20</v>
      </c>
      <c r="R1603" s="1" t="s">
        <v>1152</v>
      </c>
      <c r="V1603" s="1" t="s">
        <v>1202</v>
      </c>
      <c r="AR1603" s="1" t="str">
        <f t="shared" ref="AR1603:AR1666" si="103">"| ["&amp;I1603&amp;"]("&amp;I1603&amp;".md) | ["&amp;A1603&amp;"]("&amp;A1603&amp;".md) | "&amp;" | "&amp;R1603&amp;" | "&amp;V1603&amp;" |"</f>
        <v>| [ㄅㄧㄠ](ㄅㄧㄠ.md) | [穮](穮.md) |  | biāo | [動]
耘田、除草。《左傳．昭公元年》：「譬如農夫，是穮是蔉；雖有饑饉，必有豐年。」晉．杜預．注：「穮，耘也。」 |</v>
      </c>
    </row>
    <row r="1604" spans="1:44">
      <c r="A1604" s="1" t="s">
        <v>1203</v>
      </c>
      <c r="C1604" s="1">
        <v>1</v>
      </c>
      <c r="D1604" s="1" t="str">
        <f>"00454"</f>
        <v>00454</v>
      </c>
      <c r="E1604" s="1" t="s">
        <v>55</v>
      </c>
      <c r="F1604" s="1">
        <v>23</v>
      </c>
      <c r="G1604" s="1">
        <v>15</v>
      </c>
      <c r="H1604" s="1">
        <v>0</v>
      </c>
      <c r="I1604" s="1" t="s">
        <v>1151</v>
      </c>
      <c r="K1604" s="1" t="str">
        <f t="shared" si="100"/>
        <v>ㄅ</v>
      </c>
      <c r="L1604" s="1" t="str">
        <f t="shared" si="101"/>
        <v>ㄧ</v>
      </c>
      <c r="M1604" s="1" t="str">
        <f t="shared" si="102"/>
        <v>ㄠ</v>
      </c>
      <c r="P1604" s="1" t="s">
        <v>20</v>
      </c>
      <c r="R1604" s="1" t="s">
        <v>1152</v>
      </c>
      <c r="V1604" s="1" t="s">
        <v>1204</v>
      </c>
      <c r="AR1604" s="1" t="str">
        <f t="shared" si="103"/>
        <v>| [ㄅㄧㄠ](ㄅㄧㄠ.md) | [鑣](鑣.md) |  | biāo | [名]
1.馬口中所含的鐵環。《說文解字．金部》：「鑣，馬銜也。」《楚辭．劉向．九歎．離世》：「斷鑣銜以馳騖兮，暮去次而敢止。」《文選．傅毅．舞賦》：「龍驤橫舉，揚鑣飛沫；馬材不同，各相傾奪。」
2.馬、坐騎。唐．李嶠〈侍宴長寧公主東莊應制〉詩：「承恩咸已醉，戀賞未還鑣。」明．陸世廉《西臺記》第四齣：「你還記得患難相從有謝翶，今日裡天上人間不共鑣。」
3.舊時一種用來投擲的金屬暗器。通「鏢」。如：「飛鑣」、「毒鑣」、「子母鑣」。 |</v>
      </c>
    </row>
    <row r="1605" spans="1:44">
      <c r="A1605" s="1" t="s">
        <v>1205</v>
      </c>
      <c r="C1605" s="1">
        <v>1</v>
      </c>
      <c r="D1605" s="1" t="str">
        <f>"00455"</f>
        <v>00455</v>
      </c>
      <c r="E1605" s="1" t="s">
        <v>336</v>
      </c>
      <c r="F1605" s="1">
        <v>19</v>
      </c>
      <c r="G1605" s="1">
        <v>15</v>
      </c>
      <c r="H1605" s="1">
        <v>0</v>
      </c>
      <c r="I1605" s="1" t="s">
        <v>1151</v>
      </c>
      <c r="K1605" s="1" t="str">
        <f t="shared" si="100"/>
        <v>ㄅ</v>
      </c>
      <c r="L1605" s="1" t="str">
        <f t="shared" si="101"/>
        <v>ㄧ</v>
      </c>
      <c r="M1605" s="1" t="str">
        <f t="shared" si="102"/>
        <v>ㄠ</v>
      </c>
      <c r="P1605" s="1" t="s">
        <v>20</v>
      </c>
      <c r="R1605" s="1" t="s">
        <v>1152</v>
      </c>
      <c r="V1605" s="1" t="s">
        <v>1206</v>
      </c>
      <c r="AR1605" s="1" t="str">
        <f t="shared" si="103"/>
        <v>| [ㄅㄧㄠ](ㄅㄧㄠ.md) | [爂](爂.md) |  | biāo | [形]
輕脆。《周禮．地官．草人》：「輕爂用犬。」漢．鄭玄．注：「輕爂，輕脆者。」 |</v>
      </c>
    </row>
    <row r="1606" spans="1:44">
      <c r="A1606" s="1" t="s">
        <v>1207</v>
      </c>
      <c r="C1606" s="1">
        <v>1</v>
      </c>
      <c r="D1606" s="1" t="str">
        <f>"00456"</f>
        <v>00456</v>
      </c>
      <c r="E1606" s="1" t="s">
        <v>340</v>
      </c>
      <c r="F1606" s="1">
        <v>8</v>
      </c>
      <c r="G1606" s="1">
        <v>3</v>
      </c>
      <c r="H1606" s="1">
        <v>0</v>
      </c>
      <c r="I1606" s="1" t="s">
        <v>1208</v>
      </c>
      <c r="K1606" s="1" t="str">
        <f t="shared" si="100"/>
        <v>ㄅ</v>
      </c>
      <c r="L1606" s="1" t="str">
        <f t="shared" si="101"/>
        <v>ㄧ</v>
      </c>
      <c r="M1606" s="1" t="str">
        <f t="shared" si="102"/>
        <v>ㄠ</v>
      </c>
      <c r="P1606" s="1" t="s">
        <v>20</v>
      </c>
      <c r="R1606" s="1" t="s">
        <v>1209</v>
      </c>
      <c r="V1606" s="1" t="s">
        <v>1210</v>
      </c>
      <c r="AR1606" s="1" t="str">
        <f t="shared" si="103"/>
        <v>| [ㄅㄧㄠˇ](ㄅㄧㄠˇ.md) | [表](表.md) |  | biǎo | [名]
1.外衣。《說文解字．衣部》：「表，上衣也。」清．段玉裁．注：「上衣者，衣之在外者也。」明．袁宏道〈雨後遊六橋記〉：「諸友白其內者皆去表。」
2.標識。《管子．君臣上》：「民有疑惑貳豫之心，而上不能匡，則百姓之與間，猶揭表而令之止也。」唐．尹知章．注：「表，謂以本為標，有所告示也。」
3.事物外在的一面。如：「外表」、「江表」、「虛有其表」、「出人意表」。《左傳．僖公五年》：「虢，虞之表也。虢亡虞必從之。」《文選．潘岳．西征賦》：「或從容傅會，望表知裡。」
4.模範、榜樣。如：「表率」、「為人師表」。《文選．班固．幽通賦》：「保身遺名，民之表兮。」
5.古代臣子呈給帝王的一種奏章。如三國蜀諸葛亮的〈出師表〉、李密的〈陳情表〉。明．徐師曾〈文體明辨序說．表〉：「古者獻言於君，皆稱上書。漢定禮儀，乃有四品，其三曰表，然但用以陳請而已。後世因之，其用寖廣。」
6.石碑。《漢書．卷七五．李尋傳》：「千里立表，萬里連紀。」
7.墓表、墓誌。如宋代歐陽修的〈瀧岡阡表〉。
8.分格或分項以列記事物的文件。如：「報表」、「課表」、「統計表」、「調查表」、「史記十二諸侯年表」。
9.人除正名以外的其他字號。《醒世恆言．卷七．錢秀才錯占鳳凰儔》：「（高贊）接口就問說：『此位就是令親顏大官人？前日不曾問得貴表。』錢青道：『年幼無表。』」
10. 計時器或計量器。如：「手表」、「電表」。《紅樓夢》第一九回：「寶玉命取表來看時，果然針已指亥正。」也作「錶」。
11. 表親。如：「姑表」、「姨表」、「老表」。
12. 泛指行為不檢點的婦女，也多專指妓女。通「婊」。
13. 姓。如明代有表貢。
[動]
1.加上外衣。《論語．鄉黨》：「當暑，袗絺綌，必表而出之。」三國魏．何晏．箋：「必表而出之，加上衣。」
2.顯揚、獎勵。《史記．卷五五．留侯世家》：「今陛下能封聖人之墓、表賢者之閭、式智者之門乎？」《文選．司馬遷．報任少卿書》：「恨私心有所不盡，鄙陋沒世而文彩不表於後世也。」
3.傳達、宣布、告訴。如：「閒話不表」、「略表心意」。《漢書．卷六五．東方朔傳》：「又詔中尉、左右內史，表屬縣草田，欲以償鄠杜之民。」《二刻拍案驚奇》卷二五：「真正是沒頭的公事，表過不提。」
4.上奏章奏明某事。《三國志．卷三五．蜀書．諸葛亮傳》：「亮自表後主。」
5.上表推薦。《三國志．卷四七．吳書．吳主傳》：「曹公表權為討虜將軍。」
6.鑒察。如：「惟天可表」。《董西廂》卷七：「負心的天地表！天地表！」
7.裝潢修補書畫。通「裱」。《儒林外史》第三三回：「我表了個手卷在此，願捐的寫在上面。」 |</v>
      </c>
    </row>
    <row r="1607" spans="1:44">
      <c r="A1607" s="1" t="s">
        <v>1211</v>
      </c>
      <c r="C1607" s="1">
        <v>1</v>
      </c>
      <c r="D1607" s="1" t="str">
        <f>"00457"</f>
        <v>00457</v>
      </c>
      <c r="E1607" s="1" t="s">
        <v>114</v>
      </c>
      <c r="F1607" s="1">
        <v>10</v>
      </c>
      <c r="G1607" s="1">
        <v>8</v>
      </c>
      <c r="H1607" s="1">
        <v>0</v>
      </c>
      <c r="I1607" s="1" t="s">
        <v>1208</v>
      </c>
      <c r="K1607" s="1" t="str">
        <f t="shared" si="100"/>
        <v>ㄅ</v>
      </c>
      <c r="L1607" s="1" t="str">
        <f t="shared" si="101"/>
        <v>ㄧ</v>
      </c>
      <c r="M1607" s="1" t="str">
        <f t="shared" si="102"/>
        <v>ㄠ</v>
      </c>
      <c r="P1607" s="1" t="s">
        <v>20</v>
      </c>
      <c r="R1607" s="1" t="s">
        <v>1209</v>
      </c>
      <c r="V1607" s="1" t="s">
        <v>1212</v>
      </c>
      <c r="AR1607" s="1" t="str">
        <f t="shared" si="103"/>
        <v>| [ㄅㄧㄠˇ](ㄅㄧㄠˇ.md) | [俵](俵.md) |  | biǎo | [動]
分給、分派。《集韻．去聲．笑韻》：「俵，分與也。」宋．蘇軾〈奏浙西災傷第一狀〉：「巡門俵米，攔街散粥，終不能救。」元．劉時中〈端正好．眾生靈套．倘秀才〉曲：「比及燒昏鈔先行擺布，散夫錢僻靜處俵與。」 |</v>
      </c>
    </row>
    <row r="1608" spans="1:44">
      <c r="A1608" s="1" t="s">
        <v>1213</v>
      </c>
      <c r="C1608" s="1">
        <v>1</v>
      </c>
      <c r="D1608" s="1" t="str">
        <f>"00458"</f>
        <v>00458</v>
      </c>
      <c r="E1608" s="1" t="s">
        <v>534</v>
      </c>
      <c r="F1608" s="1">
        <v>11</v>
      </c>
      <c r="G1608" s="1">
        <v>8</v>
      </c>
      <c r="H1608" s="1">
        <v>0</v>
      </c>
      <c r="I1608" s="1" t="s">
        <v>1208</v>
      </c>
      <c r="K1608" s="1" t="str">
        <f t="shared" si="100"/>
        <v>ㄅ</v>
      </c>
      <c r="L1608" s="1" t="str">
        <f t="shared" si="101"/>
        <v>ㄧ</v>
      </c>
      <c r="M1608" s="1" t="str">
        <f t="shared" si="102"/>
        <v>ㄠ</v>
      </c>
      <c r="P1608" s="1" t="s">
        <v>20</v>
      </c>
      <c r="R1608" s="1" t="s">
        <v>1209</v>
      </c>
      <c r="V1608" s="1" t="s">
        <v>1214</v>
      </c>
      <c r="AR1608" s="1" t="str">
        <f t="shared" si="103"/>
        <v>| [ㄅㄧㄠˇ](ㄅㄧㄠˇ.md) | [婊](婊.md) |  | biǎo | 參見「婊子」條。 |</v>
      </c>
    </row>
    <row r="1609" spans="1:44">
      <c r="A1609" s="1" t="s">
        <v>1215</v>
      </c>
      <c r="C1609" s="1">
        <v>1</v>
      </c>
      <c r="D1609" s="1" t="str">
        <f>"00459"</f>
        <v>00459</v>
      </c>
      <c r="E1609" s="1" t="s">
        <v>340</v>
      </c>
      <c r="F1609" s="1">
        <v>14</v>
      </c>
      <c r="G1609" s="1">
        <v>8</v>
      </c>
      <c r="H1609" s="1">
        <v>0</v>
      </c>
      <c r="I1609" s="1" t="s">
        <v>1208</v>
      </c>
      <c r="K1609" s="1" t="str">
        <f t="shared" si="100"/>
        <v>ㄅ</v>
      </c>
      <c r="L1609" s="1" t="str">
        <f t="shared" si="101"/>
        <v>ㄧ</v>
      </c>
      <c r="M1609" s="1" t="str">
        <f t="shared" si="102"/>
        <v>ㄠ</v>
      </c>
      <c r="P1609" s="1" t="s">
        <v>20</v>
      </c>
      <c r="R1609" s="1" t="s">
        <v>1209</v>
      </c>
      <c r="V1609" s="1" t="s">
        <v>1216</v>
      </c>
      <c r="AR1609" s="1" t="str">
        <f t="shared" si="103"/>
        <v>| [ㄅㄧㄠˇ](ㄅㄧㄠˇ.md) | [裱](裱.md) |  | biǎo | [名]
婦人綴於上衣的領巾。《玉篇．衣部》：「裱，人領巾。」
[動]
裝潢、裝飾字畫或書籍。參見「裱褙」、「裱糊」等條。《初刻拍案驚奇》卷二七：「明日將一幅紙畫的芙蓉來，施在院中張掛，以答謝昨日之齋。院主受了，便把來裱在一格素屏上面。」 |</v>
      </c>
    </row>
    <row r="1610" spans="1:44">
      <c r="A1610" s="1" t="s">
        <v>1217</v>
      </c>
      <c r="C1610" s="1">
        <v>1</v>
      </c>
      <c r="D1610" s="1" t="str">
        <f>"00460"</f>
        <v>00460</v>
      </c>
      <c r="E1610" s="1" t="s">
        <v>55</v>
      </c>
      <c r="F1610" s="1">
        <v>16</v>
      </c>
      <c r="G1610" s="1">
        <v>8</v>
      </c>
      <c r="H1610" s="1">
        <v>0</v>
      </c>
      <c r="I1610" s="1" t="s">
        <v>1208</v>
      </c>
      <c r="K1610" s="1" t="str">
        <f t="shared" si="100"/>
        <v>ㄅ</v>
      </c>
      <c r="L1610" s="1" t="str">
        <f t="shared" si="101"/>
        <v>ㄧ</v>
      </c>
      <c r="M1610" s="1" t="str">
        <f t="shared" si="102"/>
        <v>ㄠ</v>
      </c>
      <c r="P1610" s="1" t="s">
        <v>20</v>
      </c>
      <c r="R1610" s="1" t="s">
        <v>1209</v>
      </c>
      <c r="V1610" s="1" t="s">
        <v>1218</v>
      </c>
      <c r="AR1610" s="1" t="str">
        <f t="shared" si="103"/>
        <v>| [ㄅㄧㄠˇ](ㄅㄧㄠˇ.md) | [錶](錶.md) |  | biǎo | [名]
比時鐘小，可隨身攜帶的計時器。如：「手錶」、「懷錶」。也作「表」。 |</v>
      </c>
    </row>
    <row r="1611" spans="1:44">
      <c r="A1611" s="1" t="s">
        <v>1219</v>
      </c>
      <c r="C1611" s="1">
        <v>1</v>
      </c>
      <c r="D1611" s="1" t="str">
        <f>"00461"</f>
        <v>00461</v>
      </c>
      <c r="E1611" s="1" t="s">
        <v>340</v>
      </c>
      <c r="F1611" s="1">
        <v>17</v>
      </c>
      <c r="G1611" s="1">
        <v>11</v>
      </c>
      <c r="H1611" s="1">
        <v>0</v>
      </c>
      <c r="I1611" s="1" t="s">
        <v>1208</v>
      </c>
      <c r="K1611" s="1" t="str">
        <f t="shared" si="100"/>
        <v>ㄅ</v>
      </c>
      <c r="L1611" s="1" t="str">
        <f t="shared" si="101"/>
        <v>ㄧ</v>
      </c>
      <c r="M1611" s="1" t="str">
        <f t="shared" si="102"/>
        <v>ㄠ</v>
      </c>
      <c r="P1611" s="1" t="s">
        <v>20</v>
      </c>
      <c r="R1611" s="1" t="s">
        <v>1209</v>
      </c>
      <c r="V1611" s="1" t="s">
        <v>1220</v>
      </c>
      <c r="AR1611" s="1" t="str">
        <f t="shared" si="103"/>
        <v>| [ㄅㄧㄠˇ](ㄅㄧㄠˇ.md) | [褾](褾.md) |  | biǎo | [名]
袖端。《廣韻．上聲．小韻》：「褾，袖端。」唐．張彥遠《法書要錄．卷二．論書表》：「有一好事年少．故作精白紗裓，著詣子敬，子敬便取書之，草正諸體悉備，兩袖及褾略同。」
[動]
裝潢書畫。元．陶宗儀《南村輟耕錄．卷二三．書畫褾軸》：「南唐則褾以迴鸞墨錦，籤以潢紙。」 |</v>
      </c>
    </row>
    <row r="1612" spans="1:44">
      <c r="A1612" s="1" t="s">
        <v>1170</v>
      </c>
      <c r="C1612" s="1">
        <v>1</v>
      </c>
      <c r="D1612" s="1" t="str">
        <f>"00462"</f>
        <v>00462</v>
      </c>
      <c r="E1612" s="1" t="s">
        <v>24</v>
      </c>
      <c r="F1612" s="1">
        <v>14</v>
      </c>
      <c r="G1612" s="1">
        <v>11</v>
      </c>
      <c r="H1612" s="1">
        <v>3</v>
      </c>
      <c r="I1612" s="1" t="s">
        <v>1221</v>
      </c>
      <c r="K1612" s="1" t="str">
        <f t="shared" si="100"/>
        <v>ㄅ</v>
      </c>
      <c r="L1612" s="1" t="str">
        <f t="shared" si="101"/>
        <v>ㄧ</v>
      </c>
      <c r="M1612" s="1" t="str">
        <f t="shared" si="102"/>
        <v>ㄠ</v>
      </c>
      <c r="P1612" s="1" t="s">
        <v>20</v>
      </c>
      <c r="R1612" s="1" t="s">
        <v>1222</v>
      </c>
      <c r="V1612" s="1" t="s">
        <v>1223</v>
      </c>
      <c r="W1612" s="1" t="s">
        <v>1224</v>
      </c>
      <c r="AR1612" s="1" t="str">
        <f t="shared" si="103"/>
        <v>| [ㄅㄧㄠˋ](ㄅㄧㄠˋ.md) | [摽](摽.md) |  | biào | [動]
1.彼此胳膊相互鉤連在一起。如：「他們倆摽著胳膊走。」
2.互相勾結、依附在一起。如：「他們最近不知有何意圖，老摽在一起。」
3.將物體捆綁勒緊在一處。如：「桌子的腿鬆了，用繩子摽住吧！」 |</v>
      </c>
    </row>
    <row r="1613" spans="1:44">
      <c r="A1613" s="1" t="s">
        <v>1225</v>
      </c>
      <c r="C1613" s="1">
        <v>1</v>
      </c>
      <c r="D1613" s="1" t="str">
        <f>"00463"</f>
        <v>00463</v>
      </c>
      <c r="E1613" s="1" t="s">
        <v>156</v>
      </c>
      <c r="F1613" s="1">
        <v>22</v>
      </c>
      <c r="G1613" s="1">
        <v>11</v>
      </c>
      <c r="H1613" s="1">
        <v>0</v>
      </c>
      <c r="I1613" s="1" t="s">
        <v>1221</v>
      </c>
      <c r="K1613" s="1" t="str">
        <f t="shared" si="100"/>
        <v>ㄅ</v>
      </c>
      <c r="L1613" s="1" t="str">
        <f t="shared" si="101"/>
        <v>ㄧ</v>
      </c>
      <c r="M1613" s="1" t="str">
        <f t="shared" si="102"/>
        <v>ㄠ</v>
      </c>
      <c r="P1613" s="1" t="s">
        <v>20</v>
      </c>
      <c r="R1613" s="1" t="s">
        <v>1222</v>
      </c>
      <c r="V1613" s="1" t="s">
        <v>1226</v>
      </c>
      <c r="AR1613" s="1" t="str">
        <f t="shared" si="103"/>
        <v>| [ㄅㄧㄠˋ](ㄅㄧㄠˋ.md) | [鰾](鰾.md) |  | biào | [名]
1.魚胞，大多數魚類的特殊器官。位於胸部中間，內有空氣，可以自由漲縮以調節魚體的比重，使魚在水中能上升或下沉。而非洲肺魚的鰾，內壁上布滿微血管，在乾旱的季節可以像高等脊椎動物的肺一般呼吸空氣。
2.參見「鰾膠」條。
[動]
方言。用鰾膠黏上。如：「桌腳斷了，趕緊將它鰾上吧！」 |</v>
      </c>
    </row>
    <row r="1614" spans="1:44">
      <c r="A1614" s="1" t="s">
        <v>1227</v>
      </c>
      <c r="C1614" s="1">
        <v>1</v>
      </c>
      <c r="D1614" s="1" t="str">
        <f>"00464"</f>
        <v>00464</v>
      </c>
      <c r="E1614" s="1" t="s">
        <v>169</v>
      </c>
      <c r="F1614" s="1">
        <v>10</v>
      </c>
      <c r="G1614" s="1">
        <v>5</v>
      </c>
      <c r="H1614" s="1">
        <v>0</v>
      </c>
      <c r="I1614" s="1" t="s">
        <v>1228</v>
      </c>
      <c r="K1614" s="1" t="str">
        <f t="shared" si="100"/>
        <v>ㄅ</v>
      </c>
      <c r="L1614" s="1" t="str">
        <f t="shared" si="101"/>
        <v>ㄧ</v>
      </c>
      <c r="M1614" s="1" t="str">
        <f t="shared" si="102"/>
        <v>ㄢ</v>
      </c>
      <c r="P1614" s="1" t="s">
        <v>20</v>
      </c>
      <c r="R1614" s="1" t="s">
        <v>1229</v>
      </c>
      <c r="V1614" s="1" t="s">
        <v>1230</v>
      </c>
      <c r="AR1614" s="1" t="str">
        <f t="shared" si="103"/>
        <v>| [ㄅㄧㄢ](ㄅㄧㄢ.md) | [砭](砭.md) |  | biān | [名]
古時用來治病的石針。參見「砭石」條。
[動]
1.古人用石針扎刺肌膚治病。《新唐書．卷七六．后妃傳上．則天武皇后傳》：「帝頭眩不能視，侍醫張文仲、秦鳴鶴曰：『風上逆，砭頭血可愈。』」
2.救治。唐．韓愈〈喜侯喜至贈張籍張徹〉詩：「又如心中疾，針石非所砭。」宋．蘇軾〈擇勝亭銘〉：「我銘斯亭，以砭世盲。」
3.刺、刺痛。宋．歐陽修〈秋聲賦〉：「其氣慄冽，砭人肌骨」。 |</v>
      </c>
    </row>
    <row r="1615" spans="1:44">
      <c r="A1615" s="1" t="s">
        <v>1231</v>
      </c>
      <c r="C1615" s="1">
        <v>1</v>
      </c>
      <c r="D1615" s="1" t="str">
        <f>"00465"</f>
        <v>00465</v>
      </c>
      <c r="E1615" s="1" t="s">
        <v>198</v>
      </c>
      <c r="F1615" s="1">
        <v>12</v>
      </c>
      <c r="G1615" s="1">
        <v>9</v>
      </c>
      <c r="H1615" s="1">
        <v>1</v>
      </c>
      <c r="I1615" s="1" t="s">
        <v>1228</v>
      </c>
      <c r="K1615" s="1" t="str">
        <f t="shared" si="100"/>
        <v>ㄅ</v>
      </c>
      <c r="L1615" s="1" t="str">
        <f t="shared" si="101"/>
        <v>ㄧ</v>
      </c>
      <c r="M1615" s="1" t="str">
        <f t="shared" si="102"/>
        <v>ㄢ</v>
      </c>
      <c r="P1615" s="1" t="s">
        <v>20</v>
      </c>
      <c r="R1615" s="1" t="s">
        <v>1229</v>
      </c>
      <c r="V1615" s="1" t="s">
        <v>1232</v>
      </c>
      <c r="W1615" s="1" t="s">
        <v>1233</v>
      </c>
      <c r="AR1615" s="1" t="str">
        <f t="shared" si="103"/>
        <v>| [ㄅㄧㄢ](ㄅㄧㄢ.md) | [猵](猵.md) |  | biān | 參見「猵獺」條。 |</v>
      </c>
    </row>
    <row r="1616" spans="1:44">
      <c r="A1616" s="1" t="s">
        <v>1234</v>
      </c>
      <c r="C1616" s="1">
        <v>1</v>
      </c>
      <c r="D1616" s="1" t="str">
        <f>"00466"</f>
        <v>00466</v>
      </c>
      <c r="E1616" s="1" t="s">
        <v>139</v>
      </c>
      <c r="F1616" s="1">
        <v>13</v>
      </c>
      <c r="G1616" s="1">
        <v>9</v>
      </c>
      <c r="H1616" s="1">
        <v>2</v>
      </c>
      <c r="I1616" s="1" t="s">
        <v>1228</v>
      </c>
      <c r="K1616" s="1" t="str">
        <f t="shared" si="100"/>
        <v>ㄅ</v>
      </c>
      <c r="L1616" s="1" t="str">
        <f t="shared" si="101"/>
        <v>ㄧ</v>
      </c>
      <c r="M1616" s="1" t="str">
        <f t="shared" si="102"/>
        <v>ㄢ</v>
      </c>
      <c r="P1616" s="1" t="s">
        <v>110</v>
      </c>
      <c r="R1616" s="1" t="s">
        <v>1229</v>
      </c>
      <c r="V1616" s="1" t="s">
        <v>111</v>
      </c>
      <c r="W1616" s="1" t="s">
        <v>1235</v>
      </c>
      <c r="AR1616" s="1" t="str">
        <f t="shared" si="103"/>
        <v>| [ㄅㄧㄢ](ㄅㄧㄢ.md) | [楄](楄.md) |  | biān | (一)之又音。 |</v>
      </c>
    </row>
    <row r="1617" spans="1:44">
      <c r="A1617" s="1" t="s">
        <v>1236</v>
      </c>
      <c r="C1617" s="1">
        <v>1</v>
      </c>
      <c r="D1617" s="1" t="str">
        <f>"00467"</f>
        <v>00467</v>
      </c>
      <c r="E1617" s="1" t="s">
        <v>679</v>
      </c>
      <c r="F1617" s="1">
        <v>15</v>
      </c>
      <c r="G1617" s="1">
        <v>9</v>
      </c>
      <c r="H1617" s="1">
        <v>1</v>
      </c>
      <c r="I1617" s="1" t="s">
        <v>1228</v>
      </c>
      <c r="K1617" s="1" t="str">
        <f t="shared" si="100"/>
        <v>ㄅ</v>
      </c>
      <c r="L1617" s="1" t="str">
        <f t="shared" si="101"/>
        <v>ㄧ</v>
      </c>
      <c r="M1617" s="1" t="str">
        <f t="shared" si="102"/>
        <v>ㄢ</v>
      </c>
      <c r="P1617" s="1" t="s">
        <v>20</v>
      </c>
      <c r="R1617" s="1" t="s">
        <v>1229</v>
      </c>
      <c r="V1617" s="1" t="s">
        <v>1237</v>
      </c>
      <c r="W1617" s="1" t="s">
        <v>1238</v>
      </c>
      <c r="AR1617" s="1" t="str">
        <f t="shared" si="103"/>
        <v>| [ㄅㄧㄢ](ㄅㄧㄢ.md) | [蝙](蝙.md) |  | biān | 參見「蝙蝠」條。 |</v>
      </c>
    </row>
    <row r="1618" spans="1:44">
      <c r="A1618" s="1" t="s">
        <v>1239</v>
      </c>
      <c r="C1618" s="1">
        <v>1</v>
      </c>
      <c r="D1618" s="1" t="str">
        <f>"00468"</f>
        <v>00468</v>
      </c>
      <c r="E1618" s="1" t="s">
        <v>725</v>
      </c>
      <c r="F1618" s="1">
        <v>15</v>
      </c>
      <c r="G1618" s="1">
        <v>9</v>
      </c>
      <c r="H1618" s="1">
        <v>0</v>
      </c>
      <c r="I1618" s="1" t="s">
        <v>1228</v>
      </c>
      <c r="K1618" s="1" t="str">
        <f t="shared" si="100"/>
        <v>ㄅ</v>
      </c>
      <c r="L1618" s="1" t="str">
        <f t="shared" si="101"/>
        <v>ㄧ</v>
      </c>
      <c r="M1618" s="1" t="str">
        <f t="shared" si="102"/>
        <v>ㄢ</v>
      </c>
      <c r="P1618" s="1" t="s">
        <v>20</v>
      </c>
      <c r="R1618" s="1" t="s">
        <v>1229</v>
      </c>
      <c r="V1618" s="1" t="s">
        <v>1240</v>
      </c>
      <c r="AR1618" s="1" t="str">
        <f t="shared" si="103"/>
        <v>| [ㄅㄧㄢ](ㄅㄧㄢ.md) | [編](編.md) |  | biān | [動]
1.連結、交叉組織。如：「編髮」、「編草蓆」。《楚辭．屈原．九章．悲回風》：「糾思心以為纕兮，編愁苦以為膺。」宋．蕭立之〈送人之常德〉詩：「編蓬便結溪上宅，採桃為薪食桃實。」
2.順次排列。如：「編列」、「編組」、「編排」、「編印」。《史記．卷八二．田單傳》：「（田單）與士卒分功，妻妾編於行伍之閒，盡散飲食饗士。」
3.蒐集整理。如：「編書」、「新編」、「彙編」、「編字典」。唐．元稹〈樂府古題序〉：「而纂者，由詩傳而下十七名，盡編為樂錄。」
4.創作。如：「編歌」、「編曲」、「編劇本」。
5.捏造、用謊話騙人。如：「瞎編」、「編一套謊言。」《紅樓夢》第一九回：「我把你爛了嘴的，我就知道你是編我呢！」
[名]
1.貫串書籍的繩索。《史記．卷四七．孔子世家》：「讀《易》，韋編三絕。」
2.古代書籍以簡牘編聯而成，所以書一冊稱為「一編」。如：「人手一編」。《漢書．卷四〇．張良傳》：「出一編書。」唐．顏師古．注：「編謂聯次之也。聯簡牘以為書，故云：『一編』。」
3.泛指書籍。如：「巨編大著」。唐．韓愈〈進學解〉：「口不絕吟於六藝之文，手不停披於百家之編。」
4.量詞：(1)計算書籍章節編目的單位。如：「《老殘遊記》共分三編。」(2)計算同類型或相似的書籍分套成編的單位。如：「《四部叢刊》分初編、續編、三編。」
5.姓。如東漢有編訢。 |</v>
      </c>
    </row>
    <row r="1619" spans="1:44">
      <c r="A1619" s="1" t="s">
        <v>1241</v>
      </c>
      <c r="C1619" s="1">
        <v>1</v>
      </c>
      <c r="D1619" s="1" t="str">
        <f>"00469"</f>
        <v>00469</v>
      </c>
      <c r="E1619" s="1" t="s">
        <v>156</v>
      </c>
      <c r="F1619" s="1">
        <v>20</v>
      </c>
      <c r="G1619" s="1">
        <v>9</v>
      </c>
      <c r="H1619" s="1">
        <v>0</v>
      </c>
      <c r="I1619" s="1" t="s">
        <v>1228</v>
      </c>
      <c r="K1619" s="1" t="str">
        <f t="shared" si="100"/>
        <v>ㄅ</v>
      </c>
      <c r="L1619" s="1" t="str">
        <f t="shared" si="101"/>
        <v>ㄧ</v>
      </c>
      <c r="M1619" s="1" t="str">
        <f t="shared" si="102"/>
        <v>ㄢ</v>
      </c>
      <c r="P1619" s="1" t="s">
        <v>20</v>
      </c>
      <c r="R1619" s="1" t="s">
        <v>1229</v>
      </c>
      <c r="V1619" s="1" t="s">
        <v>1242</v>
      </c>
      <c r="AR1619" s="1" t="str">
        <f t="shared" si="103"/>
        <v>| [ㄅㄧㄢ](ㄅㄧㄢ.md) | [鯿](鯿.md) |  | biān | [名]
動物名。硬骨魚綱。體寬而扁，頭小鱗細，銀灰色。味美可食，產於淡水中，與魴相似。 |</v>
      </c>
    </row>
    <row r="1620" spans="1:44">
      <c r="A1620" s="1" t="s">
        <v>1243</v>
      </c>
      <c r="C1620" s="1">
        <v>1</v>
      </c>
      <c r="D1620" s="1" t="str">
        <f>"00470"</f>
        <v>00470</v>
      </c>
      <c r="E1620" s="1" t="s">
        <v>49</v>
      </c>
      <c r="F1620" s="1">
        <v>15</v>
      </c>
      <c r="G1620" s="1">
        <v>9</v>
      </c>
      <c r="H1620" s="1">
        <v>0</v>
      </c>
      <c r="I1620" s="1" t="s">
        <v>1228</v>
      </c>
      <c r="K1620" s="1" t="str">
        <f t="shared" si="100"/>
        <v>ㄅ</v>
      </c>
      <c r="L1620" s="1" t="str">
        <f t="shared" si="101"/>
        <v>ㄧ</v>
      </c>
      <c r="M1620" s="1" t="str">
        <f t="shared" si="102"/>
        <v>ㄢ</v>
      </c>
      <c r="P1620" s="1" t="s">
        <v>20</v>
      </c>
      <c r="R1620" s="1" t="s">
        <v>1229</v>
      </c>
      <c r="V1620" s="1" t="s">
        <v>1244</v>
      </c>
      <c r="AR1620" s="1" t="str">
        <f t="shared" si="103"/>
        <v>| [ㄅㄧㄢ](ㄅㄧㄢ.md) | [箯](箯.md) |  | biān | [名]
1.竹製的轎子。《說文解字．竹部》：「箯，竹輿也。」
2.用竹子編成，用來盛飯的器具。漢．史游《急就篇》卷三：「𥫱篅箯筥䉛箅篝。」唐．顏師古．注：「竹器之盛飯者，大曰箯，小曰筥。」 |</v>
      </c>
    </row>
    <row r="1621" spans="1:44">
      <c r="A1621" s="1" t="s">
        <v>1245</v>
      </c>
      <c r="C1621" s="1">
        <v>1</v>
      </c>
      <c r="D1621" s="1" t="str">
        <f>"00471"</f>
        <v>00471</v>
      </c>
      <c r="E1621" s="1" t="s">
        <v>96</v>
      </c>
      <c r="F1621" s="1">
        <v>18</v>
      </c>
      <c r="G1621" s="1">
        <v>9</v>
      </c>
      <c r="H1621" s="1">
        <v>0</v>
      </c>
      <c r="I1621" s="1" t="s">
        <v>1228</v>
      </c>
      <c r="K1621" s="1" t="str">
        <f t="shared" si="100"/>
        <v>ㄅ</v>
      </c>
      <c r="L1621" s="1" t="str">
        <f t="shared" si="101"/>
        <v>ㄧ</v>
      </c>
      <c r="M1621" s="1" t="str">
        <f t="shared" si="102"/>
        <v>ㄢ</v>
      </c>
      <c r="P1621" s="1" t="s">
        <v>20</v>
      </c>
      <c r="R1621" s="1" t="s">
        <v>1229</v>
      </c>
      <c r="V1621" s="1" t="s">
        <v>1246</v>
      </c>
      <c r="AR1621" s="1" t="str">
        <f t="shared" si="103"/>
        <v>| [ㄅㄧㄢ](ㄅㄧㄢ.md) | [鞭](鞭.md) |  | biān | [動]
以鞭子抽打。如：「鞭打」、「鞭屍」。《說文解字．革部》：「鞭，毆也。」《浮生六記．卷二．閒情記趣》：「神定，捉蝦蟆，鞭數十，驅之別院。」
[名]
1.一種皮製的長軟器具，用來驅使牲口或打人。如：「馬鞭」、「皮鞭」、「鞭長莫及」。也稱為「鞭子」。
2.一種古代的兵器。以鐵打造，有節，無刀刃。如：「鋼鞭」、「竹節鞭」、「三棱鞭」。
3.成串的爆竹。如：「鞭炮」。《兒女英雄傳》第二八回：「兩掛千頭百子旺鞭，放得震地價響。」
4.指長條形類似鞭子的物品。如：「教鞭」。
5.俗稱雄性動物的生殖器官。如：「牛鞭」、「鹿鞭」。元．關漢卿《裴度還帶》第四折：「今宵洞房花燭夜，試看狀元一條鞭。」 |</v>
      </c>
    </row>
    <row r="1622" spans="1:44">
      <c r="A1622" s="1" t="s">
        <v>1247</v>
      </c>
      <c r="C1622" s="1">
        <v>1</v>
      </c>
      <c r="D1622" s="1" t="str">
        <f>"00472"</f>
        <v>00472</v>
      </c>
      <c r="E1622" s="1" t="s">
        <v>558</v>
      </c>
      <c r="F1622" s="1">
        <v>19</v>
      </c>
      <c r="G1622" s="1">
        <v>15</v>
      </c>
      <c r="H1622" s="1">
        <v>0</v>
      </c>
      <c r="I1622" s="1" t="s">
        <v>1228</v>
      </c>
      <c r="K1622" s="1" t="str">
        <f t="shared" si="100"/>
        <v>ㄅ</v>
      </c>
      <c r="L1622" s="1" t="str">
        <f t="shared" si="101"/>
        <v>ㄧ</v>
      </c>
      <c r="M1622" s="1" t="str">
        <f t="shared" si="102"/>
        <v>ㄢ</v>
      </c>
      <c r="P1622" s="1" t="s">
        <v>20</v>
      </c>
      <c r="R1622" s="1" t="s">
        <v>1229</v>
      </c>
      <c r="V1622" s="1" t="s">
        <v>1248</v>
      </c>
      <c r="AR1622" s="1" t="str">
        <f t="shared" si="103"/>
        <v>| [ㄅㄧㄢ](ㄅㄧㄢ.md) | [邊](邊.md) |  | biān | [名]
1.指兩國或兩地區的交界處或近交界處。如：「守邊」、「戍邊」、「墾邊」。
2.兩旁。如：「河邊」、「路邊」、「岸邊」。
3.四周、周圍。如：「桌邊」、「床邊」、「邊緣」。
4.際限、盡頭。如：「苦海無邊，回頭是岸。」、「遠在天邊，近在眼前。」唐．杜甫〈登高〉詩：「無邊落木蕭蕭下，不盡長江袞袞來。」
5.方向。如：「左邊」、「前邊」、「東邊」、「外邊」。
6.物體或衣裙邊緣的裝飾。如：「鏡邊」、「滾邊」、「鑲邊」、「花邊」。
7.頭緒。如：「說了半天，還摸不著邊兒。」
8.幾何學中夾成角或構成多角形的線段，稱為「邊」。如：「等邊三角形」。
9.量詞。計算物體邊側的單位。如：「三邊形」、「五邊形」。
10. 姓。如東漢有邊韶，明代有邊維新。
[副]
1.偏、不正。《禮記．檀弓上》：「齊衰不以邊坐，大功不以服勤。」漢．鄭玄．注：「邊，偏倚。」
2.表方位。相當於「裡」、「內」、「中」等字。唐．高適〈信安王幕府詩〉：「大漠風沙裡，長城雨雪邊。」宋．楊萬里〈新青讀樊川〉詩：「九千刻裡春長雨，萬點紅邊花又空。」
3.一面。常用「邊……邊……」的語式表達。如：「邊做邊學」、「邊走邊吃」、「邊吃飯邊看電視」。 |</v>
      </c>
    </row>
    <row r="1623" spans="1:44">
      <c r="A1623" s="1" t="s">
        <v>1249</v>
      </c>
      <c r="C1623" s="1">
        <v>1</v>
      </c>
      <c r="D1623" s="1" t="str">
        <f>"00473"</f>
        <v>00473</v>
      </c>
      <c r="E1623" s="1" t="s">
        <v>49</v>
      </c>
      <c r="F1623" s="1">
        <v>25</v>
      </c>
      <c r="G1623" s="1">
        <v>19</v>
      </c>
      <c r="H1623" s="1">
        <v>0</v>
      </c>
      <c r="I1623" s="1" t="s">
        <v>1228</v>
      </c>
      <c r="K1623" s="1" t="str">
        <f t="shared" si="100"/>
        <v>ㄅ</v>
      </c>
      <c r="L1623" s="1" t="str">
        <f t="shared" si="101"/>
        <v>ㄧ</v>
      </c>
      <c r="M1623" s="1" t="str">
        <f t="shared" si="102"/>
        <v>ㄢ</v>
      </c>
      <c r="P1623" s="1" t="s">
        <v>20</v>
      </c>
      <c r="R1623" s="1" t="s">
        <v>1229</v>
      </c>
      <c r="V1623" s="1" t="s">
        <v>1250</v>
      </c>
      <c r="AR1623" s="1" t="str">
        <f t="shared" si="103"/>
        <v>| [ㄅㄧㄢ](ㄅㄧㄢ.md) | [籩](籩.md) |  | biān | [名]
古代祭祀或宴會上用來盛果實、肉乾等的竹編器具。《說文解字．竹部》：「籩，竹豆也。」清．朱駿聲《說文通訓定聲．先部》：「豆盛溼物，籩盛乾物，豆重而籩輕。」《周禮．天官．籩人》：「籩人掌四籩之實。」漢．鄭玄．注：「籩，竹器如豆者，其容實皆四升。」《國語．周語中》：「品其百籩，修其簠簋。」 |</v>
      </c>
    </row>
    <row r="1624" spans="1:44">
      <c r="A1624" s="1" t="s">
        <v>1251</v>
      </c>
      <c r="C1624" s="1">
        <v>1</v>
      </c>
      <c r="D1624" s="1" t="str">
        <f>"00474"</f>
        <v>00474</v>
      </c>
      <c r="E1624" s="1" t="s">
        <v>1252</v>
      </c>
      <c r="F1624" s="1">
        <v>9</v>
      </c>
      <c r="G1624" s="1">
        <v>5</v>
      </c>
      <c r="H1624" s="1">
        <v>1</v>
      </c>
      <c r="I1624" s="1" t="s">
        <v>1253</v>
      </c>
      <c r="K1624" s="1" t="str">
        <f t="shared" si="100"/>
        <v>ㄅ</v>
      </c>
      <c r="L1624" s="1" t="str">
        <f t="shared" si="101"/>
        <v>ㄧ</v>
      </c>
      <c r="M1624" s="1" t="str">
        <f t="shared" si="102"/>
        <v>ㄢ</v>
      </c>
      <c r="P1624" s="1" t="s">
        <v>20</v>
      </c>
      <c r="R1624" s="1" t="s">
        <v>1254</v>
      </c>
      <c r="V1624" s="1" t="s">
        <v>1255</v>
      </c>
      <c r="W1624" s="1" t="s">
        <v>1256</v>
      </c>
      <c r="AR1624" s="1" t="str">
        <f t="shared" si="103"/>
        <v>| [ㄅㄧㄢˇ](ㄅㄧㄢˇ.md) | [扁](扁.md) |  | biǎn | [名]
1.寬而薄的東西。如：「鴨肉扁」、「鵝肉扁」。
2.供題字用的長方形木板或石板，通常高懸在門上或牆上。通「匾」。《宋史．卷二四三．后妃傳下．憲聖慈烈吳皇后傳》：「近嘗夢至一亭，扁曰：『侍康』。」
3.姓。如戰國時代的名醫扁鵲。
[形]
形狀寬而薄的。如：「扁平」。《後漢書．卷八五．東夷傳．三韓傳》：「兒生欲令其頭扁，皆押之以石。」《老殘遊記》第六回：「你們把我扁皮箱裡，還有一件白狐一裹圓的袍子，取出來送到鐵老爺屋子裡去。」
[副]
不成器，有輕視的意味。如：「不要把人家看扁了。」、「門縫裡看人，把人給瞧扁了。」
[動]
揍。如：「被扁」、「扁一頓」、「小心我等一下扁你！」 |</v>
      </c>
    </row>
    <row r="1625" spans="1:44">
      <c r="A1625" s="1" t="s">
        <v>1257</v>
      </c>
      <c r="C1625" s="1">
        <v>1</v>
      </c>
      <c r="D1625" s="1" t="str">
        <f>"00475"</f>
        <v>00475</v>
      </c>
      <c r="E1625" s="1" t="s">
        <v>1258</v>
      </c>
      <c r="F1625" s="1">
        <v>11</v>
      </c>
      <c r="G1625" s="1">
        <v>9</v>
      </c>
      <c r="H1625" s="1">
        <v>0</v>
      </c>
      <c r="I1625" s="1" t="s">
        <v>1253</v>
      </c>
      <c r="K1625" s="1" t="str">
        <f t="shared" si="100"/>
        <v>ㄅ</v>
      </c>
      <c r="L1625" s="1" t="str">
        <f t="shared" si="101"/>
        <v>ㄧ</v>
      </c>
      <c r="M1625" s="1" t="str">
        <f t="shared" si="102"/>
        <v>ㄢ</v>
      </c>
      <c r="P1625" s="1" t="s">
        <v>20</v>
      </c>
      <c r="R1625" s="1" t="s">
        <v>1254</v>
      </c>
      <c r="V1625" s="1" t="s">
        <v>1259</v>
      </c>
      <c r="AR1625" s="1" t="str">
        <f t="shared" si="103"/>
        <v>| [ㄅㄧㄢˇ](ㄅㄧㄢˇ.md) | [匾](匾.md) |  | biǎn | [名]
1.供題字用的長方形木板或石板，通常高懸在門上、牆上。如：「匾額」、「橫匾」。《紅樓夢》第八回：「個個都好。怎麼寫的這們好了，明兒也替我寫一個匾。」
2.圓形淺邊的竹器，形似小篩子。如：「竹匾」、「針線匾」。 |</v>
      </c>
    </row>
    <row r="1626" spans="1:44">
      <c r="A1626" s="1" t="s">
        <v>1260</v>
      </c>
      <c r="C1626" s="1">
        <v>1</v>
      </c>
      <c r="D1626" s="1" t="str">
        <f>"00476"</f>
        <v>00476</v>
      </c>
      <c r="E1626" s="1" t="s">
        <v>250</v>
      </c>
      <c r="F1626" s="1">
        <v>12</v>
      </c>
      <c r="G1626" s="1">
        <v>9</v>
      </c>
      <c r="H1626" s="1">
        <v>0</v>
      </c>
      <c r="I1626" s="1" t="s">
        <v>1253</v>
      </c>
      <c r="K1626" s="1" t="str">
        <f t="shared" si="100"/>
        <v>ㄅ</v>
      </c>
      <c r="L1626" s="1" t="str">
        <f t="shared" si="101"/>
        <v>ㄧ</v>
      </c>
      <c r="M1626" s="1" t="str">
        <f t="shared" si="102"/>
        <v>ㄢ</v>
      </c>
      <c r="P1626" s="1" t="s">
        <v>20</v>
      </c>
      <c r="R1626" s="1" t="s">
        <v>1254</v>
      </c>
      <c r="V1626" s="1" t="s">
        <v>1261</v>
      </c>
      <c r="AR1626" s="1" t="str">
        <f t="shared" si="103"/>
        <v>| [ㄅㄧㄢˇ](ㄅㄧㄢˇ.md) | [惼](惼.md) |  | biǎn | [形]
心胸狹窄、性情急躁。通「褊」。《廣韻．上聲．銑韻》：「惼，愝惼，性狹。」《莊子．山木》：「方舟而濟於河，有虛船來觸舟，雖有惼心之人，不怒。」 |</v>
      </c>
    </row>
    <row r="1627" spans="1:44">
      <c r="A1627" s="1" t="s">
        <v>1262</v>
      </c>
      <c r="C1627" s="1">
        <v>1</v>
      </c>
      <c r="D1627" s="1" t="str">
        <f>"00477"</f>
        <v>00477</v>
      </c>
      <c r="E1627" s="1" t="s">
        <v>37</v>
      </c>
      <c r="F1627" s="1">
        <v>13</v>
      </c>
      <c r="G1627" s="1">
        <v>9</v>
      </c>
      <c r="H1627" s="1">
        <v>2</v>
      </c>
      <c r="I1627" s="1" t="s">
        <v>1253</v>
      </c>
      <c r="K1627" s="1" t="str">
        <f t="shared" si="100"/>
        <v>ㄅ</v>
      </c>
      <c r="L1627" s="1" t="str">
        <f t="shared" si="101"/>
        <v>ㄧ</v>
      </c>
      <c r="M1627" s="1" t="str">
        <f t="shared" si="102"/>
        <v>ㄢ</v>
      </c>
      <c r="P1627" s="1" t="s">
        <v>20</v>
      </c>
      <c r="R1627" s="1" t="s">
        <v>1254</v>
      </c>
      <c r="V1627" s="1" t="s">
        <v>1263</v>
      </c>
      <c r="W1627" s="1" t="s">
        <v>1264</v>
      </c>
      <c r="AR1627" s="1" t="str">
        <f t="shared" si="103"/>
        <v>| [ㄅㄧㄢˇ](ㄅㄧㄢˇ.md) | [萹](萹.md) |  | biǎn | [名]
萹豆：植物名。豆科扁豆屬，「扁豆」之古稱。參見「扁豆」條。 |</v>
      </c>
    </row>
    <row r="1628" spans="1:44">
      <c r="A1628" s="1" t="s">
        <v>1265</v>
      </c>
      <c r="C1628" s="1">
        <v>1</v>
      </c>
      <c r="D1628" s="1" t="str">
        <f>"00478"</f>
        <v>00478</v>
      </c>
      <c r="E1628" s="1" t="s">
        <v>169</v>
      </c>
      <c r="F1628" s="1">
        <v>14</v>
      </c>
      <c r="G1628" s="1">
        <v>9</v>
      </c>
      <c r="H1628" s="1">
        <v>0</v>
      </c>
      <c r="I1628" s="1" t="s">
        <v>1253</v>
      </c>
      <c r="K1628" s="1" t="str">
        <f t="shared" si="100"/>
        <v>ㄅ</v>
      </c>
      <c r="L1628" s="1" t="str">
        <f t="shared" si="101"/>
        <v>ㄧ</v>
      </c>
      <c r="M1628" s="1" t="str">
        <f t="shared" si="102"/>
        <v>ㄢ</v>
      </c>
      <c r="P1628" s="1" t="s">
        <v>20</v>
      </c>
      <c r="R1628" s="1" t="s">
        <v>1254</v>
      </c>
      <c r="V1628" s="1" t="s">
        <v>1266</v>
      </c>
      <c r="AR1628" s="1" t="str">
        <f t="shared" si="103"/>
        <v>| [ㄅㄧㄢˇ](ㄅㄧㄢˇ.md) | [碥](碥.md) |  | biǎn | [名]
1.舊稱登車時用來踏腳的石頭。《玉篇．石部》：「碥，將登車履石也。」《廣韻．上聲．銑韻》：「碥，乘車石也。」
2.險灘中斜出的山塊或土塊。明．張自烈《正字通．石部》：「碥，水疾崖傾曰碥。」
3.地名用字。如大陸地區四川省的閻王碥、燕子碥都是水路險地。 |</v>
      </c>
    </row>
    <row r="1629" spans="1:44">
      <c r="A1629" s="1" t="s">
        <v>1267</v>
      </c>
      <c r="C1629" s="1">
        <v>1</v>
      </c>
      <c r="D1629" s="1" t="str">
        <f>"00479"</f>
        <v>00479</v>
      </c>
      <c r="E1629" s="1" t="s">
        <v>429</v>
      </c>
      <c r="F1629" s="1">
        <v>14</v>
      </c>
      <c r="G1629" s="1">
        <v>9</v>
      </c>
      <c r="H1629" s="1">
        <v>0</v>
      </c>
      <c r="I1629" s="1" t="s">
        <v>1253</v>
      </c>
      <c r="K1629" s="1" t="str">
        <f t="shared" si="100"/>
        <v>ㄅ</v>
      </c>
      <c r="L1629" s="1" t="str">
        <f t="shared" si="101"/>
        <v>ㄧ</v>
      </c>
      <c r="M1629" s="1" t="str">
        <f t="shared" si="102"/>
        <v>ㄢ</v>
      </c>
      <c r="P1629" s="1" t="s">
        <v>20</v>
      </c>
      <c r="R1629" s="1" t="s">
        <v>1254</v>
      </c>
      <c r="V1629" s="1" t="s">
        <v>1268</v>
      </c>
      <c r="AR1629" s="1" t="str">
        <f t="shared" si="103"/>
        <v>| [ㄅㄧㄢˇ](ㄅㄧㄢˇ.md) | [稨](稨.md) |  | biǎn | [名]
稨豆。植物名。豆科扁豆屬，「扁豆」之古稱。參見「扁豆」條。 |</v>
      </c>
    </row>
    <row r="1630" spans="1:44">
      <c r="A1630" s="1" t="s">
        <v>1269</v>
      </c>
      <c r="C1630" s="1">
        <v>1</v>
      </c>
      <c r="D1630" s="1" t="str">
        <f>"00480"</f>
        <v>00480</v>
      </c>
      <c r="E1630" s="1" t="s">
        <v>340</v>
      </c>
      <c r="F1630" s="1">
        <v>15</v>
      </c>
      <c r="G1630" s="1">
        <v>9</v>
      </c>
      <c r="H1630" s="1">
        <v>2</v>
      </c>
      <c r="I1630" s="1" t="s">
        <v>1253</v>
      </c>
      <c r="K1630" s="1" t="str">
        <f t="shared" si="100"/>
        <v>ㄅ</v>
      </c>
      <c r="L1630" s="1" t="str">
        <f t="shared" si="101"/>
        <v>ㄧ</v>
      </c>
      <c r="M1630" s="1" t="str">
        <f t="shared" si="102"/>
        <v>ㄢ</v>
      </c>
      <c r="P1630" s="1" t="s">
        <v>20</v>
      </c>
      <c r="R1630" s="1" t="s">
        <v>1254</v>
      </c>
      <c r="V1630" s="1" t="s">
        <v>1270</v>
      </c>
      <c r="W1630" s="1" t="s">
        <v>1271</v>
      </c>
      <c r="AR1630" s="1" t="str">
        <f t="shared" si="103"/>
        <v>| [ㄅㄧㄢˇ](ㄅㄧㄢˇ.md) | [褊](褊.md) |  | biǎn | [形]
1.衣服狹小。《說文解字．衣部》：「褊，衣小也。」漢．王充《論衡．自紀》：「夫形大，衣不得褊。」
2.狹小、狹隘。如：「褊心」、「褊小」、「褊狹」。唐．杜甫〈負薪行〉：「面妝首飾雜啼痕，地褊衣寒困石根。」
3.急躁。如：「褊急」、「褊躁」。《晉書．卷四二．王濬傳》：「吾始懼鄧艾之事，畏禍及，不得無言，亦不能遣諸胸中，是吾褊也。」 |</v>
      </c>
    </row>
    <row r="1631" spans="1:44">
      <c r="A1631" s="1" t="s">
        <v>1236</v>
      </c>
      <c r="C1631" s="1">
        <v>1</v>
      </c>
      <c r="D1631" s="1" t="str">
        <f>"00481"</f>
        <v>00481</v>
      </c>
      <c r="E1631" s="1" t="s">
        <v>679</v>
      </c>
      <c r="F1631" s="1">
        <v>15</v>
      </c>
      <c r="G1631" s="1">
        <v>9</v>
      </c>
      <c r="H1631" s="1">
        <v>2</v>
      </c>
      <c r="I1631" s="1" t="s">
        <v>1253</v>
      </c>
      <c r="K1631" s="1" t="str">
        <f t="shared" si="100"/>
        <v>ㄅ</v>
      </c>
      <c r="L1631" s="1" t="str">
        <f t="shared" si="101"/>
        <v>ㄧ</v>
      </c>
      <c r="M1631" s="1" t="str">
        <f t="shared" si="102"/>
        <v>ㄢ</v>
      </c>
      <c r="P1631" s="1" t="s">
        <v>110</v>
      </c>
      <c r="R1631" s="1" t="s">
        <v>1254</v>
      </c>
      <c r="V1631" s="1" t="s">
        <v>111</v>
      </c>
      <c r="W1631" s="1" t="s">
        <v>1272</v>
      </c>
      <c r="AR1631" s="1" t="str">
        <f t="shared" si="103"/>
        <v>| [ㄅㄧㄢˇ](ㄅㄧㄢˇ.md) | [蝙](蝙.md) |  | biǎn | (一)之又音。 |</v>
      </c>
    </row>
    <row r="1632" spans="1:44">
      <c r="A1632" s="1" t="s">
        <v>1273</v>
      </c>
      <c r="C1632" s="1">
        <v>1</v>
      </c>
      <c r="D1632" s="1" t="str">
        <f>"00482"</f>
        <v>00482</v>
      </c>
      <c r="E1632" s="1" t="s">
        <v>1274</v>
      </c>
      <c r="F1632" s="1">
        <v>10</v>
      </c>
      <c r="G1632" s="1">
        <v>5</v>
      </c>
      <c r="H1632" s="1">
        <v>0</v>
      </c>
      <c r="I1632" s="1" t="s">
        <v>1253</v>
      </c>
      <c r="K1632" s="1" t="str">
        <f t="shared" si="100"/>
        <v>ㄅ</v>
      </c>
      <c r="L1632" s="1" t="str">
        <f t="shared" si="101"/>
        <v>ㄧ</v>
      </c>
      <c r="M1632" s="1" t="str">
        <f t="shared" si="102"/>
        <v>ㄢ</v>
      </c>
      <c r="P1632" s="1" t="s">
        <v>20</v>
      </c>
      <c r="R1632" s="1" t="s">
        <v>1254</v>
      </c>
      <c r="V1632" s="1" t="s">
        <v>1275</v>
      </c>
      <c r="AR1632" s="1" t="str">
        <f t="shared" si="103"/>
        <v>| [ㄅㄧㄢˇ](ㄅㄧㄢˇ.md) | [窆](窆.md) |  | biǎn | [名]
墳、墓穴。如：「孤窆」、「野窆」。《新唐書．卷七七．后妃列傳下．章敬吳太后》：「啟故窆，貌澤若生，衣皆赭色，見者嘆異。」《宋史．卷三一二．列傳．王珪》：「詔真、揚二州發卒護其窆。」
[動]
將棺木葬入墓穴裡，即埋葬。《後漢書．卷八一．獨行列傳．范式》：「既至壙，將窆，而柩不肯進。」唐．韓愈〈祭十二郎文〉：「斂不憑其棺，窆不臨其穴。」 |</v>
      </c>
    </row>
    <row r="1633" spans="1:44">
      <c r="A1633" s="1" t="s">
        <v>1276</v>
      </c>
      <c r="C1633" s="1">
        <v>1</v>
      </c>
      <c r="D1633" s="1" t="str">
        <f>"00483"</f>
        <v>00483</v>
      </c>
      <c r="E1633" s="1" t="s">
        <v>505</v>
      </c>
      <c r="F1633" s="1">
        <v>12</v>
      </c>
      <c r="G1633" s="1">
        <v>5</v>
      </c>
      <c r="H1633" s="1">
        <v>0</v>
      </c>
      <c r="I1633" s="1" t="s">
        <v>1253</v>
      </c>
      <c r="K1633" s="1" t="str">
        <f t="shared" si="100"/>
        <v>ㄅ</v>
      </c>
      <c r="L1633" s="1" t="str">
        <f t="shared" si="101"/>
        <v>ㄧ</v>
      </c>
      <c r="M1633" s="1" t="str">
        <f t="shared" si="102"/>
        <v>ㄢ</v>
      </c>
      <c r="P1633" s="1" t="s">
        <v>20</v>
      </c>
      <c r="R1633" s="1" t="s">
        <v>1254</v>
      </c>
      <c r="V1633" s="1" t="s">
        <v>1277</v>
      </c>
      <c r="AR1633" s="1" t="str">
        <f t="shared" si="103"/>
        <v>| [ㄅㄧㄢˇ](ㄅㄧㄢˇ.md) | [貶](貶.md) |  | biǎn | [動]
1.降低、減少。如：「貶值」、「自貶身價」。《左傳．僖公二十一年》：「貶食省用，務穡勸分。」
2.官員降級任用。《孟子．告子下》：「一不朝則貶其爵，再不朝則削其地。」唐．韓愈〈左遷至藍關示姪孫湘〉詩：「一封朝奏九重天，夕貶潮陽路八千。」
3.指出缺點，給予低微的評價。與「褒」相對而言。《新唐書．卷一三九．房琯傳．贊曰》：「唐名儒多言琯德器，有王佐材，而史載行事，亦少貶矣。」宋．王禹偁〈對雪〉詩：「褒貶無一詞，豈得為良史？」
4.挖苦。如：「他喜歡用話貶人家，常把人貶得一個子兒都不值。」
[名]
對他人過失的批評。晉．范甯〈春秋穀梁傳序〉：「片言之貶，辱過市朝之撻。」 |</v>
      </c>
    </row>
    <row r="1634" spans="1:44">
      <c r="A1634" s="1" t="s">
        <v>1278</v>
      </c>
      <c r="C1634" s="1">
        <v>1</v>
      </c>
      <c r="D1634" s="1" t="str">
        <f>"00484"</f>
        <v>00484</v>
      </c>
      <c r="E1634" s="1" t="s">
        <v>1279</v>
      </c>
      <c r="F1634" s="1">
        <v>4</v>
      </c>
      <c r="G1634" s="1">
        <v>2</v>
      </c>
      <c r="H1634" s="1">
        <v>0</v>
      </c>
      <c r="I1634" s="1" t="s">
        <v>1280</v>
      </c>
      <c r="K1634" s="1" t="str">
        <f t="shared" si="100"/>
        <v>ㄅ</v>
      </c>
      <c r="L1634" s="1" t="str">
        <f t="shared" si="101"/>
        <v>ㄧ</v>
      </c>
      <c r="M1634" s="1" t="str">
        <f t="shared" si="102"/>
        <v>ㄢ</v>
      </c>
      <c r="P1634" s="1" t="s">
        <v>20</v>
      </c>
      <c r="R1634" s="1" t="s">
        <v>1281</v>
      </c>
      <c r="V1634" s="1" t="s">
        <v>1282</v>
      </c>
      <c r="AR1634" s="1" t="str">
        <f t="shared" si="103"/>
        <v>| [ㄅㄧㄢˋ](ㄅㄧㄢˋ.md) | [卞](卞.md) |  | biàn | [名]
1.地名。春秋時魯邑，故址在今大陸地區山東省泗水縣東五十里。《春秋．僖公十七年》：「秋，夫人姜氏會齊侯于卞。」
2.姓。如春秋時楚國有卞和，明代有卞玉京。
[形]
性情急躁。如：「卞急」。《新唐書．卷一六一．張薦傳》：「性躁卞，儻蕩無檢。」 |</v>
      </c>
    </row>
    <row r="1635" spans="1:44">
      <c r="A1635" s="1" t="s">
        <v>1283</v>
      </c>
      <c r="C1635" s="1">
        <v>1</v>
      </c>
      <c r="D1635" s="1" t="str">
        <f>"00485"</f>
        <v>00485</v>
      </c>
      <c r="E1635" s="1" t="s">
        <v>129</v>
      </c>
      <c r="F1635" s="1">
        <v>7</v>
      </c>
      <c r="G1635" s="1">
        <v>4</v>
      </c>
      <c r="H1635" s="1">
        <v>0</v>
      </c>
      <c r="I1635" s="1" t="s">
        <v>1280</v>
      </c>
      <c r="K1635" s="1" t="str">
        <f t="shared" si="100"/>
        <v>ㄅ</v>
      </c>
      <c r="L1635" s="1" t="str">
        <f t="shared" si="101"/>
        <v>ㄧ</v>
      </c>
      <c r="M1635" s="1" t="str">
        <f t="shared" si="102"/>
        <v>ㄢ</v>
      </c>
      <c r="P1635" s="1" t="s">
        <v>20</v>
      </c>
      <c r="R1635" s="1" t="s">
        <v>1281</v>
      </c>
      <c r="V1635" s="1" t="s">
        <v>1284</v>
      </c>
      <c r="AR1635" s="1" t="str">
        <f t="shared" si="103"/>
        <v>| [ㄅㄧㄢˋ](ㄅㄧㄢˋ.md) | [汴](汴.md) |  | biàn | [名]_x000D_
1.河川名。為黃河支流，水道屢經變遷，今所稱汴水約在大陸地區河南省滎陽縣境。也稱為「汴河」。_x000D_
2.大陸地區河南省開封市的別稱。_x000D_
3.姓。如宋代有汴壽。 |</v>
      </c>
    </row>
    <row r="1636" spans="1:44">
      <c r="A1636" s="1" t="s">
        <v>1285</v>
      </c>
      <c r="C1636" s="1">
        <v>1</v>
      </c>
      <c r="D1636" s="1" t="str">
        <f>"00486"</f>
        <v>00486</v>
      </c>
      <c r="E1636" s="1" t="s">
        <v>250</v>
      </c>
      <c r="F1636" s="1">
        <v>7</v>
      </c>
      <c r="G1636" s="1">
        <v>4</v>
      </c>
      <c r="H1636" s="1">
        <v>0</v>
      </c>
      <c r="I1636" s="1" t="s">
        <v>1280</v>
      </c>
      <c r="K1636" s="1" t="str">
        <f t="shared" si="100"/>
        <v>ㄅ</v>
      </c>
      <c r="L1636" s="1" t="str">
        <f t="shared" si="101"/>
        <v>ㄧ</v>
      </c>
      <c r="M1636" s="1" t="str">
        <f t="shared" si="102"/>
        <v>ㄢ</v>
      </c>
      <c r="P1636" s="1" t="s">
        <v>20</v>
      </c>
      <c r="R1636" s="1" t="s">
        <v>1281</v>
      </c>
      <c r="V1636" s="1" t="s">
        <v>1286</v>
      </c>
      <c r="AR1636" s="1" t="str">
        <f t="shared" si="103"/>
        <v>| [ㄅㄧㄢˋ](ㄅㄧㄢˋ.md) | [忭](忭.md) |  | biàn | [形]
喜樂。《廣韻．去聲．線韻》：「忭，喜貌。」如：「欣忭」、「晤談甚忭」。唐．薛逢〈元日樓前觀仗〉詩二首之二：「欲識普恩無遠近，萬方歡忭一聲雷。」
[副]
愉悅、快樂。晉．華嶠〈賀武帝疾瘳表〉：「上下同慶，不覺忭舞。」唐．白居易〈為宰相賀殺賊表〉：「止戈之期，翹足可待。無任喜慶忭躍之至。」
[動]
歡樂。宋．蘇軾〈喜雨亭記〉：「商賈相與歌於市，農夫相與忭於野。」 |</v>
      </c>
    </row>
    <row r="1637" spans="1:44">
      <c r="A1637" s="1" t="s">
        <v>1287</v>
      </c>
      <c r="C1637" s="1">
        <v>1</v>
      </c>
      <c r="D1637" s="1" t="str">
        <f>"00487"</f>
        <v>00487</v>
      </c>
      <c r="E1637" s="1" t="s">
        <v>24</v>
      </c>
      <c r="F1637" s="1">
        <v>7</v>
      </c>
      <c r="G1637" s="1">
        <v>4</v>
      </c>
      <c r="H1637" s="1">
        <v>0</v>
      </c>
      <c r="I1637" s="1" t="s">
        <v>1280</v>
      </c>
      <c r="K1637" s="1" t="str">
        <f t="shared" si="100"/>
        <v>ㄅ</v>
      </c>
      <c r="L1637" s="1" t="str">
        <f t="shared" si="101"/>
        <v>ㄧ</v>
      </c>
      <c r="M1637" s="1" t="str">
        <f t="shared" si="102"/>
        <v>ㄢ</v>
      </c>
      <c r="P1637" s="1" t="s">
        <v>20</v>
      </c>
      <c r="R1637" s="1" t="s">
        <v>1281</v>
      </c>
      <c r="V1637" s="1" t="s">
        <v>1288</v>
      </c>
      <c r="AR1637" s="1" t="str">
        <f t="shared" si="103"/>
        <v>| [ㄅㄧㄢˋ](ㄅㄧㄢˋ.md) | [抃](抃.md) |  | biàn | [動]
1.拍手、鼓掌。《呂氏春秋．仲夏紀．古樂》：「有倕作為鼙鐘磬……帝嚳乃令人抃。」漢．高誘．注：「兩手相擊曰『抃』。」《宋書．卷六四．何承天傳》：「曉示安危，居以樂土，宜其歌抃就路，視遷如歸。」
2.搏擊、擊鬥。漢．揚雄《法言．淵騫》：「秦悼武、烏獲、任鄙，扛鼎抃牛，非絕力邪？」 |</v>
      </c>
    </row>
    <row r="1638" spans="1:44">
      <c r="A1638" s="1" t="s">
        <v>1289</v>
      </c>
      <c r="C1638" s="1">
        <v>1</v>
      </c>
      <c r="D1638" s="1" t="str">
        <f>"00488"</f>
        <v>00488</v>
      </c>
      <c r="E1638" s="1" t="s">
        <v>37</v>
      </c>
      <c r="F1638" s="1">
        <v>8</v>
      </c>
      <c r="G1638" s="1">
        <v>4</v>
      </c>
      <c r="H1638" s="1">
        <v>0</v>
      </c>
      <c r="I1638" s="1" t="s">
        <v>1280</v>
      </c>
      <c r="K1638" s="1" t="str">
        <f t="shared" si="100"/>
        <v>ㄅ</v>
      </c>
      <c r="L1638" s="1" t="str">
        <f t="shared" si="101"/>
        <v>ㄧ</v>
      </c>
      <c r="M1638" s="1" t="str">
        <f t="shared" si="102"/>
        <v>ㄢ</v>
      </c>
      <c r="P1638" s="1" t="s">
        <v>20</v>
      </c>
      <c r="R1638" s="1" t="s">
        <v>1281</v>
      </c>
      <c r="V1638" s="1" t="s">
        <v>1290</v>
      </c>
      <c r="AR1638" s="1" t="str">
        <f t="shared" si="103"/>
        <v>| [ㄅㄧㄢˋ](ㄅㄧㄢˋ.md) | [苄](苄.md) |  | biàn | 參見「苄基」條。 |</v>
      </c>
    </row>
    <row r="1639" spans="1:44">
      <c r="A1639" s="1" t="s">
        <v>1291</v>
      </c>
      <c r="C1639" s="1">
        <v>1</v>
      </c>
      <c r="D1639" s="1" t="str">
        <f>"00489"</f>
        <v>00489</v>
      </c>
      <c r="E1639" s="1" t="s">
        <v>1027</v>
      </c>
      <c r="F1639" s="1">
        <v>5</v>
      </c>
      <c r="G1639" s="1">
        <v>2</v>
      </c>
      <c r="H1639" s="1">
        <v>1</v>
      </c>
      <c r="I1639" s="1" t="s">
        <v>1280</v>
      </c>
      <c r="K1639" s="1" t="str">
        <f t="shared" si="100"/>
        <v>ㄅ</v>
      </c>
      <c r="L1639" s="1" t="str">
        <f t="shared" si="101"/>
        <v>ㄧ</v>
      </c>
      <c r="M1639" s="1" t="str">
        <f t="shared" si="102"/>
        <v>ㄢ</v>
      </c>
      <c r="P1639" s="1" t="s">
        <v>20</v>
      </c>
      <c r="R1639" s="1" t="s">
        <v>1281</v>
      </c>
      <c r="V1639" s="1" t="s">
        <v>1292</v>
      </c>
      <c r="W1639" s="1" t="s">
        <v>1293</v>
      </c>
      <c r="AR1639" s="1" t="str">
        <f t="shared" si="103"/>
        <v>| [ㄅㄧㄢˋ](ㄅㄧㄢˋ.md) | [弁](弁.md) |  | biàn | [名]
1.古代男子所戴的帽子。《文選．曹植．七啟》：「冠皮弁，被文裘。」《文選．顏延年．皇太子釋奠會作詩》：「肴乾酒澄，端服整弁。」
2.古時候的一種低級軍官，或軍官的侍從。如：「武弁」、「馬弁」。《儒林外史》第三九回：「傳下將令，叫各弁在轅門聽候。」
3.姓。如春秋時魯國有弁嚴子，明代有弁志中。
[形]
驚懼、害怕。《漢書．卷九九．王莽傳下》：「乃壬午餔時，有列風雷雨發屋折木之變，予甚弁焉！予甚栗焉！予甚恐焉！」唐．顏師古．注：「弁，疾也。一曰弁，撫手也，言驚懼也。」
[動]
1.置放。指放在前面或上面。清．龔自珍〈送徐鐵孫序〉：「乃書是言，以弁君之詩之耑。」
2.以手搏擊。《漢書．卷七〇．甘延壽傳》：「試弁，為期鬥，以材力愛幸。」顏師古注引孟康曰：「弁，手搏。」 |</v>
      </c>
    </row>
    <row r="1640" spans="1:44">
      <c r="A1640" s="1" t="s">
        <v>1294</v>
      </c>
      <c r="C1640" s="1">
        <v>1</v>
      </c>
      <c r="D1640" s="1" t="str">
        <f>"00490"</f>
        <v>00490</v>
      </c>
      <c r="E1640" s="1" t="s">
        <v>709</v>
      </c>
      <c r="F1640" s="1">
        <v>13</v>
      </c>
      <c r="G1640" s="1">
        <v>5</v>
      </c>
      <c r="H1640" s="1">
        <v>0</v>
      </c>
      <c r="I1640" s="1" t="s">
        <v>1280</v>
      </c>
      <c r="K1640" s="1" t="str">
        <f t="shared" si="100"/>
        <v>ㄅ</v>
      </c>
      <c r="L1640" s="1" t="str">
        <f t="shared" si="101"/>
        <v>ㄧ</v>
      </c>
      <c r="M1640" s="1" t="str">
        <f t="shared" si="102"/>
        <v>ㄢ</v>
      </c>
      <c r="P1640" s="1" t="s">
        <v>20</v>
      </c>
      <c r="R1640" s="1" t="s">
        <v>1281</v>
      </c>
      <c r="V1640" s="1" t="s">
        <v>1295</v>
      </c>
      <c r="AR1640" s="1" t="str">
        <f t="shared" si="103"/>
        <v>| [ㄅㄧㄢˋ](ㄅㄧㄢˋ.md) | [閞](閞.md) |  | biàn | [名]
門柱上的方形木頭。《說文解字．門部》：「閞，門欂櫨也。」清．段玉裁．注：「欂櫨，柱上枅也。枅，屋欂櫨也。閞則門柱上枅之名。」 |</v>
      </c>
    </row>
    <row r="1641" spans="1:44">
      <c r="A1641" s="1" t="s">
        <v>1296</v>
      </c>
      <c r="C1641" s="1">
        <v>1</v>
      </c>
      <c r="D1641" s="1" t="str">
        <f>"00491"</f>
        <v>00491</v>
      </c>
      <c r="E1641" s="1" t="s">
        <v>272</v>
      </c>
      <c r="F1641" s="1">
        <v>16</v>
      </c>
      <c r="G1641" s="1">
        <v>5</v>
      </c>
      <c r="H1641" s="1">
        <v>0</v>
      </c>
      <c r="I1641" s="1" t="s">
        <v>1280</v>
      </c>
      <c r="K1641" s="1" t="str">
        <f t="shared" si="100"/>
        <v>ㄅ</v>
      </c>
      <c r="L1641" s="1" t="str">
        <f t="shared" si="101"/>
        <v>ㄧ</v>
      </c>
      <c r="M1641" s="1" t="str">
        <f t="shared" si="102"/>
        <v>ㄢ</v>
      </c>
      <c r="P1641" s="1" t="s">
        <v>20</v>
      </c>
      <c r="R1641" s="1" t="s">
        <v>1281</v>
      </c>
      <c r="V1641" s="1" t="s">
        <v>1297</v>
      </c>
      <c r="AR1641" s="1" t="str">
        <f t="shared" si="103"/>
        <v>| [ㄅㄧㄢˋ](ㄅㄧㄢˋ.md) | [鴘](鴘.md) |  | biàn | [名]
1.幼鷹的羽毛色澤。《玉篇．鳥部》：「鴘，鷹鷂二年色。」《集韻．上聲．獼韻》：「鴘，鷹隼二歲，色赤。」
2.動物名。即鷂鷹。一種似鷹而小的猛禽。背青灰色，腹白而赤，嘴、爪銳利。性凶狠，能疾飛，以逐捕小鳥為食。《字彙．鳥部》：「鴘，鷹鷂。」 |</v>
      </c>
    </row>
    <row r="1642" spans="1:44">
      <c r="A1642" s="1" t="s">
        <v>1298</v>
      </c>
      <c r="C1642" s="1">
        <v>1</v>
      </c>
      <c r="D1642" s="1" t="str">
        <f>"00492"</f>
        <v>00492</v>
      </c>
      <c r="E1642" s="1" t="s">
        <v>1299</v>
      </c>
      <c r="F1642" s="1">
        <v>7</v>
      </c>
      <c r="G1642" s="1">
        <v>0</v>
      </c>
      <c r="H1642" s="1">
        <v>0</v>
      </c>
      <c r="I1642" s="1" t="s">
        <v>1280</v>
      </c>
      <c r="K1642" s="1" t="str">
        <f t="shared" si="100"/>
        <v>ㄅ</v>
      </c>
      <c r="L1642" s="1" t="str">
        <f t="shared" si="101"/>
        <v>ㄧ</v>
      </c>
      <c r="M1642" s="1" t="str">
        <f t="shared" si="102"/>
        <v>ㄢ</v>
      </c>
      <c r="P1642" s="1" t="s">
        <v>20</v>
      </c>
      <c r="R1642" s="1" t="s">
        <v>1281</v>
      </c>
      <c r="V1642" s="1" t="s">
        <v>1300</v>
      </c>
      <c r="AR1642" s="1" t="str">
        <f t="shared" si="103"/>
        <v>| [ㄅㄧㄢˋ](ㄅㄧㄢˋ.md) | [釆](釆.md) |  | biàn | [動]
分別、辨別。《說文解字．釆部》：「釆，辨別也。象獸指爪分別也。」今字作「辨」，古因形似而訛誤為「平」。
[名]
二一四部首之一。 |</v>
      </c>
    </row>
    <row r="1643" spans="1:44">
      <c r="A1643" s="1" t="s">
        <v>1301</v>
      </c>
      <c r="C1643" s="1">
        <v>1</v>
      </c>
      <c r="D1643" s="1" t="str">
        <f>"00493"</f>
        <v>00493</v>
      </c>
      <c r="E1643" s="1" t="s">
        <v>114</v>
      </c>
      <c r="F1643" s="1">
        <v>9</v>
      </c>
      <c r="G1643" s="1">
        <v>7</v>
      </c>
      <c r="H1643" s="1">
        <v>1</v>
      </c>
      <c r="I1643" s="1" t="s">
        <v>1280</v>
      </c>
      <c r="K1643" s="1" t="str">
        <f t="shared" si="100"/>
        <v>ㄅ</v>
      </c>
      <c r="L1643" s="1" t="str">
        <f t="shared" si="101"/>
        <v>ㄧ</v>
      </c>
      <c r="M1643" s="1" t="str">
        <f t="shared" si="102"/>
        <v>ㄢ</v>
      </c>
      <c r="P1643" s="1" t="s">
        <v>20</v>
      </c>
      <c r="R1643" s="1" t="s">
        <v>1281</v>
      </c>
      <c r="V1643" s="1" t="s">
        <v>1302</v>
      </c>
      <c r="W1643" s="1" t="s">
        <v>1303</v>
      </c>
      <c r="AR1643" s="1" t="str">
        <f t="shared" si="103"/>
        <v>| [ㄅㄧㄢˋ](ㄅㄧㄢˋ.md) | [便](便.md) |  | biàn | [形]_x000D_
1.順、順利、方便。如：「便利」、「不便之處」。《史記．卷一〇九．李將軍傳》：「就善水草屯，舍止，人人自便。」宋．陸游〈初發夷陵〉詩：「今朝喜處君知否？三丈黃旗舞便風。」_x000D_
2.簡單的、非正式的。如：「便服」、「便鞋」、「便條紙」、「家常便飯」。_x000D_
3.靈敏、輕巧、敏捷。《莊子．應帝王》：「猿狙之便。」唐．韓愈〈送李愿歸盤谷序〉：「曲眉豐頰，清聲而便體，秀外而惠中。」_x000D_
[動]_x000D_
1.適宜、合宜。如：「便於攜帶」。《南史．卷三五．顧覬之傳》：「率皆即日不宜於人，方來未便於公，名與實反，有乖政體。」_x000D_
2.有利於。《韓非子．孤憤》：「虧法以利私，耗國以便家。」《史記．卷七十七．信陵君列傳》：「將在外，主令有所不受，以便國家。」_x000D_
3.熟習。《三國志．卷七．魏書．呂布傳》：「布便弓馬，膂力過人，號為飛將。」《隋書．卷五〇．郭榮傳》：「孝先於上流縱天筏以擊浮橋，護令榮督便水者引取其筏。」_x000D_
4.排泄屎、尿。如：「便尿」。《漢書．卷五九．張湯傳》：「（安世）為光祿勛，郎有醉小便殿上。」_x000D_
[名]_x000D_
1.方便的時候。如：「便中請來個電話。」、「得便就幫你送過去。」_x000D_
2.機會。《文選．賈誼．過秦論》：「因利乘便，宰割天下，分裂河山。」唐．李華〈弔古戰場文〉：「吾想夫北風振漢，胡兵伺便；主將驕敵，期門受戰。」_x000D_
3.屎、尿等的排泄物。如：「大便」、「小便」、「糞便」。_x000D_
[副]_x000D_
1.即、就。《三國志．卷四七．吳書．吳主權傳》：「又司馬懿前來入舒，旬日便退。」《紅樓夢》第四回：「每日或飯後，或晚間，薛姨媽便過來，或與賈母閒談，或和王夫人相敘。」_x000D_
2.豈、難道。表反問的語氣。宋．文同〈可笑口號七章之一〉：「若無書籍兼圖畫，便不教人白髮生？」《董西廂》卷八：「姑舅做親，便不敗壞風俗？」_x000D_
[連]_x000D_
縱然、即使。宋．柳永〈雨霖鈴．寒蟬淒切〉詞：「便縱有、千種風情，更與何人說。」 |</v>
      </c>
    </row>
    <row r="1644" spans="1:44">
      <c r="A1644" s="1" t="s">
        <v>1304</v>
      </c>
      <c r="C1644" s="1">
        <v>1</v>
      </c>
      <c r="D1644" s="1" t="str">
        <f>"00494"</f>
        <v>00494</v>
      </c>
      <c r="E1644" s="1" t="s">
        <v>725</v>
      </c>
      <c r="F1644" s="1">
        <v>15</v>
      </c>
      <c r="G1644" s="1">
        <v>9</v>
      </c>
      <c r="H1644" s="1">
        <v>1</v>
      </c>
      <c r="I1644" s="1" t="s">
        <v>1280</v>
      </c>
      <c r="K1644" s="1" t="str">
        <f t="shared" si="100"/>
        <v>ㄅ</v>
      </c>
      <c r="L1644" s="1" t="str">
        <f t="shared" si="101"/>
        <v>ㄧ</v>
      </c>
      <c r="M1644" s="1" t="str">
        <f t="shared" si="102"/>
        <v>ㄢ</v>
      </c>
      <c r="P1644" s="1" t="s">
        <v>20</v>
      </c>
      <c r="R1644" s="1" t="s">
        <v>1281</v>
      </c>
      <c r="V1644" s="1" t="s">
        <v>1305</v>
      </c>
      <c r="W1644" s="1" t="s">
        <v>1306</v>
      </c>
      <c r="AR1644" s="1" t="str">
        <f t="shared" si="103"/>
        <v>| [ㄅㄧㄢˋ](ㄅㄧㄢˋ.md) | [緶](緶.md) |  | biàn | [動]
將麻、草一類東西交錯編成辮子狀。《說文解字．糸部》：「緶，交枲也。」清．段玉裁．注：「謂以枲二股交辮之也。交絲為辮，交枲為緶。」
[名]
指長條形的編織物。通「辮」。如：「草帽緶」、「蒜緶子」、「髮緶兒」。 |</v>
      </c>
    </row>
    <row r="1645" spans="1:44">
      <c r="A1645" s="1" t="s">
        <v>1307</v>
      </c>
      <c r="C1645" s="1">
        <v>1</v>
      </c>
      <c r="D1645" s="1" t="str">
        <f>"00495"</f>
        <v>00495</v>
      </c>
      <c r="E1645" s="1" t="s">
        <v>558</v>
      </c>
      <c r="F1645" s="1">
        <v>13</v>
      </c>
      <c r="G1645" s="1">
        <v>9</v>
      </c>
      <c r="H1645" s="1">
        <v>1</v>
      </c>
      <c r="I1645" s="1" t="s">
        <v>1280</v>
      </c>
      <c r="K1645" s="1" t="str">
        <f t="shared" si="100"/>
        <v>ㄅ</v>
      </c>
      <c r="L1645" s="1" t="str">
        <f t="shared" si="101"/>
        <v>ㄧ</v>
      </c>
      <c r="M1645" s="1" t="str">
        <f t="shared" si="102"/>
        <v>ㄢ</v>
      </c>
      <c r="P1645" s="1" t="s">
        <v>186</v>
      </c>
      <c r="R1645" s="1" t="s">
        <v>1281</v>
      </c>
      <c r="V1645" s="1" t="s">
        <v>1308</v>
      </c>
      <c r="W1645" s="1" t="s">
        <v>1309</v>
      </c>
      <c r="AR1645" s="1" t="str">
        <f t="shared" si="103"/>
        <v>| [ㄅㄧㄢˋ](ㄅㄧㄢˋ.md) | [遍](遍.md) |  | biàn | [形]_x000D_
全部、整個。形容到處都是。如：「遍體鱗傷」、「漫山遍野」、「哀鴻遍野」。宋．張俞〈蠶婦〉詩：「遍身羅綺者，不是養蠶人。」明．湯顯祖《牡丹亭》第七齣：「夢回鶯囀，亂煞年光遍。」_x000D_
[副]_x000D_
沒有一處遺漏的。如：「遍布」、「遍歷」。唐．王維〈九月九日憶山東兄弟〉詩：「遙知兄弟登高處，遍插茱萸少一人。」《五代史平話．周史．卷上》：「宣赦已畢，遍行天下。」_x000D_
[動]_x000D_
布滿。漢．劉向《說苑．卷九．正諫》：「凡為不善遍於物不自知者，無天禍必有人害。」唐．劉禹錫〈宣上人遠寄和禮部王侍郎放榜後詩因而繼和〉：「一日聲名遍天下，滿城桃李屬春官。」_x000D_
[量]_x000D_
計算動作頭尾經歷的單位。唐．韓愈〈張中丞傳後敘〉：「巡曰：『吾於書讀不過三遍，終身不忘也。』」《紅樓夢》第一回：「空空道人聽如此話，思忖半晌，將這《石頭記》再細閱一遍。」 |</v>
      </c>
    </row>
    <row r="1646" spans="1:44">
      <c r="A1646" s="1" t="s">
        <v>1310</v>
      </c>
      <c r="C1646" s="1">
        <v>1</v>
      </c>
      <c r="D1646" s="1" t="str">
        <f>"00496"</f>
        <v>00496</v>
      </c>
      <c r="E1646" s="1" t="s">
        <v>181</v>
      </c>
      <c r="F1646" s="1">
        <v>15</v>
      </c>
      <c r="G1646" s="1">
        <v>9</v>
      </c>
      <c r="H1646" s="1">
        <v>0</v>
      </c>
      <c r="I1646" s="1" t="s">
        <v>1280</v>
      </c>
      <c r="K1646" s="1" t="str">
        <f t="shared" si="100"/>
        <v>ㄅ</v>
      </c>
      <c r="L1646" s="1" t="str">
        <f t="shared" si="101"/>
        <v>ㄧ</v>
      </c>
      <c r="M1646" s="1" t="str">
        <f t="shared" si="102"/>
        <v>ㄢ</v>
      </c>
      <c r="P1646" s="1" t="s">
        <v>20</v>
      </c>
      <c r="R1646" s="1" t="s">
        <v>1281</v>
      </c>
      <c r="V1646" s="1" t="s">
        <v>1311</v>
      </c>
      <c r="AR1646" s="1" t="str">
        <f t="shared" si="103"/>
        <v>| [ㄅㄧㄢˋ](ㄅㄧㄢˋ.md) | [艑](艑.md) |  | biàn | [名]
船。《宋書．卷八三．吳喜傳》：「從西還，大艑小艒，爰及草舫，錢米布絹，無船不滿。」《新唐書．卷九〇．劉政會傳》：「賈入倡家，踐其血乃覺，乘艑亡。」 |</v>
      </c>
    </row>
    <row r="1647" spans="1:44">
      <c r="A1647" s="1" t="s">
        <v>1312</v>
      </c>
      <c r="C1647" s="1">
        <v>1</v>
      </c>
      <c r="D1647" s="1" t="str">
        <f>"00497"</f>
        <v>00497</v>
      </c>
      <c r="E1647" s="1" t="s">
        <v>732</v>
      </c>
      <c r="F1647" s="1">
        <v>14</v>
      </c>
      <c r="G1647" s="1">
        <v>7</v>
      </c>
      <c r="H1647" s="1">
        <v>0</v>
      </c>
      <c r="I1647" s="1" t="s">
        <v>1280</v>
      </c>
      <c r="K1647" s="1" t="str">
        <f t="shared" si="100"/>
        <v>ㄅ</v>
      </c>
      <c r="L1647" s="1" t="str">
        <f t="shared" si="101"/>
        <v>ㄧ</v>
      </c>
      <c r="M1647" s="1" t="str">
        <f t="shared" si="102"/>
        <v>ㄢ</v>
      </c>
      <c r="P1647" s="1" t="s">
        <v>20</v>
      </c>
      <c r="R1647" s="1" t="s">
        <v>1281</v>
      </c>
      <c r="V1647" s="1" t="s">
        <v>1313</v>
      </c>
      <c r="AR1647" s="1" t="str">
        <f t="shared" si="103"/>
        <v>| [ㄅㄧㄢˋ](ㄅㄧㄢˋ.md) | [辡](辡.md) |  | biàn | [動]
罪犯相互爭辯、辯論。《說文解字．辡部》：「辡，罪人相與訟也。」 |</v>
      </c>
    </row>
    <row r="1648" spans="1:44">
      <c r="A1648" s="1" t="s">
        <v>1314</v>
      </c>
      <c r="C1648" s="1">
        <v>1</v>
      </c>
      <c r="D1648" s="1" t="str">
        <f>"00498"</f>
        <v>00498</v>
      </c>
      <c r="E1648" s="1" t="s">
        <v>732</v>
      </c>
      <c r="F1648" s="1">
        <v>16</v>
      </c>
      <c r="G1648" s="1">
        <v>9</v>
      </c>
      <c r="H1648" s="1">
        <v>0</v>
      </c>
      <c r="I1648" s="1" t="s">
        <v>1280</v>
      </c>
      <c r="K1648" s="1" t="str">
        <f t="shared" si="100"/>
        <v>ㄅ</v>
      </c>
      <c r="L1648" s="1" t="str">
        <f t="shared" si="101"/>
        <v>ㄧ</v>
      </c>
      <c r="M1648" s="1" t="str">
        <f t="shared" si="102"/>
        <v>ㄢ</v>
      </c>
      <c r="P1648" s="1" t="s">
        <v>20</v>
      </c>
      <c r="R1648" s="1" t="s">
        <v>1281</v>
      </c>
      <c r="V1648" s="1" t="s">
        <v>1315</v>
      </c>
      <c r="AR1648" s="1" t="str">
        <f t="shared" si="103"/>
        <v>| [ㄅㄧㄢˋ](ㄅㄧㄢˋ.md) | [辨](辨.md) |  | biàn | [動]
1.分別、判別。如：「辨別」、「分辨」、「明辨是非」、「雌雄莫辨」。《荀子．榮辱》：「目辨白黑美惡，耳辨音聲清濁。」唐．杜甫〈秋雨歎〉三首之二：「去馬來牛不復辨，濁涇清渭何當分。」
2.爭論是非曲直。通「辯」。《戰國策．趙策三》：「鄂侯爭之急，辨之疾，故脯鄂侯。」晉．陶淵明〈飲酒詩〉二〇首之五：「此還有真意，欲辨已忘言。」
[名]
文體名。如唐代柳宗元的〈桐葉封弟辨〉。也作「辯」。 |</v>
      </c>
    </row>
    <row r="1649" spans="1:44">
      <c r="A1649" s="1" t="s">
        <v>1316</v>
      </c>
      <c r="C1649" s="1">
        <v>1</v>
      </c>
      <c r="D1649" s="1" t="str">
        <f>"00499"</f>
        <v>00499</v>
      </c>
      <c r="E1649" s="1" t="s">
        <v>725</v>
      </c>
      <c r="F1649" s="1">
        <v>20</v>
      </c>
      <c r="G1649" s="1">
        <v>14</v>
      </c>
      <c r="H1649" s="1">
        <v>0</v>
      </c>
      <c r="I1649" s="1" t="s">
        <v>1280</v>
      </c>
      <c r="K1649" s="1" t="str">
        <f t="shared" si="100"/>
        <v>ㄅ</v>
      </c>
      <c r="L1649" s="1" t="str">
        <f t="shared" si="101"/>
        <v>ㄧ</v>
      </c>
      <c r="M1649" s="1" t="str">
        <f t="shared" si="102"/>
        <v>ㄢ</v>
      </c>
      <c r="P1649" s="1" t="s">
        <v>20</v>
      </c>
      <c r="R1649" s="1" t="s">
        <v>1281</v>
      </c>
      <c r="V1649" s="1" t="s">
        <v>1317</v>
      </c>
      <c r="AR1649" s="1" t="str">
        <f t="shared" si="103"/>
        <v>| [ㄅㄧㄢˋ](ㄅㄧㄢˋ.md) | [辮](辮.md) |  | biàn | [名]
1.分股編成長條狀的頭髮。如：「髮辮」、「垂辮」、「結辮」。《文選．丘遲．與陳伯之書》：「夜郎、滇池，解辮請辭。」《紅樓夢》第三回：「頭上週圍一轉的短髮都結成小辮，紅絲結束，共攢至頂中胎髮，總編一根大辮，黑亮如漆。」
2.編成像辮子般的條狀物。通「緶」。如：「草辮」、「繩辮」、「絲辮」。
[動]
編織、編結。《文選．張衡．思玄賦》：「襲溫恭之黻衣兮，被禮義之繡裳；辮貞亮以為鞶兮，雜伎藝以為珩。」唐．李白〈對雪醉後贈王歷陽〉詩：「有身莫犯飛龍鱗，有手莫辮猛虎鬚。」 |</v>
      </c>
    </row>
    <row r="1650" spans="1:44">
      <c r="A1650" s="1" t="s">
        <v>1318</v>
      </c>
      <c r="C1650" s="1">
        <v>1</v>
      </c>
      <c r="D1650" s="1" t="str">
        <f>"00500"</f>
        <v>00500</v>
      </c>
      <c r="E1650" s="1" t="s">
        <v>732</v>
      </c>
      <c r="F1650" s="1">
        <v>21</v>
      </c>
      <c r="G1650" s="1">
        <v>14</v>
      </c>
      <c r="H1650" s="1">
        <v>0</v>
      </c>
      <c r="I1650" s="1" t="s">
        <v>1280</v>
      </c>
      <c r="K1650" s="1" t="str">
        <f t="shared" si="100"/>
        <v>ㄅ</v>
      </c>
      <c r="L1650" s="1" t="str">
        <f t="shared" si="101"/>
        <v>ㄧ</v>
      </c>
      <c r="M1650" s="1" t="str">
        <f t="shared" si="102"/>
        <v>ㄢ</v>
      </c>
      <c r="P1650" s="1" t="s">
        <v>20</v>
      </c>
      <c r="R1650" s="1" t="s">
        <v>1281</v>
      </c>
      <c r="V1650" s="1" t="s">
        <v>1319</v>
      </c>
      <c r="AR1650" s="1" t="str">
        <f t="shared" si="103"/>
        <v>| [ㄅㄧㄢˋ](ㄅㄧㄢˋ.md) | [辯](辯.md) |  | biàn | [動]
1.爭論是非曲直。如：「辯護」、「辯駁」、「狡辯」、「強辯」。《孟子．滕文公下》：「孟子曰：『予豈好辯哉？予不得已也。』」明．宋濂〈送東陽馬生序〉：「與之論辯，言和而色怡。」
2.判別、分別。通「辨」。《易經．履卦．象曰》：「履，君子以辯上下，定民志。」《後漢書．卷四九．仲長統傳》：「苟目能辯色，耳能辯聲，口能辯味，體能辯寒溫者，將皆以脩絜為諱惡。」
3.變化。通「變」。《莊子．逍遙遊》：「若夫乘天地之正，而御六氣之辯，以遊無窮者，彼且惡乎待哉。」唐．成玄英．疏：「辯者，變也。」
[形]
善於辯說的。如：「辯士」、「辯才無礙」。
[名]
1.巧言。《戰國策．秦策一》：「迷於言，惑於語，沉於辯，溺於辭。」《史記．卷七四．孟子荀卿傳》：「而趙亦有公孫龍為堅白同異之辯。」
2.文體名。如唐代韓愈的〈諱辯〉。也作「辨」。 |</v>
      </c>
    </row>
    <row r="1651" spans="1:44">
      <c r="A1651" s="1" t="s">
        <v>1320</v>
      </c>
      <c r="C1651" s="1">
        <v>1</v>
      </c>
      <c r="D1651" s="1" t="str">
        <f>"00501"</f>
        <v>00501</v>
      </c>
      <c r="E1651" s="1" t="s">
        <v>331</v>
      </c>
      <c r="F1651" s="1">
        <v>23</v>
      </c>
      <c r="G1651" s="1">
        <v>16</v>
      </c>
      <c r="H1651" s="1">
        <v>0</v>
      </c>
      <c r="I1651" s="1" t="s">
        <v>1280</v>
      </c>
      <c r="K1651" s="1" t="str">
        <f t="shared" si="100"/>
        <v>ㄅ</v>
      </c>
      <c r="L1651" s="1" t="str">
        <f t="shared" si="101"/>
        <v>ㄧ</v>
      </c>
      <c r="M1651" s="1" t="str">
        <f t="shared" si="102"/>
        <v>ㄢ</v>
      </c>
      <c r="P1651" s="1" t="s">
        <v>20</v>
      </c>
      <c r="R1651" s="1" t="s">
        <v>1281</v>
      </c>
      <c r="V1651" s="1" t="s">
        <v>1321</v>
      </c>
      <c r="AR1651" s="1" t="str">
        <f t="shared" si="103"/>
        <v>| [ㄅㄧㄢˋ](ㄅㄧㄢˋ.md) | [變](變.md) |  | biàn | [動]
1.更改。如：「千變萬化」、「一成不變」。《史記．卷一二九．貨殖傳》：「乘扁舟浮於江湖，變名易姓。」
2.移動。《禮記．檀弓上》：「夫子之病革矣，不可以變。」《文選．陸機．文賦》：「或虎變而獸擾，或龍見而鳥瀾。」
[名]
1.突發的動亂。《史記．卷九二．淮陰侯傳》：「善遇之，使自為守。不然，變生。」《宋史．卷四二一．李庭芝傳》：「庭芝聞變，赴蓮池，水淺不得死。」
2.災異。《禮記．曾子問》：「丘止柩就道右，止哭以聽變。」《漢書．卷八一．張禹傳》：「上懼變異數見。」
3.權術。隋．王通《文中子．卷七．述史》：「非君子不可與語變。」
[形]
奇特的、怪誕的。如：「變象」。《楚辭．屈原．九章．思美人》：「吾且儃佪以娛憂兮，觀南人之變態。」 |</v>
      </c>
    </row>
    <row r="1652" spans="1:44">
      <c r="A1652" s="1" t="s">
        <v>1322</v>
      </c>
      <c r="C1652" s="1">
        <v>1</v>
      </c>
      <c r="D1652" s="1" t="str">
        <f>"00502"</f>
        <v>00502</v>
      </c>
      <c r="E1652" s="1" t="s">
        <v>129</v>
      </c>
      <c r="F1652" s="1">
        <v>5</v>
      </c>
      <c r="G1652" s="1">
        <v>2</v>
      </c>
      <c r="H1652" s="1">
        <v>2</v>
      </c>
      <c r="I1652" s="1" t="s">
        <v>1323</v>
      </c>
      <c r="K1652" s="1" t="str">
        <f t="shared" si="100"/>
        <v>ㄅ</v>
      </c>
      <c r="L1652" s="1" t="str">
        <f t="shared" si="101"/>
        <v>ㄧ</v>
      </c>
      <c r="M1652" s="1" t="str">
        <f t="shared" si="102"/>
        <v>ㄣ</v>
      </c>
      <c r="P1652" s="1" t="s">
        <v>20</v>
      </c>
      <c r="R1652" s="1" t="s">
        <v>1324</v>
      </c>
      <c r="V1652" s="1" t="s">
        <v>1325</v>
      </c>
      <c r="W1652" s="1" t="s">
        <v>1326</v>
      </c>
      <c r="AR1652" s="1" t="str">
        <f t="shared" si="103"/>
        <v>| [ㄅㄧㄣ](ㄅㄧㄣ.md) | [汃](汃.md) |  | bīn | [名]
1.古代傳說中西方極遠處的河川。《說文解字．水部》：「汃，西極之水也」。
2.古代西方極遠的國家。《說文解字．水部》：「汃，《爾雅》曰：『西至汃國，謂四極。』」《廣韻．平聲．真韻》：「汃，西方極遠之國。」 |</v>
      </c>
    </row>
    <row r="1653" spans="1:44">
      <c r="A1653" s="1" t="s">
        <v>1327</v>
      </c>
      <c r="C1653" s="1">
        <v>1</v>
      </c>
      <c r="D1653" s="1" t="str">
        <f>"00503"</f>
        <v>00503</v>
      </c>
      <c r="E1653" s="1" t="s">
        <v>114</v>
      </c>
      <c r="F1653" s="1">
        <v>6</v>
      </c>
      <c r="G1653" s="1">
        <v>4</v>
      </c>
      <c r="H1653" s="1">
        <v>2</v>
      </c>
      <c r="I1653" s="1" t="s">
        <v>1323</v>
      </c>
      <c r="K1653" s="1" t="str">
        <f t="shared" si="100"/>
        <v>ㄅ</v>
      </c>
      <c r="L1653" s="1" t="str">
        <f t="shared" si="101"/>
        <v>ㄧ</v>
      </c>
      <c r="M1653" s="1" t="str">
        <f t="shared" si="102"/>
        <v>ㄣ</v>
      </c>
      <c r="P1653" s="1" t="s">
        <v>20</v>
      </c>
      <c r="R1653" s="1" t="s">
        <v>1324</v>
      </c>
      <c r="V1653" s="1" t="s">
        <v>1328</v>
      </c>
      <c r="W1653" s="1" t="s">
        <v>1329</v>
      </c>
      <c r="AR1653" s="1" t="str">
        <f t="shared" si="103"/>
        <v>| [ㄅㄧㄣ](ㄅㄧㄣ.md) | [份](份.md) |  | bīn | [形]
文質兼備。同「彬」。《說文解字．人部》：「份，文質備也。《論語》曰：『文質份份。』彬，古文份。」 |</v>
      </c>
    </row>
    <row r="1654" spans="1:44">
      <c r="A1654" s="1" t="s">
        <v>1330</v>
      </c>
      <c r="C1654" s="1">
        <v>1</v>
      </c>
      <c r="D1654" s="1" t="str">
        <f>"00504"</f>
        <v>00504</v>
      </c>
      <c r="E1654" s="1" t="s">
        <v>256</v>
      </c>
      <c r="F1654" s="1">
        <v>7</v>
      </c>
      <c r="G1654" s="1">
        <v>4</v>
      </c>
      <c r="H1654" s="1">
        <v>0</v>
      </c>
      <c r="I1654" s="1" t="s">
        <v>1323</v>
      </c>
      <c r="K1654" s="1" t="str">
        <f t="shared" si="100"/>
        <v>ㄅ</v>
      </c>
      <c r="L1654" s="1" t="str">
        <f t="shared" si="101"/>
        <v>ㄧ</v>
      </c>
      <c r="M1654" s="1" t="str">
        <f t="shared" si="102"/>
        <v>ㄣ</v>
      </c>
      <c r="P1654" s="1" t="s">
        <v>20</v>
      </c>
      <c r="R1654" s="1" t="s">
        <v>1324</v>
      </c>
      <c r="V1654" s="1" t="s">
        <v>1331</v>
      </c>
      <c r="AR1654" s="1" t="str">
        <f t="shared" si="103"/>
        <v>| [ㄅㄧㄣ](ㄅㄧㄣ.md) | [邠](邠.md) |  | bīn | [名]
國名。周的祖先公劉所立。故地約在今大陸地區陝西省彬縣。通「豳」。
[形]
參見「邠如」條。 |</v>
      </c>
    </row>
    <row r="1655" spans="1:44">
      <c r="A1655" s="1" t="s">
        <v>1332</v>
      </c>
      <c r="C1655" s="1">
        <v>1</v>
      </c>
      <c r="D1655" s="1" t="str">
        <f>"00505"</f>
        <v>00505</v>
      </c>
      <c r="E1655" s="1" t="s">
        <v>142</v>
      </c>
      <c r="F1655" s="1">
        <v>8</v>
      </c>
      <c r="G1655" s="1">
        <v>4</v>
      </c>
      <c r="H1655" s="1">
        <v>0</v>
      </c>
      <c r="I1655" s="1" t="s">
        <v>1323</v>
      </c>
      <c r="K1655" s="1" t="str">
        <f t="shared" si="100"/>
        <v>ㄅ</v>
      </c>
      <c r="L1655" s="1" t="str">
        <f t="shared" si="101"/>
        <v>ㄧ</v>
      </c>
      <c r="M1655" s="1" t="str">
        <f t="shared" si="102"/>
        <v>ㄣ</v>
      </c>
      <c r="P1655" s="1" t="s">
        <v>20</v>
      </c>
      <c r="R1655" s="1" t="s">
        <v>1324</v>
      </c>
      <c r="V1655" s="1" t="s">
        <v>1333</v>
      </c>
      <c r="AR1655" s="1" t="str">
        <f t="shared" si="103"/>
        <v>| [ㄅㄧㄣ](ㄅㄧㄣ.md) | [玢](玢.md) |  | bīn | [名]
一種玉。《玉篇．玉部》：「玢，玉名。」
[形]
形容玉石美好的紋理。也稱為「玢豳」。《集韻．平聲．真韻》：「玢，玉文理貌。」《文選．司馬相如．上林賦》：「玟玉旁唐，玢豳文鱗。」李善注引郭璞曰：「玢豳，文理貌也。」 |</v>
      </c>
    </row>
    <row r="1656" spans="1:44">
      <c r="A1656" s="1" t="s">
        <v>1334</v>
      </c>
      <c r="C1656" s="1">
        <v>1</v>
      </c>
      <c r="D1656" s="1" t="str">
        <f>"00506"</f>
        <v>00506</v>
      </c>
      <c r="E1656" s="1" t="s">
        <v>1335</v>
      </c>
      <c r="F1656" s="1">
        <v>11</v>
      </c>
      <c r="G1656" s="1">
        <v>8</v>
      </c>
      <c r="H1656" s="1">
        <v>0</v>
      </c>
      <c r="I1656" s="1" t="s">
        <v>1323</v>
      </c>
      <c r="K1656" s="1" t="str">
        <f t="shared" si="100"/>
        <v>ㄅ</v>
      </c>
      <c r="L1656" s="1" t="str">
        <f t="shared" si="101"/>
        <v>ㄧ</v>
      </c>
      <c r="M1656" s="1" t="str">
        <f t="shared" si="102"/>
        <v>ㄣ</v>
      </c>
      <c r="P1656" s="1" t="s">
        <v>20</v>
      </c>
      <c r="R1656" s="1" t="s">
        <v>1324</v>
      </c>
      <c r="V1656" s="1" t="s">
        <v>1336</v>
      </c>
      <c r="AR1656" s="1" t="str">
        <f t="shared" si="103"/>
        <v>| [ㄅㄧㄣ](ㄅㄧㄣ.md) | [彬](彬.md) |  | bīn | [形]
參見「彬彬」條。
[名]
姓。如唐代有彬霽。 |</v>
      </c>
    </row>
    <row r="1657" spans="1:44">
      <c r="A1657" s="1" t="s">
        <v>1337</v>
      </c>
      <c r="C1657" s="1">
        <v>1</v>
      </c>
      <c r="D1657" s="1" t="str">
        <f>"00507"</f>
        <v>00507</v>
      </c>
      <c r="E1657" s="1" t="s">
        <v>670</v>
      </c>
      <c r="F1657" s="1">
        <v>12</v>
      </c>
      <c r="G1657" s="1">
        <v>8</v>
      </c>
      <c r="H1657" s="1">
        <v>0</v>
      </c>
      <c r="I1657" s="1" t="s">
        <v>1323</v>
      </c>
      <c r="K1657" s="1" t="str">
        <f t="shared" si="100"/>
        <v>ㄅ</v>
      </c>
      <c r="L1657" s="1" t="str">
        <f t="shared" si="101"/>
        <v>ㄧ</v>
      </c>
      <c r="M1657" s="1" t="str">
        <f t="shared" si="102"/>
        <v>ㄣ</v>
      </c>
      <c r="P1657" s="1" t="s">
        <v>20</v>
      </c>
      <c r="R1657" s="1" t="s">
        <v>1324</v>
      </c>
      <c r="V1657" s="1" t="s">
        <v>1338</v>
      </c>
      <c r="AR1657" s="1" t="str">
        <f t="shared" si="103"/>
        <v>| [ㄅㄧㄣ](ㄅㄧㄣ.md) | [斌](斌.md) |  | bīn | [形]
通「彬」。參見「斌斌」條。 |</v>
      </c>
    </row>
    <row r="1658" spans="1:44">
      <c r="A1658" s="1" t="s">
        <v>1339</v>
      </c>
      <c r="C1658" s="1">
        <v>1</v>
      </c>
      <c r="D1658" s="1" t="str">
        <f>"00508"</f>
        <v>00508</v>
      </c>
      <c r="E1658" s="1" t="s">
        <v>429</v>
      </c>
      <c r="F1658" s="1">
        <v>13</v>
      </c>
      <c r="G1658" s="1">
        <v>8</v>
      </c>
      <c r="H1658" s="1">
        <v>2</v>
      </c>
      <c r="I1658" s="1" t="s">
        <v>1323</v>
      </c>
      <c r="K1658" s="1" t="str">
        <f t="shared" si="100"/>
        <v>ㄅ</v>
      </c>
      <c r="L1658" s="1" t="str">
        <f t="shared" si="101"/>
        <v>ㄧ</v>
      </c>
      <c r="M1658" s="1" t="str">
        <f t="shared" si="102"/>
        <v>ㄣ</v>
      </c>
      <c r="P1658" s="1" t="s">
        <v>110</v>
      </c>
      <c r="R1658" s="1" t="s">
        <v>1324</v>
      </c>
      <c r="V1658" s="1" t="s">
        <v>111</v>
      </c>
      <c r="W1658" s="1" t="s">
        <v>1340</v>
      </c>
      <c r="AR1658" s="1" t="str">
        <f t="shared" si="103"/>
        <v>| [ㄅㄧㄣ](ㄅㄧㄣ.md) | [稟](稟.md) |  | bīn | (一)之又音。 |</v>
      </c>
    </row>
    <row r="1659" spans="1:44">
      <c r="A1659" s="1" t="s">
        <v>1341</v>
      </c>
      <c r="C1659" s="1">
        <v>1</v>
      </c>
      <c r="D1659" s="1" t="str">
        <f>"00509"</f>
        <v>00509</v>
      </c>
      <c r="E1659" s="1" t="s">
        <v>505</v>
      </c>
      <c r="F1659" s="1">
        <v>14</v>
      </c>
      <c r="G1659" s="1">
        <v>7</v>
      </c>
      <c r="H1659" s="1">
        <v>1</v>
      </c>
      <c r="I1659" s="1" t="s">
        <v>1323</v>
      </c>
      <c r="K1659" s="1" t="str">
        <f t="shared" si="100"/>
        <v>ㄅ</v>
      </c>
      <c r="L1659" s="1" t="str">
        <f t="shared" si="101"/>
        <v>ㄧ</v>
      </c>
      <c r="M1659" s="1" t="str">
        <f t="shared" si="102"/>
        <v>ㄣ</v>
      </c>
      <c r="P1659" s="1" t="s">
        <v>20</v>
      </c>
      <c r="R1659" s="1" t="s">
        <v>1324</v>
      </c>
      <c r="V1659" s="1" t="s">
        <v>1342</v>
      </c>
      <c r="W1659" s="1" t="s">
        <v>1343</v>
      </c>
      <c r="AR1659" s="1" t="str">
        <f t="shared" si="103"/>
        <v>| [ㄅㄧㄣ](ㄅㄧㄣ.md) | [賓](賓.md) |  | bīn | [名]
1.客人。與「主」相對。如：「來賓」、「貴賓」、「喧賓奪主」、「賓至如歸」。《詩經．小雅．鹿鳴》：「我有嘉賓，鼓瑟吹笙。」南朝宋．鮑照〈代東門行〉：「離聲斷客情，賓御皆涕零。」
2.姓。如春秋時齊國有賓須無。
[動]
1.以禮對待。《淮南子．氾論》：「乃矯鄭伯之命，犒以十二牛，賓秦師而卻之。」
2.歸順、服從。《國語．楚語上》：「蠻、夷、戎、狄，其不賓也久矣。」《漢書．卷六八．霍光傳》：「百姓充實，四夷賓服。」 |</v>
      </c>
    </row>
    <row r="1660" spans="1:44">
      <c r="A1660" s="1" t="s">
        <v>1344</v>
      </c>
      <c r="C1660" s="1">
        <v>1</v>
      </c>
      <c r="D1660" s="1" t="str">
        <f>"00510"</f>
        <v>00510</v>
      </c>
      <c r="E1660" s="1" t="s">
        <v>114</v>
      </c>
      <c r="F1660" s="1">
        <v>16</v>
      </c>
      <c r="G1660" s="1">
        <v>14</v>
      </c>
      <c r="H1660" s="1">
        <v>2</v>
      </c>
      <c r="I1660" s="1" t="s">
        <v>1323</v>
      </c>
      <c r="K1660" s="1" t="str">
        <f t="shared" si="100"/>
        <v>ㄅ</v>
      </c>
      <c r="L1660" s="1" t="str">
        <f t="shared" si="101"/>
        <v>ㄧ</v>
      </c>
      <c r="M1660" s="1" t="str">
        <f t="shared" si="102"/>
        <v>ㄣ</v>
      </c>
      <c r="P1660" s="1" t="s">
        <v>20</v>
      </c>
      <c r="R1660" s="1" t="s">
        <v>1324</v>
      </c>
      <c r="V1660" s="1" t="s">
        <v>1345</v>
      </c>
      <c r="W1660" s="1" t="s">
        <v>1346</v>
      </c>
      <c r="AR1660" s="1" t="str">
        <f t="shared" si="103"/>
        <v>| [ㄅㄧㄣ](ㄅㄧㄣ.md) | [儐](儐.md) |  | bīn | [動]
敬。《禮記．禮運》：「祖廟所以本仁也，山川所以儐鬼神也，五祀所以本事也。」
[名]
接待賓客的人。《聊齋志異．卷一．狐嫁女》：「公若為儐，執半主禮。」 |</v>
      </c>
    </row>
    <row r="1661" spans="1:44">
      <c r="A1661" s="1" t="s">
        <v>1347</v>
      </c>
      <c r="C1661" s="1">
        <v>1</v>
      </c>
      <c r="D1661" s="1" t="str">
        <f>"00511"</f>
        <v>00511</v>
      </c>
      <c r="E1661" s="1" t="s">
        <v>129</v>
      </c>
      <c r="F1661" s="1">
        <v>17</v>
      </c>
      <c r="G1661" s="1">
        <v>14</v>
      </c>
      <c r="H1661" s="1">
        <v>0</v>
      </c>
      <c r="I1661" s="1" t="s">
        <v>1323</v>
      </c>
      <c r="K1661" s="1" t="str">
        <f t="shared" si="100"/>
        <v>ㄅ</v>
      </c>
      <c r="L1661" s="1" t="str">
        <f t="shared" si="101"/>
        <v>ㄧ</v>
      </c>
      <c r="M1661" s="1" t="str">
        <f t="shared" si="102"/>
        <v>ㄣ</v>
      </c>
      <c r="P1661" s="1" t="s">
        <v>20</v>
      </c>
      <c r="R1661" s="1" t="s">
        <v>1324</v>
      </c>
      <c r="V1661" s="1" t="s">
        <v>1348</v>
      </c>
      <c r="AR1661" s="1" t="str">
        <f t="shared" si="103"/>
        <v>| [ㄅㄧㄣ](ㄅㄧㄣ.md) | [濱](濱.md) |  | bīn | [名]
水邊。如：「湖濱」。《書經．禹貢》：「厥土白墳，海濱廣斥。」漢．孔安國．傳：「濱，涯也。」《史記．卷八四．屈原賈生傳》：「屈原至於江濱，被髮行吟澤畔。」（此字於吳語中音ㄅㄤ，如：「洋涇濱」。）
[動]
臨近、接近。如：「濱海」。《國語．齊語》：「夫管夷吾射寡人中鉤，是以濱於死。」三國吳．韋昭．注：「濱，近也。」《史記．卷一二九．貨殖傳》：「而鄒、魯濱洙、泗，猶有周公遺風。」 |</v>
      </c>
    </row>
    <row r="1662" spans="1:44">
      <c r="A1662" s="1" t="s">
        <v>1349</v>
      </c>
      <c r="C1662" s="1">
        <v>1</v>
      </c>
      <c r="D1662" s="1" t="str">
        <f>"00512"</f>
        <v>00512</v>
      </c>
      <c r="E1662" s="1" t="s">
        <v>139</v>
      </c>
      <c r="F1662" s="1">
        <v>18</v>
      </c>
      <c r="G1662" s="1">
        <v>14</v>
      </c>
      <c r="H1662" s="1">
        <v>1</v>
      </c>
      <c r="I1662" s="1" t="s">
        <v>1323</v>
      </c>
      <c r="K1662" s="1" t="str">
        <f t="shared" si="100"/>
        <v>ㄅ</v>
      </c>
      <c r="L1662" s="1" t="str">
        <f t="shared" si="101"/>
        <v>ㄧ</v>
      </c>
      <c r="M1662" s="1" t="str">
        <f t="shared" si="102"/>
        <v>ㄣ</v>
      </c>
      <c r="P1662" s="1" t="s">
        <v>20</v>
      </c>
      <c r="R1662" s="1" t="s">
        <v>1324</v>
      </c>
      <c r="V1662" s="1" t="s">
        <v>1350</v>
      </c>
      <c r="W1662" s="1" t="s">
        <v>1351</v>
      </c>
      <c r="AR1662" s="1" t="str">
        <f t="shared" si="103"/>
        <v>| [ㄅㄧㄣ](ㄅㄧㄣ.md) | [檳](檳.md) |  | bīn | 參見「檳榔」條。 |</v>
      </c>
    </row>
    <row r="1663" spans="1:44">
      <c r="A1663" s="1" t="s">
        <v>1352</v>
      </c>
      <c r="C1663" s="1">
        <v>1</v>
      </c>
      <c r="D1663" s="1" t="str">
        <f>"00513"</f>
        <v>00513</v>
      </c>
      <c r="E1663" s="1" t="s">
        <v>679</v>
      </c>
      <c r="F1663" s="1">
        <v>20</v>
      </c>
      <c r="G1663" s="1">
        <v>14</v>
      </c>
      <c r="H1663" s="1">
        <v>2</v>
      </c>
      <c r="I1663" s="1" t="s">
        <v>1323</v>
      </c>
      <c r="K1663" s="1" t="str">
        <f t="shared" si="100"/>
        <v>ㄅ</v>
      </c>
      <c r="L1663" s="1" t="str">
        <f t="shared" si="101"/>
        <v>ㄧ</v>
      </c>
      <c r="M1663" s="1" t="str">
        <f t="shared" si="102"/>
        <v>ㄣ</v>
      </c>
      <c r="P1663" s="1" t="s">
        <v>110</v>
      </c>
      <c r="R1663" s="1" t="s">
        <v>1324</v>
      </c>
      <c r="V1663" s="1" t="s">
        <v>111</v>
      </c>
      <c r="W1663" s="1" t="s">
        <v>1353</v>
      </c>
      <c r="AR1663" s="1" t="str">
        <f t="shared" si="103"/>
        <v>| [ㄅㄧㄣ](ㄅㄧㄣ.md) | [蠙](蠙.md) |  | bīn | (一)之又音。 |</v>
      </c>
    </row>
    <row r="1664" spans="1:44">
      <c r="A1664" s="1" t="s">
        <v>1354</v>
      </c>
      <c r="C1664" s="1">
        <v>1</v>
      </c>
      <c r="D1664" s="1" t="str">
        <f>"00514"</f>
        <v>00514</v>
      </c>
      <c r="E1664" s="1" t="s">
        <v>725</v>
      </c>
      <c r="F1664" s="1">
        <v>20</v>
      </c>
      <c r="G1664" s="1">
        <v>14</v>
      </c>
      <c r="H1664" s="1">
        <v>0</v>
      </c>
      <c r="I1664" s="1" t="s">
        <v>1323</v>
      </c>
      <c r="K1664" s="1" t="str">
        <f t="shared" si="100"/>
        <v>ㄅ</v>
      </c>
      <c r="L1664" s="1" t="str">
        <f t="shared" si="101"/>
        <v>ㄧ</v>
      </c>
      <c r="M1664" s="1" t="str">
        <f t="shared" si="102"/>
        <v>ㄣ</v>
      </c>
      <c r="P1664" s="1" t="s">
        <v>20</v>
      </c>
      <c r="R1664" s="1" t="s">
        <v>1324</v>
      </c>
      <c r="V1664" s="1" t="s">
        <v>1355</v>
      </c>
      <c r="AR1664" s="1" t="str">
        <f t="shared" si="103"/>
        <v>| [ㄅㄧㄣ](ㄅㄧㄣ.md) | [繽](繽.md) |  | bīn | 參見「繽紛」條。 |</v>
      </c>
    </row>
    <row r="1665" spans="1:44">
      <c r="A1665" s="1" t="s">
        <v>1356</v>
      </c>
      <c r="C1665" s="1">
        <v>1</v>
      </c>
      <c r="D1665" s="1" t="str">
        <f>"00515"</f>
        <v>00515</v>
      </c>
      <c r="E1665" s="1" t="s">
        <v>55</v>
      </c>
      <c r="F1665" s="1">
        <v>22</v>
      </c>
      <c r="G1665" s="1">
        <v>14</v>
      </c>
      <c r="H1665" s="1">
        <v>0</v>
      </c>
      <c r="I1665" s="1" t="s">
        <v>1323</v>
      </c>
      <c r="K1665" s="1" t="str">
        <f t="shared" si="100"/>
        <v>ㄅ</v>
      </c>
      <c r="L1665" s="1" t="str">
        <f t="shared" si="101"/>
        <v>ㄧ</v>
      </c>
      <c r="M1665" s="1" t="str">
        <f t="shared" si="102"/>
        <v>ㄣ</v>
      </c>
      <c r="P1665" s="1" t="s">
        <v>20</v>
      </c>
      <c r="R1665" s="1" t="s">
        <v>1324</v>
      </c>
      <c r="V1665" s="1" t="s">
        <v>1357</v>
      </c>
      <c r="AR1665" s="1" t="str">
        <f t="shared" si="103"/>
        <v>| [ㄅㄧㄣ](ㄅㄧㄣ.md) | [鑌](鑌.md) |  | bīn | 參見「鑌鐵」條。 |</v>
      </c>
    </row>
    <row r="1666" spans="1:44">
      <c r="A1666" s="1" t="s">
        <v>1358</v>
      </c>
      <c r="C1666" s="1">
        <v>1</v>
      </c>
      <c r="D1666" s="1" t="str">
        <f>"00516"</f>
        <v>00516</v>
      </c>
      <c r="E1666" s="1" t="s">
        <v>52</v>
      </c>
      <c r="F1666" s="1">
        <v>17</v>
      </c>
      <c r="G1666" s="1">
        <v>10</v>
      </c>
      <c r="H1666" s="1">
        <v>0</v>
      </c>
      <c r="I1666" s="1" t="s">
        <v>1323</v>
      </c>
      <c r="K1666" s="1" t="str">
        <f t="shared" ref="K1666:K1725" si="104">LEFT(I1666, 1)</f>
        <v>ㄅ</v>
      </c>
      <c r="L1666" s="1" t="str">
        <f t="shared" ref="L1666:L1725" si="105">MID(I1666, 2, 1)</f>
        <v>ㄧ</v>
      </c>
      <c r="M1666" s="1" t="str">
        <f t="shared" ref="M1666:M1703" si="106">MID(I1666, 3, 1)</f>
        <v>ㄣ</v>
      </c>
      <c r="P1666" s="1" t="s">
        <v>20</v>
      </c>
      <c r="R1666" s="1" t="s">
        <v>1324</v>
      </c>
      <c r="V1666" s="1" t="s">
        <v>1359</v>
      </c>
      <c r="AR1666" s="1" t="str">
        <f t="shared" si="103"/>
        <v>| [ㄅㄧㄣ](ㄅㄧㄣ.md) | [豳](豳.md) |  | bīn | [名]
1.國名。周的祖先公劉所立。通「邠」。
2.山名。位於大陸地區陝西省邠縣南。 |</v>
      </c>
    </row>
    <row r="1667" spans="1:44">
      <c r="A1667" s="1" t="s">
        <v>1360</v>
      </c>
      <c r="C1667" s="1">
        <v>1</v>
      </c>
      <c r="D1667" s="1" t="str">
        <f>"00517"</f>
        <v>00517</v>
      </c>
      <c r="E1667" s="1" t="s">
        <v>129</v>
      </c>
      <c r="F1667" s="1">
        <v>19</v>
      </c>
      <c r="G1667" s="1">
        <v>16</v>
      </c>
      <c r="H1667" s="1">
        <v>1</v>
      </c>
      <c r="I1667" s="1" t="s">
        <v>1323</v>
      </c>
      <c r="K1667" s="1" t="str">
        <f t="shared" si="104"/>
        <v>ㄅ</v>
      </c>
      <c r="L1667" s="1" t="str">
        <f t="shared" si="105"/>
        <v>ㄧ</v>
      </c>
      <c r="M1667" s="1" t="str">
        <f t="shared" si="106"/>
        <v>ㄣ</v>
      </c>
      <c r="P1667" s="1" t="s">
        <v>20</v>
      </c>
      <c r="R1667" s="1" t="s">
        <v>1324</v>
      </c>
      <c r="V1667" s="1" t="s">
        <v>1361</v>
      </c>
      <c r="W1667" s="1" t="s">
        <v>1362</v>
      </c>
      <c r="AR1667" s="1" t="str">
        <f t="shared" ref="AR1667:AR1730" si="107">"| ["&amp;I1667&amp;"]("&amp;I1667&amp;".md) | ["&amp;A1667&amp;"]("&amp;A1667&amp;".md) | "&amp;" | "&amp;R1667&amp;" | "&amp;V1667&amp;" |"</f>
        <v>| [ㄅㄧㄣ](ㄅㄧㄣ.md) | [瀕](瀕.md) |  | bīn | [名]
水邊。《墨子．尚賢下》：「是故昔者舜耕於歷山，陶於河瀕。」《漢書．卷八九．龔遂傳》：「海瀕遐遠，不霑聖化。」
[動]
臨近、迫近。如：「瀕臨」、「瀕危」、「西瀕印度洋」。清．蔣士銓〈鳴機夜課圖記〉：「十二月，先府君即世，母哭瀕死者十餘次。」 |</v>
      </c>
    </row>
    <row r="1668" spans="1:44">
      <c r="A1668" s="1" t="s">
        <v>1341</v>
      </c>
      <c r="C1668" s="1">
        <v>1</v>
      </c>
      <c r="D1668" s="1" t="str">
        <f>"00518"</f>
        <v>00518</v>
      </c>
      <c r="E1668" s="1" t="s">
        <v>505</v>
      </c>
      <c r="F1668" s="1">
        <v>14</v>
      </c>
      <c r="G1668" s="1">
        <v>7</v>
      </c>
      <c r="H1668" s="1">
        <v>2</v>
      </c>
      <c r="I1668" s="1" t="s">
        <v>1363</v>
      </c>
      <c r="K1668" s="1" t="str">
        <f t="shared" si="104"/>
        <v>ㄅ</v>
      </c>
      <c r="L1668" s="1" t="str">
        <f t="shared" si="105"/>
        <v>ㄧ</v>
      </c>
      <c r="M1668" s="1" t="str">
        <f t="shared" si="106"/>
        <v>ㄣ</v>
      </c>
      <c r="P1668" s="1" t="s">
        <v>20</v>
      </c>
      <c r="R1668" s="1" t="s">
        <v>1364</v>
      </c>
      <c r="V1668" s="1" t="s">
        <v>1365</v>
      </c>
      <c r="W1668" s="1" t="s">
        <v>1366</v>
      </c>
      <c r="AR1668" s="1" t="str">
        <f t="shared" si="107"/>
        <v>| [ㄅㄧㄣˋ](ㄅㄧㄣˋ.md) | [賓](賓.md) |  | bìn | [動]
擯棄。通「擯」。《莊子．徐无鬼》：「先生居山林，食茅栗，厭蔥韭，以賓寡人。」《列子．楊朱》：「名固不可去，名固不可賓邪？」 |</v>
      </c>
    </row>
    <row r="1669" spans="1:44">
      <c r="A1669" s="1" t="s">
        <v>1344</v>
      </c>
      <c r="C1669" s="1">
        <v>1</v>
      </c>
      <c r="D1669" s="1" t="str">
        <f>"00519"</f>
        <v>00519</v>
      </c>
      <c r="E1669" s="1" t="s">
        <v>114</v>
      </c>
      <c r="F1669" s="1">
        <v>16</v>
      </c>
      <c r="G1669" s="1">
        <v>14</v>
      </c>
      <c r="H1669" s="1">
        <v>1</v>
      </c>
      <c r="I1669" s="1" t="s">
        <v>1363</v>
      </c>
      <c r="K1669" s="1" t="str">
        <f t="shared" si="104"/>
        <v>ㄅ</v>
      </c>
      <c r="L1669" s="1" t="str">
        <f t="shared" si="105"/>
        <v>ㄧ</v>
      </c>
      <c r="M1669" s="1" t="str">
        <f t="shared" si="106"/>
        <v>ㄣ</v>
      </c>
      <c r="P1669" s="1" t="s">
        <v>20</v>
      </c>
      <c r="R1669" s="1" t="s">
        <v>1364</v>
      </c>
      <c r="V1669" s="1" t="s">
        <v>1367</v>
      </c>
      <c r="W1669" s="1" t="s">
        <v>1368</v>
      </c>
      <c r="AR1669" s="1" t="str">
        <f t="shared" si="107"/>
        <v>| [ㄅㄧㄣˋ](ㄅㄧㄣˋ.md) | [儐](儐.md) |  | bìn | [動]
1.導引、接待賓客。《玉篇．人部》：「儐，出接賓曰儐。」《周禮．春官．大宗伯》：「王命諸侯，則儐。」
2.擺設、陳列。《詩經．小雅．常棣》：「儐爾籩豆，飲酒之飫。」漢．毛亨．傳：「儐，陳。」
3.排斥。通「擯」。《戰國策．趙策二》：「六國從親以儐畔秦，令天下之將相，相與會於洹水之上。」《漢書．卷六四上．主父偃傳》：「（主父偃）游齊諸子間，諸儒生相與排儐，不容於齊。」 |</v>
      </c>
    </row>
    <row r="1670" spans="1:44">
      <c r="A1670" s="1" t="s">
        <v>1369</v>
      </c>
      <c r="C1670" s="1">
        <v>1</v>
      </c>
      <c r="D1670" s="1" t="str">
        <f>"00520"</f>
        <v>00520</v>
      </c>
      <c r="E1670" s="1" t="s">
        <v>24</v>
      </c>
      <c r="F1670" s="1">
        <v>17</v>
      </c>
      <c r="G1670" s="1">
        <v>14</v>
      </c>
      <c r="H1670" s="1">
        <v>0</v>
      </c>
      <c r="I1670" s="1" t="s">
        <v>1363</v>
      </c>
      <c r="K1670" s="1" t="str">
        <f t="shared" si="104"/>
        <v>ㄅ</v>
      </c>
      <c r="L1670" s="1" t="str">
        <f t="shared" si="105"/>
        <v>ㄧ</v>
      </c>
      <c r="M1670" s="1" t="str">
        <f t="shared" si="106"/>
        <v>ㄣ</v>
      </c>
      <c r="P1670" s="1" t="s">
        <v>20</v>
      </c>
      <c r="R1670" s="1" t="s">
        <v>1364</v>
      </c>
      <c r="V1670" s="1" t="s">
        <v>1370</v>
      </c>
      <c r="AR1670" s="1" t="str">
        <f t="shared" si="107"/>
        <v>| [ㄅㄧㄣˋ](ㄅㄧㄣˋ.md) | [擯](擯.md) |  | bìn | [動]
1.遺棄、排斥。如：「擯於門外」、「擯而不用」。《後漢書．卷八〇．文苑傳下．趙壹傳》：「而恃才倨傲，為鄉黨所擯，乃作解擯。」唐．章懷太子．注：「擯，斥也。」
2.導引。通「儐」。《周禮．秋官．小行人》：「凡四方之使者，大客則擯，小客則受其幣而聽其辭。」 |</v>
      </c>
    </row>
    <row r="1671" spans="1:44">
      <c r="A1671" s="1" t="s">
        <v>1371</v>
      </c>
      <c r="C1671" s="1">
        <v>1</v>
      </c>
      <c r="D1671" s="1" t="str">
        <f>"00521"</f>
        <v>00521</v>
      </c>
      <c r="E1671" s="1" t="s">
        <v>1372</v>
      </c>
      <c r="F1671" s="1">
        <v>18</v>
      </c>
      <c r="G1671" s="1">
        <v>14</v>
      </c>
      <c r="H1671" s="1">
        <v>0</v>
      </c>
      <c r="I1671" s="1" t="s">
        <v>1363</v>
      </c>
      <c r="K1671" s="1" t="str">
        <f t="shared" si="104"/>
        <v>ㄅ</v>
      </c>
      <c r="L1671" s="1" t="str">
        <f t="shared" si="105"/>
        <v>ㄧ</v>
      </c>
      <c r="M1671" s="1" t="str">
        <f t="shared" si="106"/>
        <v>ㄣ</v>
      </c>
      <c r="P1671" s="1" t="s">
        <v>20</v>
      </c>
      <c r="R1671" s="1" t="s">
        <v>1364</v>
      </c>
      <c r="V1671" s="1" t="s">
        <v>1373</v>
      </c>
      <c r="AR1671" s="1" t="str">
        <f t="shared" si="107"/>
        <v>| [ㄅㄧㄣˋ](ㄅㄧㄣˋ.md) | [殯](殯.md) |  | bìn | [名]
稱已殮而停著未葬的靈柩。晉．陸機〈挽歌〉詩三首之一：「舍爵兩楹位，啟殯進靈輀。」《清史稿．卷九三．禮志十二》：「其在外聞喪者，訃至，易服，哭，奔喪。至家憑殯哭，翌日成服。」
[動]
1.停放靈柩待葬。《左傳．僖公三十二年》：「冬，晉文公卒，庚辰，將殯于曲沃。」《禮記．檀弓上》：「夏后氏殯於東階之上，則猶在阼也。」
2.掩埋。《文選．孔稚珪．北山移文》：「道帙長殯，法筵久埋。」 |</v>
      </c>
    </row>
    <row r="1672" spans="1:44">
      <c r="A1672" s="1" t="s">
        <v>1374</v>
      </c>
      <c r="C1672" s="1">
        <v>1</v>
      </c>
      <c r="D1672" s="1" t="str">
        <f>"00522"</f>
        <v>00522</v>
      </c>
      <c r="E1672" s="1" t="s">
        <v>68</v>
      </c>
      <c r="F1672" s="1">
        <v>18</v>
      </c>
      <c r="G1672" s="1">
        <v>14</v>
      </c>
      <c r="H1672" s="1">
        <v>0</v>
      </c>
      <c r="I1672" s="1" t="s">
        <v>1363</v>
      </c>
      <c r="K1672" s="1" t="str">
        <f t="shared" si="104"/>
        <v>ㄅ</v>
      </c>
      <c r="L1672" s="1" t="str">
        <f t="shared" si="105"/>
        <v>ㄧ</v>
      </c>
      <c r="M1672" s="1" t="str">
        <f t="shared" si="106"/>
        <v>ㄣ</v>
      </c>
      <c r="P1672" s="1" t="s">
        <v>20</v>
      </c>
      <c r="R1672" s="1" t="s">
        <v>1364</v>
      </c>
      <c r="V1672" s="1" t="s">
        <v>1375</v>
      </c>
      <c r="AR1672" s="1" t="str">
        <f t="shared" si="107"/>
        <v>| [ㄅㄧㄣˋ](ㄅㄧㄣˋ.md) | [臏](臏.md) |  | bìn | [名]
膝蓋骨。《史記．卷五．秦本紀》：「王與孟說舉鼎，絕臏。」唐．張守節．正義：「臏，脛骨。」也稱為「臏骨」。
[動]
削去膝蓋骨。《荀子．正論》：「詈侮捽搏，捶笞臏腳。」唐．楊倞．注：「臏腳，謂刖其膝骨也。」 |</v>
      </c>
    </row>
    <row r="1673" spans="1:44">
      <c r="A1673" s="1" t="s">
        <v>1376</v>
      </c>
      <c r="C1673" s="1">
        <v>1</v>
      </c>
      <c r="D1673" s="1" t="str">
        <f>"00523"</f>
        <v>00523</v>
      </c>
      <c r="E1673" s="1" t="s">
        <v>1078</v>
      </c>
      <c r="F1673" s="1">
        <v>24</v>
      </c>
      <c r="G1673" s="1">
        <v>14</v>
      </c>
      <c r="H1673" s="1">
        <v>0</v>
      </c>
      <c r="I1673" s="1" t="s">
        <v>1363</v>
      </c>
      <c r="K1673" s="1" t="str">
        <f t="shared" si="104"/>
        <v>ㄅ</v>
      </c>
      <c r="L1673" s="1" t="str">
        <f t="shared" si="105"/>
        <v>ㄧ</v>
      </c>
      <c r="M1673" s="1" t="str">
        <f t="shared" si="106"/>
        <v>ㄣ</v>
      </c>
      <c r="P1673" s="1" t="s">
        <v>20</v>
      </c>
      <c r="R1673" s="1" t="s">
        <v>1364</v>
      </c>
      <c r="V1673" s="1" t="s">
        <v>1377</v>
      </c>
      <c r="AR1673" s="1" t="str">
        <f t="shared" si="107"/>
        <v>| [ㄅㄧㄣˋ](ㄅㄧㄣˋ.md) | [鬢](鬢.md) |  | bìn | [名]
近耳旁兩頰上的頭髮。如：「兩鬢半白」。唐．白居易〈長恨歌〉：「雲鬢花顏金步搖，芙蓉帳暖度春宵。」宋．蘇軾〈江城子．十年生死兩茫茫〉詞：「縱使相逢應不識，塵滿面，鬢如霜。」 |</v>
      </c>
    </row>
    <row r="1674" spans="1:44">
      <c r="A1674" s="1" t="s">
        <v>1378</v>
      </c>
      <c r="C1674" s="1">
        <v>1</v>
      </c>
      <c r="D1674" s="1" t="str">
        <f>"00524"</f>
        <v>00524</v>
      </c>
      <c r="E1674" s="1" t="s">
        <v>283</v>
      </c>
      <c r="F1674" s="1">
        <v>24</v>
      </c>
      <c r="G1674" s="1">
        <v>14</v>
      </c>
      <c r="H1674" s="1">
        <v>0</v>
      </c>
      <c r="I1674" s="1" t="s">
        <v>1363</v>
      </c>
      <c r="K1674" s="1" t="str">
        <f t="shared" si="104"/>
        <v>ㄅ</v>
      </c>
      <c r="L1674" s="1" t="str">
        <f t="shared" si="105"/>
        <v>ㄧ</v>
      </c>
      <c r="M1674" s="1" t="str">
        <f t="shared" si="106"/>
        <v>ㄣ</v>
      </c>
      <c r="P1674" s="1" t="s">
        <v>20</v>
      </c>
      <c r="R1674" s="1" t="s">
        <v>1364</v>
      </c>
      <c r="V1674" s="1" t="s">
        <v>1379</v>
      </c>
      <c r="AR1674" s="1" t="str">
        <f t="shared" si="107"/>
        <v>| [ㄅㄧㄣˋ](ㄅㄧㄣˋ.md) | [髕](髕.md) |  | bìn | [名]
1.髕骨，即膝蓋骨。《說文解字．骨部》：「髕，膝耑也。」《黃帝內經素問．卷一四．刺禁論》：「刺膝髕出液為跛。」
2.古代削去膝蓋骨的刑罰。《漢書．卷二三．刑法志》：「髕罰之屬五百，宮罰之屬三百，大辟之罰其屬二百。」 |</v>
      </c>
    </row>
    <row r="1675" spans="1:44">
      <c r="A1675" s="1" t="s">
        <v>1380</v>
      </c>
      <c r="C1675" s="1">
        <v>1</v>
      </c>
      <c r="D1675" s="1" t="str">
        <f>"00525"</f>
        <v>00525</v>
      </c>
      <c r="E1675" s="1" t="s">
        <v>1381</v>
      </c>
      <c r="F1675" s="1">
        <v>2</v>
      </c>
      <c r="G1675" s="1">
        <v>0</v>
      </c>
      <c r="H1675" s="1">
        <v>0</v>
      </c>
      <c r="I1675" s="1" t="s">
        <v>1382</v>
      </c>
      <c r="K1675" s="1" t="str">
        <f t="shared" si="104"/>
        <v>ㄅ</v>
      </c>
      <c r="L1675" s="1" t="str">
        <f t="shared" si="105"/>
        <v>ㄧ</v>
      </c>
      <c r="M1675" s="1" t="str">
        <f t="shared" si="106"/>
        <v>ㄥ</v>
      </c>
      <c r="P1675" s="1" t="s">
        <v>20</v>
      </c>
      <c r="R1675" s="1" t="s">
        <v>1383</v>
      </c>
      <c r="V1675" s="1" t="s">
        <v>1384</v>
      </c>
      <c r="AR1675" s="1" t="str">
        <f t="shared" si="107"/>
        <v>| [ㄅㄧㄥ](ㄅㄧㄥ.md) | [冫](冫.md) |  | bīng | [名]
二一四部首之一。 |</v>
      </c>
    </row>
    <row r="1676" spans="1:44">
      <c r="A1676" s="1" t="s">
        <v>1385</v>
      </c>
      <c r="C1676" s="1">
        <v>1</v>
      </c>
      <c r="D1676" s="1" t="str">
        <f>"00526"</f>
        <v>00526</v>
      </c>
      <c r="E1676" s="1" t="s">
        <v>1386</v>
      </c>
      <c r="F1676" s="1">
        <v>6</v>
      </c>
      <c r="G1676" s="1">
        <v>3</v>
      </c>
      <c r="H1676" s="1">
        <v>2</v>
      </c>
      <c r="I1676" s="1" t="s">
        <v>1382</v>
      </c>
      <c r="K1676" s="1" t="str">
        <f t="shared" si="104"/>
        <v>ㄅ</v>
      </c>
      <c r="L1676" s="1" t="str">
        <f t="shared" si="105"/>
        <v>ㄧ</v>
      </c>
      <c r="M1676" s="1" t="str">
        <f t="shared" si="106"/>
        <v>ㄥ</v>
      </c>
      <c r="P1676" s="1" t="s">
        <v>20</v>
      </c>
      <c r="R1676" s="1" t="s">
        <v>1383</v>
      </c>
      <c r="V1676" s="1" t="s">
        <v>1387</v>
      </c>
      <c r="W1676" s="1" t="s">
        <v>1388</v>
      </c>
      <c r="AR1676" s="1" t="str">
        <f t="shared" si="107"/>
        <v>| [ㄅㄧㄥ](ㄅㄧㄥ.md) | [并](并.md) |  | bīng | [名]
1.參見「并州」條。
2.大陸地區山西省太原市的別稱。 |</v>
      </c>
    </row>
    <row r="1677" spans="1:44">
      <c r="A1677" s="1" t="s">
        <v>1389</v>
      </c>
      <c r="C1677" s="1">
        <v>1</v>
      </c>
      <c r="D1677" s="1" t="str">
        <f>"00527"</f>
        <v>00527</v>
      </c>
      <c r="E1677" s="1" t="s">
        <v>871</v>
      </c>
      <c r="F1677" s="1">
        <v>9</v>
      </c>
      <c r="G1677" s="1">
        <v>6</v>
      </c>
      <c r="H1677" s="1">
        <v>3</v>
      </c>
      <c r="I1677" s="1" t="s">
        <v>1382</v>
      </c>
      <c r="K1677" s="1" t="str">
        <f t="shared" si="104"/>
        <v>ㄅ</v>
      </c>
      <c r="L1677" s="1" t="str">
        <f t="shared" si="105"/>
        <v>ㄧ</v>
      </c>
      <c r="M1677" s="1" t="str">
        <f t="shared" si="106"/>
        <v>ㄥ</v>
      </c>
      <c r="P1677" s="1" t="s">
        <v>20</v>
      </c>
      <c r="R1677" s="1" t="s">
        <v>1383</v>
      </c>
      <c r="V1677" s="1" t="s">
        <v>1390</v>
      </c>
      <c r="W1677" s="1" t="s">
        <v>1391</v>
      </c>
      <c r="AR1677" s="1" t="str">
        <f t="shared" si="107"/>
        <v>| [ㄅㄧㄥ](ㄅㄧㄥ.md) | [屏](屏.md) |  | bīng | 參見「屏營」條。 |</v>
      </c>
    </row>
    <row r="1678" spans="1:44">
      <c r="A1678" s="1" t="s">
        <v>1392</v>
      </c>
      <c r="C1678" s="1">
        <v>1</v>
      </c>
      <c r="D1678" s="1" t="str">
        <f>"00528"</f>
        <v>00528</v>
      </c>
      <c r="E1678" s="1" t="s">
        <v>139</v>
      </c>
      <c r="F1678" s="1">
        <v>10</v>
      </c>
      <c r="G1678" s="1">
        <v>6</v>
      </c>
      <c r="H1678" s="1">
        <v>1</v>
      </c>
      <c r="I1678" s="1" t="s">
        <v>1382</v>
      </c>
      <c r="K1678" s="1" t="str">
        <f t="shared" si="104"/>
        <v>ㄅ</v>
      </c>
      <c r="L1678" s="1" t="str">
        <f t="shared" si="105"/>
        <v>ㄧ</v>
      </c>
      <c r="M1678" s="1" t="str">
        <f t="shared" si="106"/>
        <v>ㄥ</v>
      </c>
      <c r="P1678" s="1" t="s">
        <v>20</v>
      </c>
      <c r="R1678" s="1" t="s">
        <v>1383</v>
      </c>
      <c r="V1678" s="1" t="s">
        <v>1393</v>
      </c>
      <c r="W1678" s="1" t="s">
        <v>1394</v>
      </c>
      <c r="AR1678" s="1" t="str">
        <f t="shared" si="107"/>
        <v>| [ㄅㄧㄥ](ㄅㄧㄥ.md) | [栟](栟.md) |  | bīng | 參見「栟櫚」、「栟柑」條。 |</v>
      </c>
    </row>
    <row r="1679" spans="1:44">
      <c r="A1679" s="1" t="s">
        <v>1395</v>
      </c>
      <c r="C1679" s="1">
        <v>1</v>
      </c>
      <c r="D1679" s="1" t="str">
        <f>"00529"</f>
        <v>00529</v>
      </c>
      <c r="E1679" s="1" t="s">
        <v>1381</v>
      </c>
      <c r="F1679" s="1">
        <v>6</v>
      </c>
      <c r="G1679" s="1">
        <v>4</v>
      </c>
      <c r="H1679" s="1">
        <v>0</v>
      </c>
      <c r="I1679" s="1" t="s">
        <v>1382</v>
      </c>
      <c r="K1679" s="1" t="str">
        <f t="shared" si="104"/>
        <v>ㄅ</v>
      </c>
      <c r="L1679" s="1" t="str">
        <f t="shared" si="105"/>
        <v>ㄧ</v>
      </c>
      <c r="M1679" s="1" t="str">
        <f t="shared" si="106"/>
        <v>ㄥ</v>
      </c>
      <c r="P1679" s="1" t="s">
        <v>20</v>
      </c>
      <c r="R1679" s="1" t="s">
        <v>1383</v>
      </c>
      <c r="V1679" s="1" t="s">
        <v>1396</v>
      </c>
      <c r="AR1679" s="1" t="str">
        <f t="shared" si="107"/>
        <v>| [ㄅㄧㄥ](ㄅㄧㄥ.md) | [冰](冰.md) |  | bīng | [名]
1.水在攝氏零度以下所凝結成的固體。晉．陸機〈苦寒行〉：「凝冰結重澗，積雪被長巒。」《紅樓夢》第六四回：「因寶玉素昔秉賦柔脆，雖暑月不敢用冰，只以新汲井水將茶連壺浸在盆內，不時更換，取其涼意而已。」
2.姓。如明代有冰如鑑。
[動]
1.使用冰塊或利用冰箱以防腐或減低溫度。如：「把這塊肉冰起來。」
2.比喻受人冷淡、不加注意，或不受重用。如：「他被冰了許多年，現在才受重用。」
[形]
1.寒冷。如：「冰涼」、「冰冷」。
2.清高的、純潔的。如：「冰心」。
3.白嫩如冰的。如：「冰肌」、「冰膚」。
4.冷酷、沒感情。如：「她的態度很冰，很難應付。」 |</v>
      </c>
    </row>
    <row r="1680" spans="1:44">
      <c r="A1680" s="1" t="s">
        <v>1397</v>
      </c>
      <c r="C1680" s="1">
        <v>1</v>
      </c>
      <c r="D1680" s="1" t="str">
        <f>"00530"</f>
        <v>00530</v>
      </c>
      <c r="E1680" s="1" t="s">
        <v>18</v>
      </c>
      <c r="F1680" s="1">
        <v>7</v>
      </c>
      <c r="G1680" s="1">
        <v>5</v>
      </c>
      <c r="H1680" s="1">
        <v>0</v>
      </c>
      <c r="I1680" s="1" t="s">
        <v>1382</v>
      </c>
      <c r="K1680" s="1" t="str">
        <f t="shared" si="104"/>
        <v>ㄅ</v>
      </c>
      <c r="L1680" s="1" t="str">
        <f t="shared" si="105"/>
        <v>ㄧ</v>
      </c>
      <c r="M1680" s="1" t="str">
        <f t="shared" si="106"/>
        <v>ㄥ</v>
      </c>
      <c r="P1680" s="1" t="s">
        <v>20</v>
      </c>
      <c r="R1680" s="1" t="s">
        <v>1383</v>
      </c>
      <c r="V1680" s="1" t="s">
        <v>1398</v>
      </c>
      <c r="AR1680" s="1" t="str">
        <f t="shared" si="107"/>
        <v>| [ㄅㄧㄥ](ㄅㄧㄥ.md) | [兵](兵.md) |  | bīng | [名]
1.武器。如：「秣馬厲兵」、「短兵相接」。《說文解字．廾部》：「兵，械也。」《周禮．夏官．司兵》：「掌五兵五盾，各辨其物與其等，以待軍事。」漢．鄭玄．注：「鄭司農云：『五兵者：戈、殳、戟、酋矛、夷矛。』」《孟子．梁惠王上》：「填然鼓之，兵刃既接，棄甲曳兵而走。」
2.戰士、軍隊。如：「調兵遣將」、「按兵不動」、「精兵政策」。《戰國策．趙策三》：「秦攻趙於長平，大破之，引兵而歸。」《文選．江淹．雜體詩．盧中郎》：「信陵佩魏印，秦兵不敢出。」
3.軍事、戰爭，或有關於軍事、戰爭的事情。如：「紙上談兵」、「談笑用兵」。《左傳．隱公三年》：「公子州吁，嬖人之子也，有寵而好兵。」三國魏．鍾會〈檄蜀文〉：「益州先主以命世英才，興兵新野。」
4.專指軍隊中最基層的成員。如：「炮兵」、「騎兵」、「步兵」、「號兵」、「傳令兵」。 |</v>
      </c>
    </row>
    <row r="1681" spans="1:44">
      <c r="A1681" s="1" t="s">
        <v>1399</v>
      </c>
      <c r="C1681" s="1">
        <v>1</v>
      </c>
      <c r="D1681" s="1" t="str">
        <f>"00531"</f>
        <v>00531</v>
      </c>
      <c r="E1681" s="1" t="s">
        <v>24</v>
      </c>
      <c r="F1681" s="1">
        <v>11</v>
      </c>
      <c r="G1681" s="1">
        <v>8</v>
      </c>
      <c r="H1681" s="1">
        <v>0</v>
      </c>
      <c r="I1681" s="1" t="s">
        <v>1382</v>
      </c>
      <c r="K1681" s="1" t="str">
        <f t="shared" si="104"/>
        <v>ㄅ</v>
      </c>
      <c r="L1681" s="1" t="str">
        <f t="shared" si="105"/>
        <v>ㄧ</v>
      </c>
      <c r="M1681" s="1" t="str">
        <f t="shared" si="106"/>
        <v>ㄥ</v>
      </c>
      <c r="P1681" s="1" t="s">
        <v>20</v>
      </c>
      <c r="R1681" s="1" t="s">
        <v>1383</v>
      </c>
      <c r="V1681" s="1" t="s">
        <v>1400</v>
      </c>
      <c r="AR1681" s="1" t="str">
        <f t="shared" si="107"/>
        <v>| [ㄅㄧㄥ](ㄅㄧㄥ.md) | [掤](掤.md) |  | bīng | [名]
箭筒蓋。《詩經．鄭風．大叔于田》：「抑釋掤忌，抑鬯弓忌。」唐．陸德明《經典釋文．卷五．毛詩音義上》：「掤，音冰。所以覆矢也。馬云：『櫝丸蓋也。』杜預云：『櫝丸，箭筩也。』」 |</v>
      </c>
    </row>
    <row r="1682" spans="1:44">
      <c r="A1682" s="1" t="s">
        <v>1349</v>
      </c>
      <c r="C1682" s="1">
        <v>1</v>
      </c>
      <c r="D1682" s="1" t="str">
        <f>"00532"</f>
        <v>00532</v>
      </c>
      <c r="E1682" s="1" t="s">
        <v>139</v>
      </c>
      <c r="F1682" s="1">
        <v>18</v>
      </c>
      <c r="G1682" s="1">
        <v>14</v>
      </c>
      <c r="H1682" s="1">
        <v>2</v>
      </c>
      <c r="I1682" s="1" t="s">
        <v>1382</v>
      </c>
      <c r="K1682" s="1" t="str">
        <f t="shared" si="104"/>
        <v>ㄅ</v>
      </c>
      <c r="L1682" s="1" t="str">
        <f t="shared" si="105"/>
        <v>ㄧ</v>
      </c>
      <c r="M1682" s="1" t="str">
        <f t="shared" si="106"/>
        <v>ㄥ</v>
      </c>
      <c r="P1682" s="1" t="s">
        <v>110</v>
      </c>
      <c r="R1682" s="1" t="s">
        <v>1383</v>
      </c>
      <c r="V1682" s="1" t="s">
        <v>111</v>
      </c>
      <c r="W1682" s="1" t="s">
        <v>1401</v>
      </c>
      <c r="AR1682" s="1" t="str">
        <f t="shared" si="107"/>
        <v>| [ㄅㄧㄥ](ㄅㄧㄥ.md) | [檳](檳.md) |  | bīng | (一)之又音。 |</v>
      </c>
    </row>
    <row r="1683" spans="1:44">
      <c r="A1683" s="1" t="s">
        <v>1402</v>
      </c>
      <c r="C1683" s="1">
        <v>1</v>
      </c>
      <c r="D1683" s="1" t="str">
        <f>"00533"</f>
        <v>00533</v>
      </c>
      <c r="E1683" s="1" t="s">
        <v>789</v>
      </c>
      <c r="F1683" s="1">
        <v>5</v>
      </c>
      <c r="G1683" s="1">
        <v>4</v>
      </c>
      <c r="H1683" s="1">
        <v>0</v>
      </c>
      <c r="I1683" s="1" t="s">
        <v>1403</v>
      </c>
      <c r="K1683" s="1" t="str">
        <f t="shared" si="104"/>
        <v>ㄅ</v>
      </c>
      <c r="L1683" s="1" t="str">
        <f t="shared" si="105"/>
        <v>ㄧ</v>
      </c>
      <c r="M1683" s="1" t="str">
        <f t="shared" si="106"/>
        <v>ㄥ</v>
      </c>
      <c r="P1683" s="1" t="s">
        <v>20</v>
      </c>
      <c r="R1683" s="1" t="s">
        <v>1404</v>
      </c>
      <c r="V1683" s="1" t="s">
        <v>1405</v>
      </c>
      <c r="AR1683" s="1" t="str">
        <f t="shared" si="107"/>
        <v>| [ㄅㄧㄥˇ](ㄅㄧㄥˇ.md) | [丙](丙.md) |  | bǐng | [名]
1.天干的第三位。
2.用來排列次序等第，在甲、乙之後，表示第三。如：「丙班」、「丙等」。
3.火的別稱。如火災稱為「付丙」。《淮南子．天文》：「其日丙丁。」漢．高誘．注：「丙丁，皆火也。」
4.姓。如漢代有丙吉。 |</v>
      </c>
    </row>
    <row r="1684" spans="1:44">
      <c r="A1684" s="1" t="s">
        <v>1406</v>
      </c>
      <c r="C1684" s="1">
        <v>1</v>
      </c>
      <c r="D1684" s="1" t="str">
        <f>"00534"</f>
        <v>00534</v>
      </c>
      <c r="E1684" s="1" t="s">
        <v>250</v>
      </c>
      <c r="F1684" s="1">
        <v>8</v>
      </c>
      <c r="G1684" s="1">
        <v>5</v>
      </c>
      <c r="H1684" s="1">
        <v>0</v>
      </c>
      <c r="I1684" s="1" t="s">
        <v>1403</v>
      </c>
      <c r="K1684" s="1" t="str">
        <f t="shared" si="104"/>
        <v>ㄅ</v>
      </c>
      <c r="L1684" s="1" t="str">
        <f t="shared" si="105"/>
        <v>ㄧ</v>
      </c>
      <c r="M1684" s="1" t="str">
        <f t="shared" si="106"/>
        <v>ㄥ</v>
      </c>
      <c r="P1684" s="1" t="s">
        <v>20</v>
      </c>
      <c r="R1684" s="1" t="s">
        <v>1404</v>
      </c>
      <c r="V1684" s="1" t="s">
        <v>1407</v>
      </c>
      <c r="AR1684" s="1" t="str">
        <f t="shared" si="107"/>
        <v>| [ㄅㄧㄥˇ](ㄅㄧㄥˇ.md) | [怲](怲.md) |  | bǐng | [形]
憂慮。《廣韻．上聲．梗韻》：「怲，憂也。」參見「怲怲」條。 |</v>
      </c>
    </row>
    <row r="1685" spans="1:44">
      <c r="A1685" s="1" t="s">
        <v>1408</v>
      </c>
      <c r="C1685" s="1">
        <v>1</v>
      </c>
      <c r="D1685" s="1" t="str">
        <f>"00535"</f>
        <v>00535</v>
      </c>
      <c r="E1685" s="1" t="s">
        <v>256</v>
      </c>
      <c r="F1685" s="1">
        <v>8</v>
      </c>
      <c r="G1685" s="1">
        <v>5</v>
      </c>
      <c r="H1685" s="1">
        <v>0</v>
      </c>
      <c r="I1685" s="1" t="s">
        <v>1403</v>
      </c>
      <c r="K1685" s="1" t="str">
        <f t="shared" si="104"/>
        <v>ㄅ</v>
      </c>
      <c r="L1685" s="1" t="str">
        <f t="shared" si="105"/>
        <v>ㄧ</v>
      </c>
      <c r="M1685" s="1" t="str">
        <f t="shared" si="106"/>
        <v>ㄥ</v>
      </c>
      <c r="P1685" s="1" t="s">
        <v>20</v>
      </c>
      <c r="R1685" s="1" t="s">
        <v>1404</v>
      </c>
      <c r="V1685" s="1" t="s">
        <v>1409</v>
      </c>
      <c r="AR1685" s="1" t="str">
        <f t="shared" si="107"/>
        <v>| [ㄅㄧㄥˇ](ㄅㄧㄥˇ.md) | [邴](邴.md) |  | bǐng | [名]
1.地名。春秋時鄭邑。故地在今大陸地區山東省費縣東南。《廣韻．上聲．梗韻》：「邴，邑名，在泰山。」
2.姓。如春秋時齊國有邴師，晉代有邴郁。
[形]
愉悅、喜悅。參見「邴邴」條。 |</v>
      </c>
    </row>
    <row r="1686" spans="1:44">
      <c r="A1686" s="1" t="s">
        <v>1410</v>
      </c>
      <c r="C1686" s="1">
        <v>1</v>
      </c>
      <c r="D1686" s="1" t="str">
        <f>"00536"</f>
        <v>00536</v>
      </c>
      <c r="E1686" s="1" t="s">
        <v>336</v>
      </c>
      <c r="F1686" s="1">
        <v>9</v>
      </c>
      <c r="G1686" s="1">
        <v>5</v>
      </c>
      <c r="H1686" s="1">
        <v>0</v>
      </c>
      <c r="I1686" s="1" t="s">
        <v>1403</v>
      </c>
      <c r="K1686" s="1" t="str">
        <f t="shared" si="104"/>
        <v>ㄅ</v>
      </c>
      <c r="L1686" s="1" t="str">
        <f t="shared" si="105"/>
        <v>ㄧ</v>
      </c>
      <c r="M1686" s="1" t="str">
        <f t="shared" si="106"/>
        <v>ㄥ</v>
      </c>
      <c r="P1686" s="1" t="s">
        <v>20</v>
      </c>
      <c r="R1686" s="1" t="s">
        <v>1404</v>
      </c>
      <c r="V1686" s="1" t="s">
        <v>1411</v>
      </c>
      <c r="AR1686" s="1" t="str">
        <f t="shared" si="107"/>
        <v>| [ㄅㄧㄥˇ](ㄅㄧㄥˇ.md) | [炳](炳.md) |  | bǐng | [形]
顯著、光明。如：「功業彪炳」。《易經．革卦．象曰》：「大人虎變，其文炳也。」《文選．班固．寶鼎詩》：「寶鼎見兮色紛縕，煥其炳兮被龍文。」
[副]
明白。《漢書．卷三六．楚元王傳》：「決斷狐疑，分別猶豫，使是非炳然可知。」南朝宋．劉義慶《世說新語．文學》：「三乘佛家滯義，支道林分判，使三乘炳然。」
[動]
持拿、執握。通「秉」。《文選．曹丕．與朝歌令吳質書》：「古人思炳燭夜遊，良有以也。」《文選．謝惠連．雪賦》：「燎薰鑪兮炳明燭，酌桂酒兮揚清曲。」 |</v>
      </c>
    </row>
    <row r="1687" spans="1:44">
      <c r="A1687" s="1" t="s">
        <v>1412</v>
      </c>
      <c r="C1687" s="1">
        <v>1</v>
      </c>
      <c r="D1687" s="1" t="str">
        <f>"00537"</f>
        <v>00537</v>
      </c>
      <c r="E1687" s="1" t="s">
        <v>139</v>
      </c>
      <c r="F1687" s="1">
        <v>9</v>
      </c>
      <c r="G1687" s="1">
        <v>5</v>
      </c>
      <c r="H1687" s="1">
        <v>1</v>
      </c>
      <c r="I1687" s="1" t="s">
        <v>1403</v>
      </c>
      <c r="K1687" s="1" t="str">
        <f t="shared" si="104"/>
        <v>ㄅ</v>
      </c>
      <c r="L1687" s="1" t="str">
        <f t="shared" si="105"/>
        <v>ㄧ</v>
      </c>
      <c r="M1687" s="1" t="str">
        <f t="shared" si="106"/>
        <v>ㄥ</v>
      </c>
      <c r="P1687" s="1" t="s">
        <v>20</v>
      </c>
      <c r="R1687" s="1" t="s">
        <v>1404</v>
      </c>
      <c r="V1687" s="1" t="s">
        <v>1413</v>
      </c>
      <c r="W1687" s="1" t="s">
        <v>1414</v>
      </c>
      <c r="AR1687" s="1" t="str">
        <f t="shared" si="107"/>
        <v>| [ㄅㄧㄥˇ](ㄅㄧㄥˇ.md) | [柄](柄.md) |  | bǐng | [名]
1.本指斧頭的把手處，後來凡器物上可執之處都稱為「柄」。如：「刀柄」、「傘柄」。
2.量詞。計算有柄器物的單位。如：「一柄鋤頭」、「兩柄大刀」。
3.植物葉片下方、花下方或子房下方以及蘭花花粉塊、真菌子實體下方似帶狀或柱狀的組織。如：「花柄」、「葉柄」。
4.言語或行為可被人當作攻擊、要挾的事情，或作為取笑的話題。如：「把柄」、「話柄」、「笑柄」。
5.根本。《國語．齊語》：「治國家不失其柄，弗若也。」唐．白居易〈與元九書〉：「五帝三皇所以直道而行，垂拱而理者，揭此以為大柄，決此以為大竇也。」
6.權力。漢．班彪〈王命論〉：「故雖遭罹厄會，竊其權柄。」唐．韓愈〈謁衡嶽廟遂宿嶽寺題門樓〉詩：「火維地荒足妖怪，天假神柄專其雄。」
[動]
執掌、操持。如：「柄國」、「柄政」。 |</v>
      </c>
    </row>
    <row r="1688" spans="1:44">
      <c r="A1688" s="1" t="s">
        <v>1415</v>
      </c>
      <c r="C1688" s="1">
        <v>1</v>
      </c>
      <c r="D1688" s="1" t="str">
        <f>"00538"</f>
        <v>00538</v>
      </c>
      <c r="E1688" s="1" t="s">
        <v>646</v>
      </c>
      <c r="F1688" s="1">
        <v>9</v>
      </c>
      <c r="G1688" s="1">
        <v>5</v>
      </c>
      <c r="H1688" s="1">
        <v>0</v>
      </c>
      <c r="I1688" s="1" t="s">
        <v>1403</v>
      </c>
      <c r="K1688" s="1" t="str">
        <f t="shared" si="104"/>
        <v>ㄅ</v>
      </c>
      <c r="L1688" s="1" t="str">
        <f t="shared" si="105"/>
        <v>ㄧ</v>
      </c>
      <c r="M1688" s="1" t="str">
        <f t="shared" si="106"/>
        <v>ㄥ</v>
      </c>
      <c r="P1688" s="1" t="s">
        <v>20</v>
      </c>
      <c r="R1688" s="1" t="s">
        <v>1404</v>
      </c>
      <c r="V1688" s="1" t="s">
        <v>1416</v>
      </c>
      <c r="AR1688" s="1" t="str">
        <f t="shared" si="107"/>
        <v>| [ㄅㄧㄥˇ](ㄅㄧㄥˇ.md) | [昺](昺.md) |  | bǐng | [形]
光明、明亮。《抱朴子．外編．行品》：「文彪昺而備體，獨澄見以入神者。」
[名]
人名用字。如宋代有邢昺。 |</v>
      </c>
    </row>
    <row r="1689" spans="1:44">
      <c r="A1689" s="1" t="s">
        <v>1417</v>
      </c>
      <c r="C1689" s="1">
        <v>1</v>
      </c>
      <c r="D1689" s="1" t="str">
        <f>"00539"</f>
        <v>00539</v>
      </c>
      <c r="E1689" s="1" t="s">
        <v>429</v>
      </c>
      <c r="F1689" s="1">
        <v>8</v>
      </c>
      <c r="G1689" s="1">
        <v>3</v>
      </c>
      <c r="H1689" s="1">
        <v>0</v>
      </c>
      <c r="I1689" s="1" t="s">
        <v>1403</v>
      </c>
      <c r="K1689" s="1" t="str">
        <f t="shared" si="104"/>
        <v>ㄅ</v>
      </c>
      <c r="L1689" s="1" t="str">
        <f t="shared" si="105"/>
        <v>ㄧ</v>
      </c>
      <c r="M1689" s="1" t="str">
        <f t="shared" si="106"/>
        <v>ㄥ</v>
      </c>
      <c r="P1689" s="1" t="s">
        <v>20</v>
      </c>
      <c r="R1689" s="1" t="s">
        <v>1404</v>
      </c>
      <c r="V1689" s="1" t="s">
        <v>1418</v>
      </c>
      <c r="AR1689" s="1" t="str">
        <f t="shared" si="107"/>
        <v>| [ㄅㄧㄥˇ](ㄅㄧㄥˇ.md) | [秉](秉.md) |  | bǐng | [名]
1.成把、成束的穀物。《說文解字．又部》：「秉，禾束也。」《詩經．小雅．甫田》：「彼有遺秉，此有滯穗。」南朝梁．范縝〈神滅論〉：「豈不以僧有多稌之期，友無遺秉之報？」
2.量詞。古代計算容量的單位。十六斛為「一秉」。《集韻．上聲．梗韻》：「秉，或曰粟十六斛為秉。」《論語．雍也》：「冉子與之粟五秉。」
3.權柄。通「柄」。《管子．小匡》：「治國不失秉，臣不如也。」《史記．卷七九．范睢蔡澤傳》：「吾聞先生相李兌，曰『百日之內持國秉』，有之乎？」
4.姓。如漢代有秉寬。
[動]
1.用手執握。《文選．古詩十九首．生年不滿百》：「晝短苦夜長，何不秉燭遊！」
2.保持、堅持。唐．皇甫冉〈太常魏博士遠出賊庭江外相逢因敘其事〉詩：「秉節身常苦，求仁志不違。」元．劉時中〈端正好．眾生靈遭魔障套．三煞〉：「這相公主見宏深，秉心仁恕。」
3.主持、掌握。《詩經．小雅．節南山》：「秉國之均，四方是維。」《新唐書．卷八四．李密傳》：「（王儒信）勸讓自為大冢宰，總秉眾務，收密權。」
4.根據、依循。如：「秉公處理」。 |</v>
      </c>
    </row>
    <row r="1690" spans="1:44">
      <c r="A1690" s="1" t="s">
        <v>1389</v>
      </c>
      <c r="C1690" s="1">
        <v>1</v>
      </c>
      <c r="D1690" s="1" t="str">
        <f>"00540"</f>
        <v>00540</v>
      </c>
      <c r="E1690" s="1" t="s">
        <v>871</v>
      </c>
      <c r="F1690" s="1">
        <v>9</v>
      </c>
      <c r="G1690" s="1">
        <v>6</v>
      </c>
      <c r="H1690" s="1">
        <v>2</v>
      </c>
      <c r="I1690" s="1" t="s">
        <v>1403</v>
      </c>
      <c r="K1690" s="1" t="str">
        <f t="shared" si="104"/>
        <v>ㄅ</v>
      </c>
      <c r="L1690" s="1" t="str">
        <f t="shared" si="105"/>
        <v>ㄧ</v>
      </c>
      <c r="M1690" s="1" t="str">
        <f t="shared" si="106"/>
        <v>ㄥ</v>
      </c>
      <c r="P1690" s="1" t="s">
        <v>20</v>
      </c>
      <c r="R1690" s="1" t="s">
        <v>1404</v>
      </c>
      <c r="V1690" s="1" t="s">
        <v>1419</v>
      </c>
      <c r="W1690" s="1" t="s">
        <v>1420</v>
      </c>
      <c r="AR1690" s="1" t="str">
        <f t="shared" si="107"/>
        <v>| [ㄅㄧㄥˇ](ㄅㄧㄥˇ.md) | [屏](屏.md) |  | bǐng | [動]
1.排除。《論語．堯曰》：「子曰：『尊五美，屏四惡，斯可以從政矣。』」南朝梁．劉勰《文心雕龍．情采》：「正采耀乎朱藍，間色屏於紅紫。」
2.斥退。《戰國策．秦策三》：「秦王屏左右，宮中虛無人。」《史記．卷七七．魏公子傳》：「侯生乃屏人閒語曰：『嬴聞晉鄙之兵符，常在王臥內。』」
3.退避、隱藏。如：「屏居」、「屏跡」。宋．王安石〈答孫莘老書〉：「丘園自屏，煩公遠屈，衰疾不獲奉迓。」
4.停止、壓制。如：「屏住呼吸」、「屏息靜觀」。《論語．鄉黨》：「屏氣似不息者，出降一等逞顏色怡怡如也。」
5.放逐。《禮記．王制》：「屏之四方，唯其所之。」宋．蘇軾〈答王莊叔〉二首之一：「某罪廢遠屏，有玷知識。」 |</v>
      </c>
    </row>
    <row r="1691" spans="1:44">
      <c r="A1691" s="1" t="s">
        <v>855</v>
      </c>
      <c r="C1691" s="1">
        <v>1</v>
      </c>
      <c r="D1691" s="1" t="str">
        <f>"00541"</f>
        <v>00541</v>
      </c>
      <c r="E1691" s="1" t="s">
        <v>558</v>
      </c>
      <c r="F1691" s="1">
        <v>10</v>
      </c>
      <c r="G1691" s="1">
        <v>6</v>
      </c>
      <c r="H1691" s="1">
        <v>2</v>
      </c>
      <c r="I1691" s="1" t="s">
        <v>1403</v>
      </c>
      <c r="K1691" s="1" t="str">
        <f t="shared" si="104"/>
        <v>ㄅ</v>
      </c>
      <c r="L1691" s="1" t="str">
        <f t="shared" si="105"/>
        <v>ㄧ</v>
      </c>
      <c r="M1691" s="1" t="str">
        <f t="shared" si="106"/>
        <v>ㄥ</v>
      </c>
      <c r="P1691" s="1" t="s">
        <v>20</v>
      </c>
      <c r="R1691" s="1" t="s">
        <v>1404</v>
      </c>
      <c r="V1691" s="1" t="s">
        <v>1421</v>
      </c>
      <c r="W1691" s="1" t="s">
        <v>1422</v>
      </c>
      <c r="AR1691" s="1" t="str">
        <f t="shared" si="107"/>
        <v>| [ㄅㄧㄥˇ](ㄅㄧㄥˇ.md) | [迸](迸.md) |  | bǐng | [動]
驅逐、排除。通「屏」。《禮記．大學》：「唯仁人放流之，迸諸四夷，不與同中國。」漢．鄭玄．注：「皇云：『迸，猶屏也。』」 |</v>
      </c>
    </row>
    <row r="1692" spans="1:44">
      <c r="A1692" s="1" t="s">
        <v>1423</v>
      </c>
      <c r="C1692" s="1">
        <v>1</v>
      </c>
      <c r="D1692" s="1" t="str">
        <f>"00542"</f>
        <v>00542</v>
      </c>
      <c r="E1692" s="1" t="s">
        <v>55</v>
      </c>
      <c r="F1692" s="1">
        <v>14</v>
      </c>
      <c r="G1692" s="1">
        <v>6</v>
      </c>
      <c r="H1692" s="1">
        <v>0</v>
      </c>
      <c r="I1692" s="1" t="s">
        <v>1403</v>
      </c>
      <c r="K1692" s="1" t="str">
        <f t="shared" si="104"/>
        <v>ㄅ</v>
      </c>
      <c r="L1692" s="1" t="str">
        <f t="shared" si="105"/>
        <v>ㄧ</v>
      </c>
      <c r="M1692" s="1" t="str">
        <f t="shared" si="106"/>
        <v>ㄥ</v>
      </c>
      <c r="P1692" s="1" t="s">
        <v>20</v>
      </c>
      <c r="R1692" s="1" t="s">
        <v>1404</v>
      </c>
      <c r="V1692" s="1" t="s">
        <v>1424</v>
      </c>
      <c r="AR1692" s="1" t="str">
        <f t="shared" si="107"/>
        <v>| [ㄅㄧㄥˇ](ㄅㄧㄥˇ.md) | [鉼](鉼.md) |  | bǐng | [名]
金鈑，餅狀的金屬板。《爾雅．釋器》：「鉼金謂之鈑」。明．張自烈《正字通．金部》：「鉼，傾金銀形似餅者。」 |</v>
      </c>
    </row>
    <row r="1693" spans="1:44">
      <c r="A1693" s="1" t="s">
        <v>1425</v>
      </c>
      <c r="C1693" s="1">
        <v>1</v>
      </c>
      <c r="D1693" s="1" t="str">
        <f>"00543"</f>
        <v>00543</v>
      </c>
      <c r="E1693" s="1" t="s">
        <v>193</v>
      </c>
      <c r="F1693" s="1">
        <v>14</v>
      </c>
      <c r="G1693" s="1">
        <v>6</v>
      </c>
      <c r="H1693" s="1">
        <v>0</v>
      </c>
      <c r="I1693" s="1" t="s">
        <v>1403</v>
      </c>
      <c r="K1693" s="1" t="str">
        <f t="shared" si="104"/>
        <v>ㄅ</v>
      </c>
      <c r="L1693" s="1" t="str">
        <f t="shared" si="105"/>
        <v>ㄧ</v>
      </c>
      <c r="M1693" s="1" t="str">
        <f t="shared" si="106"/>
        <v>ㄥ</v>
      </c>
      <c r="P1693" s="1" t="s">
        <v>20</v>
      </c>
      <c r="R1693" s="1" t="s">
        <v>1404</v>
      </c>
      <c r="V1693" s="1" t="s">
        <v>1426</v>
      </c>
      <c r="AR1693" s="1" t="str">
        <f t="shared" si="107"/>
        <v>| [ㄅㄧㄥˇ](ㄅㄧㄥˇ.md) | [餅](餅.md) |  | bǐng | [名]
1.用米粉或麵粉做成扁圓形的食品。如：「月餅」、「燒餅」、「蔥油餅」。《漢書．卷八．宣帝紀》：「每買餅，所從買家輒大讎，亦以是自怪。」
2.扁圓形如餅的東西。如：「柿餅」、「鐵餅」。 |</v>
      </c>
    </row>
    <row r="1694" spans="1:44">
      <c r="A1694" s="1" t="s">
        <v>1339</v>
      </c>
      <c r="C1694" s="1">
        <v>1</v>
      </c>
      <c r="D1694" s="1" t="str">
        <f>"00544"</f>
        <v>00544</v>
      </c>
      <c r="E1694" s="1" t="s">
        <v>429</v>
      </c>
      <c r="F1694" s="1">
        <v>13</v>
      </c>
      <c r="G1694" s="1">
        <v>8</v>
      </c>
      <c r="H1694" s="1">
        <v>1</v>
      </c>
      <c r="I1694" s="1" t="s">
        <v>1403</v>
      </c>
      <c r="K1694" s="1" t="str">
        <f t="shared" si="104"/>
        <v>ㄅ</v>
      </c>
      <c r="L1694" s="1" t="str">
        <f t="shared" si="105"/>
        <v>ㄧ</v>
      </c>
      <c r="M1694" s="1" t="str">
        <f t="shared" si="106"/>
        <v>ㄥ</v>
      </c>
      <c r="P1694" s="1" t="s">
        <v>20</v>
      </c>
      <c r="R1694" s="1" t="s">
        <v>1404</v>
      </c>
      <c r="V1694" s="1" t="s">
        <v>1427</v>
      </c>
      <c r="W1694" s="1" t="s">
        <v>1428</v>
      </c>
      <c r="AR1694" s="1" t="str">
        <f t="shared" si="107"/>
        <v>| [ㄅㄧㄥˇ](ㄅㄧㄥˇ.md) | [稟](稟.md) |  | bǐng | [名]_x000D_
天賦的資質。如：「天賦異稟」。宋．朱熹〈大學章句序〉：「然其氣質之稟或不能齊，是以不能皆有以知其性之所有而全之也。」_x000D_
[動]_x000D_
1.承受。《書經．說命》：「王言惟作命不言，臣下罔攸稟令。」漢．孔安國．傳：「稟，受也。」《左傳．昭公二十六年》：「先王所稟於天地，以為其民也。」_x000D_
2.下對上、卑對尊、或民眾對官署的陳述。如：「稟告」、「稟明原委」。《宋書．卷四二．列傳．劉穆之》：「賓客輻輳，求訴百端，內外諮稟，盈階滿室。」《儒林外史》第一回：「翟頭役稟過了本官，那知縣時仁，發出二十四兩銀子來。」 |</v>
      </c>
    </row>
    <row r="1695" spans="1:44">
      <c r="A1695" s="1" t="s">
        <v>464</v>
      </c>
      <c r="C1695" s="1">
        <v>1</v>
      </c>
      <c r="D1695" s="1" t="str">
        <f>"00545"</f>
        <v>00545</v>
      </c>
      <c r="E1695" s="1" t="s">
        <v>96</v>
      </c>
      <c r="F1695" s="1">
        <v>17</v>
      </c>
      <c r="G1695" s="1">
        <v>8</v>
      </c>
      <c r="H1695" s="1">
        <v>1</v>
      </c>
      <c r="I1695" s="1" t="s">
        <v>1403</v>
      </c>
      <c r="K1695" s="1" t="str">
        <f t="shared" si="104"/>
        <v>ㄅ</v>
      </c>
      <c r="L1695" s="1" t="str">
        <f t="shared" si="105"/>
        <v>ㄧ</v>
      </c>
      <c r="M1695" s="1" t="str">
        <f t="shared" si="106"/>
        <v>ㄥ</v>
      </c>
      <c r="P1695" s="1" t="s">
        <v>20</v>
      </c>
      <c r="R1695" s="1" t="s">
        <v>1404</v>
      </c>
      <c r="V1695" s="1" t="s">
        <v>1429</v>
      </c>
      <c r="W1695" s="1" t="s">
        <v>1430</v>
      </c>
      <c r="AR1695" s="1" t="str">
        <f t="shared" si="107"/>
        <v>| [ㄅㄧㄥˇ](ㄅㄧㄥˇ.md) | [鞞](鞞.md) |  | bǐng | 參見「鞞琫」條。 |</v>
      </c>
    </row>
    <row r="1696" spans="1:44">
      <c r="A1696" s="1" t="s">
        <v>1385</v>
      </c>
      <c r="C1696" s="1">
        <v>1</v>
      </c>
      <c r="D1696" s="1" t="str">
        <f>"00546"</f>
        <v>00546</v>
      </c>
      <c r="E1696" s="1" t="s">
        <v>1386</v>
      </c>
      <c r="F1696" s="1">
        <v>6</v>
      </c>
      <c r="G1696" s="1">
        <v>3</v>
      </c>
      <c r="H1696" s="1">
        <v>1</v>
      </c>
      <c r="I1696" s="1" t="s">
        <v>1431</v>
      </c>
      <c r="K1696" s="1" t="str">
        <f t="shared" si="104"/>
        <v>ㄅ</v>
      </c>
      <c r="L1696" s="1" t="str">
        <f t="shared" si="105"/>
        <v>ㄧ</v>
      </c>
      <c r="M1696" s="1" t="str">
        <f t="shared" si="106"/>
        <v>ㄥ</v>
      </c>
      <c r="P1696" s="1" t="s">
        <v>20</v>
      </c>
      <c r="R1696" s="1" t="s">
        <v>1432</v>
      </c>
      <c r="V1696" s="1" t="s">
        <v>1433</v>
      </c>
      <c r="W1696" s="1" t="s">
        <v>1434</v>
      </c>
      <c r="AR1696" s="1" t="str">
        <f t="shared" si="107"/>
        <v>| [ㄅㄧㄥˋ](ㄅㄧㄥˋ.md) | [并](并.md) |  | bìng | [動]
1.合。通「併」。《文選．曹冏．六代論》：「自此之後，轉相攻伐，吳并於越，晉分為三魯，滅於楚，鄭兼於韓。」
2.兼有。《文選．陸機．謝平原內史表》：「非臣毀宗，夷族所能上報，喜懼參并，悲慚哽結。」《文選．謝靈運．擬魏太子鄴中集詩序》：「天下良辰美景，賞心樂事，四者難并。」
[副]
1.一齊。通「並」。《戰國策．燕策二》：「（蚌、鷸）兩者不肯相舍，漁者得而并禽之。」《文選．左思．吳都賦》：「蓋象琴筑并奏，笙竽俱唱。」
2.用於否定詞之前，以加強否定語氣，帶有反駁的意味。通「並」。如：「你以為他笨，我并不認為如此。」
[連]
而且。通「並」。如：「我支持這項決定，并加以宣導。」 |</v>
      </c>
    </row>
    <row r="1697" spans="1:44">
      <c r="A1697" s="1" t="s">
        <v>1435</v>
      </c>
      <c r="C1697" s="1">
        <v>1</v>
      </c>
      <c r="D1697" s="1" t="str">
        <f>"00547"</f>
        <v>00547</v>
      </c>
      <c r="E1697" s="1" t="s">
        <v>114</v>
      </c>
      <c r="F1697" s="1">
        <v>8</v>
      </c>
      <c r="G1697" s="1">
        <v>6</v>
      </c>
      <c r="H1697" s="1">
        <v>0</v>
      </c>
      <c r="I1697" s="1" t="s">
        <v>1431</v>
      </c>
      <c r="K1697" s="1" t="str">
        <f t="shared" si="104"/>
        <v>ㄅ</v>
      </c>
      <c r="L1697" s="1" t="str">
        <f t="shared" si="105"/>
        <v>ㄧ</v>
      </c>
      <c r="M1697" s="1" t="str">
        <f t="shared" si="106"/>
        <v>ㄥ</v>
      </c>
      <c r="P1697" s="1" t="s">
        <v>20</v>
      </c>
      <c r="R1697" s="1" t="s">
        <v>1432</v>
      </c>
      <c r="V1697" s="1" t="s">
        <v>1436</v>
      </c>
      <c r="AR1697" s="1" t="str">
        <f t="shared" si="107"/>
        <v>| [ㄅㄧㄥˋ](ㄅㄧㄥˋ.md) | [併](併.md) |  | bìng | [動]
1.合在一起。如：「合併」、「歸併」。《史記．卷五．秦本紀》：「周室微，諸侯力政，爭相併。」《儒林外史》第三三回：「杜少卿在家又住了半年多，銀子用的差不多了，思量把自己住的房子併與本家，要到南京去住。」
2.排除。通「摒」。《管子．霸形》：「於是伐鐘磬之縣，併歌舞之樂，宮中虛無人。」《荀子．彊國》：「併己之私欲必以道。」唐．楊倞．注：「併讀曰屏，棄也。屏棄私欲遵達公義也。」
3.拚命。《三國演義》第二八回：「飛曰：『你背了兄長，降了曹操，封侯賜爵。今又來賺我！我今與你併個死活！』」《西遊記》第五八回：「兩人比併真假，打至南海，又打到天宮。」
[副]
一齊。通「並」。《漢書．卷四八．賈誼傳》：「天下殽亂，高皇帝與諸公併起，非有仄室之勢以豫席之也。」宋．陳與義〈中牟道中〉詩二首之二：「如何得與涼風約，不共塵沙一併來。」 |</v>
      </c>
    </row>
    <row r="1698" spans="1:44">
      <c r="A1698" s="1" t="s">
        <v>1437</v>
      </c>
      <c r="C1698" s="1">
        <v>1</v>
      </c>
      <c r="D1698" s="1" t="str">
        <f>"00548"</f>
        <v>00548</v>
      </c>
      <c r="E1698" s="1" t="s">
        <v>114</v>
      </c>
      <c r="F1698" s="1">
        <v>11</v>
      </c>
      <c r="G1698" s="1">
        <v>9</v>
      </c>
      <c r="H1698" s="1">
        <v>0</v>
      </c>
      <c r="I1698" s="1" t="s">
        <v>1431</v>
      </c>
      <c r="K1698" s="1" t="str">
        <f t="shared" si="104"/>
        <v>ㄅ</v>
      </c>
      <c r="L1698" s="1" t="str">
        <f t="shared" si="105"/>
        <v>ㄧ</v>
      </c>
      <c r="M1698" s="1" t="str">
        <f t="shared" si="106"/>
        <v>ㄥ</v>
      </c>
      <c r="P1698" s="1" t="s">
        <v>20</v>
      </c>
      <c r="R1698" s="1" t="s">
        <v>1432</v>
      </c>
      <c r="V1698" s="1" t="s">
        <v>1438</v>
      </c>
      <c r="AR1698" s="1" t="str">
        <f t="shared" si="107"/>
        <v>| [ㄅㄧㄥˋ](ㄅㄧㄥˋ.md) | [偋](偋.md) |  | bìng | [名]
隱僻無人的地方。《廣韻．去聲．勁韻》：「偋，隱僻也，無人處。」
[動]
排除、丟棄。通「摒」。《荀子．榮辱》：「恭儉者，偋五兵也。雖有戈矛之刺，不如恭儉之利也。」 |</v>
      </c>
    </row>
    <row r="1699" spans="1:44">
      <c r="A1699" s="1" t="s">
        <v>1439</v>
      </c>
      <c r="C1699" s="1">
        <v>1</v>
      </c>
      <c r="D1699" s="1" t="str">
        <f>"00549"</f>
        <v>00549</v>
      </c>
      <c r="E1699" s="1" t="s">
        <v>24</v>
      </c>
      <c r="F1699" s="1">
        <v>12</v>
      </c>
      <c r="G1699" s="1">
        <v>9</v>
      </c>
      <c r="H1699" s="1">
        <v>0</v>
      </c>
      <c r="I1699" s="1" t="s">
        <v>1431</v>
      </c>
      <c r="K1699" s="1" t="str">
        <f t="shared" si="104"/>
        <v>ㄅ</v>
      </c>
      <c r="L1699" s="1" t="str">
        <f t="shared" si="105"/>
        <v>ㄧ</v>
      </c>
      <c r="M1699" s="1" t="str">
        <f t="shared" si="106"/>
        <v>ㄥ</v>
      </c>
      <c r="P1699" s="1" t="s">
        <v>20</v>
      </c>
      <c r="R1699" s="1" t="s">
        <v>1432</v>
      </c>
      <c r="V1699" s="1" t="s">
        <v>1440</v>
      </c>
      <c r="AR1699" s="1" t="str">
        <f t="shared" si="107"/>
        <v>| [ㄅㄧㄥˋ](ㄅㄧㄥˋ.md) | [摒](摒.md) |  | bìng | [動]
排除。《集韻．去聲．勁韻》：「摒，除也。」如：「摒棄」、「摒斥」。 |</v>
      </c>
    </row>
    <row r="1700" spans="1:44">
      <c r="A1700" s="1" t="s">
        <v>788</v>
      </c>
      <c r="C1700" s="1">
        <v>1</v>
      </c>
      <c r="D1700" s="1" t="str">
        <f>"00550"</f>
        <v>00550</v>
      </c>
      <c r="E1700" s="1" t="s">
        <v>789</v>
      </c>
      <c r="F1700" s="1">
        <v>8</v>
      </c>
      <c r="G1700" s="1">
        <v>7</v>
      </c>
      <c r="H1700" s="1">
        <v>1</v>
      </c>
      <c r="I1700" s="1" t="s">
        <v>1431</v>
      </c>
      <c r="K1700" s="1" t="str">
        <f t="shared" si="104"/>
        <v>ㄅ</v>
      </c>
      <c r="L1700" s="1" t="str">
        <f t="shared" si="105"/>
        <v>ㄧ</v>
      </c>
      <c r="M1700" s="1" t="str">
        <f t="shared" si="106"/>
        <v>ㄥ</v>
      </c>
      <c r="P1700" s="1" t="s">
        <v>20</v>
      </c>
      <c r="R1700" s="1" t="s">
        <v>1432</v>
      </c>
      <c r="V1700" s="1" t="s">
        <v>1441</v>
      </c>
      <c r="W1700" s="1" t="s">
        <v>1442</v>
      </c>
      <c r="AR1700" s="1" t="str">
        <f t="shared" si="107"/>
        <v>| [ㄅㄧㄥˋ](ㄅㄧㄥˋ.md) | [並](並.md) |  | bìng | [動]
1.併合。如：「並案處理」。《楚辭．東方朔．七諫．自悲》：「冰炭不可以相並兮，吾固知乎命之不長。」唐．柳宗元〈駮復讎議〉：「旌與誅，莫得而並焉。」
2.兩種或兩種以上的事物並排著。《莊子．馬蹄》：「夫至德之世，同與禽獸居，族與萬物並，惡乎知君子小人哉！」
[副]
1.一起、同時。如：「相提並論」、「異說並起」。《禮記．中庸》：「萬物並育而不相害，道並行而不相悖。」《孟子．滕文公上》：「賢者與民並耕而食，饔飧而治。」
2.用於否定詞前，以加強否定語氣。相當於「絕」、「決」。如：「事情並非如此。」、「你別誤會，我並無惡意。」元．秦𥳑夫《剪髮待賓》第一折：「母親嚴教，並不敢喫酒。」
3.皆、俱。《戰國策．秦策一》：「文士並飭，諸侯亂惑。」南朝宋．劉義慶《世說新語．德行》：「遂班軍而還，一郡並獲全。」
[連]
且、而且。如：「這個案子，保證能完成，並能做得盡善盡美。」
[介]
相當於「連」、「同」。如：「並此淺近的原理亦不能明。」《漢書．卷四七．代孝王劉參傳》：「徙代王於清河，是為剛王。並前在代凡立四十年薨。」 |</v>
      </c>
    </row>
    <row r="1701" spans="1:44">
      <c r="A1701" s="1" t="s">
        <v>1412</v>
      </c>
      <c r="C1701" s="1">
        <v>1</v>
      </c>
      <c r="D1701" s="1" t="str">
        <f>"00551"</f>
        <v>00551</v>
      </c>
      <c r="E1701" s="1" t="s">
        <v>139</v>
      </c>
      <c r="F1701" s="1">
        <v>9</v>
      </c>
      <c r="G1701" s="1">
        <v>5</v>
      </c>
      <c r="H1701" s="1">
        <v>2</v>
      </c>
      <c r="I1701" s="1" t="s">
        <v>1431</v>
      </c>
      <c r="K1701" s="1" t="str">
        <f t="shared" si="104"/>
        <v>ㄅ</v>
      </c>
      <c r="L1701" s="1" t="str">
        <f t="shared" si="105"/>
        <v>ㄧ</v>
      </c>
      <c r="M1701" s="1" t="str">
        <f t="shared" si="106"/>
        <v>ㄥ</v>
      </c>
      <c r="P1701" s="1" t="s">
        <v>110</v>
      </c>
      <c r="R1701" s="1" t="s">
        <v>1432</v>
      </c>
      <c r="V1701" s="1" t="s">
        <v>111</v>
      </c>
      <c r="W1701" s="1" t="s">
        <v>1443</v>
      </c>
      <c r="AR1701" s="1" t="str">
        <f t="shared" si="107"/>
        <v>| [ㄅㄧㄥˋ](ㄅㄧㄥˋ.md) | [柄](柄.md) |  | bìng | (一)之又音。 |</v>
      </c>
    </row>
    <row r="1702" spans="1:44">
      <c r="A1702" s="1" t="s">
        <v>1444</v>
      </c>
      <c r="C1702" s="1">
        <v>1</v>
      </c>
      <c r="D1702" s="1" t="str">
        <f>"00552"</f>
        <v>00552</v>
      </c>
      <c r="E1702" s="1" t="s">
        <v>40</v>
      </c>
      <c r="F1702" s="1">
        <v>10</v>
      </c>
      <c r="G1702" s="1">
        <v>5</v>
      </c>
      <c r="H1702" s="1">
        <v>0</v>
      </c>
      <c r="I1702" s="1" t="s">
        <v>1431</v>
      </c>
      <c r="K1702" s="1" t="str">
        <f t="shared" si="104"/>
        <v>ㄅ</v>
      </c>
      <c r="L1702" s="1" t="str">
        <f t="shared" si="105"/>
        <v>ㄧ</v>
      </c>
      <c r="M1702" s="1" t="str">
        <f t="shared" si="106"/>
        <v>ㄥ</v>
      </c>
      <c r="P1702" s="1" t="s">
        <v>20</v>
      </c>
      <c r="R1702" s="1" t="s">
        <v>1432</v>
      </c>
      <c r="V1702" s="1" t="s">
        <v>1445</v>
      </c>
      <c r="AR1702" s="1" t="str">
        <f t="shared" si="107"/>
        <v>| [ㄅㄧㄥˋ](ㄅㄧㄥˋ.md) | [病](病.md) |  | bìng | [名]
1.指生物體發生不健康的現象。亦指生理或心理方面產生不正常的狀態。如：「疾病」、「肝病」、「心病」、「相思病」、「病入膏肓」。
2.瑕疵、短處。如：「語病」、「通病」、「弊病」。《三國志．卷八．魏書．張魯傳》：「皆教以誠信不欺詐，有病自首其過。」
[動]
1.生病、患病。如：「她病了三天，變得相當憔悴。」《韓非子．外儲說左上》：「軍人有病疽者，吳起跪而自吮其膿。」清．蔣士銓〈鳴機夜課圖記〉：「銓每病，母即抱銓行一室中，未嘗寢。」
2.為其所苦。《左傳．襄公二十四年》：「范宣子為政，諸侯之幣重，鄭人病之。」
3.損害。如：「禍國病民」。《戰國策．東周策》：「君若欲害之，不若一為下水，以病其所種。」
4.憂慮。《論語．衛靈公》：「君子病無能焉，不病人之不己知也。」
5.恨、怨恨。《南史．卷一四．宋宗室及諸王傳下．文帝諸子傳》：「初，元皇后性忌，以潘氏見幸，恚恨致崩。故劭深病潘氏及濬。」
6.指責、不滿。《後漢書．卷七四上．袁紹傳》：「度德而讓，古人所貴，諸君獨何病焉？」
[形]
1.有病的。如：「病容」、「病人」、「病夫」。
2.枯乾的。唐．杜甫〈薄遊〉詩：「病葉多先墜，寒花只暫香。」唐．劉禹錫〈酬樂天揚州初逢席上見贈〉詩：「沉舟側畔千帆過，病樹前頭萬木春。」
3.疲憊。唐．柳宗元〈種樹郭橐駝傳〉：「又何以蕃吾生而安吾性耶？故病且怠。」 |</v>
      </c>
    </row>
    <row r="1703" spans="1:44">
      <c r="A1703" s="1" t="s">
        <v>1446</v>
      </c>
      <c r="C1703" s="1">
        <v>1</v>
      </c>
      <c r="D1703" s="1" t="str">
        <f>"00553"</f>
        <v>00553</v>
      </c>
      <c r="E1703" s="1" t="s">
        <v>624</v>
      </c>
      <c r="F1703" s="1">
        <v>12</v>
      </c>
      <c r="G1703" s="1">
        <v>9</v>
      </c>
      <c r="H1703" s="1">
        <v>0</v>
      </c>
      <c r="I1703" s="1" t="s">
        <v>1431</v>
      </c>
      <c r="K1703" s="1" t="str">
        <f t="shared" si="104"/>
        <v>ㄅ</v>
      </c>
      <c r="L1703" s="1" t="str">
        <f t="shared" si="105"/>
        <v>ㄧ</v>
      </c>
      <c r="M1703" s="1" t="str">
        <f t="shared" si="106"/>
        <v>ㄥ</v>
      </c>
      <c r="P1703" s="1" t="s">
        <v>20</v>
      </c>
      <c r="R1703" s="1" t="s">
        <v>1432</v>
      </c>
      <c r="V1703" s="1" t="s">
        <v>1447</v>
      </c>
      <c r="AR1703" s="1" t="str">
        <f t="shared" si="107"/>
        <v>| [ㄅㄧㄥˋ](ㄅㄧㄥˋ.md) | [寎](寎.md) |  | bìng | [名]
1.一種臥而善驚，不能酣睡的精神病。《說文解字．㝱部》：「寎，臥驚病也。」《廣韻．去聲．映韻》：「寎，驚病。」
2.稱嗜睡的症狀為「寎」。明．張自烈《正字通．宀部》：「寎，多寐也。」
3.參見「寎月」條。 |</v>
      </c>
    </row>
    <row r="1704" spans="1:44">
      <c r="A1704" s="1" t="s">
        <v>60</v>
      </c>
      <c r="C1704" s="1">
        <v>1</v>
      </c>
      <c r="D1704" s="1" t="str">
        <f>"00014"</f>
        <v>00014</v>
      </c>
      <c r="E1704" s="1" t="s">
        <v>24</v>
      </c>
      <c r="F1704" s="1">
        <v>8</v>
      </c>
      <c r="G1704" s="1">
        <v>5</v>
      </c>
      <c r="H1704" s="1">
        <v>0</v>
      </c>
      <c r="I1704" s="1" t="s">
        <v>61</v>
      </c>
      <c r="K1704" s="1" t="str">
        <f t="shared" si="104"/>
        <v>ㄅ</v>
      </c>
      <c r="L1704" s="1" t="str">
        <f t="shared" si="105"/>
        <v>ㄚ</v>
      </c>
      <c r="N1704" s="3" t="s">
        <v>30575</v>
      </c>
      <c r="O1704" s="3"/>
      <c r="P1704" s="1" t="s">
        <v>20</v>
      </c>
      <c r="R1704" s="1" t="s">
        <v>62</v>
      </c>
      <c r="V1704" s="1" t="s">
        <v>63</v>
      </c>
      <c r="AR1704" s="1" t="str">
        <f t="shared" si="107"/>
        <v>| [ㄅㄚˊ](ㄅㄚˊ.md) | [拔](拔.md) |  | bá | [動]
1.拉出、抽出。如：「拔草」、「拔旗」、「拔劍」。《孟子．盡心上》：「楊子取為我，拔一毛而利天下不為也。」
2.吸取。如：「拔毒」、「拔出膿來」。
3.除去。如：「拔禍根」、「拔去眼中釘，肉中刺」。
4.選出。如：「提拔」、「選拔」。《漢書．卷七五．李尋傳》：「閉絕私路，拔進英雋。」
5.特出。《孟子．公孫丑上》：「出於其類，拔乎其萃。」《文選．孔稚珪．北山移文》：「夫以耿介拔俗之標，瀟灑出塵之想。」
6.拉高。如：「拔起嗓門尖叫。」
7.動搖、改變。如：「堅忍不拔」、「牢不可拔」。《易經．乾卦．文言》：「樂則行之，憂則違之，確乎其不可拔。」
8.攻取、占領。如：「連拔五城」。《孫子．謀攻》：「殺士三分之一，而城不拔者，此攻之災也。」
9.矯治。如：「用藥膏將扭傷的脖子拔直。」
[名]
括，箭的尾端。《詩經．秦風．駟驖》：「公曰：『左之。』舍拔則獲。」漢．毛亨．傳：「拔，矢末也。」
[副]
急速。《禮記．少禮》：「毋拔來，毋報往。」漢．鄭玄．注：「報讀為赴疾之赴，拔、赴皆疾也。」 |</v>
      </c>
    </row>
    <row r="1705" spans="1:44">
      <c r="A1705" s="1" t="s">
        <v>64</v>
      </c>
      <c r="C1705" s="1">
        <v>1</v>
      </c>
      <c r="D1705" s="1" t="str">
        <f>"00015"</f>
        <v>00015</v>
      </c>
      <c r="E1705" s="1" t="s">
        <v>37</v>
      </c>
      <c r="F1705" s="1">
        <v>9</v>
      </c>
      <c r="G1705" s="1">
        <v>5</v>
      </c>
      <c r="H1705" s="1">
        <v>1</v>
      </c>
      <c r="I1705" s="1" t="s">
        <v>61</v>
      </c>
      <c r="K1705" s="1" t="str">
        <f t="shared" si="104"/>
        <v>ㄅ</v>
      </c>
      <c r="L1705" s="1" t="str">
        <f t="shared" si="105"/>
        <v>ㄚ</v>
      </c>
      <c r="N1705" s="3" t="s">
        <v>30575</v>
      </c>
      <c r="O1705" s="3"/>
      <c r="P1705" s="1" t="s">
        <v>20</v>
      </c>
      <c r="R1705" s="1" t="s">
        <v>62</v>
      </c>
      <c r="V1705" s="1" t="s">
        <v>65</v>
      </c>
      <c r="W1705" s="1" t="s">
        <v>66</v>
      </c>
      <c r="AR1705" s="1" t="str">
        <f t="shared" si="107"/>
        <v>| [ㄅㄚˊ](ㄅㄚˊ.md) | [茇](茇.md) |  | bá | [名]
草根。《說文解字．艸部》：「茇，草根也。」《淮南子．墬形》：「凡根茇草者，生於庶草。」
[動]
在草叢中休息住宿。《詩經．召南．甘棠》：「蔽芾甘棠，勿翦勿伐，召伯所茇。」 |</v>
      </c>
    </row>
    <row r="1706" spans="1:44">
      <c r="A1706" s="1" t="s">
        <v>67</v>
      </c>
      <c r="C1706" s="1">
        <v>1</v>
      </c>
      <c r="D1706" s="1" t="str">
        <f>"00016"</f>
        <v>00016</v>
      </c>
      <c r="E1706" s="1" t="s">
        <v>68</v>
      </c>
      <c r="F1706" s="1">
        <v>9</v>
      </c>
      <c r="G1706" s="1">
        <v>5</v>
      </c>
      <c r="H1706" s="1">
        <v>0</v>
      </c>
      <c r="I1706" s="1" t="s">
        <v>61</v>
      </c>
      <c r="K1706" s="1" t="str">
        <f t="shared" si="104"/>
        <v>ㄅ</v>
      </c>
      <c r="L1706" s="1" t="str">
        <f t="shared" si="105"/>
        <v>ㄚ</v>
      </c>
      <c r="N1706" s="3" t="s">
        <v>30575</v>
      </c>
      <c r="O1706" s="3"/>
      <c r="P1706" s="1" t="s">
        <v>20</v>
      </c>
      <c r="R1706" s="1" t="s">
        <v>62</v>
      </c>
      <c r="V1706" s="1" t="s">
        <v>69</v>
      </c>
      <c r="AR1706" s="1" t="str">
        <f t="shared" si="107"/>
        <v>| [ㄅㄚˊ](ㄅㄚˊ.md) | [胈](胈.md) |  | bá | [名]
1.大腿上的細毛。《史記．卷一一七．司馬相如傳》：「心煩於慮而身親其勞，躬胝無胈，膚不生毛。」司馬貞索隱引韋昭曰：「胈，其中小毛也。」
2.大腿股的白肉。《莊子．天下》：「禹親自操橐耜，而九雜天下之川，腓無胈，脛無毛。」唐．成玄英．疏：「（禹）勘苦執勞，形容毀悴，遂使腓股無肉，膝脛無毛。」 |</v>
      </c>
    </row>
    <row r="1707" spans="1:44">
      <c r="A1707" s="1" t="s">
        <v>70</v>
      </c>
      <c r="C1707" s="1">
        <v>1</v>
      </c>
      <c r="D1707" s="1" t="str">
        <f>"00017"</f>
        <v>00017</v>
      </c>
      <c r="E1707" s="1" t="s">
        <v>71</v>
      </c>
      <c r="F1707" s="1">
        <v>12</v>
      </c>
      <c r="G1707" s="1">
        <v>5</v>
      </c>
      <c r="H1707" s="1">
        <v>1</v>
      </c>
      <c r="I1707" s="1" t="s">
        <v>61</v>
      </c>
      <c r="K1707" s="1" t="str">
        <f t="shared" si="104"/>
        <v>ㄅ</v>
      </c>
      <c r="L1707" s="1" t="str">
        <f t="shared" si="105"/>
        <v>ㄚ</v>
      </c>
      <c r="N1707" s="3" t="s">
        <v>30575</v>
      </c>
      <c r="O1707" s="3"/>
      <c r="P1707" s="1" t="s">
        <v>20</v>
      </c>
      <c r="R1707" s="1" t="s">
        <v>62</v>
      </c>
      <c r="V1707" s="1" t="s">
        <v>72</v>
      </c>
      <c r="W1707" s="1" t="s">
        <v>73</v>
      </c>
      <c r="AR1707" s="1" t="str">
        <f t="shared" si="107"/>
        <v>| [ㄅㄚˊ](ㄅㄚˊ.md) | [軷](軷.md) |  | bá | [動]
祭告路神。《說文解字．車部》：「軷，出將有事於道，必先告其神。立壇四通，尌茅以依神為軷。」《詩經．大雅．生民》：「取蕭祭脂，取羝以軷。」漢．毛亨．傳：「軷，道祭也。」 |</v>
      </c>
    </row>
    <row r="1708" spans="1:44">
      <c r="A1708" s="1" t="s">
        <v>74</v>
      </c>
      <c r="C1708" s="1">
        <v>1</v>
      </c>
      <c r="D1708" s="1" t="str">
        <f>"00018"</f>
        <v>00018</v>
      </c>
      <c r="E1708" s="1" t="s">
        <v>37</v>
      </c>
      <c r="F1708" s="1">
        <v>12</v>
      </c>
      <c r="G1708" s="1">
        <v>8</v>
      </c>
      <c r="H1708" s="1">
        <v>0</v>
      </c>
      <c r="I1708" s="1" t="s">
        <v>61</v>
      </c>
      <c r="K1708" s="1" t="str">
        <f t="shared" si="104"/>
        <v>ㄅ</v>
      </c>
      <c r="L1708" s="1" t="str">
        <f t="shared" si="105"/>
        <v>ㄚ</v>
      </c>
      <c r="N1708" s="3" t="s">
        <v>30575</v>
      </c>
      <c r="O1708" s="3"/>
      <c r="P1708" s="1" t="s">
        <v>20</v>
      </c>
      <c r="R1708" s="1" t="s">
        <v>62</v>
      </c>
      <c r="V1708" s="1" t="s">
        <v>75</v>
      </c>
      <c r="AR1708" s="1" t="str">
        <f t="shared" si="107"/>
        <v>| [ㄅㄚˊ](ㄅㄚˊ.md) | [菝](菝.md) |  | bá | [名]
1.菝葀：古代一種象徵祥瑞的草。《廣韻．入聲．末韻》：「菝：菝葀，瑞草。」
2.菝葜：植物名。百合科菝葜屬，攀緣灌木。地下莖呈塊根狀，質堅硬。莖有刺。葉互生，闊卵形或近圓形，掌狀脈五至七條，繖形花序單生葉腋，總梗長二十至二十五公厘，花被片六枚，黃綠色。漿果球形，紅熟。根、莖均可入藥。明．李時珍《本草綱目．卷一五．草部．菝葜》：「此草莖蔓強堅短小，故名菝葜。而江浙人謂之菝葜根，亦曰金剛根，楚人謂之鐵菱角，皆狀其堅有尖刺也。」 |</v>
      </c>
    </row>
    <row r="1709" spans="1:44">
      <c r="A1709" s="1" t="s">
        <v>76</v>
      </c>
      <c r="C1709" s="1">
        <v>1</v>
      </c>
      <c r="D1709" s="1" t="str">
        <f>"00019"</f>
        <v>00019</v>
      </c>
      <c r="E1709" s="1" t="s">
        <v>77</v>
      </c>
      <c r="F1709" s="1">
        <v>12</v>
      </c>
      <c r="G1709" s="1">
        <v>5</v>
      </c>
      <c r="H1709" s="1">
        <v>0</v>
      </c>
      <c r="I1709" s="1" t="s">
        <v>61</v>
      </c>
      <c r="K1709" s="1" t="str">
        <f t="shared" si="104"/>
        <v>ㄅ</v>
      </c>
      <c r="L1709" s="1" t="str">
        <f t="shared" si="105"/>
        <v>ㄚ</v>
      </c>
      <c r="N1709" s="3" t="s">
        <v>30575</v>
      </c>
      <c r="O1709" s="3"/>
      <c r="P1709" s="1" t="s">
        <v>20</v>
      </c>
      <c r="R1709" s="1" t="s">
        <v>62</v>
      </c>
      <c r="V1709" s="1" t="s">
        <v>78</v>
      </c>
      <c r="AR1709" s="1" t="str">
        <f t="shared" si="107"/>
        <v>| [ㄅㄚˊ](ㄅㄚˊ.md) | [跋](跋.md) |  | bá | [動]
1.陸地行走稱為「跋」。如：「跋山涉水」。《詩經．鄘風．載馳》：「大夫跋涉，我心則憂。」漢．毛亨．傳：「草行曰跋，水行曰涉。」
2.踐踏。如：「跋胡疐尾」、「跋前疐後」。
3.迴轉。唐．李商隱〈偶成轉韻七十二句贈四同舍〉詩：「韓公堆上跋馬時，迴望秦川樹如薺。」《資治通鑑．卷一九一．唐紀七．高祖武德九年》：「（建成、元吉）覺變，即跋馬東歸宮府。」元．胡三省．注：「跋馬者，搖駷馬銜，偏促一轡，又以兩足搖鼓馬腹，使之迴走。」
[名]
1.文體名。寫於書籍、文章、字畫或碑帖等後面言簡意賅的文字稱為「跋」。跋文內容多屬評介、鑑定或考據等性質。
2.姓。如五代後梁有跋異。 |</v>
      </c>
    </row>
    <row r="1710" spans="1:44">
      <c r="A1710" s="1" t="s">
        <v>79</v>
      </c>
      <c r="C1710" s="1">
        <v>1</v>
      </c>
      <c r="D1710" s="1" t="str">
        <f>"00020"</f>
        <v>00020</v>
      </c>
      <c r="E1710" s="1" t="s">
        <v>55</v>
      </c>
      <c r="F1710" s="1">
        <v>13</v>
      </c>
      <c r="G1710" s="1">
        <v>5</v>
      </c>
      <c r="H1710" s="1">
        <v>1</v>
      </c>
      <c r="I1710" s="1" t="s">
        <v>61</v>
      </c>
      <c r="K1710" s="1" t="str">
        <f t="shared" si="104"/>
        <v>ㄅ</v>
      </c>
      <c r="L1710" s="1" t="str">
        <f t="shared" si="105"/>
        <v>ㄚ</v>
      </c>
      <c r="N1710" s="3" t="s">
        <v>30575</v>
      </c>
      <c r="O1710" s="3"/>
      <c r="P1710" s="1" t="s">
        <v>20</v>
      </c>
      <c r="R1710" s="1" t="s">
        <v>62</v>
      </c>
      <c r="V1710" s="1" t="s">
        <v>80</v>
      </c>
      <c r="W1710" s="1" t="s">
        <v>81</v>
      </c>
      <c r="AR1710" s="1" t="str">
        <f t="shared" si="107"/>
        <v>| [ㄅㄚˊ](ㄅㄚˊ.md) | [鈸](鈸.md) |  | bá | [名]
樂器名，打擊樂器。銅製。由兩個中間凸起的圓形銅片相撞擊發聲。一般直徑從十五至六十九公分不等，亞洲民間亦有十一公分以下尺寸，而有小鈸、大鈸、低鈸之分。傳統上常用於民間音樂與戲曲。也稱為「銅鈸」。 |</v>
      </c>
    </row>
    <row r="1711" spans="1:44">
      <c r="A1711" s="1" t="s">
        <v>82</v>
      </c>
      <c r="C1711" s="1">
        <v>1</v>
      </c>
      <c r="D1711" s="1" t="str">
        <f>"00021"</f>
        <v>00021</v>
      </c>
      <c r="E1711" s="1" t="s">
        <v>83</v>
      </c>
      <c r="F1711" s="1">
        <v>15</v>
      </c>
      <c r="G1711" s="1">
        <v>5</v>
      </c>
      <c r="H1711" s="1">
        <v>0</v>
      </c>
      <c r="I1711" s="1" t="s">
        <v>61</v>
      </c>
      <c r="K1711" s="1" t="str">
        <f t="shared" si="104"/>
        <v>ㄅ</v>
      </c>
      <c r="L1711" s="1" t="str">
        <f t="shared" si="105"/>
        <v>ㄚ</v>
      </c>
      <c r="N1711" s="3" t="s">
        <v>30575</v>
      </c>
      <c r="O1711" s="3"/>
      <c r="P1711" s="1" t="s">
        <v>20</v>
      </c>
      <c r="R1711" s="1" t="s">
        <v>62</v>
      </c>
      <c r="V1711" s="1" t="s">
        <v>84</v>
      </c>
      <c r="AR1711" s="1" t="str">
        <f t="shared" si="107"/>
        <v>| [ㄅㄚˊ](ㄅㄚˊ.md) | [魃](魃.md) |  | bá | [名]
傳說中造成旱災的鬼神。《說文解字．鬼部》：「魃，旱鬼也。」《詩經．大雅．雲漢》：「旱魃為虐，如惔如焚。」漢．毛亨．傳：「魃，旱神也。」 |</v>
      </c>
    </row>
    <row r="1712" spans="1:44">
      <c r="A1712" s="1" t="s">
        <v>85</v>
      </c>
      <c r="C1712" s="1">
        <v>1</v>
      </c>
      <c r="D1712" s="1" t="str">
        <f>"00022"</f>
        <v>00022</v>
      </c>
      <c r="E1712" s="1" t="s">
        <v>86</v>
      </c>
      <c r="F1712" s="1">
        <v>18</v>
      </c>
      <c r="G1712" s="1">
        <v>5</v>
      </c>
      <c r="H1712" s="1">
        <v>0</v>
      </c>
      <c r="I1712" s="1" t="s">
        <v>61</v>
      </c>
      <c r="K1712" s="1" t="str">
        <f t="shared" si="104"/>
        <v>ㄅ</v>
      </c>
      <c r="L1712" s="1" t="str">
        <f t="shared" si="105"/>
        <v>ㄚ</v>
      </c>
      <c r="N1712" s="3" t="s">
        <v>30575</v>
      </c>
      <c r="O1712" s="3"/>
      <c r="P1712" s="1" t="s">
        <v>20</v>
      </c>
      <c r="R1712" s="1" t="s">
        <v>62</v>
      </c>
      <c r="V1712" s="1" t="s">
        <v>87</v>
      </c>
      <c r="AR1712" s="1" t="str">
        <f t="shared" si="107"/>
        <v>| [ㄅㄚˊ](ㄅㄚˊ.md) | [鼥](鼥.md) |  | bá | [名]
鼧鼥：動物名。松鼠科。體粗壯，四肢短小。毛皮柔軟珍貴，可製裘衣，輕暖而不易溼透。也稱為「土撥鼠」。 |</v>
      </c>
    </row>
    <row r="1713" spans="1:44">
      <c r="A1713" s="1" t="s">
        <v>88</v>
      </c>
      <c r="C1713" s="1">
        <v>1</v>
      </c>
      <c r="D1713" s="1" t="str">
        <f>"00023"</f>
        <v>00023</v>
      </c>
      <c r="E1713" s="1" t="s">
        <v>24</v>
      </c>
      <c r="F1713" s="1">
        <v>7</v>
      </c>
      <c r="G1713" s="1">
        <v>4</v>
      </c>
      <c r="H1713" s="1">
        <v>1</v>
      </c>
      <c r="I1713" s="1" t="s">
        <v>89</v>
      </c>
      <c r="K1713" s="1" t="str">
        <f t="shared" si="104"/>
        <v>ㄅ</v>
      </c>
      <c r="L1713" s="1" t="str">
        <f t="shared" si="105"/>
        <v>ㄚ</v>
      </c>
      <c r="N1713" s="3" t="s">
        <v>30576</v>
      </c>
      <c r="O1713" s="3"/>
      <c r="P1713" s="1" t="s">
        <v>20</v>
      </c>
      <c r="R1713" s="1" t="s">
        <v>90</v>
      </c>
      <c r="V1713" s="1" t="s">
        <v>91</v>
      </c>
      <c r="W1713" s="1" t="s">
        <v>92</v>
      </c>
      <c r="AR1713" s="1" t="str">
        <f t="shared" si="107"/>
        <v>| [ㄅㄚˇ](ㄅㄚˇ.md) | [把](把.md) |  | bǎ | [動]
1.握住、拿著。《說文解字．手部》：「把，握也。」如：「把手言歡」、「把住欄干」。唐．孟浩然〈過故人莊〉詩：「開筵面場圃，把酒話桑麻。」
2.看守。如：「把守」、「把關」。唐．貫休〈古塞下曲〉七首之一：「下營依遁甲，分帥把河隍。」《水滸傳》第六一回：「守門的左右約有四五十軍士，簇捧著一個把門的官人在那里坐定。」
3.給與。《儒林外史》第四七回：「虞家小廝又悄悄的從後門叫了一個賣草的，把他四個錢。」
4.抱著小孩大小便。如：「把屎」、「把尿」。
[名]
量詞：(1)計算有柄、有把手器物的單位。如：「一把刀」、「兩把傘」。(2)計算成束的長條狀物品的單位。如：「一把蔥」、「兩把筷子」、「三把火把」。(3)計算手所能盈握數量的單位。如：「一把鹽」、「兩把花生米」。(4)計算手部動作的單位。如：「推他一把」、「拉你一把」。(5)計算火的單位。如：「放一把火」、「一把怒火」、「一把無名火」。
[形]
表示約數。如：「丈把長」、「個把鐘頭」。《儒林外史》第二回：「李老爹這幾年在新任老爺手裡著實跑起來了，怕不一年要尋千把銀子。」
[介]
1.將：(1)表示處理、處置的意思。如：「把門關上」、「把臉洗淨」。(2)表示致使、導致的意思。如：「把他惹惱了」、「把你氣哭了」、「把我急瘋了」。
2.被。元．蕭德祥《殺狗勸夫》第二折：「這明明是天賜我兩個橫財，不取了他的，倒把別人取了去。」 |</v>
      </c>
    </row>
    <row r="1714" spans="1:44">
      <c r="A1714" s="1" t="s">
        <v>54</v>
      </c>
      <c r="C1714" s="1">
        <v>1</v>
      </c>
      <c r="D1714" s="1" t="str">
        <f>"00024"</f>
        <v>00024</v>
      </c>
      <c r="E1714" s="1" t="s">
        <v>55</v>
      </c>
      <c r="F1714" s="1">
        <v>12</v>
      </c>
      <c r="G1714" s="1">
        <v>4</v>
      </c>
      <c r="H1714" s="1">
        <v>1</v>
      </c>
      <c r="I1714" s="1" t="s">
        <v>89</v>
      </c>
      <c r="K1714" s="1" t="str">
        <f t="shared" si="104"/>
        <v>ㄅ</v>
      </c>
      <c r="L1714" s="1" t="str">
        <f t="shared" si="105"/>
        <v>ㄚ</v>
      </c>
      <c r="N1714" s="3" t="s">
        <v>30576</v>
      </c>
      <c r="O1714" s="3"/>
      <c r="P1714" s="1" t="s">
        <v>20</v>
      </c>
      <c r="R1714" s="1" t="s">
        <v>90</v>
      </c>
      <c r="V1714" s="1" t="s">
        <v>93</v>
      </c>
      <c r="W1714" s="1" t="s">
        <v>94</v>
      </c>
      <c r="AR1714" s="1" t="str">
        <f t="shared" si="107"/>
        <v>| [ㄅㄚˇ](ㄅㄚˇ.md) | [鈀](鈀.md) |  | bǎ | [名]
1.古時一種兵車。《說文解字．金部》：「鈀，兵車也。」
2.武器名。狀似耙，有柄。《西遊記》第一九回：「那怪真個舉起鈀，著氣力築將來。」也稱為「釘耙」。
3.一種農具。同「耙」。
[動]
扒、掘。元．無名氏《來生債》第一折：「你都來做甚麼？怎麼鈀我的門限？說著也不聽，你還鈀哩！鈀出我的銀子來了！」 |</v>
      </c>
    </row>
    <row r="1715" spans="1:44">
      <c r="A1715" s="1" t="s">
        <v>95</v>
      </c>
      <c r="C1715" s="1">
        <v>1</v>
      </c>
      <c r="D1715" s="1" t="str">
        <f>"00025"</f>
        <v>00025</v>
      </c>
      <c r="E1715" s="1" t="s">
        <v>96</v>
      </c>
      <c r="F1715" s="1">
        <v>13</v>
      </c>
      <c r="G1715" s="1">
        <v>4</v>
      </c>
      <c r="H1715" s="1">
        <v>0</v>
      </c>
      <c r="I1715" s="1" t="s">
        <v>89</v>
      </c>
      <c r="K1715" s="1" t="str">
        <f t="shared" si="104"/>
        <v>ㄅ</v>
      </c>
      <c r="L1715" s="1" t="str">
        <f t="shared" si="105"/>
        <v>ㄚ</v>
      </c>
      <c r="N1715" s="3" t="s">
        <v>30576</v>
      </c>
      <c r="O1715" s="3"/>
      <c r="P1715" s="1" t="s">
        <v>20</v>
      </c>
      <c r="R1715" s="1" t="s">
        <v>90</v>
      </c>
      <c r="V1715" s="1" t="s">
        <v>97</v>
      </c>
      <c r="AR1715" s="1" t="str">
        <f t="shared" si="107"/>
        <v>| [ㄅㄚˇ](ㄅㄚˇ.md) | [靶](靶.md) |  | bǎ | [名]
1.皮製的馬韁。《說文解字．革部》：「靶，轡革也。」《漢書．卷六四下．王襃傳》：「王良執靶，韓哀附輿。」
2.射擊的目標。如：「打靶」、「靶子」、「飛靶」。
3.柄。同「把」。《北齊書．卷三三．徐之才傳》：「又有以骨為刀子靶者，五色班斕。」 |</v>
      </c>
    </row>
    <row r="1716" spans="1:44">
      <c r="A1716" s="1" t="s">
        <v>88</v>
      </c>
      <c r="C1716" s="1">
        <v>1</v>
      </c>
      <c r="D1716" s="1" t="str">
        <f>"00026"</f>
        <v>00026</v>
      </c>
      <c r="E1716" s="1" t="s">
        <v>24</v>
      </c>
      <c r="F1716" s="1">
        <v>7</v>
      </c>
      <c r="G1716" s="1">
        <v>4</v>
      </c>
      <c r="H1716" s="1">
        <v>2</v>
      </c>
      <c r="I1716" s="1" t="s">
        <v>98</v>
      </c>
      <c r="K1716" s="1" t="str">
        <f t="shared" si="104"/>
        <v>ㄅ</v>
      </c>
      <c r="L1716" s="1" t="str">
        <f t="shared" si="105"/>
        <v>ㄚ</v>
      </c>
      <c r="N1716" s="3" t="s">
        <v>30574</v>
      </c>
      <c r="O1716" s="3"/>
      <c r="P1716" s="1" t="s">
        <v>20</v>
      </c>
      <c r="R1716" s="1" t="s">
        <v>99</v>
      </c>
      <c r="V1716" s="1" t="s">
        <v>100</v>
      </c>
      <c r="W1716" s="1" t="s">
        <v>101</v>
      </c>
      <c r="AR1716" s="1" t="str">
        <f t="shared" si="107"/>
        <v>| [ㄅㄚˋ](ㄅㄚˋ.md) | [把](把.md) |  | bà | [名]
1.柄，器具上便於手拿的部分。如：「槍把」、「刀把」。唐．陸德明《經典釋文．卷一一．禮記音義之一》：「把中，音霸，手執處也。」也稱為「把兒」、「把子」。
2.花、葉或果實等的梗子。如：「花把兒」、「葉把兒」。 |</v>
      </c>
    </row>
    <row r="1717" spans="1:44">
      <c r="A1717" s="1" t="s">
        <v>102</v>
      </c>
      <c r="C1717" s="1">
        <v>1</v>
      </c>
      <c r="D1717" s="1" t="str">
        <f>"00027"</f>
        <v>00027</v>
      </c>
      <c r="E1717" s="1" t="s">
        <v>103</v>
      </c>
      <c r="F1717" s="1">
        <v>7</v>
      </c>
      <c r="G1717" s="1">
        <v>4</v>
      </c>
      <c r="H1717" s="1">
        <v>0</v>
      </c>
      <c r="I1717" s="1" t="s">
        <v>98</v>
      </c>
      <c r="K1717" s="1" t="str">
        <f t="shared" si="104"/>
        <v>ㄅ</v>
      </c>
      <c r="L1717" s="1" t="str">
        <f t="shared" si="105"/>
        <v>ㄚ</v>
      </c>
      <c r="N1717" s="3" t="s">
        <v>30574</v>
      </c>
      <c r="O1717" s="3"/>
      <c r="P1717" s="1" t="s">
        <v>20</v>
      </c>
      <c r="R1717" s="1" t="s">
        <v>99</v>
      </c>
      <c r="V1717" s="1" t="s">
        <v>104</v>
      </c>
      <c r="AR1717" s="1" t="str">
        <f t="shared" si="107"/>
        <v>| [ㄅㄚˋ](ㄅㄚˋ.md) | [弝](弝.md) |  | bà | [名]
1.弓中央手握的部分。元．熊忠《古今韻會舉要．去聲．禡韻》：「弝，弓弣中手執處也。」
2.柄。唐．李賀〈申胡子觱篥歌〉：「朔客騎白馬，劍弝懸蘭纓。」 |</v>
      </c>
    </row>
    <row r="1718" spans="1:44">
      <c r="A1718" s="1" t="s">
        <v>105</v>
      </c>
      <c r="C1718" s="1">
        <v>1</v>
      </c>
      <c r="D1718" s="1" t="str">
        <f>"00028"</f>
        <v>00028</v>
      </c>
      <c r="E1718" s="1" t="s">
        <v>106</v>
      </c>
      <c r="F1718" s="1">
        <v>8</v>
      </c>
      <c r="G1718" s="1">
        <v>4</v>
      </c>
      <c r="H1718" s="1">
        <v>0</v>
      </c>
      <c r="I1718" s="1" t="s">
        <v>98</v>
      </c>
      <c r="K1718" s="1" t="str">
        <f t="shared" si="104"/>
        <v>ㄅ</v>
      </c>
      <c r="L1718" s="1" t="str">
        <f t="shared" si="105"/>
        <v>ㄚ</v>
      </c>
      <c r="N1718" s="3" t="s">
        <v>30574</v>
      </c>
      <c r="O1718" s="3"/>
      <c r="P1718" s="1" t="s">
        <v>20</v>
      </c>
      <c r="R1718" s="1" t="s">
        <v>99</v>
      </c>
      <c r="V1718" s="1" t="s">
        <v>107</v>
      </c>
      <c r="AR1718" s="1" t="str">
        <f t="shared" si="107"/>
        <v>| [ㄅㄚˋ](ㄅㄚˋ.md) | [爸](爸.md) |  | bà | [名]
稱謂。子女對父親的稱呼，一般疊稱為「爸爸」。《集韻．上聲．果韻》：「爸，爹、父也。」 |</v>
      </c>
    </row>
    <row r="1719" spans="1:44">
      <c r="A1719" s="1" t="s">
        <v>108</v>
      </c>
      <c r="C1719" s="1">
        <v>1</v>
      </c>
      <c r="D1719" s="1" t="str">
        <f>"00029"</f>
        <v>00029</v>
      </c>
      <c r="E1719" s="1" t="s">
        <v>109</v>
      </c>
      <c r="F1719" s="1">
        <v>10</v>
      </c>
      <c r="G1719" s="1">
        <v>4</v>
      </c>
      <c r="H1719" s="1">
        <v>2</v>
      </c>
      <c r="I1719" s="1" t="s">
        <v>98</v>
      </c>
      <c r="K1719" s="1" t="str">
        <f t="shared" si="104"/>
        <v>ㄅ</v>
      </c>
      <c r="L1719" s="1" t="str">
        <f t="shared" si="105"/>
        <v>ㄚ</v>
      </c>
      <c r="N1719" s="3" t="s">
        <v>30574</v>
      </c>
      <c r="O1719" s="3"/>
      <c r="P1719" s="1" t="s">
        <v>110</v>
      </c>
      <c r="R1719" s="1" t="s">
        <v>99</v>
      </c>
      <c r="V1719" s="1" t="s">
        <v>111</v>
      </c>
      <c r="W1719" s="1" t="s">
        <v>112</v>
      </c>
      <c r="AR1719" s="1" t="str">
        <f t="shared" si="107"/>
        <v>| [ㄅㄚˋ](ㄅㄚˋ.md) | [耙](耙.md) |  | bà | (一)之又音。 |</v>
      </c>
    </row>
    <row r="1720" spans="1:44">
      <c r="A1720" s="1" t="s">
        <v>113</v>
      </c>
      <c r="C1720" s="1">
        <v>1</v>
      </c>
      <c r="D1720" s="1" t="str">
        <f>"00030"</f>
        <v>00030</v>
      </c>
      <c r="E1720" s="1" t="s">
        <v>114</v>
      </c>
      <c r="F1720" s="1">
        <v>7</v>
      </c>
      <c r="G1720" s="1">
        <v>5</v>
      </c>
      <c r="H1720" s="1">
        <v>3</v>
      </c>
      <c r="I1720" s="1" t="s">
        <v>98</v>
      </c>
      <c r="K1720" s="1" t="str">
        <f t="shared" si="104"/>
        <v>ㄅ</v>
      </c>
      <c r="L1720" s="1" t="str">
        <f t="shared" si="105"/>
        <v>ㄚ</v>
      </c>
      <c r="N1720" s="3" t="s">
        <v>30574</v>
      </c>
      <c r="O1720" s="3"/>
      <c r="P1720" s="1" t="s">
        <v>20</v>
      </c>
      <c r="R1720" s="1" t="s">
        <v>99</v>
      </c>
      <c r="V1720" s="1" t="s">
        <v>115</v>
      </c>
      <c r="W1720" s="1" t="s">
        <v>116</v>
      </c>
      <c r="AR1720" s="1" t="str">
        <f t="shared" si="107"/>
        <v>| [ㄅㄚˋ](ㄅㄚˋ.md) | [伯](伯.md) |  | bà | [名]_x000D_
古稱諸侯的盟主。通「霸」。《左傳．成公二年》：「樹德而濟同欲焉，五伯之霸也。」唐．孔穎達．正義：「伯者，長也。言為諸侯之長也。鄭玄云：『天子衰，諸侯興，故曰霸。霸，把也。言把持王者之政教。』故其字或作伯，或作霸也。」_x000D_
[動]_x000D_
稱霸、統領。通「霸」。《戰國策．秦策一》：「文王伐崇，武王伐紂，齊桓任戰而伯天下。」《荀子．儒效》：「用萬乘之國，則舉錯而定，一朝而伯。」 |</v>
      </c>
    </row>
    <row r="1721" spans="1:44">
      <c r="A1721" s="1" t="s">
        <v>117</v>
      </c>
      <c r="C1721" s="1">
        <v>1</v>
      </c>
      <c r="D1721" s="1" t="str">
        <f>"00031"</f>
        <v>00031</v>
      </c>
      <c r="E1721" s="1" t="s">
        <v>118</v>
      </c>
      <c r="F1721" s="1">
        <v>15</v>
      </c>
      <c r="G1721" s="1">
        <v>10</v>
      </c>
      <c r="H1721" s="1">
        <v>1</v>
      </c>
      <c r="I1721" s="1" t="s">
        <v>98</v>
      </c>
      <c r="K1721" s="1" t="str">
        <f t="shared" si="104"/>
        <v>ㄅ</v>
      </c>
      <c r="L1721" s="1" t="str">
        <f t="shared" si="105"/>
        <v>ㄚ</v>
      </c>
      <c r="N1721" s="3" t="s">
        <v>30574</v>
      </c>
      <c r="O1721" s="3"/>
      <c r="P1721" s="1" t="s">
        <v>20</v>
      </c>
      <c r="R1721" s="1" t="s">
        <v>99</v>
      </c>
      <c r="V1721" s="1" t="s">
        <v>119</v>
      </c>
      <c r="W1721" s="1" t="s">
        <v>120</v>
      </c>
      <c r="AR1721" s="1" t="str">
        <f t="shared" si="107"/>
        <v>| [ㄅㄚˋ](ㄅㄚˋ.md) | [罷](罷.md) |  | bà | [動]
1.遣放有罪的人。《說文解字．网部》：「罷，遣有罪也。」
2.停止。如：「罷工」、「欲罷不能」。
3.免除、廢止。如：「罷免」、「罷官」。
4.終了。《楚辭．屈原．離騷》：「時曖曖將罷兮，結幽蘭而延佇。」
[副]
1.完畢。如：「吃罷」、「做罷」。
2.表示時間，相當於「時」、「後」的意思。唐．杜甫〈懷舊〉詩：「老罷知明鏡，悲來望白雲。」
[歎]
表示失望、忿恨，常疊用。《清平山堂話本．快嘴李翠蓮記》：「張員外道：『罷！罷！這樣媳婦久后必被敗壞門風。』」 |</v>
      </c>
    </row>
    <row r="1722" spans="1:44">
      <c r="A1722" s="1" t="s">
        <v>121</v>
      </c>
      <c r="C1722" s="1">
        <v>1</v>
      </c>
      <c r="D1722" s="1" t="str">
        <f>"00032"</f>
        <v>00032</v>
      </c>
      <c r="E1722" s="1" t="s">
        <v>122</v>
      </c>
      <c r="F1722" s="1">
        <v>20</v>
      </c>
      <c r="G1722" s="1">
        <v>15</v>
      </c>
      <c r="H1722" s="1">
        <v>0</v>
      </c>
      <c r="I1722" s="1" t="s">
        <v>98</v>
      </c>
      <c r="K1722" s="1" t="str">
        <f t="shared" si="104"/>
        <v>ㄅ</v>
      </c>
      <c r="L1722" s="1" t="str">
        <f t="shared" si="105"/>
        <v>ㄚ</v>
      </c>
      <c r="N1722" s="3" t="s">
        <v>30574</v>
      </c>
      <c r="O1722" s="3"/>
      <c r="P1722" s="1" t="s">
        <v>20</v>
      </c>
      <c r="R1722" s="1" t="s">
        <v>99</v>
      </c>
      <c r="V1722" s="1" t="s">
        <v>123</v>
      </c>
      <c r="AR1722" s="1" t="str">
        <f t="shared" si="107"/>
        <v>| [ㄅㄚˋ](ㄅㄚˋ.md) | [矲](矲.md) |  | bà | [形]
短小。同「罷」。漢．揚雄《方言》卷一〇：「矲，短也。……桂林之中謂短矲；矲，通語也。」參見「矲矮」、「矲雉」等條。或讀為ㄅㄞˇ bǎi。 |</v>
      </c>
    </row>
    <row r="1723" spans="1:44">
      <c r="A1723" s="1" t="s">
        <v>124</v>
      </c>
      <c r="C1723" s="1">
        <v>1</v>
      </c>
      <c r="D1723" s="1" t="str">
        <f>"00033"</f>
        <v>00033</v>
      </c>
      <c r="E1723" s="1" t="s">
        <v>125</v>
      </c>
      <c r="F1723" s="1">
        <v>21</v>
      </c>
      <c r="G1723" s="1">
        <v>13</v>
      </c>
      <c r="H1723" s="1">
        <v>1</v>
      </c>
      <c r="I1723" s="1" t="s">
        <v>98</v>
      </c>
      <c r="K1723" s="1" t="str">
        <f t="shared" si="104"/>
        <v>ㄅ</v>
      </c>
      <c r="L1723" s="1" t="str">
        <f t="shared" si="105"/>
        <v>ㄚ</v>
      </c>
      <c r="N1723" s="3" t="s">
        <v>30574</v>
      </c>
      <c r="O1723" s="3"/>
      <c r="P1723" s="1" t="s">
        <v>20</v>
      </c>
      <c r="R1723" s="1" t="s">
        <v>99</v>
      </c>
      <c r="V1723" s="1" t="s">
        <v>126</v>
      </c>
      <c r="W1723" s="1" t="s">
        <v>127</v>
      </c>
      <c r="AR1723" s="1" t="str">
        <f t="shared" si="107"/>
        <v>| [ㄅㄚˋ](ㄅㄚˋ.md) | [霸](霸.md) |  | bà | [名]_x000D_
1.古時候諸侯的首領。如：「春秋五霸」。《管子．兵法》：「故夫兵雖非備道至德也，然而所以輔王成霸。今代之用兵者不然，不知兵權者也。」《孟子．告子下》：「五霸者，摟諸侯以伐諸侯者也。」_x000D_
2.在地方上為非作歹、作惡稱雄的人。如：「惡霸」。《水滸傳》第三七回：「我這裡有三霸，哥哥不知，一發說與哥哥知道。」《紅樓夢》第四回：「無奈薛家原係金陵一霸，倚財仗勢，眾豪奴將我小主人竟打死了。」_x000D_
3.河川名。即霸水。源出於大陸地區陝西省藍田縣西北，注入渭水。也作「灞」。_x000D_
[動]_x000D_
1.把持、稱雄。如：「獨霸一方」。《論語．憲問》：「管仲相桓公，霸諸侯，一匡天下。」《史記．卷七．項羽本紀》：「所當者破，所擊者服，未嘗敗北，遂霸有天下。」_x000D_
2.能力超越他人。《史記．卷四七．孔子世家》：「孔子為政必霸。」南朝梁．劉勰《文心雕龍．事類》：「主佐合德，文采必霸。」_x000D_
[形]_x000D_
1.專橫的、殘暴的。《隋書．卷四二．列傳．李德林》：「有教無類，童子羞於霸功，見德思齊，狂夫成於聖業。」宋．劉克莊〈庚申召對〉：「臣惟國家三數年來，凶相弄權，以富彊自詭，輔聖天子而行霸政，為天下宰而設騙局。」_x000D_
2.超拔的。清．夏孫桐〈南樓令．殘葉下寒階〉詞：「夕陽澹金臺，銷沉幾霸才。」_x000D_
[副]_x000D_
強橫無理。如：「霸占」、「霸據」。 |</v>
      </c>
    </row>
    <row r="1724" spans="1:44">
      <c r="A1724" s="1" t="s">
        <v>128</v>
      </c>
      <c r="C1724" s="1">
        <v>1</v>
      </c>
      <c r="D1724" s="1" t="str">
        <f>"00034"</f>
        <v>00034</v>
      </c>
      <c r="E1724" s="1" t="s">
        <v>129</v>
      </c>
      <c r="F1724" s="1">
        <v>24</v>
      </c>
      <c r="G1724" s="1">
        <v>21</v>
      </c>
      <c r="H1724" s="1">
        <v>0</v>
      </c>
      <c r="I1724" s="1" t="s">
        <v>98</v>
      </c>
      <c r="K1724" s="1" t="str">
        <f t="shared" si="104"/>
        <v>ㄅ</v>
      </c>
      <c r="L1724" s="1" t="str">
        <f t="shared" si="105"/>
        <v>ㄚ</v>
      </c>
      <c r="N1724" s="3" t="s">
        <v>30574</v>
      </c>
      <c r="O1724" s="3"/>
      <c r="P1724" s="1" t="s">
        <v>20</v>
      </c>
      <c r="R1724" s="1" t="s">
        <v>99</v>
      </c>
      <c r="V1724" s="1" t="s">
        <v>130</v>
      </c>
      <c r="AR1724" s="1" t="str">
        <f t="shared" si="107"/>
        <v>| [ㄅㄚˋ](ㄅㄚˋ.md) | [灞](灞.md) |  | bà | [名]
河川名。即灞水，今稱灞河。源出陝西省西安市藍田縣，流經西安市灞橋區，向北注入渭河。灞水上有橋，古時長安送行者，多至此折柳贈別。 |</v>
      </c>
    </row>
    <row r="1725" spans="1:44">
      <c r="A1725" s="1" t="s">
        <v>131</v>
      </c>
      <c r="C1725" s="1">
        <v>1</v>
      </c>
      <c r="D1725" s="1" t="str">
        <f>"00035"</f>
        <v>00035</v>
      </c>
      <c r="E1725" s="1" t="s">
        <v>132</v>
      </c>
      <c r="F1725" s="1">
        <v>24</v>
      </c>
      <c r="G1725" s="1">
        <v>21</v>
      </c>
      <c r="H1725" s="1">
        <v>0</v>
      </c>
      <c r="I1725" s="1" t="s">
        <v>98</v>
      </c>
      <c r="K1725" s="1" t="str">
        <f t="shared" si="104"/>
        <v>ㄅ</v>
      </c>
      <c r="L1725" s="1" t="str">
        <f t="shared" si="105"/>
        <v>ㄚ</v>
      </c>
      <c r="N1725" s="3" t="s">
        <v>30574</v>
      </c>
      <c r="O1725" s="3"/>
      <c r="P1725" s="1" t="s">
        <v>20</v>
      </c>
      <c r="R1725" s="1" t="s">
        <v>99</v>
      </c>
      <c r="V1725" s="1" t="s">
        <v>133</v>
      </c>
      <c r="AR1725" s="1" t="str">
        <f t="shared" si="107"/>
        <v>| [ㄅㄚˋ](ㄅㄚˋ.md) | [壩](壩.md) |  | bà | [名]
1.築在河上或湖口狹處，用以擋水並提高水位的建築物。《集韻．去聲．禡韻》：「壩，堰也。」如：「水壩」、「大壩」。
2.水利工程中用以鞏固堤防的建築物。如：「丁壩」。宋．單鍔〈吳中水利書〉：「其河自西壩至東壩十六里有餘。」
3.參見「壩子」條。
4.地名用字。是漢藏語族固有且慣用的地名詞彙，常見於長城以南及西南各省區市，如陝西寶雞市留壩縣的留壩、西藏昌都市左貢縣壩子、四川綿陽市轄江油市的雁門壩，及福建泉州市轄南安市的壩子口等。 |</v>
      </c>
    </row>
    <row r="1726" spans="1:44">
      <c r="A1726" s="1" t="s">
        <v>33</v>
      </c>
      <c r="C1726" s="1">
        <v>1</v>
      </c>
      <c r="D1726" s="1" t="str">
        <f>"00036"</f>
        <v>00036</v>
      </c>
      <c r="E1726" s="1" t="s">
        <v>28</v>
      </c>
      <c r="F1726" s="1">
        <v>7</v>
      </c>
      <c r="G1726" s="1">
        <v>4</v>
      </c>
      <c r="H1726" s="1">
        <v>2</v>
      </c>
      <c r="I1726" s="1" t="s">
        <v>134</v>
      </c>
      <c r="J1726" s="2" t="s">
        <v>30559</v>
      </c>
      <c r="K1726" s="1" t="s">
        <v>30560</v>
      </c>
      <c r="L1726" s="1" t="s">
        <v>24143</v>
      </c>
      <c r="P1726" s="1" t="s">
        <v>20</v>
      </c>
      <c r="R1726" s="1" t="s">
        <v>135</v>
      </c>
      <c r="V1726" s="1" t="s">
        <v>136</v>
      </c>
      <c r="W1726" s="1" t="s">
        <v>137</v>
      </c>
      <c r="AR1726" s="1" t="str">
        <f t="shared" si="107"/>
        <v>| [˙ㄅㄚ](˙ㄅㄚ.md) | [吧](吧.md) |  | ba | [助]
1.用於句末：(1)表示商量、請求等語氣。如：「給我吧！」(2)表示指使。如：「快走吧！」(3)表示同意。如：「好吧！」(4)表示推測。如：「明天該不會下雨吧？」(5)表示感嘆。如：「算了吧！」
2.用於句中，表示停頓。只用於對舉的句型中，表示猶疑、兩難的語氣。如：「做吧，沒有工夫；不做吧，又急著要用。」 |</v>
      </c>
    </row>
    <row r="1727" spans="1:44">
      <c r="A1727" s="1" t="s">
        <v>138</v>
      </c>
      <c r="C1727" s="1">
        <v>1</v>
      </c>
      <c r="D1727" s="1" t="str">
        <f>"00037"</f>
        <v>00037</v>
      </c>
      <c r="E1727" s="1" t="s">
        <v>139</v>
      </c>
      <c r="F1727" s="1">
        <v>8</v>
      </c>
      <c r="G1727" s="1">
        <v>4</v>
      </c>
      <c r="H1727" s="1">
        <v>2</v>
      </c>
      <c r="I1727" s="1" t="s">
        <v>134</v>
      </c>
      <c r="J1727" s="2" t="s">
        <v>30559</v>
      </c>
      <c r="K1727" s="1" t="s">
        <v>30560</v>
      </c>
      <c r="L1727" s="1" t="s">
        <v>24143</v>
      </c>
      <c r="P1727" s="1" t="s">
        <v>110</v>
      </c>
      <c r="R1727" s="1" t="s">
        <v>135</v>
      </c>
      <c r="V1727" s="1" t="s">
        <v>111</v>
      </c>
      <c r="W1727" s="1" t="s">
        <v>140</v>
      </c>
      <c r="AR1727" s="1" t="str">
        <f t="shared" si="107"/>
        <v>| [˙ㄅㄚ](˙ㄅㄚ.md) | [杷](杷.md) |  | ba | (一)之又音。 |</v>
      </c>
    </row>
    <row r="1728" spans="1:44">
      <c r="A1728" s="1" t="s">
        <v>141</v>
      </c>
      <c r="C1728" s="1">
        <v>1</v>
      </c>
      <c r="D1728" s="1" t="str">
        <f>"00038"</f>
        <v>00038</v>
      </c>
      <c r="E1728" s="1" t="s">
        <v>142</v>
      </c>
      <c r="F1728" s="1">
        <v>12</v>
      </c>
      <c r="G1728" s="1">
        <v>8</v>
      </c>
      <c r="H1728" s="1">
        <v>2</v>
      </c>
      <c r="I1728" s="1" t="s">
        <v>134</v>
      </c>
      <c r="J1728" s="2" t="s">
        <v>30559</v>
      </c>
      <c r="K1728" s="1" t="s">
        <v>30560</v>
      </c>
      <c r="L1728" s="1" t="s">
        <v>24143</v>
      </c>
      <c r="P1728" s="1" t="s">
        <v>110</v>
      </c>
      <c r="R1728" s="1" t="s">
        <v>135</v>
      </c>
      <c r="V1728" s="1" t="s">
        <v>111</v>
      </c>
      <c r="W1728" s="1" t="s">
        <v>143</v>
      </c>
      <c r="AR1728" s="1" t="str">
        <f t="shared" si="107"/>
        <v>| [˙ㄅㄚ](˙ㄅㄚ.md) | [琶](琶.md) |  | ba | (一)之又音。 |</v>
      </c>
    </row>
    <row r="1729" spans="1:44">
      <c r="A1729" s="1" t="s">
        <v>117</v>
      </c>
      <c r="C1729" s="1">
        <v>1</v>
      </c>
      <c r="D1729" s="1" t="str">
        <f>"00039"</f>
        <v>00039</v>
      </c>
      <c r="E1729" s="1" t="s">
        <v>118</v>
      </c>
      <c r="F1729" s="1">
        <v>15</v>
      </c>
      <c r="G1729" s="1">
        <v>10</v>
      </c>
      <c r="H1729" s="1">
        <v>2</v>
      </c>
      <c r="I1729" s="1" t="s">
        <v>134</v>
      </c>
      <c r="J1729" s="2" t="s">
        <v>30559</v>
      </c>
      <c r="K1729" s="1" t="s">
        <v>30560</v>
      </c>
      <c r="L1729" s="1" t="s">
        <v>24143</v>
      </c>
      <c r="P1729" s="1" t="s">
        <v>20</v>
      </c>
      <c r="R1729" s="1" t="s">
        <v>135</v>
      </c>
      <c r="V1729" s="1" t="s">
        <v>144</v>
      </c>
      <c r="W1729" s="1" t="s">
        <v>145</v>
      </c>
      <c r="AR1729" s="1" t="str">
        <f t="shared" si="107"/>
        <v>| [˙ㄅㄚ](˙ㄅㄚ.md) | [罷](罷.md) |  | ba | 用於句末，用法同「吧」(二)。 |</v>
      </c>
    </row>
    <row r="1730" spans="1:44">
      <c r="A1730" s="1" t="s">
        <v>359</v>
      </c>
      <c r="C1730" s="1">
        <v>1</v>
      </c>
      <c r="D1730" s="1" t="str">
        <f>"00119"</f>
        <v>00119</v>
      </c>
      <c r="E1730" s="1" t="s">
        <v>360</v>
      </c>
      <c r="F1730" s="1">
        <v>5</v>
      </c>
      <c r="G1730" s="1">
        <v>3</v>
      </c>
      <c r="H1730" s="1">
        <v>2</v>
      </c>
      <c r="I1730" s="1" t="s">
        <v>361</v>
      </c>
      <c r="K1730" s="1" t="str">
        <f t="shared" ref="K1730:K1761" si="108">LEFT(I1730, 1)</f>
        <v>ㄅ</v>
      </c>
      <c r="L1730" s="1" t="str">
        <f t="shared" ref="L1730:L1761" si="109">MID(I1730, 2, 1)</f>
        <v>ㄛ</v>
      </c>
      <c r="N1730" s="3" t="s">
        <v>30574</v>
      </c>
      <c r="O1730" s="3"/>
      <c r="P1730" s="1" t="s">
        <v>186</v>
      </c>
      <c r="R1730" s="1" t="s">
        <v>362</v>
      </c>
      <c r="V1730" s="1" t="s">
        <v>206</v>
      </c>
      <c r="W1730" s="1" t="s">
        <v>363</v>
      </c>
      <c r="AR1730" s="1" t="str">
        <f t="shared" si="107"/>
        <v>| [ㄅㄛˋ](ㄅㄛˋ.md) | [北](北.md) |  | bò | (一)之讀音。 |</v>
      </c>
    </row>
    <row r="1731" spans="1:44">
      <c r="A1731" s="1" t="s">
        <v>364</v>
      </c>
      <c r="C1731" s="1">
        <v>1</v>
      </c>
      <c r="D1731" s="1" t="str">
        <f>"00120"</f>
        <v>00120</v>
      </c>
      <c r="E1731" s="1" t="s">
        <v>185</v>
      </c>
      <c r="F1731" s="1">
        <v>8</v>
      </c>
      <c r="G1731" s="1">
        <v>6</v>
      </c>
      <c r="H1731" s="1">
        <v>0</v>
      </c>
      <c r="I1731" s="1" t="s">
        <v>361</v>
      </c>
      <c r="K1731" s="1" t="str">
        <f t="shared" si="108"/>
        <v>ㄅ</v>
      </c>
      <c r="L1731" s="1" t="str">
        <f t="shared" si="109"/>
        <v>ㄛ</v>
      </c>
      <c r="N1731" s="3" t="s">
        <v>30574</v>
      </c>
      <c r="O1731" s="3"/>
      <c r="P1731" s="1" t="s">
        <v>20</v>
      </c>
      <c r="R1731" s="1" t="s">
        <v>362</v>
      </c>
      <c r="V1731" s="1" t="s">
        <v>365</v>
      </c>
      <c r="AR1731" s="1" t="str">
        <f t="shared" ref="AR1731:AR1794" si="110">"| ["&amp;I1731&amp;"]("&amp;I1731&amp;".md) | ["&amp;A1731&amp;"]("&amp;A1731&amp;".md) | "&amp;" | "&amp;R1731&amp;" | "&amp;V1731&amp;" |"</f>
        <v>| [ㄅㄛˋ](ㄅㄛˋ.md) | [㓦](㓦.md) |  | bò | 參見「㓦劃」條。 |</v>
      </c>
    </row>
    <row r="1732" spans="1:44">
      <c r="A1732" s="1" t="s">
        <v>366</v>
      </c>
      <c r="C1732" s="1">
        <v>1</v>
      </c>
      <c r="D1732" s="1" t="str">
        <f>"00121"</f>
        <v>00121</v>
      </c>
      <c r="E1732" s="1" t="s">
        <v>367</v>
      </c>
      <c r="F1732" s="1">
        <v>10</v>
      </c>
      <c r="G1732" s="1">
        <v>8</v>
      </c>
      <c r="H1732" s="1">
        <v>0</v>
      </c>
      <c r="I1732" s="1" t="s">
        <v>361</v>
      </c>
      <c r="K1732" s="1" t="str">
        <f t="shared" si="108"/>
        <v>ㄅ</v>
      </c>
      <c r="L1732" s="1" t="str">
        <f t="shared" si="109"/>
        <v>ㄛ</v>
      </c>
      <c r="N1732" s="3" t="s">
        <v>30574</v>
      </c>
      <c r="O1732" s="3"/>
      <c r="P1732" s="1" t="s">
        <v>20</v>
      </c>
      <c r="R1732" s="1" t="s">
        <v>362</v>
      </c>
      <c r="V1732" s="1" t="s">
        <v>368</v>
      </c>
      <c r="AR1732" s="1" t="str">
        <f t="shared" si="110"/>
        <v>| [ㄅㄛˋ](ㄅㄛˋ.md) | [亳](亳.md) |  | bò | [名]
1.地名。商湯建都於此。約在今大陸地區河南省商邱縣。
2.國名。故城在今大陸地區安徽省亳縣。《廣韻．入聲．鐸韻》：「亳，國名，春秋時陳地。漢為沛之譙縣，魏為譙郡，晉為南兗州，齊為亳州。」 |</v>
      </c>
    </row>
    <row r="1733" spans="1:44">
      <c r="A1733" s="1" t="s">
        <v>369</v>
      </c>
      <c r="C1733" s="1">
        <v>1</v>
      </c>
      <c r="D1733" s="1" t="str">
        <f>"00122"</f>
        <v>00122</v>
      </c>
      <c r="E1733" s="1" t="s">
        <v>24</v>
      </c>
      <c r="F1733" s="1">
        <v>11</v>
      </c>
      <c r="G1733" s="1">
        <v>8</v>
      </c>
      <c r="H1733" s="1">
        <v>2</v>
      </c>
      <c r="I1733" s="1" t="s">
        <v>361</v>
      </c>
      <c r="K1733" s="1" t="str">
        <f t="shared" si="108"/>
        <v>ㄅ</v>
      </c>
      <c r="L1733" s="1" t="str">
        <f t="shared" si="109"/>
        <v>ㄛ</v>
      </c>
      <c r="N1733" s="3" t="s">
        <v>30574</v>
      </c>
      <c r="O1733" s="3"/>
      <c r="P1733" s="1" t="s">
        <v>20</v>
      </c>
      <c r="R1733" s="1" t="s">
        <v>362</v>
      </c>
      <c r="V1733" s="1" t="s">
        <v>370</v>
      </c>
      <c r="W1733" s="1" t="s">
        <v>371</v>
      </c>
      <c r="AR1733" s="1" t="str">
        <f t="shared" si="110"/>
        <v>| [ㄅㄛˋ](ㄅㄛˋ.md) | [捭](捭.md) |  | bò | [動]
分開。通「擘」。《禮記．禮運》：「夫禮之初，始諸飲食其燔黍、捭豚……。」唐．孔穎達．正義：「或捭析豚肉，加於燒石之上而孰之，故云：『捭豚』。」 |</v>
      </c>
    </row>
    <row r="1734" spans="1:44">
      <c r="A1734" s="1" t="s">
        <v>372</v>
      </c>
      <c r="C1734" s="1">
        <v>1</v>
      </c>
      <c r="D1734" s="1" t="str">
        <f>"00123"</f>
        <v>00123</v>
      </c>
      <c r="E1734" s="1" t="s">
        <v>24</v>
      </c>
      <c r="F1734" s="1">
        <v>15</v>
      </c>
      <c r="G1734" s="1">
        <v>12</v>
      </c>
      <c r="H1734" s="1">
        <v>0</v>
      </c>
      <c r="I1734" s="1" t="s">
        <v>361</v>
      </c>
      <c r="K1734" s="1" t="str">
        <f t="shared" si="108"/>
        <v>ㄅ</v>
      </c>
      <c r="L1734" s="1" t="str">
        <f t="shared" si="109"/>
        <v>ㄛ</v>
      </c>
      <c r="N1734" s="3" t="s">
        <v>30574</v>
      </c>
      <c r="O1734" s="3"/>
      <c r="P1734" s="1" t="s">
        <v>20</v>
      </c>
      <c r="R1734" s="1" t="s">
        <v>362</v>
      </c>
      <c r="V1734" s="1" t="s">
        <v>373</v>
      </c>
      <c r="AR1734" s="1" t="str">
        <f t="shared" si="110"/>
        <v>| [ㄅㄛˋ](ㄅㄛˋ.md) | [播](播.md) |  | bò | [動]
1.下種，將種子撒在土裡。《詩經．周頌．載芟》：「播厥百穀，實函斯活。」漢．鄭玄．箋：「播，猶種也。」
2.宣揚、傳布。《周禮．春官．大司樂》：「凡六樂者，文之以五聲，播之以八音。」唐．魏徵〈論時政疏〉：「仁者播其惠，信者效其忠。」
3.放送。如：「轉播」、「衛星直播」、「三臺聯播」、「歌曲點播」。
4.分開、分散。《書經．禹貢》：「又北播為九河，同為逆河，入于海。」《禮記．禮運》：「播五行於四時。」唐．孔穎達．正義：「播謂播散五行金、木、水、火、土之氣於春夏秋冬之時也。」
5.遷移、逃亡。如：「播遷」。《後漢書．卷九．孝獻帝紀．贊曰》：「獻生不辰，身播國屯。」唐．章懷太子．注：「播，遷也。」《金史．卷二八．禮志一》：「宣宗南播，疆宇日蹙。」
6.搖動。《莊子．人間世》：「鼓筴播精，足以食十人。」唐．成玄英．疏：「筴，小箕也。精，米也。言其掃市場，鼓其筴，播揚土，簡精麤也。」《文明小史》第四六回：「勞航芥在房裡被風浪顛播的十分難過。」 |</v>
      </c>
    </row>
    <row r="1735" spans="1:44">
      <c r="A1735" s="1" t="s">
        <v>295</v>
      </c>
      <c r="C1735" s="1">
        <v>1</v>
      </c>
      <c r="D1735" s="1" t="str">
        <f>"00124"</f>
        <v>00124</v>
      </c>
      <c r="E1735" s="1" t="s">
        <v>37</v>
      </c>
      <c r="F1735" s="1">
        <v>17</v>
      </c>
      <c r="G1735" s="1">
        <v>13</v>
      </c>
      <c r="H1735" s="1">
        <v>3</v>
      </c>
      <c r="I1735" s="1" t="s">
        <v>361</v>
      </c>
      <c r="K1735" s="1" t="str">
        <f t="shared" si="108"/>
        <v>ㄅ</v>
      </c>
      <c r="L1735" s="1" t="str">
        <f t="shared" si="109"/>
        <v>ㄛ</v>
      </c>
      <c r="N1735" s="3" t="s">
        <v>30574</v>
      </c>
      <c r="O1735" s="3"/>
      <c r="P1735" s="1" t="s">
        <v>20</v>
      </c>
      <c r="R1735" s="1" t="s">
        <v>362</v>
      </c>
      <c r="V1735" s="1" t="s">
        <v>374</v>
      </c>
      <c r="W1735" s="1" t="s">
        <v>375</v>
      </c>
      <c r="AR1735" s="1" t="str">
        <f t="shared" si="110"/>
        <v>| [ㄅㄛˋ](ㄅㄛˋ.md) | [薄](薄.md) |  | bò | 參見「薄荷」條。 |</v>
      </c>
    </row>
    <row r="1736" spans="1:44">
      <c r="A1736" s="1" t="s">
        <v>376</v>
      </c>
      <c r="C1736" s="1">
        <v>1</v>
      </c>
      <c r="D1736" s="1" t="str">
        <f>"00125"</f>
        <v>00125</v>
      </c>
      <c r="E1736" s="1" t="s">
        <v>37</v>
      </c>
      <c r="F1736" s="1">
        <v>17</v>
      </c>
      <c r="G1736" s="1">
        <v>13</v>
      </c>
      <c r="H1736" s="1">
        <v>2</v>
      </c>
      <c r="I1736" s="1" t="s">
        <v>361</v>
      </c>
      <c r="K1736" s="1" t="str">
        <f t="shared" si="108"/>
        <v>ㄅ</v>
      </c>
      <c r="L1736" s="1" t="str">
        <f t="shared" si="109"/>
        <v>ㄛ</v>
      </c>
      <c r="N1736" s="3" t="s">
        <v>30574</v>
      </c>
      <c r="O1736" s="3"/>
      <c r="P1736" s="1" t="s">
        <v>20</v>
      </c>
      <c r="R1736" s="1" t="s">
        <v>362</v>
      </c>
      <c r="V1736" s="1" t="s">
        <v>377</v>
      </c>
      <c r="W1736" s="1" t="s">
        <v>378</v>
      </c>
      <c r="AR1736" s="1" t="str">
        <f t="shared" si="110"/>
        <v>| [ㄅㄛˋ](ㄅㄛˋ.md) | [薜](薜.md) |  | bò | [名]
1.一種藥草。《爾雅．釋草》：「薜，山蘄。」
2.山麻，生於山中。《爾雅．釋草》：「薜，山麻。」
[動]
破裂。通「劈」。《周禮．冬官考工記．瓬人》：「凡陶瓬之事，髻墾薜暴，不入市。」 |</v>
      </c>
    </row>
    <row r="1737" spans="1:44">
      <c r="A1737" s="1" t="s">
        <v>379</v>
      </c>
      <c r="C1737" s="1">
        <v>1</v>
      </c>
      <c r="D1737" s="1" t="str">
        <f>"00126"</f>
        <v>00126</v>
      </c>
      <c r="E1737" s="1" t="s">
        <v>24</v>
      </c>
      <c r="F1737" s="1">
        <v>17</v>
      </c>
      <c r="G1737" s="1">
        <v>13</v>
      </c>
      <c r="H1737" s="1">
        <v>0</v>
      </c>
      <c r="I1737" s="1" t="s">
        <v>361</v>
      </c>
      <c r="K1737" s="1" t="str">
        <f t="shared" si="108"/>
        <v>ㄅ</v>
      </c>
      <c r="L1737" s="1" t="str">
        <f t="shared" si="109"/>
        <v>ㄛ</v>
      </c>
      <c r="N1737" s="3" t="s">
        <v>30574</v>
      </c>
      <c r="O1737" s="3"/>
      <c r="P1737" s="1" t="s">
        <v>20</v>
      </c>
      <c r="R1737" s="1" t="s">
        <v>362</v>
      </c>
      <c r="V1737" s="1" t="s">
        <v>380</v>
      </c>
      <c r="AR1737" s="1" t="str">
        <f t="shared" si="110"/>
        <v>| [ㄅㄛˋ](ㄅㄛˋ.md) | [擘](擘.md) |  | bò | [名]
1.大拇指。《爾雅．釋魚》：「蝮虺，博三寸，首大如擘。」晉．郭璞．注：「頭大如人擘指。」
2.比喻特別優秀的人物。如：「巨擘」。
[動]
分開、分裂。唐．白居易〈長恨歌〉：「釵留一股合一扇，釵擘黃金合分鈿。」宋．吳文英〈祝英臺近．翦紅情〉詞：「玉纖曾擘黃柑，柔香繫幽素。」 |</v>
      </c>
    </row>
    <row r="1738" spans="1:44">
      <c r="A1738" s="1" t="s">
        <v>381</v>
      </c>
      <c r="C1738" s="1">
        <v>1</v>
      </c>
      <c r="D1738" s="1" t="str">
        <f>"00127"</f>
        <v>00127</v>
      </c>
      <c r="E1738" s="1" t="s">
        <v>37</v>
      </c>
      <c r="F1738" s="1">
        <v>21</v>
      </c>
      <c r="G1738" s="1">
        <v>17</v>
      </c>
      <c r="H1738" s="1">
        <v>0</v>
      </c>
      <c r="I1738" s="1" t="s">
        <v>361</v>
      </c>
      <c r="K1738" s="1" t="str">
        <f t="shared" si="108"/>
        <v>ㄅ</v>
      </c>
      <c r="L1738" s="1" t="str">
        <f t="shared" si="109"/>
        <v>ㄛ</v>
      </c>
      <c r="N1738" s="3" t="s">
        <v>30574</v>
      </c>
      <c r="O1738" s="3"/>
      <c r="P1738" s="1" t="s">
        <v>20</v>
      </c>
      <c r="R1738" s="1" t="s">
        <v>362</v>
      </c>
      <c r="V1738" s="1" t="s">
        <v>382</v>
      </c>
      <c r="AR1738" s="1" t="str">
        <f t="shared" si="110"/>
        <v>| [ㄅㄛˋ](ㄅㄛˋ.md) | [蘗](蘗.md) |  | bò | 參見「黃蘗」條。 |</v>
      </c>
    </row>
    <row r="1739" spans="1:44">
      <c r="A1739" s="1" t="s">
        <v>356</v>
      </c>
      <c r="C1739" s="1">
        <v>1</v>
      </c>
      <c r="D1739" s="1" t="str">
        <f>"00128"</f>
        <v>00128</v>
      </c>
      <c r="E1739" s="1" t="s">
        <v>49</v>
      </c>
      <c r="F1739" s="1">
        <v>19</v>
      </c>
      <c r="G1739" s="1">
        <v>13</v>
      </c>
      <c r="H1739" s="1">
        <v>2</v>
      </c>
      <c r="I1739" s="1" t="s">
        <v>361</v>
      </c>
      <c r="K1739" s="1" t="str">
        <f t="shared" si="108"/>
        <v>ㄅ</v>
      </c>
      <c r="L1739" s="1" t="str">
        <f t="shared" si="109"/>
        <v>ㄛ</v>
      </c>
      <c r="N1739" s="3" t="s">
        <v>30574</v>
      </c>
      <c r="O1739" s="3"/>
      <c r="P1739" s="1" t="s">
        <v>20</v>
      </c>
      <c r="R1739" s="1" t="s">
        <v>362</v>
      </c>
      <c r="V1739" s="1" t="s">
        <v>383</v>
      </c>
      <c r="W1739" s="1" t="s">
        <v>384</v>
      </c>
      <c r="AR1739" s="1" t="str">
        <f t="shared" si="110"/>
        <v>| [ㄅㄛˋ](ㄅㄛˋ.md) | [簸](簸.md) |  | bò | 參見「簸箕」條。 |</v>
      </c>
    </row>
    <row r="1740" spans="1:44">
      <c r="A1740" s="1" t="s">
        <v>197</v>
      </c>
      <c r="C1740" s="1">
        <v>1</v>
      </c>
      <c r="D1740" s="1" t="str">
        <f>"00057"</f>
        <v>00057</v>
      </c>
      <c r="E1740" s="1" t="s">
        <v>198</v>
      </c>
      <c r="F1740" s="1">
        <v>5</v>
      </c>
      <c r="G1740" s="1">
        <v>1</v>
      </c>
      <c r="H1740" s="1">
        <v>0</v>
      </c>
      <c r="I1740" s="1" t="s">
        <v>199</v>
      </c>
      <c r="K1740" s="1" t="str">
        <f t="shared" si="108"/>
        <v>ㄅ</v>
      </c>
      <c r="L1740" s="1" t="str">
        <f t="shared" si="109"/>
        <v>ㄛ</v>
      </c>
      <c r="N1740" s="3" t="s">
        <v>30575</v>
      </c>
      <c r="O1740" s="3"/>
      <c r="P1740" s="1" t="s">
        <v>20</v>
      </c>
      <c r="R1740" s="1" t="s">
        <v>200</v>
      </c>
      <c r="V1740" s="1" t="s">
        <v>201</v>
      </c>
      <c r="AR1740" s="1" t="str">
        <f t="shared" si="110"/>
        <v>| [ㄅㄛˊ](ㄅㄛˊ.md) | [犮](犮.md) |  | bó | [形]
狗行走的樣子。《說文解字．犬部》「犮」字．清．段玉裁．注：「犮，犬走貌。」
[動]
拔除。通「拔」。《周禮．秋官．司寇》：「赤犮氏。」漢．鄭玄．注：「赤犮猶言捇拔也。」 |</v>
      </c>
    </row>
    <row r="1741" spans="1:44">
      <c r="A1741" s="1" t="s">
        <v>70</v>
      </c>
      <c r="C1741" s="1">
        <v>1</v>
      </c>
      <c r="D1741" s="1" t="str">
        <f>"00058"</f>
        <v>00058</v>
      </c>
      <c r="E1741" s="1" t="s">
        <v>71</v>
      </c>
      <c r="F1741" s="1">
        <v>12</v>
      </c>
      <c r="G1741" s="1">
        <v>5</v>
      </c>
      <c r="H1741" s="1">
        <v>2</v>
      </c>
      <c r="I1741" s="1" t="s">
        <v>199</v>
      </c>
      <c r="K1741" s="1" t="str">
        <f t="shared" si="108"/>
        <v>ㄅ</v>
      </c>
      <c r="L1741" s="1" t="str">
        <f t="shared" si="109"/>
        <v>ㄛ</v>
      </c>
      <c r="N1741" s="3" t="s">
        <v>30575</v>
      </c>
      <c r="O1741" s="3"/>
      <c r="P1741" s="1" t="s">
        <v>110</v>
      </c>
      <c r="R1741" s="1" t="s">
        <v>200</v>
      </c>
      <c r="V1741" s="1" t="s">
        <v>111</v>
      </c>
      <c r="W1741" s="1" t="s">
        <v>202</v>
      </c>
      <c r="AR1741" s="1" t="str">
        <f t="shared" si="110"/>
        <v>| [ㄅㄛˊ](ㄅㄛˊ.md) | [軷](軷.md) |  | bó | (一)之又音。 |</v>
      </c>
    </row>
    <row r="1742" spans="1:44">
      <c r="A1742" s="1" t="s">
        <v>79</v>
      </c>
      <c r="C1742" s="1">
        <v>1</v>
      </c>
      <c r="D1742" s="1" t="str">
        <f>"00059"</f>
        <v>00059</v>
      </c>
      <c r="E1742" s="1" t="s">
        <v>55</v>
      </c>
      <c r="F1742" s="1">
        <v>13</v>
      </c>
      <c r="G1742" s="1">
        <v>5</v>
      </c>
      <c r="H1742" s="1">
        <v>2</v>
      </c>
      <c r="I1742" s="1" t="s">
        <v>199</v>
      </c>
      <c r="K1742" s="1" t="str">
        <f t="shared" si="108"/>
        <v>ㄅ</v>
      </c>
      <c r="L1742" s="1" t="str">
        <f t="shared" si="109"/>
        <v>ㄛ</v>
      </c>
      <c r="N1742" s="3" t="s">
        <v>30575</v>
      </c>
      <c r="O1742" s="3"/>
      <c r="P1742" s="1" t="s">
        <v>110</v>
      </c>
      <c r="R1742" s="1" t="s">
        <v>200</v>
      </c>
      <c r="V1742" s="1" t="s">
        <v>111</v>
      </c>
      <c r="W1742" s="1" t="s">
        <v>203</v>
      </c>
      <c r="AR1742" s="1" t="str">
        <f t="shared" si="110"/>
        <v>| [ㄅㄛˊ](ㄅㄛˊ.md) | [鈸](鈸.md) |  | bó | (一)之又音。 |</v>
      </c>
    </row>
    <row r="1743" spans="1:44">
      <c r="A1743" s="1" t="s">
        <v>204</v>
      </c>
      <c r="C1743" s="1">
        <v>1</v>
      </c>
      <c r="D1743" s="1" t="str">
        <f>"00060"</f>
        <v>00060</v>
      </c>
      <c r="E1743" s="1" t="s">
        <v>205</v>
      </c>
      <c r="F1743" s="1">
        <v>5</v>
      </c>
      <c r="G1743" s="1">
        <v>0</v>
      </c>
      <c r="H1743" s="1">
        <v>2</v>
      </c>
      <c r="I1743" s="1" t="s">
        <v>199</v>
      </c>
      <c r="K1743" s="1" t="str">
        <f t="shared" si="108"/>
        <v>ㄅ</v>
      </c>
      <c r="L1743" s="1" t="str">
        <f t="shared" si="109"/>
        <v>ㄛ</v>
      </c>
      <c r="N1743" s="3" t="s">
        <v>30575</v>
      </c>
      <c r="O1743" s="3"/>
      <c r="P1743" s="1" t="s">
        <v>186</v>
      </c>
      <c r="R1743" s="1" t="s">
        <v>200</v>
      </c>
      <c r="V1743" s="1" t="s">
        <v>206</v>
      </c>
      <c r="W1743" s="1" t="s">
        <v>207</v>
      </c>
      <c r="AR1743" s="1" t="str">
        <f t="shared" si="110"/>
        <v>| [ㄅㄛˊ](ㄅㄛˊ.md) | [白](白.md) |  | bó | (一)之讀音。 |</v>
      </c>
    </row>
    <row r="1744" spans="1:44">
      <c r="A1744" s="1" t="s">
        <v>208</v>
      </c>
      <c r="C1744" s="1">
        <v>1</v>
      </c>
      <c r="D1744" s="1" t="str">
        <f>"00061"</f>
        <v>00061</v>
      </c>
      <c r="E1744" s="1" t="s">
        <v>205</v>
      </c>
      <c r="F1744" s="1">
        <v>6</v>
      </c>
      <c r="G1744" s="1">
        <v>1</v>
      </c>
      <c r="H1744" s="1">
        <v>2</v>
      </c>
      <c r="I1744" s="1" t="s">
        <v>199</v>
      </c>
      <c r="K1744" s="1" t="str">
        <f t="shared" si="108"/>
        <v>ㄅ</v>
      </c>
      <c r="L1744" s="1" t="str">
        <f t="shared" si="109"/>
        <v>ㄛ</v>
      </c>
      <c r="N1744" s="3" t="s">
        <v>30575</v>
      </c>
      <c r="O1744" s="3"/>
      <c r="P1744" s="1" t="s">
        <v>186</v>
      </c>
      <c r="R1744" s="1" t="s">
        <v>200</v>
      </c>
      <c r="V1744" s="1" t="s">
        <v>209</v>
      </c>
      <c r="W1744" s="1" t="s">
        <v>210</v>
      </c>
      <c r="AR1744" s="1" t="str">
        <f t="shared" si="110"/>
        <v>| [ㄅㄛˊ](ㄅㄛˊ.md) | [百](百.md) |  | bó | 參見「百色縣」條。 |</v>
      </c>
    </row>
    <row r="1745" spans="1:44">
      <c r="A1745" s="1" t="s">
        <v>113</v>
      </c>
      <c r="C1745" s="1">
        <v>1</v>
      </c>
      <c r="D1745" s="1" t="str">
        <f>"00062"</f>
        <v>00062</v>
      </c>
      <c r="E1745" s="1" t="s">
        <v>114</v>
      </c>
      <c r="F1745" s="1">
        <v>7</v>
      </c>
      <c r="G1745" s="1">
        <v>5</v>
      </c>
      <c r="H1745" s="1">
        <v>1</v>
      </c>
      <c r="I1745" s="1" t="s">
        <v>199</v>
      </c>
      <c r="K1745" s="1" t="str">
        <f t="shared" si="108"/>
        <v>ㄅ</v>
      </c>
      <c r="L1745" s="1" t="str">
        <f t="shared" si="109"/>
        <v>ㄛ</v>
      </c>
      <c r="N1745" s="3" t="s">
        <v>30575</v>
      </c>
      <c r="O1745" s="3"/>
      <c r="P1745" s="1" t="s">
        <v>186</v>
      </c>
      <c r="R1745" s="1" t="s">
        <v>200</v>
      </c>
      <c r="V1745" s="1" t="s">
        <v>211</v>
      </c>
      <c r="W1745" s="1" t="s">
        <v>212</v>
      </c>
      <c r="AR1745" s="1" t="str">
        <f t="shared" si="110"/>
        <v>| [ㄅㄛˊ](ㄅㄛˊ.md) | [伯](伯.md) |  | bó | [名]
1.兄長。古人以為兄弟長幼排行的次序，伯最大。
2.稱謂：(1)尊稱父親的哥哥。如：「大伯」、「二伯」。(2)尊稱丈夫的哥哥為「伯」。(3)尊稱年齡或輩分較高的人。如：「老伯」、「世伯」。
3.古代封建制度裡，公、侯、伯、子、男等爵位的第三等。
4.用以稱擅長某種才藝的人。如：「詩伯」、「畫伯」。
5.姓。如春秋時晉國有伯宗，楚國有伯州犁。 |</v>
      </c>
    </row>
    <row r="1746" spans="1:44">
      <c r="A1746" s="1" t="s">
        <v>213</v>
      </c>
      <c r="C1746" s="1">
        <v>1</v>
      </c>
      <c r="D1746" s="1" t="str">
        <f>"00063"</f>
        <v>00063</v>
      </c>
      <c r="E1746" s="1" t="s">
        <v>129</v>
      </c>
      <c r="F1746" s="1">
        <v>8</v>
      </c>
      <c r="G1746" s="1">
        <v>5</v>
      </c>
      <c r="H1746" s="1">
        <v>1</v>
      </c>
      <c r="I1746" s="1" t="s">
        <v>199</v>
      </c>
      <c r="K1746" s="1" t="str">
        <f t="shared" si="108"/>
        <v>ㄅ</v>
      </c>
      <c r="L1746" s="1" t="str">
        <f t="shared" si="109"/>
        <v>ㄛ</v>
      </c>
      <c r="N1746" s="3" t="s">
        <v>30575</v>
      </c>
      <c r="O1746" s="3"/>
      <c r="P1746" s="1" t="s">
        <v>20</v>
      </c>
      <c r="R1746" s="1" t="s">
        <v>200</v>
      </c>
      <c r="V1746" s="1" t="s">
        <v>214</v>
      </c>
      <c r="W1746" s="1" t="s">
        <v>215</v>
      </c>
      <c r="AR1746" s="1" t="str">
        <f t="shared" si="110"/>
        <v>| [ㄅㄛˊ](ㄅㄛˊ.md) | [泊](泊.md) |  | bó | [動]
1.船隻靠岸。如：「泊舟」、「泊岸」、「停泊」。唐．杜牧〈泊秦淮〉詩：「煙籠寒水月籠沙，夜泊秦淮近酒家。」
2.棲止、停留。如：「漂泊」。唐．陳子昂〈古意題徐令壁〉詩：「聞君太平世，棲泊靈臺側。」
[名]
湖沼。如：「湖泊」、「梁山泊」、「楊柳泊」。
[形]
恬靜、淡漠。如：「淡泊」。《後漢書．卷五〇下．蔡邕傳》：「明哲泊焉，不失所寧。」 |</v>
      </c>
    </row>
    <row r="1747" spans="1:44">
      <c r="A1747" s="1" t="s">
        <v>216</v>
      </c>
      <c r="C1747" s="1">
        <v>1</v>
      </c>
      <c r="D1747" s="1" t="str">
        <f>"00064"</f>
        <v>00064</v>
      </c>
      <c r="E1747" s="1" t="s">
        <v>24</v>
      </c>
      <c r="F1747" s="1">
        <v>8</v>
      </c>
      <c r="G1747" s="1">
        <v>5</v>
      </c>
      <c r="H1747" s="1">
        <v>4</v>
      </c>
      <c r="I1747" s="1" t="s">
        <v>199</v>
      </c>
      <c r="K1747" s="1" t="str">
        <f t="shared" si="108"/>
        <v>ㄅ</v>
      </c>
      <c r="L1747" s="1" t="str">
        <f t="shared" si="109"/>
        <v>ㄛ</v>
      </c>
      <c r="N1747" s="3" t="s">
        <v>30575</v>
      </c>
      <c r="O1747" s="3"/>
      <c r="P1747" s="1" t="s">
        <v>20</v>
      </c>
      <c r="R1747" s="1" t="s">
        <v>200</v>
      </c>
      <c r="V1747" s="1" t="s">
        <v>217</v>
      </c>
      <c r="W1747" s="1" t="s">
        <v>218</v>
      </c>
      <c r="AR1747" s="1" t="str">
        <f t="shared" si="110"/>
        <v>| [ㄅㄛˊ](ㄅㄛˊ.md) | [拍](拍.md) |  | bó | [名]
肩胛。通「膊」。《周禮．天官．醢人》：「豚拍魚醢。」 |</v>
      </c>
    </row>
    <row r="1748" spans="1:44">
      <c r="A1748" s="1" t="s">
        <v>219</v>
      </c>
      <c r="C1748" s="1">
        <v>1</v>
      </c>
      <c r="D1748" s="1" t="str">
        <f>"00065"</f>
        <v>00065</v>
      </c>
      <c r="E1748" s="1" t="s">
        <v>114</v>
      </c>
      <c r="F1748" s="1">
        <v>8</v>
      </c>
      <c r="G1748" s="1">
        <v>6</v>
      </c>
      <c r="H1748" s="1">
        <v>2</v>
      </c>
      <c r="I1748" s="1" t="s">
        <v>199</v>
      </c>
      <c r="K1748" s="1" t="str">
        <f t="shared" si="108"/>
        <v>ㄅ</v>
      </c>
      <c r="L1748" s="1" t="str">
        <f t="shared" si="109"/>
        <v>ㄛ</v>
      </c>
      <c r="N1748" s="3" t="s">
        <v>30575</v>
      </c>
      <c r="O1748" s="3"/>
      <c r="P1748" s="1" t="s">
        <v>186</v>
      </c>
      <c r="R1748" s="1" t="s">
        <v>200</v>
      </c>
      <c r="V1748" s="1" t="s">
        <v>206</v>
      </c>
      <c r="W1748" s="1" t="s">
        <v>220</v>
      </c>
      <c r="AR1748" s="1" t="str">
        <f t="shared" si="110"/>
        <v>| [ㄅㄛˊ](ㄅㄛˊ.md) | [佰](佰.md) |  | bó | (一)之讀音。 |</v>
      </c>
    </row>
    <row r="1749" spans="1:44">
      <c r="A1749" s="1" t="s">
        <v>221</v>
      </c>
      <c r="C1749" s="1">
        <v>1</v>
      </c>
      <c r="D1749" s="1" t="str">
        <f>"00066"</f>
        <v>00066</v>
      </c>
      <c r="E1749" s="1" t="s">
        <v>222</v>
      </c>
      <c r="F1749" s="1">
        <v>8</v>
      </c>
      <c r="G1749" s="1">
        <v>5</v>
      </c>
      <c r="H1749" s="1">
        <v>0</v>
      </c>
      <c r="I1749" s="1" t="s">
        <v>199</v>
      </c>
      <c r="K1749" s="1" t="str">
        <f t="shared" si="108"/>
        <v>ㄅ</v>
      </c>
      <c r="L1749" s="1" t="str">
        <f t="shared" si="109"/>
        <v>ㄛ</v>
      </c>
      <c r="N1749" s="3" t="s">
        <v>30575</v>
      </c>
      <c r="O1749" s="3"/>
      <c r="P1749" s="1" t="s">
        <v>20</v>
      </c>
      <c r="R1749" s="1" t="s">
        <v>200</v>
      </c>
      <c r="V1749" s="1" t="s">
        <v>223</v>
      </c>
      <c r="AR1749" s="1" t="str">
        <f t="shared" si="110"/>
        <v>| [ㄅㄛˊ](ㄅㄛˊ.md) | [帛](帛.md) |  | bó | [名]
1.絲織品的總稱。如：「帛書」、「絹帛」、「帛畫」。《孟子．梁惠王上》：「五十者可以衣帛矣。」
2.姓。如漢代有帛敞。 |</v>
      </c>
    </row>
    <row r="1750" spans="1:44">
      <c r="A1750" s="1" t="s">
        <v>224</v>
      </c>
      <c r="C1750" s="1">
        <v>1</v>
      </c>
      <c r="D1750" s="1" t="str">
        <f>"00067"</f>
        <v>00067</v>
      </c>
      <c r="E1750" s="1" t="s">
        <v>139</v>
      </c>
      <c r="F1750" s="1">
        <v>9</v>
      </c>
      <c r="G1750" s="1">
        <v>5</v>
      </c>
      <c r="H1750" s="1">
        <v>1</v>
      </c>
      <c r="I1750" s="1" t="s">
        <v>199</v>
      </c>
      <c r="K1750" s="1" t="str">
        <f t="shared" si="108"/>
        <v>ㄅ</v>
      </c>
      <c r="L1750" s="1" t="str">
        <f t="shared" si="109"/>
        <v>ㄛ</v>
      </c>
      <c r="N1750" s="3" t="s">
        <v>30575</v>
      </c>
      <c r="O1750" s="3"/>
      <c r="P1750" s="1" t="s">
        <v>186</v>
      </c>
      <c r="R1750" s="1" t="s">
        <v>200</v>
      </c>
      <c r="V1750" s="1" t="s">
        <v>225</v>
      </c>
      <c r="W1750" s="1" t="s">
        <v>226</v>
      </c>
      <c r="AR1750" s="1" t="str">
        <f t="shared" si="110"/>
        <v>| [ㄅㄛˊ](ㄅㄛˊ.md) | [柏](柏.md) |  | bó | [名]
1.柏科植物的總稱。常綠喬木。性耐寒，葉小、鱗形，紋理細密，是上好材質。有扁柏、側柏、檜柏、羅漢柏等數種。
2.姓。如周代有柏景。 |</v>
      </c>
    </row>
    <row r="1751" spans="1:44">
      <c r="A1751" s="1" t="s">
        <v>227</v>
      </c>
      <c r="C1751" s="1">
        <v>1</v>
      </c>
      <c r="D1751" s="1" t="str">
        <f>"00068"</f>
        <v>00068</v>
      </c>
      <c r="E1751" s="1" t="s">
        <v>181</v>
      </c>
      <c r="F1751" s="1">
        <v>11</v>
      </c>
      <c r="G1751" s="1">
        <v>5</v>
      </c>
      <c r="H1751" s="1">
        <v>0</v>
      </c>
      <c r="I1751" s="1" t="s">
        <v>199</v>
      </c>
      <c r="K1751" s="1" t="str">
        <f t="shared" si="108"/>
        <v>ㄅ</v>
      </c>
      <c r="L1751" s="1" t="str">
        <f t="shared" si="109"/>
        <v>ㄛ</v>
      </c>
      <c r="N1751" s="3" t="s">
        <v>30575</v>
      </c>
      <c r="O1751" s="3"/>
      <c r="P1751" s="1" t="s">
        <v>20</v>
      </c>
      <c r="R1751" s="1" t="s">
        <v>200</v>
      </c>
      <c r="V1751" s="1" t="s">
        <v>228</v>
      </c>
      <c r="AR1751" s="1" t="str">
        <f t="shared" si="110"/>
        <v>| [ㄅㄛˊ](ㄅㄛˊ.md) | [舶](舶.md) |  | bó | [名]
大船。如：「船舶」。《廣韻．入聲．陌韻》：「舶，海中大船。」北魏．酈道元《水經注．江水注》：「昔孫權裝大船，名之曰『長安』，亦曰『大舶』，載坐直之士三千人。」 |</v>
      </c>
    </row>
    <row r="1752" spans="1:44">
      <c r="A1752" s="1" t="s">
        <v>229</v>
      </c>
      <c r="C1752" s="1">
        <v>1</v>
      </c>
      <c r="D1752" s="1" t="str">
        <f>"00069"</f>
        <v>00069</v>
      </c>
      <c r="E1752" s="1" t="s">
        <v>55</v>
      </c>
      <c r="F1752" s="1">
        <v>13</v>
      </c>
      <c r="G1752" s="1">
        <v>5</v>
      </c>
      <c r="H1752" s="1">
        <v>0</v>
      </c>
      <c r="I1752" s="1" t="s">
        <v>199</v>
      </c>
      <c r="K1752" s="1" t="str">
        <f t="shared" si="108"/>
        <v>ㄅ</v>
      </c>
      <c r="L1752" s="1" t="str">
        <f t="shared" si="109"/>
        <v>ㄛ</v>
      </c>
      <c r="N1752" s="3" t="s">
        <v>30575</v>
      </c>
      <c r="O1752" s="3"/>
      <c r="P1752" s="1" t="s">
        <v>20</v>
      </c>
      <c r="R1752" s="1" t="s">
        <v>200</v>
      </c>
      <c r="V1752" s="1" t="s">
        <v>230</v>
      </c>
      <c r="AR1752" s="1" t="str">
        <f t="shared" si="110"/>
        <v>| [ㄅㄛˊ](ㄅㄛˊ.md) | [鉑](鉑.md) |  | bó | [名]_x000D_
1.金屬薄片。通「箔」。《集韻．入聲．鐸韻》：「鉑，金薄也。」_x000D_
2.（platinum，Pt）化學元素。原子序78。金屬元素之一。色灰白，有光澤，延展性極佳，不受酸鹼的侵蝕，可供製造化學用具和度量衡用器，也可作裝飾品，在化學工業上常用作觸媒。也稱為「白金」。 |</v>
      </c>
    </row>
    <row r="1753" spans="1:44">
      <c r="A1753" s="1" t="s">
        <v>231</v>
      </c>
      <c r="C1753" s="1">
        <v>1</v>
      </c>
      <c r="D1753" s="1" t="str">
        <f>"00070"</f>
        <v>00070</v>
      </c>
      <c r="E1753" s="1" t="s">
        <v>49</v>
      </c>
      <c r="F1753" s="1">
        <v>14</v>
      </c>
      <c r="G1753" s="1">
        <v>8</v>
      </c>
      <c r="H1753" s="1">
        <v>0</v>
      </c>
      <c r="I1753" s="1" t="s">
        <v>199</v>
      </c>
      <c r="K1753" s="1" t="str">
        <f t="shared" si="108"/>
        <v>ㄅ</v>
      </c>
      <c r="L1753" s="1" t="str">
        <f t="shared" si="109"/>
        <v>ㄛ</v>
      </c>
      <c r="N1753" s="3" t="s">
        <v>30575</v>
      </c>
      <c r="O1753" s="3"/>
      <c r="P1753" s="1" t="s">
        <v>20</v>
      </c>
      <c r="R1753" s="1" t="s">
        <v>200</v>
      </c>
      <c r="V1753" s="1" t="s">
        <v>232</v>
      </c>
      <c r="AR1753" s="1" t="str">
        <f t="shared" si="110"/>
        <v>| [ㄅㄛˊ](ㄅㄛˊ.md) | [箔](箔.md) |  | bó | [名]
1.金屬打成的薄片。如：「錫箔」、「鋁箔包」。《宋史．卷一〇．仁宗本紀二》：「八月戊戌，禁以金箔飾佛像。」
2.祭祀時焚化的用紙。如：「冥箔」。
3.用細竹或蘆草編成的養蠶器具。如：「蠶箔」。《齊民要術．卷五．種桑柘》：「比至再眠，常須三箔；中箔上安蠶。」注：「下箔障土氣，上箔防塵埃。」唐．韓愈、李正封〈晚秋郾城夜會聯句〉：「暮鳥已安巢，春蠶看滿箔。」
4.簾子。唐．白居易〈長恨歌〉：「攬衣推枕起徘徊，珠箔銀屏迤邐開。」 |</v>
      </c>
    </row>
    <row r="1754" spans="1:44">
      <c r="A1754" s="1" t="s">
        <v>233</v>
      </c>
      <c r="C1754" s="1">
        <v>1</v>
      </c>
      <c r="D1754" s="1" t="str">
        <f>"00071"</f>
        <v>00071</v>
      </c>
      <c r="E1754" s="1" t="s">
        <v>234</v>
      </c>
      <c r="F1754" s="1">
        <v>6</v>
      </c>
      <c r="G1754" s="1">
        <v>3</v>
      </c>
      <c r="H1754" s="1">
        <v>2</v>
      </c>
      <c r="I1754" s="1" t="s">
        <v>199</v>
      </c>
      <c r="K1754" s="1" t="str">
        <f t="shared" si="108"/>
        <v>ㄅ</v>
      </c>
      <c r="L1754" s="1" t="str">
        <f t="shared" si="109"/>
        <v>ㄛ</v>
      </c>
      <c r="N1754" s="3" t="s">
        <v>30575</v>
      </c>
      <c r="O1754" s="3"/>
      <c r="P1754" s="1" t="s">
        <v>20</v>
      </c>
      <c r="R1754" s="1" t="s">
        <v>200</v>
      </c>
      <c r="V1754" s="1" t="s">
        <v>235</v>
      </c>
      <c r="W1754" s="1" t="s">
        <v>236</v>
      </c>
      <c r="AR1754" s="1" t="str">
        <f t="shared" si="110"/>
        <v>| [ㄅㄛˊ](ㄅㄛˊ.md) | [彴](彴.md) |  | bó | 參見「彴約」條。 |</v>
      </c>
    </row>
    <row r="1755" spans="1:44">
      <c r="A1755" s="1" t="s">
        <v>237</v>
      </c>
      <c r="C1755" s="1">
        <v>1</v>
      </c>
      <c r="D1755" s="1" t="str">
        <f>"00072"</f>
        <v>00072</v>
      </c>
      <c r="E1755" s="1" t="s">
        <v>238</v>
      </c>
      <c r="F1755" s="1">
        <v>9</v>
      </c>
      <c r="G1755" s="1">
        <v>3</v>
      </c>
      <c r="H1755" s="1">
        <v>0</v>
      </c>
      <c r="I1755" s="1" t="s">
        <v>199</v>
      </c>
      <c r="K1755" s="1" t="str">
        <f t="shared" si="108"/>
        <v>ㄅ</v>
      </c>
      <c r="L1755" s="1" t="str">
        <f t="shared" si="109"/>
        <v>ㄛ</v>
      </c>
      <c r="N1755" s="3" t="s">
        <v>30575</v>
      </c>
      <c r="O1755" s="3"/>
      <c r="P1755" s="1" t="s">
        <v>20</v>
      </c>
      <c r="R1755" s="1" t="s">
        <v>200</v>
      </c>
      <c r="V1755" s="1" t="s">
        <v>239</v>
      </c>
      <c r="AR1755" s="1" t="str">
        <f t="shared" si="110"/>
        <v>| [ㄅㄛˊ](ㄅㄛˊ.md) | [瓝](瓝.md) |  | bó | [名]
1.小瓜。《爾雅．釋草》宋．邢昺．疏：「瓞，一名瓝，小瓜也。」
2.一莖九葉的草。《爾雅．釋草》：「瓝，九葉。」 |</v>
      </c>
    </row>
    <row r="1756" spans="1:44">
      <c r="A1756" s="1" t="s">
        <v>240</v>
      </c>
      <c r="C1756" s="1">
        <v>1</v>
      </c>
      <c r="D1756" s="1" t="str">
        <f>"00073"</f>
        <v>00073</v>
      </c>
      <c r="E1756" s="1" t="s">
        <v>241</v>
      </c>
      <c r="F1756" s="1">
        <v>7</v>
      </c>
      <c r="G1756" s="1">
        <v>4</v>
      </c>
      <c r="H1756" s="1">
        <v>1</v>
      </c>
      <c r="I1756" s="1" t="s">
        <v>199</v>
      </c>
      <c r="K1756" s="1" t="str">
        <f t="shared" si="108"/>
        <v>ㄅ</v>
      </c>
      <c r="L1756" s="1" t="str">
        <f t="shared" si="109"/>
        <v>ㄛ</v>
      </c>
      <c r="N1756" s="3" t="s">
        <v>30575</v>
      </c>
      <c r="O1756" s="3"/>
      <c r="P1756" s="1" t="s">
        <v>20</v>
      </c>
      <c r="R1756" s="1" t="s">
        <v>200</v>
      </c>
      <c r="V1756" s="1" t="s">
        <v>242</v>
      </c>
      <c r="W1756" s="1" t="s">
        <v>243</v>
      </c>
      <c r="AR1756" s="1" t="str">
        <f t="shared" si="110"/>
        <v>| [ㄅㄛˊ](ㄅㄛˊ.md) | [孛](孛.md) |  | bó | [副]
臉部變色。同「勃」。如：「孛然大怒」。
[綴]
置於名詞前。如：「孛老」（為元劇中的年老男性）。 |</v>
      </c>
    </row>
    <row r="1757" spans="1:44">
      <c r="A1757" s="1" t="s">
        <v>244</v>
      </c>
      <c r="C1757" s="1">
        <v>1</v>
      </c>
      <c r="D1757" s="1" t="str">
        <f>"00074"</f>
        <v>00074</v>
      </c>
      <c r="E1757" s="1" t="s">
        <v>245</v>
      </c>
      <c r="F1757" s="1">
        <v>9</v>
      </c>
      <c r="G1757" s="1">
        <v>7</v>
      </c>
      <c r="H1757" s="1">
        <v>0</v>
      </c>
      <c r="I1757" s="1" t="s">
        <v>199</v>
      </c>
      <c r="K1757" s="1" t="str">
        <f t="shared" si="108"/>
        <v>ㄅ</v>
      </c>
      <c r="L1757" s="1" t="str">
        <f t="shared" si="109"/>
        <v>ㄛ</v>
      </c>
      <c r="N1757" s="3" t="s">
        <v>30575</v>
      </c>
      <c r="O1757" s="3"/>
      <c r="P1757" s="1" t="s">
        <v>20</v>
      </c>
      <c r="R1757" s="1" t="s">
        <v>200</v>
      </c>
      <c r="V1757" s="1" t="s">
        <v>246</v>
      </c>
      <c r="AR1757" s="1" t="str">
        <f t="shared" si="110"/>
        <v>| [ㄅㄛˊ](ㄅㄛˊ.md) | [勃](勃.md) |  | bó | [形]
1.繁盛。如：「蓬勃」、「生氣勃勃」。
2.變色。《論語．鄉黨》：「君召使擯，色勃如也。」
[名]
衝擊產生的浪花。北魏．酈道元《水經注．江水注》：「灘頭白勃堅相持，倏忽沒淪別無期。」
[副]
突然。參見「勃然」條。 |</v>
      </c>
    </row>
    <row r="1758" spans="1:44">
      <c r="A1758" s="1" t="s">
        <v>247</v>
      </c>
      <c r="C1758" s="1">
        <v>1</v>
      </c>
      <c r="D1758" s="1" t="str">
        <f>"00075"</f>
        <v>00075</v>
      </c>
      <c r="E1758" s="1" t="s">
        <v>129</v>
      </c>
      <c r="F1758" s="1">
        <v>10</v>
      </c>
      <c r="G1758" s="1">
        <v>7</v>
      </c>
      <c r="H1758" s="1">
        <v>0</v>
      </c>
      <c r="I1758" s="1" t="s">
        <v>199</v>
      </c>
      <c r="K1758" s="1" t="str">
        <f t="shared" si="108"/>
        <v>ㄅ</v>
      </c>
      <c r="L1758" s="1" t="str">
        <f t="shared" si="109"/>
        <v>ㄛ</v>
      </c>
      <c r="N1758" s="3" t="s">
        <v>30575</v>
      </c>
      <c r="O1758" s="3"/>
      <c r="P1758" s="1" t="s">
        <v>20</v>
      </c>
      <c r="R1758" s="1" t="s">
        <v>200</v>
      </c>
      <c r="V1758" s="1" t="s">
        <v>248</v>
      </c>
      <c r="AR1758" s="1" t="str">
        <f t="shared" si="110"/>
        <v>| [ㄅㄛˊ](ㄅㄛˊ.md) | [浡](浡.md) |  | bó | [動]
1.湧出。《淮南子．原道》：「原流泉浡，沖而徐盈。」漢．高誘．注：「浡，涌也。」
2.興起。通「勃」。《爾雅．釋詁下》：「浡，作也。」
[名]
即渤海。同「渤」。 |</v>
      </c>
    </row>
    <row r="1759" spans="1:44">
      <c r="A1759" s="1" t="s">
        <v>249</v>
      </c>
      <c r="C1759" s="1">
        <v>1</v>
      </c>
      <c r="D1759" s="1" t="str">
        <f>"00076"</f>
        <v>00076</v>
      </c>
      <c r="E1759" s="1" t="s">
        <v>250</v>
      </c>
      <c r="F1759" s="1">
        <v>10</v>
      </c>
      <c r="G1759" s="1">
        <v>7</v>
      </c>
      <c r="H1759" s="1">
        <v>1</v>
      </c>
      <c r="I1759" s="1" t="s">
        <v>199</v>
      </c>
      <c r="K1759" s="1" t="str">
        <f t="shared" si="108"/>
        <v>ㄅ</v>
      </c>
      <c r="L1759" s="1" t="str">
        <f t="shared" si="109"/>
        <v>ㄛ</v>
      </c>
      <c r="N1759" s="3" t="s">
        <v>30575</v>
      </c>
      <c r="O1759" s="3"/>
      <c r="P1759" s="1" t="s">
        <v>20</v>
      </c>
      <c r="R1759" s="1" t="s">
        <v>200</v>
      </c>
      <c r="V1759" s="1" t="s">
        <v>251</v>
      </c>
      <c r="W1759" s="1" t="s">
        <v>252</v>
      </c>
      <c r="AR1759" s="1" t="str">
        <f t="shared" si="110"/>
        <v>| [ㄅㄛˊ](ㄅㄛˊ.md) | [悖](悖.md) |  | bó | [形]
旺盛。通「勃」。《左傳．莊公十一年》：「禹湯罪己，其興也悖焉。」 |</v>
      </c>
    </row>
    <row r="1760" spans="1:44">
      <c r="A1760" s="1" t="s">
        <v>253</v>
      </c>
      <c r="C1760" s="1">
        <v>1</v>
      </c>
      <c r="D1760" s="1" t="str">
        <f>"00077"</f>
        <v>00077</v>
      </c>
      <c r="E1760" s="1" t="s">
        <v>24</v>
      </c>
      <c r="F1760" s="1">
        <v>10</v>
      </c>
      <c r="G1760" s="1">
        <v>7</v>
      </c>
      <c r="H1760" s="1">
        <v>0</v>
      </c>
      <c r="I1760" s="1" t="s">
        <v>199</v>
      </c>
      <c r="K1760" s="1" t="str">
        <f t="shared" si="108"/>
        <v>ㄅ</v>
      </c>
      <c r="L1760" s="1" t="str">
        <f t="shared" si="109"/>
        <v>ㄛ</v>
      </c>
      <c r="N1760" s="3" t="s">
        <v>30575</v>
      </c>
      <c r="O1760" s="3"/>
      <c r="P1760" s="1" t="s">
        <v>20</v>
      </c>
      <c r="R1760" s="1" t="s">
        <v>200</v>
      </c>
      <c r="V1760" s="1" t="s">
        <v>254</v>
      </c>
      <c r="AR1760" s="1" t="str">
        <f t="shared" si="110"/>
        <v>| [ㄅㄛˊ](ㄅㄛˊ.md) | [挬](挬.md) |  | bó | [動]
拔。《廣韻．入聲．沒韻》：「挬，拔也。」《淮南子．覽冥》：「挬拔其本，蕪棄其本。」 |</v>
      </c>
    </row>
    <row r="1761" spans="1:44">
      <c r="A1761" s="1" t="s">
        <v>255</v>
      </c>
      <c r="C1761" s="1">
        <v>1</v>
      </c>
      <c r="D1761" s="1" t="str">
        <f>"00078"</f>
        <v>00078</v>
      </c>
      <c r="E1761" s="1" t="s">
        <v>256</v>
      </c>
      <c r="F1761" s="1">
        <v>10</v>
      </c>
      <c r="G1761" s="1">
        <v>7</v>
      </c>
      <c r="H1761" s="1">
        <v>0</v>
      </c>
      <c r="I1761" s="1" t="s">
        <v>199</v>
      </c>
      <c r="K1761" s="1" t="str">
        <f t="shared" si="108"/>
        <v>ㄅ</v>
      </c>
      <c r="L1761" s="1" t="str">
        <f t="shared" si="109"/>
        <v>ㄛ</v>
      </c>
      <c r="N1761" s="3" t="s">
        <v>30575</v>
      </c>
      <c r="O1761" s="3"/>
      <c r="P1761" s="1" t="s">
        <v>20</v>
      </c>
      <c r="R1761" s="1" t="s">
        <v>200</v>
      </c>
      <c r="V1761" s="1" t="s">
        <v>257</v>
      </c>
      <c r="AR1761" s="1" t="str">
        <f t="shared" si="110"/>
        <v>| [ㄅㄛˊ](ㄅㄛˊ.md) | [郣](郣.md) |  | bó | [名]
1.隆起的地。《說文解字．邑部》：「郣，地之起者曰『郣』。」
2.塵土。《說文解字．邑部》「郣」字．清．段玉裁．注：「今俗謂粉之細者曰勃，皆即郣字。」
3.地名。春秋時齊國屬地。 |</v>
      </c>
    </row>
    <row r="1762" spans="1:44">
      <c r="A1762" s="1" t="s">
        <v>258</v>
      </c>
      <c r="C1762" s="1">
        <v>1</v>
      </c>
      <c r="D1762" s="1" t="str">
        <f>"00079"</f>
        <v>00079</v>
      </c>
      <c r="E1762" s="1" t="s">
        <v>139</v>
      </c>
      <c r="F1762" s="1">
        <v>11</v>
      </c>
      <c r="G1762" s="1">
        <v>7</v>
      </c>
      <c r="H1762" s="1">
        <v>0</v>
      </c>
      <c r="I1762" s="1" t="s">
        <v>199</v>
      </c>
      <c r="K1762" s="1" t="str">
        <f t="shared" ref="K1762:K1793" si="111">LEFT(I1762, 1)</f>
        <v>ㄅ</v>
      </c>
      <c r="L1762" s="1" t="str">
        <f t="shared" ref="L1762:L1793" si="112">MID(I1762, 2, 1)</f>
        <v>ㄛ</v>
      </c>
      <c r="N1762" s="3" t="s">
        <v>30575</v>
      </c>
      <c r="O1762" s="3"/>
      <c r="P1762" s="1" t="s">
        <v>20</v>
      </c>
      <c r="R1762" s="1" t="s">
        <v>200</v>
      </c>
      <c r="V1762" s="1" t="s">
        <v>259</v>
      </c>
      <c r="AR1762" s="1" t="str">
        <f t="shared" si="110"/>
        <v>| [ㄅㄛˊ](ㄅㄛˊ.md) | [桲](桲.md) |  | bó | [名]
一種農具。即用來打穀的連枷。《玉篇．木部》：「桲，今連枷，所以打穀也。」 |</v>
      </c>
    </row>
    <row r="1763" spans="1:44">
      <c r="A1763" s="1" t="s">
        <v>260</v>
      </c>
      <c r="C1763" s="1">
        <v>1</v>
      </c>
      <c r="D1763" s="1" t="str">
        <f>"00080"</f>
        <v>00080</v>
      </c>
      <c r="E1763" s="1" t="s">
        <v>37</v>
      </c>
      <c r="F1763" s="1">
        <v>11</v>
      </c>
      <c r="G1763" s="1">
        <v>7</v>
      </c>
      <c r="H1763" s="1">
        <v>2</v>
      </c>
      <c r="I1763" s="1" t="s">
        <v>199</v>
      </c>
      <c r="K1763" s="1" t="str">
        <f t="shared" si="111"/>
        <v>ㄅ</v>
      </c>
      <c r="L1763" s="1" t="str">
        <f t="shared" si="112"/>
        <v>ㄛ</v>
      </c>
      <c r="N1763" s="3" t="s">
        <v>30575</v>
      </c>
      <c r="O1763" s="3"/>
      <c r="P1763" s="1" t="s">
        <v>110</v>
      </c>
      <c r="R1763" s="1" t="s">
        <v>200</v>
      </c>
      <c r="V1763" s="1" t="s">
        <v>111</v>
      </c>
      <c r="W1763" s="1" t="s">
        <v>261</v>
      </c>
      <c r="AR1763" s="1" t="str">
        <f t="shared" si="110"/>
        <v>| [ㄅㄛˊ](ㄅㄛˊ.md) | [荸](荸.md) |  | bó | (一)之又音。 |</v>
      </c>
    </row>
    <row r="1764" spans="1:44">
      <c r="A1764" s="1" t="s">
        <v>262</v>
      </c>
      <c r="C1764" s="1">
        <v>1</v>
      </c>
      <c r="D1764" s="1" t="str">
        <f>"00081"</f>
        <v>00081</v>
      </c>
      <c r="E1764" s="1" t="s">
        <v>68</v>
      </c>
      <c r="F1764" s="1">
        <v>11</v>
      </c>
      <c r="G1764" s="1">
        <v>7</v>
      </c>
      <c r="H1764" s="1">
        <v>0</v>
      </c>
      <c r="I1764" s="1" t="s">
        <v>199</v>
      </c>
      <c r="K1764" s="1" t="str">
        <f t="shared" si="111"/>
        <v>ㄅ</v>
      </c>
      <c r="L1764" s="1" t="str">
        <f t="shared" si="112"/>
        <v>ㄛ</v>
      </c>
      <c r="N1764" s="3" t="s">
        <v>30575</v>
      </c>
      <c r="O1764" s="3"/>
      <c r="P1764" s="1" t="s">
        <v>20</v>
      </c>
      <c r="R1764" s="1" t="s">
        <v>200</v>
      </c>
      <c r="V1764" s="1" t="s">
        <v>263</v>
      </c>
      <c r="AR1764" s="1" t="str">
        <f t="shared" si="110"/>
        <v>| [ㄅㄛˊ](ㄅㄛˊ.md) | [脖](脖.md) |  | bó | [名]
頭與身體相連的部分。即頸項。俗稱為「脖子」。 |</v>
      </c>
    </row>
    <row r="1765" spans="1:44">
      <c r="A1765" s="1" t="s">
        <v>264</v>
      </c>
      <c r="C1765" s="1">
        <v>1</v>
      </c>
      <c r="D1765" s="1" t="str">
        <f>"00082"</f>
        <v>00082</v>
      </c>
      <c r="E1765" s="1" t="s">
        <v>129</v>
      </c>
      <c r="F1765" s="1">
        <v>12</v>
      </c>
      <c r="G1765" s="1">
        <v>9</v>
      </c>
      <c r="H1765" s="1">
        <v>0</v>
      </c>
      <c r="I1765" s="1" t="s">
        <v>199</v>
      </c>
      <c r="K1765" s="1" t="str">
        <f t="shared" si="111"/>
        <v>ㄅ</v>
      </c>
      <c r="L1765" s="1" t="str">
        <f t="shared" si="112"/>
        <v>ㄛ</v>
      </c>
      <c r="N1765" s="3" t="s">
        <v>30575</v>
      </c>
      <c r="O1765" s="3"/>
      <c r="P1765" s="1" t="s">
        <v>20</v>
      </c>
      <c r="R1765" s="1" t="s">
        <v>200</v>
      </c>
      <c r="V1765" s="1" t="s">
        <v>265</v>
      </c>
      <c r="AR1765" s="1" t="str">
        <f t="shared" si="110"/>
        <v>| [ㄅㄛˊ](ㄅㄛˊ.md) | [渤](渤.md) |  | bó | 參見「渤海」條。 |</v>
      </c>
    </row>
    <row r="1766" spans="1:44">
      <c r="A1766" s="1" t="s">
        <v>266</v>
      </c>
      <c r="C1766" s="1">
        <v>1</v>
      </c>
      <c r="D1766" s="1" t="str">
        <f>"00083"</f>
        <v>00083</v>
      </c>
      <c r="E1766" s="1" t="s">
        <v>37</v>
      </c>
      <c r="F1766" s="1">
        <v>13</v>
      </c>
      <c r="G1766" s="1">
        <v>9</v>
      </c>
      <c r="H1766" s="1">
        <v>0</v>
      </c>
      <c r="I1766" s="1" t="s">
        <v>199</v>
      </c>
      <c r="K1766" s="1" t="str">
        <f t="shared" si="111"/>
        <v>ㄅ</v>
      </c>
      <c r="L1766" s="1" t="str">
        <f t="shared" si="112"/>
        <v>ㄛ</v>
      </c>
      <c r="N1766" s="3" t="s">
        <v>30575</v>
      </c>
      <c r="O1766" s="3"/>
      <c r="P1766" s="1" t="s">
        <v>20</v>
      </c>
      <c r="R1766" s="1" t="s">
        <v>200</v>
      </c>
      <c r="V1766" s="1" t="s">
        <v>267</v>
      </c>
      <c r="AR1766" s="1" t="str">
        <f t="shared" si="110"/>
        <v>| [ㄅㄛˊ](ㄅㄛˊ.md) | [葧](葧.md) |  | bó | [名]
1.花蕊。明．張自烈《正字通．艸部》：「花蕊也，通作勃。麻花俗作『麻勃』，即麻蕊也。」
2.同「荸」。參見「荸薺」條。
[形]
茂盛。同「勃」。如：「蓊葧」。 |</v>
      </c>
    </row>
    <row r="1767" spans="1:44">
      <c r="A1767" s="1" t="s">
        <v>268</v>
      </c>
      <c r="C1767" s="1">
        <v>1</v>
      </c>
      <c r="D1767" s="1" t="str">
        <f>"00084"</f>
        <v>00084</v>
      </c>
      <c r="E1767" s="1" t="s">
        <v>269</v>
      </c>
      <c r="F1767" s="1">
        <v>16</v>
      </c>
      <c r="G1767" s="1">
        <v>7</v>
      </c>
      <c r="H1767" s="1">
        <v>0</v>
      </c>
      <c r="I1767" s="1" t="s">
        <v>199</v>
      </c>
      <c r="K1767" s="1" t="str">
        <f t="shared" si="111"/>
        <v>ㄅ</v>
      </c>
      <c r="L1767" s="1" t="str">
        <f t="shared" si="112"/>
        <v>ㄛ</v>
      </c>
      <c r="N1767" s="3" t="s">
        <v>30575</v>
      </c>
      <c r="O1767" s="3"/>
      <c r="P1767" s="1" t="s">
        <v>20</v>
      </c>
      <c r="R1767" s="1" t="s">
        <v>200</v>
      </c>
      <c r="V1767" s="1" t="s">
        <v>270</v>
      </c>
      <c r="AR1767" s="1" t="str">
        <f t="shared" si="110"/>
        <v>| [ㄅㄛˊ](ㄅㄛˊ.md) | [馞](馞.md) |  | bó | [形]
香氣濃郁。《集韻．入聲．沒韻》：「馞，香盛也。」 |</v>
      </c>
    </row>
    <row r="1768" spans="1:44">
      <c r="A1768" s="1" t="s">
        <v>271</v>
      </c>
      <c r="C1768" s="1">
        <v>1</v>
      </c>
      <c r="D1768" s="1" t="str">
        <f>"00085"</f>
        <v>00085</v>
      </c>
      <c r="E1768" s="1" t="s">
        <v>272</v>
      </c>
      <c r="F1768" s="1">
        <v>18</v>
      </c>
      <c r="G1768" s="1">
        <v>7</v>
      </c>
      <c r="H1768" s="1">
        <v>0</v>
      </c>
      <c r="I1768" s="1" t="s">
        <v>199</v>
      </c>
      <c r="K1768" s="1" t="str">
        <f t="shared" si="111"/>
        <v>ㄅ</v>
      </c>
      <c r="L1768" s="1" t="str">
        <f t="shared" si="112"/>
        <v>ㄛ</v>
      </c>
      <c r="N1768" s="3" t="s">
        <v>30575</v>
      </c>
      <c r="O1768" s="3"/>
      <c r="P1768" s="1" t="s">
        <v>20</v>
      </c>
      <c r="R1768" s="1" t="s">
        <v>200</v>
      </c>
      <c r="V1768" s="1" t="s">
        <v>273</v>
      </c>
      <c r="AR1768" s="1" t="str">
        <f t="shared" si="110"/>
        <v>| [ㄅㄛˊ](ㄅㄛˊ.md) | [鵓](鵓.md) |  | bó | 參見「鵓鴿」、「鵓鴣」等條。 |</v>
      </c>
    </row>
    <row r="1769" spans="1:44">
      <c r="A1769" s="1" t="s">
        <v>274</v>
      </c>
      <c r="C1769" s="1">
        <v>1</v>
      </c>
      <c r="D1769" s="1" t="str">
        <f>"00086"</f>
        <v>00086</v>
      </c>
      <c r="E1769" s="1" t="s">
        <v>275</v>
      </c>
      <c r="F1769" s="1">
        <v>23</v>
      </c>
      <c r="G1769" s="1">
        <v>13</v>
      </c>
      <c r="H1769" s="1">
        <v>2</v>
      </c>
      <c r="I1769" s="1" t="s">
        <v>199</v>
      </c>
      <c r="K1769" s="1" t="str">
        <f t="shared" si="111"/>
        <v>ㄅ</v>
      </c>
      <c r="L1769" s="1" t="str">
        <f t="shared" si="112"/>
        <v>ㄛ</v>
      </c>
      <c r="N1769" s="3" t="s">
        <v>30575</v>
      </c>
      <c r="O1769" s="3"/>
      <c r="P1769" s="1" t="s">
        <v>186</v>
      </c>
      <c r="R1769" s="1" t="s">
        <v>200</v>
      </c>
      <c r="V1769" s="1" t="s">
        <v>206</v>
      </c>
      <c r="W1769" s="1" t="s">
        <v>276</v>
      </c>
      <c r="AR1769" s="1" t="str">
        <f t="shared" si="110"/>
        <v>| [ㄅㄛˊ](ㄅㄛˊ.md) | [𩱚](𩱚.md) |  | bó | (一)之讀音。 |</v>
      </c>
    </row>
    <row r="1770" spans="1:44">
      <c r="A1770" s="1" t="s">
        <v>277</v>
      </c>
      <c r="C1770" s="1">
        <v>1</v>
      </c>
      <c r="D1770" s="1" t="str">
        <f>"00087"</f>
        <v>00087</v>
      </c>
      <c r="E1770" s="1" t="s">
        <v>238</v>
      </c>
      <c r="F1770" s="1">
        <v>10</v>
      </c>
      <c r="G1770" s="1">
        <v>5</v>
      </c>
      <c r="H1770" s="1">
        <v>1</v>
      </c>
      <c r="I1770" s="1" t="s">
        <v>199</v>
      </c>
      <c r="K1770" s="1" t="str">
        <f t="shared" si="111"/>
        <v>ㄅ</v>
      </c>
      <c r="L1770" s="1" t="str">
        <f t="shared" si="112"/>
        <v>ㄛ</v>
      </c>
      <c r="N1770" s="3" t="s">
        <v>30575</v>
      </c>
      <c r="O1770" s="3"/>
      <c r="P1770" s="1" t="s">
        <v>20</v>
      </c>
      <c r="R1770" s="1" t="s">
        <v>200</v>
      </c>
      <c r="V1770" s="1" t="s">
        <v>278</v>
      </c>
      <c r="W1770" s="1" t="s">
        <v>279</v>
      </c>
      <c r="AR1770" s="1" t="str">
        <f t="shared" si="110"/>
        <v>| [ㄅㄛˊ](ㄅㄛˊ.md) | [瓟](瓟.md) |  | bó | 參見「瓟瓜」條。 |</v>
      </c>
    </row>
    <row r="1771" spans="1:44">
      <c r="A1771" s="1" t="s">
        <v>280</v>
      </c>
      <c r="C1771" s="1">
        <v>1</v>
      </c>
      <c r="D1771" s="1" t="str">
        <f>"00088"</f>
        <v>00088</v>
      </c>
      <c r="E1771" s="1" t="s">
        <v>125</v>
      </c>
      <c r="F1771" s="1">
        <v>13</v>
      </c>
      <c r="G1771" s="1">
        <v>5</v>
      </c>
      <c r="H1771" s="1">
        <v>2</v>
      </c>
      <c r="I1771" s="1" t="s">
        <v>199</v>
      </c>
      <c r="K1771" s="1" t="str">
        <f t="shared" si="111"/>
        <v>ㄅ</v>
      </c>
      <c r="L1771" s="1" t="str">
        <f t="shared" si="112"/>
        <v>ㄛ</v>
      </c>
      <c r="N1771" s="3" t="s">
        <v>30575</v>
      </c>
      <c r="O1771" s="3"/>
      <c r="P1771" s="1" t="s">
        <v>110</v>
      </c>
      <c r="R1771" s="1" t="s">
        <v>200</v>
      </c>
      <c r="V1771" s="1" t="s">
        <v>111</v>
      </c>
      <c r="W1771" s="1" t="s">
        <v>281</v>
      </c>
      <c r="AR1771" s="1" t="str">
        <f t="shared" si="110"/>
        <v>| [ㄅㄛˊ](ㄅㄛˊ.md) | [雹](雹.md) |  | bó | (一)之又音。 |</v>
      </c>
    </row>
    <row r="1772" spans="1:44">
      <c r="A1772" s="1" t="s">
        <v>282</v>
      </c>
      <c r="C1772" s="1">
        <v>1</v>
      </c>
      <c r="D1772" s="1" t="str">
        <f>"00089"</f>
        <v>00089</v>
      </c>
      <c r="E1772" s="1" t="s">
        <v>283</v>
      </c>
      <c r="F1772" s="1">
        <v>15</v>
      </c>
      <c r="G1772" s="1">
        <v>5</v>
      </c>
      <c r="H1772" s="1">
        <v>0</v>
      </c>
      <c r="I1772" s="1" t="s">
        <v>199</v>
      </c>
      <c r="K1772" s="1" t="str">
        <f t="shared" si="111"/>
        <v>ㄅ</v>
      </c>
      <c r="L1772" s="1" t="str">
        <f t="shared" si="112"/>
        <v>ㄛ</v>
      </c>
      <c r="N1772" s="3" t="s">
        <v>30575</v>
      </c>
      <c r="O1772" s="3"/>
      <c r="P1772" s="1" t="s">
        <v>20</v>
      </c>
      <c r="R1772" s="1" t="s">
        <v>200</v>
      </c>
      <c r="V1772" s="1" t="s">
        <v>284</v>
      </c>
      <c r="AR1772" s="1" t="str">
        <f t="shared" si="110"/>
        <v>| [ㄅㄛˊ](ㄅㄛˊ.md) | [骲](骲.md) |  | bó | [名]
一種獸骨製的箭頭。《廣韻．上聲．巧韻》：「骲，骨鏃。」也稱為「骲頭」。 |</v>
      </c>
    </row>
    <row r="1773" spans="1:44">
      <c r="A1773" s="1" t="s">
        <v>285</v>
      </c>
      <c r="C1773" s="1">
        <v>1</v>
      </c>
      <c r="D1773" s="1" t="str">
        <f>"00090"</f>
        <v>00090</v>
      </c>
      <c r="E1773" s="1" t="s">
        <v>286</v>
      </c>
      <c r="F1773" s="1">
        <v>12</v>
      </c>
      <c r="G1773" s="1">
        <v>10</v>
      </c>
      <c r="H1773" s="1">
        <v>0</v>
      </c>
      <c r="I1773" s="1" t="s">
        <v>199</v>
      </c>
      <c r="K1773" s="1" t="str">
        <f t="shared" si="111"/>
        <v>ㄅ</v>
      </c>
      <c r="L1773" s="1" t="str">
        <f t="shared" si="112"/>
        <v>ㄛ</v>
      </c>
      <c r="N1773" s="3" t="s">
        <v>30575</v>
      </c>
      <c r="O1773" s="3"/>
      <c r="P1773" s="1" t="s">
        <v>20</v>
      </c>
      <c r="R1773" s="1" t="s">
        <v>200</v>
      </c>
      <c r="V1773" s="1" t="s">
        <v>287</v>
      </c>
      <c r="AR1773" s="1" t="str">
        <f t="shared" si="110"/>
        <v>| [ㄅㄛˊ](ㄅㄛˊ.md) | [博](博.md) |  | bó | [形]_x000D_
1.廣大、眾多的意思。《廣韻．入聲．鐸韻》：「博，廣也、大也、通也。」如：「廣博」、「地大物博」。_x000D_
2.比喻見識廣大。如：「淵博」。《荀子．修身》：「多聞曰博；少聞曰淺。」_x000D_
[名]_x000D_
姓。如漢代有博子勞。_x000D_
[動]_x000D_
1.賭錢。《論語．陽貨》：「子曰：『飽食終日，無所用心，難矣哉！不有博奕者乎？為之猶賢乎已！』」《史記．卷八六．刺客列傳．荊軻》：「魯句踐與荊軻博。」_x000D_
2.獲取。如：「博得同情」、「博得美人心」。 |</v>
      </c>
    </row>
    <row r="1774" spans="1:44">
      <c r="A1774" s="1" t="s">
        <v>288</v>
      </c>
      <c r="C1774" s="1">
        <v>1</v>
      </c>
      <c r="D1774" s="1" t="str">
        <f>"00091"</f>
        <v>00091</v>
      </c>
      <c r="E1774" s="1" t="s">
        <v>24</v>
      </c>
      <c r="F1774" s="1">
        <v>13</v>
      </c>
      <c r="G1774" s="1">
        <v>10</v>
      </c>
      <c r="H1774" s="1">
        <v>0</v>
      </c>
      <c r="I1774" s="1" t="s">
        <v>199</v>
      </c>
      <c r="K1774" s="1" t="str">
        <f t="shared" si="111"/>
        <v>ㄅ</v>
      </c>
      <c r="L1774" s="1" t="str">
        <f t="shared" si="112"/>
        <v>ㄛ</v>
      </c>
      <c r="N1774" s="3" t="s">
        <v>30575</v>
      </c>
      <c r="O1774" s="3"/>
      <c r="P1774" s="1" t="s">
        <v>20</v>
      </c>
      <c r="R1774" s="1" t="s">
        <v>200</v>
      </c>
      <c r="V1774" s="1" t="s">
        <v>289</v>
      </c>
      <c r="AR1774" s="1" t="str">
        <f t="shared" si="110"/>
        <v>| [ㄅㄛˊ](ㄅㄛˊ.md) | [搏](搏.md) |  | bó | [動]
1.雙方相撲打鬥。如：「搏鬥」。《左傳．僖公二十八年》：「晉侯夢與楚子搏。」
2.用手撲打。如：「搏擊」。
3.拍擊。唐．李渤〈辨石鐘山記〉：「微風鼓浪，水石相搏，聲如洪鐘。」
4.攫取、拾取。《史記．卷八七．李斯傳》：「鑠金百溢，盜跖不搏。」
[名]
參見「脈搏」條。 |</v>
      </c>
    </row>
    <row r="1775" spans="1:44">
      <c r="A1775" s="1" t="s">
        <v>290</v>
      </c>
      <c r="C1775" s="1">
        <v>1</v>
      </c>
      <c r="D1775" s="1" t="str">
        <f>"00092"</f>
        <v>00092</v>
      </c>
      <c r="E1775" s="1" t="s">
        <v>198</v>
      </c>
      <c r="F1775" s="1">
        <v>13</v>
      </c>
      <c r="G1775" s="1">
        <v>10</v>
      </c>
      <c r="H1775" s="1">
        <v>1</v>
      </c>
      <c r="I1775" s="1" t="s">
        <v>199</v>
      </c>
      <c r="K1775" s="1" t="str">
        <f t="shared" si="111"/>
        <v>ㄅ</v>
      </c>
      <c r="L1775" s="1" t="str">
        <f t="shared" si="112"/>
        <v>ㄛ</v>
      </c>
      <c r="N1775" s="3" t="s">
        <v>30575</v>
      </c>
      <c r="O1775" s="3"/>
      <c r="P1775" s="1" t="s">
        <v>20</v>
      </c>
      <c r="R1775" s="1" t="s">
        <v>200</v>
      </c>
      <c r="V1775" s="1" t="s">
        <v>291</v>
      </c>
      <c r="W1775" s="1" t="s">
        <v>292</v>
      </c>
      <c r="AR1775" s="1" t="str">
        <f t="shared" si="110"/>
        <v>| [ㄅㄛˊ](ㄅㄛˊ.md) | [猼](猼.md) |  | bó | [名]
1.古時的一種狗。《廣韻．入聲．鐸韻》：「猼，犬名。」
2.傳說中的野獸。同「𧳵」。《集韻．入聲．鐸韻》：「猼，獸名；似人有翼。」 |</v>
      </c>
    </row>
    <row r="1776" spans="1:44">
      <c r="A1776" s="1" t="s">
        <v>293</v>
      </c>
      <c r="C1776" s="1">
        <v>1</v>
      </c>
      <c r="D1776" s="1" t="str">
        <f>"00093"</f>
        <v>00093</v>
      </c>
      <c r="E1776" s="1" t="s">
        <v>68</v>
      </c>
      <c r="F1776" s="1">
        <v>14</v>
      </c>
      <c r="G1776" s="1">
        <v>10</v>
      </c>
      <c r="H1776" s="1">
        <v>0</v>
      </c>
      <c r="I1776" s="1" t="s">
        <v>199</v>
      </c>
      <c r="K1776" s="1" t="str">
        <f t="shared" si="111"/>
        <v>ㄅ</v>
      </c>
      <c r="L1776" s="1" t="str">
        <f t="shared" si="112"/>
        <v>ㄛ</v>
      </c>
      <c r="N1776" s="3" t="s">
        <v>30575</v>
      </c>
      <c r="O1776" s="3"/>
      <c r="P1776" s="1" t="s">
        <v>20</v>
      </c>
      <c r="R1776" s="1" t="s">
        <v>200</v>
      </c>
      <c r="V1776" s="1" t="s">
        <v>294</v>
      </c>
      <c r="AR1776" s="1" t="str">
        <f t="shared" si="110"/>
        <v>| [ㄅㄛˊ](ㄅㄛˊ.md) | [膊](膊.md) |  | bó | [名]_x000D_
1.身體肩以下手腕以上的部位。近肩部分稱為「上膊」，近手部分稱為「下膊」。如：「胳膊」。唐．孟棨《本事詩．嘲戲》：「國初，長孫太尉見歐陽率更，姿形麼陋，嘲之曰：『聳膊成山字，埋肩畏出頭，誰言麟閣上，畫此一獮猴。』」《西遊記》第一九回：「看看戰到天將曉，那妖精兩膊覺酸麻。」《陝西通志．卷六六．人物十二》引《馬志》：「姑患病，久不痊，忽聞肉香，欲食甚急。氏割左膊肉，深至骨，以奉姑，病隨愈。」_x000D_
2.泛指人的上身。如：「赤膊」、「打赤膊」。南朝梁．元帝《金樓子．卷一．箴戒》：「左右見之有斂眉者，大怒，令此人袒膊正立，以矛刺膊洞過。」唐．周賀〈贈胡僧〉詩：「背經來漢地，袒膊過冬天。」《水滸傳》第二回：「只見空地上一個後生脫膊著，刺著一身青龍，銀盤也似一個面皮，約有十八、九歲，拿條棒在那里使。」 |</v>
      </c>
    </row>
    <row r="1777" spans="1:44">
      <c r="A1777" s="1" t="s">
        <v>295</v>
      </c>
      <c r="C1777" s="1">
        <v>1</v>
      </c>
      <c r="D1777" s="1" t="str">
        <f>"00094"</f>
        <v>00094</v>
      </c>
      <c r="E1777" s="1" t="s">
        <v>37</v>
      </c>
      <c r="F1777" s="1">
        <v>17</v>
      </c>
      <c r="G1777" s="1">
        <v>13</v>
      </c>
      <c r="H1777" s="1">
        <v>1</v>
      </c>
      <c r="I1777" s="1" t="s">
        <v>199</v>
      </c>
      <c r="K1777" s="1" t="str">
        <f t="shared" si="111"/>
        <v>ㄅ</v>
      </c>
      <c r="L1777" s="1" t="str">
        <f t="shared" si="112"/>
        <v>ㄛ</v>
      </c>
      <c r="N1777" s="3" t="s">
        <v>30575</v>
      </c>
      <c r="O1777" s="3"/>
      <c r="P1777" s="1" t="s">
        <v>186</v>
      </c>
      <c r="R1777" s="1" t="s">
        <v>200</v>
      </c>
      <c r="V1777" s="1" t="s">
        <v>296</v>
      </c>
      <c r="W1777" s="1" t="s">
        <v>297</v>
      </c>
      <c r="AR1777" s="1" t="str">
        <f t="shared" si="110"/>
        <v>| [ㄅㄛˊ](ㄅㄛˊ.md) | [薄](薄.md) |  | bó | [形]
1.不厚的。《詩經．小雅．小旻》：「如臨深淵，如履薄冰。」
2.稀疏的。南朝梁．何遜〈入塞示南府同僚詩〉：「薄雲巖際出，初月波中上。」
3.貧瘠、不肥沃。如：「薄田」。
4.微不足道。如：「薄禮」、「薄技」。
5.卑賤。如：「出身微薄」。
6.不敦厚。如：「刻薄」、「薄情」。
7.不尊重。如：「輕薄」。
[名]
1.草木叢生的地方。《文選．鮑照．蕪城賦》：「灌莽杳而無際，叢薄紛其相依。」
2.簾子。《禮記．曲禮上》：「帷薄之外不趨，堂上不趨，執玉不趨。」
3.姓。如明代有薄珏。
[動]
1.減輕、減損。《左傳．成公十八年》：「禁淫慝，薄賦斂，宥罪戾。」
2.迫近、接近。《文選．李密．陳情表》：「日薄西山，氣息奄奄。」
3.附著。《楚辭．屈原．九章．涉江》：「腥臊並御，芳不薄兮。」
4.侵入。《荀子．天論》：「故水旱未至而飢，寒暑未薄而疾。」
5.鄙視。如：「厚此薄彼」、「妄自菲薄」。《史記．卷六五．孫子吳起傳》：「其母死，起終不歸。曾子薄之，而與起絕。」
[副]
輕微的。《論語．衛靈公》：「躬自厚而薄責於人。」 |</v>
      </c>
    </row>
    <row r="1778" spans="1:44">
      <c r="A1778" s="1" t="s">
        <v>298</v>
      </c>
      <c r="C1778" s="1">
        <v>1</v>
      </c>
      <c r="D1778" s="1" t="str">
        <f>"00095"</f>
        <v>00095</v>
      </c>
      <c r="E1778" s="1" t="s">
        <v>49</v>
      </c>
      <c r="F1778" s="1">
        <v>18</v>
      </c>
      <c r="G1778" s="1">
        <v>12</v>
      </c>
      <c r="H1778" s="1">
        <v>0</v>
      </c>
      <c r="I1778" s="1" t="s">
        <v>199</v>
      </c>
      <c r="K1778" s="1" t="str">
        <f t="shared" si="111"/>
        <v>ㄅ</v>
      </c>
      <c r="L1778" s="1" t="str">
        <f t="shared" si="112"/>
        <v>ㄛ</v>
      </c>
      <c r="N1778" s="3" t="s">
        <v>30575</v>
      </c>
      <c r="O1778" s="3"/>
      <c r="P1778" s="1" t="s">
        <v>20</v>
      </c>
      <c r="R1778" s="1" t="s">
        <v>200</v>
      </c>
      <c r="V1778" s="1" t="s">
        <v>299</v>
      </c>
      <c r="AR1778" s="1" t="str">
        <f t="shared" si="110"/>
        <v>| [ㄅㄛˊ](ㄅㄛˊ.md) | [簙](簙.md) |  | bó | [名]
古代一種賭博的遊戲。二人相對而坐，棋枰分十二道，棋子十二枚，六白六黑；相傳是上古烏曹發明的。《說文解字．竹部》：「簙，局戲也。六箸十二棋也。……古者烏曹作簙。」參見「博戲」條。《楚辭．宋玉．招魂》：「菎蔽象棋，有六簙些。」 |</v>
      </c>
    </row>
    <row r="1779" spans="1:44">
      <c r="A1779" s="1" t="s">
        <v>300</v>
      </c>
      <c r="C1779" s="1">
        <v>1</v>
      </c>
      <c r="D1779" s="1" t="str">
        <f>"00096"</f>
        <v>00096</v>
      </c>
      <c r="E1779" s="1" t="s">
        <v>55</v>
      </c>
      <c r="F1779" s="1">
        <v>18</v>
      </c>
      <c r="G1779" s="1">
        <v>10</v>
      </c>
      <c r="H1779" s="1">
        <v>0</v>
      </c>
      <c r="I1779" s="1" t="s">
        <v>199</v>
      </c>
      <c r="K1779" s="1" t="str">
        <f t="shared" si="111"/>
        <v>ㄅ</v>
      </c>
      <c r="L1779" s="1" t="str">
        <f t="shared" si="112"/>
        <v>ㄛ</v>
      </c>
      <c r="N1779" s="3" t="s">
        <v>30575</v>
      </c>
      <c r="O1779" s="3"/>
      <c r="P1779" s="1" t="s">
        <v>20</v>
      </c>
      <c r="R1779" s="1" t="s">
        <v>200</v>
      </c>
      <c r="V1779" s="1" t="s">
        <v>301</v>
      </c>
      <c r="AR1779" s="1" t="str">
        <f t="shared" si="110"/>
        <v>| [ㄅㄛˊ](ㄅㄛˊ.md) | [鎛](鎛.md) |  | bó | [名]
1.即鎛鱗。古代懸掛樂器、鐘的橫木上，用黃金塗飾，刻有龍圖的金花。《說文解字．金部》：「鎛，鎛鱗也。鐘上橫木上金華也。」清．段玉裁．注：「然則橫木刻為龍，而以黃金涂之，光華爛然，是之謂鎛鱗。」
2.古時鋤頭一類的農具。《說文解字．金部》：「鎛，……一曰田器。」《詩經．周頌．臣工》：「命我眾人，庤乃錢鎛。」漢．鄭玄．箋：「錢，銚；鎛，鎒。」
3.樂器名。打擊樂器。即大鐘。古代的一種形制接近於鐘的打擊樂器，無甬有鈕，但不像鐘口呈弧狀，為平口。器身橫截面為橢圓形或圓形。《周禮．春官．宗伯》：「鎛師。」唐．賈公彥．疏：「鎛，如鐘而大。」 |</v>
      </c>
    </row>
    <row r="1780" spans="1:44">
      <c r="A1780" s="1" t="s">
        <v>302</v>
      </c>
      <c r="C1780" s="1">
        <v>1</v>
      </c>
      <c r="D1780" s="1" t="str">
        <f>"00097"</f>
        <v>00097</v>
      </c>
      <c r="E1780" s="1" t="s">
        <v>193</v>
      </c>
      <c r="F1780" s="1">
        <v>18</v>
      </c>
      <c r="G1780" s="1">
        <v>10</v>
      </c>
      <c r="H1780" s="1">
        <v>0</v>
      </c>
      <c r="I1780" s="1" t="s">
        <v>199</v>
      </c>
      <c r="K1780" s="1" t="str">
        <f t="shared" si="111"/>
        <v>ㄅ</v>
      </c>
      <c r="L1780" s="1" t="str">
        <f t="shared" si="112"/>
        <v>ㄛ</v>
      </c>
      <c r="N1780" s="3" t="s">
        <v>30575</v>
      </c>
      <c r="O1780" s="3"/>
      <c r="P1780" s="1" t="s">
        <v>20</v>
      </c>
      <c r="R1780" s="1" t="s">
        <v>200</v>
      </c>
      <c r="V1780" s="1" t="s">
        <v>303</v>
      </c>
      <c r="AR1780" s="1" t="str">
        <f t="shared" si="110"/>
        <v>| [ㄅㄛˊ](ㄅㄛˊ.md) | [餺](餺.md) |  | bó | 參見「餺飥」條。 |</v>
      </c>
    </row>
    <row r="1781" spans="1:44">
      <c r="A1781" s="1" t="s">
        <v>304</v>
      </c>
      <c r="C1781" s="1">
        <v>1</v>
      </c>
      <c r="D1781" s="1" t="str">
        <f>"00098"</f>
        <v>00098</v>
      </c>
      <c r="E1781" s="1" t="s">
        <v>49</v>
      </c>
      <c r="F1781" s="1">
        <v>19</v>
      </c>
      <c r="G1781" s="1">
        <v>13</v>
      </c>
      <c r="H1781" s="1">
        <v>2</v>
      </c>
      <c r="I1781" s="1" t="s">
        <v>199</v>
      </c>
      <c r="K1781" s="1" t="str">
        <f t="shared" si="111"/>
        <v>ㄅ</v>
      </c>
      <c r="L1781" s="1" t="str">
        <f t="shared" si="112"/>
        <v>ㄛ</v>
      </c>
      <c r="N1781" s="3" t="s">
        <v>30575</v>
      </c>
      <c r="O1781" s="3"/>
      <c r="P1781" s="1" t="s">
        <v>20</v>
      </c>
      <c r="R1781" s="1" t="s">
        <v>200</v>
      </c>
      <c r="V1781" s="1" t="s">
        <v>305</v>
      </c>
      <c r="W1781" s="1" t="s">
        <v>306</v>
      </c>
      <c r="AR1781" s="1" t="str">
        <f t="shared" si="110"/>
        <v>| [ㄅㄛˊ](ㄅㄛˊ.md) | [簿](簿.md) |  | bó | [名]
1.用細竹或蘆草編成的養蠶器具。《集韻．入聲．鐸韻》：「簿，蠶具。」
2.簾子。同「箔」。明．張自烈《正字通．竹部》：「簿，簾簿。亦作箔。」 |</v>
      </c>
    </row>
    <row r="1782" spans="1:44">
      <c r="A1782" s="1" t="s">
        <v>307</v>
      </c>
      <c r="C1782" s="1">
        <v>1</v>
      </c>
      <c r="D1782" s="1" t="str">
        <f>"00099"</f>
        <v>00099</v>
      </c>
      <c r="E1782" s="1" t="s">
        <v>283</v>
      </c>
      <c r="F1782" s="1">
        <v>20</v>
      </c>
      <c r="G1782" s="1">
        <v>10</v>
      </c>
      <c r="H1782" s="1">
        <v>0</v>
      </c>
      <c r="I1782" s="1" t="s">
        <v>199</v>
      </c>
      <c r="K1782" s="1" t="str">
        <f t="shared" si="111"/>
        <v>ㄅ</v>
      </c>
      <c r="L1782" s="1" t="str">
        <f t="shared" si="112"/>
        <v>ㄛ</v>
      </c>
      <c r="N1782" s="3" t="s">
        <v>30575</v>
      </c>
      <c r="O1782" s="3"/>
      <c r="P1782" s="1" t="s">
        <v>20</v>
      </c>
      <c r="R1782" s="1" t="s">
        <v>200</v>
      </c>
      <c r="V1782" s="1" t="s">
        <v>308</v>
      </c>
      <c r="AR1782" s="1" t="str">
        <f t="shared" si="110"/>
        <v>| [ㄅㄛˊ](ㄅㄛˊ.md) | [髆](髆.md) |  | bó | [名]
肩胛骨。《說文解字．骨部》：「髆，肩甲也。」《後漢書．卷四二．東平憲王蒼傳》：「并遺宛馬一匹，血從前髆上小孔中出。」 |</v>
      </c>
    </row>
    <row r="1783" spans="1:44">
      <c r="A1783" s="1" t="s">
        <v>309</v>
      </c>
      <c r="C1783" s="1">
        <v>1</v>
      </c>
      <c r="D1783" s="1" t="str">
        <f>"00100"</f>
        <v>00100</v>
      </c>
      <c r="E1783" s="1" t="s">
        <v>139</v>
      </c>
      <c r="F1783" s="1">
        <v>21</v>
      </c>
      <c r="G1783" s="1">
        <v>17</v>
      </c>
      <c r="H1783" s="1">
        <v>0</v>
      </c>
      <c r="I1783" s="1" t="s">
        <v>199</v>
      </c>
      <c r="K1783" s="1" t="str">
        <f t="shared" si="111"/>
        <v>ㄅ</v>
      </c>
      <c r="L1783" s="1" t="str">
        <f t="shared" si="112"/>
        <v>ㄛ</v>
      </c>
      <c r="N1783" s="3" t="s">
        <v>30575</v>
      </c>
      <c r="O1783" s="3"/>
      <c r="P1783" s="1" t="s">
        <v>20</v>
      </c>
      <c r="R1783" s="1" t="s">
        <v>200</v>
      </c>
      <c r="V1783" s="1" t="s">
        <v>310</v>
      </c>
      <c r="AR1783" s="1" t="str">
        <f t="shared" si="110"/>
        <v>| [ㄅㄛˊ](ㄅㄛˊ.md) | [欂](欂.md) |  | bó | 參見「欂櫨」條。 |</v>
      </c>
    </row>
    <row r="1784" spans="1:44">
      <c r="A1784" s="1" t="s">
        <v>311</v>
      </c>
      <c r="C1784" s="1">
        <v>1</v>
      </c>
      <c r="D1784" s="1" t="str">
        <f>"00101"</f>
        <v>00101</v>
      </c>
      <c r="E1784" s="1" t="s">
        <v>169</v>
      </c>
      <c r="F1784" s="1">
        <v>22</v>
      </c>
      <c r="G1784" s="1">
        <v>17</v>
      </c>
      <c r="H1784" s="1">
        <v>0</v>
      </c>
      <c r="I1784" s="1" t="s">
        <v>199</v>
      </c>
      <c r="K1784" s="1" t="str">
        <f t="shared" si="111"/>
        <v>ㄅ</v>
      </c>
      <c r="L1784" s="1" t="str">
        <f t="shared" si="112"/>
        <v>ㄛ</v>
      </c>
      <c r="N1784" s="3" t="s">
        <v>30575</v>
      </c>
      <c r="O1784" s="3"/>
      <c r="P1784" s="1" t="s">
        <v>20</v>
      </c>
      <c r="R1784" s="1" t="s">
        <v>200</v>
      </c>
      <c r="V1784" s="1" t="s">
        <v>312</v>
      </c>
      <c r="AR1784" s="1" t="str">
        <f t="shared" si="110"/>
        <v>| [ㄅㄛˊ](ㄅㄛˊ.md) | [礴](礴.md) |  | bó | 參見「槃礴」、「磅礴」等條。 |</v>
      </c>
    </row>
    <row r="1785" spans="1:44">
      <c r="A1785" s="1" t="s">
        <v>313</v>
      </c>
      <c r="C1785" s="1">
        <v>1</v>
      </c>
      <c r="D1785" s="1" t="str">
        <f>"00102"</f>
        <v>00102</v>
      </c>
      <c r="E1785" s="1" t="s">
        <v>55</v>
      </c>
      <c r="F1785" s="1">
        <v>25</v>
      </c>
      <c r="G1785" s="1">
        <v>17</v>
      </c>
      <c r="H1785" s="1">
        <v>0</v>
      </c>
      <c r="I1785" s="1" t="s">
        <v>199</v>
      </c>
      <c r="K1785" s="1" t="str">
        <f t="shared" si="111"/>
        <v>ㄅ</v>
      </c>
      <c r="L1785" s="1" t="str">
        <f t="shared" si="112"/>
        <v>ㄛ</v>
      </c>
      <c r="N1785" s="3" t="s">
        <v>30575</v>
      </c>
      <c r="O1785" s="3"/>
      <c r="P1785" s="1" t="s">
        <v>20</v>
      </c>
      <c r="R1785" s="1" t="s">
        <v>200</v>
      </c>
      <c r="V1785" s="1" t="s">
        <v>314</v>
      </c>
      <c r="AR1785" s="1" t="str">
        <f t="shared" si="110"/>
        <v>| [ㄅㄛˊ](ㄅㄛˊ.md) | [鑮](鑮.md) |  | bó | [名]
1.樂器名，打擊樂器。即大鐘。《儀禮．大射》：「笙磬西面，其南笙鍾，其南鑮，皆南陳。」漢．鄭玄．注：「鑮，如鍾而大，奏樂以鼓鑮為節。」也稱為「鎛」。
2.鋤田的農具。漢．劉熙《釋名．釋用器》：「鑮，亦鋤類也。」 |</v>
      </c>
    </row>
    <row r="1786" spans="1:44">
      <c r="A1786" s="1" t="s">
        <v>315</v>
      </c>
      <c r="C1786" s="1">
        <v>1</v>
      </c>
      <c r="D1786" s="1" t="str">
        <f>"00103"</f>
        <v>00103</v>
      </c>
      <c r="E1786" s="1" t="s">
        <v>37</v>
      </c>
      <c r="F1786" s="1">
        <v>12</v>
      </c>
      <c r="G1786" s="1">
        <v>8</v>
      </c>
      <c r="H1786" s="1">
        <v>1</v>
      </c>
      <c r="I1786" s="1" t="s">
        <v>199</v>
      </c>
      <c r="K1786" s="1" t="str">
        <f t="shared" si="111"/>
        <v>ㄅ</v>
      </c>
      <c r="L1786" s="1" t="str">
        <f t="shared" si="112"/>
        <v>ㄛ</v>
      </c>
      <c r="N1786" s="3" t="s">
        <v>30575</v>
      </c>
      <c r="O1786" s="3"/>
      <c r="P1786" s="1" t="s">
        <v>20</v>
      </c>
      <c r="R1786" s="1" t="s">
        <v>200</v>
      </c>
      <c r="V1786" s="1" t="s">
        <v>316</v>
      </c>
      <c r="W1786" s="1" t="s">
        <v>317</v>
      </c>
      <c r="AR1786" s="1" t="str">
        <f t="shared" si="110"/>
        <v>| [ㄅㄛˊ](ㄅㄛˊ.md) | [菔](菔.md) |  | bó | 參見「蘆菔」條。 |</v>
      </c>
    </row>
    <row r="1787" spans="1:44">
      <c r="A1787" s="1" t="s">
        <v>318</v>
      </c>
      <c r="C1787" s="1">
        <v>1</v>
      </c>
      <c r="D1787" s="1" t="str">
        <f>"00104"</f>
        <v>00104</v>
      </c>
      <c r="E1787" s="1" t="s">
        <v>319</v>
      </c>
      <c r="F1787" s="1">
        <v>14</v>
      </c>
      <c r="G1787" s="1">
        <v>4</v>
      </c>
      <c r="H1787" s="1">
        <v>0</v>
      </c>
      <c r="I1787" s="1" t="s">
        <v>199</v>
      </c>
      <c r="K1787" s="1" t="str">
        <f t="shared" si="111"/>
        <v>ㄅ</v>
      </c>
      <c r="L1787" s="1" t="str">
        <f t="shared" si="112"/>
        <v>ㄛ</v>
      </c>
      <c r="N1787" s="3" t="s">
        <v>30575</v>
      </c>
      <c r="O1787" s="3"/>
      <c r="P1787" s="1" t="s">
        <v>20</v>
      </c>
      <c r="R1787" s="1" t="s">
        <v>200</v>
      </c>
      <c r="V1787" s="1" t="s">
        <v>320</v>
      </c>
      <c r="AR1787" s="1" t="str">
        <f t="shared" si="110"/>
        <v>| [ㄅㄛˊ](ㄅㄛˊ.md) | [駁](駁.md) |  | bó | [形]
1.馬的毛色不純。《說文解字．馬部》：「駁，馬色不純。」
2.引申為顏色雜亂或事務紛雜的意思。如：「斑駁」、「踳駁」、「舛駁」。
[動]
1.爭辯事理，否定別人的意見。如：「反駁」、「辯駁」。《紅樓夢》第五五回：「倘或他要駁我的事，你可別分辯。」
2.載卸貨物。如：「駁運」、「駁貨」。 |</v>
      </c>
    </row>
    <row r="1788" spans="1:44">
      <c r="A1788" s="1" t="s">
        <v>321</v>
      </c>
      <c r="C1788" s="1">
        <v>1</v>
      </c>
      <c r="D1788" s="1" t="str">
        <f>"00105"</f>
        <v>00105</v>
      </c>
      <c r="E1788" s="1" t="s">
        <v>114</v>
      </c>
      <c r="F1788" s="1">
        <v>14</v>
      </c>
      <c r="G1788" s="1">
        <v>12</v>
      </c>
      <c r="H1788" s="1">
        <v>0</v>
      </c>
      <c r="I1788" s="1" t="s">
        <v>199</v>
      </c>
      <c r="K1788" s="1" t="str">
        <f t="shared" si="111"/>
        <v>ㄅ</v>
      </c>
      <c r="L1788" s="1" t="str">
        <f t="shared" si="112"/>
        <v>ㄛ</v>
      </c>
      <c r="N1788" s="3" t="s">
        <v>30575</v>
      </c>
      <c r="O1788" s="3"/>
      <c r="P1788" s="1" t="s">
        <v>20</v>
      </c>
      <c r="R1788" s="1" t="s">
        <v>200</v>
      </c>
      <c r="V1788" s="1" t="s">
        <v>322</v>
      </c>
      <c r="AR1788" s="1" t="str">
        <f t="shared" si="110"/>
        <v>| [ㄅㄛˊ](ㄅㄛˊ.md) | [僰](僰.md) |  | bó | [名]
中國古代少數民族之一。參見「僰人」條。 |</v>
      </c>
    </row>
    <row r="1789" spans="1:44">
      <c r="A1789" s="1" t="s">
        <v>323</v>
      </c>
      <c r="C1789" s="1">
        <v>1</v>
      </c>
      <c r="D1789" s="1" t="str">
        <f>"00106"</f>
        <v>00106</v>
      </c>
      <c r="E1789" s="1" t="s">
        <v>37</v>
      </c>
      <c r="F1789" s="1">
        <v>15</v>
      </c>
      <c r="G1789" s="1">
        <v>11</v>
      </c>
      <c r="H1789" s="1">
        <v>1</v>
      </c>
      <c r="I1789" s="1" t="s">
        <v>199</v>
      </c>
      <c r="K1789" s="1" t="str">
        <f t="shared" si="111"/>
        <v>ㄅ</v>
      </c>
      <c r="L1789" s="1" t="str">
        <f t="shared" si="112"/>
        <v>ㄛ</v>
      </c>
      <c r="N1789" s="3" t="s">
        <v>30575</v>
      </c>
      <c r="O1789" s="3"/>
      <c r="P1789" s="1" t="s">
        <v>186</v>
      </c>
      <c r="R1789" s="1" t="s">
        <v>200</v>
      </c>
      <c r="V1789" s="1" t="s">
        <v>324</v>
      </c>
      <c r="W1789" s="1" t="s">
        <v>325</v>
      </c>
      <c r="AR1789" s="1" t="str">
        <f t="shared" si="110"/>
        <v>| [ㄅㄛˊ](ㄅㄛˊ.md) | [蔔](蔔.md) |  | bó | (二)之讀音。 |</v>
      </c>
    </row>
    <row r="1790" spans="1:44">
      <c r="A1790" s="1" t="s">
        <v>326</v>
      </c>
      <c r="C1790" s="1">
        <v>1</v>
      </c>
      <c r="D1790" s="1" t="str">
        <f>"00107"</f>
        <v>00107</v>
      </c>
      <c r="E1790" s="1" t="s">
        <v>77</v>
      </c>
      <c r="F1790" s="1">
        <v>15</v>
      </c>
      <c r="G1790" s="1">
        <v>8</v>
      </c>
      <c r="H1790" s="1">
        <v>0</v>
      </c>
      <c r="I1790" s="1" t="s">
        <v>199</v>
      </c>
      <c r="K1790" s="1" t="str">
        <f t="shared" si="111"/>
        <v>ㄅ</v>
      </c>
      <c r="L1790" s="1" t="str">
        <f t="shared" si="112"/>
        <v>ㄛ</v>
      </c>
      <c r="N1790" s="3" t="s">
        <v>30575</v>
      </c>
      <c r="O1790" s="3"/>
      <c r="P1790" s="1" t="s">
        <v>20</v>
      </c>
      <c r="R1790" s="1" t="s">
        <v>200</v>
      </c>
      <c r="V1790" s="1" t="s">
        <v>327</v>
      </c>
      <c r="AR1790" s="1" t="str">
        <f t="shared" si="110"/>
        <v>| [ㄅㄛˊ](ㄅㄛˊ.md) | [踣](踣.md) |  | bó | [動]
1.跌倒。如：「踣地不起」。《聊齋志異．卷一．勞山道士》：「頭觸硬壁，驀然而踣。」
2.倒斃。《國語．魯語上》：「紂踣于京。」
3.暴屍。《周禮．秋官．掌戮》：「凡殺人者踣諸市，肆之三日。」 |</v>
      </c>
    </row>
    <row r="1791" spans="1:44">
      <c r="A1791" s="1" t="s">
        <v>328</v>
      </c>
      <c r="C1791" s="1">
        <v>1</v>
      </c>
      <c r="D1791" s="1" t="str">
        <f>"00108"</f>
        <v>00108</v>
      </c>
      <c r="E1791" s="1" t="s">
        <v>319</v>
      </c>
      <c r="F1791" s="1">
        <v>16</v>
      </c>
      <c r="G1791" s="1">
        <v>6</v>
      </c>
      <c r="H1791" s="1">
        <v>0</v>
      </c>
      <c r="I1791" s="1" t="s">
        <v>199</v>
      </c>
      <c r="K1791" s="1" t="str">
        <f t="shared" si="111"/>
        <v>ㄅ</v>
      </c>
      <c r="L1791" s="1" t="str">
        <f t="shared" si="112"/>
        <v>ㄛ</v>
      </c>
      <c r="N1791" s="3" t="s">
        <v>30575</v>
      </c>
      <c r="O1791" s="3"/>
      <c r="P1791" s="1" t="s">
        <v>20</v>
      </c>
      <c r="R1791" s="1" t="s">
        <v>200</v>
      </c>
      <c r="V1791" s="1" t="s">
        <v>329</v>
      </c>
      <c r="AR1791" s="1" t="str">
        <f t="shared" si="110"/>
        <v>| [ㄅㄛˊ](ㄅㄛˊ.md) | [駮](駮.md) |  | bó | [名]
傳說中的猛獸。《山海經．西山經》：「中曲之山有獸焉，其狀如馬而白身黑尾，一角，虎牙爪，音如鼓音，其名曰：『駮』，是食虎豹。」
[動]
1.駁正、非難。參見「駮議」條。
2.矛盾、違逆。《後漢書．卷二四．馬援傳》：「條奏越律與漢律駮者十餘事，與越人申明舊制以約束之。」
3.辯論、提出異議。《漢書．卷八三．薛宣傳》：「宣謂修三年服少能行之者，兄弟相駮不可，修遂竟服，繇是兄弟不和。」
[形]
1.顏色雜亂。如：「斑駮」。
2.雜亂。《荀子．王霸》：「粹而王，駮而霸。」 |</v>
      </c>
    </row>
    <row r="1792" spans="1:44">
      <c r="A1792" s="1" t="s">
        <v>330</v>
      </c>
      <c r="C1792" s="1">
        <v>1</v>
      </c>
      <c r="D1792" s="1" t="str">
        <f>"00109"</f>
        <v>00109</v>
      </c>
      <c r="E1792" s="1" t="s">
        <v>331</v>
      </c>
      <c r="F1792" s="1">
        <v>17</v>
      </c>
      <c r="G1792" s="1">
        <v>10</v>
      </c>
      <c r="H1792" s="1">
        <v>3</v>
      </c>
      <c r="I1792" s="1" t="s">
        <v>199</v>
      </c>
      <c r="K1792" s="1" t="str">
        <f t="shared" si="111"/>
        <v>ㄅ</v>
      </c>
      <c r="L1792" s="1" t="str">
        <f t="shared" si="112"/>
        <v>ㄛ</v>
      </c>
      <c r="N1792" s="3" t="s">
        <v>30575</v>
      </c>
      <c r="O1792" s="3"/>
      <c r="P1792" s="1" t="s">
        <v>110</v>
      </c>
      <c r="R1792" s="1" t="s">
        <v>200</v>
      </c>
      <c r="V1792" s="1" t="s">
        <v>111</v>
      </c>
      <c r="W1792" s="1" t="s">
        <v>332</v>
      </c>
      <c r="AR1792" s="1" t="str">
        <f t="shared" si="110"/>
        <v>| [ㄅㄛˊ](ㄅㄛˊ.md) | [謈](謈.md) |  | bó | (一)之又音。 |</v>
      </c>
    </row>
    <row r="1793" spans="1:44">
      <c r="A1793" s="1" t="s">
        <v>333</v>
      </c>
      <c r="C1793" s="1">
        <v>1</v>
      </c>
      <c r="D1793" s="1" t="str">
        <f>"00110"</f>
        <v>00110</v>
      </c>
      <c r="E1793" s="1" t="s">
        <v>250</v>
      </c>
      <c r="F1793" s="1">
        <v>18</v>
      </c>
      <c r="G1793" s="1">
        <v>15</v>
      </c>
      <c r="H1793" s="1">
        <v>0</v>
      </c>
      <c r="I1793" s="1" t="s">
        <v>199</v>
      </c>
      <c r="K1793" s="1" t="str">
        <f t="shared" si="111"/>
        <v>ㄅ</v>
      </c>
      <c r="L1793" s="1" t="str">
        <f t="shared" si="112"/>
        <v>ㄛ</v>
      </c>
      <c r="N1793" s="3" t="s">
        <v>30575</v>
      </c>
      <c r="O1793" s="3"/>
      <c r="P1793" s="1" t="s">
        <v>20</v>
      </c>
      <c r="R1793" s="1" t="s">
        <v>200</v>
      </c>
      <c r="V1793" s="1" t="s">
        <v>334</v>
      </c>
      <c r="AR1793" s="1" t="str">
        <f t="shared" si="110"/>
        <v>| [ㄅㄛˊ](ㄅㄛˊ.md) | [懪](懪.md) |  | bó | 參見「懪懪」條。 |</v>
      </c>
    </row>
    <row r="1794" spans="1:44">
      <c r="A1794" s="1" t="s">
        <v>335</v>
      </c>
      <c r="C1794" s="1">
        <v>1</v>
      </c>
      <c r="D1794" s="1" t="str">
        <f>"00111"</f>
        <v>00111</v>
      </c>
      <c r="E1794" s="1" t="s">
        <v>336</v>
      </c>
      <c r="F1794" s="1">
        <v>19</v>
      </c>
      <c r="G1794" s="1">
        <v>15</v>
      </c>
      <c r="H1794" s="1">
        <v>2</v>
      </c>
      <c r="I1794" s="1" t="s">
        <v>199</v>
      </c>
      <c r="K1794" s="1" t="str">
        <f t="shared" ref="K1794:K1801" si="113">LEFT(I1794, 1)</f>
        <v>ㄅ</v>
      </c>
      <c r="L1794" s="1" t="str">
        <f t="shared" ref="L1794:L1801" si="114">MID(I1794, 2, 1)</f>
        <v>ㄛ</v>
      </c>
      <c r="N1794" s="3" t="s">
        <v>30575</v>
      </c>
      <c r="O1794" s="3"/>
      <c r="P1794" s="1" t="s">
        <v>20</v>
      </c>
      <c r="R1794" s="1" t="s">
        <v>200</v>
      </c>
      <c r="V1794" s="1" t="s">
        <v>337</v>
      </c>
      <c r="W1794" s="1" t="s">
        <v>338</v>
      </c>
      <c r="AR1794" s="1" t="str">
        <f t="shared" si="110"/>
        <v>| [ㄅㄛˊ](ㄅㄛˊ.md) | [爆](爆.md) |  | bó | [動]
用火烤乾。《集韻．入聲．鐸韻》：「爆，火乾也。」
[形]
爆爍：枝葉稀疏不密。《詩經．大雅．桑柔》：「捋采其劉。」漢．鄭玄．箋：「及已將採之，則葉爆爍而疏。」 |</v>
      </c>
    </row>
    <row r="1795" spans="1:44">
      <c r="A1795" s="1" t="s">
        <v>339</v>
      </c>
      <c r="C1795" s="1">
        <v>1</v>
      </c>
      <c r="D1795" s="1" t="str">
        <f>"00112"</f>
        <v>00112</v>
      </c>
      <c r="E1795" s="1" t="s">
        <v>340</v>
      </c>
      <c r="F1795" s="1">
        <v>20</v>
      </c>
      <c r="G1795" s="1">
        <v>15</v>
      </c>
      <c r="H1795" s="1">
        <v>0</v>
      </c>
      <c r="I1795" s="1" t="s">
        <v>199</v>
      </c>
      <c r="K1795" s="1" t="str">
        <f t="shared" si="113"/>
        <v>ㄅ</v>
      </c>
      <c r="L1795" s="1" t="str">
        <f t="shared" si="114"/>
        <v>ㄛ</v>
      </c>
      <c r="N1795" s="3" t="s">
        <v>30575</v>
      </c>
      <c r="O1795" s="3"/>
      <c r="P1795" s="1" t="s">
        <v>20</v>
      </c>
      <c r="R1795" s="1" t="s">
        <v>200</v>
      </c>
      <c r="V1795" s="1" t="s">
        <v>341</v>
      </c>
      <c r="AR1795" s="1" t="str">
        <f t="shared" ref="AR1795:AR1858" si="115">"| ["&amp;I1795&amp;"]("&amp;I1795&amp;".md) | ["&amp;A1795&amp;"]("&amp;A1795&amp;".md) | "&amp;" | "&amp;R1795&amp;" | "&amp;V1795&amp;" |"</f>
        <v>| [ㄅㄛˊ](ㄅㄛˊ.md) | [襮](襮.md) |  | bó | [名]
衣領。《詩經．唐風．揚之水》：「素衣朱襮，從子于沃。」
[動]
表明、暴露的意思。參見「表襮」條。 |</v>
      </c>
    </row>
    <row r="1796" spans="1:44">
      <c r="A1796" s="1" t="s">
        <v>342</v>
      </c>
      <c r="C1796" s="1">
        <v>1</v>
      </c>
      <c r="D1796" s="1" t="str">
        <f>"00113"</f>
        <v>00113</v>
      </c>
      <c r="E1796" s="1" t="s">
        <v>272</v>
      </c>
      <c r="F1796" s="1">
        <v>26</v>
      </c>
      <c r="G1796" s="1">
        <v>15</v>
      </c>
      <c r="H1796" s="1">
        <v>0</v>
      </c>
      <c r="I1796" s="1" t="s">
        <v>199</v>
      </c>
      <c r="K1796" s="1" t="str">
        <f t="shared" si="113"/>
        <v>ㄅ</v>
      </c>
      <c r="L1796" s="1" t="str">
        <f t="shared" si="114"/>
        <v>ㄛ</v>
      </c>
      <c r="N1796" s="3" t="s">
        <v>30575</v>
      </c>
      <c r="O1796" s="3"/>
      <c r="P1796" s="1" t="s">
        <v>20</v>
      </c>
      <c r="R1796" s="1" t="s">
        <v>200</v>
      </c>
      <c r="V1796" s="1" t="s">
        <v>343</v>
      </c>
      <c r="AR1796" s="1" t="str">
        <f t="shared" si="115"/>
        <v>| [ㄅㄛˊ](ㄅㄛˊ.md) | [鸔](鸔.md) |  | bó | [名]
動物名。一種水鳥。外形像鷺鷥而頸子較短，腹部和翅膀呈紫白色，背部綠色。 |</v>
      </c>
    </row>
    <row r="1797" spans="1:44">
      <c r="A1797" s="1" t="s">
        <v>344</v>
      </c>
      <c r="C1797" s="1">
        <v>1</v>
      </c>
      <c r="D1797" s="1" t="str">
        <f>"00114"</f>
        <v>00114</v>
      </c>
      <c r="E1797" s="1" t="s">
        <v>129</v>
      </c>
      <c r="F1797" s="1">
        <v>18</v>
      </c>
      <c r="G1797" s="1">
        <v>15</v>
      </c>
      <c r="H1797" s="1">
        <v>2</v>
      </c>
      <c r="I1797" s="1" t="s">
        <v>199</v>
      </c>
      <c r="K1797" s="1" t="str">
        <f t="shared" si="113"/>
        <v>ㄅ</v>
      </c>
      <c r="L1797" s="1" t="str">
        <f t="shared" si="114"/>
        <v>ㄛ</v>
      </c>
      <c r="N1797" s="3" t="s">
        <v>30575</v>
      </c>
      <c r="O1797" s="3"/>
      <c r="P1797" s="1" t="s">
        <v>20</v>
      </c>
      <c r="R1797" s="1" t="s">
        <v>200</v>
      </c>
      <c r="V1797" s="1" t="s">
        <v>345</v>
      </c>
      <c r="W1797" s="1" t="s">
        <v>346</v>
      </c>
      <c r="AR1797" s="1" t="str">
        <f t="shared" si="115"/>
        <v>| [ㄅㄛˊ](ㄅㄛˊ.md) | [濼](濼.md) |  | bó | [名]
湖泊。通「泊」。《大宋宣和遺事．亨集》：「直奔梁山濼上。」 |</v>
      </c>
    </row>
    <row r="1798" spans="1:44">
      <c r="A1798" s="1" t="s">
        <v>347</v>
      </c>
      <c r="C1798" s="1">
        <v>1</v>
      </c>
      <c r="D1798" s="1" t="str">
        <f>"00115"</f>
        <v>00115</v>
      </c>
      <c r="E1798" s="1" t="s">
        <v>340</v>
      </c>
      <c r="F1798" s="1">
        <v>18</v>
      </c>
      <c r="G1798" s="1">
        <v>12</v>
      </c>
      <c r="H1798" s="1">
        <v>0</v>
      </c>
      <c r="I1798" s="1" t="s">
        <v>199</v>
      </c>
      <c r="K1798" s="1" t="str">
        <f t="shared" si="113"/>
        <v>ㄅ</v>
      </c>
      <c r="L1798" s="1" t="str">
        <f t="shared" si="114"/>
        <v>ㄛ</v>
      </c>
      <c r="N1798" s="3" t="s">
        <v>30575</v>
      </c>
      <c r="O1798" s="3"/>
      <c r="P1798" s="1" t="s">
        <v>20</v>
      </c>
      <c r="R1798" s="1" t="s">
        <v>200</v>
      </c>
      <c r="V1798" s="1" t="s">
        <v>348</v>
      </c>
      <c r="AR1798" s="1" t="str">
        <f t="shared" si="115"/>
        <v>| [ㄅㄛˊ](ㄅㄛˊ.md) | [襏](襏.md) |  | bó | 參見「襏襫」條。 |</v>
      </c>
    </row>
    <row r="1799" spans="1:44">
      <c r="A1799" s="1" t="s">
        <v>349</v>
      </c>
      <c r="C1799" s="1">
        <v>1</v>
      </c>
      <c r="D1799" s="1" t="str">
        <f>"00116"</f>
        <v>00116</v>
      </c>
      <c r="E1799" s="1" t="s">
        <v>46</v>
      </c>
      <c r="F1799" s="1">
        <v>19</v>
      </c>
      <c r="G1799" s="1">
        <v>13</v>
      </c>
      <c r="H1799" s="1">
        <v>0</v>
      </c>
      <c r="I1799" s="1" t="s">
        <v>199</v>
      </c>
      <c r="K1799" s="1" t="str">
        <f t="shared" si="113"/>
        <v>ㄅ</v>
      </c>
      <c r="L1799" s="1" t="str">
        <f t="shared" si="114"/>
        <v>ㄛ</v>
      </c>
      <c r="N1799" s="3" t="s">
        <v>30575</v>
      </c>
      <c r="O1799" s="3"/>
      <c r="P1799" s="1" t="s">
        <v>20</v>
      </c>
      <c r="R1799" s="1" t="s">
        <v>200</v>
      </c>
      <c r="V1799" s="1" t="s">
        <v>350</v>
      </c>
      <c r="AR1799" s="1" t="str">
        <f t="shared" si="115"/>
        <v>| [ㄅㄛˊ](ㄅㄛˊ.md) | [糪](糪.md) |  | bó | [名]
半生半熟的飯。《廣韻．入聲．麥韻》：「糪，飯半生貌。」 |</v>
      </c>
    </row>
    <row r="1800" spans="1:44">
      <c r="A1800" s="1" t="s">
        <v>351</v>
      </c>
      <c r="C1800" s="1">
        <v>1</v>
      </c>
      <c r="D1800" s="1" t="str">
        <f>"00117"</f>
        <v>00117</v>
      </c>
      <c r="E1800" s="1" t="s">
        <v>77</v>
      </c>
      <c r="F1800" s="1">
        <v>12</v>
      </c>
      <c r="G1800" s="1">
        <v>5</v>
      </c>
      <c r="H1800" s="1">
        <v>1</v>
      </c>
      <c r="I1800" s="1" t="s">
        <v>352</v>
      </c>
      <c r="K1800" s="1" t="str">
        <f t="shared" si="113"/>
        <v>ㄅ</v>
      </c>
      <c r="L1800" s="1" t="str">
        <f t="shared" si="114"/>
        <v>ㄛ</v>
      </c>
      <c r="N1800" s="3" t="s">
        <v>30576</v>
      </c>
      <c r="O1800" s="3"/>
      <c r="P1800" s="1" t="s">
        <v>20</v>
      </c>
      <c r="R1800" s="1" t="s">
        <v>353</v>
      </c>
      <c r="V1800" s="1" t="s">
        <v>354</v>
      </c>
      <c r="W1800" s="1" t="s">
        <v>355</v>
      </c>
      <c r="AR1800" s="1" t="str">
        <f t="shared" si="115"/>
        <v>| [ㄅㄛˇ](ㄅㄛˇ.md) | [跛](跛.md) |  | bǒ | [形]_x000D_
腳有殘疾，走起來身體歪歪斜斜，不能平衡。如：「跛腳」。《穀梁傳．成公十年》：「衛孫良夫跛。」《太平廣記．卷一二七．盧叔敏》引《逸史》：「驅跛牛者，乃殺盧生賊也。」宋．梅堯臣〈田家語〉詩：「盲跛不能耕，死亡在遲速。」_x000D_
[名]_x000D_
腳有殘疾的人。《北史．卷三．魏本紀．高祖孝文帝》：「路見眇跛，停駕親問，賜衣食，復終身。」明．吳寛〈榆〉詩：「古人無棄物，守圃常用跛。」 |</v>
      </c>
    </row>
    <row r="1801" spans="1:44">
      <c r="A1801" s="1" t="s">
        <v>356</v>
      </c>
      <c r="C1801" s="1">
        <v>1</v>
      </c>
      <c r="D1801" s="1" t="str">
        <f>"00118"</f>
        <v>00118</v>
      </c>
      <c r="E1801" s="1" t="s">
        <v>49</v>
      </c>
      <c r="F1801" s="1">
        <v>19</v>
      </c>
      <c r="G1801" s="1">
        <v>13</v>
      </c>
      <c r="H1801" s="1">
        <v>1</v>
      </c>
      <c r="I1801" s="1" t="s">
        <v>352</v>
      </c>
      <c r="K1801" s="1" t="str">
        <f t="shared" si="113"/>
        <v>ㄅ</v>
      </c>
      <c r="L1801" s="1" t="str">
        <f t="shared" si="114"/>
        <v>ㄛ</v>
      </c>
      <c r="N1801" s="3" t="s">
        <v>30576</v>
      </c>
      <c r="O1801" s="3"/>
      <c r="P1801" s="1" t="s">
        <v>20</v>
      </c>
      <c r="R1801" s="1" t="s">
        <v>353</v>
      </c>
      <c r="V1801" s="1" t="s">
        <v>357</v>
      </c>
      <c r="W1801" s="1" t="s">
        <v>358</v>
      </c>
      <c r="AR1801" s="1" t="str">
        <f t="shared" si="115"/>
        <v>| [ㄅㄛˇ](ㄅㄛˇ.md) | [簸](簸.md) |  | bǒ | [動]
1.用畚箕搖動，使米起落，以除去米糠。《詩經．大雅．生民》：「或舂或揄，或簸或蹂。」
2.搖動。《文選．張衡．西京賦》：「爾乃振天維，衍地絡，蕩川瀆，簸林薄。」
3.蹧蹋、花費。《儒林外史》第四回：「不過要簸掉我幾兩銀子，好把屋後的那一塊田賣與他。」 |</v>
      </c>
    </row>
    <row r="1802" spans="1:44">
      <c r="A1802" s="1" t="s">
        <v>163</v>
      </c>
      <c r="C1802" s="1">
        <v>1</v>
      </c>
      <c r="D1802" s="1" t="str">
        <f>"00129"</f>
        <v>00129</v>
      </c>
      <c r="E1802" s="1" t="s">
        <v>28</v>
      </c>
      <c r="F1802" s="1">
        <v>11</v>
      </c>
      <c r="G1802" s="1">
        <v>8</v>
      </c>
      <c r="H1802" s="1">
        <v>2</v>
      </c>
      <c r="I1802" s="1" t="s">
        <v>385</v>
      </c>
      <c r="J1802" s="2" t="s">
        <v>30559</v>
      </c>
      <c r="K1802" s="1" t="s">
        <v>30560</v>
      </c>
      <c r="L1802" s="1" t="s">
        <v>24165</v>
      </c>
      <c r="P1802" s="1" t="s">
        <v>110</v>
      </c>
      <c r="R1802" s="1" t="s">
        <v>386</v>
      </c>
      <c r="V1802" s="1" t="s">
        <v>111</v>
      </c>
      <c r="W1802" s="1" t="s">
        <v>387</v>
      </c>
      <c r="AR1802" s="1" t="str">
        <f t="shared" si="115"/>
        <v>| [˙ㄅㄛ](˙ㄅㄛ.md) | [啵](啵.md) |  | bo | (一)之又音。 |</v>
      </c>
    </row>
    <row r="1803" spans="1:44">
      <c r="A1803" s="1" t="s">
        <v>323</v>
      </c>
      <c r="C1803" s="1">
        <v>1</v>
      </c>
      <c r="D1803" s="1" t="str">
        <f>"00130"</f>
        <v>00130</v>
      </c>
      <c r="E1803" s="1" t="s">
        <v>37</v>
      </c>
      <c r="F1803" s="1">
        <v>15</v>
      </c>
      <c r="G1803" s="1">
        <v>11</v>
      </c>
      <c r="H1803" s="1">
        <v>2</v>
      </c>
      <c r="I1803" s="1" t="s">
        <v>385</v>
      </c>
      <c r="J1803" s="2" t="s">
        <v>30559</v>
      </c>
      <c r="K1803" s="1" t="s">
        <v>30560</v>
      </c>
      <c r="L1803" s="1" t="s">
        <v>24165</v>
      </c>
      <c r="P1803" s="1" t="s">
        <v>388</v>
      </c>
      <c r="R1803" s="1" t="s">
        <v>386</v>
      </c>
      <c r="V1803" s="1" t="s">
        <v>389</v>
      </c>
      <c r="W1803" s="1" t="s">
        <v>390</v>
      </c>
      <c r="AR1803" s="1" t="str">
        <f t="shared" si="115"/>
        <v>| [˙ㄅㄛ](˙ㄅㄛ.md) | [蔔](蔔.md) |  | bo | 參見「蘿蔔」條。 |</v>
      </c>
    </row>
    <row r="1804" spans="1:44">
      <c r="A1804" s="1" t="s">
        <v>418</v>
      </c>
      <c r="C1804" s="1">
        <v>1</v>
      </c>
      <c r="D1804" s="1" t="str">
        <f>"00141"</f>
        <v>00141</v>
      </c>
      <c r="E1804" s="1" t="s">
        <v>24</v>
      </c>
      <c r="F1804" s="1">
        <v>9</v>
      </c>
      <c r="G1804" s="1">
        <v>5</v>
      </c>
      <c r="H1804" s="1">
        <v>0</v>
      </c>
      <c r="I1804" s="1" t="s">
        <v>419</v>
      </c>
      <c r="K1804" s="1" t="str">
        <f t="shared" ref="K1804:K1835" si="116">LEFT(I1804, 1)</f>
        <v>ㄅ</v>
      </c>
      <c r="L1804" s="1" t="str">
        <f t="shared" ref="L1804:L1835" si="117">MID(I1804, 2, 1)</f>
        <v>ㄞ</v>
      </c>
      <c r="N1804" s="3" t="s">
        <v>30574</v>
      </c>
      <c r="O1804" s="3"/>
      <c r="P1804" s="1" t="s">
        <v>20</v>
      </c>
      <c r="R1804" s="1" t="s">
        <v>420</v>
      </c>
      <c r="V1804" s="1" t="s">
        <v>421</v>
      </c>
      <c r="AR1804" s="1" t="str">
        <f t="shared" si="115"/>
        <v>| [ㄅㄞˋ](ㄅㄞˋ.md) | [拜](拜.md) |  | bài | [動]
1.一種禮節行為：(1)對人低頭拱手行禮，或兩手扶地跪下磕頭。如：「交拜」、「叩拜」。《左傳．僖公三十二年》：「卜偃使大夫拜曰：『君命大事，將有西師過軼我，擊之必大捷焉。』」(2)對神明的行禮。有時合掌，有時執香。如：「入廟參拜」、「吃齋拜佛」。
2.為訪問人或看望人的客氣用語。如：「回拜」、「拜見」。
3.祝賀。如：「拜壽」、「拜賀」。
4.任官、授職。晉．李密〈陳情表〉：「臣以供養無主，辭不赴命，詔書特下，拜臣郎中，尋蒙國恩，除臣洗馬。」《三國演義》第四回：「卓見邕大喜，一月三遷其官，拜為侍中，甚見親厚。」
[名]
1.姓。如宋代有拜瑚。
2.電腦上八個位元合成的一組，稱為「拜」。為英文byte的音譯。如：「在早期，倚天中文系統中，一個中文字元占了兩個拜。」 |</v>
      </c>
    </row>
    <row r="1805" spans="1:44">
      <c r="A1805" s="1" t="s">
        <v>422</v>
      </c>
      <c r="C1805" s="1">
        <v>1</v>
      </c>
      <c r="D1805" s="1" t="str">
        <f>"00142"</f>
        <v>00142</v>
      </c>
      <c r="E1805" s="1" t="s">
        <v>28</v>
      </c>
      <c r="F1805" s="1">
        <v>10</v>
      </c>
      <c r="G1805" s="1">
        <v>7</v>
      </c>
      <c r="H1805" s="1">
        <v>1</v>
      </c>
      <c r="I1805" s="1" t="s">
        <v>419</v>
      </c>
      <c r="K1805" s="1" t="str">
        <f t="shared" si="116"/>
        <v>ㄅ</v>
      </c>
      <c r="L1805" s="1" t="str">
        <f t="shared" si="117"/>
        <v>ㄞ</v>
      </c>
      <c r="N1805" s="3" t="s">
        <v>30574</v>
      </c>
      <c r="O1805" s="3"/>
      <c r="P1805" s="1" t="s">
        <v>20</v>
      </c>
      <c r="R1805" s="1" t="s">
        <v>420</v>
      </c>
      <c r="V1805" s="1" t="s">
        <v>423</v>
      </c>
      <c r="W1805" s="1" t="s">
        <v>424</v>
      </c>
      <c r="AR1805" s="1" t="str">
        <f t="shared" si="115"/>
        <v>| [ㄅㄞˋ](ㄅㄞˋ.md) | [唄](唄.md) |  | bài | [名]
印度詠經或唱讚都稱為「唄」，在中國只有唱讚稱為「唄」。南朝梁．簡文帝〈吳郡石像碑〉：「頂禮歸依，歌唄贊德。」 |</v>
      </c>
    </row>
    <row r="1806" spans="1:44">
      <c r="A1806" s="1" t="s">
        <v>425</v>
      </c>
      <c r="C1806" s="1">
        <v>1</v>
      </c>
      <c r="D1806" s="1" t="str">
        <f>"00143"</f>
        <v>00143</v>
      </c>
      <c r="E1806" s="1" t="s">
        <v>426</v>
      </c>
      <c r="F1806" s="1">
        <v>11</v>
      </c>
      <c r="G1806" s="1">
        <v>7</v>
      </c>
      <c r="H1806" s="1">
        <v>0</v>
      </c>
      <c r="I1806" s="1" t="s">
        <v>419</v>
      </c>
      <c r="K1806" s="1" t="str">
        <f t="shared" si="116"/>
        <v>ㄅ</v>
      </c>
      <c r="L1806" s="1" t="str">
        <f t="shared" si="117"/>
        <v>ㄞ</v>
      </c>
      <c r="N1806" s="3" t="s">
        <v>30574</v>
      </c>
      <c r="O1806" s="3"/>
      <c r="P1806" s="1" t="s">
        <v>20</v>
      </c>
      <c r="R1806" s="1" t="s">
        <v>420</v>
      </c>
      <c r="V1806" s="1" t="s">
        <v>427</v>
      </c>
      <c r="AR1806" s="1" t="str">
        <f t="shared" si="115"/>
        <v>| [ㄅㄞˋ](ㄅㄞˋ.md) | [敗](敗.md) |  | bài | [名]_x000D_
1.戰爭失利。《三國志．卷一〇．魏書．荀彧荀攸賈詡傳．賈詡》：「太祖不從，軍遂無利。」南朝宋．裴松之．注：「至於赤壁之敗，蓋有運數。」宋．蘇洵〈六國論〉：「趙嘗五戰于秦，二敗而三勝。」_x000D_
2.事不成功。如：「不計成敗」、「失敗為成功之母」。_x000D_
[動]_x000D_
1.打敗、戰勝。《史記．卷四七．孔子世家》：「吳敗越王句踐會稽。」_x000D_
2.被打敗。《史記．卷九二．淮陰侯列傳》：「至彭城，漢兵敗散而還。」_x000D_
3.破壞。《左傳．成公二年》：「若之何其以病，敗君之大事也。」《史記．卷九二．淮陰侯列傳》：「夫功者難成而易敗，時者難得而易失也。」_x000D_
4.毀壞、損壞。如：「屋敗梁頹」。《書經．大禹謨》：「侮慢自賢，反道敗德。」_x000D_
5.腐爛。《論語．鄉黨》：「魚餒而肉敗不食。」宋．邢昺．疏：「郭璞云：『敗、臭壞也。』」_x000D_
6.衰落。如：「家敗人亡」。_x000D_
7.解除、消除。如：「敗毒」、「敗火」。_x000D_
[形]_x000D_
1.被打敗的。如：「敗軍之將」。_x000D_
2.凋殘的。如：「枯枝敗葉」、「殘花敗柳」。宋．柳永〈夜半樂．凍雲黯淡天氣〉詞：「敗荷零落，衰楊掩映。」 |</v>
      </c>
    </row>
    <row r="1807" spans="1:44">
      <c r="A1807" s="1" t="s">
        <v>428</v>
      </c>
      <c r="C1807" s="1">
        <v>1</v>
      </c>
      <c r="D1807" s="1" t="str">
        <f>"00144"</f>
        <v>00144</v>
      </c>
      <c r="E1807" s="1" t="s">
        <v>429</v>
      </c>
      <c r="F1807" s="1">
        <v>13</v>
      </c>
      <c r="G1807" s="1">
        <v>8</v>
      </c>
      <c r="H1807" s="1">
        <v>0</v>
      </c>
      <c r="I1807" s="1" t="s">
        <v>419</v>
      </c>
      <c r="K1807" s="1" t="str">
        <f t="shared" si="116"/>
        <v>ㄅ</v>
      </c>
      <c r="L1807" s="1" t="str">
        <f t="shared" si="117"/>
        <v>ㄞ</v>
      </c>
      <c r="N1807" s="3" t="s">
        <v>30574</v>
      </c>
      <c r="O1807" s="3"/>
      <c r="P1807" s="1" t="s">
        <v>20</v>
      </c>
      <c r="R1807" s="1" t="s">
        <v>420</v>
      </c>
      <c r="V1807" s="1" t="s">
        <v>430</v>
      </c>
      <c r="AR1807" s="1" t="str">
        <f t="shared" si="115"/>
        <v>| [ㄅㄞˋ](ㄅㄞˋ.md) | [稗](稗.md) |  | bài | [名]
植物名。禾本科稗屬。「水稗」之俗稱，參見「水稗」條。
[形]
卑賤、微小。如：「稗說」、「稗官野史」。 |</v>
      </c>
    </row>
    <row r="1808" spans="1:44">
      <c r="A1808" s="1" t="s">
        <v>431</v>
      </c>
      <c r="C1808" s="1">
        <v>1</v>
      </c>
      <c r="D1808" s="1" t="str">
        <f>"00145"</f>
        <v>00145</v>
      </c>
      <c r="E1808" s="1" t="s">
        <v>46</v>
      </c>
      <c r="F1808" s="1">
        <v>14</v>
      </c>
      <c r="G1808" s="1">
        <v>8</v>
      </c>
      <c r="H1808" s="1">
        <v>0</v>
      </c>
      <c r="I1808" s="1" t="s">
        <v>419</v>
      </c>
      <c r="K1808" s="1" t="str">
        <f t="shared" si="116"/>
        <v>ㄅ</v>
      </c>
      <c r="L1808" s="1" t="str">
        <f t="shared" si="117"/>
        <v>ㄞ</v>
      </c>
      <c r="N1808" s="3" t="s">
        <v>30574</v>
      </c>
      <c r="O1808" s="3"/>
      <c r="P1808" s="1" t="s">
        <v>20</v>
      </c>
      <c r="R1808" s="1" t="s">
        <v>420</v>
      </c>
      <c r="V1808" s="1" t="s">
        <v>432</v>
      </c>
      <c r="AR1808" s="1" t="str">
        <f t="shared" si="115"/>
        <v>| [ㄅㄞˋ](ㄅㄞˋ.md) | [粺](粺.md) |  | bài | [名]
細舂的精米、白米。《詩經．大雅．召旻》：「彼疏斯粺，胡不自替，職兄斯引。」漢．毛亨．傳：「彼宜食疏，今反食精粺。」三國魏．嵇康〈答向子期難養生論〉：「聵者忘味，則糟糠與精粺等甘。」 |</v>
      </c>
    </row>
    <row r="1809" spans="1:44">
      <c r="A1809" s="1" t="s">
        <v>204</v>
      </c>
      <c r="C1809" s="1">
        <v>1</v>
      </c>
      <c r="D1809" s="1" t="str">
        <f>"00132"</f>
        <v>00132</v>
      </c>
      <c r="E1809" s="1" t="s">
        <v>205</v>
      </c>
      <c r="F1809" s="1">
        <v>5</v>
      </c>
      <c r="G1809" s="1">
        <v>0</v>
      </c>
      <c r="H1809" s="1">
        <v>1</v>
      </c>
      <c r="I1809" s="1" t="s">
        <v>395</v>
      </c>
      <c r="K1809" s="1" t="str">
        <f t="shared" si="116"/>
        <v>ㄅ</v>
      </c>
      <c r="L1809" s="1" t="str">
        <f t="shared" si="117"/>
        <v>ㄞ</v>
      </c>
      <c r="N1809" s="3" t="s">
        <v>30575</v>
      </c>
      <c r="O1809" s="3"/>
      <c r="P1809" s="1" t="s">
        <v>388</v>
      </c>
      <c r="R1809" s="1" t="s">
        <v>396</v>
      </c>
      <c r="V1809" s="1" t="s">
        <v>397</v>
      </c>
      <c r="W1809" s="1" t="s">
        <v>398</v>
      </c>
      <c r="AR1809" s="1" t="str">
        <f t="shared" si="115"/>
        <v>| [ㄅㄞˊ](ㄅㄞˊ.md) | [白](白.md) |  | bái | [名]
1.像雪或乳汁般素淨的顏色。
2.代表五行中金的顏色。如天地四方的西方、一年四季的秋、五臟的肺等。《說文解字．白部》：「白，西方色也。」
3.罰酒的杯子。也泛指一般酒杯。《漢書．卷一〇〇．敘傳上》：「及趙、李諸侍中皆引滿舉白，談笑大噱。」《文選．左思．吳都賦》：「飛觴舉白。」唐．李善．注：「白，罰爵名也。」
4.戲劇裡的對話。如：「道白」、「對白」。
5.姓。如唐代有白居易、白行簡，元代有白樸。
6.二一四部首之一。
[動]
1.告訴。《樂府詩集．卷七三．雜曲歌辭十三．古辭．焦仲卿妻》：「便可白公姥，及時相遣歸。」
2.在書信末署名下的敬語，用於平輩或晚輩。唐．韓愈〈答李翊書〉：「聊相為言之。愈白。」
3.晨光初發，天明。宋．蘇軾〈赤壁賦〉：「相與枕藉乎舟中，不知東方之既白。」
4.彰明、表明。如：「真相大白」、「含冤莫白」。
5.揭穿，專指戳穿謊言。元．王曄《桃花女．楔子》：「我周公在卦鋪裡面，你自喚他出來，白他謊，討他銀子去。」
6.表示輕視或不滿的動作。如：「白了他一眼。」
[形]
1.白色的。如：「白紙」、「白布」、「藍天白雲」。
2.潔淨的。如：「潔白」。
3.淺顯的。如：「白話」、「淺白」。
4.率直、誠實。如：「坦白」。
5.沒有添加任何東西的。如：「白飯」、「白開水」。
6.錯誤的。如：「寫白字」。
7.表示輕視或不滿的樣子。如：「白眼」。
8.以合法掩護非法，以正當掩護不法的。與「黑」相對。如：「白道」。
[副]
1.徒然。如：「白跑一趟」、「白來」、「白費」。《紅樓夢》第六〇回：「沒的惹人笑話自己獃，白給人做粗活。」
2.不付代價而得到好處。如：「白吃白喝」。
3.就是、完全、實在。《金瓶梅》第一一回：「家中好不無人，只靠著我逐日出來供唱，……也要往宅裡看看姑娘，白不得個閒。」 |</v>
      </c>
    </row>
    <row r="1810" spans="1:44">
      <c r="A1810" s="1" t="s">
        <v>208</v>
      </c>
      <c r="C1810" s="1">
        <v>1</v>
      </c>
      <c r="D1810" s="1" t="str">
        <f>"00133"</f>
        <v>00133</v>
      </c>
      <c r="E1810" s="1" t="s">
        <v>205</v>
      </c>
      <c r="F1810" s="1">
        <v>6</v>
      </c>
      <c r="G1810" s="1">
        <v>1</v>
      </c>
      <c r="H1810" s="1">
        <v>1</v>
      </c>
      <c r="I1810" s="1" t="s">
        <v>399</v>
      </c>
      <c r="K1810" s="1" t="str">
        <f t="shared" si="116"/>
        <v>ㄅ</v>
      </c>
      <c r="L1810" s="1" t="str">
        <f t="shared" si="117"/>
        <v>ㄞ</v>
      </c>
      <c r="N1810" s="3" t="s">
        <v>30576</v>
      </c>
      <c r="O1810" s="3"/>
      <c r="P1810" s="1" t="s">
        <v>388</v>
      </c>
      <c r="R1810" s="1" t="s">
        <v>400</v>
      </c>
      <c r="V1810" s="1" t="s">
        <v>401</v>
      </c>
      <c r="W1810" s="1" t="s">
        <v>402</v>
      </c>
      <c r="AR1810" s="1" t="str">
        <f t="shared" si="115"/>
        <v>| [ㄅㄞˇ](ㄅㄞˇ.md) | [百](百.md) |  | bǎi | [名]
1.數目字。十的十倍。《說文解字．白部》：「百，十十也，从一白。數十十為一百。」大寫為「佰」。
2.姓。如古時有百倏，戰國時有百丰。
[形]
1.眾多。如：「百病不侵」。
2.總指一切所有的詞。《詩經．邶風．雄雉》：「百爾君子，不知德行。」 |</v>
      </c>
    </row>
    <row r="1811" spans="1:44">
      <c r="A1811" s="1" t="s">
        <v>113</v>
      </c>
      <c r="C1811" s="1">
        <v>1</v>
      </c>
      <c r="D1811" s="1" t="str">
        <f>"00134"</f>
        <v>00134</v>
      </c>
      <c r="E1811" s="1" t="s">
        <v>114</v>
      </c>
      <c r="F1811" s="1">
        <v>7</v>
      </c>
      <c r="G1811" s="1">
        <v>5</v>
      </c>
      <c r="H1811" s="1">
        <v>2</v>
      </c>
      <c r="I1811" s="1" t="s">
        <v>399</v>
      </c>
      <c r="K1811" s="1" t="str">
        <f t="shared" si="116"/>
        <v>ㄅ</v>
      </c>
      <c r="L1811" s="1" t="str">
        <f t="shared" si="117"/>
        <v>ㄞ</v>
      </c>
      <c r="N1811" s="3" t="s">
        <v>30576</v>
      </c>
      <c r="O1811" s="3"/>
      <c r="P1811" s="1" t="s">
        <v>388</v>
      </c>
      <c r="R1811" s="1" t="s">
        <v>400</v>
      </c>
      <c r="V1811" s="1" t="s">
        <v>403</v>
      </c>
      <c r="W1811" s="1" t="s">
        <v>404</v>
      </c>
      <c r="AR1811" s="1" t="str">
        <f t="shared" si="115"/>
        <v>| [ㄅㄞˇ](ㄅㄞˇ.md) | [伯](伯.md) |  | bǎi | [名]
稱謂。稱丈夫的哥哥。如：「大伯子」、「二伯子」。 |</v>
      </c>
    </row>
    <row r="1812" spans="1:44">
      <c r="A1812" s="1" t="s">
        <v>219</v>
      </c>
      <c r="C1812" s="1">
        <v>1</v>
      </c>
      <c r="D1812" s="1" t="str">
        <f>"00135"</f>
        <v>00135</v>
      </c>
      <c r="E1812" s="1" t="s">
        <v>114</v>
      </c>
      <c r="F1812" s="1">
        <v>8</v>
      </c>
      <c r="G1812" s="1">
        <v>6</v>
      </c>
      <c r="H1812" s="1">
        <v>1</v>
      </c>
      <c r="I1812" s="1" t="s">
        <v>399</v>
      </c>
      <c r="K1812" s="1" t="str">
        <f t="shared" si="116"/>
        <v>ㄅ</v>
      </c>
      <c r="L1812" s="1" t="str">
        <f t="shared" si="117"/>
        <v>ㄞ</v>
      </c>
      <c r="N1812" s="3" t="s">
        <v>30576</v>
      </c>
      <c r="O1812" s="3"/>
      <c r="P1812" s="1" t="s">
        <v>388</v>
      </c>
      <c r="R1812" s="1" t="s">
        <v>400</v>
      </c>
      <c r="V1812" s="1" t="s">
        <v>405</v>
      </c>
      <c r="W1812" s="1" t="s">
        <v>406</v>
      </c>
      <c r="AR1812" s="1" t="str">
        <f t="shared" si="115"/>
        <v>| [ㄅㄞˇ](ㄅㄞˇ.md) | [佰](佰.md) |  | bǎi | [名]
1.百的大寫。如：「壹佰參拾伍元整」。
2.職官名。古時軍隊中掌管一百人的指揮官。《史記．卷四八．陳涉世家》：「躡足行伍之間，俛仰仟佰之中。」唐．司馬貞．索隱：「仟佰謂千人百人之長也。」 |</v>
      </c>
    </row>
    <row r="1813" spans="1:44">
      <c r="A1813" s="1" t="s">
        <v>224</v>
      </c>
      <c r="C1813" s="1">
        <v>1</v>
      </c>
      <c r="D1813" s="1" t="str">
        <f>"00136"</f>
        <v>00136</v>
      </c>
      <c r="E1813" s="1" t="s">
        <v>139</v>
      </c>
      <c r="F1813" s="1">
        <v>9</v>
      </c>
      <c r="G1813" s="1">
        <v>5</v>
      </c>
      <c r="H1813" s="1">
        <v>2</v>
      </c>
      <c r="I1813" s="1" t="s">
        <v>399</v>
      </c>
      <c r="K1813" s="1" t="str">
        <f t="shared" si="116"/>
        <v>ㄅ</v>
      </c>
      <c r="L1813" s="1" t="str">
        <f t="shared" si="117"/>
        <v>ㄞ</v>
      </c>
      <c r="N1813" s="3" t="s">
        <v>30576</v>
      </c>
      <c r="O1813" s="3"/>
      <c r="P1813" s="1" t="s">
        <v>388</v>
      </c>
      <c r="R1813" s="1" t="s">
        <v>400</v>
      </c>
      <c r="V1813" s="1" t="s">
        <v>407</v>
      </c>
      <c r="W1813" s="1" t="s">
        <v>408</v>
      </c>
      <c r="AR1813" s="1" t="str">
        <f t="shared" si="115"/>
        <v>| [ㄅㄞˇ](ㄅㄞˇ.md) | [柏](柏.md) |  | bǎi | (一)之語音。 |</v>
      </c>
    </row>
    <row r="1814" spans="1:44">
      <c r="A1814" s="1" t="s">
        <v>88</v>
      </c>
      <c r="C1814" s="1">
        <v>1</v>
      </c>
      <c r="D1814" s="1" t="str">
        <f>"00137"</f>
        <v>00137</v>
      </c>
      <c r="E1814" s="1" t="s">
        <v>24</v>
      </c>
      <c r="F1814" s="1">
        <v>7</v>
      </c>
      <c r="G1814" s="1">
        <v>4</v>
      </c>
      <c r="H1814" s="1">
        <v>3</v>
      </c>
      <c r="I1814" s="1" t="s">
        <v>399</v>
      </c>
      <c r="K1814" s="1" t="str">
        <f t="shared" si="116"/>
        <v>ㄅ</v>
      </c>
      <c r="L1814" s="1" t="str">
        <f t="shared" si="117"/>
        <v>ㄞ</v>
      </c>
      <c r="N1814" s="3" t="s">
        <v>30576</v>
      </c>
      <c r="O1814" s="3"/>
      <c r="P1814" s="1" t="s">
        <v>20</v>
      </c>
      <c r="R1814" s="1" t="s">
        <v>400</v>
      </c>
      <c r="V1814" s="1" t="s">
        <v>409</v>
      </c>
      <c r="W1814" s="1" t="s">
        <v>410</v>
      </c>
      <c r="AR1814" s="1" t="str">
        <f t="shared" si="115"/>
        <v>| [ㄅㄞˇ](ㄅㄞˇ.md) | [把](把.md) |  | bǎi | (一)[介]1.之又音。 |</v>
      </c>
    </row>
    <row r="1815" spans="1:44">
      <c r="A1815" s="1" t="s">
        <v>369</v>
      </c>
      <c r="C1815" s="1">
        <v>1</v>
      </c>
      <c r="D1815" s="1" t="str">
        <f>"00138"</f>
        <v>00138</v>
      </c>
      <c r="E1815" s="1" t="s">
        <v>24</v>
      </c>
      <c r="F1815" s="1">
        <v>11</v>
      </c>
      <c r="G1815" s="1">
        <v>8</v>
      </c>
      <c r="H1815" s="1">
        <v>1</v>
      </c>
      <c r="I1815" s="1" t="s">
        <v>399</v>
      </c>
      <c r="K1815" s="1" t="str">
        <f t="shared" si="116"/>
        <v>ㄅ</v>
      </c>
      <c r="L1815" s="1" t="str">
        <f t="shared" si="117"/>
        <v>ㄞ</v>
      </c>
      <c r="N1815" s="3" t="s">
        <v>30576</v>
      </c>
      <c r="O1815" s="3"/>
      <c r="P1815" s="1" t="s">
        <v>20</v>
      </c>
      <c r="R1815" s="1" t="s">
        <v>400</v>
      </c>
      <c r="V1815" s="1" t="s">
        <v>411</v>
      </c>
      <c r="W1815" s="1" t="s">
        <v>412</v>
      </c>
      <c r="AR1815" s="1" t="str">
        <f t="shared" si="115"/>
        <v>| [ㄅㄞˇ](ㄅㄞˇ.md) | [捭](捭.md) |  | bǎi | [動]
1.兩手橫開向外旁擊。《說文解字．手部》：「捭，兩手擊也。」
2.開。參見「捭闔」條。 |</v>
      </c>
    </row>
    <row r="1816" spans="1:44">
      <c r="A1816" s="1" t="s">
        <v>413</v>
      </c>
      <c r="C1816" s="1">
        <v>1</v>
      </c>
      <c r="D1816" s="1" t="str">
        <f>"00139"</f>
        <v>00139</v>
      </c>
      <c r="E1816" s="1" t="s">
        <v>24</v>
      </c>
      <c r="F1816" s="1">
        <v>18</v>
      </c>
      <c r="G1816" s="1">
        <v>15</v>
      </c>
      <c r="H1816" s="1">
        <v>0</v>
      </c>
      <c r="I1816" s="1" t="s">
        <v>399</v>
      </c>
      <c r="K1816" s="1" t="str">
        <f t="shared" si="116"/>
        <v>ㄅ</v>
      </c>
      <c r="L1816" s="1" t="str">
        <f t="shared" si="117"/>
        <v>ㄞ</v>
      </c>
      <c r="N1816" s="3" t="s">
        <v>30576</v>
      </c>
      <c r="O1816" s="3"/>
      <c r="P1816" s="1" t="s">
        <v>20</v>
      </c>
      <c r="R1816" s="1" t="s">
        <v>400</v>
      </c>
      <c r="V1816" s="1" t="s">
        <v>414</v>
      </c>
      <c r="AR1816" s="1" t="str">
        <f t="shared" si="115"/>
        <v>| [ㄅㄞˇ](ㄅㄞˇ.md) | [擺](擺.md) |  | bǎi | [動]
1.搖動。如：「擺動」、「搖擺」。唐．杜牧〈歎花〉詩：「如今風擺花狼籍，綠葉成陰子滿枝。」
2.陳列、布置。如：「擺設」、「擺地攤」。《紅樓夢》第六三回：「因飯後平兒還席，說紅香圃太熱，便在榆蔭堂中擺了幾席新酒佳肴。」
3.故意顯示。如：「擺闊」、「擺架子」、「擺臉色」。
4.算計、陷害。如：「擺了一道」。《儒林外史》第四回：「把劉先生貶為青田知縣，又用毒藥擺死了。」
[名]
搖動的物體。如：「鐘擺」。 |</v>
      </c>
    </row>
    <row r="1817" spans="1:44">
      <c r="A1817" s="1" t="s">
        <v>415</v>
      </c>
      <c r="C1817" s="1">
        <v>1</v>
      </c>
      <c r="D1817" s="1" t="str">
        <f>"00140"</f>
        <v>00140</v>
      </c>
      <c r="E1817" s="1" t="s">
        <v>340</v>
      </c>
      <c r="F1817" s="1">
        <v>21</v>
      </c>
      <c r="G1817" s="1">
        <v>15</v>
      </c>
      <c r="H1817" s="1">
        <v>2</v>
      </c>
      <c r="I1817" s="1" t="s">
        <v>399</v>
      </c>
      <c r="K1817" s="1" t="str">
        <f t="shared" si="116"/>
        <v>ㄅ</v>
      </c>
      <c r="L1817" s="1" t="str">
        <f t="shared" si="117"/>
        <v>ㄞ</v>
      </c>
      <c r="N1817" s="3" t="s">
        <v>30576</v>
      </c>
      <c r="O1817" s="3"/>
      <c r="P1817" s="1" t="s">
        <v>20</v>
      </c>
      <c r="R1817" s="1" t="s">
        <v>400</v>
      </c>
      <c r="V1817" s="1" t="s">
        <v>416</v>
      </c>
      <c r="W1817" s="1" t="s">
        <v>417</v>
      </c>
      <c r="AR1817" s="1" t="str">
        <f t="shared" si="115"/>
        <v>| [ㄅㄞˇ](ㄅㄞˇ.md) | [襬](襬.md) |  | bǎi | [名]
上衣、長袍和裙子等下緣的部分。如：「下襬」、「裙襬」、「前襬」、「後襬」。 |</v>
      </c>
    </row>
    <row r="1818" spans="1:44">
      <c r="A1818" s="1" t="s">
        <v>359</v>
      </c>
      <c r="C1818" s="1">
        <v>1</v>
      </c>
      <c r="D1818" s="1" t="str">
        <f>"00166"</f>
        <v>00166</v>
      </c>
      <c r="E1818" s="1" t="s">
        <v>360</v>
      </c>
      <c r="F1818" s="1">
        <v>5</v>
      </c>
      <c r="G1818" s="1">
        <v>3</v>
      </c>
      <c r="H1818" s="1">
        <v>3</v>
      </c>
      <c r="I1818" s="1" t="s">
        <v>486</v>
      </c>
      <c r="K1818" s="1" t="str">
        <f t="shared" si="116"/>
        <v>ㄅ</v>
      </c>
      <c r="L1818" s="1" t="str">
        <f t="shared" si="117"/>
        <v>ㄟ</v>
      </c>
      <c r="N1818" s="3" t="s">
        <v>30574</v>
      </c>
      <c r="O1818" s="3"/>
      <c r="P1818" s="1" t="s">
        <v>20</v>
      </c>
      <c r="R1818" s="1" t="s">
        <v>487</v>
      </c>
      <c r="V1818" s="1" t="s">
        <v>488</v>
      </c>
      <c r="W1818" s="1" t="s">
        <v>489</v>
      </c>
      <c r="AR1818" s="1" t="str">
        <f t="shared" si="115"/>
        <v>| [ㄅㄟˋ](ㄅㄟˋ.md) | [北](北.md) |  | bèi | [動]
違反、背叛。通「背」。《說文解字．北部》：「北，乖也，从二人相背也。」《戰國策．齊策六》：「食人炊骨，士無反北之心，是孫臏、吳起之兵也。」 |</v>
      </c>
    </row>
    <row r="1819" spans="1:44">
      <c r="A1819" s="1" t="s">
        <v>490</v>
      </c>
      <c r="C1819" s="1">
        <v>1</v>
      </c>
      <c r="D1819" s="1" t="str">
        <f>"00167"</f>
        <v>00167</v>
      </c>
      <c r="E1819" s="1" t="s">
        <v>256</v>
      </c>
      <c r="F1819" s="1">
        <v>8</v>
      </c>
      <c r="G1819" s="1">
        <v>5</v>
      </c>
      <c r="H1819" s="1">
        <v>0</v>
      </c>
      <c r="I1819" s="1" t="s">
        <v>486</v>
      </c>
      <c r="K1819" s="1" t="str">
        <f t="shared" si="116"/>
        <v>ㄅ</v>
      </c>
      <c r="L1819" s="1" t="str">
        <f t="shared" si="117"/>
        <v>ㄟ</v>
      </c>
      <c r="N1819" s="3" t="s">
        <v>30574</v>
      </c>
      <c r="O1819" s="3"/>
      <c r="P1819" s="1" t="s">
        <v>20</v>
      </c>
      <c r="R1819" s="1" t="s">
        <v>487</v>
      </c>
      <c r="V1819" s="1" t="s">
        <v>491</v>
      </c>
      <c r="AR1819" s="1" t="str">
        <f t="shared" si="115"/>
        <v>| [ㄅㄟˋ](ㄅㄟˋ.md) | [邶](邶.md) |  | bèi | [名]
國名。周武王滅商後，封紂王之子武庚於邶。其地約在今河南省湯陰縣東南。 |</v>
      </c>
    </row>
    <row r="1820" spans="1:44">
      <c r="A1820" s="1" t="s">
        <v>469</v>
      </c>
      <c r="C1820" s="1">
        <v>1</v>
      </c>
      <c r="D1820" s="1" t="str">
        <f>"00168"</f>
        <v>00168</v>
      </c>
      <c r="E1820" s="1" t="s">
        <v>68</v>
      </c>
      <c r="F1820" s="1">
        <v>9</v>
      </c>
      <c r="G1820" s="1">
        <v>5</v>
      </c>
      <c r="H1820" s="1">
        <v>1</v>
      </c>
      <c r="I1820" s="1" t="s">
        <v>486</v>
      </c>
      <c r="K1820" s="1" t="str">
        <f t="shared" si="116"/>
        <v>ㄅ</v>
      </c>
      <c r="L1820" s="1" t="str">
        <f t="shared" si="117"/>
        <v>ㄟ</v>
      </c>
      <c r="N1820" s="3" t="s">
        <v>30574</v>
      </c>
      <c r="O1820" s="3"/>
      <c r="P1820" s="1" t="s">
        <v>20</v>
      </c>
      <c r="R1820" s="1" t="s">
        <v>487</v>
      </c>
      <c r="V1820" s="1" t="s">
        <v>492</v>
      </c>
      <c r="W1820" s="1" t="s">
        <v>493</v>
      </c>
      <c r="AR1820" s="1" t="str">
        <f t="shared" si="115"/>
        <v>| [ㄅㄟˋ](ㄅㄟˋ.md) | [背](背.md) |  | bèi | [名]
1.胸部的後面，從後腰以上到頸下的部位。
2.物體的反面或後面。如：「山背」、「刀背」。
[動]
1.用背部對著。如：「背著太陽」、「背山面海」、「背水一戰」。
2.離開、拋棄。如：「離鄉背井」。《商君書．君臣》：「今世君不然，釋法而以知，背功而以譽。」
3.違反。如：「背約」、「棄理背義」、「背信忘義」。
4.死亡、去世。《文選．李密．陳情表》：「生孩六月，慈父見背。」《晉書．卷七九．謝安傳》：「（玄）上延亡叔臣安、亡兄臣靖，數月之間，相係殂背。」
5.躲避、瞞著。如：「你是不是背著我幹了什麼壞事？」
6.記憶。如：「背臺詞」。《儒林外史》第一三回：「或一天遇著那小子書背不熟，小姐就要督責他念到天亮。」
7.裝潢字畫或書冊，即裱褙。宋．范公偁《過庭錄》：「然絹地朽爛為數十片，無能修之者。李因薦一匠者，酬傭直四十千，就書室背之。」
[形]
1.運氣不好。如：「走背運」、「手氣背」。
2.聽力不好。如：「耳背」、「背聽」。
3.僻靜的。如：「背街小巷」。元．宮大用《范張雞黍》第一折：「既然賢弟要去，其路也不背，同往赴會去便了。」 |</v>
      </c>
    </row>
    <row r="1821" spans="1:44">
      <c r="A1821" s="1" t="s">
        <v>494</v>
      </c>
      <c r="C1821" s="1">
        <v>1</v>
      </c>
      <c r="D1821" s="1" t="str">
        <f>"00169"</f>
        <v>00169</v>
      </c>
      <c r="E1821" s="1" t="s">
        <v>114</v>
      </c>
      <c r="F1821" s="1">
        <v>11</v>
      </c>
      <c r="G1821" s="1">
        <v>9</v>
      </c>
      <c r="H1821" s="1">
        <v>0</v>
      </c>
      <c r="I1821" s="1" t="s">
        <v>486</v>
      </c>
      <c r="K1821" s="1" t="str">
        <f t="shared" si="116"/>
        <v>ㄅ</v>
      </c>
      <c r="L1821" s="1" t="str">
        <f t="shared" si="117"/>
        <v>ㄟ</v>
      </c>
      <c r="N1821" s="3" t="s">
        <v>30574</v>
      </c>
      <c r="O1821" s="3"/>
      <c r="P1821" s="1" t="s">
        <v>20</v>
      </c>
      <c r="R1821" s="1" t="s">
        <v>487</v>
      </c>
      <c r="V1821" s="1" t="s">
        <v>495</v>
      </c>
      <c r="AR1821" s="1" t="str">
        <f t="shared" si="115"/>
        <v>| [ㄅㄟˋ](ㄅㄟˋ.md) | [偝](偝.md) |  | bèi | [動]
離棄、拋棄。《集韻．去聲．隊韻》：「偝，違也。」《禮記．坊記》：「利祿先死者而後生者，則民不偝。」
[副]
背向。《禮記．投壺》：「毋偝立，毋踰言。」漢．鄭玄．注：「偝者，不正鄉前也。」 |</v>
      </c>
    </row>
    <row r="1822" spans="1:44" ht="81">
      <c r="A1822" s="1" t="s">
        <v>496</v>
      </c>
      <c r="C1822" s="1">
        <v>1</v>
      </c>
      <c r="D1822" s="1" t="str">
        <f>"00170"</f>
        <v>00170</v>
      </c>
      <c r="E1822" s="1" t="s">
        <v>340</v>
      </c>
      <c r="F1822" s="1">
        <v>15</v>
      </c>
      <c r="G1822" s="1">
        <v>9</v>
      </c>
      <c r="H1822" s="1">
        <v>0</v>
      </c>
      <c r="I1822" s="1" t="s">
        <v>486</v>
      </c>
      <c r="K1822" s="1" t="str">
        <f t="shared" si="116"/>
        <v>ㄅ</v>
      </c>
      <c r="L1822" s="1" t="str">
        <f t="shared" si="117"/>
        <v>ㄟ</v>
      </c>
      <c r="N1822" s="3" t="s">
        <v>30574</v>
      </c>
      <c r="O1822" s="3"/>
      <c r="P1822" s="1" t="s">
        <v>20</v>
      </c>
      <c r="R1822" s="1" t="s">
        <v>487</v>
      </c>
      <c r="V1822" s="4" t="s">
        <v>497</v>
      </c>
      <c r="AR1822" s="1" t="str">
        <f t="shared" si="115"/>
        <v>| [ㄅㄟˋ](ㄅㄟˋ.md) | [褙](褙.md) |  | bèi | [名]
短衣。《集韻．去聲．隊韻》：「褙，襦也。」
[動]
裝貼書畫。參見「裱褙」條。 |</v>
      </c>
    </row>
    <row r="1823" spans="1:44">
      <c r="A1823" s="1" t="s">
        <v>240</v>
      </c>
      <c r="C1823" s="1">
        <v>1</v>
      </c>
      <c r="D1823" s="1" t="str">
        <f>"00171"</f>
        <v>00171</v>
      </c>
      <c r="E1823" s="1" t="s">
        <v>241</v>
      </c>
      <c r="F1823" s="1">
        <v>7</v>
      </c>
      <c r="G1823" s="1">
        <v>4</v>
      </c>
      <c r="H1823" s="1">
        <v>2</v>
      </c>
      <c r="I1823" s="1" t="s">
        <v>486</v>
      </c>
      <c r="K1823" s="1" t="str">
        <f t="shared" si="116"/>
        <v>ㄅ</v>
      </c>
      <c r="L1823" s="1" t="str">
        <f t="shared" si="117"/>
        <v>ㄟ</v>
      </c>
      <c r="N1823" s="3" t="s">
        <v>30574</v>
      </c>
      <c r="O1823" s="3"/>
      <c r="P1823" s="1" t="s">
        <v>20</v>
      </c>
      <c r="R1823" s="1" t="s">
        <v>487</v>
      </c>
      <c r="V1823" s="1" t="s">
        <v>498</v>
      </c>
      <c r="W1823" s="1" t="s">
        <v>499</v>
      </c>
      <c r="AR1823" s="1" t="str">
        <f t="shared" si="115"/>
        <v>| [ㄅㄟˋ](ㄅㄟˋ.md) | [孛](孛.md) |  | bèi | [名]
彗星的古稱之一。《公羊傳．昭公十七年》：「冬，有星孛於大辰。孛者何？彗星也。」 |</v>
      </c>
    </row>
    <row r="1824" spans="1:44">
      <c r="A1824" s="1" t="s">
        <v>249</v>
      </c>
      <c r="C1824" s="1">
        <v>1</v>
      </c>
      <c r="D1824" s="1" t="str">
        <f>"00172"</f>
        <v>00172</v>
      </c>
      <c r="E1824" s="1" t="s">
        <v>250</v>
      </c>
      <c r="F1824" s="1">
        <v>10</v>
      </c>
      <c r="G1824" s="1">
        <v>7</v>
      </c>
      <c r="H1824" s="1">
        <v>2</v>
      </c>
      <c r="I1824" s="1" t="s">
        <v>486</v>
      </c>
      <c r="K1824" s="1" t="str">
        <f t="shared" si="116"/>
        <v>ㄅ</v>
      </c>
      <c r="L1824" s="1" t="str">
        <f t="shared" si="117"/>
        <v>ㄟ</v>
      </c>
      <c r="N1824" s="3" t="s">
        <v>30574</v>
      </c>
      <c r="O1824" s="3"/>
      <c r="P1824" s="1" t="s">
        <v>20</v>
      </c>
      <c r="R1824" s="1" t="s">
        <v>487</v>
      </c>
      <c r="V1824" s="1" t="s">
        <v>500</v>
      </c>
      <c r="W1824" s="1" t="s">
        <v>501</v>
      </c>
      <c r="AR1824" s="1" t="str">
        <f t="shared" si="115"/>
        <v>| [ㄅㄟˋ](ㄅㄟˋ.md) | [悖](悖.md) |  | bèi | [動]
1.違背、違反。《荀子．性惡》：「皆反於性而悖於情也。」《國語．周語上》：「而後王斟酌焉，是以事行而不悖。」
2.衝突、矛盾。《淮南子．脩務》：「聖人憂民如此其明也，而稱以無為，豈不悖哉！」 |</v>
      </c>
    </row>
    <row r="1825" spans="1:44">
      <c r="A1825" s="1" t="s">
        <v>502</v>
      </c>
      <c r="C1825" s="1">
        <v>1</v>
      </c>
      <c r="D1825" s="1" t="str">
        <f>"00173"</f>
        <v>00173</v>
      </c>
      <c r="E1825" s="1" t="s">
        <v>331</v>
      </c>
      <c r="F1825" s="1">
        <v>14</v>
      </c>
      <c r="G1825" s="1">
        <v>7</v>
      </c>
      <c r="H1825" s="1">
        <v>0</v>
      </c>
      <c r="I1825" s="1" t="s">
        <v>486</v>
      </c>
      <c r="K1825" s="1" t="str">
        <f t="shared" si="116"/>
        <v>ㄅ</v>
      </c>
      <c r="L1825" s="1" t="str">
        <f t="shared" si="117"/>
        <v>ㄟ</v>
      </c>
      <c r="N1825" s="3" t="s">
        <v>30574</v>
      </c>
      <c r="O1825" s="3"/>
      <c r="P1825" s="1" t="s">
        <v>20</v>
      </c>
      <c r="R1825" s="1" t="s">
        <v>487</v>
      </c>
      <c r="V1825" s="1" t="s">
        <v>503</v>
      </c>
      <c r="AR1825" s="1" t="str">
        <f t="shared" si="115"/>
        <v>| [ㄅㄟˋ](ㄅㄟˋ.md) | [誖](誖.md) |  | bèi | [動]
1.違背。《漢書．卷九七．外戚傳下．孝成趙皇后傳》：「殘滅繼嗣以危宗廟，誖天犯祖，無為天下母之義。」
2.迷惑。《漢書．卷六二．司馬遷傳》：「愍學者不達其意而師誖，乃論六家之要。」 |</v>
      </c>
    </row>
    <row r="1826" spans="1:44">
      <c r="A1826" s="1" t="s">
        <v>504</v>
      </c>
      <c r="C1826" s="1">
        <v>1</v>
      </c>
      <c r="D1826" s="1" t="str">
        <f>"00174"</f>
        <v>00174</v>
      </c>
      <c r="E1826" s="1" t="s">
        <v>505</v>
      </c>
      <c r="F1826" s="1">
        <v>7</v>
      </c>
      <c r="G1826" s="1">
        <v>0</v>
      </c>
      <c r="H1826" s="1">
        <v>0</v>
      </c>
      <c r="I1826" s="1" t="s">
        <v>486</v>
      </c>
      <c r="K1826" s="1" t="str">
        <f t="shared" si="116"/>
        <v>ㄅ</v>
      </c>
      <c r="L1826" s="1" t="str">
        <f t="shared" si="117"/>
        <v>ㄟ</v>
      </c>
      <c r="N1826" s="3" t="s">
        <v>30574</v>
      </c>
      <c r="O1826" s="3"/>
      <c r="P1826" s="1" t="s">
        <v>20</v>
      </c>
      <c r="R1826" s="1" t="s">
        <v>487</v>
      </c>
      <c r="V1826" s="1" t="s">
        <v>506</v>
      </c>
      <c r="AR1826" s="1" t="str">
        <f t="shared" si="115"/>
        <v>| [ㄅㄟˋ](ㄅㄟˋ.md) | [貝](貝.md) |  | bèi | [名]
1.有甲殼的軟體動物。如蛤類、螺類等。
2.古代用貝殼做貨幣，稱為「貝貨」。漢．桓寬《鹽鐵論．錯幣》：「夏后以玄貝，周人以紫石，後世或金錢刀布。」
3.樂器名。一種吹奏樂器。今藏、蒙一帶，常將貝螺尖端磨穿為吹嘴，在梵樂中使用，音色渾厚。《舊唐書．卷二九．音樂志二》：「貝，蠡也，容可吹之以節樂，亦出南蠻。」
4.貝多或貝多羅樹的簡稱。佛教徒或以其葉寫經。唐．皮日休〈奉和魯望寒夜訪寂上人次韻〉：「數葉貝書松火暗，一聲金磬檜煙深。」
5.姓。如宋代有貝欽世，明代有貝秉。
6.二一四部首之一。 |</v>
      </c>
    </row>
    <row r="1827" spans="1:44">
      <c r="A1827" s="1" t="s">
        <v>507</v>
      </c>
      <c r="C1827" s="1">
        <v>1</v>
      </c>
      <c r="D1827" s="1" t="str">
        <f>"00175"</f>
        <v>00175</v>
      </c>
      <c r="E1827" s="1" t="s">
        <v>198</v>
      </c>
      <c r="F1827" s="1">
        <v>10</v>
      </c>
      <c r="G1827" s="1">
        <v>7</v>
      </c>
      <c r="H1827" s="1">
        <v>0</v>
      </c>
      <c r="I1827" s="1" t="s">
        <v>486</v>
      </c>
      <c r="K1827" s="1" t="str">
        <f t="shared" si="116"/>
        <v>ㄅ</v>
      </c>
      <c r="L1827" s="1" t="str">
        <f t="shared" si="117"/>
        <v>ㄟ</v>
      </c>
      <c r="N1827" s="3" t="s">
        <v>30574</v>
      </c>
      <c r="O1827" s="3"/>
      <c r="P1827" s="1" t="s">
        <v>20</v>
      </c>
      <c r="R1827" s="1" t="s">
        <v>487</v>
      </c>
      <c r="V1827" s="1" t="s">
        <v>508</v>
      </c>
      <c r="AR1827" s="1" t="str">
        <f t="shared" si="115"/>
        <v>| [ㄅㄟˋ](ㄅㄟˋ.md) | [狽](狽.md) |  | bèi | [名]
傳說中的一種狼屬野獸。前腳很短，與狼相附而行。參見「狼狽」條。 |</v>
      </c>
    </row>
    <row r="1828" spans="1:44">
      <c r="A1828" s="1" t="s">
        <v>509</v>
      </c>
      <c r="C1828" s="1">
        <v>1</v>
      </c>
      <c r="D1828" s="1" t="str">
        <f>"00176"</f>
        <v>00176</v>
      </c>
      <c r="E1828" s="1" t="s">
        <v>37</v>
      </c>
      <c r="F1828" s="1">
        <v>13</v>
      </c>
      <c r="G1828" s="1">
        <v>9</v>
      </c>
      <c r="H1828" s="1">
        <v>2</v>
      </c>
      <c r="I1828" s="1" t="s">
        <v>486</v>
      </c>
      <c r="K1828" s="1" t="str">
        <f t="shared" si="116"/>
        <v>ㄅ</v>
      </c>
      <c r="L1828" s="1" t="str">
        <f t="shared" si="117"/>
        <v>ㄟ</v>
      </c>
      <c r="N1828" s="3" t="s">
        <v>30574</v>
      </c>
      <c r="O1828" s="3"/>
      <c r="P1828" s="1" t="s">
        <v>20</v>
      </c>
      <c r="R1828" s="1" t="s">
        <v>487</v>
      </c>
      <c r="V1828" s="1" t="s">
        <v>510</v>
      </c>
      <c r="W1828" s="1" t="s">
        <v>511</v>
      </c>
      <c r="AR1828" s="1" t="str">
        <f t="shared" si="115"/>
        <v>| [ㄅㄟˋ](ㄅㄟˋ.md) | [萯](萯.md) |  | bèi | 參見「萯陽」條。 |</v>
      </c>
    </row>
    <row r="1829" spans="1:44">
      <c r="A1829" s="1" t="s">
        <v>512</v>
      </c>
      <c r="C1829" s="1">
        <v>1</v>
      </c>
      <c r="D1829" s="1" t="str">
        <f>"00177"</f>
        <v>00177</v>
      </c>
      <c r="E1829" s="1" t="s">
        <v>55</v>
      </c>
      <c r="F1829" s="1">
        <v>15</v>
      </c>
      <c r="G1829" s="1">
        <v>7</v>
      </c>
      <c r="H1829" s="1">
        <v>0</v>
      </c>
      <c r="I1829" s="1" t="s">
        <v>486</v>
      </c>
      <c r="K1829" s="1" t="str">
        <f t="shared" si="116"/>
        <v>ㄅ</v>
      </c>
      <c r="L1829" s="1" t="str">
        <f t="shared" si="117"/>
        <v>ㄟ</v>
      </c>
      <c r="N1829" s="3" t="s">
        <v>30574</v>
      </c>
      <c r="O1829" s="3"/>
      <c r="P1829" s="1" t="s">
        <v>20</v>
      </c>
      <c r="R1829" s="1" t="s">
        <v>487</v>
      </c>
      <c r="V1829" s="1" t="s">
        <v>513</v>
      </c>
      <c r="AR1829" s="1" t="str">
        <f t="shared" si="115"/>
        <v>| [ㄅㄟˋ](ㄅㄟˋ.md) | [鋇](鋇.md) |  | bèi | [名]_x000D_
（barium，Ba）化學元素。原子序56。屬鹼土金屬。約占地殼的百分之零點零五，呈銀白色或淡黃色。具延展性，容易與氧化合，化合物具有利用價值，如醫學上以硫酸鋇作為顯影劑。 |</v>
      </c>
    </row>
    <row r="1830" spans="1:44">
      <c r="A1830" s="1" t="s">
        <v>514</v>
      </c>
      <c r="C1830" s="1">
        <v>1</v>
      </c>
      <c r="D1830" s="1" t="str">
        <f>"00178"</f>
        <v>00178</v>
      </c>
      <c r="E1830" s="1" t="s">
        <v>250</v>
      </c>
      <c r="F1830" s="1">
        <v>8</v>
      </c>
      <c r="G1830" s="1">
        <v>5</v>
      </c>
      <c r="H1830" s="1">
        <v>2</v>
      </c>
      <c r="I1830" s="1" t="s">
        <v>486</v>
      </c>
      <c r="K1830" s="1" t="str">
        <f t="shared" si="116"/>
        <v>ㄅ</v>
      </c>
      <c r="L1830" s="1" t="str">
        <f t="shared" si="117"/>
        <v>ㄟ</v>
      </c>
      <c r="N1830" s="3" t="s">
        <v>30574</v>
      </c>
      <c r="O1830" s="3"/>
      <c r="P1830" s="1" t="s">
        <v>20</v>
      </c>
      <c r="R1830" s="1" t="s">
        <v>487</v>
      </c>
      <c r="V1830" s="1" t="s">
        <v>515</v>
      </c>
      <c r="W1830" s="1" t="s">
        <v>516</v>
      </c>
      <c r="AR1830" s="1" t="str">
        <f t="shared" si="115"/>
        <v>| [ㄅㄟˋ](ㄅㄟˋ.md) | [怫](怫.md) |  | bèi | [形]
違反。通「悖」。參見「怫異」條。 |</v>
      </c>
    </row>
    <row r="1831" spans="1:44">
      <c r="A1831" s="1" t="s">
        <v>517</v>
      </c>
      <c r="C1831" s="1">
        <v>1</v>
      </c>
      <c r="D1831" s="1" t="str">
        <f>"00179"</f>
        <v>00179</v>
      </c>
      <c r="E1831" s="1" t="s">
        <v>518</v>
      </c>
      <c r="F1831" s="1">
        <v>8</v>
      </c>
      <c r="G1831" s="1">
        <v>4</v>
      </c>
      <c r="H1831" s="1">
        <v>0</v>
      </c>
      <c r="I1831" s="1" t="s">
        <v>486</v>
      </c>
      <c r="K1831" s="1" t="str">
        <f t="shared" si="116"/>
        <v>ㄅ</v>
      </c>
      <c r="L1831" s="1" t="str">
        <f t="shared" si="117"/>
        <v>ㄟ</v>
      </c>
      <c r="N1831" s="3" t="s">
        <v>30574</v>
      </c>
      <c r="O1831" s="3"/>
      <c r="P1831" s="1" t="s">
        <v>20</v>
      </c>
      <c r="R1831" s="1" t="s">
        <v>487</v>
      </c>
      <c r="V1831" s="1" t="s">
        <v>519</v>
      </c>
      <c r="AR1831" s="1" t="str">
        <f t="shared" si="115"/>
        <v>| [ㄅㄟˋ](ㄅㄟˋ.md) | [牬](牬.md) |  | bèi | [名]
體長的牛，稱為「牬」。《爾雅．釋畜》：「體長牬。」邢昺疏引《經典釋文》曰：「凡牛之身長者名牬。」 |</v>
      </c>
    </row>
    <row r="1832" spans="1:44">
      <c r="A1832" s="1" t="s">
        <v>64</v>
      </c>
      <c r="C1832" s="1">
        <v>1</v>
      </c>
      <c r="D1832" s="1" t="str">
        <f>"00180"</f>
        <v>00180</v>
      </c>
      <c r="E1832" s="1" t="s">
        <v>37</v>
      </c>
      <c r="F1832" s="1">
        <v>9</v>
      </c>
      <c r="G1832" s="1">
        <v>5</v>
      </c>
      <c r="H1832" s="1">
        <v>2</v>
      </c>
      <c r="I1832" s="1" t="s">
        <v>486</v>
      </c>
      <c r="K1832" s="1" t="str">
        <f t="shared" si="116"/>
        <v>ㄅ</v>
      </c>
      <c r="L1832" s="1" t="str">
        <f t="shared" si="117"/>
        <v>ㄟ</v>
      </c>
      <c r="N1832" s="3" t="s">
        <v>30574</v>
      </c>
      <c r="O1832" s="3"/>
      <c r="P1832" s="1" t="s">
        <v>20</v>
      </c>
      <c r="R1832" s="1" t="s">
        <v>487</v>
      </c>
      <c r="V1832" s="1" t="s">
        <v>520</v>
      </c>
      <c r="W1832" s="1" t="s">
        <v>521</v>
      </c>
      <c r="AR1832" s="1" t="str">
        <f t="shared" si="115"/>
        <v>| [ㄅㄟˋ](ㄅㄟˋ.md) | [茇](茇.md) |  | bèi | [名]
開白花的陵苕，即凌霄花。《爾雅．釋草》：「苕，陵苕。黃華，蔈；白華，茇。」宋．邢昺．疏：「苕，一名陵苕。……黃花名蔈，白華名茇，別華色之名也。」參見「凌霄花」條。
[副]
參見「茇茇」條。 |</v>
      </c>
    </row>
    <row r="1833" spans="1:44">
      <c r="A1833" s="1" t="s">
        <v>522</v>
      </c>
      <c r="C1833" s="1">
        <v>1</v>
      </c>
      <c r="D1833" s="1" t="str">
        <f>"00181"</f>
        <v>00181</v>
      </c>
      <c r="E1833" s="1" t="s">
        <v>114</v>
      </c>
      <c r="F1833" s="1">
        <v>10</v>
      </c>
      <c r="G1833" s="1">
        <v>8</v>
      </c>
      <c r="H1833" s="1">
        <v>0</v>
      </c>
      <c r="I1833" s="1" t="s">
        <v>486</v>
      </c>
      <c r="K1833" s="1" t="str">
        <f t="shared" si="116"/>
        <v>ㄅ</v>
      </c>
      <c r="L1833" s="1" t="str">
        <f t="shared" si="117"/>
        <v>ㄟ</v>
      </c>
      <c r="N1833" s="3" t="s">
        <v>30574</v>
      </c>
      <c r="O1833" s="3"/>
      <c r="P1833" s="1" t="s">
        <v>20</v>
      </c>
      <c r="R1833" s="1" t="s">
        <v>487</v>
      </c>
      <c r="V1833" s="1" t="s">
        <v>523</v>
      </c>
      <c r="AR1833" s="1" t="str">
        <f t="shared" si="115"/>
        <v>| [ㄅㄟˋ](ㄅㄟˋ.md) | [倍](倍.md) |  | bèi | [動]_x000D_
1.違背、反叛。《說文解字．人部》：「倍，反也。」《禮記．緇衣》：「信以結之，則民不倍。」《史記．卷七．項羽本紀》：「今秦嘉倍陳王而立景駒，逆無道。」_x000D_
2.背向、背著。《戰國策．趙策三》：「天子弔，主人必將倍殯柩。」《史記．卷九二．淮陰侯列傳》：「兵法右倍山陵，前左水澤。」_x000D_
3.增加與原數相等的量。《孟子．公孫丑上》：「故事半古之人，功必倍之。」南朝梁．劉勰《文心雕龍．鎔裁》：「夫美錦製衣，修短有度。雖翫其采，不倍領袖。」_x000D_
[量]_x000D_
計算照原數再加上一個或幾個全數的單位。如：「十倍」、「六是三的兩倍」、「年所得增加一倍。」漢．賈誼〈過秦論〉：「嘗以十倍之地，百萬之眾，叩關而攻秦。」《糊塗世界》卷六：「你老爺拚出三年的澆用，我可以給他去走條路，雖然不能說是一本萬利，這兩、三倍的利錢是有的。」_x000D_
[副]_x000D_
更加、益增。如：「勇氣倍增」、「倍受恩寵」。唐．王維〈九月九日憶山東兄弟〉詩：「獨在異鄉為異客，每逢佳節倍思親。」 |</v>
      </c>
    </row>
    <row r="1834" spans="1:44">
      <c r="A1834" s="1" t="s">
        <v>524</v>
      </c>
      <c r="C1834" s="1">
        <v>1</v>
      </c>
      <c r="D1834" s="1" t="str">
        <f>"00182"</f>
        <v>00182</v>
      </c>
      <c r="E1834" s="1" t="s">
        <v>336</v>
      </c>
      <c r="F1834" s="1">
        <v>12</v>
      </c>
      <c r="G1834" s="1">
        <v>8</v>
      </c>
      <c r="H1834" s="1">
        <v>0</v>
      </c>
      <c r="I1834" s="1" t="s">
        <v>486</v>
      </c>
      <c r="K1834" s="1" t="str">
        <f t="shared" si="116"/>
        <v>ㄅ</v>
      </c>
      <c r="L1834" s="1" t="str">
        <f t="shared" si="117"/>
        <v>ㄟ</v>
      </c>
      <c r="N1834" s="3" t="s">
        <v>30574</v>
      </c>
      <c r="O1834" s="3"/>
      <c r="P1834" s="1" t="s">
        <v>20</v>
      </c>
      <c r="R1834" s="1" t="s">
        <v>487</v>
      </c>
      <c r="V1834" s="1" t="s">
        <v>525</v>
      </c>
      <c r="AR1834" s="1" t="str">
        <f t="shared" si="115"/>
        <v>| [ㄅㄟˋ](ㄅㄟˋ.md) | [焙](焙.md) |  | bèi | [動]
用微火加熱使東西乾燥。如：「烘焙」、「焙茶」。唐．皮日休〈寄懷南陽潤卿〉詩：「醉來渾忘移花處，病起空聞焙藥香。」清．陳章〈採茶歌〉：「焙成粒粒比蓮心，誰知儂比蓮心苦。」 |</v>
      </c>
    </row>
    <row r="1835" spans="1:44">
      <c r="A1835" s="1" t="s">
        <v>526</v>
      </c>
      <c r="C1835" s="1">
        <v>1</v>
      </c>
      <c r="D1835" s="1" t="str">
        <f>"00183"</f>
        <v>00183</v>
      </c>
      <c r="E1835" s="1" t="s">
        <v>169</v>
      </c>
      <c r="F1835" s="1">
        <v>13</v>
      </c>
      <c r="G1835" s="1">
        <v>8</v>
      </c>
      <c r="H1835" s="1">
        <v>0</v>
      </c>
      <c r="I1835" s="1" t="s">
        <v>486</v>
      </c>
      <c r="K1835" s="1" t="str">
        <f t="shared" si="116"/>
        <v>ㄅ</v>
      </c>
      <c r="L1835" s="1" t="str">
        <f t="shared" si="117"/>
        <v>ㄟ</v>
      </c>
      <c r="N1835" s="3" t="s">
        <v>30574</v>
      </c>
      <c r="O1835" s="3"/>
      <c r="P1835" s="1" t="s">
        <v>20</v>
      </c>
      <c r="R1835" s="1" t="s">
        <v>487</v>
      </c>
      <c r="V1835" s="1" t="s">
        <v>527</v>
      </c>
      <c r="AR1835" s="1" t="str">
        <f t="shared" si="115"/>
        <v>| [ㄅㄟˋ](ㄅㄟˋ.md) | [碚](碚.md) |  | bèi | [名]
1.花苞。南朝梁．簡文帝〈有所傷〉詩三首之三：「入林看碚礧，春至定無賒。」
2.地名用字。如大陸地區四川重慶市的北碚，湖北省宜昌市西北的蝦蟆碚。 |</v>
      </c>
    </row>
    <row r="1836" spans="1:44">
      <c r="A1836" s="1" t="s">
        <v>528</v>
      </c>
      <c r="C1836" s="1">
        <v>1</v>
      </c>
      <c r="D1836" s="1" t="str">
        <f>"00184"</f>
        <v>00184</v>
      </c>
      <c r="E1836" s="1" t="s">
        <v>37</v>
      </c>
      <c r="F1836" s="1">
        <v>14</v>
      </c>
      <c r="G1836" s="1">
        <v>10</v>
      </c>
      <c r="H1836" s="1">
        <v>0</v>
      </c>
      <c r="I1836" s="1" t="s">
        <v>486</v>
      </c>
      <c r="K1836" s="1" t="str">
        <f t="shared" ref="K1836:K1853" si="118">LEFT(I1836, 1)</f>
        <v>ㄅ</v>
      </c>
      <c r="L1836" s="1" t="str">
        <f t="shared" ref="L1836:L1853" si="119">MID(I1836, 2, 1)</f>
        <v>ㄟ</v>
      </c>
      <c r="N1836" s="3" t="s">
        <v>30574</v>
      </c>
      <c r="O1836" s="3"/>
      <c r="P1836" s="1" t="s">
        <v>20</v>
      </c>
      <c r="R1836" s="1" t="s">
        <v>487</v>
      </c>
      <c r="V1836" s="1" t="s">
        <v>529</v>
      </c>
      <c r="AR1836" s="1" t="str">
        <f t="shared" si="115"/>
        <v>| [ㄅㄟˋ](ㄅㄟˋ.md) | [蓓](蓓.md) |  | bèi | [名]
參見「蓓蕾」條。 |</v>
      </c>
    </row>
    <row r="1837" spans="1:44">
      <c r="A1837" s="1" t="s">
        <v>530</v>
      </c>
      <c r="C1837" s="1">
        <v>1</v>
      </c>
      <c r="D1837" s="1" t="str">
        <f>"00185"</f>
        <v>00185</v>
      </c>
      <c r="E1837" s="1" t="s">
        <v>340</v>
      </c>
      <c r="F1837" s="1">
        <v>11</v>
      </c>
      <c r="G1837" s="1">
        <v>5</v>
      </c>
      <c r="H1837" s="1">
        <v>1</v>
      </c>
      <c r="I1837" s="1" t="s">
        <v>486</v>
      </c>
      <c r="K1837" s="1" t="str">
        <f t="shared" si="118"/>
        <v>ㄅ</v>
      </c>
      <c r="L1837" s="1" t="str">
        <f t="shared" si="119"/>
        <v>ㄟ</v>
      </c>
      <c r="N1837" s="3" t="s">
        <v>30574</v>
      </c>
      <c r="O1837" s="3"/>
      <c r="P1837" s="1" t="s">
        <v>20</v>
      </c>
      <c r="R1837" s="1" t="s">
        <v>487</v>
      </c>
      <c r="V1837" s="1" t="s">
        <v>531</v>
      </c>
      <c r="W1837" s="1" t="s">
        <v>532</v>
      </c>
      <c r="AR1837" s="1" t="str">
        <f t="shared" si="115"/>
        <v>| [ㄅㄟˋ](ㄅㄟˋ.md) | [被](被.md) |  | bèi | [名]_x000D_
1.被子。睡眠時蓋在身上的東西。《楚辭．宋玉．招魂》：「翡翠珠被，爛齊光些。」_x000D_
2.姓。如春秋時鄭國有被瞻、吳國有被離。_x000D_
[動]_x000D_
1.覆蓋。《楚辭．宋玉．招魂》：「皋蘭被徑兮斯路漸。」_x000D_
2.蒙受、遭遇。《孟子．離婁上》：「今有仁心仁聞，而民不被其澤。」《戰國策．齊策四》：「寡人不祥，被於宗廟之祟。」_x000D_
3.及，達到。《書經．禹貢》：「東漸于海，西被于流沙。」_x000D_
4.配上。南朝梁．劉勰《文心雕龍．樂府》：「詩官採言，樂盲被律，志感絲篁，氣變金石。」_x000D_
[副]_x000D_
因為。《水滸傳》第五回：「被此間有座山，喚做桃花山，近來山上有兩個大王紮了寨柵，聚集著五七百人，打家劫舍。」_x000D_
[助]_x000D_
表被動性，用在動詞前構成被動詞組。如：「被選」、「被害」。《史記．卷八四．屈原賈生傳》：「信而見疑，忠而被謗，能無怨乎？」三國蜀．諸葛亮〈後出師表〉：「然涉險被創，危然後安。」 |</v>
      </c>
    </row>
    <row r="1838" spans="1:44">
      <c r="A1838" s="1" t="s">
        <v>533</v>
      </c>
      <c r="C1838" s="1">
        <v>1</v>
      </c>
      <c r="D1838" s="1" t="str">
        <f>"00186"</f>
        <v>00186</v>
      </c>
      <c r="E1838" s="1" t="s">
        <v>534</v>
      </c>
      <c r="F1838" s="1">
        <v>11</v>
      </c>
      <c r="G1838" s="1">
        <v>8</v>
      </c>
      <c r="H1838" s="1">
        <v>2</v>
      </c>
      <c r="I1838" s="1" t="s">
        <v>486</v>
      </c>
      <c r="K1838" s="1" t="str">
        <f t="shared" si="118"/>
        <v>ㄅ</v>
      </c>
      <c r="L1838" s="1" t="str">
        <f t="shared" si="119"/>
        <v>ㄟ</v>
      </c>
      <c r="N1838" s="3" t="s">
        <v>30574</v>
      </c>
      <c r="O1838" s="3"/>
      <c r="P1838" s="1" t="s">
        <v>110</v>
      </c>
      <c r="R1838" s="1" t="s">
        <v>487</v>
      </c>
      <c r="V1838" s="1" t="s">
        <v>111</v>
      </c>
      <c r="W1838" s="1" t="s">
        <v>535</v>
      </c>
      <c r="AR1838" s="1" t="str">
        <f t="shared" si="115"/>
        <v>| [ㄅㄟˋ](ㄅㄟˋ.md) | [婢](婢.md) |  | bèi | (一)之又音。 |</v>
      </c>
    </row>
    <row r="1839" spans="1:44">
      <c r="A1839" s="1" t="s">
        <v>536</v>
      </c>
      <c r="C1839" s="1">
        <v>1</v>
      </c>
      <c r="D1839" s="1" t="str">
        <f>"00187"</f>
        <v>00187</v>
      </c>
      <c r="E1839" s="1" t="s">
        <v>537</v>
      </c>
      <c r="F1839" s="1">
        <v>15</v>
      </c>
      <c r="G1839" s="1">
        <v>8</v>
      </c>
      <c r="H1839" s="1">
        <v>2</v>
      </c>
      <c r="I1839" s="1" t="s">
        <v>486</v>
      </c>
      <c r="K1839" s="1" t="str">
        <f t="shared" si="118"/>
        <v>ㄅ</v>
      </c>
      <c r="L1839" s="1" t="str">
        <f t="shared" si="119"/>
        <v>ㄟ</v>
      </c>
      <c r="N1839" s="3" t="s">
        <v>30574</v>
      </c>
      <c r="O1839" s="3"/>
      <c r="P1839" s="1" t="s">
        <v>110</v>
      </c>
      <c r="R1839" s="1" t="s">
        <v>487</v>
      </c>
      <c r="V1839" s="1" t="s">
        <v>111</v>
      </c>
      <c r="W1839" s="1" t="s">
        <v>538</v>
      </c>
      <c r="AR1839" s="1" t="str">
        <f t="shared" si="115"/>
        <v>| [ㄅㄟˋ](ㄅㄟˋ.md) | [貏](貏.md) |  | bèi | (一)之又音。 |</v>
      </c>
    </row>
    <row r="1840" spans="1:44">
      <c r="A1840" s="1" t="s">
        <v>539</v>
      </c>
      <c r="C1840" s="1">
        <v>1</v>
      </c>
      <c r="D1840" s="1" t="str">
        <f>"00188"</f>
        <v>00188</v>
      </c>
      <c r="E1840" s="1" t="s">
        <v>142</v>
      </c>
      <c r="F1840" s="1">
        <v>12</v>
      </c>
      <c r="G1840" s="1">
        <v>8</v>
      </c>
      <c r="H1840" s="1">
        <v>0</v>
      </c>
      <c r="I1840" s="1" t="s">
        <v>486</v>
      </c>
      <c r="K1840" s="1" t="str">
        <f t="shared" si="118"/>
        <v>ㄅ</v>
      </c>
      <c r="L1840" s="1" t="str">
        <f t="shared" si="119"/>
        <v>ㄟ</v>
      </c>
      <c r="N1840" s="3" t="s">
        <v>30574</v>
      </c>
      <c r="O1840" s="3"/>
      <c r="P1840" s="1" t="s">
        <v>20</v>
      </c>
      <c r="R1840" s="1" t="s">
        <v>487</v>
      </c>
      <c r="V1840" s="1" t="s">
        <v>540</v>
      </c>
      <c r="AR1840" s="1" t="str">
        <f t="shared" si="115"/>
        <v>| [ㄅㄟˋ](ㄅㄟˋ.md) | [琲](琲.md) |  | bèi | [名]
貫珠。即成串的珠子。《廣韻．上聲．賄韻》：「琲，珠五百枚。」《文選．卷五．賦．左思．吳都賦》：「珠琲闌干。」李善注引《史記》：「琲，貫也。珠十貫為一琲。」 |</v>
      </c>
    </row>
    <row r="1841" spans="1:44">
      <c r="A1841" s="1" t="s">
        <v>541</v>
      </c>
      <c r="C1841" s="1">
        <v>1</v>
      </c>
      <c r="D1841" s="1" t="str">
        <f>"00189"</f>
        <v>00189</v>
      </c>
      <c r="E1841" s="1" t="s">
        <v>71</v>
      </c>
      <c r="F1841" s="1">
        <v>15</v>
      </c>
      <c r="G1841" s="1">
        <v>8</v>
      </c>
      <c r="H1841" s="1">
        <v>0</v>
      </c>
      <c r="I1841" s="1" t="s">
        <v>486</v>
      </c>
      <c r="K1841" s="1" t="str">
        <f t="shared" si="118"/>
        <v>ㄅ</v>
      </c>
      <c r="L1841" s="1" t="str">
        <f t="shared" si="119"/>
        <v>ㄟ</v>
      </c>
      <c r="N1841" s="3" t="s">
        <v>30574</v>
      </c>
      <c r="O1841" s="3"/>
      <c r="P1841" s="1" t="s">
        <v>20</v>
      </c>
      <c r="R1841" s="1" t="s">
        <v>487</v>
      </c>
      <c r="V1841" s="1" t="s">
        <v>542</v>
      </c>
      <c r="AR1841" s="1" t="str">
        <f t="shared" si="115"/>
        <v>| [ㄅㄟˋ](ㄅㄟˋ.md) | [輩](輩.md) |  | bèi | [名]
1.家族的世代、長幼的行次。如：「長輩」、「平輩」、「晚輩」、「前輩」。
2.同類、同等級的人。引申為某物之類。如：「汝輩」、「鼠輩」。南朝宋．劉義慶《世說新語．德行》：「賊相謂曰：『我輩無義之人，而入有義之國！』」唐．杜甫〈自京赴奉先縣詠懷五百字〉詩：「顧惟螻蟻輩，但自求其穴。」
3.量詞。計算輩分的單位。如：「他大我兩輩，是我的叔公。」
[動]
比較。《後漢書．卷七六．循吏傳．序》：「邊鳳，延篤先後為京兆尹，時人以輩前世趙（廣漢）、張（敞）。」 |</v>
      </c>
    </row>
    <row r="1842" spans="1:44">
      <c r="A1842" s="1" t="s">
        <v>543</v>
      </c>
      <c r="C1842" s="1">
        <v>1</v>
      </c>
      <c r="D1842" s="1" t="str">
        <f>"00190"</f>
        <v>00190</v>
      </c>
      <c r="E1842" s="1" t="s">
        <v>114</v>
      </c>
      <c r="F1842" s="1">
        <v>12</v>
      </c>
      <c r="G1842" s="1">
        <v>10</v>
      </c>
      <c r="H1842" s="1">
        <v>0</v>
      </c>
      <c r="I1842" s="1" t="s">
        <v>486</v>
      </c>
      <c r="K1842" s="1" t="str">
        <f t="shared" si="118"/>
        <v>ㄅ</v>
      </c>
      <c r="L1842" s="1" t="str">
        <f t="shared" si="119"/>
        <v>ㄟ</v>
      </c>
      <c r="N1842" s="3" t="s">
        <v>30574</v>
      </c>
      <c r="O1842" s="3"/>
      <c r="P1842" s="1" t="s">
        <v>20</v>
      </c>
      <c r="R1842" s="1" t="s">
        <v>487</v>
      </c>
      <c r="V1842" s="1" t="s">
        <v>544</v>
      </c>
      <c r="AR1842" s="1" t="str">
        <f t="shared" si="115"/>
        <v>| [ㄅㄟˋ](ㄅㄟˋ.md) | [備](備.md) |  | bèi | [動]
事先安排好，有所預防。如：「準備」、「預備」。《書經．說命》中：「惟事事乃其有備，有備無患。」
[形]
完備、齊全。《史記．卷七七．魏公子傳》：「吾所以待侯生者備矣，天下莫不聞。」
[副]
盡、皆，完全的意思。《禮記．月令》：「乃命冢宰，農事備收。」
[名]
設施。如：「裝備」、「配備」。 |</v>
      </c>
    </row>
    <row r="1843" spans="1:44">
      <c r="A1843" s="1" t="s">
        <v>545</v>
      </c>
      <c r="C1843" s="1">
        <v>1</v>
      </c>
      <c r="D1843" s="1" t="str">
        <f>"00191"</f>
        <v>00191</v>
      </c>
      <c r="E1843" s="1" t="s">
        <v>139</v>
      </c>
      <c r="F1843" s="1">
        <v>14</v>
      </c>
      <c r="G1843" s="1">
        <v>10</v>
      </c>
      <c r="H1843" s="1">
        <v>0</v>
      </c>
      <c r="I1843" s="1" t="s">
        <v>486</v>
      </c>
      <c r="K1843" s="1" t="str">
        <f t="shared" si="118"/>
        <v>ㄅ</v>
      </c>
      <c r="L1843" s="1" t="str">
        <f t="shared" si="119"/>
        <v>ㄟ</v>
      </c>
      <c r="N1843" s="3" t="s">
        <v>30574</v>
      </c>
      <c r="O1843" s="3"/>
      <c r="P1843" s="1" t="s">
        <v>20</v>
      </c>
      <c r="R1843" s="1" t="s">
        <v>487</v>
      </c>
      <c r="V1843" s="1" t="s">
        <v>546</v>
      </c>
      <c r="AR1843" s="1" t="str">
        <f t="shared" si="115"/>
        <v>| [ㄅㄟˋ](ㄅㄟˋ.md) | [𣖾](𣖾.md) |  | bèi | 植物名。漆樹科漆樹屬，落葉喬木。樹披灰褐色而有赤褐色斑點。葉螺旋狀互生，奇數羽狀複葉。圓錐花叢出自枝梢，有灰褐色細毛密生，花瓣白色，倒卵狀長橢圓形。核果扁圓形，外面有灰白色短軟毛密生。《玉篇．木部》：「𣖾，木名。出蜀中。八月中吐穗如鹽狀，可食，味酸美也。」也稱為「鹽膚木」。 |</v>
      </c>
    </row>
    <row r="1844" spans="1:44">
      <c r="A1844" s="1" t="s">
        <v>547</v>
      </c>
      <c r="C1844" s="1">
        <v>1</v>
      </c>
      <c r="D1844" s="1" t="str">
        <f>"00192"</f>
        <v>00192</v>
      </c>
      <c r="E1844" s="1" t="s">
        <v>518</v>
      </c>
      <c r="F1844" s="1">
        <v>14</v>
      </c>
      <c r="G1844" s="1">
        <v>10</v>
      </c>
      <c r="H1844" s="1">
        <v>0</v>
      </c>
      <c r="I1844" s="1" t="s">
        <v>486</v>
      </c>
      <c r="K1844" s="1" t="str">
        <f t="shared" si="118"/>
        <v>ㄅ</v>
      </c>
      <c r="L1844" s="1" t="str">
        <f t="shared" si="119"/>
        <v>ㄟ</v>
      </c>
      <c r="N1844" s="3" t="s">
        <v>30574</v>
      </c>
      <c r="O1844" s="3"/>
      <c r="P1844" s="1" t="s">
        <v>20</v>
      </c>
      <c r="R1844" s="1" t="s">
        <v>487</v>
      </c>
      <c r="V1844" s="1" t="s">
        <v>548</v>
      </c>
      <c r="AR1844" s="1" t="str">
        <f t="shared" si="115"/>
        <v>| [ㄅㄟˋ](ㄅㄟˋ.md) | [犕](犕.md) |  | bèi | [動]
1.將鞍具套在牲畜身上。《說文解字．牛部》：「犕，《易》曰：『犕牛乘馬。』」《玉篇．牛部》：「犕，服也，以鞍裝馬也。」
2.心服。通「服」。《後漢書．卷七一．皇甫嵩傳》：「卓風令御史中丞已下皆拜以屈嵩，既而抵手言曰：『義真犕未乎？』」
[名]
1.八歲的牛。《玉篇．牛部》：「犕，牛八歲也。」
2.老牛。明．張自烈《正字通．牛部》：「犕，老牛也。」 |</v>
      </c>
    </row>
    <row r="1845" spans="1:44">
      <c r="A1845" s="1" t="s">
        <v>549</v>
      </c>
      <c r="C1845" s="1">
        <v>1</v>
      </c>
      <c r="D1845" s="1" t="str">
        <f>"00193"</f>
        <v>00193</v>
      </c>
      <c r="E1845" s="1" t="s">
        <v>46</v>
      </c>
      <c r="F1845" s="1">
        <v>16</v>
      </c>
      <c r="G1845" s="1">
        <v>10</v>
      </c>
      <c r="H1845" s="1">
        <v>0</v>
      </c>
      <c r="I1845" s="1" t="s">
        <v>486</v>
      </c>
      <c r="K1845" s="1" t="str">
        <f t="shared" si="118"/>
        <v>ㄅ</v>
      </c>
      <c r="L1845" s="1" t="str">
        <f t="shared" si="119"/>
        <v>ㄟ</v>
      </c>
      <c r="N1845" s="3" t="s">
        <v>30574</v>
      </c>
      <c r="O1845" s="3"/>
      <c r="P1845" s="1" t="s">
        <v>20</v>
      </c>
      <c r="R1845" s="1" t="s">
        <v>487</v>
      </c>
      <c r="V1845" s="1" t="s">
        <v>550</v>
      </c>
      <c r="AR1845" s="1" t="str">
        <f t="shared" si="115"/>
        <v>| [ㄅㄟˋ](ㄅㄟˋ.md) | [糒](糒.md) |  | bèi | [名]
乾飯。《史記．卷一〇九．李將軍傳》：「大將軍使長史持糒醪遺廣，因問廣、食其失道狀，青欲上書報天子軍曲折。」《文選．陸機．弔魏武帝文》：「徽清絃而獨奏，進脯糒而誰嘗？」 |</v>
      </c>
    </row>
    <row r="1846" spans="1:44">
      <c r="A1846" s="1" t="s">
        <v>551</v>
      </c>
      <c r="C1846" s="1">
        <v>1</v>
      </c>
      <c r="D1846" s="1" t="str">
        <f>"00194"</f>
        <v>00194</v>
      </c>
      <c r="E1846" s="1" t="s">
        <v>250</v>
      </c>
      <c r="F1846" s="1">
        <v>16</v>
      </c>
      <c r="G1846" s="1">
        <v>12</v>
      </c>
      <c r="H1846" s="1">
        <v>0</v>
      </c>
      <c r="I1846" s="1" t="s">
        <v>486</v>
      </c>
      <c r="K1846" s="1" t="str">
        <f t="shared" si="118"/>
        <v>ㄅ</v>
      </c>
      <c r="L1846" s="1" t="str">
        <f t="shared" si="119"/>
        <v>ㄟ</v>
      </c>
      <c r="N1846" s="3" t="s">
        <v>30574</v>
      </c>
      <c r="O1846" s="3"/>
      <c r="P1846" s="1" t="s">
        <v>20</v>
      </c>
      <c r="R1846" s="1" t="s">
        <v>487</v>
      </c>
      <c r="V1846" s="1" t="s">
        <v>552</v>
      </c>
      <c r="AR1846" s="1" t="str">
        <f t="shared" si="115"/>
        <v>| [ㄅㄟˋ](ㄅㄟˋ.md) | [憊](憊.md) |  | bèi | [形]
精神極度疲困。如：「疲憊不堪」。清．蔣士銓〈鳴機夜課圖記〉：「女本弱，今勞瘁過諸兄，憊矣。」 |</v>
      </c>
    </row>
    <row r="1847" spans="1:44">
      <c r="A1847" s="1" t="s">
        <v>553</v>
      </c>
      <c r="C1847" s="1">
        <v>1</v>
      </c>
      <c r="D1847" s="1" t="str">
        <f>"00195"</f>
        <v>00195</v>
      </c>
      <c r="E1847" s="1" t="s">
        <v>96</v>
      </c>
      <c r="F1847" s="1">
        <v>19</v>
      </c>
      <c r="G1847" s="1">
        <v>10</v>
      </c>
      <c r="H1847" s="1">
        <v>0</v>
      </c>
      <c r="I1847" s="1" t="s">
        <v>486</v>
      </c>
      <c r="K1847" s="1" t="str">
        <f t="shared" si="118"/>
        <v>ㄅ</v>
      </c>
      <c r="L1847" s="1" t="str">
        <f t="shared" si="119"/>
        <v>ㄟ</v>
      </c>
      <c r="N1847" s="3" t="s">
        <v>30574</v>
      </c>
      <c r="O1847" s="3"/>
      <c r="P1847" s="1" t="s">
        <v>20</v>
      </c>
      <c r="R1847" s="1" t="s">
        <v>487</v>
      </c>
      <c r="V1847" s="1" t="s">
        <v>554</v>
      </c>
      <c r="AR1847" s="1" t="str">
        <f t="shared" si="115"/>
        <v>| [ㄅㄟˋ](ㄅㄟˋ.md) | [鞴](鞴.md) |  | bèi | [名]
車絥。馬車上的飾物。《廣韻．去聲．至韻》：「鞴，《說文》曰：『車絥也。』」
[動]
將鞍轡等裝備套於馬上。元．關漢卿《竇娥冤》第二折：「我一馬難將兩鞍鞴。」《初刻拍案驚奇》卷三：「鞴著一疋好馬，腰束弓箭短劍，一鞭獨行。」 |</v>
      </c>
    </row>
    <row r="1848" spans="1:44">
      <c r="A1848" s="1" t="s">
        <v>555</v>
      </c>
      <c r="C1848" s="1">
        <v>1</v>
      </c>
      <c r="D1848" s="1" t="str">
        <f>"00196"</f>
        <v>00196</v>
      </c>
      <c r="E1848" s="1" t="s">
        <v>114</v>
      </c>
      <c r="F1848" s="1">
        <v>15</v>
      </c>
      <c r="G1848" s="1">
        <v>13</v>
      </c>
      <c r="H1848" s="1">
        <v>2</v>
      </c>
      <c r="I1848" s="1" t="s">
        <v>486</v>
      </c>
      <c r="K1848" s="1" t="str">
        <f t="shared" si="118"/>
        <v>ㄅ</v>
      </c>
      <c r="L1848" s="1" t="str">
        <f t="shared" si="119"/>
        <v>ㄟ</v>
      </c>
      <c r="N1848" s="3" t="s">
        <v>30574</v>
      </c>
      <c r="O1848" s="3"/>
      <c r="P1848" s="1" t="s">
        <v>388</v>
      </c>
      <c r="R1848" s="1" t="s">
        <v>487</v>
      </c>
      <c r="V1848" s="1" t="s">
        <v>407</v>
      </c>
      <c r="W1848" s="1" t="s">
        <v>556</v>
      </c>
      <c r="AR1848" s="1" t="str">
        <f t="shared" si="115"/>
        <v>| [ㄅㄟˋ](ㄅㄟˋ.md) | [僻](僻.md) |  | bèi | (一)之語音。 |</v>
      </c>
    </row>
    <row r="1849" spans="1:44">
      <c r="A1849" s="1" t="s">
        <v>557</v>
      </c>
      <c r="C1849" s="1">
        <v>1</v>
      </c>
      <c r="D1849" s="1" t="str">
        <f>"00197"</f>
        <v>00197</v>
      </c>
      <c r="E1849" s="1" t="s">
        <v>558</v>
      </c>
      <c r="F1849" s="1">
        <v>17</v>
      </c>
      <c r="G1849" s="1">
        <v>13</v>
      </c>
      <c r="H1849" s="1">
        <v>2</v>
      </c>
      <c r="I1849" s="1" t="s">
        <v>486</v>
      </c>
      <c r="K1849" s="1" t="str">
        <f t="shared" si="118"/>
        <v>ㄅ</v>
      </c>
      <c r="L1849" s="1" t="str">
        <f t="shared" si="119"/>
        <v>ㄟ</v>
      </c>
      <c r="N1849" s="3" t="s">
        <v>30574</v>
      </c>
      <c r="O1849" s="3"/>
      <c r="P1849" s="1" t="s">
        <v>110</v>
      </c>
      <c r="R1849" s="1" t="s">
        <v>487</v>
      </c>
      <c r="V1849" s="1" t="s">
        <v>111</v>
      </c>
      <c r="W1849" s="1" t="s">
        <v>559</v>
      </c>
      <c r="AR1849" s="1" t="str">
        <f t="shared" si="115"/>
        <v>| [ㄅㄟˋ](ㄅㄟˋ.md) | [避](避.md) |  | bèi | (一)之又音。 |</v>
      </c>
    </row>
    <row r="1850" spans="1:44">
      <c r="A1850" s="1" t="s">
        <v>560</v>
      </c>
      <c r="C1850" s="1">
        <v>1</v>
      </c>
      <c r="D1850" s="1" t="str">
        <f>"00198"</f>
        <v>00198</v>
      </c>
      <c r="E1850" s="1" t="s">
        <v>68</v>
      </c>
      <c r="F1850" s="1">
        <v>17</v>
      </c>
      <c r="G1850" s="1">
        <v>13</v>
      </c>
      <c r="H1850" s="1">
        <v>2</v>
      </c>
      <c r="I1850" s="1" t="s">
        <v>486</v>
      </c>
      <c r="K1850" s="1" t="str">
        <f t="shared" si="118"/>
        <v>ㄅ</v>
      </c>
      <c r="L1850" s="1" t="str">
        <f t="shared" si="119"/>
        <v>ㄟ</v>
      </c>
      <c r="N1850" s="3" t="s">
        <v>30574</v>
      </c>
      <c r="O1850" s="3"/>
      <c r="P1850" s="1" t="s">
        <v>110</v>
      </c>
      <c r="R1850" s="1" t="s">
        <v>487</v>
      </c>
      <c r="V1850" s="1" t="s">
        <v>111</v>
      </c>
      <c r="W1850" s="1" t="s">
        <v>561</v>
      </c>
      <c r="AR1850" s="1" t="str">
        <f t="shared" si="115"/>
        <v>| [ㄅㄟˋ](ㄅㄟˋ.md) | [臂](臂.md) |  | bèi | (一)之又音。 |</v>
      </c>
    </row>
    <row r="1851" spans="1:44">
      <c r="A1851" s="1" t="s">
        <v>562</v>
      </c>
      <c r="C1851" s="1">
        <v>1</v>
      </c>
      <c r="D1851" s="1" t="str">
        <f>"00199"</f>
        <v>00199</v>
      </c>
      <c r="E1851" s="1" t="s">
        <v>563</v>
      </c>
      <c r="F1851" s="1">
        <v>18</v>
      </c>
      <c r="G1851" s="1">
        <v>15</v>
      </c>
      <c r="H1851" s="1">
        <v>0</v>
      </c>
      <c r="I1851" s="1" t="s">
        <v>486</v>
      </c>
      <c r="K1851" s="1" t="str">
        <f t="shared" si="118"/>
        <v>ㄅ</v>
      </c>
      <c r="L1851" s="1" t="str">
        <f t="shared" si="119"/>
        <v>ㄟ</v>
      </c>
      <c r="N1851" s="3" t="s">
        <v>30574</v>
      </c>
      <c r="O1851" s="3"/>
      <c r="P1851" s="1" t="s">
        <v>20</v>
      </c>
      <c r="R1851" s="1" t="s">
        <v>487</v>
      </c>
      <c r="V1851" s="1" t="s">
        <v>564</v>
      </c>
      <c r="AR1851" s="1" t="str">
        <f t="shared" si="115"/>
        <v>| [ㄅㄟˋ](ㄅㄟˋ.md) | [奰](奰.md) |  | bèi | [形]
壯大。《玉篇．大部》：「奰，壯也。」《淮南子．墬形》：「食木者多力而奰。」
[動]
1.怨怒。《詩經．大雅．蕩》：「內奰于中國，覃及鬼方。」漢．毛亨．傳：「不醉而怒曰奰。」唐．元結〈二風詩．亂風詩．至惑〉：「上下隔塞，人神怨奰。」
2.逼迫。南朝陳．無名氏〈代陳司空答貞陽侯書〉：「賊臣侯景，內奰中國，掘剪公室，鞭撻寓縣。」 |</v>
      </c>
    </row>
    <row r="1852" spans="1:44">
      <c r="A1852" s="1" t="s">
        <v>359</v>
      </c>
      <c r="C1852" s="1">
        <v>1</v>
      </c>
      <c r="D1852" s="1" t="str">
        <f>"00164"</f>
        <v>00164</v>
      </c>
      <c r="E1852" s="1" t="s">
        <v>360</v>
      </c>
      <c r="F1852" s="1">
        <v>5</v>
      </c>
      <c r="G1852" s="1">
        <v>3</v>
      </c>
      <c r="H1852" s="1">
        <v>1</v>
      </c>
      <c r="I1852" s="1" t="s">
        <v>480</v>
      </c>
      <c r="K1852" s="1" t="str">
        <f t="shared" si="118"/>
        <v>ㄅ</v>
      </c>
      <c r="L1852" s="1" t="str">
        <f t="shared" si="119"/>
        <v>ㄟ</v>
      </c>
      <c r="N1852" s="3" t="s">
        <v>30576</v>
      </c>
      <c r="O1852" s="3"/>
      <c r="P1852" s="1" t="s">
        <v>388</v>
      </c>
      <c r="R1852" s="1" t="s">
        <v>481</v>
      </c>
      <c r="V1852" s="1" t="s">
        <v>482</v>
      </c>
      <c r="W1852" s="1" t="s">
        <v>483</v>
      </c>
      <c r="AR1852" s="1" t="str">
        <f t="shared" si="115"/>
        <v>| [ㄅㄟˇ](ㄅㄟˇ.md) | [北](北.md) |  | běi | [名]
1.方位名。與「南」相對。如：「東西南北」、「漠北」。
2.敗逃的軍隊。漢．李陵〈答蘇武書〉：「斬將搴旗，追奔逐北。」
[形]
在北方或從北來的。如：「北方」、「北國」、「北風」。《詩經．邶風．北風》：「北風其涼，雨雪其雱。」
[動]
1.向北行。《呂氏春秋．孟春紀．孟春》：「東風解凍，蟄蟲始振，魚上冰，獺祭魚，候鴈北。」
2.失敗、敗逃。如：「敗北」。《韓非子．五蠹》：「魯人從君戰，三戰三北。」
[副]
向北，表示行動的方向。如：「北上」、「北征」。晉．陸機〈漢高祖功臣頌〉：「京索既扼，引師北討。」 |</v>
      </c>
    </row>
    <row r="1853" spans="1:44">
      <c r="A1853" s="1" t="s">
        <v>484</v>
      </c>
      <c r="C1853" s="1">
        <v>1</v>
      </c>
      <c r="D1853" s="1" t="str">
        <f>"00165"</f>
        <v>00165</v>
      </c>
      <c r="E1853" s="1" t="s">
        <v>55</v>
      </c>
      <c r="F1853" s="1">
        <v>13</v>
      </c>
      <c r="G1853" s="1">
        <v>5</v>
      </c>
      <c r="H1853" s="1">
        <v>0</v>
      </c>
      <c r="I1853" s="1" t="s">
        <v>480</v>
      </c>
      <c r="K1853" s="1" t="str">
        <f t="shared" si="118"/>
        <v>ㄅ</v>
      </c>
      <c r="L1853" s="1" t="str">
        <f t="shared" si="119"/>
        <v>ㄟ</v>
      </c>
      <c r="N1853" s="3" t="s">
        <v>30576</v>
      </c>
      <c r="O1853" s="3"/>
      <c r="P1853" s="1" t="s">
        <v>20</v>
      </c>
      <c r="R1853" s="1" t="s">
        <v>481</v>
      </c>
      <c r="V1853" s="1" t="s">
        <v>485</v>
      </c>
      <c r="AR1853" s="1" t="str">
        <f t="shared" si="115"/>
        <v>| [ㄅㄟˇ](ㄅㄟˇ.md) | [鉳](鉳.md) |  | běi | [名]
（berkelium，Bk）化學元素。原子序97。金屬放射性元素之一，屬於錒系元素，最穩定的鉳-247的半衰期約為一千四百年。為人造超鈾元素。大陸地區譯為錇。 |</v>
      </c>
    </row>
    <row r="1854" spans="1:44">
      <c r="A1854" s="1" t="s">
        <v>422</v>
      </c>
      <c r="C1854" s="1">
        <v>1</v>
      </c>
      <c r="D1854" s="1" t="str">
        <f>"00200"</f>
        <v>00200</v>
      </c>
      <c r="E1854" s="1" t="s">
        <v>28</v>
      </c>
      <c r="F1854" s="1">
        <v>10</v>
      </c>
      <c r="G1854" s="1">
        <v>7</v>
      </c>
      <c r="H1854" s="1">
        <v>2</v>
      </c>
      <c r="I1854" s="1" t="s">
        <v>565</v>
      </c>
      <c r="J1854" s="2" t="s">
        <v>30559</v>
      </c>
      <c r="K1854" s="1" t="s">
        <v>30560</v>
      </c>
      <c r="L1854" s="1" t="s">
        <v>30561</v>
      </c>
      <c r="P1854" s="1" t="s">
        <v>20</v>
      </c>
      <c r="R1854" s="1" t="s">
        <v>566</v>
      </c>
      <c r="V1854" s="1" t="s">
        <v>567</v>
      </c>
      <c r="W1854" s="1" t="s">
        <v>568</v>
      </c>
      <c r="AR1854" s="1" t="str">
        <f t="shared" si="115"/>
        <v>| [˙ㄅㄟ](˙ㄅㄟ.md) | [唄](唄.md) |  | bei | [助]
語尾助詞。如：「既然不懂，你就好好學唄。」 |</v>
      </c>
    </row>
    <row r="1855" spans="1:44">
      <c r="A1855" s="1" t="s">
        <v>626</v>
      </c>
      <c r="C1855" s="1">
        <v>1</v>
      </c>
      <c r="D1855" s="1" t="str">
        <f>"00223"</f>
        <v>00223</v>
      </c>
      <c r="E1855" s="1" t="s">
        <v>185</v>
      </c>
      <c r="F1855" s="1">
        <v>7</v>
      </c>
      <c r="G1855" s="1">
        <v>5</v>
      </c>
      <c r="H1855" s="1">
        <v>2</v>
      </c>
      <c r="I1855" s="1" t="s">
        <v>627</v>
      </c>
      <c r="K1855" s="1" t="str">
        <f t="shared" ref="K1855:K1918" si="120">LEFT(I1855, 1)</f>
        <v>ㄅ</v>
      </c>
      <c r="L1855" s="1" t="str">
        <f t="shared" ref="L1855:L1918" si="121">MID(I1855, 2, 1)</f>
        <v>ㄠ</v>
      </c>
      <c r="N1855" s="3" t="s">
        <v>30574</v>
      </c>
      <c r="O1855" s="3"/>
      <c r="P1855" s="1" t="s">
        <v>20</v>
      </c>
      <c r="R1855" s="1" t="s">
        <v>628</v>
      </c>
      <c r="V1855" s="1" t="s">
        <v>629</v>
      </c>
      <c r="W1855" s="1" t="s">
        <v>630</v>
      </c>
      <c r="AR1855" s="1" t="str">
        <f t="shared" si="115"/>
        <v>| [ㄅㄠˋ](ㄅㄠˋ.md) | [刨](刨.md) |  | bào | [動]
削刮成碎屑。通「鉋」。如：「刨皮」、「刨木頭」。 |</v>
      </c>
    </row>
    <row r="1856" spans="1:44">
      <c r="A1856" s="1" t="s">
        <v>631</v>
      </c>
      <c r="C1856" s="1">
        <v>1</v>
      </c>
      <c r="D1856" s="1" t="str">
        <f>"00224"</f>
        <v>00224</v>
      </c>
      <c r="E1856" s="1" t="s">
        <v>24</v>
      </c>
      <c r="F1856" s="1">
        <v>8</v>
      </c>
      <c r="G1856" s="1">
        <v>5</v>
      </c>
      <c r="H1856" s="1">
        <v>0</v>
      </c>
      <c r="I1856" s="1" t="s">
        <v>627</v>
      </c>
      <c r="K1856" s="1" t="str">
        <f t="shared" si="120"/>
        <v>ㄅ</v>
      </c>
      <c r="L1856" s="1" t="str">
        <f t="shared" si="121"/>
        <v>ㄠ</v>
      </c>
      <c r="N1856" s="3" t="s">
        <v>30574</v>
      </c>
      <c r="O1856" s="3"/>
      <c r="P1856" s="1" t="s">
        <v>20</v>
      </c>
      <c r="R1856" s="1" t="s">
        <v>628</v>
      </c>
      <c r="V1856" s="1" t="s">
        <v>632</v>
      </c>
      <c r="AR1856" s="1" t="str">
        <f t="shared" si="115"/>
        <v>| [ㄅㄠˋ](ㄅㄠˋ.md) | [抱](抱.md) |  | bào | [名]
1.胸懷、志趣。《宋書．卷六九．列傳．范曄》：「然區區丹抱，不負夙心。」
2.量詞。計算兩臂可圍持的單位。如：「一抱草」、「一抱書」。
3.姓。如北魏有抱嶷、抱老壽。
[動]
1.用手臂摟起。如：「抱孩子」、「抱薪救火」。清．紀昀《閱微草堂筆記．卷四．灤陽消夏錄四》：「剨然有聲後壁半圯，乃左挈妻，右抱子。」
2.養育。《兒女英雄傳》第三三回：「往後來倆姑奶奶再都抱了娃子，那個不用幾尺粗布呢？」
3.孵化。如：「抱蛋」、「抱窩」。
4.懷藏在內。如：「抱怨」、「抱病」。
5.守護。《孟子．萬章下》：「抱關擊柝者，皆有常職以食於上。」
6.環繞。如：「環山抱水」。宋．陸游〈書事〉詩：「聞道輿圖次第還，黃河依舊抱潼關。」
7.拋擲、丟棄。《史記．卷一三．三代世表》：「褚先生曰：『抱之山中，山者養之。』」 |</v>
      </c>
    </row>
    <row r="1857" spans="1:44">
      <c r="A1857" s="1" t="s">
        <v>633</v>
      </c>
      <c r="C1857" s="1">
        <v>1</v>
      </c>
      <c r="D1857" s="1" t="str">
        <f>"00225"</f>
        <v>00225</v>
      </c>
      <c r="E1857" s="1" t="s">
        <v>37</v>
      </c>
      <c r="F1857" s="1">
        <v>12</v>
      </c>
      <c r="G1857" s="1">
        <v>8</v>
      </c>
      <c r="H1857" s="1">
        <v>0</v>
      </c>
      <c r="I1857" s="1" t="s">
        <v>627</v>
      </c>
      <c r="K1857" s="1" t="str">
        <f t="shared" si="120"/>
        <v>ㄅ</v>
      </c>
      <c r="L1857" s="1" t="str">
        <f t="shared" si="121"/>
        <v>ㄠ</v>
      </c>
      <c r="N1857" s="3" t="s">
        <v>30574</v>
      </c>
      <c r="O1857" s="3"/>
      <c r="P1857" s="1" t="s">
        <v>20</v>
      </c>
      <c r="R1857" s="1" t="s">
        <v>628</v>
      </c>
      <c r="V1857" s="1" t="s">
        <v>634</v>
      </c>
      <c r="AR1857" s="1" t="str">
        <f t="shared" si="115"/>
        <v>| [ㄅㄠˋ](ㄅㄠˋ.md) | [菢](菢.md) |  | bào | [動]
禽鳥孵卵。唐．韓愈〈薦士〉詩：「鶴翎不天生，變化在啄菢。」明．徐光啟《農政全書．卷四一．牧養．六畜》：「養雞不菢法：母雞下卵時，日逐食內夾以麻子餵之，則常生卵不菢。」 |</v>
      </c>
    </row>
    <row r="1858" spans="1:44">
      <c r="A1858" s="1" t="s">
        <v>635</v>
      </c>
      <c r="C1858" s="1">
        <v>1</v>
      </c>
      <c r="D1858" s="1" t="str">
        <f>"00226"</f>
        <v>00226</v>
      </c>
      <c r="E1858" s="1" t="s">
        <v>55</v>
      </c>
      <c r="F1858" s="1">
        <v>13</v>
      </c>
      <c r="G1858" s="1">
        <v>5</v>
      </c>
      <c r="H1858" s="1">
        <v>0</v>
      </c>
      <c r="I1858" s="1" t="s">
        <v>627</v>
      </c>
      <c r="K1858" s="1" t="str">
        <f t="shared" si="120"/>
        <v>ㄅ</v>
      </c>
      <c r="L1858" s="1" t="str">
        <f t="shared" si="121"/>
        <v>ㄠ</v>
      </c>
      <c r="N1858" s="3" t="s">
        <v>30574</v>
      </c>
      <c r="O1858" s="3"/>
      <c r="P1858" s="1" t="s">
        <v>20</v>
      </c>
      <c r="R1858" s="1" t="s">
        <v>628</v>
      </c>
      <c r="V1858" s="1" t="s">
        <v>636</v>
      </c>
      <c r="AR1858" s="1" t="str">
        <f t="shared" si="115"/>
        <v>| [ㄅㄠˋ](ㄅㄠˋ.md) | [鉋](鉋.md) |  | bào | [名]_x000D_
1.裝有利刃，用以削平的工具，如削平木材的鉋子，削平銅鐵的鋼鉋等。_x000D_
2.刷馬毛的鐵刷。如：「馬鉋」。_x000D_
[動]_x000D_
1.用鉋子削平東西。如：「請把這塊木料鉋薄一些。」_x000D_
2.鋤地使平。如：「鉋地」。元．張國賓《薛仁貴》第一折：「諸葛亮鋤田鉋地，劉先生織席編履，那等的人題他做甚麼？」 |</v>
      </c>
    </row>
    <row r="1859" spans="1:44">
      <c r="A1859" s="1" t="s">
        <v>637</v>
      </c>
      <c r="C1859" s="1">
        <v>1</v>
      </c>
      <c r="D1859" s="1" t="str">
        <f>"00227"</f>
        <v>00227</v>
      </c>
      <c r="E1859" s="1" t="s">
        <v>156</v>
      </c>
      <c r="F1859" s="1">
        <v>16</v>
      </c>
      <c r="G1859" s="1">
        <v>5</v>
      </c>
      <c r="H1859" s="1">
        <v>0</v>
      </c>
      <c r="I1859" s="1" t="s">
        <v>627</v>
      </c>
      <c r="K1859" s="1" t="str">
        <f t="shared" si="120"/>
        <v>ㄅ</v>
      </c>
      <c r="L1859" s="1" t="str">
        <f t="shared" si="121"/>
        <v>ㄠ</v>
      </c>
      <c r="N1859" s="3" t="s">
        <v>30574</v>
      </c>
      <c r="O1859" s="3"/>
      <c r="P1859" s="1" t="s">
        <v>20</v>
      </c>
      <c r="R1859" s="1" t="s">
        <v>628</v>
      </c>
      <c r="V1859" s="1" t="s">
        <v>638</v>
      </c>
      <c r="AR1859" s="1" t="str">
        <f t="shared" ref="AR1859:AR1922" si="122">"| ["&amp;I1859&amp;"]("&amp;I1859&amp;".md) | ["&amp;A1859&amp;"]("&amp;A1859&amp;".md) | "&amp;" | "&amp;R1859&amp;" | "&amp;V1859&amp;" |"</f>
        <v>| [ㄅㄠˋ](ㄅㄠˋ.md) | [鮑](鮑.md) |  | bào | [名]
1.鹽醃的鹹魚，味腥臭。《史記．卷一二九．貨殖傳》：「鮐鮆千斤，鯫千石，鮑千鈞。」
2.動物名。軟體動物門腹足綱。肉質鮮美，可食。貝殼橢圓形，可入藥。也稱為「鰒魚」、「石決明」。
3.姓。如春秋時齊國有鮑叔牙，南朝宋有鮑照。 |</v>
      </c>
    </row>
    <row r="1860" spans="1:44">
      <c r="A1860" s="1" t="s">
        <v>177</v>
      </c>
      <c r="C1860" s="1">
        <v>1</v>
      </c>
      <c r="D1860" s="1" t="str">
        <f>"00228"</f>
        <v>00228</v>
      </c>
      <c r="E1860" s="1" t="s">
        <v>77</v>
      </c>
      <c r="F1860" s="1">
        <v>10</v>
      </c>
      <c r="G1860" s="1">
        <v>3</v>
      </c>
      <c r="H1860" s="1">
        <v>1</v>
      </c>
      <c r="I1860" s="1" t="s">
        <v>627</v>
      </c>
      <c r="K1860" s="1" t="str">
        <f t="shared" si="120"/>
        <v>ㄅ</v>
      </c>
      <c r="L1860" s="1" t="str">
        <f t="shared" si="121"/>
        <v>ㄠ</v>
      </c>
      <c r="N1860" s="3" t="s">
        <v>30574</v>
      </c>
      <c r="O1860" s="3"/>
      <c r="P1860" s="1" t="s">
        <v>20</v>
      </c>
      <c r="R1860" s="1" t="s">
        <v>628</v>
      </c>
      <c r="V1860" s="1" t="s">
        <v>639</v>
      </c>
      <c r="W1860" s="1" t="s">
        <v>640</v>
      </c>
      <c r="AR1860" s="1" t="str">
        <f t="shared" si="122"/>
        <v>| [ㄅㄠˋ](ㄅㄠˋ.md) | [趵](趵.md) |  | bào | [動]
跳躍。《集韻．去聲．效韻》：「趵，跳躍也。」如：「趵突」。 |</v>
      </c>
    </row>
    <row r="1861" spans="1:44">
      <c r="A1861" s="1" t="s">
        <v>641</v>
      </c>
      <c r="C1861" s="1">
        <v>1</v>
      </c>
      <c r="D1861" s="1" t="str">
        <f>"00229"</f>
        <v>00229</v>
      </c>
      <c r="E1861" s="1" t="s">
        <v>537</v>
      </c>
      <c r="F1861" s="1">
        <v>10</v>
      </c>
      <c r="G1861" s="1">
        <v>3</v>
      </c>
      <c r="H1861" s="1">
        <v>0</v>
      </c>
      <c r="I1861" s="1" t="s">
        <v>627</v>
      </c>
      <c r="K1861" s="1" t="str">
        <f t="shared" si="120"/>
        <v>ㄅ</v>
      </c>
      <c r="L1861" s="1" t="str">
        <f t="shared" si="121"/>
        <v>ㄠ</v>
      </c>
      <c r="N1861" s="3" t="s">
        <v>30574</v>
      </c>
      <c r="O1861" s="3"/>
      <c r="P1861" s="1" t="s">
        <v>20</v>
      </c>
      <c r="R1861" s="1" t="s">
        <v>628</v>
      </c>
      <c r="V1861" s="1" t="s">
        <v>642</v>
      </c>
      <c r="AR1861" s="1" t="str">
        <f t="shared" si="122"/>
        <v>| [ㄅㄠˋ](ㄅㄠˋ.md) | [豹](豹.md) |  | bào | [名]
1.動物名。哺乳綱食肉目。似虎較小，毛黃褐色，背有黑圓斑。性凶猛，能上樹捕食其他獸類，傷害人畜。也稱為「豹子」。
2.姓。如三國時魏國有豹皮公。 |</v>
      </c>
    </row>
    <row r="1862" spans="1:44">
      <c r="A1862" s="1" t="s">
        <v>643</v>
      </c>
      <c r="C1862" s="1">
        <v>1</v>
      </c>
      <c r="D1862" s="1" t="str">
        <f>"00230"</f>
        <v>00230</v>
      </c>
      <c r="E1862" s="1" t="s">
        <v>132</v>
      </c>
      <c r="F1862" s="1">
        <v>12</v>
      </c>
      <c r="G1862" s="1">
        <v>9</v>
      </c>
      <c r="H1862" s="1">
        <v>0</v>
      </c>
      <c r="I1862" s="1" t="s">
        <v>627</v>
      </c>
      <c r="K1862" s="1" t="str">
        <f t="shared" si="120"/>
        <v>ㄅ</v>
      </c>
      <c r="L1862" s="1" t="str">
        <f t="shared" si="121"/>
        <v>ㄠ</v>
      </c>
      <c r="N1862" s="3" t="s">
        <v>30574</v>
      </c>
      <c r="O1862" s="3"/>
      <c r="P1862" s="1" t="s">
        <v>20</v>
      </c>
      <c r="R1862" s="1" t="s">
        <v>628</v>
      </c>
      <c r="V1862" s="1" t="s">
        <v>644</v>
      </c>
      <c r="AR1862" s="1" t="str">
        <f t="shared" si="122"/>
        <v>| [ㄅㄠˋ](ㄅㄠˋ.md) | [報](報.md) |  | bào | [名]
1.由某種前因而得的結果。如：「善報」、「惡報」。
2.音信、消息。如：「捷報」、「情報」。
3.新聞紙或刊物。如：「日報」、「晚報」。
[動]
1.告訴。如：「報信」、「報佳音」。
2.回應、酬答。《詩經．衛風．木瓜》：「投我以木桃，報之以瓊瑤。」《荀子．宥坐》：「為善者天報之以福，為不善者天報之以禍。」
3.答覆。如漢代司馬遷有〈報任少卿書〉。
4.下淫上。《左傳．宣公三年》：「文公報鄭子之妃。」晉．杜預．注：「漢律：『淫季父之妻，曰報。』」
5.論罪處刑。《韓非子．五蠹》：「以為直於君而曲於父，報而罪之。」《漢書．卷六七．胡建傳》：「知吏賊傷奴，辟報故不窮審。」顏師古注引蘇林曰：「報，論也。斷獄為報。」 |</v>
      </c>
    </row>
    <row r="1863" spans="1:44">
      <c r="A1863" s="1" t="s">
        <v>645</v>
      </c>
      <c r="C1863" s="1">
        <v>1</v>
      </c>
      <c r="D1863" s="1" t="str">
        <f>"00231"</f>
        <v>00231</v>
      </c>
      <c r="E1863" s="1" t="s">
        <v>646</v>
      </c>
      <c r="F1863" s="1">
        <v>15</v>
      </c>
      <c r="G1863" s="1">
        <v>11</v>
      </c>
      <c r="H1863" s="1">
        <v>1</v>
      </c>
      <c r="I1863" s="1" t="s">
        <v>627</v>
      </c>
      <c r="K1863" s="1" t="str">
        <f t="shared" si="120"/>
        <v>ㄅ</v>
      </c>
      <c r="L1863" s="1" t="str">
        <f t="shared" si="121"/>
        <v>ㄠ</v>
      </c>
      <c r="N1863" s="3" t="s">
        <v>30574</v>
      </c>
      <c r="O1863" s="3"/>
      <c r="P1863" s="1" t="s">
        <v>20</v>
      </c>
      <c r="R1863" s="1" t="s">
        <v>628</v>
      </c>
      <c r="V1863" s="1" t="s">
        <v>647</v>
      </c>
      <c r="W1863" s="1" t="s">
        <v>648</v>
      </c>
      <c r="AR1863" s="1" t="str">
        <f t="shared" si="122"/>
        <v>| [ㄅㄠˋ](ㄅㄠˋ.md) | [暴](暴.md) |  | bào | [動]
1.急遽、猛烈。《說文解字．日部》：「暴，疾有所趣也。」《詩經．邶風．終風》：「終風且暴，顧我則笑。」漢．鄭玄．箋：「暴，疾也。」
2.欺凌。《荀子．性惡》：「則夫彊者害弱而奪之，眾者暴寡而譁之。」
3.毀壞、蹧蹋。如：「暴殄天物」、「自暴自棄」。
4.空手搏鬥。《論語．述而》：「暴虎馮河，死而無悔者，吾不與也。」宋．邢昺．疏：「空手搏虎為暴虎。」
5.鼓起、突出。如：「他氣得頭上的青筋都暴出來了。」
[形]
1.殘酷凶惡。如：「殘暴」、「暴虐」、「暴行」。
2.急躁的。《荀子．彊國》：「威有三：有道德之威者，有暴察之威者，有狂妄之威者。」唐．楊倞．注：「暴察，謂暴急嚴察也。」
3.急驟的、猛烈的。如：「暴風」、「暴雨」、「暴飲暴食」。
[名]
姓。戰國時韓國有暴鳶，漢代有暴勝之。 |</v>
      </c>
    </row>
    <row r="1864" spans="1:44">
      <c r="A1864" s="1" t="s">
        <v>330</v>
      </c>
      <c r="C1864" s="1">
        <v>1</v>
      </c>
      <c r="D1864" s="1" t="str">
        <f>"00232"</f>
        <v>00232</v>
      </c>
      <c r="E1864" s="1" t="s">
        <v>331</v>
      </c>
      <c r="F1864" s="1">
        <v>17</v>
      </c>
      <c r="G1864" s="1">
        <v>10</v>
      </c>
      <c r="H1864" s="1">
        <v>2</v>
      </c>
      <c r="I1864" s="1" t="s">
        <v>627</v>
      </c>
      <c r="K1864" s="1" t="str">
        <f t="shared" si="120"/>
        <v>ㄅ</v>
      </c>
      <c r="L1864" s="1" t="str">
        <f t="shared" si="121"/>
        <v>ㄠ</v>
      </c>
      <c r="N1864" s="3" t="s">
        <v>30574</v>
      </c>
      <c r="O1864" s="3"/>
      <c r="P1864" s="1" t="s">
        <v>110</v>
      </c>
      <c r="R1864" s="1" t="s">
        <v>628</v>
      </c>
      <c r="V1864" s="1" t="s">
        <v>111</v>
      </c>
      <c r="W1864" s="1" t="s">
        <v>649</v>
      </c>
      <c r="AR1864" s="1" t="str">
        <f t="shared" si="122"/>
        <v>| [ㄅㄠˋ](ㄅㄠˋ.md) | [謈](謈.md) |  | bào | (一)之又音。 |</v>
      </c>
    </row>
    <row r="1865" spans="1:44">
      <c r="A1865" s="1" t="s">
        <v>650</v>
      </c>
      <c r="C1865" s="1">
        <v>1</v>
      </c>
      <c r="D1865" s="1" t="str">
        <f>"00233"</f>
        <v>00233</v>
      </c>
      <c r="E1865" s="1" t="s">
        <v>114</v>
      </c>
      <c r="F1865" s="1">
        <v>17</v>
      </c>
      <c r="G1865" s="1">
        <v>15</v>
      </c>
      <c r="H1865" s="1">
        <v>0</v>
      </c>
      <c r="I1865" s="1" t="s">
        <v>627</v>
      </c>
      <c r="K1865" s="1" t="str">
        <f t="shared" si="120"/>
        <v>ㄅ</v>
      </c>
      <c r="L1865" s="1" t="str">
        <f t="shared" si="121"/>
        <v>ㄠ</v>
      </c>
      <c r="N1865" s="3" t="s">
        <v>30574</v>
      </c>
      <c r="O1865" s="3"/>
      <c r="P1865" s="1" t="s">
        <v>20</v>
      </c>
      <c r="R1865" s="1" t="s">
        <v>628</v>
      </c>
      <c r="V1865" s="1" t="s">
        <v>651</v>
      </c>
      <c r="AR1865" s="1" t="str">
        <f t="shared" si="122"/>
        <v>| [ㄅㄠˋ](ㄅㄠˋ.md) | [儤](儤.md) |  | bào | 參見「儤直」條。 |</v>
      </c>
    </row>
    <row r="1866" spans="1:44">
      <c r="A1866" s="1" t="s">
        <v>652</v>
      </c>
      <c r="C1866" s="1">
        <v>1</v>
      </c>
      <c r="D1866" s="1" t="str">
        <f>"00234"</f>
        <v>00234</v>
      </c>
      <c r="E1866" s="1" t="s">
        <v>129</v>
      </c>
      <c r="F1866" s="1">
        <v>18</v>
      </c>
      <c r="G1866" s="1">
        <v>15</v>
      </c>
      <c r="H1866" s="1">
        <v>2</v>
      </c>
      <c r="I1866" s="1" t="s">
        <v>627</v>
      </c>
      <c r="K1866" s="1" t="str">
        <f t="shared" si="120"/>
        <v>ㄅ</v>
      </c>
      <c r="L1866" s="1" t="str">
        <f t="shared" si="121"/>
        <v>ㄠ</v>
      </c>
      <c r="N1866" s="3" t="s">
        <v>30574</v>
      </c>
      <c r="O1866" s="3"/>
      <c r="P1866" s="1" t="s">
        <v>20</v>
      </c>
      <c r="R1866" s="1" t="s">
        <v>628</v>
      </c>
      <c r="V1866" s="1" t="s">
        <v>653</v>
      </c>
      <c r="W1866" s="1" t="s">
        <v>654</v>
      </c>
      <c r="AR1866" s="1" t="str">
        <f t="shared" si="122"/>
        <v>| [ㄅㄠˋ](ㄅㄠˋ.md) | [瀑](瀑.md) |  | bào | [動]
水激飛。《文選．郭璞．江賦》：「揮弄灑珠，拊拂瀑沫。」
[名]
河川名。即瀑河，位大陸地區河北省境內。
[形]
迅疾的。如：「瀑風」、「瀑雨」。 |</v>
      </c>
    </row>
    <row r="1867" spans="1:44">
      <c r="A1867" s="1" t="s">
        <v>335</v>
      </c>
      <c r="C1867" s="1">
        <v>1</v>
      </c>
      <c r="D1867" s="1" t="str">
        <f>"00235"</f>
        <v>00235</v>
      </c>
      <c r="E1867" s="1" t="s">
        <v>336</v>
      </c>
      <c r="F1867" s="1">
        <v>19</v>
      </c>
      <c r="G1867" s="1">
        <v>15</v>
      </c>
      <c r="H1867" s="1">
        <v>1</v>
      </c>
      <c r="I1867" s="1" t="s">
        <v>627</v>
      </c>
      <c r="K1867" s="1" t="str">
        <f t="shared" si="120"/>
        <v>ㄅ</v>
      </c>
      <c r="L1867" s="1" t="str">
        <f t="shared" si="121"/>
        <v>ㄠ</v>
      </c>
      <c r="N1867" s="3" t="s">
        <v>30574</v>
      </c>
      <c r="O1867" s="3"/>
      <c r="P1867" s="1" t="s">
        <v>20</v>
      </c>
      <c r="R1867" s="1" t="s">
        <v>628</v>
      </c>
      <c r="V1867" s="1" t="s">
        <v>655</v>
      </c>
      <c r="W1867" s="1" t="s">
        <v>656</v>
      </c>
      <c r="AR1867" s="1" t="str">
        <f t="shared" si="122"/>
        <v>| [ㄅㄠˋ](ㄅㄠˋ.md) | [爆](爆.md) |  | bào | [動]
1.因火或受熱猛然炸裂或迸出。《紅樓夢》第四九回：「怪道昨兒晚上燈花爆了又爆，結了又結，原來應到今日。」
2.突然、猛迅發生。如：「戰事爆發」。
3.一種烹飪法。將食物用大火熱油快炒，並頻頻以鍋鏟翻攪材料，至食物剛熟即起鍋，比炒所需的時間更短。如：「爆肚兒」、「醬爆雞丁」、「蔥爆牛肉」。 |</v>
      </c>
    </row>
    <row r="1868" spans="1:44">
      <c r="A1868" s="1" t="s">
        <v>657</v>
      </c>
      <c r="C1868" s="1">
        <v>1</v>
      </c>
      <c r="D1868" s="1" t="str">
        <f>"00236"</f>
        <v>00236</v>
      </c>
      <c r="E1868" s="1" t="s">
        <v>518</v>
      </c>
      <c r="F1868" s="1">
        <v>19</v>
      </c>
      <c r="G1868" s="1">
        <v>15</v>
      </c>
      <c r="H1868" s="1">
        <v>0</v>
      </c>
      <c r="I1868" s="1" t="s">
        <v>627</v>
      </c>
      <c r="K1868" s="1" t="str">
        <f t="shared" si="120"/>
        <v>ㄅ</v>
      </c>
      <c r="L1868" s="1" t="str">
        <f t="shared" si="121"/>
        <v>ㄠ</v>
      </c>
      <c r="N1868" s="3" t="s">
        <v>30574</v>
      </c>
      <c r="O1868" s="3"/>
      <c r="P1868" s="1" t="s">
        <v>20</v>
      </c>
      <c r="R1868" s="1" t="s">
        <v>628</v>
      </c>
      <c r="V1868" s="1" t="s">
        <v>658</v>
      </c>
      <c r="AR1868" s="1" t="str">
        <f t="shared" si="122"/>
        <v>| [ㄅㄠˋ](ㄅㄠˋ.md) | [犦](犦.md) |  | bào | [名]
動物名。即犎牛。背脊上有肉隆起如橐駝，據說可健行三百餘里而不須休息。《爾雅．釋畜》：「犦牛。」晉．郭璞．注：「即犎牛也。領上肉犦胅起高二尺許，狀如橐駝，肉鞍一邊。健行者，日三百餘里。」 |</v>
      </c>
    </row>
    <row r="1869" spans="1:44">
      <c r="A1869" s="1" t="s">
        <v>659</v>
      </c>
      <c r="C1869" s="1">
        <v>1</v>
      </c>
      <c r="D1869" s="1" t="str">
        <f>"00237"</f>
        <v>00237</v>
      </c>
      <c r="E1869" s="1" t="s">
        <v>660</v>
      </c>
      <c r="F1869" s="1">
        <v>16</v>
      </c>
      <c r="G1869" s="1">
        <v>10</v>
      </c>
      <c r="H1869" s="1">
        <v>0</v>
      </c>
      <c r="I1869" s="1" t="s">
        <v>627</v>
      </c>
      <c r="K1869" s="1" t="str">
        <f t="shared" si="120"/>
        <v>ㄅ</v>
      </c>
      <c r="L1869" s="1" t="str">
        <f t="shared" si="121"/>
        <v>ㄠ</v>
      </c>
      <c r="N1869" s="3" t="s">
        <v>30574</v>
      </c>
      <c r="O1869" s="3"/>
      <c r="P1869" s="1" t="s">
        <v>20</v>
      </c>
      <c r="R1869" s="1" t="s">
        <v>628</v>
      </c>
      <c r="V1869" s="1" t="s">
        <v>661</v>
      </c>
      <c r="AR1869" s="1" t="str">
        <f t="shared" si="122"/>
        <v>| [ㄅㄠˋ](ㄅㄠˋ.md) | [虣](虣.md) |  | bào | [名]
古時一種猛獸。《文選．鮑照．蕪城賦》：「伏虣藏虎，乳血飧膚。」唐．李善．注：「虣，古文暴字，蒲到切。虣或為甝，《爾雅》曰：『甝，白虎。』」
[形]
急躁、暴虐。《周禮．地官．大司徒》：「以刑教中，則民不虣。」 |</v>
      </c>
    </row>
    <row r="1870" spans="1:44">
      <c r="A1870" s="1" t="s">
        <v>280</v>
      </c>
      <c r="C1870" s="1">
        <v>1</v>
      </c>
      <c r="D1870" s="1" t="str">
        <f>"00213"</f>
        <v>00213</v>
      </c>
      <c r="E1870" s="1" t="s">
        <v>125</v>
      </c>
      <c r="F1870" s="1">
        <v>13</v>
      </c>
      <c r="G1870" s="1">
        <v>5</v>
      </c>
      <c r="H1870" s="1">
        <v>1</v>
      </c>
      <c r="I1870" s="1" t="s">
        <v>600</v>
      </c>
      <c r="K1870" s="1" t="str">
        <f t="shared" si="120"/>
        <v>ㄅ</v>
      </c>
      <c r="L1870" s="1" t="str">
        <f t="shared" si="121"/>
        <v>ㄠ</v>
      </c>
      <c r="N1870" s="3" t="s">
        <v>30575</v>
      </c>
      <c r="O1870" s="3"/>
      <c r="P1870" s="1" t="s">
        <v>20</v>
      </c>
      <c r="R1870" s="1" t="s">
        <v>601</v>
      </c>
      <c r="V1870" s="1" t="s">
        <v>602</v>
      </c>
      <c r="W1870" s="1" t="s">
        <v>603</v>
      </c>
      <c r="AR1870" s="1" t="str">
        <f t="shared" si="122"/>
        <v>| [ㄅㄠˊ](ㄅㄠˊ.md) | [雹](雹.md) |  | báo | [名]
空中水蒸氣遇冷凝結成的冰粒或冰塊。此種粒塊直徑達五公釐或以上，常伴夏季暴雨降下。也稱為「冰雹」、「雹子」。
[動]
投擲、拍打。通「撲」。《敦煌變文集新書．卷五．孟姜女變文》：「姜女自雹哭黃天，只恨賢夫亡太早。」 |</v>
      </c>
    </row>
    <row r="1871" spans="1:44">
      <c r="A1871" s="1" t="s">
        <v>295</v>
      </c>
      <c r="C1871" s="1">
        <v>1</v>
      </c>
      <c r="D1871" s="1" t="str">
        <f>"00214"</f>
        <v>00214</v>
      </c>
      <c r="E1871" s="1" t="s">
        <v>37</v>
      </c>
      <c r="F1871" s="1">
        <v>17</v>
      </c>
      <c r="G1871" s="1">
        <v>13</v>
      </c>
      <c r="H1871" s="1">
        <v>2</v>
      </c>
      <c r="I1871" s="1" t="s">
        <v>600</v>
      </c>
      <c r="K1871" s="1" t="str">
        <f t="shared" si="120"/>
        <v>ㄅ</v>
      </c>
      <c r="L1871" s="1" t="str">
        <f t="shared" si="121"/>
        <v>ㄠ</v>
      </c>
      <c r="N1871" s="3" t="s">
        <v>30575</v>
      </c>
      <c r="O1871" s="3"/>
      <c r="P1871" s="1" t="s">
        <v>388</v>
      </c>
      <c r="R1871" s="1" t="s">
        <v>601</v>
      </c>
      <c r="V1871" s="1" t="s">
        <v>604</v>
      </c>
      <c r="W1871" s="1" t="s">
        <v>605</v>
      </c>
      <c r="AR1871" s="1" t="str">
        <f t="shared" si="122"/>
        <v>| [ㄅㄠˊ](ㄅㄠˊ.md) | [薄](薄.md) |  | báo | ㈠[形]1、2、4的語音。 |</v>
      </c>
    </row>
    <row r="1872" spans="1:44">
      <c r="A1872" s="1" t="s">
        <v>606</v>
      </c>
      <c r="C1872" s="1">
        <v>1</v>
      </c>
      <c r="D1872" s="1" t="str">
        <f>"00215"</f>
        <v>00215</v>
      </c>
      <c r="E1872" s="1" t="s">
        <v>114</v>
      </c>
      <c r="F1872" s="1">
        <v>9</v>
      </c>
      <c r="G1872" s="1">
        <v>7</v>
      </c>
      <c r="H1872" s="1">
        <v>0</v>
      </c>
      <c r="I1872" s="1" t="s">
        <v>607</v>
      </c>
      <c r="K1872" s="1" t="str">
        <f t="shared" si="120"/>
        <v>ㄅ</v>
      </c>
      <c r="L1872" s="1" t="str">
        <f t="shared" si="121"/>
        <v>ㄠ</v>
      </c>
      <c r="N1872" s="3" t="s">
        <v>30576</v>
      </c>
      <c r="O1872" s="3"/>
      <c r="P1872" s="1" t="s">
        <v>20</v>
      </c>
      <c r="R1872" s="1" t="s">
        <v>608</v>
      </c>
      <c r="V1872" s="1" t="s">
        <v>609</v>
      </c>
      <c r="AR1872" s="1" t="str">
        <f t="shared" si="122"/>
        <v>| [ㄅㄠˇ](ㄅㄠˇ.md) | [保](保.md) |  | bǎo | [動]
1.養護、守衛、不使受損。如：「保護」、「保衛」、「保健」、「保全」。《詩經．大雅．崧高》：「南土是保。」
2.承擔、負責。如：「保荐」、「保險」。《周禮．地官．大司徒》：「令五家為比，使之相保。」
3.仗恃。《左傳．僖公二十三年》：「保君父之命，而享其生祿。」
4.妥為收藏。《黃帝內經素問．卷三．靈蘭祕典論》：「黃帝乃擇吉日良兆而藏靈蘭之室以保焉。」
5.舉薦。《三國演義》第九三回：「叡曰：『卿自舉之。』真乃保太原陽曲人──姓郭，名淮。」
[名]
1.責任保證。如：「人保」、「鋪保」。
2.伙計、傭工。如：「酒保」。
3.職官名。即太保。古時三公之一，管理皇宮裡的教育。《書經．君奭．序》：「召公為保，周公為師。」
4.舊時地方的組織：(1)基層組織，五家為保。(2)參見「保甲法」條。
5.姓。如明代有保睿，清代有保希賢。 |</v>
      </c>
    </row>
    <row r="1873" spans="1:44">
      <c r="A1873" s="1" t="s">
        <v>610</v>
      </c>
      <c r="C1873" s="1">
        <v>1</v>
      </c>
      <c r="D1873" s="1" t="str">
        <f>"00216"</f>
        <v>00216</v>
      </c>
      <c r="E1873" s="1" t="s">
        <v>132</v>
      </c>
      <c r="F1873" s="1">
        <v>12</v>
      </c>
      <c r="G1873" s="1">
        <v>9</v>
      </c>
      <c r="H1873" s="1">
        <v>1</v>
      </c>
      <c r="I1873" s="1" t="s">
        <v>607</v>
      </c>
      <c r="K1873" s="1" t="str">
        <f t="shared" si="120"/>
        <v>ㄅ</v>
      </c>
      <c r="L1873" s="1" t="str">
        <f t="shared" si="121"/>
        <v>ㄠ</v>
      </c>
      <c r="N1873" s="3" t="s">
        <v>30576</v>
      </c>
      <c r="O1873" s="3"/>
      <c r="P1873" s="1" t="s">
        <v>20</v>
      </c>
      <c r="R1873" s="1" t="s">
        <v>608</v>
      </c>
      <c r="V1873" s="1" t="s">
        <v>611</v>
      </c>
      <c r="W1873" s="1" t="s">
        <v>612</v>
      </c>
      <c r="AR1873" s="1" t="str">
        <f t="shared" si="122"/>
        <v>| [ㄅㄠˇ](ㄅㄠˇ.md) | [堡](堡.md) |  | bǎo | [名]
1.用土石築成的小城。《十六國春秋輯補．卷四〇．前秦錄．苻登傳》：「據險築堡以自固。」
2.工事堅固的陣地。如：「碉堡」、「橋頭堡」、「灘頭堡」。
3.北方人稱村落為「堡」。如：「張家堡」。 |</v>
      </c>
    </row>
    <row r="1874" spans="1:44">
      <c r="A1874" s="1" t="s">
        <v>613</v>
      </c>
      <c r="C1874" s="1">
        <v>1</v>
      </c>
      <c r="D1874" s="1" t="str">
        <f>"00217"</f>
        <v>00217</v>
      </c>
      <c r="E1874" s="1" t="s">
        <v>534</v>
      </c>
      <c r="F1874" s="1">
        <v>12</v>
      </c>
      <c r="G1874" s="1">
        <v>9</v>
      </c>
      <c r="H1874" s="1">
        <v>0</v>
      </c>
      <c r="I1874" s="1" t="s">
        <v>607</v>
      </c>
      <c r="K1874" s="1" t="str">
        <f t="shared" si="120"/>
        <v>ㄅ</v>
      </c>
      <c r="L1874" s="1" t="str">
        <f t="shared" si="121"/>
        <v>ㄠ</v>
      </c>
      <c r="N1874" s="3" t="s">
        <v>30576</v>
      </c>
      <c r="O1874" s="3"/>
      <c r="P1874" s="1" t="s">
        <v>20</v>
      </c>
      <c r="R1874" s="1" t="s">
        <v>608</v>
      </c>
      <c r="V1874" s="1" t="s">
        <v>614</v>
      </c>
      <c r="AR1874" s="1" t="str">
        <f t="shared" si="122"/>
        <v>| [ㄅㄠˇ](ㄅㄠˇ.md) | [媬](媬.md) |  | bǎo | 參見「媬姆」條。 |</v>
      </c>
    </row>
    <row r="1875" spans="1:44">
      <c r="A1875" s="1" t="s">
        <v>615</v>
      </c>
      <c r="C1875" s="1">
        <v>1</v>
      </c>
      <c r="D1875" s="1" t="str">
        <f>"00218"</f>
        <v>00218</v>
      </c>
      <c r="E1875" s="1" t="s">
        <v>37</v>
      </c>
      <c r="F1875" s="1">
        <v>13</v>
      </c>
      <c r="G1875" s="1">
        <v>9</v>
      </c>
      <c r="H1875" s="1">
        <v>0</v>
      </c>
      <c r="I1875" s="1" t="s">
        <v>607</v>
      </c>
      <c r="K1875" s="1" t="str">
        <f t="shared" si="120"/>
        <v>ㄅ</v>
      </c>
      <c r="L1875" s="1" t="str">
        <f t="shared" si="121"/>
        <v>ㄠ</v>
      </c>
      <c r="N1875" s="3" t="s">
        <v>30576</v>
      </c>
      <c r="O1875" s="3"/>
      <c r="P1875" s="1" t="s">
        <v>20</v>
      </c>
      <c r="R1875" s="1" t="s">
        <v>608</v>
      </c>
      <c r="V1875" s="1" t="s">
        <v>616</v>
      </c>
      <c r="AR1875" s="1" t="str">
        <f t="shared" si="122"/>
        <v>| [ㄅㄠˇ](ㄅㄠˇ.md) | [葆](葆.md) |  | bǎo | [名]
1.叢生的草。《漢書．卷六三．武五子傳．燕剌王劉旦傳》：「當此之時，頭如蓬葆。」唐．顏師古．注：「草叢生曰：『葆』。」
2.鼓上的裝飾物。《三國演義》第四九回：「竿尖上用雞羽為葆，以招風信。」
3.通「堡」。《呂氏春秋．慎行論．疑似》：「與諸侯約，為高葆，禱於王路。」
4.姓。如明代有葆光先。
[動]
1.隱藏、掩蔽。《管子．水地》：「故其民諂諛葆詐，巧佞而好利。」
2.守。通「保」。《墨子．非攻》：「濟三江五湖，而葆之會稽。」
3.保持。通「保」。參見「葆真」條。 |</v>
      </c>
    </row>
    <row r="1876" spans="1:44">
      <c r="A1876" s="1" t="s">
        <v>617</v>
      </c>
      <c r="C1876" s="1">
        <v>1</v>
      </c>
      <c r="D1876" s="1" t="str">
        <f>"00219"</f>
        <v>00219</v>
      </c>
      <c r="E1876" s="1" t="s">
        <v>340</v>
      </c>
      <c r="F1876" s="1">
        <v>15</v>
      </c>
      <c r="G1876" s="1">
        <v>9</v>
      </c>
      <c r="H1876" s="1">
        <v>0</v>
      </c>
      <c r="I1876" s="1" t="s">
        <v>607</v>
      </c>
      <c r="K1876" s="1" t="str">
        <f t="shared" si="120"/>
        <v>ㄅ</v>
      </c>
      <c r="L1876" s="1" t="str">
        <f t="shared" si="121"/>
        <v>ㄠ</v>
      </c>
      <c r="N1876" s="3" t="s">
        <v>30576</v>
      </c>
      <c r="O1876" s="3"/>
      <c r="P1876" s="1" t="s">
        <v>20</v>
      </c>
      <c r="R1876" s="1" t="s">
        <v>608</v>
      </c>
      <c r="V1876" s="1" t="s">
        <v>618</v>
      </c>
      <c r="AR1876" s="1" t="str">
        <f t="shared" si="122"/>
        <v>| [ㄅㄠˇ](ㄅㄠˇ.md) | [褓](褓.md) |  | bǎo | 參見「襁褓」條。 |</v>
      </c>
    </row>
    <row r="1877" spans="1:44">
      <c r="A1877" s="1" t="s">
        <v>619</v>
      </c>
      <c r="C1877" s="1">
        <v>1</v>
      </c>
      <c r="D1877" s="1" t="str">
        <f>"00220"</f>
        <v>00220</v>
      </c>
      <c r="E1877" s="1" t="s">
        <v>193</v>
      </c>
      <c r="F1877" s="1">
        <v>13</v>
      </c>
      <c r="G1877" s="1">
        <v>5</v>
      </c>
      <c r="H1877" s="1">
        <v>0</v>
      </c>
      <c r="I1877" s="1" t="s">
        <v>607</v>
      </c>
      <c r="K1877" s="1" t="str">
        <f t="shared" si="120"/>
        <v>ㄅ</v>
      </c>
      <c r="L1877" s="1" t="str">
        <f t="shared" si="121"/>
        <v>ㄠ</v>
      </c>
      <c r="N1877" s="3" t="s">
        <v>30576</v>
      </c>
      <c r="O1877" s="3"/>
      <c r="P1877" s="1" t="s">
        <v>20</v>
      </c>
      <c r="R1877" s="1" t="s">
        <v>608</v>
      </c>
      <c r="V1877" s="1" t="s">
        <v>620</v>
      </c>
      <c r="AR1877" s="1" t="str">
        <f t="shared" si="122"/>
        <v>| [ㄅㄠˇ](ㄅㄠˇ.md) | [飽](飽.md) |  | bǎo | [動]
1.滿足。如：「一飽眼福」。《國語．越語上》：「美其服，飽其食。」
2.充滿。晉．陸機〈豪士賦序〉：「心翫居常之安，耳飽從諛之說。」
[副]
1.吃足的。《論語．陽貨》：「飽食終日，無所用心，難矣哉！」
2.充足、充分。如：「飽學」、「飽和」、「飽經世故」、「飽歷風霜」。
[名]
1.吃得滿足的狀態。《論語．學而》：「君子食無求飽，居無求安。」
2.姓。如宋代有飽安盈。 |</v>
      </c>
    </row>
    <row r="1878" spans="1:44">
      <c r="A1878" s="1" t="s">
        <v>621</v>
      </c>
      <c r="C1878" s="1">
        <v>1</v>
      </c>
      <c r="D1878" s="1" t="str">
        <f>"00221"</f>
        <v>00221</v>
      </c>
      <c r="E1878" s="1" t="s">
        <v>272</v>
      </c>
      <c r="F1878" s="1">
        <v>15</v>
      </c>
      <c r="G1878" s="1">
        <v>4</v>
      </c>
      <c r="H1878" s="1">
        <v>0</v>
      </c>
      <c r="I1878" s="1" t="s">
        <v>607</v>
      </c>
      <c r="K1878" s="1" t="str">
        <f t="shared" si="120"/>
        <v>ㄅ</v>
      </c>
      <c r="L1878" s="1" t="str">
        <f t="shared" si="121"/>
        <v>ㄠ</v>
      </c>
      <c r="N1878" s="3" t="s">
        <v>30576</v>
      </c>
      <c r="O1878" s="3"/>
      <c r="P1878" s="1" t="s">
        <v>20</v>
      </c>
      <c r="R1878" s="1" t="s">
        <v>608</v>
      </c>
      <c r="V1878" s="1" t="s">
        <v>622</v>
      </c>
      <c r="AR1878" s="1" t="str">
        <f t="shared" si="122"/>
        <v>| [ㄅㄠˇ](ㄅㄠˇ.md) | [鴇](鴇.md) |  | bǎo | [名]_x000D_
1.動物名。一種候鳥。鳥綱涉禽類雁形目。頭小，頸長，無後趾。外形似雁而略大，背部羽毛有斑紋。不善飛翔而善涉水。_x000D_
2.舊稱開設妓院的女人。如：「老鴇」、「鴇母」。_x000D_
3.毛色黑白相間的馬。《詩經．鄭風．大叔于田》：「叔于田，乘乘鴇。雨服齊首，兩驂如手。」也稱為「駁」。 |</v>
      </c>
    </row>
    <row r="1879" spans="1:44">
      <c r="A1879" s="1" t="s">
        <v>623</v>
      </c>
      <c r="C1879" s="1">
        <v>1</v>
      </c>
      <c r="D1879" s="1" t="str">
        <f>"00222"</f>
        <v>00222</v>
      </c>
      <c r="E1879" s="1" t="s">
        <v>624</v>
      </c>
      <c r="F1879" s="1">
        <v>20</v>
      </c>
      <c r="G1879" s="1">
        <v>17</v>
      </c>
      <c r="H1879" s="1">
        <v>0</v>
      </c>
      <c r="I1879" s="1" t="s">
        <v>607</v>
      </c>
      <c r="K1879" s="1" t="str">
        <f t="shared" si="120"/>
        <v>ㄅ</v>
      </c>
      <c r="L1879" s="1" t="str">
        <f t="shared" si="121"/>
        <v>ㄠ</v>
      </c>
      <c r="N1879" s="3" t="s">
        <v>30576</v>
      </c>
      <c r="O1879" s="3"/>
      <c r="P1879" s="1" t="s">
        <v>20</v>
      </c>
      <c r="R1879" s="1" t="s">
        <v>608</v>
      </c>
      <c r="V1879" s="1" t="s">
        <v>625</v>
      </c>
      <c r="AR1879" s="1" t="str">
        <f t="shared" si="122"/>
        <v>| [ㄅㄠˇ](ㄅㄠˇ.md) | [寶](寶.md) |  | bǎo | [名]
1.珍貴的東西。如：「珠寶」、「國寶」、「傳家之寶」。《禮記．禮運》：「故天不愛其道，地不愛其寶，人不愛其情。」
2.舊時錢幣。如：「元寶」、「通寶」。
3.璽印。舊時天子御璽、諸侯封璽都稱「寶」。《詩經．大雅．崧高》：「錫爾介圭，以作爾寶。」
4.姓。漢代有寶忠，元代有寶魯。
[形]
1.珍貴的。如：「寶刀」、「寶劍」。
2.稱君主或神、道、佛有關事物。如：「寶位」、「寶符」、「寶塔」、「寶剎」。
3.尊稱他人。如：「寶眷」、「貴寶號」。 |</v>
      </c>
    </row>
    <row r="1880" spans="1:44">
      <c r="A1880" s="1" t="s">
        <v>711</v>
      </c>
      <c r="C1880" s="1">
        <v>1</v>
      </c>
      <c r="D1880" s="1" t="str">
        <f>"00257"</f>
        <v>00257</v>
      </c>
      <c r="E1880" s="1" t="s">
        <v>712</v>
      </c>
      <c r="F1880" s="1">
        <v>4</v>
      </c>
      <c r="G1880" s="1">
        <v>0</v>
      </c>
      <c r="H1880" s="1">
        <v>2</v>
      </c>
      <c r="I1880" s="1" t="s">
        <v>713</v>
      </c>
      <c r="K1880" s="1" t="str">
        <f t="shared" si="120"/>
        <v>ㄅ</v>
      </c>
      <c r="L1880" s="1" t="str">
        <f t="shared" si="121"/>
        <v>ㄢ</v>
      </c>
      <c r="N1880" s="3" t="s">
        <v>30574</v>
      </c>
      <c r="O1880" s="3"/>
      <c r="P1880" s="1" t="s">
        <v>20</v>
      </c>
      <c r="R1880" s="1" t="s">
        <v>714</v>
      </c>
      <c r="V1880" s="1" t="s">
        <v>715</v>
      </c>
      <c r="W1880" s="1" t="s">
        <v>716</v>
      </c>
      <c r="AR1880" s="1" t="str">
        <f t="shared" si="122"/>
        <v>| [ㄅㄢˋ](ㄅㄢˋ.md) | [爿](爿.md) |  | bàn | [名]
1.江蘇方言。量詞：(1)計算店鋪的單位。相當於「家」、「間」等。如：「一爿店」。《文明小史》第一〇回：「一路言來語去，不知不覺已到了昨日所住的那爿小客棧內。」(2)計算田地的單位。相當於「塊」、「片」等。如：「父親留下的就只剩那一爿田了。」
2.整體中的部分。如：「一刀下去，將賊砍成兩半爿！」 |</v>
      </c>
    </row>
    <row r="1881" spans="1:44">
      <c r="A1881" s="1" t="s">
        <v>717</v>
      </c>
      <c r="C1881" s="1">
        <v>1</v>
      </c>
      <c r="D1881" s="1" t="str">
        <f>"00258"</f>
        <v>00258</v>
      </c>
      <c r="E1881" s="1" t="s">
        <v>286</v>
      </c>
      <c r="F1881" s="1">
        <v>5</v>
      </c>
      <c r="G1881" s="1">
        <v>3</v>
      </c>
      <c r="H1881" s="1">
        <v>0</v>
      </c>
      <c r="I1881" s="1" t="s">
        <v>713</v>
      </c>
      <c r="K1881" s="1" t="str">
        <f t="shared" si="120"/>
        <v>ㄅ</v>
      </c>
      <c r="L1881" s="1" t="str">
        <f t="shared" si="121"/>
        <v>ㄢ</v>
      </c>
      <c r="N1881" s="3" t="s">
        <v>30574</v>
      </c>
      <c r="O1881" s="3"/>
      <c r="P1881" s="1" t="s">
        <v>20</v>
      </c>
      <c r="R1881" s="1" t="s">
        <v>714</v>
      </c>
      <c r="V1881" s="1" t="s">
        <v>718</v>
      </c>
      <c r="AR1881" s="1" t="str">
        <f t="shared" si="122"/>
        <v>| [ㄅㄢˋ](ㄅㄢˋ.md) | [半](半.md) |  | bàn | [形]
1.二分之一的。如：「半數」、「半邊」、「半碗飯」、「年過半百」。
2.在……中間。如：「半夜」、「半路」、「半山腰」。唐．張繼〈楓橋夜泊〉詩：「姑蘇城外寒山寺，夜半鐘聲到客船。」
3.比喻極少。如：「一星半點」、「一分半鐘」。
[副]
部分、不完全的。如：「半成品」、「半生不熟」、「半新不舊」、「一知半解」。
[名]
事物二分之一的部分。如：「剖半」、「一半」。《莊子．天下》：「一尺之捶，日取其半，萬世不竭。」 |</v>
      </c>
    </row>
    <row r="1882" spans="1:44">
      <c r="A1882" s="1" t="s">
        <v>719</v>
      </c>
      <c r="C1882" s="1">
        <v>1</v>
      </c>
      <c r="D1882" s="1" t="str">
        <f>"00259"</f>
        <v>00259</v>
      </c>
      <c r="E1882" s="1" t="s">
        <v>114</v>
      </c>
      <c r="F1882" s="1">
        <v>7</v>
      </c>
      <c r="G1882" s="1">
        <v>5</v>
      </c>
      <c r="H1882" s="1">
        <v>0</v>
      </c>
      <c r="I1882" s="1" t="s">
        <v>713</v>
      </c>
      <c r="K1882" s="1" t="str">
        <f t="shared" si="120"/>
        <v>ㄅ</v>
      </c>
      <c r="L1882" s="1" t="str">
        <f t="shared" si="121"/>
        <v>ㄢ</v>
      </c>
      <c r="N1882" s="3" t="s">
        <v>30574</v>
      </c>
      <c r="O1882" s="3"/>
      <c r="P1882" s="1" t="s">
        <v>20</v>
      </c>
      <c r="R1882" s="1" t="s">
        <v>714</v>
      </c>
      <c r="V1882" s="1" t="s">
        <v>720</v>
      </c>
      <c r="AR1882" s="1" t="str">
        <f t="shared" si="122"/>
        <v>| [ㄅㄢˋ](ㄅㄢˋ.md) | [伴](伴.md) |  | bàn | [名]
同在一起的人。如：「伴侶」、「老伴」、「夥伴」。《三國志．卷四〇．蜀書．李嚴傳》：「吾與孔明俱受寄託，憂深責重，思得良伴。」
[動]
1.陪同、依隨。如：「伴我良宵」。唐．杜甫〈奉酬李都督表丈早春作〉詩：「轉添愁伴客，更覺老隨人。」宋．周邦彥〈瑞龍吟．章臺路〉詞：「知誰伴、名園露飲，東城閒步。」
2.和聲。如：「你歌我伴」。
[副]
1.陪著。如：「伴讀」、「伴遊」。
2.和著。如：「伴奏」、「伴唱」。 |</v>
      </c>
    </row>
    <row r="1883" spans="1:44">
      <c r="A1883" s="1" t="s">
        <v>721</v>
      </c>
      <c r="C1883" s="1">
        <v>1</v>
      </c>
      <c r="D1883" s="1" t="str">
        <f>"00260"</f>
        <v>00260</v>
      </c>
      <c r="E1883" s="1" t="s">
        <v>24</v>
      </c>
      <c r="F1883" s="1">
        <v>8</v>
      </c>
      <c r="G1883" s="1">
        <v>5</v>
      </c>
      <c r="H1883" s="1">
        <v>1</v>
      </c>
      <c r="I1883" s="1" t="s">
        <v>713</v>
      </c>
      <c r="K1883" s="1" t="str">
        <f t="shared" si="120"/>
        <v>ㄅ</v>
      </c>
      <c r="L1883" s="1" t="str">
        <f t="shared" si="121"/>
        <v>ㄢ</v>
      </c>
      <c r="N1883" s="3" t="s">
        <v>30574</v>
      </c>
      <c r="O1883" s="3"/>
      <c r="P1883" s="1" t="s">
        <v>20</v>
      </c>
      <c r="R1883" s="1" t="s">
        <v>714</v>
      </c>
      <c r="V1883" s="1" t="s">
        <v>722</v>
      </c>
      <c r="W1883" s="1" t="s">
        <v>723</v>
      </c>
      <c r="AR1883" s="1" t="str">
        <f t="shared" si="122"/>
        <v>| [ㄅㄢˋ](ㄅㄢˋ.md) | [拌](拌.md) |  | bàn | [動]
1.調和。如：「拌勻」、「拌菜」、「攪拌」、「乾拌麵」。《水滸傳》第四三回：「將十數瓶酒，把肉大塊切了，卻將些蒙汗藥拌在裡面。」
2.爭吵、鬥嘴。《紅樓夢》第一〇〇回：「兩口子拌起來就說咱們使了他家的銀錢。」《兒女英雄傳》第七回：「忽然聽得女子進來，隔著排插說道：『姑娘，你聽到這隔壁又拌起來了。』」 |</v>
      </c>
    </row>
    <row r="1884" spans="1:44">
      <c r="A1884" s="1" t="s">
        <v>724</v>
      </c>
      <c r="C1884" s="1">
        <v>1</v>
      </c>
      <c r="D1884" s="1" t="str">
        <f>"00261"</f>
        <v>00261</v>
      </c>
      <c r="E1884" s="1" t="s">
        <v>725</v>
      </c>
      <c r="F1884" s="1">
        <v>11</v>
      </c>
      <c r="G1884" s="1">
        <v>5</v>
      </c>
      <c r="H1884" s="1">
        <v>0</v>
      </c>
      <c r="I1884" s="1" t="s">
        <v>713</v>
      </c>
      <c r="K1884" s="1" t="str">
        <f t="shared" si="120"/>
        <v>ㄅ</v>
      </c>
      <c r="L1884" s="1" t="str">
        <f t="shared" si="121"/>
        <v>ㄢ</v>
      </c>
      <c r="N1884" s="3" t="s">
        <v>30574</v>
      </c>
      <c r="O1884" s="3"/>
      <c r="P1884" s="1" t="s">
        <v>20</v>
      </c>
      <c r="R1884" s="1" t="s">
        <v>714</v>
      </c>
      <c r="V1884" s="1" t="s">
        <v>726</v>
      </c>
      <c r="AR1884" s="1" t="str">
        <f t="shared" si="122"/>
        <v>| [ㄅㄢˋ](ㄅㄢˋ.md) | [絆](絆.md) |  | bàn | [名]
勒馬的繩子。《北史．卷二六．宋隱傳》：「軍人有盜馬絆者，斬而循，於是三軍震懼，莫敢犯法。」
[動]
1.行動時，被東西給纏住或擋住。如：「絆倒」。《水滸傳》第六九回：「那馬卻待回頭，背後絆馬索齊起，將馬絆倒。」
2.引申為約束、纏累的意思。如：「羈絆」。唐．杜甫〈曲江〉詩二首之一：「細推物理須行樂，何用浮名絆此身。」宋．蘇軾〈送春〉詩：「夢裡青春可得追，欲將詩句絆餘暉。」 |</v>
      </c>
    </row>
    <row r="1885" spans="1:44">
      <c r="A1885" s="1" t="s">
        <v>727</v>
      </c>
      <c r="C1885" s="1">
        <v>1</v>
      </c>
      <c r="D1885" s="1" t="str">
        <f>"00262"</f>
        <v>00262</v>
      </c>
      <c r="E1885" s="1" t="s">
        <v>24</v>
      </c>
      <c r="F1885" s="1">
        <v>7</v>
      </c>
      <c r="G1885" s="1">
        <v>4</v>
      </c>
      <c r="H1885" s="1">
        <v>0</v>
      </c>
      <c r="I1885" s="1" t="s">
        <v>713</v>
      </c>
      <c r="K1885" s="1" t="str">
        <f t="shared" si="120"/>
        <v>ㄅ</v>
      </c>
      <c r="L1885" s="1" t="str">
        <f t="shared" si="121"/>
        <v>ㄢ</v>
      </c>
      <c r="N1885" s="3" t="s">
        <v>30574</v>
      </c>
      <c r="O1885" s="3"/>
      <c r="P1885" s="1" t="s">
        <v>20</v>
      </c>
      <c r="R1885" s="1" t="s">
        <v>714</v>
      </c>
      <c r="V1885" s="1" t="s">
        <v>728</v>
      </c>
      <c r="AR1885" s="1" t="str">
        <f t="shared" si="122"/>
        <v>| [ㄅㄢˋ](ㄅㄢˋ.md) | [扮](扮.md) |  | bàn | [動]
1.裝飾、化妝。如：「打扮」、「裝扮」。
2.喬裝、化裝。如：「裝神扮鬼」、「女扮男裝」。元．關漢卿《竇娥冤》第一折：「淨扮賽盧醫上。」《儒林外史》第四〇回：「穿了七條裙子，扮做小老媽的模樣。」 |</v>
      </c>
    </row>
    <row r="1886" spans="1:44">
      <c r="A1886" s="1" t="s">
        <v>729</v>
      </c>
      <c r="C1886" s="1">
        <v>1</v>
      </c>
      <c r="D1886" s="1" t="str">
        <f>"00263"</f>
        <v>00263</v>
      </c>
      <c r="E1886" s="1" t="s">
        <v>156</v>
      </c>
      <c r="F1886" s="1">
        <v>15</v>
      </c>
      <c r="G1886" s="1">
        <v>4</v>
      </c>
      <c r="H1886" s="1">
        <v>0</v>
      </c>
      <c r="I1886" s="1" t="s">
        <v>713</v>
      </c>
      <c r="K1886" s="1" t="str">
        <f t="shared" si="120"/>
        <v>ㄅ</v>
      </c>
      <c r="L1886" s="1" t="str">
        <f t="shared" si="121"/>
        <v>ㄢ</v>
      </c>
      <c r="N1886" s="3" t="s">
        <v>30574</v>
      </c>
      <c r="O1886" s="3"/>
      <c r="P1886" s="1" t="s">
        <v>20</v>
      </c>
      <c r="R1886" s="1" t="s">
        <v>714</v>
      </c>
      <c r="V1886" s="1" t="s">
        <v>730</v>
      </c>
      <c r="AR1886" s="1" t="str">
        <f t="shared" si="122"/>
        <v>| [ㄅㄢˋ](ㄅㄢˋ.md) | [魬](魬.md) |  | bàn | [名]
動物名。即鰈。一種底棲魚類。體扁而闊，兩眼位於體同側，常橫臥海底。也稱為「比目魚」。明．張自烈《正字通．魚部》：「魬，比目魚，名版魚，俗改作魬。」 |</v>
      </c>
    </row>
    <row r="1887" spans="1:44">
      <c r="A1887" s="1" t="s">
        <v>731</v>
      </c>
      <c r="C1887" s="1">
        <v>1</v>
      </c>
      <c r="D1887" s="1" t="str">
        <f>"00264"</f>
        <v>00264</v>
      </c>
      <c r="E1887" s="1" t="s">
        <v>732</v>
      </c>
      <c r="F1887" s="1">
        <v>16</v>
      </c>
      <c r="G1887" s="1">
        <v>9</v>
      </c>
      <c r="H1887" s="1">
        <v>0</v>
      </c>
      <c r="I1887" s="1" t="s">
        <v>713</v>
      </c>
      <c r="K1887" s="1" t="str">
        <f t="shared" si="120"/>
        <v>ㄅ</v>
      </c>
      <c r="L1887" s="1" t="str">
        <f t="shared" si="121"/>
        <v>ㄢ</v>
      </c>
      <c r="N1887" s="3" t="s">
        <v>30574</v>
      </c>
      <c r="O1887" s="3"/>
      <c r="P1887" s="1" t="s">
        <v>20</v>
      </c>
      <c r="R1887" s="1" t="s">
        <v>714</v>
      </c>
      <c r="V1887" s="1" t="s">
        <v>733</v>
      </c>
      <c r="AR1887" s="1" t="str">
        <f t="shared" si="122"/>
        <v>| [ㄅㄢˋ](ㄅㄢˋ.md) | [辦](辦.md) |  | bàn | [動]
1.處理事務。如：「辦事」、「公事公辦」、「經辦」。
2.創設、經營。如：「興辦」、「創辦」、「辦工廠」、「辦學校」。
3.懲罰。如：「依法究辦」、「嚴辦」、「查辦」。《三國志．卷四四．蜀書．費褘傳》：「君信可人，必能辦賊者也。」
4.購買。如：「採辦」、「辦貨」。
5.具備。如：「辦酒席」。元．劉唐卿《降桑椹》第四折：「俺一家兒辦誠心酬謝天和地。」 |</v>
      </c>
    </row>
    <row r="1888" spans="1:44">
      <c r="A1888" s="1" t="s">
        <v>734</v>
      </c>
      <c r="C1888" s="1">
        <v>1</v>
      </c>
      <c r="D1888" s="1" t="str">
        <f>"00265"</f>
        <v>00265</v>
      </c>
      <c r="E1888" s="1" t="s">
        <v>238</v>
      </c>
      <c r="F1888" s="1">
        <v>19</v>
      </c>
      <c r="G1888" s="1">
        <v>14</v>
      </c>
      <c r="H1888" s="1">
        <v>0</v>
      </c>
      <c r="I1888" s="1" t="s">
        <v>713</v>
      </c>
      <c r="K1888" s="1" t="str">
        <f t="shared" si="120"/>
        <v>ㄅ</v>
      </c>
      <c r="L1888" s="1" t="str">
        <f t="shared" si="121"/>
        <v>ㄢ</v>
      </c>
      <c r="N1888" s="3" t="s">
        <v>30574</v>
      </c>
      <c r="O1888" s="3"/>
      <c r="P1888" s="1" t="s">
        <v>20</v>
      </c>
      <c r="R1888" s="1" t="s">
        <v>714</v>
      </c>
      <c r="V1888" s="1" t="s">
        <v>735</v>
      </c>
      <c r="AR1888" s="1" t="str">
        <f t="shared" si="122"/>
        <v>| [ㄅㄢˋ](ㄅㄢˋ.md) | [瓣](瓣.md) |  | bàn | [名]
1.瓜類的種子。《說文解字．瓜部》：「瓣，瓜中實也。」晉．傅玄〈瓜賦〉：「細肌密理，多瓤少瓣。」晉．干寶《搜神記》卷一：「（徐光）從人乞瓜，其主勿與。便從索瓣，杖地種之。」
2.瓜果或球莖等中有薄膜隔開或可依其紋理分開的部分。如：「橘瓣」、「蒜瓣」。
3.花片。如：「花瓣」。《警世通言．卷三．王安石三難蘇學士》：「他也不曉得黃州菊花落瓣，也怪他不得！」
4.瓣膜的簡稱。如：「三尖瓣」。
5.量詞：(1)計算花瓣、葉片或水果、球莖等所分成小塊的單位。如：「這個橘子一共有十二瓣。」(2)計算物件成為瓣狀或破碎後的部分的單位。如：「將蘋果切成四瓣。」、「這瓷瓶被摔成好幾瓣。」 |</v>
      </c>
    </row>
    <row r="1889" spans="1:44">
      <c r="A1889" s="1" t="s">
        <v>686</v>
      </c>
      <c r="C1889" s="1">
        <v>1</v>
      </c>
      <c r="D1889" s="1" t="str">
        <f>"00247"</f>
        <v>00247</v>
      </c>
      <c r="E1889" s="1" t="s">
        <v>132</v>
      </c>
      <c r="F1889" s="1">
        <v>7</v>
      </c>
      <c r="G1889" s="1">
        <v>4</v>
      </c>
      <c r="H1889" s="1">
        <v>0</v>
      </c>
      <c r="I1889" s="1" t="s">
        <v>687</v>
      </c>
      <c r="K1889" s="1" t="str">
        <f t="shared" si="120"/>
        <v>ㄅ</v>
      </c>
      <c r="L1889" s="1" t="str">
        <f t="shared" si="121"/>
        <v>ㄢ</v>
      </c>
      <c r="N1889" s="3" t="s">
        <v>30576</v>
      </c>
      <c r="O1889" s="3"/>
      <c r="P1889" s="1" t="s">
        <v>20</v>
      </c>
      <c r="R1889" s="1" t="s">
        <v>688</v>
      </c>
      <c r="V1889" s="1" t="s">
        <v>689</v>
      </c>
      <c r="AR1889" s="1" t="str">
        <f t="shared" si="122"/>
        <v>| [ㄅㄢˇ](ㄅㄢˇ.md) | [坂](坂.md) |  | bǎn | [名]
山坡、斜坡。通「阪」。如：「山坂」、「峭坂」。《文選．曹操．苦寒行》：「羊腸坂詰屈，車輪為之摧。」宋．戴復古〈夜宿田家〉詩：「雨行山崦黃泥坂，夜扣田家白皮扉。」 |</v>
      </c>
    </row>
    <row r="1890" spans="1:44">
      <c r="A1890" s="1" t="s">
        <v>690</v>
      </c>
      <c r="C1890" s="1">
        <v>1</v>
      </c>
      <c r="D1890" s="1" t="str">
        <f>"00248"</f>
        <v>00248</v>
      </c>
      <c r="E1890" s="1" t="s">
        <v>691</v>
      </c>
      <c r="F1890" s="1">
        <v>7</v>
      </c>
      <c r="G1890" s="1">
        <v>4</v>
      </c>
      <c r="H1890" s="1">
        <v>0</v>
      </c>
      <c r="I1890" s="1" t="s">
        <v>687</v>
      </c>
      <c r="K1890" s="1" t="str">
        <f t="shared" si="120"/>
        <v>ㄅ</v>
      </c>
      <c r="L1890" s="1" t="str">
        <f t="shared" si="121"/>
        <v>ㄢ</v>
      </c>
      <c r="N1890" s="3" t="s">
        <v>30576</v>
      </c>
      <c r="O1890" s="3"/>
      <c r="P1890" s="1" t="s">
        <v>20</v>
      </c>
      <c r="R1890" s="1" t="s">
        <v>688</v>
      </c>
      <c r="V1890" s="1" t="s">
        <v>692</v>
      </c>
      <c r="AR1890" s="1" t="str">
        <f t="shared" si="122"/>
        <v>| [ㄅㄢˇ](ㄅㄢˇ.md) | [阪](阪.md) |  | bǎn | [名]
1.山坡。《說文解字．阜部》：「阪，坡者曰阪。」《漢書．卷四五．蒯通傳》：「必相率而降，猶如阪上走丸也。」唐．元稹〈當來日大難行〉：「當來日大難行。前有阪，後有坑。」
2.山腰小路。《說文解字．阜部》：「阪，一曰山脅也。」唐．劉長卿〈奉和李大夫同呂評事太行苦熱行〉：「朝辭羊腸阪，夕望貝丘郭。」 |</v>
      </c>
    </row>
    <row r="1891" spans="1:44">
      <c r="A1891" s="1" t="s">
        <v>693</v>
      </c>
      <c r="C1891" s="1">
        <v>1</v>
      </c>
      <c r="D1891" s="1" t="str">
        <f>"00249"</f>
        <v>00249</v>
      </c>
      <c r="E1891" s="1" t="s">
        <v>139</v>
      </c>
      <c r="F1891" s="1">
        <v>8</v>
      </c>
      <c r="G1891" s="1">
        <v>4</v>
      </c>
      <c r="H1891" s="1">
        <v>0</v>
      </c>
      <c r="I1891" s="1" t="s">
        <v>687</v>
      </c>
      <c r="K1891" s="1" t="str">
        <f t="shared" si="120"/>
        <v>ㄅ</v>
      </c>
      <c r="L1891" s="1" t="str">
        <f t="shared" si="121"/>
        <v>ㄢ</v>
      </c>
      <c r="N1891" s="3" t="s">
        <v>30576</v>
      </c>
      <c r="O1891" s="3"/>
      <c r="P1891" s="1" t="s">
        <v>20</v>
      </c>
      <c r="R1891" s="1" t="s">
        <v>688</v>
      </c>
      <c r="V1891" s="1" t="s">
        <v>694</v>
      </c>
      <c r="AR1891" s="1" t="str">
        <f t="shared" si="122"/>
        <v>| [ㄅㄢˇ](ㄅㄢˇ.md) | [板](板.md) |  | bǎn | [名]
1.片狀的木料。如：「木板」、「板畫」。
2.呈薄片或扁平狀的物體。如：「銅板」、「墊板」、「腳板」。
3.拍板。用於戲曲伴奏和樂器合奏，常與板鼓合用，由鼓手兼操。
4.音樂的節拍。如：「板眼」、「快板」、「慢板」。
5.棺木的代稱。《紅樓夢》第一三回：「看板時，幾副杉木板皆不中用。」
6.量詞。計算受杖刑笞打次數的單位。如：「來人呀！拖下去打四十大板！」
7.通「闆」。如：「老板」。
8.《詩經．大雅》的篇名，共八章。根據〈詩序〉：「板，凡伯刺厲王也。」指勸戒厲王之詩。首章二句為：「上帝板板，下民卒癉。」
9.電腦網路的討論區。經常劃分不同的主題，讓使用者表達意見，進行討論。每一個主題討論區即稱為「板」。也稱作「版」。
[形]
呆滯不活潑或固執不變。如：「呆板」、「古板」。
[動]
繃緊。如：「板著臉」、「板起面孔訓人」。 |</v>
      </c>
    </row>
    <row r="1892" spans="1:44">
      <c r="A1892" s="1" t="s">
        <v>695</v>
      </c>
      <c r="C1892" s="1">
        <v>1</v>
      </c>
      <c r="D1892" s="1" t="str">
        <f>"00250"</f>
        <v>00250</v>
      </c>
      <c r="E1892" s="1" t="s">
        <v>646</v>
      </c>
      <c r="F1892" s="1">
        <v>8</v>
      </c>
      <c r="G1892" s="1">
        <v>4</v>
      </c>
      <c r="H1892" s="1">
        <v>0</v>
      </c>
      <c r="I1892" s="1" t="s">
        <v>687</v>
      </c>
      <c r="K1892" s="1" t="str">
        <f t="shared" si="120"/>
        <v>ㄅ</v>
      </c>
      <c r="L1892" s="1" t="str">
        <f t="shared" si="121"/>
        <v>ㄢ</v>
      </c>
      <c r="N1892" s="3" t="s">
        <v>30576</v>
      </c>
      <c r="O1892" s="3"/>
      <c r="P1892" s="1" t="s">
        <v>20</v>
      </c>
      <c r="R1892" s="1" t="s">
        <v>688</v>
      </c>
      <c r="V1892" s="1" t="s">
        <v>696</v>
      </c>
      <c r="AR1892" s="1" t="str">
        <f t="shared" si="122"/>
        <v>| [ㄅㄢˇ](ㄅㄢˇ.md) | [昄](昄.md) |  | bǎn | [形]
大。《說文解字．日部》：「昄，大也。」《詩經．大雅．卷阿》：「爾土宇昄章，亦孔之厚矣。」漢．毛亨．傳：「昄，大也。」 |</v>
      </c>
    </row>
    <row r="1893" spans="1:44">
      <c r="A1893" s="1" t="s">
        <v>697</v>
      </c>
      <c r="C1893" s="1">
        <v>1</v>
      </c>
      <c r="D1893" s="1" t="str">
        <f>"00251"</f>
        <v>00251</v>
      </c>
      <c r="E1893" s="1" t="s">
        <v>698</v>
      </c>
      <c r="F1893" s="1">
        <v>8</v>
      </c>
      <c r="G1893" s="1">
        <v>4</v>
      </c>
      <c r="H1893" s="1">
        <v>0</v>
      </c>
      <c r="I1893" s="1" t="s">
        <v>687</v>
      </c>
      <c r="K1893" s="1" t="str">
        <f t="shared" si="120"/>
        <v>ㄅ</v>
      </c>
      <c r="L1893" s="1" t="str">
        <f t="shared" si="121"/>
        <v>ㄢ</v>
      </c>
      <c r="N1893" s="3" t="s">
        <v>30576</v>
      </c>
      <c r="O1893" s="3"/>
      <c r="P1893" s="1" t="s">
        <v>20</v>
      </c>
      <c r="R1893" s="1" t="s">
        <v>688</v>
      </c>
      <c r="V1893" s="1" t="s">
        <v>699</v>
      </c>
      <c r="AR1893" s="1" t="str">
        <f t="shared" si="122"/>
        <v>| [ㄅㄢˇ](ㄅㄢˇ.md) | [版](版.md) |  | bǎn | [名]
1.木片或片狀的器物。《說文解字．片部》：「版，片也。」清．段玉裁．注：「凡施於宮室器用者，皆曰版。今字作板。」
2.古時築牆所用的木夾板。如：「版築」。《史記．卷八二．田單傳》：「田單知士卒之可用，乃身操版插，與士卒分功。」
3.簡牘的通稱。《管子．宙合》：「故退身不舍端，修業不息版。」唐．尹知章．注：「版，牘也。」
4.戶籍、圖籍。《周禮．天官．司會》：「凡在書契版圖者之貳。」漢．鄭玄．注：「版，戶籍也。」《論語．鄉黨》：「式負版者。」三國魏．何晏．集解：「負版者，持邦國之圖籍。」
5.印刷所用的版式，上面拼組或刻鑄著既定的文字或圖形。如木版、鉛版、鋅版、銅版等印刷。
6.版本。如：「宋版書」。
7.量詞：(1)計算報紙頁面的單位。如：「今天的報紙共有十六版。」(2)計算同一作品不同時期出版的單位。如：「這本書已出至十二版。」
8.書籍版本的簡稱。如：「原版影印」、「宋版老子」、「鼎文版史記」。
9.報紙或雜誌的版別。如：「國際版」、「體育版」、「經濟版」。
10.電腦網路的討論區。經常劃分不同的主題，讓使用者表達意見，進行討論。每一個主題討論區即稱為「版」。也稱為「板」。 |</v>
      </c>
    </row>
    <row r="1894" spans="1:44">
      <c r="A1894" s="1" t="s">
        <v>700</v>
      </c>
      <c r="C1894" s="1">
        <v>1</v>
      </c>
      <c r="D1894" s="1" t="str">
        <f>"00252"</f>
        <v>00252</v>
      </c>
      <c r="E1894" s="1" t="s">
        <v>46</v>
      </c>
      <c r="F1894" s="1">
        <v>10</v>
      </c>
      <c r="G1894" s="1">
        <v>4</v>
      </c>
      <c r="H1894" s="1">
        <v>0</v>
      </c>
      <c r="I1894" s="1" t="s">
        <v>687</v>
      </c>
      <c r="K1894" s="1" t="str">
        <f t="shared" si="120"/>
        <v>ㄅ</v>
      </c>
      <c r="L1894" s="1" t="str">
        <f t="shared" si="121"/>
        <v>ㄢ</v>
      </c>
      <c r="N1894" s="3" t="s">
        <v>30576</v>
      </c>
      <c r="O1894" s="3"/>
      <c r="P1894" s="1" t="s">
        <v>20</v>
      </c>
      <c r="R1894" s="1" t="s">
        <v>688</v>
      </c>
      <c r="V1894" s="1" t="s">
        <v>701</v>
      </c>
      <c r="AR1894" s="1" t="str">
        <f t="shared" si="122"/>
        <v>| [ㄅㄢˇ](ㄅㄢˇ.md) | [粄](粄.md) |  | bǎn | [名]
1.碎米製成的餅。《廣韻．上聲．緩韻》：「粄，屑米餅也。」《通志．卷八二．宗室傳五》：「鈞，字宣禮，年五歲，所生區貴人病，便加慘悴，左右依常以五色粄飴之，不肯食，曰：『須待姨差。』」
2.一種米製的食品。如：「粄條」、「過年吃的甜年糕，客家人稱為『甜粄』。」 |</v>
      </c>
    </row>
    <row r="1895" spans="1:44">
      <c r="A1895" s="1" t="s">
        <v>702</v>
      </c>
      <c r="C1895" s="1">
        <v>1</v>
      </c>
      <c r="D1895" s="1" t="str">
        <f>"00253"</f>
        <v>00253</v>
      </c>
      <c r="E1895" s="1" t="s">
        <v>181</v>
      </c>
      <c r="F1895" s="1">
        <v>10</v>
      </c>
      <c r="G1895" s="1">
        <v>4</v>
      </c>
      <c r="H1895" s="1">
        <v>0</v>
      </c>
      <c r="I1895" s="1" t="s">
        <v>687</v>
      </c>
      <c r="K1895" s="1" t="str">
        <f t="shared" si="120"/>
        <v>ㄅ</v>
      </c>
      <c r="L1895" s="1" t="str">
        <f t="shared" si="121"/>
        <v>ㄢ</v>
      </c>
      <c r="N1895" s="3" t="s">
        <v>30576</v>
      </c>
      <c r="O1895" s="3"/>
      <c r="P1895" s="1" t="s">
        <v>20</v>
      </c>
      <c r="R1895" s="1" t="s">
        <v>688</v>
      </c>
      <c r="V1895" s="1" t="s">
        <v>703</v>
      </c>
      <c r="AR1895" s="1" t="str">
        <f t="shared" si="122"/>
        <v>| [ㄅㄢˇ](ㄅㄢˇ.md) | [舨](舨.md) |  | bǎn | [名]
舢舨：小船。也作「舢板」。參見「舢板」條。 |</v>
      </c>
    </row>
    <row r="1896" spans="1:44">
      <c r="A1896" s="1" t="s">
        <v>704</v>
      </c>
      <c r="C1896" s="1">
        <v>1</v>
      </c>
      <c r="D1896" s="1" t="str">
        <f>"00254"</f>
        <v>00254</v>
      </c>
      <c r="E1896" s="1" t="s">
        <v>55</v>
      </c>
      <c r="F1896" s="1">
        <v>12</v>
      </c>
      <c r="G1896" s="1">
        <v>4</v>
      </c>
      <c r="H1896" s="1">
        <v>0</v>
      </c>
      <c r="I1896" s="1" t="s">
        <v>687</v>
      </c>
      <c r="K1896" s="1" t="str">
        <f t="shared" si="120"/>
        <v>ㄅ</v>
      </c>
      <c r="L1896" s="1" t="str">
        <f t="shared" si="121"/>
        <v>ㄢ</v>
      </c>
      <c r="N1896" s="3" t="s">
        <v>30576</v>
      </c>
      <c r="O1896" s="3"/>
      <c r="P1896" s="1" t="s">
        <v>20</v>
      </c>
      <c r="R1896" s="1" t="s">
        <v>688</v>
      </c>
      <c r="V1896" s="1" t="s">
        <v>705</v>
      </c>
      <c r="AR1896" s="1" t="str">
        <f t="shared" si="122"/>
        <v>| [ㄅㄢˇ](ㄅㄢˇ.md) | [鈑](鈑.md) |  | bǎn | [名]
1.形狀似餅的金、銀塊。《爾雅．釋器》：「鉼金謂之鈑。」如：「金鈑」、「銀鈑」。明．宋應星《天工開物．卷下．五金》：「（銀）當其合瑣碎而成鈑錠，去庛偽而造精純。」
2.板狀的金屬塊。如：「鋼鈑」、「鋁鈑」。 |</v>
      </c>
    </row>
    <row r="1897" spans="1:44">
      <c r="A1897" s="1" t="s">
        <v>706</v>
      </c>
      <c r="C1897" s="1">
        <v>1</v>
      </c>
      <c r="D1897" s="1" t="str">
        <f>"00255"</f>
        <v>00255</v>
      </c>
      <c r="E1897" s="1" t="s">
        <v>679</v>
      </c>
      <c r="F1897" s="1">
        <v>14</v>
      </c>
      <c r="G1897" s="1">
        <v>8</v>
      </c>
      <c r="H1897" s="1">
        <v>0</v>
      </c>
      <c r="I1897" s="1" t="s">
        <v>687</v>
      </c>
      <c r="K1897" s="1" t="str">
        <f t="shared" si="120"/>
        <v>ㄅ</v>
      </c>
      <c r="L1897" s="1" t="str">
        <f t="shared" si="121"/>
        <v>ㄢ</v>
      </c>
      <c r="N1897" s="3" t="s">
        <v>30576</v>
      </c>
      <c r="O1897" s="3"/>
      <c r="P1897" s="1" t="s">
        <v>20</v>
      </c>
      <c r="R1897" s="1" t="s">
        <v>688</v>
      </c>
      <c r="V1897" s="1" t="s">
        <v>707</v>
      </c>
      <c r="AR1897" s="1" t="str">
        <f t="shared" si="122"/>
        <v>| [ㄅㄢˇ](ㄅㄢˇ.md) | [蝂](蝂.md) |  | bǎn | 參見「蝜蝂」條。 |</v>
      </c>
    </row>
    <row r="1898" spans="1:44">
      <c r="A1898" s="1" t="s">
        <v>708</v>
      </c>
      <c r="C1898" s="1">
        <v>1</v>
      </c>
      <c r="D1898" s="1" t="str">
        <f>"00256"</f>
        <v>00256</v>
      </c>
      <c r="E1898" s="1" t="s">
        <v>709</v>
      </c>
      <c r="F1898" s="1">
        <v>17</v>
      </c>
      <c r="G1898" s="1">
        <v>9</v>
      </c>
      <c r="H1898" s="1">
        <v>0</v>
      </c>
      <c r="I1898" s="1" t="s">
        <v>687</v>
      </c>
      <c r="K1898" s="1" t="str">
        <f t="shared" si="120"/>
        <v>ㄅ</v>
      </c>
      <c r="L1898" s="1" t="str">
        <f t="shared" si="121"/>
        <v>ㄢ</v>
      </c>
      <c r="N1898" s="3" t="s">
        <v>30576</v>
      </c>
      <c r="O1898" s="3"/>
      <c r="P1898" s="1" t="s">
        <v>20</v>
      </c>
      <c r="R1898" s="1" t="s">
        <v>688</v>
      </c>
      <c r="V1898" s="1" t="s">
        <v>710</v>
      </c>
      <c r="AR1898" s="1" t="str">
        <f t="shared" si="122"/>
        <v>| [ㄅㄢˇ](ㄅㄢˇ.md) | [闆](闆.md) |  | bǎn | 參見「老闆」條。 |</v>
      </c>
    </row>
    <row r="1899" spans="1:44">
      <c r="A1899" s="1" t="s">
        <v>755</v>
      </c>
      <c r="C1899" s="1">
        <v>1</v>
      </c>
      <c r="D1899" s="1" t="str">
        <f>"00272"</f>
        <v>00272</v>
      </c>
      <c r="E1899" s="1" t="s">
        <v>132</v>
      </c>
      <c r="F1899" s="1">
        <v>7</v>
      </c>
      <c r="G1899" s="1">
        <v>4</v>
      </c>
      <c r="H1899" s="1">
        <v>0</v>
      </c>
      <c r="I1899" s="1" t="s">
        <v>756</v>
      </c>
      <c r="K1899" s="1" t="str">
        <f t="shared" si="120"/>
        <v>ㄅ</v>
      </c>
      <c r="L1899" s="1" t="str">
        <f t="shared" si="121"/>
        <v>ㄣ</v>
      </c>
      <c r="N1899" s="3" t="s">
        <v>30574</v>
      </c>
      <c r="O1899" s="3"/>
      <c r="P1899" s="1" t="s">
        <v>20</v>
      </c>
      <c r="R1899" s="1" t="s">
        <v>757</v>
      </c>
      <c r="V1899" s="1" t="s">
        <v>758</v>
      </c>
      <c r="AR1899" s="1" t="str">
        <f t="shared" si="122"/>
        <v>| [ㄅㄣˋ](ㄅㄣˋ.md) | [坌](坌.md) |  | bèn | [名]
灰塵。《說文解字．土部》：「坌，塵也。」金．元好問〈戊戌十月山陽雨夜〉詩二首之二：「霏霏散浮煙，靄靄集微坌。」
[動]
1.聚集。如：「坌集」。唐．元稹〈說劍〉詩：「君今困泥滓，我亦坌塵垢。」
2.方言。翻、刨的意思。如：「坌土」、「坌地」。《通俗編．雜字》引《廣異記》：「載鷙獸搏狂牛事云：『牛自埋身于土，獸坌成潭。』」
3.塵土撒落在物體上。《北史．卷九二．恩倖傳．齊諸宦者傳》：「（諸閹）飛鞭競走，十數為群，馬塵必坌諸貴。」
[形]
1.笨重、不靈活。通「笨」。元．馬致遠《陳摶高臥》第二折：「我其實戴不的幞頭緊，穿不的朝衣坌。倒不如我這拂黃塵的布袍。漉渾酒的綸巾。」
2.愚蠢。通「笨」。元．關漢卿《陳母教子》第一折：「我似那靈禽在後，你這等坌鳥先飛。」
3.粗糙的。通「笨」。元．王曄《桃花女》第一折：「您穿的輕紗異錦，俺穿的是坌絹的這粗紬。」
4.粗重。通「笨」。元．秦𥳑夫《剪髮待賓》第一折：「常著我左肩，那在這右肩，與人家做生活，打些坌活。」 |</v>
      </c>
    </row>
    <row r="1900" spans="1:44">
      <c r="A1900" s="1" t="s">
        <v>736</v>
      </c>
      <c r="C1900" s="1">
        <v>1</v>
      </c>
      <c r="D1900" s="1" t="str">
        <f>"00273"</f>
        <v>00273</v>
      </c>
      <c r="E1900" s="1" t="s">
        <v>563</v>
      </c>
      <c r="F1900" s="1">
        <v>8</v>
      </c>
      <c r="G1900" s="1">
        <v>5</v>
      </c>
      <c r="H1900" s="1">
        <v>2</v>
      </c>
      <c r="I1900" s="1" t="s">
        <v>756</v>
      </c>
      <c r="K1900" s="1" t="str">
        <f t="shared" si="120"/>
        <v>ㄅ</v>
      </c>
      <c r="L1900" s="1" t="str">
        <f t="shared" si="121"/>
        <v>ㄣ</v>
      </c>
      <c r="N1900" s="3" t="s">
        <v>30574</v>
      </c>
      <c r="O1900" s="3"/>
      <c r="P1900" s="1" t="s">
        <v>20</v>
      </c>
      <c r="R1900" s="1" t="s">
        <v>757</v>
      </c>
      <c r="V1900" s="1" t="s">
        <v>759</v>
      </c>
      <c r="W1900" s="1" t="s">
        <v>760</v>
      </c>
      <c r="AR1900" s="1" t="str">
        <f t="shared" si="122"/>
        <v>| [ㄅㄣˋ](ㄅㄣˋ.md) | [奔](奔.md) |  | bèn | [動]
1.直往、投向。如：「各奔前程」、「投奔自由」、「直奔目的地」。《紅樓夢》第四回：「薛蟠見母親如此說，情知扭不過的，只得吩咐人夫；一路奔榮國府來。」
2.年齡接近於……。《紅樓夢》第七六回：「我們雖然年輕，已經是十來年的夫妻，也奔四十歲的人了。」 |</v>
      </c>
    </row>
    <row r="1901" spans="1:44">
      <c r="A1901" s="1" t="s">
        <v>761</v>
      </c>
      <c r="C1901" s="1">
        <v>1</v>
      </c>
      <c r="D1901" s="1" t="str">
        <f>"00274"</f>
        <v>00274</v>
      </c>
      <c r="E1901" s="1" t="s">
        <v>558</v>
      </c>
      <c r="F1901" s="1">
        <v>12</v>
      </c>
      <c r="G1901" s="1">
        <v>8</v>
      </c>
      <c r="H1901" s="1">
        <v>0</v>
      </c>
      <c r="I1901" s="1" t="s">
        <v>756</v>
      </c>
      <c r="K1901" s="1" t="str">
        <f t="shared" si="120"/>
        <v>ㄅ</v>
      </c>
      <c r="L1901" s="1" t="str">
        <f t="shared" si="121"/>
        <v>ㄣ</v>
      </c>
      <c r="N1901" s="3" t="s">
        <v>30574</v>
      </c>
      <c r="O1901" s="3"/>
      <c r="P1901" s="1" t="s">
        <v>20</v>
      </c>
      <c r="R1901" s="1" t="s">
        <v>757</v>
      </c>
      <c r="V1901" s="1" t="s">
        <v>762</v>
      </c>
      <c r="AR1901" s="1" t="str">
        <f t="shared" si="122"/>
        <v>| [ㄅㄣˋ](ㄅㄣˋ.md) | [逩](逩.md) |  | bèn | [動]
前往、直趨。《字彙．辵部》：「逩，逋悶切，奔去聲。逩走也。」元．關漢卿《救風塵》第三折：「我假意兒瞞，虛科兒噴，著言廝有家難逩。」 |</v>
      </c>
    </row>
    <row r="1902" spans="1:44">
      <c r="A1902" s="1" t="s">
        <v>763</v>
      </c>
      <c r="C1902" s="1">
        <v>1</v>
      </c>
      <c r="D1902" s="1" t="str">
        <f>"00275"</f>
        <v>00275</v>
      </c>
      <c r="E1902" s="1" t="s">
        <v>49</v>
      </c>
      <c r="F1902" s="1">
        <v>11</v>
      </c>
      <c r="G1902" s="1">
        <v>5</v>
      </c>
      <c r="H1902" s="1">
        <v>0</v>
      </c>
      <c r="I1902" s="1" t="s">
        <v>756</v>
      </c>
      <c r="K1902" s="1" t="str">
        <f t="shared" si="120"/>
        <v>ㄅ</v>
      </c>
      <c r="L1902" s="1" t="str">
        <f t="shared" si="121"/>
        <v>ㄣ</v>
      </c>
      <c r="N1902" s="3" t="s">
        <v>30574</v>
      </c>
      <c r="O1902" s="3"/>
      <c r="P1902" s="1" t="s">
        <v>20</v>
      </c>
      <c r="R1902" s="1" t="s">
        <v>757</v>
      </c>
      <c r="V1902" s="1" t="s">
        <v>764</v>
      </c>
      <c r="AR1902" s="1" t="str">
        <f t="shared" si="122"/>
        <v>| [ㄅㄣˋ](ㄅㄣˋ.md) | [笨](笨.md) |  | bèn | [形]
1.理解能力不強或記憶能力不佳。如：「笨蛋」、「愚笨」。
2.不靈巧、不靈活。如：「笨手笨腳」。《兒女英雄傳》第一三回：「我的嘴笨，也說不上個甚麼來。」
3.龐大沉重。如：「笨重」。《清史稿．卷一四九．交通志一》：「有鐵路，則機器可入，笨貨可出。」 |</v>
      </c>
    </row>
    <row r="1903" spans="1:44">
      <c r="A1903" s="1" t="s">
        <v>746</v>
      </c>
      <c r="C1903" s="1">
        <v>1</v>
      </c>
      <c r="D1903" s="1" t="str">
        <f>"00269"</f>
        <v>00269</v>
      </c>
      <c r="E1903" s="1" t="s">
        <v>139</v>
      </c>
      <c r="F1903" s="1">
        <v>5</v>
      </c>
      <c r="G1903" s="1">
        <v>1</v>
      </c>
      <c r="H1903" s="1">
        <v>0</v>
      </c>
      <c r="I1903" s="1" t="s">
        <v>747</v>
      </c>
      <c r="K1903" s="1" t="str">
        <f t="shared" si="120"/>
        <v>ㄅ</v>
      </c>
      <c r="L1903" s="1" t="str">
        <f t="shared" si="121"/>
        <v>ㄣ</v>
      </c>
      <c r="N1903" s="3" t="s">
        <v>30576</v>
      </c>
      <c r="O1903" s="3"/>
      <c r="P1903" s="1" t="s">
        <v>20</v>
      </c>
      <c r="R1903" s="1" t="s">
        <v>748</v>
      </c>
      <c r="V1903" s="1" t="s">
        <v>749</v>
      </c>
      <c r="AR1903" s="1" t="str">
        <f t="shared" si="122"/>
        <v>| [ㄅㄣˇ](ㄅㄣˇ.md) | [本](本.md) |  | běn | [名]
1.草木的根幹。《說文解字．木部》：「木下曰本。」《呂氏春秋．士容論．辯士》：「是以畝廣以平，則不喪本。」漢．高誘．注：「本，根也。」
2.事物的本原、根源。如：「本末倒置」、「變本加厲」。《論語．學而》：「君子務本，本立而道生。」
3.母金、資金。如：「成本」、「股本」、「夠本」、「賠本」、「將本圖利」、「一本萬利」。
4.書籍、字畫、碑帖等。如：「讀本」、「版本」、「刻本」、「拓本」、「手抄本」、「精裝本」。
5.演出的底本。如：「腳本」、「話本」、「劇本」。
6.古代奏達皇帝的文書。如：「奏本」、「修本」。
7.量詞：(1)計算書籍、簿冊等的單位。如：「五本書」、「三本帳簿」。(2)計算戲曲分段的單位。如：「西廂記第四本」。(3)計算影片攝製成的膠卷的單位。如：「這部影片長達八大本。」
8.姓。如明代有本高。
[動]
根據、依憑。如：「一本初衷」。唐．柳宗元〈答韋中立論師道書〉：「本之春秋以求其斷。」
[形]
1.主要的、中心的。如：「本體」、「本位」、「校本部」。
2.起初的、原來的。如：「本能」、「本名」、「江山易改，本性難移」。
3.現在的、目前的。如：「本月」、「本年度」。
[副]
本來、原來。《史記．卷八．高祖本紀》：「本定天下，諸將及（項）籍也。」《文選．李密．陳情表》：「本圖宦達，不矜名節。」
[代]
稱自己或自己這方。如：「本人」、「本庭」、「本籍」、「本報訊」。《淮南子．氾論》：「立之于本朝之上，倚之于三公之位。」 |</v>
      </c>
    </row>
    <row r="1904" spans="1:44">
      <c r="A1904" s="1" t="s">
        <v>750</v>
      </c>
      <c r="C1904" s="1">
        <v>1</v>
      </c>
      <c r="D1904" s="1" t="str">
        <f>"00270"</f>
        <v>00270</v>
      </c>
      <c r="E1904" s="1" t="s">
        <v>37</v>
      </c>
      <c r="F1904" s="1">
        <v>9</v>
      </c>
      <c r="G1904" s="1">
        <v>5</v>
      </c>
      <c r="H1904" s="1">
        <v>0</v>
      </c>
      <c r="I1904" s="1" t="s">
        <v>747</v>
      </c>
      <c r="K1904" s="1" t="str">
        <f t="shared" si="120"/>
        <v>ㄅ</v>
      </c>
      <c r="L1904" s="1" t="str">
        <f t="shared" si="121"/>
        <v>ㄣ</v>
      </c>
      <c r="N1904" s="3" t="s">
        <v>30576</v>
      </c>
      <c r="O1904" s="3"/>
      <c r="P1904" s="1" t="s">
        <v>20</v>
      </c>
      <c r="R1904" s="1" t="s">
        <v>748</v>
      </c>
      <c r="V1904" s="1" t="s">
        <v>751</v>
      </c>
      <c r="AR1904" s="1" t="str">
        <f t="shared" si="122"/>
        <v>| [ㄅㄣˇ](ㄅㄣˇ.md) | [苯](苯.md) |  | běn | [名]
一種有機化合物。結構為平面六邊形的碳氫化合物，屬芳香族。無色透明的液體，易燃，有毒，有特殊氣味。從煤、石油蒸餾而得，可供作燃料或溶劑。用於製造苯乙烯、苯酚等。 |</v>
      </c>
    </row>
    <row r="1905" spans="1:44">
      <c r="A1905" s="1" t="s">
        <v>752</v>
      </c>
      <c r="C1905" s="1">
        <v>1</v>
      </c>
      <c r="D1905" s="1" t="str">
        <f>"00271"</f>
        <v>00271</v>
      </c>
      <c r="E1905" s="1" t="s">
        <v>753</v>
      </c>
      <c r="F1905" s="1">
        <v>10</v>
      </c>
      <c r="G1905" s="1">
        <v>5</v>
      </c>
      <c r="H1905" s="1">
        <v>0</v>
      </c>
      <c r="I1905" s="1" t="s">
        <v>747</v>
      </c>
      <c r="K1905" s="1" t="str">
        <f t="shared" si="120"/>
        <v>ㄅ</v>
      </c>
      <c r="L1905" s="1" t="str">
        <f t="shared" si="121"/>
        <v>ㄣ</v>
      </c>
      <c r="N1905" s="3" t="s">
        <v>30576</v>
      </c>
      <c r="O1905" s="3"/>
      <c r="P1905" s="1" t="s">
        <v>20</v>
      </c>
      <c r="R1905" s="1" t="s">
        <v>748</v>
      </c>
      <c r="V1905" s="1" t="s">
        <v>754</v>
      </c>
      <c r="AR1905" s="1" t="str">
        <f t="shared" si="122"/>
        <v>| [ㄅㄣˇ](ㄅㄣˇ.md) | [畚](畚.md) |  | běn | [名]
用草繩或竹片編成的盛土器具。如：「畚箕」、「畚斗」。《公羊傳．宣公六年》：「趙盾已朝而出，與諸大夫立於朝，有人荷畚。」
[動]
用畚箕撮取東西。如：「畚土」、「畚草」。 |</v>
      </c>
    </row>
    <row r="1906" spans="1:44">
      <c r="A1906" s="1" t="s">
        <v>788</v>
      </c>
      <c r="C1906" s="1">
        <v>1</v>
      </c>
      <c r="D1906" s="1" t="str">
        <f>"00285"</f>
        <v>00285</v>
      </c>
      <c r="E1906" s="1" t="s">
        <v>789</v>
      </c>
      <c r="F1906" s="1">
        <v>8</v>
      </c>
      <c r="G1906" s="1">
        <v>7</v>
      </c>
      <c r="H1906" s="1">
        <v>2</v>
      </c>
      <c r="I1906" s="1" t="s">
        <v>790</v>
      </c>
      <c r="K1906" s="1" t="str">
        <f t="shared" si="120"/>
        <v>ㄅ</v>
      </c>
      <c r="L1906" s="1" t="str">
        <f t="shared" si="121"/>
        <v>ㄤ</v>
      </c>
      <c r="N1906" s="3" t="s">
        <v>30574</v>
      </c>
      <c r="O1906" s="3"/>
      <c r="P1906" s="1" t="s">
        <v>20</v>
      </c>
      <c r="R1906" s="1" t="s">
        <v>791</v>
      </c>
      <c r="V1906" s="1" t="s">
        <v>792</v>
      </c>
      <c r="W1906" s="1" t="s">
        <v>793</v>
      </c>
      <c r="AR1906" s="1" t="str">
        <f t="shared" si="122"/>
        <v>| [ㄅㄤˋ](ㄅㄤˋ.md) | [並](並.md) |  | bàng | [動]
依傍。通「傍」。《史記．卷六．秦始皇本紀》：「北據河為塞，並陰山至遼東。」唐．張守節．正義：「從河傍陰山，東至遼東。」明．歸有光〈先妣事略〉：「由千墩浦而南，直橋並小港以東，居人環聚，盡周氏也。」 |</v>
      </c>
    </row>
    <row r="1907" spans="1:44">
      <c r="A1907" s="1" t="s">
        <v>794</v>
      </c>
      <c r="C1907" s="1">
        <v>1</v>
      </c>
      <c r="D1907" s="1" t="str">
        <f>"00286"</f>
        <v>00286</v>
      </c>
      <c r="E1907" s="1" t="s">
        <v>142</v>
      </c>
      <c r="F1907" s="1">
        <v>8</v>
      </c>
      <c r="G1907" s="1">
        <v>4</v>
      </c>
      <c r="H1907" s="1">
        <v>0</v>
      </c>
      <c r="I1907" s="1" t="s">
        <v>790</v>
      </c>
      <c r="K1907" s="1" t="str">
        <f t="shared" si="120"/>
        <v>ㄅ</v>
      </c>
      <c r="L1907" s="1" t="str">
        <f t="shared" si="121"/>
        <v>ㄤ</v>
      </c>
      <c r="N1907" s="3" t="s">
        <v>30574</v>
      </c>
      <c r="O1907" s="3"/>
      <c r="P1907" s="1" t="s">
        <v>20</v>
      </c>
      <c r="R1907" s="1" t="s">
        <v>791</v>
      </c>
      <c r="V1907" s="1" t="s">
        <v>795</v>
      </c>
      <c r="AR1907" s="1" t="str">
        <f t="shared" si="122"/>
        <v>| [ㄅㄤˋ](ㄅㄤˋ.md) | [玤](玤.md) |  | bàng | [名]
1.次於玉的美石。說文解字：「玤，石之次玉者，以為系璧。」段玉裁．注：「系璧，蓋為小璧，系帶閒，縣左右佩物也。」
2.地名。春秋時虢地，在今大陸地區河南省澠池縣境。《左傳．莊公二十一年》：「虢公為王宮于玤。」晉．杜預．注：「玤，虢地。」 |</v>
      </c>
    </row>
    <row r="1908" spans="1:44">
      <c r="A1908" s="1" t="s">
        <v>796</v>
      </c>
      <c r="C1908" s="1">
        <v>1</v>
      </c>
      <c r="D1908" s="1" t="str">
        <f>"00287"</f>
        <v>00287</v>
      </c>
      <c r="E1908" s="1" t="s">
        <v>679</v>
      </c>
      <c r="F1908" s="1">
        <v>10</v>
      </c>
      <c r="G1908" s="1">
        <v>4</v>
      </c>
      <c r="H1908" s="1">
        <v>1</v>
      </c>
      <c r="I1908" s="1" t="s">
        <v>790</v>
      </c>
      <c r="K1908" s="1" t="str">
        <f t="shared" si="120"/>
        <v>ㄅ</v>
      </c>
      <c r="L1908" s="1" t="str">
        <f t="shared" si="121"/>
        <v>ㄤ</v>
      </c>
      <c r="N1908" s="3" t="s">
        <v>30574</v>
      </c>
      <c r="O1908" s="3"/>
      <c r="P1908" s="1" t="s">
        <v>20</v>
      </c>
      <c r="R1908" s="1" t="s">
        <v>791</v>
      </c>
      <c r="V1908" s="1" t="s">
        <v>797</v>
      </c>
      <c r="W1908" s="1" t="s">
        <v>798</v>
      </c>
      <c r="AR1908" s="1" t="str">
        <f t="shared" si="122"/>
        <v>| [ㄅㄤˋ](ㄅㄤˋ.md) | [蚌](蚌.md) |  | bàng | [名]
動物名。軟體動物門斧足綱。體軟有殼，大者長八九寸，能產珠，殼可製器。也稱為「二枚貝」、「蛤蚌」、「蛤蜊」。 |</v>
      </c>
    </row>
    <row r="1909" spans="1:44">
      <c r="A1909" s="1" t="s">
        <v>799</v>
      </c>
      <c r="C1909" s="1">
        <v>1</v>
      </c>
      <c r="D1909" s="1" t="str">
        <f>"00288"</f>
        <v>00288</v>
      </c>
      <c r="E1909" s="1" t="s">
        <v>800</v>
      </c>
      <c r="F1909" s="1">
        <v>10</v>
      </c>
      <c r="G1909" s="1">
        <v>6</v>
      </c>
      <c r="H1909" s="1">
        <v>2</v>
      </c>
      <c r="I1909" s="1" t="s">
        <v>790</v>
      </c>
      <c r="K1909" s="1" t="str">
        <f t="shared" si="120"/>
        <v>ㄅ</v>
      </c>
      <c r="L1909" s="1" t="str">
        <f t="shared" si="121"/>
        <v>ㄤ</v>
      </c>
      <c r="N1909" s="3" t="s">
        <v>30574</v>
      </c>
      <c r="O1909" s="3"/>
      <c r="P1909" s="1" t="s">
        <v>20</v>
      </c>
      <c r="R1909" s="1" t="s">
        <v>791</v>
      </c>
      <c r="V1909" s="1" t="s">
        <v>801</v>
      </c>
      <c r="W1909" s="1" t="s">
        <v>802</v>
      </c>
      <c r="AR1909" s="1" t="str">
        <f t="shared" si="122"/>
        <v>| [ㄅㄤˋ](ㄅㄤˋ.md) | [旁](旁.md) |  | bàng | [動]
依靠、臨近。《漢書．卷六九．趙充國傳》：「匈奴大發十餘萬騎，南旁塞，至符奚廬山，欲入為寇。」唐．顏師古．注：「旁，依也。」 |</v>
      </c>
    </row>
    <row r="1910" spans="1:44">
      <c r="A1910" s="1" t="s">
        <v>771</v>
      </c>
      <c r="C1910" s="1">
        <v>1</v>
      </c>
      <c r="D1910" s="1" t="str">
        <f>"00289"</f>
        <v>00289</v>
      </c>
      <c r="E1910" s="1" t="s">
        <v>114</v>
      </c>
      <c r="F1910" s="1">
        <v>12</v>
      </c>
      <c r="G1910" s="1">
        <v>10</v>
      </c>
      <c r="H1910" s="1">
        <v>1</v>
      </c>
      <c r="I1910" s="1" t="s">
        <v>790</v>
      </c>
      <c r="K1910" s="1" t="str">
        <f t="shared" si="120"/>
        <v>ㄅ</v>
      </c>
      <c r="L1910" s="1" t="str">
        <f t="shared" si="121"/>
        <v>ㄤ</v>
      </c>
      <c r="N1910" s="3" t="s">
        <v>30574</v>
      </c>
      <c r="O1910" s="3"/>
      <c r="P1910" s="1" t="s">
        <v>20</v>
      </c>
      <c r="R1910" s="1" t="s">
        <v>791</v>
      </c>
      <c r="V1910" s="1" t="s">
        <v>803</v>
      </c>
      <c r="W1910" s="1" t="s">
        <v>804</v>
      </c>
      <c r="AR1910" s="1" t="str">
        <f t="shared" si="122"/>
        <v>| [ㄅㄤˋ](ㄅㄤˋ.md) | [傍](傍.md) |  | bàng | [動]
靠近、依附。如：「依山傍水」、「傍柳而眠」。唐．柳宗元〈漁翁〉詩：「漁翁夜傍西巖宿，曉汲清湘燃楚竹。」 |</v>
      </c>
    </row>
    <row r="1911" spans="1:44">
      <c r="A1911" s="1" t="s">
        <v>805</v>
      </c>
      <c r="C1911" s="1">
        <v>1</v>
      </c>
      <c r="D1911" s="1" t="str">
        <f>"00290"</f>
        <v>00290</v>
      </c>
      <c r="E1911" s="1" t="s">
        <v>234</v>
      </c>
      <c r="F1911" s="1">
        <v>13</v>
      </c>
      <c r="G1911" s="1">
        <v>10</v>
      </c>
      <c r="H1911" s="1">
        <v>2</v>
      </c>
      <c r="I1911" s="1" t="s">
        <v>790</v>
      </c>
      <c r="K1911" s="1" t="str">
        <f t="shared" si="120"/>
        <v>ㄅ</v>
      </c>
      <c r="L1911" s="1" t="str">
        <f t="shared" si="121"/>
        <v>ㄤ</v>
      </c>
      <c r="N1911" s="3" t="s">
        <v>30574</v>
      </c>
      <c r="O1911" s="3"/>
      <c r="P1911" s="1" t="s">
        <v>20</v>
      </c>
      <c r="R1911" s="1" t="s">
        <v>791</v>
      </c>
      <c r="V1911" s="1" t="s">
        <v>806</v>
      </c>
      <c r="W1911" s="1" t="s">
        <v>807</v>
      </c>
      <c r="AR1911" s="1" t="str">
        <f t="shared" si="122"/>
        <v>| [ㄅㄤˋ](ㄅㄤˋ.md) | [徬](徬.md) |  | bàng | [動]
在旁隨行。《周禮．地官．牛》：「凡會同軍旅行役，共其兵車之牛，與其牽徬以載公任器。」漢．鄭玄．注：「居其前曰牽，居其旁曰徬。」 |</v>
      </c>
    </row>
    <row r="1912" spans="1:44">
      <c r="A1912" s="1" t="s">
        <v>808</v>
      </c>
      <c r="C1912" s="1">
        <v>1</v>
      </c>
      <c r="D1912" s="1" t="str">
        <f>"00290A"</f>
        <v>00290A</v>
      </c>
      <c r="E1912" s="1" t="s">
        <v>37</v>
      </c>
      <c r="F1912" s="1">
        <v>14</v>
      </c>
      <c r="G1912" s="1">
        <v>10</v>
      </c>
      <c r="H1912" s="1">
        <v>0</v>
      </c>
      <c r="I1912" s="1" t="s">
        <v>790</v>
      </c>
      <c r="K1912" s="1" t="str">
        <f t="shared" si="120"/>
        <v>ㄅ</v>
      </c>
      <c r="L1912" s="1" t="str">
        <f t="shared" si="121"/>
        <v>ㄤ</v>
      </c>
      <c r="N1912" s="3" t="s">
        <v>30574</v>
      </c>
      <c r="O1912" s="3"/>
      <c r="P1912" s="1" t="s">
        <v>20</v>
      </c>
      <c r="R1912" s="1" t="s">
        <v>791</v>
      </c>
      <c r="V1912" s="1" t="s">
        <v>809</v>
      </c>
      <c r="AR1912" s="1" t="str">
        <f t="shared" si="122"/>
        <v>| [ㄅㄤˋ](ㄅㄤˋ.md) | [蒡](蒡.md) |  | bàng | [名]
1.桔梗科「薺苨」之古稱。多年生草本，花冠青紫色，蒴果圓形。《爾雅．釋草》：「蒡，隱荵。」晉．郭璞．注：「似蘇有毛，今江東呼為隱荵，藏以為葅，亦可瀹食。」
2.菊科「牛蒡」，即「蒡翁菜」之別稱。參見「牛蒡」條。 |</v>
      </c>
    </row>
    <row r="1913" spans="1:44">
      <c r="A1913" s="1" t="s">
        <v>785</v>
      </c>
      <c r="C1913" s="1">
        <v>1</v>
      </c>
      <c r="D1913" s="1" t="str">
        <f>"00291"</f>
        <v>00291</v>
      </c>
      <c r="E1913" s="1" t="s">
        <v>68</v>
      </c>
      <c r="F1913" s="1">
        <v>14</v>
      </c>
      <c r="G1913" s="1">
        <v>10</v>
      </c>
      <c r="H1913" s="1">
        <v>3</v>
      </c>
      <c r="I1913" s="1" t="s">
        <v>790</v>
      </c>
      <c r="K1913" s="1" t="str">
        <f t="shared" si="120"/>
        <v>ㄅ</v>
      </c>
      <c r="L1913" s="1" t="str">
        <f t="shared" si="121"/>
        <v>ㄤ</v>
      </c>
      <c r="N1913" s="3" t="s">
        <v>30574</v>
      </c>
      <c r="O1913" s="3"/>
      <c r="P1913" s="1" t="s">
        <v>20</v>
      </c>
      <c r="R1913" s="1" t="s">
        <v>791</v>
      </c>
      <c r="V1913" s="1" t="s">
        <v>810</v>
      </c>
      <c r="W1913" s="1" t="s">
        <v>811</v>
      </c>
      <c r="AR1913" s="1" t="str">
        <f t="shared" si="122"/>
        <v>| [ㄅㄤˋ](ㄅㄤˋ.md) | [膀](膀.md) |  | bàng | 參見「弔膀子」條。 |</v>
      </c>
    </row>
    <row r="1914" spans="1:44">
      <c r="A1914" s="1" t="s">
        <v>812</v>
      </c>
      <c r="C1914" s="1">
        <v>1</v>
      </c>
      <c r="D1914" s="1" t="str">
        <f>"00292"</f>
        <v>00292</v>
      </c>
      <c r="E1914" s="1" t="s">
        <v>169</v>
      </c>
      <c r="F1914" s="1">
        <v>15</v>
      </c>
      <c r="G1914" s="1">
        <v>10</v>
      </c>
      <c r="H1914" s="1">
        <v>1</v>
      </c>
      <c r="I1914" s="1" t="s">
        <v>790</v>
      </c>
      <c r="K1914" s="1" t="str">
        <f t="shared" si="120"/>
        <v>ㄅ</v>
      </c>
      <c r="L1914" s="1" t="str">
        <f t="shared" si="121"/>
        <v>ㄤ</v>
      </c>
      <c r="N1914" s="3" t="s">
        <v>30574</v>
      </c>
      <c r="O1914" s="3"/>
      <c r="P1914" s="1" t="s">
        <v>20</v>
      </c>
      <c r="R1914" s="1" t="s">
        <v>791</v>
      </c>
      <c r="V1914" s="1" t="s">
        <v>813</v>
      </c>
      <c r="W1914" s="1" t="s">
        <v>814</v>
      </c>
      <c r="AR1914" s="1" t="str">
        <f t="shared" si="122"/>
        <v>| [ㄅㄤˋ](ㄅㄤˋ.md) | [磅](磅.md) |  | bàng | [名]
1.量詞。英制計量的單位。一磅等於零點四五三六公斤。也稱為「英磅」。
2.秤。如：「磅秤」、「地磅」、「過磅」。
[動]
用磅秤稱重量。如：「磅體重」、「磅一磅」。 |</v>
      </c>
    </row>
    <row r="1915" spans="1:44">
      <c r="A1915" s="1" t="s">
        <v>815</v>
      </c>
      <c r="C1915" s="1">
        <v>1</v>
      </c>
      <c r="D1915" s="1" t="str">
        <f>"00293"</f>
        <v>00293</v>
      </c>
      <c r="E1915" s="1" t="s">
        <v>331</v>
      </c>
      <c r="F1915" s="1">
        <v>17</v>
      </c>
      <c r="G1915" s="1">
        <v>10</v>
      </c>
      <c r="H1915" s="1">
        <v>0</v>
      </c>
      <c r="I1915" s="1" t="s">
        <v>790</v>
      </c>
      <c r="K1915" s="1" t="str">
        <f t="shared" si="120"/>
        <v>ㄅ</v>
      </c>
      <c r="L1915" s="1" t="str">
        <f t="shared" si="121"/>
        <v>ㄤ</v>
      </c>
      <c r="N1915" s="3" t="s">
        <v>30574</v>
      </c>
      <c r="O1915" s="3"/>
      <c r="P1915" s="1" t="s">
        <v>20</v>
      </c>
      <c r="R1915" s="1" t="s">
        <v>791</v>
      </c>
      <c r="V1915" s="1" t="s">
        <v>816</v>
      </c>
      <c r="AR1915" s="1" t="str">
        <f t="shared" si="122"/>
        <v>| [ㄅㄤˋ](ㄅㄤˋ.md) | [謗](謗.md) |  | bàng | [動]
1.以不實的言詞中傷別人，破壞其名譽。《說文解字．言部》：「謗，毀也。」清．段玉裁．注：「謗之言旁也，旁，溥也。大言之過其實。」如：「毀謗」、「譏謗」。《國語．周語上》：「厲王虐，國人謗王。」三國吳．韋昭．注：「謗，誹也。」《史記．卷六五．孫子吳起傳》：「吳起殺其謗己者三十餘人，而東出衛郭門。」
2.詛咒。《左傳．昭公二十七年》：「楚郤宛之難，國言未已，進胙者莫不謗令尹。」晉．杜預．注：「謗，詛也。」 |</v>
      </c>
    </row>
    <row r="1916" spans="1:44">
      <c r="A1916" s="1" t="s">
        <v>817</v>
      </c>
      <c r="C1916" s="1">
        <v>1</v>
      </c>
      <c r="D1916" s="1" t="str">
        <f>"00294"</f>
        <v>00294</v>
      </c>
      <c r="E1916" s="1" t="s">
        <v>55</v>
      </c>
      <c r="F1916" s="1">
        <v>18</v>
      </c>
      <c r="G1916" s="1">
        <v>10</v>
      </c>
      <c r="H1916" s="1">
        <v>0</v>
      </c>
      <c r="I1916" s="1" t="s">
        <v>790</v>
      </c>
      <c r="K1916" s="1" t="str">
        <f t="shared" si="120"/>
        <v>ㄅ</v>
      </c>
      <c r="L1916" s="1" t="str">
        <f t="shared" si="121"/>
        <v>ㄤ</v>
      </c>
      <c r="N1916" s="3" t="s">
        <v>30574</v>
      </c>
      <c r="O1916" s="3"/>
      <c r="P1916" s="1" t="s">
        <v>20</v>
      </c>
      <c r="R1916" s="1" t="s">
        <v>791</v>
      </c>
      <c r="V1916" s="1" t="s">
        <v>818</v>
      </c>
      <c r="AR1916" s="1" t="str">
        <f t="shared" si="122"/>
        <v>| [ㄅㄤˋ](ㄅㄤˋ.md) | [鎊](鎊.md) |  | bàng | [名]
英國的貨幣名稱。為英語pound的音譯。自西元一九七一年起，改為十進位制，一鎊合為一百新便士，舊幣一先令合二十五便士，常用拉丁文名稱的首字￡表示英鎊。 |</v>
      </c>
    </row>
    <row r="1917" spans="1:44">
      <c r="A1917" s="1" t="s">
        <v>819</v>
      </c>
      <c r="C1917" s="1">
        <v>1</v>
      </c>
      <c r="D1917" s="1" t="str">
        <f>"00295"</f>
        <v>00295</v>
      </c>
      <c r="E1917" s="1" t="s">
        <v>139</v>
      </c>
      <c r="F1917" s="1">
        <v>12</v>
      </c>
      <c r="G1917" s="1">
        <v>8</v>
      </c>
      <c r="H1917" s="1">
        <v>2</v>
      </c>
      <c r="I1917" s="1" t="s">
        <v>790</v>
      </c>
      <c r="K1917" s="1" t="str">
        <f t="shared" si="120"/>
        <v>ㄅ</v>
      </c>
      <c r="L1917" s="1" t="str">
        <f t="shared" si="121"/>
        <v>ㄤ</v>
      </c>
      <c r="N1917" s="3" t="s">
        <v>30574</v>
      </c>
      <c r="O1917" s="3"/>
      <c r="P1917" s="1" t="s">
        <v>20</v>
      </c>
      <c r="R1917" s="1" t="s">
        <v>791</v>
      </c>
      <c r="V1917" s="1" t="s">
        <v>820</v>
      </c>
      <c r="W1917" s="1" t="s">
        <v>821</v>
      </c>
      <c r="AR1917" s="1" t="str">
        <f t="shared" si="122"/>
        <v>| [ㄅㄤˋ](ㄅㄤˋ.md) | [棓](棓.md) |  | bàng | [名]
1.棍、杖。通「棒」。《淮南子．詮言》：「王子慶忌死於劍，羿死於桃棓。」《聊齋志異．卷四．羅剎海市》：「武士數十騎，皆雕弧，荷白棓，晃耀填擁。」
2.一種農具。即連枷。農家用來打穀去殼的器具。漢．揚雄《方言》卷五：「僉，…自關而西謂之棓，或謂之柫。」晉．郭璞．注：「僉，今連枷，所以打穀者。」 |</v>
      </c>
    </row>
    <row r="1918" spans="1:44">
      <c r="A1918" s="1" t="s">
        <v>822</v>
      </c>
      <c r="C1918" s="1">
        <v>1</v>
      </c>
      <c r="D1918" s="1" t="str">
        <f>"00296"</f>
        <v>00296</v>
      </c>
      <c r="E1918" s="1" t="s">
        <v>139</v>
      </c>
      <c r="F1918" s="1">
        <v>12</v>
      </c>
      <c r="G1918" s="1">
        <v>8</v>
      </c>
      <c r="H1918" s="1">
        <v>0</v>
      </c>
      <c r="I1918" s="1" t="s">
        <v>790</v>
      </c>
      <c r="K1918" s="1" t="str">
        <f t="shared" si="120"/>
        <v>ㄅ</v>
      </c>
      <c r="L1918" s="1" t="str">
        <f t="shared" si="121"/>
        <v>ㄤ</v>
      </c>
      <c r="N1918" s="3" t="s">
        <v>30574</v>
      </c>
      <c r="O1918" s="3"/>
      <c r="P1918" s="1" t="s">
        <v>20</v>
      </c>
      <c r="R1918" s="1" t="s">
        <v>791</v>
      </c>
      <c r="V1918" s="1" t="s">
        <v>823</v>
      </c>
      <c r="AR1918" s="1" t="str">
        <f t="shared" si="122"/>
        <v>| [ㄅㄤˋ](ㄅㄤˋ.md) | [棒](棒.md) |  | bàng | [名]
1.粗木棍。如：「木棒」、「球棒」。《魏書．卷七四．尒朱榮傳》：「人馬逼戰，刀不如棒。」
2.棒球比賽中依序上場的打擊者，或接力賽跑輪番上陣的選手。如：「強棒」、「第一棒」、「第二棒」、「第四棒投手指定打擊」。
3.引申為工作的傳承或責任的替換。如：「交棒」、「接棒人」。
4.西藏早期宗教的俗稱。為Bon的音譯。略似於中國的巫、道，所奉者為丹巴嘉饒（智者大師），分左右兩派，棒屬右派，近於喇嘛紅教，以鎮壓妖魔、幻術為主。衣冠皆黑衣，故有黑教之稱。當地人稱為「棒」。也稱為「崩薄」、「頗母」。
[動]
用棍子打。《北齊書．卷一二．孝成十二王傳．瑯琊王儼傳》：「其或遲違，則赤棒棒之。」
[形]
形容技術高、能力強。如：「他的書法寫得真棒！」 |</v>
      </c>
    </row>
    <row r="1919" spans="1:44">
      <c r="A1919" s="1" t="s">
        <v>776</v>
      </c>
      <c r="C1919" s="1">
        <v>1</v>
      </c>
      <c r="D1919" s="1" t="str">
        <f>"00280"</f>
        <v>00280</v>
      </c>
      <c r="E1919" s="1" t="s">
        <v>725</v>
      </c>
      <c r="F1919" s="1">
        <v>13</v>
      </c>
      <c r="G1919" s="1">
        <v>7</v>
      </c>
      <c r="H1919" s="1">
        <v>0</v>
      </c>
      <c r="I1919" s="1" t="s">
        <v>777</v>
      </c>
      <c r="K1919" s="1" t="str">
        <f t="shared" ref="K1919:K1982" si="123">LEFT(I1919, 1)</f>
        <v>ㄅ</v>
      </c>
      <c r="L1919" s="1" t="str">
        <f t="shared" ref="L1919:L1982" si="124">MID(I1919, 2, 1)</f>
        <v>ㄤ</v>
      </c>
      <c r="N1919" s="3" t="s">
        <v>30576</v>
      </c>
      <c r="O1919" s="3"/>
      <c r="P1919" s="1" t="s">
        <v>20</v>
      </c>
      <c r="R1919" s="1" t="s">
        <v>778</v>
      </c>
      <c r="V1919" s="1" t="s">
        <v>779</v>
      </c>
      <c r="AR1919" s="1" t="str">
        <f t="shared" si="122"/>
        <v>| [ㄅㄤˇ](ㄅㄤˇ.md) | [綁](綁.md) |  | bǎng | [動]
用繩索纏繞或綑紮。如：「綑綁」、「繫綁」、「反綁」。《三國演義》第六三回：「眾軍向前，用索綁縛住。」 |</v>
      </c>
    </row>
    <row r="1920" spans="1:44">
      <c r="A1920" s="1" t="s">
        <v>780</v>
      </c>
      <c r="C1920" s="1">
        <v>1</v>
      </c>
      <c r="D1920" s="1" t="str">
        <f>"00281"</f>
        <v>00281</v>
      </c>
      <c r="E1920" s="1" t="s">
        <v>139</v>
      </c>
      <c r="F1920" s="1">
        <v>14</v>
      </c>
      <c r="G1920" s="1">
        <v>10</v>
      </c>
      <c r="H1920" s="1">
        <v>1</v>
      </c>
      <c r="I1920" s="1" t="s">
        <v>777</v>
      </c>
      <c r="K1920" s="1" t="str">
        <f t="shared" si="123"/>
        <v>ㄅ</v>
      </c>
      <c r="L1920" s="1" t="str">
        <f t="shared" si="124"/>
        <v>ㄤ</v>
      </c>
      <c r="N1920" s="3" t="s">
        <v>30576</v>
      </c>
      <c r="O1920" s="3"/>
      <c r="P1920" s="1" t="s">
        <v>20</v>
      </c>
      <c r="R1920" s="1" t="s">
        <v>778</v>
      </c>
      <c r="V1920" s="1" t="s">
        <v>781</v>
      </c>
      <c r="W1920" s="1" t="s">
        <v>782</v>
      </c>
      <c r="AR1920" s="1" t="str">
        <f t="shared" si="122"/>
        <v>| [ㄅㄤˇ](ㄅㄤˇ.md) | [榜](榜.md) |  | bǎng | [名]
1.張貼在公共場所的通告。如：「榜文」、「榜帖」。《三國演義》第一回：「恰纔見公攪榜而嘆，故此相問。」
2.揭示錄取名單的公告。如：「榜單」、「排行榜」。《儒林外史》第二回：「弟今年正月初一日夢見看會試榜，弟中在上面是不消說了。」
[動]
告示、揭示。《聊齋志異．卷一一．王者》：「至廟前，見一瞽者，形貌奇異，自榜云：『能知心事』。因求卜筮。」 |</v>
      </c>
    </row>
    <row r="1921" spans="1:44">
      <c r="A1921" s="1" t="s">
        <v>783</v>
      </c>
      <c r="C1921" s="1">
        <v>1</v>
      </c>
      <c r="D1921" s="1" t="str">
        <f>"00283"</f>
        <v>00283</v>
      </c>
      <c r="E1921" s="1" t="s">
        <v>698</v>
      </c>
      <c r="F1921" s="1">
        <v>14</v>
      </c>
      <c r="G1921" s="1">
        <v>10</v>
      </c>
      <c r="H1921" s="1">
        <v>0</v>
      </c>
      <c r="I1921" s="1" t="s">
        <v>777</v>
      </c>
      <c r="K1921" s="1" t="str">
        <f t="shared" si="123"/>
        <v>ㄅ</v>
      </c>
      <c r="L1921" s="1" t="str">
        <f t="shared" si="124"/>
        <v>ㄤ</v>
      </c>
      <c r="N1921" s="3" t="s">
        <v>30576</v>
      </c>
      <c r="O1921" s="3"/>
      <c r="P1921" s="1" t="s">
        <v>20</v>
      </c>
      <c r="R1921" s="1" t="s">
        <v>778</v>
      </c>
      <c r="V1921" s="1" t="s">
        <v>784</v>
      </c>
      <c r="AR1921" s="1" t="str">
        <f t="shared" si="122"/>
        <v>| [ㄅㄤˇ](ㄅㄤˇ.md) | [牓](牓.md) |  | bǎng | [名]
1.揭示牌。通「榜」。《宋書．卷五．文帝本紀》：「府州佐史並稱臣，請題牓諸門，一依宮省，上不許。」唐．杜甫〈宣政殿退朝晚出左掖〉詩：「天門日射黃金牓，春殿晴曛赤羽旗。」
2.張貼在公共場所的告示。《北齊書．卷四九．方伎傳．馬嗣明傳》：「從駕往晉陽，至遼陽山中，數處見牓，云有人家女病，若有能治差者，購錢十萬。」
3.參見「牓子」條。 |</v>
      </c>
    </row>
    <row r="1922" spans="1:44">
      <c r="A1922" s="1" t="s">
        <v>785</v>
      </c>
      <c r="C1922" s="1">
        <v>1</v>
      </c>
      <c r="D1922" s="1" t="str">
        <f>"00284"</f>
        <v>00284</v>
      </c>
      <c r="E1922" s="1" t="s">
        <v>68</v>
      </c>
      <c r="F1922" s="1">
        <v>14</v>
      </c>
      <c r="G1922" s="1">
        <v>10</v>
      </c>
      <c r="H1922" s="1">
        <v>1</v>
      </c>
      <c r="I1922" s="1" t="s">
        <v>777</v>
      </c>
      <c r="K1922" s="1" t="str">
        <f t="shared" si="123"/>
        <v>ㄅ</v>
      </c>
      <c r="L1922" s="1" t="str">
        <f t="shared" si="124"/>
        <v>ㄤ</v>
      </c>
      <c r="N1922" s="3" t="s">
        <v>30576</v>
      </c>
      <c r="O1922" s="3"/>
      <c r="P1922" s="1" t="s">
        <v>20</v>
      </c>
      <c r="R1922" s="1" t="s">
        <v>778</v>
      </c>
      <c r="V1922" s="1" t="s">
        <v>786</v>
      </c>
      <c r="W1922" s="1" t="s">
        <v>787</v>
      </c>
      <c r="AR1922" s="1" t="str">
        <f t="shared" si="122"/>
        <v>| [ㄅㄤˇ](ㄅㄤˇ.md) | [膀](膀.md) |  | bǎng | [名]
1.肩部和肩以下、肘以上的部位。如：「肩膀」、「膀子」。
2.鳥禽類的兩翼。如：「翅膀」。 |</v>
      </c>
    </row>
    <row r="1923" spans="1:44">
      <c r="A1923" s="1" t="s">
        <v>851</v>
      </c>
      <c r="C1923" s="1">
        <v>1</v>
      </c>
      <c r="D1923" s="1" t="str">
        <f>"00306"</f>
        <v>00306</v>
      </c>
      <c r="E1923" s="1" t="s">
        <v>129</v>
      </c>
      <c r="F1923" s="1">
        <v>9</v>
      </c>
      <c r="G1923" s="1">
        <v>5</v>
      </c>
      <c r="H1923" s="1">
        <v>0</v>
      </c>
      <c r="I1923" s="1" t="s">
        <v>852</v>
      </c>
      <c r="K1923" s="1" t="str">
        <f t="shared" si="123"/>
        <v>ㄅ</v>
      </c>
      <c r="L1923" s="1" t="str">
        <f t="shared" si="124"/>
        <v>ㄥ</v>
      </c>
      <c r="N1923" s="3" t="s">
        <v>30574</v>
      </c>
      <c r="O1923" s="3"/>
      <c r="P1923" s="1" t="s">
        <v>20</v>
      </c>
      <c r="R1923" s="1" t="s">
        <v>853</v>
      </c>
      <c r="V1923" s="1" t="s">
        <v>854</v>
      </c>
      <c r="AR1923" s="1" t="str">
        <f t="shared" ref="AR1923:AR1986" si="125">"| ["&amp;I1923&amp;"]("&amp;I1923&amp;".md) | ["&amp;A1923&amp;"]("&amp;A1923&amp;".md) | "&amp;" | "&amp;R1923&amp;" | "&amp;V1923&amp;" |"</f>
        <v>| [ㄅㄥˋ](ㄅㄥˋ.md) | [泵](泵.md) |  | bèng | 一種用以增加液體的壓力，用來移動液體的裝置，即是對流體作功的機械。也稱為「幫浦」。 |</v>
      </c>
    </row>
    <row r="1924" spans="1:44">
      <c r="A1924" s="1" t="s">
        <v>855</v>
      </c>
      <c r="C1924" s="1">
        <v>1</v>
      </c>
      <c r="D1924" s="1" t="str">
        <f>"00307"</f>
        <v>00307</v>
      </c>
      <c r="E1924" s="1" t="s">
        <v>558</v>
      </c>
      <c r="F1924" s="1">
        <v>10</v>
      </c>
      <c r="G1924" s="1">
        <v>6</v>
      </c>
      <c r="H1924" s="1">
        <v>1</v>
      </c>
      <c r="I1924" s="1" t="s">
        <v>852</v>
      </c>
      <c r="K1924" s="1" t="str">
        <f t="shared" si="123"/>
        <v>ㄅ</v>
      </c>
      <c r="L1924" s="1" t="str">
        <f t="shared" si="124"/>
        <v>ㄥ</v>
      </c>
      <c r="N1924" s="3" t="s">
        <v>30574</v>
      </c>
      <c r="O1924" s="3"/>
      <c r="P1924" s="1" t="s">
        <v>20</v>
      </c>
      <c r="R1924" s="1" t="s">
        <v>853</v>
      </c>
      <c r="V1924" s="1" t="s">
        <v>856</v>
      </c>
      <c r="W1924" s="1" t="s">
        <v>857</v>
      </c>
      <c r="AR1924" s="1" t="str">
        <f t="shared" si="125"/>
        <v>| [ㄅㄥˋ](ㄅㄥˋ.md) | [迸](迸.md) |  | bèng | [動]
1.散走。《後漢書．卷三二．樊宏傳》：「時飢荒之餘，人庶流迸，家戶且盡。」
2.向外四散。唐．白居易〈琵琶行〉：「銀瓶乍破水漿迸，鐵騎突出刀槍鳴。」《紅樓夢》第四七回：「滿眼金星亂迸，身不由己，便倒下了。」
3.裂開。如：「水桶迸了一道縫兒。」《儒林外史》第五一回：「只聽格喳的一聲，那來棍迸為六段。」
4.湧出。《文選．潘岳．寡婦賦》：「口嗚咽以失聲兮，淚橫迸而霑衣。」 |</v>
      </c>
    </row>
    <row r="1925" spans="1:44">
      <c r="A1925" s="1" t="s">
        <v>796</v>
      </c>
      <c r="C1925" s="1">
        <v>1</v>
      </c>
      <c r="D1925" s="1" t="str">
        <f>"00308"</f>
        <v>00308</v>
      </c>
      <c r="E1925" s="1" t="s">
        <v>679</v>
      </c>
      <c r="F1925" s="1">
        <v>10</v>
      </c>
      <c r="G1925" s="1">
        <v>4</v>
      </c>
      <c r="H1925" s="1">
        <v>2</v>
      </c>
      <c r="I1925" s="1" t="s">
        <v>852</v>
      </c>
      <c r="K1925" s="1" t="str">
        <f t="shared" si="123"/>
        <v>ㄅ</v>
      </c>
      <c r="L1925" s="1" t="str">
        <f t="shared" si="124"/>
        <v>ㄥ</v>
      </c>
      <c r="N1925" s="3" t="s">
        <v>30574</v>
      </c>
      <c r="O1925" s="3"/>
      <c r="P1925" s="1" t="s">
        <v>110</v>
      </c>
      <c r="R1925" s="1" t="s">
        <v>853</v>
      </c>
      <c r="V1925" s="1" t="s">
        <v>111</v>
      </c>
      <c r="W1925" s="1" t="s">
        <v>858</v>
      </c>
      <c r="AR1925" s="1" t="str">
        <f t="shared" si="125"/>
        <v>| [ㄅㄥˋ](ㄅㄥˋ.md) | [蚌](蚌.md) |  | bèng | (一)之又音。 |</v>
      </c>
    </row>
    <row r="1926" spans="1:44">
      <c r="A1926" s="1" t="s">
        <v>859</v>
      </c>
      <c r="C1926" s="1">
        <v>1</v>
      </c>
      <c r="D1926" s="1" t="str">
        <f>"00309"</f>
        <v>00309</v>
      </c>
      <c r="E1926" s="1" t="s">
        <v>132</v>
      </c>
      <c r="F1926" s="1">
        <v>11</v>
      </c>
      <c r="G1926" s="1">
        <v>8</v>
      </c>
      <c r="H1926" s="1">
        <v>1</v>
      </c>
      <c r="I1926" s="1" t="s">
        <v>852</v>
      </c>
      <c r="K1926" s="1" t="str">
        <f t="shared" si="123"/>
        <v>ㄅ</v>
      </c>
      <c r="L1926" s="1" t="str">
        <f t="shared" si="124"/>
        <v>ㄥ</v>
      </c>
      <c r="N1926" s="3" t="s">
        <v>30574</v>
      </c>
      <c r="O1926" s="3"/>
      <c r="P1926" s="1" t="s">
        <v>20</v>
      </c>
      <c r="R1926" s="1" t="s">
        <v>853</v>
      </c>
      <c r="V1926" s="1" t="s">
        <v>860</v>
      </c>
      <c r="W1926" s="1" t="s">
        <v>861</v>
      </c>
      <c r="AR1926" s="1" t="str">
        <f t="shared" si="125"/>
        <v>| [ㄅㄥˋ](ㄅㄥˋ.md) | [堋](堋.md) |  | bèng | [動]
喪葬時，下棺於土。《說文解字．土部》：「堋，喪葬下土也。」《左傳．昭公十二年》：「司墓之室有當道者，毀之則朝而堋，弗毀則日中而堋。」 |</v>
      </c>
    </row>
    <row r="1927" spans="1:44">
      <c r="A1927" s="1" t="s">
        <v>833</v>
      </c>
      <c r="C1927" s="1">
        <v>1</v>
      </c>
      <c r="D1927" s="1" t="str">
        <f>"00310"</f>
        <v>00310</v>
      </c>
      <c r="E1927" s="1" t="s">
        <v>725</v>
      </c>
      <c r="F1927" s="1">
        <v>17</v>
      </c>
      <c r="G1927" s="1">
        <v>11</v>
      </c>
      <c r="H1927" s="1">
        <v>3</v>
      </c>
      <c r="I1927" s="1" t="s">
        <v>852</v>
      </c>
      <c r="K1927" s="1" t="str">
        <f t="shared" si="123"/>
        <v>ㄅ</v>
      </c>
      <c r="L1927" s="1" t="str">
        <f t="shared" si="124"/>
        <v>ㄥ</v>
      </c>
      <c r="N1927" s="3" t="s">
        <v>30574</v>
      </c>
      <c r="O1927" s="3"/>
      <c r="P1927" s="1" t="s">
        <v>20</v>
      </c>
      <c r="R1927" s="1" t="s">
        <v>853</v>
      </c>
      <c r="V1927" s="1" t="s">
        <v>862</v>
      </c>
      <c r="W1927" s="1" t="s">
        <v>863</v>
      </c>
      <c r="AR1927" s="1" t="str">
        <f t="shared" si="125"/>
        <v>| [ㄅㄥˋ](ㄅㄥˋ.md) | [繃](繃.md) |  | bèng | [動]
裂開、爆裂。如：「拉鍊繃了！」、「繃了道細縫」、「別吹了，再吹就要繃啦！」 |</v>
      </c>
    </row>
    <row r="1928" spans="1:44">
      <c r="A1928" s="1" t="s">
        <v>864</v>
      </c>
      <c r="C1928" s="1">
        <v>1</v>
      </c>
      <c r="D1928" s="1" t="str">
        <f>"00311"</f>
        <v>00311</v>
      </c>
      <c r="E1928" s="1" t="s">
        <v>77</v>
      </c>
      <c r="F1928" s="1">
        <v>18</v>
      </c>
      <c r="G1928" s="1">
        <v>11</v>
      </c>
      <c r="H1928" s="1">
        <v>0</v>
      </c>
      <c r="I1928" s="1" t="s">
        <v>852</v>
      </c>
      <c r="K1928" s="1" t="str">
        <f t="shared" si="123"/>
        <v>ㄅ</v>
      </c>
      <c r="L1928" s="1" t="str">
        <f t="shared" si="124"/>
        <v>ㄥ</v>
      </c>
      <c r="N1928" s="3" t="s">
        <v>30574</v>
      </c>
      <c r="O1928" s="3"/>
      <c r="P1928" s="1" t="s">
        <v>20</v>
      </c>
      <c r="R1928" s="1" t="s">
        <v>853</v>
      </c>
      <c r="V1928" s="1" t="s">
        <v>865</v>
      </c>
      <c r="AR1928" s="1" t="str">
        <f t="shared" si="125"/>
        <v>| [ㄅㄥˋ](ㄅㄥˋ.md) | [蹦](蹦.md) |  | bèng | [動]
跳躍。如：「胡蹦亂跳」、「連蹦帶跳」、「這一蹦，蹦了四五尺高。」 |</v>
      </c>
    </row>
    <row r="1929" spans="1:44">
      <c r="A1929" s="1" t="s">
        <v>780</v>
      </c>
      <c r="C1929" s="1">
        <v>1</v>
      </c>
      <c r="D1929" s="1" t="str">
        <f>"00312"</f>
        <v>00312</v>
      </c>
      <c r="E1929" s="1" t="s">
        <v>139</v>
      </c>
      <c r="F1929" s="1">
        <v>14</v>
      </c>
      <c r="G1929" s="1">
        <v>10</v>
      </c>
      <c r="H1929" s="1">
        <v>2</v>
      </c>
      <c r="I1929" s="1" t="s">
        <v>852</v>
      </c>
      <c r="K1929" s="1" t="str">
        <f t="shared" si="123"/>
        <v>ㄅ</v>
      </c>
      <c r="L1929" s="1" t="str">
        <f t="shared" si="124"/>
        <v>ㄥ</v>
      </c>
      <c r="N1929" s="3" t="s">
        <v>30574</v>
      </c>
      <c r="O1929" s="3"/>
      <c r="P1929" s="1" t="s">
        <v>20</v>
      </c>
      <c r="R1929" s="1" t="s">
        <v>853</v>
      </c>
      <c r="V1929" s="1" t="s">
        <v>866</v>
      </c>
      <c r="W1929" s="1" t="s">
        <v>867</v>
      </c>
      <c r="AR1929" s="1" t="str">
        <f t="shared" si="125"/>
        <v>| [ㄅㄥˋ](ㄅㄥˋ.md) | [榜](榜.md) |  | bèng | [名]
1.船槳。《楚辭．屈原．九章．涉江》：「乘舲船余上沅兮，齊吳榜以擊汰。」漢．王逸．注：「吳榜，船櫂也。」
2.船。如：「放榜」。唐．李賀〈馬〉詩二三首之一〇：「催榜渡烏江，神騅泣向風。」
[動]
1.鞭打、擊打。《史記．卷八九．張耳陳餘傳》：「吏治榜笞數千。」《新唐書．卷一六七．王播傳》：「窮治其姦，皆榜死。」
2.使船前進。如：「榜舟」。唐．張籍〈書懷寄元郎中〉詩：「吟君釣客詞中說，便欲南歸榜小船。」 |</v>
      </c>
    </row>
    <row r="1930" spans="1:44">
      <c r="A1930" s="1" t="s">
        <v>812</v>
      </c>
      <c r="C1930" s="1">
        <v>1</v>
      </c>
      <c r="D1930" s="1" t="str">
        <f>"00313"</f>
        <v>00313</v>
      </c>
      <c r="E1930" s="1" t="s">
        <v>169</v>
      </c>
      <c r="F1930" s="1">
        <v>15</v>
      </c>
      <c r="G1930" s="1">
        <v>10</v>
      </c>
      <c r="H1930" s="1">
        <v>2</v>
      </c>
      <c r="I1930" s="1" t="s">
        <v>852</v>
      </c>
      <c r="K1930" s="1" t="str">
        <f t="shared" si="123"/>
        <v>ㄅ</v>
      </c>
      <c r="L1930" s="1" t="str">
        <f t="shared" si="124"/>
        <v>ㄥ</v>
      </c>
      <c r="N1930" s="3" t="s">
        <v>30574</v>
      </c>
      <c r="O1930" s="3"/>
      <c r="P1930" s="1" t="s">
        <v>20</v>
      </c>
      <c r="R1930" s="1" t="s">
        <v>853</v>
      </c>
      <c r="V1930" s="1" t="s">
        <v>868</v>
      </c>
      <c r="W1930" s="1" t="s">
        <v>869</v>
      </c>
      <c r="AR1930" s="1" t="str">
        <f t="shared" si="125"/>
        <v>| [ㄅㄥˋ](ㄅㄥˋ.md) | [磅](磅.md) |  | bèng | 「過磅」的「磅」的又音。 |</v>
      </c>
    </row>
    <row r="1931" spans="1:44">
      <c r="A1931" s="1" t="s">
        <v>838</v>
      </c>
      <c r="C1931" s="1">
        <v>1</v>
      </c>
      <c r="D1931" s="1" t="str">
        <f>"00302"</f>
        <v>00302</v>
      </c>
      <c r="E1931" s="1" t="s">
        <v>839</v>
      </c>
      <c r="F1931" s="1">
        <v>9</v>
      </c>
      <c r="G1931" s="1">
        <v>4</v>
      </c>
      <c r="H1931" s="1">
        <v>0</v>
      </c>
      <c r="I1931" s="1" t="s">
        <v>840</v>
      </c>
      <c r="K1931" s="1" t="str">
        <f t="shared" si="123"/>
        <v>ㄅ</v>
      </c>
      <c r="L1931" s="1" t="str">
        <f t="shared" si="124"/>
        <v>ㄥ</v>
      </c>
      <c r="N1931" s="3" t="s">
        <v>30575</v>
      </c>
      <c r="O1931" s="3"/>
      <c r="P1931" s="1" t="s">
        <v>20</v>
      </c>
      <c r="R1931" s="1" t="s">
        <v>841</v>
      </c>
      <c r="V1931" s="1" t="s">
        <v>842</v>
      </c>
      <c r="AR1931" s="1" t="str">
        <f t="shared" si="125"/>
        <v>| [ㄅㄥˊ](ㄅㄥˊ.md) | [甭](甭.md) |  | béng | [副]
本為北方方言「不用」二字的合文，後作為單字。表示不用、不必的意思。如：「您甭客氣！」、「甭說了！」 |</v>
      </c>
    </row>
    <row r="1932" spans="1:44">
      <c r="A1932" s="1" t="s">
        <v>843</v>
      </c>
      <c r="C1932" s="1">
        <v>1</v>
      </c>
      <c r="D1932" s="1" t="str">
        <f>"00303"</f>
        <v>00303</v>
      </c>
      <c r="E1932" s="1" t="s">
        <v>142</v>
      </c>
      <c r="F1932" s="1">
        <v>12</v>
      </c>
      <c r="G1932" s="1">
        <v>8</v>
      </c>
      <c r="H1932" s="1">
        <v>0</v>
      </c>
      <c r="I1932" s="1" t="s">
        <v>844</v>
      </c>
      <c r="K1932" s="1" t="str">
        <f t="shared" si="123"/>
        <v>ㄅ</v>
      </c>
      <c r="L1932" s="1" t="str">
        <f t="shared" si="124"/>
        <v>ㄥ</v>
      </c>
      <c r="N1932" s="3" t="s">
        <v>30576</v>
      </c>
      <c r="O1932" s="3"/>
      <c r="P1932" s="1" t="s">
        <v>20</v>
      </c>
      <c r="R1932" s="1" t="s">
        <v>845</v>
      </c>
      <c r="V1932" s="1" t="s">
        <v>846</v>
      </c>
      <c r="AR1932" s="1" t="str">
        <f t="shared" si="125"/>
        <v>| [ㄅㄥˇ](ㄅㄥˇ.md) | [琫](琫.md) |  | běng | [名]
古代佩刀鞘口上的飾物。有金有玉，表示身分的不同。《詩經．小雅．瞻彼洛矣》：「君子至止，鞞琫有珌。」 |</v>
      </c>
    </row>
    <row r="1933" spans="1:44">
      <c r="A1933" s="1" t="s">
        <v>847</v>
      </c>
      <c r="C1933" s="1">
        <v>1</v>
      </c>
      <c r="D1933" s="1" t="str">
        <f>"00304"</f>
        <v>00304</v>
      </c>
      <c r="E1933" s="1" t="s">
        <v>37</v>
      </c>
      <c r="F1933" s="1">
        <v>12</v>
      </c>
      <c r="G1933" s="1">
        <v>8</v>
      </c>
      <c r="H1933" s="1">
        <v>0</v>
      </c>
      <c r="I1933" s="1" t="s">
        <v>844</v>
      </c>
      <c r="K1933" s="1" t="str">
        <f t="shared" si="123"/>
        <v>ㄅ</v>
      </c>
      <c r="L1933" s="1" t="str">
        <f t="shared" si="124"/>
        <v>ㄥ</v>
      </c>
      <c r="N1933" s="3" t="s">
        <v>30576</v>
      </c>
      <c r="O1933" s="3"/>
      <c r="P1933" s="1" t="s">
        <v>20</v>
      </c>
      <c r="R1933" s="1" t="s">
        <v>845</v>
      </c>
      <c r="V1933" s="1" t="s">
        <v>848</v>
      </c>
      <c r="AR1933" s="1" t="str">
        <f t="shared" si="125"/>
        <v>| [ㄅㄥˇ](ㄅㄥˇ.md) | [菶](菶.md) |  | běng | 參見「菶菶」條。 |</v>
      </c>
    </row>
    <row r="1934" spans="1:44">
      <c r="A1934" s="1" t="s">
        <v>833</v>
      </c>
      <c r="C1934" s="1">
        <v>1</v>
      </c>
      <c r="D1934" s="1" t="str">
        <f>"00305"</f>
        <v>00305</v>
      </c>
      <c r="E1934" s="1" t="s">
        <v>725</v>
      </c>
      <c r="F1934" s="1">
        <v>17</v>
      </c>
      <c r="G1934" s="1">
        <v>11</v>
      </c>
      <c r="H1934" s="1">
        <v>2</v>
      </c>
      <c r="I1934" s="1" t="s">
        <v>844</v>
      </c>
      <c r="K1934" s="1" t="str">
        <f t="shared" si="123"/>
        <v>ㄅ</v>
      </c>
      <c r="L1934" s="1" t="str">
        <f t="shared" si="124"/>
        <v>ㄥ</v>
      </c>
      <c r="N1934" s="3" t="s">
        <v>30576</v>
      </c>
      <c r="O1934" s="3"/>
      <c r="P1934" s="1" t="s">
        <v>20</v>
      </c>
      <c r="R1934" s="1" t="s">
        <v>845</v>
      </c>
      <c r="V1934" s="1" t="s">
        <v>849</v>
      </c>
      <c r="W1934" s="1" t="s">
        <v>850</v>
      </c>
      <c r="AR1934" s="1" t="str">
        <f t="shared" si="125"/>
        <v>| [ㄅㄥˇ](ㄅㄥˇ.md) | [繃](繃.md) |  | běng | [動]
板著，指臉部表情僵硬。如：「繃著臉兒生氣。」 |</v>
      </c>
    </row>
    <row r="1935" spans="1:44">
      <c r="A1935" s="1" t="s">
        <v>895</v>
      </c>
      <c r="C1935" s="1">
        <v>1</v>
      </c>
      <c r="D1935" s="1" t="str">
        <f>"00330"</f>
        <v>00330</v>
      </c>
      <c r="E1935" s="1" t="s">
        <v>896</v>
      </c>
      <c r="F1935" s="1">
        <v>4</v>
      </c>
      <c r="G1935" s="1">
        <v>0</v>
      </c>
      <c r="H1935" s="1">
        <v>2</v>
      </c>
      <c r="I1935" s="1" t="s">
        <v>919</v>
      </c>
      <c r="K1935" s="1" t="str">
        <f t="shared" si="123"/>
        <v>ㄅ</v>
      </c>
      <c r="L1935" s="1" t="str">
        <f t="shared" si="124"/>
        <v>ㄧ</v>
      </c>
      <c r="N1935" s="3" t="s">
        <v>30574</v>
      </c>
      <c r="O1935" s="3"/>
      <c r="P1935" s="1" t="s">
        <v>20</v>
      </c>
      <c r="R1935" s="1" t="s">
        <v>920</v>
      </c>
      <c r="V1935" s="1" t="s">
        <v>921</v>
      </c>
      <c r="W1935" s="1" t="s">
        <v>922</v>
      </c>
      <c r="AR1935" s="1" t="str">
        <f t="shared" si="125"/>
        <v>| [ㄅㄧˋ](ㄅㄧˋ.md) | [比](比.md) |  | bì | [動]
1.親近。《周禮．夏官．形方氏》：「使小國事大國，大國比小國。」漢．鄭玄．注：「比，猶親也。」
2.緊靠、相並。如：「比肩而行」、「比鄰而居」、「櫛次鱗比」。
3.結黨營私。如：「朋比為奸」。《論語．為政》：「君子周而不比，小人比而不周。」
[副]
1.最近、近來。唐．韓愈〈祭十二郎文〉：「比得軟腳病，往往而劇。」
2.及、等到。宋．岳飛〈良馬對〉：「比行百里，始奮迅。」《聊齋志異．卷二．陸判》：「比醒，則殘燭昏黃，鬼客已去。」
3.連連、屢屢。《史記．卷九．呂太后本紀》：「又比殺三趙王。」《漢書．卷五．景帝紀》：「間者歲比不登，民多乏食。」
[名]
1.《易經》卦名。六十四卦之一。坤（☷）下坎（☵）上。《易經．比卦．彖曰》：「比，吉也；比，輔也。」
2.古代地方組織名稱。五家為「比」。《周禮．地官．族師》：「五家為比，十家為聯。……使之相保相受。」 |</v>
      </c>
    </row>
    <row r="1936" spans="1:44">
      <c r="A1936" s="1" t="s">
        <v>923</v>
      </c>
      <c r="C1936" s="1">
        <v>1</v>
      </c>
      <c r="D1936" s="1" t="str">
        <f>"00331"</f>
        <v>00331</v>
      </c>
      <c r="E1936" s="1" t="s">
        <v>447</v>
      </c>
      <c r="F1936" s="1">
        <v>7</v>
      </c>
      <c r="G1936" s="1">
        <v>4</v>
      </c>
      <c r="H1936" s="1">
        <v>0</v>
      </c>
      <c r="I1936" s="1" t="s">
        <v>919</v>
      </c>
      <c r="K1936" s="1" t="str">
        <f t="shared" si="123"/>
        <v>ㄅ</v>
      </c>
      <c r="L1936" s="1" t="str">
        <f t="shared" si="124"/>
        <v>ㄧ</v>
      </c>
      <c r="N1936" s="3" t="s">
        <v>30574</v>
      </c>
      <c r="O1936" s="3"/>
      <c r="P1936" s="1" t="s">
        <v>20</v>
      </c>
      <c r="R1936" s="1" t="s">
        <v>920</v>
      </c>
      <c r="V1936" s="1" t="s">
        <v>924</v>
      </c>
      <c r="AR1936" s="1" t="str">
        <f t="shared" si="125"/>
        <v>| [ㄅㄧˋ](ㄅㄧˋ.md) | [庇](庇.md) |  | bì | [動]
1.遮蔽、掩蓋。如：「庇蔭」、「包庇」。《說文解字．广部》：「庇，蔭也。」唐．韓愈〈感春〉詩三首之一：「藤陰已可庇，落蕊還漫漫。」
2.保護。如：「庇護」、「庇佑」。《文選．陸倕．石闕銘》：「克明俊德，大庇生民。」《文選．謝靈運．擬魏太子鄴中應瑒詩》：「晚節值眾賢，會同庇天宇。」 |</v>
      </c>
    </row>
    <row r="1937" spans="1:44">
      <c r="A1937" s="1" t="s">
        <v>925</v>
      </c>
      <c r="C1937" s="1">
        <v>1</v>
      </c>
      <c r="D1937" s="1" t="str">
        <f>"00332"</f>
        <v>00332</v>
      </c>
      <c r="E1937" s="1" t="s">
        <v>28</v>
      </c>
      <c r="F1937" s="1">
        <v>7</v>
      </c>
      <c r="G1937" s="1">
        <v>4</v>
      </c>
      <c r="H1937" s="1">
        <v>1</v>
      </c>
      <c r="I1937" s="1" t="s">
        <v>919</v>
      </c>
      <c r="K1937" s="1" t="str">
        <f t="shared" si="123"/>
        <v>ㄅ</v>
      </c>
      <c r="L1937" s="1" t="str">
        <f t="shared" si="124"/>
        <v>ㄧ</v>
      </c>
      <c r="N1937" s="3" t="s">
        <v>30574</v>
      </c>
      <c r="O1937" s="3"/>
      <c r="P1937" s="1" t="s">
        <v>20</v>
      </c>
      <c r="R1937" s="1" t="s">
        <v>920</v>
      </c>
      <c r="V1937" s="1" t="s">
        <v>926</v>
      </c>
      <c r="W1937" s="1" t="s">
        <v>927</v>
      </c>
      <c r="AR1937" s="1" t="str">
        <f t="shared" si="125"/>
        <v>| [ㄅㄧˋ](ㄅㄧˋ.md) | [吡](吡.md) |  | bì | 參見「吡吡」條。 |</v>
      </c>
    </row>
    <row r="1938" spans="1:44">
      <c r="A1938" s="1" t="s">
        <v>928</v>
      </c>
      <c r="C1938" s="1">
        <v>1</v>
      </c>
      <c r="D1938" s="1" t="str">
        <f>"00333"</f>
        <v>00333</v>
      </c>
      <c r="E1938" s="1" t="s">
        <v>37</v>
      </c>
      <c r="F1938" s="1">
        <v>8</v>
      </c>
      <c r="G1938" s="1">
        <v>4</v>
      </c>
      <c r="H1938" s="1">
        <v>1</v>
      </c>
      <c r="I1938" s="1" t="s">
        <v>919</v>
      </c>
      <c r="K1938" s="1" t="str">
        <f t="shared" si="123"/>
        <v>ㄅ</v>
      </c>
      <c r="L1938" s="1" t="str">
        <f t="shared" si="124"/>
        <v>ㄧ</v>
      </c>
      <c r="N1938" s="3" t="s">
        <v>30574</v>
      </c>
      <c r="O1938" s="3"/>
      <c r="P1938" s="1" t="s">
        <v>20</v>
      </c>
      <c r="R1938" s="1" t="s">
        <v>920</v>
      </c>
      <c r="V1938" s="1" t="s">
        <v>929</v>
      </c>
      <c r="W1938" s="1" t="s">
        <v>930</v>
      </c>
      <c r="AR1938" s="1" t="str">
        <f t="shared" si="125"/>
        <v>| [ㄅㄧˋ](ㄅㄧˋ.md) | [芘](芘.md) |  | bì | [動]
蔭蔽。通「庇」。《莊子．人間世》：「南伯子綦遊乎商之丘，見大木焉，有異。結駟千乘，隱將芘其所藾。」《宋史．卷四二一．李庭芝傳》：「陳宜中請誅文，虎似道芘之。」 |</v>
      </c>
    </row>
    <row r="1939" spans="1:44">
      <c r="A1939" s="1" t="s">
        <v>931</v>
      </c>
      <c r="C1939" s="1">
        <v>1</v>
      </c>
      <c r="D1939" s="1" t="str">
        <f>"00334"</f>
        <v>00334</v>
      </c>
      <c r="E1939" s="1" t="s">
        <v>198</v>
      </c>
      <c r="F1939" s="1">
        <v>10</v>
      </c>
      <c r="G1939" s="1">
        <v>7</v>
      </c>
      <c r="H1939" s="1">
        <v>0</v>
      </c>
      <c r="I1939" s="1" t="s">
        <v>919</v>
      </c>
      <c r="K1939" s="1" t="str">
        <f t="shared" si="123"/>
        <v>ㄅ</v>
      </c>
      <c r="L1939" s="1" t="str">
        <f t="shared" si="124"/>
        <v>ㄧ</v>
      </c>
      <c r="N1939" s="3" t="s">
        <v>30574</v>
      </c>
      <c r="O1939" s="3"/>
      <c r="P1939" s="1" t="s">
        <v>20</v>
      </c>
      <c r="R1939" s="1" t="s">
        <v>920</v>
      </c>
      <c r="V1939" s="1" t="s">
        <v>932</v>
      </c>
      <c r="AR1939" s="1" t="str">
        <f t="shared" si="125"/>
        <v>| [ㄅㄧˋ](ㄅㄧˋ.md) | [狴](狴.md) |  | bì | 參見「狴犴」條。 |</v>
      </c>
    </row>
    <row r="1940" spans="1:44">
      <c r="A1940" s="1" t="s">
        <v>933</v>
      </c>
      <c r="C1940" s="1">
        <v>1</v>
      </c>
      <c r="D1940" s="1" t="str">
        <f>"00335"</f>
        <v>00335</v>
      </c>
      <c r="E1940" s="1" t="s">
        <v>691</v>
      </c>
      <c r="F1940" s="1">
        <v>10</v>
      </c>
      <c r="G1940" s="1">
        <v>7</v>
      </c>
      <c r="H1940" s="1">
        <v>0</v>
      </c>
      <c r="I1940" s="1" t="s">
        <v>919</v>
      </c>
      <c r="K1940" s="1" t="str">
        <f t="shared" si="123"/>
        <v>ㄅ</v>
      </c>
      <c r="L1940" s="1" t="str">
        <f t="shared" si="124"/>
        <v>ㄧ</v>
      </c>
      <c r="N1940" s="3" t="s">
        <v>30574</v>
      </c>
      <c r="O1940" s="3"/>
      <c r="P1940" s="1" t="s">
        <v>20</v>
      </c>
      <c r="R1940" s="1" t="s">
        <v>920</v>
      </c>
      <c r="V1940" s="1" t="s">
        <v>934</v>
      </c>
      <c r="AR1940" s="1" t="str">
        <f t="shared" si="125"/>
        <v>| [ㄅㄧˋ](ㄅㄧˋ.md) | [陛](陛.md) |  | bì | [名]_x000D_
1.臺階、階梯。《說文解字．阜部》：「陛，升高陛也。」清．段玉裁．注：「自卑而可以登高者謂之陛。」漢．賈誼〈上疏陳政事〉：「陛九級上，廉遠地，則堂高。」_x000D_
2.古代宮殿的最高階，天子坐以聽政之處。《史記．卷八六．刺客列傳．荊軻》：「至陛，秦舞陽色變振恐，群臣怪之。」 |</v>
      </c>
    </row>
    <row r="1941" spans="1:44">
      <c r="A1941" s="1" t="s">
        <v>935</v>
      </c>
      <c r="C1941" s="1">
        <v>1</v>
      </c>
      <c r="D1941" s="1" t="str">
        <f>"00336"</f>
        <v>00336</v>
      </c>
      <c r="E1941" s="1" t="s">
        <v>139</v>
      </c>
      <c r="F1941" s="1">
        <v>11</v>
      </c>
      <c r="G1941" s="1">
        <v>7</v>
      </c>
      <c r="H1941" s="1">
        <v>0</v>
      </c>
      <c r="I1941" s="1" t="s">
        <v>919</v>
      </c>
      <c r="K1941" s="1" t="str">
        <f t="shared" si="123"/>
        <v>ㄅ</v>
      </c>
      <c r="L1941" s="1" t="str">
        <f t="shared" si="124"/>
        <v>ㄧ</v>
      </c>
      <c r="N1941" s="3" t="s">
        <v>30574</v>
      </c>
      <c r="O1941" s="3"/>
      <c r="P1941" s="1" t="s">
        <v>20</v>
      </c>
      <c r="R1941" s="1" t="s">
        <v>920</v>
      </c>
      <c r="V1941" s="1" t="s">
        <v>936</v>
      </c>
      <c r="AR1941" s="1" t="str">
        <f t="shared" si="125"/>
        <v>| [ㄅㄧˋ](ㄅㄧˋ.md) | [梐](梐.md) |  | bì | 參見「梐枑」、「梐梱」等條。 |</v>
      </c>
    </row>
    <row r="1942" spans="1:44">
      <c r="A1942" s="1" t="s">
        <v>937</v>
      </c>
      <c r="C1942" s="1">
        <v>1</v>
      </c>
      <c r="D1942" s="1" t="str">
        <f>"00337"</f>
        <v>00337</v>
      </c>
      <c r="E1942" s="1" t="s">
        <v>679</v>
      </c>
      <c r="F1942" s="1">
        <v>13</v>
      </c>
      <c r="G1942" s="1">
        <v>7</v>
      </c>
      <c r="H1942" s="1">
        <v>0</v>
      </c>
      <c r="I1942" s="1" t="s">
        <v>919</v>
      </c>
      <c r="K1942" s="1" t="str">
        <f t="shared" si="123"/>
        <v>ㄅ</v>
      </c>
      <c r="L1942" s="1" t="str">
        <f t="shared" si="124"/>
        <v>ㄧ</v>
      </c>
      <c r="N1942" s="3" t="s">
        <v>30574</v>
      </c>
      <c r="O1942" s="3"/>
      <c r="P1942" s="1" t="s">
        <v>20</v>
      </c>
      <c r="R1942" s="1" t="s">
        <v>920</v>
      </c>
      <c r="V1942" s="1" t="s">
        <v>938</v>
      </c>
      <c r="AR1942" s="1" t="str">
        <f t="shared" si="125"/>
        <v>| [ㄅㄧˋ](ㄅㄧˋ.md) | [蜌](蜌.md) |  | bì | [名]
動物名。蚌類，殼形長而狹。《爾雅．釋魚》：「蜌，螷。」晉．郭璞．注：「今江東呼蚌長而狹者為螷。」俗稱為「馬刀」。 |</v>
      </c>
    </row>
    <row r="1943" spans="1:44">
      <c r="A1943" s="1" t="s">
        <v>939</v>
      </c>
      <c r="C1943" s="1">
        <v>1</v>
      </c>
      <c r="D1943" s="1" t="str">
        <f>"00338"</f>
        <v>00338</v>
      </c>
      <c r="E1943" s="1" t="s">
        <v>37</v>
      </c>
      <c r="F1943" s="1">
        <v>14</v>
      </c>
      <c r="G1943" s="1">
        <v>10</v>
      </c>
      <c r="H1943" s="1">
        <v>0</v>
      </c>
      <c r="I1943" s="1" t="s">
        <v>919</v>
      </c>
      <c r="K1943" s="1" t="str">
        <f t="shared" si="123"/>
        <v>ㄅ</v>
      </c>
      <c r="L1943" s="1" t="str">
        <f t="shared" si="124"/>
        <v>ㄧ</v>
      </c>
      <c r="N1943" s="3" t="s">
        <v>30574</v>
      </c>
      <c r="O1943" s="3"/>
      <c r="P1943" s="1" t="s">
        <v>20</v>
      </c>
      <c r="R1943" s="1" t="s">
        <v>920</v>
      </c>
      <c r="V1943" s="1" t="s">
        <v>940</v>
      </c>
      <c r="AR1943" s="1" t="str">
        <f t="shared" si="125"/>
        <v>| [ㄅㄧˋ](ㄅㄧˋ.md) | [蓖](蓖.md) |  | bì | 參見「蓖麻」條。 |</v>
      </c>
    </row>
    <row r="1944" spans="1:44">
      <c r="A1944" s="1" t="s">
        <v>941</v>
      </c>
      <c r="C1944" s="1">
        <v>1</v>
      </c>
      <c r="D1944" s="1" t="str">
        <f>"00339"</f>
        <v>00339</v>
      </c>
      <c r="E1944" s="1" t="s">
        <v>49</v>
      </c>
      <c r="F1944" s="1">
        <v>16</v>
      </c>
      <c r="G1944" s="1">
        <v>10</v>
      </c>
      <c r="H1944" s="1">
        <v>0</v>
      </c>
      <c r="I1944" s="1" t="s">
        <v>919</v>
      </c>
      <c r="K1944" s="1" t="str">
        <f t="shared" si="123"/>
        <v>ㄅ</v>
      </c>
      <c r="L1944" s="1" t="str">
        <f t="shared" si="124"/>
        <v>ㄧ</v>
      </c>
      <c r="N1944" s="3" t="s">
        <v>30574</v>
      </c>
      <c r="O1944" s="3"/>
      <c r="P1944" s="1" t="s">
        <v>20</v>
      </c>
      <c r="R1944" s="1" t="s">
        <v>920</v>
      </c>
      <c r="V1944" s="1" t="s">
        <v>942</v>
      </c>
      <c r="AR1944" s="1" t="str">
        <f t="shared" si="125"/>
        <v>| [ㄅㄧˋ](ㄅㄧˋ.md) | [篦](篦.md) |  | bì | [名]
用竹片、牛骨或金屬等製成的細齒梳子，用以除去髮垢，或插在頭上當髮飾。唐．杜甫〈水宿遣興奉呈群公〉詩：「耳聾須畫字，髮短不勝篦。」唐．白居易〈琵琶行〉：「鈿頭雲篦擊節碎，血色羅裙翻酒汙。」 |</v>
      </c>
    </row>
    <row r="1945" spans="1:44">
      <c r="A1945" s="1" t="s">
        <v>943</v>
      </c>
      <c r="C1945" s="1">
        <v>1</v>
      </c>
      <c r="D1945" s="1" t="str">
        <f>"00340"</f>
        <v>00340</v>
      </c>
      <c r="E1945" s="1" t="s">
        <v>55</v>
      </c>
      <c r="F1945" s="1">
        <v>18</v>
      </c>
      <c r="G1945" s="1">
        <v>10</v>
      </c>
      <c r="H1945" s="1">
        <v>2</v>
      </c>
      <c r="I1945" s="1" t="s">
        <v>919</v>
      </c>
      <c r="K1945" s="1" t="str">
        <f t="shared" si="123"/>
        <v>ㄅ</v>
      </c>
      <c r="L1945" s="1" t="str">
        <f t="shared" si="124"/>
        <v>ㄧ</v>
      </c>
      <c r="N1945" s="3" t="s">
        <v>30574</v>
      </c>
      <c r="O1945" s="3"/>
      <c r="P1945" s="1" t="s">
        <v>20</v>
      </c>
      <c r="R1945" s="1" t="s">
        <v>920</v>
      </c>
      <c r="V1945" s="1" t="s">
        <v>944</v>
      </c>
      <c r="W1945" s="1" t="s">
        <v>945</v>
      </c>
      <c r="AR1945" s="1" t="str">
        <f t="shared" si="125"/>
        <v>| [ㄅㄧˋ](ㄅㄧˋ.md) | [鎞](鎞.md) |  | bì | [名]
1.釵。《集韻．平聲．齊韻》：「鎞，釵也。」《全唐詩．卷八〇六．寒山詩三〇三首之三五》：「羅袖盛梅子，金鎞挑筍芽。」
2.古代用來治眼病的器械。《北史．卷八四．孝行傳．張元傳》：「其夜夢見一老翁，以金鎞療其祖目。」 |</v>
      </c>
    </row>
    <row r="1946" spans="1:44">
      <c r="A1946" s="1" t="s">
        <v>946</v>
      </c>
      <c r="C1946" s="1">
        <v>1</v>
      </c>
      <c r="D1946" s="1" t="str">
        <f>"00341"</f>
        <v>00341</v>
      </c>
      <c r="E1946" s="1" t="s">
        <v>250</v>
      </c>
      <c r="F1946" s="1">
        <v>5</v>
      </c>
      <c r="G1946" s="1">
        <v>1</v>
      </c>
      <c r="H1946" s="1">
        <v>0</v>
      </c>
      <c r="I1946" s="1" t="s">
        <v>919</v>
      </c>
      <c r="K1946" s="1" t="str">
        <f t="shared" si="123"/>
        <v>ㄅ</v>
      </c>
      <c r="L1946" s="1" t="str">
        <f t="shared" si="124"/>
        <v>ㄧ</v>
      </c>
      <c r="N1946" s="3" t="s">
        <v>30574</v>
      </c>
      <c r="O1946" s="3"/>
      <c r="P1946" s="1" t="s">
        <v>20</v>
      </c>
      <c r="R1946" s="1" t="s">
        <v>920</v>
      </c>
      <c r="V1946" s="1" t="s">
        <v>947</v>
      </c>
      <c r="AR1946" s="1" t="str">
        <f t="shared" si="125"/>
        <v>| [ㄅㄧˋ](ㄅㄧˋ.md) | [必](必.md) |  | bì | [副]
1.一定、肯定。如：「未必」、「務必」、「言必信，行必果。」《左傳．隱公元年》：「多行不義必自斃，子姑待之！」唐．李白〈將進酒〉：「天生我材必有用，千金散盡還復來。」
2.假設、如果。《論語．顏淵》：「必不得已而去，於斯三者何先？」《史記．卷八一．廉頗藺相如傳》：「王必無人，臣願奉璧往使。」
[動]
堅定、果決。《荀子．彊國》：「其刑罰重而信，其誅殺猛而必。」《韓非子．內儲說上》：「是以刑罰不必，則禁令不行。」
[名]
姓。宋代有必贊，明代有必沙。 |</v>
      </c>
    </row>
    <row r="1947" spans="1:44">
      <c r="A1947" s="1" t="s">
        <v>948</v>
      </c>
      <c r="C1947" s="1">
        <v>1</v>
      </c>
      <c r="D1947" s="1" t="str">
        <f>"00342"</f>
        <v>00342</v>
      </c>
      <c r="E1947" s="1" t="s">
        <v>129</v>
      </c>
      <c r="F1947" s="1">
        <v>8</v>
      </c>
      <c r="G1947" s="1">
        <v>5</v>
      </c>
      <c r="H1947" s="1">
        <v>2</v>
      </c>
      <c r="I1947" s="1" t="s">
        <v>919</v>
      </c>
      <c r="K1947" s="1" t="str">
        <f t="shared" si="123"/>
        <v>ㄅ</v>
      </c>
      <c r="L1947" s="1" t="str">
        <f t="shared" si="124"/>
        <v>ㄧ</v>
      </c>
      <c r="N1947" s="3" t="s">
        <v>30574</v>
      </c>
      <c r="O1947" s="3"/>
      <c r="P1947" s="1" t="s">
        <v>110</v>
      </c>
      <c r="R1947" s="1" t="s">
        <v>920</v>
      </c>
      <c r="V1947" s="1" t="s">
        <v>111</v>
      </c>
      <c r="W1947" s="1" t="s">
        <v>949</v>
      </c>
      <c r="AR1947" s="1" t="str">
        <f t="shared" si="125"/>
        <v>| [ㄅㄧˋ](ㄅㄧˋ.md) | [泌](泌.md) |  | bì | (一)之又音。 |</v>
      </c>
    </row>
    <row r="1948" spans="1:44">
      <c r="A1948" s="1" t="s">
        <v>950</v>
      </c>
      <c r="C1948" s="1">
        <v>1</v>
      </c>
      <c r="D1948" s="1" t="str">
        <f>"00343"</f>
        <v>00343</v>
      </c>
      <c r="E1948" s="1" t="s">
        <v>250</v>
      </c>
      <c r="F1948" s="1">
        <v>8</v>
      </c>
      <c r="G1948" s="1">
        <v>5</v>
      </c>
      <c r="H1948" s="1">
        <v>0</v>
      </c>
      <c r="I1948" s="1" t="s">
        <v>919</v>
      </c>
      <c r="K1948" s="1" t="str">
        <f t="shared" si="123"/>
        <v>ㄅ</v>
      </c>
      <c r="L1948" s="1" t="str">
        <f t="shared" si="124"/>
        <v>ㄧ</v>
      </c>
      <c r="N1948" s="3" t="s">
        <v>30574</v>
      </c>
      <c r="O1948" s="3"/>
      <c r="P1948" s="1" t="s">
        <v>20</v>
      </c>
      <c r="R1948" s="1" t="s">
        <v>920</v>
      </c>
      <c r="V1948" s="1" t="s">
        <v>951</v>
      </c>
      <c r="AR1948" s="1" t="str">
        <f t="shared" si="125"/>
        <v>| [ㄅㄧˋ](ㄅㄧˋ.md) | [怭](怭.md) |  | bì | [形]
傲慢、不莊重。《玉篇．心部》：「怭，慢也。」 |</v>
      </c>
    </row>
    <row r="1949" spans="1:44">
      <c r="A1949" s="1" t="s">
        <v>952</v>
      </c>
      <c r="C1949" s="1">
        <v>1</v>
      </c>
      <c r="D1949" s="1" t="str">
        <f>"00344"</f>
        <v>00344</v>
      </c>
      <c r="E1949" s="1" t="s">
        <v>256</v>
      </c>
      <c r="F1949" s="1">
        <v>8</v>
      </c>
      <c r="G1949" s="1">
        <v>5</v>
      </c>
      <c r="H1949" s="1">
        <v>0</v>
      </c>
      <c r="I1949" s="1" t="s">
        <v>919</v>
      </c>
      <c r="K1949" s="1" t="str">
        <f t="shared" si="123"/>
        <v>ㄅ</v>
      </c>
      <c r="L1949" s="1" t="str">
        <f t="shared" si="124"/>
        <v>ㄧ</v>
      </c>
      <c r="N1949" s="3" t="s">
        <v>30574</v>
      </c>
      <c r="O1949" s="3"/>
      <c r="P1949" s="1" t="s">
        <v>20</v>
      </c>
      <c r="R1949" s="1" t="s">
        <v>920</v>
      </c>
      <c r="V1949" s="1" t="s">
        <v>953</v>
      </c>
      <c r="AR1949" s="1" t="str">
        <f t="shared" si="125"/>
        <v>| [ㄅㄧˋ](ㄅㄧˋ.md) | [邲](邲.md) |  | bì | [名]
地名。春秋時鄭地，故址在今大陸地區河南省滎陽縣東北。 |</v>
      </c>
    </row>
    <row r="1950" spans="1:44">
      <c r="A1950" s="1" t="s">
        <v>909</v>
      </c>
      <c r="C1950" s="1">
        <v>1</v>
      </c>
      <c r="D1950" s="1" t="str">
        <f>"00345"</f>
        <v>00345</v>
      </c>
      <c r="E1950" s="1" t="s">
        <v>28</v>
      </c>
      <c r="F1950" s="1">
        <v>8</v>
      </c>
      <c r="G1950" s="1">
        <v>5</v>
      </c>
      <c r="H1950" s="1">
        <v>3</v>
      </c>
      <c r="I1950" s="1" t="s">
        <v>919</v>
      </c>
      <c r="K1950" s="1" t="str">
        <f t="shared" si="123"/>
        <v>ㄅ</v>
      </c>
      <c r="L1950" s="1" t="str">
        <f t="shared" si="124"/>
        <v>ㄧ</v>
      </c>
      <c r="N1950" s="3" t="s">
        <v>30574</v>
      </c>
      <c r="O1950" s="3"/>
      <c r="P1950" s="1" t="s">
        <v>20</v>
      </c>
      <c r="R1950" s="1" t="s">
        <v>920</v>
      </c>
      <c r="V1950" s="1" t="s">
        <v>954</v>
      </c>
      <c r="W1950" s="1" t="s">
        <v>955</v>
      </c>
      <c r="AR1950" s="1" t="str">
        <f t="shared" si="125"/>
        <v>| [ㄅㄧˋ](ㄅㄧˋ.md) | [咇](咇.md) |  | bì | [擬]_x000D_
咇咇剝剝：模擬火燒所發出的爆裂聲。如：「忽聞外頭一陣咇咇剝剝聲，原來是路旁那堆垃圾不知怎的燒了起來！」 |</v>
      </c>
    </row>
    <row r="1951" spans="1:44">
      <c r="A1951" s="1" t="s">
        <v>956</v>
      </c>
      <c r="C1951" s="1">
        <v>1</v>
      </c>
      <c r="D1951" s="1" t="str">
        <f>"00346"</f>
        <v>00346</v>
      </c>
      <c r="E1951" s="1" t="s">
        <v>142</v>
      </c>
      <c r="F1951" s="1">
        <v>9</v>
      </c>
      <c r="G1951" s="1">
        <v>5</v>
      </c>
      <c r="H1951" s="1">
        <v>0</v>
      </c>
      <c r="I1951" s="1" t="s">
        <v>919</v>
      </c>
      <c r="K1951" s="1" t="str">
        <f t="shared" si="123"/>
        <v>ㄅ</v>
      </c>
      <c r="L1951" s="1" t="str">
        <f t="shared" si="124"/>
        <v>ㄧ</v>
      </c>
      <c r="N1951" s="3" t="s">
        <v>30574</v>
      </c>
      <c r="O1951" s="3"/>
      <c r="P1951" s="1" t="s">
        <v>20</v>
      </c>
      <c r="R1951" s="1" t="s">
        <v>920</v>
      </c>
      <c r="V1951" s="1" t="s">
        <v>957</v>
      </c>
      <c r="AR1951" s="1" t="str">
        <f t="shared" si="125"/>
        <v>| [ㄅㄧˋ](ㄅㄧˋ.md) | [珌](珌.md) |  | bì | [名]
佩刀刀鞘下端的裝飾物。《詩經．小雅．瞻彼洛矣》：「君子至止，鞞琫有珌。」漢．毛亨．傳：「珌，下飾。」 |</v>
      </c>
    </row>
    <row r="1952" spans="1:44">
      <c r="A1952" s="1" t="s">
        <v>958</v>
      </c>
      <c r="C1952" s="1">
        <v>1</v>
      </c>
      <c r="D1952" s="1" t="str">
        <f>"00347"</f>
        <v>00347</v>
      </c>
      <c r="E1952" s="1" t="s">
        <v>139</v>
      </c>
      <c r="F1952" s="1">
        <v>9</v>
      </c>
      <c r="G1952" s="1">
        <v>5</v>
      </c>
      <c r="H1952" s="1">
        <v>0</v>
      </c>
      <c r="I1952" s="1" t="s">
        <v>919</v>
      </c>
      <c r="K1952" s="1" t="str">
        <f t="shared" si="123"/>
        <v>ㄅ</v>
      </c>
      <c r="L1952" s="1" t="str">
        <f t="shared" si="124"/>
        <v>ㄧ</v>
      </c>
      <c r="N1952" s="3" t="s">
        <v>30574</v>
      </c>
      <c r="O1952" s="3"/>
      <c r="P1952" s="1" t="s">
        <v>20</v>
      </c>
      <c r="R1952" s="1" t="s">
        <v>920</v>
      </c>
      <c r="V1952" s="1" t="s">
        <v>959</v>
      </c>
      <c r="AR1952" s="1" t="str">
        <f t="shared" si="125"/>
        <v>| [ㄅㄧˋ](ㄅㄧˋ.md) | [柲](柲.md) |  | bì | [名]
古代兵器的柄，後亦指器物的柄。《說文解字．木部》：「柲，欑也。」清．段玉裁．注：「戈戟矛柄皆用積竹杖，不比他柄用木而已。……柲之引伸為凡柄之偁。」《周禮．冬官考工記．廬人》：「戈柲，六尺有六寸。」 |</v>
      </c>
    </row>
    <row r="1953" spans="1:44">
      <c r="A1953" s="1" t="s">
        <v>960</v>
      </c>
      <c r="C1953" s="1">
        <v>1</v>
      </c>
      <c r="D1953" s="1" t="str">
        <f>"00348"</f>
        <v>00348</v>
      </c>
      <c r="E1953" s="1" t="s">
        <v>37</v>
      </c>
      <c r="F1953" s="1">
        <v>9</v>
      </c>
      <c r="G1953" s="1">
        <v>5</v>
      </c>
      <c r="H1953" s="1">
        <v>0</v>
      </c>
      <c r="I1953" s="1" t="s">
        <v>919</v>
      </c>
      <c r="K1953" s="1" t="str">
        <f t="shared" si="123"/>
        <v>ㄅ</v>
      </c>
      <c r="L1953" s="1" t="str">
        <f t="shared" si="124"/>
        <v>ㄧ</v>
      </c>
      <c r="N1953" s="3" t="s">
        <v>30574</v>
      </c>
      <c r="O1953" s="3"/>
      <c r="P1953" s="1" t="s">
        <v>20</v>
      </c>
      <c r="R1953" s="1" t="s">
        <v>920</v>
      </c>
      <c r="V1953" s="1" t="s">
        <v>961</v>
      </c>
      <c r="AR1953" s="1" t="str">
        <f t="shared" si="125"/>
        <v>| [ㄅㄧˋ](ㄅㄧˋ.md) | [苾](苾.md) |  | bì | [形]
芳香。《大戴禮記．曾子疾病》：「與君子遊，苾乎如入蘭芷之室。」 |</v>
      </c>
    </row>
    <row r="1954" spans="1:44">
      <c r="A1954" s="1" t="s">
        <v>962</v>
      </c>
      <c r="C1954" s="1">
        <v>1</v>
      </c>
      <c r="D1954" s="1" t="str">
        <f>"00349"</f>
        <v>00349</v>
      </c>
      <c r="E1954" s="1" t="s">
        <v>896</v>
      </c>
      <c r="F1954" s="1">
        <v>9</v>
      </c>
      <c r="G1954" s="1">
        <v>5</v>
      </c>
      <c r="H1954" s="1">
        <v>0</v>
      </c>
      <c r="I1954" s="1" t="s">
        <v>919</v>
      </c>
      <c r="K1954" s="1" t="str">
        <f t="shared" si="123"/>
        <v>ㄅ</v>
      </c>
      <c r="L1954" s="1" t="str">
        <f t="shared" si="124"/>
        <v>ㄧ</v>
      </c>
      <c r="N1954" s="3" t="s">
        <v>30574</v>
      </c>
      <c r="O1954" s="3"/>
      <c r="P1954" s="1" t="s">
        <v>20</v>
      </c>
      <c r="R1954" s="1" t="s">
        <v>920</v>
      </c>
      <c r="V1954" s="1" t="s">
        <v>963</v>
      </c>
      <c r="AR1954" s="1" t="str">
        <f t="shared" si="125"/>
        <v>| [ㄅㄧˋ](ㄅㄧˋ.md) | [毖](毖.md) |  | bì | [動]
1.謹慎。如：「懲前毖後」。《書經．畢命》：「毖殷頑民，遷于洛邑。」唐．孔穎達．正義：「惟殷頑民，恐其叛亂，故徒於洛邑。」
2.辛勞。《書經．大誥》：「無毖于恤，不可不成。」唐．孔穎達．正義：「言無勞于征伐之憂也。」
[形]
泉水流動的樣子。《詩經．邶風．泉水》：「毖彼泉水，亦流于淇。」漢．鄭玄．箋：「泉水流而入淇。」《文選．左思．魏都賦》：「溫泉毖涌而自浪，華清蕩邪而難老。」 |</v>
      </c>
    </row>
    <row r="1955" spans="1:44">
      <c r="A1955" s="1" t="s">
        <v>964</v>
      </c>
      <c r="C1955" s="1">
        <v>1</v>
      </c>
      <c r="D1955" s="1" t="str">
        <f>"00350"</f>
        <v>00350</v>
      </c>
      <c r="E1955" s="1" t="s">
        <v>825</v>
      </c>
      <c r="F1955" s="1">
        <v>10</v>
      </c>
      <c r="G1955" s="1">
        <v>5</v>
      </c>
      <c r="H1955" s="1">
        <v>2</v>
      </c>
      <c r="I1955" s="1" t="s">
        <v>919</v>
      </c>
      <c r="K1955" s="1" t="str">
        <f t="shared" si="123"/>
        <v>ㄅ</v>
      </c>
      <c r="L1955" s="1" t="str">
        <f t="shared" si="124"/>
        <v>ㄧ</v>
      </c>
      <c r="N1955" s="3" t="s">
        <v>30574</v>
      </c>
      <c r="O1955" s="3"/>
      <c r="P1955" s="1" t="s">
        <v>965</v>
      </c>
      <c r="R1955" s="1" t="s">
        <v>920</v>
      </c>
      <c r="V1955" s="1" t="s">
        <v>966</v>
      </c>
      <c r="W1955" s="1" t="s">
        <v>967</v>
      </c>
      <c r="AR1955" s="1" t="str">
        <f t="shared" si="125"/>
        <v>| [ㄅㄧˋ](ㄅㄧˋ.md) | [祕](祕.md) |  | bì | (一)之或讀。 |</v>
      </c>
    </row>
    <row r="1956" spans="1:44">
      <c r="A1956" s="1" t="s">
        <v>968</v>
      </c>
      <c r="C1956" s="1">
        <v>1</v>
      </c>
      <c r="D1956" s="1" t="str">
        <f>"00351"</f>
        <v>00351</v>
      </c>
      <c r="E1956" s="1" t="s">
        <v>429</v>
      </c>
      <c r="F1956" s="1">
        <v>10</v>
      </c>
      <c r="G1956" s="1">
        <v>5</v>
      </c>
      <c r="H1956" s="1">
        <v>2</v>
      </c>
      <c r="I1956" s="1" t="s">
        <v>919</v>
      </c>
      <c r="K1956" s="1" t="str">
        <f t="shared" si="123"/>
        <v>ㄅ</v>
      </c>
      <c r="L1956" s="1" t="str">
        <f t="shared" si="124"/>
        <v>ㄧ</v>
      </c>
      <c r="N1956" s="3" t="s">
        <v>30574</v>
      </c>
      <c r="O1956" s="3"/>
      <c r="P1956" s="1" t="s">
        <v>965</v>
      </c>
      <c r="R1956" s="1" t="s">
        <v>920</v>
      </c>
      <c r="V1956" s="1" t="s">
        <v>969</v>
      </c>
      <c r="W1956" s="1" t="s">
        <v>970</v>
      </c>
      <c r="AR1956" s="1" t="str">
        <f t="shared" si="125"/>
        <v>| [ㄅㄧˋ](ㄅㄧˋ.md) | [秘](秘.md) |  | bì | 1.譯音用字，如秘魯。_x000D_
2.(一)之或讀。 |</v>
      </c>
    </row>
    <row r="1957" spans="1:44">
      <c r="A1957" s="1" t="s">
        <v>971</v>
      </c>
      <c r="C1957" s="1">
        <v>1</v>
      </c>
      <c r="D1957" s="1" t="str">
        <f>"00352"</f>
        <v>00352</v>
      </c>
      <c r="E1957" s="1" t="s">
        <v>709</v>
      </c>
      <c r="F1957" s="1">
        <v>13</v>
      </c>
      <c r="G1957" s="1">
        <v>5</v>
      </c>
      <c r="H1957" s="1">
        <v>0</v>
      </c>
      <c r="I1957" s="1" t="s">
        <v>919</v>
      </c>
      <c r="K1957" s="1" t="str">
        <f t="shared" si="123"/>
        <v>ㄅ</v>
      </c>
      <c r="L1957" s="1" t="str">
        <f t="shared" si="124"/>
        <v>ㄧ</v>
      </c>
      <c r="N1957" s="3" t="s">
        <v>30574</v>
      </c>
      <c r="O1957" s="3"/>
      <c r="P1957" s="1" t="s">
        <v>20</v>
      </c>
      <c r="R1957" s="1" t="s">
        <v>920</v>
      </c>
      <c r="V1957" s="1" t="s">
        <v>972</v>
      </c>
      <c r="AR1957" s="1" t="str">
        <f t="shared" si="125"/>
        <v>| [ㄅㄧˋ](ㄅㄧˋ.md) | [閟](閟.md) |  | bì | [動]
關閉、深閉。《說文解字．門部》：「閟，閉門也。」清．段玉裁．注：「引申為凡閉之偁。」宋．文天祥〈正氣歌〉：「陰房闐鬼火，春院閟天黑。」明．高啟《高太史鳧藻集．卷四．南宮生傳》：「患求者眾，遂自閟，希復執筆。」
[形]
幽深的。如：「閟宮」。宋．曹勛〈驀山溪．烏龍雲洞神護紅塵外〉詞：「松露閟，紫煙深。」清．王士禎〈聖安寺僧聯句〉：「肅肅僧寮清，穆穆禪宮閟。」 |</v>
      </c>
    </row>
    <row r="1958" spans="1:44">
      <c r="A1958" s="1" t="s">
        <v>973</v>
      </c>
      <c r="C1958" s="1">
        <v>1</v>
      </c>
      <c r="D1958" s="1" t="str">
        <f>"00353"</f>
        <v>00353</v>
      </c>
      <c r="E1958" s="1" t="s">
        <v>55</v>
      </c>
      <c r="F1958" s="1">
        <v>13</v>
      </c>
      <c r="G1958" s="1">
        <v>5</v>
      </c>
      <c r="H1958" s="1">
        <v>0</v>
      </c>
      <c r="I1958" s="1" t="s">
        <v>919</v>
      </c>
      <c r="K1958" s="1" t="str">
        <f t="shared" si="123"/>
        <v>ㄅ</v>
      </c>
      <c r="L1958" s="1" t="str">
        <f t="shared" si="124"/>
        <v>ㄧ</v>
      </c>
      <c r="N1958" s="3" t="s">
        <v>30574</v>
      </c>
      <c r="O1958" s="3"/>
      <c r="P1958" s="1" t="s">
        <v>20</v>
      </c>
      <c r="R1958" s="1" t="s">
        <v>920</v>
      </c>
      <c r="V1958" s="1" t="s">
        <v>974</v>
      </c>
      <c r="AR1958" s="1" t="str">
        <f t="shared" si="125"/>
        <v>| [ㄅㄧˋ](ㄅㄧˋ.md) | [鉍](鉍.md) |  | bì | [名]
（bismuth，Bi）化學元素。原子序83。色白微紅，純鉍是柔軟的金屬，不純時質地堅脆，易熔，可製備易熔的合金及藥品。 |</v>
      </c>
    </row>
    <row r="1959" spans="1:44">
      <c r="A1959" s="1" t="s">
        <v>975</v>
      </c>
      <c r="C1959" s="1">
        <v>1</v>
      </c>
      <c r="D1959" s="1" t="str">
        <f>"00354"</f>
        <v>00354</v>
      </c>
      <c r="E1959" s="1" t="s">
        <v>193</v>
      </c>
      <c r="F1959" s="1">
        <v>13</v>
      </c>
      <c r="G1959" s="1">
        <v>5</v>
      </c>
      <c r="H1959" s="1">
        <v>0</v>
      </c>
      <c r="I1959" s="1" t="s">
        <v>919</v>
      </c>
      <c r="K1959" s="1" t="str">
        <f t="shared" si="123"/>
        <v>ㄅ</v>
      </c>
      <c r="L1959" s="1" t="str">
        <f t="shared" si="124"/>
        <v>ㄧ</v>
      </c>
      <c r="N1959" s="3" t="s">
        <v>30574</v>
      </c>
      <c r="O1959" s="3"/>
      <c r="P1959" s="1" t="s">
        <v>20</v>
      </c>
      <c r="R1959" s="1" t="s">
        <v>920</v>
      </c>
      <c r="V1959" s="1" t="s">
        <v>976</v>
      </c>
      <c r="AR1959" s="1" t="str">
        <f t="shared" si="125"/>
        <v>| [ㄅㄧˋ](ㄅㄧˋ.md) | [飶](飶.md) |  | bì | [名]
食物的香味。《說文解字．食部》：「飶，食之香也。」《詩經．周頌．載芟》：「有飶其香，邦家之光。」漢．毛亨．傳：「飶，芬香也。」 |</v>
      </c>
    </row>
    <row r="1960" spans="1:44">
      <c r="A1960" s="1" t="s">
        <v>977</v>
      </c>
      <c r="C1960" s="1">
        <v>1</v>
      </c>
      <c r="D1960" s="1" t="str">
        <f>"00355"</f>
        <v>00355</v>
      </c>
      <c r="E1960" s="1" t="s">
        <v>269</v>
      </c>
      <c r="F1960" s="1">
        <v>14</v>
      </c>
      <c r="G1960" s="1">
        <v>5</v>
      </c>
      <c r="H1960" s="1">
        <v>0</v>
      </c>
      <c r="I1960" s="1" t="s">
        <v>919</v>
      </c>
      <c r="K1960" s="1" t="str">
        <f t="shared" si="123"/>
        <v>ㄅ</v>
      </c>
      <c r="L1960" s="1" t="str">
        <f t="shared" si="124"/>
        <v>ㄧ</v>
      </c>
      <c r="N1960" s="3" t="s">
        <v>30574</v>
      </c>
      <c r="O1960" s="3"/>
      <c r="P1960" s="1" t="s">
        <v>20</v>
      </c>
      <c r="R1960" s="1" t="s">
        <v>920</v>
      </c>
      <c r="V1960" s="1" t="s">
        <v>978</v>
      </c>
      <c r="AR1960" s="1" t="str">
        <f t="shared" si="125"/>
        <v>| [ㄅㄧˋ](ㄅㄧˋ.md) | [馝](馝.md) |  | bì | 參見「馝馞」條。 |</v>
      </c>
    </row>
    <row r="1961" spans="1:44">
      <c r="A1961" s="1" t="s">
        <v>979</v>
      </c>
      <c r="C1961" s="1">
        <v>1</v>
      </c>
      <c r="D1961" s="1" t="str">
        <f>"00356"</f>
        <v>00356</v>
      </c>
      <c r="E1961" s="1" t="s">
        <v>319</v>
      </c>
      <c r="F1961" s="1">
        <v>15</v>
      </c>
      <c r="G1961" s="1">
        <v>5</v>
      </c>
      <c r="H1961" s="1">
        <v>0</v>
      </c>
      <c r="I1961" s="1" t="s">
        <v>919</v>
      </c>
      <c r="K1961" s="1" t="str">
        <f t="shared" si="123"/>
        <v>ㄅ</v>
      </c>
      <c r="L1961" s="1" t="str">
        <f t="shared" si="124"/>
        <v>ㄧ</v>
      </c>
      <c r="N1961" s="3" t="s">
        <v>30574</v>
      </c>
      <c r="O1961" s="3"/>
      <c r="P1961" s="1" t="s">
        <v>20</v>
      </c>
      <c r="R1961" s="1" t="s">
        <v>920</v>
      </c>
      <c r="V1961" s="1" t="s">
        <v>980</v>
      </c>
      <c r="AR1961" s="1" t="str">
        <f t="shared" si="125"/>
        <v>| [ㄅㄧˋ](ㄅㄧˋ.md) | [駜](駜.md) |  | bì | [形]
馬肥大而強壯。《詩經．魯頌．有駜》：「有駜有駜，駜彼乘黃。」漢．毛亨．傳：「駜，馬肥彊貌。」 |</v>
      </c>
    </row>
    <row r="1962" spans="1:44">
      <c r="A1962" s="1" t="s">
        <v>981</v>
      </c>
      <c r="C1962" s="1">
        <v>1</v>
      </c>
      <c r="D1962" s="1" t="str">
        <f>"00357"</f>
        <v>00357</v>
      </c>
      <c r="E1962" s="1" t="s">
        <v>156</v>
      </c>
      <c r="F1962" s="1">
        <v>16</v>
      </c>
      <c r="G1962" s="1">
        <v>5</v>
      </c>
      <c r="H1962" s="1">
        <v>0</v>
      </c>
      <c r="I1962" s="1" t="s">
        <v>919</v>
      </c>
      <c r="K1962" s="1" t="str">
        <f t="shared" si="123"/>
        <v>ㄅ</v>
      </c>
      <c r="L1962" s="1" t="str">
        <f t="shared" si="124"/>
        <v>ㄧ</v>
      </c>
      <c r="N1962" s="3" t="s">
        <v>30574</v>
      </c>
      <c r="O1962" s="3"/>
      <c r="P1962" s="1" t="s">
        <v>20</v>
      </c>
      <c r="R1962" s="1" t="s">
        <v>920</v>
      </c>
      <c r="V1962" s="1" t="s">
        <v>982</v>
      </c>
      <c r="AR1962" s="1" t="str">
        <f t="shared" si="125"/>
        <v>| [ㄅㄧˋ](ㄅㄧˋ.md) | [鮅](鮅.md) |  | bì | [名]
動物名。硬骨魚綱。似鯶而小，赤眼。也稱為「鱒」。 |</v>
      </c>
    </row>
    <row r="1963" spans="1:44">
      <c r="A1963" s="1" t="s">
        <v>983</v>
      </c>
      <c r="C1963" s="1">
        <v>1</v>
      </c>
      <c r="D1963" s="1" t="str">
        <f>"00358"</f>
        <v>00358</v>
      </c>
      <c r="E1963" s="1" t="s">
        <v>114</v>
      </c>
      <c r="F1963" s="1">
        <v>7</v>
      </c>
      <c r="G1963" s="1">
        <v>5</v>
      </c>
      <c r="H1963" s="1">
        <v>2</v>
      </c>
      <c r="I1963" s="1" t="s">
        <v>919</v>
      </c>
      <c r="K1963" s="1" t="str">
        <f t="shared" si="123"/>
        <v>ㄅ</v>
      </c>
      <c r="L1963" s="1" t="str">
        <f t="shared" si="124"/>
        <v>ㄧ</v>
      </c>
      <c r="N1963" s="3" t="s">
        <v>30574</v>
      </c>
      <c r="O1963" s="3"/>
      <c r="P1963" s="1" t="s">
        <v>20</v>
      </c>
      <c r="R1963" s="1" t="s">
        <v>920</v>
      </c>
      <c r="V1963" s="1" t="s">
        <v>984</v>
      </c>
      <c r="W1963" s="1" t="s">
        <v>985</v>
      </c>
      <c r="AR1963" s="1" t="str">
        <f t="shared" si="125"/>
        <v>| [ㄅㄧˋ](ㄅㄧˋ.md) | [佛](佛.md) |  | bì | [動]
輔佐。通「弼」。《詩經．周頌．敬之》：「佛時仔肩，示我顯德行。」漢．鄭玄．箋：「佛，輔也。」
[名]
姓。如春秋時魯國有佛肸，明代有佛正。 |</v>
      </c>
    </row>
    <row r="1964" spans="1:44">
      <c r="A1964" s="1" t="s">
        <v>986</v>
      </c>
      <c r="C1964" s="1">
        <v>1</v>
      </c>
      <c r="D1964" s="1" t="str">
        <f>"00359"</f>
        <v>00359</v>
      </c>
      <c r="E1964" s="1" t="s">
        <v>24</v>
      </c>
      <c r="F1964" s="1">
        <v>8</v>
      </c>
      <c r="G1964" s="1">
        <v>5</v>
      </c>
      <c r="H1964" s="1">
        <v>2</v>
      </c>
      <c r="I1964" s="1" t="s">
        <v>919</v>
      </c>
      <c r="K1964" s="1" t="str">
        <f t="shared" si="123"/>
        <v>ㄅ</v>
      </c>
      <c r="L1964" s="1" t="str">
        <f t="shared" si="124"/>
        <v>ㄧ</v>
      </c>
      <c r="N1964" s="3" t="s">
        <v>30574</v>
      </c>
      <c r="O1964" s="3"/>
      <c r="P1964" s="1" t="s">
        <v>20</v>
      </c>
      <c r="R1964" s="1" t="s">
        <v>920</v>
      </c>
      <c r="V1964" s="1" t="s">
        <v>987</v>
      </c>
      <c r="W1964" s="1" t="s">
        <v>988</v>
      </c>
      <c r="AR1964" s="1" t="str">
        <f t="shared" si="125"/>
        <v>| [ㄅㄧˋ](ㄅㄧˋ.md) | [拂](拂.md) |  | bì | [動]
輔助。通「弼」。參見「拂士」條。 |</v>
      </c>
    </row>
    <row r="1965" spans="1:44">
      <c r="A1965" s="1" t="s">
        <v>989</v>
      </c>
      <c r="C1965" s="1">
        <v>1</v>
      </c>
      <c r="D1965" s="1" t="str">
        <f>"00360"</f>
        <v>00360</v>
      </c>
      <c r="E1965" s="1" t="s">
        <v>505</v>
      </c>
      <c r="F1965" s="1">
        <v>12</v>
      </c>
      <c r="G1965" s="1">
        <v>5</v>
      </c>
      <c r="H1965" s="1">
        <v>2</v>
      </c>
      <c r="I1965" s="1" t="s">
        <v>919</v>
      </c>
      <c r="K1965" s="1" t="str">
        <f t="shared" si="123"/>
        <v>ㄅ</v>
      </c>
      <c r="L1965" s="1" t="str">
        <f t="shared" si="124"/>
        <v>ㄧ</v>
      </c>
      <c r="N1965" s="3" t="s">
        <v>30574</v>
      </c>
      <c r="O1965" s="3"/>
      <c r="P1965" s="1" t="s">
        <v>20</v>
      </c>
      <c r="R1965" s="1" t="s">
        <v>920</v>
      </c>
      <c r="V1965" s="1" t="s">
        <v>990</v>
      </c>
      <c r="W1965" s="1" t="s">
        <v>991</v>
      </c>
      <c r="AR1965" s="1" t="str">
        <f t="shared" si="125"/>
        <v>| [ㄅㄧˋ](ㄅㄧˋ.md) | [費](費.md) |  | bì | [名]
地名。春秋時魯季氏邑，故址約在今大陸地區山東省費縣西南。 |</v>
      </c>
    </row>
    <row r="1966" spans="1:44">
      <c r="A1966" s="1" t="s">
        <v>992</v>
      </c>
      <c r="C1966" s="1">
        <v>1</v>
      </c>
      <c r="D1966" s="1" t="str">
        <f>"00361"</f>
        <v>00361</v>
      </c>
      <c r="E1966" s="1" t="s">
        <v>256</v>
      </c>
      <c r="F1966" s="1">
        <v>15</v>
      </c>
      <c r="G1966" s="1">
        <v>12</v>
      </c>
      <c r="H1966" s="1">
        <v>0</v>
      </c>
      <c r="I1966" s="1" t="s">
        <v>919</v>
      </c>
      <c r="K1966" s="1" t="str">
        <f t="shared" si="123"/>
        <v>ㄅ</v>
      </c>
      <c r="L1966" s="1" t="str">
        <f t="shared" si="124"/>
        <v>ㄧ</v>
      </c>
      <c r="N1966" s="3" t="s">
        <v>30574</v>
      </c>
      <c r="O1966" s="3"/>
      <c r="P1966" s="1" t="s">
        <v>20</v>
      </c>
      <c r="R1966" s="1" t="s">
        <v>920</v>
      </c>
      <c r="V1966" s="1" t="s">
        <v>993</v>
      </c>
      <c r="AR1966" s="1" t="str">
        <f t="shared" si="125"/>
        <v>| [ㄅㄧˋ](ㄅㄧˋ.md) | [鄪](鄪.md) |  | bì | [名]
地名。春秋時魯邑，故址在今大陸地區山東省費縣。 |</v>
      </c>
    </row>
    <row r="1967" spans="1:44">
      <c r="A1967" s="1" t="s">
        <v>994</v>
      </c>
      <c r="C1967" s="1">
        <v>1</v>
      </c>
      <c r="D1967" s="1" t="str">
        <f>"00362"</f>
        <v>00362</v>
      </c>
      <c r="E1967" s="1" t="s">
        <v>753</v>
      </c>
      <c r="F1967" s="1">
        <v>8</v>
      </c>
      <c r="G1967" s="1">
        <v>3</v>
      </c>
      <c r="H1967" s="1">
        <v>0</v>
      </c>
      <c r="I1967" s="1" t="s">
        <v>919</v>
      </c>
      <c r="K1967" s="1" t="str">
        <f t="shared" si="123"/>
        <v>ㄅ</v>
      </c>
      <c r="L1967" s="1" t="str">
        <f t="shared" si="124"/>
        <v>ㄧ</v>
      </c>
      <c r="N1967" s="3" t="s">
        <v>30574</v>
      </c>
      <c r="O1967" s="3"/>
      <c r="P1967" s="1" t="s">
        <v>20</v>
      </c>
      <c r="R1967" s="1" t="s">
        <v>920</v>
      </c>
      <c r="V1967" s="1" t="s">
        <v>995</v>
      </c>
      <c r="AR1967" s="1" t="str">
        <f t="shared" si="125"/>
        <v>| [ㄅㄧˋ](ㄅㄧˋ.md) | [畀](畀.md) |  | bì | [動]
1.賜與、給予。《詩經．小雅．巷伯》：「取彼譖人，投畀豺虎，豺虎不食。」《左傳．隱公三年》：「王崩，周人將畀虢公政。」
2.酬答。《詩經．鄘風．干旄》：「彼姝者子，何以畀之。」 |</v>
      </c>
    </row>
    <row r="1968" spans="1:44">
      <c r="A1968" s="1" t="s">
        <v>996</v>
      </c>
      <c r="C1968" s="1">
        <v>1</v>
      </c>
      <c r="D1968" s="1" t="str">
        <f>"00363"</f>
        <v>00363</v>
      </c>
      <c r="E1968" s="1" t="s">
        <v>40</v>
      </c>
      <c r="F1968" s="1">
        <v>13</v>
      </c>
      <c r="G1968" s="1">
        <v>8</v>
      </c>
      <c r="H1968" s="1">
        <v>0</v>
      </c>
      <c r="I1968" s="1" t="s">
        <v>919</v>
      </c>
      <c r="K1968" s="1" t="str">
        <f t="shared" si="123"/>
        <v>ㄅ</v>
      </c>
      <c r="L1968" s="1" t="str">
        <f t="shared" si="124"/>
        <v>ㄧ</v>
      </c>
      <c r="N1968" s="3" t="s">
        <v>30574</v>
      </c>
      <c r="O1968" s="3"/>
      <c r="P1968" s="1" t="s">
        <v>20</v>
      </c>
      <c r="R1968" s="1" t="s">
        <v>920</v>
      </c>
      <c r="V1968" s="1" t="s">
        <v>997</v>
      </c>
      <c r="AR1968" s="1" t="str">
        <f t="shared" si="125"/>
        <v>| [ㄅㄧˋ](ㄅㄧˋ.md) | [痹](痹.md) |  | bì | 同「痺」。 |</v>
      </c>
    </row>
    <row r="1969" spans="1:44">
      <c r="A1969" s="1" t="s">
        <v>998</v>
      </c>
      <c r="C1969" s="1">
        <v>1</v>
      </c>
      <c r="D1969" s="1" t="str">
        <f>"00364"</f>
        <v>00364</v>
      </c>
      <c r="E1969" s="1" t="s">
        <v>49</v>
      </c>
      <c r="F1969" s="1">
        <v>14</v>
      </c>
      <c r="G1969" s="1">
        <v>8</v>
      </c>
      <c r="H1969" s="1">
        <v>0</v>
      </c>
      <c r="I1969" s="1" t="s">
        <v>919</v>
      </c>
      <c r="K1969" s="1" t="str">
        <f t="shared" si="123"/>
        <v>ㄅ</v>
      </c>
      <c r="L1969" s="1" t="str">
        <f t="shared" si="124"/>
        <v>ㄧ</v>
      </c>
      <c r="N1969" s="3" t="s">
        <v>30574</v>
      </c>
      <c r="O1969" s="3"/>
      <c r="P1969" s="1" t="s">
        <v>20</v>
      </c>
      <c r="R1969" s="1" t="s">
        <v>920</v>
      </c>
      <c r="V1969" s="1" t="s">
        <v>999</v>
      </c>
      <c r="AR1969" s="1" t="str">
        <f t="shared" si="125"/>
        <v>| [ㄅㄧˋ](ㄅㄧˋ.md) | [箅](箅.md) |  | bì | [名]
平而有孔隙的竹器，墊在鍋底，以便蒸食物之用。《說文解字．竹部》：「箅，所以蔽甑底。」俗稱為「箅子」。 |</v>
      </c>
    </row>
    <row r="1970" spans="1:44">
      <c r="A1970" s="1" t="s">
        <v>1000</v>
      </c>
      <c r="C1970" s="1">
        <v>1</v>
      </c>
      <c r="D1970" s="1" t="str">
        <f>"00365"</f>
        <v>00365</v>
      </c>
      <c r="E1970" s="1" t="s">
        <v>340</v>
      </c>
      <c r="F1970" s="1">
        <v>20</v>
      </c>
      <c r="G1970" s="1">
        <v>14</v>
      </c>
      <c r="H1970" s="1">
        <v>0</v>
      </c>
      <c r="I1970" s="1" t="s">
        <v>919</v>
      </c>
      <c r="K1970" s="1" t="str">
        <f t="shared" si="123"/>
        <v>ㄅ</v>
      </c>
      <c r="L1970" s="1" t="str">
        <f t="shared" si="124"/>
        <v>ㄧ</v>
      </c>
      <c r="N1970" s="3" t="s">
        <v>30574</v>
      </c>
      <c r="O1970" s="3"/>
      <c r="P1970" s="1" t="s">
        <v>20</v>
      </c>
      <c r="R1970" s="1" t="s">
        <v>920</v>
      </c>
      <c r="V1970" s="1" t="s">
        <v>1001</v>
      </c>
      <c r="AR1970" s="1" t="str">
        <f t="shared" si="125"/>
        <v>| [ㄅㄧˋ](ㄅㄧˋ.md) | [襣](襣.md) |  | bì | [名]
古代一種合襠的貼身褲子。漢．揚雄《方言》卷四：「無襱之褲謂之襣。」晉．郭璞．注：「褲無踦者，即今犢鼻褌也。」《玉篇．衣部》：「襣，犢襣，以全三尺布作，形如牛鼻，相如所著也。」 |</v>
      </c>
    </row>
    <row r="1971" spans="1:44">
      <c r="A1971" s="1" t="s">
        <v>444</v>
      </c>
      <c r="C1971" s="1">
        <v>1</v>
      </c>
      <c r="D1971" s="1" t="str">
        <f>"00366"</f>
        <v>00366</v>
      </c>
      <c r="E1971" s="1" t="s">
        <v>114</v>
      </c>
      <c r="F1971" s="1">
        <v>10</v>
      </c>
      <c r="G1971" s="1">
        <v>8</v>
      </c>
      <c r="H1971" s="1">
        <v>1</v>
      </c>
      <c r="I1971" s="1" t="s">
        <v>919</v>
      </c>
      <c r="K1971" s="1" t="str">
        <f t="shared" si="123"/>
        <v>ㄅ</v>
      </c>
      <c r="L1971" s="1" t="str">
        <f t="shared" si="124"/>
        <v>ㄧ</v>
      </c>
      <c r="N1971" s="3" t="s">
        <v>30574</v>
      </c>
      <c r="O1971" s="3"/>
      <c r="P1971" s="1" t="s">
        <v>20</v>
      </c>
      <c r="R1971" s="1" t="s">
        <v>920</v>
      </c>
      <c r="V1971" s="1" t="s">
        <v>1002</v>
      </c>
      <c r="W1971" s="1" t="s">
        <v>1003</v>
      </c>
      <c r="AR1971" s="1" t="str">
        <f t="shared" si="125"/>
        <v>| [ㄅㄧˋ](ㄅㄧˋ.md) | [俾](俾.md) |  | bì | [動]
1.使。如：「俾能自立」。《左傳．成公十三年》：「俾我惠公，用能奉祀于晉。」《楚辭．屈原．九章．惜誦》：「俾山川以備御兮，命咎繇使聽直。」
2.服從。《書經．武成》：「華夏蠻貊，罔不率俾。」《文選．漢武帝．賢良詔》：「日月所燭，罔不率俾。」 |</v>
      </c>
    </row>
    <row r="1972" spans="1:44">
      <c r="A1972" s="1" t="s">
        <v>446</v>
      </c>
      <c r="C1972" s="1">
        <v>1</v>
      </c>
      <c r="D1972" s="1" t="str">
        <f>"00367"</f>
        <v>00367</v>
      </c>
      <c r="E1972" s="1" t="s">
        <v>447</v>
      </c>
      <c r="F1972" s="1">
        <v>11</v>
      </c>
      <c r="G1972" s="1">
        <v>8</v>
      </c>
      <c r="H1972" s="1">
        <v>1</v>
      </c>
      <c r="I1972" s="1" t="s">
        <v>919</v>
      </c>
      <c r="K1972" s="1" t="str">
        <f t="shared" si="123"/>
        <v>ㄅ</v>
      </c>
      <c r="L1972" s="1" t="str">
        <f t="shared" si="124"/>
        <v>ㄧ</v>
      </c>
      <c r="N1972" s="3" t="s">
        <v>30574</v>
      </c>
      <c r="O1972" s="3"/>
      <c r="P1972" s="1" t="s">
        <v>20</v>
      </c>
      <c r="R1972" s="1" t="s">
        <v>920</v>
      </c>
      <c r="V1972" s="1" t="s">
        <v>1004</v>
      </c>
      <c r="W1972" s="1" t="s">
        <v>1005</v>
      </c>
      <c r="AR1972" s="1" t="str">
        <f t="shared" si="125"/>
        <v>| [ㄅㄧˋ](ㄅㄧˋ.md) | [庳](庳.md) |  | bì | [名]
 參見「有庳」條。
[形]
房屋低下。《左傳．襄公三十一年》：「僑聞文公之為盟主也，宮室卑庳，無觀臺榭。」 |</v>
      </c>
    </row>
    <row r="1973" spans="1:44">
      <c r="A1973" s="1" t="s">
        <v>450</v>
      </c>
      <c r="C1973" s="1">
        <v>1</v>
      </c>
      <c r="D1973" s="1" t="str">
        <f>"00368"</f>
        <v>00368</v>
      </c>
      <c r="E1973" s="1" t="s">
        <v>132</v>
      </c>
      <c r="F1973" s="1">
        <v>11</v>
      </c>
      <c r="G1973" s="1">
        <v>8</v>
      </c>
      <c r="H1973" s="1">
        <v>2</v>
      </c>
      <c r="I1973" s="1" t="s">
        <v>919</v>
      </c>
      <c r="K1973" s="1" t="str">
        <f t="shared" si="123"/>
        <v>ㄅ</v>
      </c>
      <c r="L1973" s="1" t="str">
        <f t="shared" si="124"/>
        <v>ㄧ</v>
      </c>
      <c r="N1973" s="3" t="s">
        <v>30574</v>
      </c>
      <c r="O1973" s="3"/>
      <c r="P1973" s="1" t="s">
        <v>20</v>
      </c>
      <c r="R1973" s="1" t="s">
        <v>920</v>
      </c>
      <c r="V1973" s="1" t="s">
        <v>1006</v>
      </c>
      <c r="W1973" s="1" t="s">
        <v>1007</v>
      </c>
      <c r="AR1973" s="1" t="str">
        <f t="shared" si="125"/>
        <v>| [ㄅㄧˋ](ㄅㄧˋ.md) | [埤](埤.md) |  | bì | [名]
低下潮溼的地方。《國語．晉語八》：「木不危生，松柏不生埤。」 |</v>
      </c>
    </row>
    <row r="1974" spans="1:44">
      <c r="A1974" s="1" t="s">
        <v>533</v>
      </c>
      <c r="C1974" s="1">
        <v>1</v>
      </c>
      <c r="D1974" s="1" t="str">
        <f>"00369"</f>
        <v>00369</v>
      </c>
      <c r="E1974" s="1" t="s">
        <v>534</v>
      </c>
      <c r="F1974" s="1">
        <v>11</v>
      </c>
      <c r="G1974" s="1">
        <v>8</v>
      </c>
      <c r="H1974" s="1">
        <v>1</v>
      </c>
      <c r="I1974" s="1" t="s">
        <v>919</v>
      </c>
      <c r="K1974" s="1" t="str">
        <f t="shared" si="123"/>
        <v>ㄅ</v>
      </c>
      <c r="L1974" s="1" t="str">
        <f t="shared" si="124"/>
        <v>ㄧ</v>
      </c>
      <c r="N1974" s="3" t="s">
        <v>30574</v>
      </c>
      <c r="O1974" s="3"/>
      <c r="P1974" s="1" t="s">
        <v>20</v>
      </c>
      <c r="R1974" s="1" t="s">
        <v>920</v>
      </c>
      <c r="V1974" s="1" t="s">
        <v>1008</v>
      </c>
      <c r="W1974" s="1" t="s">
        <v>1009</v>
      </c>
      <c r="AR1974" s="1" t="str">
        <f t="shared" si="125"/>
        <v>| [ㄅㄧˋ](ㄅㄧˋ.md) | [婢](婢.md) |  | bì | [名]
1.古代罪犯妻女沒入官家為奴，稱為「婢」。如：「官婢」。《周禮．秋官．司厲》：「其奴，男子入于罪隸，女子入于舂槁。」漢．鄭玄．注：「今之為奴婢，古之罪人也。」
2.舊稱供使喚的丫頭。如：「婢女」。宋．范成大〈清遠店〉詩：「屠婢殺奴官不問，大書黥面罰猶輕。」
3.古代女子自稱的謙詞。《左傳．僖公二十二年》：「寡君之使婢子，侍執巾櫛。」晉．杜預．注：「婢子，婦人之卑稱也。」 |</v>
      </c>
    </row>
    <row r="1975" spans="1:44">
      <c r="A1975" s="1" t="s">
        <v>456</v>
      </c>
      <c r="C1975" s="1">
        <v>1</v>
      </c>
      <c r="D1975" s="1" t="str">
        <f>"00370"</f>
        <v>00370</v>
      </c>
      <c r="E1975" s="1" t="s">
        <v>37</v>
      </c>
      <c r="F1975" s="1">
        <v>12</v>
      </c>
      <c r="G1975" s="1">
        <v>8</v>
      </c>
      <c r="H1975" s="1">
        <v>2</v>
      </c>
      <c r="I1975" s="1" t="s">
        <v>919</v>
      </c>
      <c r="K1975" s="1" t="str">
        <f t="shared" si="123"/>
        <v>ㄅ</v>
      </c>
      <c r="L1975" s="1" t="str">
        <f t="shared" si="124"/>
        <v>ㄧ</v>
      </c>
      <c r="N1975" s="3" t="s">
        <v>30574</v>
      </c>
      <c r="O1975" s="3"/>
      <c r="P1975" s="1" t="s">
        <v>20</v>
      </c>
      <c r="R1975" s="1" t="s">
        <v>920</v>
      </c>
      <c r="V1975" s="1" t="s">
        <v>1010</v>
      </c>
      <c r="W1975" s="1" t="s">
        <v>1011</v>
      </c>
      <c r="AR1975" s="1" t="str">
        <f t="shared" si="125"/>
        <v>| [ㄅㄧˋ](ㄅㄧˋ.md) | [萆](萆.md) |  | bì | [名]
簑衣，即雨衣。《說文解字．艸部》：「萆，雨衣，一曰衰衣。」
[動]
隱蔽。通「蔽」。《史記．卷九二．淮陰侯傳》：「選輕騎二千人，人持一赤幟，從閒道萆山而望趙軍。」裴駰集解引如淳曰：「萆，音蔽，依山自覆蔽。」 |</v>
      </c>
    </row>
    <row r="1976" spans="1:44">
      <c r="A1976" s="1" t="s">
        <v>1012</v>
      </c>
      <c r="C1976" s="1">
        <v>1</v>
      </c>
      <c r="D1976" s="1" t="str">
        <f>"00371"</f>
        <v>00371</v>
      </c>
      <c r="E1976" s="1" t="s">
        <v>40</v>
      </c>
      <c r="F1976" s="1">
        <v>13</v>
      </c>
      <c r="G1976" s="1">
        <v>8</v>
      </c>
      <c r="H1976" s="1">
        <v>0</v>
      </c>
      <c r="I1976" s="1" t="s">
        <v>919</v>
      </c>
      <c r="K1976" s="1" t="str">
        <f t="shared" si="123"/>
        <v>ㄅ</v>
      </c>
      <c r="L1976" s="1" t="str">
        <f t="shared" si="124"/>
        <v>ㄧ</v>
      </c>
      <c r="N1976" s="3" t="s">
        <v>30574</v>
      </c>
      <c r="O1976" s="3"/>
      <c r="P1976" s="1" t="s">
        <v>20</v>
      </c>
      <c r="R1976" s="1" t="s">
        <v>920</v>
      </c>
      <c r="V1976" s="1" t="s">
        <v>1013</v>
      </c>
      <c r="AR1976" s="1" t="str">
        <f t="shared" si="125"/>
        <v>| [ㄅㄧˋ](ㄅㄧˋ.md) | [痺](痺.md) |  | bì | [名]
一種神經性疾病。肢體失去感覺，不能隨意活動。如：「小兒麻痺」。古字作「痹」。
[動]
麻木、感覺遲鈍。唐．楊嗣復〈丞相禮部尚書文公權德輿文集序〉：「元和五年冬，執政暴疾，既瘖且痺，未旬日而公作相。」宋．歐陽修〈憎蒼蠅賦〉：「欲瞑而復警，臂已痺而猶攘。」古字作「痹」。 |</v>
      </c>
    </row>
    <row r="1977" spans="1:44">
      <c r="A1977" s="1" t="s">
        <v>1014</v>
      </c>
      <c r="C1977" s="1">
        <v>1</v>
      </c>
      <c r="D1977" s="1" t="str">
        <f>"00372"</f>
        <v>00372</v>
      </c>
      <c r="E1977" s="1" t="s">
        <v>1015</v>
      </c>
      <c r="F1977" s="1">
        <v>13</v>
      </c>
      <c r="G1977" s="1">
        <v>8</v>
      </c>
      <c r="H1977" s="1">
        <v>0</v>
      </c>
      <c r="I1977" s="1" t="s">
        <v>919</v>
      </c>
      <c r="K1977" s="1" t="str">
        <f t="shared" si="123"/>
        <v>ㄅ</v>
      </c>
      <c r="L1977" s="1" t="str">
        <f t="shared" si="124"/>
        <v>ㄧ</v>
      </c>
      <c r="N1977" s="3" t="s">
        <v>30574</v>
      </c>
      <c r="O1977" s="3"/>
      <c r="P1977" s="1" t="s">
        <v>20</v>
      </c>
      <c r="R1977" s="1" t="s">
        <v>920</v>
      </c>
      <c r="V1977" s="1" t="s">
        <v>1016</v>
      </c>
      <c r="AR1977" s="1" t="str">
        <f t="shared" si="125"/>
        <v>| [ㄅㄧˋ](ㄅㄧˋ.md) | [睥](睥.md) |  | bì | 參見「睥睨」條。 |</v>
      </c>
    </row>
    <row r="1978" spans="1:44">
      <c r="A1978" s="1" t="s">
        <v>1017</v>
      </c>
      <c r="C1978" s="1">
        <v>1</v>
      </c>
      <c r="D1978" s="1" t="str">
        <f>"00373"</f>
        <v>00373</v>
      </c>
      <c r="E1978" s="1" t="s">
        <v>340</v>
      </c>
      <c r="F1978" s="1">
        <v>14</v>
      </c>
      <c r="G1978" s="1">
        <v>8</v>
      </c>
      <c r="H1978" s="1">
        <v>1</v>
      </c>
      <c r="I1978" s="1" t="s">
        <v>919</v>
      </c>
      <c r="K1978" s="1" t="str">
        <f t="shared" si="123"/>
        <v>ㄅ</v>
      </c>
      <c r="L1978" s="1" t="str">
        <f t="shared" si="124"/>
        <v>ㄧ</v>
      </c>
      <c r="N1978" s="3" t="s">
        <v>30574</v>
      </c>
      <c r="O1978" s="3"/>
      <c r="P1978" s="1" t="s">
        <v>20</v>
      </c>
      <c r="R1978" s="1" t="s">
        <v>920</v>
      </c>
      <c r="V1978" s="1" t="s">
        <v>1018</v>
      </c>
      <c r="W1978" s="1" t="s">
        <v>1019</v>
      </c>
      <c r="AR1978" s="1" t="str">
        <f t="shared" si="125"/>
        <v>| [ㄅㄧˋ](ㄅㄧˋ.md) | [裨](裨.md) |  | bì | [動]
1.增加、幫助。如：「裨益」、「無裨於事」。《國語．晉語八》：「子若能以忠信贊君，而裨諸侯之闕。」
2.修補。南朝梁．王琰《冥祥記．趙泰》：「乃遣泰為水官監作吏，將二千餘人，運沙裨岸。」 |</v>
      </c>
    </row>
    <row r="1979" spans="1:44">
      <c r="A1979" s="1" t="s">
        <v>1020</v>
      </c>
      <c r="C1979" s="1">
        <v>1</v>
      </c>
      <c r="D1979" s="1" t="str">
        <f>"00374"</f>
        <v>00374</v>
      </c>
      <c r="E1979" s="1" t="s">
        <v>725</v>
      </c>
      <c r="F1979" s="1">
        <v>14</v>
      </c>
      <c r="G1979" s="1">
        <v>8</v>
      </c>
      <c r="H1979" s="1">
        <v>0</v>
      </c>
      <c r="I1979" s="1" t="s">
        <v>919</v>
      </c>
      <c r="K1979" s="1" t="str">
        <f t="shared" si="123"/>
        <v>ㄅ</v>
      </c>
      <c r="L1979" s="1" t="str">
        <f t="shared" si="124"/>
        <v>ㄧ</v>
      </c>
      <c r="N1979" s="3" t="s">
        <v>30574</v>
      </c>
      <c r="O1979" s="3"/>
      <c r="P1979" s="1" t="s">
        <v>20</v>
      </c>
      <c r="R1979" s="1" t="s">
        <v>920</v>
      </c>
      <c r="V1979" s="1" t="s">
        <v>1021</v>
      </c>
      <c r="AR1979" s="1" t="str">
        <f t="shared" si="125"/>
        <v>| [ㄅㄧˋ](ㄅㄧˋ.md) | [綼](綼.md) |  | bì | [名]
衣裳邊幅的裝飾。《儀禮．既夕禮》：「縓綼緆。」漢．鄭玄．注：「飾裳在幅曰綼。」民國．章太炎《新方言．釋器》：「今人謂衣裳邊角純緣曰綼。」 |</v>
      </c>
    </row>
    <row r="1980" spans="1:44">
      <c r="A1980" s="1" t="s">
        <v>1022</v>
      </c>
      <c r="C1980" s="1">
        <v>1</v>
      </c>
      <c r="D1980" s="1" t="str">
        <f>"00375"</f>
        <v>00375</v>
      </c>
      <c r="E1980" s="1" t="s">
        <v>283</v>
      </c>
      <c r="F1980" s="1">
        <v>18</v>
      </c>
      <c r="G1980" s="1">
        <v>8</v>
      </c>
      <c r="H1980" s="1">
        <v>0</v>
      </c>
      <c r="I1980" s="1" t="s">
        <v>919</v>
      </c>
      <c r="K1980" s="1" t="str">
        <f t="shared" si="123"/>
        <v>ㄅ</v>
      </c>
      <c r="L1980" s="1" t="str">
        <f t="shared" si="124"/>
        <v>ㄧ</v>
      </c>
      <c r="N1980" s="3" t="s">
        <v>30574</v>
      </c>
      <c r="O1980" s="3"/>
      <c r="P1980" s="1" t="s">
        <v>20</v>
      </c>
      <c r="R1980" s="1" t="s">
        <v>920</v>
      </c>
      <c r="V1980" s="1" t="s">
        <v>1023</v>
      </c>
      <c r="AR1980" s="1" t="str">
        <f t="shared" si="125"/>
        <v>| [ㄅㄧˋ](ㄅㄧˋ.md) | [髀](髀.md) |  | bì | [名]
1.膝部以上的大腿骨，或指大腿。《文選．李斯．上書秦始皇》：「夫擊甕叩缶，彈箏搏髀。」《漢書．卷四八．賈誼傳》：「屠牛坦一朝解十二牛，……至於髖髀之所，非斤則斧。」唐．顏師古．注：「髀，股骨也。」
2.古時用來測量日影的表。如商、周之時的《周髀算經》。《晉書．卷一一．天文志上》：「髀，股也；股者，表也。」 |</v>
      </c>
    </row>
    <row r="1981" spans="1:44">
      <c r="A1981" s="1" t="s">
        <v>1024</v>
      </c>
      <c r="C1981" s="1">
        <v>1</v>
      </c>
      <c r="D1981" s="1" t="str">
        <f>"00376"</f>
        <v>00376</v>
      </c>
      <c r="E1981" s="1" t="s">
        <v>426</v>
      </c>
      <c r="F1981" s="1">
        <v>11</v>
      </c>
      <c r="G1981" s="1">
        <v>7</v>
      </c>
      <c r="H1981" s="1">
        <v>0</v>
      </c>
      <c r="I1981" s="1" t="s">
        <v>919</v>
      </c>
      <c r="K1981" s="1" t="str">
        <f t="shared" si="123"/>
        <v>ㄅ</v>
      </c>
      <c r="L1981" s="1" t="str">
        <f t="shared" si="124"/>
        <v>ㄧ</v>
      </c>
      <c r="N1981" s="3" t="s">
        <v>30574</v>
      </c>
      <c r="O1981" s="3"/>
      <c r="P1981" s="1" t="s">
        <v>20</v>
      </c>
      <c r="R1981" s="1" t="s">
        <v>920</v>
      </c>
      <c r="V1981" s="1" t="s">
        <v>1025</v>
      </c>
      <c r="AR1981" s="1" t="str">
        <f t="shared" si="125"/>
        <v>| [ㄅㄧˋ](ㄅㄧˋ.md) | [敝](敝.md) |  | bì | [形]_x000D_
1.破的、舊的。如：「敝帚自珍」、「棄之如敝屣」。《論語．子罕》：「衣敝縕袍與衣狐貉者立，而不恥者，其由也與。」宋．錢公輔〈義田記〉：「昔晏平仲敝車羸馬，桓子曰：『是隱君之賜也。』」_x000D_
2.疲倦。同「疲」。如：「敝於奔命」。宋．司馬光〈赤壁之戰〉：「曹操之眾，遠來疲敝。」_x000D_
3.自謙之詞。用於對別人指稱和自己相關的事物。如：「敝校」、「敝姓」。《左傳．僖公二十六年》：「寡君聞君親舉玉趾，將辱於敝邑。」_x000D_
[動]_x000D_
1.失敗。《左傳．僖公十年》：「帝許我罰有罪矣，敝於韓。」晉．杜預．注：「敝，敗也。」_x000D_
2.毀壞。清．李文炤〈勤訓〉：「夫天地之化，日新則不敝。」 |</v>
      </c>
    </row>
    <row r="1982" spans="1:44">
      <c r="A1982" s="1" t="s">
        <v>1026</v>
      </c>
      <c r="C1982" s="1">
        <v>1</v>
      </c>
      <c r="D1982" s="1" t="str">
        <f>"00377"</f>
        <v>00377</v>
      </c>
      <c r="E1982" s="1" t="s">
        <v>1027</v>
      </c>
      <c r="F1982" s="1">
        <v>14</v>
      </c>
      <c r="G1982" s="1">
        <v>11</v>
      </c>
      <c r="H1982" s="1">
        <v>0</v>
      </c>
      <c r="I1982" s="1" t="s">
        <v>919</v>
      </c>
      <c r="K1982" s="1" t="str">
        <f t="shared" si="123"/>
        <v>ㄅ</v>
      </c>
      <c r="L1982" s="1" t="str">
        <f t="shared" si="124"/>
        <v>ㄧ</v>
      </c>
      <c r="N1982" s="3" t="s">
        <v>30574</v>
      </c>
      <c r="O1982" s="3"/>
      <c r="P1982" s="1" t="s">
        <v>20</v>
      </c>
      <c r="R1982" s="1" t="s">
        <v>920</v>
      </c>
      <c r="V1982" s="1" t="s">
        <v>1028</v>
      </c>
      <c r="AR1982" s="1" t="str">
        <f t="shared" si="125"/>
        <v>| [ㄅㄧˋ](ㄅㄧˋ.md) | [弊](弊.md) |  | bì | [名]_x000D_
1.害處、毛病。如：「有利無弊」、「興利除弊」。《史記．卷七八．春申君列傳》：「兩虎相與鬥而駑犬受其弊，不如善楚。」宋．蘇洵〈六國論〉：「六國破滅，非兵不利，戰不善，弊在賂秦。」_x000D_
2.欺詐蒙騙、奸偽非法之事。如：「營私舞弊」。《西遊記》第九九回：「八戒道：『只說凡人會作弊，原來這佛面前的金剛也會作弊。他奉佛旨，教送我們東回，怎麼到此半路上就丟下我們？』」《紅樓夢》第一四回：「如這些無頭緒，荒亂推託偷閒竊取等弊，次日一概都蠲了。」_x000D_
[形]_x000D_
1.疲困、衰落。三國蜀．諸葛亮〈出師表〉：「益州罷弊，此誠危急存亡之秋也。」《新五代史．卷二七．唐臣傳．劉延朗》：「是時，高祖悉握精兵在北，饋運芻糧，遠近勞弊。」《五代史平話．周史．卷上》：「體知河北諸郡，頻年兵革，凋弊已甚。」_x000D_
2.破舊、破敗。三國魏．曹丕〈典論論文〉：「里語曰：『家有弊帚，享之千金。』斯不自見之患也。」唐．皇甫枚《溫京兆》：「有黃冠老而且傴，弊衣曳杖，將橫絕其間，騶人呵不能止。」宋．沈括《夢溪筆談．卷五．樂律一》：「嘗有人於土中得一朽弊搗帛杵，不識，持歸以示鄰里，大小聚觀，莫不怪愕，不知何物。」_x000D_
[動]_x000D_
敗、衰敗。《楚辭．屈原．天問》：「胡終弊于有扈，牧夫牛羊？」宋．蘇軾〈潮州韓文公廟碑〉：「自東漢以來，道喪文弊，異端並起。」 |</v>
      </c>
    </row>
    <row r="1983" spans="1:44">
      <c r="A1983" s="1" t="s">
        <v>1029</v>
      </c>
      <c r="C1983" s="1">
        <v>1</v>
      </c>
      <c r="D1983" s="1" t="str">
        <f>"00378"</f>
        <v>00378</v>
      </c>
      <c r="E1983" s="1" t="s">
        <v>222</v>
      </c>
      <c r="F1983" s="1">
        <v>14</v>
      </c>
      <c r="G1983" s="1">
        <v>11</v>
      </c>
      <c r="H1983" s="1">
        <v>0</v>
      </c>
      <c r="I1983" s="1" t="s">
        <v>919</v>
      </c>
      <c r="K1983" s="1" t="str">
        <f t="shared" ref="K1983:K2046" si="126">LEFT(I1983, 1)</f>
        <v>ㄅ</v>
      </c>
      <c r="L1983" s="1" t="str">
        <f t="shared" ref="L1983:L2046" si="127">MID(I1983, 2, 1)</f>
        <v>ㄧ</v>
      </c>
      <c r="N1983" s="3" t="s">
        <v>30574</v>
      </c>
      <c r="O1983" s="3"/>
      <c r="P1983" s="1" t="s">
        <v>20</v>
      </c>
      <c r="R1983" s="1" t="s">
        <v>920</v>
      </c>
      <c r="V1983" s="1" t="s">
        <v>1030</v>
      </c>
      <c r="AR1983" s="1" t="str">
        <f t="shared" si="125"/>
        <v>| [ㄅㄧˋ](ㄅㄧˋ.md) | [幣](幣.md) |  | bì | [名]
1.有標準價格、可作交易媒介的東西。如：「錢幣」、「紙幣」、「金幣」、「外幣」。《漢書．卷二四．食貨志下》：「於是乎量資幣，權輕重，以救民。」唐．顏師古．注：「凡言幣者皆所以通貨物，易有無也。故金之與錢，皆名為幣也。」
2.財物的總稱。《管子．國蓄》：「以珠玉為上幣，以黃金為中幣，以刀布為下幣。」《戰國策．秦策五》：「令庫具車，廄具馬，府具幣。」漢．高誘．注：「幣，貨財也。」
3.古時以束帛為祭祀或贈送賓客的禮物，稱為「幣」。後為禮物的泛稱。《書經．召詔》：「我非敢勤，惟恭奉幣，用供王能祈天永命。」漢．孔安國．傳：「言我非敢獨勤而已，惟恭敬奉其幣帛，用供待王，能求天長命。」 |</v>
      </c>
    </row>
    <row r="1984" spans="1:44">
      <c r="A1984" s="1" t="s">
        <v>1031</v>
      </c>
      <c r="C1984" s="1">
        <v>1</v>
      </c>
      <c r="D1984" s="1" t="str">
        <f>"00379"</f>
        <v>00379</v>
      </c>
      <c r="E1984" s="1" t="s">
        <v>37</v>
      </c>
      <c r="F1984" s="1">
        <v>15</v>
      </c>
      <c r="G1984" s="1">
        <v>11</v>
      </c>
      <c r="H1984" s="1">
        <v>1</v>
      </c>
      <c r="I1984" s="1" t="s">
        <v>919</v>
      </c>
      <c r="K1984" s="1" t="str">
        <f t="shared" si="126"/>
        <v>ㄅ</v>
      </c>
      <c r="L1984" s="1" t="str">
        <f t="shared" si="127"/>
        <v>ㄧ</v>
      </c>
      <c r="N1984" s="3" t="s">
        <v>30574</v>
      </c>
      <c r="O1984" s="3"/>
      <c r="P1984" s="1" t="s">
        <v>20</v>
      </c>
      <c r="R1984" s="1" t="s">
        <v>920</v>
      </c>
      <c r="V1984" s="1" t="s">
        <v>1032</v>
      </c>
      <c r="W1984" s="1" t="s">
        <v>1033</v>
      </c>
      <c r="AR1984" s="1" t="str">
        <f t="shared" si="125"/>
        <v>| [ㄅㄧˋ](ㄅㄧˋ.md) | [蔽](蔽.md) |  | bì | [動]
1.遮蓋、擋住。如：「衣不蔽體」、「浮雲蔽白日」。《楚辭．屈原．九歌．國殤》：「旌蔽日兮敵若雲，矢交墜兮士爭先。」《晉書．卷九四．隱逸傳．陶潛傳》：「環堵蕭然，不蔽風日。」
2.遮掩、保護。如：「掩蔽」、「蔽護」。《史記．卷七．項羽本紀》：「項伯亦拔劍起舞，常以身翼蔽沛公，莊不得擊。」
3.受阻隔、欺騙。如：「蔽塞」、「蒙蔽」。《楚辭．屈原．卜居》：「竭知盡忠，而蔽鄣於讒。」《戰國策．齊策一》：「宮婦左右，莫不私王，朝廷之臣，莫不畏王，四境之內，莫不有求於王，由此觀之，王之蔽甚矣！」
4.總括。《論語．為政》：「詩三百，一言以蔽之，曰：『思無邪』。」
[名]
障礙、毛病。《論語．陽貨》：「子曰：『由也，女聞六言六蔽矣乎？』」《隋書．卷三二．經籍志一》：「譊譊成俗，而不知變，此學者之蔽也。」 |</v>
      </c>
    </row>
    <row r="1985" spans="1:44">
      <c r="A1985" s="1" t="s">
        <v>1034</v>
      </c>
      <c r="C1985" s="1">
        <v>1</v>
      </c>
      <c r="D1985" s="1" t="str">
        <f>"00380"</f>
        <v>00380</v>
      </c>
      <c r="E1985" s="1" t="s">
        <v>426</v>
      </c>
      <c r="F1985" s="1">
        <v>17</v>
      </c>
      <c r="G1985" s="1">
        <v>13</v>
      </c>
      <c r="H1985" s="1">
        <v>0</v>
      </c>
      <c r="I1985" s="1" t="s">
        <v>919</v>
      </c>
      <c r="K1985" s="1" t="str">
        <f t="shared" si="126"/>
        <v>ㄅ</v>
      </c>
      <c r="L1985" s="1" t="str">
        <f t="shared" si="127"/>
        <v>ㄧ</v>
      </c>
      <c r="N1985" s="3" t="s">
        <v>30574</v>
      </c>
      <c r="O1985" s="3"/>
      <c r="P1985" s="1" t="s">
        <v>20</v>
      </c>
      <c r="R1985" s="1" t="s">
        <v>920</v>
      </c>
      <c r="V1985" s="1" t="s">
        <v>1035</v>
      </c>
      <c r="AR1985" s="1" t="str">
        <f t="shared" si="125"/>
        <v>| [ㄅㄧˋ](ㄅㄧˋ.md) | [斃](斃.md) |  | bì | [動]
1.倒下、仆倒。《左傳．成公二年》：「射其右，斃于車中。」《左傳．定公八年》：「籍丘子鉏擊之，與一人俱斃。」晉．杜預．注：「斃，仆也。」
2.死。如：「倒斃」、「擊斃」、「槍斃」。《國語．晉語二》：「驪姬與犬肉，犬斃；飲小臣酒，亦斃。」
3.傾覆、失敗。《左傳．隱公元年》：「公曰：『多行不義必自斃，子姑待之。』」 |</v>
      </c>
    </row>
    <row r="1986" spans="1:44">
      <c r="A1986" s="1" t="s">
        <v>1036</v>
      </c>
      <c r="C1986" s="1">
        <v>1</v>
      </c>
      <c r="D1986" s="1" t="str">
        <f>"00381"</f>
        <v>00381</v>
      </c>
      <c r="E1986" s="1" t="s">
        <v>272</v>
      </c>
      <c r="F1986" s="1">
        <v>22</v>
      </c>
      <c r="G1986" s="1">
        <v>11</v>
      </c>
      <c r="H1986" s="1">
        <v>1</v>
      </c>
      <c r="I1986" s="1" t="s">
        <v>919</v>
      </c>
      <c r="K1986" s="1" t="str">
        <f t="shared" si="126"/>
        <v>ㄅ</v>
      </c>
      <c r="L1986" s="1" t="str">
        <f t="shared" si="127"/>
        <v>ㄧ</v>
      </c>
      <c r="N1986" s="3" t="s">
        <v>30574</v>
      </c>
      <c r="O1986" s="3"/>
      <c r="P1986" s="1" t="s">
        <v>20</v>
      </c>
      <c r="R1986" s="1" t="s">
        <v>920</v>
      </c>
      <c r="V1986" s="1" t="s">
        <v>1037</v>
      </c>
      <c r="W1986" s="1" t="s">
        <v>1038</v>
      </c>
      <c r="AR1986" s="1" t="str">
        <f t="shared" si="125"/>
        <v>| [ㄅㄧˋ](ㄅㄧˋ.md) | [鷩](鷩.md) |  | bì | [名]
動物名。鳥綱雞形目。形與雉相似，羽毛美麗，產於大陸地區西南部山野。《爾雅．釋鳥》：「鷩雉。」晉．郭璞．注：「似山雞而小冠，背毛黃，腹下赤，項綠色鮮明。」也稱為「錦雞」。 |</v>
      </c>
    </row>
    <row r="1987" spans="1:44">
      <c r="A1987" s="1" t="s">
        <v>1039</v>
      </c>
      <c r="C1987" s="1">
        <v>1</v>
      </c>
      <c r="D1987" s="1" t="str">
        <f>"00382"</f>
        <v>00382</v>
      </c>
      <c r="E1987" s="1" t="s">
        <v>709</v>
      </c>
      <c r="F1987" s="1">
        <v>11</v>
      </c>
      <c r="G1987" s="1">
        <v>3</v>
      </c>
      <c r="H1987" s="1">
        <v>0</v>
      </c>
      <c r="I1987" s="1" t="s">
        <v>919</v>
      </c>
      <c r="K1987" s="1" t="str">
        <f t="shared" si="126"/>
        <v>ㄅ</v>
      </c>
      <c r="L1987" s="1" t="str">
        <f t="shared" si="127"/>
        <v>ㄧ</v>
      </c>
      <c r="N1987" s="3" t="s">
        <v>30574</v>
      </c>
      <c r="O1987" s="3"/>
      <c r="P1987" s="1" t="s">
        <v>20</v>
      </c>
      <c r="R1987" s="1" t="s">
        <v>920</v>
      </c>
      <c r="V1987" s="1" t="s">
        <v>1040</v>
      </c>
      <c r="AR1987" s="1" t="str">
        <f t="shared" ref="AR1987:AR2050" si="128">"| ["&amp;I1987&amp;"]("&amp;I1987&amp;".md) | ["&amp;A1987&amp;"]("&amp;A1987&amp;".md) | "&amp;" | "&amp;R1987&amp;" | "&amp;V1987&amp;" |"</f>
        <v>| [ㄅㄧˋ](ㄅㄧˋ.md) | [閉](閉.md) |  | bì | [動]
1.關上、合上。如：「閉門」、「閉目」。《禮記．禮運》：「故外戶而不閉，是謂『大同』。」
2.阻塞不通。如：「閉氣」、「閉塞」。《易經．坤卦．文言曰》：「天地變化，草木蕃。天地閉，賢人隱。」
3.停止、終結。如：「閉會」、「閉市」、「閉幕」。
4.禁止、斷絕。《左傳．僖公十五年》：「晉饑，秦輸之粟；秦饑，晉閉之糴。」《史記．卷二四．樂書》：「樂者，所以象德也；禮者，所以閉淫也。」
[名]
姓。如明代有閉魯。 |</v>
      </c>
    </row>
    <row r="1988" spans="1:44">
      <c r="A1988" s="1" t="s">
        <v>1041</v>
      </c>
      <c r="C1988" s="1">
        <v>1</v>
      </c>
      <c r="D1988" s="1" t="str">
        <f>"00383"</f>
        <v>00383</v>
      </c>
      <c r="E1988" s="1" t="s">
        <v>753</v>
      </c>
      <c r="F1988" s="1">
        <v>11</v>
      </c>
      <c r="G1988" s="1">
        <v>6</v>
      </c>
      <c r="H1988" s="1">
        <v>0</v>
      </c>
      <c r="I1988" s="1" t="s">
        <v>919</v>
      </c>
      <c r="K1988" s="1" t="str">
        <f t="shared" si="126"/>
        <v>ㄅ</v>
      </c>
      <c r="L1988" s="1" t="str">
        <f t="shared" si="127"/>
        <v>ㄧ</v>
      </c>
      <c r="N1988" s="3" t="s">
        <v>30574</v>
      </c>
      <c r="O1988" s="3"/>
      <c r="P1988" s="1" t="s">
        <v>20</v>
      </c>
      <c r="R1988" s="1" t="s">
        <v>920</v>
      </c>
      <c r="V1988" s="1" t="s">
        <v>1042</v>
      </c>
      <c r="AR1988" s="1" t="str">
        <f t="shared" si="128"/>
        <v>| [ㄅㄧˋ](ㄅㄧˋ.md) | [畢](畢.md) |  | bì | [名]_x000D_
1.古代用以捕捉鳥、兔的長柄小網。《說文解字．𠦒部》：「畢，田网也。」清．段玉裁．注：「謂田獵之网也。」《莊子．胠篋》：「夫弓弩畢弋機變之知多；則鳥亂於上矣。」_x000D_
2.簡札。《爾雅．釋器》：「簡謂之畢。」宋．邢昺．疏：「簡，竹簡也。古未有紙，載文於簡，謂之簡扎，一名畢。」《禮記．學記》：「今之教者，呻其佔畢，多其訊。」_x000D_
3.星宿名。二十八星宿之一，為西方白虎七宿的第五宿。_x000D_
4.星官名，畢宿之首，由八顆星組成，在西方屬金牛座。《詩經．小雅．漸漸之石》：「月離于畢，俾滂沱矣。」漢．司馬相如〈長門賦〉：「觀眾星之行列兮，畢昴出於東方。 」_x000D_
5.姓。如宋代有畢昇，清代有畢沅。_x000D_
[動]_x000D_
1.用網捕捉。《詩經．小雅．鴛鴦》：「鴛鴦于飛，畢之羅之。」漢．毛亨．傳：「於其飛乃畢掩而羅之。」_x000D_
2.結束、終止。如：「今日事，今日畢。」《孟子．滕文公上》：「公事畢，然後敢治私事。」唐．元稹《鶯鶯傳》：「言畢，翩然而逝。」_x000D_
[副]_x000D_
全部、一齊。如：「原形畢露」、「群賢畢至」。唐．韓愈〈進學解〉：「方今聖賢相逢，治具畢張。」 |</v>
      </c>
    </row>
    <row r="1989" spans="1:44">
      <c r="A1989" s="1" t="s">
        <v>1043</v>
      </c>
      <c r="C1989" s="1">
        <v>1</v>
      </c>
      <c r="D1989" s="1" t="str">
        <f>"00384"</f>
        <v>00384</v>
      </c>
      <c r="E1989" s="1" t="s">
        <v>28</v>
      </c>
      <c r="F1989" s="1">
        <v>14</v>
      </c>
      <c r="G1989" s="1">
        <v>11</v>
      </c>
      <c r="H1989" s="1">
        <v>0</v>
      </c>
      <c r="I1989" s="1" t="s">
        <v>919</v>
      </c>
      <c r="K1989" s="1" t="str">
        <f t="shared" si="126"/>
        <v>ㄅ</v>
      </c>
      <c r="L1989" s="1" t="str">
        <f t="shared" si="127"/>
        <v>ㄧ</v>
      </c>
      <c r="N1989" s="3" t="s">
        <v>30574</v>
      </c>
      <c r="O1989" s="3"/>
      <c r="P1989" s="1" t="s">
        <v>20</v>
      </c>
      <c r="R1989" s="1" t="s">
        <v>920</v>
      </c>
      <c r="V1989" s="1" t="s">
        <v>1044</v>
      </c>
      <c r="AR1989" s="1" t="str">
        <f t="shared" si="128"/>
        <v>| [ㄅㄧˋ](ㄅㄧˋ.md) | [嗶](嗶.md) |  | bì | 參見「嗶嗶剝剝」、「嗶嘰」等條。 |</v>
      </c>
    </row>
    <row r="1990" spans="1:44">
      <c r="A1990" s="1" t="s">
        <v>1045</v>
      </c>
      <c r="C1990" s="1">
        <v>1</v>
      </c>
      <c r="D1990" s="1" t="str">
        <f>"00385"</f>
        <v>00385</v>
      </c>
      <c r="E1990" s="1" t="s">
        <v>103</v>
      </c>
      <c r="F1990" s="1">
        <v>14</v>
      </c>
      <c r="G1990" s="1">
        <v>11</v>
      </c>
      <c r="H1990" s="1">
        <v>0</v>
      </c>
      <c r="I1990" s="1" t="s">
        <v>919</v>
      </c>
      <c r="K1990" s="1" t="str">
        <f t="shared" si="126"/>
        <v>ㄅ</v>
      </c>
      <c r="L1990" s="1" t="str">
        <f t="shared" si="127"/>
        <v>ㄧ</v>
      </c>
      <c r="N1990" s="3" t="s">
        <v>30574</v>
      </c>
      <c r="O1990" s="3"/>
      <c r="P1990" s="1" t="s">
        <v>20</v>
      </c>
      <c r="R1990" s="1" t="s">
        <v>920</v>
      </c>
      <c r="V1990" s="1" t="s">
        <v>1046</v>
      </c>
      <c r="AR1990" s="1" t="str">
        <f t="shared" si="128"/>
        <v>| [ㄅㄧˋ](ㄅㄧˋ.md) | [彃](彃.md) |  | bì | [動]
射。《說文解字．弓部》：「彃，射也。」清．段玉裁．注：「彃，射者，弓弩發於身而中於遠也。」《楚辭．屈原．天問》：「羿焉彃日，烏焉解羽。」南朝梁．劉勰《文心雕龍．辨騷》：「康回傾地，夷羿彃日。」
[名]
弦。《集韻．入聲．質韻》：「彃，一曰：『弦』也。」 |</v>
      </c>
    </row>
    <row r="1991" spans="1:44">
      <c r="A1991" s="1" t="s">
        <v>1047</v>
      </c>
      <c r="C1991" s="1">
        <v>1</v>
      </c>
      <c r="D1991" s="1" t="str">
        <f>"00386"</f>
        <v>00386</v>
      </c>
      <c r="E1991" s="1" t="s">
        <v>37</v>
      </c>
      <c r="F1991" s="1">
        <v>15</v>
      </c>
      <c r="G1991" s="1">
        <v>11</v>
      </c>
      <c r="H1991" s="1">
        <v>0</v>
      </c>
      <c r="I1991" s="1" t="s">
        <v>919</v>
      </c>
      <c r="K1991" s="1" t="str">
        <f t="shared" si="126"/>
        <v>ㄅ</v>
      </c>
      <c r="L1991" s="1" t="str">
        <f t="shared" si="127"/>
        <v>ㄧ</v>
      </c>
      <c r="N1991" s="3" t="s">
        <v>30574</v>
      </c>
      <c r="O1991" s="3"/>
      <c r="P1991" s="1" t="s">
        <v>20</v>
      </c>
      <c r="R1991" s="1" t="s">
        <v>920</v>
      </c>
      <c r="V1991" s="1" t="s">
        <v>1048</v>
      </c>
      <c r="AR1991" s="1" t="str">
        <f t="shared" si="128"/>
        <v>| [ㄅㄧˋ](ㄅㄧˋ.md) | [蓽](蓽.md) |  | bì | [名]
1.荊竹樹枝之類所編成的籬笆或遮擋物。通「篳」。《集韻．入聲．質韻》：「蓽，荊也。」晉．陶淵明〈止酒〉詩：「步止蓽門裡，好味止園葵。」
2.參見「蓽茇」條。 |</v>
      </c>
    </row>
    <row r="1992" spans="1:44">
      <c r="A1992" s="1" t="s">
        <v>1049</v>
      </c>
      <c r="C1992" s="1">
        <v>1</v>
      </c>
      <c r="D1992" s="1" t="str">
        <f>"00387"</f>
        <v>00387</v>
      </c>
      <c r="E1992" s="1" t="s">
        <v>49</v>
      </c>
      <c r="F1992" s="1">
        <v>17</v>
      </c>
      <c r="G1992" s="1">
        <v>11</v>
      </c>
      <c r="H1992" s="1">
        <v>0</v>
      </c>
      <c r="I1992" s="1" t="s">
        <v>919</v>
      </c>
      <c r="K1992" s="1" t="str">
        <f t="shared" si="126"/>
        <v>ㄅ</v>
      </c>
      <c r="L1992" s="1" t="str">
        <f t="shared" si="127"/>
        <v>ㄧ</v>
      </c>
      <c r="N1992" s="3" t="s">
        <v>30574</v>
      </c>
      <c r="O1992" s="3"/>
      <c r="P1992" s="1" t="s">
        <v>20</v>
      </c>
      <c r="R1992" s="1" t="s">
        <v>920</v>
      </c>
      <c r="V1992" s="1" t="s">
        <v>1050</v>
      </c>
      <c r="AR1992" s="1" t="str">
        <f t="shared" si="128"/>
        <v>| [ㄅㄧˋ](ㄅㄧˋ.md) | [篳](篳.md) |  | bì | [名]
1.本指以荊條編成的籬笆、門扉或其他遮擋物。後泛指以荊條或竹子編成的器物。如：「篳門」。
2.參見「篳篥」條。 |</v>
      </c>
    </row>
    <row r="1993" spans="1:44">
      <c r="A1993" s="1" t="s">
        <v>1051</v>
      </c>
      <c r="C1993" s="1">
        <v>1</v>
      </c>
      <c r="D1993" s="1" t="str">
        <f>"00388"</f>
        <v>00388</v>
      </c>
      <c r="E1993" s="1" t="s">
        <v>725</v>
      </c>
      <c r="F1993" s="1">
        <v>17</v>
      </c>
      <c r="G1993" s="1">
        <v>11</v>
      </c>
      <c r="H1993" s="1">
        <v>0</v>
      </c>
      <c r="I1993" s="1" t="s">
        <v>919</v>
      </c>
      <c r="K1993" s="1" t="str">
        <f t="shared" si="126"/>
        <v>ㄅ</v>
      </c>
      <c r="L1993" s="1" t="str">
        <f t="shared" si="127"/>
        <v>ㄧ</v>
      </c>
      <c r="N1993" s="3" t="s">
        <v>30574</v>
      </c>
      <c r="O1993" s="3"/>
      <c r="P1993" s="1" t="s">
        <v>20</v>
      </c>
      <c r="R1993" s="1" t="s">
        <v>920</v>
      </c>
      <c r="V1993" s="1" t="s">
        <v>1052</v>
      </c>
      <c r="AR1993" s="1" t="str">
        <f t="shared" si="128"/>
        <v>| [ㄅㄧˋ](ㄅㄧˋ.md) | [縪](縪.md) |  | bì | [名]
1.古時帽冠上的接縫處。《儀禮．既夕禮》：「冠六升，外縪，纓條屬厭。」漢．鄭玄．注：「縪，謂縫著於武也。」唐．賈公彥．疏：「武謂冠卷，以冠前後皆縫著於武……若凶冠，從武下外縫之，謂之外縪。」
2.古時遮蔽膝蓋用的朝服，多以柔皮製成。通「韠」。 |</v>
      </c>
    </row>
    <row r="1994" spans="1:44">
      <c r="A1994" s="1" t="s">
        <v>1053</v>
      </c>
      <c r="C1994" s="1">
        <v>1</v>
      </c>
      <c r="D1994" s="1" t="str">
        <f>"00389"</f>
        <v>00389</v>
      </c>
      <c r="E1994" s="1" t="s">
        <v>77</v>
      </c>
      <c r="F1994" s="1">
        <v>18</v>
      </c>
      <c r="G1994" s="1">
        <v>11</v>
      </c>
      <c r="H1994" s="1">
        <v>0</v>
      </c>
      <c r="I1994" s="1" t="s">
        <v>919</v>
      </c>
      <c r="K1994" s="1" t="str">
        <f t="shared" si="126"/>
        <v>ㄅ</v>
      </c>
      <c r="L1994" s="1" t="str">
        <f t="shared" si="127"/>
        <v>ㄧ</v>
      </c>
      <c r="N1994" s="3" t="s">
        <v>30574</v>
      </c>
      <c r="O1994" s="3"/>
      <c r="P1994" s="1" t="s">
        <v>20</v>
      </c>
      <c r="R1994" s="1" t="s">
        <v>920</v>
      </c>
      <c r="V1994" s="1" t="s">
        <v>1054</v>
      </c>
      <c r="AR1994" s="1" t="str">
        <f t="shared" si="128"/>
        <v>| [ㄅㄧˋ](ㄅㄧˋ.md) | [蹕](蹕.md) |  | bì | [名]
1.古時帝王出行時，實施交通管制，禁止人車通行，稱為「蹕」。《史記．卷一〇二．張釋之傳》：「縣人來，聞蹕，匿橋下。」《三國志．卷一．魏書．武帝紀》：「夏四月，天子命王設天子旌旗，出入稱警蹕。」
2.泛指帝王出行時止宿的地方。如：「駐蹕」。 |</v>
      </c>
    </row>
    <row r="1995" spans="1:44">
      <c r="A1995" s="1" t="s">
        <v>1055</v>
      </c>
      <c r="C1995" s="1">
        <v>1</v>
      </c>
      <c r="D1995" s="1" t="str">
        <f>"00390"</f>
        <v>00390</v>
      </c>
      <c r="E1995" s="1" t="s">
        <v>193</v>
      </c>
      <c r="F1995" s="1">
        <v>19</v>
      </c>
      <c r="G1995" s="1">
        <v>11</v>
      </c>
      <c r="H1995" s="1">
        <v>0</v>
      </c>
      <c r="I1995" s="1" t="s">
        <v>919</v>
      </c>
      <c r="K1995" s="1" t="str">
        <f t="shared" si="126"/>
        <v>ㄅ</v>
      </c>
      <c r="L1995" s="1" t="str">
        <f t="shared" si="127"/>
        <v>ㄧ</v>
      </c>
      <c r="N1995" s="3" t="s">
        <v>30574</v>
      </c>
      <c r="O1995" s="3"/>
      <c r="P1995" s="1" t="s">
        <v>20</v>
      </c>
      <c r="R1995" s="1" t="s">
        <v>920</v>
      </c>
      <c r="V1995" s="1" t="s">
        <v>1056</v>
      </c>
      <c r="AR1995" s="1" t="str">
        <f t="shared" si="128"/>
        <v>| [ㄅㄧˋ](ㄅㄧˋ.md) | [饆](饆.md) |  | bì | 參見「饆饠」條。 |</v>
      </c>
    </row>
    <row r="1996" spans="1:44">
      <c r="A1996" s="1" t="s">
        <v>1057</v>
      </c>
      <c r="C1996" s="1">
        <v>1</v>
      </c>
      <c r="D1996" s="1" t="str">
        <f>"00391"</f>
        <v>00391</v>
      </c>
      <c r="E1996" s="1" t="s">
        <v>1058</v>
      </c>
      <c r="F1996" s="1">
        <v>20</v>
      </c>
      <c r="G1996" s="1">
        <v>11</v>
      </c>
      <c r="H1996" s="1">
        <v>0</v>
      </c>
      <c r="I1996" s="1" t="s">
        <v>919</v>
      </c>
      <c r="K1996" s="1" t="str">
        <f t="shared" si="126"/>
        <v>ㄅ</v>
      </c>
      <c r="L1996" s="1" t="str">
        <f t="shared" si="127"/>
        <v>ㄧ</v>
      </c>
      <c r="N1996" s="3" t="s">
        <v>30574</v>
      </c>
      <c r="O1996" s="3"/>
      <c r="P1996" s="1" t="s">
        <v>20</v>
      </c>
      <c r="R1996" s="1" t="s">
        <v>920</v>
      </c>
      <c r="V1996" s="1" t="s">
        <v>1059</v>
      </c>
      <c r="AR1996" s="1" t="str">
        <f t="shared" si="128"/>
        <v>| [ㄅㄧˋ](ㄅㄧˋ.md) | [韠](韠.md) |  | bì | [名]
古時遮蔽膝蓋用的朝服，多以柔皮製成。《說文解字．韋部》：「韠，韍也。所以蔽前者，以韋，下廣二尺，上廣一尺，其頸五寸。一命縕韠，再命赤韠。」《詩經．檜風．素冠》：「庶見素韠兮，我心蘊結兮，聊與子如一兮。」 |</v>
      </c>
    </row>
    <row r="1997" spans="1:44">
      <c r="A1997" s="1" t="s">
        <v>1060</v>
      </c>
      <c r="C1997" s="1">
        <v>1</v>
      </c>
      <c r="D1997" s="1" t="str">
        <f>"00392"</f>
        <v>00392</v>
      </c>
      <c r="E1997" s="1" t="s">
        <v>129</v>
      </c>
      <c r="F1997" s="1">
        <v>12</v>
      </c>
      <c r="G1997" s="1">
        <v>9</v>
      </c>
      <c r="H1997" s="1">
        <v>0</v>
      </c>
      <c r="I1997" s="1" t="s">
        <v>919</v>
      </c>
      <c r="K1997" s="1" t="str">
        <f t="shared" si="126"/>
        <v>ㄅ</v>
      </c>
      <c r="L1997" s="1" t="str">
        <f t="shared" si="127"/>
        <v>ㄧ</v>
      </c>
      <c r="N1997" s="3" t="s">
        <v>30574</v>
      </c>
      <c r="O1997" s="3"/>
      <c r="P1997" s="1" t="s">
        <v>20</v>
      </c>
      <c r="R1997" s="1" t="s">
        <v>920</v>
      </c>
      <c r="V1997" s="1" t="s">
        <v>1061</v>
      </c>
      <c r="AR1997" s="1" t="str">
        <f t="shared" si="128"/>
        <v>| [ㄅㄧˋ](ㄅㄧˋ.md) | [湢](湢.md) |  | bì | [名]
浴室。《禮記．內則》：「外內不共井，不共湢浴。」漢．鄭玄．注：「湢，浴室也。」
[形]
整肅。參見「湢然」條。 |</v>
      </c>
    </row>
    <row r="1998" spans="1:44">
      <c r="A1998" s="1" t="s">
        <v>1062</v>
      </c>
      <c r="C1998" s="1">
        <v>1</v>
      </c>
      <c r="D1998" s="1" t="str">
        <f>"00393"</f>
        <v>00393</v>
      </c>
      <c r="E1998" s="1" t="s">
        <v>250</v>
      </c>
      <c r="F1998" s="1">
        <v>12</v>
      </c>
      <c r="G1998" s="1">
        <v>9</v>
      </c>
      <c r="H1998" s="1">
        <v>0</v>
      </c>
      <c r="I1998" s="1" t="s">
        <v>919</v>
      </c>
      <c r="K1998" s="1" t="str">
        <f t="shared" si="126"/>
        <v>ㄅ</v>
      </c>
      <c r="L1998" s="1" t="str">
        <f t="shared" si="127"/>
        <v>ㄧ</v>
      </c>
      <c r="N1998" s="3" t="s">
        <v>30574</v>
      </c>
      <c r="O1998" s="3"/>
      <c r="P1998" s="1" t="s">
        <v>20</v>
      </c>
      <c r="R1998" s="1" t="s">
        <v>920</v>
      </c>
      <c r="V1998" s="1" t="s">
        <v>1063</v>
      </c>
      <c r="AR1998" s="1" t="str">
        <f t="shared" si="128"/>
        <v>| [ㄅㄧˋ](ㄅㄧˋ.md) | [愊](愊.md) |  | bì | [形]
1.至誠。大徐《說文解字．心部》：「愊，誠志也。」《漢書．卷三六．楚元王劉交傳》：「發憤悃愊，信有憂國之心。」唐．顏師古．注：「悃愊，至誠也。」《新唐書．卷一八二．劉瑑傳》：「諫罷武宗方士，言多懇愊。」
2.心中鬱結。參見「愊抑」、「愊憶」等條。 |</v>
      </c>
    </row>
    <row r="1999" spans="1:44">
      <c r="A1999" s="1" t="s">
        <v>1064</v>
      </c>
      <c r="C1999" s="1">
        <v>1</v>
      </c>
      <c r="D1999" s="1" t="str">
        <f>"00394"</f>
        <v>00394</v>
      </c>
      <c r="E1999" s="1" t="s">
        <v>24</v>
      </c>
      <c r="F1999" s="1">
        <v>12</v>
      </c>
      <c r="G1999" s="1">
        <v>9</v>
      </c>
      <c r="H1999" s="1">
        <v>0</v>
      </c>
      <c r="I1999" s="1" t="s">
        <v>919</v>
      </c>
      <c r="K1999" s="1" t="str">
        <f t="shared" si="126"/>
        <v>ㄅ</v>
      </c>
      <c r="L1999" s="1" t="str">
        <f t="shared" si="127"/>
        <v>ㄧ</v>
      </c>
      <c r="N1999" s="3" t="s">
        <v>30574</v>
      </c>
      <c r="O1999" s="3"/>
      <c r="P1999" s="1" t="s">
        <v>20</v>
      </c>
      <c r="R1999" s="1" t="s">
        <v>920</v>
      </c>
      <c r="V1999" s="1" t="s">
        <v>1065</v>
      </c>
      <c r="AR1999" s="1" t="str">
        <f t="shared" si="128"/>
        <v>| [ㄅㄧˋ](ㄅㄧˋ.md) | [揊](揊.md) |  | bì | [動]_x000D_
擊。清．王念孫《廣雅疏證．卷三上．釋詁》：「揊，擊也。」_x000D_
[擬]_x000D_
模擬撞擊聲。《廣韻．入聲．職韻》：「揊，擊聲。」唐．崔湜〈野燎賦〉：「或霍濩以燐亂，戶轟嗃而揊拍。」 |</v>
      </c>
    </row>
    <row r="2000" spans="1:44">
      <c r="A2000" s="1" t="s">
        <v>1066</v>
      </c>
      <c r="C2000" s="1">
        <v>1</v>
      </c>
      <c r="D2000" s="1" t="str">
        <f>"00395"</f>
        <v>00395</v>
      </c>
      <c r="E2000" s="1" t="s">
        <v>336</v>
      </c>
      <c r="F2000" s="1">
        <v>13</v>
      </c>
      <c r="G2000" s="1">
        <v>9</v>
      </c>
      <c r="H2000" s="1">
        <v>0</v>
      </c>
      <c r="I2000" s="1" t="s">
        <v>919</v>
      </c>
      <c r="K2000" s="1" t="str">
        <f t="shared" si="126"/>
        <v>ㄅ</v>
      </c>
      <c r="L2000" s="1" t="str">
        <f t="shared" si="127"/>
        <v>ㄧ</v>
      </c>
      <c r="N2000" s="3" t="s">
        <v>30574</v>
      </c>
      <c r="O2000" s="3"/>
      <c r="P2000" s="1" t="s">
        <v>20</v>
      </c>
      <c r="R2000" s="1" t="s">
        <v>920</v>
      </c>
      <c r="V2000" s="1" t="s">
        <v>1067</v>
      </c>
      <c r="AR2000" s="1" t="str">
        <f t="shared" si="128"/>
        <v>| [ㄅㄧˋ](ㄅㄧˋ.md) | [煏](煏.md) |  | bì | [動]
方言。用火烘乾。《玉篇．火部》：「煏，火乾也。」《齊民要術．卷五．伐木》：「凡非時之木，水漚一月，或火煏取乾，蟲皆不生。」《佩文韻府．卷七一．隊韻》：「張鳳翼〈喜雨賦〉：『潤物優游不破塊兮，睠彼疆場靡煏焙兮。』」 |</v>
      </c>
    </row>
    <row r="2001" spans="1:44">
      <c r="A2001" s="1" t="s">
        <v>1068</v>
      </c>
      <c r="C2001" s="1">
        <v>1</v>
      </c>
      <c r="D2001" s="1" t="str">
        <f>"00396"</f>
        <v>00396</v>
      </c>
      <c r="E2001" s="1" t="s">
        <v>139</v>
      </c>
      <c r="F2001" s="1">
        <v>13</v>
      </c>
      <c r="G2001" s="1">
        <v>9</v>
      </c>
      <c r="H2001" s="1">
        <v>2</v>
      </c>
      <c r="I2001" s="1" t="s">
        <v>919</v>
      </c>
      <c r="K2001" s="1" t="str">
        <f t="shared" si="126"/>
        <v>ㄅ</v>
      </c>
      <c r="L2001" s="1" t="str">
        <f t="shared" si="127"/>
        <v>ㄧ</v>
      </c>
      <c r="N2001" s="3" t="s">
        <v>30574</v>
      </c>
      <c r="O2001" s="3"/>
      <c r="P2001" s="1" t="s">
        <v>110</v>
      </c>
      <c r="R2001" s="1" t="s">
        <v>920</v>
      </c>
      <c r="V2001" s="1" t="s">
        <v>111</v>
      </c>
      <c r="W2001" s="1" t="s">
        <v>1069</v>
      </c>
      <c r="AR2001" s="1" t="str">
        <f t="shared" si="128"/>
        <v>| [ㄅㄧˋ](ㄅㄧˋ.md) | [楅](楅.md) |  | bì | (一)之又音。 |</v>
      </c>
    </row>
    <row r="2002" spans="1:44">
      <c r="A2002" s="1" t="s">
        <v>881</v>
      </c>
      <c r="C2002" s="1">
        <v>1</v>
      </c>
      <c r="D2002" s="1" t="str">
        <f>"00397"</f>
        <v>00397</v>
      </c>
      <c r="E2002" s="1" t="s">
        <v>558</v>
      </c>
      <c r="F2002" s="1">
        <v>13</v>
      </c>
      <c r="G2002" s="1">
        <v>9</v>
      </c>
      <c r="H2002" s="1">
        <v>2</v>
      </c>
      <c r="I2002" s="1" t="s">
        <v>919</v>
      </c>
      <c r="K2002" s="1" t="str">
        <f t="shared" si="126"/>
        <v>ㄅ</v>
      </c>
      <c r="L2002" s="1" t="str">
        <f t="shared" si="127"/>
        <v>ㄧ</v>
      </c>
      <c r="N2002" s="3" t="s">
        <v>30574</v>
      </c>
      <c r="O2002" s="3"/>
      <c r="P2002" s="1" t="s">
        <v>110</v>
      </c>
      <c r="R2002" s="1" t="s">
        <v>920</v>
      </c>
      <c r="V2002" s="1" t="s">
        <v>111</v>
      </c>
      <c r="W2002" s="1" t="s">
        <v>1070</v>
      </c>
      <c r="AR2002" s="1" t="str">
        <f t="shared" si="128"/>
        <v>| [ㄅㄧˋ](ㄅㄧˋ.md) | [逼](逼.md) |  | bì | (一)之又音。 |</v>
      </c>
    </row>
    <row r="2003" spans="1:44">
      <c r="A2003" s="1" t="s">
        <v>1071</v>
      </c>
      <c r="C2003" s="1">
        <v>1</v>
      </c>
      <c r="D2003" s="1" t="str">
        <f>"00398"</f>
        <v>00398</v>
      </c>
      <c r="E2003" s="1" t="s">
        <v>68</v>
      </c>
      <c r="F2003" s="1">
        <v>13</v>
      </c>
      <c r="G2003" s="1">
        <v>9</v>
      </c>
      <c r="H2003" s="1">
        <v>0</v>
      </c>
      <c r="I2003" s="1" t="s">
        <v>919</v>
      </c>
      <c r="K2003" s="1" t="str">
        <f t="shared" si="126"/>
        <v>ㄅ</v>
      </c>
      <c r="L2003" s="1" t="str">
        <f t="shared" si="127"/>
        <v>ㄧ</v>
      </c>
      <c r="N2003" s="3" t="s">
        <v>30574</v>
      </c>
      <c r="O2003" s="3"/>
      <c r="P2003" s="1" t="s">
        <v>20</v>
      </c>
      <c r="R2003" s="1" t="s">
        <v>920</v>
      </c>
      <c r="V2003" s="1" t="s">
        <v>1072</v>
      </c>
      <c r="AR2003" s="1" t="str">
        <f t="shared" si="128"/>
        <v>| [ㄅㄧˋ](ㄅㄧˋ.md) | [腷](腷.md) |  | bì | 參見「腷腷膊膊」、「腷臆」等條。 |</v>
      </c>
    </row>
    <row r="2004" spans="1:44">
      <c r="A2004" s="1" t="s">
        <v>1073</v>
      </c>
      <c r="C2004" s="1">
        <v>1</v>
      </c>
      <c r="D2004" s="1" t="str">
        <f>"00399"</f>
        <v>00399</v>
      </c>
      <c r="E2004" s="1" t="s">
        <v>331</v>
      </c>
      <c r="F2004" s="1">
        <v>12</v>
      </c>
      <c r="G2004" s="1">
        <v>5</v>
      </c>
      <c r="H2004" s="1">
        <v>0</v>
      </c>
      <c r="I2004" s="1" t="s">
        <v>919</v>
      </c>
      <c r="K2004" s="1" t="str">
        <f t="shared" si="126"/>
        <v>ㄅ</v>
      </c>
      <c r="L2004" s="1" t="str">
        <f t="shared" si="127"/>
        <v>ㄧ</v>
      </c>
      <c r="N2004" s="3" t="s">
        <v>30574</v>
      </c>
      <c r="O2004" s="3"/>
      <c r="P2004" s="1" t="s">
        <v>20</v>
      </c>
      <c r="R2004" s="1" t="s">
        <v>920</v>
      </c>
      <c r="V2004" s="1" t="s">
        <v>1074</v>
      </c>
      <c r="AR2004" s="1" t="str">
        <f t="shared" si="128"/>
        <v>| [ㄅㄧˋ](ㄅㄧˋ.md) | [詖](詖.md) |  | bì | [形]
1.偏頗、不公正。漢．王充《論衡．自然》：「德彌薄者信彌衰，心險而行詖，則犯約而負教。」唐．柳宗元〈送賈山人南遊序〉：「言未嘗詖，行未嘗怪。」
2.諂媚。《漢書．卷八四．翟方進傳》：「（翟）義父故丞相方進，險詖陰賊。」唐．顏師古．注：「詖，佞也。」 |</v>
      </c>
    </row>
    <row r="2005" spans="1:44">
      <c r="A2005" s="1" t="s">
        <v>351</v>
      </c>
      <c r="C2005" s="1">
        <v>1</v>
      </c>
      <c r="D2005" s="1" t="str">
        <f>"00400"</f>
        <v>00400</v>
      </c>
      <c r="E2005" s="1" t="s">
        <v>77</v>
      </c>
      <c r="F2005" s="1">
        <v>12</v>
      </c>
      <c r="G2005" s="1">
        <v>5</v>
      </c>
      <c r="H2005" s="1">
        <v>2</v>
      </c>
      <c r="I2005" s="1" t="s">
        <v>919</v>
      </c>
      <c r="K2005" s="1" t="str">
        <f t="shared" si="126"/>
        <v>ㄅ</v>
      </c>
      <c r="L2005" s="1" t="str">
        <f t="shared" si="127"/>
        <v>ㄧ</v>
      </c>
      <c r="N2005" s="3" t="s">
        <v>30574</v>
      </c>
      <c r="O2005" s="3"/>
      <c r="P2005" s="1" t="s">
        <v>20</v>
      </c>
      <c r="R2005" s="1" t="s">
        <v>920</v>
      </c>
      <c r="V2005" s="1" t="s">
        <v>1075</v>
      </c>
      <c r="W2005" s="1" t="s">
        <v>1076</v>
      </c>
      <c r="AR2005" s="1" t="str">
        <f t="shared" si="128"/>
        <v>| [ㄅㄧˋ](ㄅㄧˋ.md) | [跛](跛.md) |  | bì | [副]
歪斜、偏倚。《禮記．曲禮上》：「遊毋倨，立毋跛。」唐．孔穎達．正義：「跛，偏也，謂挈舉一足，一足蹋也。立宜如齊，雙足並立不得偏也。」 |</v>
      </c>
    </row>
    <row r="2006" spans="1:44">
      <c r="A2006" s="1" t="s">
        <v>1077</v>
      </c>
      <c r="C2006" s="1">
        <v>1</v>
      </c>
      <c r="D2006" s="1" t="str">
        <f>"00401"</f>
        <v>00401</v>
      </c>
      <c r="E2006" s="1" t="s">
        <v>1078</v>
      </c>
      <c r="F2006" s="1">
        <v>15</v>
      </c>
      <c r="G2006" s="1">
        <v>5</v>
      </c>
      <c r="H2006" s="1">
        <v>0</v>
      </c>
      <c r="I2006" s="1" t="s">
        <v>919</v>
      </c>
      <c r="K2006" s="1" t="str">
        <f t="shared" si="126"/>
        <v>ㄅ</v>
      </c>
      <c r="L2006" s="1" t="str">
        <f t="shared" si="127"/>
        <v>ㄧ</v>
      </c>
      <c r="N2006" s="3" t="s">
        <v>30574</v>
      </c>
      <c r="O2006" s="3"/>
      <c r="P2006" s="1" t="s">
        <v>20</v>
      </c>
      <c r="R2006" s="1" t="s">
        <v>920</v>
      </c>
      <c r="V2006" s="1" t="s">
        <v>1079</v>
      </c>
      <c r="AR2006" s="1" t="str">
        <f t="shared" si="128"/>
        <v>| [ㄅㄧˋ](ㄅㄧˋ.md) | [髲](髲.md) |  | bì | [名]
假髮。漢．劉熙《釋名．釋首飾》：「髲，被也。髮少者得以被助其髮也。」南朝宋．劉義慶《世說新語．賢媛》：「湛頭髮委地，下為二髲。」《三國志．卷五三．吳書．薛綜傳》：「珠崖之廢，起於長吏睹其好髮，髡取為髲。」 |</v>
      </c>
    </row>
    <row r="2007" spans="1:44">
      <c r="A2007" s="1" t="s">
        <v>1080</v>
      </c>
      <c r="C2007" s="1">
        <v>1</v>
      </c>
      <c r="D2007" s="1" t="str">
        <f>"00402"</f>
        <v>00402</v>
      </c>
      <c r="E2007" s="1" t="s">
        <v>283</v>
      </c>
      <c r="F2007" s="1">
        <v>15</v>
      </c>
      <c r="G2007" s="1">
        <v>5</v>
      </c>
      <c r="H2007" s="1">
        <v>0</v>
      </c>
      <c r="I2007" s="1" t="s">
        <v>919</v>
      </c>
      <c r="K2007" s="1" t="str">
        <f t="shared" si="126"/>
        <v>ㄅ</v>
      </c>
      <c r="L2007" s="1" t="str">
        <f t="shared" si="127"/>
        <v>ㄧ</v>
      </c>
      <c r="N2007" s="3" t="s">
        <v>30574</v>
      </c>
      <c r="O2007" s="3"/>
      <c r="P2007" s="1" t="s">
        <v>20</v>
      </c>
      <c r="R2007" s="1" t="s">
        <v>920</v>
      </c>
      <c r="V2007" s="1" t="s">
        <v>1081</v>
      </c>
      <c r="AR2007" s="1" t="str">
        <f t="shared" si="128"/>
        <v>| [ㄅㄧˋ](ㄅㄧˋ.md) | [骳](骳.md) |  | bì | 參見「骫骳」條。 |</v>
      </c>
    </row>
    <row r="2008" spans="1:44">
      <c r="A2008" s="1" t="s">
        <v>1082</v>
      </c>
      <c r="C2008" s="1">
        <v>1</v>
      </c>
      <c r="D2008" s="1" t="str">
        <f>"00403"</f>
        <v>00403</v>
      </c>
      <c r="E2008" s="1" t="s">
        <v>250</v>
      </c>
      <c r="F2008" s="1">
        <v>12</v>
      </c>
      <c r="G2008" s="1">
        <v>9</v>
      </c>
      <c r="H2008" s="1">
        <v>0</v>
      </c>
      <c r="I2008" s="1" t="s">
        <v>919</v>
      </c>
      <c r="K2008" s="1" t="str">
        <f t="shared" si="126"/>
        <v>ㄅ</v>
      </c>
      <c r="L2008" s="1" t="str">
        <f t="shared" si="127"/>
        <v>ㄧ</v>
      </c>
      <c r="N2008" s="3" t="s">
        <v>30574</v>
      </c>
      <c r="O2008" s="3"/>
      <c r="P2008" s="1" t="s">
        <v>20</v>
      </c>
      <c r="R2008" s="1" t="s">
        <v>920</v>
      </c>
      <c r="V2008" s="1" t="s">
        <v>1083</v>
      </c>
      <c r="AR2008" s="1" t="str">
        <f t="shared" si="128"/>
        <v>| [ㄅㄧˋ](ㄅㄧˋ.md) | [愎](愎.md) |  | bì | [形]
任性、固執。如：「剛愎自用」。《左傳．哀公二十六年》：「君愎而虐。」宋．胡銓〈戊午上高宗封事〉：「則檜之遂非狠愎，已自可見。」 |</v>
      </c>
    </row>
    <row r="2009" spans="1:44">
      <c r="A2009" s="1" t="s">
        <v>743</v>
      </c>
      <c r="C2009" s="1">
        <v>1</v>
      </c>
      <c r="D2009" s="1" t="str">
        <f>"00404"</f>
        <v>00404</v>
      </c>
      <c r="E2009" s="1" t="s">
        <v>505</v>
      </c>
      <c r="F2009" s="1">
        <v>12</v>
      </c>
      <c r="G2009" s="1">
        <v>5</v>
      </c>
      <c r="H2009" s="1">
        <v>1</v>
      </c>
      <c r="I2009" s="1" t="s">
        <v>919</v>
      </c>
      <c r="K2009" s="1" t="str">
        <f t="shared" si="126"/>
        <v>ㄅ</v>
      </c>
      <c r="L2009" s="1" t="str">
        <f t="shared" si="127"/>
        <v>ㄧ</v>
      </c>
      <c r="N2009" s="3" t="s">
        <v>30574</v>
      </c>
      <c r="O2009" s="3"/>
      <c r="P2009" s="1" t="s">
        <v>20</v>
      </c>
      <c r="R2009" s="1" t="s">
        <v>920</v>
      </c>
      <c r="V2009" s="1" t="s">
        <v>1084</v>
      </c>
      <c r="W2009" s="1" t="s">
        <v>1085</v>
      </c>
      <c r="AR2009" s="1" t="str">
        <f t="shared" si="128"/>
        <v>| [ㄅㄧˋ](ㄅㄧˋ.md) | [賁](賁.md) |  | bì | [名]
1.美飾。《易經．賁卦．上九》：「白賁，無咎。」唐．孔穎達．正義：「以自為飾而無憂患。」
2.《易經》卦名。六十四卦之一。離（☲）下艮（☶）上。象徵著可以有小利，且可以有所往的意思。
[形]
華麗的、光潔的。參見「賁如」、「賁然」等條。
[副]
形容貴賓駕臨。參見「賁臨」條。 |</v>
      </c>
    </row>
    <row r="2010" spans="1:44">
      <c r="A2010" s="1" t="s">
        <v>1086</v>
      </c>
      <c r="C2010" s="1">
        <v>1</v>
      </c>
      <c r="D2010" s="1" t="str">
        <f>"00405"</f>
        <v>00405</v>
      </c>
      <c r="E2010" s="1" t="s">
        <v>205</v>
      </c>
      <c r="F2010" s="1">
        <v>12</v>
      </c>
      <c r="G2010" s="1">
        <v>7</v>
      </c>
      <c r="H2010" s="1">
        <v>0</v>
      </c>
      <c r="I2010" s="1" t="s">
        <v>919</v>
      </c>
      <c r="K2010" s="1" t="str">
        <f t="shared" si="126"/>
        <v>ㄅ</v>
      </c>
      <c r="L2010" s="1" t="str">
        <f t="shared" si="127"/>
        <v>ㄧ</v>
      </c>
      <c r="N2010" s="3" t="s">
        <v>30574</v>
      </c>
      <c r="O2010" s="3"/>
      <c r="P2010" s="1" t="s">
        <v>20</v>
      </c>
      <c r="R2010" s="1" t="s">
        <v>920</v>
      </c>
      <c r="V2010" s="1" t="s">
        <v>1087</v>
      </c>
      <c r="AR2010" s="1" t="str">
        <f t="shared" si="128"/>
        <v>| [ㄅㄧˋ](ㄅㄧˋ.md) | [皕](皕.md) |  | bì | [名]
二百稱為「皕」。《說文解字．皕部》：「皕，二百也。」如：「皕宋樓」。 |</v>
      </c>
    </row>
    <row r="2011" spans="1:44">
      <c r="A2011" s="1" t="s">
        <v>1088</v>
      </c>
      <c r="C2011" s="1">
        <v>1</v>
      </c>
      <c r="D2011" s="1" t="str">
        <f>"00406"</f>
        <v>00406</v>
      </c>
      <c r="E2011" s="1" t="s">
        <v>103</v>
      </c>
      <c r="F2011" s="1">
        <v>12</v>
      </c>
      <c r="G2011" s="1">
        <v>9</v>
      </c>
      <c r="H2011" s="1">
        <v>0</v>
      </c>
      <c r="I2011" s="1" t="s">
        <v>919</v>
      </c>
      <c r="K2011" s="1" t="str">
        <f t="shared" si="126"/>
        <v>ㄅ</v>
      </c>
      <c r="L2011" s="1" t="str">
        <f t="shared" si="127"/>
        <v>ㄧ</v>
      </c>
      <c r="N2011" s="3" t="s">
        <v>30574</v>
      </c>
      <c r="O2011" s="3"/>
      <c r="P2011" s="1" t="s">
        <v>20</v>
      </c>
      <c r="R2011" s="1" t="s">
        <v>920</v>
      </c>
      <c r="V2011" s="1" t="s">
        <v>1089</v>
      </c>
      <c r="AR2011" s="1" t="str">
        <f t="shared" si="128"/>
        <v>| [ㄅㄧˋ](ㄅㄧˋ.md) | [弼](弼.md) |  | bì | [動]
1.輔助。《字彙．弓部》：「弼，輔也，助也，正也。」《書經．益稷》：「予違汝弼，汝無面從。」漢．孔安國．傳：「我違道，汝當以義輔正我。」《新唐書．卷九七．魏徵傳》：「徵蹈履仁義，以弼朕躬。」
2.矯正過失。如：「匡弼」。《晉書．卷三．武帝紀》：「擇其能正色弼違匡救不逮者，以兼此選。」
[名]
1.古時用來矯正弓弩的器具。《荀子．臣道》「謂之拂」句下唐．楊倞．注：「拂，讀為弼。弼，所以輔正弓弩者也。」
2.職官名。輔佐元首的官員。《禮記．文王世子》：「設四輔及三公。」唐．孔穎達．正義：「其四輔者，案《尚書大傳》云：『古者天子必有四鄰，前曰疑，後曰丞，左曰輔，右曰弼。』」 |</v>
      </c>
    </row>
    <row r="2012" spans="1:44">
      <c r="A2012" s="1" t="s">
        <v>1090</v>
      </c>
      <c r="C2012" s="1">
        <v>1</v>
      </c>
      <c r="D2012" s="1" t="str">
        <f>"00407"</f>
        <v>00407</v>
      </c>
      <c r="E2012" s="1" t="s">
        <v>732</v>
      </c>
      <c r="F2012" s="1">
        <v>13</v>
      </c>
      <c r="G2012" s="1">
        <v>6</v>
      </c>
      <c r="H2012" s="1">
        <v>1</v>
      </c>
      <c r="I2012" s="1" t="s">
        <v>919</v>
      </c>
      <c r="K2012" s="1" t="str">
        <f t="shared" si="126"/>
        <v>ㄅ</v>
      </c>
      <c r="L2012" s="1" t="str">
        <f t="shared" si="127"/>
        <v>ㄧ</v>
      </c>
      <c r="N2012" s="3" t="s">
        <v>30574</v>
      </c>
      <c r="O2012" s="3"/>
      <c r="P2012" s="1" t="s">
        <v>20</v>
      </c>
      <c r="R2012" s="1" t="s">
        <v>920</v>
      </c>
      <c r="V2012" s="1" t="s">
        <v>1091</v>
      </c>
      <c r="W2012" s="1" t="s">
        <v>1092</v>
      </c>
      <c r="AR2012" s="1" t="str">
        <f t="shared" si="128"/>
        <v>| [ㄅㄧˋ](ㄅㄧˋ.md) | [辟](辟.md) |  | bì | [名]
君主。《書經．洪範》：「惟辟作福，惟辟作威，惟辟玉食。」
[動]
1.徵召。《後漢書．卷三五．鄭玄傳》：「靈帝末，黨禁解，大將軍何進聞而辟之。」《三國志．卷二一．魏書．王粲傳》：「太祖辟為丞相掾，賜爵關內侯。」
2.驅除、屏除。如：「辟邪」。《楚辭．屈原．遠遊》：「風伯為余先驅兮，氛埃辟而清涼。」漢．王逸．注：「掃除之也。」明．陳繼儒《李公子傳》：「忽有執公子衣者曰：『願辟人，臣有所言，公子不憶於陵時乎？』」
3.躲開、迴避。通「避」。《左傳．僖公二十八年》：「微楚之惠不及此，退三舍辟之，所以報也。」《禮記．儒行》：「儒有內稱不辟親，外舉不辟怨。」 |</v>
      </c>
    </row>
    <row r="2013" spans="1:44">
      <c r="A2013" s="1" t="s">
        <v>1093</v>
      </c>
      <c r="C2013" s="1">
        <v>1</v>
      </c>
      <c r="D2013" s="1" t="str">
        <f>"00408"</f>
        <v>00408</v>
      </c>
      <c r="E2013" s="1" t="s">
        <v>447</v>
      </c>
      <c r="F2013" s="1">
        <v>16</v>
      </c>
      <c r="G2013" s="1">
        <v>13</v>
      </c>
      <c r="H2013" s="1">
        <v>0</v>
      </c>
      <c r="I2013" s="1" t="s">
        <v>919</v>
      </c>
      <c r="K2013" s="1" t="str">
        <f t="shared" si="126"/>
        <v>ㄅ</v>
      </c>
      <c r="L2013" s="1" t="str">
        <f t="shared" si="127"/>
        <v>ㄧ</v>
      </c>
      <c r="N2013" s="3" t="s">
        <v>30574</v>
      </c>
      <c r="O2013" s="3"/>
      <c r="P2013" s="1" t="s">
        <v>20</v>
      </c>
      <c r="R2013" s="1" t="s">
        <v>920</v>
      </c>
      <c r="V2013" s="1" t="s">
        <v>1094</v>
      </c>
      <c r="AR2013" s="1" t="str">
        <f t="shared" si="128"/>
        <v>| [ㄅㄧˋ](ㄅㄧˋ.md) | [廦](廦.md) |  | bì | [名]
牆垣地。《玉篇．广部》：「廦，屋牆也，垣也。今作壁。」《睡虎地秦墓竹簡．封診式．穴盜》：「東、北去廦各四尺，高一尺。」 |</v>
      </c>
    </row>
    <row r="2014" spans="1:44">
      <c r="A2014" s="1" t="s">
        <v>1095</v>
      </c>
      <c r="C2014" s="1">
        <v>1</v>
      </c>
      <c r="D2014" s="1" t="str">
        <f>"00409"</f>
        <v>00409</v>
      </c>
      <c r="E2014" s="1" t="s">
        <v>132</v>
      </c>
      <c r="F2014" s="1">
        <v>16</v>
      </c>
      <c r="G2014" s="1">
        <v>13</v>
      </c>
      <c r="H2014" s="1">
        <v>0</v>
      </c>
      <c r="I2014" s="1" t="s">
        <v>919</v>
      </c>
      <c r="K2014" s="1" t="str">
        <f t="shared" si="126"/>
        <v>ㄅ</v>
      </c>
      <c r="L2014" s="1" t="str">
        <f t="shared" si="127"/>
        <v>ㄧ</v>
      </c>
      <c r="N2014" s="3" t="s">
        <v>30574</v>
      </c>
      <c r="O2014" s="3"/>
      <c r="P2014" s="1" t="s">
        <v>20</v>
      </c>
      <c r="R2014" s="1" t="s">
        <v>920</v>
      </c>
      <c r="V2014" s="1" t="s">
        <v>1096</v>
      </c>
      <c r="AR2014" s="1" t="str">
        <f t="shared" si="128"/>
        <v>| [ㄅㄧˋ](ㄅㄧˋ.md) | [壁](壁.md) |  | bì | [名]
1.牆垣。如：「銅牆鐵壁」。《史記．卷一一七．司馬相如傳》：「家居徒四壁立。」唐．李白〈長干行〉二首之一：「低頭向暗壁，千喚不一迴。」
2.器物或生物的組織，有維持保護的功用。如：「爐壁」、「胃壁」、「細胞壁」。
3.險峻陡峭的山石。如：「懸崖峭壁」。唐．李白〈蜀道難〉：「連峰去天不盈尺，枯松倒挂倚絕壁。」
4.軍隊駐守的營壘。如：「堅壁清野」、「壁壘分明」。《史記．卷七．項羽本紀》：「諸侯軍救鉅鹿下者十餘壁。」《漢書．卷一．高帝紀上》：「自稱使者，晨馳入張耳、韓信壁，而奪之軍。」
5.邊、方面。元．關漢卿《救風塵》第一折：「那壁姨姨，敢是趙盼兒麼？」元．羅貫中《風雲會》第四折：「文官每這壁，武官每那壁，斟玉液，住金杯。」
6.星座名。二十八星宿之一。北方玄武七宿的最末宿，有星兩顆。《孫子．火攻》：「發火有時，起火有日。時者，天之燥也。日者，宿在箕、壁、翼、軫也。」也稱為「東壁」。
[動]
駐紮、駐屯。《史記．卷七七．魏公子傳》：「魏王恐，使人止晉鄙，留軍壁鄴，名為救趙，實持兩端以觀望。」
[副]
像壁一樣陡峭的。如：「壁立千仞」。 |</v>
      </c>
    </row>
    <row r="2015" spans="1:44">
      <c r="A2015" s="1" t="s">
        <v>1097</v>
      </c>
      <c r="C2015" s="1">
        <v>1</v>
      </c>
      <c r="D2015" s="1" t="str">
        <f>"00410"</f>
        <v>00410</v>
      </c>
      <c r="E2015" s="1" t="s">
        <v>534</v>
      </c>
      <c r="F2015" s="1">
        <v>16</v>
      </c>
      <c r="G2015" s="1">
        <v>13</v>
      </c>
      <c r="H2015" s="1">
        <v>0</v>
      </c>
      <c r="I2015" s="1" t="s">
        <v>919</v>
      </c>
      <c r="K2015" s="1" t="str">
        <f t="shared" si="126"/>
        <v>ㄅ</v>
      </c>
      <c r="L2015" s="1" t="str">
        <f t="shared" si="127"/>
        <v>ㄧ</v>
      </c>
      <c r="N2015" s="3" t="s">
        <v>30574</v>
      </c>
      <c r="O2015" s="3"/>
      <c r="P2015" s="1" t="s">
        <v>20</v>
      </c>
      <c r="R2015" s="1" t="s">
        <v>920</v>
      </c>
      <c r="V2015" s="1" t="s">
        <v>1098</v>
      </c>
      <c r="AR2015" s="1" t="str">
        <f t="shared" si="128"/>
        <v>| [ㄅㄧˋ](ㄅㄧˋ.md) | [嬖](嬖.md) |  | bì | [動]_x000D_
1.寵愛。晉．王嘉《拾遺記》卷五：「初，帝深嬖李夫人。」唐．陳鴻《長恨傳》：「繇是治其容，敏其詞，婉變萬態，以中上意。上益嬖焉。」_x000D_
2.得寵。《左傳．成公十七年》：「胥童以胥克之廢也，怨郤氏，而嬖於厲公。」《新唐書．卷二〇七．宦者列傳上．高力士》：「初，太子瑛廢，武惠妃方嬖。」_x000D_
[名]_x000D_
舊指出身卑微而受寵幸的人。如：「便嬖」。《玉篇．女部》：「嬖，賤而獲幸者。」《左傳．成公十七年》：「晉厲公侈，多外嬖。」晉．杜預．注：「外嬖，愛幸大夫。」《新五代史．卷六三．十國世家．前蜀》：「唐襲，建之嬖也，元膺易之，屢謔于朝。」《東周列國志》第四七回：「不如立公子樂。其母，君之嬖也。」_x000D_
[形]_x000D_
受到寵愛的。如：「嬖妾」、「嬖姬」。《墨子．魯問》：「魯君之嬖人死，魯君為之誄，魯人因說而用之。」《三國志．卷六五．吳書．王樓賀韋華傳．王蕃》：「又中書丞陳聲，晧之嬖臣，數譖毀蕃。」 |</v>
      </c>
    </row>
    <row r="2016" spans="1:44">
      <c r="A2016" s="1" t="s">
        <v>376</v>
      </c>
      <c r="C2016" s="1">
        <v>1</v>
      </c>
      <c r="D2016" s="1" t="str">
        <f>"00411"</f>
        <v>00411</v>
      </c>
      <c r="E2016" s="1" t="s">
        <v>37</v>
      </c>
      <c r="F2016" s="1">
        <v>17</v>
      </c>
      <c r="G2016" s="1">
        <v>13</v>
      </c>
      <c r="H2016" s="1">
        <v>1</v>
      </c>
      <c r="I2016" s="1" t="s">
        <v>919</v>
      </c>
      <c r="K2016" s="1" t="str">
        <f t="shared" si="126"/>
        <v>ㄅ</v>
      </c>
      <c r="L2016" s="1" t="str">
        <f t="shared" si="127"/>
        <v>ㄧ</v>
      </c>
      <c r="N2016" s="3" t="s">
        <v>30574</v>
      </c>
      <c r="O2016" s="3"/>
      <c r="P2016" s="1" t="s">
        <v>20</v>
      </c>
      <c r="R2016" s="1" t="s">
        <v>920</v>
      </c>
      <c r="V2016" s="1" t="s">
        <v>1099</v>
      </c>
      <c r="W2016" s="1" t="s">
        <v>1100</v>
      </c>
      <c r="AR2016" s="1" t="str">
        <f t="shared" si="128"/>
        <v>| [ㄅㄧˋ](ㄅㄧˋ.md) | [薜](薜.md) |  | bì | 參見「薜荔」、「薜羅」等條。 |</v>
      </c>
    </row>
    <row r="2017" spans="1:44">
      <c r="A2017" s="1" t="s">
        <v>557</v>
      </c>
      <c r="C2017" s="1">
        <v>1</v>
      </c>
      <c r="D2017" s="1" t="str">
        <f>"00412"</f>
        <v>00412</v>
      </c>
      <c r="E2017" s="1" t="s">
        <v>558</v>
      </c>
      <c r="F2017" s="1">
        <v>17</v>
      </c>
      <c r="G2017" s="1">
        <v>13</v>
      </c>
      <c r="H2017" s="1">
        <v>1</v>
      </c>
      <c r="I2017" s="1" t="s">
        <v>919</v>
      </c>
      <c r="K2017" s="1" t="str">
        <f t="shared" si="126"/>
        <v>ㄅ</v>
      </c>
      <c r="L2017" s="1" t="str">
        <f t="shared" si="127"/>
        <v>ㄧ</v>
      </c>
      <c r="N2017" s="3" t="s">
        <v>30574</v>
      </c>
      <c r="O2017" s="3"/>
      <c r="P2017" s="1" t="s">
        <v>20</v>
      </c>
      <c r="R2017" s="1" t="s">
        <v>920</v>
      </c>
      <c r="V2017" s="1" t="s">
        <v>1101</v>
      </c>
      <c r="W2017" s="1" t="s">
        <v>1102</v>
      </c>
      <c r="AR2017" s="1" t="str">
        <f t="shared" si="128"/>
        <v>| [ㄅㄧˋ](ㄅㄧˋ.md) | [避](避.md) |  | bì | [動]_x000D_
1.躲開。如：「避雨」、「避暑」、「避風港」、「退避三舍」。晉．陶淵明〈桃花源記〉：「先世避秦時亂，率妻子邑人來此絕境，不復出焉。」唐．李白〈蜀道難〉：「朝避猛虎，夕避長蛇。」_x000D_
2.隱去、離開。如：「避世」、「避諱」。《史記．卷八六．刺客列傳．荊軻》：「荊軻坐定，太子避席頓首。」_x000D_
3.免、防止。如：「避雷針」、「避孕」。《呂氏春秋．季冬紀．介立》：「脆弱者拜請以避死。」漢．高誘．注：「避，猶免也。」_x000D_
4.讓。漢．鼂錯〈論貴粟疏〉：「今海內為一，土地人民之眾，不避湯、禹。」唐．杜甫〈飲中八僊歌〉：「左相日興費萬錢，飲如長鯨吸百川，銜杯樂聖稱避賢。」 |</v>
      </c>
    </row>
    <row r="2018" spans="1:44">
      <c r="A2018" s="1" t="s">
        <v>560</v>
      </c>
      <c r="C2018" s="1">
        <v>1</v>
      </c>
      <c r="D2018" s="1" t="str">
        <f>"00413"</f>
        <v>00413</v>
      </c>
      <c r="E2018" s="1" t="s">
        <v>68</v>
      </c>
      <c r="F2018" s="1">
        <v>17</v>
      </c>
      <c r="G2018" s="1">
        <v>13</v>
      </c>
      <c r="H2018" s="1">
        <v>1</v>
      </c>
      <c r="I2018" s="1" t="s">
        <v>919</v>
      </c>
      <c r="K2018" s="1" t="str">
        <f t="shared" si="126"/>
        <v>ㄅ</v>
      </c>
      <c r="L2018" s="1" t="str">
        <f t="shared" si="127"/>
        <v>ㄧ</v>
      </c>
      <c r="N2018" s="3" t="s">
        <v>30574</v>
      </c>
      <c r="O2018" s="3"/>
      <c r="P2018" s="1" t="s">
        <v>20</v>
      </c>
      <c r="R2018" s="1" t="s">
        <v>920</v>
      </c>
      <c r="V2018" s="1" t="s">
        <v>1103</v>
      </c>
      <c r="W2018" s="1" t="s">
        <v>1104</v>
      </c>
      <c r="AR2018" s="1" t="str">
        <f t="shared" si="128"/>
        <v>| [ㄅㄧˋ](ㄅㄧˋ.md) | [臂](臂.md) |  | bì | [名]
1.人體解剖學上指從肩胛到腕骨的部分。
2.動物的前肢。如：「螳臂」、「猿臂」。 |</v>
      </c>
    </row>
    <row r="2019" spans="1:44">
      <c r="A2019" s="1" t="s">
        <v>1105</v>
      </c>
      <c r="C2019" s="1">
        <v>1</v>
      </c>
      <c r="D2019" s="1" t="str">
        <f>"00414"</f>
        <v>00414</v>
      </c>
      <c r="E2019" s="1" t="s">
        <v>142</v>
      </c>
      <c r="F2019" s="1">
        <v>18</v>
      </c>
      <c r="G2019" s="1">
        <v>13</v>
      </c>
      <c r="H2019" s="1">
        <v>0</v>
      </c>
      <c r="I2019" s="1" t="s">
        <v>919</v>
      </c>
      <c r="K2019" s="1" t="str">
        <f t="shared" si="126"/>
        <v>ㄅ</v>
      </c>
      <c r="L2019" s="1" t="str">
        <f t="shared" si="127"/>
        <v>ㄧ</v>
      </c>
      <c r="N2019" s="3" t="s">
        <v>30574</v>
      </c>
      <c r="O2019" s="3"/>
      <c r="P2019" s="1" t="s">
        <v>20</v>
      </c>
      <c r="R2019" s="1" t="s">
        <v>920</v>
      </c>
      <c r="V2019" s="1" t="s">
        <v>1106</v>
      </c>
      <c r="AR2019" s="1" t="str">
        <f t="shared" si="128"/>
        <v>| [ㄅㄧˋ](ㄅㄧˋ.md) | [璧](璧.md) |  | bì | [名]
1.古代一種玉器。扁平，圓形，中央有圓孔。《詩經．衛風．淇奧》：「有匪君子，如金如錫，如圭如璧。」《二刻拍案驚奇》卷一七：「詞人墨客得了此箋，猶如拱璧。」
2.玉的通稱。如：「白璧無瑕」、「完璧歸趙」。《韓非子．解老》：「和氏之璧，不飾以五采；隋侯之珠，不飾以銀黃。」
[動]
餽贈不受，退還原物。如：「敬璧」、「璧還」。明．張居正〈答豫所呂相公〉：「使旋附候厚惠，不敢當，輒以璧諸使者，統惟鑒原。」
[形]
1.美好的。如：「璧人」。
2.形圓如璧的。如：「璧日」、「璧月」。 |</v>
      </c>
    </row>
    <row r="2020" spans="1:44">
      <c r="A2020" s="1" t="s">
        <v>1107</v>
      </c>
      <c r="C2020" s="1">
        <v>1</v>
      </c>
      <c r="D2020" s="1" t="str">
        <f>"00415"</f>
        <v>00415</v>
      </c>
      <c r="E2020" s="1" t="s">
        <v>340</v>
      </c>
      <c r="F2020" s="1">
        <v>19</v>
      </c>
      <c r="G2020" s="1">
        <v>13</v>
      </c>
      <c r="H2020" s="1">
        <v>0</v>
      </c>
      <c r="I2020" s="1" t="s">
        <v>919</v>
      </c>
      <c r="K2020" s="1" t="str">
        <f t="shared" si="126"/>
        <v>ㄅ</v>
      </c>
      <c r="L2020" s="1" t="str">
        <f t="shared" si="127"/>
        <v>ㄧ</v>
      </c>
      <c r="N2020" s="3" t="s">
        <v>30574</v>
      </c>
      <c r="O2020" s="3"/>
      <c r="P2020" s="1" t="s">
        <v>20</v>
      </c>
      <c r="R2020" s="1" t="s">
        <v>920</v>
      </c>
      <c r="V2020" s="1" t="s">
        <v>1108</v>
      </c>
      <c r="AR2020" s="1" t="str">
        <f t="shared" si="128"/>
        <v>| [ㄅㄧˋ](ㄅㄧˋ.md) | [襞](襞.md) |  | bì | [名]
1.衣服上摺疊的痕跡或皺紋。唐．段成式《酉陽雜俎．卷六．藝絕》：「張遂置釣於巾襞中。」
2.腸、胃等內部器官上的皺摺。如：「胃皺襞」、「環狀皺襞」。
[動]
摺疊。晉．左思〈嬌女〉詩：「上下絃柱際，文史輒卷襞。」唐．王勃〈銅雀妓〉詩二首之一：「錦衾不復襞，羅衣誰再縫。」 |</v>
      </c>
    </row>
    <row r="2021" spans="1:44">
      <c r="A2021" s="1" t="s">
        <v>1109</v>
      </c>
      <c r="C2021" s="1">
        <v>1</v>
      </c>
      <c r="D2021" s="1" t="str">
        <f>"00416"</f>
        <v>00416</v>
      </c>
      <c r="E2021" s="1" t="s">
        <v>725</v>
      </c>
      <c r="F2021" s="1">
        <v>19</v>
      </c>
      <c r="G2021" s="1">
        <v>13</v>
      </c>
      <c r="H2021" s="1">
        <v>0</v>
      </c>
      <c r="I2021" s="1" t="s">
        <v>919</v>
      </c>
      <c r="K2021" s="1" t="str">
        <f t="shared" si="126"/>
        <v>ㄅ</v>
      </c>
      <c r="L2021" s="1" t="str">
        <f t="shared" si="127"/>
        <v>ㄧ</v>
      </c>
      <c r="N2021" s="3" t="s">
        <v>30574</v>
      </c>
      <c r="O2021" s="3"/>
      <c r="P2021" s="1" t="s">
        <v>20</v>
      </c>
      <c r="R2021" s="1" t="s">
        <v>920</v>
      </c>
      <c r="V2021" s="1" t="s">
        <v>1110</v>
      </c>
      <c r="AR2021" s="1" t="str">
        <f t="shared" si="128"/>
        <v>| [ㄅㄧˋ](ㄅㄧˋ.md) | [繴](繴.md) |  | bì | [名]
一種捕捉鳥獸的網，網子會自動覆蓋。《爾雅．釋器》：「繴，謂之罿，罿，謂之罬也；罬，謂之罦，罦，覆車也。」晉．郭璞．注：「今之翻車也，有兩轅，中施罥以捕鳥。」邢昺疏引孫炎曰：「覆車網，可以掩兔者也。一物五名，方言異也。」 |</v>
      </c>
    </row>
    <row r="2022" spans="1:44">
      <c r="A2022" s="1" t="s">
        <v>1111</v>
      </c>
      <c r="C2022" s="1">
        <v>1</v>
      </c>
      <c r="D2022" s="1" t="str">
        <f>"00417"</f>
        <v>00417</v>
      </c>
      <c r="E2022" s="1" t="s">
        <v>77</v>
      </c>
      <c r="F2022" s="1">
        <v>20</v>
      </c>
      <c r="G2022" s="1">
        <v>13</v>
      </c>
      <c r="H2022" s="1">
        <v>0</v>
      </c>
      <c r="I2022" s="1" t="s">
        <v>919</v>
      </c>
      <c r="K2022" s="1" t="str">
        <f t="shared" si="126"/>
        <v>ㄅ</v>
      </c>
      <c r="L2022" s="1" t="str">
        <f t="shared" si="127"/>
        <v>ㄧ</v>
      </c>
      <c r="N2022" s="3" t="s">
        <v>30574</v>
      </c>
      <c r="O2022" s="3"/>
      <c r="P2022" s="1" t="s">
        <v>20</v>
      </c>
      <c r="R2022" s="1" t="s">
        <v>920</v>
      </c>
      <c r="V2022" s="1" t="s">
        <v>1112</v>
      </c>
      <c r="AR2022" s="1" t="str">
        <f t="shared" si="128"/>
        <v>| [ㄅㄧˋ](ㄅㄧˋ.md) | [躄](躄.md) |  | bì | [動]_x000D_
仆倒、跌倒。晉．釋法顯《佛國記》卷下：「王來見之，迷悶躄地，諸臣以水灑面，良久乃蘇。」_x000D_
[名]_x000D_
瘸腿，兩腳殘廢不能走。《禮記．王制》：「瘖、聾、跛、躄、斷者、侏儒、百工，各以其器食之。」唐．孔穎達．正義：「躄，謂足不能行。」漢．枚乘〈七發〉：「當是之時，雖有淹病滯疾，猶將伸傴起躄，發瞽披聾而觀望之也。」 |</v>
      </c>
    </row>
    <row r="2023" spans="1:44">
      <c r="A2023" s="1" t="s">
        <v>1113</v>
      </c>
      <c r="C2023" s="1">
        <v>1</v>
      </c>
      <c r="D2023" s="1" t="str">
        <f>"00418"</f>
        <v>00418</v>
      </c>
      <c r="E2023" s="1" t="s">
        <v>169</v>
      </c>
      <c r="F2023" s="1">
        <v>14</v>
      </c>
      <c r="G2023" s="1">
        <v>9</v>
      </c>
      <c r="H2023" s="1">
        <v>0</v>
      </c>
      <c r="I2023" s="1" t="s">
        <v>919</v>
      </c>
      <c r="K2023" s="1" t="str">
        <f t="shared" si="126"/>
        <v>ㄅ</v>
      </c>
      <c r="L2023" s="1" t="str">
        <f t="shared" si="127"/>
        <v>ㄧ</v>
      </c>
      <c r="N2023" s="3" t="s">
        <v>30574</v>
      </c>
      <c r="O2023" s="3"/>
      <c r="P2023" s="1" t="s">
        <v>20</v>
      </c>
      <c r="R2023" s="1" t="s">
        <v>920</v>
      </c>
      <c r="V2023" s="1" t="s">
        <v>1114</v>
      </c>
      <c r="AR2023" s="1" t="str">
        <f t="shared" si="128"/>
        <v>| [ㄅㄧˋ](ㄅㄧˋ.md) | [碧](碧.md) |  | bì | [名]
青綠色的美石。《說文解字．玉部》：「碧，石之青美者。」《莊子．外物》：「萇弘死於蜀，藏其血，三年而化為碧。」唐．成玄英．疏：「碧，玉也。」
[形]
青綠色的。如：「碧草」、「碧波盪漾」。唐．白居易〈長恨歌〉：「蜀江水碧蜀山青，聖主朝朝暮暮情。」唐．李商隱〈常娥〉詩：「常娥應悔偷靈藥，碧海青天夜夜心。」 |</v>
      </c>
    </row>
    <row r="2024" spans="1:44">
      <c r="A2024" s="1" t="s">
        <v>914</v>
      </c>
      <c r="C2024" s="1">
        <v>1</v>
      </c>
      <c r="D2024" s="1" t="str">
        <f>"00419"</f>
        <v>00419</v>
      </c>
      <c r="E2024" s="1" t="s">
        <v>256</v>
      </c>
      <c r="F2024" s="1">
        <v>14</v>
      </c>
      <c r="G2024" s="1">
        <v>11</v>
      </c>
      <c r="H2024" s="1">
        <v>2</v>
      </c>
      <c r="I2024" s="1" t="s">
        <v>919</v>
      </c>
      <c r="K2024" s="1" t="str">
        <f t="shared" si="126"/>
        <v>ㄅ</v>
      </c>
      <c r="L2024" s="1" t="str">
        <f t="shared" si="127"/>
        <v>ㄧ</v>
      </c>
      <c r="N2024" s="3" t="s">
        <v>30574</v>
      </c>
      <c r="O2024" s="3"/>
      <c r="P2024" s="1" t="s">
        <v>110</v>
      </c>
      <c r="R2024" s="1" t="s">
        <v>920</v>
      </c>
      <c r="V2024" s="1" t="s">
        <v>111</v>
      </c>
      <c r="W2024" s="1" t="s">
        <v>1115</v>
      </c>
      <c r="AR2024" s="1" t="str">
        <f t="shared" si="128"/>
        <v>| [ㄅㄧˋ](ㄅㄧˋ.md) | [鄙](鄙.md) |  | bì | (一)之又音。 |</v>
      </c>
    </row>
    <row r="2025" spans="1:44">
      <c r="A2025" s="1" t="s">
        <v>1116</v>
      </c>
      <c r="C2025" s="1">
        <v>1</v>
      </c>
      <c r="D2025" s="1" t="str">
        <f>"00420"</f>
        <v>00420</v>
      </c>
      <c r="E2025" s="1" t="s">
        <v>1117</v>
      </c>
      <c r="F2025" s="1">
        <v>16</v>
      </c>
      <c r="G2025" s="1">
        <v>9</v>
      </c>
      <c r="H2025" s="1">
        <v>0</v>
      </c>
      <c r="I2025" s="1" t="s">
        <v>919</v>
      </c>
      <c r="K2025" s="1" t="str">
        <f t="shared" si="126"/>
        <v>ㄅ</v>
      </c>
      <c r="L2025" s="1" t="str">
        <f t="shared" si="127"/>
        <v>ㄧ</v>
      </c>
      <c r="N2025" s="3" t="s">
        <v>30574</v>
      </c>
      <c r="O2025" s="3"/>
      <c r="P2025" s="1" t="s">
        <v>20</v>
      </c>
      <c r="R2025" s="1" t="s">
        <v>920</v>
      </c>
      <c r="V2025" s="1" t="s">
        <v>1118</v>
      </c>
      <c r="AR2025" s="1" t="str">
        <f t="shared" si="128"/>
        <v>| [ㄅㄧˋ](ㄅㄧˋ.md) | [觱](觱.md) |  | bì | [名]
樂器名。參見「觱達」、「觱篥」條。
[形]
泉水湧出的樣子。參見「觱沸」條。 |</v>
      </c>
    </row>
    <row r="2026" spans="1:44">
      <c r="A2026" s="1" t="s">
        <v>1119</v>
      </c>
      <c r="C2026" s="1">
        <v>1</v>
      </c>
      <c r="D2026" s="1" t="str">
        <f>"00421"</f>
        <v>00421</v>
      </c>
      <c r="E2026" s="1" t="s">
        <v>505</v>
      </c>
      <c r="F2026" s="1">
        <v>21</v>
      </c>
      <c r="G2026" s="1">
        <v>14</v>
      </c>
      <c r="H2026" s="1">
        <v>0</v>
      </c>
      <c r="I2026" s="1" t="s">
        <v>919</v>
      </c>
      <c r="K2026" s="1" t="str">
        <f t="shared" si="126"/>
        <v>ㄅ</v>
      </c>
      <c r="L2026" s="1" t="str">
        <f t="shared" si="127"/>
        <v>ㄧ</v>
      </c>
      <c r="N2026" s="3" t="s">
        <v>30574</v>
      </c>
      <c r="O2026" s="3"/>
      <c r="P2026" s="1" t="s">
        <v>20</v>
      </c>
      <c r="R2026" s="1" t="s">
        <v>920</v>
      </c>
      <c r="V2026" s="1" t="s">
        <v>1120</v>
      </c>
      <c r="AR2026" s="1" t="str">
        <f t="shared" si="128"/>
        <v>| [ㄅㄧˋ](ㄅㄧˋ.md) | [贔](贔.md) |  | bì | 參見「贔風」、「贔屭」等條。 |</v>
      </c>
    </row>
    <row r="2027" spans="1:44">
      <c r="A2027" s="1" t="s">
        <v>260</v>
      </c>
      <c r="C2027" s="1">
        <v>1</v>
      </c>
      <c r="D2027" s="1" t="str">
        <f>"00317"</f>
        <v>00317</v>
      </c>
      <c r="E2027" s="1" t="s">
        <v>37</v>
      </c>
      <c r="F2027" s="1">
        <v>11</v>
      </c>
      <c r="G2027" s="1">
        <v>7</v>
      </c>
      <c r="H2027" s="1">
        <v>1</v>
      </c>
      <c r="I2027" s="1" t="s">
        <v>884</v>
      </c>
      <c r="K2027" s="1" t="str">
        <f t="shared" si="126"/>
        <v>ㄅ</v>
      </c>
      <c r="L2027" s="1" t="str">
        <f t="shared" si="127"/>
        <v>ㄧ</v>
      </c>
      <c r="N2027" s="3" t="s">
        <v>30575</v>
      </c>
      <c r="O2027" s="3"/>
      <c r="P2027" s="1" t="s">
        <v>20</v>
      </c>
      <c r="R2027" s="1" t="s">
        <v>885</v>
      </c>
      <c r="V2027" s="1" t="s">
        <v>886</v>
      </c>
      <c r="W2027" s="1" t="s">
        <v>887</v>
      </c>
      <c r="AR2027" s="1" t="str">
        <f t="shared" si="128"/>
        <v>| [ㄅㄧˊ](ㄅㄧˊ.md) | [荸](荸.md) |  | bí | 參見「荸薺」條。 |</v>
      </c>
    </row>
    <row r="2028" spans="1:44">
      <c r="A2028" s="1" t="s">
        <v>888</v>
      </c>
      <c r="C2028" s="1">
        <v>1</v>
      </c>
      <c r="D2028" s="1" t="str">
        <f>"00318"</f>
        <v>00318</v>
      </c>
      <c r="E2028" s="1" t="s">
        <v>889</v>
      </c>
      <c r="F2028" s="1">
        <v>14</v>
      </c>
      <c r="G2028" s="1">
        <v>0</v>
      </c>
      <c r="H2028" s="1">
        <v>0</v>
      </c>
      <c r="I2028" s="1" t="s">
        <v>884</v>
      </c>
      <c r="K2028" s="1" t="str">
        <f t="shared" si="126"/>
        <v>ㄅ</v>
      </c>
      <c r="L2028" s="1" t="str">
        <f t="shared" si="127"/>
        <v>ㄧ</v>
      </c>
      <c r="N2028" s="3" t="s">
        <v>30575</v>
      </c>
      <c r="O2028" s="3"/>
      <c r="P2028" s="1" t="s">
        <v>20</v>
      </c>
      <c r="R2028" s="1" t="s">
        <v>885</v>
      </c>
      <c r="V2028" s="1" t="s">
        <v>890</v>
      </c>
      <c r="AR2028" s="1" t="str">
        <f t="shared" si="128"/>
        <v>| [ㄅㄧˊ](ㄅㄧˊ.md) | [鼻](鼻.md) |  | bí | [名]
1.動物的呼吸器官之一，主司嗅覺。
2.器物上隆起或突出供把握的部分。如：「門鼻」、「印鼻」。
3.針孔。北周．庾信〈七夕賦〉：「縷條緊而貫矩，針鼻細而穿空。」
4.地理學上指陸地突出海面的尖端部分。如：「鵝鑾鼻」。也稱為「岬」。
5.二一四部首之一。
[形]
開始的。如：「鼻祖」。 |</v>
      </c>
    </row>
    <row r="2029" spans="1:44">
      <c r="A2029" s="1" t="s">
        <v>891</v>
      </c>
      <c r="C2029" s="1">
        <v>1</v>
      </c>
      <c r="D2029" s="1" t="str">
        <f>"00319"</f>
        <v>00319</v>
      </c>
      <c r="E2029" s="1" t="s">
        <v>360</v>
      </c>
      <c r="F2029" s="1">
        <v>2</v>
      </c>
      <c r="G2029" s="1">
        <v>0</v>
      </c>
      <c r="H2029" s="1">
        <v>0</v>
      </c>
      <c r="I2029" s="1" t="s">
        <v>892</v>
      </c>
      <c r="K2029" s="1" t="str">
        <f t="shared" si="126"/>
        <v>ㄅ</v>
      </c>
      <c r="L2029" s="1" t="str">
        <f t="shared" si="127"/>
        <v>ㄧ</v>
      </c>
      <c r="N2029" s="3" t="s">
        <v>30576</v>
      </c>
      <c r="O2029" s="3"/>
      <c r="P2029" s="1" t="s">
        <v>20</v>
      </c>
      <c r="R2029" s="1" t="s">
        <v>893</v>
      </c>
      <c r="V2029" s="1" t="s">
        <v>894</v>
      </c>
      <c r="AR2029" s="1" t="str">
        <f t="shared" si="128"/>
        <v>| [ㄅㄧˇ](ㄅㄧˇ.md) | [匕](匕.md) |  | bǐ | [名]
1.古人舀取食物的器具，相當於現代的湯匙、勺子之類。《禮記．檀弓下》：「非刀匕是共，又敢與知防是以飲之也。」南朝梁．吳均《續齊諧記．清溪廟神》：「文韶亦答以銀碗、白琉璃匕各一枚。」
2.二一四部首之一。 |</v>
      </c>
    </row>
    <row r="2030" spans="1:44">
      <c r="A2030" s="1" t="s">
        <v>895</v>
      </c>
      <c r="C2030" s="1">
        <v>1</v>
      </c>
      <c r="D2030" s="1" t="str">
        <f>"00320"</f>
        <v>00320</v>
      </c>
      <c r="E2030" s="1" t="s">
        <v>896</v>
      </c>
      <c r="F2030" s="1">
        <v>4</v>
      </c>
      <c r="G2030" s="1">
        <v>0</v>
      </c>
      <c r="H2030" s="1">
        <v>1</v>
      </c>
      <c r="I2030" s="1" t="s">
        <v>892</v>
      </c>
      <c r="K2030" s="1" t="str">
        <f t="shared" si="126"/>
        <v>ㄅ</v>
      </c>
      <c r="L2030" s="1" t="str">
        <f t="shared" si="127"/>
        <v>ㄧ</v>
      </c>
      <c r="N2030" s="3" t="s">
        <v>30576</v>
      </c>
      <c r="O2030" s="3"/>
      <c r="P2030" s="1" t="s">
        <v>20</v>
      </c>
      <c r="R2030" s="1" t="s">
        <v>893</v>
      </c>
      <c r="V2030" s="1" t="s">
        <v>897</v>
      </c>
      <c r="W2030" s="1" t="s">
        <v>898</v>
      </c>
      <c r="AR2030" s="1" t="str">
        <f t="shared" si="128"/>
        <v>| [ㄅㄧˇ](ㄅㄧˇ.md) | [比](比.md) |  | bǐ | [動]
1.較量。晉．張華〈鷦鷯賦〉：「將以上方不足，而下比有餘。」漢．賈誼〈過秦論〉：「試使山東之國與陳涉度長絜大，比權量力，則不可同年而語矣。」
2.媲美。《三國演義》第三六回：「此人每嘗自比管仲、樂毅。」
3.依照、仿照。如：「比著葫蘆畫瓢」。《戰國策．齊策四》：「食之，比門下之客。」
4.用手勢摹擬動作。《紅樓夢》第二九回：「因為寶姐姐要看獃雁，我比給他看，不想失了手。」
5.打譬喻。《紅樓夢》第三四回：「別說多了，只拿前兒琪官的事比給你們聽。」
6.表示勝負結果的對比。如：「競賽結果為五比一。」
7.同類的兩量相除，求出前量為後量的幾倍或幾分之幾，以A:B或A/B表示。
[名]
1.《詩經》六義之一。即譬喻。〈詩大序〉：「《詩》有六義焉，一曰風，二曰賦，三曰比，四曰興，五曰雅，六曰頌。」
2.事例。《禮記．王制》：「眾疑赦之，必察小大之比以成之。」漢．鄭玄．注：「已行故事曰比。」
3.比利時的簡稱。
4.二一四部首之一。
[介]
比較程度、性狀的差別。如：「你有很多地方比我強。」 |</v>
      </c>
    </row>
    <row r="2031" spans="1:44">
      <c r="A2031" s="1" t="s">
        <v>899</v>
      </c>
      <c r="C2031" s="1">
        <v>1</v>
      </c>
      <c r="D2031" s="1" t="str">
        <f>"00321"</f>
        <v>00321</v>
      </c>
      <c r="E2031" s="1" t="s">
        <v>129</v>
      </c>
      <c r="F2031" s="1">
        <v>7</v>
      </c>
      <c r="G2031" s="1">
        <v>4</v>
      </c>
      <c r="H2031" s="1">
        <v>0</v>
      </c>
      <c r="I2031" s="1" t="s">
        <v>892</v>
      </c>
      <c r="K2031" s="1" t="str">
        <f t="shared" si="126"/>
        <v>ㄅ</v>
      </c>
      <c r="L2031" s="1" t="str">
        <f t="shared" si="127"/>
        <v>ㄧ</v>
      </c>
      <c r="N2031" s="3" t="s">
        <v>30576</v>
      </c>
      <c r="O2031" s="3"/>
      <c r="P2031" s="1" t="s">
        <v>20</v>
      </c>
      <c r="R2031" s="1" t="s">
        <v>893</v>
      </c>
      <c r="V2031" s="1" t="s">
        <v>900</v>
      </c>
      <c r="AR2031" s="1" t="str">
        <f t="shared" si="128"/>
        <v>| [ㄅㄧˇ](ㄅㄧˇ.md) | [沘](沘.md) |  | bǐ | [名]
河川名。即今河南省焦作市泌陽縣的泌河，於焦作市武陟縣境注入黃河。 |</v>
      </c>
    </row>
    <row r="2032" spans="1:44">
      <c r="A2032" s="1" t="s">
        <v>901</v>
      </c>
      <c r="C2032" s="1">
        <v>1</v>
      </c>
      <c r="D2032" s="1" t="str">
        <f>"00322"</f>
        <v>00322</v>
      </c>
      <c r="E2032" s="1" t="s">
        <v>534</v>
      </c>
      <c r="F2032" s="1">
        <v>7</v>
      </c>
      <c r="G2032" s="1">
        <v>4</v>
      </c>
      <c r="H2032" s="1">
        <v>0</v>
      </c>
      <c r="I2032" s="1" t="s">
        <v>892</v>
      </c>
      <c r="K2032" s="1" t="str">
        <f t="shared" si="126"/>
        <v>ㄅ</v>
      </c>
      <c r="L2032" s="1" t="str">
        <f t="shared" si="127"/>
        <v>ㄧ</v>
      </c>
      <c r="N2032" s="3" t="s">
        <v>30576</v>
      </c>
      <c r="O2032" s="3"/>
      <c r="P2032" s="1" t="s">
        <v>20</v>
      </c>
      <c r="R2032" s="1" t="s">
        <v>893</v>
      </c>
      <c r="V2032" s="1" t="s">
        <v>902</v>
      </c>
      <c r="AR2032" s="1" t="str">
        <f t="shared" si="128"/>
        <v>| [ㄅㄧˇ](ㄅㄧˇ.md) | [妣](妣.md) |  | bǐ | [名]
對已故母親的敬稱。如：「先妣」、「如喪考妣」。《說文解字．女部》：「妣，歿母也。」《禮記．曲禮下》：「生曰父、曰母、曰妻，死曰考、曰妣、曰嬪。」 |</v>
      </c>
    </row>
    <row r="2033" spans="1:44">
      <c r="A2033" s="1" t="s">
        <v>903</v>
      </c>
      <c r="C2033" s="1">
        <v>1</v>
      </c>
      <c r="D2033" s="1" t="str">
        <f>"00323"</f>
        <v>00323</v>
      </c>
      <c r="E2033" s="1" t="s">
        <v>429</v>
      </c>
      <c r="F2033" s="1">
        <v>9</v>
      </c>
      <c r="G2033" s="1">
        <v>4</v>
      </c>
      <c r="H2033" s="1">
        <v>0</v>
      </c>
      <c r="I2033" s="1" t="s">
        <v>892</v>
      </c>
      <c r="K2033" s="1" t="str">
        <f t="shared" si="126"/>
        <v>ㄅ</v>
      </c>
      <c r="L2033" s="1" t="str">
        <f t="shared" si="127"/>
        <v>ㄧ</v>
      </c>
      <c r="N2033" s="3" t="s">
        <v>30576</v>
      </c>
      <c r="O2033" s="3"/>
      <c r="P2033" s="1" t="s">
        <v>20</v>
      </c>
      <c r="R2033" s="1" t="s">
        <v>893</v>
      </c>
      <c r="V2033" s="1" t="s">
        <v>904</v>
      </c>
      <c r="AR2033" s="1" t="str">
        <f t="shared" si="128"/>
        <v>| [ㄅㄧˇ](ㄅㄧˇ.md) | [秕](秕.md) |  | bǐ | [名]
穀類植物所結的果實，虛有外殼，裡面卻是中空的，稱為「秕」或「秕穀」。《說文解字．禾部》：「秕，不成粟也。」《書經．仲虺之誥》：「若苗之有莠，若粟之有秕。」宋．蘇軾〈稼說〉：「故富人之稼常美，少秕而多實，久藏而不腐。」俗稱為「癟子」。
[形]
1.穀物中空不飽滿的。如：「秕子」。
2.不好的、有名無實的。如：「秕政」。 |</v>
      </c>
    </row>
    <row r="2034" spans="1:44">
      <c r="A2034" s="1" t="s">
        <v>905</v>
      </c>
      <c r="C2034" s="1">
        <v>1</v>
      </c>
      <c r="D2034" s="1" t="str">
        <f>"00324"</f>
        <v>00324</v>
      </c>
      <c r="E2034" s="1" t="s">
        <v>114</v>
      </c>
      <c r="F2034" s="1">
        <v>7</v>
      </c>
      <c r="G2034" s="1">
        <v>5</v>
      </c>
      <c r="H2034" s="1">
        <v>0</v>
      </c>
      <c r="I2034" s="1" t="s">
        <v>892</v>
      </c>
      <c r="K2034" s="1" t="str">
        <f t="shared" si="126"/>
        <v>ㄅ</v>
      </c>
      <c r="L2034" s="1" t="str">
        <f t="shared" si="127"/>
        <v>ㄧ</v>
      </c>
      <c r="N2034" s="3" t="s">
        <v>30576</v>
      </c>
      <c r="O2034" s="3"/>
      <c r="P2034" s="1" t="s">
        <v>20</v>
      </c>
      <c r="R2034" s="1" t="s">
        <v>893</v>
      </c>
      <c r="V2034" s="1" t="s">
        <v>906</v>
      </c>
      <c r="AR2034" s="1" t="str">
        <f t="shared" si="128"/>
        <v>| [ㄅㄧˇ](ㄅㄧˇ.md) | [佊](佊.md) |  | bǐ | [形]
邪惡的。民國．章太炎《新方言．釋言》：「今人呼邪人為佊人，俗誤書痞。」 |</v>
      </c>
    </row>
    <row r="2035" spans="1:44">
      <c r="A2035" s="1" t="s">
        <v>907</v>
      </c>
      <c r="C2035" s="1">
        <v>1</v>
      </c>
      <c r="D2035" s="1" t="str">
        <f>"00325"</f>
        <v>00325</v>
      </c>
      <c r="E2035" s="1" t="s">
        <v>234</v>
      </c>
      <c r="F2035" s="1">
        <v>8</v>
      </c>
      <c r="G2035" s="1">
        <v>5</v>
      </c>
      <c r="H2035" s="1">
        <v>0</v>
      </c>
      <c r="I2035" s="1" t="s">
        <v>892</v>
      </c>
      <c r="K2035" s="1" t="str">
        <f t="shared" si="126"/>
        <v>ㄅ</v>
      </c>
      <c r="L2035" s="1" t="str">
        <f t="shared" si="127"/>
        <v>ㄧ</v>
      </c>
      <c r="N2035" s="3" t="s">
        <v>30576</v>
      </c>
      <c r="O2035" s="3"/>
      <c r="P2035" s="1" t="s">
        <v>20</v>
      </c>
      <c r="R2035" s="1" t="s">
        <v>893</v>
      </c>
      <c r="V2035" s="1" t="s">
        <v>908</v>
      </c>
      <c r="AR2035" s="1" t="str">
        <f t="shared" si="128"/>
        <v>| [ㄅㄧˇ](ㄅㄧˇ.md) | [彼](彼.md) |  | bǐ | [代]
1.那、那個、那裡。與「此」相對。如：「彼時」、「彼處」、「厚此薄彼」。《戰國策．趙策》：「彼秦者，棄禮義而上首功之國也。」《文選．王粲．贈士孫文始詩》：「橫此大江，淹彼南汜。」
2.他。如：「彼等」、「彼輩」、「知己知彼」。《史記．卷六二．管晏傳》：「方吾在縲紲中，彼不知我也。夫子既已感悟而贖我，是知己。」唐．韓愈〈師說〉：「彼與彼年相若也，道相似也。」 |</v>
      </c>
    </row>
    <row r="2036" spans="1:44">
      <c r="A2036" s="1" t="s">
        <v>909</v>
      </c>
      <c r="C2036" s="1">
        <v>1</v>
      </c>
      <c r="D2036" s="1" t="str">
        <f>"00326"</f>
        <v>00326</v>
      </c>
      <c r="E2036" s="1" t="s">
        <v>28</v>
      </c>
      <c r="F2036" s="1">
        <v>8</v>
      </c>
      <c r="G2036" s="1">
        <v>5</v>
      </c>
      <c r="H2036" s="1">
        <v>2</v>
      </c>
      <c r="I2036" s="1" t="s">
        <v>892</v>
      </c>
      <c r="K2036" s="1" t="str">
        <f t="shared" si="126"/>
        <v>ㄅ</v>
      </c>
      <c r="L2036" s="1" t="str">
        <f t="shared" si="127"/>
        <v>ㄧ</v>
      </c>
      <c r="N2036" s="3" t="s">
        <v>30576</v>
      </c>
      <c r="O2036" s="3"/>
      <c r="P2036" s="1" t="s">
        <v>20</v>
      </c>
      <c r="R2036" s="1" t="s">
        <v>893</v>
      </c>
      <c r="V2036" s="1" t="s">
        <v>910</v>
      </c>
      <c r="W2036" s="1" t="s">
        <v>911</v>
      </c>
      <c r="AR2036" s="1" t="str">
        <f t="shared" si="128"/>
        <v>| [ㄅㄧˇ](ㄅㄧˇ.md) | [咇](咇.md) |  | bǐ | [形]
咇㘉：將出聲的樣子。《文選．王襃．洞簫賦》：「啾咇㘉而將吟兮，行鍖銋以龢囉。」唐．李善．注：「咇㘉，聲出貌。」 |</v>
      </c>
    </row>
    <row r="2037" spans="1:44">
      <c r="A2037" s="1" t="s">
        <v>912</v>
      </c>
      <c r="C2037" s="1">
        <v>1</v>
      </c>
      <c r="D2037" s="1" t="str">
        <f>"00327"</f>
        <v>00327</v>
      </c>
      <c r="E2037" s="1" t="s">
        <v>49</v>
      </c>
      <c r="F2037" s="1">
        <v>12</v>
      </c>
      <c r="G2037" s="1">
        <v>6</v>
      </c>
      <c r="H2037" s="1">
        <v>0</v>
      </c>
      <c r="I2037" s="1" t="s">
        <v>892</v>
      </c>
      <c r="K2037" s="1" t="str">
        <f t="shared" si="126"/>
        <v>ㄅ</v>
      </c>
      <c r="L2037" s="1" t="str">
        <f t="shared" si="127"/>
        <v>ㄧ</v>
      </c>
      <c r="N2037" s="3" t="s">
        <v>30576</v>
      </c>
      <c r="O2037" s="3"/>
      <c r="P2037" s="1" t="s">
        <v>20</v>
      </c>
      <c r="R2037" s="1" t="s">
        <v>893</v>
      </c>
      <c r="V2037" s="1" t="s">
        <v>913</v>
      </c>
      <c r="AR2037" s="1" t="str">
        <f t="shared" si="128"/>
        <v>| [ㄅㄧˇ](ㄅㄧˇ.md) | [筆](筆.md) |  | bǐ | [名]_x000D_
1.寫字、畫圖的用具。如：「毛筆」、「鋼筆」、「蠟筆」、「水彩筆」。《太平廣記．卷一五八．陰君文字》引《玉堂閒話》：「以筆墨畫紙，作九個圍子。」《儒林外史》第五五回：「他取了一管敗筆，蘸飽了墨，把紙相了一會，一氣就寫了一行。」_x000D_
2.筆畫。如：「起筆」、「筆順」、「走筆至此」。《晉書．卷八〇．列傳．王羲之》：「論者稱其筆勢，以為飄若浮雲，矯若驚龍。」《兒女英雄傳》第二九回：「一面想，一面看那匾上的字，只見那縱橫波磔，一筆筆寫的儼如鐵畫銀鉤。」_x000D_
3.文章、書畫等創作的技巧。漢．王充《論衡．自紀》：「口辯者其言深，筆敏者其文沉。」宋．沈括《夢溪筆談．卷一七．書畫》：「江南中主時，有北苑使董源善畫，尤工秋嵐遠景，多寫江南真山，不為奇峭之筆。」宋．陸游《老學庵筆記》卷六：「有柟木版揭梁間甚大，書杜詩，筆亦雄勁，體雜顏、柳，不知何人書，墨挺然出版上甚異。」_x000D_
4.文章、書畫等創作作品。如：「驚人之筆」。宋．沈括《夢溪筆談．卷一七．書畫》：「藏書畫者，多取空名，偶傳為鍾、王、顧、陸之筆，見者爭售，此所謂『耳鑒』。」_x000D_
5.古稱無韻、實用之文為「筆」。《南史．卷五七．列傳．沈約》：「謝玄暉善為詩，任彥昇工於筆，約兼而有之，然不能過也。」南朝梁．劉勰《文心雕龍．總術》：「今之常言，有文有筆，以為無韻者筆也，有韻者文也。」_x000D_
[量]_x000D_
1.計算書畫運筆的單位。如：「畫幾筆潑墨山水」。《平妖傳》第一三回：「想就時，急將此氣落墨，一筆而成。」_x000D_
2.計算漢字筆畫數的單位。如：「『文』這個字共有四筆。」_x000D_
3.計算書面文辭所記錄事項的單位。如：「這兩筆資料錯誤。」「歷史上會記上一筆。」《元刊雜劇三十種．新編岳孔目借鐵柺李還魂》：「案卷里添一筆便違條。」_x000D_
4.計算金錢、款項、交易等的單位。如：「一筆錢」、「今日談成兩筆生意。」《儒林外史》第五二回：「到三個月上，毛二鬍子替他把這一筆銀子討回，銀色又足，平子又好，陳正公滿心歡喜。」《二十年目睹之怪現狀》第九六回：「這筆款子等你的爸爸死了，就本利一律清算歸還。」_x000D_
[動]_x000D_
寫作、記述。《史記．卷四七．孔子世家》：「至於為春秋，筆則筆，削則削，子夏之徒不能贊一辭。」《北史．卷四〇．列傳．韓麒麟》：「顯宗曰：『臣仰遭明時，直筆無懼，又不受金，安眠美食，此優於遷、固也。』」清．趙翼《甌北詩話．卷一一．摘句》：「今摘取古來佳句沁人心脾者，隨所得筆之。」 |</v>
      </c>
    </row>
    <row r="2038" spans="1:44">
      <c r="A2038" s="1" t="s">
        <v>914</v>
      </c>
      <c r="C2038" s="1">
        <v>1</v>
      </c>
      <c r="D2038" s="1" t="str">
        <f>"00328"</f>
        <v>00328</v>
      </c>
      <c r="E2038" s="1" t="s">
        <v>256</v>
      </c>
      <c r="F2038" s="1">
        <v>14</v>
      </c>
      <c r="G2038" s="1">
        <v>11</v>
      </c>
      <c r="H2038" s="1">
        <v>1</v>
      </c>
      <c r="I2038" s="1" t="s">
        <v>892</v>
      </c>
      <c r="K2038" s="1" t="str">
        <f t="shared" si="126"/>
        <v>ㄅ</v>
      </c>
      <c r="L2038" s="1" t="str">
        <f t="shared" si="127"/>
        <v>ㄧ</v>
      </c>
      <c r="N2038" s="3" t="s">
        <v>30576</v>
      </c>
      <c r="O2038" s="3"/>
      <c r="P2038" s="1" t="s">
        <v>20</v>
      </c>
      <c r="R2038" s="1" t="s">
        <v>893</v>
      </c>
      <c r="V2038" s="1" t="s">
        <v>915</v>
      </c>
      <c r="W2038" s="1" t="s">
        <v>916</v>
      </c>
      <c r="AR2038" s="1" t="str">
        <f t="shared" si="128"/>
        <v>| [ㄅㄧˇ](ㄅㄧˇ.md) | [鄙](鄙.md) |  | bǐ | [名]
1.古代地方區域名稱。五百家為「鄙」。《說文解字．邑部》「鄙」字．清．段玉裁．注：「鄙，五百家也。」《周禮．地官．遂人》：「五家為鄰，五鄰為里，四里為酇，五酇為鄙。」
2.邊遠地區。《左傳．隱公元年》：「既而大叔命西鄙、北鄙貳於己。」晉．杜預．注：「鄙，鄭邊邑。」唐．韓愈〈爭臣論〉：「行古人之道，居於晉之鄙。」
3.郊外。《國語．齊語》：「參其國而伍其鄙。」三國吳．韋昭．注：「國，郊以內也。……鄙，郊以外。」
[動]
輕視、瞧不起。《左傳．宣公十四年》：「過我而不假道，鄙我也。」
[形]
1.粗俗、低賤。如：「卑鄙」、「鄙陋」。《左傳．莊公十年》：「肉食者鄙，未能遠謀。」漢．張衡〈東京賦〉：「鄙哉予乎！習非而遂迷也。」三國魏．陳琳〈飲馬長城窟行〉：「君今出語一何鄙！」
2.自謙之詞。如：「鄙人」、「鄙見」。漢．劉向《古列女傳．卷六．趙津女娟》：「君欲殺之，妾願以鄙軀易父之死。」 |</v>
      </c>
    </row>
    <row r="2039" spans="1:44">
      <c r="A2039" s="1" t="s">
        <v>536</v>
      </c>
      <c r="C2039" s="1">
        <v>1</v>
      </c>
      <c r="D2039" s="1" t="str">
        <f>"00329"</f>
        <v>00329</v>
      </c>
      <c r="E2039" s="1" t="s">
        <v>537</v>
      </c>
      <c r="F2039" s="1">
        <v>15</v>
      </c>
      <c r="G2039" s="1">
        <v>8</v>
      </c>
      <c r="H2039" s="1">
        <v>1</v>
      </c>
      <c r="I2039" s="1" t="s">
        <v>892</v>
      </c>
      <c r="K2039" s="1" t="str">
        <f t="shared" si="126"/>
        <v>ㄅ</v>
      </c>
      <c r="L2039" s="1" t="str">
        <f t="shared" si="127"/>
        <v>ㄧ</v>
      </c>
      <c r="N2039" s="3" t="s">
        <v>30576</v>
      </c>
      <c r="O2039" s="3"/>
      <c r="P2039" s="1" t="s">
        <v>20</v>
      </c>
      <c r="R2039" s="1" t="s">
        <v>893</v>
      </c>
      <c r="V2039" s="1" t="s">
        <v>917</v>
      </c>
      <c r="W2039" s="1" t="s">
        <v>918</v>
      </c>
      <c r="AR2039" s="1" t="str">
        <f t="shared" si="128"/>
        <v>| [ㄅㄧˇ](ㄅㄧˇ.md) | [貏](貏.md) |  | bǐ | 參見「貏豸」條。 |</v>
      </c>
    </row>
    <row r="2040" spans="1:44">
      <c r="A2040" s="1" t="s">
        <v>925</v>
      </c>
      <c r="C2040" s="1">
        <v>1</v>
      </c>
      <c r="D2040" s="1" t="str">
        <f>"003321"</f>
        <v>003321</v>
      </c>
      <c r="E2040" s="1" t="s">
        <v>28</v>
      </c>
      <c r="F2040" s="1">
        <v>7</v>
      </c>
      <c r="G2040" s="1">
        <v>4</v>
      </c>
      <c r="H2040" s="1">
        <v>3</v>
      </c>
      <c r="I2040" s="1" t="s">
        <v>892</v>
      </c>
      <c r="K2040" s="1" t="str">
        <f t="shared" si="126"/>
        <v>ㄅ</v>
      </c>
      <c r="L2040" s="1" t="str">
        <f t="shared" si="127"/>
        <v>ㄧ</v>
      </c>
      <c r="N2040" s="3" t="s">
        <v>30576</v>
      </c>
      <c r="O2040" s="3"/>
      <c r="P2040" s="1" t="s">
        <v>20</v>
      </c>
      <c r="R2040" s="1" t="s">
        <v>893</v>
      </c>
      <c r="V2040" s="1" t="s">
        <v>30552</v>
      </c>
      <c r="AR2040" s="1" t="str">
        <f t="shared" si="128"/>
        <v>| [ㄅㄧˇ](ㄅㄧˇ.md) | [吡](吡.md) |  | bǐ | [名]_x000D_
參見「吡啶」條。 |</v>
      </c>
    </row>
    <row r="2041" spans="1:44">
      <c r="A2041" s="1" t="s">
        <v>1481</v>
      </c>
      <c r="C2041" s="1">
        <v>1</v>
      </c>
      <c r="D2041" s="1" t="str">
        <f>"00565"</f>
        <v>00565</v>
      </c>
      <c r="E2041" s="1" t="s">
        <v>789</v>
      </c>
      <c r="F2041" s="1">
        <v>4</v>
      </c>
      <c r="G2041" s="1">
        <v>3</v>
      </c>
      <c r="H2041" s="1">
        <v>1</v>
      </c>
      <c r="I2041" s="1" t="s">
        <v>1482</v>
      </c>
      <c r="K2041" s="1" t="str">
        <f t="shared" si="126"/>
        <v>ㄅ</v>
      </c>
      <c r="L2041" s="1" t="str">
        <f t="shared" si="127"/>
        <v>ㄨ</v>
      </c>
      <c r="N2041" s="3" t="s">
        <v>30574</v>
      </c>
      <c r="O2041" s="3"/>
      <c r="P2041" s="1" t="s">
        <v>20</v>
      </c>
      <c r="R2041" s="1" t="s">
        <v>1483</v>
      </c>
      <c r="V2041" s="1" t="s">
        <v>1484</v>
      </c>
      <c r="W2041" s="1" t="s">
        <v>1485</v>
      </c>
      <c r="AR2041" s="1" t="str">
        <f t="shared" si="128"/>
        <v>| [ㄅㄨˋ](ㄅㄨˋ.md) | [不](不.md) |  | bù | [副]
1.否定詞。有不是、未、非等義。如：「不能」、「不法」、「不久」、「不容易」、「不好吃」、「拿不動」。
2.與「就」連用，表示有所選擇的意思。如：「晚上回到家的消遣，不是看書，就是聽音樂。」
[助]
1.用於句末，表示疑問的語氣。如：「醫生，請問他的身體狀況好不？」
2.用來加強語氣，往往與「好」字連用。如：「這齣戲好不精彩！」、「誤會澄清了，心情好不輕鬆！」
3.置於句中，用來調整音節，沒有特殊含義。《詩經．小雅．車攻》：「徒御不驚，大庖不盈。」漢．毛亨．傳：「不驚，驚也；不盈，盈也。」《楚辭．宋玉．招魂》：「被文服纖，麗而不奇些。」漢．王逸．注：「不奇，奇也。」
（「不」字在去聲字之前，變讀為陽平。） |</v>
      </c>
    </row>
    <row r="2042" spans="1:44">
      <c r="A2042" s="1" t="s">
        <v>1486</v>
      </c>
      <c r="C2042" s="1">
        <v>1</v>
      </c>
      <c r="D2042" s="1" t="str">
        <f>"00566"</f>
        <v>00566</v>
      </c>
      <c r="E2042" s="1" t="s">
        <v>222</v>
      </c>
      <c r="F2042" s="1">
        <v>5</v>
      </c>
      <c r="G2042" s="1">
        <v>2</v>
      </c>
      <c r="H2042" s="1">
        <v>0</v>
      </c>
      <c r="I2042" s="1" t="s">
        <v>1482</v>
      </c>
      <c r="K2042" s="1" t="str">
        <f t="shared" si="126"/>
        <v>ㄅ</v>
      </c>
      <c r="L2042" s="1" t="str">
        <f t="shared" si="127"/>
        <v>ㄨ</v>
      </c>
      <c r="N2042" s="3" t="s">
        <v>30574</v>
      </c>
      <c r="O2042" s="3"/>
      <c r="P2042" s="1" t="s">
        <v>20</v>
      </c>
      <c r="R2042" s="1" t="s">
        <v>1483</v>
      </c>
      <c r="V2042" s="1" t="s">
        <v>1487</v>
      </c>
      <c r="AR2042" s="1" t="str">
        <f t="shared" si="128"/>
        <v>| [ㄅㄨˋ](ㄅㄨˋ.md) | [布](布.md) |  | bù | [名]
1.棉麻或絲綢織品的總稱。如：「棉布」、「紗布」、「帆布」、「布帛」。《孟子．滕文公上》：「許子必織布然後衣乎？」
2.古代的錢幣。《詩經．衛風．氓》：「氓之蚩蚩，抱布貿絲。」漢．毛亨．傳：「布，幣也。」《史記．卷三十．平準書》：「虞夏之幣……或錢，或布，或刀，或龜貝。」
3.姓。如元代有布景范。
[動]
1.宣告。如：「發布」、「頒布」、「宣布」、「開誠布公」。《文選．陳琳．為袁紹檄豫州》：「布告天下，咸使知聖朝有拘逼之難如律令。」
2.陳述。《左傳．成公十三年》：「敢盡布之執事，俾執事實圖利之。」《南史．卷六一．陳伯之傳》：「聊布往懷，君其詳之。」
3.設置、陳設。如：「布局」、「布署」、「布下圈套」、「警方已布下天羅地網，任歹徒插翅也難飛。」《文選．沈約．奏彈王源》：「雖除舊布新，而斯風未殄。」
4.分散、散布。如：「遍布」、「烏雲密布」、「星羅棋布」。《史記．卷一一〇．匈奴傳》：「（單于）見畜布野而無人牧者，怪之，乃攻亭。」《三國演義》第八〇回：「伏睹魏王，自登位以來，德布四方，仁及萬物。」 |</v>
      </c>
    </row>
    <row r="2043" spans="1:44">
      <c r="A2043" s="1" t="s">
        <v>1488</v>
      </c>
      <c r="C2043" s="1">
        <v>1</v>
      </c>
      <c r="D2043" s="1" t="str">
        <f>"00567"</f>
        <v>00567</v>
      </c>
      <c r="E2043" s="1" t="s">
        <v>114</v>
      </c>
      <c r="F2043" s="1">
        <v>7</v>
      </c>
      <c r="G2043" s="1">
        <v>5</v>
      </c>
      <c r="H2043" s="1">
        <v>0</v>
      </c>
      <c r="I2043" s="1" t="s">
        <v>1482</v>
      </c>
      <c r="K2043" s="1" t="str">
        <f t="shared" si="126"/>
        <v>ㄅ</v>
      </c>
      <c r="L2043" s="1" t="str">
        <f t="shared" si="127"/>
        <v>ㄨ</v>
      </c>
      <c r="N2043" s="3" t="s">
        <v>30574</v>
      </c>
      <c r="O2043" s="3"/>
      <c r="P2043" s="1" t="s">
        <v>20</v>
      </c>
      <c r="R2043" s="1" t="s">
        <v>1483</v>
      </c>
      <c r="V2043" s="1" t="s">
        <v>1489</v>
      </c>
      <c r="AR2043" s="1" t="str">
        <f t="shared" si="128"/>
        <v>| [ㄅㄨˋ](ㄅㄨˋ.md) | [佈](佈.md) |  | bù | [動]
1.遍及、散滿。通「布」。《廣韻．去聲．暮韻》：「佈，布遍也。」《紅樓夢》第九回：「詬誶謠諑，佈滿書房內外。」
2.宣布、宣告。通「布」。如：「佈告欄」、「佈道大會」、「公佈法令」。
3.安排、設置。通「布」。如：「佈陣」、「佈防」、「佈地雷」。
4.敬奉。參見「佈菜」條。 |</v>
      </c>
    </row>
    <row r="2044" spans="1:44">
      <c r="A2044" s="1" t="s">
        <v>1490</v>
      </c>
      <c r="C2044" s="1">
        <v>1</v>
      </c>
      <c r="D2044" s="1" t="str">
        <f>"00568"</f>
        <v>00568</v>
      </c>
      <c r="E2044" s="1" t="s">
        <v>250</v>
      </c>
      <c r="F2044" s="1">
        <v>8</v>
      </c>
      <c r="G2044" s="1">
        <v>5</v>
      </c>
      <c r="H2044" s="1">
        <v>0</v>
      </c>
      <c r="I2044" s="1" t="s">
        <v>1482</v>
      </c>
      <c r="K2044" s="1" t="str">
        <f t="shared" si="126"/>
        <v>ㄅ</v>
      </c>
      <c r="L2044" s="1" t="str">
        <f t="shared" si="127"/>
        <v>ㄨ</v>
      </c>
      <c r="N2044" s="3" t="s">
        <v>30574</v>
      </c>
      <c r="O2044" s="3"/>
      <c r="P2044" s="1" t="s">
        <v>20</v>
      </c>
      <c r="R2044" s="1" t="s">
        <v>1483</v>
      </c>
      <c r="V2044" s="1" t="s">
        <v>1491</v>
      </c>
      <c r="AR2044" s="1" t="str">
        <f t="shared" si="128"/>
        <v>| [ㄅㄨˋ](ㄅㄨˋ.md) | [怖](怖.md) |  | bù | [動]
1.恐懼、害怕。《淮南子．詮言》：「故福至則喜，禍至則怖。」《文選．張衡．南都賦》：「憚夔龍兮，怖蛟螭。」
2.恐嚇。《後漢書．卷四一．第五倫傳》：「其巫祝有依託鬼神詐怖愚民，皆案論之。」《宋史．卷三六六．劉錡傳》：「夏人兒啼，輒怖之曰：『劉都護來！』」 |</v>
      </c>
    </row>
    <row r="2045" spans="1:44">
      <c r="A2045" s="1" t="s">
        <v>1492</v>
      </c>
      <c r="C2045" s="1">
        <v>1</v>
      </c>
      <c r="D2045" s="1" t="str">
        <f>"00569"</f>
        <v>00569</v>
      </c>
      <c r="E2045" s="1" t="s">
        <v>55</v>
      </c>
      <c r="F2045" s="1">
        <v>13</v>
      </c>
      <c r="G2045" s="1">
        <v>5</v>
      </c>
      <c r="H2045" s="1">
        <v>0</v>
      </c>
      <c r="I2045" s="1" t="s">
        <v>1482</v>
      </c>
      <c r="K2045" s="1" t="str">
        <f t="shared" si="126"/>
        <v>ㄅ</v>
      </c>
      <c r="L2045" s="1" t="str">
        <f t="shared" si="127"/>
        <v>ㄨ</v>
      </c>
      <c r="N2045" s="3" t="s">
        <v>30574</v>
      </c>
      <c r="O2045" s="3"/>
      <c r="P2045" s="1" t="s">
        <v>20</v>
      </c>
      <c r="R2045" s="1" t="s">
        <v>1483</v>
      </c>
      <c r="V2045" s="1" t="s">
        <v>1493</v>
      </c>
      <c r="AR2045" s="1" t="str">
        <f t="shared" si="128"/>
        <v>| [ㄅㄨˋ](ㄅㄨˋ.md) | [鈽](鈽.md) |  | bù | [名]
（plutonium，Pu）化學元素。原子序94。一種具毒性的人造放射性金屬元素，為超鈾元素。僅微量存在於鈾礦中，可用中子撞擊鈾-238而得鈽-239，可作為核子反應爐的燃料，並製造核子武器。大陸地區譯為鈈。 |</v>
      </c>
    </row>
    <row r="2046" spans="1:44">
      <c r="A2046" s="1" t="s">
        <v>1494</v>
      </c>
      <c r="C2046" s="1">
        <v>1</v>
      </c>
      <c r="D2046" s="1" t="str">
        <f>"00570"</f>
        <v>00570</v>
      </c>
      <c r="E2046" s="1" t="s">
        <v>1495</v>
      </c>
      <c r="F2046" s="1">
        <v>7</v>
      </c>
      <c r="G2046" s="1">
        <v>3</v>
      </c>
      <c r="H2046" s="1">
        <v>0</v>
      </c>
      <c r="I2046" s="1" t="s">
        <v>1482</v>
      </c>
      <c r="K2046" s="1" t="str">
        <f t="shared" si="126"/>
        <v>ㄅ</v>
      </c>
      <c r="L2046" s="1" t="str">
        <f t="shared" si="127"/>
        <v>ㄨ</v>
      </c>
      <c r="N2046" s="3" t="s">
        <v>30574</v>
      </c>
      <c r="O2046" s="3"/>
      <c r="P2046" s="1" t="s">
        <v>20</v>
      </c>
      <c r="R2046" s="1" t="s">
        <v>1483</v>
      </c>
      <c r="V2046" s="1" t="s">
        <v>1496</v>
      </c>
      <c r="AR2046" s="1" t="str">
        <f t="shared" si="128"/>
        <v>| [ㄅㄨˋ](ㄅㄨˋ.md) | [步](步.md) |  | bù | [動]
1.行、走，用腳走路。如：「散步」、「平步青雲」、「安步當車」。《書經．武成》：「王朝步自周，于征伐商。」《莊子．田子方》：「夫子步亦步，夫子趨亦趨。」
2.追隨、跟從、仿效。如：「步其後塵」。《國語．周語下》：「目以處義，足以步目，今晉侯視遠而足高，目不在體，而足不步目，其心必異矣。」明．湯顯祖《南柯記》第四二齣：「步影尋蹤，皆如所夢。」
3.推算。《文選．陸機．演連珠五〇首之四七》：「是以儀天步晷，而脩短可量。」
[名]
1.腳步，走路時兩腳前後的距離。如：「小碎步」、「輕移蓮步」、「寸步不離」。《孟子．梁惠王上》：「或百步而後止，或五十步而後止。」《荀子．勸學》：「故不積蹞步，無以至千里。」
2.量詞：(1)古代計算長度的單位。歷代規定不一，或為六尺，或為六尺四寸。《新唐書．卷三七．地理志一》：「皇城長千九百一十五步，廣千二百步。」(2)計算邁步次數的單位。如：「向前走五步。」(3)計算事情步驟的單位。如：「做任何事第一步是要先打好基礎。」
3.階段。表示程度。如：「走一步，算一步。」《紅樓夢》第六七回：「我任憑怎麼沒見世面，也到不了這步田地，因送的東西少，就生氣傷心。」
4.所處的境況、境地。如：「少時不努力，才落到這一地步。」
5.氣運、時運。如：「國步惟艱」。《詩經．小雅．白華》：「天步艱難，之子不猶。」
6.碼頭，水邊泊船的地方。通「埠」。南朝梁．任昉《述異記》卷下：「吳江中又有魚步、龜步，湘中有靈妃步。」唐．韓愈〈正議大夫尚書左丞孔公墓誌銘〉：「蕃舶之至泊步，有下碇之稅。」
7.姓。如三國時吳國有步騭。 |</v>
      </c>
    </row>
    <row r="2047" spans="1:44">
      <c r="A2047" s="1" t="s">
        <v>1473</v>
      </c>
      <c r="C2047" s="1">
        <v>1</v>
      </c>
      <c r="D2047" s="1" t="str">
        <f>"00571"</f>
        <v>00571</v>
      </c>
      <c r="E2047" s="1" t="s">
        <v>24</v>
      </c>
      <c r="F2047" s="1">
        <v>10</v>
      </c>
      <c r="G2047" s="1">
        <v>7</v>
      </c>
      <c r="H2047" s="1">
        <v>2</v>
      </c>
      <c r="I2047" s="1" t="s">
        <v>1482</v>
      </c>
      <c r="K2047" s="1" t="str">
        <f t="shared" ref="K2047:K2110" si="129">LEFT(I2047, 1)</f>
        <v>ㄅ</v>
      </c>
      <c r="L2047" s="1" t="str">
        <f t="shared" ref="L2047:L2110" si="130">MID(I2047, 2, 1)</f>
        <v>ㄨ</v>
      </c>
      <c r="N2047" s="3" t="s">
        <v>30574</v>
      </c>
      <c r="O2047" s="3"/>
      <c r="P2047" s="1" t="s">
        <v>110</v>
      </c>
      <c r="R2047" s="1" t="s">
        <v>1483</v>
      </c>
      <c r="V2047" s="1" t="s">
        <v>111</v>
      </c>
      <c r="W2047" s="1" t="s">
        <v>1497</v>
      </c>
      <c r="AR2047" s="1" t="str">
        <f t="shared" si="128"/>
        <v>| [ㄅㄨˋ](ㄅㄨˋ.md) | [捕](捕.md) |  | bù | (一)之又音。 |</v>
      </c>
    </row>
    <row r="2048" spans="1:44">
      <c r="A2048" s="1" t="s">
        <v>1476</v>
      </c>
      <c r="C2048" s="1">
        <v>1</v>
      </c>
      <c r="D2048" s="1" t="str">
        <f>"00572"</f>
        <v>00572</v>
      </c>
      <c r="E2048" s="1" t="s">
        <v>28</v>
      </c>
      <c r="F2048" s="1">
        <v>10</v>
      </c>
      <c r="G2048" s="1">
        <v>7</v>
      </c>
      <c r="H2048" s="1">
        <v>2</v>
      </c>
      <c r="I2048" s="1" t="s">
        <v>1482</v>
      </c>
      <c r="K2048" s="1" t="str">
        <f t="shared" si="129"/>
        <v>ㄅ</v>
      </c>
      <c r="L2048" s="1" t="str">
        <f t="shared" si="130"/>
        <v>ㄨ</v>
      </c>
      <c r="N2048" s="3" t="s">
        <v>30574</v>
      </c>
      <c r="O2048" s="3"/>
      <c r="P2048" s="1" t="s">
        <v>110</v>
      </c>
      <c r="R2048" s="1" t="s">
        <v>1483</v>
      </c>
      <c r="V2048" s="1" t="s">
        <v>111</v>
      </c>
      <c r="W2048" s="1" t="s">
        <v>1498</v>
      </c>
      <c r="AR2048" s="1" t="str">
        <f t="shared" si="128"/>
        <v>| [ㄅㄨˋ](ㄅㄨˋ.md) | [哺](哺.md) |  | bù | (一)之又音。 |</v>
      </c>
    </row>
    <row r="2049" spans="1:44">
      <c r="A2049" s="1" t="s">
        <v>1454</v>
      </c>
      <c r="C2049" s="1">
        <v>1</v>
      </c>
      <c r="D2049" s="1" t="str">
        <f>"00573"</f>
        <v>00573</v>
      </c>
      <c r="E2049" s="1" t="s">
        <v>193</v>
      </c>
      <c r="F2049" s="1">
        <v>15</v>
      </c>
      <c r="G2049" s="1">
        <v>7</v>
      </c>
      <c r="H2049" s="1">
        <v>2</v>
      </c>
      <c r="I2049" s="1" t="s">
        <v>1482</v>
      </c>
      <c r="K2049" s="1" t="str">
        <f t="shared" si="129"/>
        <v>ㄅ</v>
      </c>
      <c r="L2049" s="1" t="str">
        <f t="shared" si="130"/>
        <v>ㄨ</v>
      </c>
      <c r="N2049" s="3" t="s">
        <v>30574</v>
      </c>
      <c r="O2049" s="3"/>
      <c r="P2049" s="1" t="s">
        <v>20</v>
      </c>
      <c r="R2049" s="1" t="s">
        <v>1483</v>
      </c>
      <c r="V2049" s="1" t="s">
        <v>1499</v>
      </c>
      <c r="W2049" s="1" t="s">
        <v>1500</v>
      </c>
      <c r="AR2049" s="1" t="str">
        <f t="shared" si="128"/>
        <v>| [ㄅㄨˋ](ㄅㄨˋ.md) | [餔](餔.md) |  | bù | [動]
給予食物、餵食。《國語．越語上》：「國之孺子之遊者，無不餔也，無不歠也，必問其名。」《漢書．卷一．高帝紀》：「呂后與兩子居田中，有一老父過請飲，呂后因餔之。」唐．顏師古．注：「以食食人亦謂之餔。」
[名]
參見「餔子」條。 |</v>
      </c>
    </row>
    <row r="2050" spans="1:44">
      <c r="A2050" s="1" t="s">
        <v>304</v>
      </c>
      <c r="C2050" s="1">
        <v>1</v>
      </c>
      <c r="D2050" s="1" t="str">
        <f>"00574"</f>
        <v>00574</v>
      </c>
      <c r="E2050" s="1" t="s">
        <v>49</v>
      </c>
      <c r="F2050" s="1">
        <v>19</v>
      </c>
      <c r="G2050" s="1">
        <v>13</v>
      </c>
      <c r="H2050" s="1">
        <v>1</v>
      </c>
      <c r="I2050" s="1" t="s">
        <v>1482</v>
      </c>
      <c r="K2050" s="1" t="str">
        <f t="shared" si="129"/>
        <v>ㄅ</v>
      </c>
      <c r="L2050" s="1" t="str">
        <f t="shared" si="130"/>
        <v>ㄨ</v>
      </c>
      <c r="N2050" s="3" t="s">
        <v>30574</v>
      </c>
      <c r="O2050" s="3"/>
      <c r="P2050" s="1" t="s">
        <v>20</v>
      </c>
      <c r="R2050" s="1" t="s">
        <v>1483</v>
      </c>
      <c r="V2050" s="1" t="s">
        <v>1501</v>
      </c>
      <c r="W2050" s="1" t="s">
        <v>1502</v>
      </c>
      <c r="AR2050" s="1" t="str">
        <f t="shared" si="128"/>
        <v>| [ㄅㄨˋ](ㄅㄨˋ.md) | [簿](簿.md) |  | bù | [名]
1.書寫用的本子，或登記事物的冊子。如：「帳簿」、「筆記簿」、「作文簿」、「點名簿」。《史記．卷一〇二．張釋之傳》：「上問上林尉諸禽獸簿，十餘問，尉左右視，盡不能對。」《漢書．卷八．宣帝紀》：「上計簿，具文而已。」
2.文狀、狀子。如：「對簿公堂」。《漢書．卷五四．李廣傳》：「大將軍長史急責廣之莫府上簿。廣曰：『諸校尉亡罪，乃我自失道，吾今自上簿。』」
3.笏板，古代上朝所持用的手板。《三國志．卷三八．蜀書．秦宓傳》：「宓以簿擊頰。」
4.職官名。主簿的簡稱。《明史．卷一五八．吳訥傳》：「父遵，任沅陵簿，坐事繫京師。」
[動]
清查、列冊登記。《魏書．卷二．太祖紀》：「自河已南，諸部悉平。簿其珍寶畜產，名馬三十餘萬匹，牛羊四百餘萬頭。」 |</v>
      </c>
    </row>
    <row r="2051" spans="1:44">
      <c r="A2051" s="1" t="s">
        <v>1503</v>
      </c>
      <c r="C2051" s="1">
        <v>1</v>
      </c>
      <c r="D2051" s="1" t="str">
        <f>"00575"</f>
        <v>00575</v>
      </c>
      <c r="E2051" s="1" t="s">
        <v>256</v>
      </c>
      <c r="F2051" s="1">
        <v>11</v>
      </c>
      <c r="G2051" s="1">
        <v>8</v>
      </c>
      <c r="H2051" s="1">
        <v>0</v>
      </c>
      <c r="I2051" s="1" t="s">
        <v>1482</v>
      </c>
      <c r="K2051" s="1" t="str">
        <f t="shared" si="129"/>
        <v>ㄅ</v>
      </c>
      <c r="L2051" s="1" t="str">
        <f t="shared" si="130"/>
        <v>ㄨ</v>
      </c>
      <c r="N2051" s="3" t="s">
        <v>30574</v>
      </c>
      <c r="O2051" s="3"/>
      <c r="P2051" s="1" t="s">
        <v>20</v>
      </c>
      <c r="R2051" s="1" t="s">
        <v>1483</v>
      </c>
      <c r="V2051" s="1" t="s">
        <v>1504</v>
      </c>
      <c r="AR2051" s="1" t="str">
        <f t="shared" ref="AR2051:AR2114" si="131">"| ["&amp;I2051&amp;"]("&amp;I2051&amp;".md) | ["&amp;A2051&amp;"]("&amp;A2051&amp;".md) | "&amp;" | "&amp;R2051&amp;" | "&amp;V2051&amp;" |"</f>
        <v>| [ㄅㄨˋ](ㄅㄨˋ.md) | [部](部.md) |  | bù | [名]
1.中央政府院以下的行政機關名稱。如：「教育部」、「外交部」。
2.專指機關中分別擔任不同職務的單位。如：「出版部」、「編輯部」。
3.指將整體條理劃分，進而歸納成的各個類別。漢．許慎〈說文解字序〉：「分別部居，不相雜廁也。」《晉書．卷九二．文苑傳．李充傳》：「于時典籍混亂，充刪除煩重，以類相從，分作四部，甚有條貫，秘閣以為永制。」
4.全體中的一些分子。如：「局部」、「部分」。
5.部首。如：「二一四部首系統的第一部是『一』部，最後一部是『龠』部。」
6.軍隊的領導機構或其所在地。如：「連部」、「營部」、「師部」、「總部」、「司令部」。
7.部隊、軍隊。《史記．卷一一〇．匈奴傳》：「漢將軍王恢部出代擊胡輜重，聞單于還，兵多，不敢出。」《後漢書．卷一．光武帝紀上》：「昆陽即破，一日之閒，諸部亦矣。」
8.量詞：(1)計算書籍、影視戲劇等的單位。如：「一部辭典」、「兩部單元劇」、「三部電影」。(2)計算車輛或機器等的單位。如：「一部摩托車」、「三部推土機」。
[動]
1.統率。如：「所部者眾」。《史記．卷七．項羽本紀》：「春，漢王部五諸侯兵，凡五十六萬人，東伐楚。」
2.布置、安排。參見「部署」條。 |</v>
      </c>
    </row>
    <row r="2052" spans="1:44">
      <c r="A2052" s="1" t="s">
        <v>1505</v>
      </c>
      <c r="C2052" s="1">
        <v>1</v>
      </c>
      <c r="D2052" s="1" t="str">
        <f>"00576"</f>
        <v>00576</v>
      </c>
      <c r="E2052" s="1" t="s">
        <v>37</v>
      </c>
      <c r="F2052" s="1">
        <v>15</v>
      </c>
      <c r="G2052" s="1">
        <v>11</v>
      </c>
      <c r="H2052" s="1">
        <v>0</v>
      </c>
      <c r="I2052" s="1" t="s">
        <v>1482</v>
      </c>
      <c r="K2052" s="1" t="str">
        <f t="shared" si="129"/>
        <v>ㄅ</v>
      </c>
      <c r="L2052" s="1" t="str">
        <f t="shared" si="130"/>
        <v>ㄨ</v>
      </c>
      <c r="N2052" s="3" t="s">
        <v>30574</v>
      </c>
      <c r="O2052" s="3"/>
      <c r="P2052" s="1" t="s">
        <v>20</v>
      </c>
      <c r="R2052" s="1" t="s">
        <v>1483</v>
      </c>
      <c r="V2052" s="1" t="s">
        <v>1506</v>
      </c>
      <c r="AR2052" s="1" t="str">
        <f t="shared" si="131"/>
        <v>| [ㄅㄨˋ](ㄅㄨˋ.md) | [蔀](蔀.md) |  | bù | [名]
1.用來遮蔽光線的東西。《易經．豐卦．九四》：「豐其蔀，日中見斗。」三國魏．王弼．注：「蔀，覆曖鄣光明之物也。」
2.量詞。古代計算曆法的單位。參見「蔀法」條。
[動]
用席子覆蓋。《易經．豐卦．上六》：「豐其屋，蔀其家。」三國魏．王弼．注：「既豐其屋，又蔀其家，屋厚家覆，誾之甚也。」 |</v>
      </c>
    </row>
    <row r="2053" spans="1:44">
      <c r="A2053" s="1" t="s">
        <v>1507</v>
      </c>
      <c r="C2053" s="1">
        <v>1</v>
      </c>
      <c r="D2053" s="1" t="str">
        <f>"00577"</f>
        <v>00577</v>
      </c>
      <c r="E2053" s="1" t="s">
        <v>49</v>
      </c>
      <c r="F2053" s="1">
        <v>17</v>
      </c>
      <c r="G2053" s="1">
        <v>11</v>
      </c>
      <c r="H2053" s="1">
        <v>0</v>
      </c>
      <c r="I2053" s="1" t="s">
        <v>1482</v>
      </c>
      <c r="K2053" s="1" t="str">
        <f t="shared" si="129"/>
        <v>ㄅ</v>
      </c>
      <c r="L2053" s="1" t="str">
        <f t="shared" si="130"/>
        <v>ㄨ</v>
      </c>
      <c r="N2053" s="3" t="s">
        <v>30574</v>
      </c>
      <c r="O2053" s="3"/>
      <c r="P2053" s="1" t="s">
        <v>20</v>
      </c>
      <c r="R2053" s="1" t="s">
        <v>1483</v>
      </c>
      <c r="V2053" s="1" t="s">
        <v>1508</v>
      </c>
      <c r="AR2053" s="1" t="str">
        <f t="shared" si="131"/>
        <v>| [ㄅㄨˋ](ㄅㄨˋ.md) | [篰](篰.md) |  | bù | [名]
1.簡牘、簡冊之類。《玉篇．竹部》：「篰，竹牘也。」
2.用細竹片編成的竹器。如：「竹篰」。宋．朱熹《朱文公文集．卷一八．按唐仲友第三狀》：「去年有客人販到鮝鮭一舡，凡數百篰。」 |</v>
      </c>
    </row>
    <row r="2054" spans="1:44">
      <c r="A2054" s="1" t="s">
        <v>1509</v>
      </c>
      <c r="C2054" s="1">
        <v>1</v>
      </c>
      <c r="D2054" s="1" t="str">
        <f>"00578"</f>
        <v>00578</v>
      </c>
      <c r="E2054" s="1" t="s">
        <v>132</v>
      </c>
      <c r="F2054" s="1">
        <v>11</v>
      </c>
      <c r="G2054" s="1">
        <v>8</v>
      </c>
      <c r="H2054" s="1">
        <v>1</v>
      </c>
      <c r="I2054" s="1" t="s">
        <v>1482</v>
      </c>
      <c r="K2054" s="1" t="str">
        <f t="shared" si="129"/>
        <v>ㄅ</v>
      </c>
      <c r="L2054" s="1" t="str">
        <f t="shared" si="130"/>
        <v>ㄨ</v>
      </c>
      <c r="N2054" s="3" t="s">
        <v>30574</v>
      </c>
      <c r="O2054" s="3"/>
      <c r="P2054" s="1" t="s">
        <v>20</v>
      </c>
      <c r="R2054" s="1" t="s">
        <v>1483</v>
      </c>
      <c r="V2054" s="1" t="s">
        <v>1510</v>
      </c>
      <c r="W2054" s="1" t="s">
        <v>1511</v>
      </c>
      <c r="AR2054" s="1" t="str">
        <f t="shared" si="131"/>
        <v>| [ㄅㄨˋ](ㄅㄨˋ.md) | [埠](埠.md) |  | bù | [名]
1.碼頭，停泊船隻的地方。明．張自烈《正字通．土部》：「埠，舶船埠頭。」如：「港埠」。
2.通商的口岸。如：「商埠」、「開埠」。
3.地方、城市。如：「本埠」、「外埠」、「埠際」。清．徐珂《清稗類鈔．棍騙類．販豬仔》：「所往之地，大抵為新加坡、庇能等埠。」 |</v>
      </c>
    </row>
    <row r="2055" spans="1:44">
      <c r="A2055" s="1" t="s">
        <v>1457</v>
      </c>
      <c r="C2055" s="1">
        <v>1</v>
      </c>
      <c r="D2055" s="1" t="str">
        <f>"00557"</f>
        <v>00557</v>
      </c>
      <c r="E2055" s="1" t="s">
        <v>71</v>
      </c>
      <c r="F2055" s="1">
        <v>19</v>
      </c>
      <c r="G2055" s="1">
        <v>12</v>
      </c>
      <c r="H2055" s="1">
        <v>0</v>
      </c>
      <c r="I2055" s="1" t="s">
        <v>1458</v>
      </c>
      <c r="K2055" s="1" t="str">
        <f t="shared" si="129"/>
        <v>ㄅ</v>
      </c>
      <c r="L2055" s="1" t="str">
        <f t="shared" si="130"/>
        <v>ㄨ</v>
      </c>
      <c r="N2055" s="3" t="s">
        <v>30575</v>
      </c>
      <c r="O2055" s="3"/>
      <c r="P2055" s="1" t="s">
        <v>20</v>
      </c>
      <c r="R2055" s="1" t="s">
        <v>1459</v>
      </c>
      <c r="V2055" s="1" t="s">
        <v>1460</v>
      </c>
      <c r="AR2055" s="1" t="str">
        <f t="shared" si="131"/>
        <v>| [ㄅㄨˊ](ㄅㄨˊ.md) | [轐](轐.md) |  | bú | [名]
車底板下扣住橫軸的裝置。用來支撐車軸，狀似伏兔。《說文解字．車部》：「轐，車伏兔也。」 |</v>
      </c>
    </row>
    <row r="2056" spans="1:44">
      <c r="A2056" s="1" t="s">
        <v>1461</v>
      </c>
      <c r="C2056" s="1">
        <v>1</v>
      </c>
      <c r="D2056" s="1" t="str">
        <f>"00558"</f>
        <v>00558</v>
      </c>
      <c r="E2056" s="1" t="s">
        <v>1462</v>
      </c>
      <c r="F2056" s="1">
        <v>19</v>
      </c>
      <c r="G2056" s="1">
        <v>12</v>
      </c>
      <c r="H2056" s="1">
        <v>1</v>
      </c>
      <c r="I2056" s="1" t="s">
        <v>1458</v>
      </c>
      <c r="K2056" s="1" t="str">
        <f t="shared" si="129"/>
        <v>ㄅ</v>
      </c>
      <c r="L2056" s="1" t="str">
        <f t="shared" si="130"/>
        <v>ㄨ</v>
      </c>
      <c r="N2056" s="3" t="s">
        <v>30575</v>
      </c>
      <c r="O2056" s="3"/>
      <c r="P2056" s="1" t="s">
        <v>20</v>
      </c>
      <c r="R2056" s="1" t="s">
        <v>1459</v>
      </c>
      <c r="V2056" s="1" t="s">
        <v>1463</v>
      </c>
      <c r="W2056" s="1" t="s">
        <v>1464</v>
      </c>
      <c r="AR2056" s="1" t="str">
        <f t="shared" si="131"/>
        <v>| [ㄅㄨˊ](ㄅㄨˊ.md) | [醭](醭.md) |  | bú | [名]
1.醋、酒或醬油等放久後，表面上所生的白點黴菌。唐．白居易〈臥疾來早晚〉詩：「酒甕全生醭，歌筵半委塵。」也稱為「醭兒」。
2.泛指一般物體所長的白色黴菌。宋．楊萬里〈風雨〉詩：「梅天筆墨都生醭，棐几文書懶拂塵。」 |</v>
      </c>
    </row>
    <row r="2057" spans="1:44">
      <c r="A2057" s="1" t="s">
        <v>1465</v>
      </c>
      <c r="C2057" s="1">
        <v>1</v>
      </c>
      <c r="D2057" s="1" t="str">
        <f>"00559"</f>
        <v>00559</v>
      </c>
      <c r="E2057" s="1" t="s">
        <v>1279</v>
      </c>
      <c r="F2057" s="1">
        <v>2</v>
      </c>
      <c r="G2057" s="1">
        <v>0</v>
      </c>
      <c r="H2057" s="1">
        <v>0</v>
      </c>
      <c r="I2057" s="1" t="s">
        <v>1466</v>
      </c>
      <c r="K2057" s="1" t="str">
        <f t="shared" si="129"/>
        <v>ㄅ</v>
      </c>
      <c r="L2057" s="1" t="str">
        <f t="shared" si="130"/>
        <v>ㄨ</v>
      </c>
      <c r="N2057" s="3" t="s">
        <v>30576</v>
      </c>
      <c r="O2057" s="3"/>
      <c r="P2057" s="1" t="s">
        <v>20</v>
      </c>
      <c r="R2057" s="1" t="s">
        <v>1467</v>
      </c>
      <c r="V2057" s="1" t="s">
        <v>1468</v>
      </c>
      <c r="AR2057" s="1" t="str">
        <f t="shared" si="131"/>
        <v>| [ㄅㄨˇ](ㄅㄨˇ.md) | [卜](卜.md) |  | bǔ | [名]
1.古人灼燒龜甲或牛骨，辨視其裂紋以推斷事情吉凶的行為。如：「占卜」、「龜卜」。
2.泛指一般預測吉凶的方法。如：「卜卦」。清．王漁洋〈灞橋寄內〉詩二首之二：「閨中若問金錢卜，秋雨秋風過灞橋。」
3.掌管問卜之事的人。《楚辭．屈原．卜居》：「心煩慮亂，不知所從，往見太卜鄭詹尹。」《禮記．王制》：「凡執技以事上者，祝史射御醫卜及百工。」
4.古劇角色名稱。飾演老婦人，如今戲中的老旦。如：「卜兒」。《永樂大典戲文三種．宦門子弟錯立身．第五出》：「（末卜商量介）萬事不由人計較，一生都是命安排。」
5.姓。如春秋時衛國有卜商，清代有卜舜牟。
6.二一四部首之一。
[動]
1.灼龜占卦。《左傳．僖公四年》：「初，晉獻公欲以驪姬為夫人，卜之不吉。」
2.預料、事先推斷。如：「未卜先知」、「勝敗可卜」。《史記．卷六五．孫子吳起傳》：「試延以公主，起有留心則必受之，無留心則必辭矣。以此卜之。」
3.選擇。如：「卜居」、「卜鄰」。《左傳．昭公三年》：「非宅是卜，唯鄰是卜。」宋．陸游〈呂從事夫人方氏墓誌銘〉：「以潦水齧墓趾，改卜於舊墓少東二百步。」 |</v>
      </c>
    </row>
    <row r="2058" spans="1:44">
      <c r="A2058" s="1" t="s">
        <v>1469</v>
      </c>
      <c r="C2058" s="1">
        <v>1</v>
      </c>
      <c r="D2058" s="1" t="str">
        <f>"00560"</f>
        <v>00560</v>
      </c>
      <c r="E2058" s="1" t="s">
        <v>272</v>
      </c>
      <c r="F2058" s="1">
        <v>13</v>
      </c>
      <c r="G2058" s="1">
        <v>2</v>
      </c>
      <c r="H2058" s="1">
        <v>0</v>
      </c>
      <c r="I2058" s="1" t="s">
        <v>1466</v>
      </c>
      <c r="K2058" s="1" t="str">
        <f t="shared" si="129"/>
        <v>ㄅ</v>
      </c>
      <c r="L2058" s="1" t="str">
        <f t="shared" si="130"/>
        <v>ㄨ</v>
      </c>
      <c r="N2058" s="3" t="s">
        <v>30576</v>
      </c>
      <c r="O2058" s="3"/>
      <c r="P2058" s="1" t="s">
        <v>20</v>
      </c>
      <c r="R2058" s="1" t="s">
        <v>1467</v>
      </c>
      <c r="V2058" s="1" t="s">
        <v>1470</v>
      </c>
      <c r="AR2058" s="1" t="str">
        <f t="shared" si="131"/>
        <v>| [ㄅㄨˇ](ㄅㄨˇ.md) | [鳪](鳪.md) |  | bǔ | [名]
一種腹部赤黃的野雉。《爾雅．釋鳥》：「鳪，雉。」晉．郭璞．注：「黃色，鳴自呼。」宋．邢昺．疏：「云鳪雉者，雉之黃色、鳴自呼者名鳪。」 |</v>
      </c>
    </row>
    <row r="2059" spans="1:44">
      <c r="A2059" s="1" t="s">
        <v>1471</v>
      </c>
      <c r="C2059" s="1">
        <v>1</v>
      </c>
      <c r="D2059" s="1" t="str">
        <f>"00561"</f>
        <v>00561</v>
      </c>
      <c r="E2059" s="1" t="s">
        <v>132</v>
      </c>
      <c r="F2059" s="1">
        <v>10</v>
      </c>
      <c r="G2059" s="1">
        <v>7</v>
      </c>
      <c r="H2059" s="1">
        <v>2</v>
      </c>
      <c r="I2059" s="1" t="s">
        <v>1466</v>
      </c>
      <c r="K2059" s="1" t="str">
        <f t="shared" si="129"/>
        <v>ㄅ</v>
      </c>
      <c r="L2059" s="1" t="str">
        <f t="shared" si="130"/>
        <v>ㄨ</v>
      </c>
      <c r="N2059" s="3" t="s">
        <v>30576</v>
      </c>
      <c r="O2059" s="3"/>
      <c r="P2059" s="1" t="s">
        <v>110</v>
      </c>
      <c r="R2059" s="1" t="s">
        <v>1467</v>
      </c>
      <c r="V2059" s="1" t="s">
        <v>111</v>
      </c>
      <c r="W2059" s="1" t="s">
        <v>1472</v>
      </c>
      <c r="AR2059" s="1" t="str">
        <f t="shared" si="131"/>
        <v>| [ㄅㄨˇ](ㄅㄨˇ.md) | [埔](埔.md) |  | bǔ | (一)之又音。 |</v>
      </c>
    </row>
    <row r="2060" spans="1:44">
      <c r="A2060" s="1" t="s">
        <v>1473</v>
      </c>
      <c r="C2060" s="1">
        <v>1</v>
      </c>
      <c r="D2060" s="1" t="str">
        <f>"00562"</f>
        <v>00562</v>
      </c>
      <c r="E2060" s="1" t="s">
        <v>24</v>
      </c>
      <c r="F2060" s="1">
        <v>10</v>
      </c>
      <c r="G2060" s="1">
        <v>7</v>
      </c>
      <c r="H2060" s="1">
        <v>1</v>
      </c>
      <c r="I2060" s="1" t="s">
        <v>1466</v>
      </c>
      <c r="K2060" s="1" t="str">
        <f t="shared" si="129"/>
        <v>ㄅ</v>
      </c>
      <c r="L2060" s="1" t="str">
        <f t="shared" si="130"/>
        <v>ㄨ</v>
      </c>
      <c r="N2060" s="3" t="s">
        <v>30576</v>
      </c>
      <c r="O2060" s="3"/>
      <c r="P2060" s="1" t="s">
        <v>20</v>
      </c>
      <c r="R2060" s="1" t="s">
        <v>1467</v>
      </c>
      <c r="V2060" s="1" t="s">
        <v>1474</v>
      </c>
      <c r="W2060" s="1" t="s">
        <v>1475</v>
      </c>
      <c r="AR2060" s="1" t="str">
        <f t="shared" si="131"/>
        <v>| [ㄅㄨˇ](ㄅㄨˇ.md) | [捕](捕.md) |  | bǔ | [動]
1.捉拿、擒住。如：「逮捕」、「緝捕」、「拒捕」、「拘捕」。《文選．張衡．四愁詩．序》：「下吏收捕，盡服擒諸豪俠。」
2.獵取。《文選．揚雄．長楊賦》：「張羅罔罝罘，捕熊羆豪豬。」《文選．束晳．補亡詩六首之一》：「淩波赴汨，噬魴捕鯉。」
[名]
1.古代的基層治安人員。如：「巡捕」、「捕快」。
2.姓。如漢代有捕巡。 |</v>
      </c>
    </row>
    <row r="2061" spans="1:44">
      <c r="A2061" s="1" t="s">
        <v>1476</v>
      </c>
      <c r="C2061" s="1">
        <v>1</v>
      </c>
      <c r="D2061" s="1" t="str">
        <f>"00563"</f>
        <v>00563</v>
      </c>
      <c r="E2061" s="1" t="s">
        <v>28</v>
      </c>
      <c r="F2061" s="1">
        <v>10</v>
      </c>
      <c r="G2061" s="1">
        <v>7</v>
      </c>
      <c r="H2061" s="1">
        <v>1</v>
      </c>
      <c r="I2061" s="1" t="s">
        <v>1466</v>
      </c>
      <c r="K2061" s="1" t="str">
        <f t="shared" si="129"/>
        <v>ㄅ</v>
      </c>
      <c r="L2061" s="1" t="str">
        <f t="shared" si="130"/>
        <v>ㄨ</v>
      </c>
      <c r="N2061" s="3" t="s">
        <v>30576</v>
      </c>
      <c r="O2061" s="3"/>
      <c r="P2061" s="1" t="s">
        <v>20</v>
      </c>
      <c r="R2061" s="1" t="s">
        <v>1467</v>
      </c>
      <c r="V2061" s="1" t="s">
        <v>1477</v>
      </c>
      <c r="W2061" s="1" t="s">
        <v>1478</v>
      </c>
      <c r="AR2061" s="1" t="str">
        <f t="shared" si="131"/>
        <v>| [ㄅㄨˇ](ㄅㄨˇ.md) | [哺](哺.md) |  | bǔ | [動]
餵食。如：「哺乳」、「嗷嗷待哺」。三國魏．陳琳〈飲馬長城窟行〉：「生男慎莫舉，生女哺用脯。」《文選．盧諶．贈劉琨詩》：「相彼反哺，尚在翔禽。」
[名]
在口中咀嚼的食物。《莊子．馬蹄》：「含哺而熙，鼓腹而遊。」《史記．卷三三．魯周公世家》：「然我一沐三捉髮，一飯三吐哺，起以待士，猶恐失天下之賢人。」 |</v>
      </c>
    </row>
    <row r="2062" spans="1:44">
      <c r="A2062" s="1" t="s">
        <v>1479</v>
      </c>
      <c r="C2062" s="1">
        <v>1</v>
      </c>
      <c r="D2062" s="1" t="str">
        <f>"00564"</f>
        <v>00564</v>
      </c>
      <c r="E2062" s="1" t="s">
        <v>340</v>
      </c>
      <c r="F2062" s="1">
        <v>13</v>
      </c>
      <c r="G2062" s="1">
        <v>7</v>
      </c>
      <c r="H2062" s="1">
        <v>0</v>
      </c>
      <c r="I2062" s="1" t="s">
        <v>1466</v>
      </c>
      <c r="K2062" s="1" t="str">
        <f t="shared" si="129"/>
        <v>ㄅ</v>
      </c>
      <c r="L2062" s="1" t="str">
        <f t="shared" si="130"/>
        <v>ㄨ</v>
      </c>
      <c r="N2062" s="3" t="s">
        <v>30576</v>
      </c>
      <c r="O2062" s="3"/>
      <c r="P2062" s="1" t="s">
        <v>20</v>
      </c>
      <c r="R2062" s="1" t="s">
        <v>1467</v>
      </c>
      <c r="V2062" s="1" t="s">
        <v>1480</v>
      </c>
      <c r="AR2062" s="1" t="str">
        <f t="shared" si="131"/>
        <v>| [ㄅㄨˇ](ㄅㄨˇ.md) | [補](補.md) |  | bǔ | [動]
1.將破裂、破損的地方修好。如：「補衣」、「補破網」、「亡羊補牢」、「煉石補天」。唐．杜甫〈佳人〉詩：「侍婢賣珠迴，牽蘿補茅屋。」
2.添足所缺少的。如：「補充」、「填補」、「添補」。《國語．越語上》：「去民之所惡，補民之不足。」
3.填入空缺的職位、名次等。如：「候補」、「遞補」。《漢書．卷八八．儒林傳．序》：「太常擇民年十八以上儀狀端正者，補博士弟子。」《老殘遊記》第三回：「玉佐臣要補曹州府了。」
4.助益、裨益。如：「於事無補」、「不無小補」。漢．王充《論衡．自紀》：「為世用者，百篇無害；不為用者，一章無補。」
5.補救、彌補。《詩經．大雅．烝民》：「袞職有闕，維仲山甫補之。」漢．毛亨．傳：「仲山甫補之，善補過也。」漢．鼂錯〈賢良文學對策〉：「救主之失，補主之過，揚主之美，明主之功。」
[名]
1.營養的食品。如：「冬令進補」、「十全大補湯」。
2.姓。如唐代有補珍珠。 |</v>
      </c>
    </row>
    <row r="2063" spans="1:44" hidden="1">
      <c r="A2063" s="1" t="s">
        <v>216</v>
      </c>
      <c r="C2063" s="1">
        <v>1</v>
      </c>
      <c r="D2063" s="1" t="str">
        <f>"00579"</f>
        <v>00579</v>
      </c>
      <c r="E2063" s="1" t="s">
        <v>24</v>
      </c>
      <c r="F2063" s="1">
        <v>8</v>
      </c>
      <c r="G2063" s="1">
        <v>5</v>
      </c>
      <c r="H2063" s="1">
        <v>3</v>
      </c>
      <c r="I2063" s="1" t="s">
        <v>1512</v>
      </c>
      <c r="K2063" s="1" t="str">
        <f t="shared" si="129"/>
        <v>ㄆ</v>
      </c>
      <c r="L2063" s="1" t="str">
        <f t="shared" si="130"/>
        <v>ㄚ</v>
      </c>
      <c r="M2063" s="1" t="str">
        <f t="shared" ref="M2063:M2094" si="132">MID(I2063, 3, 1)</f>
        <v/>
      </c>
      <c r="P2063" s="1" t="s">
        <v>20</v>
      </c>
      <c r="R2063" s="1" t="s">
        <v>1513</v>
      </c>
      <c r="V2063" s="1" t="s">
        <v>1514</v>
      </c>
      <c r="W2063" s="1" t="s">
        <v>1515</v>
      </c>
      <c r="AR2063" s="1" t="str">
        <f t="shared" si="131"/>
        <v>| [ㄆㄚ](ㄆㄚ.md) | [拍](拍.md) |  | pā | [擬]_x000D_
模擬拍擊或爆裂的聲音。《紅樓夢》第二一回：「正猶豫間，湘雲果在身後看見，一手摝著辮子，便伸手來『拍』的一下，從手中將胭脂打落。」也作「㕷」、「啪」。 |</v>
      </c>
    </row>
    <row r="2064" spans="1:44" hidden="1">
      <c r="A2064" s="1" t="s">
        <v>1516</v>
      </c>
      <c r="C2064" s="1">
        <v>1</v>
      </c>
      <c r="D2064" s="1" t="str">
        <f>"00580"</f>
        <v>00580</v>
      </c>
      <c r="E2064" s="1" t="s">
        <v>28</v>
      </c>
      <c r="F2064" s="1">
        <v>8</v>
      </c>
      <c r="G2064" s="1">
        <v>5</v>
      </c>
      <c r="H2064" s="1">
        <v>1</v>
      </c>
      <c r="I2064" s="1" t="s">
        <v>1512</v>
      </c>
      <c r="K2064" s="1" t="str">
        <f t="shared" si="129"/>
        <v>ㄆ</v>
      </c>
      <c r="L2064" s="1" t="str">
        <f t="shared" si="130"/>
        <v>ㄚ</v>
      </c>
      <c r="M2064" s="1" t="str">
        <f t="shared" si="132"/>
        <v/>
      </c>
      <c r="P2064" s="1" t="s">
        <v>20</v>
      </c>
      <c r="R2064" s="1" t="s">
        <v>1513</v>
      </c>
      <c r="V2064" s="1" t="s">
        <v>1517</v>
      </c>
      <c r="W2064" s="1" t="s">
        <v>1518</v>
      </c>
      <c r="AR2064" s="1" t="str">
        <f t="shared" si="131"/>
        <v>| [ㄆㄚ](ㄆㄚ.md) | [㕷](㕷.md) |  | pā | [擬]_x000D_
模擬拍擊或爆裂的聲音。如：「㕷的一聲，蚊子被打死了。」「燈泡㕷的一聲燒壞了。」也作「拍」、「啪」。 |</v>
      </c>
    </row>
    <row r="2065" spans="1:44" hidden="1">
      <c r="A2065" s="1" t="s">
        <v>1519</v>
      </c>
      <c r="C2065" s="1">
        <v>1</v>
      </c>
      <c r="D2065" s="1" t="str">
        <f>"00581"</f>
        <v>00581</v>
      </c>
      <c r="E2065" s="1" t="s">
        <v>28</v>
      </c>
      <c r="F2065" s="1">
        <v>11</v>
      </c>
      <c r="G2065" s="1">
        <v>8</v>
      </c>
      <c r="H2065" s="1">
        <v>1</v>
      </c>
      <c r="I2065" s="1" t="s">
        <v>1512</v>
      </c>
      <c r="K2065" s="1" t="str">
        <f t="shared" si="129"/>
        <v>ㄆ</v>
      </c>
      <c r="L2065" s="1" t="str">
        <f t="shared" si="130"/>
        <v>ㄚ</v>
      </c>
      <c r="M2065" s="1" t="str">
        <f t="shared" si="132"/>
        <v/>
      </c>
      <c r="P2065" s="1" t="s">
        <v>20</v>
      </c>
      <c r="R2065" s="1" t="s">
        <v>1513</v>
      </c>
      <c r="V2065" s="1" t="s">
        <v>1520</v>
      </c>
      <c r="W2065" s="1" t="s">
        <v>1521</v>
      </c>
      <c r="AR2065" s="1" t="str">
        <f t="shared" si="131"/>
        <v>| [ㄆㄚ](ㄆㄚ.md) | [啪](啪.md) |  | pā | [擬]_x000D_
模擬拍擊或爆裂的聲音。如：「他盛怒之下，『啪』的一聲，用力地拍了桌子。」「爆竹劈里啪啦響了起來。」也作「㕷」、「拍」。 |</v>
      </c>
    </row>
    <row r="2066" spans="1:44" hidden="1">
      <c r="A2066" s="1" t="s">
        <v>1522</v>
      </c>
      <c r="C2066" s="1">
        <v>1</v>
      </c>
      <c r="D2066" s="1" t="str">
        <f>"00582"</f>
        <v>00582</v>
      </c>
      <c r="E2066" s="1" t="s">
        <v>77</v>
      </c>
      <c r="F2066" s="1">
        <v>9</v>
      </c>
      <c r="G2066" s="1">
        <v>2</v>
      </c>
      <c r="H2066" s="1">
        <v>0</v>
      </c>
      <c r="I2066" s="1" t="s">
        <v>1512</v>
      </c>
      <c r="K2066" s="1" t="str">
        <f t="shared" si="129"/>
        <v>ㄆ</v>
      </c>
      <c r="L2066" s="1" t="str">
        <f t="shared" si="130"/>
        <v>ㄚ</v>
      </c>
      <c r="M2066" s="1" t="str">
        <f t="shared" si="132"/>
        <v/>
      </c>
      <c r="P2066" s="1" t="s">
        <v>20</v>
      </c>
      <c r="R2066" s="1" t="s">
        <v>1513</v>
      </c>
      <c r="V2066" s="1" t="s">
        <v>1523</v>
      </c>
      <c r="AR2066" s="1" t="str">
        <f t="shared" si="131"/>
        <v>| [ㄆㄚ](ㄆㄚ.md) | [趴](趴.md) |  | pā | [動]
1.身體向下倒伏。如：「趴在地上。」
2.身體向前彎曲靠在物體上。如：「午休時間，大夥都趴在桌上小憩片刻。」 |</v>
      </c>
    </row>
    <row r="2067" spans="1:44" hidden="1">
      <c r="A2067" s="1" t="s">
        <v>1524</v>
      </c>
      <c r="C2067" s="1">
        <v>1</v>
      </c>
      <c r="D2067" s="1" t="str">
        <f>"00583"</f>
        <v>00583</v>
      </c>
      <c r="E2067" s="1" t="s">
        <v>37</v>
      </c>
      <c r="F2067" s="1">
        <v>13</v>
      </c>
      <c r="G2067" s="1">
        <v>9</v>
      </c>
      <c r="H2067" s="1">
        <v>0</v>
      </c>
      <c r="I2067" s="1" t="s">
        <v>1512</v>
      </c>
      <c r="K2067" s="1" t="str">
        <f t="shared" si="129"/>
        <v>ㄆ</v>
      </c>
      <c r="L2067" s="1" t="str">
        <f t="shared" si="130"/>
        <v>ㄚ</v>
      </c>
      <c r="M2067" s="1" t="str">
        <f t="shared" si="132"/>
        <v/>
      </c>
      <c r="P2067" s="1" t="s">
        <v>20</v>
      </c>
      <c r="R2067" s="1" t="s">
        <v>1513</v>
      </c>
      <c r="V2067" s="1" t="s">
        <v>1525</v>
      </c>
      <c r="AR2067" s="1" t="str">
        <f t="shared" si="131"/>
        <v>| [ㄆㄚ](ㄆㄚ.md) | [葩](葩.md) |  | pā | [名]
花。《玉篇．艸部》：「葩，華也。」如：「豔葩」、「奇葩異卉」。漢．無名氏〈古詩〉三首之三：「新樹蘭蕙葩，雜用杜蘅草。」《紅樓夢》第五回：「一個是閬苑仙葩，一個是美玉無瑕。」
[形]
華麗。唐．韓愈〈進學解〉：「易奇而法，詩正而葩。」明．湯顯祖《牡丹亭．第七齣》：「論六經，《詩經》最葩，閨門內許多風雅。」 |</v>
      </c>
    </row>
    <row r="2068" spans="1:44" hidden="1">
      <c r="A2068" s="1" t="s">
        <v>158</v>
      </c>
      <c r="C2068" s="1">
        <v>1</v>
      </c>
      <c r="D2068" s="1" t="str">
        <f>"00597"</f>
        <v>00597</v>
      </c>
      <c r="E2068" s="1" t="s">
        <v>129</v>
      </c>
      <c r="F2068" s="1">
        <v>8</v>
      </c>
      <c r="G2068" s="1">
        <v>5</v>
      </c>
      <c r="H2068" s="1">
        <v>2</v>
      </c>
      <c r="I2068" s="1" t="s">
        <v>1557</v>
      </c>
      <c r="K2068" s="1" t="str">
        <f t="shared" si="129"/>
        <v>ㄆ</v>
      </c>
      <c r="L2068" s="1" t="str">
        <f t="shared" si="130"/>
        <v>ㄛ</v>
      </c>
      <c r="M2068" s="1" t="str">
        <f t="shared" si="132"/>
        <v/>
      </c>
      <c r="P2068" s="1" t="s">
        <v>110</v>
      </c>
      <c r="R2068" s="1" t="s">
        <v>1558</v>
      </c>
      <c r="V2068" s="1" t="s">
        <v>111</v>
      </c>
      <c r="W2068" s="1" t="s">
        <v>1559</v>
      </c>
      <c r="AR2068" s="1" t="str">
        <f t="shared" si="131"/>
        <v>| [ㄆㄛ](ㄆㄛ.md) | [波](波.md) |  | pō | (一)之又音。 |</v>
      </c>
    </row>
    <row r="2069" spans="1:44" hidden="1">
      <c r="A2069" s="1" t="s">
        <v>1560</v>
      </c>
      <c r="C2069" s="1">
        <v>1</v>
      </c>
      <c r="D2069" s="1" t="str">
        <f>"00598"</f>
        <v>00598</v>
      </c>
      <c r="E2069" s="1" t="s">
        <v>132</v>
      </c>
      <c r="F2069" s="1">
        <v>8</v>
      </c>
      <c r="G2069" s="1">
        <v>5</v>
      </c>
      <c r="H2069" s="1">
        <v>0</v>
      </c>
      <c r="I2069" s="1" t="s">
        <v>1557</v>
      </c>
      <c r="K2069" s="1" t="str">
        <f t="shared" si="129"/>
        <v>ㄆ</v>
      </c>
      <c r="L2069" s="1" t="str">
        <f t="shared" si="130"/>
        <v>ㄛ</v>
      </c>
      <c r="M2069" s="1" t="str">
        <f t="shared" si="132"/>
        <v/>
      </c>
      <c r="P2069" s="1" t="s">
        <v>20</v>
      </c>
      <c r="R2069" s="1" t="s">
        <v>1558</v>
      </c>
      <c r="V2069" s="1" t="s">
        <v>1561</v>
      </c>
      <c r="AR2069" s="1" t="str">
        <f t="shared" si="131"/>
        <v>| [ㄆㄛ](ㄆㄛ.md) | [坡](坡.md) |  | pō | [名]
地勢傾斜的地方。如：「山坡」、「斜坡」、「陡坡」、「緩坡」、「向陽坡」。
[形]
傾斜。如：「坡度」。 |</v>
      </c>
    </row>
    <row r="2070" spans="1:44" hidden="1">
      <c r="A2070" s="1" t="s">
        <v>1562</v>
      </c>
      <c r="C2070" s="1">
        <v>1</v>
      </c>
      <c r="D2070" s="1" t="str">
        <f>"00599"</f>
        <v>00599</v>
      </c>
      <c r="E2070" s="1" t="s">
        <v>691</v>
      </c>
      <c r="F2070" s="1">
        <v>8</v>
      </c>
      <c r="G2070" s="1">
        <v>5</v>
      </c>
      <c r="H2070" s="1">
        <v>2</v>
      </c>
      <c r="I2070" s="1" t="s">
        <v>1557</v>
      </c>
      <c r="K2070" s="1" t="str">
        <f t="shared" si="129"/>
        <v>ㄆ</v>
      </c>
      <c r="L2070" s="1" t="str">
        <f t="shared" si="130"/>
        <v>ㄛ</v>
      </c>
      <c r="M2070" s="1" t="str">
        <f t="shared" si="132"/>
        <v/>
      </c>
      <c r="P2070" s="1" t="s">
        <v>20</v>
      </c>
      <c r="R2070" s="1" t="s">
        <v>1558</v>
      </c>
      <c r="V2070" s="1" t="s">
        <v>1563</v>
      </c>
      <c r="W2070" s="1" t="s">
        <v>1564</v>
      </c>
      <c r="AR2070" s="1" t="str">
        <f t="shared" si="131"/>
        <v>| [ㄆㄛ](ㄆㄛ.md) | [陂](陂.md) |  | pō | 參見「陂陀」條。 |</v>
      </c>
    </row>
    <row r="2071" spans="1:44" hidden="1">
      <c r="A2071" s="1" t="s">
        <v>1565</v>
      </c>
      <c r="C2071" s="1">
        <v>1</v>
      </c>
      <c r="D2071" s="1" t="str">
        <f>"00600"</f>
        <v>00600</v>
      </c>
      <c r="E2071" s="1" t="s">
        <v>684</v>
      </c>
      <c r="F2071" s="1">
        <v>14</v>
      </c>
      <c r="G2071" s="1">
        <v>5</v>
      </c>
      <c r="H2071" s="1">
        <v>1</v>
      </c>
      <c r="I2071" s="1" t="s">
        <v>1557</v>
      </c>
      <c r="K2071" s="1" t="str">
        <f t="shared" si="129"/>
        <v>ㄆ</v>
      </c>
      <c r="L2071" s="1" t="str">
        <f t="shared" si="130"/>
        <v>ㄛ</v>
      </c>
      <c r="M2071" s="1" t="str">
        <f t="shared" si="132"/>
        <v/>
      </c>
      <c r="P2071" s="1" t="s">
        <v>20</v>
      </c>
      <c r="R2071" s="1" t="s">
        <v>1558</v>
      </c>
      <c r="V2071" s="1" t="s">
        <v>1566</v>
      </c>
      <c r="W2071" s="1" t="s">
        <v>1567</v>
      </c>
      <c r="AR2071" s="1" t="str">
        <f t="shared" si="131"/>
        <v>| [ㄆㄛ](ㄆㄛ.md) | [頗](頗.md) |  | pō | [形]
不平正。如：「偏頗」。《楚辭．屈原．離騷》：「舉賢而授能兮，循繩墨而不頗。」 |</v>
      </c>
    </row>
    <row r="2072" spans="1:44" hidden="1">
      <c r="A2072" s="1" t="s">
        <v>1568</v>
      </c>
      <c r="C2072" s="1">
        <v>1</v>
      </c>
      <c r="D2072" s="1" t="str">
        <f>"00601"</f>
        <v>00601</v>
      </c>
      <c r="E2072" s="1" t="s">
        <v>147</v>
      </c>
      <c r="F2072" s="1">
        <v>9</v>
      </c>
      <c r="G2072" s="1">
        <v>4</v>
      </c>
      <c r="H2072" s="1">
        <v>0</v>
      </c>
      <c r="I2072" s="1" t="s">
        <v>1557</v>
      </c>
      <c r="K2072" s="1" t="str">
        <f t="shared" si="129"/>
        <v>ㄆ</v>
      </c>
      <c r="L2072" s="1" t="str">
        <f t="shared" si="130"/>
        <v>ㄛ</v>
      </c>
      <c r="M2072" s="1" t="str">
        <f t="shared" si="132"/>
        <v/>
      </c>
      <c r="P2072" s="1" t="s">
        <v>20</v>
      </c>
      <c r="R2072" s="1" t="s">
        <v>1558</v>
      </c>
      <c r="V2072" s="1" t="s">
        <v>1569</v>
      </c>
      <c r="AR2072" s="1" t="str">
        <f t="shared" si="131"/>
        <v>| [ㄆㄛ](ㄆㄛ.md) | [癹](癹.md) |  | pō | [動]
用腳將草踩平。《說文解字．癶部》：「癹，以足蹋夷艸。」
[形]
癹骫：形容枝條盤曲交錯。《漢書．卷五七．司馬相如傳上》：「崔錯癹骫，坑衡閜砢。」 |</v>
      </c>
    </row>
    <row r="2073" spans="1:44" hidden="1">
      <c r="A2073" s="1" t="s">
        <v>1570</v>
      </c>
      <c r="C2073" s="1">
        <v>1</v>
      </c>
      <c r="D2073" s="1" t="str">
        <f>"00602"</f>
        <v>00602</v>
      </c>
      <c r="E2073" s="1" t="s">
        <v>129</v>
      </c>
      <c r="F2073" s="1">
        <v>15</v>
      </c>
      <c r="G2073" s="1">
        <v>12</v>
      </c>
      <c r="H2073" s="1">
        <v>0</v>
      </c>
      <c r="I2073" s="1" t="s">
        <v>1557</v>
      </c>
      <c r="K2073" s="1" t="str">
        <f t="shared" si="129"/>
        <v>ㄆ</v>
      </c>
      <c r="L2073" s="1" t="str">
        <f t="shared" si="130"/>
        <v>ㄛ</v>
      </c>
      <c r="M2073" s="1" t="str">
        <f t="shared" si="132"/>
        <v/>
      </c>
      <c r="P2073" s="1" t="s">
        <v>20</v>
      </c>
      <c r="R2073" s="1" t="s">
        <v>1558</v>
      </c>
      <c r="V2073" s="1" t="s">
        <v>1571</v>
      </c>
      <c r="AR2073" s="1" t="str">
        <f t="shared" si="131"/>
        <v>| [ㄆㄛ](ㄆㄛ.md) | [潑](潑.md) |  | pō | [動]
澆、灑。如：「潑水」、「潑灑」。宋．華岳〈驟雨〉詩：「牛尾烏雲潑濃墨，牛頭風雨翩車軸。」《紅樓夢》第四三回：「尤氏笑道：『你瞧他興的這樣兒！我勸你收著些兒好。太滿了，就要潑出來的。』」
[形]
1.蠻橫不講理。如：「撒潑」、「潑辣」。元．無名氏《冤家債主》第一折：「引著些個潑男潑女相扶策，你！你！你！則待每日上花臺。」《西遊記》第四回：「巨靈神厲聲高叫道：『那潑猴！你認得我麼？』」
2.靈活生動。如：「活潑」。
3.自貶之詞。卑賤、窮苦的意思。元．秦𥳑夫《東堂老》第三折：「我其實可便顧不得你窮親潑故。」元．楊訥《劉行首》第一折：「我這般窮身潑命誰瞅問？蓬頭垢面妝痴鈍。」 |</v>
      </c>
    </row>
    <row r="2074" spans="1:44" hidden="1">
      <c r="A2074" s="1" t="s">
        <v>216</v>
      </c>
      <c r="C2074" s="1">
        <v>1</v>
      </c>
      <c r="D2074" s="1" t="str">
        <f>"00632"</f>
        <v>00632</v>
      </c>
      <c r="E2074" s="1" t="s">
        <v>24</v>
      </c>
      <c r="F2074" s="1">
        <v>8</v>
      </c>
      <c r="G2074" s="1">
        <v>5</v>
      </c>
      <c r="H2074" s="1">
        <v>1</v>
      </c>
      <c r="I2074" s="1" t="s">
        <v>1639</v>
      </c>
      <c r="K2074" s="1" t="str">
        <f t="shared" si="129"/>
        <v>ㄆ</v>
      </c>
      <c r="L2074" s="1" t="str">
        <f t="shared" si="130"/>
        <v>ㄞ</v>
      </c>
      <c r="M2074" s="1" t="str">
        <f t="shared" si="132"/>
        <v/>
      </c>
      <c r="P2074" s="1" t="s">
        <v>388</v>
      </c>
      <c r="R2074" s="1" t="s">
        <v>1640</v>
      </c>
      <c r="V2074" s="1" t="s">
        <v>1641</v>
      </c>
      <c r="W2074" s="1" t="s">
        <v>1642</v>
      </c>
      <c r="AR2074" s="1" t="str">
        <f t="shared" si="131"/>
        <v>| [ㄆㄞ](ㄆㄞ.md) | [拍](拍.md) |  | pāi | [動]
1.用手掌輕打。如：「拍手」、「拍掉灰塵」。《韓非子．功名》：「一手獨拍，雖疾無聲。」《樂府詩集．卷七三．雜曲歌辭十三．古辭．焦仲卿妻》：「舉手拍馬鞍，嗟嘆使心傷。」
2.照相。如：「他們商量如何拍一張好的相片，來參加攝影比賽。」
3.發、發送。如：「拍電報」。
4.巴結、奉承。如：「拍馬屁」。
[名]
1.擊打東西的器具。如：「球拍」、「蒼蠅拍」。
2.樂曲的節奏。如：「節拍」。
3.量詞。計算音樂節奏的單位。如：「半拍」、「這首兒歌每小節有四拍。」《舊唐書．卷一九〇．文苑傳下．王維傳》：「人有得奏樂圖，不知其名，維視之曰：『霓裳第三疊第一拍也。』」 |</v>
      </c>
    </row>
    <row r="2075" spans="1:44" hidden="1">
      <c r="A2075" s="1" t="s">
        <v>1671</v>
      </c>
      <c r="C2075" s="1">
        <v>1</v>
      </c>
      <c r="D2075" s="1" t="str">
        <f>"00643"</f>
        <v>00643</v>
      </c>
      <c r="E2075" s="1" t="s">
        <v>132</v>
      </c>
      <c r="F2075" s="1">
        <v>8</v>
      </c>
      <c r="G2075" s="1">
        <v>5</v>
      </c>
      <c r="H2075" s="1">
        <v>1</v>
      </c>
      <c r="I2075" s="1" t="s">
        <v>1672</v>
      </c>
      <c r="K2075" s="1" t="str">
        <f t="shared" si="129"/>
        <v>ㄆ</v>
      </c>
      <c r="L2075" s="1" t="str">
        <f t="shared" si="130"/>
        <v>ㄟ</v>
      </c>
      <c r="M2075" s="1" t="str">
        <f t="shared" si="132"/>
        <v/>
      </c>
      <c r="P2075" s="1" t="s">
        <v>20</v>
      </c>
      <c r="R2075" s="1" t="s">
        <v>1673</v>
      </c>
      <c r="V2075" s="1" t="s">
        <v>1674</v>
      </c>
      <c r="W2075" s="1" t="s">
        <v>1675</v>
      </c>
      <c r="AR2075" s="1" t="str">
        <f t="shared" si="131"/>
        <v>| [ㄆㄟ](ㄆㄟ.md) | [坯](坯.md) |  | pēi | [名]
1.一堆山丘。《爾雅．釋山》：「山：三襲，陟；再成，英；一成，坯。」
2.未經燒煉的磚瓦陶器。本作「坏」。如：「陶坯」、「瓦坯」、「壞坯」。 |</v>
      </c>
    </row>
    <row r="2076" spans="1:44" hidden="1">
      <c r="A2076" s="1" t="s">
        <v>1676</v>
      </c>
      <c r="C2076" s="1">
        <v>1</v>
      </c>
      <c r="D2076" s="1" t="str">
        <f>"00644"</f>
        <v>00644</v>
      </c>
      <c r="E2076" s="1" t="s">
        <v>28</v>
      </c>
      <c r="F2076" s="1">
        <v>8</v>
      </c>
      <c r="G2076" s="1">
        <v>5</v>
      </c>
      <c r="H2076" s="1">
        <v>0</v>
      </c>
      <c r="I2076" s="1" t="s">
        <v>1672</v>
      </c>
      <c r="K2076" s="1" t="str">
        <f t="shared" si="129"/>
        <v>ㄆ</v>
      </c>
      <c r="L2076" s="1" t="str">
        <f t="shared" si="130"/>
        <v>ㄟ</v>
      </c>
      <c r="M2076" s="1" t="str">
        <f t="shared" si="132"/>
        <v/>
      </c>
      <c r="P2076" s="1" t="s">
        <v>20</v>
      </c>
      <c r="R2076" s="1" t="s">
        <v>1673</v>
      </c>
      <c r="V2076" s="1" t="s">
        <v>1677</v>
      </c>
      <c r="AR2076" s="1" t="str">
        <f t="shared" si="131"/>
        <v>| [ㄆㄟ](ㄆㄟ.md) | [呸](呸.md) |  | pēi | [歎]
表示憤怒或鄙斥的感嘆詞。如：「呸！一派胡言。」《水滸傳》第三回：「魯達聽了，道：『呸！俺只道那鄭大官人，卻原來是殺豬的鄭屠！』」 |</v>
      </c>
    </row>
    <row r="2077" spans="1:44" hidden="1">
      <c r="A2077" s="1" t="s">
        <v>1678</v>
      </c>
      <c r="C2077" s="1">
        <v>1</v>
      </c>
      <c r="D2077" s="1" t="str">
        <f>"00645"</f>
        <v>00645</v>
      </c>
      <c r="E2077" s="1" t="s">
        <v>68</v>
      </c>
      <c r="F2077" s="1">
        <v>9</v>
      </c>
      <c r="G2077" s="1">
        <v>5</v>
      </c>
      <c r="H2077" s="1">
        <v>0</v>
      </c>
      <c r="I2077" s="1" t="s">
        <v>1672</v>
      </c>
      <c r="K2077" s="1" t="str">
        <f t="shared" si="129"/>
        <v>ㄆ</v>
      </c>
      <c r="L2077" s="1" t="str">
        <f t="shared" si="130"/>
        <v>ㄟ</v>
      </c>
      <c r="M2077" s="1" t="str">
        <f t="shared" si="132"/>
        <v/>
      </c>
      <c r="P2077" s="1" t="s">
        <v>20</v>
      </c>
      <c r="R2077" s="1" t="s">
        <v>1673</v>
      </c>
      <c r="V2077" s="1" t="s">
        <v>1679</v>
      </c>
      <c r="AR2077" s="1" t="str">
        <f t="shared" si="131"/>
        <v>| [ㄆㄟ](ㄆㄟ.md) | [胚](胚.md) |  | pēi | [名]
1.婦女懷孕一月稱為「胚」。《說文解字．肉部》：「胚，婦孕一月也。」
2.初期發育的生物體，如鳥卵受精，卵黃上所生的小圓點稱為「胚」；植物的核果中的仁也稱為「胚」。
3.粗具輪廓而尚未完成的器物。通「坏」。如：「瓷胚」、「陶胚」、「粗胚」。 |</v>
      </c>
    </row>
    <row r="2078" spans="1:44" hidden="1">
      <c r="A2078" s="1" t="s">
        <v>1680</v>
      </c>
      <c r="C2078" s="1">
        <v>1</v>
      </c>
      <c r="D2078" s="1" t="str">
        <f>"00646"</f>
        <v>00646</v>
      </c>
      <c r="E2078" s="1" t="s">
        <v>1681</v>
      </c>
      <c r="F2078" s="1">
        <v>10</v>
      </c>
      <c r="G2078" s="1">
        <v>4</v>
      </c>
      <c r="H2078" s="1">
        <v>1</v>
      </c>
      <c r="I2078" s="1" t="s">
        <v>1672</v>
      </c>
      <c r="K2078" s="1" t="str">
        <f t="shared" si="129"/>
        <v>ㄆ</v>
      </c>
      <c r="L2078" s="1" t="str">
        <f t="shared" si="130"/>
        <v>ㄟ</v>
      </c>
      <c r="M2078" s="1" t="str">
        <f t="shared" si="132"/>
        <v/>
      </c>
      <c r="P2078" s="1" t="s">
        <v>20</v>
      </c>
      <c r="R2078" s="1" t="s">
        <v>1673</v>
      </c>
      <c r="V2078" s="1" t="s">
        <v>1682</v>
      </c>
      <c r="W2078" s="1" t="s">
        <v>1683</v>
      </c>
      <c r="AR2078" s="1" t="str">
        <f t="shared" si="131"/>
        <v>| [ㄆㄟ](ㄆㄟ.md) | [衃](衃.md) |  | pēi | [名]
赤黑色的瘀血。《說文解字．血部》：「衃，凝血也。」《黃帝內經素問．卷三．五臟生成篇》：「黑如炱者死，赤如衃者死。」自注：「衃血，謂敗惡凝聚之血，色赤黑也。」 |</v>
      </c>
    </row>
    <row r="2079" spans="1:44" hidden="1">
      <c r="A2079" s="1" t="s">
        <v>1684</v>
      </c>
      <c r="C2079" s="1">
        <v>1</v>
      </c>
      <c r="D2079" s="1" t="str">
        <f>"00647"</f>
        <v>00647</v>
      </c>
      <c r="E2079" s="1" t="s">
        <v>24</v>
      </c>
      <c r="F2079" s="1">
        <v>8</v>
      </c>
      <c r="G2079" s="1">
        <v>5</v>
      </c>
      <c r="H2079" s="1">
        <v>2</v>
      </c>
      <c r="I2079" s="1" t="s">
        <v>1672</v>
      </c>
      <c r="K2079" s="1" t="str">
        <f t="shared" si="129"/>
        <v>ㄆ</v>
      </c>
      <c r="L2079" s="1" t="str">
        <f t="shared" si="130"/>
        <v>ㄟ</v>
      </c>
      <c r="M2079" s="1" t="str">
        <f t="shared" si="132"/>
        <v/>
      </c>
      <c r="P2079" s="1" t="s">
        <v>110</v>
      </c>
      <c r="R2079" s="1" t="s">
        <v>1673</v>
      </c>
      <c r="V2079" s="1" t="s">
        <v>111</v>
      </c>
      <c r="W2079" s="1" t="s">
        <v>1685</v>
      </c>
      <c r="AR2079" s="1" t="str">
        <f t="shared" si="131"/>
        <v>| [ㄆㄟ](ㄆㄟ.md) | [披](披.md) |  | pēi | (一)之又音。 |</v>
      </c>
    </row>
    <row r="2080" spans="1:44" hidden="1">
      <c r="A2080" s="1" t="s">
        <v>1686</v>
      </c>
      <c r="C2080" s="1">
        <v>1</v>
      </c>
      <c r="D2080" s="1" t="str">
        <f>"00648"</f>
        <v>00648</v>
      </c>
      <c r="E2080" s="1" t="s">
        <v>1462</v>
      </c>
      <c r="F2080" s="1">
        <v>15</v>
      </c>
      <c r="G2080" s="1">
        <v>8</v>
      </c>
      <c r="H2080" s="1">
        <v>0</v>
      </c>
      <c r="I2080" s="1" t="s">
        <v>1672</v>
      </c>
      <c r="K2080" s="1" t="str">
        <f t="shared" si="129"/>
        <v>ㄆ</v>
      </c>
      <c r="L2080" s="1" t="str">
        <f t="shared" si="130"/>
        <v>ㄟ</v>
      </c>
      <c r="M2080" s="1" t="str">
        <f t="shared" si="132"/>
        <v/>
      </c>
      <c r="P2080" s="1" t="s">
        <v>20</v>
      </c>
      <c r="R2080" s="1" t="s">
        <v>1673</v>
      </c>
      <c r="V2080" s="1" t="s">
        <v>1687</v>
      </c>
      <c r="AR2080" s="1" t="str">
        <f t="shared" si="131"/>
        <v>| [ㄆㄟ](ㄆㄟ.md) | [醅](醅.md) |  | pēi | [名]
沒過濾的酒。《廣韻．平聲．灰韻》：「醅，酒未漉也。」唐．杜甫〈客至〉詩：「盤餐市遠無兼味，樽酒家貧只舊醅。」唐．白居易〈問劉十九〉詩：「綠螘新醅酒，紅泥小火爐。」 |</v>
      </c>
    </row>
    <row r="2081" spans="1:44" hidden="1">
      <c r="A2081" s="1" t="s">
        <v>1738</v>
      </c>
      <c r="C2081" s="1">
        <v>1</v>
      </c>
      <c r="D2081" s="1" t="str">
        <f>"00669"</f>
        <v>00669</v>
      </c>
      <c r="E2081" s="1" t="s">
        <v>129</v>
      </c>
      <c r="F2081" s="1">
        <v>8</v>
      </c>
      <c r="G2081" s="1">
        <v>5</v>
      </c>
      <c r="H2081" s="1">
        <v>2</v>
      </c>
      <c r="I2081" s="1" t="s">
        <v>1739</v>
      </c>
      <c r="K2081" s="1" t="str">
        <f t="shared" si="129"/>
        <v>ㄆ</v>
      </c>
      <c r="L2081" s="1" t="str">
        <f t="shared" si="130"/>
        <v>ㄠ</v>
      </c>
      <c r="M2081" s="1" t="str">
        <f t="shared" si="132"/>
        <v/>
      </c>
      <c r="P2081" s="1" t="s">
        <v>20</v>
      </c>
      <c r="R2081" s="1" t="s">
        <v>1740</v>
      </c>
      <c r="V2081" s="1" t="s">
        <v>1741</v>
      </c>
      <c r="W2081" s="1" t="s">
        <v>1742</v>
      </c>
      <c r="AR2081" s="1" t="str">
        <f t="shared" si="131"/>
        <v>| [ㄆㄠ](ㄆㄠ.md) | [泡](泡.md) |  | pāo | [名]
1.量詞。計算屎尿的單位。如：「撒一泡尿」。
2.鼓起且鬆軟的東西。如：「眼泡兒」、「豆腐泡兒」。
3.地名用字。小湖泊的意思。如大陸地區黑龍江省有蓮花泡、吉林省有月亮泡。
[形]
膨鬆、腫脹。參見「泡泡」條。 |</v>
      </c>
    </row>
    <row r="2082" spans="1:44" hidden="1">
      <c r="A2082" s="1" t="s">
        <v>1743</v>
      </c>
      <c r="C2082" s="1">
        <v>1</v>
      </c>
      <c r="D2082" s="1" t="str">
        <f>"00670"</f>
        <v>00670</v>
      </c>
      <c r="E2082" s="1" t="s">
        <v>24</v>
      </c>
      <c r="F2082" s="1">
        <v>8</v>
      </c>
      <c r="G2082" s="1">
        <v>5</v>
      </c>
      <c r="H2082" s="1">
        <v>0</v>
      </c>
      <c r="I2082" s="1" t="s">
        <v>1739</v>
      </c>
      <c r="K2082" s="1" t="str">
        <f t="shared" si="129"/>
        <v>ㄆ</v>
      </c>
      <c r="L2082" s="1" t="str">
        <f t="shared" si="130"/>
        <v>ㄠ</v>
      </c>
      <c r="M2082" s="1" t="str">
        <f t="shared" si="132"/>
        <v/>
      </c>
      <c r="P2082" s="1" t="s">
        <v>20</v>
      </c>
      <c r="R2082" s="1" t="s">
        <v>1740</v>
      </c>
      <c r="V2082" s="1" t="s">
        <v>1744</v>
      </c>
      <c r="AR2082" s="1" t="str">
        <f t="shared" si="131"/>
        <v>| [ㄆㄠ](ㄆㄠ.md) | [拋](拋.md) |  | pāo | [動]
1.棄而不顧。如：「把困難拋在腦後。」、「拋頭顱、灑熱血。」《後漢書．卷一四．宗室四王三侯傳．安成孝侯賜傳》：「賜與顯子信賣田宅，同拋財產，結客報吏。」
2.投擲。如：「拋錨」、「拋繡球」、「拋物線」、「拋磚引玉」。明．何景明〈津市打魚歌〉：「小船取速不取多，往來拋網如擲梭。」
3.甩落。如：「跑到第四圈，他已經把其他人遠遠的拋在後頭。」
4.露出、顯露。如：「拋頭露面」。 |</v>
      </c>
    </row>
    <row r="2083" spans="1:44" hidden="1">
      <c r="A2083" s="1" t="s">
        <v>1745</v>
      </c>
      <c r="C2083" s="1">
        <v>1</v>
      </c>
      <c r="D2083" s="1" t="str">
        <f>"00671"</f>
        <v>00671</v>
      </c>
      <c r="E2083" s="1" t="s">
        <v>68</v>
      </c>
      <c r="F2083" s="1">
        <v>11</v>
      </c>
      <c r="G2083" s="1">
        <v>7</v>
      </c>
      <c r="H2083" s="1">
        <v>0</v>
      </c>
      <c r="I2083" s="1" t="s">
        <v>1739</v>
      </c>
      <c r="K2083" s="1" t="str">
        <f t="shared" si="129"/>
        <v>ㄆ</v>
      </c>
      <c r="L2083" s="1" t="str">
        <f t="shared" si="130"/>
        <v>ㄠ</v>
      </c>
      <c r="M2083" s="1" t="str">
        <f t="shared" si="132"/>
        <v/>
      </c>
      <c r="P2083" s="1" t="s">
        <v>20</v>
      </c>
      <c r="R2083" s="1" t="s">
        <v>1740</v>
      </c>
      <c r="V2083" s="1" t="s">
        <v>1746</v>
      </c>
      <c r="AR2083" s="1" t="str">
        <f t="shared" si="131"/>
        <v>| [ㄆㄠ](ㄆㄠ.md) | [脬](脬.md) |  | pāo | [名]
1.膀胱。《二刻拍案驚奇》卷一七：「揭開屋瓦，將一豬脬緊緊紮在細竹管上。」俗稱為「尿脬」。
2.量詞。計算尿屎的單位。如：「一脬尿」。也作「泡」。 |</v>
      </c>
    </row>
    <row r="2084" spans="1:44" hidden="1">
      <c r="A2084" s="1" t="s">
        <v>1798</v>
      </c>
      <c r="C2084" s="1">
        <v>1</v>
      </c>
      <c r="D2084" s="1" t="str">
        <f>"00694"</f>
        <v>00694</v>
      </c>
      <c r="E2084" s="1" t="s">
        <v>185</v>
      </c>
      <c r="F2084" s="1">
        <v>10</v>
      </c>
      <c r="G2084" s="1">
        <v>8</v>
      </c>
      <c r="H2084" s="1">
        <v>2</v>
      </c>
      <c r="I2084" s="1" t="s">
        <v>1799</v>
      </c>
      <c r="K2084" s="1" t="str">
        <f t="shared" si="129"/>
        <v>ㄆ</v>
      </c>
      <c r="L2084" s="1" t="str">
        <f t="shared" si="130"/>
        <v>ㄡ</v>
      </c>
      <c r="M2084" s="1" t="str">
        <f t="shared" si="132"/>
        <v/>
      </c>
      <c r="P2084" s="1" t="s">
        <v>110</v>
      </c>
      <c r="R2084" s="1" t="s">
        <v>1800</v>
      </c>
      <c r="V2084" s="1" t="s">
        <v>111</v>
      </c>
      <c r="W2084" s="1" t="s">
        <v>1801</v>
      </c>
      <c r="AR2084" s="1" t="str">
        <f t="shared" si="131"/>
        <v>| [ㄆㄡ](ㄆㄡ.md) | [剖](剖.md) |  | pōu | (一)之又音。 |</v>
      </c>
    </row>
    <row r="2085" spans="1:44" hidden="1">
      <c r="A2085" s="1" t="s">
        <v>662</v>
      </c>
      <c r="C2085" s="1">
        <v>1</v>
      </c>
      <c r="D2085" s="1" t="str">
        <f>"00704"</f>
        <v>00704</v>
      </c>
      <c r="E2085" s="1" t="s">
        <v>24</v>
      </c>
      <c r="F2085" s="1">
        <v>7</v>
      </c>
      <c r="G2085" s="1">
        <v>4</v>
      </c>
      <c r="H2085" s="1">
        <v>2</v>
      </c>
      <c r="I2085" s="1" t="s">
        <v>1826</v>
      </c>
      <c r="K2085" s="1" t="str">
        <f t="shared" si="129"/>
        <v>ㄆ</v>
      </c>
      <c r="L2085" s="1" t="str">
        <f t="shared" si="130"/>
        <v>ㄢ</v>
      </c>
      <c r="M2085" s="1" t="str">
        <f t="shared" si="132"/>
        <v/>
      </c>
      <c r="P2085" s="1" t="s">
        <v>20</v>
      </c>
      <c r="R2085" s="1" t="s">
        <v>1827</v>
      </c>
      <c r="V2085" s="1" t="s">
        <v>1828</v>
      </c>
      <c r="W2085" s="1" t="s">
        <v>1829</v>
      </c>
      <c r="AR2085" s="1" t="str">
        <f t="shared" si="131"/>
        <v>| [ㄆㄢ](ㄆㄢ.md) | [扳](扳.md) |  | pān | [動]
1.攀折。明．高明《琵琶記．蔡公逼伯喈赴試》：「香徑裡扳殘草色，雕闌畔折損花容。」
2.攀附。通「攀」。《楚辭．嚴忌．哀時命》：「往者不可扳援兮，倈者不可與期。」《二刻拍案驚奇》卷六：「金家父母見說了，慚愧不敢當，回覆媒媽道：『我家什麼家當，敢去扳他？』」 |</v>
      </c>
    </row>
    <row r="2086" spans="1:44" hidden="1">
      <c r="A2086" s="1" t="s">
        <v>1577</v>
      </c>
      <c r="C2086" s="1">
        <v>1</v>
      </c>
      <c r="D2086" s="1" t="str">
        <f>"00705"</f>
        <v>00705</v>
      </c>
      <c r="E2086" s="1" t="s">
        <v>753</v>
      </c>
      <c r="F2086" s="1">
        <v>12</v>
      </c>
      <c r="G2086" s="1">
        <v>7</v>
      </c>
      <c r="H2086" s="1">
        <v>2</v>
      </c>
      <c r="I2086" s="1" t="s">
        <v>1826</v>
      </c>
      <c r="K2086" s="1" t="str">
        <f t="shared" si="129"/>
        <v>ㄆ</v>
      </c>
      <c r="L2086" s="1" t="str">
        <f t="shared" si="130"/>
        <v>ㄢ</v>
      </c>
      <c r="M2086" s="1" t="str">
        <f t="shared" si="132"/>
        <v/>
      </c>
      <c r="P2086" s="1" t="s">
        <v>20</v>
      </c>
      <c r="R2086" s="1" t="s">
        <v>1827</v>
      </c>
      <c r="V2086" s="1" t="s">
        <v>1830</v>
      </c>
      <c r="W2086" s="1" t="s">
        <v>1831</v>
      </c>
      <c r="AR2086" s="1" t="str">
        <f t="shared" si="131"/>
        <v>| [ㄆㄢ](ㄆㄢ.md) | [番](番.md) |  | pān | 參見「番禺縣」條。 |</v>
      </c>
    </row>
    <row r="2087" spans="1:44" hidden="1">
      <c r="A2087" s="1" t="s">
        <v>1832</v>
      </c>
      <c r="C2087" s="1">
        <v>1</v>
      </c>
      <c r="D2087" s="1" t="str">
        <f>"00706"</f>
        <v>00706</v>
      </c>
      <c r="E2087" s="1" t="s">
        <v>129</v>
      </c>
      <c r="F2087" s="1">
        <v>15</v>
      </c>
      <c r="G2087" s="1">
        <v>12</v>
      </c>
      <c r="H2087" s="1">
        <v>0</v>
      </c>
      <c r="I2087" s="1" t="s">
        <v>1826</v>
      </c>
      <c r="K2087" s="1" t="str">
        <f t="shared" si="129"/>
        <v>ㄆ</v>
      </c>
      <c r="L2087" s="1" t="str">
        <f t="shared" si="130"/>
        <v>ㄢ</v>
      </c>
      <c r="M2087" s="1" t="str">
        <f t="shared" si="132"/>
        <v/>
      </c>
      <c r="P2087" s="1" t="s">
        <v>20</v>
      </c>
      <c r="R2087" s="1" t="s">
        <v>1827</v>
      </c>
      <c r="V2087" s="1" t="s">
        <v>1833</v>
      </c>
      <c r="AR2087" s="1" t="str">
        <f t="shared" si="131"/>
        <v>| [ㄆㄢ](ㄆㄢ.md) | [潘](潘.md) |  | pān | [名]
1.淘米汁，俗稱為「洗米水」。《左傳．哀公十四年》：「使疾，而遺之潘沐。」晉．杜預．注：「潘，米汁，可以沐頭。」《新唐書．卷二〇．禮樂志十》：「以盆盛潘及沐盤，升自西階，授沐者，沐者執潘及盤入。」
2.水流盤旋、溢洄的地方。《管子．五輔》：「導水潦，利陂溝，決潘渚，潰泥滯。」《列子．黃帝》：「止水之潘為淵。」
3.姓。如晉朝有潘岳。 |</v>
      </c>
    </row>
    <row r="2088" spans="1:44" hidden="1">
      <c r="A2088" s="1" t="s">
        <v>1834</v>
      </c>
      <c r="C2088" s="1">
        <v>1</v>
      </c>
      <c r="D2088" s="1" t="str">
        <f>"00707"</f>
        <v>00707</v>
      </c>
      <c r="E2088" s="1" t="s">
        <v>24</v>
      </c>
      <c r="F2088" s="1">
        <v>19</v>
      </c>
      <c r="G2088" s="1">
        <v>15</v>
      </c>
      <c r="H2088" s="1">
        <v>0</v>
      </c>
      <c r="I2088" s="1" t="s">
        <v>1826</v>
      </c>
      <c r="K2088" s="1" t="str">
        <f t="shared" si="129"/>
        <v>ㄆ</v>
      </c>
      <c r="L2088" s="1" t="str">
        <f t="shared" si="130"/>
        <v>ㄢ</v>
      </c>
      <c r="M2088" s="1" t="str">
        <f t="shared" si="132"/>
        <v/>
      </c>
      <c r="P2088" s="1" t="s">
        <v>20</v>
      </c>
      <c r="R2088" s="1" t="s">
        <v>1827</v>
      </c>
      <c r="V2088" s="1" t="s">
        <v>1835</v>
      </c>
      <c r="AR2088" s="1" t="str">
        <f t="shared" si="131"/>
        <v>| [ㄆㄢ](ㄆㄢ.md) | [攀](攀.md) |  | pān | [動]
1.抓住物體往上爬。如：「攀登」、「攀爬」、「攀樹」。《三國志．卷二八．魏書．鄧艾傳》：「將士皆攀木緣崖，魚貫而進。」
2.依附。如：「高攀」。《史記．卷一〇八．韓長孺傳》：「有如太后宮車即晏駕，大王尚誰攀乎？」《後漢書．卷一．光武帝紀上》：「其計固望其攀龍鱗，附鳳翼，以成其所志耳。」
3.牽連、牽扯。如：「誣攀」、「攀扯」、「攀供」。《三國演義》第一〇〇回：「孔明曰：『他倒救你，你反攀他。』」
4.摘、折。如：「攀折」。唐．李白〈江夏送張丞〉詩：「藉草依流水，攀花贈遠人。」 |</v>
      </c>
    </row>
    <row r="2089" spans="1:44" hidden="1">
      <c r="A2089" s="1" t="s">
        <v>1899</v>
      </c>
      <c r="C2089" s="1">
        <v>1</v>
      </c>
      <c r="D2089" s="1" t="str">
        <f>"00735"</f>
        <v>00735</v>
      </c>
      <c r="E2089" s="1" t="s">
        <v>129</v>
      </c>
      <c r="F2089" s="1">
        <v>15</v>
      </c>
      <c r="G2089" s="1">
        <v>12</v>
      </c>
      <c r="H2089" s="1">
        <v>2</v>
      </c>
      <c r="I2089" s="1" t="s">
        <v>1900</v>
      </c>
      <c r="K2089" s="1" t="str">
        <f t="shared" si="129"/>
        <v>ㄆ</v>
      </c>
      <c r="L2089" s="1" t="str">
        <f t="shared" si="130"/>
        <v>ㄣ</v>
      </c>
      <c r="M2089" s="1" t="str">
        <f t="shared" si="132"/>
        <v/>
      </c>
      <c r="P2089" s="1" t="s">
        <v>20</v>
      </c>
      <c r="R2089" s="1" t="s">
        <v>1901</v>
      </c>
      <c r="V2089" s="1" t="s">
        <v>1902</v>
      </c>
      <c r="W2089" s="1" t="s">
        <v>1903</v>
      </c>
      <c r="AR2089" s="1" t="str">
        <f t="shared" si="131"/>
        <v>| [ㄆㄣ](ㄆㄣ.md) | [濆](濆.md) |  | pēn | [動]
噴水。通「噴」。如：「濆灑」。明．袁宏道〈場屋後記〉：「竹之內為池，珠泉濆出，蘆花如雪浪。」 |</v>
      </c>
    </row>
    <row r="2090" spans="1:44" hidden="1">
      <c r="A2090" s="1" t="s">
        <v>1904</v>
      </c>
      <c r="C2090" s="1">
        <v>1</v>
      </c>
      <c r="D2090" s="1" t="str">
        <f>"00736"</f>
        <v>00736</v>
      </c>
      <c r="E2090" s="1" t="s">
        <v>28</v>
      </c>
      <c r="F2090" s="1">
        <v>15</v>
      </c>
      <c r="G2090" s="1">
        <v>12</v>
      </c>
      <c r="H2090" s="1">
        <v>1</v>
      </c>
      <c r="I2090" s="1" t="s">
        <v>1900</v>
      </c>
      <c r="K2090" s="1" t="str">
        <f t="shared" si="129"/>
        <v>ㄆ</v>
      </c>
      <c r="L2090" s="1" t="str">
        <f t="shared" si="130"/>
        <v>ㄣ</v>
      </c>
      <c r="M2090" s="1" t="str">
        <f t="shared" si="132"/>
        <v/>
      </c>
      <c r="P2090" s="1" t="s">
        <v>20</v>
      </c>
      <c r="R2090" s="1" t="s">
        <v>1901</v>
      </c>
      <c r="V2090" s="1" t="s">
        <v>1905</v>
      </c>
      <c r="W2090" s="1" t="s">
        <v>1906</v>
      </c>
      <c r="AR2090" s="1" t="str">
        <f t="shared" si="131"/>
        <v>| [ㄆㄣ](ㄆㄣ.md) | [噴](噴.md) |  | pēn | [動]
1.急遽湧射而出。如：「噴水」、「噴氣」、「噴火」。
2.吐出。如：「噴雲吐霧。」《戰國策．楚策四》：「驥於是俛而噴，仰而鳴，聲達於天。」
[形]
具湧射功能的。如：「噴壺」、「噴泉」、「噴嘴」。 |</v>
      </c>
    </row>
    <row r="2091" spans="1:44" hidden="1">
      <c r="A2091" s="1" t="s">
        <v>1907</v>
      </c>
      <c r="C2091" s="1">
        <v>1</v>
      </c>
      <c r="D2091" s="1" t="str">
        <f>"00737"</f>
        <v>00737</v>
      </c>
      <c r="E2091" s="1" t="s">
        <v>1908</v>
      </c>
      <c r="F2091" s="1">
        <v>16</v>
      </c>
      <c r="G2091" s="1">
        <v>12</v>
      </c>
      <c r="H2091" s="1">
        <v>1</v>
      </c>
      <c r="I2091" s="1" t="s">
        <v>1900</v>
      </c>
      <c r="K2091" s="1" t="str">
        <f t="shared" si="129"/>
        <v>ㄆ</v>
      </c>
      <c r="L2091" s="1" t="str">
        <f t="shared" si="130"/>
        <v>ㄣ</v>
      </c>
      <c r="M2091" s="1" t="str">
        <f t="shared" si="132"/>
        <v/>
      </c>
      <c r="P2091" s="1" t="s">
        <v>20</v>
      </c>
      <c r="R2091" s="1" t="s">
        <v>1901</v>
      </c>
      <c r="V2091" s="1" t="s">
        <v>1909</v>
      </c>
      <c r="W2091" s="1" t="s">
        <v>1910</v>
      </c>
      <c r="AR2091" s="1" t="str">
        <f t="shared" si="131"/>
        <v>| [ㄆㄣ](ㄆㄣ.md) | [歕](歕.md) |  | pēn | [動]
吐、噴出。元．紀君祥《趙氏孤兒》第一折：「見孤兒額顱上汗津津，口角頭乳食歕。」 |</v>
      </c>
    </row>
    <row r="2092" spans="1:44" hidden="1">
      <c r="A2092" s="1" t="s">
        <v>1922</v>
      </c>
      <c r="C2092" s="1">
        <v>1</v>
      </c>
      <c r="D2092" s="1" t="str">
        <f>"00742"</f>
        <v>00742</v>
      </c>
      <c r="E2092" s="1" t="s">
        <v>1663</v>
      </c>
      <c r="F2092" s="1">
        <v>6</v>
      </c>
      <c r="G2092" s="1">
        <v>5</v>
      </c>
      <c r="H2092" s="1">
        <v>0</v>
      </c>
      <c r="I2092" s="1" t="s">
        <v>1923</v>
      </c>
      <c r="K2092" s="1" t="str">
        <f t="shared" si="129"/>
        <v>ㄆ</v>
      </c>
      <c r="L2092" s="1" t="str">
        <f t="shared" si="130"/>
        <v>ㄤ</v>
      </c>
      <c r="M2092" s="1" t="str">
        <f t="shared" si="132"/>
        <v/>
      </c>
      <c r="P2092" s="1" t="s">
        <v>20</v>
      </c>
      <c r="R2092" s="1" t="s">
        <v>1924</v>
      </c>
      <c r="V2092" s="1" t="s">
        <v>1925</v>
      </c>
      <c r="AR2092" s="1" t="str">
        <f t="shared" si="131"/>
        <v>| [ㄆㄤ](ㄆㄤ.md) | [乓](乓.md) |  | pāng | 參見「乒乓」條。 |</v>
      </c>
    </row>
    <row r="2093" spans="1:44" hidden="1">
      <c r="A2093" s="1" t="s">
        <v>1926</v>
      </c>
      <c r="C2093" s="1">
        <v>1</v>
      </c>
      <c r="D2093" s="1" t="str">
        <f>"00743"</f>
        <v>00743</v>
      </c>
      <c r="E2093" s="1" t="s">
        <v>129</v>
      </c>
      <c r="F2093" s="1">
        <v>7</v>
      </c>
      <c r="G2093" s="1">
        <v>4</v>
      </c>
      <c r="H2093" s="1">
        <v>0</v>
      </c>
      <c r="I2093" s="1" t="s">
        <v>1923</v>
      </c>
      <c r="K2093" s="1" t="str">
        <f t="shared" si="129"/>
        <v>ㄆ</v>
      </c>
      <c r="L2093" s="1" t="str">
        <f t="shared" si="130"/>
        <v>ㄤ</v>
      </c>
      <c r="M2093" s="1" t="str">
        <f t="shared" si="132"/>
        <v/>
      </c>
      <c r="P2093" s="1" t="s">
        <v>20</v>
      </c>
      <c r="R2093" s="1" t="s">
        <v>1924</v>
      </c>
      <c r="V2093" s="1" t="s">
        <v>1927</v>
      </c>
      <c r="AR2093" s="1" t="str">
        <f t="shared" si="131"/>
        <v>| [ㄆㄤ](ㄆㄤ.md) | [汸](汸.md) |  | pāng | [名]
古代的河流。《山海經．南山經》：「箕尾之山，其尾踆于東海，多沙石。汸水出焉，而南流注于淯。」
[形]
水勢盛大。參見「汸汸」條。 |</v>
      </c>
    </row>
    <row r="2094" spans="1:44" hidden="1">
      <c r="A2094" s="1" t="s">
        <v>1928</v>
      </c>
      <c r="C2094" s="1">
        <v>1</v>
      </c>
      <c r="D2094" s="1" t="str">
        <f>"00744"</f>
        <v>00744</v>
      </c>
      <c r="E2094" s="1" t="s">
        <v>129</v>
      </c>
      <c r="F2094" s="1">
        <v>13</v>
      </c>
      <c r="G2094" s="1">
        <v>10</v>
      </c>
      <c r="H2094" s="1">
        <v>0</v>
      </c>
      <c r="I2094" s="1" t="s">
        <v>1923</v>
      </c>
      <c r="K2094" s="1" t="str">
        <f t="shared" si="129"/>
        <v>ㄆ</v>
      </c>
      <c r="L2094" s="1" t="str">
        <f t="shared" si="130"/>
        <v>ㄤ</v>
      </c>
      <c r="M2094" s="1" t="str">
        <f t="shared" si="132"/>
        <v/>
      </c>
      <c r="P2094" s="1" t="s">
        <v>20</v>
      </c>
      <c r="R2094" s="1" t="s">
        <v>1924</v>
      </c>
      <c r="V2094" s="1" t="s">
        <v>1929</v>
      </c>
      <c r="AR2094" s="1" t="str">
        <f t="shared" si="131"/>
        <v>| [ㄆㄤ](ㄆㄤ.md) | [滂](滂.md) |  | pāng | [形]
水湧出的樣子。如：「滂湃」、「滂沱」。
[動]
湧流。宋．蘇軾〈贈寫御容妙善師〉詩：「幅巾常服儼不動，孤臣入門涕自滂。」 |</v>
      </c>
    </row>
    <row r="2095" spans="1:44" hidden="1">
      <c r="A2095" s="1" t="s">
        <v>785</v>
      </c>
      <c r="C2095" s="1">
        <v>1</v>
      </c>
      <c r="D2095" s="1" t="str">
        <f>"00745"</f>
        <v>00745</v>
      </c>
      <c r="E2095" s="1" t="s">
        <v>68</v>
      </c>
      <c r="F2095" s="1">
        <v>14</v>
      </c>
      <c r="G2095" s="1">
        <v>10</v>
      </c>
      <c r="H2095" s="1">
        <v>4</v>
      </c>
      <c r="I2095" s="1" t="s">
        <v>1923</v>
      </c>
      <c r="K2095" s="1" t="str">
        <f t="shared" si="129"/>
        <v>ㄆ</v>
      </c>
      <c r="L2095" s="1" t="str">
        <f t="shared" si="130"/>
        <v>ㄤ</v>
      </c>
      <c r="M2095" s="1" t="str">
        <f t="shared" ref="M2095:M2126" si="133">MID(I2095, 3, 1)</f>
        <v/>
      </c>
      <c r="P2095" s="1" t="s">
        <v>20</v>
      </c>
      <c r="R2095" s="1" t="s">
        <v>1924</v>
      </c>
      <c r="V2095" s="1" t="s">
        <v>1930</v>
      </c>
      <c r="W2095" s="1" t="s">
        <v>1931</v>
      </c>
      <c r="AR2095" s="1" t="str">
        <f t="shared" si="131"/>
        <v>| [ㄆㄤ](ㄆㄤ.md) | [膀](膀.md) |  | pāng | [形]
肌肉浮腫。《集韻．平聲．唐韻》：「膀，脹也。」如：「眼皮兒哭得膀膀的。」 |</v>
      </c>
    </row>
    <row r="2096" spans="1:44" hidden="1">
      <c r="A2096" s="1" t="s">
        <v>812</v>
      </c>
      <c r="C2096" s="1">
        <v>1</v>
      </c>
      <c r="D2096" s="1" t="str">
        <f>"00746"</f>
        <v>00746</v>
      </c>
      <c r="E2096" s="1" t="s">
        <v>169</v>
      </c>
      <c r="F2096" s="1">
        <v>15</v>
      </c>
      <c r="G2096" s="1">
        <v>10</v>
      </c>
      <c r="H2096" s="1">
        <v>3</v>
      </c>
      <c r="I2096" s="1" t="s">
        <v>1923</v>
      </c>
      <c r="K2096" s="1" t="str">
        <f t="shared" si="129"/>
        <v>ㄆ</v>
      </c>
      <c r="L2096" s="1" t="str">
        <f t="shared" si="130"/>
        <v>ㄤ</v>
      </c>
      <c r="M2096" s="1" t="str">
        <f t="shared" si="133"/>
        <v/>
      </c>
      <c r="P2096" s="1" t="s">
        <v>20</v>
      </c>
      <c r="R2096" s="1" t="s">
        <v>1924</v>
      </c>
      <c r="V2096" s="1" t="s">
        <v>1932</v>
      </c>
      <c r="W2096" s="1" t="s">
        <v>1933</v>
      </c>
      <c r="AR2096" s="1" t="str">
        <f t="shared" si="131"/>
        <v>| [ㄆㄤ](ㄆㄤ.md) | [磅](磅.md) |  | pāng | [形]_x000D_
廣大無邊際。參見「磅礴」條。_x000D_
[擬]_x000D_
參見「磅硠」條。 |</v>
      </c>
    </row>
    <row r="2097" spans="1:44" hidden="1">
      <c r="A2097" s="1" t="s">
        <v>1974</v>
      </c>
      <c r="C2097" s="1">
        <v>1</v>
      </c>
      <c r="D2097" s="1" t="str">
        <f>"00761"</f>
        <v>00761</v>
      </c>
      <c r="E2097" s="1" t="s">
        <v>367</v>
      </c>
      <c r="F2097" s="1">
        <v>7</v>
      </c>
      <c r="G2097" s="1">
        <v>5</v>
      </c>
      <c r="H2097" s="1">
        <v>3</v>
      </c>
      <c r="I2097" s="1" t="s">
        <v>1975</v>
      </c>
      <c r="K2097" s="1" t="str">
        <f t="shared" si="129"/>
        <v>ㄆ</v>
      </c>
      <c r="L2097" s="1" t="str">
        <f t="shared" si="130"/>
        <v>ㄥ</v>
      </c>
      <c r="M2097" s="1" t="str">
        <f t="shared" si="133"/>
        <v/>
      </c>
      <c r="P2097" s="1" t="s">
        <v>20</v>
      </c>
      <c r="R2097" s="1" t="s">
        <v>1976</v>
      </c>
      <c r="V2097" s="1" t="s">
        <v>1977</v>
      </c>
      <c r="W2097" s="1" t="s">
        <v>1978</v>
      </c>
      <c r="AR2097" s="1" t="str">
        <f t="shared" si="131"/>
        <v>| [ㄆㄥ](ㄆㄥ.md) | [亨](亨.md) |  | pēng | [動]
煮。為「烹」的本字。《廣韻．平聲．庚韻》：「亨，煮也。俗作『烹』。」《周禮．天官．內饔》：「割亨煎和之事。」漢．鄭玄．注：「亨，煮也。」 |</v>
      </c>
    </row>
    <row r="2098" spans="1:44" hidden="1">
      <c r="A2098" s="1" t="s">
        <v>1979</v>
      </c>
      <c r="C2098" s="1">
        <v>1</v>
      </c>
      <c r="D2098" s="1" t="str">
        <f>"00762"</f>
        <v>00762</v>
      </c>
      <c r="E2098" s="1" t="s">
        <v>336</v>
      </c>
      <c r="F2098" s="1">
        <v>11</v>
      </c>
      <c r="G2098" s="1">
        <v>7</v>
      </c>
      <c r="H2098" s="1">
        <v>0</v>
      </c>
      <c r="I2098" s="1" t="s">
        <v>1975</v>
      </c>
      <c r="K2098" s="1" t="str">
        <f t="shared" si="129"/>
        <v>ㄆ</v>
      </c>
      <c r="L2098" s="1" t="str">
        <f t="shared" si="130"/>
        <v>ㄥ</v>
      </c>
      <c r="M2098" s="1" t="str">
        <f t="shared" si="133"/>
        <v/>
      </c>
      <c r="P2098" s="1" t="s">
        <v>20</v>
      </c>
      <c r="R2098" s="1" t="s">
        <v>1976</v>
      </c>
      <c r="V2098" s="1" t="s">
        <v>1980</v>
      </c>
      <c r="AR2098" s="1" t="str">
        <f t="shared" si="131"/>
        <v>| [ㄆㄥ](ㄆㄥ.md) | [烹](烹.md) |  | pēng | [動]
1.一種烹飪方法。將食物入沸油半煎炸至熟，加佐料後略一沸滾即成。《左傳．昭公二十年》：「水火醯醢鹽梅以烹魚肉，燀之以薪。」
2.古代一種以鼎煮人的酷刑。《戰國策．趙策三》：「然吾將使秦王烹醢梁王。」《新唐書．卷八五．竇建德傳》：「河間久拒守，多殺士，今力窮而下，請烹之。」
3.殺、滅。《淮南子．說林》：「狡兔得而獵犬烹，高鳥盡而強弩藏。」《史記．卷六．秦始皇本紀》：「烹滅彊暴，振救黔首，周定四極。」
[名]
餚饌。宋．陸游〈故里〉詩：「芋魁菰首君無笑，老子看來是大烹。」 |</v>
      </c>
    </row>
    <row r="2099" spans="1:44" hidden="1">
      <c r="A2099" s="1" t="s">
        <v>1981</v>
      </c>
      <c r="C2099" s="1">
        <v>1</v>
      </c>
      <c r="D2099" s="1" t="str">
        <f>"00763"</f>
        <v>00763</v>
      </c>
      <c r="E2099" s="1" t="s">
        <v>129</v>
      </c>
      <c r="F2099" s="1">
        <v>8</v>
      </c>
      <c r="G2099" s="1">
        <v>5</v>
      </c>
      <c r="H2099" s="1">
        <v>0</v>
      </c>
      <c r="I2099" s="1" t="s">
        <v>1975</v>
      </c>
      <c r="K2099" s="1" t="str">
        <f t="shared" si="129"/>
        <v>ㄆ</v>
      </c>
      <c r="L2099" s="1" t="str">
        <f t="shared" si="130"/>
        <v>ㄥ</v>
      </c>
      <c r="M2099" s="1" t="str">
        <f t="shared" si="133"/>
        <v/>
      </c>
      <c r="P2099" s="1" t="s">
        <v>20</v>
      </c>
      <c r="R2099" s="1" t="s">
        <v>1976</v>
      </c>
      <c r="V2099" s="1" t="s">
        <v>1982</v>
      </c>
      <c r="AR2099" s="1" t="str">
        <f t="shared" si="131"/>
        <v>| [ㄆㄥ](ㄆㄥ.md) | [泙](泙.md) |  | pēng | 參見「泙湃」、「泙泙」等條。 |</v>
      </c>
    </row>
    <row r="2100" spans="1:44" hidden="1">
      <c r="A2100" s="1" t="s">
        <v>1983</v>
      </c>
      <c r="C2100" s="1">
        <v>1</v>
      </c>
      <c r="D2100" s="1" t="str">
        <f>"00764"</f>
        <v>00764</v>
      </c>
      <c r="E2100" s="1" t="s">
        <v>250</v>
      </c>
      <c r="F2100" s="1">
        <v>8</v>
      </c>
      <c r="G2100" s="1">
        <v>5</v>
      </c>
      <c r="H2100" s="1">
        <v>0</v>
      </c>
      <c r="I2100" s="1" t="s">
        <v>1975</v>
      </c>
      <c r="K2100" s="1" t="str">
        <f t="shared" si="129"/>
        <v>ㄆ</v>
      </c>
      <c r="L2100" s="1" t="str">
        <f t="shared" si="130"/>
        <v>ㄥ</v>
      </c>
      <c r="M2100" s="1" t="str">
        <f t="shared" si="133"/>
        <v/>
      </c>
      <c r="P2100" s="1" t="s">
        <v>20</v>
      </c>
      <c r="R2100" s="1" t="s">
        <v>1976</v>
      </c>
      <c r="V2100" s="1" t="s">
        <v>1984</v>
      </c>
      <c r="AR2100" s="1" t="str">
        <f t="shared" si="131"/>
        <v>| [ㄆㄥ](ㄆㄥ.md) | [怦](怦.md) |  | pēng | [擬]_x000D_
模擬心跳聲。如：「緊張得連怦怦的心跳聲都聽得見。」_x000D_
[形]_x000D_
忠誠的。《楚辭．宋玉．九辯》：「私自憐兮何極，心怦怦兮諒直。」宋．洪興祖．補注：「怦，一曰忠謹貌。」 |</v>
      </c>
    </row>
    <row r="2101" spans="1:44" hidden="1">
      <c r="A2101" s="1" t="s">
        <v>1985</v>
      </c>
      <c r="C2101" s="1">
        <v>1</v>
      </c>
      <c r="D2101" s="1" t="str">
        <f>"00765"</f>
        <v>00765</v>
      </c>
      <c r="E2101" s="1" t="s">
        <v>24</v>
      </c>
      <c r="F2101" s="1">
        <v>8</v>
      </c>
      <c r="G2101" s="1">
        <v>5</v>
      </c>
      <c r="H2101" s="1">
        <v>0</v>
      </c>
      <c r="I2101" s="1" t="s">
        <v>1975</v>
      </c>
      <c r="K2101" s="1" t="str">
        <f t="shared" si="129"/>
        <v>ㄆ</v>
      </c>
      <c r="L2101" s="1" t="str">
        <f t="shared" si="130"/>
        <v>ㄥ</v>
      </c>
      <c r="M2101" s="1" t="str">
        <f t="shared" si="133"/>
        <v/>
      </c>
      <c r="P2101" s="1" t="s">
        <v>20</v>
      </c>
      <c r="R2101" s="1" t="s">
        <v>1976</v>
      </c>
      <c r="V2101" s="1" t="s">
        <v>1986</v>
      </c>
      <c r="AR2101" s="1" t="str">
        <f t="shared" si="131"/>
        <v>| [ㄆㄥ](ㄆㄥ.md) | [抨](抨.md) |  | pēng | [動]
1.拉弓。唐．杜甫〈自閬州領妻子卻赴蜀山行〉詩三首之三：「轉石驚魑魅，抨弓落狖鼯。」唐．李賀〈猛虎行〉：「長戈莫舂，長弩莫抨。」
2.批評、攻擊、彈劾。如：「抨擊」。《新唐書．卷一三〇．陽嶠傳》：「楊再思素與嶠善，知其意不樂彈抨事。」 |</v>
      </c>
    </row>
    <row r="2102" spans="1:44" hidden="1">
      <c r="A2102" s="1" t="s">
        <v>1987</v>
      </c>
      <c r="C2102" s="1">
        <v>1</v>
      </c>
      <c r="D2102" s="1" t="str">
        <f>"00766"</f>
        <v>00766</v>
      </c>
      <c r="E2102" s="1" t="s">
        <v>169</v>
      </c>
      <c r="F2102" s="1">
        <v>10</v>
      </c>
      <c r="G2102" s="1">
        <v>5</v>
      </c>
      <c r="H2102" s="1">
        <v>0</v>
      </c>
      <c r="I2102" s="1" t="s">
        <v>1975</v>
      </c>
      <c r="K2102" s="1" t="str">
        <f t="shared" si="129"/>
        <v>ㄆ</v>
      </c>
      <c r="L2102" s="1" t="str">
        <f t="shared" si="130"/>
        <v>ㄥ</v>
      </c>
      <c r="M2102" s="1" t="str">
        <f t="shared" si="133"/>
        <v/>
      </c>
      <c r="P2102" s="1" t="s">
        <v>20</v>
      </c>
      <c r="R2102" s="1" t="s">
        <v>1976</v>
      </c>
      <c r="V2102" s="1" t="s">
        <v>1988</v>
      </c>
      <c r="AR2102" s="1" t="str">
        <f t="shared" si="131"/>
        <v>| [ㄆㄥ](ㄆㄥ.md) | [砰](砰.md) |  | pēng | [擬]_x000D_
1.模擬重物落地或撞擊的巨大聲響。如：「砰的一聲，他用力關上門。」_x000D_
2.模擬槍枝發射的聲音。如：「砰的一聲，他被射中了。」 |</v>
      </c>
    </row>
    <row r="2103" spans="1:44" hidden="1">
      <c r="A2103" s="1" t="s">
        <v>1989</v>
      </c>
      <c r="C2103" s="1">
        <v>1</v>
      </c>
      <c r="D2103" s="1" t="str">
        <f>"00767"</f>
        <v>00767</v>
      </c>
      <c r="E2103" s="1" t="s">
        <v>71</v>
      </c>
      <c r="F2103" s="1">
        <v>12</v>
      </c>
      <c r="G2103" s="1">
        <v>5</v>
      </c>
      <c r="H2103" s="1">
        <v>0</v>
      </c>
      <c r="I2103" s="1" t="s">
        <v>1975</v>
      </c>
      <c r="K2103" s="1" t="str">
        <f t="shared" si="129"/>
        <v>ㄆ</v>
      </c>
      <c r="L2103" s="1" t="str">
        <f t="shared" si="130"/>
        <v>ㄥ</v>
      </c>
      <c r="M2103" s="1" t="str">
        <f t="shared" si="133"/>
        <v/>
      </c>
      <c r="P2103" s="1" t="s">
        <v>20</v>
      </c>
      <c r="R2103" s="1" t="s">
        <v>1976</v>
      </c>
      <c r="V2103" s="1" t="s">
        <v>1990</v>
      </c>
      <c r="AR2103" s="1" t="str">
        <f t="shared" si="131"/>
        <v>| [ㄆㄥ](ㄆㄥ.md) | [軯](軯.md) |  | pēng | [擬]_x000D_
模擬車行聲、雷聲等。《集韻．平聲．耕韻》：「軯，車馬聲。」漢．張衡〈思玄賦〉：「豐隆軯其震霆兮，列缺曄其照夜。」 |</v>
      </c>
    </row>
    <row r="2104" spans="1:44" hidden="1">
      <c r="A2104" s="1" t="s">
        <v>1991</v>
      </c>
      <c r="C2104" s="1">
        <v>1</v>
      </c>
      <c r="D2104" s="1" t="str">
        <f>"00768"</f>
        <v>00768</v>
      </c>
      <c r="E2104" s="1" t="s">
        <v>709</v>
      </c>
      <c r="F2104" s="1">
        <v>13</v>
      </c>
      <c r="G2104" s="1">
        <v>5</v>
      </c>
      <c r="H2104" s="1">
        <v>0</v>
      </c>
      <c r="I2104" s="1" t="s">
        <v>1975</v>
      </c>
      <c r="K2104" s="1" t="str">
        <f t="shared" si="129"/>
        <v>ㄆ</v>
      </c>
      <c r="L2104" s="1" t="str">
        <f t="shared" si="130"/>
        <v>ㄥ</v>
      </c>
      <c r="M2104" s="1" t="str">
        <f t="shared" si="133"/>
        <v/>
      </c>
      <c r="P2104" s="1" t="s">
        <v>20</v>
      </c>
      <c r="R2104" s="1" t="s">
        <v>1976</v>
      </c>
      <c r="V2104" s="1" t="s">
        <v>1992</v>
      </c>
      <c r="AR2104" s="1" t="str">
        <f t="shared" si="131"/>
        <v>| [ㄆㄥ](ㄆㄥ.md) | [閛](閛.md) |  | pēng | [擬]_x000D_
模擬關門的聲音。漢．揚雄《法言．問道》：「開之廓然見四海，閉之閛然不睹牆之裡。」《聊齋志異．卷一一．陳雲棲》：「但見室門閛然而合。」 |</v>
      </c>
    </row>
    <row r="2105" spans="1:44" hidden="1">
      <c r="A2105" s="1" t="s">
        <v>1993</v>
      </c>
      <c r="C2105" s="1">
        <v>1</v>
      </c>
      <c r="D2105" s="1" t="str">
        <f>"00769"</f>
        <v>00769</v>
      </c>
      <c r="E2105" s="1" t="s">
        <v>319</v>
      </c>
      <c r="F2105" s="1">
        <v>15</v>
      </c>
      <c r="G2105" s="1">
        <v>5</v>
      </c>
      <c r="H2105" s="1">
        <v>0</v>
      </c>
      <c r="I2105" s="1" t="s">
        <v>1975</v>
      </c>
      <c r="K2105" s="1" t="str">
        <f t="shared" si="129"/>
        <v>ㄆ</v>
      </c>
      <c r="L2105" s="1" t="str">
        <f t="shared" si="130"/>
        <v>ㄥ</v>
      </c>
      <c r="M2105" s="1" t="str">
        <f t="shared" si="133"/>
        <v/>
      </c>
      <c r="P2105" s="1" t="s">
        <v>20</v>
      </c>
      <c r="R2105" s="1" t="s">
        <v>1976</v>
      </c>
      <c r="V2105" s="1" t="s">
        <v>1994</v>
      </c>
      <c r="AR2105" s="1" t="str">
        <f t="shared" si="131"/>
        <v>| [ㄆㄥ](ㄆㄥ.md) | [駍](駍.md) |  | pēng | [擬]_x000D_
模擬車馬聲。《集韻．平聲．耕韻》：「軯，車馬聲。或从馬。」 |</v>
      </c>
    </row>
    <row r="2106" spans="1:44" hidden="1">
      <c r="A2106" s="1" t="s">
        <v>1995</v>
      </c>
      <c r="C2106" s="1">
        <v>1</v>
      </c>
      <c r="D2106" s="1" t="str">
        <f>"00770"</f>
        <v>00770</v>
      </c>
      <c r="E2106" s="1" t="s">
        <v>250</v>
      </c>
      <c r="F2106" s="1">
        <v>9</v>
      </c>
      <c r="G2106" s="1">
        <v>6</v>
      </c>
      <c r="H2106" s="1">
        <v>0</v>
      </c>
      <c r="I2106" s="1" t="s">
        <v>1975</v>
      </c>
      <c r="K2106" s="1" t="str">
        <f t="shared" si="129"/>
        <v>ㄆ</v>
      </c>
      <c r="L2106" s="1" t="str">
        <f t="shared" si="130"/>
        <v>ㄥ</v>
      </c>
      <c r="M2106" s="1" t="str">
        <f t="shared" si="133"/>
        <v/>
      </c>
      <c r="P2106" s="1" t="s">
        <v>20</v>
      </c>
      <c r="R2106" s="1" t="s">
        <v>1976</v>
      </c>
      <c r="V2106" s="1" t="s">
        <v>1996</v>
      </c>
      <c r="AR2106" s="1" t="str">
        <f t="shared" si="131"/>
        <v>| [ㄆㄥ](ㄆㄥ.md) | [恲](恲.md) |  | pēng | [動]
顯現、流露。《淮南子．齊俗》：「故禮因人情而為之節文，而仁發恲以見容。」
[形]
1.慷慨、激動。《文選．王粲．從軍詩五首之二》：「夙夜自恲性，思逝若抽縈。」唐．李善．注：「《廣雅》曰：『恲，忼慨也。』」
2.參見「恲恲」條。 |</v>
      </c>
    </row>
    <row r="2107" spans="1:44" hidden="1">
      <c r="A2107" s="1" t="s">
        <v>1997</v>
      </c>
      <c r="C2107" s="1">
        <v>1</v>
      </c>
      <c r="D2107" s="1" t="str">
        <f>"00771"</f>
        <v>00771</v>
      </c>
      <c r="E2107" s="1" t="s">
        <v>129</v>
      </c>
      <c r="F2107" s="1">
        <v>11</v>
      </c>
      <c r="G2107" s="1">
        <v>8</v>
      </c>
      <c r="H2107" s="1">
        <v>0</v>
      </c>
      <c r="I2107" s="1" t="s">
        <v>1975</v>
      </c>
      <c r="K2107" s="1" t="str">
        <f t="shared" si="129"/>
        <v>ㄆ</v>
      </c>
      <c r="L2107" s="1" t="str">
        <f t="shared" si="130"/>
        <v>ㄥ</v>
      </c>
      <c r="M2107" s="1" t="str">
        <f t="shared" si="133"/>
        <v/>
      </c>
      <c r="P2107" s="1" t="s">
        <v>20</v>
      </c>
      <c r="R2107" s="1" t="s">
        <v>1976</v>
      </c>
      <c r="V2107" s="1" t="s">
        <v>1998</v>
      </c>
      <c r="AR2107" s="1" t="str">
        <f t="shared" si="131"/>
        <v>| [ㄆㄥ](ㄆㄥ.md) | [淜](淜.md) |  | pēng | [動]
涉水過河。《說文解字．水部》：「淜，無舟渡河也。」
[擬]
參見「淜滂」條。 |</v>
      </c>
    </row>
    <row r="2108" spans="1:44" hidden="1">
      <c r="A2108" s="1" t="s">
        <v>1999</v>
      </c>
      <c r="C2108" s="1">
        <v>1</v>
      </c>
      <c r="D2108" s="1" t="str">
        <f>"00772"</f>
        <v>00772</v>
      </c>
      <c r="E2108" s="1" t="s">
        <v>169</v>
      </c>
      <c r="F2108" s="1">
        <v>13</v>
      </c>
      <c r="G2108" s="1">
        <v>8</v>
      </c>
      <c r="H2108" s="1">
        <v>2</v>
      </c>
      <c r="I2108" s="1" t="s">
        <v>1975</v>
      </c>
      <c r="K2108" s="1" t="str">
        <f t="shared" si="129"/>
        <v>ㄆ</v>
      </c>
      <c r="L2108" s="1" t="str">
        <f t="shared" si="130"/>
        <v>ㄥ</v>
      </c>
      <c r="M2108" s="1" t="str">
        <f t="shared" si="133"/>
        <v/>
      </c>
      <c r="P2108" s="1" t="s">
        <v>20</v>
      </c>
      <c r="R2108" s="1" t="s">
        <v>1976</v>
      </c>
      <c r="V2108" s="1" t="s">
        <v>2000</v>
      </c>
      <c r="W2108" s="1" t="s">
        <v>2001</v>
      </c>
      <c r="AR2108" s="1" t="str">
        <f t="shared" si="131"/>
        <v>| [ㄆㄥ](ㄆㄥ.md) | [硼](硼.md) |  | pēng | 參見「硼砰」條。 |</v>
      </c>
    </row>
    <row r="2109" spans="1:44" hidden="1">
      <c r="A2109" s="1" t="s">
        <v>2002</v>
      </c>
      <c r="C2109" s="1">
        <v>1</v>
      </c>
      <c r="D2109" s="1" t="str">
        <f>"00773"</f>
        <v>00773</v>
      </c>
      <c r="E2109" s="1" t="s">
        <v>129</v>
      </c>
      <c r="F2109" s="1">
        <v>14</v>
      </c>
      <c r="G2109" s="1">
        <v>11</v>
      </c>
      <c r="H2109" s="1">
        <v>0</v>
      </c>
      <c r="I2109" s="1" t="s">
        <v>1975</v>
      </c>
      <c r="K2109" s="1" t="str">
        <f t="shared" si="129"/>
        <v>ㄆ</v>
      </c>
      <c r="L2109" s="1" t="str">
        <f t="shared" si="130"/>
        <v>ㄥ</v>
      </c>
      <c r="M2109" s="1" t="str">
        <f t="shared" si="133"/>
        <v/>
      </c>
      <c r="P2109" s="1" t="s">
        <v>20</v>
      </c>
      <c r="R2109" s="1" t="s">
        <v>1976</v>
      </c>
      <c r="V2109" s="1" t="s">
        <v>2003</v>
      </c>
      <c r="AR2109" s="1" t="str">
        <f t="shared" si="131"/>
        <v>| [ㄆㄥ](ㄆㄥ.md) | [漰](漰.md) |  | pēng | [擬]
參見「漰沛」條。 |</v>
      </c>
    </row>
    <row r="2110" spans="1:44" hidden="1">
      <c r="A2110" s="1" t="s">
        <v>2004</v>
      </c>
      <c r="C2110" s="1">
        <v>1</v>
      </c>
      <c r="D2110" s="1" t="str">
        <f>"00774"</f>
        <v>00774</v>
      </c>
      <c r="E2110" s="1" t="s">
        <v>169</v>
      </c>
      <c r="F2110" s="1">
        <v>16</v>
      </c>
      <c r="G2110" s="1">
        <v>11</v>
      </c>
      <c r="H2110" s="1">
        <v>0</v>
      </c>
      <c r="I2110" s="1" t="s">
        <v>1975</v>
      </c>
      <c r="K2110" s="1" t="str">
        <f t="shared" si="129"/>
        <v>ㄆ</v>
      </c>
      <c r="L2110" s="1" t="str">
        <f t="shared" si="130"/>
        <v>ㄥ</v>
      </c>
      <c r="M2110" s="1" t="str">
        <f t="shared" si="133"/>
        <v/>
      </c>
      <c r="P2110" s="1" t="s">
        <v>20</v>
      </c>
      <c r="R2110" s="1" t="s">
        <v>1976</v>
      </c>
      <c r="V2110" s="1" t="s">
        <v>2005</v>
      </c>
      <c r="AR2110" s="1" t="str">
        <f t="shared" si="131"/>
        <v>| [ㄆㄥ](ㄆㄥ.md) | [磞](磞.md) |  | pēng | [動]_x000D_
擊石。《玉篇．石部》：「磞，擊石也。」_x000D_
[副]_x000D_
受到刺激而倒地。清．孔尚任《桃花扇》第二七齣：「香君懼怕，磞死在地。」_x000D_
[擬]_x000D_
模擬斷弦的聲音。《紅樓夢》第八七回：「正議論時，聽得君弦磞的一聲斷了。」 |</v>
      </c>
    </row>
    <row r="2111" spans="1:44" hidden="1">
      <c r="A2111" s="1" t="s">
        <v>2006</v>
      </c>
      <c r="C2111" s="1">
        <v>1</v>
      </c>
      <c r="D2111" s="1" t="str">
        <f>"00775"</f>
        <v>00775</v>
      </c>
      <c r="E2111" s="1" t="s">
        <v>129</v>
      </c>
      <c r="F2111" s="1">
        <v>15</v>
      </c>
      <c r="G2111" s="1">
        <v>12</v>
      </c>
      <c r="H2111" s="1">
        <v>1</v>
      </c>
      <c r="I2111" s="1" t="s">
        <v>1975</v>
      </c>
      <c r="K2111" s="1" t="str">
        <f t="shared" ref="K2111:K2174" si="134">LEFT(I2111, 1)</f>
        <v>ㄆ</v>
      </c>
      <c r="L2111" s="1" t="str">
        <f t="shared" ref="L2111:L2174" si="135">MID(I2111, 2, 1)</f>
        <v>ㄥ</v>
      </c>
      <c r="M2111" s="1" t="str">
        <f t="shared" si="133"/>
        <v/>
      </c>
      <c r="P2111" s="1" t="s">
        <v>20</v>
      </c>
      <c r="R2111" s="1" t="s">
        <v>1976</v>
      </c>
      <c r="V2111" s="1" t="s">
        <v>2007</v>
      </c>
      <c r="W2111" s="1" t="s">
        <v>2008</v>
      </c>
      <c r="AR2111" s="1" t="str">
        <f t="shared" si="131"/>
        <v>| [ㄆㄥ](ㄆㄥ.md) | [澎](澎.md) |  | pēng | 參見「澎湃」、「澎濞」等條。 |</v>
      </c>
    </row>
    <row r="2112" spans="1:44" hidden="1">
      <c r="A2112" s="1" t="s">
        <v>2063</v>
      </c>
      <c r="C2112" s="1">
        <v>1</v>
      </c>
      <c r="D2112" s="1" t="str">
        <f>"00799"</f>
        <v>00799</v>
      </c>
      <c r="E2112" s="1" t="s">
        <v>1258</v>
      </c>
      <c r="F2112" s="1">
        <v>4</v>
      </c>
      <c r="G2112" s="1">
        <v>2</v>
      </c>
      <c r="H2112" s="1">
        <v>2</v>
      </c>
      <c r="I2112" s="1" t="s">
        <v>2064</v>
      </c>
      <c r="K2112" s="1" t="str">
        <f t="shared" si="134"/>
        <v>ㄆ</v>
      </c>
      <c r="L2112" s="1" t="str">
        <f t="shared" si="135"/>
        <v>ㄧ</v>
      </c>
      <c r="M2112" s="1" t="str">
        <f t="shared" si="133"/>
        <v/>
      </c>
      <c r="P2112" s="1" t="s">
        <v>20</v>
      </c>
      <c r="R2112" s="1" t="s">
        <v>2065</v>
      </c>
      <c r="V2112" s="1" t="s">
        <v>2066</v>
      </c>
      <c r="W2112" s="1" t="s">
        <v>2067</v>
      </c>
      <c r="AR2112" s="1" t="str">
        <f t="shared" si="131"/>
        <v>| [ㄆㄧ](ㄆㄧ.md) | [匹](匹.md) |  | pī | [名]_x000D_
量詞。計算馬、騾、驢等牲畜的單位。如：「馬匹」、「一匹馬」、「兩匹驢」、「單槍匹馬」。 |</v>
      </c>
    </row>
    <row r="2113" spans="1:44" hidden="1">
      <c r="A2113" s="1" t="s">
        <v>2068</v>
      </c>
      <c r="C2113" s="1">
        <v>1</v>
      </c>
      <c r="D2113" s="1" t="str">
        <f>"00800"</f>
        <v>00800</v>
      </c>
      <c r="E2113" s="1" t="s">
        <v>789</v>
      </c>
      <c r="F2113" s="1">
        <v>5</v>
      </c>
      <c r="G2113" s="1">
        <v>4</v>
      </c>
      <c r="H2113" s="1">
        <v>0</v>
      </c>
      <c r="I2113" s="1" t="s">
        <v>2064</v>
      </c>
      <c r="K2113" s="1" t="str">
        <f t="shared" si="134"/>
        <v>ㄆ</v>
      </c>
      <c r="L2113" s="1" t="str">
        <f t="shared" si="135"/>
        <v>ㄧ</v>
      </c>
      <c r="M2113" s="1" t="str">
        <f t="shared" si="133"/>
        <v/>
      </c>
      <c r="P2113" s="1" t="s">
        <v>20</v>
      </c>
      <c r="R2113" s="1" t="s">
        <v>2065</v>
      </c>
      <c r="V2113" s="1" t="s">
        <v>2069</v>
      </c>
      <c r="AR2113" s="1" t="str">
        <f t="shared" si="131"/>
        <v>| [ㄆㄧ](ㄆㄧ.md) | [丕](丕.md) |  | pī | [形]_x000D_
大。《書經．大禹謨》：「予懋乃德，嘉乃丕績。」《史記．卷一一七．司馬相如列傳》：「天下之壯觀，王者之丕業。」_x000D_
[副]_x000D_
大，表示程度深。《北史．卷一二．隋本紀．煬帝》：「朕又聞之，安安而能遷，民用丕變。」《宋史．卷一三三．樂志八》：「丕闡文德，靡忘發揚。」_x000D_
[動]_x000D_
遵奉、秉持。漢．班固〈典引〉：「汪汪乎丕天之大律，其疇能亙之哉！」_x000D_
[連]_x000D_
乃。《書經．禹貢》：「三危既宅，三苗丕敘。」_x000D_
[名]_x000D_
姓。如春秋時晉國有丕鄭。 |</v>
      </c>
    </row>
    <row r="2114" spans="1:44" hidden="1">
      <c r="A2114" s="1" t="s">
        <v>2070</v>
      </c>
      <c r="C2114" s="1">
        <v>1</v>
      </c>
      <c r="D2114" s="1" t="str">
        <f>"00801"</f>
        <v>00801</v>
      </c>
      <c r="E2114" s="1" t="s">
        <v>114</v>
      </c>
      <c r="F2114" s="1">
        <v>7</v>
      </c>
      <c r="G2114" s="1">
        <v>5</v>
      </c>
      <c r="H2114" s="1">
        <v>0</v>
      </c>
      <c r="I2114" s="1" t="s">
        <v>2064</v>
      </c>
      <c r="K2114" s="1" t="str">
        <f t="shared" si="134"/>
        <v>ㄆ</v>
      </c>
      <c r="L2114" s="1" t="str">
        <f t="shared" si="135"/>
        <v>ㄧ</v>
      </c>
      <c r="M2114" s="1" t="str">
        <f t="shared" si="133"/>
        <v/>
      </c>
      <c r="P2114" s="1" t="s">
        <v>20</v>
      </c>
      <c r="R2114" s="1" t="s">
        <v>2065</v>
      </c>
      <c r="V2114" s="1" t="s">
        <v>2071</v>
      </c>
      <c r="AR2114" s="1" t="str">
        <f t="shared" si="131"/>
        <v>| [ㄆㄧ](ㄆㄧ.md) | [伾](伾.md) |  | pī | 參見「伾伾」條。 |</v>
      </c>
    </row>
    <row r="2115" spans="1:44" hidden="1">
      <c r="A2115" s="1" t="s">
        <v>1671</v>
      </c>
      <c r="C2115" s="1">
        <v>1</v>
      </c>
      <c r="D2115" s="1" t="str">
        <f>"00802"</f>
        <v>00802</v>
      </c>
      <c r="E2115" s="1" t="s">
        <v>132</v>
      </c>
      <c r="F2115" s="1">
        <v>8</v>
      </c>
      <c r="G2115" s="1">
        <v>5</v>
      </c>
      <c r="H2115" s="1">
        <v>2</v>
      </c>
      <c r="I2115" s="1" t="s">
        <v>2064</v>
      </c>
      <c r="K2115" s="1" t="str">
        <f t="shared" si="134"/>
        <v>ㄆ</v>
      </c>
      <c r="L2115" s="1" t="str">
        <f t="shared" si="135"/>
        <v>ㄧ</v>
      </c>
      <c r="M2115" s="1" t="str">
        <f t="shared" si="133"/>
        <v/>
      </c>
      <c r="P2115" s="1" t="s">
        <v>110</v>
      </c>
      <c r="R2115" s="1" t="s">
        <v>2065</v>
      </c>
      <c r="V2115" s="1" t="s">
        <v>111</v>
      </c>
      <c r="W2115" s="1" t="s">
        <v>2072</v>
      </c>
      <c r="AR2115" s="1" t="str">
        <f t="shared" ref="AR2115:AR2178" si="136">"| ["&amp;I2115&amp;"]("&amp;I2115&amp;".md) | ["&amp;A2115&amp;"]("&amp;A2115&amp;".md) | "&amp;" | "&amp;R2115&amp;" | "&amp;V2115&amp;" |"</f>
        <v>| [ㄆㄧ](ㄆㄧ.md) | [坯](坯.md) |  | pī | (一)之又音。 |</v>
      </c>
    </row>
    <row r="2116" spans="1:44" hidden="1">
      <c r="A2116" s="1" t="s">
        <v>2073</v>
      </c>
      <c r="C2116" s="1">
        <v>1</v>
      </c>
      <c r="D2116" s="1" t="str">
        <f>"00803"</f>
        <v>00803</v>
      </c>
      <c r="E2116" s="1" t="s">
        <v>198</v>
      </c>
      <c r="F2116" s="1">
        <v>8</v>
      </c>
      <c r="G2116" s="1">
        <v>5</v>
      </c>
      <c r="H2116" s="1">
        <v>0</v>
      </c>
      <c r="I2116" s="1" t="s">
        <v>2064</v>
      </c>
      <c r="K2116" s="1" t="str">
        <f t="shared" si="134"/>
        <v>ㄆ</v>
      </c>
      <c r="L2116" s="1" t="str">
        <f t="shared" si="135"/>
        <v>ㄧ</v>
      </c>
      <c r="M2116" s="1" t="str">
        <f t="shared" si="133"/>
        <v/>
      </c>
      <c r="P2116" s="1" t="s">
        <v>20</v>
      </c>
      <c r="R2116" s="1" t="s">
        <v>2065</v>
      </c>
      <c r="V2116" s="1" t="s">
        <v>2074</v>
      </c>
      <c r="AR2116" s="1" t="str">
        <f t="shared" si="136"/>
        <v>| [ㄆㄧ](ㄆㄧ.md) | [狉](狉.md) |  | pī | [名]
狸子。《集韻．平聲．脂韻》：「狉，狸子。」
[副]
參見「狉狉」條。 |</v>
      </c>
    </row>
    <row r="2117" spans="1:44" hidden="1">
      <c r="A2117" s="1" t="s">
        <v>2075</v>
      </c>
      <c r="C2117" s="1">
        <v>1</v>
      </c>
      <c r="D2117" s="1" t="str">
        <f>"00804"</f>
        <v>00804</v>
      </c>
      <c r="E2117" s="1" t="s">
        <v>429</v>
      </c>
      <c r="F2117" s="1">
        <v>10</v>
      </c>
      <c r="G2117" s="1">
        <v>5</v>
      </c>
      <c r="H2117" s="1">
        <v>0</v>
      </c>
      <c r="I2117" s="1" t="s">
        <v>2064</v>
      </c>
      <c r="K2117" s="1" t="str">
        <f t="shared" si="134"/>
        <v>ㄆ</v>
      </c>
      <c r="L2117" s="1" t="str">
        <f t="shared" si="135"/>
        <v>ㄧ</v>
      </c>
      <c r="M2117" s="1" t="str">
        <f t="shared" si="133"/>
        <v/>
      </c>
      <c r="P2117" s="1" t="s">
        <v>20</v>
      </c>
      <c r="R2117" s="1" t="s">
        <v>2065</v>
      </c>
      <c r="V2117" s="1" t="s">
        <v>2076</v>
      </c>
      <c r="AR2117" s="1" t="str">
        <f t="shared" si="136"/>
        <v>| [ㄆㄧ](ㄆㄧ.md) | [秠](秠.md) |  | pī | [名]
一種殼中有二米的黑黍。《詩經．大雅．生民》：「誕降嘉種，維秬維秠，維穈維芑。」唐．孔穎達．正義：「秬是黑麥之大名，秠是黑麥之中有二米者，別名之為秠。」 |</v>
      </c>
    </row>
    <row r="2118" spans="1:44" hidden="1">
      <c r="A2118" s="1" t="s">
        <v>2077</v>
      </c>
      <c r="C2118" s="1">
        <v>1</v>
      </c>
      <c r="D2118" s="1" t="str">
        <f>"00805"</f>
        <v>00805</v>
      </c>
      <c r="E2118" s="1" t="s">
        <v>319</v>
      </c>
      <c r="F2118" s="1">
        <v>15</v>
      </c>
      <c r="G2118" s="1">
        <v>5</v>
      </c>
      <c r="H2118" s="1">
        <v>0</v>
      </c>
      <c r="I2118" s="1" t="s">
        <v>2064</v>
      </c>
      <c r="K2118" s="1" t="str">
        <f t="shared" si="134"/>
        <v>ㄆ</v>
      </c>
      <c r="L2118" s="1" t="str">
        <f t="shared" si="135"/>
        <v>ㄧ</v>
      </c>
      <c r="M2118" s="1" t="str">
        <f t="shared" si="133"/>
        <v/>
      </c>
      <c r="P2118" s="1" t="s">
        <v>20</v>
      </c>
      <c r="R2118" s="1" t="s">
        <v>2065</v>
      </c>
      <c r="V2118" s="1" t="s">
        <v>2078</v>
      </c>
      <c r="AR2118" s="1" t="str">
        <f t="shared" si="136"/>
        <v>| [ㄆㄧ](ㄆㄧ.md) | [駓](駓.md) |  | pī | [名]
黃白雜毛的馬。《詩經．魯頌．駉》：「有騅有駓，有騂有騏。」漢．鄭玄．箋：「黃白雜毛曰駓。」 |</v>
      </c>
    </row>
    <row r="2119" spans="1:44" hidden="1">
      <c r="A2119" s="1" t="s">
        <v>2079</v>
      </c>
      <c r="C2119" s="1">
        <v>1</v>
      </c>
      <c r="D2119" s="1" t="str">
        <f>"00806"</f>
        <v>00806</v>
      </c>
      <c r="E2119" s="1" t="s">
        <v>24</v>
      </c>
      <c r="F2119" s="1">
        <v>7</v>
      </c>
      <c r="G2119" s="1">
        <v>4</v>
      </c>
      <c r="H2119" s="1">
        <v>0</v>
      </c>
      <c r="I2119" s="1" t="s">
        <v>2064</v>
      </c>
      <c r="K2119" s="1" t="str">
        <f t="shared" si="134"/>
        <v>ㄆ</v>
      </c>
      <c r="L2119" s="1" t="str">
        <f t="shared" si="135"/>
        <v>ㄧ</v>
      </c>
      <c r="M2119" s="1" t="str">
        <f t="shared" si="133"/>
        <v/>
      </c>
      <c r="P2119" s="1" t="s">
        <v>20</v>
      </c>
      <c r="R2119" s="1" t="s">
        <v>2065</v>
      </c>
      <c r="V2119" s="1" t="s">
        <v>2080</v>
      </c>
      <c r="AR2119" s="1" t="str">
        <f t="shared" si="136"/>
        <v>| [ㄆㄧ](ㄆㄧ.md) | [批](批.md) |  | pī | [名]
1.上級回覆下級且有所評論的公文。《儒林外史》第六回：「嚴貢生看了這批，那頭上的火直冒了有十幾丈，隨即寫呈到府裡去告。」
2.附注在文件或書籍上的評語。如：「眉批」。
3.棉麻等在未捻成線或繩時的細縷。如：「麻批」、「線批」。
4.量詞。計算成群的人或物品的單位。如：「一批旅客」、「三大批木材」。
[動]
1.用手擊打。《左傳．莊公十二年》：「遇仇牧于門，批而殺之。」
2.觸碰、攻擊。如：「批亢擣虛」。《戰國策．燕策三》：「奈何以見陵之怨，欲批其逆鱗哉！」
3.排除、排解。《史記．卷七九．范雎蔡澤傳》：「治亂彊兵，批患折難。」
4.分開、分解。如：「把財產批成兩部分。」
5.在文件或文章上直接注明意見和評斷。如：「批可」、「批閱」、「批准」。
6.判斷、評論。如：「批評」、「批判」。
7.一種烹飪刀法。橫面薄削。元．關漢卿《望月亭》第三折：「這魚不宜那水煮油煎，則是那薄批細切。」
8.大量買賣。如：「批貨」、「批發」。《鏡花緣》第三二回：「這個貨單拿到大戶人家，不過三兩日就可批完。」 |</v>
      </c>
    </row>
    <row r="2120" spans="1:44" hidden="1">
      <c r="A2120" s="1" t="s">
        <v>2081</v>
      </c>
      <c r="C2120" s="1">
        <v>1</v>
      </c>
      <c r="D2120" s="1" t="str">
        <f>"00807"</f>
        <v>00807</v>
      </c>
      <c r="E2120" s="1" t="s">
        <v>169</v>
      </c>
      <c r="F2120" s="1">
        <v>9</v>
      </c>
      <c r="G2120" s="1">
        <v>4</v>
      </c>
      <c r="H2120" s="1">
        <v>0</v>
      </c>
      <c r="I2120" s="1" t="s">
        <v>2064</v>
      </c>
      <c r="K2120" s="1" t="str">
        <f t="shared" si="134"/>
        <v>ㄆ</v>
      </c>
      <c r="L2120" s="1" t="str">
        <f t="shared" si="135"/>
        <v>ㄧ</v>
      </c>
      <c r="M2120" s="1" t="str">
        <f t="shared" si="133"/>
        <v/>
      </c>
      <c r="P2120" s="1" t="s">
        <v>20</v>
      </c>
      <c r="R2120" s="1" t="s">
        <v>2065</v>
      </c>
      <c r="V2120" s="1" t="s">
        <v>2082</v>
      </c>
      <c r="AR2120" s="1" t="str">
        <f t="shared" si="136"/>
        <v>| [ㄆㄧ](ㄆㄧ.md) | [砒](砒.md) |  | pī | [名]_x000D_
（arsenic，As）化學元素。原子序33。非金屬元素之一，為灰色有光的結晶體，可作藥用，有劇毒。 |</v>
      </c>
    </row>
    <row r="2121" spans="1:44" hidden="1">
      <c r="A2121" s="1" t="s">
        <v>2083</v>
      </c>
      <c r="C2121" s="1">
        <v>1</v>
      </c>
      <c r="D2121" s="1" t="str">
        <f>"00808"</f>
        <v>00808</v>
      </c>
      <c r="E2121" s="1" t="s">
        <v>725</v>
      </c>
      <c r="F2121" s="1">
        <v>10</v>
      </c>
      <c r="G2121" s="1">
        <v>4</v>
      </c>
      <c r="H2121" s="1">
        <v>1</v>
      </c>
      <c r="I2121" s="1" t="s">
        <v>2064</v>
      </c>
      <c r="K2121" s="1" t="str">
        <f t="shared" si="134"/>
        <v>ㄆ</v>
      </c>
      <c r="L2121" s="1" t="str">
        <f t="shared" si="135"/>
        <v>ㄧ</v>
      </c>
      <c r="M2121" s="1" t="str">
        <f t="shared" si="133"/>
        <v/>
      </c>
      <c r="P2121" s="1" t="s">
        <v>20</v>
      </c>
      <c r="R2121" s="1" t="s">
        <v>2065</v>
      </c>
      <c r="V2121" s="1" t="s">
        <v>2084</v>
      </c>
      <c r="W2121" s="1" t="s">
        <v>2085</v>
      </c>
      <c r="AR2121" s="1" t="str">
        <f t="shared" si="136"/>
        <v>| [ㄆㄧ](ㄆㄧ.md) | [紕](紕.md) |  | pī | [名]
織布時，經緯線沒織好的地方。引申為錯誤。如：「紕繆」、「紕漏」。
[形]
布帛等織品線或接縫處脫散。如：「線紕了」。 |</v>
      </c>
    </row>
    <row r="2122" spans="1:44" hidden="1">
      <c r="A2122" s="1" t="s">
        <v>2086</v>
      </c>
      <c r="C2122" s="1">
        <v>1</v>
      </c>
      <c r="D2122" s="1" t="str">
        <f>"00809"</f>
        <v>00809</v>
      </c>
      <c r="E2122" s="1" t="s">
        <v>55</v>
      </c>
      <c r="F2122" s="1">
        <v>12</v>
      </c>
      <c r="G2122" s="1">
        <v>4</v>
      </c>
      <c r="H2122" s="1">
        <v>2</v>
      </c>
      <c r="I2122" s="1" t="s">
        <v>2064</v>
      </c>
      <c r="K2122" s="1" t="str">
        <f t="shared" si="134"/>
        <v>ㄆ</v>
      </c>
      <c r="L2122" s="1" t="str">
        <f t="shared" si="135"/>
        <v>ㄧ</v>
      </c>
      <c r="M2122" s="1" t="str">
        <f t="shared" si="133"/>
        <v/>
      </c>
      <c r="P2122" s="1" t="s">
        <v>110</v>
      </c>
      <c r="R2122" s="1" t="s">
        <v>2065</v>
      </c>
      <c r="V2122" s="1" t="s">
        <v>111</v>
      </c>
      <c r="W2122" s="1" t="s">
        <v>2087</v>
      </c>
      <c r="AR2122" s="1" t="str">
        <f t="shared" si="136"/>
        <v>| [ㄆㄧ](ㄆㄧ.md) | [鈚](鈚.md) |  | pī | (一)之又音。 |</v>
      </c>
    </row>
    <row r="2123" spans="1:44" hidden="1">
      <c r="A2123" s="1" t="s">
        <v>943</v>
      </c>
      <c r="C2123" s="1">
        <v>1</v>
      </c>
      <c r="D2123" s="1" t="str">
        <f>"00810"</f>
        <v>00810</v>
      </c>
      <c r="E2123" s="1" t="s">
        <v>55</v>
      </c>
      <c r="F2123" s="1">
        <v>18</v>
      </c>
      <c r="G2123" s="1">
        <v>10</v>
      </c>
      <c r="H2123" s="1">
        <v>1</v>
      </c>
      <c r="I2123" s="1" t="s">
        <v>2064</v>
      </c>
      <c r="K2123" s="1" t="str">
        <f t="shared" si="134"/>
        <v>ㄆ</v>
      </c>
      <c r="L2123" s="1" t="str">
        <f t="shared" si="135"/>
        <v>ㄧ</v>
      </c>
      <c r="M2123" s="1" t="str">
        <f t="shared" si="133"/>
        <v/>
      </c>
      <c r="P2123" s="1" t="s">
        <v>20</v>
      </c>
      <c r="R2123" s="1" t="s">
        <v>2065</v>
      </c>
      <c r="V2123" s="1" t="s">
        <v>2088</v>
      </c>
      <c r="W2123" s="1" t="s">
        <v>2089</v>
      </c>
      <c r="AR2123" s="1" t="str">
        <f t="shared" si="136"/>
        <v>| [ㄆㄧ](ㄆㄧ.md) | [鎞](鎞.md) |  | pī | [名]
1.一種箭鏃。《集韻．平聲．齊韻》：「《方言》：『箭鏃廣長而薄鎌謂之錍。』或作鈚、鎞。」
2.箭鏃形的刀。古代醫生用來治療眼疾的手術用具。明．張自烈《正字通．金部》：「《方書》：『刀似箭鏃者曰鎞。』《涅盤經》：『有盲人為治目，故造詣良醫。是時良醫即以金鎞刮其眼膜。』」《北史．卷八四．孝行傳．張元傳》：「其夜夢見一老翁，以金鎞療其祖目。」 |</v>
      </c>
    </row>
    <row r="2124" spans="1:44" hidden="1">
      <c r="A2124" s="1" t="s">
        <v>1684</v>
      </c>
      <c r="C2124" s="1">
        <v>1</v>
      </c>
      <c r="D2124" s="1" t="str">
        <f>"00811"</f>
        <v>00811</v>
      </c>
      <c r="E2124" s="1" t="s">
        <v>24</v>
      </c>
      <c r="F2124" s="1">
        <v>8</v>
      </c>
      <c r="G2124" s="1">
        <v>5</v>
      </c>
      <c r="H2124" s="1">
        <v>1</v>
      </c>
      <c r="I2124" s="1" t="s">
        <v>2064</v>
      </c>
      <c r="K2124" s="1" t="str">
        <f t="shared" si="134"/>
        <v>ㄆ</v>
      </c>
      <c r="L2124" s="1" t="str">
        <f t="shared" si="135"/>
        <v>ㄧ</v>
      </c>
      <c r="M2124" s="1" t="str">
        <f t="shared" si="133"/>
        <v/>
      </c>
      <c r="P2124" s="1" t="s">
        <v>20</v>
      </c>
      <c r="R2124" s="1" t="s">
        <v>2065</v>
      </c>
      <c r="V2124" s="1" t="s">
        <v>2090</v>
      </c>
      <c r="W2124" s="1" t="s">
        <v>2091</v>
      </c>
      <c r="AR2124" s="1" t="str">
        <f t="shared" si="136"/>
        <v>| [ㄆㄧ](ㄆㄧ.md) | [披](披.md) |  | pī | [動]
1.將衣物搭在肩背上。如：「披羊皮的狼」。《文選．曹丕．雜詩二首之一》：「展轉不能寐，披衣起彷徨。」《三國演義》第三八回：「頭戴綸巾，身披鶴氅。」
2.打開、翻開。如：「披卷」、「披襟」、「披肝瀝膽」。唐．韓愈〈進學解〉：「先生口不絕吟於六藝之文，手不停披於百家之編。」
3.剖開、揭露。《漢書．卷五一．枚乘傳》：「臣乘願披腹心而效愚忠，唯大王少加意念惻怛之心於臣乘言。」《二十年目睹之怪現狀》第八四回：「一紙私函將意去，五中深慮向君披。」
4.分開、拆裂。《史記．卷七九．范雎蔡澤傳》：「木實繁者披其枝，披其枝者傷其心。」
5.分散、散開。如：「披頭散髮」、「披髮左衽」。《明史．卷一．太祖本紀一》：「羽翼既披，平江勢孤，立破矣。」 |</v>
      </c>
    </row>
    <row r="2125" spans="1:44" hidden="1">
      <c r="A2125" s="1" t="s">
        <v>530</v>
      </c>
      <c r="C2125" s="1">
        <v>1</v>
      </c>
      <c r="D2125" s="1" t="str">
        <f>"00812"</f>
        <v>00812</v>
      </c>
      <c r="E2125" s="1" t="s">
        <v>340</v>
      </c>
      <c r="F2125" s="1">
        <v>11</v>
      </c>
      <c r="G2125" s="1">
        <v>5</v>
      </c>
      <c r="H2125" s="1">
        <v>2</v>
      </c>
      <c r="I2125" s="1" t="s">
        <v>2064</v>
      </c>
      <c r="K2125" s="1" t="str">
        <f t="shared" si="134"/>
        <v>ㄆ</v>
      </c>
      <c r="L2125" s="1" t="str">
        <f t="shared" si="135"/>
        <v>ㄧ</v>
      </c>
      <c r="M2125" s="1" t="str">
        <f t="shared" si="133"/>
        <v/>
      </c>
      <c r="P2125" s="1" t="s">
        <v>20</v>
      </c>
      <c r="R2125" s="1" t="s">
        <v>2065</v>
      </c>
      <c r="V2125" s="1" t="s">
        <v>2092</v>
      </c>
      <c r="W2125" s="1" t="s">
        <v>2093</v>
      </c>
      <c r="AR2125" s="1" t="str">
        <f t="shared" si="136"/>
        <v>| [ㄆㄧ](ㄆㄧ.md) | [被](被.md) |  | pī | [動]
1.分散。通「披」。《論語．憲問》：「微管仲，吾其被髮左衽矣！」
2.加衣於身而不束帶。通「披」。《楚辭．屈原．九歌．國殤》：「操吳戈兮被犀甲。」 |</v>
      </c>
    </row>
    <row r="2126" spans="1:44" hidden="1">
      <c r="A2126" s="1" t="s">
        <v>2094</v>
      </c>
      <c r="C2126" s="1">
        <v>1</v>
      </c>
      <c r="D2126" s="1" t="str">
        <f>"00813"</f>
        <v>00813</v>
      </c>
      <c r="E2126" s="1" t="s">
        <v>55</v>
      </c>
      <c r="F2126" s="1">
        <v>13</v>
      </c>
      <c r="G2126" s="1">
        <v>5</v>
      </c>
      <c r="H2126" s="1">
        <v>2</v>
      </c>
      <c r="I2126" s="1" t="s">
        <v>2064</v>
      </c>
      <c r="K2126" s="1" t="str">
        <f t="shared" si="134"/>
        <v>ㄆ</v>
      </c>
      <c r="L2126" s="1" t="str">
        <f t="shared" si="135"/>
        <v>ㄧ</v>
      </c>
      <c r="M2126" s="1" t="str">
        <f t="shared" si="133"/>
        <v/>
      </c>
      <c r="P2126" s="1" t="s">
        <v>20</v>
      </c>
      <c r="R2126" s="1" t="s">
        <v>2065</v>
      </c>
      <c r="V2126" s="1" t="s">
        <v>2095</v>
      </c>
      <c r="W2126" s="1" t="s">
        <v>2096</v>
      </c>
      <c r="AR2126" s="1" t="str">
        <f t="shared" si="136"/>
        <v>| [ㄆㄧ](ㄆㄧ.md) | [鈹](鈹.md) |  | pī | [名]
1.針砭用的長針。《說文解字．金部》：「鈹，大鍼。」清．段玉裁．注：「玄應曰：『醫家用以破癰。』」
2.一種兩邊有刃而用刀鞘套著的劍。《說文解字．金部》：「一曰劍而刀裝者。」清．段玉裁．注：「劍兩刃，刀一刃，而裝不同。實劍而用刀削裹之是曰鈹。」
3.長矛。漢．揚雄《方言》卷九：「錟謂之鈹。」晉．郭璞．注：「今江東呼大矛為鈹。」 |</v>
      </c>
    </row>
    <row r="2127" spans="1:44" hidden="1">
      <c r="A2127" s="1" t="s">
        <v>2097</v>
      </c>
      <c r="C2127" s="1">
        <v>1</v>
      </c>
      <c r="D2127" s="1" t="str">
        <f>"00814"</f>
        <v>00814</v>
      </c>
      <c r="E2127" s="1" t="s">
        <v>185</v>
      </c>
      <c r="F2127" s="1">
        <v>15</v>
      </c>
      <c r="G2127" s="1">
        <v>13</v>
      </c>
      <c r="H2127" s="1">
        <v>1</v>
      </c>
      <c r="I2127" s="1" t="s">
        <v>2064</v>
      </c>
      <c r="K2127" s="1" t="str">
        <f t="shared" si="134"/>
        <v>ㄆ</v>
      </c>
      <c r="L2127" s="1" t="str">
        <f t="shared" si="135"/>
        <v>ㄧ</v>
      </c>
      <c r="M2127" s="1" t="str">
        <f t="shared" ref="M2127:M2158" si="137">MID(I2127, 3, 1)</f>
        <v/>
      </c>
      <c r="P2127" s="1" t="s">
        <v>20</v>
      </c>
      <c r="R2127" s="1" t="s">
        <v>2065</v>
      </c>
      <c r="V2127" s="1" t="s">
        <v>2098</v>
      </c>
      <c r="W2127" s="1" t="s">
        <v>2099</v>
      </c>
      <c r="AR2127" s="1" t="str">
        <f t="shared" si="136"/>
        <v>| [ㄆㄧ](ㄆㄧ.md) | [劈](劈.md) |  | pī | [動]
1.用刀斧等從縱面將物體破開。如：「劈柴」、「劈成兩半」、「直劈而下」。唐．白居易〈潯陽三題．溢浦竹〉詩：「剖劈青琅玕，家家蓋牆屋。」宋．樂雷發〈烏烏歌〉：「請君為我焚卻離騷賦，我亦為君劈碎太極圖。」
2.雷電擊毀。如：「天打雷劈」。
3.朝著、對著。如：「劈面」、「劈頭」。《水滸傳》第三八回：「李逵聽了，便把魚汁劈臉潑將出去，淋那酒保一身。」 |</v>
      </c>
    </row>
    <row r="2128" spans="1:44" hidden="1">
      <c r="A2128" s="1" t="s">
        <v>2100</v>
      </c>
      <c r="C2128" s="1">
        <v>1</v>
      </c>
      <c r="D2128" s="1" t="str">
        <f>"00815"</f>
        <v>00815</v>
      </c>
      <c r="E2128" s="1" t="s">
        <v>125</v>
      </c>
      <c r="F2128" s="1">
        <v>21</v>
      </c>
      <c r="G2128" s="1">
        <v>13</v>
      </c>
      <c r="H2128" s="1">
        <v>0</v>
      </c>
      <c r="I2128" s="1" t="s">
        <v>2064</v>
      </c>
      <c r="K2128" s="1" t="str">
        <f t="shared" si="134"/>
        <v>ㄆ</v>
      </c>
      <c r="L2128" s="1" t="str">
        <f t="shared" si="135"/>
        <v>ㄧ</v>
      </c>
      <c r="M2128" s="1" t="str">
        <f t="shared" si="137"/>
        <v/>
      </c>
      <c r="P2128" s="1" t="s">
        <v>20</v>
      </c>
      <c r="R2128" s="1" t="s">
        <v>2065</v>
      </c>
      <c r="V2128" s="1" t="s">
        <v>2101</v>
      </c>
      <c r="AR2128" s="1" t="str">
        <f t="shared" si="136"/>
        <v>| [ㄆㄧ](ㄆㄧ.md) | [霹](霹.md) |  | pī | [名]
參見「霹靂」條。
[動]
雷擊劈折。如：「電擊雷霹」。唐．杜甫〈敬寄族弟唐十八使君〉詩：「雷霆霹長松，骨大卻生筋。」 |</v>
      </c>
    </row>
    <row r="2129" spans="1:44" hidden="1">
      <c r="A2129" s="1" t="s">
        <v>2488</v>
      </c>
      <c r="C2129" s="1">
        <v>1</v>
      </c>
      <c r="D2129" s="1" t="str">
        <f>"00979"</f>
        <v>00979</v>
      </c>
      <c r="E2129" s="1" t="s">
        <v>426</v>
      </c>
      <c r="F2129" s="1">
        <v>4</v>
      </c>
      <c r="G2129" s="1">
        <v>0</v>
      </c>
      <c r="H2129" s="1">
        <v>0</v>
      </c>
      <c r="I2129" s="1" t="s">
        <v>2489</v>
      </c>
      <c r="K2129" s="1" t="str">
        <f t="shared" si="134"/>
        <v>ㄆ</v>
      </c>
      <c r="L2129" s="1" t="str">
        <f t="shared" si="135"/>
        <v>ㄨ</v>
      </c>
      <c r="M2129" s="1" t="str">
        <f t="shared" si="137"/>
        <v/>
      </c>
      <c r="P2129" s="1" t="s">
        <v>20</v>
      </c>
      <c r="R2129" s="1" t="s">
        <v>2490</v>
      </c>
      <c r="V2129" s="1" t="s">
        <v>2491</v>
      </c>
      <c r="AR2129" s="1" t="str">
        <f t="shared" si="136"/>
        <v>| [ㄆㄨ](ㄆㄨ.md) | [攴](攴.md) |  | pū | [動]
輕擊。《說文解字．攴部》：「攴，小擊也。」
[名]
二一四部首之一。 |</v>
      </c>
    </row>
    <row r="2130" spans="1:44" hidden="1">
      <c r="A2130" s="1" t="s">
        <v>2492</v>
      </c>
      <c r="C2130" s="1">
        <v>1</v>
      </c>
      <c r="D2130" s="1" t="str">
        <f>"00980"</f>
        <v>00980</v>
      </c>
      <c r="E2130" s="1" t="s">
        <v>114</v>
      </c>
      <c r="F2130" s="1">
        <v>4</v>
      </c>
      <c r="G2130" s="1">
        <v>2</v>
      </c>
      <c r="H2130" s="1">
        <v>1</v>
      </c>
      <c r="I2130" s="1" t="s">
        <v>2489</v>
      </c>
      <c r="K2130" s="1" t="str">
        <f t="shared" si="134"/>
        <v>ㄆ</v>
      </c>
      <c r="L2130" s="1" t="str">
        <f t="shared" si="135"/>
        <v>ㄨ</v>
      </c>
      <c r="M2130" s="1" t="str">
        <f t="shared" si="137"/>
        <v/>
      </c>
      <c r="P2130" s="1" t="s">
        <v>20</v>
      </c>
      <c r="R2130" s="1" t="s">
        <v>2490</v>
      </c>
      <c r="V2130" s="1" t="s">
        <v>2493</v>
      </c>
      <c r="W2130" s="1" t="s">
        <v>2494</v>
      </c>
      <c r="AR2130" s="1" t="str">
        <f t="shared" si="136"/>
        <v>| [ㄆㄨ](ㄆㄨ.md) | [仆](仆.md) |  | pū | [動]
1.跌倒而伏在地上。《漢書．卷四七．梁孝王傳》：「貪生畏死，即詐僵仆陽病。」
2.傾倒、橫陳。唐．柳宗元〈永州韋使君新堂記〉：「或立或仆。」宋．王安石〈遊褒禪山記〉：「有碑仆道，其文漫滅。」 |</v>
      </c>
    </row>
    <row r="2131" spans="1:44" hidden="1">
      <c r="A2131" s="1" t="s">
        <v>2495</v>
      </c>
      <c r="C2131" s="1">
        <v>1</v>
      </c>
      <c r="D2131" s="1" t="str">
        <f>"00981"</f>
        <v>00981</v>
      </c>
      <c r="E2131" s="1" t="s">
        <v>24</v>
      </c>
      <c r="F2131" s="1">
        <v>5</v>
      </c>
      <c r="G2131" s="1">
        <v>2</v>
      </c>
      <c r="H2131" s="1">
        <v>0</v>
      </c>
      <c r="I2131" s="1" t="s">
        <v>2489</v>
      </c>
      <c r="K2131" s="1" t="str">
        <f t="shared" si="134"/>
        <v>ㄆ</v>
      </c>
      <c r="L2131" s="1" t="str">
        <f t="shared" si="135"/>
        <v>ㄨ</v>
      </c>
      <c r="M2131" s="1" t="str">
        <f t="shared" si="137"/>
        <v/>
      </c>
      <c r="P2131" s="1" t="s">
        <v>20</v>
      </c>
      <c r="R2131" s="1" t="s">
        <v>2490</v>
      </c>
      <c r="V2131" s="1" t="s">
        <v>2496</v>
      </c>
      <c r="AR2131" s="1" t="str">
        <f t="shared" si="136"/>
        <v>| [ㄆㄨ](ㄆㄨ.md) | [扑](扑.md) |  | pū | [動]_x000D_
1.擊打。如：「鞭扑」。《史記．卷八六．刺客列傳．荊軻》：「（高漸離）舉筑扑秦皇帝，不中。」_x000D_
2.擊敗。通「仆」。《史記．卷四．周本紀》：「秦破韓魏，扑師武。」裴駰集解引徐廣曰：「扑，一作仆。」_x000D_
[名]_x000D_
戒尺或刑杖。《書經．舜典》：「鞭作官刑，扑作教刑。」《漢書．卷三一．陳勝項籍傳．項籍》：「履至尊而制六合，執敲扑以鞭笞天下。」 |</v>
      </c>
    </row>
    <row r="2132" spans="1:44" hidden="1">
      <c r="A2132" s="1" t="s">
        <v>2497</v>
      </c>
      <c r="C2132" s="1">
        <v>1</v>
      </c>
      <c r="D2132" s="1" t="str">
        <f>"00982"</f>
        <v>00982</v>
      </c>
      <c r="E2132" s="1" t="s">
        <v>40</v>
      </c>
      <c r="F2132" s="1">
        <v>12</v>
      </c>
      <c r="G2132" s="1">
        <v>7</v>
      </c>
      <c r="H2132" s="1">
        <v>0</v>
      </c>
      <c r="I2132" s="1" t="s">
        <v>2489</v>
      </c>
      <c r="K2132" s="1" t="str">
        <f t="shared" si="134"/>
        <v>ㄆ</v>
      </c>
      <c r="L2132" s="1" t="str">
        <f t="shared" si="135"/>
        <v>ㄨ</v>
      </c>
      <c r="M2132" s="1" t="str">
        <f t="shared" si="137"/>
        <v/>
      </c>
      <c r="P2132" s="1" t="s">
        <v>20</v>
      </c>
      <c r="R2132" s="1" t="s">
        <v>2490</v>
      </c>
      <c r="V2132" s="1" t="s">
        <v>2498</v>
      </c>
      <c r="AR2132" s="1" t="str">
        <f t="shared" si="136"/>
        <v>| [ㄆㄨ](ㄆㄨ.md) | [痡](痡.md) |  | pū | [動]
疲病。《詩經．周南．卷耳》：「我馬瘏矣，我僕痡矣，云何吁矣。」唐．李華〈弔古戰場文〉：「漢傾天下，財殫力痡。」 |</v>
      </c>
    </row>
    <row r="2133" spans="1:44" hidden="1">
      <c r="A2133" s="1" t="s">
        <v>2499</v>
      </c>
      <c r="C2133" s="1">
        <v>1</v>
      </c>
      <c r="D2133" s="1" t="str">
        <f>"00983"</f>
        <v>00983</v>
      </c>
      <c r="E2133" s="1" t="s">
        <v>55</v>
      </c>
      <c r="F2133" s="1">
        <v>15</v>
      </c>
      <c r="G2133" s="1">
        <v>7</v>
      </c>
      <c r="H2133" s="1">
        <v>1</v>
      </c>
      <c r="I2133" s="1" t="s">
        <v>2489</v>
      </c>
      <c r="K2133" s="1" t="str">
        <f t="shared" si="134"/>
        <v>ㄆ</v>
      </c>
      <c r="L2133" s="1" t="str">
        <f t="shared" si="135"/>
        <v>ㄨ</v>
      </c>
      <c r="M2133" s="1" t="str">
        <f t="shared" si="137"/>
        <v/>
      </c>
      <c r="P2133" s="1" t="s">
        <v>20</v>
      </c>
      <c r="R2133" s="1" t="s">
        <v>2490</v>
      </c>
      <c r="V2133" s="1" t="s">
        <v>2500</v>
      </c>
      <c r="W2133" s="1" t="s">
        <v>2501</v>
      </c>
      <c r="AR2133" s="1" t="str">
        <f t="shared" si="136"/>
        <v>| [ㄆㄨ](ㄆㄨ.md) | [鋪](鋪.md) |  | pū | [動]
1.陳設、布置。《禮記．樂記》：「鋪筵席，陳尊俎。」唐．張九齡〈餞王司馬入計同用洲字〉詩：「別筵鋪柳岸，征棹倚蘆洲。」
2.攤開、展平。如：「鋪床」。唐．白居易〈與元九書〉：「歲暮鮮歡，夜長無睡，引筆鋪紙，悄然燈前。」
[名]
用來安裝門環的底盤，形狀像鈸。《文選．司馬相如．長門賦》：「擠玉戶以撼金鋪兮，聲噌吰而似鍾音。」唐．李賀〈惱公〉詩：「井檻淋清漆，門鋪綴白銅。」
[形]
排列的。《南史．卷三十四．顏延之傳》：「君詩若鋪錦列繡，亦雕繢滿眼。」
[副]
普遍。《文選．班固．典引》：「鋪觀二代洪纖之度，其賾可探也。」 |</v>
      </c>
    </row>
    <row r="2134" spans="1:44" hidden="1">
      <c r="A2134" s="1" t="s">
        <v>2502</v>
      </c>
      <c r="C2134" s="1">
        <v>1</v>
      </c>
      <c r="D2134" s="1" t="str">
        <f>"00984"</f>
        <v>00984</v>
      </c>
      <c r="E2134" s="1" t="s">
        <v>24</v>
      </c>
      <c r="F2134" s="1">
        <v>15</v>
      </c>
      <c r="G2134" s="1">
        <v>12</v>
      </c>
      <c r="H2134" s="1">
        <v>0</v>
      </c>
      <c r="I2134" s="1" t="s">
        <v>2489</v>
      </c>
      <c r="K2134" s="1" t="str">
        <f t="shared" si="134"/>
        <v>ㄆ</v>
      </c>
      <c r="L2134" s="1" t="str">
        <f t="shared" si="135"/>
        <v>ㄨ</v>
      </c>
      <c r="M2134" s="1" t="str">
        <f t="shared" si="137"/>
        <v/>
      </c>
      <c r="P2134" s="1" t="s">
        <v>20</v>
      </c>
      <c r="R2134" s="1" t="s">
        <v>2490</v>
      </c>
      <c r="V2134" s="1" t="s">
        <v>2503</v>
      </c>
      <c r="AR2134" s="1" t="str">
        <f t="shared" si="136"/>
        <v>| [ㄆㄨ](ㄆㄨ.md) | [撲](撲.md) |  | pū | [動]
1.擊打。《淮南子．說林》：「蔭不祥之木，為雷電所撲。」
2.輕拂。唐．岑參〈韋員外家花樹歌〉：「朝回花底恆會客，花撲玉缸春酒香。」
3.（翅膀）在空氣中連續拍擊。如：「那蜻蜓在窗戶上猛撲著翅膀。」
4.拍除。《老殘遊記》第八回：「跟隨人替他把身上雪撲了又撲，然後把驢子牽來，重復騎上，慢慢的行。」
5.向前猛衝。如：「飛蛾撲火」、「撲地而滅」。《水滸傳》第二三回：「那大蟲咆哮性發起來，翻身又只一撲，撲將來。」
6.捕捉。唐．杜牧〈秋夕〉詩：「紅燭秋光冷畫屏，輕羅小扇撲流螢。」
7.塗敷、附著。如：「撲粉」、「撲在面上」。
8.偷。《喻世明言．卷一五．史弘肇龍虎君臣會》：「這郭大郎因在東京不如意，曾撲了潘八娘子釵子。」
9.以錢擲地賭輸贏。《喻世明言．卷一五．史弘肇龍虎臣君會》：「昨夜迫劃得幾文錢，買這魚來撲，指望贏個錢去養老娘。」
[名]
1.輕拍或拂拭的工具。如：「粉撲」、「毯撲」。
2.刑杖。《後漢書．卷六一．左雄傳》：「孝明皇帝始有撲罰，皆非古典。」
3.圍棋術語。一種圍棋的犧牲打，故意奉送對方一子或兩子，藉以提回遠較此數為多的敵子的手段。 |</v>
      </c>
    </row>
    <row r="2135" spans="1:44" hidden="1">
      <c r="A2135" s="1" t="s">
        <v>2504</v>
      </c>
      <c r="C2135" s="1">
        <v>1</v>
      </c>
      <c r="D2135" s="1" t="str">
        <f>"00985"</f>
        <v>00985</v>
      </c>
      <c r="E2135" s="1" t="s">
        <v>28</v>
      </c>
      <c r="F2135" s="1">
        <v>15</v>
      </c>
      <c r="G2135" s="1">
        <v>12</v>
      </c>
      <c r="H2135" s="1">
        <v>0</v>
      </c>
      <c r="I2135" s="1" t="s">
        <v>2489</v>
      </c>
      <c r="K2135" s="1" t="str">
        <f t="shared" si="134"/>
        <v>ㄆ</v>
      </c>
      <c r="L2135" s="1" t="str">
        <f t="shared" si="135"/>
        <v>ㄨ</v>
      </c>
      <c r="M2135" s="1" t="str">
        <f t="shared" si="137"/>
        <v/>
      </c>
      <c r="P2135" s="1" t="s">
        <v>20</v>
      </c>
      <c r="R2135" s="1" t="s">
        <v>2490</v>
      </c>
      <c r="V2135" s="1" t="s">
        <v>2505</v>
      </c>
      <c r="AR2135" s="1" t="str">
        <f t="shared" si="136"/>
        <v>| [ㄆㄨ](ㄆㄨ.md) | [噗](噗.md) |  | pū | 參見「噗哧」條。 |</v>
      </c>
    </row>
    <row r="2136" spans="1:44" hidden="1">
      <c r="A2136" s="1" t="s">
        <v>274</v>
      </c>
      <c r="C2136" s="1">
        <v>1</v>
      </c>
      <c r="D2136" s="1" t="str">
        <f>"00986"</f>
        <v>00986</v>
      </c>
      <c r="E2136" s="1" t="s">
        <v>275</v>
      </c>
      <c r="F2136" s="1">
        <v>23</v>
      </c>
      <c r="G2136" s="1">
        <v>13</v>
      </c>
      <c r="H2136" s="1">
        <v>1</v>
      </c>
      <c r="I2136" s="1" t="s">
        <v>2489</v>
      </c>
      <c r="K2136" s="1" t="str">
        <f t="shared" si="134"/>
        <v>ㄆ</v>
      </c>
      <c r="L2136" s="1" t="str">
        <f t="shared" si="135"/>
        <v>ㄨ</v>
      </c>
      <c r="M2136" s="1" t="str">
        <f t="shared" si="137"/>
        <v/>
      </c>
      <c r="P2136" s="1" t="s">
        <v>388</v>
      </c>
      <c r="R2136" s="1" t="s">
        <v>2490</v>
      </c>
      <c r="V2136" s="1" t="s">
        <v>2506</v>
      </c>
      <c r="W2136" s="1" t="s">
        <v>2507</v>
      </c>
      <c r="AR2136" s="1" t="str">
        <f t="shared" si="136"/>
        <v>| [ㄆㄨ](ㄆㄨ.md) | [𩱚](𩱚.md) |  | pū | [動]
食物煮沸時，溢出湯汁。如：「米湯𩱚出來了，快熄火吧！」 |</v>
      </c>
    </row>
    <row r="2137" spans="1:44" hidden="1">
      <c r="A2137" s="1" t="s">
        <v>1516</v>
      </c>
      <c r="C2137" s="1">
        <v>1</v>
      </c>
      <c r="D2137" s="1" t="str">
        <f>"00872"</f>
        <v>00872</v>
      </c>
      <c r="E2137" s="1" t="s">
        <v>28</v>
      </c>
      <c r="F2137" s="1">
        <v>8</v>
      </c>
      <c r="G2137" s="1">
        <v>5</v>
      </c>
      <c r="H2137" s="1">
        <v>2</v>
      </c>
      <c r="I2137" s="1" t="s">
        <v>2223</v>
      </c>
      <c r="K2137" s="1" t="str">
        <f t="shared" si="134"/>
        <v>ㄆ</v>
      </c>
      <c r="L2137" s="1" t="str">
        <f t="shared" si="135"/>
        <v>ㄧ</v>
      </c>
      <c r="M2137" s="1" t="str">
        <f t="shared" si="137"/>
        <v>ㄚ</v>
      </c>
      <c r="P2137" s="1" t="s">
        <v>110</v>
      </c>
      <c r="R2137" s="1" t="s">
        <v>2224</v>
      </c>
      <c r="V2137" s="1" t="s">
        <v>111</v>
      </c>
      <c r="W2137" s="1" t="s">
        <v>2225</v>
      </c>
      <c r="AR2137" s="1" t="str">
        <f t="shared" si="136"/>
        <v>| [ㄆㄧㄚ](ㄆㄧㄚ.md) | [㕷](㕷.md) |  | piā | (一)之又音。 |</v>
      </c>
    </row>
    <row r="2138" spans="1:44" hidden="1">
      <c r="A2138" s="1" t="s">
        <v>1519</v>
      </c>
      <c r="C2138" s="1">
        <v>1</v>
      </c>
      <c r="D2138" s="1" t="str">
        <f>"00873"</f>
        <v>00873</v>
      </c>
      <c r="E2138" s="1" t="s">
        <v>28</v>
      </c>
      <c r="F2138" s="1">
        <v>11</v>
      </c>
      <c r="G2138" s="1">
        <v>8</v>
      </c>
      <c r="H2138" s="1">
        <v>2</v>
      </c>
      <c r="I2138" s="1" t="s">
        <v>2223</v>
      </c>
      <c r="K2138" s="1" t="str">
        <f t="shared" si="134"/>
        <v>ㄆ</v>
      </c>
      <c r="L2138" s="1" t="str">
        <f t="shared" si="135"/>
        <v>ㄧ</v>
      </c>
      <c r="M2138" s="1" t="str">
        <f t="shared" si="137"/>
        <v>ㄚ</v>
      </c>
      <c r="P2138" s="1" t="s">
        <v>110</v>
      </c>
      <c r="R2138" s="1" t="s">
        <v>2224</v>
      </c>
      <c r="V2138" s="1" t="s">
        <v>111</v>
      </c>
      <c r="W2138" s="1" t="s">
        <v>2226</v>
      </c>
      <c r="AR2138" s="1" t="str">
        <f t="shared" si="136"/>
        <v>| [ㄆㄧㄚ](ㄆㄧㄚ.md) | [啪](啪.md) |  | piā | (一)之又音。 |</v>
      </c>
    </row>
    <row r="2139" spans="1:44" hidden="1">
      <c r="A2139" s="1" t="s">
        <v>2227</v>
      </c>
      <c r="C2139" s="1">
        <v>1</v>
      </c>
      <c r="D2139" s="1" t="str">
        <f>"00874"</f>
        <v>00874</v>
      </c>
      <c r="E2139" s="1" t="s">
        <v>2228</v>
      </c>
      <c r="F2139" s="1">
        <v>5</v>
      </c>
      <c r="G2139" s="1">
        <v>1</v>
      </c>
      <c r="H2139" s="1">
        <v>0</v>
      </c>
      <c r="I2139" s="1" t="s">
        <v>2229</v>
      </c>
      <c r="K2139" s="1" t="str">
        <f t="shared" si="134"/>
        <v>ㄆ</v>
      </c>
      <c r="L2139" s="1" t="str">
        <f t="shared" si="135"/>
        <v>ㄧ</v>
      </c>
      <c r="M2139" s="1" t="str">
        <f t="shared" si="137"/>
        <v>ㄝ</v>
      </c>
      <c r="P2139" s="1" t="s">
        <v>20</v>
      </c>
      <c r="R2139" s="1" t="s">
        <v>2230</v>
      </c>
      <c r="V2139" s="1" t="s">
        <v>2231</v>
      </c>
      <c r="AR2139" s="1" t="str">
        <f t="shared" si="136"/>
        <v>| [ㄆㄧㄝ](ㄆㄧㄝ.md) | [氕](氕.md) |  | piē | 氫的最輕同位素。質量數1，原子由一個質子和一個電子組成。普通的氫中含有百分之九十九點九八的氕，是氫中含量最多的同位素，故不常用，而直接稱為「氫」。 |</v>
      </c>
    </row>
    <row r="2140" spans="1:44" hidden="1">
      <c r="A2140" s="1" t="s">
        <v>2232</v>
      </c>
      <c r="C2140" s="1">
        <v>1</v>
      </c>
      <c r="D2140" s="1" t="str">
        <f>"00875"</f>
        <v>00875</v>
      </c>
      <c r="E2140" s="1" t="s">
        <v>2233</v>
      </c>
      <c r="F2140" s="1">
        <v>12</v>
      </c>
      <c r="G2140" s="1">
        <v>5</v>
      </c>
      <c r="H2140" s="1">
        <v>2</v>
      </c>
      <c r="I2140" s="1" t="s">
        <v>2229</v>
      </c>
      <c r="K2140" s="1" t="str">
        <f t="shared" si="134"/>
        <v>ㄆ</v>
      </c>
      <c r="L2140" s="1" t="str">
        <f t="shared" si="135"/>
        <v>ㄧ</v>
      </c>
      <c r="M2140" s="1" t="str">
        <f t="shared" si="137"/>
        <v>ㄝ</v>
      </c>
      <c r="P2140" s="1" t="s">
        <v>20</v>
      </c>
      <c r="R2140" s="1" t="s">
        <v>2230</v>
      </c>
      <c r="V2140" s="1" t="s">
        <v>2234</v>
      </c>
      <c r="W2140" s="1" t="s">
        <v>2235</v>
      </c>
      <c r="AR2140" s="1" t="str">
        <f t="shared" si="136"/>
        <v>| [ㄆㄧㄝ](ㄆㄧㄝ.md) | [覕](覕.md) |  | piē | [動]
迅速的看一眼。通「瞥」。《莊子．徐无鬼》：「是以一人之斷制利天下，譬之猶一覕也。」 |</v>
      </c>
    </row>
    <row r="2141" spans="1:44" hidden="1">
      <c r="A2141" s="1" t="s">
        <v>2220</v>
      </c>
      <c r="C2141" s="1">
        <v>1</v>
      </c>
      <c r="D2141" s="1" t="str">
        <f>"00876"</f>
        <v>00876</v>
      </c>
      <c r="E2141" s="1" t="s">
        <v>129</v>
      </c>
      <c r="F2141" s="1">
        <v>14</v>
      </c>
      <c r="G2141" s="1">
        <v>11</v>
      </c>
      <c r="H2141" s="1">
        <v>2</v>
      </c>
      <c r="I2141" s="1" t="s">
        <v>2229</v>
      </c>
      <c r="K2141" s="1" t="str">
        <f t="shared" si="134"/>
        <v>ㄆ</v>
      </c>
      <c r="L2141" s="1" t="str">
        <f t="shared" si="135"/>
        <v>ㄧ</v>
      </c>
      <c r="M2141" s="1" t="str">
        <f t="shared" si="137"/>
        <v>ㄝ</v>
      </c>
      <c r="P2141" s="1" t="s">
        <v>20</v>
      </c>
      <c r="R2141" s="1" t="s">
        <v>2230</v>
      </c>
      <c r="V2141" s="1" t="s">
        <v>2236</v>
      </c>
      <c r="W2141" s="1" t="s">
        <v>2237</v>
      </c>
      <c r="AR2141" s="1" t="str">
        <f t="shared" si="136"/>
        <v>| [ㄆㄧㄝ](ㄆㄧㄝ.md) | [潎](潎.md) |  | piē | [形]
潎洌：形容水勢相沖激的樣子。《文選．司馬相如．上林賦》：「橫流逆折，轉騰潎洌。」 |</v>
      </c>
    </row>
    <row r="2142" spans="1:44" hidden="1">
      <c r="A2142" s="1" t="s">
        <v>2238</v>
      </c>
      <c r="C2142" s="1">
        <v>1</v>
      </c>
      <c r="D2142" s="1" t="str">
        <f>"00877"</f>
        <v>00877</v>
      </c>
      <c r="E2142" s="1" t="s">
        <v>24</v>
      </c>
      <c r="F2142" s="1">
        <v>14</v>
      </c>
      <c r="G2142" s="1">
        <v>11</v>
      </c>
      <c r="H2142" s="1">
        <v>1</v>
      </c>
      <c r="I2142" s="1" t="s">
        <v>2229</v>
      </c>
      <c r="K2142" s="1" t="str">
        <f t="shared" si="134"/>
        <v>ㄆ</v>
      </c>
      <c r="L2142" s="1" t="str">
        <f t="shared" si="135"/>
        <v>ㄧ</v>
      </c>
      <c r="M2142" s="1" t="str">
        <f t="shared" si="137"/>
        <v>ㄝ</v>
      </c>
      <c r="P2142" s="1" t="s">
        <v>20</v>
      </c>
      <c r="R2142" s="1" t="s">
        <v>2230</v>
      </c>
      <c r="V2142" s="1" t="s">
        <v>2239</v>
      </c>
      <c r="W2142" s="1" t="s">
        <v>2240</v>
      </c>
      <c r="AR2142" s="1" t="str">
        <f t="shared" si="136"/>
        <v>| [ㄆㄧㄝ](ㄆㄧㄝ.md) | [撇](撇.md) |  | piē | [動]_x000D_
1.不顧、拋棄。如：「撇開了家」、「撇在一邊」。《西遊記》第四回：「原來悟空觔斗雲，比眾不同，十分快疾，把個金星撇在腦後，先至南天門外。」明．湯顯祖《牡丹亭》第三二齣：「你秀才郎為客偏情絕，料不是虛脾把盟誓撇。」_x000D_
2.拂拭。《史記．卷七四．孟子荀卿列傳．孟軻》：「適趙，平原君側行撇席；如燕，昭王擁彗先驅。」漢．王襃〈洞簫賦〉：「愴然累欷，撇涕抆淚。」_x000D_
3.丟、甩落。《警世通言．卷一一．蘇知縣羅衫再合》：「徐用道：『哥哥撇下手中兇器，兄弟方好放手。』」《紅樓夢》第六二回：「彩雲賭氣一頓包起來，乘人不見時，來至園中，都撇在河內，順水沉的沉、漂的漂了。」_x000D_
4.由液體表面刮舀出來。如：「撇泡沫」。唐．劉言史〈與孟郊洛北野泉上煎茶〉詩：「敲石取鮮火，撇泉避腥鱗。」清．李光庭《鄉言解頤．卷五．物部下．開門七事》：「沉了一船芝麻，水面上撇油花，棄大而見小也。」_x000D_
5.違背、違拗。《水滸傳》第二回：「倘或留住在家中，倒惹得孩兒們不學好了。待不收留他，又撇不過柳大郎面皮。」 |</v>
      </c>
    </row>
    <row r="2143" spans="1:44" hidden="1">
      <c r="A2143" s="1" t="s">
        <v>2241</v>
      </c>
      <c r="C2143" s="1">
        <v>1</v>
      </c>
      <c r="D2143" s="1" t="str">
        <f>"00878"</f>
        <v>00878</v>
      </c>
      <c r="E2143" s="1" t="s">
        <v>1015</v>
      </c>
      <c r="F2143" s="1">
        <v>16</v>
      </c>
      <c r="G2143" s="1">
        <v>11</v>
      </c>
      <c r="H2143" s="1">
        <v>0</v>
      </c>
      <c r="I2143" s="1" t="s">
        <v>2229</v>
      </c>
      <c r="K2143" s="1" t="str">
        <f t="shared" si="134"/>
        <v>ㄆ</v>
      </c>
      <c r="L2143" s="1" t="str">
        <f t="shared" si="135"/>
        <v>ㄧ</v>
      </c>
      <c r="M2143" s="1" t="str">
        <f t="shared" si="137"/>
        <v>ㄝ</v>
      </c>
      <c r="P2143" s="1" t="s">
        <v>20</v>
      </c>
      <c r="R2143" s="1" t="s">
        <v>2230</v>
      </c>
      <c r="V2143" s="1" t="s">
        <v>2242</v>
      </c>
      <c r="AR2143" s="1" t="str">
        <f t="shared" si="136"/>
        <v>| [ㄆㄧㄝ](ㄆㄧㄝ.md) | [瞥](瞥.md) |  | piē | [動]
眼光掠過、很快的看一下。如：「匆匆一瞥」、「瞥了他一眼」。《梁書．卷三十三．王筠傳》：「雖偶見瞥觀，皆即疏記。」明．湯顯祖《牡丹亭》第五四齣：「聲息兒恁怔忡，把門兒偷瞥。」
[形]
快速的、突然的。如：「瞥地」、「瞥然」。 |</v>
      </c>
    </row>
    <row r="2144" spans="1:44" hidden="1">
      <c r="A2144" s="1" t="s">
        <v>2243</v>
      </c>
      <c r="C2144" s="1">
        <v>1</v>
      </c>
      <c r="D2144" s="1" t="str">
        <f>"00879"</f>
        <v>00879</v>
      </c>
      <c r="E2144" s="1" t="s">
        <v>1663</v>
      </c>
      <c r="F2144" s="1">
        <v>1</v>
      </c>
      <c r="G2144" s="1">
        <v>0</v>
      </c>
      <c r="H2144" s="1">
        <v>0</v>
      </c>
      <c r="I2144" s="1" t="s">
        <v>2244</v>
      </c>
      <c r="K2144" s="1" t="str">
        <f t="shared" si="134"/>
        <v>ㄆ</v>
      </c>
      <c r="L2144" s="1" t="str">
        <f t="shared" si="135"/>
        <v>ㄧ</v>
      </c>
      <c r="M2144" s="1" t="str">
        <f t="shared" si="137"/>
        <v>ㄝ</v>
      </c>
      <c r="P2144" s="1" t="s">
        <v>20</v>
      </c>
      <c r="R2144" s="1" t="s">
        <v>2245</v>
      </c>
      <c r="V2144" s="1" t="s">
        <v>2246</v>
      </c>
      <c r="AR2144" s="1" t="str">
        <f t="shared" si="136"/>
        <v>| [ㄆㄧㄝˇ](ㄆㄧㄝˇ.md) | [丿](丿.md) |  | piě | [名]
1.一左撇的筆畫。
2.二一四部首之一。 |</v>
      </c>
    </row>
    <row r="2145" spans="1:44" hidden="1">
      <c r="A2145" s="1" t="s">
        <v>2238</v>
      </c>
      <c r="C2145" s="1">
        <v>1</v>
      </c>
      <c r="D2145" s="1" t="str">
        <f>"00880"</f>
        <v>00880</v>
      </c>
      <c r="E2145" s="1" t="s">
        <v>24</v>
      </c>
      <c r="F2145" s="1">
        <v>14</v>
      </c>
      <c r="G2145" s="1">
        <v>11</v>
      </c>
      <c r="H2145" s="1">
        <v>2</v>
      </c>
      <c r="I2145" s="1" t="s">
        <v>2244</v>
      </c>
      <c r="K2145" s="1" t="str">
        <f t="shared" si="134"/>
        <v>ㄆ</v>
      </c>
      <c r="L2145" s="1" t="str">
        <f t="shared" si="135"/>
        <v>ㄧ</v>
      </c>
      <c r="M2145" s="1" t="str">
        <f t="shared" si="137"/>
        <v>ㄝ</v>
      </c>
      <c r="P2145" s="1" t="s">
        <v>20</v>
      </c>
      <c r="R2145" s="1" t="s">
        <v>2245</v>
      </c>
      <c r="V2145" s="1" t="s">
        <v>2247</v>
      </c>
      <c r="W2145" s="1" t="s">
        <v>2248</v>
      </c>
      <c r="AR2145" s="1" t="str">
        <f t="shared" si="136"/>
        <v>| [ㄆㄧㄝˇ](ㄆㄧㄝˇ.md) | [撇](撇.md) |  | piě | [名]_x000D_
書法向左斜下的一筆，永字八法中稱為「掠」。如：「點、橫、豎、撇」。《通俗編．數目》：「朱子〈與劉子澄書〉：『聖賢已是八字打開了，人自不領會，卻向外狂走耳。』按：今有『八字不見一撇』之諺，似又因于此語。」清．王夫之〈示姪孫生蕃〉詩：「人字兩撇捺，原與禽字異。」_x000D_
[量]_x000D_
計算撇狀物的單位。如：「兩撇鬍子」。清．馮班《鈍吟雜錄》卷六：「『人』字加三撇是古『升』字。」《官場現形記》第二七回：「那氣色更覺不對了，兩隻手氣得冰冷，兩撇鼠鬚一根根都蹺了起來。」_x000D_
[動]_x000D_
斜向一邊，做出形狀像書法「撇」的動作。《金瓶梅詞話》第八一回：「我莫不胳膊兒往外撇？不如賣弔了是一場事。」《醒世姻緣傳》第三三回：「被他娘變了臉，一手扯將過來，胳膊上扭了兩把，他就撇著嘴待哭。」 |</v>
      </c>
    </row>
    <row r="2146" spans="1:44" hidden="1">
      <c r="A2146" s="1" t="s">
        <v>2249</v>
      </c>
      <c r="C2146" s="1">
        <v>1</v>
      </c>
      <c r="D2146" s="1" t="str">
        <f>"00881"</f>
        <v>00881</v>
      </c>
      <c r="E2146" s="1" t="s">
        <v>534</v>
      </c>
      <c r="F2146" s="1">
        <v>14</v>
      </c>
      <c r="G2146" s="1">
        <v>11</v>
      </c>
      <c r="H2146" s="1">
        <v>0</v>
      </c>
      <c r="I2146" s="1" t="s">
        <v>2250</v>
      </c>
      <c r="K2146" s="1" t="str">
        <f t="shared" si="134"/>
        <v>ㄆ</v>
      </c>
      <c r="L2146" s="1" t="str">
        <f t="shared" si="135"/>
        <v>ㄧ</v>
      </c>
      <c r="M2146" s="1" t="str">
        <f t="shared" si="137"/>
        <v>ㄝ</v>
      </c>
      <c r="P2146" s="1" t="s">
        <v>20</v>
      </c>
      <c r="R2146" s="1" t="s">
        <v>2251</v>
      </c>
      <c r="V2146" s="1" t="s">
        <v>2252</v>
      </c>
      <c r="AR2146" s="1" t="str">
        <f t="shared" si="136"/>
        <v>| [ㄆㄧㄝˋ](ㄆㄧㄝˋ.md) | [嫳](嫳.md) |  | piè | [形]
1.性子急且易怒。《說文解字．女部》：「嫳，易使怒也。」
2.輕薄的樣子。《廣韻．入聲．屑韻》：「嫳，輕薄之貌。」如：「嫳屑」。 |</v>
      </c>
    </row>
    <row r="2147" spans="1:44" hidden="1">
      <c r="A2147" s="1" t="s">
        <v>2253</v>
      </c>
      <c r="C2147" s="1">
        <v>1</v>
      </c>
      <c r="D2147" s="1" t="str">
        <f>"00882"</f>
        <v>00882</v>
      </c>
      <c r="E2147" s="1" t="s">
        <v>825</v>
      </c>
      <c r="F2147" s="1">
        <v>11</v>
      </c>
      <c r="G2147" s="1">
        <v>6</v>
      </c>
      <c r="H2147" s="1">
        <v>2</v>
      </c>
      <c r="I2147" s="1" t="s">
        <v>2254</v>
      </c>
      <c r="K2147" s="1" t="str">
        <f t="shared" si="134"/>
        <v>ㄆ</v>
      </c>
      <c r="L2147" s="1" t="str">
        <f t="shared" si="135"/>
        <v>ㄧ</v>
      </c>
      <c r="M2147" s="1" t="str">
        <f t="shared" si="137"/>
        <v>ㄠ</v>
      </c>
      <c r="P2147" s="1" t="s">
        <v>20</v>
      </c>
      <c r="R2147" s="1" t="s">
        <v>2255</v>
      </c>
      <c r="V2147" s="1" t="s">
        <v>2256</v>
      </c>
      <c r="W2147" s="1" t="s">
        <v>2257</v>
      </c>
      <c r="AR2147" s="1" t="str">
        <f t="shared" si="136"/>
        <v>| [ㄆㄧㄠ](ㄆㄧㄠ.md) | [票](票.md) |  | piāo | [形]
矯捷。通「嫖」(二)。如：「票姚」。 |</v>
      </c>
    </row>
    <row r="2148" spans="1:44" hidden="1">
      <c r="A2148" s="1" t="s">
        <v>2258</v>
      </c>
      <c r="C2148" s="1">
        <v>1</v>
      </c>
      <c r="D2148" s="1" t="str">
        <f>"00883"</f>
        <v>00883</v>
      </c>
      <c r="E2148" s="1" t="s">
        <v>114</v>
      </c>
      <c r="F2148" s="1">
        <v>13</v>
      </c>
      <c r="G2148" s="1">
        <v>11</v>
      </c>
      <c r="H2148" s="1">
        <v>2</v>
      </c>
      <c r="I2148" s="1" t="s">
        <v>2254</v>
      </c>
      <c r="K2148" s="1" t="str">
        <f t="shared" si="134"/>
        <v>ㄆ</v>
      </c>
      <c r="L2148" s="1" t="str">
        <f t="shared" si="135"/>
        <v>ㄧ</v>
      </c>
      <c r="M2148" s="1" t="str">
        <f t="shared" si="137"/>
        <v>ㄠ</v>
      </c>
      <c r="P2148" s="1" t="s">
        <v>110</v>
      </c>
      <c r="R2148" s="1" t="s">
        <v>2255</v>
      </c>
      <c r="V2148" s="1" t="s">
        <v>111</v>
      </c>
      <c r="W2148" s="1" t="s">
        <v>2259</v>
      </c>
      <c r="AR2148" s="1" t="str">
        <f t="shared" si="136"/>
        <v>| [ㄆㄧㄠ](ㄆㄧㄠ.md) | [僄](僄.md) |  | piāo | (一)之又音。 |</v>
      </c>
    </row>
    <row r="2149" spans="1:44" hidden="1">
      <c r="A2149" s="1" t="s">
        <v>2260</v>
      </c>
      <c r="C2149" s="1">
        <v>1</v>
      </c>
      <c r="D2149" s="1" t="str">
        <f>"00884"</f>
        <v>00884</v>
      </c>
      <c r="E2149" s="1" t="s">
        <v>129</v>
      </c>
      <c r="F2149" s="1">
        <v>14</v>
      </c>
      <c r="G2149" s="1">
        <v>11</v>
      </c>
      <c r="H2149" s="1">
        <v>1</v>
      </c>
      <c r="I2149" s="1" t="s">
        <v>2254</v>
      </c>
      <c r="K2149" s="1" t="str">
        <f t="shared" si="134"/>
        <v>ㄆ</v>
      </c>
      <c r="L2149" s="1" t="str">
        <f t="shared" si="135"/>
        <v>ㄧ</v>
      </c>
      <c r="M2149" s="1" t="str">
        <f t="shared" si="137"/>
        <v>ㄠ</v>
      </c>
      <c r="P2149" s="1" t="s">
        <v>20</v>
      </c>
      <c r="R2149" s="1" t="s">
        <v>2255</v>
      </c>
      <c r="V2149" s="1" t="s">
        <v>2261</v>
      </c>
      <c r="W2149" s="1" t="s">
        <v>2262</v>
      </c>
      <c r="AR2149" s="1" t="str">
        <f t="shared" si="136"/>
        <v>| [ㄆㄧㄠ](ㄆㄧㄠ.md) | [漂](漂.md) |  | piāo | [動]
1.浮在液體面上，呈靜止狀態或隨水流方向而動。如：「漂浮」、「漂流」、「漂動」。《史記．卷六．秦始皇本紀》：「伏尸百萬，流血漂鹵。」
2.吹動、隨風而動。通「飄」。《管子．形勢》：「風，漂物者也。風之所漂，不避貴賤美惡。」《宋書．卷五〇．列傳．胡藩》：「至河東，暴風漂藩重艦渡北岸，索虜牽得此艦，取其器物。」
3.泛指流浪、居無定所或移動不定。同「飄」。如：「漂泊」、「北漂青年」。漢．王襃〈洞簫賦〉：「頹唐遂往，長辭遠逝，漂不還兮。」唐．杜甫〈送高司直尋封閬州〉詩：「伏枕聞別離，疇能忍漂寓。」 |</v>
      </c>
    </row>
    <row r="2150" spans="1:44" hidden="1">
      <c r="A2150" s="1" t="s">
        <v>2263</v>
      </c>
      <c r="C2150" s="1">
        <v>1</v>
      </c>
      <c r="D2150" s="1" t="str">
        <f>"00885"</f>
        <v>00885</v>
      </c>
      <c r="E2150" s="1" t="s">
        <v>1335</v>
      </c>
      <c r="F2150" s="1">
        <v>14</v>
      </c>
      <c r="G2150" s="1">
        <v>11</v>
      </c>
      <c r="H2150" s="1">
        <v>0</v>
      </c>
      <c r="I2150" s="1" t="s">
        <v>2254</v>
      </c>
      <c r="K2150" s="1" t="str">
        <f t="shared" si="134"/>
        <v>ㄆ</v>
      </c>
      <c r="L2150" s="1" t="str">
        <f t="shared" si="135"/>
        <v>ㄧ</v>
      </c>
      <c r="M2150" s="1" t="str">
        <f t="shared" si="137"/>
        <v>ㄠ</v>
      </c>
      <c r="P2150" s="1" t="s">
        <v>20</v>
      </c>
      <c r="R2150" s="1" t="s">
        <v>2255</v>
      </c>
      <c r="V2150" s="1" t="s">
        <v>2264</v>
      </c>
      <c r="AR2150" s="1" t="str">
        <f t="shared" si="136"/>
        <v>| [ㄆㄧㄠ](ㄆㄧㄠ.md) | [彯](彯.md) |  | piāo | [名]
帶子。唐．張濛〈鎮國軍節度使李公功德頌．序〉：「乃剔鑊鼓為兵，撤氈彯為甲。」
[動]
1.飄。《文選．木華．海賦》：「彯沙礐石。」
2.棄。《文選．袁淑．效曹子建樂府白馬篇》：「彯節去函谷，投珮出甘泉。」 |</v>
      </c>
    </row>
    <row r="2151" spans="1:44" hidden="1">
      <c r="A2151" s="1" t="s">
        <v>2265</v>
      </c>
      <c r="C2151" s="1">
        <v>1</v>
      </c>
      <c r="D2151" s="1" t="str">
        <f>"00886"</f>
        <v>00886</v>
      </c>
      <c r="E2151" s="1" t="s">
        <v>28</v>
      </c>
      <c r="F2151" s="1">
        <v>14</v>
      </c>
      <c r="G2151" s="1">
        <v>11</v>
      </c>
      <c r="H2151" s="1">
        <v>0</v>
      </c>
      <c r="I2151" s="1" t="s">
        <v>2254</v>
      </c>
      <c r="K2151" s="1" t="str">
        <f t="shared" si="134"/>
        <v>ㄆ</v>
      </c>
      <c r="L2151" s="1" t="str">
        <f t="shared" si="135"/>
        <v>ㄧ</v>
      </c>
      <c r="M2151" s="1" t="str">
        <f t="shared" si="137"/>
        <v>ㄠ</v>
      </c>
      <c r="P2151" s="1" t="s">
        <v>20</v>
      </c>
      <c r="R2151" s="1" t="s">
        <v>2255</v>
      </c>
      <c r="V2151" s="1" t="s">
        <v>2266</v>
      </c>
      <c r="AR2151" s="1" t="str">
        <f t="shared" si="136"/>
        <v>| [ㄆㄧㄠ](ㄆㄧㄠ.md) | [嘌](嘌.md) |  | piāo | [形]
疾速。《詩經．檜風．匪風》：「匪風飄兮，匪車嘌兮。」
[動]
說。明．湯顯祖《牡丹亭》第一四齣：「教他有人問著休胡嘌！」 |</v>
      </c>
    </row>
    <row r="2152" spans="1:44" hidden="1">
      <c r="A2152" s="1" t="s">
        <v>2267</v>
      </c>
      <c r="C2152" s="1">
        <v>1</v>
      </c>
      <c r="D2152" s="1" t="str">
        <f>"00887"</f>
        <v>00887</v>
      </c>
      <c r="E2152" s="1" t="s">
        <v>534</v>
      </c>
      <c r="F2152" s="1">
        <v>14</v>
      </c>
      <c r="G2152" s="1">
        <v>11</v>
      </c>
      <c r="H2152" s="1">
        <v>2</v>
      </c>
      <c r="I2152" s="1" t="s">
        <v>2254</v>
      </c>
      <c r="K2152" s="1" t="str">
        <f t="shared" si="134"/>
        <v>ㄆ</v>
      </c>
      <c r="L2152" s="1" t="str">
        <f t="shared" si="135"/>
        <v>ㄧ</v>
      </c>
      <c r="M2152" s="1" t="str">
        <f t="shared" si="137"/>
        <v>ㄠ</v>
      </c>
      <c r="P2152" s="1" t="s">
        <v>20</v>
      </c>
      <c r="R2152" s="1" t="s">
        <v>2255</v>
      </c>
      <c r="V2152" s="1" t="s">
        <v>2268</v>
      </c>
      <c r="W2152" s="1" t="s">
        <v>2269</v>
      </c>
      <c r="AR2152" s="1" t="str">
        <f t="shared" si="136"/>
        <v>| [ㄆㄧㄠ](ㄆㄧㄠ.md) | [嫖](嫖.md) |  | piāo | [形]
矯捷、輕捷。如：「嫖疾」。唐．李元紘〈綠墀怨〉詩：「征馬噪金珂，嫖姚向北河。」 |</v>
      </c>
    </row>
    <row r="2153" spans="1:44" hidden="1">
      <c r="A2153" s="1" t="s">
        <v>2270</v>
      </c>
      <c r="C2153" s="1">
        <v>1</v>
      </c>
      <c r="D2153" s="1" t="str">
        <f>"00888"</f>
        <v>00888</v>
      </c>
      <c r="E2153" s="1" t="s">
        <v>2271</v>
      </c>
      <c r="F2153" s="1">
        <v>17</v>
      </c>
      <c r="G2153" s="1">
        <v>11</v>
      </c>
      <c r="H2153" s="1">
        <v>0</v>
      </c>
      <c r="I2153" s="1" t="s">
        <v>2254</v>
      </c>
      <c r="K2153" s="1" t="str">
        <f t="shared" si="134"/>
        <v>ㄆ</v>
      </c>
      <c r="L2153" s="1" t="str">
        <f t="shared" si="135"/>
        <v>ㄧ</v>
      </c>
      <c r="M2153" s="1" t="str">
        <f t="shared" si="137"/>
        <v>ㄠ</v>
      </c>
      <c r="P2153" s="1" t="s">
        <v>20</v>
      </c>
      <c r="R2153" s="1" t="s">
        <v>2255</v>
      </c>
      <c r="V2153" s="1" t="s">
        <v>2272</v>
      </c>
      <c r="AR2153" s="1" t="str">
        <f t="shared" si="136"/>
        <v>| [ㄆㄧㄠ](ㄆㄧㄠ.md) | [翲](翲.md) |  | piāo | [動]
高飛。《廣韻．平聲．宵韻》：「翲，高飛。」
[形]
輕。唐．柳宗元〈鞭賈〉：「舉之翲然若揮虛焉。」 |</v>
      </c>
    </row>
    <row r="2154" spans="1:44" hidden="1">
      <c r="A2154" s="1" t="s">
        <v>2273</v>
      </c>
      <c r="C2154" s="1">
        <v>1</v>
      </c>
      <c r="D2154" s="1" t="str">
        <f>"00889"</f>
        <v>00889</v>
      </c>
      <c r="E2154" s="1" t="s">
        <v>679</v>
      </c>
      <c r="F2154" s="1">
        <v>17</v>
      </c>
      <c r="G2154" s="1">
        <v>11</v>
      </c>
      <c r="H2154" s="1">
        <v>0</v>
      </c>
      <c r="I2154" s="1" t="s">
        <v>2254</v>
      </c>
      <c r="K2154" s="1" t="str">
        <f t="shared" si="134"/>
        <v>ㄆ</v>
      </c>
      <c r="L2154" s="1" t="str">
        <f t="shared" si="135"/>
        <v>ㄧ</v>
      </c>
      <c r="M2154" s="1" t="str">
        <f t="shared" si="137"/>
        <v>ㄠ</v>
      </c>
      <c r="P2154" s="1" t="s">
        <v>20</v>
      </c>
      <c r="R2154" s="1" t="s">
        <v>2255</v>
      </c>
      <c r="V2154" s="1" t="s">
        <v>2274</v>
      </c>
      <c r="AR2154" s="1" t="str">
        <f t="shared" si="136"/>
        <v>| [ㄆㄧㄠ](ㄆㄧㄠ.md) | [螵](螵.md) |  | piāo | 參見「螵蛸」條。 |</v>
      </c>
    </row>
    <row r="2155" spans="1:44" hidden="1">
      <c r="A2155" s="1" t="s">
        <v>2275</v>
      </c>
      <c r="C2155" s="1">
        <v>1</v>
      </c>
      <c r="D2155" s="1" t="str">
        <f>"00890"</f>
        <v>00890</v>
      </c>
      <c r="E2155" s="1" t="s">
        <v>1161</v>
      </c>
      <c r="F2155" s="1">
        <v>20</v>
      </c>
      <c r="G2155" s="1">
        <v>11</v>
      </c>
      <c r="H2155" s="1">
        <v>0</v>
      </c>
      <c r="I2155" s="1" t="s">
        <v>2254</v>
      </c>
      <c r="K2155" s="1" t="str">
        <f t="shared" si="134"/>
        <v>ㄆ</v>
      </c>
      <c r="L2155" s="1" t="str">
        <f t="shared" si="135"/>
        <v>ㄧ</v>
      </c>
      <c r="M2155" s="1" t="str">
        <f t="shared" si="137"/>
        <v>ㄠ</v>
      </c>
      <c r="P2155" s="1" t="s">
        <v>20</v>
      </c>
      <c r="R2155" s="1" t="s">
        <v>2255</v>
      </c>
      <c r="V2155" s="1" t="s">
        <v>2276</v>
      </c>
      <c r="AR2155" s="1" t="str">
        <f t="shared" si="136"/>
        <v>| [ㄆㄧㄠ](ㄆㄧㄠ.md) | [飄](飄.md) |  | piāo | [名]
1.旋風。參見「飄風」條。
2.書名。美國作家宓西爾的小說名著《Gone with the Wind》的中文譯名。以美國南北戰爭為背景，透過女主角郝思嘉的感情事件，穿插種族間的矛盾糾葛，頗能反映當時社會狀況。西元一九三九年拍成同名電影，中文譯名改為「亂世佳人」。
[動]
1.隨風擺動或飛揚。如：「飄動」、「飄揚」、「旗正飄飄」。隋．楊廣〈宴東堂〉詩：「清音出歌扇，浮香飄舞衣。」
2.隨風吹送。如：「飄香」。唐．白居易〈長恨歌〉：「驪宮高處入青雲，仙樂風飄處處聞。」
3.吹起來。唐．白居易〈落花〉詩：「桃飄火燄燄，梨墮雪漠漠」宋．姜夔〈昔遊〉詩：「疾風吹大片，忽若亂飄瓦。」
4.泛指流浪、居無定所或移動不定。同「漂」。 如：「飄泊」、「飄盪」。唐．韓愈〈祭河南張員外文〉：「我落陽山，以尹鼯猱；君飄臨武，山林之牢。」明．高啟〈施君眠雲堂〉詩：「浩然身欲飄，若乘無倪舟；朝至乎帝郷，夕返乎仙洲。」 |</v>
      </c>
    </row>
    <row r="2156" spans="1:44" hidden="1">
      <c r="A2156" s="1" t="s">
        <v>1605</v>
      </c>
      <c r="C2156" s="1">
        <v>1</v>
      </c>
      <c r="D2156" s="1" t="str">
        <f>"00890A"</f>
        <v>00890A</v>
      </c>
      <c r="E2156" s="1" t="s">
        <v>139</v>
      </c>
      <c r="F2156" s="1">
        <v>6</v>
      </c>
      <c r="G2156" s="1">
        <v>2</v>
      </c>
      <c r="H2156" s="1">
        <v>3</v>
      </c>
      <c r="I2156" s="1" t="s">
        <v>2277</v>
      </c>
      <c r="K2156" s="1" t="str">
        <f t="shared" si="134"/>
        <v>ㄆ</v>
      </c>
      <c r="L2156" s="1" t="str">
        <f t="shared" si="135"/>
        <v>ㄧ</v>
      </c>
      <c r="M2156" s="1" t="str">
        <f t="shared" si="137"/>
        <v>ㄠ</v>
      </c>
      <c r="P2156" s="1" t="s">
        <v>20</v>
      </c>
      <c r="R2156" s="1" t="s">
        <v>2278</v>
      </c>
      <c r="V2156" s="1" t="s">
        <v>2279</v>
      </c>
      <c r="W2156" s="1" t="s">
        <v>2280</v>
      </c>
      <c r="AR2156" s="1" t="str">
        <f t="shared" si="136"/>
        <v>| [ㄆㄧㄠˊ](ㄆㄧㄠˊ.md) | [朴](朴.md) |  | piáo | [名]
姓。 |</v>
      </c>
    </row>
    <row r="2157" spans="1:44" hidden="1">
      <c r="A2157" s="1" t="s">
        <v>2267</v>
      </c>
      <c r="C2157" s="1">
        <v>1</v>
      </c>
      <c r="D2157" s="1" t="str">
        <f>"00891"</f>
        <v>00891</v>
      </c>
      <c r="E2157" s="1" t="s">
        <v>534</v>
      </c>
      <c r="F2157" s="1">
        <v>14</v>
      </c>
      <c r="G2157" s="1">
        <v>11</v>
      </c>
      <c r="H2157" s="1">
        <v>1</v>
      </c>
      <c r="I2157" s="1" t="s">
        <v>2277</v>
      </c>
      <c r="K2157" s="1" t="str">
        <f t="shared" si="134"/>
        <v>ㄆ</v>
      </c>
      <c r="L2157" s="1" t="str">
        <f t="shared" si="135"/>
        <v>ㄧ</v>
      </c>
      <c r="M2157" s="1" t="str">
        <f t="shared" si="137"/>
        <v>ㄠ</v>
      </c>
      <c r="P2157" s="1" t="s">
        <v>20</v>
      </c>
      <c r="R2157" s="1" t="s">
        <v>2278</v>
      </c>
      <c r="V2157" s="1" t="s">
        <v>2281</v>
      </c>
      <c r="W2157" s="1" t="s">
        <v>2282</v>
      </c>
      <c r="AR2157" s="1" t="str">
        <f t="shared" si="136"/>
        <v>| [ㄆㄧㄠˊ](ㄆㄧㄠˊ.md) | [嫖](嫖.md) |  | piáo | [動]_x000D_
到特定場所進行性交易。如：「吃喝嫖賭」。《文明小史》第二三回：「我們又不是真正嫖婊子，不過叫幾個局，擺檯把酒，聚聚幾個同志。」 |</v>
      </c>
    </row>
    <row r="2158" spans="1:44" hidden="1">
      <c r="A2158" s="1" t="s">
        <v>2283</v>
      </c>
      <c r="C2158" s="1">
        <v>1</v>
      </c>
      <c r="D2158" s="1" t="str">
        <f>"00892"</f>
        <v>00892</v>
      </c>
      <c r="E2158" s="1" t="s">
        <v>238</v>
      </c>
      <c r="F2158" s="1">
        <v>16</v>
      </c>
      <c r="G2158" s="1">
        <v>11</v>
      </c>
      <c r="H2158" s="1">
        <v>0</v>
      </c>
      <c r="I2158" s="1" t="s">
        <v>2277</v>
      </c>
      <c r="K2158" s="1" t="str">
        <f t="shared" si="134"/>
        <v>ㄆ</v>
      </c>
      <c r="L2158" s="1" t="str">
        <f t="shared" si="135"/>
        <v>ㄧ</v>
      </c>
      <c r="M2158" s="1" t="str">
        <f t="shared" si="137"/>
        <v>ㄠ</v>
      </c>
      <c r="P2158" s="1" t="s">
        <v>20</v>
      </c>
      <c r="R2158" s="1" t="s">
        <v>2278</v>
      </c>
      <c r="V2158" s="1" t="s">
        <v>2284</v>
      </c>
      <c r="AR2158" s="1" t="str">
        <f t="shared" si="136"/>
        <v>| [ㄆㄧㄠˊ](ㄆㄧㄠˊ.md) | [瓢](瓢.md) |  | piáo | [名]
1.用來舀取水酒等物的勺子。傳統多以葫蘆或木頭製成。如：「酒瓢」、「湯瓢」。唐．元結〈石魚湖上醉歌〉：「我持長瓢坐巴丘，酌飲四座以散愁。」
2.量詞。計算瓢裝物的單位。《論語．雍也》：「一簞食，一瓢飲。」唐．許渾〈秋日赴闕題潼關驛樓〉詩：「紅葉晚蕭蕭，長亭酒一瓢。」 |</v>
      </c>
    </row>
    <row r="2159" spans="1:44" hidden="1">
      <c r="A2159" s="1" t="s">
        <v>2285</v>
      </c>
      <c r="C2159" s="1">
        <v>1</v>
      </c>
      <c r="D2159" s="1" t="str">
        <f>"00893"</f>
        <v>00893</v>
      </c>
      <c r="E2159" s="1" t="s">
        <v>1372</v>
      </c>
      <c r="F2159" s="1">
        <v>11</v>
      </c>
      <c r="G2159" s="1">
        <v>7</v>
      </c>
      <c r="H2159" s="1">
        <v>0</v>
      </c>
      <c r="I2159" s="1" t="s">
        <v>2286</v>
      </c>
      <c r="K2159" s="1" t="str">
        <f t="shared" si="134"/>
        <v>ㄆ</v>
      </c>
      <c r="L2159" s="1" t="str">
        <f t="shared" si="135"/>
        <v>ㄧ</v>
      </c>
      <c r="M2159" s="1" t="str">
        <f t="shared" ref="M2159:M2190" si="138">MID(I2159, 3, 1)</f>
        <v>ㄠ</v>
      </c>
      <c r="P2159" s="1" t="s">
        <v>20</v>
      </c>
      <c r="R2159" s="1" t="s">
        <v>2287</v>
      </c>
      <c r="V2159" s="1" t="s">
        <v>2288</v>
      </c>
      <c r="AR2159" s="1" t="str">
        <f t="shared" si="136"/>
        <v>| [ㄆㄧㄠˇ](ㄆㄧㄠˇ.md) | [殍](殍.md) |  | piǎo | [動]
餓死於路上。《玉篇．歹部》：「殍，餓死也。」《資治通鑑．卷八九．晉紀十一．愍帝建興四年》：「河東平陽大蝗，民流殍者什五六。」
[名]
餓死的人。《孟子．盡心下》：「君子用其一緩其二，用其二而民有殍，用其三而父子離。」漢．桓寬《鹽鐵論．水早》：「孟子曰：『野有餓殍。』」 |</v>
      </c>
    </row>
    <row r="2160" spans="1:44" hidden="1">
      <c r="A2160" s="1" t="s">
        <v>2289</v>
      </c>
      <c r="C2160" s="1">
        <v>1</v>
      </c>
      <c r="D2160" s="1" t="str">
        <f>"00894"</f>
        <v>00894</v>
      </c>
      <c r="E2160" s="1" t="s">
        <v>37</v>
      </c>
      <c r="F2160" s="1">
        <v>11</v>
      </c>
      <c r="G2160" s="1">
        <v>7</v>
      </c>
      <c r="H2160" s="1">
        <v>2</v>
      </c>
      <c r="I2160" s="1" t="s">
        <v>2286</v>
      </c>
      <c r="K2160" s="1" t="str">
        <f t="shared" si="134"/>
        <v>ㄆ</v>
      </c>
      <c r="L2160" s="1" t="str">
        <f t="shared" si="135"/>
        <v>ㄧ</v>
      </c>
      <c r="M2160" s="1" t="str">
        <f t="shared" si="138"/>
        <v>ㄠ</v>
      </c>
      <c r="P2160" s="1" t="s">
        <v>20</v>
      </c>
      <c r="R2160" s="1" t="s">
        <v>2287</v>
      </c>
      <c r="V2160" s="1" t="s">
        <v>2290</v>
      </c>
      <c r="W2160" s="1" t="s">
        <v>2291</v>
      </c>
      <c r="AR2160" s="1" t="str">
        <f t="shared" si="136"/>
        <v>| [ㄆㄧㄠˇ](ㄆㄧㄠˇ.md) | [莩](莩.md) |  | piǎo | [名]
餓死的人。通「殍」。《孟子．梁惠王上》：「民有飢色，野有餓莩。」 |</v>
      </c>
    </row>
    <row r="2161" spans="1:44" hidden="1">
      <c r="A2161" s="1" t="s">
        <v>2260</v>
      </c>
      <c r="C2161" s="1">
        <v>1</v>
      </c>
      <c r="D2161" s="1" t="str">
        <f>"00895"</f>
        <v>00895</v>
      </c>
      <c r="E2161" s="1" t="s">
        <v>129</v>
      </c>
      <c r="F2161" s="1">
        <v>14</v>
      </c>
      <c r="G2161" s="1">
        <v>11</v>
      </c>
      <c r="H2161" s="1">
        <v>2</v>
      </c>
      <c r="I2161" s="1" t="s">
        <v>2286</v>
      </c>
      <c r="K2161" s="1" t="str">
        <f t="shared" si="134"/>
        <v>ㄆ</v>
      </c>
      <c r="L2161" s="1" t="str">
        <f t="shared" si="135"/>
        <v>ㄧ</v>
      </c>
      <c r="M2161" s="1" t="str">
        <f t="shared" si="138"/>
        <v>ㄠ</v>
      </c>
      <c r="P2161" s="1" t="s">
        <v>20</v>
      </c>
      <c r="R2161" s="1" t="s">
        <v>2287</v>
      </c>
      <c r="V2161" s="1" t="s">
        <v>2292</v>
      </c>
      <c r="W2161" s="1" t="s">
        <v>2293</v>
      </c>
      <c r="AR2161" s="1" t="str">
        <f t="shared" si="136"/>
        <v>| [ㄆㄧㄠˇ](ㄆㄧㄠˇ.md) | [漂](漂.md) |  | piǎo | [動]
1.用水沖洗。《史記．卷九二．淮陰侯列傳》：「信釣於城下，諸母漂，有一母見信飢，飯信，竟漂數十日。」裴駰集解引韋昭曰：「以水擊絮為漂。」
2.用水加上化學藥劑，而使物品變得潔白。如：「漂白」、「漂染」。
3.中醫將某些藥材用流水或以經常換水方式浸漂，以除去其毒性、雜質、腥味等。如：「漂朱砂」。 |</v>
      </c>
    </row>
    <row r="2162" spans="1:44" hidden="1">
      <c r="A2162" s="1" t="s">
        <v>1170</v>
      </c>
      <c r="C2162" s="1">
        <v>1</v>
      </c>
      <c r="D2162" s="1" t="str">
        <f>"00896"</f>
        <v>00896</v>
      </c>
      <c r="E2162" s="1" t="s">
        <v>24</v>
      </c>
      <c r="F2162" s="1">
        <v>14</v>
      </c>
      <c r="G2162" s="1">
        <v>11</v>
      </c>
      <c r="H2162" s="1">
        <v>2</v>
      </c>
      <c r="I2162" s="1" t="s">
        <v>2286</v>
      </c>
      <c r="K2162" s="1" t="str">
        <f t="shared" si="134"/>
        <v>ㄆ</v>
      </c>
      <c r="L2162" s="1" t="str">
        <f t="shared" si="135"/>
        <v>ㄧ</v>
      </c>
      <c r="M2162" s="1" t="str">
        <f t="shared" si="138"/>
        <v>ㄠ</v>
      </c>
      <c r="P2162" s="1" t="s">
        <v>20</v>
      </c>
      <c r="R2162" s="1" t="s">
        <v>2287</v>
      </c>
      <c r="V2162" s="1" t="s">
        <v>2294</v>
      </c>
      <c r="W2162" s="1" t="s">
        <v>2295</v>
      </c>
      <c r="AR2162" s="1" t="str">
        <f t="shared" si="136"/>
        <v>| [ㄆㄧㄠˇ](ㄆㄧㄠˇ.md) | [摽](摽.md) |  | piǎo | [動]
落下。《詩經．召南．摽有梅》：「摽有梅，其實七兮。」《聊齋志異．卷一〇．胭脂》：「怨摽梅而思吉士，遂離倩女之魂。」 |</v>
      </c>
    </row>
    <row r="2163" spans="1:44" hidden="1">
      <c r="A2163" s="1" t="s">
        <v>1175</v>
      </c>
      <c r="C2163" s="1">
        <v>1</v>
      </c>
      <c r="D2163" s="1" t="str">
        <f>"00897"</f>
        <v>00897</v>
      </c>
      <c r="E2163" s="1" t="s">
        <v>139</v>
      </c>
      <c r="F2163" s="1">
        <v>15</v>
      </c>
      <c r="G2163" s="1">
        <v>11</v>
      </c>
      <c r="H2163" s="1">
        <v>2</v>
      </c>
      <c r="I2163" s="1" t="s">
        <v>2286</v>
      </c>
      <c r="K2163" s="1" t="str">
        <f t="shared" si="134"/>
        <v>ㄆ</v>
      </c>
      <c r="L2163" s="1" t="str">
        <f t="shared" si="135"/>
        <v>ㄧ</v>
      </c>
      <c r="M2163" s="1" t="str">
        <f t="shared" si="138"/>
        <v>ㄠ</v>
      </c>
      <c r="P2163" s="1" t="s">
        <v>20</v>
      </c>
      <c r="R2163" s="1" t="s">
        <v>2287</v>
      </c>
      <c r="V2163" s="1" t="s">
        <v>2296</v>
      </c>
      <c r="W2163" s="1" t="s">
        <v>2297</v>
      </c>
      <c r="AR2163" s="1" t="str">
        <f t="shared" si="136"/>
        <v>| [ㄆㄧㄠˇ](ㄆㄧㄠˇ.md) | [標](標.md) |  | piǎo | [動]
落下。通「摽」。《集韻．去聲．笑韻》：「標，落也。」 |</v>
      </c>
    </row>
    <row r="2164" spans="1:44" hidden="1">
      <c r="A2164" s="1" t="s">
        <v>2298</v>
      </c>
      <c r="C2164" s="1">
        <v>1</v>
      </c>
      <c r="D2164" s="1" t="str">
        <f>"00898"</f>
        <v>00898</v>
      </c>
      <c r="E2164" s="1" t="s">
        <v>1015</v>
      </c>
      <c r="F2164" s="1">
        <v>16</v>
      </c>
      <c r="G2164" s="1">
        <v>11</v>
      </c>
      <c r="H2164" s="1">
        <v>0</v>
      </c>
      <c r="I2164" s="1" t="s">
        <v>2286</v>
      </c>
      <c r="K2164" s="1" t="str">
        <f t="shared" si="134"/>
        <v>ㄆ</v>
      </c>
      <c r="L2164" s="1" t="str">
        <f t="shared" si="135"/>
        <v>ㄧ</v>
      </c>
      <c r="M2164" s="1" t="str">
        <f t="shared" si="138"/>
        <v>ㄠ</v>
      </c>
      <c r="P2164" s="1" t="s">
        <v>20</v>
      </c>
      <c r="R2164" s="1" t="s">
        <v>2287</v>
      </c>
      <c r="V2164" s="1" t="s">
        <v>2299</v>
      </c>
      <c r="AR2164" s="1" t="str">
        <f t="shared" si="136"/>
        <v>| [ㄆㄧㄠˇ](ㄆㄧㄠˇ.md) | [瞟](瞟.md) |  | piǎo | [動]
用眼斜看。如：「他瞟了我一眼。」、「立正時，目光向前直視，不可亂瞟！」 |</v>
      </c>
    </row>
    <row r="2165" spans="1:44" hidden="1">
      <c r="A2165" s="1" t="s">
        <v>2300</v>
      </c>
      <c r="C2165" s="1">
        <v>1</v>
      </c>
      <c r="D2165" s="1" t="str">
        <f>"00899"</f>
        <v>00899</v>
      </c>
      <c r="E2165" s="1" t="s">
        <v>49</v>
      </c>
      <c r="F2165" s="1">
        <v>17</v>
      </c>
      <c r="G2165" s="1">
        <v>11</v>
      </c>
      <c r="H2165" s="1">
        <v>0</v>
      </c>
      <c r="I2165" s="1" t="s">
        <v>2286</v>
      </c>
      <c r="K2165" s="1" t="str">
        <f t="shared" si="134"/>
        <v>ㄆ</v>
      </c>
      <c r="L2165" s="1" t="str">
        <f t="shared" si="135"/>
        <v>ㄧ</v>
      </c>
      <c r="M2165" s="1" t="str">
        <f t="shared" si="138"/>
        <v>ㄠ</v>
      </c>
      <c r="P2165" s="1" t="s">
        <v>20</v>
      </c>
      <c r="R2165" s="1" t="s">
        <v>2287</v>
      </c>
      <c r="V2165" s="1" t="s">
        <v>2301</v>
      </c>
      <c r="AR2165" s="1" t="str">
        <f t="shared" si="136"/>
        <v>| [ㄆㄧㄠˇ](ㄆㄧㄠˇ.md) | [篻](篻.md) |  | piǎo | [名]
一種中心堅實強勁的竹子。可製弓弩武器。《文選．卷五．賦．左思．吳都賦》：「柚梧有篁，篻簩有叢。」李善注引《異物志》：「篻竹大如戟槿，實中勁強。」 |</v>
      </c>
    </row>
    <row r="2166" spans="1:44" hidden="1">
      <c r="A2166" s="1" t="s">
        <v>2302</v>
      </c>
      <c r="C2166" s="1">
        <v>1</v>
      </c>
      <c r="D2166" s="1" t="str">
        <f>"00900"</f>
        <v>00900</v>
      </c>
      <c r="E2166" s="1" t="s">
        <v>725</v>
      </c>
      <c r="F2166" s="1">
        <v>17</v>
      </c>
      <c r="G2166" s="1">
        <v>11</v>
      </c>
      <c r="H2166" s="1">
        <v>1</v>
      </c>
      <c r="I2166" s="1" t="s">
        <v>2286</v>
      </c>
      <c r="K2166" s="1" t="str">
        <f t="shared" si="134"/>
        <v>ㄆ</v>
      </c>
      <c r="L2166" s="1" t="str">
        <f t="shared" si="135"/>
        <v>ㄧ</v>
      </c>
      <c r="M2166" s="1" t="str">
        <f t="shared" si="138"/>
        <v>ㄠ</v>
      </c>
      <c r="P2166" s="1" t="s">
        <v>20</v>
      </c>
      <c r="R2166" s="1" t="s">
        <v>2287</v>
      </c>
      <c r="V2166" s="1" t="s">
        <v>2303</v>
      </c>
      <c r="W2166" s="1" t="s">
        <v>2304</v>
      </c>
      <c r="AR2166" s="1" t="str">
        <f t="shared" si="136"/>
        <v>| [ㄆㄧㄠˇ](ㄆㄧㄠˇ.md) | [縹](縹.md) |  | piǎo | [名]
青白色的綢布。《楚辭．王襃．九懷．通路》：「紅采兮騂衣，翠縹兮為裳。」
[形]
淡青色。即月白色。清．錢謙益〈後飲酒〉詩七首之一：「但餘六長瓶，味甘色復縹。」 |</v>
      </c>
    </row>
    <row r="2167" spans="1:44" hidden="1">
      <c r="A2167" s="1" t="s">
        <v>2305</v>
      </c>
      <c r="C2167" s="1">
        <v>1</v>
      </c>
      <c r="D2167" s="1" t="str">
        <f>"00901"</f>
        <v>00901</v>
      </c>
      <c r="E2167" s="1" t="s">
        <v>1462</v>
      </c>
      <c r="F2167" s="1">
        <v>18</v>
      </c>
      <c r="G2167" s="1">
        <v>11</v>
      </c>
      <c r="H2167" s="1">
        <v>0</v>
      </c>
      <c r="I2167" s="1" t="s">
        <v>2286</v>
      </c>
      <c r="K2167" s="1" t="str">
        <f t="shared" si="134"/>
        <v>ㄆ</v>
      </c>
      <c r="L2167" s="1" t="str">
        <f t="shared" si="135"/>
        <v>ㄧ</v>
      </c>
      <c r="M2167" s="1" t="str">
        <f t="shared" si="138"/>
        <v>ㄠ</v>
      </c>
      <c r="P2167" s="1" t="s">
        <v>20</v>
      </c>
      <c r="R2167" s="1" t="s">
        <v>2287</v>
      </c>
      <c r="V2167" s="1" t="s">
        <v>2306</v>
      </c>
      <c r="AR2167" s="1" t="str">
        <f t="shared" si="136"/>
        <v>| [ㄆㄧㄠˇ](ㄆㄧㄠˇ.md) | [醥](醥.md) |  | piǎo | [名]
清酒。《文選．左思．蜀都賦》：「觴以清醥，鮮以紫鱗。」宋．沈端節〈念奴嬌．湖山照影〉詞：「餘芳難並，破愁惟有馨醥。」
[形]
酒清。宋．歐陽修〈答呂公著見贈〉詩：「醁醅寒且醥，清唱婉而遲。」 |</v>
      </c>
    </row>
    <row r="2168" spans="1:44" hidden="1">
      <c r="A2168" s="1" t="s">
        <v>2307</v>
      </c>
      <c r="C2168" s="1">
        <v>1</v>
      </c>
      <c r="D2168" s="1" t="str">
        <f>"00902"</f>
        <v>00902</v>
      </c>
      <c r="E2168" s="1" t="s">
        <v>684</v>
      </c>
      <c r="F2168" s="1">
        <v>20</v>
      </c>
      <c r="G2168" s="1">
        <v>11</v>
      </c>
      <c r="H2168" s="1">
        <v>0</v>
      </c>
      <c r="I2168" s="1" t="s">
        <v>2286</v>
      </c>
      <c r="K2168" s="1" t="str">
        <f t="shared" si="134"/>
        <v>ㄆ</v>
      </c>
      <c r="L2168" s="1" t="str">
        <f t="shared" si="135"/>
        <v>ㄧ</v>
      </c>
      <c r="M2168" s="1" t="str">
        <f t="shared" si="138"/>
        <v>ㄠ</v>
      </c>
      <c r="P2168" s="1" t="s">
        <v>20</v>
      </c>
      <c r="R2168" s="1" t="s">
        <v>2287</v>
      </c>
      <c r="V2168" s="1" t="s">
        <v>2308</v>
      </c>
      <c r="AR2168" s="1" t="str">
        <f t="shared" si="136"/>
        <v>| [ㄆㄧㄠˇ](ㄆㄧㄠˇ.md) | [顠](顠.md) |  | piǎo | [形]
1.頭髮斑白。《廣韻．上聲．小韻》：「顠，髮白。」
2.頭髮雜亂。《楚辭．王逸．九思．憫上》：「鬚髮薴悴兮顠鬢白，思靈澤兮一膏沐。」宋．洪興祖．補注：「顠，髮亂貌。」 |</v>
      </c>
    </row>
    <row r="2169" spans="1:44" hidden="1">
      <c r="A2169" s="1" t="s">
        <v>2309</v>
      </c>
      <c r="C2169" s="1">
        <v>1</v>
      </c>
      <c r="D2169" s="1" t="str">
        <f>"00903"</f>
        <v>00903</v>
      </c>
      <c r="E2169" s="1" t="s">
        <v>205</v>
      </c>
      <c r="F2169" s="1">
        <v>20</v>
      </c>
      <c r="G2169" s="1">
        <v>15</v>
      </c>
      <c r="H2169" s="1">
        <v>0</v>
      </c>
      <c r="I2169" s="1" t="s">
        <v>2286</v>
      </c>
      <c r="K2169" s="1" t="str">
        <f t="shared" si="134"/>
        <v>ㄆ</v>
      </c>
      <c r="L2169" s="1" t="str">
        <f t="shared" si="135"/>
        <v>ㄧ</v>
      </c>
      <c r="M2169" s="1" t="str">
        <f t="shared" si="138"/>
        <v>ㄠ</v>
      </c>
      <c r="P2169" s="1" t="s">
        <v>20</v>
      </c>
      <c r="R2169" s="1" t="s">
        <v>2287</v>
      </c>
      <c r="V2169" s="1" t="s">
        <v>2310</v>
      </c>
      <c r="AR2169" s="1" t="str">
        <f t="shared" si="136"/>
        <v>| [ㄆㄧㄠˇ](ㄆㄧㄠˇ.md) | [皫](皫.md) |  | piǎo | [形]
1.白色。《玉篇．白部》：「皫，白色也。」
2.色澤不美的。明．張自烈《正字通．白部》：「皫，凡物色不澤美者皆曰皫。」《禮記．內則》：「鳥皫色而沙鳴鬱，豕望視而交睫腥。」 |</v>
      </c>
    </row>
    <row r="2170" spans="1:44" hidden="1">
      <c r="A2170" s="1" t="s">
        <v>2253</v>
      </c>
      <c r="C2170" s="1">
        <v>1</v>
      </c>
      <c r="D2170" s="1" t="str">
        <f>"00904"</f>
        <v>00904</v>
      </c>
      <c r="E2170" s="1" t="s">
        <v>825</v>
      </c>
      <c r="F2170" s="1">
        <v>11</v>
      </c>
      <c r="G2170" s="1">
        <v>6</v>
      </c>
      <c r="H2170" s="1">
        <v>1</v>
      </c>
      <c r="I2170" s="1" t="s">
        <v>2311</v>
      </c>
      <c r="K2170" s="1" t="str">
        <f t="shared" si="134"/>
        <v>ㄆ</v>
      </c>
      <c r="L2170" s="1" t="str">
        <f t="shared" si="135"/>
        <v>ㄧ</v>
      </c>
      <c r="M2170" s="1" t="str">
        <f t="shared" si="138"/>
        <v>ㄠ</v>
      </c>
      <c r="P2170" s="1" t="s">
        <v>20</v>
      </c>
      <c r="R2170" s="1" t="s">
        <v>2312</v>
      </c>
      <c r="V2170" s="1" t="s">
        <v>2313</v>
      </c>
      <c r="W2170" s="1" t="s">
        <v>2314</v>
      </c>
      <c r="AR2170" s="1" t="str">
        <f t="shared" si="136"/>
        <v>| [ㄆㄧㄠˋ](ㄆㄧㄠˋ.md) | [票](票.md) |  | piào | [名]
1.紙幣。如：「鈔票」。
2.印的或寫的用來作為憑證的紙張。如：「郵票」、「股票」、「車票」、「戲票」。
3.歹徒稱綁架來的人質為「票」。如：「肉票」、「撕票」。
4.指非職業性質的演出。如：「玩票」。
5.量詞：(1)計算大批人或物的單位。如：「一票人」。(2)計算交易次數的單位。如：「一票買賣」。 |</v>
      </c>
    </row>
    <row r="2171" spans="1:44" hidden="1">
      <c r="A2171" s="1" t="s">
        <v>2315</v>
      </c>
      <c r="C2171" s="1">
        <v>1</v>
      </c>
      <c r="D2171" s="1" t="str">
        <f>"00905"</f>
        <v>00905</v>
      </c>
      <c r="E2171" s="1" t="s">
        <v>185</v>
      </c>
      <c r="F2171" s="1">
        <v>13</v>
      </c>
      <c r="G2171" s="1">
        <v>11</v>
      </c>
      <c r="H2171" s="1">
        <v>0</v>
      </c>
      <c r="I2171" s="1" t="s">
        <v>2311</v>
      </c>
      <c r="K2171" s="1" t="str">
        <f t="shared" si="134"/>
        <v>ㄆ</v>
      </c>
      <c r="L2171" s="1" t="str">
        <f t="shared" si="135"/>
        <v>ㄧ</v>
      </c>
      <c r="M2171" s="1" t="str">
        <f t="shared" si="138"/>
        <v>ㄠ</v>
      </c>
      <c r="P2171" s="1" t="s">
        <v>20</v>
      </c>
      <c r="R2171" s="1" t="s">
        <v>2312</v>
      </c>
      <c r="V2171" s="1" t="s">
        <v>2316</v>
      </c>
      <c r="AR2171" s="1" t="str">
        <f t="shared" si="136"/>
        <v>| [ㄆㄧㄠˋ](ㄆㄧㄠˋ.md) | [剽](剽.md) |  | piào | [動]
1.搶奪。《史記．卷一二二．酷吏傳．義縱傳》：「義縱者，河東人也，為少年時，嘗與張次公俱攻剽為群盜。」
2.竊取。如：「剽襲」、「剽竊」。
3.殲滅。如：「剽匪有功。」
[形]
1.輕捷。《周禮．冬官考工記．弓人》：「則其為獸必剽。」清．徐珂《清稗類鈔．戰事類．謝忠愍與粵寇戰於天津》：「手執黃旗，左右指揮，迅奮剽疾。」
2.勇悍。《後漢書．卷六四．史弼傳》：「外聚剽輕不逞之徒，內荒酒樂。」《文選．曹植．白馬篇》：「狡捷過猴猿，勇剽若豹螭。」
3.輕薄、輕浮。唐．柳宗元〈答韋中立論師道書〉：「故吾每為文章，未嘗敢以輕心掉之，懼其剽而不留也。」 |</v>
      </c>
    </row>
    <row r="2172" spans="1:44" hidden="1">
      <c r="A2172" s="1" t="s">
        <v>2258</v>
      </c>
      <c r="C2172" s="1">
        <v>1</v>
      </c>
      <c r="D2172" s="1" t="str">
        <f>"00906"</f>
        <v>00906</v>
      </c>
      <c r="E2172" s="1" t="s">
        <v>114</v>
      </c>
      <c r="F2172" s="1">
        <v>13</v>
      </c>
      <c r="G2172" s="1">
        <v>11</v>
      </c>
      <c r="H2172" s="1">
        <v>1</v>
      </c>
      <c r="I2172" s="1" t="s">
        <v>2311</v>
      </c>
      <c r="K2172" s="1" t="str">
        <f t="shared" si="134"/>
        <v>ㄆ</v>
      </c>
      <c r="L2172" s="1" t="str">
        <f t="shared" si="135"/>
        <v>ㄧ</v>
      </c>
      <c r="M2172" s="1" t="str">
        <f t="shared" si="138"/>
        <v>ㄠ</v>
      </c>
      <c r="P2172" s="1" t="s">
        <v>20</v>
      </c>
      <c r="R2172" s="1" t="s">
        <v>2312</v>
      </c>
      <c r="V2172" s="1" t="s">
        <v>2317</v>
      </c>
      <c r="W2172" s="1" t="s">
        <v>2318</v>
      </c>
      <c r="AR2172" s="1" t="str">
        <f t="shared" si="136"/>
        <v>| [ㄆㄧㄠˋ](ㄆㄧㄠˋ.md) | [僄](僄.md) |  | piào | [形]
1.輕捷。如：「僄狡」。《荀子．議兵》：「輕利僄遫，卒如飄風。」
2.輕薄。《荀子．修身》：「怠慢僄棄，則炤之以禍災。」 |</v>
      </c>
    </row>
    <row r="2173" spans="1:44" hidden="1">
      <c r="A2173" s="1" t="s">
        <v>2260</v>
      </c>
      <c r="C2173" s="1">
        <v>1</v>
      </c>
      <c r="D2173" s="1" t="str">
        <f>"00907"</f>
        <v>00907</v>
      </c>
      <c r="E2173" s="1" t="s">
        <v>129</v>
      </c>
      <c r="F2173" s="1">
        <v>14</v>
      </c>
      <c r="G2173" s="1">
        <v>11</v>
      </c>
      <c r="H2173" s="1">
        <v>3</v>
      </c>
      <c r="I2173" s="1" t="s">
        <v>2311</v>
      </c>
      <c r="K2173" s="1" t="str">
        <f t="shared" si="134"/>
        <v>ㄆ</v>
      </c>
      <c r="L2173" s="1" t="str">
        <f t="shared" si="135"/>
        <v>ㄧ</v>
      </c>
      <c r="M2173" s="1" t="str">
        <f t="shared" si="138"/>
        <v>ㄠ</v>
      </c>
      <c r="P2173" s="1" t="s">
        <v>20</v>
      </c>
      <c r="R2173" s="1" t="s">
        <v>2312</v>
      </c>
      <c r="V2173" s="1" t="s">
        <v>2319</v>
      </c>
      <c r="W2173" s="1" t="s">
        <v>2320</v>
      </c>
      <c r="AR2173" s="1" t="str">
        <f t="shared" si="136"/>
        <v>| [ㄆㄧㄠˋ](ㄆㄧㄠˋ.md) | [漂](漂.md) |  | piào | [動]
1.不付帳。如：「漂帳」。《品花寶鑑》第八回：「我們並不是沒有帶錢，想漂你的開發。」
2.指事情失敗，希望落空。《官場現形記》第一一回：「等到飯後，仍無消息，戴大理就同跟班說：『不要漂了罷？』」《兒女英雄傳》第三二回：「今日之下他倒作了你老人家的嫡親兒女，我這乾女兒可倒漂了，我越想越有點子眼兒熱。」
[形]
參見「漂亮」條。 |</v>
      </c>
    </row>
    <row r="2174" spans="1:44" hidden="1">
      <c r="A2174" s="1" t="s">
        <v>2321</v>
      </c>
      <c r="C2174" s="1">
        <v>1</v>
      </c>
      <c r="D2174" s="1" t="str">
        <f>"00908"</f>
        <v>00908</v>
      </c>
      <c r="E2174" s="1" t="s">
        <v>250</v>
      </c>
      <c r="F2174" s="1">
        <v>14</v>
      </c>
      <c r="G2174" s="1">
        <v>11</v>
      </c>
      <c r="H2174" s="1">
        <v>0</v>
      </c>
      <c r="I2174" s="1" t="s">
        <v>2311</v>
      </c>
      <c r="K2174" s="1" t="str">
        <f t="shared" si="134"/>
        <v>ㄆ</v>
      </c>
      <c r="L2174" s="1" t="str">
        <f t="shared" si="135"/>
        <v>ㄧ</v>
      </c>
      <c r="M2174" s="1" t="str">
        <f t="shared" si="138"/>
        <v>ㄠ</v>
      </c>
      <c r="P2174" s="1" t="s">
        <v>20</v>
      </c>
      <c r="R2174" s="1" t="s">
        <v>2312</v>
      </c>
      <c r="V2174" s="1" t="s">
        <v>2322</v>
      </c>
      <c r="AR2174" s="1" t="str">
        <f t="shared" si="136"/>
        <v>| [ㄆㄧㄠˋ](ㄆㄧㄠˋ.md) | [慓](慓.md) |  | piào | [形]
輕捷。《廣韻．去聲．笑韻》：「慓，急疾。」如：「慓悍」。 |</v>
      </c>
    </row>
    <row r="2175" spans="1:44" hidden="1">
      <c r="A2175" s="1" t="s">
        <v>2302</v>
      </c>
      <c r="C2175" s="1">
        <v>1</v>
      </c>
      <c r="D2175" s="1" t="str">
        <f>"00909"</f>
        <v>00909</v>
      </c>
      <c r="E2175" s="1" t="s">
        <v>725</v>
      </c>
      <c r="F2175" s="1">
        <v>17</v>
      </c>
      <c r="G2175" s="1">
        <v>11</v>
      </c>
      <c r="H2175" s="1">
        <v>2</v>
      </c>
      <c r="I2175" s="1" t="s">
        <v>2311</v>
      </c>
      <c r="K2175" s="1" t="str">
        <f t="shared" ref="K2175:K2238" si="139">LEFT(I2175, 1)</f>
        <v>ㄆ</v>
      </c>
      <c r="L2175" s="1" t="str">
        <f t="shared" ref="L2175:L2238" si="140">MID(I2175, 2, 1)</f>
        <v>ㄧ</v>
      </c>
      <c r="M2175" s="1" t="str">
        <f t="shared" si="138"/>
        <v>ㄠ</v>
      </c>
      <c r="P2175" s="1" t="s">
        <v>110</v>
      </c>
      <c r="R2175" s="1" t="s">
        <v>2312</v>
      </c>
      <c r="V2175" s="1" t="s">
        <v>111</v>
      </c>
      <c r="W2175" s="1" t="s">
        <v>2323</v>
      </c>
      <c r="AR2175" s="1" t="str">
        <f t="shared" si="136"/>
        <v>| [ㄆㄧㄠˋ](ㄆㄧㄠˋ.md) | [縹](縹.md) |  | piào | (一)之又音。 |</v>
      </c>
    </row>
    <row r="2176" spans="1:44" hidden="1">
      <c r="A2176" s="1" t="s">
        <v>2324</v>
      </c>
      <c r="C2176" s="1">
        <v>1</v>
      </c>
      <c r="D2176" s="1" t="str">
        <f>"00910"</f>
        <v>00910</v>
      </c>
      <c r="E2176" s="1" t="s">
        <v>319</v>
      </c>
      <c r="F2176" s="1">
        <v>21</v>
      </c>
      <c r="G2176" s="1">
        <v>11</v>
      </c>
      <c r="H2176" s="1">
        <v>0</v>
      </c>
      <c r="I2176" s="1" t="s">
        <v>2311</v>
      </c>
      <c r="K2176" s="1" t="str">
        <f t="shared" si="139"/>
        <v>ㄆ</v>
      </c>
      <c r="L2176" s="1" t="str">
        <f t="shared" si="140"/>
        <v>ㄧ</v>
      </c>
      <c r="M2176" s="1" t="str">
        <f t="shared" si="138"/>
        <v>ㄠ</v>
      </c>
      <c r="P2176" s="1" t="s">
        <v>20</v>
      </c>
      <c r="R2176" s="1" t="s">
        <v>2312</v>
      </c>
      <c r="V2176" s="1" t="s">
        <v>2325</v>
      </c>
      <c r="AR2176" s="1" t="str">
        <f t="shared" si="136"/>
        <v>| [ㄆㄧㄠˋ](ㄆㄧㄠˋ.md) | [驃](驃.md) |  | piào | [名]
有白色斑點的黃馬。如：「黃驃」、「追雲驃」。《廣韻．去聲．笑韻》：「驃，馬黃白色。」唐．杜甫〈徒步歸行〉：「妻子山中哭向天，須公櫪上追風驃。」
[形]
1.馬跑得很快的樣子。如：「驃騎」。《水滸傳》第三二回：「走驃騎聞香須住馬，使風帆知味也停舟。」
2.形容人驍勇強悍。如：「驃悍」。 |</v>
      </c>
    </row>
    <row r="2177" spans="1:44" hidden="1">
      <c r="A2177" s="1" t="s">
        <v>2326</v>
      </c>
      <c r="C2177" s="1">
        <v>1</v>
      </c>
      <c r="D2177" s="1" t="str">
        <f>"00911"</f>
        <v>00911</v>
      </c>
      <c r="E2177" s="1" t="s">
        <v>698</v>
      </c>
      <c r="F2177" s="1">
        <v>4</v>
      </c>
      <c r="G2177" s="1">
        <v>0</v>
      </c>
      <c r="H2177" s="1">
        <v>2</v>
      </c>
      <c r="I2177" s="1" t="s">
        <v>2327</v>
      </c>
      <c r="K2177" s="1" t="str">
        <f t="shared" si="139"/>
        <v>ㄆ</v>
      </c>
      <c r="L2177" s="1" t="str">
        <f t="shared" si="140"/>
        <v>ㄧ</v>
      </c>
      <c r="M2177" s="1" t="str">
        <f t="shared" si="138"/>
        <v>ㄢ</v>
      </c>
      <c r="P2177" s="1" t="s">
        <v>20</v>
      </c>
      <c r="R2177" s="1" t="s">
        <v>2328</v>
      </c>
      <c r="V2177" s="1" t="s">
        <v>2329</v>
      </c>
      <c r="W2177" s="1" t="s">
        <v>2330</v>
      </c>
      <c r="AR2177" s="1" t="str">
        <f t="shared" si="136"/>
        <v>| [ㄆㄧㄢ](ㄆㄧㄢ.md) | [片](片.md) |  | piān | [名]
扁平的東西。如：「相片兒」、「唱片兒」、「畫片兒」、「電影片兒」。 |</v>
      </c>
    </row>
    <row r="2178" spans="1:44" hidden="1">
      <c r="A2178" s="1" t="s">
        <v>1251</v>
      </c>
      <c r="C2178" s="1">
        <v>1</v>
      </c>
      <c r="D2178" s="1" t="str">
        <f>"00912"</f>
        <v>00912</v>
      </c>
      <c r="E2178" s="1" t="s">
        <v>1252</v>
      </c>
      <c r="F2178" s="1">
        <v>9</v>
      </c>
      <c r="G2178" s="1">
        <v>5</v>
      </c>
      <c r="H2178" s="1">
        <v>2</v>
      </c>
      <c r="I2178" s="1" t="s">
        <v>2327</v>
      </c>
      <c r="K2178" s="1" t="str">
        <f t="shared" si="139"/>
        <v>ㄆ</v>
      </c>
      <c r="L2178" s="1" t="str">
        <f t="shared" si="140"/>
        <v>ㄧ</v>
      </c>
      <c r="M2178" s="1" t="str">
        <f t="shared" si="138"/>
        <v>ㄢ</v>
      </c>
      <c r="P2178" s="1" t="s">
        <v>20</v>
      </c>
      <c r="R2178" s="1" t="s">
        <v>2328</v>
      </c>
      <c r="V2178" s="1" t="s">
        <v>2331</v>
      </c>
      <c r="W2178" s="1" t="s">
        <v>2332</v>
      </c>
      <c r="AR2178" s="1" t="str">
        <f t="shared" si="136"/>
        <v>| [ㄆㄧㄢ](ㄆㄧㄢ.md) | [扁](扁.md) |  | piān | [形]
小。如：「一葉扁舟」。 |</v>
      </c>
    </row>
    <row r="2179" spans="1:44" hidden="1">
      <c r="A2179" s="1" t="s">
        <v>2333</v>
      </c>
      <c r="C2179" s="1">
        <v>1</v>
      </c>
      <c r="D2179" s="1" t="str">
        <f>"00913"</f>
        <v>00913</v>
      </c>
      <c r="E2179" s="1" t="s">
        <v>114</v>
      </c>
      <c r="F2179" s="1">
        <v>11</v>
      </c>
      <c r="G2179" s="1">
        <v>9</v>
      </c>
      <c r="H2179" s="1">
        <v>0</v>
      </c>
      <c r="I2179" s="1" t="s">
        <v>2327</v>
      </c>
      <c r="K2179" s="1" t="str">
        <f t="shared" si="139"/>
        <v>ㄆ</v>
      </c>
      <c r="L2179" s="1" t="str">
        <f t="shared" si="140"/>
        <v>ㄧ</v>
      </c>
      <c r="M2179" s="1" t="str">
        <f t="shared" si="138"/>
        <v>ㄢ</v>
      </c>
      <c r="P2179" s="1" t="s">
        <v>20</v>
      </c>
      <c r="R2179" s="1" t="s">
        <v>2328</v>
      </c>
      <c r="V2179" s="1" t="s">
        <v>2334</v>
      </c>
      <c r="AR2179" s="1" t="str">
        <f t="shared" ref="AR2179:AR2242" si="141">"| ["&amp;I2179&amp;"]("&amp;I2179&amp;".md) | ["&amp;A2179&amp;"]("&amp;A2179&amp;".md) | "&amp;" | "&amp;R2179&amp;" | "&amp;V2179&amp;" |"</f>
        <v>| [ㄆㄧㄢ](ㄆㄧㄢ.md) | [偏](偏.md) |  | piān | [形]
1.傾斜、不中正。如：「偏心」、「偏見」、「不偏不倚」。《書經．洪範》：「無偏無陂，遵王之義。」唐．白居易〈長恨歌〉：「雲髻半偏新睡覺，花冠不整下堂來。」
2.不周全的、片面的。《禮記．樂記》：「樂極則憂，禮粗則偏矣。」
3.不是中心地帶、荒僻的。如：「偏遠」、「偏僻」。晉．陶淵明〈飲酒詩〉二〇首之五：「問君何能爾？心遠地自偏。」
4.深、多。唐．元稹〈酬竇校書二十韻〉：「音徽千里斷，魂夢兩情偏。」
[副]
1.傾於某一面的、不公平的。《漢書．卷九四．匈奴傳上》：「朕聞天不頗覆，地不偏載。」
2.表示故意跟外來要求相反的。如：「他要我去，我偏不去。」
3.表示出乎意料之外或與意願相反的。如：「屋漏偏遭連夜雨。」唐．無名氏〈伊川歌．第三〉：「可憐閨裡月，偏照漢家營。」
4.恰巧、正好。唐．皇甫冉〈曾東遊以詩寄之〉詩：「正是揚帆時，偏逢江上客。」
[動]
表示「吃過飯」的客套話。《紅樓夢》第一四回：「鳳姐纔吃飯，見他們來了，便笑道：『好長腿子，快上來罷！』寶玉道：『我們偏了。』」
[名]
姓。如漢代有偏呂。 |</v>
      </c>
    </row>
    <row r="2180" spans="1:44" hidden="1">
      <c r="A2180" s="1" t="s">
        <v>2335</v>
      </c>
      <c r="C2180" s="1">
        <v>1</v>
      </c>
      <c r="D2180" s="1" t="str">
        <f>"00914"</f>
        <v>00914</v>
      </c>
      <c r="E2180" s="1" t="s">
        <v>534</v>
      </c>
      <c r="F2180" s="1">
        <v>12</v>
      </c>
      <c r="G2180" s="1">
        <v>9</v>
      </c>
      <c r="H2180" s="1">
        <v>0</v>
      </c>
      <c r="I2180" s="1" t="s">
        <v>2327</v>
      </c>
      <c r="K2180" s="1" t="str">
        <f t="shared" si="139"/>
        <v>ㄆ</v>
      </c>
      <c r="L2180" s="1" t="str">
        <f t="shared" si="140"/>
        <v>ㄧ</v>
      </c>
      <c r="M2180" s="1" t="str">
        <f t="shared" si="138"/>
        <v>ㄢ</v>
      </c>
      <c r="P2180" s="1" t="s">
        <v>20</v>
      </c>
      <c r="R2180" s="1" t="s">
        <v>2328</v>
      </c>
      <c r="V2180" s="1" t="s">
        <v>2336</v>
      </c>
      <c r="AR2180" s="1" t="str">
        <f t="shared" si="141"/>
        <v>| [ㄆㄧㄢ](ㄆㄧㄢ.md) | [媥](媥.md) |  | piān | [形]
身子靈巧輕便的樣子。《說文解字．女部》：「媥，輕貌。」 |</v>
      </c>
    </row>
    <row r="2181" spans="1:44" hidden="1">
      <c r="A2181" s="1" t="s">
        <v>1262</v>
      </c>
      <c r="C2181" s="1">
        <v>1</v>
      </c>
      <c r="D2181" s="1" t="str">
        <f>"00915"</f>
        <v>00915</v>
      </c>
      <c r="E2181" s="1" t="s">
        <v>37</v>
      </c>
      <c r="F2181" s="1">
        <v>13</v>
      </c>
      <c r="G2181" s="1">
        <v>9</v>
      </c>
      <c r="H2181" s="1">
        <v>1</v>
      </c>
      <c r="I2181" s="1" t="s">
        <v>2327</v>
      </c>
      <c r="K2181" s="1" t="str">
        <f t="shared" si="139"/>
        <v>ㄆ</v>
      </c>
      <c r="L2181" s="1" t="str">
        <f t="shared" si="140"/>
        <v>ㄧ</v>
      </c>
      <c r="M2181" s="1" t="str">
        <f t="shared" si="138"/>
        <v>ㄢ</v>
      </c>
      <c r="P2181" s="1" t="s">
        <v>20</v>
      </c>
      <c r="R2181" s="1" t="s">
        <v>2328</v>
      </c>
      <c r="V2181" s="1" t="s">
        <v>2337</v>
      </c>
      <c r="W2181" s="1" t="s">
        <v>2338</v>
      </c>
      <c r="AR2181" s="1" t="str">
        <f t="shared" si="141"/>
        <v>| [ㄆㄧㄢ](ㄆㄧㄢ.md) | [萹](萹.md) |  | piān | 參見「萹蓄」條。 |</v>
      </c>
    </row>
    <row r="2182" spans="1:44" hidden="1">
      <c r="A2182" s="1" t="s">
        <v>2339</v>
      </c>
      <c r="C2182" s="1">
        <v>1</v>
      </c>
      <c r="D2182" s="1" t="str">
        <f>"00916"</f>
        <v>00916</v>
      </c>
      <c r="E2182" s="1" t="s">
        <v>49</v>
      </c>
      <c r="F2182" s="1">
        <v>15</v>
      </c>
      <c r="G2182" s="1">
        <v>9</v>
      </c>
      <c r="H2182" s="1">
        <v>0</v>
      </c>
      <c r="I2182" s="1" t="s">
        <v>2327</v>
      </c>
      <c r="K2182" s="1" t="str">
        <f t="shared" si="139"/>
        <v>ㄆ</v>
      </c>
      <c r="L2182" s="1" t="str">
        <f t="shared" si="140"/>
        <v>ㄧ</v>
      </c>
      <c r="M2182" s="1" t="str">
        <f t="shared" si="138"/>
        <v>ㄢ</v>
      </c>
      <c r="P2182" s="1" t="s">
        <v>20</v>
      </c>
      <c r="R2182" s="1" t="s">
        <v>2328</v>
      </c>
      <c r="V2182" s="1" t="s">
        <v>2340</v>
      </c>
      <c r="AR2182" s="1" t="str">
        <f t="shared" si="141"/>
        <v>| [ㄆㄧㄢ](ㄆㄧㄢ.md) | [篇](篇.md) |  | piān | [名]
1.書籍、簡冊。《說文解字．竹部》：「篇，書也。」清．段玉裁．注：「書，箸也，箸於簡牘者也，亦謂之篇。古曰篇，漢人亦曰卷。」南朝齊．謝朓〈酬德賦〉：「登金華以問道，得石室之名篇。」
2.首尾完整的文章。如：「通篇及義」。唐．韓愈〈送靈師〉詩：「少小涉書史，早能綴文篇。」
3.量詞。計算文章或詩作的單位。如：「一篇論文」、「詩三百篇」。《三國志．卷二一．魏書．王粲傳》：「著詩、賦、論、議、垂六十篇。」唐．杜甫〈飲中八僊歌〉：「李白一斗詩百篇，長安市上酒家眠。」 |</v>
      </c>
    </row>
    <row r="2183" spans="1:44" hidden="1">
      <c r="A2183" s="1" t="s">
        <v>2341</v>
      </c>
      <c r="C2183" s="1">
        <v>1</v>
      </c>
      <c r="D2183" s="1" t="str">
        <f>"00917"</f>
        <v>00917</v>
      </c>
      <c r="E2183" s="1" t="s">
        <v>2271</v>
      </c>
      <c r="F2183" s="1">
        <v>15</v>
      </c>
      <c r="G2183" s="1">
        <v>9</v>
      </c>
      <c r="H2183" s="1">
        <v>0</v>
      </c>
      <c r="I2183" s="1" t="s">
        <v>2327</v>
      </c>
      <c r="K2183" s="1" t="str">
        <f t="shared" si="139"/>
        <v>ㄆ</v>
      </c>
      <c r="L2183" s="1" t="str">
        <f t="shared" si="140"/>
        <v>ㄧ</v>
      </c>
      <c r="M2183" s="1" t="str">
        <f t="shared" si="138"/>
        <v>ㄢ</v>
      </c>
      <c r="P2183" s="1" t="s">
        <v>20</v>
      </c>
      <c r="R2183" s="1" t="s">
        <v>2328</v>
      </c>
      <c r="V2183" s="1" t="s">
        <v>2342</v>
      </c>
      <c r="AR2183" s="1" t="str">
        <f t="shared" si="141"/>
        <v>| [ㄆㄧㄢ](ㄆㄧㄢ.md) | [翩](翩.md) |  | piān | [動]
快速的飛。《說文解字．羽部》：「翩，疾飛也。」晉．陸雲〈答吳王上將顧處微〉詩九首之八：「翩彼日月，逝猶駭電。」宋．蘇軾〈虢國夫人夜遊圖〉詩：「佳人自鞚玉花驄，翩如驚燕踏飛龍。」
[形]
1.搖曳飄忽的樣子。三國魏．曹植〈洛神賦〉：「其形也，翩若驚鴻，婉若遊龍。」晉．陶淵明〈答龐參軍詩〉：「翩彼方舟，容裔江中。」
2.舉止灑脫的樣子。晉．張華〈女史箴〉：「美者自美，翩以取尤，冶容求好，君子所讎。」 |</v>
      </c>
    </row>
    <row r="2184" spans="1:44" hidden="1">
      <c r="A2184" s="1" t="s">
        <v>2343</v>
      </c>
      <c r="C2184" s="1">
        <v>1</v>
      </c>
      <c r="D2184" s="1" t="str">
        <f>"00918"</f>
        <v>00918</v>
      </c>
      <c r="E2184" s="1" t="s">
        <v>1386</v>
      </c>
      <c r="F2184" s="1">
        <v>5</v>
      </c>
      <c r="G2184" s="1">
        <v>2</v>
      </c>
      <c r="H2184" s="1">
        <v>2</v>
      </c>
      <c r="I2184" s="1" t="s">
        <v>2344</v>
      </c>
      <c r="K2184" s="1" t="str">
        <f t="shared" si="139"/>
        <v>ㄆ</v>
      </c>
      <c r="L2184" s="1" t="str">
        <f t="shared" si="140"/>
        <v>ㄧ</v>
      </c>
      <c r="M2184" s="1" t="str">
        <f t="shared" si="138"/>
        <v>ㄢ</v>
      </c>
      <c r="P2184" s="1" t="s">
        <v>20</v>
      </c>
      <c r="R2184" s="1" t="s">
        <v>2345</v>
      </c>
      <c r="V2184" s="1" t="s">
        <v>2346</v>
      </c>
      <c r="W2184" s="1" t="s">
        <v>2347</v>
      </c>
      <c r="AR2184" s="1" t="str">
        <f t="shared" si="141"/>
        <v>| [ㄆㄧㄢˊ](ㄆㄧㄢˊ.md) | [平](平.md) |  | pián | [動]
辨別。參見「平章百姓」條。 |</v>
      </c>
    </row>
    <row r="2185" spans="1:44" hidden="1">
      <c r="A2185" s="1" t="s">
        <v>2108</v>
      </c>
      <c r="C2185" s="1">
        <v>1</v>
      </c>
      <c r="D2185" s="1" t="str">
        <f>"00919"</f>
        <v>00919</v>
      </c>
      <c r="E2185" s="1" t="s">
        <v>142</v>
      </c>
      <c r="F2185" s="1">
        <v>8</v>
      </c>
      <c r="G2185" s="1">
        <v>4</v>
      </c>
      <c r="H2185" s="1">
        <v>2</v>
      </c>
      <c r="I2185" s="1" t="s">
        <v>2344</v>
      </c>
      <c r="K2185" s="1" t="str">
        <f t="shared" si="139"/>
        <v>ㄆ</v>
      </c>
      <c r="L2185" s="1" t="str">
        <f t="shared" si="140"/>
        <v>ㄧ</v>
      </c>
      <c r="M2185" s="1" t="str">
        <f t="shared" si="138"/>
        <v>ㄢ</v>
      </c>
      <c r="P2185" s="1" t="s">
        <v>110</v>
      </c>
      <c r="R2185" s="1" t="s">
        <v>2345</v>
      </c>
      <c r="V2185" s="1" t="s">
        <v>111</v>
      </c>
      <c r="W2185" s="1" t="s">
        <v>2348</v>
      </c>
      <c r="AR2185" s="1" t="str">
        <f t="shared" si="141"/>
        <v>| [ㄆㄧㄢˊ](ㄆㄧㄢˊ.md) | [玭](玭.md) |  | pián | (一)之又音。 |</v>
      </c>
    </row>
    <row r="2186" spans="1:44" hidden="1">
      <c r="A2186" s="1" t="s">
        <v>1301</v>
      </c>
      <c r="C2186" s="1">
        <v>1</v>
      </c>
      <c r="D2186" s="1" t="str">
        <f>"00920"</f>
        <v>00920</v>
      </c>
      <c r="E2186" s="1" t="s">
        <v>114</v>
      </c>
      <c r="F2186" s="1">
        <v>9</v>
      </c>
      <c r="G2186" s="1">
        <v>7</v>
      </c>
      <c r="H2186" s="1">
        <v>2</v>
      </c>
      <c r="I2186" s="1" t="s">
        <v>2344</v>
      </c>
      <c r="K2186" s="1" t="str">
        <f t="shared" si="139"/>
        <v>ㄆ</v>
      </c>
      <c r="L2186" s="1" t="str">
        <f t="shared" si="140"/>
        <v>ㄧ</v>
      </c>
      <c r="M2186" s="1" t="str">
        <f t="shared" si="138"/>
        <v>ㄢ</v>
      </c>
      <c r="P2186" s="1" t="s">
        <v>20</v>
      </c>
      <c r="R2186" s="1" t="s">
        <v>2345</v>
      </c>
      <c r="V2186" s="1" t="s">
        <v>2349</v>
      </c>
      <c r="W2186" s="1" t="s">
        <v>2350</v>
      </c>
      <c r="AR2186" s="1" t="str">
        <f t="shared" si="141"/>
        <v>| [ㄆㄧㄢˊ](ㄆㄧㄢˊ.md) | [便](便.md) |  | pián | [名]
姓。如漢代有便樂成。 |</v>
      </c>
    </row>
    <row r="2187" spans="1:44" hidden="1">
      <c r="A2187" s="1" t="s">
        <v>2351</v>
      </c>
      <c r="C2187" s="1">
        <v>1</v>
      </c>
      <c r="D2187" s="1" t="str">
        <f>"00921"</f>
        <v>00921</v>
      </c>
      <c r="E2187" s="1" t="s">
        <v>139</v>
      </c>
      <c r="F2187" s="1">
        <v>13</v>
      </c>
      <c r="G2187" s="1">
        <v>9</v>
      </c>
      <c r="H2187" s="1">
        <v>0</v>
      </c>
      <c r="I2187" s="1" t="s">
        <v>2344</v>
      </c>
      <c r="K2187" s="1" t="str">
        <f t="shared" si="139"/>
        <v>ㄆ</v>
      </c>
      <c r="L2187" s="1" t="str">
        <f t="shared" si="140"/>
        <v>ㄧ</v>
      </c>
      <c r="M2187" s="1" t="str">
        <f t="shared" si="138"/>
        <v>ㄢ</v>
      </c>
      <c r="P2187" s="1" t="s">
        <v>20</v>
      </c>
      <c r="R2187" s="1" t="s">
        <v>2345</v>
      </c>
      <c r="V2187" s="1" t="s">
        <v>2352</v>
      </c>
      <c r="AR2187" s="1" t="str">
        <f t="shared" si="141"/>
        <v>| [ㄆㄧㄢˊ](ㄆㄧㄢˊ.md) | [楩](楩.md) |  | pián | [名]
一種古書上的樹木。《玉篇．木部》：「楩，楩木，似豫樟。」《墨子．公輸》：「荊有長松、文、梓楩、柟、豫章。」《漢書．卷五七．司馬相如傳》：「其北則陰林巨樹，楩柟豫章，桂椒木蘭。」唐．顏師古．注：「楩，即今黃楩木也。」 |</v>
      </c>
    </row>
    <row r="2188" spans="1:44" hidden="1">
      <c r="A2188" s="1" t="s">
        <v>1304</v>
      </c>
      <c r="C2188" s="1">
        <v>1</v>
      </c>
      <c r="D2188" s="1" t="str">
        <f>"00922"</f>
        <v>00922</v>
      </c>
      <c r="E2188" s="1" t="s">
        <v>725</v>
      </c>
      <c r="F2188" s="1">
        <v>15</v>
      </c>
      <c r="G2188" s="1">
        <v>9</v>
      </c>
      <c r="H2188" s="1">
        <v>2</v>
      </c>
      <c r="I2188" s="1" t="s">
        <v>2344</v>
      </c>
      <c r="K2188" s="1" t="str">
        <f t="shared" si="139"/>
        <v>ㄆ</v>
      </c>
      <c r="L2188" s="1" t="str">
        <f t="shared" si="140"/>
        <v>ㄧ</v>
      </c>
      <c r="M2188" s="1" t="str">
        <f t="shared" si="138"/>
        <v>ㄢ</v>
      </c>
      <c r="P2188" s="1" t="s">
        <v>20</v>
      </c>
      <c r="R2188" s="1" t="s">
        <v>2345</v>
      </c>
      <c r="V2188" s="1" t="s">
        <v>2353</v>
      </c>
      <c r="W2188" s="1" t="s">
        <v>2354</v>
      </c>
      <c r="AR2188" s="1" t="str">
        <f t="shared" si="141"/>
        <v>| [ㄆㄧㄢˊ](ㄆㄧㄢˊ.md) | [緶](緶.md) |  | pián | [名]
用針縫合編織物。《玉篇．系部》：「緶，縫衣也。」唐．王建〈宮詞〉詩一〇〇首之四七：「緶得紅羅手帕子，中心細畫一雙蟬。」 |</v>
      </c>
    </row>
    <row r="2189" spans="1:44" hidden="1">
      <c r="A2189" s="1" t="s">
        <v>2355</v>
      </c>
      <c r="C2189" s="1">
        <v>1</v>
      </c>
      <c r="D2189" s="1" t="str">
        <f>"00923"</f>
        <v>00923</v>
      </c>
      <c r="E2189" s="1" t="s">
        <v>68</v>
      </c>
      <c r="F2189" s="1">
        <v>10</v>
      </c>
      <c r="G2189" s="1">
        <v>6</v>
      </c>
      <c r="H2189" s="1">
        <v>0</v>
      </c>
      <c r="I2189" s="1" t="s">
        <v>2344</v>
      </c>
      <c r="K2189" s="1" t="str">
        <f t="shared" si="139"/>
        <v>ㄆ</v>
      </c>
      <c r="L2189" s="1" t="str">
        <f t="shared" si="140"/>
        <v>ㄧ</v>
      </c>
      <c r="M2189" s="1" t="str">
        <f t="shared" si="138"/>
        <v>ㄢ</v>
      </c>
      <c r="P2189" s="1" t="s">
        <v>20</v>
      </c>
      <c r="R2189" s="1" t="s">
        <v>2345</v>
      </c>
      <c r="V2189" s="1" t="s">
        <v>2356</v>
      </c>
      <c r="AR2189" s="1" t="str">
        <f t="shared" si="141"/>
        <v>| [ㄆㄧㄢˊ](ㄆㄧㄢˊ.md) | [胼](胼.md) |  | pián | [名]
手上因勞動摩擦而形成的厚繭。如：「胼胝」。唐．皮日休〈魯望昨以五百言見貽過有褒美內揣庸陋彌增愧悚因成一千言上述吾唐文物之盛次敘相得之歡亦迭和之微旨也〉詩：「苟無切玉刀，難除指上胼。」
[動]
手上因勞動摩擦致使皮膚形成厚繭。唐．王建〈去婦〉詩：「新婦去年胼手足，衣不暇縫蠶廢簇。」宋．洪咨夔〈漩口〉詩：「兩犍力不齊，手胼後者鞭。」 |</v>
      </c>
    </row>
    <row r="2190" spans="1:44" hidden="1">
      <c r="A2190" s="1" t="s">
        <v>2357</v>
      </c>
      <c r="C2190" s="1">
        <v>1</v>
      </c>
      <c r="D2190" s="1" t="str">
        <f>"00924"</f>
        <v>00924</v>
      </c>
      <c r="E2190" s="1" t="s">
        <v>319</v>
      </c>
      <c r="F2190" s="1">
        <v>16</v>
      </c>
      <c r="G2190" s="1">
        <v>6</v>
      </c>
      <c r="H2190" s="1">
        <v>0</v>
      </c>
      <c r="I2190" s="1" t="s">
        <v>2344</v>
      </c>
      <c r="K2190" s="1" t="str">
        <f t="shared" si="139"/>
        <v>ㄆ</v>
      </c>
      <c r="L2190" s="1" t="str">
        <f t="shared" si="140"/>
        <v>ㄧ</v>
      </c>
      <c r="M2190" s="1" t="str">
        <f t="shared" si="138"/>
        <v>ㄢ</v>
      </c>
      <c r="P2190" s="1" t="s">
        <v>20</v>
      </c>
      <c r="R2190" s="1" t="s">
        <v>2345</v>
      </c>
      <c r="V2190" s="1" t="s">
        <v>2358</v>
      </c>
      <c r="AR2190" s="1" t="str">
        <f t="shared" si="141"/>
        <v>| [ㄆㄧㄢˊ](ㄆㄧㄢˊ.md) | [駢](駢.md) |  | pián | [動]_x000D_
1.兩馬並駕一車。《說文解字．馬部》：「駢，駕二馬也。」_x000D_
2.兩匹馬並行。唐．薛濤〈送鄭眉州〉詩：「雙旌千騎駢東陌，獨有羅敷望上頭。」_x000D_
3.兩物並列。宋．曹勛〈出入塞詩．序〉：「聞南使過，駢肩引頸，氣哽不得語。」_x000D_
[形]_x000D_
1.兩物相連的。如：「駢拇枝指」。_x000D_
2.有對偶的。如：「駢句」。唐．柳宗元〈乞巧文〉：「駢四儷六，錦心繡口。」_x000D_
[副]_x000D_
1.齊併的。唐．韓愈〈雜說〉：「故雖有名馬，祗辱于奴隸人之手，駢死于槽櫪之間，不以千里稱也。」_x000D_
2.表示並聯的性質狀態。唐．柳宗元〈游黃溪記〉：「祠之上兩山牆立，如丹碧之華葉駢植。」_x000D_
[名]_x000D_
1.地名。春秋時齊邑，故地約在今大陸地區山東省臨朐縣。_x000D_
2.文體名。講究句式整齊、對仗工整、辭藻華麗的文體。如：「駢文」、「駢體文」。_x000D_
3.姓。如春秋時齊有駢邑。 |</v>
      </c>
    </row>
    <row r="2191" spans="1:44" hidden="1">
      <c r="A2191" s="1" t="s">
        <v>2359</v>
      </c>
      <c r="C2191" s="1">
        <v>1</v>
      </c>
      <c r="D2191" s="1" t="str">
        <f>"00925"</f>
        <v>00925</v>
      </c>
      <c r="E2191" s="1" t="s">
        <v>283</v>
      </c>
      <c r="F2191" s="1">
        <v>16</v>
      </c>
      <c r="G2191" s="1">
        <v>6</v>
      </c>
      <c r="H2191" s="1">
        <v>0</v>
      </c>
      <c r="I2191" s="1" t="s">
        <v>2344</v>
      </c>
      <c r="K2191" s="1" t="str">
        <f t="shared" si="139"/>
        <v>ㄆ</v>
      </c>
      <c r="L2191" s="1" t="str">
        <f t="shared" si="140"/>
        <v>ㄧ</v>
      </c>
      <c r="M2191" s="1" t="str">
        <f t="shared" ref="M2191:M2222" si="142">MID(I2191, 3, 1)</f>
        <v>ㄢ</v>
      </c>
      <c r="P2191" s="1" t="s">
        <v>20</v>
      </c>
      <c r="R2191" s="1" t="s">
        <v>2345</v>
      </c>
      <c r="V2191" s="1" t="s">
        <v>2360</v>
      </c>
      <c r="AR2191" s="1" t="str">
        <f t="shared" si="141"/>
        <v>| [ㄆㄧㄢˊ](ㄆㄧㄢˊ.md) | [骿](骿.md) |  | pián | [名]
1.肋骨並連成一片。《說文解字．骨部》：「骿，並脅也。」《國語．晉語四》：「聞其骿脅，欲觀其狀。」
2.手掌腳底所生的繭。通「胼」。如：「骿胝」。 |</v>
      </c>
    </row>
    <row r="2192" spans="1:44" hidden="1">
      <c r="A2192" s="1" t="s">
        <v>1234</v>
      </c>
      <c r="C2192" s="1">
        <v>1</v>
      </c>
      <c r="D2192" s="1" t="str">
        <f>"00926"</f>
        <v>00926</v>
      </c>
      <c r="E2192" s="1" t="s">
        <v>139</v>
      </c>
      <c r="F2192" s="1">
        <v>13</v>
      </c>
      <c r="G2192" s="1">
        <v>9</v>
      </c>
      <c r="H2192" s="1">
        <v>1</v>
      </c>
      <c r="I2192" s="1" t="s">
        <v>2344</v>
      </c>
      <c r="K2192" s="1" t="str">
        <f t="shared" si="139"/>
        <v>ㄆ</v>
      </c>
      <c r="L2192" s="1" t="str">
        <f t="shared" si="140"/>
        <v>ㄧ</v>
      </c>
      <c r="M2192" s="1" t="str">
        <f t="shared" si="142"/>
        <v>ㄢ</v>
      </c>
      <c r="P2192" s="1" t="s">
        <v>20</v>
      </c>
      <c r="R2192" s="1" t="s">
        <v>2345</v>
      </c>
      <c r="V2192" s="1" t="s">
        <v>2361</v>
      </c>
      <c r="W2192" s="1" t="s">
        <v>2362</v>
      </c>
      <c r="AR2192" s="1" t="str">
        <f t="shared" si="141"/>
        <v>| [ㄆㄧㄢˊ](ㄆㄧㄢˊ.md) | [楄](楄.md) |  | pián | [名]
1.方木。《說文解字．木部》：「楄，楄部，方木也。」《左傳．昭公二十五年》：「唯是楄柎所以藉幹者。」唐．孔穎達．正義：「木以藉脅，明是棺中答床也。」
2.扁額。通「扁」。清．姚鼐〈快雨堂記〉：「一日，得尚書書『快雨堂』舊楄，甚喜。」
3.一種古書上的樹木。《廣韻．平聲．先韻》：「楄，木名。」《山海經．中山經》：「堵山，神天愚居之，是多怪風雨。其上有木焉，名曰：『天楄』。」 |</v>
      </c>
    </row>
    <row r="2193" spans="1:44" hidden="1">
      <c r="A2193" s="1" t="s">
        <v>1269</v>
      </c>
      <c r="C2193" s="1">
        <v>1</v>
      </c>
      <c r="D2193" s="1" t="str">
        <f>"00927"</f>
        <v>00927</v>
      </c>
      <c r="E2193" s="1" t="s">
        <v>340</v>
      </c>
      <c r="F2193" s="1">
        <v>15</v>
      </c>
      <c r="G2193" s="1">
        <v>9</v>
      </c>
      <c r="H2193" s="1">
        <v>1</v>
      </c>
      <c r="I2193" s="1" t="s">
        <v>2344</v>
      </c>
      <c r="K2193" s="1" t="str">
        <f t="shared" si="139"/>
        <v>ㄆ</v>
      </c>
      <c r="L2193" s="1" t="str">
        <f t="shared" si="140"/>
        <v>ㄧ</v>
      </c>
      <c r="M2193" s="1" t="str">
        <f t="shared" si="142"/>
        <v>ㄢ</v>
      </c>
      <c r="P2193" s="1" t="s">
        <v>20</v>
      </c>
      <c r="R2193" s="1" t="s">
        <v>2345</v>
      </c>
      <c r="V2193" s="1" t="s">
        <v>2363</v>
      </c>
      <c r="W2193" s="1" t="s">
        <v>2364</v>
      </c>
      <c r="AR2193" s="1" t="str">
        <f t="shared" si="141"/>
        <v>| [ㄆㄧㄢˊ](ㄆㄧㄢˊ.md) | [褊](褊.md) |  | pián | 參見「褊褼」條。 |</v>
      </c>
    </row>
    <row r="2194" spans="1:44" hidden="1">
      <c r="A2194" s="1" t="s">
        <v>2365</v>
      </c>
      <c r="C2194" s="1">
        <v>1</v>
      </c>
      <c r="D2194" s="1" t="str">
        <f>"00928"</f>
        <v>00928</v>
      </c>
      <c r="E2194" s="1" t="s">
        <v>331</v>
      </c>
      <c r="F2194" s="1">
        <v>16</v>
      </c>
      <c r="G2194" s="1">
        <v>9</v>
      </c>
      <c r="H2194" s="1">
        <v>1</v>
      </c>
      <c r="I2194" s="1" t="s">
        <v>2344</v>
      </c>
      <c r="K2194" s="1" t="str">
        <f t="shared" si="139"/>
        <v>ㄆ</v>
      </c>
      <c r="L2194" s="1" t="str">
        <f t="shared" si="140"/>
        <v>ㄧ</v>
      </c>
      <c r="M2194" s="1" t="str">
        <f t="shared" si="142"/>
        <v>ㄢ</v>
      </c>
      <c r="P2194" s="1" t="s">
        <v>20</v>
      </c>
      <c r="R2194" s="1" t="s">
        <v>2345</v>
      </c>
      <c r="V2194" s="1" t="s">
        <v>2366</v>
      </c>
      <c r="W2194" s="1" t="s">
        <v>2367</v>
      </c>
      <c r="AR2194" s="1" t="str">
        <f t="shared" si="141"/>
        <v>| [ㄆㄧㄢˊ](ㄆㄧㄢˊ.md) | [諞](諞.md) |  | pián | [形]
花言巧語的。《書經．秦誓》：「惟截截善諞言，俾君子易辭。」
[動]
自誇、誇耀。元．關漢卿《陳母教子》第二折：「我勸這世上人休把這口忒諞過了。」 |</v>
      </c>
    </row>
    <row r="2195" spans="1:44" hidden="1">
      <c r="A2195" s="1" t="s">
        <v>2368</v>
      </c>
      <c r="C2195" s="1">
        <v>1</v>
      </c>
      <c r="D2195" s="1" t="str">
        <f>"00929"</f>
        <v>00929</v>
      </c>
      <c r="E2195" s="1" t="s">
        <v>77</v>
      </c>
      <c r="F2195" s="1">
        <v>16</v>
      </c>
      <c r="G2195" s="1">
        <v>9</v>
      </c>
      <c r="H2195" s="1">
        <v>0</v>
      </c>
      <c r="I2195" s="1" t="s">
        <v>2344</v>
      </c>
      <c r="K2195" s="1" t="str">
        <f t="shared" si="139"/>
        <v>ㄆ</v>
      </c>
      <c r="L2195" s="1" t="str">
        <f t="shared" si="140"/>
        <v>ㄧ</v>
      </c>
      <c r="M2195" s="1" t="str">
        <f t="shared" si="142"/>
        <v>ㄢ</v>
      </c>
      <c r="P2195" s="1" t="s">
        <v>20</v>
      </c>
      <c r="R2195" s="1" t="s">
        <v>2345</v>
      </c>
      <c r="V2195" s="1" t="s">
        <v>2369</v>
      </c>
      <c r="AR2195" s="1" t="str">
        <f t="shared" si="141"/>
        <v>| [ㄆㄧㄢˊ](ㄆㄧㄢˊ.md) | [蹁](蹁.md) |  | pián | [形]
1.走路腳不正。《玉篇．足部》：「蹁，足不正。」
2.泛指一般姿勢歪斜。漢．賈誼．《新書．卷六．容經》：「若夫立而技，生而蹁……，皆禁也。」 |</v>
      </c>
    </row>
    <row r="2196" spans="1:44" hidden="1">
      <c r="A2196" s="1" t="s">
        <v>2365</v>
      </c>
      <c r="C2196" s="1">
        <v>1</v>
      </c>
      <c r="D2196" s="1" t="str">
        <f>"00930"</f>
        <v>00930</v>
      </c>
      <c r="E2196" s="1" t="s">
        <v>331</v>
      </c>
      <c r="F2196" s="1">
        <v>16</v>
      </c>
      <c r="G2196" s="1">
        <v>9</v>
      </c>
      <c r="H2196" s="1">
        <v>2</v>
      </c>
      <c r="I2196" s="1" t="s">
        <v>2370</v>
      </c>
      <c r="K2196" s="1" t="str">
        <f t="shared" si="139"/>
        <v>ㄆ</v>
      </c>
      <c r="L2196" s="1" t="str">
        <f t="shared" si="140"/>
        <v>ㄧ</v>
      </c>
      <c r="M2196" s="1" t="str">
        <f t="shared" si="142"/>
        <v>ㄢ</v>
      </c>
      <c r="P2196" s="1" t="s">
        <v>110</v>
      </c>
      <c r="R2196" s="1" t="s">
        <v>2371</v>
      </c>
      <c r="V2196" s="1" t="s">
        <v>111</v>
      </c>
      <c r="W2196" s="1" t="s">
        <v>2372</v>
      </c>
      <c r="AR2196" s="1" t="str">
        <f t="shared" si="141"/>
        <v>| [ㄆㄧㄢˇ](ㄆㄧㄢˇ.md) | [諞](諞.md) |  | piǎn | (一)之又音。 |</v>
      </c>
    </row>
    <row r="2197" spans="1:44" hidden="1">
      <c r="A2197" s="1" t="s">
        <v>2326</v>
      </c>
      <c r="C2197" s="1">
        <v>1</v>
      </c>
      <c r="D2197" s="1" t="str">
        <f>"00931"</f>
        <v>00931</v>
      </c>
      <c r="E2197" s="1" t="s">
        <v>698</v>
      </c>
      <c r="F2197" s="1">
        <v>4</v>
      </c>
      <c r="G2197" s="1">
        <v>0</v>
      </c>
      <c r="H2197" s="1">
        <v>1</v>
      </c>
      <c r="I2197" s="1" t="s">
        <v>2373</v>
      </c>
      <c r="K2197" s="1" t="str">
        <f t="shared" si="139"/>
        <v>ㄆ</v>
      </c>
      <c r="L2197" s="1" t="str">
        <f t="shared" si="140"/>
        <v>ㄧ</v>
      </c>
      <c r="M2197" s="1" t="str">
        <f t="shared" si="142"/>
        <v>ㄢ</v>
      </c>
      <c r="P2197" s="1" t="s">
        <v>20</v>
      </c>
      <c r="R2197" s="1" t="s">
        <v>2374</v>
      </c>
      <c r="V2197" s="1" t="s">
        <v>2375</v>
      </c>
      <c r="W2197" s="1" t="s">
        <v>2376</v>
      </c>
      <c r="AR2197" s="1" t="str">
        <f t="shared" si="141"/>
        <v>| [ㄆㄧㄢˋ](ㄆㄧㄢˋ.md) | [片](片.md) |  | piàn | [名]
1.薄而扁平的東西。如：「肉片」、「洋鐵片」。
2.量詞：(1)計算薄而成片的東西的單位。如：「一片樹葉」、「兩片土司」。(2)計算地面物的單位。如：「一片樹林」、「門前兩側各有一片草地。」
3.印有姓名或可供通信的紙片。如：「名片」、「明信片」。
4.二一四部首之一。
[動]
將厚物以刀橫著或斜著切成薄片狀。如：「片肉」。《老殘遊記》第六回：「我們那裡有人送的兩隻山雞，都已經片出來了。」
[形]
1.微少的。如：「片簡殘牘」、「隻字片語」。唐．韓愈〈贈徐州族姪〉詩：「一名雖云就，片祿不足充。」
2.單一的。如：「片面」。《論語．顏淵》：「片言可以折獄者，其由也與？」
3.短暫的。如：「片刻」、「片晌」。 |</v>
      </c>
    </row>
    <row r="2198" spans="1:44" hidden="1">
      <c r="A2198" s="1" t="s">
        <v>1231</v>
      </c>
      <c r="C2198" s="1">
        <v>1</v>
      </c>
      <c r="D2198" s="1" t="str">
        <f>"00932"</f>
        <v>00932</v>
      </c>
      <c r="E2198" s="1" t="s">
        <v>198</v>
      </c>
      <c r="F2198" s="1">
        <v>12</v>
      </c>
      <c r="G2198" s="1">
        <v>9</v>
      </c>
      <c r="H2198" s="1">
        <v>2</v>
      </c>
      <c r="I2198" s="1" t="s">
        <v>2373</v>
      </c>
      <c r="K2198" s="1" t="str">
        <f t="shared" si="139"/>
        <v>ㄆ</v>
      </c>
      <c r="L2198" s="1" t="str">
        <f t="shared" si="140"/>
        <v>ㄧ</v>
      </c>
      <c r="M2198" s="1" t="str">
        <f t="shared" si="142"/>
        <v>ㄢ</v>
      </c>
      <c r="P2198" s="1" t="s">
        <v>20</v>
      </c>
      <c r="R2198" s="1" t="s">
        <v>2374</v>
      </c>
      <c r="V2198" s="1" t="s">
        <v>2377</v>
      </c>
      <c r="W2198" s="1" t="s">
        <v>2378</v>
      </c>
      <c r="AR2198" s="1" t="str">
        <f t="shared" si="141"/>
        <v>| [ㄆㄧㄢˋ](ㄆㄧㄢˋ.md) | [猵](猵.md) |  | piàn | 參見「猵狙」條。 |</v>
      </c>
    </row>
    <row r="2199" spans="1:44" hidden="1">
      <c r="A2199" s="1" t="s">
        <v>1307</v>
      </c>
      <c r="C2199" s="1">
        <v>1</v>
      </c>
      <c r="D2199" s="1" t="str">
        <f>"00933"</f>
        <v>00933</v>
      </c>
      <c r="E2199" s="1" t="s">
        <v>558</v>
      </c>
      <c r="F2199" s="1">
        <v>13</v>
      </c>
      <c r="G2199" s="1">
        <v>9</v>
      </c>
      <c r="H2199" s="1">
        <v>2</v>
      </c>
      <c r="I2199" s="1" t="s">
        <v>2373</v>
      </c>
      <c r="K2199" s="1" t="str">
        <f t="shared" si="139"/>
        <v>ㄆ</v>
      </c>
      <c r="L2199" s="1" t="str">
        <f t="shared" si="140"/>
        <v>ㄧ</v>
      </c>
      <c r="M2199" s="1" t="str">
        <f t="shared" si="142"/>
        <v>ㄢ</v>
      </c>
      <c r="P2199" s="1" t="s">
        <v>388</v>
      </c>
      <c r="R2199" s="1" t="s">
        <v>2374</v>
      </c>
      <c r="V2199" s="1" t="s">
        <v>407</v>
      </c>
      <c r="W2199" s="1" t="s">
        <v>2379</v>
      </c>
      <c r="AR2199" s="1" t="str">
        <f t="shared" si="141"/>
        <v>| [ㄆㄧㄢˋ](ㄆㄧㄢˋ.md) | [遍](遍.md) |  | piàn | (一)之語音。 |</v>
      </c>
    </row>
    <row r="2200" spans="1:44" hidden="1">
      <c r="A2200" s="1" t="s">
        <v>2380</v>
      </c>
      <c r="C2200" s="1">
        <v>1</v>
      </c>
      <c r="D2200" s="1" t="str">
        <f>"00934"</f>
        <v>00934</v>
      </c>
      <c r="E2200" s="1" t="s">
        <v>319</v>
      </c>
      <c r="F2200" s="1">
        <v>19</v>
      </c>
      <c r="G2200" s="1">
        <v>9</v>
      </c>
      <c r="H2200" s="1">
        <v>0</v>
      </c>
      <c r="I2200" s="1" t="s">
        <v>2373</v>
      </c>
      <c r="K2200" s="1" t="str">
        <f t="shared" si="139"/>
        <v>ㄆ</v>
      </c>
      <c r="L2200" s="1" t="str">
        <f t="shared" si="140"/>
        <v>ㄧ</v>
      </c>
      <c r="M2200" s="1" t="str">
        <f t="shared" si="142"/>
        <v>ㄢ</v>
      </c>
      <c r="P2200" s="1" t="s">
        <v>20</v>
      </c>
      <c r="R2200" s="1" t="s">
        <v>2374</v>
      </c>
      <c r="V2200" s="1" t="s">
        <v>2381</v>
      </c>
      <c r="AR2200" s="1" t="str">
        <f t="shared" si="141"/>
        <v>| [ㄆㄧㄢˋ](ㄆㄧㄢˋ.md) | [騙](騙.md) |  | piàn | [動]
1.騎、跨乘。如：「騙腿兒」。元．張國賓《合汗衫》第二折：「只待要急煎煎挾橐攜囊，穩拍拍乘舟騙馬。」
2.用謊話或不正當手段讓人吃虧、上當。如：「欺騙」、「騙錢」。《水滸傳》第四五回：「那婦人又道：『我老公不是好惹的，你卻要騙我。倘若他得知，卻不饒你。』」《老殘遊記》第一回：「依愚見看來，這等人恐怕不是辦事的人，是用幾句文明的話頭騙幾個錢用用罷了。」
[名]
詐欺的行為。如：「行騙」。
[形]
詐欺的。如：「騙術」、「騙局」。 |</v>
      </c>
    </row>
    <row r="2201" spans="1:44" hidden="1">
      <c r="A2201" s="1" t="s">
        <v>2382</v>
      </c>
      <c r="C2201" s="1">
        <v>1</v>
      </c>
      <c r="D2201" s="1" t="str">
        <f>"00935"</f>
        <v>00935</v>
      </c>
      <c r="E2201" s="1" t="s">
        <v>24</v>
      </c>
      <c r="F2201" s="1">
        <v>9</v>
      </c>
      <c r="G2201" s="1">
        <v>6</v>
      </c>
      <c r="H2201" s="1">
        <v>0</v>
      </c>
      <c r="I2201" s="1" t="s">
        <v>2383</v>
      </c>
      <c r="K2201" s="1" t="str">
        <f t="shared" si="139"/>
        <v>ㄆ</v>
      </c>
      <c r="L2201" s="1" t="str">
        <f t="shared" si="140"/>
        <v>ㄧ</v>
      </c>
      <c r="M2201" s="1" t="str">
        <f t="shared" si="142"/>
        <v>ㄣ</v>
      </c>
      <c r="P2201" s="1" t="s">
        <v>20</v>
      </c>
      <c r="R2201" s="1" t="s">
        <v>2384</v>
      </c>
      <c r="V2201" s="1" t="s">
        <v>2385</v>
      </c>
      <c r="AR2201" s="1" t="str">
        <f t="shared" si="141"/>
        <v>| [ㄆㄧㄣ](ㄆㄧㄣ.md) | [拼](拼.md) |  | pīn | [動]
1.將零星的事物綴合，使相連屬。如：「拼版」、「拼圖」、「東拼西湊」。
2.豁出去。如：「拼死」、「拼到底」。 |</v>
      </c>
    </row>
    <row r="2202" spans="1:44" hidden="1">
      <c r="A2202" s="1" t="s">
        <v>2386</v>
      </c>
      <c r="C2202" s="1">
        <v>1</v>
      </c>
      <c r="D2202" s="1" t="str">
        <f>"00936"</f>
        <v>00936</v>
      </c>
      <c r="E2202" s="1" t="s">
        <v>534</v>
      </c>
      <c r="F2202" s="1">
        <v>9</v>
      </c>
      <c r="G2202" s="1">
        <v>6</v>
      </c>
      <c r="H2202" s="1">
        <v>0</v>
      </c>
      <c r="I2202" s="1" t="s">
        <v>2383</v>
      </c>
      <c r="K2202" s="1" t="str">
        <f t="shared" si="139"/>
        <v>ㄆ</v>
      </c>
      <c r="L2202" s="1" t="str">
        <f t="shared" si="140"/>
        <v>ㄧ</v>
      </c>
      <c r="M2202" s="1" t="str">
        <f t="shared" si="142"/>
        <v>ㄣ</v>
      </c>
      <c r="P2202" s="1" t="s">
        <v>20</v>
      </c>
      <c r="R2202" s="1" t="s">
        <v>2384</v>
      </c>
      <c r="V2202" s="1" t="s">
        <v>2387</v>
      </c>
      <c r="AR2202" s="1" t="str">
        <f t="shared" si="141"/>
        <v>| [ㄆㄧㄣ](ㄆㄧㄣ.md) | [姘](姘.md) |  | pīn | [動]_x000D_
非法定配偶而發生性關係。如：「西門慶和王六兒在第一次邂逅後，兩人就姘上了。」《廣韻．平聲．耕韻》：「《蒼頡篇》曰：『男女私合曰姘。』」_x000D_
[形]_x000D_
與人私合的。如：「姘夫」、「姘婦」。 |</v>
      </c>
    </row>
    <row r="2203" spans="1:44" hidden="1">
      <c r="A2203" s="1" t="s">
        <v>2108</v>
      </c>
      <c r="C2203" s="1">
        <v>1</v>
      </c>
      <c r="D2203" s="1" t="str">
        <f>"00937"</f>
        <v>00937</v>
      </c>
      <c r="E2203" s="1" t="s">
        <v>142</v>
      </c>
      <c r="F2203" s="1">
        <v>8</v>
      </c>
      <c r="G2203" s="1">
        <v>4</v>
      </c>
      <c r="H2203" s="1">
        <v>1</v>
      </c>
      <c r="I2203" s="1" t="s">
        <v>2388</v>
      </c>
      <c r="K2203" s="1" t="str">
        <f t="shared" si="139"/>
        <v>ㄆ</v>
      </c>
      <c r="L2203" s="1" t="str">
        <f t="shared" si="140"/>
        <v>ㄧ</v>
      </c>
      <c r="M2203" s="1" t="str">
        <f t="shared" si="142"/>
        <v>ㄣ</v>
      </c>
      <c r="P2203" s="1" t="s">
        <v>20</v>
      </c>
      <c r="R2203" s="1" t="s">
        <v>2389</v>
      </c>
      <c r="V2203" s="1" t="s">
        <v>2390</v>
      </c>
      <c r="W2203" s="1" t="s">
        <v>2391</v>
      </c>
      <c r="AR2203" s="1" t="str">
        <f t="shared" si="141"/>
        <v>| [ㄆㄧㄣˊ](ㄆㄧㄣˊ.md) | [玭](玭.md) |  | pín | [名]
1.蚌的別名。《說文解字．玉部》「玭」字．清．段玉裁．注：「玭，本是蚌名……。韋昭曰：『玭，蚌也。』」
2.蚌珠、珍珠。《文選．何晏．景福殿賦》：「流羽毛之威蕤，垂環玭之琳琅。」 |</v>
      </c>
    </row>
    <row r="2204" spans="1:44" hidden="1">
      <c r="A2204" s="1" t="s">
        <v>2392</v>
      </c>
      <c r="C2204" s="1">
        <v>1</v>
      </c>
      <c r="D2204" s="1" t="str">
        <f>"00938"</f>
        <v>00938</v>
      </c>
      <c r="E2204" s="1" t="s">
        <v>505</v>
      </c>
      <c r="F2204" s="1">
        <v>11</v>
      </c>
      <c r="G2204" s="1">
        <v>4</v>
      </c>
      <c r="H2204" s="1">
        <v>0</v>
      </c>
      <c r="I2204" s="1" t="s">
        <v>2388</v>
      </c>
      <c r="K2204" s="1" t="str">
        <f t="shared" si="139"/>
        <v>ㄆ</v>
      </c>
      <c r="L2204" s="1" t="str">
        <f t="shared" si="140"/>
        <v>ㄧ</v>
      </c>
      <c r="M2204" s="1" t="str">
        <f t="shared" si="142"/>
        <v>ㄣ</v>
      </c>
      <c r="P2204" s="1" t="s">
        <v>20</v>
      </c>
      <c r="R2204" s="1" t="s">
        <v>2389</v>
      </c>
      <c r="V2204" s="1" t="s">
        <v>2393</v>
      </c>
      <c r="AR2204" s="1" t="str">
        <f t="shared" si="141"/>
        <v>| [ㄆㄧㄣˊ](ㄆㄧㄣˊ.md) | [貧](貧.md) |  | pín | [形]
1.生活窮困的。如：「貧戶」、「貧民」。唐．元結〈賊退示官吏〉詩：「城小賊不屠，人貧傷可憐。」明．宋濂〈送東陽馬生序〉：「余幼時即嗜學，家貧，無從致書以觀。」
2.缺乏的、不足的。如：「貧血」。
3.話多可厭的。如：「貧嘴」。
[動]
使窮困、不足。《荀子．天論》：「彊本而節用，則天不能貧。」
[名]
窮困的生活環境。《論語．衛靈公》：「君子憂道不憂貧。」北魏．賈思勰〈齊民要術序〉：「力能勝貧，謹能勝禍。」 |</v>
      </c>
    </row>
    <row r="2205" spans="1:44" hidden="1">
      <c r="A2205" s="1" t="s">
        <v>2394</v>
      </c>
      <c r="C2205" s="1">
        <v>1</v>
      </c>
      <c r="D2205" s="1" t="str">
        <f>"00939"</f>
        <v>00939</v>
      </c>
      <c r="E2205" s="1" t="s">
        <v>684</v>
      </c>
      <c r="F2205" s="1">
        <v>16</v>
      </c>
      <c r="G2205" s="1">
        <v>7</v>
      </c>
      <c r="H2205" s="1">
        <v>0</v>
      </c>
      <c r="I2205" s="1" t="s">
        <v>2388</v>
      </c>
      <c r="K2205" s="1" t="str">
        <f t="shared" si="139"/>
        <v>ㄆ</v>
      </c>
      <c r="L2205" s="1" t="str">
        <f t="shared" si="140"/>
        <v>ㄧ</v>
      </c>
      <c r="M2205" s="1" t="str">
        <f t="shared" si="142"/>
        <v>ㄣ</v>
      </c>
      <c r="P2205" s="1" t="s">
        <v>20</v>
      </c>
      <c r="R2205" s="1" t="s">
        <v>2389</v>
      </c>
      <c r="V2205" s="1" t="s">
        <v>2395</v>
      </c>
      <c r="AR2205" s="1" t="str">
        <f t="shared" si="141"/>
        <v>| [ㄆㄧㄣˊ](ㄆㄧㄣˊ.md) | [頻](頻.md) |  | pín | [副]
屢次的、接連的。如：「捷報頻傳」。《後漢書．卷五七．李雲傳》：「是時地數震裂，眾災頻降。」唐．杜甫〈蜀相〉詩：「三顧頻煩天下計，兩朝開濟老臣心。」
[形]
急迫。《詩經．大雅．桑柔》：「於乎有哀，國步斯頻。」
[名]
1.頻率的簡稱。如：「高頻」、「超高頻」。
2.姓。如漢代有頻暢。 |</v>
      </c>
    </row>
    <row r="2206" spans="1:44" hidden="1">
      <c r="A2206" s="1" t="s">
        <v>1360</v>
      </c>
      <c r="C2206" s="1">
        <v>1</v>
      </c>
      <c r="D2206" s="1" t="str">
        <f>"00940"</f>
        <v>00940</v>
      </c>
      <c r="E2206" s="1" t="s">
        <v>129</v>
      </c>
      <c r="F2206" s="1">
        <v>19</v>
      </c>
      <c r="G2206" s="1">
        <v>16</v>
      </c>
      <c r="H2206" s="1">
        <v>2</v>
      </c>
      <c r="I2206" s="1" t="s">
        <v>2388</v>
      </c>
      <c r="K2206" s="1" t="str">
        <f t="shared" si="139"/>
        <v>ㄆ</v>
      </c>
      <c r="L2206" s="1" t="str">
        <f t="shared" si="140"/>
        <v>ㄧ</v>
      </c>
      <c r="M2206" s="1" t="str">
        <f t="shared" si="142"/>
        <v>ㄣ</v>
      </c>
      <c r="P2206" s="1" t="s">
        <v>110</v>
      </c>
      <c r="R2206" s="1" t="s">
        <v>2389</v>
      </c>
      <c r="V2206" s="1" t="s">
        <v>111</v>
      </c>
      <c r="W2206" s="1" t="s">
        <v>2396</v>
      </c>
      <c r="AR2206" s="1" t="str">
        <f t="shared" si="141"/>
        <v>| [ㄆㄧㄣˊ](ㄆㄧㄣˊ.md) | [瀕](瀕.md) |  | pín | (一)之又音。 |</v>
      </c>
    </row>
    <row r="2207" spans="1:44" hidden="1">
      <c r="A2207" s="1" t="s">
        <v>2397</v>
      </c>
      <c r="C2207" s="1">
        <v>1</v>
      </c>
      <c r="D2207" s="1" t="str">
        <f>"00941"</f>
        <v>00941</v>
      </c>
      <c r="E2207" s="1" t="s">
        <v>28</v>
      </c>
      <c r="F2207" s="1">
        <v>19</v>
      </c>
      <c r="G2207" s="1">
        <v>16</v>
      </c>
      <c r="H2207" s="1">
        <v>0</v>
      </c>
      <c r="I2207" s="1" t="s">
        <v>2388</v>
      </c>
      <c r="K2207" s="1" t="str">
        <f t="shared" si="139"/>
        <v>ㄆ</v>
      </c>
      <c r="L2207" s="1" t="str">
        <f t="shared" si="140"/>
        <v>ㄧ</v>
      </c>
      <c r="M2207" s="1" t="str">
        <f t="shared" si="142"/>
        <v>ㄣ</v>
      </c>
      <c r="P2207" s="1" t="s">
        <v>20</v>
      </c>
      <c r="R2207" s="1" t="s">
        <v>2389</v>
      </c>
      <c r="V2207" s="1" t="s">
        <v>2398</v>
      </c>
      <c r="AR2207" s="1" t="str">
        <f t="shared" si="141"/>
        <v>| [ㄆㄧㄣˊ](ㄆㄧㄣˊ.md) | [嚬](嚬.md) |  | pín | [動]
憂愁不樂而皺眉。通「顰」。《韓非子．內儲說上》：「吾聞明主之愛，一嚬一笑；嚬有為嚬，而笑有為笑。」唐．韓愈〈柳州羅池廟碑〉：「慰我民兮，不嚬以笑。」 |</v>
      </c>
    </row>
    <row r="2208" spans="1:44" hidden="1">
      <c r="A2208" s="1" t="s">
        <v>2399</v>
      </c>
      <c r="C2208" s="1">
        <v>1</v>
      </c>
      <c r="D2208" s="1" t="str">
        <f>"00942"</f>
        <v>00942</v>
      </c>
      <c r="E2208" s="1" t="s">
        <v>37</v>
      </c>
      <c r="F2208" s="1">
        <v>20</v>
      </c>
      <c r="G2208" s="1">
        <v>16</v>
      </c>
      <c r="H2208" s="1">
        <v>1</v>
      </c>
      <c r="I2208" s="1" t="s">
        <v>2388</v>
      </c>
      <c r="K2208" s="1" t="str">
        <f t="shared" si="139"/>
        <v>ㄆ</v>
      </c>
      <c r="L2208" s="1" t="str">
        <f t="shared" si="140"/>
        <v>ㄧ</v>
      </c>
      <c r="M2208" s="1" t="str">
        <f t="shared" si="142"/>
        <v>ㄣ</v>
      </c>
      <c r="P2208" s="1" t="s">
        <v>20</v>
      </c>
      <c r="R2208" s="1" t="s">
        <v>2389</v>
      </c>
      <c r="V2208" s="1" t="s">
        <v>2400</v>
      </c>
      <c r="W2208" s="1" t="s">
        <v>2401</v>
      </c>
      <c r="AR2208" s="1" t="str">
        <f t="shared" si="141"/>
        <v>| [ㄆㄧㄣˊ](ㄆㄧㄣˊ.md) | [蘋](蘋.md) |  | pín | [名]
植物名。蘋科蘋屬。「田字草」、「白蘋」之古稱。參見「白蘋」條。 |</v>
      </c>
    </row>
    <row r="2209" spans="1:44" hidden="1">
      <c r="A2209" s="1" t="s">
        <v>2402</v>
      </c>
      <c r="C2209" s="1">
        <v>1</v>
      </c>
      <c r="D2209" s="1" t="str">
        <f>"00943"</f>
        <v>00943</v>
      </c>
      <c r="E2209" s="1" t="s">
        <v>684</v>
      </c>
      <c r="F2209" s="1">
        <v>24</v>
      </c>
      <c r="G2209" s="1">
        <v>15</v>
      </c>
      <c r="H2209" s="1">
        <v>0</v>
      </c>
      <c r="I2209" s="1" t="s">
        <v>2388</v>
      </c>
      <c r="K2209" s="1" t="str">
        <f t="shared" si="139"/>
        <v>ㄆ</v>
      </c>
      <c r="L2209" s="1" t="str">
        <f t="shared" si="140"/>
        <v>ㄧ</v>
      </c>
      <c r="M2209" s="1" t="str">
        <f t="shared" si="142"/>
        <v>ㄣ</v>
      </c>
      <c r="P2209" s="1" t="s">
        <v>20</v>
      </c>
      <c r="R2209" s="1" t="s">
        <v>2389</v>
      </c>
      <c r="V2209" s="1" t="s">
        <v>2403</v>
      </c>
      <c r="AR2209" s="1" t="str">
        <f t="shared" si="141"/>
        <v>| [ㄆㄧㄣˊ](ㄆㄧㄣˊ.md) | [顰](顰.md) |  | pín | [動]
皺眉。如：「顰眉」、「顰蹙」。唐．李白〈怨情〉詩：「美人捲珠簾，深坐顰蛾眉。」唐．李賀〈夜坐吟〉：「西風羅幕生翠波，鉛華笑妾顰青娥。」
[形]
皺著眉頭，憂愁不樂的樣子。唐．駱賓王〈王昭君〉詩：「古鏡菱花暗，愁眉柳葉顰。」 |</v>
      </c>
    </row>
    <row r="2210" spans="1:44" hidden="1">
      <c r="A2210" s="1" t="s">
        <v>2404</v>
      </c>
      <c r="C2210" s="1">
        <v>1</v>
      </c>
      <c r="D2210" s="1" t="str">
        <f>"00944"</f>
        <v>00944</v>
      </c>
      <c r="E2210" s="1" t="s">
        <v>534</v>
      </c>
      <c r="F2210" s="1">
        <v>17</v>
      </c>
      <c r="G2210" s="1">
        <v>14</v>
      </c>
      <c r="H2210" s="1">
        <v>0</v>
      </c>
      <c r="I2210" s="1" t="s">
        <v>2388</v>
      </c>
      <c r="K2210" s="1" t="str">
        <f t="shared" si="139"/>
        <v>ㄆ</v>
      </c>
      <c r="L2210" s="1" t="str">
        <f t="shared" si="140"/>
        <v>ㄧ</v>
      </c>
      <c r="M2210" s="1" t="str">
        <f t="shared" si="142"/>
        <v>ㄣ</v>
      </c>
      <c r="P2210" s="1" t="s">
        <v>20</v>
      </c>
      <c r="R2210" s="1" t="s">
        <v>2389</v>
      </c>
      <c r="V2210" s="1" t="s">
        <v>2405</v>
      </c>
      <c r="AR2210" s="1" t="str">
        <f t="shared" si="141"/>
        <v>| [ㄆㄧㄣˊ](ㄆㄧㄣˊ.md) | [嬪](嬪.md) |  | pín | [名]
1.古代對婦人的美稱。《周禮．天官．大宰》：「七曰嬪婦，化治絲枲。」漢．鄭玄．注：「嬪，婦人之美稱也。」
2.古代帝王的妻妾之一。也指宮中的女官。如：「嬪妃」、「九嬪」。《禮記．曲禮下》：「天子有后，有夫人，有世婦，有嬪，有妻，有妾。」唐．顧況〈宮詞〉五首之二：「玉樓天半起笙歌，風送宮嬪笑語和。」
[動]
出嫁、為人婦。《書經．堯典》：「降二女于媯汭，嬪于虞。」 |</v>
      </c>
    </row>
    <row r="2211" spans="1:44" hidden="1">
      <c r="A2211" s="1" t="s">
        <v>2406</v>
      </c>
      <c r="C2211" s="1">
        <v>1</v>
      </c>
      <c r="D2211" s="1" t="str">
        <f>"00945"</f>
        <v>00945</v>
      </c>
      <c r="E2211" s="1" t="s">
        <v>1015</v>
      </c>
      <c r="F2211" s="1">
        <v>19</v>
      </c>
      <c r="G2211" s="1">
        <v>14</v>
      </c>
      <c r="H2211" s="1">
        <v>0</v>
      </c>
      <c r="I2211" s="1" t="s">
        <v>2388</v>
      </c>
      <c r="K2211" s="1" t="str">
        <f t="shared" si="139"/>
        <v>ㄆ</v>
      </c>
      <c r="L2211" s="1" t="str">
        <f t="shared" si="140"/>
        <v>ㄧ</v>
      </c>
      <c r="M2211" s="1" t="str">
        <f t="shared" si="142"/>
        <v>ㄣ</v>
      </c>
      <c r="P2211" s="1" t="s">
        <v>20</v>
      </c>
      <c r="R2211" s="1" t="s">
        <v>2389</v>
      </c>
      <c r="V2211" s="1" t="s">
        <v>2407</v>
      </c>
      <c r="AR2211" s="1" t="str">
        <f t="shared" si="141"/>
        <v>| [ㄆㄧㄣˊ](ㄆㄧㄣˊ.md) | [矉](矉.md) |  | pín | [動]
1.因恨而瞪眼張目。《說文解字．目部》：「矉，恨張目也。」
2.皺眉。同「顰」。《莊子．天運》：「故西施病心而矉其里，其里之醜人，見而美之。」唐．李白〈效古〉詩二首之二：「娥眉不可妒，況乃效其矉。」 |</v>
      </c>
    </row>
    <row r="2212" spans="1:44" hidden="1">
      <c r="A2212" s="1" t="s">
        <v>1352</v>
      </c>
      <c r="C2212" s="1">
        <v>1</v>
      </c>
      <c r="D2212" s="1" t="str">
        <f>"00946"</f>
        <v>00946</v>
      </c>
      <c r="E2212" s="1" t="s">
        <v>679</v>
      </c>
      <c r="F2212" s="1">
        <v>20</v>
      </c>
      <c r="G2212" s="1">
        <v>14</v>
      </c>
      <c r="H2212" s="1">
        <v>1</v>
      </c>
      <c r="I2212" s="1" t="s">
        <v>2388</v>
      </c>
      <c r="K2212" s="1" t="str">
        <f t="shared" si="139"/>
        <v>ㄆ</v>
      </c>
      <c r="L2212" s="1" t="str">
        <f t="shared" si="140"/>
        <v>ㄧ</v>
      </c>
      <c r="M2212" s="1" t="str">
        <f t="shared" si="142"/>
        <v>ㄣ</v>
      </c>
      <c r="P2212" s="1" t="s">
        <v>20</v>
      </c>
      <c r="R2212" s="1" t="s">
        <v>2389</v>
      </c>
      <c r="V2212" s="1" t="s">
        <v>2408</v>
      </c>
      <c r="W2212" s="1" t="s">
        <v>2409</v>
      </c>
      <c r="AR2212" s="1" t="str">
        <f t="shared" si="141"/>
        <v>| [ㄆㄧㄣˊ](ㄆㄧㄣˊ.md) | [蠙](蠙.md) |  | pín | [名]
蚌的別名。亦指蚌珠、珍珠。《宋書．卷六七．謝靈運傳》：「聆泗川之浮磬，翫夷水之蠙珠。」 |</v>
      </c>
    </row>
    <row r="2213" spans="1:44" hidden="1">
      <c r="A2213" s="1" t="s">
        <v>2410</v>
      </c>
      <c r="C2213" s="1">
        <v>1</v>
      </c>
      <c r="D2213" s="1" t="str">
        <f>"00947"</f>
        <v>00947</v>
      </c>
      <c r="E2213" s="1" t="s">
        <v>28</v>
      </c>
      <c r="F2213" s="1">
        <v>9</v>
      </c>
      <c r="G2213" s="1">
        <v>6</v>
      </c>
      <c r="H2213" s="1">
        <v>0</v>
      </c>
      <c r="I2213" s="1" t="s">
        <v>2411</v>
      </c>
      <c r="K2213" s="1" t="str">
        <f t="shared" si="139"/>
        <v>ㄆ</v>
      </c>
      <c r="L2213" s="1" t="str">
        <f t="shared" si="140"/>
        <v>ㄧ</v>
      </c>
      <c r="M2213" s="1" t="str">
        <f t="shared" si="142"/>
        <v>ㄣ</v>
      </c>
      <c r="P2213" s="1" t="s">
        <v>20</v>
      </c>
      <c r="R2213" s="1" t="s">
        <v>2412</v>
      </c>
      <c r="V2213" s="1" t="s">
        <v>2413</v>
      </c>
      <c r="AR2213" s="1" t="str">
        <f t="shared" si="141"/>
        <v>| [ㄆㄧㄣˇ](ㄆㄧㄣˇ.md) | [品](品.md) |  | pǐn | [形]
眾多的。《說文解字．品部》：「品，眾庶也。」《易經．乾卦．彖曰》：「雲行雨施，品物流行。」
[名]
1.某一類東西的總稱。如：「物品」、「食品」、「成品」、「商品」。
2.事物的種類。《書經．禹貢》：「厥貢惟金三品。」孔安國．傳：「金、銀、銅也。」南朝梁．劉勰《文心雕龍．原道》：「傍及萬品，動植皆文。」
3.等級。如：「上品」、「極品」、「詩品」。
4.古代官制中的階級。如：「一品」、「官品」。元．關漢卿《碧玉簫．秋景堪題曲》：「官品極，到底成何濟！」
5.人的德性。如：「人品」、「學品」。
6.姓。如明代有品嵒。
[動]
1.評量、評斷好壞優劣。如：「品詩」、「品文」。
2.吹奏樂器。如：「品竹」、「品簫」。 |</v>
      </c>
    </row>
    <row r="2214" spans="1:44" hidden="1">
      <c r="A2214" s="1" t="s">
        <v>2414</v>
      </c>
      <c r="C2214" s="1">
        <v>1</v>
      </c>
      <c r="D2214" s="1" t="str">
        <f>"00948"</f>
        <v>00948</v>
      </c>
      <c r="E2214" s="1" t="s">
        <v>518</v>
      </c>
      <c r="F2214" s="1">
        <v>6</v>
      </c>
      <c r="G2214" s="1">
        <v>2</v>
      </c>
      <c r="H2214" s="1">
        <v>0</v>
      </c>
      <c r="I2214" s="1" t="s">
        <v>2415</v>
      </c>
      <c r="K2214" s="1" t="str">
        <f t="shared" si="139"/>
        <v>ㄆ</v>
      </c>
      <c r="L2214" s="1" t="str">
        <f t="shared" si="140"/>
        <v>ㄧ</v>
      </c>
      <c r="M2214" s="1" t="str">
        <f t="shared" si="142"/>
        <v>ㄣ</v>
      </c>
      <c r="P2214" s="1" t="s">
        <v>20</v>
      </c>
      <c r="R2214" s="1" t="s">
        <v>2416</v>
      </c>
      <c r="V2214" s="1" t="s">
        <v>2417</v>
      </c>
      <c r="AR2214" s="1" t="str">
        <f t="shared" si="141"/>
        <v>| [ㄆㄧㄣˋ](ㄆㄧㄣˋ.md) | [牝](牝.md) |  | pìn | [名]
1.雌性動物。《說文解字．牛部》：「牝，畜母也。」如：「牝牡」。《淮南子．時則》：「游牝別其群。」
2.谿谷。《大戴禮記．易本命》：「高者為生，下者為死；丘陵為牡，谿谷為牝。」唐．韓愈〈贈崔立之評事〉詩：「可憐無益費精神，有似黃金擲虛牝。」
3.女子陰戶。《二刻拍案驚奇》卷三五：「馬氏晚間取湯澡牝，正要上床與蔡鳳鳴快活。」
[形]
雌性的。如：「牝馬」。《書經．牧誓》：「牝雞無晨。」 |</v>
      </c>
    </row>
    <row r="2215" spans="1:44" hidden="1">
      <c r="A2215" s="1" t="s">
        <v>2418</v>
      </c>
      <c r="C2215" s="1">
        <v>1</v>
      </c>
      <c r="D2215" s="1" t="str">
        <f>"00949"</f>
        <v>00949</v>
      </c>
      <c r="E2215" s="1" t="s">
        <v>2419</v>
      </c>
      <c r="F2215" s="1">
        <v>13</v>
      </c>
      <c r="G2215" s="1">
        <v>7</v>
      </c>
      <c r="H2215" s="1">
        <v>1</v>
      </c>
      <c r="I2215" s="1" t="s">
        <v>2415</v>
      </c>
      <c r="K2215" s="1" t="str">
        <f t="shared" si="139"/>
        <v>ㄆ</v>
      </c>
      <c r="L2215" s="1" t="str">
        <f t="shared" si="140"/>
        <v>ㄧ</v>
      </c>
      <c r="M2215" s="1" t="str">
        <f t="shared" si="142"/>
        <v>ㄣ</v>
      </c>
      <c r="P2215" s="1" t="s">
        <v>20</v>
      </c>
      <c r="R2215" s="1" t="s">
        <v>2416</v>
      </c>
      <c r="V2215" s="1" t="s">
        <v>2420</v>
      </c>
      <c r="W2215" s="1" t="s">
        <v>2421</v>
      </c>
      <c r="AR2215" s="1" t="str">
        <f t="shared" si="141"/>
        <v>| [ㄆㄧㄣˋ](ㄆㄧㄣˋ.md) | [聘](聘.md) |  | pìn | [動]
1.古代諸侯國間遣使通問。《左傳．宣公十年》：「季文子初聘于齊。」
2.以禮徵招、恭請。今多指請人來任職做事。如：「約聘」、「徵聘」。《孟子．萬章上》：「伊尹耕於有莘之野，而樂堯舜之道焉，……湯使人以幣聘之。」《禮記．月令》：「勉諸侯，聘名士，禮賢者。」
3.訂婚。明．歸有光〈先妣事略〉：「有光補學弟子，十六年而有婦，孺人所聘者也。」
[名]
訂婚。或指訂婚時男方贈與女方的信物和禮物。如：「大聘」、「小聘」、「下聘」。 |</v>
      </c>
    </row>
    <row r="2216" spans="1:44" hidden="1">
      <c r="A2216" s="1" t="s">
        <v>2422</v>
      </c>
      <c r="C2216" s="1">
        <v>1</v>
      </c>
      <c r="D2216" s="1" t="str">
        <f>"00950"</f>
        <v>00950</v>
      </c>
      <c r="E2216" s="1" t="s">
        <v>1663</v>
      </c>
      <c r="F2216" s="1">
        <v>6</v>
      </c>
      <c r="G2216" s="1">
        <v>5</v>
      </c>
      <c r="H2216" s="1">
        <v>0</v>
      </c>
      <c r="I2216" s="1" t="s">
        <v>2423</v>
      </c>
      <c r="K2216" s="1" t="str">
        <f t="shared" si="139"/>
        <v>ㄆ</v>
      </c>
      <c r="L2216" s="1" t="str">
        <f t="shared" si="140"/>
        <v>ㄧ</v>
      </c>
      <c r="M2216" s="1" t="str">
        <f t="shared" si="142"/>
        <v>ㄥ</v>
      </c>
      <c r="P2216" s="1" t="s">
        <v>20</v>
      </c>
      <c r="R2216" s="1" t="s">
        <v>2424</v>
      </c>
      <c r="V2216" s="1" t="s">
        <v>2425</v>
      </c>
      <c r="AR2216" s="1" t="str">
        <f t="shared" si="141"/>
        <v>| [ㄆㄧㄥ](ㄆㄧㄥ.md) | [乒](乒.md) |  | pīng | [名]_x000D_
參見「乒乓」條。_x000D_
[擬]_x000D_
模擬東西碰撞的聲音。如：「乒乒乓乓」。 |</v>
      </c>
    </row>
    <row r="2217" spans="1:44" hidden="1">
      <c r="A2217" s="1" t="s">
        <v>2426</v>
      </c>
      <c r="C2217" s="1">
        <v>1</v>
      </c>
      <c r="D2217" s="1" t="str">
        <f>"00951"</f>
        <v>00951</v>
      </c>
      <c r="E2217" s="1" t="s">
        <v>753</v>
      </c>
      <c r="F2217" s="1">
        <v>7</v>
      </c>
      <c r="G2217" s="1">
        <v>2</v>
      </c>
      <c r="H2217" s="1">
        <v>0</v>
      </c>
      <c r="I2217" s="1" t="s">
        <v>2423</v>
      </c>
      <c r="K2217" s="1" t="str">
        <f t="shared" si="139"/>
        <v>ㄆ</v>
      </c>
      <c r="L2217" s="1" t="str">
        <f t="shared" si="140"/>
        <v>ㄧ</v>
      </c>
      <c r="M2217" s="1" t="str">
        <f t="shared" si="142"/>
        <v>ㄥ</v>
      </c>
      <c r="P2217" s="1" t="s">
        <v>20</v>
      </c>
      <c r="R2217" s="1" t="s">
        <v>2424</v>
      </c>
      <c r="V2217" s="1" t="s">
        <v>2427</v>
      </c>
      <c r="AR2217" s="1" t="str">
        <f t="shared" si="141"/>
        <v>| [ㄆㄧㄥ](ㄆㄧㄥ.md) | [甹](甹.md) |  | pīng | [名]
輕財重義的俠士。同「俜」。《說文解字．丂部》：「甹，俠也。三輔謂輕財者為甹。」清．段玉裁．注：「今人謂輕生曰甹命，即此甹字。」 |</v>
      </c>
    </row>
    <row r="2218" spans="1:44" hidden="1">
      <c r="A2218" s="1" t="s">
        <v>2428</v>
      </c>
      <c r="C2218" s="1">
        <v>1</v>
      </c>
      <c r="D2218" s="1" t="str">
        <f>"00952"</f>
        <v>00952</v>
      </c>
      <c r="E2218" s="1" t="s">
        <v>114</v>
      </c>
      <c r="F2218" s="1">
        <v>9</v>
      </c>
      <c r="G2218" s="1">
        <v>7</v>
      </c>
      <c r="H2218" s="1">
        <v>0</v>
      </c>
      <c r="I2218" s="1" t="s">
        <v>2423</v>
      </c>
      <c r="K2218" s="1" t="str">
        <f t="shared" si="139"/>
        <v>ㄆ</v>
      </c>
      <c r="L2218" s="1" t="str">
        <f t="shared" si="140"/>
        <v>ㄧ</v>
      </c>
      <c r="M2218" s="1" t="str">
        <f t="shared" si="142"/>
        <v>ㄥ</v>
      </c>
      <c r="P2218" s="1" t="s">
        <v>20</v>
      </c>
      <c r="R2218" s="1" t="s">
        <v>2424</v>
      </c>
      <c r="V2218" s="1" t="s">
        <v>2429</v>
      </c>
      <c r="AR2218" s="1" t="str">
        <f t="shared" si="141"/>
        <v>| [ㄆㄧㄥ](ㄆㄧㄥ.md) | [俜](俜.md) |  | pīng | [名]
俠客。同「甹」。《說文解字．人部》：「俜，俠也。」
[形]
參見「伶俜」條。 |</v>
      </c>
    </row>
    <row r="2219" spans="1:44" hidden="1">
      <c r="A2219" s="1" t="s">
        <v>2430</v>
      </c>
      <c r="C2219" s="1">
        <v>1</v>
      </c>
      <c r="D2219" s="1" t="str">
        <f>"00953"</f>
        <v>00953</v>
      </c>
      <c r="E2219" s="1" t="s">
        <v>534</v>
      </c>
      <c r="F2219" s="1">
        <v>10</v>
      </c>
      <c r="G2219" s="1">
        <v>7</v>
      </c>
      <c r="H2219" s="1">
        <v>0</v>
      </c>
      <c r="I2219" s="1" t="s">
        <v>2423</v>
      </c>
      <c r="K2219" s="1" t="str">
        <f t="shared" si="139"/>
        <v>ㄆ</v>
      </c>
      <c r="L2219" s="1" t="str">
        <f t="shared" si="140"/>
        <v>ㄧ</v>
      </c>
      <c r="M2219" s="1" t="str">
        <f t="shared" si="142"/>
        <v>ㄥ</v>
      </c>
      <c r="P2219" s="1" t="s">
        <v>20</v>
      </c>
      <c r="R2219" s="1" t="s">
        <v>2424</v>
      </c>
      <c r="V2219" s="1" t="s">
        <v>2431</v>
      </c>
      <c r="AR2219" s="1" t="str">
        <f t="shared" si="141"/>
        <v>| [ㄆㄧㄥ](ㄆㄧㄥ.md) | [娉](娉.md) |  | pīng | 參見「娉婷」、「娉娉褭褭」條。 |</v>
      </c>
    </row>
    <row r="2220" spans="1:44" hidden="1">
      <c r="A2220" s="1" t="s">
        <v>2432</v>
      </c>
      <c r="C2220" s="1">
        <v>1</v>
      </c>
      <c r="D2220" s="1" t="str">
        <f>"00954"</f>
        <v>00954</v>
      </c>
      <c r="E2220" s="1" t="s">
        <v>2433</v>
      </c>
      <c r="F2220" s="1">
        <v>12</v>
      </c>
      <c r="G2220" s="1">
        <v>6</v>
      </c>
      <c r="H2220" s="1">
        <v>1</v>
      </c>
      <c r="I2220" s="1" t="s">
        <v>2423</v>
      </c>
      <c r="K2220" s="1" t="str">
        <f t="shared" si="139"/>
        <v>ㄆ</v>
      </c>
      <c r="L2220" s="1" t="str">
        <f t="shared" si="140"/>
        <v>ㄧ</v>
      </c>
      <c r="M2220" s="1" t="str">
        <f t="shared" si="142"/>
        <v>ㄥ</v>
      </c>
      <c r="P2220" s="1" t="s">
        <v>20</v>
      </c>
      <c r="R2220" s="1" t="s">
        <v>2424</v>
      </c>
      <c r="V2220" s="1" t="s">
        <v>2434</v>
      </c>
      <c r="W2220" s="1" t="s">
        <v>2435</v>
      </c>
      <c r="AR2220" s="1" t="str">
        <f t="shared" si="141"/>
        <v>| [ㄆㄧㄥ](ㄆㄧㄥ.md) | [艵](艵.md) |  | pīng | [名]
青白色。《說文解字．色部》：「艵，縹色也。」清．段玉裁．注：「縹者，帛青白色也。」
[形]
美好的樣子。通「頩」。《說文解字．色部》「艵」字．清．段玉裁．注：「《玉篇》引《楚辭》：『玉色艵以晚顏。』今〈遠遊〉作『頩』，『頩』與『艵』同也。……〈遠遊〉：『玉色艵以晚顏。』謂光澤鮮好。」 |</v>
      </c>
    </row>
    <row r="2221" spans="1:44" hidden="1">
      <c r="A2221" s="1" t="s">
        <v>2436</v>
      </c>
      <c r="C2221" s="1">
        <v>1</v>
      </c>
      <c r="D2221" s="1" t="str">
        <f>"00955"</f>
        <v>00955</v>
      </c>
      <c r="E2221" s="1" t="s">
        <v>684</v>
      </c>
      <c r="F2221" s="1">
        <v>15</v>
      </c>
      <c r="G2221" s="1">
        <v>6</v>
      </c>
      <c r="H2221" s="1">
        <v>0</v>
      </c>
      <c r="I2221" s="1" t="s">
        <v>2423</v>
      </c>
      <c r="K2221" s="1" t="str">
        <f t="shared" si="139"/>
        <v>ㄆ</v>
      </c>
      <c r="L2221" s="1" t="str">
        <f t="shared" si="140"/>
        <v>ㄧ</v>
      </c>
      <c r="M2221" s="1" t="str">
        <f t="shared" si="142"/>
        <v>ㄥ</v>
      </c>
      <c r="P2221" s="1" t="s">
        <v>20</v>
      </c>
      <c r="R2221" s="1" t="s">
        <v>2424</v>
      </c>
      <c r="V2221" s="1" t="s">
        <v>2437</v>
      </c>
      <c r="AR2221" s="1" t="str">
        <f t="shared" si="141"/>
        <v>| [ㄆㄧㄥ](ㄆㄧㄥ.md) | [頩](頩.md) |  | pīng | [形]
1.生氣變臉色的樣子。《文選．宋玉．神女賦》：「頩薄怒以自恃兮，曾不可乎犯干。」唐．李善．注：「方言曰：『頩，怒色青貌。』」宋．蘇軾〈紅梅〉詩三首之三：「丹鼎奪胎那是寶，玉人頩頰更多姿。」
2.美好的樣子。《楚辭．屈原．遠遊》：「玉色頩以晚顏兮，精醇粹而始壯。」宋．趙令畤〈菩薩蠻．春風試手先梅蕊〉詞：「春風試手先梅蕊，頩姿冷豔明沙水。」 |</v>
      </c>
    </row>
    <row r="2222" spans="1:44" hidden="1">
      <c r="A2222" s="1" t="s">
        <v>2343</v>
      </c>
      <c r="C2222" s="1">
        <v>1</v>
      </c>
      <c r="D2222" s="1" t="str">
        <f>"00956"</f>
        <v>00956</v>
      </c>
      <c r="E2222" s="1" t="s">
        <v>1386</v>
      </c>
      <c r="F2222" s="1">
        <v>5</v>
      </c>
      <c r="G2222" s="1">
        <v>2</v>
      </c>
      <c r="H2222" s="1">
        <v>1</v>
      </c>
      <c r="I2222" s="1" t="s">
        <v>2438</v>
      </c>
      <c r="K2222" s="1" t="str">
        <f t="shared" si="139"/>
        <v>ㄆ</v>
      </c>
      <c r="L2222" s="1" t="str">
        <f t="shared" si="140"/>
        <v>ㄧ</v>
      </c>
      <c r="M2222" s="1" t="str">
        <f t="shared" si="142"/>
        <v>ㄥ</v>
      </c>
      <c r="P2222" s="1" t="s">
        <v>20</v>
      </c>
      <c r="R2222" s="1" t="s">
        <v>2439</v>
      </c>
      <c r="V2222" s="1" t="s">
        <v>2440</v>
      </c>
      <c r="W2222" s="1" t="s">
        <v>2441</v>
      </c>
      <c r="AR2222" s="1" t="str">
        <f t="shared" si="141"/>
        <v>| [ㄆㄧㄥˊ](ㄆㄧㄥˊ.md) | [平](平.md) |  | píng | [形]
1.不高不低、不凸出的。如：「平地」、「平房」、「平沙」。唐．王維〈觀獵〉詩：「迴看射雕處，千里暮雲平。」宋．陸游〈初發夷陵〉詩：「山平水遠蒼茫外，地闢天開指顧中。」
2.協調的。《左傳．襄公二十九年》：「五聲和，八風平。」
3.均等的。如：「平均」、「平等」。
4.安寧的。如：「心平氣和」、「風平浪靜」。唐．王灣〈次北固山下〉詩：「潮平兩岸闊，風正一帆懸。」
5.沒有戰爭的。如：「和平」、「太平」。唐．韓愈〈爭臣論〉：「閔其時之不平，人之不乂。」
6.尋常的。如：「平日」、「平時」、「平常」。
7.不分勝負的。如：「平手」。
8.缺少變化的。如：「聲音低平」。
[副]
1.公正的、無偏倚的。如：「平分」、「平反」。
2.不高不低的。如：「平推」、「平剷」。
[動]
1.使安定、征服。如：「平亂」、「跨海平魔」。唐．李白〈子夜吳歌．秋歌〉：「何日平胡虜，良人罷遠征。」
2.媾和、和好。《左傳．桓公八年》：「秋，隨及楚平，楚子將不許。」
3.壓抑。如：「怨氣難平」。
4.犁平、輾平、推平。如：「去將地平一平。」
[名]
1.平上去入四聲之一。參見「平聲」條。
2.大陸地區北平市的簡稱。如：「王兄今日赴平公幹。」
3.姓。如漢代有平當。 |</v>
      </c>
    </row>
    <row r="2223" spans="1:44" hidden="1">
      <c r="A2223" s="1" t="s">
        <v>2442</v>
      </c>
      <c r="C2223" s="1">
        <v>1</v>
      </c>
      <c r="D2223" s="1" t="str">
        <f>"00957"</f>
        <v>00957</v>
      </c>
      <c r="E2223" s="1" t="s">
        <v>132</v>
      </c>
      <c r="F2223" s="1">
        <v>8</v>
      </c>
      <c r="G2223" s="1">
        <v>5</v>
      </c>
      <c r="H2223" s="1">
        <v>0</v>
      </c>
      <c r="I2223" s="1" t="s">
        <v>2438</v>
      </c>
      <c r="K2223" s="1" t="str">
        <f t="shared" si="139"/>
        <v>ㄆ</v>
      </c>
      <c r="L2223" s="1" t="str">
        <f t="shared" si="140"/>
        <v>ㄧ</v>
      </c>
      <c r="M2223" s="1" t="str">
        <f t="shared" ref="M2223:M2244" si="143">MID(I2223, 3, 1)</f>
        <v>ㄥ</v>
      </c>
      <c r="P2223" s="1" t="s">
        <v>20</v>
      </c>
      <c r="R2223" s="1" t="s">
        <v>2439</v>
      </c>
      <c r="V2223" s="1" t="s">
        <v>2443</v>
      </c>
      <c r="AR2223" s="1" t="str">
        <f t="shared" si="141"/>
        <v>| [ㄆㄧㄥˊ](ㄆㄧㄥˊ.md) | [坪](坪.md) |  | píng | [名]
1.平廣的地方。也當為具有此種環境的地名。如：「草坪」、「七里坪」、「阿姆坪」。
2.量詞。日本計算土地面積的單位。一坪合三點三零五七九平方公尺，二九三四坪為一甲。臺灣目前民間仍沿用之。 |</v>
      </c>
    </row>
    <row r="2224" spans="1:44" hidden="1">
      <c r="A2224" s="1" t="s">
        <v>2444</v>
      </c>
      <c r="C2224" s="1">
        <v>1</v>
      </c>
      <c r="D2224" s="1" t="str">
        <f>"00958"</f>
        <v>00958</v>
      </c>
      <c r="E2224" s="1" t="s">
        <v>139</v>
      </c>
      <c r="F2224" s="1">
        <v>9</v>
      </c>
      <c r="G2224" s="1">
        <v>5</v>
      </c>
      <c r="H2224" s="1">
        <v>0</v>
      </c>
      <c r="I2224" s="1" t="s">
        <v>2438</v>
      </c>
      <c r="K2224" s="1" t="str">
        <f t="shared" si="139"/>
        <v>ㄆ</v>
      </c>
      <c r="L2224" s="1" t="str">
        <f t="shared" si="140"/>
        <v>ㄧ</v>
      </c>
      <c r="M2224" s="1" t="str">
        <f t="shared" si="143"/>
        <v>ㄥ</v>
      </c>
      <c r="P2224" s="1" t="s">
        <v>20</v>
      </c>
      <c r="R2224" s="1" t="s">
        <v>2439</v>
      </c>
      <c r="V2224" s="1" t="s">
        <v>2445</v>
      </c>
      <c r="AR2224" s="1" t="str">
        <f t="shared" si="141"/>
        <v>| [ㄆㄧㄥˊ](ㄆㄧㄥˊ.md) | [枰](枰.md) |  | píng | [名]
1.棋盤。《文選．韋昭．博奕論》：「然其所志，不出一枰之上，所務不過方罫之閒。」《聊齋志異．卷一一．書痴》：「因使治棋枰、樗蒲之具，日與遨戲。」
2.一種古書上的樹木。《文選．司馬相如．上林賦》：「沙棠櫟櫧，華楓枰櫨。」李善注引郭璞曰：「枰，平仲木也。」 |</v>
      </c>
    </row>
    <row r="2225" spans="1:44" hidden="1">
      <c r="A2225" s="1" t="s">
        <v>2446</v>
      </c>
      <c r="C2225" s="1">
        <v>1</v>
      </c>
      <c r="D2225" s="1" t="str">
        <f>"00959"</f>
        <v>00959</v>
      </c>
      <c r="E2225" s="1" t="s">
        <v>37</v>
      </c>
      <c r="F2225" s="1">
        <v>9</v>
      </c>
      <c r="G2225" s="1">
        <v>5</v>
      </c>
      <c r="H2225" s="1">
        <v>0</v>
      </c>
      <c r="I2225" s="1" t="s">
        <v>2438</v>
      </c>
      <c r="K2225" s="1" t="str">
        <f t="shared" si="139"/>
        <v>ㄆ</v>
      </c>
      <c r="L2225" s="1" t="str">
        <f t="shared" si="140"/>
        <v>ㄧ</v>
      </c>
      <c r="M2225" s="1" t="str">
        <f t="shared" si="143"/>
        <v>ㄥ</v>
      </c>
      <c r="P2225" s="1" t="s">
        <v>20</v>
      </c>
      <c r="R2225" s="1" t="s">
        <v>2439</v>
      </c>
      <c r="V2225" s="1" t="s">
        <v>2447</v>
      </c>
      <c r="AR2225" s="1" t="str">
        <f t="shared" si="141"/>
        <v>| [ㄆㄧㄥˊ](ㄆㄧㄥˊ.md) | [苹](苹.md) |  | píng | [名]
1.在水面飄浮生長的一種植物。同「萍」。《說文解字．艸部》：「苹，萍也，無根，浮水而生者。」《大戴禮記．夏小正》：「湟潦生苹。」
2.藾蕭，一種古書上的植物，屬白蒿類。《爾雅．釋草》：「苹，藾蕭。」晉．郭璞．注：「今藾蒿也，初生亦可食。」《詩經．小雅．鹿鳴》：「呦呦鹿鳴，食野之苹。」
3.同「蘋」(二)。 |</v>
      </c>
    </row>
    <row r="2226" spans="1:44" hidden="1">
      <c r="A2226" s="1" t="s">
        <v>2448</v>
      </c>
      <c r="C2226" s="1">
        <v>1</v>
      </c>
      <c r="D2226" s="1" t="str">
        <f>"00960"</f>
        <v>00960</v>
      </c>
      <c r="E2226" s="1" t="s">
        <v>429</v>
      </c>
      <c r="F2226" s="1">
        <v>10</v>
      </c>
      <c r="G2226" s="1">
        <v>5</v>
      </c>
      <c r="H2226" s="1">
        <v>2</v>
      </c>
      <c r="I2226" s="1" t="s">
        <v>2438</v>
      </c>
      <c r="K2226" s="1" t="str">
        <f t="shared" si="139"/>
        <v>ㄆ</v>
      </c>
      <c r="L2226" s="1" t="str">
        <f t="shared" si="140"/>
        <v>ㄧ</v>
      </c>
      <c r="M2226" s="1" t="str">
        <f t="shared" si="143"/>
        <v>ㄥ</v>
      </c>
      <c r="P2226" s="1" t="s">
        <v>20</v>
      </c>
      <c r="R2226" s="1" t="s">
        <v>2439</v>
      </c>
      <c r="V2226" s="1" t="s">
        <v>2449</v>
      </c>
      <c r="W2226" s="1" t="s">
        <v>2450</v>
      </c>
      <c r="AR2226" s="1" t="str">
        <f t="shared" si="141"/>
        <v>| [ㄆㄧㄥˊ](ㄆㄧㄥˊ.md) | [秤](秤.md) |  | píng | [名]
衡量物體輕重的工具。如：「天秤」。 |</v>
      </c>
    </row>
    <row r="2227" spans="1:44" hidden="1">
      <c r="A2227" s="1" t="s">
        <v>2451</v>
      </c>
      <c r="C2227" s="1">
        <v>1</v>
      </c>
      <c r="D2227" s="1" t="str">
        <f>"00961"</f>
        <v>00961</v>
      </c>
      <c r="E2227" s="1" t="s">
        <v>331</v>
      </c>
      <c r="F2227" s="1">
        <v>12</v>
      </c>
      <c r="G2227" s="1">
        <v>5</v>
      </c>
      <c r="H2227" s="1">
        <v>0</v>
      </c>
      <c r="I2227" s="1" t="s">
        <v>2438</v>
      </c>
      <c r="K2227" s="1" t="str">
        <f t="shared" si="139"/>
        <v>ㄆ</v>
      </c>
      <c r="L2227" s="1" t="str">
        <f t="shared" si="140"/>
        <v>ㄧ</v>
      </c>
      <c r="M2227" s="1" t="str">
        <f t="shared" si="143"/>
        <v>ㄥ</v>
      </c>
      <c r="P2227" s="1" t="s">
        <v>20</v>
      </c>
      <c r="R2227" s="1" t="s">
        <v>2439</v>
      </c>
      <c r="V2227" s="1" t="s">
        <v>2452</v>
      </c>
      <c r="AR2227" s="1" t="str">
        <f t="shared" si="141"/>
        <v>| [ㄆㄧㄥˊ](ㄆㄧㄥˊ.md) | [評](評.md) |  | píng | [動]
議論、判定。如：「評定」、「評論」、「評理」。南朝宋．劉義慶《世說新語．品藻》：「論者評之，以為喬雖高韻，而檢不匝。」
[名]
1.議論、判定的文字或言語。如：「文評」、「詩評」、「影評」、「書評」。《南史．卷七二．文學傳．鍾嶸傳》：「嶸品古今詩為評，言其優劣。」
2.文體名。指史家褒貶之詞，即「史評」。名稱本不統一，如《史記》的「太史公曰」、班固《漢書》的「贊」、范曄《後漢書》的「論」，至陳壽的《三國志》始見用「評」。 |</v>
      </c>
    </row>
    <row r="2228" spans="1:44" hidden="1">
      <c r="A2228" s="1" t="s">
        <v>2453</v>
      </c>
      <c r="C2228" s="1">
        <v>1</v>
      </c>
      <c r="D2228" s="1" t="str">
        <f>"00962"</f>
        <v>00962</v>
      </c>
      <c r="E2228" s="1" t="s">
        <v>37</v>
      </c>
      <c r="F2228" s="1">
        <v>12</v>
      </c>
      <c r="G2228" s="1">
        <v>8</v>
      </c>
      <c r="H2228" s="1">
        <v>0</v>
      </c>
      <c r="I2228" s="1" t="s">
        <v>2438</v>
      </c>
      <c r="K2228" s="1" t="str">
        <f t="shared" si="139"/>
        <v>ㄆ</v>
      </c>
      <c r="L2228" s="1" t="str">
        <f t="shared" si="140"/>
        <v>ㄧ</v>
      </c>
      <c r="M2228" s="1" t="str">
        <f t="shared" si="143"/>
        <v>ㄥ</v>
      </c>
      <c r="P2228" s="1" t="s">
        <v>20</v>
      </c>
      <c r="R2228" s="1" t="s">
        <v>2439</v>
      </c>
      <c r="V2228" s="1" t="s">
        <v>2454</v>
      </c>
      <c r="AR2228" s="1" t="str">
        <f t="shared" si="141"/>
        <v>| [ㄆㄧㄥˊ](ㄆㄧㄥˊ.md) | [萍](萍.md) |  | píng | [名]
植物名。浮萍科浮萍屬，「浮萍」之古稱。參見「浮萍」條。
[形]
比喻行蹤不定，難以自主的。如：「萍蹤」。 |</v>
      </c>
    </row>
    <row r="2229" spans="1:44" hidden="1">
      <c r="A2229" s="1" t="s">
        <v>2455</v>
      </c>
      <c r="C2229" s="1">
        <v>1</v>
      </c>
      <c r="D2229" s="1" t="str">
        <f>"00963"</f>
        <v>00963</v>
      </c>
      <c r="E2229" s="1" t="s">
        <v>129</v>
      </c>
      <c r="F2229" s="1">
        <v>9</v>
      </c>
      <c r="G2229" s="1">
        <v>6</v>
      </c>
      <c r="H2229" s="1">
        <v>0</v>
      </c>
      <c r="I2229" s="1" t="s">
        <v>2438</v>
      </c>
      <c r="K2229" s="1" t="str">
        <f t="shared" si="139"/>
        <v>ㄆ</v>
      </c>
      <c r="L2229" s="1" t="str">
        <f t="shared" si="140"/>
        <v>ㄧ</v>
      </c>
      <c r="M2229" s="1" t="str">
        <f t="shared" si="143"/>
        <v>ㄥ</v>
      </c>
      <c r="P2229" s="1" t="s">
        <v>20</v>
      </c>
      <c r="R2229" s="1" t="s">
        <v>2439</v>
      </c>
      <c r="V2229" s="1" t="s">
        <v>2456</v>
      </c>
      <c r="AR2229" s="1" t="str">
        <f t="shared" si="141"/>
        <v>| [ㄆㄧㄥˊ](ㄆㄧㄥˊ.md) | [洴](洴.md) |  | píng | [動]_x000D_
參見「洴澼絖」條。_x000D_
[擬]_x000D_
模擬水聲或鑼鼓聲。如：「洴淜」。明．徐霖《繡襦記》第三一齣：「洴洴澎澎，叮叮咚咚，打著鐃鈸，持齋把素念彌陀。」 |</v>
      </c>
    </row>
    <row r="2230" spans="1:44" hidden="1">
      <c r="A2230" s="1" t="s">
        <v>2457</v>
      </c>
      <c r="C2230" s="1">
        <v>1</v>
      </c>
      <c r="D2230" s="1" t="str">
        <f>"00964"</f>
        <v>00964</v>
      </c>
      <c r="E2230" s="1" t="s">
        <v>222</v>
      </c>
      <c r="F2230" s="1">
        <v>9</v>
      </c>
      <c r="G2230" s="1">
        <v>6</v>
      </c>
      <c r="H2230" s="1">
        <v>0</v>
      </c>
      <c r="I2230" s="1" t="s">
        <v>2438</v>
      </c>
      <c r="K2230" s="1" t="str">
        <f t="shared" si="139"/>
        <v>ㄆ</v>
      </c>
      <c r="L2230" s="1" t="str">
        <f t="shared" si="140"/>
        <v>ㄧ</v>
      </c>
      <c r="M2230" s="1" t="str">
        <f t="shared" si="143"/>
        <v>ㄥ</v>
      </c>
      <c r="P2230" s="1" t="s">
        <v>20</v>
      </c>
      <c r="R2230" s="1" t="s">
        <v>2439</v>
      </c>
      <c r="V2230" s="1" t="s">
        <v>2458</v>
      </c>
      <c r="AR2230" s="1" t="str">
        <f t="shared" si="141"/>
        <v>| [ㄆㄧㄥˊ](ㄆㄧㄥˊ.md) | [帡](帡.md) |  | píng | [動]
覆蓋。《集韻．平聲．青韻》：「帡，覆蓋也。」清．洪昇《長生殿》第三七齣：「更斷魂落魄蒙帡覆。」
[名]
帳幔、帷幕。如：「帡幪」、「帡幃」。 |</v>
      </c>
    </row>
    <row r="2231" spans="1:44" hidden="1">
      <c r="A2231" s="1" t="s">
        <v>1389</v>
      </c>
      <c r="C2231" s="1">
        <v>1</v>
      </c>
      <c r="D2231" s="1" t="str">
        <f>"00965"</f>
        <v>00965</v>
      </c>
      <c r="E2231" s="1" t="s">
        <v>871</v>
      </c>
      <c r="F2231" s="1">
        <v>9</v>
      </c>
      <c r="G2231" s="1">
        <v>6</v>
      </c>
      <c r="H2231" s="1">
        <v>1</v>
      </c>
      <c r="I2231" s="1" t="s">
        <v>2438</v>
      </c>
      <c r="K2231" s="1" t="str">
        <f t="shared" si="139"/>
        <v>ㄆ</v>
      </c>
      <c r="L2231" s="1" t="str">
        <f t="shared" si="140"/>
        <v>ㄧ</v>
      </c>
      <c r="M2231" s="1" t="str">
        <f t="shared" si="143"/>
        <v>ㄥ</v>
      </c>
      <c r="P2231" s="1" t="s">
        <v>20</v>
      </c>
      <c r="R2231" s="1" t="s">
        <v>2439</v>
      </c>
      <c r="V2231" s="1" t="s">
        <v>2459</v>
      </c>
      <c r="W2231" s="1" t="s">
        <v>2460</v>
      </c>
      <c r="AR2231" s="1" t="str">
        <f t="shared" si="141"/>
        <v>| [ㄆㄧㄥˊ](ㄆㄧㄥˊ.md) | [屏](屏.md) |  | píng | [名]
1.當門的小牆。即照壁。《爾雅．釋宮》：「屏謂之樹。」晉．郭璞．注：「小牆當門中。」《淮南子．時則》：「授車以級，皆正設于屏外。」漢．高誘．注：「屏，樹垣也。」
2.泛指像牆的遮蔽物。《詩經．小雅．桑扈》：「君子樂胥，萬邦之屏。」唐．白居易〈冷泉亭記〉：「山樹為蓋，巖石為屏。」
3.屏風。如：「素屏一張」。南朝宋．劉義慶《世說新語．言語》：「北窗作琉璃屏，實密似疏。」
4.字畫裱成的條幅，通常以四幅或八幅為一組。如：「畫屏」、「字屏」。《老殘遊記》第九回：「抬頭看見北牆上掛著四輻大屏，草書寫得龍飛鳳舞。」
[動]
1.保護、做為屏障。《國語．齊語》：「君有此士也三萬人，以方行於天下，以誅無道，以屏周室，天下大國之君莫之能禦。」唐．元稹〈贈鄭餘慶太保制〉：「而今而後，誰其屏余？」
2.隱瞞、蒙蔽。呂氏春秋《慎行論．慎行》：「亡夫太子建，殺連尹奢，屏王之耳目。」 |</v>
      </c>
    </row>
    <row r="2232" spans="1:44" hidden="1">
      <c r="A2232" s="1" t="s">
        <v>1392</v>
      </c>
      <c r="C2232" s="1">
        <v>1</v>
      </c>
      <c r="D2232" s="1" t="str">
        <f>"00966"</f>
        <v>00966</v>
      </c>
      <c r="E2232" s="1" t="s">
        <v>139</v>
      </c>
      <c r="F2232" s="1">
        <v>10</v>
      </c>
      <c r="G2232" s="1">
        <v>6</v>
      </c>
      <c r="H2232" s="1">
        <v>2</v>
      </c>
      <c r="I2232" s="1" t="s">
        <v>2438</v>
      </c>
      <c r="K2232" s="1" t="str">
        <f t="shared" si="139"/>
        <v>ㄆ</v>
      </c>
      <c r="L2232" s="1" t="str">
        <f t="shared" si="140"/>
        <v>ㄧ</v>
      </c>
      <c r="M2232" s="1" t="str">
        <f t="shared" si="143"/>
        <v>ㄥ</v>
      </c>
      <c r="P2232" s="1" t="s">
        <v>110</v>
      </c>
      <c r="R2232" s="1" t="s">
        <v>2439</v>
      </c>
      <c r="V2232" s="1" t="s">
        <v>111</v>
      </c>
      <c r="W2232" s="1" t="s">
        <v>2461</v>
      </c>
      <c r="AR2232" s="1" t="str">
        <f t="shared" si="141"/>
        <v>| [ㄆㄧㄥˊ](ㄆㄧㄥˊ.md) | [栟](栟.md) |  | píng | (一)之又音。 |</v>
      </c>
    </row>
    <row r="2233" spans="1:44" hidden="1">
      <c r="A2233" s="1" t="s">
        <v>2462</v>
      </c>
      <c r="C2233" s="1">
        <v>1</v>
      </c>
      <c r="D2233" s="1" t="str">
        <f>"00967"</f>
        <v>00967</v>
      </c>
      <c r="E2233" s="1" t="s">
        <v>37</v>
      </c>
      <c r="F2233" s="1">
        <v>10</v>
      </c>
      <c r="G2233" s="1">
        <v>6</v>
      </c>
      <c r="H2233" s="1">
        <v>0</v>
      </c>
      <c r="I2233" s="1" t="s">
        <v>2438</v>
      </c>
      <c r="K2233" s="1" t="str">
        <f t="shared" si="139"/>
        <v>ㄆ</v>
      </c>
      <c r="L2233" s="1" t="str">
        <f t="shared" si="140"/>
        <v>ㄧ</v>
      </c>
      <c r="M2233" s="1" t="str">
        <f t="shared" si="143"/>
        <v>ㄥ</v>
      </c>
      <c r="P2233" s="1" t="s">
        <v>20</v>
      </c>
      <c r="R2233" s="1" t="s">
        <v>2439</v>
      </c>
      <c r="V2233" s="1" t="s">
        <v>2463</v>
      </c>
      <c r="AR2233" s="1" t="str">
        <f t="shared" si="141"/>
        <v>| [ㄆㄧㄥˊ](ㄆㄧㄥˊ.md) | [荓](荓.md) |  | píng | [名]
植物名。豆科胡枝子屬，「鐵掃帚」之古稱。參見「鐵掃帚」條。
[動]
使役。《詩經．大雅．桑柔》：「民有肅心，荓云不逮。」漢．毛亨．傳：「荓，使也。」 |</v>
      </c>
    </row>
    <row r="2234" spans="1:44" hidden="1">
      <c r="A2234" s="1" t="s">
        <v>2464</v>
      </c>
      <c r="C2234" s="1">
        <v>1</v>
      </c>
      <c r="D2234" s="1" t="str">
        <f>"00968"</f>
        <v>00968</v>
      </c>
      <c r="E2234" s="1" t="s">
        <v>1824</v>
      </c>
      <c r="F2234" s="1">
        <v>11</v>
      </c>
      <c r="G2234" s="1">
        <v>6</v>
      </c>
      <c r="H2234" s="1">
        <v>0</v>
      </c>
      <c r="I2234" s="1" t="s">
        <v>2438</v>
      </c>
      <c r="K2234" s="1" t="str">
        <f t="shared" si="139"/>
        <v>ㄆ</v>
      </c>
      <c r="L2234" s="1" t="str">
        <f t="shared" si="140"/>
        <v>ㄧ</v>
      </c>
      <c r="M2234" s="1" t="str">
        <f t="shared" si="143"/>
        <v>ㄥ</v>
      </c>
      <c r="P2234" s="1" t="s">
        <v>20</v>
      </c>
      <c r="R2234" s="1" t="s">
        <v>2439</v>
      </c>
      <c r="V2234" s="1" t="s">
        <v>2465</v>
      </c>
      <c r="AR2234" s="1" t="str">
        <f t="shared" si="141"/>
        <v>| [ㄆㄧㄥˊ](ㄆㄧㄥˊ.md) | [瓶](瓶.md) |  | píng | [名]
1.古代指比缶小的取水或裝食物的容器。《詩經．小雅．蓼莪》：「瓶之罄矣，惟罍之恥。」唐．白居易〈琵琶行〉：「銀瓶乍破水漿迸，鐵騎突出刀槍鳴。」
2.泛指頸長、腹大的容器。可裝水、酒或其他液體。一般為瓷或玻璃製品。如：「花瓶」、「酒瓶」。宋．許棐〈泥孩兒〉詩：「雙罩紅紗廚，嬌立瓶花底。」
3.量詞。計算瓶裝物的單位。如：「一瓶紹興酒」、「兩瓶啤酒」。
4.姓。如漢代有瓶丘聚。 |</v>
      </c>
    </row>
    <row r="2235" spans="1:44" hidden="1">
      <c r="A2235" s="1" t="s">
        <v>2432</v>
      </c>
      <c r="C2235" s="1">
        <v>1</v>
      </c>
      <c r="D2235" s="1" t="str">
        <f>"00969"</f>
        <v>00969</v>
      </c>
      <c r="E2235" s="1" t="s">
        <v>2433</v>
      </c>
      <c r="F2235" s="1">
        <v>12</v>
      </c>
      <c r="G2235" s="1">
        <v>6</v>
      </c>
      <c r="H2235" s="1">
        <v>2</v>
      </c>
      <c r="I2235" s="1" t="s">
        <v>2438</v>
      </c>
      <c r="K2235" s="1" t="str">
        <f t="shared" si="139"/>
        <v>ㄆ</v>
      </c>
      <c r="L2235" s="1" t="str">
        <f t="shared" si="140"/>
        <v>ㄧ</v>
      </c>
      <c r="M2235" s="1" t="str">
        <f t="shared" si="143"/>
        <v>ㄥ</v>
      </c>
      <c r="P2235" s="1" t="s">
        <v>110</v>
      </c>
      <c r="R2235" s="1" t="s">
        <v>2439</v>
      </c>
      <c r="V2235" s="1" t="s">
        <v>111</v>
      </c>
      <c r="W2235" s="1" t="s">
        <v>2466</v>
      </c>
      <c r="AR2235" s="1" t="str">
        <f t="shared" si="141"/>
        <v>| [ㄆㄧㄥˊ](ㄆㄧㄥˊ.md) | [艵](艵.md) |  | píng | (一)之又音。 |</v>
      </c>
    </row>
    <row r="2236" spans="1:44" hidden="1">
      <c r="A2236" s="1" t="s">
        <v>2467</v>
      </c>
      <c r="C2236" s="1">
        <v>1</v>
      </c>
      <c r="D2236" s="1" t="str">
        <f>"00970"</f>
        <v>00970</v>
      </c>
      <c r="E2236" s="1" t="s">
        <v>679</v>
      </c>
      <c r="F2236" s="1">
        <v>12</v>
      </c>
      <c r="G2236" s="1">
        <v>6</v>
      </c>
      <c r="H2236" s="1">
        <v>0</v>
      </c>
      <c r="I2236" s="1" t="s">
        <v>2438</v>
      </c>
      <c r="K2236" s="1" t="str">
        <f t="shared" si="139"/>
        <v>ㄆ</v>
      </c>
      <c r="L2236" s="1" t="str">
        <f t="shared" si="140"/>
        <v>ㄧ</v>
      </c>
      <c r="M2236" s="1" t="str">
        <f t="shared" si="143"/>
        <v>ㄥ</v>
      </c>
      <c r="P2236" s="1" t="s">
        <v>20</v>
      </c>
      <c r="R2236" s="1" t="s">
        <v>2439</v>
      </c>
      <c r="V2236" s="1" t="s">
        <v>2468</v>
      </c>
      <c r="AR2236" s="1" t="str">
        <f t="shared" si="141"/>
        <v>| [ㄆㄧㄥˊ](ㄆㄧㄥˊ.md) | [蛢](蛢.md) |  | píng | [名]
一種甲蟲。形似金龜子。《玉篇．虫部》：「蛢，甲蟲也。」 |</v>
      </c>
    </row>
    <row r="2237" spans="1:44" hidden="1">
      <c r="A2237" s="1" t="s">
        <v>2469</v>
      </c>
      <c r="C2237" s="1">
        <v>1</v>
      </c>
      <c r="D2237" s="1" t="str">
        <f>"00971"</f>
        <v>00971</v>
      </c>
      <c r="E2237" s="1" t="s">
        <v>175</v>
      </c>
      <c r="F2237" s="1">
        <v>12</v>
      </c>
      <c r="G2237" s="1">
        <v>6</v>
      </c>
      <c r="H2237" s="1">
        <v>0</v>
      </c>
      <c r="I2237" s="1" t="s">
        <v>2438</v>
      </c>
      <c r="K2237" s="1" t="str">
        <f t="shared" si="139"/>
        <v>ㄆ</v>
      </c>
      <c r="L2237" s="1" t="str">
        <f t="shared" si="140"/>
        <v>ㄧ</v>
      </c>
      <c r="M2237" s="1" t="str">
        <f t="shared" si="143"/>
        <v>ㄥ</v>
      </c>
      <c r="P2237" s="1" t="s">
        <v>20</v>
      </c>
      <c r="R2237" s="1" t="s">
        <v>2439</v>
      </c>
      <c r="V2237" s="1" t="s">
        <v>2470</v>
      </c>
      <c r="AR2237" s="1" t="str">
        <f t="shared" si="141"/>
        <v>| [ㄆㄧㄥˊ](ㄆㄧㄥˊ.md) | [缾](缾.md) |  | píng | [名]_x000D_
口小腹大的容器，可用以裝酒或其他東西。通「瓶」。晉．陶淵明〈歸去來兮辭．序〉：「余家貧，耕植不足以自給；幼稚盈室，缾無儲粟，生生所資，未見其術。」 |</v>
      </c>
    </row>
    <row r="2238" spans="1:44" hidden="1">
      <c r="A2238" s="1" t="s">
        <v>2471</v>
      </c>
      <c r="C2238" s="1">
        <v>1</v>
      </c>
      <c r="D2238" s="1" t="str">
        <f>"00972"</f>
        <v>00972</v>
      </c>
      <c r="E2238" s="1" t="s">
        <v>71</v>
      </c>
      <c r="F2238" s="1">
        <v>13</v>
      </c>
      <c r="G2238" s="1">
        <v>6</v>
      </c>
      <c r="H2238" s="1">
        <v>0</v>
      </c>
      <c r="I2238" s="1" t="s">
        <v>2438</v>
      </c>
      <c r="K2238" s="1" t="str">
        <f t="shared" si="139"/>
        <v>ㄆ</v>
      </c>
      <c r="L2238" s="1" t="str">
        <f t="shared" si="140"/>
        <v>ㄧ</v>
      </c>
      <c r="M2238" s="1" t="str">
        <f t="shared" si="143"/>
        <v>ㄥ</v>
      </c>
      <c r="P2238" s="1" t="s">
        <v>20</v>
      </c>
      <c r="R2238" s="1" t="s">
        <v>2439</v>
      </c>
      <c r="V2238" s="1" t="s">
        <v>2472</v>
      </c>
      <c r="AR2238" s="1" t="str">
        <f t="shared" si="141"/>
        <v>| [ㄆㄧㄥˊ](ㄆㄧㄥˊ.md) | [軿](軿.md) |  | píng | [名]_x000D_
1.古代一種有帷幕的車子，亦特指婦女所乘的車子。《後漢書．卷七四上．袁紹劉表列傳．袁紹上》：「輜軿柴轂，填接街陌。」宋．蘇軾〈陌上花〉詩三首之二：「陌上山花無數開，路人爭看翠軿來。」_x000D_
2.比併、拼合。《警世通言．卷二二．宋小官團圓破氈笠》：「客人若要看壽板，小店有真正婺源加料雙軿的在裡面。」_x000D_
[擬]_x000D_
參見「軿訇」條。 |</v>
      </c>
    </row>
    <row r="2239" spans="1:44" hidden="1">
      <c r="A2239" s="1" t="s">
        <v>2473</v>
      </c>
      <c r="C2239" s="1">
        <v>1</v>
      </c>
      <c r="D2239" s="1" t="str">
        <f>"00973"</f>
        <v>00973</v>
      </c>
      <c r="E2239" s="1" t="s">
        <v>37</v>
      </c>
      <c r="F2239" s="1">
        <v>13</v>
      </c>
      <c r="G2239" s="1">
        <v>9</v>
      </c>
      <c r="H2239" s="1">
        <v>0</v>
      </c>
      <c r="I2239" s="1" t="s">
        <v>2438</v>
      </c>
      <c r="K2239" s="1" t="str">
        <f t="shared" ref="K2239:K2255" si="144">LEFT(I2239, 1)</f>
        <v>ㄆ</v>
      </c>
      <c r="L2239" s="1" t="str">
        <f t="shared" ref="L2239:L2255" si="145">MID(I2239, 2, 1)</f>
        <v>ㄧ</v>
      </c>
      <c r="M2239" s="1" t="str">
        <f t="shared" si="143"/>
        <v>ㄥ</v>
      </c>
      <c r="P2239" s="1" t="s">
        <v>20</v>
      </c>
      <c r="R2239" s="1" t="s">
        <v>2439</v>
      </c>
      <c r="V2239" s="1" t="s">
        <v>2474</v>
      </c>
      <c r="AR2239" s="1" t="str">
        <f t="shared" si="141"/>
        <v>| [ㄆㄧㄥˊ](ㄆㄧㄥˊ.md) | [蓱](蓱.md) |  | píng | [名]
1.同「萍」。
2.一種蒿類植物。通「苹」。南朝宋．謝靈運〈擬魏太子鄴中集〉詩八首之七：「自從食蓱來，唯見今日美。」
3.雨神屏翳的簡稱。《楚辭．屈原．天問》：「蓱號起雨，何以興之？」 |</v>
      </c>
    </row>
    <row r="2240" spans="1:44" hidden="1">
      <c r="A2240" s="1" t="s">
        <v>2475</v>
      </c>
      <c r="C2240" s="1">
        <v>1</v>
      </c>
      <c r="D2240" s="1" t="str">
        <f>"00974"</f>
        <v>00974</v>
      </c>
      <c r="E2240" s="1" t="s">
        <v>272</v>
      </c>
      <c r="F2240" s="1">
        <v>17</v>
      </c>
      <c r="G2240" s="1">
        <v>6</v>
      </c>
      <c r="H2240" s="1">
        <v>0</v>
      </c>
      <c r="I2240" s="1" t="s">
        <v>2438</v>
      </c>
      <c r="K2240" s="1" t="str">
        <f t="shared" si="144"/>
        <v>ㄆ</v>
      </c>
      <c r="L2240" s="1" t="str">
        <f t="shared" si="145"/>
        <v>ㄧ</v>
      </c>
      <c r="M2240" s="1" t="str">
        <f t="shared" si="143"/>
        <v>ㄥ</v>
      </c>
      <c r="P2240" s="1" t="s">
        <v>20</v>
      </c>
      <c r="R2240" s="1" t="s">
        <v>2439</v>
      </c>
      <c r="V2240" s="1" t="s">
        <v>2476</v>
      </c>
      <c r="AR2240" s="1" t="str">
        <f t="shared" si="141"/>
        <v>| [ㄆㄧㄥˊ](ㄆㄧㄥˊ.md) | [鵧](鵧.md) |  | píng | 參見「鵧鷑」條。 |</v>
      </c>
    </row>
    <row r="2241" spans="1:44" hidden="1">
      <c r="A2241" s="1" t="s">
        <v>2477</v>
      </c>
      <c r="C2241" s="1">
        <v>1</v>
      </c>
      <c r="D2241" s="1" t="str">
        <f>"00975"</f>
        <v>00975</v>
      </c>
      <c r="E2241" s="1" t="s">
        <v>319</v>
      </c>
      <c r="F2241" s="1">
        <v>12</v>
      </c>
      <c r="G2241" s="1">
        <v>2</v>
      </c>
      <c r="H2241" s="1">
        <v>2</v>
      </c>
      <c r="I2241" s="1" t="s">
        <v>2438</v>
      </c>
      <c r="K2241" s="1" t="str">
        <f t="shared" si="144"/>
        <v>ㄆ</v>
      </c>
      <c r="L2241" s="1" t="str">
        <f t="shared" si="145"/>
        <v>ㄧ</v>
      </c>
      <c r="M2241" s="1" t="str">
        <f t="shared" si="143"/>
        <v>ㄥ</v>
      </c>
      <c r="P2241" s="1" t="s">
        <v>20</v>
      </c>
      <c r="R2241" s="1" t="s">
        <v>2439</v>
      </c>
      <c r="V2241" s="1" t="s">
        <v>2478</v>
      </c>
      <c r="W2241" s="1" t="s">
        <v>2479</v>
      </c>
      <c r="AR2241" s="1" t="str">
        <f t="shared" si="141"/>
        <v>| [ㄆㄧㄥˊ](ㄆㄧㄥˊ.md) | [馮](馮.md) |  | píng | [動]
1.馬跑得很快。《說文解字．馬部》：「馮，馬行疾也。」
2.徒步涉水。《詩經．小雅．小旻》：「不敢暴虎，不敢馮河。」
3.侵犯。《周禮．夏官．大司馬》：「馮弱犯寡，則眚之。」《左傳．襄公十三年》：「君子稱其功以加小人，小人伐其技以馮君子。」
4.登、乘。《楚辭．屈原．九章．悲回風》：「馮崑崙以瞰霧兮，隱岷山以清江。」宋．蘇軾〈赤壁賦〉：「浩浩乎如馮虛御風，而不知其所止。」
5.依據、依靠。通「憑」。《漢書．卷四三．酈食其傳》：「韓信聞食其馮軾下齊七十餘城，乃夜度兵平原襲齊。」
[副]
大、盛。《左傳．昭公五年》：「今君奮焉，震電馮怒。」《楚辭．屈原．天問》：「鮌何所營，禹何所成，康回馮怒，墜何故以東南傾？」 |</v>
      </c>
    </row>
    <row r="2242" spans="1:44" hidden="1">
      <c r="A2242" s="1" t="s">
        <v>2480</v>
      </c>
      <c r="C2242" s="1">
        <v>1</v>
      </c>
      <c r="D2242" s="1" t="str">
        <f>"00976"</f>
        <v>00976</v>
      </c>
      <c r="E2242" s="1" t="s">
        <v>250</v>
      </c>
      <c r="F2242" s="1">
        <v>16</v>
      </c>
      <c r="G2242" s="1">
        <v>12</v>
      </c>
      <c r="H2242" s="1">
        <v>0</v>
      </c>
      <c r="I2242" s="1" t="s">
        <v>2438</v>
      </c>
      <c r="K2242" s="1" t="str">
        <f t="shared" si="144"/>
        <v>ㄆ</v>
      </c>
      <c r="L2242" s="1" t="str">
        <f t="shared" si="145"/>
        <v>ㄧ</v>
      </c>
      <c r="M2242" s="1" t="str">
        <f t="shared" si="143"/>
        <v>ㄥ</v>
      </c>
      <c r="P2242" s="1" t="s">
        <v>20</v>
      </c>
      <c r="R2242" s="1" t="s">
        <v>2439</v>
      </c>
      <c r="V2242" s="1" t="s">
        <v>2481</v>
      </c>
      <c r="AR2242" s="1" t="str">
        <f t="shared" si="141"/>
        <v>| [ㄆㄧㄥˊ](ㄆㄧㄥˊ.md) | [憑](憑.md) |  | píng | [動]
1.靠、依靠。如：「憑欄」。唐．杜甫〈登岳陽樓〉詩：「戎馬關山北，憑軒涕泗流。」宋．寇準〈書河上亭壁〉詩：「岸闊檣稀波渺茫，獨憑危檻思何長。」
2.依據、託賴。五代十國南唐．李煜〈清平樂．別來春半〉詞：「雁來音信無憑，路遙歸夢難成。」
3.煩請。唐．白居易〈新樂府．草茫茫〉：「憑君回首向南望，漢文葬在霸陵原。」
4.任、隨。《紅樓夢》第七回：「憑你什麼名醫仙藥，從不見一點兒效。」 |</v>
      </c>
    </row>
    <row r="2243" spans="1:44" hidden="1">
      <c r="A2243" s="1" t="s">
        <v>2399</v>
      </c>
      <c r="C2243" s="1">
        <v>1</v>
      </c>
      <c r="D2243" s="1" t="str">
        <f>"00977"</f>
        <v>00977</v>
      </c>
      <c r="E2243" s="1" t="s">
        <v>37</v>
      </c>
      <c r="F2243" s="1">
        <v>20</v>
      </c>
      <c r="G2243" s="1">
        <v>16</v>
      </c>
      <c r="H2243" s="1">
        <v>2</v>
      </c>
      <c r="I2243" s="1" t="s">
        <v>2438</v>
      </c>
      <c r="K2243" s="1" t="str">
        <f t="shared" si="144"/>
        <v>ㄆ</v>
      </c>
      <c r="L2243" s="1" t="str">
        <f t="shared" si="145"/>
        <v>ㄧ</v>
      </c>
      <c r="M2243" s="1" t="str">
        <f t="shared" si="143"/>
        <v>ㄥ</v>
      </c>
      <c r="P2243" s="1" t="s">
        <v>20</v>
      </c>
      <c r="R2243" s="1" t="s">
        <v>2439</v>
      </c>
      <c r="V2243" s="1" t="s">
        <v>2482</v>
      </c>
      <c r="W2243" s="1" t="s">
        <v>2483</v>
      </c>
      <c r="AR2243" s="1" t="str">
        <f t="shared" ref="AR2243:AR2306" si="146">"| ["&amp;I2243&amp;"]("&amp;I2243&amp;".md) | ["&amp;A2243&amp;"]("&amp;A2243&amp;".md) | "&amp;" | "&amp;R2243&amp;" | "&amp;V2243&amp;" |"</f>
        <v>| [ㄆㄧㄥˊ](ㄆㄧㄥˊ.md) | [蘋](蘋.md) |  | píng | 參見「蘋果」條。 |</v>
      </c>
    </row>
    <row r="2244" spans="1:44" hidden="1">
      <c r="A2244" s="1" t="s">
        <v>2418</v>
      </c>
      <c r="C2244" s="1">
        <v>1</v>
      </c>
      <c r="D2244" s="1" t="str">
        <f>"00978"</f>
        <v>00978</v>
      </c>
      <c r="E2244" s="1" t="s">
        <v>2419</v>
      </c>
      <c r="F2244" s="1">
        <v>13</v>
      </c>
      <c r="G2244" s="1">
        <v>7</v>
      </c>
      <c r="H2244" s="1">
        <v>2</v>
      </c>
      <c r="I2244" s="1" t="s">
        <v>2484</v>
      </c>
      <c r="K2244" s="1" t="str">
        <f t="shared" si="144"/>
        <v>ㄆ</v>
      </c>
      <c r="L2244" s="1" t="str">
        <f t="shared" si="145"/>
        <v>ㄧ</v>
      </c>
      <c r="M2244" s="1" t="str">
        <f t="shared" si="143"/>
        <v>ㄥ</v>
      </c>
      <c r="P2244" s="1" t="s">
        <v>20</v>
      </c>
      <c r="R2244" s="1" t="s">
        <v>2485</v>
      </c>
      <c r="V2244" s="1" t="s">
        <v>2486</v>
      </c>
      <c r="W2244" s="1" t="s">
        <v>2487</v>
      </c>
      <c r="AR2244" s="1" t="str">
        <f t="shared" si="146"/>
        <v>| [ㄆㄧㄥˋ](ㄆㄧㄥˋ.md) | [聘](聘.md) |  | pìng | [動]_x000D_
舊時指女子出嫁。唐．孫棨《北里志．王團兒》：「總角為人所誤，聘一過客。云入京赴調選，及挈至京置之，於是客紿而去。」宋．孫光憲《北夢瑣言．卷七．劉道濟幽窗夢》：「有一客官人，寄寓於此室。女有美才，貧而未聘。」 |</v>
      </c>
    </row>
    <row r="2245" spans="1:44" hidden="1">
      <c r="A2245" s="1" t="s">
        <v>23</v>
      </c>
      <c r="C2245" s="1">
        <v>1</v>
      </c>
      <c r="D2245" s="1" t="str">
        <f>"00584"</f>
        <v>00584</v>
      </c>
      <c r="E2245" s="1" t="s">
        <v>24</v>
      </c>
      <c r="F2245" s="1">
        <v>5</v>
      </c>
      <c r="G2245" s="1">
        <v>2</v>
      </c>
      <c r="H2245" s="1">
        <v>2</v>
      </c>
      <c r="I2245" s="1" t="s">
        <v>1526</v>
      </c>
      <c r="K2245" s="1" t="str">
        <f t="shared" si="144"/>
        <v>ㄆ</v>
      </c>
      <c r="L2245" s="1" t="str">
        <f t="shared" si="145"/>
        <v>ㄚ</v>
      </c>
      <c r="N2245" s="3" t="s">
        <v>30575</v>
      </c>
      <c r="O2245" s="3"/>
      <c r="P2245" s="1" t="s">
        <v>20</v>
      </c>
      <c r="R2245" s="1" t="s">
        <v>1527</v>
      </c>
      <c r="V2245" s="1" t="s">
        <v>1528</v>
      </c>
      <c r="W2245" s="1" t="s">
        <v>1529</v>
      </c>
      <c r="AR2245" s="1" t="str">
        <f t="shared" si="146"/>
        <v>| [ㄆㄚˊ](ㄆㄚˊ.md) | [扒](扒.md) |  | pá | [動]
1.掘、挖。如：「扒土」、「扒洞」、「他在地裡扒出土豆兒來。」
2.拾。《西遊記》第一四回：「悟空道：『你小時不曾在我面前扒柴？不曾在我臉上挑菜？』」《儒林外史》第三回：「若是家門口這些做田的，扒糞的，不過是平頭百姓。」
3.撓、抓、搔。如：「扒癢兒。」
4.趴伏。《儒林外史》第五回：「桌子底下一個貓就扒在他腿上，嚴監生一靴頭子踢開了。」
5.攀登、爬行。《三國演義》第九〇回：「洞內孟獲宗黨，皆棄宮闕，扒山越嶺而走。」《老殘遊記》第一九回：「有膽子的快來跟三爺碰碰，沒膽子的替我四個爪子一齊往外扒！」
6.用慢火將食物煨爛。如：「扒白菜」、「扒羊肉」。 |</v>
      </c>
    </row>
    <row r="2246" spans="1:44" hidden="1">
      <c r="A2246" s="1" t="s">
        <v>138</v>
      </c>
      <c r="C2246" s="1">
        <v>1</v>
      </c>
      <c r="D2246" s="1" t="str">
        <f>"00585"</f>
        <v>00585</v>
      </c>
      <c r="E2246" s="1" t="s">
        <v>139</v>
      </c>
      <c r="F2246" s="1">
        <v>8</v>
      </c>
      <c r="G2246" s="1">
        <v>4</v>
      </c>
      <c r="H2246" s="1">
        <v>1</v>
      </c>
      <c r="I2246" s="1" t="s">
        <v>1526</v>
      </c>
      <c r="K2246" s="1" t="str">
        <f t="shared" si="144"/>
        <v>ㄆ</v>
      </c>
      <c r="L2246" s="1" t="str">
        <f t="shared" si="145"/>
        <v>ㄚ</v>
      </c>
      <c r="N2246" s="3" t="s">
        <v>30575</v>
      </c>
      <c r="O2246" s="3"/>
      <c r="P2246" s="1" t="s">
        <v>186</v>
      </c>
      <c r="R2246" s="1" t="s">
        <v>1527</v>
      </c>
      <c r="V2246" s="1" t="s">
        <v>1530</v>
      </c>
      <c r="W2246" s="1" t="s">
        <v>1531</v>
      </c>
      <c r="AR2246" s="1" t="str">
        <f t="shared" si="146"/>
        <v>| [ㄆㄚˊ](ㄆㄚˊ.md) | [杷](杷.md) |  | pá | [名]
1.參見「枇杷」條。
2.一種用來聚攏或散開穀物的農具。漢．王襃〈僮約〉：「屈竹作杷，削治鹿盧。」宋．蘇軾〈吳中田婦歎〉：「霜風來時雨如瀉，杷頭出菌鐮生衣。」 |</v>
      </c>
    </row>
    <row r="2247" spans="1:44" hidden="1">
      <c r="A2247" s="1" t="s">
        <v>1532</v>
      </c>
      <c r="C2247" s="1">
        <v>1</v>
      </c>
      <c r="D2247" s="1" t="str">
        <f>"00586"</f>
        <v>00586</v>
      </c>
      <c r="E2247" s="1" t="s">
        <v>1533</v>
      </c>
      <c r="F2247" s="1">
        <v>8</v>
      </c>
      <c r="G2247" s="1">
        <v>4</v>
      </c>
      <c r="H2247" s="1">
        <v>0</v>
      </c>
      <c r="I2247" s="1" t="s">
        <v>1526</v>
      </c>
      <c r="K2247" s="1" t="str">
        <f t="shared" si="144"/>
        <v>ㄆ</v>
      </c>
      <c r="L2247" s="1" t="str">
        <f t="shared" si="145"/>
        <v>ㄚ</v>
      </c>
      <c r="N2247" s="3" t="s">
        <v>30575</v>
      </c>
      <c r="O2247" s="3"/>
      <c r="P2247" s="1" t="s">
        <v>20</v>
      </c>
      <c r="R2247" s="1" t="s">
        <v>1527</v>
      </c>
      <c r="V2247" s="1" t="s">
        <v>1534</v>
      </c>
      <c r="AR2247" s="1" t="str">
        <f t="shared" si="146"/>
        <v>| [ㄆㄚˊ](ㄆㄚˊ.md) | [爬](爬.md) |  | pá | [動]
1.昆蟲、爬蟲類動物等往前移動，或人以手足伏地而行。如：「爬出門外」、「吃了蒼蠅爬過的東西，容易拉肚子。」
2.攀登。如：「爬樹」、「爬山」、「爬竿比賽」。元．紀君祥《趙氏孤兒》第二折：「他！他！他！只貪著目前受用，全不省爬的高來可也跌的來腫。」
3.搔、抓。唐．韓愈〈試大理評事王君墓誌銘〉：「攝監察御史觀察判官，櫛垢爬癢，民獲蘇醒。」唐．白居易．〈自詠老身示諸家屬〉詩：「支分閒事了，爬背向陽眠。」 |</v>
      </c>
    </row>
    <row r="2248" spans="1:44" hidden="1">
      <c r="A2248" s="1" t="s">
        <v>108</v>
      </c>
      <c r="C2248" s="1">
        <v>1</v>
      </c>
      <c r="D2248" s="1" t="str">
        <f>"00587"</f>
        <v>00587</v>
      </c>
      <c r="E2248" s="1" t="s">
        <v>109</v>
      </c>
      <c r="F2248" s="1">
        <v>10</v>
      </c>
      <c r="G2248" s="1">
        <v>4</v>
      </c>
      <c r="H2248" s="1">
        <v>1</v>
      </c>
      <c r="I2248" s="1" t="s">
        <v>1526</v>
      </c>
      <c r="K2248" s="1" t="str">
        <f t="shared" si="144"/>
        <v>ㄆ</v>
      </c>
      <c r="L2248" s="1" t="str">
        <f t="shared" si="145"/>
        <v>ㄚ</v>
      </c>
      <c r="N2248" s="3" t="s">
        <v>30575</v>
      </c>
      <c r="O2248" s="3"/>
      <c r="P2248" s="1" t="s">
        <v>20</v>
      </c>
      <c r="R2248" s="1" t="s">
        <v>1527</v>
      </c>
      <c r="V2248" s="1" t="s">
        <v>1535</v>
      </c>
      <c r="W2248" s="1" t="s">
        <v>1536</v>
      </c>
      <c r="AR2248" s="1" t="str">
        <f t="shared" si="146"/>
        <v>| [ㄆㄚˊ](ㄆㄚˊ.md) | [耙](耙.md) |  | pá | [名]
1.一種簡單的舊式農具，由一條橫木上附平排尖齒（鐵齒或木齒），加上長柄構成，可使地面土塊平整、地上物聚攏或散開。
2.一種機械化的農具，為耙地所用的作業機，種類頗多，主要有圓盤耙、彈簧耙、釘齒耙、迴轉耕耘器、刀耙等。
[動]
使用耙子平整土地，或將穀物聚攏、散開。如：「把這塊地耙鬆之後，就可種些蔬菜或水果。」「他將晒穀場上的穀子耙開了晒。」 |</v>
      </c>
    </row>
    <row r="2249" spans="1:44" hidden="1">
      <c r="A2249" s="1" t="s">
        <v>141</v>
      </c>
      <c r="C2249" s="1">
        <v>1</v>
      </c>
      <c r="D2249" s="1" t="str">
        <f>"00588"</f>
        <v>00588</v>
      </c>
      <c r="E2249" s="1" t="s">
        <v>142</v>
      </c>
      <c r="F2249" s="1">
        <v>12</v>
      </c>
      <c r="G2249" s="1">
        <v>8</v>
      </c>
      <c r="H2249" s="1">
        <v>1</v>
      </c>
      <c r="I2249" s="1" t="s">
        <v>1526</v>
      </c>
      <c r="K2249" s="1" t="str">
        <f t="shared" si="144"/>
        <v>ㄆ</v>
      </c>
      <c r="L2249" s="1" t="str">
        <f t="shared" si="145"/>
        <v>ㄚ</v>
      </c>
      <c r="N2249" s="3" t="s">
        <v>30575</v>
      </c>
      <c r="O2249" s="3"/>
      <c r="P2249" s="1" t="s">
        <v>186</v>
      </c>
      <c r="R2249" s="1" t="s">
        <v>1527</v>
      </c>
      <c r="V2249" s="1" t="s">
        <v>1537</v>
      </c>
      <c r="W2249" s="1" t="s">
        <v>1538</v>
      </c>
      <c r="AR2249" s="1" t="str">
        <f t="shared" si="146"/>
        <v>| [ㄆㄚˊ](ㄆㄚˊ.md) | [琶](琶.md) |  | pá | 參見「琵琶」條。 |</v>
      </c>
    </row>
    <row r="2250" spans="1:44" hidden="1">
      <c r="A2250" s="1" t="s">
        <v>1539</v>
      </c>
      <c r="C2250" s="1">
        <v>1</v>
      </c>
      <c r="D2250" s="1" t="str">
        <f>"00589"</f>
        <v>00589</v>
      </c>
      <c r="E2250" s="1" t="s">
        <v>49</v>
      </c>
      <c r="F2250" s="1">
        <v>13</v>
      </c>
      <c r="G2250" s="1">
        <v>7</v>
      </c>
      <c r="H2250" s="1">
        <v>0</v>
      </c>
      <c r="I2250" s="1" t="s">
        <v>1526</v>
      </c>
      <c r="K2250" s="1" t="str">
        <f t="shared" si="144"/>
        <v>ㄆ</v>
      </c>
      <c r="L2250" s="1" t="str">
        <f t="shared" si="145"/>
        <v>ㄚ</v>
      </c>
      <c r="N2250" s="3" t="s">
        <v>30575</v>
      </c>
      <c r="O2250" s="3"/>
      <c r="P2250" s="1" t="s">
        <v>20</v>
      </c>
      <c r="R2250" s="1" t="s">
        <v>1527</v>
      </c>
      <c r="V2250" s="1" t="s">
        <v>1540</v>
      </c>
      <c r="AR2250" s="1" t="str">
        <f t="shared" si="146"/>
        <v>| [ㄆㄚˊ](ㄆㄚˊ.md) | [筢](筢.md) |  | pá | [名]
農家取草的竹器，一般多為五齒。《字彙．竹部》：「筢，五齒筢，用以取草也。」也稱為「筢子」。 |</v>
      </c>
    </row>
    <row r="2251" spans="1:44" hidden="1">
      <c r="A2251" s="1" t="s">
        <v>1322</v>
      </c>
      <c r="C2251" s="1">
        <v>1</v>
      </c>
      <c r="D2251" s="1" t="str">
        <f>"00590"</f>
        <v>00590</v>
      </c>
      <c r="E2251" s="1" t="s">
        <v>129</v>
      </c>
      <c r="F2251" s="1">
        <v>5</v>
      </c>
      <c r="G2251" s="1">
        <v>2</v>
      </c>
      <c r="H2251" s="1">
        <v>1</v>
      </c>
      <c r="I2251" s="1" t="s">
        <v>1541</v>
      </c>
      <c r="K2251" s="1" t="str">
        <f t="shared" si="144"/>
        <v>ㄆ</v>
      </c>
      <c r="L2251" s="1" t="str">
        <f t="shared" si="145"/>
        <v>ㄚ</v>
      </c>
      <c r="N2251" s="3" t="s">
        <v>30574</v>
      </c>
      <c r="O2251" s="3"/>
      <c r="P2251" s="1" t="s">
        <v>20</v>
      </c>
      <c r="R2251" s="1" t="s">
        <v>1542</v>
      </c>
      <c r="V2251" s="1" t="s">
        <v>1543</v>
      </c>
      <c r="W2251" s="1" t="s">
        <v>1544</v>
      </c>
      <c r="AR2251" s="1" t="str">
        <f t="shared" si="146"/>
        <v>| [ㄆㄚˋ](ㄆㄚˋ.md) | [汃](汃.md) |  | pà | [擬]_x000D_
模擬波濤相激盪的聲音。《文選．卷四．賦．張衡．南都賦》：「流湍投濈，砏汃輣軋。」唐．李善．注：「砏汃輣軋，波相激之聲也。」唐．韓愈、孟郊〈征蜀聯句〉：「獠江息澎汃，戍寒絕朝乘。」 |</v>
      </c>
    </row>
    <row r="2252" spans="1:44" hidden="1">
      <c r="A2252" s="1" t="s">
        <v>1545</v>
      </c>
      <c r="C2252" s="1">
        <v>1</v>
      </c>
      <c r="D2252" s="1" t="str">
        <f>"00591"</f>
        <v>00591</v>
      </c>
      <c r="E2252" s="1" t="s">
        <v>222</v>
      </c>
      <c r="F2252" s="1">
        <v>7</v>
      </c>
      <c r="G2252" s="1">
        <v>4</v>
      </c>
      <c r="H2252" s="1">
        <v>0</v>
      </c>
      <c r="I2252" s="1" t="s">
        <v>1541</v>
      </c>
      <c r="K2252" s="1" t="str">
        <f t="shared" si="144"/>
        <v>ㄆ</v>
      </c>
      <c r="L2252" s="1" t="str">
        <f t="shared" si="145"/>
        <v>ㄚ</v>
      </c>
      <c r="N2252" s="3" t="s">
        <v>30574</v>
      </c>
      <c r="O2252" s="3"/>
      <c r="P2252" s="1" t="s">
        <v>20</v>
      </c>
      <c r="R2252" s="1" t="s">
        <v>1542</v>
      </c>
      <c r="V2252" s="1" t="s">
        <v>1546</v>
      </c>
      <c r="AR2252" s="1" t="str">
        <f t="shared" si="146"/>
        <v>| [ㄆㄚˋ](ㄆㄚˋ.md) | [帊](帊.md) |  | pà | [名]
1.用二幅或三幅帛拼成的大巾。《廣韻．去聲．禡韻》：「《通俗文》曰：『帛三幅曰帊。』」《南史．卷八．梁本紀》：「梁王詧使以布帊纏屍，斂以蒲席。」
2.幞，即頭巾。《廣韻．去聲．禡韻》：「帊，帊幞。」
3.帳子。元．周伯琦《六書正譌．卷四．禡韻》：「帊，一曰帳也。」
4.手巾。通「帕」。《三國志．卷二一．魏書．王粲傳》：「觀人圍棋，局壞，粲為覆之。棋者不信，以帊蓋局，使更以他局為之。」 |</v>
      </c>
    </row>
    <row r="2253" spans="1:44" hidden="1">
      <c r="A2253" s="1" t="s">
        <v>1547</v>
      </c>
      <c r="C2253" s="1">
        <v>1</v>
      </c>
      <c r="D2253" s="1" t="str">
        <f>"00592"</f>
        <v>00592</v>
      </c>
      <c r="E2253" s="1" t="s">
        <v>250</v>
      </c>
      <c r="F2253" s="1">
        <v>8</v>
      </c>
      <c r="G2253" s="1">
        <v>5</v>
      </c>
      <c r="H2253" s="1">
        <v>0</v>
      </c>
      <c r="I2253" s="1" t="s">
        <v>1541</v>
      </c>
      <c r="K2253" s="1" t="str">
        <f t="shared" si="144"/>
        <v>ㄆ</v>
      </c>
      <c r="L2253" s="1" t="str">
        <f t="shared" si="145"/>
        <v>ㄚ</v>
      </c>
      <c r="N2253" s="3" t="s">
        <v>30574</v>
      </c>
      <c r="O2253" s="3"/>
      <c r="P2253" s="1" t="s">
        <v>20</v>
      </c>
      <c r="R2253" s="1" t="s">
        <v>1542</v>
      </c>
      <c r="V2253" s="1" t="s">
        <v>1548</v>
      </c>
      <c r="AR2253" s="1" t="str">
        <f t="shared" si="146"/>
        <v>| [ㄆㄚˋ](ㄆㄚˋ.md) | [怕](怕.md) |  | pà | [動]
1.恐懼、害怕。如：「貪生怕死」、「有人很怕打雷。」唐．杜甫〈麗春〉詩：「如何貴此重，卻怕有人知。」
2.擔心、憂慮。如：「我怕你累著了。」「我怕他別有用心。」
[副]
1.可能、或許、大概。表估計。如：「這堆橘子怕有十來斤吧！」《儒林外史》第二六回：「他怕不也有二十五六歲，他對人自說二十一歲。」
2.豈、難道。表反問。《初刻拍案驚奇》卷三八：「我怕不要周全？只是關著財利上事，連夫妻兩個，心肝不託著五臟的。」《老殘遊記》第五回：「他再有個長短，這家業怕不是眾親族一分？」
3.如果、倘若。《永樂大典戲文三種．小孫屠．第三出》：「梅香，怕有賞春佳客來買酒，你與我安排了酒器，整頓則個。」《董西廂》卷五：「可憐我四海無家獨自個，怕得工夫肯略來看覷我麼？」
[名]
姓。如唐代有怕善，宋代有怕籛。 |</v>
      </c>
    </row>
    <row r="2254" spans="1:44" hidden="1">
      <c r="A2254" s="1" t="s">
        <v>1549</v>
      </c>
      <c r="C2254" s="1">
        <v>1</v>
      </c>
      <c r="D2254" s="1" t="str">
        <f>"00593"</f>
        <v>00593</v>
      </c>
      <c r="E2254" s="1" t="s">
        <v>222</v>
      </c>
      <c r="F2254" s="1">
        <v>8</v>
      </c>
      <c r="G2254" s="1">
        <v>5</v>
      </c>
      <c r="H2254" s="1">
        <v>0</v>
      </c>
      <c r="I2254" s="1" t="s">
        <v>1541</v>
      </c>
      <c r="K2254" s="1" t="str">
        <f t="shared" si="144"/>
        <v>ㄆ</v>
      </c>
      <c r="L2254" s="1" t="str">
        <f t="shared" si="145"/>
        <v>ㄚ</v>
      </c>
      <c r="N2254" s="3" t="s">
        <v>30574</v>
      </c>
      <c r="O2254" s="3"/>
      <c r="P2254" s="1" t="s">
        <v>20</v>
      </c>
      <c r="R2254" s="1" t="s">
        <v>1542</v>
      </c>
      <c r="V2254" s="1" t="s">
        <v>1550</v>
      </c>
      <c r="AR2254" s="1" t="str">
        <f t="shared" si="146"/>
        <v>| [ㄆㄚˋ](ㄆㄚˋ.md) | [帕](帕.md) |  | pà | [名]_x000D_
1.舊時的頭巾。《廣韻．入聲．轄韻》：「帕，帕額，首飾。」元．王逢〈歎病駝〉詩：「老奚首帕短褲靴，手持鞭策涕泗沱。」_x000D_
2.用來擦拭的方形小巾，常隨身攜帶。如：「手帕」、「香帕」。宋．釋文瑩《湘山野錄》卷中：「『汝哭何因無淚？』漸曰：『以帕拭乾。』」_x000D_
3.帷帳。元．陳旅〈題春宮倦繡圖〉詩：「綠樹垂垂護寶闌，床頭翠帕羃雙環。」_x000D_
[動]_x000D_
纏、裹繞。唐．韓愈〈元和聖德詩〉：「以錦纏股，以紅帕首。」 |</v>
      </c>
    </row>
    <row r="2255" spans="1:44" hidden="1">
      <c r="A2255" s="1" t="s">
        <v>1551</v>
      </c>
      <c r="C2255" s="1">
        <v>1</v>
      </c>
      <c r="D2255" s="1" t="str">
        <f>"00594"</f>
        <v>00594</v>
      </c>
      <c r="E2255" s="1" t="s">
        <v>340</v>
      </c>
      <c r="F2255" s="1">
        <v>11</v>
      </c>
      <c r="G2255" s="1">
        <v>5</v>
      </c>
      <c r="H2255" s="1">
        <v>0</v>
      </c>
      <c r="I2255" s="1" t="s">
        <v>1541</v>
      </c>
      <c r="K2255" s="1" t="str">
        <f t="shared" si="144"/>
        <v>ㄆ</v>
      </c>
      <c r="L2255" s="1" t="str">
        <f t="shared" si="145"/>
        <v>ㄚ</v>
      </c>
      <c r="N2255" s="3" t="s">
        <v>30574</v>
      </c>
      <c r="O2255" s="3"/>
      <c r="P2255" s="1" t="s">
        <v>20</v>
      </c>
      <c r="R2255" s="1" t="s">
        <v>1542</v>
      </c>
      <c r="V2255" s="1" t="s">
        <v>1552</v>
      </c>
      <c r="AR2255" s="1" t="str">
        <f t="shared" si="146"/>
        <v>| [ㄆㄚˋ](ㄆㄚˋ.md) | [袙](袙.md) |  | pà | [名]
頭巾。通「帕」。《續漢書志．第三〇．輿服志下》：「秦雄諸侯，乃加其武將首飾為絳袙，以表貴賤，其後稍稍作顏題。」 |</v>
      </c>
    </row>
    <row r="2256" spans="1:44" hidden="1">
      <c r="A2256" s="1" t="s">
        <v>138</v>
      </c>
      <c r="C2256" s="1">
        <v>1</v>
      </c>
      <c r="D2256" s="1" t="str">
        <f>"00595"</f>
        <v>00595</v>
      </c>
      <c r="E2256" s="1" t="s">
        <v>139</v>
      </c>
      <c r="F2256" s="1">
        <v>8</v>
      </c>
      <c r="G2256" s="1">
        <v>4</v>
      </c>
      <c r="H2256" s="1">
        <v>3</v>
      </c>
      <c r="I2256" s="1" t="s">
        <v>1553</v>
      </c>
      <c r="J2256" s="2" t="s">
        <v>30559</v>
      </c>
      <c r="K2256" s="1" t="s">
        <v>30562</v>
      </c>
      <c r="L2256" s="1" t="s">
        <v>24143</v>
      </c>
      <c r="P2256" s="1" t="s">
        <v>388</v>
      </c>
      <c r="R2256" s="1" t="s">
        <v>1554</v>
      </c>
      <c r="V2256" s="1" t="s">
        <v>407</v>
      </c>
      <c r="W2256" s="1" t="s">
        <v>1555</v>
      </c>
      <c r="AR2256" s="1" t="str">
        <f t="shared" si="146"/>
        <v>| [˙ㄆㄚ](˙ㄆㄚ.md) | [杷](杷.md) |  | pa | (一)之語音。 |</v>
      </c>
    </row>
    <row r="2257" spans="1:44" hidden="1">
      <c r="A2257" s="1" t="s">
        <v>141</v>
      </c>
      <c r="C2257" s="1">
        <v>1</v>
      </c>
      <c r="D2257" s="1" t="str">
        <f>"00596"</f>
        <v>00596</v>
      </c>
      <c r="E2257" s="1" t="s">
        <v>142</v>
      </c>
      <c r="F2257" s="1">
        <v>12</v>
      </c>
      <c r="G2257" s="1">
        <v>8</v>
      </c>
      <c r="H2257" s="1">
        <v>3</v>
      </c>
      <c r="I2257" s="1" t="s">
        <v>1553</v>
      </c>
      <c r="J2257" s="2" t="s">
        <v>30559</v>
      </c>
      <c r="K2257" s="1" t="s">
        <v>30562</v>
      </c>
      <c r="L2257" s="1" t="s">
        <v>24143</v>
      </c>
      <c r="P2257" s="1" t="s">
        <v>388</v>
      </c>
      <c r="R2257" s="1" t="s">
        <v>1554</v>
      </c>
      <c r="V2257" s="1" t="s">
        <v>407</v>
      </c>
      <c r="W2257" s="1" t="s">
        <v>1556</v>
      </c>
      <c r="AR2257" s="1" t="str">
        <f t="shared" si="146"/>
        <v>| [˙ㄆㄚ](˙ㄆㄚ.md) | [琶](琶.md) |  | pa | (一)之語音。 |</v>
      </c>
    </row>
    <row r="2258" spans="1:44" hidden="1">
      <c r="A2258" s="1" t="s">
        <v>1605</v>
      </c>
      <c r="C2258" s="1">
        <v>1</v>
      </c>
      <c r="D2258" s="1" t="str">
        <f>"00616"</f>
        <v>00616</v>
      </c>
      <c r="E2258" s="1" t="s">
        <v>139</v>
      </c>
      <c r="F2258" s="1">
        <v>6</v>
      </c>
      <c r="G2258" s="1">
        <v>2</v>
      </c>
      <c r="H2258" s="1">
        <v>1</v>
      </c>
      <c r="I2258" s="1" t="s">
        <v>1606</v>
      </c>
      <c r="K2258" s="1" t="str">
        <f t="shared" ref="K2258:K2321" si="147">LEFT(I2258, 1)</f>
        <v>ㄆ</v>
      </c>
      <c r="L2258" s="1" t="str">
        <f t="shared" ref="L2258:L2321" si="148">MID(I2258, 2, 1)</f>
        <v>ㄛ</v>
      </c>
      <c r="N2258" s="3" t="s">
        <v>30574</v>
      </c>
      <c r="O2258" s="3"/>
      <c r="P2258" s="1" t="s">
        <v>20</v>
      </c>
      <c r="R2258" s="1" t="s">
        <v>1607</v>
      </c>
      <c r="V2258" s="1" t="s">
        <v>1608</v>
      </c>
      <c r="W2258" s="1" t="s">
        <v>1609</v>
      </c>
      <c r="AR2258" s="1" t="str">
        <f t="shared" si="146"/>
        <v>| [ㄆㄛˋ](ㄆㄛˋ.md) | [朴](朴.md) |  | pò | [名]
1.樹木的外皮。《說文解字．木部》：「朴，木皮。」《太平御覽．卷三八二．人事部．醜丈夫》：「崔駰〈博徒論〉：『膚如桑朴，足如熊蹄。』」
2.植物名。榆科朴樹屬，落葉喬木。高可達二十公尺，葉卵形，粗鋸齒緣，基略圓形至闊楔形，歪斜。花雜性，雄花序聚繖狀著枝條下部，雌花或兩性花單生或簇生枝條上方葉腋。果球形，熟時澄黃色。樹皮和花可供藥用，木材可製器物。也稱為「沙朴」。 |</v>
      </c>
    </row>
    <row r="2259" spans="1:44" hidden="1">
      <c r="A2259" s="1" t="s">
        <v>1610</v>
      </c>
      <c r="C2259" s="1">
        <v>1</v>
      </c>
      <c r="D2259" s="1" t="str">
        <f>"00617"</f>
        <v>00617</v>
      </c>
      <c r="E2259" s="1" t="s">
        <v>55</v>
      </c>
      <c r="F2259" s="1">
        <v>10</v>
      </c>
      <c r="G2259" s="1">
        <v>2</v>
      </c>
      <c r="H2259" s="1">
        <v>0</v>
      </c>
      <c r="I2259" s="1" t="s">
        <v>1606</v>
      </c>
      <c r="K2259" s="1" t="str">
        <f t="shared" si="147"/>
        <v>ㄆ</v>
      </c>
      <c r="L2259" s="1" t="str">
        <f t="shared" si="148"/>
        <v>ㄛ</v>
      </c>
      <c r="N2259" s="3" t="s">
        <v>30574</v>
      </c>
      <c r="O2259" s="3"/>
      <c r="P2259" s="1" t="s">
        <v>20</v>
      </c>
      <c r="R2259" s="1" t="s">
        <v>1607</v>
      </c>
      <c r="V2259" s="1" t="s">
        <v>1611</v>
      </c>
      <c r="AR2259" s="1" t="str">
        <f t="shared" si="146"/>
        <v>| [ㄆㄛˋ](ㄆㄛˋ.md) | [釙](釙.md) |  | pò | [名]
（polonium，Po）化學元素。原子序84。為放射性金屬元素之一，半衰期約一百三十八天。西元一八九八年，由居禮夫人發現。鈾礦及錫石中有微量的釙存在。 |</v>
      </c>
    </row>
    <row r="2260" spans="1:44" hidden="1">
      <c r="A2260" s="1" t="s">
        <v>213</v>
      </c>
      <c r="C2260" s="1">
        <v>1</v>
      </c>
      <c r="D2260" s="1" t="str">
        <f>"00618"</f>
        <v>00618</v>
      </c>
      <c r="E2260" s="1" t="s">
        <v>129</v>
      </c>
      <c r="F2260" s="1">
        <v>8</v>
      </c>
      <c r="G2260" s="1">
        <v>5</v>
      </c>
      <c r="H2260" s="1">
        <v>2</v>
      </c>
      <c r="I2260" s="1" t="s">
        <v>1606</v>
      </c>
      <c r="K2260" s="1" t="str">
        <f t="shared" si="147"/>
        <v>ㄆ</v>
      </c>
      <c r="L2260" s="1" t="str">
        <f t="shared" si="148"/>
        <v>ㄛ</v>
      </c>
      <c r="N2260" s="3" t="s">
        <v>30574</v>
      </c>
      <c r="O2260" s="3"/>
      <c r="P2260" s="1" t="s">
        <v>110</v>
      </c>
      <c r="R2260" s="1" t="s">
        <v>1607</v>
      </c>
      <c r="V2260" s="1" t="s">
        <v>111</v>
      </c>
      <c r="W2260" s="1" t="s">
        <v>1612</v>
      </c>
      <c r="AR2260" s="1" t="str">
        <f t="shared" si="146"/>
        <v>| [ㄆㄛˋ](ㄆㄛˋ.md) | [泊](泊.md) |  | pò | (一)之又音。 |</v>
      </c>
    </row>
    <row r="2261" spans="1:44" hidden="1">
      <c r="A2261" s="1" t="s">
        <v>216</v>
      </c>
      <c r="C2261" s="1">
        <v>1</v>
      </c>
      <c r="D2261" s="1" t="str">
        <f>"00619"</f>
        <v>00619</v>
      </c>
      <c r="E2261" s="1" t="s">
        <v>24</v>
      </c>
      <c r="F2261" s="1">
        <v>8</v>
      </c>
      <c r="G2261" s="1">
        <v>5</v>
      </c>
      <c r="H2261" s="1">
        <v>2</v>
      </c>
      <c r="I2261" s="1" t="s">
        <v>1606</v>
      </c>
      <c r="K2261" s="1" t="str">
        <f t="shared" si="147"/>
        <v>ㄆ</v>
      </c>
      <c r="L2261" s="1" t="str">
        <f t="shared" si="148"/>
        <v>ㄛ</v>
      </c>
      <c r="N2261" s="3" t="s">
        <v>30574</v>
      </c>
      <c r="O2261" s="3"/>
      <c r="P2261" s="1" t="s">
        <v>186</v>
      </c>
      <c r="R2261" s="1" t="s">
        <v>1607</v>
      </c>
      <c r="V2261" s="1" t="s">
        <v>206</v>
      </c>
      <c r="W2261" s="1" t="s">
        <v>1613</v>
      </c>
      <c r="AR2261" s="1" t="str">
        <f t="shared" si="146"/>
        <v>| [ㄆㄛˋ](ㄆㄛˋ.md) | [拍](拍.md) |  | pò | (一)之讀音。 |</v>
      </c>
    </row>
    <row r="2262" spans="1:44" hidden="1">
      <c r="A2262" s="1" t="s">
        <v>1614</v>
      </c>
      <c r="C2262" s="1">
        <v>1</v>
      </c>
      <c r="D2262" s="1" t="str">
        <f>"00620"</f>
        <v>00620</v>
      </c>
      <c r="E2262" s="1" t="s">
        <v>142</v>
      </c>
      <c r="F2262" s="1">
        <v>9</v>
      </c>
      <c r="G2262" s="1">
        <v>5</v>
      </c>
      <c r="H2262" s="1">
        <v>0</v>
      </c>
      <c r="I2262" s="1" t="s">
        <v>1606</v>
      </c>
      <c r="K2262" s="1" t="str">
        <f t="shared" si="147"/>
        <v>ㄆ</v>
      </c>
      <c r="L2262" s="1" t="str">
        <f t="shared" si="148"/>
        <v>ㄛ</v>
      </c>
      <c r="N2262" s="3" t="s">
        <v>30574</v>
      </c>
      <c r="O2262" s="3"/>
      <c r="P2262" s="1" t="s">
        <v>20</v>
      </c>
      <c r="R2262" s="1" t="s">
        <v>1607</v>
      </c>
      <c r="V2262" s="1" t="s">
        <v>1615</v>
      </c>
      <c r="AR2262" s="1" t="str">
        <f t="shared" si="146"/>
        <v>| [ㄆㄛˋ](ㄆㄛˋ.md) | [珀](珀.md) |  | pò | 參見「琥珀」條。 |</v>
      </c>
    </row>
    <row r="2263" spans="1:44" hidden="1">
      <c r="A2263" s="1" t="s">
        <v>1616</v>
      </c>
      <c r="C2263" s="1">
        <v>1</v>
      </c>
      <c r="D2263" s="1" t="str">
        <f>"00621"</f>
        <v>00621</v>
      </c>
      <c r="E2263" s="1" t="s">
        <v>558</v>
      </c>
      <c r="F2263" s="1">
        <v>9</v>
      </c>
      <c r="G2263" s="1">
        <v>5</v>
      </c>
      <c r="H2263" s="1">
        <v>0</v>
      </c>
      <c r="I2263" s="1" t="s">
        <v>1606</v>
      </c>
      <c r="K2263" s="1" t="str">
        <f t="shared" si="147"/>
        <v>ㄆ</v>
      </c>
      <c r="L2263" s="1" t="str">
        <f t="shared" si="148"/>
        <v>ㄛ</v>
      </c>
      <c r="N2263" s="3" t="s">
        <v>30574</v>
      </c>
      <c r="O2263" s="3"/>
      <c r="P2263" s="1" t="s">
        <v>20</v>
      </c>
      <c r="R2263" s="1" t="s">
        <v>1607</v>
      </c>
      <c r="V2263" s="1" t="s">
        <v>1617</v>
      </c>
      <c r="AR2263" s="1" t="str">
        <f t="shared" si="146"/>
        <v>| [ㄆㄛˋ](ㄆㄛˋ.md) | [迫](迫.md) |  | pò | [動]
1.接近。《說文解字．辵部》：「迫，近也。」《楚辭．屈原．離騷》：「吾令羲和弭節令，望崦嵫而勿迫。」《文選．司馬遷．報任少卿書》：「涉旬月，迫冬季。」
2.強逼。如：「壓迫」、「被迫投降」。《左傳．哀公十五年》：「迫孔悝於廁，強盟之。」《莊子．刻意》：「感而後應，迫而後動。」
3.催促。晉．陶淵明〈雜詩〉：「日月不肯遲，四時相催迫。」唐．杜甫〈戲題畫山水圖歌〉：「能事不受相促迫，王宰始肯留真跡。」
4.摧殘、殘害。《呂氏春秋．仲春紀．貴生》：「辱莫大於不義，故不義迫生也。」
[形]
1.狹窄。《後漢書．卷二三．竇融傳》：「當今西州地埶局迫，人兵離散，易以輔人，難以自建。」
2.困窘。宋．蘇軾〈杭州上執政書〉二首之一：「計窮理迫，須至控告。」
[副]
危急、緊急。如：「迫不及待」、「迫切需要」。《莊子．山木》：「夫以利合者，迫窮禍患相棄。」 |</v>
      </c>
    </row>
    <row r="2264" spans="1:44" hidden="1">
      <c r="A2264" s="1" t="s">
        <v>1618</v>
      </c>
      <c r="C2264" s="1">
        <v>1</v>
      </c>
      <c r="D2264" s="1" t="str">
        <f>"00622"</f>
        <v>00622</v>
      </c>
      <c r="E2264" s="1" t="s">
        <v>68</v>
      </c>
      <c r="F2264" s="1">
        <v>9</v>
      </c>
      <c r="G2264" s="1">
        <v>5</v>
      </c>
      <c r="H2264" s="1">
        <v>0</v>
      </c>
      <c r="I2264" s="1" t="s">
        <v>1606</v>
      </c>
      <c r="K2264" s="1" t="str">
        <f t="shared" si="147"/>
        <v>ㄆ</v>
      </c>
      <c r="L2264" s="1" t="str">
        <f t="shared" si="148"/>
        <v>ㄛ</v>
      </c>
      <c r="N2264" s="3" t="s">
        <v>30574</v>
      </c>
      <c r="O2264" s="3"/>
      <c r="P2264" s="1" t="s">
        <v>20</v>
      </c>
      <c r="R2264" s="1" t="s">
        <v>1607</v>
      </c>
      <c r="V2264" s="1" t="s">
        <v>1619</v>
      </c>
      <c r="AR2264" s="1" t="str">
        <f t="shared" si="146"/>
        <v>| [ㄆㄛˋ](ㄆㄛˋ.md) | [胉](胉.md) |  | pò | [名]
脊椎骨兩旁的肋骨。《儀禮．士喪禮》：「其實特豚，四鬄、去蹄、兩胉、脊、肺。」《文選．張衡．東京賦》：「毛炰豚胉，亦有和羹。」 |</v>
      </c>
    </row>
    <row r="2265" spans="1:44" hidden="1">
      <c r="A2265" s="1" t="s">
        <v>1620</v>
      </c>
      <c r="C2265" s="1">
        <v>1</v>
      </c>
      <c r="D2265" s="1" t="str">
        <f>"00623"</f>
        <v>00623</v>
      </c>
      <c r="E2265" s="1" t="s">
        <v>46</v>
      </c>
      <c r="F2265" s="1">
        <v>11</v>
      </c>
      <c r="G2265" s="1">
        <v>5</v>
      </c>
      <c r="H2265" s="1">
        <v>0</v>
      </c>
      <c r="I2265" s="1" t="s">
        <v>1606</v>
      </c>
      <c r="K2265" s="1" t="str">
        <f t="shared" si="147"/>
        <v>ㄆ</v>
      </c>
      <c r="L2265" s="1" t="str">
        <f t="shared" si="148"/>
        <v>ㄛ</v>
      </c>
      <c r="N2265" s="3" t="s">
        <v>30574</v>
      </c>
      <c r="O2265" s="3"/>
      <c r="P2265" s="1" t="s">
        <v>20</v>
      </c>
      <c r="R2265" s="1" t="s">
        <v>1607</v>
      </c>
      <c r="V2265" s="1" t="s">
        <v>1621</v>
      </c>
      <c r="AR2265" s="1" t="str">
        <f t="shared" si="146"/>
        <v>| [ㄆㄛˋ](ㄆㄛˋ.md) | [粕](粕.md) |  | pò | 參見「糟粕」條。 |</v>
      </c>
    </row>
    <row r="2266" spans="1:44" hidden="1">
      <c r="A2266" s="1" t="s">
        <v>1622</v>
      </c>
      <c r="C2266" s="1">
        <v>1</v>
      </c>
      <c r="D2266" s="1" t="str">
        <f>"00624"</f>
        <v>00624</v>
      </c>
      <c r="E2266" s="1" t="s">
        <v>83</v>
      </c>
      <c r="F2266" s="1">
        <v>15</v>
      </c>
      <c r="G2266" s="1">
        <v>5</v>
      </c>
      <c r="H2266" s="1">
        <v>1</v>
      </c>
      <c r="I2266" s="1" t="s">
        <v>1606</v>
      </c>
      <c r="K2266" s="1" t="str">
        <f t="shared" si="147"/>
        <v>ㄆ</v>
      </c>
      <c r="L2266" s="1" t="str">
        <f t="shared" si="148"/>
        <v>ㄛ</v>
      </c>
      <c r="N2266" s="3" t="s">
        <v>30574</v>
      </c>
      <c r="O2266" s="3"/>
      <c r="P2266" s="1" t="s">
        <v>20</v>
      </c>
      <c r="R2266" s="1" t="s">
        <v>1607</v>
      </c>
      <c r="V2266" s="1" t="s">
        <v>1623</v>
      </c>
      <c r="W2266" s="1" t="s">
        <v>1624</v>
      </c>
      <c r="AR2266" s="1" t="str">
        <f t="shared" si="146"/>
        <v>| [ㄆㄛˋ](ㄆㄛˋ.md) | [魄](魄.md) |  | pò | [名]
1.人的精氣。《說文解字．鬼部》：「魄，陰神也。」如：「精魄」、「勾魂攝魄」、「驚心動魄」、「失魂落魄」、「魂飛魄散」。《左傳．宣公十五年》：「不及十年，原叔必有大咎，天奪之魄矣。」元．關漢卿《一枝花．攀出牆朵朵花套．尾》：「三魂歸地府，七魄喪冥幽。」
2.農曆月初時始見的月光。通「霸」。漢．王充《論衡．譋時》：「月三日魄，八日弦，十五日望。」
3.月亮。唐．盧仝〈月蝕〉詩：「初露半個璧，漸吐滿輪魄。」
4.酒渣、渣滓。通「粕」。《莊子．天道》：「然則君之所讀者，古人之糟魄已夫！」 |</v>
      </c>
    </row>
    <row r="2267" spans="1:44" hidden="1">
      <c r="A2267" s="1" t="s">
        <v>1625</v>
      </c>
      <c r="C2267" s="1">
        <v>1</v>
      </c>
      <c r="D2267" s="1" t="str">
        <f>"00625"</f>
        <v>00625</v>
      </c>
      <c r="E2267" s="1" t="s">
        <v>169</v>
      </c>
      <c r="F2267" s="1">
        <v>10</v>
      </c>
      <c r="G2267" s="1">
        <v>5</v>
      </c>
      <c r="H2267" s="1">
        <v>0</v>
      </c>
      <c r="I2267" s="1" t="s">
        <v>1606</v>
      </c>
      <c r="K2267" s="1" t="str">
        <f t="shared" si="147"/>
        <v>ㄆ</v>
      </c>
      <c r="L2267" s="1" t="str">
        <f t="shared" si="148"/>
        <v>ㄛ</v>
      </c>
      <c r="N2267" s="3" t="s">
        <v>30574</v>
      </c>
      <c r="O2267" s="3"/>
      <c r="P2267" s="1" t="s">
        <v>20</v>
      </c>
      <c r="R2267" s="1" t="s">
        <v>1607</v>
      </c>
      <c r="V2267" s="1" t="s">
        <v>1626</v>
      </c>
      <c r="AR2267" s="1" t="str">
        <f t="shared" si="146"/>
        <v>| [ㄆㄛˋ](ㄆㄛˋ.md) | [破](破.md) |  | pò | [動]
1.毀壞、使碎裂。如：「家破人亡」、「破釜沉舟」。《荀子．勸學》：「風至笤折，卵破子死。」唐．杜甫〈春望〉詩：「國破山河在，城春草木深。」
2.突破、破除。如：「破戒」、「破紀錄」。《紅樓夢》第一回：「雖不敢說強似前代所有書中之人，但事跡原委亦可以消愁破悶。」
3.擊敗、攻下。如：「破城」、「大破敵軍」。《史記．卷七．項羽本紀》：「又聞沛公已破咸陽，項羽大怒，使當陽君等擊關。」
4.剖開、劈開。如：「勢如破竹」、「乘風破浪」、「將西瓜破成兩半。」
5.剖析、分析。參見「破題」條。
6.揭穿，使真相大白。《喻世明言．卷一五．史弘肇龍虎君臣會》：「一似你先時破我的肉是狗肉，幾乎教我不撰一文。」《老殘遊記》第五回：「齊心齊意要破這一案。」
7.花費、消耗。如：「破財」、「破費」。唐．溫庭筠〈蘇小小歌〉：「買蓮莫破券，買酒莫解金。」
8.盡、窮盡。唐．杜甫〈奉贈韋左丞丈二十二韻〉：「讀書破萬卷，下筆如有神。」
9.使完整的東西受到損壞而不完整。如：「踏破鐵鞋無覓處，得來全不費工夫。」
10.穿、透、揭穿。如：「識破」、「點破」、「說破」、「一語道破」、「看破紅塵」。
[形]
1.形容受到損壞而殘破的東西。如：「破船」、「破鞋」、「破布」。
2.差勁、低劣。如：「他的數學非常破。」、「你這套破理論少說為妙，免得被人嘲笑。」
[名]
唐宋燕樂大曲的後半部。其中以舞蹈為主，樂器伴奏，或有歌唱。因其節拍急促繁碎，故稱為「破」。唐．白居易〈臥聽法曲霓裳〉詩：「朦朧閒夢初成後，宛轉柔聲入破時。」《警世通言．卷三〇．金明池吳清逢愛愛》：「唱一個嬌滴滴的曲兒，舞一個妖媚媚的破兒。」也稱為「曲破」。 |</v>
      </c>
    </row>
    <row r="2268" spans="1:44" hidden="1">
      <c r="A2268" s="1" t="s">
        <v>1627</v>
      </c>
      <c r="C2268" s="1">
        <v>1</v>
      </c>
      <c r="D2268" s="1" t="str">
        <f>"00626"</f>
        <v>00626</v>
      </c>
      <c r="E2268" s="1" t="s">
        <v>28</v>
      </c>
      <c r="F2268" s="1">
        <v>10</v>
      </c>
      <c r="G2268" s="1">
        <v>7</v>
      </c>
      <c r="H2268" s="1">
        <v>0</v>
      </c>
      <c r="I2268" s="1" t="s">
        <v>1606</v>
      </c>
      <c r="K2268" s="1" t="str">
        <f t="shared" si="147"/>
        <v>ㄆ</v>
      </c>
      <c r="L2268" s="1" t="str">
        <f t="shared" si="148"/>
        <v>ㄛ</v>
      </c>
      <c r="N2268" s="3" t="s">
        <v>30574</v>
      </c>
      <c r="O2268" s="3"/>
      <c r="P2268" s="1" t="s">
        <v>20</v>
      </c>
      <c r="R2268" s="1" t="s">
        <v>1607</v>
      </c>
      <c r="V2268" s="1" t="s">
        <v>1628</v>
      </c>
      <c r="AR2268" s="1" t="str">
        <f t="shared" si="146"/>
        <v>| [ㄆㄛˋ](ㄆㄛˋ.md) | [哱](哱.md) |  | pò | 參見「哱羅」、「哱息」等條。 |</v>
      </c>
    </row>
    <row r="2269" spans="1:44" hidden="1">
      <c r="A2269" s="1" t="s">
        <v>1629</v>
      </c>
      <c r="C2269" s="1">
        <v>1</v>
      </c>
      <c r="D2269" s="1" t="str">
        <f>"00627"</f>
        <v>00627</v>
      </c>
      <c r="E2269" s="1" t="s">
        <v>37</v>
      </c>
      <c r="F2269" s="1">
        <v>14</v>
      </c>
      <c r="G2269" s="1">
        <v>10</v>
      </c>
      <c r="H2269" s="1">
        <v>0</v>
      </c>
      <c r="I2269" s="1" t="s">
        <v>1606</v>
      </c>
      <c r="K2269" s="1" t="str">
        <f t="shared" si="147"/>
        <v>ㄆ</v>
      </c>
      <c r="L2269" s="1" t="str">
        <f t="shared" si="148"/>
        <v>ㄛ</v>
      </c>
      <c r="N2269" s="3" t="s">
        <v>30574</v>
      </c>
      <c r="O2269" s="3"/>
      <c r="P2269" s="1" t="s">
        <v>20</v>
      </c>
      <c r="R2269" s="1" t="s">
        <v>1607</v>
      </c>
      <c r="V2269" s="1" t="s">
        <v>1630</v>
      </c>
      <c r="AR2269" s="1" t="str">
        <f t="shared" si="146"/>
        <v>| [ㄆㄛˋ](ㄆㄛˋ.md) | [蒪](蒪.md) |  | pò | [名]
植物名。指蒪苴。薑科薑屬，「蘘荷」之古稱。參見「蘘荷」條。 |</v>
      </c>
    </row>
    <row r="2270" spans="1:44" hidden="1">
      <c r="A2270" s="1" t="s">
        <v>330</v>
      </c>
      <c r="C2270" s="1">
        <v>1</v>
      </c>
      <c r="D2270" s="1" t="str">
        <f>"00628"</f>
        <v>00628</v>
      </c>
      <c r="E2270" s="1" t="s">
        <v>331</v>
      </c>
      <c r="F2270" s="1">
        <v>17</v>
      </c>
      <c r="G2270" s="1">
        <v>10</v>
      </c>
      <c r="H2270" s="1">
        <v>1</v>
      </c>
      <c r="I2270" s="1" t="s">
        <v>1606</v>
      </c>
      <c r="K2270" s="1" t="str">
        <f t="shared" si="147"/>
        <v>ㄆ</v>
      </c>
      <c r="L2270" s="1" t="str">
        <f t="shared" si="148"/>
        <v>ㄛ</v>
      </c>
      <c r="N2270" s="3" t="s">
        <v>30574</v>
      </c>
      <c r="O2270" s="3"/>
      <c r="P2270" s="1" t="s">
        <v>20</v>
      </c>
      <c r="R2270" s="1" t="s">
        <v>1607</v>
      </c>
      <c r="V2270" s="1" t="s">
        <v>1631</v>
      </c>
      <c r="W2270" s="1" t="s">
        <v>1632</v>
      </c>
      <c r="AR2270" s="1" t="str">
        <f t="shared" si="146"/>
        <v>| [ㄆㄛˋ](ㄆㄛˋ.md) | [謈](謈.md) |  | pò | [動]
大呼自己冤枉。《說文解字．言部》：「謈，大嘑自冤也。」
[名]
呼喊冤屈的聲音。《漢書．卷六五．東方朔傳》：「上令倡監榜舍人。舍人不勝痛，呼謈。」唐．顏師古．注：「謂痛切而叫呼也。……謈，自冤痛之聲也。舍人榜痛，乃呼云謈。」 |</v>
      </c>
    </row>
    <row r="2271" spans="1:44" hidden="1">
      <c r="A2271" s="1" t="s">
        <v>344</v>
      </c>
      <c r="C2271" s="1">
        <v>1</v>
      </c>
      <c r="D2271" s="1" t="str">
        <f>"00629"</f>
        <v>00629</v>
      </c>
      <c r="E2271" s="1" t="s">
        <v>129</v>
      </c>
      <c r="F2271" s="1">
        <v>18</v>
      </c>
      <c r="G2271" s="1">
        <v>15</v>
      </c>
      <c r="H2271" s="1">
        <v>3</v>
      </c>
      <c r="I2271" s="1" t="s">
        <v>1606</v>
      </c>
      <c r="K2271" s="1" t="str">
        <f t="shared" si="147"/>
        <v>ㄆ</v>
      </c>
      <c r="L2271" s="1" t="str">
        <f t="shared" si="148"/>
        <v>ㄛ</v>
      </c>
      <c r="N2271" s="3" t="s">
        <v>30574</v>
      </c>
      <c r="O2271" s="3"/>
      <c r="P2271" s="1" t="s">
        <v>110</v>
      </c>
      <c r="R2271" s="1" t="s">
        <v>1607</v>
      </c>
      <c r="V2271" s="1" t="s">
        <v>1633</v>
      </c>
      <c r="W2271" s="1" t="s">
        <v>1634</v>
      </c>
      <c r="AR2271" s="1" t="str">
        <f t="shared" si="146"/>
        <v>| [ㄆㄛˋ](ㄆㄛˋ.md) | [濼](濼.md) |  | pò | (二)之又音。 |</v>
      </c>
    </row>
    <row r="2272" spans="1:44" hidden="1">
      <c r="A2272" s="1" t="s">
        <v>1635</v>
      </c>
      <c r="C2272" s="1">
        <v>1</v>
      </c>
      <c r="D2272" s="1" t="str">
        <f>"00630"</f>
        <v>00630</v>
      </c>
      <c r="E2272" s="1" t="s">
        <v>1462</v>
      </c>
      <c r="F2272" s="1">
        <v>19</v>
      </c>
      <c r="G2272" s="1">
        <v>12</v>
      </c>
      <c r="H2272" s="1">
        <v>0</v>
      </c>
      <c r="I2272" s="1" t="s">
        <v>1606</v>
      </c>
      <c r="K2272" s="1" t="str">
        <f t="shared" si="147"/>
        <v>ㄆ</v>
      </c>
      <c r="L2272" s="1" t="str">
        <f t="shared" si="148"/>
        <v>ㄛ</v>
      </c>
      <c r="N2272" s="3" t="s">
        <v>30574</v>
      </c>
      <c r="O2272" s="3"/>
      <c r="P2272" s="1" t="s">
        <v>20</v>
      </c>
      <c r="R2272" s="1" t="s">
        <v>1607</v>
      </c>
      <c r="V2272" s="1" t="s">
        <v>1636</v>
      </c>
      <c r="AR2272" s="1" t="str">
        <f t="shared" si="146"/>
        <v>| [ㄆㄛˋ](ㄆㄛˋ.md) | [醱](醱.md) |  | pò | [動]
1.將酒再次重釀。唐．李白〈襄陽歌〉：「遙看漢水鴨頭綠，恰似葡萄初醱醅。」
2.參見「醱酵」條。 |</v>
      </c>
    </row>
    <row r="2273" spans="1:44" hidden="1">
      <c r="A2273" s="1" t="s">
        <v>124</v>
      </c>
      <c r="C2273" s="1">
        <v>1</v>
      </c>
      <c r="D2273" s="1" t="str">
        <f>"00631"</f>
        <v>00631</v>
      </c>
      <c r="E2273" s="1" t="s">
        <v>125</v>
      </c>
      <c r="F2273" s="1">
        <v>21</v>
      </c>
      <c r="G2273" s="1">
        <v>13</v>
      </c>
      <c r="H2273" s="1">
        <v>2</v>
      </c>
      <c r="I2273" s="1" t="s">
        <v>1606</v>
      </c>
      <c r="K2273" s="1" t="str">
        <f t="shared" si="147"/>
        <v>ㄆ</v>
      </c>
      <c r="L2273" s="1" t="str">
        <f t="shared" si="148"/>
        <v>ㄛ</v>
      </c>
      <c r="N2273" s="3" t="s">
        <v>30574</v>
      </c>
      <c r="O2273" s="3"/>
      <c r="P2273" s="1" t="s">
        <v>20</v>
      </c>
      <c r="R2273" s="1" t="s">
        <v>1607</v>
      </c>
      <c r="V2273" s="1" t="s">
        <v>1637</v>
      </c>
      <c r="W2273" s="1" t="s">
        <v>1638</v>
      </c>
      <c r="AR2273" s="1" t="str">
        <f t="shared" si="146"/>
        <v>| [ㄆㄛˋ](ㄆㄛˋ.md) | [霸](霸.md) |  | pò | [名]_x000D_
農曆每月月初始見的月光。大徐本《說文解字．月部》：「霸，月始生霸然也。承大月二日，承小月三日。」《漢書．卷二一．律曆志下》：「惟四月哉生霸。」 |</v>
      </c>
    </row>
    <row r="2274" spans="1:44" hidden="1">
      <c r="A2274" s="1" t="s">
        <v>1572</v>
      </c>
      <c r="C2274" s="1">
        <v>1</v>
      </c>
      <c r="D2274" s="1" t="str">
        <f>"00603"</f>
        <v>00603</v>
      </c>
      <c r="E2274" s="1" t="s">
        <v>534</v>
      </c>
      <c r="F2274" s="1">
        <v>11</v>
      </c>
      <c r="G2274" s="1">
        <v>8</v>
      </c>
      <c r="H2274" s="1">
        <v>0</v>
      </c>
      <c r="I2274" s="1" t="s">
        <v>1573</v>
      </c>
      <c r="K2274" s="1" t="str">
        <f t="shared" si="147"/>
        <v>ㄆ</v>
      </c>
      <c r="L2274" s="1" t="str">
        <f t="shared" si="148"/>
        <v>ㄛ</v>
      </c>
      <c r="N2274" s="3" t="s">
        <v>30575</v>
      </c>
      <c r="O2274" s="3"/>
      <c r="P2274" s="1" t="s">
        <v>20</v>
      </c>
      <c r="R2274" s="1" t="s">
        <v>1574</v>
      </c>
      <c r="V2274" s="1" t="s">
        <v>1575</v>
      </c>
      <c r="AR2274" s="1" t="str">
        <f t="shared" si="146"/>
        <v>| [ㄆㄛˊ](ㄆㄛˊ.md) | [婆](婆.md) |  | pó | [名]
1.老年的婦女。《廣韻．平聲．戈韻》：「婆，老母稱也。」如：「老婆婆」、「老太婆」。
2.以往對某些職業婦女的稱呼。如：「媒婆」、「產婆」、「接生婆」。
3.稱丈夫的母親。如：「婆婆」、「公婆」。《儒林外史》第三回：「婆媳兩個，都來坐著吃了飯。」
4.祖母輩。如：「外婆」、「姑婆」、「姨婆」。 |</v>
      </c>
    </row>
    <row r="2275" spans="1:44" hidden="1">
      <c r="A2275" s="1" t="s">
        <v>168</v>
      </c>
      <c r="C2275" s="1">
        <v>1</v>
      </c>
      <c r="D2275" s="1" t="str">
        <f>"00604"</f>
        <v>00604</v>
      </c>
      <c r="E2275" s="1" t="s">
        <v>169</v>
      </c>
      <c r="F2275" s="1">
        <v>13</v>
      </c>
      <c r="G2275" s="1">
        <v>8</v>
      </c>
      <c r="H2275" s="1">
        <v>2</v>
      </c>
      <c r="I2275" s="1" t="s">
        <v>1573</v>
      </c>
      <c r="K2275" s="1" t="str">
        <f t="shared" si="147"/>
        <v>ㄆ</v>
      </c>
      <c r="L2275" s="1" t="str">
        <f t="shared" si="148"/>
        <v>ㄛ</v>
      </c>
      <c r="N2275" s="3" t="s">
        <v>30575</v>
      </c>
      <c r="O2275" s="3"/>
      <c r="P2275" s="1" t="s">
        <v>110</v>
      </c>
      <c r="R2275" s="1" t="s">
        <v>1574</v>
      </c>
      <c r="V2275" s="1" t="s">
        <v>111</v>
      </c>
      <c r="W2275" s="1" t="s">
        <v>1576</v>
      </c>
      <c r="AR2275" s="1" t="str">
        <f t="shared" si="146"/>
        <v>| [ㄆㄛˊ](ㄆㄛˊ.md) | [碆](碆.md) |  | pó | (一)之又音。 |</v>
      </c>
    </row>
    <row r="2276" spans="1:44" hidden="1">
      <c r="A2276" s="1" t="s">
        <v>1577</v>
      </c>
      <c r="C2276" s="1">
        <v>1</v>
      </c>
      <c r="D2276" s="1" t="str">
        <f>"00605"</f>
        <v>00605</v>
      </c>
      <c r="E2276" s="1" t="s">
        <v>753</v>
      </c>
      <c r="F2276" s="1">
        <v>12</v>
      </c>
      <c r="G2276" s="1">
        <v>7</v>
      </c>
      <c r="H2276" s="1">
        <v>3</v>
      </c>
      <c r="I2276" s="1" t="s">
        <v>1573</v>
      </c>
      <c r="K2276" s="1" t="str">
        <f t="shared" si="147"/>
        <v>ㄆ</v>
      </c>
      <c r="L2276" s="1" t="str">
        <f t="shared" si="148"/>
        <v>ㄛ</v>
      </c>
      <c r="N2276" s="3" t="s">
        <v>30575</v>
      </c>
      <c r="O2276" s="3"/>
      <c r="P2276" s="1" t="s">
        <v>20</v>
      </c>
      <c r="R2276" s="1" t="s">
        <v>1574</v>
      </c>
      <c r="V2276" s="1" t="s">
        <v>1578</v>
      </c>
      <c r="W2276" s="1" t="s">
        <v>1579</v>
      </c>
      <c r="AR2276" s="1" t="str">
        <f t="shared" si="146"/>
        <v>| [ㄆㄛˊ](ㄆㄛˊ.md) | [番](番.md) |  | pó | [名]
姓。如西漢有番系，東漢有番辰。 |</v>
      </c>
    </row>
    <row r="2277" spans="1:44" hidden="1">
      <c r="A2277" s="1" t="s">
        <v>1580</v>
      </c>
      <c r="C2277" s="1">
        <v>1</v>
      </c>
      <c r="D2277" s="1" t="str">
        <f>"00606"</f>
        <v>00606</v>
      </c>
      <c r="E2277" s="1" t="s">
        <v>256</v>
      </c>
      <c r="F2277" s="1">
        <v>15</v>
      </c>
      <c r="G2277" s="1">
        <v>12</v>
      </c>
      <c r="H2277" s="1">
        <v>0</v>
      </c>
      <c r="I2277" s="1" t="s">
        <v>1573</v>
      </c>
      <c r="K2277" s="1" t="str">
        <f t="shared" si="147"/>
        <v>ㄆ</v>
      </c>
      <c r="L2277" s="1" t="str">
        <f t="shared" si="148"/>
        <v>ㄛ</v>
      </c>
      <c r="N2277" s="3" t="s">
        <v>30575</v>
      </c>
      <c r="O2277" s="3"/>
      <c r="P2277" s="1" t="s">
        <v>20</v>
      </c>
      <c r="R2277" s="1" t="s">
        <v>1574</v>
      </c>
      <c r="V2277" s="1" t="s">
        <v>1581</v>
      </c>
      <c r="AR2277" s="1" t="str">
        <f t="shared" si="146"/>
        <v>| [ㄆㄛˊ](ㄆㄛˊ.md) | [鄱](鄱.md) |  | pó | [名]
鄱陽：(1)湖泊名。參見「鄱陽湖」條。(2)縣名。位於大陸地區江西省鄱陽湖東岸。 |</v>
      </c>
    </row>
    <row r="2278" spans="1:44" hidden="1">
      <c r="A2278" s="1" t="s">
        <v>1582</v>
      </c>
      <c r="C2278" s="1">
        <v>1</v>
      </c>
      <c r="D2278" s="1" t="str">
        <f>"00607"</f>
        <v>00607</v>
      </c>
      <c r="E2278" s="1" t="s">
        <v>205</v>
      </c>
      <c r="F2278" s="1">
        <v>17</v>
      </c>
      <c r="G2278" s="1">
        <v>12</v>
      </c>
      <c r="H2278" s="1">
        <v>0</v>
      </c>
      <c r="I2278" s="1" t="s">
        <v>1573</v>
      </c>
      <c r="K2278" s="1" t="str">
        <f t="shared" si="147"/>
        <v>ㄆ</v>
      </c>
      <c r="L2278" s="1" t="str">
        <f t="shared" si="148"/>
        <v>ㄛ</v>
      </c>
      <c r="N2278" s="3" t="s">
        <v>30575</v>
      </c>
      <c r="O2278" s="3"/>
      <c r="P2278" s="1" t="s">
        <v>20</v>
      </c>
      <c r="R2278" s="1" t="s">
        <v>1574</v>
      </c>
      <c r="V2278" s="1" t="s">
        <v>1583</v>
      </c>
      <c r="AR2278" s="1" t="str">
        <f t="shared" si="146"/>
        <v>| [ㄆㄛˊ](ㄆㄛˊ.md) | [皤](皤.md) |  | pó | [形]
1.白。元．呂止庵〈後庭花．儒冠兩鬢皤〉曲：「儒冠兩鬢皤，青衫老淚多。」
2.白髮的。如：「皤叟」、「皤翁」。唐．白居易〈白髮〉詩：「白髮生來三十年，而今鬚鬢盡皤然。」
3.大的。唐．杜牧〈雨中作〉詩：「濁醪氣色嚴，皤腹瓶甖古。」
[動]
凸出。《左傳．宣公二年》：「睅其目，皤其腹，棄甲而復。」 |</v>
      </c>
    </row>
    <row r="2279" spans="1:44" hidden="1">
      <c r="A2279" s="1" t="s">
        <v>1584</v>
      </c>
      <c r="C2279" s="1">
        <v>1</v>
      </c>
      <c r="D2279" s="1" t="str">
        <f>"00608"</f>
        <v>00608</v>
      </c>
      <c r="E2279" s="1" t="s">
        <v>24</v>
      </c>
      <c r="F2279" s="1">
        <v>14</v>
      </c>
      <c r="G2279" s="1">
        <v>10</v>
      </c>
      <c r="H2279" s="1">
        <v>2</v>
      </c>
      <c r="I2279" s="1" t="s">
        <v>1573</v>
      </c>
      <c r="K2279" s="1" t="str">
        <f t="shared" si="147"/>
        <v>ㄆ</v>
      </c>
      <c r="L2279" s="1" t="str">
        <f t="shared" si="148"/>
        <v>ㄛ</v>
      </c>
      <c r="N2279" s="3" t="s">
        <v>30575</v>
      </c>
      <c r="O2279" s="3"/>
      <c r="P2279" s="1" t="s">
        <v>20</v>
      </c>
      <c r="R2279" s="1" t="s">
        <v>1574</v>
      </c>
      <c r="V2279" s="1" t="s">
        <v>1585</v>
      </c>
      <c r="W2279" s="1" t="s">
        <v>1586</v>
      </c>
      <c r="AR2279" s="1" t="str">
        <f t="shared" si="146"/>
        <v>| [ㄆㄛˊ](ㄆㄛˊ.md) | [搫](搫.md) |  | pó | [動]
1.掃除、清除。清．王念孫《廣雅疏證．卷三下．釋詁》：「搫，除也。」《文選．潘岳．射雉賦》：「爾乃搫場拄翳，停僮蔥翠。」李善注引徐爰曰：「射者聞有雉聲，便除地為場。」
2.披散。《廣韻．平聲．戈韻》：「搫，披散也。」 |</v>
      </c>
    </row>
    <row r="2280" spans="1:44" hidden="1">
      <c r="A2280" s="1" t="s">
        <v>1587</v>
      </c>
      <c r="C2280" s="1">
        <v>1</v>
      </c>
      <c r="D2280" s="1" t="str">
        <f>"00609"</f>
        <v>00609</v>
      </c>
      <c r="E2280" s="1" t="s">
        <v>725</v>
      </c>
      <c r="F2280" s="1">
        <v>17</v>
      </c>
      <c r="G2280" s="1">
        <v>11</v>
      </c>
      <c r="H2280" s="1">
        <v>2</v>
      </c>
      <c r="I2280" s="1" t="s">
        <v>1573</v>
      </c>
      <c r="K2280" s="1" t="str">
        <f t="shared" si="147"/>
        <v>ㄆ</v>
      </c>
      <c r="L2280" s="1" t="str">
        <f t="shared" si="148"/>
        <v>ㄛ</v>
      </c>
      <c r="N2280" s="3" t="s">
        <v>30575</v>
      </c>
      <c r="O2280" s="3"/>
      <c r="P2280" s="1" t="s">
        <v>20</v>
      </c>
      <c r="R2280" s="1" t="s">
        <v>1574</v>
      </c>
      <c r="V2280" s="1" t="s">
        <v>1588</v>
      </c>
      <c r="W2280" s="1" t="s">
        <v>1589</v>
      </c>
      <c r="AR2280" s="1" t="str">
        <f t="shared" si="146"/>
        <v>| [ㄆㄛˊ](ㄆㄛˊ.md) | [繁](繁.md) |  | pó | [名]
姓。如東漢有繁欽。 |</v>
      </c>
    </row>
    <row r="2281" spans="1:44" hidden="1">
      <c r="A2281" s="1" t="s">
        <v>1590</v>
      </c>
      <c r="C2281" s="1">
        <v>1</v>
      </c>
      <c r="D2281" s="1" t="str">
        <f>"00610"</f>
        <v>00610</v>
      </c>
      <c r="E2281" s="1" t="s">
        <v>28</v>
      </c>
      <c r="F2281" s="1">
        <v>5</v>
      </c>
      <c r="G2281" s="1">
        <v>2</v>
      </c>
      <c r="H2281" s="1">
        <v>0</v>
      </c>
      <c r="I2281" s="1" t="s">
        <v>1591</v>
      </c>
      <c r="K2281" s="1" t="str">
        <f t="shared" si="147"/>
        <v>ㄆ</v>
      </c>
      <c r="L2281" s="1" t="str">
        <f t="shared" si="148"/>
        <v>ㄛ</v>
      </c>
      <c r="N2281" s="3" t="s">
        <v>30576</v>
      </c>
      <c r="O2281" s="3"/>
      <c r="P2281" s="1" t="s">
        <v>20</v>
      </c>
      <c r="R2281" s="1" t="s">
        <v>1592</v>
      </c>
      <c r="V2281" s="1" t="s">
        <v>1593</v>
      </c>
      <c r="AR2281" s="1" t="str">
        <f t="shared" si="146"/>
        <v>| [ㄆㄛˇ](ㄆㄛˇ.md) | [叵](叵.md) |  | pǒ | [副]
1.「不可」二字的合音。如：「居心叵測」。《後漢書．卷七五．呂布傳》：「（呂）布目（劉）備曰：『大耳兒，最叵信！』」
2.遂、故、於是。表原因。《後漢書．卷一三．隗囂傳》：「帝知其終不為用，叵欲討之。」 |</v>
      </c>
    </row>
    <row r="2282" spans="1:44" hidden="1">
      <c r="A2282" s="1" t="s">
        <v>1594</v>
      </c>
      <c r="C2282" s="1">
        <v>1</v>
      </c>
      <c r="D2282" s="1" t="str">
        <f>"00611"</f>
        <v>00611</v>
      </c>
      <c r="E2282" s="1" t="s">
        <v>1595</v>
      </c>
      <c r="F2282" s="1">
        <v>8</v>
      </c>
      <c r="G2282" s="1">
        <v>5</v>
      </c>
      <c r="H2282" s="1">
        <v>0</v>
      </c>
      <c r="I2282" s="1" t="s">
        <v>1591</v>
      </c>
      <c r="K2282" s="1" t="str">
        <f t="shared" si="147"/>
        <v>ㄆ</v>
      </c>
      <c r="L2282" s="1" t="str">
        <f t="shared" si="148"/>
        <v>ㄛ</v>
      </c>
      <c r="N2282" s="3" t="s">
        <v>30576</v>
      </c>
      <c r="O2282" s="3"/>
      <c r="P2282" s="1" t="s">
        <v>20</v>
      </c>
      <c r="R2282" s="1" t="s">
        <v>1592</v>
      </c>
      <c r="V2282" s="1" t="s">
        <v>1596</v>
      </c>
      <c r="AR2282" s="1" t="str">
        <f t="shared" si="146"/>
        <v>| [ㄆㄛˇ](ㄆㄛˇ.md) | [尀](尀.md) |  | pǒ | 參見「尀耐」條。 |</v>
      </c>
    </row>
    <row r="2283" spans="1:44" hidden="1">
      <c r="A2283" s="1" t="s">
        <v>1597</v>
      </c>
      <c r="C2283" s="1">
        <v>1</v>
      </c>
      <c r="D2283" s="1" t="str">
        <f>"00612"</f>
        <v>00612</v>
      </c>
      <c r="E2283" s="1" t="s">
        <v>49</v>
      </c>
      <c r="F2283" s="1">
        <v>11</v>
      </c>
      <c r="G2283" s="1">
        <v>5</v>
      </c>
      <c r="H2283" s="1">
        <v>0</v>
      </c>
      <c r="I2283" s="1" t="s">
        <v>1591</v>
      </c>
      <c r="K2283" s="1" t="str">
        <f t="shared" si="147"/>
        <v>ㄆ</v>
      </c>
      <c r="L2283" s="1" t="str">
        <f t="shared" si="148"/>
        <v>ㄛ</v>
      </c>
      <c r="N2283" s="3" t="s">
        <v>30576</v>
      </c>
      <c r="O2283" s="3"/>
      <c r="P2283" s="1" t="s">
        <v>20</v>
      </c>
      <c r="R2283" s="1" t="s">
        <v>1592</v>
      </c>
      <c r="V2283" s="1" t="s">
        <v>1598</v>
      </c>
      <c r="AR2283" s="1" t="str">
        <f t="shared" si="146"/>
        <v>| [ㄆㄛˇ](ㄆㄛˇ.md) | [笸](笸.md) |  | pǒ | 參見「笸籃」、「笸籮」等條。 |</v>
      </c>
    </row>
    <row r="2284" spans="1:44" hidden="1">
      <c r="A2284" s="1" t="s">
        <v>1599</v>
      </c>
      <c r="C2284" s="1">
        <v>1</v>
      </c>
      <c r="D2284" s="1" t="str">
        <f>"00613"</f>
        <v>00613</v>
      </c>
      <c r="E2284" s="1" t="s">
        <v>55</v>
      </c>
      <c r="F2284" s="1">
        <v>13</v>
      </c>
      <c r="G2284" s="1">
        <v>5</v>
      </c>
      <c r="H2284" s="1">
        <v>0</v>
      </c>
      <c r="I2284" s="1" t="s">
        <v>1591</v>
      </c>
      <c r="K2284" s="1" t="str">
        <f t="shared" si="147"/>
        <v>ㄆ</v>
      </c>
      <c r="L2284" s="1" t="str">
        <f t="shared" si="148"/>
        <v>ㄛ</v>
      </c>
      <c r="N2284" s="3" t="s">
        <v>30576</v>
      </c>
      <c r="O2284" s="3"/>
      <c r="P2284" s="1" t="s">
        <v>20</v>
      </c>
      <c r="R2284" s="1" t="s">
        <v>1592</v>
      </c>
      <c r="V2284" s="1" t="s">
        <v>1600</v>
      </c>
      <c r="AR2284" s="1" t="str">
        <f t="shared" si="146"/>
        <v>| [ㄆㄛˇ](ㄆㄛˇ.md) | [鉕](鉕.md) |  | pǒ | [名]
（promethium，Pm）化學元素。原子序61。金屬放射性元素之一。不存在自然界中，是利用鈾分裂或中子撞擊釹-146而得。已知有十四種同位素，以鉕-147最有用處，可作為太空探測器的熱源，和人造衛星的輔助動力。 |</v>
      </c>
    </row>
    <row r="2285" spans="1:44" hidden="1">
      <c r="A2285" s="1" t="s">
        <v>1565</v>
      </c>
      <c r="C2285" s="1">
        <v>1</v>
      </c>
      <c r="D2285" s="1" t="str">
        <f>"00614"</f>
        <v>00614</v>
      </c>
      <c r="E2285" s="1" t="s">
        <v>684</v>
      </c>
      <c r="F2285" s="1">
        <v>14</v>
      </c>
      <c r="G2285" s="1">
        <v>5</v>
      </c>
      <c r="H2285" s="1">
        <v>2</v>
      </c>
      <c r="I2285" s="1" t="s">
        <v>1591</v>
      </c>
      <c r="K2285" s="1" t="str">
        <f t="shared" si="147"/>
        <v>ㄆ</v>
      </c>
      <c r="L2285" s="1" t="str">
        <f t="shared" si="148"/>
        <v>ㄛ</v>
      </c>
      <c r="N2285" s="3" t="s">
        <v>30576</v>
      </c>
      <c r="O2285" s="3"/>
      <c r="P2285" s="1" t="s">
        <v>20</v>
      </c>
      <c r="R2285" s="1" t="s">
        <v>1592</v>
      </c>
      <c r="V2285" s="1" t="s">
        <v>1601</v>
      </c>
      <c r="W2285" s="1" t="s">
        <v>1602</v>
      </c>
      <c r="AR2285" s="1" t="str">
        <f t="shared" si="146"/>
        <v>| [ㄆㄛˇ](ㄆㄛˇ.md) | [頗](頗.md) |  | pǒ | [副]
1.略微。《史記．卷一三．三代世表．太史公曰》：「自殷以前諸侯不可得而譜，周以來乃頗可著。」南朝梁．劉勰《文心雕龍．詮賦》：「秦世不文，頗有雜賦。」
2.甚、很、非常。唐．王維〈終南別業〉詩：「中歲頗好道，晚家南山陲。」清．袁枚〈答靖海侯〉：「自知獲戾，頗覺悚惶。」
3.可。表疑問的語氣。《晉書．卷七九．謝安傳》：「既出，（桓）溫問左右：『頗嘗見我有如此客不？』」《洛陽伽藍記．卷三．菩提寺》：「上古以來，頗有此事否？」
4.不可。通「叵」。《敦煌變文集新書．卷三．降魔變文》：「過去百千諸佛，皆曾止住其中，說法度人，量塵沙而頗算。」
[名]
姓。如明代有頗廷相。 |</v>
      </c>
    </row>
    <row r="2286" spans="1:44" hidden="1">
      <c r="A2286" s="1" t="s">
        <v>1603</v>
      </c>
      <c r="C2286" s="1">
        <v>1</v>
      </c>
      <c r="D2286" s="1" t="str">
        <f>"00615"</f>
        <v>00615</v>
      </c>
      <c r="E2286" s="1" t="s">
        <v>319</v>
      </c>
      <c r="F2286" s="1">
        <v>15</v>
      </c>
      <c r="G2286" s="1">
        <v>5</v>
      </c>
      <c r="H2286" s="1">
        <v>0</v>
      </c>
      <c r="I2286" s="1" t="s">
        <v>1591</v>
      </c>
      <c r="K2286" s="1" t="str">
        <f t="shared" si="147"/>
        <v>ㄆ</v>
      </c>
      <c r="L2286" s="1" t="str">
        <f t="shared" si="148"/>
        <v>ㄛ</v>
      </c>
      <c r="N2286" s="3" t="s">
        <v>30576</v>
      </c>
      <c r="O2286" s="3"/>
      <c r="P2286" s="1" t="s">
        <v>20</v>
      </c>
      <c r="R2286" s="1" t="s">
        <v>1592</v>
      </c>
      <c r="V2286" s="1" t="s">
        <v>1604</v>
      </c>
      <c r="AR2286" s="1" t="str">
        <f t="shared" si="146"/>
        <v>| [ㄆㄛˇ](ㄆㄛˇ.md) | [駊](駊.md) |  | pǒ | 參見「駊騀」條。 |</v>
      </c>
    </row>
    <row r="2287" spans="1:44" hidden="1">
      <c r="A2287" s="1" t="s">
        <v>1662</v>
      </c>
      <c r="C2287" s="1">
        <v>1</v>
      </c>
      <c r="D2287" s="1" t="str">
        <f>"00640"</f>
        <v>00640</v>
      </c>
      <c r="E2287" s="1" t="s">
        <v>1663</v>
      </c>
      <c r="F2287" s="1">
        <v>6</v>
      </c>
      <c r="G2287" s="1">
        <v>5</v>
      </c>
      <c r="H2287" s="1">
        <v>0</v>
      </c>
      <c r="I2287" s="1" t="s">
        <v>1664</v>
      </c>
      <c r="K2287" s="1" t="str">
        <f t="shared" si="147"/>
        <v>ㄆ</v>
      </c>
      <c r="L2287" s="1" t="str">
        <f t="shared" si="148"/>
        <v>ㄞ</v>
      </c>
      <c r="N2287" s="3" t="s">
        <v>30574</v>
      </c>
      <c r="O2287" s="3"/>
      <c r="P2287" s="1" t="s">
        <v>20</v>
      </c>
      <c r="R2287" s="1" t="s">
        <v>1665</v>
      </c>
      <c r="V2287" s="1" t="s">
        <v>1666</v>
      </c>
      <c r="AR2287" s="1" t="str">
        <f t="shared" si="146"/>
        <v>| [ㄆㄞˋ](ㄆㄞˋ.md) | [𠂢](𠂢.md) |  | pài | [名]
水的分流。《說文解字．𠂢部》：「𠂢，水之邪流別也。」 |</v>
      </c>
    </row>
    <row r="2288" spans="1:44" hidden="1">
      <c r="A2288" s="1" t="s">
        <v>1667</v>
      </c>
      <c r="C2288" s="1">
        <v>1</v>
      </c>
      <c r="D2288" s="1" t="str">
        <f>"00641"</f>
        <v>00641</v>
      </c>
      <c r="E2288" s="1" t="s">
        <v>129</v>
      </c>
      <c r="F2288" s="1">
        <v>9</v>
      </c>
      <c r="G2288" s="1">
        <v>6</v>
      </c>
      <c r="H2288" s="1">
        <v>0</v>
      </c>
      <c r="I2288" s="1" t="s">
        <v>1664</v>
      </c>
      <c r="K2288" s="1" t="str">
        <f t="shared" si="147"/>
        <v>ㄆ</v>
      </c>
      <c r="L2288" s="1" t="str">
        <f t="shared" si="148"/>
        <v>ㄞ</v>
      </c>
      <c r="N2288" s="3" t="s">
        <v>30574</v>
      </c>
      <c r="O2288" s="3"/>
      <c r="P2288" s="1" t="s">
        <v>20</v>
      </c>
      <c r="R2288" s="1" t="s">
        <v>1665</v>
      </c>
      <c r="V2288" s="1" t="s">
        <v>1668</v>
      </c>
      <c r="AR2288" s="1" t="str">
        <f t="shared" si="146"/>
        <v>| [ㄆㄞˋ](ㄆㄞˋ.md) | [派](派.md) |  | pài | [名]
1.江河支流。《文選．王儉．褚淵碑文》：「出江派而風翔，入京師而雷動。」唐．王維〈漢江臨汎〉詩：「楚塞三湘接，荊門九派通。」
2.人、事或學術的分支系統。如：「學派」、「黨派」、「詩派」。《文選．劉孝標．廣絕交論》：「然則利交同源，派流則異。」
3.作風或氣度。如：「派頭」、「氣派」、「正派」。
4.量詞。計算派別的單位。如：「這兩派畫家的畫風迥然不同。」
5.一種西式烘焙食品。為英語pie的音譯。如：「蘋果派」、「檸檬派」。
[動]
1.分配。如：「攤派」、「輪派」。《紅樓夢》第四三回：「老祖宗只把他姐兒兩個交給兩位太太，一位占一個，派多派少，每位替出一分就是了。」
2.差遣、任用。如：「委派」、「選派」、「派兵支援」、「派人送去」。《紅樓夢》第七回：「先派兩個小子，送了這秦相公家去。」
3.安排。如：「派上用場」。《紅樓夢》第九六回：「這屋子是要你派的。一概親友不請，也不排筵席；待寶玉好了，過了功服然後再擺席請人。」
4.指責。如：「派不是」。《紅樓夢》第五二回：「有的不是，都派在我們身上，又說我們不教爺禮了。」 |</v>
      </c>
    </row>
    <row r="2289" spans="1:44" hidden="1">
      <c r="A2289" s="1" t="s">
        <v>1669</v>
      </c>
      <c r="C2289" s="1">
        <v>1</v>
      </c>
      <c r="D2289" s="1" t="str">
        <f>"00642"</f>
        <v>00642</v>
      </c>
      <c r="E2289" s="1" t="s">
        <v>129</v>
      </c>
      <c r="F2289" s="1">
        <v>12</v>
      </c>
      <c r="G2289" s="1">
        <v>9</v>
      </c>
      <c r="H2289" s="1">
        <v>0</v>
      </c>
      <c r="I2289" s="1" t="s">
        <v>1664</v>
      </c>
      <c r="K2289" s="1" t="str">
        <f t="shared" si="147"/>
        <v>ㄆ</v>
      </c>
      <c r="L2289" s="1" t="str">
        <f t="shared" si="148"/>
        <v>ㄞ</v>
      </c>
      <c r="N2289" s="3" t="s">
        <v>30574</v>
      </c>
      <c r="O2289" s="3"/>
      <c r="P2289" s="1" t="s">
        <v>20</v>
      </c>
      <c r="R2289" s="1" t="s">
        <v>1665</v>
      </c>
      <c r="V2289" s="1" t="s">
        <v>1670</v>
      </c>
      <c r="AR2289" s="1" t="str">
        <f t="shared" si="146"/>
        <v>| [ㄆㄞˋ](ㄆㄞˋ.md) | [湃](湃.md) |  | pài | 參見「湃湃」、「澎湃」等條。 |</v>
      </c>
    </row>
    <row r="2290" spans="1:44" hidden="1">
      <c r="A2290" s="1" t="s">
        <v>1643</v>
      </c>
      <c r="C2290" s="1">
        <v>1</v>
      </c>
      <c r="D2290" s="1" t="str">
        <f>"00633"</f>
        <v>00633</v>
      </c>
      <c r="E2290" s="1" t="s">
        <v>114</v>
      </c>
      <c r="F2290" s="1">
        <v>10</v>
      </c>
      <c r="G2290" s="1">
        <v>8</v>
      </c>
      <c r="H2290" s="1">
        <v>0</v>
      </c>
      <c r="I2290" s="1" t="s">
        <v>1644</v>
      </c>
      <c r="K2290" s="1" t="str">
        <f t="shared" si="147"/>
        <v>ㄆ</v>
      </c>
      <c r="L2290" s="1" t="str">
        <f t="shared" si="148"/>
        <v>ㄞ</v>
      </c>
      <c r="N2290" s="3" t="s">
        <v>30575</v>
      </c>
      <c r="O2290" s="3"/>
      <c r="P2290" s="1" t="s">
        <v>20</v>
      </c>
      <c r="R2290" s="1" t="s">
        <v>1645</v>
      </c>
      <c r="V2290" s="1" t="s">
        <v>1646</v>
      </c>
      <c r="AR2290" s="1" t="str">
        <f t="shared" si="146"/>
        <v>| [ㄆㄞˊ](ㄆㄞˊ.md) | [俳](俳.md) |  | pái | [名]
1.雜戲。《說文解字．人部》：「俳，戲也。」清．段玉裁．注：「以其戲言之謂之俳，以其音樂言之謂之倡，亦謂之優，其實一物也。」《史記．卷八十七．李斯傳》：「是時二世在甘泉，方作觳抵優俳之觀。」
2.表演雜耍或滑稽戲的人。參見「俳倡」、「俳優」等條。
3.一種注重音律、講求字句對仗工整的文體。參見「俳體」條。
[形]
滑稽、幽默。如：「俳謔」。《北史．卷八十三．文苑傳．李文博傳》：「通侻不持威儀，好為俳諧雜說。人多愛狎之。」
[動]
參見「俳佪」條。 |</v>
      </c>
    </row>
    <row r="2291" spans="1:44" hidden="1">
      <c r="A2291" s="1" t="s">
        <v>1647</v>
      </c>
      <c r="C2291" s="1">
        <v>1</v>
      </c>
      <c r="D2291" s="1" t="str">
        <f>"00634"</f>
        <v>00634</v>
      </c>
      <c r="E2291" s="1" t="s">
        <v>24</v>
      </c>
      <c r="F2291" s="1">
        <v>11</v>
      </c>
      <c r="G2291" s="1">
        <v>8</v>
      </c>
      <c r="H2291" s="1">
        <v>1</v>
      </c>
      <c r="I2291" s="1" t="s">
        <v>1644</v>
      </c>
      <c r="K2291" s="1" t="str">
        <f t="shared" si="147"/>
        <v>ㄆ</v>
      </c>
      <c r="L2291" s="1" t="str">
        <f t="shared" si="148"/>
        <v>ㄞ</v>
      </c>
      <c r="N2291" s="3" t="s">
        <v>30575</v>
      </c>
      <c r="O2291" s="3"/>
      <c r="P2291" s="1" t="s">
        <v>20</v>
      </c>
      <c r="R2291" s="1" t="s">
        <v>1645</v>
      </c>
      <c r="V2291" s="1" t="s">
        <v>1648</v>
      </c>
      <c r="W2291" s="1" t="s">
        <v>1649</v>
      </c>
      <c r="AR2291" s="1" t="str">
        <f t="shared" si="146"/>
        <v>| [ㄆㄞˊ](ㄆㄞˊ.md) | [排](排.md) |  | pái | [動]
1.推、擠開。《說文解字．手部》：「排，擠也。」如：「排山倒海」、「獨排眾議」。《文選．孔稚圭．北山移文》：「將欲排巢父，拉許由。」《水滸傳》第六二回：「（盧俊義）被浪裡白跳張順排翻小船，倒撞下水去。」
2.消除、除去。如：「排憂解難」。南唐．李煜〈浪淘沙．往事只堪哀詞〉：「往事只堪哀，對景難排。」
3.擯斥、排斥。如：「排擠」、「排擯」。宋．陸游〈夜讀范至能攬轡錄言中原父老見使者多揮涕感其事作絕句〉：「公卿有黨排宗澤，帷幄無人用岳飛。」
4.疏導、疏通。《孟子．滕文公上》：「決汝、漢，排淮、泗，而注之江。」
5.一個接著一個，依照順序擺列。如：「排隊」、「排字」、「把桌椅排整齊。」唐．白居易〈春題湖上〉詩：「松排山面千重翠，月點波心一顆珠。」
6.安置、設置。如：「安排」。《水滸傳》第四一回：「當日穆弘叫莊客宰了一頭黃牛，殺了十數個豬羊雞鵝魚鴨，珍肴異饌，排下筵席，管待眾頭領。」
7.練習演戲。如：「排演」、「排練」、「排戲」、「彩排」。
8.汽、機車換檔。如：「手排」、「自排」。
[名]
1.排成的橫列。如：「前排」、「他個子高，總是坐在後排。」
2.量詞。計算成列人或物的單位。如：「兩排行道樹」、「九排座位」、「站成一排」。
3.陸軍的編制單位。四班為一排，四排為一連。
4.用竹子或木頭編排而成的水上交通工具。如：「竹排」、「木排」。
5.排骨肉的簡稱。或指切成扁平狀的肉片。如：「牛排」、「豬排」、「雞排」。
6.排球隊的簡稱。如：「女排」、「男排」。
[形]
橫列在一起的。如：「排簫」、「排鼓」。 |</v>
      </c>
    </row>
    <row r="2292" spans="1:44" hidden="1">
      <c r="A2292" s="1" t="s">
        <v>1650</v>
      </c>
      <c r="C2292" s="1">
        <v>1</v>
      </c>
      <c r="D2292" s="1" t="str">
        <f>"00635"</f>
        <v>00635</v>
      </c>
      <c r="E2292" s="1" t="s">
        <v>234</v>
      </c>
      <c r="F2292" s="1">
        <v>11</v>
      </c>
      <c r="G2292" s="1">
        <v>8</v>
      </c>
      <c r="H2292" s="1">
        <v>0</v>
      </c>
      <c r="I2292" s="1" t="s">
        <v>1644</v>
      </c>
      <c r="K2292" s="1" t="str">
        <f t="shared" si="147"/>
        <v>ㄆ</v>
      </c>
      <c r="L2292" s="1" t="str">
        <f t="shared" si="148"/>
        <v>ㄞ</v>
      </c>
      <c r="N2292" s="3" t="s">
        <v>30575</v>
      </c>
      <c r="O2292" s="3"/>
      <c r="P2292" s="1" t="s">
        <v>20</v>
      </c>
      <c r="R2292" s="1" t="s">
        <v>1645</v>
      </c>
      <c r="V2292" s="1" t="s">
        <v>1651</v>
      </c>
      <c r="AR2292" s="1" t="str">
        <f t="shared" si="146"/>
        <v>| [ㄆㄞˊ](ㄆㄞˊ.md) | [徘](徘.md) |  | pái | 參見「徘徊」條。 |</v>
      </c>
    </row>
    <row r="2293" spans="1:44" hidden="1">
      <c r="A2293" s="1" t="s">
        <v>1652</v>
      </c>
      <c r="C2293" s="1">
        <v>1</v>
      </c>
      <c r="D2293" s="1" t="str">
        <f>"00636"</f>
        <v>00636</v>
      </c>
      <c r="E2293" s="1" t="s">
        <v>698</v>
      </c>
      <c r="F2293" s="1">
        <v>12</v>
      </c>
      <c r="G2293" s="1">
        <v>8</v>
      </c>
      <c r="H2293" s="1">
        <v>0</v>
      </c>
      <c r="I2293" s="1" t="s">
        <v>1644</v>
      </c>
      <c r="K2293" s="1" t="str">
        <f t="shared" si="147"/>
        <v>ㄆ</v>
      </c>
      <c r="L2293" s="1" t="str">
        <f t="shared" si="148"/>
        <v>ㄞ</v>
      </c>
      <c r="N2293" s="3" t="s">
        <v>30575</v>
      </c>
      <c r="O2293" s="3"/>
      <c r="P2293" s="1" t="s">
        <v>20</v>
      </c>
      <c r="R2293" s="1" t="s">
        <v>1645</v>
      </c>
      <c r="V2293" s="1" t="s">
        <v>1653</v>
      </c>
      <c r="AR2293" s="1" t="str">
        <f t="shared" si="146"/>
        <v>| [ㄆㄞˊ](ㄆㄞˊ.md) | [牌](牌.md) |  | pái | [名]
1.揭示板或標誌。如：「門牌」、「車牌」、「招牌」。
2.商標。如：「櫻花牌瓦斯爐」、「大同牌電扇」。
3.古代的符信或憑證。如：「功牌」、「腰牌」。《宋史．卷三六五．岳飛傳》：「而後言飛孤軍不可久留，乞令班師。一日奉十二金字牌，飛憤惋泣下。」
4.神位、牌位。指置於廳堂或神龕等處，上面刻寫著神仙或祖先的名諱，專供人膜拜或祭祀的木板。如：「靈牌」、「神主牌」。
5.一種古代的兵器，即盾牌。如：「籐牌」、「擋箭牌」。《資治通鑑．卷二二二．唐紀三十八．肅宗寶應元年》：「（馬璘）遂單騎奮擊，奪賊兩牌，突入萬眾中。」
6.賭具或娛樂用品。如：「打牌」、「橋牌」、「紙牌」、「撲克牌」。
7.詞或曲的曲調名稱。如：「詞牌」、「曲牌」。 |</v>
      </c>
    </row>
    <row r="2294" spans="1:44" hidden="1">
      <c r="A2294" s="1" t="s">
        <v>461</v>
      </c>
      <c r="C2294" s="1">
        <v>1</v>
      </c>
      <c r="D2294" s="1" t="str">
        <f>"00637"</f>
        <v>00637</v>
      </c>
      <c r="E2294" s="1" t="s">
        <v>49</v>
      </c>
      <c r="F2294" s="1">
        <v>14</v>
      </c>
      <c r="G2294" s="1">
        <v>8</v>
      </c>
      <c r="H2294" s="1">
        <v>1</v>
      </c>
      <c r="I2294" s="1" t="s">
        <v>1644</v>
      </c>
      <c r="K2294" s="1" t="str">
        <f t="shared" si="147"/>
        <v>ㄆ</v>
      </c>
      <c r="L2294" s="1" t="str">
        <f t="shared" si="148"/>
        <v>ㄞ</v>
      </c>
      <c r="N2294" s="3" t="s">
        <v>30575</v>
      </c>
      <c r="O2294" s="3"/>
      <c r="P2294" s="1" t="s">
        <v>20</v>
      </c>
      <c r="R2294" s="1" t="s">
        <v>1645</v>
      </c>
      <c r="V2294" s="1" t="s">
        <v>1654</v>
      </c>
      <c r="W2294" s="1" t="s">
        <v>1655</v>
      </c>
      <c r="AR2294" s="1" t="str">
        <f t="shared" si="146"/>
        <v>| [ㄆㄞˊ](ㄆㄞˊ.md) | [箄](箄.md) |  | pái | [名]
大筏，以竹木編成，可浮於水上。《後漢書．卷一七．岑彭傳》：「九年，公孫述遣其將任滿、田戎、程汎，將數萬人乘枋箄下江關，擊破馮駿及田鴻、李玄等。」 |</v>
      </c>
    </row>
    <row r="2295" spans="1:44" hidden="1">
      <c r="A2295" s="1" t="s">
        <v>1656</v>
      </c>
      <c r="C2295" s="1">
        <v>1</v>
      </c>
      <c r="D2295" s="1" t="str">
        <f>"00638"</f>
        <v>00638</v>
      </c>
      <c r="E2295" s="1" t="s">
        <v>49</v>
      </c>
      <c r="F2295" s="1">
        <v>18</v>
      </c>
      <c r="G2295" s="1">
        <v>12</v>
      </c>
      <c r="H2295" s="1">
        <v>0</v>
      </c>
      <c r="I2295" s="1" t="s">
        <v>1644</v>
      </c>
      <c r="K2295" s="1" t="str">
        <f t="shared" si="147"/>
        <v>ㄆ</v>
      </c>
      <c r="L2295" s="1" t="str">
        <f t="shared" si="148"/>
        <v>ㄞ</v>
      </c>
      <c r="N2295" s="3" t="s">
        <v>30575</v>
      </c>
      <c r="O2295" s="3"/>
      <c r="P2295" s="1" t="s">
        <v>20</v>
      </c>
      <c r="R2295" s="1" t="s">
        <v>1645</v>
      </c>
      <c r="V2295" s="1" t="s">
        <v>1657</v>
      </c>
      <c r="AR2295" s="1" t="str">
        <f t="shared" si="146"/>
        <v>| [ㄆㄞˊ](ㄆㄞˊ.md) | [簰](簰.md) |  | pái | [名]
竹筏。《南史．卷八〇．賊臣傳．陳寶應傳》：「但命為簰，俄而水盛，乘流放之，突其水柵。」 |</v>
      </c>
    </row>
    <row r="2296" spans="1:44" hidden="1">
      <c r="A2296" s="1" t="s">
        <v>1647</v>
      </c>
      <c r="C2296" s="1">
        <v>1</v>
      </c>
      <c r="D2296" s="1" t="str">
        <f>"00639"</f>
        <v>00639</v>
      </c>
      <c r="E2296" s="1" t="s">
        <v>24</v>
      </c>
      <c r="F2296" s="1">
        <v>11</v>
      </c>
      <c r="G2296" s="1">
        <v>8</v>
      </c>
      <c r="H2296" s="1">
        <v>2</v>
      </c>
      <c r="I2296" s="1" t="s">
        <v>1658</v>
      </c>
      <c r="K2296" s="1" t="str">
        <f t="shared" si="147"/>
        <v>ㄆ</v>
      </c>
      <c r="L2296" s="1" t="str">
        <f t="shared" si="148"/>
        <v>ㄞ</v>
      </c>
      <c r="N2296" s="3" t="s">
        <v>30576</v>
      </c>
      <c r="O2296" s="3"/>
      <c r="P2296" s="1" t="s">
        <v>20</v>
      </c>
      <c r="R2296" s="1" t="s">
        <v>1659</v>
      </c>
      <c r="V2296" s="1" t="s">
        <v>1660</v>
      </c>
      <c r="W2296" s="1" t="s">
        <v>1661</v>
      </c>
      <c r="AR2296" s="1" t="str">
        <f t="shared" si="146"/>
        <v>| [ㄆㄞˇ](ㄆㄞˇ.md) | [排](排.md) |  | pǎi | [名]
舊時搬家用的車子。參見「排子車」條。
[動]
方言。將鞋子撐大，便於合乎某種形狀。如：「將那兩雙鞋排一排！」 |</v>
      </c>
    </row>
    <row r="2297" spans="1:44" hidden="1">
      <c r="A2297" s="1" t="s">
        <v>1709</v>
      </c>
      <c r="C2297" s="1">
        <v>1</v>
      </c>
      <c r="D2297" s="1" t="str">
        <f>"00657"</f>
        <v>00657</v>
      </c>
      <c r="E2297" s="1" t="s">
        <v>534</v>
      </c>
      <c r="F2297" s="1">
        <v>6</v>
      </c>
      <c r="G2297" s="1">
        <v>3</v>
      </c>
      <c r="H2297" s="1">
        <v>2</v>
      </c>
      <c r="I2297" s="1" t="s">
        <v>1710</v>
      </c>
      <c r="K2297" s="1" t="str">
        <f t="shared" si="147"/>
        <v>ㄆ</v>
      </c>
      <c r="L2297" s="1" t="str">
        <f t="shared" si="148"/>
        <v>ㄟ</v>
      </c>
      <c r="N2297" s="3" t="s">
        <v>30574</v>
      </c>
      <c r="O2297" s="3"/>
      <c r="P2297" s="1" t="s">
        <v>20</v>
      </c>
      <c r="R2297" s="1" t="s">
        <v>1711</v>
      </c>
      <c r="V2297" s="1" t="s">
        <v>1712</v>
      </c>
      <c r="W2297" s="1" t="s">
        <v>1713</v>
      </c>
      <c r="AR2297" s="1" t="str">
        <f t="shared" si="146"/>
        <v>| [ㄆㄟˋ](ㄆㄟˋ.md) | [妃](妃.md) |  | pèi | [動]
婚配。《左傳．文公十四年》：「子叔姬妃齊昭公，生舍。」唐．陸德明《經典釋文．卷一六．春秋左氏音義之二》：「妃，音配，本亦作配。」 |</v>
      </c>
    </row>
    <row r="2298" spans="1:44" hidden="1">
      <c r="A2298" s="1" t="s">
        <v>1714</v>
      </c>
      <c r="C2298" s="1">
        <v>1</v>
      </c>
      <c r="D2298" s="1" t="str">
        <f>"00658"</f>
        <v>00658</v>
      </c>
      <c r="E2298" s="1" t="s">
        <v>1462</v>
      </c>
      <c r="F2298" s="1">
        <v>10</v>
      </c>
      <c r="G2298" s="1">
        <v>3</v>
      </c>
      <c r="H2298" s="1">
        <v>0</v>
      </c>
      <c r="I2298" s="1" t="s">
        <v>1710</v>
      </c>
      <c r="K2298" s="1" t="str">
        <f t="shared" si="147"/>
        <v>ㄆ</v>
      </c>
      <c r="L2298" s="1" t="str">
        <f t="shared" si="148"/>
        <v>ㄟ</v>
      </c>
      <c r="N2298" s="3" t="s">
        <v>30574</v>
      </c>
      <c r="O2298" s="3"/>
      <c r="P2298" s="1" t="s">
        <v>20</v>
      </c>
      <c r="R2298" s="1" t="s">
        <v>1711</v>
      </c>
      <c r="V2298" s="1" t="s">
        <v>1715</v>
      </c>
      <c r="AR2298" s="1" t="str">
        <f t="shared" si="146"/>
        <v>| [ㄆㄟˋ](ㄆㄟˋ.md) | [配](配.md) |  | pèi | [名]_x000D_
1.酒的色澤。《說文解字．酉部》：「配，酒色也。」_x000D_
2.夫妻。參見「配偶」條。_x000D_
3.妻子。如：「元配」、「繼配」。《詩經．大雅．皇矣》：「天立厥配，受命既固。」《鏡花緣》第一〇回：「俟他年長，代為擇配，完其終身。」_x000D_
[動]_x000D_
1.媲美。《玉篇．酉部》：「配，匹也；媲也。」《楚辭．屈原．大招》：「德譽配天，萬民理只。」_x000D_
2.結合、配合。《易經．繫辭上》：「廣大配天地，變通配四時。」《孟子．公孫丑上》：「其為氣也，配義與道，無是餒也。」_x000D_
3.男女結婚。《詩經．衛風．竹竿》：「淇水浟浟，檜楫松舟。」漢．毛亨．傳：「舟楫相配得水而行，男女相配得禮而備。」_x000D_
4.女子結婚。如：「許配」。《三國演義》第六回：「丞相有女，欲配將軍之子。」《儒林外史》第三七回：「他家世兄賠嫁來的一個丫頭，他就配了姓嚴的管家了。」_x000D_
5.分發、安排。如：「配銷」、「支配」、「分配」。《舊唐書．卷九八．列傳．裴耀卿》：「耀卿躬自條理，科配得所。」_x000D_
6.充軍、流放罪人到遠方。如：「發配」、「刺配」。元．張國賓《合汗衫》第一折：「改做誤傷人命，脊杖了六十，迭配殺門島去了。」《水滸傳》第八回：「今小人遭這場橫事，配去滄州，生死存亡未保。」_x000D_
7.依適當的標準或比例，加以調和或製作。如：「配藥」、「調配」、「配眼鏡」。元．陶宗儀《南村輟耕錄．卷二四．黃道婆》：「至於錯紗配色，綜線挈花，各有其法，以故織成被褥帶帨。」_x000D_
8.補足缺失。如：「配貨」、「配零件」、「配塊玻璃」。_x000D_
9.陪襯、襯托。如：「紅花雖美，還需綠葉配。」_x000D_
10.使牲畜交合。如：「配種」、「交配」。_x000D_
[副]_x000D_
夠資格、夠得上。如：「只有他才配稱世界球王。」晉．左思〈魏都賦〉：「元勳配管敬之績，歌鍾析邦君之肆。」《紅樓夢》第四九回：「這一件衣裳也只配他穿。別人穿了，實在不配。」 |</v>
      </c>
    </row>
    <row r="2299" spans="1:44" hidden="1">
      <c r="A2299" s="1" t="s">
        <v>1716</v>
      </c>
      <c r="C2299" s="1">
        <v>1</v>
      </c>
      <c r="D2299" s="1" t="str">
        <f>"00659"</f>
        <v>00659</v>
      </c>
      <c r="E2299" s="1" t="s">
        <v>129</v>
      </c>
      <c r="F2299" s="1">
        <v>7</v>
      </c>
      <c r="G2299" s="1">
        <v>4</v>
      </c>
      <c r="H2299" s="1">
        <v>0</v>
      </c>
      <c r="I2299" s="1" t="s">
        <v>1710</v>
      </c>
      <c r="K2299" s="1" t="str">
        <f t="shared" si="147"/>
        <v>ㄆ</v>
      </c>
      <c r="L2299" s="1" t="str">
        <f t="shared" si="148"/>
        <v>ㄟ</v>
      </c>
      <c r="N2299" s="3" t="s">
        <v>30574</v>
      </c>
      <c r="O2299" s="3"/>
      <c r="P2299" s="1" t="s">
        <v>20</v>
      </c>
      <c r="R2299" s="1" t="s">
        <v>1711</v>
      </c>
      <c r="V2299" s="1" t="s">
        <v>1717</v>
      </c>
      <c r="AR2299" s="1" t="str">
        <f t="shared" si="146"/>
        <v>| [ㄆㄟˋ](ㄆㄟˋ.md) | [沛](沛.md) |  | pèi | [名]
1.水草叢生的地方。《孟子．滕文公下》：「園囿、汙地，沛澤多而禽獸至。」《管子．揆度》：「燒山林，破增藪，焚沛澤，逐禽獸。」
2.參見「沛縣」條。
3.姓。如商代子姓國有沛氏。
[副]
旺盛、盛大。如：「充沛」。《孟子．梁惠王上》：「天油然作雲，沛然下雨，則苗浡然興之矣。」宋．文天祥〈正氣歌〉：「於人曰浩然，沛乎塞蒼冥。」 |</v>
      </c>
    </row>
    <row r="2300" spans="1:44" hidden="1">
      <c r="A2300" s="1" t="s">
        <v>1718</v>
      </c>
      <c r="C2300" s="1">
        <v>1</v>
      </c>
      <c r="D2300" s="1" t="str">
        <f>"00660"</f>
        <v>00660</v>
      </c>
      <c r="E2300" s="1" t="s">
        <v>68</v>
      </c>
      <c r="F2300" s="1">
        <v>8</v>
      </c>
      <c r="G2300" s="1">
        <v>4</v>
      </c>
      <c r="H2300" s="1">
        <v>2</v>
      </c>
      <c r="I2300" s="1" t="s">
        <v>1710</v>
      </c>
      <c r="K2300" s="1" t="str">
        <f t="shared" si="147"/>
        <v>ㄆ</v>
      </c>
      <c r="L2300" s="1" t="str">
        <f t="shared" si="148"/>
        <v>ㄟ</v>
      </c>
      <c r="N2300" s="3" t="s">
        <v>30574</v>
      </c>
      <c r="O2300" s="3"/>
      <c r="P2300" s="1" t="s">
        <v>20</v>
      </c>
      <c r="R2300" s="1" t="s">
        <v>1711</v>
      </c>
      <c r="V2300" s="1" t="s">
        <v>1719</v>
      </c>
      <c r="W2300" s="1" t="s">
        <v>1720</v>
      </c>
      <c r="AR2300" s="1" t="str">
        <f t="shared" si="146"/>
        <v>| [ㄆㄟˋ](ㄆㄟˋ.md) | [肺](肺.md) |  | pèi | 參見「肺肺」條。 |</v>
      </c>
    </row>
    <row r="2301" spans="1:44" hidden="1">
      <c r="A2301" s="1" t="s">
        <v>1721</v>
      </c>
      <c r="C2301" s="1">
        <v>1</v>
      </c>
      <c r="D2301" s="1" t="str">
        <f>"00661"</f>
        <v>00661</v>
      </c>
      <c r="E2301" s="1" t="s">
        <v>800</v>
      </c>
      <c r="F2301" s="1">
        <v>10</v>
      </c>
      <c r="G2301" s="1">
        <v>6</v>
      </c>
      <c r="H2301" s="1">
        <v>0</v>
      </c>
      <c r="I2301" s="1" t="s">
        <v>1710</v>
      </c>
      <c r="K2301" s="1" t="str">
        <f t="shared" si="147"/>
        <v>ㄆ</v>
      </c>
      <c r="L2301" s="1" t="str">
        <f t="shared" si="148"/>
        <v>ㄟ</v>
      </c>
      <c r="N2301" s="3" t="s">
        <v>30574</v>
      </c>
      <c r="O2301" s="3"/>
      <c r="P2301" s="1" t="s">
        <v>20</v>
      </c>
      <c r="R2301" s="1" t="s">
        <v>1711</v>
      </c>
      <c r="V2301" s="1" t="s">
        <v>1722</v>
      </c>
      <c r="AR2301" s="1" t="str">
        <f t="shared" si="146"/>
        <v>| [ㄆㄟˋ](ㄆㄟˋ.md) | [旆](旆.md) |  | pèi | [名]
1.古代旌旗末端形似燕尾的下垂飾物。《詩經．小雅．六月》：「織文鳥章，白旆央央。」《文選．沈約．鍾山詩應西陽王教詩》：「君王挺逸趣，羽旆臨崇基。」唐．李善．注：「旆，旌旗之垂者。」
2.旗幟的通稱。南朝宋．顏延之〈請立渾天儀表〉：「值大軍旋旆，渾儀在路。」明．于謙〈山行〉詩：「酒旆搖村舍，鐘聲出寺樓。」
[形]
參見「旆旆」條。 |</v>
      </c>
    </row>
    <row r="2302" spans="1:44" hidden="1">
      <c r="A2302" s="1" t="s">
        <v>1723</v>
      </c>
      <c r="C2302" s="1">
        <v>1</v>
      </c>
      <c r="D2302" s="1" t="str">
        <f>"00662"</f>
        <v>00662</v>
      </c>
      <c r="E2302" s="1" t="s">
        <v>125</v>
      </c>
      <c r="F2302" s="1">
        <v>15</v>
      </c>
      <c r="G2302" s="1">
        <v>7</v>
      </c>
      <c r="H2302" s="1">
        <v>0</v>
      </c>
      <c r="I2302" s="1" t="s">
        <v>1710</v>
      </c>
      <c r="K2302" s="1" t="str">
        <f t="shared" si="147"/>
        <v>ㄆ</v>
      </c>
      <c r="L2302" s="1" t="str">
        <f t="shared" si="148"/>
        <v>ㄟ</v>
      </c>
      <c r="N2302" s="3" t="s">
        <v>30574</v>
      </c>
      <c r="O2302" s="3"/>
      <c r="P2302" s="1" t="s">
        <v>20</v>
      </c>
      <c r="R2302" s="1" t="s">
        <v>1711</v>
      </c>
      <c r="V2302" s="1" t="s">
        <v>1724</v>
      </c>
      <c r="AR2302" s="1" t="str">
        <f t="shared" si="146"/>
        <v>| [ㄆㄟˋ](ㄆㄟˋ.md) | [霈](霈.md) |  | pèi | [名]
1.大雨或指及時雨。如：「甘霈」、「霈霖」。唐．韓愈、孟郊〈秋雨聯句〉：「禽情初嘯儔，礎色微收霈。」
2.比喻恩澤。唐．李邕〈淄州刺史謝上表〉：「雨露深仁，霑霈及於蕭艾。」唐．柳宗元〈代韋中丞賀元和大赦表〉：「霈澤斯降，膏潤無遺。」
[形]
雨勢盛大。唐．李白〈明堂賦〉：「于斯之時，雲油雨霈。」 |</v>
      </c>
    </row>
    <row r="2303" spans="1:44" hidden="1">
      <c r="A2303" s="1" t="s">
        <v>1725</v>
      </c>
      <c r="C2303" s="1">
        <v>1</v>
      </c>
      <c r="D2303" s="1" t="str">
        <f>"00663"</f>
        <v>00663</v>
      </c>
      <c r="E2303" s="1" t="s">
        <v>222</v>
      </c>
      <c r="F2303" s="1">
        <v>8</v>
      </c>
      <c r="G2303" s="1">
        <v>5</v>
      </c>
      <c r="H2303" s="1">
        <v>0</v>
      </c>
      <c r="I2303" s="1" t="s">
        <v>1710</v>
      </c>
      <c r="K2303" s="1" t="str">
        <f t="shared" si="147"/>
        <v>ㄆ</v>
      </c>
      <c r="L2303" s="1" t="str">
        <f t="shared" si="148"/>
        <v>ㄟ</v>
      </c>
      <c r="N2303" s="3" t="s">
        <v>30574</v>
      </c>
      <c r="O2303" s="3"/>
      <c r="P2303" s="1" t="s">
        <v>20</v>
      </c>
      <c r="R2303" s="1" t="s">
        <v>1711</v>
      </c>
      <c r="V2303" s="1" t="s">
        <v>1726</v>
      </c>
      <c r="AR2303" s="1" t="str">
        <f t="shared" si="146"/>
        <v>| [ㄆㄟˋ](ㄆㄟˋ.md) | [帔](帔.md) |  | pèi | [名]
1.下裳，即裙子。漢．揚雄《方言》卷四：「裙，陳魏之間謂之帔。」
2.古代婦女披在肩上的無袖衣飾，即今之披肩。漢．劉熙《釋名．釋衣服》：「帔，披也。披之肩背，不及下也。」唐．白居易〈霓裳羽衣歌〉：「虹裳霞帔步搖冠，鈿瓔纍纍珮珊珊。」《紅樓夢》第五回：「詩後又畫一盆茂蘭，旁有一位鳳冠霞帔的美人。」 |</v>
      </c>
    </row>
    <row r="2304" spans="1:44" hidden="1">
      <c r="A2304" s="1" t="s">
        <v>1727</v>
      </c>
      <c r="C2304" s="1">
        <v>1</v>
      </c>
      <c r="D2304" s="1" t="str">
        <f>"00664"</f>
        <v>00664</v>
      </c>
      <c r="E2304" s="1" t="s">
        <v>114</v>
      </c>
      <c r="F2304" s="1">
        <v>8</v>
      </c>
      <c r="G2304" s="1">
        <v>6</v>
      </c>
      <c r="H2304" s="1">
        <v>0</v>
      </c>
      <c r="I2304" s="1" t="s">
        <v>1710</v>
      </c>
      <c r="K2304" s="1" t="str">
        <f t="shared" si="147"/>
        <v>ㄆ</v>
      </c>
      <c r="L2304" s="1" t="str">
        <f t="shared" si="148"/>
        <v>ㄟ</v>
      </c>
      <c r="N2304" s="3" t="s">
        <v>30574</v>
      </c>
      <c r="O2304" s="3"/>
      <c r="P2304" s="1" t="s">
        <v>20</v>
      </c>
      <c r="R2304" s="1" t="s">
        <v>1711</v>
      </c>
      <c r="V2304" s="1" t="s">
        <v>1728</v>
      </c>
      <c r="AR2304" s="1" t="str">
        <f t="shared" si="146"/>
        <v>| [ㄆㄟˋ](ㄆㄟˋ.md) | [佩](佩.md) |  | pèi | [名]
古人繫在腰帶上的一種裝飾品。如：「玉佩」。《詩經．鄭風．女曰雞鳴》：「知子之來之，雜佩以贈之。」也作「珮」。
[動]
1.繫物在衣帶或衣服上。如：「佩劍」、「佩玉」、「那警員身上佩帶一把手槍。」《晉書．卷三六．張華傳》：「吾少時有相者言，吾年出六十，位登三事，當得寶劍佩之。」
2.敬仰信服。如：「欽佩」、「敬佩」。南朝梁．江淹〈建平王謝玉環刀等啟〉：「垂光既深，銘佩更積。」 |</v>
      </c>
    </row>
    <row r="2305" spans="1:44" hidden="1">
      <c r="A2305" s="1" t="s">
        <v>1729</v>
      </c>
      <c r="C2305" s="1">
        <v>1</v>
      </c>
      <c r="D2305" s="1" t="str">
        <f>"00665"</f>
        <v>00665</v>
      </c>
      <c r="E2305" s="1" t="s">
        <v>142</v>
      </c>
      <c r="F2305" s="1">
        <v>10</v>
      </c>
      <c r="G2305" s="1">
        <v>6</v>
      </c>
      <c r="H2305" s="1">
        <v>0</v>
      </c>
      <c r="I2305" s="1" t="s">
        <v>1710</v>
      </c>
      <c r="K2305" s="1" t="str">
        <f t="shared" si="147"/>
        <v>ㄆ</v>
      </c>
      <c r="L2305" s="1" t="str">
        <f t="shared" si="148"/>
        <v>ㄟ</v>
      </c>
      <c r="N2305" s="3" t="s">
        <v>30574</v>
      </c>
      <c r="O2305" s="3"/>
      <c r="P2305" s="1" t="s">
        <v>20</v>
      </c>
      <c r="R2305" s="1" t="s">
        <v>1711</v>
      </c>
      <c r="V2305" s="1" t="s">
        <v>1730</v>
      </c>
      <c r="AR2305" s="1" t="str">
        <f t="shared" si="146"/>
        <v>| [ㄆㄟˋ](ㄆㄟˋ.md) | [珮](珮.md) |  | pèi | [名]
玉佩。通「佩」。《文選．江淹．雜體詩．謝法曹》：「雜珮雖可贈，疏華竟無陳。」 |</v>
      </c>
    </row>
    <row r="2306" spans="1:44" hidden="1">
      <c r="A2306" s="1" t="s">
        <v>1731</v>
      </c>
      <c r="C2306" s="1">
        <v>1</v>
      </c>
      <c r="D2306" s="1" t="str">
        <f>"00666"</f>
        <v>00666</v>
      </c>
      <c r="E2306" s="1" t="s">
        <v>37</v>
      </c>
      <c r="F2306" s="1">
        <v>10</v>
      </c>
      <c r="G2306" s="1">
        <v>6</v>
      </c>
      <c r="H2306" s="1">
        <v>2</v>
      </c>
      <c r="I2306" s="1" t="s">
        <v>1710</v>
      </c>
      <c r="K2306" s="1" t="str">
        <f t="shared" si="147"/>
        <v>ㄆ</v>
      </c>
      <c r="L2306" s="1" t="str">
        <f t="shared" si="148"/>
        <v>ㄟ</v>
      </c>
      <c r="N2306" s="3" t="s">
        <v>30574</v>
      </c>
      <c r="O2306" s="3"/>
      <c r="P2306" s="1" t="s">
        <v>20</v>
      </c>
      <c r="R2306" s="1" t="s">
        <v>1711</v>
      </c>
      <c r="V2306" s="1" t="s">
        <v>1732</v>
      </c>
      <c r="W2306" s="1" t="s">
        <v>1733</v>
      </c>
      <c r="AR2306" s="1" t="str">
        <f t="shared" si="146"/>
        <v>| [ㄆㄟˋ](ㄆㄟˋ.md) | [茷](茷.md) |  | pèi | [名]
古代旌旗末端像燕尾的裝飾物。通「旆」。《左傳．定公四年》：「分康叔以大路、少帛、綪茷、旃旌、大呂。」唐．孔穎達．正義：「茷即旆也。」 |</v>
      </c>
    </row>
    <row r="2307" spans="1:44" hidden="1">
      <c r="A2307" s="1" t="s">
        <v>1734</v>
      </c>
      <c r="C2307" s="1">
        <v>1</v>
      </c>
      <c r="D2307" s="1" t="str">
        <f>"00667"</f>
        <v>00667</v>
      </c>
      <c r="E2307" s="1" t="s">
        <v>129</v>
      </c>
      <c r="F2307" s="1">
        <v>11</v>
      </c>
      <c r="G2307" s="1">
        <v>8</v>
      </c>
      <c r="H2307" s="1">
        <v>2</v>
      </c>
      <c r="I2307" s="1" t="s">
        <v>1710</v>
      </c>
      <c r="K2307" s="1" t="str">
        <f t="shared" si="147"/>
        <v>ㄆ</v>
      </c>
      <c r="L2307" s="1" t="str">
        <f t="shared" si="148"/>
        <v>ㄟ</v>
      </c>
      <c r="N2307" s="3" t="s">
        <v>30574</v>
      </c>
      <c r="O2307" s="3"/>
      <c r="P2307" s="1" t="s">
        <v>110</v>
      </c>
      <c r="R2307" s="1" t="s">
        <v>1711</v>
      </c>
      <c r="V2307" s="1" t="s">
        <v>111</v>
      </c>
      <c r="W2307" s="1" t="s">
        <v>1735</v>
      </c>
      <c r="AR2307" s="1" t="str">
        <f t="shared" ref="AR2307:AR2370" si="149">"| ["&amp;I2307&amp;"]("&amp;I2307&amp;".md) | ["&amp;A2307&amp;"]("&amp;A2307&amp;".md) | "&amp;" | "&amp;R2307&amp;" | "&amp;V2307&amp;" |"</f>
        <v>| [ㄆㄟˋ](ㄆㄟˋ.md) | [淠](淠.md) |  | pèi | (一)之又音。 |</v>
      </c>
    </row>
    <row r="2308" spans="1:44" hidden="1">
      <c r="A2308" s="1" t="s">
        <v>1736</v>
      </c>
      <c r="C2308" s="1">
        <v>1</v>
      </c>
      <c r="D2308" s="1" t="str">
        <f>"00668"</f>
        <v>00668</v>
      </c>
      <c r="E2308" s="1" t="s">
        <v>71</v>
      </c>
      <c r="F2308" s="1">
        <v>22</v>
      </c>
      <c r="G2308" s="1">
        <v>15</v>
      </c>
      <c r="H2308" s="1">
        <v>0</v>
      </c>
      <c r="I2308" s="1" t="s">
        <v>1710</v>
      </c>
      <c r="K2308" s="1" t="str">
        <f t="shared" si="147"/>
        <v>ㄆ</v>
      </c>
      <c r="L2308" s="1" t="str">
        <f t="shared" si="148"/>
        <v>ㄟ</v>
      </c>
      <c r="N2308" s="3" t="s">
        <v>30574</v>
      </c>
      <c r="O2308" s="3"/>
      <c r="P2308" s="1" t="s">
        <v>20</v>
      </c>
      <c r="R2308" s="1" t="s">
        <v>1711</v>
      </c>
      <c r="V2308" s="1" t="s">
        <v>1737</v>
      </c>
      <c r="AR2308" s="1" t="str">
        <f t="shared" si="149"/>
        <v>| [ㄆㄟˋ](ㄆㄟˋ.md) | [轡](轡.md) |  | pèi | [名]
1.控制牛、馬等牲口的韁繩。《禮記．曲禮上》：「執策分轡，驅之五步而立。」唐．孔穎達．正義：「轡，御馬索也。」《史記．卷七七．魏公子傳》：「市人皆觀公子執轡，從騎皆竊罵侯生。」
2.指韁繩與套在牲口嘴中的銜勒。如：「鞍轡」、「轡頭」。 |</v>
      </c>
    </row>
    <row r="2309" spans="1:44" hidden="1">
      <c r="A2309" s="1" t="s">
        <v>1688</v>
      </c>
      <c r="C2309" s="1">
        <v>1</v>
      </c>
      <c r="D2309" s="1" t="str">
        <f>"00649"</f>
        <v>00649</v>
      </c>
      <c r="E2309" s="1" t="s">
        <v>132</v>
      </c>
      <c r="F2309" s="1">
        <v>7</v>
      </c>
      <c r="G2309" s="1">
        <v>4</v>
      </c>
      <c r="H2309" s="1">
        <v>1</v>
      </c>
      <c r="I2309" s="1" t="s">
        <v>1689</v>
      </c>
      <c r="K2309" s="1" t="str">
        <f t="shared" si="147"/>
        <v>ㄆ</v>
      </c>
      <c r="L2309" s="1" t="str">
        <f t="shared" si="148"/>
        <v>ㄟ</v>
      </c>
      <c r="N2309" s="3" t="s">
        <v>30575</v>
      </c>
      <c r="O2309" s="3"/>
      <c r="P2309" s="1" t="s">
        <v>20</v>
      </c>
      <c r="R2309" s="1" t="s">
        <v>1690</v>
      </c>
      <c r="V2309" s="1" t="s">
        <v>1691</v>
      </c>
      <c r="W2309" s="1" t="s">
        <v>1692</v>
      </c>
      <c r="AR2309" s="1" t="str">
        <f t="shared" si="149"/>
        <v>| [ㄆㄟˊ](ㄆㄟˊ.md) | [坏](坏.md) |  | péi | [名]
1.未經燒成的磚瓦陶器。《說文解字．土部》：「坏，一曰瓦未燒。」如：「土坏」、「陶坏」。
2.低矮的山丘、土堆。宋．范成大〈長安閘〉詩：「千車擁孤隧，萬馬盤一坏。」
3.牆壁。《漢書．卷八七．揚雄傳下》：「故士或自盛以橐，或鑿坏以遁。」顏師古注引應劭曰：「坏，壁也。」唐．杜甫〈秋日荊南述懷三十韻〉：「賢非夢傅野，隱類鑿顏坏。」
[動]
用土封塞空隙。《禮記．月令》：「蟄蟲坏戶，殺氣浸盛。」 |</v>
      </c>
    </row>
    <row r="2310" spans="1:44" hidden="1">
      <c r="A2310" s="1" t="s">
        <v>1693</v>
      </c>
      <c r="C2310" s="1">
        <v>1</v>
      </c>
      <c r="D2310" s="1" t="str">
        <f>"00650"</f>
        <v>00650</v>
      </c>
      <c r="E2310" s="1" t="s">
        <v>691</v>
      </c>
      <c r="F2310" s="1">
        <v>7</v>
      </c>
      <c r="G2310" s="1">
        <v>4</v>
      </c>
      <c r="H2310" s="1">
        <v>0</v>
      </c>
      <c r="I2310" s="1" t="s">
        <v>1689</v>
      </c>
      <c r="K2310" s="1" t="str">
        <f t="shared" si="147"/>
        <v>ㄆ</v>
      </c>
      <c r="L2310" s="1" t="str">
        <f t="shared" si="148"/>
        <v>ㄟ</v>
      </c>
      <c r="N2310" s="3" t="s">
        <v>30575</v>
      </c>
      <c r="O2310" s="3"/>
      <c r="P2310" s="1" t="s">
        <v>20</v>
      </c>
      <c r="R2310" s="1" t="s">
        <v>1690</v>
      </c>
      <c r="V2310" s="1" t="s">
        <v>1694</v>
      </c>
      <c r="AR2310" s="1" t="str">
        <f t="shared" si="149"/>
        <v>| [ㄆㄟˊ](ㄆㄟˊ.md) | [阫](阫.md) |  | péi | [名]
牆。《集韻．平聲．灰韻》：「阫，牆也。」《莊子．庚桑楚》：「正晝為盜，日中穴阫。」 |</v>
      </c>
    </row>
    <row r="2311" spans="1:44" hidden="1">
      <c r="A2311" s="1" t="s">
        <v>1695</v>
      </c>
      <c r="C2311" s="1">
        <v>1</v>
      </c>
      <c r="D2311" s="1" t="str">
        <f>"00651"</f>
        <v>00651</v>
      </c>
      <c r="E2311" s="1" t="s">
        <v>256</v>
      </c>
      <c r="F2311" s="1">
        <v>8</v>
      </c>
      <c r="G2311" s="1">
        <v>5</v>
      </c>
      <c r="H2311" s="1">
        <v>0</v>
      </c>
      <c r="I2311" s="1" t="s">
        <v>1689</v>
      </c>
      <c r="K2311" s="1" t="str">
        <f t="shared" si="147"/>
        <v>ㄆ</v>
      </c>
      <c r="L2311" s="1" t="str">
        <f t="shared" si="148"/>
        <v>ㄟ</v>
      </c>
      <c r="N2311" s="3" t="s">
        <v>30575</v>
      </c>
      <c r="O2311" s="3"/>
      <c r="P2311" s="1" t="s">
        <v>20</v>
      </c>
      <c r="R2311" s="1" t="s">
        <v>1690</v>
      </c>
      <c r="V2311" s="1" t="s">
        <v>1696</v>
      </c>
      <c r="AR2311" s="1" t="str">
        <f t="shared" si="149"/>
        <v>| [ㄆㄟˊ](ㄆㄟˊ.md) | [邳](邳.md) |  | péi | [名]_x000D_
1.古地名。商湯左相仲虺的封地。故址位於大陸地區山東省滕縣以南。_x000D_
2.參見「邳縣」條。_x000D_
3.姓。如漢有信都邳彤。_x000D_
[形]_x000D_
大。通「丕」。《文選．卷一一．賦．何晏．景福殿賦》：「櫺檻邳張，鉤錯矩成。」唐．李善．注：「邳或為丕。孔安國《尚書傳》曰：『丕，大也。』」 |</v>
      </c>
    </row>
    <row r="2312" spans="1:44" hidden="1">
      <c r="A2312" s="1" t="s">
        <v>1697</v>
      </c>
      <c r="C2312" s="1">
        <v>1</v>
      </c>
      <c r="D2312" s="1" t="str">
        <f>"00652"</f>
        <v>00652</v>
      </c>
      <c r="E2312" s="1" t="s">
        <v>132</v>
      </c>
      <c r="F2312" s="1">
        <v>11</v>
      </c>
      <c r="G2312" s="1">
        <v>8</v>
      </c>
      <c r="H2312" s="1">
        <v>1</v>
      </c>
      <c r="I2312" s="1" t="s">
        <v>1689</v>
      </c>
      <c r="K2312" s="1" t="str">
        <f t="shared" si="147"/>
        <v>ㄆ</v>
      </c>
      <c r="L2312" s="1" t="str">
        <f t="shared" si="148"/>
        <v>ㄟ</v>
      </c>
      <c r="N2312" s="3" t="s">
        <v>30575</v>
      </c>
      <c r="O2312" s="3"/>
      <c r="P2312" s="1" t="s">
        <v>20</v>
      </c>
      <c r="R2312" s="1" t="s">
        <v>1690</v>
      </c>
      <c r="V2312" s="1" t="s">
        <v>1698</v>
      </c>
      <c r="W2312" s="1" t="s">
        <v>1699</v>
      </c>
      <c r="AR2312" s="1" t="str">
        <f t="shared" si="149"/>
        <v>| [ㄆㄟˊ](ㄆㄟˊ.md) | [培](培.md) |  | péi | [動]
1.滋養，在植物根部加上泥土和肥料。如：「栽培」、「培育」。《禮記．中庸》：「故栽者培之，傾者覆之。」《呂氏春秋．士容論．辯士》：「熟有耰也，必務其培。」
2.增補修治。《禮記．喪服四制》：「喪不過三年，苴衰不補，墳墓不培。」
[名]
1.屋後的牆。《淮南子．齊俗》：「顏闔、魯君欲相之而不肯，使人以幣先焉，鑿培而遁之。」漢．高誘．注：「培，屋後牆也。」
2.為保護植物或牆堤等，在基部堆上泥土，以防倒塌的措施。唐．柳宗元〈種樹郭橐駝傳〉：「凡植木之性，其本欲舒，其培欲平。」 |</v>
      </c>
    </row>
    <row r="2313" spans="1:44" hidden="1">
      <c r="A2313" s="1" t="s">
        <v>1700</v>
      </c>
      <c r="C2313" s="1">
        <v>1</v>
      </c>
      <c r="D2313" s="1" t="str">
        <f>"00653"</f>
        <v>00653</v>
      </c>
      <c r="E2313" s="1" t="s">
        <v>691</v>
      </c>
      <c r="F2313" s="1">
        <v>11</v>
      </c>
      <c r="G2313" s="1">
        <v>8</v>
      </c>
      <c r="H2313" s="1">
        <v>0</v>
      </c>
      <c r="I2313" s="1" t="s">
        <v>1689</v>
      </c>
      <c r="K2313" s="1" t="str">
        <f t="shared" si="147"/>
        <v>ㄆ</v>
      </c>
      <c r="L2313" s="1" t="str">
        <f t="shared" si="148"/>
        <v>ㄟ</v>
      </c>
      <c r="N2313" s="3" t="s">
        <v>30575</v>
      </c>
      <c r="O2313" s="3"/>
      <c r="P2313" s="1" t="s">
        <v>20</v>
      </c>
      <c r="R2313" s="1" t="s">
        <v>1690</v>
      </c>
      <c r="V2313" s="1" t="s">
        <v>1701</v>
      </c>
      <c r="AR2313" s="1" t="str">
        <f t="shared" si="149"/>
        <v>| [ㄆㄟˊ](ㄆㄟˊ.md) | [陪](陪.md) |  | péi | [名]_x000D_
1.重疊的土堆。《說文解字．阜部》：「陪，重土也。」_x000D_
2.輔佐事業的人。《詩經．大雅．蕩》：「爾德不明，以無陪無卿。」《魏書．卷二．太祖紀》：「周姬之末，下凌上替，以號自定，以位制祿，卿世其官，大夫遂事，陽德不暢，議發家陪，故釁由此起，兵由此作。」_x000D_
3.陪客。《紅樓夢》第三九回：「老太太說了，還要擺酒還史妹妹的席，叫咱們作陪呢。」_x000D_
[動]_x000D_
1.伴隨。如：「陪伴」、「陪同」、「陪嫁」。唐．杜甫〈別房太尉墓〉詩：「對棋陪謝傅，把劍覓徐君。」唐．朱慶餘〈早梅〉詩：「天然根性異，萬物盡難陪。」_x000D_
2.輔助。《史記．卷一〇．孝文本紀》：「若舉有德以陪朕之不能終，是社稷之靈，天下之福也。」唐．韓愈〈司徒兼侍中中書令贈太尉許國公神道碑銘〉：「常山幽都，孰陪孰扶，天施不留，其討不逋。」_x000D_
3.補償、彌補，通「賠」。唐．白居易〈得甲牛觝乙馬死請償馬價甲云在放牧處相觝請陪半價乙不伏〉：「請徵律典，當陪半價，勿聽過求。」宋．羅大經《鶴林玉露》卷一〇：「問妾所自來，涕泣不肯言。固問之，乃言其父有官因綱運欠折，鬻妾以為陪償之計。」_x000D_
4.虧損、損失，通「賠」。《雜劇三種．葫蘆先生》：「低處望高處，怪人還要求人；大蟲欺小蟲，陪錢又須陪氣。」《三國演義》第五五回：「周郎妙計安天下，陪了夫人又折兵。」 |</v>
      </c>
    </row>
    <row r="2314" spans="1:44" hidden="1">
      <c r="A2314" s="1" t="s">
        <v>1702</v>
      </c>
      <c r="C2314" s="1">
        <v>1</v>
      </c>
      <c r="D2314" s="1" t="str">
        <f>"00654"</f>
        <v>00654</v>
      </c>
      <c r="E2314" s="1" t="s">
        <v>1703</v>
      </c>
      <c r="F2314" s="1">
        <v>12</v>
      </c>
      <c r="G2314" s="1">
        <v>8</v>
      </c>
      <c r="H2314" s="1">
        <v>0</v>
      </c>
      <c r="I2314" s="1" t="s">
        <v>1689</v>
      </c>
      <c r="K2314" s="1" t="str">
        <f t="shared" si="147"/>
        <v>ㄆ</v>
      </c>
      <c r="L2314" s="1" t="str">
        <f t="shared" si="148"/>
        <v>ㄟ</v>
      </c>
      <c r="N2314" s="3" t="s">
        <v>30575</v>
      </c>
      <c r="O2314" s="3"/>
      <c r="P2314" s="1" t="s">
        <v>20</v>
      </c>
      <c r="R2314" s="1" t="s">
        <v>1690</v>
      </c>
      <c r="V2314" s="1" t="s">
        <v>1704</v>
      </c>
      <c r="AR2314" s="1" t="str">
        <f t="shared" si="149"/>
        <v>| [ㄆㄟˊ](ㄆㄟˊ.md) | [毰](毰.md) |  | péi | 參見「毰毸」條。 |</v>
      </c>
    </row>
    <row r="2315" spans="1:44" hidden="1">
      <c r="A2315" s="1" t="s">
        <v>1705</v>
      </c>
      <c r="C2315" s="1">
        <v>1</v>
      </c>
      <c r="D2315" s="1" t="str">
        <f>"00655"</f>
        <v>00655</v>
      </c>
      <c r="E2315" s="1" t="s">
        <v>505</v>
      </c>
      <c r="F2315" s="1">
        <v>15</v>
      </c>
      <c r="G2315" s="1">
        <v>8</v>
      </c>
      <c r="H2315" s="1">
        <v>0</v>
      </c>
      <c r="I2315" s="1" t="s">
        <v>1689</v>
      </c>
      <c r="K2315" s="1" t="str">
        <f t="shared" si="147"/>
        <v>ㄆ</v>
      </c>
      <c r="L2315" s="1" t="str">
        <f t="shared" si="148"/>
        <v>ㄟ</v>
      </c>
      <c r="N2315" s="3" t="s">
        <v>30575</v>
      </c>
      <c r="O2315" s="3"/>
      <c r="P2315" s="1" t="s">
        <v>20</v>
      </c>
      <c r="R2315" s="1" t="s">
        <v>1690</v>
      </c>
      <c r="V2315" s="1" t="s">
        <v>1706</v>
      </c>
      <c r="AR2315" s="1" t="str">
        <f t="shared" si="149"/>
        <v>| [ㄆㄟˊ](ㄆㄟˊ.md) | [賠](賠.md) |  | péi | [動]_x000D_
1.補償、彌補。《醒世姻緣傳》第一七回：「你若再還不肯，寧可我照數賠你罷了。」《紅樓夢》第八一回：「沒什麼說的，你好好兒的賠我們的魚罷！」_x000D_
2.虧損、損失。《紅樓夢》第八回：「何苦我白賠在裡面。」《兒女英雄傳》第三三回：「自從父親出去這趟，不曾成得名，不曾立得業，倒吃了許多辛苦，賠了若干銀錢。」 |</v>
      </c>
    </row>
    <row r="2316" spans="1:44" hidden="1">
      <c r="A2316" s="1" t="s">
        <v>1707</v>
      </c>
      <c r="C2316" s="1">
        <v>1</v>
      </c>
      <c r="D2316" s="1" t="str">
        <f>"00656"</f>
        <v>00656</v>
      </c>
      <c r="E2316" s="1" t="s">
        <v>340</v>
      </c>
      <c r="F2316" s="1">
        <v>14</v>
      </c>
      <c r="G2316" s="1">
        <v>8</v>
      </c>
      <c r="H2316" s="1">
        <v>0</v>
      </c>
      <c r="I2316" s="1" t="s">
        <v>1689</v>
      </c>
      <c r="K2316" s="1" t="str">
        <f t="shared" si="147"/>
        <v>ㄆ</v>
      </c>
      <c r="L2316" s="1" t="str">
        <f t="shared" si="148"/>
        <v>ㄟ</v>
      </c>
      <c r="N2316" s="3" t="s">
        <v>30575</v>
      </c>
      <c r="O2316" s="3"/>
      <c r="P2316" s="1" t="s">
        <v>20</v>
      </c>
      <c r="R2316" s="1" t="s">
        <v>1690</v>
      </c>
      <c r="V2316" s="1" t="s">
        <v>1708</v>
      </c>
      <c r="AR2316" s="1" t="str">
        <f t="shared" si="149"/>
        <v>| [ㄆㄟˊ](ㄆㄟˊ.md) | [裴](裴.md) |  | péi | [形]
形容衣服很長。《說文解字．衣部》：「裴，長衣貌。」
[動]
猶豫不決。通「徘」。參見「裴回」條。
[名]
姓。如晉朝有裴楷，唐朝有裴度。 |</v>
      </c>
    </row>
    <row r="2317" spans="1:44" hidden="1">
      <c r="A2317" s="1" t="s">
        <v>1738</v>
      </c>
      <c r="C2317" s="1">
        <v>1</v>
      </c>
      <c r="D2317" s="1" t="str">
        <f>"00687"</f>
        <v>00687</v>
      </c>
      <c r="E2317" s="1" t="s">
        <v>129</v>
      </c>
      <c r="F2317" s="1">
        <v>8</v>
      </c>
      <c r="G2317" s="1">
        <v>5</v>
      </c>
      <c r="H2317" s="1">
        <v>1</v>
      </c>
      <c r="I2317" s="1" t="s">
        <v>1781</v>
      </c>
      <c r="K2317" s="1" t="str">
        <f t="shared" si="147"/>
        <v>ㄆ</v>
      </c>
      <c r="L2317" s="1" t="str">
        <f t="shared" si="148"/>
        <v>ㄠ</v>
      </c>
      <c r="N2317" s="3" t="s">
        <v>30574</v>
      </c>
      <c r="O2317" s="3"/>
      <c r="P2317" s="1" t="s">
        <v>20</v>
      </c>
      <c r="R2317" s="1" t="s">
        <v>1782</v>
      </c>
      <c r="V2317" s="1" t="s">
        <v>1783</v>
      </c>
      <c r="W2317" s="1" t="s">
        <v>1784</v>
      </c>
      <c r="AR2317" s="1" t="str">
        <f t="shared" si="149"/>
        <v>| [ㄆㄠˋ](ㄆㄠˋ.md) | [泡](泡.md) |  | pào | [名]_x000D_
1.在液體上漂浮，內含氣體的球狀物。大的稱為「泡」，小的稱為「沫」。如：「肥皂泡」。《金剛般若波羅蜜經》：「一切有為法，如夢幻泡影。」清．紀昀《閱微草堂筆記．卷五．灤陽消夏錄五》：「無罪無福之人，聽其游行於墟墓，餘氣未盡則存，餘氣漸消則滅，如露珠水泡，倏有倏無。」_x000D_
2.泡狀物。如：「電燈泡」。_x000D_
3.因皮膚受傷而起的水泡。如：「他的大腿被熱水燙到，已經起泡了。」《水滸傳》第八回：「林冲走不到三二里，腳上泡被新草鞋打破了，鮮血淋漓，正走不動。」_x000D_
[量]_x000D_
1.計算動作次數的單位。相當於「番」、「回」、「陣」。《官場現形記》第四七回：「童子良經他這一泡恭維，便覺他說的話，果然不錯。」_x000D_
2.計算茶葉沖浸次數的單位。如：「這茶已經是第二泡。」_x000D_
[動]_x000D_
1.用水沖浸。如：「泡飯」、「泡衣服」。《紅樓夢》第六〇回：「當時來至蘅蕪苑中，正值寶釵、黛玉、薛姨媽等吃飯，鶯兒自去泡茶。」_x000D_
2.在人事物上耗費時間或精力。如：「泡妞」、「泡舞廳」、「要考試了，你還泡在網咖。」 |</v>
      </c>
    </row>
    <row r="2318" spans="1:44" hidden="1">
      <c r="A2318" s="1" t="s">
        <v>578</v>
      </c>
      <c r="C2318" s="1">
        <v>1</v>
      </c>
      <c r="D2318" s="1" t="str">
        <f>"00688"</f>
        <v>00688</v>
      </c>
      <c r="E2318" s="1" t="s">
        <v>336</v>
      </c>
      <c r="F2318" s="1">
        <v>9</v>
      </c>
      <c r="G2318" s="1">
        <v>5</v>
      </c>
      <c r="H2318" s="1">
        <v>2</v>
      </c>
      <c r="I2318" s="1" t="s">
        <v>1781</v>
      </c>
      <c r="K2318" s="1" t="str">
        <f t="shared" si="147"/>
        <v>ㄆ</v>
      </c>
      <c r="L2318" s="1" t="str">
        <f t="shared" si="148"/>
        <v>ㄠ</v>
      </c>
      <c r="N2318" s="3" t="s">
        <v>30574</v>
      </c>
      <c r="O2318" s="3"/>
      <c r="P2318" s="1" t="s">
        <v>20</v>
      </c>
      <c r="R2318" s="1" t="s">
        <v>1782</v>
      </c>
      <c r="V2318" s="1" t="s">
        <v>1785</v>
      </c>
      <c r="W2318" s="1" t="s">
        <v>1786</v>
      </c>
      <c r="AR2318" s="1" t="str">
        <f t="shared" si="149"/>
        <v>| [ㄆㄠˋ](ㄆㄠˋ.md) | [炮](炮.md) |  | pào | [名]
1.武器名。一種發射鐵石彈丸或炮彈的重型兵器。火力強，射程遠，極具殺傷力和破壞力。如：「大炮」、「開炮」、「高射炮」、「迫擊炮」。
2.爆竹。如：「鞭炮」。 |</v>
      </c>
    </row>
    <row r="2319" spans="1:44" hidden="1">
      <c r="A2319" s="1" t="s">
        <v>1787</v>
      </c>
      <c r="C2319" s="1">
        <v>1</v>
      </c>
      <c r="D2319" s="1" t="str">
        <f>"00689"</f>
        <v>00689</v>
      </c>
      <c r="E2319" s="1" t="s">
        <v>40</v>
      </c>
      <c r="F2319" s="1">
        <v>10</v>
      </c>
      <c r="G2319" s="1">
        <v>5</v>
      </c>
      <c r="H2319" s="1">
        <v>0</v>
      </c>
      <c r="I2319" s="1" t="s">
        <v>1781</v>
      </c>
      <c r="K2319" s="1" t="str">
        <f t="shared" si="147"/>
        <v>ㄆ</v>
      </c>
      <c r="L2319" s="1" t="str">
        <f t="shared" si="148"/>
        <v>ㄠ</v>
      </c>
      <c r="N2319" s="3" t="s">
        <v>30574</v>
      </c>
      <c r="O2319" s="3"/>
      <c r="P2319" s="1" t="s">
        <v>20</v>
      </c>
      <c r="R2319" s="1" t="s">
        <v>1782</v>
      </c>
      <c r="V2319" s="1" t="s">
        <v>1788</v>
      </c>
      <c r="AR2319" s="1" t="str">
        <f t="shared" si="149"/>
        <v>| [ㄆㄠˋ](ㄆㄠˋ.md) | [疱](疱.md) |  | pào | 參見「疱疹」條。 |</v>
      </c>
    </row>
    <row r="2320" spans="1:44" hidden="1">
      <c r="A2320" s="1" t="s">
        <v>1789</v>
      </c>
      <c r="C2320" s="1">
        <v>1</v>
      </c>
      <c r="D2320" s="1" t="str">
        <f>"00690"</f>
        <v>00690</v>
      </c>
      <c r="E2320" s="1" t="s">
        <v>169</v>
      </c>
      <c r="F2320" s="1">
        <v>10</v>
      </c>
      <c r="G2320" s="1">
        <v>5</v>
      </c>
      <c r="H2320" s="1">
        <v>0</v>
      </c>
      <c r="I2320" s="1" t="s">
        <v>1781</v>
      </c>
      <c r="K2320" s="1" t="str">
        <f t="shared" si="147"/>
        <v>ㄆ</v>
      </c>
      <c r="L2320" s="1" t="str">
        <f t="shared" si="148"/>
        <v>ㄠ</v>
      </c>
      <c r="N2320" s="3" t="s">
        <v>30574</v>
      </c>
      <c r="O2320" s="3"/>
      <c r="P2320" s="1" t="s">
        <v>20</v>
      </c>
      <c r="R2320" s="1" t="s">
        <v>1782</v>
      </c>
      <c r="V2320" s="1" t="s">
        <v>1790</v>
      </c>
      <c r="AR2320" s="1" t="str">
        <f t="shared" si="149"/>
        <v>| [ㄆㄠˋ](ㄆㄠˋ.md) | [砲](砲.md) |  | pào | [名]
1.同「炮」。
2.堪輿風水書上的術語。地面隆起稱為「墩」，較墩小者稱為「砲」。《儒林外史》第四五回：「你看！這是三尖峰。那邊來路遠哩！從浦口山上發脈，一個墩，一個砲；一個墩，一個砲；一個墩，一個砲；彎彎曲曲，骨裡骨碌，一路接著滾了來。」
3.量詞。《鏡花緣》第六六回：「共響四砲，這是四海昇平。外面如此熱鬧，你們二位也該升帳了。」 |</v>
      </c>
    </row>
    <row r="2321" spans="1:44" hidden="1">
      <c r="A2321" s="1" t="s">
        <v>1791</v>
      </c>
      <c r="C2321" s="1">
        <v>1</v>
      </c>
      <c r="D2321" s="1" t="str">
        <f>"00691"</f>
        <v>00691</v>
      </c>
      <c r="E2321" s="1" t="s">
        <v>1792</v>
      </c>
      <c r="F2321" s="1">
        <v>10</v>
      </c>
      <c r="G2321" s="1">
        <v>5</v>
      </c>
      <c r="H2321" s="1">
        <v>0</v>
      </c>
      <c r="I2321" s="1" t="s">
        <v>1781</v>
      </c>
      <c r="K2321" s="1" t="str">
        <f t="shared" si="147"/>
        <v>ㄆ</v>
      </c>
      <c r="L2321" s="1" t="str">
        <f t="shared" si="148"/>
        <v>ㄠ</v>
      </c>
      <c r="N2321" s="3" t="s">
        <v>30574</v>
      </c>
      <c r="O2321" s="3"/>
      <c r="P2321" s="1" t="s">
        <v>20</v>
      </c>
      <c r="R2321" s="1" t="s">
        <v>1782</v>
      </c>
      <c r="V2321" s="1" t="s">
        <v>1793</v>
      </c>
      <c r="AR2321" s="1" t="str">
        <f t="shared" si="149"/>
        <v>| [ㄆㄠˋ](ㄆㄠˋ.md) | [皰](皰.md) |  | pào | [名]
面部所生的小顆粒，因皮脂腺分泌旺盛，阻塞毛細孔而產生，俗稱為「粉刺」。如：「面皰」。 |</v>
      </c>
    </row>
    <row r="2322" spans="1:44" hidden="1">
      <c r="A2322" s="1" t="s">
        <v>1794</v>
      </c>
      <c r="C2322" s="1">
        <v>1</v>
      </c>
      <c r="D2322" s="1" t="str">
        <f>"00692"</f>
        <v>00692</v>
      </c>
      <c r="E2322" s="1" t="s">
        <v>563</v>
      </c>
      <c r="F2322" s="1">
        <v>8</v>
      </c>
      <c r="G2322" s="1">
        <v>5</v>
      </c>
      <c r="H2322" s="1">
        <v>0</v>
      </c>
      <c r="I2322" s="1" t="s">
        <v>1781</v>
      </c>
      <c r="K2322" s="1" t="str">
        <f t="shared" ref="K2322:K2385" si="150">LEFT(I2322, 1)</f>
        <v>ㄆ</v>
      </c>
      <c r="L2322" s="1" t="str">
        <f t="shared" ref="L2322:L2385" si="151">MID(I2322, 2, 1)</f>
        <v>ㄠ</v>
      </c>
      <c r="N2322" s="3" t="s">
        <v>30574</v>
      </c>
      <c r="O2322" s="3"/>
      <c r="P2322" s="1" t="s">
        <v>20</v>
      </c>
      <c r="R2322" s="1" t="s">
        <v>1782</v>
      </c>
      <c r="V2322" s="1" t="s">
        <v>1795</v>
      </c>
      <c r="AR2322" s="1" t="str">
        <f t="shared" si="149"/>
        <v>| [ㄆㄠˋ](ㄆㄠˋ.md) | [奅](奅.md) |  | pào | [名]
1.虛大、張大。《說文解字．大部》：「奅，大也。」清．段玉裁．注：「此謂虛之大。」
2.炮石。明．張自烈《正字通．大部》：「奅、砲、礮同。《廣韻》：『軍戰石也。』」
[動]
廣東方言。指說大話欺騙人。明．張自烈《正字通．大部》：「《方言》：『以大言冒人曰奅。』」如說大話稱為「車大奅」，說大話的人稱為「大奅佬」。 |</v>
      </c>
    </row>
    <row r="2323" spans="1:44" hidden="1">
      <c r="A2323" s="1" t="s">
        <v>1796</v>
      </c>
      <c r="C2323" s="1">
        <v>1</v>
      </c>
      <c r="D2323" s="1" t="str">
        <f>"00693"</f>
        <v>00693</v>
      </c>
      <c r="E2323" s="1" t="s">
        <v>129</v>
      </c>
      <c r="F2323" s="1">
        <v>11</v>
      </c>
      <c r="G2323" s="1">
        <v>8</v>
      </c>
      <c r="H2323" s="1">
        <v>0</v>
      </c>
      <c r="I2323" s="1" t="s">
        <v>1781</v>
      </c>
      <c r="K2323" s="1" t="str">
        <f t="shared" si="150"/>
        <v>ㄆ</v>
      </c>
      <c r="L2323" s="1" t="str">
        <f t="shared" si="151"/>
        <v>ㄠ</v>
      </c>
      <c r="N2323" s="3" t="s">
        <v>30574</v>
      </c>
      <c r="O2323" s="3"/>
      <c r="P2323" s="1" t="s">
        <v>20</v>
      </c>
      <c r="R2323" s="1" t="s">
        <v>1782</v>
      </c>
      <c r="V2323" s="1" t="s">
        <v>1797</v>
      </c>
      <c r="AR2323" s="1" t="str">
        <f t="shared" si="149"/>
        <v>| [ㄆㄠˋ](ㄆㄠˋ.md) | [𣶐](𣶐.md) |  | pào | [動]
用水浸物。通「泡」。如：「𣶐飯」。 |</v>
      </c>
    </row>
    <row r="2324" spans="1:44" hidden="1">
      <c r="A2324" s="1" t="s">
        <v>626</v>
      </c>
      <c r="C2324" s="1">
        <v>1</v>
      </c>
      <c r="D2324" s="1" t="str">
        <f>"00672"</f>
        <v>00672</v>
      </c>
      <c r="E2324" s="1" t="s">
        <v>185</v>
      </c>
      <c r="F2324" s="1">
        <v>7</v>
      </c>
      <c r="G2324" s="1">
        <v>5</v>
      </c>
      <c r="H2324" s="1">
        <v>1</v>
      </c>
      <c r="I2324" s="1" t="s">
        <v>1747</v>
      </c>
      <c r="K2324" s="1" t="str">
        <f t="shared" si="150"/>
        <v>ㄆ</v>
      </c>
      <c r="L2324" s="1" t="str">
        <f t="shared" si="151"/>
        <v>ㄠ</v>
      </c>
      <c r="N2324" s="3" t="s">
        <v>30575</v>
      </c>
      <c r="O2324" s="3"/>
      <c r="P2324" s="1" t="s">
        <v>20</v>
      </c>
      <c r="R2324" s="1" t="s">
        <v>1748</v>
      </c>
      <c r="V2324" s="1" t="s">
        <v>1749</v>
      </c>
      <c r="W2324" s="1" t="s">
        <v>1750</v>
      </c>
      <c r="AR2324" s="1" t="str">
        <f t="shared" si="149"/>
        <v>| [ㄆㄠˊ](ㄆㄠˊ.md) | [刨](刨.md) |  | páo | [動]_x000D_
1.挖掘。如：「刨洞」、「刨坑」。元．關漢卿《陳母教子．楔子》：「打牆處刨出一窖金銀來。」《兒女英雄傳》第一九回：「這姑娘天生半分不認錯；一字不饒人；拉口子要見血；刨樹要搜根兒的脾氣。」_x000D_
2.減去、除去。如：「總收入刨掉成本和各項雜支，便是淨收入。」《兒女英雄傳》第三三回：「就讓刨除佃戶的人工飯食、牲口口糧去，只怕也不止這幾兩銀子。」 |</v>
      </c>
    </row>
    <row r="2325" spans="1:44" hidden="1">
      <c r="A2325" s="1" t="s">
        <v>1751</v>
      </c>
      <c r="C2325" s="1">
        <v>1</v>
      </c>
      <c r="D2325" s="1" t="str">
        <f>"00673"</f>
        <v>00673</v>
      </c>
      <c r="E2325" s="1" t="s">
        <v>447</v>
      </c>
      <c r="F2325" s="1">
        <v>8</v>
      </c>
      <c r="G2325" s="1">
        <v>5</v>
      </c>
      <c r="H2325" s="1">
        <v>0</v>
      </c>
      <c r="I2325" s="1" t="s">
        <v>1747</v>
      </c>
      <c r="K2325" s="1" t="str">
        <f t="shared" si="150"/>
        <v>ㄆ</v>
      </c>
      <c r="L2325" s="1" t="str">
        <f t="shared" si="151"/>
        <v>ㄠ</v>
      </c>
      <c r="N2325" s="3" t="s">
        <v>30575</v>
      </c>
      <c r="O2325" s="3"/>
      <c r="P2325" s="1" t="s">
        <v>20</v>
      </c>
      <c r="R2325" s="1" t="s">
        <v>1748</v>
      </c>
      <c r="V2325" s="1" t="s">
        <v>1752</v>
      </c>
      <c r="AR2325" s="1" t="str">
        <f t="shared" si="149"/>
        <v>| [ㄆㄠˊ](ㄆㄠˊ.md) | [庖](庖.md) |  | páo | [名]
1.廚房。《孟子．梁惠王上》：「是以君子遠庖廚也。」《禮記．王制》：「天子諸侯，無事，則歲三田。一為乾豆，二為賓客，三為充君之庖。」
2.廚師。如：「名庖」。《莊子．養生主》：「良庖歲更刀，割也。」 |</v>
      </c>
    </row>
    <row r="2326" spans="1:44" hidden="1">
      <c r="A2326" s="1" t="s">
        <v>1753</v>
      </c>
      <c r="C2326" s="1">
        <v>1</v>
      </c>
      <c r="D2326" s="1" t="str">
        <f>"00674"</f>
        <v>00674</v>
      </c>
      <c r="E2326" s="1" t="s">
        <v>28</v>
      </c>
      <c r="F2326" s="1">
        <v>8</v>
      </c>
      <c r="G2326" s="1">
        <v>5</v>
      </c>
      <c r="H2326" s="1">
        <v>0</v>
      </c>
      <c r="I2326" s="1" t="s">
        <v>1747</v>
      </c>
      <c r="K2326" s="1" t="str">
        <f t="shared" si="150"/>
        <v>ㄆ</v>
      </c>
      <c r="L2326" s="1" t="str">
        <f t="shared" si="151"/>
        <v>ㄠ</v>
      </c>
      <c r="N2326" s="3" t="s">
        <v>30575</v>
      </c>
      <c r="O2326" s="3"/>
      <c r="P2326" s="1" t="s">
        <v>20</v>
      </c>
      <c r="R2326" s="1" t="s">
        <v>1748</v>
      </c>
      <c r="V2326" s="1" t="s">
        <v>1754</v>
      </c>
      <c r="AR2326" s="1" t="str">
        <f t="shared" si="149"/>
        <v>| [ㄆㄠˊ](ㄆㄠˊ.md) | [咆](咆.md) |  | páo | [動]
野獸怒吼。《淮南子．覽冥》：「熊羆匍匐邱山磛巖，虎豹襲穴而不敢咆。」唐．杜甫〈課伐木〉詩：「空荒咆熊羆，乳獸待人肉。」 |</v>
      </c>
    </row>
    <row r="2327" spans="1:44" hidden="1">
      <c r="A2327" s="1" t="s">
        <v>578</v>
      </c>
      <c r="C2327" s="1">
        <v>1</v>
      </c>
      <c r="D2327" s="1" t="str">
        <f>"00675"</f>
        <v>00675</v>
      </c>
      <c r="E2327" s="1" t="s">
        <v>336</v>
      </c>
      <c r="F2327" s="1">
        <v>9</v>
      </c>
      <c r="G2327" s="1">
        <v>5</v>
      </c>
      <c r="H2327" s="1">
        <v>1</v>
      </c>
      <c r="I2327" s="1" t="s">
        <v>1747</v>
      </c>
      <c r="K2327" s="1" t="str">
        <f t="shared" si="150"/>
        <v>ㄆ</v>
      </c>
      <c r="L2327" s="1" t="str">
        <f t="shared" si="151"/>
        <v>ㄠ</v>
      </c>
      <c r="N2327" s="3" t="s">
        <v>30575</v>
      </c>
      <c r="O2327" s="3"/>
      <c r="P2327" s="1" t="s">
        <v>20</v>
      </c>
      <c r="R2327" s="1" t="s">
        <v>1748</v>
      </c>
      <c r="V2327" s="1" t="s">
        <v>1755</v>
      </c>
      <c r="W2327" s="1" t="s">
        <v>1756</v>
      </c>
      <c r="AR2327" s="1" t="str">
        <f t="shared" si="149"/>
        <v>| [ㄆㄠˊ](ㄆㄠˊ.md) | [炮](炮.md) |  | páo | [動]
1.燒、烤。如：「炮烙」、「烹羊炮羔」。《詩經．小雅．瓠葉》：「有兔斯首，炮之燔之。」《左傳．昭公二十七年》：「令尹炮之，盡滅郤氏之族黨。」
2.以火烘焙藥材。如：「炮煎」。《金瓶梅詞話》第四九回：「胡僧說：『形如雞卵，色似鵝黃。三次老君炮煉，王母親手傳方。』」《西遊記》第二回：「祖師道：『此是有為有作，採陰補陽，攀弓踏弩，摩臍過氣，用方炮製，燒茅打鼎，進紅鉛，煉秋石，並服婦乳之類。』」 |</v>
      </c>
    </row>
    <row r="2328" spans="1:44" hidden="1">
      <c r="A2328" s="1" t="s">
        <v>1757</v>
      </c>
      <c r="C2328" s="1">
        <v>1</v>
      </c>
      <c r="D2328" s="1" t="str">
        <f>"00676"</f>
        <v>00676</v>
      </c>
      <c r="E2328" s="1" t="s">
        <v>336</v>
      </c>
      <c r="F2328" s="1">
        <v>9</v>
      </c>
      <c r="G2328" s="1">
        <v>5</v>
      </c>
      <c r="H2328" s="1">
        <v>0</v>
      </c>
      <c r="I2328" s="1" t="s">
        <v>1747</v>
      </c>
      <c r="K2328" s="1" t="str">
        <f t="shared" si="150"/>
        <v>ㄆ</v>
      </c>
      <c r="L2328" s="1" t="str">
        <f t="shared" si="151"/>
        <v>ㄠ</v>
      </c>
      <c r="N2328" s="3" t="s">
        <v>30575</v>
      </c>
      <c r="O2328" s="3"/>
      <c r="P2328" s="1" t="s">
        <v>20</v>
      </c>
      <c r="R2328" s="1" t="s">
        <v>1748</v>
      </c>
      <c r="V2328" s="1" t="s">
        <v>1758</v>
      </c>
      <c r="AR2328" s="1" t="str">
        <f t="shared" si="149"/>
        <v>| [ㄆㄠˊ](ㄆㄠˊ.md) | [炰](炰.md) |  | páo | [動]
以火燒烤食物。《詩經．小雅．六月》：「飲御諸友，炰鱉膾鯉。」漢．楊惲〈報孫會宗書〉：「田家作苦，歲時伏臘，亨羊炰羔，斗酒自勞。」
[名]
烤熟的食物。《文選．枚乘．七發》：「旨酒嘉肴，羞炰膾炙，以御賓客。」
[形]
參見「炰烋」條。 |</v>
      </c>
    </row>
    <row r="2329" spans="1:44" hidden="1">
      <c r="A2329" s="1" t="s">
        <v>277</v>
      </c>
      <c r="C2329" s="1">
        <v>1</v>
      </c>
      <c r="D2329" s="1" t="str">
        <f>"00677"</f>
        <v>00677</v>
      </c>
      <c r="E2329" s="1" t="s">
        <v>238</v>
      </c>
      <c r="F2329" s="1">
        <v>10</v>
      </c>
      <c r="G2329" s="1">
        <v>5</v>
      </c>
      <c r="H2329" s="1">
        <v>2</v>
      </c>
      <c r="I2329" s="1" t="s">
        <v>1747</v>
      </c>
      <c r="K2329" s="1" t="str">
        <f t="shared" si="150"/>
        <v>ㄆ</v>
      </c>
      <c r="L2329" s="1" t="str">
        <f t="shared" si="151"/>
        <v>ㄠ</v>
      </c>
      <c r="N2329" s="3" t="s">
        <v>30575</v>
      </c>
      <c r="O2329" s="3"/>
      <c r="P2329" s="1" t="s">
        <v>20</v>
      </c>
      <c r="R2329" s="1" t="s">
        <v>1748</v>
      </c>
      <c r="V2329" s="1" t="s">
        <v>1759</v>
      </c>
      <c r="W2329" s="1" t="s">
        <v>1760</v>
      </c>
      <c r="AR2329" s="1" t="str">
        <f t="shared" si="149"/>
        <v>| [ㄆㄠˊ](ㄆㄠˊ.md) | [瓟](瓟.md) |  | páo | [名]
杓子。通「瓠」、「匏」。《廣韻．入聲．肴韻》：「瓟，似瓠，可為飲器。」《楚辭．劉向．九歎．愍命》：「莞芎棄於澤洲兮，瓟瓥蠹於筐簏。」漢．王逸．注：「瓟，匏也。」 |</v>
      </c>
    </row>
    <row r="2330" spans="1:44" hidden="1">
      <c r="A2330" s="1" t="s">
        <v>1761</v>
      </c>
      <c r="C2330" s="1">
        <v>1</v>
      </c>
      <c r="D2330" s="1" t="str">
        <f>"00678"</f>
        <v>00678</v>
      </c>
      <c r="E2330" s="1" t="s">
        <v>340</v>
      </c>
      <c r="F2330" s="1">
        <v>11</v>
      </c>
      <c r="G2330" s="1">
        <v>5</v>
      </c>
      <c r="H2330" s="1">
        <v>0</v>
      </c>
      <c r="I2330" s="1" t="s">
        <v>1747</v>
      </c>
      <c r="K2330" s="1" t="str">
        <f t="shared" si="150"/>
        <v>ㄆ</v>
      </c>
      <c r="L2330" s="1" t="str">
        <f t="shared" si="151"/>
        <v>ㄠ</v>
      </c>
      <c r="N2330" s="3" t="s">
        <v>30575</v>
      </c>
      <c r="O2330" s="3"/>
      <c r="P2330" s="1" t="s">
        <v>20</v>
      </c>
      <c r="R2330" s="1" t="s">
        <v>1748</v>
      </c>
      <c r="V2330" s="1" t="s">
        <v>1762</v>
      </c>
      <c r="AR2330" s="1" t="str">
        <f t="shared" si="149"/>
        <v>| [ㄆㄠˊ](ㄆㄠˊ.md) | [袍](袍.md) |  | páo | [名]_x000D_
1.寬長而有棉絮夾裡的外衣。如：「袍服」、「外袍」、「長袍馬褂」。《詩經．秦風．無衣》：「豈曰無衣，與子同袍。」《論語．子罕》：「衣敝縕袍與衣狐貉者立，而不恥者，其由也與。」_x000D_
2.泛稱長衣。如：「錦袍」、「戰袍」、「旗袍」、「浴袍」。元．馬致遠《陳摶高臥》第二折：「我其實戴不的幞頭緊，穿不的朝衣坌，倒不如我這拂黃塵的布袍，漉渾酒的綸巾。」《三國演義》第六回：「洪急扶操下馬，脫去袍鎧，負操渡水。」_x000D_
3.衣服前襟。《公羊傳．哀公十四年》：「反袂拭面涕沾袍。」漢．何休．解詁：「袍，衣前襟也。」 |</v>
      </c>
    </row>
    <row r="2331" spans="1:44" hidden="1">
      <c r="A2331" s="1" t="s">
        <v>1763</v>
      </c>
      <c r="C2331" s="1">
        <v>1</v>
      </c>
      <c r="D2331" s="1" t="str">
        <f>"00679"</f>
        <v>00679</v>
      </c>
      <c r="E2331" s="1" t="s">
        <v>570</v>
      </c>
      <c r="F2331" s="1">
        <v>11</v>
      </c>
      <c r="G2331" s="1">
        <v>9</v>
      </c>
      <c r="H2331" s="1">
        <v>0</v>
      </c>
      <c r="I2331" s="1" t="s">
        <v>1747</v>
      </c>
      <c r="K2331" s="1" t="str">
        <f t="shared" si="150"/>
        <v>ㄆ</v>
      </c>
      <c r="L2331" s="1" t="str">
        <f t="shared" si="151"/>
        <v>ㄠ</v>
      </c>
      <c r="N2331" s="3" t="s">
        <v>30575</v>
      </c>
      <c r="O2331" s="3"/>
      <c r="P2331" s="1" t="s">
        <v>20</v>
      </c>
      <c r="R2331" s="1" t="s">
        <v>1748</v>
      </c>
      <c r="V2331" s="1" t="s">
        <v>1764</v>
      </c>
      <c r="AR2331" s="1" t="str">
        <f t="shared" si="149"/>
        <v>| [ㄆㄠˊ](ㄆㄠˊ.md) | [匏](匏.md) |  | páo | [名]
1.植物名。一種葫蘆。果實圓大而扁，晒乾之後可當涉水的交通工具，從中剖開亦可做盛水的容器。
2.樂器名。古笙竽以匏為座，故此類樂器稱為「匏」，與金、石、土、革、絲、木、竹合稱為「八音」。南朝梁．蕭統〈文選序〉：「譬陶匏異器，並為入耳之娛。」
3.姓。如漢代有匏敏。 |</v>
      </c>
    </row>
    <row r="2332" spans="1:44" hidden="1">
      <c r="A2332" s="1" t="s">
        <v>1765</v>
      </c>
      <c r="C2332" s="1">
        <v>1</v>
      </c>
      <c r="D2332" s="1" t="str">
        <f>"00680"</f>
        <v>00680</v>
      </c>
      <c r="E2332" s="1" t="s">
        <v>77</v>
      </c>
      <c r="F2332" s="1">
        <v>12</v>
      </c>
      <c r="G2332" s="1">
        <v>5</v>
      </c>
      <c r="H2332" s="1">
        <v>2</v>
      </c>
      <c r="I2332" s="1" t="s">
        <v>1747</v>
      </c>
      <c r="K2332" s="1" t="str">
        <f t="shared" si="150"/>
        <v>ㄆ</v>
      </c>
      <c r="L2332" s="1" t="str">
        <f t="shared" si="151"/>
        <v>ㄠ</v>
      </c>
      <c r="N2332" s="3" t="s">
        <v>30575</v>
      </c>
      <c r="O2332" s="3"/>
      <c r="P2332" s="1" t="s">
        <v>20</v>
      </c>
      <c r="R2332" s="1" t="s">
        <v>1748</v>
      </c>
      <c r="V2332" s="1" t="s">
        <v>1766</v>
      </c>
      <c r="W2332" s="1" t="s">
        <v>1767</v>
      </c>
      <c r="AR2332" s="1" t="str">
        <f t="shared" si="149"/>
        <v>| [ㄆㄠˊ](ㄆㄠˊ.md) | [跑](跑.md) |  | páo | [動]
獸用腳掘地。《西京雜記》卷四：「滕公駕至東都門，馬鳴跼不肯前，以足跑地久之。」 |</v>
      </c>
    </row>
    <row r="2333" spans="1:44" hidden="1">
      <c r="A2333" s="1" t="s">
        <v>588</v>
      </c>
      <c r="C2333" s="1">
        <v>1</v>
      </c>
      <c r="D2333" s="1" t="str">
        <f>"00681"</f>
        <v>00681</v>
      </c>
      <c r="E2333" s="1" t="s">
        <v>96</v>
      </c>
      <c r="F2333" s="1">
        <v>14</v>
      </c>
      <c r="G2333" s="1">
        <v>5</v>
      </c>
      <c r="H2333" s="1">
        <v>1</v>
      </c>
      <c r="I2333" s="1" t="s">
        <v>1747</v>
      </c>
      <c r="K2333" s="1" t="str">
        <f t="shared" si="150"/>
        <v>ㄆ</v>
      </c>
      <c r="L2333" s="1" t="str">
        <f t="shared" si="151"/>
        <v>ㄠ</v>
      </c>
      <c r="N2333" s="3" t="s">
        <v>30575</v>
      </c>
      <c r="O2333" s="3"/>
      <c r="P2333" s="1" t="s">
        <v>20</v>
      </c>
      <c r="R2333" s="1" t="s">
        <v>1748</v>
      </c>
      <c r="V2333" s="1" t="s">
        <v>1768</v>
      </c>
      <c r="W2333" s="1" t="s">
        <v>1769</v>
      </c>
      <c r="AR2333" s="1" t="str">
        <f t="shared" si="149"/>
        <v>| [ㄆㄠˊ](ㄆㄠˊ.md) | [鞄](鞄.md) |  | páo | [名]
使皮革柔軟的工匠。《說文解字．革部》：「鞄，柔革工也。」 |</v>
      </c>
    </row>
    <row r="2334" spans="1:44" hidden="1">
      <c r="A2334" s="1" t="s">
        <v>1186</v>
      </c>
      <c r="C2334" s="1">
        <v>1</v>
      </c>
      <c r="D2334" s="1" t="str">
        <f>"00682"</f>
        <v>00682</v>
      </c>
      <c r="E2334" s="1" t="s">
        <v>1161</v>
      </c>
      <c r="F2334" s="1">
        <v>14</v>
      </c>
      <c r="G2334" s="1">
        <v>5</v>
      </c>
      <c r="H2334" s="1">
        <v>1</v>
      </c>
      <c r="I2334" s="1" t="s">
        <v>1747</v>
      </c>
      <c r="K2334" s="1" t="str">
        <f t="shared" si="150"/>
        <v>ㄆ</v>
      </c>
      <c r="L2334" s="1" t="str">
        <f t="shared" si="151"/>
        <v>ㄠ</v>
      </c>
      <c r="N2334" s="3" t="s">
        <v>30575</v>
      </c>
      <c r="O2334" s="3"/>
      <c r="P2334" s="1" t="s">
        <v>20</v>
      </c>
      <c r="R2334" s="1" t="s">
        <v>1748</v>
      </c>
      <c r="V2334" s="1" t="s">
        <v>1770</v>
      </c>
      <c r="W2334" s="1" t="s">
        <v>1771</v>
      </c>
      <c r="AR2334" s="1" t="str">
        <f t="shared" si="149"/>
        <v>| [ㄆㄠˊ](ㄆㄠˊ.md) | [颮](颮.md) |  | páo | [名]
具有突起、持續時間僅數分鐘（至少兩分鐘）、風速驟減等特徵的強風。有時亦指整個強烈的地方性風暴而言，包括風、雲、降水、雷及閃電。
[形]
風大而急。《文選．班固．答賓戲》：「遊說之徒，風颮電激，並起而救之。」 |</v>
      </c>
    </row>
    <row r="2335" spans="1:44" hidden="1">
      <c r="A2335" s="1" t="s">
        <v>591</v>
      </c>
      <c r="C2335" s="1">
        <v>1</v>
      </c>
      <c r="D2335" s="1" t="str">
        <f>"00683"</f>
        <v>00683</v>
      </c>
      <c r="E2335" s="1" t="s">
        <v>592</v>
      </c>
      <c r="F2335" s="1">
        <v>20</v>
      </c>
      <c r="G2335" s="1">
        <v>5</v>
      </c>
      <c r="H2335" s="1">
        <v>2</v>
      </c>
      <c r="I2335" s="1" t="s">
        <v>1747</v>
      </c>
      <c r="K2335" s="1" t="str">
        <f t="shared" si="150"/>
        <v>ㄆ</v>
      </c>
      <c r="L2335" s="1" t="str">
        <f t="shared" si="151"/>
        <v>ㄠ</v>
      </c>
      <c r="N2335" s="3" t="s">
        <v>30575</v>
      </c>
      <c r="O2335" s="3"/>
      <c r="P2335" s="1" t="s">
        <v>186</v>
      </c>
      <c r="R2335" s="1" t="s">
        <v>1748</v>
      </c>
      <c r="V2335" s="1" t="s">
        <v>206</v>
      </c>
      <c r="W2335" s="1" t="s">
        <v>1772</v>
      </c>
      <c r="AR2335" s="1" t="str">
        <f t="shared" si="149"/>
        <v>| [ㄆㄠˊ](ㄆㄠˊ.md) | [齙](齙.md) |  | páo | (一)之讀音。 |</v>
      </c>
    </row>
    <row r="2336" spans="1:44" hidden="1">
      <c r="A2336" s="1" t="s">
        <v>290</v>
      </c>
      <c r="C2336" s="1">
        <v>1</v>
      </c>
      <c r="D2336" s="1" t="str">
        <f>"00684"</f>
        <v>00684</v>
      </c>
      <c r="E2336" s="1" t="s">
        <v>198</v>
      </c>
      <c r="F2336" s="1">
        <v>13</v>
      </c>
      <c r="G2336" s="1">
        <v>10</v>
      </c>
      <c r="H2336" s="1">
        <v>2</v>
      </c>
      <c r="I2336" s="1" t="s">
        <v>1747</v>
      </c>
      <c r="K2336" s="1" t="str">
        <f t="shared" si="150"/>
        <v>ㄆ</v>
      </c>
      <c r="L2336" s="1" t="str">
        <f t="shared" si="151"/>
        <v>ㄠ</v>
      </c>
      <c r="N2336" s="3" t="s">
        <v>30575</v>
      </c>
      <c r="O2336" s="3"/>
      <c r="P2336" s="1" t="s">
        <v>20</v>
      </c>
      <c r="R2336" s="1" t="s">
        <v>1748</v>
      </c>
      <c r="V2336" s="1" t="s">
        <v>1773</v>
      </c>
      <c r="W2336" s="1" t="s">
        <v>1774</v>
      </c>
      <c r="AR2336" s="1" t="str">
        <f t="shared" si="149"/>
        <v>| [ㄆㄠˊ](ㄆㄠˊ.md) | [猼](猼.md) |  | páo | 參見「猼且」條。 |</v>
      </c>
    </row>
    <row r="2337" spans="1:44" hidden="1">
      <c r="A2337" s="1" t="s">
        <v>1189</v>
      </c>
      <c r="C2337" s="1">
        <v>1</v>
      </c>
      <c r="D2337" s="1" t="str">
        <f>"00685"</f>
        <v>00685</v>
      </c>
      <c r="E2337" s="1" t="s">
        <v>1190</v>
      </c>
      <c r="F2337" s="1">
        <v>15</v>
      </c>
      <c r="G2337" s="1">
        <v>4</v>
      </c>
      <c r="H2337" s="1">
        <v>2</v>
      </c>
      <c r="I2337" s="1" t="s">
        <v>1747</v>
      </c>
      <c r="K2337" s="1" t="str">
        <f t="shared" si="150"/>
        <v>ㄆ</v>
      </c>
      <c r="L2337" s="1" t="str">
        <f t="shared" si="151"/>
        <v>ㄠ</v>
      </c>
      <c r="N2337" s="3" t="s">
        <v>30575</v>
      </c>
      <c r="O2337" s="3"/>
      <c r="P2337" s="1" t="s">
        <v>20</v>
      </c>
      <c r="R2337" s="1" t="s">
        <v>1748</v>
      </c>
      <c r="V2337" s="1" t="s">
        <v>1775</v>
      </c>
      <c r="W2337" s="1" t="s">
        <v>1776</v>
      </c>
      <c r="AR2337" s="1" t="str">
        <f t="shared" si="149"/>
        <v>| [ㄆㄠˊ](ㄆㄠˊ.md) | [麃](麃.md) |  | páo | [名]
1.動物名。哺乳綱偶蹄目獐鹿屬。大眼睛大耳朵，頸長尾短，後肢比前肢略長，臀部灰白色。雄的頭頂長角。食野果、青草、菌類等，分布於歐、亞兩洲。肉可吃，毛皮可做墊褥、皮革等。也稱為「獐麃」。
2.麋鹿。《史記．卷一二．孝武本紀》：「其明年，郊雍，獲一角獸，若麃然。」裴駰集解引韋昭曰：「楚人謂麋為麃。」 |</v>
      </c>
    </row>
    <row r="2338" spans="1:44" hidden="1">
      <c r="A2338" s="1" t="s">
        <v>1765</v>
      </c>
      <c r="C2338" s="1">
        <v>1</v>
      </c>
      <c r="D2338" s="1" t="str">
        <f>"00686"</f>
        <v>00686</v>
      </c>
      <c r="E2338" s="1" t="s">
        <v>77</v>
      </c>
      <c r="F2338" s="1">
        <v>12</v>
      </c>
      <c r="G2338" s="1">
        <v>5</v>
      </c>
      <c r="H2338" s="1">
        <v>1</v>
      </c>
      <c r="I2338" s="1" t="s">
        <v>1777</v>
      </c>
      <c r="K2338" s="1" t="str">
        <f t="shared" si="150"/>
        <v>ㄆ</v>
      </c>
      <c r="L2338" s="1" t="str">
        <f t="shared" si="151"/>
        <v>ㄠ</v>
      </c>
      <c r="N2338" s="3" t="s">
        <v>30576</v>
      </c>
      <c r="O2338" s="3"/>
      <c r="P2338" s="1" t="s">
        <v>20</v>
      </c>
      <c r="R2338" s="1" t="s">
        <v>1778</v>
      </c>
      <c r="V2338" s="1" t="s">
        <v>1779</v>
      </c>
      <c r="W2338" s="1" t="s">
        <v>1780</v>
      </c>
      <c r="AR2338" s="1" t="str">
        <f t="shared" si="149"/>
        <v>| [ㄆㄠˇ](ㄆㄠˇ.md) | [跑](跑.md) |  | pǎo | [動]
1.快走。如：「長跑」、「短跑」。
2.逃走、躲避。如：「跑掉」、「逃跑」、「跑得了和尚，跑不了廟。」
3.往、到。如：「你們都跑這兒來了。」《老殘遊記》第二〇回：「我們都是齊河縣人，跑到這省裡，受他們這種氣，真受不住！」
4.物體離開應當的位置。如：「風把我的帽子吹跑了。」
5.為某事奔走忙碌。如：「跑新聞」、「跑生意」、「跑碼頭」、「跑單幫」。
6.走運。《儒林外史》第二回：「李老爹這幾年在新任老爺手裡著實跑起來了，怕不一年要尋千把銀子。」 |</v>
      </c>
    </row>
    <row r="2339" spans="1:44" hidden="1">
      <c r="A2339" s="1" t="s">
        <v>1802</v>
      </c>
      <c r="C2339" s="1">
        <v>1</v>
      </c>
      <c r="D2339" s="1" t="str">
        <f>"00695"</f>
        <v>00695</v>
      </c>
      <c r="E2339" s="1" t="s">
        <v>24</v>
      </c>
      <c r="F2339" s="1">
        <v>7</v>
      </c>
      <c r="G2339" s="1">
        <v>4</v>
      </c>
      <c r="H2339" s="1">
        <v>0</v>
      </c>
      <c r="I2339" s="1" t="s">
        <v>1803</v>
      </c>
      <c r="K2339" s="1" t="str">
        <f t="shared" si="150"/>
        <v>ㄆ</v>
      </c>
      <c r="L2339" s="1" t="str">
        <f t="shared" si="151"/>
        <v>ㄡ</v>
      </c>
      <c r="N2339" s="3" t="s">
        <v>30575</v>
      </c>
      <c r="O2339" s="3"/>
      <c r="P2339" s="1" t="s">
        <v>20</v>
      </c>
      <c r="R2339" s="1" t="s">
        <v>1804</v>
      </c>
      <c r="V2339" s="1" t="s">
        <v>1805</v>
      </c>
      <c r="AR2339" s="1" t="str">
        <f t="shared" si="149"/>
        <v>| [ㄆㄡˊ](ㄆㄡˊ.md) | [抔](抔.md) |  | póu | [動]
用雙手捧物。《廣韻．平聲．侯韻》：「抔，手掬物也。」如：「抔土」、「抔飲」。
[名]
量詞。計算雙手捧取物品的單位。相當於「捧」、「握」、「把」。《漢書．卷五〇．張釋之傳》：「假令愚民取長陵一抔土，陛下且何以加其法虖？」唐．劉禹錫〈平蔡州〉詩三首之三：「妖童擢髮不足數，血汙城西一抔土。」 |</v>
      </c>
    </row>
    <row r="2340" spans="1:44" hidden="1">
      <c r="A2340" s="1" t="s">
        <v>1806</v>
      </c>
      <c r="C2340" s="1">
        <v>1</v>
      </c>
      <c r="D2340" s="1" t="str">
        <f>"00696"</f>
        <v>00696</v>
      </c>
      <c r="E2340" s="1" t="s">
        <v>24</v>
      </c>
      <c r="F2340" s="1">
        <v>10</v>
      </c>
      <c r="G2340" s="1">
        <v>7</v>
      </c>
      <c r="H2340" s="1">
        <v>0</v>
      </c>
      <c r="I2340" s="1" t="s">
        <v>1803</v>
      </c>
      <c r="K2340" s="1" t="str">
        <f t="shared" si="150"/>
        <v>ㄆ</v>
      </c>
      <c r="L2340" s="1" t="str">
        <f t="shared" si="151"/>
        <v>ㄡ</v>
      </c>
      <c r="N2340" s="3" t="s">
        <v>30575</v>
      </c>
      <c r="O2340" s="3"/>
      <c r="P2340" s="1" t="s">
        <v>20</v>
      </c>
      <c r="R2340" s="1" t="s">
        <v>1804</v>
      </c>
      <c r="V2340" s="1" t="s">
        <v>1807</v>
      </c>
      <c r="AR2340" s="1" t="str">
        <f t="shared" si="149"/>
        <v>| [ㄆㄡˊ](ㄆㄡˊ.md) | [捊](捊.md) |  | póu | [動]
引聚、聚集。《詩經．大雅．綿》「捄之陾陾，度之薨薨」句下漢．鄭玄．箋：「捄，捊也。」唐．孔穎達．正義：「《說文》云：『捊，引取也。』故以捄為捊，言捊取壤土。」 |</v>
      </c>
    </row>
    <row r="2341" spans="1:44" hidden="1">
      <c r="A2341" s="1" t="s">
        <v>1808</v>
      </c>
      <c r="C2341" s="1">
        <v>1</v>
      </c>
      <c r="D2341" s="1" t="str">
        <f>"00697"</f>
        <v>00697</v>
      </c>
      <c r="E2341" s="1" t="s">
        <v>24</v>
      </c>
      <c r="F2341" s="1">
        <v>11</v>
      </c>
      <c r="G2341" s="1">
        <v>8</v>
      </c>
      <c r="H2341" s="1">
        <v>1</v>
      </c>
      <c r="I2341" s="1" t="s">
        <v>1803</v>
      </c>
      <c r="K2341" s="1" t="str">
        <f t="shared" si="150"/>
        <v>ㄆ</v>
      </c>
      <c r="L2341" s="1" t="str">
        <f t="shared" si="151"/>
        <v>ㄡ</v>
      </c>
      <c r="N2341" s="3" t="s">
        <v>30575</v>
      </c>
      <c r="O2341" s="3"/>
      <c r="P2341" s="1" t="s">
        <v>20</v>
      </c>
      <c r="R2341" s="1" t="s">
        <v>1804</v>
      </c>
      <c r="V2341" s="1" t="s">
        <v>1809</v>
      </c>
      <c r="W2341" s="1" t="s">
        <v>1810</v>
      </c>
      <c r="AR2341" s="1" t="str">
        <f t="shared" si="149"/>
        <v>| [ㄆㄡˊ](ㄆㄡˊ.md) | [掊](掊.md) |  | póu | [動]
1.用手或工具挖土。如：「掊坑」、「掊洞」。《新唐書．卷五三．食貨志三》：「大和初，歲旱河涸，掊沙而進，米多耗，抵死甚眾。」
2.聚斂、搜括。《新唐書．卷一二九．嚴挺之傳》：「蜀雖號富饒，而峻掊亟斂，閭里為空。」
[名]
量詞。計算雙手捧取物品的單位。通「抔」。漢．王充《論衡．譋時》：「如泰山失火，沃以一杯之水；河決千里，塞以一掊之土，能勝之乎？」 |</v>
      </c>
    </row>
    <row r="2342" spans="1:44" hidden="1">
      <c r="A2342" s="1" t="s">
        <v>1811</v>
      </c>
      <c r="C2342" s="1">
        <v>1</v>
      </c>
      <c r="D2342" s="1" t="str">
        <f>"00698"</f>
        <v>00698</v>
      </c>
      <c r="E2342" s="1" t="s">
        <v>340</v>
      </c>
      <c r="F2342" s="1">
        <v>13</v>
      </c>
      <c r="G2342" s="1">
        <v>7</v>
      </c>
      <c r="H2342" s="1">
        <v>0</v>
      </c>
      <c r="I2342" s="1" t="s">
        <v>1803</v>
      </c>
      <c r="K2342" s="1" t="str">
        <f t="shared" si="150"/>
        <v>ㄆ</v>
      </c>
      <c r="L2342" s="1" t="str">
        <f t="shared" si="151"/>
        <v>ㄡ</v>
      </c>
      <c r="N2342" s="3" t="s">
        <v>30575</v>
      </c>
      <c r="O2342" s="3"/>
      <c r="P2342" s="1" t="s">
        <v>20</v>
      </c>
      <c r="R2342" s="1" t="s">
        <v>1804</v>
      </c>
      <c r="V2342" s="1" t="s">
        <v>1812</v>
      </c>
      <c r="AR2342" s="1" t="str">
        <f t="shared" si="149"/>
        <v>| [ㄆㄡˊ](ㄆㄡˊ.md) | [裒](裒.md) |  | póu | [動]
1.聚集。《詩經．小雅．常棣》：「原隰裒矣，兄弟求矣。」漢．毛亨．傳：「裒，聚也。」《續資治通鑑．卷八六．宋紀八十六．哲宗元符三年》：「盡裒所編類文書，納之禁中。」
2.減去。參見「裒多益寡」條。
3.俘虜。《詩經．商頌．殷武》：「深入其阻，裒荊之旅。」漢．鄭玄．箋：「克其軍率而俘虜其士眾。」
[形]
眾多。《詩經．周頌．般》：「敷天之下，裒時之對，時周之命。」漢．鄭玄．箋：「裒，眾也。」 |</v>
      </c>
    </row>
    <row r="2343" spans="1:44" hidden="1">
      <c r="A2343" s="1" t="s">
        <v>1798</v>
      </c>
      <c r="C2343" s="1">
        <v>1</v>
      </c>
      <c r="D2343" s="1" t="str">
        <f>"00699"</f>
        <v>00699</v>
      </c>
      <c r="E2343" s="1" t="s">
        <v>185</v>
      </c>
      <c r="F2343" s="1">
        <v>10</v>
      </c>
      <c r="G2343" s="1">
        <v>8</v>
      </c>
      <c r="H2343" s="1">
        <v>1</v>
      </c>
      <c r="I2343" s="1" t="s">
        <v>1813</v>
      </c>
      <c r="K2343" s="1" t="str">
        <f t="shared" si="150"/>
        <v>ㄆ</v>
      </c>
      <c r="L2343" s="1" t="str">
        <f t="shared" si="151"/>
        <v>ㄡ</v>
      </c>
      <c r="N2343" s="3" t="s">
        <v>30576</v>
      </c>
      <c r="O2343" s="3"/>
      <c r="P2343" s="1" t="s">
        <v>20</v>
      </c>
      <c r="R2343" s="1" t="s">
        <v>1814</v>
      </c>
      <c r="V2343" s="1" t="s">
        <v>1815</v>
      </c>
      <c r="W2343" s="1" t="s">
        <v>1816</v>
      </c>
      <c r="AR2343" s="1" t="str">
        <f t="shared" si="149"/>
        <v>| [ㄆㄡˇ](ㄆㄡˇ.md) | [剖](剖.md) |  | pǒu | [動]
1.中分、從中間分開。《漢書．卷一．高帝紀下》：「甲申，始剖符封功，臣曹參等為通侯。」
2.破開。如：「剖腹」、「解剖」。《莊子．盜跖》：「子胥沉江，比干剖心。」
3.分析、辨明。如：「剖析」、「剖白」。《文選．張衡．思玄賦》：「通人闇於好惡兮，豈昏惑而能剖？」唐．李善．注：「剖，分明也。」
4.研磨、治理。《楚辭．東方朔．七諫．謬諫》：「和抱璞而泣血兮，安得良工而剖之。」 |</v>
      </c>
    </row>
    <row r="2344" spans="1:44" hidden="1">
      <c r="A2344" s="1" t="s">
        <v>1697</v>
      </c>
      <c r="C2344" s="1">
        <v>1</v>
      </c>
      <c r="D2344" s="1" t="str">
        <f>"00700"</f>
        <v>00700</v>
      </c>
      <c r="E2344" s="1" t="s">
        <v>132</v>
      </c>
      <c r="F2344" s="1">
        <v>11</v>
      </c>
      <c r="G2344" s="1">
        <v>8</v>
      </c>
      <c r="H2344" s="1">
        <v>2</v>
      </c>
      <c r="I2344" s="1" t="s">
        <v>1813</v>
      </c>
      <c r="K2344" s="1" t="str">
        <f t="shared" si="150"/>
        <v>ㄆ</v>
      </c>
      <c r="L2344" s="1" t="str">
        <f t="shared" si="151"/>
        <v>ㄡ</v>
      </c>
      <c r="N2344" s="3" t="s">
        <v>30576</v>
      </c>
      <c r="O2344" s="3"/>
      <c r="P2344" s="1" t="s">
        <v>20</v>
      </c>
      <c r="R2344" s="1" t="s">
        <v>1814</v>
      </c>
      <c r="V2344" s="1" t="s">
        <v>1817</v>
      </c>
      <c r="W2344" s="1" t="s">
        <v>1818</v>
      </c>
      <c r="AR2344" s="1" t="str">
        <f t="shared" si="149"/>
        <v>| [ㄆㄡˇ](ㄆㄡˇ.md) | [培](培.md) |  | pǒu | [名]
1.墳墓、小土丘。漢．揚雄《方言》卷一三：「冢，秦晉之間謂之墳，或謂之培。」
2.田側。《呂氏春秋．士容論．辯士》：「高培則拔。」漢．高誘．注：「培，田側也。」 |</v>
      </c>
    </row>
    <row r="2345" spans="1:44" hidden="1">
      <c r="A2345" s="1" t="s">
        <v>1808</v>
      </c>
      <c r="C2345" s="1">
        <v>1</v>
      </c>
      <c r="D2345" s="1" t="str">
        <f>"00701"</f>
        <v>00701</v>
      </c>
      <c r="E2345" s="1" t="s">
        <v>24</v>
      </c>
      <c r="F2345" s="1">
        <v>11</v>
      </c>
      <c r="G2345" s="1">
        <v>8</v>
      </c>
      <c r="H2345" s="1">
        <v>2</v>
      </c>
      <c r="I2345" s="1" t="s">
        <v>1813</v>
      </c>
      <c r="K2345" s="1" t="str">
        <f t="shared" si="150"/>
        <v>ㄆ</v>
      </c>
      <c r="L2345" s="1" t="str">
        <f t="shared" si="151"/>
        <v>ㄡ</v>
      </c>
      <c r="N2345" s="3" t="s">
        <v>30576</v>
      </c>
      <c r="O2345" s="3"/>
      <c r="P2345" s="1" t="s">
        <v>20</v>
      </c>
      <c r="R2345" s="1" t="s">
        <v>1814</v>
      </c>
      <c r="V2345" s="1" t="s">
        <v>1819</v>
      </c>
      <c r="W2345" s="1" t="s">
        <v>1820</v>
      </c>
      <c r="AR2345" s="1" t="str">
        <f t="shared" si="149"/>
        <v>| [ㄆㄡˇ](ㄆㄡˇ.md) | [掊](掊.md) |  | pǒu | [動]
1.打破、擊破。如：「掊斗折衡」。《莊子．逍遙遊》：「吾為其無用而掊之。」
2.打擊、抨擊。《莊子．胠篋》：「掊擊聖人，縱舍盜賊，而天下始治矣。」 |</v>
      </c>
    </row>
    <row r="2346" spans="1:44" hidden="1">
      <c r="A2346" s="1" t="s">
        <v>819</v>
      </c>
      <c r="C2346" s="1">
        <v>1</v>
      </c>
      <c r="D2346" s="1" t="str">
        <f>"00702"</f>
        <v>00702</v>
      </c>
      <c r="E2346" s="1" t="s">
        <v>139</v>
      </c>
      <c r="F2346" s="1">
        <v>12</v>
      </c>
      <c r="G2346" s="1">
        <v>8</v>
      </c>
      <c r="H2346" s="1">
        <v>1</v>
      </c>
      <c r="I2346" s="1" t="s">
        <v>1813</v>
      </c>
      <c r="K2346" s="1" t="str">
        <f t="shared" si="150"/>
        <v>ㄆ</v>
      </c>
      <c r="L2346" s="1" t="str">
        <f t="shared" si="151"/>
        <v>ㄡ</v>
      </c>
      <c r="N2346" s="3" t="s">
        <v>30576</v>
      </c>
      <c r="O2346" s="3"/>
      <c r="P2346" s="1" t="s">
        <v>20</v>
      </c>
      <c r="R2346" s="1" t="s">
        <v>1814</v>
      </c>
      <c r="V2346" s="1" t="s">
        <v>1821</v>
      </c>
      <c r="W2346" s="1" t="s">
        <v>1822</v>
      </c>
      <c r="AR2346" s="1" t="str">
        <f t="shared" si="149"/>
        <v>| [ㄆㄡˇ](ㄆㄡˇ.md) | [棓](棓.md) |  | pǒu | [名]_x000D_
古人自高而下，鋪在懸絕不平處的踏板，作為墊腳之用。《公羊傳．成公二年》：「踊于棓而闚客。」漢．何休．解詁：「凡無高下，有絕，加躡板，曰棓。齊人語。」 |</v>
      </c>
    </row>
    <row r="2347" spans="1:44" hidden="1">
      <c r="A2347" s="1" t="s">
        <v>1823</v>
      </c>
      <c r="C2347" s="1">
        <v>1</v>
      </c>
      <c r="D2347" s="1" t="str">
        <f>"00703"</f>
        <v>00703</v>
      </c>
      <c r="E2347" s="1" t="s">
        <v>1824</v>
      </c>
      <c r="F2347" s="1">
        <v>13</v>
      </c>
      <c r="G2347" s="1">
        <v>8</v>
      </c>
      <c r="H2347" s="1">
        <v>0</v>
      </c>
      <c r="I2347" s="1" t="s">
        <v>1813</v>
      </c>
      <c r="K2347" s="1" t="str">
        <f t="shared" si="150"/>
        <v>ㄆ</v>
      </c>
      <c r="L2347" s="1" t="str">
        <f t="shared" si="151"/>
        <v>ㄡ</v>
      </c>
      <c r="N2347" s="3" t="s">
        <v>30576</v>
      </c>
      <c r="O2347" s="3"/>
      <c r="P2347" s="1" t="s">
        <v>20</v>
      </c>
      <c r="R2347" s="1" t="s">
        <v>1814</v>
      </c>
      <c r="V2347" s="1" t="s">
        <v>1825</v>
      </c>
      <c r="AR2347" s="1" t="str">
        <f t="shared" si="149"/>
        <v>| [ㄆㄡˇ](ㄆㄡˇ.md) | [瓿](瓿.md) |  | pǒu | [名]
1.陶製小甕。《戰國策．東周策》：「夫鼎者，非效醯壺醬瓿耳，可懷挾提挈以至齊者。」
2.古代銅製器皿，圓腹、斂口、圈足，用以盛水酒。盛行於商周時期。 |</v>
      </c>
    </row>
    <row r="2348" spans="1:44" hidden="1">
      <c r="A2348" s="1" t="s">
        <v>1871</v>
      </c>
      <c r="C2348" s="1">
        <v>1</v>
      </c>
      <c r="D2348" s="1" t="str">
        <f>"00723"</f>
        <v>00723</v>
      </c>
      <c r="E2348" s="1" t="s">
        <v>185</v>
      </c>
      <c r="F2348" s="1">
        <v>7</v>
      </c>
      <c r="G2348" s="1">
        <v>5</v>
      </c>
      <c r="H2348" s="1">
        <v>0</v>
      </c>
      <c r="I2348" s="1" t="s">
        <v>1872</v>
      </c>
      <c r="K2348" s="1" t="str">
        <f t="shared" si="150"/>
        <v>ㄆ</v>
      </c>
      <c r="L2348" s="1" t="str">
        <f t="shared" si="151"/>
        <v>ㄢ</v>
      </c>
      <c r="N2348" s="3" t="s">
        <v>30574</v>
      </c>
      <c r="O2348" s="3"/>
      <c r="P2348" s="1" t="s">
        <v>20</v>
      </c>
      <c r="R2348" s="1" t="s">
        <v>1873</v>
      </c>
      <c r="V2348" s="1" t="s">
        <v>1874</v>
      </c>
      <c r="AR2348" s="1" t="str">
        <f t="shared" si="149"/>
        <v>| [ㄆㄢˋ](ㄆㄢˋ.md) | [判](判.md) |  | pàn | [動]
1.分、分開。唐．柳宗元〈封建論〉：「遂判為十二，合為七國。」
2.區別、分辨。《莊子．天下》：「判天地之美，析萬物之理。」
3.分明、辨明。如：「存亡未判」。宋．蘇洵〈六國論〉：「故不戰而強弱勝負已判矣。」
4.決斷是非曲直。如：「審判」、「判刑」、「判案」。
5.古稱高位兼低職或出任地方官。如唐代宰相判六軍十二衛事，宋以宰相判樞密院。《宋史．卷三一二．韓琦傳》：「除鎮安武勝軍節度使、司徒兼侍中、判相州。」
[名]
1.審判訴訟的判決文書。《新唐書．卷一二六．李元紘傳》：「元紘大署判後曰：『南山可移，判不可搖也。』」
2.斷語。《紅樓夢》第五回：「後面便是一座古廟，裡面有一美人在內獨坐看經。其判云：『勘破三春景不長，緇衣頓改昔年妝。可憐繡戶侯門女，獨臥青燈古佛旁。』」
3.文體的一種。仿判獄的文詞，可見其推理、辯駁的能力。科舉取士，亦以試判。清．徐師曾《文體明辨序說．判》：「今世理官斷獄，例有參詞，而設科取士，亦試以判，其體皆用四六，則其習由來久矣。」
[形]
分別的樣子。如：「判然有別」。 |</v>
      </c>
    </row>
    <row r="2349" spans="1:44" hidden="1">
      <c r="A2349" s="1" t="s">
        <v>1875</v>
      </c>
      <c r="C2349" s="1">
        <v>1</v>
      </c>
      <c r="D2349" s="1" t="str">
        <f>"00724"</f>
        <v>00724</v>
      </c>
      <c r="E2349" s="1" t="s">
        <v>129</v>
      </c>
      <c r="F2349" s="1">
        <v>8</v>
      </c>
      <c r="G2349" s="1">
        <v>5</v>
      </c>
      <c r="H2349" s="1">
        <v>0</v>
      </c>
      <c r="I2349" s="1" t="s">
        <v>1872</v>
      </c>
      <c r="K2349" s="1" t="str">
        <f t="shared" si="150"/>
        <v>ㄆ</v>
      </c>
      <c r="L2349" s="1" t="str">
        <f t="shared" si="151"/>
        <v>ㄢ</v>
      </c>
      <c r="N2349" s="3" t="s">
        <v>30574</v>
      </c>
      <c r="O2349" s="3"/>
      <c r="P2349" s="1" t="s">
        <v>20</v>
      </c>
      <c r="R2349" s="1" t="s">
        <v>1873</v>
      </c>
      <c r="V2349" s="1" t="s">
        <v>1876</v>
      </c>
      <c r="AR2349" s="1" t="str">
        <f t="shared" si="149"/>
        <v>| [ㄆㄢˋ](ㄆㄢˋ.md) | [泮](泮.md) |  | pàn | [動]
1.冰解凍。《詩經．邶風．匏有苦葉》：「士如歸妻，迨冰未泮。」
2.分開、分別。《史記．卷九七．陸賈傳》：「自天地剖泮未始有也。」
[名]
1.古代天子、諸侯舉行宴會的宮殿。《詩經．魯頌．泮水》：「魯侯戾止，在泮飲酒。」
2.古代的學校。如：「泮宮」。《聊齋志異．卷二．嬰寧》：「王子服，莒之羅店人。早孤。絕惠，十四入泮。」 |</v>
      </c>
    </row>
    <row r="2350" spans="1:44" hidden="1">
      <c r="A2350" s="1" t="s">
        <v>721</v>
      </c>
      <c r="C2350" s="1">
        <v>1</v>
      </c>
      <c r="D2350" s="1" t="str">
        <f>"00725"</f>
        <v>00725</v>
      </c>
      <c r="E2350" s="1" t="s">
        <v>24</v>
      </c>
      <c r="F2350" s="1">
        <v>8</v>
      </c>
      <c r="G2350" s="1">
        <v>5</v>
      </c>
      <c r="H2350" s="1">
        <v>2</v>
      </c>
      <c r="I2350" s="1" t="s">
        <v>1872</v>
      </c>
      <c r="K2350" s="1" t="str">
        <f t="shared" si="150"/>
        <v>ㄆ</v>
      </c>
      <c r="L2350" s="1" t="str">
        <f t="shared" si="151"/>
        <v>ㄢ</v>
      </c>
      <c r="N2350" s="3" t="s">
        <v>30574</v>
      </c>
      <c r="O2350" s="3"/>
      <c r="P2350" s="1" t="s">
        <v>20</v>
      </c>
      <c r="R2350" s="1" t="s">
        <v>1873</v>
      </c>
      <c r="V2350" s="1" t="s">
        <v>1877</v>
      </c>
      <c r="W2350" s="1" t="s">
        <v>1878</v>
      </c>
      <c r="AR2350" s="1" t="str">
        <f t="shared" si="149"/>
        <v>| [ㄆㄢˋ](ㄆㄢˋ.md) | [拌](拌.md) |  | pàn | [動]
1.捐棄、捨棄。同「拚」。漢．揚雄《方言》卷一〇：「拌，棄也。楚凡揮棄物謂之拌。」
2.分開、割開。通「判」。《呂氏春秋．仲秋紀．論威》：「今以木擊木則拌，以水投水則散。」《史記．卷一二八．褚少孫補．龜策傳》：「鐫石拌蚌，傳賣於市。」唐．司馬貞．索隱：「拌音判。判，割也。」 |</v>
      </c>
    </row>
    <row r="2351" spans="1:44" hidden="1">
      <c r="A2351" s="1" t="s">
        <v>1879</v>
      </c>
      <c r="C2351" s="1">
        <v>1</v>
      </c>
      <c r="D2351" s="1" t="str">
        <f>"00726"</f>
        <v>00726</v>
      </c>
      <c r="E2351" s="1" t="s">
        <v>1880</v>
      </c>
      <c r="F2351" s="1">
        <v>9</v>
      </c>
      <c r="G2351" s="1">
        <v>7</v>
      </c>
      <c r="H2351" s="1">
        <v>0</v>
      </c>
      <c r="I2351" s="1" t="s">
        <v>1872</v>
      </c>
      <c r="K2351" s="1" t="str">
        <f t="shared" si="150"/>
        <v>ㄆ</v>
      </c>
      <c r="L2351" s="1" t="str">
        <f t="shared" si="151"/>
        <v>ㄢ</v>
      </c>
      <c r="N2351" s="3" t="s">
        <v>30574</v>
      </c>
      <c r="O2351" s="3"/>
      <c r="P2351" s="1" t="s">
        <v>20</v>
      </c>
      <c r="R2351" s="1" t="s">
        <v>1873</v>
      </c>
      <c r="V2351" s="1" t="s">
        <v>1881</v>
      </c>
      <c r="AR2351" s="1" t="str">
        <f t="shared" si="149"/>
        <v>| [ㄆㄢˋ](ㄆㄢˋ.md) | [叛](叛.md) |  | pàn | [動]
背離、違反。如：「叛國」、「叛亂」、「背叛」、「反叛」。《左傳．隱公四年》：「眾叛親離，難以濟矣。」唐．李白〈猛虎行〉：「一輸一失關下兵，朝降夕叛幽薊城。」 |</v>
      </c>
    </row>
    <row r="2352" spans="1:44" hidden="1">
      <c r="A2352" s="1" t="s">
        <v>1840</v>
      </c>
      <c r="C2352" s="1">
        <v>1</v>
      </c>
      <c r="D2352" s="1" t="str">
        <f>"00727"</f>
        <v>00727</v>
      </c>
      <c r="E2352" s="1" t="s">
        <v>139</v>
      </c>
      <c r="F2352" s="1">
        <v>9</v>
      </c>
      <c r="G2352" s="1">
        <v>5</v>
      </c>
      <c r="H2352" s="1">
        <v>2</v>
      </c>
      <c r="I2352" s="1" t="s">
        <v>1872</v>
      </c>
      <c r="K2352" s="1" t="str">
        <f t="shared" si="150"/>
        <v>ㄆ</v>
      </c>
      <c r="L2352" s="1" t="str">
        <f t="shared" si="151"/>
        <v>ㄢ</v>
      </c>
      <c r="N2352" s="3" t="s">
        <v>30574</v>
      </c>
      <c r="O2352" s="3"/>
      <c r="P2352" s="1" t="s">
        <v>20</v>
      </c>
      <c r="R2352" s="1" t="s">
        <v>1873</v>
      </c>
      <c r="V2352" s="1" t="s">
        <v>1882</v>
      </c>
      <c r="W2352" s="1" t="s">
        <v>1883</v>
      </c>
      <c r="AR2352" s="1" t="str">
        <f t="shared" si="149"/>
        <v>| [ㄆㄢˋ](ㄆㄢˋ.md) | [柈](柈.md) |  | pàn | [名]
古書上一種樹木。宋．司馬光《類篇．卷一六．柈》：「柈，木名。」 |</v>
      </c>
    </row>
    <row r="2353" spans="1:44" hidden="1">
      <c r="A2353" s="1" t="s">
        <v>1884</v>
      </c>
      <c r="C2353" s="1">
        <v>1</v>
      </c>
      <c r="D2353" s="1" t="str">
        <f>"00728"</f>
        <v>00728</v>
      </c>
      <c r="E2353" s="1" t="s">
        <v>698</v>
      </c>
      <c r="F2353" s="1">
        <v>9</v>
      </c>
      <c r="G2353" s="1">
        <v>5</v>
      </c>
      <c r="H2353" s="1">
        <v>0</v>
      </c>
      <c r="I2353" s="1" t="s">
        <v>1872</v>
      </c>
      <c r="K2353" s="1" t="str">
        <f t="shared" si="150"/>
        <v>ㄆ</v>
      </c>
      <c r="L2353" s="1" t="str">
        <f t="shared" si="151"/>
        <v>ㄢ</v>
      </c>
      <c r="N2353" s="3" t="s">
        <v>30574</v>
      </c>
      <c r="O2353" s="3"/>
      <c r="P2353" s="1" t="s">
        <v>20</v>
      </c>
      <c r="R2353" s="1" t="s">
        <v>1873</v>
      </c>
      <c r="V2353" s="1" t="s">
        <v>1885</v>
      </c>
      <c r="AR2353" s="1" t="str">
        <f t="shared" si="149"/>
        <v>| [ㄆㄢˋ](ㄆㄢˋ.md) | [牉](牉.md) |  | pàn | [動]
分開、分離。同「判」。《楚辭．屈原．九章．惜誦》：「背膺牉以交痛兮，心鬱結而紆軫。」
[名]
一半。多被借來指夫婦中的任何一方。參見「牉合」條。 |</v>
      </c>
    </row>
    <row r="2354" spans="1:44" hidden="1">
      <c r="A2354" s="1" t="s">
        <v>1886</v>
      </c>
      <c r="C2354" s="1">
        <v>1</v>
      </c>
      <c r="D2354" s="1" t="str">
        <f>"00729"</f>
        <v>00729</v>
      </c>
      <c r="E2354" s="1" t="s">
        <v>340</v>
      </c>
      <c r="F2354" s="1">
        <v>11</v>
      </c>
      <c r="G2354" s="1">
        <v>5</v>
      </c>
      <c r="H2354" s="1">
        <v>1</v>
      </c>
      <c r="I2354" s="1" t="s">
        <v>1872</v>
      </c>
      <c r="K2354" s="1" t="str">
        <f t="shared" si="150"/>
        <v>ㄆ</v>
      </c>
      <c r="L2354" s="1" t="str">
        <f t="shared" si="151"/>
        <v>ㄢ</v>
      </c>
      <c r="N2354" s="3" t="s">
        <v>30574</v>
      </c>
      <c r="O2354" s="3"/>
      <c r="P2354" s="1" t="s">
        <v>20</v>
      </c>
      <c r="R2354" s="1" t="s">
        <v>1873</v>
      </c>
      <c r="V2354" s="1" t="s">
        <v>1887</v>
      </c>
      <c r="W2354" s="1" t="s">
        <v>1888</v>
      </c>
      <c r="AR2354" s="1" t="str">
        <f t="shared" si="149"/>
        <v>| [ㄆㄢˋ](ㄆㄢˋ.md) | [袢](袢.md) |  | pàn | [名]
白色的內衣。《詩經．鄘風．君子偕老》：「蒙彼縐絺，是紲袢也。」
[形]
炎熱。宋．范成大〈夔門即事〉詩：「峽行風物不堪論，袢暑驕陽雜瘴氛。」 |</v>
      </c>
    </row>
    <row r="2355" spans="1:44" hidden="1">
      <c r="A2355" s="1" t="s">
        <v>1889</v>
      </c>
      <c r="C2355" s="1">
        <v>1</v>
      </c>
      <c r="D2355" s="1" t="str">
        <f>"00730"</f>
        <v>00730</v>
      </c>
      <c r="E2355" s="1" t="s">
        <v>753</v>
      </c>
      <c r="F2355" s="1">
        <v>10</v>
      </c>
      <c r="G2355" s="1">
        <v>5</v>
      </c>
      <c r="H2355" s="1">
        <v>0</v>
      </c>
      <c r="I2355" s="1" t="s">
        <v>1872</v>
      </c>
      <c r="K2355" s="1" t="str">
        <f t="shared" si="150"/>
        <v>ㄆ</v>
      </c>
      <c r="L2355" s="1" t="str">
        <f t="shared" si="151"/>
        <v>ㄢ</v>
      </c>
      <c r="N2355" s="3" t="s">
        <v>30574</v>
      </c>
      <c r="O2355" s="3"/>
      <c r="P2355" s="1" t="s">
        <v>20</v>
      </c>
      <c r="R2355" s="1" t="s">
        <v>1873</v>
      </c>
      <c r="V2355" s="1" t="s">
        <v>1890</v>
      </c>
      <c r="AR2355" s="1" t="str">
        <f t="shared" si="149"/>
        <v>| [ㄆㄢˋ](ㄆㄢˋ.md) | [畔](畔.md) |  | pàn | [名]
1.田界。《左傳．襄公二十五年》：「行無越思，如農之有畔。」
2.邊側、旁側。如：「湖畔」、「枕畔」、「橋畔」。《文選．古詩十九首．青青河畔草》：「青青河畔草，鬱鬱園中柳。」
[動]
違背、背叛。同「叛」。《論語．雍也》：「君子博學於文，約之以禮，亦可以弗畔矣夫。」《漢書．卷一．高帝紀上》：「及聞漢王并關中，而齊、梁畔之，羽大怒。」 |</v>
      </c>
    </row>
    <row r="2356" spans="1:44" hidden="1">
      <c r="A2356" s="1" t="s">
        <v>1891</v>
      </c>
      <c r="C2356" s="1">
        <v>1</v>
      </c>
      <c r="D2356" s="1" t="str">
        <f>"00731"</f>
        <v>00731</v>
      </c>
      <c r="E2356" s="1" t="s">
        <v>684</v>
      </c>
      <c r="F2356" s="1">
        <v>14</v>
      </c>
      <c r="G2356" s="1">
        <v>5</v>
      </c>
      <c r="H2356" s="1">
        <v>0</v>
      </c>
      <c r="I2356" s="1" t="s">
        <v>1872</v>
      </c>
      <c r="K2356" s="1" t="str">
        <f t="shared" si="150"/>
        <v>ㄆ</v>
      </c>
      <c r="L2356" s="1" t="str">
        <f t="shared" si="151"/>
        <v>ㄢ</v>
      </c>
      <c r="N2356" s="3" t="s">
        <v>30574</v>
      </c>
      <c r="O2356" s="3"/>
      <c r="P2356" s="1" t="s">
        <v>20</v>
      </c>
      <c r="R2356" s="1" t="s">
        <v>1873</v>
      </c>
      <c r="V2356" s="1" t="s">
        <v>1892</v>
      </c>
      <c r="AR2356" s="1" t="str">
        <f t="shared" si="149"/>
        <v>| [ㄆㄢˋ](ㄆㄢˋ.md) | [頖](頖.md) |  | pàn | 參見「頖宮」條。 |</v>
      </c>
    </row>
    <row r="2357" spans="1:44" hidden="1">
      <c r="A2357" s="1" t="s">
        <v>1893</v>
      </c>
      <c r="C2357" s="1">
        <v>1</v>
      </c>
      <c r="D2357" s="1" t="str">
        <f>"00732"</f>
        <v>00732</v>
      </c>
      <c r="E2357" s="1" t="s">
        <v>24</v>
      </c>
      <c r="F2357" s="1">
        <v>8</v>
      </c>
      <c r="G2357" s="1">
        <v>5</v>
      </c>
      <c r="H2357" s="1">
        <v>0</v>
      </c>
      <c r="I2357" s="1" t="s">
        <v>1872</v>
      </c>
      <c r="K2357" s="1" t="str">
        <f t="shared" si="150"/>
        <v>ㄆ</v>
      </c>
      <c r="L2357" s="1" t="str">
        <f t="shared" si="151"/>
        <v>ㄢ</v>
      </c>
      <c r="N2357" s="3" t="s">
        <v>30574</v>
      </c>
      <c r="O2357" s="3"/>
      <c r="P2357" s="1" t="s">
        <v>20</v>
      </c>
      <c r="R2357" s="1" t="s">
        <v>1873</v>
      </c>
      <c r="V2357" s="1" t="s">
        <v>1894</v>
      </c>
      <c r="AR2357" s="1" t="str">
        <f t="shared" si="149"/>
        <v>| [ㄆㄢˋ](ㄆㄢˋ.md) | [拚](拚.md) |  | pàn | [動]
1.捐棄。清．陳善〈蝶戀花．萬化途中〉詞：「噩夢中年拚怨斷。一往淒迷，事與浮雲幻。」
2.豁出去。如：「拚命」、「拚死」。
3.爭鬥。如：「拚個你死我活。」 |</v>
      </c>
    </row>
    <row r="2358" spans="1:44" hidden="1">
      <c r="A2358" s="1" t="s">
        <v>1895</v>
      </c>
      <c r="C2358" s="1">
        <v>1</v>
      </c>
      <c r="D2358" s="1" t="str">
        <f>"00733"</f>
        <v>00733</v>
      </c>
      <c r="E2358" s="1" t="s">
        <v>1015</v>
      </c>
      <c r="F2358" s="1">
        <v>9</v>
      </c>
      <c r="G2358" s="1">
        <v>4</v>
      </c>
      <c r="H2358" s="1">
        <v>0</v>
      </c>
      <c r="I2358" s="1" t="s">
        <v>1872</v>
      </c>
      <c r="K2358" s="1" t="str">
        <f t="shared" si="150"/>
        <v>ㄆ</v>
      </c>
      <c r="L2358" s="1" t="str">
        <f t="shared" si="151"/>
        <v>ㄢ</v>
      </c>
      <c r="N2358" s="3" t="s">
        <v>30574</v>
      </c>
      <c r="O2358" s="3"/>
      <c r="P2358" s="1" t="s">
        <v>20</v>
      </c>
      <c r="R2358" s="1" t="s">
        <v>1873</v>
      </c>
      <c r="V2358" s="1" t="s">
        <v>1896</v>
      </c>
      <c r="AR2358" s="1" t="str">
        <f t="shared" si="149"/>
        <v>| [ㄆㄢˋ](ㄆㄢˋ.md) | [盼](盼.md) |  | pàn | [形]
眼睛黑白分明。《說文解字．目部》：「盼，白黑分也。」《詩經．衛風．碩人》：「巧笑倩兮，美目盼兮。」
[動]
1.看。如：「左顧右盼」、「目略微盼」。
2.希望。如：「盼望」、「苦盼」。元．王實甫《西廂記．第一本．楔子》：「盼不到博陵舊塚，血淚灑杜鵑紅。」
3.眷顧。《宋書．卷四四．謝晦傳》：「臣昔因時幸，過蒙先眷，內聞政事，外經戎旅，與羨之、亮等同被齒盼。」 |</v>
      </c>
    </row>
    <row r="2359" spans="1:44" hidden="1">
      <c r="A2359" s="1" t="s">
        <v>1897</v>
      </c>
      <c r="C2359" s="1">
        <v>1</v>
      </c>
      <c r="D2359" s="1" t="str">
        <f>"00734"</f>
        <v>00734</v>
      </c>
      <c r="E2359" s="1" t="s">
        <v>340</v>
      </c>
      <c r="F2359" s="1">
        <v>25</v>
      </c>
      <c r="G2359" s="1">
        <v>19</v>
      </c>
      <c r="H2359" s="1">
        <v>0</v>
      </c>
      <c r="I2359" s="1" t="s">
        <v>1872</v>
      </c>
      <c r="K2359" s="1" t="str">
        <f t="shared" si="150"/>
        <v>ㄆ</v>
      </c>
      <c r="L2359" s="1" t="str">
        <f t="shared" si="151"/>
        <v>ㄢ</v>
      </c>
      <c r="N2359" s="3" t="s">
        <v>30574</v>
      </c>
      <c r="O2359" s="3"/>
      <c r="P2359" s="1" t="s">
        <v>20</v>
      </c>
      <c r="R2359" s="1" t="s">
        <v>1873</v>
      </c>
      <c r="V2359" s="1" t="s">
        <v>1898</v>
      </c>
      <c r="AR2359" s="1" t="str">
        <f t="shared" si="149"/>
        <v>| [ㄆㄢˋ](ㄆㄢˋ.md) | [襻](襻.md) |  | pàn | [名]
1.衣服上用布做成的鈕扣圈套。也稱為「紐襻兒」、「扣襻」。
2.與鈕襻形狀、作用相似的東西。如用人力拉車，套在肩上的布帶或皮帶。也稱為「襻帶」、「襻兒」。
[動]
縫、縫綴。如：「這被套裂了，麻煩襻上幾針。」 |</v>
      </c>
    </row>
    <row r="2360" spans="1:44" hidden="1">
      <c r="A2360" s="1" t="s">
        <v>1291</v>
      </c>
      <c r="C2360" s="1">
        <v>1</v>
      </c>
      <c r="D2360" s="1" t="str">
        <f>"00708"</f>
        <v>00708</v>
      </c>
      <c r="E2360" s="1" t="s">
        <v>1027</v>
      </c>
      <c r="F2360" s="1">
        <v>5</v>
      </c>
      <c r="G2360" s="1">
        <v>2</v>
      </c>
      <c r="H2360" s="1">
        <v>2</v>
      </c>
      <c r="I2360" s="1" t="s">
        <v>1836</v>
      </c>
      <c r="K2360" s="1" t="str">
        <f t="shared" si="150"/>
        <v>ㄆ</v>
      </c>
      <c r="L2360" s="1" t="str">
        <f t="shared" si="151"/>
        <v>ㄢ</v>
      </c>
      <c r="N2360" s="3" t="s">
        <v>30575</v>
      </c>
      <c r="O2360" s="3"/>
      <c r="P2360" s="1" t="s">
        <v>20</v>
      </c>
      <c r="R2360" s="1" t="s">
        <v>1837</v>
      </c>
      <c r="V2360" s="1" t="s">
        <v>1838</v>
      </c>
      <c r="W2360" s="1" t="s">
        <v>1839</v>
      </c>
      <c r="AR2360" s="1" t="str">
        <f t="shared" si="149"/>
        <v>| [ㄆㄢˊ](ㄆㄢˊ.md) | [弁](弁.md) |  | pán | [形]
樂、歡樂。《詩經．小雅．小弁》：「弁彼鸒斯，歸飛提提。」漢．毛亨．傳：「弁，樂也。」 |</v>
      </c>
    </row>
    <row r="2361" spans="1:44" hidden="1">
      <c r="A2361" s="1" t="s">
        <v>1840</v>
      </c>
      <c r="C2361" s="1">
        <v>1</v>
      </c>
      <c r="D2361" s="1" t="str">
        <f>"00709"</f>
        <v>00709</v>
      </c>
      <c r="E2361" s="1" t="s">
        <v>139</v>
      </c>
      <c r="F2361" s="1">
        <v>9</v>
      </c>
      <c r="G2361" s="1">
        <v>5</v>
      </c>
      <c r="H2361" s="1">
        <v>1</v>
      </c>
      <c r="I2361" s="1" t="s">
        <v>1836</v>
      </c>
      <c r="K2361" s="1" t="str">
        <f t="shared" si="150"/>
        <v>ㄆ</v>
      </c>
      <c r="L2361" s="1" t="str">
        <f t="shared" si="151"/>
        <v>ㄢ</v>
      </c>
      <c r="N2361" s="3" t="s">
        <v>30575</v>
      </c>
      <c r="O2361" s="3"/>
      <c r="P2361" s="1" t="s">
        <v>20</v>
      </c>
      <c r="R2361" s="1" t="s">
        <v>1837</v>
      </c>
      <c r="V2361" s="1" t="s">
        <v>1841</v>
      </c>
      <c r="W2361" s="1" t="s">
        <v>1842</v>
      </c>
      <c r="AR2361" s="1" t="str">
        <f t="shared" si="149"/>
        <v>| [ㄆㄢˊ](ㄆㄢˊ.md) | [柈](柈.md) |  | pán | [名]
盤子。同「盤」、「槃」。《南史．卷一五．劉穆之傳》：「穆之乃令廚人以金柈貯檳榔一斛以進之。」唐．杜甫〈十月一日〉詩：「蒸裹如千室，焦糟幸一柈。」 |</v>
      </c>
    </row>
    <row r="2362" spans="1:44" hidden="1">
      <c r="A2362" s="1" t="s">
        <v>1843</v>
      </c>
      <c r="C2362" s="1">
        <v>1</v>
      </c>
      <c r="D2362" s="1" t="str">
        <f>"00710"</f>
        <v>00710</v>
      </c>
      <c r="E2362" s="1" t="s">
        <v>68</v>
      </c>
      <c r="F2362" s="1">
        <v>9</v>
      </c>
      <c r="G2362" s="1">
        <v>5</v>
      </c>
      <c r="H2362" s="1">
        <v>2</v>
      </c>
      <c r="I2362" s="1" t="s">
        <v>1836</v>
      </c>
      <c r="K2362" s="1" t="str">
        <f t="shared" si="150"/>
        <v>ㄆ</v>
      </c>
      <c r="L2362" s="1" t="str">
        <f t="shared" si="151"/>
        <v>ㄢ</v>
      </c>
      <c r="N2362" s="3" t="s">
        <v>30575</v>
      </c>
      <c r="O2362" s="3"/>
      <c r="P2362" s="1" t="s">
        <v>20</v>
      </c>
      <c r="R2362" s="1" t="s">
        <v>1837</v>
      </c>
      <c r="V2362" s="1" t="s">
        <v>1844</v>
      </c>
      <c r="W2362" s="1" t="s">
        <v>1845</v>
      </c>
      <c r="AR2362" s="1" t="str">
        <f t="shared" si="149"/>
        <v>| [ㄆㄢˊ](ㄆㄢˊ.md) | [胖](胖.md) |  | pán | [形]
安泰寬舒。《禮記．大學》：「富潤屋，德潤身，心廣體胖。」 |</v>
      </c>
    </row>
    <row r="2363" spans="1:44" hidden="1">
      <c r="A2363" s="1" t="s">
        <v>180</v>
      </c>
      <c r="C2363" s="1">
        <v>1</v>
      </c>
      <c r="D2363" s="1" t="str">
        <f>"00711"</f>
        <v>00711</v>
      </c>
      <c r="E2363" s="1" t="s">
        <v>181</v>
      </c>
      <c r="F2363" s="1">
        <v>10</v>
      </c>
      <c r="G2363" s="1">
        <v>4</v>
      </c>
      <c r="H2363" s="1">
        <v>2</v>
      </c>
      <c r="I2363" s="1" t="s">
        <v>1836</v>
      </c>
      <c r="K2363" s="1" t="str">
        <f t="shared" si="150"/>
        <v>ㄆ</v>
      </c>
      <c r="L2363" s="1" t="str">
        <f t="shared" si="151"/>
        <v>ㄢ</v>
      </c>
      <c r="N2363" s="3" t="s">
        <v>30575</v>
      </c>
      <c r="O2363" s="3"/>
      <c r="P2363" s="1" t="s">
        <v>20</v>
      </c>
      <c r="R2363" s="1" t="s">
        <v>1837</v>
      </c>
      <c r="V2363" s="1" t="s">
        <v>1846</v>
      </c>
      <c r="W2363" s="1" t="s">
        <v>1847</v>
      </c>
      <c r="AR2363" s="1" t="str">
        <f t="shared" si="149"/>
        <v>| [ㄆㄢˊ](ㄆㄢˊ.md) | [般](般.md) |  | pán | [動]
1.般桓：徘徊、流連不進。《文選．傅毅．舞賦》：「或有宛足鬱怒，般桓不發。」唐．李善．注：「言馬按足緩步，鬱怒，氣遲留不發也。」也作「盤桓」。
2.喜、樂。《荀子．賦》：「忠臣危殆，讒人般矣。」
[副]
大。《孟子．公孫丑上》：「般樂怠敖，是自求禍也。」
[名]
《詩經．周頌》的篇名。共一章。根據〈詩序〉：「〈般〉，巡守而祀四嶽河海也。」指武王巡狩而祭河嶽之詩。本章二句為：「於皇時周，陟其高山。」 |</v>
      </c>
    </row>
    <row r="2364" spans="1:44" hidden="1">
      <c r="A2364" s="1" t="s">
        <v>1848</v>
      </c>
      <c r="C2364" s="1">
        <v>1</v>
      </c>
      <c r="D2364" s="1" t="str">
        <f>"00712"</f>
        <v>00712</v>
      </c>
      <c r="E2364" s="1" t="s">
        <v>222</v>
      </c>
      <c r="F2364" s="1">
        <v>13</v>
      </c>
      <c r="G2364" s="1">
        <v>10</v>
      </c>
      <c r="H2364" s="1">
        <v>0</v>
      </c>
      <c r="I2364" s="1" t="s">
        <v>1836</v>
      </c>
      <c r="K2364" s="1" t="str">
        <f t="shared" si="150"/>
        <v>ㄆ</v>
      </c>
      <c r="L2364" s="1" t="str">
        <f t="shared" si="151"/>
        <v>ㄢ</v>
      </c>
      <c r="N2364" s="3" t="s">
        <v>30575</v>
      </c>
      <c r="O2364" s="3"/>
      <c r="P2364" s="1" t="s">
        <v>20</v>
      </c>
      <c r="R2364" s="1" t="s">
        <v>1837</v>
      </c>
      <c r="V2364" s="1" t="s">
        <v>1849</v>
      </c>
      <c r="AR2364" s="1" t="str">
        <f t="shared" si="149"/>
        <v>| [ㄆㄢˊ](ㄆㄢˊ.md) | [幋](幋.md) |  | pán | [名]
覆衣大巾或頭巾。《說文解字．巾部》：「幋，覆衣大巾也，或以為首幋。」 |</v>
      </c>
    </row>
    <row r="2365" spans="1:44" hidden="1">
      <c r="A2365" s="1" t="s">
        <v>1850</v>
      </c>
      <c r="C2365" s="1">
        <v>1</v>
      </c>
      <c r="D2365" s="1" t="str">
        <f>"00713"</f>
        <v>00713</v>
      </c>
      <c r="E2365" s="1" t="s">
        <v>534</v>
      </c>
      <c r="F2365" s="1">
        <v>13</v>
      </c>
      <c r="G2365" s="1">
        <v>10</v>
      </c>
      <c r="H2365" s="1">
        <v>0</v>
      </c>
      <c r="I2365" s="1" t="s">
        <v>1836</v>
      </c>
      <c r="K2365" s="1" t="str">
        <f t="shared" si="150"/>
        <v>ㄆ</v>
      </c>
      <c r="L2365" s="1" t="str">
        <f t="shared" si="151"/>
        <v>ㄢ</v>
      </c>
      <c r="N2365" s="3" t="s">
        <v>30575</v>
      </c>
      <c r="O2365" s="3"/>
      <c r="P2365" s="1" t="s">
        <v>20</v>
      </c>
      <c r="R2365" s="1" t="s">
        <v>1837</v>
      </c>
      <c r="V2365" s="1" t="s">
        <v>1851</v>
      </c>
      <c r="AR2365" s="1" t="str">
        <f t="shared" si="149"/>
        <v>| [ㄆㄢˊ](ㄆㄢˊ.md) | [媻](媻.md) |  | pán | 參見「媻姍」條。 |</v>
      </c>
    </row>
    <row r="2366" spans="1:44" hidden="1">
      <c r="A2366" s="1" t="s">
        <v>1852</v>
      </c>
      <c r="C2366" s="1">
        <v>1</v>
      </c>
      <c r="D2366" s="1" t="str">
        <f>"00714"</f>
        <v>00714</v>
      </c>
      <c r="E2366" s="1" t="s">
        <v>139</v>
      </c>
      <c r="F2366" s="1">
        <v>14</v>
      </c>
      <c r="G2366" s="1">
        <v>10</v>
      </c>
      <c r="H2366" s="1">
        <v>0</v>
      </c>
      <c r="I2366" s="1" t="s">
        <v>1836</v>
      </c>
      <c r="K2366" s="1" t="str">
        <f t="shared" si="150"/>
        <v>ㄆ</v>
      </c>
      <c r="L2366" s="1" t="str">
        <f t="shared" si="151"/>
        <v>ㄢ</v>
      </c>
      <c r="N2366" s="3" t="s">
        <v>30575</v>
      </c>
      <c r="O2366" s="3"/>
      <c r="P2366" s="1" t="s">
        <v>20</v>
      </c>
      <c r="R2366" s="1" t="s">
        <v>1837</v>
      </c>
      <c r="V2366" s="1" t="s">
        <v>1853</v>
      </c>
      <c r="AR2366" s="1" t="str">
        <f t="shared" si="149"/>
        <v>| [ㄆㄢˊ](ㄆㄢˊ.md) | [槃](槃.md) |  | pán | [名]
1.古時用來盛水的木製托盤。《禮記．內則》：「少者奉槃，長者奉水，請沃盥。」
2.盤子。同「盤」。如：「珠槃」、「夷槃」。宋．蘇軾〈日喻〉：「日之狀如銅槃。」宋．陸游〈除夜〉詩：「守歲全家夜不眠，杯槃狼籍向燈前。」
3.古時一種似盤子的樂器。《詩經．衛風．考槃》：「考槃在澗，碩人之寬。」 |</v>
      </c>
    </row>
    <row r="2367" spans="1:44" hidden="1">
      <c r="A2367" s="1" t="s">
        <v>1584</v>
      </c>
      <c r="C2367" s="1">
        <v>1</v>
      </c>
      <c r="D2367" s="1" t="str">
        <f>"00715"</f>
        <v>00715</v>
      </c>
      <c r="E2367" s="1" t="s">
        <v>24</v>
      </c>
      <c r="F2367" s="1">
        <v>14</v>
      </c>
      <c r="G2367" s="1">
        <v>10</v>
      </c>
      <c r="H2367" s="1">
        <v>1</v>
      </c>
      <c r="I2367" s="1" t="s">
        <v>1836</v>
      </c>
      <c r="K2367" s="1" t="str">
        <f t="shared" si="150"/>
        <v>ㄆ</v>
      </c>
      <c r="L2367" s="1" t="str">
        <f t="shared" si="151"/>
        <v>ㄢ</v>
      </c>
      <c r="N2367" s="3" t="s">
        <v>30575</v>
      </c>
      <c r="O2367" s="3"/>
      <c r="P2367" s="1" t="s">
        <v>20</v>
      </c>
      <c r="R2367" s="1" t="s">
        <v>1837</v>
      </c>
      <c r="V2367" s="1" t="s">
        <v>1854</v>
      </c>
      <c r="W2367" s="1" t="s">
        <v>1855</v>
      </c>
      <c r="AR2367" s="1" t="str">
        <f t="shared" si="149"/>
        <v>| [ㄆㄢˊ](ㄆㄢˊ.md) | [搫](搫.md) |  | pán | [形]
不正。《玉篇．手部》：「搫，手不正也。」 |</v>
      </c>
    </row>
    <row r="2368" spans="1:44" hidden="1">
      <c r="A2368" s="1" t="s">
        <v>1856</v>
      </c>
      <c r="C2368" s="1">
        <v>1</v>
      </c>
      <c r="D2368" s="1" t="str">
        <f>"00716"</f>
        <v>00716</v>
      </c>
      <c r="E2368" s="1" t="s">
        <v>169</v>
      </c>
      <c r="F2368" s="1">
        <v>15</v>
      </c>
      <c r="G2368" s="1">
        <v>10</v>
      </c>
      <c r="H2368" s="1">
        <v>0</v>
      </c>
      <c r="I2368" s="1" t="s">
        <v>1836</v>
      </c>
      <c r="K2368" s="1" t="str">
        <f t="shared" si="150"/>
        <v>ㄆ</v>
      </c>
      <c r="L2368" s="1" t="str">
        <f t="shared" si="151"/>
        <v>ㄢ</v>
      </c>
      <c r="N2368" s="3" t="s">
        <v>30575</v>
      </c>
      <c r="O2368" s="3"/>
      <c r="P2368" s="1" t="s">
        <v>20</v>
      </c>
      <c r="R2368" s="1" t="s">
        <v>1837</v>
      </c>
      <c r="V2368" s="1" t="s">
        <v>1857</v>
      </c>
      <c r="AR2368" s="1" t="str">
        <f t="shared" si="149"/>
        <v>| [ㄆㄢˊ](ㄆㄢˊ.md) | [磐](磐.md) |  | pán | [名]
巨大的石頭。《玉篇．石部》：「磐，大石也。」
[動]
徘徊不去。通「盤」。《後漢書．卷四一．宋意傳》：「室第相望，久磐京邑，婚姻之盛，過於本朝。」 |</v>
      </c>
    </row>
    <row r="2369" spans="1:44" hidden="1">
      <c r="A2369" s="1" t="s">
        <v>1858</v>
      </c>
      <c r="C2369" s="1">
        <v>1</v>
      </c>
      <c r="D2369" s="1" t="str">
        <f>"00717"</f>
        <v>00717</v>
      </c>
      <c r="E2369" s="1" t="s">
        <v>438</v>
      </c>
      <c r="F2369" s="1">
        <v>15</v>
      </c>
      <c r="G2369" s="1">
        <v>10</v>
      </c>
      <c r="H2369" s="1">
        <v>0</v>
      </c>
      <c r="I2369" s="1" t="s">
        <v>1836</v>
      </c>
      <c r="K2369" s="1" t="str">
        <f t="shared" si="150"/>
        <v>ㄆ</v>
      </c>
      <c r="L2369" s="1" t="str">
        <f t="shared" si="151"/>
        <v>ㄢ</v>
      </c>
      <c r="N2369" s="3" t="s">
        <v>30575</v>
      </c>
      <c r="O2369" s="3"/>
      <c r="P2369" s="1" t="s">
        <v>20</v>
      </c>
      <c r="R2369" s="1" t="s">
        <v>1837</v>
      </c>
      <c r="V2369" s="1" t="s">
        <v>1859</v>
      </c>
      <c r="AR2369" s="1" t="str">
        <f t="shared" si="149"/>
        <v>| [ㄆㄢˊ](ㄆㄢˊ.md) | [盤](盤.md) |  | pán | [名]
1.一種銅製的盛水器。圓形，淺腹，盛行於商周時期。小盤可用以盥洗，大盤可用以沐浴。如春秋時代的魚龍紋盤。
2.一種盛放物品的淺底器皿。如：「瓷盤」、「菜盤」、「托盤」、「餐盤」。
3.形狀像盤而作為承托或旋轉用的東西。如：「棋盤」、「算盤」、「方向盤」。
4.買賣行情的價格。如：「開盤」、「底盤」、「收盤」、「崩盤」。
5.量詞：(1)計算盤形物的單位。如：「三盤水果」。(2)計算棋局段落的單位。如：「下兩盤棋」。(3)計算盤形物數量的單位。如：「一盤蚊香」。(4)大陸地區計算錄音帶或錄影帶卷數的單位。如：「一盤錄音帶」、「兩盤錄影帶」。
6.事物的根本所在。如：「地盤」、「根盤」。
7.姓。如明代有盤銘。
[動]
1.纏繞。如：「盤辮子」、「蟒蛇盤樹」。
2.迴旋。如：「盤馬彎弓」。
3.使屈曲相交。如：「盤腿」、「盤膝」。
4.詳加探詢或清點。如：「盤貨」、「盤點」、「盤問」、「盤根究底」。
5.算計。《初刻拍案驚奇》卷一五：「那陳秀才這三百兩債務，衛朝奉有心要盤他這所莊房，等閒再不叫人來討。」
[形]
曲折的、纏繞的。如：「盤根錯節」。 |</v>
      </c>
    </row>
    <row r="2370" spans="1:44" hidden="1">
      <c r="A2370" s="1" t="s">
        <v>1860</v>
      </c>
      <c r="C2370" s="1">
        <v>1</v>
      </c>
      <c r="D2370" s="1" t="str">
        <f>"00718"</f>
        <v>00718</v>
      </c>
      <c r="E2370" s="1" t="s">
        <v>725</v>
      </c>
      <c r="F2370" s="1">
        <v>16</v>
      </c>
      <c r="G2370" s="1">
        <v>10</v>
      </c>
      <c r="H2370" s="1">
        <v>0</v>
      </c>
      <c r="I2370" s="1" t="s">
        <v>1836</v>
      </c>
      <c r="K2370" s="1" t="str">
        <f t="shared" si="150"/>
        <v>ㄆ</v>
      </c>
      <c r="L2370" s="1" t="str">
        <f t="shared" si="151"/>
        <v>ㄢ</v>
      </c>
      <c r="N2370" s="3" t="s">
        <v>30575</v>
      </c>
      <c r="O2370" s="3"/>
      <c r="P2370" s="1" t="s">
        <v>20</v>
      </c>
      <c r="R2370" s="1" t="s">
        <v>1837</v>
      </c>
      <c r="V2370" s="1" t="s">
        <v>1861</v>
      </c>
      <c r="AR2370" s="1" t="str">
        <f t="shared" si="149"/>
        <v>| [ㄆㄢˊ](ㄆㄢˊ.md) | [縏](縏.md) |  | pán | [名]
小繡囊。《禮記．內則》：「婦事舅姑……右佩箴、管、線、纊、施縏、袠。」漢．鄭玄．注：「縏，小囊也。」 |</v>
      </c>
    </row>
    <row r="2371" spans="1:44" hidden="1">
      <c r="A2371" s="1" t="s">
        <v>1862</v>
      </c>
      <c r="C2371" s="1">
        <v>1</v>
      </c>
      <c r="D2371" s="1" t="str">
        <f>"00719"</f>
        <v>00719</v>
      </c>
      <c r="E2371" s="1" t="s">
        <v>96</v>
      </c>
      <c r="F2371" s="1">
        <v>19</v>
      </c>
      <c r="G2371" s="1">
        <v>10</v>
      </c>
      <c r="H2371" s="1">
        <v>0</v>
      </c>
      <c r="I2371" s="1" t="s">
        <v>1836</v>
      </c>
      <c r="K2371" s="1" t="str">
        <f t="shared" si="150"/>
        <v>ㄆ</v>
      </c>
      <c r="L2371" s="1" t="str">
        <f t="shared" si="151"/>
        <v>ㄢ</v>
      </c>
      <c r="N2371" s="3" t="s">
        <v>30575</v>
      </c>
      <c r="O2371" s="3"/>
      <c r="P2371" s="1" t="s">
        <v>20</v>
      </c>
      <c r="R2371" s="1" t="s">
        <v>1837</v>
      </c>
      <c r="V2371" s="1" t="s">
        <v>1863</v>
      </c>
      <c r="AR2371" s="1" t="str">
        <f t="shared" ref="AR2371:AR2434" si="152">"| ["&amp;I2371&amp;"]("&amp;I2371&amp;".md) | ["&amp;A2371&amp;"]("&amp;A2371&amp;".md) | "&amp;" | "&amp;R2371&amp;" | "&amp;V2371&amp;" |"</f>
        <v>| [ㄆㄢˊ](ㄆㄢˊ.md) | [鞶](鞶.md) |  | pán | [名]
1.皮革製成的大腰帶，古人用來佩玉。《說文解字．革部》：「鞶，大帶也。」通稱為「鞶帶」。
2.古人用來盛放手巾細物的小繡囊。似今之荷包。《禮記．內則》：「夙夜無愆，視諸衿囊。」漢．鄭玄．注：「鞶，鞶囊也。男鞶革，女鞶絲，所以盛帨巾之屬。」 |</v>
      </c>
    </row>
    <row r="2372" spans="1:44" hidden="1">
      <c r="A2372" s="1" t="s">
        <v>1864</v>
      </c>
      <c r="C2372" s="1">
        <v>1</v>
      </c>
      <c r="D2372" s="1" t="str">
        <f>"00720"</f>
        <v>00720</v>
      </c>
      <c r="E2372" s="1" t="s">
        <v>169</v>
      </c>
      <c r="F2372" s="1">
        <v>17</v>
      </c>
      <c r="G2372" s="1">
        <v>12</v>
      </c>
      <c r="H2372" s="1">
        <v>0</v>
      </c>
      <c r="I2372" s="1" t="s">
        <v>1836</v>
      </c>
      <c r="K2372" s="1" t="str">
        <f t="shared" si="150"/>
        <v>ㄆ</v>
      </c>
      <c r="L2372" s="1" t="str">
        <f t="shared" si="151"/>
        <v>ㄢ</v>
      </c>
      <c r="N2372" s="3" t="s">
        <v>30575</v>
      </c>
      <c r="O2372" s="3"/>
      <c r="P2372" s="1" t="s">
        <v>20</v>
      </c>
      <c r="R2372" s="1" t="s">
        <v>1837</v>
      </c>
      <c r="V2372" s="1" t="s">
        <v>1865</v>
      </c>
      <c r="AR2372" s="1" t="str">
        <f t="shared" si="152"/>
        <v>| [ㄆㄢˊ](ㄆㄢˊ.md) | [磻](磻.md) |  | pán | 參見「磻溪」條。 |</v>
      </c>
    </row>
    <row r="2373" spans="1:44" hidden="1">
      <c r="A2373" s="1" t="s">
        <v>1866</v>
      </c>
      <c r="C2373" s="1">
        <v>1</v>
      </c>
      <c r="D2373" s="1" t="str">
        <f>"00721"</f>
        <v>00721</v>
      </c>
      <c r="E2373" s="1" t="s">
        <v>679</v>
      </c>
      <c r="F2373" s="1">
        <v>18</v>
      </c>
      <c r="G2373" s="1">
        <v>12</v>
      </c>
      <c r="H2373" s="1">
        <v>0</v>
      </c>
      <c r="I2373" s="1" t="s">
        <v>1836</v>
      </c>
      <c r="K2373" s="1" t="str">
        <f t="shared" si="150"/>
        <v>ㄆ</v>
      </c>
      <c r="L2373" s="1" t="str">
        <f t="shared" si="151"/>
        <v>ㄢ</v>
      </c>
      <c r="N2373" s="3" t="s">
        <v>30575</v>
      </c>
      <c r="O2373" s="3"/>
      <c r="P2373" s="1" t="s">
        <v>20</v>
      </c>
      <c r="R2373" s="1" t="s">
        <v>1837</v>
      </c>
      <c r="V2373" s="1" t="s">
        <v>1867</v>
      </c>
      <c r="AR2373" s="1" t="str">
        <f t="shared" si="152"/>
        <v>| [ㄆㄢˊ](ㄆㄢˊ.md) | [蟠](蟠.md) |  | pán | [動]
盤伏、盤曲。《文選．左思．蜀都賦》：「潛龍蟠於沮澤，應鳴鼓而興雨。」
[形]
彎曲的、扭曲的。唐．李白〈詠山樽〉詩二首之一：「蟠木不彫飾，且將斤斧疏。」 |</v>
      </c>
    </row>
    <row r="2374" spans="1:44" hidden="1">
      <c r="A2374" s="1" t="s">
        <v>1868</v>
      </c>
      <c r="C2374" s="1">
        <v>1</v>
      </c>
      <c r="D2374" s="1" t="str">
        <f>"00722"</f>
        <v>00722</v>
      </c>
      <c r="E2374" s="1" t="s">
        <v>77</v>
      </c>
      <c r="F2374" s="1">
        <v>18</v>
      </c>
      <c r="G2374" s="1">
        <v>11</v>
      </c>
      <c r="H2374" s="1">
        <v>2</v>
      </c>
      <c r="I2374" s="1" t="s">
        <v>1836</v>
      </c>
      <c r="K2374" s="1" t="str">
        <f t="shared" si="150"/>
        <v>ㄆ</v>
      </c>
      <c r="L2374" s="1" t="str">
        <f t="shared" si="151"/>
        <v>ㄢ</v>
      </c>
      <c r="N2374" s="3" t="s">
        <v>30575</v>
      </c>
      <c r="O2374" s="3"/>
      <c r="P2374" s="1" t="s">
        <v>20</v>
      </c>
      <c r="R2374" s="1" t="s">
        <v>1837</v>
      </c>
      <c r="V2374" s="1" t="s">
        <v>1869</v>
      </c>
      <c r="W2374" s="1" t="s">
        <v>1870</v>
      </c>
      <c r="AR2374" s="1" t="str">
        <f t="shared" si="152"/>
        <v>| [ㄆㄢˊ](ㄆㄢˊ.md) | [蹣](蹣.md) |  | pán | 參見「蹣跚」條。 |</v>
      </c>
    </row>
    <row r="2375" spans="1:44" hidden="1">
      <c r="A2375" s="1" t="s">
        <v>1904</v>
      </c>
      <c r="C2375" s="1">
        <v>1</v>
      </c>
      <c r="D2375" s="1" t="str">
        <f>"00740"</f>
        <v>00740</v>
      </c>
      <c r="E2375" s="1" t="s">
        <v>28</v>
      </c>
      <c r="F2375" s="1">
        <v>15</v>
      </c>
      <c r="G2375" s="1">
        <v>12</v>
      </c>
      <c r="H2375" s="1">
        <v>2</v>
      </c>
      <c r="I2375" s="1" t="s">
        <v>1917</v>
      </c>
      <c r="K2375" s="1" t="str">
        <f t="shared" si="150"/>
        <v>ㄆ</v>
      </c>
      <c r="L2375" s="1" t="str">
        <f t="shared" si="151"/>
        <v>ㄣ</v>
      </c>
      <c r="N2375" s="3" t="s">
        <v>30574</v>
      </c>
      <c r="O2375" s="3"/>
      <c r="P2375" s="1" t="s">
        <v>20</v>
      </c>
      <c r="R2375" s="1" t="s">
        <v>1918</v>
      </c>
      <c r="V2375" s="1" t="s">
        <v>1919</v>
      </c>
      <c r="W2375" s="1" t="s">
        <v>1920</v>
      </c>
      <c r="AR2375" s="1" t="str">
        <f t="shared" si="152"/>
        <v>| [ㄆㄣˋ](ㄆㄣˋ.md) | [噴](噴.md) |  | pèn | [動]
氣味撲鼻。如：「噴鼻」、「噴香」。
[名]
1.稱蔬果、魚蝦等正大量上市的時期。如：「楊桃正在噴兒上。」
2.北方方言。量詞。計算農作物在一定時期內成熟或開花次數的單位。如：「二噴棉花」、「頭噴稻米」。 |</v>
      </c>
    </row>
    <row r="2376" spans="1:44" hidden="1">
      <c r="A2376" s="1" t="s">
        <v>1907</v>
      </c>
      <c r="C2376" s="1">
        <v>1</v>
      </c>
      <c r="D2376" s="1" t="str">
        <f>"00741"</f>
        <v>00741</v>
      </c>
      <c r="E2376" s="1" t="s">
        <v>1908</v>
      </c>
      <c r="F2376" s="1">
        <v>16</v>
      </c>
      <c r="G2376" s="1">
        <v>12</v>
      </c>
      <c r="H2376" s="1">
        <v>2</v>
      </c>
      <c r="I2376" s="1" t="s">
        <v>1917</v>
      </c>
      <c r="K2376" s="1" t="str">
        <f t="shared" si="150"/>
        <v>ㄆ</v>
      </c>
      <c r="L2376" s="1" t="str">
        <f t="shared" si="151"/>
        <v>ㄣ</v>
      </c>
      <c r="N2376" s="3" t="s">
        <v>30574</v>
      </c>
      <c r="O2376" s="3"/>
      <c r="P2376" s="1" t="s">
        <v>110</v>
      </c>
      <c r="R2376" s="1" t="s">
        <v>1918</v>
      </c>
      <c r="V2376" s="1" t="s">
        <v>111</v>
      </c>
      <c r="W2376" s="1" t="s">
        <v>1921</v>
      </c>
      <c r="AR2376" s="1" t="str">
        <f t="shared" si="152"/>
        <v>| [ㄆㄣˋ](ㄆㄣˋ.md) | [歕](歕.md) |  | pèn | (一)之又音。 |</v>
      </c>
    </row>
    <row r="2377" spans="1:44" hidden="1">
      <c r="A2377" s="1" t="s">
        <v>1911</v>
      </c>
      <c r="C2377" s="1">
        <v>1</v>
      </c>
      <c r="D2377" s="1" t="str">
        <f>"00738"</f>
        <v>00738</v>
      </c>
      <c r="E2377" s="1" t="s">
        <v>438</v>
      </c>
      <c r="F2377" s="1">
        <v>9</v>
      </c>
      <c r="G2377" s="1">
        <v>4</v>
      </c>
      <c r="H2377" s="1">
        <v>0</v>
      </c>
      <c r="I2377" s="1" t="s">
        <v>1912</v>
      </c>
      <c r="K2377" s="1" t="str">
        <f t="shared" si="150"/>
        <v>ㄆ</v>
      </c>
      <c r="L2377" s="1" t="str">
        <f t="shared" si="151"/>
        <v>ㄣ</v>
      </c>
      <c r="N2377" s="3" t="s">
        <v>30575</v>
      </c>
      <c r="O2377" s="3"/>
      <c r="P2377" s="1" t="s">
        <v>20</v>
      </c>
      <c r="R2377" s="1" t="s">
        <v>1913</v>
      </c>
      <c r="V2377" s="1" t="s">
        <v>1914</v>
      </c>
      <c r="AR2377" s="1" t="str">
        <f t="shared" si="152"/>
        <v>| [ㄆㄣˊ](ㄆㄣˊ.md) | [盆](盆.md) |  | pén | [名]
1.底略小而口大，形狀像盤而較深的容器，用陶、木、金屬等製成。如：「臉盆」、「澡盆」。《莊子．至樂》：「莊子則方箕踞，鼓盆而歌。」
2.形狀似盆，用來盛物的器具。如：「花盆」、「菜盆」。
3.量詞。計算盆裝物的單位。如：「一盆花」、「兩盆水」。
[動]
浸染、浸淹。《禮記．祭義》：「及良日，夫人繅，三盆手。」 |</v>
      </c>
    </row>
    <row r="2378" spans="1:44" hidden="1">
      <c r="A2378" s="1" t="s">
        <v>1915</v>
      </c>
      <c r="C2378" s="1">
        <v>1</v>
      </c>
      <c r="D2378" s="1" t="str">
        <f>"00739"</f>
        <v>00739</v>
      </c>
      <c r="E2378" s="1" t="s">
        <v>129</v>
      </c>
      <c r="F2378" s="1">
        <v>12</v>
      </c>
      <c r="G2378" s="1">
        <v>9</v>
      </c>
      <c r="H2378" s="1">
        <v>0</v>
      </c>
      <c r="I2378" s="1" t="s">
        <v>1912</v>
      </c>
      <c r="K2378" s="1" t="str">
        <f t="shared" si="150"/>
        <v>ㄆ</v>
      </c>
      <c r="L2378" s="1" t="str">
        <f t="shared" si="151"/>
        <v>ㄣ</v>
      </c>
      <c r="N2378" s="3" t="s">
        <v>30575</v>
      </c>
      <c r="O2378" s="3"/>
      <c r="P2378" s="1" t="s">
        <v>20</v>
      </c>
      <c r="R2378" s="1" t="s">
        <v>1913</v>
      </c>
      <c r="V2378" s="1" t="s">
        <v>1916</v>
      </c>
      <c r="AR2378" s="1" t="str">
        <f t="shared" si="152"/>
        <v>| [ㄆㄣˊ](ㄆㄣˊ.md) | [湓](湓.md) |  | pén | [動]
水漲滿溢出。參見「湓涌」、「湓溢」等條。
[名]
河川名。位於大陸地區江西省，源出瑞昌縣清湓山，流經九江縣注入長江。 |</v>
      </c>
    </row>
    <row r="2379" spans="1:44" hidden="1">
      <c r="A2379" s="1" t="s">
        <v>1843</v>
      </c>
      <c r="C2379" s="1">
        <v>1</v>
      </c>
      <c r="D2379" s="1" t="str">
        <f>"00760"</f>
        <v>00760</v>
      </c>
      <c r="E2379" s="1" t="s">
        <v>68</v>
      </c>
      <c r="F2379" s="1">
        <v>9</v>
      </c>
      <c r="G2379" s="1">
        <v>5</v>
      </c>
      <c r="H2379" s="1">
        <v>1</v>
      </c>
      <c r="I2379" s="1" t="s">
        <v>1970</v>
      </c>
      <c r="K2379" s="1" t="str">
        <f t="shared" si="150"/>
        <v>ㄆ</v>
      </c>
      <c r="L2379" s="1" t="str">
        <f t="shared" si="151"/>
        <v>ㄤ</v>
      </c>
      <c r="N2379" s="3" t="s">
        <v>30574</v>
      </c>
      <c r="O2379" s="3"/>
      <c r="P2379" s="1" t="s">
        <v>20</v>
      </c>
      <c r="R2379" s="1" t="s">
        <v>1971</v>
      </c>
      <c r="V2379" s="1" t="s">
        <v>1972</v>
      </c>
      <c r="W2379" s="1" t="s">
        <v>1973</v>
      </c>
      <c r="AR2379" s="1" t="str">
        <f t="shared" si="152"/>
        <v>| [ㄆㄤˋ](ㄆㄤˋ.md) | [胖](胖.md) |  | pàng | [形]
身體豐肥、脂肪多。如：「肥胖」、「胖娃兒」。《文明小史》第二六回：「原來是一位女學生身體太胖了，椅子不結實，腿兒折了，幾乎仰翻過去。」 |</v>
      </c>
    </row>
    <row r="2380" spans="1:44" hidden="1">
      <c r="A2380" s="1" t="s">
        <v>1934</v>
      </c>
      <c r="C2380" s="1">
        <v>1</v>
      </c>
      <c r="D2380" s="1" t="str">
        <f>"00747"</f>
        <v>00747</v>
      </c>
      <c r="E2380" s="1" t="s">
        <v>1935</v>
      </c>
      <c r="F2380" s="1">
        <v>7</v>
      </c>
      <c r="G2380" s="1">
        <v>4</v>
      </c>
      <c r="H2380" s="1">
        <v>1</v>
      </c>
      <c r="I2380" s="1" t="s">
        <v>1936</v>
      </c>
      <c r="K2380" s="1" t="str">
        <f t="shared" si="150"/>
        <v>ㄆ</v>
      </c>
      <c r="L2380" s="1" t="str">
        <f t="shared" si="151"/>
        <v>ㄤ</v>
      </c>
      <c r="N2380" s="3" t="s">
        <v>30575</v>
      </c>
      <c r="O2380" s="3"/>
      <c r="P2380" s="1" t="s">
        <v>20</v>
      </c>
      <c r="R2380" s="1" t="s">
        <v>1937</v>
      </c>
      <c r="V2380" s="1" t="s">
        <v>1938</v>
      </c>
      <c r="W2380" s="1" t="s">
        <v>1939</v>
      </c>
      <c r="AR2380" s="1" t="str">
        <f t="shared" si="152"/>
        <v>| [ㄆㄤˊ](ㄆㄤˊ.md) | [尨](尨.md) |  | páng | [形]
1.色雜不純。《左傳．閔公二年》：「衣之尨服，遠其躬也。」
2.指眉髮斑白。《文選．張衡．思玄賦》：「尉尨眉而郎潛兮，逮三葉而遘武。」
3.雜亂。如：「語言尨雜」。
4.巨大。同「龐」。如：「尨然」。 |</v>
      </c>
    </row>
    <row r="2381" spans="1:44" hidden="1">
      <c r="A2381" s="1" t="s">
        <v>1940</v>
      </c>
      <c r="C2381" s="1">
        <v>1</v>
      </c>
      <c r="D2381" s="1" t="str">
        <f>"00748"</f>
        <v>00748</v>
      </c>
      <c r="E2381" s="1" t="s">
        <v>1941</v>
      </c>
      <c r="F2381" s="1">
        <v>9</v>
      </c>
      <c r="G2381" s="1">
        <v>7</v>
      </c>
      <c r="H2381" s="1">
        <v>1</v>
      </c>
      <c r="I2381" s="1" t="s">
        <v>1936</v>
      </c>
      <c r="K2381" s="1" t="str">
        <f t="shared" si="150"/>
        <v>ㄆ</v>
      </c>
      <c r="L2381" s="1" t="str">
        <f t="shared" si="151"/>
        <v>ㄤ</v>
      </c>
      <c r="N2381" s="3" t="s">
        <v>30575</v>
      </c>
      <c r="O2381" s="3"/>
      <c r="P2381" s="1" t="s">
        <v>20</v>
      </c>
      <c r="R2381" s="1" t="s">
        <v>1937</v>
      </c>
      <c r="V2381" s="1" t="s">
        <v>1942</v>
      </c>
      <c r="W2381" s="1" t="s">
        <v>1943</v>
      </c>
      <c r="AR2381" s="1" t="str">
        <f t="shared" si="152"/>
        <v>| [ㄆㄤˊ](ㄆㄤˊ.md) | [厖](厖.md) |  | páng | [形]
1.大。《文選．司馬相如．封禪文》：「湛恩厖鴻，易豐也。」唐．李善．注：「厖、鴻，皆大也。」唐．韓愈〈元和聖德詩〉：「天錫皇帝，厖臣碩輔。」
2.雜亂。如：「厖雜」。《書經．周官》：「推賢讓賢，庶官乃和，不和政厖。」唐．皮日休〈憶洞庭觀步十韻〉：「仙犬聲音古，遺民意緒厖。」 |</v>
      </c>
    </row>
    <row r="2382" spans="1:44" hidden="1">
      <c r="A2382" s="1" t="s">
        <v>1944</v>
      </c>
      <c r="C2382" s="1">
        <v>1</v>
      </c>
      <c r="D2382" s="1" t="str">
        <f>"00749"</f>
        <v>00749</v>
      </c>
      <c r="E2382" s="1" t="s">
        <v>447</v>
      </c>
      <c r="F2382" s="1">
        <v>10</v>
      </c>
      <c r="G2382" s="1">
        <v>7</v>
      </c>
      <c r="H2382" s="1">
        <v>3</v>
      </c>
      <c r="I2382" s="1" t="s">
        <v>1936</v>
      </c>
      <c r="K2382" s="1" t="str">
        <f t="shared" si="150"/>
        <v>ㄆ</v>
      </c>
      <c r="L2382" s="1" t="str">
        <f t="shared" si="151"/>
        <v>ㄤ</v>
      </c>
      <c r="N2382" s="3" t="s">
        <v>30575</v>
      </c>
      <c r="O2382" s="3"/>
      <c r="P2382" s="1" t="s">
        <v>20</v>
      </c>
      <c r="R2382" s="1" t="s">
        <v>1937</v>
      </c>
      <c r="V2382" s="1" t="s">
        <v>1945</v>
      </c>
      <c r="W2382" s="1" t="s">
        <v>1946</v>
      </c>
      <c r="AR2382" s="1" t="str">
        <f t="shared" si="152"/>
        <v>| [ㄆㄤˊ](ㄆㄤˊ.md) | [庬](庬.md) |  | páng | [形]
大。通「厖」、「龐」。 |</v>
      </c>
    </row>
    <row r="2383" spans="1:44" hidden="1">
      <c r="A2383" s="1" t="s">
        <v>1947</v>
      </c>
      <c r="C2383" s="1">
        <v>1</v>
      </c>
      <c r="D2383" s="1" t="str">
        <f>"00750"</f>
        <v>00750</v>
      </c>
      <c r="E2383" s="1" t="s">
        <v>234</v>
      </c>
      <c r="F2383" s="1">
        <v>7</v>
      </c>
      <c r="G2383" s="1">
        <v>4</v>
      </c>
      <c r="H2383" s="1">
        <v>1</v>
      </c>
      <c r="I2383" s="1" t="s">
        <v>1936</v>
      </c>
      <c r="K2383" s="1" t="str">
        <f t="shared" si="150"/>
        <v>ㄆ</v>
      </c>
      <c r="L2383" s="1" t="str">
        <f t="shared" si="151"/>
        <v>ㄤ</v>
      </c>
      <c r="N2383" s="3" t="s">
        <v>30575</v>
      </c>
      <c r="O2383" s="3"/>
      <c r="P2383" s="1" t="s">
        <v>20</v>
      </c>
      <c r="R2383" s="1" t="s">
        <v>1937</v>
      </c>
      <c r="V2383" s="1" t="s">
        <v>1948</v>
      </c>
      <c r="W2383" s="1" t="s">
        <v>1949</v>
      </c>
      <c r="AR2383" s="1" t="str">
        <f t="shared" si="152"/>
        <v>| [ㄆㄤˊ](ㄆㄤˊ.md) | [彷](彷.md) |  | páng | 參見「彷徨」、「彷徉」等條。 |</v>
      </c>
    </row>
    <row r="2384" spans="1:44" hidden="1">
      <c r="A2384" s="1" t="s">
        <v>799</v>
      </c>
      <c r="C2384" s="1">
        <v>1</v>
      </c>
      <c r="D2384" s="1" t="str">
        <f>"00751"</f>
        <v>00751</v>
      </c>
      <c r="E2384" s="1" t="s">
        <v>800</v>
      </c>
      <c r="F2384" s="1">
        <v>10</v>
      </c>
      <c r="G2384" s="1">
        <v>6</v>
      </c>
      <c r="H2384" s="1">
        <v>1</v>
      </c>
      <c r="I2384" s="1" t="s">
        <v>1936</v>
      </c>
      <c r="K2384" s="1" t="str">
        <f t="shared" si="150"/>
        <v>ㄆ</v>
      </c>
      <c r="L2384" s="1" t="str">
        <f t="shared" si="151"/>
        <v>ㄤ</v>
      </c>
      <c r="N2384" s="3" t="s">
        <v>30575</v>
      </c>
      <c r="O2384" s="3"/>
      <c r="P2384" s="1" t="s">
        <v>20</v>
      </c>
      <c r="R2384" s="1" t="s">
        <v>1937</v>
      </c>
      <c r="V2384" s="1" t="s">
        <v>1950</v>
      </c>
      <c r="W2384" s="1" t="s">
        <v>1951</v>
      </c>
      <c r="AR2384" s="1" t="str">
        <f t="shared" si="152"/>
        <v>| [ㄆㄤˊ](ㄆㄤˊ.md) | [旁](旁.md) |  | páng | [名]
1.側、邊。如：「兩旁」、「路旁」。唐．杜甫〈兵車行〉：「道旁過者問行人，行人但云點行頻。」
2.輔佐、幫助。《楚辭．屈原．九章．惜誦》：「吾使厲神占之兮，曰有志極而無旁。」漢．王逸．注：「旁，輔也。」
3.漢字的偏旁。如：「立人旁」、「豎心旁」、「『張』是弓字旁的張，而非立早章。」
4.姓。如秦末有旁君。
[形]
1.側面的。如：「旁邊」。《史記．卷八．高祖本紀》：「老父已去，高祖適從旁舍來。」
2.別的、其他的。如：「旁人」、「沒旁的話」。
3.歧出的。如：「主幹旁枝」。
4.不正的、偏邪的。如：「旁門左道」。《荀子．議兵》：「旁辟曲私之屬為之化而公，矜糾收繚之屬為之化而調。」唐．楊倞．注：「旁，偏頗也。」
[副]
1.邊側的。表方位。如：「旁觀」、「旁聽」。《文選．張衡．西京賦》：「徒觀其城郭之制，則旁開三門。」
2.廣泛、普遍的。如：「旁徵博引」。《書經．太甲上》：「旁求俊彥，啟迪後人。」《三國志．卷一．魏書．武帝紀》：「旁施勤教，恤慎刑獄。」 |</v>
      </c>
    </row>
    <row r="2385" spans="1:44" hidden="1">
      <c r="A2385" s="1" t="s">
        <v>1952</v>
      </c>
      <c r="C2385" s="1">
        <v>1</v>
      </c>
      <c r="D2385" s="1" t="str">
        <f>"00752"</f>
        <v>00752</v>
      </c>
      <c r="E2385" s="1" t="s">
        <v>125</v>
      </c>
      <c r="F2385" s="1">
        <v>12</v>
      </c>
      <c r="G2385" s="1">
        <v>4</v>
      </c>
      <c r="H2385" s="1">
        <v>0</v>
      </c>
      <c r="I2385" s="1" t="s">
        <v>1936</v>
      </c>
      <c r="K2385" s="1" t="str">
        <f t="shared" si="150"/>
        <v>ㄆ</v>
      </c>
      <c r="L2385" s="1" t="str">
        <f t="shared" si="151"/>
        <v>ㄤ</v>
      </c>
      <c r="N2385" s="3" t="s">
        <v>30575</v>
      </c>
      <c r="O2385" s="3"/>
      <c r="P2385" s="1" t="s">
        <v>20</v>
      </c>
      <c r="R2385" s="1" t="s">
        <v>1937</v>
      </c>
      <c r="V2385" s="1" t="s">
        <v>1953</v>
      </c>
      <c r="AR2385" s="1" t="str">
        <f t="shared" si="152"/>
        <v>| [ㄆㄤˊ](ㄆㄤˊ.md) | [雱](雱.md) |  | páng | [形]
雨雪下得大的樣子。《詩經．邶風．北風》：「北風其涼，雨雪其雱。」 |</v>
      </c>
    </row>
    <row r="2386" spans="1:44" hidden="1">
      <c r="A2386" s="1" t="s">
        <v>771</v>
      </c>
      <c r="C2386" s="1">
        <v>1</v>
      </c>
      <c r="D2386" s="1" t="str">
        <f>"00753"</f>
        <v>00753</v>
      </c>
      <c r="E2386" s="1" t="s">
        <v>114</v>
      </c>
      <c r="F2386" s="1">
        <v>12</v>
      </c>
      <c r="G2386" s="1">
        <v>10</v>
      </c>
      <c r="H2386" s="1">
        <v>2</v>
      </c>
      <c r="I2386" s="1" t="s">
        <v>1936</v>
      </c>
      <c r="K2386" s="1" t="str">
        <f t="shared" ref="K2386:K2449" si="153">LEFT(I2386, 1)</f>
        <v>ㄆ</v>
      </c>
      <c r="L2386" s="1" t="str">
        <f t="shared" ref="L2386:L2449" si="154">MID(I2386, 2, 1)</f>
        <v>ㄤ</v>
      </c>
      <c r="N2386" s="3" t="s">
        <v>30575</v>
      </c>
      <c r="O2386" s="3"/>
      <c r="P2386" s="1" t="s">
        <v>20</v>
      </c>
      <c r="R2386" s="1" t="s">
        <v>1937</v>
      </c>
      <c r="V2386" s="1" t="s">
        <v>1954</v>
      </c>
      <c r="W2386" s="1" t="s">
        <v>1955</v>
      </c>
      <c r="AR2386" s="1" t="str">
        <f t="shared" si="152"/>
        <v>| [ㄆㄤˊ](ㄆㄤˊ.md) | [傍](傍.md) |  | páng | [名]
1.側、邊。通「旁」。《史記．卷一二六．滑稽傳．淳于髡傳》：「賜酒大王之前，執法在傍。」
2.漢字的偏旁。《水滸傳》第二回：「後來發跡，便將氣毬那字去了毛傍，添作立人，便改作姓高名俅。」
3.姓。如唐代有傍企本。
[形]
1.別的、其他的。通「旁」。《後漢書．卷一三．隗囂傳》：「自今以後，手書相聞，勿用傍人解構之言。」
2.不正的。通「旁」。北齊．顏之推《顏氏家訓．風操》：「偏傍之書，死有歸殺。」
[副]
廣泛、普遍的。通「旁」。《墨子．尚同中》：「己有善，傍薦之。」 |</v>
      </c>
    </row>
    <row r="2387" spans="1:44" hidden="1">
      <c r="A2387" s="1" t="s">
        <v>805</v>
      </c>
      <c r="C2387" s="1">
        <v>1</v>
      </c>
      <c r="D2387" s="1" t="str">
        <f>"00754"</f>
        <v>00754</v>
      </c>
      <c r="E2387" s="1" t="s">
        <v>234</v>
      </c>
      <c r="F2387" s="1">
        <v>13</v>
      </c>
      <c r="G2387" s="1">
        <v>10</v>
      </c>
      <c r="H2387" s="1">
        <v>1</v>
      </c>
      <c r="I2387" s="1" t="s">
        <v>1936</v>
      </c>
      <c r="K2387" s="1" t="str">
        <f t="shared" si="153"/>
        <v>ㄆ</v>
      </c>
      <c r="L2387" s="1" t="str">
        <f t="shared" si="154"/>
        <v>ㄤ</v>
      </c>
      <c r="N2387" s="3" t="s">
        <v>30575</v>
      </c>
      <c r="O2387" s="3"/>
      <c r="P2387" s="1" t="s">
        <v>20</v>
      </c>
      <c r="R2387" s="1" t="s">
        <v>1937</v>
      </c>
      <c r="V2387" s="1" t="s">
        <v>1956</v>
      </c>
      <c r="W2387" s="1" t="s">
        <v>1957</v>
      </c>
      <c r="AR2387" s="1" t="str">
        <f t="shared" si="152"/>
        <v>| [ㄆㄤˊ](ㄆㄤˊ.md) | [徬](徬.md) |  | páng | 參見「徬徨」條。 |</v>
      </c>
    </row>
    <row r="2388" spans="1:44" hidden="1">
      <c r="A2388" s="1" t="s">
        <v>785</v>
      </c>
      <c r="C2388" s="1">
        <v>1</v>
      </c>
      <c r="D2388" s="1" t="str">
        <f>"00755"</f>
        <v>00755</v>
      </c>
      <c r="E2388" s="1" t="s">
        <v>68</v>
      </c>
      <c r="F2388" s="1">
        <v>14</v>
      </c>
      <c r="G2388" s="1">
        <v>10</v>
      </c>
      <c r="H2388" s="1">
        <v>2</v>
      </c>
      <c r="I2388" s="1" t="s">
        <v>1936</v>
      </c>
      <c r="K2388" s="1" t="str">
        <f t="shared" si="153"/>
        <v>ㄆ</v>
      </c>
      <c r="L2388" s="1" t="str">
        <f t="shared" si="154"/>
        <v>ㄤ</v>
      </c>
      <c r="N2388" s="3" t="s">
        <v>30575</v>
      </c>
      <c r="O2388" s="3"/>
      <c r="P2388" s="1" t="s">
        <v>20</v>
      </c>
      <c r="R2388" s="1" t="s">
        <v>1937</v>
      </c>
      <c r="V2388" s="1" t="s">
        <v>1958</v>
      </c>
      <c r="W2388" s="1" t="s">
        <v>1959</v>
      </c>
      <c r="AR2388" s="1" t="str">
        <f t="shared" si="152"/>
        <v>| [ㄆㄤˊ](ㄆㄤˊ.md) | [膀](膀.md) |  | páng | 參見「膀胱」條。 |</v>
      </c>
    </row>
    <row r="2389" spans="1:44" hidden="1">
      <c r="A2389" s="1" t="s">
        <v>1960</v>
      </c>
      <c r="C2389" s="1">
        <v>1</v>
      </c>
      <c r="D2389" s="1" t="str">
        <f>"00756"</f>
        <v>00756</v>
      </c>
      <c r="E2389" s="1" t="s">
        <v>679</v>
      </c>
      <c r="F2389" s="1">
        <v>16</v>
      </c>
      <c r="G2389" s="1">
        <v>10</v>
      </c>
      <c r="H2389" s="1">
        <v>0</v>
      </c>
      <c r="I2389" s="1" t="s">
        <v>1936</v>
      </c>
      <c r="K2389" s="1" t="str">
        <f t="shared" si="153"/>
        <v>ㄆ</v>
      </c>
      <c r="L2389" s="1" t="str">
        <f t="shared" si="154"/>
        <v>ㄤ</v>
      </c>
      <c r="N2389" s="3" t="s">
        <v>30575</v>
      </c>
      <c r="O2389" s="3"/>
      <c r="P2389" s="1" t="s">
        <v>20</v>
      </c>
      <c r="R2389" s="1" t="s">
        <v>1937</v>
      </c>
      <c r="V2389" s="1" t="s">
        <v>1961</v>
      </c>
      <c r="AR2389" s="1" t="str">
        <f t="shared" si="152"/>
        <v>| [ㄆㄤˊ](ㄆㄤˊ.md) | [螃](螃.md) |  | páng | 參見「螃蟹」條。 |</v>
      </c>
    </row>
    <row r="2390" spans="1:44" hidden="1">
      <c r="A2390" s="1" t="s">
        <v>1962</v>
      </c>
      <c r="C2390" s="1">
        <v>1</v>
      </c>
      <c r="D2390" s="1" t="str">
        <f>"00757"</f>
        <v>00757</v>
      </c>
      <c r="E2390" s="1" t="s">
        <v>49</v>
      </c>
      <c r="F2390" s="1">
        <v>16</v>
      </c>
      <c r="G2390" s="1">
        <v>10</v>
      </c>
      <c r="H2390" s="1">
        <v>1</v>
      </c>
      <c r="I2390" s="1" t="s">
        <v>1936</v>
      </c>
      <c r="K2390" s="1" t="str">
        <f t="shared" si="153"/>
        <v>ㄆ</v>
      </c>
      <c r="L2390" s="1" t="str">
        <f t="shared" si="154"/>
        <v>ㄤ</v>
      </c>
      <c r="N2390" s="3" t="s">
        <v>30575</v>
      </c>
      <c r="O2390" s="3"/>
      <c r="P2390" s="1" t="s">
        <v>20</v>
      </c>
      <c r="R2390" s="1" t="s">
        <v>1937</v>
      </c>
      <c r="V2390" s="1" t="s">
        <v>1963</v>
      </c>
      <c r="W2390" s="1" t="s">
        <v>1964</v>
      </c>
      <c r="AR2390" s="1" t="str">
        <f t="shared" si="152"/>
        <v>| [ㄆㄤˊ](ㄆㄤˊ.md) | [篣](篣.md) |  | páng | [名]
1.竹製的畚箕。《廣韻．平聲．唐韻》：「篣，竹箕。」
2.參見「篣竹」條。 |</v>
      </c>
    </row>
    <row r="2391" spans="1:44" hidden="1">
      <c r="A2391" s="1" t="s">
        <v>1965</v>
      </c>
      <c r="C2391" s="1">
        <v>1</v>
      </c>
      <c r="D2391" s="1" t="str">
        <f>"00758"</f>
        <v>00758</v>
      </c>
      <c r="E2391" s="1" t="s">
        <v>558</v>
      </c>
      <c r="F2391" s="1">
        <v>10</v>
      </c>
      <c r="G2391" s="1">
        <v>6</v>
      </c>
      <c r="H2391" s="1">
        <v>1</v>
      </c>
      <c r="I2391" s="1" t="s">
        <v>1936</v>
      </c>
      <c r="K2391" s="1" t="str">
        <f t="shared" si="153"/>
        <v>ㄆ</v>
      </c>
      <c r="L2391" s="1" t="str">
        <f t="shared" si="154"/>
        <v>ㄤ</v>
      </c>
      <c r="N2391" s="3" t="s">
        <v>30575</v>
      </c>
      <c r="O2391" s="3"/>
      <c r="P2391" s="1" t="s">
        <v>20</v>
      </c>
      <c r="R2391" s="1" t="s">
        <v>1937</v>
      </c>
      <c r="V2391" s="1" t="s">
        <v>1966</v>
      </c>
      <c r="W2391" s="1" t="s">
        <v>1967</v>
      </c>
      <c r="AR2391" s="1" t="str">
        <f t="shared" si="152"/>
        <v>| [ㄆㄤˊ](ㄆㄤˊ.md) | [逄](逄.md) |  | páng | [名]
姓。如周代有逄同，漢代有逄安。 |</v>
      </c>
    </row>
    <row r="2392" spans="1:44" hidden="1">
      <c r="A2392" s="1" t="s">
        <v>1968</v>
      </c>
      <c r="C2392" s="1">
        <v>1</v>
      </c>
      <c r="D2392" s="1" t="str">
        <f>"00759"</f>
        <v>00759</v>
      </c>
      <c r="E2392" s="1" t="s">
        <v>447</v>
      </c>
      <c r="F2392" s="1">
        <v>19</v>
      </c>
      <c r="G2392" s="1">
        <v>16</v>
      </c>
      <c r="H2392" s="1">
        <v>0</v>
      </c>
      <c r="I2392" s="1" t="s">
        <v>1936</v>
      </c>
      <c r="K2392" s="1" t="str">
        <f t="shared" si="153"/>
        <v>ㄆ</v>
      </c>
      <c r="L2392" s="1" t="str">
        <f t="shared" si="154"/>
        <v>ㄤ</v>
      </c>
      <c r="N2392" s="3" t="s">
        <v>30575</v>
      </c>
      <c r="O2392" s="3"/>
      <c r="P2392" s="1" t="s">
        <v>20</v>
      </c>
      <c r="R2392" s="1" t="s">
        <v>1937</v>
      </c>
      <c r="V2392" s="1" t="s">
        <v>1969</v>
      </c>
      <c r="AR2392" s="1" t="str">
        <f t="shared" si="152"/>
        <v>| [ㄆㄤˊ](ㄆㄤˊ.md) | [龐](龐.md) |  | páng | [形]
1.高大。如：「龐大」。唐．柳宗元〈三戒．黔之驢〉：「形之龐也類有德，聲之宏也類有能。」
2.雜亂。《舊唐書．卷一三一．列傳．李勉》：「汴州水陸所湊，邑居龐雜，號為難理。」
[名]
1.面貌、臉蛋。如：「面龐」、「臉龐」。元．王實甫《西廂記．第二本．第二折》：「衣冠濟楚龐兒俊，可知道引動俺鶯鶯。」
2.姓。如戰國時魏國有龐涓。 |</v>
      </c>
    </row>
    <row r="2393" spans="1:44" hidden="1">
      <c r="A2393" s="1" t="s">
        <v>2055</v>
      </c>
      <c r="C2393" s="1">
        <v>1</v>
      </c>
      <c r="D2393" s="1" t="str">
        <f>"00796"</f>
        <v>00796</v>
      </c>
      <c r="E2393" s="1" t="s">
        <v>139</v>
      </c>
      <c r="F2393" s="1">
        <v>12</v>
      </c>
      <c r="G2393" s="1">
        <v>8</v>
      </c>
      <c r="H2393" s="1">
        <v>0</v>
      </c>
      <c r="I2393" s="1" t="s">
        <v>2056</v>
      </c>
      <c r="K2393" s="1" t="str">
        <f t="shared" si="153"/>
        <v>ㄆ</v>
      </c>
      <c r="L2393" s="1" t="str">
        <f t="shared" si="154"/>
        <v>ㄥ</v>
      </c>
      <c r="N2393" s="3" t="s">
        <v>30574</v>
      </c>
      <c r="O2393" s="3"/>
      <c r="P2393" s="1" t="s">
        <v>20</v>
      </c>
      <c r="R2393" s="1" t="s">
        <v>2057</v>
      </c>
      <c r="V2393" s="1" t="s">
        <v>2058</v>
      </c>
      <c r="AR2393" s="1" t="str">
        <f t="shared" si="152"/>
        <v>| [ㄆㄥˋ](ㄆㄥˋ.md) | [椪](椪.md) |  | pèng | 參見「椪柑」條。 |</v>
      </c>
    </row>
    <row r="2394" spans="1:44" hidden="1">
      <c r="A2394" s="1" t="s">
        <v>2059</v>
      </c>
      <c r="C2394" s="1">
        <v>1</v>
      </c>
      <c r="D2394" s="1" t="str">
        <f>"00797"</f>
        <v>00797</v>
      </c>
      <c r="E2394" s="1" t="s">
        <v>169</v>
      </c>
      <c r="F2394" s="1">
        <v>13</v>
      </c>
      <c r="G2394" s="1">
        <v>8</v>
      </c>
      <c r="H2394" s="1">
        <v>0</v>
      </c>
      <c r="I2394" s="1" t="s">
        <v>2056</v>
      </c>
      <c r="K2394" s="1" t="str">
        <f t="shared" si="153"/>
        <v>ㄆ</v>
      </c>
      <c r="L2394" s="1" t="str">
        <f t="shared" si="154"/>
        <v>ㄥ</v>
      </c>
      <c r="N2394" s="3" t="s">
        <v>30574</v>
      </c>
      <c r="O2394" s="3"/>
      <c r="P2394" s="1" t="s">
        <v>20</v>
      </c>
      <c r="R2394" s="1" t="s">
        <v>2057</v>
      </c>
      <c r="V2394" s="1" t="s">
        <v>2060</v>
      </c>
      <c r="AR2394" s="1" t="str">
        <f t="shared" si="152"/>
        <v>| [ㄆㄥˋ](ㄆㄥˋ.md) | [碰](碰.md) |  | pèng | [動]
1.物體與物相撞擊。如：「相碰」、「碰傷了手」。
2.遇到。如：「碰見」、「碰到」。
3.試探、嘗試。如：「碰運氣」、「碰機會」。
4.招惹。《紅樓夢》第五五回：「何苦你們先來碰在這釘子上？」《兒女英雄傳》第二二回：「其實咱們離開不到一年，瞧瞧你們在外頭，倒碰出多少不順心的事來。」 |</v>
      </c>
    </row>
    <row r="2395" spans="1:44" hidden="1">
      <c r="A2395" s="1" t="s">
        <v>2061</v>
      </c>
      <c r="C2395" s="1">
        <v>1</v>
      </c>
      <c r="D2395" s="1" t="str">
        <f>"00798"</f>
        <v>00798</v>
      </c>
      <c r="E2395" s="1" t="s">
        <v>77</v>
      </c>
      <c r="F2395" s="1">
        <v>15</v>
      </c>
      <c r="G2395" s="1">
        <v>8</v>
      </c>
      <c r="H2395" s="1">
        <v>0</v>
      </c>
      <c r="I2395" s="1" t="s">
        <v>2056</v>
      </c>
      <c r="K2395" s="1" t="str">
        <f t="shared" si="153"/>
        <v>ㄆ</v>
      </c>
      <c r="L2395" s="1" t="str">
        <f t="shared" si="154"/>
        <v>ㄥ</v>
      </c>
      <c r="N2395" s="3" t="s">
        <v>30574</v>
      </c>
      <c r="O2395" s="3"/>
      <c r="P2395" s="1" t="s">
        <v>20</v>
      </c>
      <c r="R2395" s="1" t="s">
        <v>2057</v>
      </c>
      <c r="V2395" s="1" t="s">
        <v>2062</v>
      </c>
      <c r="AR2395" s="1" t="str">
        <f t="shared" si="152"/>
        <v>| [ㄆㄥˋ](ㄆㄥˋ.md) | [踫](踫.md) |  | pèng | [動]
徒步渡水。《集韻．平聲．銜韻》：「踫，涉也。」 |</v>
      </c>
    </row>
    <row r="2396" spans="1:44" hidden="1">
      <c r="A2396" s="1" t="s">
        <v>2009</v>
      </c>
      <c r="C2396" s="1">
        <v>1</v>
      </c>
      <c r="D2396" s="1" t="str">
        <f>"00776"</f>
        <v>00776</v>
      </c>
      <c r="E2396" s="1" t="s">
        <v>37</v>
      </c>
      <c r="F2396" s="1">
        <v>7</v>
      </c>
      <c r="G2396" s="1">
        <v>3</v>
      </c>
      <c r="H2396" s="1">
        <v>0</v>
      </c>
      <c r="I2396" s="1" t="s">
        <v>2010</v>
      </c>
      <c r="K2396" s="1" t="str">
        <f t="shared" si="153"/>
        <v>ㄆ</v>
      </c>
      <c r="L2396" s="1" t="str">
        <f t="shared" si="154"/>
        <v>ㄥ</v>
      </c>
      <c r="N2396" s="3" t="s">
        <v>30575</v>
      </c>
      <c r="O2396" s="3"/>
      <c r="P2396" s="1" t="s">
        <v>20</v>
      </c>
      <c r="R2396" s="1" t="s">
        <v>2011</v>
      </c>
      <c r="V2396" s="1" t="s">
        <v>2012</v>
      </c>
      <c r="AR2396" s="1" t="str">
        <f t="shared" si="152"/>
        <v>| [ㄆㄥˊ](ㄆㄥˊ.md) | [芃](芃.md) |  | péng | [形]
1.草木茂盛。《說文解字．艸部》：「芃，艸盛也。」《詩經．鄘風．載馳》：「我行其野，芃芃其麥。」《清史稿．卷九十七．樂志四》：「蓊鬱元雲渰宸楓，大雨時行黍稷芃。」
2.獸毛蓬鬆雜亂。《詩經．小雅．何草不黃》：「有芃者狐，率彼幽草。」 |</v>
      </c>
    </row>
    <row r="2397" spans="1:44" hidden="1">
      <c r="A2397" s="1" t="s">
        <v>2013</v>
      </c>
      <c r="C2397" s="1">
        <v>1</v>
      </c>
      <c r="D2397" s="1" t="str">
        <f>"00777"</f>
        <v>00777</v>
      </c>
      <c r="E2397" s="1" t="s">
        <v>2014</v>
      </c>
      <c r="F2397" s="1">
        <v>8</v>
      </c>
      <c r="G2397" s="1">
        <v>4</v>
      </c>
      <c r="H2397" s="1">
        <v>0</v>
      </c>
      <c r="I2397" s="1" t="s">
        <v>2010</v>
      </c>
      <c r="K2397" s="1" t="str">
        <f t="shared" si="153"/>
        <v>ㄆ</v>
      </c>
      <c r="L2397" s="1" t="str">
        <f t="shared" si="154"/>
        <v>ㄥ</v>
      </c>
      <c r="N2397" s="3" t="s">
        <v>30575</v>
      </c>
      <c r="O2397" s="3"/>
      <c r="P2397" s="1" t="s">
        <v>20</v>
      </c>
      <c r="R2397" s="1" t="s">
        <v>2011</v>
      </c>
      <c r="V2397" s="1" t="s">
        <v>2015</v>
      </c>
      <c r="AR2397" s="1" t="str">
        <f t="shared" si="152"/>
        <v>| [ㄆㄥˊ](ㄆㄥˊ.md) | [朋](朋.md) |  | péng | [名]
1.友人。如：「親朋好友」、「朋友」。
2.量詞。古代計算貨幣的單位。《詩經．小雅．菁菁者莪》：「既見君子，錫我百朋。」
3.姓。如宋代有朋山、朋水。
[動]
1.集結。如：「朋比為奸」。宋．劉克莊〈鵲橋仙．閣中芸冷〉詞：「不交平勃，不遊田竇，也不朋他牛李。」
2.相比、相類。《詩經．唐風．椒聊》：「彼其之子，碩大無朋。」 |</v>
      </c>
    </row>
    <row r="2398" spans="1:44" hidden="1">
      <c r="A2398" s="1" t="s">
        <v>2016</v>
      </c>
      <c r="C2398" s="1">
        <v>1</v>
      </c>
      <c r="D2398" s="1" t="str">
        <f>"00778"</f>
        <v>00778</v>
      </c>
      <c r="E2398" s="1" t="s">
        <v>114</v>
      </c>
      <c r="F2398" s="1">
        <v>10</v>
      </c>
      <c r="G2398" s="1">
        <v>8</v>
      </c>
      <c r="H2398" s="1">
        <v>0</v>
      </c>
      <c r="I2398" s="1" t="s">
        <v>2010</v>
      </c>
      <c r="K2398" s="1" t="str">
        <f t="shared" si="153"/>
        <v>ㄆ</v>
      </c>
      <c r="L2398" s="1" t="str">
        <f t="shared" si="154"/>
        <v>ㄥ</v>
      </c>
      <c r="N2398" s="3" t="s">
        <v>30575</v>
      </c>
      <c r="O2398" s="3"/>
      <c r="P2398" s="1" t="s">
        <v>20</v>
      </c>
      <c r="R2398" s="1" t="s">
        <v>2011</v>
      </c>
      <c r="V2398" s="1" t="s">
        <v>2017</v>
      </c>
      <c r="AR2398" s="1" t="str">
        <f t="shared" si="152"/>
        <v>| [ㄆㄥˊ](ㄆㄥˊ.md) | [倗](倗.md) |  | péng | [動]
輔助。《說文解字．人部》：「倗，輔也。」
[名]
姓。如西漢時有倗宗。 |</v>
      </c>
    </row>
    <row r="2399" spans="1:44" hidden="1">
      <c r="A2399" s="1" t="s">
        <v>859</v>
      </c>
      <c r="C2399" s="1">
        <v>1</v>
      </c>
      <c r="D2399" s="1" t="str">
        <f>"00779"</f>
        <v>00779</v>
      </c>
      <c r="E2399" s="1" t="s">
        <v>132</v>
      </c>
      <c r="F2399" s="1">
        <v>11</v>
      </c>
      <c r="G2399" s="1">
        <v>8</v>
      </c>
      <c r="H2399" s="1">
        <v>2</v>
      </c>
      <c r="I2399" s="1" t="s">
        <v>2010</v>
      </c>
      <c r="K2399" s="1" t="str">
        <f t="shared" si="153"/>
        <v>ㄆ</v>
      </c>
      <c r="L2399" s="1" t="str">
        <f t="shared" si="154"/>
        <v>ㄥ</v>
      </c>
      <c r="N2399" s="3" t="s">
        <v>30575</v>
      </c>
      <c r="O2399" s="3"/>
      <c r="P2399" s="1" t="s">
        <v>20</v>
      </c>
      <c r="R2399" s="1" t="s">
        <v>2011</v>
      </c>
      <c r="V2399" s="1" t="s">
        <v>2018</v>
      </c>
      <c r="W2399" s="1" t="s">
        <v>2019</v>
      </c>
      <c r="AR2399" s="1" t="str">
        <f t="shared" si="152"/>
        <v>| [ㄆㄥˊ](ㄆㄥˊ.md) | [堋](堋.md) |  | péng | [名]
1.用來掛箭靶的短牆。北周．庾信〈北園射堂新成詩〉：「轉剪初調筈，橫弓先望堋。」《新唐書．卷五〇．兵志》：「諸軍皆近營為堋，士有便習者，教試之，及第者有賞。」
2.堤壩，用來堵水灌溉。北魏．酈道元《水經注．江水注》：「江水又噱鞶安縣，縣有桃關、漢武帝祠，李冰作大堰于此，雍江作堋，堋有左右，口謂之湔堋。」元．虞集〈會試策問〉：「故鄭渠鑿而秦人富，蜀堋成而陸海興。」 |</v>
      </c>
    </row>
    <row r="2400" spans="1:44" hidden="1">
      <c r="A2400" s="1" t="s">
        <v>831</v>
      </c>
      <c r="C2400" s="1">
        <v>1</v>
      </c>
      <c r="D2400" s="1" t="str">
        <f>"00780"</f>
        <v>00780</v>
      </c>
      <c r="E2400" s="1" t="s">
        <v>103</v>
      </c>
      <c r="F2400" s="1">
        <v>11</v>
      </c>
      <c r="G2400" s="1">
        <v>8</v>
      </c>
      <c r="H2400" s="1">
        <v>1</v>
      </c>
      <c r="I2400" s="1" t="s">
        <v>2010</v>
      </c>
      <c r="K2400" s="1" t="str">
        <f t="shared" si="153"/>
        <v>ㄆ</v>
      </c>
      <c r="L2400" s="1" t="str">
        <f t="shared" si="154"/>
        <v>ㄥ</v>
      </c>
      <c r="N2400" s="3" t="s">
        <v>30575</v>
      </c>
      <c r="O2400" s="3"/>
      <c r="P2400" s="1" t="s">
        <v>20</v>
      </c>
      <c r="R2400" s="1" t="s">
        <v>2011</v>
      </c>
      <c r="V2400" s="1" t="s">
        <v>2020</v>
      </c>
      <c r="W2400" s="1" t="s">
        <v>2021</v>
      </c>
      <c r="AR2400" s="1" t="str">
        <f t="shared" si="152"/>
        <v>| [ㄆㄥˊ](ㄆㄥˊ.md) | [弸](弸.md) |  | péng | [形]
弓強的樣子。《說文解字．弓部》：「朋，弓彊貌。」
[動]
充滿、蓄積。參見「弸中彪外」條。 |</v>
      </c>
    </row>
    <row r="2401" spans="1:44" hidden="1">
      <c r="A2401" s="1" t="s">
        <v>2022</v>
      </c>
      <c r="C2401" s="1">
        <v>1</v>
      </c>
      <c r="D2401" s="1" t="str">
        <f>"00781"</f>
        <v>00781</v>
      </c>
      <c r="E2401" s="1" t="s">
        <v>139</v>
      </c>
      <c r="F2401" s="1">
        <v>12</v>
      </c>
      <c r="G2401" s="1">
        <v>8</v>
      </c>
      <c r="H2401" s="1">
        <v>0</v>
      </c>
      <c r="I2401" s="1" t="s">
        <v>2010</v>
      </c>
      <c r="K2401" s="1" t="str">
        <f t="shared" si="153"/>
        <v>ㄆ</v>
      </c>
      <c r="L2401" s="1" t="str">
        <f t="shared" si="154"/>
        <v>ㄥ</v>
      </c>
      <c r="N2401" s="3" t="s">
        <v>30575</v>
      </c>
      <c r="O2401" s="3"/>
      <c r="P2401" s="1" t="s">
        <v>20</v>
      </c>
      <c r="R2401" s="1" t="s">
        <v>2011</v>
      </c>
      <c r="V2401" s="1" t="s">
        <v>2023</v>
      </c>
      <c r="AR2401" s="1" t="str">
        <f t="shared" si="152"/>
        <v>| [ㄆㄥˊ](ㄆㄥˊ.md) | [棚](棚.md) |  | péng | [名]
1.樓閣。《隋書．卷六二．柳彧》：「高棚跨路，廣幕陵雲。」
2.用竹木和茅草搭蓋而成的蓬架，有遮陽擋雨的功能。如：「涼棚」、「草棚」。唐．陸龜蒙〈江南秋懷寄華陽山人〉詩：「餓烏窺食案，鬥鼠落書棚。」 |</v>
      </c>
    </row>
    <row r="2402" spans="1:44" hidden="1">
      <c r="A2402" s="1" t="s">
        <v>1999</v>
      </c>
      <c r="C2402" s="1">
        <v>1</v>
      </c>
      <c r="D2402" s="1" t="str">
        <f>"00782"</f>
        <v>00782</v>
      </c>
      <c r="E2402" s="1" t="s">
        <v>169</v>
      </c>
      <c r="F2402" s="1">
        <v>13</v>
      </c>
      <c r="G2402" s="1">
        <v>8</v>
      </c>
      <c r="H2402" s="1">
        <v>1</v>
      </c>
      <c r="I2402" s="1" t="s">
        <v>2010</v>
      </c>
      <c r="K2402" s="1" t="str">
        <f t="shared" si="153"/>
        <v>ㄆ</v>
      </c>
      <c r="L2402" s="1" t="str">
        <f t="shared" si="154"/>
        <v>ㄥ</v>
      </c>
      <c r="N2402" s="3" t="s">
        <v>30575</v>
      </c>
      <c r="O2402" s="3"/>
      <c r="P2402" s="1" t="s">
        <v>20</v>
      </c>
      <c r="R2402" s="1" t="s">
        <v>2011</v>
      </c>
      <c r="V2402" s="1" t="s">
        <v>2024</v>
      </c>
      <c r="W2402" s="1" t="s">
        <v>2025</v>
      </c>
      <c r="AR2402" s="1" t="str">
        <f t="shared" si="152"/>
        <v>| [ㄆㄥˊ](ㄆㄥˊ.md) | [硼](硼.md) |  | péng | [名]
（boron，B）化學元素。原子序5。非金屬固體元素之一。純品由人工製成，有褐色非晶形粉末及堅硬的結晶形二種。常作為核反應爐的中子吸收劑用作催化劑，可及供製催化劑、陶瓷、合金、溫度計等。 |</v>
      </c>
    </row>
    <row r="2403" spans="1:44" hidden="1">
      <c r="A2403" s="1" t="s">
        <v>2026</v>
      </c>
      <c r="C2403" s="1">
        <v>1</v>
      </c>
      <c r="D2403" s="1" t="str">
        <f>"00783"</f>
        <v>00783</v>
      </c>
      <c r="E2403" s="1" t="s">
        <v>71</v>
      </c>
      <c r="F2403" s="1">
        <v>15</v>
      </c>
      <c r="G2403" s="1">
        <v>8</v>
      </c>
      <c r="H2403" s="1">
        <v>0</v>
      </c>
      <c r="I2403" s="1" t="s">
        <v>2010</v>
      </c>
      <c r="K2403" s="1" t="str">
        <f t="shared" si="153"/>
        <v>ㄆ</v>
      </c>
      <c r="L2403" s="1" t="str">
        <f t="shared" si="154"/>
        <v>ㄥ</v>
      </c>
      <c r="N2403" s="3" t="s">
        <v>30575</v>
      </c>
      <c r="O2403" s="3"/>
      <c r="P2403" s="1" t="s">
        <v>20</v>
      </c>
      <c r="R2403" s="1" t="s">
        <v>2011</v>
      </c>
      <c r="V2403" s="1" t="s">
        <v>2027</v>
      </c>
      <c r="AR2403" s="1" t="str">
        <f t="shared" si="152"/>
        <v>| [ㄆㄥˊ](ㄆㄥˊ.md) | [輣](輣.md) |  | péng | [名]
兵車、戰車。《說文解字．車部》：「輣，兵車也。」《史記．卷一一八．淮南衡山傳》：「王乃使孝客江都人救赫、陳喜作輣車鏃矢。」《漢書．卷一〇〇．敘傳下》：「戎車七征，衝輣閑閑。」 |</v>
      </c>
    </row>
    <row r="2404" spans="1:44" hidden="1">
      <c r="A2404" s="1" t="s">
        <v>2028</v>
      </c>
      <c r="C2404" s="1">
        <v>1</v>
      </c>
      <c r="D2404" s="1" t="str">
        <f>"00784"</f>
        <v>00784</v>
      </c>
      <c r="E2404" s="1" t="s">
        <v>1078</v>
      </c>
      <c r="F2404" s="1">
        <v>18</v>
      </c>
      <c r="G2404" s="1">
        <v>8</v>
      </c>
      <c r="H2404" s="1">
        <v>0</v>
      </c>
      <c r="I2404" s="1" t="s">
        <v>2010</v>
      </c>
      <c r="K2404" s="1" t="str">
        <f t="shared" si="153"/>
        <v>ㄆ</v>
      </c>
      <c r="L2404" s="1" t="str">
        <f t="shared" si="154"/>
        <v>ㄥ</v>
      </c>
      <c r="N2404" s="3" t="s">
        <v>30575</v>
      </c>
      <c r="O2404" s="3"/>
      <c r="P2404" s="1" t="s">
        <v>20</v>
      </c>
      <c r="R2404" s="1" t="s">
        <v>2011</v>
      </c>
      <c r="V2404" s="1" t="s">
        <v>2029</v>
      </c>
      <c r="AR2404" s="1" t="str">
        <f t="shared" si="152"/>
        <v>| [ㄆㄥˊ](ㄆㄥˊ.md) | [鬅](鬅.md) |  | péng | [形]
頭髮散亂。如：「鬅頭垢面」。 |</v>
      </c>
    </row>
    <row r="2405" spans="1:44" hidden="1">
      <c r="A2405" s="1" t="s">
        <v>2030</v>
      </c>
      <c r="C2405" s="1">
        <v>1</v>
      </c>
      <c r="D2405" s="1" t="str">
        <f>"00785"</f>
        <v>00785</v>
      </c>
      <c r="E2405" s="1" t="s">
        <v>272</v>
      </c>
      <c r="F2405" s="1">
        <v>19</v>
      </c>
      <c r="G2405" s="1">
        <v>8</v>
      </c>
      <c r="H2405" s="1">
        <v>0</v>
      </c>
      <c r="I2405" s="1" t="s">
        <v>2010</v>
      </c>
      <c r="K2405" s="1" t="str">
        <f t="shared" si="153"/>
        <v>ㄆ</v>
      </c>
      <c r="L2405" s="1" t="str">
        <f t="shared" si="154"/>
        <v>ㄥ</v>
      </c>
      <c r="N2405" s="3" t="s">
        <v>30575</v>
      </c>
      <c r="O2405" s="3"/>
      <c r="P2405" s="1" t="s">
        <v>20</v>
      </c>
      <c r="R2405" s="1" t="s">
        <v>2011</v>
      </c>
      <c r="V2405" s="1" t="s">
        <v>2031</v>
      </c>
      <c r="AR2405" s="1" t="str">
        <f t="shared" si="152"/>
        <v>| [ㄆㄥˊ](ㄆㄥˊ.md) | [鵬](鵬.md) |  | péng | [名]
古書上記載的一種大鳥，傳說能一飛數千里。《莊子．逍遙遊》：「北冥有魚，其名為鯤，鯤之大不知其幾千里也，化而為鳥，其名為鵬，鵬之背不知其幾千里也。怒而飛，其翼若垂天之雲。」 |</v>
      </c>
    </row>
    <row r="2406" spans="1:44" hidden="1">
      <c r="A2406" s="1" t="s">
        <v>2032</v>
      </c>
      <c r="C2406" s="1">
        <v>1</v>
      </c>
      <c r="D2406" s="1" t="str">
        <f>"00786"</f>
        <v>00786</v>
      </c>
      <c r="E2406" s="1" t="s">
        <v>558</v>
      </c>
      <c r="F2406" s="1">
        <v>11</v>
      </c>
      <c r="G2406" s="1">
        <v>7</v>
      </c>
      <c r="H2406" s="1">
        <v>2</v>
      </c>
      <c r="I2406" s="1" t="s">
        <v>2010</v>
      </c>
      <c r="K2406" s="1" t="str">
        <f t="shared" si="153"/>
        <v>ㄆ</v>
      </c>
      <c r="L2406" s="1" t="str">
        <f t="shared" si="154"/>
        <v>ㄥ</v>
      </c>
      <c r="N2406" s="3" t="s">
        <v>30575</v>
      </c>
      <c r="O2406" s="3"/>
      <c r="P2406" s="1" t="s">
        <v>20</v>
      </c>
      <c r="R2406" s="1" t="s">
        <v>2011</v>
      </c>
      <c r="V2406" s="1" t="s">
        <v>2033</v>
      </c>
      <c r="W2406" s="1" t="s">
        <v>2034</v>
      </c>
      <c r="AR2406" s="1" t="str">
        <f t="shared" si="152"/>
        <v>| [ㄆㄥˊ](ㄆㄥˊ.md) | [逢](逢.md) |  | péng | [擬]
參見「逢逢」條。
[名]
姓。如夏朝有逢蒙。 |</v>
      </c>
    </row>
    <row r="2407" spans="1:44" hidden="1">
      <c r="A2407" s="1" t="s">
        <v>2035</v>
      </c>
      <c r="C2407" s="1">
        <v>1</v>
      </c>
      <c r="D2407" s="1" t="str">
        <f>"00787"</f>
        <v>00787</v>
      </c>
      <c r="E2407" s="1" t="s">
        <v>37</v>
      </c>
      <c r="F2407" s="1">
        <v>15</v>
      </c>
      <c r="G2407" s="1">
        <v>11</v>
      </c>
      <c r="H2407" s="1">
        <v>0</v>
      </c>
      <c r="I2407" s="1" t="s">
        <v>2010</v>
      </c>
      <c r="K2407" s="1" t="str">
        <f t="shared" si="153"/>
        <v>ㄆ</v>
      </c>
      <c r="L2407" s="1" t="str">
        <f t="shared" si="154"/>
        <v>ㄥ</v>
      </c>
      <c r="N2407" s="3" t="s">
        <v>30575</v>
      </c>
      <c r="O2407" s="3"/>
      <c r="P2407" s="1" t="s">
        <v>20</v>
      </c>
      <c r="R2407" s="1" t="s">
        <v>2011</v>
      </c>
      <c r="V2407" s="1" t="s">
        <v>2036</v>
      </c>
      <c r="AR2407" s="1" t="str">
        <f t="shared" si="152"/>
        <v>| [ㄆㄥˊ](ㄆㄥˊ.md) | [蓬](蓬.md) |  | péng | [名]
1.植物名。菊科飛蓬屬，「飛蓬」之古稱。參見「飛蓬」條。
2.姓。如漢代有蓬球。
[形]
散亂的樣子。如：「蓬頭垢面」。漢．揚雄〈長楊賦〉：「頭蓬不暇梳，飢不及餐。」 |</v>
      </c>
    </row>
    <row r="2408" spans="1:44" hidden="1">
      <c r="A2408" s="1" t="s">
        <v>2037</v>
      </c>
      <c r="C2408" s="1">
        <v>1</v>
      </c>
      <c r="D2408" s="1" t="str">
        <f>"00788"</f>
        <v>00788</v>
      </c>
      <c r="E2408" s="1" t="s">
        <v>1078</v>
      </c>
      <c r="F2408" s="1">
        <v>17</v>
      </c>
      <c r="G2408" s="1">
        <v>7</v>
      </c>
      <c r="H2408" s="1">
        <v>0</v>
      </c>
      <c r="I2408" s="1" t="s">
        <v>2010</v>
      </c>
      <c r="K2408" s="1" t="str">
        <f t="shared" si="153"/>
        <v>ㄆ</v>
      </c>
      <c r="L2408" s="1" t="str">
        <f t="shared" si="154"/>
        <v>ㄥ</v>
      </c>
      <c r="N2408" s="3" t="s">
        <v>30575</v>
      </c>
      <c r="O2408" s="3"/>
      <c r="P2408" s="1" t="s">
        <v>20</v>
      </c>
      <c r="R2408" s="1" t="s">
        <v>2011</v>
      </c>
      <c r="V2408" s="1" t="s">
        <v>2038</v>
      </c>
      <c r="AR2408" s="1" t="str">
        <f t="shared" si="152"/>
        <v>| [ㄆㄥˊ](ㄆㄥˊ.md) | [髼](髼.md) |  | péng | 參見「髼鬆」條。 |</v>
      </c>
    </row>
    <row r="2409" spans="1:44" hidden="1">
      <c r="A2409" s="1" t="s">
        <v>2039</v>
      </c>
      <c r="C2409" s="1">
        <v>1</v>
      </c>
      <c r="D2409" s="1" t="str">
        <f>"00789"</f>
        <v>00789</v>
      </c>
      <c r="E2409" s="1" t="s">
        <v>49</v>
      </c>
      <c r="F2409" s="1">
        <v>17</v>
      </c>
      <c r="G2409" s="1">
        <v>11</v>
      </c>
      <c r="H2409" s="1">
        <v>0</v>
      </c>
      <c r="I2409" s="1" t="s">
        <v>2010</v>
      </c>
      <c r="K2409" s="1" t="str">
        <f t="shared" si="153"/>
        <v>ㄆ</v>
      </c>
      <c r="L2409" s="1" t="str">
        <f t="shared" si="154"/>
        <v>ㄥ</v>
      </c>
      <c r="N2409" s="3" t="s">
        <v>30575</v>
      </c>
      <c r="O2409" s="3"/>
      <c r="P2409" s="1" t="s">
        <v>20</v>
      </c>
      <c r="R2409" s="1" t="s">
        <v>2011</v>
      </c>
      <c r="V2409" s="1" t="s">
        <v>2040</v>
      </c>
      <c r="AR2409" s="1" t="str">
        <f t="shared" si="152"/>
        <v>| [ㄆㄥˊ](ㄆㄥˊ.md) | [篷](篷.md) |  | péng | [名]
1.在車、船上的遮蔽物，用竹片或油布等搭設而成。如：「車篷」、「船篷」。
2.船帆。《三國演義》第四九回：「那篷墮落下水，其船便橫。」《警世通言．卷一一．蘇知縣羅衫再合》：「拽起滿篷，倒使轉向黃天蕩去。」
3.借指船。唐．皮日休〈寄懷南陽潤卿〉詩：「何事對君猶有愧，一篷衝雪返華陽。」 |</v>
      </c>
    </row>
    <row r="2410" spans="1:44" hidden="1">
      <c r="A2410" s="1" t="s">
        <v>2041</v>
      </c>
      <c r="C2410" s="1">
        <v>1</v>
      </c>
      <c r="D2410" s="1" t="str">
        <f>"00790"</f>
        <v>00790</v>
      </c>
      <c r="E2410" s="1" t="s">
        <v>1335</v>
      </c>
      <c r="F2410" s="1">
        <v>12</v>
      </c>
      <c r="G2410" s="1">
        <v>9</v>
      </c>
      <c r="H2410" s="1">
        <v>0</v>
      </c>
      <c r="I2410" s="1" t="s">
        <v>2010</v>
      </c>
      <c r="K2410" s="1" t="str">
        <f t="shared" si="153"/>
        <v>ㄆ</v>
      </c>
      <c r="L2410" s="1" t="str">
        <f t="shared" si="154"/>
        <v>ㄥ</v>
      </c>
      <c r="N2410" s="3" t="s">
        <v>30575</v>
      </c>
      <c r="O2410" s="3"/>
      <c r="P2410" s="1" t="s">
        <v>20</v>
      </c>
      <c r="R2410" s="1" t="s">
        <v>2011</v>
      </c>
      <c r="V2410" s="1" t="s">
        <v>2042</v>
      </c>
      <c r="AR2410" s="1" t="str">
        <f t="shared" si="152"/>
        <v>| [ㄆㄥˊ](ㄆㄥˊ.md) | [彭](彭.md) |  | péng | [名]
1.地名。春秋鄭邑。故址約在今大陸地區河南省中牟縣境內。
2.姓。如清代有彭孫貽。 |</v>
      </c>
    </row>
    <row r="2411" spans="1:44" hidden="1">
      <c r="A2411" s="1" t="s">
        <v>2006</v>
      </c>
      <c r="C2411" s="1">
        <v>1</v>
      </c>
      <c r="D2411" s="1" t="str">
        <f>"00791"</f>
        <v>00791</v>
      </c>
      <c r="E2411" s="1" t="s">
        <v>129</v>
      </c>
      <c r="F2411" s="1">
        <v>15</v>
      </c>
      <c r="G2411" s="1">
        <v>12</v>
      </c>
      <c r="H2411" s="1">
        <v>2</v>
      </c>
      <c r="I2411" s="1" t="s">
        <v>2010</v>
      </c>
      <c r="K2411" s="1" t="str">
        <f t="shared" si="153"/>
        <v>ㄆ</v>
      </c>
      <c r="L2411" s="1" t="str">
        <f t="shared" si="154"/>
        <v>ㄥ</v>
      </c>
      <c r="N2411" s="3" t="s">
        <v>30575</v>
      </c>
      <c r="O2411" s="3"/>
      <c r="P2411" s="1" t="s">
        <v>20</v>
      </c>
      <c r="R2411" s="1" t="s">
        <v>2011</v>
      </c>
      <c r="V2411" s="1" t="s">
        <v>2043</v>
      </c>
      <c r="W2411" s="1" t="s">
        <v>2044</v>
      </c>
      <c r="AR2411" s="1" t="str">
        <f t="shared" si="152"/>
        <v>| [ㄆㄥˊ](ㄆㄥˊ.md) | [澎](澎.md) |  | péng | 參見「澎湖縣」、「澎浪磯」、「澎湖群島」等條。 |</v>
      </c>
    </row>
    <row r="2412" spans="1:44" hidden="1">
      <c r="A2412" s="1" t="s">
        <v>2045</v>
      </c>
      <c r="C2412" s="1">
        <v>1</v>
      </c>
      <c r="D2412" s="1" t="str">
        <f>"00792"</f>
        <v>00792</v>
      </c>
      <c r="E2412" s="1" t="s">
        <v>68</v>
      </c>
      <c r="F2412" s="1">
        <v>16</v>
      </c>
      <c r="G2412" s="1">
        <v>12</v>
      </c>
      <c r="H2412" s="1">
        <v>0</v>
      </c>
      <c r="I2412" s="1" t="s">
        <v>2010</v>
      </c>
      <c r="K2412" s="1" t="str">
        <f t="shared" si="153"/>
        <v>ㄆ</v>
      </c>
      <c r="L2412" s="1" t="str">
        <f t="shared" si="154"/>
        <v>ㄥ</v>
      </c>
      <c r="N2412" s="3" t="s">
        <v>30575</v>
      </c>
      <c r="O2412" s="3"/>
      <c r="P2412" s="1" t="s">
        <v>20</v>
      </c>
      <c r="R2412" s="1" t="s">
        <v>2011</v>
      </c>
      <c r="V2412" s="1" t="s">
        <v>2046</v>
      </c>
      <c r="AR2412" s="1" t="str">
        <f t="shared" si="152"/>
        <v>| [ㄆㄥˊ](ㄆㄥˊ.md) | [膨](膨.md) |  | péng | 參見「膨脹」條。 |</v>
      </c>
    </row>
    <row r="2413" spans="1:44" hidden="1">
      <c r="A2413" s="1" t="s">
        <v>2047</v>
      </c>
      <c r="C2413" s="1">
        <v>1</v>
      </c>
      <c r="D2413" s="1" t="str">
        <f>"00793"</f>
        <v>00793</v>
      </c>
      <c r="E2413" s="1" t="s">
        <v>679</v>
      </c>
      <c r="F2413" s="1">
        <v>18</v>
      </c>
      <c r="G2413" s="1">
        <v>12</v>
      </c>
      <c r="H2413" s="1">
        <v>0</v>
      </c>
      <c r="I2413" s="1" t="s">
        <v>2010</v>
      </c>
      <c r="K2413" s="1" t="str">
        <f t="shared" si="153"/>
        <v>ㄆ</v>
      </c>
      <c r="L2413" s="1" t="str">
        <f t="shared" si="154"/>
        <v>ㄥ</v>
      </c>
      <c r="N2413" s="3" t="s">
        <v>30575</v>
      </c>
      <c r="O2413" s="3"/>
      <c r="P2413" s="1" t="s">
        <v>20</v>
      </c>
      <c r="R2413" s="1" t="s">
        <v>2011</v>
      </c>
      <c r="V2413" s="1" t="s">
        <v>2048</v>
      </c>
      <c r="AR2413" s="1" t="str">
        <f t="shared" si="152"/>
        <v>| [ㄆㄥˊ](ㄆㄥˊ.md) | [蟛](蟛.md) |  | péng | 參見「蟛螖」、「蟛蜞」等條。 |</v>
      </c>
    </row>
    <row r="2414" spans="1:44" hidden="1">
      <c r="A2414" s="1" t="s">
        <v>1962</v>
      </c>
      <c r="C2414" s="1">
        <v>1</v>
      </c>
      <c r="D2414" s="1" t="str">
        <f>"00794"</f>
        <v>00794</v>
      </c>
      <c r="E2414" s="1" t="s">
        <v>49</v>
      </c>
      <c r="F2414" s="1">
        <v>16</v>
      </c>
      <c r="G2414" s="1">
        <v>10</v>
      </c>
      <c r="H2414" s="1">
        <v>2</v>
      </c>
      <c r="I2414" s="1" t="s">
        <v>2010</v>
      </c>
      <c r="K2414" s="1" t="str">
        <f t="shared" si="153"/>
        <v>ㄆ</v>
      </c>
      <c r="L2414" s="1" t="str">
        <f t="shared" si="154"/>
        <v>ㄥ</v>
      </c>
      <c r="N2414" s="3" t="s">
        <v>30575</v>
      </c>
      <c r="O2414" s="3"/>
      <c r="P2414" s="1" t="s">
        <v>20</v>
      </c>
      <c r="R2414" s="1" t="s">
        <v>2011</v>
      </c>
      <c r="V2414" s="1" t="s">
        <v>2049</v>
      </c>
      <c r="W2414" s="1" t="s">
        <v>2050</v>
      </c>
      <c r="AR2414" s="1" t="str">
        <f t="shared" si="152"/>
        <v>| [ㄆㄥˊ](ㄆㄥˊ.md) | [篣](篣.md) |  | péng | [名]
竹籠的別稱。漢．揚雄《方言》卷一三：「籠，南楚江沔之間謂之篣。」
[動]
鞭笞、擊打。《後漢書．卷三三．虞延傳》：「陰氏屢請，獲一書輒加篣二百。」唐．皮日休〈十原系述．原親〉：「吾觀夫今之世誨其子者，必檟肌篣骨，傷愛毀性以為教。」 |</v>
      </c>
    </row>
    <row r="2415" spans="1:44" hidden="1">
      <c r="A2415" s="1" t="s">
        <v>2051</v>
      </c>
      <c r="C2415" s="1">
        <v>1</v>
      </c>
      <c r="D2415" s="1" t="str">
        <f>"00795"</f>
        <v>00795</v>
      </c>
      <c r="E2415" s="1" t="s">
        <v>24</v>
      </c>
      <c r="F2415" s="1">
        <v>11</v>
      </c>
      <c r="G2415" s="1">
        <v>8</v>
      </c>
      <c r="H2415" s="1">
        <v>0</v>
      </c>
      <c r="I2415" s="1" t="s">
        <v>2052</v>
      </c>
      <c r="K2415" s="1" t="str">
        <f t="shared" si="153"/>
        <v>ㄆ</v>
      </c>
      <c r="L2415" s="1" t="str">
        <f t="shared" si="154"/>
        <v>ㄥ</v>
      </c>
      <c r="N2415" s="3" t="s">
        <v>30576</v>
      </c>
      <c r="O2415" s="3"/>
      <c r="P2415" s="1" t="s">
        <v>20</v>
      </c>
      <c r="R2415" s="1" t="s">
        <v>2053</v>
      </c>
      <c r="V2415" s="1" t="s">
        <v>2054</v>
      </c>
      <c r="AR2415" s="1" t="str">
        <f t="shared" si="152"/>
        <v>| [ㄆㄥˇ](ㄆㄥˇ.md) | [捧](捧.md) |  | pěng | [動]
1.用兩手托物。如：「捧碗」、「捧茶」。《後漢書．卷三三．朱浮傳》：「此猶河濱之人捧土以塞孟津，多見其不知量也。」
2.捫、按。如：「捧腹大笑」。《莊子．天運》：「故西施病心而臏其里，其里之醜人見而笑之，歸亦捧心而臏其里。」
3.讚揚、奉承他人或代為吹噓。如：「捧場」、「他被捧上天了。」
[名]
量詞。計算兩手捧承物品的單位。如：「捧著一捧花」。 |</v>
      </c>
    </row>
    <row r="2416" spans="1:44" hidden="1">
      <c r="A2416" s="1" t="s">
        <v>2190</v>
      </c>
      <c r="C2416" s="1">
        <v>1</v>
      </c>
      <c r="D2416" s="1" t="str">
        <f>"00856"</f>
        <v>00856</v>
      </c>
      <c r="E2416" s="1" t="s">
        <v>871</v>
      </c>
      <c r="F2416" s="1">
        <v>7</v>
      </c>
      <c r="G2416" s="1">
        <v>4</v>
      </c>
      <c r="H2416" s="1">
        <v>0</v>
      </c>
      <c r="I2416" s="1" t="s">
        <v>2191</v>
      </c>
      <c r="K2416" s="1" t="str">
        <f t="shared" si="153"/>
        <v>ㄆ</v>
      </c>
      <c r="L2416" s="1" t="str">
        <f t="shared" si="154"/>
        <v>ㄧ</v>
      </c>
      <c r="N2416" s="3" t="s">
        <v>30574</v>
      </c>
      <c r="O2416" s="3"/>
      <c r="P2416" s="1" t="s">
        <v>20</v>
      </c>
      <c r="R2416" s="1" t="s">
        <v>2192</v>
      </c>
      <c r="V2416" s="1" t="s">
        <v>2193</v>
      </c>
      <c r="AR2416" s="1" t="str">
        <f t="shared" si="152"/>
        <v>| [ㄆㄧˋ](ㄆㄧˋ.md) | [屁](屁.md) |  | pì | [名]
由肛門排出的臭氣。如：「臭屁」、「放屁」、「屁滾尿流」。
[形]
形容令人不屑的。如：「屁話」。 |</v>
      </c>
    </row>
    <row r="2417" spans="1:44" hidden="1">
      <c r="A2417" s="1" t="s">
        <v>2194</v>
      </c>
      <c r="C2417" s="1">
        <v>1</v>
      </c>
      <c r="D2417" s="1" t="str">
        <f>"00857"</f>
        <v>00857</v>
      </c>
      <c r="E2417" s="1" t="s">
        <v>534</v>
      </c>
      <c r="F2417" s="1">
        <v>13</v>
      </c>
      <c r="G2417" s="1">
        <v>10</v>
      </c>
      <c r="H2417" s="1">
        <v>0</v>
      </c>
      <c r="I2417" s="1" t="s">
        <v>2191</v>
      </c>
      <c r="K2417" s="1" t="str">
        <f t="shared" si="153"/>
        <v>ㄆ</v>
      </c>
      <c r="L2417" s="1" t="str">
        <f t="shared" si="154"/>
        <v>ㄧ</v>
      </c>
      <c r="N2417" s="3" t="s">
        <v>30574</v>
      </c>
      <c r="O2417" s="3"/>
      <c r="P2417" s="1" t="s">
        <v>20</v>
      </c>
      <c r="R2417" s="1" t="s">
        <v>2192</v>
      </c>
      <c r="V2417" s="1" t="s">
        <v>2195</v>
      </c>
      <c r="AR2417" s="1" t="str">
        <f t="shared" si="152"/>
        <v>| [ㄆㄧˋ](ㄆㄧˋ.md) | [媲](媲.md) |  | pì | [動]
匹配、比得上。如：「媲美」。唐．韓愈〈醉贈張祕書〉詩：「險語破鬼膽，高詞媲皇墳。」 |</v>
      </c>
    </row>
    <row r="2418" spans="1:44" hidden="1">
      <c r="A2418" s="1" t="s">
        <v>1734</v>
      </c>
      <c r="C2418" s="1">
        <v>1</v>
      </c>
      <c r="D2418" s="1" t="str">
        <f>"00858"</f>
        <v>00858</v>
      </c>
      <c r="E2418" s="1" t="s">
        <v>129</v>
      </c>
      <c r="F2418" s="1">
        <v>11</v>
      </c>
      <c r="G2418" s="1">
        <v>8</v>
      </c>
      <c r="H2418" s="1">
        <v>1</v>
      </c>
      <c r="I2418" s="1" t="s">
        <v>2191</v>
      </c>
      <c r="K2418" s="1" t="str">
        <f t="shared" si="153"/>
        <v>ㄆ</v>
      </c>
      <c r="L2418" s="1" t="str">
        <f t="shared" si="154"/>
        <v>ㄧ</v>
      </c>
      <c r="N2418" s="3" t="s">
        <v>30574</v>
      </c>
      <c r="O2418" s="3"/>
      <c r="P2418" s="1" t="s">
        <v>20</v>
      </c>
      <c r="R2418" s="1" t="s">
        <v>2192</v>
      </c>
      <c r="V2418" s="1" t="s">
        <v>2196</v>
      </c>
      <c r="W2418" s="1" t="s">
        <v>2197</v>
      </c>
      <c r="AR2418" s="1" t="str">
        <f t="shared" si="152"/>
        <v>| [ㄆㄧˋ](ㄆㄧˋ.md) | [淠](淠.md) |  | pì | [名]
河川名：(1)在大陸地區安徽省境內。源出霍山縣西南，流經六安縣，至正陽縣流入淮水。(2)在大陸地區河南省境。有二源：一源於守軍山，一源自金泉山，匯流成雙幅河，而後注入淮河。俗稱為「白鷺水」、「白露河」。
[副]
船行走的樣子。《詩經．大雅．棫樸》：「淠彼涇舟，烝徒楫之。」漢．毛亨．傳：「淠，舟行貌。」 |</v>
      </c>
    </row>
    <row r="2419" spans="1:44" hidden="1">
      <c r="A2419" s="1" t="s">
        <v>2198</v>
      </c>
      <c r="C2419" s="1">
        <v>1</v>
      </c>
      <c r="D2419" s="1" t="str">
        <f>"00859"</f>
        <v>00859</v>
      </c>
      <c r="E2419" s="1" t="s">
        <v>129</v>
      </c>
      <c r="F2419" s="1">
        <v>17</v>
      </c>
      <c r="G2419" s="1">
        <v>14</v>
      </c>
      <c r="H2419" s="1">
        <v>0</v>
      </c>
      <c r="I2419" s="1" t="s">
        <v>2191</v>
      </c>
      <c r="K2419" s="1" t="str">
        <f t="shared" si="153"/>
        <v>ㄆ</v>
      </c>
      <c r="L2419" s="1" t="str">
        <f t="shared" si="154"/>
        <v>ㄧ</v>
      </c>
      <c r="N2419" s="3" t="s">
        <v>30574</v>
      </c>
      <c r="O2419" s="3"/>
      <c r="P2419" s="1" t="s">
        <v>20</v>
      </c>
      <c r="R2419" s="1" t="s">
        <v>2192</v>
      </c>
      <c r="V2419" s="1" t="s">
        <v>2199</v>
      </c>
      <c r="AR2419" s="1" t="str">
        <f t="shared" si="152"/>
        <v>| [ㄆㄧˋ](ㄆㄧˋ.md) | [濞](濞.md) |  | pì | [擬]_x000D_
模擬水流洶湧奔至所發出的聲音。《說文解字．水部》：「濞，水暴至聲。」漢．司馬相如〈上林賦〉：「滂濞沆溉。」晉．左思〈吳都賦〉：「濞焉洶洶，隱焉礚礚。」_x000D_
[名]_x000D_
河川名。位於大陸地區雲南省境內，其流注入瀾滄江。 |</v>
      </c>
    </row>
    <row r="2420" spans="1:44" hidden="1">
      <c r="A2420" s="1" t="s">
        <v>450</v>
      </c>
      <c r="C2420" s="1">
        <v>1</v>
      </c>
      <c r="D2420" s="1" t="str">
        <f>"00860"</f>
        <v>00860</v>
      </c>
      <c r="E2420" s="1" t="s">
        <v>132</v>
      </c>
      <c r="F2420" s="1">
        <v>11</v>
      </c>
      <c r="G2420" s="1">
        <v>8</v>
      </c>
      <c r="H2420" s="1">
        <v>1</v>
      </c>
      <c r="I2420" s="1" t="s">
        <v>2191</v>
      </c>
      <c r="K2420" s="1" t="str">
        <f t="shared" si="153"/>
        <v>ㄆ</v>
      </c>
      <c r="L2420" s="1" t="str">
        <f t="shared" si="154"/>
        <v>ㄧ</v>
      </c>
      <c r="N2420" s="3" t="s">
        <v>30574</v>
      </c>
      <c r="O2420" s="3"/>
      <c r="P2420" s="1" t="s">
        <v>20</v>
      </c>
      <c r="R2420" s="1" t="s">
        <v>2192</v>
      </c>
      <c r="V2420" s="1" t="s">
        <v>2200</v>
      </c>
      <c r="W2420" s="1" t="s">
        <v>2201</v>
      </c>
      <c r="AR2420" s="1" t="str">
        <f t="shared" si="152"/>
        <v>| [ㄆㄧˋ](ㄆㄧˋ.md) | [埤](埤.md) |  | pì | 參見「埤堄」條。 |</v>
      </c>
    </row>
    <row r="2421" spans="1:44" hidden="1">
      <c r="A2421" s="1" t="s">
        <v>2202</v>
      </c>
      <c r="C2421" s="1">
        <v>1</v>
      </c>
      <c r="D2421" s="1" t="str">
        <f>"00861"</f>
        <v>00861</v>
      </c>
      <c r="E2421" s="1" t="s">
        <v>185</v>
      </c>
      <c r="F2421" s="1">
        <v>11</v>
      </c>
      <c r="G2421" s="1">
        <v>9</v>
      </c>
      <c r="H2421" s="1">
        <v>2</v>
      </c>
      <c r="I2421" s="1" t="s">
        <v>2191</v>
      </c>
      <c r="K2421" s="1" t="str">
        <f t="shared" si="153"/>
        <v>ㄆ</v>
      </c>
      <c r="L2421" s="1" t="str">
        <f t="shared" si="154"/>
        <v>ㄧ</v>
      </c>
      <c r="N2421" s="3" t="s">
        <v>30574</v>
      </c>
      <c r="O2421" s="3"/>
      <c r="P2421" s="1" t="s">
        <v>20</v>
      </c>
      <c r="R2421" s="1" t="s">
        <v>2192</v>
      </c>
      <c r="V2421" s="1" t="s">
        <v>2203</v>
      </c>
      <c r="W2421" s="1" t="s">
        <v>2204</v>
      </c>
      <c r="AR2421" s="1" t="str">
        <f t="shared" si="152"/>
        <v>| [ㄆㄧˋ](ㄆㄧˋ.md) | [副](副.md) |  | pì | [動]
剖開、裂開。《詩經．大雅．生民》：「不坼不副，無菑無害。」《禮記．曲禮上》：「為天子削瓜者副之，巾以絺。」 |</v>
      </c>
    </row>
    <row r="2422" spans="1:44" hidden="1">
      <c r="A2422" s="1" t="s">
        <v>1090</v>
      </c>
      <c r="C2422" s="1">
        <v>1</v>
      </c>
      <c r="D2422" s="1" t="str">
        <f>"00862"</f>
        <v>00862</v>
      </c>
      <c r="E2422" s="1" t="s">
        <v>732</v>
      </c>
      <c r="F2422" s="1">
        <v>13</v>
      </c>
      <c r="G2422" s="1">
        <v>6</v>
      </c>
      <c r="H2422" s="1">
        <v>2</v>
      </c>
      <c r="I2422" s="1" t="s">
        <v>2191</v>
      </c>
      <c r="K2422" s="1" t="str">
        <f t="shared" si="153"/>
        <v>ㄆ</v>
      </c>
      <c r="L2422" s="1" t="str">
        <f t="shared" si="154"/>
        <v>ㄧ</v>
      </c>
      <c r="N2422" s="3" t="s">
        <v>30574</v>
      </c>
      <c r="O2422" s="3"/>
      <c r="P2422" s="1" t="s">
        <v>20</v>
      </c>
      <c r="R2422" s="1" t="s">
        <v>2192</v>
      </c>
      <c r="V2422" s="1" t="s">
        <v>2205</v>
      </c>
      <c r="W2422" s="1" t="s">
        <v>2206</v>
      </c>
      <c r="AR2422" s="1" t="str">
        <f t="shared" si="152"/>
        <v>| [ㄆㄧˋ](ㄆㄧˋ.md) | [辟](辟.md) |  | pì | [名]
1.法度、刑法。如：「大辟」。《詩經．大雅．板》：「民之多辟，無自立辟。」漢．毛亨．傳：「辟，法也。」漢．桓寬《鹽鐵論．周秦》：「故立法制辟，若臨萬仞之壑。」
2.荒遠幽隱的地方。《戰國策．秦策一》：「今夫蜀，西辟之國，而戎狄之長也。」《史記．卷四七．孔子世家》：「景公問孔子曰：『昔秦穆公國小處辟，其霸何也？』」
[動]
1.開拓。通「闢」。《詩經．大雅．江漢》：「式辟四方，徹我疆土。」《孟子．梁惠王上》：「欲辟土地，朝秦楚，蒞中國而撫四夷也。」
2.排除、駁斥。通「闢」。如：「辟除」、「辟謠」、「辟邪說」。
3.比喻。通「譬」。《荀子．王霸》：「是過者也，過猶不及也；辟之是猶立直木而求其景之枉也。」
4.捶胸。通「擗」。《詩經．邶風．柏舟》：「靜言思之，寤辟有摽。」
5.偏頗、偏私。《管子．任法》：「卿相不得翦其私，群臣不得辟其所親愛。」
[形]
乖僻、偏邪。通「僻」。《莊子．秋水》：「行殊乎俗，不多辟異。」《禮記．玉藻》：「故君子在車，則聞鸞和之聲，行則鳴佩玉，是以非辟之心，無自入也。」 |</v>
      </c>
    </row>
    <row r="2423" spans="1:44" hidden="1">
      <c r="A2423" s="1" t="s">
        <v>555</v>
      </c>
      <c r="C2423" s="1">
        <v>1</v>
      </c>
      <c r="D2423" s="1" t="str">
        <f>"00863"</f>
        <v>00863</v>
      </c>
      <c r="E2423" s="1" t="s">
        <v>114</v>
      </c>
      <c r="F2423" s="1">
        <v>15</v>
      </c>
      <c r="G2423" s="1">
        <v>13</v>
      </c>
      <c r="H2423" s="1">
        <v>1</v>
      </c>
      <c r="I2423" s="1" t="s">
        <v>2191</v>
      </c>
      <c r="K2423" s="1" t="str">
        <f t="shared" si="153"/>
        <v>ㄆ</v>
      </c>
      <c r="L2423" s="1" t="str">
        <f t="shared" si="154"/>
        <v>ㄧ</v>
      </c>
      <c r="N2423" s="3" t="s">
        <v>30574</v>
      </c>
      <c r="O2423" s="3"/>
      <c r="P2423" s="1" t="s">
        <v>186</v>
      </c>
      <c r="R2423" s="1" t="s">
        <v>2192</v>
      </c>
      <c r="V2423" s="1" t="s">
        <v>2207</v>
      </c>
      <c r="W2423" s="1" t="s">
        <v>2208</v>
      </c>
      <c r="AR2423" s="1" t="str">
        <f t="shared" si="152"/>
        <v>| [ㄆㄧˋ](ㄆㄧˋ.md) | [僻](僻.md) |  | pì | [形]
1.偏遠的、幽隱的。如：「偏僻」、「窮鄉僻壤」。唐．白居易〈琵琶行〉：「潯陽地僻無音樂，終歲不聞絲竹聲。」
2.奇異而不常見的。如：「冷僻」。
3.邪惡不正的。如：「邪僻」。《紅樓夢》第二九回：「及如今稍明時事，又看了些邪書僻傳。」 |</v>
      </c>
    </row>
    <row r="2424" spans="1:44" hidden="1">
      <c r="A2424" s="1" t="s">
        <v>2209</v>
      </c>
      <c r="C2424" s="1">
        <v>1</v>
      </c>
      <c r="D2424" s="1" t="str">
        <f>"00864"</f>
        <v>00864</v>
      </c>
      <c r="E2424" s="1" t="s">
        <v>129</v>
      </c>
      <c r="F2424" s="1">
        <v>16</v>
      </c>
      <c r="G2424" s="1">
        <v>13</v>
      </c>
      <c r="H2424" s="1">
        <v>0</v>
      </c>
      <c r="I2424" s="1" t="s">
        <v>2191</v>
      </c>
      <c r="K2424" s="1" t="str">
        <f t="shared" si="153"/>
        <v>ㄆ</v>
      </c>
      <c r="L2424" s="1" t="str">
        <f t="shared" si="154"/>
        <v>ㄧ</v>
      </c>
      <c r="N2424" s="3" t="s">
        <v>30574</v>
      </c>
      <c r="O2424" s="3"/>
      <c r="P2424" s="1" t="s">
        <v>20</v>
      </c>
      <c r="R2424" s="1" t="s">
        <v>2192</v>
      </c>
      <c r="V2424" s="1" t="s">
        <v>2210</v>
      </c>
      <c r="AR2424" s="1" t="str">
        <f t="shared" si="152"/>
        <v>| [ㄆㄧˋ](ㄆㄧˋ.md) | [澼](澼.md) |  | pì | [動]
洴澼：漂洗。《莊子．逍遙遊》：「我世世為洴澼絖，不過數金，今一朝而鬻技百金，請與之。」 |</v>
      </c>
    </row>
    <row r="2425" spans="1:44" hidden="1">
      <c r="A2425" s="1" t="s">
        <v>2211</v>
      </c>
      <c r="C2425" s="1">
        <v>1</v>
      </c>
      <c r="D2425" s="1" t="str">
        <f>"00865"</f>
        <v>00865</v>
      </c>
      <c r="E2425" s="1" t="s">
        <v>24</v>
      </c>
      <c r="F2425" s="1">
        <v>16</v>
      </c>
      <c r="G2425" s="1">
        <v>13</v>
      </c>
      <c r="H2425" s="1">
        <v>0</v>
      </c>
      <c r="I2425" s="1" t="s">
        <v>2191</v>
      </c>
      <c r="K2425" s="1" t="str">
        <f t="shared" si="153"/>
        <v>ㄆ</v>
      </c>
      <c r="L2425" s="1" t="str">
        <f t="shared" si="154"/>
        <v>ㄧ</v>
      </c>
      <c r="N2425" s="3" t="s">
        <v>30574</v>
      </c>
      <c r="O2425" s="3"/>
      <c r="P2425" s="1" t="s">
        <v>20</v>
      </c>
      <c r="R2425" s="1" t="s">
        <v>2192</v>
      </c>
      <c r="V2425" s="1" t="s">
        <v>2212</v>
      </c>
      <c r="AR2425" s="1" t="str">
        <f t="shared" si="152"/>
        <v>| [ㄆㄧˋ](ㄆㄧˋ.md) | [擗](擗.md) |  | pì | [動]
1.用手捶拍胸部。《廣韻．入聲．陌韻》：「擗，撫心也。」《孝經．喪親章》：「擗踊哭泣，哀以送之。」
2.掰開、拂開。如：「擗玉米」。《楚辭．屈原．九歌．湘夫人》：「罔薜荔兮為帷，擗蕙櫋兮既張。」 |</v>
      </c>
    </row>
    <row r="2426" spans="1:44" hidden="1">
      <c r="A2426" s="1" t="s">
        <v>2187</v>
      </c>
      <c r="C2426" s="1">
        <v>1</v>
      </c>
      <c r="D2426" s="1" t="str">
        <f>"00866"</f>
        <v>00866</v>
      </c>
      <c r="E2426" s="1" t="s">
        <v>40</v>
      </c>
      <c r="F2426" s="1">
        <v>18</v>
      </c>
      <c r="G2426" s="1">
        <v>13</v>
      </c>
      <c r="H2426" s="1">
        <v>2</v>
      </c>
      <c r="I2426" s="1" t="s">
        <v>2191</v>
      </c>
      <c r="K2426" s="1" t="str">
        <f t="shared" si="153"/>
        <v>ㄆ</v>
      </c>
      <c r="L2426" s="1" t="str">
        <f t="shared" si="154"/>
        <v>ㄧ</v>
      </c>
      <c r="N2426" s="3" t="s">
        <v>30574</v>
      </c>
      <c r="O2426" s="3"/>
      <c r="P2426" s="1" t="s">
        <v>110</v>
      </c>
      <c r="R2426" s="1" t="s">
        <v>2192</v>
      </c>
      <c r="V2426" s="1" t="s">
        <v>111</v>
      </c>
      <c r="W2426" s="1" t="s">
        <v>2213</v>
      </c>
      <c r="AR2426" s="1" t="str">
        <f t="shared" si="152"/>
        <v>| [ㄆㄧˋ](ㄆㄧˋ.md) | [癖](癖.md) |  | pì | (一)之又音。 |</v>
      </c>
    </row>
    <row r="2427" spans="1:44" hidden="1">
      <c r="A2427" s="1" t="s">
        <v>2214</v>
      </c>
      <c r="C2427" s="1">
        <v>1</v>
      </c>
      <c r="D2427" s="1" t="str">
        <f>"00867"</f>
        <v>00867</v>
      </c>
      <c r="E2427" s="1" t="s">
        <v>1824</v>
      </c>
      <c r="F2427" s="1">
        <v>18</v>
      </c>
      <c r="G2427" s="1">
        <v>13</v>
      </c>
      <c r="H2427" s="1">
        <v>0</v>
      </c>
      <c r="I2427" s="1" t="s">
        <v>2191</v>
      </c>
      <c r="K2427" s="1" t="str">
        <f t="shared" si="153"/>
        <v>ㄆ</v>
      </c>
      <c r="L2427" s="1" t="str">
        <f t="shared" si="154"/>
        <v>ㄧ</v>
      </c>
      <c r="N2427" s="3" t="s">
        <v>30574</v>
      </c>
      <c r="O2427" s="3"/>
      <c r="P2427" s="1" t="s">
        <v>20</v>
      </c>
      <c r="R2427" s="1" t="s">
        <v>2192</v>
      </c>
      <c r="V2427" s="1" t="s">
        <v>2215</v>
      </c>
      <c r="AR2427" s="1" t="str">
        <f t="shared" si="152"/>
        <v>| [ㄆㄧˋ](ㄆㄧˋ.md) | [甓](甓.md) |  | pì | [名]
磚的一種名稱。漢．司馬相如〈長門賦〉：「緻錯石之瓴甓兮，象玳瑁之文章。」《晉書．卷六六．列傳．陶侃》：「侃在州無事，輒朝運百甓於齋外，暮運於齋內。」 |</v>
      </c>
    </row>
    <row r="2428" spans="1:44" hidden="1">
      <c r="A2428" s="1" t="s">
        <v>2216</v>
      </c>
      <c r="C2428" s="1">
        <v>1</v>
      </c>
      <c r="D2428" s="1" t="str">
        <f>"00868"</f>
        <v>00868</v>
      </c>
      <c r="E2428" s="1" t="s">
        <v>331</v>
      </c>
      <c r="F2428" s="1">
        <v>20</v>
      </c>
      <c r="G2428" s="1">
        <v>13</v>
      </c>
      <c r="H2428" s="1">
        <v>0</v>
      </c>
      <c r="I2428" s="1" t="s">
        <v>2191</v>
      </c>
      <c r="K2428" s="1" t="str">
        <f t="shared" si="153"/>
        <v>ㄆ</v>
      </c>
      <c r="L2428" s="1" t="str">
        <f t="shared" si="154"/>
        <v>ㄧ</v>
      </c>
      <c r="N2428" s="3" t="s">
        <v>30574</v>
      </c>
      <c r="O2428" s="3"/>
      <c r="P2428" s="1" t="s">
        <v>20</v>
      </c>
      <c r="R2428" s="1" t="s">
        <v>2192</v>
      </c>
      <c r="V2428" s="1" t="s">
        <v>2217</v>
      </c>
      <c r="AR2428" s="1" t="str">
        <f t="shared" si="152"/>
        <v>| [ㄆㄧˋ](ㄆㄧˋ.md) | [譬](譬.md) |  | pì | [動]
1.用比喻的方法來說明。如：「譬喻」、「譬如」。《論語．子張》：「子貢曰：『譬之宮牆，賜之牆也及肩，闚見家室之好。』」
2.告訴、說明、使知曉。《後漢書．卷四七．班超慱》：「超譬軍士曰：『月氏兵雖多，然數千里踰蔥領來，非有運輸，何足憂也。』」
3.了解、明白。《後漢書．卷二九．鮑永傳．論曰》：「若乃言之者雖誠，而聞之者未譬，豈苟進之悅。」
[名]
比喻。《詩經．大雅．抑》：「取譬不遠，昊天不忒。」漢．許慎〈說文解字序〉：「形聲者，以事為名，取譬相成。」 |</v>
      </c>
    </row>
    <row r="2429" spans="1:44" hidden="1">
      <c r="A2429" s="1" t="s">
        <v>2218</v>
      </c>
      <c r="C2429" s="1">
        <v>1</v>
      </c>
      <c r="D2429" s="1" t="str">
        <f>"00869"</f>
        <v>00869</v>
      </c>
      <c r="E2429" s="1" t="s">
        <v>709</v>
      </c>
      <c r="F2429" s="1">
        <v>21</v>
      </c>
      <c r="G2429" s="1">
        <v>13</v>
      </c>
      <c r="H2429" s="1">
        <v>0</v>
      </c>
      <c r="I2429" s="1" t="s">
        <v>2191</v>
      </c>
      <c r="K2429" s="1" t="str">
        <f t="shared" si="153"/>
        <v>ㄆ</v>
      </c>
      <c r="L2429" s="1" t="str">
        <f t="shared" si="154"/>
        <v>ㄧ</v>
      </c>
      <c r="N2429" s="3" t="s">
        <v>30574</v>
      </c>
      <c r="O2429" s="3"/>
      <c r="P2429" s="1" t="s">
        <v>20</v>
      </c>
      <c r="R2429" s="1" t="s">
        <v>2192</v>
      </c>
      <c r="V2429" s="1" t="s">
        <v>2219</v>
      </c>
      <c r="AR2429" s="1" t="str">
        <f t="shared" si="152"/>
        <v>| [ㄆㄧˋ](ㄆㄧˋ.md) | [闢](闢.md) |  | pì | [動]
1.開墾。如：「開天闢地」。《文選．司馬相如．上林賦》：「地可墾闢，悉為農郊，以贍萌隸。」
2.駁斥、摒除。如：「闢謠」。《荀子．解蔽》：「是以闢耳目之欲，而遠蚊蝱之聲。」宋．王安石〈答司馬諫議書〉：「闢邪說，難壬人，不為拒諫。」 |</v>
      </c>
    </row>
    <row r="2430" spans="1:44" hidden="1">
      <c r="A2430" s="1" t="s">
        <v>2220</v>
      </c>
      <c r="C2430" s="1">
        <v>1</v>
      </c>
      <c r="D2430" s="1" t="str">
        <f>"00871"</f>
        <v>00871</v>
      </c>
      <c r="E2430" s="1" t="s">
        <v>129</v>
      </c>
      <c r="F2430" s="1">
        <v>14</v>
      </c>
      <c r="G2430" s="1">
        <v>11</v>
      </c>
      <c r="H2430" s="1">
        <v>1</v>
      </c>
      <c r="I2430" s="1" t="s">
        <v>2191</v>
      </c>
      <c r="K2430" s="1" t="str">
        <f t="shared" si="153"/>
        <v>ㄆ</v>
      </c>
      <c r="L2430" s="1" t="str">
        <f t="shared" si="154"/>
        <v>ㄧ</v>
      </c>
      <c r="N2430" s="3" t="s">
        <v>30574</v>
      </c>
      <c r="O2430" s="3"/>
      <c r="P2430" s="1" t="s">
        <v>20</v>
      </c>
      <c r="R2430" s="1" t="s">
        <v>2192</v>
      </c>
      <c r="V2430" s="1" t="s">
        <v>2221</v>
      </c>
      <c r="W2430" s="1" t="s">
        <v>2222</v>
      </c>
      <c r="AR2430" s="1" t="str">
        <f t="shared" si="152"/>
        <v>| [ㄆㄧˋ](ㄆㄧˋ.md) | [潎](潎.md) |  | pì | [形]
形容魚在水中游的樣子。《集韻．去聲．祭韻》：「潎，魚游貌。」《文選．潘岳．秋興賦》：「澡秋水之涓涓兮，玩游鯈之潎潎。」 |</v>
      </c>
    </row>
    <row r="2431" spans="1:44" hidden="1">
      <c r="A2431" s="1" t="s">
        <v>895</v>
      </c>
      <c r="C2431" s="1">
        <v>1</v>
      </c>
      <c r="D2431" s="1" t="str">
        <f>"00816"</f>
        <v>00816</v>
      </c>
      <c r="E2431" s="1" t="s">
        <v>896</v>
      </c>
      <c r="F2431" s="1">
        <v>4</v>
      </c>
      <c r="G2431" s="1">
        <v>0</v>
      </c>
      <c r="H2431" s="1">
        <v>3</v>
      </c>
      <c r="I2431" s="1" t="s">
        <v>2102</v>
      </c>
      <c r="K2431" s="1" t="str">
        <f t="shared" si="153"/>
        <v>ㄆ</v>
      </c>
      <c r="L2431" s="1" t="str">
        <f t="shared" si="154"/>
        <v>ㄧ</v>
      </c>
      <c r="N2431" s="3" t="s">
        <v>30575</v>
      </c>
      <c r="O2431" s="3"/>
      <c r="P2431" s="1" t="s">
        <v>20</v>
      </c>
      <c r="R2431" s="1" t="s">
        <v>2103</v>
      </c>
      <c r="V2431" s="1" t="s">
        <v>2104</v>
      </c>
      <c r="W2431" s="1" t="s">
        <v>2105</v>
      </c>
      <c r="AR2431" s="1" t="str">
        <f t="shared" si="152"/>
        <v>| [ㄆㄧˊ](ㄆㄧˊ.md) | [比](比.md) |  | pí | 參見「皋比」條。 |</v>
      </c>
    </row>
    <row r="2432" spans="1:44" hidden="1">
      <c r="A2432" s="1" t="s">
        <v>2106</v>
      </c>
      <c r="C2432" s="1">
        <v>1</v>
      </c>
      <c r="D2432" s="1" t="str">
        <f>"00817"</f>
        <v>00817</v>
      </c>
      <c r="E2432" s="1" t="s">
        <v>691</v>
      </c>
      <c r="F2432" s="1">
        <v>7</v>
      </c>
      <c r="G2432" s="1">
        <v>4</v>
      </c>
      <c r="H2432" s="1">
        <v>0</v>
      </c>
      <c r="I2432" s="1" t="s">
        <v>2102</v>
      </c>
      <c r="K2432" s="1" t="str">
        <f t="shared" si="153"/>
        <v>ㄆ</v>
      </c>
      <c r="L2432" s="1" t="str">
        <f t="shared" si="154"/>
        <v>ㄧ</v>
      </c>
      <c r="N2432" s="3" t="s">
        <v>30575</v>
      </c>
      <c r="O2432" s="3"/>
      <c r="P2432" s="1" t="s">
        <v>20</v>
      </c>
      <c r="R2432" s="1" t="s">
        <v>2103</v>
      </c>
      <c r="V2432" s="1" t="s">
        <v>2107</v>
      </c>
      <c r="AR2432" s="1" t="str">
        <f t="shared" si="152"/>
        <v>| [ㄆㄧˊ](ㄆㄧˊ.md) | [阰](阰.md) |  | pí | [名]
山名。約在古代楚國南部。《楚辭．屈原．離騷》：「朝搴阰之木蘭兮，夕攬洲之宿莽。」宋．洪興祖．補注：「山在楚南。」 |</v>
      </c>
    </row>
    <row r="2433" spans="1:44" hidden="1">
      <c r="A2433" s="1" t="s">
        <v>2108</v>
      </c>
      <c r="C2433" s="1">
        <v>1</v>
      </c>
      <c r="D2433" s="1" t="str">
        <f>"00818"</f>
        <v>00818</v>
      </c>
      <c r="E2433" s="1" t="s">
        <v>142</v>
      </c>
      <c r="F2433" s="1">
        <v>8</v>
      </c>
      <c r="G2433" s="1">
        <v>4</v>
      </c>
      <c r="H2433" s="1">
        <v>3</v>
      </c>
      <c r="I2433" s="1" t="s">
        <v>2102</v>
      </c>
      <c r="K2433" s="1" t="str">
        <f t="shared" si="153"/>
        <v>ㄆ</v>
      </c>
      <c r="L2433" s="1" t="str">
        <f t="shared" si="154"/>
        <v>ㄧ</v>
      </c>
      <c r="N2433" s="3" t="s">
        <v>30575</v>
      </c>
      <c r="O2433" s="3"/>
      <c r="P2433" s="1" t="s">
        <v>110</v>
      </c>
      <c r="R2433" s="1" t="s">
        <v>2103</v>
      </c>
      <c r="V2433" s="1" t="s">
        <v>111</v>
      </c>
      <c r="W2433" s="1" t="s">
        <v>2109</v>
      </c>
      <c r="AR2433" s="1" t="str">
        <f t="shared" si="152"/>
        <v>| [ㄆㄧˊ](ㄆㄧˊ.md) | [玭](玭.md) |  | pí | (一)之又音。 |</v>
      </c>
    </row>
    <row r="2434" spans="1:44" hidden="1">
      <c r="A2434" s="1" t="s">
        <v>2110</v>
      </c>
      <c r="C2434" s="1">
        <v>1</v>
      </c>
      <c r="D2434" s="1" t="str">
        <f>"00819"</f>
        <v>00819</v>
      </c>
      <c r="E2434" s="1" t="s">
        <v>139</v>
      </c>
      <c r="F2434" s="1">
        <v>8</v>
      </c>
      <c r="G2434" s="1">
        <v>4</v>
      </c>
      <c r="H2434" s="1">
        <v>0</v>
      </c>
      <c r="I2434" s="1" t="s">
        <v>2102</v>
      </c>
      <c r="K2434" s="1" t="str">
        <f t="shared" si="153"/>
        <v>ㄆ</v>
      </c>
      <c r="L2434" s="1" t="str">
        <f t="shared" si="154"/>
        <v>ㄧ</v>
      </c>
      <c r="N2434" s="3" t="s">
        <v>30575</v>
      </c>
      <c r="O2434" s="3"/>
      <c r="P2434" s="1" t="s">
        <v>20</v>
      </c>
      <c r="R2434" s="1" t="s">
        <v>2103</v>
      </c>
      <c r="V2434" s="1" t="s">
        <v>2111</v>
      </c>
      <c r="AR2434" s="1" t="str">
        <f t="shared" si="152"/>
        <v>| [ㄆㄧˊ](ㄆㄧˊ.md) | [枇](枇.md) |  | pí | 參見「枇杷」條。 |</v>
      </c>
    </row>
    <row r="2435" spans="1:44" hidden="1">
      <c r="A2435" s="1" t="s">
        <v>928</v>
      </c>
      <c r="C2435" s="1">
        <v>1</v>
      </c>
      <c r="D2435" s="1" t="str">
        <f>"00820"</f>
        <v>00820</v>
      </c>
      <c r="E2435" s="1" t="s">
        <v>37</v>
      </c>
      <c r="F2435" s="1">
        <v>8</v>
      </c>
      <c r="G2435" s="1">
        <v>4</v>
      </c>
      <c r="H2435" s="1">
        <v>2</v>
      </c>
      <c r="I2435" s="1" t="s">
        <v>2102</v>
      </c>
      <c r="K2435" s="1" t="str">
        <f t="shared" si="153"/>
        <v>ㄆ</v>
      </c>
      <c r="L2435" s="1" t="str">
        <f t="shared" si="154"/>
        <v>ㄧ</v>
      </c>
      <c r="N2435" s="3" t="s">
        <v>30575</v>
      </c>
      <c r="O2435" s="3"/>
      <c r="P2435" s="1" t="s">
        <v>20</v>
      </c>
      <c r="R2435" s="1" t="s">
        <v>2103</v>
      </c>
      <c r="V2435" s="1" t="s">
        <v>2112</v>
      </c>
      <c r="W2435" s="1" t="s">
        <v>2113</v>
      </c>
      <c r="AR2435" s="1" t="str">
        <f t="shared" ref="AR2435:AR2498" si="155">"| ["&amp;I2435&amp;"]("&amp;I2435&amp;".md) | ["&amp;A2435&amp;"]("&amp;A2435&amp;".md) | "&amp;" | "&amp;R2435&amp;" | "&amp;V2435&amp;" |"</f>
        <v>| [ㄆㄧˊ](ㄆㄧˊ.md) | [芘](芘.md) |  | pí | [名]
植物名。錦葵科錦葵屬。「錦葵」、「露葵」、「芘芣」之古稱，參見「錦葵」條。 |</v>
      </c>
    </row>
    <row r="2436" spans="1:44" hidden="1">
      <c r="A2436" s="1" t="s">
        <v>2114</v>
      </c>
      <c r="C2436" s="1">
        <v>1</v>
      </c>
      <c r="D2436" s="1" t="str">
        <f>"00821"</f>
        <v>00821</v>
      </c>
      <c r="E2436" s="1" t="s">
        <v>896</v>
      </c>
      <c r="F2436" s="1">
        <v>9</v>
      </c>
      <c r="G2436" s="1">
        <v>5</v>
      </c>
      <c r="H2436" s="1">
        <v>0</v>
      </c>
      <c r="I2436" s="1" t="s">
        <v>2102</v>
      </c>
      <c r="K2436" s="1" t="str">
        <f t="shared" si="153"/>
        <v>ㄆ</v>
      </c>
      <c r="L2436" s="1" t="str">
        <f t="shared" si="154"/>
        <v>ㄧ</v>
      </c>
      <c r="N2436" s="3" t="s">
        <v>30575</v>
      </c>
      <c r="O2436" s="3"/>
      <c r="P2436" s="1" t="s">
        <v>20</v>
      </c>
      <c r="R2436" s="1" t="s">
        <v>2103</v>
      </c>
      <c r="V2436" s="1" t="s">
        <v>2115</v>
      </c>
      <c r="AR2436" s="1" t="str">
        <f t="shared" si="155"/>
        <v>| [ㄆㄧˊ](ㄆㄧˊ.md) | [毗](毗.md) |  | pí | [動]
1.輔助、輔佐。如：「毗輔」、「毗佐」。《書經．微子之命》：「永綏厥位，毗予一人。」
2.連接。如：「毗鄰」、「毗連」。 |</v>
      </c>
    </row>
    <row r="2437" spans="1:44" hidden="1">
      <c r="A2437" s="1" t="s">
        <v>2116</v>
      </c>
      <c r="C2437" s="1">
        <v>1</v>
      </c>
      <c r="D2437" s="1" t="str">
        <f>"00822"</f>
        <v>00822</v>
      </c>
      <c r="E2437" s="1" t="s">
        <v>896</v>
      </c>
      <c r="F2437" s="1">
        <v>9</v>
      </c>
      <c r="G2437" s="1">
        <v>5</v>
      </c>
      <c r="H2437" s="1">
        <v>0</v>
      </c>
      <c r="I2437" s="1" t="s">
        <v>2102</v>
      </c>
      <c r="K2437" s="1" t="str">
        <f t="shared" si="153"/>
        <v>ㄆ</v>
      </c>
      <c r="L2437" s="1" t="str">
        <f t="shared" si="154"/>
        <v>ㄧ</v>
      </c>
      <c r="N2437" s="3" t="s">
        <v>30575</v>
      </c>
      <c r="O2437" s="3"/>
      <c r="P2437" s="1" t="s">
        <v>20</v>
      </c>
      <c r="R2437" s="1" t="s">
        <v>2103</v>
      </c>
      <c r="V2437" s="1" t="s">
        <v>2117</v>
      </c>
      <c r="AR2437" s="1" t="str">
        <f t="shared" si="155"/>
        <v>| [ㄆㄧˊ](ㄆㄧˊ.md) | [毘](毘.md) |  | pí | 同「毗」。 |</v>
      </c>
    </row>
    <row r="2438" spans="1:44" hidden="1">
      <c r="A2438" s="1" t="s">
        <v>2118</v>
      </c>
      <c r="C2438" s="1">
        <v>1</v>
      </c>
      <c r="D2438" s="1" t="str">
        <f>"00823"</f>
        <v>00823</v>
      </c>
      <c r="E2438" s="1" t="s">
        <v>679</v>
      </c>
      <c r="F2438" s="1">
        <v>10</v>
      </c>
      <c r="G2438" s="1">
        <v>4</v>
      </c>
      <c r="H2438" s="1">
        <v>0</v>
      </c>
      <c r="I2438" s="1" t="s">
        <v>2102</v>
      </c>
      <c r="K2438" s="1" t="str">
        <f t="shared" si="153"/>
        <v>ㄆ</v>
      </c>
      <c r="L2438" s="1" t="str">
        <f t="shared" si="154"/>
        <v>ㄧ</v>
      </c>
      <c r="N2438" s="3" t="s">
        <v>30575</v>
      </c>
      <c r="O2438" s="3"/>
      <c r="P2438" s="1" t="s">
        <v>20</v>
      </c>
      <c r="R2438" s="1" t="s">
        <v>2103</v>
      </c>
      <c r="V2438" s="1" t="s">
        <v>2119</v>
      </c>
      <c r="AR2438" s="1" t="str">
        <f t="shared" si="155"/>
        <v>| [ㄆㄧˊ](ㄆㄧˊ.md) | [蚍](蚍.md) |  | pí | 參見「蚍蜉」條。 |</v>
      </c>
    </row>
    <row r="2439" spans="1:44" hidden="1">
      <c r="A2439" s="1" t="s">
        <v>2083</v>
      </c>
      <c r="C2439" s="1">
        <v>1</v>
      </c>
      <c r="D2439" s="1" t="str">
        <f>"00824"</f>
        <v>00824</v>
      </c>
      <c r="E2439" s="1" t="s">
        <v>725</v>
      </c>
      <c r="F2439" s="1">
        <v>10</v>
      </c>
      <c r="G2439" s="1">
        <v>4</v>
      </c>
      <c r="H2439" s="1">
        <v>2</v>
      </c>
      <c r="I2439" s="1" t="s">
        <v>2102</v>
      </c>
      <c r="K2439" s="1" t="str">
        <f t="shared" si="153"/>
        <v>ㄆ</v>
      </c>
      <c r="L2439" s="1" t="str">
        <f t="shared" si="154"/>
        <v>ㄧ</v>
      </c>
      <c r="N2439" s="3" t="s">
        <v>30575</v>
      </c>
      <c r="O2439" s="3"/>
      <c r="P2439" s="1" t="s">
        <v>20</v>
      </c>
      <c r="R2439" s="1" t="s">
        <v>2103</v>
      </c>
      <c r="V2439" s="1" t="s">
        <v>2120</v>
      </c>
      <c r="W2439" s="1" t="s">
        <v>2121</v>
      </c>
      <c r="AR2439" s="1" t="str">
        <f t="shared" si="155"/>
        <v>| [ㄆㄧˊ](ㄆㄧˊ.md) | [紕](紕.md) |  | pí | [名]
衣冠的緣飾。《禮記．玉藻》：「縞冠素紕，既祥之冠也。」
[動]
在衣冠或旗幟邊緣繡上花邊。《詩經．鄘風．干旄》：「素絲紕之，良馬四之。」 |</v>
      </c>
    </row>
    <row r="2440" spans="1:44" hidden="1">
      <c r="A2440" s="1" t="s">
        <v>2122</v>
      </c>
      <c r="C2440" s="1">
        <v>1</v>
      </c>
      <c r="D2440" s="1" t="str">
        <f>"00825"</f>
        <v>00825</v>
      </c>
      <c r="E2440" s="1" t="s">
        <v>142</v>
      </c>
      <c r="F2440" s="1">
        <v>12</v>
      </c>
      <c r="G2440" s="1">
        <v>8</v>
      </c>
      <c r="H2440" s="1">
        <v>0</v>
      </c>
      <c r="I2440" s="1" t="s">
        <v>2102</v>
      </c>
      <c r="K2440" s="1" t="str">
        <f t="shared" si="153"/>
        <v>ㄆ</v>
      </c>
      <c r="L2440" s="1" t="str">
        <f t="shared" si="154"/>
        <v>ㄧ</v>
      </c>
      <c r="N2440" s="3" t="s">
        <v>30575</v>
      </c>
      <c r="O2440" s="3"/>
      <c r="P2440" s="1" t="s">
        <v>20</v>
      </c>
      <c r="R2440" s="1" t="s">
        <v>2103</v>
      </c>
      <c r="V2440" s="1" t="s">
        <v>1537</v>
      </c>
      <c r="AR2440" s="1" t="str">
        <f t="shared" si="155"/>
        <v>| [ㄆㄧˊ](ㄆㄧˊ.md) | [琵](琵.md) |  | pí | 參見「琵琶」條。 |</v>
      </c>
    </row>
    <row r="2441" spans="1:44" hidden="1">
      <c r="A2441" s="1" t="s">
        <v>2086</v>
      </c>
      <c r="C2441" s="1">
        <v>1</v>
      </c>
      <c r="D2441" s="1" t="str">
        <f>"00826"</f>
        <v>00826</v>
      </c>
      <c r="E2441" s="1" t="s">
        <v>55</v>
      </c>
      <c r="F2441" s="1">
        <v>12</v>
      </c>
      <c r="G2441" s="1">
        <v>4</v>
      </c>
      <c r="H2441" s="1">
        <v>1</v>
      </c>
      <c r="I2441" s="1" t="s">
        <v>2102</v>
      </c>
      <c r="K2441" s="1" t="str">
        <f t="shared" si="153"/>
        <v>ㄆ</v>
      </c>
      <c r="L2441" s="1" t="str">
        <f t="shared" si="154"/>
        <v>ㄧ</v>
      </c>
      <c r="N2441" s="3" t="s">
        <v>30575</v>
      </c>
      <c r="O2441" s="3"/>
      <c r="P2441" s="1" t="s">
        <v>20</v>
      </c>
      <c r="R2441" s="1" t="s">
        <v>2103</v>
      </c>
      <c r="V2441" s="1" t="s">
        <v>2123</v>
      </c>
      <c r="W2441" s="1" t="s">
        <v>2124</v>
      </c>
      <c r="AR2441" s="1" t="str">
        <f t="shared" si="155"/>
        <v>| [ㄆㄧˊ](ㄆㄧˊ.md) | [鈚](鈚.md) |  | pí | [名]
箭頭較薄而闊，箭桿較長的箭。唐．杜甫〈七月三日亭午已後校熱退晚加小涼穩睡有詩因論壯年樂事戲呈元二十一曹長〉詩：「長鈚逐狡兔，突羽當滿月。」 |</v>
      </c>
    </row>
    <row r="2442" spans="1:44" hidden="1">
      <c r="A2442" s="1" t="s">
        <v>2125</v>
      </c>
      <c r="C2442" s="1">
        <v>1</v>
      </c>
      <c r="D2442" s="1" t="str">
        <f>"00827"</f>
        <v>00827</v>
      </c>
      <c r="E2442" s="1" t="s">
        <v>68</v>
      </c>
      <c r="F2442" s="1">
        <v>14</v>
      </c>
      <c r="G2442" s="1">
        <v>10</v>
      </c>
      <c r="H2442" s="1">
        <v>0</v>
      </c>
      <c r="I2442" s="1" t="s">
        <v>2102</v>
      </c>
      <c r="K2442" s="1" t="str">
        <f t="shared" si="153"/>
        <v>ㄆ</v>
      </c>
      <c r="L2442" s="1" t="str">
        <f t="shared" si="154"/>
        <v>ㄧ</v>
      </c>
      <c r="N2442" s="3" t="s">
        <v>30575</v>
      </c>
      <c r="O2442" s="3"/>
      <c r="P2442" s="1" t="s">
        <v>20</v>
      </c>
      <c r="R2442" s="1" t="s">
        <v>2103</v>
      </c>
      <c r="V2442" s="1" t="s">
        <v>2126</v>
      </c>
      <c r="AR2442" s="1" t="str">
        <f t="shared" si="155"/>
        <v>| [ㄆㄧˊ](ㄆㄧˊ.md) | [膍](膍.md) |  | pí | [名]
牛羊等反芻動物的胃。如：「膍胵」。《莊子．庚桑楚》：「臘者之有膍胲，可散而不可散也。」
[動]
賜予。《詩經．小雅．采菽》：「樂只君子，福祿膍之。」 |</v>
      </c>
    </row>
    <row r="2443" spans="1:44" hidden="1">
      <c r="A2443" s="1" t="s">
        <v>2127</v>
      </c>
      <c r="C2443" s="1">
        <v>1</v>
      </c>
      <c r="D2443" s="1" t="str">
        <f>"00828"</f>
        <v>00828</v>
      </c>
      <c r="E2443" s="1" t="s">
        <v>537</v>
      </c>
      <c r="F2443" s="1">
        <v>17</v>
      </c>
      <c r="G2443" s="1">
        <v>10</v>
      </c>
      <c r="H2443" s="1">
        <v>0</v>
      </c>
      <c r="I2443" s="1" t="s">
        <v>2102</v>
      </c>
      <c r="K2443" s="1" t="str">
        <f t="shared" si="153"/>
        <v>ㄆ</v>
      </c>
      <c r="L2443" s="1" t="str">
        <f t="shared" si="154"/>
        <v>ㄧ</v>
      </c>
      <c r="N2443" s="3" t="s">
        <v>30575</v>
      </c>
      <c r="O2443" s="3"/>
      <c r="P2443" s="1" t="s">
        <v>20</v>
      </c>
      <c r="R2443" s="1" t="s">
        <v>2103</v>
      </c>
      <c r="V2443" s="1" t="s">
        <v>2128</v>
      </c>
      <c r="AR2443" s="1" t="str">
        <f t="shared" si="155"/>
        <v>| [ㄆㄧˊ](ㄆㄧˊ.md) | [貔](貔.md) |  | pí | [名]
一種猛獸。似虎，毛灰白色。《書經．牧誓》：「如虎如貔。」漢．孔安國．傳：「貔，執夷，虎屬也。」 |</v>
      </c>
    </row>
    <row r="2444" spans="1:44" hidden="1">
      <c r="A2444" s="1" t="s">
        <v>2129</v>
      </c>
      <c r="C2444" s="1">
        <v>1</v>
      </c>
      <c r="D2444" s="1" t="str">
        <f>"00829"</f>
        <v>00829</v>
      </c>
      <c r="E2444" s="1" t="s">
        <v>1792</v>
      </c>
      <c r="F2444" s="1">
        <v>5</v>
      </c>
      <c r="G2444" s="1">
        <v>0</v>
      </c>
      <c r="H2444" s="1">
        <v>0</v>
      </c>
      <c r="I2444" s="1" t="s">
        <v>2102</v>
      </c>
      <c r="K2444" s="1" t="str">
        <f t="shared" si="153"/>
        <v>ㄆ</v>
      </c>
      <c r="L2444" s="1" t="str">
        <f t="shared" si="154"/>
        <v>ㄧ</v>
      </c>
      <c r="N2444" s="3" t="s">
        <v>30575</v>
      </c>
      <c r="O2444" s="3"/>
      <c r="P2444" s="1" t="s">
        <v>20</v>
      </c>
      <c r="R2444" s="1" t="s">
        <v>2103</v>
      </c>
      <c r="V2444" s="1" t="s">
        <v>2130</v>
      </c>
      <c r="AR2444" s="1" t="str">
        <f t="shared" si="155"/>
        <v>| [ㄆㄧˊ](ㄆㄧˊ.md) | [皮](皮.md) |  | pí | [名]
1.動植物體表的一層組織。如：「獸皮」、「皮開肉綻」、「樹皮」。
2.物的表面。唐．韓愈〈題于賓客莊〉詩：「榆莢車前蓋地皮，薔薇蘸水筍穿籬。」
3.很薄的東西。如：「鐵皮」、「粉皮」、「豆腐皮」。
4.包裝東西的外皮，以為保護或美觀用。如：「封皮」、「書皮」。
5.姓。如唐代有皮日休。
6.二一四部首之一。
[形]
1.皮製的。如：「皮鞋」、「皮箱」、「皮筏」。
2.厚顏、沒有羞恥心。《喻世明言．卷二三．張舜美燈宵得麗女》：「訕語時，口要緊；刮涎處，臉須皮。」
3.性情頑劣不聽話。如：「這孩子好皮。」
4.有彈性的。如：「皮球」、「皮蛋」。 |</v>
      </c>
    </row>
    <row r="2445" spans="1:44" hidden="1">
      <c r="A2445" s="1" t="s">
        <v>1562</v>
      </c>
      <c r="C2445" s="1">
        <v>1</v>
      </c>
      <c r="D2445" s="1" t="str">
        <f>"00830"</f>
        <v>00830</v>
      </c>
      <c r="E2445" s="1" t="s">
        <v>691</v>
      </c>
      <c r="F2445" s="1">
        <v>8</v>
      </c>
      <c r="G2445" s="1">
        <v>5</v>
      </c>
      <c r="H2445" s="1">
        <v>1</v>
      </c>
      <c r="I2445" s="1" t="s">
        <v>2102</v>
      </c>
      <c r="K2445" s="1" t="str">
        <f t="shared" si="153"/>
        <v>ㄆ</v>
      </c>
      <c r="L2445" s="1" t="str">
        <f t="shared" si="154"/>
        <v>ㄧ</v>
      </c>
      <c r="N2445" s="3" t="s">
        <v>30575</v>
      </c>
      <c r="O2445" s="3"/>
      <c r="P2445" s="1" t="s">
        <v>20</v>
      </c>
      <c r="R2445" s="1" t="s">
        <v>2103</v>
      </c>
      <c r="V2445" s="1" t="s">
        <v>2131</v>
      </c>
      <c r="W2445" s="1" t="s">
        <v>2132</v>
      </c>
      <c r="AR2445" s="1" t="str">
        <f t="shared" si="155"/>
        <v>| [ㄆㄧˊ](ㄆㄧˊ.md) | [陂](陂.md) |  | pí | [名]
1.山坡。《文選．古詩十九首．冉冉生孤竹》：「千里遠結婚，悠悠隔山陂。」明．徐弘祖《徐霞客遊記．卷二下．楚遊日記》：「土人環石為陂，壅成巨潭，以灌山塍。」
2.池塘、湖泊。《淮南子．說林》：「十頃之陂，可以灌四十頃。」《文選．司馬相如．上林賦》：「日出東沼，入乎西陂。」 |</v>
      </c>
    </row>
    <row r="2446" spans="1:44" hidden="1">
      <c r="A2446" s="1" t="s">
        <v>2133</v>
      </c>
      <c r="C2446" s="1">
        <v>1</v>
      </c>
      <c r="D2446" s="1" t="str">
        <f>"00831"</f>
        <v>00831</v>
      </c>
      <c r="E2446" s="1" t="s">
        <v>40</v>
      </c>
      <c r="F2446" s="1">
        <v>10</v>
      </c>
      <c r="G2446" s="1">
        <v>5</v>
      </c>
      <c r="H2446" s="1">
        <v>0</v>
      </c>
      <c r="I2446" s="1" t="s">
        <v>2102</v>
      </c>
      <c r="K2446" s="1" t="str">
        <f t="shared" si="153"/>
        <v>ㄆ</v>
      </c>
      <c r="L2446" s="1" t="str">
        <f t="shared" si="154"/>
        <v>ㄧ</v>
      </c>
      <c r="N2446" s="3" t="s">
        <v>30575</v>
      </c>
      <c r="O2446" s="3"/>
      <c r="P2446" s="1" t="s">
        <v>20</v>
      </c>
      <c r="R2446" s="1" t="s">
        <v>2103</v>
      </c>
      <c r="V2446" s="1" t="s">
        <v>2134</v>
      </c>
      <c r="AR2446" s="1" t="str">
        <f t="shared" si="155"/>
        <v>| [ㄆㄧˊ](ㄆㄧˊ.md) | [疲](疲.md) |  | pí | [形]
1.勞累，困乏的樣子。如：「精疲力盡」。《紅樓夢》第一九回：「且說榮寧二府中，因連日用盡心力，真是人人力倦，各各神疲。」
2.瘦弱或衰老。《管子．小匡》：「故使天下諸侯以疲馬犬羊為幣。」
3.商品價格低落，買賣的情況稀少。如：「外匯市場行情疲軟。」
[動]
1.使勞累。《左傳．成公十六年》：「奸時以動，而疲民以逞。」
2.厭倦。如：「樂此不疲」。 |</v>
      </c>
    </row>
    <row r="2447" spans="1:44" hidden="1">
      <c r="A2447" s="1" t="s">
        <v>2094</v>
      </c>
      <c r="C2447" s="1">
        <v>1</v>
      </c>
      <c r="D2447" s="1" t="str">
        <f>"00832"</f>
        <v>00832</v>
      </c>
      <c r="E2447" s="1" t="s">
        <v>55</v>
      </c>
      <c r="F2447" s="1">
        <v>13</v>
      </c>
      <c r="G2447" s="1">
        <v>5</v>
      </c>
      <c r="H2447" s="1">
        <v>1</v>
      </c>
      <c r="I2447" s="1" t="s">
        <v>2102</v>
      </c>
      <c r="K2447" s="1" t="str">
        <f t="shared" si="153"/>
        <v>ㄆ</v>
      </c>
      <c r="L2447" s="1" t="str">
        <f t="shared" si="154"/>
        <v>ㄧ</v>
      </c>
      <c r="N2447" s="3" t="s">
        <v>30575</v>
      </c>
      <c r="O2447" s="3"/>
      <c r="P2447" s="1" t="s">
        <v>20</v>
      </c>
      <c r="R2447" s="1" t="s">
        <v>2103</v>
      </c>
      <c r="V2447" s="1" t="s">
        <v>2135</v>
      </c>
      <c r="W2447" s="1" t="s">
        <v>2136</v>
      </c>
      <c r="AR2447" s="1" t="str">
        <f t="shared" si="155"/>
        <v>| [ㄆㄧˊ](ㄆㄧˊ.md) | [鈹](鈹.md) |  | pí | [名]_x000D_
（beryllium，Be）化學元素。原子序4。鹼土金屬元素之一。色白，有延展性，是最輕的金屬之一，鈹鋁合金，質堅而輕，應用於飛機、火箭的製造。X射線透入性高，可用以製造X射線管，受α粒子撞擊時可產生中子，也用在原子能工業中。但產量很少，不敷需求。 |</v>
      </c>
    </row>
    <row r="2448" spans="1:44" hidden="1">
      <c r="A2448" s="1" t="s">
        <v>450</v>
      </c>
      <c r="C2448" s="1">
        <v>1</v>
      </c>
      <c r="D2448" s="1" t="str">
        <f>"00833"</f>
        <v>00833</v>
      </c>
      <c r="E2448" s="1" t="s">
        <v>132</v>
      </c>
      <c r="F2448" s="1">
        <v>11</v>
      </c>
      <c r="G2448" s="1">
        <v>8</v>
      </c>
      <c r="H2448" s="1">
        <v>3</v>
      </c>
      <c r="I2448" s="1" t="s">
        <v>2102</v>
      </c>
      <c r="K2448" s="1" t="str">
        <f t="shared" si="153"/>
        <v>ㄆ</v>
      </c>
      <c r="L2448" s="1" t="str">
        <f t="shared" si="154"/>
        <v>ㄧ</v>
      </c>
      <c r="N2448" s="3" t="s">
        <v>30575</v>
      </c>
      <c r="O2448" s="3"/>
      <c r="P2448" s="1" t="s">
        <v>20</v>
      </c>
      <c r="R2448" s="1" t="s">
        <v>2103</v>
      </c>
      <c r="V2448" s="1" t="s">
        <v>2137</v>
      </c>
      <c r="W2448" s="1" t="s">
        <v>2138</v>
      </c>
      <c r="AR2448" s="1" t="str">
        <f t="shared" si="155"/>
        <v>| [ㄆㄧˊ](ㄆㄧˊ.md) | [埤](埤.md) |  | pí | [名]
1.低牆。唐．杜甫〈題省中院壁〉詩：「掖垣竹埤梧十尋，洞門對霤常陰陰。」
2.灌溉用的蓄水池。多用於地名。參見「埤頭鄉」、「虎頭埤」條。
[動]
增加。《詩經．邶風．北門》：「王事適我，政事一埤益我。」南朝宋．鮑照〈登大雷岸與妹書〉：「削長埤短，可數百里。」 |</v>
      </c>
    </row>
    <row r="2449" spans="1:44" hidden="1">
      <c r="A2449" s="1" t="s">
        <v>2139</v>
      </c>
      <c r="C2449" s="1">
        <v>1</v>
      </c>
      <c r="D2449" s="1" t="str">
        <f>"00834"</f>
        <v>00834</v>
      </c>
      <c r="E2449" s="1" t="s">
        <v>28</v>
      </c>
      <c r="F2449" s="1">
        <v>11</v>
      </c>
      <c r="G2449" s="1">
        <v>8</v>
      </c>
      <c r="H2449" s="1">
        <v>0</v>
      </c>
      <c r="I2449" s="1" t="s">
        <v>2102</v>
      </c>
      <c r="K2449" s="1" t="str">
        <f t="shared" si="153"/>
        <v>ㄆ</v>
      </c>
      <c r="L2449" s="1" t="str">
        <f t="shared" si="154"/>
        <v>ㄧ</v>
      </c>
      <c r="N2449" s="3" t="s">
        <v>30575</v>
      </c>
      <c r="O2449" s="3"/>
      <c r="P2449" s="1" t="s">
        <v>20</v>
      </c>
      <c r="R2449" s="1" t="s">
        <v>2103</v>
      </c>
      <c r="V2449" s="1" t="s">
        <v>2140</v>
      </c>
      <c r="AR2449" s="1" t="str">
        <f t="shared" si="155"/>
        <v>| [ㄆㄧˊ](ㄆㄧˊ.md) | [啤](啤.md) |  | pí | 參見「啤酒」條。 |</v>
      </c>
    </row>
    <row r="2450" spans="1:44" hidden="1">
      <c r="A2450" s="1" t="s">
        <v>2141</v>
      </c>
      <c r="C2450" s="1">
        <v>1</v>
      </c>
      <c r="D2450" s="1" t="str">
        <f>"00835"</f>
        <v>00835</v>
      </c>
      <c r="E2450" s="1" t="s">
        <v>256</v>
      </c>
      <c r="F2450" s="1">
        <v>11</v>
      </c>
      <c r="G2450" s="1">
        <v>8</v>
      </c>
      <c r="H2450" s="1">
        <v>0</v>
      </c>
      <c r="I2450" s="1" t="s">
        <v>2102</v>
      </c>
      <c r="K2450" s="1" t="str">
        <f t="shared" ref="K2450:K2513" si="156">LEFT(I2450, 1)</f>
        <v>ㄆ</v>
      </c>
      <c r="L2450" s="1" t="str">
        <f t="shared" ref="L2450:L2513" si="157">MID(I2450, 2, 1)</f>
        <v>ㄧ</v>
      </c>
      <c r="N2450" s="3" t="s">
        <v>30575</v>
      </c>
      <c r="O2450" s="3"/>
      <c r="P2450" s="1" t="s">
        <v>20</v>
      </c>
      <c r="R2450" s="1" t="s">
        <v>2103</v>
      </c>
      <c r="V2450" s="1" t="s">
        <v>2142</v>
      </c>
      <c r="AR2450" s="1" t="str">
        <f t="shared" si="155"/>
        <v>| [ㄆㄧˊ](ㄆㄧˊ.md) | [郫](郫.md) |  | pí | 參見「郫縣」條。 |</v>
      </c>
    </row>
    <row r="2451" spans="1:44" hidden="1">
      <c r="A2451" s="1" t="s">
        <v>2143</v>
      </c>
      <c r="C2451" s="1">
        <v>1</v>
      </c>
      <c r="D2451" s="1" t="str">
        <f>"00836"</f>
        <v>00836</v>
      </c>
      <c r="E2451" s="1" t="s">
        <v>691</v>
      </c>
      <c r="F2451" s="1">
        <v>11</v>
      </c>
      <c r="G2451" s="1">
        <v>8</v>
      </c>
      <c r="H2451" s="1">
        <v>0</v>
      </c>
      <c r="I2451" s="1" t="s">
        <v>2102</v>
      </c>
      <c r="K2451" s="1" t="str">
        <f t="shared" si="156"/>
        <v>ㄆ</v>
      </c>
      <c r="L2451" s="1" t="str">
        <f t="shared" si="157"/>
        <v>ㄧ</v>
      </c>
      <c r="N2451" s="3" t="s">
        <v>30575</v>
      </c>
      <c r="O2451" s="3"/>
      <c r="P2451" s="1" t="s">
        <v>20</v>
      </c>
      <c r="R2451" s="1" t="s">
        <v>2103</v>
      </c>
      <c r="V2451" s="1" t="s">
        <v>2144</v>
      </c>
      <c r="AR2451" s="1" t="str">
        <f t="shared" si="155"/>
        <v>| [ㄆㄧˊ](ㄆㄧˊ.md) | [陴](陴.md) |  | pí | [名]
城上的短牆。《文選．丘遲．與陳伯之書》：「撫絃登陴，豈不愴悢。」 |</v>
      </c>
    </row>
    <row r="2452" spans="1:44" hidden="1">
      <c r="A2452" s="1" t="s">
        <v>453</v>
      </c>
      <c r="C2452" s="1">
        <v>1</v>
      </c>
      <c r="D2452" s="1" t="str">
        <f>"00837"</f>
        <v>00837</v>
      </c>
      <c r="E2452" s="1" t="s">
        <v>139</v>
      </c>
      <c r="F2452" s="1">
        <v>12</v>
      </c>
      <c r="G2452" s="1">
        <v>8</v>
      </c>
      <c r="H2452" s="1">
        <v>2</v>
      </c>
      <c r="I2452" s="1" t="s">
        <v>2102</v>
      </c>
      <c r="K2452" s="1" t="str">
        <f t="shared" si="156"/>
        <v>ㄆ</v>
      </c>
      <c r="L2452" s="1" t="str">
        <f t="shared" si="157"/>
        <v>ㄧ</v>
      </c>
      <c r="N2452" s="3" t="s">
        <v>30575</v>
      </c>
      <c r="O2452" s="3"/>
      <c r="P2452" s="1" t="s">
        <v>20</v>
      </c>
      <c r="R2452" s="1" t="s">
        <v>2103</v>
      </c>
      <c r="V2452" s="1" t="s">
        <v>2145</v>
      </c>
      <c r="W2452" s="1" t="s">
        <v>2146</v>
      </c>
      <c r="AR2452" s="1" t="str">
        <f t="shared" si="155"/>
        <v>| [ㄆㄧˊ](ㄆㄧˊ.md) | [椑](椑.md) |  | pí | [名]
1.橢圓形的盛酒器。《說文解字．木部》：「椑，圜榼也。」《漢書．卷六一．張騫傳》「以其頭為飲器」句下唐．顏師古．注：「椑榼，即今之偏榼，所以盛酒耳，非用飲者也。」
2.斧柄。《玉篇．木部》：「椑，齊人謂斧柯為椑。」 |</v>
      </c>
    </row>
    <row r="2453" spans="1:44" hidden="1">
      <c r="A2453" s="1" t="s">
        <v>2147</v>
      </c>
      <c r="C2453" s="1">
        <v>1</v>
      </c>
      <c r="D2453" s="1" t="str">
        <f>"00838"</f>
        <v>00838</v>
      </c>
      <c r="E2453" s="1" t="s">
        <v>68</v>
      </c>
      <c r="F2453" s="1">
        <v>12</v>
      </c>
      <c r="G2453" s="1">
        <v>8</v>
      </c>
      <c r="H2453" s="1">
        <v>0</v>
      </c>
      <c r="I2453" s="1" t="s">
        <v>2102</v>
      </c>
      <c r="K2453" s="1" t="str">
        <f t="shared" si="156"/>
        <v>ㄆ</v>
      </c>
      <c r="L2453" s="1" t="str">
        <f t="shared" si="157"/>
        <v>ㄧ</v>
      </c>
      <c r="N2453" s="3" t="s">
        <v>30575</v>
      </c>
      <c r="O2453" s="3"/>
      <c r="P2453" s="1" t="s">
        <v>20</v>
      </c>
      <c r="R2453" s="1" t="s">
        <v>2103</v>
      </c>
      <c r="V2453" s="1" t="s">
        <v>2148</v>
      </c>
      <c r="AR2453" s="1" t="str">
        <f t="shared" si="155"/>
        <v>| [ㄆㄧˊ](ㄆㄧˊ.md) | [脾](脾.md) |  | pí | [名]
1.內臟之一。參見「脾臟」條。
2.參見「脾氣」條。 |</v>
      </c>
    </row>
    <row r="2454" spans="1:44" hidden="1">
      <c r="A2454" s="1" t="s">
        <v>1017</v>
      </c>
      <c r="C2454" s="1">
        <v>1</v>
      </c>
      <c r="D2454" s="1" t="str">
        <f>"00839"</f>
        <v>00839</v>
      </c>
      <c r="E2454" s="1" t="s">
        <v>340</v>
      </c>
      <c r="F2454" s="1">
        <v>14</v>
      </c>
      <c r="G2454" s="1">
        <v>8</v>
      </c>
      <c r="H2454" s="1">
        <v>2</v>
      </c>
      <c r="I2454" s="1" t="s">
        <v>2102</v>
      </c>
      <c r="K2454" s="1" t="str">
        <f t="shared" si="156"/>
        <v>ㄆ</v>
      </c>
      <c r="L2454" s="1" t="str">
        <f t="shared" si="157"/>
        <v>ㄧ</v>
      </c>
      <c r="N2454" s="3" t="s">
        <v>30575</v>
      </c>
      <c r="O2454" s="3"/>
      <c r="P2454" s="1" t="s">
        <v>20</v>
      </c>
      <c r="R2454" s="1" t="s">
        <v>2103</v>
      </c>
      <c r="V2454" s="1" t="s">
        <v>2149</v>
      </c>
      <c r="W2454" s="1" t="s">
        <v>2150</v>
      </c>
      <c r="AR2454" s="1" t="str">
        <f t="shared" si="155"/>
        <v>| [ㄆㄧˊ](ㄆㄧˊ.md) | [裨](裨.md) |  | pí | [形]
1.小的。《文選．張衡．西京賦》：「爾乃商賈百族，裨販夫婦。」
2.副的、偏的。《三國志．卷五六．吳書．呂範傳》：「曹公至赤壁，（呂範）與周瑜等俱拒破之，拜裨將軍，領彭澤太守。」《晉書．卷五九．東海王越傳》：「自頃胡寇內逼，偏裨失利。」
[名]
姓。如春秋時鄭國有裨諶。 |</v>
      </c>
    </row>
    <row r="2455" spans="1:44" hidden="1">
      <c r="A2455" s="1" t="s">
        <v>2151</v>
      </c>
      <c r="C2455" s="1">
        <v>1</v>
      </c>
      <c r="D2455" s="1" t="str">
        <f>"00840"</f>
        <v>00840</v>
      </c>
      <c r="E2455" s="1" t="s">
        <v>679</v>
      </c>
      <c r="F2455" s="1">
        <v>14</v>
      </c>
      <c r="G2455" s="1">
        <v>8</v>
      </c>
      <c r="H2455" s="1">
        <v>0</v>
      </c>
      <c r="I2455" s="1" t="s">
        <v>2102</v>
      </c>
      <c r="K2455" s="1" t="str">
        <f t="shared" si="156"/>
        <v>ㄆ</v>
      </c>
      <c r="L2455" s="1" t="str">
        <f t="shared" si="157"/>
        <v>ㄧ</v>
      </c>
      <c r="N2455" s="3" t="s">
        <v>30575</v>
      </c>
      <c r="O2455" s="3"/>
      <c r="P2455" s="1" t="s">
        <v>20</v>
      </c>
      <c r="R2455" s="1" t="s">
        <v>2103</v>
      </c>
      <c r="V2455" s="1" t="s">
        <v>2152</v>
      </c>
      <c r="AR2455" s="1" t="str">
        <f t="shared" si="155"/>
        <v>| [ㄆㄧˊ](ㄆㄧˊ.md) | [蜱](蜱.md) |  | pí | [名]
動物名。節肢動物門蜘蛛綱。身體呈橢圓形，頭胸部和腹部合在一起，有四對腳。有許多種類，多附著於動物皮面，吸吮血液為生。 |</v>
      </c>
    </row>
    <row r="2456" spans="1:44" hidden="1">
      <c r="A2456" s="1" t="s">
        <v>2153</v>
      </c>
      <c r="C2456" s="1">
        <v>1</v>
      </c>
      <c r="D2456" s="1" t="str">
        <f>"00841"</f>
        <v>00841</v>
      </c>
      <c r="E2456" s="1" t="s">
        <v>2154</v>
      </c>
      <c r="F2456" s="1">
        <v>21</v>
      </c>
      <c r="G2456" s="1">
        <v>8</v>
      </c>
      <c r="H2456" s="1">
        <v>0</v>
      </c>
      <c r="I2456" s="1" t="s">
        <v>2102</v>
      </c>
      <c r="K2456" s="1" t="str">
        <f t="shared" si="156"/>
        <v>ㄆ</v>
      </c>
      <c r="L2456" s="1" t="str">
        <f t="shared" si="157"/>
        <v>ㄧ</v>
      </c>
      <c r="N2456" s="3" t="s">
        <v>30575</v>
      </c>
      <c r="O2456" s="3"/>
      <c r="P2456" s="1" t="s">
        <v>20</v>
      </c>
      <c r="R2456" s="1" t="s">
        <v>2103</v>
      </c>
      <c r="V2456" s="1" t="s">
        <v>2155</v>
      </c>
      <c r="AR2456" s="1" t="str">
        <f t="shared" si="155"/>
        <v>| [ㄆㄧˊ](ㄆㄧˊ.md) | [鼙](鼙.md) |  | pí | [名]
1.古代軍隊中作戰時使用的戰鼓。《禮記．樂記》：「君子聽鼓鼙之聲，則思將帥之臣。」唐．白居易〈長恨歌〉：「漁陽鼙鼓動地來，驚破霓裳羽衣曲。」
2.指戰鼓聲。唐．毛文錫〈甘州遍．春光好〉詞：「邊聲四起，愁聞戍角與征鼙。」 |</v>
      </c>
    </row>
    <row r="2457" spans="1:44" hidden="1">
      <c r="A2457" s="1" t="s">
        <v>2156</v>
      </c>
      <c r="C2457" s="1">
        <v>1</v>
      </c>
      <c r="D2457" s="1" t="str">
        <f>"00842"</f>
        <v>00842</v>
      </c>
      <c r="E2457" s="1" t="s">
        <v>447</v>
      </c>
      <c r="F2457" s="1">
        <v>23</v>
      </c>
      <c r="G2457" s="1">
        <v>20</v>
      </c>
      <c r="H2457" s="1">
        <v>0</v>
      </c>
      <c r="I2457" s="1" t="s">
        <v>2102</v>
      </c>
      <c r="K2457" s="1" t="str">
        <f t="shared" si="156"/>
        <v>ㄆ</v>
      </c>
      <c r="L2457" s="1" t="str">
        <f t="shared" si="157"/>
        <v>ㄧ</v>
      </c>
      <c r="N2457" s="3" t="s">
        <v>30575</v>
      </c>
      <c r="O2457" s="3"/>
      <c r="P2457" s="1" t="s">
        <v>20</v>
      </c>
      <c r="R2457" s="1" t="s">
        <v>2103</v>
      </c>
      <c r="V2457" s="1" t="s">
        <v>2157</v>
      </c>
      <c r="AR2457" s="1" t="str">
        <f t="shared" si="155"/>
        <v>| [ㄆㄧˊ](ㄆㄧˊ.md) | [蠯](蠯.md) |  | pí | [名]
狹長的蚌蛤。《集韻．平聲．佳韻》：「蠯，蚌狹而長者。」《周禮．天官．鱉人》：「祭祀共蠯，蠃蚳以授醢人。」 |</v>
      </c>
    </row>
    <row r="2458" spans="1:44" hidden="1">
      <c r="A2458" s="1" t="s">
        <v>117</v>
      </c>
      <c r="C2458" s="1">
        <v>1</v>
      </c>
      <c r="D2458" s="1" t="str">
        <f>"00843"</f>
        <v>00843</v>
      </c>
      <c r="E2458" s="1" t="s">
        <v>118</v>
      </c>
      <c r="F2458" s="1">
        <v>15</v>
      </c>
      <c r="G2458" s="1">
        <v>10</v>
      </c>
      <c r="H2458" s="1">
        <v>3</v>
      </c>
      <c r="I2458" s="1" t="s">
        <v>2102</v>
      </c>
      <c r="K2458" s="1" t="str">
        <f t="shared" si="156"/>
        <v>ㄆ</v>
      </c>
      <c r="L2458" s="1" t="str">
        <f t="shared" si="157"/>
        <v>ㄧ</v>
      </c>
      <c r="N2458" s="3" t="s">
        <v>30575</v>
      </c>
      <c r="O2458" s="3"/>
      <c r="P2458" s="1" t="s">
        <v>20</v>
      </c>
      <c r="R2458" s="1" t="s">
        <v>2103</v>
      </c>
      <c r="V2458" s="1" t="s">
        <v>2158</v>
      </c>
      <c r="W2458" s="1" t="s">
        <v>2159</v>
      </c>
      <c r="AR2458" s="1" t="str">
        <f t="shared" si="155"/>
        <v>| [ㄆㄧˊ](ㄆㄧˊ.md) | [罷](罷.md) |  | pí | [形]
勞乏、困倦。通「疲」。《淮南子．俶真》：「神盡而形有餘，故罷馬之死也，剝之若槁。」《文選．賈誼．過秦論》：「兵革不休，士民罷敝。」 |</v>
      </c>
    </row>
    <row r="2459" spans="1:44" hidden="1">
      <c r="A2459" s="1" t="s">
        <v>2160</v>
      </c>
      <c r="C2459" s="1">
        <v>1</v>
      </c>
      <c r="D2459" s="1" t="str">
        <f>"00844"</f>
        <v>00844</v>
      </c>
      <c r="E2459" s="1" t="s">
        <v>118</v>
      </c>
      <c r="F2459" s="1">
        <v>19</v>
      </c>
      <c r="G2459" s="1">
        <v>14</v>
      </c>
      <c r="H2459" s="1">
        <v>0</v>
      </c>
      <c r="I2459" s="1" t="s">
        <v>2102</v>
      </c>
      <c r="K2459" s="1" t="str">
        <f t="shared" si="156"/>
        <v>ㄆ</v>
      </c>
      <c r="L2459" s="1" t="str">
        <f t="shared" si="157"/>
        <v>ㄧ</v>
      </c>
      <c r="N2459" s="3" t="s">
        <v>30575</v>
      </c>
      <c r="O2459" s="3"/>
      <c r="P2459" s="1" t="s">
        <v>20</v>
      </c>
      <c r="R2459" s="1" t="s">
        <v>2103</v>
      </c>
      <c r="V2459" s="1" t="s">
        <v>2161</v>
      </c>
      <c r="AR2459" s="1" t="str">
        <f t="shared" si="155"/>
        <v>| [ㄆㄧˊ](ㄆㄧˊ.md) | [羆](羆.md) |  | pí | [名]
一種大熊。毛皮呈黃白雜文。能爬樹、游泳，具強大力氣。《爾雅．釋獸》：「羆，如熊，黃白文。」晉．郭璞．注：「似熊而長頭高腳，猛憨多力，能拔樹木。」 |</v>
      </c>
    </row>
    <row r="2460" spans="1:44" hidden="1">
      <c r="A2460" s="1" t="s">
        <v>2063</v>
      </c>
      <c r="C2460" s="1">
        <v>1</v>
      </c>
      <c r="D2460" s="1" t="str">
        <f>"00845"</f>
        <v>00845</v>
      </c>
      <c r="E2460" s="1" t="s">
        <v>1258</v>
      </c>
      <c r="F2460" s="1">
        <v>4</v>
      </c>
      <c r="G2460" s="1">
        <v>2</v>
      </c>
      <c r="H2460" s="1">
        <v>1</v>
      </c>
      <c r="I2460" s="1" t="s">
        <v>2162</v>
      </c>
      <c r="K2460" s="1" t="str">
        <f t="shared" si="156"/>
        <v>ㄆ</v>
      </c>
      <c r="L2460" s="1" t="str">
        <f t="shared" si="157"/>
        <v>ㄧ</v>
      </c>
      <c r="N2460" s="3" t="s">
        <v>30576</v>
      </c>
      <c r="O2460" s="3"/>
      <c r="P2460" s="1" t="s">
        <v>20</v>
      </c>
      <c r="R2460" s="1" t="s">
        <v>2163</v>
      </c>
      <c r="V2460" s="1" t="s">
        <v>2164</v>
      </c>
      <c r="W2460" s="1" t="s">
        <v>2165</v>
      </c>
      <c r="AR2460" s="1" t="str">
        <f t="shared" si="155"/>
        <v>| [ㄆㄧˇ](ㄆㄧˇ.md) | [匹](匹.md) |  | pǐ | [名]_x000D_
1.量詞。計算布帛類紡織品的單位。如：「一匹布」、「兩匹綢子」。_x000D_
2.朋友。《禮記．緇衣》：「唯君子能好其正，小人毒其正。」漢．鄭玄．注：「正當為匹字之誤。匹謂知識朋友。」_x000D_
[動]_x000D_
1.配合、匹配。《左傳．桓公十年》：「匹夫無罪。」唐．孔穎達．正義：「庶人惟夫妻相匹。」漢．董仲舒《春秋繁露．楚莊王》：「百物皆有合偶，偶之合之，仇之匹之，善矣。」_x000D_
2.比較、相比。《莊子．逍遙遊》：「彭祖乃今以久特聞，眾人匹之，不亦悲乎？」_x000D_
[形]_x000D_
1.地位對等、實力相當。《左傳．僖公二十三年》：「秦晉匹也，何以卑我？」_x000D_
2.單獨的。如：「匹婦」。《孟子．梁惠王下》：「此匹夫之勇，敵一人者也。」 |</v>
      </c>
    </row>
    <row r="2461" spans="1:44" hidden="1">
      <c r="A2461" s="1" t="s">
        <v>2166</v>
      </c>
      <c r="C2461" s="1">
        <v>1</v>
      </c>
      <c r="D2461" s="1" t="str">
        <f>"00846"</f>
        <v>00846</v>
      </c>
      <c r="E2461" s="1" t="s">
        <v>447</v>
      </c>
      <c r="F2461" s="1">
        <v>5</v>
      </c>
      <c r="G2461" s="1">
        <v>2</v>
      </c>
      <c r="H2461" s="1">
        <v>0</v>
      </c>
      <c r="I2461" s="1" t="s">
        <v>2162</v>
      </c>
      <c r="K2461" s="1" t="str">
        <f t="shared" si="156"/>
        <v>ㄆ</v>
      </c>
      <c r="L2461" s="1" t="str">
        <f t="shared" si="157"/>
        <v>ㄧ</v>
      </c>
      <c r="N2461" s="3" t="s">
        <v>30576</v>
      </c>
      <c r="O2461" s="3"/>
      <c r="P2461" s="1" t="s">
        <v>20</v>
      </c>
      <c r="R2461" s="1" t="s">
        <v>2163</v>
      </c>
      <c r="V2461" s="1" t="s">
        <v>2167</v>
      </c>
      <c r="AR2461" s="1" t="str">
        <f t="shared" si="155"/>
        <v>| [ㄆㄧˇ](ㄆㄧˇ.md) | [庀](庀.md) |  | pǐ | [動]
1.治理。《集韻．上聲．紙韻》：「庀，治也。」《國語．魯語下》：「卿大夫朝考其職，晝講其庶政，夕序其業，夜庀其家事，而後即安。」
2.具備。《左傳．襄公五年》：「宰庀家器為葬備。」晉．杜預．注：「庀，具也。」《聊齋志異．卷一一．黃英》：「鳩工庀料，土木大作。」 |</v>
      </c>
    </row>
    <row r="2462" spans="1:44" hidden="1">
      <c r="A2462" s="1" t="s">
        <v>2168</v>
      </c>
      <c r="C2462" s="1">
        <v>1</v>
      </c>
      <c r="D2462" s="1" t="str">
        <f>"00847"</f>
        <v>00847</v>
      </c>
      <c r="E2462" s="1" t="s">
        <v>114</v>
      </c>
      <c r="F2462" s="1">
        <v>6</v>
      </c>
      <c r="G2462" s="1">
        <v>4</v>
      </c>
      <c r="H2462" s="1">
        <v>0</v>
      </c>
      <c r="I2462" s="1" t="s">
        <v>2162</v>
      </c>
      <c r="K2462" s="1" t="str">
        <f t="shared" si="156"/>
        <v>ㄆ</v>
      </c>
      <c r="L2462" s="1" t="str">
        <f t="shared" si="157"/>
        <v>ㄧ</v>
      </c>
      <c r="N2462" s="3" t="s">
        <v>30576</v>
      </c>
      <c r="O2462" s="3"/>
      <c r="P2462" s="1" t="s">
        <v>20</v>
      </c>
      <c r="R2462" s="1" t="s">
        <v>2163</v>
      </c>
      <c r="V2462" s="1" t="s">
        <v>2169</v>
      </c>
      <c r="AR2462" s="1" t="str">
        <f t="shared" si="155"/>
        <v>| [ㄆㄧˇ](ㄆㄧˇ.md) | [仳](仳.md) |  | pǐ | [動]
分別、分離。如：「仳離」、「仳別」。 |</v>
      </c>
    </row>
    <row r="2463" spans="1:44" hidden="1">
      <c r="A2463" s="1" t="s">
        <v>925</v>
      </c>
      <c r="C2463" s="1">
        <v>1</v>
      </c>
      <c r="D2463" s="1" t="str">
        <f>"00848"</f>
        <v>00848</v>
      </c>
      <c r="E2463" s="1" t="s">
        <v>28</v>
      </c>
      <c r="F2463" s="1">
        <v>7</v>
      </c>
      <c r="G2463" s="1">
        <v>4</v>
      </c>
      <c r="H2463" s="1">
        <v>2</v>
      </c>
      <c r="I2463" s="1" t="s">
        <v>2162</v>
      </c>
      <c r="K2463" s="1" t="str">
        <f t="shared" si="156"/>
        <v>ㄆ</v>
      </c>
      <c r="L2463" s="1" t="str">
        <f t="shared" si="157"/>
        <v>ㄧ</v>
      </c>
      <c r="N2463" s="3" t="s">
        <v>30576</v>
      </c>
      <c r="O2463" s="3"/>
      <c r="P2463" s="1" t="s">
        <v>20</v>
      </c>
      <c r="R2463" s="1" t="s">
        <v>2163</v>
      </c>
      <c r="V2463" s="1" t="s">
        <v>2170</v>
      </c>
      <c r="W2463" s="1" t="s">
        <v>2171</v>
      </c>
      <c r="AR2463" s="1" t="str">
        <f t="shared" si="155"/>
        <v>| [ㄆㄧˇ](ㄆㄧˇ.md) | [吡](吡.md) |  | pǐ | [動]
詆毀。《莊子．列禦寇》：「中德也者，有以自好也，而吡其所不為者也。」 |</v>
      </c>
    </row>
    <row r="2464" spans="1:44" hidden="1">
      <c r="A2464" s="1" t="s">
        <v>2172</v>
      </c>
      <c r="C2464" s="1">
        <v>1</v>
      </c>
      <c r="D2464" s="1" t="str">
        <f>"00849"</f>
        <v>00849</v>
      </c>
      <c r="E2464" s="1" t="s">
        <v>2173</v>
      </c>
      <c r="F2464" s="1">
        <v>5</v>
      </c>
      <c r="G2464" s="1">
        <v>0</v>
      </c>
      <c r="H2464" s="1">
        <v>1</v>
      </c>
      <c r="I2464" s="1" t="s">
        <v>2162</v>
      </c>
      <c r="K2464" s="1" t="str">
        <f t="shared" si="156"/>
        <v>ㄆ</v>
      </c>
      <c r="L2464" s="1" t="str">
        <f t="shared" si="157"/>
        <v>ㄧ</v>
      </c>
      <c r="N2464" s="3" t="s">
        <v>30576</v>
      </c>
      <c r="O2464" s="3"/>
      <c r="P2464" s="1" t="s">
        <v>20</v>
      </c>
      <c r="R2464" s="1" t="s">
        <v>2163</v>
      </c>
      <c r="V2464" s="1" t="s">
        <v>2174</v>
      </c>
      <c r="W2464" s="1" t="s">
        <v>2175</v>
      </c>
      <c r="AR2464" s="1" t="str">
        <f t="shared" si="155"/>
        <v>| [ㄆㄧˇ](ㄆㄧˇ.md) | [疋](疋.md) |  | pǐ | [名]
量詞。計算布帛類紡織品的單位。同「匹」。如：「兩疋布」。 |</v>
      </c>
    </row>
    <row r="2465" spans="1:44" hidden="1">
      <c r="A2465" s="1" t="s">
        <v>2176</v>
      </c>
      <c r="C2465" s="1">
        <v>1</v>
      </c>
      <c r="D2465" s="1" t="str">
        <f>"00850"</f>
        <v>00850</v>
      </c>
      <c r="E2465" s="1" t="s">
        <v>132</v>
      </c>
      <c r="F2465" s="1">
        <v>6</v>
      </c>
      <c r="G2465" s="1">
        <v>3</v>
      </c>
      <c r="H2465" s="1">
        <v>0</v>
      </c>
      <c r="I2465" s="1" t="s">
        <v>2162</v>
      </c>
      <c r="K2465" s="1" t="str">
        <f t="shared" si="156"/>
        <v>ㄆ</v>
      </c>
      <c r="L2465" s="1" t="str">
        <f t="shared" si="157"/>
        <v>ㄧ</v>
      </c>
      <c r="N2465" s="3" t="s">
        <v>30576</v>
      </c>
      <c r="O2465" s="3"/>
      <c r="P2465" s="1" t="s">
        <v>20</v>
      </c>
      <c r="R2465" s="1" t="s">
        <v>2163</v>
      </c>
      <c r="V2465" s="1" t="s">
        <v>2177</v>
      </c>
      <c r="AR2465" s="1" t="str">
        <f t="shared" si="155"/>
        <v>| [ㄆㄧˇ](ㄆㄧˇ.md) | [圮](圮.md) |  | pǐ | [動]
毀壞、傾倒。如：「傾圮」、「圮墳」。 |</v>
      </c>
    </row>
    <row r="2466" spans="1:44" hidden="1">
      <c r="A2466" s="1" t="s">
        <v>2178</v>
      </c>
      <c r="C2466" s="1">
        <v>1</v>
      </c>
      <c r="D2466" s="1" t="str">
        <f>"00851"</f>
        <v>00851</v>
      </c>
      <c r="E2466" s="1" t="s">
        <v>28</v>
      </c>
      <c r="F2466" s="1">
        <v>7</v>
      </c>
      <c r="G2466" s="1">
        <v>4</v>
      </c>
      <c r="H2466" s="1">
        <v>2</v>
      </c>
      <c r="I2466" s="1" t="s">
        <v>2162</v>
      </c>
      <c r="K2466" s="1" t="str">
        <f t="shared" si="156"/>
        <v>ㄆ</v>
      </c>
      <c r="L2466" s="1" t="str">
        <f t="shared" si="157"/>
        <v>ㄧ</v>
      </c>
      <c r="N2466" s="3" t="s">
        <v>30576</v>
      </c>
      <c r="O2466" s="3"/>
      <c r="P2466" s="1" t="s">
        <v>20</v>
      </c>
      <c r="R2466" s="1" t="s">
        <v>2163</v>
      </c>
      <c r="V2466" s="1" t="s">
        <v>2179</v>
      </c>
      <c r="W2466" s="1" t="s">
        <v>2180</v>
      </c>
      <c r="AR2466" s="1" t="str">
        <f t="shared" si="155"/>
        <v>| [ㄆㄧˇ](ㄆㄧˇ.md) | [否](否.md) |  | pǐ | [名]
1.《易經》卦名。六十四卦之一。坤（☷）下乾（☰）上。象天地不交，萬物不通之義。
2.壞、惡。如：「否極泰來」。《詩經．大雅．抑》：「於呼小子，未知臧否。」《文選．諸葛亮．出師表》：「宮中府中，俱為一體，陟罰臧否，不宜異同。」
[形]
不好、惡劣的。如：「否德」。漢．桓寬《鹽鐵論．復古》：「窮夫否婦，不知國家之慮。」
[動]
貶斥。如：「臧否人物」。 |</v>
      </c>
    </row>
    <row r="2467" spans="1:44" hidden="1">
      <c r="A2467" s="1" t="s">
        <v>2181</v>
      </c>
      <c r="C2467" s="1">
        <v>1</v>
      </c>
      <c r="D2467" s="1" t="str">
        <f>"00852"</f>
        <v>00852</v>
      </c>
      <c r="E2467" s="1" t="s">
        <v>40</v>
      </c>
      <c r="F2467" s="1">
        <v>12</v>
      </c>
      <c r="G2467" s="1">
        <v>7</v>
      </c>
      <c r="H2467" s="1">
        <v>0</v>
      </c>
      <c r="I2467" s="1" t="s">
        <v>2162</v>
      </c>
      <c r="K2467" s="1" t="str">
        <f t="shared" si="156"/>
        <v>ㄆ</v>
      </c>
      <c r="L2467" s="1" t="str">
        <f t="shared" si="157"/>
        <v>ㄧ</v>
      </c>
      <c r="N2467" s="3" t="s">
        <v>30576</v>
      </c>
      <c r="O2467" s="3"/>
      <c r="P2467" s="1" t="s">
        <v>20</v>
      </c>
      <c r="R2467" s="1" t="s">
        <v>2163</v>
      </c>
      <c r="V2467" s="1" t="s">
        <v>2182</v>
      </c>
      <c r="AR2467" s="1" t="str">
        <f t="shared" si="155"/>
        <v>| [ㄆㄧˇ](ㄆㄧˇ.md) | [痞](痞.md) |  | pǐ | [名]
1.慢性脾臟腫大，腹內如生硬塊，故稱為「痞塊」。《玉篇．疒部》：「痞，腹內結病。」
2.中醫稱腹胸間氣血阻塞不順暢的症狀。《南齊書．卷五三．良政傳．虞愿傳》：「食逐夷積多，胸腹痞脹，氣將絕。」
3.胡作非為的人。如：「地痞」、「痞子」。 |</v>
      </c>
    </row>
    <row r="2468" spans="1:44" hidden="1">
      <c r="A2468" s="1" t="s">
        <v>2183</v>
      </c>
      <c r="C2468" s="1">
        <v>1</v>
      </c>
      <c r="D2468" s="1" t="str">
        <f>"00853"</f>
        <v>00853</v>
      </c>
      <c r="E2468" s="1" t="s">
        <v>28</v>
      </c>
      <c r="F2468" s="1">
        <v>19</v>
      </c>
      <c r="G2468" s="1">
        <v>16</v>
      </c>
      <c r="H2468" s="1">
        <v>0</v>
      </c>
      <c r="I2468" s="1" t="s">
        <v>2162</v>
      </c>
      <c r="K2468" s="1" t="str">
        <f t="shared" si="156"/>
        <v>ㄆ</v>
      </c>
      <c r="L2468" s="1" t="str">
        <f t="shared" si="157"/>
        <v>ㄧ</v>
      </c>
      <c r="N2468" s="3" t="s">
        <v>30576</v>
      </c>
      <c r="O2468" s="3"/>
      <c r="P2468" s="1" t="s">
        <v>20</v>
      </c>
      <c r="R2468" s="1" t="s">
        <v>2163</v>
      </c>
      <c r="V2468" s="1" t="s">
        <v>2184</v>
      </c>
      <c r="AR2468" s="1" t="str">
        <f t="shared" si="155"/>
        <v>| [ㄆㄧˇ](ㄆㄧˇ.md) | [嚭](嚭.md) |  | pǐ | [名]
人名用字。如春秋時吳國有伯嚭。 |</v>
      </c>
    </row>
    <row r="2469" spans="1:44" hidden="1">
      <c r="A2469" s="1" t="s">
        <v>2097</v>
      </c>
      <c r="C2469" s="1">
        <v>1</v>
      </c>
      <c r="D2469" s="1" t="str">
        <f>"00854"</f>
        <v>00854</v>
      </c>
      <c r="E2469" s="1" t="s">
        <v>185</v>
      </c>
      <c r="F2469" s="1">
        <v>15</v>
      </c>
      <c r="G2469" s="1">
        <v>13</v>
      </c>
      <c r="H2469" s="1">
        <v>2</v>
      </c>
      <c r="I2469" s="1" t="s">
        <v>2162</v>
      </c>
      <c r="K2469" s="1" t="str">
        <f t="shared" si="156"/>
        <v>ㄆ</v>
      </c>
      <c r="L2469" s="1" t="str">
        <f t="shared" si="157"/>
        <v>ㄧ</v>
      </c>
      <c r="N2469" s="3" t="s">
        <v>30576</v>
      </c>
      <c r="O2469" s="3"/>
      <c r="P2469" s="1" t="s">
        <v>20</v>
      </c>
      <c r="R2469" s="1" t="s">
        <v>2163</v>
      </c>
      <c r="V2469" s="1" t="s">
        <v>2185</v>
      </c>
      <c r="W2469" s="1" t="s">
        <v>2186</v>
      </c>
      <c r="AR2469" s="1" t="str">
        <f t="shared" si="155"/>
        <v>| [ㄆㄧˇ](ㄆㄧˇ.md) | [劈](劈.md) |  | pǐ | 參見「劈柴」條。 |</v>
      </c>
    </row>
    <row r="2470" spans="1:44" hidden="1">
      <c r="A2470" s="1" t="s">
        <v>2187</v>
      </c>
      <c r="C2470" s="1">
        <v>1</v>
      </c>
      <c r="D2470" s="1" t="str">
        <f>"00855"</f>
        <v>00855</v>
      </c>
      <c r="E2470" s="1" t="s">
        <v>40</v>
      </c>
      <c r="F2470" s="1">
        <v>18</v>
      </c>
      <c r="G2470" s="1">
        <v>13</v>
      </c>
      <c r="H2470" s="1">
        <v>1</v>
      </c>
      <c r="I2470" s="1" t="s">
        <v>2162</v>
      </c>
      <c r="K2470" s="1" t="str">
        <f t="shared" si="156"/>
        <v>ㄆ</v>
      </c>
      <c r="L2470" s="1" t="str">
        <f t="shared" si="157"/>
        <v>ㄧ</v>
      </c>
      <c r="N2470" s="3" t="s">
        <v>30576</v>
      </c>
      <c r="O2470" s="3"/>
      <c r="P2470" s="1" t="s">
        <v>20</v>
      </c>
      <c r="R2470" s="1" t="s">
        <v>2163</v>
      </c>
      <c r="V2470" s="1" t="s">
        <v>2188</v>
      </c>
      <c r="W2470" s="1" t="s">
        <v>2189</v>
      </c>
      <c r="AR2470" s="1" t="str">
        <f t="shared" si="155"/>
        <v>| [ㄆㄧˇ](ㄆㄧˇ.md) | [癖](癖.md) |  | pǐ | [名]
1.病名。中醫上指腹內生硬塊，消化不良的病症。《玉篇．疒部》：「癖，食不消。」《抱朴子．內篇．極言》：「凡食過則結積聚，飲過則成痰癖。」
2.習性、嗜好。如：「潔癖」、「書癖」、「睡癖」。 |</v>
      </c>
    </row>
    <row r="2471" spans="1:44" hidden="1">
      <c r="A2471" s="1" t="s">
        <v>610</v>
      </c>
      <c r="C2471" s="1">
        <v>1</v>
      </c>
      <c r="D2471" s="1" t="str">
        <f>"01014"</f>
        <v>01014</v>
      </c>
      <c r="E2471" s="1" t="s">
        <v>132</v>
      </c>
      <c r="F2471" s="1">
        <v>12</v>
      </c>
      <c r="G2471" s="1">
        <v>9</v>
      </c>
      <c r="H2471" s="1">
        <v>2</v>
      </c>
      <c r="I2471" s="1" t="s">
        <v>2567</v>
      </c>
      <c r="K2471" s="1" t="str">
        <f t="shared" si="156"/>
        <v>ㄆ</v>
      </c>
      <c r="L2471" s="1" t="str">
        <f t="shared" si="157"/>
        <v>ㄨ</v>
      </c>
      <c r="N2471" s="3" t="s">
        <v>30574</v>
      </c>
      <c r="O2471" s="3"/>
      <c r="P2471" s="1" t="s">
        <v>110</v>
      </c>
      <c r="R2471" s="1" t="s">
        <v>2568</v>
      </c>
      <c r="V2471" s="1" t="s">
        <v>111</v>
      </c>
      <c r="W2471" s="1" t="s">
        <v>2569</v>
      </c>
      <c r="AR2471" s="1" t="str">
        <f t="shared" si="155"/>
        <v>| [ㄆㄨˋ](ㄆㄨˋ.md) | [堡](堡.md) |  | pù | (一)之又音。 |</v>
      </c>
    </row>
    <row r="2472" spans="1:44" hidden="1">
      <c r="A2472" s="1" t="s">
        <v>645</v>
      </c>
      <c r="C2472" s="1">
        <v>1</v>
      </c>
      <c r="D2472" s="1" t="str">
        <f>"01015"</f>
        <v>01015</v>
      </c>
      <c r="E2472" s="1" t="s">
        <v>646</v>
      </c>
      <c r="F2472" s="1">
        <v>15</v>
      </c>
      <c r="G2472" s="1">
        <v>11</v>
      </c>
      <c r="H2472" s="1">
        <v>2</v>
      </c>
      <c r="I2472" s="1" t="s">
        <v>2567</v>
      </c>
      <c r="K2472" s="1" t="str">
        <f t="shared" si="156"/>
        <v>ㄆ</v>
      </c>
      <c r="L2472" s="1" t="str">
        <f t="shared" si="157"/>
        <v>ㄨ</v>
      </c>
      <c r="N2472" s="3" t="s">
        <v>30574</v>
      </c>
      <c r="O2472" s="3"/>
      <c r="P2472" s="1" t="s">
        <v>20</v>
      </c>
      <c r="R2472" s="1" t="s">
        <v>2568</v>
      </c>
      <c r="V2472" s="1" t="s">
        <v>2570</v>
      </c>
      <c r="W2472" s="1" t="s">
        <v>2571</v>
      </c>
      <c r="AR2472" s="1" t="str">
        <f t="shared" si="155"/>
        <v>| [ㄆㄨˋ](ㄆㄨˋ.md) | [暴](暴.md) |  | pù | [動]
1.晒。同「曝」。《孟子．滕文公上》：「曾子曰：『不可。江漢以濯之，秋陽以暴之，皜皜乎不可尚已。』」
2.顯露。宋．蘇洵〈六國論〉：「思厥先祖父，暴霜露，斬荊棘，以有尺寸之地，子孫視之不甚惜。」 |</v>
      </c>
    </row>
    <row r="2473" spans="1:44" hidden="1">
      <c r="A2473" s="1" t="s">
        <v>652</v>
      </c>
      <c r="C2473" s="1">
        <v>1</v>
      </c>
      <c r="D2473" s="1" t="str">
        <f>"01016"</f>
        <v>01016</v>
      </c>
      <c r="E2473" s="1" t="s">
        <v>129</v>
      </c>
      <c r="F2473" s="1">
        <v>18</v>
      </c>
      <c r="G2473" s="1">
        <v>15</v>
      </c>
      <c r="H2473" s="1">
        <v>1</v>
      </c>
      <c r="I2473" s="1" t="s">
        <v>2567</v>
      </c>
      <c r="K2473" s="1" t="str">
        <f t="shared" si="156"/>
        <v>ㄆ</v>
      </c>
      <c r="L2473" s="1" t="str">
        <f t="shared" si="157"/>
        <v>ㄨ</v>
      </c>
      <c r="N2473" s="3" t="s">
        <v>30574</v>
      </c>
      <c r="O2473" s="3"/>
      <c r="P2473" s="1" t="s">
        <v>20</v>
      </c>
      <c r="R2473" s="1" t="s">
        <v>2568</v>
      </c>
      <c r="V2473" s="1" t="s">
        <v>2572</v>
      </c>
      <c r="W2473" s="1" t="s">
        <v>2573</v>
      </c>
      <c r="AR2473" s="1" t="str">
        <f t="shared" si="155"/>
        <v>| [ㄆㄨˋ](ㄆㄨˋ.md) | [瀑](瀑.md) |  | pù | 參見「瀑布」條。 |</v>
      </c>
    </row>
    <row r="2474" spans="1:44" hidden="1">
      <c r="A2474" s="1" t="s">
        <v>2574</v>
      </c>
      <c r="C2474" s="1">
        <v>1</v>
      </c>
      <c r="D2474" s="1" t="str">
        <f>"01017"</f>
        <v>01017</v>
      </c>
      <c r="E2474" s="1" t="s">
        <v>646</v>
      </c>
      <c r="F2474" s="1">
        <v>19</v>
      </c>
      <c r="G2474" s="1">
        <v>15</v>
      </c>
      <c r="H2474" s="1">
        <v>0</v>
      </c>
      <c r="I2474" s="1" t="s">
        <v>2567</v>
      </c>
      <c r="K2474" s="1" t="str">
        <f t="shared" si="156"/>
        <v>ㄆ</v>
      </c>
      <c r="L2474" s="1" t="str">
        <f t="shared" si="157"/>
        <v>ㄨ</v>
      </c>
      <c r="N2474" s="3" t="s">
        <v>30574</v>
      </c>
      <c r="O2474" s="3"/>
      <c r="P2474" s="1" t="s">
        <v>20</v>
      </c>
      <c r="R2474" s="1" t="s">
        <v>2568</v>
      </c>
      <c r="V2474" s="1" t="s">
        <v>2575</v>
      </c>
      <c r="AR2474" s="1" t="str">
        <f t="shared" si="155"/>
        <v>| [ㄆㄨˋ](ㄆㄨˋ.md) | [曝](曝.md) |  | pù | [動]
在陽光底下晒。《戰國策．燕策二》：「今者臣來過易水，蚌方出曝。」 |</v>
      </c>
    </row>
    <row r="2475" spans="1:44" hidden="1">
      <c r="A2475" s="1" t="s">
        <v>2499</v>
      </c>
      <c r="C2475" s="1">
        <v>1</v>
      </c>
      <c r="D2475" s="1" t="str">
        <f>"01018"</f>
        <v>01018</v>
      </c>
      <c r="E2475" s="1" t="s">
        <v>55</v>
      </c>
      <c r="F2475" s="1">
        <v>15</v>
      </c>
      <c r="G2475" s="1">
        <v>7</v>
      </c>
      <c r="H2475" s="1">
        <v>2</v>
      </c>
      <c r="I2475" s="1" t="s">
        <v>2567</v>
      </c>
      <c r="K2475" s="1" t="str">
        <f t="shared" si="156"/>
        <v>ㄆ</v>
      </c>
      <c r="L2475" s="1" t="str">
        <f t="shared" si="157"/>
        <v>ㄨ</v>
      </c>
      <c r="N2475" s="3" t="s">
        <v>30574</v>
      </c>
      <c r="O2475" s="3"/>
      <c r="P2475" s="1" t="s">
        <v>20</v>
      </c>
      <c r="R2475" s="1" t="s">
        <v>2568</v>
      </c>
      <c r="V2475" s="1" t="s">
        <v>2576</v>
      </c>
      <c r="W2475" s="1" t="s">
        <v>2577</v>
      </c>
      <c r="AR2475" s="1" t="str">
        <f t="shared" si="155"/>
        <v>| [ㄆㄨˋ](ㄆㄨˋ.md) | [鋪](鋪.md) |  | pù | [名]
1.商店。如：「金鋪」、「雜貨鋪」。唐．張籍〈送楊少尹赴鳳翔〉詩：「得錢祗了還書鋪，借宅常時事藥欄。」
2.驛站、郵亭。清．顧炎武《日知錄．卷一七．驛傳》：「今時十里一鋪，設卒以遞公文。」
3.量詞。古代計算里程的單位。十里為一鋪。《初刻拍案驚奇》卷三：「行得一二鋪，遙望見少年在百步外。」
4.床位。如：「床鋪」、「臥鋪」、「上鋪」、「下鋪」。 |</v>
      </c>
    </row>
    <row r="2476" spans="1:44" hidden="1">
      <c r="A2476" s="1" t="s">
        <v>1605</v>
      </c>
      <c r="C2476" s="1">
        <v>1</v>
      </c>
      <c r="D2476" s="1" t="str">
        <f>"00987"</f>
        <v>00987</v>
      </c>
      <c r="E2476" s="1" t="s">
        <v>139</v>
      </c>
      <c r="F2476" s="1">
        <v>6</v>
      </c>
      <c r="G2476" s="1">
        <v>2</v>
      </c>
      <c r="H2476" s="1">
        <v>2</v>
      </c>
      <c r="I2476" s="1" t="s">
        <v>2508</v>
      </c>
      <c r="K2476" s="1" t="str">
        <f t="shared" si="156"/>
        <v>ㄆ</v>
      </c>
      <c r="L2476" s="1" t="str">
        <f t="shared" si="157"/>
        <v>ㄨ</v>
      </c>
      <c r="N2476" s="3" t="s">
        <v>30575</v>
      </c>
      <c r="O2476" s="3"/>
      <c r="P2476" s="1" t="s">
        <v>20</v>
      </c>
      <c r="R2476" s="1" t="s">
        <v>2509</v>
      </c>
      <c r="V2476" s="1" t="s">
        <v>2510</v>
      </c>
      <c r="W2476" s="1" t="s">
        <v>2511</v>
      </c>
      <c r="AR2476" s="1" t="str">
        <f t="shared" si="155"/>
        <v>| [ㄆㄨˊ](ㄆㄨˊ.md) | [朴](朴.md) |  | pú | [名]
1.質樸。通「樸」。《楚辭．屈原．卜居》：「吾寧悃悃款款，朴以忠乎？將送往勞來，斯無窮乎？」
2.姓。
[形]
1.樸實、敦厚。如：「朴素」。《莊子．山木》：「其民愚而朴，少私而寡欲。」
2.大、壯。《楚辭．屈原．天問》：「恆秉季德，焉得夫朴牛。」漢．王逸．注：「朴，大也。」 |</v>
      </c>
    </row>
    <row r="2477" spans="1:44" hidden="1">
      <c r="A2477" s="1" t="s">
        <v>2512</v>
      </c>
      <c r="C2477" s="1">
        <v>1</v>
      </c>
      <c r="D2477" s="1" t="str">
        <f>"00988"</f>
        <v>00988</v>
      </c>
      <c r="E2477" s="1" t="s">
        <v>570</v>
      </c>
      <c r="F2477" s="1">
        <v>9</v>
      </c>
      <c r="G2477" s="1">
        <v>7</v>
      </c>
      <c r="H2477" s="1">
        <v>0</v>
      </c>
      <c r="I2477" s="1" t="s">
        <v>2508</v>
      </c>
      <c r="K2477" s="1" t="str">
        <f t="shared" si="156"/>
        <v>ㄆ</v>
      </c>
      <c r="L2477" s="1" t="str">
        <f t="shared" si="157"/>
        <v>ㄨ</v>
      </c>
      <c r="N2477" s="3" t="s">
        <v>30575</v>
      </c>
      <c r="O2477" s="3"/>
      <c r="P2477" s="1" t="s">
        <v>20</v>
      </c>
      <c r="R2477" s="1" t="s">
        <v>2509</v>
      </c>
      <c r="V2477" s="1" t="s">
        <v>2513</v>
      </c>
      <c r="AR2477" s="1" t="str">
        <f t="shared" si="155"/>
        <v>| [ㄆㄨˊ](ㄆㄨˊ.md) | [匍](匍.md) |  | pú | 參見「匍匐」條。 |</v>
      </c>
    </row>
    <row r="2478" spans="1:44" hidden="1">
      <c r="A2478" s="1" t="s">
        <v>2514</v>
      </c>
      <c r="C2478" s="1">
        <v>1</v>
      </c>
      <c r="D2478" s="1" t="str">
        <f>"00989"</f>
        <v>00989</v>
      </c>
      <c r="E2478" s="1" t="s">
        <v>37</v>
      </c>
      <c r="F2478" s="1">
        <v>11</v>
      </c>
      <c r="G2478" s="1">
        <v>7</v>
      </c>
      <c r="H2478" s="1">
        <v>2</v>
      </c>
      <c r="I2478" s="1" t="s">
        <v>2508</v>
      </c>
      <c r="K2478" s="1" t="str">
        <f t="shared" si="156"/>
        <v>ㄆ</v>
      </c>
      <c r="L2478" s="1" t="str">
        <f t="shared" si="157"/>
        <v>ㄨ</v>
      </c>
      <c r="N2478" s="3" t="s">
        <v>30575</v>
      </c>
      <c r="O2478" s="3"/>
      <c r="P2478" s="1" t="s">
        <v>20</v>
      </c>
      <c r="R2478" s="1" t="s">
        <v>2509</v>
      </c>
      <c r="V2478" s="1" t="s">
        <v>2515</v>
      </c>
      <c r="W2478" s="1" t="s">
        <v>2516</v>
      </c>
      <c r="AR2478" s="1" t="str">
        <f t="shared" si="155"/>
        <v>| [ㄆㄨˊ](ㄆㄨˊ.md) | [莆](莆.md) |  | pú | [名]
1.古書上的一種水草。《楚辭．屈原．天問》：「咸播秬黍，莆雚是營。」漢．王逸．注：「言禹平治水土，萬民皆得耕種黑黍於雚蒲之地，盡為良田也。」
2.參見「莆田縣」條。
3.姓。如宋代有莆森。 |</v>
      </c>
    </row>
    <row r="2479" spans="1:44" hidden="1">
      <c r="A2479" s="1" t="s">
        <v>2517</v>
      </c>
      <c r="C2479" s="1">
        <v>1</v>
      </c>
      <c r="D2479" s="1" t="str">
        <f>"00990"</f>
        <v>00990</v>
      </c>
      <c r="E2479" s="1" t="s">
        <v>68</v>
      </c>
      <c r="F2479" s="1">
        <v>11</v>
      </c>
      <c r="G2479" s="1">
        <v>7</v>
      </c>
      <c r="H2479" s="1">
        <v>2</v>
      </c>
      <c r="I2479" s="1" t="s">
        <v>2508</v>
      </c>
      <c r="K2479" s="1" t="str">
        <f t="shared" si="156"/>
        <v>ㄆ</v>
      </c>
      <c r="L2479" s="1" t="str">
        <f t="shared" si="157"/>
        <v>ㄨ</v>
      </c>
      <c r="N2479" s="3" t="s">
        <v>30575</v>
      </c>
      <c r="O2479" s="3"/>
      <c r="P2479" s="1" t="s">
        <v>20</v>
      </c>
      <c r="R2479" s="1" t="s">
        <v>2509</v>
      </c>
      <c r="V2479" s="1" t="s">
        <v>2518</v>
      </c>
      <c r="W2479" s="1" t="s">
        <v>2519</v>
      </c>
      <c r="AR2479" s="1" t="str">
        <f t="shared" si="155"/>
        <v>| [ㄆㄨˊ](ㄆㄨˊ.md) | [脯](脯.md) |  | pú | [名]
胸部。如：「胸脯」、「雞脯」。 |</v>
      </c>
    </row>
    <row r="2480" spans="1:44" hidden="1">
      <c r="A2480" s="1" t="s">
        <v>2520</v>
      </c>
      <c r="C2480" s="1">
        <v>1</v>
      </c>
      <c r="D2480" s="1" t="str">
        <f>"00991"</f>
        <v>00991</v>
      </c>
      <c r="E2480" s="1" t="s">
        <v>37</v>
      </c>
      <c r="F2480" s="1">
        <v>13</v>
      </c>
      <c r="G2480" s="1">
        <v>9</v>
      </c>
      <c r="H2480" s="1">
        <v>0</v>
      </c>
      <c r="I2480" s="1" t="s">
        <v>2508</v>
      </c>
      <c r="K2480" s="1" t="str">
        <f t="shared" si="156"/>
        <v>ㄆ</v>
      </c>
      <c r="L2480" s="1" t="str">
        <f t="shared" si="157"/>
        <v>ㄨ</v>
      </c>
      <c r="N2480" s="3" t="s">
        <v>30575</v>
      </c>
      <c r="O2480" s="3"/>
      <c r="P2480" s="1" t="s">
        <v>20</v>
      </c>
      <c r="R2480" s="1" t="s">
        <v>2509</v>
      </c>
      <c r="V2480" s="1" t="s">
        <v>2521</v>
      </c>
      <c r="AR2480" s="1" t="str">
        <f t="shared" si="155"/>
        <v>| [ㄆㄨˊ](ㄆㄨˊ.md) | [葡](葡.md) |  | pú | 參見「葡萄」條。 |</v>
      </c>
    </row>
    <row r="2481" spans="1:44" hidden="1">
      <c r="A2481" s="1" t="s">
        <v>2522</v>
      </c>
      <c r="C2481" s="1">
        <v>1</v>
      </c>
      <c r="D2481" s="1" t="str">
        <f>"00992"</f>
        <v>00992</v>
      </c>
      <c r="E2481" s="1" t="s">
        <v>1462</v>
      </c>
      <c r="F2481" s="1">
        <v>14</v>
      </c>
      <c r="G2481" s="1">
        <v>7</v>
      </c>
      <c r="H2481" s="1">
        <v>0</v>
      </c>
      <c r="I2481" s="1" t="s">
        <v>2508</v>
      </c>
      <c r="K2481" s="1" t="str">
        <f t="shared" si="156"/>
        <v>ㄆ</v>
      </c>
      <c r="L2481" s="1" t="str">
        <f t="shared" si="157"/>
        <v>ㄨ</v>
      </c>
      <c r="N2481" s="3" t="s">
        <v>30575</v>
      </c>
      <c r="O2481" s="3"/>
      <c r="P2481" s="1" t="s">
        <v>20</v>
      </c>
      <c r="R2481" s="1" t="s">
        <v>2509</v>
      </c>
      <c r="V2481" s="1" t="s">
        <v>2523</v>
      </c>
      <c r="AR2481" s="1" t="str">
        <f t="shared" si="155"/>
        <v>| [ㄆㄨˊ](ㄆㄨˊ.md) | [酺](酺.md) |  | pú | [動]
會聚飲酒。《史記．卷四三．趙世家》：「行賞大赦，置酒酺五日。」南朝梁．宗懍〈荊楚歲時記．正月〉：「元日至於月晦，並為酺聚飲食。」
[名]
會帶來災害的神。《周禮．地官．族師》：「春秋祭酺亦如之。」漢．鄭玄．注：「酺者，為人物災害之神也。」 |</v>
      </c>
    </row>
    <row r="2482" spans="1:44" hidden="1">
      <c r="A2482" s="1" t="s">
        <v>2524</v>
      </c>
      <c r="C2482" s="1">
        <v>1</v>
      </c>
      <c r="D2482" s="1" t="str">
        <f>"00993"</f>
        <v>00993</v>
      </c>
      <c r="E2482" s="1" t="s">
        <v>37</v>
      </c>
      <c r="F2482" s="1">
        <v>14</v>
      </c>
      <c r="G2482" s="1">
        <v>10</v>
      </c>
      <c r="H2482" s="1">
        <v>0</v>
      </c>
      <c r="I2482" s="1" t="s">
        <v>2508</v>
      </c>
      <c r="K2482" s="1" t="str">
        <f t="shared" si="156"/>
        <v>ㄆ</v>
      </c>
      <c r="L2482" s="1" t="str">
        <f t="shared" si="157"/>
        <v>ㄨ</v>
      </c>
      <c r="N2482" s="3" t="s">
        <v>30575</v>
      </c>
      <c r="O2482" s="3"/>
      <c r="P2482" s="1" t="s">
        <v>20</v>
      </c>
      <c r="R2482" s="1" t="s">
        <v>2509</v>
      </c>
      <c r="V2482" s="1" t="s">
        <v>2525</v>
      </c>
      <c r="AR2482" s="1" t="str">
        <f t="shared" si="155"/>
        <v>| [ㄆㄨˊ](ㄆㄨˊ.md) | [蒲](蒲.md) |  | pú | [名]
1.植物名：(1)香蒲科香蒲屬，香蒲的簡稱。參見「香蒲」條。(2)天南星科菖蒲屬，「白菖」或「菖蒲」、「蒲子」之古稱。參見「白菖」條。(3)蒲柳的簡稱。參見「蒲柳」條。
2.地名：(1)春秋時衛國屬地。故地約在今大陸地區河南省長垣縣境。(2)春秋時晉國屬地。故地約在今大陸地區山西省永濟縣。
3.姓。如清代有蒲松齡。 |</v>
      </c>
    </row>
    <row r="2483" spans="1:44" hidden="1">
      <c r="A2483" s="1" t="s">
        <v>2526</v>
      </c>
      <c r="C2483" s="1">
        <v>1</v>
      </c>
      <c r="D2483" s="1" t="str">
        <f>"00994"</f>
        <v>00994</v>
      </c>
      <c r="E2483" s="1" t="s">
        <v>37</v>
      </c>
      <c r="F2483" s="1">
        <v>14</v>
      </c>
      <c r="G2483" s="1">
        <v>10</v>
      </c>
      <c r="H2483" s="1">
        <v>0</v>
      </c>
      <c r="I2483" s="1" t="s">
        <v>2508</v>
      </c>
      <c r="K2483" s="1" t="str">
        <f t="shared" si="156"/>
        <v>ㄆ</v>
      </c>
      <c r="L2483" s="1" t="str">
        <f t="shared" si="157"/>
        <v>ㄨ</v>
      </c>
      <c r="N2483" s="3" t="s">
        <v>30575</v>
      </c>
      <c r="O2483" s="3"/>
      <c r="P2483" s="1" t="s">
        <v>20</v>
      </c>
      <c r="R2483" s="1" t="s">
        <v>2509</v>
      </c>
      <c r="V2483" s="1" t="s">
        <v>2527</v>
      </c>
      <c r="AR2483" s="1" t="str">
        <f t="shared" si="155"/>
        <v>| [ㄆㄨˊ](ㄆㄨˊ.md) | [蒱](蒱.md) |  | pú | [名]
古代一種賭博遊戲，類似現今的擲骰子。《南史．卷六二．朱异傳》：「年十餘，好群眾蒱博，頗為鄉黨所患。」也稱為「摴蒱」。 |</v>
      </c>
    </row>
    <row r="2484" spans="1:44" hidden="1">
      <c r="A2484" s="1" t="s">
        <v>2528</v>
      </c>
      <c r="C2484" s="1">
        <v>1</v>
      </c>
      <c r="D2484" s="1" t="str">
        <f>"00995"</f>
        <v>00995</v>
      </c>
      <c r="E2484" s="1" t="s">
        <v>37</v>
      </c>
      <c r="F2484" s="1">
        <v>12</v>
      </c>
      <c r="G2484" s="1">
        <v>8</v>
      </c>
      <c r="H2484" s="1">
        <v>0</v>
      </c>
      <c r="I2484" s="1" t="s">
        <v>2508</v>
      </c>
      <c r="K2484" s="1" t="str">
        <f t="shared" si="156"/>
        <v>ㄆ</v>
      </c>
      <c r="L2484" s="1" t="str">
        <f t="shared" si="157"/>
        <v>ㄨ</v>
      </c>
      <c r="N2484" s="3" t="s">
        <v>30575</v>
      </c>
      <c r="O2484" s="3"/>
      <c r="P2484" s="1" t="s">
        <v>20</v>
      </c>
      <c r="R2484" s="1" t="s">
        <v>2509</v>
      </c>
      <c r="V2484" s="1" t="s">
        <v>2529</v>
      </c>
      <c r="AR2484" s="1" t="str">
        <f t="shared" si="155"/>
        <v>| [ㄆㄨˊ](ㄆㄨˊ.md) | [菩](菩.md) |  | pú | 參見「菩提」條。 |</v>
      </c>
    </row>
    <row r="2485" spans="1:44" hidden="1">
      <c r="A2485" s="1" t="s">
        <v>2530</v>
      </c>
      <c r="C2485" s="1">
        <v>1</v>
      </c>
      <c r="D2485" s="1" t="str">
        <f>"00996"</f>
        <v>00996</v>
      </c>
      <c r="E2485" s="1" t="s">
        <v>114</v>
      </c>
      <c r="F2485" s="1">
        <v>14</v>
      </c>
      <c r="G2485" s="1">
        <v>12</v>
      </c>
      <c r="H2485" s="1">
        <v>0</v>
      </c>
      <c r="I2485" s="1" t="s">
        <v>2508</v>
      </c>
      <c r="K2485" s="1" t="str">
        <f t="shared" si="156"/>
        <v>ㄆ</v>
      </c>
      <c r="L2485" s="1" t="str">
        <f t="shared" si="157"/>
        <v>ㄨ</v>
      </c>
      <c r="N2485" s="3" t="s">
        <v>30575</v>
      </c>
      <c r="O2485" s="3"/>
      <c r="P2485" s="1" t="s">
        <v>20</v>
      </c>
      <c r="R2485" s="1" t="s">
        <v>2509</v>
      </c>
      <c r="V2485" s="1" t="s">
        <v>2531</v>
      </c>
      <c r="AR2485" s="1" t="str">
        <f t="shared" si="155"/>
        <v>| [ㄆㄨˊ](ㄆㄨˊ.md) | [僕](僕.md) |  | pú | [名]
供人使喚的工役或車夫。如：「奴僕」、「僕人」。《詩經．小雅．正月》：「屢顧爾僕，不輸爾載。」唐．崔塗〈巴山道中除夜書懷〉詩：「漸與骨肉遠，轉於僮僕親。」
[代]
引申為自謙之詞。《文選．司馬遷．報任少卿書》：「僕雖罷駑，亦嘗側聞長者之遺風矣。」《文選．曹植．與楊德祖書》：「僕少小好為文章，迄至於今。」
[動]
駕車。《論語．子路》：「子適衛，冉有僕。」 |</v>
      </c>
    </row>
    <row r="2486" spans="1:44" hidden="1">
      <c r="A2486" s="1" t="s">
        <v>2532</v>
      </c>
      <c r="C2486" s="1">
        <v>1</v>
      </c>
      <c r="D2486" s="1" t="str">
        <f>"00997"</f>
        <v>00997</v>
      </c>
      <c r="E2486" s="1" t="s">
        <v>132</v>
      </c>
      <c r="F2486" s="1">
        <v>15</v>
      </c>
      <c r="G2486" s="1">
        <v>12</v>
      </c>
      <c r="H2486" s="1">
        <v>0</v>
      </c>
      <c r="I2486" s="1" t="s">
        <v>2508</v>
      </c>
      <c r="K2486" s="1" t="str">
        <f t="shared" si="156"/>
        <v>ㄆ</v>
      </c>
      <c r="L2486" s="1" t="str">
        <f t="shared" si="157"/>
        <v>ㄨ</v>
      </c>
      <c r="N2486" s="3" t="s">
        <v>30575</v>
      </c>
      <c r="O2486" s="3"/>
      <c r="P2486" s="1" t="s">
        <v>20</v>
      </c>
      <c r="R2486" s="1" t="s">
        <v>2509</v>
      </c>
      <c r="V2486" s="1" t="s">
        <v>2533</v>
      </c>
      <c r="AR2486" s="1" t="str">
        <f t="shared" si="155"/>
        <v>| [ㄆㄨˊ](ㄆㄨˊ.md) | [墣](墣.md) |  | pú | [名]
土塊。《國語．吳語》：「王寐，疇枕王以墣而去之。」《淮南子．說林》：「土勝水者，非以一墣塞江也。」 |</v>
      </c>
    </row>
    <row r="2487" spans="1:44" hidden="1">
      <c r="A2487" s="1" t="s">
        <v>2534</v>
      </c>
      <c r="C2487" s="1">
        <v>1</v>
      </c>
      <c r="D2487" s="1" t="str">
        <f>"00998"</f>
        <v>00998</v>
      </c>
      <c r="E2487" s="1" t="s">
        <v>142</v>
      </c>
      <c r="F2487" s="1">
        <v>16</v>
      </c>
      <c r="G2487" s="1">
        <v>12</v>
      </c>
      <c r="H2487" s="1">
        <v>0</v>
      </c>
      <c r="I2487" s="1" t="s">
        <v>2508</v>
      </c>
      <c r="K2487" s="1" t="str">
        <f t="shared" si="156"/>
        <v>ㄆ</v>
      </c>
      <c r="L2487" s="1" t="str">
        <f t="shared" si="157"/>
        <v>ㄨ</v>
      </c>
      <c r="N2487" s="3" t="s">
        <v>30575</v>
      </c>
      <c r="O2487" s="3"/>
      <c r="P2487" s="1" t="s">
        <v>20</v>
      </c>
      <c r="R2487" s="1" t="s">
        <v>2509</v>
      </c>
      <c r="V2487" s="1" t="s">
        <v>2535</v>
      </c>
      <c r="AR2487" s="1" t="str">
        <f t="shared" si="155"/>
        <v>| [ㄆㄨˊ](ㄆㄨˊ.md) | [璞](璞.md) |  | pú | [名]
1.未經琢磨加工的玉石。《孟子．梁惠王下》：「今有璞玉於此，雖萬鎰，必使玉人彫琢之。」晉．傅玄〈馬鈞傳〉：「美玉所以見誣為石，荊和所以抱璞而哭之也。」
2.比喻人純樸的本質。如：「反璞歸真」。 |</v>
      </c>
    </row>
    <row r="2488" spans="1:44" hidden="1">
      <c r="A2488" s="1" t="s">
        <v>2536</v>
      </c>
      <c r="C2488" s="1">
        <v>1</v>
      </c>
      <c r="D2488" s="1" t="str">
        <f>"00999"</f>
        <v>00999</v>
      </c>
      <c r="E2488" s="1" t="s">
        <v>139</v>
      </c>
      <c r="F2488" s="1">
        <v>16</v>
      </c>
      <c r="G2488" s="1">
        <v>12</v>
      </c>
      <c r="H2488" s="1">
        <v>0</v>
      </c>
      <c r="I2488" s="1" t="s">
        <v>2508</v>
      </c>
      <c r="K2488" s="1" t="str">
        <f t="shared" si="156"/>
        <v>ㄆ</v>
      </c>
      <c r="L2488" s="1" t="str">
        <f t="shared" si="157"/>
        <v>ㄨ</v>
      </c>
      <c r="N2488" s="3" t="s">
        <v>30575</v>
      </c>
      <c r="O2488" s="3"/>
      <c r="P2488" s="1" t="s">
        <v>20</v>
      </c>
      <c r="R2488" s="1" t="s">
        <v>2509</v>
      </c>
      <c r="V2488" s="1" t="s">
        <v>2537</v>
      </c>
      <c r="AR2488" s="1" t="str">
        <f t="shared" si="155"/>
        <v>| [ㄆㄨˊ](ㄆㄨˊ.md) | [樸](樸.md) |  | pú | [名]
1.未加工成器的木材。《說文解字．木部》：「樸，木素也。」清．段玉裁．注：「以木為質，未彫飾，如瓦器之坯然。」漢．王充《論衡．量知》：「無刀斧之斷者謂之樸。」
2.本真。《老子》第二八章：「為天下谷，常德乃足，復歸於樸。」
3.貨物的成本。《商君書．墾令》：「貴酒肉之價，重其租，令十倍其樸。」
[形]
篤厚、簡而厚重的。如：「樸素」、「簡樸」、「樸拙」。《老子》第五七章：「我無事而民自富，我無欲而民自樸。」唐．杜牧〈答莊充書〉：「是以意全勝者，辭愈樸而文愈高。」 |</v>
      </c>
    </row>
    <row r="2489" spans="1:44" hidden="1">
      <c r="A2489" s="1" t="s">
        <v>2538</v>
      </c>
      <c r="C2489" s="1">
        <v>1</v>
      </c>
      <c r="D2489" s="1" t="str">
        <f>"01000"</f>
        <v>01000</v>
      </c>
      <c r="E2489" s="1" t="s">
        <v>129</v>
      </c>
      <c r="F2489" s="1">
        <v>17</v>
      </c>
      <c r="G2489" s="1">
        <v>14</v>
      </c>
      <c r="H2489" s="1">
        <v>0</v>
      </c>
      <c r="I2489" s="1" t="s">
        <v>2508</v>
      </c>
      <c r="K2489" s="1" t="str">
        <f t="shared" si="156"/>
        <v>ㄆ</v>
      </c>
      <c r="L2489" s="1" t="str">
        <f t="shared" si="157"/>
        <v>ㄨ</v>
      </c>
      <c r="N2489" s="3" t="s">
        <v>30575</v>
      </c>
      <c r="O2489" s="3"/>
      <c r="P2489" s="1" t="s">
        <v>20</v>
      </c>
      <c r="R2489" s="1" t="s">
        <v>2509</v>
      </c>
      <c r="V2489" s="1" t="s">
        <v>2539</v>
      </c>
      <c r="AR2489" s="1" t="str">
        <f t="shared" si="155"/>
        <v>| [ㄆㄨˊ](ㄆㄨˊ.md) | [濮](濮.md) |  | pú | [名]
1.河川名：(1)約在今大陸地區河南省滑縣與正津縣境。即春秋時所謂桑間濮上之濮。(2)約在今大陸地區山東省濮縣南。此二水於今皆已湮沒。
2.中國古代少數民族之一。故居約在今大陸地區湖南省境內。如春秋時有百濮。
3.縣名。位在大陸地區山東省之西境。黃河斜貫境內，縣跨黃河兩岸，物產以棉花為大宗。今大陸地區已廢此縣。 |</v>
      </c>
    </row>
    <row r="2490" spans="1:44" hidden="1">
      <c r="A2490" s="1" t="s">
        <v>2540</v>
      </c>
      <c r="C2490" s="1">
        <v>1</v>
      </c>
      <c r="D2490" s="1" t="str">
        <f>"01001"</f>
        <v>01001</v>
      </c>
      <c r="E2490" s="1" t="s">
        <v>340</v>
      </c>
      <c r="F2490" s="1">
        <v>18</v>
      </c>
      <c r="G2490" s="1">
        <v>12</v>
      </c>
      <c r="H2490" s="1">
        <v>0</v>
      </c>
      <c r="I2490" s="1" t="s">
        <v>2508</v>
      </c>
      <c r="K2490" s="1" t="str">
        <f t="shared" si="156"/>
        <v>ㄆ</v>
      </c>
      <c r="L2490" s="1" t="str">
        <f t="shared" si="157"/>
        <v>ㄨ</v>
      </c>
      <c r="N2490" s="3" t="s">
        <v>30575</v>
      </c>
      <c r="O2490" s="3"/>
      <c r="P2490" s="1" t="s">
        <v>20</v>
      </c>
      <c r="R2490" s="1" t="s">
        <v>2509</v>
      </c>
      <c r="V2490" s="1" t="s">
        <v>2541</v>
      </c>
      <c r="AR2490" s="1" t="str">
        <f t="shared" si="155"/>
        <v>| [ㄆㄨˊ](ㄆㄨˊ.md) | [襆](襆.md) |  | pú | [名]
1.巾帕。同「幞」。
2.行李、包袱。《聊齋志異．卷一．畫皮》：「太原王生，早行，遇一女郎，抱襆獨奔，甚艱於步。」 |</v>
      </c>
    </row>
    <row r="2491" spans="1:44" hidden="1">
      <c r="A2491" s="1" t="s">
        <v>1461</v>
      </c>
      <c r="C2491" s="1">
        <v>1</v>
      </c>
      <c r="D2491" s="1" t="str">
        <f>"01002"</f>
        <v>01002</v>
      </c>
      <c r="E2491" s="1" t="s">
        <v>1462</v>
      </c>
      <c r="F2491" s="1">
        <v>19</v>
      </c>
      <c r="G2491" s="1">
        <v>12</v>
      </c>
      <c r="H2491" s="1">
        <v>2</v>
      </c>
      <c r="I2491" s="1" t="s">
        <v>2508</v>
      </c>
      <c r="K2491" s="1" t="str">
        <f t="shared" si="156"/>
        <v>ㄆ</v>
      </c>
      <c r="L2491" s="1" t="str">
        <f t="shared" si="157"/>
        <v>ㄨ</v>
      </c>
      <c r="N2491" s="3" t="s">
        <v>30575</v>
      </c>
      <c r="O2491" s="3"/>
      <c r="P2491" s="1" t="s">
        <v>110</v>
      </c>
      <c r="R2491" s="1" t="s">
        <v>2509</v>
      </c>
      <c r="V2491" s="1" t="s">
        <v>111</v>
      </c>
      <c r="W2491" s="1" t="s">
        <v>2542</v>
      </c>
      <c r="AR2491" s="1" t="str">
        <f t="shared" si="155"/>
        <v>| [ㄆㄨˊ](ㄆㄨˊ.md) | [醭](醭.md) |  | pú | (一)之又音。 |</v>
      </c>
    </row>
    <row r="2492" spans="1:44" hidden="1">
      <c r="A2492" s="1" t="s">
        <v>2543</v>
      </c>
      <c r="C2492" s="1">
        <v>1</v>
      </c>
      <c r="D2492" s="1" t="str">
        <f>"01003"</f>
        <v>01003</v>
      </c>
      <c r="E2492" s="1" t="s">
        <v>77</v>
      </c>
      <c r="F2492" s="1">
        <v>19</v>
      </c>
      <c r="G2492" s="1">
        <v>12</v>
      </c>
      <c r="H2492" s="1">
        <v>0</v>
      </c>
      <c r="I2492" s="1" t="s">
        <v>2508</v>
      </c>
      <c r="K2492" s="1" t="str">
        <f t="shared" si="156"/>
        <v>ㄆ</v>
      </c>
      <c r="L2492" s="1" t="str">
        <f t="shared" si="157"/>
        <v>ㄨ</v>
      </c>
      <c r="N2492" s="3" t="s">
        <v>30575</v>
      </c>
      <c r="O2492" s="3"/>
      <c r="P2492" s="1" t="s">
        <v>20</v>
      </c>
      <c r="R2492" s="1" t="s">
        <v>2509</v>
      </c>
      <c r="V2492" s="1" t="s">
        <v>2544</v>
      </c>
      <c r="AR2492" s="1" t="str">
        <f t="shared" si="155"/>
        <v>| [ㄆㄨˊ](ㄆㄨˊ.md) | [蹼](蹼.md) |  | pú | [名]
水鳥或爬蟲類趾間的薄膜。如：「鵝蹼」、「鴨蹼」。《爾雅．釋鳥》：「鳧鴈醜，其足蹼。」 |</v>
      </c>
    </row>
    <row r="2493" spans="1:44" hidden="1">
      <c r="A2493" s="1" t="s">
        <v>2545</v>
      </c>
      <c r="C2493" s="1">
        <v>1</v>
      </c>
      <c r="D2493" s="1" t="str">
        <f>"01004"</f>
        <v>01004</v>
      </c>
      <c r="E2493" s="1" t="s">
        <v>55</v>
      </c>
      <c r="F2493" s="1">
        <v>20</v>
      </c>
      <c r="G2493" s="1">
        <v>12</v>
      </c>
      <c r="H2493" s="1">
        <v>0</v>
      </c>
      <c r="I2493" s="1" t="s">
        <v>2508</v>
      </c>
      <c r="K2493" s="1" t="str">
        <f t="shared" si="156"/>
        <v>ㄆ</v>
      </c>
      <c r="L2493" s="1" t="str">
        <f t="shared" si="157"/>
        <v>ㄨ</v>
      </c>
      <c r="N2493" s="3" t="s">
        <v>30575</v>
      </c>
      <c r="O2493" s="3"/>
      <c r="P2493" s="1" t="s">
        <v>20</v>
      </c>
      <c r="R2493" s="1" t="s">
        <v>2509</v>
      </c>
      <c r="V2493" s="1" t="s">
        <v>2546</v>
      </c>
      <c r="AR2493" s="1" t="str">
        <f t="shared" si="155"/>
        <v>| [ㄆㄨˊ](ㄆㄨˊ.md) | [鏷](鏷.md) |  | pú | [名]
1.未經鍛鍊的銅鐵。晉．張協〈七命〉八首之四：「銷踰羊頭，鏷越鍛成。」
2.（protactinium，Pa）化學元素。原子序91。為放射性元素之一。色銀灰，鐳礦物中含鏷，可用化學法證實。 |</v>
      </c>
    </row>
    <row r="2494" spans="1:44" hidden="1">
      <c r="A2494" s="1" t="s">
        <v>2547</v>
      </c>
      <c r="C2494" s="1">
        <v>1</v>
      </c>
      <c r="D2494" s="1" t="str">
        <f>"01005"</f>
        <v>01005</v>
      </c>
      <c r="E2494" s="1" t="s">
        <v>725</v>
      </c>
      <c r="F2494" s="1">
        <v>20</v>
      </c>
      <c r="G2494" s="1">
        <v>14</v>
      </c>
      <c r="H2494" s="1">
        <v>0</v>
      </c>
      <c r="I2494" s="1" t="s">
        <v>2508</v>
      </c>
      <c r="K2494" s="1" t="str">
        <f t="shared" si="156"/>
        <v>ㄆ</v>
      </c>
      <c r="L2494" s="1" t="str">
        <f t="shared" si="157"/>
        <v>ㄨ</v>
      </c>
      <c r="N2494" s="3" t="s">
        <v>30575</v>
      </c>
      <c r="O2494" s="3"/>
      <c r="P2494" s="1" t="s">
        <v>20</v>
      </c>
      <c r="R2494" s="1" t="s">
        <v>2509</v>
      </c>
      <c r="V2494" s="1" t="s">
        <v>2548</v>
      </c>
      <c r="AR2494" s="1" t="str">
        <f t="shared" si="155"/>
        <v>| [ㄆㄨˊ](ㄆㄨˊ.md) | [纀](纀.md) |  | pú | [名]
古代諸侯、士大夫居家所穿深衣的下裳。《說文解字．糸部》：「纀，常削幅謂之纀。」《爾雅．釋器》：「裳削幅謂之纀。」晉．郭璞．注：「削殺其幅，深衣之裳。」 |</v>
      </c>
    </row>
    <row r="2495" spans="1:44" hidden="1">
      <c r="A2495" s="1" t="s">
        <v>2549</v>
      </c>
      <c r="C2495" s="1">
        <v>1</v>
      </c>
      <c r="D2495" s="1" t="str">
        <f>"01006"</f>
        <v>01006</v>
      </c>
      <c r="E2495" s="1" t="s">
        <v>129</v>
      </c>
      <c r="F2495" s="1">
        <v>10</v>
      </c>
      <c r="G2495" s="1">
        <v>7</v>
      </c>
      <c r="H2495" s="1">
        <v>0</v>
      </c>
      <c r="I2495" s="1" t="s">
        <v>2550</v>
      </c>
      <c r="K2495" s="1" t="str">
        <f t="shared" si="156"/>
        <v>ㄆ</v>
      </c>
      <c r="L2495" s="1" t="str">
        <f t="shared" si="157"/>
        <v>ㄨ</v>
      </c>
      <c r="N2495" s="3" t="s">
        <v>30576</v>
      </c>
      <c r="O2495" s="3"/>
      <c r="P2495" s="1" t="s">
        <v>20</v>
      </c>
      <c r="R2495" s="1" t="s">
        <v>2551</v>
      </c>
      <c r="V2495" s="1" t="s">
        <v>2552</v>
      </c>
      <c r="AR2495" s="1" t="str">
        <f t="shared" si="155"/>
        <v>| [ㄆㄨˇ](ㄆㄨˇ.md) | [浦](浦.md) |  | pǔ | [名]
1.河岸、水邊。《呂氏春秋．孝行覽．本味》：「江浦之橘，雲夢之柚。」宋．王安石〈題燕侍郎山水圖〉詩：「往時濯足蕩湘浦，獨上九嶷尋二女。」
2.泛指池塘等水面。如：「荷浦」、「蓮浦」。宋．蘇軾〈澄邁驛通潮閣〉詩二首之一：「貪看白鷺橫秋浦，不覺青林沒晚潮。」宋．姜夔〈念奴嬌．鬧紅一舸〉詞：「只恐舞衣寒易落，愁入西風南浦。」
3.河川主、支流匯合處或入海口。唐．李白〈荊門浮舟望蜀江〉詩：「流目浦煙夕，揚帆海月生。」宋．柳永〈煮海歌〉：「年年春夏潮盈浦，潮退刮泥成島嶼。」
4.姓。如三國時魏國有浦仁裕。 |</v>
      </c>
    </row>
    <row r="2496" spans="1:44" hidden="1">
      <c r="A2496" s="1" t="s">
        <v>1471</v>
      </c>
      <c r="C2496" s="1">
        <v>1</v>
      </c>
      <c r="D2496" s="1" t="str">
        <f>"01007"</f>
        <v>01007</v>
      </c>
      <c r="E2496" s="1" t="s">
        <v>132</v>
      </c>
      <c r="F2496" s="1">
        <v>10</v>
      </c>
      <c r="G2496" s="1">
        <v>7</v>
      </c>
      <c r="H2496" s="1">
        <v>1</v>
      </c>
      <c r="I2496" s="1" t="s">
        <v>2550</v>
      </c>
      <c r="K2496" s="1" t="str">
        <f t="shared" si="156"/>
        <v>ㄆ</v>
      </c>
      <c r="L2496" s="1" t="str">
        <f t="shared" si="157"/>
        <v>ㄨ</v>
      </c>
      <c r="N2496" s="3" t="s">
        <v>30576</v>
      </c>
      <c r="O2496" s="3"/>
      <c r="P2496" s="1" t="s">
        <v>20</v>
      </c>
      <c r="R2496" s="1" t="s">
        <v>2551</v>
      </c>
      <c r="V2496" s="1" t="s">
        <v>2553</v>
      </c>
      <c r="W2496" s="1" t="s">
        <v>2554</v>
      </c>
      <c r="AR2496" s="1" t="str">
        <f t="shared" si="155"/>
        <v>| [ㄆㄨˇ](ㄆㄨˇ.md) | [埔](埔.md) |  | pǔ | [名]
閩粵方言。泛指平坦的地方。如：「埔里」、「平埔」、「草埔」、「大埔」。 |</v>
      </c>
    </row>
    <row r="2497" spans="1:44" hidden="1">
      <c r="A2497" s="1" t="s">
        <v>1476</v>
      </c>
      <c r="C2497" s="1">
        <v>1</v>
      </c>
      <c r="D2497" s="1" t="str">
        <f>"01008"</f>
        <v>01008</v>
      </c>
      <c r="E2497" s="1" t="s">
        <v>28</v>
      </c>
      <c r="F2497" s="1">
        <v>10</v>
      </c>
      <c r="G2497" s="1">
        <v>7</v>
      </c>
      <c r="H2497" s="1">
        <v>3</v>
      </c>
      <c r="I2497" s="1" t="s">
        <v>2550</v>
      </c>
      <c r="K2497" s="1" t="str">
        <f t="shared" si="156"/>
        <v>ㄆ</v>
      </c>
      <c r="L2497" s="1" t="str">
        <f t="shared" si="157"/>
        <v>ㄨ</v>
      </c>
      <c r="N2497" s="3" t="s">
        <v>30576</v>
      </c>
      <c r="O2497" s="3"/>
      <c r="P2497" s="1" t="s">
        <v>110</v>
      </c>
      <c r="R2497" s="1" t="s">
        <v>2551</v>
      </c>
      <c r="V2497" s="1" t="s">
        <v>111</v>
      </c>
      <c r="W2497" s="1" t="s">
        <v>2555</v>
      </c>
      <c r="AR2497" s="1" t="str">
        <f t="shared" si="155"/>
        <v>| [ㄆㄨˇ](ㄆㄨˇ.md) | [哺](哺.md) |  | pǔ | (一)之又音。 |</v>
      </c>
    </row>
    <row r="2498" spans="1:44" hidden="1">
      <c r="A2498" s="1" t="s">
        <v>2556</v>
      </c>
      <c r="C2498" s="1">
        <v>1</v>
      </c>
      <c r="D2498" s="1" t="str">
        <f>"01009"</f>
        <v>01009</v>
      </c>
      <c r="E2498" s="1" t="s">
        <v>2557</v>
      </c>
      <c r="F2498" s="1">
        <v>10</v>
      </c>
      <c r="G2498" s="1">
        <v>7</v>
      </c>
      <c r="H2498" s="1">
        <v>0</v>
      </c>
      <c r="I2498" s="1" t="s">
        <v>2550</v>
      </c>
      <c r="K2498" s="1" t="str">
        <f t="shared" si="156"/>
        <v>ㄆ</v>
      </c>
      <c r="L2498" s="1" t="str">
        <f t="shared" si="157"/>
        <v>ㄨ</v>
      </c>
      <c r="N2498" s="3" t="s">
        <v>30576</v>
      </c>
      <c r="O2498" s="3"/>
      <c r="P2498" s="1" t="s">
        <v>20</v>
      </c>
      <c r="R2498" s="1" t="s">
        <v>2551</v>
      </c>
      <c r="V2498" s="1" t="s">
        <v>2558</v>
      </c>
      <c r="AR2498" s="1" t="str">
        <f t="shared" si="155"/>
        <v>| [ㄆㄨˇ](ㄆㄨˇ.md) | [圃](圃.md) |  | pǔ | [名]
1.種植蔬菜、花卉或瓜果的園地。如：「菜圃」、「花圃」、「園圃」。唐．孟浩然〈過故人莊〉詩：「開筵面場圃，把酒話桑麻。」
2.以種植蔬菜、花卉、瓜果為業的人。《論語．子路》：「吾不如老圃。」
3.泛指一般供學習的場所。如：「學圃」、「書圃」、「藝圃」。 |</v>
      </c>
    </row>
    <row r="2499" spans="1:44" hidden="1">
      <c r="A2499" s="1" t="s">
        <v>2559</v>
      </c>
      <c r="C2499" s="1">
        <v>1</v>
      </c>
      <c r="D2499" s="1" t="str">
        <f>"01010"</f>
        <v>01010</v>
      </c>
      <c r="E2499" s="1" t="s">
        <v>129</v>
      </c>
      <c r="F2499" s="1">
        <v>13</v>
      </c>
      <c r="G2499" s="1">
        <v>10</v>
      </c>
      <c r="H2499" s="1">
        <v>0</v>
      </c>
      <c r="I2499" s="1" t="s">
        <v>2550</v>
      </c>
      <c r="K2499" s="1" t="str">
        <f t="shared" si="156"/>
        <v>ㄆ</v>
      </c>
      <c r="L2499" s="1" t="str">
        <f t="shared" si="157"/>
        <v>ㄨ</v>
      </c>
      <c r="N2499" s="3" t="s">
        <v>30576</v>
      </c>
      <c r="O2499" s="3"/>
      <c r="P2499" s="1" t="s">
        <v>20</v>
      </c>
      <c r="R2499" s="1" t="s">
        <v>2551</v>
      </c>
      <c r="V2499" s="1" t="s">
        <v>2560</v>
      </c>
      <c r="AR2499" s="1" t="str">
        <f t="shared" ref="AR2499:AR2562" si="158">"| ["&amp;I2499&amp;"]("&amp;I2499&amp;".md) | ["&amp;A2499&amp;"]("&amp;A2499&amp;".md) | "&amp;" | "&amp;R2499&amp;" | "&amp;V2499&amp;" |"</f>
        <v>| [ㄆㄨˇ](ㄆㄨˇ.md) | [溥](溥.md) |  | pǔ | [形]
1.廣大的。《詩經．大雅．公劉》：「瞻彼溥原，迺陟南岡。」
2.普遍。同「普」。《詩經．小雅．北山》：「溥天之下，莫非王土。」 |</v>
      </c>
    </row>
    <row r="2500" spans="1:44" hidden="1">
      <c r="A2500" s="1" t="s">
        <v>2561</v>
      </c>
      <c r="C2500" s="1">
        <v>1</v>
      </c>
      <c r="D2500" s="1" t="str">
        <f>"01011"</f>
        <v>01011</v>
      </c>
      <c r="E2500" s="1" t="s">
        <v>646</v>
      </c>
      <c r="F2500" s="1">
        <v>12</v>
      </c>
      <c r="G2500" s="1">
        <v>8</v>
      </c>
      <c r="H2500" s="1">
        <v>0</v>
      </c>
      <c r="I2500" s="1" t="s">
        <v>2550</v>
      </c>
      <c r="K2500" s="1" t="str">
        <f t="shared" si="156"/>
        <v>ㄆ</v>
      </c>
      <c r="L2500" s="1" t="str">
        <f t="shared" si="157"/>
        <v>ㄨ</v>
      </c>
      <c r="N2500" s="3" t="s">
        <v>30576</v>
      </c>
      <c r="O2500" s="3"/>
      <c r="P2500" s="1" t="s">
        <v>20</v>
      </c>
      <c r="R2500" s="1" t="s">
        <v>2551</v>
      </c>
      <c r="V2500" s="1" t="s">
        <v>2562</v>
      </c>
      <c r="AR2500" s="1" t="str">
        <f t="shared" si="158"/>
        <v>| [ㄆㄨˇ](ㄆㄨˇ.md) | [普](普.md) |  | pǔ | [形]
廣大而周遍。如：「普通」、「普遍」、「普及」。《孟子．萬章上》：「普天之下，莫非王土。」
[名]
1.普魯士的簡稱。如：「普法戰爭」。
2.姓。如元代有普恩，明代有普泰。 |</v>
      </c>
    </row>
    <row r="2501" spans="1:44" hidden="1">
      <c r="A2501" s="1" t="s">
        <v>2563</v>
      </c>
      <c r="C2501" s="1">
        <v>1</v>
      </c>
      <c r="D2501" s="1" t="str">
        <f>"01012"</f>
        <v>01012</v>
      </c>
      <c r="E2501" s="1" t="s">
        <v>331</v>
      </c>
      <c r="F2501" s="1">
        <v>19</v>
      </c>
      <c r="G2501" s="1">
        <v>12</v>
      </c>
      <c r="H2501" s="1">
        <v>0</v>
      </c>
      <c r="I2501" s="1" t="s">
        <v>2550</v>
      </c>
      <c r="K2501" s="1" t="str">
        <f t="shared" si="156"/>
        <v>ㄆ</v>
      </c>
      <c r="L2501" s="1" t="str">
        <f t="shared" si="157"/>
        <v>ㄨ</v>
      </c>
      <c r="N2501" s="3" t="s">
        <v>30576</v>
      </c>
      <c r="O2501" s="3"/>
      <c r="P2501" s="1" t="s">
        <v>20</v>
      </c>
      <c r="R2501" s="1" t="s">
        <v>2551</v>
      </c>
      <c r="V2501" s="1" t="s">
        <v>2564</v>
      </c>
      <c r="AR2501" s="1" t="str">
        <f t="shared" si="158"/>
        <v>| [ㄆㄨˇ](ㄆㄨˇ.md) | [譜](譜.md) |  | pǔ | [名]
1.記載人、事、物而分類編列的書。如：「家譜」、「年譜」。
2.記錄一些準則與範例，讓人模仿學習的書冊。如：「書譜」、「棋譜」。
3.特指樂曲旋律的紀錄本子。如：「樂譜」、「背譜」。
4.大致的規矩或原則。如：「這話愈說愈離譜。」、「經你一說明，我心裡大概有個譜了。」
5.架子、排場。如：「擺譜」。
[動]
1.按歌詞編寫樂曲。如：「譜曲」。
2.記錄世系。《史記．卷一三．三代世系表》：「自殷以前諸侯不可得而譜。」
3.陳述。清．納蘭性德〈翦湘雲．電急流光〉詞：「欲譜頻年離恨，言已盡，恨未消。」 |</v>
      </c>
    </row>
    <row r="2502" spans="1:44" hidden="1">
      <c r="A2502" s="1" t="s">
        <v>2565</v>
      </c>
      <c r="C2502" s="1">
        <v>1</v>
      </c>
      <c r="D2502" s="1" t="str">
        <f>"01013"</f>
        <v>01013</v>
      </c>
      <c r="E2502" s="1" t="s">
        <v>55</v>
      </c>
      <c r="F2502" s="1">
        <v>20</v>
      </c>
      <c r="G2502" s="1">
        <v>12</v>
      </c>
      <c r="H2502" s="1">
        <v>0</v>
      </c>
      <c r="I2502" s="1" t="s">
        <v>2550</v>
      </c>
      <c r="K2502" s="1" t="str">
        <f t="shared" si="156"/>
        <v>ㄆ</v>
      </c>
      <c r="L2502" s="1" t="str">
        <f t="shared" si="157"/>
        <v>ㄨ</v>
      </c>
      <c r="N2502" s="3" t="s">
        <v>30576</v>
      </c>
      <c r="O2502" s="3"/>
      <c r="P2502" s="1" t="s">
        <v>20</v>
      </c>
      <c r="R2502" s="1" t="s">
        <v>2551</v>
      </c>
      <c r="V2502" s="1" t="s">
        <v>2566</v>
      </c>
      <c r="AR2502" s="1" t="str">
        <f t="shared" si="158"/>
        <v>| [ㄆㄨˇ](ㄆㄨˇ.md) | [鐠](鐠.md) |  | pǔ | [名]
（praseodymium，Pr）化學元素。原子序59。為稀土金屬之一，與釹同雜存於礦物中，產量極少。鐠化合物可用以製造有色玻璃、陶瓷和搪瓷，也可用作催化劑。 |</v>
      </c>
    </row>
    <row r="2503" spans="1:44" hidden="1">
      <c r="A2503" s="1" t="s">
        <v>2578</v>
      </c>
      <c r="C2503" s="1">
        <v>1</v>
      </c>
      <c r="D2503" s="1" t="str">
        <f>"01019"</f>
        <v>01019</v>
      </c>
      <c r="E2503" s="1" t="s">
        <v>534</v>
      </c>
      <c r="F2503" s="1">
        <v>13</v>
      </c>
      <c r="G2503" s="1">
        <v>10</v>
      </c>
      <c r="H2503" s="1">
        <v>0</v>
      </c>
      <c r="I2503" s="1" t="s">
        <v>2579</v>
      </c>
      <c r="K2503" s="1" t="str">
        <f t="shared" si="156"/>
        <v>ㄇ</v>
      </c>
      <c r="L2503" s="1" t="str">
        <f t="shared" si="157"/>
        <v>ㄚ</v>
      </c>
      <c r="M2503" s="1" t="str">
        <f t="shared" ref="M2503:M2534" si="159">MID(I2503, 3, 1)</f>
        <v/>
      </c>
      <c r="P2503" s="1" t="s">
        <v>20</v>
      </c>
      <c r="R2503" s="1" t="s">
        <v>2580</v>
      </c>
      <c r="V2503" s="1" t="s">
        <v>2581</v>
      </c>
      <c r="AR2503" s="1" t="str">
        <f t="shared" si="158"/>
        <v>| [ㄇㄚ](ㄇㄚ.md) | [媽](媽.md) |  | mā | [名]
稱謂：(1)對母親的稱呼，常疊用。如：「媽媽」、「爸媽」。(2)對與母親同輩的女性尊長的稱呼。如：「舅媽」、「姨媽」、「姑媽」。(3)北方人對僕婦的稱呼。同「嬤」。如：「張媽」、「奶媽」。(4)對年長婦女的尊稱。如：「大媽」。 |</v>
      </c>
    </row>
    <row r="2504" spans="1:44" hidden="1">
      <c r="A2504" s="1" t="s">
        <v>2582</v>
      </c>
      <c r="C2504" s="1">
        <v>1</v>
      </c>
      <c r="D2504" s="1" t="str">
        <f>"01020"</f>
        <v>01020</v>
      </c>
      <c r="E2504" s="1" t="s">
        <v>679</v>
      </c>
      <c r="F2504" s="1">
        <v>16</v>
      </c>
      <c r="G2504" s="1">
        <v>10</v>
      </c>
      <c r="H2504" s="1">
        <v>2</v>
      </c>
      <c r="I2504" s="1" t="s">
        <v>2579</v>
      </c>
      <c r="K2504" s="1" t="str">
        <f t="shared" si="156"/>
        <v>ㄇ</v>
      </c>
      <c r="L2504" s="1" t="str">
        <f t="shared" si="157"/>
        <v>ㄚ</v>
      </c>
      <c r="M2504" s="1" t="str">
        <f t="shared" si="159"/>
        <v/>
      </c>
      <c r="P2504" s="1" t="s">
        <v>20</v>
      </c>
      <c r="R2504" s="1" t="s">
        <v>2580</v>
      </c>
      <c r="V2504" s="1" t="s">
        <v>2583</v>
      </c>
      <c r="W2504" s="1" t="s">
        <v>2584</v>
      </c>
      <c r="AR2504" s="1" t="str">
        <f t="shared" si="158"/>
        <v>| [ㄇㄚ](ㄇㄚ.md) | [螞](螞.md) |  | mā | 參見「螞螂」條。 |</v>
      </c>
    </row>
    <row r="2505" spans="1:44" hidden="1">
      <c r="A2505" s="1" t="s">
        <v>2585</v>
      </c>
      <c r="C2505" s="1">
        <v>1</v>
      </c>
      <c r="D2505" s="1" t="str">
        <f>"01021"</f>
        <v>01021</v>
      </c>
      <c r="E2505" s="1" t="s">
        <v>24</v>
      </c>
      <c r="F2505" s="1">
        <v>15</v>
      </c>
      <c r="G2505" s="1">
        <v>11</v>
      </c>
      <c r="H2505" s="1">
        <v>2</v>
      </c>
      <c r="I2505" s="1" t="s">
        <v>2579</v>
      </c>
      <c r="K2505" s="1" t="str">
        <f t="shared" si="156"/>
        <v>ㄇ</v>
      </c>
      <c r="L2505" s="1" t="str">
        <f t="shared" si="157"/>
        <v>ㄚ</v>
      </c>
      <c r="M2505" s="1" t="str">
        <f t="shared" si="159"/>
        <v/>
      </c>
      <c r="P2505" s="1" t="s">
        <v>20</v>
      </c>
      <c r="R2505" s="1" t="s">
        <v>2580</v>
      </c>
      <c r="V2505" s="1" t="s">
        <v>2586</v>
      </c>
      <c r="W2505" s="1" t="s">
        <v>2587</v>
      </c>
      <c r="AR2505" s="1" t="str">
        <f t="shared" si="158"/>
        <v>| [ㄇㄚ](ㄇㄚ.md) | [摩](摩.md) |  | mā | 參見「摩挲」條。 |</v>
      </c>
    </row>
    <row r="2506" spans="1:44" hidden="1">
      <c r="A2506" s="1" t="s">
        <v>2588</v>
      </c>
      <c r="C2506" s="1">
        <v>1</v>
      </c>
      <c r="D2506" s="1" t="str">
        <f>"01022"</f>
        <v>01022</v>
      </c>
      <c r="E2506" s="1" t="s">
        <v>534</v>
      </c>
      <c r="F2506" s="1">
        <v>17</v>
      </c>
      <c r="G2506" s="1">
        <v>14</v>
      </c>
      <c r="H2506" s="1">
        <v>0</v>
      </c>
      <c r="I2506" s="1" t="s">
        <v>2579</v>
      </c>
      <c r="K2506" s="1" t="str">
        <f t="shared" si="156"/>
        <v>ㄇ</v>
      </c>
      <c r="L2506" s="1" t="str">
        <f t="shared" si="157"/>
        <v>ㄚ</v>
      </c>
      <c r="M2506" s="1" t="str">
        <f t="shared" si="159"/>
        <v/>
      </c>
      <c r="P2506" s="1" t="s">
        <v>20</v>
      </c>
      <c r="R2506" s="1" t="s">
        <v>2580</v>
      </c>
      <c r="V2506" s="1" t="s">
        <v>2589</v>
      </c>
      <c r="AR2506" s="1" t="str">
        <f t="shared" si="158"/>
        <v>| [ㄇㄚ](ㄇㄚ.md) | [嬤](嬤.md) |  | mā | 參見「嬤嬤」條。 |</v>
      </c>
    </row>
    <row r="2507" spans="1:44" hidden="1">
      <c r="A2507" s="1" t="s">
        <v>2645</v>
      </c>
      <c r="C2507" s="1">
        <v>1</v>
      </c>
      <c r="D2507" s="1" t="str">
        <f>"01044"</f>
        <v>01044</v>
      </c>
      <c r="E2507" s="1" t="s">
        <v>24</v>
      </c>
      <c r="F2507" s="1">
        <v>14</v>
      </c>
      <c r="G2507" s="1">
        <v>11</v>
      </c>
      <c r="H2507" s="1">
        <v>1</v>
      </c>
      <c r="I2507" s="1" t="s">
        <v>2646</v>
      </c>
      <c r="K2507" s="1" t="str">
        <f t="shared" si="156"/>
        <v>ㄇ</v>
      </c>
      <c r="L2507" s="1" t="str">
        <f t="shared" si="157"/>
        <v>ㄛ</v>
      </c>
      <c r="M2507" s="1" t="str">
        <f t="shared" si="159"/>
        <v/>
      </c>
      <c r="P2507" s="1" t="s">
        <v>20</v>
      </c>
      <c r="R2507" s="1" t="s">
        <v>2647</v>
      </c>
      <c r="V2507" s="1" t="s">
        <v>2648</v>
      </c>
      <c r="W2507" s="1" t="s">
        <v>2649</v>
      </c>
      <c r="AR2507" s="1" t="str">
        <f t="shared" si="158"/>
        <v>| [ㄇㄛ](ㄇㄛ.md) | [摸](摸.md) |  | mō | [動]
1.用手接觸或撫摩。如：「摸骨」、「撫摸」。《三國志．卷二九．魏書．方技傳．華佗傳》：「佗視脈，曰：『胎已死矣。』使人手摸知所在。」《儒林外史》第二回：「醒了摸一摸頭，就像還有些熱。」
2.揣測、通過試探而了解。如：「我摸準了他的脾氣。」
3.掏。《老殘遊記》第一六回：「那老兒便從懷裡摸出個皮靴頁兒來。」
4.偷取。如：「偷雞摸狗」。
5.抓、玩。如：「摸四圈」。《程乙本紅樓夢》第五三回：「趕圍棋摸牌作戲。」
6.逗留、拖延。如：「他動作緩慢，摸了半天才出門。」 |</v>
      </c>
    </row>
    <row r="2508" spans="1:44" hidden="1">
      <c r="A2508" s="1" t="s">
        <v>2645</v>
      </c>
      <c r="C2508" s="1">
        <v>1</v>
      </c>
      <c r="D2508" s="1" t="str">
        <f>"01156"</f>
        <v>01156</v>
      </c>
      <c r="E2508" s="1" t="s">
        <v>24</v>
      </c>
      <c r="F2508" s="1">
        <v>14</v>
      </c>
      <c r="G2508" s="1">
        <v>11</v>
      </c>
      <c r="H2508" s="1">
        <v>2</v>
      </c>
      <c r="I2508" s="1" t="s">
        <v>2915</v>
      </c>
      <c r="K2508" s="1" t="str">
        <f t="shared" si="156"/>
        <v>ㄇ</v>
      </c>
      <c r="L2508" s="1" t="str">
        <f t="shared" si="157"/>
        <v>ㄠ</v>
      </c>
      <c r="M2508" s="1" t="str">
        <f t="shared" si="159"/>
        <v/>
      </c>
      <c r="P2508" s="1" t="s">
        <v>110</v>
      </c>
      <c r="R2508" s="1" t="s">
        <v>2916</v>
      </c>
      <c r="V2508" s="1" t="s">
        <v>111</v>
      </c>
      <c r="W2508" s="1" t="s">
        <v>2917</v>
      </c>
      <c r="AR2508" s="1" t="str">
        <f t="shared" si="158"/>
        <v>| [ㄇㄠ](ㄇㄠ.md) | [摸](摸.md) |  | māo | (一)之又音。 |</v>
      </c>
    </row>
    <row r="2509" spans="1:44" hidden="1">
      <c r="A2509" s="1" t="s">
        <v>2918</v>
      </c>
      <c r="C2509" s="1">
        <v>1</v>
      </c>
      <c r="D2509" s="1" t="str">
        <f>"01157"</f>
        <v>01157</v>
      </c>
      <c r="E2509" s="1" t="s">
        <v>537</v>
      </c>
      <c r="F2509" s="1">
        <v>16</v>
      </c>
      <c r="G2509" s="1">
        <v>9</v>
      </c>
      <c r="H2509" s="1">
        <v>0</v>
      </c>
      <c r="I2509" s="1" t="s">
        <v>2915</v>
      </c>
      <c r="K2509" s="1" t="str">
        <f t="shared" si="156"/>
        <v>ㄇ</v>
      </c>
      <c r="L2509" s="1" t="str">
        <f t="shared" si="157"/>
        <v>ㄠ</v>
      </c>
      <c r="M2509" s="1" t="str">
        <f t="shared" si="159"/>
        <v/>
      </c>
      <c r="P2509" s="1" t="s">
        <v>20</v>
      </c>
      <c r="R2509" s="1" t="s">
        <v>2916</v>
      </c>
      <c r="V2509" s="1" t="s">
        <v>2919</v>
      </c>
      <c r="AR2509" s="1" t="str">
        <f t="shared" si="158"/>
        <v>| [ㄇㄠ](ㄇㄠ.md) | [貓](貓.md) |  | māo | [名]
動物名。哺乳綱食肉目。面圓齒銳，耳殼短小，眼大，瞳孔會因光線強弱而變大小，聽視覺都很敏銳，四肢較短，腳有銳爪，掌有肉墊，行動敏捷，善捕鼠。
[動]
北平方言。指躲藏。如：「他貓起來了，害大夥兒找不著。」 |</v>
      </c>
    </row>
    <row r="2510" spans="1:44" hidden="1">
      <c r="A2510" s="1" t="s">
        <v>3054</v>
      </c>
      <c r="C2510" s="1">
        <v>1</v>
      </c>
      <c r="D2510" s="1" t="str">
        <f>"01214"</f>
        <v>01214</v>
      </c>
      <c r="E2510" s="1" t="s">
        <v>241</v>
      </c>
      <c r="F2510" s="1">
        <v>10</v>
      </c>
      <c r="G2510" s="1">
        <v>7</v>
      </c>
      <c r="H2510" s="1">
        <v>0</v>
      </c>
      <c r="I2510" s="1" t="s">
        <v>3055</v>
      </c>
      <c r="K2510" s="1" t="str">
        <f t="shared" si="156"/>
        <v>ㄇ</v>
      </c>
      <c r="L2510" s="1" t="str">
        <f t="shared" si="157"/>
        <v>ㄢ</v>
      </c>
      <c r="M2510" s="1" t="str">
        <f t="shared" si="159"/>
        <v/>
      </c>
      <c r="P2510" s="1" t="s">
        <v>20</v>
      </c>
      <c r="R2510" s="1" t="s">
        <v>3056</v>
      </c>
      <c r="V2510" s="1" t="s">
        <v>3057</v>
      </c>
      <c r="AR2510" s="1" t="str">
        <f t="shared" si="158"/>
        <v>| [ㄇㄢ](ㄇㄢ.md) | [屘](屘.md) |  | mān | [形]_x000D_
臺灣地區用來指稱同輩親屬中排行最末者。 |</v>
      </c>
    </row>
    <row r="2511" spans="1:44" hidden="1">
      <c r="A2511" s="1" t="s">
        <v>3058</v>
      </c>
      <c r="C2511" s="1">
        <v>1</v>
      </c>
      <c r="D2511" s="1" t="str">
        <f>"01215"</f>
        <v>01215</v>
      </c>
      <c r="E2511" s="1" t="s">
        <v>684</v>
      </c>
      <c r="F2511" s="1">
        <v>20</v>
      </c>
      <c r="G2511" s="1">
        <v>11</v>
      </c>
      <c r="H2511" s="1">
        <v>2</v>
      </c>
      <c r="I2511" s="1" t="s">
        <v>3055</v>
      </c>
      <c r="K2511" s="1" t="str">
        <f t="shared" si="156"/>
        <v>ㄇ</v>
      </c>
      <c r="L2511" s="1" t="str">
        <f t="shared" si="157"/>
        <v>ㄢ</v>
      </c>
      <c r="M2511" s="1" t="str">
        <f t="shared" si="159"/>
        <v/>
      </c>
      <c r="P2511" s="1" t="s">
        <v>388</v>
      </c>
      <c r="R2511" s="1" t="s">
        <v>3056</v>
      </c>
      <c r="V2511" s="1" t="s">
        <v>407</v>
      </c>
      <c r="W2511" s="1" t="s">
        <v>3059</v>
      </c>
      <c r="AR2511" s="1" t="str">
        <f t="shared" si="158"/>
        <v>| [ㄇㄢ](ㄇㄢ.md) | [顢](顢.md) |  | mān | (一)之語音。 |</v>
      </c>
    </row>
    <row r="2512" spans="1:44" hidden="1">
      <c r="A2512" s="1" t="s">
        <v>3137</v>
      </c>
      <c r="C2512" s="1">
        <v>1</v>
      </c>
      <c r="D2512" s="1" t="str">
        <f>"01248"</f>
        <v>01248</v>
      </c>
      <c r="E2512" s="1" t="s">
        <v>250</v>
      </c>
      <c r="F2512" s="1">
        <v>12</v>
      </c>
      <c r="G2512" s="1">
        <v>8</v>
      </c>
      <c r="H2512" s="1">
        <v>2</v>
      </c>
      <c r="I2512" s="1" t="s">
        <v>3138</v>
      </c>
      <c r="K2512" s="1" t="str">
        <f t="shared" si="156"/>
        <v>ㄇ</v>
      </c>
      <c r="L2512" s="1" t="str">
        <f t="shared" si="157"/>
        <v>ㄣ</v>
      </c>
      <c r="M2512" s="1" t="str">
        <f t="shared" si="159"/>
        <v/>
      </c>
      <c r="P2512" s="1" t="s">
        <v>20</v>
      </c>
      <c r="R2512" s="1" t="s">
        <v>3139</v>
      </c>
      <c r="V2512" s="1" t="s">
        <v>3140</v>
      </c>
      <c r="W2512" s="1" t="s">
        <v>3141</v>
      </c>
      <c r="AR2512" s="1" t="str">
        <f t="shared" si="158"/>
        <v>| [ㄇㄣ](ㄇㄣ.md) | [悶](悶.md) |  | mēn | [形]_x000D_
1.空間密閉、空氣不流通。如：「悶熱」、「天氣酷熱，房間好悶。」_x000D_
2.聲音不響亮。如：「那人說話怎麼悶聲悶氣的？」_x000D_
3.形容不靈活或不作聲的樣子。如：「悶頭悶腦」。_x000D_
[動]_x000D_
1.密閉使不透氣。如：「悶飯」、「把菜再悶一會兒。」同「燜」。_x000D_
2.長時間待在一處。如：「別老悶在家裡，到外頭走走吧！」_x000D_
3.藏放。如：「有話就說出來，不要悶在心裡。」 |</v>
      </c>
    </row>
    <row r="2513" spans="1:44" hidden="1">
      <c r="A2513" s="1" t="s">
        <v>3142</v>
      </c>
      <c r="C2513" s="1">
        <v>1</v>
      </c>
      <c r="D2513" s="1" t="str">
        <f>"01249"</f>
        <v>01249</v>
      </c>
      <c r="E2513" s="1" t="s">
        <v>336</v>
      </c>
      <c r="F2513" s="1">
        <v>16</v>
      </c>
      <c r="G2513" s="1">
        <v>12</v>
      </c>
      <c r="H2513" s="1">
        <v>2</v>
      </c>
      <c r="I2513" s="1" t="s">
        <v>3138</v>
      </c>
      <c r="K2513" s="1" t="str">
        <f t="shared" si="156"/>
        <v>ㄇ</v>
      </c>
      <c r="L2513" s="1" t="str">
        <f t="shared" si="157"/>
        <v>ㄣ</v>
      </c>
      <c r="M2513" s="1" t="str">
        <f t="shared" si="159"/>
        <v/>
      </c>
      <c r="P2513" s="1" t="s">
        <v>110</v>
      </c>
      <c r="R2513" s="1" t="s">
        <v>3139</v>
      </c>
      <c r="V2513" s="1" t="s">
        <v>111</v>
      </c>
      <c r="W2513" s="1" t="s">
        <v>3143</v>
      </c>
      <c r="AR2513" s="1" t="str">
        <f t="shared" si="158"/>
        <v>| [ㄇㄣ](ㄇㄣ.md) | [燜](燜.md) |  | mēn | (一)之又音。 |</v>
      </c>
    </row>
    <row r="2514" spans="1:44" hidden="1">
      <c r="A2514" s="1" t="s">
        <v>3241</v>
      </c>
      <c r="C2514" s="1">
        <v>1</v>
      </c>
      <c r="D2514" s="1" t="str">
        <f>"01289"</f>
        <v>01289</v>
      </c>
      <c r="E2514" s="1" t="s">
        <v>1015</v>
      </c>
      <c r="F2514" s="1">
        <v>19</v>
      </c>
      <c r="G2514" s="1">
        <v>14</v>
      </c>
      <c r="H2514" s="1">
        <v>2</v>
      </c>
      <c r="I2514" s="1" t="s">
        <v>3242</v>
      </c>
      <c r="K2514" s="1" t="str">
        <f t="shared" ref="K2514:K2577" si="160">LEFT(I2514, 1)</f>
        <v>ㄇ</v>
      </c>
      <c r="L2514" s="1" t="str">
        <f t="shared" ref="L2514:L2577" si="161">MID(I2514, 2, 1)</f>
        <v>ㄥ</v>
      </c>
      <c r="M2514" s="1" t="str">
        <f t="shared" si="159"/>
        <v/>
      </c>
      <c r="P2514" s="1" t="s">
        <v>20</v>
      </c>
      <c r="R2514" s="1" t="s">
        <v>3243</v>
      </c>
      <c r="V2514" s="1" t="s">
        <v>3244</v>
      </c>
      <c r="W2514" s="1" t="s">
        <v>3245</v>
      </c>
      <c r="AR2514" s="1" t="str">
        <f t="shared" si="158"/>
        <v>| [ㄇㄥ](ㄇㄥ.md) | [矇](矇.md) |  | mēng | [動]
1.欺騙。如：「別說瞎話矇人。」
2.胡亂猜對或得到。如：「我能得獎是矇上的。」 |</v>
      </c>
    </row>
    <row r="2515" spans="1:44" hidden="1">
      <c r="A2515" s="1" t="s">
        <v>3349</v>
      </c>
      <c r="C2515" s="1">
        <v>1</v>
      </c>
      <c r="D2515" s="1" t="str">
        <f>"01335"</f>
        <v>01335</v>
      </c>
      <c r="E2515" s="1" t="s">
        <v>28</v>
      </c>
      <c r="F2515" s="1">
        <v>9</v>
      </c>
      <c r="G2515" s="1">
        <v>6</v>
      </c>
      <c r="H2515" s="1">
        <v>0</v>
      </c>
      <c r="I2515" s="1" t="s">
        <v>3350</v>
      </c>
      <c r="K2515" s="1" t="str">
        <f t="shared" si="160"/>
        <v>ㄇ</v>
      </c>
      <c r="L2515" s="1" t="str">
        <f t="shared" si="161"/>
        <v>ㄧ</v>
      </c>
      <c r="M2515" s="1" t="str">
        <f t="shared" si="159"/>
        <v/>
      </c>
      <c r="P2515" s="1" t="s">
        <v>20</v>
      </c>
      <c r="R2515" s="1" t="s">
        <v>3351</v>
      </c>
      <c r="V2515" s="1" t="s">
        <v>3352</v>
      </c>
      <c r="AR2515" s="1" t="str">
        <f t="shared" si="158"/>
        <v>| [ㄇㄧ](ㄇㄧ.md) | [咪](咪.md) |  | mī | 參見「咪咪」條。 |</v>
      </c>
    </row>
    <row r="2516" spans="1:44" hidden="1">
      <c r="A2516" s="1" t="s">
        <v>3353</v>
      </c>
      <c r="C2516" s="1">
        <v>1</v>
      </c>
      <c r="D2516" s="1" t="str">
        <f>"01336"</f>
        <v>01336</v>
      </c>
      <c r="E2516" s="1" t="s">
        <v>1015</v>
      </c>
      <c r="F2516" s="1">
        <v>11</v>
      </c>
      <c r="G2516" s="1">
        <v>6</v>
      </c>
      <c r="H2516" s="1">
        <v>2</v>
      </c>
      <c r="I2516" s="1" t="s">
        <v>3350</v>
      </c>
      <c r="K2516" s="1" t="str">
        <f t="shared" si="160"/>
        <v>ㄇ</v>
      </c>
      <c r="L2516" s="1" t="str">
        <f t="shared" si="161"/>
        <v>ㄧ</v>
      </c>
      <c r="M2516" s="1" t="str">
        <f t="shared" si="159"/>
        <v/>
      </c>
      <c r="P2516" s="1" t="s">
        <v>20</v>
      </c>
      <c r="R2516" s="1" t="s">
        <v>3351</v>
      </c>
      <c r="V2516" s="1" t="s">
        <v>3354</v>
      </c>
      <c r="W2516" s="1" t="s">
        <v>3355</v>
      </c>
      <c r="AR2516" s="1" t="str">
        <f t="shared" si="158"/>
        <v>| [ㄇㄧ](ㄇㄧ.md) | [眯](眯.md) |  | mī | [動]
眼皮微合。同「瞇」。明．張自烈《正字通．目部》：「眯，俗作瞇。」 |</v>
      </c>
    </row>
    <row r="2517" spans="1:44" hidden="1">
      <c r="A2517" s="1" t="s">
        <v>3356</v>
      </c>
      <c r="C2517" s="1">
        <v>1</v>
      </c>
      <c r="D2517" s="1" t="str">
        <f>"01337"</f>
        <v>01337</v>
      </c>
      <c r="E2517" s="1" t="s">
        <v>1015</v>
      </c>
      <c r="F2517" s="1">
        <v>15</v>
      </c>
      <c r="G2517" s="1">
        <v>10</v>
      </c>
      <c r="H2517" s="1">
        <v>0</v>
      </c>
      <c r="I2517" s="1" t="s">
        <v>3350</v>
      </c>
      <c r="K2517" s="1" t="str">
        <f t="shared" si="160"/>
        <v>ㄇ</v>
      </c>
      <c r="L2517" s="1" t="str">
        <f t="shared" si="161"/>
        <v>ㄧ</v>
      </c>
      <c r="M2517" s="1" t="str">
        <f t="shared" si="159"/>
        <v/>
      </c>
      <c r="P2517" s="1" t="s">
        <v>20</v>
      </c>
      <c r="R2517" s="1" t="s">
        <v>3351</v>
      </c>
      <c r="V2517" s="1" t="s">
        <v>3357</v>
      </c>
      <c r="AR2517" s="1" t="str">
        <f t="shared" si="158"/>
        <v>| [ㄇㄧ](ㄇㄧ.md) | [瞇](瞇.md) |  | mī | [動]
眼瞼上下微閉。如：「他瞇著眼一直望向走廊前端。」 |</v>
      </c>
    </row>
    <row r="2518" spans="1:44" hidden="1">
      <c r="A2518" s="1" t="s">
        <v>3479</v>
      </c>
      <c r="C2518" s="1">
        <v>1</v>
      </c>
      <c r="D2518" s="1" t="str">
        <f>"01391"</f>
        <v>01391</v>
      </c>
      <c r="E2518" s="1" t="s">
        <v>3480</v>
      </c>
      <c r="F2518" s="1">
        <v>2</v>
      </c>
      <c r="G2518" s="1">
        <v>1</v>
      </c>
      <c r="H2518" s="1">
        <v>1</v>
      </c>
      <c r="I2518" s="1" t="s">
        <v>3481</v>
      </c>
      <c r="K2518" s="1" t="str">
        <f t="shared" si="160"/>
        <v>ㄇ</v>
      </c>
      <c r="L2518" s="1" t="str">
        <f t="shared" si="161"/>
        <v>ㄧ</v>
      </c>
      <c r="M2518" s="1" t="str">
        <f t="shared" si="159"/>
        <v>ㄝ</v>
      </c>
      <c r="P2518" s="1" t="s">
        <v>20</v>
      </c>
      <c r="R2518" s="1" t="s">
        <v>3482</v>
      </c>
      <c r="V2518" s="1" t="s">
        <v>3483</v>
      </c>
      <c r="W2518" s="1" t="s">
        <v>3484</v>
      </c>
      <c r="AR2518" s="1" t="str">
        <f t="shared" si="158"/>
        <v>| [ㄇㄧㄝ](ㄇㄧㄝ.md) | [乜](乜.md) |  | miē | [動]
瞇眼斜視。元．關漢卿《望江亭》第三折：「那廝也忒懵懂玉山低趄，著鬼祟醉眼乜斜。」 |</v>
      </c>
    </row>
    <row r="2519" spans="1:44" hidden="1">
      <c r="A2519" s="1" t="s">
        <v>3409</v>
      </c>
      <c r="C2519" s="1">
        <v>1</v>
      </c>
      <c r="D2519" s="1" t="str">
        <f>"01392"</f>
        <v>01392</v>
      </c>
      <c r="E2519" s="1" t="s">
        <v>43</v>
      </c>
      <c r="F2519" s="1">
        <v>8</v>
      </c>
      <c r="G2519" s="1">
        <v>2</v>
      </c>
      <c r="H2519" s="1">
        <v>1</v>
      </c>
      <c r="I2519" s="1" t="s">
        <v>3481</v>
      </c>
      <c r="K2519" s="1" t="str">
        <f t="shared" si="160"/>
        <v>ㄇ</v>
      </c>
      <c r="L2519" s="1" t="str">
        <f t="shared" si="161"/>
        <v>ㄧ</v>
      </c>
      <c r="M2519" s="1" t="str">
        <f t="shared" si="159"/>
        <v>ㄝ</v>
      </c>
      <c r="P2519" s="1" t="s">
        <v>20</v>
      </c>
      <c r="R2519" s="1" t="s">
        <v>3482</v>
      </c>
      <c r="V2519" s="1" t="s">
        <v>3485</v>
      </c>
      <c r="W2519" s="1" t="s">
        <v>3486</v>
      </c>
      <c r="AR2519" s="1" t="str">
        <f t="shared" si="158"/>
        <v>| [ㄇㄧㄝ](ㄇㄧㄝ.md) | [羋](羋.md) |  | miē | [擬]_x000D_
模擬羊叫的聲音。如：「羋！羋！羋！牧童趕著羊群往山腳下去了。」 |</v>
      </c>
    </row>
    <row r="2520" spans="1:44" hidden="1">
      <c r="A2520" s="1" t="s">
        <v>3487</v>
      </c>
      <c r="C2520" s="1">
        <v>1</v>
      </c>
      <c r="D2520" s="1" t="str">
        <f>"01393"</f>
        <v>01393</v>
      </c>
      <c r="E2520" s="1" t="s">
        <v>28</v>
      </c>
      <c r="F2520" s="1">
        <v>9</v>
      </c>
      <c r="G2520" s="1">
        <v>6</v>
      </c>
      <c r="H2520" s="1">
        <v>0</v>
      </c>
      <c r="I2520" s="1" t="s">
        <v>3481</v>
      </c>
      <c r="K2520" s="1" t="str">
        <f t="shared" si="160"/>
        <v>ㄇ</v>
      </c>
      <c r="L2520" s="1" t="str">
        <f t="shared" si="161"/>
        <v>ㄧ</v>
      </c>
      <c r="M2520" s="1" t="str">
        <f t="shared" si="159"/>
        <v>ㄝ</v>
      </c>
      <c r="P2520" s="1" t="s">
        <v>20</v>
      </c>
      <c r="R2520" s="1" t="s">
        <v>3482</v>
      </c>
      <c r="V2520" s="1" t="s">
        <v>3488</v>
      </c>
      <c r="AR2520" s="1" t="str">
        <f t="shared" si="158"/>
        <v>| [ㄇㄧㄝ](ㄇㄧㄝ.md) | [咩](咩.md) |  | miē | [擬]_x000D_
模擬羊叫的聲音。同「羋」。如：「小羊咩咩的叫著。」 |</v>
      </c>
    </row>
    <row r="2521" spans="1:44" hidden="1">
      <c r="A2521" s="1" t="s">
        <v>2232</v>
      </c>
      <c r="C2521" s="1">
        <v>1</v>
      </c>
      <c r="D2521" s="1" t="str">
        <f>"01394"</f>
        <v>01394</v>
      </c>
      <c r="E2521" s="1" t="s">
        <v>2233</v>
      </c>
      <c r="F2521" s="1">
        <v>12</v>
      </c>
      <c r="G2521" s="1">
        <v>5</v>
      </c>
      <c r="H2521" s="1">
        <v>1</v>
      </c>
      <c r="I2521" s="1" t="s">
        <v>3489</v>
      </c>
      <c r="K2521" s="1" t="str">
        <f t="shared" si="160"/>
        <v>ㄇ</v>
      </c>
      <c r="L2521" s="1" t="str">
        <f t="shared" si="161"/>
        <v>ㄧ</v>
      </c>
      <c r="M2521" s="1" t="str">
        <f t="shared" si="159"/>
        <v>ㄝ</v>
      </c>
      <c r="P2521" s="1" t="s">
        <v>20</v>
      </c>
      <c r="R2521" s="1" t="s">
        <v>3490</v>
      </c>
      <c r="V2521" s="1" t="s">
        <v>3491</v>
      </c>
      <c r="W2521" s="1" t="s">
        <v>3492</v>
      </c>
      <c r="AR2521" s="1" t="str">
        <f t="shared" si="158"/>
        <v>| [ㄇㄧㄝˋ](ㄇㄧㄝˋ.md) | [覕](覕.md) |  | miè | [動]
隱而不相見。《說文解字．見部》：「覕，蔽不相見也。」 |</v>
      </c>
    </row>
    <row r="2522" spans="1:44" hidden="1">
      <c r="A2522" s="1" t="s">
        <v>3493</v>
      </c>
      <c r="C2522" s="1">
        <v>1</v>
      </c>
      <c r="D2522" s="1" t="str">
        <f>"01395"</f>
        <v>01395</v>
      </c>
      <c r="E2522" s="1" t="s">
        <v>129</v>
      </c>
      <c r="F2522" s="1">
        <v>13</v>
      </c>
      <c r="G2522" s="1">
        <v>10</v>
      </c>
      <c r="H2522" s="1">
        <v>0</v>
      </c>
      <c r="I2522" s="1" t="s">
        <v>3489</v>
      </c>
      <c r="K2522" s="1" t="str">
        <f t="shared" si="160"/>
        <v>ㄇ</v>
      </c>
      <c r="L2522" s="1" t="str">
        <f t="shared" si="161"/>
        <v>ㄧ</v>
      </c>
      <c r="M2522" s="1" t="str">
        <f t="shared" si="159"/>
        <v>ㄝ</v>
      </c>
      <c r="P2522" s="1" t="s">
        <v>20</v>
      </c>
      <c r="R2522" s="1" t="s">
        <v>3490</v>
      </c>
      <c r="V2522" s="1" t="s">
        <v>3494</v>
      </c>
      <c r="AR2522" s="1" t="str">
        <f t="shared" si="158"/>
        <v>| [ㄇㄧㄝˋ](ㄇㄧㄝˋ.md) | [滅](滅.md) |  | miè | [動]
1.撲熄、熄掉。如：「撲滅」、「熄滅」、「滅火」、「燈滅了」。
2.除盡、除絕。如：「消滅」、「殲滅」。《國語．晉語五》：「國之良也，滅其前惡。」
3.消失、消逝、絕盡。如：「幻滅」、「破滅」、「湮滅」、「自生自滅」。唐．柳宗元〈江雪〉詩：「千山鳥飛絕，萬逕人蹤滅。」
4.淹沒。如：「滅頂」。《呂氏春秋．開春論．愛類》：「河出孟門，大溢逆流，無有丘陵沃衍平原高阜，盡皆滅之。」 |</v>
      </c>
    </row>
    <row r="2523" spans="1:44" hidden="1">
      <c r="A2523" s="1" t="s">
        <v>3495</v>
      </c>
      <c r="C2523" s="1">
        <v>1</v>
      </c>
      <c r="D2523" s="1" t="str">
        <f>"01396"</f>
        <v>01396</v>
      </c>
      <c r="E2523" s="1" t="s">
        <v>37</v>
      </c>
      <c r="F2523" s="1">
        <v>15</v>
      </c>
      <c r="G2523" s="1">
        <v>11</v>
      </c>
      <c r="H2523" s="1">
        <v>0</v>
      </c>
      <c r="I2523" s="1" t="s">
        <v>3489</v>
      </c>
      <c r="K2523" s="1" t="str">
        <f t="shared" si="160"/>
        <v>ㄇ</v>
      </c>
      <c r="L2523" s="1" t="str">
        <f t="shared" si="161"/>
        <v>ㄧ</v>
      </c>
      <c r="M2523" s="1" t="str">
        <f t="shared" si="159"/>
        <v>ㄝ</v>
      </c>
      <c r="P2523" s="1" t="s">
        <v>20</v>
      </c>
      <c r="R2523" s="1" t="s">
        <v>3490</v>
      </c>
      <c r="V2523" s="1" t="s">
        <v>3496</v>
      </c>
      <c r="AR2523" s="1" t="str">
        <f t="shared" si="158"/>
        <v>| [ㄇㄧㄝˋ](ㄇㄧㄝˋ.md) | [蔑](蔑.md) |  | miè | [動]
1.輕侮。如：「侮蔑」、「輕蔑」。南朝梁．沈約〈奏彈王源〉：「蔑祖辱親，於事為甚。」
2.誣陷、陷害。如：「誣蔑」。
3.拋棄。《左傳．襄公二十五年》：「今陳忘周之大德，蔑我大惠。」《國語．周語中》：「不奪民時，不蔑民功。」
[形]
卑微。如：「微蔑」。
[副]
無、沒有。如：「蔑以復加」、「蔑不有成」。 |</v>
      </c>
    </row>
    <row r="2524" spans="1:44" hidden="1">
      <c r="A2524" s="1" t="s">
        <v>3497</v>
      </c>
      <c r="C2524" s="1">
        <v>1</v>
      </c>
      <c r="D2524" s="1" t="str">
        <f>"01397"</f>
        <v>01397</v>
      </c>
      <c r="E2524" s="1" t="s">
        <v>49</v>
      </c>
      <c r="F2524" s="1">
        <v>17</v>
      </c>
      <c r="G2524" s="1">
        <v>11</v>
      </c>
      <c r="H2524" s="1">
        <v>0</v>
      </c>
      <c r="I2524" s="1" t="s">
        <v>3489</v>
      </c>
      <c r="K2524" s="1" t="str">
        <f t="shared" si="160"/>
        <v>ㄇ</v>
      </c>
      <c r="L2524" s="1" t="str">
        <f t="shared" si="161"/>
        <v>ㄧ</v>
      </c>
      <c r="M2524" s="1" t="str">
        <f t="shared" si="159"/>
        <v>ㄝ</v>
      </c>
      <c r="P2524" s="1" t="s">
        <v>20</v>
      </c>
      <c r="R2524" s="1" t="s">
        <v>3490</v>
      </c>
      <c r="V2524" s="1" t="s">
        <v>3498</v>
      </c>
      <c r="AR2524" s="1" t="str">
        <f t="shared" si="158"/>
        <v>| [ㄇㄧㄝˋ](ㄇㄧㄝˋ.md) | [篾](篾.md) |  | miè | [名]
1.竹子剖成的細薄片。《玉篇．竹部》：「篾，竹皮也。」如：「竹篾」。
2.用蘆葦或藤類等的莖劈成的細長薄片。如：「韋篾兒」。《西遊記》第二三回：「四片黃藤篾，長短八條繩。」
[形]
用竹片或蘆葦片等編成的。《書經．顧命》：「牖間南嚮，敷重篾席。」唐．唐彥謙〈蟹〉詩：「扳罾拖網取賽多，篾簍挑將水邊貨。」 |</v>
      </c>
    </row>
    <row r="2525" spans="1:44" hidden="1">
      <c r="A2525" s="1" t="s">
        <v>3499</v>
      </c>
      <c r="C2525" s="1">
        <v>1</v>
      </c>
      <c r="D2525" s="1" t="str">
        <f>"01398"</f>
        <v>01398</v>
      </c>
      <c r="E2525" s="1" t="s">
        <v>222</v>
      </c>
      <c r="F2525" s="1">
        <v>18</v>
      </c>
      <c r="G2525" s="1">
        <v>15</v>
      </c>
      <c r="H2525" s="1">
        <v>0</v>
      </c>
      <c r="I2525" s="1" t="s">
        <v>3489</v>
      </c>
      <c r="K2525" s="1" t="str">
        <f t="shared" si="160"/>
        <v>ㄇ</v>
      </c>
      <c r="L2525" s="1" t="str">
        <f t="shared" si="161"/>
        <v>ㄧ</v>
      </c>
      <c r="M2525" s="1" t="str">
        <f t="shared" si="159"/>
        <v>ㄝ</v>
      </c>
      <c r="P2525" s="1" t="s">
        <v>20</v>
      </c>
      <c r="R2525" s="1" t="s">
        <v>3490</v>
      </c>
      <c r="V2525" s="1" t="s">
        <v>3500</v>
      </c>
      <c r="AR2525" s="1" t="str">
        <f t="shared" si="158"/>
        <v>| [ㄇㄧㄝˋ](ㄇㄧㄝˋ.md) | [幭](幭.md) |  | miè | [名]
覆蓋物體的巾布。清．朱駿聲《說文通訓定聲．泰部》：「幭者，覆物之巾。覆車、覆衣、覆體之具皆得稱幭。」 |</v>
      </c>
    </row>
    <row r="2526" spans="1:44" hidden="1">
      <c r="A2526" s="1" t="s">
        <v>3501</v>
      </c>
      <c r="C2526" s="1">
        <v>1</v>
      </c>
      <c r="D2526" s="1" t="str">
        <f>"01399"</f>
        <v>01399</v>
      </c>
      <c r="E2526" s="1" t="s">
        <v>679</v>
      </c>
      <c r="F2526" s="1">
        <v>21</v>
      </c>
      <c r="G2526" s="1">
        <v>15</v>
      </c>
      <c r="H2526" s="1">
        <v>0</v>
      </c>
      <c r="I2526" s="1" t="s">
        <v>3489</v>
      </c>
      <c r="K2526" s="1" t="str">
        <f t="shared" si="160"/>
        <v>ㄇ</v>
      </c>
      <c r="L2526" s="1" t="str">
        <f t="shared" si="161"/>
        <v>ㄧ</v>
      </c>
      <c r="M2526" s="1" t="str">
        <f t="shared" si="159"/>
        <v>ㄝ</v>
      </c>
      <c r="P2526" s="1" t="s">
        <v>20</v>
      </c>
      <c r="R2526" s="1" t="s">
        <v>3490</v>
      </c>
      <c r="V2526" s="1" t="s">
        <v>3502</v>
      </c>
      <c r="AR2526" s="1" t="str">
        <f t="shared" si="158"/>
        <v>| [ㄇㄧㄝˋ](ㄇㄧㄝˋ.md) | [蠛](蠛.md) |  | miè | 參見「蠛蠓」條。 |</v>
      </c>
    </row>
    <row r="2527" spans="1:44" hidden="1">
      <c r="A2527" s="1" t="s">
        <v>3503</v>
      </c>
      <c r="C2527" s="1">
        <v>1</v>
      </c>
      <c r="D2527" s="1" t="str">
        <f>"01400"</f>
        <v>01400</v>
      </c>
      <c r="E2527" s="1" t="s">
        <v>1681</v>
      </c>
      <c r="F2527" s="1">
        <v>21</v>
      </c>
      <c r="G2527" s="1">
        <v>15</v>
      </c>
      <c r="H2527" s="1">
        <v>0</v>
      </c>
      <c r="I2527" s="1" t="s">
        <v>3489</v>
      </c>
      <c r="K2527" s="1" t="str">
        <f t="shared" si="160"/>
        <v>ㄇ</v>
      </c>
      <c r="L2527" s="1" t="str">
        <f t="shared" si="161"/>
        <v>ㄧ</v>
      </c>
      <c r="M2527" s="1" t="str">
        <f t="shared" si="159"/>
        <v>ㄝ</v>
      </c>
      <c r="P2527" s="1" t="s">
        <v>20</v>
      </c>
      <c r="R2527" s="1" t="s">
        <v>3490</v>
      </c>
      <c r="V2527" s="1" t="s">
        <v>3504</v>
      </c>
      <c r="AR2527" s="1" t="str">
        <f t="shared" si="158"/>
        <v>| [ㄇㄧㄝˋ](ㄇㄧㄝˋ.md) | [衊](衊.md) |  | miè | [名]
汙血。《說文解字．血部》：「衊，汙血也。」
[動]
1.捏造罪名，陷害他人。如：「汙衊」、「誣衊」。
2.塗抹。《新唐書．卷二〇五．列女傳．崔繪妻盧傳》：「是夕，出自竇，糞穢衊面。」 |</v>
      </c>
    </row>
    <row r="2528" spans="1:44" hidden="1">
      <c r="A2528" s="1" t="s">
        <v>3505</v>
      </c>
      <c r="C2528" s="1">
        <v>1</v>
      </c>
      <c r="D2528" s="1" t="str">
        <f>"01401"</f>
        <v>01401</v>
      </c>
      <c r="E2528" s="1" t="s">
        <v>28</v>
      </c>
      <c r="F2528" s="1">
        <v>12</v>
      </c>
      <c r="G2528" s="1">
        <v>9</v>
      </c>
      <c r="H2528" s="1">
        <v>0</v>
      </c>
      <c r="I2528" s="1" t="s">
        <v>3506</v>
      </c>
      <c r="K2528" s="1" t="str">
        <f t="shared" si="160"/>
        <v>ㄇ</v>
      </c>
      <c r="L2528" s="1" t="str">
        <f t="shared" si="161"/>
        <v>ㄧ</v>
      </c>
      <c r="M2528" s="1" t="str">
        <f t="shared" si="159"/>
        <v>ㄠ</v>
      </c>
      <c r="P2528" s="1" t="s">
        <v>20</v>
      </c>
      <c r="R2528" s="1" t="s">
        <v>3507</v>
      </c>
      <c r="V2528" s="1" t="s">
        <v>3508</v>
      </c>
      <c r="AR2528" s="1" t="str">
        <f t="shared" si="158"/>
        <v>| [ㄇㄧㄠ](ㄇㄧㄠ.md) | [喵](喵.md) |  | miāo | [擬]_x000D_
模擬貓叫的聲音。如：「小貓喵喵叫個不停。」 |</v>
      </c>
    </row>
    <row r="2529" spans="1:44" hidden="1">
      <c r="A2529" s="1" t="s">
        <v>3509</v>
      </c>
      <c r="C2529" s="1">
        <v>1</v>
      </c>
      <c r="D2529" s="1" t="str">
        <f>"01402"</f>
        <v>01402</v>
      </c>
      <c r="E2529" s="1" t="s">
        <v>37</v>
      </c>
      <c r="F2529" s="1">
        <v>9</v>
      </c>
      <c r="G2529" s="1">
        <v>5</v>
      </c>
      <c r="H2529" s="1">
        <v>0</v>
      </c>
      <c r="I2529" s="1" t="s">
        <v>3510</v>
      </c>
      <c r="K2529" s="1" t="str">
        <f t="shared" si="160"/>
        <v>ㄇ</v>
      </c>
      <c r="L2529" s="1" t="str">
        <f t="shared" si="161"/>
        <v>ㄧ</v>
      </c>
      <c r="M2529" s="1" t="str">
        <f t="shared" si="159"/>
        <v>ㄠ</v>
      </c>
      <c r="P2529" s="1" t="s">
        <v>20</v>
      </c>
      <c r="R2529" s="1" t="s">
        <v>3511</v>
      </c>
      <c r="V2529" s="1" t="s">
        <v>3512</v>
      </c>
      <c r="AR2529" s="1" t="str">
        <f t="shared" si="158"/>
        <v>| [ㄇㄧㄠˊ](ㄇㄧㄠˊ.md) | [苗](苗.md) |  | miáo | [名]
1.初生未開花的穀類植株。如：「禾苗」、「麥苗」、「秧苗」、「稻苗」。
2.初生的植物或指植物的嫩莖、嫩葉。如：「樹苗」、「花苗」、「豆苗」、「蒜苗」。
3.初生的動物。如：「魚苗」、「豬苗」。
4.事情的端緒。如：「愛苗」、「禍苗」。
5.露出地面的礦產。如：「玉苗」、「礦苗」。
6.中國少數民族之一。分布在大陸地區貴州、湖南、雲南等地。
7.疫苗，能使動物體產生免疫力的微生物劑。如：「卡介苗」。
8.姓。如漢代有苗蒲。 |</v>
      </c>
    </row>
    <row r="2530" spans="1:44" hidden="1">
      <c r="A2530" s="1" t="s">
        <v>3513</v>
      </c>
      <c r="C2530" s="1">
        <v>1</v>
      </c>
      <c r="D2530" s="1" t="str">
        <f>"01403"</f>
        <v>01403</v>
      </c>
      <c r="E2530" s="1" t="s">
        <v>24</v>
      </c>
      <c r="F2530" s="1">
        <v>12</v>
      </c>
      <c r="G2530" s="1">
        <v>9</v>
      </c>
      <c r="H2530" s="1">
        <v>0</v>
      </c>
      <c r="I2530" s="1" t="s">
        <v>3510</v>
      </c>
      <c r="K2530" s="1" t="str">
        <f t="shared" si="160"/>
        <v>ㄇ</v>
      </c>
      <c r="L2530" s="1" t="str">
        <f t="shared" si="161"/>
        <v>ㄧ</v>
      </c>
      <c r="M2530" s="1" t="str">
        <f t="shared" si="159"/>
        <v>ㄠ</v>
      </c>
      <c r="P2530" s="1" t="s">
        <v>20</v>
      </c>
      <c r="R2530" s="1" t="s">
        <v>3511</v>
      </c>
      <c r="V2530" s="1" t="s">
        <v>3514</v>
      </c>
      <c r="AR2530" s="1" t="str">
        <f t="shared" si="158"/>
        <v>| [ㄇㄧㄠˊ](ㄇㄧㄠˊ.md) | [描](描.md) |  | miáo | [動]
1.依樣摹畫。如：「描摹」。明．湯顯祖《牡丹亭》第一四齣：「三分春色描來易，一段傷心畫出難。」《紅樓夢》第四二回：「原先蓋這園子，就有一張細緻圖樣，雖是匠工描的，那地步方向是不錯的。」
2.反覆塗寫。如：「越描越黑」。 |</v>
      </c>
    </row>
    <row r="2531" spans="1:44" hidden="1">
      <c r="A2531" s="1" t="s">
        <v>3515</v>
      </c>
      <c r="C2531" s="1">
        <v>1</v>
      </c>
      <c r="D2531" s="1" t="str">
        <f>"01404"</f>
        <v>01404</v>
      </c>
      <c r="E2531" s="1" t="s">
        <v>1015</v>
      </c>
      <c r="F2531" s="1">
        <v>14</v>
      </c>
      <c r="G2531" s="1">
        <v>9</v>
      </c>
      <c r="H2531" s="1">
        <v>0</v>
      </c>
      <c r="I2531" s="1" t="s">
        <v>3510</v>
      </c>
      <c r="K2531" s="1" t="str">
        <f t="shared" si="160"/>
        <v>ㄇ</v>
      </c>
      <c r="L2531" s="1" t="str">
        <f t="shared" si="161"/>
        <v>ㄧ</v>
      </c>
      <c r="M2531" s="1" t="str">
        <f t="shared" si="159"/>
        <v>ㄠ</v>
      </c>
      <c r="P2531" s="1" t="s">
        <v>20</v>
      </c>
      <c r="R2531" s="1" t="s">
        <v>3511</v>
      </c>
      <c r="V2531" s="1" t="s">
        <v>3516</v>
      </c>
      <c r="AR2531" s="1" t="str">
        <f t="shared" si="158"/>
        <v>| [ㄇㄧㄠˊ](ㄇㄧㄠˊ.md) | [瞄](瞄.md) |  | miáo | [動]
注視。如：「瞄準」、「瞄了一眼」。 |</v>
      </c>
    </row>
    <row r="2532" spans="1:44" hidden="1">
      <c r="A2532" s="1" t="s">
        <v>3517</v>
      </c>
      <c r="C2532" s="1">
        <v>1</v>
      </c>
      <c r="D2532" s="1" t="str">
        <f>"01405"</f>
        <v>01405</v>
      </c>
      <c r="E2532" s="1" t="s">
        <v>139</v>
      </c>
      <c r="F2532" s="1">
        <v>8</v>
      </c>
      <c r="G2532" s="1">
        <v>4</v>
      </c>
      <c r="H2532" s="1">
        <v>0</v>
      </c>
      <c r="I2532" s="1" t="s">
        <v>3518</v>
      </c>
      <c r="K2532" s="1" t="str">
        <f t="shared" si="160"/>
        <v>ㄇ</v>
      </c>
      <c r="L2532" s="1" t="str">
        <f t="shared" si="161"/>
        <v>ㄧ</v>
      </c>
      <c r="M2532" s="1" t="str">
        <f t="shared" si="159"/>
        <v>ㄠ</v>
      </c>
      <c r="P2532" s="1" t="s">
        <v>20</v>
      </c>
      <c r="R2532" s="1" t="s">
        <v>3519</v>
      </c>
      <c r="V2532" s="1" t="s">
        <v>3520</v>
      </c>
      <c r="AR2532" s="1" t="str">
        <f t="shared" si="158"/>
        <v>| [ㄇㄧㄠˇ](ㄇㄧㄠˇ.md) | [杪](杪.md) |  | miǎo | [名]
1.樹枝末端。如：「木杪」、「樹杪」。
2.末端、末尾。如：「歲杪」、「月杪」。南朝梁．吳均〈征客〉詩：「鞚中懸明月，劍杪照蓮花。」
[形]
細微。通「渺」。《後漢書．卷二八下．馮衍傳》：「闊略杪小之禮，蕩佚人閒之事。」 |</v>
      </c>
    </row>
    <row r="2533" spans="1:44" hidden="1">
      <c r="A2533" s="1" t="s">
        <v>3521</v>
      </c>
      <c r="C2533" s="1">
        <v>1</v>
      </c>
      <c r="D2533" s="1" t="str">
        <f>"01406"</f>
        <v>01406</v>
      </c>
      <c r="E2533" s="1" t="s">
        <v>1015</v>
      </c>
      <c r="F2533" s="1">
        <v>9</v>
      </c>
      <c r="G2533" s="1">
        <v>4</v>
      </c>
      <c r="H2533" s="1">
        <v>0</v>
      </c>
      <c r="I2533" s="1" t="s">
        <v>3518</v>
      </c>
      <c r="K2533" s="1" t="str">
        <f t="shared" si="160"/>
        <v>ㄇ</v>
      </c>
      <c r="L2533" s="1" t="str">
        <f t="shared" si="161"/>
        <v>ㄧ</v>
      </c>
      <c r="M2533" s="1" t="str">
        <f t="shared" si="159"/>
        <v>ㄠ</v>
      </c>
      <c r="P2533" s="1" t="s">
        <v>20</v>
      </c>
      <c r="R2533" s="1" t="s">
        <v>3519</v>
      </c>
      <c r="V2533" s="1" t="s">
        <v>3522</v>
      </c>
      <c r="AR2533" s="1" t="str">
        <f t="shared" si="158"/>
        <v>| [ㄇㄧㄠˇ](ㄇㄧㄠˇ.md) | [眇](眇.md) |  | miǎo | [動]
1.瞎了一隻眼。亦指全盲。《南史．卷一二．后妃傳下．梁元帝徐妃傳》：「妃以帝眇一目，每知帝將至，必為半面妝以俟。」宋．蘇軾〈日喻〉：「生而眇者不識日。」
2.凝注、細視。《漢書．卷一〇〇．敘傳上》：「若乃牙、曠清耳於管絃，離婁眇目於豪分。」唐．顏師古．注：「眇，細視也。」
[形]
1.幽遠、高遠。《楚辭．屈原．九章．哀郢》：「眇不知其所蹠。順風波以從流兮，焉洋洋而為客。」唐．韓愈〈合江亭〉詩：「瞰臨眇空闊，綠淨不可唾。」
2.微小、卑微。《莊子．德充符》：「眇乎小哉，所以屬於人也。」《漢書．卷七．昭帝紀》：「詔曰：『朕以眇身獲保宗廟，戰戰栗栗，夙興夜寐，修古帝王之事，通保傅，傳《孝經》、《論語》、《尚書》，未云有明。』」 |</v>
      </c>
    </row>
    <row r="2534" spans="1:44" hidden="1">
      <c r="A2534" s="1" t="s">
        <v>3523</v>
      </c>
      <c r="C2534" s="1">
        <v>1</v>
      </c>
      <c r="D2534" s="1" t="str">
        <f>"01407"</f>
        <v>01407</v>
      </c>
      <c r="E2534" s="1" t="s">
        <v>429</v>
      </c>
      <c r="F2534" s="1">
        <v>9</v>
      </c>
      <c r="G2534" s="1">
        <v>4</v>
      </c>
      <c r="H2534" s="1">
        <v>0</v>
      </c>
      <c r="I2534" s="1" t="s">
        <v>3518</v>
      </c>
      <c r="K2534" s="1" t="str">
        <f t="shared" si="160"/>
        <v>ㄇ</v>
      </c>
      <c r="L2534" s="1" t="str">
        <f t="shared" si="161"/>
        <v>ㄧ</v>
      </c>
      <c r="M2534" s="1" t="str">
        <f t="shared" si="159"/>
        <v>ㄠ</v>
      </c>
      <c r="P2534" s="1" t="s">
        <v>20</v>
      </c>
      <c r="R2534" s="1" t="s">
        <v>3519</v>
      </c>
      <c r="V2534" s="1" t="s">
        <v>3524</v>
      </c>
      <c r="AR2534" s="1" t="str">
        <f t="shared" si="158"/>
        <v>| [ㄇㄧㄠˇ](ㄇㄧㄠˇ.md) | [秒](秒.md) |  | miǎo | [名]
1.稻穀的芒。《說文解字．禾部》：「秒，禾芒也。」如：「禾秒」、「麥秒」。
2.時間的名稱。六十秒為一分。
3.量詞：(1)計算時間的單位。六十秒為一分。如：「他花了十二秒時間跑完一百公尺。」(2)計算弧、角的單位。六十秒為一分，六十分為一度。(3)計算經緯度的單位。六十秒為一分。 |</v>
      </c>
    </row>
    <row r="2535" spans="1:44" hidden="1">
      <c r="A2535" s="1" t="s">
        <v>3525</v>
      </c>
      <c r="C2535" s="1">
        <v>1</v>
      </c>
      <c r="D2535" s="1" t="str">
        <f>"01408"</f>
        <v>01408</v>
      </c>
      <c r="E2535" s="1" t="s">
        <v>129</v>
      </c>
      <c r="F2535" s="1">
        <v>12</v>
      </c>
      <c r="G2535" s="1">
        <v>9</v>
      </c>
      <c r="H2535" s="1">
        <v>0</v>
      </c>
      <c r="I2535" s="1" t="s">
        <v>3518</v>
      </c>
      <c r="K2535" s="1" t="str">
        <f t="shared" si="160"/>
        <v>ㄇ</v>
      </c>
      <c r="L2535" s="1" t="str">
        <f t="shared" si="161"/>
        <v>ㄧ</v>
      </c>
      <c r="M2535" s="1" t="str">
        <f t="shared" ref="M2535:M2566" si="162">MID(I2535, 3, 1)</f>
        <v>ㄠ</v>
      </c>
      <c r="P2535" s="1" t="s">
        <v>20</v>
      </c>
      <c r="R2535" s="1" t="s">
        <v>3519</v>
      </c>
      <c r="V2535" s="1" t="s">
        <v>3526</v>
      </c>
      <c r="AR2535" s="1" t="str">
        <f t="shared" si="158"/>
        <v>| [ㄇㄧㄠˇ](ㄇㄧㄠˇ.md) | [渺](渺.md) |  | miǎo | [形]_x000D_
微小、細小。如：「微渺」、「渺小」。_x000D_
[副]_x000D_
模糊不清，難以預期掌握的。如：「渺若煙雲」、「音信渺茫」。_x000D_
[動]_x000D_
1.動盪、飄流。唐．吳融〈情〉詩：「依依脈脈兩如何，細似輕絲渺似波。」_x000D_
2.消逝。如：「仙人已渺」。《聊齋志異．卷七．甄后》：「入室，則女已渺，呼嫗問之，嫗亦不知所去。」 |</v>
      </c>
    </row>
    <row r="2536" spans="1:44" hidden="1">
      <c r="A2536" s="1" t="s">
        <v>3527</v>
      </c>
      <c r="C2536" s="1">
        <v>1</v>
      </c>
      <c r="D2536" s="1" t="str">
        <f>"01409"</f>
        <v>01409</v>
      </c>
      <c r="E2536" s="1" t="s">
        <v>725</v>
      </c>
      <c r="F2536" s="1">
        <v>15</v>
      </c>
      <c r="G2536" s="1">
        <v>9</v>
      </c>
      <c r="H2536" s="1">
        <v>0</v>
      </c>
      <c r="I2536" s="1" t="s">
        <v>3518</v>
      </c>
      <c r="K2536" s="1" t="str">
        <f t="shared" si="160"/>
        <v>ㄇ</v>
      </c>
      <c r="L2536" s="1" t="str">
        <f t="shared" si="161"/>
        <v>ㄧ</v>
      </c>
      <c r="M2536" s="1" t="str">
        <f t="shared" si="162"/>
        <v>ㄠ</v>
      </c>
      <c r="P2536" s="1" t="s">
        <v>20</v>
      </c>
      <c r="R2536" s="1" t="s">
        <v>3519</v>
      </c>
      <c r="V2536" s="1" t="s">
        <v>3528</v>
      </c>
      <c r="AR2536" s="1" t="str">
        <f t="shared" si="158"/>
        <v>| [ㄇㄧㄠˇ](ㄇㄧㄠˇ.md) | [緲](緲.md) |  | miǎo | 參見「縹緲」條。 |</v>
      </c>
    </row>
    <row r="2537" spans="1:44" hidden="1">
      <c r="A2537" s="1" t="s">
        <v>3529</v>
      </c>
      <c r="C2537" s="1">
        <v>1</v>
      </c>
      <c r="D2537" s="1" t="str">
        <f>"01410"</f>
        <v>01410</v>
      </c>
      <c r="E2537" s="1" t="s">
        <v>129</v>
      </c>
      <c r="F2537" s="1">
        <v>12</v>
      </c>
      <c r="G2537" s="1">
        <v>8</v>
      </c>
      <c r="H2537" s="1">
        <v>0</v>
      </c>
      <c r="I2537" s="1" t="s">
        <v>3518</v>
      </c>
      <c r="K2537" s="1" t="str">
        <f t="shared" si="160"/>
        <v>ㄇ</v>
      </c>
      <c r="L2537" s="1" t="str">
        <f t="shared" si="161"/>
        <v>ㄧ</v>
      </c>
      <c r="M2537" s="1" t="str">
        <f t="shared" si="162"/>
        <v>ㄠ</v>
      </c>
      <c r="P2537" s="1" t="s">
        <v>20</v>
      </c>
      <c r="R2537" s="1" t="s">
        <v>3519</v>
      </c>
      <c r="V2537" s="1" t="s">
        <v>3530</v>
      </c>
      <c r="AR2537" s="1" t="str">
        <f t="shared" si="158"/>
        <v>| [ㄇㄧㄠˇ](ㄇㄧㄠˇ.md) | [淼](淼.md) |  | miǎo | [形]
水流廣大的樣子。《楚辭．屈原．九章．哀郢》：「當陵陽之焉至兮，淼南渡之焉如。」 |</v>
      </c>
    </row>
    <row r="2538" spans="1:44" hidden="1">
      <c r="A2538" s="1" t="s">
        <v>3531</v>
      </c>
      <c r="C2538" s="1">
        <v>1</v>
      </c>
      <c r="D2538" s="1" t="str">
        <f>"01411"</f>
        <v>01411</v>
      </c>
      <c r="E2538" s="1" t="s">
        <v>37</v>
      </c>
      <c r="F2538" s="1">
        <v>18</v>
      </c>
      <c r="G2538" s="1">
        <v>14</v>
      </c>
      <c r="H2538" s="1">
        <v>0</v>
      </c>
      <c r="I2538" s="1" t="s">
        <v>3518</v>
      </c>
      <c r="K2538" s="1" t="str">
        <f t="shared" si="160"/>
        <v>ㄇ</v>
      </c>
      <c r="L2538" s="1" t="str">
        <f t="shared" si="161"/>
        <v>ㄧ</v>
      </c>
      <c r="M2538" s="1" t="str">
        <f t="shared" si="162"/>
        <v>ㄠ</v>
      </c>
      <c r="P2538" s="1" t="s">
        <v>20</v>
      </c>
      <c r="R2538" s="1" t="s">
        <v>3519</v>
      </c>
      <c r="V2538" s="1" t="s">
        <v>3532</v>
      </c>
      <c r="AR2538" s="1" t="str">
        <f t="shared" si="158"/>
        <v>| [ㄇㄧㄠˇ](ㄇㄧㄠˇ.md) | [藐](藐.md) |  | miǎo | [動]
輕視。如：「藐視」。《孟子．盡心下》：「說大人則藐之，勿視其巍巍然。」
[形]
幼小。《文選．潘岳．寡婦賦．序》：「孤女藐焉始孩，斯亦生民之至艱，而荼毒之極哀也。」
[副]
遙遠。《楚辭．屈原．九章．悲回風》：「藐蔓蔓之不可量兮，縹綿綿之不可紆。」《文選．庾信．哀江南賦．序》：「藐是流離，至于暮齒。」 |</v>
      </c>
    </row>
    <row r="2539" spans="1:44" hidden="1">
      <c r="A2539" s="1" t="s">
        <v>3533</v>
      </c>
      <c r="C2539" s="1">
        <v>1</v>
      </c>
      <c r="D2539" s="1" t="str">
        <f>"01412"</f>
        <v>01412</v>
      </c>
      <c r="E2539" s="1" t="s">
        <v>558</v>
      </c>
      <c r="F2539" s="1">
        <v>18</v>
      </c>
      <c r="G2539" s="1">
        <v>14</v>
      </c>
      <c r="H2539" s="1">
        <v>0</v>
      </c>
      <c r="I2539" s="1" t="s">
        <v>3518</v>
      </c>
      <c r="K2539" s="1" t="str">
        <f t="shared" si="160"/>
        <v>ㄇ</v>
      </c>
      <c r="L2539" s="1" t="str">
        <f t="shared" si="161"/>
        <v>ㄧ</v>
      </c>
      <c r="M2539" s="1" t="str">
        <f t="shared" si="162"/>
        <v>ㄠ</v>
      </c>
      <c r="P2539" s="1" t="s">
        <v>20</v>
      </c>
      <c r="R2539" s="1" t="s">
        <v>3519</v>
      </c>
      <c r="V2539" s="1" t="s">
        <v>3534</v>
      </c>
      <c r="AR2539" s="1" t="str">
        <f t="shared" si="158"/>
        <v>| [ㄇㄧㄠˇ](ㄇㄧㄠˇ.md) | [邈](邈.md) |  | miǎo | [形]
久遠、遙遠。《楚辭．屈原．九章．懷沙》：「湯禹久遠兮，邈而不可慕。」唐．李白〈古風〉詩五九首之一六：「吳水深萬丈，楚山邈千重。」
[動]
1.凌駕。《抱朴子．外篇．尚博》：「廄馬千駟，而騏驥有邈群之價。」唐．李白〈月下獨酌〉詩四首之一：「永結無情遊，相期邈雲漢。」
2.輕視。通「藐」。漢．劉向〈戰國策書錄〉：「上小堯舜，下邈三王。」晉．陸機〈謝平原內史表〉：「振景拔跡，顧邈同列。」 |</v>
      </c>
    </row>
    <row r="2540" spans="1:44" hidden="1">
      <c r="A2540" s="1" t="s">
        <v>3535</v>
      </c>
      <c r="C2540" s="1">
        <v>1</v>
      </c>
      <c r="D2540" s="1" t="str">
        <f>"01413"</f>
        <v>01413</v>
      </c>
      <c r="E2540" s="1" t="s">
        <v>534</v>
      </c>
      <c r="F2540" s="1">
        <v>7</v>
      </c>
      <c r="G2540" s="1">
        <v>4</v>
      </c>
      <c r="H2540" s="1">
        <v>0</v>
      </c>
      <c r="I2540" s="1" t="s">
        <v>3536</v>
      </c>
      <c r="K2540" s="1" t="str">
        <f t="shared" si="160"/>
        <v>ㄇ</v>
      </c>
      <c r="L2540" s="1" t="str">
        <f t="shared" si="161"/>
        <v>ㄧ</v>
      </c>
      <c r="M2540" s="1" t="str">
        <f t="shared" si="162"/>
        <v>ㄠ</v>
      </c>
      <c r="P2540" s="1" t="s">
        <v>20</v>
      </c>
      <c r="R2540" s="1" t="s">
        <v>3537</v>
      </c>
      <c r="V2540" s="1" t="s">
        <v>3538</v>
      </c>
      <c r="AR2540" s="1" t="str">
        <f t="shared" si="158"/>
        <v>| [ㄇㄧㄠˋ](ㄇㄧㄠˋ.md) | [妙](妙.md) |  | miào | [形]
1.美好。如：「美妙」、「絕妙好辭」。《漢書．卷九七．外戚傳上．孝武李夫人傳》：「平陽主因言延年有女弟，上乃召見之，實妙麗善舞。」宋．蘇軾〈紅梅〉詩三首之二：「也知造物含深意，故與施朱發妙姿。」
2.神奇、奇巧。如：「巧妙」、「奇妙」、「奧妙」、「玄妙」、「微妙」。
3.有趣的。如：「這個點子真妙！」
4.幼小。漢．王符《潛夫論．思賢》：「皇后兄弟，主婿外孫，年雖童妙，未脫桎梏」唐．錢起〈送傅管記赴蜀軍〉詩：「賜璧腰金應可料，才略縱橫年且妙。」
[名]
1.精微深奧的事理。《老子》第一章：「故常無欲，以觀其妙。」唐．白居易〈動靜交相養賦〉：「故老氏觀妙，顏氏知幾。」
2.姓。如明代有妙齡。 |</v>
      </c>
    </row>
    <row r="2541" spans="1:44" hidden="1">
      <c r="A2541" s="1" t="s">
        <v>3539</v>
      </c>
      <c r="C2541" s="1">
        <v>1</v>
      </c>
      <c r="D2541" s="1" t="str">
        <f>"01414"</f>
        <v>01414</v>
      </c>
      <c r="E2541" s="1" t="s">
        <v>447</v>
      </c>
      <c r="F2541" s="1">
        <v>15</v>
      </c>
      <c r="G2541" s="1">
        <v>12</v>
      </c>
      <c r="H2541" s="1">
        <v>0</v>
      </c>
      <c r="I2541" s="1" t="s">
        <v>3536</v>
      </c>
      <c r="K2541" s="1" t="str">
        <f t="shared" si="160"/>
        <v>ㄇ</v>
      </c>
      <c r="L2541" s="1" t="str">
        <f t="shared" si="161"/>
        <v>ㄧ</v>
      </c>
      <c r="M2541" s="1" t="str">
        <f t="shared" si="162"/>
        <v>ㄠ</v>
      </c>
      <c r="P2541" s="1" t="s">
        <v>20</v>
      </c>
      <c r="R2541" s="1" t="s">
        <v>3537</v>
      </c>
      <c r="V2541" s="1" t="s">
        <v>3540</v>
      </c>
      <c r="AR2541" s="1" t="str">
        <f t="shared" si="158"/>
        <v>| [ㄇㄧㄠˋ](ㄇㄧㄠˋ.md) | [廟](廟.md) |  | miào | [名]
1.古時用來祭祀祖宗的屋舍。如：「太廟」、「祖廟」、「家廟」。
2.供奉神佛的屋舍。如：「神廟」、「寺廟」、「土地廟」。 |</v>
      </c>
    </row>
    <row r="2542" spans="1:44" hidden="1">
      <c r="A2542" s="1" t="s">
        <v>3035</v>
      </c>
      <c r="C2542" s="1">
        <v>1</v>
      </c>
      <c r="D2542" s="1" t="str">
        <f>"01415"</f>
        <v>01415</v>
      </c>
      <c r="E2542" s="1" t="s">
        <v>725</v>
      </c>
      <c r="F2542" s="1">
        <v>17</v>
      </c>
      <c r="G2542" s="1">
        <v>11</v>
      </c>
      <c r="H2542" s="1">
        <v>2</v>
      </c>
      <c r="I2542" s="1" t="s">
        <v>3536</v>
      </c>
      <c r="K2542" s="1" t="str">
        <f t="shared" si="160"/>
        <v>ㄇ</v>
      </c>
      <c r="L2542" s="1" t="str">
        <f t="shared" si="161"/>
        <v>ㄧ</v>
      </c>
      <c r="M2542" s="1" t="str">
        <f t="shared" si="162"/>
        <v>ㄠ</v>
      </c>
      <c r="P2542" s="1" t="s">
        <v>20</v>
      </c>
      <c r="R2542" s="1" t="s">
        <v>3537</v>
      </c>
      <c r="V2542" s="1" t="s">
        <v>3541</v>
      </c>
      <c r="W2542" s="1" t="s">
        <v>3542</v>
      </c>
      <c r="AR2542" s="1" t="str">
        <f t="shared" si="158"/>
        <v>| [ㄇㄧㄠˋ](ㄇㄧㄠˋ.md) | [繆](繆.md) |  | miào | [名]
姓。如元代有繆主一。 |</v>
      </c>
    </row>
    <row r="2543" spans="1:44" hidden="1">
      <c r="A2543" s="1" t="s">
        <v>3035</v>
      </c>
      <c r="C2543" s="1">
        <v>1</v>
      </c>
      <c r="D2543" s="1" t="str">
        <f>"01416"</f>
        <v>01416</v>
      </c>
      <c r="E2543" s="1" t="s">
        <v>725</v>
      </c>
      <c r="F2543" s="1">
        <v>17</v>
      </c>
      <c r="G2543" s="1">
        <v>11</v>
      </c>
      <c r="H2543" s="1">
        <v>3</v>
      </c>
      <c r="I2543" s="1" t="s">
        <v>3543</v>
      </c>
      <c r="K2543" s="1" t="str">
        <f t="shared" si="160"/>
        <v>ㄇ</v>
      </c>
      <c r="L2543" s="1" t="str">
        <f t="shared" si="161"/>
        <v>ㄧ</v>
      </c>
      <c r="M2543" s="1" t="str">
        <f t="shared" si="162"/>
        <v>ㄡ</v>
      </c>
      <c r="P2543" s="1" t="s">
        <v>20</v>
      </c>
      <c r="R2543" s="1" t="s">
        <v>3544</v>
      </c>
      <c r="V2543" s="1" t="s">
        <v>3545</v>
      </c>
      <c r="W2543" s="1" t="s">
        <v>3546</v>
      </c>
      <c r="AR2543" s="1" t="str">
        <f t="shared" si="158"/>
        <v>| [ㄇㄧㄡˋ](ㄇㄧㄡˋ.md) | [繆](繆.md) |  | miù | [名]
錯誤。通「謬」。《漢書．卷五六．董仲舒傳》：「今陰陽錯繆，氛氣充塞，群生寡遂，黎民未濟。」
[形]
錯誤的。通「謬」。如：「繆論」。《莊子．盜跖》：「多辭繆說，不耕而食，不織而衣。」
[副]
詐偽。《漢書．卷五七．司馬相如傳上》：「臨邛令繆為恭敬，日往朝相如。」 |</v>
      </c>
    </row>
    <row r="2544" spans="1:44" hidden="1">
      <c r="A2544" s="1" t="s">
        <v>3547</v>
      </c>
      <c r="C2544" s="1">
        <v>1</v>
      </c>
      <c r="D2544" s="1" t="str">
        <f>"01417"</f>
        <v>01417</v>
      </c>
      <c r="E2544" s="1" t="s">
        <v>331</v>
      </c>
      <c r="F2544" s="1">
        <v>18</v>
      </c>
      <c r="G2544" s="1">
        <v>11</v>
      </c>
      <c r="H2544" s="1">
        <v>0</v>
      </c>
      <c r="I2544" s="1" t="s">
        <v>3543</v>
      </c>
      <c r="K2544" s="1" t="str">
        <f t="shared" si="160"/>
        <v>ㄇ</v>
      </c>
      <c r="L2544" s="1" t="str">
        <f t="shared" si="161"/>
        <v>ㄧ</v>
      </c>
      <c r="M2544" s="1" t="str">
        <f t="shared" si="162"/>
        <v>ㄡ</v>
      </c>
      <c r="P2544" s="1" t="s">
        <v>20</v>
      </c>
      <c r="R2544" s="1" t="s">
        <v>3544</v>
      </c>
      <c r="V2544" s="1" t="s">
        <v>3548</v>
      </c>
      <c r="AR2544" s="1" t="str">
        <f t="shared" si="158"/>
        <v>| [ㄇㄧㄡˋ](ㄇㄧㄡˋ.md) | [謬](謬.md) |  | miù | [形]
1.不實的、荒唐的。如：「荒謬」。《史記．卷七．項羽本紀．太史公曰》：「乃引『天亡我，非用兵之罪也』，豈不謬哉！」《舊五代史．卷一〇五．漢書．宗室傳．湘陰公贇傳》：「馮道謂曰：『吾平生不為謬語。』」
2.亂。《禮記．中庸》：「考諸三王而不謬。」
[名]
1.錯誤。宋．曾鞏〈說苑目錄序〉：「正其脫謬，疑者闕之。」
2.狂妄的人。三國魏．曹丕〈典論．論郤儉等事〉：「古今愚謬，豈唯一人哉？」
[副]
偽詐。《史記．卷七九．范雎蔡澤傳》：「應侯知蔡澤之欲困己以說，復謬曰：『何為不可。』」
[動]
差失。《漢書．卷六二．司馬遷傳》：「差以毫釐，謬以千里。」 |</v>
      </c>
    </row>
    <row r="2545" spans="1:44" hidden="1">
      <c r="A2545" s="1" t="s">
        <v>3549</v>
      </c>
      <c r="C2545" s="1">
        <v>1</v>
      </c>
      <c r="D2545" s="1" t="str">
        <f>"01418"</f>
        <v>01418</v>
      </c>
      <c r="E2545" s="1" t="s">
        <v>624</v>
      </c>
      <c r="F2545" s="1">
        <v>3</v>
      </c>
      <c r="G2545" s="1">
        <v>0</v>
      </c>
      <c r="H2545" s="1">
        <v>0</v>
      </c>
      <c r="I2545" s="1" t="s">
        <v>3550</v>
      </c>
      <c r="K2545" s="1" t="str">
        <f t="shared" si="160"/>
        <v>ㄇ</v>
      </c>
      <c r="L2545" s="1" t="str">
        <f t="shared" si="161"/>
        <v>ㄧ</v>
      </c>
      <c r="M2545" s="1" t="str">
        <f t="shared" si="162"/>
        <v>ㄢ</v>
      </c>
      <c r="P2545" s="1" t="s">
        <v>20</v>
      </c>
      <c r="R2545" s="1" t="s">
        <v>3551</v>
      </c>
      <c r="V2545" s="1" t="s">
        <v>3552</v>
      </c>
      <c r="AR2545" s="1" t="str">
        <f t="shared" si="158"/>
        <v>| [ㄇㄧㄢˊ](ㄇㄧㄢˊ.md) | [宀](宀.md) |  | mián | [名]
1.古代一種四面有牆，上有覆蓋，內有堂有室的深屋。《說文解字．宀部》：「宀，交覆深屋也。」清．段玉裁．注：「古者屋四注，東西與南北，皆交覆也，有堂有屋，是為深屋。」
2.二一四部首之一。 |</v>
      </c>
    </row>
    <row r="2546" spans="1:44" hidden="1">
      <c r="A2546" s="1" t="s">
        <v>3553</v>
      </c>
      <c r="C2546" s="1">
        <v>1</v>
      </c>
      <c r="D2546" s="1" t="str">
        <f>"01419"</f>
        <v>01419</v>
      </c>
      <c r="E2546" s="1" t="s">
        <v>1015</v>
      </c>
      <c r="F2546" s="1">
        <v>10</v>
      </c>
      <c r="G2546" s="1">
        <v>5</v>
      </c>
      <c r="H2546" s="1">
        <v>0</v>
      </c>
      <c r="I2546" s="1" t="s">
        <v>3550</v>
      </c>
      <c r="K2546" s="1" t="str">
        <f t="shared" si="160"/>
        <v>ㄇ</v>
      </c>
      <c r="L2546" s="1" t="str">
        <f t="shared" si="161"/>
        <v>ㄧ</v>
      </c>
      <c r="M2546" s="1" t="str">
        <f t="shared" si="162"/>
        <v>ㄢ</v>
      </c>
      <c r="P2546" s="1" t="s">
        <v>20</v>
      </c>
      <c r="R2546" s="1" t="s">
        <v>3551</v>
      </c>
      <c r="V2546" s="1" t="s">
        <v>3554</v>
      </c>
      <c r="AR2546" s="1" t="str">
        <f t="shared" si="158"/>
        <v>| [ㄇㄧㄢˊ](ㄇㄧㄢˊ.md) | [眠](眠.md) |  | mián | [動]
1.睡。如：「安眠」。唐．韋應物〈秋夜寄丘二十二員外〉詩：「山空松子落，幽人應未眠。」
2.昆蟲因蛻皮或入冬後藏伏不動不食。如：「蠶眠」、「冬眠」。
3.裝死。《山海經．東山經》：「有獸焉，其狀如菟而鳥喙，鴟目蛇尾，見人則眠。」
[形]
1.偃伏的。如：「眠柳」。
2.橫擺的、平放的。如：「眠琴」。 |</v>
      </c>
    </row>
    <row r="2547" spans="1:44" hidden="1">
      <c r="A2547" s="1" t="s">
        <v>3555</v>
      </c>
      <c r="C2547" s="1">
        <v>1</v>
      </c>
      <c r="D2547" s="1" t="str">
        <f>"01419A"</f>
        <v>01419A</v>
      </c>
      <c r="E2547" s="1" t="s">
        <v>1015</v>
      </c>
      <c r="F2547" s="1">
        <v>15</v>
      </c>
      <c r="G2547" s="1">
        <v>10</v>
      </c>
      <c r="H2547" s="1">
        <v>4</v>
      </c>
      <c r="I2547" s="1" t="s">
        <v>3550</v>
      </c>
      <c r="K2547" s="1" t="str">
        <f t="shared" si="160"/>
        <v>ㄇ</v>
      </c>
      <c r="L2547" s="1" t="str">
        <f t="shared" si="161"/>
        <v>ㄧ</v>
      </c>
      <c r="M2547" s="1" t="str">
        <f t="shared" si="162"/>
        <v>ㄢ</v>
      </c>
      <c r="P2547" s="1" t="s">
        <v>20</v>
      </c>
      <c r="R2547" s="1" t="s">
        <v>3551</v>
      </c>
      <c r="V2547" s="1" t="s">
        <v>3556</v>
      </c>
      <c r="W2547" s="1" t="s">
        <v>3557</v>
      </c>
      <c r="AR2547" s="1" t="str">
        <f t="shared" si="158"/>
        <v>| [ㄇㄧㄢˊ](ㄇㄧㄢˊ.md) | [瞑](瞑.md) |  | mián | 睡，同「眠」。《文選．嵇康．養生論》：「內懷殷憂，則達旦不瞑。」 |</v>
      </c>
    </row>
    <row r="2548" spans="1:44" hidden="1">
      <c r="A2548" s="1" t="s">
        <v>3558</v>
      </c>
      <c r="C2548" s="1">
        <v>1</v>
      </c>
      <c r="D2548" s="1" t="str">
        <f>"01420"</f>
        <v>01420</v>
      </c>
      <c r="E2548" s="1" t="s">
        <v>139</v>
      </c>
      <c r="F2548" s="1">
        <v>12</v>
      </c>
      <c r="G2548" s="1">
        <v>8</v>
      </c>
      <c r="H2548" s="1">
        <v>0</v>
      </c>
      <c r="I2548" s="1" t="s">
        <v>3550</v>
      </c>
      <c r="K2548" s="1" t="str">
        <f t="shared" si="160"/>
        <v>ㄇ</v>
      </c>
      <c r="L2548" s="1" t="str">
        <f t="shared" si="161"/>
        <v>ㄧ</v>
      </c>
      <c r="M2548" s="1" t="str">
        <f t="shared" si="162"/>
        <v>ㄢ</v>
      </c>
      <c r="P2548" s="1" t="s">
        <v>20</v>
      </c>
      <c r="R2548" s="1" t="s">
        <v>3551</v>
      </c>
      <c r="V2548" s="1" t="s">
        <v>3559</v>
      </c>
      <c r="AR2548" s="1" t="str">
        <f t="shared" si="158"/>
        <v>| [ㄇㄧㄢˊ](ㄇㄧㄢˊ.md) | [棉](棉.md) |  | mián | [名]
植物名。木棉科「木棉」和錦葵科「棉花」、「陸地棉」及「草棉」等種子具棉毛之植物的統稱。參見「木棉」、「草棉」條。
[形]
1.用棉絮製的。如：「棉衣」、「棉被」。
2.微薄。同「綿」。如：「棉薄」、「棉力」、「棉薄之力」。清．徐珂《清稗類鈔．棍騙類．騙押櫃銀》：「吾力棉，未能為子有所籌。」《官場現形記》第三三回：「兄弟只好勉竭棉力，捐一百銀子，附附驥的了。」 |</v>
      </c>
    </row>
    <row r="2549" spans="1:44" hidden="1">
      <c r="A2549" s="1" t="s">
        <v>3560</v>
      </c>
      <c r="C2549" s="1">
        <v>1</v>
      </c>
      <c r="D2549" s="1" t="str">
        <f>"01421"</f>
        <v>01421</v>
      </c>
      <c r="E2549" s="1" t="s">
        <v>725</v>
      </c>
      <c r="F2549" s="1">
        <v>14</v>
      </c>
      <c r="G2549" s="1">
        <v>8</v>
      </c>
      <c r="H2549" s="1">
        <v>0</v>
      </c>
      <c r="I2549" s="1" t="s">
        <v>3550</v>
      </c>
      <c r="K2549" s="1" t="str">
        <f t="shared" si="160"/>
        <v>ㄇ</v>
      </c>
      <c r="L2549" s="1" t="str">
        <f t="shared" si="161"/>
        <v>ㄧ</v>
      </c>
      <c r="M2549" s="1" t="str">
        <f t="shared" si="162"/>
        <v>ㄢ</v>
      </c>
      <c r="P2549" s="1" t="s">
        <v>20</v>
      </c>
      <c r="R2549" s="1" t="s">
        <v>3551</v>
      </c>
      <c r="V2549" s="1" t="s">
        <v>3561</v>
      </c>
      <c r="AR2549" s="1" t="str">
        <f t="shared" si="158"/>
        <v>| [ㄇㄧㄢˊ](ㄇㄧㄢˊ.md) | [綿](綿.md) |  | mián | [副]
1.連續不斷。如：「綿延」、「連綿」。
2.細密的。如：「綿密」。
[名]
1.精細的絲絮。如：「絲綿」。《晉書．卷二四．職官志》：「秋絹二百匹，綿二百斤。」唐．韓愈〈河南令張君墓誌銘〉：「度支符州，折民戶租，歲徵綿六千屯。」
2.棉花、棉絮，同「棉」。明．歸有光〈先妣事略〉：「孺人之吳家橋，則治木綿，入則，則緝纑，燈火熒熒，每至夜分。」
3.形狀、質地像綿的物體。如：「海綿」。宋．陸游〈醉中懷眉山舊游〉詩：「想見東郊攜手日，海棠如雪柳飛綿。」
4.《詩經．大雅》的篇名。共九章。根據〈詩序〉：「〈綿〉，文王之興，本由大王也。」乃嘉美太王及文王之詩。首章二句為：「綿綿瓜瓞，民之初生。」
5.姓。如晉朝有綿思。
[形]
微薄、微弱。同「棉」。如：「綿薄之力」。《漢書．卷六四上．嚴朱吾丘主父徐嚴終王賈傳．嚴助》：「且越人綿力薄材，不能陸戰。」《新唐書．卷一五四．列傳．李晟》：「淮南兵綿弱，鄆人素易之。」 |</v>
      </c>
    </row>
    <row r="2550" spans="1:44" hidden="1">
      <c r="A2550" s="1" t="s">
        <v>3562</v>
      </c>
      <c r="C2550" s="1">
        <v>1</v>
      </c>
      <c r="D2550" s="1" t="str">
        <f>"01422"</f>
        <v>01422</v>
      </c>
      <c r="E2550" s="1" t="s">
        <v>1015</v>
      </c>
      <c r="F2550" s="1">
        <v>19</v>
      </c>
      <c r="G2550" s="1">
        <v>14</v>
      </c>
      <c r="H2550" s="1">
        <v>1</v>
      </c>
      <c r="I2550" s="1" t="s">
        <v>3550</v>
      </c>
      <c r="K2550" s="1" t="str">
        <f t="shared" si="160"/>
        <v>ㄇ</v>
      </c>
      <c r="L2550" s="1" t="str">
        <f t="shared" si="161"/>
        <v>ㄧ</v>
      </c>
      <c r="M2550" s="1" t="str">
        <f t="shared" si="162"/>
        <v>ㄢ</v>
      </c>
      <c r="P2550" s="1" t="s">
        <v>20</v>
      </c>
      <c r="R2550" s="1" t="s">
        <v>3551</v>
      </c>
      <c r="V2550" s="1" t="s">
        <v>3563</v>
      </c>
      <c r="W2550" s="1" t="s">
        <v>3564</v>
      </c>
      <c r="AR2550" s="1" t="str">
        <f t="shared" si="158"/>
        <v>| [ㄇㄧㄢˊ](ㄇㄧㄢˊ.md) | [矊](矊.md) |  | mián | [形]
1.瞳仁黝黑的樣子。《廣韻．平聲．仙韻》：「矊，瞳子黑。」
2.含情脈脈的樣子。《楚辭．宋玉．招魂》：「靡顏膩理，遺視矊些。」 |</v>
      </c>
    </row>
    <row r="2551" spans="1:44" hidden="1">
      <c r="A2551" s="1" t="s">
        <v>3565</v>
      </c>
      <c r="C2551" s="1">
        <v>1</v>
      </c>
      <c r="D2551" s="1" t="str">
        <f>"01423"</f>
        <v>01423</v>
      </c>
      <c r="E2551" s="1" t="s">
        <v>534</v>
      </c>
      <c r="F2551" s="1">
        <v>12</v>
      </c>
      <c r="G2551" s="1">
        <v>9</v>
      </c>
      <c r="H2551" s="1">
        <v>1</v>
      </c>
      <c r="I2551" s="1" t="s">
        <v>3550</v>
      </c>
      <c r="K2551" s="1" t="str">
        <f t="shared" si="160"/>
        <v>ㄇ</v>
      </c>
      <c r="L2551" s="1" t="str">
        <f t="shared" si="161"/>
        <v>ㄧ</v>
      </c>
      <c r="M2551" s="1" t="str">
        <f t="shared" si="162"/>
        <v>ㄢ</v>
      </c>
      <c r="P2551" s="1" t="s">
        <v>20</v>
      </c>
      <c r="R2551" s="1" t="s">
        <v>3551</v>
      </c>
      <c r="V2551" s="1" t="s">
        <v>3566</v>
      </c>
      <c r="W2551" s="1" t="s">
        <v>3567</v>
      </c>
      <c r="AR2551" s="1" t="str">
        <f t="shared" si="158"/>
        <v>| [ㄇㄧㄢˊ](ㄇㄧㄢˊ.md) | [媔](媔.md) |  | mián | [形]
眼睛美麗的樣子。《集韻．平聲．僊韻》：「媔，目美貌。」《楚辭．屈原．大招》：「青色直眉，美目媔只。」 |</v>
      </c>
    </row>
    <row r="2552" spans="1:44" hidden="1">
      <c r="A2552" s="1" t="s">
        <v>3568</v>
      </c>
      <c r="C2552" s="1">
        <v>1</v>
      </c>
      <c r="D2552" s="1" t="str">
        <f>"01424"</f>
        <v>01424</v>
      </c>
      <c r="E2552" s="1" t="s">
        <v>679</v>
      </c>
      <c r="F2552" s="1">
        <v>15</v>
      </c>
      <c r="G2552" s="1">
        <v>9</v>
      </c>
      <c r="H2552" s="1">
        <v>0</v>
      </c>
      <c r="I2552" s="1" t="s">
        <v>3550</v>
      </c>
      <c r="K2552" s="1" t="str">
        <f t="shared" si="160"/>
        <v>ㄇ</v>
      </c>
      <c r="L2552" s="1" t="str">
        <f t="shared" si="161"/>
        <v>ㄧ</v>
      </c>
      <c r="M2552" s="1" t="str">
        <f t="shared" si="162"/>
        <v>ㄢ</v>
      </c>
      <c r="P2552" s="1" t="s">
        <v>20</v>
      </c>
      <c r="R2552" s="1" t="s">
        <v>3551</v>
      </c>
      <c r="V2552" s="1" t="s">
        <v>3569</v>
      </c>
      <c r="AR2552" s="1" t="str">
        <f t="shared" si="158"/>
        <v>| [ㄇㄧㄢˊ](ㄇㄧㄢˊ.md) | [蝒](蝒.md) |  | mián | [名]
動物名。即蚱蟬。昆蟲綱蟬科。體長約四公分，色黑，翅膀透明。夏天早上始鳴。喜棲息橘子樹上。明．李時珍《本草綱目．卷四一．蟲部．蚱蟬》：「時珍曰：『夏月始鳴，大而色黑者，蚱蟬也。又曰蝒，曰馬蜩。』」 |</v>
      </c>
    </row>
    <row r="2553" spans="1:44" hidden="1">
      <c r="A2553" s="1" t="s">
        <v>3570</v>
      </c>
      <c r="C2553" s="1">
        <v>1</v>
      </c>
      <c r="D2553" s="1" t="str">
        <f>"01425"</f>
        <v>01425</v>
      </c>
      <c r="E2553" s="1" t="s">
        <v>139</v>
      </c>
      <c r="F2553" s="1">
        <v>19</v>
      </c>
      <c r="G2553" s="1">
        <v>15</v>
      </c>
      <c r="H2553" s="1">
        <v>0</v>
      </c>
      <c r="I2553" s="1" t="s">
        <v>3550</v>
      </c>
      <c r="K2553" s="1" t="str">
        <f t="shared" si="160"/>
        <v>ㄇ</v>
      </c>
      <c r="L2553" s="1" t="str">
        <f t="shared" si="161"/>
        <v>ㄧ</v>
      </c>
      <c r="M2553" s="1" t="str">
        <f t="shared" si="162"/>
        <v>ㄢ</v>
      </c>
      <c r="P2553" s="1" t="s">
        <v>20</v>
      </c>
      <c r="R2553" s="1" t="s">
        <v>3551</v>
      </c>
      <c r="V2553" s="1" t="s">
        <v>3571</v>
      </c>
      <c r="AR2553" s="1" t="str">
        <f t="shared" si="158"/>
        <v>| [ㄇㄧㄢˊ](ㄇㄧㄢˊ.md) | [櫋](櫋.md) |  | mián | [名]
屋檐的橫板。《說文解字．木部》：「櫋，屋櫋聯也。」《楚辭．屈原．九歌．湘夫人》：「罔薛荔兮為帷，擗蕙櫋兮既張。」 |</v>
      </c>
    </row>
    <row r="2554" spans="1:44" hidden="1">
      <c r="A2554" s="1" t="s">
        <v>3572</v>
      </c>
      <c r="C2554" s="1">
        <v>1</v>
      </c>
      <c r="D2554" s="1" t="str">
        <f>"01426"</f>
        <v>01426</v>
      </c>
      <c r="E2554" s="1" t="s">
        <v>789</v>
      </c>
      <c r="F2554" s="1">
        <v>4</v>
      </c>
      <c r="G2554" s="1">
        <v>3</v>
      </c>
      <c r="H2554" s="1">
        <v>0</v>
      </c>
      <c r="I2554" s="1" t="s">
        <v>3573</v>
      </c>
      <c r="K2554" s="1" t="str">
        <f t="shared" si="160"/>
        <v>ㄇ</v>
      </c>
      <c r="L2554" s="1" t="str">
        <f t="shared" si="161"/>
        <v>ㄧ</v>
      </c>
      <c r="M2554" s="1" t="str">
        <f t="shared" si="162"/>
        <v>ㄢ</v>
      </c>
      <c r="P2554" s="1" t="s">
        <v>20</v>
      </c>
      <c r="R2554" s="1" t="s">
        <v>3574</v>
      </c>
      <c r="V2554" s="1" t="s">
        <v>3575</v>
      </c>
      <c r="AR2554" s="1" t="str">
        <f t="shared" si="158"/>
        <v>| [ㄇㄧㄢˇ](ㄇㄧㄢˇ.md) | [丏](丏.md) |  | miǎn | [動]
壅蔽不見。《說文解字．丏部》：「丏，不見也。」
[名]
古代避箭的短牆。《字彙．一部》：「丏，避箭短牆也。」 |</v>
      </c>
    </row>
    <row r="2555" spans="1:44" hidden="1">
      <c r="A2555" s="1" t="s">
        <v>3576</v>
      </c>
      <c r="C2555" s="1">
        <v>1</v>
      </c>
      <c r="D2555" s="1" t="str">
        <f>"01427"</f>
        <v>01427</v>
      </c>
      <c r="E2555" s="1" t="s">
        <v>129</v>
      </c>
      <c r="F2555" s="1">
        <v>7</v>
      </c>
      <c r="G2555" s="1">
        <v>4</v>
      </c>
      <c r="H2555" s="1">
        <v>0</v>
      </c>
      <c r="I2555" s="1" t="s">
        <v>3573</v>
      </c>
      <c r="K2555" s="1" t="str">
        <f t="shared" si="160"/>
        <v>ㄇ</v>
      </c>
      <c r="L2555" s="1" t="str">
        <f t="shared" si="161"/>
        <v>ㄧ</v>
      </c>
      <c r="M2555" s="1" t="str">
        <f t="shared" si="162"/>
        <v>ㄢ</v>
      </c>
      <c r="P2555" s="1" t="s">
        <v>20</v>
      </c>
      <c r="R2555" s="1" t="s">
        <v>3574</v>
      </c>
      <c r="V2555" s="1" t="s">
        <v>3577</v>
      </c>
      <c r="AR2555" s="1" t="str">
        <f t="shared" si="158"/>
        <v>| [ㄇㄧㄢˇ](ㄇㄧㄢˇ.md) | [沔](沔.md) |  | miǎn | [名]
河川名。在大陸地區陝西省沔縣境，為漢水的上流。
[形]
水流充滿的樣子。《詩經．小雅．沔水》：「沔彼流水，朝宗于海。」唐．李白〈送黃鐘之鄱陽謁張使君序〉：「湖水演沔，勗哉是行。」 |</v>
      </c>
    </row>
    <row r="2556" spans="1:44" hidden="1">
      <c r="A2556" s="1" t="s">
        <v>3578</v>
      </c>
      <c r="C2556" s="1">
        <v>1</v>
      </c>
      <c r="D2556" s="1" t="str">
        <f>"01428"</f>
        <v>01428</v>
      </c>
      <c r="E2556" s="1" t="s">
        <v>1015</v>
      </c>
      <c r="F2556" s="1">
        <v>9</v>
      </c>
      <c r="G2556" s="1">
        <v>4</v>
      </c>
      <c r="H2556" s="1">
        <v>0</v>
      </c>
      <c r="I2556" s="1" t="s">
        <v>3573</v>
      </c>
      <c r="K2556" s="1" t="str">
        <f t="shared" si="160"/>
        <v>ㄇ</v>
      </c>
      <c r="L2556" s="1" t="str">
        <f t="shared" si="161"/>
        <v>ㄧ</v>
      </c>
      <c r="M2556" s="1" t="str">
        <f t="shared" si="162"/>
        <v>ㄢ</v>
      </c>
      <c r="P2556" s="1" t="s">
        <v>20</v>
      </c>
      <c r="R2556" s="1" t="s">
        <v>3574</v>
      </c>
      <c r="V2556" s="1" t="s">
        <v>3579</v>
      </c>
      <c r="AR2556" s="1" t="str">
        <f t="shared" si="158"/>
        <v>| [ㄇㄧㄢˇ](ㄇㄧㄢˇ.md) | [眄](眄.md) |  | miǎn | [動]_x000D_
1.斜視。《樂府詩集．卷三九．相和歌辭十四．古辭．豔歌行》：「語卿且勿眄，水清石自見。」唐．張廷珪〈彈棋賦〉：「夫局勢將畢，觀者逾樂。兩敵相持，三顧而作。劃去者箭飛，分索者星落。眄四隅之豁然，若萬里之清廓。」_x000D_
2.泛指望、看。唐．李冶〈感興〉詩：「仰看明月翻含意，俯眄流波欲寄詞。」《北史．卷四三．列傳．張彝》：「彝少而豪放，出入殿庭，步眄高上，無所顧忌。」 |</v>
      </c>
    </row>
    <row r="2557" spans="1:44" hidden="1">
      <c r="A2557" s="1" t="s">
        <v>3580</v>
      </c>
      <c r="C2557" s="1">
        <v>1</v>
      </c>
      <c r="D2557" s="1" t="str">
        <f>"01429"</f>
        <v>01429</v>
      </c>
      <c r="E2557" s="1" t="s">
        <v>3581</v>
      </c>
      <c r="F2557" s="1">
        <v>7</v>
      </c>
      <c r="G2557" s="1">
        <v>5</v>
      </c>
      <c r="H2557" s="1">
        <v>1</v>
      </c>
      <c r="I2557" s="1" t="s">
        <v>3573</v>
      </c>
      <c r="K2557" s="1" t="str">
        <f t="shared" si="160"/>
        <v>ㄇ</v>
      </c>
      <c r="L2557" s="1" t="str">
        <f t="shared" si="161"/>
        <v>ㄧ</v>
      </c>
      <c r="M2557" s="1" t="str">
        <f t="shared" si="162"/>
        <v>ㄢ</v>
      </c>
      <c r="P2557" s="1" t="s">
        <v>20</v>
      </c>
      <c r="R2557" s="1" t="s">
        <v>3574</v>
      </c>
      <c r="V2557" s="1" t="s">
        <v>3582</v>
      </c>
      <c r="W2557" s="1" t="s">
        <v>3583</v>
      </c>
      <c r="AR2557" s="1" t="str">
        <f t="shared" si="158"/>
        <v>| [ㄇㄧㄢˇ](ㄇㄧㄢˇ.md) | [免](免.md) |  | miǎn | [動]
1.避開、脫逃。如：「避免」、「倖免於難」。《禮記．曲禮上》：「臨財毋苟得，臨難毋苟免。」
2.去除、省去。如：「免除」、「免費」、「減免」、「免稅」。
3.脫去。《左傳．哀公十六年》：「而又掩面以絕民望，不亦甚乎，乃免冑而進。」
4.罷黜、革除。如：「罷免」、「黜免」。《漢書．卷四．文帝紀》：「遂免丞相勃，遣就國。」
[名]
姓。如漢代有免乙。 |</v>
      </c>
    </row>
    <row r="2558" spans="1:44" hidden="1">
      <c r="A2558" s="1" t="s">
        <v>3584</v>
      </c>
      <c r="C2558" s="1">
        <v>1</v>
      </c>
      <c r="D2558" s="1" t="str">
        <f>"01430"</f>
        <v>01430</v>
      </c>
      <c r="E2558" s="1" t="s">
        <v>114</v>
      </c>
      <c r="F2558" s="1">
        <v>9</v>
      </c>
      <c r="G2558" s="1">
        <v>7</v>
      </c>
      <c r="H2558" s="1">
        <v>2</v>
      </c>
      <c r="I2558" s="1" t="s">
        <v>3573</v>
      </c>
      <c r="K2558" s="1" t="str">
        <f t="shared" si="160"/>
        <v>ㄇ</v>
      </c>
      <c r="L2558" s="1" t="str">
        <f t="shared" si="161"/>
        <v>ㄧ</v>
      </c>
      <c r="M2558" s="1" t="str">
        <f t="shared" si="162"/>
        <v>ㄢ</v>
      </c>
      <c r="P2558" s="1" t="s">
        <v>20</v>
      </c>
      <c r="R2558" s="1" t="s">
        <v>3574</v>
      </c>
      <c r="V2558" s="1" t="s">
        <v>3585</v>
      </c>
      <c r="W2558" s="1" t="s">
        <v>3586</v>
      </c>
      <c r="AR2558" s="1" t="str">
        <f t="shared" si="158"/>
        <v>| [ㄇㄧㄢˇ](ㄇㄧㄢˇ.md) | [俛](俛.md) |  | miǎn | [形]
勤勞、努力。同「勉」。《禮記．表記》：「俛焉日有孳孳，斃而后已。」 |</v>
      </c>
    </row>
    <row r="2559" spans="1:44" hidden="1">
      <c r="A2559" s="1" t="s">
        <v>3587</v>
      </c>
      <c r="C2559" s="1">
        <v>1</v>
      </c>
      <c r="D2559" s="1" t="str">
        <f>"01431"</f>
        <v>01431</v>
      </c>
      <c r="E2559" s="1" t="s">
        <v>245</v>
      </c>
      <c r="F2559" s="1">
        <v>9</v>
      </c>
      <c r="G2559" s="1">
        <v>7</v>
      </c>
      <c r="H2559" s="1">
        <v>0</v>
      </c>
      <c r="I2559" s="1" t="s">
        <v>3573</v>
      </c>
      <c r="K2559" s="1" t="str">
        <f t="shared" si="160"/>
        <v>ㄇ</v>
      </c>
      <c r="L2559" s="1" t="str">
        <f t="shared" si="161"/>
        <v>ㄧ</v>
      </c>
      <c r="M2559" s="1" t="str">
        <f t="shared" si="162"/>
        <v>ㄢ</v>
      </c>
      <c r="P2559" s="1" t="s">
        <v>20</v>
      </c>
      <c r="R2559" s="1" t="s">
        <v>3574</v>
      </c>
      <c r="V2559" s="1" t="s">
        <v>3588</v>
      </c>
      <c r="AR2559" s="1" t="str">
        <f t="shared" si="158"/>
        <v>| [ㄇㄧㄢˇ](ㄇㄧㄢˇ.md) | [勉](勉.md) |  | miǎn | [動]
1.強迫人去做能力不夠、或不願意做的事。如：「勉強」。
2.鼓勵。如：「勸勉」、「嘉勉」、「互勉」。
[形]
勤奮、努力。如：「勤勉」、「奮勉」。 |</v>
      </c>
    </row>
    <row r="2560" spans="1:44" hidden="1">
      <c r="A2560" s="1" t="s">
        <v>3589</v>
      </c>
      <c r="C2560" s="1">
        <v>1</v>
      </c>
      <c r="D2560" s="1" t="str">
        <f>"01432"</f>
        <v>01432</v>
      </c>
      <c r="E2560" s="1" t="s">
        <v>534</v>
      </c>
      <c r="F2560" s="1">
        <v>10</v>
      </c>
      <c r="G2560" s="1">
        <v>7</v>
      </c>
      <c r="H2560" s="1">
        <v>2</v>
      </c>
      <c r="I2560" s="1" t="s">
        <v>3573</v>
      </c>
      <c r="K2560" s="1" t="str">
        <f t="shared" si="160"/>
        <v>ㄇ</v>
      </c>
      <c r="L2560" s="1" t="str">
        <f t="shared" si="161"/>
        <v>ㄧ</v>
      </c>
      <c r="M2560" s="1" t="str">
        <f t="shared" si="162"/>
        <v>ㄢ</v>
      </c>
      <c r="P2560" s="1" t="s">
        <v>20</v>
      </c>
      <c r="R2560" s="1" t="s">
        <v>3574</v>
      </c>
      <c r="V2560" s="1" t="s">
        <v>3590</v>
      </c>
      <c r="W2560" s="1" t="s">
        <v>3591</v>
      </c>
      <c r="AR2560" s="1" t="str">
        <f t="shared" si="158"/>
        <v>| [ㄇㄧㄢˇ](ㄇㄧㄢˇ.md) | [娩](娩.md) |  | miǎn | [動]
婦女生產。如：「分娩」。 |</v>
      </c>
    </row>
    <row r="2561" spans="1:44" hidden="1">
      <c r="A2561" s="1" t="s">
        <v>3592</v>
      </c>
      <c r="C2561" s="1">
        <v>1</v>
      </c>
      <c r="D2561" s="1" t="str">
        <f>"01433"</f>
        <v>01433</v>
      </c>
      <c r="E2561" s="1" t="s">
        <v>2729</v>
      </c>
      <c r="F2561" s="1">
        <v>11</v>
      </c>
      <c r="G2561" s="1">
        <v>9</v>
      </c>
      <c r="H2561" s="1">
        <v>0</v>
      </c>
      <c r="I2561" s="1" t="s">
        <v>3573</v>
      </c>
      <c r="K2561" s="1" t="str">
        <f t="shared" si="160"/>
        <v>ㄇ</v>
      </c>
      <c r="L2561" s="1" t="str">
        <f t="shared" si="161"/>
        <v>ㄧ</v>
      </c>
      <c r="M2561" s="1" t="str">
        <f t="shared" si="162"/>
        <v>ㄢ</v>
      </c>
      <c r="P2561" s="1" t="s">
        <v>20</v>
      </c>
      <c r="R2561" s="1" t="s">
        <v>3574</v>
      </c>
      <c r="V2561" s="1" t="s">
        <v>3593</v>
      </c>
      <c r="AR2561" s="1" t="str">
        <f t="shared" si="158"/>
        <v>| [ㄇㄧㄢˇ](ㄇㄧㄢˇ.md) | [冕](冕.md) |  | miǎn | [名]
1.古時大夫以上的王侯所戴的禮帽。《字彙．冂部》：「古者諸侯、大夫皆有冕，但以旒之多寡別耳。」
2.專指王冠。如：「加冕典禮」。 |</v>
      </c>
    </row>
    <row r="2562" spans="1:44" hidden="1">
      <c r="A2562" s="1" t="s">
        <v>3594</v>
      </c>
      <c r="C2562" s="1">
        <v>1</v>
      </c>
      <c r="D2562" s="1" t="str">
        <f>"01434"</f>
        <v>01434</v>
      </c>
      <c r="E2562" s="1" t="s">
        <v>156</v>
      </c>
      <c r="F2562" s="1">
        <v>18</v>
      </c>
      <c r="G2562" s="1">
        <v>7</v>
      </c>
      <c r="H2562" s="1">
        <v>1</v>
      </c>
      <c r="I2562" s="1" t="s">
        <v>3573</v>
      </c>
      <c r="K2562" s="1" t="str">
        <f t="shared" si="160"/>
        <v>ㄇ</v>
      </c>
      <c r="L2562" s="1" t="str">
        <f t="shared" si="161"/>
        <v>ㄧ</v>
      </c>
      <c r="M2562" s="1" t="str">
        <f t="shared" si="162"/>
        <v>ㄢ</v>
      </c>
      <c r="P2562" s="1" t="s">
        <v>20</v>
      </c>
      <c r="R2562" s="1" t="s">
        <v>3574</v>
      </c>
      <c r="V2562" s="1" t="s">
        <v>3595</v>
      </c>
      <c r="W2562" s="1" t="s">
        <v>3596</v>
      </c>
      <c r="AR2562" s="1" t="str">
        <f t="shared" si="158"/>
        <v>| [ㄇㄧㄢˇ](ㄇㄧㄢˇ.md) | [鮸](鮸.md) |  | miǎn | [名]
動物名。魚綱石首魚科。體延長，灰褐色。頭尖長，口大，牙尖銳。尾矛狀。為中、下層近海魚類，以小魚、蝦類為食。主要供鮮食。 |</v>
      </c>
    </row>
    <row r="2563" spans="1:44" hidden="1">
      <c r="A2563" s="1" t="s">
        <v>3597</v>
      </c>
      <c r="C2563" s="1">
        <v>1</v>
      </c>
      <c r="D2563" s="1" t="str">
        <f>"01435"</f>
        <v>01435</v>
      </c>
      <c r="E2563" s="1" t="s">
        <v>114</v>
      </c>
      <c r="F2563" s="1">
        <v>11</v>
      </c>
      <c r="G2563" s="1">
        <v>9</v>
      </c>
      <c r="H2563" s="1">
        <v>0</v>
      </c>
      <c r="I2563" s="1" t="s">
        <v>3573</v>
      </c>
      <c r="K2563" s="1" t="str">
        <f t="shared" si="160"/>
        <v>ㄇ</v>
      </c>
      <c r="L2563" s="1" t="str">
        <f t="shared" si="161"/>
        <v>ㄧ</v>
      </c>
      <c r="M2563" s="1" t="str">
        <f t="shared" si="162"/>
        <v>ㄢ</v>
      </c>
      <c r="P2563" s="1" t="s">
        <v>20</v>
      </c>
      <c r="R2563" s="1" t="s">
        <v>3574</v>
      </c>
      <c r="V2563" s="1" t="s">
        <v>3598</v>
      </c>
      <c r="AR2563" s="1" t="str">
        <f t="shared" ref="AR2563:AR2626" si="163">"| ["&amp;I2563&amp;"]("&amp;I2563&amp;".md) | ["&amp;A2563&amp;"]("&amp;A2563&amp;".md) | "&amp;" | "&amp;R2563&amp;" | "&amp;V2563&amp;" |"</f>
        <v>| [ㄇㄧㄢˇ](ㄇㄧㄢˇ.md) | [偭](偭.md) |  | miǎn | [動]
違背。《楚辭．屈原．離騷》：「固時俗之工巧兮，偭規矩而改錯。」 |</v>
      </c>
    </row>
    <row r="2564" spans="1:44" hidden="1">
      <c r="A2564" s="1" t="s">
        <v>3599</v>
      </c>
      <c r="C2564" s="1">
        <v>1</v>
      </c>
      <c r="D2564" s="1" t="str">
        <f>"01436"</f>
        <v>01436</v>
      </c>
      <c r="E2564" s="1" t="s">
        <v>129</v>
      </c>
      <c r="F2564" s="1">
        <v>12</v>
      </c>
      <c r="G2564" s="1">
        <v>9</v>
      </c>
      <c r="H2564" s="1">
        <v>0</v>
      </c>
      <c r="I2564" s="1" t="s">
        <v>3573</v>
      </c>
      <c r="K2564" s="1" t="str">
        <f t="shared" si="160"/>
        <v>ㄇ</v>
      </c>
      <c r="L2564" s="1" t="str">
        <f t="shared" si="161"/>
        <v>ㄧ</v>
      </c>
      <c r="M2564" s="1" t="str">
        <f t="shared" si="162"/>
        <v>ㄢ</v>
      </c>
      <c r="P2564" s="1" t="s">
        <v>20</v>
      </c>
      <c r="R2564" s="1" t="s">
        <v>3574</v>
      </c>
      <c r="V2564" s="1" t="s">
        <v>3600</v>
      </c>
      <c r="AR2564" s="1" t="str">
        <f t="shared" si="163"/>
        <v>| [ㄇㄧㄢˇ](ㄇㄧㄢˇ.md) | [湎](湎.md) |  | miǎn | [動]
沉迷於酒。《漢書．卷二七．五行志中之下》：「京房易傳曰：『君湎于酒，淫于色，賢人潛，國家危，厥異流水赤也。』」 |</v>
      </c>
    </row>
    <row r="2565" spans="1:44" hidden="1">
      <c r="A2565" s="1" t="s">
        <v>3601</v>
      </c>
      <c r="C2565" s="1">
        <v>1</v>
      </c>
      <c r="D2565" s="1" t="str">
        <f>"01437"</f>
        <v>01437</v>
      </c>
      <c r="E2565" s="1" t="s">
        <v>250</v>
      </c>
      <c r="F2565" s="1">
        <v>12</v>
      </c>
      <c r="G2565" s="1">
        <v>9</v>
      </c>
      <c r="H2565" s="1">
        <v>0</v>
      </c>
      <c r="I2565" s="1" t="s">
        <v>3573</v>
      </c>
      <c r="K2565" s="1" t="str">
        <f t="shared" si="160"/>
        <v>ㄇ</v>
      </c>
      <c r="L2565" s="1" t="str">
        <f t="shared" si="161"/>
        <v>ㄧ</v>
      </c>
      <c r="M2565" s="1" t="str">
        <f t="shared" si="162"/>
        <v>ㄢ</v>
      </c>
      <c r="P2565" s="1" t="s">
        <v>20</v>
      </c>
      <c r="R2565" s="1" t="s">
        <v>3574</v>
      </c>
      <c r="V2565" s="1" t="s">
        <v>3602</v>
      </c>
      <c r="AR2565" s="1" t="str">
        <f t="shared" si="163"/>
        <v>| [ㄇㄧㄢˇ](ㄇㄧㄢˇ.md) | [愐](愐.md) |  | miǎn | [形]
勤勉。《說文解字．心部》：「愐，勉也。」
[動]
思念。《廣韻．上聲．獮韻》：「愐，思也。」 |</v>
      </c>
    </row>
    <row r="2566" spans="1:44" hidden="1">
      <c r="A2566" s="1" t="s">
        <v>3565</v>
      </c>
      <c r="C2566" s="1">
        <v>1</v>
      </c>
      <c r="D2566" s="1" t="str">
        <f>"01438"</f>
        <v>01438</v>
      </c>
      <c r="E2566" s="1" t="s">
        <v>534</v>
      </c>
      <c r="F2566" s="1">
        <v>12</v>
      </c>
      <c r="G2566" s="1">
        <v>9</v>
      </c>
      <c r="H2566" s="1">
        <v>2</v>
      </c>
      <c r="I2566" s="1" t="s">
        <v>3573</v>
      </c>
      <c r="K2566" s="1" t="str">
        <f t="shared" si="160"/>
        <v>ㄇ</v>
      </c>
      <c r="L2566" s="1" t="str">
        <f t="shared" si="161"/>
        <v>ㄧ</v>
      </c>
      <c r="M2566" s="1" t="str">
        <f t="shared" si="162"/>
        <v>ㄢ</v>
      </c>
      <c r="P2566" s="1" t="s">
        <v>20</v>
      </c>
      <c r="R2566" s="1" t="s">
        <v>3574</v>
      </c>
      <c r="V2566" s="1" t="s">
        <v>3603</v>
      </c>
      <c r="W2566" s="1" t="s">
        <v>3604</v>
      </c>
      <c r="AR2566" s="1" t="str">
        <f t="shared" si="163"/>
        <v>| [ㄇㄧㄢˇ](ㄇㄧㄢˇ.md) | [媔](媔.md) |  | miǎn | [動]
嫉妒。《集韻．上聲．獮韻》：「媔，妒也。」 |</v>
      </c>
    </row>
    <row r="2567" spans="1:44" hidden="1">
      <c r="A2567" s="1" t="s">
        <v>3605</v>
      </c>
      <c r="C2567" s="1">
        <v>1</v>
      </c>
      <c r="D2567" s="1" t="str">
        <f>"01439"</f>
        <v>01439</v>
      </c>
      <c r="E2567" s="1" t="s">
        <v>68</v>
      </c>
      <c r="F2567" s="1">
        <v>13</v>
      </c>
      <c r="G2567" s="1">
        <v>9</v>
      </c>
      <c r="H2567" s="1">
        <v>0</v>
      </c>
      <c r="I2567" s="1" t="s">
        <v>3573</v>
      </c>
      <c r="K2567" s="1" t="str">
        <f t="shared" si="160"/>
        <v>ㄇ</v>
      </c>
      <c r="L2567" s="1" t="str">
        <f t="shared" si="161"/>
        <v>ㄧ</v>
      </c>
      <c r="M2567" s="1" t="str">
        <f t="shared" ref="M2567:M2598" si="164">MID(I2567, 3, 1)</f>
        <v>ㄢ</v>
      </c>
      <c r="P2567" s="1" t="s">
        <v>20</v>
      </c>
      <c r="R2567" s="1" t="s">
        <v>3574</v>
      </c>
      <c r="V2567" s="1" t="s">
        <v>3606</v>
      </c>
      <c r="AR2567" s="1" t="str">
        <f t="shared" si="163"/>
        <v>| [ㄇㄧㄢˇ](ㄇㄧㄢˇ.md) | [腼](腼.md) |  | miǎn | 參見「腼腆」條。 |</v>
      </c>
    </row>
    <row r="2568" spans="1:44" hidden="1">
      <c r="A2568" s="1" t="s">
        <v>3607</v>
      </c>
      <c r="C2568" s="1">
        <v>1</v>
      </c>
      <c r="D2568" s="1" t="str">
        <f>"01440"</f>
        <v>01440</v>
      </c>
      <c r="E2568" s="1" t="s">
        <v>725</v>
      </c>
      <c r="F2568" s="1">
        <v>15</v>
      </c>
      <c r="G2568" s="1">
        <v>9</v>
      </c>
      <c r="H2568" s="1">
        <v>0</v>
      </c>
      <c r="I2568" s="1" t="s">
        <v>3573</v>
      </c>
      <c r="K2568" s="1" t="str">
        <f t="shared" si="160"/>
        <v>ㄇ</v>
      </c>
      <c r="L2568" s="1" t="str">
        <f t="shared" si="161"/>
        <v>ㄧ</v>
      </c>
      <c r="M2568" s="1" t="str">
        <f t="shared" si="164"/>
        <v>ㄢ</v>
      </c>
      <c r="P2568" s="1" t="s">
        <v>20</v>
      </c>
      <c r="R2568" s="1" t="s">
        <v>3574</v>
      </c>
      <c r="V2568" s="1" t="s">
        <v>3608</v>
      </c>
      <c r="AR2568" s="1" t="str">
        <f t="shared" si="163"/>
        <v>| [ㄇㄧㄢˇ](ㄇㄧㄢˇ.md) | [緬](緬.md) |  | miǎn | [名]
1.細絲。《說文解字．心部》：「緬，微絲也。」元．戴侗《六書故．卷三〇．工事》：「緬，彌袞切，細不絕也。《說文》曰：『微絲也。』今之絡者，別其絲，最細者為緬，次曰大緬，凡緬以為緯。」
2.緬甸的簡稱。如：「中緬公路」。
[副]
遠。五代十國後蜀．毛熙震〈河滿子．寂寞芳菲暗度〉詞：「緬懷舊歡多少事，轉添春思，難平。」
[動]
紮。《兒女英雄傳》第四回：「他先挽了挽袖子，把那佛青粗布衫子的衿子，往一旁一緬。」 |</v>
      </c>
    </row>
    <row r="2569" spans="1:44" hidden="1">
      <c r="A2569" s="1" t="s">
        <v>3609</v>
      </c>
      <c r="C2569" s="1">
        <v>1</v>
      </c>
      <c r="D2569" s="1" t="str">
        <f>"01441"</f>
        <v>01441</v>
      </c>
      <c r="E2569" s="1" t="s">
        <v>3610</v>
      </c>
      <c r="F2569" s="1">
        <v>16</v>
      </c>
      <c r="G2569" s="1">
        <v>7</v>
      </c>
      <c r="H2569" s="1">
        <v>2</v>
      </c>
      <c r="I2569" s="1" t="s">
        <v>3573</v>
      </c>
      <c r="K2569" s="1" t="str">
        <f t="shared" si="160"/>
        <v>ㄇ</v>
      </c>
      <c r="L2569" s="1" t="str">
        <f t="shared" si="161"/>
        <v>ㄧ</v>
      </c>
      <c r="M2569" s="1" t="str">
        <f t="shared" si="164"/>
        <v>ㄢ</v>
      </c>
      <c r="P2569" s="1" t="s">
        <v>20</v>
      </c>
      <c r="R2569" s="1" t="s">
        <v>3574</v>
      </c>
      <c r="V2569" s="1" t="s">
        <v>3611</v>
      </c>
      <c r="W2569" s="1" t="s">
        <v>3612</v>
      </c>
      <c r="AR2569" s="1" t="str">
        <f t="shared" si="163"/>
        <v>| [ㄇㄧㄢˇ](ㄇㄧㄢˇ.md) | [靦](靦.md) |  | miǎn | 參見「靦腆」條。 |</v>
      </c>
    </row>
    <row r="2570" spans="1:44" hidden="1">
      <c r="A2570" s="1" t="s">
        <v>3562</v>
      </c>
      <c r="C2570" s="1">
        <v>1</v>
      </c>
      <c r="D2570" s="1" t="str">
        <f>"01442"</f>
        <v>01442</v>
      </c>
      <c r="E2570" s="1" t="s">
        <v>1015</v>
      </c>
      <c r="F2570" s="1">
        <v>19</v>
      </c>
      <c r="G2570" s="1">
        <v>14</v>
      </c>
      <c r="H2570" s="1">
        <v>2</v>
      </c>
      <c r="I2570" s="1" t="s">
        <v>3573</v>
      </c>
      <c r="K2570" s="1" t="str">
        <f t="shared" si="160"/>
        <v>ㄇ</v>
      </c>
      <c r="L2570" s="1" t="str">
        <f t="shared" si="161"/>
        <v>ㄧ</v>
      </c>
      <c r="M2570" s="1" t="str">
        <f t="shared" si="164"/>
        <v>ㄢ</v>
      </c>
      <c r="P2570" s="1" t="s">
        <v>110</v>
      </c>
      <c r="R2570" s="1" t="s">
        <v>3574</v>
      </c>
      <c r="V2570" s="1" t="s">
        <v>111</v>
      </c>
      <c r="W2570" s="1" t="s">
        <v>3613</v>
      </c>
      <c r="AR2570" s="1" t="str">
        <f t="shared" si="163"/>
        <v>| [ㄇㄧㄢˇ](ㄇㄧㄢˇ.md) | [矊](矊.md) |  | miǎn | (一)之又音。 |</v>
      </c>
    </row>
    <row r="2571" spans="1:44" hidden="1">
      <c r="A2571" s="1" t="s">
        <v>3614</v>
      </c>
      <c r="C2571" s="1">
        <v>1</v>
      </c>
      <c r="D2571" s="1" t="str">
        <f>"01443"</f>
        <v>01443</v>
      </c>
      <c r="E2571" s="1" t="s">
        <v>3610</v>
      </c>
      <c r="F2571" s="1">
        <v>9</v>
      </c>
      <c r="G2571" s="1">
        <v>0</v>
      </c>
      <c r="H2571" s="1">
        <v>0</v>
      </c>
      <c r="I2571" s="1" t="s">
        <v>3615</v>
      </c>
      <c r="K2571" s="1" t="str">
        <f t="shared" si="160"/>
        <v>ㄇ</v>
      </c>
      <c r="L2571" s="1" t="str">
        <f t="shared" si="161"/>
        <v>ㄧ</v>
      </c>
      <c r="M2571" s="1" t="str">
        <f t="shared" si="164"/>
        <v>ㄢ</v>
      </c>
      <c r="P2571" s="1" t="s">
        <v>20</v>
      </c>
      <c r="R2571" s="1" t="s">
        <v>3616</v>
      </c>
      <c r="V2571" s="1" t="s">
        <v>3617</v>
      </c>
      <c r="AR2571" s="1" t="str">
        <f t="shared" si="163"/>
        <v>| [ㄇㄧㄢˋ](ㄇㄧㄢˋ.md) | [面](面.md) |  | miàn | [名]
1.臉部。如：「面貌」、「顏面」、「臉面」。《左傳．襄公三十一年》：「人心之不同，如其面焉。」
2.物體的外表或上部的一層。如：「路面」、「水面」、「地面」、「封面」。
3.方向、部位。如：「正面」、「片面」、「全面」、「四面八方」。
4.量詞：(1)計算平面物的單位。如：「一面國旗」、「兩面鏡子」、「三面牆」。(2)計算見面次數的單位。如：「見過一面」。
5.景況、情況。如：「場面」、「局面」、「世面」。
6.幾何學上稱線在空間移動而成的形跡，有長、寬度而無厚度。如：「平面」。
7.二一四部首之一。
[動]
1.見、相見。如：「見面」。《禮記．曲禮上》：「夫為人子者，出必告，反必面。」宋．蘇軾〈與任德翁〉：「年月不面，思企深劇。」
2.向著、對著。如：「背山面水」、「面壁思過」。《列子．湯問》：「北山愚公者，年且九十，面山而居。」
[副]
當面。如：「耳提面命」、「面授機宜」。《漢書．卷八九．循吏傳．龔遂傳》：「面刺王過，王至掩耳起走。」 |</v>
      </c>
    </row>
    <row r="2572" spans="1:44" hidden="1">
      <c r="A2572" s="1" t="s">
        <v>3618</v>
      </c>
      <c r="C2572" s="1">
        <v>1</v>
      </c>
      <c r="D2572" s="1" t="str">
        <f>"01444"</f>
        <v>01444</v>
      </c>
      <c r="E2572" s="1" t="s">
        <v>2743</v>
      </c>
      <c r="F2572" s="1">
        <v>20</v>
      </c>
      <c r="G2572" s="1">
        <v>9</v>
      </c>
      <c r="H2572" s="1">
        <v>0</v>
      </c>
      <c r="I2572" s="1" t="s">
        <v>3615</v>
      </c>
      <c r="K2572" s="1" t="str">
        <f t="shared" si="160"/>
        <v>ㄇ</v>
      </c>
      <c r="L2572" s="1" t="str">
        <f t="shared" si="161"/>
        <v>ㄧ</v>
      </c>
      <c r="M2572" s="1" t="str">
        <f t="shared" si="164"/>
        <v>ㄢ</v>
      </c>
      <c r="P2572" s="1" t="s">
        <v>20</v>
      </c>
      <c r="R2572" s="1" t="s">
        <v>3616</v>
      </c>
      <c r="V2572" s="1" t="s">
        <v>3619</v>
      </c>
      <c r="AR2572" s="1" t="str">
        <f t="shared" si="163"/>
        <v>| [ㄇㄧㄢˋ](ㄇㄧㄢˋ.md) | [麵](麵.md) |  | miàn | [名]
1.由麥子研磨成粉或再加工而成的食品。如：「麵粉」、「麵條」。《說文解字．麥部》：「麵，麥屑末也」。
2.泛指研磨成粉末狀而可食用的食品。如：「豆麵」、「玉米麵」、「藥麵」。 |</v>
      </c>
    </row>
    <row r="2573" spans="1:44" hidden="1">
      <c r="A2573" s="1" t="s">
        <v>3555</v>
      </c>
      <c r="C2573" s="1">
        <v>1</v>
      </c>
      <c r="D2573" s="1" t="str">
        <f>"01445"</f>
        <v>01445</v>
      </c>
      <c r="E2573" s="1" t="s">
        <v>1015</v>
      </c>
      <c r="F2573" s="1">
        <v>15</v>
      </c>
      <c r="G2573" s="1">
        <v>10</v>
      </c>
      <c r="H2573" s="1">
        <v>3</v>
      </c>
      <c r="I2573" s="1" t="s">
        <v>3615</v>
      </c>
      <c r="K2573" s="1" t="str">
        <f t="shared" si="160"/>
        <v>ㄇ</v>
      </c>
      <c r="L2573" s="1" t="str">
        <f t="shared" si="161"/>
        <v>ㄧ</v>
      </c>
      <c r="M2573" s="1" t="str">
        <f t="shared" si="164"/>
        <v>ㄢ</v>
      </c>
      <c r="P2573" s="1" t="s">
        <v>20</v>
      </c>
      <c r="R2573" s="1" t="s">
        <v>3616</v>
      </c>
      <c r="V2573" s="1" t="s">
        <v>3620</v>
      </c>
      <c r="W2573" s="1" t="s">
        <v>3621</v>
      </c>
      <c r="AR2573" s="1" t="str">
        <f t="shared" si="163"/>
        <v>| [ㄇㄧㄢˋ](ㄇㄧㄢˋ.md) | [瞑](瞑.md) |  | miàn | 參見「瞑眩」條。 |</v>
      </c>
    </row>
    <row r="2574" spans="1:44" hidden="1">
      <c r="A2574" s="1" t="s">
        <v>3622</v>
      </c>
      <c r="C2574" s="1">
        <v>1</v>
      </c>
      <c r="D2574" s="1" t="str">
        <f>"01446"</f>
        <v>01446</v>
      </c>
      <c r="E2574" s="1" t="s">
        <v>3195</v>
      </c>
      <c r="F2574" s="1">
        <v>5</v>
      </c>
      <c r="G2574" s="1">
        <v>1</v>
      </c>
      <c r="H2574" s="1">
        <v>0</v>
      </c>
      <c r="I2574" s="1" t="s">
        <v>3623</v>
      </c>
      <c r="K2574" s="1" t="str">
        <f t="shared" si="160"/>
        <v>ㄇ</v>
      </c>
      <c r="L2574" s="1" t="str">
        <f t="shared" si="161"/>
        <v>ㄧ</v>
      </c>
      <c r="M2574" s="1" t="str">
        <f t="shared" si="164"/>
        <v>ㄣ</v>
      </c>
      <c r="P2574" s="1" t="s">
        <v>20</v>
      </c>
      <c r="R2574" s="1" t="s">
        <v>3624</v>
      </c>
      <c r="V2574" s="1" t="s">
        <v>3625</v>
      </c>
      <c r="AR2574" s="1" t="str">
        <f t="shared" si="163"/>
        <v>| [ㄇㄧㄣˊ](ㄇㄧㄣˊ.md) | [民](民.md) |  | mín | [名]
人、人類、百姓。如：「人民」、「平民」、「庶民」。《書經．五子之歌》：「民惟邦本，本固邦寧。」 |</v>
      </c>
    </row>
    <row r="2575" spans="1:44" hidden="1">
      <c r="A2575" s="1" t="s">
        <v>3626</v>
      </c>
      <c r="C2575" s="1">
        <v>1</v>
      </c>
      <c r="D2575" s="1" t="str">
        <f>"01447"</f>
        <v>01447</v>
      </c>
      <c r="E2575" s="1" t="s">
        <v>190</v>
      </c>
      <c r="F2575" s="1">
        <v>8</v>
      </c>
      <c r="G2575" s="1">
        <v>5</v>
      </c>
      <c r="H2575" s="1">
        <v>0</v>
      </c>
      <c r="I2575" s="1" t="s">
        <v>3623</v>
      </c>
      <c r="K2575" s="1" t="str">
        <f t="shared" si="160"/>
        <v>ㄇ</v>
      </c>
      <c r="L2575" s="1" t="str">
        <f t="shared" si="161"/>
        <v>ㄧ</v>
      </c>
      <c r="M2575" s="1" t="str">
        <f t="shared" si="164"/>
        <v>ㄣ</v>
      </c>
      <c r="P2575" s="1" t="s">
        <v>20</v>
      </c>
      <c r="R2575" s="1" t="s">
        <v>3624</v>
      </c>
      <c r="V2575" s="1" t="s">
        <v>3627</v>
      </c>
      <c r="AR2575" s="1" t="str">
        <f t="shared" si="163"/>
        <v>| [ㄇㄧㄣˊ](ㄇㄧㄣˊ.md) | [岷](岷.md) |  | mín | 參見「岷江」條。 |</v>
      </c>
    </row>
    <row r="2576" spans="1:44" hidden="1">
      <c r="A2576" s="1" t="s">
        <v>3628</v>
      </c>
      <c r="C2576" s="1">
        <v>1</v>
      </c>
      <c r="D2576" s="1" t="str">
        <f>"01448"</f>
        <v>01448</v>
      </c>
      <c r="E2576" s="1" t="s">
        <v>142</v>
      </c>
      <c r="F2576" s="1">
        <v>9</v>
      </c>
      <c r="G2576" s="1">
        <v>5</v>
      </c>
      <c r="H2576" s="1">
        <v>0</v>
      </c>
      <c r="I2576" s="1" t="s">
        <v>3623</v>
      </c>
      <c r="K2576" s="1" t="str">
        <f t="shared" si="160"/>
        <v>ㄇ</v>
      </c>
      <c r="L2576" s="1" t="str">
        <f t="shared" si="161"/>
        <v>ㄧ</v>
      </c>
      <c r="M2576" s="1" t="str">
        <f t="shared" si="164"/>
        <v>ㄣ</v>
      </c>
      <c r="P2576" s="1" t="s">
        <v>20</v>
      </c>
      <c r="R2576" s="1" t="s">
        <v>3624</v>
      </c>
      <c r="V2576" s="1" t="s">
        <v>3629</v>
      </c>
      <c r="AR2576" s="1" t="str">
        <f t="shared" si="163"/>
        <v>| [ㄇㄧㄣˊ](ㄇㄧㄣˊ.md) | [珉](珉.md) |  | mín | [名]
似玉的美石。《荀子．法行》：「君子之所以貴玉而賤珉者，何也？」 |</v>
      </c>
    </row>
    <row r="2577" spans="1:44" hidden="1">
      <c r="A2577" s="1" t="s">
        <v>3630</v>
      </c>
      <c r="C2577" s="1">
        <v>1</v>
      </c>
      <c r="D2577" s="1" t="str">
        <f>"01449"</f>
        <v>01449</v>
      </c>
      <c r="E2577" s="1" t="s">
        <v>118</v>
      </c>
      <c r="F2577" s="1">
        <v>10</v>
      </c>
      <c r="G2577" s="1">
        <v>5</v>
      </c>
      <c r="H2577" s="1">
        <v>0</v>
      </c>
      <c r="I2577" s="1" t="s">
        <v>3623</v>
      </c>
      <c r="K2577" s="1" t="str">
        <f t="shared" si="160"/>
        <v>ㄇ</v>
      </c>
      <c r="L2577" s="1" t="str">
        <f t="shared" si="161"/>
        <v>ㄧ</v>
      </c>
      <c r="M2577" s="1" t="str">
        <f t="shared" si="164"/>
        <v>ㄣ</v>
      </c>
      <c r="P2577" s="1" t="s">
        <v>20</v>
      </c>
      <c r="R2577" s="1" t="s">
        <v>3624</v>
      </c>
      <c r="V2577" s="1" t="s">
        <v>3631</v>
      </c>
      <c r="AR2577" s="1" t="str">
        <f t="shared" si="163"/>
        <v>| [ㄇㄧㄣˊ](ㄇㄧㄣˊ.md) | [罠](罠.md) |  | mín | [名]
1.釣魚的繩子。同「緍」。《說文解字．网部》：「罠，所以釣也。」清．段玉裁．注：「按系部曰『緍，釣魚繫也』，此曰『罠所以釣也』，然則緍、罠古今字。」
2.捕獸用的網。《廣韻．平聲．真韻》：「罠，彘網。」《文選．左思．吳都賦》：「罠蹄連綱。」唐．李善．注：「罠，麋網也。」 |</v>
      </c>
    </row>
    <row r="2578" spans="1:44" hidden="1">
      <c r="A2578" s="1" t="s">
        <v>3632</v>
      </c>
      <c r="C2578" s="1">
        <v>1</v>
      </c>
      <c r="D2578" s="1" t="str">
        <f>"01450"</f>
        <v>01450</v>
      </c>
      <c r="E2578" s="1" t="s">
        <v>725</v>
      </c>
      <c r="F2578" s="1">
        <v>15</v>
      </c>
      <c r="G2578" s="1">
        <v>9</v>
      </c>
      <c r="H2578" s="1">
        <v>0</v>
      </c>
      <c r="I2578" s="1" t="s">
        <v>3623</v>
      </c>
      <c r="K2578" s="1" t="str">
        <f t="shared" ref="K2578:K2638" si="165">LEFT(I2578, 1)</f>
        <v>ㄇ</v>
      </c>
      <c r="L2578" s="1" t="str">
        <f t="shared" ref="L2578:L2638" si="166">MID(I2578, 2, 1)</f>
        <v>ㄧ</v>
      </c>
      <c r="M2578" s="1" t="str">
        <f t="shared" si="164"/>
        <v>ㄣ</v>
      </c>
      <c r="P2578" s="1" t="s">
        <v>20</v>
      </c>
      <c r="R2578" s="1" t="s">
        <v>3624</v>
      </c>
      <c r="V2578" s="1" t="s">
        <v>3633</v>
      </c>
      <c r="AR2578" s="1" t="str">
        <f t="shared" si="163"/>
        <v>| [ㄇㄧㄣˊ](ㄇㄧㄣˊ.md) | [緡](緡.md) |  | mín | [名]
1.釣魚用的繩線。《詩經．召南．何彼襛矣》：「其釣維何，維絲伊緡。」《文選．左思．吳都賦》：「結輕舟而競逐，迎潮水而振緡。」
2.舊時穿錢的繩子。晉．王融〈永明九年策秀才文〉：「既龜貝積寢，緡繈專用。」
3.成串的錢。唐．張籍〈賈客樂〉詩：「金多眾中為上客，夜夜算緡眠獨遲。」 |</v>
      </c>
    </row>
    <row r="2579" spans="1:44" hidden="1">
      <c r="A2579" s="1" t="s">
        <v>3634</v>
      </c>
      <c r="C2579" s="1">
        <v>1</v>
      </c>
      <c r="D2579" s="1" t="str">
        <f>"01451"</f>
        <v>01451</v>
      </c>
      <c r="E2579" s="1" t="s">
        <v>250</v>
      </c>
      <c r="F2579" s="1">
        <v>8</v>
      </c>
      <c r="G2579" s="1">
        <v>4</v>
      </c>
      <c r="H2579" s="1">
        <v>0</v>
      </c>
      <c r="I2579" s="1" t="s">
        <v>3623</v>
      </c>
      <c r="K2579" s="1" t="str">
        <f t="shared" si="165"/>
        <v>ㄇ</v>
      </c>
      <c r="L2579" s="1" t="str">
        <f t="shared" si="166"/>
        <v>ㄧ</v>
      </c>
      <c r="M2579" s="1" t="str">
        <f t="shared" si="164"/>
        <v>ㄣ</v>
      </c>
      <c r="P2579" s="1" t="s">
        <v>20</v>
      </c>
      <c r="R2579" s="1" t="s">
        <v>3624</v>
      </c>
      <c r="V2579" s="1" t="s">
        <v>3635</v>
      </c>
      <c r="AR2579" s="1" t="str">
        <f t="shared" si="163"/>
        <v>| [ㄇㄧㄣˊ](ㄇㄧㄣˊ.md) | [忞](忞.md) |  | mín | [動]
自我勉勵振奮。《說文解字．心部》：「忞，自勉彊也。」 |</v>
      </c>
    </row>
    <row r="2580" spans="1:44" hidden="1">
      <c r="A2580" s="1" t="s">
        <v>3636</v>
      </c>
      <c r="C2580" s="1">
        <v>1</v>
      </c>
      <c r="D2580" s="1" t="str">
        <f>"01452"</f>
        <v>01452</v>
      </c>
      <c r="E2580" s="1" t="s">
        <v>142</v>
      </c>
      <c r="F2580" s="1">
        <v>8</v>
      </c>
      <c r="G2580" s="1">
        <v>4</v>
      </c>
      <c r="H2580" s="1">
        <v>2</v>
      </c>
      <c r="I2580" s="1" t="s">
        <v>3623</v>
      </c>
      <c r="K2580" s="1" t="str">
        <f t="shared" si="165"/>
        <v>ㄇ</v>
      </c>
      <c r="L2580" s="1" t="str">
        <f t="shared" si="166"/>
        <v>ㄧ</v>
      </c>
      <c r="M2580" s="1" t="str">
        <f t="shared" si="164"/>
        <v>ㄣ</v>
      </c>
      <c r="P2580" s="1" t="s">
        <v>20</v>
      </c>
      <c r="R2580" s="1" t="s">
        <v>3624</v>
      </c>
      <c r="V2580" s="1" t="s">
        <v>3637</v>
      </c>
      <c r="W2580" s="1" t="s">
        <v>3638</v>
      </c>
      <c r="AR2580" s="1" t="str">
        <f t="shared" si="163"/>
        <v>| [ㄇㄧㄣˊ](ㄇㄧㄣˊ.md) | [玟](玟.md) |  | mín | [名]
美石。同「珉」。《禮記．玉藻》：「士佩瓀玟，而縕組綬。」唐．孔穎達．正義：「瓀玟，石次玉者。」 |</v>
      </c>
    </row>
    <row r="2581" spans="1:44" hidden="1">
      <c r="A2581" s="1" t="s">
        <v>3639</v>
      </c>
      <c r="C2581" s="1">
        <v>1</v>
      </c>
      <c r="D2581" s="1" t="str">
        <f>"01453"</f>
        <v>01453</v>
      </c>
      <c r="E2581" s="1" t="s">
        <v>646</v>
      </c>
      <c r="F2581" s="1">
        <v>8</v>
      </c>
      <c r="G2581" s="1">
        <v>4</v>
      </c>
      <c r="H2581" s="1">
        <v>0</v>
      </c>
      <c r="I2581" s="1" t="s">
        <v>3623</v>
      </c>
      <c r="K2581" s="1" t="str">
        <f t="shared" si="165"/>
        <v>ㄇ</v>
      </c>
      <c r="L2581" s="1" t="str">
        <f t="shared" si="166"/>
        <v>ㄧ</v>
      </c>
      <c r="M2581" s="1" t="str">
        <f t="shared" si="164"/>
        <v>ㄣ</v>
      </c>
      <c r="P2581" s="1" t="s">
        <v>20</v>
      </c>
      <c r="R2581" s="1" t="s">
        <v>3624</v>
      </c>
      <c r="V2581" s="1" t="s">
        <v>3640</v>
      </c>
      <c r="AR2581" s="1" t="str">
        <f t="shared" si="163"/>
        <v>| [ㄇㄧㄣˊ](ㄇㄧㄣˊ.md) | [旻](旻.md) |  | mín | [名]
1.秋天。通「旼」。《說文解字．日部》：「旻，秋天也。」《書經．多士》：「旻天大降喪于殷。」
2.天空。晉．陶淵明〈自祭文〉：「茫茫大塊，悠悠高旻。」 |</v>
      </c>
    </row>
    <row r="2582" spans="1:44" hidden="1">
      <c r="A2582" s="1" t="s">
        <v>3641</v>
      </c>
      <c r="C2582" s="1">
        <v>1</v>
      </c>
      <c r="D2582" s="1" t="str">
        <f>"01454"</f>
        <v>01454</v>
      </c>
      <c r="E2582" s="1" t="s">
        <v>646</v>
      </c>
      <c r="F2582" s="1">
        <v>8</v>
      </c>
      <c r="G2582" s="1">
        <v>4</v>
      </c>
      <c r="H2582" s="1">
        <v>0</v>
      </c>
      <c r="I2582" s="1" t="s">
        <v>3623</v>
      </c>
      <c r="K2582" s="1" t="str">
        <f t="shared" si="165"/>
        <v>ㄇ</v>
      </c>
      <c r="L2582" s="1" t="str">
        <f t="shared" si="166"/>
        <v>ㄧ</v>
      </c>
      <c r="M2582" s="1" t="str">
        <f t="shared" si="164"/>
        <v>ㄣ</v>
      </c>
      <c r="P2582" s="1" t="s">
        <v>20</v>
      </c>
      <c r="R2582" s="1" t="s">
        <v>3624</v>
      </c>
      <c r="V2582" s="1" t="s">
        <v>3642</v>
      </c>
      <c r="AR2582" s="1" t="str">
        <f t="shared" si="163"/>
        <v>| [ㄇㄧㄣˊ](ㄇㄧㄣˊ.md) | [旼](旼.md) |  | mín | 參見「旼旼」條。 |</v>
      </c>
    </row>
    <row r="2583" spans="1:44" hidden="1">
      <c r="A2583" s="1" t="s">
        <v>3643</v>
      </c>
      <c r="C2583" s="1">
        <v>1</v>
      </c>
      <c r="D2583" s="1" t="str">
        <f>"01455"</f>
        <v>01455</v>
      </c>
      <c r="E2583" s="1" t="s">
        <v>40</v>
      </c>
      <c r="F2583" s="1">
        <v>13</v>
      </c>
      <c r="G2583" s="1">
        <v>8</v>
      </c>
      <c r="H2583" s="1">
        <v>0</v>
      </c>
      <c r="I2583" s="1" t="s">
        <v>3623</v>
      </c>
      <c r="K2583" s="1" t="str">
        <f t="shared" si="165"/>
        <v>ㄇ</v>
      </c>
      <c r="L2583" s="1" t="str">
        <f t="shared" si="166"/>
        <v>ㄧ</v>
      </c>
      <c r="M2583" s="1" t="str">
        <f t="shared" si="164"/>
        <v>ㄣ</v>
      </c>
      <c r="P2583" s="1" t="s">
        <v>20</v>
      </c>
      <c r="R2583" s="1" t="s">
        <v>3624</v>
      </c>
      <c r="V2583" s="1" t="s">
        <v>3644</v>
      </c>
      <c r="AR2583" s="1" t="str">
        <f t="shared" si="163"/>
        <v>| [ㄇㄧㄣˊ](ㄇㄧㄣˊ.md) | [痻](痻.md) |  | mín | [名]
病。《詩經．大雅．桑柔》：「多我覯痻。」漢．鄭玄．箋：「痻，病也。」 |</v>
      </c>
    </row>
    <row r="2584" spans="1:44" hidden="1">
      <c r="A2584" s="1" t="s">
        <v>3645</v>
      </c>
      <c r="C2584" s="1">
        <v>1</v>
      </c>
      <c r="D2584" s="1" t="str">
        <f>"01456"</f>
        <v>01456</v>
      </c>
      <c r="E2584" s="1" t="s">
        <v>709</v>
      </c>
      <c r="F2584" s="1">
        <v>14</v>
      </c>
      <c r="G2584" s="1">
        <v>6</v>
      </c>
      <c r="H2584" s="1">
        <v>1</v>
      </c>
      <c r="I2584" s="1" t="s">
        <v>3623</v>
      </c>
      <c r="K2584" s="1" t="str">
        <f t="shared" si="165"/>
        <v>ㄇ</v>
      </c>
      <c r="L2584" s="1" t="str">
        <f t="shared" si="166"/>
        <v>ㄧ</v>
      </c>
      <c r="M2584" s="1" t="str">
        <f t="shared" si="164"/>
        <v>ㄣ</v>
      </c>
      <c r="P2584" s="1" t="s">
        <v>20</v>
      </c>
      <c r="R2584" s="1" t="s">
        <v>3624</v>
      </c>
      <c r="V2584" s="1" t="s">
        <v>3646</v>
      </c>
      <c r="W2584" s="1" t="s">
        <v>3647</v>
      </c>
      <c r="AR2584" s="1" t="str">
        <f t="shared" si="163"/>
        <v>| [ㄇㄧㄣˊ](ㄇㄧㄣˊ.md) | [閩](閩.md) |  | mín | [名]
1.中國古代少數民族之一，分布在今大陸地區福建省及浙江省東部一帶。
2.朝代名。（西元892～946）十國之一，王審知所建，據有福建地方，為南唐李璟所滅。
3.大陸地區福建省的簡稱。 |</v>
      </c>
    </row>
    <row r="2585" spans="1:44" hidden="1">
      <c r="A2585" s="1" t="s">
        <v>3648</v>
      </c>
      <c r="C2585" s="1">
        <v>1</v>
      </c>
      <c r="D2585" s="1" t="str">
        <f>"01457"</f>
        <v>01457</v>
      </c>
      <c r="E2585" s="1" t="s">
        <v>438</v>
      </c>
      <c r="F2585" s="1">
        <v>5</v>
      </c>
      <c r="G2585" s="1">
        <v>0</v>
      </c>
      <c r="H2585" s="1">
        <v>1</v>
      </c>
      <c r="I2585" s="1" t="s">
        <v>3649</v>
      </c>
      <c r="K2585" s="1" t="str">
        <f t="shared" si="165"/>
        <v>ㄇ</v>
      </c>
      <c r="L2585" s="1" t="str">
        <f t="shared" si="166"/>
        <v>ㄧ</v>
      </c>
      <c r="M2585" s="1" t="str">
        <f t="shared" si="164"/>
        <v>ㄣ</v>
      </c>
      <c r="P2585" s="1" t="s">
        <v>20</v>
      </c>
      <c r="R2585" s="1" t="s">
        <v>3650</v>
      </c>
      <c r="V2585" s="1" t="s">
        <v>3651</v>
      </c>
      <c r="W2585" s="1" t="s">
        <v>3652</v>
      </c>
      <c r="AR2585" s="1" t="str">
        <f t="shared" si="163"/>
        <v>| [ㄇㄧㄣˇ](ㄇㄧㄣˇ.md) | [皿](皿.md) |  | mǐn | [名]
1.裝盛東西的器具，多指碗碟杯盤。如：「器皿」。
2.二一四部首之一。 |</v>
      </c>
    </row>
    <row r="2586" spans="1:44" hidden="1">
      <c r="A2586" s="1" t="s">
        <v>3653</v>
      </c>
      <c r="C2586" s="1">
        <v>1</v>
      </c>
      <c r="D2586" s="1" t="str">
        <f>"01458"</f>
        <v>01458</v>
      </c>
      <c r="E2586" s="1" t="s">
        <v>129</v>
      </c>
      <c r="F2586" s="1">
        <v>8</v>
      </c>
      <c r="G2586" s="1">
        <v>5</v>
      </c>
      <c r="H2586" s="1">
        <v>0</v>
      </c>
      <c r="I2586" s="1" t="s">
        <v>3649</v>
      </c>
      <c r="K2586" s="1" t="str">
        <f t="shared" si="165"/>
        <v>ㄇ</v>
      </c>
      <c r="L2586" s="1" t="str">
        <f t="shared" si="166"/>
        <v>ㄧ</v>
      </c>
      <c r="M2586" s="1" t="str">
        <f t="shared" si="164"/>
        <v>ㄣ</v>
      </c>
      <c r="P2586" s="1" t="s">
        <v>20</v>
      </c>
      <c r="R2586" s="1" t="s">
        <v>3650</v>
      </c>
      <c r="V2586" s="1" t="s">
        <v>3654</v>
      </c>
      <c r="AR2586" s="1" t="str">
        <f t="shared" si="163"/>
        <v>| [ㄇㄧㄣˇ](ㄇㄧㄣˇ.md) | [泯](泯.md) |  | mǐn | [動]
消除、消滅。如：「泯滅」、「泯沒」。唐．杜甫〈贈鄭十八〉詩：「古人日已遠，青史字不泯。」 |</v>
      </c>
    </row>
    <row r="2587" spans="1:44" hidden="1">
      <c r="A2587" s="1" t="s">
        <v>3655</v>
      </c>
      <c r="C2587" s="1">
        <v>1</v>
      </c>
      <c r="D2587" s="1" t="str">
        <f>"01459"</f>
        <v>01459</v>
      </c>
      <c r="E2587" s="1" t="s">
        <v>24</v>
      </c>
      <c r="F2587" s="1">
        <v>8</v>
      </c>
      <c r="G2587" s="1">
        <v>5</v>
      </c>
      <c r="H2587" s="1">
        <v>0</v>
      </c>
      <c r="I2587" s="1" t="s">
        <v>3649</v>
      </c>
      <c r="K2587" s="1" t="str">
        <f t="shared" si="165"/>
        <v>ㄇ</v>
      </c>
      <c r="L2587" s="1" t="str">
        <f t="shared" si="166"/>
        <v>ㄧ</v>
      </c>
      <c r="M2587" s="1" t="str">
        <f t="shared" si="164"/>
        <v>ㄣ</v>
      </c>
      <c r="P2587" s="1" t="s">
        <v>20</v>
      </c>
      <c r="R2587" s="1" t="s">
        <v>3650</v>
      </c>
      <c r="V2587" s="1" t="s">
        <v>3656</v>
      </c>
      <c r="AR2587" s="1" t="str">
        <f t="shared" si="163"/>
        <v>| [ㄇㄧㄣˇ](ㄇㄧㄣˇ.md) | [抿](抿.md) |  | mǐn | [動]
1.用小刷子蘸水或油梳理頭髮。《紅樓夢》第四二回：「不覺後悔，不該令他抿上鬢去。」
2.合上雙脣。《紅樓夢》第八回：「黛玉磕著瓜子兒，只抿著嘴笑。」
3.收攏。如：「小鳥兒抿翅膀」、「兔子抿耳朵」。
4.稍張嘴脣啜飲。《兒女英雄傳》第三七回：「拿起酒來，脣邊抿了抿，欲又放下了。」 |</v>
      </c>
    </row>
    <row r="2588" spans="1:44" hidden="1">
      <c r="A2588" s="1" t="s">
        <v>3657</v>
      </c>
      <c r="C2588" s="1">
        <v>1</v>
      </c>
      <c r="D2588" s="1" t="str">
        <f>"01460"</f>
        <v>01460</v>
      </c>
      <c r="E2588" s="1" t="s">
        <v>49</v>
      </c>
      <c r="F2588" s="1">
        <v>11</v>
      </c>
      <c r="G2588" s="1">
        <v>5</v>
      </c>
      <c r="H2588" s="1">
        <v>0</v>
      </c>
      <c r="I2588" s="1" t="s">
        <v>3649</v>
      </c>
      <c r="K2588" s="1" t="str">
        <f t="shared" si="165"/>
        <v>ㄇ</v>
      </c>
      <c r="L2588" s="1" t="str">
        <f t="shared" si="166"/>
        <v>ㄧ</v>
      </c>
      <c r="M2588" s="1" t="str">
        <f t="shared" si="164"/>
        <v>ㄣ</v>
      </c>
      <c r="P2588" s="1" t="s">
        <v>20</v>
      </c>
      <c r="R2588" s="1" t="s">
        <v>3650</v>
      </c>
      <c r="V2588" s="1" t="s">
        <v>3658</v>
      </c>
      <c r="AR2588" s="1" t="str">
        <f t="shared" si="163"/>
        <v>| [ㄇㄧㄣˇ](ㄇㄧㄣˇ.md) | [笢](笢.md) |  | mǐn | [名]
1.竹子外表的青皮。《說文解字．竹部》：「笢，竹膚也。」清．段玉裁．注：「膚，皮也，竹膚曰笢，亦曰筍。」
2.梳理頭髮的工具。即抿子。明．張自烈《正字通．竹部》：「笢，今之澤髮騣刷曰笢。」也稱為「梳子」、「攏子」。 |</v>
      </c>
    </row>
    <row r="2589" spans="1:44" hidden="1">
      <c r="A2589" s="1" t="s">
        <v>3659</v>
      </c>
      <c r="C2589" s="1">
        <v>1</v>
      </c>
      <c r="D2589" s="1" t="str">
        <f>"01461"</f>
        <v>01461</v>
      </c>
      <c r="E2589" s="1" t="s">
        <v>129</v>
      </c>
      <c r="F2589" s="1">
        <v>12</v>
      </c>
      <c r="G2589" s="1">
        <v>9</v>
      </c>
      <c r="H2589" s="1">
        <v>0</v>
      </c>
      <c r="I2589" s="1" t="s">
        <v>3649</v>
      </c>
      <c r="K2589" s="1" t="str">
        <f t="shared" si="165"/>
        <v>ㄇ</v>
      </c>
      <c r="L2589" s="1" t="str">
        <f t="shared" si="166"/>
        <v>ㄧ</v>
      </c>
      <c r="M2589" s="1" t="str">
        <f t="shared" si="164"/>
        <v>ㄣ</v>
      </c>
      <c r="P2589" s="1" t="s">
        <v>20</v>
      </c>
      <c r="R2589" s="1" t="s">
        <v>3650</v>
      </c>
      <c r="V2589" s="1" t="s">
        <v>3660</v>
      </c>
      <c r="AR2589" s="1" t="str">
        <f t="shared" si="163"/>
        <v>| [ㄇㄧㄣˇ](ㄇㄧㄣˇ.md) | [湣](湣.md) |  | mǐn | [名]
古代諡號用字。通「閔」。《集韻．上聲．準韻》：「湣，諡也。史記齊有湣王。」 |</v>
      </c>
    </row>
    <row r="2590" spans="1:44" hidden="1">
      <c r="A2590" s="1" t="s">
        <v>3661</v>
      </c>
      <c r="C2590" s="1">
        <v>1</v>
      </c>
      <c r="D2590" s="1" t="str">
        <f>"01462"</f>
        <v>01462</v>
      </c>
      <c r="E2590" s="1" t="s">
        <v>250</v>
      </c>
      <c r="F2590" s="1">
        <v>13</v>
      </c>
      <c r="G2590" s="1">
        <v>9</v>
      </c>
      <c r="H2590" s="1">
        <v>0</v>
      </c>
      <c r="I2590" s="1" t="s">
        <v>3649</v>
      </c>
      <c r="K2590" s="1" t="str">
        <f t="shared" si="165"/>
        <v>ㄇ</v>
      </c>
      <c r="L2590" s="1" t="str">
        <f t="shared" si="166"/>
        <v>ㄧ</v>
      </c>
      <c r="M2590" s="1" t="str">
        <f t="shared" si="164"/>
        <v>ㄣ</v>
      </c>
      <c r="P2590" s="1" t="s">
        <v>20</v>
      </c>
      <c r="R2590" s="1" t="s">
        <v>3650</v>
      </c>
      <c r="V2590" s="1" t="s">
        <v>3662</v>
      </c>
      <c r="AR2590" s="1" t="str">
        <f t="shared" si="163"/>
        <v>| [ㄇㄧㄣˇ](ㄇㄧㄣˇ.md) | [愍](愍.md) |  | mǐn | [動]
憐恤、哀憐。如：「憐愍」。《文選．李密．陳情表》：「祖母劉愍臣孤弱，躬親撫養。」
[名]
1.憂傷。《楚辭．屈原．九章．惜誦》：「惜誦以致愍兮，發憤以抒情。」
2.禍亂。《文選．班固．幽通賦》：「巨滔天而泯夏兮，考遘愍以行謠。」 |</v>
      </c>
    </row>
    <row r="2591" spans="1:44" hidden="1">
      <c r="A2591" s="1" t="s">
        <v>3663</v>
      </c>
      <c r="C2591" s="1">
        <v>1</v>
      </c>
      <c r="D2591" s="1" t="str">
        <f>"01463"</f>
        <v>01463</v>
      </c>
      <c r="E2591" s="1" t="s">
        <v>646</v>
      </c>
      <c r="F2591" s="1">
        <v>13</v>
      </c>
      <c r="G2591" s="1">
        <v>9</v>
      </c>
      <c r="H2591" s="1">
        <v>0</v>
      </c>
      <c r="I2591" s="1" t="s">
        <v>3649</v>
      </c>
      <c r="K2591" s="1" t="str">
        <f t="shared" si="165"/>
        <v>ㄇ</v>
      </c>
      <c r="L2591" s="1" t="str">
        <f t="shared" si="166"/>
        <v>ㄧ</v>
      </c>
      <c r="M2591" s="1" t="str">
        <f t="shared" si="164"/>
        <v>ㄣ</v>
      </c>
      <c r="P2591" s="1" t="s">
        <v>20</v>
      </c>
      <c r="R2591" s="1" t="s">
        <v>3650</v>
      </c>
      <c r="V2591" s="1" t="s">
        <v>3664</v>
      </c>
      <c r="AR2591" s="1" t="str">
        <f t="shared" si="163"/>
        <v>| [ㄇㄧㄣˇ](ㄇㄧㄣˇ.md) | [暋](暋.md) |  | mǐn | [形]
強橫。《書經．康誥》：「暋不畏死，罔弗憝。」 |</v>
      </c>
    </row>
    <row r="2592" spans="1:44" hidden="1">
      <c r="A2592" s="1" t="s">
        <v>3665</v>
      </c>
      <c r="C2592" s="1">
        <v>1</v>
      </c>
      <c r="D2592" s="1" t="str">
        <f>"01464"</f>
        <v>01464</v>
      </c>
      <c r="E2592" s="1" t="s">
        <v>426</v>
      </c>
      <c r="F2592" s="1">
        <v>11</v>
      </c>
      <c r="G2592" s="1">
        <v>7</v>
      </c>
      <c r="H2592" s="1">
        <v>0</v>
      </c>
      <c r="I2592" s="1" t="s">
        <v>3649</v>
      </c>
      <c r="K2592" s="1" t="str">
        <f t="shared" si="165"/>
        <v>ㄇ</v>
      </c>
      <c r="L2592" s="1" t="str">
        <f t="shared" si="166"/>
        <v>ㄧ</v>
      </c>
      <c r="M2592" s="1" t="str">
        <f t="shared" si="164"/>
        <v>ㄣ</v>
      </c>
      <c r="P2592" s="1" t="s">
        <v>20</v>
      </c>
      <c r="R2592" s="1" t="s">
        <v>3650</v>
      </c>
      <c r="V2592" s="1" t="s">
        <v>3666</v>
      </c>
      <c r="AR2592" s="1" t="str">
        <f t="shared" si="163"/>
        <v>| [ㄇㄧㄣˇ](ㄇㄧㄣˇ.md) | [敏](敏.md) |  | mǐn | [形]
1.疾速、靈巧。如：「敏捷」、「靈敏」。
2.聰慧。如：「聰敏」、「敏慧」。《論語．顏淵》：「回雖不敏，請事斯語矣。」《新唐書．卷九六．房玄齡傳》：「玄齡幼警敏，貫綜墳籍。」
[副]
勤奮、勤勉。《論語．述而》：「我非生而知之者，好古敏以求之者也。」《漢書．卷六五．東方朔傳》：「此士所以日夜孳孳，敏行而不敢怠也。」
[名]
才能。《國語．齊語》：「盡其四支之敏，以從事於田野。」 |</v>
      </c>
    </row>
    <row r="2593" spans="1:44" hidden="1">
      <c r="A2593" s="1" t="s">
        <v>3667</v>
      </c>
      <c r="C2593" s="1">
        <v>1</v>
      </c>
      <c r="D2593" s="1" t="str">
        <f>"01465"</f>
        <v>01465</v>
      </c>
      <c r="E2593" s="1" t="s">
        <v>156</v>
      </c>
      <c r="F2593" s="1">
        <v>22</v>
      </c>
      <c r="G2593" s="1">
        <v>11</v>
      </c>
      <c r="H2593" s="1">
        <v>0</v>
      </c>
      <c r="I2593" s="1" t="s">
        <v>3649</v>
      </c>
      <c r="K2593" s="1" t="str">
        <f t="shared" si="165"/>
        <v>ㄇ</v>
      </c>
      <c r="L2593" s="1" t="str">
        <f t="shared" si="166"/>
        <v>ㄧ</v>
      </c>
      <c r="M2593" s="1" t="str">
        <f t="shared" si="164"/>
        <v>ㄣ</v>
      </c>
      <c r="P2593" s="1" t="s">
        <v>20</v>
      </c>
      <c r="R2593" s="1" t="s">
        <v>3650</v>
      </c>
      <c r="V2593" s="1" t="s">
        <v>3668</v>
      </c>
      <c r="AR2593" s="1" t="str">
        <f t="shared" si="163"/>
        <v>| [ㄇㄧㄣˇ](ㄇㄧㄣˇ.md) | [鰵](鰵.md) |  | mǐn | [名]_x000D_
動物名：（1）鮨科。上下頜無犬齒，後鼻孔為一垂直裂紋。體紅色，有許多黑眼斑。鰓蓋骨有二棘，常居岩礁區海域。（2）鱈魚的別稱。參見「鱈魚」條。 |</v>
      </c>
    </row>
    <row r="2594" spans="1:44" hidden="1">
      <c r="A2594" s="1" t="s">
        <v>3669</v>
      </c>
      <c r="C2594" s="1">
        <v>1</v>
      </c>
      <c r="D2594" s="1" t="str">
        <f>"01466"</f>
        <v>01466</v>
      </c>
      <c r="E2594" s="1" t="s">
        <v>709</v>
      </c>
      <c r="F2594" s="1">
        <v>12</v>
      </c>
      <c r="G2594" s="1">
        <v>4</v>
      </c>
      <c r="H2594" s="1">
        <v>0</v>
      </c>
      <c r="I2594" s="1" t="s">
        <v>3649</v>
      </c>
      <c r="K2594" s="1" t="str">
        <f t="shared" si="165"/>
        <v>ㄇ</v>
      </c>
      <c r="L2594" s="1" t="str">
        <f t="shared" si="166"/>
        <v>ㄧ</v>
      </c>
      <c r="M2594" s="1" t="str">
        <f t="shared" si="164"/>
        <v>ㄣ</v>
      </c>
      <c r="P2594" s="1" t="s">
        <v>20</v>
      </c>
      <c r="R2594" s="1" t="s">
        <v>3650</v>
      </c>
      <c r="V2594" s="1" t="s">
        <v>3670</v>
      </c>
      <c r="AR2594" s="1" t="str">
        <f t="shared" si="163"/>
        <v>| [ㄇㄧㄣˇ](ㄇㄧㄣˇ.md) | [閔](閔.md) |  | mǐn | [動]
1.憐恤。通「愍」。《詩經．豳風．東山序》：「君子之於人，序其情而閔其勞。」《漢書．卷五四．蘇建傳》：「武年老，子前坐事死，上閔之。」
2.擔心、憂心。《孟子．公孫丑上》：「宋人有閔其苗之不長而揠之者。」漢．王充《論衡．問孔》：「閔道不行，失孔子情矣。」
[名]
1.憂患。《詩經．邶風．柏舟》：「覯閔既多，受侮不少。」《文選．李密．陳情表》：「臣以險釁，夙遭閔凶。」
2.姓。如唐代有閔頊。
[形]
強悍。通「暋」。《孟子．萬章下》：「殺越人于貨，閔不畏死。」 |</v>
      </c>
    </row>
    <row r="2595" spans="1:44" hidden="1">
      <c r="A2595" s="1" t="s">
        <v>3671</v>
      </c>
      <c r="C2595" s="1">
        <v>1</v>
      </c>
      <c r="D2595" s="1" t="str">
        <f>"01467"</f>
        <v>01467</v>
      </c>
      <c r="E2595" s="1" t="s">
        <v>250</v>
      </c>
      <c r="F2595" s="1">
        <v>15</v>
      </c>
      <c r="G2595" s="1">
        <v>12</v>
      </c>
      <c r="H2595" s="1">
        <v>0</v>
      </c>
      <c r="I2595" s="1" t="s">
        <v>3649</v>
      </c>
      <c r="K2595" s="1" t="str">
        <f t="shared" si="165"/>
        <v>ㄇ</v>
      </c>
      <c r="L2595" s="1" t="str">
        <f t="shared" si="166"/>
        <v>ㄧ</v>
      </c>
      <c r="M2595" s="1" t="str">
        <f t="shared" si="164"/>
        <v>ㄣ</v>
      </c>
      <c r="P2595" s="1" t="s">
        <v>20</v>
      </c>
      <c r="R2595" s="1" t="s">
        <v>3650</v>
      </c>
      <c r="V2595" s="1" t="s">
        <v>3672</v>
      </c>
      <c r="AR2595" s="1" t="str">
        <f t="shared" si="163"/>
        <v>| [ㄇㄧㄣˇ](ㄇㄧㄣˇ.md) | [憫](憫.md) |  | mǐn | [動]
1.哀憐。如：「悲天憫人」、「其情可憫」。唐．韓愈〈圬者王承福傳〉：「吾之心憫焉，是故擇其力之可能者行焉。」
2.憂傷。《孟子．公孫丑上》：「阨窮而不憫。」《資治通鑑．卷一七一．陳紀五．宣宗太建五年》：「帝以問陸令萱，令萱憫默不對。」 |</v>
      </c>
    </row>
    <row r="2596" spans="1:44" hidden="1">
      <c r="A2596" s="1" t="s">
        <v>3673</v>
      </c>
      <c r="C2596" s="1">
        <v>1</v>
      </c>
      <c r="D2596" s="1" t="str">
        <f>"01468"</f>
        <v>01468</v>
      </c>
      <c r="E2596" s="1" t="s">
        <v>3331</v>
      </c>
      <c r="F2596" s="1">
        <v>13</v>
      </c>
      <c r="G2596" s="1">
        <v>0</v>
      </c>
      <c r="H2596" s="1">
        <v>0</v>
      </c>
      <c r="I2596" s="1" t="s">
        <v>3649</v>
      </c>
      <c r="K2596" s="1" t="str">
        <f t="shared" si="165"/>
        <v>ㄇ</v>
      </c>
      <c r="L2596" s="1" t="str">
        <f t="shared" si="166"/>
        <v>ㄧ</v>
      </c>
      <c r="M2596" s="1" t="str">
        <f t="shared" si="164"/>
        <v>ㄣ</v>
      </c>
      <c r="P2596" s="1" t="s">
        <v>20</v>
      </c>
      <c r="R2596" s="1" t="s">
        <v>3650</v>
      </c>
      <c r="V2596" s="1" t="s">
        <v>3674</v>
      </c>
      <c r="AR2596" s="1" t="str">
        <f t="shared" si="163"/>
        <v>| [ㄇㄧㄣˇ](ㄇㄧㄣˇ.md) | [黽](黽.md) |  | mǐn | [副]
勤勉、努力。《詩經．小雅．十月之交》：「黽勉從事，不敢告勞。」宋．蘇軾〈賜文武百寮太師文彥愽已下上第一表請舉樂不許批答〉：「顧未深明吾意，三復太息，難於黽從。」
[名]
二一四部首之一。 |</v>
      </c>
    </row>
    <row r="2597" spans="1:44" hidden="1">
      <c r="A2597" s="1" t="s">
        <v>3675</v>
      </c>
      <c r="C2597" s="1">
        <v>1</v>
      </c>
      <c r="D2597" s="1" t="str">
        <f>"01469"</f>
        <v>01469</v>
      </c>
      <c r="E2597" s="1" t="s">
        <v>114</v>
      </c>
      <c r="F2597" s="1">
        <v>15</v>
      </c>
      <c r="G2597" s="1">
        <v>13</v>
      </c>
      <c r="H2597" s="1">
        <v>0</v>
      </c>
      <c r="I2597" s="1" t="s">
        <v>3649</v>
      </c>
      <c r="K2597" s="1" t="str">
        <f t="shared" si="165"/>
        <v>ㄇ</v>
      </c>
      <c r="L2597" s="1" t="str">
        <f t="shared" si="166"/>
        <v>ㄧ</v>
      </c>
      <c r="M2597" s="1" t="str">
        <f t="shared" si="164"/>
        <v>ㄣ</v>
      </c>
      <c r="P2597" s="1" t="s">
        <v>20</v>
      </c>
      <c r="R2597" s="1" t="s">
        <v>3650</v>
      </c>
      <c r="V2597" s="1" t="s">
        <v>3676</v>
      </c>
      <c r="AR2597" s="1" t="str">
        <f t="shared" si="163"/>
        <v>| [ㄇㄧㄣˇ](ㄇㄧㄣˇ.md) | [僶](僶.md) |  | mǐn | 參見「僶勉」條。 |</v>
      </c>
    </row>
    <row r="2598" spans="1:44" hidden="1">
      <c r="A2598" s="1" t="s">
        <v>3677</v>
      </c>
      <c r="C2598" s="1">
        <v>1</v>
      </c>
      <c r="D2598" s="1" t="str">
        <f>"01470"</f>
        <v>01470</v>
      </c>
      <c r="E2598" s="1" t="s">
        <v>129</v>
      </c>
      <c r="F2598" s="1">
        <v>16</v>
      </c>
      <c r="G2598" s="1">
        <v>13</v>
      </c>
      <c r="H2598" s="1">
        <v>1</v>
      </c>
      <c r="I2598" s="1" t="s">
        <v>3649</v>
      </c>
      <c r="K2598" s="1" t="str">
        <f t="shared" si="165"/>
        <v>ㄇ</v>
      </c>
      <c r="L2598" s="1" t="str">
        <f t="shared" si="166"/>
        <v>ㄧ</v>
      </c>
      <c r="M2598" s="1" t="str">
        <f t="shared" si="164"/>
        <v>ㄣ</v>
      </c>
      <c r="P2598" s="1" t="s">
        <v>20</v>
      </c>
      <c r="R2598" s="1" t="s">
        <v>3650</v>
      </c>
      <c r="V2598" s="1" t="s">
        <v>3678</v>
      </c>
      <c r="W2598" s="1" t="s">
        <v>3679</v>
      </c>
      <c r="AR2598" s="1" t="str">
        <f t="shared" si="163"/>
        <v>| [ㄇㄧㄣˇ](ㄇㄧㄣˇ.md) | [澠](澠.md) |  | mǐn | 參見「澠池」條。 |</v>
      </c>
    </row>
    <row r="2599" spans="1:44" hidden="1">
      <c r="A2599" s="1" t="s">
        <v>3645</v>
      </c>
      <c r="C2599" s="1">
        <v>1</v>
      </c>
      <c r="D2599" s="1" t="str">
        <f>"01471"</f>
        <v>01471</v>
      </c>
      <c r="E2599" s="1" t="s">
        <v>709</v>
      </c>
      <c r="F2599" s="1">
        <v>14</v>
      </c>
      <c r="G2599" s="1">
        <v>6</v>
      </c>
      <c r="H2599" s="1">
        <v>2</v>
      </c>
      <c r="I2599" s="1" t="s">
        <v>3649</v>
      </c>
      <c r="K2599" s="1" t="str">
        <f t="shared" si="165"/>
        <v>ㄇ</v>
      </c>
      <c r="L2599" s="1" t="str">
        <f t="shared" si="166"/>
        <v>ㄧ</v>
      </c>
      <c r="M2599" s="1" t="str">
        <f t="shared" ref="M2599:M2621" si="167">MID(I2599, 3, 1)</f>
        <v>ㄣ</v>
      </c>
      <c r="P2599" s="1" t="s">
        <v>110</v>
      </c>
      <c r="R2599" s="1" t="s">
        <v>3650</v>
      </c>
      <c r="V2599" s="1" t="s">
        <v>111</v>
      </c>
      <c r="W2599" s="1" t="s">
        <v>3680</v>
      </c>
      <c r="AR2599" s="1" t="str">
        <f t="shared" si="163"/>
        <v>| [ㄇㄧㄣˇ](ㄇㄧㄣˇ.md) | [閩](閩.md) |  | mǐn | (一)之又音。 |</v>
      </c>
    </row>
    <row r="2600" spans="1:44" hidden="1">
      <c r="A2600" s="1" t="s">
        <v>3681</v>
      </c>
      <c r="C2600" s="1">
        <v>1</v>
      </c>
      <c r="D2600" s="1" t="str">
        <f>"01472"</f>
        <v>01472</v>
      </c>
      <c r="E2600" s="1" t="s">
        <v>28</v>
      </c>
      <c r="F2600" s="1">
        <v>6</v>
      </c>
      <c r="G2600" s="1">
        <v>3</v>
      </c>
      <c r="H2600" s="1">
        <v>0</v>
      </c>
      <c r="I2600" s="1" t="s">
        <v>3682</v>
      </c>
      <c r="K2600" s="1" t="str">
        <f t="shared" si="165"/>
        <v>ㄇ</v>
      </c>
      <c r="L2600" s="1" t="str">
        <f t="shared" si="166"/>
        <v>ㄧ</v>
      </c>
      <c r="M2600" s="1" t="str">
        <f t="shared" si="167"/>
        <v>ㄥ</v>
      </c>
      <c r="P2600" s="1" t="s">
        <v>20</v>
      </c>
      <c r="R2600" s="1" t="s">
        <v>3683</v>
      </c>
      <c r="V2600" s="1" t="s">
        <v>3684</v>
      </c>
      <c r="AR2600" s="1" t="str">
        <f t="shared" si="163"/>
        <v>| [ㄇㄧㄥˊ](ㄇㄧㄥˊ.md) | [名](名.md) |  | míng | [名]
1.人的稱號。如：「尊姓大名」、「請問芳名」。
2.事物的稱號。如：「地名」。《管子．心術上》：「物固有形、形固有名。」
3.聲譽。如：「盛名」、「令名」。
4.表示概念的名稱。《老子》第一章：「名可名，非常名。」《荀子．正名》：「名無固宜，約之以命，約定俗成，謂之宜。」
5.量詞：(1)計算人的單位。如：「學生十名，缺席一名。」(2)計算排名的單位。如：「全班第十名。」
[動]
指稱、形容。如：「莫名其妙」、「無以名之」。
[形]
1.有名的。如：「名人」、「名馬」。
2.貴重的、出色的。如：「名器」、「名酒」。 |</v>
      </c>
    </row>
    <row r="2601" spans="1:44" hidden="1">
      <c r="A2601" s="1" t="s">
        <v>3685</v>
      </c>
      <c r="C2601" s="1">
        <v>1</v>
      </c>
      <c r="D2601" s="1" t="str">
        <f>"01473"</f>
        <v>01473</v>
      </c>
      <c r="E2601" s="1" t="s">
        <v>129</v>
      </c>
      <c r="F2601" s="1">
        <v>9</v>
      </c>
      <c r="G2601" s="1">
        <v>6</v>
      </c>
      <c r="H2601" s="1">
        <v>0</v>
      </c>
      <c r="I2601" s="1" t="s">
        <v>3682</v>
      </c>
      <c r="K2601" s="1" t="str">
        <f t="shared" si="165"/>
        <v>ㄇ</v>
      </c>
      <c r="L2601" s="1" t="str">
        <f t="shared" si="166"/>
        <v>ㄧ</v>
      </c>
      <c r="M2601" s="1" t="str">
        <f t="shared" si="167"/>
        <v>ㄥ</v>
      </c>
      <c r="P2601" s="1" t="s">
        <v>20</v>
      </c>
      <c r="R2601" s="1" t="s">
        <v>3683</v>
      </c>
      <c r="V2601" s="1" t="s">
        <v>3686</v>
      </c>
      <c r="AR2601" s="1" t="str">
        <f t="shared" si="163"/>
        <v>| [ㄇㄧㄥˊ](ㄇㄧㄥˊ.md) | [洺](洺.md) |  | míng | 參見「洺河」條。 |</v>
      </c>
    </row>
    <row r="2602" spans="1:44" hidden="1">
      <c r="A2602" s="1" t="s">
        <v>3687</v>
      </c>
      <c r="C2602" s="1">
        <v>1</v>
      </c>
      <c r="D2602" s="1" t="str">
        <f>"01474"</f>
        <v>01474</v>
      </c>
      <c r="E2602" s="1" t="s">
        <v>37</v>
      </c>
      <c r="F2602" s="1">
        <v>10</v>
      </c>
      <c r="G2602" s="1">
        <v>6</v>
      </c>
      <c r="H2602" s="1">
        <v>1</v>
      </c>
      <c r="I2602" s="1" t="s">
        <v>3682</v>
      </c>
      <c r="K2602" s="1" t="str">
        <f t="shared" si="165"/>
        <v>ㄇ</v>
      </c>
      <c r="L2602" s="1" t="str">
        <f t="shared" si="166"/>
        <v>ㄧ</v>
      </c>
      <c r="M2602" s="1" t="str">
        <f t="shared" si="167"/>
        <v>ㄥ</v>
      </c>
      <c r="P2602" s="1" t="s">
        <v>20</v>
      </c>
      <c r="R2602" s="1" t="s">
        <v>3683</v>
      </c>
      <c r="V2602" s="1" t="s">
        <v>3688</v>
      </c>
      <c r="W2602" s="1" t="s">
        <v>3689</v>
      </c>
      <c r="AR2602" s="1" t="str">
        <f t="shared" si="163"/>
        <v>| [ㄇㄧㄥˊ](ㄇㄧㄥˊ.md) | [茗](茗.md) |  | míng | [名]
本指較晚採取的茶葉，現為茶的通稱。如：「品茗」、「香茗」。 |</v>
      </c>
    </row>
    <row r="2603" spans="1:44" hidden="1">
      <c r="A2603" s="1" t="s">
        <v>3690</v>
      </c>
      <c r="C2603" s="1">
        <v>1</v>
      </c>
      <c r="D2603" s="1" t="str">
        <f>"01475"</f>
        <v>01475</v>
      </c>
      <c r="E2603" s="1" t="s">
        <v>1462</v>
      </c>
      <c r="F2603" s="1">
        <v>13</v>
      </c>
      <c r="G2603" s="1">
        <v>6</v>
      </c>
      <c r="H2603" s="1">
        <v>2</v>
      </c>
      <c r="I2603" s="1" t="s">
        <v>3682</v>
      </c>
      <c r="K2603" s="1" t="str">
        <f t="shared" si="165"/>
        <v>ㄇ</v>
      </c>
      <c r="L2603" s="1" t="str">
        <f t="shared" si="166"/>
        <v>ㄧ</v>
      </c>
      <c r="M2603" s="1" t="str">
        <f t="shared" si="167"/>
        <v>ㄥ</v>
      </c>
      <c r="P2603" s="1" t="s">
        <v>110</v>
      </c>
      <c r="R2603" s="1" t="s">
        <v>3683</v>
      </c>
      <c r="V2603" s="1" t="s">
        <v>111</v>
      </c>
      <c r="W2603" s="1" t="s">
        <v>3691</v>
      </c>
      <c r="AR2603" s="1" t="str">
        <f t="shared" si="163"/>
        <v>| [ㄇㄧㄥˊ](ㄇㄧㄥˊ.md) | [酩](酩.md) |  | míng | (一)之又音。 |</v>
      </c>
    </row>
    <row r="2604" spans="1:44" hidden="1">
      <c r="A2604" s="1" t="s">
        <v>3692</v>
      </c>
      <c r="C2604" s="1">
        <v>1</v>
      </c>
      <c r="D2604" s="1" t="str">
        <f>"01476"</f>
        <v>01476</v>
      </c>
      <c r="E2604" s="1" t="s">
        <v>55</v>
      </c>
      <c r="F2604" s="1">
        <v>14</v>
      </c>
      <c r="G2604" s="1">
        <v>6</v>
      </c>
      <c r="H2604" s="1">
        <v>0</v>
      </c>
      <c r="I2604" s="1" t="s">
        <v>3682</v>
      </c>
      <c r="K2604" s="1" t="str">
        <f t="shared" si="165"/>
        <v>ㄇ</v>
      </c>
      <c r="L2604" s="1" t="str">
        <f t="shared" si="166"/>
        <v>ㄧ</v>
      </c>
      <c r="M2604" s="1" t="str">
        <f t="shared" si="167"/>
        <v>ㄥ</v>
      </c>
      <c r="P2604" s="1" t="s">
        <v>20</v>
      </c>
      <c r="R2604" s="1" t="s">
        <v>3683</v>
      </c>
      <c r="V2604" s="1" t="s">
        <v>3693</v>
      </c>
      <c r="AR2604" s="1" t="str">
        <f t="shared" si="163"/>
        <v>| [ㄇㄧㄥˊ](ㄇㄧㄥˊ.md) | [銘](銘.md) |  | míng | [名]
文體名。刻在器物或石碑上，警惕自己或讚頌他人的文字。如：「座右銘」、「墓誌銘」。
[動]
刻鏤。如：「永銘心版」。唐．柳宗元〈謝除柳州刺史表〉：「銘心鏤骨，無報上天。」《三國演義》第六〇回：「金石之言，當銘肺腑。」 |</v>
      </c>
    </row>
    <row r="2605" spans="1:44" hidden="1">
      <c r="A2605" s="1" t="s">
        <v>3694</v>
      </c>
      <c r="C2605" s="1">
        <v>1</v>
      </c>
      <c r="D2605" s="1" t="str">
        <f>"01477"</f>
        <v>01477</v>
      </c>
      <c r="E2605" s="1" t="s">
        <v>646</v>
      </c>
      <c r="F2605" s="1">
        <v>8</v>
      </c>
      <c r="G2605" s="1">
        <v>4</v>
      </c>
      <c r="H2605" s="1">
        <v>0</v>
      </c>
      <c r="I2605" s="1" t="s">
        <v>3682</v>
      </c>
      <c r="K2605" s="1" t="str">
        <f t="shared" si="165"/>
        <v>ㄇ</v>
      </c>
      <c r="L2605" s="1" t="str">
        <f t="shared" si="166"/>
        <v>ㄧ</v>
      </c>
      <c r="M2605" s="1" t="str">
        <f t="shared" si="167"/>
        <v>ㄥ</v>
      </c>
      <c r="P2605" s="1" t="s">
        <v>20</v>
      </c>
      <c r="R2605" s="1" t="s">
        <v>3683</v>
      </c>
      <c r="V2605" s="1" t="s">
        <v>3695</v>
      </c>
      <c r="AR2605" s="1" t="str">
        <f t="shared" si="163"/>
        <v>| [ㄇㄧㄥˊ](ㄇㄧㄥˊ.md) | [明](明.md) |  | míng | [動]
1.通曉。如：「明瞭」、「明白」、「他是個深明大義的人。」
2.使通曉。《左傳．僖公二十二年》：「明恥教戰，求殺敵也。」
3.昭示、彰顯。《禮記．郊特牲》：「天垂象，聖人則之郊，所以明天道也。」
4.發亮。《詩經．齊風．雞鳴》：「東方明矣，朝既昌矣。」
[形]
1.光亮的。如：「明月」、「明亮」。《文選．謝惠連．秋懷詩》：「皎皎天月明。」
2.清晰的。《漢書．卷五二．韓安國傳》：「清水明鏡，不可以形逃。」
3.聰慧、悟性很高。如：「聰明」、「明智」。《文選．陳琳．檄吳將校部曲文》：「夫見機而作，不處凶危，上聖之明也。」
4.公開的、顯露的。如：「明槍易躲，暗箭難防。」
5.才德高顯的。如：「明主」、「明君」。
6.磊落的。如：「明人不做暗事」。
7.乾淨、整潔。如：「窗明几淨」。
8.顯著的。如：「明顯」、「明效」。
9.時序在後的。如：「明天」、「明年」。
[名]
1.視覺、目力。《禮記．檀弓上》：「子夏喪其子而喪其明。」三國魏．王粲〈贈文叔良〉詩：「視明聽聰，靡事不惟。」
2.陽。相對於「陰」。《史記．卷一．五帝本紀》：「順天地之紀，幽明之占，死生之說，存亡之難。」
3.神靈。如：「神明」。
4.朝代名。參見「明朝」條。
5.姓。如清代有明耀光。 |</v>
      </c>
    </row>
    <row r="2606" spans="1:44" hidden="1">
      <c r="A2606" s="1" t="s">
        <v>3696</v>
      </c>
      <c r="C2606" s="1">
        <v>1</v>
      </c>
      <c r="D2606" s="1" t="str">
        <f>"01478"</f>
        <v>01478</v>
      </c>
      <c r="E2606" s="1" t="s">
        <v>3359</v>
      </c>
      <c r="F2606" s="1">
        <v>10</v>
      </c>
      <c r="G2606" s="1">
        <v>8</v>
      </c>
      <c r="H2606" s="1">
        <v>0</v>
      </c>
      <c r="I2606" s="1" t="s">
        <v>3682</v>
      </c>
      <c r="K2606" s="1" t="str">
        <f t="shared" si="165"/>
        <v>ㄇ</v>
      </c>
      <c r="L2606" s="1" t="str">
        <f t="shared" si="166"/>
        <v>ㄧ</v>
      </c>
      <c r="M2606" s="1" t="str">
        <f t="shared" si="167"/>
        <v>ㄥ</v>
      </c>
      <c r="P2606" s="1" t="s">
        <v>20</v>
      </c>
      <c r="R2606" s="1" t="s">
        <v>3683</v>
      </c>
      <c r="V2606" s="1" t="s">
        <v>3697</v>
      </c>
      <c r="AR2606" s="1" t="str">
        <f t="shared" si="163"/>
        <v>| [ㄇㄧㄥˊ](ㄇㄧㄥˊ.md) | [冥](冥.md) |  | míng | [形]
1.幽暗。如：「幽冥」。《漢書．卷二七．五行志下之上》：「夷伯，世大夫，正晝雷，其廟獨冥。」
2.愚昧、不明事理。如：「冥頑不靈」。
3.與人死後有關的。如：「冥婚」、「冥器」。
[動]
1.遠離。晉．陶淵明〈辛丑歲七月赴假還江陵夜行塗中〉詩：「閑居三十載，遂與塵事冥。」
2.暗合、默契。魏．高允〈徵士頌〉：「神與理冥，形隨流浪。」
[名]
1.地獄。如：「唐太宗入冥記」。《後漢書．卷二八下．馮衍傳》：「傷誠善之無辜兮，齎此恨而入冥。」
2.海。《莊子．逍遙遊》：「北冥有魚，其名為鯤，鯤之大不知其幾千里也。」
3.姓。如漢代有冥都。 |</v>
      </c>
    </row>
    <row r="2607" spans="1:44" hidden="1">
      <c r="A2607" s="1" t="s">
        <v>3698</v>
      </c>
      <c r="C2607" s="1">
        <v>1</v>
      </c>
      <c r="D2607" s="1" t="str">
        <f>"01479"</f>
        <v>01479</v>
      </c>
      <c r="E2607" s="1" t="s">
        <v>129</v>
      </c>
      <c r="F2607" s="1">
        <v>13</v>
      </c>
      <c r="G2607" s="1">
        <v>10</v>
      </c>
      <c r="H2607" s="1">
        <v>0</v>
      </c>
      <c r="I2607" s="1" t="s">
        <v>3682</v>
      </c>
      <c r="K2607" s="1" t="str">
        <f t="shared" si="165"/>
        <v>ㄇ</v>
      </c>
      <c r="L2607" s="1" t="str">
        <f t="shared" si="166"/>
        <v>ㄧ</v>
      </c>
      <c r="M2607" s="1" t="str">
        <f t="shared" si="167"/>
        <v>ㄥ</v>
      </c>
      <c r="P2607" s="1" t="s">
        <v>20</v>
      </c>
      <c r="R2607" s="1" t="s">
        <v>3683</v>
      </c>
      <c r="V2607" s="1" t="s">
        <v>3699</v>
      </c>
      <c r="AR2607" s="1" t="str">
        <f t="shared" si="163"/>
        <v>| [ㄇㄧㄥˊ](ㄇㄧㄥˊ.md) | [溟](溟.md) |  | míng | [形]
1.下小雨的樣子。《說文解字．水部》：「溟，小雨溟溟也，从水冥聲。」
2.水色黝黑的。《列子．湯問》：「有溟海者，天池也。」
[名]
海。《文選．張協．雜詩一〇首之一〇》：「雲根臨八極，雨足灑四溟。」唐．陳子昂〈感遇〉詩三八首之一七：「仲尼溺東魯，伯陽遁西溟。」 |</v>
      </c>
    </row>
    <row r="2608" spans="1:44" hidden="1">
      <c r="A2608" s="1" t="s">
        <v>3700</v>
      </c>
      <c r="C2608" s="1">
        <v>1</v>
      </c>
      <c r="D2608" s="1" t="str">
        <f>"01480"</f>
        <v>01480</v>
      </c>
      <c r="E2608" s="1" t="s">
        <v>256</v>
      </c>
      <c r="F2608" s="1">
        <v>13</v>
      </c>
      <c r="G2608" s="1">
        <v>10</v>
      </c>
      <c r="H2608" s="1">
        <v>0</v>
      </c>
      <c r="I2608" s="1" t="s">
        <v>3682</v>
      </c>
      <c r="K2608" s="1" t="str">
        <f t="shared" si="165"/>
        <v>ㄇ</v>
      </c>
      <c r="L2608" s="1" t="str">
        <f t="shared" si="166"/>
        <v>ㄧ</v>
      </c>
      <c r="M2608" s="1" t="str">
        <f t="shared" si="167"/>
        <v>ㄥ</v>
      </c>
      <c r="P2608" s="1" t="s">
        <v>20</v>
      </c>
      <c r="R2608" s="1" t="s">
        <v>3683</v>
      </c>
      <c r="V2608" s="1" t="s">
        <v>3701</v>
      </c>
      <c r="AR2608" s="1" t="str">
        <f t="shared" si="163"/>
        <v>| [ㄇㄧㄥˊ](ㄇㄧㄥˊ.md) | [鄍](鄍.md) |  | míng | [名]
地名。春秋時虞邑地，後屬晉，故址約在今大陸地區山西省平陸縣東北。 |</v>
      </c>
    </row>
    <row r="2609" spans="1:44" hidden="1">
      <c r="A2609" s="1" t="s">
        <v>3270</v>
      </c>
      <c r="C2609" s="1">
        <v>1</v>
      </c>
      <c r="D2609" s="1" t="str">
        <f>"01481"</f>
        <v>01481</v>
      </c>
      <c r="E2609" s="1" t="s">
        <v>534</v>
      </c>
      <c r="F2609" s="1">
        <v>13</v>
      </c>
      <c r="G2609" s="1">
        <v>10</v>
      </c>
      <c r="H2609" s="1">
        <v>2</v>
      </c>
      <c r="I2609" s="1" t="s">
        <v>3682</v>
      </c>
      <c r="K2609" s="1" t="str">
        <f t="shared" si="165"/>
        <v>ㄇ</v>
      </c>
      <c r="L2609" s="1" t="str">
        <f t="shared" si="166"/>
        <v>ㄧ</v>
      </c>
      <c r="M2609" s="1" t="str">
        <f t="shared" si="167"/>
        <v>ㄥ</v>
      </c>
      <c r="P2609" s="1" t="s">
        <v>20</v>
      </c>
      <c r="R2609" s="1" t="s">
        <v>3683</v>
      </c>
      <c r="V2609" s="1" t="s">
        <v>3702</v>
      </c>
      <c r="W2609" s="1" t="s">
        <v>3703</v>
      </c>
      <c r="AR2609" s="1" t="str">
        <f t="shared" si="163"/>
        <v>| [ㄇㄧㄥˊ](ㄇㄧㄥˊ.md) | [嫇](嫇.md) |  | míng | 參見「嫈嫇」條。 |</v>
      </c>
    </row>
    <row r="2610" spans="1:44" hidden="1">
      <c r="A2610" s="1" t="s">
        <v>3704</v>
      </c>
      <c r="C2610" s="1">
        <v>1</v>
      </c>
      <c r="D2610" s="1" t="str">
        <f>"01482"</f>
        <v>01482</v>
      </c>
      <c r="E2610" s="1" t="s">
        <v>37</v>
      </c>
      <c r="F2610" s="1">
        <v>14</v>
      </c>
      <c r="G2610" s="1">
        <v>10</v>
      </c>
      <c r="H2610" s="1">
        <v>0</v>
      </c>
      <c r="I2610" s="1" t="s">
        <v>3682</v>
      </c>
      <c r="K2610" s="1" t="str">
        <f t="shared" si="165"/>
        <v>ㄇ</v>
      </c>
      <c r="L2610" s="1" t="str">
        <f t="shared" si="166"/>
        <v>ㄧ</v>
      </c>
      <c r="M2610" s="1" t="str">
        <f t="shared" si="167"/>
        <v>ㄥ</v>
      </c>
      <c r="P2610" s="1" t="s">
        <v>20</v>
      </c>
      <c r="R2610" s="1" t="s">
        <v>3683</v>
      </c>
      <c r="V2610" s="1" t="s">
        <v>3705</v>
      </c>
      <c r="AR2610" s="1" t="str">
        <f t="shared" si="163"/>
        <v>| [ㄇㄧㄥˊ](ㄇㄧㄥˊ.md) | [蓂](蓂.md) |  | míng | 參見「蓂莢」條。 |</v>
      </c>
    </row>
    <row r="2611" spans="1:44" hidden="1">
      <c r="A2611" s="1" t="s">
        <v>3706</v>
      </c>
      <c r="C2611" s="1">
        <v>1</v>
      </c>
      <c r="D2611" s="1" t="str">
        <f>"01483"</f>
        <v>01483</v>
      </c>
      <c r="E2611" s="1" t="s">
        <v>646</v>
      </c>
      <c r="F2611" s="1">
        <v>14</v>
      </c>
      <c r="G2611" s="1">
        <v>10</v>
      </c>
      <c r="H2611" s="1">
        <v>1</v>
      </c>
      <c r="I2611" s="1" t="s">
        <v>3682</v>
      </c>
      <c r="K2611" s="1" t="str">
        <f t="shared" si="165"/>
        <v>ㄇ</v>
      </c>
      <c r="L2611" s="1" t="str">
        <f t="shared" si="166"/>
        <v>ㄧ</v>
      </c>
      <c r="M2611" s="1" t="str">
        <f t="shared" si="167"/>
        <v>ㄥ</v>
      </c>
      <c r="P2611" s="1" t="s">
        <v>20</v>
      </c>
      <c r="R2611" s="1" t="s">
        <v>3683</v>
      </c>
      <c r="V2611" s="1" t="s">
        <v>3707</v>
      </c>
      <c r="W2611" s="1" t="s">
        <v>3708</v>
      </c>
      <c r="AR2611" s="1" t="str">
        <f t="shared" si="163"/>
        <v>| [ㄇㄧㄥˊ](ㄇㄧㄥˊ.md) | [暝](暝.md) |  | míng | [形]
1.幽暗、昏暗。宋．張先〈木蘭花．龍頭舴艋吳兒競〉詞：「行雲去後遙山暝，已放笙歌池院靜。」
2.天晚的。唐．李白〈菩薩蠻．平林漠漠煙如織〉詞：「暝色入高樓，有人樓上愁。」 |</v>
      </c>
    </row>
    <row r="2612" spans="1:44" hidden="1">
      <c r="A2612" s="1" t="s">
        <v>3555</v>
      </c>
      <c r="C2612" s="1">
        <v>1</v>
      </c>
      <c r="D2612" s="1" t="str">
        <f>"01484"</f>
        <v>01484</v>
      </c>
      <c r="E2612" s="1" t="s">
        <v>1015</v>
      </c>
      <c r="F2612" s="1">
        <v>15</v>
      </c>
      <c r="G2612" s="1">
        <v>10</v>
      </c>
      <c r="H2612" s="1">
        <v>1</v>
      </c>
      <c r="I2612" s="1" t="s">
        <v>3682</v>
      </c>
      <c r="K2612" s="1" t="str">
        <f t="shared" si="165"/>
        <v>ㄇ</v>
      </c>
      <c r="L2612" s="1" t="str">
        <f t="shared" si="166"/>
        <v>ㄧ</v>
      </c>
      <c r="M2612" s="1" t="str">
        <f t="shared" si="167"/>
        <v>ㄥ</v>
      </c>
      <c r="P2612" s="1" t="s">
        <v>20</v>
      </c>
      <c r="R2612" s="1" t="s">
        <v>3683</v>
      </c>
      <c r="V2612" s="1" t="s">
        <v>3709</v>
      </c>
      <c r="W2612" s="1" t="s">
        <v>3710</v>
      </c>
      <c r="AR2612" s="1" t="str">
        <f t="shared" si="163"/>
        <v>| [ㄇㄧㄥˊ](ㄇㄧㄥˊ.md) | [瞑](瞑.md) |  | míng | [動]
閉目。如：「死不瞑目」。《晉書．卷九四．楊軻傳》：「潁川荀鋪，好奇之士也，造而談經，軻瞑目不答。」
[形]
昏暗。唐．李白〈涇川送族弟錞〉詩：「望極落日盡，秋深瞑猿悲。」宋．陸游〈風雲晝晦夜遂大雪〉詩：「草木盡偃伏，道路瞑不分。」 |</v>
      </c>
    </row>
    <row r="2613" spans="1:44" hidden="1">
      <c r="A2613" s="1" t="s">
        <v>3711</v>
      </c>
      <c r="C2613" s="1">
        <v>1</v>
      </c>
      <c r="D2613" s="1" t="str">
        <f>"01485"</f>
        <v>01485</v>
      </c>
      <c r="E2613" s="1" t="s">
        <v>679</v>
      </c>
      <c r="F2613" s="1">
        <v>16</v>
      </c>
      <c r="G2613" s="1">
        <v>10</v>
      </c>
      <c r="H2613" s="1">
        <v>0</v>
      </c>
      <c r="I2613" s="1" t="s">
        <v>3682</v>
      </c>
      <c r="K2613" s="1" t="str">
        <f t="shared" si="165"/>
        <v>ㄇ</v>
      </c>
      <c r="L2613" s="1" t="str">
        <f t="shared" si="166"/>
        <v>ㄧ</v>
      </c>
      <c r="M2613" s="1" t="str">
        <f t="shared" si="167"/>
        <v>ㄥ</v>
      </c>
      <c r="P2613" s="1" t="s">
        <v>20</v>
      </c>
      <c r="R2613" s="1" t="s">
        <v>3683</v>
      </c>
      <c r="V2613" s="1" t="s">
        <v>3712</v>
      </c>
      <c r="AR2613" s="1" t="str">
        <f t="shared" si="163"/>
        <v>| [ㄇㄧㄥˊ](ㄇㄧㄥˊ.md) | [螟](螟.md) |  | míng | 參見「螟蛾」、「螟蛉」等條。 |</v>
      </c>
    </row>
    <row r="2614" spans="1:44" hidden="1">
      <c r="A2614" s="1" t="s">
        <v>3713</v>
      </c>
      <c r="C2614" s="1">
        <v>1</v>
      </c>
      <c r="D2614" s="1" t="str">
        <f>"01486"</f>
        <v>01486</v>
      </c>
      <c r="E2614" s="1" t="s">
        <v>272</v>
      </c>
      <c r="F2614" s="1">
        <v>14</v>
      </c>
      <c r="G2614" s="1">
        <v>3</v>
      </c>
      <c r="H2614" s="1">
        <v>0</v>
      </c>
      <c r="I2614" s="1" t="s">
        <v>3682</v>
      </c>
      <c r="K2614" s="1" t="str">
        <f t="shared" si="165"/>
        <v>ㄇ</v>
      </c>
      <c r="L2614" s="1" t="str">
        <f t="shared" si="166"/>
        <v>ㄧ</v>
      </c>
      <c r="M2614" s="1" t="str">
        <f t="shared" si="167"/>
        <v>ㄥ</v>
      </c>
      <c r="P2614" s="1" t="s">
        <v>20</v>
      </c>
      <c r="R2614" s="1" t="s">
        <v>3683</v>
      </c>
      <c r="V2614" s="1" t="s">
        <v>3714</v>
      </c>
      <c r="AR2614" s="1" t="str">
        <f t="shared" si="163"/>
        <v>| [ㄇㄧㄥˊ](ㄇㄧㄥˊ.md) | [鳴](鳴.md) |  | míng | [動]
1.昆蟲鳥獸發聲。如：「蟬鳴」、「雞鳴」、「猿鳴」。
2.泛指一切發聲。如：「雷鳴」、「孤掌難鳴」。《禮記．學記》：「叩之以小者則小鳴，叩之以大者則大鳴。」
3.敲擊。如：「鳴鐘」、「鳴鑼」。《論語．先進》：「小子鳴鼓而攻之可也。」
4.著稱、聲名遠聞。《元史．卷一九〇．楊載傳》：「亦以文鳴於江東，紆餘豐潤，學者多傳之。」
5.宣洩。唐．韓愈〈送孟東野序〉：「大凡物不得其平則鳴。」
6.表示。如：「鳴謝」。 |</v>
      </c>
    </row>
    <row r="2615" spans="1:44" hidden="1">
      <c r="A2615" s="1" t="s">
        <v>3648</v>
      </c>
      <c r="C2615" s="1">
        <v>1</v>
      </c>
      <c r="D2615" s="1" t="str">
        <f>"01487"</f>
        <v>01487</v>
      </c>
      <c r="E2615" s="1" t="s">
        <v>438</v>
      </c>
      <c r="F2615" s="1">
        <v>5</v>
      </c>
      <c r="G2615" s="1">
        <v>0</v>
      </c>
      <c r="H2615" s="1">
        <v>2</v>
      </c>
      <c r="I2615" s="1" t="s">
        <v>3715</v>
      </c>
      <c r="K2615" s="1" t="str">
        <f t="shared" si="165"/>
        <v>ㄇ</v>
      </c>
      <c r="L2615" s="1" t="str">
        <f t="shared" si="166"/>
        <v>ㄧ</v>
      </c>
      <c r="M2615" s="1" t="str">
        <f t="shared" si="167"/>
        <v>ㄥ</v>
      </c>
      <c r="P2615" s="1" t="s">
        <v>110</v>
      </c>
      <c r="R2615" s="1" t="s">
        <v>3716</v>
      </c>
      <c r="V2615" s="1" t="s">
        <v>111</v>
      </c>
      <c r="W2615" s="1" t="s">
        <v>3717</v>
      </c>
      <c r="AR2615" s="1" t="str">
        <f t="shared" si="163"/>
        <v>| [ㄇㄧㄥˇ](ㄇㄧㄥˇ.md) | [皿](皿.md) |  | mǐng | (一)之又音。 |</v>
      </c>
    </row>
    <row r="2616" spans="1:44" hidden="1">
      <c r="A2616" s="1" t="s">
        <v>3687</v>
      </c>
      <c r="C2616" s="1">
        <v>1</v>
      </c>
      <c r="D2616" s="1" t="str">
        <f>"01488"</f>
        <v>01488</v>
      </c>
      <c r="E2616" s="1" t="s">
        <v>37</v>
      </c>
      <c r="F2616" s="1">
        <v>10</v>
      </c>
      <c r="G2616" s="1">
        <v>6</v>
      </c>
      <c r="H2616" s="1">
        <v>2</v>
      </c>
      <c r="I2616" s="1" t="s">
        <v>3715</v>
      </c>
      <c r="K2616" s="1" t="str">
        <f t="shared" si="165"/>
        <v>ㄇ</v>
      </c>
      <c r="L2616" s="1" t="str">
        <f t="shared" si="166"/>
        <v>ㄧ</v>
      </c>
      <c r="M2616" s="1" t="str">
        <f t="shared" si="167"/>
        <v>ㄥ</v>
      </c>
      <c r="P2616" s="1" t="s">
        <v>110</v>
      </c>
      <c r="R2616" s="1" t="s">
        <v>3716</v>
      </c>
      <c r="V2616" s="1" t="s">
        <v>111</v>
      </c>
      <c r="W2616" s="1" t="s">
        <v>3718</v>
      </c>
      <c r="AR2616" s="1" t="str">
        <f t="shared" si="163"/>
        <v>| [ㄇㄧㄥˇ](ㄇㄧㄥˇ.md) | [茗](茗.md) |  | mǐng | (一)之又音。 |</v>
      </c>
    </row>
    <row r="2617" spans="1:44" hidden="1">
      <c r="A2617" s="1" t="s">
        <v>3690</v>
      </c>
      <c r="C2617" s="1">
        <v>1</v>
      </c>
      <c r="D2617" s="1" t="str">
        <f>"01489"</f>
        <v>01489</v>
      </c>
      <c r="E2617" s="1" t="s">
        <v>1462</v>
      </c>
      <c r="F2617" s="1">
        <v>13</v>
      </c>
      <c r="G2617" s="1">
        <v>6</v>
      </c>
      <c r="H2617" s="1">
        <v>1</v>
      </c>
      <c r="I2617" s="1" t="s">
        <v>3715</v>
      </c>
      <c r="K2617" s="1" t="str">
        <f t="shared" si="165"/>
        <v>ㄇ</v>
      </c>
      <c r="L2617" s="1" t="str">
        <f t="shared" si="166"/>
        <v>ㄧ</v>
      </c>
      <c r="M2617" s="1" t="str">
        <f t="shared" si="167"/>
        <v>ㄥ</v>
      </c>
      <c r="P2617" s="1" t="s">
        <v>20</v>
      </c>
      <c r="R2617" s="1" t="s">
        <v>3716</v>
      </c>
      <c r="V2617" s="1" t="s">
        <v>3719</v>
      </c>
      <c r="W2617" s="1" t="s">
        <v>3720</v>
      </c>
      <c r="AR2617" s="1" t="str">
        <f t="shared" si="163"/>
        <v>| [ㄇㄧㄥˇ](ㄇㄧㄥˇ.md) | [酩](酩.md) |  | mǐng | 參見「酩酊」條。 |</v>
      </c>
    </row>
    <row r="2618" spans="1:44" hidden="1">
      <c r="A2618" s="1" t="s">
        <v>3555</v>
      </c>
      <c r="C2618" s="1">
        <v>1</v>
      </c>
      <c r="D2618" s="1" t="str">
        <f>"01490"</f>
        <v>01490</v>
      </c>
      <c r="E2618" s="1" t="s">
        <v>1015</v>
      </c>
      <c r="F2618" s="1">
        <v>15</v>
      </c>
      <c r="G2618" s="1">
        <v>10</v>
      </c>
      <c r="H2618" s="1">
        <v>2</v>
      </c>
      <c r="I2618" s="1" t="s">
        <v>3715</v>
      </c>
      <c r="K2618" s="1" t="str">
        <f t="shared" si="165"/>
        <v>ㄇ</v>
      </c>
      <c r="L2618" s="1" t="str">
        <f t="shared" si="166"/>
        <v>ㄧ</v>
      </c>
      <c r="M2618" s="1" t="str">
        <f t="shared" si="167"/>
        <v>ㄥ</v>
      </c>
      <c r="P2618" s="1" t="s">
        <v>110</v>
      </c>
      <c r="R2618" s="1" t="s">
        <v>3716</v>
      </c>
      <c r="V2618" s="1" t="s">
        <v>111</v>
      </c>
      <c r="W2618" s="1" t="s">
        <v>3721</v>
      </c>
      <c r="AR2618" s="1" t="str">
        <f t="shared" si="163"/>
        <v>| [ㄇㄧㄥˇ](ㄇㄧㄥˇ.md) | [瞑](瞑.md) |  | mǐng | (一)之又音。 |</v>
      </c>
    </row>
    <row r="2619" spans="1:44" hidden="1">
      <c r="A2619" s="1" t="s">
        <v>3308</v>
      </c>
      <c r="C2619" s="1">
        <v>1</v>
      </c>
      <c r="D2619" s="1" t="str">
        <f>"01491"</f>
        <v>01491</v>
      </c>
      <c r="E2619" s="1" t="s">
        <v>256</v>
      </c>
      <c r="F2619" s="1">
        <v>16</v>
      </c>
      <c r="G2619" s="1">
        <v>13</v>
      </c>
      <c r="H2619" s="1">
        <v>3</v>
      </c>
      <c r="I2619" s="1" t="s">
        <v>3715</v>
      </c>
      <c r="K2619" s="1" t="str">
        <f t="shared" si="165"/>
        <v>ㄇ</v>
      </c>
      <c r="L2619" s="1" t="str">
        <f t="shared" si="166"/>
        <v>ㄧ</v>
      </c>
      <c r="M2619" s="1" t="str">
        <f t="shared" si="167"/>
        <v>ㄥ</v>
      </c>
      <c r="P2619" s="1" t="s">
        <v>110</v>
      </c>
      <c r="R2619" s="1" t="s">
        <v>3716</v>
      </c>
      <c r="V2619" s="1" t="s">
        <v>111</v>
      </c>
      <c r="W2619" s="1" t="s">
        <v>3722</v>
      </c>
      <c r="AR2619" s="1" t="str">
        <f t="shared" si="163"/>
        <v>| [ㄇㄧㄥˇ](ㄇㄧㄥˇ.md) | [鄳](鄳.md) |  | mǐng | (一)之又音。 |</v>
      </c>
    </row>
    <row r="2620" spans="1:44" hidden="1">
      <c r="A2620" s="1" t="s">
        <v>3723</v>
      </c>
      <c r="C2620" s="1">
        <v>1</v>
      </c>
      <c r="D2620" s="1" t="str">
        <f>"01492"</f>
        <v>01492</v>
      </c>
      <c r="E2620" s="1" t="s">
        <v>28</v>
      </c>
      <c r="F2620" s="1">
        <v>8</v>
      </c>
      <c r="G2620" s="1">
        <v>5</v>
      </c>
      <c r="H2620" s="1">
        <v>0</v>
      </c>
      <c r="I2620" s="1" t="s">
        <v>3724</v>
      </c>
      <c r="K2620" s="1" t="str">
        <f t="shared" si="165"/>
        <v>ㄇ</v>
      </c>
      <c r="L2620" s="1" t="str">
        <f t="shared" si="166"/>
        <v>ㄧ</v>
      </c>
      <c r="M2620" s="1" t="str">
        <f t="shared" si="167"/>
        <v>ㄥ</v>
      </c>
      <c r="P2620" s="1" t="s">
        <v>20</v>
      </c>
      <c r="R2620" s="1" t="s">
        <v>3725</v>
      </c>
      <c r="V2620" s="1" t="s">
        <v>3726</v>
      </c>
      <c r="AR2620" s="1" t="str">
        <f t="shared" si="163"/>
        <v>| [ㄇㄧㄥˋ](ㄇㄧㄥˋ.md) | [命](命.md) |  | mìng | [動]
1.差遣、下命令。如：「命人送信」。唐．柳宗元〈始得西山宴游記〉：「遂命僕人過湘江，緣染溪。」
2.取定。如：「命名」、「命題」。
3.以為。如：「自命不凡」。
[名]
1.生物生存的機能。如：「生命」、「性命」。《文選．李密．陳情表》：「人命危淺，朝不慮夕。」
2.先天注定的窮通得失本分，不是後天所能改變的。《論語．顏淵》：「死生有命，富貴在天。」漢．王充《論衡．命義》：「操行善惡者，性也；禍福吉凶者，命也。」
3.上級對下級的指示。如：「遵命」、「奉命」。《左傳．成公十三年》：「寡人帥以聽命，唯好是求。」 |</v>
      </c>
    </row>
    <row r="2621" spans="1:44" hidden="1">
      <c r="A2621" s="1" t="s">
        <v>3706</v>
      </c>
      <c r="C2621" s="1">
        <v>1</v>
      </c>
      <c r="D2621" s="1" t="str">
        <f>"01493"</f>
        <v>01493</v>
      </c>
      <c r="E2621" s="1" t="s">
        <v>646</v>
      </c>
      <c r="F2621" s="1">
        <v>14</v>
      </c>
      <c r="G2621" s="1">
        <v>10</v>
      </c>
      <c r="H2621" s="1">
        <v>2</v>
      </c>
      <c r="I2621" s="1" t="s">
        <v>3724</v>
      </c>
      <c r="K2621" s="1" t="str">
        <f t="shared" si="165"/>
        <v>ㄇ</v>
      </c>
      <c r="L2621" s="1" t="str">
        <f t="shared" si="166"/>
        <v>ㄧ</v>
      </c>
      <c r="M2621" s="1" t="str">
        <f t="shared" si="167"/>
        <v>ㄥ</v>
      </c>
      <c r="P2621" s="1" t="s">
        <v>20</v>
      </c>
      <c r="R2621" s="1" t="s">
        <v>3725</v>
      </c>
      <c r="V2621" s="1" t="s">
        <v>3727</v>
      </c>
      <c r="W2621" s="1" t="s">
        <v>3728</v>
      </c>
      <c r="AR2621" s="1" t="str">
        <f t="shared" si="163"/>
        <v>| [ㄇㄧㄥˋ](ㄇㄧㄥˋ.md) | [暝](暝.md) |  | mìng | [名]
夜。唐．王維〈藍田山石門精舍〉詩：「暝宿長林下，焚香臥瑤席。」
[動]
入暮。《樂府詩集．卷七三．雜曲歌辭十三．古辭．焦仲卿妻》：「晻晻日欲暝，愁思出門啼。」 |</v>
      </c>
    </row>
    <row r="2622" spans="1:44" hidden="1">
      <c r="A2622" s="1" t="s">
        <v>2590</v>
      </c>
      <c r="C2622" s="1">
        <v>1</v>
      </c>
      <c r="D2622" s="1" t="str">
        <f>"01023"</f>
        <v>01023</v>
      </c>
      <c r="E2622" s="1" t="s">
        <v>2591</v>
      </c>
      <c r="F2622" s="1">
        <v>11</v>
      </c>
      <c r="G2622" s="1">
        <v>0</v>
      </c>
      <c r="H2622" s="1">
        <v>0</v>
      </c>
      <c r="I2622" s="1" t="s">
        <v>2592</v>
      </c>
      <c r="K2622" s="1" t="str">
        <f t="shared" si="165"/>
        <v>ㄇ</v>
      </c>
      <c r="L2622" s="1" t="str">
        <f t="shared" si="166"/>
        <v>ㄚ</v>
      </c>
      <c r="N2622" s="3" t="s">
        <v>30575</v>
      </c>
      <c r="O2622" s="3"/>
      <c r="P2622" s="1" t="s">
        <v>20</v>
      </c>
      <c r="R2622" s="1" t="s">
        <v>2593</v>
      </c>
      <c r="V2622" s="1" t="s">
        <v>2594</v>
      </c>
      <c r="AR2622" s="1" t="str">
        <f t="shared" si="163"/>
        <v>| [ㄇㄚˊ](ㄇㄚˊ.md) | [麻](麻.md) |  | má | [名]_x000D_
1.以韌皮纖維為主要用途之草本植物的統稱。其莖部的韌皮纖維長而堅韌，可供紡織用。其果實可為飼料或榨油用。種類甚多，有大麻、黃麻、業麻、苧麻、亞麻等，中國古來即有種植。_x000D_
2.大麻科「大麻」的別名，參見「大麻」條。_x000D_
3.喪服。如：「緦麻」、「披麻戴孝」。_x000D_
4.姓。如春秋時齊國有麻嬰，明代有麻三衡。_x000D_
5.二一四部首之一。_x000D_
[動]_x000D_
知覺喪失或變得遲鈍。如：「麻醉」、「麻木」。《水滸傳》第三二回：「那三、四個村漢看了，手顫腳麻，那裡敢上前來。」_x000D_
[形]_x000D_
1.聽到、看到或想到某事時，引起的不舒服感覺。如：「肉麻」、「頭皮發麻」。_x000D_
2.表面有瘢痕而粗糙的。如：「麻子」、「麻臉」。_x000D_
3.煩多而瑣碎。如：「密密麻麻」、「麻煩」。_x000D_
4.用麻加工製成的。如：「麻紗」、「麻鞋」。_x000D_
5.知覺發麻的。如：「麻辣」、「酸麻」。 |</v>
      </c>
    </row>
    <row r="2623" spans="1:44" hidden="1">
      <c r="A2623" s="1" t="s">
        <v>2595</v>
      </c>
      <c r="C2623" s="1">
        <v>1</v>
      </c>
      <c r="D2623" s="1" t="str">
        <f>"01024"</f>
        <v>01024</v>
      </c>
      <c r="E2623" s="1" t="s">
        <v>40</v>
      </c>
      <c r="F2623" s="1">
        <v>13</v>
      </c>
      <c r="G2623" s="1">
        <v>8</v>
      </c>
      <c r="H2623" s="1">
        <v>0</v>
      </c>
      <c r="I2623" s="1" t="s">
        <v>2592</v>
      </c>
      <c r="K2623" s="1" t="str">
        <f t="shared" si="165"/>
        <v>ㄇ</v>
      </c>
      <c r="L2623" s="1" t="str">
        <f t="shared" si="166"/>
        <v>ㄚ</v>
      </c>
      <c r="N2623" s="3" t="s">
        <v>30575</v>
      </c>
      <c r="O2623" s="3"/>
      <c r="P2623" s="1" t="s">
        <v>20</v>
      </c>
      <c r="R2623" s="1" t="s">
        <v>2593</v>
      </c>
      <c r="V2623" s="1" t="s">
        <v>2596</v>
      </c>
      <c r="AR2623" s="1" t="str">
        <f t="shared" si="163"/>
        <v>| [ㄇㄚˊ](ㄇㄚˊ.md) | [痲](痲.md) |  | má | [名]
參見「痲瘋」條。
[形]
因出天花所留下瘢痕的。通「麻」。如：「痲子」。
[動]
知覺喪失或變得遲鈍。通「麻」。如：「痲木」、「痲醉」。 |</v>
      </c>
    </row>
    <row r="2624" spans="1:44" hidden="1">
      <c r="A2624" s="1" t="s">
        <v>2597</v>
      </c>
      <c r="C2624" s="1">
        <v>1</v>
      </c>
      <c r="D2624" s="1" t="str">
        <f>"01025"</f>
        <v>01025</v>
      </c>
      <c r="E2624" s="1" t="s">
        <v>2591</v>
      </c>
      <c r="F2624" s="1">
        <v>14</v>
      </c>
      <c r="G2624" s="1">
        <v>3</v>
      </c>
      <c r="H2624" s="1">
        <v>3</v>
      </c>
      <c r="I2624" s="1" t="s">
        <v>2592</v>
      </c>
      <c r="K2624" s="1" t="str">
        <f t="shared" si="165"/>
        <v>ㄇ</v>
      </c>
      <c r="L2624" s="1" t="str">
        <f t="shared" si="166"/>
        <v>ㄚ</v>
      </c>
      <c r="N2624" s="3" t="s">
        <v>30575</v>
      </c>
      <c r="O2624" s="3"/>
      <c r="P2624" s="1" t="s">
        <v>20</v>
      </c>
      <c r="R2624" s="1" t="s">
        <v>2593</v>
      </c>
      <c r="V2624" s="1" t="s">
        <v>2598</v>
      </c>
      <c r="W2624" s="1" t="s">
        <v>2599</v>
      </c>
      <c r="AR2624" s="1" t="str">
        <f t="shared" si="163"/>
        <v>| [ㄇㄚˊ](ㄇㄚˊ.md) | [麼](麼.md) |  | má | [助]
置於語尾，表疑問的語氣。如：「幹麼」。 |</v>
      </c>
    </row>
    <row r="2625" spans="1:44" hidden="1">
      <c r="A2625" s="1" t="s">
        <v>2600</v>
      </c>
      <c r="C2625" s="1">
        <v>1</v>
      </c>
      <c r="D2625" s="1" t="str">
        <f>"01026"</f>
        <v>01026</v>
      </c>
      <c r="E2625" s="1" t="s">
        <v>28</v>
      </c>
      <c r="F2625" s="1">
        <v>14</v>
      </c>
      <c r="G2625" s="1">
        <v>11</v>
      </c>
      <c r="H2625" s="1">
        <v>1</v>
      </c>
      <c r="I2625" s="1" t="s">
        <v>2592</v>
      </c>
      <c r="K2625" s="1" t="str">
        <f t="shared" si="165"/>
        <v>ㄇ</v>
      </c>
      <c r="L2625" s="1" t="str">
        <f t="shared" si="166"/>
        <v>ㄚ</v>
      </c>
      <c r="N2625" s="3" t="s">
        <v>30575</v>
      </c>
      <c r="O2625" s="3"/>
      <c r="P2625" s="1" t="s">
        <v>186</v>
      </c>
      <c r="R2625" s="1" t="s">
        <v>2593</v>
      </c>
      <c r="V2625" s="1" t="s">
        <v>2601</v>
      </c>
      <c r="W2625" s="1" t="s">
        <v>2602</v>
      </c>
      <c r="AR2625" s="1" t="str">
        <f t="shared" si="163"/>
        <v>| [ㄇㄚˊ](ㄇㄚˊ.md) | [嘛](嘛.md) |  | má | [助]
用作句末語助詞。如：「幹嘛」。 |</v>
      </c>
    </row>
    <row r="2626" spans="1:44" hidden="1">
      <c r="A2626" s="1" t="s">
        <v>2603</v>
      </c>
      <c r="C2626" s="1">
        <v>1</v>
      </c>
      <c r="D2626" s="1" t="str">
        <f>"01027"</f>
        <v>01027</v>
      </c>
      <c r="E2626" s="1" t="s">
        <v>518</v>
      </c>
      <c r="F2626" s="1">
        <v>15</v>
      </c>
      <c r="G2626" s="1">
        <v>11</v>
      </c>
      <c r="H2626" s="1">
        <v>0</v>
      </c>
      <c r="I2626" s="1" t="s">
        <v>2592</v>
      </c>
      <c r="K2626" s="1" t="str">
        <f t="shared" si="165"/>
        <v>ㄇ</v>
      </c>
      <c r="L2626" s="1" t="str">
        <f t="shared" si="166"/>
        <v>ㄚ</v>
      </c>
      <c r="N2626" s="3" t="s">
        <v>30575</v>
      </c>
      <c r="O2626" s="3"/>
      <c r="P2626" s="1" t="s">
        <v>20</v>
      </c>
      <c r="R2626" s="1" t="s">
        <v>2593</v>
      </c>
      <c r="V2626" s="1" t="s">
        <v>2604</v>
      </c>
      <c r="AR2626" s="1" t="str">
        <f t="shared" si="163"/>
        <v>| [ㄇㄚˊ](ㄇㄚˊ.md) | [犘](犘.md) |  | má | [名]
原產於大陸地區巴中地區的一種大牛。唐．柳宗元〈同劉二十八院長述舊言懷感時書事奉寄澧州張員外使君五十二韻之作因其韻增至八十通贈二君子〉詩：「岸蘆翻毒蜃，磎竹鬥狂犘。」 |</v>
      </c>
    </row>
    <row r="2627" spans="1:44" hidden="1">
      <c r="A2627" s="1" t="s">
        <v>2605</v>
      </c>
      <c r="C2627" s="1">
        <v>1</v>
      </c>
      <c r="D2627" s="1" t="str">
        <f>"01028"</f>
        <v>01028</v>
      </c>
      <c r="E2627" s="1" t="s">
        <v>679</v>
      </c>
      <c r="F2627" s="1">
        <v>17</v>
      </c>
      <c r="G2627" s="1">
        <v>11</v>
      </c>
      <c r="H2627" s="1">
        <v>1</v>
      </c>
      <c r="I2627" s="1" t="s">
        <v>2592</v>
      </c>
      <c r="K2627" s="1" t="str">
        <f t="shared" si="165"/>
        <v>ㄇ</v>
      </c>
      <c r="L2627" s="1" t="str">
        <f t="shared" si="166"/>
        <v>ㄚ</v>
      </c>
      <c r="N2627" s="3" t="s">
        <v>30575</v>
      </c>
      <c r="O2627" s="3"/>
      <c r="P2627" s="1" t="s">
        <v>20</v>
      </c>
      <c r="R2627" s="1" t="s">
        <v>2593</v>
      </c>
      <c r="V2627" s="1" t="s">
        <v>2606</v>
      </c>
      <c r="W2627" s="1" t="s">
        <v>2607</v>
      </c>
      <c r="AR2627" s="1" t="str">
        <f t="shared" ref="AR2627:AR2690" si="168">"| ["&amp;I2627&amp;"]("&amp;I2627&amp;".md) | ["&amp;A2627&amp;"]("&amp;A2627&amp;".md) | "&amp;" | "&amp;R2627&amp;" | "&amp;V2627&amp;" |"</f>
        <v>| [ㄇㄚˊ](ㄇㄚˊ.md) | [蟆](蟆.md) |  | má | [名]
參見「蝦蟆」條。 |</v>
      </c>
    </row>
    <row r="2628" spans="1:44" hidden="1">
      <c r="A2628" s="1" t="s">
        <v>2608</v>
      </c>
      <c r="C2628" s="1">
        <v>1</v>
      </c>
      <c r="D2628" s="1" t="str">
        <f>"01029"</f>
        <v>01029</v>
      </c>
      <c r="E2628" s="1" t="s">
        <v>319</v>
      </c>
      <c r="F2628" s="1">
        <v>10</v>
      </c>
      <c r="G2628" s="1">
        <v>0</v>
      </c>
      <c r="H2628" s="1">
        <v>0</v>
      </c>
      <c r="I2628" s="1" t="s">
        <v>2609</v>
      </c>
      <c r="K2628" s="1" t="str">
        <f t="shared" si="165"/>
        <v>ㄇ</v>
      </c>
      <c r="L2628" s="1" t="str">
        <f t="shared" si="166"/>
        <v>ㄚ</v>
      </c>
      <c r="N2628" s="3" t="s">
        <v>30576</v>
      </c>
      <c r="O2628" s="3"/>
      <c r="P2628" s="1" t="s">
        <v>20</v>
      </c>
      <c r="R2628" s="1" t="s">
        <v>2610</v>
      </c>
      <c r="V2628" s="1" t="s">
        <v>2611</v>
      </c>
      <c r="AR2628" s="1" t="str">
        <f t="shared" si="168"/>
        <v>| [ㄇㄚˇ](ㄇㄚˇ.md) | [馬](馬.md) |  | mǎ | [名]_x000D_
1.動物名。四肢強健，每肢僅有一蹄，善跑，能載重行遠。草食性，性溫和。_x000D_
2.計數的工具。通「碼」。如：「籌馬」、「法馬」。_x000D_
3.姓。如漢代有馬融，元代有馬致遠。_x000D_
4.二一四部首之一。 |</v>
      </c>
    </row>
    <row r="2629" spans="1:44" hidden="1">
      <c r="A2629" s="1" t="s">
        <v>2612</v>
      </c>
      <c r="C2629" s="1">
        <v>1</v>
      </c>
      <c r="D2629" s="1" t="str">
        <f>"01030"</f>
        <v>01030</v>
      </c>
      <c r="E2629" s="1" t="s">
        <v>114</v>
      </c>
      <c r="F2629" s="1">
        <v>12</v>
      </c>
      <c r="G2629" s="1">
        <v>10</v>
      </c>
      <c r="H2629" s="1">
        <v>2</v>
      </c>
      <c r="I2629" s="1" t="s">
        <v>2609</v>
      </c>
      <c r="K2629" s="1" t="str">
        <f t="shared" si="165"/>
        <v>ㄇ</v>
      </c>
      <c r="L2629" s="1" t="str">
        <f t="shared" si="166"/>
        <v>ㄚ</v>
      </c>
      <c r="N2629" s="3" t="s">
        <v>30576</v>
      </c>
      <c r="O2629" s="3"/>
      <c r="P2629" s="1" t="s">
        <v>20</v>
      </c>
      <c r="R2629" s="1" t="s">
        <v>2610</v>
      </c>
      <c r="V2629" s="1" t="s">
        <v>2613</v>
      </c>
      <c r="W2629" s="1" t="s">
        <v>2614</v>
      </c>
      <c r="AR2629" s="1" t="str">
        <f t="shared" si="168"/>
        <v>| [ㄇㄚˇ](ㄇㄚˇ.md) | [傌](傌.md) |  | mǎ | [名]
象棋遊戲中，紅色棋子「馬」作「傌」，以示區別於黑子的「馬」。 |</v>
      </c>
    </row>
    <row r="2630" spans="1:44" hidden="1">
      <c r="A2630" s="1" t="s">
        <v>2615</v>
      </c>
      <c r="C2630" s="1">
        <v>1</v>
      </c>
      <c r="D2630" s="1" t="str">
        <f>"01031"</f>
        <v>01031</v>
      </c>
      <c r="E2630" s="1" t="s">
        <v>28</v>
      </c>
      <c r="F2630" s="1">
        <v>13</v>
      </c>
      <c r="G2630" s="1">
        <v>10</v>
      </c>
      <c r="H2630" s="1">
        <v>2</v>
      </c>
      <c r="I2630" s="1" t="s">
        <v>2609</v>
      </c>
      <c r="K2630" s="1" t="str">
        <f t="shared" si="165"/>
        <v>ㄇ</v>
      </c>
      <c r="L2630" s="1" t="str">
        <f t="shared" si="166"/>
        <v>ㄚ</v>
      </c>
      <c r="N2630" s="3" t="s">
        <v>30576</v>
      </c>
      <c r="O2630" s="3"/>
      <c r="P2630" s="1" t="s">
        <v>20</v>
      </c>
      <c r="R2630" s="1" t="s">
        <v>2610</v>
      </c>
      <c r="V2630" s="1" t="s">
        <v>2616</v>
      </c>
      <c r="W2630" s="1" t="s">
        <v>2617</v>
      </c>
      <c r="AR2630" s="1" t="str">
        <f t="shared" si="168"/>
        <v>| [ㄇㄚˇ](ㄇㄚˇ.md) | [嗎](嗎.md) |  | mǎ | 參見「嗎啡」、「嗎呼」等條。 |</v>
      </c>
    </row>
    <row r="2631" spans="1:44" hidden="1">
      <c r="A2631" s="1" t="s">
        <v>2618</v>
      </c>
      <c r="C2631" s="1">
        <v>1</v>
      </c>
      <c r="D2631" s="1" t="str">
        <f>"01032"</f>
        <v>01032</v>
      </c>
      <c r="E2631" s="1" t="s">
        <v>142</v>
      </c>
      <c r="F2631" s="1">
        <v>14</v>
      </c>
      <c r="G2631" s="1">
        <v>10</v>
      </c>
      <c r="H2631" s="1">
        <v>0</v>
      </c>
      <c r="I2631" s="1" t="s">
        <v>2609</v>
      </c>
      <c r="K2631" s="1" t="str">
        <f t="shared" si="165"/>
        <v>ㄇ</v>
      </c>
      <c r="L2631" s="1" t="str">
        <f t="shared" si="166"/>
        <v>ㄚ</v>
      </c>
      <c r="N2631" s="3" t="s">
        <v>30576</v>
      </c>
      <c r="O2631" s="3"/>
      <c r="P2631" s="1" t="s">
        <v>20</v>
      </c>
      <c r="R2631" s="1" t="s">
        <v>2610</v>
      </c>
      <c r="V2631" s="1" t="s">
        <v>2619</v>
      </c>
      <c r="AR2631" s="1" t="str">
        <f t="shared" si="168"/>
        <v>| [ㄇㄚˇ](ㄇㄚˇ.md) | [瑪](瑪.md) |  | mǎ | 參見「瑪瑙」條。 |</v>
      </c>
    </row>
    <row r="2632" spans="1:44" hidden="1">
      <c r="A2632" s="1" t="s">
        <v>2620</v>
      </c>
      <c r="C2632" s="1">
        <v>1</v>
      </c>
      <c r="D2632" s="1" t="str">
        <f>"01033"</f>
        <v>01033</v>
      </c>
      <c r="E2632" s="1" t="s">
        <v>169</v>
      </c>
      <c r="F2632" s="1">
        <v>15</v>
      </c>
      <c r="G2632" s="1">
        <v>10</v>
      </c>
      <c r="H2632" s="1">
        <v>0</v>
      </c>
      <c r="I2632" s="1" t="s">
        <v>2609</v>
      </c>
      <c r="K2632" s="1" t="str">
        <f t="shared" si="165"/>
        <v>ㄇ</v>
      </c>
      <c r="L2632" s="1" t="str">
        <f t="shared" si="166"/>
        <v>ㄚ</v>
      </c>
      <c r="N2632" s="3" t="s">
        <v>30576</v>
      </c>
      <c r="O2632" s="3"/>
      <c r="P2632" s="1" t="s">
        <v>20</v>
      </c>
      <c r="R2632" s="1" t="s">
        <v>2610</v>
      </c>
      <c r="V2632" s="1" t="s">
        <v>2621</v>
      </c>
      <c r="AR2632" s="1" t="str">
        <f t="shared" si="168"/>
        <v>| [ㄇㄚˇ](ㄇㄚˇ.md) | [碼](碼.md) |  | mǎ | [名]
1.用來記數的符號或器物。如：「號碼」、「密碼」、「頁碼」、「砝碼」。
2.量詞：(1)計算長度的單位。為英語yard的音譯。一碼等於零點九一四四公尺。(2)計算事情的單位。如：「兩碼事」。(3)計算利率的單位。即零點二五個百分點。如：「銀行最近將放款利率調降了一碼。」 |</v>
      </c>
    </row>
    <row r="2633" spans="1:44" hidden="1">
      <c r="A2633" s="1" t="s">
        <v>2582</v>
      </c>
      <c r="C2633" s="1">
        <v>1</v>
      </c>
      <c r="D2633" s="1" t="str">
        <f>"01034"</f>
        <v>01034</v>
      </c>
      <c r="E2633" s="1" t="s">
        <v>679</v>
      </c>
      <c r="F2633" s="1">
        <v>16</v>
      </c>
      <c r="G2633" s="1">
        <v>10</v>
      </c>
      <c r="H2633" s="1">
        <v>1</v>
      </c>
      <c r="I2633" s="1" t="s">
        <v>2609</v>
      </c>
      <c r="K2633" s="1" t="str">
        <f t="shared" si="165"/>
        <v>ㄇ</v>
      </c>
      <c r="L2633" s="1" t="str">
        <f t="shared" si="166"/>
        <v>ㄚ</v>
      </c>
      <c r="N2633" s="3" t="s">
        <v>30576</v>
      </c>
      <c r="O2633" s="3"/>
      <c r="P2633" s="1" t="s">
        <v>20</v>
      </c>
      <c r="R2633" s="1" t="s">
        <v>2610</v>
      </c>
      <c r="V2633" s="1" t="s">
        <v>2622</v>
      </c>
      <c r="W2633" s="1" t="s">
        <v>2623</v>
      </c>
      <c r="AR2633" s="1" t="str">
        <f t="shared" si="168"/>
        <v>| [ㄇㄚˇ](ㄇㄚˇ.md) | [螞](螞.md) |  | mǎ | 參見「螞蟻」、「螞蟥」等條。 |</v>
      </c>
    </row>
    <row r="2634" spans="1:44" hidden="1">
      <c r="A2634" s="1" t="s">
        <v>2624</v>
      </c>
      <c r="C2634" s="1">
        <v>1</v>
      </c>
      <c r="D2634" s="1" t="str">
        <f>"01035"</f>
        <v>01035</v>
      </c>
      <c r="E2634" s="1" t="s">
        <v>55</v>
      </c>
      <c r="F2634" s="1">
        <v>18</v>
      </c>
      <c r="G2634" s="1">
        <v>10</v>
      </c>
      <c r="H2634" s="1">
        <v>0</v>
      </c>
      <c r="I2634" s="1" t="s">
        <v>2609</v>
      </c>
      <c r="K2634" s="1" t="str">
        <f t="shared" si="165"/>
        <v>ㄇ</v>
      </c>
      <c r="L2634" s="1" t="str">
        <f t="shared" si="166"/>
        <v>ㄚ</v>
      </c>
      <c r="N2634" s="3" t="s">
        <v>30576</v>
      </c>
      <c r="O2634" s="3"/>
      <c r="P2634" s="1" t="s">
        <v>20</v>
      </c>
      <c r="R2634" s="1" t="s">
        <v>2610</v>
      </c>
      <c r="V2634" s="1" t="s">
        <v>2625</v>
      </c>
      <c r="AR2634" s="1" t="str">
        <f t="shared" si="168"/>
        <v>| [ㄇㄚˇ](ㄇㄚˇ.md) | [鎷](鎷.md) |  | mǎ | [名]
德國科學家於西元一九二五年誤認發現原子序43的新元素，當時命名為鎷（masurium，Ma），但一九三七年美國科學家證明為誤，而由新發現的鎝所取代。 |</v>
      </c>
    </row>
    <row r="2635" spans="1:44" hidden="1">
      <c r="A2635" s="1" t="s">
        <v>2612</v>
      </c>
      <c r="C2635" s="1">
        <v>1</v>
      </c>
      <c r="D2635" s="1" t="str">
        <f>"01036"</f>
        <v>01036</v>
      </c>
      <c r="E2635" s="1" t="s">
        <v>114</v>
      </c>
      <c r="F2635" s="1">
        <v>12</v>
      </c>
      <c r="G2635" s="1">
        <v>10</v>
      </c>
      <c r="H2635" s="1">
        <v>1</v>
      </c>
      <c r="I2635" s="1" t="s">
        <v>2626</v>
      </c>
      <c r="K2635" s="1" t="str">
        <f t="shared" si="165"/>
        <v>ㄇ</v>
      </c>
      <c r="L2635" s="1" t="str">
        <f t="shared" si="166"/>
        <v>ㄚ</v>
      </c>
      <c r="N2635" s="3" t="s">
        <v>30574</v>
      </c>
      <c r="O2635" s="3"/>
      <c r="P2635" s="1" t="s">
        <v>20</v>
      </c>
      <c r="R2635" s="1" t="s">
        <v>2627</v>
      </c>
      <c r="V2635" s="1" t="s">
        <v>2628</v>
      </c>
      <c r="W2635" s="1" t="s">
        <v>2629</v>
      </c>
      <c r="AR2635" s="1" t="str">
        <f t="shared" si="168"/>
        <v>| [ㄇㄚˋ](ㄇㄚˋ.md) | [傌](傌.md) |  | mà | [名]
漢代刑罰之一。《漢書．卷四八．賈誼傳》：「今自王侯三公之貴，……而令與眾庶同黥、劓、髡、刖、笞、傌、棄市之法。」三國魏．蘇林．注：「傌，音罵。」 |</v>
      </c>
    </row>
    <row r="2636" spans="1:44" hidden="1">
      <c r="A2636" s="1" t="s">
        <v>2630</v>
      </c>
      <c r="C2636" s="1">
        <v>1</v>
      </c>
      <c r="D2636" s="1" t="str">
        <f>"01037"</f>
        <v>01037</v>
      </c>
      <c r="E2636" s="1" t="s">
        <v>825</v>
      </c>
      <c r="F2636" s="1">
        <v>15</v>
      </c>
      <c r="G2636" s="1">
        <v>10</v>
      </c>
      <c r="H2636" s="1">
        <v>0</v>
      </c>
      <c r="I2636" s="1" t="s">
        <v>2626</v>
      </c>
      <c r="K2636" s="1" t="str">
        <f t="shared" si="165"/>
        <v>ㄇ</v>
      </c>
      <c r="L2636" s="1" t="str">
        <f t="shared" si="166"/>
        <v>ㄚ</v>
      </c>
      <c r="N2636" s="3" t="s">
        <v>30574</v>
      </c>
      <c r="O2636" s="3"/>
      <c r="P2636" s="1" t="s">
        <v>20</v>
      </c>
      <c r="R2636" s="1" t="s">
        <v>2627</v>
      </c>
      <c r="V2636" s="1" t="s">
        <v>2631</v>
      </c>
      <c r="AR2636" s="1" t="str">
        <f t="shared" si="168"/>
        <v>| [ㄇㄚˋ](ㄇㄚˋ.md) | [禡](禡.md) |  | mà | [名]
古時出兵，在駐紮地敬祀神祇的一種祭典。《說文解字．示部》：「禡，師行所止，恐有慢其神，下而祀之曰禡。」《禮記．王制》：「禡於所征之地。」漢．鄭玄．注：「禡，師祭也，為兵禱。」 |</v>
      </c>
    </row>
    <row r="2637" spans="1:44" hidden="1">
      <c r="A2637" s="1" t="s">
        <v>2632</v>
      </c>
      <c r="C2637" s="1">
        <v>1</v>
      </c>
      <c r="D2637" s="1" t="str">
        <f>"01038"</f>
        <v>01038</v>
      </c>
      <c r="E2637" s="1" t="s">
        <v>118</v>
      </c>
      <c r="F2637" s="1">
        <v>15</v>
      </c>
      <c r="G2637" s="1">
        <v>10</v>
      </c>
      <c r="H2637" s="1">
        <v>0</v>
      </c>
      <c r="I2637" s="1" t="s">
        <v>2626</v>
      </c>
      <c r="K2637" s="1" t="str">
        <f t="shared" si="165"/>
        <v>ㄇ</v>
      </c>
      <c r="L2637" s="1" t="str">
        <f t="shared" si="166"/>
        <v>ㄚ</v>
      </c>
      <c r="N2637" s="3" t="s">
        <v>30574</v>
      </c>
      <c r="O2637" s="3"/>
      <c r="P2637" s="1" t="s">
        <v>20</v>
      </c>
      <c r="R2637" s="1" t="s">
        <v>2627</v>
      </c>
      <c r="V2637" s="1" t="s">
        <v>2633</v>
      </c>
      <c r="AR2637" s="1" t="str">
        <f t="shared" si="168"/>
        <v>| [ㄇㄚˋ](ㄇㄚˋ.md) | [罵](罵.md) |  | mà | [動]
向別人說粗話、重話以示侮辱或責備。如：「責罵」、「叫罵」、「指桑罵槐」。《史記．卷五五．留侯世家》：「陛下輕士善罵，臣等義不受辱，故恐而亡匿。」《西遊記》第二五回：「你偷吃了他的果子，就受他些氣兒，讓他罵幾句便也罷了，怎麼又推倒他的樹！」 |</v>
      </c>
    </row>
    <row r="2638" spans="1:44" hidden="1">
      <c r="A2638" s="1" t="s">
        <v>2582</v>
      </c>
      <c r="C2638" s="1">
        <v>1</v>
      </c>
      <c r="D2638" s="1" t="str">
        <f>"01039"</f>
        <v>01039</v>
      </c>
      <c r="E2638" s="1" t="s">
        <v>679</v>
      </c>
      <c r="F2638" s="1">
        <v>16</v>
      </c>
      <c r="G2638" s="1">
        <v>10</v>
      </c>
      <c r="H2638" s="1">
        <v>3</v>
      </c>
      <c r="I2638" s="1" t="s">
        <v>2626</v>
      </c>
      <c r="K2638" s="1" t="str">
        <f t="shared" si="165"/>
        <v>ㄇ</v>
      </c>
      <c r="L2638" s="1" t="str">
        <f t="shared" si="166"/>
        <v>ㄚ</v>
      </c>
      <c r="N2638" s="3" t="s">
        <v>30574</v>
      </c>
      <c r="O2638" s="3"/>
      <c r="P2638" s="1" t="s">
        <v>20</v>
      </c>
      <c r="R2638" s="1" t="s">
        <v>2627</v>
      </c>
      <c r="V2638" s="1" t="s">
        <v>2634</v>
      </c>
      <c r="W2638" s="1" t="s">
        <v>2635</v>
      </c>
      <c r="AR2638" s="1" t="str">
        <f t="shared" si="168"/>
        <v>| [ㄇㄚˋ](ㄇㄚˋ.md) | [螞](螞.md) |  | mà | 參見「螞蚱」條。 |</v>
      </c>
    </row>
    <row r="2639" spans="1:44" hidden="1">
      <c r="A2639" s="1" t="s">
        <v>2615</v>
      </c>
      <c r="C2639" s="1">
        <v>1</v>
      </c>
      <c r="D2639" s="1" t="str">
        <f>"01040"</f>
        <v>01040</v>
      </c>
      <c r="E2639" s="1" t="s">
        <v>28</v>
      </c>
      <c r="F2639" s="1">
        <v>13</v>
      </c>
      <c r="G2639" s="1">
        <v>10</v>
      </c>
      <c r="H2639" s="1">
        <v>1</v>
      </c>
      <c r="I2639" s="1" t="s">
        <v>2636</v>
      </c>
      <c r="J2639" s="2" t="s">
        <v>30559</v>
      </c>
      <c r="K2639" s="1" t="s">
        <v>30563</v>
      </c>
      <c r="L2639" s="1" t="s">
        <v>24143</v>
      </c>
      <c r="P2639" s="1" t="s">
        <v>20</v>
      </c>
      <c r="R2639" s="1" t="s">
        <v>2637</v>
      </c>
      <c r="V2639" s="1" t="s">
        <v>2638</v>
      </c>
      <c r="W2639" s="1" t="s">
        <v>2639</v>
      </c>
      <c r="AR2639" s="1" t="str">
        <f t="shared" si="168"/>
        <v>| [˙ㄇㄚ](˙ㄇㄚ.md) | [嗎](嗎.md) |  | ma | [助]
1.表疑問語氣。《老殘遊記》第三回：「看見老殘，喚道：『先生，先生，你會看喉嚨嗎？』」
2.表停頓語氣，有提示下文的作用。如：「這個嗎，讓我再考慮考慮。」、「若你一定要這樣嗎，我也沒辦法。」 |</v>
      </c>
    </row>
    <row r="2640" spans="1:44" hidden="1">
      <c r="A2640" s="1" t="s">
        <v>2597</v>
      </c>
      <c r="C2640" s="1">
        <v>1</v>
      </c>
      <c r="D2640" s="1" t="str">
        <f>"01041"</f>
        <v>01041</v>
      </c>
      <c r="E2640" s="1" t="s">
        <v>2591</v>
      </c>
      <c r="F2640" s="1">
        <v>14</v>
      </c>
      <c r="G2640" s="1">
        <v>3</v>
      </c>
      <c r="H2640" s="1">
        <v>2</v>
      </c>
      <c r="I2640" s="1" t="s">
        <v>2636</v>
      </c>
      <c r="J2640" s="2" t="s">
        <v>30559</v>
      </c>
      <c r="K2640" s="1" t="s">
        <v>30563</v>
      </c>
      <c r="L2640" s="1" t="s">
        <v>24143</v>
      </c>
      <c r="P2640" s="1" t="s">
        <v>20</v>
      </c>
      <c r="R2640" s="1" t="s">
        <v>2637</v>
      </c>
      <c r="V2640" s="1" t="s">
        <v>2640</v>
      </c>
      <c r="W2640" s="1" t="s">
        <v>2641</v>
      </c>
      <c r="AR2640" s="1" t="str">
        <f t="shared" si="168"/>
        <v>| [˙ㄇㄚ](˙ㄇㄚ.md) | [麼](麼.md) |  | ma | [助]
表疑問語氣。同「嗎」(一)。唐．李中〈聽蟬寄朐山孫明府〉詩：「不知陶靖節，還動此心麼？」 |</v>
      </c>
    </row>
    <row r="2641" spans="1:44" hidden="1">
      <c r="A2641" s="1" t="s">
        <v>2600</v>
      </c>
      <c r="C2641" s="1">
        <v>1</v>
      </c>
      <c r="D2641" s="1" t="str">
        <f>"01042"</f>
        <v>01042</v>
      </c>
      <c r="E2641" s="1" t="s">
        <v>28</v>
      </c>
      <c r="F2641" s="1">
        <v>14</v>
      </c>
      <c r="G2641" s="1">
        <v>11</v>
      </c>
      <c r="H2641" s="1">
        <v>2</v>
      </c>
      <c r="I2641" s="1" t="s">
        <v>2636</v>
      </c>
      <c r="J2641" s="2" t="s">
        <v>30559</v>
      </c>
      <c r="K2641" s="1" t="s">
        <v>30563</v>
      </c>
      <c r="L2641" s="1" t="s">
        <v>24143</v>
      </c>
      <c r="P2641" s="1" t="s">
        <v>388</v>
      </c>
      <c r="R2641" s="1" t="s">
        <v>2637</v>
      </c>
      <c r="V2641" s="1" t="s">
        <v>2642</v>
      </c>
      <c r="W2641" s="1" t="s">
        <v>2643</v>
      </c>
      <c r="AR2641" s="1" t="str">
        <f t="shared" si="168"/>
        <v>| [˙ㄇㄚ](˙ㄇㄚ.md) | [嘛](嘛.md) |  | ma | [名]
參見「喇嘛」條。
[助]
表疑問語氣。同「嗎」(一)。 |</v>
      </c>
    </row>
    <row r="2642" spans="1:44" hidden="1">
      <c r="A2642" s="1" t="s">
        <v>2605</v>
      </c>
      <c r="C2642" s="1">
        <v>1</v>
      </c>
      <c r="D2642" s="1" t="str">
        <f>"01043"</f>
        <v>01043</v>
      </c>
      <c r="E2642" s="1" t="s">
        <v>679</v>
      </c>
      <c r="F2642" s="1">
        <v>17</v>
      </c>
      <c r="G2642" s="1">
        <v>11</v>
      </c>
      <c r="H2642" s="1">
        <v>2</v>
      </c>
      <c r="I2642" s="1" t="s">
        <v>2636</v>
      </c>
      <c r="J2642" s="2" t="s">
        <v>30559</v>
      </c>
      <c r="K2642" s="1" t="s">
        <v>30563</v>
      </c>
      <c r="L2642" s="1" t="s">
        <v>24143</v>
      </c>
      <c r="P2642" s="1" t="s">
        <v>110</v>
      </c>
      <c r="R2642" s="1" t="s">
        <v>2637</v>
      </c>
      <c r="V2642" s="1" t="s">
        <v>111</v>
      </c>
      <c r="W2642" s="1" t="s">
        <v>2644</v>
      </c>
      <c r="AR2642" s="1" t="str">
        <f t="shared" si="168"/>
        <v>| [˙ㄇㄚ](˙ㄇㄚ.md) | [蟆](蟆.md) |  | ma | (一)之又音。 |</v>
      </c>
    </row>
    <row r="2643" spans="1:44" hidden="1">
      <c r="A2643" s="1" t="s">
        <v>2693</v>
      </c>
      <c r="C2643" s="1">
        <v>1</v>
      </c>
      <c r="D2643" s="1" t="str">
        <f>"01062"</f>
        <v>01062</v>
      </c>
      <c r="E2643" s="1" t="s">
        <v>789</v>
      </c>
      <c r="F2643" s="1">
        <v>3</v>
      </c>
      <c r="G2643" s="1">
        <v>2</v>
      </c>
      <c r="H2643" s="1">
        <v>1</v>
      </c>
      <c r="I2643" s="1" t="s">
        <v>2694</v>
      </c>
      <c r="K2643" s="1" t="str">
        <f t="shared" ref="K2643:K2674" si="169">LEFT(I2643, 1)</f>
        <v>ㄇ</v>
      </c>
      <c r="L2643" s="1" t="str">
        <f t="shared" ref="L2643:L2674" si="170">MID(I2643, 2, 1)</f>
        <v>ㄛ</v>
      </c>
      <c r="N2643" s="3" t="s">
        <v>30574</v>
      </c>
      <c r="O2643" s="3"/>
      <c r="P2643" s="1" t="s">
        <v>20</v>
      </c>
      <c r="R2643" s="1" t="s">
        <v>2695</v>
      </c>
      <c r="V2643" s="1" t="s">
        <v>2696</v>
      </c>
      <c r="W2643" s="1" t="s">
        <v>2697</v>
      </c>
      <c r="AR2643" s="1" t="str">
        <f t="shared" si="168"/>
        <v>| [ㄇㄛˋ](ㄇㄛˋ.md) | [万](万.md) |  | mò | 參見「万俟」條。 |</v>
      </c>
    </row>
    <row r="2644" spans="1:44" hidden="1">
      <c r="A2644" s="1" t="s">
        <v>2698</v>
      </c>
      <c r="C2644" s="1">
        <v>1</v>
      </c>
      <c r="D2644" s="1" t="str">
        <f>"01063"</f>
        <v>01063</v>
      </c>
      <c r="E2644" s="1" t="s">
        <v>139</v>
      </c>
      <c r="F2644" s="1">
        <v>5</v>
      </c>
      <c r="G2644" s="1">
        <v>1</v>
      </c>
      <c r="H2644" s="1">
        <v>0</v>
      </c>
      <c r="I2644" s="1" t="s">
        <v>2694</v>
      </c>
      <c r="K2644" s="1" t="str">
        <f t="shared" si="169"/>
        <v>ㄇ</v>
      </c>
      <c r="L2644" s="1" t="str">
        <f t="shared" si="170"/>
        <v>ㄛ</v>
      </c>
      <c r="N2644" s="3" t="s">
        <v>30574</v>
      </c>
      <c r="O2644" s="3"/>
      <c r="P2644" s="1" t="s">
        <v>20</v>
      </c>
      <c r="R2644" s="1" t="s">
        <v>2695</v>
      </c>
      <c r="V2644" s="1" t="s">
        <v>2699</v>
      </c>
      <c r="AR2644" s="1" t="str">
        <f t="shared" si="168"/>
        <v>| [ㄇㄛˋ](ㄇㄛˋ.md) | [末](末.md) |  | mò | [名]
1.物體的尾端、頂梢。《孟子．梁惠王上》：「明足以察秋毫之末。」唐．李頎〈聽董大彈胡笳聲兼寄語弄房給事〉詩：「迸泉颯颯飛木末，野鹿呦呦走堂下。」
2.事物的最後階段。如：「歲末」、「二十世紀之末」。《禮記．月令》：「是月之末。」《漢書．卷八八．儒林傳．序》：「宣帝末，增倍之。」
3.後。與「前」相對。南朝梁．蕭統〈文選序〉：「荀、宋表之於前，賈、馬繼之於末。」
4.不重要、非根本的事物。如：「捨本逐末」、「本末倒置」。漢．王符《潛夫論．務本》：「凡為治之大體，莫善於抑末而務本。」
5.碎屑、細粉。如：「藥末」、「粉末」。
6.元雜劇裡扮演中年男子的角色，為後來的「生」。如：「正末」、「副末」。
7.姓。如漢代有末振將。
[形]
1.最後的。如：「末年」、「末世」、「末路」。唐．白居易〈新樂府．上陽白髮人〉：「玄宗末歲初選入，入時十六今六十。」
2.卑微的、不重要的。南朝梁．江淹〈從建平王遊紀南城詩〉：「恭承此嘉惠，末官至南荊。」
[副]
沒。《禮記．檀弓下》：「不忍一日末有所歸也。」
[助]
語氣詞。同「麼」。元．無名氏《黃花峪》第一折：「小二哥，有乾淨的閣子末？」 |</v>
      </c>
    </row>
    <row r="2645" spans="1:44" hidden="1">
      <c r="A2645" s="1" t="s">
        <v>2700</v>
      </c>
      <c r="C2645" s="1">
        <v>1</v>
      </c>
      <c r="D2645" s="1" t="str">
        <f>"01064"</f>
        <v>01064</v>
      </c>
      <c r="E2645" s="1" t="s">
        <v>129</v>
      </c>
      <c r="F2645" s="1">
        <v>8</v>
      </c>
      <c r="G2645" s="1">
        <v>5</v>
      </c>
      <c r="H2645" s="1">
        <v>0</v>
      </c>
      <c r="I2645" s="1" t="s">
        <v>2694</v>
      </c>
      <c r="K2645" s="1" t="str">
        <f t="shared" si="169"/>
        <v>ㄇ</v>
      </c>
      <c r="L2645" s="1" t="str">
        <f t="shared" si="170"/>
        <v>ㄛ</v>
      </c>
      <c r="N2645" s="3" t="s">
        <v>30574</v>
      </c>
      <c r="O2645" s="3"/>
      <c r="P2645" s="1" t="s">
        <v>20</v>
      </c>
      <c r="R2645" s="1" t="s">
        <v>2695</v>
      </c>
      <c r="V2645" s="1" t="s">
        <v>2701</v>
      </c>
      <c r="AR2645" s="1" t="str">
        <f t="shared" si="168"/>
        <v>| [ㄇㄛˋ](ㄇㄛˋ.md) | [沫](沫.md) |  | mò | [名]
1.液體形成而浮於表面的小泡。如：「泡沫」、「肥皂沫」、「茶沫兒」。
2.口水。如：「口沫」、「唾沫」、「飛沫」、「垂涎流沫」。
[動]
停止、終止。《楚辭．屈原．離騷》：「芬至今猶未沫。」南朝梁．鍾嶸〈詩品序〉：「風流未沫，亦文章之中興也。」 |</v>
      </c>
    </row>
    <row r="2646" spans="1:44" hidden="1">
      <c r="A2646" s="1" t="s">
        <v>2688</v>
      </c>
      <c r="C2646" s="1">
        <v>1</v>
      </c>
      <c r="D2646" s="1" t="str">
        <f>"01065"</f>
        <v>01065</v>
      </c>
      <c r="E2646" s="1" t="s">
        <v>24</v>
      </c>
      <c r="F2646" s="1">
        <v>8</v>
      </c>
      <c r="G2646" s="1">
        <v>5</v>
      </c>
      <c r="H2646" s="1">
        <v>2</v>
      </c>
      <c r="I2646" s="1" t="s">
        <v>2694</v>
      </c>
      <c r="K2646" s="1" t="str">
        <f t="shared" si="169"/>
        <v>ㄇ</v>
      </c>
      <c r="L2646" s="1" t="str">
        <f t="shared" si="170"/>
        <v>ㄛ</v>
      </c>
      <c r="N2646" s="3" t="s">
        <v>30574</v>
      </c>
      <c r="O2646" s="3"/>
      <c r="P2646" s="1" t="s">
        <v>20</v>
      </c>
      <c r="R2646" s="1" t="s">
        <v>2695</v>
      </c>
      <c r="V2646" s="1" t="s">
        <v>2702</v>
      </c>
      <c r="W2646" s="1" t="s">
        <v>2703</v>
      </c>
      <c r="AR2646" s="1" t="str">
        <f t="shared" si="168"/>
        <v>| [ㄇㄛˋ](ㄇㄛˋ.md) | [抹](抹.md) |  | mò | [動]_x000D_
1.用水泥或石灰塗平。如：「抹牆」、「抹灰」。_x000D_
2.繞。如：「拐彎抹角」。《醒世恆言．卷一五．赫大卿遺恨鴛鴦絛》：「抹過林子，顯出一個大寺院來。」_x000D_
3.弦樂器彈奏法，食指向內為抹。唐．白居易〈琵琶行〉：「輕攏慢撚抹復挑，初為霓裳後六么。」 |</v>
      </c>
    </row>
    <row r="2647" spans="1:44" hidden="1">
      <c r="A2647" s="1" t="s">
        <v>2704</v>
      </c>
      <c r="C2647" s="1">
        <v>1</v>
      </c>
      <c r="D2647" s="1" t="str">
        <f>"01066"</f>
        <v>01066</v>
      </c>
      <c r="E2647" s="1" t="s">
        <v>534</v>
      </c>
      <c r="F2647" s="1">
        <v>8</v>
      </c>
      <c r="G2647" s="1">
        <v>5</v>
      </c>
      <c r="H2647" s="1">
        <v>0</v>
      </c>
      <c r="I2647" s="1" t="s">
        <v>2694</v>
      </c>
      <c r="K2647" s="1" t="str">
        <f t="shared" si="169"/>
        <v>ㄇ</v>
      </c>
      <c r="L2647" s="1" t="str">
        <f t="shared" si="170"/>
        <v>ㄛ</v>
      </c>
      <c r="N2647" s="3" t="s">
        <v>30574</v>
      </c>
      <c r="O2647" s="3"/>
      <c r="P2647" s="1" t="s">
        <v>20</v>
      </c>
      <c r="R2647" s="1" t="s">
        <v>2695</v>
      </c>
      <c r="V2647" s="1" t="s">
        <v>2705</v>
      </c>
      <c r="AR2647" s="1" t="str">
        <f t="shared" si="168"/>
        <v>| [ㄇㄛˋ](ㄇㄛˋ.md) | [妺](妺.md) |  | mò | 參見「妺嬉」條。 |</v>
      </c>
    </row>
    <row r="2648" spans="1:44" hidden="1">
      <c r="A2648" s="1" t="s">
        <v>2706</v>
      </c>
      <c r="C2648" s="1">
        <v>1</v>
      </c>
      <c r="D2648" s="1" t="str">
        <f>"01067"</f>
        <v>01067</v>
      </c>
      <c r="E2648" s="1" t="s">
        <v>37</v>
      </c>
      <c r="F2648" s="1">
        <v>9</v>
      </c>
      <c r="G2648" s="1">
        <v>5</v>
      </c>
      <c r="H2648" s="1">
        <v>0</v>
      </c>
      <c r="I2648" s="1" t="s">
        <v>2694</v>
      </c>
      <c r="K2648" s="1" t="str">
        <f t="shared" si="169"/>
        <v>ㄇ</v>
      </c>
      <c r="L2648" s="1" t="str">
        <f t="shared" si="170"/>
        <v>ㄛ</v>
      </c>
      <c r="N2648" s="3" t="s">
        <v>30574</v>
      </c>
      <c r="O2648" s="3"/>
      <c r="P2648" s="1" t="s">
        <v>20</v>
      </c>
      <c r="R2648" s="1" t="s">
        <v>2695</v>
      </c>
      <c r="V2648" s="1" t="s">
        <v>2707</v>
      </c>
      <c r="AR2648" s="1" t="str">
        <f t="shared" si="168"/>
        <v>| [ㄇㄛˋ](ㄇㄛˋ.md) | [茉](茉.md) |  | mò | 參見「茉莉」條。 |</v>
      </c>
    </row>
    <row r="2649" spans="1:44" hidden="1">
      <c r="A2649" s="1" t="s">
        <v>2708</v>
      </c>
      <c r="C2649" s="1">
        <v>1</v>
      </c>
      <c r="D2649" s="1" t="str">
        <f>"01068"</f>
        <v>01068</v>
      </c>
      <c r="E2649" s="1" t="s">
        <v>429</v>
      </c>
      <c r="F2649" s="1">
        <v>10</v>
      </c>
      <c r="G2649" s="1">
        <v>5</v>
      </c>
      <c r="H2649" s="1">
        <v>0</v>
      </c>
      <c r="I2649" s="1" t="s">
        <v>2694</v>
      </c>
      <c r="K2649" s="1" t="str">
        <f t="shared" si="169"/>
        <v>ㄇ</v>
      </c>
      <c r="L2649" s="1" t="str">
        <f t="shared" si="170"/>
        <v>ㄛ</v>
      </c>
      <c r="N2649" s="3" t="s">
        <v>30574</v>
      </c>
      <c r="O2649" s="3"/>
      <c r="P2649" s="1" t="s">
        <v>20</v>
      </c>
      <c r="R2649" s="1" t="s">
        <v>2695</v>
      </c>
      <c r="V2649" s="1" t="s">
        <v>2709</v>
      </c>
      <c r="AR2649" s="1" t="str">
        <f t="shared" si="168"/>
        <v>| [ㄇㄛˋ](ㄇㄛˋ.md) | [秣](秣.md) |  | mò | [名]
餵牛馬的穀粟等飼料。如：「糧秣」。《老殘遊記．自敘》：「馬與牛，終歲勤苦，食不過芻秣。」
[動]
1.餵牲口。《左傳．成公十六年》：「秣馬利兵。」唐．韓愈．送李愿歸盤谷序：「膏吾車兮秣吾馬。」
2.牲口咀嚼食物。《荀子．勸學》：「伯牙鼓琴，而六馬仰秣。」 |</v>
      </c>
    </row>
    <row r="2650" spans="1:44" hidden="1">
      <c r="A2650" s="1" t="s">
        <v>2710</v>
      </c>
      <c r="C2650" s="1">
        <v>1</v>
      </c>
      <c r="D2650" s="1" t="str">
        <f>"01069"</f>
        <v>01069</v>
      </c>
      <c r="E2650" s="1" t="s">
        <v>340</v>
      </c>
      <c r="F2650" s="1">
        <v>11</v>
      </c>
      <c r="G2650" s="1">
        <v>5</v>
      </c>
      <c r="H2650" s="1">
        <v>1</v>
      </c>
      <c r="I2650" s="1" t="s">
        <v>2694</v>
      </c>
      <c r="K2650" s="1" t="str">
        <f t="shared" si="169"/>
        <v>ㄇ</v>
      </c>
      <c r="L2650" s="1" t="str">
        <f t="shared" si="170"/>
        <v>ㄛ</v>
      </c>
      <c r="N2650" s="3" t="s">
        <v>30574</v>
      </c>
      <c r="O2650" s="3"/>
      <c r="P2650" s="1" t="s">
        <v>20</v>
      </c>
      <c r="R2650" s="1" t="s">
        <v>2695</v>
      </c>
      <c r="V2650" s="1" t="s">
        <v>2711</v>
      </c>
      <c r="W2650" s="1" t="s">
        <v>2712</v>
      </c>
      <c r="AR2650" s="1" t="str">
        <f t="shared" si="168"/>
        <v>| [ㄇㄛˋ](ㄇㄛˋ.md) | [袜](袜.md) |  | mò | [名]
婦女所使用的抹胸、肚兜。隋．煬帝〈喜春遊歌〉：「錦袖淮南舞，寶袜楚宮腰。」也稱為「袜胸」、「袜腹」。 |</v>
      </c>
    </row>
    <row r="2651" spans="1:44" hidden="1">
      <c r="A2651" s="1" t="s">
        <v>2713</v>
      </c>
      <c r="C2651" s="1">
        <v>1</v>
      </c>
      <c r="D2651" s="1" t="str">
        <f>"01070"</f>
        <v>01070</v>
      </c>
      <c r="E2651" s="1" t="s">
        <v>96</v>
      </c>
      <c r="F2651" s="1">
        <v>14</v>
      </c>
      <c r="G2651" s="1">
        <v>5</v>
      </c>
      <c r="H2651" s="1">
        <v>0</v>
      </c>
      <c r="I2651" s="1" t="s">
        <v>2694</v>
      </c>
      <c r="K2651" s="1" t="str">
        <f t="shared" si="169"/>
        <v>ㄇ</v>
      </c>
      <c r="L2651" s="1" t="str">
        <f t="shared" si="170"/>
        <v>ㄛ</v>
      </c>
      <c r="N2651" s="3" t="s">
        <v>30574</v>
      </c>
      <c r="O2651" s="3"/>
      <c r="P2651" s="1" t="s">
        <v>20</v>
      </c>
      <c r="R2651" s="1" t="s">
        <v>2695</v>
      </c>
      <c r="V2651" s="1" t="s">
        <v>2714</v>
      </c>
      <c r="AR2651" s="1" t="str">
        <f t="shared" si="168"/>
        <v>| [ㄇㄛˋ](ㄇㄛˋ.md) | [靺](靺.md) |  | mò | 參見「靺鞨」條。 |</v>
      </c>
    </row>
    <row r="2652" spans="1:44" hidden="1">
      <c r="A2652" s="1" t="s">
        <v>2715</v>
      </c>
      <c r="C2652" s="1">
        <v>1</v>
      </c>
      <c r="D2652" s="1" t="str">
        <f>"01071"</f>
        <v>01071</v>
      </c>
      <c r="E2652" s="1" t="s">
        <v>129</v>
      </c>
      <c r="F2652" s="1">
        <v>7</v>
      </c>
      <c r="G2652" s="1">
        <v>4</v>
      </c>
      <c r="H2652" s="1">
        <v>1</v>
      </c>
      <c r="I2652" s="1" t="s">
        <v>2694</v>
      </c>
      <c r="K2652" s="1" t="str">
        <f t="shared" si="169"/>
        <v>ㄇ</v>
      </c>
      <c r="L2652" s="1" t="str">
        <f t="shared" si="170"/>
        <v>ㄛ</v>
      </c>
      <c r="N2652" s="3" t="s">
        <v>30574</v>
      </c>
      <c r="O2652" s="3"/>
      <c r="P2652" s="1" t="s">
        <v>20</v>
      </c>
      <c r="R2652" s="1" t="s">
        <v>2695</v>
      </c>
      <c r="V2652" s="1" t="s">
        <v>2716</v>
      </c>
      <c r="W2652" s="1" t="s">
        <v>2717</v>
      </c>
      <c r="AR2652" s="1" t="str">
        <f t="shared" si="168"/>
        <v>| [ㄇㄛˋ](ㄇㄛˋ.md) | [沒](沒.md) |  | mò | [動]
1.沉入水中。如：「沉沒」。南朝宋．劉義慶《世說新語．自新》：「處即刺殺虎，又入水擊蛟，蛟或浮或沒，行數十里，處與之俱。」
2.沉埋、掩覆。如：「積雪沒脛」、「水深沒膝」。唐．白居易〈錢唐湖春行〉：「亂花漸欲迷人眼，淺草纔能沒馬蹄。」
3.消失、隱而不見。如：「出沒」、「湮沒」、「泯沒」。《文選．蘇武．詩四首之三》：「參辰皆已沒，去去從此辭。」宋．蘇軾〈澄邁驛通潮閣〉詩二首之二：「杳杳天低鶻沒處，青山一髮是中原。」
4.終了、結束。如：「沒世」。唐．元稹《鶯鶯傳》：「則沒身之誓，其有終矣！」
5.扣收財物。如：「沒收」、「吞沒財物」。《三國志．卷四十七．吳書．吳主權傳》：「淵果斬彌等，送其首于魏，沒其兵資。」
6.死。通「歿」。《易經．繫辭下》：「包犧氏沒，神農氏作。」《文選．賈誼．過秦論》：「始皇既沒，餘威震于殊俗。」 |</v>
      </c>
    </row>
    <row r="2653" spans="1:44" hidden="1">
      <c r="A2653" s="1" t="s">
        <v>2718</v>
      </c>
      <c r="C2653" s="1">
        <v>1</v>
      </c>
      <c r="D2653" s="1" t="str">
        <f>"01072"</f>
        <v>01072</v>
      </c>
      <c r="E2653" s="1" t="s">
        <v>1372</v>
      </c>
      <c r="F2653" s="1">
        <v>8</v>
      </c>
      <c r="G2653" s="1">
        <v>4</v>
      </c>
      <c r="H2653" s="1">
        <v>0</v>
      </c>
      <c r="I2653" s="1" t="s">
        <v>2694</v>
      </c>
      <c r="K2653" s="1" t="str">
        <f t="shared" si="169"/>
        <v>ㄇ</v>
      </c>
      <c r="L2653" s="1" t="str">
        <f t="shared" si="170"/>
        <v>ㄛ</v>
      </c>
      <c r="N2653" s="3" t="s">
        <v>30574</v>
      </c>
      <c r="O2653" s="3"/>
      <c r="P2653" s="1" t="s">
        <v>20</v>
      </c>
      <c r="R2653" s="1" t="s">
        <v>2695</v>
      </c>
      <c r="V2653" s="1" t="s">
        <v>2719</v>
      </c>
      <c r="AR2653" s="1" t="str">
        <f t="shared" si="168"/>
        <v>| [ㄇㄛˋ](ㄇㄛˋ.md) | [歿](歿.md) |  | mò | [動]
死。如：「病歿」、「戰歿」。唐．白居易〈新樂府．杏為梁〉：「碧砌紅軒色未乾，去年身歿今移主。」唐．韓愈〈祭十二郎文〉：「中年，兄歿南方，吾與汝俱幼。」 |</v>
      </c>
    </row>
    <row r="2654" spans="1:44" hidden="1">
      <c r="A2654" s="1" t="s">
        <v>2720</v>
      </c>
      <c r="C2654" s="1">
        <v>1</v>
      </c>
      <c r="D2654" s="1" t="str">
        <f>"01073"</f>
        <v>01073</v>
      </c>
      <c r="E2654" s="1" t="s">
        <v>1372</v>
      </c>
      <c r="F2654" s="1">
        <v>8</v>
      </c>
      <c r="G2654" s="1">
        <v>4</v>
      </c>
      <c r="H2654" s="1">
        <v>0</v>
      </c>
      <c r="I2654" s="1" t="s">
        <v>2694</v>
      </c>
      <c r="K2654" s="1" t="str">
        <f t="shared" si="169"/>
        <v>ㄇ</v>
      </c>
      <c r="L2654" s="1" t="str">
        <f t="shared" si="170"/>
        <v>ㄛ</v>
      </c>
      <c r="N2654" s="3" t="s">
        <v>30574</v>
      </c>
      <c r="O2654" s="3"/>
      <c r="P2654" s="1" t="s">
        <v>20</v>
      </c>
      <c r="R2654" s="1" t="s">
        <v>2695</v>
      </c>
      <c r="V2654" s="1" t="s">
        <v>2721</v>
      </c>
      <c r="AR2654" s="1" t="str">
        <f t="shared" si="168"/>
        <v>| [ㄇㄛˋ](ㄇㄛˋ.md) | [歾](歾.md) |  | mò | [動]
死。通「歿」。 |</v>
      </c>
    </row>
    <row r="2655" spans="1:44" hidden="1">
      <c r="A2655" s="1" t="s">
        <v>219</v>
      </c>
      <c r="C2655" s="1">
        <v>1</v>
      </c>
      <c r="D2655" s="1" t="str">
        <f>"01074"</f>
        <v>01074</v>
      </c>
      <c r="E2655" s="1" t="s">
        <v>114</v>
      </c>
      <c r="F2655" s="1">
        <v>8</v>
      </c>
      <c r="G2655" s="1">
        <v>6</v>
      </c>
      <c r="H2655" s="1">
        <v>3</v>
      </c>
      <c r="I2655" s="1" t="s">
        <v>2694</v>
      </c>
      <c r="K2655" s="1" t="str">
        <f t="shared" si="169"/>
        <v>ㄇ</v>
      </c>
      <c r="L2655" s="1" t="str">
        <f t="shared" si="170"/>
        <v>ㄛ</v>
      </c>
      <c r="N2655" s="3" t="s">
        <v>30574</v>
      </c>
      <c r="O2655" s="3"/>
      <c r="P2655" s="1" t="s">
        <v>20</v>
      </c>
      <c r="R2655" s="1" t="s">
        <v>2695</v>
      </c>
      <c r="V2655" s="1" t="s">
        <v>2722</v>
      </c>
      <c r="W2655" s="1" t="s">
        <v>2723</v>
      </c>
      <c r="AR2655" s="1" t="str">
        <f t="shared" si="168"/>
        <v>| [ㄇㄛˋ](ㄇㄛˋ.md) | [佰](佰.md) |  | mò | [名]
田東西向的疆界。通「陌」。《漢書．卷八一．匡衡傳》：「鄉本田隄封三千一百頃，南以閩佰為界。」唐．顏師古．注：「佰者，田之東西界也。閩者，陌之名也。」 |</v>
      </c>
    </row>
    <row r="2656" spans="1:44" hidden="1">
      <c r="A2656" s="1" t="s">
        <v>2724</v>
      </c>
      <c r="C2656" s="1">
        <v>1</v>
      </c>
      <c r="D2656" s="1" t="str">
        <f>"01075"</f>
        <v>01075</v>
      </c>
      <c r="E2656" s="1" t="s">
        <v>691</v>
      </c>
      <c r="F2656" s="1">
        <v>9</v>
      </c>
      <c r="G2656" s="1">
        <v>6</v>
      </c>
      <c r="H2656" s="1">
        <v>0</v>
      </c>
      <c r="I2656" s="1" t="s">
        <v>2694</v>
      </c>
      <c r="K2656" s="1" t="str">
        <f t="shared" si="169"/>
        <v>ㄇ</v>
      </c>
      <c r="L2656" s="1" t="str">
        <f t="shared" si="170"/>
        <v>ㄛ</v>
      </c>
      <c r="N2656" s="3" t="s">
        <v>30574</v>
      </c>
      <c r="O2656" s="3"/>
      <c r="P2656" s="1" t="s">
        <v>20</v>
      </c>
      <c r="R2656" s="1" t="s">
        <v>2695</v>
      </c>
      <c r="V2656" s="1" t="s">
        <v>2725</v>
      </c>
      <c r="AR2656" s="1" t="str">
        <f t="shared" si="168"/>
        <v>| [ㄇㄛˋ](ㄇㄛˋ.md) | [陌](陌.md) |  | mò | [名]
1.田間東西向的小路。另有一說為南北向。如：「阡陌縱橫」。《史記．卷五．秦本紀》：「為田開阡陌。」司馬貞索隱引《風俗通》：「南北曰阡，東西曰陌。河東以東西為阡，南北為陌。」漢．曹操〈短歌行〉：「越陌度阡，枉用相存。」後泛指小路。晉．陶淵明〈詠荊軻〉詩：「素驥鳴廣陌，慷慨送我行。」
2.市中街道。《後漢書．卷七四上．袁紹傳》：「士無貴賤，與之抗禮，輜軿柴轂，填接街陌。」唐．王昌齡〈閨怨〉詩：「忽見陌頭楊柳色，悔教夫婿覓封侯。」
[副]
突然。同「驀」。《劉知遠諸宮調．第二》：「正是相別，陌聞人叫。」《三國志平話．卷中》：「眾官未吃，陌聞一聲響亮若雷。」 |</v>
      </c>
    </row>
    <row r="2657" spans="1:44" hidden="1">
      <c r="A2657" s="1" t="s">
        <v>2726</v>
      </c>
      <c r="C2657" s="1">
        <v>1</v>
      </c>
      <c r="D2657" s="1" t="str">
        <f>"01076"</f>
        <v>01076</v>
      </c>
      <c r="E2657" s="1" t="s">
        <v>537</v>
      </c>
      <c r="F2657" s="1">
        <v>13</v>
      </c>
      <c r="G2657" s="1">
        <v>6</v>
      </c>
      <c r="H2657" s="1">
        <v>0</v>
      </c>
      <c r="I2657" s="1" t="s">
        <v>2694</v>
      </c>
      <c r="K2657" s="1" t="str">
        <f t="shared" si="169"/>
        <v>ㄇ</v>
      </c>
      <c r="L2657" s="1" t="str">
        <f t="shared" si="170"/>
        <v>ㄛ</v>
      </c>
      <c r="N2657" s="3" t="s">
        <v>30574</v>
      </c>
      <c r="O2657" s="3"/>
      <c r="P2657" s="1" t="s">
        <v>20</v>
      </c>
      <c r="R2657" s="1" t="s">
        <v>2695</v>
      </c>
      <c r="V2657" s="1" t="s">
        <v>2727</v>
      </c>
      <c r="AR2657" s="1" t="str">
        <f t="shared" si="168"/>
        <v>| [ㄇㄛˋ](ㄇㄛˋ.md) | [貊](貊.md) |  | mò | [名]_x000D_
古代中國北方的一支民族。《書經．武成》：「華夏蠻貊，罔不率俾。」漢．李陵〈答蘇武書〉：「蠻貊之人尚猶嘉子之節，況為天下之主乎！」 |</v>
      </c>
    </row>
    <row r="2658" spans="1:44" hidden="1">
      <c r="A2658" s="1" t="s">
        <v>2728</v>
      </c>
      <c r="C2658" s="1">
        <v>1</v>
      </c>
      <c r="D2658" s="1" t="str">
        <f>"01077"</f>
        <v>01077</v>
      </c>
      <c r="E2658" s="1" t="s">
        <v>2729</v>
      </c>
      <c r="F2658" s="1">
        <v>9</v>
      </c>
      <c r="G2658" s="1">
        <v>7</v>
      </c>
      <c r="H2658" s="1">
        <v>2</v>
      </c>
      <c r="I2658" s="1" t="s">
        <v>2694</v>
      </c>
      <c r="K2658" s="1" t="str">
        <f t="shared" si="169"/>
        <v>ㄇ</v>
      </c>
      <c r="L2658" s="1" t="str">
        <f t="shared" si="170"/>
        <v>ㄛ</v>
      </c>
      <c r="N2658" s="3" t="s">
        <v>30574</v>
      </c>
      <c r="O2658" s="3"/>
      <c r="P2658" s="1" t="s">
        <v>20</v>
      </c>
      <c r="R2658" s="1" t="s">
        <v>2695</v>
      </c>
      <c r="V2658" s="1" t="s">
        <v>2730</v>
      </c>
      <c r="W2658" s="1" t="s">
        <v>2731</v>
      </c>
      <c r="AR2658" s="1" t="str">
        <f t="shared" si="168"/>
        <v>| [ㄇㄛˋ](ㄇㄛˋ.md) | [冒](冒.md) |  | mò | 參見「冒頓」條。 |</v>
      </c>
    </row>
    <row r="2659" spans="1:44" hidden="1">
      <c r="A2659" s="1" t="s">
        <v>2732</v>
      </c>
      <c r="C2659" s="1">
        <v>1</v>
      </c>
      <c r="D2659" s="1" t="str">
        <f>"01078"</f>
        <v>01078</v>
      </c>
      <c r="E2659" s="1" t="s">
        <v>68</v>
      </c>
      <c r="F2659" s="1">
        <v>10</v>
      </c>
      <c r="G2659" s="1">
        <v>6</v>
      </c>
      <c r="H2659" s="1">
        <v>2</v>
      </c>
      <c r="I2659" s="1" t="s">
        <v>2694</v>
      </c>
      <c r="K2659" s="1" t="str">
        <f t="shared" si="169"/>
        <v>ㄇ</v>
      </c>
      <c r="L2659" s="1" t="str">
        <f t="shared" si="170"/>
        <v>ㄛ</v>
      </c>
      <c r="N2659" s="3" t="s">
        <v>30574</v>
      </c>
      <c r="O2659" s="3"/>
      <c r="P2659" s="1" t="s">
        <v>110</v>
      </c>
      <c r="R2659" s="1" t="s">
        <v>2695</v>
      </c>
      <c r="V2659" s="1" t="s">
        <v>2733</v>
      </c>
      <c r="W2659" s="1" t="s">
        <v>2734</v>
      </c>
      <c r="AR2659" s="1" t="str">
        <f t="shared" si="168"/>
        <v>| [ㄇㄛˋ](ㄇㄛˋ.md) | [脈](脈.md) |  | mò | 1.(一)之又音。
2.通「眽」。參見「脈脈」條。 |</v>
      </c>
    </row>
    <row r="2660" spans="1:44" hidden="1">
      <c r="A2660" s="1" t="s">
        <v>2735</v>
      </c>
      <c r="C2660" s="1">
        <v>1</v>
      </c>
      <c r="D2660" s="1" t="str">
        <f>"01079"</f>
        <v>01079</v>
      </c>
      <c r="E2660" s="1" t="s">
        <v>1015</v>
      </c>
      <c r="F2660" s="1">
        <v>11</v>
      </c>
      <c r="G2660" s="1">
        <v>6</v>
      </c>
      <c r="H2660" s="1">
        <v>1</v>
      </c>
      <c r="I2660" s="1" t="s">
        <v>2694</v>
      </c>
      <c r="K2660" s="1" t="str">
        <f t="shared" si="169"/>
        <v>ㄇ</v>
      </c>
      <c r="L2660" s="1" t="str">
        <f t="shared" si="170"/>
        <v>ㄛ</v>
      </c>
      <c r="N2660" s="3" t="s">
        <v>30574</v>
      </c>
      <c r="O2660" s="3"/>
      <c r="P2660" s="1" t="s">
        <v>20</v>
      </c>
      <c r="R2660" s="1" t="s">
        <v>2695</v>
      </c>
      <c r="V2660" s="1" t="s">
        <v>2736</v>
      </c>
      <c r="W2660" s="1" t="s">
        <v>2737</v>
      </c>
      <c r="AR2660" s="1" t="str">
        <f t="shared" si="168"/>
        <v>| [ㄇㄛˋ](ㄇㄛˋ.md) | [眽](眽.md) |  | mò | [動]
斜視。《廣韻．入聲．麥韻》：「眽，《說文》曰：『目邪視也。』」
[形]
參見「眽眽」條。 |</v>
      </c>
    </row>
    <row r="2661" spans="1:44" hidden="1">
      <c r="A2661" s="1" t="s">
        <v>2738</v>
      </c>
      <c r="C2661" s="1">
        <v>1</v>
      </c>
      <c r="D2661" s="1" t="str">
        <f>"01080"</f>
        <v>01080</v>
      </c>
      <c r="E2661" s="1" t="s">
        <v>2233</v>
      </c>
      <c r="F2661" s="1">
        <v>13</v>
      </c>
      <c r="G2661" s="1">
        <v>6</v>
      </c>
      <c r="H2661" s="1">
        <v>0</v>
      </c>
      <c r="I2661" s="1" t="s">
        <v>2694</v>
      </c>
      <c r="K2661" s="1" t="str">
        <f t="shared" si="169"/>
        <v>ㄇ</v>
      </c>
      <c r="L2661" s="1" t="str">
        <f t="shared" si="170"/>
        <v>ㄛ</v>
      </c>
      <c r="N2661" s="3" t="s">
        <v>30574</v>
      </c>
      <c r="O2661" s="3"/>
      <c r="P2661" s="1" t="s">
        <v>20</v>
      </c>
      <c r="R2661" s="1" t="s">
        <v>2695</v>
      </c>
      <c r="V2661" s="1" t="s">
        <v>2739</v>
      </c>
      <c r="AR2661" s="1" t="str">
        <f t="shared" si="168"/>
        <v>| [ㄇㄛˋ](ㄇㄛˋ.md) | [覛](覛.md) |  | mò | [動]
察看。《國語．周語上》：「古者，太史順時覛土，陽癉憤盈。」 |</v>
      </c>
    </row>
    <row r="2662" spans="1:44" hidden="1">
      <c r="A2662" s="1" t="s">
        <v>2740</v>
      </c>
      <c r="C2662" s="1">
        <v>1</v>
      </c>
      <c r="D2662" s="1" t="str">
        <f>"01081"</f>
        <v>01081</v>
      </c>
      <c r="E2662" s="1" t="s">
        <v>125</v>
      </c>
      <c r="F2662" s="1">
        <v>18</v>
      </c>
      <c r="G2662" s="1">
        <v>10</v>
      </c>
      <c r="H2662" s="1">
        <v>0</v>
      </c>
      <c r="I2662" s="1" t="s">
        <v>2694</v>
      </c>
      <c r="K2662" s="1" t="str">
        <f t="shared" si="169"/>
        <v>ㄇ</v>
      </c>
      <c r="L2662" s="1" t="str">
        <f t="shared" si="170"/>
        <v>ㄛ</v>
      </c>
      <c r="N2662" s="3" t="s">
        <v>30574</v>
      </c>
      <c r="O2662" s="3"/>
      <c r="P2662" s="1" t="s">
        <v>20</v>
      </c>
      <c r="R2662" s="1" t="s">
        <v>2695</v>
      </c>
      <c r="V2662" s="1" t="s">
        <v>2741</v>
      </c>
      <c r="AR2662" s="1" t="str">
        <f t="shared" si="168"/>
        <v>| [ㄇㄛˋ](ㄇㄛˋ.md) | [霢](霢.md) |  | mò | 參見「霢霢」、「霢霂」等條。 |</v>
      </c>
    </row>
    <row r="2663" spans="1:44" hidden="1">
      <c r="A2663" s="1" t="s">
        <v>2742</v>
      </c>
      <c r="C2663" s="1">
        <v>1</v>
      </c>
      <c r="D2663" s="1" t="str">
        <f>"01082"</f>
        <v>01082</v>
      </c>
      <c r="E2663" s="1" t="s">
        <v>2743</v>
      </c>
      <c r="F2663" s="1">
        <v>11</v>
      </c>
      <c r="G2663" s="1">
        <v>0</v>
      </c>
      <c r="H2663" s="1">
        <v>2</v>
      </c>
      <c r="I2663" s="1" t="s">
        <v>2694</v>
      </c>
      <c r="K2663" s="1" t="str">
        <f t="shared" si="169"/>
        <v>ㄇ</v>
      </c>
      <c r="L2663" s="1" t="str">
        <f t="shared" si="170"/>
        <v>ㄛ</v>
      </c>
      <c r="N2663" s="3" t="s">
        <v>30574</v>
      </c>
      <c r="O2663" s="3"/>
      <c r="P2663" s="1" t="s">
        <v>186</v>
      </c>
      <c r="R2663" s="1" t="s">
        <v>2695</v>
      </c>
      <c r="V2663" s="1" t="s">
        <v>206</v>
      </c>
      <c r="W2663" s="1" t="s">
        <v>2744</v>
      </c>
      <c r="AR2663" s="1" t="str">
        <f t="shared" si="168"/>
        <v>| [ㄇㄛˋ](ㄇㄛˋ.md) | [麥](麥.md) |  | mò | (一)之讀音。 |</v>
      </c>
    </row>
    <row r="2664" spans="1:44" hidden="1">
      <c r="A2664" s="1" t="s">
        <v>2745</v>
      </c>
      <c r="C2664" s="1">
        <v>1</v>
      </c>
      <c r="D2664" s="1" t="str">
        <f>"01083"</f>
        <v>01083</v>
      </c>
      <c r="E2664" s="1" t="s">
        <v>37</v>
      </c>
      <c r="F2664" s="1">
        <v>11</v>
      </c>
      <c r="G2664" s="1">
        <v>7</v>
      </c>
      <c r="H2664" s="1">
        <v>1</v>
      </c>
      <c r="I2664" s="1" t="s">
        <v>2694</v>
      </c>
      <c r="K2664" s="1" t="str">
        <f t="shared" si="169"/>
        <v>ㄇ</v>
      </c>
      <c r="L2664" s="1" t="str">
        <f t="shared" si="170"/>
        <v>ㄛ</v>
      </c>
      <c r="N2664" s="3" t="s">
        <v>30574</v>
      </c>
      <c r="O2664" s="3"/>
      <c r="P2664" s="1" t="s">
        <v>20</v>
      </c>
      <c r="R2664" s="1" t="s">
        <v>2695</v>
      </c>
      <c r="V2664" s="1" t="s">
        <v>2746</v>
      </c>
      <c r="W2664" s="1" t="s">
        <v>2747</v>
      </c>
      <c r="AR2664" s="1" t="str">
        <f t="shared" si="168"/>
        <v>| [ㄇㄛˋ](ㄇㄛˋ.md) | [莫](莫.md) |  | mò | [副]
1.表示禁止的用語，相當於「勿」、「毋」。如：「非請莫入」、「閒言莫說」。《三國志．卷二九．魏書．方技傳．華佗傳》：「君有急病見於面，莫多飲酒。」唐．李白〈將進酒〉：「人生得意須盡歡，莫使金樽空對月。」
2.沒有。《論語．憲問》：「子曰：『莫我知也夫。』」《孟子．梁惠王上》：「晉國，天下莫強焉，叟之所知也。」
3.不能、不可。如：「變化莫測」、「莫測高深」。
[名]
姓。如北魏有莫含，清代有莫友芝。 |</v>
      </c>
    </row>
    <row r="2665" spans="1:44" hidden="1">
      <c r="A2665" s="1" t="s">
        <v>2748</v>
      </c>
      <c r="C2665" s="1">
        <v>1</v>
      </c>
      <c r="D2665" s="1" t="str">
        <f>"01084"</f>
        <v>01084</v>
      </c>
      <c r="E2665" s="1" t="s">
        <v>129</v>
      </c>
      <c r="F2665" s="1">
        <v>14</v>
      </c>
      <c r="G2665" s="1">
        <v>11</v>
      </c>
      <c r="H2665" s="1">
        <v>0</v>
      </c>
      <c r="I2665" s="1" t="s">
        <v>2694</v>
      </c>
      <c r="K2665" s="1" t="str">
        <f t="shared" si="169"/>
        <v>ㄇ</v>
      </c>
      <c r="L2665" s="1" t="str">
        <f t="shared" si="170"/>
        <v>ㄛ</v>
      </c>
      <c r="N2665" s="3" t="s">
        <v>30574</v>
      </c>
      <c r="O2665" s="3"/>
      <c r="P2665" s="1" t="s">
        <v>20</v>
      </c>
      <c r="R2665" s="1" t="s">
        <v>2695</v>
      </c>
      <c r="V2665" s="1" t="s">
        <v>2749</v>
      </c>
      <c r="AR2665" s="1" t="str">
        <f t="shared" si="168"/>
        <v>| [ㄇㄛˋ](ㄇㄛˋ.md) | [漠](漠.md) |  | mò | [名]
廣大而無水草、無人定居的積沙地帶。如：「大漠」、「沙漠」。唐．杜甫〈詠懷古跡〉詩五首之三：「一去紫臺連朔漠，獨留青冢向黃昏。」
[副]
不關心或不相關的樣子。如：「漠視」、「漠不關心」。宋．王安石〈論陶冶人才〉：「學者亦漠然自以禮樂刑政為有司之事，而非己所當知也。」
[形]
參見「漠漠」條。 |</v>
      </c>
    </row>
    <row r="2666" spans="1:44" hidden="1">
      <c r="A2666" s="1" t="s">
        <v>2750</v>
      </c>
      <c r="C2666" s="1">
        <v>1</v>
      </c>
      <c r="D2666" s="1" t="str">
        <f>"01085"</f>
        <v>01085</v>
      </c>
      <c r="E2666" s="1" t="s">
        <v>624</v>
      </c>
      <c r="F2666" s="1">
        <v>14</v>
      </c>
      <c r="G2666" s="1">
        <v>11</v>
      </c>
      <c r="H2666" s="1">
        <v>0</v>
      </c>
      <c r="I2666" s="1" t="s">
        <v>2694</v>
      </c>
      <c r="K2666" s="1" t="str">
        <f t="shared" si="169"/>
        <v>ㄇ</v>
      </c>
      <c r="L2666" s="1" t="str">
        <f t="shared" si="170"/>
        <v>ㄛ</v>
      </c>
      <c r="N2666" s="3" t="s">
        <v>30574</v>
      </c>
      <c r="O2666" s="3"/>
      <c r="P2666" s="1" t="s">
        <v>20</v>
      </c>
      <c r="R2666" s="1" t="s">
        <v>2695</v>
      </c>
      <c r="V2666" s="1" t="s">
        <v>2751</v>
      </c>
      <c r="AR2666" s="1" t="str">
        <f t="shared" si="168"/>
        <v>| [ㄇㄛˋ](ㄇㄛˋ.md) | [寞](寞.md) |  | mò | [形]
清靜、冷清。如：「落寞」、「寂寞」。 |</v>
      </c>
    </row>
    <row r="2667" spans="1:44" hidden="1">
      <c r="A2667" s="1" t="s">
        <v>2752</v>
      </c>
      <c r="C2667" s="1">
        <v>1</v>
      </c>
      <c r="D2667" s="1" t="str">
        <f>"01086"</f>
        <v>01086</v>
      </c>
      <c r="E2667" s="1" t="s">
        <v>222</v>
      </c>
      <c r="F2667" s="1">
        <v>14</v>
      </c>
      <c r="G2667" s="1">
        <v>11</v>
      </c>
      <c r="H2667" s="1">
        <v>2</v>
      </c>
      <c r="I2667" s="1" t="s">
        <v>2694</v>
      </c>
      <c r="K2667" s="1" t="str">
        <f t="shared" si="169"/>
        <v>ㄇ</v>
      </c>
      <c r="L2667" s="1" t="str">
        <f t="shared" si="170"/>
        <v>ㄛ</v>
      </c>
      <c r="N2667" s="3" t="s">
        <v>30574</v>
      </c>
      <c r="O2667" s="3"/>
      <c r="P2667" s="1" t="s">
        <v>20</v>
      </c>
      <c r="R2667" s="1" t="s">
        <v>2695</v>
      </c>
      <c r="V2667" s="1" t="s">
        <v>2753</v>
      </c>
      <c r="W2667" s="1" t="s">
        <v>2754</v>
      </c>
      <c r="AR2667" s="1" t="str">
        <f t="shared" si="168"/>
        <v>| [ㄇㄛˋ](ㄇㄛˋ.md) | [幕](幕.md) |  | mò | [名]
沙漠。通「漠」。《史記．卷一一〇．匈奴傳》：「單于聞之，遠其輜重，以精兵待於幕北。」 |</v>
      </c>
    </row>
    <row r="2668" spans="1:44" hidden="1">
      <c r="A2668" s="1" t="s">
        <v>2755</v>
      </c>
      <c r="C2668" s="1">
        <v>1</v>
      </c>
      <c r="D2668" s="1" t="str">
        <f>"01087"</f>
        <v>01087</v>
      </c>
      <c r="E2668" s="1" t="s">
        <v>256</v>
      </c>
      <c r="F2668" s="1">
        <v>14</v>
      </c>
      <c r="G2668" s="1">
        <v>11</v>
      </c>
      <c r="H2668" s="1">
        <v>0</v>
      </c>
      <c r="I2668" s="1" t="s">
        <v>2694</v>
      </c>
      <c r="K2668" s="1" t="str">
        <f t="shared" si="169"/>
        <v>ㄇ</v>
      </c>
      <c r="L2668" s="1" t="str">
        <f t="shared" si="170"/>
        <v>ㄛ</v>
      </c>
      <c r="N2668" s="3" t="s">
        <v>30574</v>
      </c>
      <c r="O2668" s="3"/>
      <c r="P2668" s="1" t="s">
        <v>20</v>
      </c>
      <c r="R2668" s="1" t="s">
        <v>2695</v>
      </c>
      <c r="V2668" s="1" t="s">
        <v>2756</v>
      </c>
      <c r="AR2668" s="1" t="str">
        <f t="shared" si="168"/>
        <v>| [ㄇㄛˋ](ㄇㄛˋ.md) | [鄚](鄚.md) |  | mò | [名]
地名。戰國時越國都邑，漢朝改置縣，故址在今大陸地區河北省任丘縣北四十四里鄚州鎮。 |</v>
      </c>
    </row>
    <row r="2669" spans="1:44" hidden="1">
      <c r="A2669" s="1" t="s">
        <v>2757</v>
      </c>
      <c r="C2669" s="1">
        <v>1</v>
      </c>
      <c r="D2669" s="1" t="str">
        <f>"01088"</f>
        <v>01088</v>
      </c>
      <c r="E2669" s="1" t="s">
        <v>28</v>
      </c>
      <c r="F2669" s="1">
        <v>14</v>
      </c>
      <c r="G2669" s="1">
        <v>11</v>
      </c>
      <c r="H2669" s="1">
        <v>0</v>
      </c>
      <c r="I2669" s="1" t="s">
        <v>2694</v>
      </c>
      <c r="K2669" s="1" t="str">
        <f t="shared" si="169"/>
        <v>ㄇ</v>
      </c>
      <c r="L2669" s="1" t="str">
        <f t="shared" si="170"/>
        <v>ㄛ</v>
      </c>
      <c r="N2669" s="3" t="s">
        <v>30574</v>
      </c>
      <c r="O2669" s="3"/>
      <c r="P2669" s="1" t="s">
        <v>20</v>
      </c>
      <c r="R2669" s="1" t="s">
        <v>2695</v>
      </c>
      <c r="V2669" s="1" t="s">
        <v>2758</v>
      </c>
      <c r="AR2669" s="1" t="str">
        <f t="shared" si="168"/>
        <v>| [ㄇㄛˋ](ㄇㄛˋ.md) | [嗼](嗼.md) |  | mò | [形]
寂靜無聲。《楚辭．嚴忌．哀時命》：「聊竄端而匿兮，嗼寂默而無聲。」《呂氏春秋．孝行覽．首時》：「飢馬盈廄，嗼然未見芻也。」 |</v>
      </c>
    </row>
    <row r="2670" spans="1:44" hidden="1">
      <c r="A2670" s="1" t="s">
        <v>2677</v>
      </c>
      <c r="C2670" s="1">
        <v>1</v>
      </c>
      <c r="D2670" s="1" t="str">
        <f>"01089"</f>
        <v>01089</v>
      </c>
      <c r="E2670" s="1" t="s">
        <v>68</v>
      </c>
      <c r="F2670" s="1">
        <v>15</v>
      </c>
      <c r="G2670" s="1">
        <v>11</v>
      </c>
      <c r="H2670" s="1">
        <v>1</v>
      </c>
      <c r="I2670" s="1" t="s">
        <v>2694</v>
      </c>
      <c r="K2670" s="1" t="str">
        <f t="shared" si="169"/>
        <v>ㄇ</v>
      </c>
      <c r="L2670" s="1" t="str">
        <f t="shared" si="170"/>
        <v>ㄛ</v>
      </c>
      <c r="N2670" s="3" t="s">
        <v>30574</v>
      </c>
      <c r="O2670" s="3"/>
      <c r="P2670" s="1" t="s">
        <v>20</v>
      </c>
      <c r="R2670" s="1" t="s">
        <v>2695</v>
      </c>
      <c r="V2670" s="1" t="s">
        <v>2759</v>
      </c>
      <c r="W2670" s="1" t="s">
        <v>2760</v>
      </c>
      <c r="AR2670" s="1" t="str">
        <f t="shared" si="168"/>
        <v>| [ㄇㄛˋ](ㄇㄛˋ.md) | [膜](膜.md) |  | mò | [名]
1.動、植物體內像薄皮的組織。如：耳膜、橫膈膜、竹內膜等。
2.像膜的薄皮物。如：笛膜、油膜、鼓膜等。
3.由脂質雙層分子組成的細胞構造，可區隔細胞或胞器的內外部。如：細胞膜、內質網膜等。英文為membrane。 |</v>
      </c>
    </row>
    <row r="2671" spans="1:44" hidden="1">
      <c r="A2671" s="1" t="s">
        <v>2761</v>
      </c>
      <c r="C2671" s="1">
        <v>1</v>
      </c>
      <c r="D2671" s="1" t="str">
        <f>"01090"</f>
        <v>01090</v>
      </c>
      <c r="E2671" s="1" t="s">
        <v>40</v>
      </c>
      <c r="F2671" s="1">
        <v>16</v>
      </c>
      <c r="G2671" s="1">
        <v>11</v>
      </c>
      <c r="H2671" s="1">
        <v>0</v>
      </c>
      <c r="I2671" s="1" t="s">
        <v>2694</v>
      </c>
      <c r="K2671" s="1" t="str">
        <f t="shared" si="169"/>
        <v>ㄇ</v>
      </c>
      <c r="L2671" s="1" t="str">
        <f t="shared" si="170"/>
        <v>ㄛ</v>
      </c>
      <c r="N2671" s="3" t="s">
        <v>30574</v>
      </c>
      <c r="O2671" s="3"/>
      <c r="P2671" s="1" t="s">
        <v>20</v>
      </c>
      <c r="R2671" s="1" t="s">
        <v>2695</v>
      </c>
      <c r="V2671" s="1" t="s">
        <v>2762</v>
      </c>
      <c r="AR2671" s="1" t="str">
        <f t="shared" si="168"/>
        <v>| [ㄇㄛˋ](ㄇㄛˋ.md) | [瘼](瘼.md) |  | mò | [名]
疾病、痛苦。《說文解字．疒部》：「瘼，病也。」《宋史．卷四三七．儒林傳七．魏了翁傳》：「戢吏姦，詢民瘼，舉刺不避權右，風采肅然。」 |</v>
      </c>
    </row>
    <row r="2672" spans="1:44" hidden="1">
      <c r="A2672" s="1" t="s">
        <v>2763</v>
      </c>
      <c r="C2672" s="1">
        <v>1</v>
      </c>
      <c r="D2672" s="1" t="str">
        <f>"01091"</f>
        <v>01091</v>
      </c>
      <c r="E2672" s="1" t="s">
        <v>537</v>
      </c>
      <c r="F2672" s="1">
        <v>18</v>
      </c>
      <c r="G2672" s="1">
        <v>11</v>
      </c>
      <c r="H2672" s="1">
        <v>0</v>
      </c>
      <c r="I2672" s="1" t="s">
        <v>2694</v>
      </c>
      <c r="K2672" s="1" t="str">
        <f t="shared" si="169"/>
        <v>ㄇ</v>
      </c>
      <c r="L2672" s="1" t="str">
        <f t="shared" si="170"/>
        <v>ㄛ</v>
      </c>
      <c r="N2672" s="3" t="s">
        <v>30574</v>
      </c>
      <c r="O2672" s="3"/>
      <c r="P2672" s="1" t="s">
        <v>20</v>
      </c>
      <c r="R2672" s="1" t="s">
        <v>2695</v>
      </c>
      <c r="V2672" s="1" t="s">
        <v>2764</v>
      </c>
      <c r="AR2672" s="1" t="str">
        <f t="shared" si="168"/>
        <v>| [ㄇㄛˋ](ㄇㄛˋ.md) | [貘](貘.md) |  | mò | 1.動物名。古籍中的食鐵獸。一說為白豹。《說文解字．豸部》：「貘，似熊而黃黑色，出蜀中。」《爾雅．釋獸》：「貘，白豹。」晉．郭璞．注：「似熊，小頭庳腳，黑白駁，能舐食銅鐵及竹骨。……或曰豹白色者別名『貘』。」《廣韻．入聲．陌韻》：「貘，食鐵獸，似熊，黃黑色。一曰白豹。」
2.動物名。哺乳綱奇蹄目。其體小於驢，皮厚似犀。毛短，頸粗，眼小，鼻突出長於下脣，屈伸自由，前肢四趾，後肢三趾。 |</v>
      </c>
    </row>
    <row r="2673" spans="1:44" hidden="1">
      <c r="A2673" s="1" t="s">
        <v>2765</v>
      </c>
      <c r="C2673" s="1">
        <v>1</v>
      </c>
      <c r="D2673" s="1" t="str">
        <f>"01092"</f>
        <v>01092</v>
      </c>
      <c r="E2673" s="1" t="s">
        <v>55</v>
      </c>
      <c r="F2673" s="1">
        <v>19</v>
      </c>
      <c r="G2673" s="1">
        <v>11</v>
      </c>
      <c r="H2673" s="1">
        <v>0</v>
      </c>
      <c r="I2673" s="1" t="s">
        <v>2694</v>
      </c>
      <c r="K2673" s="1" t="str">
        <f t="shared" si="169"/>
        <v>ㄇ</v>
      </c>
      <c r="L2673" s="1" t="str">
        <f t="shared" si="170"/>
        <v>ㄛ</v>
      </c>
      <c r="N2673" s="3" t="s">
        <v>30574</v>
      </c>
      <c r="O2673" s="3"/>
      <c r="P2673" s="1" t="s">
        <v>20</v>
      </c>
      <c r="R2673" s="1" t="s">
        <v>2695</v>
      </c>
      <c r="V2673" s="1" t="s">
        <v>2766</v>
      </c>
      <c r="AR2673" s="1" t="str">
        <f t="shared" si="168"/>
        <v>| [ㄇㄛˋ](ㄇㄛˋ.md) | [鏌](鏌.md) |  | mò | 參見「鏌釾」條。 |</v>
      </c>
    </row>
    <row r="2674" spans="1:44" hidden="1">
      <c r="A2674" s="1" t="s">
        <v>2767</v>
      </c>
      <c r="C2674" s="1">
        <v>1</v>
      </c>
      <c r="D2674" s="1" t="str">
        <f>"01093"</f>
        <v>01093</v>
      </c>
      <c r="E2674" s="1" t="s">
        <v>319</v>
      </c>
      <c r="F2674" s="1">
        <v>21</v>
      </c>
      <c r="G2674" s="1">
        <v>11</v>
      </c>
      <c r="H2674" s="1">
        <v>0</v>
      </c>
      <c r="I2674" s="1" t="s">
        <v>2694</v>
      </c>
      <c r="K2674" s="1" t="str">
        <f t="shared" si="169"/>
        <v>ㄇ</v>
      </c>
      <c r="L2674" s="1" t="str">
        <f t="shared" si="170"/>
        <v>ㄛ</v>
      </c>
      <c r="N2674" s="3" t="s">
        <v>30574</v>
      </c>
      <c r="O2674" s="3"/>
      <c r="P2674" s="1" t="s">
        <v>20</v>
      </c>
      <c r="R2674" s="1" t="s">
        <v>2695</v>
      </c>
      <c r="V2674" s="1" t="s">
        <v>2768</v>
      </c>
      <c r="AR2674" s="1" t="str">
        <f t="shared" si="168"/>
        <v>| [ㄇㄛˋ](ㄇㄛˋ.md) | [驀](驀.md) |  | mò | [動]
1.上馬乘騎。《文選．左思．吳都賦》：「驀六駮，追飛生。」
2.跨越、越過。唐．李賀〈送沈亞之歌〉：「雄光寶礦獻春卿，煙底驀波乘一葉。」元．無名氏《黃花峪》第一折：「我這裡登峻嶺，驀淺崗。」
[副]
忽然。如：「驀然回首」。宋．張炎〈解連環．楚江空晚〉詞：「暮雨相呼，怕驀地、玉關重見。」元．鄭光祖《倩女離魂》第二折：「我驀聽得馬嘶人語鬧喧嘩，掩映在垂楊下。」 |</v>
      </c>
    </row>
    <row r="2675" spans="1:44" hidden="1">
      <c r="A2675" s="1" t="s">
        <v>2769</v>
      </c>
      <c r="C2675" s="1">
        <v>1</v>
      </c>
      <c r="D2675" s="1" t="str">
        <f>"01094"</f>
        <v>01094</v>
      </c>
      <c r="E2675" s="1" t="s">
        <v>537</v>
      </c>
      <c r="F2675" s="1">
        <v>13</v>
      </c>
      <c r="G2675" s="1">
        <v>6</v>
      </c>
      <c r="H2675" s="1">
        <v>3</v>
      </c>
      <c r="I2675" s="1" t="s">
        <v>2694</v>
      </c>
      <c r="K2675" s="1" t="str">
        <f t="shared" ref="K2675:K2699" si="171">LEFT(I2675, 1)</f>
        <v>ㄇ</v>
      </c>
      <c r="L2675" s="1" t="str">
        <f t="shared" ref="L2675:L2699" si="172">MID(I2675, 2, 1)</f>
        <v>ㄛ</v>
      </c>
      <c r="N2675" s="3" t="s">
        <v>30574</v>
      </c>
      <c r="O2675" s="3"/>
      <c r="P2675" s="1" t="s">
        <v>20</v>
      </c>
      <c r="R2675" s="1" t="s">
        <v>2695</v>
      </c>
      <c r="V2675" s="1" t="s">
        <v>2770</v>
      </c>
      <c r="W2675" s="1" t="s">
        <v>2771</v>
      </c>
      <c r="AR2675" s="1" t="str">
        <f t="shared" si="168"/>
        <v>| [ㄇㄛˋ](ㄇㄛˋ.md) | [貉](貉.md) |  | mò | [名]
古代中國稱北方的一支外族為「貉」。《孟子．告子下》：「欲輕之於堯舜之道者，大貉、小貉也。」《荀子．勸學》：「干、越、夷、貉之子，生而同聲，長而異俗，教使之然也。」 |</v>
      </c>
    </row>
    <row r="2676" spans="1:44" hidden="1">
      <c r="A2676" s="1" t="s">
        <v>2772</v>
      </c>
      <c r="C2676" s="1">
        <v>1</v>
      </c>
      <c r="D2676" s="1" t="str">
        <f>"01095"</f>
        <v>01095</v>
      </c>
      <c r="E2676" s="1" t="s">
        <v>132</v>
      </c>
      <c r="F2676" s="1">
        <v>14</v>
      </c>
      <c r="G2676" s="1">
        <v>11</v>
      </c>
      <c r="H2676" s="1">
        <v>2</v>
      </c>
      <c r="I2676" s="1" t="s">
        <v>2694</v>
      </c>
      <c r="K2676" s="1" t="str">
        <f t="shared" si="171"/>
        <v>ㄇ</v>
      </c>
      <c r="L2676" s="1" t="str">
        <f t="shared" si="172"/>
        <v>ㄛ</v>
      </c>
      <c r="N2676" s="3" t="s">
        <v>30574</v>
      </c>
      <c r="O2676" s="3"/>
      <c r="P2676" s="1" t="s">
        <v>110</v>
      </c>
      <c r="R2676" s="1" t="s">
        <v>2695</v>
      </c>
      <c r="V2676" s="1" t="s">
        <v>111</v>
      </c>
      <c r="W2676" s="1" t="s">
        <v>2773</v>
      </c>
      <c r="AR2676" s="1" t="str">
        <f t="shared" si="168"/>
        <v>| [ㄇㄛˋ](ㄇㄛˋ.md) | [塺](塺.md) |  | mò | (一)之又音。 |</v>
      </c>
    </row>
    <row r="2677" spans="1:44" hidden="1">
      <c r="A2677" s="1" t="s">
        <v>2659</v>
      </c>
      <c r="C2677" s="1">
        <v>1</v>
      </c>
      <c r="D2677" s="1" t="str">
        <f>"01096"</f>
        <v>01096</v>
      </c>
      <c r="E2677" s="1" t="s">
        <v>169</v>
      </c>
      <c r="F2677" s="1">
        <v>16</v>
      </c>
      <c r="G2677" s="1">
        <v>11</v>
      </c>
      <c r="H2677" s="1">
        <v>2</v>
      </c>
      <c r="I2677" s="1" t="s">
        <v>2694</v>
      </c>
      <c r="K2677" s="1" t="str">
        <f t="shared" si="171"/>
        <v>ㄇ</v>
      </c>
      <c r="L2677" s="1" t="str">
        <f t="shared" si="172"/>
        <v>ㄛ</v>
      </c>
      <c r="N2677" s="3" t="s">
        <v>30574</v>
      </c>
      <c r="O2677" s="3"/>
      <c r="P2677" s="1" t="s">
        <v>20</v>
      </c>
      <c r="R2677" s="1" t="s">
        <v>2695</v>
      </c>
      <c r="V2677" s="1" t="s">
        <v>2774</v>
      </c>
      <c r="W2677" s="1" t="s">
        <v>2775</v>
      </c>
      <c r="AR2677" s="1" t="str">
        <f t="shared" si="168"/>
        <v>| [ㄇㄛˋ](ㄇㄛˋ.md) | [磨](磨.md) |  | mò | [名]
兩塊圓形的石盤相合，當中有軸，推轉上面一石，用來碾碎穀物的器具。也稱為「磨盤」。如：「石磨」、「磨房」。
[動]
1.推動磨子將穀物碾平。如：「磨豆腐」、「磨豆漿」。
2.掉轉，多指車輛。如：「巷子太窄，沒法子磨車。」 |</v>
      </c>
    </row>
    <row r="2678" spans="1:44" hidden="1">
      <c r="A2678" s="1" t="s">
        <v>2776</v>
      </c>
      <c r="C2678" s="1">
        <v>1</v>
      </c>
      <c r="D2678" s="1" t="str">
        <f>"01097"</f>
        <v>01097</v>
      </c>
      <c r="E2678" s="1" t="s">
        <v>2777</v>
      </c>
      <c r="F2678" s="1">
        <v>15</v>
      </c>
      <c r="G2678" s="1">
        <v>3</v>
      </c>
      <c r="H2678" s="1">
        <v>0</v>
      </c>
      <c r="I2678" s="1" t="s">
        <v>2694</v>
      </c>
      <c r="K2678" s="1" t="str">
        <f t="shared" si="171"/>
        <v>ㄇ</v>
      </c>
      <c r="L2678" s="1" t="str">
        <f t="shared" si="172"/>
        <v>ㄛ</v>
      </c>
      <c r="N2678" s="3" t="s">
        <v>30574</v>
      </c>
      <c r="O2678" s="3"/>
      <c r="P2678" s="1" t="s">
        <v>20</v>
      </c>
      <c r="R2678" s="1" t="s">
        <v>2695</v>
      </c>
      <c r="V2678" s="1" t="s">
        <v>2778</v>
      </c>
      <c r="AR2678" s="1" t="str">
        <f t="shared" si="168"/>
        <v>| [ㄇㄛˋ](ㄇㄛˋ.md) | [墨](墨.md) |  | mò | [名]
1.書畫用的黑色顏料。如：「石墨」、「筆墨」。元．王實甫《西廂記．第三本．第二折》：「一緘情淚紅猶溼，滿紙春愁墨未乾。」
2.書畫用的各色顏料。如：「藍墨」、「紅墨」。
3.文字、文章或知識。如：「胸無點墨」、「惜墨如金」、「舞文弄墨」。
4.字畫的代稱。如：「墨寶」。宋．歐陽修〈唐顏魯公法帖〉：「此本墨蹟在予亡友王子野家。」
5.古代肉刑之一。在罪人臉上刺刻染墨。《書經．呂刑》：「墨辟疑赦，其罰百鍰。」漢．孔安國．傳：「刻其顙而涅之曰墨刑。」
6.墨家的簡稱。如：「儒墨」。《孟子．滕文公下》：「天下之言，不歸楊則歸墨。」
7.姓。如戰國時宋國有墨翟。
[形]
1.黑色如墨的。如：「墨菊」、「墨綠」。《孟子．滕文公上》：「君薨，聽於冢宰，歠粥，面深墨。」
2.貪汙的。如：「墨吏」。 |</v>
      </c>
    </row>
    <row r="2679" spans="1:44" hidden="1">
      <c r="A2679" s="1" t="s">
        <v>2779</v>
      </c>
      <c r="C2679" s="1">
        <v>1</v>
      </c>
      <c r="D2679" s="1" t="str">
        <f>"01098"</f>
        <v>01098</v>
      </c>
      <c r="E2679" s="1" t="s">
        <v>28</v>
      </c>
      <c r="F2679" s="1">
        <v>15</v>
      </c>
      <c r="G2679" s="1">
        <v>12</v>
      </c>
      <c r="H2679" s="1">
        <v>1</v>
      </c>
      <c r="I2679" s="1" t="s">
        <v>2694</v>
      </c>
      <c r="K2679" s="1" t="str">
        <f t="shared" si="171"/>
        <v>ㄇ</v>
      </c>
      <c r="L2679" s="1" t="str">
        <f t="shared" si="172"/>
        <v>ㄛ</v>
      </c>
      <c r="N2679" s="3" t="s">
        <v>30574</v>
      </c>
      <c r="O2679" s="3"/>
      <c r="P2679" s="1" t="s">
        <v>20</v>
      </c>
      <c r="R2679" s="1" t="s">
        <v>2695</v>
      </c>
      <c r="V2679" s="1" t="s">
        <v>2780</v>
      </c>
      <c r="W2679" s="1" t="s">
        <v>2781</v>
      </c>
      <c r="AR2679" s="1" t="str">
        <f t="shared" si="168"/>
        <v>| [ㄇㄛˋ](ㄇㄛˋ.md) | [嘿](嘿.md) |  | mò | [形]_x000D_
沉靜無聲。同「默」。《史記．卷八六．刺客列傳．荊軻》：「魯句踐怒而叱之，荊軻嘿而逃去，遂不復會。」 |</v>
      </c>
    </row>
    <row r="2680" spans="1:44" hidden="1">
      <c r="A2680" s="1" t="s">
        <v>2782</v>
      </c>
      <c r="C2680" s="1">
        <v>1</v>
      </c>
      <c r="D2680" s="1" t="str">
        <f>"01099"</f>
        <v>01099</v>
      </c>
      <c r="E2680" s="1" t="s">
        <v>2777</v>
      </c>
      <c r="F2680" s="1">
        <v>16</v>
      </c>
      <c r="G2680" s="1">
        <v>4</v>
      </c>
      <c r="H2680" s="1">
        <v>0</v>
      </c>
      <c r="I2680" s="1" t="s">
        <v>2694</v>
      </c>
      <c r="K2680" s="1" t="str">
        <f t="shared" si="171"/>
        <v>ㄇ</v>
      </c>
      <c r="L2680" s="1" t="str">
        <f t="shared" si="172"/>
        <v>ㄛ</v>
      </c>
      <c r="N2680" s="3" t="s">
        <v>30574</v>
      </c>
      <c r="O2680" s="3"/>
      <c r="P2680" s="1" t="s">
        <v>20</v>
      </c>
      <c r="R2680" s="1" t="s">
        <v>2695</v>
      </c>
      <c r="V2680" s="1" t="s">
        <v>2783</v>
      </c>
      <c r="AR2680" s="1" t="str">
        <f t="shared" si="168"/>
        <v>| [ㄇㄛˋ](ㄇㄛˋ.md) | [默](默.md) |  | mò | [副]
1.沉靜無聲、不出聲。如：「默而不語」。唐．韓愈〈謁衡嶽廟遂宿嶽寺題門樓〉詩：「潛心默禱若有應，豈非正直能成通？」宋．王禹偁〈黃岡竹樓記〉：「手執周易一卷，焚香默坐，消遣世慮。」
2.暗中。如：「潛移默化」。唐．杜甫〈自京赴奉先縣詠懷五百字〉詩：「默思失業途，因念遠戍卒。」
3.憑記憶讀出或寫出。如：「默誦」、「默寫」。
[名]
姓。如明代有默思道。 |</v>
      </c>
    </row>
    <row r="2681" spans="1:44" hidden="1">
      <c r="A2681" s="1" t="s">
        <v>2784</v>
      </c>
      <c r="C2681" s="1">
        <v>1</v>
      </c>
      <c r="D2681" s="1" t="str">
        <f>"01100"</f>
        <v>01100</v>
      </c>
      <c r="E2681" s="1" t="s">
        <v>28</v>
      </c>
      <c r="F2681" s="1">
        <v>18</v>
      </c>
      <c r="G2681" s="1">
        <v>15</v>
      </c>
      <c r="H2681" s="1">
        <v>1</v>
      </c>
      <c r="I2681" s="1" t="s">
        <v>2694</v>
      </c>
      <c r="K2681" s="1" t="str">
        <f t="shared" si="171"/>
        <v>ㄇ</v>
      </c>
      <c r="L2681" s="1" t="str">
        <f t="shared" si="172"/>
        <v>ㄛ</v>
      </c>
      <c r="N2681" s="3" t="s">
        <v>30574</v>
      </c>
      <c r="O2681" s="3"/>
      <c r="P2681" s="1" t="s">
        <v>20</v>
      </c>
      <c r="R2681" s="1" t="s">
        <v>2695</v>
      </c>
      <c r="V2681" s="1" t="s">
        <v>2785</v>
      </c>
      <c r="W2681" s="1" t="s">
        <v>2786</v>
      </c>
      <c r="AR2681" s="1" t="str">
        <f t="shared" si="168"/>
        <v>| [ㄇㄛˋ](ㄇㄛˋ.md) | [嚜](嚜.md) |  | mò | 參見「嚜嚜」條。 |</v>
      </c>
    </row>
    <row r="2682" spans="1:44" hidden="1">
      <c r="A2682" s="1" t="s">
        <v>2787</v>
      </c>
      <c r="C2682" s="1">
        <v>1</v>
      </c>
      <c r="D2682" s="1" t="str">
        <f>"01101"</f>
        <v>01101</v>
      </c>
      <c r="E2682" s="1" t="s">
        <v>725</v>
      </c>
      <c r="F2682" s="1">
        <v>21</v>
      </c>
      <c r="G2682" s="1">
        <v>15</v>
      </c>
      <c r="H2682" s="1">
        <v>0</v>
      </c>
      <c r="I2682" s="1" t="s">
        <v>2694</v>
      </c>
      <c r="K2682" s="1" t="str">
        <f t="shared" si="171"/>
        <v>ㄇ</v>
      </c>
      <c r="L2682" s="1" t="str">
        <f t="shared" si="172"/>
        <v>ㄛ</v>
      </c>
      <c r="N2682" s="3" t="s">
        <v>30574</v>
      </c>
      <c r="O2682" s="3"/>
      <c r="P2682" s="1" t="s">
        <v>20</v>
      </c>
      <c r="R2682" s="1" t="s">
        <v>2695</v>
      </c>
      <c r="V2682" s="1" t="s">
        <v>2788</v>
      </c>
      <c r="AR2682" s="1" t="str">
        <f t="shared" si="168"/>
        <v>| [ㄇㄛˋ](ㄇㄛˋ.md) | [纆](纆.md) |  | mò | [名]
兩股合編成的繩子。《莊子．駢拇》：「附離不比膠漆，約束不以纆索。」《史記．卷八四．屈原賈生傳》：「夫禍之與福兮，何異糾纆。」 |</v>
      </c>
    </row>
    <row r="2683" spans="1:44" hidden="1">
      <c r="A2683" s="1" t="s">
        <v>2650</v>
      </c>
      <c r="C2683" s="1">
        <v>1</v>
      </c>
      <c r="D2683" s="1" t="str">
        <f>"01045"</f>
        <v>01045</v>
      </c>
      <c r="E2683" s="1" t="s">
        <v>336</v>
      </c>
      <c r="F2683" s="1">
        <v>12</v>
      </c>
      <c r="G2683" s="1">
        <v>8</v>
      </c>
      <c r="H2683" s="1">
        <v>2</v>
      </c>
      <c r="I2683" s="1" t="s">
        <v>2651</v>
      </c>
      <c r="K2683" s="1" t="str">
        <f t="shared" si="171"/>
        <v>ㄇ</v>
      </c>
      <c r="L2683" s="1" t="str">
        <f t="shared" si="172"/>
        <v>ㄛ</v>
      </c>
      <c r="N2683" s="3" t="s">
        <v>30575</v>
      </c>
      <c r="O2683" s="3"/>
      <c r="P2683" s="1" t="s">
        <v>20</v>
      </c>
      <c r="R2683" s="1" t="s">
        <v>2652</v>
      </c>
      <c r="V2683" s="1" t="s">
        <v>2653</v>
      </c>
      <c r="W2683" s="1" t="s">
        <v>2654</v>
      </c>
      <c r="AR2683" s="1" t="str">
        <f t="shared" si="168"/>
        <v>| [ㄇㄛˊ](ㄇㄛˊ.md) | [無](無.md) |  | mó | 參見「南無」條。 |</v>
      </c>
    </row>
    <row r="2684" spans="1:44" hidden="1">
      <c r="A2684" s="1" t="s">
        <v>2597</v>
      </c>
      <c r="C2684" s="1">
        <v>1</v>
      </c>
      <c r="D2684" s="1" t="str">
        <f>"01046"</f>
        <v>01046</v>
      </c>
      <c r="E2684" s="1" t="s">
        <v>2591</v>
      </c>
      <c r="F2684" s="1">
        <v>14</v>
      </c>
      <c r="G2684" s="1">
        <v>3</v>
      </c>
      <c r="H2684" s="1">
        <v>1</v>
      </c>
      <c r="I2684" s="1" t="s">
        <v>2651</v>
      </c>
      <c r="K2684" s="1" t="str">
        <f t="shared" si="171"/>
        <v>ㄇ</v>
      </c>
      <c r="L2684" s="1" t="str">
        <f t="shared" si="172"/>
        <v>ㄛ</v>
      </c>
      <c r="N2684" s="3" t="s">
        <v>30575</v>
      </c>
      <c r="O2684" s="3"/>
      <c r="P2684" s="1" t="s">
        <v>20</v>
      </c>
      <c r="R2684" s="1" t="s">
        <v>2652</v>
      </c>
      <c r="V2684" s="1" t="s">
        <v>2655</v>
      </c>
      <c r="W2684" s="1" t="s">
        <v>2656</v>
      </c>
      <c r="AR2684" s="1" t="str">
        <f t="shared" si="168"/>
        <v>| [ㄇㄛˊ](ㄇㄛˊ.md) | [麼](麼.md) |  | mó | [形]
細小。《列子．湯問》：「江浦之間生麼蟲，其名曰：『焦螟』。」 |</v>
      </c>
    </row>
    <row r="2685" spans="1:44" hidden="1">
      <c r="A2685" s="1" t="s">
        <v>2585</v>
      </c>
      <c r="C2685" s="1">
        <v>1</v>
      </c>
      <c r="D2685" s="1" t="str">
        <f>"01047"</f>
        <v>01047</v>
      </c>
      <c r="E2685" s="1" t="s">
        <v>24</v>
      </c>
      <c r="F2685" s="1">
        <v>15</v>
      </c>
      <c r="G2685" s="1">
        <v>11</v>
      </c>
      <c r="H2685" s="1">
        <v>1</v>
      </c>
      <c r="I2685" s="1" t="s">
        <v>2651</v>
      </c>
      <c r="K2685" s="1" t="str">
        <f t="shared" si="171"/>
        <v>ㄇ</v>
      </c>
      <c r="L2685" s="1" t="str">
        <f t="shared" si="172"/>
        <v>ㄛ</v>
      </c>
      <c r="N2685" s="3" t="s">
        <v>30575</v>
      </c>
      <c r="O2685" s="3"/>
      <c r="P2685" s="1" t="s">
        <v>20</v>
      </c>
      <c r="R2685" s="1" t="s">
        <v>2652</v>
      </c>
      <c r="V2685" s="1" t="s">
        <v>2657</v>
      </c>
      <c r="W2685" s="1" t="s">
        <v>2658</v>
      </c>
      <c r="AR2685" s="1" t="str">
        <f t="shared" si="168"/>
        <v>| [ㄇㄛˊ](ㄇㄛˊ.md) | [摩](摩.md) |  | mó | [動]
1.兩物接觸後，來回擦動。如：「摩擦」。《易經．繫辭上》：「是故剛柔相摩，八卦相盪。」
2.互相切磋。如：「觀摩」。《禮記．學記》：「相觀而善之謂摩。」
3.撫摸。如：「摩弄」、「撫摩」。《陳書．卷二六．徐陵傳》：「家人攜以候之，寶誌手摩其頂。」
4.消滅。通「磨」。《文選．司馬遷．報任少卿書》：「古者富貴而名摩滅，不可勝記，唯倜儻非常之人稱焉。」
5.接近、迫近。如：「摩天大樓」。
6.猜測。如：「揣摩」。 |</v>
      </c>
    </row>
    <row r="2686" spans="1:44" hidden="1">
      <c r="A2686" s="1" t="s">
        <v>2659</v>
      </c>
      <c r="C2686" s="1">
        <v>1</v>
      </c>
      <c r="D2686" s="1" t="str">
        <f>"01048"</f>
        <v>01048</v>
      </c>
      <c r="E2686" s="1" t="s">
        <v>169</v>
      </c>
      <c r="F2686" s="1">
        <v>16</v>
      </c>
      <c r="G2686" s="1">
        <v>11</v>
      </c>
      <c r="H2686" s="1">
        <v>1</v>
      </c>
      <c r="I2686" s="1" t="s">
        <v>2651</v>
      </c>
      <c r="K2686" s="1" t="str">
        <f t="shared" si="171"/>
        <v>ㄇ</v>
      </c>
      <c r="L2686" s="1" t="str">
        <f t="shared" si="172"/>
        <v>ㄛ</v>
      </c>
      <c r="N2686" s="3" t="s">
        <v>30575</v>
      </c>
      <c r="O2686" s="3"/>
      <c r="P2686" s="1" t="s">
        <v>20</v>
      </c>
      <c r="R2686" s="1" t="s">
        <v>2652</v>
      </c>
      <c r="V2686" s="1" t="s">
        <v>2660</v>
      </c>
      <c r="W2686" s="1" t="s">
        <v>2661</v>
      </c>
      <c r="AR2686" s="1" t="str">
        <f t="shared" si="168"/>
        <v>| [ㄇㄛˊ](ㄇㄛˊ.md) | [磨](磨.md) |  | mó | [動]
1.摩擦而使物品光滑或銳利。如：「磨光」、「磨刀」。
2.將物研細。如：「磨細」、「磨粉」、「磨墨」。
3.消滅、泯滅。《後漢書．卷八九．南匈奴傳》：「嗚呼！千里之差，興自毫端，失得之源，百世不磨矣。」
4.糾纏不休。如：「你真是會磨，竟然讓他答應了！」《三俠五義》第五回：「連包興在旁也由的暗笑：『老爺今日叫瘋子磨住了。』」
[名]
艱難、阻礙。如：「好事多磨」。
[形]
糾纏不休的。如：「磨功」。 |</v>
      </c>
    </row>
    <row r="2687" spans="1:44" hidden="1">
      <c r="A2687" s="1" t="s">
        <v>2662</v>
      </c>
      <c r="C2687" s="1">
        <v>1</v>
      </c>
      <c r="D2687" s="1" t="str">
        <f>"01049"</f>
        <v>01049</v>
      </c>
      <c r="E2687" s="1" t="s">
        <v>83</v>
      </c>
      <c r="F2687" s="1">
        <v>21</v>
      </c>
      <c r="G2687" s="1">
        <v>11</v>
      </c>
      <c r="H2687" s="1">
        <v>0</v>
      </c>
      <c r="I2687" s="1" t="s">
        <v>2651</v>
      </c>
      <c r="K2687" s="1" t="str">
        <f t="shared" si="171"/>
        <v>ㄇ</v>
      </c>
      <c r="L2687" s="1" t="str">
        <f t="shared" si="172"/>
        <v>ㄛ</v>
      </c>
      <c r="N2687" s="3" t="s">
        <v>30575</v>
      </c>
      <c r="O2687" s="3"/>
      <c r="P2687" s="1" t="s">
        <v>20</v>
      </c>
      <c r="R2687" s="1" t="s">
        <v>2652</v>
      </c>
      <c r="V2687" s="1" t="s">
        <v>2663</v>
      </c>
      <c r="AR2687" s="1" t="str">
        <f t="shared" si="168"/>
        <v>| [ㄇㄛˊ](ㄇㄛˊ.md) | [魔](魔.md) |  | mó | [名]_x000D_
1.佛教指修道的障害、破壞者。如：「魔由心生」。《妙法蓮華經．卷二．譬喻品第三》：「我墮疑網故，謂是魔所為。」_x000D_
2.一般指能害人性命、迷惑人的鬼怪。元．石君寶《紫雲亭》第三折：「我本是個邪祟妖魔，他那俏魂靈倒將咱著末。」《西遊記》第二七回：「屍魔三戲唐三藏，聖僧恨逐美猴王。」_x000D_
3.如妖魔般的惡人。如：「色魔」、「惡魔」。_x000D_
4.難以抗拒的、無法抵擋的對象。如：「病魔」、「睡魔」。宋．蘇軾〈子玉家宴用前韻見寄復答之〉：「詩病逢春轉深痼，愁魔得酒蹔奔忙。」_x000D_
5.使人迷戀的癖好，亦指過度迷戀某事物的人。唐．白居易〈白髮〉詩：「書魔昏兩眼，酒病沉四肢。」明．張岱〈自為墓誌銘〉：「少為紈褲子弟，極愛繁華，好精舍，……兼以茶淫橘虐，書蠹詩魔，勞碌半生，皆成夢幻。」_x000D_
[形]_x000D_
1.神祕而不可思議的。如：「魔術」、「魔法」、「魔鏡」。_x000D_
2.可怕的、凶惡的。如：「魔掌」、「魔爪」。 |</v>
      </c>
    </row>
    <row r="2688" spans="1:44" hidden="1">
      <c r="A2688" s="1" t="s">
        <v>2664</v>
      </c>
      <c r="C2688" s="1">
        <v>1</v>
      </c>
      <c r="D2688" s="1" t="str">
        <f>"01050"</f>
        <v>01050</v>
      </c>
      <c r="E2688" s="1" t="s">
        <v>37</v>
      </c>
      <c r="F2688" s="1">
        <v>20</v>
      </c>
      <c r="G2688" s="1">
        <v>16</v>
      </c>
      <c r="H2688" s="1">
        <v>0</v>
      </c>
      <c r="I2688" s="1" t="s">
        <v>2651</v>
      </c>
      <c r="K2688" s="1" t="str">
        <f t="shared" si="171"/>
        <v>ㄇ</v>
      </c>
      <c r="L2688" s="1" t="str">
        <f t="shared" si="172"/>
        <v>ㄛ</v>
      </c>
      <c r="N2688" s="3" t="s">
        <v>30575</v>
      </c>
      <c r="O2688" s="3"/>
      <c r="P2688" s="1" t="s">
        <v>20</v>
      </c>
      <c r="R2688" s="1" t="s">
        <v>2652</v>
      </c>
      <c r="V2688" s="1" t="s">
        <v>2665</v>
      </c>
      <c r="AR2688" s="1" t="str">
        <f t="shared" si="168"/>
        <v>| [ㄇㄛˊ](ㄇㄛˊ.md) | [蘑](蘑.md) |  | mó | 參見「蘑菇」條。 |</v>
      </c>
    </row>
    <row r="2689" spans="1:44" hidden="1">
      <c r="A2689" s="1" t="s">
        <v>2666</v>
      </c>
      <c r="C2689" s="1">
        <v>1</v>
      </c>
      <c r="D2689" s="1" t="str">
        <f>"01051"</f>
        <v>01051</v>
      </c>
      <c r="E2689" s="1" t="s">
        <v>185</v>
      </c>
      <c r="F2689" s="1">
        <v>21</v>
      </c>
      <c r="G2689" s="1">
        <v>19</v>
      </c>
      <c r="H2689" s="1">
        <v>0</v>
      </c>
      <c r="I2689" s="1" t="s">
        <v>2651</v>
      </c>
      <c r="K2689" s="1" t="str">
        <f t="shared" si="171"/>
        <v>ㄇ</v>
      </c>
      <c r="L2689" s="1" t="str">
        <f t="shared" si="172"/>
        <v>ㄛ</v>
      </c>
      <c r="N2689" s="3" t="s">
        <v>30575</v>
      </c>
      <c r="O2689" s="3"/>
      <c r="P2689" s="1" t="s">
        <v>20</v>
      </c>
      <c r="R2689" s="1" t="s">
        <v>2652</v>
      </c>
      <c r="V2689" s="1" t="s">
        <v>2667</v>
      </c>
      <c r="AR2689" s="1" t="str">
        <f t="shared" si="168"/>
        <v>| [ㄇㄛˊ](ㄇㄛˊ.md) | [劘](劘.md) |  | mó | [動]
1.切、削。漢．王充《論衡．彿騤》：「砥石劘厲，欲求銛也。」
2.引申為直言勸諫。《漢書．卷五一．賈山等傳．贊曰》：「賈山自下劘上。」
3.迫近。唐．杜甫〈壯遊〉詩：「氣劘屈賈壘，目短曹劉牆。」 |</v>
      </c>
    </row>
    <row r="2690" spans="1:44" hidden="1">
      <c r="A2690" s="1" t="s">
        <v>2645</v>
      </c>
      <c r="C2690" s="1">
        <v>1</v>
      </c>
      <c r="D2690" s="1" t="str">
        <f>"01052"</f>
        <v>01052</v>
      </c>
      <c r="E2690" s="1" t="s">
        <v>24</v>
      </c>
      <c r="F2690" s="1">
        <v>14</v>
      </c>
      <c r="G2690" s="1">
        <v>11</v>
      </c>
      <c r="H2690" s="1">
        <v>3</v>
      </c>
      <c r="I2690" s="1" t="s">
        <v>2651</v>
      </c>
      <c r="K2690" s="1" t="str">
        <f t="shared" si="171"/>
        <v>ㄇ</v>
      </c>
      <c r="L2690" s="1" t="str">
        <f t="shared" si="172"/>
        <v>ㄛ</v>
      </c>
      <c r="N2690" s="3" t="s">
        <v>30575</v>
      </c>
      <c r="O2690" s="3"/>
      <c r="P2690" s="1" t="s">
        <v>20</v>
      </c>
      <c r="R2690" s="1" t="s">
        <v>2652</v>
      </c>
      <c r="V2690" s="1" t="s">
        <v>2668</v>
      </c>
      <c r="W2690" s="1" t="s">
        <v>2669</v>
      </c>
      <c r="AR2690" s="1" t="str">
        <f t="shared" si="168"/>
        <v>| [ㄇㄛˊ](ㄇㄛˊ.md) | [摸](摸.md) |  | mó | [動]
仿效。同「摹」。《新唐書．卷九三．李靖傳》：「又敕摸詔本，還賜彥芳。」 |</v>
      </c>
    </row>
    <row r="2691" spans="1:44" hidden="1">
      <c r="A2691" s="1" t="s">
        <v>2670</v>
      </c>
      <c r="C2691" s="1">
        <v>1</v>
      </c>
      <c r="D2691" s="1" t="str">
        <f>"01053"</f>
        <v>01053</v>
      </c>
      <c r="E2691" s="1" t="s">
        <v>534</v>
      </c>
      <c r="F2691" s="1">
        <v>14</v>
      </c>
      <c r="G2691" s="1">
        <v>11</v>
      </c>
      <c r="H2691" s="1">
        <v>0</v>
      </c>
      <c r="I2691" s="1" t="s">
        <v>2651</v>
      </c>
      <c r="K2691" s="1" t="str">
        <f t="shared" si="171"/>
        <v>ㄇ</v>
      </c>
      <c r="L2691" s="1" t="str">
        <f t="shared" si="172"/>
        <v>ㄛ</v>
      </c>
      <c r="N2691" s="3" t="s">
        <v>30575</v>
      </c>
      <c r="O2691" s="3"/>
      <c r="P2691" s="1" t="s">
        <v>20</v>
      </c>
      <c r="R2691" s="1" t="s">
        <v>2652</v>
      </c>
      <c r="V2691" s="1" t="s">
        <v>2671</v>
      </c>
      <c r="AR2691" s="1" t="str">
        <f t="shared" ref="AR2691:AR2754" si="173">"| ["&amp;I2691&amp;"]("&amp;I2691&amp;".md) | ["&amp;A2691&amp;"]("&amp;A2691&amp;".md) | "&amp;" | "&amp;R2691&amp;" | "&amp;V2691&amp;" |"</f>
        <v>| [ㄇㄛˊ](ㄇㄛˊ.md) | [嫫](嫫.md) |  | mó | 參見「嫫母」條。 |</v>
      </c>
    </row>
    <row r="2692" spans="1:44" hidden="1">
      <c r="A2692" s="1" t="s">
        <v>2672</v>
      </c>
      <c r="C2692" s="1">
        <v>1</v>
      </c>
      <c r="D2692" s="1" t="str">
        <f>"01054"</f>
        <v>01054</v>
      </c>
      <c r="E2692" s="1" t="s">
        <v>139</v>
      </c>
      <c r="F2692" s="1">
        <v>15</v>
      </c>
      <c r="G2692" s="1">
        <v>11</v>
      </c>
      <c r="H2692" s="1">
        <v>1</v>
      </c>
      <c r="I2692" s="1" t="s">
        <v>2651</v>
      </c>
      <c r="K2692" s="1" t="str">
        <f t="shared" si="171"/>
        <v>ㄇ</v>
      </c>
      <c r="L2692" s="1" t="str">
        <f t="shared" si="172"/>
        <v>ㄛ</v>
      </c>
      <c r="N2692" s="3" t="s">
        <v>30575</v>
      </c>
      <c r="O2692" s="3"/>
      <c r="P2692" s="1" t="s">
        <v>20</v>
      </c>
      <c r="R2692" s="1" t="s">
        <v>2652</v>
      </c>
      <c r="V2692" s="1" t="s">
        <v>2673</v>
      </c>
      <c r="W2692" s="1" t="s">
        <v>2674</v>
      </c>
      <c r="AR2692" s="1" t="str">
        <f t="shared" si="173"/>
        <v>| [ㄇㄛˊ](ㄇㄛˊ.md) | [模](模.md) |  | mó | [名]
1.範式、榜樣。如：「楷模」、「模範」。《晉書．卷四一．劉寔傳》：「可謂國之碩老，邦之宗模。」
2.姓。如宋代有模造成。
[動]
仿效。如：「模仿」。《資治通鑑．卷六五．漢紀五十七．獻帝建安十三年》：「今兄既不能法柳下惠和光同塵於內，則宜模范蠡遷化於外。」 |</v>
      </c>
    </row>
    <row r="2693" spans="1:44" hidden="1">
      <c r="A2693" s="1" t="s">
        <v>2675</v>
      </c>
      <c r="C2693" s="1">
        <v>1</v>
      </c>
      <c r="D2693" s="1" t="str">
        <f>"01055"</f>
        <v>01055</v>
      </c>
      <c r="E2693" s="1" t="s">
        <v>24</v>
      </c>
      <c r="F2693" s="1">
        <v>15</v>
      </c>
      <c r="G2693" s="1">
        <v>11</v>
      </c>
      <c r="H2693" s="1">
        <v>0</v>
      </c>
      <c r="I2693" s="1" t="s">
        <v>2651</v>
      </c>
      <c r="K2693" s="1" t="str">
        <f t="shared" si="171"/>
        <v>ㄇ</v>
      </c>
      <c r="L2693" s="1" t="str">
        <f t="shared" si="172"/>
        <v>ㄛ</v>
      </c>
      <c r="N2693" s="3" t="s">
        <v>30575</v>
      </c>
      <c r="O2693" s="3"/>
      <c r="P2693" s="1" t="s">
        <v>20</v>
      </c>
      <c r="R2693" s="1" t="s">
        <v>2652</v>
      </c>
      <c r="V2693" s="1" t="s">
        <v>2676</v>
      </c>
      <c r="AR2693" s="1" t="str">
        <f t="shared" si="173"/>
        <v>| [ㄇㄛˊ](ㄇㄛˊ.md) | [摹](摹.md) |  | mó | [動]
1.仿效、照樣做。如：「摹字」、「摹畫」、「摹帖」。宋．姜夔《續書譜．臨摹》：「惟初學者不得不摹，亦以節度其手，易於成就。」
2.描述。如：「摹狀」、「摹述」。《文選．江淹．別賦》：「誰能摹暫離之狀，寫永訣之情者乎？」 |</v>
      </c>
    </row>
    <row r="2694" spans="1:44" hidden="1">
      <c r="A2694" s="1" t="s">
        <v>2677</v>
      </c>
      <c r="C2694" s="1">
        <v>1</v>
      </c>
      <c r="D2694" s="1" t="str">
        <f>"01056"</f>
        <v>01056</v>
      </c>
      <c r="E2694" s="1" t="s">
        <v>68</v>
      </c>
      <c r="F2694" s="1">
        <v>15</v>
      </c>
      <c r="G2694" s="1">
        <v>11</v>
      </c>
      <c r="H2694" s="1">
        <v>2</v>
      </c>
      <c r="I2694" s="1" t="s">
        <v>2651</v>
      </c>
      <c r="K2694" s="1" t="str">
        <f t="shared" si="171"/>
        <v>ㄇ</v>
      </c>
      <c r="L2694" s="1" t="str">
        <f t="shared" si="172"/>
        <v>ㄛ</v>
      </c>
      <c r="N2694" s="3" t="s">
        <v>30575</v>
      </c>
      <c r="O2694" s="3"/>
      <c r="P2694" s="1" t="s">
        <v>110</v>
      </c>
      <c r="R2694" s="1" t="s">
        <v>2652</v>
      </c>
      <c r="V2694" s="1" t="s">
        <v>2678</v>
      </c>
      <c r="W2694" s="1" t="s">
        <v>2679</v>
      </c>
      <c r="AR2694" s="1" t="str">
        <f t="shared" si="173"/>
        <v>| [ㄇㄛˊ](ㄇㄛˊ.md) | [膜](膜.md) |  | mó | 1.參見「膜拜」條。
2.(一)之又音。 |</v>
      </c>
    </row>
    <row r="2695" spans="1:44" hidden="1">
      <c r="A2695" s="1" t="s">
        <v>2680</v>
      </c>
      <c r="C2695" s="1">
        <v>1</v>
      </c>
      <c r="D2695" s="1" t="str">
        <f>"01057"</f>
        <v>01057</v>
      </c>
      <c r="E2695" s="1" t="s">
        <v>46</v>
      </c>
      <c r="F2695" s="1">
        <v>17</v>
      </c>
      <c r="G2695" s="1">
        <v>11</v>
      </c>
      <c r="H2695" s="1">
        <v>0</v>
      </c>
      <c r="I2695" s="1" t="s">
        <v>2651</v>
      </c>
      <c r="K2695" s="1" t="str">
        <f t="shared" si="171"/>
        <v>ㄇ</v>
      </c>
      <c r="L2695" s="1" t="str">
        <f t="shared" si="172"/>
        <v>ㄛ</v>
      </c>
      <c r="N2695" s="3" t="s">
        <v>30575</v>
      </c>
      <c r="O2695" s="3"/>
      <c r="P2695" s="1" t="s">
        <v>20</v>
      </c>
      <c r="R2695" s="1" t="s">
        <v>2652</v>
      </c>
      <c r="V2695" s="1" t="s">
        <v>2681</v>
      </c>
      <c r="AR2695" s="1" t="str">
        <f t="shared" si="173"/>
        <v>| [ㄇㄛˊ](ㄇㄛˊ.md) | [糢](糢.md) |  | mó | [名]
餅類食品。通「饃」。如：「烤糢」、「肉湯泡糢」。
[形]
參見「糢糊」條。 |</v>
      </c>
    </row>
    <row r="2696" spans="1:44" hidden="1">
      <c r="A2696" s="1" t="s">
        <v>2682</v>
      </c>
      <c r="C2696" s="1">
        <v>1</v>
      </c>
      <c r="D2696" s="1" t="str">
        <f>"01058"</f>
        <v>01058</v>
      </c>
      <c r="E2696" s="1" t="s">
        <v>331</v>
      </c>
      <c r="F2696" s="1">
        <v>18</v>
      </c>
      <c r="G2696" s="1">
        <v>11</v>
      </c>
      <c r="H2696" s="1">
        <v>0</v>
      </c>
      <c r="I2696" s="1" t="s">
        <v>2651</v>
      </c>
      <c r="K2696" s="1" t="str">
        <f t="shared" si="171"/>
        <v>ㄇ</v>
      </c>
      <c r="L2696" s="1" t="str">
        <f t="shared" si="172"/>
        <v>ㄛ</v>
      </c>
      <c r="N2696" s="3" t="s">
        <v>30575</v>
      </c>
      <c r="O2696" s="3"/>
      <c r="P2696" s="1" t="s">
        <v>20</v>
      </c>
      <c r="R2696" s="1" t="s">
        <v>2652</v>
      </c>
      <c r="V2696" s="1" t="s">
        <v>2683</v>
      </c>
      <c r="AR2696" s="1" t="str">
        <f t="shared" si="173"/>
        <v>| [ㄇㄛˊ](ㄇㄛˊ.md) | [謨](謨.md) |  | mó | [名]
1.謀略、計畫。如：「良謨」、「宏謨」、「嘉謨嘉獻」。唐．羅隱〈題磻溪垂釣圖〉詩：「呂望當年展廟謨，直鉤釣國更誰如？」
2.姓。如晉朝時大夏有謨固。
[動]
無。宋．馬令《南唐書．卷二一．黨與傳下．查文徽傳》：「越人謨信，未可速進。」 |</v>
      </c>
    </row>
    <row r="2697" spans="1:44" hidden="1">
      <c r="A2697" s="1" t="s">
        <v>2684</v>
      </c>
      <c r="C2697" s="1">
        <v>1</v>
      </c>
      <c r="D2697" s="1" t="str">
        <f>"01059"</f>
        <v>01059</v>
      </c>
      <c r="E2697" s="1" t="s">
        <v>193</v>
      </c>
      <c r="F2697" s="1">
        <v>19</v>
      </c>
      <c r="G2697" s="1">
        <v>11</v>
      </c>
      <c r="H2697" s="1">
        <v>0</v>
      </c>
      <c r="I2697" s="1" t="s">
        <v>2651</v>
      </c>
      <c r="K2697" s="1" t="str">
        <f t="shared" si="171"/>
        <v>ㄇ</v>
      </c>
      <c r="L2697" s="1" t="str">
        <f t="shared" si="172"/>
        <v>ㄛ</v>
      </c>
      <c r="N2697" s="3" t="s">
        <v>30575</v>
      </c>
      <c r="O2697" s="3"/>
      <c r="P2697" s="1" t="s">
        <v>20</v>
      </c>
      <c r="R2697" s="1" t="s">
        <v>2652</v>
      </c>
      <c r="V2697" s="1" t="s">
        <v>2685</v>
      </c>
      <c r="AR2697" s="1" t="str">
        <f t="shared" si="173"/>
        <v>| [ㄇㄛˊ](ㄇㄛˊ.md) | [饃](饃.md) |  | mó | [名]
餅類食品。如：「牛肉湯泡饃」、「饃饃」。 |</v>
      </c>
    </row>
    <row r="2698" spans="1:44" hidden="1">
      <c r="A2698" s="1" t="s">
        <v>2686</v>
      </c>
      <c r="C2698" s="1">
        <v>1</v>
      </c>
      <c r="D2698" s="1" t="str">
        <f>"01060"</f>
        <v>01060</v>
      </c>
      <c r="E2698" s="1" t="s">
        <v>331</v>
      </c>
      <c r="F2698" s="1">
        <v>19</v>
      </c>
      <c r="G2698" s="1">
        <v>12</v>
      </c>
      <c r="H2698" s="1">
        <v>0</v>
      </c>
      <c r="I2698" s="1" t="s">
        <v>2651</v>
      </c>
      <c r="K2698" s="1" t="str">
        <f t="shared" si="171"/>
        <v>ㄇ</v>
      </c>
      <c r="L2698" s="1" t="str">
        <f t="shared" si="172"/>
        <v>ㄛ</v>
      </c>
      <c r="N2698" s="3" t="s">
        <v>30575</v>
      </c>
      <c r="O2698" s="3"/>
      <c r="P2698" s="1" t="s">
        <v>20</v>
      </c>
      <c r="R2698" s="1" t="s">
        <v>2652</v>
      </c>
      <c r="V2698" s="1" t="s">
        <v>2687</v>
      </c>
      <c r="AR2698" s="1" t="str">
        <f t="shared" si="173"/>
        <v>| [ㄇㄛˊ](ㄇㄛˊ.md) | [譕](譕.md) |  | mó | [形]
有謀略的。謨的古字。《集韻．平聲．模韻》：「謨，古作譕。」《管子．形勢》：「譕臣者可以遠舉，顧憂者可與致道。」 |</v>
      </c>
    </row>
    <row r="2699" spans="1:44" hidden="1">
      <c r="A2699" s="1" t="s">
        <v>2688</v>
      </c>
      <c r="C2699" s="1">
        <v>1</v>
      </c>
      <c r="D2699" s="1" t="str">
        <f>"01061"</f>
        <v>01061</v>
      </c>
      <c r="E2699" s="1" t="s">
        <v>24</v>
      </c>
      <c r="F2699" s="1">
        <v>8</v>
      </c>
      <c r="G2699" s="1">
        <v>5</v>
      </c>
      <c r="H2699" s="1">
        <v>1</v>
      </c>
      <c r="I2699" s="1" t="s">
        <v>2689</v>
      </c>
      <c r="K2699" s="1" t="str">
        <f t="shared" si="171"/>
        <v>ㄇ</v>
      </c>
      <c r="L2699" s="1" t="str">
        <f t="shared" si="172"/>
        <v>ㄛ</v>
      </c>
      <c r="N2699" s="3" t="s">
        <v>30576</v>
      </c>
      <c r="O2699" s="3"/>
      <c r="P2699" s="1" t="s">
        <v>20</v>
      </c>
      <c r="R2699" s="1" t="s">
        <v>2690</v>
      </c>
      <c r="V2699" s="1" t="s">
        <v>2691</v>
      </c>
      <c r="W2699" s="1" t="s">
        <v>2692</v>
      </c>
      <c r="AR2699" s="1" t="str">
        <f t="shared" si="173"/>
        <v>| [ㄇㄛˇ](ㄇㄛˇ.md) | [抹](抹.md) |  | mǒ | [動]
1.塗掉。如：「塗抹」。《紅樓夢》第三八回：「寶玉不待湘雲動手，便代將『湘』字抹了，改了一個『霞』字。」
2.擦拭。如：「抹桌子」、「抹眼淚」。
3.塗敷。如：「抹藥」、「抹粉」。宋．蘇軾〈飲湖上初晴後雨〉詩二首之二：「欲把西湖比西子，淡妝濃抹總相宜。」宋．秦觀〈滿庭芳．山抹微雲〉詞：「山抹微雲，天連衰草，畫角聲斷譙門。」
4.玩牌。《紅樓夢》第七回：「一時吃過飯，尤氏、鳳姐、秦氏抹骨牌。」
5.除去。如：「抹殺」、「抹零兒」。
6.放、拉。如：「他就抹下臉來，生氣了。」
7.割。《紅樓夢》第九二回：「把帶的小刀子往脖子裡一抹，也就抹死了。」
8.捻。《儒林外史》第三三回：「韋四太爺兩手抹著鬍子，哈哈大笑。」
9.看、瞄。《董西廂》卷一：「見人不住偷睛抹。」《西遊記》第三三回：「那怪急回頭，抹了他一眼。」 |</v>
      </c>
    </row>
    <row r="2700" spans="1:44" hidden="1">
      <c r="A2700" s="1" t="s">
        <v>2597</v>
      </c>
      <c r="C2700" s="1">
        <v>1</v>
      </c>
      <c r="D2700" s="1" t="str">
        <f>"01102"</f>
        <v>01102</v>
      </c>
      <c r="E2700" s="1" t="s">
        <v>2591</v>
      </c>
      <c r="F2700" s="1">
        <v>14</v>
      </c>
      <c r="G2700" s="1">
        <v>3</v>
      </c>
      <c r="H2700" s="1">
        <v>4</v>
      </c>
      <c r="I2700" s="1" t="s">
        <v>2789</v>
      </c>
      <c r="J2700" s="2" t="s">
        <v>30559</v>
      </c>
      <c r="K2700" s="1" t="s">
        <v>30563</v>
      </c>
      <c r="L2700" s="1" t="s">
        <v>24183</v>
      </c>
      <c r="P2700" s="1" t="s">
        <v>20</v>
      </c>
      <c r="R2700" s="1" t="s">
        <v>2790</v>
      </c>
      <c r="V2700" s="1" t="s">
        <v>2791</v>
      </c>
      <c r="W2700" s="1" t="s">
        <v>2792</v>
      </c>
      <c r="AR2700" s="1" t="str">
        <f t="shared" si="173"/>
        <v>| [˙ㄇㄜ](˙ㄇㄜ.md) | [麼](麼.md) |  | me | [助]
語助詞。表有所斟酌語氣。如：「不要你的錢麼，你又硬塞過來。」
[綴]
參見「甚麼」、「這麼」、「那麼」等條。 |</v>
      </c>
    </row>
    <row r="2701" spans="1:44" hidden="1">
      <c r="A2701" s="1" t="s">
        <v>2784</v>
      </c>
      <c r="C2701" s="1">
        <v>1</v>
      </c>
      <c r="D2701" s="1" t="str">
        <f>"01103"</f>
        <v>01103</v>
      </c>
      <c r="E2701" s="1" t="s">
        <v>28</v>
      </c>
      <c r="F2701" s="1">
        <v>18</v>
      </c>
      <c r="G2701" s="1">
        <v>15</v>
      </c>
      <c r="H2701" s="1">
        <v>2</v>
      </c>
      <c r="I2701" s="1" t="s">
        <v>2789</v>
      </c>
      <c r="J2701" s="2" t="s">
        <v>30559</v>
      </c>
      <c r="K2701" s="1" t="s">
        <v>30563</v>
      </c>
      <c r="L2701" s="1" t="s">
        <v>24183</v>
      </c>
      <c r="P2701" s="1" t="s">
        <v>20</v>
      </c>
      <c r="R2701" s="1" t="s">
        <v>2790</v>
      </c>
      <c r="V2701" s="1" t="s">
        <v>2793</v>
      </c>
      <c r="W2701" s="1" t="s">
        <v>2794</v>
      </c>
      <c r="AR2701" s="1" t="str">
        <f t="shared" si="173"/>
        <v>| [˙ㄇㄜ](˙ㄇㄜ.md) | [嚜](嚜.md) |  | me | [助]
表示有所決定的語助詞。如：「他既然來了嚜，當然要請他做下去。」 |</v>
      </c>
    </row>
    <row r="2702" spans="1:44" hidden="1">
      <c r="A2702" s="1" t="s">
        <v>2732</v>
      </c>
      <c r="C2702" s="1">
        <v>1</v>
      </c>
      <c r="D2702" s="1" t="str">
        <f>"01108"</f>
        <v>01108</v>
      </c>
      <c r="E2702" s="1" t="s">
        <v>68</v>
      </c>
      <c r="F2702" s="1">
        <v>10</v>
      </c>
      <c r="G2702" s="1">
        <v>6</v>
      </c>
      <c r="H2702" s="1">
        <v>1</v>
      </c>
      <c r="I2702" s="1" t="s">
        <v>2809</v>
      </c>
      <c r="K2702" s="1" t="str">
        <f t="shared" ref="K2702:K2733" si="174">LEFT(I2702, 1)</f>
        <v>ㄇ</v>
      </c>
      <c r="L2702" s="1" t="str">
        <f t="shared" ref="L2702:L2733" si="175">MID(I2702, 2, 1)</f>
        <v>ㄞ</v>
      </c>
      <c r="N2702" s="3" t="s">
        <v>30574</v>
      </c>
      <c r="O2702" s="3"/>
      <c r="P2702" s="1" t="s">
        <v>20</v>
      </c>
      <c r="R2702" s="1" t="s">
        <v>2810</v>
      </c>
      <c r="V2702" s="1" t="s">
        <v>2811</v>
      </c>
      <c r="W2702" s="1" t="s">
        <v>2812</v>
      </c>
      <c r="AR2702" s="1" t="str">
        <f t="shared" si="173"/>
        <v>| [ㄇㄞˋ](ㄇㄞˋ.md) | [脈](脈.md) |  | mài | [名]
1.分布人與動物周身，使血液流通而循環不窮的血管。如：「動脈」、「靜脈」。
2.像血脈一樣，有條理分支的事物。如：「葉脈」、「山脈」、「礦脈」。唐．韋莊〈漁塘十六韻〉：「洛水分餘脈，穿巖出石稜。」
3.血統支系。如：「一脈單傳」。
4.脈搏。如：「脈診」、「把脈」。漢．王符《潛夫論．述赦》：「凡治病者必先知脈之虛實。」 |</v>
      </c>
    </row>
    <row r="2703" spans="1:44" hidden="1">
      <c r="A2703" s="1" t="s">
        <v>2735</v>
      </c>
      <c r="C2703" s="1">
        <v>1</v>
      </c>
      <c r="D2703" s="1" t="str">
        <f>"01109"</f>
        <v>01109</v>
      </c>
      <c r="E2703" s="1" t="s">
        <v>1015</v>
      </c>
      <c r="F2703" s="1">
        <v>11</v>
      </c>
      <c r="G2703" s="1">
        <v>6</v>
      </c>
      <c r="H2703" s="1">
        <v>2</v>
      </c>
      <c r="I2703" s="1" t="s">
        <v>2809</v>
      </c>
      <c r="K2703" s="1" t="str">
        <f t="shared" si="174"/>
        <v>ㄇ</v>
      </c>
      <c r="L2703" s="1" t="str">
        <f t="shared" si="175"/>
        <v>ㄞ</v>
      </c>
      <c r="N2703" s="3" t="s">
        <v>30574</v>
      </c>
      <c r="O2703" s="3"/>
      <c r="P2703" s="1" t="s">
        <v>110</v>
      </c>
      <c r="R2703" s="1" t="s">
        <v>2810</v>
      </c>
      <c r="V2703" s="1" t="s">
        <v>111</v>
      </c>
      <c r="W2703" s="1" t="s">
        <v>2813</v>
      </c>
      <c r="AR2703" s="1" t="str">
        <f t="shared" si="173"/>
        <v>| [ㄇㄞˋ](ㄇㄞˋ.md) | [眽](眽.md) |  | mài | (一)之又音。 |</v>
      </c>
    </row>
    <row r="2704" spans="1:44" hidden="1">
      <c r="A2704" s="1" t="s">
        <v>2742</v>
      </c>
      <c r="C2704" s="1">
        <v>1</v>
      </c>
      <c r="D2704" s="1" t="str">
        <f>"01110"</f>
        <v>01110</v>
      </c>
      <c r="E2704" s="1" t="s">
        <v>2743</v>
      </c>
      <c r="F2704" s="1">
        <v>11</v>
      </c>
      <c r="G2704" s="1">
        <v>0</v>
      </c>
      <c r="H2704" s="1">
        <v>1</v>
      </c>
      <c r="I2704" s="1" t="s">
        <v>2809</v>
      </c>
      <c r="K2704" s="1" t="str">
        <f t="shared" si="174"/>
        <v>ㄇ</v>
      </c>
      <c r="L2704" s="1" t="str">
        <f t="shared" si="175"/>
        <v>ㄞ</v>
      </c>
      <c r="N2704" s="3" t="s">
        <v>30574</v>
      </c>
      <c r="O2704" s="3"/>
      <c r="P2704" s="1" t="s">
        <v>388</v>
      </c>
      <c r="R2704" s="1" t="s">
        <v>2810</v>
      </c>
      <c r="V2704" s="1" t="s">
        <v>2814</v>
      </c>
      <c r="W2704" s="1" t="s">
        <v>2815</v>
      </c>
      <c r="AR2704" s="1" t="str">
        <f t="shared" si="173"/>
        <v>| [ㄇㄞˋ](ㄇㄞˋ.md) | [麥](麥.md) |  | mài | [名]
1.禾本科植物的通稱。一年生或二年生草本植物。夏月開花結實，種子可用來磨麵粉，製糖或釀酒。種類甚多，有黑麥、燕麥、小麥、大麥等。
2.姓。如隋代有麥鐵杖。
3.二一四部首之一。 |</v>
      </c>
    </row>
    <row r="2705" spans="1:44" hidden="1">
      <c r="A2705" s="1" t="s">
        <v>2816</v>
      </c>
      <c r="C2705" s="1">
        <v>1</v>
      </c>
      <c r="D2705" s="1" t="str">
        <f>"01111"</f>
        <v>01111</v>
      </c>
      <c r="E2705" s="1" t="s">
        <v>505</v>
      </c>
      <c r="F2705" s="1">
        <v>15</v>
      </c>
      <c r="G2705" s="1">
        <v>8</v>
      </c>
      <c r="H2705" s="1">
        <v>0</v>
      </c>
      <c r="I2705" s="1" t="s">
        <v>2809</v>
      </c>
      <c r="K2705" s="1" t="str">
        <f t="shared" si="174"/>
        <v>ㄇ</v>
      </c>
      <c r="L2705" s="1" t="str">
        <f t="shared" si="175"/>
        <v>ㄞ</v>
      </c>
      <c r="N2705" s="3" t="s">
        <v>30574</v>
      </c>
      <c r="O2705" s="3"/>
      <c r="P2705" s="1" t="s">
        <v>20</v>
      </c>
      <c r="R2705" s="1" t="s">
        <v>2810</v>
      </c>
      <c r="V2705" s="1" t="s">
        <v>2817</v>
      </c>
      <c r="AR2705" s="1" t="str">
        <f t="shared" si="173"/>
        <v>| [ㄇㄞˋ](ㄇㄞˋ.md) | [賣](賣.md) |  | mài | [動]
1.出售貨物以換錢。如：「賣貨」、「賣花」。唐．聶夷中．〈詠田家〉詩：「二月賣新綠，五月糶新穀。」明．劉基〈賣柑者言〉：「杭有賣果者，善藏柑，涉寒暑不潰。」
2.背地害人以利己。如：「賣國」、「賣友求榮」。《史記．卷八七．李斯傳》：「微趙君，幾為丞相所賣。」
3.炫耀、顯露。如：「賣弄」、「賣乖」、「倚老賣老」。《莊子．天地》：「子非夫博學以擬聖，於于以蓋眾，獨弦哀歌，以賣名聲於天下者乎？」
[名]
姓。如明代有賣廷傑。 |</v>
      </c>
    </row>
    <row r="2706" spans="1:44" hidden="1">
      <c r="A2706" s="1" t="s">
        <v>2818</v>
      </c>
      <c r="C2706" s="1">
        <v>1</v>
      </c>
      <c r="D2706" s="1" t="str">
        <f>"01112"</f>
        <v>01112</v>
      </c>
      <c r="E2706" s="1" t="s">
        <v>245</v>
      </c>
      <c r="F2706" s="1">
        <v>15</v>
      </c>
      <c r="G2706" s="1">
        <v>13</v>
      </c>
      <c r="H2706" s="1">
        <v>0</v>
      </c>
      <c r="I2706" s="1" t="s">
        <v>2809</v>
      </c>
      <c r="K2706" s="1" t="str">
        <f t="shared" si="174"/>
        <v>ㄇ</v>
      </c>
      <c r="L2706" s="1" t="str">
        <f t="shared" si="175"/>
        <v>ㄞ</v>
      </c>
      <c r="N2706" s="3" t="s">
        <v>30574</v>
      </c>
      <c r="O2706" s="3"/>
      <c r="P2706" s="1" t="s">
        <v>20</v>
      </c>
      <c r="R2706" s="1" t="s">
        <v>2810</v>
      </c>
      <c r="V2706" s="1" t="s">
        <v>2819</v>
      </c>
      <c r="AR2706" s="1" t="str">
        <f t="shared" si="173"/>
        <v>| [ㄇㄞˋ](ㄇㄞˋ.md) | [勱](勱.md) |  | mài | [動]
勉力。《書經．立政》：「繼自今立政，其勿以憸人，其惟吉士用勱相我國家。」 |</v>
      </c>
    </row>
    <row r="2707" spans="1:44" hidden="1">
      <c r="A2707" s="1" t="s">
        <v>2820</v>
      </c>
      <c r="C2707" s="1">
        <v>1</v>
      </c>
      <c r="D2707" s="1" t="str">
        <f>"01113"</f>
        <v>01113</v>
      </c>
      <c r="E2707" s="1" t="s">
        <v>558</v>
      </c>
      <c r="F2707" s="1">
        <v>17</v>
      </c>
      <c r="G2707" s="1">
        <v>13</v>
      </c>
      <c r="H2707" s="1">
        <v>0</v>
      </c>
      <c r="I2707" s="1" t="s">
        <v>2809</v>
      </c>
      <c r="K2707" s="1" t="str">
        <f t="shared" si="174"/>
        <v>ㄇ</v>
      </c>
      <c r="L2707" s="1" t="str">
        <f t="shared" si="175"/>
        <v>ㄞ</v>
      </c>
      <c r="N2707" s="3" t="s">
        <v>30574</v>
      </c>
      <c r="O2707" s="3"/>
      <c r="P2707" s="1" t="s">
        <v>20</v>
      </c>
      <c r="R2707" s="1" t="s">
        <v>2810</v>
      </c>
      <c r="V2707" s="1" t="s">
        <v>2821</v>
      </c>
      <c r="AR2707" s="1" t="str">
        <f t="shared" si="173"/>
        <v>| [ㄇㄞˋ](ㄇㄞˋ.md) | [邁](邁.md) |  | mài | [動]_x000D_
1.遠行。《詩經．小雅．小宛》：「我日斯邁，而月斯征。」晉．左思〈吳都賦〉：「濆薄沸騰，寂寥長邁。」_x000D_
2.巡行、巡守。《詩經．周頌．時邁》：「時邁其邦，昊天其子之。」《後漢書．卷四八．楊李翟應霍爰徐列傳．應奉》：「今大駕東邁，巡省許都，拔出險難，其命惟新。」_x000D_
3.逝、往。《書經．泰誓》：「我心之憂，日月愈邁，若弗云來。」宋．范仲淹〈寄題峴山羊公祠堂〉詩：「堙滅皆無聞，空悲歲月邁。」_x000D_
4.超過。如：「超古邁今」。《三國志．卷二五．魏書．辛毗楊阜高堂隆傳．高堂隆》：「三王可邁，五帝可越。」元．蒲道源〈閑居紀事〉詩二首之二：「冠笄年既邁，受幣方交親。」_x000D_
5.跨。如：「邁過青春」。《兒女英雄傳》第一六回：「順著那房脊，邁步如飛，連三跨五，霎時間不見蹤影。」《文明小史》第一六回：「朝南走到大觀樓底下，認得是爿茶館，遂即邁步登樓。」_x000D_
[形]_x000D_
1.衰老。如：「衰邁」、「頹邁」。《後漢書．卷六五．皇甫張段列傳．皇甫規》：「若謂臣年少官輕，不足用者，凡諸敗將，非官爵之不高，年齒之不邁。臣不勝至誠，沒死自陳。」唐．陳子昂〈臨邛縣令封君遺愛碑〉：「我君云邁，誰其嗣之？」唐．吳畦〈唐贈左散騎常侍汝南韓公神道碑〉：「今齒髮云邁，桑榆足悲。」_x000D_
2.豪放。如：「爽邁」、「雄邁」。唐．元稹〈唐故工部員外郎杜君墓係銘〉：「詞氣豪邁而風調清深，屬對律切而脫棄凡近。」《二刻拍案驚奇》卷一一：「是日焦大郎安排晚飯與滿生同喫，滿生一席之間，談吐如流，更加酒興豪邁，痛飲不醉。」_x000D_
[副]_x000D_
1.勉力。通「勱」。《書經．大禹謨》：「皋陶邁種德，德乃降。」南朝梁．劉勰《文心雕龍．宗經》：「邁德樹聲，莫不師聖。」_x000D_
2.奮發。如：「勇往邁進」。_x000D_
[名]_x000D_
姓。如明代有邁文麟。_x000D_
[量]_x000D_
計算長度或時速的單位。即英里。為英語mile的音譯。清．李鴻章《李文忠公選集．光緒十六年三月初四日午刻．寄譯署海署》：「查該艦鐵板厚五寸，高五十英尺，喫水深二十六尺，寬四十尺，長三百六十尺，機器三副，極快，每點行二十邁。」清．鄭觀應《南遊日記．五月二十日》：「牌示行二百七十六邁，由香港往西貢計程九百一十邁。」 |</v>
      </c>
    </row>
    <row r="2708" spans="1:44" hidden="1">
      <c r="A2708" s="1" t="s">
        <v>2795</v>
      </c>
      <c r="C2708" s="1">
        <v>1</v>
      </c>
      <c r="D2708" s="1" t="str">
        <f>"01104"</f>
        <v>01104</v>
      </c>
      <c r="E2708" s="1" t="s">
        <v>132</v>
      </c>
      <c r="F2708" s="1">
        <v>10</v>
      </c>
      <c r="G2708" s="1">
        <v>7</v>
      </c>
      <c r="H2708" s="1">
        <v>1</v>
      </c>
      <c r="I2708" s="1" t="s">
        <v>2796</v>
      </c>
      <c r="K2708" s="1" t="str">
        <f t="shared" si="174"/>
        <v>ㄇ</v>
      </c>
      <c r="L2708" s="1" t="str">
        <f t="shared" si="175"/>
        <v>ㄞ</v>
      </c>
      <c r="N2708" s="3" t="s">
        <v>30575</v>
      </c>
      <c r="O2708" s="3"/>
      <c r="P2708" s="1" t="s">
        <v>20</v>
      </c>
      <c r="R2708" s="1" t="s">
        <v>2797</v>
      </c>
      <c r="V2708" s="1" t="s">
        <v>2798</v>
      </c>
      <c r="W2708" s="1" t="s">
        <v>2799</v>
      </c>
      <c r="AR2708" s="1" t="str">
        <f t="shared" si="173"/>
        <v>| [ㄇㄞˊ](ㄇㄞˊ.md) | [埋](埋.md) |  | mái | [動]
1.葬。如：「活埋」、「埋葬」。《文選．鮑照．蕪城賦》：「莫不埋魂幽石，委骨窮塵。」清．袁枚〈祭妹文〉：「汝死我葬，我死誰埋？汝倘有靈，可能告我？」
2.藏起來使不明顯。如：「埋藏」、「埋伏」、「埋沒」、「埋名」。唐．李白〈登金陵鳳凰臺〉詩：「吳宮花草埋幽徑，晉代衣冠成古丘。」五代十國南唐．李煜〈浪淘沙．往事只堪哀〉詞：「金鎖已沉埋，壯氣蒿萊。」 |</v>
      </c>
    </row>
    <row r="2709" spans="1:44" hidden="1">
      <c r="A2709" s="1" t="s">
        <v>2800</v>
      </c>
      <c r="C2709" s="1">
        <v>1</v>
      </c>
      <c r="D2709" s="1" t="str">
        <f>"01105"</f>
        <v>01105</v>
      </c>
      <c r="E2709" s="1" t="s">
        <v>37</v>
      </c>
      <c r="F2709" s="1">
        <v>18</v>
      </c>
      <c r="G2709" s="1">
        <v>14</v>
      </c>
      <c r="H2709" s="1">
        <v>1</v>
      </c>
      <c r="I2709" s="1" t="s">
        <v>2796</v>
      </c>
      <c r="K2709" s="1" t="str">
        <f t="shared" si="174"/>
        <v>ㄇ</v>
      </c>
      <c r="L2709" s="1" t="str">
        <f t="shared" si="175"/>
        <v>ㄞ</v>
      </c>
      <c r="N2709" s="3" t="s">
        <v>30575</v>
      </c>
      <c r="O2709" s="3"/>
      <c r="P2709" s="1" t="s">
        <v>20</v>
      </c>
      <c r="R2709" s="1" t="s">
        <v>2797</v>
      </c>
      <c r="V2709" s="1" t="s">
        <v>2801</v>
      </c>
      <c r="W2709" s="1" t="s">
        <v>2802</v>
      </c>
      <c r="AR2709" s="1" t="str">
        <f t="shared" si="173"/>
        <v>| [ㄇㄞˊ](ㄇㄞˊ.md) | [薶](薶.md) |  | mái | [動]
埋藏。同「埋」。《漢書．卷三六．楚元王劉交傳》：「又多殺宮人，生薶工匠，計以萬數。」北周．庾信〈小園賦〉：「鎮宅神以薶石，厭山精而照鏡。」 |</v>
      </c>
    </row>
    <row r="2710" spans="1:44" hidden="1">
      <c r="A2710" s="1" t="s">
        <v>2803</v>
      </c>
      <c r="C2710" s="1">
        <v>1</v>
      </c>
      <c r="D2710" s="1" t="str">
        <f>"01106"</f>
        <v>01106</v>
      </c>
      <c r="E2710" s="1" t="s">
        <v>125</v>
      </c>
      <c r="F2710" s="1">
        <v>22</v>
      </c>
      <c r="G2710" s="1">
        <v>14</v>
      </c>
      <c r="H2710" s="1">
        <v>0</v>
      </c>
      <c r="I2710" s="1" t="s">
        <v>2796</v>
      </c>
      <c r="K2710" s="1" t="str">
        <f t="shared" si="174"/>
        <v>ㄇ</v>
      </c>
      <c r="L2710" s="1" t="str">
        <f t="shared" si="175"/>
        <v>ㄞ</v>
      </c>
      <c r="N2710" s="3" t="s">
        <v>30575</v>
      </c>
      <c r="O2710" s="3"/>
      <c r="P2710" s="1" t="s">
        <v>20</v>
      </c>
      <c r="R2710" s="1" t="s">
        <v>2797</v>
      </c>
      <c r="V2710" s="1" t="s">
        <v>2804</v>
      </c>
      <c r="AR2710" s="1" t="str">
        <f t="shared" si="173"/>
        <v>| [ㄇㄞˊ](ㄇㄞˊ.md) | [霾](霾.md) |  | mái | [名]
懸浮於空氣中之煙、塵等微粒聚集形成的昏暗現象。唐．盧綸〈送惟良上人歸江南〉詩：「苦霧沉山影，陰霾發海光。」《紅樓夢》第七八回：「塵霾斂兮星高，溪山麗兮月午。」
[動]
1.大風揚塵土，從上而下。《詩經．邶風．終風》：「終風且霾，惠然肯來。」
2.覆藏。通「埋」。《楚辭．屈原．九歌．國殤》：「霾兩輪兮縶四馬，援玉枹兮擊鳴鼓。」 |</v>
      </c>
    </row>
    <row r="2711" spans="1:44" hidden="1">
      <c r="A2711" s="1" t="s">
        <v>2805</v>
      </c>
      <c r="C2711" s="1">
        <v>1</v>
      </c>
      <c r="D2711" s="1" t="str">
        <f>"01107"</f>
        <v>01107</v>
      </c>
      <c r="E2711" s="1" t="s">
        <v>505</v>
      </c>
      <c r="F2711" s="1">
        <v>12</v>
      </c>
      <c r="G2711" s="1">
        <v>5</v>
      </c>
      <c r="H2711" s="1">
        <v>0</v>
      </c>
      <c r="I2711" s="1" t="s">
        <v>2806</v>
      </c>
      <c r="K2711" s="1" t="str">
        <f t="shared" si="174"/>
        <v>ㄇ</v>
      </c>
      <c r="L2711" s="1" t="str">
        <f t="shared" si="175"/>
        <v>ㄞ</v>
      </c>
      <c r="N2711" s="3" t="s">
        <v>30576</v>
      </c>
      <c r="O2711" s="3"/>
      <c r="P2711" s="1" t="s">
        <v>20</v>
      </c>
      <c r="R2711" s="1" t="s">
        <v>2807</v>
      </c>
      <c r="V2711" s="1" t="s">
        <v>2808</v>
      </c>
      <c r="AR2711" s="1" t="str">
        <f t="shared" si="173"/>
        <v>| [ㄇㄞˇ](ㄇㄞˇ.md) | [買](買.md) |  | mǎi | [動]
1.以金錢購進物產。如：「買田」、「買書」、「買空賣空」。唐．白居易〈琵琶行〉：「商人重利輕別離，前月浮梁買茶去。」唐．柳渾〈牡丹〉詩：「近來無奈牡丹何，數十千錢買一顆。」
2.求取。《南史．卷六九．虞荔傳》：「寄聞之歎曰：『美盛德之形容，以申擊壤之情耳，吾豈買名求仕者乎？』」宋．蘇軾〈荔枝歎〉：「爭新買寵各出意，今年鬥品充官茶。」
[名]
姓。如五代有買叔午，宋代有買天英。 |</v>
      </c>
    </row>
    <row r="2712" spans="1:44" hidden="1">
      <c r="A2712" s="1" t="s">
        <v>2886</v>
      </c>
      <c r="C2712" s="1">
        <v>1</v>
      </c>
      <c r="D2712" s="1" t="str">
        <f>"01143"</f>
        <v>01143</v>
      </c>
      <c r="E2712" s="1" t="s">
        <v>129</v>
      </c>
      <c r="F2712" s="1">
        <v>8</v>
      </c>
      <c r="G2712" s="1">
        <v>5</v>
      </c>
      <c r="H2712" s="1">
        <v>0</v>
      </c>
      <c r="I2712" s="1" t="s">
        <v>2887</v>
      </c>
      <c r="K2712" s="1" t="str">
        <f t="shared" si="174"/>
        <v>ㄇ</v>
      </c>
      <c r="L2712" s="1" t="str">
        <f t="shared" si="175"/>
        <v>ㄟ</v>
      </c>
      <c r="N2712" s="3" t="s">
        <v>30574</v>
      </c>
      <c r="O2712" s="3"/>
      <c r="P2712" s="1" t="s">
        <v>20</v>
      </c>
      <c r="R2712" s="1" t="s">
        <v>2888</v>
      </c>
      <c r="V2712" s="1" t="s">
        <v>2889</v>
      </c>
      <c r="AR2712" s="1" t="str">
        <f t="shared" si="173"/>
        <v>| [ㄇㄟˋ](ㄇㄟˋ.md) | [沬](沬.md) |  | mèi | [名]
1.地名。春秋時衛邑，故址在今大陸地區河南省淇縣。
2.微明之光。《易經．豐卦．九三》：「豐其沛，日中見沬。」唐．陸德明《經典釋文．卷二．周易音義》：「沬，微昧之光也。」 |</v>
      </c>
    </row>
    <row r="2713" spans="1:44" hidden="1">
      <c r="A2713" s="1" t="s">
        <v>2890</v>
      </c>
      <c r="C2713" s="1">
        <v>1</v>
      </c>
      <c r="D2713" s="1" t="str">
        <f>"01144"</f>
        <v>01144</v>
      </c>
      <c r="E2713" s="1" t="s">
        <v>534</v>
      </c>
      <c r="F2713" s="1">
        <v>8</v>
      </c>
      <c r="G2713" s="1">
        <v>5</v>
      </c>
      <c r="H2713" s="1">
        <v>0</v>
      </c>
      <c r="I2713" s="1" t="s">
        <v>2887</v>
      </c>
      <c r="K2713" s="1" t="str">
        <f t="shared" si="174"/>
        <v>ㄇ</v>
      </c>
      <c r="L2713" s="1" t="str">
        <f t="shared" si="175"/>
        <v>ㄟ</v>
      </c>
      <c r="N2713" s="3" t="s">
        <v>30574</v>
      </c>
      <c r="O2713" s="3"/>
      <c r="P2713" s="1" t="s">
        <v>20</v>
      </c>
      <c r="R2713" s="1" t="s">
        <v>2888</v>
      </c>
      <c r="V2713" s="1" t="s">
        <v>2891</v>
      </c>
      <c r="AR2713" s="1" t="str">
        <f t="shared" si="173"/>
        <v>| [ㄇㄟˋ](ㄇㄟˋ.md) | [妹](妹.md) |  | mèi | [名]
1.稱謂：(1)對同父母所生而比自己年幼的女子的稱呼。如：「么妹」、「姊妹」、「兄妹」。南朝梁．無名氏〈木蘭詩〉二首之一：「阿姊聞妹來，當戶理紅妝。」(2)對同輩中較年幼的女子的稱呼。如：「表妹」、「堂妹」。
2.女子對同輩的自謙之詞。如：「小妹我年幼無知，請多多指教。」
3.泛指少女。《西遊記》第九五回：「這寶幢下乃月宮太陰星君，兩邊的仙妹是月裡嫦娥。」 |</v>
      </c>
    </row>
    <row r="2714" spans="1:44" hidden="1">
      <c r="A2714" s="1" t="s">
        <v>2892</v>
      </c>
      <c r="C2714" s="1">
        <v>1</v>
      </c>
      <c r="D2714" s="1" t="str">
        <f>"01145"</f>
        <v>01145</v>
      </c>
      <c r="E2714" s="1" t="s">
        <v>646</v>
      </c>
      <c r="F2714" s="1">
        <v>9</v>
      </c>
      <c r="G2714" s="1">
        <v>5</v>
      </c>
      <c r="H2714" s="1">
        <v>0</v>
      </c>
      <c r="I2714" s="1" t="s">
        <v>2887</v>
      </c>
      <c r="K2714" s="1" t="str">
        <f t="shared" si="174"/>
        <v>ㄇ</v>
      </c>
      <c r="L2714" s="1" t="str">
        <f t="shared" si="175"/>
        <v>ㄟ</v>
      </c>
      <c r="N2714" s="3" t="s">
        <v>30574</v>
      </c>
      <c r="O2714" s="3"/>
      <c r="P2714" s="1" t="s">
        <v>20</v>
      </c>
      <c r="R2714" s="1" t="s">
        <v>2888</v>
      </c>
      <c r="V2714" s="1" t="s">
        <v>2893</v>
      </c>
      <c r="AR2714" s="1" t="str">
        <f t="shared" si="173"/>
        <v>| [ㄇㄟˋ](ㄇㄟˋ.md) | [昧](昧.md) |  | mèi | [形]
1.昏暗、不明。如：「曖昧」。《楚辭．屈原．離騷》：「惟夫黨人之偷樂兮，路幽昧以險隘。」
2.糊塗。如：「愚昧」、「蒙昧」。
[動]
1.隱藏。如：「拾金不昧」。
2.違背。如：「不要昧著良心做事。」《水滸傳》第四四回：「我想他回薊州探母參師，期約百日便回。今經日久，不知信息，莫非昧信不來？」
3.冒犯、冒著。如：「冒昧」。《韓非子．初見秦》：「臣昧死，願望見大王，言所以破天下之從。」 |</v>
      </c>
    </row>
    <row r="2715" spans="1:44" hidden="1">
      <c r="A2715" s="1" t="s">
        <v>2894</v>
      </c>
      <c r="C2715" s="1">
        <v>1</v>
      </c>
      <c r="D2715" s="1" t="str">
        <f>"01146"</f>
        <v>01146</v>
      </c>
      <c r="E2715" s="1" t="s">
        <v>1015</v>
      </c>
      <c r="F2715" s="1">
        <v>10</v>
      </c>
      <c r="G2715" s="1">
        <v>5</v>
      </c>
      <c r="H2715" s="1">
        <v>0</v>
      </c>
      <c r="I2715" s="1" t="s">
        <v>2887</v>
      </c>
      <c r="K2715" s="1" t="str">
        <f t="shared" si="174"/>
        <v>ㄇ</v>
      </c>
      <c r="L2715" s="1" t="str">
        <f t="shared" si="175"/>
        <v>ㄟ</v>
      </c>
      <c r="N2715" s="3" t="s">
        <v>30574</v>
      </c>
      <c r="O2715" s="3"/>
      <c r="P2715" s="1" t="s">
        <v>20</v>
      </c>
      <c r="R2715" s="1" t="s">
        <v>2888</v>
      </c>
      <c r="V2715" s="1" t="s">
        <v>2895</v>
      </c>
      <c r="AR2715" s="1" t="str">
        <f t="shared" si="173"/>
        <v>| [ㄇㄟˋ](ㄇㄟˋ.md) | [眛](眛.md) |  | mèi | [形]
眼睛看不清楚的樣子。《說文解字．目部》：「眛，目不明也。」 |</v>
      </c>
    </row>
    <row r="2716" spans="1:44" hidden="1">
      <c r="A2716" s="1" t="s">
        <v>2896</v>
      </c>
      <c r="C2716" s="1">
        <v>1</v>
      </c>
      <c r="D2716" s="1" t="str">
        <f>"01147"</f>
        <v>01147</v>
      </c>
      <c r="E2716" s="1" t="s">
        <v>624</v>
      </c>
      <c r="F2716" s="1">
        <v>12</v>
      </c>
      <c r="G2716" s="1">
        <v>9</v>
      </c>
      <c r="H2716" s="1">
        <v>0</v>
      </c>
      <c r="I2716" s="1" t="s">
        <v>2887</v>
      </c>
      <c r="K2716" s="1" t="str">
        <f t="shared" si="174"/>
        <v>ㄇ</v>
      </c>
      <c r="L2716" s="1" t="str">
        <f t="shared" si="175"/>
        <v>ㄟ</v>
      </c>
      <c r="N2716" s="3" t="s">
        <v>30574</v>
      </c>
      <c r="O2716" s="3"/>
      <c r="P2716" s="1" t="s">
        <v>20</v>
      </c>
      <c r="R2716" s="1" t="s">
        <v>2888</v>
      </c>
      <c r="V2716" s="1" t="s">
        <v>2897</v>
      </c>
      <c r="AR2716" s="1" t="str">
        <f t="shared" si="173"/>
        <v>| [ㄇㄟˋ](ㄇㄟˋ.md) | [寐](寐.md) |  | mèi | [動]
睡。如：「假寐」、「夢寐以求」。《詩經．小雅．小宛》：「夙興夜寐，毋忝爾所生。」《公羊傳．僖公二年》：「寡人夜者寢而不寐。」 |</v>
      </c>
    </row>
    <row r="2717" spans="1:44" hidden="1">
      <c r="A2717" s="1" t="s">
        <v>2898</v>
      </c>
      <c r="C2717" s="1">
        <v>1</v>
      </c>
      <c r="D2717" s="1" t="str">
        <f>"01148"</f>
        <v>01148</v>
      </c>
      <c r="E2717" s="1" t="s">
        <v>83</v>
      </c>
      <c r="F2717" s="1">
        <v>15</v>
      </c>
      <c r="G2717" s="1">
        <v>5</v>
      </c>
      <c r="H2717" s="1">
        <v>0</v>
      </c>
      <c r="I2717" s="1" t="s">
        <v>2887</v>
      </c>
      <c r="K2717" s="1" t="str">
        <f t="shared" si="174"/>
        <v>ㄇ</v>
      </c>
      <c r="L2717" s="1" t="str">
        <f t="shared" si="175"/>
        <v>ㄟ</v>
      </c>
      <c r="N2717" s="3" t="s">
        <v>30574</v>
      </c>
      <c r="O2717" s="3"/>
      <c r="P2717" s="1" t="s">
        <v>20</v>
      </c>
      <c r="R2717" s="1" t="s">
        <v>2888</v>
      </c>
      <c r="V2717" s="1" t="s">
        <v>2899</v>
      </c>
      <c r="AR2717" s="1" t="str">
        <f t="shared" si="173"/>
        <v>| [ㄇㄟˋ](ㄇㄟˋ.md) | [魅](魅.md) |  | mèi | [名]
傳說中作祟害人的鬼怪。如：「魑魅」、「鬼魅」。《文選．鮑照．蕪城賦》：「木魅山鬼，野鼠城狐，風嗥雨嘯，昏見晨趨。」《洛陽伽藍記．卷四．法雲寺》：「當時婦人著綵衣者，皆指其狐魅。」
[動]
迷惑。《說郛．卷六〇．玄中記》：「能知千里外事，善蠱魅，使人迷惑。」 |</v>
      </c>
    </row>
    <row r="2718" spans="1:44" hidden="1">
      <c r="A2718" s="1" t="s">
        <v>2900</v>
      </c>
      <c r="C2718" s="1">
        <v>1</v>
      </c>
      <c r="D2718" s="1" t="str">
        <f>"01149"</f>
        <v>01149</v>
      </c>
      <c r="E2718" s="1" t="s">
        <v>340</v>
      </c>
      <c r="F2718" s="1">
        <v>10</v>
      </c>
      <c r="G2718" s="1">
        <v>4</v>
      </c>
      <c r="H2718" s="1">
        <v>0</v>
      </c>
      <c r="I2718" s="1" t="s">
        <v>2887</v>
      </c>
      <c r="K2718" s="1" t="str">
        <f t="shared" si="174"/>
        <v>ㄇ</v>
      </c>
      <c r="L2718" s="1" t="str">
        <f t="shared" si="175"/>
        <v>ㄟ</v>
      </c>
      <c r="N2718" s="3" t="s">
        <v>30574</v>
      </c>
      <c r="O2718" s="3"/>
      <c r="P2718" s="1" t="s">
        <v>20</v>
      </c>
      <c r="R2718" s="1" t="s">
        <v>2888</v>
      </c>
      <c r="V2718" s="1" t="s">
        <v>2901</v>
      </c>
      <c r="AR2718" s="1" t="str">
        <f t="shared" si="173"/>
        <v>| [ㄇㄟˋ](ㄇㄟˋ.md) | [袂](袂.md) |  | mèi | [名]
衣袖。如：「連袂前往」。《左傳．宣公十四年》：「楚子聞之，投袂而起。」唐．白居易〈長恨歌〉：「風吹仙袂飄飄舉，猶似霓裳羽衣舞。」 |</v>
      </c>
    </row>
    <row r="2719" spans="1:44" hidden="1">
      <c r="A2719" s="1" t="s">
        <v>2902</v>
      </c>
      <c r="C2719" s="1">
        <v>1</v>
      </c>
      <c r="D2719" s="1" t="str">
        <f>"01150"</f>
        <v>01150</v>
      </c>
      <c r="E2719" s="1" t="s">
        <v>40</v>
      </c>
      <c r="F2719" s="1">
        <v>12</v>
      </c>
      <c r="G2719" s="1">
        <v>7</v>
      </c>
      <c r="H2719" s="1">
        <v>0</v>
      </c>
      <c r="I2719" s="1" t="s">
        <v>2887</v>
      </c>
      <c r="K2719" s="1" t="str">
        <f t="shared" si="174"/>
        <v>ㄇ</v>
      </c>
      <c r="L2719" s="1" t="str">
        <f t="shared" si="175"/>
        <v>ㄟ</v>
      </c>
      <c r="N2719" s="3" t="s">
        <v>30574</v>
      </c>
      <c r="O2719" s="3"/>
      <c r="P2719" s="1" t="s">
        <v>20</v>
      </c>
      <c r="R2719" s="1" t="s">
        <v>2888</v>
      </c>
      <c r="V2719" s="1" t="s">
        <v>2903</v>
      </c>
      <c r="AR2719" s="1" t="str">
        <f t="shared" si="173"/>
        <v>| [ㄇㄟˋ](ㄇㄟˋ.md) | [痗](痗.md) |  | mèi | [名]
病。唐．劉禹錫〈謁柱山會禪師〉詩：「安能咎往事，且欲去沉痗。」《聊齋志異．卷七．梅女》：「年十六歲，無問名者，父母憂念成痗。」
[動]
憂傷。《詩經．衛風．伯兮》：「願言思伯，使我心痗。」 |</v>
      </c>
    </row>
    <row r="2720" spans="1:44" hidden="1">
      <c r="A2720" s="1" t="s">
        <v>2904</v>
      </c>
      <c r="C2720" s="1">
        <v>1</v>
      </c>
      <c r="D2720" s="1" t="str">
        <f>"01151"</f>
        <v>01151</v>
      </c>
      <c r="E2720" s="1" t="s">
        <v>534</v>
      </c>
      <c r="F2720" s="1">
        <v>12</v>
      </c>
      <c r="G2720" s="1">
        <v>9</v>
      </c>
      <c r="H2720" s="1">
        <v>0</v>
      </c>
      <c r="I2720" s="1" t="s">
        <v>2887</v>
      </c>
      <c r="K2720" s="1" t="str">
        <f t="shared" si="174"/>
        <v>ㄇ</v>
      </c>
      <c r="L2720" s="1" t="str">
        <f t="shared" si="175"/>
        <v>ㄟ</v>
      </c>
      <c r="N2720" s="3" t="s">
        <v>30574</v>
      </c>
      <c r="O2720" s="3"/>
      <c r="P2720" s="1" t="s">
        <v>20</v>
      </c>
      <c r="R2720" s="1" t="s">
        <v>2888</v>
      </c>
      <c r="V2720" s="1" t="s">
        <v>2905</v>
      </c>
      <c r="AR2720" s="1" t="str">
        <f t="shared" si="173"/>
        <v>| [ㄇㄟˋ](ㄇㄟˋ.md) | [媚](媚.md) |  | mèi | [動]
1.奉承、取悅、討好。如：「諂媚」。《國語．周語上》：「若是，乃能媚於神而和於民。」《史記．卷一二五．佞幸傳．序》：「非獨女以色媚，而士宦亦有之。」
2.愛。《詩經．大雅．下武》：「媚茲一人。」三國魏．繁欽〈定情〉詩：「我既媚君姿，君亦悅我顏。」
[形]
嬌豔、美好、可愛。如：「嬌媚」、「嫵媚」、「風光明媚」。《文選．陸機．文賦》：「石韞玉而山輝，水懷珠而川媚。」 |</v>
      </c>
    </row>
    <row r="2721" spans="1:44" hidden="1">
      <c r="A2721" s="1" t="s">
        <v>2906</v>
      </c>
      <c r="C2721" s="1">
        <v>1</v>
      </c>
      <c r="D2721" s="1" t="str">
        <f>"01152"</f>
        <v>01152</v>
      </c>
      <c r="E2721" s="1" t="s">
        <v>142</v>
      </c>
      <c r="F2721" s="1">
        <v>13</v>
      </c>
      <c r="G2721" s="1">
        <v>9</v>
      </c>
      <c r="H2721" s="1">
        <v>1</v>
      </c>
      <c r="I2721" s="1" t="s">
        <v>2887</v>
      </c>
      <c r="K2721" s="1" t="str">
        <f t="shared" si="174"/>
        <v>ㄇ</v>
      </c>
      <c r="L2721" s="1" t="str">
        <f t="shared" si="175"/>
        <v>ㄟ</v>
      </c>
      <c r="N2721" s="3" t="s">
        <v>30574</v>
      </c>
      <c r="O2721" s="3"/>
      <c r="P2721" s="1" t="s">
        <v>20</v>
      </c>
      <c r="R2721" s="1" t="s">
        <v>2888</v>
      </c>
      <c r="V2721" s="1" t="s">
        <v>2907</v>
      </c>
      <c r="W2721" s="1" t="s">
        <v>2908</v>
      </c>
      <c r="AR2721" s="1" t="str">
        <f t="shared" si="173"/>
        <v>| [ㄇㄟˋ](ㄇㄟˋ.md) | [瑁](瑁.md) |  | mèi | 參見「玳瑁」條。 |</v>
      </c>
    </row>
    <row r="2722" spans="1:44" hidden="1">
      <c r="A2722" s="1" t="s">
        <v>2909</v>
      </c>
      <c r="C2722" s="1">
        <v>1</v>
      </c>
      <c r="D2722" s="1" t="str">
        <f>"01153"</f>
        <v>01153</v>
      </c>
      <c r="E2722" s="1" t="s">
        <v>679</v>
      </c>
      <c r="F2722" s="1">
        <v>15</v>
      </c>
      <c r="G2722" s="1">
        <v>9</v>
      </c>
      <c r="H2722" s="1">
        <v>0</v>
      </c>
      <c r="I2722" s="1" t="s">
        <v>2887</v>
      </c>
      <c r="K2722" s="1" t="str">
        <f t="shared" si="174"/>
        <v>ㄇ</v>
      </c>
      <c r="L2722" s="1" t="str">
        <f t="shared" si="175"/>
        <v>ㄟ</v>
      </c>
      <c r="N2722" s="3" t="s">
        <v>30574</v>
      </c>
      <c r="O2722" s="3"/>
      <c r="P2722" s="1" t="s">
        <v>20</v>
      </c>
      <c r="R2722" s="1" t="s">
        <v>2888</v>
      </c>
      <c r="V2722" s="1" t="s">
        <v>2910</v>
      </c>
      <c r="AR2722" s="1" t="str">
        <f t="shared" si="173"/>
        <v>| [ㄇㄟˋ](ㄇㄟˋ.md) | [蝐](蝐.md) |  | mèi | [名]
蝳蝐：動物名。即玳瑁。脊椎動物爬蟲類。背甲黃褐色，有美麗斑紋，可做裝飾品。 |</v>
      </c>
    </row>
    <row r="2723" spans="1:44" hidden="1">
      <c r="A2723" s="1" t="s">
        <v>2911</v>
      </c>
      <c r="C2723" s="1">
        <v>1</v>
      </c>
      <c r="D2723" s="1" t="str">
        <f>"01154"</f>
        <v>01154</v>
      </c>
      <c r="E2723" s="1" t="s">
        <v>1058</v>
      </c>
      <c r="F2723" s="1">
        <v>14</v>
      </c>
      <c r="G2723" s="1">
        <v>5</v>
      </c>
      <c r="H2723" s="1">
        <v>0</v>
      </c>
      <c r="I2723" s="1" t="s">
        <v>2887</v>
      </c>
      <c r="K2723" s="1" t="str">
        <f t="shared" si="174"/>
        <v>ㄇ</v>
      </c>
      <c r="L2723" s="1" t="str">
        <f t="shared" si="175"/>
        <v>ㄟ</v>
      </c>
      <c r="N2723" s="3" t="s">
        <v>30574</v>
      </c>
      <c r="O2723" s="3"/>
      <c r="P2723" s="1" t="s">
        <v>20</v>
      </c>
      <c r="R2723" s="1" t="s">
        <v>2888</v>
      </c>
      <c r="V2723" s="1" t="s">
        <v>2912</v>
      </c>
      <c r="AR2723" s="1" t="str">
        <f t="shared" si="173"/>
        <v>| [ㄇㄟˋ](ㄇㄟˋ.md) | [韎](韎.md) |  | mèi | [動]
用茜草染皮革。《說文解字．韋部》：「韎，茅蒐染韋也。」
[名]
1.茜草。可作染料。《玉篇．韋部》：「韎，茅蒐，染草也。」《晉書．卷二五．輿服志》：「韋弁，制似皮弁，頂上尖，韎草染之，色如淺絳。」
2.古代東夷的樂音。《周禮．春官．鞮鞻氏》：「鞮鞻氏掌四夷之樂。」漢．鄭玄．注：「四夷之樂，東方曰韎，南方曰任，西方曰株離，北方曰禁。」
[形]
紅色的。《左傳．成公十六年》：「方事之殷也，有韎韋之跗注，君子也。」晉．杜預．注：「韎，赤色。」 |</v>
      </c>
    </row>
    <row r="2724" spans="1:44" hidden="1">
      <c r="A2724" s="1" t="s">
        <v>2913</v>
      </c>
      <c r="C2724" s="1">
        <v>1</v>
      </c>
      <c r="D2724" s="1" t="str">
        <f>"01155"</f>
        <v>01155</v>
      </c>
      <c r="E2724" s="1" t="s">
        <v>331</v>
      </c>
      <c r="F2724" s="1">
        <v>17</v>
      </c>
      <c r="G2724" s="1">
        <v>10</v>
      </c>
      <c r="H2724" s="1">
        <v>3</v>
      </c>
      <c r="I2724" s="1" t="s">
        <v>2887</v>
      </c>
      <c r="K2724" s="1" t="str">
        <f t="shared" si="174"/>
        <v>ㄇ</v>
      </c>
      <c r="L2724" s="1" t="str">
        <f t="shared" si="175"/>
        <v>ㄟ</v>
      </c>
      <c r="N2724" s="3" t="s">
        <v>30574</v>
      </c>
      <c r="O2724" s="3"/>
      <c r="P2724" s="1" t="s">
        <v>110</v>
      </c>
      <c r="R2724" s="1" t="s">
        <v>2888</v>
      </c>
      <c r="V2724" s="1" t="s">
        <v>111</v>
      </c>
      <c r="W2724" s="1" t="s">
        <v>2914</v>
      </c>
      <c r="AR2724" s="1" t="str">
        <f t="shared" si="173"/>
        <v>| [ㄇㄟˋ](ㄇㄟˋ.md) | [謎](謎.md) |  | mèi | (一)之又音。 |</v>
      </c>
    </row>
    <row r="2725" spans="1:44" hidden="1">
      <c r="A2725" s="1" t="s">
        <v>2715</v>
      </c>
      <c r="C2725" s="1">
        <v>1</v>
      </c>
      <c r="D2725" s="1" t="str">
        <f>"01114"</f>
        <v>01114</v>
      </c>
      <c r="E2725" s="1" t="s">
        <v>129</v>
      </c>
      <c r="F2725" s="1">
        <v>7</v>
      </c>
      <c r="G2725" s="1">
        <v>4</v>
      </c>
      <c r="H2725" s="1">
        <v>2</v>
      </c>
      <c r="I2725" s="1" t="s">
        <v>2822</v>
      </c>
      <c r="K2725" s="1" t="str">
        <f t="shared" si="174"/>
        <v>ㄇ</v>
      </c>
      <c r="L2725" s="1" t="str">
        <f t="shared" si="175"/>
        <v>ㄟ</v>
      </c>
      <c r="N2725" s="3" t="s">
        <v>30575</v>
      </c>
      <c r="O2725" s="3"/>
      <c r="P2725" s="1" t="s">
        <v>20</v>
      </c>
      <c r="R2725" s="1" t="s">
        <v>2823</v>
      </c>
      <c r="V2725" s="1" t="s">
        <v>2824</v>
      </c>
      <c r="W2725" s="1" t="s">
        <v>2825</v>
      </c>
      <c r="AR2725" s="1" t="str">
        <f t="shared" si="173"/>
        <v>| [ㄇㄟˊ](ㄇㄟˊ.md) | [沒](沒.md) |  | méi | [動]
1.無。如：「沒緣」、「沒良心」。唐．韋莊〈女冠子．四月十七〉詞：「除卻天邊月，沒人知。」元．鍾嗣成〈一枝花．生居天地間套．牧羊關〉曲：「胎中疾，沒藥醫。」
2.不如。如：「我沒你有錢」、「你沒我快」。
[副]
未。如：「沒來」、「沒說」。 |</v>
      </c>
    </row>
    <row r="2726" spans="1:44" hidden="1">
      <c r="A2726" s="1" t="s">
        <v>2826</v>
      </c>
      <c r="C2726" s="1">
        <v>1</v>
      </c>
      <c r="D2726" s="1" t="str">
        <f>"01115"</f>
        <v>01115</v>
      </c>
      <c r="E2726" s="1" t="s">
        <v>142</v>
      </c>
      <c r="F2726" s="1">
        <v>8</v>
      </c>
      <c r="G2726" s="1">
        <v>4</v>
      </c>
      <c r="H2726" s="1">
        <v>0</v>
      </c>
      <c r="I2726" s="1" t="s">
        <v>2822</v>
      </c>
      <c r="K2726" s="1" t="str">
        <f t="shared" si="174"/>
        <v>ㄇ</v>
      </c>
      <c r="L2726" s="1" t="str">
        <f t="shared" si="175"/>
        <v>ㄟ</v>
      </c>
      <c r="N2726" s="3" t="s">
        <v>30575</v>
      </c>
      <c r="O2726" s="3"/>
      <c r="P2726" s="1" t="s">
        <v>20</v>
      </c>
      <c r="R2726" s="1" t="s">
        <v>2823</v>
      </c>
      <c r="V2726" s="1" t="s">
        <v>2827</v>
      </c>
      <c r="AR2726" s="1" t="str">
        <f t="shared" si="173"/>
        <v>| [ㄇㄟˊ](ㄇㄟˊ.md) | [玫](玫.md) |  | méi | [名]
1.美石。唐．釋玄應《一切經音義．卷二．大般涅槃經》：「石之美好曰：『玫』，圓好曰：『瑰』。」
2.參見「玫瑰」條。 |</v>
      </c>
    </row>
    <row r="2727" spans="1:44" hidden="1">
      <c r="A2727" s="1" t="s">
        <v>2828</v>
      </c>
      <c r="C2727" s="1">
        <v>1</v>
      </c>
      <c r="D2727" s="1" t="str">
        <f>"01116"</f>
        <v>01116</v>
      </c>
      <c r="E2727" s="1" t="s">
        <v>139</v>
      </c>
      <c r="F2727" s="1">
        <v>8</v>
      </c>
      <c r="G2727" s="1">
        <v>4</v>
      </c>
      <c r="H2727" s="1">
        <v>0</v>
      </c>
      <c r="I2727" s="1" t="s">
        <v>2822</v>
      </c>
      <c r="K2727" s="1" t="str">
        <f t="shared" si="174"/>
        <v>ㄇ</v>
      </c>
      <c r="L2727" s="1" t="str">
        <f t="shared" si="175"/>
        <v>ㄟ</v>
      </c>
      <c r="N2727" s="3" t="s">
        <v>30575</v>
      </c>
      <c r="O2727" s="3"/>
      <c r="P2727" s="1" t="s">
        <v>20</v>
      </c>
      <c r="R2727" s="1" t="s">
        <v>2823</v>
      </c>
      <c r="V2727" s="1" t="s">
        <v>2829</v>
      </c>
      <c r="AR2727" s="1" t="str">
        <f t="shared" si="173"/>
        <v>| [ㄇㄟˊ](ㄇㄟˊ.md) | [枚](枚.md) |  | méi | [名]
1.樹幹。《詩經．周南．汝墳》：「遵彼汝墳，伐其條枚。」唐．杜甫〈雨〉詩：「鮫館如鳴杼，樵舟豈伐枚。」
2.古代行軍時，兵士橫銜於口中，以防止言語的箸。如：「銜枚疾走」。《詩經．豳風．東山》：「制彼裳衣，勿士行枚。」
3.量詞：(1)計算形體較小物品的單位。相當於「個」。如：「一枚銅板」、「兩枚郵票」。《文選．謝惠連．祭古冢文》：「棺上有五銖錢百餘枚。」《儒林外史》第二回：「只有周、梅二位的茶杯裡有兩枚生紅棗，其餘都是清茶。」(2)計算火箭、彈藥的單位。如：「一枚炸彈」、「兩枚火箭」。
4.姓。如漢代有枚乘。
[副]
一個一個的。如：「不勝枚舉」。 |</v>
      </c>
    </row>
    <row r="2728" spans="1:44" hidden="1">
      <c r="A2728" s="1" t="s">
        <v>2830</v>
      </c>
      <c r="C2728" s="1">
        <v>1</v>
      </c>
      <c r="D2728" s="1" t="str">
        <f>"01117"</f>
        <v>01117</v>
      </c>
      <c r="E2728" s="1" t="s">
        <v>37</v>
      </c>
      <c r="F2728" s="1">
        <v>9</v>
      </c>
      <c r="G2728" s="1">
        <v>5</v>
      </c>
      <c r="H2728" s="1">
        <v>0</v>
      </c>
      <c r="I2728" s="1" t="s">
        <v>2822</v>
      </c>
      <c r="K2728" s="1" t="str">
        <f t="shared" si="174"/>
        <v>ㄇ</v>
      </c>
      <c r="L2728" s="1" t="str">
        <f t="shared" si="175"/>
        <v>ㄟ</v>
      </c>
      <c r="N2728" s="3" t="s">
        <v>30575</v>
      </c>
      <c r="O2728" s="3"/>
      <c r="P2728" s="1" t="s">
        <v>20</v>
      </c>
      <c r="R2728" s="1" t="s">
        <v>2823</v>
      </c>
      <c r="V2728" s="1" t="s">
        <v>2831</v>
      </c>
      <c r="AR2728" s="1" t="str">
        <f t="shared" si="173"/>
        <v>| [ㄇㄟˊ](ㄇㄟˊ.md) | [苺](苺.md) |  | méi | 同「莓」。 |</v>
      </c>
    </row>
    <row r="2729" spans="1:44" hidden="1">
      <c r="A2729" s="1" t="s">
        <v>2832</v>
      </c>
      <c r="C2729" s="1">
        <v>1</v>
      </c>
      <c r="D2729" s="1" t="str">
        <f>"01118"</f>
        <v>01118</v>
      </c>
      <c r="E2729" s="1" t="s">
        <v>139</v>
      </c>
      <c r="F2729" s="1">
        <v>11</v>
      </c>
      <c r="G2729" s="1">
        <v>7</v>
      </c>
      <c r="H2729" s="1">
        <v>0</v>
      </c>
      <c r="I2729" s="1" t="s">
        <v>2822</v>
      </c>
      <c r="K2729" s="1" t="str">
        <f t="shared" si="174"/>
        <v>ㄇ</v>
      </c>
      <c r="L2729" s="1" t="str">
        <f t="shared" si="175"/>
        <v>ㄟ</v>
      </c>
      <c r="N2729" s="3" t="s">
        <v>30575</v>
      </c>
      <c r="O2729" s="3"/>
      <c r="P2729" s="1" t="s">
        <v>20</v>
      </c>
      <c r="R2729" s="1" t="s">
        <v>2823</v>
      </c>
      <c r="V2729" s="1" t="s">
        <v>2833</v>
      </c>
      <c r="AR2729" s="1" t="str">
        <f t="shared" si="173"/>
        <v>| [ㄇㄟˊ](ㄇㄟˊ.md) | [梅](梅.md) |  | méi | [名]
1.植物名。薔薇科李屬，落葉喬木。性耐寒。葉卵形，先端尾狀漸尖，鋸齒緣。早春開花，花單生或二朵聚生，花瓣五片，色紅或白，芳香。核果近球形，外被細毛，味酸，可食。各地均有栽培。
2.姓。宋代有梅堯臣，明代有梅鼎祚。 |</v>
      </c>
    </row>
    <row r="2730" spans="1:44" hidden="1">
      <c r="A2730" s="1" t="s">
        <v>2834</v>
      </c>
      <c r="C2730" s="1">
        <v>1</v>
      </c>
      <c r="D2730" s="1" t="str">
        <f>"01119"</f>
        <v>01119</v>
      </c>
      <c r="E2730" s="1" t="s">
        <v>37</v>
      </c>
      <c r="F2730" s="1">
        <v>11</v>
      </c>
      <c r="G2730" s="1">
        <v>7</v>
      </c>
      <c r="H2730" s="1">
        <v>0</v>
      </c>
      <c r="I2730" s="1" t="s">
        <v>2822</v>
      </c>
      <c r="K2730" s="1" t="str">
        <f t="shared" si="174"/>
        <v>ㄇ</v>
      </c>
      <c r="L2730" s="1" t="str">
        <f t="shared" si="175"/>
        <v>ㄟ</v>
      </c>
      <c r="N2730" s="3" t="s">
        <v>30575</v>
      </c>
      <c r="O2730" s="3"/>
      <c r="P2730" s="1" t="s">
        <v>20</v>
      </c>
      <c r="R2730" s="1" t="s">
        <v>2823</v>
      </c>
      <c r="V2730" s="1" t="s">
        <v>2835</v>
      </c>
      <c r="AR2730" s="1" t="str">
        <f t="shared" si="173"/>
        <v>| [ㄇㄟˊ](ㄇㄟˊ.md) | [莓](莓.md) |  | méi | 參見「草莓」條。 |</v>
      </c>
    </row>
    <row r="2731" spans="1:44" hidden="1">
      <c r="A2731" s="1" t="s">
        <v>2836</v>
      </c>
      <c r="C2731" s="1">
        <v>1</v>
      </c>
      <c r="D2731" s="1" t="str">
        <f>"01120"</f>
        <v>01120</v>
      </c>
      <c r="E2731" s="1" t="s">
        <v>68</v>
      </c>
      <c r="F2731" s="1">
        <v>11</v>
      </c>
      <c r="G2731" s="1">
        <v>7</v>
      </c>
      <c r="H2731" s="1">
        <v>0</v>
      </c>
      <c r="I2731" s="1" t="s">
        <v>2822</v>
      </c>
      <c r="K2731" s="1" t="str">
        <f t="shared" si="174"/>
        <v>ㄇ</v>
      </c>
      <c r="L2731" s="1" t="str">
        <f t="shared" si="175"/>
        <v>ㄟ</v>
      </c>
      <c r="N2731" s="3" t="s">
        <v>30575</v>
      </c>
      <c r="O2731" s="3"/>
      <c r="P2731" s="1" t="s">
        <v>20</v>
      </c>
      <c r="R2731" s="1" t="s">
        <v>2823</v>
      </c>
      <c r="V2731" s="1" t="s">
        <v>2837</v>
      </c>
      <c r="AR2731" s="1" t="str">
        <f t="shared" si="173"/>
        <v>| [ㄇㄟˊ](ㄇㄟˊ.md) | [脢](脢.md) |  | méi | [名]
裡脊肉。指牛、豬等背脊兩旁條狀的瘦肉。如：「脢子肉」。 |</v>
      </c>
    </row>
    <row r="2732" spans="1:44" hidden="1">
      <c r="A2732" s="1" t="s">
        <v>2838</v>
      </c>
      <c r="C2732" s="1">
        <v>1</v>
      </c>
      <c r="D2732" s="1" t="str">
        <f>"01121"</f>
        <v>01121</v>
      </c>
      <c r="E2732" s="1" t="s">
        <v>1462</v>
      </c>
      <c r="F2732" s="1">
        <v>14</v>
      </c>
      <c r="G2732" s="1">
        <v>7</v>
      </c>
      <c r="H2732" s="1">
        <v>0</v>
      </c>
      <c r="I2732" s="1" t="s">
        <v>2822</v>
      </c>
      <c r="K2732" s="1" t="str">
        <f t="shared" si="174"/>
        <v>ㄇ</v>
      </c>
      <c r="L2732" s="1" t="str">
        <f t="shared" si="175"/>
        <v>ㄟ</v>
      </c>
      <c r="N2732" s="3" t="s">
        <v>30575</v>
      </c>
      <c r="O2732" s="3"/>
      <c r="P2732" s="1" t="s">
        <v>20</v>
      </c>
      <c r="R2732" s="1" t="s">
        <v>2823</v>
      </c>
      <c r="V2732" s="1" t="s">
        <v>2839</v>
      </c>
      <c r="AR2732" s="1" t="str">
        <f t="shared" si="173"/>
        <v>| [ㄇㄟˊ](ㄇㄟˊ.md) | [酶](酶.md) |  | méi | [名]
由活細胞產生的有機物質。具有催化力，生命現象中的各種複雜化學反應，均賴其助而得以進行。也稱為「酵素」。 |</v>
      </c>
    </row>
    <row r="2733" spans="1:44" hidden="1">
      <c r="A2733" s="1" t="s">
        <v>2840</v>
      </c>
      <c r="C2733" s="1">
        <v>1</v>
      </c>
      <c r="D2733" s="1" t="str">
        <f>"01122"</f>
        <v>01122</v>
      </c>
      <c r="E2733" s="1" t="s">
        <v>125</v>
      </c>
      <c r="F2733" s="1">
        <v>15</v>
      </c>
      <c r="G2733" s="1">
        <v>7</v>
      </c>
      <c r="H2733" s="1">
        <v>0</v>
      </c>
      <c r="I2733" s="1" t="s">
        <v>2822</v>
      </c>
      <c r="K2733" s="1" t="str">
        <f t="shared" si="174"/>
        <v>ㄇ</v>
      </c>
      <c r="L2733" s="1" t="str">
        <f t="shared" si="175"/>
        <v>ㄟ</v>
      </c>
      <c r="N2733" s="3" t="s">
        <v>30575</v>
      </c>
      <c r="O2733" s="3"/>
      <c r="P2733" s="1" t="s">
        <v>20</v>
      </c>
      <c r="R2733" s="1" t="s">
        <v>2823</v>
      </c>
      <c r="V2733" s="1" t="s">
        <v>2841</v>
      </c>
      <c r="AR2733" s="1" t="str">
        <f t="shared" si="173"/>
        <v>| [ㄇㄟˊ](ㄇㄟˊ.md) | [霉](霉.md) |  | méi | [名]
衣物、食品等因受溼熱所生的黴菌，有時為灰黑色的小點。如：「發霉」、「長霉」。
[動]
發霉。《紅樓夢》第四〇回：「若有時都拿出來，送這劉親家兩疋，做一個帳子我掛，下剩的配上裡子，做些夾背心給丫頭們穿，白收著霉壞了。」 |</v>
      </c>
    </row>
    <row r="2734" spans="1:44" hidden="1">
      <c r="A2734" s="1" t="s">
        <v>2842</v>
      </c>
      <c r="C2734" s="1">
        <v>1</v>
      </c>
      <c r="D2734" s="1" t="str">
        <f>"01123"</f>
        <v>01123</v>
      </c>
      <c r="E2734" s="1" t="s">
        <v>55</v>
      </c>
      <c r="F2734" s="1">
        <v>15</v>
      </c>
      <c r="G2734" s="1">
        <v>7</v>
      </c>
      <c r="H2734" s="1">
        <v>0</v>
      </c>
      <c r="I2734" s="1" t="s">
        <v>2822</v>
      </c>
      <c r="K2734" s="1" t="str">
        <f t="shared" ref="K2734:K2765" si="176">LEFT(I2734, 1)</f>
        <v>ㄇ</v>
      </c>
      <c r="L2734" s="1" t="str">
        <f t="shared" ref="L2734:L2765" si="177">MID(I2734, 2, 1)</f>
        <v>ㄟ</v>
      </c>
      <c r="N2734" s="3" t="s">
        <v>30575</v>
      </c>
      <c r="O2734" s="3"/>
      <c r="P2734" s="1" t="s">
        <v>20</v>
      </c>
      <c r="R2734" s="1" t="s">
        <v>2823</v>
      </c>
      <c r="V2734" s="1" t="s">
        <v>2843</v>
      </c>
      <c r="AR2734" s="1" t="str">
        <f t="shared" si="173"/>
        <v>| [ㄇㄟˊ](ㄇㄟˊ.md) | [鋂](鋂.md) |  | méi | [名]
1.以一大環貫二小環而成的金屬鎖鏈。《詩經．齊風．盧令》：「盧重鋂，其人美且偲。」漢．毛亨．傳：「鋂，一環貫二。」
2.（americium，Am）化學元素。原子序為95。為人造的放射性元素，銀白色的結晶形固體。與氧、鹵素、鋰等能生成化合物。可用於輻射化學上的研究及電子儀器上。 |</v>
      </c>
    </row>
    <row r="2735" spans="1:44" hidden="1">
      <c r="A2735" s="1" t="s">
        <v>2844</v>
      </c>
      <c r="C2735" s="1">
        <v>1</v>
      </c>
      <c r="D2735" s="1" t="str">
        <f>"01124"</f>
        <v>01124</v>
      </c>
      <c r="E2735" s="1" t="s">
        <v>1015</v>
      </c>
      <c r="F2735" s="1">
        <v>9</v>
      </c>
      <c r="G2735" s="1">
        <v>4</v>
      </c>
      <c r="H2735" s="1">
        <v>0</v>
      </c>
      <c r="I2735" s="1" t="s">
        <v>2822</v>
      </c>
      <c r="K2735" s="1" t="str">
        <f t="shared" si="176"/>
        <v>ㄇ</v>
      </c>
      <c r="L2735" s="1" t="str">
        <f t="shared" si="177"/>
        <v>ㄟ</v>
      </c>
      <c r="N2735" s="3" t="s">
        <v>30575</v>
      </c>
      <c r="O2735" s="3"/>
      <c r="P2735" s="1" t="s">
        <v>20</v>
      </c>
      <c r="R2735" s="1" t="s">
        <v>2823</v>
      </c>
      <c r="V2735" s="1" t="s">
        <v>2845</v>
      </c>
      <c r="AR2735" s="1" t="str">
        <f t="shared" si="173"/>
        <v>| [ㄇㄟˊ](ㄇㄟˊ.md) | [眉](眉.md) |  | méi | [名]
1.人的前額與上眼瞼連接處，橫形高超生有細毛的部分。如：「眉毛」、「八字眉」、「橫眉豎眼」、「舉案齊眉」。
2.泛稱上端為「眉」。如：「書眉」。
3.姓。如春秋時代有眉間尺。 |</v>
      </c>
    </row>
    <row r="2736" spans="1:44" hidden="1">
      <c r="A2736" s="1" t="s">
        <v>2846</v>
      </c>
      <c r="C2736" s="1">
        <v>1</v>
      </c>
      <c r="D2736" s="1" t="str">
        <f>"01125"</f>
        <v>01125</v>
      </c>
      <c r="E2736" s="1" t="s">
        <v>129</v>
      </c>
      <c r="F2736" s="1">
        <v>12</v>
      </c>
      <c r="G2736" s="1">
        <v>9</v>
      </c>
      <c r="H2736" s="1">
        <v>0</v>
      </c>
      <c r="I2736" s="1" t="s">
        <v>2822</v>
      </c>
      <c r="K2736" s="1" t="str">
        <f t="shared" si="176"/>
        <v>ㄇ</v>
      </c>
      <c r="L2736" s="1" t="str">
        <f t="shared" si="177"/>
        <v>ㄟ</v>
      </c>
      <c r="N2736" s="3" t="s">
        <v>30575</v>
      </c>
      <c r="O2736" s="3"/>
      <c r="P2736" s="1" t="s">
        <v>20</v>
      </c>
      <c r="R2736" s="1" t="s">
        <v>2823</v>
      </c>
      <c r="V2736" s="1" t="s">
        <v>2847</v>
      </c>
      <c r="AR2736" s="1" t="str">
        <f t="shared" si="173"/>
        <v>| [ㄇㄟˊ](ㄇㄟˊ.md) | [湄](湄.md) |  | méi | [名]
水邊、岸邊。《詩經．秦風．蒹葭》：「所謂伊人，在水之湄。」元．周密〈繡鸞鳳花犯．楚江湄〉詞：「楚江湄，湘娥乍見，無言灑清淚。」 |</v>
      </c>
    </row>
    <row r="2737" spans="1:44" hidden="1">
      <c r="A2737" s="1" t="s">
        <v>2848</v>
      </c>
      <c r="C2737" s="1">
        <v>1</v>
      </c>
      <c r="D2737" s="1" t="str">
        <f>"01126"</f>
        <v>01126</v>
      </c>
      <c r="E2737" s="1" t="s">
        <v>190</v>
      </c>
      <c r="F2737" s="1">
        <v>12</v>
      </c>
      <c r="G2737" s="1">
        <v>9</v>
      </c>
      <c r="H2737" s="1">
        <v>0</v>
      </c>
      <c r="I2737" s="1" t="s">
        <v>2822</v>
      </c>
      <c r="K2737" s="1" t="str">
        <f t="shared" si="176"/>
        <v>ㄇ</v>
      </c>
      <c r="L2737" s="1" t="str">
        <f t="shared" si="177"/>
        <v>ㄟ</v>
      </c>
      <c r="N2737" s="3" t="s">
        <v>30575</v>
      </c>
      <c r="O2737" s="3"/>
      <c r="P2737" s="1" t="s">
        <v>20</v>
      </c>
      <c r="R2737" s="1" t="s">
        <v>2823</v>
      </c>
      <c r="V2737" s="1" t="s">
        <v>2849</v>
      </c>
      <c r="AR2737" s="1" t="str">
        <f t="shared" si="173"/>
        <v>| [ㄇㄟˊ](ㄇㄟˊ.md) | [嵋](嵋.md) |  | méi | 參見「峨嵋山」條。 |</v>
      </c>
    </row>
    <row r="2738" spans="1:44" hidden="1">
      <c r="A2738" s="1" t="s">
        <v>2850</v>
      </c>
      <c r="C2738" s="1">
        <v>1</v>
      </c>
      <c r="D2738" s="1" t="str">
        <f>"01127"</f>
        <v>01127</v>
      </c>
      <c r="E2738" s="1" t="s">
        <v>256</v>
      </c>
      <c r="F2738" s="1">
        <v>12</v>
      </c>
      <c r="G2738" s="1">
        <v>9</v>
      </c>
      <c r="H2738" s="1">
        <v>0</v>
      </c>
      <c r="I2738" s="1" t="s">
        <v>2822</v>
      </c>
      <c r="K2738" s="1" t="str">
        <f t="shared" si="176"/>
        <v>ㄇ</v>
      </c>
      <c r="L2738" s="1" t="str">
        <f t="shared" si="177"/>
        <v>ㄟ</v>
      </c>
      <c r="N2738" s="3" t="s">
        <v>30575</v>
      </c>
      <c r="O2738" s="3"/>
      <c r="P2738" s="1" t="s">
        <v>20</v>
      </c>
      <c r="R2738" s="1" t="s">
        <v>2823</v>
      </c>
      <c r="V2738" s="1" t="s">
        <v>2851</v>
      </c>
      <c r="AR2738" s="1" t="str">
        <f t="shared" si="173"/>
        <v>| [ㄇㄟˊ](ㄇㄟˊ.md) | [郿](郿.md) |  | méi | [名]
地名：(1)周時郿邑，故址約位在今大陸地區陝西省郿縣東北。(2)春秋時魯邑，故址約位於今大陸地區山東省東平縣境。 |</v>
      </c>
    </row>
    <row r="2739" spans="1:44" hidden="1">
      <c r="A2739" s="1" t="s">
        <v>2852</v>
      </c>
      <c r="C2739" s="1">
        <v>1</v>
      </c>
      <c r="D2739" s="1" t="str">
        <f>"01128"</f>
        <v>01128</v>
      </c>
      <c r="E2739" s="1" t="s">
        <v>139</v>
      </c>
      <c r="F2739" s="1">
        <v>13</v>
      </c>
      <c r="G2739" s="1">
        <v>9</v>
      </c>
      <c r="H2739" s="1">
        <v>0</v>
      </c>
      <c r="I2739" s="1" t="s">
        <v>2822</v>
      </c>
      <c r="K2739" s="1" t="str">
        <f t="shared" si="176"/>
        <v>ㄇ</v>
      </c>
      <c r="L2739" s="1" t="str">
        <f t="shared" si="177"/>
        <v>ㄟ</v>
      </c>
      <c r="N2739" s="3" t="s">
        <v>30575</v>
      </c>
      <c r="O2739" s="3"/>
      <c r="P2739" s="1" t="s">
        <v>20</v>
      </c>
      <c r="R2739" s="1" t="s">
        <v>2823</v>
      </c>
      <c r="V2739" s="1" t="s">
        <v>2853</v>
      </c>
      <c r="AR2739" s="1" t="str">
        <f t="shared" si="173"/>
        <v>| [ㄇㄟˊ](ㄇㄟˊ.md) | [楣](楣.md) |  | méi | [名]
1.屋簷口椽端的封簷板。《宋書．卷六七．謝靈運傳》：「因丹霞以赬楣，附碧雲以翠椽。」
2.門框的上橫部分。如：「門楣」、「倒楣」。《楚辭．屈原．九歌．湘夫人》：「桂棟兮蘭橑，辛夷楣兮藥房。」唐．陳鴻《長恨傳》：「男不封侯女作妃，看女卻為門上楣。」
3.兩柱之間所架的橫木，即屋梁。《儀禮．鄉射禮》：「序則物當棟，堂則物當楣。」 |</v>
      </c>
    </row>
    <row r="2740" spans="1:44" hidden="1">
      <c r="A2740" s="1" t="s">
        <v>2854</v>
      </c>
      <c r="C2740" s="1">
        <v>1</v>
      </c>
      <c r="D2740" s="1" t="str">
        <f>"01129"</f>
        <v>01129</v>
      </c>
      <c r="E2740" s="1" t="s">
        <v>534</v>
      </c>
      <c r="F2740" s="1">
        <v>12</v>
      </c>
      <c r="G2740" s="1">
        <v>9</v>
      </c>
      <c r="H2740" s="1">
        <v>0</v>
      </c>
      <c r="I2740" s="1" t="s">
        <v>2822</v>
      </c>
      <c r="K2740" s="1" t="str">
        <f t="shared" si="176"/>
        <v>ㄇ</v>
      </c>
      <c r="L2740" s="1" t="str">
        <f t="shared" si="177"/>
        <v>ㄟ</v>
      </c>
      <c r="N2740" s="3" t="s">
        <v>30575</v>
      </c>
      <c r="O2740" s="3"/>
      <c r="P2740" s="1" t="s">
        <v>20</v>
      </c>
      <c r="R2740" s="1" t="s">
        <v>2823</v>
      </c>
      <c r="V2740" s="1" t="s">
        <v>2855</v>
      </c>
      <c r="AR2740" s="1" t="str">
        <f t="shared" si="173"/>
        <v>| [ㄇㄟˊ](ㄇㄟˊ.md) | [媒](媒.md) |  | méi | [名]
1.介紹婚姻的人。如：「媒妁」、「媒人」。《禮記．坊記》：「故男女無媒不交，無幣不相見。」唐．秦韜玉〈貧女〉詩：「蓬門未識綺羅香，擬託良媒亦自傷。」
2.借指聯繫雙方的事物。如：「病媒」、「蟲媒」。《文選．枚乘．七發》：「洞房清宮，命曰寒熱之媒。」唐．韓愈〈詠雪贈張籍〉詩：「助留風作黨，勸坐火為媒。」
3.介紹。南朝梁．劉勰《文心雕龍．辨騷》：「豐隆求宓妃，鴆鳥媒娀女。」宋．楊萬里〈過百家渡〉詩：「園花落盡路花開，白白紅紅各自媒。」 |</v>
      </c>
    </row>
    <row r="2741" spans="1:44" hidden="1">
      <c r="A2741" s="1" t="s">
        <v>2856</v>
      </c>
      <c r="C2741" s="1">
        <v>1</v>
      </c>
      <c r="D2741" s="1" t="str">
        <f>"01130"</f>
        <v>01130</v>
      </c>
      <c r="E2741" s="1" t="s">
        <v>336</v>
      </c>
      <c r="F2741" s="1">
        <v>13</v>
      </c>
      <c r="G2741" s="1">
        <v>9</v>
      </c>
      <c r="H2741" s="1">
        <v>0</v>
      </c>
      <c r="I2741" s="1" t="s">
        <v>2822</v>
      </c>
      <c r="K2741" s="1" t="str">
        <f t="shared" si="176"/>
        <v>ㄇ</v>
      </c>
      <c r="L2741" s="1" t="str">
        <f t="shared" si="177"/>
        <v>ㄟ</v>
      </c>
      <c r="N2741" s="3" t="s">
        <v>30575</v>
      </c>
      <c r="O2741" s="3"/>
      <c r="P2741" s="1" t="s">
        <v>20</v>
      </c>
      <c r="R2741" s="1" t="s">
        <v>2823</v>
      </c>
      <c r="V2741" s="1" t="s">
        <v>2857</v>
      </c>
      <c r="AR2741" s="1" t="str">
        <f t="shared" si="173"/>
        <v>| [ㄇㄟˊ](ㄇㄟˊ.md) | [煤](煤.md) |  | méi | [名]
古代植物埋藏地下，分解而成的含碳物質。主要成分是碳、氫、氧和氮。色黑、質堅。按形成階段和碳化程度的不同，主要可分為泥煤、褐煤、煙煤和無煙煤四種。可為燃料及化學原料。也稱為「石炭」、「煤炭」。 |</v>
      </c>
    </row>
    <row r="2742" spans="1:44" hidden="1">
      <c r="A2742" s="1" t="s">
        <v>2858</v>
      </c>
      <c r="C2742" s="1">
        <v>1</v>
      </c>
      <c r="D2742" s="1" t="str">
        <f>"01131"</f>
        <v>01131</v>
      </c>
      <c r="E2742" s="1" t="s">
        <v>68</v>
      </c>
      <c r="F2742" s="1">
        <v>13</v>
      </c>
      <c r="G2742" s="1">
        <v>9</v>
      </c>
      <c r="H2742" s="1">
        <v>0</v>
      </c>
      <c r="I2742" s="1" t="s">
        <v>2822</v>
      </c>
      <c r="K2742" s="1" t="str">
        <f t="shared" si="176"/>
        <v>ㄇ</v>
      </c>
      <c r="L2742" s="1" t="str">
        <f t="shared" si="177"/>
        <v>ㄟ</v>
      </c>
      <c r="N2742" s="3" t="s">
        <v>30575</v>
      </c>
      <c r="O2742" s="3"/>
      <c r="P2742" s="1" t="s">
        <v>20</v>
      </c>
      <c r="R2742" s="1" t="s">
        <v>2823</v>
      </c>
      <c r="V2742" s="1" t="s">
        <v>2859</v>
      </c>
      <c r="AR2742" s="1" t="str">
        <f t="shared" si="173"/>
        <v>| [ㄇㄟˊ](ㄇㄟˊ.md) | [腜](腜.md) |  | méi | [名]
婦女懷孕初的徵兆。《說文解字．肉部》：「腜，婦孕始兆。」
[形]
美好。《文選．左思．魏都賦》：「腜腜坰野，奕奕菑畝。」 |</v>
      </c>
    </row>
    <row r="2743" spans="1:44" hidden="1">
      <c r="A2743" s="1" t="s">
        <v>2860</v>
      </c>
      <c r="C2743" s="1">
        <v>1</v>
      </c>
      <c r="D2743" s="1" t="str">
        <f>"01132"</f>
        <v>01132</v>
      </c>
      <c r="E2743" s="1" t="s">
        <v>825</v>
      </c>
      <c r="F2743" s="1">
        <v>14</v>
      </c>
      <c r="G2743" s="1">
        <v>9</v>
      </c>
      <c r="H2743" s="1">
        <v>0</v>
      </c>
      <c r="I2743" s="1" t="s">
        <v>2822</v>
      </c>
      <c r="K2743" s="1" t="str">
        <f t="shared" si="176"/>
        <v>ㄇ</v>
      </c>
      <c r="L2743" s="1" t="str">
        <f t="shared" si="177"/>
        <v>ㄟ</v>
      </c>
      <c r="N2743" s="3" t="s">
        <v>30575</v>
      </c>
      <c r="O2743" s="3"/>
      <c r="P2743" s="1" t="s">
        <v>20</v>
      </c>
      <c r="R2743" s="1" t="s">
        <v>2823</v>
      </c>
      <c r="V2743" s="1" t="s">
        <v>2861</v>
      </c>
      <c r="AR2743" s="1" t="str">
        <f t="shared" si="173"/>
        <v>| [ㄇㄟˊ](ㄇㄟˊ.md) | [禖](禖.md) |  | méi | [名]
1.古代求子的祭祀。《玉篇．示部》：「禖，求子祭。」
2.求子所祭之神。《漢書．卷六三．武五子傳．戾太子劉據傳》：「初，上年二十九乃得太子，甚喜，為立禖。」唐．柳宗元〈天對〉：「嚳、狄禱禖，契形於胞。」 |</v>
      </c>
    </row>
    <row r="2744" spans="1:44" hidden="1">
      <c r="A2744" s="1" t="s">
        <v>2772</v>
      </c>
      <c r="C2744" s="1">
        <v>1</v>
      </c>
      <c r="D2744" s="1" t="str">
        <f>"01133"</f>
        <v>01133</v>
      </c>
      <c r="E2744" s="1" t="s">
        <v>132</v>
      </c>
      <c r="F2744" s="1">
        <v>14</v>
      </c>
      <c r="G2744" s="1">
        <v>11</v>
      </c>
      <c r="H2744" s="1">
        <v>1</v>
      </c>
      <c r="I2744" s="1" t="s">
        <v>2822</v>
      </c>
      <c r="K2744" s="1" t="str">
        <f t="shared" si="176"/>
        <v>ㄇ</v>
      </c>
      <c r="L2744" s="1" t="str">
        <f t="shared" si="177"/>
        <v>ㄟ</v>
      </c>
      <c r="N2744" s="3" t="s">
        <v>30575</v>
      </c>
      <c r="O2744" s="3"/>
      <c r="P2744" s="1" t="s">
        <v>20</v>
      </c>
      <c r="R2744" s="1" t="s">
        <v>2823</v>
      </c>
      <c r="V2744" s="1" t="s">
        <v>2862</v>
      </c>
      <c r="W2744" s="1" t="s">
        <v>2863</v>
      </c>
      <c r="AR2744" s="1" t="str">
        <f t="shared" si="173"/>
        <v>| [ㄇㄟˊ](ㄇㄟˊ.md) | [塺](塺.md) |  | méi | [名]
細塵。《楚辭．劉向．九歎．惜賢》：「俟時風之清激兮，愈氛霧其如塺。」 |</v>
      </c>
    </row>
    <row r="2745" spans="1:44" hidden="1">
      <c r="A2745" s="1" t="s">
        <v>2864</v>
      </c>
      <c r="C2745" s="1">
        <v>1</v>
      </c>
      <c r="D2745" s="1" t="str">
        <f>"01134"</f>
        <v>01134</v>
      </c>
      <c r="E2745" s="1" t="s">
        <v>46</v>
      </c>
      <c r="F2745" s="1">
        <v>17</v>
      </c>
      <c r="G2745" s="1">
        <v>11</v>
      </c>
      <c r="H2745" s="1">
        <v>2</v>
      </c>
      <c r="I2745" s="1" t="s">
        <v>2822</v>
      </c>
      <c r="K2745" s="1" t="str">
        <f t="shared" si="176"/>
        <v>ㄇ</v>
      </c>
      <c r="L2745" s="1" t="str">
        <f t="shared" si="177"/>
        <v>ㄟ</v>
      </c>
      <c r="N2745" s="3" t="s">
        <v>30575</v>
      </c>
      <c r="O2745" s="3"/>
      <c r="P2745" s="1" t="s">
        <v>20</v>
      </c>
      <c r="R2745" s="1" t="s">
        <v>2823</v>
      </c>
      <c r="V2745" s="1" t="s">
        <v>2865</v>
      </c>
      <c r="W2745" s="1" t="s">
        <v>2866</v>
      </c>
      <c r="AR2745" s="1" t="str">
        <f t="shared" si="173"/>
        <v>| [ㄇㄟˊ](ㄇㄟˊ.md) | [糜](糜.md) |  | méi | 參見「糜子」條。 |</v>
      </c>
    </row>
    <row r="2746" spans="1:44" hidden="1">
      <c r="A2746" s="1" t="s">
        <v>2867</v>
      </c>
      <c r="C2746" s="1">
        <v>1</v>
      </c>
      <c r="D2746" s="1" t="str">
        <f>"01135"</f>
        <v>01135</v>
      </c>
      <c r="E2746" s="1" t="s">
        <v>2777</v>
      </c>
      <c r="F2746" s="1">
        <v>23</v>
      </c>
      <c r="G2746" s="1">
        <v>11</v>
      </c>
      <c r="H2746" s="1">
        <v>0</v>
      </c>
      <c r="I2746" s="1" t="s">
        <v>2822</v>
      </c>
      <c r="K2746" s="1" t="str">
        <f t="shared" si="176"/>
        <v>ㄇ</v>
      </c>
      <c r="L2746" s="1" t="str">
        <f t="shared" si="177"/>
        <v>ㄟ</v>
      </c>
      <c r="N2746" s="3" t="s">
        <v>30575</v>
      </c>
      <c r="O2746" s="3"/>
      <c r="P2746" s="1" t="s">
        <v>20</v>
      </c>
      <c r="R2746" s="1" t="s">
        <v>2823</v>
      </c>
      <c r="V2746" s="1" t="s">
        <v>2868</v>
      </c>
      <c r="AR2746" s="1" t="str">
        <f t="shared" si="173"/>
        <v>| [ㄇㄟˊ](ㄇㄟˊ.md) | [黴](黴.md) |  | méi | [名]
泛指物體表面由許多菌絲錯綜而成的菌絲體，多見於腐朽的動植物上或受潮、受汙的食品、器物上。初生時為白色的菌絲，菌柄突出，上生孢子，有紅、黃、綠、黑等顏色。成熟後隨風飄散。
[動]
因發黴而敗壞。如：「黴壞」。
[形]
面部黝黑。《淮南子．脩務》：「神農憔悴，堯瘦臞，舜黴黑，禹胼胝。」 |</v>
      </c>
    </row>
    <row r="2747" spans="1:44" hidden="1">
      <c r="A2747" s="1" t="s">
        <v>2869</v>
      </c>
      <c r="C2747" s="1">
        <v>1</v>
      </c>
      <c r="D2747" s="1" t="str">
        <f>"01136"</f>
        <v>01136</v>
      </c>
      <c r="E2747" s="1" t="s">
        <v>2870</v>
      </c>
      <c r="F2747" s="1">
        <v>7</v>
      </c>
      <c r="G2747" s="1">
        <v>2</v>
      </c>
      <c r="H2747" s="1">
        <v>0</v>
      </c>
      <c r="I2747" s="1" t="s">
        <v>2871</v>
      </c>
      <c r="K2747" s="1" t="str">
        <f t="shared" si="176"/>
        <v>ㄇ</v>
      </c>
      <c r="L2747" s="1" t="str">
        <f t="shared" si="177"/>
        <v>ㄟ</v>
      </c>
      <c r="N2747" s="3" t="s">
        <v>30576</v>
      </c>
      <c r="O2747" s="3"/>
      <c r="P2747" s="1" t="s">
        <v>20</v>
      </c>
      <c r="R2747" s="1" t="s">
        <v>2872</v>
      </c>
      <c r="V2747" s="1" t="s">
        <v>2873</v>
      </c>
      <c r="AR2747" s="1" t="str">
        <f t="shared" si="173"/>
        <v>| [ㄇㄟˇ](ㄇㄟˇ.md) | [每](每.md) |  | měi | [形]
各個。如：「每人」、「每件」、「每時每刻」。
[副]
1.常、往往。《文選．諸葛亮．出師表》：「每與臣論此事。」《晉書．卷六二．祖逖傳》：「祖逖，……年十四五猶未知書，諸兄每憂之。」
2.凡是、只要。如：「每逢佳節倍思親」。宋．歐陽修〈蝶戀花．誰道閒情拋棄久〉詞：「誰道閒情拋棄久。每到春來，惆悵還依舊。」
[名]
姓。如漢代有每當時。 |</v>
      </c>
    </row>
    <row r="2748" spans="1:44" hidden="1">
      <c r="A2748" s="1" t="s">
        <v>2874</v>
      </c>
      <c r="C2748" s="1">
        <v>1</v>
      </c>
      <c r="D2748" s="1" t="str">
        <f>"01137"</f>
        <v>01137</v>
      </c>
      <c r="E2748" s="1" t="s">
        <v>24</v>
      </c>
      <c r="F2748" s="1">
        <v>10</v>
      </c>
      <c r="G2748" s="1">
        <v>7</v>
      </c>
      <c r="H2748" s="1">
        <v>0</v>
      </c>
      <c r="I2748" s="1" t="s">
        <v>2871</v>
      </c>
      <c r="K2748" s="1" t="str">
        <f t="shared" si="176"/>
        <v>ㄇ</v>
      </c>
      <c r="L2748" s="1" t="str">
        <f t="shared" si="177"/>
        <v>ㄟ</v>
      </c>
      <c r="N2748" s="3" t="s">
        <v>30576</v>
      </c>
      <c r="O2748" s="3"/>
      <c r="P2748" s="1" t="s">
        <v>20</v>
      </c>
      <c r="R2748" s="1" t="s">
        <v>2872</v>
      </c>
      <c r="V2748" s="1" t="s">
        <v>2875</v>
      </c>
      <c r="AR2748" s="1" t="str">
        <f t="shared" si="173"/>
        <v>| [ㄇㄟˇ](ㄇㄟˇ.md) | [挴](挴.md) |  | měi | [動]
1.貪求。《楚辭．屈原．天問》「穆王巧梅」句下宋．洪興祖．補注：「《方言》云：『梅，貪也，亡改切，其字從手。』」
2.慚愧。漢．揚雄《方言》卷二：「挴，……，愧也。」 |</v>
      </c>
    </row>
    <row r="2749" spans="1:44" hidden="1">
      <c r="A2749" s="1" t="s">
        <v>2876</v>
      </c>
      <c r="C2749" s="1">
        <v>1</v>
      </c>
      <c r="D2749" s="1" t="str">
        <f>"01138"</f>
        <v>01138</v>
      </c>
      <c r="E2749" s="1" t="s">
        <v>43</v>
      </c>
      <c r="F2749" s="1">
        <v>9</v>
      </c>
      <c r="G2749" s="1">
        <v>3</v>
      </c>
      <c r="H2749" s="1">
        <v>0</v>
      </c>
      <c r="I2749" s="1" t="s">
        <v>2871</v>
      </c>
      <c r="K2749" s="1" t="str">
        <f t="shared" si="176"/>
        <v>ㄇ</v>
      </c>
      <c r="L2749" s="1" t="str">
        <f t="shared" si="177"/>
        <v>ㄟ</v>
      </c>
      <c r="N2749" s="3" t="s">
        <v>30576</v>
      </c>
      <c r="O2749" s="3"/>
      <c r="P2749" s="1" t="s">
        <v>20</v>
      </c>
      <c r="R2749" s="1" t="s">
        <v>2872</v>
      </c>
      <c r="V2749" s="1" t="s">
        <v>2877</v>
      </c>
      <c r="AR2749" s="1" t="str">
        <f t="shared" si="173"/>
        <v>| [ㄇㄟˇ](ㄇㄟˇ.md) | [美](美.md) |  | měi | [形]_x000D_
1.漂亮、好看。如：「華美」、「貌美」、「美男子」、「她長得十分甜美。」_x000D_
2.好、善。如：「美德」、「鮮美」、「完美」、「價廉物美」、「盡善盡美」。_x000D_
3.得意。如：「少臭美了！」_x000D_
[名]_x000D_
1.漂亮的女子。《詩經．鄭風．野有蔓草》：「有美一人，清揚婉兮。」_x000D_
2.泛指好的德性、事物等。如：「君子有成人之美」。《管子．五行》：「然後天地之美生。」_x000D_
3.美育的簡稱。如：「德、智、體、群、美，五育並重。」_x000D_
4.美國的簡稱。如：「中、美、英、法。」_x000D_
5.美洲的簡稱。如：「南美」、「北美」、「歐美國家」。_x000D_
[動]_x000D_
1.誇讚、褒獎。如：「讚美」。《韓非子．五蠹》：「然則今有美堯、舜、湯、武、禹之道於當今之世者，必為新聖笑矣。」_x000D_
2.使變善變好。如：「養顏美容」。 |</v>
      </c>
    </row>
    <row r="2750" spans="1:44" hidden="1">
      <c r="A2750" s="1" t="s">
        <v>2878</v>
      </c>
      <c r="C2750" s="1">
        <v>1</v>
      </c>
      <c r="D2750" s="1" t="str">
        <f>"01139"</f>
        <v>01139</v>
      </c>
      <c r="E2750" s="1" t="s">
        <v>129</v>
      </c>
      <c r="F2750" s="1">
        <v>12</v>
      </c>
      <c r="G2750" s="1">
        <v>9</v>
      </c>
      <c r="H2750" s="1">
        <v>0</v>
      </c>
      <c r="I2750" s="1" t="s">
        <v>2871</v>
      </c>
      <c r="K2750" s="1" t="str">
        <f t="shared" si="176"/>
        <v>ㄇ</v>
      </c>
      <c r="L2750" s="1" t="str">
        <f t="shared" si="177"/>
        <v>ㄟ</v>
      </c>
      <c r="N2750" s="3" t="s">
        <v>30576</v>
      </c>
      <c r="O2750" s="3"/>
      <c r="P2750" s="1" t="s">
        <v>20</v>
      </c>
      <c r="R2750" s="1" t="s">
        <v>2872</v>
      </c>
      <c r="V2750" s="1" t="s">
        <v>2879</v>
      </c>
      <c r="AR2750" s="1" t="str">
        <f t="shared" si="173"/>
        <v>| [ㄇㄟˇ](ㄇㄟˇ.md) | [渼](渼.md) |  | měi | [名]
水的波紋。《玉篇．水部》：「渼，水波也。」 |</v>
      </c>
    </row>
    <row r="2751" spans="1:44" hidden="1">
      <c r="A2751" s="1" t="s">
        <v>2880</v>
      </c>
      <c r="C2751" s="1">
        <v>1</v>
      </c>
      <c r="D2751" s="1" t="str">
        <f>"01140"</f>
        <v>01140</v>
      </c>
      <c r="E2751" s="1" t="s">
        <v>55</v>
      </c>
      <c r="F2751" s="1">
        <v>17</v>
      </c>
      <c r="G2751" s="1">
        <v>9</v>
      </c>
      <c r="H2751" s="1">
        <v>0</v>
      </c>
      <c r="I2751" s="1" t="s">
        <v>2871</v>
      </c>
      <c r="K2751" s="1" t="str">
        <f t="shared" si="176"/>
        <v>ㄇ</v>
      </c>
      <c r="L2751" s="1" t="str">
        <f t="shared" si="177"/>
        <v>ㄟ</v>
      </c>
      <c r="N2751" s="3" t="s">
        <v>30576</v>
      </c>
      <c r="O2751" s="3"/>
      <c r="P2751" s="1" t="s">
        <v>20</v>
      </c>
      <c r="R2751" s="1" t="s">
        <v>2872</v>
      </c>
      <c r="V2751" s="1" t="s">
        <v>2881</v>
      </c>
      <c r="AR2751" s="1" t="str">
        <f t="shared" si="173"/>
        <v>| [ㄇㄟˇ](ㄇㄟˇ.md) | [鎂](鎂.md) |  | měi | [名]
（magnesium，Mg）化學元素。原子序12。質輕，色銀白，在空氣中燃燒時會發出強光，鎂粉可用來做照明彈、煙火及照相用的閃光粉；鎂與鋁的合金則是製造飛機的重要材料。 |</v>
      </c>
    </row>
    <row r="2752" spans="1:44" hidden="1">
      <c r="A2752" s="1" t="s">
        <v>2882</v>
      </c>
      <c r="C2752" s="1">
        <v>1</v>
      </c>
      <c r="D2752" s="1" t="str">
        <f>"01141"</f>
        <v>01141</v>
      </c>
      <c r="E2752" s="1" t="s">
        <v>129</v>
      </c>
      <c r="F2752" s="1">
        <v>10</v>
      </c>
      <c r="G2752" s="1">
        <v>7</v>
      </c>
      <c r="H2752" s="1">
        <v>0</v>
      </c>
      <c r="I2752" s="1" t="s">
        <v>2871</v>
      </c>
      <c r="K2752" s="1" t="str">
        <f t="shared" si="176"/>
        <v>ㄇ</v>
      </c>
      <c r="L2752" s="1" t="str">
        <f t="shared" si="177"/>
        <v>ㄟ</v>
      </c>
      <c r="N2752" s="3" t="s">
        <v>30576</v>
      </c>
      <c r="O2752" s="3"/>
      <c r="P2752" s="1" t="s">
        <v>20</v>
      </c>
      <c r="R2752" s="1" t="s">
        <v>2872</v>
      </c>
      <c r="V2752" s="1" t="s">
        <v>2883</v>
      </c>
      <c r="AR2752" s="1" t="str">
        <f t="shared" si="173"/>
        <v>| [ㄇㄟˇ](ㄇㄟˇ.md) | [浼](浼.md) |  | měi | [動]_x000D_
1.玷汙。《孟子．萬章下》：「爾為爾，我為我，雖袒裼裸裎於我側，爾焉能浼我哉！」_x000D_
2.請託、請求。《聊齋志異．卷二．聶小倩》：「妾少誦《楞嚴經》，今強半遺忘，浼求一卷，夜暇，就兄正之。」 |</v>
      </c>
    </row>
    <row r="2753" spans="1:44" hidden="1">
      <c r="A2753" s="1" t="s">
        <v>2884</v>
      </c>
      <c r="C2753" s="1">
        <v>1</v>
      </c>
      <c r="D2753" s="1" t="str">
        <f>"01142"</f>
        <v>01142</v>
      </c>
      <c r="E2753" s="1" t="s">
        <v>534</v>
      </c>
      <c r="F2753" s="1">
        <v>13</v>
      </c>
      <c r="G2753" s="1">
        <v>10</v>
      </c>
      <c r="H2753" s="1">
        <v>0</v>
      </c>
      <c r="I2753" s="1" t="s">
        <v>2871</v>
      </c>
      <c r="K2753" s="1" t="str">
        <f t="shared" si="176"/>
        <v>ㄇ</v>
      </c>
      <c r="L2753" s="1" t="str">
        <f t="shared" si="177"/>
        <v>ㄟ</v>
      </c>
      <c r="N2753" s="3" t="s">
        <v>30576</v>
      </c>
      <c r="O2753" s="3"/>
      <c r="P2753" s="1" t="s">
        <v>20</v>
      </c>
      <c r="R2753" s="1" t="s">
        <v>2872</v>
      </c>
      <c r="V2753" s="1" t="s">
        <v>2885</v>
      </c>
      <c r="AR2753" s="1" t="str">
        <f t="shared" si="173"/>
        <v>| [ㄇㄟˇ](ㄇㄟˇ.md) | [媺](媺.md) |  | měi | [形]
善。同「美」。宋．陸游〈吳氏書樓記〉：「則民殷俗媺，兵寢刑厝，如唐虞三代。」 |</v>
      </c>
    </row>
    <row r="2754" spans="1:44" hidden="1">
      <c r="A2754" s="1" t="s">
        <v>2966</v>
      </c>
      <c r="C2754" s="1">
        <v>1</v>
      </c>
      <c r="D2754" s="1" t="str">
        <f>"01175"</f>
        <v>01175</v>
      </c>
      <c r="E2754" s="1" t="s">
        <v>37</v>
      </c>
      <c r="F2754" s="1">
        <v>8</v>
      </c>
      <c r="G2754" s="1">
        <v>4</v>
      </c>
      <c r="H2754" s="1">
        <v>0</v>
      </c>
      <c r="I2754" s="1" t="s">
        <v>2967</v>
      </c>
      <c r="K2754" s="1" t="str">
        <f t="shared" si="176"/>
        <v>ㄇ</v>
      </c>
      <c r="L2754" s="1" t="str">
        <f t="shared" si="177"/>
        <v>ㄠ</v>
      </c>
      <c r="N2754" s="3" t="s">
        <v>30574</v>
      </c>
      <c r="O2754" s="3"/>
      <c r="P2754" s="1" t="s">
        <v>20</v>
      </c>
      <c r="R2754" s="1" t="s">
        <v>2968</v>
      </c>
      <c r="V2754" s="1" t="s">
        <v>2969</v>
      </c>
      <c r="AR2754" s="1" t="str">
        <f t="shared" si="173"/>
        <v>| [ㄇㄠˋ](ㄇㄠˋ.md) | [芼](芼.md) |  | mào | [名]
雜在羹湯中的菜。《文選．潘岳．西征賦》：「而菜蔬芼實，水物惟錯。」
[動]
摘取。《詩經．周南．關雎》：「參差荇菜，左右芼之。」 |</v>
      </c>
    </row>
    <row r="2755" spans="1:44" hidden="1">
      <c r="A2755" s="1" t="s">
        <v>2970</v>
      </c>
      <c r="C2755" s="1">
        <v>1</v>
      </c>
      <c r="D2755" s="1" t="str">
        <f>"01176"</f>
        <v>01176</v>
      </c>
      <c r="E2755" s="1" t="s">
        <v>1015</v>
      </c>
      <c r="F2755" s="1">
        <v>9</v>
      </c>
      <c r="G2755" s="1">
        <v>4</v>
      </c>
      <c r="H2755" s="1">
        <v>0</v>
      </c>
      <c r="I2755" s="1" t="s">
        <v>2967</v>
      </c>
      <c r="K2755" s="1" t="str">
        <f t="shared" si="176"/>
        <v>ㄇ</v>
      </c>
      <c r="L2755" s="1" t="str">
        <f t="shared" si="177"/>
        <v>ㄠ</v>
      </c>
      <c r="N2755" s="3" t="s">
        <v>30574</v>
      </c>
      <c r="O2755" s="3"/>
      <c r="P2755" s="1" t="s">
        <v>20</v>
      </c>
      <c r="R2755" s="1" t="s">
        <v>2968</v>
      </c>
      <c r="V2755" s="1" t="s">
        <v>2971</v>
      </c>
      <c r="AR2755" s="1" t="str">
        <f t="shared" ref="AR2755:AR2818" si="178">"| ["&amp;I2755&amp;"]("&amp;I2755&amp;".md) | ["&amp;A2755&amp;"]("&amp;A2755&amp;".md) | "&amp;" | "&amp;R2755&amp;" | "&amp;V2755&amp;" |"</f>
        <v>| [ㄇㄠˋ](ㄇㄠˋ.md) | [眊](眊.md) |  | mào | [名]
老人。《漢書．卷六．武帝紀》：「哀夫老眊孤寡鰥獨或匱於衣食，甚憐愍焉。」
[形]
眼睛看不清楚的樣子。《孟子．離婁上》：「胸中不正，則眸子眊焉。」 |</v>
      </c>
    </row>
    <row r="2756" spans="1:44" hidden="1">
      <c r="A2756" s="1" t="s">
        <v>2924</v>
      </c>
      <c r="C2756" s="1">
        <v>1</v>
      </c>
      <c r="D2756" s="1" t="str">
        <f>"01177"</f>
        <v>01177</v>
      </c>
      <c r="E2756" s="1" t="s">
        <v>800</v>
      </c>
      <c r="F2756" s="1">
        <v>10</v>
      </c>
      <c r="G2756" s="1">
        <v>6</v>
      </c>
      <c r="H2756" s="1">
        <v>2</v>
      </c>
      <c r="I2756" s="1" t="s">
        <v>2967</v>
      </c>
      <c r="K2756" s="1" t="str">
        <f t="shared" si="176"/>
        <v>ㄇ</v>
      </c>
      <c r="L2756" s="1" t="str">
        <f t="shared" si="177"/>
        <v>ㄠ</v>
      </c>
      <c r="N2756" s="3" t="s">
        <v>30574</v>
      </c>
      <c r="O2756" s="3"/>
      <c r="P2756" s="1" t="s">
        <v>20</v>
      </c>
      <c r="R2756" s="1" t="s">
        <v>2968</v>
      </c>
      <c r="V2756" s="1" t="s">
        <v>2972</v>
      </c>
      <c r="W2756" s="1" t="s">
        <v>2973</v>
      </c>
      <c r="AR2756" s="1" t="str">
        <f t="shared" si="178"/>
        <v>| [ㄇㄠˋ](ㄇㄠˋ.md) | [旄](旄.md) |  | mào | [形]
1.毛長。《爾雅．釋獸》：「旄毛狗足。」晉．郭璞．注：「旄，毛㺜長。」
2.老。《史記．卷七八．春申君傳．太史公曰》：「（春申君）後制於李園，旄矣。」
3.昏亂。通「耄」。《戰國策．楚策一》：「水漿無入口，瘨而殫悶，旄不知人。」
[名]
老人。通「耄」。《禮記．射義》：「旄期稱道不亂。」 |</v>
      </c>
    </row>
    <row r="2757" spans="1:44" hidden="1">
      <c r="A2757" s="1" t="s">
        <v>2974</v>
      </c>
      <c r="C2757" s="1">
        <v>1</v>
      </c>
      <c r="D2757" s="1" t="str">
        <f>"01178"</f>
        <v>01178</v>
      </c>
      <c r="E2757" s="1" t="s">
        <v>2975</v>
      </c>
      <c r="F2757" s="1">
        <v>10</v>
      </c>
      <c r="G2757" s="1">
        <v>4</v>
      </c>
      <c r="H2757" s="1">
        <v>0</v>
      </c>
      <c r="I2757" s="1" t="s">
        <v>2967</v>
      </c>
      <c r="K2757" s="1" t="str">
        <f t="shared" si="176"/>
        <v>ㄇ</v>
      </c>
      <c r="L2757" s="1" t="str">
        <f t="shared" si="177"/>
        <v>ㄠ</v>
      </c>
      <c r="N2757" s="3" t="s">
        <v>30574</v>
      </c>
      <c r="O2757" s="3"/>
      <c r="P2757" s="1" t="s">
        <v>20</v>
      </c>
      <c r="R2757" s="1" t="s">
        <v>2968</v>
      </c>
      <c r="V2757" s="1" t="s">
        <v>2976</v>
      </c>
      <c r="AR2757" s="1" t="str">
        <f t="shared" si="178"/>
        <v>| [ㄇㄠˋ](ㄇㄠˋ.md) | [耄](耄.md) |  | mào | [形]
1.年老。《國語．周語下》：「爾老耄矣。」宋．宋濂〈送東陽馬生序〉：「今雖耄老，未有所成，猶幸預君子之列，而承天子之寵光。」
2.昏亂。《書經．微子》：「吾家耄遜于荒。」 |</v>
      </c>
    </row>
    <row r="2758" spans="1:44" hidden="1">
      <c r="A2758" s="1" t="s">
        <v>2977</v>
      </c>
      <c r="C2758" s="1">
        <v>1</v>
      </c>
      <c r="D2758" s="1" t="str">
        <f>"01179"</f>
        <v>01179</v>
      </c>
      <c r="E2758" s="1" t="s">
        <v>1703</v>
      </c>
      <c r="F2758" s="1">
        <v>10</v>
      </c>
      <c r="G2758" s="1">
        <v>6</v>
      </c>
      <c r="H2758" s="1">
        <v>0</v>
      </c>
      <c r="I2758" s="1" t="s">
        <v>2967</v>
      </c>
      <c r="K2758" s="1" t="str">
        <f t="shared" si="176"/>
        <v>ㄇ</v>
      </c>
      <c r="L2758" s="1" t="str">
        <f t="shared" si="177"/>
        <v>ㄠ</v>
      </c>
      <c r="N2758" s="3" t="s">
        <v>30574</v>
      </c>
      <c r="O2758" s="3"/>
      <c r="P2758" s="1" t="s">
        <v>20</v>
      </c>
      <c r="R2758" s="1" t="s">
        <v>2968</v>
      </c>
      <c r="V2758" s="1" t="s">
        <v>2978</v>
      </c>
      <c r="AR2758" s="1" t="str">
        <f t="shared" si="178"/>
        <v>| [ㄇㄠˋ](ㄇㄠˋ.md) | [毣](毣.md) |  | mào | [形]
1.美好。《廣韻．入聲．覺韻》：「毣，好貌。」
2.毛溼潤的樣子。《廣韻．入聲．覺韻》：「毣，一曰毛濡也。」《北史．卷四一．楊播傳》：「白羊頭毣禿，羖䍽頭生角。」
3.參見「毣毣」條。 |</v>
      </c>
    </row>
    <row r="2759" spans="1:44" hidden="1">
      <c r="A2759" s="1" t="s">
        <v>2979</v>
      </c>
      <c r="C2759" s="1">
        <v>1</v>
      </c>
      <c r="D2759" s="1" t="str">
        <f>"01180"</f>
        <v>01180</v>
      </c>
      <c r="E2759" s="1" t="s">
        <v>1703</v>
      </c>
      <c r="F2759" s="1">
        <v>13</v>
      </c>
      <c r="G2759" s="1">
        <v>9</v>
      </c>
      <c r="H2759" s="1">
        <v>0</v>
      </c>
      <c r="I2759" s="1" t="s">
        <v>2967</v>
      </c>
      <c r="K2759" s="1" t="str">
        <f t="shared" si="176"/>
        <v>ㄇ</v>
      </c>
      <c r="L2759" s="1" t="str">
        <f t="shared" si="177"/>
        <v>ㄠ</v>
      </c>
      <c r="N2759" s="3" t="s">
        <v>30574</v>
      </c>
      <c r="O2759" s="3"/>
      <c r="P2759" s="1" t="s">
        <v>20</v>
      </c>
      <c r="R2759" s="1" t="s">
        <v>2968</v>
      </c>
      <c r="V2759" s="1" t="s">
        <v>2980</v>
      </c>
      <c r="AR2759" s="1" t="str">
        <f t="shared" si="178"/>
        <v>| [ㄇㄠˋ](ㄇㄠˋ.md) | [毷](毷.md) |  | mào | 參見「毷氉」條。 |</v>
      </c>
    </row>
    <row r="2760" spans="1:44" hidden="1">
      <c r="A2760" s="1" t="s">
        <v>2981</v>
      </c>
      <c r="C2760" s="1">
        <v>1</v>
      </c>
      <c r="D2760" s="1" t="str">
        <f>"01181"</f>
        <v>01181</v>
      </c>
      <c r="E2760" s="1" t="s">
        <v>37</v>
      </c>
      <c r="F2760" s="1">
        <v>9</v>
      </c>
      <c r="G2760" s="1">
        <v>5</v>
      </c>
      <c r="H2760" s="1">
        <v>1</v>
      </c>
      <c r="I2760" s="1" t="s">
        <v>2967</v>
      </c>
      <c r="K2760" s="1" t="str">
        <f t="shared" si="176"/>
        <v>ㄇ</v>
      </c>
      <c r="L2760" s="1" t="str">
        <f t="shared" si="177"/>
        <v>ㄠ</v>
      </c>
      <c r="N2760" s="3" t="s">
        <v>30574</v>
      </c>
      <c r="O2760" s="3"/>
      <c r="P2760" s="1" t="s">
        <v>20</v>
      </c>
      <c r="R2760" s="1" t="s">
        <v>2968</v>
      </c>
      <c r="V2760" s="1" t="s">
        <v>2982</v>
      </c>
      <c r="W2760" s="1" t="s">
        <v>2983</v>
      </c>
      <c r="AR2760" s="1" t="str">
        <f t="shared" si="178"/>
        <v>| [ㄇㄠˋ](ㄇㄠˋ.md) | [茂](茂.md) |  | mào | [形]
1.繁盛、旺盛。如：「茂盛」、「茂密」、「根深葉茂」。晉．王羲之〈三月三日蘭亭詩序〉：「此地有崇山峻嶺，茂林修竹，又有清流激湍，映帶左右。」
2.豐盛優美。如：「圖文並茂」。《楚辭．屈原．離騷》：「夫維聖哲以茂行兮，苟得用此下士。」《漢書．卷三六．楚元王劉交傳》：「資質淑茂，道術通明。」
[動]
勸勉。通「懋」。《詩經．小雅．節南山》：「方茂爾惡，相爾矛矣。」
[名]
姓。如漢代有茂員。 |</v>
      </c>
    </row>
    <row r="2761" spans="1:44" hidden="1">
      <c r="A2761" s="1" t="s">
        <v>2728</v>
      </c>
      <c r="C2761" s="1">
        <v>1</v>
      </c>
      <c r="D2761" s="1" t="str">
        <f>"01182"</f>
        <v>01182</v>
      </c>
      <c r="E2761" s="1" t="s">
        <v>2729</v>
      </c>
      <c r="F2761" s="1">
        <v>9</v>
      </c>
      <c r="G2761" s="1">
        <v>7</v>
      </c>
      <c r="H2761" s="1">
        <v>1</v>
      </c>
      <c r="I2761" s="1" t="s">
        <v>2967</v>
      </c>
      <c r="K2761" s="1" t="str">
        <f t="shared" si="176"/>
        <v>ㄇ</v>
      </c>
      <c r="L2761" s="1" t="str">
        <f t="shared" si="177"/>
        <v>ㄠ</v>
      </c>
      <c r="N2761" s="3" t="s">
        <v>30574</v>
      </c>
      <c r="O2761" s="3"/>
      <c r="P2761" s="1" t="s">
        <v>20</v>
      </c>
      <c r="R2761" s="1" t="s">
        <v>2968</v>
      </c>
      <c r="V2761" s="1" t="s">
        <v>2984</v>
      </c>
      <c r="W2761" s="1" t="s">
        <v>2985</v>
      </c>
      <c r="AR2761" s="1" t="str">
        <f t="shared" si="178"/>
        <v>| [ㄇㄠˋ](ㄇㄠˋ.md) | [冒](冒.md) |  | mào | [動]
1.由下往上或往外透出、發散。如：「冒煙」、「冒氣」、「冒汗」。
2.衝犯、不顧。如：「冒險」、「冒犯」、「衝冒」。《文選．司馬遷．報任少卿書》：「張空拳，冒白刃，北嚮爭死敵者。」宋．華岳〈驟雨〉詩：「慌忙冒雨急渡溪，雨勢驟晴山又綠。」
3.假稱、假託。如：「冒名」、「假冒」。《漢書．卷五五．衛青傳》：「青有同母兄衛長君及姊子夫，子夫自平陽公主家得幸武帝，故青冒姓為衛氏。」
[副]
鹵莽、莽撞。如：「冒犯」、「冒進」。
[名]
姓。如元代有冒致中，清代有冒襄。 |</v>
      </c>
    </row>
    <row r="2762" spans="1:44" hidden="1">
      <c r="A2762" s="1" t="s">
        <v>2986</v>
      </c>
      <c r="C2762" s="1">
        <v>1</v>
      </c>
      <c r="D2762" s="1" t="str">
        <f>"01183"</f>
        <v>01183</v>
      </c>
      <c r="E2762" s="1" t="s">
        <v>222</v>
      </c>
      <c r="F2762" s="1">
        <v>12</v>
      </c>
      <c r="G2762" s="1">
        <v>9</v>
      </c>
      <c r="H2762" s="1">
        <v>0</v>
      </c>
      <c r="I2762" s="1" t="s">
        <v>2967</v>
      </c>
      <c r="K2762" s="1" t="str">
        <f t="shared" si="176"/>
        <v>ㄇ</v>
      </c>
      <c r="L2762" s="1" t="str">
        <f t="shared" si="177"/>
        <v>ㄠ</v>
      </c>
      <c r="N2762" s="3" t="s">
        <v>30574</v>
      </c>
      <c r="O2762" s="3"/>
      <c r="P2762" s="1" t="s">
        <v>20</v>
      </c>
      <c r="R2762" s="1" t="s">
        <v>2968</v>
      </c>
      <c r="V2762" s="1" t="s">
        <v>2987</v>
      </c>
      <c r="AR2762" s="1" t="str">
        <f t="shared" si="178"/>
        <v>| [ㄇㄠˋ](ㄇㄠˋ.md) | [帽](帽.md) |  | mào | [名]
1.戴在頭上，用來裝飾、保暖或保護頭部的東西。如：「草帽」、「遮陽帽」。唐．杜光庭《虯髯客傳》：「脫衣去帽，乃十八九佳麗人也。」
2.器物的頂罩，作用或形狀像帽子。如：「筆帽」、「螺絲帽」。《聊齋志異．卷二．口技》：「折紙戢戢然，拔筆擲帽丁丁然。」 |</v>
      </c>
    </row>
    <row r="2763" spans="1:44" hidden="1">
      <c r="A2763" s="1" t="s">
        <v>2988</v>
      </c>
      <c r="C2763" s="1">
        <v>1</v>
      </c>
      <c r="D2763" s="1" t="str">
        <f>"01184"</f>
        <v>01184</v>
      </c>
      <c r="E2763" s="1" t="s">
        <v>534</v>
      </c>
      <c r="F2763" s="1">
        <v>12</v>
      </c>
      <c r="G2763" s="1">
        <v>9</v>
      </c>
      <c r="H2763" s="1">
        <v>0</v>
      </c>
      <c r="I2763" s="1" t="s">
        <v>2967</v>
      </c>
      <c r="K2763" s="1" t="str">
        <f t="shared" si="176"/>
        <v>ㄇ</v>
      </c>
      <c r="L2763" s="1" t="str">
        <f t="shared" si="177"/>
        <v>ㄠ</v>
      </c>
      <c r="N2763" s="3" t="s">
        <v>30574</v>
      </c>
      <c r="O2763" s="3"/>
      <c r="P2763" s="1" t="s">
        <v>20</v>
      </c>
      <c r="R2763" s="1" t="s">
        <v>2968</v>
      </c>
      <c r="V2763" s="1" t="s">
        <v>2989</v>
      </c>
      <c r="AR2763" s="1" t="str">
        <f t="shared" si="178"/>
        <v>| [ㄇㄠˋ](ㄇㄠˋ.md) | [媢](媢.md) |  | mào | [動]
憎恨、嫉妒。《新唐書．卷一四五．竇參傳》：「通玄等特以東宮恩舊進，昵而不禮，見贄驟擢，頗媢恨。」宋．無名氏《梅妃傳》：「或非命，均其媢忌自取。」
[形]
善妒的。如：「媢婦」。 |</v>
      </c>
    </row>
    <row r="2764" spans="1:44" hidden="1">
      <c r="A2764" s="1" t="s">
        <v>2906</v>
      </c>
      <c r="C2764" s="1">
        <v>1</v>
      </c>
      <c r="D2764" s="1" t="str">
        <f>"01185"</f>
        <v>01185</v>
      </c>
      <c r="E2764" s="1" t="s">
        <v>142</v>
      </c>
      <c r="F2764" s="1">
        <v>13</v>
      </c>
      <c r="G2764" s="1">
        <v>9</v>
      </c>
      <c r="H2764" s="1">
        <v>2</v>
      </c>
      <c r="I2764" s="1" t="s">
        <v>2967</v>
      </c>
      <c r="K2764" s="1" t="str">
        <f t="shared" si="176"/>
        <v>ㄇ</v>
      </c>
      <c r="L2764" s="1" t="str">
        <f t="shared" si="177"/>
        <v>ㄠ</v>
      </c>
      <c r="N2764" s="3" t="s">
        <v>30574</v>
      </c>
      <c r="O2764" s="3"/>
      <c r="P2764" s="1" t="s">
        <v>20</v>
      </c>
      <c r="R2764" s="1" t="s">
        <v>2968</v>
      </c>
      <c r="V2764" s="1" t="s">
        <v>2990</v>
      </c>
      <c r="W2764" s="1" t="s">
        <v>2991</v>
      </c>
      <c r="AR2764" s="1" t="str">
        <f t="shared" si="178"/>
        <v>| [ㄇㄠˋ](ㄇㄠˋ.md) | [瑁](瑁.md) |  | mào | [名]
古代天子接見諸侯所執的玉。明．張自烈《正字通．玉部》：「諸侯即位，天子賜以命圭，圭上邪銳，瑁方四寸，其下亦邪刻之，闊狹長短如圭頭，諸侯執圭來朝，天子以瑁之刻處，冒彼圭頭，以齊瑞信，猶今之合符然。」 |</v>
      </c>
    </row>
    <row r="2765" spans="1:44" hidden="1">
      <c r="A2765" s="1" t="s">
        <v>2992</v>
      </c>
      <c r="C2765" s="1">
        <v>1</v>
      </c>
      <c r="D2765" s="1" t="str">
        <f>"01186"</f>
        <v>01186</v>
      </c>
      <c r="E2765" s="1" t="s">
        <v>340</v>
      </c>
      <c r="F2765" s="1">
        <v>11</v>
      </c>
      <c r="G2765" s="1">
        <v>5</v>
      </c>
      <c r="H2765" s="1">
        <v>1</v>
      </c>
      <c r="I2765" s="1" t="s">
        <v>2967</v>
      </c>
      <c r="K2765" s="1" t="str">
        <f t="shared" si="176"/>
        <v>ㄇ</v>
      </c>
      <c r="L2765" s="1" t="str">
        <f t="shared" si="177"/>
        <v>ㄠ</v>
      </c>
      <c r="N2765" s="3" t="s">
        <v>30574</v>
      </c>
      <c r="O2765" s="3"/>
      <c r="P2765" s="1" t="s">
        <v>20</v>
      </c>
      <c r="R2765" s="1" t="s">
        <v>2968</v>
      </c>
      <c r="V2765" s="1" t="s">
        <v>2993</v>
      </c>
      <c r="W2765" s="1" t="s">
        <v>2994</v>
      </c>
      <c r="AR2765" s="1" t="str">
        <f t="shared" si="178"/>
        <v>| [ㄇㄠˋ](ㄇㄠˋ.md) | [袤](袤.md) |  | mào | [名]
土地南北的長度。《文選．揚雄．羽獵賦．序》：「北繞黃山濱渭而東，周袤數百里。」《新唐書．卷九三．李靖傳》：「築卻月城，延袤十餘里，為掎角。」 |</v>
      </c>
    </row>
    <row r="2766" spans="1:44" hidden="1">
      <c r="A2766" s="1" t="s">
        <v>2995</v>
      </c>
      <c r="C2766" s="1">
        <v>1</v>
      </c>
      <c r="D2766" s="1" t="str">
        <f>"01187"</f>
        <v>01187</v>
      </c>
      <c r="E2766" s="1" t="s">
        <v>139</v>
      </c>
      <c r="F2766" s="1">
        <v>13</v>
      </c>
      <c r="G2766" s="1">
        <v>9</v>
      </c>
      <c r="H2766" s="1">
        <v>1</v>
      </c>
      <c r="I2766" s="1" t="s">
        <v>2967</v>
      </c>
      <c r="K2766" s="1" t="str">
        <f t="shared" ref="K2766:K2797" si="179">LEFT(I2766, 1)</f>
        <v>ㄇ</v>
      </c>
      <c r="L2766" s="1" t="str">
        <f t="shared" ref="L2766:L2797" si="180">MID(I2766, 2, 1)</f>
        <v>ㄠ</v>
      </c>
      <c r="N2766" s="3" t="s">
        <v>30574</v>
      </c>
      <c r="O2766" s="3"/>
      <c r="P2766" s="1" t="s">
        <v>20</v>
      </c>
      <c r="R2766" s="1" t="s">
        <v>2968</v>
      </c>
      <c r="V2766" s="1" t="s">
        <v>2996</v>
      </c>
      <c r="W2766" s="1" t="s">
        <v>2997</v>
      </c>
      <c r="AR2766" s="1" t="str">
        <f t="shared" si="178"/>
        <v>| [ㄇㄠˋ](ㄇㄠˋ.md) | [楙](楙.md) |  | mào | [名]
植物名。薔薇科木瓜屬，「木瓜」之古稱，參見「木瓜」條。《爾雅．釋木》：「楙，木瓜。」晉．郭璞．注：「實如小瓜，酢可食。」
[形]
林木茂盛的樣子。《漢書．卷二一．律曆志上》：「助蕤賓君主種物使長大楙盛也。」 |</v>
      </c>
    </row>
    <row r="2767" spans="1:44" hidden="1">
      <c r="A2767" s="1" t="s">
        <v>2998</v>
      </c>
      <c r="C2767" s="1">
        <v>1</v>
      </c>
      <c r="D2767" s="1" t="str">
        <f>"01188"</f>
        <v>01188</v>
      </c>
      <c r="E2767" s="1" t="s">
        <v>1015</v>
      </c>
      <c r="F2767" s="1">
        <v>14</v>
      </c>
      <c r="G2767" s="1">
        <v>9</v>
      </c>
      <c r="H2767" s="1">
        <v>1</v>
      </c>
      <c r="I2767" s="1" t="s">
        <v>2967</v>
      </c>
      <c r="K2767" s="1" t="str">
        <f t="shared" si="179"/>
        <v>ㄇ</v>
      </c>
      <c r="L2767" s="1" t="str">
        <f t="shared" si="180"/>
        <v>ㄠ</v>
      </c>
      <c r="N2767" s="3" t="s">
        <v>30574</v>
      </c>
      <c r="O2767" s="3"/>
      <c r="P2767" s="1" t="s">
        <v>20</v>
      </c>
      <c r="R2767" s="1" t="s">
        <v>2968</v>
      </c>
      <c r="V2767" s="1" t="s">
        <v>2999</v>
      </c>
      <c r="W2767" s="1" t="s">
        <v>3000</v>
      </c>
      <c r="AR2767" s="1" t="str">
        <f t="shared" si="178"/>
        <v>| [ㄇㄠˋ](ㄇㄠˋ.md) | [瞀](瞀.md) |  | mào | [形]_x000D_
1.眼睛看不清楚的樣子。《莊子．徐无鬼》：「予少而自遊於六合之內，予適有瞀病。」《晉書．卷一一．天文志上》：「天了無質，仰而瞻之，高遠無極，眼瞀精絕，故蒼蒼然也。」_x000D_
2.愚昧無知。《荀子．儒效》：「其愚陋溝瞀，而冀人之以己為知也。」_x000D_
[副]_x000D_
混亂。《北史．卷三九．列傳．房法壽》：「真偽混淆，是非瞀亂。」_x000D_
[名]_x000D_
姓。如春秋時莒有瞀胡。 |</v>
      </c>
    </row>
    <row r="2768" spans="1:44" hidden="1">
      <c r="A2768" s="1" t="s">
        <v>3001</v>
      </c>
      <c r="C2768" s="1">
        <v>1</v>
      </c>
      <c r="D2768" s="1" t="str">
        <f>"01189"</f>
        <v>01189</v>
      </c>
      <c r="E2768" s="1" t="s">
        <v>37</v>
      </c>
      <c r="F2768" s="1">
        <v>15</v>
      </c>
      <c r="G2768" s="1">
        <v>11</v>
      </c>
      <c r="H2768" s="1">
        <v>0</v>
      </c>
      <c r="I2768" s="1" t="s">
        <v>2967</v>
      </c>
      <c r="K2768" s="1" t="str">
        <f t="shared" si="179"/>
        <v>ㄇ</v>
      </c>
      <c r="L2768" s="1" t="str">
        <f t="shared" si="180"/>
        <v>ㄠ</v>
      </c>
      <c r="N2768" s="3" t="s">
        <v>30574</v>
      </c>
      <c r="O2768" s="3"/>
      <c r="P2768" s="1" t="s">
        <v>20</v>
      </c>
      <c r="R2768" s="1" t="s">
        <v>2968</v>
      </c>
      <c r="V2768" s="1" t="s">
        <v>3002</v>
      </c>
      <c r="AR2768" s="1" t="str">
        <f t="shared" si="178"/>
        <v>| [ㄇㄠˋ](ㄇㄠˋ.md) | [蓩](蓩.md) |  | mào | [名]
毒草。《說文解字．艸部》：「蓩，毒草也。」 |</v>
      </c>
    </row>
    <row r="2769" spans="1:44" hidden="1">
      <c r="A2769" s="1" t="s">
        <v>3003</v>
      </c>
      <c r="C2769" s="1">
        <v>1</v>
      </c>
      <c r="D2769" s="1" t="str">
        <f>"01190"</f>
        <v>01190</v>
      </c>
      <c r="E2769" s="1" t="s">
        <v>250</v>
      </c>
      <c r="F2769" s="1">
        <v>17</v>
      </c>
      <c r="G2769" s="1">
        <v>13</v>
      </c>
      <c r="H2769" s="1">
        <v>1</v>
      </c>
      <c r="I2769" s="1" t="s">
        <v>2967</v>
      </c>
      <c r="K2769" s="1" t="str">
        <f t="shared" si="179"/>
        <v>ㄇ</v>
      </c>
      <c r="L2769" s="1" t="str">
        <f t="shared" si="180"/>
        <v>ㄠ</v>
      </c>
      <c r="N2769" s="3" t="s">
        <v>30574</v>
      </c>
      <c r="O2769" s="3"/>
      <c r="P2769" s="1" t="s">
        <v>20</v>
      </c>
      <c r="R2769" s="1" t="s">
        <v>2968</v>
      </c>
      <c r="V2769" s="1" t="s">
        <v>3004</v>
      </c>
      <c r="W2769" s="1" t="s">
        <v>3005</v>
      </c>
      <c r="AR2769" s="1" t="str">
        <f t="shared" si="178"/>
        <v>| [ㄇㄠˋ](ㄇㄠˋ.md) | [懋](懋.md) |  | mào | [副]
勤勉努力的。《書經．盤庚下》：「無戲怠，懋建大命。」《國語．周語中》：「叔父其懋昭明德，物將自至。」
[動]
勸勉。《國語．晉語四》：「懋穡勸分，省用足財。」三國吳．韋昭．注：「懋，勉也。」
[形]
1.盛大的。如：「懋勛」、「懋績」。唐．李適〈汾陰后土祠作〉詩：「號令垂懋典，舊經備闕文。」
2.美。《後漢書．卷三．章帝紀》：「郡國所上符瑞，合於圖書者數百千所。烏呼懋哉！」
[名]
姓。如明代有懋國輔。 |</v>
      </c>
    </row>
    <row r="2770" spans="1:44" hidden="1">
      <c r="A2770" s="1" t="s">
        <v>3006</v>
      </c>
      <c r="C2770" s="1">
        <v>1</v>
      </c>
      <c r="D2770" s="1" t="str">
        <f>"01191"</f>
        <v>01191</v>
      </c>
      <c r="E2770" s="1" t="s">
        <v>505</v>
      </c>
      <c r="F2770" s="1">
        <v>12</v>
      </c>
      <c r="G2770" s="1">
        <v>5</v>
      </c>
      <c r="H2770" s="1">
        <v>1</v>
      </c>
      <c r="I2770" s="1" t="s">
        <v>2967</v>
      </c>
      <c r="K2770" s="1" t="str">
        <f t="shared" si="179"/>
        <v>ㄇ</v>
      </c>
      <c r="L2770" s="1" t="str">
        <f t="shared" si="180"/>
        <v>ㄠ</v>
      </c>
      <c r="N2770" s="3" t="s">
        <v>30574</v>
      </c>
      <c r="O2770" s="3"/>
      <c r="P2770" s="1" t="s">
        <v>20</v>
      </c>
      <c r="R2770" s="1" t="s">
        <v>2968</v>
      </c>
      <c r="V2770" s="1" t="s">
        <v>3007</v>
      </c>
      <c r="W2770" s="1" t="s">
        <v>3008</v>
      </c>
      <c r="AR2770" s="1" t="str">
        <f t="shared" si="178"/>
        <v>| [ㄇㄠˋ](ㄇㄠˋ.md) | [貿](貿.md) |  | mào | [動]
1.交換、交易。《詩經．衛風．氓》：「氓之蚩蚩，抱布貿絲。」唐．柳宗元〈鈷鉧潭記〉：「不勝官租私券之委積，既芟山而更居，願以潭上田貿財以緩禍。」
2.買賣。如：「貿易」。
3.變易。北周．庾信〈擬連珠〉：「蓋聞市朝遷貿，山川悠遠，是以狐兔所處。」《北史．卷六四．韋孝寬等傳．論曰》：「雖陵谷遷貿，終以雅正自居。」
4.錯雜。南朝宋．裴駰〈史記集解序〉：「考較此書，文句不同，有多有少，莫辯其實，而世之惑者，定彼從此，是非相貿，真偽舛雜。」
[副]
冒失、莽撞。如：「貿然」。
[名]
姓。如漢代有貿充國。 |</v>
      </c>
    </row>
    <row r="2771" spans="1:44" hidden="1">
      <c r="A2771" s="1" t="s">
        <v>3009</v>
      </c>
      <c r="C2771" s="1">
        <v>1</v>
      </c>
      <c r="D2771" s="1" t="str">
        <f>"01192"</f>
        <v>01192</v>
      </c>
      <c r="E2771" s="1" t="s">
        <v>256</v>
      </c>
      <c r="F2771" s="1">
        <v>15</v>
      </c>
      <c r="G2771" s="1">
        <v>12</v>
      </c>
      <c r="H2771" s="1">
        <v>0</v>
      </c>
      <c r="I2771" s="1" t="s">
        <v>2967</v>
      </c>
      <c r="K2771" s="1" t="str">
        <f t="shared" si="179"/>
        <v>ㄇ</v>
      </c>
      <c r="L2771" s="1" t="str">
        <f t="shared" si="180"/>
        <v>ㄠ</v>
      </c>
      <c r="N2771" s="3" t="s">
        <v>30574</v>
      </c>
      <c r="O2771" s="3"/>
      <c r="P2771" s="1" t="s">
        <v>20</v>
      </c>
      <c r="R2771" s="1" t="s">
        <v>2968</v>
      </c>
      <c r="V2771" s="1" t="s">
        <v>3010</v>
      </c>
      <c r="AR2771" s="1" t="str">
        <f t="shared" si="178"/>
        <v>| [ㄇㄠˋ](ㄇㄠˋ.md) | [鄮](鄮.md) |  | mào | [名]
縣名。秦置，故址在今大陸地區浙江省鄞縣。 |</v>
      </c>
    </row>
    <row r="2772" spans="1:44" hidden="1">
      <c r="A2772" s="1" t="s">
        <v>3011</v>
      </c>
      <c r="C2772" s="1">
        <v>1</v>
      </c>
      <c r="D2772" s="1" t="str">
        <f>"01193"</f>
        <v>01193</v>
      </c>
      <c r="E2772" s="1" t="s">
        <v>537</v>
      </c>
      <c r="F2772" s="1">
        <v>14</v>
      </c>
      <c r="G2772" s="1">
        <v>7</v>
      </c>
      <c r="H2772" s="1">
        <v>0</v>
      </c>
      <c r="I2772" s="1" t="s">
        <v>2967</v>
      </c>
      <c r="K2772" s="1" t="str">
        <f t="shared" si="179"/>
        <v>ㄇ</v>
      </c>
      <c r="L2772" s="1" t="str">
        <f t="shared" si="180"/>
        <v>ㄠ</v>
      </c>
      <c r="N2772" s="3" t="s">
        <v>30574</v>
      </c>
      <c r="O2772" s="3"/>
      <c r="P2772" s="1" t="s">
        <v>20</v>
      </c>
      <c r="R2772" s="1" t="s">
        <v>2968</v>
      </c>
      <c r="V2772" s="1" t="s">
        <v>3012</v>
      </c>
      <c r="AR2772" s="1" t="str">
        <f t="shared" si="178"/>
        <v>| [ㄇㄠˋ](ㄇㄠˋ.md) | [貌](貌.md) |  | mào | [名]
1.長相、面容。如：「容貌」、「相貌」、「其貌不揚」、「花容月貌」、「相貌堂堂」。
2.外表、外觀。如：「外貌」、「全貌」。
3.模樣、姿態。如：「怒貌」、「醉貌」。《文選．賈誼．鵩鳥賦》：「止于坐隅兮，貌閑暇。」
4.姓。如周代有貌辨。
[動]
描繪、描摹。通「邈」。《新唐書．卷七六．后妃傳上．楊貴妃傳》：「命工貌妃於別殿，朝夕往，必為鯁欷。」《聊齋志異．卷二．阿寶》：「遂貌其呆狀，相郵傳作醜語，而名之曰：『孫痴』。」 |</v>
      </c>
    </row>
    <row r="2773" spans="1:44" hidden="1">
      <c r="A2773" s="1" t="s">
        <v>2920</v>
      </c>
      <c r="C2773" s="1">
        <v>1</v>
      </c>
      <c r="D2773" s="1" t="str">
        <f>"01158"</f>
        <v>01158</v>
      </c>
      <c r="E2773" s="1" t="s">
        <v>1703</v>
      </c>
      <c r="F2773" s="1">
        <v>4</v>
      </c>
      <c r="G2773" s="1">
        <v>0</v>
      </c>
      <c r="H2773" s="1">
        <v>0</v>
      </c>
      <c r="I2773" s="1" t="s">
        <v>2921</v>
      </c>
      <c r="K2773" s="1" t="str">
        <f t="shared" si="179"/>
        <v>ㄇ</v>
      </c>
      <c r="L2773" s="1" t="str">
        <f t="shared" si="180"/>
        <v>ㄠ</v>
      </c>
      <c r="N2773" s="3" t="s">
        <v>30575</v>
      </c>
      <c r="O2773" s="3"/>
      <c r="P2773" s="1" t="s">
        <v>20</v>
      </c>
      <c r="R2773" s="1" t="s">
        <v>2922</v>
      </c>
      <c r="V2773" s="1" t="s">
        <v>2923</v>
      </c>
      <c r="AR2773" s="1" t="str">
        <f t="shared" si="178"/>
        <v>| [ㄇㄠˊ](ㄇㄠˊ.md) | [毛](毛.md) |  | máo | [名]_x000D_
1.動植物表皮或果實表皮所生的絲狀物。如：「羊毛」、「羽毛」、「桃子的果皮上被覆一層細毛。」_x000D_
2.特指人身上的鬚髮。如：「眉毛」、「鬢毛」、「睫毛」。《漢書．卷六五．東方朔傳》：「咄！口無毛，聲謷謷，（尻）益高。」_x000D_
3.地面上可發育生長之地被植物或作物的泛稱，多指五穀、蔬菜。如：「不毛之地」。《管子．七臣七主》：「夫男不田，女不緇，工技力於無用，而欲土地之毛，倉庫滿實，不可得也。」_x000D_
4.借指走獸、獸類。《禮記．樂記》：「羽者嫗伏，毛者孕鬻。」_x000D_
5.我國錢幣中「角」的俗稱。如一角稱為「一毛」。_x000D_
6.姓。如漢代有毛亨。_x000D_
7.二一四部首之一。_x000D_
[形]_x000D_
1.驚慌失措的樣子。如：「把他嚇毛了。」_x000D_
2.生氣、發怒、急躁的樣子。如：「毛毛躁躁」、「別把我惹毛了！」《官場現形記》第一五回：「若把老爺弄毛了，他一動氣，要頂真辦起來，你們吃得住嗎？」_x000D_
3.粗糙的、未加工的。如：「毛米」、「毛貨」、「毛胚」。_x000D_
4.約略、不純的。如：「毛利」、「毛重」。_x000D_
5.小。如：「毛驢」、「毛孩子」、「毛丫頭」、「毛毛雨」。 |</v>
      </c>
    </row>
    <row r="2774" spans="1:44" hidden="1">
      <c r="A2774" s="1" t="s">
        <v>2924</v>
      </c>
      <c r="C2774" s="1">
        <v>1</v>
      </c>
      <c r="D2774" s="1" t="str">
        <f>"01159"</f>
        <v>01159</v>
      </c>
      <c r="E2774" s="1" t="s">
        <v>800</v>
      </c>
      <c r="F2774" s="1">
        <v>10</v>
      </c>
      <c r="G2774" s="1">
        <v>6</v>
      </c>
      <c r="H2774" s="1">
        <v>1</v>
      </c>
      <c r="I2774" s="1" t="s">
        <v>2921</v>
      </c>
      <c r="K2774" s="1" t="str">
        <f t="shared" si="179"/>
        <v>ㄇ</v>
      </c>
      <c r="L2774" s="1" t="str">
        <f t="shared" si="180"/>
        <v>ㄠ</v>
      </c>
      <c r="N2774" s="3" t="s">
        <v>30575</v>
      </c>
      <c r="O2774" s="3"/>
      <c r="P2774" s="1" t="s">
        <v>20</v>
      </c>
      <c r="R2774" s="1" t="s">
        <v>2922</v>
      </c>
      <c r="V2774" s="1" t="s">
        <v>2925</v>
      </c>
      <c r="W2774" s="1" t="s">
        <v>2926</v>
      </c>
      <c r="AR2774" s="1" t="str">
        <f t="shared" si="178"/>
        <v>| [ㄇㄠˊ](ㄇㄠˊ.md) | [旄](旄.md) |  | máo | [名]
1.古代竿頭上飾有犛牛尾的旗幟。《書經．牧誓》：「右秉白旄以麾。」《文選．曹植．洛神賦》：「左倚采旄，右蔭桂旗。」
2.借指旄牛。《文選．司馬相如．上林賦》：「其獸則𧴄旄貘犛。」 |</v>
      </c>
    </row>
    <row r="2775" spans="1:44" hidden="1">
      <c r="A2775" s="1" t="s">
        <v>2927</v>
      </c>
      <c r="C2775" s="1">
        <v>1</v>
      </c>
      <c r="D2775" s="1" t="str">
        <f>"01160"</f>
        <v>01160</v>
      </c>
      <c r="E2775" s="1" t="s">
        <v>1078</v>
      </c>
      <c r="F2775" s="1">
        <v>14</v>
      </c>
      <c r="G2775" s="1">
        <v>4</v>
      </c>
      <c r="H2775" s="1">
        <v>0</v>
      </c>
      <c r="I2775" s="1" t="s">
        <v>2921</v>
      </c>
      <c r="K2775" s="1" t="str">
        <f t="shared" si="179"/>
        <v>ㄇ</v>
      </c>
      <c r="L2775" s="1" t="str">
        <f t="shared" si="180"/>
        <v>ㄠ</v>
      </c>
      <c r="N2775" s="3" t="s">
        <v>30575</v>
      </c>
      <c r="O2775" s="3"/>
      <c r="P2775" s="1" t="s">
        <v>20</v>
      </c>
      <c r="R2775" s="1" t="s">
        <v>2922</v>
      </c>
      <c r="V2775" s="1" t="s">
        <v>2928</v>
      </c>
      <c r="AR2775" s="1" t="str">
        <f t="shared" si="178"/>
        <v>| [ㄇㄠˊ](ㄇㄠˊ.md) | [髦](髦.md) |  | máo | [名]
1.毛髮中較長者稱為「髦」。《爾雅．釋言》：「髦，選也。」宋．邢昺．疏：「毛中之長毫，曰髦。」
2.比喻出眾的人才。唐．太宗〈令河北淮南諸州舉人詔〉：「江淮吳會，英髦斯在。」
3.古代孩童下垂至眉的髮式。《詩經．鄘風．柏舟》：「髧彼兩髦，實維我儀。」漢．毛亨．傳：「髦者，髮至眉，子事父母之飾。」
4.獸類頭頸上的長毛。《淮南子．原道》：「馬被髦而全足者，天也。」《山海經．南山經》：「有獸焉，其狀如狸而有髦。」
5.古代用犛牛尾作裝飾的旗幟。通「旄」。《文選．張協．七命八首之三》：「建雲髦，啟雄芒。」唐．李善．注：「髦，與旄古字通。」
[形]
流行的、時興的。參見「時髦」條。 |</v>
      </c>
    </row>
    <row r="2776" spans="1:44" hidden="1">
      <c r="A2776" s="1" t="s">
        <v>2929</v>
      </c>
      <c r="C2776" s="1">
        <v>1</v>
      </c>
      <c r="D2776" s="1" t="str">
        <f>"01161"</f>
        <v>01161</v>
      </c>
      <c r="E2776" s="1" t="s">
        <v>2930</v>
      </c>
      <c r="F2776" s="1">
        <v>5</v>
      </c>
      <c r="G2776" s="1">
        <v>0</v>
      </c>
      <c r="H2776" s="1">
        <v>0</v>
      </c>
      <c r="I2776" s="1" t="s">
        <v>2921</v>
      </c>
      <c r="K2776" s="1" t="str">
        <f t="shared" si="179"/>
        <v>ㄇ</v>
      </c>
      <c r="L2776" s="1" t="str">
        <f t="shared" si="180"/>
        <v>ㄠ</v>
      </c>
      <c r="N2776" s="3" t="s">
        <v>30575</v>
      </c>
      <c r="O2776" s="3"/>
      <c r="P2776" s="1" t="s">
        <v>20</v>
      </c>
      <c r="R2776" s="1" t="s">
        <v>2922</v>
      </c>
      <c r="V2776" s="1" t="s">
        <v>2931</v>
      </c>
      <c r="AR2776" s="1" t="str">
        <f t="shared" si="178"/>
        <v>| [ㄇㄠˊ](ㄇㄠˊ.md) | [矛](矛.md) |  | máo | [名]
1.古代一種直刺兵器。長柄，有青銅或鐵製的利刃。如：「長矛」。《文選．枚乘．七發》：「白刃磑磑，矛戟交錯。」《三國演義》第二八回：「隨即披挂持矛上馬，引一千餘人，逕出北門。」
2.二一四部首之一。 |</v>
      </c>
    </row>
    <row r="2777" spans="1:44" hidden="1">
      <c r="A2777" s="1" t="s">
        <v>2932</v>
      </c>
      <c r="C2777" s="1">
        <v>1</v>
      </c>
      <c r="D2777" s="1" t="str">
        <f>"01162"</f>
        <v>01162</v>
      </c>
      <c r="E2777" s="1" t="s">
        <v>37</v>
      </c>
      <c r="F2777" s="1">
        <v>9</v>
      </c>
      <c r="G2777" s="1">
        <v>5</v>
      </c>
      <c r="H2777" s="1">
        <v>0</v>
      </c>
      <c r="I2777" s="1" t="s">
        <v>2921</v>
      </c>
      <c r="K2777" s="1" t="str">
        <f t="shared" si="179"/>
        <v>ㄇ</v>
      </c>
      <c r="L2777" s="1" t="str">
        <f t="shared" si="180"/>
        <v>ㄠ</v>
      </c>
      <c r="N2777" s="3" t="s">
        <v>30575</v>
      </c>
      <c r="O2777" s="3"/>
      <c r="P2777" s="1" t="s">
        <v>20</v>
      </c>
      <c r="R2777" s="1" t="s">
        <v>2922</v>
      </c>
      <c r="V2777" s="1" t="s">
        <v>2933</v>
      </c>
      <c r="AR2777" s="1" t="str">
        <f t="shared" si="178"/>
        <v>| [ㄇㄠˊ](ㄇㄠˊ.md) | [茅](茅.md) |  | máo | [名]
1.植物名。禾本科白茅屬，「白茅」之古稱，參見「白茅」條。
2.姓。如秦代有茅焦。 |</v>
      </c>
    </row>
    <row r="2778" spans="1:44" hidden="1">
      <c r="A2778" s="1" t="s">
        <v>2934</v>
      </c>
      <c r="C2778" s="1">
        <v>1</v>
      </c>
      <c r="D2778" s="1" t="str">
        <f>"01162A"</f>
        <v>01162A</v>
      </c>
      <c r="E2778" s="1" t="s">
        <v>37</v>
      </c>
      <c r="F2778" s="1">
        <v>9</v>
      </c>
      <c r="G2778" s="1">
        <v>5</v>
      </c>
      <c r="H2778" s="1">
        <v>2</v>
      </c>
      <c r="I2778" s="1" t="s">
        <v>2921</v>
      </c>
      <c r="K2778" s="1" t="str">
        <f t="shared" si="179"/>
        <v>ㄇ</v>
      </c>
      <c r="L2778" s="1" t="str">
        <f t="shared" si="180"/>
        <v>ㄠ</v>
      </c>
      <c r="N2778" s="3" t="s">
        <v>30575</v>
      </c>
      <c r="O2778" s="3"/>
      <c r="P2778" s="1" t="s">
        <v>20</v>
      </c>
      <c r="R2778" s="1" t="s">
        <v>2922</v>
      </c>
      <c r="V2778" s="1" t="s">
        <v>2935</v>
      </c>
      <c r="W2778" s="1" t="s">
        <v>2936</v>
      </c>
      <c r="AR2778" s="1" t="str">
        <f t="shared" si="178"/>
        <v>| [ㄇㄠˊ](ㄇㄠˊ.md) | [茆](茆.md) |  | máo | 通「茅」。 |</v>
      </c>
    </row>
    <row r="2779" spans="1:44" hidden="1">
      <c r="A2779" s="1" t="s">
        <v>2937</v>
      </c>
      <c r="C2779" s="1">
        <v>1</v>
      </c>
      <c r="D2779" s="1" t="str">
        <f>"01163"</f>
        <v>01163</v>
      </c>
      <c r="E2779" s="1" t="s">
        <v>132</v>
      </c>
      <c r="F2779" s="1">
        <v>12</v>
      </c>
      <c r="G2779" s="1">
        <v>9</v>
      </c>
      <c r="H2779" s="1">
        <v>1</v>
      </c>
      <c r="I2779" s="1" t="s">
        <v>2921</v>
      </c>
      <c r="K2779" s="1" t="str">
        <f t="shared" si="179"/>
        <v>ㄇ</v>
      </c>
      <c r="L2779" s="1" t="str">
        <f t="shared" si="180"/>
        <v>ㄠ</v>
      </c>
      <c r="N2779" s="3" t="s">
        <v>30575</v>
      </c>
      <c r="O2779" s="3"/>
      <c r="P2779" s="1" t="s">
        <v>20</v>
      </c>
      <c r="R2779" s="1" t="s">
        <v>2922</v>
      </c>
      <c r="V2779" s="1" t="s">
        <v>2938</v>
      </c>
      <c r="W2779" s="1" t="s">
        <v>2939</v>
      </c>
      <c r="AR2779" s="1" t="str">
        <f t="shared" si="178"/>
        <v>| [ㄇㄠˊ](ㄇㄠˊ.md) | [堥](堥.md) |  | máo | [名]
前高後低的小土山。《廣韻．平聲．豪韻》：「堥，前高後下，丘名。」 |</v>
      </c>
    </row>
    <row r="2780" spans="1:44" hidden="1">
      <c r="A2780" s="1" t="s">
        <v>2940</v>
      </c>
      <c r="C2780" s="1">
        <v>1</v>
      </c>
      <c r="D2780" s="1" t="str">
        <f>"01164"</f>
        <v>01164</v>
      </c>
      <c r="E2780" s="1" t="s">
        <v>1078</v>
      </c>
      <c r="F2780" s="1">
        <v>15</v>
      </c>
      <c r="G2780" s="1">
        <v>5</v>
      </c>
      <c r="H2780" s="1">
        <v>1</v>
      </c>
      <c r="I2780" s="1" t="s">
        <v>2921</v>
      </c>
      <c r="K2780" s="1" t="str">
        <f t="shared" si="179"/>
        <v>ㄇ</v>
      </c>
      <c r="L2780" s="1" t="str">
        <f t="shared" si="180"/>
        <v>ㄠ</v>
      </c>
      <c r="N2780" s="3" t="s">
        <v>30575</v>
      </c>
      <c r="O2780" s="3"/>
      <c r="P2780" s="1" t="s">
        <v>20</v>
      </c>
      <c r="R2780" s="1" t="s">
        <v>2922</v>
      </c>
      <c r="V2780" s="1" t="s">
        <v>2941</v>
      </c>
      <c r="W2780" s="1" t="s">
        <v>2942</v>
      </c>
      <c r="AR2780" s="1" t="str">
        <f t="shared" si="178"/>
        <v>| [ㄇㄠˊ](ㄇㄠˊ.md) | [髳](髳.md) |  | máo | [名]
1.長垂至眉的頭髮。《說文解字．髟部》：「髳，髮至眉也。」
2.中國古代少數民族之一，多分布在大陸地區川南一帶。《書經．牧誓》：「及庸、蜀、羌、髳、微、盧彭、濮人。」漢．孔安國．傳：「八國皆蠻夷戎狄屬文王者，……髳、微在巴蜀。」 |</v>
      </c>
    </row>
    <row r="2781" spans="1:44" hidden="1">
      <c r="A2781" s="1" t="s">
        <v>2943</v>
      </c>
      <c r="C2781" s="1">
        <v>1</v>
      </c>
      <c r="D2781" s="1" t="str">
        <f>"01165"</f>
        <v>01165</v>
      </c>
      <c r="E2781" s="1" t="s">
        <v>679</v>
      </c>
      <c r="F2781" s="1">
        <v>15</v>
      </c>
      <c r="G2781" s="1">
        <v>9</v>
      </c>
      <c r="H2781" s="1">
        <v>0</v>
      </c>
      <c r="I2781" s="1" t="s">
        <v>2921</v>
      </c>
      <c r="K2781" s="1" t="str">
        <f t="shared" si="179"/>
        <v>ㄇ</v>
      </c>
      <c r="L2781" s="1" t="str">
        <f t="shared" si="180"/>
        <v>ㄠ</v>
      </c>
      <c r="N2781" s="3" t="s">
        <v>30575</v>
      </c>
      <c r="O2781" s="3"/>
      <c r="P2781" s="1" t="s">
        <v>20</v>
      </c>
      <c r="R2781" s="1" t="s">
        <v>2922</v>
      </c>
      <c r="V2781" s="1" t="s">
        <v>2944</v>
      </c>
      <c r="AR2781" s="1" t="str">
        <f t="shared" si="178"/>
        <v>| [ㄇㄠˊ](ㄇㄠˊ.md) | [蝥](蝥.md) |  | máo | [名]
1.動物名。節肢動物門昆蟲綱。專蝕害稻根。同「蟊」。也稱為「根白蛆」。
2.參見「斑蝥」條。 |</v>
      </c>
    </row>
    <row r="2782" spans="1:44" hidden="1">
      <c r="A2782" s="1" t="s">
        <v>2945</v>
      </c>
      <c r="C2782" s="1">
        <v>1</v>
      </c>
      <c r="D2782" s="1" t="str">
        <f>"01166"</f>
        <v>01166</v>
      </c>
      <c r="E2782" s="1" t="s">
        <v>679</v>
      </c>
      <c r="F2782" s="1">
        <v>17</v>
      </c>
      <c r="G2782" s="1">
        <v>11</v>
      </c>
      <c r="H2782" s="1">
        <v>0</v>
      </c>
      <c r="I2782" s="1" t="s">
        <v>2921</v>
      </c>
      <c r="K2782" s="1" t="str">
        <f t="shared" si="179"/>
        <v>ㄇ</v>
      </c>
      <c r="L2782" s="1" t="str">
        <f t="shared" si="180"/>
        <v>ㄠ</v>
      </c>
      <c r="N2782" s="3" t="s">
        <v>30575</v>
      </c>
      <c r="O2782" s="3"/>
      <c r="P2782" s="1" t="s">
        <v>20</v>
      </c>
      <c r="R2782" s="1" t="s">
        <v>2922</v>
      </c>
      <c r="V2782" s="1" t="s">
        <v>2946</v>
      </c>
      <c r="AR2782" s="1" t="str">
        <f t="shared" si="178"/>
        <v>| [ㄇㄠˊ](ㄇㄠˊ.md) | [蟊](蟊.md) |  | máo | [名]
動物名。節肢動物昆蟲綱。一種專吃稻根的害蟲。 |</v>
      </c>
    </row>
    <row r="2783" spans="1:44" hidden="1">
      <c r="A2783" s="1" t="s">
        <v>2947</v>
      </c>
      <c r="C2783" s="1">
        <v>1</v>
      </c>
      <c r="D2783" s="1" t="str">
        <f>"01167"</f>
        <v>01167</v>
      </c>
      <c r="E2783" s="1" t="s">
        <v>518</v>
      </c>
      <c r="F2783" s="1">
        <v>15</v>
      </c>
      <c r="G2783" s="1">
        <v>11</v>
      </c>
      <c r="H2783" s="1">
        <v>2</v>
      </c>
      <c r="I2783" s="1" t="s">
        <v>2921</v>
      </c>
      <c r="K2783" s="1" t="str">
        <f t="shared" si="179"/>
        <v>ㄇ</v>
      </c>
      <c r="L2783" s="1" t="str">
        <f t="shared" si="180"/>
        <v>ㄠ</v>
      </c>
      <c r="N2783" s="3" t="s">
        <v>30575</v>
      </c>
      <c r="O2783" s="3"/>
      <c r="P2783" s="1" t="s">
        <v>110</v>
      </c>
      <c r="R2783" s="1" t="s">
        <v>2922</v>
      </c>
      <c r="V2783" s="1" t="s">
        <v>111</v>
      </c>
      <c r="W2783" s="1" t="s">
        <v>2948</v>
      </c>
      <c r="AR2783" s="1" t="str">
        <f t="shared" si="178"/>
        <v>| [ㄇㄠˊ](ㄇㄠˊ.md) | [犛](犛.md) |  | máo | (一)之又音。 |</v>
      </c>
    </row>
    <row r="2784" spans="1:44" hidden="1">
      <c r="A2784" s="1" t="s">
        <v>2949</v>
      </c>
      <c r="C2784" s="1">
        <v>1</v>
      </c>
      <c r="D2784" s="1" t="str">
        <f>"01168"</f>
        <v>01168</v>
      </c>
      <c r="E2784" s="1" t="s">
        <v>1703</v>
      </c>
      <c r="F2784" s="1">
        <v>15</v>
      </c>
      <c r="G2784" s="1">
        <v>11</v>
      </c>
      <c r="H2784" s="1">
        <v>2</v>
      </c>
      <c r="I2784" s="1" t="s">
        <v>2921</v>
      </c>
      <c r="K2784" s="1" t="str">
        <f t="shared" si="179"/>
        <v>ㄇ</v>
      </c>
      <c r="L2784" s="1" t="str">
        <f t="shared" si="180"/>
        <v>ㄠ</v>
      </c>
      <c r="N2784" s="3" t="s">
        <v>30575</v>
      </c>
      <c r="O2784" s="3"/>
      <c r="P2784" s="1" t="s">
        <v>110</v>
      </c>
      <c r="R2784" s="1" t="s">
        <v>2922</v>
      </c>
      <c r="V2784" s="1" t="s">
        <v>111</v>
      </c>
      <c r="W2784" s="1" t="s">
        <v>2950</v>
      </c>
      <c r="AR2784" s="1" t="str">
        <f t="shared" si="178"/>
        <v>| [ㄇㄠˊ](ㄇㄠˊ.md) | [氂](氂.md) |  | máo | (一)之又音。 |</v>
      </c>
    </row>
    <row r="2785" spans="1:44" hidden="1">
      <c r="A2785" s="1" t="s">
        <v>2951</v>
      </c>
      <c r="C2785" s="1">
        <v>1</v>
      </c>
      <c r="D2785" s="1" t="str">
        <f>"01169"</f>
        <v>01169</v>
      </c>
      <c r="E2785" s="1" t="s">
        <v>55</v>
      </c>
      <c r="F2785" s="1">
        <v>17</v>
      </c>
      <c r="G2785" s="1">
        <v>9</v>
      </c>
      <c r="H2785" s="1">
        <v>0</v>
      </c>
      <c r="I2785" s="1" t="s">
        <v>2921</v>
      </c>
      <c r="K2785" s="1" t="str">
        <f t="shared" si="179"/>
        <v>ㄇ</v>
      </c>
      <c r="L2785" s="1" t="str">
        <f t="shared" si="180"/>
        <v>ㄠ</v>
      </c>
      <c r="N2785" s="3" t="s">
        <v>30575</v>
      </c>
      <c r="O2785" s="3"/>
      <c r="P2785" s="1" t="s">
        <v>20</v>
      </c>
      <c r="R2785" s="1" t="s">
        <v>2922</v>
      </c>
      <c r="V2785" s="1" t="s">
        <v>2952</v>
      </c>
      <c r="AR2785" s="1" t="str">
        <f t="shared" si="178"/>
        <v>| [ㄇㄠˊ](ㄇㄠˊ.md) | [錨](錨.md) |  | máo | [名]
鐵製的停船器具。一端有兩個或兩個以上的鉤爪，另一端上有鐵鍊相連在船上。拋到水中或岸上，可以使船停泊不動。 |</v>
      </c>
    </row>
    <row r="2786" spans="1:44" hidden="1">
      <c r="A2786" s="1" t="s">
        <v>2953</v>
      </c>
      <c r="C2786" s="1">
        <v>1</v>
      </c>
      <c r="D2786" s="1" t="str">
        <f>"01170"</f>
        <v>01170</v>
      </c>
      <c r="E2786" s="1" t="s">
        <v>2954</v>
      </c>
      <c r="F2786" s="1">
        <v>5</v>
      </c>
      <c r="G2786" s="1">
        <v>3</v>
      </c>
      <c r="H2786" s="1">
        <v>0</v>
      </c>
      <c r="I2786" s="1" t="s">
        <v>2955</v>
      </c>
      <c r="K2786" s="1" t="str">
        <f t="shared" si="179"/>
        <v>ㄇ</v>
      </c>
      <c r="L2786" s="1" t="str">
        <f t="shared" si="180"/>
        <v>ㄠ</v>
      </c>
      <c r="N2786" s="3" t="s">
        <v>30576</v>
      </c>
      <c r="O2786" s="3"/>
      <c r="P2786" s="1" t="s">
        <v>20</v>
      </c>
      <c r="R2786" s="1" t="s">
        <v>2956</v>
      </c>
      <c r="V2786" s="1" t="s">
        <v>2957</v>
      </c>
      <c r="AR2786" s="1" t="str">
        <f t="shared" si="178"/>
        <v>| [ㄇㄠˇ](ㄇㄠˇ.md) | [卯](卯.md) |  | mǎo | [名]
1.地支的第四位。
2.時辰名。約當早晨五點到七點。
3.古代官署例定在卯時進行的報到點名等活動的代稱。如點名稱為「點卯」，點名冊稱為「卯簿」、「卯冊」。《水滸傳》第一〇一回：「一日，王慶五更入衙畫卯，幹辦完了執事，閒步出城南。」
4.參見「卯眼」條。
[動]
對上。如：「他倆卯上了。」 |</v>
      </c>
    </row>
    <row r="2787" spans="1:44" hidden="1">
      <c r="A2787" s="1" t="s">
        <v>2958</v>
      </c>
      <c r="C2787" s="1">
        <v>1</v>
      </c>
      <c r="D2787" s="1" t="str">
        <f>"01171"</f>
        <v>01171</v>
      </c>
      <c r="E2787" s="1" t="s">
        <v>129</v>
      </c>
      <c r="F2787" s="1">
        <v>8</v>
      </c>
      <c r="G2787" s="1">
        <v>5</v>
      </c>
      <c r="H2787" s="1">
        <v>0</v>
      </c>
      <c r="I2787" s="1" t="s">
        <v>2955</v>
      </c>
      <c r="K2787" s="1" t="str">
        <f t="shared" si="179"/>
        <v>ㄇ</v>
      </c>
      <c r="L2787" s="1" t="str">
        <f t="shared" si="180"/>
        <v>ㄠ</v>
      </c>
      <c r="N2787" s="3" t="s">
        <v>30576</v>
      </c>
      <c r="O2787" s="3"/>
      <c r="P2787" s="1" t="s">
        <v>20</v>
      </c>
      <c r="R2787" s="1" t="s">
        <v>2956</v>
      </c>
      <c r="V2787" s="1" t="s">
        <v>2959</v>
      </c>
      <c r="AR2787" s="1" t="str">
        <f t="shared" si="178"/>
        <v>| [ㄇㄠˇ](ㄇㄠˇ.md) | [泖](泖.md) |  | mǎo | [名]
1.停滯不湍急的水流。宋．何薳《春渚紀聞．卷七．三泖》：「今觀所謂三泖，皆漫水巨浸……或謂泖是水死絕處，故江左人目水之停滀不湍者為卯（泖）。」
2.河川名。在大陸地區江蘇省，源出太湖，有上泖、中泖、下泖，匯集為泖湖。 |</v>
      </c>
    </row>
    <row r="2788" spans="1:44" hidden="1">
      <c r="A2788" s="1" t="s">
        <v>2934</v>
      </c>
      <c r="C2788" s="1">
        <v>1</v>
      </c>
      <c r="D2788" s="1" t="str">
        <f>"01172"</f>
        <v>01172</v>
      </c>
      <c r="E2788" s="1" t="s">
        <v>37</v>
      </c>
      <c r="F2788" s="1">
        <v>9</v>
      </c>
      <c r="G2788" s="1">
        <v>5</v>
      </c>
      <c r="H2788" s="1">
        <v>1</v>
      </c>
      <c r="I2788" s="1" t="s">
        <v>2955</v>
      </c>
      <c r="K2788" s="1" t="str">
        <f t="shared" si="179"/>
        <v>ㄇ</v>
      </c>
      <c r="L2788" s="1" t="str">
        <f t="shared" si="180"/>
        <v>ㄠ</v>
      </c>
      <c r="N2788" s="3" t="s">
        <v>30576</v>
      </c>
      <c r="O2788" s="3"/>
      <c r="P2788" s="1" t="s">
        <v>20</v>
      </c>
      <c r="R2788" s="1" t="s">
        <v>2956</v>
      </c>
      <c r="V2788" s="1" t="s">
        <v>2960</v>
      </c>
      <c r="W2788" s="1" t="s">
        <v>2961</v>
      </c>
      <c r="AR2788" s="1" t="str">
        <f t="shared" si="178"/>
        <v>| [ㄇㄠˇ](ㄇㄠˇ.md) | [茆](茆.md) |  | mǎo | 禾本科白茅屬，「茅」、「白茅」之古稱，參見「白茅」條。 |</v>
      </c>
    </row>
    <row r="2789" spans="1:44" hidden="1">
      <c r="A2789" s="1" t="s">
        <v>2962</v>
      </c>
      <c r="C2789" s="1">
        <v>1</v>
      </c>
      <c r="D2789" s="1" t="str">
        <f>"01173"</f>
        <v>01173</v>
      </c>
      <c r="E2789" s="1" t="s">
        <v>646</v>
      </c>
      <c r="F2789" s="1">
        <v>9</v>
      </c>
      <c r="G2789" s="1">
        <v>5</v>
      </c>
      <c r="H2789" s="1">
        <v>0</v>
      </c>
      <c r="I2789" s="1" t="s">
        <v>2955</v>
      </c>
      <c r="K2789" s="1" t="str">
        <f t="shared" si="179"/>
        <v>ㄇ</v>
      </c>
      <c r="L2789" s="1" t="str">
        <f t="shared" si="180"/>
        <v>ㄠ</v>
      </c>
      <c r="N2789" s="3" t="s">
        <v>30576</v>
      </c>
      <c r="O2789" s="3"/>
      <c r="P2789" s="1" t="s">
        <v>20</v>
      </c>
      <c r="R2789" s="1" t="s">
        <v>2956</v>
      </c>
      <c r="V2789" s="1" t="s">
        <v>2963</v>
      </c>
      <c r="AR2789" s="1" t="str">
        <f t="shared" si="178"/>
        <v>| [ㄇㄠˇ](ㄇㄠˇ.md) | [昴](昴.md) |  | mǎo | [名]
星宿名。二十八宿之一，為白虎七宿的第四宿。《詩經．召南．小星》：「嘒彼小星，維參與昴。」《文選．司馬相如．長門賦》：「畢昴出於東方。」 |</v>
      </c>
    </row>
    <row r="2790" spans="1:44" hidden="1">
      <c r="A2790" s="1" t="s">
        <v>2964</v>
      </c>
      <c r="C2790" s="1">
        <v>1</v>
      </c>
      <c r="D2790" s="1" t="str">
        <f>"01174"</f>
        <v>01174</v>
      </c>
      <c r="E2790" s="1" t="s">
        <v>55</v>
      </c>
      <c r="F2790" s="1">
        <v>13</v>
      </c>
      <c r="G2790" s="1">
        <v>5</v>
      </c>
      <c r="H2790" s="1">
        <v>0</v>
      </c>
      <c r="I2790" s="1" t="s">
        <v>2955</v>
      </c>
      <c r="K2790" s="1" t="str">
        <f t="shared" si="179"/>
        <v>ㄇ</v>
      </c>
      <c r="L2790" s="1" t="str">
        <f t="shared" si="180"/>
        <v>ㄠ</v>
      </c>
      <c r="N2790" s="3" t="s">
        <v>30576</v>
      </c>
      <c r="O2790" s="3"/>
      <c r="P2790" s="1" t="s">
        <v>20</v>
      </c>
      <c r="R2790" s="1" t="s">
        <v>2956</v>
      </c>
      <c r="V2790" s="1" t="s">
        <v>2965</v>
      </c>
      <c r="AR2790" s="1" t="str">
        <f t="shared" si="178"/>
        <v>| [ㄇㄠˇ](ㄇㄠˇ.md) | [鉚](鉚.md) |  | mǎo | 參見「鉚釘」條。 |</v>
      </c>
    </row>
    <row r="2791" spans="1:44" hidden="1">
      <c r="A2791" s="1" t="s">
        <v>2981</v>
      </c>
      <c r="C2791" s="1">
        <v>1</v>
      </c>
      <c r="D2791" s="1" t="str">
        <f>"01208"</f>
        <v>01208</v>
      </c>
      <c r="E2791" s="1" t="s">
        <v>37</v>
      </c>
      <c r="F2791" s="1">
        <v>9</v>
      </c>
      <c r="G2791" s="1">
        <v>5</v>
      </c>
      <c r="H2791" s="1">
        <v>2</v>
      </c>
      <c r="I2791" s="1" t="s">
        <v>3046</v>
      </c>
      <c r="K2791" s="1" t="str">
        <f t="shared" si="179"/>
        <v>ㄇ</v>
      </c>
      <c r="L2791" s="1" t="str">
        <f t="shared" si="180"/>
        <v>ㄡ</v>
      </c>
      <c r="N2791" s="3" t="s">
        <v>30574</v>
      </c>
      <c r="O2791" s="3"/>
      <c r="P2791" s="1" t="s">
        <v>110</v>
      </c>
      <c r="R2791" s="1" t="s">
        <v>3047</v>
      </c>
      <c r="V2791" s="1" t="s">
        <v>111</v>
      </c>
      <c r="W2791" s="1" t="s">
        <v>3048</v>
      </c>
      <c r="AR2791" s="1" t="str">
        <f t="shared" si="178"/>
        <v>| [ㄇㄡˋ](ㄇㄡˋ.md) | [茂](茂.md) |  | mòu | (一)之又音。 |</v>
      </c>
    </row>
    <row r="2792" spans="1:44" hidden="1">
      <c r="A2792" s="1" t="s">
        <v>2992</v>
      </c>
      <c r="C2792" s="1">
        <v>1</v>
      </c>
      <c r="D2792" s="1" t="str">
        <f>"01209"</f>
        <v>01209</v>
      </c>
      <c r="E2792" s="1" t="s">
        <v>340</v>
      </c>
      <c r="F2792" s="1">
        <v>11</v>
      </c>
      <c r="G2792" s="1">
        <v>5</v>
      </c>
      <c r="H2792" s="1">
        <v>2</v>
      </c>
      <c r="I2792" s="1" t="s">
        <v>3046</v>
      </c>
      <c r="K2792" s="1" t="str">
        <f t="shared" si="179"/>
        <v>ㄇ</v>
      </c>
      <c r="L2792" s="1" t="str">
        <f t="shared" si="180"/>
        <v>ㄡ</v>
      </c>
      <c r="N2792" s="3" t="s">
        <v>30574</v>
      </c>
      <c r="O2792" s="3"/>
      <c r="P2792" s="1" t="s">
        <v>110</v>
      </c>
      <c r="R2792" s="1" t="s">
        <v>3047</v>
      </c>
      <c r="V2792" s="1" t="s">
        <v>111</v>
      </c>
      <c r="W2792" s="1" t="s">
        <v>3049</v>
      </c>
      <c r="AR2792" s="1" t="str">
        <f t="shared" si="178"/>
        <v>| [ㄇㄡˋ](ㄇㄡˋ.md) | [袤](袤.md) |  | mòu | (一)之又音。 |</v>
      </c>
    </row>
    <row r="2793" spans="1:44" hidden="1">
      <c r="A2793" s="1" t="s">
        <v>2995</v>
      </c>
      <c r="C2793" s="1">
        <v>1</v>
      </c>
      <c r="D2793" s="1" t="str">
        <f>"01210"</f>
        <v>01210</v>
      </c>
      <c r="E2793" s="1" t="s">
        <v>139</v>
      </c>
      <c r="F2793" s="1">
        <v>13</v>
      </c>
      <c r="G2793" s="1">
        <v>9</v>
      </c>
      <c r="H2793" s="1">
        <v>2</v>
      </c>
      <c r="I2793" s="1" t="s">
        <v>3046</v>
      </c>
      <c r="K2793" s="1" t="str">
        <f t="shared" si="179"/>
        <v>ㄇ</v>
      </c>
      <c r="L2793" s="1" t="str">
        <f t="shared" si="180"/>
        <v>ㄡ</v>
      </c>
      <c r="N2793" s="3" t="s">
        <v>30574</v>
      </c>
      <c r="O2793" s="3"/>
      <c r="P2793" s="1" t="s">
        <v>110</v>
      </c>
      <c r="R2793" s="1" t="s">
        <v>3047</v>
      </c>
      <c r="V2793" s="1" t="s">
        <v>111</v>
      </c>
      <c r="W2793" s="1" t="s">
        <v>3050</v>
      </c>
      <c r="AR2793" s="1" t="str">
        <f t="shared" si="178"/>
        <v>| [ㄇㄡˋ](ㄇㄡˋ.md) | [楙](楙.md) |  | mòu | (一)之又音。 |</v>
      </c>
    </row>
    <row r="2794" spans="1:44" hidden="1">
      <c r="A2794" s="1" t="s">
        <v>2998</v>
      </c>
      <c r="C2794" s="1">
        <v>1</v>
      </c>
      <c r="D2794" s="1" t="str">
        <f>"01211"</f>
        <v>01211</v>
      </c>
      <c r="E2794" s="1" t="s">
        <v>1015</v>
      </c>
      <c r="F2794" s="1">
        <v>14</v>
      </c>
      <c r="G2794" s="1">
        <v>9</v>
      </c>
      <c r="H2794" s="1">
        <v>2</v>
      </c>
      <c r="I2794" s="1" t="s">
        <v>3046</v>
      </c>
      <c r="K2794" s="1" t="str">
        <f t="shared" si="179"/>
        <v>ㄇ</v>
      </c>
      <c r="L2794" s="1" t="str">
        <f t="shared" si="180"/>
        <v>ㄡ</v>
      </c>
      <c r="N2794" s="3" t="s">
        <v>30574</v>
      </c>
      <c r="O2794" s="3"/>
      <c r="P2794" s="1" t="s">
        <v>110</v>
      </c>
      <c r="R2794" s="1" t="s">
        <v>3047</v>
      </c>
      <c r="V2794" s="1" t="s">
        <v>111</v>
      </c>
      <c r="W2794" s="1" t="s">
        <v>3051</v>
      </c>
      <c r="AR2794" s="1" t="str">
        <f t="shared" si="178"/>
        <v>| [ㄇㄡˋ](ㄇㄡˋ.md) | [瞀](瞀.md) |  | mòu | (一)之又音。 |</v>
      </c>
    </row>
    <row r="2795" spans="1:44" hidden="1">
      <c r="A2795" s="1" t="s">
        <v>3003</v>
      </c>
      <c r="C2795" s="1">
        <v>1</v>
      </c>
      <c r="D2795" s="1" t="str">
        <f>"01212"</f>
        <v>01212</v>
      </c>
      <c r="E2795" s="1" t="s">
        <v>250</v>
      </c>
      <c r="F2795" s="1">
        <v>17</v>
      </c>
      <c r="G2795" s="1">
        <v>13</v>
      </c>
      <c r="H2795" s="1">
        <v>2</v>
      </c>
      <c r="I2795" s="1" t="s">
        <v>3046</v>
      </c>
      <c r="K2795" s="1" t="str">
        <f t="shared" si="179"/>
        <v>ㄇ</v>
      </c>
      <c r="L2795" s="1" t="str">
        <f t="shared" si="180"/>
        <v>ㄡ</v>
      </c>
      <c r="N2795" s="3" t="s">
        <v>30574</v>
      </c>
      <c r="O2795" s="3"/>
      <c r="P2795" s="1" t="s">
        <v>110</v>
      </c>
      <c r="R2795" s="1" t="s">
        <v>3047</v>
      </c>
      <c r="V2795" s="1" t="s">
        <v>111</v>
      </c>
      <c r="W2795" s="1" t="s">
        <v>3052</v>
      </c>
      <c r="AR2795" s="1" t="str">
        <f t="shared" si="178"/>
        <v>| [ㄇㄡˋ](ㄇㄡˋ.md) | [懋](懋.md) |  | mòu | (一)之又音。 |</v>
      </c>
    </row>
    <row r="2796" spans="1:44" hidden="1">
      <c r="A2796" s="1" t="s">
        <v>3006</v>
      </c>
      <c r="C2796" s="1">
        <v>1</v>
      </c>
      <c r="D2796" s="1" t="str">
        <f>"01213"</f>
        <v>01213</v>
      </c>
      <c r="E2796" s="1" t="s">
        <v>505</v>
      </c>
      <c r="F2796" s="1">
        <v>12</v>
      </c>
      <c r="G2796" s="1">
        <v>5</v>
      </c>
      <c r="H2796" s="1">
        <v>2</v>
      </c>
      <c r="I2796" s="1" t="s">
        <v>3046</v>
      </c>
      <c r="K2796" s="1" t="str">
        <f t="shared" si="179"/>
        <v>ㄇ</v>
      </c>
      <c r="L2796" s="1" t="str">
        <f t="shared" si="180"/>
        <v>ㄡ</v>
      </c>
      <c r="N2796" s="3" t="s">
        <v>30574</v>
      </c>
      <c r="O2796" s="3"/>
      <c r="P2796" s="1" t="s">
        <v>110</v>
      </c>
      <c r="R2796" s="1" t="s">
        <v>3047</v>
      </c>
      <c r="V2796" s="1" t="s">
        <v>111</v>
      </c>
      <c r="W2796" s="1" t="s">
        <v>3053</v>
      </c>
      <c r="AR2796" s="1" t="str">
        <f t="shared" si="178"/>
        <v>| [ㄇㄡˋ](ㄇㄡˋ.md) | [貿](貿.md) |  | mòu | (一)之又音。 |</v>
      </c>
    </row>
    <row r="2797" spans="1:44" hidden="1">
      <c r="A2797" s="1" t="s">
        <v>3013</v>
      </c>
      <c r="C2797" s="1">
        <v>1</v>
      </c>
      <c r="D2797" s="1" t="str">
        <f>"01194"</f>
        <v>01194</v>
      </c>
      <c r="E2797" s="1" t="s">
        <v>518</v>
      </c>
      <c r="F2797" s="1">
        <v>6</v>
      </c>
      <c r="G2797" s="1">
        <v>2</v>
      </c>
      <c r="H2797" s="1">
        <v>0</v>
      </c>
      <c r="I2797" s="1" t="s">
        <v>3014</v>
      </c>
      <c r="K2797" s="1" t="str">
        <f t="shared" si="179"/>
        <v>ㄇ</v>
      </c>
      <c r="L2797" s="1" t="str">
        <f t="shared" si="180"/>
        <v>ㄡ</v>
      </c>
      <c r="N2797" s="3" t="s">
        <v>30575</v>
      </c>
      <c r="O2797" s="3"/>
      <c r="P2797" s="1" t="s">
        <v>20</v>
      </c>
      <c r="R2797" s="1" t="s">
        <v>3015</v>
      </c>
      <c r="V2797" s="1" t="s">
        <v>3016</v>
      </c>
      <c r="AR2797" s="1" t="str">
        <f t="shared" si="178"/>
        <v>| [ㄇㄡˊ](ㄇㄡˊ.md) | [牟](牟.md) |  | móu | [形]
1.形容牛叫聲。《說文解字．牛部》：「牟，牛鳴也。」唐．韓愈、孟郊〈征蜀聯句〉：「椎肥牛呼牟。」
2.大。《呂氏春秋．有始覽．謹聽》：「賢者之道，牟而難知，妙而難見。」
[動]
1.獲取。如：「牟取」、「牟利」。《史記．卷二八．平準書》：「富商大賈無所牟大利。則反本。」
2.齊等。通「侔」。《漢書．卷五七．司馬相如傳下》：「德牟往初，功無與二。」
[名]
1.大麥。通「麰」。《詩經．周頌．思文》：「貽我來牟，帝命率育。」
2.姓。如宋代有牟景先。 |</v>
      </c>
    </row>
    <row r="2798" spans="1:44" hidden="1">
      <c r="A2798" s="1" t="s">
        <v>3017</v>
      </c>
      <c r="C2798" s="1">
        <v>1</v>
      </c>
      <c r="D2798" s="1" t="str">
        <f>"01195"</f>
        <v>01195</v>
      </c>
      <c r="E2798" s="1" t="s">
        <v>114</v>
      </c>
      <c r="F2798" s="1">
        <v>8</v>
      </c>
      <c r="G2798" s="1">
        <v>6</v>
      </c>
      <c r="H2798" s="1">
        <v>0</v>
      </c>
      <c r="I2798" s="1" t="s">
        <v>3014</v>
      </c>
      <c r="K2798" s="1" t="str">
        <f t="shared" ref="K2798:K2829" si="181">LEFT(I2798, 1)</f>
        <v>ㄇ</v>
      </c>
      <c r="L2798" s="1" t="str">
        <f t="shared" ref="L2798:L2829" si="182">MID(I2798, 2, 1)</f>
        <v>ㄡ</v>
      </c>
      <c r="N2798" s="3" t="s">
        <v>30575</v>
      </c>
      <c r="O2798" s="3"/>
      <c r="P2798" s="1" t="s">
        <v>20</v>
      </c>
      <c r="R2798" s="1" t="s">
        <v>3015</v>
      </c>
      <c r="V2798" s="1" t="s">
        <v>3018</v>
      </c>
      <c r="AR2798" s="1" t="str">
        <f t="shared" si="178"/>
        <v>| [ㄇㄡˊ](ㄇㄡˊ.md) | [侔](侔.md) |  | móu | [動]
1.相等。《文選．任昉．王文憲集序》：「一言之譽，東陵侔於西山。」唐．陳鴻《長恨傳》：「姊妹封國夫人，富埒王宮，車服邸第，與大長公主侔矣。」
2.獲取。同「牟」。《韓非子．五蠹》：「蓄積待時而侔農夫之利。」 |</v>
      </c>
    </row>
    <row r="2799" spans="1:44" hidden="1">
      <c r="A2799" s="1" t="s">
        <v>3019</v>
      </c>
      <c r="C2799" s="1">
        <v>1</v>
      </c>
      <c r="D2799" s="1" t="str">
        <f>"01196"</f>
        <v>01196</v>
      </c>
      <c r="E2799" s="1" t="s">
        <v>1015</v>
      </c>
      <c r="F2799" s="1">
        <v>11</v>
      </c>
      <c r="G2799" s="1">
        <v>6</v>
      </c>
      <c r="H2799" s="1">
        <v>0</v>
      </c>
      <c r="I2799" s="1" t="s">
        <v>3014</v>
      </c>
      <c r="K2799" s="1" t="str">
        <f t="shared" si="181"/>
        <v>ㄇ</v>
      </c>
      <c r="L2799" s="1" t="str">
        <f t="shared" si="182"/>
        <v>ㄡ</v>
      </c>
      <c r="N2799" s="3" t="s">
        <v>30575</v>
      </c>
      <c r="O2799" s="3"/>
      <c r="P2799" s="1" t="s">
        <v>20</v>
      </c>
      <c r="R2799" s="1" t="s">
        <v>3015</v>
      </c>
      <c r="V2799" s="1" t="s">
        <v>3020</v>
      </c>
      <c r="AR2799" s="1" t="str">
        <f t="shared" si="178"/>
        <v>| [ㄇㄡˊ](ㄇㄡˊ.md) | [眸](眸.md) |  | móu | [名]
1.眼珠，眼睛裡的瞳仁。如：「眼眸」。宋．李清照〈鳳凰臺上憶吹簫．香冷金猊〉詞：「記取樓前綠水，應念我、終日凝眸。」
2.眼睛。如：「明眸皓齒」。 |</v>
      </c>
    </row>
    <row r="2800" spans="1:44" hidden="1">
      <c r="A2800" s="1" t="s">
        <v>3021</v>
      </c>
      <c r="C2800" s="1">
        <v>1</v>
      </c>
      <c r="D2800" s="1" t="str">
        <f>"01197"</f>
        <v>01197</v>
      </c>
      <c r="E2800" s="1" t="s">
        <v>679</v>
      </c>
      <c r="F2800" s="1">
        <v>12</v>
      </c>
      <c r="G2800" s="1">
        <v>6</v>
      </c>
      <c r="H2800" s="1">
        <v>0</v>
      </c>
      <c r="I2800" s="1" t="s">
        <v>3014</v>
      </c>
      <c r="K2800" s="1" t="str">
        <f t="shared" si="181"/>
        <v>ㄇ</v>
      </c>
      <c r="L2800" s="1" t="str">
        <f t="shared" si="182"/>
        <v>ㄡ</v>
      </c>
      <c r="N2800" s="3" t="s">
        <v>30575</v>
      </c>
      <c r="O2800" s="3"/>
      <c r="P2800" s="1" t="s">
        <v>20</v>
      </c>
      <c r="R2800" s="1" t="s">
        <v>3015</v>
      </c>
      <c r="V2800" s="1" t="s">
        <v>3022</v>
      </c>
      <c r="AR2800" s="1" t="str">
        <f t="shared" si="178"/>
        <v>| [ㄇㄡˊ](ㄇㄡˊ.md) | [蛑](蛑.md) |  | móu | [名]
1.吃禾苗的害蟲。唐．柳宗元〈遊南亭夜還敘志七十韻〉：「螟蛑願親燎，茶菫甘自薅。」今作「蟊」。
2.參見「蝤蛑」條。 |</v>
      </c>
    </row>
    <row r="2801" spans="1:44" hidden="1">
      <c r="A2801" s="1" t="s">
        <v>3023</v>
      </c>
      <c r="C2801" s="1">
        <v>1</v>
      </c>
      <c r="D2801" s="1" t="str">
        <f>"01198"</f>
        <v>01198</v>
      </c>
      <c r="E2801" s="1" t="s">
        <v>2743</v>
      </c>
      <c r="F2801" s="1">
        <v>17</v>
      </c>
      <c r="G2801" s="1">
        <v>6</v>
      </c>
      <c r="H2801" s="1">
        <v>0</v>
      </c>
      <c r="I2801" s="1" t="s">
        <v>3014</v>
      </c>
      <c r="K2801" s="1" t="str">
        <f t="shared" si="181"/>
        <v>ㄇ</v>
      </c>
      <c r="L2801" s="1" t="str">
        <f t="shared" si="182"/>
        <v>ㄡ</v>
      </c>
      <c r="N2801" s="3" t="s">
        <v>30575</v>
      </c>
      <c r="O2801" s="3"/>
      <c r="P2801" s="1" t="s">
        <v>20</v>
      </c>
      <c r="R2801" s="1" t="s">
        <v>3015</v>
      </c>
      <c r="V2801" s="1" t="s">
        <v>3024</v>
      </c>
      <c r="AR2801" s="1" t="str">
        <f t="shared" si="178"/>
        <v>| [ㄇㄡˊ](ㄇㄡˊ.md) | [麰](麰.md) |  | móu | [名]
大麥。《孟子．告子上》：「今夫麰麥，播種而耰之。」 |</v>
      </c>
    </row>
    <row r="2802" spans="1:44" hidden="1">
      <c r="A2802" s="1" t="s">
        <v>3025</v>
      </c>
      <c r="C2802" s="1">
        <v>1</v>
      </c>
      <c r="D2802" s="1" t="str">
        <f>"01199"</f>
        <v>01199</v>
      </c>
      <c r="E2802" s="1" t="s">
        <v>272</v>
      </c>
      <c r="F2802" s="1">
        <v>17</v>
      </c>
      <c r="G2802" s="1">
        <v>6</v>
      </c>
      <c r="H2802" s="1">
        <v>0</v>
      </c>
      <c r="I2802" s="1" t="s">
        <v>3014</v>
      </c>
      <c r="K2802" s="1" t="str">
        <f t="shared" si="181"/>
        <v>ㄇ</v>
      </c>
      <c r="L2802" s="1" t="str">
        <f t="shared" si="182"/>
        <v>ㄡ</v>
      </c>
      <c r="N2802" s="3" t="s">
        <v>30575</v>
      </c>
      <c r="O2802" s="3"/>
      <c r="P2802" s="1" t="s">
        <v>20</v>
      </c>
      <c r="R2802" s="1" t="s">
        <v>3015</v>
      </c>
      <c r="V2802" s="1" t="s">
        <v>3026</v>
      </c>
      <c r="AR2802" s="1" t="str">
        <f t="shared" si="178"/>
        <v>| [ㄇㄡˊ](ㄇㄡˊ.md) | [鴾](鴾.md) |  | móu | [名]
參見「鴾母」條。 |</v>
      </c>
    </row>
    <row r="2803" spans="1:44" hidden="1">
      <c r="A2803" s="1" t="s">
        <v>2937</v>
      </c>
      <c r="C2803" s="1">
        <v>1</v>
      </c>
      <c r="D2803" s="1" t="str">
        <f>"01200"</f>
        <v>01200</v>
      </c>
      <c r="E2803" s="1" t="s">
        <v>132</v>
      </c>
      <c r="F2803" s="1">
        <v>12</v>
      </c>
      <c r="G2803" s="1">
        <v>9</v>
      </c>
      <c r="H2803" s="1">
        <v>2</v>
      </c>
      <c r="I2803" s="1" t="s">
        <v>3014</v>
      </c>
      <c r="K2803" s="1" t="str">
        <f t="shared" si="181"/>
        <v>ㄇ</v>
      </c>
      <c r="L2803" s="1" t="str">
        <f t="shared" si="182"/>
        <v>ㄡ</v>
      </c>
      <c r="N2803" s="3" t="s">
        <v>30575</v>
      </c>
      <c r="O2803" s="3"/>
      <c r="P2803" s="1" t="s">
        <v>20</v>
      </c>
      <c r="R2803" s="1" t="s">
        <v>3015</v>
      </c>
      <c r="V2803" s="1" t="s">
        <v>3027</v>
      </c>
      <c r="W2803" s="1" t="s">
        <v>3028</v>
      </c>
      <c r="AR2803" s="1" t="str">
        <f t="shared" si="178"/>
        <v>| [ㄇㄡˊ](ㄇㄡˊ.md) | [堥](堥.md) |  | móu | [名]
1.土製的鍋。《禮記．內則》「非餕莫之敢飲食」句下唐．孔穎達．正義：「堥，土釜也。今以木為器，象土釜之形。」
2.瓦壺。《周禮．天官．瘍醫》「凡療瘍以五毒攻之」句下漢．鄭玄．注：「有五毒之藥，作之合黃堥。」唐．賈公彥．疏：「今時合和丹藥者，皆用黃瓦缶為之，亦名黃堥。」 |</v>
      </c>
    </row>
    <row r="2804" spans="1:44" hidden="1">
      <c r="A2804" s="1" t="s">
        <v>3029</v>
      </c>
      <c r="C2804" s="1">
        <v>1</v>
      </c>
      <c r="D2804" s="1" t="str">
        <f>"01201"</f>
        <v>01201</v>
      </c>
      <c r="E2804" s="1" t="s">
        <v>55</v>
      </c>
      <c r="F2804" s="1">
        <v>17</v>
      </c>
      <c r="G2804" s="1">
        <v>9</v>
      </c>
      <c r="H2804" s="1">
        <v>0</v>
      </c>
      <c r="I2804" s="1" t="s">
        <v>3014</v>
      </c>
      <c r="K2804" s="1" t="str">
        <f t="shared" si="181"/>
        <v>ㄇ</v>
      </c>
      <c r="L2804" s="1" t="str">
        <f t="shared" si="182"/>
        <v>ㄡ</v>
      </c>
      <c r="N2804" s="3" t="s">
        <v>30575</v>
      </c>
      <c r="O2804" s="3"/>
      <c r="P2804" s="1" t="s">
        <v>20</v>
      </c>
      <c r="R2804" s="1" t="s">
        <v>3015</v>
      </c>
      <c r="V2804" s="1" t="s">
        <v>3030</v>
      </c>
      <c r="AR2804" s="1" t="str">
        <f t="shared" si="178"/>
        <v>| [ㄇㄡˊ](ㄇㄡˊ.md) | [鍪](鍪.md) |  | móu | [名]
1.古代的一種炊具。清．王念孫《廣雅疏證．卷七下．釋器》：「鍪，釜也。」
2.古代士兵所戴的頭盔。《戰國策．韓策一》：「甲、盾、鞮、鍪、鐵幕、……，無不畢具。」 |</v>
      </c>
    </row>
    <row r="2805" spans="1:44" hidden="1">
      <c r="A2805" s="1" t="s">
        <v>3031</v>
      </c>
      <c r="C2805" s="1">
        <v>1</v>
      </c>
      <c r="D2805" s="1" t="str">
        <f>"01202"</f>
        <v>01202</v>
      </c>
      <c r="E2805" s="1" t="s">
        <v>96</v>
      </c>
      <c r="F2805" s="1">
        <v>18</v>
      </c>
      <c r="G2805" s="1">
        <v>9</v>
      </c>
      <c r="H2805" s="1">
        <v>0</v>
      </c>
      <c r="I2805" s="1" t="s">
        <v>3014</v>
      </c>
      <c r="K2805" s="1" t="str">
        <f t="shared" si="181"/>
        <v>ㄇ</v>
      </c>
      <c r="L2805" s="1" t="str">
        <f t="shared" si="182"/>
        <v>ㄡ</v>
      </c>
      <c r="N2805" s="3" t="s">
        <v>30575</v>
      </c>
      <c r="O2805" s="3"/>
      <c r="P2805" s="1" t="s">
        <v>20</v>
      </c>
      <c r="R2805" s="1" t="s">
        <v>3015</v>
      </c>
      <c r="V2805" s="1" t="s">
        <v>3032</v>
      </c>
      <c r="AR2805" s="1" t="str">
        <f t="shared" si="178"/>
        <v>| [ㄇㄡˊ](ㄇㄡˊ.md) | [鞪](鞪.md) |  | móu | [名]
頭盔。《漢書．卷七六．韓延壽傳》：「令騎士兵車四面營陳，被甲鞮鞪居馬上，抱弩負籣。」 |</v>
      </c>
    </row>
    <row r="2806" spans="1:44" hidden="1">
      <c r="A2806" s="1" t="s">
        <v>3033</v>
      </c>
      <c r="C2806" s="1">
        <v>1</v>
      </c>
      <c r="D2806" s="1" t="str">
        <f>"01203"</f>
        <v>01203</v>
      </c>
      <c r="E2806" s="1" t="s">
        <v>331</v>
      </c>
      <c r="F2806" s="1">
        <v>16</v>
      </c>
      <c r="G2806" s="1">
        <v>9</v>
      </c>
      <c r="H2806" s="1">
        <v>0</v>
      </c>
      <c r="I2806" s="1" t="s">
        <v>3014</v>
      </c>
      <c r="K2806" s="1" t="str">
        <f t="shared" si="181"/>
        <v>ㄇ</v>
      </c>
      <c r="L2806" s="1" t="str">
        <f t="shared" si="182"/>
        <v>ㄡ</v>
      </c>
      <c r="N2806" s="3" t="s">
        <v>30575</v>
      </c>
      <c r="O2806" s="3"/>
      <c r="P2806" s="1" t="s">
        <v>20</v>
      </c>
      <c r="R2806" s="1" t="s">
        <v>3015</v>
      </c>
      <c r="V2806" s="1" t="s">
        <v>3034</v>
      </c>
      <c r="AR2806" s="1" t="str">
        <f t="shared" si="178"/>
        <v>| [ㄇㄡˊ](ㄇㄡˊ.md) | [謀](謀.md) |  | móu | [動]
1.籌劃、計議、商議。如：「謀劃」、「圖謀」、「不謀而合」。《左傳．隱公九年》：「冬，公會齊侯于防，謀伐宋也。」
2.營求。如：「謀生」、「謀職」。《論語．衛靈公》：「君子謀道不謀食。」三國魏．曹植〈鰕䱇篇〉：「俯觀上路人，勢利惟是謀。」
3.暗中算計、陷害。《論語．季氏》：「而謀動干戈於邦內。」《水滸傳》第四一回：「我又不與你有殺父之讎，你如何定要謀我？」
[名]
計策、策略。如：「陰謀」、「計謀」、「有勇無謀」、「足智多謀」。《書經．大禹謨》：「無稽之言勿聽，弗詢之謀勿庸。」《論語．衛靈公》：「巧言亂德，小不忍則亂大謀。」
[形]
有策略的。如：「謀士」、「謀臣」。 |</v>
      </c>
    </row>
    <row r="2807" spans="1:44" hidden="1">
      <c r="A2807" s="1" t="s">
        <v>3035</v>
      </c>
      <c r="C2807" s="1">
        <v>1</v>
      </c>
      <c r="D2807" s="1" t="str">
        <f>"01204"</f>
        <v>01204</v>
      </c>
      <c r="E2807" s="1" t="s">
        <v>725</v>
      </c>
      <c r="F2807" s="1">
        <v>17</v>
      </c>
      <c r="G2807" s="1">
        <v>11</v>
      </c>
      <c r="H2807" s="1">
        <v>1</v>
      </c>
      <c r="I2807" s="1" t="s">
        <v>3014</v>
      </c>
      <c r="K2807" s="1" t="str">
        <f t="shared" si="181"/>
        <v>ㄇ</v>
      </c>
      <c r="L2807" s="1" t="str">
        <f t="shared" si="182"/>
        <v>ㄡ</v>
      </c>
      <c r="N2807" s="3" t="s">
        <v>30575</v>
      </c>
      <c r="O2807" s="3"/>
      <c r="P2807" s="1" t="s">
        <v>20</v>
      </c>
      <c r="R2807" s="1" t="s">
        <v>3015</v>
      </c>
      <c r="V2807" s="1" t="s">
        <v>3036</v>
      </c>
      <c r="W2807" s="1" t="s">
        <v>3037</v>
      </c>
      <c r="AR2807" s="1" t="str">
        <f t="shared" si="178"/>
        <v>| [ㄇㄡˊ](ㄇㄡˊ.md) | [繆](繆.md) |  | móu | [動]
1.固結。《莊子．庚桑楚》：「內韄者不可繆而捉。」
2.參見「綢繆」條。 |</v>
      </c>
    </row>
    <row r="2808" spans="1:44" hidden="1">
      <c r="A2808" s="1" t="s">
        <v>3038</v>
      </c>
      <c r="C2808" s="1">
        <v>1</v>
      </c>
      <c r="D2808" s="1" t="str">
        <f>"01205"</f>
        <v>01205</v>
      </c>
      <c r="E2808" s="1" t="s">
        <v>518</v>
      </c>
      <c r="F2808" s="1">
        <v>7</v>
      </c>
      <c r="G2808" s="1">
        <v>3</v>
      </c>
      <c r="H2808" s="1">
        <v>2</v>
      </c>
      <c r="I2808" s="1" t="s">
        <v>3039</v>
      </c>
      <c r="K2808" s="1" t="str">
        <f t="shared" si="181"/>
        <v>ㄇ</v>
      </c>
      <c r="L2808" s="1" t="str">
        <f t="shared" si="182"/>
        <v>ㄡ</v>
      </c>
      <c r="N2808" s="3" t="s">
        <v>30576</v>
      </c>
      <c r="O2808" s="3"/>
      <c r="P2808" s="1" t="s">
        <v>110</v>
      </c>
      <c r="R2808" s="1" t="s">
        <v>3040</v>
      </c>
      <c r="V2808" s="1" t="s">
        <v>111</v>
      </c>
      <c r="W2808" s="1" t="s">
        <v>3041</v>
      </c>
      <c r="AR2808" s="1" t="str">
        <f t="shared" si="178"/>
        <v>| [ㄇㄡˇ](ㄇㄡˇ.md) | [牡](牡.md) |  | mǒu | (一)之又音。 |</v>
      </c>
    </row>
    <row r="2809" spans="1:44" hidden="1">
      <c r="A2809" s="1" t="s">
        <v>3042</v>
      </c>
      <c r="C2809" s="1">
        <v>1</v>
      </c>
      <c r="D2809" s="1" t="str">
        <f>"01206"</f>
        <v>01206</v>
      </c>
      <c r="E2809" s="1" t="s">
        <v>139</v>
      </c>
      <c r="F2809" s="1">
        <v>9</v>
      </c>
      <c r="G2809" s="1">
        <v>5</v>
      </c>
      <c r="H2809" s="1">
        <v>0</v>
      </c>
      <c r="I2809" s="1" t="s">
        <v>3039</v>
      </c>
      <c r="K2809" s="1" t="str">
        <f t="shared" si="181"/>
        <v>ㄇ</v>
      </c>
      <c r="L2809" s="1" t="str">
        <f t="shared" si="182"/>
        <v>ㄡ</v>
      </c>
      <c r="N2809" s="3" t="s">
        <v>30576</v>
      </c>
      <c r="O2809" s="3"/>
      <c r="P2809" s="1" t="s">
        <v>20</v>
      </c>
      <c r="R2809" s="1" t="s">
        <v>3040</v>
      </c>
      <c r="V2809" s="1" t="s">
        <v>3043</v>
      </c>
      <c r="AR2809" s="1" t="str">
        <f t="shared" si="178"/>
        <v>| [ㄇㄡˇ](ㄇㄡˇ.md) | [某](某.md) |  | mǒu | [代]
1.不指名的人或事物的代稱。如：「某甲」、「某人」。《文選．顏延之．陶徵士誄》：「元嘉四年月日，卒于尋陽縣之某里。」《文選．任昉．宣德皇后令》：「今遣某位某某甲等，率茲百辟人致其誠。」
2.我，自稱之詞。《三國演義》第七回：「某雖不才，願請軍出城，以決一戰。」《警世通言．卷三二．杜十娘怒沉百寶箱》：「某相遇之初，每聞絕調，輒不禁神魂之飛動。」 |</v>
      </c>
    </row>
    <row r="2810" spans="1:44" hidden="1">
      <c r="A2810" s="1" t="s">
        <v>3044</v>
      </c>
      <c r="C2810" s="1">
        <v>1</v>
      </c>
      <c r="D2810" s="1" t="str">
        <f>"01207"</f>
        <v>01207</v>
      </c>
      <c r="E2810" s="1" t="s">
        <v>753</v>
      </c>
      <c r="F2810" s="1">
        <v>10</v>
      </c>
      <c r="G2810" s="1">
        <v>5</v>
      </c>
      <c r="H2810" s="1">
        <v>2</v>
      </c>
      <c r="I2810" s="1" t="s">
        <v>3039</v>
      </c>
      <c r="K2810" s="1" t="str">
        <f t="shared" si="181"/>
        <v>ㄇ</v>
      </c>
      <c r="L2810" s="1" t="str">
        <f t="shared" si="182"/>
        <v>ㄡ</v>
      </c>
      <c r="N2810" s="3" t="s">
        <v>30576</v>
      </c>
      <c r="O2810" s="3"/>
      <c r="P2810" s="1" t="s">
        <v>110</v>
      </c>
      <c r="R2810" s="1" t="s">
        <v>3040</v>
      </c>
      <c r="V2810" s="1" t="s">
        <v>111</v>
      </c>
      <c r="W2810" s="1" t="s">
        <v>3045</v>
      </c>
      <c r="AR2810" s="1" t="str">
        <f t="shared" si="178"/>
        <v>| [ㄇㄡˇ](ㄇㄡˇ.md) | [畝](畝.md) |  | mǒu | (一)之又音。 |</v>
      </c>
    </row>
    <row r="2811" spans="1:44" hidden="1">
      <c r="A2811" s="1" t="s">
        <v>3107</v>
      </c>
      <c r="C2811" s="1">
        <v>1</v>
      </c>
      <c r="D2811" s="1" t="str">
        <f>"01235"</f>
        <v>01235</v>
      </c>
      <c r="E2811" s="1" t="s">
        <v>1880</v>
      </c>
      <c r="F2811" s="1">
        <v>11</v>
      </c>
      <c r="G2811" s="1">
        <v>9</v>
      </c>
      <c r="H2811" s="1">
        <v>1</v>
      </c>
      <c r="I2811" s="1" t="s">
        <v>3108</v>
      </c>
      <c r="K2811" s="1" t="str">
        <f t="shared" si="181"/>
        <v>ㄇ</v>
      </c>
      <c r="L2811" s="1" t="str">
        <f t="shared" si="182"/>
        <v>ㄢ</v>
      </c>
      <c r="N2811" s="3" t="s">
        <v>30574</v>
      </c>
      <c r="O2811" s="3"/>
      <c r="P2811" s="1" t="s">
        <v>20</v>
      </c>
      <c r="R2811" s="1" t="s">
        <v>3109</v>
      </c>
      <c r="V2811" s="1" t="s">
        <v>3110</v>
      </c>
      <c r="W2811" s="1" t="s">
        <v>3111</v>
      </c>
      <c r="AR2811" s="1" t="str">
        <f t="shared" si="178"/>
        <v>| [ㄇㄢˋ](ㄇㄢˋ.md) | [曼](曼.md) |  | màn | [動]
1.延長。《漢書．卷二二．禮樂志》：「德施大，世曼壽。」
2.張、展。《楚辭．屈原．九章．哀郢》：「曼余目以流觀兮，冀壹反之何時？」
[形]
1.長。《淮南子．氾論》：「侯同曼聲之歌，憤於志，積於內，盈而發音。」《文選．王襃．四子講德論》：「但懸曼矰，蒲苴不能以射。」
2.美、柔美。如：「妙歌曼舞」。《漢書．卷五七．司馬相如傳上》：「鄭女曼姬，被阿錫，揄紵縞。」
[名]
姓。如漢代有曼滿。 |</v>
      </c>
    </row>
    <row r="2812" spans="1:44" hidden="1">
      <c r="A2812" s="1" t="s">
        <v>3112</v>
      </c>
      <c r="C2812" s="1">
        <v>1</v>
      </c>
      <c r="D2812" s="1" t="str">
        <f>"01236"</f>
        <v>01236</v>
      </c>
      <c r="E2812" s="1" t="s">
        <v>114</v>
      </c>
      <c r="F2812" s="1">
        <v>13</v>
      </c>
      <c r="G2812" s="1">
        <v>11</v>
      </c>
      <c r="H2812" s="1">
        <v>0</v>
      </c>
      <c r="I2812" s="1" t="s">
        <v>3108</v>
      </c>
      <c r="K2812" s="1" t="str">
        <f t="shared" si="181"/>
        <v>ㄇ</v>
      </c>
      <c r="L2812" s="1" t="str">
        <f t="shared" si="182"/>
        <v>ㄢ</v>
      </c>
      <c r="N2812" s="3" t="s">
        <v>30574</v>
      </c>
      <c r="O2812" s="3"/>
      <c r="P2812" s="1" t="s">
        <v>20</v>
      </c>
      <c r="R2812" s="1" t="s">
        <v>3109</v>
      </c>
      <c r="V2812" s="1" t="s">
        <v>3113</v>
      </c>
      <c r="AR2812" s="1" t="str">
        <f t="shared" si="178"/>
        <v>| [ㄇㄢˋ](ㄇㄢˋ.md) | [僈](僈.md) |  | màn | [動]
輕視怠慢。《韓非子．難三》：「廣廷嚴居，眾人之所肅也，晏室獨處，曾史之所僈也。」
[形]
怠惰。《荀子．不苟》：「君子寬而不僈。」 |</v>
      </c>
    </row>
    <row r="2813" spans="1:44" hidden="1">
      <c r="A2813" s="1" t="s">
        <v>3072</v>
      </c>
      <c r="C2813" s="1">
        <v>1</v>
      </c>
      <c r="D2813" s="1" t="str">
        <f>"01237"</f>
        <v>01237</v>
      </c>
      <c r="E2813" s="1" t="s">
        <v>129</v>
      </c>
      <c r="F2813" s="1">
        <v>14</v>
      </c>
      <c r="G2813" s="1">
        <v>11</v>
      </c>
      <c r="H2813" s="1">
        <v>1</v>
      </c>
      <c r="I2813" s="1" t="s">
        <v>3108</v>
      </c>
      <c r="K2813" s="1" t="str">
        <f t="shared" si="181"/>
        <v>ㄇ</v>
      </c>
      <c r="L2813" s="1" t="str">
        <f t="shared" si="182"/>
        <v>ㄢ</v>
      </c>
      <c r="N2813" s="3" t="s">
        <v>30574</v>
      </c>
      <c r="O2813" s="3"/>
      <c r="P2813" s="1" t="s">
        <v>20</v>
      </c>
      <c r="R2813" s="1" t="s">
        <v>3109</v>
      </c>
      <c r="V2813" s="1" t="s">
        <v>3114</v>
      </c>
      <c r="W2813" s="1" t="s">
        <v>3115</v>
      </c>
      <c r="AR2813" s="1" t="str">
        <f t="shared" si="178"/>
        <v>| [ㄇㄢˋ](ㄇㄢˋ.md) | [漫](漫.md) |  | màn | [動]_x000D_
1.水滿而外溢。《新唐書．卷一七六．列傳．張籍》：「其流波漫。」_x000D_
2.蒙、覆蓋。宋．洪邁《夷堅乙志．卷三．混沌燈》：「令其僕買大竹作燈毬，漫以黑紙，挂于几桉之側。」_x000D_
[形]_x000D_
1.遍布的、充滿的。如：「漫山遍野」、「漫天大霧」。_x000D_
2.放縱不加拘束。如：「浪漫」、「散漫」、「漫不經心」。《明史．卷二一二．戚繼光列傳》：「諸鎮入衛之兵，嫌非統屬，漫無紀律。」_x000D_
3.模糊不可辨認的樣子。宋．王安石〈遊褒禪山記〉：「有碑仆道，其文漫滅。」_x000D_
4.長、遠。如：「漫漫長夜」。《文選．古詩十九首．涉江采芙蓉》：「還顧望舊鄉，長路漫浩浩。」_x000D_
[副]_x000D_
1.徒、空、枉。唐．杜甫〈有客〉詩：「漫勞車馬駐江干。」宋．陸游〈謝池春．壯歲從戎〉詞：「漫悲歌、傷懷弔古。」_x000D_
2.莫、不要。如：「漫說是他，就是你去也不成。」唐．張謂〈贈趙使君美人〉詩：「羅敷獨向東方去，漫學他家作使君。」_x000D_
3.隨便、胡亂。唐．杜甫〈聞官軍收河南河北〉詩：「卻看妻子愁何在？漫卷詩書喜欲狂。」《聊齋志異．卷二．蓮香》：「生疑其妒，漫應之。」 |</v>
      </c>
    </row>
    <row r="2814" spans="1:44" hidden="1">
      <c r="A2814" s="1" t="s">
        <v>3116</v>
      </c>
      <c r="C2814" s="1">
        <v>1</v>
      </c>
      <c r="D2814" s="1" t="str">
        <f>"01238"</f>
        <v>01238</v>
      </c>
      <c r="E2814" s="1" t="s">
        <v>250</v>
      </c>
      <c r="F2814" s="1">
        <v>14</v>
      </c>
      <c r="G2814" s="1">
        <v>11</v>
      </c>
      <c r="H2814" s="1">
        <v>0</v>
      </c>
      <c r="I2814" s="1" t="s">
        <v>3108</v>
      </c>
      <c r="K2814" s="1" t="str">
        <f t="shared" si="181"/>
        <v>ㄇ</v>
      </c>
      <c r="L2814" s="1" t="str">
        <f t="shared" si="182"/>
        <v>ㄢ</v>
      </c>
      <c r="N2814" s="3" t="s">
        <v>30574</v>
      </c>
      <c r="O2814" s="3"/>
      <c r="P2814" s="1" t="s">
        <v>20</v>
      </c>
      <c r="R2814" s="1" t="s">
        <v>3109</v>
      </c>
      <c r="V2814" s="1" t="s">
        <v>3117</v>
      </c>
      <c r="AR2814" s="1" t="str">
        <f t="shared" si="178"/>
        <v>| [ㄇㄢˋ](ㄇㄢˋ.md) | [慢](慢.md) |  | màn | [形]
1.怠惰。《說文解字．心部》：「慢，惰也。」
2.驕傲、不禮貌的。如：「傲慢」、「輕慢」、「侮慢」。
3.速度低、不快的。如：「慢車」、「動作很慢」。
[副]
1.遲緩的。如：「請慢走」。唐．白居易〈琵琶行〉：「輕攏慢撚抹復挑，初為霓裳後六么。」
2.從緩、稍緩。如：「且慢生氣，先聽聽他怎麼說。」、「慢點兒告訴他，過陣子再說吧！」
[動]
輕侮、輕視。《左傳．襄公三十一年》：「大官大邑，所以庇身也，我遠而慢之。」唐．韓愈〈答馮宿書〉：「雖不肖人至，未嘗敢以貌慢之。」
[名]
宋詞的體制。長調稱為「慢」，以調長聲緩得名。如聲聲慢、揚州慢、木蘭花慢等。 |</v>
      </c>
    </row>
    <row r="2815" spans="1:44" hidden="1">
      <c r="A2815" s="1" t="s">
        <v>3118</v>
      </c>
      <c r="C2815" s="1">
        <v>1</v>
      </c>
      <c r="D2815" s="1" t="str">
        <f>"01239"</f>
        <v>01239</v>
      </c>
      <c r="E2815" s="1" t="s">
        <v>132</v>
      </c>
      <c r="F2815" s="1">
        <v>14</v>
      </c>
      <c r="G2815" s="1">
        <v>11</v>
      </c>
      <c r="H2815" s="1">
        <v>0</v>
      </c>
      <c r="I2815" s="1" t="s">
        <v>3108</v>
      </c>
      <c r="K2815" s="1" t="str">
        <f t="shared" si="181"/>
        <v>ㄇ</v>
      </c>
      <c r="L2815" s="1" t="str">
        <f t="shared" si="182"/>
        <v>ㄢ</v>
      </c>
      <c r="N2815" s="3" t="s">
        <v>30574</v>
      </c>
      <c r="O2815" s="3"/>
      <c r="P2815" s="1" t="s">
        <v>20</v>
      </c>
      <c r="R2815" s="1" t="s">
        <v>3109</v>
      </c>
      <c r="V2815" s="1" t="s">
        <v>3119</v>
      </c>
      <c r="AR2815" s="1" t="str">
        <f t="shared" si="178"/>
        <v>| [ㄇㄢˋ](ㄇㄢˋ.md) | [墁](墁.md) |  | màn | [名]
1.塗刷牆壁的工具。唐．陸德明《經典釋文．卷二九．爾雅音義上中》：「鏝，又作墁。杇，李云：『泥鏝一名杇，塗工之作具。』」
2.壁上的塗飾。《孟子．滕文公下》：「毀瓦畫墁，其志將以求食也。」
[動]
用磚石鋪地。如：「墁地」。 |</v>
      </c>
    </row>
    <row r="2816" spans="1:44" hidden="1">
      <c r="A2816" s="1" t="s">
        <v>3120</v>
      </c>
      <c r="C2816" s="1">
        <v>1</v>
      </c>
      <c r="D2816" s="1" t="str">
        <f>"01240"</f>
        <v>01240</v>
      </c>
      <c r="E2816" s="1" t="s">
        <v>256</v>
      </c>
      <c r="F2816" s="1">
        <v>14</v>
      </c>
      <c r="G2816" s="1">
        <v>11</v>
      </c>
      <c r="H2816" s="1">
        <v>0</v>
      </c>
      <c r="I2816" s="1" t="s">
        <v>3108</v>
      </c>
      <c r="K2816" s="1" t="str">
        <f t="shared" si="181"/>
        <v>ㄇ</v>
      </c>
      <c r="L2816" s="1" t="str">
        <f t="shared" si="182"/>
        <v>ㄢ</v>
      </c>
      <c r="N2816" s="3" t="s">
        <v>30574</v>
      </c>
      <c r="O2816" s="3"/>
      <c r="P2816" s="1" t="s">
        <v>20</v>
      </c>
      <c r="R2816" s="1" t="s">
        <v>3109</v>
      </c>
      <c r="V2816" s="1" t="s">
        <v>3121</v>
      </c>
      <c r="AR2816" s="1" t="str">
        <f t="shared" si="178"/>
        <v>| [ㄇㄢˋ](ㄇㄢˋ.md) | [鄤](鄤.md) |  | màn | [名]
地名。春秋時鄭地，故地在今大陸地區河南省氾水縣境。 |</v>
      </c>
    </row>
    <row r="2817" spans="1:44" hidden="1">
      <c r="A2817" s="1" t="s">
        <v>3122</v>
      </c>
      <c r="C2817" s="1">
        <v>1</v>
      </c>
      <c r="D2817" s="1" t="str">
        <f>"01241"</f>
        <v>01241</v>
      </c>
      <c r="E2817" s="1" t="s">
        <v>222</v>
      </c>
      <c r="F2817" s="1">
        <v>14</v>
      </c>
      <c r="G2817" s="1">
        <v>11</v>
      </c>
      <c r="H2817" s="1">
        <v>0</v>
      </c>
      <c r="I2817" s="1" t="s">
        <v>3108</v>
      </c>
      <c r="K2817" s="1" t="str">
        <f t="shared" si="181"/>
        <v>ㄇ</v>
      </c>
      <c r="L2817" s="1" t="str">
        <f t="shared" si="182"/>
        <v>ㄢ</v>
      </c>
      <c r="N2817" s="3" t="s">
        <v>30574</v>
      </c>
      <c r="O2817" s="3"/>
      <c r="P2817" s="1" t="s">
        <v>20</v>
      </c>
      <c r="R2817" s="1" t="s">
        <v>3109</v>
      </c>
      <c r="V2817" s="1" t="s">
        <v>3123</v>
      </c>
      <c r="AR2817" s="1" t="str">
        <f t="shared" si="178"/>
        <v>| [ㄇㄢˋ](ㄇㄢˋ.md) | [幔](幔.md) |  | màn | [名]
1.布幕、帳幕。如：「窗幔」、「布幔」。《墨子．非攻下》：「幔幕惟蓋，三軍之用。」《紅樓夢》第二三回：「遣人進去各處收拾打掃，安設簾幔床帳。」
2.古代酒店的招牌。唐．薛能〈和楊中丞早春即事〉詩：「戍客烽樓迴，文君酒幔斜。」 |</v>
      </c>
    </row>
    <row r="2818" spans="1:44" hidden="1">
      <c r="A2818" s="1" t="s">
        <v>3124</v>
      </c>
      <c r="C2818" s="1">
        <v>1</v>
      </c>
      <c r="D2818" s="1" t="str">
        <f>"01242"</f>
        <v>01242</v>
      </c>
      <c r="E2818" s="1" t="s">
        <v>198</v>
      </c>
      <c r="F2818" s="1">
        <v>14</v>
      </c>
      <c r="G2818" s="1">
        <v>11</v>
      </c>
      <c r="H2818" s="1">
        <v>1</v>
      </c>
      <c r="I2818" s="1" t="s">
        <v>3108</v>
      </c>
      <c r="K2818" s="1" t="str">
        <f t="shared" si="181"/>
        <v>ㄇ</v>
      </c>
      <c r="L2818" s="1" t="str">
        <f t="shared" si="182"/>
        <v>ㄢ</v>
      </c>
      <c r="N2818" s="3" t="s">
        <v>30574</v>
      </c>
      <c r="O2818" s="3"/>
      <c r="P2818" s="1" t="s">
        <v>20</v>
      </c>
      <c r="R2818" s="1" t="s">
        <v>3109</v>
      </c>
      <c r="V2818" s="1" t="s">
        <v>3125</v>
      </c>
      <c r="W2818" s="1" t="s">
        <v>3126</v>
      </c>
      <c r="AR2818" s="1" t="str">
        <f t="shared" si="178"/>
        <v>| [ㄇㄢˋ](ㄇㄢˋ.md) | [獌](獌.md) |  | màn | [名]
古代的一種猛獸。《爾雅．釋獸》：「貙獌似貍。」唐．柳宗元〈酬韶州裴曹長使君寄道州呂八大使因以見示二十韻〉：「泥沙潛虺蜮，榛莽鬥豺獌。」 |</v>
      </c>
    </row>
    <row r="2819" spans="1:44" hidden="1">
      <c r="A2819" s="1" t="s">
        <v>3127</v>
      </c>
      <c r="C2819" s="1">
        <v>1</v>
      </c>
      <c r="D2819" s="1" t="str">
        <f>"01243"</f>
        <v>01243</v>
      </c>
      <c r="E2819" s="1" t="s">
        <v>534</v>
      </c>
      <c r="F2819" s="1">
        <v>14</v>
      </c>
      <c r="G2819" s="1">
        <v>11</v>
      </c>
      <c r="H2819" s="1">
        <v>0</v>
      </c>
      <c r="I2819" s="1" t="s">
        <v>3108</v>
      </c>
      <c r="K2819" s="1" t="str">
        <f t="shared" si="181"/>
        <v>ㄇ</v>
      </c>
      <c r="L2819" s="1" t="str">
        <f t="shared" si="182"/>
        <v>ㄢ</v>
      </c>
      <c r="N2819" s="3" t="s">
        <v>30574</v>
      </c>
      <c r="O2819" s="3"/>
      <c r="P2819" s="1" t="s">
        <v>20</v>
      </c>
      <c r="R2819" s="1" t="s">
        <v>3109</v>
      </c>
      <c r="V2819" s="1" t="s">
        <v>3128</v>
      </c>
      <c r="AR2819" s="1" t="str">
        <f t="shared" ref="AR2819:AR2882" si="183">"| ["&amp;I2819&amp;"]("&amp;I2819&amp;".md) | ["&amp;A2819&amp;"]("&amp;A2819&amp;".md) | "&amp;" | "&amp;R2819&amp;" | "&amp;V2819&amp;" |"</f>
        <v>| [ㄇㄢˋ](ㄇㄢˋ.md) | [嫚](嫚.md) |  | màn | [動]
輕視、侮辱。通「慢」。《左傳．昭公二十年》：「為暴君使也，其言僭嫚於鬼神。」《漢書．卷三七．季布傳》：「單于嘗為書嫚呂太后。」
[形]
1.傲慢無禮。通「慢」。《漢書．卷一．高帝紀下》：「陛下嫚而侮人。」《新五代史．卷四三．雜傳．氏叔琮傳》：「晉王遣使致書太祖求成，太祖以晉書詞嫚，乃遣叔琮與賀德倫等攻之。」
2.懈怠、怠惰。通「慢」。《淮南子．主術》：「是以器械不苦，而職事不嫚。」清．徐珂《清稗類鈔．奴婢類．張去瑕示飭約於諸僮》：「見諸僮惰嫚，輒歎曰：『此健僕不職，主幼也。』」 |</v>
      </c>
    </row>
    <row r="2820" spans="1:44" hidden="1">
      <c r="A2820" s="1" t="s">
        <v>3075</v>
      </c>
      <c r="C2820" s="1">
        <v>1</v>
      </c>
      <c r="D2820" s="1" t="str">
        <f>"01244"</f>
        <v>01244</v>
      </c>
      <c r="E2820" s="1" t="s">
        <v>37</v>
      </c>
      <c r="F2820" s="1">
        <v>15</v>
      </c>
      <c r="G2820" s="1">
        <v>11</v>
      </c>
      <c r="H2820" s="1">
        <v>1</v>
      </c>
      <c r="I2820" s="1" t="s">
        <v>3108</v>
      </c>
      <c r="K2820" s="1" t="str">
        <f t="shared" si="181"/>
        <v>ㄇ</v>
      </c>
      <c r="L2820" s="1" t="str">
        <f t="shared" si="182"/>
        <v>ㄢ</v>
      </c>
      <c r="N2820" s="3" t="s">
        <v>30574</v>
      </c>
      <c r="O2820" s="3"/>
      <c r="P2820" s="1" t="s">
        <v>20</v>
      </c>
      <c r="R2820" s="1" t="s">
        <v>3109</v>
      </c>
      <c r="V2820" s="1" t="s">
        <v>3129</v>
      </c>
      <c r="W2820" s="1" t="s">
        <v>3130</v>
      </c>
      <c r="AR2820" s="1" t="str">
        <f t="shared" si="183"/>
        <v>| [ㄇㄢˋ](ㄇㄢˋ.md) | [蔓](蔓.md) |  | màn | [名]
藤本或蔓性植物細長而能攀繞他物的莖。如：「藤蔓」。唐．孟郊〈亂離〉詩：「直松摧高柯，弱蔓將何依？」唐．柳宗元〈至小邱西小石潭記〉：「青樹翠蔓，蒙絡搖綴。」
[動]
延伸、滋長。如：「蔓延」。《左傳．隱公元年》：「無使滋蔓，蔓，難圖也。」 |</v>
      </c>
    </row>
    <row r="2821" spans="1:44" hidden="1">
      <c r="A2821" s="1" t="s">
        <v>3131</v>
      </c>
      <c r="C2821" s="1">
        <v>1</v>
      </c>
      <c r="D2821" s="1" t="str">
        <f>"01245"</f>
        <v>01245</v>
      </c>
      <c r="E2821" s="1" t="s">
        <v>725</v>
      </c>
      <c r="F2821" s="1">
        <v>17</v>
      </c>
      <c r="G2821" s="1">
        <v>11</v>
      </c>
      <c r="H2821" s="1">
        <v>0</v>
      </c>
      <c r="I2821" s="1" t="s">
        <v>3108</v>
      </c>
      <c r="K2821" s="1" t="str">
        <f t="shared" si="181"/>
        <v>ㄇ</v>
      </c>
      <c r="L2821" s="1" t="str">
        <f t="shared" si="182"/>
        <v>ㄢ</v>
      </c>
      <c r="N2821" s="3" t="s">
        <v>30574</v>
      </c>
      <c r="O2821" s="3"/>
      <c r="P2821" s="1" t="s">
        <v>20</v>
      </c>
      <c r="R2821" s="1" t="s">
        <v>3109</v>
      </c>
      <c r="V2821" s="1" t="s">
        <v>3132</v>
      </c>
      <c r="AR2821" s="1" t="str">
        <f t="shared" si="183"/>
        <v>| [ㄇㄢˋ](ㄇㄢˋ.md) | [縵](縵.md) |  | màn | [名]
1.沒有花紋圖案的絲綢。漢．董仲舒《春秋繁露．度制》：「庶人衣縵。」
2.沒有裝飾的車子。《國語．晉語五》：「乘縵、不舉，策於上帝。」三國吳．韋昭．注：「縵，車無文。」 |</v>
      </c>
    </row>
    <row r="2822" spans="1:44" hidden="1">
      <c r="A2822" s="1" t="s">
        <v>3078</v>
      </c>
      <c r="C2822" s="1">
        <v>1</v>
      </c>
      <c r="D2822" s="1" t="str">
        <f>"01246"</f>
        <v>01246</v>
      </c>
      <c r="E2822" s="1" t="s">
        <v>331</v>
      </c>
      <c r="F2822" s="1">
        <v>18</v>
      </c>
      <c r="G2822" s="1">
        <v>11</v>
      </c>
      <c r="H2822" s="1">
        <v>2</v>
      </c>
      <c r="I2822" s="1" t="s">
        <v>3108</v>
      </c>
      <c r="K2822" s="1" t="str">
        <f t="shared" si="181"/>
        <v>ㄇ</v>
      </c>
      <c r="L2822" s="1" t="str">
        <f t="shared" si="182"/>
        <v>ㄢ</v>
      </c>
      <c r="N2822" s="3" t="s">
        <v>30574</v>
      </c>
      <c r="O2822" s="3"/>
      <c r="P2822" s="1" t="s">
        <v>20</v>
      </c>
      <c r="R2822" s="1" t="s">
        <v>3109</v>
      </c>
      <c r="V2822" s="1" t="s">
        <v>3133</v>
      </c>
      <c r="W2822" s="1" t="s">
        <v>3134</v>
      </c>
      <c r="AR2822" s="1" t="str">
        <f t="shared" si="183"/>
        <v>| [ㄇㄢˋ](ㄇㄢˋ.md) | [謾](謾.md) |  | màn | [動]
侮慢。《漢書．卷八四．翟方進傳》：「不遵禮儀，輕謾宰相。」
[形]
1.傲慢。《漢書．卷五六．董仲舒傳》：「故桀紂暴謾，讒賊並進，賢知隱伏。」
2.猥褻淫亂。《漢書．卷九七．外戚傳下．孝成許皇后》：「長書有誖謾，發覺，天子使廷尉孔光持節賜廢后藥，自殺。」
[副]
1.空、徒。通「漫」。唐．戴叔倫〈過賈誼舊居〉詩：「謾有長書憂漢室，空將哀些弔沅湘。」宋．李清照〈漁家傲．天接雲濤連曉霧〉詞：「我報路長嗟日暮，學詩謾有驚人句。」
2.任意、隨便。通「漫」。唐．姚合〈送王求〉詩：「願君似醉腸，莫謾生憂慼。」宋．辛棄疾〈上西平．九衢中〉詞：「凍吟應笑，羔兒無分謾煎茶。」 |</v>
      </c>
    </row>
    <row r="2823" spans="1:44" hidden="1">
      <c r="A2823" s="1" t="s">
        <v>3135</v>
      </c>
      <c r="C2823" s="1">
        <v>1</v>
      </c>
      <c r="D2823" s="1" t="str">
        <f>"01247"</f>
        <v>01247</v>
      </c>
      <c r="E2823" s="1" t="s">
        <v>55</v>
      </c>
      <c r="F2823" s="1">
        <v>19</v>
      </c>
      <c r="G2823" s="1">
        <v>11</v>
      </c>
      <c r="H2823" s="1">
        <v>0</v>
      </c>
      <c r="I2823" s="1" t="s">
        <v>3108</v>
      </c>
      <c r="K2823" s="1" t="str">
        <f t="shared" si="181"/>
        <v>ㄇ</v>
      </c>
      <c r="L2823" s="1" t="str">
        <f t="shared" si="182"/>
        <v>ㄢ</v>
      </c>
      <c r="N2823" s="3" t="s">
        <v>30574</v>
      </c>
      <c r="O2823" s="3"/>
      <c r="P2823" s="1" t="s">
        <v>20</v>
      </c>
      <c r="R2823" s="1" t="s">
        <v>3109</v>
      </c>
      <c r="V2823" s="1" t="s">
        <v>3136</v>
      </c>
      <c r="AR2823" s="1" t="str">
        <f t="shared" si="183"/>
        <v>| [ㄇㄢˋ](ㄇㄢˋ.md) | [鏝](鏝.md) |  | màn | [名]
1.塗抹牆壁所用的工具。唐．韓愈〈圬者王承福傳〉：「故吾不敢一日捨鏝以嬉。」
2.本稱銅錢的背面為「鏝兒」。後借指銅幣、錢鈔。元．無名氏《陳州糶米》第三折：「他兩個在俺家裡使錢，我要一奉十，好生撒鏝。」元．李文蔚《燕青博魚》第二折：「憑著我六文家銅鏝，博的是這三尺金鱗魚也。」 |</v>
      </c>
    </row>
    <row r="2824" spans="1:44" hidden="1">
      <c r="A2824" s="1" t="s">
        <v>3060</v>
      </c>
      <c r="C2824" s="1">
        <v>1</v>
      </c>
      <c r="D2824" s="1" t="str">
        <f>"01216"</f>
        <v>01216</v>
      </c>
      <c r="E2824" s="1" t="s">
        <v>534</v>
      </c>
      <c r="F2824" s="1">
        <v>8</v>
      </c>
      <c r="G2824" s="1">
        <v>5</v>
      </c>
      <c r="H2824" s="1">
        <v>0</v>
      </c>
      <c r="I2824" s="1" t="s">
        <v>3061</v>
      </c>
      <c r="K2824" s="1" t="str">
        <f t="shared" si="181"/>
        <v>ㄇ</v>
      </c>
      <c r="L2824" s="1" t="str">
        <f t="shared" si="182"/>
        <v>ㄢ</v>
      </c>
      <c r="N2824" s="3" t="s">
        <v>30575</v>
      </c>
      <c r="O2824" s="3"/>
      <c r="P2824" s="1" t="s">
        <v>20</v>
      </c>
      <c r="R2824" s="1" t="s">
        <v>3062</v>
      </c>
      <c r="V2824" s="1" t="s">
        <v>3063</v>
      </c>
      <c r="AR2824" s="1" t="str">
        <f t="shared" si="183"/>
        <v>| [ㄇㄢˊ](ㄇㄢˊ.md) | [姏](姏.md) |  | mán | [名]
稱年老的婦女。《廣韻．平聲．談韻》：「姏，老女稱。」《新唐書．卷一四五．王縉傳》：「性貪冒，縱親戚尼姏招納財賄，猥屑相稽，若市賈然。」 |</v>
      </c>
    </row>
    <row r="2825" spans="1:44" hidden="1">
      <c r="A2825" s="1" t="s">
        <v>3064</v>
      </c>
      <c r="C2825" s="1">
        <v>1</v>
      </c>
      <c r="D2825" s="1" t="str">
        <f>"01217"</f>
        <v>01217</v>
      </c>
      <c r="E2825" s="1" t="s">
        <v>250</v>
      </c>
      <c r="F2825" s="1">
        <v>10</v>
      </c>
      <c r="G2825" s="1">
        <v>7</v>
      </c>
      <c r="H2825" s="1">
        <v>1</v>
      </c>
      <c r="I2825" s="1" t="s">
        <v>3061</v>
      </c>
      <c r="K2825" s="1" t="str">
        <f t="shared" si="181"/>
        <v>ㄇ</v>
      </c>
      <c r="L2825" s="1" t="str">
        <f t="shared" si="182"/>
        <v>ㄢ</v>
      </c>
      <c r="N2825" s="3" t="s">
        <v>30575</v>
      </c>
      <c r="O2825" s="3"/>
      <c r="P2825" s="1" t="s">
        <v>20</v>
      </c>
      <c r="R2825" s="1" t="s">
        <v>3062</v>
      </c>
      <c r="V2825" s="1" t="s">
        <v>3065</v>
      </c>
      <c r="W2825" s="1" t="s">
        <v>3066</v>
      </c>
      <c r="AR2825" s="1" t="str">
        <f t="shared" si="183"/>
        <v>| [ㄇㄢˊ](ㄇㄢˊ.md) | [悗](悗.md) |  | mán | [形]
1.困惑。《呂氏春秋．審分覽．審分》：「夫說以智通，而實以過悗。」
2.煩躁鬱悶。《黃帝素問靈樞經．卷六．五亂》：「清濁相干，亂于胸中，是謂大悗。」 |</v>
      </c>
    </row>
    <row r="2826" spans="1:44" hidden="1">
      <c r="A2826" s="1" t="s">
        <v>3067</v>
      </c>
      <c r="C2826" s="1">
        <v>1</v>
      </c>
      <c r="D2826" s="1" t="str">
        <f>"01218"</f>
        <v>01218</v>
      </c>
      <c r="E2826" s="1" t="s">
        <v>96</v>
      </c>
      <c r="F2826" s="1">
        <v>16</v>
      </c>
      <c r="G2826" s="1">
        <v>7</v>
      </c>
      <c r="H2826" s="1">
        <v>1</v>
      </c>
      <c r="I2826" s="1" t="s">
        <v>3061</v>
      </c>
      <c r="K2826" s="1" t="str">
        <f t="shared" si="181"/>
        <v>ㄇ</v>
      </c>
      <c r="L2826" s="1" t="str">
        <f t="shared" si="182"/>
        <v>ㄢ</v>
      </c>
      <c r="N2826" s="3" t="s">
        <v>30575</v>
      </c>
      <c r="O2826" s="3"/>
      <c r="P2826" s="1" t="s">
        <v>20</v>
      </c>
      <c r="R2826" s="1" t="s">
        <v>3062</v>
      </c>
      <c r="V2826" s="1" t="s">
        <v>3068</v>
      </c>
      <c r="W2826" s="1" t="s">
        <v>3069</v>
      </c>
      <c r="AR2826" s="1" t="str">
        <f t="shared" si="183"/>
        <v>| [ㄇㄢˊ](ㄇㄢˊ.md) | [鞔](鞔.md) |  | mán | [動]
將皮革或布面框附固定在物體四周。如：「鞔鼓」、「鞔鞋」。 |</v>
      </c>
    </row>
    <row r="2827" spans="1:44" hidden="1">
      <c r="A2827" s="1" t="s">
        <v>2795</v>
      </c>
      <c r="C2827" s="1">
        <v>1</v>
      </c>
      <c r="D2827" s="1" t="str">
        <f>"01219"</f>
        <v>01219</v>
      </c>
      <c r="E2827" s="1" t="s">
        <v>132</v>
      </c>
      <c r="F2827" s="1">
        <v>10</v>
      </c>
      <c r="G2827" s="1">
        <v>7</v>
      </c>
      <c r="H2827" s="1">
        <v>2</v>
      </c>
      <c r="I2827" s="1" t="s">
        <v>3061</v>
      </c>
      <c r="K2827" s="1" t="str">
        <f t="shared" si="181"/>
        <v>ㄇ</v>
      </c>
      <c r="L2827" s="1" t="str">
        <f t="shared" si="182"/>
        <v>ㄢ</v>
      </c>
      <c r="N2827" s="3" t="s">
        <v>30575</v>
      </c>
      <c r="O2827" s="3"/>
      <c r="P2827" s="1" t="s">
        <v>20</v>
      </c>
      <c r="R2827" s="1" t="s">
        <v>3062</v>
      </c>
      <c r="V2827" s="1" t="s">
        <v>3070</v>
      </c>
      <c r="W2827" s="1" t="s">
        <v>3071</v>
      </c>
      <c r="AR2827" s="1" t="str">
        <f t="shared" si="183"/>
        <v>| [ㄇㄢˊ](ㄇㄢˊ.md) | [埋](埋.md) |  | mán | 參見「埋怨」條。 |</v>
      </c>
    </row>
    <row r="2828" spans="1:44" hidden="1">
      <c r="A2828" s="1" t="s">
        <v>3072</v>
      </c>
      <c r="C2828" s="1">
        <v>1</v>
      </c>
      <c r="D2828" s="1" t="str">
        <f>"01220"</f>
        <v>01220</v>
      </c>
      <c r="E2828" s="1" t="s">
        <v>129</v>
      </c>
      <c r="F2828" s="1">
        <v>14</v>
      </c>
      <c r="G2828" s="1">
        <v>11</v>
      </c>
      <c r="H2828" s="1">
        <v>2</v>
      </c>
      <c r="I2828" s="1" t="s">
        <v>3061</v>
      </c>
      <c r="K2828" s="1" t="str">
        <f t="shared" si="181"/>
        <v>ㄇ</v>
      </c>
      <c r="L2828" s="1" t="str">
        <f t="shared" si="182"/>
        <v>ㄢ</v>
      </c>
      <c r="N2828" s="3" t="s">
        <v>30575</v>
      </c>
      <c r="O2828" s="3"/>
      <c r="P2828" s="1" t="s">
        <v>20</v>
      </c>
      <c r="R2828" s="1" t="s">
        <v>3062</v>
      </c>
      <c r="V2828" s="1" t="s">
        <v>3073</v>
      </c>
      <c r="W2828" s="1" t="s">
        <v>3074</v>
      </c>
      <c r="AR2828" s="1" t="str">
        <f t="shared" si="183"/>
        <v>| [ㄇㄢˊ](ㄇㄢˊ.md) | [漫](漫.md) |  | mán | [形]
水廣大的樣子。《集韻．平聲．桓聲》：「漫，水廣大貌。」
[動]
盈滿。宋．蘇軾〈寓居定惠院之東雜花滿山有海棠一株土人不知貴也〉詩：「嫣然一笑竹籬間，桃李漫山總麤俗。」 |</v>
      </c>
    </row>
    <row r="2829" spans="1:44" hidden="1">
      <c r="A2829" s="1" t="s">
        <v>3075</v>
      </c>
      <c r="C2829" s="1">
        <v>1</v>
      </c>
      <c r="D2829" s="1" t="str">
        <f>"01221"</f>
        <v>01221</v>
      </c>
      <c r="E2829" s="1" t="s">
        <v>37</v>
      </c>
      <c r="F2829" s="1">
        <v>15</v>
      </c>
      <c r="G2829" s="1">
        <v>11</v>
      </c>
      <c r="H2829" s="1">
        <v>2</v>
      </c>
      <c r="I2829" s="1" t="s">
        <v>3061</v>
      </c>
      <c r="K2829" s="1" t="str">
        <f t="shared" si="181"/>
        <v>ㄇ</v>
      </c>
      <c r="L2829" s="1" t="str">
        <f t="shared" si="182"/>
        <v>ㄢ</v>
      </c>
      <c r="N2829" s="3" t="s">
        <v>30575</v>
      </c>
      <c r="O2829" s="3"/>
      <c r="P2829" s="1" t="s">
        <v>20</v>
      </c>
      <c r="R2829" s="1" t="s">
        <v>3062</v>
      </c>
      <c r="V2829" s="1" t="s">
        <v>3076</v>
      </c>
      <c r="W2829" s="1" t="s">
        <v>3077</v>
      </c>
      <c r="AR2829" s="1" t="str">
        <f t="shared" si="183"/>
        <v>| [ㄇㄢˊ](ㄇㄢˊ.md) | [蔓](蔓.md) |  | mán | 參見「蔓菁」條。 |</v>
      </c>
    </row>
    <row r="2830" spans="1:44" hidden="1">
      <c r="A2830" s="1" t="s">
        <v>3078</v>
      </c>
      <c r="C2830" s="1">
        <v>1</v>
      </c>
      <c r="D2830" s="1" t="str">
        <f>"01222"</f>
        <v>01222</v>
      </c>
      <c r="E2830" s="1" t="s">
        <v>331</v>
      </c>
      <c r="F2830" s="1">
        <v>18</v>
      </c>
      <c r="G2830" s="1">
        <v>11</v>
      </c>
      <c r="H2830" s="1">
        <v>1</v>
      </c>
      <c r="I2830" s="1" t="s">
        <v>3061</v>
      </c>
      <c r="K2830" s="1" t="str">
        <f t="shared" ref="K2830:K2854" si="184">LEFT(I2830, 1)</f>
        <v>ㄇ</v>
      </c>
      <c r="L2830" s="1" t="str">
        <f t="shared" ref="L2830:L2854" si="185">MID(I2830, 2, 1)</f>
        <v>ㄢ</v>
      </c>
      <c r="N2830" s="3" t="s">
        <v>30575</v>
      </c>
      <c r="O2830" s="3"/>
      <c r="P2830" s="1" t="s">
        <v>20</v>
      </c>
      <c r="R2830" s="1" t="s">
        <v>3062</v>
      </c>
      <c r="V2830" s="1" t="s">
        <v>3079</v>
      </c>
      <c r="W2830" s="1" t="s">
        <v>3080</v>
      </c>
      <c r="AR2830" s="1" t="str">
        <f t="shared" si="183"/>
        <v>| [ㄇㄢˊ](ㄇㄢˊ.md) | [謾](謾.md) |  | mán | [動]
1.欺騙。如：「謾上不謾下」。唐．柳宗元〈罵尸蟲文〉：「譖下謾上，恆其心術，妒人之能，幸人之失。」
2.詆毀。《荀子．非相》：「鄉則不若，偝則謾之。」
[形]
慧黠、靈巧。漢．揚雄《方言》卷一：「虔儇，慧也。秦謂之謾。」 |</v>
      </c>
    </row>
    <row r="2831" spans="1:44" hidden="1">
      <c r="A2831" s="1" t="s">
        <v>3081</v>
      </c>
      <c r="C2831" s="1">
        <v>1</v>
      </c>
      <c r="D2831" s="1" t="str">
        <f>"01223"</f>
        <v>01223</v>
      </c>
      <c r="E2831" s="1" t="s">
        <v>193</v>
      </c>
      <c r="F2831" s="1">
        <v>19</v>
      </c>
      <c r="G2831" s="1">
        <v>11</v>
      </c>
      <c r="H2831" s="1">
        <v>0</v>
      </c>
      <c r="I2831" s="1" t="s">
        <v>3061</v>
      </c>
      <c r="K2831" s="1" t="str">
        <f t="shared" si="184"/>
        <v>ㄇ</v>
      </c>
      <c r="L2831" s="1" t="str">
        <f t="shared" si="185"/>
        <v>ㄢ</v>
      </c>
      <c r="N2831" s="3" t="s">
        <v>30575</v>
      </c>
      <c r="O2831" s="3"/>
      <c r="P2831" s="1" t="s">
        <v>20</v>
      </c>
      <c r="R2831" s="1" t="s">
        <v>3062</v>
      </c>
      <c r="V2831" s="1" t="s">
        <v>3082</v>
      </c>
      <c r="AR2831" s="1" t="str">
        <f t="shared" si="183"/>
        <v>| [ㄇㄢˊ](ㄇㄢˊ.md) | [饅](饅.md) |  | mán | 參見「饅頭」條。 |</v>
      </c>
    </row>
    <row r="2832" spans="1:44" hidden="1">
      <c r="A2832" s="1" t="s">
        <v>3083</v>
      </c>
      <c r="C2832" s="1">
        <v>1</v>
      </c>
      <c r="D2832" s="1" t="str">
        <f>"01224"</f>
        <v>01224</v>
      </c>
      <c r="E2832" s="1" t="s">
        <v>1078</v>
      </c>
      <c r="F2832" s="1">
        <v>21</v>
      </c>
      <c r="G2832" s="1">
        <v>11</v>
      </c>
      <c r="H2832" s="1">
        <v>0</v>
      </c>
      <c r="I2832" s="1" t="s">
        <v>3061</v>
      </c>
      <c r="K2832" s="1" t="str">
        <f t="shared" si="184"/>
        <v>ㄇ</v>
      </c>
      <c r="L2832" s="1" t="str">
        <f t="shared" si="185"/>
        <v>ㄢ</v>
      </c>
      <c r="N2832" s="3" t="s">
        <v>30575</v>
      </c>
      <c r="O2832" s="3"/>
      <c r="P2832" s="1" t="s">
        <v>20</v>
      </c>
      <c r="R2832" s="1" t="s">
        <v>3062</v>
      </c>
      <c r="V2832" s="1" t="s">
        <v>3084</v>
      </c>
      <c r="AR2832" s="1" t="str">
        <f t="shared" si="183"/>
        <v>| [ㄇㄢˊ](ㄇㄢˊ.md) | [鬘](鬘.md) |  | mán | [形]_x000D_
頭髮秀美。《說文解字．髟部》：「䰓，髮貌。」清．段玉裁．注：「玄應曰：『凡鬘字皆當作䰓。』」《集韻．平聲．桓韻》：「鬘，髮美貌。」明．孫承宗〈殫忠樓閱雪貽馬大將軍滄淵〉詩：「鬘雲琪樹新驚眼，冷蕊疏枝正滿頭。」_x000D_
[名]_x000D_
以線貫穿成的環狀物，用來裝飾頭部或身體。以花朵串成的稱「花鬘」。如：「鬘飾」。《大方廣佛華嚴經綱要．卷二五．十迴向品第二五之三》：「第七施鬘。鬘者，貫華如環，而為首飾。」唐．玄奘《大唐西域記．卷一．迦畢試國》：「天祠數十所，異道千餘人，或露形，或塗灰，連絡髑髏以為冠鬘。」 |</v>
      </c>
    </row>
    <row r="2833" spans="1:44" hidden="1">
      <c r="A2833" s="1" t="s">
        <v>3085</v>
      </c>
      <c r="C2833" s="1">
        <v>1</v>
      </c>
      <c r="D2833" s="1" t="str">
        <f>"01225"</f>
        <v>01225</v>
      </c>
      <c r="E2833" s="1" t="s">
        <v>156</v>
      </c>
      <c r="F2833" s="1">
        <v>22</v>
      </c>
      <c r="G2833" s="1">
        <v>11</v>
      </c>
      <c r="H2833" s="1">
        <v>0</v>
      </c>
      <c r="I2833" s="1" t="s">
        <v>3061</v>
      </c>
      <c r="K2833" s="1" t="str">
        <f t="shared" si="184"/>
        <v>ㄇ</v>
      </c>
      <c r="L2833" s="1" t="str">
        <f t="shared" si="185"/>
        <v>ㄢ</v>
      </c>
      <c r="N2833" s="3" t="s">
        <v>30575</v>
      </c>
      <c r="O2833" s="3"/>
      <c r="P2833" s="1" t="s">
        <v>20</v>
      </c>
      <c r="R2833" s="1" t="s">
        <v>3062</v>
      </c>
      <c r="V2833" s="1" t="s">
        <v>3086</v>
      </c>
      <c r="AR2833" s="1" t="str">
        <f t="shared" si="183"/>
        <v>| [ㄇㄢˊ](ㄇㄢˊ.md) | [鰻](鰻.md) |  | mán | [名]_x000D_
動物名。體圓柱狀而細長，頭尖，皮厚，富黏液，滑溜難抓。背面黑，腹側白，無腹鰭，背鰭、臀鰭和尾鰭連在一起。生活在淡水中，游至海中產卵。俗稱為「白鱔」。 |</v>
      </c>
    </row>
    <row r="2834" spans="1:44" hidden="1">
      <c r="A2834" s="1" t="s">
        <v>3087</v>
      </c>
      <c r="C2834" s="1">
        <v>1</v>
      </c>
      <c r="D2834" s="1" t="str">
        <f>"01226"</f>
        <v>01226</v>
      </c>
      <c r="E2834" s="1" t="s">
        <v>250</v>
      </c>
      <c r="F2834" s="1">
        <v>14</v>
      </c>
      <c r="G2834" s="1">
        <v>11</v>
      </c>
      <c r="H2834" s="1">
        <v>0</v>
      </c>
      <c r="I2834" s="1" t="s">
        <v>3061</v>
      </c>
      <c r="K2834" s="1" t="str">
        <f t="shared" si="184"/>
        <v>ㄇ</v>
      </c>
      <c r="L2834" s="1" t="str">
        <f t="shared" si="185"/>
        <v>ㄢ</v>
      </c>
      <c r="N2834" s="3" t="s">
        <v>30575</v>
      </c>
      <c r="O2834" s="3"/>
      <c r="P2834" s="1" t="s">
        <v>20</v>
      </c>
      <c r="R2834" s="1" t="s">
        <v>3062</v>
      </c>
      <c r="V2834" s="1" t="s">
        <v>3088</v>
      </c>
      <c r="AR2834" s="1" t="str">
        <f t="shared" si="183"/>
        <v>| [ㄇㄢˊ](ㄇㄢˊ.md) | [慲](慲.md) |  | mán | [形]
糊塗。《說文解字．心部》：「忘也，慲兜也。」清．段玉裁．注：「疑當作『慲兜』，忘也。慲兜，蓋古語忘之貌也，猶今人曰糊塗不省事。」
[動]
欺瞞。《淮南子．俶真》：「於是萬民乃始慲觟離跂，各欲行其知偽。」 |</v>
      </c>
    </row>
    <row r="2835" spans="1:44" hidden="1">
      <c r="A2835" s="1" t="s">
        <v>3089</v>
      </c>
      <c r="C2835" s="1">
        <v>1</v>
      </c>
      <c r="D2835" s="1" t="str">
        <f>"01227"</f>
        <v>01227</v>
      </c>
      <c r="E2835" s="1" t="s">
        <v>139</v>
      </c>
      <c r="F2835" s="1">
        <v>15</v>
      </c>
      <c r="G2835" s="1">
        <v>11</v>
      </c>
      <c r="H2835" s="1">
        <v>0</v>
      </c>
      <c r="I2835" s="1" t="s">
        <v>3061</v>
      </c>
      <c r="K2835" s="1" t="str">
        <f t="shared" si="184"/>
        <v>ㄇ</v>
      </c>
      <c r="L2835" s="1" t="str">
        <f t="shared" si="185"/>
        <v>ㄢ</v>
      </c>
      <c r="N2835" s="3" t="s">
        <v>30575</v>
      </c>
      <c r="O2835" s="3"/>
      <c r="P2835" s="1" t="s">
        <v>20</v>
      </c>
      <c r="R2835" s="1" t="s">
        <v>3062</v>
      </c>
      <c r="V2835" s="1" t="s">
        <v>3090</v>
      </c>
      <c r="AR2835" s="1" t="str">
        <f t="shared" si="183"/>
        <v>| [ㄇㄢˊ](ㄇㄢˊ.md) | [樠](樠.md) |  | mán | [名]
植物名。榆科榆屬，「榔榆」之古稱，參見「榔榆」條。樹心似松，亦俗稱「松心木」。《漢書．卷九六．西域傳下．烏孫國》：「山多松樠。」唐．顏師古．注：「樠，木名，其心似松。」
[形]
汁液滲出的樣子。《莊子．人間世》：「以為門戶則液樠。」唐．陸德明《經典釋文．卷二六．莊子音義上》：「樠，謂脂出樠樠然也。」 |</v>
      </c>
    </row>
    <row r="2836" spans="1:44" hidden="1">
      <c r="A2836" s="1" t="s">
        <v>3091</v>
      </c>
      <c r="C2836" s="1">
        <v>1</v>
      </c>
      <c r="D2836" s="1" t="str">
        <f>"01228"</f>
        <v>01228</v>
      </c>
      <c r="E2836" s="1" t="s">
        <v>1015</v>
      </c>
      <c r="F2836" s="1">
        <v>16</v>
      </c>
      <c r="G2836" s="1">
        <v>11</v>
      </c>
      <c r="H2836" s="1">
        <v>0</v>
      </c>
      <c r="I2836" s="1" t="s">
        <v>3061</v>
      </c>
      <c r="K2836" s="1" t="str">
        <f t="shared" si="184"/>
        <v>ㄇ</v>
      </c>
      <c r="L2836" s="1" t="str">
        <f t="shared" si="185"/>
        <v>ㄢ</v>
      </c>
      <c r="N2836" s="3" t="s">
        <v>30575</v>
      </c>
      <c r="O2836" s="3"/>
      <c r="P2836" s="1" t="s">
        <v>20</v>
      </c>
      <c r="R2836" s="1" t="s">
        <v>3062</v>
      </c>
      <c r="V2836" s="1" t="s">
        <v>3092</v>
      </c>
      <c r="AR2836" s="1" t="str">
        <f t="shared" si="183"/>
        <v>| [ㄇㄢˊ](ㄇㄢˊ.md) | [瞞](瞞.md) |  | mán | [動]
欺騙、隱藏事實的真相。如：「欺瞞」、「隱瞞」、「實不相瞞」。 |</v>
      </c>
    </row>
    <row r="2837" spans="1:44" hidden="1">
      <c r="A2837" s="1" t="s">
        <v>1868</v>
      </c>
      <c r="C2837" s="1">
        <v>1</v>
      </c>
      <c r="D2837" s="1" t="str">
        <f>"01229"</f>
        <v>01229</v>
      </c>
      <c r="E2837" s="1" t="s">
        <v>77</v>
      </c>
      <c r="F2837" s="1">
        <v>18</v>
      </c>
      <c r="G2837" s="1">
        <v>11</v>
      </c>
      <c r="H2837" s="1">
        <v>1</v>
      </c>
      <c r="I2837" s="1" t="s">
        <v>3061</v>
      </c>
      <c r="K2837" s="1" t="str">
        <f t="shared" si="184"/>
        <v>ㄇ</v>
      </c>
      <c r="L2837" s="1" t="str">
        <f t="shared" si="185"/>
        <v>ㄢ</v>
      </c>
      <c r="N2837" s="3" t="s">
        <v>30575</v>
      </c>
      <c r="O2837" s="3"/>
      <c r="P2837" s="1" t="s">
        <v>20</v>
      </c>
      <c r="R2837" s="1" t="s">
        <v>3062</v>
      </c>
      <c r="V2837" s="1" t="s">
        <v>3093</v>
      </c>
      <c r="W2837" s="1" t="s">
        <v>3094</v>
      </c>
      <c r="AR2837" s="1" t="str">
        <f t="shared" si="183"/>
        <v>| [ㄇㄢˊ](ㄇㄢˊ.md) | [蹣](蹣.md) |  | mán | [動]
踰越。如：「蹣山渡水」。 |</v>
      </c>
    </row>
    <row r="2838" spans="1:44" hidden="1">
      <c r="A2838" s="1" t="s">
        <v>3058</v>
      </c>
      <c r="C2838" s="1">
        <v>1</v>
      </c>
      <c r="D2838" s="1" t="str">
        <f>"01230"</f>
        <v>01230</v>
      </c>
      <c r="E2838" s="1" t="s">
        <v>684</v>
      </c>
      <c r="F2838" s="1">
        <v>20</v>
      </c>
      <c r="G2838" s="1">
        <v>11</v>
      </c>
      <c r="H2838" s="1">
        <v>1</v>
      </c>
      <c r="I2838" s="1" t="s">
        <v>3061</v>
      </c>
      <c r="K2838" s="1" t="str">
        <f t="shared" si="184"/>
        <v>ㄇ</v>
      </c>
      <c r="L2838" s="1" t="str">
        <f t="shared" si="185"/>
        <v>ㄢ</v>
      </c>
      <c r="N2838" s="3" t="s">
        <v>30575</v>
      </c>
      <c r="O2838" s="3"/>
      <c r="P2838" s="1" t="s">
        <v>186</v>
      </c>
      <c r="R2838" s="1" t="s">
        <v>3062</v>
      </c>
      <c r="V2838" s="1" t="s">
        <v>3095</v>
      </c>
      <c r="W2838" s="1" t="s">
        <v>3096</v>
      </c>
      <c r="AR2838" s="1" t="str">
        <f t="shared" si="183"/>
        <v>| [ㄇㄢˊ](ㄇㄢˊ.md) | [顢](顢.md) |  | mán | 參見「顢頇」條。 |</v>
      </c>
    </row>
    <row r="2839" spans="1:44" hidden="1">
      <c r="A2839" s="1" t="s">
        <v>3097</v>
      </c>
      <c r="C2839" s="1">
        <v>1</v>
      </c>
      <c r="D2839" s="1" t="str">
        <f>"01231"</f>
        <v>01231</v>
      </c>
      <c r="E2839" s="1" t="s">
        <v>1015</v>
      </c>
      <c r="F2839" s="1">
        <v>24</v>
      </c>
      <c r="G2839" s="1">
        <v>19</v>
      </c>
      <c r="H2839" s="1">
        <v>2</v>
      </c>
      <c r="I2839" s="1" t="s">
        <v>3061</v>
      </c>
      <c r="K2839" s="1" t="str">
        <f t="shared" si="184"/>
        <v>ㄇ</v>
      </c>
      <c r="L2839" s="1" t="str">
        <f t="shared" si="185"/>
        <v>ㄢ</v>
      </c>
      <c r="N2839" s="3" t="s">
        <v>30575</v>
      </c>
      <c r="O2839" s="3"/>
      <c r="P2839" s="1" t="s">
        <v>110</v>
      </c>
      <c r="R2839" s="1" t="s">
        <v>3062</v>
      </c>
      <c r="V2839" s="1" t="s">
        <v>111</v>
      </c>
      <c r="W2839" s="1" t="s">
        <v>3098</v>
      </c>
      <c r="AR2839" s="1" t="str">
        <f t="shared" si="183"/>
        <v>| [ㄇㄢˊ](ㄇㄢˊ.md) | [矕](矕.md) |  | mán | (一)之又音。 |</v>
      </c>
    </row>
    <row r="2840" spans="1:44" hidden="1">
      <c r="A2840" s="1" t="s">
        <v>3099</v>
      </c>
      <c r="C2840" s="1">
        <v>1</v>
      </c>
      <c r="D2840" s="1" t="str">
        <f>"01232"</f>
        <v>01232</v>
      </c>
      <c r="E2840" s="1" t="s">
        <v>679</v>
      </c>
      <c r="F2840" s="1">
        <v>25</v>
      </c>
      <c r="G2840" s="1">
        <v>19</v>
      </c>
      <c r="H2840" s="1">
        <v>0</v>
      </c>
      <c r="I2840" s="1" t="s">
        <v>3061</v>
      </c>
      <c r="K2840" s="1" t="str">
        <f t="shared" si="184"/>
        <v>ㄇ</v>
      </c>
      <c r="L2840" s="1" t="str">
        <f t="shared" si="185"/>
        <v>ㄢ</v>
      </c>
      <c r="N2840" s="3" t="s">
        <v>30575</v>
      </c>
      <c r="O2840" s="3"/>
      <c r="P2840" s="1" t="s">
        <v>20</v>
      </c>
      <c r="R2840" s="1" t="s">
        <v>3062</v>
      </c>
      <c r="V2840" s="1" t="s">
        <v>3100</v>
      </c>
      <c r="AR2840" s="1" t="str">
        <f t="shared" si="183"/>
        <v>| [ㄇㄢˊ](ㄇㄢˊ.md) | [蠻](蠻.md) |  | mán | [名]_x000D_
中國南方種族的舊稱。《禮記．王制》：「南方曰蠻，雕題交趾，有不火食者矣。」唐．王勃〈滕王閣序〉：「襟三江而帶五湖，控蠻荊而引甌越。」_x000D_
[形]_x000D_
1.強橫、不通情理。如：「蠻橫」、「蠻不講理」。《文明小史》第五六回：「你近來如何越弄越頑固，越學越野蠻了？」_x000D_
2.文明發展程度上，處於較原始狀態的。《後漢書．卷三二．樊宏陰識列傳．樊宏》：「化自聖躬，流及蠻荒，匈奴遣伊秩訾王大車且渠來入就學。」北齊．顏之推《顏氏家訓．勉學》：「齊有宦者內參田鵬鸞，本蠻人也。」_x000D_
[副]_x000D_
1.強悍、粗野。如：「蠻幹」、「胡擾蠻纏」。《二刻拍案驚奇》卷二二：「省得他自家蠻做出事來，不免用個計較哄他在圈套中了，再作道理。」_x000D_
2.很、挺、十分。通「滿」。如：「蠻好的！」、「蠻可怕的。」《海上花列傳》第三回：「三先生也蠻明白哚！俚真真用脫仔倒罷哉，耐看俚阿有倽用場嗄？」 |</v>
      </c>
    </row>
    <row r="2841" spans="1:44" hidden="1">
      <c r="A2841" s="1" t="s">
        <v>3101</v>
      </c>
      <c r="C2841" s="1">
        <v>1</v>
      </c>
      <c r="D2841" s="1" t="str">
        <f>"01233"</f>
        <v>01233</v>
      </c>
      <c r="E2841" s="1" t="s">
        <v>129</v>
      </c>
      <c r="F2841" s="1">
        <v>14</v>
      </c>
      <c r="G2841" s="1">
        <v>11</v>
      </c>
      <c r="H2841" s="1">
        <v>0</v>
      </c>
      <c r="I2841" s="1" t="s">
        <v>3102</v>
      </c>
      <c r="K2841" s="1" t="str">
        <f t="shared" si="184"/>
        <v>ㄇ</v>
      </c>
      <c r="L2841" s="1" t="str">
        <f t="shared" si="185"/>
        <v>ㄢ</v>
      </c>
      <c r="N2841" s="3" t="s">
        <v>30576</v>
      </c>
      <c r="O2841" s="3"/>
      <c r="P2841" s="1" t="s">
        <v>20</v>
      </c>
      <c r="R2841" s="1" t="s">
        <v>3103</v>
      </c>
      <c r="V2841" s="1" t="s">
        <v>3104</v>
      </c>
      <c r="AR2841" s="1" t="str">
        <f t="shared" si="183"/>
        <v>| [ㄇㄢˇ](ㄇㄢˇ.md) | [滿](滿.md) |  | mǎn | [動]
1.充盈、全部充實。如：「充滿」、「填滿」。唐．杜甫〈秋興〉詩八首之四：「西望瑤池降王母，東來紫氣滿函關。」
2.達到某一限度。如：「期滿」、「不滿一歲」。《文選．古詩十九首．生年不滿百》：「生年不滿百，常懷千歲憂。」《封神演義》第六〇回：「只見營外來一道人，身不滿八尺，面如瓜皮，獠牙巨口。」
3.切合心意。如：「滿意」、「不滿現狀」。
[形]
1.全、遍、整個。如：「滿面春風」、「滿城風雨」、「滿腹經綸」。唐．白居易〈琵琶行〉：「淒淒不似向前聲，滿座重聞皆掩泣。」宋．葉紹翁〈遊園不值〉詩：「春色滿園關不住，一枝紅杏出牆來。」
2.充足、完備、美好。如：「完滿」、「圓滿」、「幸福美滿」、「精神飽滿」。
3.驕傲。如：「自滿」。《書經．大禹謨》：「滿招損，謙受益。」
[副]
很、十分。如：「滿厲害」、「滿不錯」、「滿像樣」。
[名]
1.中國少數民族之一。本為女真族後裔，清太祖改稱為「滿洲族」。
2.姓。如晉朝有滿奮。 |</v>
      </c>
    </row>
    <row r="2842" spans="1:44" hidden="1">
      <c r="A2842" s="1" t="s">
        <v>3097</v>
      </c>
      <c r="C2842" s="1">
        <v>1</v>
      </c>
      <c r="D2842" s="1" t="str">
        <f>"01234"</f>
        <v>01234</v>
      </c>
      <c r="E2842" s="1" t="s">
        <v>1015</v>
      </c>
      <c r="F2842" s="1">
        <v>24</v>
      </c>
      <c r="G2842" s="1">
        <v>19</v>
      </c>
      <c r="H2842" s="1">
        <v>1</v>
      </c>
      <c r="I2842" s="1" t="s">
        <v>3102</v>
      </c>
      <c r="K2842" s="1" t="str">
        <f t="shared" si="184"/>
        <v>ㄇ</v>
      </c>
      <c r="L2842" s="1" t="str">
        <f t="shared" si="185"/>
        <v>ㄢ</v>
      </c>
      <c r="N2842" s="3" t="s">
        <v>30576</v>
      </c>
      <c r="O2842" s="3"/>
      <c r="P2842" s="1" t="s">
        <v>20</v>
      </c>
      <c r="R2842" s="1" t="s">
        <v>3103</v>
      </c>
      <c r="V2842" s="1" t="s">
        <v>3105</v>
      </c>
      <c r="W2842" s="1" t="s">
        <v>3106</v>
      </c>
      <c r="AR2842" s="1" t="str">
        <f t="shared" si="183"/>
        <v>| [ㄇㄢˇ](ㄇㄢˇ.md) | [矕](矕.md) |  | mǎn | [動]
1.視、看。《文選．馬融．長笛賦》：「長矕遠引，旋復迴皇。」唐．韓愈〈贈張籍〉詩：「顧視窗壁間，親戚競覘矕。」
2.被、覆。《文選．班固．答賓戲》：「浮英華湛道德，矕龍虎之文舊矣。」 |</v>
      </c>
    </row>
    <row r="2843" spans="1:44" hidden="1">
      <c r="A2843" s="1" t="s">
        <v>3166</v>
      </c>
      <c r="C2843" s="1">
        <v>1</v>
      </c>
      <c r="D2843" s="1" t="str">
        <f>"01257"</f>
        <v>01257</v>
      </c>
      <c r="E2843" s="1" t="s">
        <v>250</v>
      </c>
      <c r="F2843" s="1">
        <v>11</v>
      </c>
      <c r="G2843" s="1">
        <v>8</v>
      </c>
      <c r="H2843" s="1">
        <v>2</v>
      </c>
      <c r="I2843" s="1" t="s">
        <v>3167</v>
      </c>
      <c r="K2843" s="1" t="str">
        <f t="shared" si="184"/>
        <v>ㄇ</v>
      </c>
      <c r="L2843" s="1" t="str">
        <f t="shared" si="185"/>
        <v>ㄣ</v>
      </c>
      <c r="N2843" s="3" t="s">
        <v>30574</v>
      </c>
      <c r="O2843" s="3"/>
      <c r="P2843" s="1" t="s">
        <v>20</v>
      </c>
      <c r="R2843" s="1" t="s">
        <v>3168</v>
      </c>
      <c r="V2843" s="1" t="s">
        <v>3169</v>
      </c>
      <c r="W2843" s="1" t="s">
        <v>3170</v>
      </c>
      <c r="AR2843" s="1" t="str">
        <f t="shared" si="183"/>
        <v>| [ㄇㄣˋ](ㄇㄣˋ.md) | [惛](惛.md) |  | mèn | [形]
憂悶的樣子。《晏子春秋．內篇．問上》：「吳越受令，荊楚惛憂。」 |</v>
      </c>
    </row>
    <row r="2844" spans="1:44" hidden="1">
      <c r="A2844" s="1" t="s">
        <v>3137</v>
      </c>
      <c r="C2844" s="1">
        <v>1</v>
      </c>
      <c r="D2844" s="1" t="str">
        <f>"01258"</f>
        <v>01258</v>
      </c>
      <c r="E2844" s="1" t="s">
        <v>250</v>
      </c>
      <c r="F2844" s="1">
        <v>12</v>
      </c>
      <c r="G2844" s="1">
        <v>8</v>
      </c>
      <c r="H2844" s="1">
        <v>1</v>
      </c>
      <c r="I2844" s="1" t="s">
        <v>3167</v>
      </c>
      <c r="K2844" s="1" t="str">
        <f t="shared" si="184"/>
        <v>ㄇ</v>
      </c>
      <c r="L2844" s="1" t="str">
        <f t="shared" si="185"/>
        <v>ㄣ</v>
      </c>
      <c r="N2844" s="3" t="s">
        <v>30574</v>
      </c>
      <c r="O2844" s="3"/>
      <c r="P2844" s="1" t="s">
        <v>20</v>
      </c>
      <c r="R2844" s="1" t="s">
        <v>3168</v>
      </c>
      <c r="V2844" s="1" t="s">
        <v>3171</v>
      </c>
      <c r="W2844" s="1" t="s">
        <v>3172</v>
      </c>
      <c r="AR2844" s="1" t="str">
        <f t="shared" si="183"/>
        <v>| [ㄇㄣˋ](ㄇㄣˋ.md) | [悶](悶.md) |  | mèn | [形]
心中不愉快。如：「煩悶」、「鬱悶」、「苦悶」。
[名]
不暢快的心緒。如：「排憂解悶」。唐．杜甫〈江亭〉詩：「故枺歸未得，排悶強裁詩。」 |</v>
      </c>
    </row>
    <row r="2845" spans="1:44" hidden="1">
      <c r="A2845" s="1" t="s">
        <v>3142</v>
      </c>
      <c r="C2845" s="1">
        <v>1</v>
      </c>
      <c r="D2845" s="1" t="str">
        <f>"01259"</f>
        <v>01259</v>
      </c>
      <c r="E2845" s="1" t="s">
        <v>336</v>
      </c>
      <c r="F2845" s="1">
        <v>16</v>
      </c>
      <c r="G2845" s="1">
        <v>12</v>
      </c>
      <c r="H2845" s="1">
        <v>1</v>
      </c>
      <c r="I2845" s="1" t="s">
        <v>3167</v>
      </c>
      <c r="K2845" s="1" t="str">
        <f t="shared" si="184"/>
        <v>ㄇ</v>
      </c>
      <c r="L2845" s="1" t="str">
        <f t="shared" si="185"/>
        <v>ㄣ</v>
      </c>
      <c r="N2845" s="3" t="s">
        <v>30574</v>
      </c>
      <c r="O2845" s="3"/>
      <c r="P2845" s="1" t="s">
        <v>20</v>
      </c>
      <c r="R2845" s="1" t="s">
        <v>3168</v>
      </c>
      <c r="V2845" s="1" t="s">
        <v>3173</v>
      </c>
      <c r="W2845" s="1" t="s">
        <v>3174</v>
      </c>
      <c r="AR2845" s="1" t="str">
        <f t="shared" si="183"/>
        <v>| [ㄇㄣˋ](ㄇㄣˋ.md) | [燜](燜.md) |  | mèn | [動]
一種烹飪方法。緊蓋鍋蓋，用鍋內的蒸氣和溫度將食物煮熟或燉爛。如：「燜菜」、「燜肉」。 |</v>
      </c>
    </row>
    <row r="2846" spans="1:44" hidden="1">
      <c r="A2846" s="1" t="s">
        <v>3175</v>
      </c>
      <c r="C2846" s="1">
        <v>1</v>
      </c>
      <c r="D2846" s="1" t="str">
        <f>"01260"</f>
        <v>01260</v>
      </c>
      <c r="E2846" s="1" t="s">
        <v>250</v>
      </c>
      <c r="F2846" s="1">
        <v>18</v>
      </c>
      <c r="G2846" s="1">
        <v>14</v>
      </c>
      <c r="H2846" s="1">
        <v>0</v>
      </c>
      <c r="I2846" s="1" t="s">
        <v>3167</v>
      </c>
      <c r="K2846" s="1" t="str">
        <f t="shared" si="184"/>
        <v>ㄇ</v>
      </c>
      <c r="L2846" s="1" t="str">
        <f t="shared" si="185"/>
        <v>ㄣ</v>
      </c>
      <c r="N2846" s="3" t="s">
        <v>30574</v>
      </c>
      <c r="O2846" s="3"/>
      <c r="P2846" s="1" t="s">
        <v>20</v>
      </c>
      <c r="R2846" s="1" t="s">
        <v>3168</v>
      </c>
      <c r="V2846" s="1" t="s">
        <v>3176</v>
      </c>
      <c r="AR2846" s="1" t="str">
        <f t="shared" si="183"/>
        <v>| [ㄇㄣˋ](ㄇㄣˋ.md) | [懣](懣.md) |  | mèn | [形]
煩悶、鬱悶。《禮記．問喪》：「哭踊無數，惻怛之心，痛疾之意，悲哀志懣氣盛。」《資治通鑑．卷二五一．唐紀六十七．懿宗咸通十年》：「龐勛憂懣不知所為，但禱神飯僧而已。」
[動]
憤恨。如：「憤懣」。《魏書．卷一九下．南安王楨傳》：「聞之惋懣，實乖本圖。」 |</v>
      </c>
    </row>
    <row r="2847" spans="1:44" hidden="1">
      <c r="A2847" s="1" t="s">
        <v>3144</v>
      </c>
      <c r="C2847" s="1">
        <v>1</v>
      </c>
      <c r="D2847" s="1" t="str">
        <f>"01250"</f>
        <v>01250</v>
      </c>
      <c r="E2847" s="1" t="s">
        <v>709</v>
      </c>
      <c r="F2847" s="1">
        <v>8</v>
      </c>
      <c r="G2847" s="1">
        <v>0</v>
      </c>
      <c r="H2847" s="1">
        <v>0</v>
      </c>
      <c r="I2847" s="1" t="s">
        <v>3145</v>
      </c>
      <c r="K2847" s="1" t="str">
        <f t="shared" si="184"/>
        <v>ㄇ</v>
      </c>
      <c r="L2847" s="1" t="str">
        <f t="shared" si="185"/>
        <v>ㄣ</v>
      </c>
      <c r="N2847" s="3" t="s">
        <v>30575</v>
      </c>
      <c r="O2847" s="3"/>
      <c r="P2847" s="1" t="s">
        <v>20</v>
      </c>
      <c r="R2847" s="1" t="s">
        <v>3146</v>
      </c>
      <c r="V2847" s="1" t="s">
        <v>3147</v>
      </c>
      <c r="AR2847" s="1" t="str">
        <f t="shared" si="183"/>
        <v>| [ㄇㄣˊ](ㄇㄣˊ.md) | [門](門.md) |  | mén | [名]
1.建築物或車、船等可以開關的出入口，也指設於出入口能關閉的裝置。如：「房門」、「車門」、「拱門」、「城門」、「鐵捲門」。
2.形狀或作用像門的物體。如：「閘門」、「活門」、「水門」。
3.人體身上的孔竅。如：「肛門」。《浮生六記．卷六．養生記逍》：「謹守四門，眼耳鼻口。」
4.家族、門第。如：「寒門」、「豪門」。《北史．卷二九．劉昶傳》：「唯能是寄，不必拘門。」
5.學派、宗派。如：「佛門」、「獨門絕活」。漢．王充《論衡．問孔》：「論者皆云：『孔門之徒，七十子之才，勝今之儒。』」
6.關鍵、要點、方法。如：「竅門」、「不二法門」。《老子》第一章：「玄之又玄，眾妙之門。」
7.類別。如：「分門別類」、「五花八門」。
8.生物學上分類系統所用的等級之一。如：「脊椎動物門」、「原生動物門」。
9.量詞：(1)計算科學、技藝門類的單位。如：「一門功課」、「兩門技術」。(2)計算大炮的單位。如：「三門大炮」。(3)計算親戚家數的單位。如：「他有兩門親家。」
10.姓。如明代有門克新。
11.二一四部首之一。 |</v>
      </c>
    </row>
    <row r="2848" spans="1:44" hidden="1">
      <c r="A2848" s="1" t="s">
        <v>3148</v>
      </c>
      <c r="C2848" s="1">
        <v>1</v>
      </c>
      <c r="D2848" s="1" t="str">
        <f>"01251"</f>
        <v>01251</v>
      </c>
      <c r="E2848" s="1" t="s">
        <v>114</v>
      </c>
      <c r="F2848" s="1">
        <v>10</v>
      </c>
      <c r="G2848" s="1">
        <v>8</v>
      </c>
      <c r="H2848" s="1">
        <v>1</v>
      </c>
      <c r="I2848" s="1" t="s">
        <v>3145</v>
      </c>
      <c r="K2848" s="1" t="str">
        <f t="shared" si="184"/>
        <v>ㄇ</v>
      </c>
      <c r="L2848" s="1" t="str">
        <f t="shared" si="185"/>
        <v>ㄣ</v>
      </c>
      <c r="N2848" s="3" t="s">
        <v>30575</v>
      </c>
      <c r="O2848" s="3"/>
      <c r="P2848" s="1" t="s">
        <v>186</v>
      </c>
      <c r="R2848" s="1" t="s">
        <v>3146</v>
      </c>
      <c r="V2848" s="1" t="s">
        <v>3149</v>
      </c>
      <c r="W2848" s="1" t="s">
        <v>3150</v>
      </c>
      <c r="AR2848" s="1" t="str">
        <f t="shared" si="183"/>
        <v>| [ㄇㄣˊ](ㄇㄣˊ.md) | [們](們.md) |  | mén | [綴]
常附於名詞或人稱代名詞下，為表示多數的詞綴。如：「我們」、「朋友們」、「孩子們」。
[名]
參見「圖們江」條。 |</v>
      </c>
    </row>
    <row r="2849" spans="1:44" hidden="1">
      <c r="A2849" s="1" t="s">
        <v>3151</v>
      </c>
      <c r="C2849" s="1">
        <v>1</v>
      </c>
      <c r="D2849" s="1" t="str">
        <f>"01252"</f>
        <v>01252</v>
      </c>
      <c r="E2849" s="1" t="s">
        <v>24</v>
      </c>
      <c r="F2849" s="1">
        <v>11</v>
      </c>
      <c r="G2849" s="1">
        <v>8</v>
      </c>
      <c r="H2849" s="1">
        <v>0</v>
      </c>
      <c r="I2849" s="1" t="s">
        <v>3145</v>
      </c>
      <c r="K2849" s="1" t="str">
        <f t="shared" si="184"/>
        <v>ㄇ</v>
      </c>
      <c r="L2849" s="1" t="str">
        <f t="shared" si="185"/>
        <v>ㄣ</v>
      </c>
      <c r="N2849" s="3" t="s">
        <v>30575</v>
      </c>
      <c r="O2849" s="3"/>
      <c r="P2849" s="1" t="s">
        <v>20</v>
      </c>
      <c r="R2849" s="1" t="s">
        <v>3146</v>
      </c>
      <c r="V2849" s="1" t="s">
        <v>3152</v>
      </c>
      <c r="AR2849" s="1" t="str">
        <f t="shared" si="183"/>
        <v>| [ㄇㄣˊ](ㄇㄣˊ.md) | [捫](捫.md) |  | mén | [動]
1.撫、摸。如：「捫心自問」。宋．陸游〈午睡起遇急雨〉詩：「揩眼捫髯破晝眠，闌邊小立獨幽然。」
2.持、執。明．徐弘祖《徐霞客遊記．卷三下．粵西遊日記二》：「捫石投水中，淵淵不遽及底。」 |</v>
      </c>
    </row>
    <row r="2850" spans="1:44" hidden="1">
      <c r="A2850" s="1" t="s">
        <v>3153</v>
      </c>
      <c r="C2850" s="1">
        <v>1</v>
      </c>
      <c r="D2850" s="1" t="str">
        <f>"01253"</f>
        <v>01253</v>
      </c>
      <c r="E2850" s="1" t="s">
        <v>55</v>
      </c>
      <c r="F2850" s="1">
        <v>16</v>
      </c>
      <c r="G2850" s="1">
        <v>8</v>
      </c>
      <c r="H2850" s="1">
        <v>0</v>
      </c>
      <c r="I2850" s="1" t="s">
        <v>3145</v>
      </c>
      <c r="K2850" s="1" t="str">
        <f t="shared" si="184"/>
        <v>ㄇ</v>
      </c>
      <c r="L2850" s="1" t="str">
        <f t="shared" si="185"/>
        <v>ㄣ</v>
      </c>
      <c r="N2850" s="3" t="s">
        <v>30575</v>
      </c>
      <c r="O2850" s="3"/>
      <c r="P2850" s="1" t="s">
        <v>20</v>
      </c>
      <c r="R2850" s="1" t="s">
        <v>3146</v>
      </c>
      <c r="V2850" s="1" t="s">
        <v>3154</v>
      </c>
      <c r="AR2850" s="1" t="str">
        <f t="shared" si="183"/>
        <v>| [ㄇㄣˊ](ㄇㄣˊ.md) | [鍆](鍆.md) |  | mén | [名]
（mendelevium，Md）化學元素。原子序101。金屬元素之一。於迴旋加速器中以α粒子（氦核）撞擊鑀而得之，化性類似稀土元素中的銩。 |</v>
      </c>
    </row>
    <row r="2851" spans="1:44" hidden="1">
      <c r="A2851" s="1" t="s">
        <v>3155</v>
      </c>
      <c r="C2851" s="1">
        <v>1</v>
      </c>
      <c r="D2851" s="1" t="str">
        <f>"01254"</f>
        <v>01254</v>
      </c>
      <c r="E2851" s="1" t="s">
        <v>142</v>
      </c>
      <c r="F2851" s="1">
        <v>15</v>
      </c>
      <c r="G2851" s="1">
        <v>11</v>
      </c>
      <c r="H2851" s="1">
        <v>0</v>
      </c>
      <c r="I2851" s="1" t="s">
        <v>3145</v>
      </c>
      <c r="K2851" s="1" t="str">
        <f t="shared" si="184"/>
        <v>ㄇ</v>
      </c>
      <c r="L2851" s="1" t="str">
        <f t="shared" si="185"/>
        <v>ㄣ</v>
      </c>
      <c r="N2851" s="3" t="s">
        <v>30575</v>
      </c>
      <c r="O2851" s="3"/>
      <c r="P2851" s="1" t="s">
        <v>20</v>
      </c>
      <c r="R2851" s="1" t="s">
        <v>3146</v>
      </c>
      <c r="V2851" s="1" t="s">
        <v>3156</v>
      </c>
      <c r="AR2851" s="1" t="str">
        <f t="shared" si="183"/>
        <v>| [ㄇㄣˊ](ㄇㄣˊ.md) | [璊](璊.md) |  | mén | [名]
赤色玉。清．厲鶚《東城雜記．卷上．葉居仲》：「萬神寂寞綿綿存，中有一物光燉燉；化為真人朱冠褌，手執赤符如瓊璊。」 |</v>
      </c>
    </row>
    <row r="2852" spans="1:44" hidden="1">
      <c r="A2852" s="1" t="s">
        <v>3157</v>
      </c>
      <c r="C2852" s="1">
        <v>1</v>
      </c>
      <c r="D2852" s="1" t="str">
        <f>"01255"</f>
        <v>01255</v>
      </c>
      <c r="E2852" s="1" t="s">
        <v>429</v>
      </c>
      <c r="F2852" s="1">
        <v>16</v>
      </c>
      <c r="G2852" s="1">
        <v>11</v>
      </c>
      <c r="H2852" s="1">
        <v>0</v>
      </c>
      <c r="I2852" s="1" t="s">
        <v>3145</v>
      </c>
      <c r="K2852" s="1" t="str">
        <f t="shared" si="184"/>
        <v>ㄇ</v>
      </c>
      <c r="L2852" s="1" t="str">
        <f t="shared" si="185"/>
        <v>ㄣ</v>
      </c>
      <c r="N2852" s="3" t="s">
        <v>30575</v>
      </c>
      <c r="O2852" s="3"/>
      <c r="P2852" s="1" t="s">
        <v>20</v>
      </c>
      <c r="R2852" s="1" t="s">
        <v>3146</v>
      </c>
      <c r="V2852" s="1" t="s">
        <v>3158</v>
      </c>
      <c r="AR2852" s="1" t="str">
        <f t="shared" si="183"/>
        <v>| [ㄇㄣˊ](ㄇㄣˊ.md) | [穈](穈.md) |  | mén | [名]
一種幼苗為赤紅色的穀類。《集韻．平聲．脂韻》：「穈，赤苗曰穈。」宋．沈括《夢溪筆談．卷二六．藥議》：「秬、秠、穈、𦬊皆黍屬，以色為別，丹黍謂之穈。」 |</v>
      </c>
    </row>
    <row r="2853" spans="1:44" hidden="1">
      <c r="A2853" s="1" t="s">
        <v>3159</v>
      </c>
      <c r="C2853" s="1">
        <v>1</v>
      </c>
      <c r="D2853" s="1" t="str">
        <f>"01255A"</f>
        <v>01255A</v>
      </c>
      <c r="E2853" s="1" t="s">
        <v>367</v>
      </c>
      <c r="F2853" s="1">
        <v>21</v>
      </c>
      <c r="G2853" s="1">
        <v>19</v>
      </c>
      <c r="H2853" s="1">
        <v>2</v>
      </c>
      <c r="I2853" s="1" t="s">
        <v>3145</v>
      </c>
      <c r="K2853" s="1" t="str">
        <f t="shared" si="184"/>
        <v>ㄇ</v>
      </c>
      <c r="L2853" s="1" t="str">
        <f t="shared" si="185"/>
        <v>ㄣ</v>
      </c>
      <c r="N2853" s="3" t="s">
        <v>30575</v>
      </c>
      <c r="O2853" s="3"/>
      <c r="P2853" s="1" t="s">
        <v>20</v>
      </c>
      <c r="R2853" s="1" t="s">
        <v>3146</v>
      </c>
      <c r="V2853" s="1" t="s">
        <v>3160</v>
      </c>
      <c r="W2853" s="1" t="s">
        <v>3161</v>
      </c>
      <c r="AR2853" s="1" t="str">
        <f t="shared" si="183"/>
        <v>| [ㄇㄣˊ](ㄇㄣˊ.md) | [亹](亹.md) |  | mén | [名]
地名用字。如大陸地區青海省的亹源縣。 |</v>
      </c>
    </row>
    <row r="2854" spans="1:44" hidden="1">
      <c r="A2854" s="1" t="s">
        <v>3064</v>
      </c>
      <c r="C2854" s="1">
        <v>1</v>
      </c>
      <c r="D2854" s="1" t="str">
        <f>"01256"</f>
        <v>01256</v>
      </c>
      <c r="E2854" s="1" t="s">
        <v>250</v>
      </c>
      <c r="F2854" s="1">
        <v>10</v>
      </c>
      <c r="G2854" s="1">
        <v>7</v>
      </c>
      <c r="H2854" s="1">
        <v>2</v>
      </c>
      <c r="I2854" s="1" t="s">
        <v>3162</v>
      </c>
      <c r="K2854" s="1" t="str">
        <f t="shared" si="184"/>
        <v>ㄇ</v>
      </c>
      <c r="L2854" s="1" t="str">
        <f t="shared" si="185"/>
        <v>ㄣ</v>
      </c>
      <c r="N2854" s="3" t="s">
        <v>30576</v>
      </c>
      <c r="O2854" s="3"/>
      <c r="P2854" s="1" t="s">
        <v>20</v>
      </c>
      <c r="R2854" s="1" t="s">
        <v>3163</v>
      </c>
      <c r="V2854" s="1" t="s">
        <v>3164</v>
      </c>
      <c r="W2854" s="1" t="s">
        <v>3165</v>
      </c>
      <c r="AR2854" s="1" t="str">
        <f t="shared" si="183"/>
        <v>| [ㄇㄣˇ](ㄇㄣˇ.md) | [悗](悗.md) |  | měn | [形]
忘情的樣子。《莊子．大宗師》：「悗乎忘其言。」《韓非子．忠孝》：「古者黔首悗密蠢愚。」 |</v>
      </c>
    </row>
    <row r="2855" spans="1:44" hidden="1">
      <c r="A2855" s="1" t="s">
        <v>3148</v>
      </c>
      <c r="C2855" s="1">
        <v>1</v>
      </c>
      <c r="D2855" s="1" t="str">
        <f>"01261"</f>
        <v>01261</v>
      </c>
      <c r="E2855" s="1" t="s">
        <v>114</v>
      </c>
      <c r="F2855" s="1">
        <v>10</v>
      </c>
      <c r="G2855" s="1">
        <v>8</v>
      </c>
      <c r="H2855" s="1">
        <v>2</v>
      </c>
      <c r="I2855" s="1" t="s">
        <v>3177</v>
      </c>
      <c r="J2855" s="2" t="s">
        <v>30559</v>
      </c>
      <c r="K2855" s="1" t="s">
        <v>30563</v>
      </c>
      <c r="L2855" s="1" t="s">
        <v>24679</v>
      </c>
      <c r="P2855" s="1" t="s">
        <v>388</v>
      </c>
      <c r="R2855" s="1" t="s">
        <v>3178</v>
      </c>
      <c r="V2855" s="1" t="s">
        <v>407</v>
      </c>
      <c r="W2855" s="1" t="s">
        <v>3179</v>
      </c>
      <c r="AR2855" s="1" t="str">
        <f t="shared" si="183"/>
        <v>| [˙ㄇㄣ](˙ㄇㄣ.md) | [們](們.md) |  | men | (一)之語音。 |</v>
      </c>
    </row>
    <row r="2856" spans="1:44" hidden="1">
      <c r="A2856" s="1" t="s">
        <v>3180</v>
      </c>
      <c r="C2856" s="1">
        <v>1</v>
      </c>
      <c r="D2856" s="1" t="str">
        <f>"01262"</f>
        <v>01262</v>
      </c>
      <c r="E2856" s="1" t="s">
        <v>129</v>
      </c>
      <c r="F2856" s="1">
        <v>6</v>
      </c>
      <c r="G2856" s="1">
        <v>3</v>
      </c>
      <c r="H2856" s="1">
        <v>0</v>
      </c>
      <c r="I2856" s="1" t="s">
        <v>3181</v>
      </c>
      <c r="K2856" s="1" t="str">
        <f t="shared" ref="K2856:K2919" si="186">LEFT(I2856, 1)</f>
        <v>ㄇ</v>
      </c>
      <c r="L2856" s="1" t="str">
        <f t="shared" ref="L2856:L2919" si="187">MID(I2856, 2, 1)</f>
        <v>ㄤ</v>
      </c>
      <c r="N2856" s="3" t="s">
        <v>30575</v>
      </c>
      <c r="O2856" s="3"/>
      <c r="P2856" s="1" t="s">
        <v>20</v>
      </c>
      <c r="R2856" s="1" t="s">
        <v>3182</v>
      </c>
      <c r="V2856" s="1" t="s">
        <v>3183</v>
      </c>
      <c r="AR2856" s="1" t="str">
        <f t="shared" si="183"/>
        <v>| [ㄇㄤˊ](ㄇㄤˊ.md) | [汒](汒.md) |  | máng | [形]
模糊、茫然。同「茫」。《莊子．秋水》：「今吾聞莊子之言，汒焉異之。」 |</v>
      </c>
    </row>
    <row r="2857" spans="1:44" hidden="1">
      <c r="A2857" s="1" t="s">
        <v>3184</v>
      </c>
      <c r="C2857" s="1">
        <v>1</v>
      </c>
      <c r="D2857" s="1" t="str">
        <f>"01263"</f>
        <v>01263</v>
      </c>
      <c r="E2857" s="1" t="s">
        <v>256</v>
      </c>
      <c r="F2857" s="1">
        <v>6</v>
      </c>
      <c r="G2857" s="1">
        <v>3</v>
      </c>
      <c r="H2857" s="1">
        <v>0</v>
      </c>
      <c r="I2857" s="1" t="s">
        <v>3181</v>
      </c>
      <c r="K2857" s="1" t="str">
        <f t="shared" si="186"/>
        <v>ㄇ</v>
      </c>
      <c r="L2857" s="1" t="str">
        <f t="shared" si="187"/>
        <v>ㄤ</v>
      </c>
      <c r="N2857" s="3" t="s">
        <v>30575</v>
      </c>
      <c r="O2857" s="3"/>
      <c r="P2857" s="1" t="s">
        <v>20</v>
      </c>
      <c r="R2857" s="1" t="s">
        <v>3182</v>
      </c>
      <c r="V2857" s="1" t="s">
        <v>3185</v>
      </c>
      <c r="AR2857" s="1" t="str">
        <f t="shared" si="183"/>
        <v>| [ㄇㄤˊ](ㄇㄤˊ.md) | [邙](邙.md) |  | máng | [名]
1.地名。古代都邑，在今大陸地區河南省洛陽北邙山上。
2.參見「北邙山」條。 |</v>
      </c>
    </row>
    <row r="2858" spans="1:44" hidden="1">
      <c r="A2858" s="1" t="s">
        <v>3186</v>
      </c>
      <c r="C2858" s="1">
        <v>1</v>
      </c>
      <c r="D2858" s="1" t="str">
        <f>"01264"</f>
        <v>01264</v>
      </c>
      <c r="E2858" s="1" t="s">
        <v>250</v>
      </c>
      <c r="F2858" s="1">
        <v>6</v>
      </c>
      <c r="G2858" s="1">
        <v>3</v>
      </c>
      <c r="H2858" s="1">
        <v>0</v>
      </c>
      <c r="I2858" s="1" t="s">
        <v>3181</v>
      </c>
      <c r="K2858" s="1" t="str">
        <f t="shared" si="186"/>
        <v>ㄇ</v>
      </c>
      <c r="L2858" s="1" t="str">
        <f t="shared" si="187"/>
        <v>ㄤ</v>
      </c>
      <c r="N2858" s="3" t="s">
        <v>30575</v>
      </c>
      <c r="O2858" s="3"/>
      <c r="P2858" s="1" t="s">
        <v>20</v>
      </c>
      <c r="R2858" s="1" t="s">
        <v>3182</v>
      </c>
      <c r="V2858" s="1" t="s">
        <v>3187</v>
      </c>
      <c r="AR2858" s="1" t="str">
        <f t="shared" si="183"/>
        <v>| [ㄇㄤˊ](ㄇㄤˊ.md) | [忙](忙.md) |  | máng | [形]
1.事情繁多，沒有空閒。如：「繁忙」、「工作忙」。
2.急迫、慌張。如：「匆忙」、「不慌不忙」、「手忙腳亂」。
[副]
趕緊。《儒林外史》第三回：「胡屠戶忙躲進女兒房裡，不敢出來。鄰居各自散了。」
[動]
做，急迫不停的做。如：「最近你都忙些什麼？」《老殘遊記》第五回：「見老董事也忙完，就緩緩的走出，找著老董閒話。」
[名]
姓。如明代有忙義。 |</v>
      </c>
    </row>
    <row r="2859" spans="1:44" hidden="1">
      <c r="A2859" s="1" t="s">
        <v>3188</v>
      </c>
      <c r="C2859" s="1">
        <v>1</v>
      </c>
      <c r="D2859" s="1" t="str">
        <f>"01265"</f>
        <v>01265</v>
      </c>
      <c r="E2859" s="1" t="s">
        <v>139</v>
      </c>
      <c r="F2859" s="1">
        <v>7</v>
      </c>
      <c r="G2859" s="1">
        <v>3</v>
      </c>
      <c r="H2859" s="1">
        <v>0</v>
      </c>
      <c r="I2859" s="1" t="s">
        <v>3181</v>
      </c>
      <c r="K2859" s="1" t="str">
        <f t="shared" si="186"/>
        <v>ㄇ</v>
      </c>
      <c r="L2859" s="1" t="str">
        <f t="shared" si="187"/>
        <v>ㄤ</v>
      </c>
      <c r="N2859" s="3" t="s">
        <v>30575</v>
      </c>
      <c r="O2859" s="3"/>
      <c r="P2859" s="1" t="s">
        <v>20</v>
      </c>
      <c r="R2859" s="1" t="s">
        <v>3182</v>
      </c>
      <c r="V2859" s="1" t="s">
        <v>3189</v>
      </c>
      <c r="AR2859" s="1" t="str">
        <f t="shared" si="183"/>
        <v>| [ㄇㄤˊ](ㄇㄤˊ.md) | [杗](杗.md) |  | máng | [名]
屋頂的正梁。唐．韓愈〈進學解〉：「夫大木為杗，細木為桷。」 |</v>
      </c>
    </row>
    <row r="2860" spans="1:44" hidden="1">
      <c r="A2860" s="1" t="s">
        <v>3190</v>
      </c>
      <c r="C2860" s="1">
        <v>1</v>
      </c>
      <c r="D2860" s="1" t="str">
        <f>"01266"</f>
        <v>01266</v>
      </c>
      <c r="E2860" s="1" t="s">
        <v>37</v>
      </c>
      <c r="F2860" s="1">
        <v>7</v>
      </c>
      <c r="G2860" s="1">
        <v>3</v>
      </c>
      <c r="H2860" s="1">
        <v>0</v>
      </c>
      <c r="I2860" s="1" t="s">
        <v>3181</v>
      </c>
      <c r="K2860" s="1" t="str">
        <f t="shared" si="186"/>
        <v>ㄇ</v>
      </c>
      <c r="L2860" s="1" t="str">
        <f t="shared" si="187"/>
        <v>ㄤ</v>
      </c>
      <c r="N2860" s="3" t="s">
        <v>30575</v>
      </c>
      <c r="O2860" s="3"/>
      <c r="P2860" s="1" t="s">
        <v>20</v>
      </c>
      <c r="R2860" s="1" t="s">
        <v>3182</v>
      </c>
      <c r="V2860" s="1" t="s">
        <v>3191</v>
      </c>
      <c r="AR2860" s="1" t="str">
        <f t="shared" si="183"/>
        <v>| [ㄇㄤˊ](ㄇㄤˊ.md) | [芒](芒.md) |  | máng | [名]
1.植物名。禾本科芒屬，「芒草」之古稱，參見「芒草」條。
2.草木或穀實上的細刺。如：「稻芒」、「麥芒」。
3.刀劍鋒利的部分。漢．司馬相如〈喻巴蜀檄〉：「故使鋒芒挫縮，厥圖不果。」
4.四射的光線。如：「光芒萬丈」。元．虞集〈記夢中〉詩三首之一：「出海雲霞九色芒，金容滉樣水中央。」
5.姓。如戰國時有魏相芒卯。 |</v>
      </c>
    </row>
    <row r="2861" spans="1:44" hidden="1">
      <c r="A2861" s="1" t="s">
        <v>3192</v>
      </c>
      <c r="C2861" s="1">
        <v>1</v>
      </c>
      <c r="D2861" s="1" t="str">
        <f>"01267"</f>
        <v>01267</v>
      </c>
      <c r="E2861" s="1" t="s">
        <v>1015</v>
      </c>
      <c r="F2861" s="1">
        <v>8</v>
      </c>
      <c r="G2861" s="1">
        <v>3</v>
      </c>
      <c r="H2861" s="1">
        <v>0</v>
      </c>
      <c r="I2861" s="1" t="s">
        <v>3181</v>
      </c>
      <c r="K2861" s="1" t="str">
        <f t="shared" si="186"/>
        <v>ㄇ</v>
      </c>
      <c r="L2861" s="1" t="str">
        <f t="shared" si="187"/>
        <v>ㄤ</v>
      </c>
      <c r="N2861" s="3" t="s">
        <v>30575</v>
      </c>
      <c r="O2861" s="3"/>
      <c r="P2861" s="1" t="s">
        <v>20</v>
      </c>
      <c r="R2861" s="1" t="s">
        <v>3182</v>
      </c>
      <c r="V2861" s="1" t="s">
        <v>3193</v>
      </c>
      <c r="AR2861" s="1" t="str">
        <f t="shared" si="183"/>
        <v>| [ㄇㄤˊ](ㄇㄤˊ.md) | [盲](盲.md) |  | máng | [形]
1.眼睛看不見的。如：「盲人」、「盲胞」。《漢書．卷六〇．杜周傳》：「欽字子夏，少好經書，家富而目偏盲。」
2.比喻不明事理。漢．王充《論衡．謝短》：「夫知今不知古，謂之盲瞽。」
[名]
1.眼睛看不見東西的人。俗稱為「瞎子」。如：「問道於盲」。漢．王充《論衡．自紀》：「觀讀之者，曉然若盲之開目，聆然若聾之通耳。」
2.缺少某方面知識的人。如：「文盲」、「電腦盲」。
3.專指文盲。如：「脫盲教育」。
[動]
看不見、分辨不清。如：「夜盲」、「色盲」。《老子》第一二章：「五色令人目盲，五音令人耳聾。」
[副]
胡亂、未經考慮的。如：「盲從」、「盲動」。 |</v>
      </c>
    </row>
    <row r="2862" spans="1:44" hidden="1">
      <c r="A2862" s="1" t="s">
        <v>3194</v>
      </c>
      <c r="C2862" s="1">
        <v>1</v>
      </c>
      <c r="D2862" s="1" t="str">
        <f>"01268"</f>
        <v>01268</v>
      </c>
      <c r="E2862" s="1" t="s">
        <v>3195</v>
      </c>
      <c r="F2862" s="1">
        <v>8</v>
      </c>
      <c r="G2862" s="1">
        <v>4</v>
      </c>
      <c r="H2862" s="1">
        <v>1</v>
      </c>
      <c r="I2862" s="1" t="s">
        <v>3181</v>
      </c>
      <c r="K2862" s="1" t="str">
        <f t="shared" si="186"/>
        <v>ㄇ</v>
      </c>
      <c r="L2862" s="1" t="str">
        <f t="shared" si="187"/>
        <v>ㄤ</v>
      </c>
      <c r="N2862" s="3" t="s">
        <v>30575</v>
      </c>
      <c r="O2862" s="3"/>
      <c r="P2862" s="1" t="s">
        <v>20</v>
      </c>
      <c r="R2862" s="1" t="s">
        <v>3182</v>
      </c>
      <c r="V2862" s="1" t="s">
        <v>3196</v>
      </c>
      <c r="W2862" s="1" t="s">
        <v>3197</v>
      </c>
      <c r="AR2862" s="1" t="str">
        <f t="shared" si="183"/>
        <v>| [ㄇㄤˊ](ㄇㄤˊ.md) | [氓](氓.md) |  | máng | [名]
1.古代稱庶民為「氓」。《詩經．衛風．氓》：「氓之蚩蚩，抱布貿絲。」漢．鄭玄．箋：「氓，民也。」《孟子．滕文公上》：「遠方之人，聞君行仁政，願受一廛而為氓。」
2.《詩經．衛風》的篇名。共六章。根據〈詩序〉：「〈氓〉，刺時也。」或亦指棄婦自傷之詩。首章二句為：「氓之蚩蚩，抱布貿絲。」
3.參見「流氓」條。 |</v>
      </c>
    </row>
    <row r="2863" spans="1:44" hidden="1">
      <c r="A2863" s="1" t="s">
        <v>3198</v>
      </c>
      <c r="C2863" s="1">
        <v>1</v>
      </c>
      <c r="D2863" s="1" t="str">
        <f>"01269"</f>
        <v>01269</v>
      </c>
      <c r="E2863" s="1" t="s">
        <v>1015</v>
      </c>
      <c r="F2863" s="1">
        <v>8</v>
      </c>
      <c r="G2863" s="1">
        <v>3</v>
      </c>
      <c r="H2863" s="1">
        <v>0</v>
      </c>
      <c r="I2863" s="1" t="s">
        <v>3181</v>
      </c>
      <c r="K2863" s="1" t="str">
        <f t="shared" si="186"/>
        <v>ㄇ</v>
      </c>
      <c r="L2863" s="1" t="str">
        <f t="shared" si="187"/>
        <v>ㄤ</v>
      </c>
      <c r="N2863" s="3" t="s">
        <v>30575</v>
      </c>
      <c r="O2863" s="3"/>
      <c r="P2863" s="1" t="s">
        <v>20</v>
      </c>
      <c r="R2863" s="1" t="s">
        <v>3182</v>
      </c>
      <c r="V2863" s="1" t="s">
        <v>3199</v>
      </c>
      <c r="AR2863" s="1" t="str">
        <f t="shared" si="183"/>
        <v>| [ㄇㄤˊ](ㄇㄤˊ.md) | [盳](盳.md) |  | máng | [名]
同「盲」。明．張自烈《正字通．目部》：「盳，俗盲字。」 |</v>
      </c>
    </row>
    <row r="2864" spans="1:44" hidden="1">
      <c r="A2864" s="1" t="s">
        <v>3200</v>
      </c>
      <c r="C2864" s="1">
        <v>1</v>
      </c>
      <c r="D2864" s="1" t="str">
        <f>"01270"</f>
        <v>01270</v>
      </c>
      <c r="E2864" s="1" t="s">
        <v>37</v>
      </c>
      <c r="F2864" s="1">
        <v>10</v>
      </c>
      <c r="G2864" s="1">
        <v>6</v>
      </c>
      <c r="H2864" s="1">
        <v>0</v>
      </c>
      <c r="I2864" s="1" t="s">
        <v>3181</v>
      </c>
      <c r="K2864" s="1" t="str">
        <f t="shared" si="186"/>
        <v>ㄇ</v>
      </c>
      <c r="L2864" s="1" t="str">
        <f t="shared" si="187"/>
        <v>ㄤ</v>
      </c>
      <c r="N2864" s="3" t="s">
        <v>30575</v>
      </c>
      <c r="O2864" s="3"/>
      <c r="P2864" s="1" t="s">
        <v>20</v>
      </c>
      <c r="R2864" s="1" t="s">
        <v>3182</v>
      </c>
      <c r="V2864" s="1" t="s">
        <v>3201</v>
      </c>
      <c r="AR2864" s="1" t="str">
        <f t="shared" si="183"/>
        <v>| [ㄇㄤˊ](ㄇㄤˊ.md) | [茫](茫.md) |  | máng | [形]
廣大、模糊不明。如：「渺茫」、「人海茫茫」。
[副]
1.悵然無所知的樣子。如：「茫然」。
2.全然。如：「茫無頭緒」、「茫無所知」。
[名]
姓。如宋代有茫端臣。 |</v>
      </c>
    </row>
    <row r="2865" spans="1:44" hidden="1">
      <c r="A2865" s="1" t="s">
        <v>3202</v>
      </c>
      <c r="C2865" s="1">
        <v>1</v>
      </c>
      <c r="D2865" s="1" t="str">
        <f>"01271"</f>
        <v>01271</v>
      </c>
      <c r="E2865" s="1" t="s">
        <v>169</v>
      </c>
      <c r="F2865" s="1">
        <v>12</v>
      </c>
      <c r="G2865" s="1">
        <v>7</v>
      </c>
      <c r="H2865" s="1">
        <v>0</v>
      </c>
      <c r="I2865" s="1" t="s">
        <v>3181</v>
      </c>
      <c r="K2865" s="1" t="str">
        <f t="shared" si="186"/>
        <v>ㄇ</v>
      </c>
      <c r="L2865" s="1" t="str">
        <f t="shared" si="187"/>
        <v>ㄤ</v>
      </c>
      <c r="N2865" s="3" t="s">
        <v>30575</v>
      </c>
      <c r="O2865" s="3"/>
      <c r="P2865" s="1" t="s">
        <v>20</v>
      </c>
      <c r="R2865" s="1" t="s">
        <v>3182</v>
      </c>
      <c r="V2865" s="1" t="s">
        <v>3203</v>
      </c>
      <c r="AR2865" s="1" t="str">
        <f t="shared" si="183"/>
        <v>| [ㄇㄤˊ](ㄇㄤˊ.md) | [硭](硭.md) |  | máng | [名]
一種中藥材，即硭硝。白色晶體，溶於水。由無水硫酸鈉溶於水溶液結晶而得，可用製碳酸鈉、礦泉水及醫療藥品等。 |</v>
      </c>
    </row>
    <row r="2866" spans="1:44" hidden="1">
      <c r="A2866" s="1" t="s">
        <v>3204</v>
      </c>
      <c r="C2866" s="1">
        <v>1</v>
      </c>
      <c r="D2866" s="1" t="str">
        <f>"01272"</f>
        <v>01272</v>
      </c>
      <c r="E2866" s="1" t="s">
        <v>55</v>
      </c>
      <c r="F2866" s="1">
        <v>15</v>
      </c>
      <c r="G2866" s="1">
        <v>7</v>
      </c>
      <c r="H2866" s="1">
        <v>0</v>
      </c>
      <c r="I2866" s="1" t="s">
        <v>3181</v>
      </c>
      <c r="K2866" s="1" t="str">
        <f t="shared" si="186"/>
        <v>ㄇ</v>
      </c>
      <c r="L2866" s="1" t="str">
        <f t="shared" si="187"/>
        <v>ㄤ</v>
      </c>
      <c r="N2866" s="3" t="s">
        <v>30575</v>
      </c>
      <c r="O2866" s="3"/>
      <c r="P2866" s="1" t="s">
        <v>20</v>
      </c>
      <c r="R2866" s="1" t="s">
        <v>3182</v>
      </c>
      <c r="V2866" s="1" t="s">
        <v>3205</v>
      </c>
      <c r="AR2866" s="1" t="str">
        <f t="shared" si="183"/>
        <v>| [ㄇㄤˊ](ㄇㄤˊ.md) | [鋩](鋩.md) |  | máng | [名]
1.刀劍最鋒利的部分。如：「寒鋩」、「鋒鋩」。唐．韓愈〈祭田橫墓文〉：「何五百人之擾擾，而不能脫夫子於劍鋩。」也作「芒」。
2.泛指物體的尖端部分。宋．陸游〈試筆〉詩二首之二：「紅絲玉斗紫毫鋩，歲晚相從味更長。」
3.光芒、光輝。唐．張說〈羽林恩召觀御書王太尉碑〉詩：「魚龍生意態，鉤劍動鋩輝。」 |</v>
      </c>
    </row>
    <row r="2867" spans="1:44" hidden="1">
      <c r="A2867" s="1" t="s">
        <v>1934</v>
      </c>
      <c r="C2867" s="1">
        <v>1</v>
      </c>
      <c r="D2867" s="1" t="str">
        <f>"01273"</f>
        <v>01273</v>
      </c>
      <c r="E2867" s="1" t="s">
        <v>1935</v>
      </c>
      <c r="F2867" s="1">
        <v>7</v>
      </c>
      <c r="G2867" s="1">
        <v>4</v>
      </c>
      <c r="H2867" s="1">
        <v>2</v>
      </c>
      <c r="I2867" s="1" t="s">
        <v>3181</v>
      </c>
      <c r="K2867" s="1" t="str">
        <f t="shared" si="186"/>
        <v>ㄇ</v>
      </c>
      <c r="L2867" s="1" t="str">
        <f t="shared" si="187"/>
        <v>ㄤ</v>
      </c>
      <c r="N2867" s="3" t="s">
        <v>30575</v>
      </c>
      <c r="O2867" s="3"/>
      <c r="P2867" s="1" t="s">
        <v>20</v>
      </c>
      <c r="R2867" s="1" t="s">
        <v>3182</v>
      </c>
      <c r="V2867" s="1" t="s">
        <v>3206</v>
      </c>
      <c r="W2867" s="1" t="s">
        <v>3207</v>
      </c>
      <c r="AR2867" s="1" t="str">
        <f t="shared" si="183"/>
        <v>| [ㄇㄤˊ](ㄇㄤˊ.md) | [尨](尨.md) |  | máng | [名]
多毛的狗。《詩經．召南．野有死麕》：「舒而脫脫兮，無感我帨兮，無使尨也吠。」《聊齋志異．卷一〇．胭脂》：「感帨驚尨，鼠有皮胡若此？」 |</v>
      </c>
    </row>
    <row r="2868" spans="1:44" hidden="1">
      <c r="A2868" s="1" t="s">
        <v>1940</v>
      </c>
      <c r="C2868" s="1">
        <v>1</v>
      </c>
      <c r="D2868" s="1" t="str">
        <f>"01274"</f>
        <v>01274</v>
      </c>
      <c r="E2868" s="1" t="s">
        <v>1941</v>
      </c>
      <c r="F2868" s="1">
        <v>9</v>
      </c>
      <c r="G2868" s="1">
        <v>7</v>
      </c>
      <c r="H2868" s="1">
        <v>2</v>
      </c>
      <c r="I2868" s="1" t="s">
        <v>3181</v>
      </c>
      <c r="K2868" s="1" t="str">
        <f t="shared" si="186"/>
        <v>ㄇ</v>
      </c>
      <c r="L2868" s="1" t="str">
        <f t="shared" si="187"/>
        <v>ㄤ</v>
      </c>
      <c r="N2868" s="3" t="s">
        <v>30575</v>
      </c>
      <c r="O2868" s="3"/>
      <c r="P2868" s="1" t="s">
        <v>20</v>
      </c>
      <c r="R2868" s="1" t="s">
        <v>3182</v>
      </c>
      <c r="V2868" s="1" t="s">
        <v>3208</v>
      </c>
      <c r="W2868" s="1" t="s">
        <v>3209</v>
      </c>
      <c r="AR2868" s="1" t="str">
        <f t="shared" si="183"/>
        <v>| [ㄇㄤˊ](ㄇㄤˊ.md) | [厖](厖.md) |  | máng | [形]
1.豐厚。如：「敦厖自勸」、「隆厖之封」。
2.昏昧。如：「厖蒙」。 |</v>
      </c>
    </row>
    <row r="2869" spans="1:44" hidden="1">
      <c r="A2869" s="1" t="s">
        <v>1944</v>
      </c>
      <c r="C2869" s="1">
        <v>1</v>
      </c>
      <c r="D2869" s="1" t="str">
        <f>"01275"</f>
        <v>01275</v>
      </c>
      <c r="E2869" s="1" t="s">
        <v>447</v>
      </c>
      <c r="F2869" s="1">
        <v>10</v>
      </c>
      <c r="G2869" s="1">
        <v>7</v>
      </c>
      <c r="H2869" s="1">
        <v>2</v>
      </c>
      <c r="I2869" s="1" t="s">
        <v>3181</v>
      </c>
      <c r="K2869" s="1" t="str">
        <f t="shared" si="186"/>
        <v>ㄇ</v>
      </c>
      <c r="L2869" s="1" t="str">
        <f t="shared" si="187"/>
        <v>ㄤ</v>
      </c>
      <c r="N2869" s="3" t="s">
        <v>30575</v>
      </c>
      <c r="O2869" s="3"/>
      <c r="P2869" s="1" t="s">
        <v>20</v>
      </c>
      <c r="R2869" s="1" t="s">
        <v>3182</v>
      </c>
      <c r="V2869" s="1" t="s">
        <v>3210</v>
      </c>
      <c r="W2869" s="1" t="s">
        <v>3211</v>
      </c>
      <c r="AR2869" s="1" t="str">
        <f t="shared" si="183"/>
        <v>| [ㄇㄤˊ](ㄇㄤˊ.md) | [庬](庬.md) |  | máng | [形]
豐厚。通「厖」。《詩經．商頌．長發》：「受小共大共，為下國駿庬，何天之龍。」 |</v>
      </c>
    </row>
    <row r="2870" spans="1:44" hidden="1">
      <c r="A2870" s="1" t="s">
        <v>3212</v>
      </c>
      <c r="C2870" s="1">
        <v>1</v>
      </c>
      <c r="D2870" s="1" t="str">
        <f>"01276"</f>
        <v>01276</v>
      </c>
      <c r="E2870" s="1" t="s">
        <v>28</v>
      </c>
      <c r="F2870" s="1">
        <v>10</v>
      </c>
      <c r="G2870" s="1">
        <v>7</v>
      </c>
      <c r="H2870" s="1">
        <v>0</v>
      </c>
      <c r="I2870" s="1" t="s">
        <v>3181</v>
      </c>
      <c r="K2870" s="1" t="str">
        <f t="shared" si="186"/>
        <v>ㄇ</v>
      </c>
      <c r="L2870" s="1" t="str">
        <f t="shared" si="187"/>
        <v>ㄤ</v>
      </c>
      <c r="N2870" s="3" t="s">
        <v>30575</v>
      </c>
      <c r="O2870" s="3"/>
      <c r="P2870" s="1" t="s">
        <v>20</v>
      </c>
      <c r="R2870" s="1" t="s">
        <v>3182</v>
      </c>
      <c r="V2870" s="1" t="s">
        <v>3213</v>
      </c>
      <c r="AR2870" s="1" t="str">
        <f t="shared" si="183"/>
        <v>| [ㄇㄤˊ](ㄇㄤˊ.md) | [哤](哤.md) |  | máng | [形]
言語雜亂。《國語．齊語》：「管子對曰：『四民者，勿使雜處，雜處則其言哤，其事易。』」 |</v>
      </c>
    </row>
    <row r="2871" spans="1:44" hidden="1">
      <c r="A2871" s="1" t="s">
        <v>3214</v>
      </c>
      <c r="C2871" s="1">
        <v>1</v>
      </c>
      <c r="D2871" s="1" t="str">
        <f>"01277"</f>
        <v>01277</v>
      </c>
      <c r="E2871" s="1" t="s">
        <v>518</v>
      </c>
      <c r="F2871" s="1">
        <v>11</v>
      </c>
      <c r="G2871" s="1">
        <v>7</v>
      </c>
      <c r="H2871" s="1">
        <v>0</v>
      </c>
      <c r="I2871" s="1" t="s">
        <v>3181</v>
      </c>
      <c r="K2871" s="1" t="str">
        <f t="shared" si="186"/>
        <v>ㄇ</v>
      </c>
      <c r="L2871" s="1" t="str">
        <f t="shared" si="187"/>
        <v>ㄤ</v>
      </c>
      <c r="N2871" s="3" t="s">
        <v>30575</v>
      </c>
      <c r="O2871" s="3"/>
      <c r="P2871" s="1" t="s">
        <v>20</v>
      </c>
      <c r="R2871" s="1" t="s">
        <v>3182</v>
      </c>
      <c r="V2871" s="1" t="s">
        <v>3215</v>
      </c>
      <c r="AR2871" s="1" t="str">
        <f t="shared" si="183"/>
        <v>| [ㄇㄤˊ](ㄇㄤˊ.md) | [牻](牻.md) |  | máng | [名]
毛色黑白相雜的牛。《說文解字．牛部》：「牻，白黑雜毛牛。」 |</v>
      </c>
    </row>
    <row r="2872" spans="1:44" hidden="1">
      <c r="A2872" s="1" t="s">
        <v>3216</v>
      </c>
      <c r="C2872" s="1">
        <v>1</v>
      </c>
      <c r="D2872" s="1" t="str">
        <f>"01278"</f>
        <v>01278</v>
      </c>
      <c r="E2872" s="1" t="s">
        <v>40</v>
      </c>
      <c r="F2872" s="1">
        <v>12</v>
      </c>
      <c r="G2872" s="1">
        <v>7</v>
      </c>
      <c r="H2872" s="1">
        <v>0</v>
      </c>
      <c r="I2872" s="1" t="s">
        <v>3181</v>
      </c>
      <c r="K2872" s="1" t="str">
        <f t="shared" si="186"/>
        <v>ㄇ</v>
      </c>
      <c r="L2872" s="1" t="str">
        <f t="shared" si="187"/>
        <v>ㄤ</v>
      </c>
      <c r="N2872" s="3" t="s">
        <v>30575</v>
      </c>
      <c r="O2872" s="3"/>
      <c r="P2872" s="1" t="s">
        <v>20</v>
      </c>
      <c r="R2872" s="1" t="s">
        <v>3182</v>
      </c>
      <c r="V2872" s="1" t="s">
        <v>3217</v>
      </c>
      <c r="AR2872" s="1" t="str">
        <f t="shared" si="183"/>
        <v>| [ㄇㄤˊ](ㄇㄤˊ.md) | [痝](痝.md) |  | máng | [形]
為病所困的樣子。《廣韻．平聲．江韻》：「痝，病困。」
[動]
飲酒過量，為酒所困。《集韻．平聲．江韻》：「痝，一曰病酒。」
[副]
浮腫的樣子。《黃帝內經素問．卷九．評熱病論》：「有病腎風者，面胕痝然壅，害於言。」 |</v>
      </c>
    </row>
    <row r="2873" spans="1:44" hidden="1">
      <c r="A2873" s="1" t="s">
        <v>3218</v>
      </c>
      <c r="C2873" s="1">
        <v>1</v>
      </c>
      <c r="D2873" s="1" t="str">
        <f>"01279"</f>
        <v>01279</v>
      </c>
      <c r="E2873" s="1" t="s">
        <v>679</v>
      </c>
      <c r="F2873" s="1">
        <v>13</v>
      </c>
      <c r="G2873" s="1">
        <v>7</v>
      </c>
      <c r="H2873" s="1">
        <v>0</v>
      </c>
      <c r="I2873" s="1" t="s">
        <v>3181</v>
      </c>
      <c r="K2873" s="1" t="str">
        <f t="shared" si="186"/>
        <v>ㄇ</v>
      </c>
      <c r="L2873" s="1" t="str">
        <f t="shared" si="187"/>
        <v>ㄤ</v>
      </c>
      <c r="N2873" s="3" t="s">
        <v>30575</v>
      </c>
      <c r="O2873" s="3"/>
      <c r="P2873" s="1" t="s">
        <v>20</v>
      </c>
      <c r="R2873" s="1" t="s">
        <v>3182</v>
      </c>
      <c r="V2873" s="1" t="s">
        <v>3219</v>
      </c>
      <c r="AR2873" s="1" t="str">
        <f t="shared" si="183"/>
        <v>| [ㄇㄤˊ](ㄇㄤˊ.md) | [蛖](蛖.md) |  | máng | 參見「蛖螻」條。 |</v>
      </c>
    </row>
    <row r="2874" spans="1:44" hidden="1">
      <c r="A2874" s="1" t="s">
        <v>3220</v>
      </c>
      <c r="C2874" s="1">
        <v>1</v>
      </c>
      <c r="D2874" s="1" t="str">
        <f>"01280"</f>
        <v>01280</v>
      </c>
      <c r="E2874" s="1" t="s">
        <v>319</v>
      </c>
      <c r="F2874" s="1">
        <v>17</v>
      </c>
      <c r="G2874" s="1">
        <v>7</v>
      </c>
      <c r="H2874" s="1">
        <v>0</v>
      </c>
      <c r="I2874" s="1" t="s">
        <v>3181</v>
      </c>
      <c r="K2874" s="1" t="str">
        <f t="shared" si="186"/>
        <v>ㄇ</v>
      </c>
      <c r="L2874" s="1" t="str">
        <f t="shared" si="187"/>
        <v>ㄤ</v>
      </c>
      <c r="N2874" s="3" t="s">
        <v>30575</v>
      </c>
      <c r="O2874" s="3"/>
      <c r="P2874" s="1" t="s">
        <v>20</v>
      </c>
      <c r="R2874" s="1" t="s">
        <v>3182</v>
      </c>
      <c r="V2874" s="1" t="s">
        <v>3221</v>
      </c>
      <c r="AR2874" s="1" t="str">
        <f t="shared" si="183"/>
        <v>| [ㄇㄤˊ](ㄇㄤˊ.md) | [駹](駹.md) |  | máng | [名]
1.面、額白色的馬。《說文解字．馬部》：「馬面顙皆白也。」
2.毛色駁雜的祭牲。《周禮．秋官．犬人》：「凡幾珥沉辜用駹可也。」唐．賈公彥．疏：「駹謂雜色牲。」
3.青馬。《漢書．卷九四．匈奴傳下》：「匈奴騎，其西方盡白，東方盡駹，北方盡驪，南方盡騂馬。」唐．顏師古．注：「駹，青馬也。」 |</v>
      </c>
    </row>
    <row r="2875" spans="1:44" hidden="1">
      <c r="A2875" s="1" t="s">
        <v>3222</v>
      </c>
      <c r="C2875" s="1">
        <v>1</v>
      </c>
      <c r="D2875" s="1" t="str">
        <f>"01281"</f>
        <v>01281</v>
      </c>
      <c r="E2875" s="1" t="s">
        <v>37</v>
      </c>
      <c r="F2875" s="1">
        <v>20</v>
      </c>
      <c r="G2875" s="1">
        <v>16</v>
      </c>
      <c r="H2875" s="1">
        <v>0</v>
      </c>
      <c r="I2875" s="1" t="s">
        <v>3181</v>
      </c>
      <c r="K2875" s="1" t="str">
        <f t="shared" si="186"/>
        <v>ㄇ</v>
      </c>
      <c r="L2875" s="1" t="str">
        <f t="shared" si="187"/>
        <v>ㄤ</v>
      </c>
      <c r="N2875" s="3" t="s">
        <v>30575</v>
      </c>
      <c r="O2875" s="3"/>
      <c r="P2875" s="1" t="s">
        <v>20</v>
      </c>
      <c r="R2875" s="1" t="s">
        <v>3182</v>
      </c>
      <c r="V2875" s="1" t="s">
        <v>3223</v>
      </c>
      <c r="AR2875" s="1" t="str">
        <f t="shared" si="183"/>
        <v>| [ㄇㄤˊ](ㄇㄤˊ.md) | [蘉](蘉.md) |  | máng | [動]
勉力。《書經．洛誥》：「汝乃是不蘉，乃時惟不永哉！」 |</v>
      </c>
    </row>
    <row r="2876" spans="1:44" hidden="1">
      <c r="A2876" s="1" t="s">
        <v>3224</v>
      </c>
      <c r="C2876" s="1">
        <v>1</v>
      </c>
      <c r="D2876" s="1" t="str">
        <f>"01282"</f>
        <v>01282</v>
      </c>
      <c r="E2876" s="1" t="s">
        <v>272</v>
      </c>
      <c r="F2876" s="1">
        <v>25</v>
      </c>
      <c r="G2876" s="1">
        <v>14</v>
      </c>
      <c r="H2876" s="1">
        <v>3</v>
      </c>
      <c r="I2876" s="1" t="s">
        <v>3181</v>
      </c>
      <c r="K2876" s="1" t="str">
        <f t="shared" si="186"/>
        <v>ㄇ</v>
      </c>
      <c r="L2876" s="1" t="str">
        <f t="shared" si="187"/>
        <v>ㄤ</v>
      </c>
      <c r="N2876" s="3" t="s">
        <v>30575</v>
      </c>
      <c r="O2876" s="3"/>
      <c r="P2876" s="1" t="s">
        <v>20</v>
      </c>
      <c r="R2876" s="1" t="s">
        <v>3182</v>
      </c>
      <c r="V2876" s="1" t="s">
        <v>3225</v>
      </c>
      <c r="W2876" s="1" t="s">
        <v>3226</v>
      </c>
      <c r="AR2876" s="1" t="str">
        <f t="shared" si="183"/>
        <v>| [ㄇㄤˊ](ㄇㄤˊ.md) | [鸏](鸏.md) |  | máng | [名]
古代一種屬鳩類的鳥。《集韻．平聲．江韻》：「鸏，鳩類。」 |</v>
      </c>
    </row>
    <row r="2877" spans="1:44" hidden="1">
      <c r="A2877" s="1" t="s">
        <v>3227</v>
      </c>
      <c r="C2877" s="1">
        <v>1</v>
      </c>
      <c r="D2877" s="1" t="str">
        <f>"01283"</f>
        <v>01283</v>
      </c>
      <c r="E2877" s="1" t="s">
        <v>37</v>
      </c>
      <c r="F2877" s="1">
        <v>11</v>
      </c>
      <c r="G2877" s="1">
        <v>7</v>
      </c>
      <c r="H2877" s="1">
        <v>0</v>
      </c>
      <c r="I2877" s="1" t="s">
        <v>3228</v>
      </c>
      <c r="K2877" s="1" t="str">
        <f t="shared" si="186"/>
        <v>ㄇ</v>
      </c>
      <c r="L2877" s="1" t="str">
        <f t="shared" si="187"/>
        <v>ㄤ</v>
      </c>
      <c r="N2877" s="3" t="s">
        <v>30576</v>
      </c>
      <c r="O2877" s="3"/>
      <c r="P2877" s="1" t="s">
        <v>20</v>
      </c>
      <c r="R2877" s="1" t="s">
        <v>3229</v>
      </c>
      <c r="V2877" s="1" t="s">
        <v>3230</v>
      </c>
      <c r="AR2877" s="1" t="str">
        <f t="shared" si="183"/>
        <v>| [ㄇㄤˇ](ㄇㄤˇ.md) | [莽](莽.md) |  | mǎng | [名]
1.植物名。八角茴香科八角茴香屬，「莽草」之古稱，參見「莽草」條。
2.叢生的草地。東周戰國．宋玉〈風賦〉：「蹶石伐木，梢殺林莽。」《聊齋志異．卷一．賈兒》：「兒薄暮潛入何氏園，伏莽中，將以探狐所在。」
[形]
粗率、冒失的。如：「莽夫」、「莽漢」、「魯莽」。 |</v>
      </c>
    </row>
    <row r="2878" spans="1:44" hidden="1">
      <c r="A2878" s="1" t="s">
        <v>3231</v>
      </c>
      <c r="C2878" s="1">
        <v>1</v>
      </c>
      <c r="D2878" s="1" t="str">
        <f>"01284"</f>
        <v>01284</v>
      </c>
      <c r="E2878" s="1" t="s">
        <v>129</v>
      </c>
      <c r="F2878" s="1">
        <v>14</v>
      </c>
      <c r="G2878" s="1">
        <v>11</v>
      </c>
      <c r="H2878" s="1">
        <v>0</v>
      </c>
      <c r="I2878" s="1" t="s">
        <v>3228</v>
      </c>
      <c r="K2878" s="1" t="str">
        <f t="shared" si="186"/>
        <v>ㄇ</v>
      </c>
      <c r="L2878" s="1" t="str">
        <f t="shared" si="187"/>
        <v>ㄤ</v>
      </c>
      <c r="N2878" s="3" t="s">
        <v>30576</v>
      </c>
      <c r="O2878" s="3"/>
      <c r="P2878" s="1" t="s">
        <v>20</v>
      </c>
      <c r="R2878" s="1" t="s">
        <v>3229</v>
      </c>
      <c r="V2878" s="1" t="s">
        <v>3232</v>
      </c>
      <c r="AR2878" s="1" t="str">
        <f t="shared" si="183"/>
        <v>| [ㄇㄤˇ](ㄇㄤˇ.md) | [漭](漭.md) |  | mǎng | 參見「漭漭」、「漭沆」等條。 |</v>
      </c>
    </row>
    <row r="2879" spans="1:44" hidden="1">
      <c r="A2879" s="1" t="s">
        <v>3233</v>
      </c>
      <c r="C2879" s="1">
        <v>1</v>
      </c>
      <c r="D2879" s="1" t="str">
        <f>"01285"</f>
        <v>01285</v>
      </c>
      <c r="E2879" s="1" t="s">
        <v>139</v>
      </c>
      <c r="F2879" s="1">
        <v>15</v>
      </c>
      <c r="G2879" s="1">
        <v>11</v>
      </c>
      <c r="H2879" s="1">
        <v>0</v>
      </c>
      <c r="I2879" s="1" t="s">
        <v>3228</v>
      </c>
      <c r="K2879" s="1" t="str">
        <f t="shared" si="186"/>
        <v>ㄇ</v>
      </c>
      <c r="L2879" s="1" t="str">
        <f t="shared" si="187"/>
        <v>ㄤ</v>
      </c>
      <c r="N2879" s="3" t="s">
        <v>30576</v>
      </c>
      <c r="O2879" s="3"/>
      <c r="P2879" s="1" t="s">
        <v>20</v>
      </c>
      <c r="R2879" s="1" t="s">
        <v>3229</v>
      </c>
      <c r="V2879" s="1" t="s">
        <v>3234</v>
      </c>
      <c r="AR2879" s="1" t="str">
        <f t="shared" si="183"/>
        <v>| [ㄇㄤˇ](ㄇㄤˇ.md) | [𣙷](𣙷.md) |  | mǎng | [名]
𣙷果：植物名。漆樹科檬果屬，「芒果」之古稱。參見「芒果」條。 |</v>
      </c>
    </row>
    <row r="2880" spans="1:44" hidden="1">
      <c r="A2880" s="1" t="s">
        <v>3235</v>
      </c>
      <c r="C2880" s="1">
        <v>1</v>
      </c>
      <c r="D2880" s="1" t="str">
        <f>"01286"</f>
        <v>01286</v>
      </c>
      <c r="E2880" s="1" t="s">
        <v>679</v>
      </c>
      <c r="F2880" s="1">
        <v>17</v>
      </c>
      <c r="G2880" s="1">
        <v>11</v>
      </c>
      <c r="H2880" s="1">
        <v>0</v>
      </c>
      <c r="I2880" s="1" t="s">
        <v>3228</v>
      </c>
      <c r="K2880" s="1" t="str">
        <f t="shared" si="186"/>
        <v>ㄇ</v>
      </c>
      <c r="L2880" s="1" t="str">
        <f t="shared" si="187"/>
        <v>ㄤ</v>
      </c>
      <c r="N2880" s="3" t="s">
        <v>30576</v>
      </c>
      <c r="O2880" s="3"/>
      <c r="P2880" s="1" t="s">
        <v>20</v>
      </c>
      <c r="R2880" s="1" t="s">
        <v>3229</v>
      </c>
      <c r="V2880" s="1" t="s">
        <v>3236</v>
      </c>
      <c r="AR2880" s="1" t="str">
        <f t="shared" si="183"/>
        <v>| [ㄇㄤˇ](ㄇㄤˇ.md) | [蟒](蟒.md) |  | mǎng | [名]
動物名。蟒蛇科蟒屬。一種無毒牙的大蛇，長二丈以上，有鱗，體黃褐色，腹白。多產於熱帶及亞熱帶水邊，捕食獸類。肉可食，皮可製裝飾品。俗稱為「蟒蛇」。
[形]
繡有蟒蛇圖案的。如：「蟒服」、「蟒袍」。 |</v>
      </c>
    </row>
    <row r="2881" spans="1:44" hidden="1">
      <c r="A2881" s="1" t="s">
        <v>3237</v>
      </c>
      <c r="C2881" s="1">
        <v>1</v>
      </c>
      <c r="D2881" s="1" t="str">
        <f>"01287"</f>
        <v>01287</v>
      </c>
      <c r="E2881" s="1" t="s">
        <v>169</v>
      </c>
      <c r="F2881" s="1">
        <v>12</v>
      </c>
      <c r="G2881" s="1">
        <v>7</v>
      </c>
      <c r="H2881" s="1">
        <v>0</v>
      </c>
      <c r="I2881" s="1" t="s">
        <v>3228</v>
      </c>
      <c r="K2881" s="1" t="str">
        <f t="shared" si="186"/>
        <v>ㄇ</v>
      </c>
      <c r="L2881" s="1" t="str">
        <f t="shared" si="187"/>
        <v>ㄤ</v>
      </c>
      <c r="N2881" s="3" t="s">
        <v>30576</v>
      </c>
      <c r="O2881" s="3"/>
      <c r="P2881" s="1" t="s">
        <v>20</v>
      </c>
      <c r="R2881" s="1" t="s">
        <v>3229</v>
      </c>
      <c r="V2881" s="1" t="s">
        <v>3238</v>
      </c>
      <c r="AR2881" s="1" t="str">
        <f t="shared" si="183"/>
        <v>| [ㄇㄤˇ](ㄇㄤˇ.md) | [硥](硥.md) |  | mǎng | [形]
石塊高大的樣子。《集韻．上聲．講韻》：「硥，石貌。」 |</v>
      </c>
    </row>
    <row r="2882" spans="1:44" hidden="1">
      <c r="A2882" s="1" t="s">
        <v>3239</v>
      </c>
      <c r="C2882" s="1">
        <v>1</v>
      </c>
      <c r="D2882" s="1" t="str">
        <f>"01288"</f>
        <v>01288</v>
      </c>
      <c r="E2882" s="1" t="s">
        <v>37</v>
      </c>
      <c r="F2882" s="1">
        <v>12</v>
      </c>
      <c r="G2882" s="1">
        <v>6</v>
      </c>
      <c r="H2882" s="1">
        <v>0</v>
      </c>
      <c r="I2882" s="1" t="s">
        <v>3228</v>
      </c>
      <c r="K2882" s="1" t="str">
        <f t="shared" si="186"/>
        <v>ㄇ</v>
      </c>
      <c r="L2882" s="1" t="str">
        <f t="shared" si="187"/>
        <v>ㄤ</v>
      </c>
      <c r="N2882" s="3" t="s">
        <v>30576</v>
      </c>
      <c r="O2882" s="3"/>
      <c r="P2882" s="1" t="s">
        <v>20</v>
      </c>
      <c r="R2882" s="1" t="s">
        <v>3229</v>
      </c>
      <c r="V2882" s="1" t="s">
        <v>3240</v>
      </c>
      <c r="AR2882" s="1" t="str">
        <f t="shared" si="183"/>
        <v>| [ㄇㄤˇ](ㄇㄤˇ.md) | [茻](茻.md) |  | mǎng | [名]
叢生的草。通「莽」。《說文解字．艸部》：「茻，眾艸也。」 |</v>
      </c>
    </row>
    <row r="2883" spans="1:44" hidden="1">
      <c r="A2883" s="1" t="s">
        <v>3340</v>
      </c>
      <c r="C2883" s="1">
        <v>1</v>
      </c>
      <c r="D2883" s="1" t="str">
        <f>"01333"</f>
        <v>01333</v>
      </c>
      <c r="E2883" s="1" t="s">
        <v>241</v>
      </c>
      <c r="F2883" s="1">
        <v>8</v>
      </c>
      <c r="G2883" s="1">
        <v>5</v>
      </c>
      <c r="H2883" s="1">
        <v>0</v>
      </c>
      <c r="I2883" s="1" t="s">
        <v>3341</v>
      </c>
      <c r="K2883" s="1" t="str">
        <f t="shared" si="186"/>
        <v>ㄇ</v>
      </c>
      <c r="L2883" s="1" t="str">
        <f t="shared" si="187"/>
        <v>ㄥ</v>
      </c>
      <c r="N2883" s="3" t="s">
        <v>30574</v>
      </c>
      <c r="O2883" s="3"/>
      <c r="P2883" s="1" t="s">
        <v>20</v>
      </c>
      <c r="R2883" s="1" t="s">
        <v>3342</v>
      </c>
      <c r="V2883" s="1" t="s">
        <v>3343</v>
      </c>
      <c r="AR2883" s="1" t="str">
        <f t="shared" ref="AR2883:AR2946" si="188">"| ["&amp;I2883&amp;"]("&amp;I2883&amp;".md) | ["&amp;A2883&amp;"]("&amp;A2883&amp;".md) | "&amp;" | "&amp;R2883&amp;" | "&amp;V2883&amp;" |"</f>
        <v>| [ㄇㄥˋ](ㄇㄥˋ.md) | [孟](孟.md) |  | mèng | [形]
1.兄弟姊妹中排行最大的。《說文解字．子部》：「孟，長也。」《左傳．隱公元年》：「傅惠公元妃孟子。」唐．孔穎達．正義：「孟、仲、叔、季，兄弟姊妹長幼之別字也。」
2.鹵莽的、誇大的。如：「孟浪」。《管子．任法》：「奇術技藝之人，莫敢高言孟行，以過其情。」
[名]
1.四季中每季的第一個月。《逸周書．卷六．周月》：「歲有春夏秋冬，各有孟仲季，以名十有二月。」唐．韓愈〈岳陽樓別竇司直〉詩：「時當冬之孟，隙竅縮寒漲。」
2.孟子或《孟子》一書的簡稱。如：「孔孟」、「論孟」。
3.姓。如戰國時鄒有孟軻。 |</v>
      </c>
    </row>
    <row r="2884" spans="1:44" hidden="1">
      <c r="A2884" s="1" t="s">
        <v>3267</v>
      </c>
      <c r="C2884" s="1">
        <v>1</v>
      </c>
      <c r="D2884" s="1" t="str">
        <f>"01333A"</f>
        <v>01333A</v>
      </c>
      <c r="E2884" s="1" t="s">
        <v>438</v>
      </c>
      <c r="F2884" s="1">
        <v>13</v>
      </c>
      <c r="G2884" s="1">
        <v>8</v>
      </c>
      <c r="H2884" s="1">
        <v>2</v>
      </c>
      <c r="I2884" s="1" t="s">
        <v>3341</v>
      </c>
      <c r="K2884" s="1" t="str">
        <f t="shared" si="186"/>
        <v>ㄇ</v>
      </c>
      <c r="L2884" s="1" t="str">
        <f t="shared" si="187"/>
        <v>ㄥ</v>
      </c>
      <c r="N2884" s="3" t="s">
        <v>30574</v>
      </c>
      <c r="O2884" s="3"/>
      <c r="P2884" s="1" t="s">
        <v>20</v>
      </c>
      <c r="R2884" s="1" t="s">
        <v>3342</v>
      </c>
      <c r="V2884" s="1" t="s">
        <v>3344</v>
      </c>
      <c r="W2884" s="1" t="s">
        <v>3345</v>
      </c>
      <c r="AR2884" s="1" t="str">
        <f t="shared" si="188"/>
        <v>| [ㄇㄥˋ](ㄇㄥˋ.md) | [盟](盟.md) |  | mèng | [名]
參見「盟津」條。 |</v>
      </c>
    </row>
    <row r="2885" spans="1:44" hidden="1">
      <c r="A2885" s="1" t="s">
        <v>3346</v>
      </c>
      <c r="C2885" s="1">
        <v>1</v>
      </c>
      <c r="D2885" s="1" t="str">
        <f>"01334"</f>
        <v>01334</v>
      </c>
      <c r="E2885" s="1" t="s">
        <v>3347</v>
      </c>
      <c r="F2885" s="1">
        <v>14</v>
      </c>
      <c r="G2885" s="1">
        <v>11</v>
      </c>
      <c r="H2885" s="1">
        <v>0</v>
      </c>
      <c r="I2885" s="1" t="s">
        <v>3341</v>
      </c>
      <c r="K2885" s="1" t="str">
        <f t="shared" si="186"/>
        <v>ㄇ</v>
      </c>
      <c r="L2885" s="1" t="str">
        <f t="shared" si="187"/>
        <v>ㄥ</v>
      </c>
      <c r="N2885" s="3" t="s">
        <v>30574</v>
      </c>
      <c r="O2885" s="3"/>
      <c r="P2885" s="1" t="s">
        <v>20</v>
      </c>
      <c r="R2885" s="1" t="s">
        <v>3342</v>
      </c>
      <c r="V2885" s="1" t="s">
        <v>3348</v>
      </c>
      <c r="AR2885" s="1" t="str">
        <f t="shared" si="188"/>
        <v>| [ㄇㄥˋ](ㄇㄥˋ.md) | [夢](夢.md) |  | mèng | [名]_x000D_
1.睡眠時因腦部的意識活動，而引起的幻覺、幻象。引申為想像、渴望。如：「美夢成真」。《莊子．齊物論》：「覺而後知其夢也。」_x000D_
2.姓。如宋代有夢仲才。_x000D_
[動]_x000D_
作夢。《論語．述而》：「吾不復夢見周公。」唐．李白〈古風〉詩五九首之九：「莊周夢胡蝶，胡蝶為莊周。」_x000D_
[形]_x000D_
虛幻的。如：「不切實際的夢想。」 |</v>
      </c>
    </row>
    <row r="2886" spans="1:44" hidden="1">
      <c r="A2886" s="1" t="s">
        <v>1934</v>
      </c>
      <c r="C2886" s="1">
        <v>1</v>
      </c>
      <c r="D2886" s="1" t="str">
        <f>"01290"</f>
        <v>01290</v>
      </c>
      <c r="E2886" s="1" t="s">
        <v>1935</v>
      </c>
      <c r="F2886" s="1">
        <v>7</v>
      </c>
      <c r="G2886" s="1">
        <v>4</v>
      </c>
      <c r="H2886" s="1">
        <v>3</v>
      </c>
      <c r="I2886" s="1" t="s">
        <v>3246</v>
      </c>
      <c r="K2886" s="1" t="str">
        <f t="shared" si="186"/>
        <v>ㄇ</v>
      </c>
      <c r="L2886" s="1" t="str">
        <f t="shared" si="187"/>
        <v>ㄥ</v>
      </c>
      <c r="N2886" s="3" t="s">
        <v>30575</v>
      </c>
      <c r="O2886" s="3"/>
      <c r="P2886" s="1" t="s">
        <v>20</v>
      </c>
      <c r="R2886" s="1" t="s">
        <v>3247</v>
      </c>
      <c r="V2886" s="1" t="s">
        <v>3248</v>
      </c>
      <c r="W2886" s="1" t="s">
        <v>3249</v>
      </c>
      <c r="AR2886" s="1" t="str">
        <f t="shared" si="188"/>
        <v>| [ㄇㄥˊ](ㄇㄥˊ.md) | [尨](尨.md) |  | méng | 參見「尨茸」條。 |</v>
      </c>
    </row>
    <row r="2887" spans="1:44" hidden="1">
      <c r="A2887" s="1" t="s">
        <v>3194</v>
      </c>
      <c r="C2887" s="1">
        <v>1</v>
      </c>
      <c r="D2887" s="1" t="str">
        <f>"01291"</f>
        <v>01291</v>
      </c>
      <c r="E2887" s="1" t="s">
        <v>3195</v>
      </c>
      <c r="F2887" s="1">
        <v>8</v>
      </c>
      <c r="G2887" s="1">
        <v>4</v>
      </c>
      <c r="H2887" s="1">
        <v>2</v>
      </c>
      <c r="I2887" s="1" t="s">
        <v>3246</v>
      </c>
      <c r="K2887" s="1" t="str">
        <f t="shared" si="186"/>
        <v>ㄇ</v>
      </c>
      <c r="L2887" s="1" t="str">
        <f t="shared" si="187"/>
        <v>ㄥ</v>
      </c>
      <c r="N2887" s="3" t="s">
        <v>30575</v>
      </c>
      <c r="O2887" s="3"/>
      <c r="P2887" s="1" t="s">
        <v>110</v>
      </c>
      <c r="R2887" s="1" t="s">
        <v>3247</v>
      </c>
      <c r="V2887" s="1" t="s">
        <v>111</v>
      </c>
      <c r="W2887" s="1" t="s">
        <v>3250</v>
      </c>
      <c r="AR2887" s="1" t="str">
        <f t="shared" si="188"/>
        <v>| [ㄇㄥˊ](ㄇㄥˊ.md) | [氓](氓.md) |  | méng | (一)之又音。 |</v>
      </c>
    </row>
    <row r="2888" spans="1:44" hidden="1">
      <c r="A2888" s="1" t="s">
        <v>3251</v>
      </c>
      <c r="C2888" s="1">
        <v>1</v>
      </c>
      <c r="D2888" s="1" t="str">
        <f>"01292"</f>
        <v>01292</v>
      </c>
      <c r="E2888" s="1" t="s">
        <v>753</v>
      </c>
      <c r="F2888" s="1">
        <v>8</v>
      </c>
      <c r="G2888" s="1">
        <v>3</v>
      </c>
      <c r="H2888" s="1">
        <v>0</v>
      </c>
      <c r="I2888" s="1" t="s">
        <v>3246</v>
      </c>
      <c r="K2888" s="1" t="str">
        <f t="shared" si="186"/>
        <v>ㄇ</v>
      </c>
      <c r="L2888" s="1" t="str">
        <f t="shared" si="187"/>
        <v>ㄥ</v>
      </c>
      <c r="N2888" s="3" t="s">
        <v>30575</v>
      </c>
      <c r="O2888" s="3"/>
      <c r="P2888" s="1" t="s">
        <v>20</v>
      </c>
      <c r="R2888" s="1" t="s">
        <v>3247</v>
      </c>
      <c r="V2888" s="1" t="s">
        <v>3252</v>
      </c>
      <c r="AR2888" s="1" t="str">
        <f t="shared" si="188"/>
        <v>| [ㄇㄥˊ](ㄇㄥˊ.md) | [甿](甿.md) |  | méng | [名]
1.舊指農民。《說文解字．田部》：「甿，田民也。」《周禮．地官．遂人》：「凡治野，以下劑致甿，以田里安甿，以樂昏擾甿，以土宜教甿。」《史記．卷六．秦始皇本紀》：「陳涉，罋牖繩樞之子，甿隸之人，而遷徙之徒，才能不及中人。」
2.愚昧無知的人。《管子．輕重甲》：「桓公憂北郭民之貧，召管子而問曰：『北郭者，盡屨縷之甿也。』」 |</v>
      </c>
    </row>
    <row r="2889" spans="1:44" hidden="1">
      <c r="A2889" s="1" t="s">
        <v>3253</v>
      </c>
      <c r="C2889" s="1">
        <v>1</v>
      </c>
      <c r="D2889" s="1" t="str">
        <f>"01293"</f>
        <v>01293</v>
      </c>
      <c r="E2889" s="1" t="s">
        <v>679</v>
      </c>
      <c r="F2889" s="1">
        <v>9</v>
      </c>
      <c r="G2889" s="1">
        <v>3</v>
      </c>
      <c r="H2889" s="1">
        <v>0</v>
      </c>
      <c r="I2889" s="1" t="s">
        <v>3246</v>
      </c>
      <c r="K2889" s="1" t="str">
        <f t="shared" si="186"/>
        <v>ㄇ</v>
      </c>
      <c r="L2889" s="1" t="str">
        <f t="shared" si="187"/>
        <v>ㄥ</v>
      </c>
      <c r="N2889" s="3" t="s">
        <v>30575</v>
      </c>
      <c r="O2889" s="3"/>
      <c r="P2889" s="1" t="s">
        <v>20</v>
      </c>
      <c r="R2889" s="1" t="s">
        <v>3247</v>
      </c>
      <c r="V2889" s="1" t="s">
        <v>3254</v>
      </c>
      <c r="AR2889" s="1" t="str">
        <f t="shared" si="188"/>
        <v>| [ㄇㄥˊ](ㄇㄥˊ.md) | [虻](虻.md) |  | méng | [名]
昆蟲綱雙翅目虻科動物的通稱。頭闊、眼大、體粗壯多毛，小者體形如家蠅，大者體形如熊蜂，有刺吸式口器，吸食牛等牲畜血液，有時也吸食人血。 |</v>
      </c>
    </row>
    <row r="2890" spans="1:44" hidden="1">
      <c r="A2890" s="1" t="s">
        <v>3255</v>
      </c>
      <c r="C2890" s="1">
        <v>1</v>
      </c>
      <c r="D2890" s="1" t="str">
        <f>"01294"</f>
        <v>01294</v>
      </c>
      <c r="E2890" s="1" t="s">
        <v>118</v>
      </c>
      <c r="F2890" s="1">
        <v>10</v>
      </c>
      <c r="G2890" s="1">
        <v>5</v>
      </c>
      <c r="H2890" s="1">
        <v>0</v>
      </c>
      <c r="I2890" s="1" t="s">
        <v>3246</v>
      </c>
      <c r="K2890" s="1" t="str">
        <f t="shared" si="186"/>
        <v>ㄇ</v>
      </c>
      <c r="L2890" s="1" t="str">
        <f t="shared" si="187"/>
        <v>ㄥ</v>
      </c>
      <c r="N2890" s="3" t="s">
        <v>30575</v>
      </c>
      <c r="O2890" s="3"/>
      <c r="P2890" s="1" t="s">
        <v>20</v>
      </c>
      <c r="R2890" s="1" t="s">
        <v>3247</v>
      </c>
      <c r="V2890" s="1" t="s">
        <v>3256</v>
      </c>
      <c r="AR2890" s="1" t="str">
        <f t="shared" si="188"/>
        <v>| [ㄇㄥˊ](ㄇㄥˊ.md) | [罞](罞.md) |  | méng | [名]
捕麋鹿的網。《爾雅．釋器》：「麋罟謂之罞。」 |</v>
      </c>
    </row>
    <row r="2891" spans="1:44" hidden="1">
      <c r="A2891" s="1" t="s">
        <v>3257</v>
      </c>
      <c r="C2891" s="1">
        <v>1</v>
      </c>
      <c r="D2891" s="1" t="str">
        <f>"01295"</f>
        <v>01295</v>
      </c>
      <c r="E2891" s="1" t="s">
        <v>125</v>
      </c>
      <c r="F2891" s="1">
        <v>13</v>
      </c>
      <c r="G2891" s="1">
        <v>5</v>
      </c>
      <c r="H2891" s="1">
        <v>0</v>
      </c>
      <c r="I2891" s="1" t="s">
        <v>3246</v>
      </c>
      <c r="K2891" s="1" t="str">
        <f t="shared" si="186"/>
        <v>ㄇ</v>
      </c>
      <c r="L2891" s="1" t="str">
        <f t="shared" si="187"/>
        <v>ㄥ</v>
      </c>
      <c r="N2891" s="3" t="s">
        <v>30575</v>
      </c>
      <c r="O2891" s="3"/>
      <c r="P2891" s="1" t="s">
        <v>20</v>
      </c>
      <c r="R2891" s="1" t="s">
        <v>3247</v>
      </c>
      <c r="V2891" s="1" t="s">
        <v>3258</v>
      </c>
      <c r="AR2891" s="1" t="str">
        <f t="shared" si="188"/>
        <v>| [ㄇㄥˊ](ㄇㄥˊ.md) | [雺](雺.md) |  | méng | [名]
霧氣。《爾雅．釋天》：「天氣下，地不應，曰：『雺』。」 |</v>
      </c>
    </row>
    <row r="2892" spans="1:44" hidden="1">
      <c r="A2892" s="1" t="s">
        <v>2940</v>
      </c>
      <c r="C2892" s="1">
        <v>1</v>
      </c>
      <c r="D2892" s="1" t="str">
        <f>"01296"</f>
        <v>01296</v>
      </c>
      <c r="E2892" s="1" t="s">
        <v>1078</v>
      </c>
      <c r="F2892" s="1">
        <v>15</v>
      </c>
      <c r="G2892" s="1">
        <v>5</v>
      </c>
      <c r="H2892" s="1">
        <v>2</v>
      </c>
      <c r="I2892" s="1" t="s">
        <v>3246</v>
      </c>
      <c r="K2892" s="1" t="str">
        <f t="shared" si="186"/>
        <v>ㄇ</v>
      </c>
      <c r="L2892" s="1" t="str">
        <f t="shared" si="187"/>
        <v>ㄥ</v>
      </c>
      <c r="N2892" s="3" t="s">
        <v>30575</v>
      </c>
      <c r="O2892" s="3"/>
      <c r="P2892" s="1" t="s">
        <v>20</v>
      </c>
      <c r="R2892" s="1" t="s">
        <v>3247</v>
      </c>
      <c r="V2892" s="1" t="s">
        <v>3259</v>
      </c>
      <c r="W2892" s="1" t="s">
        <v>3260</v>
      </c>
      <c r="AR2892" s="1" t="str">
        <f t="shared" si="188"/>
        <v>| [ㄇㄥˊ](ㄇㄥˊ.md) | [髳](髳.md) |  | méng | [形]
草木叢生繁茂的樣子。《爾雅．釋詁》：「覭髳，茀離也。」晉．郭璞．注：「謂草木之叢茸翳薈也。」 |</v>
      </c>
    </row>
    <row r="2893" spans="1:44" hidden="1">
      <c r="A2893" s="1" t="s">
        <v>3261</v>
      </c>
      <c r="C2893" s="1">
        <v>1</v>
      </c>
      <c r="D2893" s="1" t="str">
        <f>"01297"</f>
        <v>01297</v>
      </c>
      <c r="E2893" s="1" t="s">
        <v>125</v>
      </c>
      <c r="F2893" s="1">
        <v>22</v>
      </c>
      <c r="G2893" s="1">
        <v>14</v>
      </c>
      <c r="H2893" s="1">
        <v>0</v>
      </c>
      <c r="I2893" s="1" t="s">
        <v>3246</v>
      </c>
      <c r="K2893" s="1" t="str">
        <f t="shared" si="186"/>
        <v>ㄇ</v>
      </c>
      <c r="L2893" s="1" t="str">
        <f t="shared" si="187"/>
        <v>ㄥ</v>
      </c>
      <c r="N2893" s="3" t="s">
        <v>30575</v>
      </c>
      <c r="O2893" s="3"/>
      <c r="P2893" s="1" t="s">
        <v>20</v>
      </c>
      <c r="R2893" s="1" t="s">
        <v>3247</v>
      </c>
      <c r="V2893" s="1" t="s">
        <v>3262</v>
      </c>
      <c r="AR2893" s="1" t="str">
        <f t="shared" si="188"/>
        <v>| [ㄇㄥˊ](ㄇㄥˊ.md) | [霿](霿.md) |  | méng | [名]
霧氣。《說文解字．雨部》：「天氣下地不應曰：『霿』。」唐．柳宗元〈唐鐃歌鼓吹曲．奔鯨沛〉：「手援天矛，截脩鱗，披攘蒙霿，開海門。」
[形]
天色昏暗不清。《說文解字．雨部》：「霿，晦也。」如：「原野昏霿」。 |</v>
      </c>
    </row>
    <row r="2894" spans="1:44" hidden="1">
      <c r="A2894" s="1" t="s">
        <v>3263</v>
      </c>
      <c r="C2894" s="1">
        <v>1</v>
      </c>
      <c r="D2894" s="1" t="str">
        <f>"01298"</f>
        <v>01298</v>
      </c>
      <c r="E2894" s="1" t="s">
        <v>37</v>
      </c>
      <c r="F2894" s="1">
        <v>11</v>
      </c>
      <c r="G2894" s="1">
        <v>7</v>
      </c>
      <c r="H2894" s="1">
        <v>0</v>
      </c>
      <c r="I2894" s="1" t="s">
        <v>3246</v>
      </c>
      <c r="K2894" s="1" t="str">
        <f t="shared" si="186"/>
        <v>ㄇ</v>
      </c>
      <c r="L2894" s="1" t="str">
        <f t="shared" si="187"/>
        <v>ㄥ</v>
      </c>
      <c r="N2894" s="3" t="s">
        <v>30575</v>
      </c>
      <c r="O2894" s="3"/>
      <c r="P2894" s="1" t="s">
        <v>20</v>
      </c>
      <c r="R2894" s="1" t="s">
        <v>3247</v>
      </c>
      <c r="V2894" s="1" t="s">
        <v>3264</v>
      </c>
      <c r="AR2894" s="1" t="str">
        <f t="shared" si="188"/>
        <v>| [ㄇㄥˊ](ㄇㄥˊ.md) | [莔](莔.md) |  | méng | [名]
植物名。百合科貝母屬，「貝母」之古稱，參見「貝母」條。《爾雅．釋草》：「莔，貝母。」 |</v>
      </c>
    </row>
    <row r="2895" spans="1:44" hidden="1">
      <c r="A2895" s="1" t="s">
        <v>3265</v>
      </c>
      <c r="C2895" s="1">
        <v>1</v>
      </c>
      <c r="D2895" s="1" t="str">
        <f>"01299"</f>
        <v>01299</v>
      </c>
      <c r="E2895" s="1" t="s">
        <v>37</v>
      </c>
      <c r="F2895" s="1">
        <v>12</v>
      </c>
      <c r="G2895" s="1">
        <v>8</v>
      </c>
      <c r="H2895" s="1">
        <v>0</v>
      </c>
      <c r="I2895" s="1" t="s">
        <v>3246</v>
      </c>
      <c r="K2895" s="1" t="str">
        <f t="shared" si="186"/>
        <v>ㄇ</v>
      </c>
      <c r="L2895" s="1" t="str">
        <f t="shared" si="187"/>
        <v>ㄥ</v>
      </c>
      <c r="N2895" s="3" t="s">
        <v>30575</v>
      </c>
      <c r="O2895" s="3"/>
      <c r="P2895" s="1" t="s">
        <v>20</v>
      </c>
      <c r="R2895" s="1" t="s">
        <v>3247</v>
      </c>
      <c r="V2895" s="1" t="s">
        <v>3266</v>
      </c>
      <c r="AR2895" s="1" t="str">
        <f t="shared" si="188"/>
        <v>| [ㄇㄥˊ](ㄇㄥˊ.md) | [萌](萌.md) |  | méng | [名]
1.草木初生的芽。《說文解字．艸部》：「萌，艸芽也。」唐．韓愈、劉師服、侯喜、軒轅彌明〈石鼎聯句〉：「秋瓜未落蒂，凍芋強抽萌。」
2.事物發生的開端或徵兆。《韓非子．說林上》：「聖人見微以知萌，見端以知末。」漢．蔡邕〈對詔問灾異八事〉：「以杜漸防萌，則其救也。」
3.人民。通「氓」。如：「萌黎」、「萌隸」。
4.姓。如五代時蜀有萌慮。
[動]
1.發芽。如：「萌芽」。《楚辭．王逸．九思．傷時》：「明風習習兮龢暖，百草萌兮華榮。」
2.發生。如：「故態復萌」。《管子．牧民》：「惟有道者，能備患於未形也，故禍不萌。」《三國演義》第一回：「若萌異心，必獲惡報。」 |</v>
      </c>
    </row>
    <row r="2896" spans="1:44" hidden="1">
      <c r="A2896" s="1" t="s">
        <v>3267</v>
      </c>
      <c r="C2896" s="1">
        <v>1</v>
      </c>
      <c r="D2896" s="1" t="str">
        <f>"01300"</f>
        <v>01300</v>
      </c>
      <c r="E2896" s="1" t="s">
        <v>438</v>
      </c>
      <c r="F2896" s="1">
        <v>13</v>
      </c>
      <c r="G2896" s="1">
        <v>8</v>
      </c>
      <c r="H2896" s="1">
        <v>1</v>
      </c>
      <c r="I2896" s="1" t="s">
        <v>3246</v>
      </c>
      <c r="K2896" s="1" t="str">
        <f t="shared" si="186"/>
        <v>ㄇ</v>
      </c>
      <c r="L2896" s="1" t="str">
        <f t="shared" si="187"/>
        <v>ㄥ</v>
      </c>
      <c r="N2896" s="3" t="s">
        <v>30575</v>
      </c>
      <c r="O2896" s="3"/>
      <c r="P2896" s="1" t="s">
        <v>20</v>
      </c>
      <c r="R2896" s="1" t="s">
        <v>3247</v>
      </c>
      <c r="V2896" s="1" t="s">
        <v>3268</v>
      </c>
      <c r="W2896" s="1" t="s">
        <v>3269</v>
      </c>
      <c r="AR2896" s="1" t="str">
        <f t="shared" si="188"/>
        <v>| [ㄇㄥˊ](ㄇㄥˊ.md) | [盟](盟.md) |  | méng | [動]
立約起誓。《左傳．昭公十三年》：「諸侯將以甲戌盟，寡君知不得事君矣，請君無勤。」《史記．卷六五．孫子吳起傳》：「與其母訣，齧臂而盟曰：『起不為卿相，不復入衛。』」
[名]
1.誓約。如：「海誓山盟」。宋．陸游〈釵頭鳳．紅酥手〉詞：「山盟雖在，錦書難託。莫！莫！莫！」
2.文體名。古代的約誓之詞。清．徐師曾〈文體明辨序說．盟〉：「按《禮記》：『蒞物曰盟。』劉勰云：『盟者，明也，祝告於神明者也。』亦稱曰誓，謂約信之詞也。」
3.蒙古、青海等地合數個部落或旗而成的行政區域。如：「昭烏達盟」。
[形]
有信約關係的。如：「同盟國」、「盟軍」。 |</v>
      </c>
    </row>
    <row r="2897" spans="1:44" hidden="1">
      <c r="A2897" s="1" t="s">
        <v>3270</v>
      </c>
      <c r="C2897" s="1">
        <v>1</v>
      </c>
      <c r="D2897" s="1" t="str">
        <f>"01301"</f>
        <v>01301</v>
      </c>
      <c r="E2897" s="1" t="s">
        <v>534</v>
      </c>
      <c r="F2897" s="1">
        <v>13</v>
      </c>
      <c r="G2897" s="1">
        <v>10</v>
      </c>
      <c r="H2897" s="1">
        <v>1</v>
      </c>
      <c r="I2897" s="1" t="s">
        <v>3246</v>
      </c>
      <c r="K2897" s="1" t="str">
        <f t="shared" si="186"/>
        <v>ㄇ</v>
      </c>
      <c r="L2897" s="1" t="str">
        <f t="shared" si="187"/>
        <v>ㄥ</v>
      </c>
      <c r="N2897" s="3" t="s">
        <v>30575</v>
      </c>
      <c r="O2897" s="3"/>
      <c r="P2897" s="1" t="s">
        <v>20</v>
      </c>
      <c r="R2897" s="1" t="s">
        <v>3247</v>
      </c>
      <c r="V2897" s="1" t="s">
        <v>3271</v>
      </c>
      <c r="W2897" s="1" t="s">
        <v>3272</v>
      </c>
      <c r="AR2897" s="1" t="str">
        <f t="shared" si="188"/>
        <v>| [ㄇㄥˊ](ㄇㄥˊ.md) | [嫇](嫇.md) |  | méng | 參見「瑩嫇」條。 |</v>
      </c>
    </row>
    <row r="2898" spans="1:44" hidden="1">
      <c r="A2898" s="1" t="s">
        <v>3273</v>
      </c>
      <c r="C2898" s="1">
        <v>1</v>
      </c>
      <c r="D2898" s="1" t="str">
        <f>"01302"</f>
        <v>01302</v>
      </c>
      <c r="E2898" s="1" t="s">
        <v>37</v>
      </c>
      <c r="F2898" s="1">
        <v>14</v>
      </c>
      <c r="G2898" s="1">
        <v>10</v>
      </c>
      <c r="H2898" s="1">
        <v>0</v>
      </c>
      <c r="I2898" s="1" t="s">
        <v>3246</v>
      </c>
      <c r="K2898" s="1" t="str">
        <f t="shared" si="186"/>
        <v>ㄇ</v>
      </c>
      <c r="L2898" s="1" t="str">
        <f t="shared" si="187"/>
        <v>ㄥ</v>
      </c>
      <c r="N2898" s="3" t="s">
        <v>30575</v>
      </c>
      <c r="O2898" s="3"/>
      <c r="P2898" s="1" t="s">
        <v>20</v>
      </c>
      <c r="R2898" s="1" t="s">
        <v>3247</v>
      </c>
      <c r="V2898" s="1" t="s">
        <v>3274</v>
      </c>
      <c r="AR2898" s="1" t="str">
        <f t="shared" si="188"/>
        <v>| [ㄇㄥˊ](ㄇㄥˊ.md) | [蒙](蒙.md) |  | méng | [動]
1.覆蓋、遮著。如：「蒙上一張紙。」
2.欺騙、瞞騙。如：「蒙騙」。《左傳．僖公二十四年》：「上下相蒙。」
3.冒。《漢書．卷五一．賈山傳》：「故切直之言，明主所欲急聞，忠臣之所以蒙死而竭知也。」《漢書．卷四九．鼂錯傳》：「故能使其眾蒙矢石，赴湯火，視死如生。」
4.受到、承受，表示感敬。如：「蒙您照料，十分感謝。」《文選．李密．陳情表》：「尋蒙國恩，除臣洗馬。」
5.遭受、遭遇。如：「蒙難」。《易經．明夷卦．彖曰》：「內文明而外柔順，以蒙大難。」《元史．卷六五．河渠志二》：「黃河決溢，千里蒙害。」
[名]
1.昏昧無知的心智。如：「啟蒙」。《黃帝內經素問．卷一一．舉痛論》：「令驗於己而發蒙解惑，可得而聞乎？」
2.孩童。如：「童蒙」。
3.《易經》卦名。六十四卦之一。坎（☵）下艮（☶）上。進退兩難，不知所適之象。
4.蒙古的簡稱。如：「蒙藏」。
5.姓。如秦朝有蒙恬。 |</v>
      </c>
    </row>
    <row r="2899" spans="1:44" hidden="1">
      <c r="A2899" s="1" t="s">
        <v>3275</v>
      </c>
      <c r="C2899" s="1">
        <v>1</v>
      </c>
      <c r="D2899" s="1" t="str">
        <f>"01303"</f>
        <v>01303</v>
      </c>
      <c r="E2899" s="1" t="s">
        <v>129</v>
      </c>
      <c r="F2899" s="1">
        <v>17</v>
      </c>
      <c r="G2899" s="1">
        <v>14</v>
      </c>
      <c r="H2899" s="1">
        <v>0</v>
      </c>
      <c r="I2899" s="1" t="s">
        <v>3246</v>
      </c>
      <c r="K2899" s="1" t="str">
        <f t="shared" si="186"/>
        <v>ㄇ</v>
      </c>
      <c r="L2899" s="1" t="str">
        <f t="shared" si="187"/>
        <v>ㄥ</v>
      </c>
      <c r="N2899" s="3" t="s">
        <v>30575</v>
      </c>
      <c r="O2899" s="3"/>
      <c r="P2899" s="1" t="s">
        <v>20</v>
      </c>
      <c r="R2899" s="1" t="s">
        <v>3247</v>
      </c>
      <c r="V2899" s="1" t="s">
        <v>3276</v>
      </c>
      <c r="AR2899" s="1" t="str">
        <f t="shared" si="188"/>
        <v>| [ㄇㄥˊ](ㄇㄥˊ.md) | [濛](濛.md) |  | méng | [形]
下著小雨的樣子。《詩經．豳風．東山》：「我徂東山，慆慆不歸；我來自東，零雨其濛。」
[動]
籠罩。唐．武元衡〈和楊弘微春日曲江南望〉詩：「煙濛宮樹晚，花咽石泉流。」《太平廣記．卷四一八．張魯女》：「張魯之女，曾浣衣於山下，有白霧濛身，因而孕焉。」 |</v>
      </c>
    </row>
    <row r="2900" spans="1:44" hidden="1">
      <c r="A2900" s="1" t="s">
        <v>3277</v>
      </c>
      <c r="C2900" s="1">
        <v>1</v>
      </c>
      <c r="D2900" s="1" t="str">
        <f>"01304"</f>
        <v>01304</v>
      </c>
      <c r="E2900" s="1" t="s">
        <v>250</v>
      </c>
      <c r="F2900" s="1">
        <v>17</v>
      </c>
      <c r="G2900" s="1">
        <v>14</v>
      </c>
      <c r="H2900" s="1">
        <v>1</v>
      </c>
      <c r="I2900" s="1" t="s">
        <v>3246</v>
      </c>
      <c r="K2900" s="1" t="str">
        <f t="shared" si="186"/>
        <v>ㄇ</v>
      </c>
      <c r="L2900" s="1" t="str">
        <f t="shared" si="187"/>
        <v>ㄥ</v>
      </c>
      <c r="N2900" s="3" t="s">
        <v>30575</v>
      </c>
      <c r="O2900" s="3"/>
      <c r="P2900" s="1" t="s">
        <v>20</v>
      </c>
      <c r="R2900" s="1" t="s">
        <v>3247</v>
      </c>
      <c r="V2900" s="1" t="s">
        <v>3278</v>
      </c>
      <c r="W2900" s="1" t="s">
        <v>3279</v>
      </c>
      <c r="AR2900" s="1" t="str">
        <f t="shared" si="188"/>
        <v>| [ㄇㄥˊ](ㄇㄥˊ.md) | [懞](懞.md) |  | méng | [形]
樸實忠厚。《管子．五輔》：「敦懞純固，以備禍亂。」《西遊記》第二三回：「那獃子雖是心性愚頑，郤只是一味懞直。」 |</v>
      </c>
    </row>
    <row r="2901" spans="1:44" hidden="1">
      <c r="A2901" s="1" t="s">
        <v>3280</v>
      </c>
      <c r="C2901" s="1">
        <v>1</v>
      </c>
      <c r="D2901" s="1" t="str">
        <f>"01305"</f>
        <v>01305</v>
      </c>
      <c r="E2901" s="1" t="s">
        <v>222</v>
      </c>
      <c r="F2901" s="1">
        <v>17</v>
      </c>
      <c r="G2901" s="1">
        <v>14</v>
      </c>
      <c r="H2901" s="1">
        <v>1</v>
      </c>
      <c r="I2901" s="1" t="s">
        <v>3246</v>
      </c>
      <c r="K2901" s="1" t="str">
        <f t="shared" si="186"/>
        <v>ㄇ</v>
      </c>
      <c r="L2901" s="1" t="str">
        <f t="shared" si="187"/>
        <v>ㄥ</v>
      </c>
      <c r="N2901" s="3" t="s">
        <v>30575</v>
      </c>
      <c r="O2901" s="3"/>
      <c r="P2901" s="1" t="s">
        <v>20</v>
      </c>
      <c r="R2901" s="1" t="s">
        <v>3247</v>
      </c>
      <c r="V2901" s="1" t="s">
        <v>3281</v>
      </c>
      <c r="W2901" s="1" t="s">
        <v>3282</v>
      </c>
      <c r="AR2901" s="1" t="str">
        <f t="shared" si="188"/>
        <v>| [ㄇㄥˊ](ㄇㄥˊ.md) | [幪](幪.md) |  | méng | [動]
遮蓋。通「蒙」。宋．趙師俠〈點絳脣．日暖風暄〉詞：「瑩徹精神，映月唯宜夜，幪香帕，倩風扶下，碎玉殘妝卸。」 |</v>
      </c>
    </row>
    <row r="2902" spans="1:44" hidden="1">
      <c r="A2902" s="1" t="s">
        <v>3283</v>
      </c>
      <c r="C2902" s="1">
        <v>1</v>
      </c>
      <c r="D2902" s="1" t="str">
        <f>"01306"</f>
        <v>01306</v>
      </c>
      <c r="E2902" s="1" t="s">
        <v>139</v>
      </c>
      <c r="F2902" s="1">
        <v>18</v>
      </c>
      <c r="G2902" s="1">
        <v>14</v>
      </c>
      <c r="H2902" s="1">
        <v>0</v>
      </c>
      <c r="I2902" s="1" t="s">
        <v>3246</v>
      </c>
      <c r="K2902" s="1" t="str">
        <f t="shared" si="186"/>
        <v>ㄇ</v>
      </c>
      <c r="L2902" s="1" t="str">
        <f t="shared" si="187"/>
        <v>ㄥ</v>
      </c>
      <c r="N2902" s="3" t="s">
        <v>30575</v>
      </c>
      <c r="O2902" s="3"/>
      <c r="P2902" s="1" t="s">
        <v>20</v>
      </c>
      <c r="R2902" s="1" t="s">
        <v>3247</v>
      </c>
      <c r="V2902" s="1" t="s">
        <v>3284</v>
      </c>
      <c r="AR2902" s="1" t="str">
        <f t="shared" si="188"/>
        <v>| [ㄇㄥˊ](ㄇㄥˊ.md) | [檬](檬.md) |  | méng | [名]
1.古代一種樹木，似槐，葉黃。《玉篇．木部》：「檬，木名，似槐，葉黃。」
2.參見「檸檬」條。 |</v>
      </c>
    </row>
    <row r="2903" spans="1:44" hidden="1">
      <c r="A2903" s="1" t="s">
        <v>3285</v>
      </c>
      <c r="C2903" s="1">
        <v>1</v>
      </c>
      <c r="D2903" s="1" t="str">
        <f>"01307"</f>
        <v>01307</v>
      </c>
      <c r="E2903" s="1" t="s">
        <v>1703</v>
      </c>
      <c r="F2903" s="1">
        <v>18</v>
      </c>
      <c r="G2903" s="1">
        <v>14</v>
      </c>
      <c r="H2903" s="1">
        <v>0</v>
      </c>
      <c r="I2903" s="1" t="s">
        <v>3246</v>
      </c>
      <c r="K2903" s="1" t="str">
        <f t="shared" si="186"/>
        <v>ㄇ</v>
      </c>
      <c r="L2903" s="1" t="str">
        <f t="shared" si="187"/>
        <v>ㄥ</v>
      </c>
      <c r="N2903" s="3" t="s">
        <v>30575</v>
      </c>
      <c r="O2903" s="3"/>
      <c r="P2903" s="1" t="s">
        <v>20</v>
      </c>
      <c r="R2903" s="1" t="s">
        <v>3247</v>
      </c>
      <c r="V2903" s="1" t="s">
        <v>3286</v>
      </c>
      <c r="AR2903" s="1" t="str">
        <f t="shared" si="188"/>
        <v>| [ㄇㄥˊ](ㄇㄥˊ.md) | [氋](氋.md) |  | méng | 參見「氋氃」條。 |</v>
      </c>
    </row>
    <row r="2904" spans="1:44" hidden="1">
      <c r="A2904" s="1" t="s">
        <v>3287</v>
      </c>
      <c r="C2904" s="1">
        <v>1</v>
      </c>
      <c r="D2904" s="1" t="str">
        <f>"01308"</f>
        <v>01308</v>
      </c>
      <c r="E2904" s="1" t="s">
        <v>646</v>
      </c>
      <c r="F2904" s="1">
        <v>18</v>
      </c>
      <c r="G2904" s="1">
        <v>14</v>
      </c>
      <c r="H2904" s="1">
        <v>0</v>
      </c>
      <c r="I2904" s="1" t="s">
        <v>3246</v>
      </c>
      <c r="K2904" s="1" t="str">
        <f t="shared" si="186"/>
        <v>ㄇ</v>
      </c>
      <c r="L2904" s="1" t="str">
        <f t="shared" si="187"/>
        <v>ㄥ</v>
      </c>
      <c r="N2904" s="3" t="s">
        <v>30575</v>
      </c>
      <c r="O2904" s="3"/>
      <c r="P2904" s="1" t="s">
        <v>20</v>
      </c>
      <c r="R2904" s="1" t="s">
        <v>3247</v>
      </c>
      <c r="V2904" s="1" t="s">
        <v>3288</v>
      </c>
      <c r="AR2904" s="1" t="str">
        <f t="shared" si="188"/>
        <v>| [ㄇㄥˊ](ㄇㄥˊ.md) | [曚](曚.md) |  | méng | 參見「曚曨」條。 |</v>
      </c>
    </row>
    <row r="2905" spans="1:44" hidden="1">
      <c r="A2905" s="1" t="s">
        <v>3289</v>
      </c>
      <c r="C2905" s="1">
        <v>1</v>
      </c>
      <c r="D2905" s="1" t="str">
        <f>"01309"</f>
        <v>01309</v>
      </c>
      <c r="E2905" s="1" t="s">
        <v>2014</v>
      </c>
      <c r="F2905" s="1">
        <v>18</v>
      </c>
      <c r="G2905" s="1">
        <v>14</v>
      </c>
      <c r="H2905" s="1">
        <v>0</v>
      </c>
      <c r="I2905" s="1" t="s">
        <v>3246</v>
      </c>
      <c r="K2905" s="1" t="str">
        <f t="shared" si="186"/>
        <v>ㄇ</v>
      </c>
      <c r="L2905" s="1" t="str">
        <f t="shared" si="187"/>
        <v>ㄥ</v>
      </c>
      <c r="N2905" s="3" t="s">
        <v>30575</v>
      </c>
      <c r="O2905" s="3"/>
      <c r="P2905" s="1" t="s">
        <v>20</v>
      </c>
      <c r="R2905" s="1" t="s">
        <v>3247</v>
      </c>
      <c r="V2905" s="1" t="s">
        <v>3290</v>
      </c>
      <c r="AR2905" s="1" t="str">
        <f t="shared" si="188"/>
        <v>| [ㄇㄥˊ](ㄇㄥˊ.md) | [朦](朦.md) |  | méng | 參見「朦朧」條。 |</v>
      </c>
    </row>
    <row r="2906" spans="1:44" hidden="1">
      <c r="A2906" s="1" t="s">
        <v>3291</v>
      </c>
      <c r="C2906" s="1">
        <v>1</v>
      </c>
      <c r="D2906" s="1" t="str">
        <f>"01310"</f>
        <v>01310</v>
      </c>
      <c r="E2906" s="1" t="s">
        <v>169</v>
      </c>
      <c r="F2906" s="1">
        <v>19</v>
      </c>
      <c r="G2906" s="1">
        <v>14</v>
      </c>
      <c r="H2906" s="1">
        <v>0</v>
      </c>
      <c r="I2906" s="1" t="s">
        <v>3246</v>
      </c>
      <c r="K2906" s="1" t="str">
        <f t="shared" si="186"/>
        <v>ㄇ</v>
      </c>
      <c r="L2906" s="1" t="str">
        <f t="shared" si="187"/>
        <v>ㄥ</v>
      </c>
      <c r="N2906" s="3" t="s">
        <v>30575</v>
      </c>
      <c r="O2906" s="3"/>
      <c r="P2906" s="1" t="s">
        <v>20</v>
      </c>
      <c r="R2906" s="1" t="s">
        <v>3247</v>
      </c>
      <c r="V2906" s="1" t="s">
        <v>3292</v>
      </c>
      <c r="AR2906" s="1" t="str">
        <f t="shared" si="188"/>
        <v>| [ㄇㄥˊ](ㄇㄥˊ.md) | [礞](礞.md) |  | méng | 參見「礞石」條。 |</v>
      </c>
    </row>
    <row r="2907" spans="1:44" hidden="1">
      <c r="A2907" s="1" t="s">
        <v>3241</v>
      </c>
      <c r="C2907" s="1">
        <v>1</v>
      </c>
      <c r="D2907" s="1" t="str">
        <f>"01311"</f>
        <v>01311</v>
      </c>
      <c r="E2907" s="1" t="s">
        <v>1015</v>
      </c>
      <c r="F2907" s="1">
        <v>19</v>
      </c>
      <c r="G2907" s="1">
        <v>14</v>
      </c>
      <c r="H2907" s="1">
        <v>1</v>
      </c>
      <c r="I2907" s="1" t="s">
        <v>3246</v>
      </c>
      <c r="K2907" s="1" t="str">
        <f t="shared" si="186"/>
        <v>ㄇ</v>
      </c>
      <c r="L2907" s="1" t="str">
        <f t="shared" si="187"/>
        <v>ㄥ</v>
      </c>
      <c r="N2907" s="3" t="s">
        <v>30575</v>
      </c>
      <c r="O2907" s="3"/>
      <c r="P2907" s="1" t="s">
        <v>20</v>
      </c>
      <c r="R2907" s="1" t="s">
        <v>3247</v>
      </c>
      <c r="V2907" s="1" t="s">
        <v>3293</v>
      </c>
      <c r="W2907" s="1" t="s">
        <v>3294</v>
      </c>
      <c r="AR2907" s="1" t="str">
        <f t="shared" si="188"/>
        <v>| [ㄇㄥˊ](ㄇㄥˊ.md) | [矇](矇.md) |  | méng | [名]_x000D_
盲人。《詩經．大雅．靈臺》：「鼉鼓逢逢，矇瞍奏公。」_x000D_
[形]_x000D_
失明、眼睛看不見。元．朱凱《昊天塔》第一折：「你聽了我聲音耳不聾，你覷了我容顏眼不矇。」 |</v>
      </c>
    </row>
    <row r="2908" spans="1:44" hidden="1">
      <c r="A2908" s="1" t="s">
        <v>3295</v>
      </c>
      <c r="C2908" s="1">
        <v>1</v>
      </c>
      <c r="D2908" s="1" t="str">
        <f>"01312"</f>
        <v>01312</v>
      </c>
      <c r="E2908" s="1" t="s">
        <v>181</v>
      </c>
      <c r="F2908" s="1">
        <v>20</v>
      </c>
      <c r="G2908" s="1">
        <v>14</v>
      </c>
      <c r="H2908" s="1">
        <v>0</v>
      </c>
      <c r="I2908" s="1" t="s">
        <v>3246</v>
      </c>
      <c r="K2908" s="1" t="str">
        <f t="shared" si="186"/>
        <v>ㄇ</v>
      </c>
      <c r="L2908" s="1" t="str">
        <f t="shared" si="187"/>
        <v>ㄥ</v>
      </c>
      <c r="N2908" s="3" t="s">
        <v>30575</v>
      </c>
      <c r="O2908" s="3"/>
      <c r="P2908" s="1" t="s">
        <v>20</v>
      </c>
      <c r="R2908" s="1" t="s">
        <v>3247</v>
      </c>
      <c r="V2908" s="1" t="s">
        <v>3296</v>
      </c>
      <c r="AR2908" s="1" t="str">
        <f t="shared" si="188"/>
        <v>| [ㄇㄥˊ](ㄇㄥˊ.md) | [艨](艨.md) |  | méng | 參見「艨艟」條。 |</v>
      </c>
    </row>
    <row r="2909" spans="1:44" hidden="1">
      <c r="A2909" s="1" t="s">
        <v>3297</v>
      </c>
      <c r="C2909" s="1">
        <v>1</v>
      </c>
      <c r="D2909" s="1" t="str">
        <f>"01313"</f>
        <v>01313</v>
      </c>
      <c r="E2909" s="1" t="s">
        <v>193</v>
      </c>
      <c r="F2909" s="1">
        <v>22</v>
      </c>
      <c r="G2909" s="1">
        <v>14</v>
      </c>
      <c r="H2909" s="1">
        <v>0</v>
      </c>
      <c r="I2909" s="1" t="s">
        <v>3246</v>
      </c>
      <c r="K2909" s="1" t="str">
        <f t="shared" si="186"/>
        <v>ㄇ</v>
      </c>
      <c r="L2909" s="1" t="str">
        <f t="shared" si="187"/>
        <v>ㄥ</v>
      </c>
      <c r="N2909" s="3" t="s">
        <v>30575</v>
      </c>
      <c r="O2909" s="3"/>
      <c r="P2909" s="1" t="s">
        <v>20</v>
      </c>
      <c r="R2909" s="1" t="s">
        <v>3247</v>
      </c>
      <c r="V2909" s="1" t="s">
        <v>3298</v>
      </c>
      <c r="AR2909" s="1" t="str">
        <f t="shared" si="188"/>
        <v>| [ㄇㄥˊ](ㄇㄥˊ.md) | [饛](饛.md) |  | méng | [形]
器皿裝滿東西的樣子。《說文解字．食部》：「饛，盛器滿貌。」《詩經．小雅．大東》：「有饛簋飧，有捄棘匕。」 |</v>
      </c>
    </row>
    <row r="2910" spans="1:44" hidden="1">
      <c r="A2910" s="1" t="s">
        <v>3224</v>
      </c>
      <c r="C2910" s="1">
        <v>1</v>
      </c>
      <c r="D2910" s="1" t="str">
        <f>"01314"</f>
        <v>01314</v>
      </c>
      <c r="E2910" s="1" t="s">
        <v>272</v>
      </c>
      <c r="F2910" s="1">
        <v>25</v>
      </c>
      <c r="G2910" s="1">
        <v>14</v>
      </c>
      <c r="H2910" s="1">
        <v>1</v>
      </c>
      <c r="I2910" s="1" t="s">
        <v>3246</v>
      </c>
      <c r="K2910" s="1" t="str">
        <f t="shared" si="186"/>
        <v>ㄇ</v>
      </c>
      <c r="L2910" s="1" t="str">
        <f t="shared" si="187"/>
        <v>ㄥ</v>
      </c>
      <c r="N2910" s="3" t="s">
        <v>30575</v>
      </c>
      <c r="O2910" s="3"/>
      <c r="P2910" s="1" t="s">
        <v>20</v>
      </c>
      <c r="R2910" s="1" t="s">
        <v>3247</v>
      </c>
      <c r="V2910" s="1" t="s">
        <v>3299</v>
      </c>
      <c r="W2910" s="1" t="s">
        <v>3300</v>
      </c>
      <c r="AR2910" s="1" t="str">
        <f t="shared" si="188"/>
        <v>| [ㄇㄥˊ](ㄇㄥˊ.md) | [鸏](鸏.md) |  | méng | [名]
古時一種水鳥。《說文解字．鳥部》：「鸏，水鳥名。」 |</v>
      </c>
    </row>
    <row r="2911" spans="1:44" hidden="1">
      <c r="A2911" s="1" t="s">
        <v>3301</v>
      </c>
      <c r="C2911" s="1">
        <v>1</v>
      </c>
      <c r="D2911" s="1" t="str">
        <f>"01315"</f>
        <v>01315</v>
      </c>
      <c r="E2911" s="1" t="s">
        <v>1824</v>
      </c>
      <c r="F2911" s="1">
        <v>16</v>
      </c>
      <c r="G2911" s="1">
        <v>11</v>
      </c>
      <c r="H2911" s="1">
        <v>0</v>
      </c>
      <c r="I2911" s="1" t="s">
        <v>3246</v>
      </c>
      <c r="K2911" s="1" t="str">
        <f t="shared" si="186"/>
        <v>ㄇ</v>
      </c>
      <c r="L2911" s="1" t="str">
        <f t="shared" si="187"/>
        <v>ㄥ</v>
      </c>
      <c r="N2911" s="3" t="s">
        <v>30575</v>
      </c>
      <c r="O2911" s="3"/>
      <c r="P2911" s="1" t="s">
        <v>20</v>
      </c>
      <c r="R2911" s="1" t="s">
        <v>3247</v>
      </c>
      <c r="V2911" s="1" t="s">
        <v>3302</v>
      </c>
      <c r="AR2911" s="1" t="str">
        <f t="shared" si="188"/>
        <v>| [ㄇㄥˊ](ㄇㄥˊ.md) | [甍](甍.md) |  | méng | [名]
屋脊。《文選．左思．蜀都賦》：「比屋連甍，千廡萬室。」唐．王勃〈滕王閣序〉：「披繡闥，俯雕甍。」 |</v>
      </c>
    </row>
    <row r="2912" spans="1:44" hidden="1">
      <c r="A2912" s="1" t="s">
        <v>3303</v>
      </c>
      <c r="C2912" s="1">
        <v>1</v>
      </c>
      <c r="D2912" s="1" t="str">
        <f>"01316"</f>
        <v>01316</v>
      </c>
      <c r="E2912" s="1" t="s">
        <v>1015</v>
      </c>
      <c r="F2912" s="1">
        <v>16</v>
      </c>
      <c r="G2912" s="1">
        <v>11</v>
      </c>
      <c r="H2912" s="1">
        <v>0</v>
      </c>
      <c r="I2912" s="1" t="s">
        <v>3246</v>
      </c>
      <c r="K2912" s="1" t="str">
        <f t="shared" si="186"/>
        <v>ㄇ</v>
      </c>
      <c r="L2912" s="1" t="str">
        <f t="shared" si="187"/>
        <v>ㄥ</v>
      </c>
      <c r="N2912" s="3" t="s">
        <v>30575</v>
      </c>
      <c r="O2912" s="3"/>
      <c r="P2912" s="1" t="s">
        <v>20</v>
      </c>
      <c r="R2912" s="1" t="s">
        <v>3247</v>
      </c>
      <c r="V2912" s="1" t="s">
        <v>3304</v>
      </c>
      <c r="AR2912" s="1" t="str">
        <f t="shared" si="188"/>
        <v>| [ㄇㄥˊ](ㄇㄥˊ.md) | [瞢](瞢.md) |  | méng | [形]
1.眼睛看不清楚的樣子。《說文解字．苜部》：「瞢，目不明也。」唐．李白〈上安州李長史書〉：「青白其眼，瞢而前行。」
2.晦暗不明。《楚辭．屈原．天問》：「冥昭瞢闇，誰能極之。」唐．柳宗元〈唐鐃歌鼓吹曲．戰武牢〉：「命之瞢，卑以斮。」
3.羞愧的。《文選．左思．魏都賦》：「有靦瞢容，神惢形茹。」
4.憂悶。《左傳．襄公十四年》：「不與於會，亦無瞢焉。」 |</v>
      </c>
    </row>
    <row r="2913" spans="1:44" hidden="1">
      <c r="A2913" s="1" t="s">
        <v>3305</v>
      </c>
      <c r="C2913" s="1">
        <v>1</v>
      </c>
      <c r="D2913" s="1" t="str">
        <f>"01317"</f>
        <v>01317</v>
      </c>
      <c r="E2913" s="1" t="s">
        <v>250</v>
      </c>
      <c r="F2913" s="1">
        <v>19</v>
      </c>
      <c r="G2913" s="1">
        <v>16</v>
      </c>
      <c r="H2913" s="1">
        <v>2</v>
      </c>
      <c r="I2913" s="1" t="s">
        <v>3246</v>
      </c>
      <c r="K2913" s="1" t="str">
        <f t="shared" si="186"/>
        <v>ㄇ</v>
      </c>
      <c r="L2913" s="1" t="str">
        <f t="shared" si="187"/>
        <v>ㄥ</v>
      </c>
      <c r="N2913" s="3" t="s">
        <v>30575</v>
      </c>
      <c r="O2913" s="3"/>
      <c r="P2913" s="1" t="s">
        <v>20</v>
      </c>
      <c r="R2913" s="1" t="s">
        <v>3247</v>
      </c>
      <c r="V2913" s="1" t="s">
        <v>3306</v>
      </c>
      <c r="W2913" s="1" t="s">
        <v>3307</v>
      </c>
      <c r="AR2913" s="1" t="str">
        <f t="shared" si="188"/>
        <v>| [ㄇㄥˊ](ㄇㄥˊ.md) | [懵](懵.md) |  | méng | 參見「懵懵」、「懵憒」等條。 |</v>
      </c>
    </row>
    <row r="2914" spans="1:44" hidden="1">
      <c r="A2914" s="1" t="s">
        <v>3308</v>
      </c>
      <c r="C2914" s="1">
        <v>1</v>
      </c>
      <c r="D2914" s="1" t="str">
        <f>"01318"</f>
        <v>01318</v>
      </c>
      <c r="E2914" s="1" t="s">
        <v>256</v>
      </c>
      <c r="F2914" s="1">
        <v>16</v>
      </c>
      <c r="G2914" s="1">
        <v>13</v>
      </c>
      <c r="H2914" s="1">
        <v>1</v>
      </c>
      <c r="I2914" s="1" t="s">
        <v>3246</v>
      </c>
      <c r="K2914" s="1" t="str">
        <f t="shared" si="186"/>
        <v>ㄇ</v>
      </c>
      <c r="L2914" s="1" t="str">
        <f t="shared" si="187"/>
        <v>ㄥ</v>
      </c>
      <c r="N2914" s="3" t="s">
        <v>30575</v>
      </c>
      <c r="O2914" s="3"/>
      <c r="P2914" s="1" t="s">
        <v>20</v>
      </c>
      <c r="R2914" s="1" t="s">
        <v>3247</v>
      </c>
      <c r="V2914" s="1" t="s">
        <v>3309</v>
      </c>
      <c r="W2914" s="1" t="s">
        <v>3310</v>
      </c>
      <c r="AR2914" s="1" t="str">
        <f t="shared" si="188"/>
        <v>| [ㄇㄥˊ](ㄇㄥˊ.md) | [鄳](鄳.md) |  | méng | [名]
縣名。西漢置，治所約在今大陸地區河南省羅山縣西南。 |</v>
      </c>
    </row>
    <row r="2915" spans="1:44" hidden="1">
      <c r="A2915" s="1" t="s">
        <v>3311</v>
      </c>
      <c r="C2915" s="1">
        <v>1</v>
      </c>
      <c r="D2915" s="1" t="str">
        <f>"01319"</f>
        <v>01319</v>
      </c>
      <c r="E2915" s="1" t="s">
        <v>114</v>
      </c>
      <c r="F2915" s="1">
        <v>16</v>
      </c>
      <c r="G2915" s="1">
        <v>14</v>
      </c>
      <c r="H2915" s="1">
        <v>0</v>
      </c>
      <c r="I2915" s="1" t="s">
        <v>3246</v>
      </c>
      <c r="K2915" s="1" t="str">
        <f t="shared" si="186"/>
        <v>ㄇ</v>
      </c>
      <c r="L2915" s="1" t="str">
        <f t="shared" si="187"/>
        <v>ㄥ</v>
      </c>
      <c r="N2915" s="3" t="s">
        <v>30575</v>
      </c>
      <c r="O2915" s="3"/>
      <c r="P2915" s="1" t="s">
        <v>20</v>
      </c>
      <c r="R2915" s="1" t="s">
        <v>3247</v>
      </c>
      <c r="V2915" s="1" t="s">
        <v>3312</v>
      </c>
      <c r="AR2915" s="1" t="str">
        <f t="shared" si="188"/>
        <v>| [ㄇㄥˊ](ㄇㄥˊ.md) | [儚](儚.md) |  | méng | 參見「儚儚」條。 |</v>
      </c>
    </row>
    <row r="2916" spans="1:44" hidden="1">
      <c r="A2916" s="1" t="s">
        <v>3313</v>
      </c>
      <c r="C2916" s="1">
        <v>1</v>
      </c>
      <c r="D2916" s="1" t="str">
        <f>"01320"</f>
        <v>01320</v>
      </c>
      <c r="E2916" s="1" t="s">
        <v>256</v>
      </c>
      <c r="F2916" s="1">
        <v>17</v>
      </c>
      <c r="G2916" s="1">
        <v>14</v>
      </c>
      <c r="H2916" s="1">
        <v>0</v>
      </c>
      <c r="I2916" s="1" t="s">
        <v>3246</v>
      </c>
      <c r="K2916" s="1" t="str">
        <f t="shared" si="186"/>
        <v>ㄇ</v>
      </c>
      <c r="L2916" s="1" t="str">
        <f t="shared" si="187"/>
        <v>ㄥ</v>
      </c>
      <c r="N2916" s="3" t="s">
        <v>30575</v>
      </c>
      <c r="O2916" s="3"/>
      <c r="P2916" s="1" t="s">
        <v>20</v>
      </c>
      <c r="R2916" s="1" t="s">
        <v>3247</v>
      </c>
      <c r="V2916" s="1" t="s">
        <v>3314</v>
      </c>
      <c r="AR2916" s="1" t="str">
        <f t="shared" si="188"/>
        <v>| [ㄇㄥˊ](ㄇㄥˊ.md) | [鄸](鄸.md) |  | méng | [名]
地名。春秋時曹邑，故址約在今大陸地區山東省曹縣北。 |</v>
      </c>
    </row>
    <row r="2917" spans="1:44" hidden="1">
      <c r="A2917" s="1" t="s">
        <v>1944</v>
      </c>
      <c r="C2917" s="1">
        <v>1</v>
      </c>
      <c r="D2917" s="1" t="str">
        <f>"01321"</f>
        <v>01321</v>
      </c>
      <c r="E2917" s="1" t="s">
        <v>447</v>
      </c>
      <c r="F2917" s="1">
        <v>10</v>
      </c>
      <c r="G2917" s="1">
        <v>7</v>
      </c>
      <c r="H2917" s="1">
        <v>1</v>
      </c>
      <c r="I2917" s="1" t="s">
        <v>3315</v>
      </c>
      <c r="K2917" s="1" t="str">
        <f t="shared" si="186"/>
        <v>ㄇ</v>
      </c>
      <c r="L2917" s="1" t="str">
        <f t="shared" si="187"/>
        <v>ㄥ</v>
      </c>
      <c r="N2917" s="3" t="s">
        <v>30576</v>
      </c>
      <c r="O2917" s="3"/>
      <c r="P2917" s="1" t="s">
        <v>20</v>
      </c>
      <c r="R2917" s="1" t="s">
        <v>3316</v>
      </c>
      <c r="V2917" s="1" t="s">
        <v>3317</v>
      </c>
      <c r="W2917" s="1" t="s">
        <v>3318</v>
      </c>
      <c r="AR2917" s="1" t="str">
        <f t="shared" si="188"/>
        <v>| [ㄇㄥˇ](ㄇㄥˇ.md) | [庬](庬.md) |  | měng | [形]
混沌不分的樣子。如：「庬澒」。 |</v>
      </c>
    </row>
    <row r="2918" spans="1:44" hidden="1">
      <c r="A2918" s="1" t="s">
        <v>3319</v>
      </c>
      <c r="C2918" s="1">
        <v>1</v>
      </c>
      <c r="D2918" s="1" t="str">
        <f>"01322"</f>
        <v>01322</v>
      </c>
      <c r="E2918" s="1" t="s">
        <v>198</v>
      </c>
      <c r="F2918" s="1">
        <v>11</v>
      </c>
      <c r="G2918" s="1">
        <v>8</v>
      </c>
      <c r="H2918" s="1">
        <v>0</v>
      </c>
      <c r="I2918" s="1" t="s">
        <v>3315</v>
      </c>
      <c r="K2918" s="1" t="str">
        <f t="shared" si="186"/>
        <v>ㄇ</v>
      </c>
      <c r="L2918" s="1" t="str">
        <f t="shared" si="187"/>
        <v>ㄥ</v>
      </c>
      <c r="N2918" s="3" t="s">
        <v>30576</v>
      </c>
      <c r="O2918" s="3"/>
      <c r="P2918" s="1" t="s">
        <v>20</v>
      </c>
      <c r="R2918" s="1" t="s">
        <v>3316</v>
      </c>
      <c r="V2918" s="1" t="s">
        <v>3320</v>
      </c>
      <c r="AR2918" s="1" t="str">
        <f t="shared" si="188"/>
        <v>| [ㄇㄥˇ](ㄇㄥˇ.md) | [猛](猛.md) |  | měng | [形]
1.勇敢、勇武。如：「勇猛」、「威猛」。漢．高祖〈大風歌〉：「大風起兮雲飛揚，威加海內兮歸故鄉，安得猛士兮守四方。」
2.凶惡、凶暴。如：「凶猛」、「猛虎」、「猛獸」。
3.劇烈、強烈。如：「猛烈」、「藥性很猛」。唐．皮日休〈桃花賦〉：「狂風猛雨，一陣紅去。」
[副]
1.急遽、急速。如：「突飛猛進」。
2.忽然、突然。如：「猛然回頭」。元．鄭廷玉《忍字記》第一折：「我若是前街上猛撞見，若是後巷裡廝逢著。」《醒世恆言．卷四．灌園叟晚逢仙女》：「玉人盡日懨懨地，猛被笙歌驚破睡。」
[名]
姓。如春秋時宋有猛獲。 |</v>
      </c>
    </row>
    <row r="2919" spans="1:44" hidden="1">
      <c r="A2919" s="1" t="s">
        <v>3321</v>
      </c>
      <c r="C2919" s="1">
        <v>1</v>
      </c>
      <c r="D2919" s="1" t="str">
        <f>"01323"</f>
        <v>01323</v>
      </c>
      <c r="E2919" s="1" t="s">
        <v>679</v>
      </c>
      <c r="F2919" s="1">
        <v>14</v>
      </c>
      <c r="G2919" s="1">
        <v>8</v>
      </c>
      <c r="H2919" s="1">
        <v>0</v>
      </c>
      <c r="I2919" s="1" t="s">
        <v>3315</v>
      </c>
      <c r="K2919" s="1" t="str">
        <f t="shared" si="186"/>
        <v>ㄇ</v>
      </c>
      <c r="L2919" s="1" t="str">
        <f t="shared" si="187"/>
        <v>ㄥ</v>
      </c>
      <c r="N2919" s="3" t="s">
        <v>30576</v>
      </c>
      <c r="O2919" s="3"/>
      <c r="P2919" s="1" t="s">
        <v>20</v>
      </c>
      <c r="R2919" s="1" t="s">
        <v>3316</v>
      </c>
      <c r="V2919" s="1" t="s">
        <v>3322</v>
      </c>
      <c r="AR2919" s="1" t="str">
        <f t="shared" si="188"/>
        <v>| [ㄇㄥˇ](ㄇㄥˇ.md) | [蜢](蜢.md) |  | měng | 參見「蚱蜢」條。 |</v>
      </c>
    </row>
    <row r="2920" spans="1:44" hidden="1">
      <c r="A2920" s="1" t="s">
        <v>3323</v>
      </c>
      <c r="C2920" s="1">
        <v>1</v>
      </c>
      <c r="D2920" s="1" t="str">
        <f>"01324"</f>
        <v>01324</v>
      </c>
      <c r="E2920" s="1" t="s">
        <v>181</v>
      </c>
      <c r="F2920" s="1">
        <v>14</v>
      </c>
      <c r="G2920" s="1">
        <v>8</v>
      </c>
      <c r="H2920" s="1">
        <v>0</v>
      </c>
      <c r="I2920" s="1" t="s">
        <v>3315</v>
      </c>
      <c r="K2920" s="1" t="str">
        <f t="shared" ref="K2920:K2983" si="189">LEFT(I2920, 1)</f>
        <v>ㄇ</v>
      </c>
      <c r="L2920" s="1" t="str">
        <f t="shared" ref="L2920:L2983" si="190">MID(I2920, 2, 1)</f>
        <v>ㄥ</v>
      </c>
      <c r="N2920" s="3" t="s">
        <v>30576</v>
      </c>
      <c r="O2920" s="3"/>
      <c r="P2920" s="1" t="s">
        <v>20</v>
      </c>
      <c r="R2920" s="1" t="s">
        <v>3316</v>
      </c>
      <c r="V2920" s="1" t="s">
        <v>3324</v>
      </c>
      <c r="AR2920" s="1" t="str">
        <f t="shared" si="188"/>
        <v>| [ㄇㄥˇ](ㄇㄥˇ.md) | [艋](艋.md) |  | měng | 參見「舴艋」條。 |</v>
      </c>
    </row>
    <row r="2921" spans="1:44" hidden="1">
      <c r="A2921" s="1" t="s">
        <v>3325</v>
      </c>
      <c r="C2921" s="1">
        <v>1</v>
      </c>
      <c r="D2921" s="1" t="str">
        <f>"01325"</f>
        <v>01325</v>
      </c>
      <c r="E2921" s="1" t="s">
        <v>55</v>
      </c>
      <c r="F2921" s="1">
        <v>16</v>
      </c>
      <c r="G2921" s="1">
        <v>8</v>
      </c>
      <c r="H2921" s="1">
        <v>0</v>
      </c>
      <c r="I2921" s="1" t="s">
        <v>3315</v>
      </c>
      <c r="K2921" s="1" t="str">
        <f t="shared" si="189"/>
        <v>ㄇ</v>
      </c>
      <c r="L2921" s="1" t="str">
        <f t="shared" si="190"/>
        <v>ㄥ</v>
      </c>
      <c r="N2921" s="3" t="s">
        <v>30576</v>
      </c>
      <c r="O2921" s="3"/>
      <c r="P2921" s="1" t="s">
        <v>20</v>
      </c>
      <c r="R2921" s="1" t="s">
        <v>3316</v>
      </c>
      <c r="V2921" s="1" t="s">
        <v>3326</v>
      </c>
      <c r="AR2921" s="1" t="str">
        <f t="shared" si="188"/>
        <v>| [ㄇㄥˇ](ㄇㄥˇ.md) | [錳](錳.md) |  | měng | [名]
（manganese，Mn）化學元素。原子序25。灰色金屬，質脆而硬。可用以製造錳鋼、錳銅等合金。 |</v>
      </c>
    </row>
    <row r="2922" spans="1:44" hidden="1">
      <c r="A2922" s="1" t="s">
        <v>3327</v>
      </c>
      <c r="C2922" s="1">
        <v>1</v>
      </c>
      <c r="D2922" s="1" t="str">
        <f>"01326"</f>
        <v>01326</v>
      </c>
      <c r="E2922" s="1" t="s">
        <v>1824</v>
      </c>
      <c r="F2922" s="1">
        <v>13</v>
      </c>
      <c r="G2922" s="1">
        <v>8</v>
      </c>
      <c r="H2922" s="1">
        <v>0</v>
      </c>
      <c r="I2922" s="1" t="s">
        <v>3315</v>
      </c>
      <c r="K2922" s="1" t="str">
        <f t="shared" si="189"/>
        <v>ㄇ</v>
      </c>
      <c r="L2922" s="1" t="str">
        <f t="shared" si="190"/>
        <v>ㄥ</v>
      </c>
      <c r="N2922" s="3" t="s">
        <v>30576</v>
      </c>
      <c r="O2922" s="3"/>
      <c r="P2922" s="1" t="s">
        <v>20</v>
      </c>
      <c r="R2922" s="1" t="s">
        <v>3316</v>
      </c>
      <c r="V2922" s="1" t="s">
        <v>3328</v>
      </c>
      <c r="AR2922" s="1" t="str">
        <f t="shared" si="188"/>
        <v>| [ㄇㄥˇ](ㄇㄥˇ.md) | [瓾](瓾.md) |  | měng | [名]
甑的索帶。《淮南子．說山》：「弊箄甑瓾，在袡茵之上，雖貪者不搏。」漢．高誘．注：「瓾，甑帶。」 |</v>
      </c>
    </row>
    <row r="2923" spans="1:44" hidden="1">
      <c r="A2923" s="1" t="s">
        <v>3308</v>
      </c>
      <c r="C2923" s="1">
        <v>1</v>
      </c>
      <c r="D2923" s="1" t="str">
        <f>"01327"</f>
        <v>01327</v>
      </c>
      <c r="E2923" s="1" t="s">
        <v>256</v>
      </c>
      <c r="F2923" s="1">
        <v>16</v>
      </c>
      <c r="G2923" s="1">
        <v>13</v>
      </c>
      <c r="H2923" s="1">
        <v>2</v>
      </c>
      <c r="I2923" s="1" t="s">
        <v>3315</v>
      </c>
      <c r="K2923" s="1" t="str">
        <f t="shared" si="189"/>
        <v>ㄇ</v>
      </c>
      <c r="L2923" s="1" t="str">
        <f t="shared" si="190"/>
        <v>ㄥ</v>
      </c>
      <c r="N2923" s="3" t="s">
        <v>30576</v>
      </c>
      <c r="O2923" s="3"/>
      <c r="P2923" s="1" t="s">
        <v>110</v>
      </c>
      <c r="R2923" s="1" t="s">
        <v>3316</v>
      </c>
      <c r="V2923" s="1" t="s">
        <v>111</v>
      </c>
      <c r="W2923" s="1" t="s">
        <v>3329</v>
      </c>
      <c r="AR2923" s="1" t="str">
        <f t="shared" si="188"/>
        <v>| [ㄇㄥˇ](ㄇㄥˇ.md) | [鄳](鄳.md) |  | měng | (一)之又音。 |</v>
      </c>
    </row>
    <row r="2924" spans="1:44" hidden="1">
      <c r="A2924" s="1" t="s">
        <v>3330</v>
      </c>
      <c r="C2924" s="1">
        <v>1</v>
      </c>
      <c r="D2924" s="1" t="str">
        <f>"01328"</f>
        <v>01328</v>
      </c>
      <c r="E2924" s="1" t="s">
        <v>3331</v>
      </c>
      <c r="F2924" s="1">
        <v>23</v>
      </c>
      <c r="G2924" s="1">
        <v>10</v>
      </c>
      <c r="H2924" s="1">
        <v>0</v>
      </c>
      <c r="I2924" s="1" t="s">
        <v>3315</v>
      </c>
      <c r="K2924" s="1" t="str">
        <f t="shared" si="189"/>
        <v>ㄇ</v>
      </c>
      <c r="L2924" s="1" t="str">
        <f t="shared" si="190"/>
        <v>ㄥ</v>
      </c>
      <c r="N2924" s="3" t="s">
        <v>30576</v>
      </c>
      <c r="O2924" s="3"/>
      <c r="P2924" s="1" t="s">
        <v>20</v>
      </c>
      <c r="R2924" s="1" t="s">
        <v>3316</v>
      </c>
      <c r="V2924" s="1" t="s">
        <v>3332</v>
      </c>
      <c r="AR2924" s="1" t="str">
        <f t="shared" si="188"/>
        <v>| [ㄇㄥˇ](ㄇㄥˇ.md) | [鼆](鼆.md) |  | měng | [名]
1.古代的一種昆蟲。《集韻．上聲．耿韻》：「鼆，蟲名。」
2.地名。春秋魯邑。也稱為「句鼆」。 |</v>
      </c>
    </row>
    <row r="2925" spans="1:44" hidden="1">
      <c r="A2925" s="1" t="s">
        <v>3280</v>
      </c>
      <c r="C2925" s="1">
        <v>1</v>
      </c>
      <c r="D2925" s="1" t="str">
        <f>"01329"</f>
        <v>01329</v>
      </c>
      <c r="E2925" s="1" t="s">
        <v>222</v>
      </c>
      <c r="F2925" s="1">
        <v>17</v>
      </c>
      <c r="G2925" s="1">
        <v>14</v>
      </c>
      <c r="H2925" s="1">
        <v>2</v>
      </c>
      <c r="I2925" s="1" t="s">
        <v>3315</v>
      </c>
      <c r="K2925" s="1" t="str">
        <f t="shared" si="189"/>
        <v>ㄇ</v>
      </c>
      <c r="L2925" s="1" t="str">
        <f t="shared" si="190"/>
        <v>ㄥ</v>
      </c>
      <c r="N2925" s="3" t="s">
        <v>30576</v>
      </c>
      <c r="O2925" s="3"/>
      <c r="P2925" s="1" t="s">
        <v>20</v>
      </c>
      <c r="R2925" s="1" t="s">
        <v>3316</v>
      </c>
      <c r="V2925" s="1" t="s">
        <v>3333</v>
      </c>
      <c r="W2925" s="1" t="s">
        <v>3334</v>
      </c>
      <c r="AR2925" s="1" t="str">
        <f t="shared" si="188"/>
        <v>| [ㄇㄥˇ](ㄇㄥˇ.md) | [幪](幪.md) |  | měng | 參見「幪幪」條。 |</v>
      </c>
    </row>
    <row r="2926" spans="1:44" hidden="1">
      <c r="A2926" s="1" t="s">
        <v>3335</v>
      </c>
      <c r="C2926" s="1">
        <v>1</v>
      </c>
      <c r="D2926" s="1" t="str">
        <f>"01330"</f>
        <v>01330</v>
      </c>
      <c r="E2926" s="1" t="s">
        <v>679</v>
      </c>
      <c r="F2926" s="1">
        <v>20</v>
      </c>
      <c r="G2926" s="1">
        <v>14</v>
      </c>
      <c r="H2926" s="1">
        <v>0</v>
      </c>
      <c r="I2926" s="1" t="s">
        <v>3315</v>
      </c>
      <c r="K2926" s="1" t="str">
        <f t="shared" si="189"/>
        <v>ㄇ</v>
      </c>
      <c r="L2926" s="1" t="str">
        <f t="shared" si="190"/>
        <v>ㄥ</v>
      </c>
      <c r="N2926" s="3" t="s">
        <v>30576</v>
      </c>
      <c r="O2926" s="3"/>
      <c r="P2926" s="1" t="s">
        <v>20</v>
      </c>
      <c r="R2926" s="1" t="s">
        <v>3316</v>
      </c>
      <c r="V2926" s="1" t="s">
        <v>3336</v>
      </c>
      <c r="AR2926" s="1" t="str">
        <f t="shared" si="188"/>
        <v>| [ㄇㄥˇ](ㄇㄥˇ.md) | [蠓](蠓.md) |  | měng | [名]
昆蟲綱雙翅目蠓科的泛稱。體小，翅寬短，有翅斑。口器刺吸式，能叮咬人、畜，發生痛癢及丘疹，傳播寄生蟲。約有二十餘種。 |</v>
      </c>
    </row>
    <row r="2927" spans="1:44" hidden="1">
      <c r="A2927" s="1" t="s">
        <v>3224</v>
      </c>
      <c r="C2927" s="1">
        <v>1</v>
      </c>
      <c r="D2927" s="1" t="str">
        <f>"01331"</f>
        <v>01331</v>
      </c>
      <c r="E2927" s="1" t="s">
        <v>272</v>
      </c>
      <c r="F2927" s="1">
        <v>25</v>
      </c>
      <c r="G2927" s="1">
        <v>14</v>
      </c>
      <c r="H2927" s="1">
        <v>2</v>
      </c>
      <c r="I2927" s="1" t="s">
        <v>3315</v>
      </c>
      <c r="K2927" s="1" t="str">
        <f t="shared" si="189"/>
        <v>ㄇ</v>
      </c>
      <c r="L2927" s="1" t="str">
        <f t="shared" si="190"/>
        <v>ㄥ</v>
      </c>
      <c r="N2927" s="3" t="s">
        <v>30576</v>
      </c>
      <c r="O2927" s="3"/>
      <c r="P2927" s="1" t="s">
        <v>110</v>
      </c>
      <c r="R2927" s="1" t="s">
        <v>3316</v>
      </c>
      <c r="V2927" s="1" t="s">
        <v>111</v>
      </c>
      <c r="W2927" s="1" t="s">
        <v>3337</v>
      </c>
      <c r="AR2927" s="1" t="str">
        <f t="shared" si="188"/>
        <v>| [ㄇㄥˇ](ㄇㄥˇ.md) | [鸏](鸏.md) |  | měng | (一)之又音。 |</v>
      </c>
    </row>
    <row r="2928" spans="1:44" hidden="1">
      <c r="A2928" s="1" t="s">
        <v>3305</v>
      </c>
      <c r="C2928" s="1">
        <v>1</v>
      </c>
      <c r="D2928" s="1" t="str">
        <f>"01332"</f>
        <v>01332</v>
      </c>
      <c r="E2928" s="1" t="s">
        <v>250</v>
      </c>
      <c r="F2928" s="1">
        <v>19</v>
      </c>
      <c r="G2928" s="1">
        <v>16</v>
      </c>
      <c r="H2928" s="1">
        <v>1</v>
      </c>
      <c r="I2928" s="1" t="s">
        <v>3315</v>
      </c>
      <c r="K2928" s="1" t="str">
        <f t="shared" si="189"/>
        <v>ㄇ</v>
      </c>
      <c r="L2928" s="1" t="str">
        <f t="shared" si="190"/>
        <v>ㄥ</v>
      </c>
      <c r="N2928" s="3" t="s">
        <v>30576</v>
      </c>
      <c r="O2928" s="3"/>
      <c r="P2928" s="1" t="s">
        <v>20</v>
      </c>
      <c r="R2928" s="1" t="s">
        <v>3316</v>
      </c>
      <c r="V2928" s="1" t="s">
        <v>3338</v>
      </c>
      <c r="W2928" s="1" t="s">
        <v>3339</v>
      </c>
      <c r="AR2928" s="1" t="str">
        <f t="shared" si="188"/>
        <v>| [ㄇㄥˇ](ㄇㄥˇ.md) | [懵](懵.md) |  | měng | 參見「懵懂」條。 |</v>
      </c>
    </row>
    <row r="2929" spans="1:44" hidden="1">
      <c r="A2929" s="1" t="s">
        <v>3428</v>
      </c>
      <c r="C2929" s="1">
        <v>1</v>
      </c>
      <c r="D2929" s="1" t="str">
        <f>"01368"</f>
        <v>01368</v>
      </c>
      <c r="E2929" s="1" t="s">
        <v>3359</v>
      </c>
      <c r="F2929" s="1">
        <v>2</v>
      </c>
      <c r="G2929" s="1">
        <v>0</v>
      </c>
      <c r="H2929" s="1">
        <v>0</v>
      </c>
      <c r="I2929" s="1" t="s">
        <v>3429</v>
      </c>
      <c r="K2929" s="1" t="str">
        <f t="shared" si="189"/>
        <v>ㄇ</v>
      </c>
      <c r="L2929" s="1" t="str">
        <f t="shared" si="190"/>
        <v>ㄧ</v>
      </c>
      <c r="N2929" s="3" t="s">
        <v>30574</v>
      </c>
      <c r="O2929" s="3"/>
      <c r="P2929" s="1" t="s">
        <v>20</v>
      </c>
      <c r="R2929" s="1" t="s">
        <v>3430</v>
      </c>
      <c r="V2929" s="1" t="s">
        <v>3431</v>
      </c>
      <c r="AR2929" s="1" t="str">
        <f t="shared" si="188"/>
        <v>| [ㄇㄧˋ](ㄇㄧˋ.md) | [冖](冖.md) |  | mì | [動]
覆蓋。《說文解字．冖部》：「冖，覆也。」
[名]
二一四部首之一。 |</v>
      </c>
    </row>
    <row r="2930" spans="1:44" hidden="1">
      <c r="A2930" s="1" t="s">
        <v>3432</v>
      </c>
      <c r="C2930" s="1">
        <v>1</v>
      </c>
      <c r="D2930" s="1" t="str">
        <f>"01369"</f>
        <v>01369</v>
      </c>
      <c r="E2930" s="1" t="s">
        <v>132</v>
      </c>
      <c r="F2930" s="1">
        <v>13</v>
      </c>
      <c r="G2930" s="1">
        <v>10</v>
      </c>
      <c r="H2930" s="1">
        <v>0</v>
      </c>
      <c r="I2930" s="1" t="s">
        <v>3429</v>
      </c>
      <c r="K2930" s="1" t="str">
        <f t="shared" si="189"/>
        <v>ㄇ</v>
      </c>
      <c r="L2930" s="1" t="str">
        <f t="shared" si="190"/>
        <v>ㄧ</v>
      </c>
      <c r="N2930" s="3" t="s">
        <v>30574</v>
      </c>
      <c r="O2930" s="3"/>
      <c r="P2930" s="1" t="s">
        <v>20</v>
      </c>
      <c r="R2930" s="1" t="s">
        <v>3430</v>
      </c>
      <c r="V2930" s="1" t="s">
        <v>3433</v>
      </c>
      <c r="AR2930" s="1" t="str">
        <f t="shared" si="188"/>
        <v>| [ㄇㄧˋ](ㄇㄧˋ.md) | [塓](塓.md) |  | mì | [動]
塗抹。《左傳．襄公三十一年》：「圬人以時塓館公室，諸侯賓至甸設庭燎。」《新唐書．卷二二五．逆臣傳上．史思明傳》：「又敕朝義築三角城居糧，終日畢，未塓而思明至。」 |</v>
      </c>
    </row>
    <row r="2931" spans="1:44" hidden="1">
      <c r="A2931" s="1" t="s">
        <v>3434</v>
      </c>
      <c r="C2931" s="1">
        <v>1</v>
      </c>
      <c r="D2931" s="1" t="str">
        <f>"01370"</f>
        <v>01370</v>
      </c>
      <c r="E2931" s="1" t="s">
        <v>222</v>
      </c>
      <c r="F2931" s="1">
        <v>13</v>
      </c>
      <c r="G2931" s="1">
        <v>10</v>
      </c>
      <c r="H2931" s="1">
        <v>0</v>
      </c>
      <c r="I2931" s="1" t="s">
        <v>3429</v>
      </c>
      <c r="K2931" s="1" t="str">
        <f t="shared" si="189"/>
        <v>ㄇ</v>
      </c>
      <c r="L2931" s="1" t="str">
        <f t="shared" si="190"/>
        <v>ㄧ</v>
      </c>
      <c r="N2931" s="3" t="s">
        <v>30574</v>
      </c>
      <c r="O2931" s="3"/>
      <c r="P2931" s="1" t="s">
        <v>20</v>
      </c>
      <c r="R2931" s="1" t="s">
        <v>3430</v>
      </c>
      <c r="V2931" s="1" t="s">
        <v>3435</v>
      </c>
      <c r="AR2931" s="1" t="str">
        <f t="shared" si="188"/>
        <v>| [ㄇㄧˋ](ㄇㄧˋ.md) | [幎](幎.md) |  | mì | [名]
覆蓋器物的布巾。《呂氏春秋．貴直論．知化》：「吾何面以見子胥於地下，乃為幎以冒而死。」
[動]
覆蓋。《淮南子．原道》：「舒之幎於六合，卷之不盈於一握。」
[副]
均勻的樣子。《周禮．冬官考工記．輪人》：「望而視其輪，欲其幎爾而下迆也。」漢．鄭玄．注：「幎，均致貌也。」 |</v>
      </c>
    </row>
    <row r="2932" spans="1:44" hidden="1">
      <c r="A2932" s="1" t="s">
        <v>3436</v>
      </c>
      <c r="C2932" s="1">
        <v>1</v>
      </c>
      <c r="D2932" s="1" t="str">
        <f>"01371"</f>
        <v>01371</v>
      </c>
      <c r="E2932" s="1" t="s">
        <v>3437</v>
      </c>
      <c r="F2932" s="1">
        <v>15</v>
      </c>
      <c r="G2932" s="1">
        <v>2</v>
      </c>
      <c r="H2932" s="1">
        <v>0</v>
      </c>
      <c r="I2932" s="1" t="s">
        <v>3429</v>
      </c>
      <c r="K2932" s="1" t="str">
        <f t="shared" si="189"/>
        <v>ㄇ</v>
      </c>
      <c r="L2932" s="1" t="str">
        <f t="shared" si="190"/>
        <v>ㄧ</v>
      </c>
      <c r="N2932" s="3" t="s">
        <v>30574</v>
      </c>
      <c r="O2932" s="3"/>
      <c r="P2932" s="1" t="s">
        <v>20</v>
      </c>
      <c r="R2932" s="1" t="s">
        <v>3430</v>
      </c>
      <c r="V2932" s="1" t="s">
        <v>3438</v>
      </c>
      <c r="AR2932" s="1" t="str">
        <f t="shared" si="188"/>
        <v>| [ㄇㄧˋ](ㄇㄧˋ.md) | [鼏](鼏.md) |  | mì | [名]
1.古代覆蓋酒樽的布巾。《玉篇．鼎部》：「鼏，覆樽巾也。」《禮記．禮器》：「犧尊疏布鼏。」
2.鼎蓋。《玉篇．鼎部》：「鼏，鼎蓋。」《儀禮．士喪禮》：「右人左執匕，抽扃予左手兼執之，取鼏委于鼎北，加扃不坐。」 |</v>
      </c>
    </row>
    <row r="2933" spans="1:44" hidden="1">
      <c r="A2933" s="1" t="s">
        <v>3439</v>
      </c>
      <c r="C2933" s="1">
        <v>1</v>
      </c>
      <c r="D2933" s="1" t="str">
        <f>"01372"</f>
        <v>01372</v>
      </c>
      <c r="E2933" s="1" t="s">
        <v>3359</v>
      </c>
      <c r="F2933" s="1">
        <v>16</v>
      </c>
      <c r="G2933" s="1">
        <v>14</v>
      </c>
      <c r="H2933" s="1">
        <v>0</v>
      </c>
      <c r="I2933" s="1" t="s">
        <v>3429</v>
      </c>
      <c r="K2933" s="1" t="str">
        <f t="shared" si="189"/>
        <v>ㄇ</v>
      </c>
      <c r="L2933" s="1" t="str">
        <f t="shared" si="190"/>
        <v>ㄧ</v>
      </c>
      <c r="N2933" s="3" t="s">
        <v>30574</v>
      </c>
      <c r="O2933" s="3"/>
      <c r="P2933" s="1" t="s">
        <v>20</v>
      </c>
      <c r="R2933" s="1" t="s">
        <v>3430</v>
      </c>
      <c r="V2933" s="1" t="s">
        <v>3440</v>
      </c>
      <c r="AR2933" s="1" t="str">
        <f t="shared" si="188"/>
        <v>| [ㄇㄧˋ](ㄇㄧˋ.md) | [冪](冪.md) |  | mì | [名]
1.覆蓋器物的布巾。《儀禮．公食大夫禮》：「簠有蓋冪，凡炙無醬。」《遼史．卷五二．禮志五》：「冊案置褥左，去冪蓋。」
2.數學上指同一數自乘若干次的乘方。如2自乘四次，就是2的四次冪。
[動]
覆蓋。《周禮．天官．冪人》：「祭祀以疏布巾冪八尊。」清．紀昀《閱微草堂筆記．卷二．灤陽消夏錄二》：「愁煙低冪朱扉雙，酸風微戞玉女窗。」 |</v>
      </c>
    </row>
    <row r="2934" spans="1:44" hidden="1">
      <c r="A2934" s="1" t="s">
        <v>3441</v>
      </c>
      <c r="C2934" s="1">
        <v>1</v>
      </c>
      <c r="D2934" s="1" t="str">
        <f>"01373"</f>
        <v>01373</v>
      </c>
      <c r="E2934" s="1" t="s">
        <v>646</v>
      </c>
      <c r="F2934" s="1">
        <v>4</v>
      </c>
      <c r="G2934" s="1">
        <v>0</v>
      </c>
      <c r="H2934" s="1">
        <v>2</v>
      </c>
      <c r="I2934" s="1" t="s">
        <v>3429</v>
      </c>
      <c r="K2934" s="1" t="str">
        <f t="shared" si="189"/>
        <v>ㄇ</v>
      </c>
      <c r="L2934" s="1" t="str">
        <f t="shared" si="190"/>
        <v>ㄧ</v>
      </c>
      <c r="N2934" s="3" t="s">
        <v>30574</v>
      </c>
      <c r="O2934" s="3"/>
      <c r="P2934" s="1" t="s">
        <v>20</v>
      </c>
      <c r="R2934" s="1" t="s">
        <v>3430</v>
      </c>
      <c r="V2934" s="1" t="s">
        <v>3442</v>
      </c>
      <c r="W2934" s="1" t="s">
        <v>3443</v>
      </c>
      <c r="AR2934" s="1" t="str">
        <f t="shared" si="188"/>
        <v>| [ㄇㄧˋ](ㄇㄧˋ.md) | [日](日.md) |  | mì | [名]
人名用字。如漢代有金日磾。 |</v>
      </c>
    </row>
    <row r="2935" spans="1:44" hidden="1">
      <c r="A2935" s="1" t="s">
        <v>3444</v>
      </c>
      <c r="C2935" s="1">
        <v>1</v>
      </c>
      <c r="D2935" s="1" t="str">
        <f>"01374"</f>
        <v>01374</v>
      </c>
      <c r="E2935" s="1" t="s">
        <v>129</v>
      </c>
      <c r="F2935" s="1">
        <v>7</v>
      </c>
      <c r="G2935" s="1">
        <v>4</v>
      </c>
      <c r="H2935" s="1">
        <v>0</v>
      </c>
      <c r="I2935" s="1" t="s">
        <v>3429</v>
      </c>
      <c r="K2935" s="1" t="str">
        <f t="shared" si="189"/>
        <v>ㄇ</v>
      </c>
      <c r="L2935" s="1" t="str">
        <f t="shared" si="190"/>
        <v>ㄧ</v>
      </c>
      <c r="N2935" s="3" t="s">
        <v>30574</v>
      </c>
      <c r="O2935" s="3"/>
      <c r="P2935" s="1" t="s">
        <v>20</v>
      </c>
      <c r="R2935" s="1" t="s">
        <v>3430</v>
      </c>
      <c r="V2935" s="1" t="s">
        <v>3445</v>
      </c>
      <c r="AR2935" s="1" t="str">
        <f t="shared" si="188"/>
        <v>| [ㄇㄧˋ](ㄇㄧˋ.md) | [汨](汨.md) |  | mì | 參見「汨羅江」條。 |</v>
      </c>
    </row>
    <row r="2936" spans="1:44" hidden="1">
      <c r="A2936" s="1" t="s">
        <v>3446</v>
      </c>
      <c r="C2936" s="1">
        <v>1</v>
      </c>
      <c r="D2936" s="1" t="str">
        <f>"01375"</f>
        <v>01375</v>
      </c>
      <c r="E2936" s="1" t="s">
        <v>725</v>
      </c>
      <c r="F2936" s="1">
        <v>6</v>
      </c>
      <c r="G2936" s="1">
        <v>0</v>
      </c>
      <c r="H2936" s="1">
        <v>1</v>
      </c>
      <c r="I2936" s="1" t="s">
        <v>3429</v>
      </c>
      <c r="K2936" s="1" t="str">
        <f t="shared" si="189"/>
        <v>ㄇ</v>
      </c>
      <c r="L2936" s="1" t="str">
        <f t="shared" si="190"/>
        <v>ㄧ</v>
      </c>
      <c r="N2936" s="3" t="s">
        <v>30574</v>
      </c>
      <c r="O2936" s="3"/>
      <c r="P2936" s="1" t="s">
        <v>20</v>
      </c>
      <c r="R2936" s="1" t="s">
        <v>3430</v>
      </c>
      <c r="V2936" s="1" t="s">
        <v>3447</v>
      </c>
      <c r="W2936" s="1" t="s">
        <v>3448</v>
      </c>
      <c r="AR2936" s="1" t="str">
        <f t="shared" si="188"/>
        <v>| [ㄇㄧˋ](ㄇㄧˋ.md) | [糸](糸.md) |  | mì | [名]
1.細絲。《說文解字．糸部》：「糸，細絲也。」
2.二一四部首之一。 |</v>
      </c>
    </row>
    <row r="2937" spans="1:44" hidden="1">
      <c r="A2937" s="1" t="s">
        <v>948</v>
      </c>
      <c r="C2937" s="1">
        <v>1</v>
      </c>
      <c r="D2937" s="1" t="str">
        <f>"01376"</f>
        <v>01376</v>
      </c>
      <c r="E2937" s="1" t="s">
        <v>129</v>
      </c>
      <c r="F2937" s="1">
        <v>8</v>
      </c>
      <c r="G2937" s="1">
        <v>5</v>
      </c>
      <c r="H2937" s="1">
        <v>1</v>
      </c>
      <c r="I2937" s="1" t="s">
        <v>3429</v>
      </c>
      <c r="K2937" s="1" t="str">
        <f t="shared" si="189"/>
        <v>ㄇ</v>
      </c>
      <c r="L2937" s="1" t="str">
        <f t="shared" si="190"/>
        <v>ㄧ</v>
      </c>
      <c r="N2937" s="3" t="s">
        <v>30574</v>
      </c>
      <c r="O2937" s="3"/>
      <c r="P2937" s="1" t="s">
        <v>20</v>
      </c>
      <c r="R2937" s="1" t="s">
        <v>3430</v>
      </c>
      <c r="V2937" s="1" t="s">
        <v>3449</v>
      </c>
      <c r="W2937" s="1" t="s">
        <v>3450</v>
      </c>
      <c r="AR2937" s="1" t="str">
        <f t="shared" si="188"/>
        <v>| [ㄇㄧˋ](ㄇㄧˋ.md) | [泌](泌.md) |  | mì | [名]
1.輕快的水流。《說文解字．水部》：「泌，俠流也。」清．段玉裁．注：「俠流者，輕快之流，如俠士然。」
2.泉水。《詩經．陳風．衡門》：「泌之洋洋，可以樂飢。」漢．毛亨．傳：「泌，泉水。」
[動]
液體由小孔滲出。如：「分泌」。 |</v>
      </c>
    </row>
    <row r="2938" spans="1:44" hidden="1">
      <c r="A2938" s="1" t="s">
        <v>3451</v>
      </c>
      <c r="C2938" s="1">
        <v>1</v>
      </c>
      <c r="D2938" s="1" t="str">
        <f>"01377"</f>
        <v>01377</v>
      </c>
      <c r="E2938" s="1" t="s">
        <v>624</v>
      </c>
      <c r="F2938" s="1">
        <v>8</v>
      </c>
      <c r="G2938" s="1">
        <v>5</v>
      </c>
      <c r="H2938" s="1">
        <v>1</v>
      </c>
      <c r="I2938" s="1" t="s">
        <v>3429</v>
      </c>
      <c r="K2938" s="1" t="str">
        <f t="shared" si="189"/>
        <v>ㄇ</v>
      </c>
      <c r="L2938" s="1" t="str">
        <f t="shared" si="190"/>
        <v>ㄧ</v>
      </c>
      <c r="N2938" s="3" t="s">
        <v>30574</v>
      </c>
      <c r="O2938" s="3"/>
      <c r="P2938" s="1" t="s">
        <v>20</v>
      </c>
      <c r="R2938" s="1" t="s">
        <v>3430</v>
      </c>
      <c r="V2938" s="1" t="s">
        <v>3452</v>
      </c>
      <c r="W2938" s="1" t="s">
        <v>3453</v>
      </c>
      <c r="AR2938" s="1" t="str">
        <f t="shared" si="188"/>
        <v>| [ㄇㄧˋ](ㄇㄧˋ.md) | [宓](宓.md) |  | mì | [形]
安寧。《說文解字．宀部》：「宓，安也。」 |</v>
      </c>
    </row>
    <row r="2939" spans="1:44" hidden="1">
      <c r="A2939" s="1" t="s">
        <v>964</v>
      </c>
      <c r="C2939" s="1">
        <v>1</v>
      </c>
      <c r="D2939" s="1" t="str">
        <f>"01378"</f>
        <v>01378</v>
      </c>
      <c r="E2939" s="1" t="s">
        <v>825</v>
      </c>
      <c r="F2939" s="1">
        <v>10</v>
      </c>
      <c r="G2939" s="1">
        <v>5</v>
      </c>
      <c r="H2939" s="1">
        <v>1</v>
      </c>
      <c r="I2939" s="1" t="s">
        <v>3429</v>
      </c>
      <c r="K2939" s="1" t="str">
        <f t="shared" si="189"/>
        <v>ㄇ</v>
      </c>
      <c r="L2939" s="1" t="str">
        <f t="shared" si="190"/>
        <v>ㄧ</v>
      </c>
      <c r="N2939" s="3" t="s">
        <v>30574</v>
      </c>
      <c r="O2939" s="3"/>
      <c r="P2939" s="1" t="s">
        <v>20</v>
      </c>
      <c r="R2939" s="1" t="s">
        <v>3430</v>
      </c>
      <c r="V2939" s="1" t="s">
        <v>3454</v>
      </c>
      <c r="W2939" s="1" t="s">
        <v>3455</v>
      </c>
      <c r="AR2939" s="1" t="str">
        <f t="shared" si="188"/>
        <v>| [ㄇㄧˋ](ㄇㄧˋ.md) | [祕](祕.md) |  | mì | [形]_x000D_
1.隱閉不明顯的、不讓人知或不公開的。如：「神祕」、「隱祕」、「祕密」。《史記．卷五六．陳丞相世家》：「高帝既出，其計祕，世莫得聞。」唐．王孝通〈上緝古算經表〉：「其理幽而微，其形祕而約。」_x000D_
2.罕見的、稀奇的。 漢．張衡〈西京賦〉：「祕舞更奏，妙材騁伎。」《新唐書．卷七六．后妃列傳上．楊貴妃》：「奇服祕玩，變化若神。」_x000D_
[動]_x000D_
1.隱瞞、隱藏、收藏。《三國志．卷一四．魏書．程郭董劉蔣劉傳．董昭》：「祕而不露，使權得志，非計之上。」《太平廣記．卷三五八．王宙》引《離魂記》：「其家以事不正，祕之，惟親戚間有潛知之者。」清．洪昇《長生殿》第一一齣：「向有《霓裳羽衣》仙樂一部，久祕月宮，未傳人世。」_x000D_
2.閉塞、閉結。宋．朱熹〈葉永卿吳唐卿周得之李深子〉：「向承錄示藥方，極感留念，今腳氣已漸輕，祕結卻變成滑洩矣。」明．朱橚《普濟方．卷三九．大臟腑門．大便祕澀不通》：「燥則潤之，澀則滑之，祕則通之，約則緩之，各有成法。」_x000D_
[名]_x000D_
1.祕書的簡稱。如：「文祕」、「主祕」。_x000D_
2.姓。如漢代有祕彭祖。 |</v>
      </c>
    </row>
    <row r="2940" spans="1:44" hidden="1">
      <c r="A2940" s="1" t="s">
        <v>968</v>
      </c>
      <c r="C2940" s="1">
        <v>1</v>
      </c>
      <c r="D2940" s="1" t="str">
        <f>"01379"</f>
        <v>01379</v>
      </c>
      <c r="E2940" s="1" t="s">
        <v>429</v>
      </c>
      <c r="F2940" s="1">
        <v>10</v>
      </c>
      <c r="G2940" s="1">
        <v>5</v>
      </c>
      <c r="H2940" s="1">
        <v>1</v>
      </c>
      <c r="I2940" s="1" t="s">
        <v>3429</v>
      </c>
      <c r="K2940" s="1" t="str">
        <f t="shared" si="189"/>
        <v>ㄇ</v>
      </c>
      <c r="L2940" s="1" t="str">
        <f t="shared" si="190"/>
        <v>ㄧ</v>
      </c>
      <c r="N2940" s="3" t="s">
        <v>30574</v>
      </c>
      <c r="O2940" s="3"/>
      <c r="P2940" s="1" t="s">
        <v>20</v>
      </c>
      <c r="R2940" s="1" t="s">
        <v>3430</v>
      </c>
      <c r="V2940" s="1" t="s">
        <v>3456</v>
      </c>
      <c r="W2940" s="1" t="s">
        <v>3457</v>
      </c>
      <c r="AR2940" s="1" t="str">
        <f t="shared" si="188"/>
        <v>| [ㄇㄧˋ](ㄇㄧˋ.md) | [秘](秘.md) |  | mì | 同「祕」（一）。 |</v>
      </c>
    </row>
    <row r="2941" spans="1:44" hidden="1">
      <c r="A2941" s="1" t="s">
        <v>3458</v>
      </c>
      <c r="C2941" s="1">
        <v>1</v>
      </c>
      <c r="D2941" s="1" t="str">
        <f>"01380"</f>
        <v>01380</v>
      </c>
      <c r="E2941" s="1" t="s">
        <v>624</v>
      </c>
      <c r="F2941" s="1">
        <v>11</v>
      </c>
      <c r="G2941" s="1">
        <v>8</v>
      </c>
      <c r="H2941" s="1">
        <v>0</v>
      </c>
      <c r="I2941" s="1" t="s">
        <v>3429</v>
      </c>
      <c r="K2941" s="1" t="str">
        <f t="shared" si="189"/>
        <v>ㄇ</v>
      </c>
      <c r="L2941" s="1" t="str">
        <f t="shared" si="190"/>
        <v>ㄧ</v>
      </c>
      <c r="N2941" s="3" t="s">
        <v>30574</v>
      </c>
      <c r="O2941" s="3"/>
      <c r="P2941" s="1" t="s">
        <v>20</v>
      </c>
      <c r="R2941" s="1" t="s">
        <v>3430</v>
      </c>
      <c r="V2941" s="1" t="s">
        <v>3459</v>
      </c>
      <c r="AR2941" s="1" t="str">
        <f t="shared" si="188"/>
        <v>| [ㄇㄧˋ](ㄇㄧˋ.md) | [密](密.md) |  | mì | [形]
1.不稀疏的。如：「稠密」、「綿密」、「濃密」。
2.不宣露的。如：「隱密」、「密函」、「密令」。《易經．繫辭上》：「幾事不密則害成。」
3.暱近的、親近的。如：「親密」、「密友」。
4.細微周到。如：「細密」、「周密」、「嚴密」。
[名]
1.隱藏不公開的事。如：「保密」、「祕密」、「機密」。
2.姓。如漢代有密忠。
[副]
暗中。如：「密報」、「密告」、「密訪」。 |</v>
      </c>
    </row>
    <row r="2942" spans="1:44" hidden="1">
      <c r="A2942" s="1" t="s">
        <v>3460</v>
      </c>
      <c r="C2942" s="1">
        <v>1</v>
      </c>
      <c r="D2942" s="1" t="str">
        <f>"01381"</f>
        <v>01381</v>
      </c>
      <c r="E2942" s="1" t="s">
        <v>129</v>
      </c>
      <c r="F2942" s="1">
        <v>14</v>
      </c>
      <c r="G2942" s="1">
        <v>11</v>
      </c>
      <c r="H2942" s="1">
        <v>0</v>
      </c>
      <c r="I2942" s="1" t="s">
        <v>3429</v>
      </c>
      <c r="K2942" s="1" t="str">
        <f t="shared" si="189"/>
        <v>ㄇ</v>
      </c>
      <c r="L2942" s="1" t="str">
        <f t="shared" si="190"/>
        <v>ㄧ</v>
      </c>
      <c r="N2942" s="3" t="s">
        <v>30574</v>
      </c>
      <c r="O2942" s="3"/>
      <c r="P2942" s="1" t="s">
        <v>20</v>
      </c>
      <c r="R2942" s="1" t="s">
        <v>3430</v>
      </c>
      <c r="V2942" s="1" t="s">
        <v>3461</v>
      </c>
      <c r="AR2942" s="1" t="str">
        <f t="shared" si="188"/>
        <v>| [ㄇㄧˋ](ㄇㄧˋ.md) | [滵](滵.md) |  | mì | [形]
水急湍流的樣子。《集韻．入聲．質韻》：「滵，水流疾貌。」《史記．卷一一七．司馬相如傳》：「洶涌滂㵒，滭浡滵汩。」 |</v>
      </c>
    </row>
    <row r="2943" spans="1:44" hidden="1">
      <c r="A2943" s="1" t="s">
        <v>3462</v>
      </c>
      <c r="C2943" s="1">
        <v>1</v>
      </c>
      <c r="D2943" s="1" t="str">
        <f>"01382"</f>
        <v>01382</v>
      </c>
      <c r="E2943" s="1" t="s">
        <v>679</v>
      </c>
      <c r="F2943" s="1">
        <v>14</v>
      </c>
      <c r="G2943" s="1">
        <v>8</v>
      </c>
      <c r="H2943" s="1">
        <v>0</v>
      </c>
      <c r="I2943" s="1" t="s">
        <v>3429</v>
      </c>
      <c r="K2943" s="1" t="str">
        <f t="shared" si="189"/>
        <v>ㄇ</v>
      </c>
      <c r="L2943" s="1" t="str">
        <f t="shared" si="190"/>
        <v>ㄧ</v>
      </c>
      <c r="N2943" s="3" t="s">
        <v>30574</v>
      </c>
      <c r="O2943" s="3"/>
      <c r="P2943" s="1" t="s">
        <v>20</v>
      </c>
      <c r="R2943" s="1" t="s">
        <v>3430</v>
      </c>
      <c r="V2943" s="1" t="s">
        <v>3463</v>
      </c>
      <c r="AR2943" s="1" t="str">
        <f t="shared" si="188"/>
        <v>| [ㄇㄧˋ](ㄇㄧˋ.md) | [蜜](蜜.md) |  | mì | [名]
蜜蜂採取花中甘液所釀成的甜汁。如：「蜂蜜」、「花蜜」。
[形]
甜美、動人的。如：「甜蜜」、「甜言蜜語」。 |</v>
      </c>
    </row>
    <row r="2944" spans="1:44" hidden="1">
      <c r="A2944" s="1" t="s">
        <v>3464</v>
      </c>
      <c r="C2944" s="1">
        <v>1</v>
      </c>
      <c r="D2944" s="1" t="str">
        <f>"01383"</f>
        <v>01383</v>
      </c>
      <c r="E2944" s="1" t="s">
        <v>28</v>
      </c>
      <c r="F2944" s="1">
        <v>14</v>
      </c>
      <c r="G2944" s="1">
        <v>11</v>
      </c>
      <c r="H2944" s="1">
        <v>0</v>
      </c>
      <c r="I2944" s="1" t="s">
        <v>3429</v>
      </c>
      <c r="K2944" s="1" t="str">
        <f t="shared" si="189"/>
        <v>ㄇ</v>
      </c>
      <c r="L2944" s="1" t="str">
        <f t="shared" si="190"/>
        <v>ㄧ</v>
      </c>
      <c r="N2944" s="3" t="s">
        <v>30574</v>
      </c>
      <c r="O2944" s="3"/>
      <c r="P2944" s="1" t="s">
        <v>20</v>
      </c>
      <c r="R2944" s="1" t="s">
        <v>3430</v>
      </c>
      <c r="V2944" s="1" t="s">
        <v>3465</v>
      </c>
      <c r="AR2944" s="1" t="str">
        <f t="shared" si="188"/>
        <v>| [ㄇㄧˋ](ㄇㄧˋ.md) | [嘧](嘧.md) |  | mì | 參見「嘧啶」條。 |</v>
      </c>
    </row>
    <row r="2945" spans="1:44" hidden="1">
      <c r="A2945" s="1" t="s">
        <v>3466</v>
      </c>
      <c r="C2945" s="1">
        <v>1</v>
      </c>
      <c r="D2945" s="1" t="str">
        <f>"01384"</f>
        <v>01384</v>
      </c>
      <c r="E2945" s="1" t="s">
        <v>37</v>
      </c>
      <c r="F2945" s="1">
        <v>15</v>
      </c>
      <c r="G2945" s="1">
        <v>11</v>
      </c>
      <c r="H2945" s="1">
        <v>0</v>
      </c>
      <c r="I2945" s="1" t="s">
        <v>3429</v>
      </c>
      <c r="K2945" s="1" t="str">
        <f t="shared" si="189"/>
        <v>ㄇ</v>
      </c>
      <c r="L2945" s="1" t="str">
        <f t="shared" si="190"/>
        <v>ㄧ</v>
      </c>
      <c r="N2945" s="3" t="s">
        <v>30574</v>
      </c>
      <c r="O2945" s="3"/>
      <c r="P2945" s="1" t="s">
        <v>20</v>
      </c>
      <c r="R2945" s="1" t="s">
        <v>3430</v>
      </c>
      <c r="V2945" s="1" t="s">
        <v>3467</v>
      </c>
      <c r="AR2945" s="1" t="str">
        <f t="shared" si="188"/>
        <v>| [ㄇㄧˋ](ㄇㄧˋ.md) | [蔤](蔤.md) |  | mì | [名]
荷的地下莖。《文選．何晏．景福殿賦》：「茄蔤倒植，吐被芙蕖。」明．李時珍《本草綱目．卷三三．果部．蓮藕》：「以蓮子種者生遲，藕芽種者最易發。其芽穿泥成白蒻，即蔤也。」 |</v>
      </c>
    </row>
    <row r="2946" spans="1:44" hidden="1">
      <c r="A2946" s="1" t="s">
        <v>3468</v>
      </c>
      <c r="C2946" s="1">
        <v>1</v>
      </c>
      <c r="D2946" s="1" t="str">
        <f>"01385"</f>
        <v>01385</v>
      </c>
      <c r="E2946" s="1" t="s">
        <v>331</v>
      </c>
      <c r="F2946" s="1">
        <v>17</v>
      </c>
      <c r="G2946" s="1">
        <v>10</v>
      </c>
      <c r="H2946" s="1">
        <v>0</v>
      </c>
      <c r="I2946" s="1" t="s">
        <v>3429</v>
      </c>
      <c r="K2946" s="1" t="str">
        <f t="shared" si="189"/>
        <v>ㄇ</v>
      </c>
      <c r="L2946" s="1" t="str">
        <f t="shared" si="190"/>
        <v>ㄧ</v>
      </c>
      <c r="N2946" s="3" t="s">
        <v>30574</v>
      </c>
      <c r="O2946" s="3"/>
      <c r="P2946" s="1" t="s">
        <v>20</v>
      </c>
      <c r="R2946" s="1" t="s">
        <v>3430</v>
      </c>
      <c r="V2946" s="1" t="s">
        <v>3469</v>
      </c>
      <c r="AR2946" s="1" t="str">
        <f t="shared" si="188"/>
        <v>| [ㄇㄧˋ](ㄇㄧˋ.md) | [謐](謐.md) |  | mì | [形]_x000D_
安寧、寧靜。如：「安謐」、「靜謐」。_x000D_
[動]_x000D_
靜止。唐．王勃〈拜南郊頌〉：「王良聳策，雲藏星謐。」 |</v>
      </c>
    </row>
    <row r="2947" spans="1:44" hidden="1">
      <c r="A2947" s="1" t="s">
        <v>3470</v>
      </c>
      <c r="C2947" s="1">
        <v>1</v>
      </c>
      <c r="D2947" s="1" t="str">
        <f>"01386"</f>
        <v>01386</v>
      </c>
      <c r="E2947" s="1" t="s">
        <v>190</v>
      </c>
      <c r="F2947" s="1">
        <v>9</v>
      </c>
      <c r="G2947" s="1">
        <v>6</v>
      </c>
      <c r="H2947" s="1">
        <v>0</v>
      </c>
      <c r="I2947" s="1" t="s">
        <v>3429</v>
      </c>
      <c r="K2947" s="1" t="str">
        <f t="shared" si="189"/>
        <v>ㄇ</v>
      </c>
      <c r="L2947" s="1" t="str">
        <f t="shared" si="190"/>
        <v>ㄧ</v>
      </c>
      <c r="N2947" s="3" t="s">
        <v>30574</v>
      </c>
      <c r="O2947" s="3"/>
      <c r="P2947" s="1" t="s">
        <v>20</v>
      </c>
      <c r="R2947" s="1" t="s">
        <v>3430</v>
      </c>
      <c r="V2947" s="1" t="s">
        <v>3471</v>
      </c>
      <c r="AR2947" s="1" t="str">
        <f t="shared" ref="AR2947:AR3010" si="191">"| ["&amp;I2947&amp;"]("&amp;I2947&amp;".md) | ["&amp;A2947&amp;"]("&amp;A2947&amp;".md) | "&amp;" | "&amp;R2947&amp;" | "&amp;V2947&amp;" |"</f>
        <v>| [ㄇㄧˋ](ㄇㄧˋ.md) | [峚](峚.md) |  | mì | 山名。即峚山。約位在陝西省商洛市商南縣境內。 |</v>
      </c>
    </row>
    <row r="2948" spans="1:44" hidden="1">
      <c r="A2948" s="1" t="s">
        <v>3472</v>
      </c>
      <c r="C2948" s="1">
        <v>1</v>
      </c>
      <c r="D2948" s="1" t="str">
        <f>"01387"</f>
        <v>01387</v>
      </c>
      <c r="E2948" s="1" t="s">
        <v>2233</v>
      </c>
      <c r="F2948" s="1">
        <v>11</v>
      </c>
      <c r="G2948" s="1">
        <v>4</v>
      </c>
      <c r="H2948" s="1">
        <v>0</v>
      </c>
      <c r="I2948" s="1" t="s">
        <v>3429</v>
      </c>
      <c r="K2948" s="1" t="str">
        <f t="shared" si="189"/>
        <v>ㄇ</v>
      </c>
      <c r="L2948" s="1" t="str">
        <f t="shared" si="190"/>
        <v>ㄧ</v>
      </c>
      <c r="N2948" s="3" t="s">
        <v>30574</v>
      </c>
      <c r="O2948" s="3"/>
      <c r="P2948" s="1" t="s">
        <v>20</v>
      </c>
      <c r="R2948" s="1" t="s">
        <v>3430</v>
      </c>
      <c r="V2948" s="1" t="s">
        <v>3473</v>
      </c>
      <c r="AR2948" s="1" t="str">
        <f t="shared" si="191"/>
        <v>| [ㄇㄧˋ](ㄇㄧˋ.md) | [覓](覓.md) |  | mì | [動]
尋求、尋找。如：「覓食」、「尋覓」。宋．辛棄疾〈永遇樂．千古江山〉詞：「千古江山，英雄無覓，孫仲謀處。」《紅樓夢》第三回：「無故尋愁覓恨，有時似傻如狂。」 |</v>
      </c>
    </row>
    <row r="2949" spans="1:44" hidden="1">
      <c r="A2949" s="1" t="s">
        <v>3474</v>
      </c>
      <c r="C2949" s="1">
        <v>1</v>
      </c>
      <c r="D2949" s="1" t="str">
        <f>"01388"</f>
        <v>01388</v>
      </c>
      <c r="E2949" s="1" t="s">
        <v>222</v>
      </c>
      <c r="F2949" s="1">
        <v>16</v>
      </c>
      <c r="G2949" s="1">
        <v>13</v>
      </c>
      <c r="H2949" s="1">
        <v>0</v>
      </c>
      <c r="I2949" s="1" t="s">
        <v>3429</v>
      </c>
      <c r="K2949" s="1" t="str">
        <f t="shared" si="189"/>
        <v>ㄇ</v>
      </c>
      <c r="L2949" s="1" t="str">
        <f t="shared" si="190"/>
        <v>ㄧ</v>
      </c>
      <c r="N2949" s="3" t="s">
        <v>30574</v>
      </c>
      <c r="O2949" s="3"/>
      <c r="P2949" s="1" t="s">
        <v>20</v>
      </c>
      <c r="R2949" s="1" t="s">
        <v>3430</v>
      </c>
      <c r="V2949" s="1" t="s">
        <v>3475</v>
      </c>
      <c r="AR2949" s="1" t="str">
        <f t="shared" si="191"/>
        <v>| [ㄇㄧˋ](ㄇㄧˋ.md) | [幦](幦.md) |  | mì | [名]_x000D_
古代車前橫木上的覆蓋物。《公羊傳．昭公二十五年》：「以幦為席。」漢．何休．解詁：「幦，車覆笭。」 |</v>
      </c>
    </row>
    <row r="2950" spans="1:44" hidden="1">
      <c r="A2950" s="1" t="s">
        <v>2913</v>
      </c>
      <c r="C2950" s="1">
        <v>1</v>
      </c>
      <c r="D2950" s="1" t="str">
        <f>"01389"</f>
        <v>01389</v>
      </c>
      <c r="E2950" s="1" t="s">
        <v>331</v>
      </c>
      <c r="F2950" s="1">
        <v>17</v>
      </c>
      <c r="G2950" s="1">
        <v>10</v>
      </c>
      <c r="H2950" s="1">
        <v>2</v>
      </c>
      <c r="I2950" s="1" t="s">
        <v>3429</v>
      </c>
      <c r="K2950" s="1" t="str">
        <f t="shared" si="189"/>
        <v>ㄇ</v>
      </c>
      <c r="L2950" s="1" t="str">
        <f t="shared" si="190"/>
        <v>ㄧ</v>
      </c>
      <c r="N2950" s="3" t="s">
        <v>30574</v>
      </c>
      <c r="O2950" s="3"/>
      <c r="P2950" s="1" t="s">
        <v>110</v>
      </c>
      <c r="R2950" s="1" t="s">
        <v>3430</v>
      </c>
      <c r="V2950" s="1" t="s">
        <v>111</v>
      </c>
      <c r="W2950" s="1" t="s">
        <v>3476</v>
      </c>
      <c r="AR2950" s="1" t="str">
        <f t="shared" si="191"/>
        <v>| [ㄇㄧˋ](ㄇㄧˋ.md) | [謎](謎.md) |  | mì | (一)之又音。 |</v>
      </c>
    </row>
    <row r="2951" spans="1:44" hidden="1">
      <c r="A2951" s="1" t="s">
        <v>3477</v>
      </c>
      <c r="C2951" s="1">
        <v>1</v>
      </c>
      <c r="D2951" s="1" t="str">
        <f>"01390"</f>
        <v>01390</v>
      </c>
      <c r="E2951" s="1" t="s">
        <v>679</v>
      </c>
      <c r="F2951" s="1">
        <v>21</v>
      </c>
      <c r="G2951" s="1">
        <v>15</v>
      </c>
      <c r="H2951" s="1">
        <v>0</v>
      </c>
      <c r="I2951" s="1" t="s">
        <v>3429</v>
      </c>
      <c r="K2951" s="1" t="str">
        <f t="shared" si="189"/>
        <v>ㄇ</v>
      </c>
      <c r="L2951" s="1" t="str">
        <f t="shared" si="190"/>
        <v>ㄧ</v>
      </c>
      <c r="N2951" s="3" t="s">
        <v>30574</v>
      </c>
      <c r="O2951" s="3"/>
      <c r="P2951" s="1" t="s">
        <v>20</v>
      </c>
      <c r="R2951" s="1" t="s">
        <v>3430</v>
      </c>
      <c r="V2951" s="1" t="s">
        <v>3478</v>
      </c>
      <c r="AR2951" s="1" t="str">
        <f t="shared" si="191"/>
        <v>| [ㄇㄧˋ](ㄇㄧˋ.md) | [蠠](蠠.md) |  | mì | 參見「蠠沒」條。 |</v>
      </c>
    </row>
    <row r="2952" spans="1:44" hidden="1">
      <c r="A2952" s="1" t="s">
        <v>3358</v>
      </c>
      <c r="C2952" s="1">
        <v>1</v>
      </c>
      <c r="D2952" s="1" t="str">
        <f>"01338"</f>
        <v>01338</v>
      </c>
      <c r="E2952" s="1" t="s">
        <v>3359</v>
      </c>
      <c r="F2952" s="1">
        <v>8</v>
      </c>
      <c r="G2952" s="1">
        <v>6</v>
      </c>
      <c r="H2952" s="1">
        <v>0</v>
      </c>
      <c r="I2952" s="1" t="s">
        <v>3360</v>
      </c>
      <c r="K2952" s="1" t="str">
        <f t="shared" si="189"/>
        <v>ㄇ</v>
      </c>
      <c r="L2952" s="1" t="str">
        <f t="shared" si="190"/>
        <v>ㄧ</v>
      </c>
      <c r="N2952" s="3" t="s">
        <v>30575</v>
      </c>
      <c r="O2952" s="3"/>
      <c r="P2952" s="1" t="s">
        <v>20</v>
      </c>
      <c r="R2952" s="1" t="s">
        <v>3361</v>
      </c>
      <c r="V2952" s="1" t="s">
        <v>3362</v>
      </c>
      <c r="AR2952" s="1" t="str">
        <f t="shared" si="191"/>
        <v>| [ㄇㄧˊ](ㄇㄧˊ.md) | [冞](冞.md) |  | mí | [副]
1.深。如：「冞入其阻」。
2.越、更。唐．方干〈送許溫〉詩：「壯歲分冞切，少年心正同。」元．馬端臨〈文獻通考自序〉：「晉時分州為十九，自晉以後，為州冞多，所統冞狹。」 |</v>
      </c>
    </row>
    <row r="2953" spans="1:44" hidden="1">
      <c r="A2953" s="1" t="s">
        <v>3363</v>
      </c>
      <c r="C2953" s="1">
        <v>1</v>
      </c>
      <c r="D2953" s="1" t="str">
        <f>"01339"</f>
        <v>01339</v>
      </c>
      <c r="E2953" s="1" t="s">
        <v>558</v>
      </c>
      <c r="F2953" s="1">
        <v>10</v>
      </c>
      <c r="G2953" s="1">
        <v>6</v>
      </c>
      <c r="H2953" s="1">
        <v>0</v>
      </c>
      <c r="I2953" s="1" t="s">
        <v>3360</v>
      </c>
      <c r="K2953" s="1" t="str">
        <f t="shared" si="189"/>
        <v>ㄇ</v>
      </c>
      <c r="L2953" s="1" t="str">
        <f t="shared" si="190"/>
        <v>ㄧ</v>
      </c>
      <c r="N2953" s="3" t="s">
        <v>30575</v>
      </c>
      <c r="O2953" s="3"/>
      <c r="P2953" s="1" t="s">
        <v>20</v>
      </c>
      <c r="R2953" s="1" t="s">
        <v>3361</v>
      </c>
      <c r="V2953" s="1" t="s">
        <v>3364</v>
      </c>
      <c r="AR2953" s="1" t="str">
        <f t="shared" si="191"/>
        <v>| [ㄇㄧˊ](ㄇㄧˊ.md) | [迷](迷.md) |  | mí | [動]
1.困惑、惑亂。如：「財迷心竅」。《易經．坤卦》：「君子有攸往，先迷後得。」
2.媚惑。《文選．宋玉．登徒子好色賦．序》：「嫣然一笑，惑陽城，迷下蔡。」《警世通言．卷二八．白娘子永鎮雷峰塔》：「奉勸世人休愛色，愛色之人被色迷。」
3.分不清方向。如：「迷路」。《左傳．哀公二年》：「晉趙鞅納衛大子于戚，宵迷。」
4.沉醉、陶醉。如：「著迷」、「入迷」、「沉迷」。
[形]
1.分辨不清、令人困惑的。如：「迷途」、「迷宮」。
2.心中昏亂、意識模糊。如：「意亂情迷」。
[名]
心醉於某種事物的人。如：「影迷」、「球迷」、「歌迷」。 |</v>
      </c>
    </row>
    <row r="2954" spans="1:44" hidden="1">
      <c r="A2954" s="1" t="s">
        <v>2913</v>
      </c>
      <c r="C2954" s="1">
        <v>1</v>
      </c>
      <c r="D2954" s="1" t="str">
        <f>"01340"</f>
        <v>01340</v>
      </c>
      <c r="E2954" s="1" t="s">
        <v>331</v>
      </c>
      <c r="F2954" s="1">
        <v>17</v>
      </c>
      <c r="G2954" s="1">
        <v>10</v>
      </c>
      <c r="H2954" s="1">
        <v>1</v>
      </c>
      <c r="I2954" s="1" t="s">
        <v>3360</v>
      </c>
      <c r="K2954" s="1" t="str">
        <f t="shared" si="189"/>
        <v>ㄇ</v>
      </c>
      <c r="L2954" s="1" t="str">
        <f t="shared" si="190"/>
        <v>ㄧ</v>
      </c>
      <c r="N2954" s="3" t="s">
        <v>30575</v>
      </c>
      <c r="O2954" s="3"/>
      <c r="P2954" s="1" t="s">
        <v>20</v>
      </c>
      <c r="R2954" s="1" t="s">
        <v>3361</v>
      </c>
      <c r="V2954" s="1" t="s">
        <v>3365</v>
      </c>
      <c r="W2954" s="1" t="s">
        <v>3366</v>
      </c>
      <c r="AR2954" s="1" t="str">
        <f t="shared" si="191"/>
        <v>| [ㄇㄧˊ](ㄇㄧˊ.md) | [謎](謎.md) |  | mí | [名]
1.影射事物或文字的隱語。如：「猜謎」、「燈謎」。
2.令人難以明白、理解的事理。如：「宇宙的神祕奧妙，對人類來說仍是個謎。」 |</v>
      </c>
    </row>
    <row r="2955" spans="1:44" hidden="1">
      <c r="A2955" s="1" t="s">
        <v>2864</v>
      </c>
      <c r="C2955" s="1">
        <v>1</v>
      </c>
      <c r="D2955" s="1" t="str">
        <f>"01341"</f>
        <v>01341</v>
      </c>
      <c r="E2955" s="1" t="s">
        <v>46</v>
      </c>
      <c r="F2955" s="1">
        <v>17</v>
      </c>
      <c r="G2955" s="1">
        <v>11</v>
      </c>
      <c r="H2955" s="1">
        <v>1</v>
      </c>
      <c r="I2955" s="1" t="s">
        <v>3360</v>
      </c>
      <c r="K2955" s="1" t="str">
        <f t="shared" si="189"/>
        <v>ㄇ</v>
      </c>
      <c r="L2955" s="1" t="str">
        <f t="shared" si="190"/>
        <v>ㄧ</v>
      </c>
      <c r="N2955" s="3" t="s">
        <v>30575</v>
      </c>
      <c r="O2955" s="3"/>
      <c r="P2955" s="1" t="s">
        <v>20</v>
      </c>
      <c r="R2955" s="1" t="s">
        <v>3361</v>
      </c>
      <c r="V2955" s="1" t="s">
        <v>3367</v>
      </c>
      <c r="W2955" s="1" t="s">
        <v>3368</v>
      </c>
      <c r="AR2955" s="1" t="str">
        <f t="shared" si="191"/>
        <v>| [ㄇㄧˊ](ㄇㄧˊ.md) | [糜](糜.md) |  | mí | [名]
1.濃稠的稀飯。漢．曹操〈苦寒行〉：「擔囊行取薪，斧冰持作糜。」《水滸傳》第四七回：「那老人篩下兩碗白酒，盛一碗糕糜，叫石秀吃了。」
2.姓。如三國時魏國有糜信。
[動]
1.耗、費。唐．韓愈〈進學解〉：「猶且月費俸錢，歲糜廩粟。」
2.毀傷。戰國燕．麴武〈報燕太子書〉：「今太子欲滅悁悁之恥，除久久之恨，此實臣所當糜軀碎首而不避也。」
[形]
爛、腐敗。如：「他的生活十分糜爛。」 |</v>
      </c>
    </row>
    <row r="2956" spans="1:44" hidden="1">
      <c r="A2956" s="1" t="s">
        <v>3369</v>
      </c>
      <c r="C2956" s="1">
        <v>1</v>
      </c>
      <c r="D2956" s="1" t="str">
        <f>"01342"</f>
        <v>01342</v>
      </c>
      <c r="E2956" s="1" t="s">
        <v>1190</v>
      </c>
      <c r="F2956" s="1">
        <v>17</v>
      </c>
      <c r="G2956" s="1">
        <v>6</v>
      </c>
      <c r="H2956" s="1">
        <v>0</v>
      </c>
      <c r="I2956" s="1" t="s">
        <v>3360</v>
      </c>
      <c r="K2956" s="1" t="str">
        <f t="shared" si="189"/>
        <v>ㄇ</v>
      </c>
      <c r="L2956" s="1" t="str">
        <f t="shared" si="190"/>
        <v>ㄧ</v>
      </c>
      <c r="N2956" s="3" t="s">
        <v>30575</v>
      </c>
      <c r="O2956" s="3"/>
      <c r="P2956" s="1" t="s">
        <v>20</v>
      </c>
      <c r="R2956" s="1" t="s">
        <v>3361</v>
      </c>
      <c r="V2956" s="1" t="s">
        <v>3370</v>
      </c>
      <c r="AR2956" s="1" t="str">
        <f t="shared" si="191"/>
        <v>| [ㄇㄧˊ](ㄇㄧˊ.md) | [麋](麋.md) |  | mí | [名]
1.動物名。脊椎動物哺乳綱偶蹄目。與鹿同類而稍大，雄麋青黑色，頭生枝角，雌麋呈褐色，體略小。
2.眉毛。通「眉」。《荀子．非相》：「伊尹之狀，面無須麋。」
3.水邊。通「湄」。《詩經．小雅．巧言》：「彼何人斯，居河之麋。」
4.姓。如宋代有麋鍇。 |</v>
      </c>
    </row>
    <row r="2957" spans="1:44" hidden="1">
      <c r="A2957" s="1" t="s">
        <v>3371</v>
      </c>
      <c r="C2957" s="1">
        <v>1</v>
      </c>
      <c r="D2957" s="1" t="str">
        <f>"01343"</f>
        <v>01343</v>
      </c>
      <c r="E2957" s="1" t="s">
        <v>1462</v>
      </c>
      <c r="F2957" s="1">
        <v>17</v>
      </c>
      <c r="G2957" s="1">
        <v>10</v>
      </c>
      <c r="H2957" s="1">
        <v>0</v>
      </c>
      <c r="I2957" s="1" t="s">
        <v>3360</v>
      </c>
      <c r="K2957" s="1" t="str">
        <f t="shared" si="189"/>
        <v>ㄇ</v>
      </c>
      <c r="L2957" s="1" t="str">
        <f t="shared" si="190"/>
        <v>ㄧ</v>
      </c>
      <c r="N2957" s="3" t="s">
        <v>30575</v>
      </c>
      <c r="O2957" s="3"/>
      <c r="P2957" s="1" t="s">
        <v>20</v>
      </c>
      <c r="R2957" s="1" t="s">
        <v>3361</v>
      </c>
      <c r="V2957" s="1" t="s">
        <v>3372</v>
      </c>
      <c r="AR2957" s="1" t="str">
        <f t="shared" si="191"/>
        <v>| [ㄇㄧˊ](ㄇㄧˊ.md) | [醚](醚.md) |  | mí | [名]
化學上指由一個氧原子連結兩個烴基而成的有機化合物，多為液體。如：「乙醚」。 |</v>
      </c>
    </row>
    <row r="2958" spans="1:44" hidden="1">
      <c r="A2958" s="1" t="s">
        <v>3373</v>
      </c>
      <c r="C2958" s="1">
        <v>1</v>
      </c>
      <c r="D2958" s="1" t="str">
        <f>"01344"</f>
        <v>01344</v>
      </c>
      <c r="E2958" s="1" t="s">
        <v>37</v>
      </c>
      <c r="F2958" s="1">
        <v>21</v>
      </c>
      <c r="G2958" s="1">
        <v>17</v>
      </c>
      <c r="H2958" s="1">
        <v>0</v>
      </c>
      <c r="I2958" s="1" t="s">
        <v>3360</v>
      </c>
      <c r="K2958" s="1" t="str">
        <f t="shared" si="189"/>
        <v>ㄇ</v>
      </c>
      <c r="L2958" s="1" t="str">
        <f t="shared" si="190"/>
        <v>ㄧ</v>
      </c>
      <c r="N2958" s="3" t="s">
        <v>30575</v>
      </c>
      <c r="O2958" s="3"/>
      <c r="P2958" s="1" t="s">
        <v>20</v>
      </c>
      <c r="R2958" s="1" t="s">
        <v>3361</v>
      </c>
      <c r="V2958" s="1" t="s">
        <v>3374</v>
      </c>
      <c r="AR2958" s="1" t="str">
        <f t="shared" si="191"/>
        <v>| [ㄇㄧˊ](ㄇㄧˊ.md) | [蘪](蘪.md) |  | mí | [名]
蘪蕪：植物名。即蘄茝。繖形科假蛇床子屬，草本。莖中空，葉似芹葉。秋日開白色小花，複繖形花序。《爾雅．釋草》：「蘄茝，蘪蕪。」 |</v>
      </c>
    </row>
    <row r="2959" spans="1:44" hidden="1">
      <c r="A2959" s="1" t="s">
        <v>3375</v>
      </c>
      <c r="C2959" s="1">
        <v>1</v>
      </c>
      <c r="D2959" s="1" t="str">
        <f>"01345"</f>
        <v>01345</v>
      </c>
      <c r="E2959" s="1" t="s">
        <v>1462</v>
      </c>
      <c r="F2959" s="1">
        <v>24</v>
      </c>
      <c r="G2959" s="1">
        <v>17</v>
      </c>
      <c r="H2959" s="1">
        <v>0</v>
      </c>
      <c r="I2959" s="1" t="s">
        <v>3360</v>
      </c>
      <c r="K2959" s="1" t="str">
        <f t="shared" si="189"/>
        <v>ㄇ</v>
      </c>
      <c r="L2959" s="1" t="str">
        <f t="shared" si="190"/>
        <v>ㄧ</v>
      </c>
      <c r="N2959" s="3" t="s">
        <v>30575</v>
      </c>
      <c r="O2959" s="3"/>
      <c r="P2959" s="1" t="s">
        <v>20</v>
      </c>
      <c r="R2959" s="1" t="s">
        <v>3361</v>
      </c>
      <c r="V2959" s="1" t="s">
        <v>3376</v>
      </c>
      <c r="AR2959" s="1" t="str">
        <f t="shared" si="191"/>
        <v>| [ㄇㄧˊ](ㄇㄧˊ.md) | [醾](醾.md) |  | mí | 參見「酴醾」條。 |</v>
      </c>
    </row>
    <row r="2960" spans="1:44" hidden="1">
      <c r="A2960" s="1" t="s">
        <v>3377</v>
      </c>
      <c r="C2960" s="1">
        <v>1</v>
      </c>
      <c r="D2960" s="1" t="str">
        <f>"01346"</f>
        <v>01346</v>
      </c>
      <c r="E2960" s="1" t="s">
        <v>725</v>
      </c>
      <c r="F2960" s="1">
        <v>17</v>
      </c>
      <c r="G2960" s="1">
        <v>11</v>
      </c>
      <c r="H2960" s="1">
        <v>0</v>
      </c>
      <c r="I2960" s="1" t="s">
        <v>3360</v>
      </c>
      <c r="K2960" s="1" t="str">
        <f t="shared" si="189"/>
        <v>ㄇ</v>
      </c>
      <c r="L2960" s="1" t="str">
        <f t="shared" si="190"/>
        <v>ㄧ</v>
      </c>
      <c r="N2960" s="3" t="s">
        <v>30575</v>
      </c>
      <c r="O2960" s="3"/>
      <c r="P2960" s="1" t="s">
        <v>20</v>
      </c>
      <c r="R2960" s="1" t="s">
        <v>3361</v>
      </c>
      <c r="V2960" s="1" t="s">
        <v>3378</v>
      </c>
      <c r="AR2960" s="1" t="str">
        <f t="shared" si="191"/>
        <v>| [ㄇㄧˊ](ㄇㄧˊ.md) | [縻](縻.md) |  | mí | [名]
1.牽引牛的繩子。《說文解字．糸部》：「縻，牛轡也。」《文選．潘岳．藉田賦》：「坻場染屨，洪縻在手。」
2.姓。如商代有縻元。
[動]
繫縛、牽絆。《三國志．卷二八．魏書．諸葛誕傳》：「今三叛相聚於孤城之中，天其或者將使同就戮，吾當以全策縻之，可坐而制也。」宋．蘇軾〈僧惠勤初罷僧職〉詩：「既為物所縻，遂與吾輩同。」 |</v>
      </c>
    </row>
    <row r="2961" spans="1:44" hidden="1">
      <c r="A2961" s="1" t="s">
        <v>3379</v>
      </c>
      <c r="C2961" s="1">
        <v>1</v>
      </c>
      <c r="D2961" s="1" t="str">
        <f>"01347"</f>
        <v>01347</v>
      </c>
      <c r="E2961" s="1" t="s">
        <v>103</v>
      </c>
      <c r="F2961" s="1">
        <v>17</v>
      </c>
      <c r="G2961" s="1">
        <v>14</v>
      </c>
      <c r="H2961" s="1">
        <v>0</v>
      </c>
      <c r="I2961" s="1" t="s">
        <v>3360</v>
      </c>
      <c r="K2961" s="1" t="str">
        <f t="shared" si="189"/>
        <v>ㄇ</v>
      </c>
      <c r="L2961" s="1" t="str">
        <f t="shared" si="190"/>
        <v>ㄧ</v>
      </c>
      <c r="N2961" s="3" t="s">
        <v>30575</v>
      </c>
      <c r="O2961" s="3"/>
      <c r="P2961" s="1" t="s">
        <v>20</v>
      </c>
      <c r="R2961" s="1" t="s">
        <v>3361</v>
      </c>
      <c r="V2961" s="1" t="s">
        <v>3380</v>
      </c>
      <c r="AR2961" s="1" t="str">
        <f t="shared" si="191"/>
        <v>| [ㄇㄧˊ](ㄇㄧˊ.md) | [彌](彌.md) |  | mí | [動]
1.充滿。《史記．卷一一七．司馬相如傳》：「於是乎離宮別館，彌山跨谷。」
2.填補。如：「彌補」。漢．邊讓〈章華臺賦〉：「登瑤臺以回望兮，冀彌日而消憂。」
[副]
1.更加。如：「日久彌新」。《論語．子罕》：「仰之彌高，鑽之彌堅。」
2.遍布的。如：「煙霧彌漫」。
3.久。如：「彌久」。
4.遠。《文選．張衡．西京賦》：「前開唐中，彌望廣潒。」
[名]
姓。如宋代有彌遜。 |</v>
      </c>
    </row>
    <row r="2962" spans="1:44" hidden="1">
      <c r="A2962" s="1" t="s">
        <v>3381</v>
      </c>
      <c r="C2962" s="1">
        <v>1</v>
      </c>
      <c r="D2962" s="1" t="str">
        <f>"01348"</f>
        <v>01348</v>
      </c>
      <c r="E2962" s="1" t="s">
        <v>825</v>
      </c>
      <c r="F2962" s="1">
        <v>19</v>
      </c>
      <c r="G2962" s="1">
        <v>14</v>
      </c>
      <c r="H2962" s="1">
        <v>2</v>
      </c>
      <c r="I2962" s="1" t="s">
        <v>3360</v>
      </c>
      <c r="K2962" s="1" t="str">
        <f t="shared" si="189"/>
        <v>ㄇ</v>
      </c>
      <c r="L2962" s="1" t="str">
        <f t="shared" si="190"/>
        <v>ㄧ</v>
      </c>
      <c r="N2962" s="3" t="s">
        <v>30575</v>
      </c>
      <c r="O2962" s="3"/>
      <c r="P2962" s="1" t="s">
        <v>20</v>
      </c>
      <c r="R2962" s="1" t="s">
        <v>3361</v>
      </c>
      <c r="V2962" s="1" t="s">
        <v>3382</v>
      </c>
      <c r="W2962" s="1" t="s">
        <v>3383</v>
      </c>
      <c r="AR2962" s="1" t="str">
        <f t="shared" si="191"/>
        <v>| [ㄇㄧˊ](ㄇㄧˊ.md) | [禰](禰.md) |  | mí | [名]
姓。如漢代有禰衡。 |</v>
      </c>
    </row>
    <row r="2963" spans="1:44" hidden="1">
      <c r="A2963" s="1" t="s">
        <v>3384</v>
      </c>
      <c r="C2963" s="1">
        <v>1</v>
      </c>
      <c r="D2963" s="1" t="str">
        <f>"01349"</f>
        <v>01349</v>
      </c>
      <c r="E2963" s="1" t="s">
        <v>129</v>
      </c>
      <c r="F2963" s="1">
        <v>20</v>
      </c>
      <c r="G2963" s="1">
        <v>17</v>
      </c>
      <c r="H2963" s="1">
        <v>1</v>
      </c>
      <c r="I2963" s="1" t="s">
        <v>3360</v>
      </c>
      <c r="K2963" s="1" t="str">
        <f t="shared" si="189"/>
        <v>ㄇ</v>
      </c>
      <c r="L2963" s="1" t="str">
        <f t="shared" si="190"/>
        <v>ㄧ</v>
      </c>
      <c r="N2963" s="3" t="s">
        <v>30575</v>
      </c>
      <c r="O2963" s="3"/>
      <c r="P2963" s="1" t="s">
        <v>20</v>
      </c>
      <c r="R2963" s="1" t="s">
        <v>3361</v>
      </c>
      <c r="V2963" s="1" t="s">
        <v>3385</v>
      </c>
      <c r="W2963" s="1" t="s">
        <v>3386</v>
      </c>
      <c r="AR2963" s="1" t="str">
        <f t="shared" si="191"/>
        <v>| [ㄇㄧˊ](ㄇㄧˊ.md) | [瀰](瀰.md) |  | mí | [形]
水深滿的樣子。《詩經．邶風．匏有苦葉》：「有瀰濟盈，有鷕雉鳴。」
[副]
滿。同「彌」。如：「煙霧瀰漫」。 |</v>
      </c>
    </row>
    <row r="2964" spans="1:44" hidden="1">
      <c r="A2964" s="1" t="s">
        <v>3387</v>
      </c>
      <c r="C2964" s="1">
        <v>1</v>
      </c>
      <c r="D2964" s="1" t="str">
        <f>"01350"</f>
        <v>01350</v>
      </c>
      <c r="E2964" s="1" t="s">
        <v>198</v>
      </c>
      <c r="F2964" s="1">
        <v>20</v>
      </c>
      <c r="G2964" s="1">
        <v>17</v>
      </c>
      <c r="H2964" s="1">
        <v>0</v>
      </c>
      <c r="I2964" s="1" t="s">
        <v>3360</v>
      </c>
      <c r="K2964" s="1" t="str">
        <f t="shared" si="189"/>
        <v>ㄇ</v>
      </c>
      <c r="L2964" s="1" t="str">
        <f t="shared" si="190"/>
        <v>ㄧ</v>
      </c>
      <c r="N2964" s="3" t="s">
        <v>30575</v>
      </c>
      <c r="O2964" s="3"/>
      <c r="P2964" s="1" t="s">
        <v>20</v>
      </c>
      <c r="R2964" s="1" t="s">
        <v>3361</v>
      </c>
      <c r="V2964" s="1" t="s">
        <v>3388</v>
      </c>
      <c r="AR2964" s="1" t="str">
        <f t="shared" si="191"/>
        <v>| [ㄇㄧˊ](ㄇㄧˊ.md) | [獼](獼.md) |  | mí | 參見「獼猴」條。 |</v>
      </c>
    </row>
    <row r="2965" spans="1:44" hidden="1">
      <c r="A2965" s="1" t="s">
        <v>3389</v>
      </c>
      <c r="C2965" s="1">
        <v>1</v>
      </c>
      <c r="D2965" s="1" t="str">
        <f>"01351"</f>
        <v>01351</v>
      </c>
      <c r="E2965" s="1" t="s">
        <v>3390</v>
      </c>
      <c r="F2965" s="1">
        <v>19</v>
      </c>
      <c r="G2965" s="1">
        <v>11</v>
      </c>
      <c r="H2965" s="1">
        <v>2</v>
      </c>
      <c r="I2965" s="1" t="s">
        <v>3360</v>
      </c>
      <c r="K2965" s="1" t="str">
        <f t="shared" si="189"/>
        <v>ㄇ</v>
      </c>
      <c r="L2965" s="1" t="str">
        <f t="shared" si="190"/>
        <v>ㄧ</v>
      </c>
      <c r="N2965" s="3" t="s">
        <v>30575</v>
      </c>
      <c r="O2965" s="3"/>
      <c r="P2965" s="1" t="s">
        <v>20</v>
      </c>
      <c r="R2965" s="1" t="s">
        <v>3361</v>
      </c>
      <c r="V2965" s="1" t="s">
        <v>3391</v>
      </c>
      <c r="W2965" s="1" t="s">
        <v>3392</v>
      </c>
      <c r="AR2965" s="1" t="str">
        <f t="shared" si="191"/>
        <v>| [ㄇㄧˊ](ㄇㄧˊ.md) | [靡](靡.md) |  | mí | [動]_x000D_
1.分、散。《易經．中孚．九二》：「我有好爵，吾與爾靡之。」唐．孔穎達．正義：「靡，散也。……若我有好爵，吾願與爾賢者分散而共之。」《墨子．尚同中》：「是故靡分天下，設以為萬諸侯國君，使從事乎一同其國之義。」_x000D_
2.耗費、浪費。如：「靡費」。《墨子．節葬下》：「此為輟民之事，靡民之財，不可勝記也。」《漢書．卷二四．食貨志上》：「生之者甚少而靡之者甚多，天下財產何得不蹶！」_x000D_
3.破碎、腐爛。《淮南子．說山》：「比干以忠靡其體，被誅者必非忠也。」_x000D_
4.消滅、滅盡。《楚辭．劉向．九歎．怨思》：「芳懿懿而終敗兮，名靡散而不彰。」漢．枚乘〈上書諫吳王〉：「太山之霤穿石，殫極之綆斷幹。水非石之鑽，索非木之鋸，漸靡使之然也。」 |</v>
      </c>
    </row>
    <row r="2966" spans="1:44" hidden="1">
      <c r="A2966" s="1" t="s">
        <v>3393</v>
      </c>
      <c r="C2966" s="1">
        <v>1</v>
      </c>
      <c r="D2966" s="1" t="str">
        <f>"01352"</f>
        <v>01352</v>
      </c>
      <c r="E2966" s="1" t="s">
        <v>24</v>
      </c>
      <c r="F2966" s="1">
        <v>22</v>
      </c>
      <c r="G2966" s="1">
        <v>19</v>
      </c>
      <c r="H2966" s="1">
        <v>0</v>
      </c>
      <c r="I2966" s="1" t="s">
        <v>3360</v>
      </c>
      <c r="K2966" s="1" t="str">
        <f t="shared" si="189"/>
        <v>ㄇ</v>
      </c>
      <c r="L2966" s="1" t="str">
        <f t="shared" si="190"/>
        <v>ㄧ</v>
      </c>
      <c r="N2966" s="3" t="s">
        <v>30575</v>
      </c>
      <c r="O2966" s="3"/>
      <c r="P2966" s="1" t="s">
        <v>20</v>
      </c>
      <c r="R2966" s="1" t="s">
        <v>3361</v>
      </c>
      <c r="V2966" s="1" t="s">
        <v>3394</v>
      </c>
      <c r="AR2966" s="1" t="str">
        <f t="shared" si="191"/>
        <v>| [ㄇㄧˊ](ㄇㄧˊ.md) | [攠](攠.md) |  | mí | [名]
鐘受撞擊之處。《周禮．冬官考工記．鳧氏》：「鍾帶謂之篆，篆間謂之枚，枚謂之景，于上之攠謂之隧。」 |</v>
      </c>
    </row>
    <row r="2967" spans="1:44" hidden="1">
      <c r="A2967" s="1" t="s">
        <v>3395</v>
      </c>
      <c r="C2967" s="1">
        <v>1</v>
      </c>
      <c r="D2967" s="1" t="str">
        <f>"01353"</f>
        <v>01353</v>
      </c>
      <c r="E2967" s="1" t="s">
        <v>336</v>
      </c>
      <c r="F2967" s="1">
        <v>23</v>
      </c>
      <c r="G2967" s="1">
        <v>19</v>
      </c>
      <c r="H2967" s="1">
        <v>0</v>
      </c>
      <c r="I2967" s="1" t="s">
        <v>3360</v>
      </c>
      <c r="K2967" s="1" t="str">
        <f t="shared" si="189"/>
        <v>ㄇ</v>
      </c>
      <c r="L2967" s="1" t="str">
        <f t="shared" si="190"/>
        <v>ㄧ</v>
      </c>
      <c r="N2967" s="3" t="s">
        <v>30575</v>
      </c>
      <c r="O2967" s="3"/>
      <c r="P2967" s="1" t="s">
        <v>20</v>
      </c>
      <c r="R2967" s="1" t="s">
        <v>3361</v>
      </c>
      <c r="V2967" s="1" t="s">
        <v>3396</v>
      </c>
      <c r="AR2967" s="1" t="str">
        <f t="shared" si="191"/>
        <v>| [ㄇㄧˊ](ㄇㄧˊ.md) | [爢](爢.md) |  | mí | [形]
爛。通「糜」。《說文解字．火部》：「爢，爛也。」
[名]
碎末。《楚辭．屈原．離騷》：「折瓊枝以為羞兮，精瓊爢以為粻。」 |</v>
      </c>
    </row>
    <row r="2968" spans="1:44" hidden="1">
      <c r="A2968" s="1" t="s">
        <v>3397</v>
      </c>
      <c r="C2968" s="1">
        <v>1</v>
      </c>
      <c r="D2968" s="1" t="str">
        <f>"01354"</f>
        <v>01354</v>
      </c>
      <c r="E2968" s="1" t="s">
        <v>37</v>
      </c>
      <c r="F2968" s="1">
        <v>23</v>
      </c>
      <c r="G2968" s="1">
        <v>19</v>
      </c>
      <c r="H2968" s="1">
        <v>0</v>
      </c>
      <c r="I2968" s="1" t="s">
        <v>3360</v>
      </c>
      <c r="K2968" s="1" t="str">
        <f t="shared" si="189"/>
        <v>ㄇ</v>
      </c>
      <c r="L2968" s="1" t="str">
        <f t="shared" si="190"/>
        <v>ㄧ</v>
      </c>
      <c r="N2968" s="3" t="s">
        <v>30575</v>
      </c>
      <c r="O2968" s="3"/>
      <c r="P2968" s="1" t="s">
        <v>20</v>
      </c>
      <c r="R2968" s="1" t="s">
        <v>3361</v>
      </c>
      <c r="V2968" s="1" t="s">
        <v>3398</v>
      </c>
      <c r="AR2968" s="1" t="str">
        <f t="shared" si="191"/>
        <v>| [ㄇㄧˊ](ㄇㄧˊ.md) | [蘼](蘼.md) |  | mí | 參見「蘼藿」、「蘼蕪」等條。 |</v>
      </c>
    </row>
    <row r="2969" spans="1:44" hidden="1">
      <c r="A2969" s="1" t="s">
        <v>3399</v>
      </c>
      <c r="C2969" s="1">
        <v>1</v>
      </c>
      <c r="D2969" s="1" t="str">
        <f>"01355"</f>
        <v>01355</v>
      </c>
      <c r="E2969" s="1" t="s">
        <v>1190</v>
      </c>
      <c r="F2969" s="1">
        <v>20</v>
      </c>
      <c r="G2969" s="1">
        <v>9</v>
      </c>
      <c r="H2969" s="1">
        <v>0</v>
      </c>
      <c r="I2969" s="1" t="s">
        <v>3360</v>
      </c>
      <c r="K2969" s="1" t="str">
        <f t="shared" si="189"/>
        <v>ㄇ</v>
      </c>
      <c r="L2969" s="1" t="str">
        <f t="shared" si="190"/>
        <v>ㄧ</v>
      </c>
      <c r="N2969" s="3" t="s">
        <v>30575</v>
      </c>
      <c r="O2969" s="3"/>
      <c r="P2969" s="1" t="s">
        <v>20</v>
      </c>
      <c r="R2969" s="1" t="s">
        <v>3361</v>
      </c>
      <c r="V2969" s="1" t="s">
        <v>3400</v>
      </c>
      <c r="AR2969" s="1" t="str">
        <f t="shared" si="191"/>
        <v>| [ㄇㄧˊ](ㄇㄧˊ.md) | [麛](麛.md) |  | mí | [名]
1.初生的小鹿。《禮記．內則》：「秋宜犢麛膳膏腥，冬宜鮮羽膳膏羶。」唐．元稹〈青雲驛〉詩：「山鹿藏窟穴，虎豹吞其麛。」
2.通稱幼小的野獸。三國魏．劉劭〈七華〉：「煮丹穴之卵……，臠麒麟之麛。」 |</v>
      </c>
    </row>
    <row r="2970" spans="1:44" hidden="1">
      <c r="A2970" s="1" t="s">
        <v>3401</v>
      </c>
      <c r="C2970" s="1">
        <v>1</v>
      </c>
      <c r="D2970" s="1" t="str">
        <f>"01356"</f>
        <v>01356</v>
      </c>
      <c r="E2970" s="1" t="s">
        <v>46</v>
      </c>
      <c r="F2970" s="1">
        <v>6</v>
      </c>
      <c r="G2970" s="1">
        <v>0</v>
      </c>
      <c r="H2970" s="1">
        <v>0</v>
      </c>
      <c r="I2970" s="1" t="s">
        <v>3402</v>
      </c>
      <c r="K2970" s="1" t="str">
        <f t="shared" si="189"/>
        <v>ㄇ</v>
      </c>
      <c r="L2970" s="1" t="str">
        <f t="shared" si="190"/>
        <v>ㄧ</v>
      </c>
      <c r="N2970" s="3" t="s">
        <v>30576</v>
      </c>
      <c r="O2970" s="3"/>
      <c r="P2970" s="1" t="s">
        <v>20</v>
      </c>
      <c r="R2970" s="1" t="s">
        <v>3403</v>
      </c>
      <c r="V2970" s="1" t="s">
        <v>3404</v>
      </c>
      <c r="AR2970" s="1" t="str">
        <f t="shared" si="191"/>
        <v>| [ㄇㄧˇ](ㄇㄧˇ.md) | [米](米.md) |  | mǐ | [名]
1.去殼的穀實，今專指稻實。如：「稻米」、「白米」、「糯米」、「糙米」。《孔子家語．卷二．致思》：「常食藜藿之實，為親負米百里之外。」
2.去掉皮殼的種子、果仁。如：「花生米」。
3.借指食物。如：「他病得很重，水米不進。」
4.成粒似米的東西。如：「蝦米」。
5.量詞。表示長度的法制單位。俗稱「公尺」。
6.姓。如唐代有米嘉勞。
7.二一四部首之一。 |</v>
      </c>
    </row>
    <row r="2971" spans="1:44" hidden="1">
      <c r="A2971" s="1" t="s">
        <v>3405</v>
      </c>
      <c r="C2971" s="1">
        <v>1</v>
      </c>
      <c r="D2971" s="1" t="str">
        <f>"01357"</f>
        <v>01357</v>
      </c>
      <c r="E2971" s="1" t="s">
        <v>426</v>
      </c>
      <c r="F2971" s="1">
        <v>10</v>
      </c>
      <c r="G2971" s="1">
        <v>6</v>
      </c>
      <c r="H2971" s="1">
        <v>0</v>
      </c>
      <c r="I2971" s="1" t="s">
        <v>3402</v>
      </c>
      <c r="K2971" s="1" t="str">
        <f t="shared" si="189"/>
        <v>ㄇ</v>
      </c>
      <c r="L2971" s="1" t="str">
        <f t="shared" si="190"/>
        <v>ㄧ</v>
      </c>
      <c r="N2971" s="3" t="s">
        <v>30576</v>
      </c>
      <c r="O2971" s="3"/>
      <c r="P2971" s="1" t="s">
        <v>20</v>
      </c>
      <c r="R2971" s="1" t="s">
        <v>3403</v>
      </c>
      <c r="V2971" s="1" t="s">
        <v>3406</v>
      </c>
      <c r="AR2971" s="1" t="str">
        <f t="shared" si="191"/>
        <v>| [ㄇㄧˇ](ㄇㄧˇ.md) | [敉](敉.md) |  | mǐ | [動]
安撫、平定。如：「敉亂」。《清史稿．卷八三．禮志二》：「嘉慶十八年，林清變起，計日敉平。」 |</v>
      </c>
    </row>
    <row r="2972" spans="1:44" hidden="1">
      <c r="A2972" s="1" t="s">
        <v>3353</v>
      </c>
      <c r="C2972" s="1">
        <v>1</v>
      </c>
      <c r="D2972" s="1" t="str">
        <f>"01358"</f>
        <v>01358</v>
      </c>
      <c r="E2972" s="1" t="s">
        <v>1015</v>
      </c>
      <c r="F2972" s="1">
        <v>11</v>
      </c>
      <c r="G2972" s="1">
        <v>6</v>
      </c>
      <c r="H2972" s="1">
        <v>1</v>
      </c>
      <c r="I2972" s="1" t="s">
        <v>3402</v>
      </c>
      <c r="K2972" s="1" t="str">
        <f t="shared" si="189"/>
        <v>ㄇ</v>
      </c>
      <c r="L2972" s="1" t="str">
        <f t="shared" si="190"/>
        <v>ㄧ</v>
      </c>
      <c r="N2972" s="3" t="s">
        <v>30576</v>
      </c>
      <c r="O2972" s="3"/>
      <c r="P2972" s="1" t="s">
        <v>20</v>
      </c>
      <c r="R2972" s="1" t="s">
        <v>3403</v>
      </c>
      <c r="V2972" s="1" t="s">
        <v>3407</v>
      </c>
      <c r="W2972" s="1" t="s">
        <v>3408</v>
      </c>
      <c r="AR2972" s="1" t="str">
        <f t="shared" si="191"/>
        <v>| [ㄇㄧˇ](ㄇㄧˇ.md) | [眯](眯.md) |  | mǐ | [動]
東西進入眼中，使眼睛一時睜不開。《莊子．天運》：「老聃曰：『夫播穅眯目，則天地四方易位矣。』」明．李時珍《本草綱目．卷三六．木部．桑》：「雜物眯眼，新桑根皮洗淨搥爛，入眼撥之自出。」 |</v>
      </c>
    </row>
    <row r="2973" spans="1:44" hidden="1">
      <c r="A2973" s="1" t="s">
        <v>3409</v>
      </c>
      <c r="C2973" s="1">
        <v>1</v>
      </c>
      <c r="D2973" s="1" t="str">
        <f>"01359"</f>
        <v>01359</v>
      </c>
      <c r="E2973" s="1" t="s">
        <v>43</v>
      </c>
      <c r="F2973" s="1">
        <v>8</v>
      </c>
      <c r="G2973" s="1">
        <v>2</v>
      </c>
      <c r="H2973" s="1">
        <v>2</v>
      </c>
      <c r="I2973" s="1" t="s">
        <v>3402</v>
      </c>
      <c r="K2973" s="1" t="str">
        <f t="shared" si="189"/>
        <v>ㄇ</v>
      </c>
      <c r="L2973" s="1" t="str">
        <f t="shared" si="190"/>
        <v>ㄧ</v>
      </c>
      <c r="N2973" s="3" t="s">
        <v>30576</v>
      </c>
      <c r="O2973" s="3"/>
      <c r="P2973" s="1" t="s">
        <v>20</v>
      </c>
      <c r="R2973" s="1" t="s">
        <v>3403</v>
      </c>
      <c r="V2973" s="1" t="s">
        <v>3410</v>
      </c>
      <c r="W2973" s="1" t="s">
        <v>3411</v>
      </c>
      <c r="AR2973" s="1" t="str">
        <f t="shared" si="191"/>
        <v>| [ㄇㄧˇ](ㄇㄧˇ.md) | [羋](羋.md) |  | mǐ | [擬]
(一)之讀音。
[名]
姓。如戰國時齊國有羋嬰。 |</v>
      </c>
    </row>
    <row r="2974" spans="1:44" hidden="1">
      <c r="A2974" s="1" t="s">
        <v>3412</v>
      </c>
      <c r="C2974" s="1">
        <v>1</v>
      </c>
      <c r="D2974" s="1" t="str">
        <f>"01360"</f>
        <v>01360</v>
      </c>
      <c r="E2974" s="1" t="s">
        <v>679</v>
      </c>
      <c r="F2974" s="1">
        <v>14</v>
      </c>
      <c r="G2974" s="1">
        <v>8</v>
      </c>
      <c r="H2974" s="1">
        <v>0</v>
      </c>
      <c r="I2974" s="1" t="s">
        <v>3402</v>
      </c>
      <c r="K2974" s="1" t="str">
        <f t="shared" si="189"/>
        <v>ㄇ</v>
      </c>
      <c r="L2974" s="1" t="str">
        <f t="shared" si="190"/>
        <v>ㄧ</v>
      </c>
      <c r="N2974" s="3" t="s">
        <v>30576</v>
      </c>
      <c r="O2974" s="3"/>
      <c r="P2974" s="1" t="s">
        <v>20</v>
      </c>
      <c r="R2974" s="1" t="s">
        <v>3403</v>
      </c>
      <c r="V2974" s="1" t="s">
        <v>3413</v>
      </c>
      <c r="AR2974" s="1" t="str">
        <f t="shared" si="191"/>
        <v>| [ㄇㄧˇ](ㄇㄧˇ.md) | [蝆](蝆.md) |  | mǐ | [名]
1.螳螂。漢．揚雄《方言》卷一一：「螳蜋謂之髦，或謂之虰或謂之蝆蝆。」
2.蛀食米穀的黑色小蟲。《爾雅．釋蟲》：「蛄䗐，強蝆。」晉．郭璞．注：「今米穀中蠹小黑蟲是也。建平人呼為蝆子。」 |</v>
      </c>
    </row>
    <row r="2975" spans="1:44" hidden="1">
      <c r="A2975" s="1" t="s">
        <v>3414</v>
      </c>
      <c r="C2975" s="1">
        <v>1</v>
      </c>
      <c r="D2975" s="1" t="str">
        <f>"01361"</f>
        <v>01361</v>
      </c>
      <c r="E2975" s="1" t="s">
        <v>103</v>
      </c>
      <c r="F2975" s="1">
        <v>9</v>
      </c>
      <c r="G2975" s="1">
        <v>6</v>
      </c>
      <c r="H2975" s="1">
        <v>0</v>
      </c>
      <c r="I2975" s="1" t="s">
        <v>3402</v>
      </c>
      <c r="K2975" s="1" t="str">
        <f t="shared" si="189"/>
        <v>ㄇ</v>
      </c>
      <c r="L2975" s="1" t="str">
        <f t="shared" si="190"/>
        <v>ㄧ</v>
      </c>
      <c r="N2975" s="3" t="s">
        <v>30576</v>
      </c>
      <c r="O2975" s="3"/>
      <c r="P2975" s="1" t="s">
        <v>20</v>
      </c>
      <c r="R2975" s="1" t="s">
        <v>3403</v>
      </c>
      <c r="V2975" s="1" t="s">
        <v>3415</v>
      </c>
      <c r="AR2975" s="1" t="str">
        <f t="shared" si="191"/>
        <v>| [ㄇㄧˇ](ㄇㄧˇ.md) | [弭](弭.md) |  | mǐ | [名]
1.無綵繳纏飾，末端以骨、角鑲嵌的弓。《說文解字．弓部》：「弭，弓無緣可以解轡紛者。」桂馥義證引孫炎曰：「弭謂不以繳束，骨飾兩頭者也。」
2.弓的末端。《廣韻．上聲．紙韻》：「弭，弓末。」《詩經．小雅．采薇》：「四牧翼翼，象弭魚服。」
3.地名。春秋時鄭地，約在今大陸地區河南省密縣境。
4.姓。如漢代有弭彊。
[動]
1.停止、平息、消除。《左傳．成公十六年》：「若之何，憂猶未弭。」《後漢書．卷八〇．文苑傳下．趙壹傳》：「下則抗論當世，消弭時災。」
2.安撫。通「敉」。《史記．卷四六．田敬仲完世家》：「夫治國家而弭人民者，無若乎五音者。」
3.遺忘。《文選．江淹．雜體詩．潘黃門》：「俯仰未能弭，尋念非但一。」 |</v>
      </c>
    </row>
    <row r="2976" spans="1:44" hidden="1">
      <c r="A2976" s="1" t="s">
        <v>3416</v>
      </c>
      <c r="C2976" s="1">
        <v>1</v>
      </c>
      <c r="D2976" s="1" t="str">
        <f>"01362"</f>
        <v>01362</v>
      </c>
      <c r="E2976" s="1" t="s">
        <v>129</v>
      </c>
      <c r="F2976" s="1">
        <v>12</v>
      </c>
      <c r="G2976" s="1">
        <v>9</v>
      </c>
      <c r="H2976" s="1">
        <v>0</v>
      </c>
      <c r="I2976" s="1" t="s">
        <v>3402</v>
      </c>
      <c r="K2976" s="1" t="str">
        <f t="shared" si="189"/>
        <v>ㄇ</v>
      </c>
      <c r="L2976" s="1" t="str">
        <f t="shared" si="190"/>
        <v>ㄧ</v>
      </c>
      <c r="N2976" s="3" t="s">
        <v>30576</v>
      </c>
      <c r="O2976" s="3"/>
      <c r="P2976" s="1" t="s">
        <v>20</v>
      </c>
      <c r="R2976" s="1" t="s">
        <v>3403</v>
      </c>
      <c r="V2976" s="1" t="s">
        <v>3417</v>
      </c>
      <c r="AR2976" s="1" t="str">
        <f t="shared" si="191"/>
        <v>| [ㄇㄧˇ](ㄇㄧˇ.md) | [渳](渳.md) |  | mǐ | [動]
1.飲歃。《說文解字．水部》：「渳，飲歃也，从水弭聲。」
2.浴屍。《周禮．春官．小宗伯》：「王崩，大肆，以秬鬯渳。」 |</v>
      </c>
    </row>
    <row r="2977" spans="1:44" hidden="1">
      <c r="A2977" s="1" t="s">
        <v>3418</v>
      </c>
      <c r="C2977" s="1">
        <v>1</v>
      </c>
      <c r="D2977" s="1" t="str">
        <f>"01363"</f>
        <v>01363</v>
      </c>
      <c r="E2977" s="1" t="s">
        <v>37</v>
      </c>
      <c r="F2977" s="1">
        <v>13</v>
      </c>
      <c r="G2977" s="1">
        <v>9</v>
      </c>
      <c r="H2977" s="1">
        <v>0</v>
      </c>
      <c r="I2977" s="1" t="s">
        <v>3402</v>
      </c>
      <c r="K2977" s="1" t="str">
        <f t="shared" si="189"/>
        <v>ㄇ</v>
      </c>
      <c r="L2977" s="1" t="str">
        <f t="shared" si="190"/>
        <v>ㄧ</v>
      </c>
      <c r="N2977" s="3" t="s">
        <v>30576</v>
      </c>
      <c r="O2977" s="3"/>
      <c r="P2977" s="1" t="s">
        <v>20</v>
      </c>
      <c r="R2977" s="1" t="s">
        <v>3403</v>
      </c>
      <c r="V2977" s="1" t="s">
        <v>3419</v>
      </c>
      <c r="AR2977" s="1" t="str">
        <f t="shared" si="191"/>
        <v>| [ㄇㄧˇ](ㄇㄧˇ.md) | [葞](葞.md) |  | mǐ | [名]
植物名。蘿藦科白薇屬，「白薇」之古稱，參見「白薇」條。明．李時珍《本草綱目．卷一七．草部．莽草》：「時珍曰：『葞音尾，白薇也。薇、葞字音相近爾。』」 |</v>
      </c>
    </row>
    <row r="2978" spans="1:44" hidden="1">
      <c r="A2978" s="1" t="s">
        <v>3420</v>
      </c>
      <c r="C2978" s="1">
        <v>1</v>
      </c>
      <c r="D2978" s="1" t="str">
        <f>"01364"</f>
        <v>01364</v>
      </c>
      <c r="E2978" s="1" t="s">
        <v>129</v>
      </c>
      <c r="F2978" s="1">
        <v>17</v>
      </c>
      <c r="G2978" s="1">
        <v>14</v>
      </c>
      <c r="H2978" s="1">
        <v>0</v>
      </c>
      <c r="I2978" s="1" t="s">
        <v>3402</v>
      </c>
      <c r="K2978" s="1" t="str">
        <f t="shared" si="189"/>
        <v>ㄇ</v>
      </c>
      <c r="L2978" s="1" t="str">
        <f t="shared" si="190"/>
        <v>ㄧ</v>
      </c>
      <c r="N2978" s="3" t="s">
        <v>30576</v>
      </c>
      <c r="O2978" s="3"/>
      <c r="P2978" s="1" t="s">
        <v>20</v>
      </c>
      <c r="R2978" s="1" t="s">
        <v>3403</v>
      </c>
      <c r="V2978" s="1" t="s">
        <v>3421</v>
      </c>
      <c r="AR2978" s="1" t="str">
        <f t="shared" si="191"/>
        <v>| [ㄇㄧˇ](ㄇㄧˇ.md) | [濔](濔.md) |  | mǐ | [形]
水滿的樣子。《說文解字．水部》：「濔，滿也。」 |</v>
      </c>
    </row>
    <row r="2979" spans="1:44" hidden="1">
      <c r="A2979" s="1" t="s">
        <v>3384</v>
      </c>
      <c r="C2979" s="1">
        <v>1</v>
      </c>
      <c r="D2979" s="1" t="str">
        <f>"01365"</f>
        <v>01365</v>
      </c>
      <c r="E2979" s="1" t="s">
        <v>129</v>
      </c>
      <c r="F2979" s="1">
        <v>20</v>
      </c>
      <c r="G2979" s="1">
        <v>17</v>
      </c>
      <c r="H2979" s="1">
        <v>2</v>
      </c>
      <c r="I2979" s="1" t="s">
        <v>3402</v>
      </c>
      <c r="K2979" s="1" t="str">
        <f t="shared" si="189"/>
        <v>ㄇ</v>
      </c>
      <c r="L2979" s="1" t="str">
        <f t="shared" si="190"/>
        <v>ㄧ</v>
      </c>
      <c r="N2979" s="3" t="s">
        <v>30576</v>
      </c>
      <c r="O2979" s="3"/>
      <c r="P2979" s="1" t="s">
        <v>20</v>
      </c>
      <c r="R2979" s="1" t="s">
        <v>3403</v>
      </c>
      <c r="V2979" s="1" t="s">
        <v>3422</v>
      </c>
      <c r="W2979" s="1" t="s">
        <v>3423</v>
      </c>
      <c r="AR2979" s="1" t="str">
        <f t="shared" si="191"/>
        <v>| [ㄇㄧˇ](ㄇㄧˇ.md) | [瀰](瀰.md) |  | mǐ | (一)[形]之又音。 |</v>
      </c>
    </row>
    <row r="2980" spans="1:44" hidden="1">
      <c r="A2980" s="1" t="s">
        <v>3389</v>
      </c>
      <c r="C2980" s="1">
        <v>1</v>
      </c>
      <c r="D2980" s="1" t="str">
        <f>"01366"</f>
        <v>01366</v>
      </c>
      <c r="E2980" s="1" t="s">
        <v>3390</v>
      </c>
      <c r="F2980" s="1">
        <v>19</v>
      </c>
      <c r="G2980" s="1">
        <v>11</v>
      </c>
      <c r="H2980" s="1">
        <v>1</v>
      </c>
      <c r="I2980" s="1" t="s">
        <v>3402</v>
      </c>
      <c r="K2980" s="1" t="str">
        <f t="shared" si="189"/>
        <v>ㄇ</v>
      </c>
      <c r="L2980" s="1" t="str">
        <f t="shared" si="190"/>
        <v>ㄧ</v>
      </c>
      <c r="N2980" s="3" t="s">
        <v>30576</v>
      </c>
      <c r="O2980" s="3"/>
      <c r="P2980" s="1" t="s">
        <v>20</v>
      </c>
      <c r="R2980" s="1" t="s">
        <v>3403</v>
      </c>
      <c r="V2980" s="1" t="s">
        <v>3424</v>
      </c>
      <c r="W2980" s="1" t="s">
        <v>3425</v>
      </c>
      <c r="AR2980" s="1" t="str">
        <f t="shared" si="191"/>
        <v>| [ㄇㄧˇ](ㄇㄧˇ.md) | [靡](靡.md) |  | mǐ | [動]_x000D_
1.順勢倒下。如：「所向披靡」。《左傳．莊公十年》：「吾視其轍亂，望其旗靡，故逐之。」晉．潘岳〈閒居賦〉：「訓若風行，應如草靡。」_x000D_
2.沒有。《詩經．鄘風．柏舟》：「髧彼兩髦，實維我儀，之死矢靡它。」晉．陶潛〈桃花源詩〉：「春蠶收長絲，秋熟靡王稅。」明．歸有光〈先妣事略〉：「室靡棄物，家無閒人。」_x000D_
[形]_x000D_
1.奢侈。如：「奢靡」、「浮靡」。《戰國策．楚策四》：「專淫逸侈靡，不顧國政，郢都必危矣。」《逸周書．卷三．文傳解》：「人君之行，不為驕侈，不為泰靡，不淫于美，括柱茅茨，為民愛費。」_x000D_
2.細小、細緻。《韓非子．解老》：「凡理者，方圓、短長、麤靡、堅脆之分也，故理定而後物可得道也。」《楚辭．宋玉．招魂》：「靡顏膩理，遺視矊些。」漢．王逸．注：「靡，緻也。」《漢書．卷八九．循吏傳．黃霸》：「米鹽靡密，初若煩碎。」_x000D_
3.華麗、美好。《南史．卷二二．列傳．王曇首》：「筠又能用強韻，每公宴並作，辭必妍靡。」宋．蘇軾〈論養士〉：「靡衣玉食以館於上者，何可勝數！」_x000D_
[副]_x000D_
無、不。《詩經．小雅．節南山》：「不弔昊天，亂靡有定。」宋．陸游〈刪定官供職謝啟〉：「是以鄙夫深文而不知還，儒者高談而靡適用。」 |</v>
      </c>
    </row>
    <row r="2981" spans="1:44" hidden="1">
      <c r="A2981" s="1" t="s">
        <v>3426</v>
      </c>
      <c r="C2981" s="1">
        <v>1</v>
      </c>
      <c r="D2981" s="1" t="str">
        <f>"01367"</f>
        <v>01367</v>
      </c>
      <c r="E2981" s="1" t="s">
        <v>129</v>
      </c>
      <c r="F2981" s="1">
        <v>22</v>
      </c>
      <c r="G2981" s="1">
        <v>19</v>
      </c>
      <c r="H2981" s="1">
        <v>0</v>
      </c>
      <c r="I2981" s="1" t="s">
        <v>3402</v>
      </c>
      <c r="K2981" s="1" t="str">
        <f t="shared" si="189"/>
        <v>ㄇ</v>
      </c>
      <c r="L2981" s="1" t="str">
        <f t="shared" si="190"/>
        <v>ㄧ</v>
      </c>
      <c r="N2981" s="3" t="s">
        <v>30576</v>
      </c>
      <c r="O2981" s="3"/>
      <c r="P2981" s="1" t="s">
        <v>20</v>
      </c>
      <c r="R2981" s="1" t="s">
        <v>3403</v>
      </c>
      <c r="V2981" s="1" t="s">
        <v>3427</v>
      </c>
      <c r="AR2981" s="1" t="str">
        <f t="shared" si="191"/>
        <v>| [ㄇㄧˇ](ㄇㄧˇ.md) | [灖](灖.md) |  | mǐ | [形]
水流動的樣子。《淮南子．原道》：「上漏下濕，潤浸北房，雪霜滖灖，浸潭苽蔣。」 |</v>
      </c>
    </row>
    <row r="2982" spans="1:44" hidden="1">
      <c r="A2982" s="1" t="s">
        <v>3757</v>
      </c>
      <c r="C2982" s="1">
        <v>1</v>
      </c>
      <c r="D2982" s="1" t="str">
        <f>"01505"</f>
        <v>01505</v>
      </c>
      <c r="E2982" s="1" t="s">
        <v>139</v>
      </c>
      <c r="F2982" s="1">
        <v>4</v>
      </c>
      <c r="G2982" s="1">
        <v>0</v>
      </c>
      <c r="H2982" s="1">
        <v>0</v>
      </c>
      <c r="I2982" s="1" t="s">
        <v>3758</v>
      </c>
      <c r="K2982" s="1" t="str">
        <f t="shared" si="189"/>
        <v>ㄇ</v>
      </c>
      <c r="L2982" s="1" t="str">
        <f t="shared" si="190"/>
        <v>ㄨ</v>
      </c>
      <c r="N2982" s="3" t="s">
        <v>30574</v>
      </c>
      <c r="O2982" s="3"/>
      <c r="P2982" s="1" t="s">
        <v>20</v>
      </c>
      <c r="R2982" s="1" t="s">
        <v>3759</v>
      </c>
      <c r="V2982" s="1" t="s">
        <v>3760</v>
      </c>
      <c r="AR2982" s="1" t="str">
        <f t="shared" si="191"/>
        <v>| [ㄇㄨˋ](ㄇㄨˋ.md) | [木](木.md) |  | mù | [名]
1.樹、木本植物的通稱。如：「草木」、「樹木」、「花木扶疏」。
2.木材。如：「朽木不可雕」、「棺木」、「壽木」。《書經．說命上》：「說復于王曰：『惟木從繩則正，從諫則聖。』」
3.棺材。如：「行將就木」。
4.五行之一。參見「五行」條。
5.木星的簡稱。
6.姓。如晉朝有木華。
7.二一四部首之一。
[形]
1.用木材製成的。如：「木椅」、「木屋」。
2.性情樸實。如：「剛毅木訥」。《新五代史．卷二二．梁臣傳．牛存節傳》：「存節為人木彊忠謹，太祖愛之。」
3.沒有知覺的。如：「麻木」。
4.呆笨的。如：「鈍頭木腦」。
[動]
失去知覺、感覺。《紅樓夢》第一〇回：「賈瑞聽了，身上已木了半邊。」 |</v>
      </c>
    </row>
    <row r="2983" spans="1:44" hidden="1">
      <c r="A2983" s="1" t="s">
        <v>3761</v>
      </c>
      <c r="C2983" s="1">
        <v>1</v>
      </c>
      <c r="D2983" s="1" t="str">
        <f>"01506"</f>
        <v>01506</v>
      </c>
      <c r="E2983" s="1" t="s">
        <v>129</v>
      </c>
      <c r="F2983" s="1">
        <v>7</v>
      </c>
      <c r="G2983" s="1">
        <v>4</v>
      </c>
      <c r="H2983" s="1">
        <v>0</v>
      </c>
      <c r="I2983" s="1" t="s">
        <v>3758</v>
      </c>
      <c r="K2983" s="1" t="str">
        <f t="shared" si="189"/>
        <v>ㄇ</v>
      </c>
      <c r="L2983" s="1" t="str">
        <f t="shared" si="190"/>
        <v>ㄨ</v>
      </c>
      <c r="N2983" s="3" t="s">
        <v>30574</v>
      </c>
      <c r="O2983" s="3"/>
      <c r="P2983" s="1" t="s">
        <v>20</v>
      </c>
      <c r="R2983" s="1" t="s">
        <v>3759</v>
      </c>
      <c r="V2983" s="1" t="s">
        <v>3762</v>
      </c>
      <c r="AR2983" s="1" t="str">
        <f t="shared" si="191"/>
        <v>| [ㄇㄨˋ](ㄇㄨˋ.md) | [沐](沐.md) |  | mù | [動]
1.洗髮。《莊子．田子方》：「孔子見老聃，老聃新沐，方將被髮而乾，熟然似非人。」
2.承受。唐．劉長卿〈送嚴維赴河南充嚴中丞幕府〉詩：「何當舉嚴助，遍沐漢朝恩。」
3.休假。《文選．沈約．酬謝宣城朓詩》：「晨趨朝建禮，晚沐臥效園。」
[名]
1.洗髮的米汁。《史記．卷四九．外戚世家》：「姊去我西時，與我決於傳舍中，丐沐沐我，請食飯我，乃去。」
2.姓。如漢代有沐寵。 |</v>
      </c>
    </row>
    <row r="2984" spans="1:44" hidden="1">
      <c r="A2984" s="1" t="s">
        <v>3763</v>
      </c>
      <c r="C2984" s="1">
        <v>1</v>
      </c>
      <c r="D2984" s="1" t="str">
        <f>"01507"</f>
        <v>01507</v>
      </c>
      <c r="E2984" s="1" t="s">
        <v>125</v>
      </c>
      <c r="F2984" s="1">
        <v>15</v>
      </c>
      <c r="G2984" s="1">
        <v>7</v>
      </c>
      <c r="H2984" s="1">
        <v>0</v>
      </c>
      <c r="I2984" s="1" t="s">
        <v>3758</v>
      </c>
      <c r="K2984" s="1" t="str">
        <f t="shared" ref="K2984:K3047" si="192">LEFT(I2984, 1)</f>
        <v>ㄇ</v>
      </c>
      <c r="L2984" s="1" t="str">
        <f t="shared" ref="L2984:L3047" si="193">MID(I2984, 2, 1)</f>
        <v>ㄨ</v>
      </c>
      <c r="N2984" s="3" t="s">
        <v>30574</v>
      </c>
      <c r="O2984" s="3"/>
      <c r="P2984" s="1" t="s">
        <v>20</v>
      </c>
      <c r="R2984" s="1" t="s">
        <v>3759</v>
      </c>
      <c r="V2984" s="1" t="s">
        <v>3764</v>
      </c>
      <c r="AR2984" s="1" t="str">
        <f t="shared" si="191"/>
        <v>| [ㄇㄨˋ](ㄇㄨˋ.md) | [霂](霂.md) |  | mù | 參見「霢霂」條。 |</v>
      </c>
    </row>
    <row r="2985" spans="1:44" hidden="1">
      <c r="A2985" s="1" t="s">
        <v>3765</v>
      </c>
      <c r="C2985" s="1">
        <v>1</v>
      </c>
      <c r="D2985" s="1" t="str">
        <f>"01508"</f>
        <v>01508</v>
      </c>
      <c r="E2985" s="1" t="s">
        <v>1015</v>
      </c>
      <c r="F2985" s="1">
        <v>5</v>
      </c>
      <c r="G2985" s="1">
        <v>0</v>
      </c>
      <c r="H2985" s="1">
        <v>0</v>
      </c>
      <c r="I2985" s="1" t="s">
        <v>3758</v>
      </c>
      <c r="K2985" s="1" t="str">
        <f t="shared" si="192"/>
        <v>ㄇ</v>
      </c>
      <c r="L2985" s="1" t="str">
        <f t="shared" si="193"/>
        <v>ㄨ</v>
      </c>
      <c r="N2985" s="3" t="s">
        <v>30574</v>
      </c>
      <c r="O2985" s="3"/>
      <c r="P2985" s="1" t="s">
        <v>20</v>
      </c>
      <c r="R2985" s="1" t="s">
        <v>3759</v>
      </c>
      <c r="V2985" s="1" t="s">
        <v>3766</v>
      </c>
      <c r="AR2985" s="1" t="str">
        <f t="shared" si="191"/>
        <v>| [ㄇㄨˋ](ㄇㄨˋ.md) | [目](目.md) |  | mù | [名]
1.眼睛。如：「耳聰目明」、「魚目混珠」、「賞心悅目」、「眉清目秀」。《詩經．衛風．碩人》：「巧笑倩兮，美目盼兮。」
2.條款、細則。如：「項目」、「條目」、「細目」。《論語．顏淵》：「顏淵問仁，子曰：『克己復禮為仁……。』顏淵曰：『請問其目。』」
3.列在書本前供方便查尋的條文。如：「書目」、「篇目」、「目次」、「四庫全書總目」。
4.名稱、標題。如：「品目」、「名目」、「題目」。
5.首領。如：「頭目」。
6.生物學中分類的階層名稱，由一群親緣關係相近之科所組成。如：「界、門、綱、目、科、屬、種。」也稱為「部」。
7.二一四部首之一。
[動]
稱呼。《穀梁傳．隱公元年》：「以其目君，知其為弟也。」 |</v>
      </c>
    </row>
    <row r="2986" spans="1:44" hidden="1">
      <c r="A2986" s="1" t="s">
        <v>3767</v>
      </c>
      <c r="C2986" s="1">
        <v>1</v>
      </c>
      <c r="D2986" s="1" t="str">
        <f>"01509"</f>
        <v>01509</v>
      </c>
      <c r="E2986" s="1" t="s">
        <v>37</v>
      </c>
      <c r="F2986" s="1">
        <v>9</v>
      </c>
      <c r="G2986" s="1">
        <v>5</v>
      </c>
      <c r="H2986" s="1">
        <v>0</v>
      </c>
      <c r="I2986" s="1" t="s">
        <v>3758</v>
      </c>
      <c r="K2986" s="1" t="str">
        <f t="shared" si="192"/>
        <v>ㄇ</v>
      </c>
      <c r="L2986" s="1" t="str">
        <f t="shared" si="193"/>
        <v>ㄨ</v>
      </c>
      <c r="N2986" s="3" t="s">
        <v>30574</v>
      </c>
      <c r="O2986" s="3"/>
      <c r="P2986" s="1" t="s">
        <v>20</v>
      </c>
      <c r="R2986" s="1" t="s">
        <v>3759</v>
      </c>
      <c r="V2986" s="1" t="s">
        <v>3768</v>
      </c>
      <c r="AR2986" s="1" t="str">
        <f t="shared" si="191"/>
        <v>| [ㄇㄨˋ](ㄇㄨˋ.md) | [苜](苜.md) |  | mù | 參見「苜蓿」條。 |</v>
      </c>
    </row>
    <row r="2987" spans="1:44" hidden="1">
      <c r="A2987" s="1" t="s">
        <v>3769</v>
      </c>
      <c r="C2987" s="1">
        <v>1</v>
      </c>
      <c r="D2987" s="1" t="str">
        <f>"01510"</f>
        <v>01510</v>
      </c>
      <c r="E2987" s="1" t="s">
        <v>55</v>
      </c>
      <c r="F2987" s="1">
        <v>13</v>
      </c>
      <c r="G2987" s="1">
        <v>5</v>
      </c>
      <c r="H2987" s="1">
        <v>0</v>
      </c>
      <c r="I2987" s="1" t="s">
        <v>3758</v>
      </c>
      <c r="K2987" s="1" t="str">
        <f t="shared" si="192"/>
        <v>ㄇ</v>
      </c>
      <c r="L2987" s="1" t="str">
        <f t="shared" si="193"/>
        <v>ㄨ</v>
      </c>
      <c r="N2987" s="3" t="s">
        <v>30574</v>
      </c>
      <c r="O2987" s="3"/>
      <c r="P2987" s="1" t="s">
        <v>20</v>
      </c>
      <c r="R2987" s="1" t="s">
        <v>3759</v>
      </c>
      <c r="V2987" s="1" t="s">
        <v>3770</v>
      </c>
      <c r="AR2987" s="1" t="str">
        <f t="shared" si="191"/>
        <v>| [ㄇㄨˋ](ㄇㄨˋ.md) | [鉬](鉬.md) |  | mù | [名]
（molybdenum，Mo）化學元素。原子序42。為質堅的銀白色金屬，具高抗腐蝕及抗磨損性。在空氣中不易變化。主要存在於輝鉬礦及鉬鉛礦中。可供製鉬鋼、無線電真空管中燈絲的支架及其他特殊用途。 |</v>
      </c>
    </row>
    <row r="2988" spans="1:44" hidden="1">
      <c r="A2988" s="1" t="s">
        <v>3741</v>
      </c>
      <c r="C2988" s="1">
        <v>1</v>
      </c>
      <c r="D2988" s="1" t="str">
        <f>"01511"</f>
        <v>01511</v>
      </c>
      <c r="E2988" s="1" t="s">
        <v>132</v>
      </c>
      <c r="F2988" s="1">
        <v>8</v>
      </c>
      <c r="G2988" s="1">
        <v>5</v>
      </c>
      <c r="H2988" s="1">
        <v>2</v>
      </c>
      <c r="I2988" s="1" t="s">
        <v>3758</v>
      </c>
      <c r="K2988" s="1" t="str">
        <f t="shared" si="192"/>
        <v>ㄇ</v>
      </c>
      <c r="L2988" s="1" t="str">
        <f t="shared" si="193"/>
        <v>ㄨ</v>
      </c>
      <c r="N2988" s="3" t="s">
        <v>30574</v>
      </c>
      <c r="O2988" s="3"/>
      <c r="P2988" s="1" t="s">
        <v>20</v>
      </c>
      <c r="R2988" s="1" t="s">
        <v>3759</v>
      </c>
      <c r="V2988" s="1" t="s">
        <v>3771</v>
      </c>
      <c r="W2988" s="1" t="s">
        <v>3772</v>
      </c>
      <c r="AR2988" s="1" t="str">
        <f t="shared" si="191"/>
        <v>| [ㄇㄨˋ](ㄇㄨˋ.md) | [坶](坶.md) |  | mù | [名]
地名。周武王打敗商紂的地方，故址約在今大陸地區河南省淇縣南。《說文解字．土部》：「坶，朝歌南七十里地，武王與紂戰于坶野。」 |</v>
      </c>
    </row>
    <row r="2989" spans="1:44" hidden="1">
      <c r="A2989" s="1" t="s">
        <v>3773</v>
      </c>
      <c r="C2989" s="1">
        <v>1</v>
      </c>
      <c r="D2989" s="1" t="str">
        <f>"01512"</f>
        <v>01512</v>
      </c>
      <c r="E2989" s="1" t="s">
        <v>518</v>
      </c>
      <c r="F2989" s="1">
        <v>8</v>
      </c>
      <c r="G2989" s="1">
        <v>4</v>
      </c>
      <c r="H2989" s="1">
        <v>0</v>
      </c>
      <c r="I2989" s="1" t="s">
        <v>3758</v>
      </c>
      <c r="K2989" s="1" t="str">
        <f t="shared" si="192"/>
        <v>ㄇ</v>
      </c>
      <c r="L2989" s="1" t="str">
        <f t="shared" si="193"/>
        <v>ㄨ</v>
      </c>
      <c r="N2989" s="3" t="s">
        <v>30574</v>
      </c>
      <c r="O2989" s="3"/>
      <c r="P2989" s="1" t="s">
        <v>20</v>
      </c>
      <c r="R2989" s="1" t="s">
        <v>3759</v>
      </c>
      <c r="V2989" s="1" t="s">
        <v>3774</v>
      </c>
      <c r="AR2989" s="1" t="str">
        <f t="shared" si="191"/>
        <v>| [ㄇㄨˋ](ㄇㄨˋ.md) | [牧](牧.md) |  | mù | [動]
1.放飼牲畜。如：「牧牛」、「牧羊」。唐．杜甫〈新安吏〉詩：「掘壕不到水，牧馬役亦輕。」
2.修養。《易經．謙卦．象曰》：「謙謙君子，卑以自牧也。」唐．魏徵〈諫太宗十思疏〉：「念高危，則思謙沖而自牧。」
3.治理、統治。《荀子．成相》：「請牧祺，明有基。」《新唐書．卷一一八．裴潾傳》：「陛下以孝安宗廟，以仁牧黎庶。」
[名]
1.放飼牲畜的人。《左傳．昭公七年》：「馬有圉，牛有牧。」唐．段文昌〈平淮西碑〉：「牧除害馬，農去蟊賊。」
2.放養牲畜的地方。如：「牧場」、「牧地」。
3.畜牧業的簡稱。如：「農、林、漁、牧」。 |</v>
      </c>
    </row>
    <row r="2990" spans="1:44" hidden="1">
      <c r="A2990" s="1" t="s">
        <v>2745</v>
      </c>
      <c r="C2990" s="1">
        <v>1</v>
      </c>
      <c r="D2990" s="1" t="str">
        <f>"01513"</f>
        <v>01513</v>
      </c>
      <c r="E2990" s="1" t="s">
        <v>37</v>
      </c>
      <c r="F2990" s="1">
        <v>11</v>
      </c>
      <c r="G2990" s="1">
        <v>7</v>
      </c>
      <c r="H2990" s="1">
        <v>2</v>
      </c>
      <c r="I2990" s="1" t="s">
        <v>3758</v>
      </c>
      <c r="K2990" s="1" t="str">
        <f t="shared" si="192"/>
        <v>ㄇ</v>
      </c>
      <c r="L2990" s="1" t="str">
        <f t="shared" si="193"/>
        <v>ㄨ</v>
      </c>
      <c r="N2990" s="3" t="s">
        <v>30574</v>
      </c>
      <c r="O2990" s="3"/>
      <c r="P2990" s="1" t="s">
        <v>20</v>
      </c>
      <c r="R2990" s="1" t="s">
        <v>3759</v>
      </c>
      <c r="V2990" s="1" t="s">
        <v>3775</v>
      </c>
      <c r="W2990" s="1" t="s">
        <v>3776</v>
      </c>
      <c r="AR2990" s="1" t="str">
        <f t="shared" si="191"/>
        <v>| [ㄇㄨˋ](ㄇㄨˋ.md) | [莫](莫.md) |  | mù | [名]
1.「暮」的本字。指日落、黃昏時候。《詩經．齊風．東方未明》：「不能辰夜，不夙則莫。」宋．張元幹〈石州慢．雨急雲飛〉詞：「雨急雲飛，瞥然驚散，莫天涼月。」
2.一種蔬菜。《詩經．魏風．汾沮洳》：「彼汾沮洳，言采其莫。」
[形]
晚、遲。通「暮」。《論語．先進》：「莫春者，春服既成。」 |</v>
      </c>
    </row>
    <row r="2991" spans="1:44" hidden="1">
      <c r="A2991" s="1" t="s">
        <v>3777</v>
      </c>
      <c r="C2991" s="1">
        <v>1</v>
      </c>
      <c r="D2991" s="1" t="str">
        <f>"01514"</f>
        <v>01514</v>
      </c>
      <c r="E2991" s="1" t="s">
        <v>245</v>
      </c>
      <c r="F2991" s="1">
        <v>13</v>
      </c>
      <c r="G2991" s="1">
        <v>11</v>
      </c>
      <c r="H2991" s="1">
        <v>0</v>
      </c>
      <c r="I2991" s="1" t="s">
        <v>3758</v>
      </c>
      <c r="K2991" s="1" t="str">
        <f t="shared" si="192"/>
        <v>ㄇ</v>
      </c>
      <c r="L2991" s="1" t="str">
        <f t="shared" si="193"/>
        <v>ㄨ</v>
      </c>
      <c r="N2991" s="3" t="s">
        <v>30574</v>
      </c>
      <c r="O2991" s="3"/>
      <c r="P2991" s="1" t="s">
        <v>20</v>
      </c>
      <c r="R2991" s="1" t="s">
        <v>3759</v>
      </c>
      <c r="V2991" s="1" t="s">
        <v>3778</v>
      </c>
      <c r="AR2991" s="1" t="str">
        <f t="shared" si="191"/>
        <v>| [ㄇㄨˋ](ㄇㄨˋ.md) | [募](募.md) |  | mù | [動]
廣求、召集。如：「招募」、「募捐」、「募款」。《荀子．議兵》：「若夫招近募選，隆執詐，尚功利之兵，則勝不勝無常。」 |</v>
      </c>
    </row>
    <row r="2992" spans="1:44" hidden="1">
      <c r="A2992" s="1" t="s">
        <v>3779</v>
      </c>
      <c r="C2992" s="1">
        <v>1</v>
      </c>
      <c r="D2992" s="1" t="str">
        <f>"01515"</f>
        <v>01515</v>
      </c>
      <c r="E2992" s="1" t="s">
        <v>132</v>
      </c>
      <c r="F2992" s="1">
        <v>14</v>
      </c>
      <c r="G2992" s="1">
        <v>11</v>
      </c>
      <c r="H2992" s="1">
        <v>0</v>
      </c>
      <c r="I2992" s="1" t="s">
        <v>3758</v>
      </c>
      <c r="K2992" s="1" t="str">
        <f t="shared" si="192"/>
        <v>ㄇ</v>
      </c>
      <c r="L2992" s="1" t="str">
        <f t="shared" si="193"/>
        <v>ㄨ</v>
      </c>
      <c r="N2992" s="3" t="s">
        <v>30574</v>
      </c>
      <c r="O2992" s="3"/>
      <c r="P2992" s="1" t="s">
        <v>20</v>
      </c>
      <c r="R2992" s="1" t="s">
        <v>3759</v>
      </c>
      <c r="V2992" s="1" t="s">
        <v>3780</v>
      </c>
      <c r="AR2992" s="1" t="str">
        <f t="shared" si="191"/>
        <v>| [ㄇㄨˋ](ㄇㄨˋ.md) | [墓](墓.md) |  | mù | [名]
埋葬死者的地方。如：「墳墓」、「公墓」。唐．白居易〈續古〉詩一〇首之二：「古墓何代人，不知姓與名。」 |</v>
      </c>
    </row>
    <row r="2993" spans="1:44" hidden="1">
      <c r="A2993" s="1" t="s">
        <v>2752</v>
      </c>
      <c r="C2993" s="1">
        <v>1</v>
      </c>
      <c r="D2993" s="1" t="str">
        <f>"01516"</f>
        <v>01516</v>
      </c>
      <c r="E2993" s="1" t="s">
        <v>222</v>
      </c>
      <c r="F2993" s="1">
        <v>14</v>
      </c>
      <c r="G2993" s="1">
        <v>11</v>
      </c>
      <c r="H2993" s="1">
        <v>1</v>
      </c>
      <c r="I2993" s="1" t="s">
        <v>3758</v>
      </c>
      <c r="K2993" s="1" t="str">
        <f t="shared" si="192"/>
        <v>ㄇ</v>
      </c>
      <c r="L2993" s="1" t="str">
        <f t="shared" si="193"/>
        <v>ㄨ</v>
      </c>
      <c r="N2993" s="3" t="s">
        <v>30574</v>
      </c>
      <c r="O2993" s="3"/>
      <c r="P2993" s="1" t="s">
        <v>20</v>
      </c>
      <c r="R2993" s="1" t="s">
        <v>3759</v>
      </c>
      <c r="V2993" s="1" t="s">
        <v>3781</v>
      </c>
      <c r="W2993" s="1" t="s">
        <v>3782</v>
      </c>
      <c r="AR2993" s="1" t="str">
        <f t="shared" si="191"/>
        <v>| [ㄇㄨˋ](ㄇㄨˋ.md) | [幕](幕.md) |  | mù | [名]
1.垂掛的簾幔。如：「罩幕」、「簾幕」、「黑幕」。唐．李賀〈夜坐吟〉：「西風羅幕生翠波，鉛華笑妾顰青蛾。」宋．周邦彥〈瑞鶴仙．悄郊原帶郭〉詞：「驚飆動幕，扶殘醉，遶紅藥。」
2.篷帳、營帳。如：「帳幕」、「幄幕」。《漢書．卷五十四．蘇建傳》：「徑萬里兮度沙幕，為君將兮奮匈奴。」宋．姜夔〈翠樓吟．月冷龍沙〉詞：「新翻胡部曲，聽氈幕、元戎歌吹。」
3.幕府的簡稱。指古代將帥或行政官的府署。如：「幕客」、「入幕之賓」。明．袁宏道〈徐文長傳〉：「中丞胡公宗憲聞之，客諸幕。」
4.幕府中辦理文書或其他助理人員。《文明小史》第三九回：「寫封信給錢縣令，叫他趕緊辭了這個劣幕，另換妥人。」
5.戲劇中的一個大段落，當臺幕降落時，表示布幕的更換或時間的流逝，或同時表示兩者。如：「全劇共四幕」。
6.量詞。計算舞臺劇幕布起落次數的單位。如：「獨幕劇」、「三幕劇」。
[動]
覆蓋。《莊子．則陽》：「推而強之，解朝服而幕之。」 |</v>
      </c>
    </row>
    <row r="2994" spans="1:44" hidden="1">
      <c r="A2994" s="1" t="s">
        <v>3783</v>
      </c>
      <c r="C2994" s="1">
        <v>1</v>
      </c>
      <c r="D2994" s="1" t="str">
        <f>"01517"</f>
        <v>01517</v>
      </c>
      <c r="E2994" s="1" t="s">
        <v>250</v>
      </c>
      <c r="F2994" s="1">
        <v>15</v>
      </c>
      <c r="G2994" s="1">
        <v>11</v>
      </c>
      <c r="H2994" s="1">
        <v>0</v>
      </c>
      <c r="I2994" s="1" t="s">
        <v>3758</v>
      </c>
      <c r="K2994" s="1" t="str">
        <f t="shared" si="192"/>
        <v>ㄇ</v>
      </c>
      <c r="L2994" s="1" t="str">
        <f t="shared" si="193"/>
        <v>ㄨ</v>
      </c>
      <c r="N2994" s="3" t="s">
        <v>30574</v>
      </c>
      <c r="O2994" s="3"/>
      <c r="P2994" s="1" t="s">
        <v>20</v>
      </c>
      <c r="R2994" s="1" t="s">
        <v>3759</v>
      </c>
      <c r="V2994" s="1" t="s">
        <v>3784</v>
      </c>
      <c r="AR2994" s="1" t="str">
        <f t="shared" si="191"/>
        <v>| [ㄇㄨˋ](ㄇㄨˋ.md) | [慕](慕.md) |  | mù | [動]
1.思念、想念。如：「思慕」。《孟子．萬章上》：「大孝終身慕父母，五十而慕者，予於大舜見之矣。」《董西廂》卷一：「一時間見了他，十分地慕想他。」
2.愛羨、敬仰。如：「羨慕」、「愛慕」、「仰慕」。《莊子．徐无鬼》：「蟻慕羊肉，羊肉羶也。」
[名]
姓。如宋代有慕洧。 |</v>
      </c>
    </row>
    <row r="2995" spans="1:44" hidden="1">
      <c r="A2995" s="1" t="s">
        <v>3785</v>
      </c>
      <c r="C2995" s="1">
        <v>1</v>
      </c>
      <c r="D2995" s="1" t="str">
        <f>"01518"</f>
        <v>01518</v>
      </c>
      <c r="E2995" s="1" t="s">
        <v>646</v>
      </c>
      <c r="F2995" s="1">
        <v>15</v>
      </c>
      <c r="G2995" s="1">
        <v>11</v>
      </c>
      <c r="H2995" s="1">
        <v>0</v>
      </c>
      <c r="I2995" s="1" t="s">
        <v>3758</v>
      </c>
      <c r="K2995" s="1" t="str">
        <f t="shared" si="192"/>
        <v>ㄇ</v>
      </c>
      <c r="L2995" s="1" t="str">
        <f t="shared" si="193"/>
        <v>ㄨ</v>
      </c>
      <c r="N2995" s="3" t="s">
        <v>30574</v>
      </c>
      <c r="O2995" s="3"/>
      <c r="P2995" s="1" t="s">
        <v>20</v>
      </c>
      <c r="R2995" s="1" t="s">
        <v>3759</v>
      </c>
      <c r="V2995" s="1" t="s">
        <v>3786</v>
      </c>
      <c r="AR2995" s="1" t="str">
        <f t="shared" si="191"/>
        <v>| [ㄇㄨˋ](ㄇㄨˋ.md) | [暮](暮.md) |  | mù | [名]
傍晚、太陽將落的時候。如：「日暮」。唐．杜甫〈石壕吏〉詩：「暮投石壕村，有吏夜捉人。」
[形]
1.天晚的。如：「暮煙」、「暮色」。
2.晚、將盡的。如：「暮年」、「暮春」、「天寒歲暮」。
3.衰頹的。如：「暮氣沉沉」。 |</v>
      </c>
    </row>
    <row r="2996" spans="1:44" hidden="1">
      <c r="A2996" s="1" t="s">
        <v>3787</v>
      </c>
      <c r="C2996" s="1">
        <v>1</v>
      </c>
      <c r="D2996" s="1" t="str">
        <f>"01519"</f>
        <v>01519</v>
      </c>
      <c r="E2996" s="1" t="s">
        <v>1015</v>
      </c>
      <c r="F2996" s="1">
        <v>13</v>
      </c>
      <c r="G2996" s="1">
        <v>8</v>
      </c>
      <c r="H2996" s="1">
        <v>0</v>
      </c>
      <c r="I2996" s="1" t="s">
        <v>3758</v>
      </c>
      <c r="K2996" s="1" t="str">
        <f t="shared" si="192"/>
        <v>ㄇ</v>
      </c>
      <c r="L2996" s="1" t="str">
        <f t="shared" si="193"/>
        <v>ㄨ</v>
      </c>
      <c r="N2996" s="3" t="s">
        <v>30574</v>
      </c>
      <c r="O2996" s="3"/>
      <c r="P2996" s="1" t="s">
        <v>20</v>
      </c>
      <c r="R2996" s="1" t="s">
        <v>3759</v>
      </c>
      <c r="V2996" s="1" t="s">
        <v>3788</v>
      </c>
      <c r="AR2996" s="1" t="str">
        <f t="shared" si="191"/>
        <v>| [ㄇㄨˋ](ㄇㄨˋ.md) | [睦](睦.md) |  | mù | [動]
厚待、親近。如：「敦親睦鄰」。《禮記．坊記》：「睦於父母之黨，可謂孝矣。」唐．歐陽詹〈自明誠論〉：「遊於鄉，可以睦閭里而寧訟爭。」
[形]
和氣的。如：「和睦」。《書經．堯典》：「九族既睦，平章百姓。」
[名]
1.和順。《禮記．禮運》：「大道之行也，天下為公，選賢與能，講信修睦。」
2.姓。如北齊時有睦豫。 |</v>
      </c>
    </row>
    <row r="2997" spans="1:44" hidden="1">
      <c r="A2997" s="1" t="s">
        <v>3789</v>
      </c>
      <c r="C2997" s="1">
        <v>1</v>
      </c>
      <c r="D2997" s="1" t="str">
        <f>"01520"</f>
        <v>01520</v>
      </c>
      <c r="E2997" s="1" t="s">
        <v>429</v>
      </c>
      <c r="F2997" s="1">
        <v>16</v>
      </c>
      <c r="G2997" s="1">
        <v>11</v>
      </c>
      <c r="H2997" s="1">
        <v>0</v>
      </c>
      <c r="I2997" s="1" t="s">
        <v>3758</v>
      </c>
      <c r="K2997" s="1" t="str">
        <f t="shared" si="192"/>
        <v>ㄇ</v>
      </c>
      <c r="L2997" s="1" t="str">
        <f t="shared" si="193"/>
        <v>ㄨ</v>
      </c>
      <c r="N2997" s="3" t="s">
        <v>30574</v>
      </c>
      <c r="O2997" s="3"/>
      <c r="P2997" s="1" t="s">
        <v>20</v>
      </c>
      <c r="R2997" s="1" t="s">
        <v>3759</v>
      </c>
      <c r="V2997" s="1" t="s">
        <v>3790</v>
      </c>
      <c r="AR2997" s="1" t="str">
        <f t="shared" si="191"/>
        <v>| [ㄇㄨˋ](ㄇㄨˋ.md) | [穆](穆.md) |  | mù | [形]
1.溫和、和諧。如：「和穆」、「安穆」。《詩經．大雅．烝民》：「吉甫作誦，穆如清風。」宋．蘇軾〈和勸農〉詩：「獸蹤交締，鳥喙諧穆。」
2.恭敬、肅敬。如：「肅穆」。《禮記．曲禮》：「天子穆穆，諸侯皇皇。」
3.美好。《呂氏春秋．仲冬紀．至忠》：「申公子培其忠也，可謂穆行矣。」《晉書．卷九三．外戚傳．王濛傳》：「豈可令涇渭混流，虧清穆之風。」
[名]
1.古代宗廟神位排列的次序，左為昭，右為穆。《左傳．僖公五年》：「虢仲、虢叔，王季之穆也。」
2.姓。如漢代有穆生。 |</v>
      </c>
    </row>
    <row r="2998" spans="1:44" hidden="1">
      <c r="A2998" s="1" t="s">
        <v>3035</v>
      </c>
      <c r="C2998" s="1">
        <v>1</v>
      </c>
      <c r="D2998" s="1" t="str">
        <f>"01522"</f>
        <v>01522</v>
      </c>
      <c r="E2998" s="1" t="s">
        <v>725</v>
      </c>
      <c r="F2998" s="1">
        <v>17</v>
      </c>
      <c r="G2998" s="1">
        <v>11</v>
      </c>
      <c r="H2998" s="1">
        <v>4</v>
      </c>
      <c r="I2998" s="1" t="s">
        <v>3758</v>
      </c>
      <c r="K2998" s="1" t="str">
        <f t="shared" si="192"/>
        <v>ㄇ</v>
      </c>
      <c r="L2998" s="1" t="str">
        <f t="shared" si="193"/>
        <v>ㄨ</v>
      </c>
      <c r="N2998" s="3" t="s">
        <v>30574</v>
      </c>
      <c r="O2998" s="3"/>
      <c r="P2998" s="1" t="s">
        <v>20</v>
      </c>
      <c r="R2998" s="1" t="s">
        <v>3759</v>
      </c>
      <c r="V2998" s="1" t="s">
        <v>3791</v>
      </c>
      <c r="W2998" s="1" t="s">
        <v>3792</v>
      </c>
      <c r="AR2998" s="1" t="str">
        <f t="shared" si="191"/>
        <v>| [ㄇㄨˋ](ㄇㄨˋ.md) | [繆](繆.md) |  | mù | [名]
古代宗廟的位次。《禮記．大傳》：「序以昭繆，別之以禮義，人道竭矣。」《漢書．卷五六．董仲舒傳》：「上下不和，則陰陽繆盩而妖孽生矣。」 |</v>
      </c>
    </row>
    <row r="2999" spans="1:44" hidden="1">
      <c r="A2999" s="1" t="s">
        <v>3793</v>
      </c>
      <c r="C2999" s="1">
        <v>1</v>
      </c>
      <c r="D2999" s="1" t="str">
        <f>"01523"</f>
        <v>01523</v>
      </c>
      <c r="E2999" s="1" t="s">
        <v>272</v>
      </c>
      <c r="F2999" s="1">
        <v>20</v>
      </c>
      <c r="G2999" s="1">
        <v>9</v>
      </c>
      <c r="H2999" s="1">
        <v>2</v>
      </c>
      <c r="I2999" s="1" t="s">
        <v>3758</v>
      </c>
      <c r="K2999" s="1" t="str">
        <f t="shared" si="192"/>
        <v>ㄇ</v>
      </c>
      <c r="L2999" s="1" t="str">
        <f t="shared" si="193"/>
        <v>ㄨ</v>
      </c>
      <c r="N2999" s="3" t="s">
        <v>30574</v>
      </c>
      <c r="O2999" s="3"/>
      <c r="P2999" s="1" t="s">
        <v>110</v>
      </c>
      <c r="R2999" s="1" t="s">
        <v>3759</v>
      </c>
      <c r="V2999" s="1" t="s">
        <v>111</v>
      </c>
      <c r="W2999" s="1" t="s">
        <v>3794</v>
      </c>
      <c r="AR2999" s="1" t="str">
        <f t="shared" si="191"/>
        <v>| [ㄇㄨˋ](ㄇㄨˋ.md) | [鶩](鶩.md) |  | mù | (一)之又音。 |</v>
      </c>
    </row>
    <row r="3000" spans="1:44" hidden="1">
      <c r="A3000" s="1" t="s">
        <v>3729</v>
      </c>
      <c r="C3000" s="1">
        <v>1</v>
      </c>
      <c r="D3000" s="1" t="str">
        <f>"01494"</f>
        <v>01494</v>
      </c>
      <c r="E3000" s="1" t="s">
        <v>198</v>
      </c>
      <c r="F3000" s="1">
        <v>14</v>
      </c>
      <c r="G3000" s="1">
        <v>11</v>
      </c>
      <c r="H3000" s="1">
        <v>0</v>
      </c>
      <c r="I3000" s="1" t="s">
        <v>3730</v>
      </c>
      <c r="K3000" s="1" t="str">
        <f t="shared" si="192"/>
        <v>ㄇ</v>
      </c>
      <c r="L3000" s="1" t="str">
        <f t="shared" si="193"/>
        <v>ㄨ</v>
      </c>
      <c r="N3000" s="3" t="s">
        <v>30575</v>
      </c>
      <c r="O3000" s="3"/>
      <c r="P3000" s="1" t="s">
        <v>20</v>
      </c>
      <c r="R3000" s="1" t="s">
        <v>3731</v>
      </c>
      <c r="V3000" s="1" t="s">
        <v>3732</v>
      </c>
      <c r="AR3000" s="1" t="str">
        <f t="shared" si="191"/>
        <v>| [ㄇㄨˊ](ㄇㄨˊ.md) | [獏](獏.md) |  | mú | [名]
古代一種野獸。《集韻．平聲．模韻》：「獏，獸名。」 |</v>
      </c>
    </row>
    <row r="3001" spans="1:44" hidden="1">
      <c r="A3001" s="1" t="s">
        <v>2672</v>
      </c>
      <c r="C3001" s="1">
        <v>1</v>
      </c>
      <c r="D3001" s="1" t="str">
        <f>"01495"</f>
        <v>01495</v>
      </c>
      <c r="E3001" s="1" t="s">
        <v>139</v>
      </c>
      <c r="F3001" s="1">
        <v>15</v>
      </c>
      <c r="G3001" s="1">
        <v>11</v>
      </c>
      <c r="H3001" s="1">
        <v>2</v>
      </c>
      <c r="I3001" s="1" t="s">
        <v>3730</v>
      </c>
      <c r="K3001" s="1" t="str">
        <f t="shared" si="192"/>
        <v>ㄇ</v>
      </c>
      <c r="L3001" s="1" t="str">
        <f t="shared" si="193"/>
        <v>ㄨ</v>
      </c>
      <c r="N3001" s="3" t="s">
        <v>30575</v>
      </c>
      <c r="O3001" s="3"/>
      <c r="P3001" s="1" t="s">
        <v>20</v>
      </c>
      <c r="R3001" s="1" t="s">
        <v>3731</v>
      </c>
      <c r="V3001" s="1" t="s">
        <v>3733</v>
      </c>
      <c r="W3001" s="1" t="s">
        <v>3734</v>
      </c>
      <c r="AR3001" s="1" t="str">
        <f t="shared" si="191"/>
        <v>| [ㄇㄨˊ](ㄇㄨˊ.md) | [模](模.md) |  | mú | 參見「模子」、「模樣」等條。 |</v>
      </c>
    </row>
    <row r="3002" spans="1:44" hidden="1">
      <c r="A3002" s="1" t="s">
        <v>3735</v>
      </c>
      <c r="C3002" s="1">
        <v>1</v>
      </c>
      <c r="D3002" s="1" t="str">
        <f>"01496"</f>
        <v>01496</v>
      </c>
      <c r="E3002" s="1" t="s">
        <v>1703</v>
      </c>
      <c r="F3002" s="1">
        <v>15</v>
      </c>
      <c r="G3002" s="1">
        <v>11</v>
      </c>
      <c r="H3002" s="1">
        <v>0</v>
      </c>
      <c r="I3002" s="1" t="s">
        <v>3730</v>
      </c>
      <c r="K3002" s="1" t="str">
        <f t="shared" si="192"/>
        <v>ㄇ</v>
      </c>
      <c r="L3002" s="1" t="str">
        <f t="shared" si="193"/>
        <v>ㄨ</v>
      </c>
      <c r="N3002" s="3" t="s">
        <v>30575</v>
      </c>
      <c r="O3002" s="3"/>
      <c r="P3002" s="1" t="s">
        <v>20</v>
      </c>
      <c r="R3002" s="1" t="s">
        <v>3731</v>
      </c>
      <c r="V3002" s="1" t="s">
        <v>3736</v>
      </c>
      <c r="AR3002" s="1" t="str">
        <f t="shared" si="191"/>
        <v>| [ㄇㄨˊ](ㄇㄨˊ.md) | [氁](氁.md) |  | mú | [名]
厚密光澤的毛織品。元．陶宗儀《南村輟耕錄．卷一一．采繪法》：「氁綾，用紫花底，紫粉搭花樣。」 |</v>
      </c>
    </row>
    <row r="3003" spans="1:44" hidden="1">
      <c r="A3003" s="1" t="s">
        <v>3737</v>
      </c>
      <c r="C3003" s="1">
        <v>1</v>
      </c>
      <c r="D3003" s="1" t="str">
        <f>"01497"</f>
        <v>01497</v>
      </c>
      <c r="E3003" s="1" t="s">
        <v>2870</v>
      </c>
      <c r="F3003" s="1">
        <v>5</v>
      </c>
      <c r="G3003" s="1">
        <v>0</v>
      </c>
      <c r="H3003" s="1">
        <v>0</v>
      </c>
      <c r="I3003" s="1" t="s">
        <v>3738</v>
      </c>
      <c r="K3003" s="1" t="str">
        <f t="shared" si="192"/>
        <v>ㄇ</v>
      </c>
      <c r="L3003" s="1" t="str">
        <f t="shared" si="193"/>
        <v>ㄨ</v>
      </c>
      <c r="N3003" s="3" t="s">
        <v>30576</v>
      </c>
      <c r="O3003" s="3"/>
      <c r="P3003" s="1" t="s">
        <v>20</v>
      </c>
      <c r="R3003" s="1" t="s">
        <v>3739</v>
      </c>
      <c r="V3003" s="1" t="s">
        <v>3740</v>
      </c>
      <c r="AR3003" s="1" t="str">
        <f t="shared" si="191"/>
        <v>| [ㄇㄨˇ](ㄇㄨˇ.md) | [母](母.md) |  | mǔ | [名]_x000D_
1.稱謂：(1)對媽媽的稱呼。如：「母奶」、「母愛」、「父母」。《詩經．小雅．蓼莪》：「父兮生我，母兮鞠我。」(2)對女性長輩的尊稱。如：「姑母」、「祖母」、「師母」。_x000D_
2.老婦。《史記．卷九二．淮陰侯列傳》：「信釣於城下，諸母漂，有一母見信飢，飯信，竟漂數十日。」_x000D_
3.能有所滋衍的事物。如：「酒母」、「字母」。元．熊朋來《瑟譜》卷一：「凡六五辨音，調絲則絲有其音，吹竹則竹有其音，如字韻之母。」_x000D_
4.根源、根本。如：「失敗為成功之母」。明．胡直〈少保趙文肅公傳〉：「本然者，即良知也，此萬事之母，百行之主。」_x000D_
[形]_x000D_
1.雌性的。如：「母牛」、「母雞」。_x000D_
2.原本的。如：「母國」、「母校」。 |</v>
      </c>
    </row>
    <row r="3004" spans="1:44" hidden="1">
      <c r="A3004" s="1" t="s">
        <v>3741</v>
      </c>
      <c r="C3004" s="1">
        <v>1</v>
      </c>
      <c r="D3004" s="1" t="str">
        <f>"01498"</f>
        <v>01498</v>
      </c>
      <c r="E3004" s="1" t="s">
        <v>132</v>
      </c>
      <c r="F3004" s="1">
        <v>8</v>
      </c>
      <c r="G3004" s="1">
        <v>5</v>
      </c>
      <c r="H3004" s="1">
        <v>1</v>
      </c>
      <c r="I3004" s="1" t="s">
        <v>3738</v>
      </c>
      <c r="K3004" s="1" t="str">
        <f t="shared" si="192"/>
        <v>ㄇ</v>
      </c>
      <c r="L3004" s="1" t="str">
        <f t="shared" si="193"/>
        <v>ㄨ</v>
      </c>
      <c r="N3004" s="3" t="s">
        <v>30576</v>
      </c>
      <c r="O3004" s="3"/>
      <c r="P3004" s="1" t="s">
        <v>20</v>
      </c>
      <c r="R3004" s="1" t="s">
        <v>3739</v>
      </c>
      <c r="V3004" s="1" t="s">
        <v>3742</v>
      </c>
      <c r="W3004" s="1" t="s">
        <v>3743</v>
      </c>
      <c r="AR3004" s="1" t="str">
        <f t="shared" si="191"/>
        <v>| [ㄇㄨˇ](ㄇㄨˇ.md) | [坶](坶.md) |  | mǔ | [名]
地名用字。如桃園市復興區有阿坶坪。 |</v>
      </c>
    </row>
    <row r="3005" spans="1:44" hidden="1">
      <c r="A3005" s="1" t="s">
        <v>3744</v>
      </c>
      <c r="C3005" s="1">
        <v>1</v>
      </c>
      <c r="D3005" s="1" t="str">
        <f>"01499"</f>
        <v>01499</v>
      </c>
      <c r="E3005" s="1" t="s">
        <v>24</v>
      </c>
      <c r="F3005" s="1">
        <v>8</v>
      </c>
      <c r="G3005" s="1">
        <v>5</v>
      </c>
      <c r="H3005" s="1">
        <v>0</v>
      </c>
      <c r="I3005" s="1" t="s">
        <v>3738</v>
      </c>
      <c r="K3005" s="1" t="str">
        <f t="shared" si="192"/>
        <v>ㄇ</v>
      </c>
      <c r="L3005" s="1" t="str">
        <f t="shared" si="193"/>
        <v>ㄨ</v>
      </c>
      <c r="N3005" s="3" t="s">
        <v>30576</v>
      </c>
      <c r="O3005" s="3"/>
      <c r="P3005" s="1" t="s">
        <v>20</v>
      </c>
      <c r="R3005" s="1" t="s">
        <v>3739</v>
      </c>
      <c r="V3005" s="1" t="s">
        <v>3745</v>
      </c>
      <c r="AR3005" s="1" t="str">
        <f t="shared" si="191"/>
        <v>| [ㄇㄨˇ](ㄇㄨˇ.md) | [拇](拇.md) |  | mǔ | [名]
手和腳的大指。如：「拇指」。《莊子．駢拇》：「駢拇枝指，出乎性哉，而侈於德。」 |</v>
      </c>
    </row>
    <row r="3006" spans="1:44" hidden="1">
      <c r="A3006" s="1" t="s">
        <v>3746</v>
      </c>
      <c r="C3006" s="1">
        <v>1</v>
      </c>
      <c r="D3006" s="1" t="str">
        <f>"01500"</f>
        <v>01500</v>
      </c>
      <c r="E3006" s="1" t="s">
        <v>534</v>
      </c>
      <c r="F3006" s="1">
        <v>8</v>
      </c>
      <c r="G3006" s="1">
        <v>5</v>
      </c>
      <c r="H3006" s="1">
        <v>0</v>
      </c>
      <c r="I3006" s="1" t="s">
        <v>3738</v>
      </c>
      <c r="K3006" s="1" t="str">
        <f t="shared" si="192"/>
        <v>ㄇ</v>
      </c>
      <c r="L3006" s="1" t="str">
        <f t="shared" si="193"/>
        <v>ㄨ</v>
      </c>
      <c r="N3006" s="3" t="s">
        <v>30576</v>
      </c>
      <c r="O3006" s="3"/>
      <c r="P3006" s="1" t="s">
        <v>20</v>
      </c>
      <c r="R3006" s="1" t="s">
        <v>3739</v>
      </c>
      <c r="V3006" s="1" t="s">
        <v>3747</v>
      </c>
      <c r="AR3006" s="1" t="str">
        <f t="shared" si="191"/>
        <v>| [ㄇㄨˇ](ㄇㄨˇ.md) | [姆](姆.md) |  | mǔ | [名]
1.古代稱以婦道教人的女教師為「姆」。《儀禮．士昏禮》：「姆纚笄宵衣在其右。」漢．鄭玄．注：「姆，婦人年五十無子，出而不復嫁，能以婦道教人者。」
2.替人撫育或照顧小孩的婦女。如：「保姆」、「乳姆」。唐．韓愈〈殿中少監馬君墓誌〉：「姆抱幼子立側，眉眼如畫，髮漆黑，肌肉玉雪可念。」 |</v>
      </c>
    </row>
    <row r="3007" spans="1:44" hidden="1">
      <c r="A3007" s="1" t="s">
        <v>3748</v>
      </c>
      <c r="C3007" s="1">
        <v>1</v>
      </c>
      <c r="D3007" s="1" t="str">
        <f>"01501"</f>
        <v>01501</v>
      </c>
      <c r="E3007" s="1" t="s">
        <v>55</v>
      </c>
      <c r="F3007" s="1">
        <v>13</v>
      </c>
      <c r="G3007" s="1">
        <v>5</v>
      </c>
      <c r="H3007" s="1">
        <v>0</v>
      </c>
      <c r="I3007" s="1" t="s">
        <v>3738</v>
      </c>
      <c r="K3007" s="1" t="str">
        <f t="shared" si="192"/>
        <v>ㄇ</v>
      </c>
      <c r="L3007" s="1" t="str">
        <f t="shared" si="193"/>
        <v>ㄨ</v>
      </c>
      <c r="N3007" s="3" t="s">
        <v>30576</v>
      </c>
      <c r="O3007" s="3"/>
      <c r="P3007" s="1" t="s">
        <v>20</v>
      </c>
      <c r="R3007" s="1" t="s">
        <v>3739</v>
      </c>
      <c r="V3007" s="1" t="s">
        <v>3749</v>
      </c>
      <c r="AR3007" s="1" t="str">
        <f t="shared" si="191"/>
        <v>| [ㄇㄨˇ](ㄇㄨˇ.md) | [鉧](鉧.md) |  | mǔ | 參見「鈷鉧」條。 |</v>
      </c>
    </row>
    <row r="3008" spans="1:44" hidden="1">
      <c r="A3008" s="1" t="s">
        <v>3038</v>
      </c>
      <c r="C3008" s="1">
        <v>1</v>
      </c>
      <c r="D3008" s="1" t="str">
        <f>"01502"</f>
        <v>01502</v>
      </c>
      <c r="E3008" s="1" t="s">
        <v>518</v>
      </c>
      <c r="F3008" s="1">
        <v>7</v>
      </c>
      <c r="G3008" s="1">
        <v>3</v>
      </c>
      <c r="H3008" s="1">
        <v>1</v>
      </c>
      <c r="I3008" s="1" t="s">
        <v>3738</v>
      </c>
      <c r="K3008" s="1" t="str">
        <f t="shared" si="192"/>
        <v>ㄇ</v>
      </c>
      <c r="L3008" s="1" t="str">
        <f t="shared" si="193"/>
        <v>ㄨ</v>
      </c>
      <c r="N3008" s="3" t="s">
        <v>30576</v>
      </c>
      <c r="O3008" s="3"/>
      <c r="P3008" s="1" t="s">
        <v>20</v>
      </c>
      <c r="R3008" s="1" t="s">
        <v>3739</v>
      </c>
      <c r="V3008" s="1" t="s">
        <v>3750</v>
      </c>
      <c r="W3008" s="1" t="s">
        <v>3751</v>
      </c>
      <c r="AR3008" s="1" t="str">
        <f t="shared" si="191"/>
        <v>| [ㄇㄨˇ](ㄇㄨˇ.md) | [牡](牡.md) |  | mǔ | [名]
1.雄性的鳥獸。《集韻．上聲．姥韻》：「牡，雄禽曰牡。」《詩經．小雅．信南山》：「祭以清酒，從以騂牡，享于祖考。」《論語．堯曰》：「予小子履敢用玄牡，敢昭告于皇皇后帝。」
2.古代鎖器的一部分。明．張自烈《正字通．牛部》：「牡，門關鍵。」《漢書．卷二七．五行志中之上》：「成帝元延元年正月，長安章城門門牡自亡，函谷關次門牡亦自亡。」 |</v>
      </c>
    </row>
    <row r="3009" spans="1:44" hidden="1">
      <c r="A3009" s="1" t="s">
        <v>3752</v>
      </c>
      <c r="C3009" s="1">
        <v>1</v>
      </c>
      <c r="D3009" s="1" t="str">
        <f>"01503"</f>
        <v>01503</v>
      </c>
      <c r="E3009" s="1" t="s">
        <v>534</v>
      </c>
      <c r="F3009" s="1">
        <v>9</v>
      </c>
      <c r="G3009" s="1">
        <v>6</v>
      </c>
      <c r="H3009" s="1">
        <v>1</v>
      </c>
      <c r="I3009" s="1" t="s">
        <v>3738</v>
      </c>
      <c r="K3009" s="1" t="str">
        <f t="shared" si="192"/>
        <v>ㄇ</v>
      </c>
      <c r="L3009" s="1" t="str">
        <f t="shared" si="193"/>
        <v>ㄨ</v>
      </c>
      <c r="N3009" s="3" t="s">
        <v>30576</v>
      </c>
      <c r="O3009" s="3"/>
      <c r="P3009" s="1" t="s">
        <v>20</v>
      </c>
      <c r="R3009" s="1" t="s">
        <v>3739</v>
      </c>
      <c r="V3009" s="1" t="s">
        <v>3753</v>
      </c>
      <c r="W3009" s="1" t="s">
        <v>3754</v>
      </c>
      <c r="AR3009" s="1" t="str">
        <f t="shared" si="191"/>
        <v>| [ㄇㄨˇ](ㄇㄨˇ.md) | [姥](姥.md) |  | mǔ | [名]
1.替人養育或照顧小孩的婦人。同「姆」。如：「保姥」、「乳姥」。
2.老婦。《晉書．卷八〇．王羲之傳》：「會稽有孤居姥養一鵝，善鳴，求市未能得。」 |</v>
      </c>
    </row>
    <row r="3010" spans="1:44" hidden="1">
      <c r="A3010" s="1" t="s">
        <v>3044</v>
      </c>
      <c r="C3010" s="1">
        <v>1</v>
      </c>
      <c r="D3010" s="1" t="str">
        <f>"01504"</f>
        <v>01504</v>
      </c>
      <c r="E3010" s="1" t="s">
        <v>753</v>
      </c>
      <c r="F3010" s="1">
        <v>10</v>
      </c>
      <c r="G3010" s="1">
        <v>5</v>
      </c>
      <c r="H3010" s="1">
        <v>1</v>
      </c>
      <c r="I3010" s="1" t="s">
        <v>3738</v>
      </c>
      <c r="K3010" s="1" t="str">
        <f t="shared" si="192"/>
        <v>ㄇ</v>
      </c>
      <c r="L3010" s="1" t="str">
        <f t="shared" si="193"/>
        <v>ㄨ</v>
      </c>
      <c r="N3010" s="3" t="s">
        <v>30576</v>
      </c>
      <c r="O3010" s="3"/>
      <c r="P3010" s="1" t="s">
        <v>20</v>
      </c>
      <c r="R3010" s="1" t="s">
        <v>3739</v>
      </c>
      <c r="V3010" s="1" t="s">
        <v>3755</v>
      </c>
      <c r="W3010" s="1" t="s">
        <v>3756</v>
      </c>
      <c r="AR3010" s="1" t="str">
        <f t="shared" si="191"/>
        <v>| [ㄇㄨˇ](ㄇㄨˇ.md) | [畝](畝.md) |  | mǔ | [名]
1.量詞。計算面積的單位。一公畝等於一百平方公尺，一市畝等於六千平方市尺。古代以縱橫五尺為方步，二百四十方步為畝。《孟子．梁惠王上》：「五畝之宅，樹之以桑，五十者可以衣帛矣。」
2.田壟，田中高起的地方。《詩經．小雅．信南山》：「我疆我理，南東其畝。」 |</v>
      </c>
    </row>
    <row r="3011" spans="1:44" hidden="1">
      <c r="A3011" s="1" t="s">
        <v>3795</v>
      </c>
      <c r="C3011" s="1">
        <v>1</v>
      </c>
      <c r="D3011" s="1" t="str">
        <f>"01524"</f>
        <v>01524</v>
      </c>
      <c r="E3011" s="1" t="s">
        <v>114</v>
      </c>
      <c r="F3011" s="1">
        <v>6</v>
      </c>
      <c r="G3011" s="1">
        <v>4</v>
      </c>
      <c r="H3011" s="1">
        <v>1</v>
      </c>
      <c r="I3011" s="1" t="s">
        <v>3796</v>
      </c>
      <c r="K3011" s="1" t="str">
        <f t="shared" si="192"/>
        <v>ㄈ</v>
      </c>
      <c r="L3011" s="1" t="str">
        <f t="shared" si="193"/>
        <v>ㄚ</v>
      </c>
      <c r="M3011" s="1" t="str">
        <f t="shared" ref="M3011:M3042" si="194">MID(I3011, 3, 1)</f>
        <v/>
      </c>
      <c r="P3011" s="1" t="s">
        <v>20</v>
      </c>
      <c r="R3011" s="1" t="s">
        <v>3797</v>
      </c>
      <c r="V3011" s="1" t="s">
        <v>3798</v>
      </c>
      <c r="W3011" s="1" t="s">
        <v>3799</v>
      </c>
      <c r="AR3011" s="1" t="str">
        <f t="shared" ref="AR3011:AR3074" si="195">"| ["&amp;I3011&amp;"]("&amp;I3011&amp;".md) | ["&amp;A3011&amp;"]("&amp;A3011&amp;".md) | "&amp;" | "&amp;R3011&amp;" | "&amp;V3011&amp;" |"</f>
        <v>| [ㄈㄚ](ㄈㄚ.md) | [伐](伐.md) |  | fā | [動]
1.砍。如：「伐木」、「砍伐」。《左傳．僖公二十八年》：「遂伐其木，以益其兵。」
2.征討、攻打。《左傳．莊公十年》：「十年春，齊師伐我。公將戰，曹劌請見。」
3.自誇。《論語．公冶長》：「願無伐善，無施勞。」《淮南子．脩務》：「事成而身弗伐，功立而名弗有。」
4.割除。《聊齋志異．卷一．嬌娜》：「然症雖危，可治，但膚塊已凝，非伐皮削肉不可。」
[名]
1.功績、功勞。《左傳．莊公二十八年》：「則可以威民而懼戎，且旌君伐。」《資治通鑑．卷九七．晉紀十九．穆帝永和元年》：「今戎事方興，勛伐既多，官未可滅。」
2.媒人。《儒林外史》第六回：「周親家家，就是靜齋先生執柯作伐。」 |</v>
      </c>
    </row>
    <row r="3012" spans="1:44" hidden="1">
      <c r="A3012" s="1" t="s">
        <v>3800</v>
      </c>
      <c r="C3012" s="1">
        <v>1</v>
      </c>
      <c r="D3012" s="1" t="str">
        <f>"01525"</f>
        <v>01525</v>
      </c>
      <c r="E3012" s="1" t="s">
        <v>129</v>
      </c>
      <c r="F3012" s="1">
        <v>8</v>
      </c>
      <c r="G3012" s="1">
        <v>5</v>
      </c>
      <c r="H3012" s="1">
        <v>3</v>
      </c>
      <c r="I3012" s="1" t="s">
        <v>3796</v>
      </c>
      <c r="K3012" s="1" t="str">
        <f t="shared" si="192"/>
        <v>ㄈ</v>
      </c>
      <c r="L3012" s="1" t="str">
        <f t="shared" si="193"/>
        <v>ㄚ</v>
      </c>
      <c r="M3012" s="1" t="str">
        <f t="shared" si="194"/>
        <v/>
      </c>
      <c r="P3012" s="1" t="s">
        <v>20</v>
      </c>
      <c r="R3012" s="1" t="s">
        <v>3797</v>
      </c>
      <c r="V3012" s="1" t="s">
        <v>3801</v>
      </c>
      <c r="W3012" s="1" t="s">
        <v>3802</v>
      </c>
      <c r="AR3012" s="1" t="str">
        <f t="shared" si="195"/>
        <v>| [ㄈㄚ](ㄈㄚ.md) | [法](法.md) |  | fā | 在「沒法兒」、「想個法兒」等語詞中的音讀。 |</v>
      </c>
    </row>
    <row r="3013" spans="1:44" hidden="1">
      <c r="A3013" s="1" t="s">
        <v>3803</v>
      </c>
      <c r="C3013" s="1">
        <v>1</v>
      </c>
      <c r="D3013" s="1" t="str">
        <f>"01526"</f>
        <v>01526</v>
      </c>
      <c r="E3013" s="1" t="s">
        <v>147</v>
      </c>
      <c r="F3013" s="1">
        <v>12</v>
      </c>
      <c r="G3013" s="1">
        <v>7</v>
      </c>
      <c r="H3013" s="1">
        <v>0</v>
      </c>
      <c r="I3013" s="1" t="s">
        <v>3796</v>
      </c>
      <c r="K3013" s="1" t="str">
        <f t="shared" si="192"/>
        <v>ㄈ</v>
      </c>
      <c r="L3013" s="1" t="str">
        <f t="shared" si="193"/>
        <v>ㄚ</v>
      </c>
      <c r="M3013" s="1" t="str">
        <f t="shared" si="194"/>
        <v/>
      </c>
      <c r="P3013" s="1" t="s">
        <v>20</v>
      </c>
      <c r="R3013" s="1" t="s">
        <v>3797</v>
      </c>
      <c r="V3013" s="1" t="s">
        <v>3804</v>
      </c>
      <c r="AR3013" s="1" t="str">
        <f t="shared" si="195"/>
        <v>| [ㄈㄚ](ㄈㄚ.md) | [發](發.md) |  | fā | [動]
1.放射。如：「彈無虛發」、「百發百中」。
2.生長、產生。如：「發芽」。唐．王維〈相思〉詩：「紅豆生南國，秋來發故枝。」
3.開始、啟動。如：「發動」、「先發制人」、「一觸即發」。
4.興起。如：「發跡」。《孟子．告子下》：「舜發於畎畝之中。」
5.起程。如：「出發」。宋．柳永〈雨霖鈴．寒蟬淒切〉詞：「留戀處，蘭舟催發。」《聊齋志異．卷一．青鳳》：「一家皆移什物赴新居，而妾留守，明日即發。」
6.啟發。如：「振聾發聵」。《論語．述而》：「不憤不啟，不悱不發。」
7.現露。《禮記．中庸》：「喜怒哀樂之未發，謂之中。」《戰國策．魏策四》：「此三子者，皆布衣之士也，懷怒未發。」
8.送出、付出。如：「發放」、「發錢」、「散發傳單」。
[名]
量詞：(1)計算槍、炮、子彈等數量的單位。如：「手槍裡還剩下四發子彈。」(2)計算槍、炮、子彈等發射數量的單位。如：「射炮十二發」。 |</v>
      </c>
    </row>
    <row r="3014" spans="1:44" hidden="1">
      <c r="A3014" s="1" t="s">
        <v>3805</v>
      </c>
      <c r="C3014" s="1">
        <v>1</v>
      </c>
      <c r="D3014" s="1" t="str">
        <f>"01527"</f>
        <v>01527</v>
      </c>
      <c r="E3014" s="1" t="s">
        <v>1015</v>
      </c>
      <c r="F3014" s="1">
        <v>14</v>
      </c>
      <c r="G3014" s="1">
        <v>9</v>
      </c>
      <c r="H3014" s="1">
        <v>0</v>
      </c>
      <c r="I3014" s="1" t="s">
        <v>3796</v>
      </c>
      <c r="K3014" s="1" t="str">
        <f t="shared" si="192"/>
        <v>ㄈ</v>
      </c>
      <c r="L3014" s="1" t="str">
        <f t="shared" si="193"/>
        <v>ㄚ</v>
      </c>
      <c r="M3014" s="1" t="str">
        <f t="shared" si="194"/>
        <v/>
      </c>
      <c r="P3014" s="1" t="s">
        <v>20</v>
      </c>
      <c r="R3014" s="1" t="s">
        <v>3797</v>
      </c>
      <c r="V3014" s="1" t="s">
        <v>3806</v>
      </c>
      <c r="AR3014" s="1" t="str">
        <f t="shared" si="195"/>
        <v>| [ㄈㄚ](ㄈㄚ.md) | [瞂](瞂.md) |  | fā | [名]
盾也。《說文解字．盾部》：「瞂，盾也。」漢．揚雄《方言》卷九：「盾，自關而東，或謂之瞂，或謂之干，關西謂之盾。」《抱朴子．外篇．疾謬》：「利口者扶強而黨勢，辯給者借鍒以刺瞂。」 |</v>
      </c>
    </row>
    <row r="3015" spans="1:44" hidden="1">
      <c r="A3015" s="1" t="s">
        <v>1709</v>
      </c>
      <c r="C3015" s="1">
        <v>1</v>
      </c>
      <c r="D3015" s="1" t="str">
        <f>"01543"</f>
        <v>01543</v>
      </c>
      <c r="E3015" s="1" t="s">
        <v>534</v>
      </c>
      <c r="F3015" s="1">
        <v>6</v>
      </c>
      <c r="G3015" s="1">
        <v>3</v>
      </c>
      <c r="H3015" s="1">
        <v>1</v>
      </c>
      <c r="I3015" s="1" t="s">
        <v>3842</v>
      </c>
      <c r="K3015" s="1" t="str">
        <f t="shared" si="192"/>
        <v>ㄈ</v>
      </c>
      <c r="L3015" s="1" t="str">
        <f t="shared" si="193"/>
        <v>ㄟ</v>
      </c>
      <c r="M3015" s="1" t="str">
        <f t="shared" si="194"/>
        <v/>
      </c>
      <c r="P3015" s="1" t="s">
        <v>20</v>
      </c>
      <c r="R3015" s="1" t="s">
        <v>3843</v>
      </c>
      <c r="V3015" s="1" t="s">
        <v>3844</v>
      </c>
      <c r="W3015" s="1" t="s">
        <v>3845</v>
      </c>
      <c r="AR3015" s="1" t="str">
        <f t="shared" si="195"/>
        <v>| [ㄈㄟ](ㄈㄟ.md) | [妃](妃.md) |  | fēi | [名]
1.配偶。《左傳．桓公二年》：「嘉耦曰妃，怨耦曰仇，古之命也。」
2.稱古代天子的配偶，且地位僅次后者為「妃」。如：「貴妃」、「妃子」。
3.太子或諸侯的配偶。如：「王妃」、「太子妃」。《左傳．哀公元年》：「今聞夫差，次有臺榭陂池焉，宿有妃嬙嬪御焉。」《新唐書．卷一八．禮樂志八》：「皇太子納妃。」
4.對女神的尊稱。如：「天妃」、「湘妃」。《楚辭．劉向．九歎．愍命》：「逐下袟于後堂兮，迎宓妃于伊雒。」漢．王逸．注：「宓妃神女，蓋伊洛水之精也。」 |</v>
      </c>
    </row>
    <row r="3016" spans="1:44" hidden="1">
      <c r="A3016" s="1" t="s">
        <v>3846</v>
      </c>
      <c r="C3016" s="1">
        <v>1</v>
      </c>
      <c r="D3016" s="1" t="str">
        <f>"01544"</f>
        <v>01544</v>
      </c>
      <c r="E3016" s="1" t="s">
        <v>3390</v>
      </c>
      <c r="F3016" s="1">
        <v>8</v>
      </c>
      <c r="G3016" s="1">
        <v>0</v>
      </c>
      <c r="H3016" s="1">
        <v>1</v>
      </c>
      <c r="I3016" s="1" t="s">
        <v>3842</v>
      </c>
      <c r="K3016" s="1" t="str">
        <f t="shared" si="192"/>
        <v>ㄈ</v>
      </c>
      <c r="L3016" s="1" t="str">
        <f t="shared" si="193"/>
        <v>ㄟ</v>
      </c>
      <c r="M3016" s="1" t="str">
        <f t="shared" si="194"/>
        <v/>
      </c>
      <c r="P3016" s="1" t="s">
        <v>20</v>
      </c>
      <c r="R3016" s="1" t="s">
        <v>3843</v>
      </c>
      <c r="V3016" s="1" t="s">
        <v>3847</v>
      </c>
      <c r="W3016" s="1" t="s">
        <v>3848</v>
      </c>
      <c r="AR3016" s="1" t="str">
        <f t="shared" si="195"/>
        <v>| [ㄈㄟ](ㄈㄟ.md) | [非](非.md) |  | fēi | [形]_x000D_
1.不對的、不善的。如：「非分之想」。《書經．康誥》：「封敬哉，無作怨，勿用非謀非彞。」《莊子．盜跖》：「鮑焦飾行非世，抱木而死。」_x000D_
2.不同的。《左傳．僖公十年》：「神不歆非類，民不祀非族。」《文選．曹丕．與朝歌令吳質書》：「節同時異，物是人非。」_x000D_
[動]_x000D_
1.以為不好、不對。《墨子．非攻上》：「今有一人，入人園圃，竊其桃李，眾聞則非之，上為政者得則罰之。」_x000D_
2.反對、詆毀。如：「以古非今」。《荀子．修身》：「故非我而當者，吾師也；是我而當者，吾友也。」《孝經．五刑章》：「非聖人者無法，非孝者無親。」_x000D_
3.不是。《莊子．秋水》：「非梧桐不止，非練實不食，非醴泉不飲。」《文選．司馬相如．喻巴蜀檄》：「當行者或亡逃自賊殺，亦非人臣之節也。」_x000D_
[副]_x000D_
不。如：「非同小可」、「非去不可」。《荀子．宥坐》：「夫芷蘭生於深林，非以無人而不芳。」_x000D_
[名]_x000D_
1.過失、惡行。如：「為非作歹」、「明辨是非」。《莊子．盜跖》：「強足以距敵，辯足以飾非。」《文選．任昉．王文憲集序》：「約己不以廉物，弘量不以容非。」_x000D_
2.阿非利加洲的簡稱。如：「亞非地帶」、「中非技術合作」。_x000D_
3.二一四部首之一。 |</v>
      </c>
    </row>
    <row r="3017" spans="1:44" hidden="1">
      <c r="A3017" s="1" t="s">
        <v>3849</v>
      </c>
      <c r="C3017" s="1">
        <v>1</v>
      </c>
      <c r="D3017" s="1" t="str">
        <f>"01545"</f>
        <v>01545</v>
      </c>
      <c r="E3017" s="1" t="s">
        <v>534</v>
      </c>
      <c r="F3017" s="1">
        <v>11</v>
      </c>
      <c r="G3017" s="1">
        <v>8</v>
      </c>
      <c r="H3017" s="1">
        <v>0</v>
      </c>
      <c r="I3017" s="1" t="s">
        <v>3842</v>
      </c>
      <c r="K3017" s="1" t="str">
        <f t="shared" si="192"/>
        <v>ㄈ</v>
      </c>
      <c r="L3017" s="1" t="str">
        <f t="shared" si="193"/>
        <v>ㄟ</v>
      </c>
      <c r="M3017" s="1" t="str">
        <f t="shared" si="194"/>
        <v/>
      </c>
      <c r="P3017" s="1" t="s">
        <v>20</v>
      </c>
      <c r="R3017" s="1" t="s">
        <v>3843</v>
      </c>
      <c r="V3017" s="1" t="s">
        <v>3850</v>
      </c>
      <c r="AR3017" s="1" t="str">
        <f t="shared" si="195"/>
        <v>| [ㄈㄟ](ㄈㄟ.md) | [婓](婓.md) |  | fēi | 1.婓婓：來來往往的樣子。《說文解字．女部》：「往來婓婓也。」清．段玉裁．注：「〈小雅〉毛傳曰：『騑騑行不止貌，與婓音義皆同。』」
2.女神。通「妃」。《文選．左思．蜀都賦》：「娉江婓，與神遊。」 |</v>
      </c>
    </row>
    <row r="3018" spans="1:44" hidden="1">
      <c r="A3018" s="1" t="s">
        <v>3851</v>
      </c>
      <c r="C3018" s="1">
        <v>1</v>
      </c>
      <c r="D3018" s="1" t="str">
        <f>"01546"</f>
        <v>01546</v>
      </c>
      <c r="E3018" s="1" t="s">
        <v>28</v>
      </c>
      <c r="F3018" s="1">
        <v>11</v>
      </c>
      <c r="G3018" s="1">
        <v>8</v>
      </c>
      <c r="H3018" s="1">
        <v>0</v>
      </c>
      <c r="I3018" s="1" t="s">
        <v>3842</v>
      </c>
      <c r="K3018" s="1" t="str">
        <f t="shared" si="192"/>
        <v>ㄈ</v>
      </c>
      <c r="L3018" s="1" t="str">
        <f t="shared" si="193"/>
        <v>ㄟ</v>
      </c>
      <c r="M3018" s="1" t="str">
        <f t="shared" si="194"/>
        <v/>
      </c>
      <c r="P3018" s="1" t="s">
        <v>20</v>
      </c>
      <c r="R3018" s="1" t="s">
        <v>3843</v>
      </c>
      <c r="V3018" s="1" t="s">
        <v>3852</v>
      </c>
      <c r="AR3018" s="1" t="str">
        <f t="shared" si="195"/>
        <v>| [ㄈㄟ](ㄈㄟ.md) | [啡](啡.md) |  | fēi | 參見「咖啡」、「嗎啡」等條。 |</v>
      </c>
    </row>
    <row r="3019" spans="1:44" hidden="1">
      <c r="A3019" s="1" t="s">
        <v>3853</v>
      </c>
      <c r="C3019" s="1">
        <v>1</v>
      </c>
      <c r="D3019" s="1" t="str">
        <f>"01547"</f>
        <v>01547</v>
      </c>
      <c r="E3019" s="1" t="s">
        <v>670</v>
      </c>
      <c r="F3019" s="1">
        <v>12</v>
      </c>
      <c r="G3019" s="1">
        <v>8</v>
      </c>
      <c r="H3019" s="1">
        <v>2</v>
      </c>
      <c r="I3019" s="1" t="s">
        <v>3842</v>
      </c>
      <c r="K3019" s="1" t="str">
        <f t="shared" si="192"/>
        <v>ㄈ</v>
      </c>
      <c r="L3019" s="1" t="str">
        <f t="shared" si="193"/>
        <v>ㄟ</v>
      </c>
      <c r="M3019" s="1" t="str">
        <f t="shared" si="194"/>
        <v/>
      </c>
      <c r="P3019" s="1" t="s">
        <v>20</v>
      </c>
      <c r="R3019" s="1" t="s">
        <v>3843</v>
      </c>
      <c r="V3019" s="1" t="s">
        <v>3854</v>
      </c>
      <c r="W3019" s="1" t="s">
        <v>3855</v>
      </c>
      <c r="AR3019" s="1" t="str">
        <f t="shared" si="195"/>
        <v>| [ㄈㄟ](ㄈㄟ.md) | [斐](斐.md) |  | fēi | [名]
姓。春秋時晉有斐豹。 |</v>
      </c>
    </row>
    <row r="3020" spans="1:44" hidden="1">
      <c r="A3020" s="1" t="s">
        <v>3856</v>
      </c>
      <c r="C3020" s="1">
        <v>1</v>
      </c>
      <c r="D3020" s="1" t="str">
        <f>"01548"</f>
        <v>01548</v>
      </c>
      <c r="E3020" s="1" t="s">
        <v>37</v>
      </c>
      <c r="F3020" s="1">
        <v>12</v>
      </c>
      <c r="G3020" s="1">
        <v>8</v>
      </c>
      <c r="H3020" s="1">
        <v>2</v>
      </c>
      <c r="I3020" s="1" t="s">
        <v>3842</v>
      </c>
      <c r="K3020" s="1" t="str">
        <f t="shared" si="192"/>
        <v>ㄈ</v>
      </c>
      <c r="L3020" s="1" t="str">
        <f t="shared" si="193"/>
        <v>ㄟ</v>
      </c>
      <c r="M3020" s="1" t="str">
        <f t="shared" si="194"/>
        <v/>
      </c>
      <c r="P3020" s="1" t="s">
        <v>20</v>
      </c>
      <c r="R3020" s="1" t="s">
        <v>3843</v>
      </c>
      <c r="V3020" s="1" t="s">
        <v>3857</v>
      </c>
      <c r="W3020" s="1" t="s">
        <v>3858</v>
      </c>
      <c r="AR3020" s="1" t="str">
        <f t="shared" si="195"/>
        <v>| [ㄈㄟ](ㄈㄟ.md) | [菲](菲.md) |  | fēi | [形]
參見「芳菲」、「菲菲」等條。
[名]
菲律賓的簡稱。如：「中菲關係」。 |</v>
      </c>
    </row>
    <row r="3021" spans="1:44" hidden="1">
      <c r="A3021" s="1" t="s">
        <v>3859</v>
      </c>
      <c r="C3021" s="1">
        <v>1</v>
      </c>
      <c r="D3021" s="1" t="str">
        <f>"01549"</f>
        <v>01549</v>
      </c>
      <c r="E3021" s="1" t="s">
        <v>1252</v>
      </c>
      <c r="F3021" s="1">
        <v>12</v>
      </c>
      <c r="G3021" s="1">
        <v>8</v>
      </c>
      <c r="H3021" s="1">
        <v>0</v>
      </c>
      <c r="I3021" s="1" t="s">
        <v>3842</v>
      </c>
      <c r="K3021" s="1" t="str">
        <f t="shared" si="192"/>
        <v>ㄈ</v>
      </c>
      <c r="L3021" s="1" t="str">
        <f t="shared" si="193"/>
        <v>ㄟ</v>
      </c>
      <c r="M3021" s="1" t="str">
        <f t="shared" si="194"/>
        <v/>
      </c>
      <c r="P3021" s="1" t="s">
        <v>20</v>
      </c>
      <c r="R3021" s="1" t="s">
        <v>3843</v>
      </c>
      <c r="V3021" s="1" t="s">
        <v>3860</v>
      </c>
      <c r="AR3021" s="1" t="str">
        <f t="shared" si="195"/>
        <v>| [ㄈㄟ](ㄈㄟ.md) | [扉](扉.md) |  | fēi | [名]
1.門扇。《文選．古詩十九首．凜凜歲云暮》：「徙倚懷感傷，垂涕沾雙扉。」唐．王維〈山居即事〉詩：「寂寞掩柴扉，蒼茫對落暉。」
2.比喻像門的東西。如：「心扉」。
3.置於最前面的。如：「扉頁」。 |</v>
      </c>
    </row>
    <row r="3022" spans="1:44" hidden="1">
      <c r="A3022" s="1" t="s">
        <v>3861</v>
      </c>
      <c r="C3022" s="1">
        <v>1</v>
      </c>
      <c r="D3022" s="1" t="str">
        <f>"01550"</f>
        <v>01550</v>
      </c>
      <c r="E3022" s="1" t="s">
        <v>340</v>
      </c>
      <c r="F3022" s="1">
        <v>14</v>
      </c>
      <c r="G3022" s="1">
        <v>8</v>
      </c>
      <c r="H3022" s="1">
        <v>0</v>
      </c>
      <c r="I3022" s="1" t="s">
        <v>3842</v>
      </c>
      <c r="K3022" s="1" t="str">
        <f t="shared" si="192"/>
        <v>ㄈ</v>
      </c>
      <c r="L3022" s="1" t="str">
        <f t="shared" si="193"/>
        <v>ㄟ</v>
      </c>
      <c r="M3022" s="1" t="str">
        <f t="shared" si="194"/>
        <v/>
      </c>
      <c r="P3022" s="1" t="s">
        <v>20</v>
      </c>
      <c r="R3022" s="1" t="s">
        <v>3843</v>
      </c>
      <c r="V3022" s="1" t="s">
        <v>3862</v>
      </c>
      <c r="AR3022" s="1" t="str">
        <f t="shared" si="195"/>
        <v>| [ㄈㄟ](ㄈㄟ.md) | [裶](裶.md) |  | fēi | 參見「裶裶」條。 |</v>
      </c>
    </row>
    <row r="3023" spans="1:44" hidden="1">
      <c r="A3023" s="1" t="s">
        <v>3863</v>
      </c>
      <c r="C3023" s="1">
        <v>1</v>
      </c>
      <c r="D3023" s="1" t="str">
        <f>"01551"</f>
        <v>01551</v>
      </c>
      <c r="E3023" s="1" t="s">
        <v>679</v>
      </c>
      <c r="F3023" s="1">
        <v>14</v>
      </c>
      <c r="G3023" s="1">
        <v>8</v>
      </c>
      <c r="H3023" s="1">
        <v>2</v>
      </c>
      <c r="I3023" s="1" t="s">
        <v>3842</v>
      </c>
      <c r="K3023" s="1" t="str">
        <f t="shared" si="192"/>
        <v>ㄈ</v>
      </c>
      <c r="L3023" s="1" t="str">
        <f t="shared" si="193"/>
        <v>ㄟ</v>
      </c>
      <c r="M3023" s="1" t="str">
        <f t="shared" si="194"/>
        <v/>
      </c>
      <c r="P3023" s="1" t="s">
        <v>20</v>
      </c>
      <c r="R3023" s="1" t="s">
        <v>3843</v>
      </c>
      <c r="V3023" s="1" t="s">
        <v>3864</v>
      </c>
      <c r="W3023" s="1" t="s">
        <v>3865</v>
      </c>
      <c r="AR3023" s="1" t="str">
        <f t="shared" si="195"/>
        <v>| [ㄈㄟ](ㄈㄟ.md) | [蜚](蜚.md) |  | fēi | [動]
在空中騰行。通「飛」。《史記．卷四〇．楚世家》：「三年不蜚，蜚將沖天。」
[形]
沒有根據、不實的。通「飛」。如：「流言蜚語」。 |</v>
      </c>
    </row>
    <row r="3024" spans="1:44" hidden="1">
      <c r="A3024" s="1" t="s">
        <v>3866</v>
      </c>
      <c r="C3024" s="1">
        <v>1</v>
      </c>
      <c r="D3024" s="1" t="str">
        <f>"01552"</f>
        <v>01552</v>
      </c>
      <c r="E3024" s="1" t="s">
        <v>725</v>
      </c>
      <c r="F3024" s="1">
        <v>14</v>
      </c>
      <c r="G3024" s="1">
        <v>8</v>
      </c>
      <c r="H3024" s="1">
        <v>0</v>
      </c>
      <c r="I3024" s="1" t="s">
        <v>3842</v>
      </c>
      <c r="K3024" s="1" t="str">
        <f t="shared" si="192"/>
        <v>ㄈ</v>
      </c>
      <c r="L3024" s="1" t="str">
        <f t="shared" si="193"/>
        <v>ㄟ</v>
      </c>
      <c r="M3024" s="1" t="str">
        <f t="shared" si="194"/>
        <v/>
      </c>
      <c r="P3024" s="1" t="s">
        <v>20</v>
      </c>
      <c r="R3024" s="1" t="s">
        <v>3843</v>
      </c>
      <c r="V3024" s="1" t="s">
        <v>3867</v>
      </c>
      <c r="AR3024" s="1" t="str">
        <f t="shared" si="195"/>
        <v>| [ㄈㄟ](ㄈㄟ.md) | [緋](緋.md) |  | fēi | [名]
紅色的綢布。《新唐書．卷二四．車服志》：「景雲中，詔衣紫者魚袋以金飾之，衣緋者以銀飾之。」
[形]
紅色的。明．于謙〈村舍桃花〉詩：「短牆不解遮春意，露出緋桃半樹花。」 |</v>
      </c>
    </row>
    <row r="3025" spans="1:44" hidden="1">
      <c r="A3025" s="1" t="s">
        <v>3868</v>
      </c>
      <c r="C3025" s="1">
        <v>1</v>
      </c>
      <c r="D3025" s="1" t="str">
        <f>"01553"</f>
        <v>01553</v>
      </c>
      <c r="E3025" s="1" t="s">
        <v>125</v>
      </c>
      <c r="F3025" s="1">
        <v>16</v>
      </c>
      <c r="G3025" s="1">
        <v>8</v>
      </c>
      <c r="H3025" s="1">
        <v>0</v>
      </c>
      <c r="I3025" s="1" t="s">
        <v>3842</v>
      </c>
      <c r="K3025" s="1" t="str">
        <f t="shared" si="192"/>
        <v>ㄈ</v>
      </c>
      <c r="L3025" s="1" t="str">
        <f t="shared" si="193"/>
        <v>ㄟ</v>
      </c>
      <c r="M3025" s="1" t="str">
        <f t="shared" si="194"/>
        <v/>
      </c>
      <c r="P3025" s="1" t="s">
        <v>20</v>
      </c>
      <c r="R3025" s="1" t="s">
        <v>3843</v>
      </c>
      <c r="V3025" s="1" t="s">
        <v>3869</v>
      </c>
      <c r="AR3025" s="1" t="str">
        <f t="shared" si="195"/>
        <v>| [ㄈㄟ](ㄈㄟ.md) | [霏](霏.md) |  | fēi | [形]
1.雨雪綿密的樣子。如：「細雨霏霏」。《詩經．邶風．北風》：「北風其喈，雨雪其霏。」
2.雲飛的樣子。南朝宋．謝靈運〈石壁精舍還湖中作〉詩：「林壑斂暝色，雲霞收夕霏。」
[動]
飄揚。《晉書．卷八〇．王羲之傳》：「煙霏露結，狀若斷而還連。」
[名]
雲氣。宋．歐陽修〈醉翁亭記〉：「若夫日出而林霏開，雲歸而巖穴暝。」 |</v>
      </c>
    </row>
    <row r="3026" spans="1:44" hidden="1">
      <c r="A3026" s="1" t="s">
        <v>3870</v>
      </c>
      <c r="C3026" s="1">
        <v>1</v>
      </c>
      <c r="D3026" s="1" t="str">
        <f>"01554"</f>
        <v>01554</v>
      </c>
      <c r="E3026" s="1" t="s">
        <v>269</v>
      </c>
      <c r="F3026" s="1">
        <v>17</v>
      </c>
      <c r="G3026" s="1">
        <v>8</v>
      </c>
      <c r="H3026" s="1">
        <v>0</v>
      </c>
      <c r="I3026" s="1" t="s">
        <v>3842</v>
      </c>
      <c r="K3026" s="1" t="str">
        <f t="shared" si="192"/>
        <v>ㄈ</v>
      </c>
      <c r="L3026" s="1" t="str">
        <f t="shared" si="193"/>
        <v>ㄟ</v>
      </c>
      <c r="M3026" s="1" t="str">
        <f t="shared" si="194"/>
        <v/>
      </c>
      <c r="P3026" s="1" t="s">
        <v>20</v>
      </c>
      <c r="R3026" s="1" t="s">
        <v>3843</v>
      </c>
      <c r="V3026" s="1" t="s">
        <v>3871</v>
      </c>
      <c r="AR3026" s="1" t="str">
        <f t="shared" si="195"/>
        <v>| [ㄈㄟ](ㄈㄟ.md) | [馡](馡.md) |  | fēi | [形]
香氣散逸的樣子。參見「馡馡」條。 |</v>
      </c>
    </row>
    <row r="3027" spans="1:44" hidden="1">
      <c r="A3027" s="1" t="s">
        <v>3872</v>
      </c>
      <c r="C3027" s="1">
        <v>1</v>
      </c>
      <c r="D3027" s="1" t="str">
        <f>"01555"</f>
        <v>01555</v>
      </c>
      <c r="E3027" s="1" t="s">
        <v>319</v>
      </c>
      <c r="F3027" s="1">
        <v>18</v>
      </c>
      <c r="G3027" s="1">
        <v>8</v>
      </c>
      <c r="H3027" s="1">
        <v>0</v>
      </c>
      <c r="I3027" s="1" t="s">
        <v>3842</v>
      </c>
      <c r="K3027" s="1" t="str">
        <f t="shared" si="192"/>
        <v>ㄈ</v>
      </c>
      <c r="L3027" s="1" t="str">
        <f t="shared" si="193"/>
        <v>ㄟ</v>
      </c>
      <c r="M3027" s="1" t="str">
        <f t="shared" si="194"/>
        <v/>
      </c>
      <c r="P3027" s="1" t="s">
        <v>20</v>
      </c>
      <c r="R3027" s="1" t="s">
        <v>3843</v>
      </c>
      <c r="V3027" s="1" t="s">
        <v>3873</v>
      </c>
      <c r="AR3027" s="1" t="str">
        <f t="shared" si="195"/>
        <v>| [ㄈㄟ](ㄈㄟ.md) | [騑](騑.md) |  | fēi | [名]
1.古代駕車的馬，在兩旁的稱為「騑」，也稱為「驂」（一說：左驂、右騑）。《說文解字．馬部》：「騑，驂也，旁馬也。」
2.泛稱馬。《文選．班彪．北征賦》：「紛吾去此舊都兮，騑遲遲以歷茲。」 |</v>
      </c>
    </row>
    <row r="3028" spans="1:44" hidden="1">
      <c r="A3028" s="1" t="s">
        <v>3874</v>
      </c>
      <c r="C3028" s="1">
        <v>1</v>
      </c>
      <c r="D3028" s="1" t="str">
        <f>"01556"</f>
        <v>01556</v>
      </c>
      <c r="E3028" s="1" t="s">
        <v>3875</v>
      </c>
      <c r="F3028" s="1">
        <v>9</v>
      </c>
      <c r="G3028" s="1">
        <v>0</v>
      </c>
      <c r="H3028" s="1">
        <v>0</v>
      </c>
      <c r="I3028" s="1" t="s">
        <v>3842</v>
      </c>
      <c r="K3028" s="1" t="str">
        <f t="shared" si="192"/>
        <v>ㄈ</v>
      </c>
      <c r="L3028" s="1" t="str">
        <f t="shared" si="193"/>
        <v>ㄟ</v>
      </c>
      <c r="M3028" s="1" t="str">
        <f t="shared" si="194"/>
        <v/>
      </c>
      <c r="P3028" s="1" t="s">
        <v>20</v>
      </c>
      <c r="R3028" s="1" t="s">
        <v>3843</v>
      </c>
      <c r="V3028" s="1" t="s">
        <v>3876</v>
      </c>
      <c r="AR3028" s="1" t="str">
        <f t="shared" si="195"/>
        <v>| [ㄈㄟ](ㄈㄟ.md) | [飛](飛.md) |  | fēi | [動]
1.鳥類及昆蟲類或航空機械騰行於空中。如：「飛行」、「飛航」。唐．王勃〈滕王閣序〉：「落霞與孤鶩齊飛，秋水共長天一色。」唐．岑參〈寄左省杜拾遺〉詩：「白髮悲花落，青雲羨鳥飛。」
2.飄揚。唐．杜甫〈寒食〉詩：「寒食江村路，風花高下飛。」唐．韓翃〈寒食〉詩：「春城無處不飛花，寒城東風御柳斜。」
3.散發。《文選．江淹．別賦》：「日下壁而沉彩，月上軒而飛光。」
[形]
1.疾速。如：「飛瀑」。唐．李白〈望廬山瀑布水〉詩二首之二：「飛流直下三千尺，疑是銀河落九天。」
2.高入空中的。南朝梁．張正見〈臨高臺〉詩：「飛棟臨黃鶴，高窗度白雲。」
3.沒有根據的。參見「飛語」條。
4.意料之外的。參見「飛禍」條。
[副]
疾速的。如：「飛奔」、「飛逝」。
[名]
二一四部首之一。 |</v>
      </c>
    </row>
    <row r="3029" spans="1:44" hidden="1">
      <c r="A3029" s="1" t="s">
        <v>1481</v>
      </c>
      <c r="C3029" s="1">
        <v>1</v>
      </c>
      <c r="D3029" s="1" t="str">
        <f>"01591"</f>
        <v>01591</v>
      </c>
      <c r="E3029" s="1" t="s">
        <v>789</v>
      </c>
      <c r="F3029" s="1">
        <v>4</v>
      </c>
      <c r="G3029" s="1">
        <v>3</v>
      </c>
      <c r="H3029" s="1">
        <v>3</v>
      </c>
      <c r="I3029" s="1" t="s">
        <v>3954</v>
      </c>
      <c r="K3029" s="1" t="str">
        <f t="shared" si="192"/>
        <v>ㄈ</v>
      </c>
      <c r="L3029" s="1" t="str">
        <f t="shared" si="193"/>
        <v>ㄡ</v>
      </c>
      <c r="M3029" s="1" t="str">
        <f t="shared" si="194"/>
        <v/>
      </c>
      <c r="P3029" s="1" t="s">
        <v>20</v>
      </c>
      <c r="R3029" s="1" t="s">
        <v>3955</v>
      </c>
      <c r="V3029" s="1" t="s">
        <v>3956</v>
      </c>
      <c r="W3029" s="1" t="s">
        <v>3957</v>
      </c>
      <c r="AR3029" s="1" t="str">
        <f t="shared" si="195"/>
        <v>| [ㄈㄡ](ㄈㄡ.md) | [不](不.md) |  | fōu | [名]
姓。如晉朝有不準。 |</v>
      </c>
    </row>
    <row r="3030" spans="1:44" hidden="1">
      <c r="A3030" s="1" t="s">
        <v>3958</v>
      </c>
      <c r="C3030" s="1">
        <v>1</v>
      </c>
      <c r="D3030" s="1" t="str">
        <f>"01592"</f>
        <v>01592</v>
      </c>
      <c r="E3030" s="1" t="s">
        <v>725</v>
      </c>
      <c r="F3030" s="1">
        <v>10</v>
      </c>
      <c r="G3030" s="1">
        <v>4</v>
      </c>
      <c r="H3030" s="1">
        <v>0</v>
      </c>
      <c r="I3030" s="1" t="s">
        <v>3954</v>
      </c>
      <c r="K3030" s="1" t="str">
        <f t="shared" si="192"/>
        <v>ㄈ</v>
      </c>
      <c r="L3030" s="1" t="str">
        <f t="shared" si="193"/>
        <v>ㄡ</v>
      </c>
      <c r="M3030" s="1" t="str">
        <f t="shared" si="194"/>
        <v/>
      </c>
      <c r="P3030" s="1" t="s">
        <v>20</v>
      </c>
      <c r="R3030" s="1" t="s">
        <v>3955</v>
      </c>
      <c r="V3030" s="1" t="s">
        <v>3959</v>
      </c>
      <c r="AR3030" s="1" t="str">
        <f t="shared" si="195"/>
        <v>| [ㄈㄡ](ㄈㄡ.md) | [紑](紑.md) |  | fōu | [形]
色澤鮮明、潔白。《詩經．周頌．絲衣》：「絲衣其紑，載弁俅俅。」 |</v>
      </c>
    </row>
    <row r="3031" spans="1:44" hidden="1">
      <c r="A3031" s="1" t="s">
        <v>3989</v>
      </c>
      <c r="C3031" s="1">
        <v>1</v>
      </c>
      <c r="D3031" s="1" t="str">
        <f>"01603"</f>
        <v>01603</v>
      </c>
      <c r="E3031" s="1" t="s">
        <v>1880</v>
      </c>
      <c r="F3031" s="1">
        <v>4</v>
      </c>
      <c r="G3031" s="1">
        <v>2</v>
      </c>
      <c r="H3031" s="1">
        <v>2</v>
      </c>
      <c r="I3031" s="1" t="s">
        <v>3990</v>
      </c>
      <c r="K3031" s="1" t="str">
        <f t="shared" si="192"/>
        <v>ㄈ</v>
      </c>
      <c r="L3031" s="1" t="str">
        <f t="shared" si="193"/>
        <v>ㄢ</v>
      </c>
      <c r="M3031" s="1" t="str">
        <f t="shared" si="194"/>
        <v/>
      </c>
      <c r="P3031" s="1" t="s">
        <v>20</v>
      </c>
      <c r="R3031" s="1" t="s">
        <v>3991</v>
      </c>
      <c r="V3031" s="1" t="s">
        <v>3992</v>
      </c>
      <c r="W3031" s="1" t="s">
        <v>3993</v>
      </c>
      <c r="AR3031" s="1" t="str">
        <f t="shared" si="195"/>
        <v>| [ㄈㄢ](ㄈㄢ.md) | [反](反.md) |  | fān | [名]
翻案。《漢書．卷二四．食貨志下》：「楊可告緡遍天下，中家以上大氐皆遇告。杜周治之，獄少反者。」 |</v>
      </c>
    </row>
    <row r="3032" spans="1:44" hidden="1">
      <c r="A3032" s="1" t="s">
        <v>3994</v>
      </c>
      <c r="C3032" s="1">
        <v>1</v>
      </c>
      <c r="D3032" s="1" t="str">
        <f>"01604"</f>
        <v>01604</v>
      </c>
      <c r="E3032" s="1" t="s">
        <v>222</v>
      </c>
      <c r="F3032" s="1">
        <v>6</v>
      </c>
      <c r="G3032" s="1">
        <v>3</v>
      </c>
      <c r="H3032" s="1">
        <v>2</v>
      </c>
      <c r="I3032" s="1" t="s">
        <v>3990</v>
      </c>
      <c r="K3032" s="1" t="str">
        <f t="shared" si="192"/>
        <v>ㄈ</v>
      </c>
      <c r="L3032" s="1" t="str">
        <f t="shared" si="193"/>
        <v>ㄢ</v>
      </c>
      <c r="M3032" s="1" t="str">
        <f t="shared" si="194"/>
        <v/>
      </c>
      <c r="P3032" s="1" t="s">
        <v>20</v>
      </c>
      <c r="R3032" s="1" t="s">
        <v>3991</v>
      </c>
      <c r="V3032" s="1" t="s">
        <v>3995</v>
      </c>
      <c r="W3032" s="1" t="s">
        <v>3996</v>
      </c>
      <c r="AR3032" s="1" t="str">
        <f t="shared" si="195"/>
        <v>| [ㄈㄢ](ㄈㄢ.md) | [帆](帆.md) |  | fān | 參見「帆布」條。 |</v>
      </c>
    </row>
    <row r="3033" spans="1:44" hidden="1">
      <c r="A3033" s="1" t="s">
        <v>3997</v>
      </c>
      <c r="C3033" s="1">
        <v>1</v>
      </c>
      <c r="D3033" s="1" t="str">
        <f>"01605"</f>
        <v>01605</v>
      </c>
      <c r="E3033" s="1" t="s">
        <v>198</v>
      </c>
      <c r="F3033" s="1">
        <v>7</v>
      </c>
      <c r="G3033" s="1">
        <v>4</v>
      </c>
      <c r="H3033" s="1">
        <v>0</v>
      </c>
      <c r="I3033" s="1" t="s">
        <v>3990</v>
      </c>
      <c r="K3033" s="1" t="str">
        <f t="shared" si="192"/>
        <v>ㄈ</v>
      </c>
      <c r="L3033" s="1" t="str">
        <f t="shared" si="193"/>
        <v>ㄢ</v>
      </c>
      <c r="M3033" s="1" t="str">
        <f t="shared" si="194"/>
        <v/>
      </c>
      <c r="P3033" s="1" t="s">
        <v>20</v>
      </c>
      <c r="R3033" s="1" t="s">
        <v>3991</v>
      </c>
      <c r="V3033" s="1" t="s">
        <v>3998</v>
      </c>
      <c r="AR3033" s="1" t="str">
        <f t="shared" si="195"/>
        <v>| [ㄈㄢ](ㄈㄢ.md) | [犿](犿.md) |  | fān | [形]
連犿：宛轉的樣子。《莊子．天下》：「其書雖瑰瑋，而連犿無傷也。」 |</v>
      </c>
    </row>
    <row r="3034" spans="1:44" hidden="1">
      <c r="A3034" s="1" t="s">
        <v>1577</v>
      </c>
      <c r="C3034" s="1">
        <v>1</v>
      </c>
      <c r="D3034" s="1" t="str">
        <f>"01606"</f>
        <v>01606</v>
      </c>
      <c r="E3034" s="1" t="s">
        <v>753</v>
      </c>
      <c r="F3034" s="1">
        <v>12</v>
      </c>
      <c r="G3034" s="1">
        <v>7</v>
      </c>
      <c r="H3034" s="1">
        <v>1</v>
      </c>
      <c r="I3034" s="1" t="s">
        <v>3990</v>
      </c>
      <c r="K3034" s="1" t="str">
        <f t="shared" si="192"/>
        <v>ㄈ</v>
      </c>
      <c r="L3034" s="1" t="str">
        <f t="shared" si="193"/>
        <v>ㄢ</v>
      </c>
      <c r="M3034" s="1" t="str">
        <f t="shared" si="194"/>
        <v/>
      </c>
      <c r="P3034" s="1" t="s">
        <v>20</v>
      </c>
      <c r="R3034" s="1" t="s">
        <v>3991</v>
      </c>
      <c r="V3034" s="1" t="s">
        <v>3999</v>
      </c>
      <c r="W3034" s="1" t="s">
        <v>4000</v>
      </c>
      <c r="AR3034" s="1" t="str">
        <f t="shared" si="195"/>
        <v>| [ㄈㄢ](ㄈㄢ.md) | [番](番.md) |  | fān | [名]_x000D_
舊時對邊境少數民族或外國的稱呼。元．周達觀《真臘風土記．異事》：「余鄉人薛氏，居番三十五年矣。」《明史．卷一〇．英宗前本紀》：「都督同知李安充總兵官，僉都御史王翺參贊軍務，討松潘祈命簇叛番。」_x000D_
[量]_x000D_
1.計算次數的單位。相當於「回」、「次」。如：「三番兩次」、「思考一番」、「白費一番苦心」。《南史．卷三二．列傳．張邵》：「父邵使士南陽宗少文談繫象，往復數番。」宋．張炎〈高陽臺．接葉巢鶯〉詞：「能幾番游，看花又是明年。」_x000D_
2.計算倍數的單位。如：「連續幾天的漲停板，使他持有的股票價值翻兩番。」_x000D_
3.計算片、塊狀物品的單位。《百喻經．卷四．夫婦食餅共為要喻》：「昔有夫婦有三番餅，夫婦共分各食一餅，餘一番在。」北周．庾信〈謝趙王賚乾魚啟〉：「某啟，蒙賚乾魚十番。」_x000D_
4.計算字畫的單位。《新唐書．卷一六三．列傳．柳公綽》：「其遷少師，宣宗召至御座前，書紙三番，作真、行、草三體。」宋．葉紹翁《四朝聞見錄．甲集．九里松用金字》：「翌日取入，欲自為御書，黼黻湖山，命筆研書數十番。」_x000D_
5.用於計算事物的類別。如：「成就一番功業」。《儒林外史》第四一回：「轉眼長夏已過，又是新秋，清風戒寒，那秦淮河另是一番景致。」《兒女英雄傳》第一回：「得意人逢失意事，一番歡喜一番愁。」_x000D_
[動]_x000D_
輪流更替。《舊唐書．卷九七．列傳．張說》：「旬日，得精兵一十三萬人，分繫諸衛，更番上下，以實京師。」《新唐書．卷一二六．列傳．杜暹》：「暹率當番衛士繕三宮城，浚池，督役不少懈。」_x000D_
[形]_x000D_
1.外國的、外族的。如：「番船」、「番茄」、「番椒」、「番薯」。《明史．卷二〇四．列傳．陳九疇》：「邊臣怵利害，拱手聽命，致內屬番人勾連接引，以至於今。」《三國演義》第八八回：「只見帳中燈燭熒煌，孟優並番兵盡皆醉倒。」_x000D_
2.反過來。通「反」。元．關漢卿《蝴蝶夢》第三折：「叫化的剩飯重煎再煎，補衲的破襖兒番穿了正穿。」 |</v>
      </c>
    </row>
    <row r="3035" spans="1:44" hidden="1">
      <c r="A3035" s="1" t="s">
        <v>4001</v>
      </c>
      <c r="C3035" s="1">
        <v>1</v>
      </c>
      <c r="D3035" s="1" t="str">
        <f>"01607"</f>
        <v>01607</v>
      </c>
      <c r="E3035" s="1" t="s">
        <v>222</v>
      </c>
      <c r="F3035" s="1">
        <v>15</v>
      </c>
      <c r="G3035" s="1">
        <v>12</v>
      </c>
      <c r="H3035" s="1">
        <v>0</v>
      </c>
      <c r="I3035" s="1" t="s">
        <v>3990</v>
      </c>
      <c r="K3035" s="1" t="str">
        <f t="shared" si="192"/>
        <v>ㄈ</v>
      </c>
      <c r="L3035" s="1" t="str">
        <f t="shared" si="193"/>
        <v>ㄢ</v>
      </c>
      <c r="M3035" s="1" t="str">
        <f t="shared" si="194"/>
        <v/>
      </c>
      <c r="P3035" s="1" t="s">
        <v>20</v>
      </c>
      <c r="R3035" s="1" t="s">
        <v>3991</v>
      </c>
      <c r="V3035" s="1" t="s">
        <v>4002</v>
      </c>
      <c r="AR3035" s="1" t="str">
        <f t="shared" si="195"/>
        <v>| [ㄈㄢ](ㄈㄢ.md) | [幡](幡.md) |  | fān | [名]
一種狹長、垂直懸掛的旗幟。《史記．卷一一七．司馬相如傳》：「垂絳幡之素蜺兮，載雲氣而上浮。」清．張惠言〈木蘭花慢．一春長〉詞：「正風避重簾，雨迴深幕，雲護輕幡。」 |</v>
      </c>
    </row>
    <row r="3036" spans="1:44" hidden="1">
      <c r="A3036" s="1" t="s">
        <v>4003</v>
      </c>
      <c r="C3036" s="1">
        <v>1</v>
      </c>
      <c r="D3036" s="1" t="str">
        <f>"01608"</f>
        <v>01608</v>
      </c>
      <c r="E3036" s="1" t="s">
        <v>37</v>
      </c>
      <c r="F3036" s="1">
        <v>16</v>
      </c>
      <c r="G3036" s="1">
        <v>12</v>
      </c>
      <c r="H3036" s="1">
        <v>2</v>
      </c>
      <c r="I3036" s="1" t="s">
        <v>3990</v>
      </c>
      <c r="K3036" s="1" t="str">
        <f t="shared" si="192"/>
        <v>ㄈ</v>
      </c>
      <c r="L3036" s="1" t="str">
        <f t="shared" si="193"/>
        <v>ㄢ</v>
      </c>
      <c r="M3036" s="1" t="str">
        <f t="shared" si="194"/>
        <v/>
      </c>
      <c r="P3036" s="1" t="s">
        <v>20</v>
      </c>
      <c r="R3036" s="1" t="s">
        <v>3991</v>
      </c>
      <c r="V3036" s="1" t="s">
        <v>4004</v>
      </c>
      <c r="W3036" s="1" t="s">
        <v>4005</v>
      </c>
      <c r="AR3036" s="1" t="str">
        <f t="shared" si="195"/>
        <v>| [ㄈㄢ](ㄈㄢ.md) | [蕃](蕃.md) |  | fān | [名]_x000D_
舊時對外國或邊境少數民族的稱呼。通「番」。《舊唐書．卷一三三．列傳．李晟》：「乃上書請理不用命者，兼備耕以積粟，攘卻西蕃，上皆從之。」明．丘濬《大學衍義補．卷一四三．治國平天下之要》：「蕃之義，以其最在外為藩籬，故以蕃為稱，後世通謂外國為蕃。」_x000D_
 [形]_x000D_
來自外國或外族的。通「番」。如：「蕃茄」、「蕃薯」。 |</v>
      </c>
    </row>
    <row r="3037" spans="1:44" hidden="1">
      <c r="A3037" s="1" t="s">
        <v>4006</v>
      </c>
      <c r="C3037" s="1">
        <v>1</v>
      </c>
      <c r="D3037" s="1" t="str">
        <f>"01609"</f>
        <v>01609</v>
      </c>
      <c r="E3037" s="1" t="s">
        <v>800</v>
      </c>
      <c r="F3037" s="1">
        <v>18</v>
      </c>
      <c r="G3037" s="1">
        <v>14</v>
      </c>
      <c r="H3037" s="1">
        <v>0</v>
      </c>
      <c r="I3037" s="1" t="s">
        <v>3990</v>
      </c>
      <c r="K3037" s="1" t="str">
        <f t="shared" si="192"/>
        <v>ㄈ</v>
      </c>
      <c r="L3037" s="1" t="str">
        <f t="shared" si="193"/>
        <v>ㄢ</v>
      </c>
      <c r="M3037" s="1" t="str">
        <f t="shared" si="194"/>
        <v/>
      </c>
      <c r="P3037" s="1" t="s">
        <v>20</v>
      </c>
      <c r="R3037" s="1" t="s">
        <v>3991</v>
      </c>
      <c r="V3037" s="1" t="s">
        <v>4007</v>
      </c>
      <c r="AR3037" s="1" t="str">
        <f t="shared" si="195"/>
        <v>| [ㄈㄢ](ㄈㄢ.md) | [旛](旛.md) |  | fān | [名]
1.狹長而下垂的旗幟。《說文解字．㫃部》：「旛，旛胡也。謂旗幅之下垂者。」
2.泛指旌旗。唐．劉禹錫〈西塞山懷古〉詩：「千尋鐵鎖沉江底，一片降旛出石頭。」 |</v>
      </c>
    </row>
    <row r="3038" spans="1:44" hidden="1">
      <c r="A3038" s="1" t="s">
        <v>4008</v>
      </c>
      <c r="C3038" s="1">
        <v>1</v>
      </c>
      <c r="D3038" s="1" t="str">
        <f>"01610"</f>
        <v>01610</v>
      </c>
      <c r="E3038" s="1" t="s">
        <v>2271</v>
      </c>
      <c r="F3038" s="1">
        <v>18</v>
      </c>
      <c r="G3038" s="1">
        <v>12</v>
      </c>
      <c r="H3038" s="1">
        <v>0</v>
      </c>
      <c r="I3038" s="1" t="s">
        <v>3990</v>
      </c>
      <c r="K3038" s="1" t="str">
        <f t="shared" si="192"/>
        <v>ㄈ</v>
      </c>
      <c r="L3038" s="1" t="str">
        <f t="shared" si="193"/>
        <v>ㄢ</v>
      </c>
      <c r="M3038" s="1" t="str">
        <f t="shared" si="194"/>
        <v/>
      </c>
      <c r="P3038" s="1" t="s">
        <v>20</v>
      </c>
      <c r="R3038" s="1" t="s">
        <v>3991</v>
      </c>
      <c r="V3038" s="1" t="s">
        <v>4009</v>
      </c>
      <c r="AR3038" s="1" t="str">
        <f t="shared" si="195"/>
        <v>| [ㄈㄢ](ㄈㄢ.md) | [翻](翻.md) |  | fān | [動]
1.反轉、覆轉。如：「翻身」、「車翻了」。唐．杜甫〈白帝〉詩：「白帝城中雲出門，白帝城下雨翻盆。」
2.掀動。如：「翻書」、「翻報紙」。
3.越過。如：「翻山越嶺」。
4.改變。如：「花樣翻新」、「翻供」、「翻案」、「翻臉」。
5.將某種語言文字譯成另一種語言文字。如：「把這段英文翻成中文。」
6.飛翔。如：「眾鳥翻飛」。唐．李白〈天台曉望〉詩：「雲垂大鵬翻，波動巨鼇沒。」
[副]
反而。唐．司空曙〈雲陽館與韓紳宿別〉詩：「乍見翻疑夢，相悲各問年。」《喻世明言．卷四十．沈小霞相會出師表》：「忠臣翻受奸臣制，骯髒英雄淚滿襟。」 |</v>
      </c>
    </row>
    <row r="3039" spans="1:44" hidden="1">
      <c r="A3039" s="1" t="s">
        <v>4010</v>
      </c>
      <c r="C3039" s="1">
        <v>1</v>
      </c>
      <c r="D3039" s="1" t="str">
        <f>"01611"</f>
        <v>01611</v>
      </c>
      <c r="E3039" s="1" t="s">
        <v>725</v>
      </c>
      <c r="F3039" s="1">
        <v>18</v>
      </c>
      <c r="G3039" s="1">
        <v>12</v>
      </c>
      <c r="H3039" s="1">
        <v>0</v>
      </c>
      <c r="I3039" s="1" t="s">
        <v>3990</v>
      </c>
      <c r="K3039" s="1" t="str">
        <f t="shared" si="192"/>
        <v>ㄈ</v>
      </c>
      <c r="L3039" s="1" t="str">
        <f t="shared" si="193"/>
        <v>ㄢ</v>
      </c>
      <c r="M3039" s="1" t="str">
        <f t="shared" si="194"/>
        <v/>
      </c>
      <c r="P3039" s="1" t="s">
        <v>20</v>
      </c>
      <c r="R3039" s="1" t="s">
        <v>3991</v>
      </c>
      <c r="V3039" s="1" t="s">
        <v>4011</v>
      </c>
      <c r="AR3039" s="1" t="str">
        <f t="shared" si="195"/>
        <v>| [ㄈㄢ](ㄈㄢ.md) | [繙](繙.md) |  | fān | [副]
反覆。《莊子．天道》：「往見老聃，而老聃不許，於是繙十二經以說。」
[動]
將某種語言文字譯成另一種語言文字。通「翻」。如：「繙譯」。
[名]
旗子。唐．儲光羲〈昭聖觀〉詩：「扶橑盡蟠木，步檐多畫繙。」 |</v>
      </c>
    </row>
    <row r="3040" spans="1:44" hidden="1">
      <c r="A3040" s="1" t="s">
        <v>4012</v>
      </c>
      <c r="C3040" s="1">
        <v>1</v>
      </c>
      <c r="D3040" s="1" t="str">
        <f>"01612"</f>
        <v>01612</v>
      </c>
      <c r="E3040" s="1" t="s">
        <v>71</v>
      </c>
      <c r="F3040" s="1">
        <v>19</v>
      </c>
      <c r="G3040" s="1">
        <v>12</v>
      </c>
      <c r="H3040" s="1">
        <v>0</v>
      </c>
      <c r="I3040" s="1" t="s">
        <v>3990</v>
      </c>
      <c r="K3040" s="1" t="str">
        <f t="shared" si="192"/>
        <v>ㄈ</v>
      </c>
      <c r="L3040" s="1" t="str">
        <f t="shared" si="193"/>
        <v>ㄢ</v>
      </c>
      <c r="M3040" s="1" t="str">
        <f t="shared" si="194"/>
        <v/>
      </c>
      <c r="P3040" s="1" t="s">
        <v>20</v>
      </c>
      <c r="R3040" s="1" t="s">
        <v>3991</v>
      </c>
      <c r="V3040" s="1" t="s">
        <v>4013</v>
      </c>
      <c r="AR3040" s="1" t="str">
        <f t="shared" si="195"/>
        <v>| [ㄈㄢ](ㄈㄢ.md) | [轓](轓.md) |  | fān | [名]
1.古代車箱兩旁的障蔽物。《漢書．卷五．景帝紀》：「令長吏二千石車朱兩轓，千石至六百石朱左轓。」唐．顏師古．注：「轓，應劭曰：『車耳反出，所以為之藩屏，翳塵泥也。』」《續漢書志．第六．禮儀志下》：「車皆去輔轓，疏布惡輪。」
2.借指車。南朝齊．謝朓〈三日侍宴曲水代人應詔詩〉：「華轓徒駕，長纓未飾。」 |</v>
      </c>
    </row>
    <row r="3041" spans="1:44" hidden="1">
      <c r="A3041" s="1" t="s">
        <v>4014</v>
      </c>
      <c r="C3041" s="1">
        <v>1</v>
      </c>
      <c r="D3041" s="1" t="str">
        <f>"01613"</f>
        <v>01613</v>
      </c>
      <c r="E3041" s="1" t="s">
        <v>49</v>
      </c>
      <c r="F3041" s="1">
        <v>21</v>
      </c>
      <c r="G3041" s="1">
        <v>15</v>
      </c>
      <c r="H3041" s="1">
        <v>0</v>
      </c>
      <c r="I3041" s="1" t="s">
        <v>3990</v>
      </c>
      <c r="K3041" s="1" t="str">
        <f t="shared" si="192"/>
        <v>ㄈ</v>
      </c>
      <c r="L3041" s="1" t="str">
        <f t="shared" si="193"/>
        <v>ㄢ</v>
      </c>
      <c r="M3041" s="1" t="str">
        <f t="shared" si="194"/>
        <v/>
      </c>
      <c r="P3041" s="1" t="s">
        <v>20</v>
      </c>
      <c r="R3041" s="1" t="s">
        <v>3991</v>
      </c>
      <c r="V3041" s="1" t="s">
        <v>4015</v>
      </c>
      <c r="AR3041" s="1" t="str">
        <f t="shared" si="195"/>
        <v>| [ㄈㄢ](ㄈㄢ.md) | [籓](籓.md) |  | fān | [名]
1.大畚箕。《廣韻．平聲．元韻》：「籓，大箕。」
2.屏障。宋．蘇軾〈答新蘇州黃龍圖啟〉：「金華玉堂，帝左右之高選；武林茂苑，江東南之要籓。」 |</v>
      </c>
    </row>
    <row r="3042" spans="1:44" hidden="1">
      <c r="A3042" s="1" t="s">
        <v>4100</v>
      </c>
      <c r="C3042" s="1">
        <v>1</v>
      </c>
      <c r="D3042" s="1" t="str">
        <f>"01652"</f>
        <v>01652</v>
      </c>
      <c r="E3042" s="1" t="s">
        <v>185</v>
      </c>
      <c r="F3042" s="1">
        <v>4</v>
      </c>
      <c r="G3042" s="1">
        <v>2</v>
      </c>
      <c r="H3042" s="1">
        <v>1</v>
      </c>
      <c r="I3042" s="1" t="s">
        <v>4101</v>
      </c>
      <c r="K3042" s="1" t="str">
        <f t="shared" si="192"/>
        <v>ㄈ</v>
      </c>
      <c r="L3042" s="1" t="str">
        <f t="shared" si="193"/>
        <v>ㄣ</v>
      </c>
      <c r="M3042" s="1" t="str">
        <f t="shared" si="194"/>
        <v/>
      </c>
      <c r="P3042" s="1" t="s">
        <v>20</v>
      </c>
      <c r="R3042" s="1" t="s">
        <v>4102</v>
      </c>
      <c r="V3042" s="1" t="s">
        <v>4103</v>
      </c>
      <c r="W3042" s="1" t="s">
        <v>4104</v>
      </c>
      <c r="AR3042" s="1" t="str">
        <f t="shared" si="195"/>
        <v>| [ㄈㄣ](ㄈㄣ.md) | [分](分.md) |  | fēn | [動]
1.將整體變成若干部分，或使聯在一起的事物離開。與「合」相對。如：「分割」、「劃分」、「分離」。《論語．泰伯》：「三分天下有其二，以服事殷周之德。」三國魏．劉楨〈贈五官中郎將〉詩四首之二：「逝者如流水，哀此遂離分。」
2.配與、給與。《左傳．莊公十年》：「衣食所安，弗敢專也，必以分人。」《史記．卷一〇九．李將軍列傳》：「廣廉，得賞賜輒分其麾下。」
3.分擔。如：「分憂解勞」。《史記．卷六五．孫子吳起列傳．吳起》：「與士卒分勞苦。」
4.辨別。《論語．微子》：「四體不勤，五穀不分。」《呂氏春秋．慎行傳．察傳》：「是非之經，不可不分。」
[形]
1.由總機構中分出來的。如：「分局」、「分隊」、「分校」、「分公司」。
2.清楚的、明白的。如：「是非分明」。唐．杜甫〈新婚別〉詩：「妾身未分明，何以拜姑嫜？」
[名]
1.區別、不一樣之處。《荀子．不苟》：「是君子、小人之分也。」
2.成績或競賽勝負的記數。如：「滿分」、「零分」。
3.時間的名稱。六十分為一小時。
4.量詞：(1)計算重量的單位。一兩的百分之一。(2)計算地積的單位。一畝的十分之一。(3)計算貨幣的單位。一元的百分之一。(4)計算時間的單位。六十分為一小時。如：「他花了數分的時間完成這項實驗。」(5)計算角度的單位。一度的六十分之一。(6)計算程度深淺的單位。如：「一分努力，一分收穫。」「逢人只說三分話。」
5.數學上用來表示分數，或直接指分數。如：「二分之一」、「百分之一」、「約分」。 |</v>
      </c>
    </row>
    <row r="3043" spans="1:44" hidden="1">
      <c r="A3043" s="1" t="s">
        <v>4105</v>
      </c>
      <c r="C3043" s="1">
        <v>1</v>
      </c>
      <c r="D3043" s="1" t="str">
        <f>"01653"</f>
        <v>01653</v>
      </c>
      <c r="E3043" s="1" t="s">
        <v>28</v>
      </c>
      <c r="F3043" s="1">
        <v>7</v>
      </c>
      <c r="G3043" s="1">
        <v>4</v>
      </c>
      <c r="H3043" s="1">
        <v>0</v>
      </c>
      <c r="I3043" s="1" t="s">
        <v>4101</v>
      </c>
      <c r="K3043" s="1" t="str">
        <f t="shared" si="192"/>
        <v>ㄈ</v>
      </c>
      <c r="L3043" s="1" t="str">
        <f t="shared" si="193"/>
        <v>ㄣ</v>
      </c>
      <c r="M3043" s="1" t="str">
        <f t="shared" ref="M3043:M3074" si="196">MID(I3043, 3, 1)</f>
        <v/>
      </c>
      <c r="P3043" s="1" t="s">
        <v>20</v>
      </c>
      <c r="R3043" s="1" t="s">
        <v>4102</v>
      </c>
      <c r="V3043" s="1" t="s">
        <v>4106</v>
      </c>
      <c r="AR3043" s="1" t="str">
        <f t="shared" si="195"/>
        <v>| [ㄈㄣ](ㄈㄣ.md) | [吩](吩.md) |  | fēn | 參見「吩咐」條。 |</v>
      </c>
    </row>
    <row r="3044" spans="1:44" hidden="1">
      <c r="A3044" s="1" t="s">
        <v>4107</v>
      </c>
      <c r="C3044" s="1">
        <v>1</v>
      </c>
      <c r="D3044" s="1" t="str">
        <f>"01654"</f>
        <v>01654</v>
      </c>
      <c r="E3044" s="1" t="s">
        <v>37</v>
      </c>
      <c r="F3044" s="1">
        <v>8</v>
      </c>
      <c r="G3044" s="1">
        <v>4</v>
      </c>
      <c r="H3044" s="1">
        <v>0</v>
      </c>
      <c r="I3044" s="1" t="s">
        <v>4101</v>
      </c>
      <c r="K3044" s="1" t="str">
        <f t="shared" si="192"/>
        <v>ㄈ</v>
      </c>
      <c r="L3044" s="1" t="str">
        <f t="shared" si="193"/>
        <v>ㄣ</v>
      </c>
      <c r="M3044" s="1" t="str">
        <f t="shared" si="196"/>
        <v/>
      </c>
      <c r="P3044" s="1" t="s">
        <v>20</v>
      </c>
      <c r="R3044" s="1" t="s">
        <v>4102</v>
      </c>
      <c r="V3044" s="1" t="s">
        <v>4108</v>
      </c>
      <c r="AR3044" s="1" t="str">
        <f t="shared" si="195"/>
        <v>| [ㄈㄣ](ㄈㄣ.md) | [芬](芬.md) |  | fēn | [名]_x000D_
1.香氣。如：「含芳吐芬」。《楚辭．屈原．離騷》：「芳菲菲而難虧兮，芬至今猶未沬。」晉．傅咸〈感別賦〉：「分綢繆而日新，蘭蕙含芬。」_x000D_
2.借指好名聲、好德性。《文選．陸機．文賦》：「詠世德之駿烈，誦先人之清芬。」《晉書．卷七四．列傳．桓彝》：「揚芬千載之上，淪骨九泉之下。」_x000D_
3.姓。如周代有芬質。_x000D_
[形]_x000D_
隆起的樣子。通「墳」。《管子．地員》：「青怵以肥，芬然若灰。」唐．尹知章．注：「芬然，壤起貌。」_x000D_
[副]_x000D_
眾多。通「紛」。《漢書．卷二二．禮樂志》：「羽旄殷盛，芬哉芒芒。」唐．顏師古．注：「芬亦謂眾多。」 |</v>
      </c>
    </row>
    <row r="3045" spans="1:44" hidden="1">
      <c r="A3045" s="1" t="s">
        <v>4109</v>
      </c>
      <c r="C3045" s="1">
        <v>1</v>
      </c>
      <c r="D3045" s="1" t="str">
        <f>"01655"</f>
        <v>01655</v>
      </c>
      <c r="E3045" s="1" t="s">
        <v>2228</v>
      </c>
      <c r="F3045" s="1">
        <v>8</v>
      </c>
      <c r="G3045" s="1">
        <v>4</v>
      </c>
      <c r="H3045" s="1">
        <v>0</v>
      </c>
      <c r="I3045" s="1" t="s">
        <v>4101</v>
      </c>
      <c r="K3045" s="1" t="str">
        <f t="shared" si="192"/>
        <v>ㄈ</v>
      </c>
      <c r="L3045" s="1" t="str">
        <f t="shared" si="193"/>
        <v>ㄣ</v>
      </c>
      <c r="M3045" s="1" t="str">
        <f t="shared" si="196"/>
        <v/>
      </c>
      <c r="P3045" s="1" t="s">
        <v>20</v>
      </c>
      <c r="R3045" s="1" t="s">
        <v>4102</v>
      </c>
      <c r="V3045" s="1" t="s">
        <v>4110</v>
      </c>
      <c r="AR3045" s="1" t="str">
        <f t="shared" si="195"/>
        <v>| [ㄈㄣ](ㄈㄣ.md) | [氛](氛.md) |  | fēn | [名]
1.氣的通稱。如：「祥氛」、「妖氛」、「氣氛」。《國語．晉語一》：「獻公田，見翟柤之氛，歸寑不寐。」
2.景象、氣象。如：「戰氛熾烈」。 |</v>
      </c>
    </row>
    <row r="3046" spans="1:44" hidden="1">
      <c r="A3046" s="1" t="s">
        <v>4111</v>
      </c>
      <c r="C3046" s="1">
        <v>1</v>
      </c>
      <c r="D3046" s="1" t="str">
        <f>"01656"</f>
        <v>01656</v>
      </c>
      <c r="E3046" s="1" t="s">
        <v>340</v>
      </c>
      <c r="F3046" s="1">
        <v>10</v>
      </c>
      <c r="G3046" s="1">
        <v>4</v>
      </c>
      <c r="H3046" s="1">
        <v>0</v>
      </c>
      <c r="I3046" s="1" t="s">
        <v>4101</v>
      </c>
      <c r="K3046" s="1" t="str">
        <f t="shared" si="192"/>
        <v>ㄈ</v>
      </c>
      <c r="L3046" s="1" t="str">
        <f t="shared" si="193"/>
        <v>ㄣ</v>
      </c>
      <c r="M3046" s="1" t="str">
        <f t="shared" si="196"/>
        <v/>
      </c>
      <c r="P3046" s="1" t="s">
        <v>20</v>
      </c>
      <c r="R3046" s="1" t="s">
        <v>4102</v>
      </c>
      <c r="V3046" s="1" t="s">
        <v>4112</v>
      </c>
      <c r="AR3046" s="1" t="str">
        <f t="shared" si="195"/>
        <v>| [ㄈㄣ](ㄈㄣ.md) | [衯](衯.md) |  | fēn | 參見「衯衯」條。 |</v>
      </c>
    </row>
    <row r="3047" spans="1:44" hidden="1">
      <c r="A3047" s="1" t="s">
        <v>4113</v>
      </c>
      <c r="C3047" s="1">
        <v>1</v>
      </c>
      <c r="D3047" s="1" t="str">
        <f>"01657"</f>
        <v>01657</v>
      </c>
      <c r="E3047" s="1" t="s">
        <v>2271</v>
      </c>
      <c r="F3047" s="1">
        <v>10</v>
      </c>
      <c r="G3047" s="1">
        <v>4</v>
      </c>
      <c r="H3047" s="1">
        <v>0</v>
      </c>
      <c r="I3047" s="1" t="s">
        <v>4101</v>
      </c>
      <c r="K3047" s="1" t="str">
        <f t="shared" si="192"/>
        <v>ㄈ</v>
      </c>
      <c r="L3047" s="1" t="str">
        <f t="shared" si="193"/>
        <v>ㄣ</v>
      </c>
      <c r="M3047" s="1" t="str">
        <f t="shared" si="196"/>
        <v/>
      </c>
      <c r="P3047" s="1" t="s">
        <v>20</v>
      </c>
      <c r="R3047" s="1" t="s">
        <v>4102</v>
      </c>
      <c r="V3047" s="1" t="s">
        <v>4114</v>
      </c>
      <c r="AR3047" s="1" t="str">
        <f t="shared" si="195"/>
        <v>| [ㄈㄣ](ㄈㄣ.md) | [翂](翂.md) |  | fēn | 參見「翂翂」條。 |</v>
      </c>
    </row>
    <row r="3048" spans="1:44" hidden="1">
      <c r="A3048" s="1" t="s">
        <v>4115</v>
      </c>
      <c r="C3048" s="1">
        <v>1</v>
      </c>
      <c r="D3048" s="1" t="str">
        <f>"01658"</f>
        <v>01658</v>
      </c>
      <c r="E3048" s="1" t="s">
        <v>725</v>
      </c>
      <c r="F3048" s="1">
        <v>10</v>
      </c>
      <c r="G3048" s="1">
        <v>4</v>
      </c>
      <c r="H3048" s="1">
        <v>0</v>
      </c>
      <c r="I3048" s="1" t="s">
        <v>4101</v>
      </c>
      <c r="K3048" s="1" t="str">
        <f t="shared" ref="K3048:K3111" si="197">LEFT(I3048, 1)</f>
        <v>ㄈ</v>
      </c>
      <c r="L3048" s="1" t="str">
        <f t="shared" ref="L3048:L3111" si="198">MID(I3048, 2, 1)</f>
        <v>ㄣ</v>
      </c>
      <c r="M3048" s="1" t="str">
        <f t="shared" si="196"/>
        <v/>
      </c>
      <c r="P3048" s="1" t="s">
        <v>20</v>
      </c>
      <c r="R3048" s="1" t="s">
        <v>4102</v>
      </c>
      <c r="V3048" s="1" t="s">
        <v>4116</v>
      </c>
      <c r="AR3048" s="1" t="str">
        <f t="shared" si="195"/>
        <v>| [ㄈㄣ](ㄈㄣ.md) | [紛](紛.md) |  | fēn | [名]
1.爭執。如：「糾紛」、「排難解紛」。《晉書．卷九二．文苑傳．袁宏傳》：「謀解時紛，功濟宇內。」
2.姓。如戰國時魏有紛疆。
[動]
擾亂、打擾。《墨子．尚同》中：「當此之時，本無有敢紛天子之教者。」《聊齋志異．卷一．嬌娜》：「家君恐交遊紛意念，故謝客耳。」
[副]
眾多。如：「大雪紛飛」。 |</v>
      </c>
    </row>
    <row r="3049" spans="1:44" hidden="1">
      <c r="A3049" s="1" t="s">
        <v>4117</v>
      </c>
      <c r="C3049" s="1">
        <v>1</v>
      </c>
      <c r="D3049" s="1" t="str">
        <f>"01659"</f>
        <v>01659</v>
      </c>
      <c r="E3049" s="1" t="s">
        <v>1462</v>
      </c>
      <c r="F3049" s="1">
        <v>11</v>
      </c>
      <c r="G3049" s="1">
        <v>4</v>
      </c>
      <c r="H3049" s="1">
        <v>0</v>
      </c>
      <c r="I3049" s="1" t="s">
        <v>4101</v>
      </c>
      <c r="K3049" s="1" t="str">
        <f t="shared" si="197"/>
        <v>ㄈ</v>
      </c>
      <c r="L3049" s="1" t="str">
        <f t="shared" si="198"/>
        <v>ㄣ</v>
      </c>
      <c r="M3049" s="1" t="str">
        <f t="shared" si="196"/>
        <v/>
      </c>
      <c r="P3049" s="1" t="s">
        <v>20</v>
      </c>
      <c r="R3049" s="1" t="s">
        <v>4102</v>
      </c>
      <c r="V3049" s="1" t="s">
        <v>4118</v>
      </c>
      <c r="AR3049" s="1" t="str">
        <f t="shared" si="195"/>
        <v>| [ㄈㄣ](ㄈㄣ.md) | [酚](酚.md) |  | fēn | [名]
一種白色結晶物。能自空氣中吸收水分而自行液化。味灼，有特殊臭味，腐蝕力極強，有毒。工業上用於木材之防腐、殺菌及製成高分子塑膠。俗稱為「石炭酸」。 |</v>
      </c>
    </row>
    <row r="3050" spans="1:44" hidden="1">
      <c r="A3050" s="1" t="s">
        <v>4119</v>
      </c>
      <c r="C3050" s="1">
        <v>1</v>
      </c>
      <c r="D3050" s="1" t="str">
        <f>"01660"</f>
        <v>01660</v>
      </c>
      <c r="E3050" s="1" t="s">
        <v>125</v>
      </c>
      <c r="F3050" s="1">
        <v>12</v>
      </c>
      <c r="G3050" s="1">
        <v>4</v>
      </c>
      <c r="H3050" s="1">
        <v>0</v>
      </c>
      <c r="I3050" s="1" t="s">
        <v>4101</v>
      </c>
      <c r="K3050" s="1" t="str">
        <f t="shared" si="197"/>
        <v>ㄈ</v>
      </c>
      <c r="L3050" s="1" t="str">
        <f t="shared" si="198"/>
        <v>ㄣ</v>
      </c>
      <c r="M3050" s="1" t="str">
        <f t="shared" si="196"/>
        <v/>
      </c>
      <c r="P3050" s="1" t="s">
        <v>20</v>
      </c>
      <c r="R3050" s="1" t="s">
        <v>4102</v>
      </c>
      <c r="V3050" s="1" t="s">
        <v>4120</v>
      </c>
      <c r="AR3050" s="1" t="str">
        <f t="shared" si="195"/>
        <v>| [ㄈㄣ](ㄈㄣ.md) | [雰](雰.md) |  | fēn | [名]
1.霧氣。《玉篇．雨部》：「雰，霧氣也。」《黃帝內經素問．卷二一．六元正紀大論》：「大寒迺至，川澤嚴凝，寒雰結為霜雪。」
2.氣的通稱。唐．李紳〈華山慶雲見〉詩：「氣色含珠日，晴光吐翠雰。」 |</v>
      </c>
    </row>
    <row r="3051" spans="1:44" hidden="1">
      <c r="A3051" s="1" t="s">
        <v>4121</v>
      </c>
      <c r="C3051" s="1">
        <v>1</v>
      </c>
      <c r="D3051" s="1" t="str">
        <f>"01661"</f>
        <v>01661</v>
      </c>
      <c r="E3051" s="1" t="s">
        <v>139</v>
      </c>
      <c r="F3051" s="1">
        <v>12</v>
      </c>
      <c r="G3051" s="1">
        <v>8</v>
      </c>
      <c r="H3051" s="1">
        <v>0</v>
      </c>
      <c r="I3051" s="1" t="s">
        <v>4101</v>
      </c>
      <c r="K3051" s="1" t="str">
        <f t="shared" si="197"/>
        <v>ㄈ</v>
      </c>
      <c r="L3051" s="1" t="str">
        <f t="shared" si="198"/>
        <v>ㄣ</v>
      </c>
      <c r="M3051" s="1" t="str">
        <f t="shared" si="196"/>
        <v/>
      </c>
      <c r="P3051" s="1" t="s">
        <v>20</v>
      </c>
      <c r="R3051" s="1" t="s">
        <v>4102</v>
      </c>
      <c r="V3051" s="1" t="s">
        <v>4122</v>
      </c>
      <c r="AR3051" s="1" t="str">
        <f t="shared" si="195"/>
        <v>| [ㄈㄣ](ㄈㄣ.md) | [棻](棻.md) |  | fēn | [名]
有香味的樹木。《集韻．平聲．文韻》：「梤，《說文》：『香木也。亦作棻。』」
[形]
茂盛。《文選．班固．西都賦》：「五穀垂穎，桑麻鋪棻。」 |</v>
      </c>
    </row>
    <row r="3052" spans="1:44" hidden="1">
      <c r="A3052" s="1" t="s">
        <v>4123</v>
      </c>
      <c r="C3052" s="1">
        <v>1</v>
      </c>
      <c r="D3052" s="1" t="str">
        <f>"01662"</f>
        <v>01662</v>
      </c>
      <c r="E3052" s="1" t="s">
        <v>193</v>
      </c>
      <c r="F3052" s="1">
        <v>20</v>
      </c>
      <c r="G3052" s="1">
        <v>12</v>
      </c>
      <c r="H3052" s="1">
        <v>0</v>
      </c>
      <c r="I3052" s="1" t="s">
        <v>4101</v>
      </c>
      <c r="K3052" s="1" t="str">
        <f t="shared" si="197"/>
        <v>ㄈ</v>
      </c>
      <c r="L3052" s="1" t="str">
        <f t="shared" si="198"/>
        <v>ㄣ</v>
      </c>
      <c r="M3052" s="1" t="str">
        <f t="shared" si="196"/>
        <v/>
      </c>
      <c r="P3052" s="1" t="s">
        <v>20</v>
      </c>
      <c r="R3052" s="1" t="s">
        <v>4102</v>
      </c>
      <c r="V3052" s="1" t="s">
        <v>4124</v>
      </c>
      <c r="AR3052" s="1" t="str">
        <f t="shared" si="195"/>
        <v>| [ㄈㄣ](ㄈㄣ.md) | [饙](饙.md) |  | fēn | [動]
蒸飯，米煮半熟後以箕漉出再蒸熟。清．朱駿聲《說文通訓定聲．屯部》：「饙，滫飯也。如今北方蒸飯，先以米下水一涫漉出，再蒸勻熟之。下水涫之曰饙，再蒸之曰餾。」《詩經．大雅．泂酌》：「挹彼注茲，可以饙饎。」 |</v>
      </c>
    </row>
    <row r="3053" spans="1:44" hidden="1">
      <c r="A3053" s="1" t="s">
        <v>4201</v>
      </c>
      <c r="C3053" s="1">
        <v>1</v>
      </c>
      <c r="D3053" s="1" t="str">
        <f>"01697"</f>
        <v>01697</v>
      </c>
      <c r="E3053" s="1" t="s">
        <v>3892</v>
      </c>
      <c r="F3053" s="1">
        <v>2</v>
      </c>
      <c r="G3053" s="1">
        <v>0</v>
      </c>
      <c r="H3053" s="1">
        <v>0</v>
      </c>
      <c r="I3053" s="1" t="s">
        <v>4202</v>
      </c>
      <c r="K3053" s="1" t="str">
        <f t="shared" si="197"/>
        <v>ㄈ</v>
      </c>
      <c r="L3053" s="1" t="str">
        <f t="shared" si="198"/>
        <v>ㄤ</v>
      </c>
      <c r="M3053" s="1" t="str">
        <f t="shared" si="196"/>
        <v/>
      </c>
      <c r="P3053" s="1" t="s">
        <v>20</v>
      </c>
      <c r="R3053" s="1" t="s">
        <v>4203</v>
      </c>
      <c r="V3053" s="1" t="s">
        <v>4204</v>
      </c>
      <c r="AR3053" s="1" t="str">
        <f t="shared" si="195"/>
        <v>| [ㄈㄤ](ㄈㄤ.md) | [匚](匚.md) |  | fāng | [名]
1.古代一種盛物的器具。《說文解字．匚部》：「匚，受物之器。」
2.二一四部首之一。 |</v>
      </c>
    </row>
    <row r="3054" spans="1:44" hidden="1">
      <c r="A3054" s="1" t="s">
        <v>4205</v>
      </c>
      <c r="C3054" s="1">
        <v>1</v>
      </c>
      <c r="D3054" s="1" t="str">
        <f>"01698"</f>
        <v>01698</v>
      </c>
      <c r="E3054" s="1" t="s">
        <v>800</v>
      </c>
      <c r="F3054" s="1">
        <v>4</v>
      </c>
      <c r="G3054" s="1">
        <v>0</v>
      </c>
      <c r="H3054" s="1">
        <v>0</v>
      </c>
      <c r="I3054" s="1" t="s">
        <v>4202</v>
      </c>
      <c r="K3054" s="1" t="str">
        <f t="shared" si="197"/>
        <v>ㄈ</v>
      </c>
      <c r="L3054" s="1" t="str">
        <f t="shared" si="198"/>
        <v>ㄤ</v>
      </c>
      <c r="M3054" s="1" t="str">
        <f t="shared" si="196"/>
        <v/>
      </c>
      <c r="P3054" s="1" t="s">
        <v>20</v>
      </c>
      <c r="R3054" s="1" t="s">
        <v>4203</v>
      </c>
      <c r="V3054" s="1" t="s">
        <v>4206</v>
      </c>
      <c r="AR3054" s="1" t="str">
        <f t="shared" si="195"/>
        <v>| [ㄈㄤ](ㄈㄤ.md) | [方](方.md) |  | fāng | [名]
1.四個角都是九十度的四邊形。如：「正方形」、「長方形」。
2.區域。如：「地方」、「遠方」。
3.古代稱地為「方」。《淮南子．本經》：「戴圓履方，抱表懷繩。」漢．高誘．注：「圓，天也；方，地也。」
4.位置、地位的一邊或一面。如：「東方」、「四面八方」、「對方」、「我方」、「雙方」。
5.法子、辦法。如：「方法」、「千方百計」、「教導有方」。
6.治病的藥單、配藥的單子。如：「藥方」、「偏方」、「祕方」、「處方」。《鏡花緣》第二九回：「此跌打損傷第一奇方。」
7.數學上的乘方。如：「平方」、「立方」。
8.量詞。計算方形物品的單位。相當於「塊」、「個」。如：「匾額一方」、「一方手帕」、「三方圖章」。
9.姓。如明代有方孝孺。
10. 二一四部首之一。
[形]
1.方形的。如：「方桌」、「方陣」。
2.某一地的。如：「方音」、「方言」、「方志」。
3.正直。如：「品行方正」。《老子》第五八章：「是以聖人方而不割，廉而不劌。」《漢書．卷五六．董仲舒傳》：「悼王道之不昭，故舉賢良方正之士。」
[副]
1.才、始。如：「書到用時方恨少」、「如夢方醒」。《紅樓夢》第四回：「今年方四十上下，只有薛蟠一子。」
2.正、適。如：「來日方長」、「方興未艾」。《論語．季氏》：「及其壯也，血氣方剛，戒之在鬥。」
3.將。《後漢書．卷一七．馮異傳》：「璽書勞異曰：『方論功賞，以答大勛。』」《資治通鑑．卷六五．漢紀五十七．獻帝建安十三年》：「今治水軍八十萬眾，方與將軍會獵於吳。」
[介]
當、在。《莊子．人間世》：「方今之時，僅免刑焉。」《漢書．卷六六．楊敞傳》：「惲家方隆盛時，乘朱輪者十人。」 |</v>
      </c>
    </row>
    <row r="3055" spans="1:44" hidden="1">
      <c r="A3055" s="1" t="s">
        <v>4207</v>
      </c>
      <c r="C3055" s="1">
        <v>1</v>
      </c>
      <c r="D3055" s="1" t="str">
        <f>"01699"</f>
        <v>01699</v>
      </c>
      <c r="E3055" s="1" t="s">
        <v>256</v>
      </c>
      <c r="F3055" s="1">
        <v>7</v>
      </c>
      <c r="G3055" s="1">
        <v>4</v>
      </c>
      <c r="H3055" s="1">
        <v>0</v>
      </c>
      <c r="I3055" s="1" t="s">
        <v>4202</v>
      </c>
      <c r="K3055" s="1" t="str">
        <f t="shared" si="197"/>
        <v>ㄈ</v>
      </c>
      <c r="L3055" s="1" t="str">
        <f t="shared" si="198"/>
        <v>ㄤ</v>
      </c>
      <c r="M3055" s="1" t="str">
        <f t="shared" si="196"/>
        <v/>
      </c>
      <c r="P3055" s="1" t="s">
        <v>20</v>
      </c>
      <c r="R3055" s="1" t="s">
        <v>4203</v>
      </c>
      <c r="V3055" s="1" t="s">
        <v>4208</v>
      </c>
      <c r="AR3055" s="1" t="str">
        <f t="shared" si="195"/>
        <v>| [ㄈㄤ](ㄈㄤ.md) | [邡](邡.md) |  | fāng | [名]
什邡縣：縣名。位四川省。 |</v>
      </c>
    </row>
    <row r="3056" spans="1:44" hidden="1">
      <c r="A3056" s="1" t="s">
        <v>4209</v>
      </c>
      <c r="C3056" s="1">
        <v>1</v>
      </c>
      <c r="D3056" s="1" t="str">
        <f>"01700"</f>
        <v>01700</v>
      </c>
      <c r="E3056" s="1" t="s">
        <v>132</v>
      </c>
      <c r="F3056" s="1">
        <v>7</v>
      </c>
      <c r="G3056" s="1">
        <v>4</v>
      </c>
      <c r="H3056" s="1">
        <v>1</v>
      </c>
      <c r="I3056" s="1" t="s">
        <v>4202</v>
      </c>
      <c r="K3056" s="1" t="str">
        <f t="shared" si="197"/>
        <v>ㄈ</v>
      </c>
      <c r="L3056" s="1" t="str">
        <f t="shared" si="198"/>
        <v>ㄤ</v>
      </c>
      <c r="M3056" s="1" t="str">
        <f t="shared" si="196"/>
        <v/>
      </c>
      <c r="P3056" s="1" t="s">
        <v>20</v>
      </c>
      <c r="R3056" s="1" t="s">
        <v>4203</v>
      </c>
      <c r="V3056" s="1" t="s">
        <v>4210</v>
      </c>
      <c r="W3056" s="1" t="s">
        <v>4211</v>
      </c>
      <c r="AR3056" s="1" t="str">
        <f t="shared" si="195"/>
        <v>| [ㄈㄤ](ㄈㄤ.md) | [坊](坊.md) |  | fāng | [名]
1.街道、里巷。多用作街巷名。如：「街坊」。《北史．卷一五．魏諸宗室傳．昭成子孫傳》：「淮南人相率投附者三千餘家，置之城東汝水之側，名曰歸義坊。」唐．白居易〈寄張十八〉詩：「迢迢青槐街，相去八九坊。」
2.泛指市區中的商店。
3.較小規模的工作場所。如：「磨坊」、「工作坊」、「染坊」、「酒坊」。
4.紀念表彰人物或表示美觀的建築物。如：「牌坊」、「忠孝坊」、「貞節坊」。明．徐弘祖《徐霞客遊記．卷一〇上．滇遊日記十二》：「山門內有古坊，曰雲隱寺。」 |</v>
      </c>
    </row>
    <row r="3057" spans="1:44" hidden="1">
      <c r="A3057" s="1" t="s">
        <v>4212</v>
      </c>
      <c r="C3057" s="1">
        <v>1</v>
      </c>
      <c r="D3057" s="1" t="str">
        <f>"01701"</f>
        <v>01701</v>
      </c>
      <c r="E3057" s="1" t="s">
        <v>534</v>
      </c>
      <c r="F3057" s="1">
        <v>7</v>
      </c>
      <c r="G3057" s="1">
        <v>4</v>
      </c>
      <c r="H3057" s="1">
        <v>2</v>
      </c>
      <c r="I3057" s="1" t="s">
        <v>4202</v>
      </c>
      <c r="K3057" s="1" t="str">
        <f t="shared" si="197"/>
        <v>ㄈ</v>
      </c>
      <c r="L3057" s="1" t="str">
        <f t="shared" si="198"/>
        <v>ㄤ</v>
      </c>
      <c r="M3057" s="1" t="str">
        <f t="shared" si="196"/>
        <v/>
      </c>
      <c r="P3057" s="1" t="s">
        <v>110</v>
      </c>
      <c r="R3057" s="1" t="s">
        <v>4203</v>
      </c>
      <c r="V3057" s="1" t="s">
        <v>4213</v>
      </c>
      <c r="W3057" s="1" t="s">
        <v>4214</v>
      </c>
      <c r="AR3057" s="1" t="str">
        <f t="shared" si="195"/>
        <v>| [ㄈㄤ](ㄈㄤ.md) | [妨](妨.md) |  | fāng | 何妨的妨的又音。 |</v>
      </c>
    </row>
    <row r="3058" spans="1:44" hidden="1">
      <c r="A3058" s="1" t="s">
        <v>4215</v>
      </c>
      <c r="C3058" s="1">
        <v>1</v>
      </c>
      <c r="D3058" s="1" t="str">
        <f>"01702"</f>
        <v>01702</v>
      </c>
      <c r="E3058" s="1" t="s">
        <v>139</v>
      </c>
      <c r="F3058" s="1">
        <v>8</v>
      </c>
      <c r="G3058" s="1">
        <v>4</v>
      </c>
      <c r="H3058" s="1">
        <v>0</v>
      </c>
      <c r="I3058" s="1" t="s">
        <v>4202</v>
      </c>
      <c r="K3058" s="1" t="str">
        <f t="shared" si="197"/>
        <v>ㄈ</v>
      </c>
      <c r="L3058" s="1" t="str">
        <f t="shared" si="198"/>
        <v>ㄤ</v>
      </c>
      <c r="M3058" s="1" t="str">
        <f t="shared" si="196"/>
        <v/>
      </c>
      <c r="P3058" s="1" t="s">
        <v>20</v>
      </c>
      <c r="R3058" s="1" t="s">
        <v>4203</v>
      </c>
      <c r="V3058" s="1" t="s">
        <v>4216</v>
      </c>
      <c r="AR3058" s="1" t="str">
        <f t="shared" si="195"/>
        <v>| [ㄈㄤ](ㄈㄤ.md) | [枋](枋.md) |  | fāng | [名]
1.古代的一種樹木，木質堅硬，可製車。《說文解字．木部》：「枋，木。可作車。」
2.方形的木柱。明．徐光啟《農政全書．卷三三．蠶桑．蠶事圖譜》：「蠶架，閣蠶盤筐具也。以細枋四莖豎之，高可八九尺；上下以竹通作橫桄十層。」 |</v>
      </c>
    </row>
    <row r="3059" spans="1:44" hidden="1">
      <c r="A3059" s="1" t="s">
        <v>4217</v>
      </c>
      <c r="C3059" s="1">
        <v>1</v>
      </c>
      <c r="D3059" s="1" t="str">
        <f>"01703"</f>
        <v>01703</v>
      </c>
      <c r="E3059" s="1" t="s">
        <v>37</v>
      </c>
      <c r="F3059" s="1">
        <v>8</v>
      </c>
      <c r="G3059" s="1">
        <v>4</v>
      </c>
      <c r="H3059" s="1">
        <v>0</v>
      </c>
      <c r="I3059" s="1" t="s">
        <v>4202</v>
      </c>
      <c r="K3059" s="1" t="str">
        <f t="shared" si="197"/>
        <v>ㄈ</v>
      </c>
      <c r="L3059" s="1" t="str">
        <f t="shared" si="198"/>
        <v>ㄤ</v>
      </c>
      <c r="M3059" s="1" t="str">
        <f t="shared" si="196"/>
        <v/>
      </c>
      <c r="P3059" s="1" t="s">
        <v>20</v>
      </c>
      <c r="R3059" s="1" t="s">
        <v>4203</v>
      </c>
      <c r="V3059" s="1" t="s">
        <v>4218</v>
      </c>
      <c r="AR3059" s="1" t="str">
        <f t="shared" si="195"/>
        <v>| [ㄈㄤ](ㄈㄤ.md) | [芳](芳.md) |  | fāng | [名]
1.花草的香氣。《說文解字．艸部》：「芳，香艸。」清．段玉裁．注：「香艸當作艸香。」漢．武帝〈秋風辭〉：「蘭有秀兮菊有芳，懷佳人兮不能忘。」唐．柳宗元〈南中榮橘柚〉詩：「密林耀朱綠，晚歲有餘芳。」
2.香草、花草。如：「孤芳自賞」。唐．白居易〈賦得古原草送別〉詩：「遠芳侵古道，晴翠連荒城。」宋．羅願《爾雅翼．卷二．茝》：「王逸章句曰：『行清潔者佩芳。』」
3.比喻美好的德性或聲譽。如：「流芳百世」。
[形]
1.對人的敬稱。如：「芳翰」、「芳儀」、「芳名」。
2.美好的。如：「芳姿」、「芳辰」。南朝宋．劉鑠〈擬行行重行行詩〉：「芳年有華月，佳人無還期。」 |</v>
      </c>
    </row>
    <row r="3060" spans="1:44" hidden="1">
      <c r="A3060" s="1" t="s">
        <v>4219</v>
      </c>
      <c r="C3060" s="1">
        <v>1</v>
      </c>
      <c r="D3060" s="1" t="str">
        <f>"01704"</f>
        <v>01704</v>
      </c>
      <c r="E3060" s="1" t="s">
        <v>68</v>
      </c>
      <c r="F3060" s="1">
        <v>8</v>
      </c>
      <c r="G3060" s="1">
        <v>4</v>
      </c>
      <c r="H3060" s="1">
        <v>2</v>
      </c>
      <c r="I3060" s="1" t="s">
        <v>4202</v>
      </c>
      <c r="K3060" s="1" t="str">
        <f t="shared" si="197"/>
        <v>ㄈ</v>
      </c>
      <c r="L3060" s="1" t="str">
        <f t="shared" si="198"/>
        <v>ㄤ</v>
      </c>
      <c r="M3060" s="1" t="str">
        <f t="shared" si="196"/>
        <v/>
      </c>
      <c r="P3060" s="1" t="s">
        <v>110</v>
      </c>
      <c r="R3060" s="1" t="s">
        <v>4203</v>
      </c>
      <c r="V3060" s="1" t="s">
        <v>111</v>
      </c>
      <c r="W3060" s="1" t="s">
        <v>4220</v>
      </c>
      <c r="AR3060" s="1" t="str">
        <f t="shared" si="195"/>
        <v>| [ㄈㄤ](ㄈㄤ.md) | [肪](肪.md) |  | fāng | (一)之又音。 |</v>
      </c>
    </row>
    <row r="3061" spans="1:44" hidden="1">
      <c r="A3061" s="1" t="s">
        <v>4221</v>
      </c>
      <c r="C3061" s="1">
        <v>1</v>
      </c>
      <c r="D3061" s="1" t="str">
        <f>"01705"</f>
        <v>01705</v>
      </c>
      <c r="E3061" s="1" t="s">
        <v>55</v>
      </c>
      <c r="F3061" s="1">
        <v>12</v>
      </c>
      <c r="G3061" s="1">
        <v>4</v>
      </c>
      <c r="H3061" s="1">
        <v>0</v>
      </c>
      <c r="I3061" s="1" t="s">
        <v>4202</v>
      </c>
      <c r="K3061" s="1" t="str">
        <f t="shared" si="197"/>
        <v>ㄈ</v>
      </c>
      <c r="L3061" s="1" t="str">
        <f t="shared" si="198"/>
        <v>ㄤ</v>
      </c>
      <c r="M3061" s="1" t="str">
        <f t="shared" si="196"/>
        <v/>
      </c>
      <c r="P3061" s="1" t="s">
        <v>20</v>
      </c>
      <c r="R3061" s="1" t="s">
        <v>4203</v>
      </c>
      <c r="V3061" s="1" t="s">
        <v>4222</v>
      </c>
      <c r="AR3061" s="1" t="str">
        <f t="shared" si="195"/>
        <v>| [ㄈㄤ](ㄈㄤ.md) | [鈁](鈁.md) |  | fāng | [名]
古時一種方口的量器。《說文解字．金部》：「鈁，方鐘也。」 |</v>
      </c>
    </row>
    <row r="3062" spans="1:44" hidden="1">
      <c r="A3062" s="1" t="s">
        <v>4264</v>
      </c>
      <c r="C3062" s="1">
        <v>1</v>
      </c>
      <c r="D3062" s="1" t="str">
        <f>"01723"</f>
        <v>01723</v>
      </c>
      <c r="E3062" s="1" t="s">
        <v>4265</v>
      </c>
      <c r="F3062" s="1">
        <v>4</v>
      </c>
      <c r="G3062" s="1">
        <v>3</v>
      </c>
      <c r="H3062" s="1">
        <v>0</v>
      </c>
      <c r="I3062" s="1" t="s">
        <v>4266</v>
      </c>
      <c r="K3062" s="1" t="str">
        <f t="shared" si="197"/>
        <v>ㄈ</v>
      </c>
      <c r="L3062" s="1" t="str">
        <f t="shared" si="198"/>
        <v>ㄥ</v>
      </c>
      <c r="M3062" s="1" t="str">
        <f t="shared" si="196"/>
        <v/>
      </c>
      <c r="P3062" s="1" t="s">
        <v>20</v>
      </c>
      <c r="R3062" s="1" t="s">
        <v>4267</v>
      </c>
      <c r="V3062" s="1" t="s">
        <v>4268</v>
      </c>
      <c r="AR3062" s="1" t="str">
        <f t="shared" si="195"/>
        <v>| [ㄈㄥ](ㄈㄥ.md) | [丰](丰.md) |  | fēng | [形]
1.草木茂盛的樣子。《說文解字．生部》：「丰，艸盛丰丰也。」
2.容貌美好或豐滿的樣子。《詩經．鄭風．丰》：「子之丰兮，俟我乎巷兮。」
[名]
1.神態、風韻。通「風」。如：「丰姿」、「丰采」、「丰儀」。
2.《詩經．鄭風》的篇名。共四章。根據〈詩序〉：「〈丰〉，刺亂也。」或亦指女子初不欲嫁其人，既乃悔而從之之詩。首章三句為：「子之丰兮，俟我乎巷兮；悔予不送兮。」 |</v>
      </c>
    </row>
    <row r="3063" spans="1:44" hidden="1">
      <c r="A3063" s="1" t="s">
        <v>4269</v>
      </c>
      <c r="C3063" s="1">
        <v>1</v>
      </c>
      <c r="D3063" s="1" t="str">
        <f>"01724"</f>
        <v>01724</v>
      </c>
      <c r="E3063" s="1" t="s">
        <v>1595</v>
      </c>
      <c r="F3063" s="1">
        <v>9</v>
      </c>
      <c r="G3063" s="1">
        <v>6</v>
      </c>
      <c r="H3063" s="1">
        <v>0</v>
      </c>
      <c r="I3063" s="1" t="s">
        <v>4266</v>
      </c>
      <c r="K3063" s="1" t="str">
        <f t="shared" si="197"/>
        <v>ㄈ</v>
      </c>
      <c r="L3063" s="1" t="str">
        <f t="shared" si="198"/>
        <v>ㄥ</v>
      </c>
      <c r="M3063" s="1" t="str">
        <f t="shared" si="196"/>
        <v/>
      </c>
      <c r="P3063" s="1" t="s">
        <v>20</v>
      </c>
      <c r="R3063" s="1" t="s">
        <v>4267</v>
      </c>
      <c r="V3063" s="1" t="s">
        <v>4270</v>
      </c>
      <c r="AR3063" s="1" t="str">
        <f t="shared" si="195"/>
        <v>| [ㄈㄥ](ㄈㄥ.md) | [封](封.md) |  | fēng | [名]
1.包好的或用來裝東西的紙袋。如：「賞封」、「信封」、「拆封」。
2.量詞。計算包裹或裝上封套物件的單位。如：「一封信」。唐．高適〈送李少府貶峽中王少府貶長沙〉詩：「巫峽啼猿數行淚，衡陽歸雁幾封書。」《紅樓夢》第二回：「至次日早有雨村遣人送了兩封銀子……答謝甄家娘子。」
3.疆界。《左傳．僖公三十年》：「（晉）又欲肆其西封。」晉．杜預．注：「封，疆也。」
4.姓。唐代有封演。
[動]
1.密閉、緘合。如：「大雪封山」、「封住洞口」。《後漢書．卷六．順帝紀》：「而遠獻大珠，以求幸媚，今封以還之。」唐．白居易〈秦中吟．買花〉：「水灑復泥封，移來色如故。」
2.封閉、禁止使用。如：「查封」。《史記．卷六．秦始皇本紀》：「沛公遂入咸陽，封宮室府庫，還軍霸上。」
3.限制。如：「故步自封」。
4.舊時帝王以土地、爵位、名號授給王族或有功的人。《孟子．告子下》：「周公之封於魯，為方百里也。」《史記．卷七七．魏公子傳》：「安釐王即位，封公子為信陵君。」
5.聚土築墳。《易經．繫辭下》：「古之葬者，厚衣之以薪，葬之中野，不封不樹。」唐．孔穎達．正義：「不積土為墳，是不封也。」《禮記．樂記》：「封王子比干之墓，釋箕子之囚。」
6.天子築壇祭天。《管子．地數》：「封於泰山，禪於梁父。封禪之王，七十二家。」
7.富厚、增加。《國語．楚語上》：「是聚民利以自封而瘠民也。」三國吳．韋昭．注：「封，厚也。」唐．杜甫〈風疾舟中伏枕書懷三十六韻奉呈湖南親友〉詩：「春草封歸恨，源花費獨尋。」
8.圍棋中以破壞對手的通道而對其實施封鎖的下法。 |</v>
      </c>
    </row>
    <row r="3064" spans="1:44" hidden="1">
      <c r="A3064" s="1" t="s">
        <v>4271</v>
      </c>
      <c r="C3064" s="1">
        <v>1</v>
      </c>
      <c r="D3064" s="1" t="str">
        <f>"01725"</f>
        <v>01725</v>
      </c>
      <c r="E3064" s="1" t="s">
        <v>518</v>
      </c>
      <c r="F3064" s="1">
        <v>13</v>
      </c>
      <c r="G3064" s="1">
        <v>9</v>
      </c>
      <c r="H3064" s="1">
        <v>0</v>
      </c>
      <c r="I3064" s="1" t="s">
        <v>4266</v>
      </c>
      <c r="K3064" s="1" t="str">
        <f t="shared" si="197"/>
        <v>ㄈ</v>
      </c>
      <c r="L3064" s="1" t="str">
        <f t="shared" si="198"/>
        <v>ㄥ</v>
      </c>
      <c r="M3064" s="1" t="str">
        <f t="shared" si="196"/>
        <v/>
      </c>
      <c r="P3064" s="1" t="s">
        <v>20</v>
      </c>
      <c r="R3064" s="1" t="s">
        <v>4267</v>
      </c>
      <c r="V3064" s="1" t="s">
        <v>4272</v>
      </c>
      <c r="AR3064" s="1" t="str">
        <f t="shared" si="195"/>
        <v>| [ㄈㄥ](ㄈㄥ.md) | [犎](犎.md) |  | fēng | [名]
犎牛：古代一種背上肉隆起像駱駝的野牛。《爾雅．釋畜》「犦牛」句下晉．郭璞．注：「即犎牛也。領上肉犦胅起，高二尺許，狀如橐駝，肉鞍一邊，健行者日三百餘里，今交州合浦徐聞縣出此牛。」 |</v>
      </c>
    </row>
    <row r="3065" spans="1:44" hidden="1">
      <c r="A3065" s="1" t="s">
        <v>4273</v>
      </c>
      <c r="C3065" s="1">
        <v>1</v>
      </c>
      <c r="D3065" s="1" t="str">
        <f>"01726"</f>
        <v>01726</v>
      </c>
      <c r="E3065" s="1" t="s">
        <v>37</v>
      </c>
      <c r="F3065" s="1">
        <v>13</v>
      </c>
      <c r="G3065" s="1">
        <v>9</v>
      </c>
      <c r="H3065" s="1">
        <v>0</v>
      </c>
      <c r="I3065" s="1" t="s">
        <v>4266</v>
      </c>
      <c r="K3065" s="1" t="str">
        <f t="shared" si="197"/>
        <v>ㄈ</v>
      </c>
      <c r="L3065" s="1" t="str">
        <f t="shared" si="198"/>
        <v>ㄥ</v>
      </c>
      <c r="M3065" s="1" t="str">
        <f t="shared" si="196"/>
        <v/>
      </c>
      <c r="P3065" s="1" t="s">
        <v>20</v>
      </c>
      <c r="R3065" s="1" t="s">
        <v>4267</v>
      </c>
      <c r="V3065" s="1" t="s">
        <v>4274</v>
      </c>
      <c r="AR3065" s="1" t="str">
        <f t="shared" si="195"/>
        <v>| [ㄈㄥ](ㄈㄥ.md) | [葑](葑.md) |  | fēng | [名]
植物名。十字花科蕓薹屬，「蕪菁」、「蔓菁」之古稱。《說文解字．艸部》：「葑，須從。」段玉裁注引〈坊記〉：「葑，蔓菁也，陳宋之閒謂之葑。」也稱為「蔓菁」。參見「蕪菁」、「蔓菁」條。 |</v>
      </c>
    </row>
    <row r="3066" spans="1:44" hidden="1">
      <c r="A3066" s="1" t="s">
        <v>4275</v>
      </c>
      <c r="C3066" s="1">
        <v>1</v>
      </c>
      <c r="D3066" s="1" t="str">
        <f>"01727"</f>
        <v>01727</v>
      </c>
      <c r="E3066" s="1" t="s">
        <v>1161</v>
      </c>
      <c r="F3066" s="1">
        <v>9</v>
      </c>
      <c r="G3066" s="1">
        <v>0</v>
      </c>
      <c r="H3066" s="1">
        <v>1</v>
      </c>
      <c r="I3066" s="1" t="s">
        <v>4266</v>
      </c>
      <c r="K3066" s="1" t="str">
        <f t="shared" si="197"/>
        <v>ㄈ</v>
      </c>
      <c r="L3066" s="1" t="str">
        <f t="shared" si="198"/>
        <v>ㄥ</v>
      </c>
      <c r="M3066" s="1" t="str">
        <f t="shared" si="196"/>
        <v/>
      </c>
      <c r="P3066" s="1" t="s">
        <v>20</v>
      </c>
      <c r="R3066" s="1" t="s">
        <v>4267</v>
      </c>
      <c r="V3066" s="1" t="s">
        <v>4276</v>
      </c>
      <c r="W3066" s="1" t="s">
        <v>4277</v>
      </c>
      <c r="AR3066" s="1" t="str">
        <f t="shared" si="195"/>
        <v>| [ㄈㄥ](ㄈㄥ.md) | [風](風.md) |  | fēng | [名]
1.流動的空氣。如：「春風」、「秋風」、「樹欲靜而風不止，子欲養而親不待。」
2.景象。如：「風光」、「風景」。
3.習氣、習俗。如：「校風」、「移風易俗」、「傷風敗俗」、「世風日下，人心不古。」
4.神態、作為、氣韻。如：「作風」、「風度」、「風格」。《魏書．卷四十五．杜銓傳》：「銓學涉有長者風，與盧玄、高允等同被徵為中書博士。」
5.消息。如：「口風」、「通風報信」、「聞風而來」。《水滸傳》第四九回：「顧大嫂道：『伯伯，你的樂阿舅透風與我們了。』」
6.事端。如：「風波」。
7.榮寵。如：「爭風吃醋」。
8.《詩經》六義之一。指《詩經．國風》中收集的民俗歌謠。《詩經．大序》：「故《詩》有六義焉，一曰風，二曰賦，三曰比，四曰興，五曰雅，六日頌。」
9.泛指民謠、歌謠。《漢書．卷三〇．藝文志》：「自孝武立樂府而采歌謠，於是有代趙之謳，秦楚之風。」南朝梁．劉勰《文心雕龍．樂府》：「匹夫庶婦，謳吟土風，詩官採言，樂盲被律。」
10.中醫上稱某些病症為「風」。如：「風溼」、「風寒」、「羊癲風」。
11.姓。如春秋時楚國有風胡子。
12.二一四部首之一。
[動]
1.借風力的吹拂使東西乾燥或潔淨。如：「風乾」、「風雞」、「晒乾風淨」。
2.動物雌雄相誘。如：「風馬牛不相及」。
[形]
傳說沒有根據的。如：「風聞」、「風言風語」。 |</v>
      </c>
    </row>
    <row r="3067" spans="1:44" hidden="1">
      <c r="A3067" s="1" t="s">
        <v>4278</v>
      </c>
      <c r="C3067" s="1">
        <v>1</v>
      </c>
      <c r="D3067" s="1" t="str">
        <f>"01728"</f>
        <v>01728</v>
      </c>
      <c r="E3067" s="1" t="s">
        <v>139</v>
      </c>
      <c r="F3067" s="1">
        <v>13</v>
      </c>
      <c r="G3067" s="1">
        <v>9</v>
      </c>
      <c r="H3067" s="1">
        <v>0</v>
      </c>
      <c r="I3067" s="1" t="s">
        <v>4266</v>
      </c>
      <c r="K3067" s="1" t="str">
        <f t="shared" si="197"/>
        <v>ㄈ</v>
      </c>
      <c r="L3067" s="1" t="str">
        <f t="shared" si="198"/>
        <v>ㄥ</v>
      </c>
      <c r="M3067" s="1" t="str">
        <f t="shared" si="196"/>
        <v/>
      </c>
      <c r="P3067" s="1" t="s">
        <v>20</v>
      </c>
      <c r="R3067" s="1" t="s">
        <v>4267</v>
      </c>
      <c r="V3067" s="1" t="s">
        <v>4279</v>
      </c>
      <c r="AR3067" s="1" t="str">
        <f t="shared" si="195"/>
        <v>| [ㄈㄥ](ㄈㄥ.md) | [楓](楓.md) |  | fēng | [名]_x000D_
植物名：（1）包括「三角楓」、「五角楓」、「青楓」等一群落葉喬木之俗稱。葉對生，掌狀裂。繖房或圓錐花序。翅果二枚相連，張開成鈍角或銳角。也稱為「槭」、「槭樹」。（2）楓香之古稱，參見「楓香」條。秋間葉落前，葉色由黃而紅，甚為美觀，故常栽培為庭園樹。俗稱為「楓樹」。 |</v>
      </c>
    </row>
    <row r="3068" spans="1:44" hidden="1">
      <c r="A3068" s="1" t="s">
        <v>4280</v>
      </c>
      <c r="C3068" s="1">
        <v>1</v>
      </c>
      <c r="D3068" s="1" t="str">
        <f>"01729"</f>
        <v>01729</v>
      </c>
      <c r="E3068" s="1" t="s">
        <v>40</v>
      </c>
      <c r="F3068" s="1">
        <v>14</v>
      </c>
      <c r="G3068" s="1">
        <v>9</v>
      </c>
      <c r="H3068" s="1">
        <v>0</v>
      </c>
      <c r="I3068" s="1" t="s">
        <v>4266</v>
      </c>
      <c r="K3068" s="1" t="str">
        <f t="shared" si="197"/>
        <v>ㄈ</v>
      </c>
      <c r="L3068" s="1" t="str">
        <f t="shared" si="198"/>
        <v>ㄥ</v>
      </c>
      <c r="M3068" s="1" t="str">
        <f t="shared" si="196"/>
        <v/>
      </c>
      <c r="P3068" s="1" t="s">
        <v>20</v>
      </c>
      <c r="R3068" s="1" t="s">
        <v>4267</v>
      </c>
      <c r="V3068" s="1" t="s">
        <v>4281</v>
      </c>
      <c r="AR3068" s="1" t="str">
        <f t="shared" si="195"/>
        <v>| [ㄈㄥ](ㄈㄥ.md) | [瘋](瘋.md) |  | fēng | [形]
精神失常的、不正常的。如：「瘋子」、「瘋言瘋語」。
[動]
癲狂、神經錯亂。《紅樓夢》第四二回：「你瞧瞧這寶丫頭瘋了，審問我什麼？」 |</v>
      </c>
    </row>
    <row r="3069" spans="1:44" hidden="1">
      <c r="A3069" s="1" t="s">
        <v>4282</v>
      </c>
      <c r="C3069" s="1">
        <v>1</v>
      </c>
      <c r="D3069" s="1" t="str">
        <f>"01730"</f>
        <v>01730</v>
      </c>
      <c r="E3069" s="1" t="s">
        <v>331</v>
      </c>
      <c r="F3069" s="1">
        <v>16</v>
      </c>
      <c r="G3069" s="1">
        <v>9</v>
      </c>
      <c r="H3069" s="1">
        <v>2</v>
      </c>
      <c r="I3069" s="1" t="s">
        <v>4266</v>
      </c>
      <c r="K3069" s="1" t="str">
        <f t="shared" si="197"/>
        <v>ㄈ</v>
      </c>
      <c r="L3069" s="1" t="str">
        <f t="shared" si="198"/>
        <v>ㄥ</v>
      </c>
      <c r="M3069" s="1" t="str">
        <f t="shared" si="196"/>
        <v/>
      </c>
      <c r="P3069" s="1" t="s">
        <v>110</v>
      </c>
      <c r="R3069" s="1" t="s">
        <v>4267</v>
      </c>
      <c r="V3069" s="1" t="s">
        <v>111</v>
      </c>
      <c r="W3069" s="1" t="s">
        <v>4283</v>
      </c>
      <c r="AR3069" s="1" t="str">
        <f t="shared" si="195"/>
        <v>| [ㄈㄥ](ㄈㄥ.md) | [諷](諷.md) |  | fēng | (一)之又音。 |</v>
      </c>
    </row>
    <row r="3070" spans="1:44" hidden="1">
      <c r="A3070" s="1" t="s">
        <v>4284</v>
      </c>
      <c r="C3070" s="1">
        <v>1</v>
      </c>
      <c r="D3070" s="1" t="str">
        <f>"01731"</f>
        <v>01731</v>
      </c>
      <c r="E3070" s="1" t="s">
        <v>190</v>
      </c>
      <c r="F3070" s="1">
        <v>10</v>
      </c>
      <c r="G3070" s="1">
        <v>7</v>
      </c>
      <c r="H3070" s="1">
        <v>0</v>
      </c>
      <c r="I3070" s="1" t="s">
        <v>4266</v>
      </c>
      <c r="K3070" s="1" t="str">
        <f t="shared" si="197"/>
        <v>ㄈ</v>
      </c>
      <c r="L3070" s="1" t="str">
        <f t="shared" si="198"/>
        <v>ㄥ</v>
      </c>
      <c r="M3070" s="1" t="str">
        <f t="shared" si="196"/>
        <v/>
      </c>
      <c r="P3070" s="1" t="s">
        <v>20</v>
      </c>
      <c r="R3070" s="1" t="s">
        <v>4267</v>
      </c>
      <c r="V3070" s="1" t="s">
        <v>4285</v>
      </c>
      <c r="AR3070" s="1" t="str">
        <f t="shared" si="195"/>
        <v>| [ㄈㄥ](ㄈㄥ.md) | [峰](峰.md) |  | fēng | [名]
1.高而尖的山頭。如：「頂峰」、「高峰」、「顛峰」。宋．蘇軾〈題西林壁〉詩：「橫看成嶺側成峰，遠近高低總不同。」
2.形似山頭高起的部分。如：「駝峰」、「波峰」。 |</v>
      </c>
    </row>
    <row r="3071" spans="1:44" hidden="1">
      <c r="A3071" s="1" t="s">
        <v>4286</v>
      </c>
      <c r="C3071" s="1">
        <v>1</v>
      </c>
      <c r="D3071" s="1" t="str">
        <f>"01732"</f>
        <v>01732</v>
      </c>
      <c r="E3071" s="1" t="s">
        <v>336</v>
      </c>
      <c r="F3071" s="1">
        <v>11</v>
      </c>
      <c r="G3071" s="1">
        <v>7</v>
      </c>
      <c r="H3071" s="1">
        <v>0</v>
      </c>
      <c r="I3071" s="1" t="s">
        <v>4266</v>
      </c>
      <c r="K3071" s="1" t="str">
        <f t="shared" si="197"/>
        <v>ㄈ</v>
      </c>
      <c r="L3071" s="1" t="str">
        <f t="shared" si="198"/>
        <v>ㄥ</v>
      </c>
      <c r="M3071" s="1" t="str">
        <f t="shared" si="196"/>
        <v/>
      </c>
      <c r="P3071" s="1" t="s">
        <v>20</v>
      </c>
      <c r="R3071" s="1" t="s">
        <v>4267</v>
      </c>
      <c r="V3071" s="1" t="s">
        <v>4287</v>
      </c>
      <c r="AR3071" s="1" t="str">
        <f t="shared" si="195"/>
        <v>| [ㄈㄥ](ㄈㄥ.md) | [烽](烽.md) |  | fēng | [名]
古代邊防警報、求援用的煙火信號。《史記．卷一一七．司馬相如傳》：「夫邊郡之士，聞烽舉燧燔，皆攝弓而馳，荷兵而走。」唐．杜甫〈秦州雜詩〉二〇首之一八：「警急烽常報，傳聲檄屢飛。」 |</v>
      </c>
    </row>
    <row r="3072" spans="1:44" hidden="1">
      <c r="A3072" s="1" t="s">
        <v>4288</v>
      </c>
      <c r="C3072" s="1">
        <v>1</v>
      </c>
      <c r="D3072" s="1" t="str">
        <f>"01733"</f>
        <v>01733</v>
      </c>
      <c r="E3072" s="1" t="s">
        <v>679</v>
      </c>
      <c r="F3072" s="1">
        <v>13</v>
      </c>
      <c r="G3072" s="1">
        <v>7</v>
      </c>
      <c r="H3072" s="1">
        <v>0</v>
      </c>
      <c r="I3072" s="1" t="s">
        <v>4266</v>
      </c>
      <c r="K3072" s="1" t="str">
        <f t="shared" si="197"/>
        <v>ㄈ</v>
      </c>
      <c r="L3072" s="1" t="str">
        <f t="shared" si="198"/>
        <v>ㄥ</v>
      </c>
      <c r="M3072" s="1" t="str">
        <f t="shared" si="196"/>
        <v/>
      </c>
      <c r="P3072" s="1" t="s">
        <v>20</v>
      </c>
      <c r="R3072" s="1" t="s">
        <v>4267</v>
      </c>
      <c r="V3072" s="1" t="s">
        <v>4289</v>
      </c>
      <c r="AR3072" s="1" t="str">
        <f t="shared" si="195"/>
        <v>| [ㄈㄥ](ㄈㄥ.md) | [蜂](蜂.md) |  | fēng | [名]
昆蟲綱膜翅目蜂類的泛稱。共含六科，約一萬二千多種。體長約一至三公分，會飛，多有毒刺，能蜇人，常群居一起。較常見的有蜜蜂、黃蜂等。 |</v>
      </c>
    </row>
    <row r="3073" spans="1:44" hidden="1">
      <c r="A3073" s="1" t="s">
        <v>4290</v>
      </c>
      <c r="C3073" s="1">
        <v>1</v>
      </c>
      <c r="D3073" s="1" t="str">
        <f>"01734"</f>
        <v>01734</v>
      </c>
      <c r="E3073" s="1" t="s">
        <v>55</v>
      </c>
      <c r="F3073" s="1">
        <v>15</v>
      </c>
      <c r="G3073" s="1">
        <v>7</v>
      </c>
      <c r="H3073" s="1">
        <v>0</v>
      </c>
      <c r="I3073" s="1" t="s">
        <v>4266</v>
      </c>
      <c r="K3073" s="1" t="str">
        <f t="shared" si="197"/>
        <v>ㄈ</v>
      </c>
      <c r="L3073" s="1" t="str">
        <f t="shared" si="198"/>
        <v>ㄥ</v>
      </c>
      <c r="M3073" s="1" t="str">
        <f t="shared" si="196"/>
        <v/>
      </c>
      <c r="P3073" s="1" t="s">
        <v>20</v>
      </c>
      <c r="R3073" s="1" t="s">
        <v>4267</v>
      </c>
      <c r="V3073" s="1" t="s">
        <v>4291</v>
      </c>
      <c r="AR3073" s="1" t="str">
        <f t="shared" si="195"/>
        <v>| [ㄈㄥ](ㄈㄥ.md) | [鋒](鋒.md) |  | fēng | [名]
1.兵器銳利的部分。如：「刀鋒」、「劍鋒」。
2.泛指器物的尖端部分。如：「筆鋒」、「針鋒」。
3.借指刀、劍等兵器。《史記．卷九二．淮陰侯傳》：「且天下銳精持鋒欲為陛下所為者甚眾，顧力不能耳。」晉．陸機〈從軍行〉：「飛鋒無絕影，鳴鏑自相和。」
4.軍隊的前列或在前領導的人。如：「先鋒」、「前鋒」。
5.銳利的情勢。如：「詞鋒」、「禪鋒」。《史記．卷九二．淮陰侯傳》：「此乘勝而去國遠鬥，其鋒不可當。」
6.氣象學上指密度、溫度、溼度等性質不同的兩氣團間之交界面或交替帶。如：「冷鋒」、「暖鋒」。
[形]
銳利的。如：「鋒刃」。 |</v>
      </c>
    </row>
    <row r="3074" spans="1:44" hidden="1">
      <c r="A3074" s="1" t="s">
        <v>4292</v>
      </c>
      <c r="C3074" s="1">
        <v>1</v>
      </c>
      <c r="D3074" s="1" t="str">
        <f>"01735"</f>
        <v>01735</v>
      </c>
      <c r="E3074" s="1" t="s">
        <v>4293</v>
      </c>
      <c r="F3074" s="1">
        <v>18</v>
      </c>
      <c r="G3074" s="1">
        <v>11</v>
      </c>
      <c r="H3074" s="1">
        <v>0</v>
      </c>
      <c r="I3074" s="1" t="s">
        <v>4266</v>
      </c>
      <c r="K3074" s="1" t="str">
        <f t="shared" si="197"/>
        <v>ㄈ</v>
      </c>
      <c r="L3074" s="1" t="str">
        <f t="shared" si="198"/>
        <v>ㄥ</v>
      </c>
      <c r="M3074" s="1" t="str">
        <f t="shared" si="196"/>
        <v/>
      </c>
      <c r="P3074" s="1" t="s">
        <v>20</v>
      </c>
      <c r="R3074" s="1" t="s">
        <v>4267</v>
      </c>
      <c r="V3074" s="1" t="s">
        <v>4294</v>
      </c>
      <c r="AR3074" s="1" t="str">
        <f t="shared" si="195"/>
        <v>| [ㄈㄥ](ㄈㄥ.md) | [豐](豐.md) |  | fēng | [形]
1.厚、多。如：「豐富」、「豐衣足食」。《文選．陸機．辯亡論下》：「其器利，其財豐。」
2.大。如：「豐功偉業」。《列子．楊朱》：「豐屋美服，厚味姣色。」
3.肥美、飽滿。如：「豐腴」、「豐滿」。唐．韓愈〈送李愿歸盤谷序〉：「入耳而不煩，曲眉豐頰。」
4.富饒。如：「豐饒」。《文選．張衡．西京賦》：「地沃野豐，百物殷阜。」《南史．卷五十四．梁簡文帝諸子傳．南郡王大連傳》：「會稽豐沃，糧仗山積。」
5.茂盛。宋．歐陽修〈秋聲賦〉：「豐草綠縟而爭茂，佳木蔥蘢而可悅。」
[動]
使厚多。《國語．晉語一》：「義以生利，利以豐民。」
[名]
1.古代用以承酒觶的禮器，形似豆而較低。《儀禮．公食大夫》：「飲酒實于觶，加于豐。」
2.《易經》卦名。六十四卦之一。離（☲）下震（☳）上。象大之義。
3.姓。如宋代有豐稷。 |</v>
      </c>
    </row>
    <row r="3075" spans="1:44" hidden="1">
      <c r="A3075" s="1" t="s">
        <v>4295</v>
      </c>
      <c r="C3075" s="1">
        <v>1</v>
      </c>
      <c r="D3075" s="1" t="str">
        <f>"01736"</f>
        <v>01736</v>
      </c>
      <c r="E3075" s="1" t="s">
        <v>129</v>
      </c>
      <c r="F3075" s="1">
        <v>21</v>
      </c>
      <c r="G3075" s="1">
        <v>18</v>
      </c>
      <c r="H3075" s="1">
        <v>0</v>
      </c>
      <c r="I3075" s="1" t="s">
        <v>4266</v>
      </c>
      <c r="K3075" s="1" t="str">
        <f t="shared" si="197"/>
        <v>ㄈ</v>
      </c>
      <c r="L3075" s="1" t="str">
        <f t="shared" si="198"/>
        <v>ㄥ</v>
      </c>
      <c r="M3075" s="1" t="str">
        <f t="shared" ref="M3075:M3094" si="199">MID(I3075, 3, 1)</f>
        <v/>
      </c>
      <c r="P3075" s="1" t="s">
        <v>20</v>
      </c>
      <c r="R3075" s="1" t="s">
        <v>4267</v>
      </c>
      <c r="V3075" s="1" t="s">
        <v>4296</v>
      </c>
      <c r="AR3075" s="1" t="str">
        <f t="shared" ref="AR3075:AR3138" si="200">"| ["&amp;I3075&amp;"]("&amp;I3075&amp;".md) | ["&amp;A3075&amp;"]("&amp;A3075&amp;".md) | "&amp;" | "&amp;R3075&amp;" | "&amp;V3075&amp;" |"</f>
        <v>| [ㄈㄥ](ㄈㄥ.md) | [灃](灃.md) |  | fēng | 參見「灃水」條。 |</v>
      </c>
    </row>
    <row r="3076" spans="1:44" hidden="1">
      <c r="A3076" s="1" t="s">
        <v>4297</v>
      </c>
      <c r="C3076" s="1">
        <v>1</v>
      </c>
      <c r="D3076" s="1" t="str">
        <f>"01737"</f>
        <v>01737</v>
      </c>
      <c r="E3076" s="1" t="s">
        <v>256</v>
      </c>
      <c r="F3076" s="1">
        <v>21</v>
      </c>
      <c r="G3076" s="1">
        <v>18</v>
      </c>
      <c r="H3076" s="1">
        <v>0</v>
      </c>
      <c r="I3076" s="1" t="s">
        <v>4266</v>
      </c>
      <c r="K3076" s="1" t="str">
        <f t="shared" si="197"/>
        <v>ㄈ</v>
      </c>
      <c r="L3076" s="1" t="str">
        <f t="shared" si="198"/>
        <v>ㄥ</v>
      </c>
      <c r="M3076" s="1" t="str">
        <f t="shared" si="199"/>
        <v/>
      </c>
      <c r="P3076" s="1" t="s">
        <v>20</v>
      </c>
      <c r="R3076" s="1" t="s">
        <v>4267</v>
      </c>
      <c r="V3076" s="1" t="s">
        <v>4298</v>
      </c>
      <c r="AR3076" s="1" t="str">
        <f t="shared" si="200"/>
        <v>| [ㄈㄥ](ㄈㄥ.md) | [酆](酆.md) |  | fēng | [名]_x000D_
1.地名。周文王所都，故址位於今大陸地區陝西省西安市西南部。_x000D_
2.姓。如宋代有酆去奢。 |</v>
      </c>
    </row>
    <row r="3077" spans="1:44" hidden="1">
      <c r="A3077" s="1" t="s">
        <v>4337</v>
      </c>
      <c r="C3077" s="1">
        <v>1</v>
      </c>
      <c r="D3077" s="1" t="str">
        <f>"01753"</f>
        <v>01753</v>
      </c>
      <c r="E3077" s="1" t="s">
        <v>563</v>
      </c>
      <c r="F3077" s="1">
        <v>4</v>
      </c>
      <c r="G3077" s="1">
        <v>1</v>
      </c>
      <c r="H3077" s="1">
        <v>1</v>
      </c>
      <c r="I3077" s="1" t="s">
        <v>4338</v>
      </c>
      <c r="K3077" s="1" t="str">
        <f t="shared" si="197"/>
        <v>ㄈ</v>
      </c>
      <c r="L3077" s="1" t="str">
        <f t="shared" si="198"/>
        <v>ㄨ</v>
      </c>
      <c r="M3077" s="1" t="str">
        <f t="shared" si="199"/>
        <v/>
      </c>
      <c r="P3077" s="1" t="s">
        <v>20</v>
      </c>
      <c r="R3077" s="1" t="s">
        <v>4339</v>
      </c>
      <c r="V3077" s="1" t="s">
        <v>4340</v>
      </c>
      <c r="W3077" s="1" t="s">
        <v>4341</v>
      </c>
      <c r="AR3077" s="1" t="str">
        <f t="shared" si="200"/>
        <v>| [ㄈㄨ](ㄈㄨ.md) | [夫](夫.md) |  | fū | [名]
1.古代稱成年男子為「夫」，後泛稱男子。《說文解字．夫部》：「夫，丈夫也。」清．徐灝．箋：「男子已冠之偁也。」如：「征夫」、「懦夫」。《孟子．萬章下》：「耕者之所獲，一夫百畝。」
2.泛指一般人。如：「千夫所指」、「萬夫莫敵」、「匹夫」。
3.夫婿。如：「姊夫」、「前夫」、「亡夫」。《樂府詩集．卷二十八．相和歌辭三．無名氏．陌上桑詩》：「使君自有婦，羅敷自有夫。」
4.從事某種勞動的人。如：「漁夫」、「農夫」、「車夫」、「挑夫」、「樵夫」。 |</v>
      </c>
    </row>
    <row r="3078" spans="1:44" hidden="1">
      <c r="A3078" s="1" t="s">
        <v>4342</v>
      </c>
      <c r="C3078" s="1">
        <v>1</v>
      </c>
      <c r="D3078" s="1" t="str">
        <f>"01754"</f>
        <v>01754</v>
      </c>
      <c r="E3078" s="1" t="s">
        <v>114</v>
      </c>
      <c r="F3078" s="1">
        <v>6</v>
      </c>
      <c r="G3078" s="1">
        <v>4</v>
      </c>
      <c r="H3078" s="1">
        <v>0</v>
      </c>
      <c r="I3078" s="1" t="s">
        <v>4338</v>
      </c>
      <c r="K3078" s="1" t="str">
        <f t="shared" si="197"/>
        <v>ㄈ</v>
      </c>
      <c r="L3078" s="1" t="str">
        <f t="shared" si="198"/>
        <v>ㄨ</v>
      </c>
      <c r="M3078" s="1" t="str">
        <f t="shared" si="199"/>
        <v/>
      </c>
      <c r="P3078" s="1" t="s">
        <v>20</v>
      </c>
      <c r="R3078" s="1" t="s">
        <v>4339</v>
      </c>
      <c r="V3078" s="1" t="s">
        <v>4343</v>
      </c>
      <c r="AR3078" s="1" t="str">
        <f t="shared" si="200"/>
        <v>| [ㄈㄨ](ㄈㄨ.md) | [伕](伕.md) |  | fū | [名]
任勞役、做粗重工作的人。同「夫」。如：「車伕」、「力伕」。 |</v>
      </c>
    </row>
    <row r="3079" spans="1:44" hidden="1">
      <c r="A3079" s="1" t="s">
        <v>4344</v>
      </c>
      <c r="C3079" s="1">
        <v>1</v>
      </c>
      <c r="D3079" s="1" t="str">
        <f>"01755"</f>
        <v>01755</v>
      </c>
      <c r="E3079" s="1" t="s">
        <v>37</v>
      </c>
      <c r="F3079" s="1">
        <v>11</v>
      </c>
      <c r="G3079" s="1">
        <v>7</v>
      </c>
      <c r="H3079" s="1">
        <v>0</v>
      </c>
      <c r="I3079" s="1" t="s">
        <v>4338</v>
      </c>
      <c r="K3079" s="1" t="str">
        <f t="shared" si="197"/>
        <v>ㄈ</v>
      </c>
      <c r="L3079" s="1" t="str">
        <f t="shared" si="198"/>
        <v>ㄨ</v>
      </c>
      <c r="M3079" s="1" t="str">
        <f t="shared" si="199"/>
        <v/>
      </c>
      <c r="P3079" s="1" t="s">
        <v>20</v>
      </c>
      <c r="R3079" s="1" t="s">
        <v>4339</v>
      </c>
      <c r="V3079" s="1" t="s">
        <v>4345</v>
      </c>
      <c r="AR3079" s="1" t="str">
        <f t="shared" si="200"/>
        <v>| [ㄈㄨ](ㄈㄨ.md) | [荴](荴.md) |  | fū | [動]
飄散。《漢書．卷九七．外戚傳上．孝武李夫人傳》：「函荾荴以俟風兮，芳雜襲以彌章。」顏師古注引孟康曰：「夫人之色如春華含荾敷散，以待風也。」 |</v>
      </c>
    </row>
    <row r="3080" spans="1:44" hidden="1">
      <c r="A3080" s="1" t="s">
        <v>4346</v>
      </c>
      <c r="C3080" s="1">
        <v>1</v>
      </c>
      <c r="D3080" s="1" t="str">
        <f>"01756"</f>
        <v>01756</v>
      </c>
      <c r="E3080" s="1" t="s">
        <v>77</v>
      </c>
      <c r="F3080" s="1">
        <v>11</v>
      </c>
      <c r="G3080" s="1">
        <v>4</v>
      </c>
      <c r="H3080" s="1">
        <v>0</v>
      </c>
      <c r="I3080" s="1" t="s">
        <v>4338</v>
      </c>
      <c r="K3080" s="1" t="str">
        <f t="shared" si="197"/>
        <v>ㄈ</v>
      </c>
      <c r="L3080" s="1" t="str">
        <f t="shared" si="198"/>
        <v>ㄨ</v>
      </c>
      <c r="M3080" s="1" t="str">
        <f t="shared" si="199"/>
        <v/>
      </c>
      <c r="P3080" s="1" t="s">
        <v>20</v>
      </c>
      <c r="R3080" s="1" t="s">
        <v>4339</v>
      </c>
      <c r="V3080" s="1" t="s">
        <v>4347</v>
      </c>
      <c r="AR3080" s="1" t="str">
        <f t="shared" si="200"/>
        <v>| [ㄈㄨ](ㄈㄨ.md) | [趺](趺.md) |  | fū | [名]
腳背。同「跗」。《北史．卷九〇．藝術傳下．馬嗣明傳》：「嗣明為灸兩足趺上各三七壯，便愈。」
[動]
盤腿而坐。宋．蘇軾〈將往終南和子由見寄〉詩：「終朝危坐學僧趺，閉門不出閑履鳧。」 |</v>
      </c>
    </row>
    <row r="3081" spans="1:44" hidden="1">
      <c r="A3081" s="1" t="s">
        <v>4348</v>
      </c>
      <c r="C3081" s="1">
        <v>1</v>
      </c>
      <c r="D3081" s="1" t="str">
        <f>"01757"</f>
        <v>01757</v>
      </c>
      <c r="E3081" s="1" t="s">
        <v>55</v>
      </c>
      <c r="F3081" s="1">
        <v>12</v>
      </c>
      <c r="G3081" s="1">
        <v>4</v>
      </c>
      <c r="H3081" s="1">
        <v>0</v>
      </c>
      <c r="I3081" s="1" t="s">
        <v>4338</v>
      </c>
      <c r="K3081" s="1" t="str">
        <f t="shared" si="197"/>
        <v>ㄈ</v>
      </c>
      <c r="L3081" s="1" t="str">
        <f t="shared" si="198"/>
        <v>ㄨ</v>
      </c>
      <c r="M3081" s="1" t="str">
        <f t="shared" si="199"/>
        <v/>
      </c>
      <c r="P3081" s="1" t="s">
        <v>20</v>
      </c>
      <c r="R3081" s="1" t="s">
        <v>4339</v>
      </c>
      <c r="V3081" s="1" t="s">
        <v>4349</v>
      </c>
      <c r="AR3081" s="1" t="str">
        <f t="shared" si="200"/>
        <v>| [ㄈㄨ](ㄈㄨ.md) | [鈇](鈇.md) |  | fū | [名]
1.斬草的鍘刀。《說文解字．金部》：「鈇，斫莝刀也。」清．段玉裁．注：「莝者，斬芻也。」
2.古代一種斬人的刑具。《漢書．卷七六．尹翁歸傳》：「不中程，輒笞督，極者至以鈇自剄而死。」《新唐書．卷七六．后妃傳上．則天武皇后傳》：「宗姓侯王及它骨骾臣將相駢頸就鈇，血丹狴戶。」
3.斧頭。《列子．說符》：「人有亡鈇者，意其鄰之子。」 |</v>
      </c>
    </row>
    <row r="3082" spans="1:44" hidden="1">
      <c r="A3082" s="1" t="s">
        <v>4350</v>
      </c>
      <c r="C3082" s="1">
        <v>1</v>
      </c>
      <c r="D3082" s="1" t="str">
        <f>"01758"</f>
        <v>01758</v>
      </c>
      <c r="E3082" s="1" t="s">
        <v>2743</v>
      </c>
      <c r="F3082" s="1">
        <v>15</v>
      </c>
      <c r="G3082" s="1">
        <v>4</v>
      </c>
      <c r="H3082" s="1">
        <v>0</v>
      </c>
      <c r="I3082" s="1" t="s">
        <v>4338</v>
      </c>
      <c r="K3082" s="1" t="str">
        <f t="shared" si="197"/>
        <v>ㄈ</v>
      </c>
      <c r="L3082" s="1" t="str">
        <f t="shared" si="198"/>
        <v>ㄨ</v>
      </c>
      <c r="M3082" s="1" t="str">
        <f t="shared" si="199"/>
        <v/>
      </c>
      <c r="P3082" s="1" t="s">
        <v>20</v>
      </c>
      <c r="R3082" s="1" t="s">
        <v>4339</v>
      </c>
      <c r="V3082" s="1" t="s">
        <v>4351</v>
      </c>
      <c r="AR3082" s="1" t="str">
        <f t="shared" si="200"/>
        <v>| [ㄈㄨ](ㄈㄨ.md) | [麩](麩.md) |  | fū | [名]
小麥磨成麵粉後所留下的皮殼、碎屑。《說文解字．麥部》：「麩，小麥屑皮也。」《太平御覽．卷八五三．飲食部．麩》：「五月五日至後，可糴麩，至冬以養馬。」也稱為「麩皮」、「麩子」。 |</v>
      </c>
    </row>
    <row r="3083" spans="1:44" hidden="1">
      <c r="A3083" s="1" t="s">
        <v>1481</v>
      </c>
      <c r="C3083" s="1">
        <v>1</v>
      </c>
      <c r="D3083" s="1" t="str">
        <f>"01759"</f>
        <v>01759</v>
      </c>
      <c r="E3083" s="1" t="s">
        <v>789</v>
      </c>
      <c r="F3083" s="1">
        <v>4</v>
      </c>
      <c r="G3083" s="1">
        <v>3</v>
      </c>
      <c r="H3083" s="1">
        <v>4</v>
      </c>
      <c r="I3083" s="1" t="s">
        <v>4338</v>
      </c>
      <c r="K3083" s="1" t="str">
        <f t="shared" si="197"/>
        <v>ㄈ</v>
      </c>
      <c r="L3083" s="1" t="str">
        <f t="shared" si="198"/>
        <v>ㄨ</v>
      </c>
      <c r="M3083" s="1" t="str">
        <f t="shared" si="199"/>
        <v/>
      </c>
      <c r="P3083" s="1" t="s">
        <v>20</v>
      </c>
      <c r="R3083" s="1" t="s">
        <v>4339</v>
      </c>
      <c r="V3083" s="1" t="s">
        <v>4352</v>
      </c>
      <c r="W3083" s="1" t="s">
        <v>4353</v>
      </c>
      <c r="AR3083" s="1" t="str">
        <f t="shared" si="200"/>
        <v>| [ㄈㄨ](ㄈㄨ.md) | [不](不.md) |  | fū | [名]
花萼上的蒂。《詩經．小雅．常棣》：「常棣之華，鄂不韡韡。」 |</v>
      </c>
    </row>
    <row r="3084" spans="1:44" hidden="1">
      <c r="A3084" s="1" t="s">
        <v>4354</v>
      </c>
      <c r="C3084" s="1">
        <v>1</v>
      </c>
      <c r="D3084" s="1" t="str">
        <f>"01760"</f>
        <v>01760</v>
      </c>
      <c r="E3084" s="1" t="s">
        <v>241</v>
      </c>
      <c r="F3084" s="1">
        <v>7</v>
      </c>
      <c r="G3084" s="1">
        <v>4</v>
      </c>
      <c r="H3084" s="1">
        <v>2</v>
      </c>
      <c r="I3084" s="1" t="s">
        <v>4338</v>
      </c>
      <c r="K3084" s="1" t="str">
        <f t="shared" si="197"/>
        <v>ㄈ</v>
      </c>
      <c r="L3084" s="1" t="str">
        <f t="shared" si="198"/>
        <v>ㄨ</v>
      </c>
      <c r="M3084" s="1" t="str">
        <f t="shared" si="199"/>
        <v/>
      </c>
      <c r="P3084" s="1" t="s">
        <v>20</v>
      </c>
      <c r="R3084" s="1" t="s">
        <v>4339</v>
      </c>
      <c r="V3084" s="1" t="s">
        <v>4355</v>
      </c>
      <c r="W3084" s="1" t="s">
        <v>4356</v>
      </c>
      <c r="AR3084" s="1" t="str">
        <f t="shared" si="200"/>
        <v>| [ㄈㄨ](ㄈㄨ.md) | [孚](孚.md) |  | fū | [動]
孵卵。同「孵」。《淮南子．人間》：「夫任者先避之，見終始微矣，夫鴻鵠之未孚於卵也。」 |</v>
      </c>
    </row>
    <row r="3085" spans="1:44" hidden="1">
      <c r="A3085" s="1" t="s">
        <v>4357</v>
      </c>
      <c r="C3085" s="1">
        <v>1</v>
      </c>
      <c r="D3085" s="1" t="str">
        <f>"01761"</f>
        <v>01761</v>
      </c>
      <c r="E3085" s="1" t="s">
        <v>429</v>
      </c>
      <c r="F3085" s="1">
        <v>12</v>
      </c>
      <c r="G3085" s="1">
        <v>7</v>
      </c>
      <c r="H3085" s="1">
        <v>0</v>
      </c>
      <c r="I3085" s="1" t="s">
        <v>4338</v>
      </c>
      <c r="K3085" s="1" t="str">
        <f t="shared" si="197"/>
        <v>ㄈ</v>
      </c>
      <c r="L3085" s="1" t="str">
        <f t="shared" si="198"/>
        <v>ㄨ</v>
      </c>
      <c r="M3085" s="1" t="str">
        <f t="shared" si="199"/>
        <v/>
      </c>
      <c r="P3085" s="1" t="s">
        <v>20</v>
      </c>
      <c r="R3085" s="1" t="s">
        <v>4339</v>
      </c>
      <c r="V3085" s="1" t="s">
        <v>4358</v>
      </c>
      <c r="AR3085" s="1" t="str">
        <f t="shared" si="200"/>
        <v>| [ㄈㄨ](ㄈㄨ.md) | [稃](稃.md) |  | fū | [名]
1.穀殼。《廣韻．平聲．虞韻》：「稃，穀皮。」《水滸傳》第二五回：「我前日要糴些麥稃，一地裡沒糴處。」
2.禾本科植物子房基部的小鱗片，為花冠退化變形而成。 |</v>
      </c>
    </row>
    <row r="3086" spans="1:44" hidden="1">
      <c r="A3086" s="1" t="s">
        <v>4359</v>
      </c>
      <c r="C3086" s="1">
        <v>1</v>
      </c>
      <c r="D3086" s="1" t="str">
        <f>"01762"</f>
        <v>01762</v>
      </c>
      <c r="E3086" s="1" t="s">
        <v>241</v>
      </c>
      <c r="F3086" s="1">
        <v>14</v>
      </c>
      <c r="G3086" s="1">
        <v>11</v>
      </c>
      <c r="H3086" s="1">
        <v>0</v>
      </c>
      <c r="I3086" s="1" t="s">
        <v>4338</v>
      </c>
      <c r="K3086" s="1" t="str">
        <f t="shared" si="197"/>
        <v>ㄈ</v>
      </c>
      <c r="L3086" s="1" t="str">
        <f t="shared" si="198"/>
        <v>ㄨ</v>
      </c>
      <c r="M3086" s="1" t="str">
        <f t="shared" si="199"/>
        <v/>
      </c>
      <c r="P3086" s="1" t="s">
        <v>20</v>
      </c>
      <c r="R3086" s="1" t="s">
        <v>4339</v>
      </c>
      <c r="V3086" s="1" t="s">
        <v>4360</v>
      </c>
      <c r="AR3086" s="1" t="str">
        <f t="shared" si="200"/>
        <v>| [ㄈㄨ](ㄈㄨ.md) | [孵](孵.md) |  | fū | [動]
鳥類伏卵生雛，蟲魚由產卵到出生幼兒，或指以人工方法使卵內胚胎發育成雛的過程，統稱為「孵」。如：「孵化」、「孵育」、「孵卵」。 |</v>
      </c>
    </row>
    <row r="3087" spans="1:44" hidden="1">
      <c r="A3087" s="1" t="s">
        <v>4361</v>
      </c>
      <c r="C3087" s="1">
        <v>1</v>
      </c>
      <c r="D3087" s="1" t="str">
        <f>"01763"</f>
        <v>01763</v>
      </c>
      <c r="E3087" s="1" t="s">
        <v>139</v>
      </c>
      <c r="F3087" s="1">
        <v>9</v>
      </c>
      <c r="G3087" s="1">
        <v>5</v>
      </c>
      <c r="H3087" s="1">
        <v>0</v>
      </c>
      <c r="I3087" s="1" t="s">
        <v>4338</v>
      </c>
      <c r="K3087" s="1" t="str">
        <f t="shared" si="197"/>
        <v>ㄈ</v>
      </c>
      <c r="L3087" s="1" t="str">
        <f t="shared" si="198"/>
        <v>ㄨ</v>
      </c>
      <c r="M3087" s="1" t="str">
        <f t="shared" si="199"/>
        <v/>
      </c>
      <c r="P3087" s="1" t="s">
        <v>20</v>
      </c>
      <c r="R3087" s="1" t="s">
        <v>4339</v>
      </c>
      <c r="V3087" s="1" t="s">
        <v>4362</v>
      </c>
      <c r="AR3087" s="1" t="str">
        <f t="shared" si="200"/>
        <v>| [ㄈㄨ](ㄈㄨ.md) | [柎](柎.md) |  | fū | [名]
1.器物的底座。如：「鼓柎」、「鐘柎」。
2.花房、花萼。《山海經．西山經》：「有木焉，員葉而白柎，赤華而黑理，其實如枳，食之宜子孫。」晉．郭璞．注：「今江東人呼草木子房為柎……一曰柎，花下鄂。」南朝梁．沈約〈八詠詩．會圃臨春風〉：「氛氳桃李花，青柎含素萼。」 |</v>
      </c>
    </row>
    <row r="3088" spans="1:44" hidden="1">
      <c r="A3088" s="1" t="s">
        <v>4363</v>
      </c>
      <c r="C3088" s="1">
        <v>1</v>
      </c>
      <c r="D3088" s="1" t="str">
        <f>"01764"</f>
        <v>01764</v>
      </c>
      <c r="E3088" s="1" t="s">
        <v>68</v>
      </c>
      <c r="F3088" s="1">
        <v>9</v>
      </c>
      <c r="G3088" s="1">
        <v>5</v>
      </c>
      <c r="H3088" s="1">
        <v>2</v>
      </c>
      <c r="I3088" s="1" t="s">
        <v>4338</v>
      </c>
      <c r="K3088" s="1" t="str">
        <f t="shared" si="197"/>
        <v>ㄈ</v>
      </c>
      <c r="L3088" s="1" t="str">
        <f t="shared" si="198"/>
        <v>ㄨ</v>
      </c>
      <c r="M3088" s="1" t="str">
        <f t="shared" si="199"/>
        <v/>
      </c>
      <c r="P3088" s="1" t="s">
        <v>20</v>
      </c>
      <c r="R3088" s="1" t="s">
        <v>4339</v>
      </c>
      <c r="V3088" s="1" t="s">
        <v>4364</v>
      </c>
      <c r="W3088" s="1" t="s">
        <v>4365</v>
      </c>
      <c r="AR3088" s="1" t="str">
        <f t="shared" si="200"/>
        <v>| [ㄈㄨ](ㄈㄨ.md) | [胕](胕.md) |  | fū | [名]
1.足。《集韻．平聲．虞韻》：「跗，足也。或作胕。」
2.指皮膚。同「膚」。《戰國策．楚策四》：「蹄申膝折，尾湛胕潰。」 |</v>
      </c>
    </row>
    <row r="3089" spans="1:44" hidden="1">
      <c r="A3089" s="1" t="s">
        <v>4366</v>
      </c>
      <c r="C3089" s="1">
        <v>1</v>
      </c>
      <c r="D3089" s="1" t="str">
        <f>"01765"</f>
        <v>01765</v>
      </c>
      <c r="E3089" s="1" t="s">
        <v>77</v>
      </c>
      <c r="F3089" s="1">
        <v>12</v>
      </c>
      <c r="G3089" s="1">
        <v>5</v>
      </c>
      <c r="H3089" s="1">
        <v>0</v>
      </c>
      <c r="I3089" s="1" t="s">
        <v>4338</v>
      </c>
      <c r="K3089" s="1" t="str">
        <f t="shared" si="197"/>
        <v>ㄈ</v>
      </c>
      <c r="L3089" s="1" t="str">
        <f t="shared" si="198"/>
        <v>ㄨ</v>
      </c>
      <c r="M3089" s="1" t="str">
        <f t="shared" si="199"/>
        <v/>
      </c>
      <c r="P3089" s="1" t="s">
        <v>20</v>
      </c>
      <c r="R3089" s="1" t="s">
        <v>4339</v>
      </c>
      <c r="V3089" s="1" t="s">
        <v>4367</v>
      </c>
      <c r="AR3089" s="1" t="str">
        <f t="shared" si="200"/>
        <v>| [ㄈㄨ](ㄈㄨ.md) | [跗](跗.md) |  | fū | [名]
1.腳背。《玉篇．足部》：「跗，足上也。」《莊子．秋水》：「赴水則接腋持頤，蹶泥則沒足滅跗。」
2.足、腳。《集韻．平聲．虞韻》：「跗，足也。」漢．王充《論衡．宣漢》：「古之露首，今冠章甫；怙之跣跗，今履商舄。」
3.花萼、花托。同「柎」。《管子．地員》：「朱跗黃實。」宋．孫光憲〈望梅花．數枝開與短牆平〉詞：「數枝開與短牆平，見雪萼，紅跗相映。」
4.器物的底座。同「柎」。《續漢書志．第七．祭祀志上》：「距石下皆有石跗，入地四尺。」《元史．卷六八．禮樂志二》：「虡趺青龍籍地，以綠油臥梯二，加兩跗焉。」 |</v>
      </c>
    </row>
    <row r="3090" spans="1:44" hidden="1">
      <c r="A3090" s="1" t="s">
        <v>581</v>
      </c>
      <c r="C3090" s="1">
        <v>1</v>
      </c>
      <c r="D3090" s="1" t="str">
        <f>"01766"</f>
        <v>01766</v>
      </c>
      <c r="E3090" s="1" t="s">
        <v>139</v>
      </c>
      <c r="F3090" s="1">
        <v>9</v>
      </c>
      <c r="G3090" s="1">
        <v>5</v>
      </c>
      <c r="H3090" s="1">
        <v>2</v>
      </c>
      <c r="I3090" s="1" t="s">
        <v>4338</v>
      </c>
      <c r="K3090" s="1" t="str">
        <f t="shared" si="197"/>
        <v>ㄈ</v>
      </c>
      <c r="L3090" s="1" t="str">
        <f t="shared" si="198"/>
        <v>ㄨ</v>
      </c>
      <c r="M3090" s="1" t="str">
        <f t="shared" si="199"/>
        <v/>
      </c>
      <c r="P3090" s="1" t="s">
        <v>110</v>
      </c>
      <c r="R3090" s="1" t="s">
        <v>4339</v>
      </c>
      <c r="V3090" s="1" t="s">
        <v>111</v>
      </c>
      <c r="W3090" s="1" t="s">
        <v>4368</v>
      </c>
      <c r="AR3090" s="1" t="str">
        <f t="shared" si="200"/>
        <v>| [ㄈㄨ](ㄈㄨ.md) | [枹](枹.md) |  | fū | (一)之又音。 |</v>
      </c>
    </row>
    <row r="3091" spans="1:44" hidden="1">
      <c r="A3091" s="1" t="s">
        <v>4369</v>
      </c>
      <c r="C3091" s="1">
        <v>1</v>
      </c>
      <c r="D3091" s="1" t="str">
        <f>"01767"</f>
        <v>01767</v>
      </c>
      <c r="E3091" s="1" t="s">
        <v>1595</v>
      </c>
      <c r="F3091" s="1">
        <v>10</v>
      </c>
      <c r="G3091" s="1">
        <v>7</v>
      </c>
      <c r="H3091" s="1">
        <v>0</v>
      </c>
      <c r="I3091" s="1" t="s">
        <v>4338</v>
      </c>
      <c r="K3091" s="1" t="str">
        <f t="shared" si="197"/>
        <v>ㄈ</v>
      </c>
      <c r="L3091" s="1" t="str">
        <f t="shared" si="198"/>
        <v>ㄨ</v>
      </c>
      <c r="M3091" s="1" t="str">
        <f t="shared" si="199"/>
        <v/>
      </c>
      <c r="P3091" s="1" t="s">
        <v>20</v>
      </c>
      <c r="R3091" s="1" t="s">
        <v>4339</v>
      </c>
      <c r="V3091" s="1" t="s">
        <v>4370</v>
      </c>
      <c r="AR3091" s="1" t="str">
        <f t="shared" si="200"/>
        <v>| [ㄈㄨ](ㄈㄨ.md) | [尃](尃.md) |  | fū | [動]
散布。通「敷」。《史記．卷一一七．司馬相如傳》：「旁魄四塞，雲尃霧散。」 |</v>
      </c>
    </row>
    <row r="3092" spans="1:44" hidden="1">
      <c r="A3092" s="1" t="s">
        <v>4371</v>
      </c>
      <c r="C3092" s="1">
        <v>1</v>
      </c>
      <c r="D3092" s="1" t="str">
        <f>"01768"</f>
        <v>01768</v>
      </c>
      <c r="E3092" s="1" t="s">
        <v>426</v>
      </c>
      <c r="F3092" s="1">
        <v>15</v>
      </c>
      <c r="G3092" s="1">
        <v>11</v>
      </c>
      <c r="H3092" s="1">
        <v>0</v>
      </c>
      <c r="I3092" s="1" t="s">
        <v>4338</v>
      </c>
      <c r="K3092" s="1" t="str">
        <f t="shared" si="197"/>
        <v>ㄈ</v>
      </c>
      <c r="L3092" s="1" t="str">
        <f t="shared" si="198"/>
        <v>ㄨ</v>
      </c>
      <c r="M3092" s="1" t="str">
        <f t="shared" si="199"/>
        <v/>
      </c>
      <c r="P3092" s="1" t="s">
        <v>20</v>
      </c>
      <c r="R3092" s="1" t="s">
        <v>4339</v>
      </c>
      <c r="V3092" s="1" t="s">
        <v>4372</v>
      </c>
      <c r="AR3092" s="1" t="str">
        <f t="shared" si="200"/>
        <v>| [ㄈㄨ](ㄈㄨ.md) | [敷](敷.md) |  | fū | [動]
1.散布、傳布。《書經．大禹謨》：「文命敷於四海，祇承于帝。」唐．皮日休〈十原系述．原弈〉：「舜不忍伐，而敷之文德，然後有苗格焉。」
2.陳述。《詩經．商頌．長發》：「敷奏其勇，不震不動，不戁不竦，百祿是總。」南朝宋．謝靈運〈山居賦〉：「研書賞理，敷文奏懷。」
3.鋪設、展開。《書經．顧命》：「牖間南嚮，敷重篾席。」《楚辭．屈原．離騷》：「跪敷衽以陳辭兮，耿吾既得此中正。」
4.塗抹。如：「敷臉」、「敷藥」。《紅樓夢》第三四回：「寶姑娘送去的藥，我給二爺敷上了，比先好些了。」
5.足夠。如：「入不敷出」。《三國演義》第三〇回：「若遷延日月，糧草不敷，事可憂矣。」 |</v>
      </c>
    </row>
    <row r="3093" spans="1:44" hidden="1">
      <c r="A3093" s="1" t="s">
        <v>4373</v>
      </c>
      <c r="C3093" s="1">
        <v>1</v>
      </c>
      <c r="D3093" s="1" t="str">
        <f>"01769"</f>
        <v>01769</v>
      </c>
      <c r="E3093" s="1" t="s">
        <v>256</v>
      </c>
      <c r="F3093" s="1">
        <v>14</v>
      </c>
      <c r="G3093" s="1">
        <v>11</v>
      </c>
      <c r="H3093" s="1">
        <v>0</v>
      </c>
      <c r="I3093" s="1" t="s">
        <v>4338</v>
      </c>
      <c r="K3093" s="1" t="str">
        <f t="shared" si="197"/>
        <v>ㄈ</v>
      </c>
      <c r="L3093" s="1" t="str">
        <f t="shared" si="198"/>
        <v>ㄨ</v>
      </c>
      <c r="M3093" s="1" t="str">
        <f t="shared" si="199"/>
        <v/>
      </c>
      <c r="P3093" s="1" t="s">
        <v>20</v>
      </c>
      <c r="R3093" s="1" t="s">
        <v>4339</v>
      </c>
      <c r="V3093" s="1" t="s">
        <v>4374</v>
      </c>
      <c r="AR3093" s="1" t="str">
        <f t="shared" si="200"/>
        <v>| [ㄈㄨ](ㄈㄨ.md) | [鄜](鄜.md) |  | fū | 參見「鄜縣」條。 |</v>
      </c>
    </row>
    <row r="3094" spans="1:44" hidden="1">
      <c r="A3094" s="1" t="s">
        <v>4375</v>
      </c>
      <c r="C3094" s="1">
        <v>1</v>
      </c>
      <c r="D3094" s="1" t="str">
        <f>"01770"</f>
        <v>01770</v>
      </c>
      <c r="E3094" s="1" t="s">
        <v>68</v>
      </c>
      <c r="F3094" s="1">
        <v>15</v>
      </c>
      <c r="G3094" s="1">
        <v>11</v>
      </c>
      <c r="H3094" s="1">
        <v>0</v>
      </c>
      <c r="I3094" s="1" t="s">
        <v>4338</v>
      </c>
      <c r="K3094" s="1" t="str">
        <f t="shared" si="197"/>
        <v>ㄈ</v>
      </c>
      <c r="L3094" s="1" t="str">
        <f t="shared" si="198"/>
        <v>ㄨ</v>
      </c>
      <c r="M3094" s="1" t="str">
        <f t="shared" si="199"/>
        <v/>
      </c>
      <c r="P3094" s="1" t="s">
        <v>20</v>
      </c>
      <c r="R3094" s="1" t="s">
        <v>4339</v>
      </c>
      <c r="V3094" s="1" t="s">
        <v>4376</v>
      </c>
      <c r="AR3094" s="1" t="str">
        <f t="shared" si="200"/>
        <v>| [ㄈㄨ](ㄈㄨ.md) | [膚](膚.md) |  | fū | [名]
身體的表皮。如：「皮膚」、「切膚之痛」。《詩經．衛風．碩人》：「手如柔荑，膚如凝脂。」唐．李華〈弔古戰場文〉：「繒纊無溫，墮指裂膚。」
[形]
1.表面的、浮淺的。如：「膚淺」、「膚泛」。《南齊書．卷三九．陸澄傳》：「澄諛聞膚見，貽撓後昆，上掩皇明，下籠朝識，請以見事免澄所居官。」
2.大。《詩經．小雅．六月》：「薄伐玁狁，以奏膚公。」漢．毛亨．傳：「膚，大。公，功也。」 |</v>
      </c>
    </row>
    <row r="3095" spans="1:44" hidden="1">
      <c r="A3095" s="1" t="s">
        <v>3807</v>
      </c>
      <c r="C3095" s="1">
        <v>1</v>
      </c>
      <c r="D3095" s="1" t="str">
        <f>"01528"</f>
        <v>01528</v>
      </c>
      <c r="E3095" s="1" t="s">
        <v>1663</v>
      </c>
      <c r="F3095" s="1">
        <v>5</v>
      </c>
      <c r="G3095" s="1">
        <v>4</v>
      </c>
      <c r="H3095" s="1">
        <v>0</v>
      </c>
      <c r="I3095" s="1" t="s">
        <v>3808</v>
      </c>
      <c r="K3095" s="1" t="str">
        <f t="shared" si="197"/>
        <v>ㄈ</v>
      </c>
      <c r="L3095" s="1" t="str">
        <f t="shared" si="198"/>
        <v>ㄚ</v>
      </c>
      <c r="N3095" s="3" t="s">
        <v>30575</v>
      </c>
      <c r="O3095" s="3"/>
      <c r="P3095" s="1" t="s">
        <v>20</v>
      </c>
      <c r="R3095" s="1" t="s">
        <v>3809</v>
      </c>
      <c r="V3095" s="1" t="s">
        <v>3810</v>
      </c>
      <c r="AR3095" s="1" t="str">
        <f t="shared" si="200"/>
        <v>| [ㄈㄚˊ](ㄈㄚˊ.md) | [乏](乏.md) |  | fá | [動]
1.欠缺。如：「乏味」、「缺乏」。唐．劉叉〈雪車〉詩：「遠戍久乏糧，太倉誰為運紅粟？」
2.沒有。如：「乏人問津」、「回天乏術」。
[形]
1.貧窮。如：「貧乏」。漢．桓寬《鹽鐵論．力耕》：「昔禹水湯旱，百姓匱乏。」
2.疲勞。如：「疲乏」、「困乏」、「人困馬乏」。 |</v>
      </c>
    </row>
    <row r="3096" spans="1:44" hidden="1">
      <c r="A3096" s="1" t="s">
        <v>3795</v>
      </c>
      <c r="C3096" s="1">
        <v>1</v>
      </c>
      <c r="D3096" s="1" t="str">
        <f>"01529"</f>
        <v>01529</v>
      </c>
      <c r="E3096" s="1" t="s">
        <v>114</v>
      </c>
      <c r="F3096" s="1">
        <v>6</v>
      </c>
      <c r="G3096" s="1">
        <v>4</v>
      </c>
      <c r="H3096" s="1">
        <v>2</v>
      </c>
      <c r="I3096" s="1" t="s">
        <v>3808</v>
      </c>
      <c r="K3096" s="1" t="str">
        <f t="shared" si="197"/>
        <v>ㄈ</v>
      </c>
      <c r="L3096" s="1" t="str">
        <f t="shared" si="198"/>
        <v>ㄚ</v>
      </c>
      <c r="N3096" s="3" t="s">
        <v>30575</v>
      </c>
      <c r="O3096" s="3"/>
      <c r="P3096" s="1" t="s">
        <v>110</v>
      </c>
      <c r="R3096" s="1" t="s">
        <v>3809</v>
      </c>
      <c r="V3096" s="1" t="s">
        <v>111</v>
      </c>
      <c r="W3096" s="1" t="s">
        <v>3811</v>
      </c>
      <c r="AR3096" s="1" t="str">
        <f t="shared" si="200"/>
        <v>| [ㄈㄚˊ](ㄈㄚˊ.md) | [伐](伐.md) |  | fá | (一)之又音。 |</v>
      </c>
    </row>
    <row r="3097" spans="1:44" hidden="1">
      <c r="A3097" s="1" t="s">
        <v>3812</v>
      </c>
      <c r="C3097" s="1">
        <v>1</v>
      </c>
      <c r="D3097" s="1" t="str">
        <f>"01530"</f>
        <v>01530</v>
      </c>
      <c r="E3097" s="1" t="s">
        <v>132</v>
      </c>
      <c r="F3097" s="1">
        <v>9</v>
      </c>
      <c r="G3097" s="1">
        <v>6</v>
      </c>
      <c r="H3097" s="1">
        <v>0</v>
      </c>
      <c r="I3097" s="1" t="s">
        <v>3808</v>
      </c>
      <c r="K3097" s="1" t="str">
        <f t="shared" si="197"/>
        <v>ㄈ</v>
      </c>
      <c r="L3097" s="1" t="str">
        <f t="shared" si="198"/>
        <v>ㄚ</v>
      </c>
      <c r="N3097" s="3" t="s">
        <v>30575</v>
      </c>
      <c r="O3097" s="3"/>
      <c r="P3097" s="1" t="s">
        <v>20</v>
      </c>
      <c r="R3097" s="1" t="s">
        <v>3809</v>
      </c>
      <c r="V3097" s="1" t="s">
        <v>3813</v>
      </c>
      <c r="AR3097" s="1" t="str">
        <f t="shared" si="200"/>
        <v>| [ㄈㄚˊ](ㄈㄚˊ.md) | [垡](垡.md) |  | fá | [動]
耕田翻土。《廣韻．入聲．月韻》：「垡，耕土。」 |</v>
      </c>
    </row>
    <row r="3098" spans="1:44" hidden="1">
      <c r="A3098" s="1" t="s">
        <v>1731</v>
      </c>
      <c r="C3098" s="1">
        <v>1</v>
      </c>
      <c r="D3098" s="1" t="str">
        <f>"01531"</f>
        <v>01531</v>
      </c>
      <c r="E3098" s="1" t="s">
        <v>37</v>
      </c>
      <c r="F3098" s="1">
        <v>10</v>
      </c>
      <c r="G3098" s="1">
        <v>6</v>
      </c>
      <c r="H3098" s="1">
        <v>1</v>
      </c>
      <c r="I3098" s="1" t="s">
        <v>3808</v>
      </c>
      <c r="K3098" s="1" t="str">
        <f t="shared" si="197"/>
        <v>ㄈ</v>
      </c>
      <c r="L3098" s="1" t="str">
        <f t="shared" si="198"/>
        <v>ㄚ</v>
      </c>
      <c r="N3098" s="3" t="s">
        <v>30575</v>
      </c>
      <c r="O3098" s="3"/>
      <c r="P3098" s="1" t="s">
        <v>20</v>
      </c>
      <c r="R3098" s="1" t="s">
        <v>3809</v>
      </c>
      <c r="V3098" s="1" t="s">
        <v>3814</v>
      </c>
      <c r="W3098" s="1" t="s">
        <v>3815</v>
      </c>
      <c r="AR3098" s="1" t="str">
        <f t="shared" si="200"/>
        <v>| [ㄈㄚˊ](ㄈㄚˊ.md) | [茷](茷.md) |  | fá | [形]
草葉盛茂的樣子。《說文解字．艸部》：「茷，艸葉多。」唐．柳宗元〈始得西山宴游記〉：「遂命僕過湘江，緣染溪，斫榛莽，焚茅茷，窮山之高而止。」 |</v>
      </c>
    </row>
    <row r="3099" spans="1:44" hidden="1">
      <c r="A3099" s="1" t="s">
        <v>3816</v>
      </c>
      <c r="C3099" s="1">
        <v>1</v>
      </c>
      <c r="D3099" s="1" t="str">
        <f>"01532"</f>
        <v>01532</v>
      </c>
      <c r="E3099" s="1" t="s">
        <v>49</v>
      </c>
      <c r="F3099" s="1">
        <v>12</v>
      </c>
      <c r="G3099" s="1">
        <v>6</v>
      </c>
      <c r="H3099" s="1">
        <v>0</v>
      </c>
      <c r="I3099" s="1" t="s">
        <v>3808</v>
      </c>
      <c r="K3099" s="1" t="str">
        <f t="shared" si="197"/>
        <v>ㄈ</v>
      </c>
      <c r="L3099" s="1" t="str">
        <f t="shared" si="198"/>
        <v>ㄚ</v>
      </c>
      <c r="N3099" s="3" t="s">
        <v>30575</v>
      </c>
      <c r="O3099" s="3"/>
      <c r="P3099" s="1" t="s">
        <v>20</v>
      </c>
      <c r="R3099" s="1" t="s">
        <v>3809</v>
      </c>
      <c r="V3099" s="1" t="s">
        <v>3817</v>
      </c>
      <c r="AR3099" s="1" t="str">
        <f t="shared" si="200"/>
        <v>| [ㄈㄚˊ](ㄈㄚˊ.md) | [筏](筏.md) |  | fá | [名]
以竹、木或塑膠筒等材料併排編成，用來渡河或航行的簡易交通工具。如：「木筏」、「膠筏」。也稱為「筏子」。 |</v>
      </c>
    </row>
    <row r="3100" spans="1:44" hidden="1">
      <c r="A3100" s="1" t="s">
        <v>3818</v>
      </c>
      <c r="C3100" s="1">
        <v>1</v>
      </c>
      <c r="D3100" s="1" t="str">
        <f>"01533"</f>
        <v>01533</v>
      </c>
      <c r="E3100" s="1" t="s">
        <v>709</v>
      </c>
      <c r="F3100" s="1">
        <v>14</v>
      </c>
      <c r="G3100" s="1">
        <v>6</v>
      </c>
      <c r="H3100" s="1">
        <v>0</v>
      </c>
      <c r="I3100" s="1" t="s">
        <v>3808</v>
      </c>
      <c r="K3100" s="1" t="str">
        <f t="shared" si="197"/>
        <v>ㄈ</v>
      </c>
      <c r="L3100" s="1" t="str">
        <f t="shared" si="198"/>
        <v>ㄚ</v>
      </c>
      <c r="N3100" s="3" t="s">
        <v>30575</v>
      </c>
      <c r="O3100" s="3"/>
      <c r="P3100" s="1" t="s">
        <v>20</v>
      </c>
      <c r="R3100" s="1" t="s">
        <v>3809</v>
      </c>
      <c r="V3100" s="1" t="s">
        <v>3819</v>
      </c>
      <c r="AR3100" s="1" t="str">
        <f t="shared" si="200"/>
        <v>| [ㄈㄚˊ](ㄈㄚˊ.md) | [閥](閥.md) |  | fá | [名]
1.功績、功勞。《新唐書．卷一三三．張守珪傳》：「（獻誠）子煦，積閥亦至夏州節度使。」
2.家世地位、門第。如：「名閥」、「世閥」。《新唐書．卷一六三．柳公綽傳》：「子孫眾盛，實為名閥。」
3.引申為擁有某種支配力量或勢力的人物或家族。如：「財閥」、「學閥」。
4.氣體或液體流動途中，可以控制流量大小、流動方向、流動與否的裝置。 |</v>
      </c>
    </row>
    <row r="3101" spans="1:44" hidden="1">
      <c r="A3101" s="1" t="s">
        <v>3800</v>
      </c>
      <c r="C3101" s="1">
        <v>1</v>
      </c>
      <c r="D3101" s="1" t="str">
        <f>"01534"</f>
        <v>01534</v>
      </c>
      <c r="E3101" s="1" t="s">
        <v>129</v>
      </c>
      <c r="F3101" s="1">
        <v>8</v>
      </c>
      <c r="G3101" s="1">
        <v>5</v>
      </c>
      <c r="H3101" s="1">
        <v>2</v>
      </c>
      <c r="I3101" s="1" t="s">
        <v>3808</v>
      </c>
      <c r="K3101" s="1" t="str">
        <f t="shared" si="197"/>
        <v>ㄈ</v>
      </c>
      <c r="L3101" s="1" t="str">
        <f t="shared" si="198"/>
        <v>ㄚ</v>
      </c>
      <c r="N3101" s="3" t="s">
        <v>30575</v>
      </c>
      <c r="O3101" s="3"/>
      <c r="P3101" s="1" t="s">
        <v>20</v>
      </c>
      <c r="R3101" s="1" t="s">
        <v>3809</v>
      </c>
      <c r="V3101" s="1" t="s">
        <v>3820</v>
      </c>
      <c r="W3101" s="1" t="s">
        <v>3821</v>
      </c>
      <c r="AR3101" s="1" t="str">
        <f t="shared" si="200"/>
        <v>| [ㄈㄚˊ](ㄈㄚˊ.md) | [法](法.md) |  | fá | 參見「法子」條。 |</v>
      </c>
    </row>
    <row r="3102" spans="1:44" hidden="1">
      <c r="A3102" s="1" t="s">
        <v>3822</v>
      </c>
      <c r="C3102" s="1">
        <v>1</v>
      </c>
      <c r="D3102" s="1" t="str">
        <f>"01535"</f>
        <v>01535</v>
      </c>
      <c r="E3102" s="1" t="s">
        <v>118</v>
      </c>
      <c r="F3102" s="1">
        <v>14</v>
      </c>
      <c r="G3102" s="1">
        <v>9</v>
      </c>
      <c r="H3102" s="1">
        <v>0</v>
      </c>
      <c r="I3102" s="1" t="s">
        <v>3808</v>
      </c>
      <c r="K3102" s="1" t="str">
        <f t="shared" si="197"/>
        <v>ㄈ</v>
      </c>
      <c r="L3102" s="1" t="str">
        <f t="shared" si="198"/>
        <v>ㄚ</v>
      </c>
      <c r="N3102" s="3" t="s">
        <v>30575</v>
      </c>
      <c r="O3102" s="3"/>
      <c r="P3102" s="1" t="s">
        <v>20</v>
      </c>
      <c r="R3102" s="1" t="s">
        <v>3809</v>
      </c>
      <c r="V3102" s="1" t="s">
        <v>3823</v>
      </c>
      <c r="AR3102" s="1" t="str">
        <f t="shared" si="200"/>
        <v>| [ㄈㄚˊ](ㄈㄚˊ.md) | [罰](罰.md) |  | fá | [名]
犯法的人所受的罪刑。如：「刑罰」、「責罰」。《書經．呂刑》：「墨罰之屬千，劓罰之屬千。」
[動]
1.懲治。如：「處罰」、「懲罰」。南朝宋．劉義慶《世說新語．德行》：「有一老翁犯法，謝以醇酒罰之。」
2.出錢贖罪。如：「罰鍰」。《史記．卷一〇二．張釋之傳》：「一人犯蹕，當罰金。」 |</v>
      </c>
    </row>
    <row r="3103" spans="1:44" hidden="1">
      <c r="A3103" s="1" t="s">
        <v>3800</v>
      </c>
      <c r="C3103" s="1">
        <v>1</v>
      </c>
      <c r="D3103" s="1" t="str">
        <f>"01536"</f>
        <v>01536</v>
      </c>
      <c r="E3103" s="1" t="s">
        <v>129</v>
      </c>
      <c r="F3103" s="1">
        <v>8</v>
      </c>
      <c r="G3103" s="1">
        <v>5</v>
      </c>
      <c r="H3103" s="1">
        <v>1</v>
      </c>
      <c r="I3103" s="1" t="s">
        <v>3824</v>
      </c>
      <c r="K3103" s="1" t="str">
        <f t="shared" si="197"/>
        <v>ㄈ</v>
      </c>
      <c r="L3103" s="1" t="str">
        <f t="shared" si="198"/>
        <v>ㄚ</v>
      </c>
      <c r="N3103" s="3" t="s">
        <v>30576</v>
      </c>
      <c r="O3103" s="3"/>
      <c r="P3103" s="1" t="s">
        <v>20</v>
      </c>
      <c r="R3103" s="1" t="s">
        <v>3825</v>
      </c>
      <c r="V3103" s="1" t="s">
        <v>3826</v>
      </c>
      <c r="W3103" s="1" t="s">
        <v>3827</v>
      </c>
      <c r="AR3103" s="1" t="str">
        <f t="shared" si="200"/>
        <v>| [ㄈㄚˇ](ㄈㄚˇ.md) | [法](法.md) |  | fǎ | [名]_x000D_
1.律令。如：「法令」、「法律」。《韓非子．定法》：「法者，憲令著於官府。」_x000D_
2.制度。《禮記．曲禮下》：「祭祀之禮，居喪之服，哭泣之位，皆如其國之故，謹修其法而審行之。」_x000D_
3.範式、原則。如：「文法」、「語法」。_x000D_
4.途徑。如：「方法」、「辦法」。_x000D_
5.佛、道等的道理。如：「佛法」、「法壇」。《五燈會元．卷六．谷山藏禪師》：「法尚應捨，何況非法？」_x000D_
6.方術、技巧。如：「道士作法」、「魔法」。_x000D_
7.法國的簡稱。舊音ㄈㄚˋ fà。如：「中法戰爭」、「英法戰爭」。_x000D_
8.姓。如漢代有法雄。_x000D_
[動]_x000D_
仿效。《周易．繫辭上》：「知崇禮卑，崇效天，卑法地，天地設位，而易行乎其中矣。」_x000D_
[形]_x000D_
1.可為法則的。如：「法書」、「法帖」。_x000D_
2.屬於佛家的。如：「法衣」、「法號」。 |</v>
      </c>
    </row>
    <row r="3104" spans="1:44" hidden="1">
      <c r="A3104" s="1" t="s">
        <v>3828</v>
      </c>
      <c r="C3104" s="1">
        <v>1</v>
      </c>
      <c r="D3104" s="1" t="str">
        <f>"01537"</f>
        <v>01537</v>
      </c>
      <c r="E3104" s="1" t="s">
        <v>169</v>
      </c>
      <c r="F3104" s="1">
        <v>10</v>
      </c>
      <c r="G3104" s="1">
        <v>5</v>
      </c>
      <c r="H3104" s="1">
        <v>0</v>
      </c>
      <c r="I3104" s="1" t="s">
        <v>3824</v>
      </c>
      <c r="K3104" s="1" t="str">
        <f t="shared" si="197"/>
        <v>ㄈ</v>
      </c>
      <c r="L3104" s="1" t="str">
        <f t="shared" si="198"/>
        <v>ㄚ</v>
      </c>
      <c r="N3104" s="3" t="s">
        <v>30576</v>
      </c>
      <c r="O3104" s="3"/>
      <c r="P3104" s="1" t="s">
        <v>20</v>
      </c>
      <c r="R3104" s="1" t="s">
        <v>3825</v>
      </c>
      <c r="V3104" s="1" t="s">
        <v>3829</v>
      </c>
      <c r="AR3104" s="1" t="str">
        <f t="shared" si="200"/>
        <v>| [ㄈㄚˇ](ㄈㄚˇ.md) | [砝](砝.md) |  | fǎ | 參見「砝碼」條。 |</v>
      </c>
    </row>
    <row r="3105" spans="1:44" hidden="1">
      <c r="A3105" s="1" t="s">
        <v>3830</v>
      </c>
      <c r="C3105" s="1">
        <v>1</v>
      </c>
      <c r="D3105" s="1" t="str">
        <f>"01538"</f>
        <v>01538</v>
      </c>
      <c r="E3105" s="1" t="s">
        <v>55</v>
      </c>
      <c r="F3105" s="1">
        <v>16</v>
      </c>
      <c r="G3105" s="1">
        <v>8</v>
      </c>
      <c r="H3105" s="1">
        <v>0</v>
      </c>
      <c r="I3105" s="1" t="s">
        <v>3824</v>
      </c>
      <c r="K3105" s="1" t="str">
        <f t="shared" si="197"/>
        <v>ㄈ</v>
      </c>
      <c r="L3105" s="1" t="str">
        <f t="shared" si="198"/>
        <v>ㄚ</v>
      </c>
      <c r="N3105" s="3" t="s">
        <v>30576</v>
      </c>
      <c r="O3105" s="3"/>
      <c r="P3105" s="1" t="s">
        <v>20</v>
      </c>
      <c r="R3105" s="1" t="s">
        <v>3825</v>
      </c>
      <c r="V3105" s="1" t="s">
        <v>3831</v>
      </c>
      <c r="AR3105" s="1" t="str">
        <f t="shared" si="200"/>
        <v>| [ㄈㄚˇ](ㄈㄚˇ.md) | [鍅](鍅.md) |  | fǎ | [名]
（francium，Fr）化學元素。原子序87。為放射性鹼金屬元素之一。由法國科學家培雷（Marguerite Perey）所發現。培雷以致癌老鼠作實驗，發現鍅較易集中於腫瘤中，認為鍅可用於治療學上。大陸地區譯為鈁。 |</v>
      </c>
    </row>
    <row r="3106" spans="1:44" hidden="1">
      <c r="A3106" s="1" t="s">
        <v>3832</v>
      </c>
      <c r="C3106" s="1">
        <v>1</v>
      </c>
      <c r="D3106" s="1" t="str">
        <f>"01539"</f>
        <v>01539</v>
      </c>
      <c r="E3106" s="1" t="s">
        <v>1078</v>
      </c>
      <c r="F3106" s="1">
        <v>15</v>
      </c>
      <c r="G3106" s="1">
        <v>5</v>
      </c>
      <c r="H3106" s="1">
        <v>0</v>
      </c>
      <c r="I3106" s="1" t="s">
        <v>3824</v>
      </c>
      <c r="K3106" s="1" t="str">
        <f t="shared" si="197"/>
        <v>ㄈ</v>
      </c>
      <c r="L3106" s="1" t="str">
        <f t="shared" si="198"/>
        <v>ㄚ</v>
      </c>
      <c r="N3106" s="3" t="s">
        <v>30576</v>
      </c>
      <c r="O3106" s="3"/>
      <c r="P3106" s="1" t="s">
        <v>20</v>
      </c>
      <c r="R3106" s="1" t="s">
        <v>3825</v>
      </c>
      <c r="V3106" s="1" t="s">
        <v>3833</v>
      </c>
      <c r="AR3106" s="1" t="str">
        <f t="shared" si="200"/>
        <v>| [ㄈㄚˇ](ㄈㄚˇ.md) | [髮](髮.md) |  | fǎ | [名]
1.人類頭上的毛。如：「頭髮」、「白髮」、「黑髮」、「毫髮無傷」。《孝經．開宗明義章》：「身體髮膚，受之父母，不敢毀傷，孝之始也。」唐．杜甫〈贈衛八處士〉詩：「少壯能幾時，鬢髮各已蒼。」
2.比喻為山上的草木。《莊子．逍遙遊》：「窮髮之北，有冥海者，天池也。」
3.姓。如漢代有髮福。 |</v>
      </c>
    </row>
    <row r="3107" spans="1:44" hidden="1">
      <c r="A3107" s="1" t="s">
        <v>3834</v>
      </c>
      <c r="C3107" s="1">
        <v>1</v>
      </c>
      <c r="D3107" s="1" t="str">
        <f>"01541"</f>
        <v>01541</v>
      </c>
      <c r="E3107" s="1" t="s">
        <v>142</v>
      </c>
      <c r="F3107" s="1">
        <v>12</v>
      </c>
      <c r="G3107" s="1">
        <v>8</v>
      </c>
      <c r="H3107" s="1">
        <v>0</v>
      </c>
      <c r="I3107" s="1" t="s">
        <v>3835</v>
      </c>
      <c r="K3107" s="1" t="str">
        <f t="shared" si="197"/>
        <v>ㄈ</v>
      </c>
      <c r="L3107" s="1" t="str">
        <f t="shared" si="198"/>
        <v>ㄚ</v>
      </c>
      <c r="N3107" s="3" t="s">
        <v>30574</v>
      </c>
      <c r="O3107" s="3"/>
      <c r="P3107" s="1" t="s">
        <v>20</v>
      </c>
      <c r="R3107" s="1" t="s">
        <v>3836</v>
      </c>
      <c r="V3107" s="1" t="s">
        <v>3837</v>
      </c>
      <c r="AR3107" s="1" t="str">
        <f t="shared" si="200"/>
        <v>| [ㄈㄚˋ](ㄈㄚˋ.md) | [琺](琺.md) |  | fà | 參見「琺瑯」條。 |</v>
      </c>
    </row>
    <row r="3108" spans="1:44" hidden="1">
      <c r="A3108" s="1" t="s">
        <v>983</v>
      </c>
      <c r="C3108" s="1">
        <v>1</v>
      </c>
      <c r="D3108" s="1" t="str">
        <f>"01542"</f>
        <v>01542</v>
      </c>
      <c r="E3108" s="1" t="s">
        <v>114</v>
      </c>
      <c r="F3108" s="1">
        <v>7</v>
      </c>
      <c r="G3108" s="1">
        <v>5</v>
      </c>
      <c r="H3108" s="1">
        <v>1</v>
      </c>
      <c r="I3108" s="1" t="s">
        <v>3838</v>
      </c>
      <c r="K3108" s="1" t="str">
        <f t="shared" si="197"/>
        <v>ㄈ</v>
      </c>
      <c r="L3108" s="1" t="str">
        <f t="shared" si="198"/>
        <v>ㄛ</v>
      </c>
      <c r="N3108" s="3" t="s">
        <v>30575</v>
      </c>
      <c r="O3108" s="3"/>
      <c r="P3108" s="1" t="s">
        <v>20</v>
      </c>
      <c r="R3108" s="1" t="s">
        <v>3839</v>
      </c>
      <c r="V3108" s="1" t="s">
        <v>3840</v>
      </c>
      <c r="W3108" s="1" t="s">
        <v>3841</v>
      </c>
      <c r="AR3108" s="1" t="str">
        <f t="shared" si="200"/>
        <v>| [ㄈㄛˊ](ㄈㄛˊ.md) | [佛](佛.md) |  | fó | [名]
1.佛陀的簡稱。參見「佛陀」條。《西遊記》第八回：「但見那三千諸佛、五百阿羅、八大金剛、無邊菩薩，一個個都執著幢幡寶蓋。」
2.參見「佛教」條。
[形]
如佛一般的仁慈、和氣。如：「佛口蛇心」。 |</v>
      </c>
    </row>
    <row r="3109" spans="1:44" hidden="1">
      <c r="A3109" s="1" t="s">
        <v>3914</v>
      </c>
      <c r="C3109" s="1">
        <v>1</v>
      </c>
      <c r="D3109" s="1" t="str">
        <f>"01573"</f>
        <v>01573</v>
      </c>
      <c r="E3109" s="1" t="s">
        <v>28</v>
      </c>
      <c r="F3109" s="1">
        <v>7</v>
      </c>
      <c r="G3109" s="1">
        <v>4</v>
      </c>
      <c r="H3109" s="1">
        <v>0</v>
      </c>
      <c r="I3109" s="1" t="s">
        <v>3915</v>
      </c>
      <c r="K3109" s="1" t="str">
        <f t="shared" si="197"/>
        <v>ㄈ</v>
      </c>
      <c r="L3109" s="1" t="str">
        <f t="shared" si="198"/>
        <v>ㄟ</v>
      </c>
      <c r="N3109" s="3" t="s">
        <v>30574</v>
      </c>
      <c r="O3109" s="3"/>
      <c r="P3109" s="1" t="s">
        <v>20</v>
      </c>
      <c r="R3109" s="1" t="s">
        <v>3916</v>
      </c>
      <c r="V3109" s="1" t="s">
        <v>3917</v>
      </c>
      <c r="AR3109" s="1" t="str">
        <f t="shared" si="200"/>
        <v>| [ㄈㄟˋ](ㄈㄟˋ.md) | [吠](吠.md) |  | fèi | [動]
狗叫稱為「吠」。如：「蜀犬吠日」、「狂吠」。《孟子．公孫丑上》：「雞鳴狗吠相聞而達乎四境，而齊有其民矣。」漢．王符《潛夫論．賢難》：「一犬吠形，百犬吠聲。」 |</v>
      </c>
    </row>
    <row r="3110" spans="1:44" hidden="1">
      <c r="A3110" s="1" t="s">
        <v>3918</v>
      </c>
      <c r="C3110" s="1">
        <v>1</v>
      </c>
      <c r="D3110" s="1" t="str">
        <f>"01574"</f>
        <v>01574</v>
      </c>
      <c r="E3110" s="1" t="s">
        <v>129</v>
      </c>
      <c r="F3110" s="1">
        <v>8</v>
      </c>
      <c r="G3110" s="1">
        <v>5</v>
      </c>
      <c r="H3110" s="1">
        <v>1</v>
      </c>
      <c r="I3110" s="1" t="s">
        <v>3915</v>
      </c>
      <c r="K3110" s="1" t="str">
        <f t="shared" si="197"/>
        <v>ㄈ</v>
      </c>
      <c r="L3110" s="1" t="str">
        <f t="shared" si="198"/>
        <v>ㄟ</v>
      </c>
      <c r="N3110" s="3" t="s">
        <v>30574</v>
      </c>
      <c r="O3110" s="3"/>
      <c r="P3110" s="1" t="s">
        <v>20</v>
      </c>
      <c r="R3110" s="1" t="s">
        <v>3916</v>
      </c>
      <c r="V3110" s="1" t="s">
        <v>3919</v>
      </c>
      <c r="W3110" s="1" t="s">
        <v>3920</v>
      </c>
      <c r="AR3110" s="1" t="str">
        <f t="shared" si="200"/>
        <v>| [ㄈㄟˋ](ㄈㄟˋ.md) | [沸](沸.md) |  | fèi | [動]
1.液體受熱而產生氣泡、上下翻滾。如：「滾沸」、「沸騰」。《詩經．大雅．盪》：「如蜩如螗，如沸如羹。」
2.水沫激盪。唐．李白〈望廬山瀑布水〉詩二首之一：「飛珠散輕霞，流沫沸穹石。」
3.動盪。唐．韓愈〈石鼓歌〉：「周綱陵遲四海沸，宣王憤起揮干戈。」
4.喧鬧。宋．陸游〈丁酉上元〉詩：「鼓吹連天沸五門，燈山萬炬動黃昏。」
[形]
1.熱度極高或向上湧動的。如：「沸湯」、「沸泉」、「沸水」。
2.嘈雜的。宋．歐陽修〈漁家傲．十二月嚴凝天地閉〉詞：「增豪氣，直教耳熱笙歌沸。」
[名]
滾燙的液體。《荀子．議兵》：「以卵擊石，以指撓沸，若赴水火。」 |</v>
      </c>
    </row>
    <row r="3111" spans="1:44" hidden="1">
      <c r="A3111" s="1" t="s">
        <v>514</v>
      </c>
      <c r="C3111" s="1">
        <v>1</v>
      </c>
      <c r="D3111" s="1" t="str">
        <f>"01575"</f>
        <v>01575</v>
      </c>
      <c r="E3111" s="1" t="s">
        <v>250</v>
      </c>
      <c r="F3111" s="1">
        <v>8</v>
      </c>
      <c r="G3111" s="1">
        <v>5</v>
      </c>
      <c r="H3111" s="1">
        <v>3</v>
      </c>
      <c r="I3111" s="1" t="s">
        <v>3915</v>
      </c>
      <c r="K3111" s="1" t="str">
        <f t="shared" si="197"/>
        <v>ㄈ</v>
      </c>
      <c r="L3111" s="1" t="str">
        <f t="shared" si="198"/>
        <v>ㄟ</v>
      </c>
      <c r="N3111" s="3" t="s">
        <v>30574</v>
      </c>
      <c r="O3111" s="3"/>
      <c r="P3111" s="1" t="s">
        <v>20</v>
      </c>
      <c r="R3111" s="1" t="s">
        <v>3916</v>
      </c>
      <c r="V3111" s="1" t="s">
        <v>3921</v>
      </c>
      <c r="W3111" s="1" t="s">
        <v>3922</v>
      </c>
      <c r="AR3111" s="1" t="str">
        <f t="shared" si="200"/>
        <v>| [ㄈㄟˋ](ㄈㄟˋ.md) | [怫](怫.md) |  | fèi | 參見「怫恚」、「怫然」等條。 |</v>
      </c>
    </row>
    <row r="3112" spans="1:44" hidden="1">
      <c r="A3112" s="1" t="s">
        <v>3923</v>
      </c>
      <c r="C3112" s="1">
        <v>1</v>
      </c>
      <c r="D3112" s="1" t="str">
        <f>"01576"</f>
        <v>01576</v>
      </c>
      <c r="E3112" s="1" t="s">
        <v>198</v>
      </c>
      <c r="F3112" s="1">
        <v>8</v>
      </c>
      <c r="G3112" s="1">
        <v>5</v>
      </c>
      <c r="H3112" s="1">
        <v>0</v>
      </c>
      <c r="I3112" s="1" t="s">
        <v>3915</v>
      </c>
      <c r="K3112" s="1" t="str">
        <f t="shared" ref="K3112:K3175" si="201">LEFT(I3112, 1)</f>
        <v>ㄈ</v>
      </c>
      <c r="L3112" s="1" t="str">
        <f t="shared" ref="L3112:L3175" si="202">MID(I3112, 2, 1)</f>
        <v>ㄟ</v>
      </c>
      <c r="N3112" s="3" t="s">
        <v>30574</v>
      </c>
      <c r="O3112" s="3"/>
      <c r="P3112" s="1" t="s">
        <v>20</v>
      </c>
      <c r="R3112" s="1" t="s">
        <v>3916</v>
      </c>
      <c r="V3112" s="1" t="s">
        <v>3924</v>
      </c>
      <c r="AR3112" s="1" t="str">
        <f t="shared" si="200"/>
        <v>| [ㄈㄟˋ](ㄈㄟˋ.md) | [狒](狒.md) |  | fèi | 參見「狒狒」條。 |</v>
      </c>
    </row>
    <row r="3113" spans="1:44" hidden="1">
      <c r="A3113" s="1" t="s">
        <v>3925</v>
      </c>
      <c r="C3113" s="1">
        <v>1</v>
      </c>
      <c r="D3113" s="1" t="str">
        <f>"01577"</f>
        <v>01577</v>
      </c>
      <c r="E3113" s="1" t="s">
        <v>68</v>
      </c>
      <c r="F3113" s="1">
        <v>9</v>
      </c>
      <c r="G3113" s="1">
        <v>5</v>
      </c>
      <c r="H3113" s="1">
        <v>0</v>
      </c>
      <c r="I3113" s="1" t="s">
        <v>3915</v>
      </c>
      <c r="K3113" s="1" t="str">
        <f t="shared" si="201"/>
        <v>ㄈ</v>
      </c>
      <c r="L3113" s="1" t="str">
        <f t="shared" si="202"/>
        <v>ㄟ</v>
      </c>
      <c r="N3113" s="3" t="s">
        <v>30574</v>
      </c>
      <c r="O3113" s="3"/>
      <c r="P3113" s="1" t="s">
        <v>20</v>
      </c>
      <c r="R3113" s="1" t="s">
        <v>3916</v>
      </c>
      <c r="V3113" s="1" t="s">
        <v>3926</v>
      </c>
      <c r="AR3113" s="1" t="str">
        <f t="shared" si="200"/>
        <v>| [ㄈㄟˋ](ㄈㄟˋ.md) | [胇](胇.md) |  | fèi | [名]
同「肺」。《詩經．大雅．桑柔》「自有肺腸」句下漢．鄭玄．箋：「肺，又作胇。」 |</v>
      </c>
    </row>
    <row r="3114" spans="1:44" hidden="1">
      <c r="A3114" s="1" t="s">
        <v>989</v>
      </c>
      <c r="C3114" s="1">
        <v>1</v>
      </c>
      <c r="D3114" s="1" t="str">
        <f>"01578"</f>
        <v>01578</v>
      </c>
      <c r="E3114" s="1" t="s">
        <v>505</v>
      </c>
      <c r="F3114" s="1">
        <v>12</v>
      </c>
      <c r="G3114" s="1">
        <v>5</v>
      </c>
      <c r="H3114" s="1">
        <v>1</v>
      </c>
      <c r="I3114" s="1" t="s">
        <v>3915</v>
      </c>
      <c r="K3114" s="1" t="str">
        <f t="shared" si="201"/>
        <v>ㄈ</v>
      </c>
      <c r="L3114" s="1" t="str">
        <f t="shared" si="202"/>
        <v>ㄟ</v>
      </c>
      <c r="N3114" s="3" t="s">
        <v>30574</v>
      </c>
      <c r="O3114" s="3"/>
      <c r="P3114" s="1" t="s">
        <v>20</v>
      </c>
      <c r="R3114" s="1" t="s">
        <v>3916</v>
      </c>
      <c r="V3114" s="1" t="s">
        <v>3927</v>
      </c>
      <c r="W3114" s="1" t="s">
        <v>3928</v>
      </c>
      <c r="AR3114" s="1" t="str">
        <f t="shared" si="200"/>
        <v>| [ㄈㄟˋ](ㄈㄟˋ.md) | [費](費.md) |  | fèi | [動]
1.花用錢財。如：「花費」、「縻費」。
2.花用、消耗。如：「費力」、「費心」、「費勁」。《三國演義》第一七回：「曹兵十七萬，日費糧食浩大。」
3.應用廣泛。《禮記．中庸》：「君子之道費而隱。」
[形]
言詞煩瑣。《禮記．緇衣》：「口費而煩。」
[名]
1.財用、款項。如：「旅費」、「經費」、「公費」。
2.地名。春秋魯邑。在今大陸地區山東省魚臺縣西南。
3.姓。如春秋時有費無極，漢有費長房。 |</v>
      </c>
    </row>
    <row r="3115" spans="1:44" hidden="1">
      <c r="A3115" s="1" t="s">
        <v>3929</v>
      </c>
      <c r="C3115" s="1">
        <v>1</v>
      </c>
      <c r="D3115" s="1" t="str">
        <f>"01579"</f>
        <v>01579</v>
      </c>
      <c r="E3115" s="1" t="s">
        <v>55</v>
      </c>
      <c r="F3115" s="1">
        <v>20</v>
      </c>
      <c r="G3115" s="1">
        <v>12</v>
      </c>
      <c r="H3115" s="1">
        <v>0</v>
      </c>
      <c r="I3115" s="1" t="s">
        <v>3915</v>
      </c>
      <c r="K3115" s="1" t="str">
        <f t="shared" si="201"/>
        <v>ㄈ</v>
      </c>
      <c r="L3115" s="1" t="str">
        <f t="shared" si="202"/>
        <v>ㄟ</v>
      </c>
      <c r="N3115" s="3" t="s">
        <v>30574</v>
      </c>
      <c r="O3115" s="3"/>
      <c r="P3115" s="1" t="s">
        <v>20</v>
      </c>
      <c r="R3115" s="1" t="s">
        <v>3916</v>
      </c>
      <c r="V3115" s="1" t="s">
        <v>3930</v>
      </c>
      <c r="AR3115" s="1" t="str">
        <f t="shared" si="200"/>
        <v>| [ㄈㄟˋ](ㄈㄟˋ.md) | [鐨](鐨.md) |  | fèi | [名]
（fermium，Fm）化學元素。原子序100。一種人造的放射性元素。最早於西元一九五二年在氫彈爆後的碎片中發現。今可在核子反應爐中製造取得。 |</v>
      </c>
    </row>
    <row r="3116" spans="1:44" hidden="1">
      <c r="A3116" s="1" t="s">
        <v>3931</v>
      </c>
      <c r="C3116" s="1">
        <v>1</v>
      </c>
      <c r="D3116" s="1" t="str">
        <f>"01580"</f>
        <v>01580</v>
      </c>
      <c r="E3116" s="1" t="s">
        <v>37</v>
      </c>
      <c r="F3116" s="1">
        <v>8</v>
      </c>
      <c r="G3116" s="1">
        <v>4</v>
      </c>
      <c r="H3116" s="1">
        <v>1</v>
      </c>
      <c r="I3116" s="1" t="s">
        <v>3915</v>
      </c>
      <c r="K3116" s="1" t="str">
        <f t="shared" si="201"/>
        <v>ㄈ</v>
      </c>
      <c r="L3116" s="1" t="str">
        <f t="shared" si="202"/>
        <v>ㄟ</v>
      </c>
      <c r="N3116" s="3" t="s">
        <v>30574</v>
      </c>
      <c r="O3116" s="3"/>
      <c r="P3116" s="1" t="s">
        <v>20</v>
      </c>
      <c r="R3116" s="1" t="s">
        <v>3916</v>
      </c>
      <c r="V3116" s="1" t="s">
        <v>3932</v>
      </c>
      <c r="W3116" s="1" t="s">
        <v>3933</v>
      </c>
      <c r="AR3116" s="1" t="str">
        <f t="shared" si="200"/>
        <v>| [ㄈㄟˋ](ㄈㄟˋ.md) | [芾](芾.md) |  | fèi | [形]
1.草木茂盛的樣子。如：「荒茅芾芾」。《詩經．召南．甘棠》：「蔽芾甘棠，勿翦勿伐。」宋．王禹偁〈茶園十二韻〉詩：「蔽芾餘千本，青蔥共一園。」後比喻庇蔭。宋．蘇軾〈寶月大師塔銘〉：「錦城之東，松柏森然，子孫如林，蔽芾其陰。」
2.植物幼嫩或樹葉初生的樣子。《詩經．小雅．我行其野》：「我行其野，蔽芾其樗。」宋．蘇軾〈和趙景貺栽檜〉詩：「乃知蔽芾初，甚要封植勤。」 |</v>
      </c>
    </row>
    <row r="3117" spans="1:44" hidden="1">
      <c r="A3117" s="1" t="s">
        <v>1718</v>
      </c>
      <c r="C3117" s="1">
        <v>1</v>
      </c>
      <c r="D3117" s="1" t="str">
        <f>"01581"</f>
        <v>01581</v>
      </c>
      <c r="E3117" s="1" t="s">
        <v>68</v>
      </c>
      <c r="F3117" s="1">
        <v>8</v>
      </c>
      <c r="G3117" s="1">
        <v>4</v>
      </c>
      <c r="H3117" s="1">
        <v>1</v>
      </c>
      <c r="I3117" s="1" t="s">
        <v>3915</v>
      </c>
      <c r="K3117" s="1" t="str">
        <f t="shared" si="201"/>
        <v>ㄈ</v>
      </c>
      <c r="L3117" s="1" t="str">
        <f t="shared" si="202"/>
        <v>ㄟ</v>
      </c>
      <c r="N3117" s="3" t="s">
        <v>30574</v>
      </c>
      <c r="O3117" s="3"/>
      <c r="P3117" s="1" t="s">
        <v>20</v>
      </c>
      <c r="R3117" s="1" t="s">
        <v>3916</v>
      </c>
      <c r="V3117" s="1" t="s">
        <v>3934</v>
      </c>
      <c r="W3117" s="1" t="s">
        <v>3935</v>
      </c>
      <c r="AR3117" s="1" t="str">
        <f t="shared" si="200"/>
        <v>| [ㄈㄟˋ](ㄈㄟˋ.md) | [肺](肺.md) |  | fèi | [名]
位於動物胸腔左右兩側負責氣體交換（吸入氧並供應至血液中及排出二氧化碳）的器官。由於人類心臟占據胸腔左側的部分空間，因此左肺較小，分為上、下二葉；右肺則較大，分為上、中、下三葉。也稱為「肺臟」。 |</v>
      </c>
    </row>
    <row r="3118" spans="1:44" hidden="1">
      <c r="A3118" s="1" t="s">
        <v>3936</v>
      </c>
      <c r="C3118" s="1">
        <v>1</v>
      </c>
      <c r="D3118" s="1" t="str">
        <f>"01582"</f>
        <v>01582</v>
      </c>
      <c r="E3118" s="1" t="s">
        <v>1941</v>
      </c>
      <c r="F3118" s="1">
        <v>10</v>
      </c>
      <c r="G3118" s="1">
        <v>8</v>
      </c>
      <c r="H3118" s="1">
        <v>0</v>
      </c>
      <c r="I3118" s="1" t="s">
        <v>3915</v>
      </c>
      <c r="K3118" s="1" t="str">
        <f t="shared" si="201"/>
        <v>ㄈ</v>
      </c>
      <c r="L3118" s="1" t="str">
        <f t="shared" si="202"/>
        <v>ㄟ</v>
      </c>
      <c r="N3118" s="3" t="s">
        <v>30574</v>
      </c>
      <c r="O3118" s="3"/>
      <c r="P3118" s="1" t="s">
        <v>20</v>
      </c>
      <c r="R3118" s="1" t="s">
        <v>3916</v>
      </c>
      <c r="V3118" s="1" t="s">
        <v>3937</v>
      </c>
      <c r="AR3118" s="1" t="str">
        <f t="shared" si="200"/>
        <v>| [ㄈㄟˋ](ㄈㄟˋ.md) | [厞](厞.md) |  | fèi | [形]
隱蔽的。《禮記．喪大記》：「甸人取所徹廟之西北厞薪，用爨之。」 |</v>
      </c>
    </row>
    <row r="3119" spans="1:44" hidden="1">
      <c r="A3119" s="1" t="s">
        <v>3938</v>
      </c>
      <c r="C3119" s="1">
        <v>1</v>
      </c>
      <c r="D3119" s="1" t="str">
        <f>"01583"</f>
        <v>01583</v>
      </c>
      <c r="E3119" s="1" t="s">
        <v>185</v>
      </c>
      <c r="F3119" s="1">
        <v>10</v>
      </c>
      <c r="G3119" s="1">
        <v>8</v>
      </c>
      <c r="H3119" s="1">
        <v>0</v>
      </c>
      <c r="I3119" s="1" t="s">
        <v>3915</v>
      </c>
      <c r="K3119" s="1" t="str">
        <f t="shared" si="201"/>
        <v>ㄈ</v>
      </c>
      <c r="L3119" s="1" t="str">
        <f t="shared" si="202"/>
        <v>ㄟ</v>
      </c>
      <c r="N3119" s="3" t="s">
        <v>30574</v>
      </c>
      <c r="O3119" s="3"/>
      <c r="P3119" s="1" t="s">
        <v>20</v>
      </c>
      <c r="R3119" s="1" t="s">
        <v>3916</v>
      </c>
      <c r="V3119" s="1" t="s">
        <v>3939</v>
      </c>
      <c r="AR3119" s="1" t="str">
        <f t="shared" si="200"/>
        <v>| [ㄈㄟˋ](ㄈㄟˋ.md) | [剕](剕.md) |  | fèi | [名]
古代一種斷腳的刑名。《書經．呂刑》：「剕辟疑赦，其罰倍差，閱實其罪。」 |</v>
      </c>
    </row>
    <row r="3120" spans="1:44" hidden="1">
      <c r="A3120" s="1" t="s">
        <v>3940</v>
      </c>
      <c r="C3120" s="1">
        <v>1</v>
      </c>
      <c r="D3120" s="1" t="str">
        <f>"01584"</f>
        <v>01584</v>
      </c>
      <c r="E3120" s="1" t="s">
        <v>871</v>
      </c>
      <c r="F3120" s="1">
        <v>11</v>
      </c>
      <c r="G3120" s="1">
        <v>8</v>
      </c>
      <c r="H3120" s="1">
        <v>0</v>
      </c>
      <c r="I3120" s="1" t="s">
        <v>3915</v>
      </c>
      <c r="K3120" s="1" t="str">
        <f t="shared" si="201"/>
        <v>ㄈ</v>
      </c>
      <c r="L3120" s="1" t="str">
        <f t="shared" si="202"/>
        <v>ㄟ</v>
      </c>
      <c r="N3120" s="3" t="s">
        <v>30574</v>
      </c>
      <c r="O3120" s="3"/>
      <c r="P3120" s="1" t="s">
        <v>20</v>
      </c>
      <c r="R3120" s="1" t="s">
        <v>3916</v>
      </c>
      <c r="V3120" s="1" t="s">
        <v>3941</v>
      </c>
      <c r="AR3120" s="1" t="str">
        <f t="shared" si="200"/>
        <v>| [ㄈㄟˋ](ㄈㄟˋ.md) | [屝](屝.md) |  | fèi | [名]
草鞋。唐．陸龜蒙〈襲美先輩以龜蒙所獻五百言既蒙見和復示榮唱至於千字提獎之重蔑有稱實再抒鄙懷用伸酬謝〉詩：「觸雨妨屝屨，臨流泥江蘺。」《資治通鑑．卷二二三．唐紀三十九．代宗永泰元年》：「以糧儲屝屨之資，充疲人貢賦，歲可減國租之半。」 |</v>
      </c>
    </row>
    <row r="3121" spans="1:44" hidden="1">
      <c r="A3121" s="1" t="s">
        <v>3856</v>
      </c>
      <c r="C3121" s="1">
        <v>1</v>
      </c>
      <c r="D3121" s="1" t="str">
        <f>"01585"</f>
        <v>01585</v>
      </c>
      <c r="E3121" s="1" t="s">
        <v>37</v>
      </c>
      <c r="F3121" s="1">
        <v>12</v>
      </c>
      <c r="G3121" s="1">
        <v>8</v>
      </c>
      <c r="H3121" s="1">
        <v>3</v>
      </c>
      <c r="I3121" s="1" t="s">
        <v>3915</v>
      </c>
      <c r="K3121" s="1" t="str">
        <f t="shared" si="201"/>
        <v>ㄈ</v>
      </c>
      <c r="L3121" s="1" t="str">
        <f t="shared" si="202"/>
        <v>ㄟ</v>
      </c>
      <c r="N3121" s="3" t="s">
        <v>30574</v>
      </c>
      <c r="O3121" s="3"/>
      <c r="P3121" s="1" t="s">
        <v>20</v>
      </c>
      <c r="R3121" s="1" t="s">
        <v>3916</v>
      </c>
      <c r="V3121" s="1" t="s">
        <v>3942</v>
      </c>
      <c r="W3121" s="1" t="s">
        <v>3943</v>
      </c>
      <c r="AR3121" s="1" t="str">
        <f t="shared" si="200"/>
        <v>| [ㄈㄟˋ](ㄈㄟˋ.md) | [菲](菲.md) |  | fèi | [名]
草鞋。通「屝」。《樂府詩集．卷三八．相和歌辭十三．古辭．孤兒行》：「手為錯，足下無菲。」 |</v>
      </c>
    </row>
    <row r="3122" spans="1:44" hidden="1">
      <c r="A3122" s="1" t="s">
        <v>3944</v>
      </c>
      <c r="C3122" s="1">
        <v>1</v>
      </c>
      <c r="D3122" s="1" t="str">
        <f>"01586"</f>
        <v>01586</v>
      </c>
      <c r="E3122" s="1" t="s">
        <v>40</v>
      </c>
      <c r="F3122" s="1">
        <v>13</v>
      </c>
      <c r="G3122" s="1">
        <v>8</v>
      </c>
      <c r="H3122" s="1">
        <v>0</v>
      </c>
      <c r="I3122" s="1" t="s">
        <v>3915</v>
      </c>
      <c r="K3122" s="1" t="str">
        <f t="shared" si="201"/>
        <v>ㄈ</v>
      </c>
      <c r="L3122" s="1" t="str">
        <f t="shared" si="202"/>
        <v>ㄟ</v>
      </c>
      <c r="N3122" s="3" t="s">
        <v>30574</v>
      </c>
      <c r="O3122" s="3"/>
      <c r="P3122" s="1" t="s">
        <v>20</v>
      </c>
      <c r="R3122" s="1" t="s">
        <v>3916</v>
      </c>
      <c r="V3122" s="1" t="s">
        <v>3945</v>
      </c>
      <c r="AR3122" s="1" t="str">
        <f t="shared" si="200"/>
        <v>| [ㄈㄟˋ](ㄈㄟˋ.md) | [痱](痱.md) |  | fèi | [名]
1.常在夏天高溫悶熱環境下，出汗過多而蒸發不暢，導致汗孔堵塞，汗管破裂，汗液外溢滲入周圍組織，引起淺表性炎症反應而發出很癢的小紅疹，也稱為「痱子」。
2.風痱。偏癱症的古稱。《漢書．卷五二．竇田灌韓傳．灌夫》：「嬰良久乃聞有劾，即陽病痱，不食欲死。」 |</v>
      </c>
    </row>
    <row r="3123" spans="1:44" hidden="1">
      <c r="A3123" s="1" t="s">
        <v>3946</v>
      </c>
      <c r="C3123" s="1">
        <v>1</v>
      </c>
      <c r="D3123" s="1" t="str">
        <f>"01587"</f>
        <v>01587</v>
      </c>
      <c r="E3123" s="1" t="s">
        <v>156</v>
      </c>
      <c r="F3123" s="1">
        <v>19</v>
      </c>
      <c r="G3123" s="1">
        <v>8</v>
      </c>
      <c r="H3123" s="1">
        <v>0</v>
      </c>
      <c r="I3123" s="1" t="s">
        <v>3915</v>
      </c>
      <c r="K3123" s="1" t="str">
        <f t="shared" si="201"/>
        <v>ㄈ</v>
      </c>
      <c r="L3123" s="1" t="str">
        <f t="shared" si="202"/>
        <v>ㄟ</v>
      </c>
      <c r="N3123" s="3" t="s">
        <v>30574</v>
      </c>
      <c r="O3123" s="3"/>
      <c r="P3123" s="1" t="s">
        <v>20</v>
      </c>
      <c r="R3123" s="1" t="s">
        <v>3916</v>
      </c>
      <c r="V3123" s="1" t="s">
        <v>3947</v>
      </c>
      <c r="AR3123" s="1" t="str">
        <f t="shared" si="200"/>
        <v>| [ㄈㄟˋ](ㄈㄟˋ.md) | [鯡](鯡.md) |  | fèi | [名]
鱸形目鯡科魚類的通稱。體長約一尺，魚鱗粗大，柔軟易剝，口闊，下顎骨突出，齒細軟，背青藍色，腹銀白。棲於外洋，早春至近海產卵。 |</v>
      </c>
    </row>
    <row r="3124" spans="1:44" hidden="1">
      <c r="A3124" s="1" t="s">
        <v>3948</v>
      </c>
      <c r="C3124" s="1">
        <v>1</v>
      </c>
      <c r="D3124" s="1" t="str">
        <f>"01588"</f>
        <v>01588</v>
      </c>
      <c r="E3124" s="1" t="s">
        <v>447</v>
      </c>
      <c r="F3124" s="1">
        <v>15</v>
      </c>
      <c r="G3124" s="1">
        <v>12</v>
      </c>
      <c r="H3124" s="1">
        <v>0</v>
      </c>
      <c r="I3124" s="1" t="s">
        <v>3915</v>
      </c>
      <c r="K3124" s="1" t="str">
        <f t="shared" si="201"/>
        <v>ㄈ</v>
      </c>
      <c r="L3124" s="1" t="str">
        <f t="shared" si="202"/>
        <v>ㄟ</v>
      </c>
      <c r="N3124" s="3" t="s">
        <v>30574</v>
      </c>
      <c r="O3124" s="3"/>
      <c r="P3124" s="1" t="s">
        <v>20</v>
      </c>
      <c r="R3124" s="1" t="s">
        <v>3916</v>
      </c>
      <c r="V3124" s="1" t="s">
        <v>3949</v>
      </c>
      <c r="AR3124" s="1" t="str">
        <f t="shared" si="200"/>
        <v>| [ㄈㄟˋ](ㄈㄟˋ.md) | [廢](廢.md) |  | fèi | [動]
1.停止、捨棄。如：「廢除」、「廢止」、「廢寢忘食」。《論語．雍也》：「力不足者，中道而廢。」《孟子．梁惠王上》：「對曰：『然則廢釁鐘與？』」
2.衰敗、毀壞。《孟子．離婁上》：「其天下也以不仁，國之所以廢興存亡者亦然。」
[形]
1.敗壞的。如：「廢屋」、「廢車」。
2.無用的。如：「廢物」、「廢水」。
3.生理障礙的疾病。指聾、啞、跛足等。如：「殘廢」。《莊子．讓王》：「左手攫之，則右手廢。」
[名]
已停止或衰落的事物。宋．范仲淹〈岳陽樓記〉：「越明年，政通人和，百廢具興。」 |</v>
      </c>
    </row>
    <row r="3125" spans="1:44" hidden="1">
      <c r="A3125" s="1" t="s">
        <v>3950</v>
      </c>
      <c r="C3125" s="1">
        <v>1</v>
      </c>
      <c r="D3125" s="1" t="str">
        <f>"01589"</f>
        <v>01589</v>
      </c>
      <c r="E3125" s="1" t="s">
        <v>40</v>
      </c>
      <c r="F3125" s="1">
        <v>17</v>
      </c>
      <c r="G3125" s="1">
        <v>12</v>
      </c>
      <c r="H3125" s="1">
        <v>0</v>
      </c>
      <c r="I3125" s="1" t="s">
        <v>3915</v>
      </c>
      <c r="K3125" s="1" t="str">
        <f t="shared" si="201"/>
        <v>ㄈ</v>
      </c>
      <c r="L3125" s="1" t="str">
        <f t="shared" si="202"/>
        <v>ㄟ</v>
      </c>
      <c r="N3125" s="3" t="s">
        <v>30574</v>
      </c>
      <c r="O3125" s="3"/>
      <c r="P3125" s="1" t="s">
        <v>20</v>
      </c>
      <c r="R3125" s="1" t="s">
        <v>3916</v>
      </c>
      <c r="V3125" s="1" t="s">
        <v>3951</v>
      </c>
      <c r="AR3125" s="1" t="str">
        <f t="shared" si="200"/>
        <v>| [ㄈㄟˋ](ㄈㄟˋ.md) | [癈](癈.md) |  | fèi | [名]_x000D_
1.身體傷殘。指視覺、聽覺、語言、肢體方面失能。今多作「廢」。《周禮．地官司徒．族師》：「辨其貴賤、老幼、廢疾可任者。」唐．賈公彥．疏：「癈疾，謂癈與人事疾病。」_x000D_
2.久治不癒的疾病。《說文．疒部》：「癈，固病也。」宋．樓鑰〈范忠宣集原序〉：「公時在瞽癈風痺中，知上果用我，亦欲感激自奮而病不可為矣。」_x000D_
[動]_x000D_
廢棄。漢．王充《論衡．答佞》：「假令甲有高行奇知，名聲顯聞，將恐人君召問，扶而勝己，欲故癈不言，常騰譽之。」《冊府元龜．卷八六九．總錄部．博弈》：「或篤於好尚，遂成沉癖，癈事棄業，怠政墮官。」宋．汪應辰〈與朱元晦〉：「某承乏無補，重以目疾癈事，丐祠未獲，當再請也。」 |</v>
      </c>
    </row>
    <row r="3126" spans="1:44" hidden="1">
      <c r="A3126" s="1" t="s">
        <v>3952</v>
      </c>
      <c r="C3126" s="1">
        <v>1</v>
      </c>
      <c r="D3126" s="1" t="str">
        <f>"01590"</f>
        <v>01590</v>
      </c>
      <c r="E3126" s="1" t="s">
        <v>68</v>
      </c>
      <c r="F3126" s="1">
        <v>16</v>
      </c>
      <c r="G3126" s="1">
        <v>12</v>
      </c>
      <c r="H3126" s="1">
        <v>2</v>
      </c>
      <c r="I3126" s="1" t="s">
        <v>3915</v>
      </c>
      <c r="K3126" s="1" t="str">
        <f t="shared" si="201"/>
        <v>ㄈ</v>
      </c>
      <c r="L3126" s="1" t="str">
        <f t="shared" si="202"/>
        <v>ㄟ</v>
      </c>
      <c r="N3126" s="3" t="s">
        <v>30574</v>
      </c>
      <c r="O3126" s="3"/>
      <c r="P3126" s="1" t="s">
        <v>110</v>
      </c>
      <c r="R3126" s="1" t="s">
        <v>3916</v>
      </c>
      <c r="V3126" s="1" t="s">
        <v>111</v>
      </c>
      <c r="W3126" s="1" t="s">
        <v>3953</v>
      </c>
      <c r="AR3126" s="1" t="str">
        <f t="shared" si="200"/>
        <v>| [ㄈㄟˋ](ㄈㄟˋ.md) | [膹](膹.md) |  | fèi | (一)之又音。 |</v>
      </c>
    </row>
    <row r="3127" spans="1:44" hidden="1">
      <c r="A3127" s="1" t="s">
        <v>3877</v>
      </c>
      <c r="C3127" s="1">
        <v>1</v>
      </c>
      <c r="D3127" s="1" t="str">
        <f>"01557"</f>
        <v>01557</v>
      </c>
      <c r="E3127" s="1" t="s">
        <v>68</v>
      </c>
      <c r="F3127" s="1">
        <v>8</v>
      </c>
      <c r="G3127" s="1">
        <v>4</v>
      </c>
      <c r="H3127" s="1">
        <v>0</v>
      </c>
      <c r="I3127" s="1" t="s">
        <v>3878</v>
      </c>
      <c r="K3127" s="1" t="str">
        <f t="shared" si="201"/>
        <v>ㄈ</v>
      </c>
      <c r="L3127" s="1" t="str">
        <f t="shared" si="202"/>
        <v>ㄟ</v>
      </c>
      <c r="N3127" s="3" t="s">
        <v>30575</v>
      </c>
      <c r="O3127" s="3"/>
      <c r="P3127" s="1" t="s">
        <v>20</v>
      </c>
      <c r="R3127" s="1" t="s">
        <v>3879</v>
      </c>
      <c r="V3127" s="1" t="s">
        <v>3880</v>
      </c>
      <c r="AR3127" s="1" t="str">
        <f t="shared" si="200"/>
        <v>| [ㄈㄟˊ](ㄈㄟˊ.md) | [肥](肥.md) |  | féi | [形]
1.脂肪較多，肌肉豐滿。一般用來形容動物。如：「肥胖」、「肥豬」、「肥肉」。《禮記．禮運》：「膚革充盈，人之肥也。」
2.豐裕充足。《禮記．禮運》：「父子篤，兄弟睦，夫婦和，家之肥也。」
3.腴美。唐．韓愈〈送李愿歸盤谷序〉：「盤谷之間，泉甘而土肥。」
4.飽滿。宋．李清照〈如夢令．昨夜雨疏風驟〉詞：「知否，知否，應是綠肥紅瘦。」
5.利益豐厚的。如：「肥缺」。
6.衣服寬鬆。如：「袖子太肥了。」
[動]
在田地上施用養料。如：「肥田」。
[名]
1.肥馬。《漢書．卷二四．食貨志上》：「乘堅策肥，履絲曳縞。」
2.農地的營養劑。如：「施肥」、「有機肥」。
3.利益。如：「分肥」。
4.人、畜的糞便。如：「水肥」、「堆肥」。
5.姓。如漢代有肥親。 |</v>
      </c>
    </row>
    <row r="3128" spans="1:44" hidden="1">
      <c r="A3128" s="1" t="s">
        <v>3881</v>
      </c>
      <c r="C3128" s="1">
        <v>1</v>
      </c>
      <c r="D3128" s="1" t="str">
        <f>"01558"</f>
        <v>01558</v>
      </c>
      <c r="E3128" s="1" t="s">
        <v>129</v>
      </c>
      <c r="F3128" s="1">
        <v>11</v>
      </c>
      <c r="G3128" s="1">
        <v>8</v>
      </c>
      <c r="H3128" s="1">
        <v>0</v>
      </c>
      <c r="I3128" s="1" t="s">
        <v>3878</v>
      </c>
      <c r="K3128" s="1" t="str">
        <f t="shared" si="201"/>
        <v>ㄈ</v>
      </c>
      <c r="L3128" s="1" t="str">
        <f t="shared" si="202"/>
        <v>ㄟ</v>
      </c>
      <c r="N3128" s="3" t="s">
        <v>30575</v>
      </c>
      <c r="O3128" s="3"/>
      <c r="P3128" s="1" t="s">
        <v>20</v>
      </c>
      <c r="R3128" s="1" t="s">
        <v>3879</v>
      </c>
      <c r="V3128" s="1" t="s">
        <v>3882</v>
      </c>
      <c r="AR3128" s="1" t="str">
        <f t="shared" si="200"/>
        <v>| [ㄈㄟˊ](ㄈㄟˊ.md) | [淝](淝.md) |  | féi | 參見「淝水」條。 |</v>
      </c>
    </row>
    <row r="3129" spans="1:44" hidden="1">
      <c r="A3129" s="1" t="s">
        <v>3883</v>
      </c>
      <c r="C3129" s="1">
        <v>1</v>
      </c>
      <c r="D3129" s="1" t="str">
        <f>"01559"</f>
        <v>01559</v>
      </c>
      <c r="E3129" s="1" t="s">
        <v>679</v>
      </c>
      <c r="F3129" s="1">
        <v>14</v>
      </c>
      <c r="G3129" s="1">
        <v>8</v>
      </c>
      <c r="H3129" s="1">
        <v>0</v>
      </c>
      <c r="I3129" s="1" t="s">
        <v>3878</v>
      </c>
      <c r="K3129" s="1" t="str">
        <f t="shared" si="201"/>
        <v>ㄈ</v>
      </c>
      <c r="L3129" s="1" t="str">
        <f t="shared" si="202"/>
        <v>ㄟ</v>
      </c>
      <c r="N3129" s="3" t="s">
        <v>30575</v>
      </c>
      <c r="O3129" s="3"/>
      <c r="P3129" s="1" t="s">
        <v>20</v>
      </c>
      <c r="R3129" s="1" t="s">
        <v>3879</v>
      </c>
      <c r="V3129" s="1" t="s">
        <v>3884</v>
      </c>
      <c r="AR3129" s="1" t="str">
        <f t="shared" si="200"/>
        <v>| [ㄈㄟˊ](ㄈㄟˊ.md) | [蜰](蜰.md) |  | féi | [名]
動物名。指蜰蟲。節肢動物門昆蟲綱。身體扁平，好乾燥，藏於板壁、草蓆縫隙間，吸人畜之血，傳染疾病。 |</v>
      </c>
    </row>
    <row r="3130" spans="1:44" hidden="1">
      <c r="A3130" s="1" t="s">
        <v>3885</v>
      </c>
      <c r="C3130" s="1">
        <v>1</v>
      </c>
      <c r="D3130" s="1" t="str">
        <f>"01560"</f>
        <v>01560</v>
      </c>
      <c r="E3130" s="1" t="s">
        <v>68</v>
      </c>
      <c r="F3130" s="1">
        <v>12</v>
      </c>
      <c r="G3130" s="1">
        <v>8</v>
      </c>
      <c r="H3130" s="1">
        <v>0</v>
      </c>
      <c r="I3130" s="1" t="s">
        <v>3878</v>
      </c>
      <c r="K3130" s="1" t="str">
        <f t="shared" si="201"/>
        <v>ㄈ</v>
      </c>
      <c r="L3130" s="1" t="str">
        <f t="shared" si="202"/>
        <v>ㄟ</v>
      </c>
      <c r="N3130" s="3" t="s">
        <v>30575</v>
      </c>
      <c r="O3130" s="3"/>
      <c r="P3130" s="1" t="s">
        <v>20</v>
      </c>
      <c r="R3130" s="1" t="s">
        <v>3879</v>
      </c>
      <c r="V3130" s="1" t="s">
        <v>3886</v>
      </c>
      <c r="AR3130" s="1" t="str">
        <f t="shared" si="200"/>
        <v>| [ㄈㄟˊ](ㄈㄟˊ.md) | [腓](腓.md) |  | féi | [名]
1.脛後肌肉突出之處。俗稱為「腿肚」。
2.斷足之刑。如：「腓辟」。《周禮．秋官．司刑》「刖罪五百，殺罪五百」句下唐．賈公彥．疏：「咎繇改臏作腓，至周改腓作刖。」
[動]
1.病變。《詩經．小雅．四月》：「秋日淒淒，百卉具腓。」南朝梁．元帝〈秋風搖落〉：「秋風起兮寒鴈歸，寒蟬鳴兮秋草腓。」
2.迴避。《詩經．小雅．采薇》：「君子所及，小人所腓。」 |</v>
      </c>
    </row>
    <row r="3131" spans="1:44" hidden="1">
      <c r="A3131" s="1" t="s">
        <v>3846</v>
      </c>
      <c r="C3131" s="1">
        <v>1</v>
      </c>
      <c r="D3131" s="1" t="str">
        <f>"01561"</f>
        <v>01561</v>
      </c>
      <c r="E3131" s="1" t="s">
        <v>3390</v>
      </c>
      <c r="F3131" s="1">
        <v>8</v>
      </c>
      <c r="G3131" s="1">
        <v>0</v>
      </c>
      <c r="H3131" s="1">
        <v>2</v>
      </c>
      <c r="I3131" s="1" t="s">
        <v>3887</v>
      </c>
      <c r="K3131" s="1" t="str">
        <f t="shared" si="201"/>
        <v>ㄈ</v>
      </c>
      <c r="L3131" s="1" t="str">
        <f t="shared" si="202"/>
        <v>ㄟ</v>
      </c>
      <c r="N3131" s="3" t="s">
        <v>30576</v>
      </c>
      <c r="O3131" s="3"/>
      <c r="P3131" s="1" t="s">
        <v>20</v>
      </c>
      <c r="R3131" s="1" t="s">
        <v>3888</v>
      </c>
      <c r="V3131" s="1" t="s">
        <v>3889</v>
      </c>
      <c r="W3131" s="1" t="s">
        <v>3890</v>
      </c>
      <c r="AR3131" s="1" t="str">
        <f t="shared" si="200"/>
        <v>| [ㄈㄟˇ](ㄈㄟˇ.md) | [非](非.md) |  | fěi | [動]
詆毀、誹謗。通「誹」。《荀子．解蔽》：「故群臣去忠而事私，百姓怨非而不用。」 |</v>
      </c>
    </row>
    <row r="3132" spans="1:44" hidden="1">
      <c r="A3132" s="1" t="s">
        <v>3891</v>
      </c>
      <c r="C3132" s="1">
        <v>1</v>
      </c>
      <c r="D3132" s="1" t="str">
        <f>"01562"</f>
        <v>01562</v>
      </c>
      <c r="E3132" s="1" t="s">
        <v>3892</v>
      </c>
      <c r="F3132" s="1">
        <v>10</v>
      </c>
      <c r="G3132" s="1">
        <v>8</v>
      </c>
      <c r="H3132" s="1">
        <v>0</v>
      </c>
      <c r="I3132" s="1" t="s">
        <v>3887</v>
      </c>
      <c r="K3132" s="1" t="str">
        <f t="shared" si="201"/>
        <v>ㄈ</v>
      </c>
      <c r="L3132" s="1" t="str">
        <f t="shared" si="202"/>
        <v>ㄟ</v>
      </c>
      <c r="N3132" s="3" t="s">
        <v>30576</v>
      </c>
      <c r="O3132" s="3"/>
      <c r="P3132" s="1" t="s">
        <v>20</v>
      </c>
      <c r="R3132" s="1" t="s">
        <v>3888</v>
      </c>
      <c r="V3132" s="1" t="s">
        <v>3893</v>
      </c>
      <c r="AR3132" s="1" t="str">
        <f t="shared" si="200"/>
        <v>| [ㄈㄟˇ](ㄈㄟˇ.md) | [匪](匪.md) |  | fěi | [名]
1.形狀像篋的方形竹器，可用來盛物。今作「篚」。《說文解字．匚部》：「匪，器似竹篋。」
2.強盜賊寇。如：「土匪」、「盜匪」、「綁匪」。
[形]
有文彩的樣子。通「斐」。《詩經．衛風．淇奧》：「有匪君子，充耳琇瑩，會弁如星。」
[副]
不。《詩經．大雅．烝民》：「夙夜匪懈，以事一人。」《詩經．邶風．柏舟》：「我心匪石，不可轉也。」 |</v>
      </c>
    </row>
    <row r="3133" spans="1:44" hidden="1">
      <c r="A3133" s="1" t="s">
        <v>3894</v>
      </c>
      <c r="C3133" s="1">
        <v>1</v>
      </c>
      <c r="D3133" s="1" t="str">
        <f>"01563"</f>
        <v>01563</v>
      </c>
      <c r="E3133" s="1" t="s">
        <v>250</v>
      </c>
      <c r="F3133" s="1">
        <v>11</v>
      </c>
      <c r="G3133" s="1">
        <v>8</v>
      </c>
      <c r="H3133" s="1">
        <v>0</v>
      </c>
      <c r="I3133" s="1" t="s">
        <v>3887</v>
      </c>
      <c r="K3133" s="1" t="str">
        <f t="shared" si="201"/>
        <v>ㄈ</v>
      </c>
      <c r="L3133" s="1" t="str">
        <f t="shared" si="202"/>
        <v>ㄟ</v>
      </c>
      <c r="N3133" s="3" t="s">
        <v>30576</v>
      </c>
      <c r="O3133" s="3"/>
      <c r="P3133" s="1" t="s">
        <v>20</v>
      </c>
      <c r="R3133" s="1" t="s">
        <v>3888</v>
      </c>
      <c r="V3133" s="1" t="s">
        <v>3895</v>
      </c>
      <c r="AR3133" s="1" t="str">
        <f t="shared" si="200"/>
        <v>| [ㄈㄟˇ](ㄈㄟˇ.md) | [悱](悱.md) |  | fěi | [形]
心裡有意見想表露卻說不出來的樣子。《論語．述而》：「不憤不啟，不悱不發。」唐．白居易〈與元九書〉：「既憤悱之氣思有所洩，遂追就前志，勉為此書。」 |</v>
      </c>
    </row>
    <row r="3134" spans="1:44" hidden="1">
      <c r="A3134" s="1" t="s">
        <v>3853</v>
      </c>
      <c r="C3134" s="1">
        <v>1</v>
      </c>
      <c r="D3134" s="1" t="str">
        <f>"01564"</f>
        <v>01564</v>
      </c>
      <c r="E3134" s="1" t="s">
        <v>670</v>
      </c>
      <c r="F3134" s="1">
        <v>12</v>
      </c>
      <c r="G3134" s="1">
        <v>8</v>
      </c>
      <c r="H3134" s="1">
        <v>1</v>
      </c>
      <c r="I3134" s="1" t="s">
        <v>3887</v>
      </c>
      <c r="K3134" s="1" t="str">
        <f t="shared" si="201"/>
        <v>ㄈ</v>
      </c>
      <c r="L3134" s="1" t="str">
        <f t="shared" si="202"/>
        <v>ㄟ</v>
      </c>
      <c r="N3134" s="3" t="s">
        <v>30576</v>
      </c>
      <c r="O3134" s="3"/>
      <c r="P3134" s="1" t="s">
        <v>20</v>
      </c>
      <c r="R3134" s="1" t="s">
        <v>3888</v>
      </c>
      <c r="V3134" s="1" t="s">
        <v>3896</v>
      </c>
      <c r="W3134" s="1" t="s">
        <v>3897</v>
      </c>
      <c r="AR3134" s="1" t="str">
        <f t="shared" si="200"/>
        <v>| [ㄈㄟˇ](ㄈㄟˇ.md) | [斐](斐.md) |  | fěi | 參見「斐斐」、「斐然」等條。 |</v>
      </c>
    </row>
    <row r="3135" spans="1:44" hidden="1">
      <c r="A3135" s="1" t="s">
        <v>3898</v>
      </c>
      <c r="C3135" s="1">
        <v>1</v>
      </c>
      <c r="D3135" s="1" t="str">
        <f>"01565"</f>
        <v>01565</v>
      </c>
      <c r="E3135" s="1" t="s">
        <v>139</v>
      </c>
      <c r="F3135" s="1">
        <v>12</v>
      </c>
      <c r="G3135" s="1">
        <v>8</v>
      </c>
      <c r="H3135" s="1">
        <v>0</v>
      </c>
      <c r="I3135" s="1" t="s">
        <v>3887</v>
      </c>
      <c r="K3135" s="1" t="str">
        <f t="shared" si="201"/>
        <v>ㄈ</v>
      </c>
      <c r="L3135" s="1" t="str">
        <f t="shared" si="202"/>
        <v>ㄟ</v>
      </c>
      <c r="N3135" s="3" t="s">
        <v>30576</v>
      </c>
      <c r="O3135" s="3"/>
      <c r="P3135" s="1" t="s">
        <v>20</v>
      </c>
      <c r="R3135" s="1" t="s">
        <v>3888</v>
      </c>
      <c r="V3135" s="1" t="s">
        <v>3899</v>
      </c>
      <c r="AR3135" s="1" t="str">
        <f t="shared" si="200"/>
        <v>| [ㄈㄟˇ](ㄈㄟˇ.md) | [棐](棐.md) |  | fěi | [名]
使弓弦端正不曲屈的器具。《說文解字．木部》：「棐，輔也。」清．段玉裁．注：「棐，蓋弓檠之類。」
[動]
輔助。《書經．大誥》：「越天棐忱，爾時罔敢易法，矧今天降戾于周邦。」
[形]
薄。同「菲」。《漢書．卷六三．武五子傳．燕剌王劉旦傳》：「毋作棐德，毋乃廢備。」 |</v>
      </c>
    </row>
    <row r="3136" spans="1:44" hidden="1">
      <c r="A3136" s="1" t="s">
        <v>3856</v>
      </c>
      <c r="C3136" s="1">
        <v>1</v>
      </c>
      <c r="D3136" s="1" t="str">
        <f>"01566"</f>
        <v>01566</v>
      </c>
      <c r="E3136" s="1" t="s">
        <v>37</v>
      </c>
      <c r="F3136" s="1">
        <v>12</v>
      </c>
      <c r="G3136" s="1">
        <v>8</v>
      </c>
      <c r="H3136" s="1">
        <v>1</v>
      </c>
      <c r="I3136" s="1" t="s">
        <v>3887</v>
      </c>
      <c r="K3136" s="1" t="str">
        <f t="shared" si="201"/>
        <v>ㄈ</v>
      </c>
      <c r="L3136" s="1" t="str">
        <f t="shared" si="202"/>
        <v>ㄟ</v>
      </c>
      <c r="N3136" s="3" t="s">
        <v>30576</v>
      </c>
      <c r="O3136" s="3"/>
      <c r="P3136" s="1" t="s">
        <v>20</v>
      </c>
      <c r="R3136" s="1" t="s">
        <v>3888</v>
      </c>
      <c r="V3136" s="1" t="s">
        <v>3900</v>
      </c>
      <c r="W3136" s="1" t="s">
        <v>3901</v>
      </c>
      <c r="AR3136" s="1" t="str">
        <f t="shared" si="200"/>
        <v>| [ㄈㄟˇ](ㄈㄟˇ.md) | [菲](菲.md) |  | fěi | [名]
一種菜。《爾雅．釋草》：「菲，蒠菜。」晉．郭璞．注：「菲草，生下溼地，似蕪菁，華紫赤色，可食。」
[形]
微薄的。如：「菲薄」、「菲酌」、「菲儀」。《兒女英雄傳》第二回：「裡面卻用赤金鑲成，再用漆罩了一層，這分禮可就不菲。」 |</v>
      </c>
    </row>
    <row r="3137" spans="1:44" hidden="1">
      <c r="A3137" s="1" t="s">
        <v>3902</v>
      </c>
      <c r="C3137" s="1">
        <v>1</v>
      </c>
      <c r="D3137" s="1" t="str">
        <f>"01567"</f>
        <v>01567</v>
      </c>
      <c r="E3137" s="1" t="s">
        <v>139</v>
      </c>
      <c r="F3137" s="1">
        <v>14</v>
      </c>
      <c r="G3137" s="1">
        <v>10</v>
      </c>
      <c r="H3137" s="1">
        <v>0</v>
      </c>
      <c r="I3137" s="1" t="s">
        <v>3887</v>
      </c>
      <c r="K3137" s="1" t="str">
        <f t="shared" si="201"/>
        <v>ㄈ</v>
      </c>
      <c r="L3137" s="1" t="str">
        <f t="shared" si="202"/>
        <v>ㄟ</v>
      </c>
      <c r="N3137" s="3" t="s">
        <v>30576</v>
      </c>
      <c r="O3137" s="3"/>
      <c r="P3137" s="1" t="s">
        <v>20</v>
      </c>
      <c r="R3137" s="1" t="s">
        <v>3888</v>
      </c>
      <c r="V3137" s="1" t="s">
        <v>3903</v>
      </c>
      <c r="AR3137" s="1" t="str">
        <f t="shared" si="200"/>
        <v>| [ㄈㄟˇ](ㄈㄟˇ.md) | [榧](榧.md) |  | fěi | [名]
植物名。紅豆杉科榧屬，常綠大喬木。高可達二十五公尺。葉線形，長十一至二十五公厘，先端短凸尖，背面具二條氣孔帶。種實橢圓形，長二十至四十五公厘，核果狀，假種皮完全包被種子，紫褐色，被白粉。木理甚美，有香氣，為建築及製器之上材。也稱為「野杉」、「玉榧」、「玉山果」。 |</v>
      </c>
    </row>
    <row r="3138" spans="1:44" hidden="1">
      <c r="A3138" s="1" t="s">
        <v>3863</v>
      </c>
      <c r="C3138" s="1">
        <v>1</v>
      </c>
      <c r="D3138" s="1" t="str">
        <f>"01568"</f>
        <v>01568</v>
      </c>
      <c r="E3138" s="1" t="s">
        <v>679</v>
      </c>
      <c r="F3138" s="1">
        <v>14</v>
      </c>
      <c r="G3138" s="1">
        <v>8</v>
      </c>
      <c r="H3138" s="1">
        <v>1</v>
      </c>
      <c r="I3138" s="1" t="s">
        <v>3887</v>
      </c>
      <c r="K3138" s="1" t="str">
        <f t="shared" si="201"/>
        <v>ㄈ</v>
      </c>
      <c r="L3138" s="1" t="str">
        <f t="shared" si="202"/>
        <v>ㄟ</v>
      </c>
      <c r="N3138" s="3" t="s">
        <v>30576</v>
      </c>
      <c r="O3138" s="3"/>
      <c r="P3138" s="1" t="s">
        <v>20</v>
      </c>
      <c r="R3138" s="1" t="s">
        <v>3888</v>
      </c>
      <c r="V3138" s="1" t="s">
        <v>3904</v>
      </c>
      <c r="W3138" s="1" t="s">
        <v>3905</v>
      </c>
      <c r="AR3138" s="1" t="str">
        <f t="shared" si="200"/>
        <v>| [ㄈㄟˇ](ㄈㄟˇ.md) | [蜚](蜚.md) |  | fěi | [名]
動物名。踳類。一種有害的昆蟲。形橢圓，發惡臭，食稻花。 |</v>
      </c>
    </row>
    <row r="3139" spans="1:44" hidden="1">
      <c r="A3139" s="1" t="s">
        <v>3906</v>
      </c>
      <c r="C3139" s="1">
        <v>1</v>
      </c>
      <c r="D3139" s="1" t="str">
        <f>"01569"</f>
        <v>01569</v>
      </c>
      <c r="E3139" s="1" t="s">
        <v>2271</v>
      </c>
      <c r="F3139" s="1">
        <v>14</v>
      </c>
      <c r="G3139" s="1">
        <v>8</v>
      </c>
      <c r="H3139" s="1">
        <v>0</v>
      </c>
      <c r="I3139" s="1" t="s">
        <v>3887</v>
      </c>
      <c r="K3139" s="1" t="str">
        <f t="shared" si="201"/>
        <v>ㄈ</v>
      </c>
      <c r="L3139" s="1" t="str">
        <f t="shared" si="202"/>
        <v>ㄟ</v>
      </c>
      <c r="N3139" s="3" t="s">
        <v>30576</v>
      </c>
      <c r="O3139" s="3"/>
      <c r="P3139" s="1" t="s">
        <v>20</v>
      </c>
      <c r="R3139" s="1" t="s">
        <v>3888</v>
      </c>
      <c r="V3139" s="1" t="s">
        <v>3907</v>
      </c>
      <c r="AR3139" s="1" t="str">
        <f t="shared" ref="AR3139:AR3202" si="203">"| ["&amp;I3139&amp;"]("&amp;I3139&amp;".md) | ["&amp;A3139&amp;"]("&amp;A3139&amp;".md) | "&amp;" | "&amp;R3139&amp;" | "&amp;V3139&amp;" |"</f>
        <v>| [ㄈㄟˇ](ㄈㄟˇ.md) | [翡](翡.md) |  | fěi | 參見「翡翠」條。 |</v>
      </c>
    </row>
    <row r="3140" spans="1:44" hidden="1">
      <c r="A3140" s="1" t="s">
        <v>3908</v>
      </c>
      <c r="C3140" s="1">
        <v>1</v>
      </c>
      <c r="D3140" s="1" t="str">
        <f>"01570"</f>
        <v>01570</v>
      </c>
      <c r="E3140" s="1" t="s">
        <v>331</v>
      </c>
      <c r="F3140" s="1">
        <v>15</v>
      </c>
      <c r="G3140" s="1">
        <v>8</v>
      </c>
      <c r="H3140" s="1">
        <v>0</v>
      </c>
      <c r="I3140" s="1" t="s">
        <v>3887</v>
      </c>
      <c r="K3140" s="1" t="str">
        <f t="shared" si="201"/>
        <v>ㄈ</v>
      </c>
      <c r="L3140" s="1" t="str">
        <f t="shared" si="202"/>
        <v>ㄟ</v>
      </c>
      <c r="N3140" s="3" t="s">
        <v>30576</v>
      </c>
      <c r="O3140" s="3"/>
      <c r="P3140" s="1" t="s">
        <v>20</v>
      </c>
      <c r="R3140" s="1" t="s">
        <v>3888</v>
      </c>
      <c r="V3140" s="1" t="s">
        <v>3909</v>
      </c>
      <c r="AR3140" s="1" t="str">
        <f t="shared" si="203"/>
        <v>| [ㄈㄟˇ](ㄈㄟˇ.md) | [誹](誹.md) |  | fěi | [動]
議論人非，並毀壞其名譽。如：「誹謗」、「怨誹」。《後漢書．卷六七．黨錮傳．序》：「誹訕朝廷，疑亂風俗。」 |</v>
      </c>
    </row>
    <row r="3141" spans="1:44" hidden="1">
      <c r="A3141" s="1" t="s">
        <v>3910</v>
      </c>
      <c r="C3141" s="1">
        <v>1</v>
      </c>
      <c r="D3141" s="1" t="str">
        <f>"01571"</f>
        <v>01571</v>
      </c>
      <c r="E3141" s="1" t="s">
        <v>49</v>
      </c>
      <c r="F3141" s="1">
        <v>16</v>
      </c>
      <c r="G3141" s="1">
        <v>10</v>
      </c>
      <c r="H3141" s="1">
        <v>0</v>
      </c>
      <c r="I3141" s="1" t="s">
        <v>3887</v>
      </c>
      <c r="K3141" s="1" t="str">
        <f t="shared" si="201"/>
        <v>ㄈ</v>
      </c>
      <c r="L3141" s="1" t="str">
        <f t="shared" si="202"/>
        <v>ㄟ</v>
      </c>
      <c r="N3141" s="3" t="s">
        <v>30576</v>
      </c>
      <c r="O3141" s="3"/>
      <c r="P3141" s="1" t="s">
        <v>20</v>
      </c>
      <c r="R3141" s="1" t="s">
        <v>3888</v>
      </c>
      <c r="V3141" s="1" t="s">
        <v>3911</v>
      </c>
      <c r="AR3141" s="1" t="str">
        <f t="shared" si="203"/>
        <v>| [ㄈㄟˇ](ㄈㄟˇ.md) | [篚](篚.md) |  | fěi | [名]
古代盛物用的方形竹器。南朝宋．劉義慶《世說新語．棲逸》：「筐篚苞苴，故當輕於天下之寶耳。」 |</v>
      </c>
    </row>
    <row r="3142" spans="1:44" hidden="1">
      <c r="A3142" s="1" t="s">
        <v>3912</v>
      </c>
      <c r="C3142" s="1">
        <v>1</v>
      </c>
      <c r="D3142" s="1" t="str">
        <f>"01572"</f>
        <v>01572</v>
      </c>
      <c r="E3142" s="1" t="s">
        <v>2014</v>
      </c>
      <c r="F3142" s="1">
        <v>9</v>
      </c>
      <c r="G3142" s="1">
        <v>5</v>
      </c>
      <c r="H3142" s="1">
        <v>0</v>
      </c>
      <c r="I3142" s="1" t="s">
        <v>3887</v>
      </c>
      <c r="K3142" s="1" t="str">
        <f t="shared" si="201"/>
        <v>ㄈ</v>
      </c>
      <c r="L3142" s="1" t="str">
        <f t="shared" si="202"/>
        <v>ㄟ</v>
      </c>
      <c r="N3142" s="3" t="s">
        <v>30576</v>
      </c>
      <c r="O3142" s="3"/>
      <c r="P3142" s="1" t="s">
        <v>20</v>
      </c>
      <c r="R3142" s="1" t="s">
        <v>3888</v>
      </c>
      <c r="V3142" s="1" t="s">
        <v>3913</v>
      </c>
      <c r="AR3142" s="1" t="str">
        <f t="shared" si="203"/>
        <v>| [ㄈㄟˇ](ㄈㄟˇ.md) | [朏](朏.md) |  | fěi | [名]
1.未盛明時的月光。《說文解字．月部》：「朏，月未盛之明也，从月出。周書曰：『丙午朏。』」
2.每月初三，上弦月的月光。《書經．召誥》：「越若來三月，惟丙午朏，越三日戊申、太保朝至于洛，卜它。」 |</v>
      </c>
    </row>
    <row r="3143" spans="1:44" hidden="1">
      <c r="A3143" s="1" t="s">
        <v>3980</v>
      </c>
      <c r="C3143" s="1">
        <v>1</v>
      </c>
      <c r="D3143" s="1" t="str">
        <f>"01601"</f>
        <v>01601</v>
      </c>
      <c r="E3143" s="1" t="s">
        <v>3981</v>
      </c>
      <c r="F3143" s="1">
        <v>9</v>
      </c>
      <c r="G3143" s="1">
        <v>6</v>
      </c>
      <c r="H3143" s="1">
        <v>2</v>
      </c>
      <c r="I3143" s="1" t="s">
        <v>3982</v>
      </c>
      <c r="K3143" s="1" t="str">
        <f t="shared" si="201"/>
        <v>ㄈ</v>
      </c>
      <c r="L3143" s="1" t="str">
        <f t="shared" si="202"/>
        <v>ㄡ</v>
      </c>
      <c r="N3143" s="3" t="s">
        <v>30574</v>
      </c>
      <c r="O3143" s="3"/>
      <c r="P3143" s="1" t="s">
        <v>20</v>
      </c>
      <c r="R3143" s="1" t="s">
        <v>3983</v>
      </c>
      <c r="V3143" s="1" t="s">
        <v>3984</v>
      </c>
      <c r="W3143" s="1" t="s">
        <v>3985</v>
      </c>
      <c r="AR3143" s="1" t="str">
        <f t="shared" si="203"/>
        <v>| [ㄈㄡˋ](ㄈㄡˋ.md) | [复](复.md) |  | fòu | 同「復」(二)。 |</v>
      </c>
    </row>
    <row r="3144" spans="1:44" hidden="1">
      <c r="A3144" s="1" t="s">
        <v>3986</v>
      </c>
      <c r="C3144" s="1">
        <v>1</v>
      </c>
      <c r="D3144" s="1" t="str">
        <f>"01602"</f>
        <v>01602</v>
      </c>
      <c r="E3144" s="1" t="s">
        <v>234</v>
      </c>
      <c r="F3144" s="1">
        <v>12</v>
      </c>
      <c r="G3144" s="1">
        <v>9</v>
      </c>
      <c r="H3144" s="1">
        <v>2</v>
      </c>
      <c r="I3144" s="1" t="s">
        <v>3982</v>
      </c>
      <c r="K3144" s="1" t="str">
        <f t="shared" si="201"/>
        <v>ㄈ</v>
      </c>
      <c r="L3144" s="1" t="str">
        <f t="shared" si="202"/>
        <v>ㄡ</v>
      </c>
      <c r="N3144" s="3" t="s">
        <v>30574</v>
      </c>
      <c r="O3144" s="3"/>
      <c r="P3144" s="1" t="s">
        <v>20</v>
      </c>
      <c r="R3144" s="1" t="s">
        <v>3983</v>
      </c>
      <c r="V3144" s="1" t="s">
        <v>3987</v>
      </c>
      <c r="W3144" s="1" t="s">
        <v>3988</v>
      </c>
      <c r="AR3144" s="1" t="str">
        <f t="shared" si="203"/>
        <v>| [ㄈㄡˋ](ㄈㄡˋ.md) | [復](復.md) |  | fòu | (一)[副]之又音。 |</v>
      </c>
    </row>
    <row r="3145" spans="1:44" hidden="1">
      <c r="A3145" s="1" t="s">
        <v>3960</v>
      </c>
      <c r="C3145" s="1">
        <v>1</v>
      </c>
      <c r="D3145" s="1" t="str">
        <f>"01593"</f>
        <v>01593</v>
      </c>
      <c r="E3145" s="1" t="s">
        <v>37</v>
      </c>
      <c r="F3145" s="1">
        <v>8</v>
      </c>
      <c r="G3145" s="1">
        <v>4</v>
      </c>
      <c r="H3145" s="1">
        <v>0</v>
      </c>
      <c r="I3145" s="1" t="s">
        <v>3961</v>
      </c>
      <c r="K3145" s="1" t="str">
        <f t="shared" si="201"/>
        <v>ㄈ</v>
      </c>
      <c r="L3145" s="1" t="str">
        <f t="shared" si="202"/>
        <v>ㄡ</v>
      </c>
      <c r="N3145" s="3" t="s">
        <v>30575</v>
      </c>
      <c r="O3145" s="3"/>
      <c r="P3145" s="1" t="s">
        <v>20</v>
      </c>
      <c r="R3145" s="1" t="s">
        <v>3962</v>
      </c>
      <c r="V3145" s="1" t="s">
        <v>3963</v>
      </c>
      <c r="AR3145" s="1" t="str">
        <f t="shared" si="203"/>
        <v>| [ㄈㄡˊ](ㄈㄡˊ.md) | [芣](芣.md) |  | fóu | [形]
花朵繁盛的樣子。《說文解字．艸部》：「芣，華盛。」
[名]
參見「芣苡」條。 |</v>
      </c>
    </row>
    <row r="3146" spans="1:44" hidden="1">
      <c r="A3146" s="1" t="s">
        <v>3964</v>
      </c>
      <c r="C3146" s="1">
        <v>1</v>
      </c>
      <c r="D3146" s="1" t="str">
        <f>"01594"</f>
        <v>01594</v>
      </c>
      <c r="E3146" s="1" t="s">
        <v>118</v>
      </c>
      <c r="F3146" s="1">
        <v>9</v>
      </c>
      <c r="G3146" s="1">
        <v>4</v>
      </c>
      <c r="H3146" s="1">
        <v>2</v>
      </c>
      <c r="I3146" s="1" t="s">
        <v>3961</v>
      </c>
      <c r="K3146" s="1" t="str">
        <f t="shared" si="201"/>
        <v>ㄈ</v>
      </c>
      <c r="L3146" s="1" t="str">
        <f t="shared" si="202"/>
        <v>ㄡ</v>
      </c>
      <c r="N3146" s="3" t="s">
        <v>30575</v>
      </c>
      <c r="O3146" s="3"/>
      <c r="P3146" s="1" t="s">
        <v>110</v>
      </c>
      <c r="R3146" s="1" t="s">
        <v>3962</v>
      </c>
      <c r="V3146" s="1" t="s">
        <v>111</v>
      </c>
      <c r="W3146" s="1" t="s">
        <v>3965</v>
      </c>
      <c r="AR3146" s="1" t="str">
        <f t="shared" si="203"/>
        <v>| [ㄈㄡˊ](ㄈㄡˊ.md) | [罘](罘.md) |  | fóu | (一)之又音。 |</v>
      </c>
    </row>
    <row r="3147" spans="1:44" hidden="1">
      <c r="A3147" s="1" t="s">
        <v>1680</v>
      </c>
      <c r="C3147" s="1">
        <v>1</v>
      </c>
      <c r="D3147" s="1" t="str">
        <f>"01595"</f>
        <v>01595</v>
      </c>
      <c r="E3147" s="1" t="s">
        <v>1681</v>
      </c>
      <c r="F3147" s="1">
        <v>10</v>
      </c>
      <c r="G3147" s="1">
        <v>4</v>
      </c>
      <c r="H3147" s="1">
        <v>2</v>
      </c>
      <c r="I3147" s="1" t="s">
        <v>3961</v>
      </c>
      <c r="K3147" s="1" t="str">
        <f t="shared" si="201"/>
        <v>ㄈ</v>
      </c>
      <c r="L3147" s="1" t="str">
        <f t="shared" si="202"/>
        <v>ㄡ</v>
      </c>
      <c r="N3147" s="3" t="s">
        <v>30575</v>
      </c>
      <c r="O3147" s="3"/>
      <c r="P3147" s="1" t="s">
        <v>20</v>
      </c>
      <c r="R3147" s="1" t="s">
        <v>3962</v>
      </c>
      <c r="V3147" s="1" t="s">
        <v>3966</v>
      </c>
      <c r="W3147" s="1" t="s">
        <v>3967</v>
      </c>
      <c r="AR3147" s="1" t="str">
        <f t="shared" si="203"/>
        <v>| [ㄈㄡˊ](ㄈㄡˊ.md) | [衃](衃.md) |  | fóu | [名]
蚍衃：一種似葵的植物。《爾雅．釋草》：「荍，蚍衃。」晉．郭璞．注：「今荊葵也。似葵，紫色。謝氏云：『小草。多華，少葉，葉又翹起。』」 |</v>
      </c>
    </row>
    <row r="3148" spans="1:44" hidden="1">
      <c r="A3148" s="1" t="s">
        <v>3968</v>
      </c>
      <c r="C3148" s="1">
        <v>1</v>
      </c>
      <c r="D3148" s="1" t="str">
        <f>"01596"</f>
        <v>01596</v>
      </c>
      <c r="E3148" s="1" t="s">
        <v>129</v>
      </c>
      <c r="F3148" s="1">
        <v>10</v>
      </c>
      <c r="G3148" s="1">
        <v>7</v>
      </c>
      <c r="H3148" s="1">
        <v>2</v>
      </c>
      <c r="I3148" s="1" t="s">
        <v>3961</v>
      </c>
      <c r="K3148" s="1" t="str">
        <f t="shared" si="201"/>
        <v>ㄈ</v>
      </c>
      <c r="L3148" s="1" t="str">
        <f t="shared" si="202"/>
        <v>ㄡ</v>
      </c>
      <c r="N3148" s="3" t="s">
        <v>30575</v>
      </c>
      <c r="O3148" s="3"/>
      <c r="P3148" s="1" t="s">
        <v>110</v>
      </c>
      <c r="R3148" s="1" t="s">
        <v>3962</v>
      </c>
      <c r="V3148" s="1" t="s">
        <v>111</v>
      </c>
      <c r="W3148" s="1" t="s">
        <v>3969</v>
      </c>
      <c r="AR3148" s="1" t="str">
        <f t="shared" si="203"/>
        <v>| [ㄈㄡˊ](ㄈㄡˊ.md) | [浮](浮.md) |  | fóu | (一)之又音。 |</v>
      </c>
    </row>
    <row r="3149" spans="1:44" hidden="1">
      <c r="A3149" s="1" t="s">
        <v>1481</v>
      </c>
      <c r="C3149" s="1">
        <v>1</v>
      </c>
      <c r="D3149" s="1" t="str">
        <f>"01597"</f>
        <v>01597</v>
      </c>
      <c r="E3149" s="1" t="s">
        <v>789</v>
      </c>
      <c r="F3149" s="1">
        <v>4</v>
      </c>
      <c r="G3149" s="1">
        <v>3</v>
      </c>
      <c r="H3149" s="1">
        <v>2</v>
      </c>
      <c r="I3149" s="1" t="s">
        <v>3970</v>
      </c>
      <c r="K3149" s="1" t="str">
        <f t="shared" si="201"/>
        <v>ㄈ</v>
      </c>
      <c r="L3149" s="1" t="str">
        <f t="shared" si="202"/>
        <v>ㄡ</v>
      </c>
      <c r="N3149" s="3" t="s">
        <v>30576</v>
      </c>
      <c r="O3149" s="3"/>
      <c r="P3149" s="1" t="s">
        <v>20</v>
      </c>
      <c r="R3149" s="1" t="s">
        <v>3971</v>
      </c>
      <c r="V3149" s="1" t="s">
        <v>3972</v>
      </c>
      <c r="W3149" s="1" t="s">
        <v>3973</v>
      </c>
      <c r="AR3149" s="1" t="str">
        <f t="shared" si="203"/>
        <v>| [ㄈㄡˇ](ㄈㄡˇ.md) | [不](不.md) |  | fǒu | [助]
1.表示否定。同「否」。《史記．卷一〇一．袁盎鼂錯傳》：「上問曰：『道軍所來，聞鼂錯死，吳楚罷不？』」
2.表示疑問、未定。同「否」。晉．陶淵明〈遊斜川〉詩：「未知從今去，當復如此不？」唐．李白〈秋浦歌〉一七首之一：「寄言向江水，汝意憶儂不？」 |</v>
      </c>
    </row>
    <row r="3150" spans="1:44" hidden="1">
      <c r="A3150" s="1" t="s">
        <v>2178</v>
      </c>
      <c r="C3150" s="1">
        <v>1</v>
      </c>
      <c r="D3150" s="1" t="str">
        <f>"01598"</f>
        <v>01598</v>
      </c>
      <c r="E3150" s="1" t="s">
        <v>28</v>
      </c>
      <c r="F3150" s="1">
        <v>7</v>
      </c>
      <c r="G3150" s="1">
        <v>4</v>
      </c>
      <c r="H3150" s="1">
        <v>1</v>
      </c>
      <c r="I3150" s="1" t="s">
        <v>3970</v>
      </c>
      <c r="K3150" s="1" t="str">
        <f t="shared" si="201"/>
        <v>ㄈ</v>
      </c>
      <c r="L3150" s="1" t="str">
        <f t="shared" si="202"/>
        <v>ㄡ</v>
      </c>
      <c r="N3150" s="3" t="s">
        <v>30576</v>
      </c>
      <c r="O3150" s="3"/>
      <c r="P3150" s="1" t="s">
        <v>20</v>
      </c>
      <c r="R3150" s="1" t="s">
        <v>3971</v>
      </c>
      <c r="V3150" s="1" t="s">
        <v>3974</v>
      </c>
      <c r="W3150" s="1" t="s">
        <v>3975</v>
      </c>
      <c r="AR3150" s="1" t="str">
        <f t="shared" si="203"/>
        <v>| [ㄈㄡˇ](ㄈㄡˇ.md) | [否](否.md) |  | fǒu | [副]
不同意。相當於口語中的「不」字。如：「否認」、「否決」。《戰國策．魏策四》：「否，非若是也。」
[助]
1.不然。如：「否則」。
2.用在問句句尾，表示詢問。如：「知道否？」 |</v>
      </c>
    </row>
    <row r="3151" spans="1:44" hidden="1">
      <c r="A3151" s="1" t="s">
        <v>3976</v>
      </c>
      <c r="C3151" s="1">
        <v>1</v>
      </c>
      <c r="D3151" s="1" t="str">
        <f>"01599"</f>
        <v>01599</v>
      </c>
      <c r="E3151" s="1" t="s">
        <v>175</v>
      </c>
      <c r="F3151" s="1">
        <v>6</v>
      </c>
      <c r="G3151" s="1">
        <v>0</v>
      </c>
      <c r="H3151" s="1">
        <v>0</v>
      </c>
      <c r="I3151" s="1" t="s">
        <v>3970</v>
      </c>
      <c r="K3151" s="1" t="str">
        <f t="shared" si="201"/>
        <v>ㄈ</v>
      </c>
      <c r="L3151" s="1" t="str">
        <f t="shared" si="202"/>
        <v>ㄡ</v>
      </c>
      <c r="N3151" s="3" t="s">
        <v>30576</v>
      </c>
      <c r="O3151" s="3"/>
      <c r="P3151" s="1" t="s">
        <v>20</v>
      </c>
      <c r="R3151" s="1" t="s">
        <v>3971</v>
      </c>
      <c r="V3151" s="1" t="s">
        <v>3977</v>
      </c>
      <c r="AR3151" s="1" t="str">
        <f t="shared" si="203"/>
        <v>| [ㄈㄡˇ](ㄈㄡˇ.md) | [缶](缶.md) |  | fǒu | [名]
1.盛酒漿的瓦器，腹大口小，有蓋。《說文解字．缶部》：「缶，瓦器，所以盛酒漿。」
2.樂器名，打擊樂器。古代一種瓦製的敲擊樂器，稱「擊缶」。《詩經．陳風．宛丘》：「坎其擊缶，宛丘之道。」唐．孔穎達．正義：「此云擊缶，則缶是樂器。」《舊唐書．卷二九．音樂志二》：「缶，如足盆，古西戎之樂，秦俗應而用之。其形似覆盆，以四杖擊之。」
3.二一四部首之一。 |</v>
      </c>
    </row>
    <row r="3152" spans="1:44" hidden="1">
      <c r="A3152" s="1" t="s">
        <v>3978</v>
      </c>
      <c r="C3152" s="1">
        <v>1</v>
      </c>
      <c r="D3152" s="1" t="str">
        <f>"01600"</f>
        <v>01600</v>
      </c>
      <c r="E3152" s="1" t="s">
        <v>336</v>
      </c>
      <c r="F3152" s="1">
        <v>10</v>
      </c>
      <c r="G3152" s="1">
        <v>6</v>
      </c>
      <c r="H3152" s="1">
        <v>0</v>
      </c>
      <c r="I3152" s="1" t="s">
        <v>3970</v>
      </c>
      <c r="K3152" s="1" t="str">
        <f t="shared" si="201"/>
        <v>ㄈ</v>
      </c>
      <c r="L3152" s="1" t="str">
        <f t="shared" si="202"/>
        <v>ㄡ</v>
      </c>
      <c r="N3152" s="3" t="s">
        <v>30576</v>
      </c>
      <c r="O3152" s="3"/>
      <c r="P3152" s="1" t="s">
        <v>20</v>
      </c>
      <c r="R3152" s="1" t="s">
        <v>3971</v>
      </c>
      <c r="V3152" s="1" t="s">
        <v>3979</v>
      </c>
      <c r="AR3152" s="1" t="str">
        <f t="shared" si="203"/>
        <v>| [ㄈㄡˇ](ㄈㄡˇ.md) | [缹](缹.md) |  | fǒu | [動]
烹煮、蒸煮。《齊民要術．卷八．蒸缹法》：「缹豬肉法，……於銅鐺中缹之，一行肉，一行擘蔥，渾豉白鹽薑椒，如是次第布訖，下水缹之。」 |</v>
      </c>
    </row>
    <row r="3153" spans="1:44" hidden="1">
      <c r="A3153" s="1" t="s">
        <v>3989</v>
      </c>
      <c r="C3153" s="1">
        <v>1</v>
      </c>
      <c r="D3153" s="1" t="str">
        <f>"01640"</f>
        <v>01640</v>
      </c>
      <c r="E3153" s="1" t="s">
        <v>1880</v>
      </c>
      <c r="F3153" s="1">
        <v>4</v>
      </c>
      <c r="G3153" s="1">
        <v>2</v>
      </c>
      <c r="H3153" s="1">
        <v>3</v>
      </c>
      <c r="I3153" s="1" t="s">
        <v>4073</v>
      </c>
      <c r="K3153" s="1" t="str">
        <f t="shared" si="201"/>
        <v>ㄈ</v>
      </c>
      <c r="L3153" s="1" t="str">
        <f t="shared" si="202"/>
        <v>ㄢ</v>
      </c>
      <c r="N3153" s="3" t="s">
        <v>30574</v>
      </c>
      <c r="O3153" s="3"/>
      <c r="P3153" s="1" t="s">
        <v>20</v>
      </c>
      <c r="R3153" s="1" t="s">
        <v>4074</v>
      </c>
      <c r="V3153" s="1" t="s">
        <v>4075</v>
      </c>
      <c r="W3153" s="1" t="s">
        <v>4076</v>
      </c>
      <c r="AR3153" s="1" t="str">
        <f t="shared" si="203"/>
        <v>| [ㄈㄢˋ](ㄈㄢˋ.md) | [反](反.md) |  | fàn | 做買賣，通「販」。《荀子．儒效》：「積反貨而為商賈，積禮義而為君子。」 |</v>
      </c>
    </row>
    <row r="3154" spans="1:44" hidden="1">
      <c r="A3154" s="1" t="s">
        <v>4077</v>
      </c>
      <c r="C3154" s="1">
        <v>1</v>
      </c>
      <c r="D3154" s="1" t="str">
        <f>"01641"</f>
        <v>01641</v>
      </c>
      <c r="E3154" s="1" t="s">
        <v>505</v>
      </c>
      <c r="F3154" s="1">
        <v>11</v>
      </c>
      <c r="G3154" s="1">
        <v>4</v>
      </c>
      <c r="H3154" s="1">
        <v>0</v>
      </c>
      <c r="I3154" s="1" t="s">
        <v>4073</v>
      </c>
      <c r="K3154" s="1" t="str">
        <f t="shared" si="201"/>
        <v>ㄈ</v>
      </c>
      <c r="L3154" s="1" t="str">
        <f t="shared" si="202"/>
        <v>ㄢ</v>
      </c>
      <c r="N3154" s="3" t="s">
        <v>30574</v>
      </c>
      <c r="O3154" s="3"/>
      <c r="P3154" s="1" t="s">
        <v>20</v>
      </c>
      <c r="R3154" s="1" t="s">
        <v>4074</v>
      </c>
      <c r="V3154" s="1" t="s">
        <v>4078</v>
      </c>
      <c r="AR3154" s="1" t="str">
        <f t="shared" si="203"/>
        <v>| [ㄈㄢˋ](ㄈㄢˋ.md) | [販](販.md) |  | fàn | [名]
做小買賣的人。如：「布販」、「菜販」、「攤販」、「小販」。
[動]
1.賣。如：「販魚」。《三國志．卷三二．蜀書．先主備傳》：「先主少孤，與母販履織席為業。」《舊唐書．卷二〇〇．黃巢傳》：「（巢）本以販鹽為事。」
2.買進。《水滸傳》第四四回：「因隨叔父來外鄉販羊馬賣，不想叔父半途亡故。」《紅樓夢》第四八回：「趕端陽節前，我順路販些紙劄香扇來賣。」 |</v>
      </c>
    </row>
    <row r="3155" spans="1:44" hidden="1">
      <c r="A3155" s="1" t="s">
        <v>4079</v>
      </c>
      <c r="C3155" s="1">
        <v>1</v>
      </c>
      <c r="D3155" s="1" t="str">
        <f>"01642"</f>
        <v>01642</v>
      </c>
      <c r="E3155" s="1" t="s">
        <v>193</v>
      </c>
      <c r="F3155" s="1">
        <v>12</v>
      </c>
      <c r="G3155" s="1">
        <v>4</v>
      </c>
      <c r="H3155" s="1">
        <v>0</v>
      </c>
      <c r="I3155" s="1" t="s">
        <v>4073</v>
      </c>
      <c r="K3155" s="1" t="str">
        <f t="shared" si="201"/>
        <v>ㄈ</v>
      </c>
      <c r="L3155" s="1" t="str">
        <f t="shared" si="202"/>
        <v>ㄢ</v>
      </c>
      <c r="N3155" s="3" t="s">
        <v>30574</v>
      </c>
      <c r="O3155" s="3"/>
      <c r="P3155" s="1" t="s">
        <v>20</v>
      </c>
      <c r="R3155" s="1" t="s">
        <v>4074</v>
      </c>
      <c r="V3155" s="1" t="s">
        <v>4080</v>
      </c>
      <c r="AR3155" s="1" t="str">
        <f t="shared" si="203"/>
        <v>| [ㄈㄢˋ](ㄈㄢˋ.md) | [飯](飯.md) |  | fàn | [名]
1.煮熟穀類的食物。如：「白米飯」、「糯米飯」、「稀飯」。
2.每天定時吃的正餐。如：「早飯」、「晚飯」。
[動]
1.吃。《論語．述而》：「飯疏食飲水，曲肱而枕之，樂亦在其中也。」
2.拿食物給別人吃。《史記．卷九二．淮陰侯傳》：「有一母見信飢，飯信。」
3.餵飼動物。《莊子．田子方》：「百里奚爵祿不入於心，故飯牛而牛肥。」《文選．鄒陽．獄中上書自明》：「𡩋戚飯牛車下，而桓公任之以國。」 |</v>
      </c>
    </row>
    <row r="3156" spans="1:44" hidden="1">
      <c r="A3156" s="1" t="s">
        <v>4025</v>
      </c>
      <c r="C3156" s="1">
        <v>1</v>
      </c>
      <c r="D3156" s="1" t="str">
        <f>"01643"</f>
        <v>01643</v>
      </c>
      <c r="E3156" s="1" t="s">
        <v>129</v>
      </c>
      <c r="F3156" s="1">
        <v>5</v>
      </c>
      <c r="G3156" s="1">
        <v>2</v>
      </c>
      <c r="H3156" s="1">
        <v>1</v>
      </c>
      <c r="I3156" s="1" t="s">
        <v>4073</v>
      </c>
      <c r="K3156" s="1" t="str">
        <f t="shared" si="201"/>
        <v>ㄈ</v>
      </c>
      <c r="L3156" s="1" t="str">
        <f t="shared" si="202"/>
        <v>ㄢ</v>
      </c>
      <c r="N3156" s="3" t="s">
        <v>30574</v>
      </c>
      <c r="O3156" s="3"/>
      <c r="P3156" s="1" t="s">
        <v>20</v>
      </c>
      <c r="R3156" s="1" t="s">
        <v>4074</v>
      </c>
      <c r="V3156" s="1" t="s">
        <v>4081</v>
      </c>
      <c r="W3156" s="1" t="s">
        <v>4082</v>
      </c>
      <c r="AR3156" s="1" t="str">
        <f t="shared" si="203"/>
        <v>| [ㄈㄢˋ](ㄈㄢˋ.md) | [氾](氾.md) |  | fàn | [動]
1.大水漫溢。如：「氾濫」。《漢書．卷六．武帝紀》：「河水決濮陽，氾郡十六。」《明史．卷八三．河渠志一》：「明年復決陽武，氾陳州、中牟……十一州縣。」
2.泛行、漂浮。通「泛」。《國語．晉語三》：「是故氾舟於河，歸糴於晉。」晉．陸雲〈答車茂安書〉：「氾船長驅，一舉千里。」
[副]
1.廣博、普遍。通「汎」。《莊子．天下》：「墨子氾愛兼利而非鬥，其道不怒。」《楚辭．劉向．九歎．思古》：「且倘佯而氾觀。」
2.淺顯、普通。《晉書．卷四六．劉頌傳》：「雖嘗抗疏陳辭，氾論政體，猶未悉所見，指言得失。」 |</v>
      </c>
    </row>
    <row r="3157" spans="1:44" hidden="1">
      <c r="A3157" s="1" t="s">
        <v>4083</v>
      </c>
      <c r="C3157" s="1">
        <v>1</v>
      </c>
      <c r="D3157" s="1" t="str">
        <f>"01644"</f>
        <v>01644</v>
      </c>
      <c r="E3157" s="1" t="s">
        <v>198</v>
      </c>
      <c r="F3157" s="1">
        <v>5</v>
      </c>
      <c r="G3157" s="1">
        <v>2</v>
      </c>
      <c r="H3157" s="1">
        <v>0</v>
      </c>
      <c r="I3157" s="1" t="s">
        <v>4073</v>
      </c>
      <c r="K3157" s="1" t="str">
        <f t="shared" si="201"/>
        <v>ㄈ</v>
      </c>
      <c r="L3157" s="1" t="str">
        <f t="shared" si="202"/>
        <v>ㄢ</v>
      </c>
      <c r="N3157" s="3" t="s">
        <v>30574</v>
      </c>
      <c r="O3157" s="3"/>
      <c r="P3157" s="1" t="s">
        <v>20</v>
      </c>
      <c r="R3157" s="1" t="s">
        <v>4074</v>
      </c>
      <c r="V3157" s="1" t="s">
        <v>4084</v>
      </c>
      <c r="AR3157" s="1" t="str">
        <f t="shared" si="203"/>
        <v>| [ㄈㄢˋ](ㄈㄢˋ.md) | [犯](犯.md) |  | fàn | [動]
1.侵害、干擾、沖撞。如：「侵犯」、「干犯」、「冒犯」、「人不犯我，我不犯人。」《國語．晉語八》：「忠不可暴，信不可犯。」
2.抵觸、違背。如：「犯法」、「犯規」、「違法犯紀」。《周禮．夏官．大司馬》：「犯令陵正，則杜之。」
3.發生。如：「他愛說謊的老毛病又犯了。」《紅樓夢》第一一五回：「你們忒不留神，二爺犯了病也不來回我。」
4.冒著。宋．蘇軾〈岐亭〉詩五首之一：「知我犯寒來，呼酒意頗多。」
5.落進、落到。元．無名氏《神奴兒》第三折：「我兒也，你今日犯到我這衙門裡來。」《老殘遊記》第五回：「或者說話說的不得法，犯到他手裡，也是一個死。」
[名]
有罪的人。如：「主犯」、「從犯」、「罪犯」、「嫌犯」。
[副]
值得。如：「犯不著」。《紅樓夢》第七五回：「四丫頭也不犯囉唕你，卻是誰呢？」 |</v>
      </c>
    </row>
    <row r="3158" spans="1:44" hidden="1">
      <c r="A3158" s="1" t="s">
        <v>4085</v>
      </c>
      <c r="C3158" s="1">
        <v>1</v>
      </c>
      <c r="D3158" s="1" t="str">
        <f>"01645"</f>
        <v>01645</v>
      </c>
      <c r="E3158" s="1" t="s">
        <v>37</v>
      </c>
      <c r="F3158" s="1">
        <v>9</v>
      </c>
      <c r="G3158" s="1">
        <v>5</v>
      </c>
      <c r="H3158" s="1">
        <v>0</v>
      </c>
      <c r="I3158" s="1" t="s">
        <v>4073</v>
      </c>
      <c r="K3158" s="1" t="str">
        <f t="shared" si="201"/>
        <v>ㄈ</v>
      </c>
      <c r="L3158" s="1" t="str">
        <f t="shared" si="202"/>
        <v>ㄢ</v>
      </c>
      <c r="N3158" s="3" t="s">
        <v>30574</v>
      </c>
      <c r="O3158" s="3"/>
      <c r="P3158" s="1" t="s">
        <v>20</v>
      </c>
      <c r="R3158" s="1" t="s">
        <v>4074</v>
      </c>
      <c r="V3158" s="1" t="s">
        <v>4086</v>
      </c>
      <c r="AR3158" s="1" t="str">
        <f t="shared" si="203"/>
        <v>| [ㄈㄢˋ](ㄈㄢˋ.md) | [范](范.md) |  | fàn | [名]
1.法則。通「範」。《爾雅．釋詁上》：「範，常也。」唐．陸德明《經典釋文．卷二九．爾雅音義上》：「範，音犯。字或作范，同。」
2.鑄造器物的模型。通「範」。《荀子．彊國》：「刑范正，金錫美，工治巧，火齊得。」唐．楊倞．注：「刑、范，鑄劍規模之器也。」
3.姓。如宋代有范仲淹。 |</v>
      </c>
    </row>
    <row r="3159" spans="1:44" hidden="1">
      <c r="A3159" s="1" t="s">
        <v>4087</v>
      </c>
      <c r="C3159" s="1">
        <v>1</v>
      </c>
      <c r="D3159" s="1" t="str">
        <f>"01646"</f>
        <v>01646</v>
      </c>
      <c r="E3159" s="1" t="s">
        <v>49</v>
      </c>
      <c r="F3159" s="1">
        <v>11</v>
      </c>
      <c r="G3159" s="1">
        <v>5</v>
      </c>
      <c r="H3159" s="1">
        <v>0</v>
      </c>
      <c r="I3159" s="1" t="s">
        <v>4073</v>
      </c>
      <c r="K3159" s="1" t="str">
        <f t="shared" si="201"/>
        <v>ㄈ</v>
      </c>
      <c r="L3159" s="1" t="str">
        <f t="shared" si="202"/>
        <v>ㄢ</v>
      </c>
      <c r="N3159" s="3" t="s">
        <v>30574</v>
      </c>
      <c r="O3159" s="3"/>
      <c r="P3159" s="1" t="s">
        <v>20</v>
      </c>
      <c r="R3159" s="1" t="s">
        <v>4074</v>
      </c>
      <c r="V3159" s="1" t="s">
        <v>4088</v>
      </c>
      <c r="AR3159" s="1" t="str">
        <f t="shared" si="203"/>
        <v>| [ㄈㄢˋ](ㄈㄢˋ.md) | [笵](笵.md) |  | fàn | [名]
1.竹製的模型。《說文解字．竹部》「笵」字．清．段玉裁．注：「《通俗文》曰：『規模曰笵。』玄應曰：『以土曰型，以金曰鎔，以木曰模，以竹曰笵。』一物材別也。」
2.法則、規範。通「範」。《玉篇．竹部》：「笵，楷式也，與範同。」 |</v>
      </c>
    </row>
    <row r="3160" spans="1:44" hidden="1">
      <c r="A3160" s="1" t="s">
        <v>4089</v>
      </c>
      <c r="C3160" s="1">
        <v>1</v>
      </c>
      <c r="D3160" s="1" t="str">
        <f>"01647"</f>
        <v>01647</v>
      </c>
      <c r="E3160" s="1" t="s">
        <v>49</v>
      </c>
      <c r="F3160" s="1">
        <v>15</v>
      </c>
      <c r="G3160" s="1">
        <v>9</v>
      </c>
      <c r="H3160" s="1">
        <v>0</v>
      </c>
      <c r="I3160" s="1" t="s">
        <v>4073</v>
      </c>
      <c r="K3160" s="1" t="str">
        <f t="shared" si="201"/>
        <v>ㄈ</v>
      </c>
      <c r="L3160" s="1" t="str">
        <f t="shared" si="202"/>
        <v>ㄢ</v>
      </c>
      <c r="N3160" s="3" t="s">
        <v>30574</v>
      </c>
      <c r="O3160" s="3"/>
      <c r="P3160" s="1" t="s">
        <v>20</v>
      </c>
      <c r="R3160" s="1" t="s">
        <v>4074</v>
      </c>
      <c r="V3160" s="1" t="s">
        <v>4090</v>
      </c>
      <c r="AR3160" s="1" t="str">
        <f t="shared" si="203"/>
        <v>| [ㄈㄢˋ](ㄈㄢˋ.md) | [範](範.md) |  | fàn | [名]
1.鑄造器物的模型。《集韻．去聲．范韻》：「範，模也。」宋．沈括《夢溪筆談．卷一八．技藝》：「欲印則以一鐵範置鐵板上，乃密布字印，滿鐵範為一板。」
2.法式、法則。如：「典範」、「規範」。
3.界限。如：「範圍」。
4.姓。如漢代有範依。
[形]
可為法式的、可效法的。如：「範本」、「範文」。
[動]
防止、限制。如：「防範」。 |</v>
      </c>
    </row>
    <row r="3161" spans="1:44" hidden="1">
      <c r="A3161" s="1" t="s">
        <v>4091</v>
      </c>
      <c r="C3161" s="1">
        <v>1</v>
      </c>
      <c r="D3161" s="1" t="str">
        <f>"01648"</f>
        <v>01648</v>
      </c>
      <c r="E3161" s="1" t="s">
        <v>129</v>
      </c>
      <c r="F3161" s="1">
        <v>6</v>
      </c>
      <c r="G3161" s="1">
        <v>3</v>
      </c>
      <c r="H3161" s="1">
        <v>0</v>
      </c>
      <c r="I3161" s="1" t="s">
        <v>4073</v>
      </c>
      <c r="K3161" s="1" t="str">
        <f t="shared" si="201"/>
        <v>ㄈ</v>
      </c>
      <c r="L3161" s="1" t="str">
        <f t="shared" si="202"/>
        <v>ㄢ</v>
      </c>
      <c r="N3161" s="3" t="s">
        <v>30574</v>
      </c>
      <c r="O3161" s="3"/>
      <c r="P3161" s="1" t="s">
        <v>20</v>
      </c>
      <c r="R3161" s="1" t="s">
        <v>4074</v>
      </c>
      <c r="V3161" s="1" t="s">
        <v>4092</v>
      </c>
      <c r="AR3161" s="1" t="str">
        <f t="shared" si="203"/>
        <v>| [ㄈㄢˋ](ㄈㄢˋ.md) | [汎](汎.md) |  | fàn | [動]
漂浮。通「泛」。三國魏．王粲〈從軍〉詩五首之二：「汎舟蓋長川，陳卒被隰埛。」
[副]
普遍、廣泛。通「泛」。《論語．學而》：「汎愛眾，而親仁。」《南齊書．卷四一．周顒傳》：「汎涉百家，長於佛理。」
[名]
姓。如漢代有汎嶷。 |</v>
      </c>
    </row>
    <row r="3162" spans="1:44" hidden="1">
      <c r="A3162" s="1" t="s">
        <v>4093</v>
      </c>
      <c r="C3162" s="1">
        <v>1</v>
      </c>
      <c r="D3162" s="1" t="str">
        <f>"01649"</f>
        <v>01649</v>
      </c>
      <c r="E3162" s="1" t="s">
        <v>139</v>
      </c>
      <c r="F3162" s="1">
        <v>11</v>
      </c>
      <c r="G3162" s="1">
        <v>7</v>
      </c>
      <c r="H3162" s="1">
        <v>0</v>
      </c>
      <c r="I3162" s="1" t="s">
        <v>4073</v>
      </c>
      <c r="K3162" s="1" t="str">
        <f t="shared" si="201"/>
        <v>ㄈ</v>
      </c>
      <c r="L3162" s="1" t="str">
        <f t="shared" si="202"/>
        <v>ㄢ</v>
      </c>
      <c r="N3162" s="3" t="s">
        <v>30574</v>
      </c>
      <c r="O3162" s="3"/>
      <c r="P3162" s="1" t="s">
        <v>20</v>
      </c>
      <c r="R3162" s="1" t="s">
        <v>4074</v>
      </c>
      <c r="V3162" s="1" t="s">
        <v>4094</v>
      </c>
      <c r="AR3162" s="1" t="str">
        <f t="shared" si="203"/>
        <v>| [ㄈㄢˋ](ㄈㄢˋ.md) | [梵](梵.md) |  | fàn | [名]
1.古印度思想中的世界創造原理。為梵語brahma的音譯。古印度婆羅門教認為梵是無所不在的最高實體，修行者最終極的目的就是與之合一。將其神格化則成為宇宙間最高的神，佛教將其歸為天界中的一類。
2.梵語的簡稱。如：「梵漢對音」。
[形]
1.表示和古印度有關的。如：「梵語」、「梵文」。
2.表示和佛教有關的。如：「梵輪」、「梵寺」。
3.清靜。《維摩詰所說經．卷一．方便品第二》：「示有妻子常修梵行。」 |</v>
      </c>
    </row>
    <row r="3163" spans="1:44" hidden="1">
      <c r="A3163" s="1" t="s">
        <v>4095</v>
      </c>
      <c r="C3163" s="1">
        <v>1</v>
      </c>
      <c r="D3163" s="1" t="str">
        <f>"01650"</f>
        <v>01650</v>
      </c>
      <c r="E3163" s="1" t="s">
        <v>129</v>
      </c>
      <c r="F3163" s="1">
        <v>8</v>
      </c>
      <c r="G3163" s="1">
        <v>5</v>
      </c>
      <c r="H3163" s="1">
        <v>1</v>
      </c>
      <c r="I3163" s="1" t="s">
        <v>4073</v>
      </c>
      <c r="K3163" s="1" t="str">
        <f t="shared" si="201"/>
        <v>ㄈ</v>
      </c>
      <c r="L3163" s="1" t="str">
        <f t="shared" si="202"/>
        <v>ㄢ</v>
      </c>
      <c r="N3163" s="3" t="s">
        <v>30574</v>
      </c>
      <c r="O3163" s="3"/>
      <c r="P3163" s="1" t="s">
        <v>20</v>
      </c>
      <c r="R3163" s="1" t="s">
        <v>4074</v>
      </c>
      <c r="V3163" s="1" t="s">
        <v>4096</v>
      </c>
      <c r="W3163" s="1" t="s">
        <v>4097</v>
      </c>
      <c r="AR3163" s="1" t="str">
        <f t="shared" si="203"/>
        <v>| [ㄈㄢˋ](ㄈㄢˋ.md) | [泛](泛.md) |  | fàn | [動]
1.漂浮。如：「泛舟」。唐．杜甫〈奉贈太常張卿均二十韻〉：「萍泛無休日，桃陰想舊蹊。」宋．陸游〈謝池春．壯歲從戎〉詞：「功名夢斷，卻泛扁舟吳楚。」
2.呈現、透著。如：「他臉上泛了一層紅光。」、「那條水溝泛著一陣陣惡臭。」
[形]
不切實。如：「空泛」、「浮泛」。
[副]
廣博、普遍。如：「廣泛」。《文選．司馬相如．上林賦》：「於是乎周覽泛觀，縝紛軋芴。」晉．陶淵明〈讀山海經〉詩一三首之一：「泛覽周王傳，流觀山海圖。」 |</v>
      </c>
    </row>
    <row r="3164" spans="1:44" hidden="1">
      <c r="A3164" s="1" t="s">
        <v>4098</v>
      </c>
      <c r="C3164" s="1">
        <v>1</v>
      </c>
      <c r="D3164" s="1" t="str">
        <f>"01651"</f>
        <v>01651</v>
      </c>
      <c r="E3164" s="1" t="s">
        <v>71</v>
      </c>
      <c r="F3164" s="1">
        <v>12</v>
      </c>
      <c r="G3164" s="1">
        <v>5</v>
      </c>
      <c r="H3164" s="1">
        <v>0</v>
      </c>
      <c r="I3164" s="1" t="s">
        <v>4073</v>
      </c>
      <c r="K3164" s="1" t="str">
        <f t="shared" si="201"/>
        <v>ㄈ</v>
      </c>
      <c r="L3164" s="1" t="str">
        <f t="shared" si="202"/>
        <v>ㄢ</v>
      </c>
      <c r="N3164" s="3" t="s">
        <v>30574</v>
      </c>
      <c r="O3164" s="3"/>
      <c r="P3164" s="1" t="s">
        <v>20</v>
      </c>
      <c r="R3164" s="1" t="s">
        <v>4074</v>
      </c>
      <c r="V3164" s="1" t="s">
        <v>4099</v>
      </c>
      <c r="AR3164" s="1" t="str">
        <f t="shared" si="203"/>
        <v>| [ㄈㄢˋ](ㄈㄢˋ.md) | [軬](軬.md) |  | fàn | [名]
車篷。《集韻．上聲．阮韻》：「軬，車上篷。」 |</v>
      </c>
    </row>
    <row r="3165" spans="1:44" hidden="1">
      <c r="A3165" s="1" t="s">
        <v>4016</v>
      </c>
      <c r="C3165" s="1">
        <v>1</v>
      </c>
      <c r="D3165" s="1" t="str">
        <f>"01614"</f>
        <v>01614</v>
      </c>
      <c r="E3165" s="1" t="s">
        <v>4017</v>
      </c>
      <c r="F3165" s="1">
        <v>3</v>
      </c>
      <c r="G3165" s="1">
        <v>2</v>
      </c>
      <c r="H3165" s="1">
        <v>0</v>
      </c>
      <c r="I3165" s="1" t="s">
        <v>4018</v>
      </c>
      <c r="K3165" s="1" t="str">
        <f t="shared" si="201"/>
        <v>ㄈ</v>
      </c>
      <c r="L3165" s="1" t="str">
        <f t="shared" si="202"/>
        <v>ㄢ</v>
      </c>
      <c r="N3165" s="3" t="s">
        <v>30575</v>
      </c>
      <c r="O3165" s="3"/>
      <c r="P3165" s="1" t="s">
        <v>20</v>
      </c>
      <c r="R3165" s="1" t="s">
        <v>4019</v>
      </c>
      <c r="V3165" s="1" t="s">
        <v>4020</v>
      </c>
      <c r="AR3165" s="1" t="str">
        <f t="shared" si="203"/>
        <v>| [ㄈㄢˊ](ㄈㄢˊ.md) | [凡](凡.md) |  | fán | [形]
1.平庸、平常。如：「平凡」、「非凡」、「自命不凡」。清．洪昇《長生殿》第三八齣：「我聽你這琵琶，非同凡手。」
2.塵世的、世俗的。如：「凡間」。唐．李中〈寄廬山簡寂觀重道者〉詩：「似醒一夢歸凡世，空向彤霞寄夢頻。」《西遊記》第二回：「去時凡骨凡胎重，得道身輕體亦輕。」
[名]
1.大旨、綱要。如：「發凡起例」。《漢書．卷八七．揚雄傳下》：「僕嘗倦談，不能一二其詳，請略舉凡，而客自覽其切焉。」
2.塵世間。如：「仙凡路隔」、「天仙下凡」。
[副]
1.概括之詞。如：「凡是有生命之物，都稱生物。」
2.總共。如：「全書凡二十章。」《文選．司馬遷．報任少卿書》：「凡百三十篇。」唐．柳宗元〈愚溪詩序〉：「愚泉凡六穴，皆出山下平地。」 |</v>
      </c>
    </row>
    <row r="3166" spans="1:44" hidden="1">
      <c r="A3166" s="1" t="s">
        <v>3994</v>
      </c>
      <c r="C3166" s="1">
        <v>1</v>
      </c>
      <c r="D3166" s="1" t="str">
        <f>"01615"</f>
        <v>01615</v>
      </c>
      <c r="E3166" s="1" t="s">
        <v>222</v>
      </c>
      <c r="F3166" s="1">
        <v>6</v>
      </c>
      <c r="G3166" s="1">
        <v>3</v>
      </c>
      <c r="H3166" s="1">
        <v>1</v>
      </c>
      <c r="I3166" s="1" t="s">
        <v>4018</v>
      </c>
      <c r="K3166" s="1" t="str">
        <f t="shared" si="201"/>
        <v>ㄈ</v>
      </c>
      <c r="L3166" s="1" t="str">
        <f t="shared" si="202"/>
        <v>ㄢ</v>
      </c>
      <c r="N3166" s="3" t="s">
        <v>30575</v>
      </c>
      <c r="O3166" s="3"/>
      <c r="P3166" s="1" t="s">
        <v>20</v>
      </c>
      <c r="R3166" s="1" t="s">
        <v>4019</v>
      </c>
      <c r="V3166" s="1" t="s">
        <v>4021</v>
      </c>
      <c r="W3166" s="1" t="s">
        <v>4022</v>
      </c>
      <c r="AR3166" s="1" t="str">
        <f t="shared" si="203"/>
        <v>| [ㄈㄢˊ](ㄈㄢˊ.md) | [帆](帆.md) |  | fán | [名]
1.掛在船桅上，利用風力使船行駛前進的布幔。如：「揚帆」、「船帆」。《老殘遊記》第一回：「又有兩枝新桅，掛著一扇簇新的帆。」
2.借指船。唐．溫庭筠〈憶江南．梳洗罷〉詞：「梳洗罷，獨倚望江南，過盡千帆皆不是。」宋．蘇軾〈次前韻送劉景文〉詩：「何時歸帆泝江水，春酒一變甘棠湖。」 |</v>
      </c>
    </row>
    <row r="3167" spans="1:44" hidden="1">
      <c r="A3167" s="1" t="s">
        <v>4023</v>
      </c>
      <c r="C3167" s="1">
        <v>1</v>
      </c>
      <c r="D3167" s="1" t="str">
        <f>"01616"</f>
        <v>01616</v>
      </c>
      <c r="E3167" s="1" t="s">
        <v>55</v>
      </c>
      <c r="F3167" s="1">
        <v>11</v>
      </c>
      <c r="G3167" s="1">
        <v>3</v>
      </c>
      <c r="H3167" s="1">
        <v>0</v>
      </c>
      <c r="I3167" s="1" t="s">
        <v>4018</v>
      </c>
      <c r="K3167" s="1" t="str">
        <f t="shared" si="201"/>
        <v>ㄈ</v>
      </c>
      <c r="L3167" s="1" t="str">
        <f t="shared" si="202"/>
        <v>ㄢ</v>
      </c>
      <c r="N3167" s="3" t="s">
        <v>30575</v>
      </c>
      <c r="O3167" s="3"/>
      <c r="P3167" s="1" t="s">
        <v>20</v>
      </c>
      <c r="R3167" s="1" t="s">
        <v>4019</v>
      </c>
      <c r="V3167" s="1" t="s">
        <v>4024</v>
      </c>
      <c r="AR3167" s="1" t="str">
        <f t="shared" si="203"/>
        <v>| [ㄈㄢˊ](ㄈㄢˊ.md) | [釩](釩.md) |  | fán | [名]
（vanadium，V)化學元素。原子序23。為銀白色的金屬，具延展性。主要以化合物形式存在礦石中。用於釩鋼的製造，可提高硬度及強度。 |</v>
      </c>
    </row>
    <row r="3168" spans="1:44" hidden="1">
      <c r="A3168" s="1" t="s">
        <v>4025</v>
      </c>
      <c r="C3168" s="1">
        <v>1</v>
      </c>
      <c r="D3168" s="1" t="str">
        <f>"01617"</f>
        <v>01617</v>
      </c>
      <c r="E3168" s="1" t="s">
        <v>129</v>
      </c>
      <c r="F3168" s="1">
        <v>5</v>
      </c>
      <c r="G3168" s="1">
        <v>2</v>
      </c>
      <c r="H3168" s="1">
        <v>2</v>
      </c>
      <c r="I3168" s="1" t="s">
        <v>4018</v>
      </c>
      <c r="K3168" s="1" t="str">
        <f t="shared" si="201"/>
        <v>ㄈ</v>
      </c>
      <c r="L3168" s="1" t="str">
        <f t="shared" si="202"/>
        <v>ㄢ</v>
      </c>
      <c r="N3168" s="3" t="s">
        <v>30575</v>
      </c>
      <c r="O3168" s="3"/>
      <c r="P3168" s="1" t="s">
        <v>20</v>
      </c>
      <c r="R3168" s="1" t="s">
        <v>4019</v>
      </c>
      <c r="V3168" s="1" t="s">
        <v>4026</v>
      </c>
      <c r="W3168" s="1" t="s">
        <v>4027</v>
      </c>
      <c r="AR3168" s="1" t="str">
        <f t="shared" si="203"/>
        <v>| [ㄈㄢˊ](ㄈㄢˊ.md) | [氾](氾.md) |  | fán | [名]
1.地名。春秋時鄭國邑地。南氾故地約在今大陸地區河南省襄城縣南；東氾故地約在今大陸地區河南省中牟縣南。
2.姓。如漢代有氾勝之。 |</v>
      </c>
    </row>
    <row r="3169" spans="1:44" hidden="1">
      <c r="A3169" s="1" t="s">
        <v>1886</v>
      </c>
      <c r="C3169" s="1">
        <v>1</v>
      </c>
      <c r="D3169" s="1" t="str">
        <f>"01618"</f>
        <v>01618</v>
      </c>
      <c r="E3169" s="1" t="s">
        <v>340</v>
      </c>
      <c r="F3169" s="1">
        <v>11</v>
      </c>
      <c r="G3169" s="1">
        <v>5</v>
      </c>
      <c r="H3169" s="1">
        <v>2</v>
      </c>
      <c r="I3169" s="1" t="s">
        <v>4018</v>
      </c>
      <c r="K3169" s="1" t="str">
        <f t="shared" si="201"/>
        <v>ㄈ</v>
      </c>
      <c r="L3169" s="1" t="str">
        <f t="shared" si="202"/>
        <v>ㄢ</v>
      </c>
      <c r="N3169" s="3" t="s">
        <v>30575</v>
      </c>
      <c r="O3169" s="3"/>
      <c r="P3169" s="1" t="s">
        <v>110</v>
      </c>
      <c r="R3169" s="1" t="s">
        <v>4019</v>
      </c>
      <c r="V3169" s="1" t="s">
        <v>111</v>
      </c>
      <c r="W3169" s="1" t="s">
        <v>4028</v>
      </c>
      <c r="AR3169" s="1" t="str">
        <f t="shared" si="203"/>
        <v>| [ㄈㄢˊ](ㄈㄢˊ.md) | [袢](袢.md) |  | fán | (一)之又音。 |</v>
      </c>
    </row>
    <row r="3170" spans="1:44" hidden="1">
      <c r="A3170" s="1" t="s">
        <v>4029</v>
      </c>
      <c r="C3170" s="1">
        <v>1</v>
      </c>
      <c r="D3170" s="1" t="str">
        <f>"01619"</f>
        <v>01619</v>
      </c>
      <c r="E3170" s="1" t="s">
        <v>49</v>
      </c>
      <c r="F3170" s="1">
        <v>11</v>
      </c>
      <c r="G3170" s="1">
        <v>5</v>
      </c>
      <c r="H3170" s="1">
        <v>0</v>
      </c>
      <c r="I3170" s="1" t="s">
        <v>4018</v>
      </c>
      <c r="K3170" s="1" t="str">
        <f t="shared" si="201"/>
        <v>ㄈ</v>
      </c>
      <c r="L3170" s="1" t="str">
        <f t="shared" si="202"/>
        <v>ㄢ</v>
      </c>
      <c r="N3170" s="3" t="s">
        <v>30575</v>
      </c>
      <c r="O3170" s="3"/>
      <c r="P3170" s="1" t="s">
        <v>20</v>
      </c>
      <c r="R3170" s="1" t="s">
        <v>4019</v>
      </c>
      <c r="V3170" s="1" t="s">
        <v>4030</v>
      </c>
      <c r="AR3170" s="1" t="str">
        <f t="shared" si="203"/>
        <v>| [ㄈㄢˊ](ㄈㄢˊ.md) | [笲](笲.md) |  | fán | [名]
古代一種盛物的竹器。《禮記．昏義》：「贊見婦於舅姑，執笲棗栗段脩以見。」唐．陸德明《經典釋文．卷一四．禮記音義之四》：「笲，器名，以葦若竹為之，其形如莒，衣之以青繒，以盛棗、栗、腶脩之屬。」 |</v>
      </c>
    </row>
    <row r="3171" spans="1:44" hidden="1">
      <c r="A3171" s="1" t="s">
        <v>4031</v>
      </c>
      <c r="C3171" s="1">
        <v>1</v>
      </c>
      <c r="D3171" s="1" t="str">
        <f>"01620"</f>
        <v>01620</v>
      </c>
      <c r="E3171" s="1" t="s">
        <v>336</v>
      </c>
      <c r="F3171" s="1">
        <v>13</v>
      </c>
      <c r="G3171" s="1">
        <v>9</v>
      </c>
      <c r="H3171" s="1">
        <v>0</v>
      </c>
      <c r="I3171" s="1" t="s">
        <v>4018</v>
      </c>
      <c r="K3171" s="1" t="str">
        <f t="shared" si="201"/>
        <v>ㄈ</v>
      </c>
      <c r="L3171" s="1" t="str">
        <f t="shared" si="202"/>
        <v>ㄢ</v>
      </c>
      <c r="N3171" s="3" t="s">
        <v>30575</v>
      </c>
      <c r="O3171" s="3"/>
      <c r="P3171" s="1" t="s">
        <v>20</v>
      </c>
      <c r="R3171" s="1" t="s">
        <v>4019</v>
      </c>
      <c r="V3171" s="1" t="s">
        <v>4032</v>
      </c>
      <c r="AR3171" s="1" t="str">
        <f t="shared" si="203"/>
        <v>| [ㄈㄢˊ](ㄈㄢˊ.md) | [煩](煩.md) |  | fán | [形]
1.躁悶。如：「煩悶」、「心煩氣躁」。唐．于邵〈晚秋陪盧侍御遊石橋序〉：「是以幽求人境之外，將蕩滌煩慮。」
2.繁雜、眾多。同「繁」。《書經．說命》：「禮煩則亂，事神則難。」《淮南子．主術》：「刑錯而不用，法省而不煩。」
[動]
勞動他人的敬詞。如：「煩您轉達」。《左傳．僖公三十年》：「若亡鄭而有益於君，敢以煩執事。」 |</v>
      </c>
    </row>
    <row r="3172" spans="1:44" hidden="1">
      <c r="A3172" s="1" t="s">
        <v>4033</v>
      </c>
      <c r="C3172" s="1">
        <v>1</v>
      </c>
      <c r="D3172" s="1" t="str">
        <f>"01621"</f>
        <v>01621</v>
      </c>
      <c r="E3172" s="1" t="s">
        <v>37</v>
      </c>
      <c r="F3172" s="1">
        <v>17</v>
      </c>
      <c r="G3172" s="1">
        <v>13</v>
      </c>
      <c r="H3172" s="1">
        <v>0</v>
      </c>
      <c r="I3172" s="1" t="s">
        <v>4018</v>
      </c>
      <c r="K3172" s="1" t="str">
        <f t="shared" si="201"/>
        <v>ㄈ</v>
      </c>
      <c r="L3172" s="1" t="str">
        <f t="shared" si="202"/>
        <v>ㄢ</v>
      </c>
      <c r="N3172" s="3" t="s">
        <v>30575</v>
      </c>
      <c r="O3172" s="3"/>
      <c r="P3172" s="1" t="s">
        <v>20</v>
      </c>
      <c r="R3172" s="1" t="s">
        <v>4019</v>
      </c>
      <c r="V3172" s="1" t="s">
        <v>4034</v>
      </c>
      <c r="AR3172" s="1" t="str">
        <f t="shared" si="203"/>
        <v>| [ㄈㄢˊ](ㄈㄢˊ.md) | [薠](薠.md) |  | fán | [名]
一種似莎而大的草。《漢書．卷五七．司馬相如傳上》：「其高燥則生葴析包荔，薜莎青薠。」顏師古注引張揖曰：「青薠似莎而大，生江湖，雁所食。」 |</v>
      </c>
    </row>
    <row r="3173" spans="1:44" hidden="1">
      <c r="A3173" s="1" t="s">
        <v>4035</v>
      </c>
      <c r="C3173" s="1">
        <v>1</v>
      </c>
      <c r="D3173" s="1" t="str">
        <f>"01622"</f>
        <v>01622</v>
      </c>
      <c r="E3173" s="1" t="s">
        <v>132</v>
      </c>
      <c r="F3173" s="1">
        <v>15</v>
      </c>
      <c r="G3173" s="1">
        <v>12</v>
      </c>
      <c r="H3173" s="1">
        <v>0</v>
      </c>
      <c r="I3173" s="1" t="s">
        <v>4018</v>
      </c>
      <c r="K3173" s="1" t="str">
        <f t="shared" si="201"/>
        <v>ㄈ</v>
      </c>
      <c r="L3173" s="1" t="str">
        <f t="shared" si="202"/>
        <v>ㄢ</v>
      </c>
      <c r="N3173" s="3" t="s">
        <v>30575</v>
      </c>
      <c r="O3173" s="3"/>
      <c r="P3173" s="1" t="s">
        <v>20</v>
      </c>
      <c r="R3173" s="1" t="s">
        <v>4019</v>
      </c>
      <c r="V3173" s="1" t="s">
        <v>4036</v>
      </c>
      <c r="AR3173" s="1" t="str">
        <f t="shared" si="203"/>
        <v>| [ㄈㄢˊ](ㄈㄢˊ.md) | [墦](墦.md) |  | fán | [名]
墳墓。《孟子．離婁下》：「卒之東郭墦間之祭者，乞其餘。」明．孫仁孺《東郭記》第二二齣：「家僮，可把禮物擺下，早出了東郭，到此墦間也。」 |</v>
      </c>
    </row>
    <row r="3174" spans="1:44" hidden="1">
      <c r="A3174" s="1" t="s">
        <v>4037</v>
      </c>
      <c r="C3174" s="1">
        <v>1</v>
      </c>
      <c r="D3174" s="1" t="str">
        <f>"01623"</f>
        <v>01623</v>
      </c>
      <c r="E3174" s="1" t="s">
        <v>336</v>
      </c>
      <c r="F3174" s="1">
        <v>16</v>
      </c>
      <c r="G3174" s="1">
        <v>12</v>
      </c>
      <c r="H3174" s="1">
        <v>0</v>
      </c>
      <c r="I3174" s="1" t="s">
        <v>4018</v>
      </c>
      <c r="K3174" s="1" t="str">
        <f t="shared" si="201"/>
        <v>ㄈ</v>
      </c>
      <c r="L3174" s="1" t="str">
        <f t="shared" si="202"/>
        <v>ㄢ</v>
      </c>
      <c r="N3174" s="3" t="s">
        <v>30575</v>
      </c>
      <c r="O3174" s="3"/>
      <c r="P3174" s="1" t="s">
        <v>20</v>
      </c>
      <c r="R3174" s="1" t="s">
        <v>4019</v>
      </c>
      <c r="V3174" s="1" t="s">
        <v>4038</v>
      </c>
      <c r="AR3174" s="1" t="str">
        <f t="shared" si="203"/>
        <v>| [ㄈㄢˊ](ㄈㄢˊ.md) | [燔](燔.md) |  | fán | [動]
炙烤、焚燒。《詩經．小雅．瓠葉》：「有兔斯首，炮之燔之。」《水滸傳》第一〇八回：「卻被山上將火箭火把亂打射下來，草房柴車上，都燔燒起來。」
[名]
宗廟祭祀所用的熟肉。通「膰」。《左傳．襄公二十二年》：「見於嘗酎，與執燔焉。」 |</v>
      </c>
    </row>
    <row r="3175" spans="1:44" hidden="1">
      <c r="A3175" s="1" t="s">
        <v>4039</v>
      </c>
      <c r="C3175" s="1">
        <v>1</v>
      </c>
      <c r="D3175" s="1" t="str">
        <f>"01624"</f>
        <v>01624</v>
      </c>
      <c r="E3175" s="1" t="s">
        <v>142</v>
      </c>
      <c r="F3175" s="1">
        <v>16</v>
      </c>
      <c r="G3175" s="1">
        <v>12</v>
      </c>
      <c r="H3175" s="1">
        <v>0</v>
      </c>
      <c r="I3175" s="1" t="s">
        <v>4018</v>
      </c>
      <c r="K3175" s="1" t="str">
        <f t="shared" si="201"/>
        <v>ㄈ</v>
      </c>
      <c r="L3175" s="1" t="str">
        <f t="shared" si="202"/>
        <v>ㄢ</v>
      </c>
      <c r="N3175" s="3" t="s">
        <v>30575</v>
      </c>
      <c r="O3175" s="3"/>
      <c r="P3175" s="1" t="s">
        <v>20</v>
      </c>
      <c r="R3175" s="1" t="s">
        <v>4019</v>
      </c>
      <c r="V3175" s="1" t="s">
        <v>4040</v>
      </c>
      <c r="AR3175" s="1" t="str">
        <f t="shared" si="203"/>
        <v>| [ㄈㄢˊ](ㄈㄢˊ.md) | [璠](璠.md) |  | fán | [名]
寶玉。晉．陸雲〈答顧秀才〉詩五首之五：「有斐君子，如珪如璠。」 |</v>
      </c>
    </row>
    <row r="3176" spans="1:44" hidden="1">
      <c r="A3176" s="1" t="s">
        <v>4003</v>
      </c>
      <c r="C3176" s="1">
        <v>1</v>
      </c>
      <c r="D3176" s="1" t="str">
        <f>"01625"</f>
        <v>01625</v>
      </c>
      <c r="E3176" s="1" t="s">
        <v>37</v>
      </c>
      <c r="F3176" s="1">
        <v>16</v>
      </c>
      <c r="G3176" s="1">
        <v>12</v>
      </c>
      <c r="H3176" s="1">
        <v>1</v>
      </c>
      <c r="I3176" s="1" t="s">
        <v>4018</v>
      </c>
      <c r="K3176" s="1" t="str">
        <f t="shared" ref="K3176:K3239" si="204">LEFT(I3176, 1)</f>
        <v>ㄈ</v>
      </c>
      <c r="L3176" s="1" t="str">
        <f t="shared" ref="L3176:L3239" si="205">MID(I3176, 2, 1)</f>
        <v>ㄢ</v>
      </c>
      <c r="N3176" s="3" t="s">
        <v>30575</v>
      </c>
      <c r="O3176" s="3"/>
      <c r="P3176" s="1" t="s">
        <v>20</v>
      </c>
      <c r="R3176" s="1" t="s">
        <v>4019</v>
      </c>
      <c r="V3176" s="1" t="s">
        <v>4041</v>
      </c>
      <c r="W3176" s="1" t="s">
        <v>4042</v>
      </c>
      <c r="AR3176" s="1" t="str">
        <f t="shared" si="203"/>
        <v>| [ㄈㄢˊ](ㄈㄢˊ.md) | [蕃](蕃.md) |  | fán | [名]_x000D_
1.屏障、籬落。《詩．大雅．崧高》：「四國于蕃，四方于宣。」漢．鄭玄．箋：「四國有難，則往扞禦之，為之蕃屏；四方恩澤不至，則往宣暢之。」宋．魏了翁《春秋左傳要義．卷一一．圃植瓜蓏囿養禽獸》：「成十八年築鹿囿，然則圃以蕃為之，所以樹果蓏；囿則築牆為之，所以養禽獸。」_x000D_
2.古代君王所分封的侯國。通「藩」。晉．左思〈魏都賦〉：「搦秦起趙，威振八蕃，則信陵之名若蘭芬也。」《宋書．卷三二．五行志三》：「時孝武年四歲，而簡文居蕃，四海宅心。」_x000D_
[形]_x000D_
1.茂盛。《說文解字．艸部》：「蕃，艸茂也。」《易經．坤卦》：「《文言》曰：天地變化，草木蕃。」_x000D_
2.眾多。通「繁」。唐．柳宗元〈種樹郭橐駝傳〉：「視駝所種樹，或移徒，無不活；且碩茂蚤茂實以蕃。」_x000D_
[動]_x000D_
1.滋生、繁殖。《左傳．僖公二十二年》：「將建諸君，其禮焉，男女同姓，其生不蕃。」唐．宋之問〈溫泉莊臥病寄楊七炯〉詩：「夏餘鳥獸蕃，秋末禾黍熟。」_x000D_
2.屏蔽、保障。通「藩」。《書經．微子之命》：「欽哉！往敷乃訓，慎乃服命，率由典常，以蕃王室。」《抱朴子．外篇．逸民》：「干木不荷戈戍境，築壘疆場，而有蕃魏之功。」 |</v>
      </c>
    </row>
    <row r="3177" spans="1:44" hidden="1">
      <c r="A3177" s="1" t="s">
        <v>4043</v>
      </c>
      <c r="C3177" s="1">
        <v>1</v>
      </c>
      <c r="D3177" s="1" t="str">
        <f>"01626"</f>
        <v>01626</v>
      </c>
      <c r="E3177" s="1" t="s">
        <v>68</v>
      </c>
      <c r="F3177" s="1">
        <v>16</v>
      </c>
      <c r="G3177" s="1">
        <v>12</v>
      </c>
      <c r="H3177" s="1">
        <v>0</v>
      </c>
      <c r="I3177" s="1" t="s">
        <v>4018</v>
      </c>
      <c r="K3177" s="1" t="str">
        <f t="shared" si="204"/>
        <v>ㄈ</v>
      </c>
      <c r="L3177" s="1" t="str">
        <f t="shared" si="205"/>
        <v>ㄢ</v>
      </c>
      <c r="N3177" s="3" t="s">
        <v>30575</v>
      </c>
      <c r="O3177" s="3"/>
      <c r="P3177" s="1" t="s">
        <v>20</v>
      </c>
      <c r="R3177" s="1" t="s">
        <v>4019</v>
      </c>
      <c r="V3177" s="1" t="s">
        <v>4044</v>
      </c>
      <c r="AR3177" s="1" t="str">
        <f t="shared" si="203"/>
        <v>| [ㄈㄢˊ](ㄈㄢˊ.md) | [膰](膰.md) |  | fán | [名]
宗廟祭祀所用的熟肉。《左傳．成公十三年》：「祀有執膰，戎有受脤，神之大節也。」《史記．卷四七．孔子世家》：「魯今且郊，如致膰乎大夫，則吾猶可以止。」 |</v>
      </c>
    </row>
    <row r="3178" spans="1:44" hidden="1">
      <c r="A3178" s="1" t="s">
        <v>4045</v>
      </c>
      <c r="C3178" s="1">
        <v>1</v>
      </c>
      <c r="D3178" s="1" t="str">
        <f>"01627"</f>
        <v>01627</v>
      </c>
      <c r="E3178" s="1" t="s">
        <v>43</v>
      </c>
      <c r="F3178" s="1">
        <v>18</v>
      </c>
      <c r="G3178" s="1">
        <v>12</v>
      </c>
      <c r="H3178" s="1">
        <v>0</v>
      </c>
      <c r="I3178" s="1" t="s">
        <v>4018</v>
      </c>
      <c r="K3178" s="1" t="str">
        <f t="shared" si="204"/>
        <v>ㄈ</v>
      </c>
      <c r="L3178" s="1" t="str">
        <f t="shared" si="205"/>
        <v>ㄢ</v>
      </c>
      <c r="N3178" s="3" t="s">
        <v>30575</v>
      </c>
      <c r="O3178" s="3"/>
      <c r="P3178" s="1" t="s">
        <v>20</v>
      </c>
      <c r="R3178" s="1" t="s">
        <v>4019</v>
      </c>
      <c r="V3178" s="1" t="s">
        <v>4046</v>
      </c>
      <c r="AR3178" s="1" t="str">
        <f t="shared" si="203"/>
        <v>| [ㄈㄢˊ](ㄈㄢˊ.md) | [羳](羳.md) |  | fán | [名]
腹部為黃色的羊。《說文解字．羊部》：「羳，黃腹羊也。」明．李時珍《本草綱目．卷五〇．獸部．黃羊》：「羳羊，《爾雅》謂之羳，出西番也。」 |</v>
      </c>
    </row>
    <row r="3179" spans="1:44" hidden="1">
      <c r="A3179" s="1" t="s">
        <v>4047</v>
      </c>
      <c r="C3179" s="1">
        <v>1</v>
      </c>
      <c r="D3179" s="1" t="str">
        <f>"01628"</f>
        <v>01628</v>
      </c>
      <c r="E3179" s="1" t="s">
        <v>37</v>
      </c>
      <c r="F3179" s="1">
        <v>19</v>
      </c>
      <c r="G3179" s="1">
        <v>15</v>
      </c>
      <c r="H3179" s="1">
        <v>0</v>
      </c>
      <c r="I3179" s="1" t="s">
        <v>4018</v>
      </c>
      <c r="K3179" s="1" t="str">
        <f t="shared" si="204"/>
        <v>ㄈ</v>
      </c>
      <c r="L3179" s="1" t="str">
        <f t="shared" si="205"/>
        <v>ㄢ</v>
      </c>
      <c r="N3179" s="3" t="s">
        <v>30575</v>
      </c>
      <c r="O3179" s="3"/>
      <c r="P3179" s="1" t="s">
        <v>20</v>
      </c>
      <c r="R3179" s="1" t="s">
        <v>4019</v>
      </c>
      <c r="V3179" s="1" t="s">
        <v>4048</v>
      </c>
      <c r="AR3179" s="1" t="str">
        <f t="shared" si="203"/>
        <v>| [ㄈㄢˊ](ㄈㄢˊ.md) | [藩](藩.md) |  | fán | [名]
1.籬笆。如：「藩籬」。《易經．大壯卦．九三》：「羝羊觸藩，不能退。」宋．范成大〈復自姑蘇過苑陵至鄧步出陸〉詩：「漿家饋食槿為藩，酒市停驂竹廡門。」
2.古代諸侯王的封國、屬地。如：「藩國」。《文選．曹植．贈白馬王彪詩．序》：「後有司以二王歸藩，道路宜異宿止。」
3.姓。如漢代有藩嚮。
[動]
屏障、保衛。《文選．左思．詠史詩八首之三》：「吾希段干木，偃息藩魏君。」 |</v>
      </c>
    </row>
    <row r="3180" spans="1:44" hidden="1">
      <c r="A3180" s="1" t="s">
        <v>4049</v>
      </c>
      <c r="C3180" s="1">
        <v>1</v>
      </c>
      <c r="D3180" s="1" t="str">
        <f>"01629"</f>
        <v>01629</v>
      </c>
      <c r="E3180" s="1" t="s">
        <v>77</v>
      </c>
      <c r="F3180" s="1">
        <v>19</v>
      </c>
      <c r="G3180" s="1">
        <v>12</v>
      </c>
      <c r="H3180" s="1">
        <v>0</v>
      </c>
      <c r="I3180" s="1" t="s">
        <v>4018</v>
      </c>
      <c r="K3180" s="1" t="str">
        <f t="shared" si="204"/>
        <v>ㄈ</v>
      </c>
      <c r="L3180" s="1" t="str">
        <f t="shared" si="205"/>
        <v>ㄢ</v>
      </c>
      <c r="N3180" s="3" t="s">
        <v>30575</v>
      </c>
      <c r="O3180" s="3"/>
      <c r="P3180" s="1" t="s">
        <v>20</v>
      </c>
      <c r="R3180" s="1" t="s">
        <v>4019</v>
      </c>
      <c r="V3180" s="1" t="s">
        <v>4050</v>
      </c>
      <c r="AR3180" s="1" t="str">
        <f t="shared" si="203"/>
        <v>| [ㄈㄢˊ](ㄈㄢˊ.md) | [蹯](蹯.md) |  | fán | [名]
獸類的足掌。《左傳．文公元年》：「王請食熊蹯而死，弗聽。」《戰國策．趙策三》：「人有置係蹄者而得虎，虎怒，決蹯而去。」 |</v>
      </c>
    </row>
    <row r="3181" spans="1:44" hidden="1">
      <c r="A3181" s="1" t="s">
        <v>4051</v>
      </c>
      <c r="C3181" s="1">
        <v>1</v>
      </c>
      <c r="D3181" s="1" t="str">
        <f>"01630"</f>
        <v>01630</v>
      </c>
      <c r="E3181" s="1" t="s">
        <v>55</v>
      </c>
      <c r="F3181" s="1">
        <v>20</v>
      </c>
      <c r="G3181" s="1">
        <v>12</v>
      </c>
      <c r="H3181" s="1">
        <v>0</v>
      </c>
      <c r="I3181" s="1" t="s">
        <v>4018</v>
      </c>
      <c r="K3181" s="1" t="str">
        <f t="shared" si="204"/>
        <v>ㄈ</v>
      </c>
      <c r="L3181" s="1" t="str">
        <f t="shared" si="205"/>
        <v>ㄢ</v>
      </c>
      <c r="N3181" s="3" t="s">
        <v>30575</v>
      </c>
      <c r="O3181" s="3"/>
      <c r="P3181" s="1" t="s">
        <v>20</v>
      </c>
      <c r="R3181" s="1" t="s">
        <v>4019</v>
      </c>
      <c r="V3181" s="1" t="s">
        <v>4052</v>
      </c>
      <c r="AR3181" s="1" t="str">
        <f t="shared" si="203"/>
        <v>| [ㄈㄢˊ](ㄈㄢˊ.md) | [鐇](鐇.md) |  | fán | [名]
1.寬刃的斧頭。《玉篇．金部》：「鐇，廣刃斧也。」
2.鏟。《後漢書．卷八〇．文苑傳上．杜篤傳》：「田田相如，鐇钁株林。」 |</v>
      </c>
    </row>
    <row r="3182" spans="1:44" hidden="1">
      <c r="A3182" s="1" t="s">
        <v>4053</v>
      </c>
      <c r="C3182" s="1">
        <v>1</v>
      </c>
      <c r="D3182" s="1" t="str">
        <f>"01631"</f>
        <v>01631</v>
      </c>
      <c r="E3182" s="1" t="s">
        <v>139</v>
      </c>
      <c r="F3182" s="1">
        <v>15</v>
      </c>
      <c r="G3182" s="1">
        <v>11</v>
      </c>
      <c r="H3182" s="1">
        <v>0</v>
      </c>
      <c r="I3182" s="1" t="s">
        <v>4018</v>
      </c>
      <c r="K3182" s="1" t="str">
        <f t="shared" si="204"/>
        <v>ㄈ</v>
      </c>
      <c r="L3182" s="1" t="str">
        <f t="shared" si="205"/>
        <v>ㄢ</v>
      </c>
      <c r="N3182" s="3" t="s">
        <v>30575</v>
      </c>
      <c r="O3182" s="3"/>
      <c r="P3182" s="1" t="s">
        <v>20</v>
      </c>
      <c r="R3182" s="1" t="s">
        <v>4019</v>
      </c>
      <c r="V3182" s="1" t="s">
        <v>4054</v>
      </c>
      <c r="AR3182" s="1" t="str">
        <f t="shared" si="203"/>
        <v>| [ㄈㄢˊ](ㄈㄢˊ.md) | [樊](樊.md) |  | fán | [名]
1.關鳥獸的籠子。《莊子．養生主》：「澤雉十步一啄，百步一飲，不蘄畜乎樊中。」
2.籬笆。通「藩」。《詩經．小雅．青蠅》：「營營青蠅，止于樊。」漢．毛亨．傳：「樊，藩也。」
3.姓。如唐代有樊宗師。
[動]
搭籬笆圍繞保護。《詩經．齊風．東方未明》：「折柳樊圃，狂夫瞿瞿。」宋．范成大〈四時田園雜興〉詩六十首之十：「已插棘針樊筍徑，更鋪魚網蓋櫻桃。」 |</v>
      </c>
    </row>
    <row r="3183" spans="1:44" hidden="1">
      <c r="A3183" s="1" t="s">
        <v>4055</v>
      </c>
      <c r="C3183" s="1">
        <v>1</v>
      </c>
      <c r="D3183" s="1" t="str">
        <f>"01632"</f>
        <v>01632</v>
      </c>
      <c r="E3183" s="1" t="s">
        <v>169</v>
      </c>
      <c r="F3183" s="1">
        <v>20</v>
      </c>
      <c r="G3183" s="1">
        <v>15</v>
      </c>
      <c r="H3183" s="1">
        <v>0</v>
      </c>
      <c r="I3183" s="1" t="s">
        <v>4018</v>
      </c>
      <c r="K3183" s="1" t="str">
        <f t="shared" si="204"/>
        <v>ㄈ</v>
      </c>
      <c r="L3183" s="1" t="str">
        <f t="shared" si="205"/>
        <v>ㄢ</v>
      </c>
      <c r="N3183" s="3" t="s">
        <v>30575</v>
      </c>
      <c r="O3183" s="3"/>
      <c r="P3183" s="1" t="s">
        <v>20</v>
      </c>
      <c r="R3183" s="1" t="s">
        <v>4019</v>
      </c>
      <c r="V3183" s="1" t="s">
        <v>4056</v>
      </c>
      <c r="AR3183" s="1" t="str">
        <f t="shared" si="203"/>
        <v>| [ㄈㄢˊ](ㄈㄢˊ.md) | [礬](礬.md) |  | fán | 參見「明礬」條。 |</v>
      </c>
    </row>
    <row r="3184" spans="1:44" hidden="1">
      <c r="A3184" s="1" t="s">
        <v>4057</v>
      </c>
      <c r="C3184" s="1">
        <v>1</v>
      </c>
      <c r="D3184" s="1" t="str">
        <f>"01633"</f>
        <v>01633</v>
      </c>
      <c r="E3184" s="1" t="s">
        <v>679</v>
      </c>
      <c r="F3184" s="1">
        <v>21</v>
      </c>
      <c r="G3184" s="1">
        <v>15</v>
      </c>
      <c r="H3184" s="1">
        <v>0</v>
      </c>
      <c r="I3184" s="1" t="s">
        <v>4018</v>
      </c>
      <c r="K3184" s="1" t="str">
        <f t="shared" si="204"/>
        <v>ㄈ</v>
      </c>
      <c r="L3184" s="1" t="str">
        <f t="shared" si="205"/>
        <v>ㄢ</v>
      </c>
      <c r="N3184" s="3" t="s">
        <v>30575</v>
      </c>
      <c r="O3184" s="3"/>
      <c r="P3184" s="1" t="s">
        <v>20</v>
      </c>
      <c r="R3184" s="1" t="s">
        <v>4019</v>
      </c>
      <c r="V3184" s="1" t="s">
        <v>4058</v>
      </c>
      <c r="AR3184" s="1" t="str">
        <f t="shared" si="203"/>
        <v>| [ㄈㄢˊ](ㄈㄢˊ.md) | [蠜](蠜.md) |  | fán | [名]_x000D_
動物名。一種昆蟲。類似蚱蜢而較肥大。 |</v>
      </c>
    </row>
    <row r="3185" spans="1:44" hidden="1">
      <c r="A3185" s="1" t="s">
        <v>1587</v>
      </c>
      <c r="C3185" s="1">
        <v>1</v>
      </c>
      <c r="D3185" s="1" t="str">
        <f>"01634"</f>
        <v>01634</v>
      </c>
      <c r="E3185" s="1" t="s">
        <v>725</v>
      </c>
      <c r="F3185" s="1">
        <v>17</v>
      </c>
      <c r="G3185" s="1">
        <v>11</v>
      </c>
      <c r="H3185" s="1">
        <v>1</v>
      </c>
      <c r="I3185" s="1" t="s">
        <v>4018</v>
      </c>
      <c r="K3185" s="1" t="str">
        <f t="shared" si="204"/>
        <v>ㄈ</v>
      </c>
      <c r="L3185" s="1" t="str">
        <f t="shared" si="205"/>
        <v>ㄢ</v>
      </c>
      <c r="N3185" s="3" t="s">
        <v>30575</v>
      </c>
      <c r="O3185" s="3"/>
      <c r="P3185" s="1" t="s">
        <v>20</v>
      </c>
      <c r="R3185" s="1" t="s">
        <v>4019</v>
      </c>
      <c r="V3185" s="1" t="s">
        <v>4059</v>
      </c>
      <c r="W3185" s="1" t="s">
        <v>4060</v>
      </c>
      <c r="AR3185" s="1" t="str">
        <f t="shared" si="203"/>
        <v>| [ㄈㄢˊ](ㄈㄢˊ.md) | [繁](繁.md) |  | fán | [形]
1.多、眾多。如：「繁星點點」、「繁文縟節」。《荀子．議兵》：「高城深池，不足以為固；嚴令繁刑，不足以為威。」唐．李商隱〈石榴〉詩：「榴枝婀娜榴實繁，榴膜輕明榴子鮮。」
2.複雜。如：「繁雜」、「繁重」。南朝梁．劉勰《文心雕龍．鎔裁》：「游心竄句，極繁之體。」
3.茂盛、興盛。如：「枝葉繁盛」、「地方繁榮」。宋．王安石〈即事〉詩：「徑暖草如積，山晴花更繁。」 |</v>
      </c>
    </row>
    <row r="3186" spans="1:44" hidden="1">
      <c r="A3186" s="1" t="s">
        <v>4061</v>
      </c>
      <c r="C3186" s="1">
        <v>1</v>
      </c>
      <c r="D3186" s="1" t="str">
        <f>"01635"</f>
        <v>01635</v>
      </c>
      <c r="E3186" s="1" t="s">
        <v>129</v>
      </c>
      <c r="F3186" s="1">
        <v>20</v>
      </c>
      <c r="G3186" s="1">
        <v>17</v>
      </c>
      <c r="H3186" s="1">
        <v>0</v>
      </c>
      <c r="I3186" s="1" t="s">
        <v>4018</v>
      </c>
      <c r="K3186" s="1" t="str">
        <f t="shared" si="204"/>
        <v>ㄈ</v>
      </c>
      <c r="L3186" s="1" t="str">
        <f t="shared" si="205"/>
        <v>ㄢ</v>
      </c>
      <c r="N3186" s="3" t="s">
        <v>30575</v>
      </c>
      <c r="O3186" s="3"/>
      <c r="P3186" s="1" t="s">
        <v>20</v>
      </c>
      <c r="R3186" s="1" t="s">
        <v>4019</v>
      </c>
      <c r="V3186" s="1" t="s">
        <v>4062</v>
      </c>
      <c r="AR3186" s="1" t="str">
        <f t="shared" si="203"/>
        <v>| [ㄈㄢˊ](ㄈㄢˊ.md) | [瀿](瀿.md) |  | fán | [動]
水大量流溢。《玉篇．水部》：「瀿，水暴溢也。」《集韻．平聲．元韻》：「瀿，楚人謂水暴溢為瀿。」 |</v>
      </c>
    </row>
    <row r="3187" spans="1:44" hidden="1">
      <c r="A3187" s="1" t="s">
        <v>4063</v>
      </c>
      <c r="C3187" s="1">
        <v>1</v>
      </c>
      <c r="D3187" s="1" t="str">
        <f>"01636"</f>
        <v>01636</v>
      </c>
      <c r="E3187" s="1" t="s">
        <v>37</v>
      </c>
      <c r="F3187" s="1">
        <v>21</v>
      </c>
      <c r="G3187" s="1">
        <v>17</v>
      </c>
      <c r="H3187" s="1">
        <v>0</v>
      </c>
      <c r="I3187" s="1" t="s">
        <v>4018</v>
      </c>
      <c r="K3187" s="1" t="str">
        <f t="shared" si="204"/>
        <v>ㄈ</v>
      </c>
      <c r="L3187" s="1" t="str">
        <f t="shared" si="205"/>
        <v>ㄢ</v>
      </c>
      <c r="N3187" s="3" t="s">
        <v>30575</v>
      </c>
      <c r="O3187" s="3"/>
      <c r="P3187" s="1" t="s">
        <v>20</v>
      </c>
      <c r="R3187" s="1" t="s">
        <v>4019</v>
      </c>
      <c r="V3187" s="1" t="s">
        <v>4064</v>
      </c>
      <c r="AR3187" s="1" t="str">
        <f t="shared" si="203"/>
        <v>| [ㄈㄢˊ](ㄈㄢˊ.md) | [蘩](蘩.md) |  | fán | [名]
植物名。菊科艾屬，「蔞蒿」之古稱，參見「蔞蒿」條。 |</v>
      </c>
    </row>
    <row r="3188" spans="1:44" hidden="1">
      <c r="A3188" s="1" t="s">
        <v>4065</v>
      </c>
      <c r="C3188" s="1">
        <v>1</v>
      </c>
      <c r="D3188" s="1" t="str">
        <f>"01637"</f>
        <v>01637</v>
      </c>
      <c r="E3188" s="1" t="s">
        <v>1161</v>
      </c>
      <c r="F3188" s="1">
        <v>19</v>
      </c>
      <c r="G3188" s="1">
        <v>10</v>
      </c>
      <c r="H3188" s="1">
        <v>0</v>
      </c>
      <c r="I3188" s="1" t="s">
        <v>4018</v>
      </c>
      <c r="K3188" s="1" t="str">
        <f t="shared" si="204"/>
        <v>ㄈ</v>
      </c>
      <c r="L3188" s="1" t="str">
        <f t="shared" si="205"/>
        <v>ㄢ</v>
      </c>
      <c r="N3188" s="3" t="s">
        <v>30575</v>
      </c>
      <c r="O3188" s="3"/>
      <c r="P3188" s="1" t="s">
        <v>20</v>
      </c>
      <c r="R3188" s="1" t="s">
        <v>4019</v>
      </c>
      <c r="V3188" s="1" t="s">
        <v>4066</v>
      </c>
      <c r="AR3188" s="1" t="str">
        <f t="shared" si="203"/>
        <v>| [ㄈㄢˊ](ㄈㄢˊ.md) | [颿](颿.md) |  | fán | [動]
馬疾馳。《說文解字．馬部》：「颿，馬疾步也。」
[名]
掛在船上的幔。同「帆」。《文選．左思．吳都賦》：「樓船舉風颿過肆，果布輻湊而常然。」清．項廷紀〈綺羅香．簾影移香〉詞：「記西園撲蝶歸來，又南浦片颿初去。」 |</v>
      </c>
    </row>
    <row r="3189" spans="1:44" hidden="1">
      <c r="A3189" s="1" t="s">
        <v>3989</v>
      </c>
      <c r="C3189" s="1">
        <v>1</v>
      </c>
      <c r="D3189" s="1" t="str">
        <f>"01638"</f>
        <v>01638</v>
      </c>
      <c r="E3189" s="1" t="s">
        <v>1880</v>
      </c>
      <c r="F3189" s="1">
        <v>4</v>
      </c>
      <c r="G3189" s="1">
        <v>2</v>
      </c>
      <c r="H3189" s="1">
        <v>1</v>
      </c>
      <c r="I3189" s="1" t="s">
        <v>4067</v>
      </c>
      <c r="K3189" s="1" t="str">
        <f t="shared" si="204"/>
        <v>ㄈ</v>
      </c>
      <c r="L3189" s="1" t="str">
        <f t="shared" si="205"/>
        <v>ㄢ</v>
      </c>
      <c r="N3189" s="3" t="s">
        <v>30576</v>
      </c>
      <c r="O3189" s="3"/>
      <c r="P3189" s="1" t="s">
        <v>20</v>
      </c>
      <c r="R3189" s="1" t="s">
        <v>4068</v>
      </c>
      <c r="V3189" s="1" t="s">
        <v>4069</v>
      </c>
      <c r="W3189" s="1" t="s">
        <v>4070</v>
      </c>
      <c r="AR3189" s="1" t="str">
        <f t="shared" si="203"/>
        <v>| [ㄈㄢˇ](ㄈㄢˇ.md) | [反](反.md) |  | fǎn | [動]
1.翻轉。《孟子．公孫丑上》：「以齊王，由反手也。」
2.回來、返回。通「返」。《戰國策．衛策》：「衛君以其言告邊境，智伯果起兵而襲衛，至境而反。」
3.歸還、退還。通「返」。《孟子．梁惠王下》：「王速出令，反其旄倪，止其重器。」
4.背叛、造反。《國語．周語下》：「視遠，日絕其義；足高，日棄其德；言爽，日反其信；聽淫，日離其名。」
5.類推。《論語．述而》：「舉一隅不以三隅反，則不復也。」
6.反省。《孟子．公孫丑上》：「自反而不縮，雖褐寬博，吾不惴焉。」
7.即反切。傳統漢字的一種注音方式。用兩個字拼成一個字的讀音。即用上一個字的聲母，和下一個字的韻母相拼，如：「東，德紅反。」
[形]
相反。《漢書．卷三五．荊燕吳傳．吳王劉濞》：「高祖召濞相之，曰：『若狀有反相。』」
[副]
反而。《詩經．邶風．谷風》：「不我能慉，反以我為讎。」《荀子．王制》：「是彊者之所以反弱也。」 |</v>
      </c>
    </row>
    <row r="3190" spans="1:44" hidden="1">
      <c r="A3190" s="1" t="s">
        <v>4071</v>
      </c>
      <c r="C3190" s="1">
        <v>1</v>
      </c>
      <c r="D3190" s="1" t="str">
        <f>"01639"</f>
        <v>01639</v>
      </c>
      <c r="E3190" s="1" t="s">
        <v>558</v>
      </c>
      <c r="F3190" s="1">
        <v>8</v>
      </c>
      <c r="G3190" s="1">
        <v>4</v>
      </c>
      <c r="H3190" s="1">
        <v>0</v>
      </c>
      <c r="I3190" s="1" t="s">
        <v>4067</v>
      </c>
      <c r="K3190" s="1" t="str">
        <f t="shared" si="204"/>
        <v>ㄈ</v>
      </c>
      <c r="L3190" s="1" t="str">
        <f t="shared" si="205"/>
        <v>ㄢ</v>
      </c>
      <c r="N3190" s="3" t="s">
        <v>30576</v>
      </c>
      <c r="O3190" s="3"/>
      <c r="P3190" s="1" t="s">
        <v>20</v>
      </c>
      <c r="R3190" s="1" t="s">
        <v>4068</v>
      </c>
      <c r="V3190" s="1" t="s">
        <v>4072</v>
      </c>
      <c r="AR3190" s="1" t="str">
        <f t="shared" si="203"/>
        <v>| [ㄈㄢˇ](ㄈㄢˇ.md) | [返](返.md) |  | fǎn | [動]
1.回來。如：「流連忘返」、「去而復返」。唐．樓穎〈西施石〉詩：「一去姑蘇不復返，岸旁桃李為誰春。」
2.歸還。晉．干寶《搜神記》卷四：「俟汝至石頭城，返汝簪。」《聊齋志異．卷九．喬女》：「宰按之，果真，窮治諸無賴，盡返所取。」
3.折回。如：「迴光返照」。
4.更換。《呂氏春秋．孝行覽．慎人》：「孔子烈然，返瑟而弦。」 |</v>
      </c>
    </row>
    <row r="3191" spans="1:44" hidden="1">
      <c r="A3191" s="1" t="s">
        <v>743</v>
      </c>
      <c r="C3191" s="1">
        <v>1</v>
      </c>
      <c r="D3191" s="1" t="str">
        <f>"01671"</f>
        <v>01671</v>
      </c>
      <c r="E3191" s="1" t="s">
        <v>505</v>
      </c>
      <c r="F3191" s="1">
        <v>12</v>
      </c>
      <c r="G3191" s="1">
        <v>5</v>
      </c>
      <c r="H3191" s="1">
        <v>3</v>
      </c>
      <c r="I3191" s="1" t="s">
        <v>4143</v>
      </c>
      <c r="K3191" s="1" t="str">
        <f t="shared" si="204"/>
        <v>ㄈ</v>
      </c>
      <c r="L3191" s="1" t="str">
        <f t="shared" si="205"/>
        <v>ㄣ</v>
      </c>
      <c r="N3191" s="3" t="s">
        <v>30574</v>
      </c>
      <c r="O3191" s="3"/>
      <c r="P3191" s="1" t="s">
        <v>20</v>
      </c>
      <c r="R3191" s="1" t="s">
        <v>4144</v>
      </c>
      <c r="V3191" s="1" t="s">
        <v>4145</v>
      </c>
      <c r="W3191" s="1" t="s">
        <v>4146</v>
      </c>
      <c r="AR3191" s="1" t="str">
        <f t="shared" si="203"/>
        <v>| [ㄈㄣˋ](ㄈㄣˋ.md) | [賁](賁.md) |  | fèn | [形]
大。《詩經．大雅．靈臺》：「虡業維樅，賁鼓維鏞。」唐．孔穎達．正義：「賁，大也。故謂為賁鼓。」 |</v>
      </c>
    </row>
    <row r="3192" spans="1:44" hidden="1">
      <c r="A3192" s="1" t="s">
        <v>4100</v>
      </c>
      <c r="C3192" s="1">
        <v>1</v>
      </c>
      <c r="D3192" s="1" t="str">
        <f>"01683"</f>
        <v>01683</v>
      </c>
      <c r="E3192" s="1" t="s">
        <v>185</v>
      </c>
      <c r="F3192" s="1">
        <v>4</v>
      </c>
      <c r="G3192" s="1">
        <v>2</v>
      </c>
      <c r="H3192" s="1">
        <v>2</v>
      </c>
      <c r="I3192" s="1" t="s">
        <v>4143</v>
      </c>
      <c r="K3192" s="1" t="str">
        <f t="shared" si="204"/>
        <v>ㄈ</v>
      </c>
      <c r="L3192" s="1" t="str">
        <f t="shared" si="205"/>
        <v>ㄣ</v>
      </c>
      <c r="N3192" s="3" t="s">
        <v>30574</v>
      </c>
      <c r="O3192" s="3"/>
      <c r="P3192" s="1" t="s">
        <v>20</v>
      </c>
      <c r="R3192" s="1" t="s">
        <v>4144</v>
      </c>
      <c r="V3192" s="1" t="s">
        <v>4173</v>
      </c>
      <c r="W3192" s="1" t="s">
        <v>4174</v>
      </c>
      <c r="AR3192" s="1" t="str">
        <f t="shared" si="203"/>
        <v>| [ㄈㄣˋ](ㄈㄣˋ.md) | [分](分.md) |  | fèn | [名]
1.個人在社會中所擁有的名位、職責與權利的範圍。如：「身分」、「本分」。《禮記．禮運》：「男有分，女有歸。」
2.情誼、關係。如：「情分」、「緣分」。《文選．曹植．贈白馬王彪詩》：「恩愛苟不虧，在遠分日親。」元．秦𥳑夫《東堂老．楔子》：「老夫與居士，通家往來，三十餘年，情同膠漆，分若陳、雷。」
3.成分。如：「糖分」、「養分」。
4.整體中一個單位。同「份」。如：「部分」、「我的分」。 |</v>
      </c>
    </row>
    <row r="3193" spans="1:44" hidden="1">
      <c r="A3193" s="1" t="s">
        <v>1327</v>
      </c>
      <c r="C3193" s="1">
        <v>1</v>
      </c>
      <c r="D3193" s="1" t="str">
        <f>"01684"</f>
        <v>01684</v>
      </c>
      <c r="E3193" s="1" t="s">
        <v>114</v>
      </c>
      <c r="F3193" s="1">
        <v>6</v>
      </c>
      <c r="G3193" s="1">
        <v>4</v>
      </c>
      <c r="H3193" s="1">
        <v>1</v>
      </c>
      <c r="I3193" s="1" t="s">
        <v>4143</v>
      </c>
      <c r="K3193" s="1" t="str">
        <f t="shared" si="204"/>
        <v>ㄈ</v>
      </c>
      <c r="L3193" s="1" t="str">
        <f t="shared" si="205"/>
        <v>ㄣ</v>
      </c>
      <c r="N3193" s="3" t="s">
        <v>30574</v>
      </c>
      <c r="O3193" s="3"/>
      <c r="P3193" s="1" t="s">
        <v>20</v>
      </c>
      <c r="R3193" s="1" t="s">
        <v>4144</v>
      </c>
      <c r="V3193" s="1" t="s">
        <v>4175</v>
      </c>
      <c r="W3193" s="1" t="s">
        <v>4176</v>
      </c>
      <c r="AR3193" s="1" t="str">
        <f t="shared" si="203"/>
        <v>| [ㄈㄣˋ](ㄈㄣˋ.md) | [份](份.md) |  | fèn | [名]
1.整體中的一個單位。如：「股份」。
2.量詞。計算定量事物的單位。如：「一份工作」、「兩份薪水」、「一份報紙」、「三份資料」、「兩份甜點」。 |</v>
      </c>
    </row>
    <row r="3194" spans="1:44" hidden="1">
      <c r="A3194" s="1" t="s">
        <v>4129</v>
      </c>
      <c r="C3194" s="1">
        <v>1</v>
      </c>
      <c r="D3194" s="1" t="str">
        <f>"01685"</f>
        <v>01685</v>
      </c>
      <c r="E3194" s="1" t="s">
        <v>1027</v>
      </c>
      <c r="F3194" s="1">
        <v>7</v>
      </c>
      <c r="G3194" s="1">
        <v>4</v>
      </c>
      <c r="H3194" s="1">
        <v>1</v>
      </c>
      <c r="I3194" s="1" t="s">
        <v>4143</v>
      </c>
      <c r="K3194" s="1" t="str">
        <f t="shared" si="204"/>
        <v>ㄈ</v>
      </c>
      <c r="L3194" s="1" t="str">
        <f t="shared" si="205"/>
        <v>ㄣ</v>
      </c>
      <c r="N3194" s="3" t="s">
        <v>30574</v>
      </c>
      <c r="O3194" s="3"/>
      <c r="P3194" s="1" t="s">
        <v>20</v>
      </c>
      <c r="R3194" s="1" t="s">
        <v>4144</v>
      </c>
      <c r="V3194" s="1" t="s">
        <v>4177</v>
      </c>
      <c r="W3194" s="1" t="s">
        <v>4178</v>
      </c>
      <c r="AR3194" s="1" t="str">
        <f t="shared" si="203"/>
        <v>| [ㄈㄣˋ](ㄈㄣˋ.md) | [弅](弅.md) |  | fèn | [形]
山丘高起的樣子。《莊子．知北遊》：「知北遊於元水之上，登隱弅之丘，而適遭無為謂焉。」 |</v>
      </c>
    </row>
    <row r="3195" spans="1:44" hidden="1">
      <c r="A3195" s="1" t="s">
        <v>4179</v>
      </c>
      <c r="C3195" s="1">
        <v>1</v>
      </c>
      <c r="D3195" s="1" t="str">
        <f>"01686"</f>
        <v>01686</v>
      </c>
      <c r="E3195" s="1" t="s">
        <v>250</v>
      </c>
      <c r="F3195" s="1">
        <v>8</v>
      </c>
      <c r="G3195" s="1">
        <v>4</v>
      </c>
      <c r="H3195" s="1">
        <v>0</v>
      </c>
      <c r="I3195" s="1" t="s">
        <v>4143</v>
      </c>
      <c r="K3195" s="1" t="str">
        <f t="shared" si="204"/>
        <v>ㄈ</v>
      </c>
      <c r="L3195" s="1" t="str">
        <f t="shared" si="205"/>
        <v>ㄣ</v>
      </c>
      <c r="N3195" s="3" t="s">
        <v>30574</v>
      </c>
      <c r="O3195" s="3"/>
      <c r="P3195" s="1" t="s">
        <v>20</v>
      </c>
      <c r="R3195" s="1" t="s">
        <v>4144</v>
      </c>
      <c r="V3195" s="1" t="s">
        <v>4180</v>
      </c>
      <c r="AR3195" s="1" t="str">
        <f t="shared" si="203"/>
        <v>| [ㄈㄣˋ](ㄈㄣˋ.md) | [忿](忿.md) |  | fèn | [動]
憤怒、怨恨。如：「忿怒」、「忿恨難平」。《戰國策．秦策五》：「王兵勝而不驕，伯主約而不忿。」 |</v>
      </c>
    </row>
    <row r="3196" spans="1:44" hidden="1">
      <c r="A3196" s="1" t="s">
        <v>4135</v>
      </c>
      <c r="C3196" s="1">
        <v>1</v>
      </c>
      <c r="D3196" s="1" t="str">
        <f>"01687"</f>
        <v>01687</v>
      </c>
      <c r="E3196" s="1" t="s">
        <v>429</v>
      </c>
      <c r="F3196" s="1">
        <v>9</v>
      </c>
      <c r="G3196" s="1">
        <v>4</v>
      </c>
      <c r="H3196" s="1">
        <v>1</v>
      </c>
      <c r="I3196" s="1" t="s">
        <v>4143</v>
      </c>
      <c r="K3196" s="1" t="str">
        <f t="shared" si="204"/>
        <v>ㄈ</v>
      </c>
      <c r="L3196" s="1" t="str">
        <f t="shared" si="205"/>
        <v>ㄣ</v>
      </c>
      <c r="N3196" s="3" t="s">
        <v>30574</v>
      </c>
      <c r="O3196" s="3"/>
      <c r="P3196" s="1" t="s">
        <v>20</v>
      </c>
      <c r="R3196" s="1" t="s">
        <v>4144</v>
      </c>
      <c r="V3196" s="1" t="s">
        <v>4181</v>
      </c>
      <c r="W3196" s="1" t="s">
        <v>4182</v>
      </c>
      <c r="AR3196" s="1" t="str">
        <f t="shared" si="203"/>
        <v>| [ㄈㄣˋ](ㄈㄣˋ.md) | [秎](秎.md) |  | fèn | [名]
收穫。《管子．立政》：「歲雖凶旱，有所秎穫，司空之事也。」 |</v>
      </c>
    </row>
    <row r="3197" spans="1:44" hidden="1">
      <c r="A3197" s="1" t="s">
        <v>4166</v>
      </c>
      <c r="C3197" s="1">
        <v>1</v>
      </c>
      <c r="D3197" s="1" t="str">
        <f>"01688"</f>
        <v>01688</v>
      </c>
      <c r="E3197" s="1" t="s">
        <v>336</v>
      </c>
      <c r="F3197" s="1">
        <v>12</v>
      </c>
      <c r="G3197" s="1">
        <v>8</v>
      </c>
      <c r="H3197" s="1">
        <v>2</v>
      </c>
      <c r="I3197" s="1" t="s">
        <v>4143</v>
      </c>
      <c r="K3197" s="1" t="str">
        <f t="shared" si="204"/>
        <v>ㄈ</v>
      </c>
      <c r="L3197" s="1" t="str">
        <f t="shared" si="205"/>
        <v>ㄣ</v>
      </c>
      <c r="N3197" s="3" t="s">
        <v>30574</v>
      </c>
      <c r="O3197" s="3"/>
      <c r="P3197" s="1" t="s">
        <v>20</v>
      </c>
      <c r="R3197" s="1" t="s">
        <v>4144</v>
      </c>
      <c r="V3197" s="1" t="s">
        <v>4183</v>
      </c>
      <c r="W3197" s="1" t="s">
        <v>4184</v>
      </c>
      <c r="AR3197" s="1" t="str">
        <f t="shared" si="203"/>
        <v>| [ㄈㄣˋ](ㄈㄣˋ.md) | [焚](焚.md) |  | fèn | [動]
僵仆、敗壞。通「僨」。《左傳．襄公二十四年》：「象有齒，以焚其身，賄也。」唐．陸德明《經典釋文．卷一八．春秋左氏音義之四》：「服虔云：『焚，讀曰僨。僨，僵也。』」 |</v>
      </c>
    </row>
    <row r="3198" spans="1:44" hidden="1">
      <c r="A3198" s="1" t="s">
        <v>4185</v>
      </c>
      <c r="C3198" s="1">
        <v>1</v>
      </c>
      <c r="D3198" s="1" t="str">
        <f>"01689"</f>
        <v>01689</v>
      </c>
      <c r="E3198" s="1" t="s">
        <v>114</v>
      </c>
      <c r="F3198" s="1">
        <v>14</v>
      </c>
      <c r="G3198" s="1">
        <v>12</v>
      </c>
      <c r="H3198" s="1">
        <v>0</v>
      </c>
      <c r="I3198" s="1" t="s">
        <v>4143</v>
      </c>
      <c r="K3198" s="1" t="str">
        <f t="shared" si="204"/>
        <v>ㄈ</v>
      </c>
      <c r="L3198" s="1" t="str">
        <f t="shared" si="205"/>
        <v>ㄣ</v>
      </c>
      <c r="N3198" s="3" t="s">
        <v>30574</v>
      </c>
      <c r="O3198" s="3"/>
      <c r="P3198" s="1" t="s">
        <v>20</v>
      </c>
      <c r="R3198" s="1" t="s">
        <v>4144</v>
      </c>
      <c r="V3198" s="1" t="s">
        <v>4186</v>
      </c>
      <c r="AR3198" s="1" t="str">
        <f t="shared" si="203"/>
        <v>| [ㄈㄣˋ](ㄈㄣˋ.md) | [僨](僨.md) |  | fèn | [動]
1.倒仆。《左傳．隱公三年》：「庚戌，鄭伯之車僨于濟。」《呂氏春秋．似順論．慎小》：「明日有人能僨南門之外表者，仕長大夫。」
2.覆敗、敗壞。《禮記．大學》：「此謂一言僨事，一人定國。」
3.參見「僨興」條。 |</v>
      </c>
    </row>
    <row r="3199" spans="1:44" hidden="1">
      <c r="A3199" s="1" t="s">
        <v>4187</v>
      </c>
      <c r="C3199" s="1">
        <v>1</v>
      </c>
      <c r="D3199" s="1" t="str">
        <f>"01690"</f>
        <v>01690</v>
      </c>
      <c r="E3199" s="1" t="s">
        <v>250</v>
      </c>
      <c r="F3199" s="1">
        <v>15</v>
      </c>
      <c r="G3199" s="1">
        <v>12</v>
      </c>
      <c r="H3199" s="1">
        <v>0</v>
      </c>
      <c r="I3199" s="1" t="s">
        <v>4143</v>
      </c>
      <c r="K3199" s="1" t="str">
        <f t="shared" si="204"/>
        <v>ㄈ</v>
      </c>
      <c r="L3199" s="1" t="str">
        <f t="shared" si="205"/>
        <v>ㄣ</v>
      </c>
      <c r="N3199" s="3" t="s">
        <v>30574</v>
      </c>
      <c r="O3199" s="3"/>
      <c r="P3199" s="1" t="s">
        <v>20</v>
      </c>
      <c r="R3199" s="1" t="s">
        <v>4144</v>
      </c>
      <c r="V3199" s="1" t="s">
        <v>4188</v>
      </c>
      <c r="AR3199" s="1" t="str">
        <f t="shared" si="203"/>
        <v>| [ㄈㄣˋ](ㄈㄣˋ.md) | [憤](憤.md) |  | fèn | [動]
1.心中想了解卻有困難。《論語．述而》：「不憤不啟，不悱不發。」
2.因心中不滿而動怒、生氣。如：「憤恨」、「憤怒」。唐．駱賓王〈代徐敬業討武氏檄〉：「是用氣憤風雲，志安社稷。」
[名]
仇恨。如：「化除私憤」。《宋史．卷二五五．列傳．張永德》：「張侍中誅我宗黨殆盡，希中以法，報私憤爾。」 |</v>
      </c>
    </row>
    <row r="3200" spans="1:44" hidden="1">
      <c r="A3200" s="1" t="s">
        <v>4149</v>
      </c>
      <c r="C3200" s="1">
        <v>1</v>
      </c>
      <c r="D3200" s="1" t="str">
        <f>"01691"</f>
        <v>01691</v>
      </c>
      <c r="E3200" s="1" t="s">
        <v>132</v>
      </c>
      <c r="F3200" s="1">
        <v>15</v>
      </c>
      <c r="G3200" s="1">
        <v>12</v>
      </c>
      <c r="H3200" s="1">
        <v>2</v>
      </c>
      <c r="I3200" s="1" t="s">
        <v>4143</v>
      </c>
      <c r="K3200" s="1" t="str">
        <f t="shared" si="204"/>
        <v>ㄈ</v>
      </c>
      <c r="L3200" s="1" t="str">
        <f t="shared" si="205"/>
        <v>ㄣ</v>
      </c>
      <c r="N3200" s="3" t="s">
        <v>30574</v>
      </c>
      <c r="O3200" s="3"/>
      <c r="P3200" s="1" t="s">
        <v>20</v>
      </c>
      <c r="R3200" s="1" t="s">
        <v>4144</v>
      </c>
      <c r="V3200" s="1" t="s">
        <v>4189</v>
      </c>
      <c r="W3200" s="1" t="s">
        <v>4190</v>
      </c>
      <c r="AR3200" s="1" t="str">
        <f t="shared" si="203"/>
        <v>| [ㄈㄣˋ](ㄈㄣˋ.md) | [墳](墳.md) |  | fèn | [動]
土地隆起。《左傳．僖公四年》：「公祭之地，地墳。」
[形]
土質肥沃。《書經．禹貢》：「厥土黑墳，厥草惟繇，厥木惟條。」 |</v>
      </c>
    </row>
    <row r="3201" spans="1:44" hidden="1">
      <c r="A3201" s="1" t="s">
        <v>1904</v>
      </c>
      <c r="C3201" s="1">
        <v>1</v>
      </c>
      <c r="D3201" s="1" t="str">
        <f>"01692"</f>
        <v>01692</v>
      </c>
      <c r="E3201" s="1" t="s">
        <v>28</v>
      </c>
      <c r="F3201" s="1">
        <v>15</v>
      </c>
      <c r="G3201" s="1">
        <v>12</v>
      </c>
      <c r="H3201" s="1">
        <v>3</v>
      </c>
      <c r="I3201" s="1" t="s">
        <v>4143</v>
      </c>
      <c r="K3201" s="1" t="str">
        <f t="shared" si="204"/>
        <v>ㄈ</v>
      </c>
      <c r="L3201" s="1" t="str">
        <f t="shared" si="205"/>
        <v>ㄣ</v>
      </c>
      <c r="N3201" s="3" t="s">
        <v>30574</v>
      </c>
      <c r="O3201" s="3"/>
      <c r="P3201" s="1" t="s">
        <v>20</v>
      </c>
      <c r="R3201" s="1" t="s">
        <v>4144</v>
      </c>
      <c r="V3201" s="1" t="s">
        <v>4191</v>
      </c>
      <c r="W3201" s="1" t="s">
        <v>4192</v>
      </c>
      <c r="AR3201" s="1" t="str">
        <f t="shared" si="203"/>
        <v>| [ㄈㄣˋ](ㄈㄣˋ.md) | [噴](噴.md) |  | fèn | 參見「嚏噴」條。 |</v>
      </c>
    </row>
    <row r="3202" spans="1:44" hidden="1">
      <c r="A3202" s="1" t="s">
        <v>3952</v>
      </c>
      <c r="C3202" s="1">
        <v>1</v>
      </c>
      <c r="D3202" s="1" t="str">
        <f>"01693"</f>
        <v>01693</v>
      </c>
      <c r="E3202" s="1" t="s">
        <v>68</v>
      </c>
      <c r="F3202" s="1">
        <v>16</v>
      </c>
      <c r="G3202" s="1">
        <v>12</v>
      </c>
      <c r="H3202" s="1">
        <v>1</v>
      </c>
      <c r="I3202" s="1" t="s">
        <v>4143</v>
      </c>
      <c r="K3202" s="1" t="str">
        <f t="shared" si="204"/>
        <v>ㄈ</v>
      </c>
      <c r="L3202" s="1" t="str">
        <f t="shared" si="205"/>
        <v>ㄣ</v>
      </c>
      <c r="N3202" s="3" t="s">
        <v>30574</v>
      </c>
      <c r="O3202" s="3"/>
      <c r="P3202" s="1" t="s">
        <v>20</v>
      </c>
      <c r="R3202" s="1" t="s">
        <v>4144</v>
      </c>
      <c r="V3202" s="1" t="s">
        <v>4193</v>
      </c>
      <c r="W3202" s="1" t="s">
        <v>4194</v>
      </c>
      <c r="AR3202" s="1" t="str">
        <f t="shared" si="203"/>
        <v>| [ㄈㄣˋ](ㄈㄣˋ.md) | [膹](膹.md) |  | fèn | [名]
肉羹。《說文解字．肉部》：「膹，𦞦也。」漢．桓寬《鹽鐵論．散不足》：「鷇膹鴈羹。」
[動]
1.切熟肉。《廣韻．上聲．吻韻》：「膹，切熟肉也。」
2.粗切生肉。漢．史游《急就篇》卷三：「膹膾炙胾各有形。」唐．顏師古．注：「膹，麤切生肉也。」
3.鬱積。通「憤」。《黃帝內經素問．卷二二．至真要大論》：「諸氣膹鬱，皆屬於肺。」 |</v>
      </c>
    </row>
    <row r="3203" spans="1:44" hidden="1">
      <c r="A3203" s="1" t="s">
        <v>4195</v>
      </c>
      <c r="C3203" s="1">
        <v>1</v>
      </c>
      <c r="D3203" s="1" t="str">
        <f>"01694"</f>
        <v>01694</v>
      </c>
      <c r="E3203" s="1" t="s">
        <v>563</v>
      </c>
      <c r="F3203" s="1">
        <v>16</v>
      </c>
      <c r="G3203" s="1">
        <v>13</v>
      </c>
      <c r="H3203" s="1">
        <v>0</v>
      </c>
      <c r="I3203" s="1" t="s">
        <v>4143</v>
      </c>
      <c r="K3203" s="1" t="str">
        <f t="shared" si="204"/>
        <v>ㄈ</v>
      </c>
      <c r="L3203" s="1" t="str">
        <f t="shared" si="205"/>
        <v>ㄣ</v>
      </c>
      <c r="N3203" s="3" t="s">
        <v>30574</v>
      </c>
      <c r="O3203" s="3"/>
      <c r="P3203" s="1" t="s">
        <v>20</v>
      </c>
      <c r="R3203" s="1" t="s">
        <v>4144</v>
      </c>
      <c r="V3203" s="1" t="s">
        <v>4196</v>
      </c>
      <c r="AR3203" s="1" t="str">
        <f t="shared" ref="AR3203:AR3266" si="206">"| ["&amp;I3203&amp;"]("&amp;I3203&amp;".md) | ["&amp;A3203&amp;"]("&amp;A3203&amp;".md) | "&amp;" | "&amp;R3203&amp;" | "&amp;V3203&amp;" |"</f>
        <v>| [ㄈㄣˋ](ㄈㄣˋ.md) | [奮](奮.md) |  | fèn | [動]
1.鳥振動翅膀。《廣韻．去聲．問韻》：「奮，鳥張毛羽奮奞也。」《禮記．樂記》：「然後草木茂，區萌達，羽翼奮。」《淮南子．時則》：「鳴鳩奮其羽，戴鵀降于桑。」
2.舉起、振動。如：「奮筆疾書」。《淮南子．氾論》：「身自奮袂執銳，以為百姓請命于皇天。」《文選．楊惲．報孫會宗書》：「奮袖低昂，頓足起舞。」
3.振作。如：「振奮」。《淮南子．說林》：「人莫不奮身于其所不足。以兔之走使犬如馬，則逮日歸風。」
4.發揚。《禮記．樂記》：「奮至德之光，動四氣之和。」
5.拚命、勇不顧身。如：「奮不顧身」。
[名]
姓。如春秋時楚有奮揚。 |</v>
      </c>
    </row>
    <row r="3204" spans="1:44" hidden="1">
      <c r="A3204" s="1" t="s">
        <v>4197</v>
      </c>
      <c r="C3204" s="1">
        <v>1</v>
      </c>
      <c r="D3204" s="1" t="str">
        <f>"01695"</f>
        <v>01695</v>
      </c>
      <c r="E3204" s="1" t="s">
        <v>46</v>
      </c>
      <c r="F3204" s="1">
        <v>17</v>
      </c>
      <c r="G3204" s="1">
        <v>11</v>
      </c>
      <c r="H3204" s="1">
        <v>0</v>
      </c>
      <c r="I3204" s="1" t="s">
        <v>4143</v>
      </c>
      <c r="K3204" s="1" t="str">
        <f t="shared" si="204"/>
        <v>ㄈ</v>
      </c>
      <c r="L3204" s="1" t="str">
        <f t="shared" si="205"/>
        <v>ㄣ</v>
      </c>
      <c r="N3204" s="3" t="s">
        <v>30574</v>
      </c>
      <c r="O3204" s="3"/>
      <c r="P3204" s="1" t="s">
        <v>20</v>
      </c>
      <c r="R3204" s="1" t="s">
        <v>4144</v>
      </c>
      <c r="V3204" s="1" t="s">
        <v>4198</v>
      </c>
      <c r="AR3204" s="1" t="str">
        <f t="shared" si="206"/>
        <v>| [ㄈㄣˋ](ㄈㄣˋ.md) | [糞](糞.md) |  | fèn | [動]
1.掃、棄。《說文解字．𠦒部》：「糞，棄除也。」《左傳．昭公三年》：「自子之歸也，小人糞除先人之敝廬，曰子其將來。」宋．陸游〈智者寺興造記〉：「事廢不舉，地茀不糞，棟撓柱腐。」
2.施肥。《禮記．月令》：「可以糞田疇，可以美土疆。」
[名]
1.屎，動物的肛門排泄物。如：「鳥糞」、「牛糞」。元．馬致遠〈耍孩兒．近來時買得匹蒲梢騎套．四煞〉：「拋糞時教乾處拋，尿綽時教淨處尿。」
2.肥料。明．徐光啟《農政全書．卷六．農事．營治上》：「劚起宿土，雜以蒿草，火燎之，以絕蟲類，併得為糞。」 |</v>
      </c>
    </row>
    <row r="3205" spans="1:44" hidden="1">
      <c r="A3205" s="1" t="s">
        <v>4199</v>
      </c>
      <c r="C3205" s="1">
        <v>1</v>
      </c>
      <c r="D3205" s="1" t="str">
        <f>"01696"</f>
        <v>01696</v>
      </c>
      <c r="E3205" s="1" t="s">
        <v>129</v>
      </c>
      <c r="F3205" s="1">
        <v>20</v>
      </c>
      <c r="G3205" s="1">
        <v>17</v>
      </c>
      <c r="H3205" s="1">
        <v>0</v>
      </c>
      <c r="I3205" s="1" t="s">
        <v>4143</v>
      </c>
      <c r="K3205" s="1" t="str">
        <f t="shared" si="204"/>
        <v>ㄈ</v>
      </c>
      <c r="L3205" s="1" t="str">
        <f t="shared" si="205"/>
        <v>ㄣ</v>
      </c>
      <c r="N3205" s="3" t="s">
        <v>30574</v>
      </c>
      <c r="O3205" s="3"/>
      <c r="P3205" s="1" t="s">
        <v>20</v>
      </c>
      <c r="R3205" s="1" t="s">
        <v>4144</v>
      </c>
      <c r="V3205" s="1" t="s">
        <v>4200</v>
      </c>
      <c r="AR3205" s="1" t="str">
        <f t="shared" si="206"/>
        <v>| [ㄈㄣˋ](ㄈㄣˋ.md) | [瀵](瀵.md) |  | fèn | [動]
水自地下噴湧而出。《爾雅．釋水》：「瀵，大出尾下。」宋．邢昺．疏：「尾，猶底也。言源深大出於底下者名瀵。」唐．劉禹錫〈機汲記〉：「雖瀵湧於庭，莫尚其霈洽也。」
[名]
噴湧出的泉水。《列子．湯問》：「山名壺領，狀若甔甀，頂有口……有水湧出，名曰神瀵。」 |</v>
      </c>
    </row>
    <row r="3206" spans="1:44" hidden="1">
      <c r="A3206" s="1" t="s">
        <v>4125</v>
      </c>
      <c r="C3206" s="1">
        <v>1</v>
      </c>
      <c r="D3206" s="1" t="str">
        <f>"01663"</f>
        <v>01663</v>
      </c>
      <c r="E3206" s="1" t="s">
        <v>129</v>
      </c>
      <c r="F3206" s="1">
        <v>7</v>
      </c>
      <c r="G3206" s="1">
        <v>4</v>
      </c>
      <c r="H3206" s="1">
        <v>0</v>
      </c>
      <c r="I3206" s="1" t="s">
        <v>4126</v>
      </c>
      <c r="K3206" s="1" t="str">
        <f t="shared" si="204"/>
        <v>ㄈ</v>
      </c>
      <c r="L3206" s="1" t="str">
        <f t="shared" si="205"/>
        <v>ㄣ</v>
      </c>
      <c r="N3206" s="3" t="s">
        <v>30575</v>
      </c>
      <c r="O3206" s="3"/>
      <c r="P3206" s="1" t="s">
        <v>20</v>
      </c>
      <c r="R3206" s="1" t="s">
        <v>4127</v>
      </c>
      <c r="V3206" s="1" t="s">
        <v>4128</v>
      </c>
      <c r="AR3206" s="1" t="str">
        <f t="shared" si="206"/>
        <v>| [ㄈㄣˊ](ㄈㄣˊ.md) | [汾](汾.md) |  | fén | 參見「汾河」條。 |</v>
      </c>
    </row>
    <row r="3207" spans="1:44" hidden="1">
      <c r="A3207" s="1" t="s">
        <v>4129</v>
      </c>
      <c r="C3207" s="1">
        <v>1</v>
      </c>
      <c r="D3207" s="1" t="str">
        <f>"01664"</f>
        <v>01664</v>
      </c>
      <c r="E3207" s="1" t="s">
        <v>1027</v>
      </c>
      <c r="F3207" s="1">
        <v>7</v>
      </c>
      <c r="G3207" s="1">
        <v>4</v>
      </c>
      <c r="H3207" s="1">
        <v>2</v>
      </c>
      <c r="I3207" s="1" t="s">
        <v>4126</v>
      </c>
      <c r="K3207" s="1" t="str">
        <f t="shared" si="204"/>
        <v>ㄈ</v>
      </c>
      <c r="L3207" s="1" t="str">
        <f t="shared" si="205"/>
        <v>ㄣ</v>
      </c>
      <c r="N3207" s="3" t="s">
        <v>30575</v>
      </c>
      <c r="O3207" s="3"/>
      <c r="P3207" s="1" t="s">
        <v>110</v>
      </c>
      <c r="R3207" s="1" t="s">
        <v>4127</v>
      </c>
      <c r="V3207" s="1" t="s">
        <v>111</v>
      </c>
      <c r="W3207" s="1" t="s">
        <v>4130</v>
      </c>
      <c r="AR3207" s="1" t="str">
        <f t="shared" si="206"/>
        <v>| [ㄈㄣˊ](ㄈㄣˊ.md) | [弅](弅.md) |  | fén | (一)之又音。 |</v>
      </c>
    </row>
    <row r="3208" spans="1:44" hidden="1">
      <c r="A3208" s="1" t="s">
        <v>4131</v>
      </c>
      <c r="C3208" s="1">
        <v>1</v>
      </c>
      <c r="D3208" s="1" t="str">
        <f>"01665"</f>
        <v>01665</v>
      </c>
      <c r="E3208" s="1" t="s">
        <v>534</v>
      </c>
      <c r="F3208" s="1">
        <v>7</v>
      </c>
      <c r="G3208" s="1">
        <v>4</v>
      </c>
      <c r="H3208" s="1">
        <v>0</v>
      </c>
      <c r="I3208" s="1" t="s">
        <v>4126</v>
      </c>
      <c r="K3208" s="1" t="str">
        <f t="shared" si="204"/>
        <v>ㄈ</v>
      </c>
      <c r="L3208" s="1" t="str">
        <f t="shared" si="205"/>
        <v>ㄣ</v>
      </c>
      <c r="N3208" s="3" t="s">
        <v>30575</v>
      </c>
      <c r="O3208" s="3"/>
      <c r="P3208" s="1" t="s">
        <v>20</v>
      </c>
      <c r="R3208" s="1" t="s">
        <v>4127</v>
      </c>
      <c r="V3208" s="1" t="s">
        <v>4132</v>
      </c>
      <c r="AR3208" s="1" t="str">
        <f t="shared" si="206"/>
        <v>| [ㄈㄣˊ](ㄈㄣˊ.md) | [妢](妢.md) |  | fén | 參見「妢胡」條。 |</v>
      </c>
    </row>
    <row r="3209" spans="1:44" hidden="1">
      <c r="A3209" s="1" t="s">
        <v>4133</v>
      </c>
      <c r="C3209" s="1">
        <v>1</v>
      </c>
      <c r="D3209" s="1" t="str">
        <f>"01666"</f>
        <v>01666</v>
      </c>
      <c r="E3209" s="1" t="s">
        <v>139</v>
      </c>
      <c r="F3209" s="1">
        <v>8</v>
      </c>
      <c r="G3209" s="1">
        <v>4</v>
      </c>
      <c r="H3209" s="1">
        <v>0</v>
      </c>
      <c r="I3209" s="1" t="s">
        <v>4126</v>
      </c>
      <c r="K3209" s="1" t="str">
        <f t="shared" si="204"/>
        <v>ㄈ</v>
      </c>
      <c r="L3209" s="1" t="str">
        <f t="shared" si="205"/>
        <v>ㄣ</v>
      </c>
      <c r="N3209" s="3" t="s">
        <v>30575</v>
      </c>
      <c r="O3209" s="3"/>
      <c r="P3209" s="1" t="s">
        <v>20</v>
      </c>
      <c r="R3209" s="1" t="s">
        <v>4127</v>
      </c>
      <c r="V3209" s="1" t="s">
        <v>4134</v>
      </c>
      <c r="AR3209" s="1" t="str">
        <f t="shared" si="206"/>
        <v>| [ㄈㄣˊ](ㄈㄣˊ.md) | [枌](枌.md) |  | fén | [名]
植物名。榆科榆屬，「白榆」之古稱，參見「白榆」條。 |</v>
      </c>
    </row>
    <row r="3210" spans="1:44" hidden="1">
      <c r="A3210" s="1" t="s">
        <v>4135</v>
      </c>
      <c r="C3210" s="1">
        <v>1</v>
      </c>
      <c r="D3210" s="1" t="str">
        <f>"01667"</f>
        <v>01667</v>
      </c>
      <c r="E3210" s="1" t="s">
        <v>429</v>
      </c>
      <c r="F3210" s="1">
        <v>9</v>
      </c>
      <c r="G3210" s="1">
        <v>4</v>
      </c>
      <c r="H3210" s="1">
        <v>2</v>
      </c>
      <c r="I3210" s="1" t="s">
        <v>4126</v>
      </c>
      <c r="K3210" s="1" t="str">
        <f t="shared" si="204"/>
        <v>ㄈ</v>
      </c>
      <c r="L3210" s="1" t="str">
        <f t="shared" si="205"/>
        <v>ㄣ</v>
      </c>
      <c r="N3210" s="3" t="s">
        <v>30575</v>
      </c>
      <c r="O3210" s="3"/>
      <c r="P3210" s="1" t="s">
        <v>110</v>
      </c>
      <c r="R3210" s="1" t="s">
        <v>4127</v>
      </c>
      <c r="V3210" s="1" t="s">
        <v>111</v>
      </c>
      <c r="W3210" s="1" t="s">
        <v>4136</v>
      </c>
      <c r="AR3210" s="1" t="str">
        <f t="shared" si="206"/>
        <v>| [ㄈㄣˊ](ㄈㄣˊ.md) | [秎](秎.md) |  | fén | (一)之又音。 |</v>
      </c>
    </row>
    <row r="3211" spans="1:44" hidden="1">
      <c r="A3211" s="1" t="s">
        <v>4137</v>
      </c>
      <c r="C3211" s="1">
        <v>1</v>
      </c>
      <c r="D3211" s="1" t="str">
        <f>"01668"</f>
        <v>01668</v>
      </c>
      <c r="E3211" s="1" t="s">
        <v>679</v>
      </c>
      <c r="F3211" s="1">
        <v>10</v>
      </c>
      <c r="G3211" s="1">
        <v>4</v>
      </c>
      <c r="H3211" s="1">
        <v>0</v>
      </c>
      <c r="I3211" s="1" t="s">
        <v>4126</v>
      </c>
      <c r="K3211" s="1" t="str">
        <f t="shared" si="204"/>
        <v>ㄈ</v>
      </c>
      <c r="L3211" s="1" t="str">
        <f t="shared" si="205"/>
        <v>ㄣ</v>
      </c>
      <c r="N3211" s="3" t="s">
        <v>30575</v>
      </c>
      <c r="O3211" s="3"/>
      <c r="P3211" s="1" t="s">
        <v>20</v>
      </c>
      <c r="R3211" s="1" t="s">
        <v>4127</v>
      </c>
      <c r="V3211" s="1" t="s">
        <v>4138</v>
      </c>
      <c r="AR3211" s="1" t="str">
        <f t="shared" si="206"/>
        <v>| [ㄈㄣˊ](ㄈㄣˊ.md) | [蚡](蚡.md) |  | fén | [名]
1.同「鼢」。《說文解字．鼠部》：「鼢，地中行鼠，伯勞所化也，……或从虫、分。」
2.人名用字。如漢代時田蚡。 |</v>
      </c>
    </row>
    <row r="3212" spans="1:44" hidden="1">
      <c r="A3212" s="1" t="s">
        <v>4139</v>
      </c>
      <c r="C3212" s="1">
        <v>1</v>
      </c>
      <c r="D3212" s="1" t="str">
        <f>"01669"</f>
        <v>01669</v>
      </c>
      <c r="E3212" s="1" t="s">
        <v>139</v>
      </c>
      <c r="F3212" s="1">
        <v>12</v>
      </c>
      <c r="G3212" s="1">
        <v>8</v>
      </c>
      <c r="H3212" s="1">
        <v>0</v>
      </c>
      <c r="I3212" s="1" t="s">
        <v>4126</v>
      </c>
      <c r="K3212" s="1" t="str">
        <f t="shared" si="204"/>
        <v>ㄈ</v>
      </c>
      <c r="L3212" s="1" t="str">
        <f t="shared" si="205"/>
        <v>ㄣ</v>
      </c>
      <c r="N3212" s="3" t="s">
        <v>30575</v>
      </c>
      <c r="O3212" s="3"/>
      <c r="P3212" s="1" t="s">
        <v>20</v>
      </c>
      <c r="R3212" s="1" t="s">
        <v>4127</v>
      </c>
      <c r="V3212" s="1" t="s">
        <v>4140</v>
      </c>
      <c r="AR3212" s="1" t="str">
        <f t="shared" si="206"/>
        <v>| [ㄈㄣˊ](ㄈㄣˊ.md) | [棼](棼.md) |  | fén | [名]_x000D_
1.短梁。《三國志．卷四九．吳書．劉繇太史慈士燮傳．太史慈》：「賊於屯裡緣樓上行詈，以手持樓棼，慈引弓射之，矢貫手著棼，圍外萬人莫不稱善。」_x000D_
2.麻布。《周禮．春官宗伯．巾車》：「素車棼蔽，犬幦素飾，小服皆素。」漢．鄭玄．注：「棼，讀為薠，薠麻以為蔽。」_x000D_
[動]_x000D_
使紊亂。《左傳．隱公四年》：「臣聞以德和民不聞以亂。以亂，猶治絲而棼之也。」 |</v>
      </c>
    </row>
    <row r="3213" spans="1:44" hidden="1">
      <c r="A3213" s="1" t="s">
        <v>4141</v>
      </c>
      <c r="C3213" s="1">
        <v>1</v>
      </c>
      <c r="D3213" s="1" t="str">
        <f>"01670"</f>
        <v>01670</v>
      </c>
      <c r="E3213" s="1" t="s">
        <v>86</v>
      </c>
      <c r="F3213" s="1">
        <v>17</v>
      </c>
      <c r="G3213" s="1">
        <v>4</v>
      </c>
      <c r="H3213" s="1">
        <v>0</v>
      </c>
      <c r="I3213" s="1" t="s">
        <v>4126</v>
      </c>
      <c r="K3213" s="1" t="str">
        <f t="shared" si="204"/>
        <v>ㄈ</v>
      </c>
      <c r="L3213" s="1" t="str">
        <f t="shared" si="205"/>
        <v>ㄣ</v>
      </c>
      <c r="N3213" s="3" t="s">
        <v>30575</v>
      </c>
      <c r="O3213" s="3"/>
      <c r="P3213" s="1" t="s">
        <v>20</v>
      </c>
      <c r="R3213" s="1" t="s">
        <v>4127</v>
      </c>
      <c r="V3213" s="1" t="s">
        <v>4142</v>
      </c>
      <c r="AR3213" s="1" t="str">
        <f t="shared" si="206"/>
        <v>| [ㄈㄣˊ](ㄈㄣˊ.md) | [鼢](鼢.md) |  | fén | [名]
參見「鼢鼠」條。 |</v>
      </c>
    </row>
    <row r="3214" spans="1:44" hidden="1">
      <c r="A3214" s="1" t="s">
        <v>1899</v>
      </c>
      <c r="C3214" s="1">
        <v>1</v>
      </c>
      <c r="D3214" s="1" t="str">
        <f>"01672"</f>
        <v>01672</v>
      </c>
      <c r="E3214" s="1" t="s">
        <v>129</v>
      </c>
      <c r="F3214" s="1">
        <v>15</v>
      </c>
      <c r="G3214" s="1">
        <v>12</v>
      </c>
      <c r="H3214" s="1">
        <v>1</v>
      </c>
      <c r="I3214" s="1" t="s">
        <v>4126</v>
      </c>
      <c r="K3214" s="1" t="str">
        <f t="shared" si="204"/>
        <v>ㄈ</v>
      </c>
      <c r="L3214" s="1" t="str">
        <f t="shared" si="205"/>
        <v>ㄣ</v>
      </c>
      <c r="N3214" s="3" t="s">
        <v>30575</v>
      </c>
      <c r="O3214" s="3"/>
      <c r="P3214" s="1" t="s">
        <v>20</v>
      </c>
      <c r="R3214" s="1" t="s">
        <v>4127</v>
      </c>
      <c r="V3214" s="1" t="s">
        <v>4147</v>
      </c>
      <c r="W3214" s="1" t="s">
        <v>4148</v>
      </c>
      <c r="AR3214" s="1" t="str">
        <f t="shared" si="206"/>
        <v>| [ㄈㄣˊ](ㄈㄣˊ.md) | [濆](濆.md) |  | fén | [名]
1.水邊、岸邊。《詩經．大雅．常武》：「鋪敦淮濆，仍執醜虜。」漢．毛亨．傳：「濆，涯。」
2.河川名。在大陸地區河南省郾城縣，是汝水的支流。 |</v>
      </c>
    </row>
    <row r="3215" spans="1:44" hidden="1">
      <c r="A3215" s="1" t="s">
        <v>4149</v>
      </c>
      <c r="C3215" s="1">
        <v>1</v>
      </c>
      <c r="D3215" s="1" t="str">
        <f>"01673"</f>
        <v>01673</v>
      </c>
      <c r="E3215" s="1" t="s">
        <v>132</v>
      </c>
      <c r="F3215" s="1">
        <v>15</v>
      </c>
      <c r="G3215" s="1">
        <v>12</v>
      </c>
      <c r="H3215" s="1">
        <v>1</v>
      </c>
      <c r="I3215" s="1" t="s">
        <v>4126</v>
      </c>
      <c r="K3215" s="1" t="str">
        <f t="shared" si="204"/>
        <v>ㄈ</v>
      </c>
      <c r="L3215" s="1" t="str">
        <f t="shared" si="205"/>
        <v>ㄣ</v>
      </c>
      <c r="N3215" s="3" t="s">
        <v>30575</v>
      </c>
      <c r="O3215" s="3"/>
      <c r="P3215" s="1" t="s">
        <v>20</v>
      </c>
      <c r="R3215" s="1" t="s">
        <v>4127</v>
      </c>
      <c r="V3215" s="1" t="s">
        <v>4150</v>
      </c>
      <c r="W3215" s="1" t="s">
        <v>4151</v>
      </c>
      <c r="AR3215" s="1" t="str">
        <f t="shared" si="206"/>
        <v>| [ㄈㄣˊ](ㄈㄣˊ.md) | [墳](墳.md) |  | fén | [名]
1.用土築成高起的墓。如：「墳墓」。宋．蘇軾〈江城子．十年生死兩茫茫〉詞：「千里孤墳，無處話淒涼。」
2.堤防、高地。《詩經．周南．汝墳》：「遵彼汝墳，伐其條枚。」漢．毛亨．傳：「墳，大防也。」《楚辭．屈原．九章．哀郢》：「登大墳以遠望兮，以舒吾憂心。」清．王夫之．通釋：「墳，隄岸也。」
3.古代的經書典籍。如：「三墳五典」。
[形]
大的。《詩經．小雅．苕之華》：「牂羊墳首，三星在罶。」漢．毛亨．傳：「墳，大也。」 |</v>
      </c>
    </row>
    <row r="3216" spans="1:44" hidden="1">
      <c r="A3216" s="1" t="s">
        <v>4152</v>
      </c>
      <c r="C3216" s="1">
        <v>1</v>
      </c>
      <c r="D3216" s="1" t="str">
        <f>"01674"</f>
        <v>01674</v>
      </c>
      <c r="E3216" s="1" t="s">
        <v>222</v>
      </c>
      <c r="F3216" s="1">
        <v>15</v>
      </c>
      <c r="G3216" s="1">
        <v>12</v>
      </c>
      <c r="H3216" s="1">
        <v>0</v>
      </c>
      <c r="I3216" s="1" t="s">
        <v>4126</v>
      </c>
      <c r="K3216" s="1" t="str">
        <f t="shared" si="204"/>
        <v>ㄈ</v>
      </c>
      <c r="L3216" s="1" t="str">
        <f t="shared" si="205"/>
        <v>ㄣ</v>
      </c>
      <c r="N3216" s="3" t="s">
        <v>30575</v>
      </c>
      <c r="O3216" s="3"/>
      <c r="P3216" s="1" t="s">
        <v>20</v>
      </c>
      <c r="R3216" s="1" t="s">
        <v>4127</v>
      </c>
      <c r="V3216" s="1" t="s">
        <v>4153</v>
      </c>
      <c r="AR3216" s="1" t="str">
        <f t="shared" si="206"/>
        <v>| [ㄈㄣˊ](ㄈㄣˊ.md) | [幩](幩.md) |  | fén | [名]
馬御兩旁的綢條飾物。《詩經．衛風．碩人》：「四牡有驕，朱幩鑣鑣，翟茀以朝。」漢．毛亨．傳：「幩，飾也。人君以朱纏鑣扇汗，且以為飾。」 |</v>
      </c>
    </row>
    <row r="3217" spans="1:44" hidden="1">
      <c r="A3217" s="1" t="s">
        <v>4154</v>
      </c>
      <c r="C3217" s="1">
        <v>1</v>
      </c>
      <c r="D3217" s="1" t="str">
        <f>"01675"</f>
        <v>01675</v>
      </c>
      <c r="E3217" s="1" t="s">
        <v>37</v>
      </c>
      <c r="F3217" s="1">
        <v>16</v>
      </c>
      <c r="G3217" s="1">
        <v>12</v>
      </c>
      <c r="H3217" s="1">
        <v>0</v>
      </c>
      <c r="I3217" s="1" t="s">
        <v>4126</v>
      </c>
      <c r="K3217" s="1" t="str">
        <f t="shared" si="204"/>
        <v>ㄈ</v>
      </c>
      <c r="L3217" s="1" t="str">
        <f t="shared" si="205"/>
        <v>ㄣ</v>
      </c>
      <c r="N3217" s="3" t="s">
        <v>30575</v>
      </c>
      <c r="O3217" s="3"/>
      <c r="P3217" s="1" t="s">
        <v>20</v>
      </c>
      <c r="R3217" s="1" t="s">
        <v>4127</v>
      </c>
      <c r="V3217" s="1" t="s">
        <v>4155</v>
      </c>
      <c r="AR3217" s="1" t="str">
        <f t="shared" si="206"/>
        <v>| [ㄈㄣˊ](ㄈㄣˊ.md) | [蕡](蕡.md) |  | fén | [名]_x000D_
雜草的香氣。《說文解字．艸部》：「蕡，雜香艸。」_x000D_
[形]_x000D_
草木果實很多的樣子。《玉篇．艸部》：「蕡，草木多實。」《詩經．周南．桃夭》：「桃之夭夭，有蕡其實。」漢．毛亨．傳：「蕡，實貌。」_x000D_
[動]_x000D_
擾亂。《墨子．天志下》：「故墨子言曰：『是蕡我者。則豈有以異是蕡黑白甘苦之辯者哉！』」 |</v>
      </c>
    </row>
    <row r="3218" spans="1:44" hidden="1">
      <c r="A3218" s="1" t="s">
        <v>4156</v>
      </c>
      <c r="C3218" s="1">
        <v>1</v>
      </c>
      <c r="D3218" s="1" t="str">
        <f>"01676"</f>
        <v>01676</v>
      </c>
      <c r="E3218" s="1" t="s">
        <v>43</v>
      </c>
      <c r="F3218" s="1">
        <v>18</v>
      </c>
      <c r="G3218" s="1">
        <v>12</v>
      </c>
      <c r="H3218" s="1">
        <v>0</v>
      </c>
      <c r="I3218" s="1" t="s">
        <v>4126</v>
      </c>
      <c r="K3218" s="1" t="str">
        <f t="shared" si="204"/>
        <v>ㄈ</v>
      </c>
      <c r="L3218" s="1" t="str">
        <f t="shared" si="205"/>
        <v>ㄣ</v>
      </c>
      <c r="N3218" s="3" t="s">
        <v>30575</v>
      </c>
      <c r="O3218" s="3"/>
      <c r="P3218" s="1" t="s">
        <v>20</v>
      </c>
      <c r="R3218" s="1" t="s">
        <v>4127</v>
      </c>
      <c r="V3218" s="1" t="s">
        <v>4157</v>
      </c>
      <c r="AR3218" s="1" t="str">
        <f t="shared" si="206"/>
        <v>| [ㄈㄣˊ](ㄈㄣˊ.md) | [羵](羵.md) |  | fén | [名]
傳說中土裡的怪物。《國語．魯語下》：「水之怪物曰龍、罔象，土之怪曰羵羊。」 |</v>
      </c>
    </row>
    <row r="3219" spans="1:44" hidden="1">
      <c r="A3219" s="1" t="s">
        <v>4158</v>
      </c>
      <c r="C3219" s="1">
        <v>1</v>
      </c>
      <c r="D3219" s="1" t="str">
        <f>"01677"</f>
        <v>01677</v>
      </c>
      <c r="E3219" s="1" t="s">
        <v>2154</v>
      </c>
      <c r="F3219" s="1">
        <v>18</v>
      </c>
      <c r="G3219" s="1">
        <v>5</v>
      </c>
      <c r="H3219" s="1">
        <v>0</v>
      </c>
      <c r="I3219" s="1" t="s">
        <v>4126</v>
      </c>
      <c r="K3219" s="1" t="str">
        <f t="shared" si="204"/>
        <v>ㄈ</v>
      </c>
      <c r="L3219" s="1" t="str">
        <f t="shared" si="205"/>
        <v>ㄣ</v>
      </c>
      <c r="N3219" s="3" t="s">
        <v>30575</v>
      </c>
      <c r="O3219" s="3"/>
      <c r="P3219" s="1" t="s">
        <v>20</v>
      </c>
      <c r="R3219" s="1" t="s">
        <v>4127</v>
      </c>
      <c r="V3219" s="1" t="s">
        <v>4159</v>
      </c>
      <c r="AR3219" s="1" t="str">
        <f t="shared" si="206"/>
        <v>| [ㄈㄣˊ](ㄈㄣˊ.md) | [鼖](鼖.md) |  | fén | [名]
古代的軍用大鼓，長八尺。《說文解字．鼓部》：「鼖，大鼓謂之鼖。鼖八尺而兩面，以鼓軍事。」《明史．卷六二．樂志二》：「序屆夏首兮風氣薰，禮嚴時祫兮戛擊鐘鼖。」 |</v>
      </c>
    </row>
    <row r="3220" spans="1:44" hidden="1">
      <c r="A3220" s="1" t="s">
        <v>4160</v>
      </c>
      <c r="C3220" s="1">
        <v>1</v>
      </c>
      <c r="D3220" s="1" t="str">
        <f>"01678"</f>
        <v>01678</v>
      </c>
      <c r="E3220" s="1" t="s">
        <v>71</v>
      </c>
      <c r="F3220" s="1">
        <v>19</v>
      </c>
      <c r="G3220" s="1">
        <v>12</v>
      </c>
      <c r="H3220" s="1">
        <v>0</v>
      </c>
      <c r="I3220" s="1" t="s">
        <v>4126</v>
      </c>
      <c r="K3220" s="1" t="str">
        <f t="shared" si="204"/>
        <v>ㄈ</v>
      </c>
      <c r="L3220" s="1" t="str">
        <f t="shared" si="205"/>
        <v>ㄣ</v>
      </c>
      <c r="N3220" s="3" t="s">
        <v>30575</v>
      </c>
      <c r="O3220" s="3"/>
      <c r="P3220" s="1" t="s">
        <v>20</v>
      </c>
      <c r="R3220" s="1" t="s">
        <v>4127</v>
      </c>
      <c r="V3220" s="1" t="s">
        <v>4161</v>
      </c>
      <c r="AR3220" s="1" t="str">
        <f t="shared" si="206"/>
        <v>| [ㄈㄣˊ](ㄈㄣˊ.md) | [轒](轒.md) |  | fén | 參見「轒櫓」、「轒轀」等條。 |</v>
      </c>
    </row>
    <row r="3221" spans="1:44" hidden="1">
      <c r="A3221" s="1" t="s">
        <v>4162</v>
      </c>
      <c r="C3221" s="1">
        <v>1</v>
      </c>
      <c r="D3221" s="1" t="str">
        <f>"01679"</f>
        <v>01679</v>
      </c>
      <c r="E3221" s="1" t="s">
        <v>52</v>
      </c>
      <c r="F3221" s="1">
        <v>19</v>
      </c>
      <c r="G3221" s="1">
        <v>12</v>
      </c>
      <c r="H3221" s="1">
        <v>0</v>
      </c>
      <c r="I3221" s="1" t="s">
        <v>4126</v>
      </c>
      <c r="K3221" s="1" t="str">
        <f t="shared" si="204"/>
        <v>ㄈ</v>
      </c>
      <c r="L3221" s="1" t="str">
        <f t="shared" si="205"/>
        <v>ㄣ</v>
      </c>
      <c r="N3221" s="3" t="s">
        <v>30575</v>
      </c>
      <c r="O3221" s="3"/>
      <c r="P3221" s="1" t="s">
        <v>20</v>
      </c>
      <c r="R3221" s="1" t="s">
        <v>4127</v>
      </c>
      <c r="V3221" s="1" t="s">
        <v>4163</v>
      </c>
      <c r="AR3221" s="1" t="str">
        <f t="shared" si="206"/>
        <v>| [ㄈㄣˊ](ㄈㄣˊ.md) | [豶](豶.md) |  | fén | [名]
閹割過的豬。《說文解字．豕部》：「豶，羠豕也。」清．段玉裁．注：「羠，騬羊也；騬，犗馬也；犗，騬牛也。皆去勢之謂也。」《北史．卷六九．陸通傳》：「郡界有豕生數子，經旬而死。其家又有豶，遂乳養之。」 |</v>
      </c>
    </row>
    <row r="3222" spans="1:44" hidden="1">
      <c r="A3222" s="1" t="s">
        <v>4164</v>
      </c>
      <c r="C3222" s="1">
        <v>1</v>
      </c>
      <c r="D3222" s="1" t="str">
        <f>"01680"</f>
        <v>01680</v>
      </c>
      <c r="E3222" s="1" t="s">
        <v>2591</v>
      </c>
      <c r="F3222" s="1">
        <v>23</v>
      </c>
      <c r="G3222" s="1">
        <v>12</v>
      </c>
      <c r="H3222" s="1">
        <v>0</v>
      </c>
      <c r="I3222" s="1" t="s">
        <v>4126</v>
      </c>
      <c r="K3222" s="1" t="str">
        <f t="shared" si="204"/>
        <v>ㄈ</v>
      </c>
      <c r="L3222" s="1" t="str">
        <f t="shared" si="205"/>
        <v>ㄣ</v>
      </c>
      <c r="N3222" s="3" t="s">
        <v>30575</v>
      </c>
      <c r="O3222" s="3"/>
      <c r="P3222" s="1" t="s">
        <v>20</v>
      </c>
      <c r="R3222" s="1" t="s">
        <v>4127</v>
      </c>
      <c r="V3222" s="1" t="s">
        <v>4165</v>
      </c>
      <c r="AR3222" s="1" t="str">
        <f t="shared" si="206"/>
        <v>| [ㄈㄣˊ](ㄈㄣˊ.md) | [黂](黂.md) |  | fén | [名]
1.麻的果實。《爾雅．釋草》：「黂，枲實。」俗稱為「麻子」。
2.結實的麻。《淮南子．說山》：「見黂而求成布。」漢．高誘．注：「黂，麻之有實者，可以為布。」
3.麻絮。《列子．楊朱》：「昔者宋國有田夫，常衣縕黂。」 |</v>
      </c>
    </row>
    <row r="3223" spans="1:44" hidden="1">
      <c r="A3223" s="1" t="s">
        <v>4166</v>
      </c>
      <c r="C3223" s="1">
        <v>1</v>
      </c>
      <c r="D3223" s="1" t="str">
        <f>"01681"</f>
        <v>01681</v>
      </c>
      <c r="E3223" s="1" t="s">
        <v>336</v>
      </c>
      <c r="F3223" s="1">
        <v>12</v>
      </c>
      <c r="G3223" s="1">
        <v>8</v>
      </c>
      <c r="H3223" s="1">
        <v>1</v>
      </c>
      <c r="I3223" s="1" t="s">
        <v>4126</v>
      </c>
      <c r="K3223" s="1" t="str">
        <f t="shared" si="204"/>
        <v>ㄈ</v>
      </c>
      <c r="L3223" s="1" t="str">
        <f t="shared" si="205"/>
        <v>ㄣ</v>
      </c>
      <c r="N3223" s="3" t="s">
        <v>30575</v>
      </c>
      <c r="O3223" s="3"/>
      <c r="P3223" s="1" t="s">
        <v>20</v>
      </c>
      <c r="R3223" s="1" t="s">
        <v>4127</v>
      </c>
      <c r="V3223" s="1" t="s">
        <v>4167</v>
      </c>
      <c r="W3223" s="1" t="s">
        <v>4168</v>
      </c>
      <c r="AR3223" s="1" t="str">
        <f t="shared" si="206"/>
        <v>| [ㄈㄣˊ](ㄈㄣˊ.md) | [焚](焚.md) |  | fén | [動]
1.燒。如：「玩火自焚」、「憂心如焚」。《春秋．桓公七年》：「七年春二月己亥，焚咸丘。」
2.古代刑罰之一。炮烙人犯。《書經．泰誓上》：「焚炙忠良，刳剔孕婦。」《周禮．秋官．掌戮》：「凡殺其親者焚之。」
[形]
乾。如：「焚風」。 |</v>
      </c>
    </row>
    <row r="3224" spans="1:44" hidden="1">
      <c r="A3224" s="1" t="s">
        <v>4169</v>
      </c>
      <c r="C3224" s="1">
        <v>1</v>
      </c>
      <c r="D3224" s="1" t="str">
        <f>"01682"</f>
        <v>01682</v>
      </c>
      <c r="E3224" s="1" t="s">
        <v>46</v>
      </c>
      <c r="F3224" s="1">
        <v>10</v>
      </c>
      <c r="G3224" s="1">
        <v>4</v>
      </c>
      <c r="H3224" s="1">
        <v>0</v>
      </c>
      <c r="I3224" s="1" t="s">
        <v>4170</v>
      </c>
      <c r="K3224" s="1" t="str">
        <f t="shared" si="204"/>
        <v>ㄈ</v>
      </c>
      <c r="L3224" s="1" t="str">
        <f t="shared" si="205"/>
        <v>ㄣ</v>
      </c>
      <c r="N3224" s="3" t="s">
        <v>30576</v>
      </c>
      <c r="O3224" s="3"/>
      <c r="P3224" s="1" t="s">
        <v>20</v>
      </c>
      <c r="R3224" s="1" t="s">
        <v>4171</v>
      </c>
      <c r="V3224" s="1" t="s">
        <v>4172</v>
      </c>
      <c r="AR3224" s="1" t="str">
        <f t="shared" si="206"/>
        <v>| [ㄈㄣˇ](ㄈㄣˇ.md) | [粉](粉.md) |  | fěn | [名]
1.擦在臉部的細末狀化妝品。《說文解字．米部》：「粉，傅面者也。」如：「脂粉」、「香粉」。《文選．宋玉．登徒子好色賦》：「東家之子，增之一分則太長，減之一分則太短，著粉則太白，施朱則太赤。」
2.細末。明．張自烈《正字通．米部》：「凡物磑之如屑者皆名粉。」如：「花粉」、「麵粉」、「胡椒粉」、「洗衣粉」。
[動]
1.塗抹、塗飾。如：「粉刷」。漢．揚雄《太玄經．卷五．視》：「粉其題䪻，雨其屋須，視無姝。」
2.碾碎、碎爛。如：「粉身碎骨」。《新五代史．卷七四．四夷附錄》：「乃發其墓，粉其骨而颺之。」
[形]
1.白色的。如：「粉蝶兒」。《儒林外史》第六回：「頭戴紗帽，身穿圓領補服，腳下粉底皂靴。」
2.北平方言。指猥褻的、淫穢的。如：「粉曲」、「粉戲」。 |</v>
      </c>
    </row>
    <row r="3225" spans="1:44" hidden="1">
      <c r="A3225" s="1" t="s">
        <v>4243</v>
      </c>
      <c r="C3225" s="1">
        <v>1</v>
      </c>
      <c r="D3225" s="1" t="str">
        <f>"01722"</f>
        <v>01722</v>
      </c>
      <c r="E3225" s="1" t="s">
        <v>426</v>
      </c>
      <c r="F3225" s="1">
        <v>8</v>
      </c>
      <c r="G3225" s="1">
        <v>4</v>
      </c>
      <c r="H3225" s="1">
        <v>1</v>
      </c>
      <c r="I3225" s="1" t="s">
        <v>4260</v>
      </c>
      <c r="K3225" s="1" t="str">
        <f t="shared" si="204"/>
        <v>ㄈ</v>
      </c>
      <c r="L3225" s="1" t="str">
        <f t="shared" si="205"/>
        <v>ㄤ</v>
      </c>
      <c r="N3225" s="3" t="s">
        <v>30574</v>
      </c>
      <c r="O3225" s="3"/>
      <c r="P3225" s="1" t="s">
        <v>20</v>
      </c>
      <c r="R3225" s="1" t="s">
        <v>4261</v>
      </c>
      <c r="V3225" s="1" t="s">
        <v>4262</v>
      </c>
      <c r="W3225" s="1" t="s">
        <v>4263</v>
      </c>
      <c r="AR3225" s="1" t="str">
        <f t="shared" si="206"/>
        <v>| [ㄈㄤˋ](ㄈㄤˋ.md) | [放](放.md) |  | fàng | [動]
1.逐。如：「流放」。《楚辭．屈原．漁父．序》：「屈原放逐在江湘之閒，憂愁歎吟，儀容變易。」
2.棄。《三國志．卷四四．蜀書．姜維傳》：「尋被後主敕令，乃投戈放甲。」
3.放縱、任由。如：「放聲高歌」、「放言高論」。《孟子．告子上》：「舍其路而弗由，放其心而不知求，哀哉！」
4.安置。如：「陳放」、「安放」。《水滸傳》第二一回：「一桶盤拖上樓來，放在春臺上。」
5.發出。如：「施放」、「鳴放」。《三國演義》第五回：「堅取箭，連放兩箭，皆被華雄躲過。」
6.開、展。如：「心花怒放」、「百花開放」。
7.在一定時間後停止。如：「放學」、「放工」。
8.任官職，多指京官外任而言。如：「外放」、「下放」。《兒女英雄傳》第四〇回：「賞了頭等官加了個副都統銜，放了烏里雅蘇臺的參贊大臣了。」
9.弄，置於「仔細」、「明白」、「聰明」等詞前，有提請注意的意思。如：「放明白些」、「放聰明點」。元．關漢卿《蝴蝶夢》第三折：「哥哥，你丟我時，放仔細些，我肚子上有個癤子哩。」
10. 打網球、排球、乒乓球時的偷襲。如：「他在網前放小球，漂亮極了！」
[形]
放蕩、不拘束。如：「豪放」、「狂放」、「奔放」。 |</v>
      </c>
    </row>
    <row r="3226" spans="1:44" hidden="1">
      <c r="A3226" s="1" t="s">
        <v>4209</v>
      </c>
      <c r="C3226" s="1">
        <v>1</v>
      </c>
      <c r="D3226" s="1" t="str">
        <f>"01706"</f>
        <v>01706</v>
      </c>
      <c r="E3226" s="1" t="s">
        <v>132</v>
      </c>
      <c r="F3226" s="1">
        <v>7</v>
      </c>
      <c r="G3226" s="1">
        <v>4</v>
      </c>
      <c r="H3226" s="1">
        <v>2</v>
      </c>
      <c r="I3226" s="1" t="s">
        <v>4223</v>
      </c>
      <c r="K3226" s="1" t="str">
        <f t="shared" si="204"/>
        <v>ㄈ</v>
      </c>
      <c r="L3226" s="1" t="str">
        <f t="shared" si="205"/>
        <v>ㄤ</v>
      </c>
      <c r="N3226" s="3" t="s">
        <v>30575</v>
      </c>
      <c r="O3226" s="3"/>
      <c r="P3226" s="1" t="s">
        <v>20</v>
      </c>
      <c r="R3226" s="1" t="s">
        <v>4224</v>
      </c>
      <c r="V3226" s="1" t="s">
        <v>4225</v>
      </c>
      <c r="W3226" s="1" t="s">
        <v>4226</v>
      </c>
      <c r="AR3226" s="1" t="str">
        <f t="shared" si="206"/>
        <v>| [ㄈㄤˊ](ㄈㄤˊ.md) | [坊](坊.md) |  | fáng | [名]
堤坊。《禮記．經解》：「以舊坊為無所用而壞之者，必有水敗。」
[動]
防範、防止。同「防」。《禮記．坊記》：「故君子禮以坊德，刑以坊淫，命以坊欲。」 |</v>
      </c>
    </row>
    <row r="3227" spans="1:44" hidden="1">
      <c r="A3227" s="1" t="s">
        <v>4212</v>
      </c>
      <c r="C3227" s="1">
        <v>1</v>
      </c>
      <c r="D3227" s="1" t="str">
        <f>"01707"</f>
        <v>01707</v>
      </c>
      <c r="E3227" s="1" t="s">
        <v>534</v>
      </c>
      <c r="F3227" s="1">
        <v>7</v>
      </c>
      <c r="G3227" s="1">
        <v>4</v>
      </c>
      <c r="H3227" s="1">
        <v>1</v>
      </c>
      <c r="I3227" s="1" t="s">
        <v>4223</v>
      </c>
      <c r="K3227" s="1" t="str">
        <f t="shared" si="204"/>
        <v>ㄈ</v>
      </c>
      <c r="L3227" s="1" t="str">
        <f t="shared" si="205"/>
        <v>ㄤ</v>
      </c>
      <c r="N3227" s="3" t="s">
        <v>30575</v>
      </c>
      <c r="O3227" s="3"/>
      <c r="P3227" s="1" t="s">
        <v>20</v>
      </c>
      <c r="R3227" s="1" t="s">
        <v>4224</v>
      </c>
      <c r="V3227" s="1" t="s">
        <v>4227</v>
      </c>
      <c r="W3227" s="1" t="s">
        <v>4228</v>
      </c>
      <c r="AR3227" s="1" t="str">
        <f t="shared" si="206"/>
        <v>| [ㄈㄤˊ](ㄈㄤˊ.md) | [妨](妨.md) |  | fáng | [動]
損害、阻礙。如：「妨害」、「妨礙」。《左傳．隱公三年》：「且夫賤妨貴，少陵長，遠間親，新間舊，小加大，淫破義，所謂六逆也。」唐．韓愈〈落齒〉詩：「叉牙妨食物，顛倒怯漱水。」 |</v>
      </c>
    </row>
    <row r="3228" spans="1:44" hidden="1">
      <c r="A3228" s="1" t="s">
        <v>4229</v>
      </c>
      <c r="C3228" s="1">
        <v>1</v>
      </c>
      <c r="D3228" s="1" t="str">
        <f>"01708"</f>
        <v>01708</v>
      </c>
      <c r="E3228" s="1" t="s">
        <v>691</v>
      </c>
      <c r="F3228" s="1">
        <v>7</v>
      </c>
      <c r="G3228" s="1">
        <v>4</v>
      </c>
      <c r="H3228" s="1">
        <v>0</v>
      </c>
      <c r="I3228" s="1" t="s">
        <v>4223</v>
      </c>
      <c r="K3228" s="1" t="str">
        <f t="shared" si="204"/>
        <v>ㄈ</v>
      </c>
      <c r="L3228" s="1" t="str">
        <f t="shared" si="205"/>
        <v>ㄤ</v>
      </c>
      <c r="N3228" s="3" t="s">
        <v>30575</v>
      </c>
      <c r="O3228" s="3"/>
      <c r="P3228" s="1" t="s">
        <v>20</v>
      </c>
      <c r="R3228" s="1" t="s">
        <v>4224</v>
      </c>
      <c r="V3228" s="1" t="s">
        <v>4230</v>
      </c>
      <c r="AR3228" s="1" t="str">
        <f t="shared" si="206"/>
        <v>| [ㄈㄤˊ](ㄈㄤˊ.md) | [防](防.md) |  | fáng | [名]
1.堤、壩。《說文解字．阜部》：「防，隄也。」《周禮．地官．稻人》：「以瀦畜水，以防止水。」
2.要塞。《史記．卷六九．蘇秦傳》：「民力罷敝，雖有長城、鉅防，惡足以為塞？」唐．白居易〈與仕明詔〉：「卿久鎮邊防，初膺閫寄。」
3.戒備的事。如：「冬防」、「海防」、「國防」。
4.姓。如漢代有防廣。
[動]
1.築堤。《周禮．冬官考工記．匠人》：「善溝者水漱之，善防者水淫之。」
2.戒備。如：「防備」、「提防」、「以防萬一」、「保密防諜」。 |</v>
      </c>
    </row>
    <row r="3229" spans="1:44" hidden="1">
      <c r="A3229" s="1" t="s">
        <v>4231</v>
      </c>
      <c r="C3229" s="1">
        <v>1</v>
      </c>
      <c r="D3229" s="1" t="str">
        <f>"01709"</f>
        <v>01709</v>
      </c>
      <c r="E3229" s="1" t="s">
        <v>1252</v>
      </c>
      <c r="F3229" s="1">
        <v>8</v>
      </c>
      <c r="G3229" s="1">
        <v>4</v>
      </c>
      <c r="H3229" s="1">
        <v>0</v>
      </c>
      <c r="I3229" s="1" t="s">
        <v>4223</v>
      </c>
      <c r="K3229" s="1" t="str">
        <f t="shared" si="204"/>
        <v>ㄈ</v>
      </c>
      <c r="L3229" s="1" t="str">
        <f t="shared" si="205"/>
        <v>ㄤ</v>
      </c>
      <c r="N3229" s="3" t="s">
        <v>30575</v>
      </c>
      <c r="O3229" s="3"/>
      <c r="P3229" s="1" t="s">
        <v>20</v>
      </c>
      <c r="R3229" s="1" t="s">
        <v>4224</v>
      </c>
      <c r="V3229" s="1" t="s">
        <v>4232</v>
      </c>
      <c r="AR3229" s="1" t="str">
        <f t="shared" si="206"/>
        <v>| [ㄈㄤˊ](ㄈㄤˊ.md) | [房](房.md) |  | fáng | [名]_x000D_
1.居室的全體，也稱為房子或房屋。如：「樓房」、「平房」。宋．梅堯臣〈杜鵑〉詩：「月樹啼方急，山房客未眠。」《水滸傳》第三二回：「廳上放著三把虎皮交椅，後面有百十間草房。」《警世通言．卷三一．趙春兒重旺曹家莊》：「在墳邊左近，有一所空房要賣，只要五十兩銀子。」_x000D_
2.居室中的一間。如：「書房」、「臥房」、「閨房」、「客房」。三國魏．曹丕〈燕歌行〉：「賤妾煢煢守空房，憂來思君不敢忘，不覺淚下霑衣裳。」《太平廣記．卷二三六．隋煬帝》引《紀聞》：「又殿內房中，不燃膏火，懸大珠一百二十以照之，光比白日。」_x000D_
3.構造或作用像房子的物體。如：「蜂房」、「蓮房」、「花房」。北周．庾信〈詠園花〉詩：「燕送歸菱井，蜂銜上蜜房。」唐．柳宗元〈柳州山水近治可游者記〉：「其宇下有流石成形，如肺肝，如茄房。」_x000D_
4.家族的分支。《新唐書．卷七五．宰相世系表五上》：「大房白麟後絕，第三房叔夜後無聞。」《警世通言．卷二五．桂員外途窮懺悔》：「我有遠房親族在會稽地方。向因家貧久不來往。」《儒林外史》第一六回：「恰好三房的阿叔過來催房子，匡超人丟下酒，向阿叔作揖下跪。」 _x000D_
5.妻室、妻子。《晉書．卷三三．列傳．石苞》：「後房百數，皆曳紈繡，珥金翠。」《喻世明言．卷一．蔣興哥重會珍珠衫》：「這平氏到是明媒正娶，又且平氏年長一歲，讓平氏為正房，王氏反做偏房。」《儒林外史》第五回：「明日我若死了，就把你扶正做個填房。」_x000D_
6.姓。如唐代有房玄齡、房琯。_x000D_
[量]_x000D_
1.舊時計算妻妾的單位。《喻世明言．卷二二．木綿菴鄭虎臣報冤》：「只我家相公要討一房側室，你若願意，我攛掇多把幾貫錢鈔與你。」《儒林外史》第二八回：「我們風流人物，只要才子佳人會合，一房兩房，何足為奇？」_x000D_
2.計算親事、親戚家數的單位。如：「有三房親戚」、「五房兄弟」。《喻世明言．卷九．裴晉公義還原配》：「某幼年定下一房親事，因屢任南方，未成婚配。」《紅樓復夢》第八五回：「況且我家兩房兄弟得道，已是古今創聞。」_x000D_
3.計算花朵、果實的單位。宋．陸游《老學庵筆記》卷三：「蜀孟氏時，苑中忽生百合花一本，數百房，皆並蒂。」宋．王溥《唐會要．卷一〇〇．雜錄》：「葉護獻馬乳葡萄一房，長二尺，子亦稍大，其色紫。」_x000D_
4.計算形狀、結構似房的物品的單位。唐．李洞〈山居喜友人見訪〉詩：「看待詩人無別物，半潭秋水一房山。」明．李時珍《本草綱目．卷三九．蟲部一．大黃蜂》：「一房蜂兒五、六斗至一石，揀狀如蠶蛹瑩白者，以鹽炒暴乾，寄入京洛以為方物。」 |</v>
      </c>
    </row>
    <row r="3230" spans="1:44" hidden="1">
      <c r="A3230" s="1" t="s">
        <v>4219</v>
      </c>
      <c r="C3230" s="1">
        <v>1</v>
      </c>
      <c r="D3230" s="1" t="str">
        <f>"01710"</f>
        <v>01710</v>
      </c>
      <c r="E3230" s="1" t="s">
        <v>68</v>
      </c>
      <c r="F3230" s="1">
        <v>8</v>
      </c>
      <c r="G3230" s="1">
        <v>4</v>
      </c>
      <c r="H3230" s="1">
        <v>1</v>
      </c>
      <c r="I3230" s="1" t="s">
        <v>4223</v>
      </c>
      <c r="K3230" s="1" t="str">
        <f t="shared" si="204"/>
        <v>ㄈ</v>
      </c>
      <c r="L3230" s="1" t="str">
        <f t="shared" si="205"/>
        <v>ㄤ</v>
      </c>
      <c r="N3230" s="3" t="s">
        <v>30575</v>
      </c>
      <c r="O3230" s="3"/>
      <c r="P3230" s="1" t="s">
        <v>20</v>
      </c>
      <c r="R3230" s="1" t="s">
        <v>4224</v>
      </c>
      <c r="V3230" s="1" t="s">
        <v>4233</v>
      </c>
      <c r="W3230" s="1" t="s">
        <v>4234</v>
      </c>
      <c r="AR3230" s="1" t="str">
        <f t="shared" si="206"/>
        <v>| [ㄈㄤˊ](ㄈㄤˊ.md) | [肪](肪.md) |  | fáng | [名]
動物體內的油脂。如：「脂肪」。《文選．曹丕．與鍾大理書》：「白如截肪，黑譬純漆。」元．陶宗儀《南村輟耕錄．卷二六．鵰傳》：「啄胔扼吭，裂肪絕筋。」 |</v>
      </c>
    </row>
    <row r="3231" spans="1:44" hidden="1">
      <c r="A3231" s="1" t="s">
        <v>4235</v>
      </c>
      <c r="C3231" s="1">
        <v>1</v>
      </c>
      <c r="D3231" s="1" t="str">
        <f>"01711"</f>
        <v>01711</v>
      </c>
      <c r="E3231" s="1" t="s">
        <v>156</v>
      </c>
      <c r="F3231" s="1">
        <v>15</v>
      </c>
      <c r="G3231" s="1">
        <v>4</v>
      </c>
      <c r="H3231" s="1">
        <v>0</v>
      </c>
      <c r="I3231" s="1" t="s">
        <v>4223</v>
      </c>
      <c r="K3231" s="1" t="str">
        <f t="shared" si="204"/>
        <v>ㄈ</v>
      </c>
      <c r="L3231" s="1" t="str">
        <f t="shared" si="205"/>
        <v>ㄤ</v>
      </c>
      <c r="N3231" s="3" t="s">
        <v>30575</v>
      </c>
      <c r="O3231" s="3"/>
      <c r="P3231" s="1" t="s">
        <v>20</v>
      </c>
      <c r="R3231" s="1" t="s">
        <v>4224</v>
      </c>
      <c r="V3231" s="1" t="s">
        <v>4236</v>
      </c>
      <c r="AR3231" s="1" t="str">
        <f t="shared" si="206"/>
        <v>| [ㄈㄤˊ](ㄈㄤˊ.md) | [魴](魴.md) |  | fáng | [名]
動物名。魚綱鯉科。銀灰色。體形似鯿，胸平，背部隆起。草食性，為淡水經濟魚類之一。 |</v>
      </c>
    </row>
    <row r="3232" spans="1:44" hidden="1">
      <c r="A3232" s="1" t="s">
        <v>4237</v>
      </c>
      <c r="C3232" s="1">
        <v>1</v>
      </c>
      <c r="D3232" s="1" t="str">
        <f>"01712"</f>
        <v>01712</v>
      </c>
      <c r="E3232" s="1" t="s">
        <v>114</v>
      </c>
      <c r="F3232" s="1">
        <v>6</v>
      </c>
      <c r="G3232" s="1">
        <v>4</v>
      </c>
      <c r="H3232" s="1">
        <v>0</v>
      </c>
      <c r="I3232" s="1" t="s">
        <v>4238</v>
      </c>
      <c r="K3232" s="1" t="str">
        <f t="shared" si="204"/>
        <v>ㄈ</v>
      </c>
      <c r="L3232" s="1" t="str">
        <f t="shared" si="205"/>
        <v>ㄤ</v>
      </c>
      <c r="N3232" s="3" t="s">
        <v>30576</v>
      </c>
      <c r="O3232" s="3"/>
      <c r="P3232" s="1" t="s">
        <v>20</v>
      </c>
      <c r="R3232" s="1" t="s">
        <v>4239</v>
      </c>
      <c r="V3232" s="1" t="s">
        <v>4240</v>
      </c>
      <c r="AR3232" s="1" t="str">
        <f t="shared" si="206"/>
        <v>| [ㄈㄤˇ](ㄈㄤˇ.md) | [仿](仿.md) |  | fǎng | [動]
1.效法。如：「仿古」、「模仿」、「效仿」。
2.似、像。如：「年紀相仿」、「他長的和他叔叔極為相仿。」 |</v>
      </c>
    </row>
    <row r="3233" spans="1:44" hidden="1">
      <c r="A3233" s="1" t="s">
        <v>1947</v>
      </c>
      <c r="C3233" s="1">
        <v>1</v>
      </c>
      <c r="D3233" s="1" t="str">
        <f>"01713"</f>
        <v>01713</v>
      </c>
      <c r="E3233" s="1" t="s">
        <v>234</v>
      </c>
      <c r="F3233" s="1">
        <v>7</v>
      </c>
      <c r="G3233" s="1">
        <v>4</v>
      </c>
      <c r="H3233" s="1">
        <v>2</v>
      </c>
      <c r="I3233" s="1" t="s">
        <v>4238</v>
      </c>
      <c r="K3233" s="1" t="str">
        <f t="shared" si="204"/>
        <v>ㄈ</v>
      </c>
      <c r="L3233" s="1" t="str">
        <f t="shared" si="205"/>
        <v>ㄤ</v>
      </c>
      <c r="N3233" s="3" t="s">
        <v>30576</v>
      </c>
      <c r="O3233" s="3"/>
      <c r="P3233" s="1" t="s">
        <v>20</v>
      </c>
      <c r="R3233" s="1" t="s">
        <v>4239</v>
      </c>
      <c r="V3233" s="1" t="s">
        <v>4241</v>
      </c>
      <c r="W3233" s="1" t="s">
        <v>4242</v>
      </c>
      <c r="AR3233" s="1" t="str">
        <f t="shared" si="206"/>
        <v>| [ㄈㄤˇ](ㄈㄤˇ.md) | [彷](彷.md) |  | fǎng | 參見「彷彿」條。 |</v>
      </c>
    </row>
    <row r="3234" spans="1:44" hidden="1">
      <c r="A3234" s="1" t="s">
        <v>4243</v>
      </c>
      <c r="C3234" s="1">
        <v>1</v>
      </c>
      <c r="D3234" s="1" t="str">
        <f>"01714"</f>
        <v>01714</v>
      </c>
      <c r="E3234" s="1" t="s">
        <v>426</v>
      </c>
      <c r="F3234" s="1">
        <v>8</v>
      </c>
      <c r="G3234" s="1">
        <v>4</v>
      </c>
      <c r="H3234" s="1">
        <v>2</v>
      </c>
      <c r="I3234" s="1" t="s">
        <v>4238</v>
      </c>
      <c r="K3234" s="1" t="str">
        <f t="shared" si="204"/>
        <v>ㄈ</v>
      </c>
      <c r="L3234" s="1" t="str">
        <f t="shared" si="205"/>
        <v>ㄤ</v>
      </c>
      <c r="N3234" s="3" t="s">
        <v>30576</v>
      </c>
      <c r="O3234" s="3"/>
      <c r="P3234" s="1" t="s">
        <v>20</v>
      </c>
      <c r="R3234" s="1" t="s">
        <v>4239</v>
      </c>
      <c r="V3234" s="1" t="s">
        <v>4244</v>
      </c>
      <c r="W3234" s="1" t="s">
        <v>4245</v>
      </c>
      <c r="AR3234" s="1" t="str">
        <f t="shared" si="206"/>
        <v>| [ㄈㄤˇ](ㄈㄤˇ.md) | [放](放.md) |  | fǎng | [動]
1.依據。《論語．里仁》：「放於利而行，多怨。」
2.至。《孟子．梁惠王下》：「南放於琅邪。」
3.仿效。《後漢書．卷四十．班彪傳上》：「據坤靈之正位，放太紫之圓方。」宋．蘇軾〈上韓太尉書〉：「皆依放儒術六經之言，而取其近似者以為口實。」 |</v>
      </c>
    </row>
    <row r="3235" spans="1:44" hidden="1">
      <c r="A3235" s="1" t="s">
        <v>4246</v>
      </c>
      <c r="C3235" s="1">
        <v>1</v>
      </c>
      <c r="D3235" s="1" t="str">
        <f>"01715"</f>
        <v>01715</v>
      </c>
      <c r="E3235" s="1" t="s">
        <v>646</v>
      </c>
      <c r="F3235" s="1">
        <v>8</v>
      </c>
      <c r="G3235" s="1">
        <v>4</v>
      </c>
      <c r="H3235" s="1">
        <v>0</v>
      </c>
      <c r="I3235" s="1" t="s">
        <v>4238</v>
      </c>
      <c r="K3235" s="1" t="str">
        <f t="shared" si="204"/>
        <v>ㄈ</v>
      </c>
      <c r="L3235" s="1" t="str">
        <f t="shared" si="205"/>
        <v>ㄤ</v>
      </c>
      <c r="N3235" s="3" t="s">
        <v>30576</v>
      </c>
      <c r="O3235" s="3"/>
      <c r="P3235" s="1" t="s">
        <v>20</v>
      </c>
      <c r="R3235" s="1" t="s">
        <v>4239</v>
      </c>
      <c r="V3235" s="1" t="s">
        <v>4247</v>
      </c>
      <c r="AR3235" s="1" t="str">
        <f t="shared" si="206"/>
        <v>| [ㄈㄤˇ](ㄈㄤˇ.md) | [昉](昉.md) |  | fǎng | [動]
太陽剛出來。明．張自烈《正字通．日部》：「昉，日初明也。」
[副]
始。《列子．黃帝》：「既出，果得珠焉。眾昉同疑。」晉．張湛．注：「昉，始也。」 |</v>
      </c>
    </row>
    <row r="3236" spans="1:44" hidden="1">
      <c r="A3236" s="1" t="s">
        <v>4248</v>
      </c>
      <c r="C3236" s="1">
        <v>1</v>
      </c>
      <c r="D3236" s="1" t="str">
        <f>"01716"</f>
        <v>01716</v>
      </c>
      <c r="E3236" s="1" t="s">
        <v>1824</v>
      </c>
      <c r="F3236" s="1">
        <v>9</v>
      </c>
      <c r="G3236" s="1">
        <v>4</v>
      </c>
      <c r="H3236" s="1">
        <v>0</v>
      </c>
      <c r="I3236" s="1" t="s">
        <v>4238</v>
      </c>
      <c r="K3236" s="1" t="str">
        <f t="shared" si="204"/>
        <v>ㄈ</v>
      </c>
      <c r="L3236" s="1" t="str">
        <f t="shared" si="205"/>
        <v>ㄤ</v>
      </c>
      <c r="N3236" s="3" t="s">
        <v>30576</v>
      </c>
      <c r="O3236" s="3"/>
      <c r="P3236" s="1" t="s">
        <v>20</v>
      </c>
      <c r="R3236" s="1" t="s">
        <v>4239</v>
      </c>
      <c r="V3236" s="1" t="s">
        <v>4249</v>
      </c>
      <c r="AR3236" s="1" t="str">
        <f t="shared" si="206"/>
        <v>| [ㄈㄤˇ](ㄈㄤˇ.md) | [瓬](瓬.md) |  | fǎng | [名]
製造陶、瓦器的人。《說文解字．瓦部》：「瓬，周家搏埴之工也。」《周禮．冬官考工記．瓬人》：「瓬人為簋，實一觳，崇尺。」 |</v>
      </c>
    </row>
    <row r="3237" spans="1:44" hidden="1">
      <c r="A3237" s="1" t="s">
        <v>4250</v>
      </c>
      <c r="C3237" s="1">
        <v>1</v>
      </c>
      <c r="D3237" s="1" t="str">
        <f>"01717"</f>
        <v>01717</v>
      </c>
      <c r="E3237" s="1" t="s">
        <v>114</v>
      </c>
      <c r="F3237" s="1">
        <v>10</v>
      </c>
      <c r="G3237" s="1">
        <v>8</v>
      </c>
      <c r="H3237" s="1">
        <v>0</v>
      </c>
      <c r="I3237" s="1" t="s">
        <v>4238</v>
      </c>
      <c r="K3237" s="1" t="str">
        <f t="shared" si="204"/>
        <v>ㄈ</v>
      </c>
      <c r="L3237" s="1" t="str">
        <f t="shared" si="205"/>
        <v>ㄤ</v>
      </c>
      <c r="N3237" s="3" t="s">
        <v>30576</v>
      </c>
      <c r="O3237" s="3"/>
      <c r="P3237" s="1" t="s">
        <v>20</v>
      </c>
      <c r="R3237" s="1" t="s">
        <v>4239</v>
      </c>
      <c r="V3237" s="1" t="s">
        <v>4251</v>
      </c>
      <c r="AR3237" s="1" t="str">
        <f t="shared" si="206"/>
        <v>| [ㄈㄤˇ](ㄈㄤˇ.md) | [倣](倣.md) |  | fǎng | [動]
仿效、學習。同「仿」。唐．韓愈〈論佛骨表〉：「轉相倣效，惟恐後時。」 |</v>
      </c>
    </row>
    <row r="3238" spans="1:44" hidden="1">
      <c r="A3238" s="1" t="s">
        <v>4252</v>
      </c>
      <c r="C3238" s="1">
        <v>1</v>
      </c>
      <c r="D3238" s="1" t="str">
        <f>"01718"</f>
        <v>01718</v>
      </c>
      <c r="E3238" s="1" t="s">
        <v>181</v>
      </c>
      <c r="F3238" s="1">
        <v>10</v>
      </c>
      <c r="G3238" s="1">
        <v>4</v>
      </c>
      <c r="H3238" s="1">
        <v>0</v>
      </c>
      <c r="I3238" s="1" t="s">
        <v>4238</v>
      </c>
      <c r="K3238" s="1" t="str">
        <f t="shared" si="204"/>
        <v>ㄈ</v>
      </c>
      <c r="L3238" s="1" t="str">
        <f t="shared" si="205"/>
        <v>ㄤ</v>
      </c>
      <c r="N3238" s="3" t="s">
        <v>30576</v>
      </c>
      <c r="O3238" s="3"/>
      <c r="P3238" s="1" t="s">
        <v>20</v>
      </c>
      <c r="R3238" s="1" t="s">
        <v>4239</v>
      </c>
      <c r="V3238" s="1" t="s">
        <v>4253</v>
      </c>
      <c r="AR3238" s="1" t="str">
        <f t="shared" si="206"/>
        <v>| [ㄈㄤˇ](ㄈㄤˇ.md) | [舫](舫.md) |  | fǎng | [名]
1.並連的兩船。《爾雅．釋言》：「舫，舟也。」晉．郭璞．注：「並兩船。」《太平御覽．卷七七〇．舟部．舸》：「遂解舫為單舸，一日一夜行五六百里，遂得免。」
2.船的通稱。如：「遊舫」、「畫舫」。唐．韋應物〈夕次盱眙縣〉詩：「落帆逗淮鎮，停舫臨孤驛。」 |</v>
      </c>
    </row>
    <row r="3239" spans="1:44" hidden="1">
      <c r="A3239" s="1" t="s">
        <v>4254</v>
      </c>
      <c r="C3239" s="1">
        <v>1</v>
      </c>
      <c r="D3239" s="1" t="str">
        <f>"01719"</f>
        <v>01719</v>
      </c>
      <c r="E3239" s="1" t="s">
        <v>725</v>
      </c>
      <c r="F3239" s="1">
        <v>10</v>
      </c>
      <c r="G3239" s="1">
        <v>4</v>
      </c>
      <c r="H3239" s="1">
        <v>0</v>
      </c>
      <c r="I3239" s="1" t="s">
        <v>4238</v>
      </c>
      <c r="K3239" s="1" t="str">
        <f t="shared" si="204"/>
        <v>ㄈ</v>
      </c>
      <c r="L3239" s="1" t="str">
        <f t="shared" si="205"/>
        <v>ㄤ</v>
      </c>
      <c r="N3239" s="3" t="s">
        <v>30576</v>
      </c>
      <c r="O3239" s="3"/>
      <c r="P3239" s="1" t="s">
        <v>20</v>
      </c>
      <c r="R3239" s="1" t="s">
        <v>4239</v>
      </c>
      <c r="V3239" s="1" t="s">
        <v>4255</v>
      </c>
      <c r="AR3239" s="1" t="str">
        <f t="shared" si="206"/>
        <v>| [ㄈㄤˇ](ㄈㄤˇ.md) | [紡](紡.md) |  | fǎng | [名]
柔軟細密的絲織品。如：「杭紡」。《儀禮．聘禮》：「賓裼，迎大夫賄，用束紡。」
[動]
將絲、麻、棉等抽成線紗。《晉書．卷九〇．良吏傳．吳隱之傳》：「裁留身糧，其餘悉分振親族，家人績紡以供朝夕。」 |</v>
      </c>
    </row>
    <row r="3240" spans="1:44" hidden="1">
      <c r="A3240" s="1" t="s">
        <v>4256</v>
      </c>
      <c r="C3240" s="1">
        <v>1</v>
      </c>
      <c r="D3240" s="1" t="str">
        <f>"01720"</f>
        <v>01720</v>
      </c>
      <c r="E3240" s="1" t="s">
        <v>331</v>
      </c>
      <c r="F3240" s="1">
        <v>11</v>
      </c>
      <c r="G3240" s="1">
        <v>4</v>
      </c>
      <c r="H3240" s="1">
        <v>0</v>
      </c>
      <c r="I3240" s="1" t="s">
        <v>4238</v>
      </c>
      <c r="K3240" s="1" t="str">
        <f t="shared" ref="K3240:K3303" si="207">LEFT(I3240, 1)</f>
        <v>ㄈ</v>
      </c>
      <c r="L3240" s="1" t="str">
        <f t="shared" ref="L3240:L3303" si="208">MID(I3240, 2, 1)</f>
        <v>ㄤ</v>
      </c>
      <c r="N3240" s="3" t="s">
        <v>30576</v>
      </c>
      <c r="O3240" s="3"/>
      <c r="P3240" s="1" t="s">
        <v>20</v>
      </c>
      <c r="R3240" s="1" t="s">
        <v>4239</v>
      </c>
      <c r="V3240" s="1" t="s">
        <v>4257</v>
      </c>
      <c r="AR3240" s="1" t="str">
        <f t="shared" si="206"/>
        <v>| [ㄈㄤˇ](ㄈㄤˇ.md) | [訪](訪.md) |  | fǎng | [動]_x000D_
1.詢問、徵詢。《左傳．哀公十一年》：「季孫欲以田賦，使冉有訪諸仲尼。」《宋書．卷七五．列傳．王僧達》：「內慮於己，外訪於親，以為天地之仁，施不期報，再造之恩，不可妄屬。」_x000D_
2.調查、偵察。如：「明察暗訪」。《三國志．卷一二．魏書．崔毛徐何刑鮑司馬傳．崔琰》：「太祖狐疑，以函令密訪於外。」《舊五代史．卷一一二．周書．太祖本紀三》：「遣偽宰相宋齊丘宴昌祚於別館，又令訪昌祚在湖南遭變之時，亡失綱運之數，命依數償之。」_x000D_
3.尋求、探尋。《晉書．卷九一．儒林列傳．序》：「於是傍求蠹簡，博訪遺書。」宋．蘇軾〈石鐘山記〉：「至唐李渤始訪其遺蹤，得雙石於潭上。」_x000D_
4.探望、拜望。如：「探訪」、「拜訪」。《宋史．卷四五九．卓行列傳．巢谷》：「谷獨慨然自眉山誦言欲徒步訪兩蘇，聞者皆笑其狂。」元．耶律楚材〈贈蒲察元帥〉詩七首之一：「閑騎白馬思無窮，來訪西城綠髮翁。」_x000D_
[名]_x000D_
姓。如唐代有訪式。 |</v>
      </c>
    </row>
    <row r="3241" spans="1:44" hidden="1">
      <c r="A3241" s="1" t="s">
        <v>4258</v>
      </c>
      <c r="C3241" s="1">
        <v>1</v>
      </c>
      <c r="D3241" s="1" t="str">
        <f>"01721"</f>
        <v>01721</v>
      </c>
      <c r="E3241" s="1" t="s">
        <v>1078</v>
      </c>
      <c r="F3241" s="1">
        <v>14</v>
      </c>
      <c r="G3241" s="1">
        <v>4</v>
      </c>
      <c r="H3241" s="1">
        <v>0</v>
      </c>
      <c r="I3241" s="1" t="s">
        <v>4238</v>
      </c>
      <c r="K3241" s="1" t="str">
        <f t="shared" si="207"/>
        <v>ㄈ</v>
      </c>
      <c r="L3241" s="1" t="str">
        <f t="shared" si="208"/>
        <v>ㄤ</v>
      </c>
      <c r="N3241" s="3" t="s">
        <v>30576</v>
      </c>
      <c r="O3241" s="3"/>
      <c r="P3241" s="1" t="s">
        <v>20</v>
      </c>
      <c r="R3241" s="1" t="s">
        <v>4239</v>
      </c>
      <c r="V3241" s="1" t="s">
        <v>4259</v>
      </c>
      <c r="AR3241" s="1" t="str">
        <f t="shared" si="206"/>
        <v>| [ㄈㄤˇ](ㄈㄤˇ.md) | [髣](髣.md) |  | fǎng | 參見「髣髴」條。 |</v>
      </c>
    </row>
    <row r="3242" spans="1:44" hidden="1">
      <c r="A3242" s="1" t="s">
        <v>4321</v>
      </c>
      <c r="C3242" s="1">
        <v>1</v>
      </c>
      <c r="D3242" s="1" t="str">
        <f>"01746"</f>
        <v>01746</v>
      </c>
      <c r="E3242" s="1" t="s">
        <v>563</v>
      </c>
      <c r="F3242" s="1">
        <v>8</v>
      </c>
      <c r="G3242" s="1">
        <v>5</v>
      </c>
      <c r="H3242" s="1">
        <v>0</v>
      </c>
      <c r="I3242" s="1" t="s">
        <v>4322</v>
      </c>
      <c r="K3242" s="1" t="str">
        <f t="shared" si="207"/>
        <v>ㄈ</v>
      </c>
      <c r="L3242" s="1" t="str">
        <f t="shared" si="208"/>
        <v>ㄥ</v>
      </c>
      <c r="N3242" s="3" t="s">
        <v>30574</v>
      </c>
      <c r="O3242" s="3"/>
      <c r="P3242" s="1" t="s">
        <v>20</v>
      </c>
      <c r="R3242" s="1" t="s">
        <v>4323</v>
      </c>
      <c r="V3242" s="1" t="s">
        <v>4324</v>
      </c>
      <c r="AR3242" s="1" t="str">
        <f t="shared" si="206"/>
        <v>| [ㄈㄥˋ](ㄈㄥˋ.md) | [奉](奉.md) |  | fèng | [動]
1.拱捧。《左傳．成公二年》：「再拜稽首，奉觴加璧以進。」《韓非子．和氏》：「楚人和氏得玉璞楚山中，奉而獻之厲王。」
2.進獻。如：「奉獻」。《周禮．地官．大司徒》：「祀五帝，奉牛牲，羞其肆。」
3.敬受。如：「奉命」、「奉諭」。
4.推崇、擁戴。如：「奉為圭臬」。南朝宋．劉義慶《世說新語．賢媛》：「秦末大亂，東陽人欲奉嬰為主。」
5.信仰、遵循。如：「信奉」。《左傳．哀公六年》：「吾子奉義而行者也，若我可，不必亡一大夫。」
6.討好、巴結。如：「奉承」。宋．無名氏《梅妃傳》：「力士方奉太真，且畏其勢。」《儒林外史》第一〇回：「晚生只是個直言，並不肯阿諛趨奉。」
7.供養、侍候。如：「奉養」、「侍奉」、「奉親」。
8.祭祀。如：「供奉」。《北史．卷二〇．穆崇傳》：「道武異之，命崇立祀，子孫世奉焉。」唐．高郢〈再上諫造章敬寺書〉：「陛下奉先思孝，興福除禍。」
[名]
1.官員的薪資。同「俸」。《漢書．卷八．宣帝紀》：「今小吏皆勤事而奉祿薄，欲其毋侵漁百姓，難矣。」
2.姓。如漢代有奉揮。
[副]
自己的言行與他人有關時的敬詞。如：「奉勸」、「奉陪」、「奉送啟程」。 |</v>
      </c>
    </row>
    <row r="3243" spans="1:44" hidden="1">
      <c r="A3243" s="1" t="s">
        <v>4325</v>
      </c>
      <c r="C3243" s="1">
        <v>1</v>
      </c>
      <c r="D3243" s="1" t="str">
        <f>"01747"</f>
        <v>01747</v>
      </c>
      <c r="E3243" s="1" t="s">
        <v>114</v>
      </c>
      <c r="F3243" s="1">
        <v>10</v>
      </c>
      <c r="G3243" s="1">
        <v>8</v>
      </c>
      <c r="H3243" s="1">
        <v>0</v>
      </c>
      <c r="I3243" s="1" t="s">
        <v>4322</v>
      </c>
      <c r="K3243" s="1" t="str">
        <f t="shared" si="207"/>
        <v>ㄈ</v>
      </c>
      <c r="L3243" s="1" t="str">
        <f t="shared" si="208"/>
        <v>ㄥ</v>
      </c>
      <c r="N3243" s="3" t="s">
        <v>30574</v>
      </c>
      <c r="O3243" s="3"/>
      <c r="P3243" s="1" t="s">
        <v>20</v>
      </c>
      <c r="R3243" s="1" t="s">
        <v>4323</v>
      </c>
      <c r="V3243" s="1" t="s">
        <v>4326</v>
      </c>
      <c r="AR3243" s="1" t="str">
        <f t="shared" si="206"/>
        <v>| [ㄈㄥˋ](ㄈㄥˋ.md) | [俸](俸.md) |  | fèng | [名]
薪資。以前單指官員所得的薪資、酬勞。如：「薪俸」、「月俸」、「高官厚俸」。《儒林外史》第七回：「到七日上，李老爺果然奉旨出獄，只罰了三個月的俸。」 |</v>
      </c>
    </row>
    <row r="3244" spans="1:44" hidden="1">
      <c r="A3244" s="1" t="s">
        <v>4275</v>
      </c>
      <c r="C3244" s="1">
        <v>1</v>
      </c>
      <c r="D3244" s="1" t="str">
        <f>"01748"</f>
        <v>01748</v>
      </c>
      <c r="E3244" s="1" t="s">
        <v>1161</v>
      </c>
      <c r="F3244" s="1">
        <v>9</v>
      </c>
      <c r="G3244" s="1">
        <v>0</v>
      </c>
      <c r="H3244" s="1">
        <v>2</v>
      </c>
      <c r="I3244" s="1" t="s">
        <v>4322</v>
      </c>
      <c r="K3244" s="1" t="str">
        <f t="shared" si="207"/>
        <v>ㄈ</v>
      </c>
      <c r="L3244" s="1" t="str">
        <f t="shared" si="208"/>
        <v>ㄥ</v>
      </c>
      <c r="N3244" s="3" t="s">
        <v>30574</v>
      </c>
      <c r="O3244" s="3"/>
      <c r="P3244" s="1" t="s">
        <v>20</v>
      </c>
      <c r="R3244" s="1" t="s">
        <v>4323</v>
      </c>
      <c r="V3244" s="1" t="s">
        <v>4327</v>
      </c>
      <c r="W3244" s="1" t="s">
        <v>4328</v>
      </c>
      <c r="AR3244" s="1" t="str">
        <f t="shared" si="206"/>
        <v>| [ㄈㄥˋ](ㄈㄥˋ.md) | [風](風.md) |  | fèng | [動]
1.吹、吹風。如：「春風風人，夏雨雨人。」《孟子．公孫丑下》：「有寒疾不可以風。」宋．蘇軾〈與孫叔靜〉：「屬飲藥汗不可以風，未即諸謝，又枉使旌。」
2.婉言勸諫。通「諷」。《史記．卷五八．梁孝王世家》：「而王與任王后以此使人風止李太后。」《漢書．卷五七．司馬相如傳下》：「以風天子，且因宣其使指，令百姓皆知天子意。」 |</v>
      </c>
    </row>
    <row r="3245" spans="1:44" hidden="1">
      <c r="A3245" s="1" t="s">
        <v>4282</v>
      </c>
      <c r="C3245" s="1">
        <v>1</v>
      </c>
      <c r="D3245" s="1" t="str">
        <f>"01749"</f>
        <v>01749</v>
      </c>
      <c r="E3245" s="1" t="s">
        <v>331</v>
      </c>
      <c r="F3245" s="1">
        <v>16</v>
      </c>
      <c r="G3245" s="1">
        <v>9</v>
      </c>
      <c r="H3245" s="1">
        <v>1</v>
      </c>
      <c r="I3245" s="1" t="s">
        <v>4322</v>
      </c>
      <c r="K3245" s="1" t="str">
        <f t="shared" si="207"/>
        <v>ㄈ</v>
      </c>
      <c r="L3245" s="1" t="str">
        <f t="shared" si="208"/>
        <v>ㄥ</v>
      </c>
      <c r="N3245" s="3" t="s">
        <v>30574</v>
      </c>
      <c r="O3245" s="3"/>
      <c r="P3245" s="1" t="s">
        <v>20</v>
      </c>
      <c r="R3245" s="1" t="s">
        <v>4323</v>
      </c>
      <c r="V3245" s="1" t="s">
        <v>4329</v>
      </c>
      <c r="W3245" s="1" t="s">
        <v>4330</v>
      </c>
      <c r="AR3245" s="1" t="str">
        <f t="shared" si="206"/>
        <v>| [ㄈㄥˋ](ㄈㄥˋ.md) | [諷](諷.md) |  | fèng | [動]
1.譏刺。如：「諷刺」、「嘲諷」、「譏諷」。
2.誦讀。如：「諷經念佛」。
3.委婉勸諫。《文選．揚雄．甘泉賦》：「正月從上甘泉還，奏甘泉賦以諷。」 |</v>
      </c>
    </row>
    <row r="3246" spans="1:44" hidden="1">
      <c r="A3246" s="1" t="s">
        <v>4331</v>
      </c>
      <c r="C3246" s="1">
        <v>1</v>
      </c>
      <c r="D3246" s="1" t="str">
        <f>"01750"</f>
        <v>01750</v>
      </c>
      <c r="E3246" s="1" t="s">
        <v>272</v>
      </c>
      <c r="F3246" s="1">
        <v>14</v>
      </c>
      <c r="G3246" s="1">
        <v>3</v>
      </c>
      <c r="H3246" s="1">
        <v>0</v>
      </c>
      <c r="I3246" s="1" t="s">
        <v>4322</v>
      </c>
      <c r="K3246" s="1" t="str">
        <f t="shared" si="207"/>
        <v>ㄈ</v>
      </c>
      <c r="L3246" s="1" t="str">
        <f t="shared" si="208"/>
        <v>ㄥ</v>
      </c>
      <c r="N3246" s="3" t="s">
        <v>30574</v>
      </c>
      <c r="O3246" s="3"/>
      <c r="P3246" s="1" t="s">
        <v>20</v>
      </c>
      <c r="R3246" s="1" t="s">
        <v>4323</v>
      </c>
      <c r="V3246" s="1" t="s">
        <v>4332</v>
      </c>
      <c r="AR3246" s="1" t="str">
        <f t="shared" si="206"/>
        <v>| [ㄈㄥˋ](ㄈㄥˋ.md) | [鳳](鳳.md) |  | fèng | [名]
1.參見「鳳凰」條。
2.姓。如漢代有鳳綱。 |</v>
      </c>
    </row>
    <row r="3247" spans="1:44" hidden="1">
      <c r="A3247" s="1" t="s">
        <v>4333</v>
      </c>
      <c r="C3247" s="1">
        <v>1</v>
      </c>
      <c r="D3247" s="1" t="str">
        <f>"01751"</f>
        <v>01751</v>
      </c>
      <c r="E3247" s="1" t="s">
        <v>505</v>
      </c>
      <c r="F3247" s="1">
        <v>16</v>
      </c>
      <c r="G3247" s="1">
        <v>9</v>
      </c>
      <c r="H3247" s="1">
        <v>0</v>
      </c>
      <c r="I3247" s="1" t="s">
        <v>4322</v>
      </c>
      <c r="K3247" s="1" t="str">
        <f t="shared" si="207"/>
        <v>ㄈ</v>
      </c>
      <c r="L3247" s="1" t="str">
        <f t="shared" si="208"/>
        <v>ㄥ</v>
      </c>
      <c r="N3247" s="3" t="s">
        <v>30574</v>
      </c>
      <c r="O3247" s="3"/>
      <c r="P3247" s="1" t="s">
        <v>20</v>
      </c>
      <c r="R3247" s="1" t="s">
        <v>4323</v>
      </c>
      <c r="V3247" s="1" t="s">
        <v>4334</v>
      </c>
      <c r="AR3247" s="1" t="str">
        <f t="shared" si="206"/>
        <v>| [ㄈㄥˋ](ㄈㄥˋ.md) | [賵](賵.md) |  | fèng | [名]
送給喪家助喪的物品。《集韻．去聲．送韻》：「賵，贈死之物。」《公羊傳．隱公元年》：「車馬曰賵，貨財曰賻，衣被曰襚。」
[動]
以車、馬等物助人辦喪事。《儀禮．既夕禮》：「公賵玄纁束馬兩。」漢．鄭玄．注：「賵，所以助主人送葬也。」 |</v>
      </c>
    </row>
    <row r="3248" spans="1:44" hidden="1">
      <c r="A3248" s="1" t="s">
        <v>4305</v>
      </c>
      <c r="C3248" s="1">
        <v>1</v>
      </c>
      <c r="D3248" s="1" t="str">
        <f>"01752"</f>
        <v>01752</v>
      </c>
      <c r="E3248" s="1" t="s">
        <v>725</v>
      </c>
      <c r="F3248" s="1">
        <v>17</v>
      </c>
      <c r="G3248" s="1">
        <v>11</v>
      </c>
      <c r="H3248" s="1">
        <v>2</v>
      </c>
      <c r="I3248" s="1" t="s">
        <v>4322</v>
      </c>
      <c r="K3248" s="1" t="str">
        <f t="shared" si="207"/>
        <v>ㄈ</v>
      </c>
      <c r="L3248" s="1" t="str">
        <f t="shared" si="208"/>
        <v>ㄥ</v>
      </c>
      <c r="N3248" s="3" t="s">
        <v>30574</v>
      </c>
      <c r="O3248" s="3"/>
      <c r="P3248" s="1" t="s">
        <v>20</v>
      </c>
      <c r="R3248" s="1" t="s">
        <v>4323</v>
      </c>
      <c r="V3248" s="1" t="s">
        <v>4335</v>
      </c>
      <c r="W3248" s="1" t="s">
        <v>4336</v>
      </c>
      <c r="AR3248" s="1" t="str">
        <f t="shared" si="206"/>
        <v>| [ㄈㄥˋ](ㄈㄥˋ.md) | [縫](縫.md) |  | fèng | [名]
1.縫合的地方。如：「衣縫」、「鞋縫」。《水滸傳》第二回：「頭戴遮塵暖帽，身穿直縫寬衫。」
2.空隙。如：「門縫」、「牆縫」、「裂縫」。唐．鄭巢〈題崔行先石室別墅〉詩：「桂蔭生野菌，石縫結寒澌。」 |</v>
      </c>
    </row>
    <row r="3249" spans="1:44" hidden="1">
      <c r="A3249" s="1" t="s">
        <v>2032</v>
      </c>
      <c r="C3249" s="1">
        <v>1</v>
      </c>
      <c r="D3249" s="1" t="str">
        <f>"01738"</f>
        <v>01738</v>
      </c>
      <c r="E3249" s="1" t="s">
        <v>558</v>
      </c>
      <c r="F3249" s="1">
        <v>11</v>
      </c>
      <c r="G3249" s="1">
        <v>7</v>
      </c>
      <c r="H3249" s="1">
        <v>1</v>
      </c>
      <c r="I3249" s="1" t="s">
        <v>4299</v>
      </c>
      <c r="K3249" s="1" t="str">
        <f t="shared" si="207"/>
        <v>ㄈ</v>
      </c>
      <c r="L3249" s="1" t="str">
        <f t="shared" si="208"/>
        <v>ㄥ</v>
      </c>
      <c r="N3249" s="3" t="s">
        <v>30575</v>
      </c>
      <c r="O3249" s="3"/>
      <c r="P3249" s="1" t="s">
        <v>20</v>
      </c>
      <c r="R3249" s="1" t="s">
        <v>4300</v>
      </c>
      <c r="V3249" s="1" t="s">
        <v>4301</v>
      </c>
      <c r="W3249" s="1" t="s">
        <v>4302</v>
      </c>
      <c r="AR3249" s="1" t="str">
        <f t="shared" si="206"/>
        <v>| [ㄈㄥˊ](ㄈㄥˊ.md) | [逢](逢.md) |  | féng | [動]
1.遭遇、碰上。如：「逢年過節」。《詩經．邶風．柏舟》：「薄言往愬，逢彼之怒。」
2.遇見。如：「相逢」、「久別重逢」。
3.用言語或行動討好別人。如：「逢迎」。《孟子．告子下》：「今之大夫皆逢君之惡。」《遼史．卷一〇一．蕭胡篤傳》：「胡篤長于騎射，見天祚好游畋，每言從禽之樂，以逢其意。」
[名]
姓。如漢代有逢萌。 |</v>
      </c>
    </row>
    <row r="3250" spans="1:44" hidden="1">
      <c r="A3250" s="1" t="s">
        <v>4303</v>
      </c>
      <c r="C3250" s="1">
        <v>1</v>
      </c>
      <c r="D3250" s="1" t="str">
        <f>"01739"</f>
        <v>01739</v>
      </c>
      <c r="E3250" s="1" t="s">
        <v>24</v>
      </c>
      <c r="F3250" s="1">
        <v>14</v>
      </c>
      <c r="G3250" s="1">
        <v>11</v>
      </c>
      <c r="H3250" s="1">
        <v>0</v>
      </c>
      <c r="I3250" s="1" t="s">
        <v>4299</v>
      </c>
      <c r="K3250" s="1" t="str">
        <f t="shared" si="207"/>
        <v>ㄈ</v>
      </c>
      <c r="L3250" s="1" t="str">
        <f t="shared" si="208"/>
        <v>ㄥ</v>
      </c>
      <c r="N3250" s="3" t="s">
        <v>30575</v>
      </c>
      <c r="O3250" s="3"/>
      <c r="P3250" s="1" t="s">
        <v>20</v>
      </c>
      <c r="R3250" s="1" t="s">
        <v>4300</v>
      </c>
      <c r="V3250" s="1" t="s">
        <v>4304</v>
      </c>
      <c r="AR3250" s="1" t="str">
        <f t="shared" si="206"/>
        <v>| [ㄈㄥˊ](ㄈㄥˊ.md) | [摓](摓.md) |  | féng | [動]
1.用線織補衣服。同「縫」。《集韻．平聲．鍾韻》：「縫，說文：『以鍼紩衣也。』亦作摓。」
2.奉上。同「捀」。《史記．卷一二八．褚少孫補龜策傳》：「夫摓策定數，灼龜觀兆，變化無窮，是以擇賢而用占焉，可謂聖人重事者乎！」 |</v>
      </c>
    </row>
    <row r="3251" spans="1:44" hidden="1">
      <c r="A3251" s="1" t="s">
        <v>4305</v>
      </c>
      <c r="C3251" s="1">
        <v>1</v>
      </c>
      <c r="D3251" s="1" t="str">
        <f>"01740"</f>
        <v>01740</v>
      </c>
      <c r="E3251" s="1" t="s">
        <v>725</v>
      </c>
      <c r="F3251" s="1">
        <v>17</v>
      </c>
      <c r="G3251" s="1">
        <v>11</v>
      </c>
      <c r="H3251" s="1">
        <v>1</v>
      </c>
      <c r="I3251" s="1" t="s">
        <v>4299</v>
      </c>
      <c r="K3251" s="1" t="str">
        <f t="shared" si="207"/>
        <v>ㄈ</v>
      </c>
      <c r="L3251" s="1" t="str">
        <f t="shared" si="208"/>
        <v>ㄥ</v>
      </c>
      <c r="N3251" s="3" t="s">
        <v>30575</v>
      </c>
      <c r="O3251" s="3"/>
      <c r="P3251" s="1" t="s">
        <v>20</v>
      </c>
      <c r="R3251" s="1" t="s">
        <v>4300</v>
      </c>
      <c r="V3251" s="1" t="s">
        <v>4306</v>
      </c>
      <c r="W3251" s="1" t="s">
        <v>4307</v>
      </c>
      <c r="AR3251" s="1" t="str">
        <f t="shared" si="206"/>
        <v>| [ㄈㄥˊ](ㄈㄥˊ.md) | [縫](縫.md) |  | féng | [動]
以針線綴補。如：「縫合傷口」。唐．孟郊〈遊子吟〉：「臨行密密縫，意恐遲遲歸。」 |</v>
      </c>
    </row>
    <row r="3252" spans="1:44" hidden="1">
      <c r="A3252" s="1" t="s">
        <v>4308</v>
      </c>
      <c r="C3252" s="1">
        <v>1</v>
      </c>
      <c r="D3252" s="1" t="str">
        <f>"01741"</f>
        <v>01741</v>
      </c>
      <c r="E3252" s="1" t="s">
        <v>129</v>
      </c>
      <c r="F3252" s="1">
        <v>12</v>
      </c>
      <c r="G3252" s="1">
        <v>9</v>
      </c>
      <c r="H3252" s="1">
        <v>0</v>
      </c>
      <c r="I3252" s="1" t="s">
        <v>4299</v>
      </c>
      <c r="K3252" s="1" t="str">
        <f t="shared" si="207"/>
        <v>ㄈ</v>
      </c>
      <c r="L3252" s="1" t="str">
        <f t="shared" si="208"/>
        <v>ㄥ</v>
      </c>
      <c r="N3252" s="3" t="s">
        <v>30575</v>
      </c>
      <c r="O3252" s="3"/>
      <c r="P3252" s="1" t="s">
        <v>20</v>
      </c>
      <c r="R3252" s="1" t="s">
        <v>4300</v>
      </c>
      <c r="V3252" s="1" t="s">
        <v>4309</v>
      </c>
      <c r="AR3252" s="1" t="str">
        <f t="shared" si="206"/>
        <v>| [ㄈㄥˊ](ㄈㄥˊ.md) | [渢](渢.md) |  | féng | 參見「渢渢」條。 |</v>
      </c>
    </row>
    <row r="3253" spans="1:44" hidden="1">
      <c r="A3253" s="1" t="s">
        <v>2477</v>
      </c>
      <c r="C3253" s="1">
        <v>1</v>
      </c>
      <c r="D3253" s="1" t="str">
        <f>"01742"</f>
        <v>01742</v>
      </c>
      <c r="E3253" s="1" t="s">
        <v>319</v>
      </c>
      <c r="F3253" s="1">
        <v>12</v>
      </c>
      <c r="G3253" s="1">
        <v>2</v>
      </c>
      <c r="H3253" s="1">
        <v>1</v>
      </c>
      <c r="I3253" s="1" t="s">
        <v>4299</v>
      </c>
      <c r="K3253" s="1" t="str">
        <f t="shared" si="207"/>
        <v>ㄈ</v>
      </c>
      <c r="L3253" s="1" t="str">
        <f t="shared" si="208"/>
        <v>ㄥ</v>
      </c>
      <c r="N3253" s="3" t="s">
        <v>30575</v>
      </c>
      <c r="O3253" s="3"/>
      <c r="P3253" s="1" t="s">
        <v>20</v>
      </c>
      <c r="R3253" s="1" t="s">
        <v>4300</v>
      </c>
      <c r="V3253" s="1" t="s">
        <v>4310</v>
      </c>
      <c r="W3253" s="1" t="s">
        <v>4311</v>
      </c>
      <c r="AR3253" s="1" t="str">
        <f t="shared" si="206"/>
        <v>| [ㄈㄥˊ](ㄈㄥˊ.md) | [馮](馮.md) |  | féng | [名]
姓。如春秋時鄭國有馮簡子，漢代有馮衍。 |</v>
      </c>
    </row>
    <row r="3254" spans="1:44" hidden="1">
      <c r="A3254" s="1" t="s">
        <v>4095</v>
      </c>
      <c r="C3254" s="1">
        <v>1</v>
      </c>
      <c r="D3254" s="1" t="str">
        <f>"01743"</f>
        <v>01743</v>
      </c>
      <c r="E3254" s="1" t="s">
        <v>129</v>
      </c>
      <c r="F3254" s="1">
        <v>8</v>
      </c>
      <c r="G3254" s="1">
        <v>5</v>
      </c>
      <c r="H3254" s="1">
        <v>2</v>
      </c>
      <c r="I3254" s="1" t="s">
        <v>4312</v>
      </c>
      <c r="K3254" s="1" t="str">
        <f t="shared" si="207"/>
        <v>ㄈ</v>
      </c>
      <c r="L3254" s="1" t="str">
        <f t="shared" si="208"/>
        <v>ㄥ</v>
      </c>
      <c r="N3254" s="3" t="s">
        <v>30576</v>
      </c>
      <c r="O3254" s="3"/>
      <c r="P3254" s="1" t="s">
        <v>20</v>
      </c>
      <c r="R3254" s="1" t="s">
        <v>4313</v>
      </c>
      <c r="V3254" s="1" t="s">
        <v>4314</v>
      </c>
      <c r="W3254" s="1" t="s">
        <v>4315</v>
      </c>
      <c r="AR3254" s="1" t="str">
        <f t="shared" si="206"/>
        <v>| [ㄈㄥˇ](ㄈㄥˇ.md) | [泛](泛.md) |  | fěng | [動]
1.覆。參見「泛駕」條。
2.敗。《漢書．卷二四．食貨志上》：「殘賊公行，莫之或止；大命將泛，莫之振救。」
3.翻。《史記．卷九．呂太后本紀》：「齊王起，孝惠亦起，取卮欲俱為壽，太后迺恐，自起泛孝惠卮。」 |</v>
      </c>
    </row>
    <row r="3255" spans="1:44" hidden="1">
      <c r="A3255" s="1" t="s">
        <v>4316</v>
      </c>
      <c r="C3255" s="1">
        <v>1</v>
      </c>
      <c r="D3255" s="1" t="str">
        <f>"01744"</f>
        <v>01744</v>
      </c>
      <c r="E3255" s="1" t="s">
        <v>4317</v>
      </c>
      <c r="F3255" s="1">
        <v>11</v>
      </c>
      <c r="G3255" s="1">
        <v>5</v>
      </c>
      <c r="H3255" s="1">
        <v>0</v>
      </c>
      <c r="I3255" s="1" t="s">
        <v>4312</v>
      </c>
      <c r="K3255" s="1" t="str">
        <f t="shared" si="207"/>
        <v>ㄈ</v>
      </c>
      <c r="L3255" s="1" t="str">
        <f t="shared" si="208"/>
        <v>ㄥ</v>
      </c>
      <c r="N3255" s="3" t="s">
        <v>30576</v>
      </c>
      <c r="O3255" s="3"/>
      <c r="P3255" s="1" t="s">
        <v>20</v>
      </c>
      <c r="R3255" s="1" t="s">
        <v>4313</v>
      </c>
      <c r="V3255" s="1" t="s">
        <v>4318</v>
      </c>
      <c r="AR3255" s="1" t="str">
        <f t="shared" si="206"/>
        <v>| [ㄈㄥˇ](ㄈㄥˇ.md) | [覂](覂.md) |  | fěng | [動]
1.覆。參見「覂駕」條。
2.缺乏。《新唐書．卷一五四．李晟傳》：「時敖廥單覂，乃使張彧假京兆少尹，多署吏，調畿內賦，不淹旬，芻米告具。」 |</v>
      </c>
    </row>
    <row r="3256" spans="1:44" hidden="1">
      <c r="A3256" s="1" t="s">
        <v>4319</v>
      </c>
      <c r="C3256" s="1">
        <v>1</v>
      </c>
      <c r="D3256" s="1" t="str">
        <f>"01745"</f>
        <v>01745</v>
      </c>
      <c r="E3256" s="1" t="s">
        <v>28</v>
      </c>
      <c r="F3256" s="1">
        <v>11</v>
      </c>
      <c r="G3256" s="1">
        <v>8</v>
      </c>
      <c r="H3256" s="1">
        <v>0</v>
      </c>
      <c r="I3256" s="1" t="s">
        <v>4312</v>
      </c>
      <c r="K3256" s="1" t="str">
        <f t="shared" si="207"/>
        <v>ㄈ</v>
      </c>
      <c r="L3256" s="1" t="str">
        <f t="shared" si="208"/>
        <v>ㄥ</v>
      </c>
      <c r="N3256" s="3" t="s">
        <v>30576</v>
      </c>
      <c r="O3256" s="3"/>
      <c r="P3256" s="1" t="s">
        <v>20</v>
      </c>
      <c r="R3256" s="1" t="s">
        <v>4313</v>
      </c>
      <c r="V3256" s="1" t="s">
        <v>4320</v>
      </c>
      <c r="AR3256" s="1" t="str">
        <f t="shared" si="206"/>
        <v>| [ㄈㄥˇ](ㄈㄥˇ.md) | [唪](唪.md) |  | fěng | [動]
1.大笑。《說文解字．口部》：「唪，大笑也。」
2.誦唸。《紅樓夢》第二五回：「可巧王夫人見賈環下了學，命他來抄個金剛咒唪誦。」 |</v>
      </c>
    </row>
    <row r="3257" spans="1:44" hidden="1">
      <c r="A3257" s="1" t="s">
        <v>4511</v>
      </c>
      <c r="C3257" s="1">
        <v>1</v>
      </c>
      <c r="D3257" s="1" t="str">
        <f>"01857"</f>
        <v>01857</v>
      </c>
      <c r="E3257" s="1" t="s">
        <v>106</v>
      </c>
      <c r="F3257" s="1">
        <v>4</v>
      </c>
      <c r="G3257" s="1">
        <v>0</v>
      </c>
      <c r="H3257" s="1">
        <v>1</v>
      </c>
      <c r="I3257" s="1" t="s">
        <v>4555</v>
      </c>
      <c r="K3257" s="1" t="str">
        <f t="shared" si="207"/>
        <v>ㄈ</v>
      </c>
      <c r="L3257" s="1" t="str">
        <f t="shared" si="208"/>
        <v>ㄨ</v>
      </c>
      <c r="N3257" s="3" t="s">
        <v>30574</v>
      </c>
      <c r="O3257" s="3"/>
      <c r="P3257" s="1" t="s">
        <v>20</v>
      </c>
      <c r="R3257" s="1" t="s">
        <v>4556</v>
      </c>
      <c r="V3257" s="1" t="s">
        <v>4557</v>
      </c>
      <c r="W3257" s="1" t="s">
        <v>4558</v>
      </c>
      <c r="AR3257" s="1" t="str">
        <f t="shared" si="206"/>
        <v>| [ㄈㄨˋ](ㄈㄨˋ.md) | [父](父.md) |  | fù | [名]
1.稱謂：(1)對爸爸的稱呼。如：「父親」、「養父」、「家父」、「繼父」。《詩經．小雅．蓼莪》：「父兮生我，母兮鞠我。」(2)用以尊稱親族中男性的長輩。如：「伯父」、「叔父」、「舅父」、「祖父」。
2.二一四部首之一。 |</v>
      </c>
    </row>
    <row r="3258" spans="1:44" hidden="1">
      <c r="A3258" s="1" t="s">
        <v>2492</v>
      </c>
      <c r="C3258" s="1">
        <v>1</v>
      </c>
      <c r="D3258" s="1" t="str">
        <f>"01858"</f>
        <v>01858</v>
      </c>
      <c r="E3258" s="1" t="s">
        <v>114</v>
      </c>
      <c r="F3258" s="1">
        <v>4</v>
      </c>
      <c r="G3258" s="1">
        <v>2</v>
      </c>
      <c r="H3258" s="1">
        <v>2</v>
      </c>
      <c r="I3258" s="1" t="s">
        <v>4555</v>
      </c>
      <c r="K3258" s="1" t="str">
        <f t="shared" si="207"/>
        <v>ㄈ</v>
      </c>
      <c r="L3258" s="1" t="str">
        <f t="shared" si="208"/>
        <v>ㄨ</v>
      </c>
      <c r="N3258" s="3" t="s">
        <v>30574</v>
      </c>
      <c r="O3258" s="3"/>
      <c r="P3258" s="1" t="s">
        <v>110</v>
      </c>
      <c r="R3258" s="1" t="s">
        <v>4556</v>
      </c>
      <c r="V3258" s="1" t="s">
        <v>111</v>
      </c>
      <c r="W3258" s="1" t="s">
        <v>4559</v>
      </c>
      <c r="AR3258" s="1" t="str">
        <f t="shared" si="206"/>
        <v>| [ㄈㄨˋ](ㄈㄨˋ.md) | [仆](仆.md) |  | fù | (一)之又音。 |</v>
      </c>
    </row>
    <row r="3259" spans="1:44" hidden="1">
      <c r="A3259" s="1" t="s">
        <v>4560</v>
      </c>
      <c r="C3259" s="1">
        <v>1</v>
      </c>
      <c r="D3259" s="1" t="str">
        <f>"01859"</f>
        <v>01859</v>
      </c>
      <c r="E3259" s="1" t="s">
        <v>331</v>
      </c>
      <c r="F3259" s="1">
        <v>9</v>
      </c>
      <c r="G3259" s="1">
        <v>2</v>
      </c>
      <c r="H3259" s="1">
        <v>0</v>
      </c>
      <c r="I3259" s="1" t="s">
        <v>4555</v>
      </c>
      <c r="K3259" s="1" t="str">
        <f t="shared" si="207"/>
        <v>ㄈ</v>
      </c>
      <c r="L3259" s="1" t="str">
        <f t="shared" si="208"/>
        <v>ㄨ</v>
      </c>
      <c r="N3259" s="3" t="s">
        <v>30574</v>
      </c>
      <c r="O3259" s="3"/>
      <c r="P3259" s="1" t="s">
        <v>20</v>
      </c>
      <c r="R3259" s="1" t="s">
        <v>4556</v>
      </c>
      <c r="V3259" s="1" t="s">
        <v>4561</v>
      </c>
      <c r="AR3259" s="1" t="str">
        <f t="shared" si="206"/>
        <v>| [ㄈㄨˋ](ㄈㄨˋ.md) | [訃](訃.md) |  | fù | [名]
報喪的文字。唐．柳宗元〈虞鳴鶴誄〉：「捧訃號呼，匍匐增悲。」
[動]
報喪、告喪。如：「訃告」。漢．王充《論衡．書虛》：「齊亂，公薨，三月乃訃。」 |</v>
      </c>
    </row>
    <row r="3260" spans="1:44" hidden="1">
      <c r="A3260" s="1" t="s">
        <v>4562</v>
      </c>
      <c r="C3260" s="1">
        <v>1</v>
      </c>
      <c r="D3260" s="1" t="str">
        <f>"01860"</f>
        <v>01860</v>
      </c>
      <c r="E3260" s="1" t="s">
        <v>4563</v>
      </c>
      <c r="F3260" s="1">
        <v>9</v>
      </c>
      <c r="G3260" s="1">
        <v>2</v>
      </c>
      <c r="H3260" s="1">
        <v>0</v>
      </c>
      <c r="I3260" s="1" t="s">
        <v>4555</v>
      </c>
      <c r="K3260" s="1" t="str">
        <f t="shared" si="207"/>
        <v>ㄈ</v>
      </c>
      <c r="L3260" s="1" t="str">
        <f t="shared" si="208"/>
        <v>ㄨ</v>
      </c>
      <c r="N3260" s="3" t="s">
        <v>30574</v>
      </c>
      <c r="O3260" s="3"/>
      <c r="P3260" s="1" t="s">
        <v>20</v>
      </c>
      <c r="R3260" s="1" t="s">
        <v>4556</v>
      </c>
      <c r="V3260" s="1" t="s">
        <v>4564</v>
      </c>
      <c r="AR3260" s="1" t="str">
        <f t="shared" si="206"/>
        <v>| [ㄈㄨˋ](ㄈㄨˋ.md) | [赴](赴.md) |  | fù | [動]
1.前往、投向、奔向。如：「單刀赴會」、「共赴國難」。《文選．曹植．白馬篇》：「捐驅赴國難，視死忽如歸。」
2.告喪。同「訃」。《左傳．文公十四年》：「凡崩、薨，不赴則不書；禍、福，不告亦不書。」《禮記．檀弓上》：「伯高死於衛，赴於孔子。」
3.游泳。同「洑」。《莊子．秋水》：「赴水則接腋持頤。」唐．成玄英．疏：「游泳則接腋持頤。」《水滸傳》第三八回：「張順再跳下水裡，赴將開去。」 |</v>
      </c>
    </row>
    <row r="3261" spans="1:44" hidden="1">
      <c r="A3261" s="1" t="s">
        <v>4565</v>
      </c>
      <c r="C3261" s="1">
        <v>1</v>
      </c>
      <c r="D3261" s="1" t="str">
        <f>"01861"</f>
        <v>01861</v>
      </c>
      <c r="E3261" s="1" t="s">
        <v>114</v>
      </c>
      <c r="F3261" s="1">
        <v>5</v>
      </c>
      <c r="G3261" s="1">
        <v>3</v>
      </c>
      <c r="H3261" s="1">
        <v>0</v>
      </c>
      <c r="I3261" s="1" t="s">
        <v>4555</v>
      </c>
      <c r="K3261" s="1" t="str">
        <f t="shared" si="207"/>
        <v>ㄈ</v>
      </c>
      <c r="L3261" s="1" t="str">
        <f t="shared" si="208"/>
        <v>ㄨ</v>
      </c>
      <c r="N3261" s="3" t="s">
        <v>30574</v>
      </c>
      <c r="O3261" s="3"/>
      <c r="P3261" s="1" t="s">
        <v>20</v>
      </c>
      <c r="R3261" s="1" t="s">
        <v>4556</v>
      </c>
      <c r="V3261" s="1" t="s">
        <v>4566</v>
      </c>
      <c r="AR3261" s="1" t="str">
        <f t="shared" si="206"/>
        <v>| [ㄈㄨˋ](ㄈㄨˋ.md) | [付](付.md) |  | fù | [動]
1.授予、交給。如：「交付」、「託付」。《漢書．卷九二．游俠傳．原涉傳》：「具記衣被棺木，下至飯含之物，分付諸客。」
2.支出錢財。如：「付款」、「付帳」、「繳付」。
[名]
量詞。計算成組成套物品的單位。通「副」。如：「一付眼鏡」、「兩付碗筷」。 |</v>
      </c>
    </row>
    <row r="3262" spans="1:44" hidden="1">
      <c r="A3262" s="1" t="s">
        <v>4567</v>
      </c>
      <c r="C3262" s="1">
        <v>1</v>
      </c>
      <c r="D3262" s="1" t="str">
        <f>"01862"</f>
        <v>01862</v>
      </c>
      <c r="E3262" s="1" t="s">
        <v>28</v>
      </c>
      <c r="F3262" s="1">
        <v>8</v>
      </c>
      <c r="G3262" s="1">
        <v>5</v>
      </c>
      <c r="H3262" s="1">
        <v>0</v>
      </c>
      <c r="I3262" s="1" t="s">
        <v>4555</v>
      </c>
      <c r="K3262" s="1" t="str">
        <f t="shared" si="207"/>
        <v>ㄈ</v>
      </c>
      <c r="L3262" s="1" t="str">
        <f t="shared" si="208"/>
        <v>ㄨ</v>
      </c>
      <c r="N3262" s="3" t="s">
        <v>30574</v>
      </c>
      <c r="O3262" s="3"/>
      <c r="P3262" s="1" t="s">
        <v>20</v>
      </c>
      <c r="R3262" s="1" t="s">
        <v>4556</v>
      </c>
      <c r="V3262" s="1" t="s">
        <v>4568</v>
      </c>
      <c r="AR3262" s="1" t="str">
        <f t="shared" si="206"/>
        <v>| [ㄈㄨˋ](ㄈㄨˋ.md) | [咐](咐.md) |  | fù | 參見「吩咐」、「囑咐」等條。 |</v>
      </c>
    </row>
    <row r="3263" spans="1:44" hidden="1">
      <c r="A3263" s="1" t="s">
        <v>4569</v>
      </c>
      <c r="C3263" s="1">
        <v>1</v>
      </c>
      <c r="D3263" s="1" t="str">
        <f>"01863"</f>
        <v>01863</v>
      </c>
      <c r="E3263" s="1" t="s">
        <v>691</v>
      </c>
      <c r="F3263" s="1">
        <v>8</v>
      </c>
      <c r="G3263" s="1">
        <v>5</v>
      </c>
      <c r="H3263" s="1">
        <v>0</v>
      </c>
      <c r="I3263" s="1" t="s">
        <v>4555</v>
      </c>
      <c r="K3263" s="1" t="str">
        <f t="shared" si="207"/>
        <v>ㄈ</v>
      </c>
      <c r="L3263" s="1" t="str">
        <f t="shared" si="208"/>
        <v>ㄨ</v>
      </c>
      <c r="N3263" s="3" t="s">
        <v>30574</v>
      </c>
      <c r="O3263" s="3"/>
      <c r="P3263" s="1" t="s">
        <v>20</v>
      </c>
      <c r="R3263" s="1" t="s">
        <v>4556</v>
      </c>
      <c r="V3263" s="1" t="s">
        <v>4570</v>
      </c>
      <c r="AR3263" s="1" t="str">
        <f t="shared" si="206"/>
        <v>| [ㄈㄨˋ](ㄈㄨˋ.md) | [附](附.md) |  | fù | [動]
1.依傍。如：「依附」。《史記．卷四七．孔子世家》：「魯小弱，附於楚則晉怒，附於晉則楚來伐。」
2.歸依。如：「趨附」、「歸附」。《淮南子．主術》：「所任者得其人，則國家治，上下和，群臣親，百姓附。」
3.黏著不分開。如：「附著」。明．徐弘祖《徐霞客遊記．卷四下．黔遊日記二》：「有一石脊，自洞頂附壁直垂而下。」
4.靠近、親近。如：「附在他耳邊低語。」
5.應和。如：「附和」、「附議」。
6.相合、符合。《史記．卷七〇．張儀傳》：「是我一舉而名實附也。」《文選．左思．三都賦序》：「風謠歌舞，各附其俗。」
7.寄。參見「附書」條。
[副]
連帶的、外加的。如：「附屬」、「附帶」、「附設」。 |</v>
      </c>
    </row>
    <row r="3264" spans="1:44" hidden="1">
      <c r="A3264" s="1" t="s">
        <v>4571</v>
      </c>
      <c r="C3264" s="1">
        <v>1</v>
      </c>
      <c r="D3264" s="1" t="str">
        <f>"01864"</f>
        <v>01864</v>
      </c>
      <c r="E3264" s="1" t="s">
        <v>825</v>
      </c>
      <c r="F3264" s="1">
        <v>10</v>
      </c>
      <c r="G3264" s="1">
        <v>5</v>
      </c>
      <c r="H3264" s="1">
        <v>0</v>
      </c>
      <c r="I3264" s="1" t="s">
        <v>4555</v>
      </c>
      <c r="K3264" s="1" t="str">
        <f t="shared" si="207"/>
        <v>ㄈ</v>
      </c>
      <c r="L3264" s="1" t="str">
        <f t="shared" si="208"/>
        <v>ㄨ</v>
      </c>
      <c r="N3264" s="3" t="s">
        <v>30574</v>
      </c>
      <c r="O3264" s="3"/>
      <c r="P3264" s="1" t="s">
        <v>20</v>
      </c>
      <c r="R3264" s="1" t="s">
        <v>4556</v>
      </c>
      <c r="V3264" s="1" t="s">
        <v>4572</v>
      </c>
      <c r="AR3264" s="1" t="str">
        <f t="shared" si="206"/>
        <v>| [ㄈㄨˋ](ㄈㄨˋ.md) | [祔](祔.md) |  | fù | [動]
1.奉新死者的神主入廟，與先祖合祭。《說文解字．示部》：「祔，後死者合食於先祖。」《左傳．僖公三十三年》：「凡君薨，卒哭而祔。」《明史．卷一五．孝宗本紀》：「己酉，憲宗神主祔太廟。」
2.子孫的棺木附葬在祖墳裡。《南史．卷五三．梁武帝諸子傳．豫章王綜傳》：「後梁人盜其柩來奔，武帝猶以子禮祔葬陵次。」 |</v>
      </c>
    </row>
    <row r="3265" spans="1:44" hidden="1">
      <c r="A3265" s="1" t="s">
        <v>4573</v>
      </c>
      <c r="C3265" s="1">
        <v>1</v>
      </c>
      <c r="D3265" s="1" t="str">
        <f>"01865"</f>
        <v>01865</v>
      </c>
      <c r="E3265" s="1" t="s">
        <v>679</v>
      </c>
      <c r="F3265" s="1">
        <v>11</v>
      </c>
      <c r="G3265" s="1">
        <v>5</v>
      </c>
      <c r="H3265" s="1">
        <v>0</v>
      </c>
      <c r="I3265" s="1" t="s">
        <v>4555</v>
      </c>
      <c r="K3265" s="1" t="str">
        <f t="shared" si="207"/>
        <v>ㄈ</v>
      </c>
      <c r="L3265" s="1" t="str">
        <f t="shared" si="208"/>
        <v>ㄨ</v>
      </c>
      <c r="N3265" s="3" t="s">
        <v>30574</v>
      </c>
      <c r="O3265" s="3"/>
      <c r="P3265" s="1" t="s">
        <v>20</v>
      </c>
      <c r="R3265" s="1" t="s">
        <v>4556</v>
      </c>
      <c r="V3265" s="1" t="s">
        <v>4574</v>
      </c>
      <c r="AR3265" s="1" t="str">
        <f t="shared" si="206"/>
        <v>| [ㄈㄨˋ](ㄈㄨˋ.md) | [蚹](蚹.md) |  | fù | [名]
1.蛇腹下可使蛇向前爬行的橫鱗。《廣韻．去聲．遇韻》：「蚹，蛇腹下橫鱗可行者。」《莊子．齊物論》：「吾所待，又有待而然者邪？吾待蛇蚹蜩翼邪？」
2.蝸牛。《爾雅．釋魚》：「蚹蠃螔蝓。」晉．郭璞．注：「即蝸牛也。」 |</v>
      </c>
    </row>
    <row r="3266" spans="1:44" hidden="1">
      <c r="A3266" s="1" t="s">
        <v>4575</v>
      </c>
      <c r="C3266" s="1">
        <v>1</v>
      </c>
      <c r="D3266" s="1" t="str">
        <f>"01866"</f>
        <v>01866</v>
      </c>
      <c r="E3266" s="1" t="s">
        <v>319</v>
      </c>
      <c r="F3266" s="1">
        <v>15</v>
      </c>
      <c r="G3266" s="1">
        <v>5</v>
      </c>
      <c r="H3266" s="1">
        <v>0</v>
      </c>
      <c r="I3266" s="1" t="s">
        <v>4555</v>
      </c>
      <c r="K3266" s="1" t="str">
        <f t="shared" si="207"/>
        <v>ㄈ</v>
      </c>
      <c r="L3266" s="1" t="str">
        <f t="shared" si="208"/>
        <v>ㄨ</v>
      </c>
      <c r="N3266" s="3" t="s">
        <v>30574</v>
      </c>
      <c r="O3266" s="3"/>
      <c r="P3266" s="1" t="s">
        <v>20</v>
      </c>
      <c r="R3266" s="1" t="s">
        <v>4556</v>
      </c>
      <c r="V3266" s="1" t="s">
        <v>4576</v>
      </c>
      <c r="AR3266" s="1" t="str">
        <f t="shared" si="206"/>
        <v>| [ㄈㄨˋ](ㄈㄨˋ.md) | [駙](駙.md) |  | fù | [名]
古時稱駕副車或備用的馬。《韓非子．外儲說右下》：「擅芻水之利也，然馬過於圃池，而駙馬敗者，非芻水之利不足也，德分於圃池也。」《文選．張衡．東京賦》：「駙承華之蒲梢，飛流蘇之騷殺。」 |</v>
      </c>
    </row>
    <row r="3267" spans="1:44" hidden="1">
      <c r="A3267" s="1" t="s">
        <v>4577</v>
      </c>
      <c r="C3267" s="1">
        <v>1</v>
      </c>
      <c r="D3267" s="1" t="str">
        <f>"01867"</f>
        <v>01867</v>
      </c>
      <c r="E3267" s="1" t="s">
        <v>156</v>
      </c>
      <c r="F3267" s="1">
        <v>16</v>
      </c>
      <c r="G3267" s="1">
        <v>5</v>
      </c>
      <c r="H3267" s="1">
        <v>0</v>
      </c>
      <c r="I3267" s="1" t="s">
        <v>4555</v>
      </c>
      <c r="K3267" s="1" t="str">
        <f t="shared" si="207"/>
        <v>ㄈ</v>
      </c>
      <c r="L3267" s="1" t="str">
        <f t="shared" si="208"/>
        <v>ㄨ</v>
      </c>
      <c r="N3267" s="3" t="s">
        <v>30574</v>
      </c>
      <c r="O3267" s="3"/>
      <c r="P3267" s="1" t="s">
        <v>20</v>
      </c>
      <c r="R3267" s="1" t="s">
        <v>4556</v>
      </c>
      <c r="V3267" s="1" t="s">
        <v>4578</v>
      </c>
      <c r="AR3267" s="1" t="str">
        <f t="shared" ref="AR3267:AR3330" si="209">"| ["&amp;I3267&amp;"]("&amp;I3267&amp;".md) | ["&amp;A3267&amp;"]("&amp;A3267&amp;".md) | "&amp;" | "&amp;R3267&amp;" | "&amp;V3267&amp;" |"</f>
        <v>| [ㄈㄨˋ](ㄈㄨˋ.md) | [鮒](鮒.md) |  | fù | [名]_x000D_
動物名。即鯽。鯉目鯉科。形似鯉魚，背鰭基底較短，口側無鬚。骨多，味美。 |</v>
      </c>
    </row>
    <row r="3268" spans="1:44" hidden="1">
      <c r="A3268" s="1" t="s">
        <v>4579</v>
      </c>
      <c r="C3268" s="1">
        <v>1</v>
      </c>
      <c r="D3268" s="1" t="str">
        <f>"01868"</f>
        <v>01868</v>
      </c>
      <c r="E3268" s="1" t="s">
        <v>691</v>
      </c>
      <c r="F3268" s="1">
        <v>8</v>
      </c>
      <c r="G3268" s="1">
        <v>0</v>
      </c>
      <c r="H3268" s="1">
        <v>0</v>
      </c>
      <c r="I3268" s="1" t="s">
        <v>4555</v>
      </c>
      <c r="K3268" s="1" t="str">
        <f t="shared" si="207"/>
        <v>ㄈ</v>
      </c>
      <c r="L3268" s="1" t="str">
        <f t="shared" si="208"/>
        <v>ㄨ</v>
      </c>
      <c r="N3268" s="3" t="s">
        <v>30574</v>
      </c>
      <c r="O3268" s="3"/>
      <c r="P3268" s="1" t="s">
        <v>20</v>
      </c>
      <c r="R3268" s="1" t="s">
        <v>4556</v>
      </c>
      <c r="V3268" s="1" t="s">
        <v>4580</v>
      </c>
      <c r="AR3268" s="1" t="str">
        <f t="shared" si="209"/>
        <v>| [ㄈㄨˋ](ㄈㄨˋ.md) | [阜](阜.md) |  | fù | [名]
1.土山。漢．劉熙．《釋名．釋山》：「土山曰阜。」《文選．張協．七命》：「登翠阜，臨丹谷。」
2.大陸。《詩經．小雅．天保》：「如山如阜，如岡如陵。」漢．毛亨．傳：「大陸曰阜。」
3.二一四部首之一。
[形]
1.旺盛。《詩經．鄭風．大叔于田》：「叔在藪，火烈具阜。」漢．毛亨．傳：「阜，盛也。」
2.豐厚。如：「物阜民豐」。《國語．周語中》：「不義則利不阜，不祥則福不降。」
3.肥碩、壯大。《詩經．秦風．駟鐵》：「駟驖孔阜，六轡在手。」漢．毛亨．傳：「阜，大也。」
4.安康。唐．錢鏐〈投龍文〉：「自統制山河，主臨吳越，民安俗阜，道泰時康。」
[動]
使豐富。《孔子家語．卷八．辯樂》：「南風之時兮，可以阜吾民之財兮。」 |</v>
      </c>
    </row>
    <row r="3269" spans="1:44" hidden="1">
      <c r="A3269" s="1" t="s">
        <v>1509</v>
      </c>
      <c r="C3269" s="1">
        <v>1</v>
      </c>
      <c r="D3269" s="1" t="str">
        <f>"01869"</f>
        <v>01869</v>
      </c>
      <c r="E3269" s="1" t="s">
        <v>132</v>
      </c>
      <c r="F3269" s="1">
        <v>11</v>
      </c>
      <c r="G3269" s="1">
        <v>8</v>
      </c>
      <c r="H3269" s="1">
        <v>2</v>
      </c>
      <c r="I3269" s="1" t="s">
        <v>4555</v>
      </c>
      <c r="K3269" s="1" t="str">
        <f t="shared" si="207"/>
        <v>ㄈ</v>
      </c>
      <c r="L3269" s="1" t="str">
        <f t="shared" si="208"/>
        <v>ㄨ</v>
      </c>
      <c r="N3269" s="3" t="s">
        <v>30574</v>
      </c>
      <c r="O3269" s="3"/>
      <c r="P3269" s="1" t="s">
        <v>110</v>
      </c>
      <c r="R3269" s="1" t="s">
        <v>4556</v>
      </c>
      <c r="V3269" s="1" t="s">
        <v>111</v>
      </c>
      <c r="W3269" s="1" t="s">
        <v>4581</v>
      </c>
      <c r="AR3269" s="1" t="str">
        <f t="shared" si="209"/>
        <v>| [ㄈㄨˋ](ㄈㄨˋ.md) | [埠](埠.md) |  | fù | (一)之又音。 |</v>
      </c>
    </row>
    <row r="3270" spans="1:44" hidden="1">
      <c r="A3270" s="1" t="s">
        <v>4582</v>
      </c>
      <c r="C3270" s="1">
        <v>1</v>
      </c>
      <c r="D3270" s="1" t="str">
        <f>"01870"</f>
        <v>01870</v>
      </c>
      <c r="E3270" s="1" t="s">
        <v>679</v>
      </c>
      <c r="F3270" s="1">
        <v>12</v>
      </c>
      <c r="G3270" s="1">
        <v>6</v>
      </c>
      <c r="H3270" s="1">
        <v>0</v>
      </c>
      <c r="I3270" s="1" t="s">
        <v>4555</v>
      </c>
      <c r="K3270" s="1" t="str">
        <f t="shared" si="207"/>
        <v>ㄈ</v>
      </c>
      <c r="L3270" s="1" t="str">
        <f t="shared" si="208"/>
        <v>ㄨ</v>
      </c>
      <c r="N3270" s="3" t="s">
        <v>30574</v>
      </c>
      <c r="O3270" s="3"/>
      <c r="P3270" s="1" t="s">
        <v>20</v>
      </c>
      <c r="R3270" s="1" t="s">
        <v>4556</v>
      </c>
      <c r="V3270" s="1" t="s">
        <v>4583</v>
      </c>
      <c r="AR3270" s="1" t="str">
        <f t="shared" si="209"/>
        <v>| [ㄈㄨˋ](ㄈㄨˋ.md) | [蛗](蛗.md) |  | fù | 參見「蛗螽」條。 |</v>
      </c>
    </row>
    <row r="3271" spans="1:44" hidden="1">
      <c r="A3271" s="1" t="s">
        <v>3980</v>
      </c>
      <c r="C3271" s="1">
        <v>1</v>
      </c>
      <c r="D3271" s="1" t="str">
        <f>"01871"</f>
        <v>01871</v>
      </c>
      <c r="E3271" s="1" t="s">
        <v>3981</v>
      </c>
      <c r="F3271" s="1">
        <v>9</v>
      </c>
      <c r="G3271" s="1">
        <v>6</v>
      </c>
      <c r="H3271" s="1">
        <v>1</v>
      </c>
      <c r="I3271" s="1" t="s">
        <v>4555</v>
      </c>
      <c r="K3271" s="1" t="str">
        <f t="shared" si="207"/>
        <v>ㄈ</v>
      </c>
      <c r="L3271" s="1" t="str">
        <f t="shared" si="208"/>
        <v>ㄨ</v>
      </c>
      <c r="N3271" s="3" t="s">
        <v>30574</v>
      </c>
      <c r="O3271" s="3"/>
      <c r="P3271" s="1" t="s">
        <v>20</v>
      </c>
      <c r="R3271" s="1" t="s">
        <v>4556</v>
      </c>
      <c r="V3271" s="1" t="s">
        <v>4584</v>
      </c>
      <c r="W3271" s="1" t="s">
        <v>4585</v>
      </c>
      <c r="AR3271" s="1" t="str">
        <f t="shared" si="209"/>
        <v>| [ㄈㄨˋ](ㄈㄨˋ.md) | [复](复.md) |  | fù | [動]
1.行於故道。《說文解字．夊部》：「复，行故道也。」
2.同「復」(一)。 |</v>
      </c>
    </row>
    <row r="3272" spans="1:44" hidden="1">
      <c r="A3272" s="1" t="s">
        <v>3986</v>
      </c>
      <c r="C3272" s="1">
        <v>1</v>
      </c>
      <c r="D3272" s="1" t="str">
        <f>"01872"</f>
        <v>01872</v>
      </c>
      <c r="E3272" s="1" t="s">
        <v>234</v>
      </c>
      <c r="F3272" s="1">
        <v>12</v>
      </c>
      <c r="G3272" s="1">
        <v>9</v>
      </c>
      <c r="H3272" s="1">
        <v>1</v>
      </c>
      <c r="I3272" s="1" t="s">
        <v>4555</v>
      </c>
      <c r="K3272" s="1" t="str">
        <f t="shared" si="207"/>
        <v>ㄈ</v>
      </c>
      <c r="L3272" s="1" t="str">
        <f t="shared" si="208"/>
        <v>ㄨ</v>
      </c>
      <c r="N3272" s="3" t="s">
        <v>30574</v>
      </c>
      <c r="O3272" s="3"/>
      <c r="P3272" s="1" t="s">
        <v>20</v>
      </c>
      <c r="R3272" s="1" t="s">
        <v>4556</v>
      </c>
      <c r="V3272" s="1" t="s">
        <v>4586</v>
      </c>
      <c r="W3272" s="1" t="s">
        <v>4587</v>
      </c>
      <c r="AR3272" s="1" t="str">
        <f t="shared" si="209"/>
        <v>| [ㄈㄨˋ](ㄈㄨˋ.md) | [復](復.md) |  | fù | [動]
1.返、還。《爾雅．釋言》：「復，返也。」《左傳．僖公四年》：「昭王南征而不復。」
2.還原，再回到原來的樣子。如：「恢復」、「康復」、「回復」、「收復」。《史記．卷七六．平原君虞卿傳》：「三去相，三復位。」南朝宋．劉義慶《世說新語．方正》：「我令卿復君臣之好，何以猶絕？」
3.回報，多指仇恨而言。如：「報復」、「復仇」。《左傳．定公四年》：「（伍員）謂申包胥曰：『我必復楚國。』」
4.免附徭役或賦稅。《墨子．號令》：「男女老小，先分守者，人賜錢千，復之三歲。」《漢書．卷一．高帝紀上》：「蜀漢民給軍事勞苦，復勿租稅二歲。」
[副]
再、又。如：「去而復返」、「舊病復發」、「死灰復燃」。唐．李白〈將進酒〉：「君不見黃河之水天上來，奔流到海不復回。」
[助]
無義。有補充或調整音節的作用。南朝梁．無名氏〈木蘭詩〉二首之一：「唧唧復唧唧，木蘭當戶織。」唐．杜甫〈贈衛八處士〉詩：「今夕復何夕？共此燈燭光。」
[名]
1.《易經》卦名。六十四卦之一。震（☳）下坤（☷）上。機運循環之象。
2.姓。如元代有復見心。 |</v>
      </c>
    </row>
    <row r="3273" spans="1:44" hidden="1">
      <c r="A3273" s="1" t="s">
        <v>4588</v>
      </c>
      <c r="C3273" s="1">
        <v>1</v>
      </c>
      <c r="D3273" s="1" t="str">
        <f>"01873"</f>
        <v>01873</v>
      </c>
      <c r="E3273" s="1" t="s">
        <v>68</v>
      </c>
      <c r="F3273" s="1">
        <v>13</v>
      </c>
      <c r="G3273" s="1">
        <v>9</v>
      </c>
      <c r="H3273" s="1">
        <v>0</v>
      </c>
      <c r="I3273" s="1" t="s">
        <v>4555</v>
      </c>
      <c r="K3273" s="1" t="str">
        <f t="shared" si="207"/>
        <v>ㄈ</v>
      </c>
      <c r="L3273" s="1" t="str">
        <f t="shared" si="208"/>
        <v>ㄨ</v>
      </c>
      <c r="N3273" s="3" t="s">
        <v>30574</v>
      </c>
      <c r="O3273" s="3"/>
      <c r="P3273" s="1" t="s">
        <v>20</v>
      </c>
      <c r="R3273" s="1" t="s">
        <v>4556</v>
      </c>
      <c r="V3273" s="1" t="s">
        <v>4589</v>
      </c>
      <c r="AR3273" s="1" t="str">
        <f t="shared" si="209"/>
        <v>| [ㄈㄨˋ](ㄈㄨˋ.md) | [腹](腹.md) |  | fù | [形]
厚。《說文解字．肉部》：「腹，厚也。」《禮記．月令》：「冰方盛，水澤腹堅，命取冰。」
[名]
1.指動物的胸腔與骨盤之間的部位，俗稱為「肚子」。如：「果腹」、「捧腹大笑」。
2.泛稱中心部位。如：「山腹」、「瓶腹」。唐．杜甫〈南池〉詩：「呀然閬城南，枕帶巴江腹。」
3.比喻內心深處。如：「推心置腹」、「口蜜腹劍」。
4.正面、前面。《新五代史．卷六二．十國世家．南唐世家》：「吾無水戰之具，而使淮兵斷正陽浮橋，則我背腹受敵。」
5.姓。如戰國時趙國有腹擊。
[動]
懷抱。《詩經．小雅．蓼莪》：「顧我復我，出入腹我。」 |</v>
      </c>
    </row>
    <row r="3274" spans="1:44" hidden="1">
      <c r="A3274" s="1" t="s">
        <v>4590</v>
      </c>
      <c r="C3274" s="1">
        <v>1</v>
      </c>
      <c r="D3274" s="1" t="str">
        <f>"01874"</f>
        <v>01874</v>
      </c>
      <c r="E3274" s="1" t="s">
        <v>340</v>
      </c>
      <c r="F3274" s="1">
        <v>15</v>
      </c>
      <c r="G3274" s="1">
        <v>9</v>
      </c>
      <c r="H3274" s="1">
        <v>0</v>
      </c>
      <c r="I3274" s="1" t="s">
        <v>4555</v>
      </c>
      <c r="K3274" s="1" t="str">
        <f t="shared" si="207"/>
        <v>ㄈ</v>
      </c>
      <c r="L3274" s="1" t="str">
        <f t="shared" si="208"/>
        <v>ㄨ</v>
      </c>
      <c r="N3274" s="3" t="s">
        <v>30574</v>
      </c>
      <c r="O3274" s="3"/>
      <c r="P3274" s="1" t="s">
        <v>20</v>
      </c>
      <c r="R3274" s="1" t="s">
        <v>4556</v>
      </c>
      <c r="V3274" s="1" t="s">
        <v>4591</v>
      </c>
      <c r="AR3274" s="1" t="str">
        <f t="shared" si="209"/>
        <v>| [ㄈㄨˋ](ㄈㄨˋ.md) | [複](複.md) |  | fù | [名]
有夾裡的衣服。《說文解字．衣部》：「複，重衣也。」《三國志．卷一一．魏書．袁張涼國田王邴管傳．管寧》：「寧常著皁帽，布襦褲，布裙，隨時單複。」
[形]
1.有夾層的。《隋書．卷五五．列傳．尒朱敞》：「敞再拜哀求，長孫氏愍之，藏於複壁。」
2.相重、重疊。如：「重複」、「複賽」、「山重水複」。漢．張衡〈東京賦〉：「複廟重屋，八達九房。」宋．陸游〈遊山西村〉詩：「山重水複疑無路，柳暗花明又一村。」
3.不是單一的。與「單」相對。如：「複數」、「複眼」、「複姓」、「複利」。
4.繁雜的。如：「繁複」、「錯綜複雜」。
[副]
再、又。如：「複習」、「複檢」、「複審」、「重複思考」。 |</v>
      </c>
    </row>
    <row r="3275" spans="1:44" hidden="1">
      <c r="A3275" s="1" t="s">
        <v>4592</v>
      </c>
      <c r="C3275" s="1">
        <v>1</v>
      </c>
      <c r="D3275" s="1" t="str">
        <f>"01875"</f>
        <v>01875</v>
      </c>
      <c r="E3275" s="1" t="s">
        <v>679</v>
      </c>
      <c r="F3275" s="1">
        <v>15</v>
      </c>
      <c r="G3275" s="1">
        <v>9</v>
      </c>
      <c r="H3275" s="1">
        <v>0</v>
      </c>
      <c r="I3275" s="1" t="s">
        <v>4555</v>
      </c>
      <c r="K3275" s="1" t="str">
        <f t="shared" si="207"/>
        <v>ㄈ</v>
      </c>
      <c r="L3275" s="1" t="str">
        <f t="shared" si="208"/>
        <v>ㄨ</v>
      </c>
      <c r="N3275" s="3" t="s">
        <v>30574</v>
      </c>
      <c r="O3275" s="3"/>
      <c r="P3275" s="1" t="s">
        <v>20</v>
      </c>
      <c r="R3275" s="1" t="s">
        <v>4556</v>
      </c>
      <c r="V3275" s="1" t="s">
        <v>4593</v>
      </c>
      <c r="AR3275" s="1" t="str">
        <f t="shared" si="209"/>
        <v>| [ㄈㄨˋ](ㄈㄨˋ.md) | [蝮](蝮.md) |  | fù | [名]
動物名。一種毒蛇。脊椎動物門爬蟲類有鱗目。具管狀毒牙，長尺餘。頭大，呈三角形，全身灰褐色，有斑紋。也稱為「蝮蛇」、「土虺蛇」。 |</v>
      </c>
    </row>
    <row r="3276" spans="1:44" hidden="1">
      <c r="A3276" s="1" t="s">
        <v>4594</v>
      </c>
      <c r="C3276" s="1">
        <v>1</v>
      </c>
      <c r="D3276" s="1" t="str">
        <f>"01876"</f>
        <v>01876</v>
      </c>
      <c r="E3276" s="1" t="s">
        <v>71</v>
      </c>
      <c r="F3276" s="1">
        <v>16</v>
      </c>
      <c r="G3276" s="1">
        <v>9</v>
      </c>
      <c r="H3276" s="1">
        <v>0</v>
      </c>
      <c r="I3276" s="1" t="s">
        <v>4555</v>
      </c>
      <c r="K3276" s="1" t="str">
        <f t="shared" si="207"/>
        <v>ㄈ</v>
      </c>
      <c r="L3276" s="1" t="str">
        <f t="shared" si="208"/>
        <v>ㄨ</v>
      </c>
      <c r="N3276" s="3" t="s">
        <v>30574</v>
      </c>
      <c r="O3276" s="3"/>
      <c r="P3276" s="1" t="s">
        <v>20</v>
      </c>
      <c r="R3276" s="1" t="s">
        <v>4556</v>
      </c>
      <c r="V3276" s="1" t="s">
        <v>4595</v>
      </c>
      <c r="AR3276" s="1" t="str">
        <f t="shared" si="209"/>
        <v>| [ㄈㄨˋ](ㄈㄨˋ.md) | [輹](輹.md) |  | fù | [名]
古代車箱下面和軸相鉤連的木頭。《左傳．僖公十五年》：「車說其輹，火焚其旗。」晉．杜預．注：「輹，車下縛也。」唐．孔穎達．正義：「輹，車下伏兔也。今人謂之車屐，形如伏兔，以繩縛於軸，因名縛也。」 |</v>
      </c>
    </row>
    <row r="3277" spans="1:44" hidden="1">
      <c r="A3277" s="1" t="s">
        <v>4507</v>
      </c>
      <c r="C3277" s="1">
        <v>1</v>
      </c>
      <c r="D3277" s="1" t="str">
        <f>"01877"</f>
        <v>01877</v>
      </c>
      <c r="E3277" s="1" t="s">
        <v>55</v>
      </c>
      <c r="F3277" s="1">
        <v>17</v>
      </c>
      <c r="G3277" s="1">
        <v>9</v>
      </c>
      <c r="H3277" s="1">
        <v>1</v>
      </c>
      <c r="I3277" s="1" t="s">
        <v>4555</v>
      </c>
      <c r="K3277" s="1" t="str">
        <f t="shared" si="207"/>
        <v>ㄈ</v>
      </c>
      <c r="L3277" s="1" t="str">
        <f t="shared" si="208"/>
        <v>ㄨ</v>
      </c>
      <c r="N3277" s="3" t="s">
        <v>30574</v>
      </c>
      <c r="O3277" s="3"/>
      <c r="P3277" s="1" t="s">
        <v>20</v>
      </c>
      <c r="R3277" s="1" t="s">
        <v>4556</v>
      </c>
      <c r="V3277" s="1" t="s">
        <v>4596</v>
      </c>
      <c r="W3277" s="1" t="s">
        <v>4597</v>
      </c>
      <c r="AR3277" s="1" t="str">
        <f t="shared" si="209"/>
        <v>| [ㄈㄨˋ](ㄈㄨˋ.md) | [鍑](鍑.md) |  | fù | [名]
古代一種炊具，似釜而大口。《說文解字．金部》：「鍑，釜大口者。」《漢書．卷九四．匈奴傳下》：「胡地秋冬莖寒，春夏甚風，多齎鬴鍑薪炭，重不可勝。」 |</v>
      </c>
    </row>
    <row r="3278" spans="1:44" hidden="1">
      <c r="A3278" s="1" t="s">
        <v>4598</v>
      </c>
      <c r="C3278" s="1">
        <v>1</v>
      </c>
      <c r="D3278" s="1" t="str">
        <f>"01878"</f>
        <v>01878</v>
      </c>
      <c r="E3278" s="1" t="s">
        <v>4317</v>
      </c>
      <c r="F3278" s="1">
        <v>18</v>
      </c>
      <c r="G3278" s="1">
        <v>12</v>
      </c>
      <c r="H3278" s="1">
        <v>0</v>
      </c>
      <c r="I3278" s="1" t="s">
        <v>4555</v>
      </c>
      <c r="K3278" s="1" t="str">
        <f t="shared" si="207"/>
        <v>ㄈ</v>
      </c>
      <c r="L3278" s="1" t="str">
        <f t="shared" si="208"/>
        <v>ㄨ</v>
      </c>
      <c r="N3278" s="3" t="s">
        <v>30574</v>
      </c>
      <c r="O3278" s="3"/>
      <c r="P3278" s="1" t="s">
        <v>20</v>
      </c>
      <c r="R3278" s="1" t="s">
        <v>4556</v>
      </c>
      <c r="V3278" s="1" t="s">
        <v>4599</v>
      </c>
      <c r="AR3278" s="1" t="str">
        <f t="shared" si="209"/>
        <v>| [ㄈㄨˋ](ㄈㄨˋ.md) | [覆](覆.md) |  | fù | [動]
1.翻倒、傾倒。如：「翻覆」、「水可載舟，亦可覆舟。」《論語．子罕》：「雖覆一簣，進，吾往也。」《漢書．卷四八．賈誼傳》：「前車覆，後車誡。」
2.反轉。如：「反覆無常」、「翻來覆去」。唐．杜甫〈貧交行〉：「翻手作雲覆手雨，紛紛輕薄何須數。」
3.毀滅、消滅。如：「傾覆」、「顛覆」。《論語．陽貨》：「惡鄭聲之亂雅樂也，惡利口之覆邦家者。」《新唐書．卷一三六．列傳．李光弼》：「光弼用兵，謀定而後戰，能以少覆眾。」
4.回答。通「復」。如：「答覆」、「覆信」。《文明小史》第二九回：「這時逢瓜代回國，到京覆命，請假修墓來的。」
5.審察、詳察。《舊唐書．卷一一〇．列傳．鄧景山》：「以鎮撫紀綱為己任，檢覆軍吏隱沒者。」
6.遮蓋、掩蔽。如：「覆蓋」。《莊子．德充符》：「夫天無不覆，地無不載。」《聊齋志異．卷五．陽武侯》：「見舍上鴉鵲群集，競以翼覆漏處。」
7.埋伏、襲擊。《左傳．桓公十二年》：「楚人坐其北門，而覆諸山下。」《魏書．卷八九．酷吏列傳．李洪之》：「乃夜密遣騎分部覆諸要路，有犯禁者，輒捉送州。」
8.反而。《詩經．小雅．節南山》：「不懲其心，覆怨其正。」
[副]
重、再。通「複」。如：「重覆」。《後漢書．卷四〇．班彪列傳下》：「亦以寵靈文武，貽燕後昆，覆以懿鑠，豈其為身而有顓辭也？」《老殘遊記》第一七回：「宮保只有派白太尊覆審的話，並沒有叫閣下回省的示諭，此案未了，斷不能走。」 |</v>
      </c>
    </row>
    <row r="3279" spans="1:44" hidden="1">
      <c r="A3279" s="1" t="s">
        <v>4600</v>
      </c>
      <c r="C3279" s="1">
        <v>1</v>
      </c>
      <c r="D3279" s="1" t="str">
        <f>"01879"</f>
        <v>01879</v>
      </c>
      <c r="E3279" s="1" t="s">
        <v>269</v>
      </c>
      <c r="F3279" s="1">
        <v>18</v>
      </c>
      <c r="G3279" s="1">
        <v>9</v>
      </c>
      <c r="H3279" s="1">
        <v>0</v>
      </c>
      <c r="I3279" s="1" t="s">
        <v>4555</v>
      </c>
      <c r="K3279" s="1" t="str">
        <f t="shared" si="207"/>
        <v>ㄈ</v>
      </c>
      <c r="L3279" s="1" t="str">
        <f t="shared" si="208"/>
        <v>ㄨ</v>
      </c>
      <c r="N3279" s="3" t="s">
        <v>30574</v>
      </c>
      <c r="O3279" s="3"/>
      <c r="P3279" s="1" t="s">
        <v>20</v>
      </c>
      <c r="R3279" s="1" t="s">
        <v>4556</v>
      </c>
      <c r="V3279" s="1" t="s">
        <v>4601</v>
      </c>
      <c r="AR3279" s="1" t="str">
        <f t="shared" si="209"/>
        <v>| [ㄈㄨˋ](ㄈㄨˋ.md) | [馥](馥.md) |  | fù | [形]
香味濃郁。宋．魏了翁〈滿江紅．秋意冷然〉詞：「水拍池塘鴻雁聚，露濃庭畹芝蘭馥。」
[名]
香氣。南朝梁．元帝〈揚州梁安寺碑〉：「旃檀散馥，無復圓覺之風。」宋．蘇軾〈千秋歲．淺霜侵綠〉詞：「秋露重，真珠落袖沾餘馥。」
[動]
散發。唐．申歡〈兜玄國懷歸〉詩：「風軟景和煦，異香馥林塘。」宋．黃定〈鷓鴣天．間世文章萬選錢〉詞：「雍容草罷明堂詔，留取天香馥壽筵。」 |</v>
      </c>
    </row>
    <row r="3280" spans="1:44" hidden="1">
      <c r="A3280" s="1" t="s">
        <v>4602</v>
      </c>
      <c r="C3280" s="1">
        <v>1</v>
      </c>
      <c r="D3280" s="1" t="str">
        <f>"01880"</f>
        <v>01880</v>
      </c>
      <c r="E3280" s="1" t="s">
        <v>156</v>
      </c>
      <c r="F3280" s="1">
        <v>20</v>
      </c>
      <c r="G3280" s="1">
        <v>9</v>
      </c>
      <c r="H3280" s="1">
        <v>0</v>
      </c>
      <c r="I3280" s="1" t="s">
        <v>4555</v>
      </c>
      <c r="K3280" s="1" t="str">
        <f t="shared" si="207"/>
        <v>ㄈ</v>
      </c>
      <c r="L3280" s="1" t="str">
        <f t="shared" si="208"/>
        <v>ㄨ</v>
      </c>
      <c r="N3280" s="3" t="s">
        <v>30574</v>
      </c>
      <c r="O3280" s="3"/>
      <c r="P3280" s="1" t="s">
        <v>20</v>
      </c>
      <c r="R3280" s="1" t="s">
        <v>4556</v>
      </c>
      <c r="V3280" s="1" t="s">
        <v>4603</v>
      </c>
      <c r="AR3280" s="1" t="str">
        <f t="shared" si="209"/>
        <v>| [ㄈㄨˋ](ㄈㄨˋ.md) | [鰒](鰒.md) |  | fù | [名]
動物名。軟體動物門腹足綱鮑螺科。貝殼呈扁橢圓形，體呈淡黃色，橢圓形，長二寸許。肉可食，味鮮美。也稱為「鮑魚」。 |</v>
      </c>
    </row>
    <row r="3281" spans="1:44" hidden="1">
      <c r="A3281" s="1" t="s">
        <v>4604</v>
      </c>
      <c r="C3281" s="1">
        <v>1</v>
      </c>
      <c r="D3281" s="1" t="str">
        <f>"01881"</f>
        <v>01881</v>
      </c>
      <c r="E3281" s="1" t="s">
        <v>505</v>
      </c>
      <c r="F3281" s="1">
        <v>9</v>
      </c>
      <c r="G3281" s="1">
        <v>2</v>
      </c>
      <c r="H3281" s="1">
        <v>0</v>
      </c>
      <c r="I3281" s="1" t="s">
        <v>4555</v>
      </c>
      <c r="K3281" s="1" t="str">
        <f t="shared" si="207"/>
        <v>ㄈ</v>
      </c>
      <c r="L3281" s="1" t="str">
        <f t="shared" si="208"/>
        <v>ㄨ</v>
      </c>
      <c r="N3281" s="3" t="s">
        <v>30574</v>
      </c>
      <c r="O3281" s="3"/>
      <c r="P3281" s="1" t="s">
        <v>20</v>
      </c>
      <c r="R3281" s="1" t="s">
        <v>4556</v>
      </c>
      <c r="V3281" s="1" t="s">
        <v>4605</v>
      </c>
      <c r="AR3281" s="1" t="str">
        <f t="shared" si="209"/>
        <v>| [ㄈㄨˋ](ㄈㄨˋ.md) | [負](負.md) |  | fù | [動]
1.憑恃、憑藉。《說文解字．貝部》：「負，恃也。」《左傳．襄公十四年》：「昔秦人負恃其眾，貪於土地，逐我諸戎。」《北史．卷一二．隋煬帝本紀．史臣曰》：「負其富強之資，思逞無厭之欲。」
2.靠、背對。如：「負山面海」。
3.以肩背物。如：「負薪」、「負荊請罪」。《韓非子．喻老》：「王壽負書而行，見徐馮於周塗。」
4.擔荷、承擔。如：「身負重任」。
5.享有。如：「久負盛名」。
6.虧欠、拖欠。如：「負債」。《漢書．卷八〇．宣元六王傳．淮陽憲王劉欽傳》：「負責數百萬，願王為償。」
7.背棄、違背。如：「辜負」、「忘恩負義」。唐．李白〈白頭吟〉：「古來得意不相負，祗今惟見青陵臺。」《喻世明言．卷八．吳保安棄家贖友》：「今彼在生死之際，以性命托我，我何忍負之？」
8.遭受。如：「負傷」。
[名]
1.責任。如：「如釋重負」。
2.失敗。如：「勝負分明」、「不分勝負」。
[形]
與正相反的。如：「負電」、「負極」、「負數」。 |</v>
      </c>
    </row>
    <row r="3282" spans="1:44" hidden="1">
      <c r="A3282" s="1" t="s">
        <v>4606</v>
      </c>
      <c r="C3282" s="1">
        <v>1</v>
      </c>
      <c r="D3282" s="1" t="str">
        <f>"01882"</f>
        <v>01882</v>
      </c>
      <c r="E3282" s="1" t="s">
        <v>114</v>
      </c>
      <c r="F3282" s="1">
        <v>11</v>
      </c>
      <c r="G3282" s="1">
        <v>9</v>
      </c>
      <c r="H3282" s="1">
        <v>0</v>
      </c>
      <c r="I3282" s="1" t="s">
        <v>4555</v>
      </c>
      <c r="K3282" s="1" t="str">
        <f t="shared" si="207"/>
        <v>ㄈ</v>
      </c>
      <c r="L3282" s="1" t="str">
        <f t="shared" si="208"/>
        <v>ㄨ</v>
      </c>
      <c r="N3282" s="3" t="s">
        <v>30574</v>
      </c>
      <c r="O3282" s="3"/>
      <c r="P3282" s="1" t="s">
        <v>20</v>
      </c>
      <c r="R3282" s="1" t="s">
        <v>4556</v>
      </c>
      <c r="V3282" s="1" t="s">
        <v>4607</v>
      </c>
      <c r="AR3282" s="1" t="str">
        <f t="shared" si="209"/>
        <v>| [ㄈㄨˋ](ㄈㄨˋ.md) | [偩](偩.md) |  | fù | [動]
1.依照。《集韻．上聲．有韻》：「偩，依也。」《禮記．樂記》：「禮樂偩天地之情，達神明之德。」漢．鄭玄．注：「偩，猶依像也。」
2.依恃。《淮南子．詮言》：「好勇則輕敵而簡備，自偩而辭助。」 |</v>
      </c>
    </row>
    <row r="3283" spans="1:44" hidden="1">
      <c r="A3283" s="1" t="s">
        <v>509</v>
      </c>
      <c r="C3283" s="1">
        <v>1</v>
      </c>
      <c r="D3283" s="1" t="str">
        <f>"01883"</f>
        <v>01883</v>
      </c>
      <c r="E3283" s="1" t="s">
        <v>37</v>
      </c>
      <c r="F3283" s="1">
        <v>13</v>
      </c>
      <c r="G3283" s="1">
        <v>9</v>
      </c>
      <c r="H3283" s="1">
        <v>1</v>
      </c>
      <c r="I3283" s="1" t="s">
        <v>4555</v>
      </c>
      <c r="K3283" s="1" t="str">
        <f t="shared" si="207"/>
        <v>ㄈ</v>
      </c>
      <c r="L3283" s="1" t="str">
        <f t="shared" si="208"/>
        <v>ㄨ</v>
      </c>
      <c r="N3283" s="3" t="s">
        <v>30574</v>
      </c>
      <c r="O3283" s="3"/>
      <c r="P3283" s="1" t="s">
        <v>20</v>
      </c>
      <c r="R3283" s="1" t="s">
        <v>4556</v>
      </c>
      <c r="V3283" s="1" t="s">
        <v>4608</v>
      </c>
      <c r="W3283" s="1" t="s">
        <v>4609</v>
      </c>
      <c r="AR3283" s="1" t="str">
        <f t="shared" si="209"/>
        <v>| [ㄈㄨˋ](ㄈㄨˋ.md) | [萯](萯.md) |  | fù | [名]
1.一種藥草。即王萯。《說文解字．艸部》：「萯，王萯也。」《禮記．月令》：「王瓜生，苦菜秀。」漢．鄭玄．注：「今〈月令〉云：『王萯生。』」
2.一種草。《管子．地員》：「其種大萯細萯，白莖青秀以蔓。」唐．尹知章．注：「萯，草名。」 |</v>
      </c>
    </row>
    <row r="3284" spans="1:44" hidden="1">
      <c r="A3284" s="1" t="s">
        <v>4610</v>
      </c>
      <c r="C3284" s="1">
        <v>1</v>
      </c>
      <c r="D3284" s="1" t="str">
        <f>"01884"</f>
        <v>01884</v>
      </c>
      <c r="E3284" s="1" t="s">
        <v>679</v>
      </c>
      <c r="F3284" s="1">
        <v>15</v>
      </c>
      <c r="G3284" s="1">
        <v>9</v>
      </c>
      <c r="H3284" s="1">
        <v>0</v>
      </c>
      <c r="I3284" s="1" t="s">
        <v>4555</v>
      </c>
      <c r="K3284" s="1" t="str">
        <f t="shared" si="207"/>
        <v>ㄈ</v>
      </c>
      <c r="L3284" s="1" t="str">
        <f t="shared" si="208"/>
        <v>ㄨ</v>
      </c>
      <c r="N3284" s="3" t="s">
        <v>30574</v>
      </c>
      <c r="O3284" s="3"/>
      <c r="P3284" s="1" t="s">
        <v>20</v>
      </c>
      <c r="R3284" s="1" t="s">
        <v>4556</v>
      </c>
      <c r="V3284" s="1" t="s">
        <v>707</v>
      </c>
      <c r="AR3284" s="1" t="str">
        <f t="shared" si="209"/>
        <v>| [ㄈㄨˋ](ㄈㄨˋ.md) | [蝜](蝜.md) |  | fù | 參見「蝜蝂」條。 |</v>
      </c>
    </row>
    <row r="3285" spans="1:44" hidden="1">
      <c r="A3285" s="1" t="s">
        <v>2202</v>
      </c>
      <c r="C3285" s="1">
        <v>1</v>
      </c>
      <c r="D3285" s="1" t="str">
        <f>"01885"</f>
        <v>01885</v>
      </c>
      <c r="E3285" s="1" t="s">
        <v>185</v>
      </c>
      <c r="F3285" s="1">
        <v>11</v>
      </c>
      <c r="G3285" s="1">
        <v>9</v>
      </c>
      <c r="H3285" s="1">
        <v>1</v>
      </c>
      <c r="I3285" s="1" t="s">
        <v>4555</v>
      </c>
      <c r="K3285" s="1" t="str">
        <f t="shared" si="207"/>
        <v>ㄈ</v>
      </c>
      <c r="L3285" s="1" t="str">
        <f t="shared" si="208"/>
        <v>ㄨ</v>
      </c>
      <c r="N3285" s="3" t="s">
        <v>30574</v>
      </c>
      <c r="O3285" s="3"/>
      <c r="P3285" s="1" t="s">
        <v>20</v>
      </c>
      <c r="R3285" s="1" t="s">
        <v>4556</v>
      </c>
      <c r="V3285" s="1" t="s">
        <v>4611</v>
      </c>
      <c r="W3285" s="1" t="s">
        <v>4612</v>
      </c>
      <c r="AR3285" s="1" t="str">
        <f t="shared" si="209"/>
        <v>| [ㄈㄨˋ](ㄈㄨˋ.md) | [副](副.md) |  | fù | [形]
1.助理的。如：「副手」、「副使」、「副官」。
2.居第二位的、居次的。如：「副總統」、「副班長」
3.附帶的。如：「副作用」、「副產品」。
4.次要的。如：「副業」、「副食品」。
[名]
1.量詞。計算成套成組物品的單位。如：「一副碗筷」、「兩副耳環」、「三副眼鏡」。俗作「付」。
2.輔助的職務或擔任輔佐職務的人。如：「大副」、「二副」。
3.古代用假髮製成的髮髻稱為「副貳」。簡稱為「副」。《詩經．鄘風．君子偕老》：「君子偕者，副笄六珈。」漢．毛亨．傳：「副者，后夫人之首飾，編髮為之。」
[動]
1.輔助、輔佐。《晉書．卷六九．周顗傳》：「顗參副朝右，職掌詮衡，當敬慎德音，式是百辟。」
2.符合、相稱。如：「名副其實」。《後漢書．卷六一．黃瓊傳》：「陽春之曲，和者必寡；盛名之下，其實難副。」 |</v>
      </c>
    </row>
    <row r="3286" spans="1:44" hidden="1">
      <c r="A3286" s="1" t="s">
        <v>4613</v>
      </c>
      <c r="C3286" s="1">
        <v>1</v>
      </c>
      <c r="D3286" s="1" t="str">
        <f>"01886"</f>
        <v>01886</v>
      </c>
      <c r="E3286" s="1" t="s">
        <v>624</v>
      </c>
      <c r="F3286" s="1">
        <v>12</v>
      </c>
      <c r="G3286" s="1">
        <v>9</v>
      </c>
      <c r="H3286" s="1">
        <v>0</v>
      </c>
      <c r="I3286" s="1" t="s">
        <v>4555</v>
      </c>
      <c r="K3286" s="1" t="str">
        <f t="shared" si="207"/>
        <v>ㄈ</v>
      </c>
      <c r="L3286" s="1" t="str">
        <f t="shared" si="208"/>
        <v>ㄨ</v>
      </c>
      <c r="N3286" s="3" t="s">
        <v>30574</v>
      </c>
      <c r="O3286" s="3"/>
      <c r="P3286" s="1" t="s">
        <v>20</v>
      </c>
      <c r="R3286" s="1" t="s">
        <v>4556</v>
      </c>
      <c r="V3286" s="1" t="s">
        <v>4614</v>
      </c>
      <c r="AR3286" s="1" t="str">
        <f t="shared" si="209"/>
        <v>| [ㄈㄨˋ](ㄈㄨˋ.md) | [富](富.md) |  | fù | [形]
1.財物充裕、充足。如：「富裕」、「富有」、「富饒」、「富足」。《後漢書．卷八〇．文苑傳上．杜篤傳》：「昔在強秦，爰初開畔，霸自歧、廱，國富人衍。」
2.包容很多的。如：「富麗堂皇」、「文富辭豐」。
3.壯盛。南朝陳．周弘讓《答王裒書》：「昔吾壯日，及弟富年。」
[名]
1.財產、財物。如：「財富」。《禮記．大學》：「富潤屋，德潤身，心廣體胖。」
2.姓。如東周有富辰。
[動]
使豐裕。如：「富國強兵」。《論語．子路》：「冉有曰：『既庶矣，又何加焉？』曰：『富之。』」 |</v>
      </c>
    </row>
    <row r="3287" spans="1:44" hidden="1">
      <c r="A3287" s="1" t="s">
        <v>4615</v>
      </c>
      <c r="C3287" s="1">
        <v>1</v>
      </c>
      <c r="D3287" s="1" t="str">
        <f>"01887"</f>
        <v>01887</v>
      </c>
      <c r="E3287" s="1" t="s">
        <v>340</v>
      </c>
      <c r="F3287" s="1">
        <v>15</v>
      </c>
      <c r="G3287" s="1">
        <v>9</v>
      </c>
      <c r="H3287" s="1">
        <v>0</v>
      </c>
      <c r="I3287" s="1" t="s">
        <v>4555</v>
      </c>
      <c r="K3287" s="1" t="str">
        <f t="shared" si="207"/>
        <v>ㄈ</v>
      </c>
      <c r="L3287" s="1" t="str">
        <f t="shared" si="208"/>
        <v>ㄨ</v>
      </c>
      <c r="N3287" s="3" t="s">
        <v>30574</v>
      </c>
      <c r="O3287" s="3"/>
      <c r="P3287" s="1" t="s">
        <v>20</v>
      </c>
      <c r="R3287" s="1" t="s">
        <v>4556</v>
      </c>
      <c r="V3287" s="1" t="s">
        <v>4616</v>
      </c>
      <c r="AR3287" s="1" t="str">
        <f t="shared" si="209"/>
        <v>| [ㄈㄨˋ](ㄈㄨˋ.md) | [褔](褔.md) |  | fù | [動]_x000D_
充滿。清．王念孫《廣雅疏證．卷一下．釋詁》：「褔，盈也。」_x000D_
[量]_x000D_
計算衣物的單位。唐．顏師古《匡謬正俗．卷六．副》：「今俗呼一襲為一褔衣，蓋取其充備之意，非以覆蔽形體為名也。」 |</v>
      </c>
    </row>
    <row r="3288" spans="1:44" hidden="1">
      <c r="A3288" s="1" t="s">
        <v>4617</v>
      </c>
      <c r="C3288" s="1">
        <v>1</v>
      </c>
      <c r="D3288" s="1" t="str">
        <f>"01888"</f>
        <v>01888</v>
      </c>
      <c r="E3288" s="1" t="s">
        <v>534</v>
      </c>
      <c r="F3288" s="1">
        <v>11</v>
      </c>
      <c r="G3288" s="1">
        <v>8</v>
      </c>
      <c r="H3288" s="1">
        <v>0</v>
      </c>
      <c r="I3288" s="1" t="s">
        <v>4555</v>
      </c>
      <c r="K3288" s="1" t="str">
        <f t="shared" si="207"/>
        <v>ㄈ</v>
      </c>
      <c r="L3288" s="1" t="str">
        <f t="shared" si="208"/>
        <v>ㄨ</v>
      </c>
      <c r="N3288" s="3" t="s">
        <v>30574</v>
      </c>
      <c r="O3288" s="3"/>
      <c r="P3288" s="1" t="s">
        <v>20</v>
      </c>
      <c r="R3288" s="1" t="s">
        <v>4556</v>
      </c>
      <c r="V3288" s="1" t="s">
        <v>4618</v>
      </c>
      <c r="AR3288" s="1" t="str">
        <f t="shared" si="209"/>
        <v>| [ㄈㄨˋ](ㄈㄨˋ.md) | [婦](婦.md) |  | fù | [名]_x000D_
1.已嫁女子。《正字通．女部》：「婦，女子已嫁曰婦。」唐．王昌齡〈閨怨〉詩：「閨中少婦不曾愁，春日凝妝上翠樓。」_x000D_
2.妻。如：「夫婦」。《樂府詩集．卷七三．雜曲歌辭十三．古辭．焦仲卿妻》：「十七為君婦，心中常苦悲。」元．關漢卿《竇娥冤》第二折：「他本是張郎婦，又做了李郎妻。」_x000D_
3.兒子的妻子。《禮記．雜記下》：「婦見舅姑，兄弟姑姊妹皆立于堂下。」《新唐書．卷一八．禮樂志八》：「舅姑即席，婦執笲棗、栗入。」_x000D_
4.女性的通稱。如：「婦孺皆知」、「老弱婦孺」。_x000D_
[形]_x000D_
有關女性的。如：「婦科」。《宋史．卷三五．孝宗本紀三》：「十一月戊辰朔，禁臣庶之家婦飾僭擬。」 |</v>
      </c>
    </row>
    <row r="3289" spans="1:44" hidden="1">
      <c r="A3289" s="1" t="s">
        <v>4619</v>
      </c>
      <c r="C3289" s="1">
        <v>1</v>
      </c>
      <c r="D3289" s="1" t="str">
        <f>"01889"</f>
        <v>01889</v>
      </c>
      <c r="E3289" s="1" t="s">
        <v>114</v>
      </c>
      <c r="F3289" s="1">
        <v>12</v>
      </c>
      <c r="G3289" s="1">
        <v>10</v>
      </c>
      <c r="H3289" s="1">
        <v>0</v>
      </c>
      <c r="I3289" s="1" t="s">
        <v>4555</v>
      </c>
      <c r="K3289" s="1" t="str">
        <f t="shared" si="207"/>
        <v>ㄈ</v>
      </c>
      <c r="L3289" s="1" t="str">
        <f t="shared" si="208"/>
        <v>ㄨ</v>
      </c>
      <c r="N3289" s="3" t="s">
        <v>30574</v>
      </c>
      <c r="O3289" s="3"/>
      <c r="P3289" s="1" t="s">
        <v>20</v>
      </c>
      <c r="R3289" s="1" t="s">
        <v>4556</v>
      </c>
      <c r="V3289" s="1" t="s">
        <v>4620</v>
      </c>
      <c r="AR3289" s="1" t="str">
        <f t="shared" si="209"/>
        <v>| [ㄈㄨˋ](ㄈㄨˋ.md) | [傅](傅.md) |  | fù | [動]_x000D_
1.輔助。《左傳．桓公二年》：「惠之二十四年，晉始亂，故封桓叔于曲沃，靖侯之孫欒賓傅之。」《史記．卷五五．留侯世家》：「子房雖病，彊臥而傅太子。」_x000D_
2.教導、教授。《孟子．滕文公下》：「有楚大夫於此，欲其子之齊語也，則使齊人傅諸？使楚人傅諸？」《淮南子．人間》：「楚王悅之，因命太子建守城父，命伍子奢傅之。」_x000D_
3.附著、依附。《左傳．僖公十四年》：「皮之不存，毛將安傅？」《晉書．卷九二．文苑列傳．左思》：「至若此賦，擬議數家，傅辭會義，抑多精緻。」明．馮琦〈戊子湖廣鄉試錄序〉：「夫以古語為今文，非今也；以今事傅古義，非古也。」_x000D_
4.敷抹、塗抹。如：「傅粉施朱」。《後漢書．卷八三．逸民列傳．梁鴻》：「今乃衣綺縞，傅粉墨，豈鴻所願哉？」《新唐書．卷一三六．列傳．李光弼》：「身被數創，肅宗躬為傅藥。」明．李時珍《本草綱目．卷一八上．草部七．葛》引《千金方》：「癤子初起：葛蔓燒灰，水調傅之，即消。」_x000D_
5.攜帶。《後漢書．卷二一．任李萬邳劉耿列傳．耿純》：「選敢死二千人，俱持彊弩，各傅三矢。」《宋史．卷三三一．列傳．沈遘》：「邊人驩激，執弓傅矢，唯恐不得進。」_x000D_
[名]_x000D_
1.教師，教導傳授技藝或學業的人。如：「師傅」。《史記．卷八四．屈原賈生列傳．賈誼》：「於是天子後亦疏之，不用其議，乃以賈生為長沙王太傅。」_x000D_
2.姓。如晉朝時有傅玄。 |</v>
      </c>
    </row>
    <row r="3290" spans="1:44" hidden="1">
      <c r="A3290" s="1" t="s">
        <v>4621</v>
      </c>
      <c r="C3290" s="1">
        <v>1</v>
      </c>
      <c r="D3290" s="1" t="str">
        <f>"01890"</f>
        <v>01890</v>
      </c>
      <c r="E3290" s="1" t="s">
        <v>505</v>
      </c>
      <c r="F3290" s="1">
        <v>17</v>
      </c>
      <c r="G3290" s="1">
        <v>10</v>
      </c>
      <c r="H3290" s="1">
        <v>0</v>
      </c>
      <c r="I3290" s="1" t="s">
        <v>4555</v>
      </c>
      <c r="K3290" s="1" t="str">
        <f t="shared" si="207"/>
        <v>ㄈ</v>
      </c>
      <c r="L3290" s="1" t="str">
        <f t="shared" si="208"/>
        <v>ㄨ</v>
      </c>
      <c r="N3290" s="3" t="s">
        <v>30574</v>
      </c>
      <c r="O3290" s="3"/>
      <c r="P3290" s="1" t="s">
        <v>20</v>
      </c>
      <c r="R3290" s="1" t="s">
        <v>4556</v>
      </c>
      <c r="V3290" s="1" t="s">
        <v>4622</v>
      </c>
      <c r="AR3290" s="1" t="str">
        <f t="shared" si="209"/>
        <v>| [ㄈㄨˋ](ㄈㄨˋ.md) | [賻](賻.md) |  | fù | [動]
以財物幫助人辦喪事。《玉篇．貝部》：「賻，以財助喪也。」唐．柳宗元〈尚書戶部侍郎王君先太夫人河間劉氏誌文〉：「天子使中謁者臨問其家，賻以布帛。」宋．蘇軾〈上韓魏公乞葬董傳書〉：「軾與之故舊在京師者數人，相與出錢賻其家。」
[名]
助喪的財物。《左傳．隱公三年》：「武氏子來求賻，王未葬也。」南朝宋．顏延之〈陶徵士誄〉：「式尊遺占，存不願豐，沒無求贍，省訃卻賻。」 |</v>
      </c>
    </row>
    <row r="3291" spans="1:44" hidden="1">
      <c r="A3291" s="1" t="s">
        <v>4623</v>
      </c>
      <c r="C3291" s="1">
        <v>1</v>
      </c>
      <c r="D3291" s="1" t="str">
        <f>"01891"</f>
        <v>01891</v>
      </c>
      <c r="E3291" s="1" t="s">
        <v>505</v>
      </c>
      <c r="F3291" s="1">
        <v>15</v>
      </c>
      <c r="G3291" s="1">
        <v>8</v>
      </c>
      <c r="H3291" s="1">
        <v>0</v>
      </c>
      <c r="I3291" s="1" t="s">
        <v>4555</v>
      </c>
      <c r="K3291" s="1" t="str">
        <f t="shared" si="207"/>
        <v>ㄈ</v>
      </c>
      <c r="L3291" s="1" t="str">
        <f t="shared" si="208"/>
        <v>ㄨ</v>
      </c>
      <c r="N3291" s="3" t="s">
        <v>30574</v>
      </c>
      <c r="O3291" s="3"/>
      <c r="P3291" s="1" t="s">
        <v>20</v>
      </c>
      <c r="R3291" s="1" t="s">
        <v>4556</v>
      </c>
      <c r="V3291" s="1" t="s">
        <v>4624</v>
      </c>
      <c r="AR3291" s="1" t="str">
        <f t="shared" si="209"/>
        <v>| [ㄈㄨˋ](ㄈㄨˋ.md) | [賦](賦.md) |  | fù | [動]
1.徵收。《說文解字．貝部》：「賦，斂也。」漢．鼂錯〈論貴粟疏〉：「賦斂不時，朝令而暮改。」
2.給與、授與。如：「賦與」、「天賦異稟」。《漢書．卷一一．哀帝紀》：「太皇太后詔外家王氏田非冢塋，皆以賦貧民。」
3.吟詠、寫作。如：「橫槊賦詩」。《文選．司馬遷．報任少卿書》：「屈原放逐，乃賦離騷。」晉．陶淵明〈自祭文〉：「捽兀窮廬，酣飲賦詩。」
4.分布、散布。《詩經．大雅．烝民》：「天子是若，明命使賦。」漢．毛亨．傳：「賦，布也。」
[名]
1.稅收。如：「稅賦」、「田賦」。《漢書．卷一一．哀帝紀》：「民貲不滿十萬，皆無出今年租賦。」
2.《詩經》六義之一。鋪陳直言其事，有別於比喻和托物起興。南朝梁．劉勰《文心雕龍．詮賦》：「《詩》有六義，其二曰賦。賦者，鋪也，鋪采摛文，體物寫志也。」
3.文體名。介於詩與散文之間的韻文，多用來寫景敘事。盛行於漢魏六朝。如：「詩、詞、歌、賦。」《史記．卷八四．屈原賈生傳》：「及渡湘水，為賦以弔屈原。」唐．李白〈大獵賦〉：「白以為賦者古詩之流，辭欲壯麗，義歸博達。」
4.資質。如：「稟賦」。 |</v>
      </c>
    </row>
    <row r="3292" spans="1:44" hidden="1">
      <c r="A3292" s="1" t="s">
        <v>4337</v>
      </c>
      <c r="C3292" s="1">
        <v>1</v>
      </c>
      <c r="D3292" s="1" t="str">
        <f>"01771"</f>
        <v>01771</v>
      </c>
      <c r="E3292" s="1" t="s">
        <v>563</v>
      </c>
      <c r="F3292" s="1">
        <v>4</v>
      </c>
      <c r="G3292" s="1">
        <v>1</v>
      </c>
      <c r="H3292" s="1">
        <v>2</v>
      </c>
      <c r="I3292" s="1" t="s">
        <v>4377</v>
      </c>
      <c r="K3292" s="1" t="str">
        <f t="shared" si="207"/>
        <v>ㄈ</v>
      </c>
      <c r="L3292" s="1" t="str">
        <f t="shared" si="208"/>
        <v>ㄨ</v>
      </c>
      <c r="N3292" s="3" t="s">
        <v>30575</v>
      </c>
      <c r="O3292" s="3"/>
      <c r="P3292" s="1" t="s">
        <v>20</v>
      </c>
      <c r="R3292" s="1" t="s">
        <v>4378</v>
      </c>
      <c r="V3292" s="1" t="s">
        <v>4379</v>
      </c>
      <c r="W3292" s="1" t="s">
        <v>4380</v>
      </c>
      <c r="AR3292" s="1" t="str">
        <f t="shared" si="209"/>
        <v>| [ㄈㄨˊ](ㄈㄨˊ.md) | [夫](夫.md) |  | fú | [助]
1.文言文中的發語詞，表提示作用。《論語．季氏》：「夫顓臾，昔者先王以為東蒙主，且在邦域之中矣。」《孟子．離婁上》：「夫國君好仁，天下無敵。」
2.文言文中用於句末，表示感嘆或疑問。《論語．子罕》：「子在川上曰：『逝者如斯夫，不舍晝夜。』」《史記．卷四七．孔子世家》：「孔子曰：『吾歌，可夫？』」
3.文言文中用於句中，無義。《禮記．檀弓下》：「穆公曰：『仁夫公子重耳。』」
[代]
文言文中指示代名詞。《左傳．襄公二十六年》：「子木曰：『夫獨無族姻乎？』」《漢書．卷四八．賈誼傳》：「彼且為我亡，故吾得與之俱存；夫將為我危，故吾得與之皆安。」
[形]
文言文中指示形容詞。相當於「此」、「彼」。《左傳．成公十六年》：「夫二人者，魯國社稷之臣也。」《論語．先進》：「夫人不言，言必有中。」 |</v>
      </c>
    </row>
    <row r="3293" spans="1:44" hidden="1">
      <c r="A3293" s="1" t="s">
        <v>4381</v>
      </c>
      <c r="C3293" s="1">
        <v>1</v>
      </c>
      <c r="D3293" s="1" t="str">
        <f>"01772"</f>
        <v>01772</v>
      </c>
      <c r="E3293" s="1" t="s">
        <v>24</v>
      </c>
      <c r="F3293" s="1">
        <v>7</v>
      </c>
      <c r="G3293" s="1">
        <v>4</v>
      </c>
      <c r="H3293" s="1">
        <v>0</v>
      </c>
      <c r="I3293" s="1" t="s">
        <v>4377</v>
      </c>
      <c r="K3293" s="1" t="str">
        <f t="shared" si="207"/>
        <v>ㄈ</v>
      </c>
      <c r="L3293" s="1" t="str">
        <f t="shared" si="208"/>
        <v>ㄨ</v>
      </c>
      <c r="N3293" s="3" t="s">
        <v>30575</v>
      </c>
      <c r="O3293" s="3"/>
      <c r="P3293" s="1" t="s">
        <v>20</v>
      </c>
      <c r="R3293" s="1" t="s">
        <v>4378</v>
      </c>
      <c r="V3293" s="1" t="s">
        <v>4382</v>
      </c>
      <c r="AR3293" s="1" t="str">
        <f t="shared" si="209"/>
        <v>| [ㄈㄨˊ](ㄈㄨˊ.md) | [扶](扶.md) |  | fú | [動]
1.用手支持，使人、物或自己不倒。如：「扶老攜幼」、「攙扶」。《荀子．勸學》：「蓬生麻中，不扶而直。」《三國演義》第五〇回：「焦頭爛額者扶策而行。」
2.幫助、輔佐。如：「濟弱扶貧」。《戰國策．宋衛策》：「若扶梁伐趙，以害趙國，則寡人不忍也。」《水滸傳》第六三回：「天地咸扶，鬼神共佑。」
3.倚、仗。《漢書．卷一．高帝紀上》：「不如更遣長者扶義而西，告諭秦父兄。」《新唐書．卷八五．竇建德傳》：「大王奮布衣，起漳南，隋之列城莫不爭附者，以能杖順扶義，安四方也。」
4.護送。如：「扶靈」。唐．杜甫〈別蔡十四著作〉詩：「主人薨城府，扶櫬歸咸秦。」
5.循、沿。三國魏．曹植〈仙人篇〉：「玉樹扶道生，白虎夾門樞。」晉．陶淵明〈桃花源記〉：「既出，得其船，便扶向路，處處誌之。」
[名]
姓。如漢代有扶嘉。 |</v>
      </c>
    </row>
    <row r="3294" spans="1:44" hidden="1">
      <c r="A3294" s="1" t="s">
        <v>4383</v>
      </c>
      <c r="C3294" s="1">
        <v>1</v>
      </c>
      <c r="D3294" s="1" t="str">
        <f>"01773"</f>
        <v>01773</v>
      </c>
      <c r="E3294" s="1" t="s">
        <v>37</v>
      </c>
      <c r="F3294" s="1">
        <v>8</v>
      </c>
      <c r="G3294" s="1">
        <v>4</v>
      </c>
      <c r="H3294" s="1">
        <v>0</v>
      </c>
      <c r="I3294" s="1" t="s">
        <v>4377</v>
      </c>
      <c r="K3294" s="1" t="str">
        <f t="shared" si="207"/>
        <v>ㄈ</v>
      </c>
      <c r="L3294" s="1" t="str">
        <f t="shared" si="208"/>
        <v>ㄨ</v>
      </c>
      <c r="N3294" s="3" t="s">
        <v>30575</v>
      </c>
      <c r="O3294" s="3"/>
      <c r="P3294" s="1" t="s">
        <v>20</v>
      </c>
      <c r="R3294" s="1" t="s">
        <v>4378</v>
      </c>
      <c r="V3294" s="1" t="s">
        <v>4384</v>
      </c>
      <c r="AR3294" s="1" t="str">
        <f t="shared" si="209"/>
        <v>| [ㄈㄨˊ](ㄈㄨˊ.md) | [芙](芙.md) |  | fú | 參見「芙蕖」、「芙蓉」等條。 |</v>
      </c>
    </row>
    <row r="3295" spans="1:44" hidden="1">
      <c r="A3295" s="1" t="s">
        <v>4385</v>
      </c>
      <c r="C3295" s="1">
        <v>1</v>
      </c>
      <c r="D3295" s="1" t="str">
        <f>"01774"</f>
        <v>01774</v>
      </c>
      <c r="E3295" s="1" t="s">
        <v>679</v>
      </c>
      <c r="F3295" s="1">
        <v>10</v>
      </c>
      <c r="G3295" s="1">
        <v>4</v>
      </c>
      <c r="H3295" s="1">
        <v>0</v>
      </c>
      <c r="I3295" s="1" t="s">
        <v>4377</v>
      </c>
      <c r="K3295" s="1" t="str">
        <f t="shared" si="207"/>
        <v>ㄈ</v>
      </c>
      <c r="L3295" s="1" t="str">
        <f t="shared" si="208"/>
        <v>ㄨ</v>
      </c>
      <c r="N3295" s="3" t="s">
        <v>30575</v>
      </c>
      <c r="O3295" s="3"/>
      <c r="P3295" s="1" t="s">
        <v>20</v>
      </c>
      <c r="R3295" s="1" t="s">
        <v>4378</v>
      </c>
      <c r="V3295" s="1" t="s">
        <v>4386</v>
      </c>
      <c r="AR3295" s="1" t="str">
        <f t="shared" si="209"/>
        <v>| [ㄈㄨˊ](ㄈㄨˊ.md) | [蚨](蚨.md) |  | fú | 參見「青蚨」、「蚨蝶」等條。 |</v>
      </c>
    </row>
    <row r="3296" spans="1:44" hidden="1">
      <c r="A3296" s="1" t="s">
        <v>4387</v>
      </c>
      <c r="C3296" s="1">
        <v>1</v>
      </c>
      <c r="D3296" s="1" t="str">
        <f>"01775"</f>
        <v>01775</v>
      </c>
      <c r="E3296" s="1" t="s">
        <v>222</v>
      </c>
      <c r="F3296" s="1">
        <v>4</v>
      </c>
      <c r="G3296" s="1">
        <v>1</v>
      </c>
      <c r="H3296" s="1">
        <v>0</v>
      </c>
      <c r="I3296" s="1" t="s">
        <v>4377</v>
      </c>
      <c r="K3296" s="1" t="str">
        <f t="shared" si="207"/>
        <v>ㄈ</v>
      </c>
      <c r="L3296" s="1" t="str">
        <f t="shared" si="208"/>
        <v>ㄨ</v>
      </c>
      <c r="N3296" s="3" t="s">
        <v>30575</v>
      </c>
      <c r="O3296" s="3"/>
      <c r="P3296" s="1" t="s">
        <v>20</v>
      </c>
      <c r="R3296" s="1" t="s">
        <v>4378</v>
      </c>
      <c r="V3296" s="1" t="s">
        <v>4388</v>
      </c>
      <c r="AR3296" s="1" t="str">
        <f t="shared" si="209"/>
        <v>| [ㄈㄨˊ](ㄈㄨˊ.md) | [巿](巿.md) |  | fú | [名]
古代一種繫於腰間，遮於官服或禮服下裳前的服飾。同「紱」、「韍」。《說文解字．巿部》：「巿，韠也。上古衣蔽前而已，巿以象之。天子朱巿，諸侯赤巿。」也稱為「蔽膝」、「圍腰」。 |</v>
      </c>
    </row>
    <row r="3297" spans="1:44" hidden="1">
      <c r="A3297" s="1" t="s">
        <v>3931</v>
      </c>
      <c r="C3297" s="1">
        <v>1</v>
      </c>
      <c r="D3297" s="1" t="str">
        <f>"01776"</f>
        <v>01776</v>
      </c>
      <c r="E3297" s="1" t="s">
        <v>37</v>
      </c>
      <c r="F3297" s="1">
        <v>8</v>
      </c>
      <c r="G3297" s="1">
        <v>4</v>
      </c>
      <c r="H3297" s="1">
        <v>2</v>
      </c>
      <c r="I3297" s="1" t="s">
        <v>4377</v>
      </c>
      <c r="K3297" s="1" t="str">
        <f t="shared" si="207"/>
        <v>ㄈ</v>
      </c>
      <c r="L3297" s="1" t="str">
        <f t="shared" si="208"/>
        <v>ㄨ</v>
      </c>
      <c r="N3297" s="3" t="s">
        <v>30575</v>
      </c>
      <c r="O3297" s="3"/>
      <c r="P3297" s="1" t="s">
        <v>20</v>
      </c>
      <c r="R3297" s="1" t="s">
        <v>4378</v>
      </c>
      <c r="V3297" s="1" t="s">
        <v>4389</v>
      </c>
      <c r="W3297" s="1" t="s">
        <v>4390</v>
      </c>
      <c r="AR3297" s="1" t="str">
        <f t="shared" si="209"/>
        <v>| [ㄈㄨˊ](ㄈㄨˊ.md) | [芾](芾.md) |  | fú | [名]
古代衣服上的蔽膝，有的以皮韋製成。通「韍」。《詩經．小雅．采菽》：「赤芾在股，邪幅在下。」漢．鄭玄．箋：「芾，大古蔽膝之象也，冕服謂之芾，其他服謂之韠，以韋為之。」 |</v>
      </c>
    </row>
    <row r="3298" spans="1:44" hidden="1">
      <c r="A3298" s="1" t="s">
        <v>4391</v>
      </c>
      <c r="C3298" s="1">
        <v>1</v>
      </c>
      <c r="D3298" s="1" t="str">
        <f>"01777"</f>
        <v>01777</v>
      </c>
      <c r="E3298" s="1" t="s">
        <v>103</v>
      </c>
      <c r="F3298" s="1">
        <v>5</v>
      </c>
      <c r="G3298" s="1">
        <v>2</v>
      </c>
      <c r="H3298" s="1">
        <v>0</v>
      </c>
      <c r="I3298" s="1" t="s">
        <v>4377</v>
      </c>
      <c r="K3298" s="1" t="str">
        <f t="shared" si="207"/>
        <v>ㄈ</v>
      </c>
      <c r="L3298" s="1" t="str">
        <f t="shared" si="208"/>
        <v>ㄨ</v>
      </c>
      <c r="N3298" s="3" t="s">
        <v>30575</v>
      </c>
      <c r="O3298" s="3"/>
      <c r="P3298" s="1" t="s">
        <v>20</v>
      </c>
      <c r="R3298" s="1" t="s">
        <v>4378</v>
      </c>
      <c r="V3298" s="1" t="s">
        <v>4392</v>
      </c>
      <c r="AR3298" s="1" t="str">
        <f t="shared" si="209"/>
        <v>| [ㄈㄨˊ](ㄈㄨˊ.md) | [弗](弗.md) |  | fú | [副]
不。如：「自嘆弗如」。《左傳．隱公三年》：「教之以義方，弗納於邪。」
[動]
去災求福。同「祓」。《詩經．大雅．生民》：「生民如何，克禋克祀，以弗無子。」漢．鄭玄．注：「弗之言祓也……以祓除其無子之疾，而得其福也。」 |</v>
      </c>
    </row>
    <row r="3299" spans="1:44" hidden="1">
      <c r="A3299" s="1" t="s">
        <v>983</v>
      </c>
      <c r="C3299" s="1">
        <v>1</v>
      </c>
      <c r="D3299" s="1" t="str">
        <f>"01778"</f>
        <v>01778</v>
      </c>
      <c r="E3299" s="1" t="s">
        <v>114</v>
      </c>
      <c r="F3299" s="1">
        <v>7</v>
      </c>
      <c r="G3299" s="1">
        <v>5</v>
      </c>
      <c r="H3299" s="1">
        <v>3</v>
      </c>
      <c r="I3299" s="1" t="s">
        <v>4377</v>
      </c>
      <c r="K3299" s="1" t="str">
        <f t="shared" si="207"/>
        <v>ㄈ</v>
      </c>
      <c r="L3299" s="1" t="str">
        <f t="shared" si="208"/>
        <v>ㄨ</v>
      </c>
      <c r="N3299" s="3" t="s">
        <v>30575</v>
      </c>
      <c r="O3299" s="3"/>
      <c r="P3299" s="1" t="s">
        <v>20</v>
      </c>
      <c r="R3299" s="1" t="s">
        <v>4378</v>
      </c>
      <c r="V3299" s="1" t="s">
        <v>4393</v>
      </c>
      <c r="W3299" s="1" t="s">
        <v>4394</v>
      </c>
      <c r="AR3299" s="1" t="str">
        <f t="shared" si="209"/>
        <v>| [ㄈㄨˊ](ㄈㄨˊ.md) | [佛](佛.md) |  | fú | 參見「仿佛」條。 |</v>
      </c>
    </row>
    <row r="3300" spans="1:44" hidden="1">
      <c r="A3300" s="1" t="s">
        <v>4395</v>
      </c>
      <c r="C3300" s="1">
        <v>1</v>
      </c>
      <c r="D3300" s="1" t="str">
        <f>"01779"</f>
        <v>01779</v>
      </c>
      <c r="E3300" s="1" t="s">
        <v>185</v>
      </c>
      <c r="F3300" s="1">
        <v>7</v>
      </c>
      <c r="G3300" s="1">
        <v>5</v>
      </c>
      <c r="H3300" s="1">
        <v>0</v>
      </c>
      <c r="I3300" s="1" t="s">
        <v>4377</v>
      </c>
      <c r="K3300" s="1" t="str">
        <f t="shared" si="207"/>
        <v>ㄈ</v>
      </c>
      <c r="L3300" s="1" t="str">
        <f t="shared" si="208"/>
        <v>ㄨ</v>
      </c>
      <c r="N3300" s="3" t="s">
        <v>30575</v>
      </c>
      <c r="O3300" s="3"/>
      <c r="P3300" s="1" t="s">
        <v>20</v>
      </c>
      <c r="R3300" s="1" t="s">
        <v>4378</v>
      </c>
      <c r="V3300" s="1" t="s">
        <v>4396</v>
      </c>
      <c r="AR3300" s="1" t="str">
        <f t="shared" si="209"/>
        <v>| [ㄈㄨˊ](ㄈㄨˊ.md) | [刜](刜.md) |  | fú | [動]
用刀砍擊。《左傳．昭公二十六年》：「苑子刜林雍，斷其足，鑋而乘於他車以歸。」唐．柳宗元〈桂州裴中丞作訾家洲亭記〉：「伐惡木，刜奧草。」 |</v>
      </c>
    </row>
    <row r="3301" spans="1:44" hidden="1">
      <c r="A3301" s="1" t="s">
        <v>3918</v>
      </c>
      <c r="C3301" s="1">
        <v>1</v>
      </c>
      <c r="D3301" s="1" t="str">
        <f>"01780"</f>
        <v>01780</v>
      </c>
      <c r="E3301" s="1" t="s">
        <v>129</v>
      </c>
      <c r="F3301" s="1">
        <v>8</v>
      </c>
      <c r="G3301" s="1">
        <v>5</v>
      </c>
      <c r="H3301" s="1">
        <v>2</v>
      </c>
      <c r="I3301" s="1" t="s">
        <v>4377</v>
      </c>
      <c r="K3301" s="1" t="str">
        <f t="shared" si="207"/>
        <v>ㄈ</v>
      </c>
      <c r="L3301" s="1" t="str">
        <f t="shared" si="208"/>
        <v>ㄨ</v>
      </c>
      <c r="N3301" s="3" t="s">
        <v>30575</v>
      </c>
      <c r="O3301" s="3"/>
      <c r="P3301" s="1" t="s">
        <v>20</v>
      </c>
      <c r="R3301" s="1" t="s">
        <v>4378</v>
      </c>
      <c r="V3301" s="1" t="s">
        <v>4397</v>
      </c>
      <c r="W3301" s="1" t="s">
        <v>4398</v>
      </c>
      <c r="AR3301" s="1" t="str">
        <f t="shared" si="209"/>
        <v>| [ㄈㄨˊ](ㄈㄨˊ.md) | [沸](沸.md) |  | fú | 參見「沸沸」條。 |</v>
      </c>
    </row>
    <row r="3302" spans="1:44" hidden="1">
      <c r="A3302" s="1" t="s">
        <v>514</v>
      </c>
      <c r="C3302" s="1">
        <v>1</v>
      </c>
      <c r="D3302" s="1" t="str">
        <f>"01781"</f>
        <v>01781</v>
      </c>
      <c r="E3302" s="1" t="s">
        <v>250</v>
      </c>
      <c r="F3302" s="1">
        <v>8</v>
      </c>
      <c r="G3302" s="1">
        <v>5</v>
      </c>
      <c r="H3302" s="1">
        <v>1</v>
      </c>
      <c r="I3302" s="1" t="s">
        <v>4377</v>
      </c>
      <c r="K3302" s="1" t="str">
        <f t="shared" si="207"/>
        <v>ㄈ</v>
      </c>
      <c r="L3302" s="1" t="str">
        <f t="shared" si="208"/>
        <v>ㄨ</v>
      </c>
      <c r="N3302" s="3" t="s">
        <v>30575</v>
      </c>
      <c r="O3302" s="3"/>
      <c r="P3302" s="1" t="s">
        <v>20</v>
      </c>
      <c r="R3302" s="1" t="s">
        <v>4378</v>
      </c>
      <c r="V3302" s="1" t="s">
        <v>4399</v>
      </c>
      <c r="W3302" s="1" t="s">
        <v>4400</v>
      </c>
      <c r="AR3302" s="1" t="str">
        <f t="shared" si="209"/>
        <v>| [ㄈㄨˊ](ㄈㄨˊ.md) | [怫](怫.md) |  | fú | [形]
憂鬱。《說文解字．心部》：「怫，鬱也。」
[動]
滯留、鬱結。《黃帝內經素問．卷二一．六元正紀大論》：「其病氣怫於上。」清．全祖望〈重浚鄞三喉水道議〉：「久在湖中，則水性怫而不暢。」 |</v>
      </c>
    </row>
    <row r="3303" spans="1:44" hidden="1">
      <c r="A3303" s="1" t="s">
        <v>986</v>
      </c>
      <c r="C3303" s="1">
        <v>1</v>
      </c>
      <c r="D3303" s="1" t="str">
        <f>"01782"</f>
        <v>01782</v>
      </c>
      <c r="E3303" s="1" t="s">
        <v>24</v>
      </c>
      <c r="F3303" s="1">
        <v>8</v>
      </c>
      <c r="G3303" s="1">
        <v>5</v>
      </c>
      <c r="H3303" s="1">
        <v>1</v>
      </c>
      <c r="I3303" s="1" t="s">
        <v>4377</v>
      </c>
      <c r="K3303" s="1" t="str">
        <f t="shared" si="207"/>
        <v>ㄈ</v>
      </c>
      <c r="L3303" s="1" t="str">
        <f t="shared" si="208"/>
        <v>ㄨ</v>
      </c>
      <c r="N3303" s="3" t="s">
        <v>30575</v>
      </c>
      <c r="O3303" s="3"/>
      <c r="P3303" s="1" t="s">
        <v>20</v>
      </c>
      <c r="R3303" s="1" t="s">
        <v>4378</v>
      </c>
      <c r="V3303" s="1" t="s">
        <v>4401</v>
      </c>
      <c r="W3303" s="1" t="s">
        <v>4402</v>
      </c>
      <c r="AR3303" s="1" t="str">
        <f t="shared" si="209"/>
        <v>| [ㄈㄨˊ](ㄈㄨˊ.md) | [拂](拂.md) |  | fú | [名]
撣拭塵埃或驅除蚊蠅的用具。如：「拂子」。漢．徐淑〈又報嘉書〉：「今奉旄牛尾拂一枚。」《南史．卷四五．陳顯達傳》：「麈尾蠅拂是王、謝家物，汝不須捉此自逐。」
[動]
1.抹拭。《儀禮．士昏禮》：「主人拂几。」
2.輕輕掠過、擦過。如：「春風拂面」。唐．李白〈清平調〉：「雲想衣裳花想容，春風拂檻露華濃。」《紅樓夢》第四九回：「聞得一陣寒香拂鼻。」
3.甩動、抖動。如：「拂袖而去」。《西遊記》第七一回：「那菩薩將柳枝連拂幾點甘露，霎時間，煙火俱無，黃沙絕跡。」
4.違反、違逆。《孟子．告子下》：「勞其筋骨，餓其體膚，空乏其身，行拂亂其所為。」《文明小史》第四八回：「只因難拂你老先生一片為好的意思。」 |</v>
      </c>
    </row>
    <row r="3304" spans="1:44" hidden="1">
      <c r="A3304" s="1" t="s">
        <v>4403</v>
      </c>
      <c r="C3304" s="1">
        <v>1</v>
      </c>
      <c r="D3304" s="1" t="str">
        <f>"01783"</f>
        <v>01783</v>
      </c>
      <c r="E3304" s="1" t="s">
        <v>28</v>
      </c>
      <c r="F3304" s="1">
        <v>8</v>
      </c>
      <c r="G3304" s="1">
        <v>5</v>
      </c>
      <c r="H3304" s="1">
        <v>0</v>
      </c>
      <c r="I3304" s="1" t="s">
        <v>4377</v>
      </c>
      <c r="K3304" s="1" t="str">
        <f t="shared" ref="K3304:K3367" si="210">LEFT(I3304, 1)</f>
        <v>ㄈ</v>
      </c>
      <c r="L3304" s="1" t="str">
        <f t="shared" ref="L3304:L3367" si="211">MID(I3304, 2, 1)</f>
        <v>ㄨ</v>
      </c>
      <c r="N3304" s="3" t="s">
        <v>30575</v>
      </c>
      <c r="O3304" s="3"/>
      <c r="P3304" s="1" t="s">
        <v>20</v>
      </c>
      <c r="R3304" s="1" t="s">
        <v>4378</v>
      </c>
      <c r="V3304" s="1" t="s">
        <v>4404</v>
      </c>
      <c r="AR3304" s="1" t="str">
        <f t="shared" si="209"/>
        <v>| [ㄈㄨˊ](ㄈㄨˊ.md) | [咈](咈.md) |  | fú | [動]
違背、違逆。《書經．微子》：「乃罔畏畏，咈其耇長，舊有位人。」
[副]
忿怒。通「艴」。《警世通言．卷二二．宋小官團圓破氈笠》：「那人咈然不樂道：『客人既發了個好心，卻又做脫身之計。』」
[形]
不然。《書經．堯典》：「帝曰：『吁！咈哉。』」 |</v>
      </c>
    </row>
    <row r="3305" spans="1:44" hidden="1">
      <c r="A3305" s="1" t="s">
        <v>4405</v>
      </c>
      <c r="C3305" s="1">
        <v>1</v>
      </c>
      <c r="D3305" s="1" t="str">
        <f>"01784"</f>
        <v>01784</v>
      </c>
      <c r="E3305" s="1" t="s">
        <v>190</v>
      </c>
      <c r="F3305" s="1">
        <v>8</v>
      </c>
      <c r="G3305" s="1">
        <v>5</v>
      </c>
      <c r="H3305" s="1">
        <v>0</v>
      </c>
      <c r="I3305" s="1" t="s">
        <v>4377</v>
      </c>
      <c r="K3305" s="1" t="str">
        <f t="shared" si="210"/>
        <v>ㄈ</v>
      </c>
      <c r="L3305" s="1" t="str">
        <f t="shared" si="211"/>
        <v>ㄨ</v>
      </c>
      <c r="N3305" s="3" t="s">
        <v>30575</v>
      </c>
      <c r="O3305" s="3"/>
      <c r="P3305" s="1" t="s">
        <v>20</v>
      </c>
      <c r="R3305" s="1" t="s">
        <v>4378</v>
      </c>
      <c r="V3305" s="1" t="s">
        <v>4406</v>
      </c>
      <c r="AR3305" s="1" t="str">
        <f t="shared" si="209"/>
        <v>| [ㄈㄨˊ](ㄈㄨˊ.md) | [岪](岪.md) |  | fú | [形]
山腰上的路。《說文解字．山部》：「岪，山脅道也。」清．段玉裁．注：「脅者，兩膀也。山如人體，其兩旁曰脅。」
[名]
山勢曲折的樣子。《楚辭．淮南小山．招隱士》：「坱兮軋，山曲岪。」 |</v>
      </c>
    </row>
    <row r="3306" spans="1:44" hidden="1">
      <c r="A3306" s="1" t="s">
        <v>4407</v>
      </c>
      <c r="C3306" s="1">
        <v>1</v>
      </c>
      <c r="D3306" s="1" t="str">
        <f>"01785"</f>
        <v>01785</v>
      </c>
      <c r="E3306" s="1" t="s">
        <v>234</v>
      </c>
      <c r="F3306" s="1">
        <v>8</v>
      </c>
      <c r="G3306" s="1">
        <v>5</v>
      </c>
      <c r="H3306" s="1">
        <v>0</v>
      </c>
      <c r="I3306" s="1" t="s">
        <v>4377</v>
      </c>
      <c r="K3306" s="1" t="str">
        <f t="shared" si="210"/>
        <v>ㄈ</v>
      </c>
      <c r="L3306" s="1" t="str">
        <f t="shared" si="211"/>
        <v>ㄨ</v>
      </c>
      <c r="N3306" s="3" t="s">
        <v>30575</v>
      </c>
      <c r="O3306" s="3"/>
      <c r="P3306" s="1" t="s">
        <v>20</v>
      </c>
      <c r="R3306" s="1" t="s">
        <v>4378</v>
      </c>
      <c r="V3306" s="1" t="s">
        <v>4241</v>
      </c>
      <c r="AR3306" s="1" t="str">
        <f t="shared" si="209"/>
        <v>| [ㄈㄨˊ](ㄈㄨˊ.md) | [彿](彿.md) |  | fú | 參見「彷彿」條。 |</v>
      </c>
    </row>
    <row r="3307" spans="1:44" hidden="1">
      <c r="A3307" s="1" t="s">
        <v>4408</v>
      </c>
      <c r="C3307" s="1">
        <v>1</v>
      </c>
      <c r="D3307" s="1" t="str">
        <f>"01786"</f>
        <v>01786</v>
      </c>
      <c r="E3307" s="1" t="s">
        <v>2228</v>
      </c>
      <c r="F3307" s="1">
        <v>9</v>
      </c>
      <c r="G3307" s="1">
        <v>5</v>
      </c>
      <c r="H3307" s="1">
        <v>0</v>
      </c>
      <c r="I3307" s="1" t="s">
        <v>4377</v>
      </c>
      <c r="K3307" s="1" t="str">
        <f t="shared" si="210"/>
        <v>ㄈ</v>
      </c>
      <c r="L3307" s="1" t="str">
        <f t="shared" si="211"/>
        <v>ㄨ</v>
      </c>
      <c r="N3307" s="3" t="s">
        <v>30575</v>
      </c>
      <c r="O3307" s="3"/>
      <c r="P3307" s="1" t="s">
        <v>20</v>
      </c>
      <c r="R3307" s="1" t="s">
        <v>4378</v>
      </c>
      <c r="V3307" s="1" t="s">
        <v>4409</v>
      </c>
      <c r="AR3307" s="1" t="str">
        <f t="shared" si="209"/>
        <v>| [ㄈㄨˊ](ㄈㄨˊ.md) | [氟](氟.md) |  | fú | [名]
（fluorine，F）化學元素。原子序9，鹵族元素之一。呈淡黃色，有特殊臭味。是電負度最大的元素，化學性質相當活潑。性劇毒，具腐蝕性，可燃。 |</v>
      </c>
    </row>
    <row r="3308" spans="1:44" hidden="1">
      <c r="A3308" s="1" t="s">
        <v>4410</v>
      </c>
      <c r="C3308" s="1">
        <v>1</v>
      </c>
      <c r="D3308" s="1" t="str">
        <f>"01787"</f>
        <v>01787</v>
      </c>
      <c r="E3308" s="1" t="s">
        <v>2433</v>
      </c>
      <c r="F3308" s="1">
        <v>11</v>
      </c>
      <c r="G3308" s="1">
        <v>5</v>
      </c>
      <c r="H3308" s="1">
        <v>0</v>
      </c>
      <c r="I3308" s="1" t="s">
        <v>4377</v>
      </c>
      <c r="K3308" s="1" t="str">
        <f t="shared" si="210"/>
        <v>ㄈ</v>
      </c>
      <c r="L3308" s="1" t="str">
        <f t="shared" si="211"/>
        <v>ㄨ</v>
      </c>
      <c r="N3308" s="3" t="s">
        <v>30575</v>
      </c>
      <c r="O3308" s="3"/>
      <c r="P3308" s="1" t="s">
        <v>20</v>
      </c>
      <c r="R3308" s="1" t="s">
        <v>4378</v>
      </c>
      <c r="V3308" s="1" t="s">
        <v>4411</v>
      </c>
      <c r="AR3308" s="1" t="str">
        <f t="shared" si="209"/>
        <v>| [ㄈㄨˊ](ㄈㄨˊ.md) | [艴](艴.md) |  | fú | 參見「艴然」條。 |</v>
      </c>
    </row>
    <row r="3309" spans="1:44" hidden="1">
      <c r="A3309" s="1" t="s">
        <v>4412</v>
      </c>
      <c r="C3309" s="1">
        <v>1</v>
      </c>
      <c r="D3309" s="1" t="str">
        <f>"01788"</f>
        <v>01788</v>
      </c>
      <c r="E3309" s="1" t="s">
        <v>725</v>
      </c>
      <c r="F3309" s="1">
        <v>11</v>
      </c>
      <c r="G3309" s="1">
        <v>5</v>
      </c>
      <c r="H3309" s="1">
        <v>0</v>
      </c>
      <c r="I3309" s="1" t="s">
        <v>4377</v>
      </c>
      <c r="K3309" s="1" t="str">
        <f t="shared" si="210"/>
        <v>ㄈ</v>
      </c>
      <c r="L3309" s="1" t="str">
        <f t="shared" si="211"/>
        <v>ㄨ</v>
      </c>
      <c r="N3309" s="3" t="s">
        <v>30575</v>
      </c>
      <c r="O3309" s="3"/>
      <c r="P3309" s="1" t="s">
        <v>20</v>
      </c>
      <c r="R3309" s="1" t="s">
        <v>4378</v>
      </c>
      <c r="V3309" s="1" t="s">
        <v>4413</v>
      </c>
      <c r="AR3309" s="1" t="str">
        <f t="shared" si="209"/>
        <v>| [ㄈㄨˊ](ㄈㄨˊ.md) | [紼](紼.md) |  | fú | [名]
1.亂麻。《說文解字．糸部》：「紼，亂枲也。」清．段玉裁．注：「亂枲者，亂麻也。可以裝衣，可以然火，可以緝之為索。」
2.大的繩索。《詩經．小雅．采菽》：「汎汎楊舟，紼纚維之。」漢．毛亨．傳：「紼，繂也。」唐．孔穎達．正義：「孫炎曰：『繂，大索也。』」
3.送葬時拉引靈柩入墓穴的繩索。《玉篇．糸部》：「紼，引棺索也。」《禮記．曲禮上》：「適墓不登壟，助喪必執紼。」 |</v>
      </c>
    </row>
    <row r="3310" spans="1:44" hidden="1">
      <c r="A3310" s="1" t="s">
        <v>4414</v>
      </c>
      <c r="C3310" s="1">
        <v>1</v>
      </c>
      <c r="D3310" s="1" t="str">
        <f>"01789"</f>
        <v>01789</v>
      </c>
      <c r="E3310" s="1" t="s">
        <v>1078</v>
      </c>
      <c r="F3310" s="1">
        <v>15</v>
      </c>
      <c r="G3310" s="1">
        <v>5</v>
      </c>
      <c r="H3310" s="1">
        <v>0</v>
      </c>
      <c r="I3310" s="1" t="s">
        <v>4377</v>
      </c>
      <c r="K3310" s="1" t="str">
        <f t="shared" si="210"/>
        <v>ㄈ</v>
      </c>
      <c r="L3310" s="1" t="str">
        <f t="shared" si="211"/>
        <v>ㄨ</v>
      </c>
      <c r="N3310" s="3" t="s">
        <v>30575</v>
      </c>
      <c r="O3310" s="3"/>
      <c r="P3310" s="1" t="s">
        <v>20</v>
      </c>
      <c r="R3310" s="1" t="s">
        <v>4378</v>
      </c>
      <c r="V3310" s="1" t="s">
        <v>4415</v>
      </c>
      <c r="AR3310" s="1" t="str">
        <f t="shared" si="209"/>
        <v>| [ㄈㄨˊ](ㄈㄨˊ.md) | [髴](髴.md) |  | fú | [名]
婦人的頭飾。《廣韻．入聲．物韻》：「髴，婦人首飾。」宋．歐陽修〈班班林間鳩寄內〉詩：「又云子亦病，蓬首不加髴。」
[副]
參見「髣髴」條。 |</v>
      </c>
    </row>
    <row r="3311" spans="1:44" hidden="1">
      <c r="A3311" s="1" t="s">
        <v>4416</v>
      </c>
      <c r="C3311" s="1">
        <v>1</v>
      </c>
      <c r="D3311" s="1" t="str">
        <f>"01790"</f>
        <v>01790</v>
      </c>
      <c r="E3311" s="1" t="s">
        <v>114</v>
      </c>
      <c r="F3311" s="1">
        <v>6</v>
      </c>
      <c r="G3311" s="1">
        <v>4</v>
      </c>
      <c r="H3311" s="1">
        <v>0</v>
      </c>
      <c r="I3311" s="1" t="s">
        <v>4377</v>
      </c>
      <c r="K3311" s="1" t="str">
        <f t="shared" si="210"/>
        <v>ㄈ</v>
      </c>
      <c r="L3311" s="1" t="str">
        <f t="shared" si="211"/>
        <v>ㄨ</v>
      </c>
      <c r="N3311" s="3" t="s">
        <v>30575</v>
      </c>
      <c r="O3311" s="3"/>
      <c r="P3311" s="1" t="s">
        <v>20</v>
      </c>
      <c r="R3311" s="1" t="s">
        <v>4378</v>
      </c>
      <c r="V3311" s="1" t="s">
        <v>4417</v>
      </c>
      <c r="AR3311" s="1" t="str">
        <f t="shared" si="209"/>
        <v>| [ㄈㄨˊ](ㄈㄨˊ.md) | [伏](伏.md) |  | fú | [動]
1.趴，身體向前傾靠在物體上。如：「倒伏」、「伏案」。《禮記．曲禮上》：「坐毋箕，寢毋伏。」
2.隱藏、隱匿。如：「蟄伏」、「危機四伏」、「晝伏夜出」。《老子》第五八章：「禍兮福之所倚，福兮禍之所伏。」
3.降服、使屈服。如：「降龍伏虎」、「制伏」。
4.低落下去。如：「伏地挺身」、「此起彼伏」。
5.承認、承受。如：「伏罪」、「伏法」。《文選．班彪．王命論》：「遇折足之凶，伏斧鉞之誅。」
6.佩服、信服。同「服」。唐．白居易〈琵琶行〉：「曲罷曾教善才伏，妝成每被秋娘妒。」
[形]
隱藏不露的。《文選．左思．蜀都賦》：「漏江伏流潰其阿。」
[名]
參見「伏日」條。
[副]
對尊長自謙的敬辭。《文選．枚乘．七發》：「伏聞太子玉體不安，亦少閒乎？」《漢書．卷四．文帝紀》：「臣伏計之，大王奉高祖宗廟最宜稱。」 |</v>
      </c>
    </row>
    <row r="3312" spans="1:44" hidden="1">
      <c r="A3312" s="1" t="s">
        <v>4418</v>
      </c>
      <c r="C3312" s="1">
        <v>1</v>
      </c>
      <c r="D3312" s="1" t="str">
        <f>"01791"</f>
        <v>01791</v>
      </c>
      <c r="E3312" s="1" t="s">
        <v>129</v>
      </c>
      <c r="F3312" s="1">
        <v>9</v>
      </c>
      <c r="G3312" s="1">
        <v>6</v>
      </c>
      <c r="H3312" s="1">
        <v>0</v>
      </c>
      <c r="I3312" s="1" t="s">
        <v>4377</v>
      </c>
      <c r="K3312" s="1" t="str">
        <f t="shared" si="210"/>
        <v>ㄈ</v>
      </c>
      <c r="L3312" s="1" t="str">
        <f t="shared" si="211"/>
        <v>ㄨ</v>
      </c>
      <c r="N3312" s="3" t="s">
        <v>30575</v>
      </c>
      <c r="O3312" s="3"/>
      <c r="P3312" s="1" t="s">
        <v>20</v>
      </c>
      <c r="R3312" s="1" t="s">
        <v>4378</v>
      </c>
      <c r="V3312" s="1" t="s">
        <v>4419</v>
      </c>
      <c r="AR3312" s="1" t="str">
        <f t="shared" si="209"/>
        <v>| [ㄈㄨˊ](ㄈㄨˊ.md) | [洑](洑.md) |  | fú | [名]
迴流、漩渦。北魏．酈道元《水經注．沔水注》：「夏水急盛，川多湍洑。」
[形]
潛流在地下的。如：「洑流」。唐．李頎〈與諸公遊濟瀆泛舟〉詩：「洑泉數眼沸，平地流清通。」
[動]
游泳、泅水。如：「洑上水」。 |</v>
      </c>
    </row>
    <row r="3313" spans="1:44" hidden="1">
      <c r="A3313" s="1" t="s">
        <v>4420</v>
      </c>
      <c r="C3313" s="1">
        <v>1</v>
      </c>
      <c r="D3313" s="1" t="str">
        <f>"01792"</f>
        <v>01792</v>
      </c>
      <c r="E3313" s="1" t="s">
        <v>37</v>
      </c>
      <c r="F3313" s="1">
        <v>10</v>
      </c>
      <c r="G3313" s="1">
        <v>6</v>
      </c>
      <c r="H3313" s="1">
        <v>0</v>
      </c>
      <c r="I3313" s="1" t="s">
        <v>4377</v>
      </c>
      <c r="K3313" s="1" t="str">
        <f t="shared" si="210"/>
        <v>ㄈ</v>
      </c>
      <c r="L3313" s="1" t="str">
        <f t="shared" si="211"/>
        <v>ㄨ</v>
      </c>
      <c r="N3313" s="3" t="s">
        <v>30575</v>
      </c>
      <c r="O3313" s="3"/>
      <c r="P3313" s="1" t="s">
        <v>20</v>
      </c>
      <c r="R3313" s="1" t="s">
        <v>4378</v>
      </c>
      <c r="V3313" s="1" t="s">
        <v>4421</v>
      </c>
      <c r="AR3313" s="1" t="str">
        <f t="shared" si="209"/>
        <v>| [ㄈㄨˊ](ㄈㄨˊ.md) | [茯](茯.md) |  | fú | 參見「茯苓」條。 |</v>
      </c>
    </row>
    <row r="3314" spans="1:44" hidden="1">
      <c r="A3314" s="1" t="s">
        <v>4422</v>
      </c>
      <c r="C3314" s="1">
        <v>1</v>
      </c>
      <c r="D3314" s="1" t="str">
        <f>"01793"</f>
        <v>01793</v>
      </c>
      <c r="E3314" s="1" t="s">
        <v>340</v>
      </c>
      <c r="F3314" s="1">
        <v>12</v>
      </c>
      <c r="G3314" s="1">
        <v>6</v>
      </c>
      <c r="H3314" s="1">
        <v>0</v>
      </c>
      <c r="I3314" s="1" t="s">
        <v>4377</v>
      </c>
      <c r="K3314" s="1" t="str">
        <f t="shared" si="210"/>
        <v>ㄈ</v>
      </c>
      <c r="L3314" s="1" t="str">
        <f t="shared" si="211"/>
        <v>ㄨ</v>
      </c>
      <c r="N3314" s="3" t="s">
        <v>30575</v>
      </c>
      <c r="O3314" s="3"/>
      <c r="P3314" s="1" t="s">
        <v>20</v>
      </c>
      <c r="R3314" s="1" t="s">
        <v>4378</v>
      </c>
      <c r="V3314" s="1" t="s">
        <v>4423</v>
      </c>
      <c r="AR3314" s="1" t="str">
        <f t="shared" si="209"/>
        <v>| [ㄈㄨˊ](ㄈㄨˊ.md) | [袱](袱.md) |  | fú | [名]
用來包裹、覆蓋衣物的方形布塊。《紅樓夢》第三四回：「走至鏡臺，揭起錦袱一照，只見腮上通紅。」也稱為「包袱」。 |</v>
      </c>
    </row>
    <row r="3315" spans="1:44" hidden="1">
      <c r="A3315" s="1" t="s">
        <v>4354</v>
      </c>
      <c r="C3315" s="1">
        <v>1</v>
      </c>
      <c r="D3315" s="1" t="str">
        <f>"01794"</f>
        <v>01794</v>
      </c>
      <c r="E3315" s="1" t="s">
        <v>241</v>
      </c>
      <c r="F3315" s="1">
        <v>7</v>
      </c>
      <c r="G3315" s="1">
        <v>4</v>
      </c>
      <c r="H3315" s="1">
        <v>1</v>
      </c>
      <c r="I3315" s="1" t="s">
        <v>4377</v>
      </c>
      <c r="K3315" s="1" t="str">
        <f t="shared" si="210"/>
        <v>ㄈ</v>
      </c>
      <c r="L3315" s="1" t="str">
        <f t="shared" si="211"/>
        <v>ㄨ</v>
      </c>
      <c r="N3315" s="3" t="s">
        <v>30575</v>
      </c>
      <c r="O3315" s="3"/>
      <c r="P3315" s="1" t="s">
        <v>20</v>
      </c>
      <c r="R3315" s="1" t="s">
        <v>4378</v>
      </c>
      <c r="V3315" s="1" t="s">
        <v>4424</v>
      </c>
      <c r="W3315" s="1" t="s">
        <v>4425</v>
      </c>
      <c r="AR3315" s="1" t="str">
        <f t="shared" si="209"/>
        <v>| [ㄈㄨˊ](ㄈㄨˊ.md) | [孚](孚.md) |  | fú | [名]
誠信。《詩經．大雅．下武》：「成王之孚，下土之式。」
[動]
使人信服。《左傳．莊公十年》：「小信未孚，神弗福也。」 |</v>
      </c>
    </row>
    <row r="3316" spans="1:44" hidden="1">
      <c r="A3316" s="1" t="s">
        <v>4426</v>
      </c>
      <c r="C3316" s="1">
        <v>1</v>
      </c>
      <c r="D3316" s="1" t="str">
        <f>"01795"</f>
        <v>01795</v>
      </c>
      <c r="E3316" s="1" t="s">
        <v>114</v>
      </c>
      <c r="F3316" s="1">
        <v>9</v>
      </c>
      <c r="G3316" s="1">
        <v>7</v>
      </c>
      <c r="H3316" s="1">
        <v>0</v>
      </c>
      <c r="I3316" s="1" t="s">
        <v>4377</v>
      </c>
      <c r="K3316" s="1" t="str">
        <f t="shared" si="210"/>
        <v>ㄈ</v>
      </c>
      <c r="L3316" s="1" t="str">
        <f t="shared" si="211"/>
        <v>ㄨ</v>
      </c>
      <c r="N3316" s="3" t="s">
        <v>30575</v>
      </c>
      <c r="O3316" s="3"/>
      <c r="P3316" s="1" t="s">
        <v>20</v>
      </c>
      <c r="R3316" s="1" t="s">
        <v>4378</v>
      </c>
      <c r="V3316" s="1" t="s">
        <v>4427</v>
      </c>
      <c r="AR3316" s="1" t="str">
        <f t="shared" si="209"/>
        <v>| [ㄈㄨˊ](ㄈㄨˊ.md) | [俘](俘.md) |  | fú | [名]
作戰時所擒獲的敵人。如：「俘虜」。《左傳．僖公二十八年》：「丁未，獻楚俘于王，駟介百乘，徒兵千。鄭伯傅王，用平禮也。」《孔子家語．卷一．相魯》：「裔夷之俘，敢以兵亂之。」
[動]
擄獲。《左傳．成公十三年》：「俘我王官，翦我羈馬。」《明史．卷一．太祖本紀一》：「元將徹里不花憚不敢攻，而日俘良民以邀賞。」 |</v>
      </c>
    </row>
    <row r="3317" spans="1:44" hidden="1">
      <c r="A3317" s="1" t="s">
        <v>3968</v>
      </c>
      <c r="C3317" s="1">
        <v>1</v>
      </c>
      <c r="D3317" s="1" t="str">
        <f>"01796"</f>
        <v>01796</v>
      </c>
      <c r="E3317" s="1" t="s">
        <v>129</v>
      </c>
      <c r="F3317" s="1">
        <v>10</v>
      </c>
      <c r="G3317" s="1">
        <v>7</v>
      </c>
      <c r="H3317" s="1">
        <v>1</v>
      </c>
      <c r="I3317" s="1" t="s">
        <v>4377</v>
      </c>
      <c r="K3317" s="1" t="str">
        <f t="shared" si="210"/>
        <v>ㄈ</v>
      </c>
      <c r="L3317" s="1" t="str">
        <f t="shared" si="211"/>
        <v>ㄨ</v>
      </c>
      <c r="N3317" s="3" t="s">
        <v>30575</v>
      </c>
      <c r="O3317" s="3"/>
      <c r="P3317" s="1" t="s">
        <v>20</v>
      </c>
      <c r="R3317" s="1" t="s">
        <v>4378</v>
      </c>
      <c r="V3317" s="1" t="s">
        <v>4428</v>
      </c>
      <c r="W3317" s="1" t="s">
        <v>4429</v>
      </c>
      <c r="AR3317" s="1" t="str">
        <f t="shared" si="209"/>
        <v>| [ㄈㄨˊ](ㄈㄨˊ.md) | [浮](浮.md) |  | fú | [動]
1.漂在水上或飄在空中。如：「漂浮」、「懸浮」。《詩經．小雅．菁菁》：「汎汎楊舟，載沉載浮。」唐．陳羽〈喜雪上竇相公〉詩：「千門萬戶雪花浮，點點無聲落瓦溝。」
2.顯現。如：「浮現」、「臉上浮著微笑。」
3.超過。如：「人浮於事」。《禮記．坊記》：「故君子與其使食浮於人也，寧使人浮於食。」
[形]
1.在水上或空中的。如：「富貴於我如浮雲」。《文選．左思．吳都賦》：「陵鯉若獸，浮石若桴。」
2.表面的。如：「浮土」、「浮面」。
3.虛而不實的。如：「浮名」、「浮文」。
4.輕佻、不沉著。如：「輕浮」、「心浮氣躁」。 |</v>
      </c>
    </row>
    <row r="3318" spans="1:44" hidden="1">
      <c r="A3318" s="1" t="s">
        <v>4430</v>
      </c>
      <c r="C3318" s="1">
        <v>1</v>
      </c>
      <c r="D3318" s="1" t="str">
        <f>"01797"</f>
        <v>01797</v>
      </c>
      <c r="E3318" s="1" t="s">
        <v>132</v>
      </c>
      <c r="F3318" s="1">
        <v>10</v>
      </c>
      <c r="G3318" s="1">
        <v>7</v>
      </c>
      <c r="H3318" s="1">
        <v>0</v>
      </c>
      <c r="I3318" s="1" t="s">
        <v>4377</v>
      </c>
      <c r="K3318" s="1" t="str">
        <f t="shared" si="210"/>
        <v>ㄈ</v>
      </c>
      <c r="L3318" s="1" t="str">
        <f t="shared" si="211"/>
        <v>ㄨ</v>
      </c>
      <c r="N3318" s="3" t="s">
        <v>30575</v>
      </c>
      <c r="O3318" s="3"/>
      <c r="P3318" s="1" t="s">
        <v>20</v>
      </c>
      <c r="R3318" s="1" t="s">
        <v>4378</v>
      </c>
      <c r="V3318" s="1" t="s">
        <v>4431</v>
      </c>
      <c r="AR3318" s="1" t="str">
        <f t="shared" si="209"/>
        <v>| [ㄈㄨˊ](ㄈㄨˊ.md) | [垺](垺.md) |  | fú | [名]
外城。同「郛」。《玉篇．土部》：「垺，郭也。正作郛。」
[形]
盛大。《莊子．秋水》：「夫精，小之微也；垺，大之殷也。」唐．陸德明《經典釋文．卷二七．莊子音義中》：「徐（邈）音孚，謂盛也。」 |</v>
      </c>
    </row>
    <row r="3319" spans="1:44" hidden="1">
      <c r="A3319" s="1" t="s">
        <v>4432</v>
      </c>
      <c r="C3319" s="1">
        <v>1</v>
      </c>
      <c r="D3319" s="1" t="str">
        <f>"01798"</f>
        <v>01798</v>
      </c>
      <c r="E3319" s="1" t="s">
        <v>256</v>
      </c>
      <c r="F3319" s="1">
        <v>10</v>
      </c>
      <c r="G3319" s="1">
        <v>7</v>
      </c>
      <c r="H3319" s="1">
        <v>0</v>
      </c>
      <c r="I3319" s="1" t="s">
        <v>4377</v>
      </c>
      <c r="K3319" s="1" t="str">
        <f t="shared" si="210"/>
        <v>ㄈ</v>
      </c>
      <c r="L3319" s="1" t="str">
        <f t="shared" si="211"/>
        <v>ㄨ</v>
      </c>
      <c r="N3319" s="3" t="s">
        <v>30575</v>
      </c>
      <c r="O3319" s="3"/>
      <c r="P3319" s="1" t="s">
        <v>20</v>
      </c>
      <c r="R3319" s="1" t="s">
        <v>4378</v>
      </c>
      <c r="V3319" s="1" t="s">
        <v>4433</v>
      </c>
      <c r="AR3319" s="1" t="str">
        <f t="shared" si="209"/>
        <v>| [ㄈㄨˊ](ㄈㄨˊ.md) | [郛](郛.md) |  | fú | [名]
外城。《左傳．隱公五年》：「伐宋，入其郛，以報東門之役。」 |</v>
      </c>
    </row>
    <row r="3320" spans="1:44" hidden="1">
      <c r="A3320" s="1" t="s">
        <v>4434</v>
      </c>
      <c r="C3320" s="1">
        <v>1</v>
      </c>
      <c r="D3320" s="1" t="str">
        <f>"01799"</f>
        <v>01799</v>
      </c>
      <c r="E3320" s="1" t="s">
        <v>139</v>
      </c>
      <c r="F3320" s="1">
        <v>11</v>
      </c>
      <c r="G3320" s="1">
        <v>7</v>
      </c>
      <c r="H3320" s="1">
        <v>0</v>
      </c>
      <c r="I3320" s="1" t="s">
        <v>4377</v>
      </c>
      <c r="K3320" s="1" t="str">
        <f t="shared" si="210"/>
        <v>ㄈ</v>
      </c>
      <c r="L3320" s="1" t="str">
        <f t="shared" si="211"/>
        <v>ㄨ</v>
      </c>
      <c r="N3320" s="3" t="s">
        <v>30575</v>
      </c>
      <c r="O3320" s="3"/>
      <c r="P3320" s="1" t="s">
        <v>20</v>
      </c>
      <c r="R3320" s="1" t="s">
        <v>4378</v>
      </c>
      <c r="V3320" s="1" t="s">
        <v>4435</v>
      </c>
      <c r="AR3320" s="1" t="str">
        <f t="shared" si="209"/>
        <v>| [ㄈㄨˊ](ㄈㄨˊ.md) | [桴](桴.md) |  | fú | [名]
1.房屋前後簷的橫梁，俗稱為「二梁」。《文選．班固．西都賦》：「列棼橑以布翼，荷棟桴而高驤。」
2.鼓槌。同「枹」。《韓非子．功名》：「至治之國，君若桴，臣若鼓。」《禮記．禮運》：「汙尊而抔飲，蕢桴而土鼓，猶若可以致其敬於鬼神。」
3.用木、竹編排成的木筏或竹筏。《論語．公冶長》：「子曰：『道不行，乘桴浮於海，從我者其由與！』」 |</v>
      </c>
    </row>
    <row r="3321" spans="1:44" hidden="1">
      <c r="A3321" s="1" t="s">
        <v>2289</v>
      </c>
      <c r="C3321" s="1">
        <v>1</v>
      </c>
      <c r="D3321" s="1" t="str">
        <f>"01800"</f>
        <v>01800</v>
      </c>
      <c r="E3321" s="1" t="s">
        <v>37</v>
      </c>
      <c r="F3321" s="1">
        <v>11</v>
      </c>
      <c r="G3321" s="1">
        <v>7</v>
      </c>
      <c r="H3321" s="1">
        <v>1</v>
      </c>
      <c r="I3321" s="1" t="s">
        <v>4377</v>
      </c>
      <c r="K3321" s="1" t="str">
        <f t="shared" si="210"/>
        <v>ㄈ</v>
      </c>
      <c r="L3321" s="1" t="str">
        <f t="shared" si="211"/>
        <v>ㄨ</v>
      </c>
      <c r="N3321" s="3" t="s">
        <v>30575</v>
      </c>
      <c r="O3321" s="3"/>
      <c r="P3321" s="1" t="s">
        <v>20</v>
      </c>
      <c r="R3321" s="1" t="s">
        <v>4378</v>
      </c>
      <c r="V3321" s="1" t="s">
        <v>4436</v>
      </c>
      <c r="W3321" s="1" t="s">
        <v>4437</v>
      </c>
      <c r="AR3321" s="1" t="str">
        <f t="shared" si="209"/>
        <v>| [ㄈㄨˊ](ㄈㄨˊ.md) | [莩](莩.md) |  | fú | [名]
1.指禾本科蘆葦屬，蘆葦稈內壁上之薄膜。
2.蘆莖裡的薄膜。《漢書．卷五三．景十三王傳．中山靖王劉勝傳》：「今群臣非有葭莩之親，鴻毛之重。」唐．顏師古．注：「晉灼曰：『莩，葭裡之白皮也，皆取喻於輕薄也。』」 |</v>
      </c>
    </row>
    <row r="3322" spans="1:44" hidden="1">
      <c r="A3322" s="1" t="s">
        <v>4438</v>
      </c>
      <c r="C3322" s="1">
        <v>1</v>
      </c>
      <c r="D3322" s="1" t="str">
        <f>"01801"</f>
        <v>01801</v>
      </c>
      <c r="E3322" s="1" t="s">
        <v>118</v>
      </c>
      <c r="F3322" s="1">
        <v>12</v>
      </c>
      <c r="G3322" s="1">
        <v>7</v>
      </c>
      <c r="H3322" s="1">
        <v>0</v>
      </c>
      <c r="I3322" s="1" t="s">
        <v>4377</v>
      </c>
      <c r="K3322" s="1" t="str">
        <f t="shared" si="210"/>
        <v>ㄈ</v>
      </c>
      <c r="L3322" s="1" t="str">
        <f t="shared" si="211"/>
        <v>ㄨ</v>
      </c>
      <c r="N3322" s="3" t="s">
        <v>30575</v>
      </c>
      <c r="O3322" s="3"/>
      <c r="P3322" s="1" t="s">
        <v>20</v>
      </c>
      <c r="R3322" s="1" t="s">
        <v>4378</v>
      </c>
      <c r="V3322" s="1" t="s">
        <v>4439</v>
      </c>
      <c r="AR3322" s="1" t="str">
        <f t="shared" si="209"/>
        <v>| [ㄈㄨˊ](ㄈㄨˊ.md) | [罦](罦.md) |  | fú | [名]
捕鳥獸的網。《詩經．王風．兔爰》：「有兔爰爰，雉離于罦。」《後漢書．卷六〇上．馬融傳》：「罦罝羅羉，彌綸阬澤。」 |</v>
      </c>
    </row>
    <row r="3323" spans="1:44" hidden="1">
      <c r="A3323" s="1" t="s">
        <v>4440</v>
      </c>
      <c r="C3323" s="1">
        <v>1</v>
      </c>
      <c r="D3323" s="1" t="str">
        <f>"01802"</f>
        <v>01802</v>
      </c>
      <c r="E3323" s="1" t="s">
        <v>679</v>
      </c>
      <c r="F3323" s="1">
        <v>13</v>
      </c>
      <c r="G3323" s="1">
        <v>7</v>
      </c>
      <c r="H3323" s="1">
        <v>0</v>
      </c>
      <c r="I3323" s="1" t="s">
        <v>4377</v>
      </c>
      <c r="K3323" s="1" t="str">
        <f t="shared" si="210"/>
        <v>ㄈ</v>
      </c>
      <c r="L3323" s="1" t="str">
        <f t="shared" si="211"/>
        <v>ㄨ</v>
      </c>
      <c r="N3323" s="3" t="s">
        <v>30575</v>
      </c>
      <c r="O3323" s="3"/>
      <c r="P3323" s="1" t="s">
        <v>20</v>
      </c>
      <c r="R3323" s="1" t="s">
        <v>4378</v>
      </c>
      <c r="V3323" s="1" t="s">
        <v>4441</v>
      </c>
      <c r="AR3323" s="1" t="str">
        <f t="shared" si="209"/>
        <v>| [ㄈㄨˊ](ㄈㄨˊ.md) | [蜉](蜉.md) |  | fú | 參見「蜉蝣」條。 |</v>
      </c>
    </row>
    <row r="3324" spans="1:44" hidden="1">
      <c r="A3324" s="1" t="s">
        <v>4442</v>
      </c>
      <c r="C3324" s="1">
        <v>1</v>
      </c>
      <c r="D3324" s="1" t="str">
        <f>"01803"</f>
        <v>01803</v>
      </c>
      <c r="E3324" s="1" t="s">
        <v>129</v>
      </c>
      <c r="F3324" s="1">
        <v>8</v>
      </c>
      <c r="G3324" s="1">
        <v>5</v>
      </c>
      <c r="H3324" s="1">
        <v>0</v>
      </c>
      <c r="I3324" s="1" t="s">
        <v>4377</v>
      </c>
      <c r="K3324" s="1" t="str">
        <f t="shared" si="210"/>
        <v>ㄈ</v>
      </c>
      <c r="L3324" s="1" t="str">
        <f t="shared" si="211"/>
        <v>ㄨ</v>
      </c>
      <c r="N3324" s="3" t="s">
        <v>30575</v>
      </c>
      <c r="O3324" s="3"/>
      <c r="P3324" s="1" t="s">
        <v>20</v>
      </c>
      <c r="R3324" s="1" t="s">
        <v>4378</v>
      </c>
      <c r="V3324" s="1" t="s">
        <v>4443</v>
      </c>
      <c r="AR3324" s="1" t="str">
        <f t="shared" si="209"/>
        <v>| [ㄈㄨˊ](ㄈㄨˊ.md) | [沷](沷.md) |  | fú | [形]
寒冷。《玉篇．水部》：「沷，寒也。」
[動]
疏通水流。明．張自烈《正字通．水部》：「沷，渫也，通流也。」 |</v>
      </c>
    </row>
    <row r="3325" spans="1:44" hidden="1">
      <c r="A3325" s="1" t="s">
        <v>4444</v>
      </c>
      <c r="C3325" s="1">
        <v>1</v>
      </c>
      <c r="D3325" s="1" t="str">
        <f>"01804"</f>
        <v>01804</v>
      </c>
      <c r="E3325" s="1" t="s">
        <v>222</v>
      </c>
      <c r="F3325" s="1">
        <v>8</v>
      </c>
      <c r="G3325" s="1">
        <v>5</v>
      </c>
      <c r="H3325" s="1">
        <v>0</v>
      </c>
      <c r="I3325" s="1" t="s">
        <v>4377</v>
      </c>
      <c r="K3325" s="1" t="str">
        <f t="shared" si="210"/>
        <v>ㄈ</v>
      </c>
      <c r="L3325" s="1" t="str">
        <f t="shared" si="211"/>
        <v>ㄨ</v>
      </c>
      <c r="N3325" s="3" t="s">
        <v>30575</v>
      </c>
      <c r="O3325" s="3"/>
      <c r="P3325" s="1" t="s">
        <v>20</v>
      </c>
      <c r="R3325" s="1" t="s">
        <v>4378</v>
      </c>
      <c r="V3325" s="1" t="s">
        <v>4445</v>
      </c>
      <c r="AR3325" s="1" t="str">
        <f t="shared" si="209"/>
        <v>| [ㄈㄨˊ](ㄈㄨˊ.md) | [帗](帗.md) |  | fú | [名]
古代用五采繒帛製成的舞具。《隋書．卷一五．音樂志下》：「文舞六十四人……十六人執帗，十六人執旄。」《清史稿．卷九六．樂志三》：「盈庭萬舞兮，帗低昂。」 |</v>
      </c>
    </row>
    <row r="3326" spans="1:44" hidden="1">
      <c r="A3326" s="1" t="s">
        <v>4446</v>
      </c>
      <c r="C3326" s="1">
        <v>1</v>
      </c>
      <c r="D3326" s="1" t="str">
        <f>"01805"</f>
        <v>01805</v>
      </c>
      <c r="E3326" s="1" t="s">
        <v>825</v>
      </c>
      <c r="F3326" s="1">
        <v>10</v>
      </c>
      <c r="G3326" s="1">
        <v>5</v>
      </c>
      <c r="H3326" s="1">
        <v>0</v>
      </c>
      <c r="I3326" s="1" t="s">
        <v>4377</v>
      </c>
      <c r="K3326" s="1" t="str">
        <f t="shared" si="210"/>
        <v>ㄈ</v>
      </c>
      <c r="L3326" s="1" t="str">
        <f t="shared" si="211"/>
        <v>ㄨ</v>
      </c>
      <c r="N3326" s="3" t="s">
        <v>30575</v>
      </c>
      <c r="O3326" s="3"/>
      <c r="P3326" s="1" t="s">
        <v>20</v>
      </c>
      <c r="R3326" s="1" t="s">
        <v>4378</v>
      </c>
      <c r="V3326" s="1" t="s">
        <v>4447</v>
      </c>
      <c r="AR3326" s="1" t="str">
        <f t="shared" si="209"/>
        <v>| [ㄈㄨˊ](ㄈㄨˊ.md) | [祓](祓.md) |  | fú | [名]
1.除災求福的祭祀。《說文解字．示部》：「祓，除惡祭也。」
2.福。《爾雅．釋詁下》：「祿、祉、履、戩、祓、禧、禠、祜，福也。」
[動]
1.掃除、消除。《國語．周語上》：「先王知大事之必以眾濟也，是故祓除其心，以和惠民。」宋．姜夔〈翠樓吟．月冷龍沙〉詞：「天涯情味，仗酒祓清愁，花銷英氣。」
2.洗滌。《管子．小匡》：「至於堂阜之上，鮑叔祓而浴之三。」 |</v>
      </c>
    </row>
    <row r="3327" spans="1:44" hidden="1">
      <c r="A3327" s="1" t="s">
        <v>4448</v>
      </c>
      <c r="C3327" s="1">
        <v>1</v>
      </c>
      <c r="D3327" s="1" t="str">
        <f>"01806"</f>
        <v>01806</v>
      </c>
      <c r="E3327" s="1" t="s">
        <v>725</v>
      </c>
      <c r="F3327" s="1">
        <v>11</v>
      </c>
      <c r="G3327" s="1">
        <v>5</v>
      </c>
      <c r="H3327" s="1">
        <v>0</v>
      </c>
      <c r="I3327" s="1" t="s">
        <v>4377</v>
      </c>
      <c r="K3327" s="1" t="str">
        <f t="shared" si="210"/>
        <v>ㄈ</v>
      </c>
      <c r="L3327" s="1" t="str">
        <f t="shared" si="211"/>
        <v>ㄨ</v>
      </c>
      <c r="N3327" s="3" t="s">
        <v>30575</v>
      </c>
      <c r="O3327" s="3"/>
      <c r="P3327" s="1" t="s">
        <v>20</v>
      </c>
      <c r="R3327" s="1" t="s">
        <v>4378</v>
      </c>
      <c r="V3327" s="1" t="s">
        <v>4449</v>
      </c>
      <c r="AR3327" s="1" t="str">
        <f t="shared" si="209"/>
        <v>| [ㄈㄨˊ](ㄈㄨˊ.md) | [紱](紱.md) |  | fú | [名]
1.繫印環用的絲繩。《集韻．入聲．勿韻》：「紱，綬也。」《漢書．卷九四．匈奴傳下》：「將率既至，授單于印紱。」
2.古代衣裳前的蔽膝。通「韍」。《易經．困卦．九二》：「困于酒食，朱紱方來，利用享。」唐．孔穎達．正義：「紱，祭服也。」《聊齋志異．卷一一．王者》：「見有王者，珠冠繡紱，南面坐。」 |</v>
      </c>
    </row>
    <row r="3328" spans="1:44" hidden="1">
      <c r="A3328" s="1" t="s">
        <v>4450</v>
      </c>
      <c r="C3328" s="1">
        <v>1</v>
      </c>
      <c r="D3328" s="1" t="str">
        <f>"01807"</f>
        <v>01807</v>
      </c>
      <c r="E3328" s="1" t="s">
        <v>1058</v>
      </c>
      <c r="F3328" s="1">
        <v>14</v>
      </c>
      <c r="G3328" s="1">
        <v>5</v>
      </c>
      <c r="H3328" s="1">
        <v>0</v>
      </c>
      <c r="I3328" s="1" t="s">
        <v>4377</v>
      </c>
      <c r="K3328" s="1" t="str">
        <f t="shared" si="210"/>
        <v>ㄈ</v>
      </c>
      <c r="L3328" s="1" t="str">
        <f t="shared" si="211"/>
        <v>ㄨ</v>
      </c>
      <c r="N3328" s="3" t="s">
        <v>30575</v>
      </c>
      <c r="O3328" s="3"/>
      <c r="P3328" s="1" t="s">
        <v>20</v>
      </c>
      <c r="R3328" s="1" t="s">
        <v>4378</v>
      </c>
      <c r="V3328" s="1" t="s">
        <v>4451</v>
      </c>
      <c r="AR3328" s="1" t="str">
        <f t="shared" si="209"/>
        <v>| [ㄈㄨˊ](ㄈㄨˊ.md) | [韍](韍.md) |  | fú | [名]
古代衣裳前的蔽膝，用熟皮製成。形制、圖案、顏色按身分、等級不同而有區別。《禮記．玉藻》：「一命縕韍幽衡，再命赤韍幽衡。」《漢書．卷九九．王莽傳上》：「於是莽稽首再拜，受綠韍袞冕衣裳。」 |</v>
      </c>
    </row>
    <row r="3329" spans="1:44" hidden="1">
      <c r="A3329" s="1" t="s">
        <v>4452</v>
      </c>
      <c r="C3329" s="1">
        <v>1</v>
      </c>
      <c r="D3329" s="1" t="str">
        <f>"01808"</f>
        <v>01808</v>
      </c>
      <c r="E3329" s="1" t="s">
        <v>4453</v>
      </c>
      <c r="F3329" s="1">
        <v>17</v>
      </c>
      <c r="G3329" s="1">
        <v>5</v>
      </c>
      <c r="H3329" s="1">
        <v>0</v>
      </c>
      <c r="I3329" s="1" t="s">
        <v>4377</v>
      </c>
      <c r="K3329" s="1" t="str">
        <f t="shared" si="210"/>
        <v>ㄈ</v>
      </c>
      <c r="L3329" s="1" t="str">
        <f t="shared" si="211"/>
        <v>ㄨ</v>
      </c>
      <c r="N3329" s="3" t="s">
        <v>30575</v>
      </c>
      <c r="O3329" s="3"/>
      <c r="P3329" s="1" t="s">
        <v>20</v>
      </c>
      <c r="R3329" s="1" t="s">
        <v>4378</v>
      </c>
      <c r="V3329" s="1" t="s">
        <v>4454</v>
      </c>
      <c r="AR3329" s="1" t="str">
        <f t="shared" si="209"/>
        <v>| [ㄈㄨˊ](ㄈㄨˊ.md) | [黻](黻.md) |  | fú | [名]
1.古代禮服上所刺繡的花紋，青黑相間，如兩己相背之形；一說兩弓相背之形。《書經．益稷》：「藻火粉米，黼黻絺繡。」漢．孔安國．傳：「黻為兩己相背。黻音弗，黑與青謂之黻。」
2.古代一種繫於腰間，遮於官服或禮服前的蔽膝。通「韍」。《論語．泰伯》：「惡衣服，而致美乎黻冕。」宋．邢昺．疏：「黻，蔽膝也。」《新唐書．卷二四．車服志》：「黻以繒為之，隨裳色。」
3.繫印的絲帶。通「紱」。唐．陳子昂〈唐水衡監亟李府君墓誌銘〉：「黃黻不貴，拱璧為輕。」 |</v>
      </c>
    </row>
    <row r="3330" spans="1:44" hidden="1">
      <c r="A3330" s="1" t="s">
        <v>4455</v>
      </c>
      <c r="C3330" s="1">
        <v>1</v>
      </c>
      <c r="D3330" s="1" t="str">
        <f>"01809"</f>
        <v>01809</v>
      </c>
      <c r="E3330" s="1" t="s">
        <v>129</v>
      </c>
      <c r="F3330" s="1">
        <v>8</v>
      </c>
      <c r="G3330" s="1">
        <v>5</v>
      </c>
      <c r="H3330" s="1">
        <v>0</v>
      </c>
      <c r="I3330" s="1" t="s">
        <v>4377</v>
      </c>
      <c r="K3330" s="1" t="str">
        <f t="shared" si="210"/>
        <v>ㄈ</v>
      </c>
      <c r="L3330" s="1" t="str">
        <f t="shared" si="211"/>
        <v>ㄨ</v>
      </c>
      <c r="N3330" s="3" t="s">
        <v>30575</v>
      </c>
      <c r="O3330" s="3"/>
      <c r="P3330" s="1" t="s">
        <v>20</v>
      </c>
      <c r="R3330" s="1" t="s">
        <v>4378</v>
      </c>
      <c r="V3330" s="1" t="s">
        <v>4456</v>
      </c>
      <c r="AR3330" s="1" t="str">
        <f t="shared" si="209"/>
        <v>| [ㄈㄨˊ](ㄈㄨˊ.md) | [泭](泭.md) |  | fú | [名]
木筏或竹筏。《爾雅．釋水》：「士特舟，庶人乘泭。」《楚辭．屈原．九章．惜往日》：「乘氾泭以下流兮，無舟楫而自備。」 |</v>
      </c>
    </row>
    <row r="3331" spans="1:44" hidden="1">
      <c r="A3331" s="1" t="s">
        <v>4457</v>
      </c>
      <c r="C3331" s="1">
        <v>1</v>
      </c>
      <c r="D3331" s="1" t="str">
        <f>"01810"</f>
        <v>01810</v>
      </c>
      <c r="E3331" s="1" t="s">
        <v>37</v>
      </c>
      <c r="F3331" s="1">
        <v>9</v>
      </c>
      <c r="G3331" s="1">
        <v>5</v>
      </c>
      <c r="H3331" s="1">
        <v>0</v>
      </c>
      <c r="I3331" s="1" t="s">
        <v>4377</v>
      </c>
      <c r="K3331" s="1" t="str">
        <f t="shared" si="210"/>
        <v>ㄈ</v>
      </c>
      <c r="L3331" s="1" t="str">
        <f t="shared" si="211"/>
        <v>ㄨ</v>
      </c>
      <c r="N3331" s="3" t="s">
        <v>30575</v>
      </c>
      <c r="O3331" s="3"/>
      <c r="P3331" s="1" t="s">
        <v>20</v>
      </c>
      <c r="R3331" s="1" t="s">
        <v>4378</v>
      </c>
      <c r="V3331" s="1" t="s">
        <v>4458</v>
      </c>
      <c r="AR3331" s="1" t="str">
        <f t="shared" ref="AR3331:AR3394" si="212">"| ["&amp;I3331&amp;"]("&amp;I3331&amp;".md) | ["&amp;A3331&amp;"]("&amp;A3331&amp;".md) | "&amp;" | "&amp;R3331&amp;" | "&amp;V3331&amp;" |"</f>
        <v>| [ㄈㄨˊ](ㄈㄨˊ.md) | [苻](苻.md) |  | fú | [名]
1.植物名。茄科茄屬，「白英」之古稱，參見「白英」條。
2.姓。如十六國時前秦有苻堅。 |</v>
      </c>
    </row>
    <row r="3332" spans="1:44" hidden="1">
      <c r="A3332" s="1" t="s">
        <v>4459</v>
      </c>
      <c r="C3332" s="1">
        <v>1</v>
      </c>
      <c r="D3332" s="1" t="str">
        <f>"01811"</f>
        <v>01811</v>
      </c>
      <c r="E3332" s="1" t="s">
        <v>49</v>
      </c>
      <c r="F3332" s="1">
        <v>11</v>
      </c>
      <c r="G3332" s="1">
        <v>5</v>
      </c>
      <c r="H3332" s="1">
        <v>0</v>
      </c>
      <c r="I3332" s="1" t="s">
        <v>4377</v>
      </c>
      <c r="K3332" s="1" t="str">
        <f t="shared" si="210"/>
        <v>ㄈ</v>
      </c>
      <c r="L3332" s="1" t="str">
        <f t="shared" si="211"/>
        <v>ㄨ</v>
      </c>
      <c r="N3332" s="3" t="s">
        <v>30575</v>
      </c>
      <c r="O3332" s="3"/>
      <c r="P3332" s="1" t="s">
        <v>20</v>
      </c>
      <c r="R3332" s="1" t="s">
        <v>4378</v>
      </c>
      <c r="V3332" s="1" t="s">
        <v>4460</v>
      </c>
      <c r="AR3332" s="1" t="str">
        <f t="shared" si="212"/>
        <v>| [ㄈㄨˊ](ㄈㄨˊ.md) | [符](符.md) |  | fú | [名]
1.古代用為憑信的器物，刻字在竹、木、金、玉、銅之上，剖為兩半，各執其一，相合以為徵信。如：「虎符」。《史記．卷八．高祖紀》：「乃論功，與諸列侯剖符行封。」
2.文件、憑證。北齊．顏之推《冤魂志．徐鐵臼》：「我母訴怨於天，今得天曹符，來取鐵杵。」
3.祥瑞的徵兆。《後漢書．卷四．孝和帝等紀．贊曰》：「抑沒祥符，登顯時德。」
4.標記、記號。如：「音符」、「符號」。
5.一種道士用來避邪、驅使鬼神的神祕文字。如：「符咒」。《抱朴子．內篇．登陟》：「帶昇山符，出門作周身三五法。」
6.姓。如唐代有符令奇。
[動]
相合、吻合。如：「符合」、「名實相符」。南朝梁．劉勰《文心雕龍．明詩》：「三百之蔽，義歸無邪，持之為訓，有符焉爾。」 |</v>
      </c>
    </row>
    <row r="3333" spans="1:44" hidden="1">
      <c r="A3333" s="1" t="s">
        <v>4363</v>
      </c>
      <c r="C3333" s="1">
        <v>1</v>
      </c>
      <c r="D3333" s="1" t="str">
        <f>"01811A"</f>
        <v>01811A</v>
      </c>
      <c r="E3333" s="1" t="s">
        <v>68</v>
      </c>
      <c r="F3333" s="1">
        <v>9</v>
      </c>
      <c r="G3333" s="1">
        <v>5</v>
      </c>
      <c r="H3333" s="1">
        <v>1</v>
      </c>
      <c r="I3333" s="1" t="s">
        <v>4377</v>
      </c>
      <c r="K3333" s="1" t="str">
        <f t="shared" si="210"/>
        <v>ㄈ</v>
      </c>
      <c r="L3333" s="1" t="str">
        <f t="shared" si="211"/>
        <v>ㄨ</v>
      </c>
      <c r="N3333" s="3" t="s">
        <v>30575</v>
      </c>
      <c r="O3333" s="3"/>
      <c r="P3333" s="1" t="s">
        <v>20</v>
      </c>
      <c r="R3333" s="1" t="s">
        <v>4378</v>
      </c>
      <c r="V3333" s="1" t="s">
        <v>4461</v>
      </c>
      <c r="W3333" s="1" t="s">
        <v>4462</v>
      </c>
      <c r="AR3333" s="1" t="str">
        <f t="shared" si="212"/>
        <v>| [ㄈㄨˊ](ㄈㄨˊ.md) | [胕](胕.md) |  | fú | [形]
浮腫。《集韻．平聲．虞韻》：「胕，腫也。」《山海經．西山經》：「有草焉，其名曰黃雚，其狀如樗，其葉如麻，白華而赤實，其狀如赭，浴之已疥，又可以已胕。」晉．郭璞．注：「治胕腫也；音符。」《黃帝內經素問．卷二〇．五常政大論》：「寒熱胕腫。」唐．王冰．注：「胕腫謂腫滿，按之不起。」 |</v>
      </c>
    </row>
    <row r="3334" spans="1:44" hidden="1">
      <c r="A3334" s="1" t="s">
        <v>3451</v>
      </c>
      <c r="C3334" s="1">
        <v>1</v>
      </c>
      <c r="D3334" s="1" t="str">
        <f>"01812"</f>
        <v>01812</v>
      </c>
      <c r="E3334" s="1" t="s">
        <v>624</v>
      </c>
      <c r="F3334" s="1">
        <v>8</v>
      </c>
      <c r="G3334" s="1">
        <v>5</v>
      </c>
      <c r="H3334" s="1">
        <v>2</v>
      </c>
      <c r="I3334" s="1" t="s">
        <v>4377</v>
      </c>
      <c r="K3334" s="1" t="str">
        <f t="shared" si="210"/>
        <v>ㄈ</v>
      </c>
      <c r="L3334" s="1" t="str">
        <f t="shared" si="211"/>
        <v>ㄨ</v>
      </c>
      <c r="N3334" s="3" t="s">
        <v>30575</v>
      </c>
      <c r="O3334" s="3"/>
      <c r="P3334" s="1" t="s">
        <v>20</v>
      </c>
      <c r="R3334" s="1" t="s">
        <v>4378</v>
      </c>
      <c r="V3334" s="1" t="s">
        <v>4463</v>
      </c>
      <c r="W3334" s="1" t="s">
        <v>4464</v>
      </c>
      <c r="AR3334" s="1" t="str">
        <f t="shared" si="212"/>
        <v>| [ㄈㄨˊ](ㄈㄨˊ.md) | [宓](宓.md) |  | fú | [名]
姓。如春秋時魯國有宓不齊。 |</v>
      </c>
    </row>
    <row r="3335" spans="1:44" hidden="1">
      <c r="A3335" s="1" t="s">
        <v>4465</v>
      </c>
      <c r="C3335" s="1">
        <v>1</v>
      </c>
      <c r="D3335" s="1" t="str">
        <f>"01813"</f>
        <v>01813</v>
      </c>
      <c r="E3335" s="1" t="s">
        <v>660</v>
      </c>
      <c r="F3335" s="1">
        <v>11</v>
      </c>
      <c r="G3335" s="1">
        <v>5</v>
      </c>
      <c r="H3335" s="1">
        <v>0</v>
      </c>
      <c r="I3335" s="1" t="s">
        <v>4377</v>
      </c>
      <c r="K3335" s="1" t="str">
        <f t="shared" si="210"/>
        <v>ㄈ</v>
      </c>
      <c r="L3335" s="1" t="str">
        <f t="shared" si="211"/>
        <v>ㄨ</v>
      </c>
      <c r="N3335" s="3" t="s">
        <v>30575</v>
      </c>
      <c r="O3335" s="3"/>
      <c r="P3335" s="1" t="s">
        <v>20</v>
      </c>
      <c r="R3335" s="1" t="s">
        <v>4378</v>
      </c>
      <c r="V3335" s="1" t="s">
        <v>4466</v>
      </c>
      <c r="AR3335" s="1" t="str">
        <f t="shared" si="212"/>
        <v>| [ㄈㄨˊ](ㄈㄨˊ.md) | [虙](虙.md) |  | fú | [名]
姓。伏羲氏之後。 |</v>
      </c>
    </row>
    <row r="3336" spans="1:44" hidden="1">
      <c r="A3336" s="1" t="s">
        <v>4467</v>
      </c>
      <c r="C3336" s="1">
        <v>1</v>
      </c>
      <c r="D3336" s="1" t="str">
        <f>"01814"</f>
        <v>01814</v>
      </c>
      <c r="E3336" s="1" t="s">
        <v>2014</v>
      </c>
      <c r="F3336" s="1">
        <v>8</v>
      </c>
      <c r="G3336" s="1">
        <v>4</v>
      </c>
      <c r="H3336" s="1">
        <v>0</v>
      </c>
      <c r="I3336" s="1" t="s">
        <v>4377</v>
      </c>
      <c r="K3336" s="1" t="str">
        <f t="shared" si="210"/>
        <v>ㄈ</v>
      </c>
      <c r="L3336" s="1" t="str">
        <f t="shared" si="211"/>
        <v>ㄨ</v>
      </c>
      <c r="N3336" s="3" t="s">
        <v>30575</v>
      </c>
      <c r="O3336" s="3"/>
      <c r="P3336" s="1" t="s">
        <v>20</v>
      </c>
      <c r="R3336" s="1" t="s">
        <v>4378</v>
      </c>
      <c r="V3336" s="1" t="s">
        <v>4468</v>
      </c>
      <c r="AR3336" s="1" t="str">
        <f t="shared" si="212"/>
        <v>| [ㄈㄨˊ](ㄈㄨˊ.md) | [服](服.md) |  | fú | [名]
1.衣裝、衣裳的總稱。如：「制服」、「禮服」、「便服」。
2.喪衣。如古代居喪的服制，以斬衰、齊衰、大功、小功、緦麻為五服。《魏書．卷八七．節義傳．石文德傳》：「文德祖父苗以家財殯葬，持服三年，奉養宣妻二十餘載。」
3.喪事、居喪期間。《史記．卷一〇七．魏其武安侯傳》：「吾欲與仲孺過魏其侯，會仲孺有服。」《紅樓夢》第九六回：「若說服裡娶親，當真使不得。」
4.量詞。計算中藥服用劑量的單位。如：「他吃了三服藥，病全好了。」
5.姓。如漢代有服徹。
[動]
1.穿著、穿戴。《漢書．卷九九．王莽傳上》：「周公服天子之冕，南面而朝群臣。」
2.吃、進食。《禮記．曲禮下》：「醫不三世，不服其藥。」《史記．卷一〇五．扁鵲倉公傳》：「即令更服丸藥，出入六日，病已。」
3.欽佩、順從。如：「佩服」、「心服口服」。《論語．為政》：「舉直錯諸枉，則民服。」
4.使折服、使降服。如：「以德服人」。
5.擔任、從事、承擔。如：「服役」、「服刑」。《論語．為政》：「有事，弟子服其勞，有酒食，先生饌。」
6.習慣、適應。如：「水土不服」。《楚辭．屈原．九章．思美人》：「固朕形之不服兮，然容與而狐疑。」 |</v>
      </c>
    </row>
    <row r="3337" spans="1:44" hidden="1">
      <c r="A3337" s="1" t="s">
        <v>315</v>
      </c>
      <c r="C3337" s="1">
        <v>1</v>
      </c>
      <c r="D3337" s="1" t="str">
        <f>"01815"</f>
        <v>01815</v>
      </c>
      <c r="E3337" s="1" t="s">
        <v>37</v>
      </c>
      <c r="F3337" s="1">
        <v>12</v>
      </c>
      <c r="G3337" s="1">
        <v>8</v>
      </c>
      <c r="H3337" s="1">
        <v>2</v>
      </c>
      <c r="I3337" s="1" t="s">
        <v>4377</v>
      </c>
      <c r="K3337" s="1" t="str">
        <f t="shared" si="210"/>
        <v>ㄈ</v>
      </c>
      <c r="L3337" s="1" t="str">
        <f t="shared" si="211"/>
        <v>ㄨ</v>
      </c>
      <c r="N3337" s="3" t="s">
        <v>30575</v>
      </c>
      <c r="O3337" s="3"/>
      <c r="P3337" s="1" t="s">
        <v>20</v>
      </c>
      <c r="R3337" s="1" t="s">
        <v>4378</v>
      </c>
      <c r="V3337" s="1" t="s">
        <v>4469</v>
      </c>
      <c r="W3337" s="1" t="s">
        <v>4470</v>
      </c>
      <c r="AR3337" s="1" t="str">
        <f t="shared" si="212"/>
        <v>| [ㄈㄨˊ](ㄈㄨˊ.md) | [菔](菔.md) |  | fú | 參見「萊菔」條。 |</v>
      </c>
    </row>
    <row r="3338" spans="1:44" hidden="1">
      <c r="A3338" s="1" t="s">
        <v>4471</v>
      </c>
      <c r="C3338" s="1">
        <v>1</v>
      </c>
      <c r="D3338" s="1" t="str">
        <f>"01816"</f>
        <v>01816</v>
      </c>
      <c r="E3338" s="1" t="s">
        <v>49</v>
      </c>
      <c r="F3338" s="1">
        <v>14</v>
      </c>
      <c r="G3338" s="1">
        <v>8</v>
      </c>
      <c r="H3338" s="1">
        <v>0</v>
      </c>
      <c r="I3338" s="1" t="s">
        <v>4377</v>
      </c>
      <c r="K3338" s="1" t="str">
        <f t="shared" si="210"/>
        <v>ㄈ</v>
      </c>
      <c r="L3338" s="1" t="str">
        <f t="shared" si="211"/>
        <v>ㄨ</v>
      </c>
      <c r="N3338" s="3" t="s">
        <v>30575</v>
      </c>
      <c r="O3338" s="3"/>
      <c r="P3338" s="1" t="s">
        <v>20</v>
      </c>
      <c r="R3338" s="1" t="s">
        <v>4378</v>
      </c>
      <c r="V3338" s="1" t="s">
        <v>4472</v>
      </c>
      <c r="AR3338" s="1" t="str">
        <f t="shared" si="212"/>
        <v>| [ㄈㄨˊ](ㄈㄨˊ.md) | [箙](箙.md) |  | fú | [名]
盛箭用的器具。以竹、木或獸皮等製成。《周禮．夏官．司弓矢》：「中春獻弓弩，中秋獻矢箙。」唐．李賀〈黃家洞〉詩：「黑幡三點銅鼓鳴，高作猿啼搖箭箙。」 |</v>
      </c>
    </row>
    <row r="3339" spans="1:44" hidden="1">
      <c r="A3339" s="1" t="s">
        <v>4473</v>
      </c>
      <c r="C3339" s="1">
        <v>1</v>
      </c>
      <c r="D3339" s="1" t="str">
        <f>"01817"</f>
        <v>01817</v>
      </c>
      <c r="E3339" s="1" t="s">
        <v>272</v>
      </c>
      <c r="F3339" s="1">
        <v>19</v>
      </c>
      <c r="G3339" s="1">
        <v>8</v>
      </c>
      <c r="H3339" s="1">
        <v>0</v>
      </c>
      <c r="I3339" s="1" t="s">
        <v>4377</v>
      </c>
      <c r="K3339" s="1" t="str">
        <f t="shared" si="210"/>
        <v>ㄈ</v>
      </c>
      <c r="L3339" s="1" t="str">
        <f t="shared" si="211"/>
        <v>ㄨ</v>
      </c>
      <c r="N3339" s="3" t="s">
        <v>30575</v>
      </c>
      <c r="O3339" s="3"/>
      <c r="P3339" s="1" t="s">
        <v>20</v>
      </c>
      <c r="R3339" s="1" t="s">
        <v>4378</v>
      </c>
      <c r="V3339" s="1" t="s">
        <v>4474</v>
      </c>
      <c r="AR3339" s="1" t="str">
        <f t="shared" si="212"/>
        <v>| [ㄈㄨˊ](ㄈㄨˊ.md) | [鵩](鵩.md) |  | fú | [名]
一種鳥。形似鴞，夜發出惡聲，古人以為不祥之鳥。 |</v>
      </c>
    </row>
    <row r="3340" spans="1:44" hidden="1">
      <c r="A3340" s="1" t="s">
        <v>581</v>
      </c>
      <c r="C3340" s="1">
        <v>1</v>
      </c>
      <c r="D3340" s="1" t="str">
        <f>"01818"</f>
        <v>01818</v>
      </c>
      <c r="E3340" s="1" t="s">
        <v>139</v>
      </c>
      <c r="F3340" s="1">
        <v>9</v>
      </c>
      <c r="G3340" s="1">
        <v>5</v>
      </c>
      <c r="H3340" s="1">
        <v>1</v>
      </c>
      <c r="I3340" s="1" t="s">
        <v>4377</v>
      </c>
      <c r="K3340" s="1" t="str">
        <f t="shared" si="210"/>
        <v>ㄈ</v>
      </c>
      <c r="L3340" s="1" t="str">
        <f t="shared" si="211"/>
        <v>ㄨ</v>
      </c>
      <c r="N3340" s="3" t="s">
        <v>30575</v>
      </c>
      <c r="O3340" s="3"/>
      <c r="P3340" s="1" t="s">
        <v>20</v>
      </c>
      <c r="R3340" s="1" t="s">
        <v>4378</v>
      </c>
      <c r="V3340" s="1" t="s">
        <v>4475</v>
      </c>
      <c r="W3340" s="1" t="s">
        <v>4476</v>
      </c>
      <c r="AR3340" s="1" t="str">
        <f t="shared" si="212"/>
        <v>| [ㄈㄨˊ](ㄈㄨˊ.md) | [枹](枹.md) |  | fú | [名]
鼓槌。《左傳．成公二年》：「左并轡，右援枹而鼓，馬逸不能止，師從止。」《楚辭．屈原．九歌．東皇太一》：「揚枹兮拊鼓，疏緩節兮安歌。」 |</v>
      </c>
    </row>
    <row r="3341" spans="1:44" hidden="1">
      <c r="A3341" s="1" t="s">
        <v>3964</v>
      </c>
      <c r="C3341" s="1">
        <v>1</v>
      </c>
      <c r="D3341" s="1" t="str">
        <f>"01819"</f>
        <v>01819</v>
      </c>
      <c r="E3341" s="1" t="s">
        <v>118</v>
      </c>
      <c r="F3341" s="1">
        <v>9</v>
      </c>
      <c r="G3341" s="1">
        <v>4</v>
      </c>
      <c r="H3341" s="1">
        <v>1</v>
      </c>
      <c r="I3341" s="1" t="s">
        <v>4377</v>
      </c>
      <c r="K3341" s="1" t="str">
        <f t="shared" si="210"/>
        <v>ㄈ</v>
      </c>
      <c r="L3341" s="1" t="str">
        <f t="shared" si="211"/>
        <v>ㄨ</v>
      </c>
      <c r="N3341" s="3" t="s">
        <v>30575</v>
      </c>
      <c r="O3341" s="3"/>
      <c r="P3341" s="1" t="s">
        <v>20</v>
      </c>
      <c r="R3341" s="1" t="s">
        <v>4378</v>
      </c>
      <c r="V3341" s="1" t="s">
        <v>4477</v>
      </c>
      <c r="W3341" s="1" t="s">
        <v>4478</v>
      </c>
      <c r="AR3341" s="1" t="str">
        <f t="shared" si="212"/>
        <v>| [ㄈㄨˊ](ㄈㄨˊ.md) | [罘](罘.md) |  | fú | [名]
捕鳥獸用的網。《文選．張衡．東京賦》：「雖系以隤牆填塹，亂以收罝解罘，卒無補於風規，祇以昭其愆尤。」唐．白居易〈想東遊五十韻〉：「蛾須遠燈燭，兔勿近罝罘。」 |</v>
      </c>
    </row>
    <row r="3342" spans="1:44" hidden="1">
      <c r="A3342" s="1" t="s">
        <v>4479</v>
      </c>
      <c r="C3342" s="1">
        <v>1</v>
      </c>
      <c r="D3342" s="1" t="str">
        <f>"01820"</f>
        <v>01820</v>
      </c>
      <c r="E3342" s="1" t="s">
        <v>129</v>
      </c>
      <c r="F3342" s="1">
        <v>11</v>
      </c>
      <c r="G3342" s="1">
        <v>8</v>
      </c>
      <c r="H3342" s="1">
        <v>0</v>
      </c>
      <c r="I3342" s="1" t="s">
        <v>4377</v>
      </c>
      <c r="K3342" s="1" t="str">
        <f t="shared" si="210"/>
        <v>ㄈ</v>
      </c>
      <c r="L3342" s="1" t="str">
        <f t="shared" si="211"/>
        <v>ㄨ</v>
      </c>
      <c r="N3342" s="3" t="s">
        <v>30575</v>
      </c>
      <c r="O3342" s="3"/>
      <c r="P3342" s="1" t="s">
        <v>20</v>
      </c>
      <c r="R3342" s="1" t="s">
        <v>4378</v>
      </c>
      <c r="V3342" s="1" t="s">
        <v>4480</v>
      </c>
      <c r="AR3342" s="1" t="str">
        <f t="shared" si="212"/>
        <v>| [ㄈㄨˊ](ㄈㄨˊ.md) | [涪](涪.md) |  | fú | 參見「涪江」條。 |</v>
      </c>
    </row>
    <row r="3343" spans="1:44" hidden="1">
      <c r="A3343" s="1" t="s">
        <v>875</v>
      </c>
      <c r="C3343" s="1">
        <v>1</v>
      </c>
      <c r="D3343" s="1" t="str">
        <f>"01821"</f>
        <v>01821</v>
      </c>
      <c r="E3343" s="1" t="s">
        <v>114</v>
      </c>
      <c r="F3343" s="1">
        <v>11</v>
      </c>
      <c r="G3343" s="1">
        <v>9</v>
      </c>
      <c r="H3343" s="1">
        <v>2</v>
      </c>
      <c r="I3343" s="1" t="s">
        <v>4377</v>
      </c>
      <c r="K3343" s="1" t="str">
        <f t="shared" si="210"/>
        <v>ㄈ</v>
      </c>
      <c r="L3343" s="1" t="str">
        <f t="shared" si="211"/>
        <v>ㄨ</v>
      </c>
      <c r="N3343" s="3" t="s">
        <v>30575</v>
      </c>
      <c r="O3343" s="3"/>
      <c r="P3343" s="1" t="s">
        <v>20</v>
      </c>
      <c r="R3343" s="1" t="s">
        <v>4378</v>
      </c>
      <c r="V3343" s="1" t="s">
        <v>4481</v>
      </c>
      <c r="W3343" s="1" t="s">
        <v>4482</v>
      </c>
      <c r="AR3343" s="1" t="str">
        <f t="shared" si="212"/>
        <v>| [ㄈㄨˊ](ㄈㄨˊ.md) | [偪](偪.md) |  | fú | [名]
參見「偪陽」條。
[動]
屈服。通「伏」。《三國志．卷三五．蜀書．諸葛亮傳》：「又荊州之民附操者，偪兵勢耳，非心服也。」 |</v>
      </c>
    </row>
    <row r="3344" spans="1:44" hidden="1">
      <c r="A3344" s="1" t="s">
        <v>4483</v>
      </c>
      <c r="C3344" s="1">
        <v>1</v>
      </c>
      <c r="D3344" s="1" t="str">
        <f>"01822"</f>
        <v>01822</v>
      </c>
      <c r="E3344" s="1" t="s">
        <v>570</v>
      </c>
      <c r="F3344" s="1">
        <v>11</v>
      </c>
      <c r="G3344" s="1">
        <v>9</v>
      </c>
      <c r="H3344" s="1">
        <v>0</v>
      </c>
      <c r="I3344" s="1" t="s">
        <v>4377</v>
      </c>
      <c r="K3344" s="1" t="str">
        <f t="shared" si="210"/>
        <v>ㄈ</v>
      </c>
      <c r="L3344" s="1" t="str">
        <f t="shared" si="211"/>
        <v>ㄨ</v>
      </c>
      <c r="N3344" s="3" t="s">
        <v>30575</v>
      </c>
      <c r="O3344" s="3"/>
      <c r="P3344" s="1" t="s">
        <v>20</v>
      </c>
      <c r="R3344" s="1" t="s">
        <v>4378</v>
      </c>
      <c r="V3344" s="1" t="s">
        <v>2513</v>
      </c>
      <c r="AR3344" s="1" t="str">
        <f t="shared" si="212"/>
        <v>| [ㄈㄨˊ](ㄈㄨˊ.md) | [匐](匐.md) |  | fú | 參見「匍匐」條。 |</v>
      </c>
    </row>
    <row r="3345" spans="1:44" hidden="1">
      <c r="A3345" s="1" t="s">
        <v>878</v>
      </c>
      <c r="C3345" s="1">
        <v>1</v>
      </c>
      <c r="D3345" s="1" t="str">
        <f>"01823"</f>
        <v>01823</v>
      </c>
      <c r="E3345" s="1" t="s">
        <v>222</v>
      </c>
      <c r="F3345" s="1">
        <v>12</v>
      </c>
      <c r="G3345" s="1">
        <v>9</v>
      </c>
      <c r="H3345" s="1">
        <v>1</v>
      </c>
      <c r="I3345" s="1" t="s">
        <v>4377</v>
      </c>
      <c r="K3345" s="1" t="str">
        <f t="shared" si="210"/>
        <v>ㄈ</v>
      </c>
      <c r="L3345" s="1" t="str">
        <f t="shared" si="211"/>
        <v>ㄨ</v>
      </c>
      <c r="N3345" s="3" t="s">
        <v>30575</v>
      </c>
      <c r="O3345" s="3"/>
      <c r="P3345" s="1" t="s">
        <v>20</v>
      </c>
      <c r="R3345" s="1" t="s">
        <v>4378</v>
      </c>
      <c r="V3345" s="1" t="s">
        <v>4484</v>
      </c>
      <c r="W3345" s="1" t="s">
        <v>4485</v>
      </c>
      <c r="AR3345" s="1" t="str">
        <f t="shared" si="212"/>
        <v>| [ㄈㄨˊ](ㄈㄨˊ.md) | [幅](幅.md) |  | fú | [名]
1.布帛或紙張的寬度。《左傳．襄公二十八年》：「且夫富如布帛之有幅焉，為之制度，使無遷也。」
2.泛指寬度。如：「振幅」、「幅員廣闊」。
3.文章或書畫的分量。如：「篇幅」。
4.布帛、衣服的邊緣。如：「邊幅」。《儀禮．喪服》：「凡衰外削幅，裳內削幅。」唐．賈公彥．疏：「云衰外削幅者，謂縫之邊幅向外，裳內削幅者，亦謂縫之邊幅向內。」
5.量詞。計算圖畫、布帛等平面物的單位。如：「一幅畫」、「三幅掛圖」、「她用兩幅布做了條床單。」 |</v>
      </c>
    </row>
    <row r="3346" spans="1:44" hidden="1">
      <c r="A3346" s="1" t="s">
        <v>1068</v>
      </c>
      <c r="C3346" s="1">
        <v>1</v>
      </c>
      <c r="D3346" s="1" t="str">
        <f>"01824"</f>
        <v>01824</v>
      </c>
      <c r="E3346" s="1" t="s">
        <v>139</v>
      </c>
      <c r="F3346" s="1">
        <v>13</v>
      </c>
      <c r="G3346" s="1">
        <v>9</v>
      </c>
      <c r="H3346" s="1">
        <v>1</v>
      </c>
      <c r="I3346" s="1" t="s">
        <v>4377</v>
      </c>
      <c r="K3346" s="1" t="str">
        <f t="shared" si="210"/>
        <v>ㄈ</v>
      </c>
      <c r="L3346" s="1" t="str">
        <f t="shared" si="211"/>
        <v>ㄨ</v>
      </c>
      <c r="N3346" s="3" t="s">
        <v>30575</v>
      </c>
      <c r="O3346" s="3"/>
      <c r="P3346" s="1" t="s">
        <v>20</v>
      </c>
      <c r="R3346" s="1" t="s">
        <v>4378</v>
      </c>
      <c r="V3346" s="1" t="s">
        <v>4486</v>
      </c>
      <c r="W3346" s="1" t="s">
        <v>4487</v>
      </c>
      <c r="AR3346" s="1" t="str">
        <f t="shared" si="212"/>
        <v>| [ㄈㄨˊ](ㄈㄨˊ.md) | [楅](楅.md) |  | fú | [名]
1.古代盛列弓箭的器具。《儀禮．鄉射禮》：「命弟子設楅。」漢．鄭玄．注：「楅，猶幅也，所以承笴齊矢者。」
2.參見「楅衡」條。 |</v>
      </c>
    </row>
    <row r="3347" spans="1:44" hidden="1">
      <c r="A3347" s="1" t="s">
        <v>4488</v>
      </c>
      <c r="C3347" s="1">
        <v>1</v>
      </c>
      <c r="D3347" s="1" t="str">
        <f>"01825"</f>
        <v>01825</v>
      </c>
      <c r="E3347" s="1" t="s">
        <v>37</v>
      </c>
      <c r="F3347" s="1">
        <v>13</v>
      </c>
      <c r="G3347" s="1">
        <v>9</v>
      </c>
      <c r="H3347" s="1">
        <v>0</v>
      </c>
      <c r="I3347" s="1" t="s">
        <v>4377</v>
      </c>
      <c r="K3347" s="1" t="str">
        <f t="shared" si="210"/>
        <v>ㄈ</v>
      </c>
      <c r="L3347" s="1" t="str">
        <f t="shared" si="211"/>
        <v>ㄨ</v>
      </c>
      <c r="N3347" s="3" t="s">
        <v>30575</v>
      </c>
      <c r="O3347" s="3"/>
      <c r="P3347" s="1" t="s">
        <v>20</v>
      </c>
      <c r="R3347" s="1" t="s">
        <v>4378</v>
      </c>
      <c r="V3347" s="1" t="s">
        <v>4489</v>
      </c>
      <c r="AR3347" s="1" t="str">
        <f t="shared" si="212"/>
        <v>| [ㄈㄨˊ](ㄈㄨˊ.md) | [葍](葍.md) |  | fú | [名]
一種莖有惡臭的植物。《詩經．小雅．我行其野》：「我行其野，言采其葍。」漢．毛亨．傳：「葍，惡菜也。」 |</v>
      </c>
    </row>
    <row r="3348" spans="1:44" hidden="1">
      <c r="A3348" s="1" t="s">
        <v>4490</v>
      </c>
      <c r="C3348" s="1">
        <v>1</v>
      </c>
      <c r="D3348" s="1" t="str">
        <f>"01826"</f>
        <v>01826</v>
      </c>
      <c r="E3348" s="1" t="s">
        <v>825</v>
      </c>
      <c r="F3348" s="1">
        <v>14</v>
      </c>
      <c r="G3348" s="1">
        <v>9</v>
      </c>
      <c r="H3348" s="1">
        <v>0</v>
      </c>
      <c r="I3348" s="1" t="s">
        <v>4377</v>
      </c>
      <c r="K3348" s="1" t="str">
        <f t="shared" si="210"/>
        <v>ㄈ</v>
      </c>
      <c r="L3348" s="1" t="str">
        <f t="shared" si="211"/>
        <v>ㄨ</v>
      </c>
      <c r="N3348" s="3" t="s">
        <v>30575</v>
      </c>
      <c r="O3348" s="3"/>
      <c r="P3348" s="1" t="s">
        <v>20</v>
      </c>
      <c r="R3348" s="1" t="s">
        <v>4378</v>
      </c>
      <c r="V3348" s="1" t="s">
        <v>4491</v>
      </c>
      <c r="AR3348" s="1" t="str">
        <f t="shared" si="212"/>
        <v>| [ㄈㄨˊ](ㄈㄨˊ.md) | [福](福.md) |  | fú | [名]
1.富貴壽考的統稱。或泛稱吉祥幸運的事。如：「享福」、「迎春納福」、「造福人群」。《韓非子．解老》：「必成功則富與貴，全壽富貴之謂福。」
2.運氣、機會。如：「口福」、「眼福」、「耳福」。
3.祭祀用的酒或肉。《國語．晉語二》：「驪姬受福，乃寘鴆于酒。」
4.姓。如唐代有福信。
[動]
1.神佑、佑助。《左傳．莊公十年》：「小信未孚，神弗福也。」
2.古代婦女行禮時，將手放在腰部合拳敬拜稱為「福」。《喻世明言．卷一．蔣興哥重會珍珠衫》：「婆子千恩萬謝的福了一回，便道：『今日老身偶有盃水酒，將來與大娘消遣。』」
[形]
幸運的。如：「福星福將」。 |</v>
      </c>
    </row>
    <row r="3349" spans="1:44" hidden="1">
      <c r="A3349" s="1" t="s">
        <v>4492</v>
      </c>
      <c r="C3349" s="1">
        <v>1</v>
      </c>
      <c r="D3349" s="1" t="str">
        <f>"01827"</f>
        <v>01827</v>
      </c>
      <c r="E3349" s="1" t="s">
        <v>679</v>
      </c>
      <c r="F3349" s="1">
        <v>15</v>
      </c>
      <c r="G3349" s="1">
        <v>9</v>
      </c>
      <c r="H3349" s="1">
        <v>0</v>
      </c>
      <c r="I3349" s="1" t="s">
        <v>4377</v>
      </c>
      <c r="K3349" s="1" t="str">
        <f t="shared" si="210"/>
        <v>ㄈ</v>
      </c>
      <c r="L3349" s="1" t="str">
        <f t="shared" si="211"/>
        <v>ㄨ</v>
      </c>
      <c r="N3349" s="3" t="s">
        <v>30575</v>
      </c>
      <c r="O3349" s="3"/>
      <c r="P3349" s="1" t="s">
        <v>20</v>
      </c>
      <c r="R3349" s="1" t="s">
        <v>4378</v>
      </c>
      <c r="V3349" s="1" t="s">
        <v>1237</v>
      </c>
      <c r="AR3349" s="1" t="str">
        <f t="shared" si="212"/>
        <v>| [ㄈㄨˊ](ㄈㄨˊ.md) | [蝠](蝠.md) |  | fú | 參見「蝙蝠」條。 |</v>
      </c>
    </row>
    <row r="3350" spans="1:44" hidden="1">
      <c r="A3350" s="1" t="s">
        <v>4493</v>
      </c>
      <c r="C3350" s="1">
        <v>1</v>
      </c>
      <c r="D3350" s="1" t="str">
        <f>"01828"</f>
        <v>01828</v>
      </c>
      <c r="E3350" s="1" t="s">
        <v>71</v>
      </c>
      <c r="F3350" s="1">
        <v>16</v>
      </c>
      <c r="G3350" s="1">
        <v>9</v>
      </c>
      <c r="H3350" s="1">
        <v>0</v>
      </c>
      <c r="I3350" s="1" t="s">
        <v>4377</v>
      </c>
      <c r="K3350" s="1" t="str">
        <f t="shared" si="210"/>
        <v>ㄈ</v>
      </c>
      <c r="L3350" s="1" t="str">
        <f t="shared" si="211"/>
        <v>ㄨ</v>
      </c>
      <c r="N3350" s="3" t="s">
        <v>30575</v>
      </c>
      <c r="O3350" s="3"/>
      <c r="P3350" s="1" t="s">
        <v>20</v>
      </c>
      <c r="R3350" s="1" t="s">
        <v>4378</v>
      </c>
      <c r="V3350" s="1" t="s">
        <v>4494</v>
      </c>
      <c r="AR3350" s="1" t="str">
        <f t="shared" si="212"/>
        <v>| [ㄈㄨˊ](ㄈㄨˊ.md) | [輻](輻.md) |  | fú | [名]
車輪中連接車轂和輪圈的直木。《老子》第一一章：「三十輻共一轂，當有無，有車之用。」唐．柳宗元〈封建論〉：「邦群后，布濩星羅，四周於天下，輪運而輻集。」 |</v>
      </c>
    </row>
    <row r="3351" spans="1:44" hidden="1">
      <c r="A3351" s="1" t="s">
        <v>4495</v>
      </c>
      <c r="C3351" s="1">
        <v>1</v>
      </c>
      <c r="D3351" s="1" t="str">
        <f>"01829"</f>
        <v>01829</v>
      </c>
      <c r="E3351" s="1" t="s">
        <v>272</v>
      </c>
      <c r="F3351" s="1">
        <v>20</v>
      </c>
      <c r="G3351" s="1">
        <v>9</v>
      </c>
      <c r="H3351" s="1">
        <v>0</v>
      </c>
      <c r="I3351" s="1" t="s">
        <v>4377</v>
      </c>
      <c r="K3351" s="1" t="str">
        <f t="shared" si="210"/>
        <v>ㄈ</v>
      </c>
      <c r="L3351" s="1" t="str">
        <f t="shared" si="211"/>
        <v>ㄨ</v>
      </c>
      <c r="N3351" s="3" t="s">
        <v>30575</v>
      </c>
      <c r="O3351" s="3"/>
      <c r="P3351" s="1" t="s">
        <v>20</v>
      </c>
      <c r="R3351" s="1" t="s">
        <v>4378</v>
      </c>
      <c r="V3351" s="1" t="s">
        <v>4496</v>
      </c>
      <c r="AR3351" s="1" t="str">
        <f t="shared" si="212"/>
        <v>| [ㄈㄨˊ](ㄈㄨˊ.md) | [鶝](鶝.md) |  | fú | [名]
動物名。鳥綱戴勝目。體長尺許，色黃褐或灰紅色，頭頂有金黃色大羽冠，嘴細長，稍彎曲，尾有羽十根，色黑。也稱為「戴勝」。《廣韻．入聲．屋韻》：「鶝，戴勝別名。」 |</v>
      </c>
    </row>
    <row r="3352" spans="1:44" hidden="1">
      <c r="A3352" s="1" t="s">
        <v>4497</v>
      </c>
      <c r="C3352" s="1">
        <v>1</v>
      </c>
      <c r="D3352" s="1" t="str">
        <f>"01830"</f>
        <v>01830</v>
      </c>
      <c r="E3352" s="1" t="s">
        <v>272</v>
      </c>
      <c r="F3352" s="1">
        <v>13</v>
      </c>
      <c r="G3352" s="1">
        <v>2</v>
      </c>
      <c r="H3352" s="1">
        <v>0</v>
      </c>
      <c r="I3352" s="1" t="s">
        <v>4377</v>
      </c>
      <c r="K3352" s="1" t="str">
        <f t="shared" si="210"/>
        <v>ㄈ</v>
      </c>
      <c r="L3352" s="1" t="str">
        <f t="shared" si="211"/>
        <v>ㄨ</v>
      </c>
      <c r="N3352" s="3" t="s">
        <v>30575</v>
      </c>
      <c r="O3352" s="3"/>
      <c r="P3352" s="1" t="s">
        <v>20</v>
      </c>
      <c r="R3352" s="1" t="s">
        <v>4378</v>
      </c>
      <c r="V3352" s="1" t="s">
        <v>4498</v>
      </c>
      <c r="AR3352" s="1" t="str">
        <f t="shared" si="212"/>
        <v>| [ㄈㄨˊ](ㄈㄨˊ.md) | [鳧](鳧.md) |  | fú | [名]
動物名。鳥綱雁形目。狀如鴨而略大。體長二尺許，嘴扁，腳短，趾間有蹼，翼長能飛翔，常群居於湖沼中。也稱為「野鴨」。 |</v>
      </c>
    </row>
    <row r="3353" spans="1:44" hidden="1">
      <c r="A3353" s="1" t="s">
        <v>4499</v>
      </c>
      <c r="C3353" s="1">
        <v>1</v>
      </c>
      <c r="D3353" s="1" t="str">
        <f>"01831"</f>
        <v>01831</v>
      </c>
      <c r="E3353" s="1" t="s">
        <v>725</v>
      </c>
      <c r="F3353" s="1">
        <v>13</v>
      </c>
      <c r="G3353" s="1">
        <v>7</v>
      </c>
      <c r="H3353" s="1">
        <v>0</v>
      </c>
      <c r="I3353" s="1" t="s">
        <v>4377</v>
      </c>
      <c r="K3353" s="1" t="str">
        <f t="shared" si="210"/>
        <v>ㄈ</v>
      </c>
      <c r="L3353" s="1" t="str">
        <f t="shared" si="211"/>
        <v>ㄨ</v>
      </c>
      <c r="N3353" s="3" t="s">
        <v>30575</v>
      </c>
      <c r="O3353" s="3"/>
      <c r="P3353" s="1" t="s">
        <v>20</v>
      </c>
      <c r="R3353" s="1" t="s">
        <v>4378</v>
      </c>
      <c r="V3353" s="1" t="s">
        <v>4500</v>
      </c>
      <c r="AR3353" s="1" t="str">
        <f t="shared" si="212"/>
        <v>| [ㄈㄨˊ](ㄈㄨˊ.md) | [綍](綍.md) |  | fú | [名]
1.下葬時拉引棺木入墓穴的繩子。同「紼」。《周禮．地官．遂人》：「及葬，帥而屬六綍。」《禮記．雜記下》：「升正柩，諸侯執綍五百人。」
2.大繩。《禮記．緇衣》：「王言如綸，其出如綍。」 |</v>
      </c>
    </row>
    <row r="3354" spans="1:44" hidden="1">
      <c r="A3354" s="1" t="s">
        <v>4501</v>
      </c>
      <c r="C3354" s="1">
        <v>1</v>
      </c>
      <c r="D3354" s="1" t="str">
        <f>"01832"</f>
        <v>01832</v>
      </c>
      <c r="E3354" s="1" t="s">
        <v>139</v>
      </c>
      <c r="F3354" s="1">
        <v>14</v>
      </c>
      <c r="G3354" s="1">
        <v>10</v>
      </c>
      <c r="H3354" s="1">
        <v>0</v>
      </c>
      <c r="I3354" s="1" t="s">
        <v>4377</v>
      </c>
      <c r="K3354" s="1" t="str">
        <f t="shared" si="210"/>
        <v>ㄈ</v>
      </c>
      <c r="L3354" s="1" t="str">
        <f t="shared" si="211"/>
        <v>ㄨ</v>
      </c>
      <c r="N3354" s="3" t="s">
        <v>30575</v>
      </c>
      <c r="O3354" s="3"/>
      <c r="P3354" s="1" t="s">
        <v>20</v>
      </c>
      <c r="R3354" s="1" t="s">
        <v>4378</v>
      </c>
      <c r="V3354" s="1" t="s">
        <v>4502</v>
      </c>
      <c r="AR3354" s="1" t="str">
        <f t="shared" si="212"/>
        <v>| [ㄈㄨˊ](ㄈㄨˊ.md) | [榑](榑.md) |  | fú | [名]
榑桑：傳說中的神木，生長於日出的地方。《說文解字．木部》：「榑，榑桑，神木，日所出也。」 |</v>
      </c>
    </row>
    <row r="3355" spans="1:44" hidden="1">
      <c r="A3355" s="1" t="s">
        <v>4503</v>
      </c>
      <c r="C3355" s="1">
        <v>1</v>
      </c>
      <c r="D3355" s="1" t="str">
        <f>"01833"</f>
        <v>01833</v>
      </c>
      <c r="E3355" s="1" t="s">
        <v>725</v>
      </c>
      <c r="F3355" s="1">
        <v>16</v>
      </c>
      <c r="G3355" s="1">
        <v>10</v>
      </c>
      <c r="H3355" s="1">
        <v>0</v>
      </c>
      <c r="I3355" s="1" t="s">
        <v>4377</v>
      </c>
      <c r="K3355" s="1" t="str">
        <f t="shared" si="210"/>
        <v>ㄈ</v>
      </c>
      <c r="L3355" s="1" t="str">
        <f t="shared" si="211"/>
        <v>ㄨ</v>
      </c>
      <c r="N3355" s="3" t="s">
        <v>30575</v>
      </c>
      <c r="O3355" s="3"/>
      <c r="P3355" s="1" t="s">
        <v>20</v>
      </c>
      <c r="R3355" s="1" t="s">
        <v>4378</v>
      </c>
      <c r="V3355" s="1" t="s">
        <v>4504</v>
      </c>
      <c r="AR3355" s="1" t="str">
        <f t="shared" si="212"/>
        <v>| [ㄈㄨˊ](ㄈㄨˊ.md) | [縛](縛.md) |  | fú | [動]
1.用繩捆綁。如：「手無縛雞之力」。《左傳．文公二年》：「晉襄公縛秦囚，使萊駒以戈斬之。」
2.拘束、約束。唐．白居易〈遊平原贈晦叔〉詩：「且喜身無縛，終漸鬢有絲。」《紅樓夢》第一四回：「且生得才貌雙全，風流瀟灑，不為官俗國體所縛。」
[名]
用來綑束的繩子。《左傳．僖公六年》：「武王親釋其縛，受其璧而祓之。」《史記．卷九二．淮陰侯傳》：「信乃解其縛，東鄉對，西鄉坐，師事之。」 |</v>
      </c>
    </row>
    <row r="3356" spans="1:44" hidden="1">
      <c r="A3356" s="1" t="s">
        <v>4505</v>
      </c>
      <c r="C3356" s="1">
        <v>1</v>
      </c>
      <c r="D3356" s="1" t="str">
        <f>"01834"</f>
        <v>01834</v>
      </c>
      <c r="E3356" s="1" t="s">
        <v>129</v>
      </c>
      <c r="F3356" s="1">
        <v>15</v>
      </c>
      <c r="G3356" s="1">
        <v>12</v>
      </c>
      <c r="H3356" s="1">
        <v>0</v>
      </c>
      <c r="I3356" s="1" t="s">
        <v>4377</v>
      </c>
      <c r="K3356" s="1" t="str">
        <f t="shared" si="210"/>
        <v>ㄈ</v>
      </c>
      <c r="L3356" s="1" t="str">
        <f t="shared" si="211"/>
        <v>ㄨ</v>
      </c>
      <c r="N3356" s="3" t="s">
        <v>30575</v>
      </c>
      <c r="O3356" s="3"/>
      <c r="P3356" s="1" t="s">
        <v>20</v>
      </c>
      <c r="R3356" s="1" t="s">
        <v>4378</v>
      </c>
      <c r="V3356" s="1" t="s">
        <v>4506</v>
      </c>
      <c r="AR3356" s="1" t="str">
        <f t="shared" si="212"/>
        <v>| [ㄈㄨˊ](ㄈㄨˊ.md) | [澓](澓.md) |  | fú | [名]
1.潛流在地下的水。通「洑」。《集韻．入聲．屋韻》：「澓，伏流也。或從伏。」
2.姓。如漢代有澓仲翁。
[動]
水迴流。晉．郭璞〈江賦〉：「迅澓增澆，涌湍疊躍。」 |</v>
      </c>
    </row>
    <row r="3357" spans="1:44" hidden="1">
      <c r="A3357" s="1" t="s">
        <v>4507</v>
      </c>
      <c r="C3357" s="1">
        <v>1</v>
      </c>
      <c r="D3357" s="1" t="str">
        <f>"01835"</f>
        <v>01835</v>
      </c>
      <c r="E3357" s="1" t="s">
        <v>55</v>
      </c>
      <c r="F3357" s="1">
        <v>17</v>
      </c>
      <c r="G3357" s="1">
        <v>9</v>
      </c>
      <c r="H3357" s="1">
        <v>2</v>
      </c>
      <c r="I3357" s="1" t="s">
        <v>4377</v>
      </c>
      <c r="K3357" s="1" t="str">
        <f t="shared" si="210"/>
        <v>ㄈ</v>
      </c>
      <c r="L3357" s="1" t="str">
        <f t="shared" si="211"/>
        <v>ㄨ</v>
      </c>
      <c r="N3357" s="3" t="s">
        <v>30575</v>
      </c>
      <c r="O3357" s="3"/>
      <c r="P3357" s="1" t="s">
        <v>110</v>
      </c>
      <c r="R3357" s="1" t="s">
        <v>4378</v>
      </c>
      <c r="V3357" s="1" t="s">
        <v>111</v>
      </c>
      <c r="W3357" s="1" t="s">
        <v>4508</v>
      </c>
      <c r="AR3357" s="1" t="str">
        <f t="shared" si="212"/>
        <v>| [ㄈㄨˊ](ㄈㄨˊ.md) | [鍑](鍑.md) |  | fú | (一)之又音。 |</v>
      </c>
    </row>
    <row r="3358" spans="1:44" hidden="1">
      <c r="A3358" s="1" t="s">
        <v>1031</v>
      </c>
      <c r="C3358" s="1">
        <v>1</v>
      </c>
      <c r="D3358" s="1" t="str">
        <f>"01836"</f>
        <v>01836</v>
      </c>
      <c r="E3358" s="1" t="s">
        <v>37</v>
      </c>
      <c r="F3358" s="1">
        <v>15</v>
      </c>
      <c r="G3358" s="1">
        <v>11</v>
      </c>
      <c r="H3358" s="1">
        <v>2</v>
      </c>
      <c r="I3358" s="1" t="s">
        <v>4377</v>
      </c>
      <c r="K3358" s="1" t="str">
        <f t="shared" si="210"/>
        <v>ㄈ</v>
      </c>
      <c r="L3358" s="1" t="str">
        <f t="shared" si="211"/>
        <v>ㄨ</v>
      </c>
      <c r="N3358" s="3" t="s">
        <v>30575</v>
      </c>
      <c r="O3358" s="3"/>
      <c r="P3358" s="1" t="s">
        <v>20</v>
      </c>
      <c r="R3358" s="1" t="s">
        <v>4378</v>
      </c>
      <c r="V3358" s="1" t="s">
        <v>4509</v>
      </c>
      <c r="W3358" s="1" t="s">
        <v>4510</v>
      </c>
      <c r="AR3358" s="1" t="str">
        <f t="shared" si="212"/>
        <v>| [ㄈㄨˊ](ㄈㄨˊ.md) | [蔽](蔽.md) |  | fú | [名]_x000D_
古時車廂旁邊的帘子。《周禮．春官宗伯．巾車》：「木車蒲蔽，犬䄙尾櫜疏飾小服皆疏。」_x000D_
[動]_x000D_
擦拭。通「拂」。《史記．卷八六．刺客列傳．荊軻》：「太子逢迎，卻行為導，跪而蔽席。」 |</v>
      </c>
    </row>
    <row r="3359" spans="1:44" hidden="1">
      <c r="A3359" s="1" t="s">
        <v>4511</v>
      </c>
      <c r="C3359" s="1">
        <v>1</v>
      </c>
      <c r="D3359" s="1" t="str">
        <f>"01837"</f>
        <v>01837</v>
      </c>
      <c r="E3359" s="1" t="s">
        <v>106</v>
      </c>
      <c r="F3359" s="1">
        <v>4</v>
      </c>
      <c r="G3359" s="1">
        <v>0</v>
      </c>
      <c r="H3359" s="1">
        <v>2</v>
      </c>
      <c r="I3359" s="1" t="s">
        <v>4512</v>
      </c>
      <c r="K3359" s="1" t="str">
        <f t="shared" si="210"/>
        <v>ㄈ</v>
      </c>
      <c r="L3359" s="1" t="str">
        <f t="shared" si="211"/>
        <v>ㄨ</v>
      </c>
      <c r="N3359" s="3" t="s">
        <v>30576</v>
      </c>
      <c r="O3359" s="3"/>
      <c r="P3359" s="1" t="s">
        <v>20</v>
      </c>
      <c r="R3359" s="1" t="s">
        <v>4513</v>
      </c>
      <c r="V3359" s="1" t="s">
        <v>4514</v>
      </c>
      <c r="W3359" s="1" t="s">
        <v>4515</v>
      </c>
      <c r="AR3359" s="1" t="str">
        <f t="shared" si="212"/>
        <v>| [ㄈㄨˇ](ㄈㄨˇ.md) | [父](父.md) |  | fǔ | [名]
1.古代對男子的美稱。《廣韻．平聲．麌韻》：「父，尼父，尚父，皆男子之美稱。」《文選．成公綏．嘯賦》：「鍾期棄琴而改聽，孔父忘味而不食。」
2.野老的通稱。如：「漁父」。《文選．潘岳．藉田賦》：「有邑老田父或進而稱曰：『蓋損益隨時，理有常然。』」 |</v>
      </c>
    </row>
    <row r="3360" spans="1:44" hidden="1">
      <c r="A3360" s="1" t="s">
        <v>4516</v>
      </c>
      <c r="C3360" s="1">
        <v>1</v>
      </c>
      <c r="D3360" s="1" t="str">
        <f>"01838"</f>
        <v>01838</v>
      </c>
      <c r="E3360" s="1" t="s">
        <v>4517</v>
      </c>
      <c r="F3360" s="1">
        <v>8</v>
      </c>
      <c r="G3360" s="1">
        <v>4</v>
      </c>
      <c r="H3360" s="1">
        <v>0</v>
      </c>
      <c r="I3360" s="1" t="s">
        <v>4512</v>
      </c>
      <c r="K3360" s="1" t="str">
        <f t="shared" si="210"/>
        <v>ㄈ</v>
      </c>
      <c r="L3360" s="1" t="str">
        <f t="shared" si="211"/>
        <v>ㄨ</v>
      </c>
      <c r="N3360" s="3" t="s">
        <v>30576</v>
      </c>
      <c r="O3360" s="3"/>
      <c r="P3360" s="1" t="s">
        <v>20</v>
      </c>
      <c r="R3360" s="1" t="s">
        <v>4513</v>
      </c>
      <c r="V3360" s="1" t="s">
        <v>4518</v>
      </c>
      <c r="AR3360" s="1" t="str">
        <f t="shared" si="212"/>
        <v>| [ㄈㄨˇ](ㄈㄨˇ.md) | [斧](斧.md) |  | fǔ | [名]
1.砍物的工具。《孟子．梁惠王上》：「斧斤以時入山林，材木不可勝用也。」
2.古代殺人用的兵器或刑具。《文選．班彪．王命論》：「遇折足之凶，伏斧鉞之誅。」《聊齋志異．卷一．青鳳》：「倘宥鳳也，刀鋸鈇鉞，小生願身受之。」
[動]
以斧砍物。漢．曹操〈苦寒行〉：「擔囊行取薪，斧冰持作糜。」《聊齋志異．卷八．小翠》：「公怒，斧其門。」 |</v>
      </c>
    </row>
    <row r="3361" spans="1:44" hidden="1">
      <c r="A3361" s="1" t="s">
        <v>4519</v>
      </c>
      <c r="C3361" s="1">
        <v>1</v>
      </c>
      <c r="D3361" s="1" t="str">
        <f>"01839"</f>
        <v>01839</v>
      </c>
      <c r="E3361" s="1" t="s">
        <v>55</v>
      </c>
      <c r="F3361" s="1">
        <v>10</v>
      </c>
      <c r="G3361" s="1">
        <v>2</v>
      </c>
      <c r="H3361" s="1">
        <v>0</v>
      </c>
      <c r="I3361" s="1" t="s">
        <v>4512</v>
      </c>
      <c r="K3361" s="1" t="str">
        <f t="shared" si="210"/>
        <v>ㄈ</v>
      </c>
      <c r="L3361" s="1" t="str">
        <f t="shared" si="211"/>
        <v>ㄨ</v>
      </c>
      <c r="N3361" s="3" t="s">
        <v>30576</v>
      </c>
      <c r="O3361" s="3"/>
      <c r="P3361" s="1" t="s">
        <v>20</v>
      </c>
      <c r="R3361" s="1" t="s">
        <v>4513</v>
      </c>
      <c r="V3361" s="1" t="s">
        <v>4520</v>
      </c>
      <c r="AR3361" s="1" t="str">
        <f t="shared" si="212"/>
        <v>| [ㄈㄨˇ](ㄈㄨˇ.md) | [釜](釜.md) |  | fǔ | [名]
古代的一種烹飪器具。即今之鐵鍋。如：「破釜沉舟」。三國魏．曹植〈七步詩〉：「萁在釜下然，豆在釜中泣。」 |</v>
      </c>
    </row>
    <row r="3362" spans="1:44" hidden="1">
      <c r="A3362" s="1" t="s">
        <v>4521</v>
      </c>
      <c r="C3362" s="1">
        <v>1</v>
      </c>
      <c r="D3362" s="1" t="str">
        <f>"01840"</f>
        <v>01840</v>
      </c>
      <c r="E3362" s="1" t="s">
        <v>129</v>
      </c>
      <c r="F3362" s="1">
        <v>13</v>
      </c>
      <c r="G3362" s="1">
        <v>10</v>
      </c>
      <c r="H3362" s="1">
        <v>0</v>
      </c>
      <c r="I3362" s="1" t="s">
        <v>4512</v>
      </c>
      <c r="K3362" s="1" t="str">
        <f t="shared" si="210"/>
        <v>ㄈ</v>
      </c>
      <c r="L3362" s="1" t="str">
        <f t="shared" si="211"/>
        <v>ㄨ</v>
      </c>
      <c r="N3362" s="3" t="s">
        <v>30576</v>
      </c>
      <c r="O3362" s="3"/>
      <c r="P3362" s="1" t="s">
        <v>20</v>
      </c>
      <c r="R3362" s="1" t="s">
        <v>4513</v>
      </c>
      <c r="V3362" s="1" t="s">
        <v>4522</v>
      </c>
      <c r="AR3362" s="1" t="str">
        <f t="shared" si="212"/>
        <v>| [ㄈㄨˇ](ㄈㄨˇ.md) | [滏](滏.md) |  | fǔ | 參見「滏陽河」條。 |</v>
      </c>
    </row>
    <row r="3363" spans="1:44" hidden="1">
      <c r="A3363" s="1" t="s">
        <v>4523</v>
      </c>
      <c r="C3363" s="1">
        <v>1</v>
      </c>
      <c r="D3363" s="1" t="str">
        <f>"01841"</f>
        <v>01841</v>
      </c>
      <c r="E3363" s="1" t="s">
        <v>839</v>
      </c>
      <c r="F3363" s="1">
        <v>7</v>
      </c>
      <c r="G3363" s="1">
        <v>2</v>
      </c>
      <c r="H3363" s="1">
        <v>0</v>
      </c>
      <c r="I3363" s="1" t="s">
        <v>4512</v>
      </c>
      <c r="K3363" s="1" t="str">
        <f t="shared" si="210"/>
        <v>ㄈ</v>
      </c>
      <c r="L3363" s="1" t="str">
        <f t="shared" si="211"/>
        <v>ㄨ</v>
      </c>
      <c r="N3363" s="3" t="s">
        <v>30576</v>
      </c>
      <c r="O3363" s="3"/>
      <c r="P3363" s="1" t="s">
        <v>20</v>
      </c>
      <c r="R3363" s="1" t="s">
        <v>4513</v>
      </c>
      <c r="V3363" s="1" t="s">
        <v>4524</v>
      </c>
      <c r="AR3363" s="1" t="str">
        <f t="shared" si="212"/>
        <v>| [ㄈㄨˇ](ㄈㄨˇ.md) | [甫](甫.md) |  | fǔ | [名]
1.男子的美稱。《說文解字．用部》：「甫，男子之美偁也。」《儀禮．士冠禮》：「曰伯某甫，仲、叔、季，唯其所當。」
2.參見「臺甫」條。
3.姓。如明代有甫輊。
[副]
1.起初、開始。《周禮．春官宗伯．小宗伯》：「卜葬兆，甫竁，亦如之。」
2.剛剛、方才。如：「驚魂甫定」。明．徐弘祖《徐霞客遊記．卷八下．滇遊日記九》：「乃投寓於李老家，時甫過午也。」《清史稿．卷四一八．列傳．毛昶熙》：「今日巨寇甫平，兵戈未息，滇、黔、秦、隴，烽火驚心；皖、豫、直、東，瘡痍滿目。」 |</v>
      </c>
    </row>
    <row r="3364" spans="1:44" hidden="1">
      <c r="A3364" s="1" t="s">
        <v>4525</v>
      </c>
      <c r="C3364" s="1">
        <v>1</v>
      </c>
      <c r="D3364" s="1" t="str">
        <f>"01842"</f>
        <v>01842</v>
      </c>
      <c r="E3364" s="1" t="s">
        <v>256</v>
      </c>
      <c r="F3364" s="1">
        <v>10</v>
      </c>
      <c r="G3364" s="1">
        <v>7</v>
      </c>
      <c r="H3364" s="1">
        <v>0</v>
      </c>
      <c r="I3364" s="1" t="s">
        <v>4512</v>
      </c>
      <c r="K3364" s="1" t="str">
        <f t="shared" si="210"/>
        <v>ㄈ</v>
      </c>
      <c r="L3364" s="1" t="str">
        <f t="shared" si="211"/>
        <v>ㄨ</v>
      </c>
      <c r="N3364" s="3" t="s">
        <v>30576</v>
      </c>
      <c r="O3364" s="3"/>
      <c r="P3364" s="1" t="s">
        <v>20</v>
      </c>
      <c r="R3364" s="1" t="s">
        <v>4513</v>
      </c>
      <c r="V3364" s="1" t="s">
        <v>4526</v>
      </c>
      <c r="AR3364" s="1" t="str">
        <f t="shared" si="212"/>
        <v>| [ㄈㄨˇ](ㄈㄨˇ.md) | [郙](郙.md) |  | fǔ | [名]
漢代的一座亭閣。故址約在今大陸地區陝西省略陽縣西。 |</v>
      </c>
    </row>
    <row r="3365" spans="1:44" hidden="1">
      <c r="A3365" s="1" t="s">
        <v>2514</v>
      </c>
      <c r="C3365" s="1">
        <v>1</v>
      </c>
      <c r="D3365" s="1" t="str">
        <f>"01843"</f>
        <v>01843</v>
      </c>
      <c r="E3365" s="1" t="s">
        <v>37</v>
      </c>
      <c r="F3365" s="1">
        <v>11</v>
      </c>
      <c r="G3365" s="1">
        <v>7</v>
      </c>
      <c r="H3365" s="1">
        <v>1</v>
      </c>
      <c r="I3365" s="1" t="s">
        <v>4512</v>
      </c>
      <c r="K3365" s="1" t="str">
        <f t="shared" si="210"/>
        <v>ㄈ</v>
      </c>
      <c r="L3365" s="1" t="str">
        <f t="shared" si="211"/>
        <v>ㄨ</v>
      </c>
      <c r="N3365" s="3" t="s">
        <v>30576</v>
      </c>
      <c r="O3365" s="3"/>
      <c r="P3365" s="1" t="s">
        <v>20</v>
      </c>
      <c r="R3365" s="1" t="s">
        <v>4513</v>
      </c>
      <c r="V3365" s="1" t="s">
        <v>4527</v>
      </c>
      <c r="W3365" s="1" t="s">
        <v>4528</v>
      </c>
      <c r="AR3365" s="1" t="str">
        <f t="shared" si="212"/>
        <v>| [ㄈㄨˇ](ㄈㄨˇ.md) | [莆](莆.md) |  | fǔ | 參見「萐莆」條。 |</v>
      </c>
    </row>
    <row r="3366" spans="1:44" hidden="1">
      <c r="A3366" s="1" t="s">
        <v>2517</v>
      </c>
      <c r="C3366" s="1">
        <v>1</v>
      </c>
      <c r="D3366" s="1" t="str">
        <f>"01844"</f>
        <v>01844</v>
      </c>
      <c r="E3366" s="1" t="s">
        <v>68</v>
      </c>
      <c r="F3366" s="1">
        <v>11</v>
      </c>
      <c r="G3366" s="1">
        <v>7</v>
      </c>
      <c r="H3366" s="1">
        <v>1</v>
      </c>
      <c r="I3366" s="1" t="s">
        <v>4512</v>
      </c>
      <c r="K3366" s="1" t="str">
        <f t="shared" si="210"/>
        <v>ㄈ</v>
      </c>
      <c r="L3366" s="1" t="str">
        <f t="shared" si="211"/>
        <v>ㄨ</v>
      </c>
      <c r="N3366" s="3" t="s">
        <v>30576</v>
      </c>
      <c r="O3366" s="3"/>
      <c r="P3366" s="1" t="s">
        <v>20</v>
      </c>
      <c r="R3366" s="1" t="s">
        <v>4513</v>
      </c>
      <c r="V3366" s="1" t="s">
        <v>4529</v>
      </c>
      <c r="W3366" s="1" t="s">
        <v>4530</v>
      </c>
      <c r="AR3366" s="1" t="str">
        <f t="shared" si="212"/>
        <v>| [ㄈㄨˇ](ㄈㄨˇ.md) | [脯](脯.md) |  | fǔ | [名]
1.乾肉。如：「鹿脯」、「肉脯」。《論語．鄉黨》：「沽酒市脯不食，不撒薑食，不多食。」
2.經過糖漬再晾乾的果肉。如：「桃脯」、「杏脯」、「瓜脯」。《晉書．卷六二．祖逖傳》：「玄酒忘勞甘瓠脯，何以詠恩歌且舞。」
[動]
刑殺人後再把他的骨肉碎割，晒成肉乾。《戰國策．趙策三》：「鄂侯爭之急，辨之疾，故脯鄂侯。」 |</v>
      </c>
    </row>
    <row r="3367" spans="1:44" hidden="1">
      <c r="A3367" s="1" t="s">
        <v>4531</v>
      </c>
      <c r="C3367" s="1">
        <v>1</v>
      </c>
      <c r="D3367" s="1" t="str">
        <f>"01845"</f>
        <v>01845</v>
      </c>
      <c r="E3367" s="1" t="s">
        <v>71</v>
      </c>
      <c r="F3367" s="1">
        <v>14</v>
      </c>
      <c r="G3367" s="1">
        <v>7</v>
      </c>
      <c r="H3367" s="1">
        <v>0</v>
      </c>
      <c r="I3367" s="1" t="s">
        <v>4512</v>
      </c>
      <c r="K3367" s="1" t="str">
        <f t="shared" si="210"/>
        <v>ㄈ</v>
      </c>
      <c r="L3367" s="1" t="str">
        <f t="shared" si="211"/>
        <v>ㄨ</v>
      </c>
      <c r="N3367" s="3" t="s">
        <v>30576</v>
      </c>
      <c r="O3367" s="3"/>
      <c r="P3367" s="1" t="s">
        <v>20</v>
      </c>
      <c r="R3367" s="1" t="s">
        <v>4513</v>
      </c>
      <c r="V3367" s="1" t="s">
        <v>4532</v>
      </c>
      <c r="AR3367" s="1" t="str">
        <f t="shared" si="212"/>
        <v>| [ㄈㄨˇ](ㄈㄨˇ.md) | [輔](輔.md) |  | fǔ | [名]
1.車兩旁的夾木。《說文解字．車部》：「輔，《春秋傳》曰：『輔車相依。』」《詩經．小雅．正月》：「其車既載，乃棄爾輔。」《續漢書志．第六．禮儀志下》：「車皆去輔轓，疏布惡輪。」
2.臉頰。漢．張衡〈七辯〉：「靨輔巧笑，清眸流眄。」
3.參見「畿輔」條。
4.姓。如漢代有輔狼。
[動]
扶持、幫助。如：「相輔相成」。《論語．顏淵》：「君子以文會友，以友輔仁。」《孟子．滕文公上》：「放勛日勞之，來之，匡之，直之，輔之，翼之，使自得之。」 |</v>
      </c>
    </row>
    <row r="3368" spans="1:44" hidden="1">
      <c r="A3368" s="1" t="s">
        <v>4533</v>
      </c>
      <c r="C3368" s="1">
        <v>1</v>
      </c>
      <c r="D3368" s="1" t="str">
        <f>"01846"</f>
        <v>01846</v>
      </c>
      <c r="E3368" s="1" t="s">
        <v>49</v>
      </c>
      <c r="F3368" s="1">
        <v>18</v>
      </c>
      <c r="G3368" s="1">
        <v>12</v>
      </c>
      <c r="H3368" s="1">
        <v>0</v>
      </c>
      <c r="I3368" s="1" t="s">
        <v>4512</v>
      </c>
      <c r="K3368" s="1" t="str">
        <f t="shared" ref="K3368:K3431" si="213">LEFT(I3368, 1)</f>
        <v>ㄈ</v>
      </c>
      <c r="L3368" s="1" t="str">
        <f t="shared" ref="L3368:L3431" si="214">MID(I3368, 2, 1)</f>
        <v>ㄨ</v>
      </c>
      <c r="N3368" s="3" t="s">
        <v>30576</v>
      </c>
      <c r="O3368" s="3"/>
      <c r="P3368" s="1" t="s">
        <v>20</v>
      </c>
      <c r="R3368" s="1" t="s">
        <v>4513</v>
      </c>
      <c r="V3368" s="1" t="s">
        <v>4534</v>
      </c>
      <c r="AR3368" s="1" t="str">
        <f t="shared" si="212"/>
        <v>| [ㄈㄨˇ](ㄈㄨˇ.md) | [簠](簠.md) |  | fǔ | [名]
古代祭祀宴饗時，用來盛稻粱、黍稷的器具。《周禮．地官．舍人》：「凡祭祀，共簠簋實之陳之。」 |</v>
      </c>
    </row>
    <row r="3369" spans="1:44" hidden="1">
      <c r="A3369" s="1" t="s">
        <v>4535</v>
      </c>
      <c r="C3369" s="1">
        <v>1</v>
      </c>
      <c r="D3369" s="1" t="str">
        <f>"01847"</f>
        <v>01847</v>
      </c>
      <c r="E3369" s="1" t="s">
        <v>4453</v>
      </c>
      <c r="F3369" s="1">
        <v>19</v>
      </c>
      <c r="G3369" s="1">
        <v>7</v>
      </c>
      <c r="H3369" s="1">
        <v>0</v>
      </c>
      <c r="I3369" s="1" t="s">
        <v>4512</v>
      </c>
      <c r="K3369" s="1" t="str">
        <f t="shared" si="213"/>
        <v>ㄈ</v>
      </c>
      <c r="L3369" s="1" t="str">
        <f t="shared" si="214"/>
        <v>ㄨ</v>
      </c>
      <c r="N3369" s="3" t="s">
        <v>30576</v>
      </c>
      <c r="O3369" s="3"/>
      <c r="P3369" s="1" t="s">
        <v>20</v>
      </c>
      <c r="R3369" s="1" t="s">
        <v>4513</v>
      </c>
      <c r="V3369" s="1" t="s">
        <v>4536</v>
      </c>
      <c r="AR3369" s="1" t="str">
        <f t="shared" si="212"/>
        <v>| [ㄈㄨˇ](ㄈㄨˇ.md) | [黼](黼.md) |  | fǔ | [名]_x000D_
古代禮服上所刺繡的花紋，半黑半白，如斧之形。《說文解字．黹部》：「黼，白與黑相次文。」《書經．益稷》：「作會、宗彞、藻、火、粉、米、黼、黻、絺、繡。」唐．孔穎達．正義：「（黼）蓋半白半黑似斧，刃白而身黑。」 |</v>
      </c>
    </row>
    <row r="3370" spans="1:44" hidden="1">
      <c r="A3370" s="1" t="s">
        <v>4537</v>
      </c>
      <c r="C3370" s="1">
        <v>1</v>
      </c>
      <c r="D3370" s="1" t="str">
        <f>"01848"</f>
        <v>01848</v>
      </c>
      <c r="E3370" s="1" t="s">
        <v>447</v>
      </c>
      <c r="F3370" s="1">
        <v>8</v>
      </c>
      <c r="G3370" s="1">
        <v>5</v>
      </c>
      <c r="H3370" s="1">
        <v>0</v>
      </c>
      <c r="I3370" s="1" t="s">
        <v>4512</v>
      </c>
      <c r="K3370" s="1" t="str">
        <f t="shared" si="213"/>
        <v>ㄈ</v>
      </c>
      <c r="L3370" s="1" t="str">
        <f t="shared" si="214"/>
        <v>ㄨ</v>
      </c>
      <c r="N3370" s="3" t="s">
        <v>30576</v>
      </c>
      <c r="O3370" s="3"/>
      <c r="P3370" s="1" t="s">
        <v>20</v>
      </c>
      <c r="R3370" s="1" t="s">
        <v>4513</v>
      </c>
      <c r="V3370" s="1" t="s">
        <v>4538</v>
      </c>
      <c r="AR3370" s="1" t="str">
        <f t="shared" si="212"/>
        <v>| [ㄈㄨˇ](ㄈㄨˇ.md) | [府](府.md) |  | fǔ | [名]
1.儲藏文書或財物的地方。《說文解字．广部》「府」字．清．段玉裁．注：「文書所藏之處曰府。」《孟子．告子下》：「今之事君者，皆曰我能為君辟土地，充府庫。」
2.官署，官員辦公的地方。如：「官府」、「首府」、「總統府」。《文選．諸葛亮．出師表》：「宮中府中，俱為一體。」
3.古代介於省、縣間的地方行政機構。如：「開封府」、「徐州府」。
4.達官顯貴的住所。如：「王府」。《紅樓夢》第二回：「路北，東是寧國府，西是榮國府。」
5.尊稱別人的居處。如：「尊府」、「貴府」、「造府請教」。
6.泛指人、物聚集的地方。《文選．陸機．文賦》：「遊文章之林府，嘉麗藻之彬彬。」
7.姓。如漢代有府悝。 |</v>
      </c>
    </row>
    <row r="3371" spans="1:44" hidden="1">
      <c r="A3371" s="1" t="s">
        <v>4539</v>
      </c>
      <c r="C3371" s="1">
        <v>1</v>
      </c>
      <c r="D3371" s="1" t="str">
        <f>"01849"</f>
        <v>01849</v>
      </c>
      <c r="E3371" s="1" t="s">
        <v>24</v>
      </c>
      <c r="F3371" s="1">
        <v>8</v>
      </c>
      <c r="G3371" s="1">
        <v>5</v>
      </c>
      <c r="H3371" s="1">
        <v>0</v>
      </c>
      <c r="I3371" s="1" t="s">
        <v>4512</v>
      </c>
      <c r="K3371" s="1" t="str">
        <f t="shared" si="213"/>
        <v>ㄈ</v>
      </c>
      <c r="L3371" s="1" t="str">
        <f t="shared" si="214"/>
        <v>ㄨ</v>
      </c>
      <c r="N3371" s="3" t="s">
        <v>30576</v>
      </c>
      <c r="O3371" s="3"/>
      <c r="P3371" s="1" t="s">
        <v>20</v>
      </c>
      <c r="R3371" s="1" t="s">
        <v>4513</v>
      </c>
      <c r="V3371" s="1" t="s">
        <v>4540</v>
      </c>
      <c r="AR3371" s="1" t="str">
        <f t="shared" si="212"/>
        <v>| [ㄈㄨˇ](ㄈㄨˇ.md) | [拊](拊.md) |  | fǔ | [動]
1.撫摸。《漢書．卷三五．吳王劉濞傳》：「獨悔，業已拜，因拊其背。」《文選．曹植．雜詩六首之六》：「拊劍西南望，思欲赴太山。」
2.拍打、輕擊。《書經．益稷》：「予擊石拊石，百獸率舞。」《左傳．襄公二十五年》：「公拊楹而歌。」
3.撫育。通「撫」。《詩經．小雅．蓼莪》：「母兮鞠我，拊我畜我。」
4.撫慰、撫恤。《左傳．宣公十二年》：「王巡三軍，拊而勉之。」《戰國策．齊策四》：「今君有區區之薛，不拊愛子其民。」
[名]
1.器物的把柄。《禮記．少儀》：「刀卻，刃授穎，削授拊。」
2.古代一種打擊樂器，即搏拊。《周禮．春官．大師》：「帥瞽登歌，令奏擊拊。」 |</v>
      </c>
    </row>
    <row r="3372" spans="1:44" hidden="1">
      <c r="A3372" s="1" t="s">
        <v>4541</v>
      </c>
      <c r="C3372" s="1">
        <v>1</v>
      </c>
      <c r="D3372" s="1" t="str">
        <f>"01850"</f>
        <v>01850</v>
      </c>
      <c r="E3372" s="1" t="s">
        <v>103</v>
      </c>
      <c r="F3372" s="1">
        <v>8</v>
      </c>
      <c r="G3372" s="1">
        <v>5</v>
      </c>
      <c r="H3372" s="1">
        <v>0</v>
      </c>
      <c r="I3372" s="1" t="s">
        <v>4512</v>
      </c>
      <c r="K3372" s="1" t="str">
        <f t="shared" si="213"/>
        <v>ㄈ</v>
      </c>
      <c r="L3372" s="1" t="str">
        <f t="shared" si="214"/>
        <v>ㄨ</v>
      </c>
      <c r="N3372" s="3" t="s">
        <v>30576</v>
      </c>
      <c r="O3372" s="3"/>
      <c r="P3372" s="1" t="s">
        <v>20</v>
      </c>
      <c r="R3372" s="1" t="s">
        <v>4513</v>
      </c>
      <c r="V3372" s="1" t="s">
        <v>4542</v>
      </c>
      <c r="AR3372" s="1" t="str">
        <f t="shared" si="212"/>
        <v>| [ㄈㄨˇ](ㄈㄨˇ.md) | [弣](弣.md) |  | fǔ | [名]
弓把的中央。《廣韻．平聲．麌韻》：「弣，弓把中也。」《禮記．曲禮上》：「右手執簫，左手承弣。」 |</v>
      </c>
    </row>
    <row r="3373" spans="1:44" hidden="1">
      <c r="A3373" s="1" t="s">
        <v>4543</v>
      </c>
      <c r="C3373" s="1">
        <v>1</v>
      </c>
      <c r="D3373" s="1" t="str">
        <f>"01851"</f>
        <v>01851</v>
      </c>
      <c r="E3373" s="1" t="s">
        <v>114</v>
      </c>
      <c r="F3373" s="1">
        <v>10</v>
      </c>
      <c r="G3373" s="1">
        <v>8</v>
      </c>
      <c r="H3373" s="1">
        <v>0</v>
      </c>
      <c r="I3373" s="1" t="s">
        <v>4512</v>
      </c>
      <c r="K3373" s="1" t="str">
        <f t="shared" si="213"/>
        <v>ㄈ</v>
      </c>
      <c r="L3373" s="1" t="str">
        <f t="shared" si="214"/>
        <v>ㄨ</v>
      </c>
      <c r="N3373" s="3" t="s">
        <v>30576</v>
      </c>
      <c r="O3373" s="3"/>
      <c r="P3373" s="1" t="s">
        <v>20</v>
      </c>
      <c r="R3373" s="1" t="s">
        <v>4513</v>
      </c>
      <c r="V3373" s="1" t="s">
        <v>4544</v>
      </c>
      <c r="AR3373" s="1" t="str">
        <f t="shared" si="212"/>
        <v>| [ㄈㄨˇ](ㄈㄨˇ.md) | [俯](俯.md) |  | fǔ | [動]
低頭、低下。與「仰」相對。《易經．繫辭上》：「仰以觀於天文，俯以察於地理。」《孟子．盡心上》：「仰不愧於天，俯不怍於人。」
[副]
舊時公文書信中請求允許的謙辭。如：「俯允」、「俯念」。 |</v>
      </c>
    </row>
    <row r="3374" spans="1:44" hidden="1">
      <c r="A3374" s="1" t="s">
        <v>4545</v>
      </c>
      <c r="C3374" s="1">
        <v>1</v>
      </c>
      <c r="D3374" s="1" t="str">
        <f>"01852"</f>
        <v>01852</v>
      </c>
      <c r="E3374" s="1" t="s">
        <v>68</v>
      </c>
      <c r="F3374" s="1">
        <v>12</v>
      </c>
      <c r="G3374" s="1">
        <v>8</v>
      </c>
      <c r="H3374" s="1">
        <v>0</v>
      </c>
      <c r="I3374" s="1" t="s">
        <v>4512</v>
      </c>
      <c r="K3374" s="1" t="str">
        <f t="shared" si="213"/>
        <v>ㄈ</v>
      </c>
      <c r="L3374" s="1" t="str">
        <f t="shared" si="214"/>
        <v>ㄨ</v>
      </c>
      <c r="N3374" s="3" t="s">
        <v>30576</v>
      </c>
      <c r="O3374" s="3"/>
      <c r="P3374" s="1" t="s">
        <v>20</v>
      </c>
      <c r="R3374" s="1" t="s">
        <v>4513</v>
      </c>
      <c r="V3374" s="1" t="s">
        <v>4546</v>
      </c>
      <c r="AR3374" s="1" t="str">
        <f t="shared" si="212"/>
        <v>| [ㄈㄨˇ](ㄈㄨˇ.md) | [腑](腑.md) |  | fǔ | [名]
中醫指人體內主飲食的消化、吸收、轉輸和排泄器官的總稱。如胃、膽、三焦、膀胱、大小腸等稱為「六腑」。 |</v>
      </c>
    </row>
    <row r="3375" spans="1:44" hidden="1">
      <c r="A3375" s="1" t="s">
        <v>4547</v>
      </c>
      <c r="C3375" s="1">
        <v>1</v>
      </c>
      <c r="D3375" s="1" t="str">
        <f>"01853"</f>
        <v>01853</v>
      </c>
      <c r="E3375" s="1" t="s">
        <v>68</v>
      </c>
      <c r="F3375" s="1">
        <v>14</v>
      </c>
      <c r="G3375" s="1">
        <v>8</v>
      </c>
      <c r="H3375" s="1">
        <v>0</v>
      </c>
      <c r="I3375" s="1" t="s">
        <v>4512</v>
      </c>
      <c r="K3375" s="1" t="str">
        <f t="shared" si="213"/>
        <v>ㄈ</v>
      </c>
      <c r="L3375" s="1" t="str">
        <f t="shared" si="214"/>
        <v>ㄨ</v>
      </c>
      <c r="N3375" s="3" t="s">
        <v>30576</v>
      </c>
      <c r="O3375" s="3"/>
      <c r="P3375" s="1" t="s">
        <v>20</v>
      </c>
      <c r="R3375" s="1" t="s">
        <v>4513</v>
      </c>
      <c r="V3375" s="1" t="s">
        <v>4548</v>
      </c>
      <c r="AR3375" s="1" t="str">
        <f t="shared" si="212"/>
        <v>| [ㄈㄨˇ](ㄈㄨˇ.md) | [腐](腐.md) |  | fǔ | [形]
1.爛的、壞的。如：「腐草」、「腐鼠」。南朝宋．劉義慶《世說新語．方正》：「今猶俎上腐肉，任人膾截耳！」
2.迂闊不開通的。如：「腐見」、「迂腐」。《史記．卷九一．黥布傳》：「然而陛下謂何腐儒，為天下安用腐儒，何也？」
3.豆腐製的。如：「腐皮」、「腐乳」。
[動]
朽爛、臭敗。《呂氏春秋．季春紀．數盡》：「流水不腐，戶樞不螻。」《荀子．勸學》：「肉腐出蟲，魚枯生蠹；怠慢忘身，禍災乃作。」
[名]
1.宮刑。《史記．卷八五．呂不韋傳》：「呂不韋乃進嫪毐，詐令人以腐罪告之。」
2.朽爛敗壞的東西。《晉書．卷四九．阮籍等傳．史臣曰》：「舐痔兼車，鳴鳶吞腐。」
3.豆腐。《幼學瓊林．卷三．飲食類》：「腐乃淮南所為。」 |</v>
      </c>
    </row>
    <row r="3376" spans="1:44" hidden="1">
      <c r="A3376" s="1" t="s">
        <v>3584</v>
      </c>
      <c r="C3376" s="1">
        <v>1</v>
      </c>
      <c r="D3376" s="1" t="str">
        <f>"01854"</f>
        <v>01854</v>
      </c>
      <c r="E3376" s="1" t="s">
        <v>114</v>
      </c>
      <c r="F3376" s="1">
        <v>9</v>
      </c>
      <c r="G3376" s="1">
        <v>7</v>
      </c>
      <c r="H3376" s="1">
        <v>1</v>
      </c>
      <c r="I3376" s="1" t="s">
        <v>4512</v>
      </c>
      <c r="K3376" s="1" t="str">
        <f t="shared" si="213"/>
        <v>ㄈ</v>
      </c>
      <c r="L3376" s="1" t="str">
        <f t="shared" si="214"/>
        <v>ㄨ</v>
      </c>
      <c r="N3376" s="3" t="s">
        <v>30576</v>
      </c>
      <c r="O3376" s="3"/>
      <c r="P3376" s="1" t="s">
        <v>20</v>
      </c>
      <c r="R3376" s="1" t="s">
        <v>4513</v>
      </c>
      <c r="V3376" s="1" t="s">
        <v>4549</v>
      </c>
      <c r="W3376" s="1" t="s">
        <v>4550</v>
      </c>
      <c r="AR3376" s="1" t="str">
        <f t="shared" si="212"/>
        <v>| [ㄈㄨˇ](ㄈㄨˇ.md) | [俛](俛.md) |  | fǔ | [動]
低頭。同「俯」。《文選．賈誼．過秦論》：「百越之君，俛首係頸，委命下吏。」《文選．曹植．雜詩六首之四》：「俛仰歲將暮，榮耀難久恃。」 |</v>
      </c>
    </row>
    <row r="3377" spans="1:44" hidden="1">
      <c r="A3377" s="1" t="s">
        <v>4551</v>
      </c>
      <c r="C3377" s="1">
        <v>1</v>
      </c>
      <c r="D3377" s="1" t="str">
        <f>"01855"</f>
        <v>01855</v>
      </c>
      <c r="E3377" s="1" t="s">
        <v>24</v>
      </c>
      <c r="F3377" s="1">
        <v>15</v>
      </c>
      <c r="G3377" s="1">
        <v>12</v>
      </c>
      <c r="H3377" s="1">
        <v>0</v>
      </c>
      <c r="I3377" s="1" t="s">
        <v>4512</v>
      </c>
      <c r="K3377" s="1" t="str">
        <f t="shared" si="213"/>
        <v>ㄈ</v>
      </c>
      <c r="L3377" s="1" t="str">
        <f t="shared" si="214"/>
        <v>ㄨ</v>
      </c>
      <c r="N3377" s="3" t="s">
        <v>30576</v>
      </c>
      <c r="O3377" s="3"/>
      <c r="P3377" s="1" t="s">
        <v>20</v>
      </c>
      <c r="R3377" s="1" t="s">
        <v>4513</v>
      </c>
      <c r="V3377" s="1" t="s">
        <v>4552</v>
      </c>
      <c r="AR3377" s="1" t="str">
        <f t="shared" si="212"/>
        <v>| [ㄈㄨˇ](ㄈㄨˇ.md) | [撫](撫.md) |  | fǔ | [動]_x000D_
1.輕輕的摸。如：「撫摸」。《禮記．內則》：「適子庶子見於外寢，撫其首，咳而名之。」晉．陶淵明〈歸去來辭〉：「景翳翳以將入，撫孤松而盤桓。」《聊齋志異．卷四．促織》：「日將暮，取兒稿葬，近撫之，氣息惙然，喜寘榻上，半夜復甦。」_x000D_
2.握、按。《晏子春秋．內篇．雜上》：「其僕將馳，晏子撫其手曰：『徐之，疾不必生，徐不必死。』」《孟子．梁惠王下》：「夫撫劍疾視曰：『彼焉敢當我哉？』」_x000D_
3.拍、擊。《書經．舜典》：「予擊石撫石，百獸率舞。」北周．庾信〈哀江南賦．序〉：「陸士衡聞而撫掌，是所甘心。」_x000D_
4.彈奏、撥弄。《韓非子．十過》：「因靜坐撫琴而寫之。」《淮南子．脩務》：「然而搏琴撫弦，參彈復徽，……不失一弦。」_x000D_
5.安慰。如：「安撫」、「撫慰」。《國語．晉語一》：「君行，太子從以撫軍也。」《史記．卷九二．淮陰侯列傳》：「方今為將軍計，莫如案甲休兵，鎮趙撫其孤。」_x000D_
6.養育、保護。如：「撫養」、「撫育」。《後漢書．卷八四．列女傳．程文矩妻》：「穆姜慈愛溫仁，撫字益隆。」_x000D_
7.據有、占有。漢．王符《潛夫論．論榮》：「處隸圉不足以為恥，撫四海不足以為榮。」《三國演義》第七三回：「今已撫有兩川之地，可以應天順人，即皇帝位。」_x000D_
8.照顧、對待。明．歸有光〈項脊軒志〉：「嫗，先大母婢也，乳二世，先妣撫之甚厚。」_x000D_
[名]_x000D_
巡撫的簡稱。如：「浙撫」。《禎朝詔疏．奏議．卷九．保東南以裕安攘疏》：「江撫宜駐九江，贛撫宜駐吉安。」清．徐珂《清稗類鈔．獄訟類．順治辛丑奏銷案》：「蘇撫朱國治強愎自用，造欠冊達部，號曰抗糧。」 |</v>
      </c>
    </row>
    <row r="3378" spans="1:44" hidden="1">
      <c r="A3378" s="1" t="s">
        <v>4553</v>
      </c>
      <c r="C3378" s="1">
        <v>1</v>
      </c>
      <c r="D3378" s="1" t="str">
        <f>"01856"</f>
        <v>01856</v>
      </c>
      <c r="E3378" s="1" t="s">
        <v>684</v>
      </c>
      <c r="F3378" s="1">
        <v>15</v>
      </c>
      <c r="G3378" s="1">
        <v>6</v>
      </c>
      <c r="H3378" s="1">
        <v>0</v>
      </c>
      <c r="I3378" s="1" t="s">
        <v>4512</v>
      </c>
      <c r="K3378" s="1" t="str">
        <f t="shared" si="213"/>
        <v>ㄈ</v>
      </c>
      <c r="L3378" s="1" t="str">
        <f t="shared" si="214"/>
        <v>ㄨ</v>
      </c>
      <c r="N3378" s="3" t="s">
        <v>30576</v>
      </c>
      <c r="O3378" s="3"/>
      <c r="P3378" s="1" t="s">
        <v>20</v>
      </c>
      <c r="R3378" s="1" t="s">
        <v>4513</v>
      </c>
      <c r="V3378" s="1" t="s">
        <v>4554</v>
      </c>
      <c r="AR3378" s="1" t="str">
        <f t="shared" si="212"/>
        <v>| [ㄈㄨˇ](ㄈㄨˇ.md) | [頫](頫.md) |  | fǔ | [動]
低頭、低下。同「俯」。《漢書．卷三一．陳勝項籍傳．贊曰》：「百粵之君頫首係頸，委命下吏。」《文選．曹植．七啟》：「頫眺流星，仰觀八隅。」 |</v>
      </c>
    </row>
    <row r="3379" spans="1:44" hidden="1">
      <c r="A3379" s="1" t="s">
        <v>4625</v>
      </c>
      <c r="C3379" s="1">
        <v>1</v>
      </c>
      <c r="D3379" s="1" t="str">
        <f>"01892"</f>
        <v>01892</v>
      </c>
      <c r="E3379" s="1" t="s">
        <v>2419</v>
      </c>
      <c r="F3379" s="1">
        <v>9</v>
      </c>
      <c r="G3379" s="1">
        <v>3</v>
      </c>
      <c r="H3379" s="1">
        <v>0</v>
      </c>
      <c r="I3379" s="1" t="s">
        <v>4626</v>
      </c>
      <c r="K3379" s="1" t="str">
        <f t="shared" si="213"/>
        <v>ㄉ</v>
      </c>
      <c r="L3379" s="1" t="str">
        <f t="shared" si="214"/>
        <v>ㄚ</v>
      </c>
      <c r="M3379" s="1" t="str">
        <f t="shared" ref="M3379:M3442" si="215">MID(I3379, 3, 1)</f>
        <v/>
      </c>
      <c r="P3379" s="1" t="s">
        <v>20</v>
      </c>
      <c r="R3379" s="1" t="s">
        <v>4627</v>
      </c>
      <c r="V3379" s="1" t="s">
        <v>4628</v>
      </c>
      <c r="AR3379" s="1" t="str">
        <f t="shared" si="212"/>
        <v>| [ㄉㄚ](ㄉㄚ.md) | [耷](耷.md) |  | dā | [名]
大耳朵。《集韻．入聲．盍韻》：「耷，大耳曰耷。」 |</v>
      </c>
    </row>
    <row r="3380" spans="1:44" hidden="1">
      <c r="A3380" s="1" t="s">
        <v>4629</v>
      </c>
      <c r="C3380" s="1">
        <v>1</v>
      </c>
      <c r="D3380" s="1" t="str">
        <f>"01893"</f>
        <v>01893</v>
      </c>
      <c r="E3380" s="1" t="s">
        <v>49</v>
      </c>
      <c r="F3380" s="1">
        <v>12</v>
      </c>
      <c r="G3380" s="1">
        <v>6</v>
      </c>
      <c r="H3380" s="1">
        <v>2</v>
      </c>
      <c r="I3380" s="1" t="s">
        <v>4626</v>
      </c>
      <c r="K3380" s="1" t="str">
        <f t="shared" si="213"/>
        <v>ㄉ</v>
      </c>
      <c r="L3380" s="1" t="str">
        <f t="shared" si="214"/>
        <v>ㄚ</v>
      </c>
      <c r="M3380" s="1" t="str">
        <f t="shared" si="215"/>
        <v/>
      </c>
      <c r="P3380" s="1" t="s">
        <v>20</v>
      </c>
      <c r="R3380" s="1" t="s">
        <v>4627</v>
      </c>
      <c r="V3380" s="1" t="s">
        <v>4630</v>
      </c>
      <c r="W3380" s="1" t="s">
        <v>4631</v>
      </c>
      <c r="AR3380" s="1" t="str">
        <f t="shared" si="212"/>
        <v>| [ㄉㄚ](ㄉㄚ.md) | [答](答.md) |  | dā | [動]
1.應允、對答。如：「答應」。
2.理睬、打招呼。如：「答理」。
[擬]
參見「答答」條。
[名]
姓。如古代有陶邑大夫答子，為答姓之始。 |</v>
      </c>
    </row>
    <row r="3381" spans="1:44" hidden="1">
      <c r="A3381" s="1" t="s">
        <v>4632</v>
      </c>
      <c r="C3381" s="1">
        <v>1</v>
      </c>
      <c r="D3381" s="1" t="str">
        <f>"01894"</f>
        <v>01894</v>
      </c>
      <c r="E3381" s="1" t="s">
        <v>24</v>
      </c>
      <c r="F3381" s="1">
        <v>13</v>
      </c>
      <c r="G3381" s="1">
        <v>10</v>
      </c>
      <c r="H3381" s="1">
        <v>0</v>
      </c>
      <c r="I3381" s="1" t="s">
        <v>4626</v>
      </c>
      <c r="K3381" s="1" t="str">
        <f t="shared" si="213"/>
        <v>ㄉ</v>
      </c>
      <c r="L3381" s="1" t="str">
        <f t="shared" si="214"/>
        <v>ㄚ</v>
      </c>
      <c r="M3381" s="1" t="str">
        <f t="shared" si="215"/>
        <v/>
      </c>
      <c r="P3381" s="1" t="s">
        <v>20</v>
      </c>
      <c r="R3381" s="1" t="s">
        <v>4627</v>
      </c>
      <c r="V3381" s="1" t="s">
        <v>4633</v>
      </c>
      <c r="AR3381" s="1" t="str">
        <f t="shared" si="212"/>
        <v>| [ㄉㄚ](ㄉㄚ.md) | [搭](搭.md) |  | dā | [動]
1.掛、披掛。《字彙．手部》：「搭，掛也。」宋．林逋〈湖山小隱〉詩：「步穿僧徑出，肩搭道衣歸。」
2.覆蓋。如：「他身上搭著一條毛毯。」
3.架設、架起。如：「搭橋」、「搭帳棚」。唐．韓偓〈夜深〉詩：「夜深斜搭鞦韆索，樓閣朦朧煙雨中。」
4.連接、接著。如：「兩條電線已搭上了。」《紅樓夢》第三〇回：「纔要搭言，也趁勢兒取個笑。」
5.鉤、牽引。如：「勾搭」。《水滸傳》第四六回：「枯草裡舒出兩把撓鉤，正把時遷一撓鉤搭住。」
6.配合。如：「搭配」、「兩種藥搭著服用。」
7.參預、加入。如：「搭伙」。元．張國賓《合汗衫》第四折：「我也到那裡去搭一份齋，追薦我亡夫張孝友去來。」
8.乘坐。如：「搭車」、「搭船」。
9.按。《清平山堂話本．快嘴李翠蓮記》：「張狼因父母做主，只得含淚寫了休書，兩邊搭了手印。」
[名]
1.披在身上的短衣。宋．林逋〈深居雜興〉詩六首之一：「中有病夫披白搭，瘦行清坐詠遺篇。」
2.姓。如元代有搭海。 |</v>
      </c>
    </row>
    <row r="3382" spans="1:44" hidden="1">
      <c r="A3382" s="1" t="s">
        <v>4634</v>
      </c>
      <c r="C3382" s="1">
        <v>1</v>
      </c>
      <c r="D3382" s="1" t="str">
        <f>"01895"</f>
        <v>01895</v>
      </c>
      <c r="E3382" s="1" t="s">
        <v>28</v>
      </c>
      <c r="F3382" s="1">
        <v>13</v>
      </c>
      <c r="G3382" s="1">
        <v>10</v>
      </c>
      <c r="H3382" s="1">
        <v>2</v>
      </c>
      <c r="I3382" s="1" t="s">
        <v>4626</v>
      </c>
      <c r="K3382" s="1" t="str">
        <f t="shared" si="213"/>
        <v>ㄉ</v>
      </c>
      <c r="L3382" s="1" t="str">
        <f t="shared" si="214"/>
        <v>ㄚ</v>
      </c>
      <c r="M3382" s="1" t="str">
        <f t="shared" si="215"/>
        <v/>
      </c>
      <c r="P3382" s="1" t="s">
        <v>20</v>
      </c>
      <c r="R3382" s="1" t="s">
        <v>4627</v>
      </c>
      <c r="V3382" s="1" t="s">
        <v>4635</v>
      </c>
      <c r="W3382" s="1" t="s">
        <v>4636</v>
      </c>
      <c r="AR3382" s="1" t="str">
        <f t="shared" si="212"/>
        <v>| [ㄉㄚ](ㄉㄚ.md) | [嗒](嗒.md) |  | dā | [擬]_x000D_
模擬馬蹄聲或機槍連續射擊的聲音。如：「嗒嗒的馬蹄聲」、「機槍嗒嗒地響」。 |</v>
      </c>
    </row>
    <row r="3383" spans="1:44" hidden="1">
      <c r="A3383" s="1" t="s">
        <v>4637</v>
      </c>
      <c r="C3383" s="1">
        <v>1</v>
      </c>
      <c r="D3383" s="1" t="str">
        <f>"01896"</f>
        <v>01896</v>
      </c>
      <c r="E3383" s="1" t="s">
        <v>340</v>
      </c>
      <c r="F3383" s="1">
        <v>16</v>
      </c>
      <c r="G3383" s="1">
        <v>10</v>
      </c>
      <c r="H3383" s="1">
        <v>0</v>
      </c>
      <c r="I3383" s="1" t="s">
        <v>4626</v>
      </c>
      <c r="K3383" s="1" t="str">
        <f t="shared" si="213"/>
        <v>ㄉ</v>
      </c>
      <c r="L3383" s="1" t="str">
        <f t="shared" si="214"/>
        <v>ㄚ</v>
      </c>
      <c r="M3383" s="1" t="str">
        <f t="shared" si="215"/>
        <v/>
      </c>
      <c r="P3383" s="1" t="s">
        <v>20</v>
      </c>
      <c r="R3383" s="1" t="s">
        <v>4627</v>
      </c>
      <c r="V3383" s="1" t="s">
        <v>4638</v>
      </c>
      <c r="AR3383" s="1" t="str">
        <f t="shared" si="212"/>
        <v>| [ㄉㄚ](ㄉㄚ.md) | [褡](褡.md) |  | dā | [名]
1.無袖的衣服。如背心稱為「背褡」。
2.盛物的囊袋。如：「錢褡」。 |</v>
      </c>
    </row>
    <row r="3384" spans="1:44" hidden="1">
      <c r="A3384" s="1" t="s">
        <v>4639</v>
      </c>
      <c r="C3384" s="1">
        <v>1</v>
      </c>
      <c r="D3384" s="1" t="str">
        <f>"01897"</f>
        <v>01897</v>
      </c>
      <c r="E3384" s="1" t="s">
        <v>28</v>
      </c>
      <c r="F3384" s="1">
        <v>16</v>
      </c>
      <c r="G3384" s="1">
        <v>13</v>
      </c>
      <c r="H3384" s="1">
        <v>2</v>
      </c>
      <c r="I3384" s="1" t="s">
        <v>4626</v>
      </c>
      <c r="K3384" s="1" t="str">
        <f t="shared" si="213"/>
        <v>ㄉ</v>
      </c>
      <c r="L3384" s="1" t="str">
        <f t="shared" si="214"/>
        <v>ㄚ</v>
      </c>
      <c r="M3384" s="1" t="str">
        <f t="shared" si="215"/>
        <v/>
      </c>
      <c r="P3384" s="1" t="s">
        <v>20</v>
      </c>
      <c r="R3384" s="1" t="s">
        <v>4627</v>
      </c>
      <c r="V3384" s="1" t="s">
        <v>4640</v>
      </c>
      <c r="W3384" s="1" t="s">
        <v>4641</v>
      </c>
      <c r="AR3384" s="1" t="str">
        <f t="shared" si="212"/>
        <v>| [ㄉㄚ](ㄉㄚ.md) | [噠](噠.md) |  | dā | [擬]_x000D_
噠噠，擬聲詞：(1)模擬馬蹄聲。如：「馬蹄噠噠地響。」也作「嗒嗒」。(2)模擬機槍掃射的聲音。如：「機關槍正噠噠地掃射敵軍的陣營。」也作「嗒嗒」。 |</v>
      </c>
    </row>
    <row r="3385" spans="1:44" hidden="1">
      <c r="A3385" s="1" t="s">
        <v>4642</v>
      </c>
      <c r="C3385" s="1">
        <v>1</v>
      </c>
      <c r="D3385" s="1" t="str">
        <f>"01898"</f>
        <v>01898</v>
      </c>
      <c r="E3385" s="1" t="s">
        <v>77</v>
      </c>
      <c r="F3385" s="1">
        <v>20</v>
      </c>
      <c r="G3385" s="1">
        <v>13</v>
      </c>
      <c r="H3385" s="1">
        <v>2</v>
      </c>
      <c r="I3385" s="1" t="s">
        <v>4626</v>
      </c>
      <c r="K3385" s="1" t="str">
        <f t="shared" si="213"/>
        <v>ㄉ</v>
      </c>
      <c r="L3385" s="1" t="str">
        <f t="shared" si="214"/>
        <v>ㄚ</v>
      </c>
      <c r="M3385" s="1" t="str">
        <f t="shared" si="215"/>
        <v/>
      </c>
      <c r="P3385" s="1" t="s">
        <v>20</v>
      </c>
      <c r="R3385" s="1" t="s">
        <v>4627</v>
      </c>
      <c r="V3385" s="1" t="s">
        <v>4643</v>
      </c>
      <c r="W3385" s="1" t="s">
        <v>4644</v>
      </c>
      <c r="AR3385" s="1" t="str">
        <f t="shared" si="212"/>
        <v>| [ㄉㄚ](ㄉㄚ.md) | [躂](躂.md) |  | dā | 參見「蹓躂」條。 |</v>
      </c>
    </row>
    <row r="3386" spans="1:44" hidden="1">
      <c r="A3386" s="1" t="s">
        <v>4690</v>
      </c>
      <c r="C3386" s="1">
        <v>1</v>
      </c>
      <c r="D3386" s="1" t="str">
        <f>"01916"</f>
        <v>01916</v>
      </c>
      <c r="E3386" s="1" t="s">
        <v>28</v>
      </c>
      <c r="F3386" s="1">
        <v>14</v>
      </c>
      <c r="G3386" s="1">
        <v>11</v>
      </c>
      <c r="H3386" s="1">
        <v>0</v>
      </c>
      <c r="I3386" s="1" t="s">
        <v>4691</v>
      </c>
      <c r="K3386" s="1" t="str">
        <f t="shared" si="213"/>
        <v>ㄉ</v>
      </c>
      <c r="L3386" s="1" t="str">
        <f t="shared" si="214"/>
        <v>ㄜ</v>
      </c>
      <c r="M3386" s="1" t="str">
        <f t="shared" si="215"/>
        <v/>
      </c>
      <c r="P3386" s="1" t="s">
        <v>20</v>
      </c>
      <c r="R3386" s="1" t="s">
        <v>4692</v>
      </c>
      <c r="V3386" s="1" t="s">
        <v>4693</v>
      </c>
      <c r="AR3386" s="1" t="str">
        <f t="shared" si="212"/>
        <v>| [ㄉㄜ](ㄉㄜ.md) | [嘚](嘚.md) |  | dē | [動]_x000D_
嘮叨。參見「嘚啵」條。_x000D_
[擬]_x000D_
1.模擬馬蹄踏地的聲音。如：「嘚！嘚！嘚！遠方響起陣陣的馬蹄聲。」_x000D_
2.趕驢、騾等牲口前進的吆喝聲。如：「王老頭往驢屁股一揮鞭，叫道：『嘚──走！』」 |</v>
      </c>
    </row>
    <row r="3387" spans="1:44" hidden="1">
      <c r="A3387" s="1" t="s">
        <v>4714</v>
      </c>
      <c r="C3387" s="1">
        <v>1</v>
      </c>
      <c r="D3387" s="1" t="str">
        <f>"01923"</f>
        <v>01923</v>
      </c>
      <c r="E3387" s="1" t="s">
        <v>28</v>
      </c>
      <c r="F3387" s="1">
        <v>7</v>
      </c>
      <c r="G3387" s="1">
        <v>4</v>
      </c>
      <c r="H3387" s="1">
        <v>1</v>
      </c>
      <c r="I3387" s="1" t="s">
        <v>4715</v>
      </c>
      <c r="K3387" s="1" t="str">
        <f t="shared" si="213"/>
        <v>ㄉ</v>
      </c>
      <c r="L3387" s="1" t="str">
        <f t="shared" si="214"/>
        <v>ㄞ</v>
      </c>
      <c r="M3387" s="1" t="str">
        <f t="shared" si="215"/>
        <v/>
      </c>
      <c r="P3387" s="1" t="s">
        <v>20</v>
      </c>
      <c r="R3387" s="1" t="s">
        <v>4716</v>
      </c>
      <c r="V3387" s="1" t="s">
        <v>4717</v>
      </c>
      <c r="W3387" s="1" t="s">
        <v>4718</v>
      </c>
      <c r="AR3387" s="1" t="str">
        <f t="shared" si="212"/>
        <v>| [ㄉㄞ](ㄉㄞ.md) | [呆](呆.md) |  | dāi | [形]
1.痴愚、笨傻。如：「呆子」、「呆頭呆腦」。元．宮大用《范張雞黍》第二折：「我待學踰垣的段干木，非為𢠳。垂釣的嚴子陵，不是呆。」
2.反應不靈敏。如：「呆滯」、「呆板」。
[動]
發愣。《水滸傳》第五回：「魯智深……一壺酒、一盤肉，都吃了，太公對席看見，呆了半晌。」程乙本《紅樓夢》第三二回：「寶玉正出了神，見襲人和他說話，並未看出是誰，只管呆著臉。」
[副]
表情死板、神志恍惚。如：「呆笑」、「呆望」、「他目睹那場車禍，簡直嚇呆了！」 |</v>
      </c>
    </row>
    <row r="3388" spans="1:44" hidden="1">
      <c r="A3388" s="1" t="s">
        <v>4719</v>
      </c>
      <c r="C3388" s="1">
        <v>1</v>
      </c>
      <c r="D3388" s="1" t="str">
        <f>"01924"</f>
        <v>01924</v>
      </c>
      <c r="E3388" s="1" t="s">
        <v>234</v>
      </c>
      <c r="F3388" s="1">
        <v>9</v>
      </c>
      <c r="G3388" s="1">
        <v>6</v>
      </c>
      <c r="H3388" s="1">
        <v>2</v>
      </c>
      <c r="I3388" s="1" t="s">
        <v>4715</v>
      </c>
      <c r="K3388" s="1" t="str">
        <f t="shared" si="213"/>
        <v>ㄉ</v>
      </c>
      <c r="L3388" s="1" t="str">
        <f t="shared" si="214"/>
        <v>ㄞ</v>
      </c>
      <c r="M3388" s="1" t="str">
        <f t="shared" si="215"/>
        <v/>
      </c>
      <c r="P3388" s="1" t="s">
        <v>20</v>
      </c>
      <c r="R3388" s="1" t="s">
        <v>4716</v>
      </c>
      <c r="V3388" s="1" t="s">
        <v>4720</v>
      </c>
      <c r="W3388" s="1" t="s">
        <v>4721</v>
      </c>
      <c r="AR3388" s="1" t="str">
        <f t="shared" si="212"/>
        <v>| [ㄉㄞ](ㄉㄞ.md) | [待](待.md) |  | dāi | [動]
逗留、停留。如：「這些銀兩夠你在此地待上十天半個月的。」《兒女英雄傳》第三七回：「候選教官，因選補無期，家裡又待不住，便帶了兒子來京。」 |</v>
      </c>
    </row>
    <row r="3389" spans="1:44" hidden="1">
      <c r="A3389" s="1" t="s">
        <v>4722</v>
      </c>
      <c r="C3389" s="1">
        <v>1</v>
      </c>
      <c r="D3389" s="1" t="str">
        <f>"01925"</f>
        <v>01925</v>
      </c>
      <c r="E3389" s="1" t="s">
        <v>198</v>
      </c>
      <c r="F3389" s="1">
        <v>14</v>
      </c>
      <c r="G3389" s="1">
        <v>10</v>
      </c>
      <c r="H3389" s="1">
        <v>1</v>
      </c>
      <c r="I3389" s="1" t="s">
        <v>4715</v>
      </c>
      <c r="K3389" s="1" t="str">
        <f t="shared" si="213"/>
        <v>ㄉ</v>
      </c>
      <c r="L3389" s="1" t="str">
        <f t="shared" si="214"/>
        <v>ㄞ</v>
      </c>
      <c r="M3389" s="1" t="str">
        <f t="shared" si="215"/>
        <v/>
      </c>
      <c r="P3389" s="1" t="s">
        <v>20</v>
      </c>
      <c r="R3389" s="1" t="s">
        <v>4716</v>
      </c>
      <c r="V3389" s="1" t="s">
        <v>4723</v>
      </c>
      <c r="W3389" s="1" t="s">
        <v>4724</v>
      </c>
      <c r="AR3389" s="1" t="str">
        <f t="shared" si="212"/>
        <v>| [ㄉㄞ](ㄉㄞ.md) | [獃](獃.md) |  | dāi | [形]
痴愚。《儒林外史》第一三回：「獃兄弟，這又沒主意了。」今作「呆」。 |</v>
      </c>
    </row>
    <row r="3390" spans="1:44" hidden="1">
      <c r="A3390" s="1" t="s">
        <v>4793</v>
      </c>
      <c r="C3390" s="1">
        <v>1</v>
      </c>
      <c r="D3390" s="1" t="str">
        <f>"01954"</f>
        <v>01954</v>
      </c>
      <c r="E3390" s="1" t="s">
        <v>185</v>
      </c>
      <c r="F3390" s="1">
        <v>2</v>
      </c>
      <c r="G3390" s="1">
        <v>0</v>
      </c>
      <c r="H3390" s="1">
        <v>0</v>
      </c>
      <c r="I3390" s="1" t="s">
        <v>4794</v>
      </c>
      <c r="K3390" s="1" t="str">
        <f t="shared" si="213"/>
        <v>ㄉ</v>
      </c>
      <c r="L3390" s="1" t="str">
        <f t="shared" si="214"/>
        <v>ㄠ</v>
      </c>
      <c r="M3390" s="1" t="str">
        <f t="shared" si="215"/>
        <v/>
      </c>
      <c r="P3390" s="1" t="s">
        <v>20</v>
      </c>
      <c r="R3390" s="1" t="s">
        <v>4795</v>
      </c>
      <c r="V3390" s="1" t="s">
        <v>4796</v>
      </c>
      <c r="AR3390" s="1" t="str">
        <f t="shared" si="212"/>
        <v>| [ㄉㄠ](ㄉㄠ.md) | [刀](刀.md) |  | dāo | [名]
1.武器名。一種用來砍殺，頗具殺傷力的兵器。如：「大刀」、「寶刀」、「軍刀」、「武士刀」。
2.切、削、剪、刻、割、斬的工具。多以鋼鐵製成。如：「菜刀」、「鍘刀」、「剪刀」、「鐮刀」、「雕刻刀」。
3.古代的錢幣。外形如刀。《史記．卷三〇．平準書》：「農、工、商交易之路通，而龜貝金錢刀布之幣興焉。」
4.量詞：(1)計算切割次數的單位。如：「老屠戶在那塊豬肉上劃了幾刀。」(2)計算紙張的單位。一百張為一刀。如：「一刀稿紙」。
5.姓。如明代有刀幹孟。
6.二一四部首之一。 |</v>
      </c>
    </row>
    <row r="3391" spans="1:44" hidden="1">
      <c r="A3391" s="1" t="s">
        <v>4797</v>
      </c>
      <c r="C3391" s="1">
        <v>1</v>
      </c>
      <c r="D3391" s="1" t="str">
        <f>"01955"</f>
        <v>01955</v>
      </c>
      <c r="E3391" s="1" t="s">
        <v>250</v>
      </c>
      <c r="F3391" s="1">
        <v>5</v>
      </c>
      <c r="G3391" s="1">
        <v>2</v>
      </c>
      <c r="H3391" s="1">
        <v>0</v>
      </c>
      <c r="I3391" s="1" t="s">
        <v>4794</v>
      </c>
      <c r="K3391" s="1" t="str">
        <f t="shared" si="213"/>
        <v>ㄉ</v>
      </c>
      <c r="L3391" s="1" t="str">
        <f t="shared" si="214"/>
        <v>ㄠ</v>
      </c>
      <c r="M3391" s="1" t="str">
        <f t="shared" si="215"/>
        <v/>
      </c>
      <c r="P3391" s="1" t="s">
        <v>20</v>
      </c>
      <c r="R3391" s="1" t="s">
        <v>4795</v>
      </c>
      <c r="V3391" s="1" t="s">
        <v>4798</v>
      </c>
      <c r="AR3391" s="1" t="str">
        <f t="shared" si="212"/>
        <v>| [ㄉㄠ](ㄉㄠ.md) | [忉](忉.md) |  | dāo | [形]
憂心忡忡。《廣韻．平聲．豪韻》：「忉，憂心貌。」 |</v>
      </c>
    </row>
    <row r="3392" spans="1:44" hidden="1">
      <c r="A3392" s="1" t="s">
        <v>4799</v>
      </c>
      <c r="C3392" s="1">
        <v>1</v>
      </c>
      <c r="D3392" s="1" t="str">
        <f>"01956"</f>
        <v>01956</v>
      </c>
      <c r="E3392" s="1" t="s">
        <v>28</v>
      </c>
      <c r="F3392" s="1">
        <v>5</v>
      </c>
      <c r="G3392" s="1">
        <v>2</v>
      </c>
      <c r="H3392" s="1">
        <v>2</v>
      </c>
      <c r="I3392" s="1" t="s">
        <v>4794</v>
      </c>
      <c r="K3392" s="1" t="str">
        <f t="shared" si="213"/>
        <v>ㄉ</v>
      </c>
      <c r="L3392" s="1" t="str">
        <f t="shared" si="214"/>
        <v>ㄠ</v>
      </c>
      <c r="M3392" s="1" t="str">
        <f t="shared" si="215"/>
        <v/>
      </c>
      <c r="P3392" s="1" t="s">
        <v>20</v>
      </c>
      <c r="R3392" s="1" t="s">
        <v>4795</v>
      </c>
      <c r="V3392" s="1" t="s">
        <v>4800</v>
      </c>
      <c r="W3392" s="1" t="s">
        <v>4801</v>
      </c>
      <c r="AR3392" s="1" t="str">
        <f t="shared" si="212"/>
        <v>| [ㄉㄠ](ㄉㄠ.md) | [叨](叨.md) |  | dāo | [動]
話多、饒舌。如：「嘮叨」、「叨叨」。 |</v>
      </c>
    </row>
    <row r="3393" spans="1:44" hidden="1">
      <c r="A3393" s="1" t="s">
        <v>4802</v>
      </c>
      <c r="C3393" s="1">
        <v>1</v>
      </c>
      <c r="D3393" s="1" t="str">
        <f>"01957"</f>
        <v>01957</v>
      </c>
      <c r="E3393" s="1" t="s">
        <v>181</v>
      </c>
      <c r="F3393" s="1">
        <v>8</v>
      </c>
      <c r="G3393" s="1">
        <v>2</v>
      </c>
      <c r="H3393" s="1">
        <v>0</v>
      </c>
      <c r="I3393" s="1" t="s">
        <v>4794</v>
      </c>
      <c r="K3393" s="1" t="str">
        <f t="shared" si="213"/>
        <v>ㄉ</v>
      </c>
      <c r="L3393" s="1" t="str">
        <f t="shared" si="214"/>
        <v>ㄠ</v>
      </c>
      <c r="M3393" s="1" t="str">
        <f t="shared" si="215"/>
        <v/>
      </c>
      <c r="P3393" s="1" t="s">
        <v>20</v>
      </c>
      <c r="R3393" s="1" t="s">
        <v>4795</v>
      </c>
      <c r="V3393" s="1" t="s">
        <v>4803</v>
      </c>
      <c r="AR3393" s="1" t="str">
        <f t="shared" si="212"/>
        <v>| [ㄉㄠ](ㄉㄠ.md) | [舠](舠.md) |  | dāo | [名]
1.刀形的小船。南朝梁．劉勰《文心雕龍．夸飾》：「是以言峻則嵩高極天，論狹則河不容舠。」宋．陸游〈齋中夜坐有感〉詩：「浣花江色綠如黛，春波灩灩浮輕舠。」
2.一種大酒杯。唐．李德裕〈述夢詩四十韻〉：「無聊燃密炬，誰復勸金舠。」自注：「酒器中大者呼為舠。賓僚顧形跡，未曾以此相勸。」 |</v>
      </c>
    </row>
    <row r="3394" spans="1:44" hidden="1">
      <c r="A3394" s="1" t="s">
        <v>4804</v>
      </c>
      <c r="C3394" s="1">
        <v>1</v>
      </c>
      <c r="D3394" s="1" t="str">
        <f>"01958"</f>
        <v>01958</v>
      </c>
      <c r="E3394" s="1" t="s">
        <v>2228</v>
      </c>
      <c r="F3394" s="1">
        <v>6</v>
      </c>
      <c r="G3394" s="1">
        <v>2</v>
      </c>
      <c r="H3394" s="1">
        <v>0</v>
      </c>
      <c r="I3394" s="1" t="s">
        <v>4794</v>
      </c>
      <c r="K3394" s="1" t="str">
        <f t="shared" si="213"/>
        <v>ㄉ</v>
      </c>
      <c r="L3394" s="1" t="str">
        <f t="shared" si="214"/>
        <v>ㄠ</v>
      </c>
      <c r="M3394" s="1" t="str">
        <f t="shared" si="215"/>
        <v/>
      </c>
      <c r="P3394" s="1" t="s">
        <v>20</v>
      </c>
      <c r="R3394" s="1" t="s">
        <v>4795</v>
      </c>
      <c r="V3394" s="1" t="s">
        <v>4805</v>
      </c>
      <c r="AR3394" s="1" t="str">
        <f t="shared" si="212"/>
        <v>| [ㄉㄠ](ㄉㄠ.md) | [氘](氘.md) |  | dāo | [名]
氫的一種同位素。其原子核中含有一中子及一質子，比氫原子核多一個中子，其質量較氫原子核約重一倍。也稱為「重氫」。 |</v>
      </c>
    </row>
    <row r="3395" spans="1:44" hidden="1">
      <c r="A3395" s="1" t="s">
        <v>4857</v>
      </c>
      <c r="C3395" s="1">
        <v>1</v>
      </c>
      <c r="D3395" s="1" t="str">
        <f>"01979"</f>
        <v>01979</v>
      </c>
      <c r="E3395" s="1" t="s">
        <v>28</v>
      </c>
      <c r="F3395" s="1">
        <v>10</v>
      </c>
      <c r="G3395" s="1">
        <v>7</v>
      </c>
      <c r="H3395" s="1">
        <v>0</v>
      </c>
      <c r="I3395" s="1" t="s">
        <v>4858</v>
      </c>
      <c r="K3395" s="1" t="str">
        <f t="shared" si="213"/>
        <v>ㄉ</v>
      </c>
      <c r="L3395" s="1" t="str">
        <f t="shared" si="214"/>
        <v>ㄡ</v>
      </c>
      <c r="M3395" s="1" t="str">
        <f t="shared" si="215"/>
        <v/>
      </c>
      <c r="P3395" s="1" t="s">
        <v>20</v>
      </c>
      <c r="R3395" s="1" t="s">
        <v>4859</v>
      </c>
      <c r="V3395" s="1" t="s">
        <v>4860</v>
      </c>
      <c r="AR3395" s="1" t="str">
        <f t="shared" ref="AR3395:AR3458" si="216">"| ["&amp;I3395&amp;"]("&amp;I3395&amp;".md) | ["&amp;A3395&amp;"]("&amp;A3395&amp;".md) | "&amp;" | "&amp;R3395&amp;" | "&amp;V3395&amp;" |"</f>
        <v>| [ㄉㄡ](ㄉㄡ.md) | [唗](唗.md) |  | dōu | [歎]
憤怒斥責的聲音。多用於早期的小說和戲曲。元．吳昌齡《張天師》第一折：「這女人是從那裡來的，必然是妖精鬼怪。唗！」 |</v>
      </c>
    </row>
    <row r="3396" spans="1:44" hidden="1">
      <c r="A3396" s="1" t="s">
        <v>4861</v>
      </c>
      <c r="C3396" s="1">
        <v>1</v>
      </c>
      <c r="D3396" s="1" t="str">
        <f>"01980"</f>
        <v>01980</v>
      </c>
      <c r="E3396" s="1" t="s">
        <v>256</v>
      </c>
      <c r="F3396" s="1">
        <v>11</v>
      </c>
      <c r="G3396" s="1">
        <v>8</v>
      </c>
      <c r="H3396" s="1">
        <v>2</v>
      </c>
      <c r="I3396" s="1" t="s">
        <v>4858</v>
      </c>
      <c r="K3396" s="1" t="str">
        <f t="shared" si="213"/>
        <v>ㄉ</v>
      </c>
      <c r="L3396" s="1" t="str">
        <f t="shared" si="214"/>
        <v>ㄡ</v>
      </c>
      <c r="M3396" s="1" t="str">
        <f t="shared" si="215"/>
        <v/>
      </c>
      <c r="P3396" s="1" t="s">
        <v>20</v>
      </c>
      <c r="R3396" s="1" t="s">
        <v>4859</v>
      </c>
      <c r="V3396" s="1" t="s">
        <v>4862</v>
      </c>
      <c r="W3396" s="1" t="s">
        <v>4863</v>
      </c>
      <c r="AR3396" s="1" t="str">
        <f t="shared" si="216"/>
        <v>| [ㄉㄡ](ㄉㄡ.md) | [都](都.md) |  | dōu | [副]
1.皆。概括全部的意思。如：「都好」、「都是」。
2.還、尚且、甚至。如：「他都如此說了，你又能如何呢！」、「他一動都不動，活像個木頭人似的。」
3.業已、已經。有加重語氣的意味。如：「誤會都造成了，你懊悔也沒用！」
[助]
發語詞，無義。《書經．堯典》：「驩兜曰：『都！共工方鳩僝功。』」 |</v>
      </c>
    </row>
    <row r="3397" spans="1:44" hidden="1">
      <c r="A3397" s="1" t="s">
        <v>4864</v>
      </c>
      <c r="C3397" s="1">
        <v>1</v>
      </c>
      <c r="D3397" s="1" t="str">
        <f>"01981"</f>
        <v>01981</v>
      </c>
      <c r="E3397" s="1" t="s">
        <v>3581</v>
      </c>
      <c r="F3397" s="1">
        <v>11</v>
      </c>
      <c r="G3397" s="1">
        <v>9</v>
      </c>
      <c r="H3397" s="1">
        <v>0</v>
      </c>
      <c r="I3397" s="1" t="s">
        <v>4858</v>
      </c>
      <c r="K3397" s="1" t="str">
        <f t="shared" si="213"/>
        <v>ㄉ</v>
      </c>
      <c r="L3397" s="1" t="str">
        <f t="shared" si="214"/>
        <v>ㄡ</v>
      </c>
      <c r="M3397" s="1" t="str">
        <f t="shared" si="215"/>
        <v/>
      </c>
      <c r="P3397" s="1" t="s">
        <v>20</v>
      </c>
      <c r="R3397" s="1" t="s">
        <v>4859</v>
      </c>
      <c r="V3397" s="1" t="s">
        <v>4865</v>
      </c>
      <c r="AR3397" s="1" t="str">
        <f t="shared" si="216"/>
        <v>| [ㄉㄡ](ㄉㄡ.md) | [兜](兜.md) |  | dōu | [名]
1.一種帽子。明．瞿佑《歸田詩話．宋故宮》：「元廢宋宮為佛寺，西僧皆戴紅兜帽也。」《紅樓夢》第四九回：「見探春正從秋爽齋出來，圍著大紅猩猩氈斗蓬，帶著觀音兜。」
2.穿戴在胸前的衣物。如：「肚兜」、「圍兜」。
3.衣服等物的小口袋，可用來裝東西。如：「褲兜」。《水滸傳》第三八回：「又搶了別人賭的十來兩銀子，都摟在布衫兜裡。」
4.竹轎。元．馬致遠《漢宮秋》第二折：「往常時翠轎香兜，兀自倦朱簾揭繡。」
[動]
1.用雙手或衣襟、裙襬等攏住東西。《西遊記》第二四回：「他卻串枝分葉，敲了三個果，兜在襟中。」
2.繞、轉。如：「兜圈子」。
3.承擔。如：「你放手去做，若有問題我會幫你兜著。」
4.招攬。如：「兜售」、「兜攬」、「兜生意」。 |</v>
      </c>
    </row>
    <row r="3398" spans="1:44" hidden="1">
      <c r="A3398" s="1" t="s">
        <v>4866</v>
      </c>
      <c r="C3398" s="1">
        <v>1</v>
      </c>
      <c r="D3398" s="1" t="str">
        <f>"01982"</f>
        <v>01982</v>
      </c>
      <c r="E3398" s="1" t="s">
        <v>49</v>
      </c>
      <c r="F3398" s="1">
        <v>17</v>
      </c>
      <c r="G3398" s="1">
        <v>11</v>
      </c>
      <c r="H3398" s="1">
        <v>0</v>
      </c>
      <c r="I3398" s="1" t="s">
        <v>4858</v>
      </c>
      <c r="K3398" s="1" t="str">
        <f t="shared" si="213"/>
        <v>ㄉ</v>
      </c>
      <c r="L3398" s="1" t="str">
        <f t="shared" si="214"/>
        <v>ㄡ</v>
      </c>
      <c r="M3398" s="1" t="str">
        <f t="shared" si="215"/>
        <v/>
      </c>
      <c r="P3398" s="1" t="s">
        <v>20</v>
      </c>
      <c r="R3398" s="1" t="s">
        <v>4859</v>
      </c>
      <c r="V3398" s="1" t="s">
        <v>4867</v>
      </c>
      <c r="AR3398" s="1" t="str">
        <f t="shared" si="216"/>
        <v>| [ㄉㄡ](ㄉㄡ.md) | [篼](篼.md) |  | dōu | [名]
1.以竹製成，登山時用的轎子。明．張自烈《正字通．竹部》：「篼，竹輿也，箯之別名，俗謂之篼子。」也稱為「篼子」。
2.竹片、柳條等編成的器具，可用以盛物。如：「背篼」。 |</v>
      </c>
    </row>
    <row r="3399" spans="1:44" hidden="1">
      <c r="A3399" s="1" t="s">
        <v>4901</v>
      </c>
      <c r="C3399" s="1">
        <v>1</v>
      </c>
      <c r="D3399" s="1" t="str">
        <f>"01996"</f>
        <v>01996</v>
      </c>
      <c r="E3399" s="1" t="s">
        <v>4017</v>
      </c>
      <c r="F3399" s="1">
        <v>4</v>
      </c>
      <c r="G3399" s="1">
        <v>3</v>
      </c>
      <c r="H3399" s="1">
        <v>0</v>
      </c>
      <c r="I3399" s="1" t="s">
        <v>4902</v>
      </c>
      <c r="K3399" s="1" t="str">
        <f t="shared" si="213"/>
        <v>ㄉ</v>
      </c>
      <c r="L3399" s="1" t="str">
        <f t="shared" si="214"/>
        <v>ㄢ</v>
      </c>
      <c r="M3399" s="1" t="str">
        <f t="shared" si="215"/>
        <v/>
      </c>
      <c r="P3399" s="1" t="s">
        <v>20</v>
      </c>
      <c r="R3399" s="1" t="s">
        <v>4903</v>
      </c>
      <c r="V3399" s="1" t="s">
        <v>4904</v>
      </c>
      <c r="AR3399" s="1" t="str">
        <f t="shared" si="216"/>
        <v>| [ㄉㄢ](ㄉㄢ.md) | [丹](丹.md) |  | dān | [名]
1.赤色的礦石，可以製成顏料。《書經．禹貢》：「杶幹栝柏，礪砥砮丹。」
2.精煉配製的藥劑。如：「仙丹」、「靈丹妙藥」、「九轉還魂丹」。
3.姓。如漢代有丹玉。
[形]
1.紅色的。如：「丹楓」、「丹脣」、「丹砂」。
2.赤誠的。如：「丹心」、「丹忱」。 |</v>
      </c>
    </row>
    <row r="3400" spans="1:44" hidden="1">
      <c r="A3400" s="1" t="s">
        <v>4905</v>
      </c>
      <c r="C3400" s="1">
        <v>1</v>
      </c>
      <c r="D3400" s="1" t="str">
        <f>"01997"</f>
        <v>01997</v>
      </c>
      <c r="E3400" s="1" t="s">
        <v>1015</v>
      </c>
      <c r="F3400" s="1">
        <v>9</v>
      </c>
      <c r="G3400" s="1">
        <v>4</v>
      </c>
      <c r="H3400" s="1">
        <v>0</v>
      </c>
      <c r="I3400" s="1" t="s">
        <v>4902</v>
      </c>
      <c r="K3400" s="1" t="str">
        <f t="shared" si="213"/>
        <v>ㄉ</v>
      </c>
      <c r="L3400" s="1" t="str">
        <f t="shared" si="214"/>
        <v>ㄢ</v>
      </c>
      <c r="M3400" s="1" t="str">
        <f t="shared" si="215"/>
        <v/>
      </c>
      <c r="P3400" s="1" t="s">
        <v>20</v>
      </c>
      <c r="R3400" s="1" t="s">
        <v>4903</v>
      </c>
      <c r="V3400" s="1" t="s">
        <v>4906</v>
      </c>
      <c r="AR3400" s="1" t="str">
        <f t="shared" si="216"/>
        <v>| [ㄉㄢ](ㄉㄢ.md) | [眈](眈.md) |  | dān | [副]
眈眈：注視、逼視的樣子。如：「虎視眈眈」。 |</v>
      </c>
    </row>
    <row r="3401" spans="1:44" hidden="1">
      <c r="A3401" s="1" t="s">
        <v>4907</v>
      </c>
      <c r="C3401" s="1">
        <v>1</v>
      </c>
      <c r="D3401" s="1" t="str">
        <f>"01998"</f>
        <v>01998</v>
      </c>
      <c r="E3401" s="1" t="s">
        <v>2419</v>
      </c>
      <c r="F3401" s="1">
        <v>10</v>
      </c>
      <c r="G3401" s="1">
        <v>4</v>
      </c>
      <c r="H3401" s="1">
        <v>0</v>
      </c>
      <c r="I3401" s="1" t="s">
        <v>4902</v>
      </c>
      <c r="K3401" s="1" t="str">
        <f t="shared" si="213"/>
        <v>ㄉ</v>
      </c>
      <c r="L3401" s="1" t="str">
        <f t="shared" si="214"/>
        <v>ㄢ</v>
      </c>
      <c r="M3401" s="1" t="str">
        <f t="shared" si="215"/>
        <v/>
      </c>
      <c r="P3401" s="1" t="s">
        <v>20</v>
      </c>
      <c r="R3401" s="1" t="s">
        <v>4903</v>
      </c>
      <c r="V3401" s="1" t="s">
        <v>4908</v>
      </c>
      <c r="AR3401" s="1" t="str">
        <f t="shared" si="216"/>
        <v>| [ㄉㄢ](ㄉㄢ.md) | [耽](耽.md) |  | dān | [動]
1.延遲、滯留。如：「耽誤」、「耽擱」。
2.沉迷。如：「耽溺」。《文選．枚乘．七發》：「意者久耽安樂，日夜無極。」清．張爾岐〈辨志〉：「耽口體之養，徇耳目之娛。」
[形]
1.耳朵大而下垂。《淮南子．墬形》：「夸父耽耳，在其北方。」
2.快樂。《禮記．中庸》：「兄弟既翕，和樂且耽。」漢．鄭玄．注：「亦樂也。」 |</v>
      </c>
    </row>
    <row r="3402" spans="1:44" hidden="1">
      <c r="A3402" s="1" t="s">
        <v>4909</v>
      </c>
      <c r="C3402" s="1">
        <v>1</v>
      </c>
      <c r="D3402" s="1" t="str">
        <f>"01999"</f>
        <v>01999</v>
      </c>
      <c r="E3402" s="1" t="s">
        <v>1462</v>
      </c>
      <c r="F3402" s="1">
        <v>11</v>
      </c>
      <c r="G3402" s="1">
        <v>4</v>
      </c>
      <c r="H3402" s="1">
        <v>1</v>
      </c>
      <c r="I3402" s="1" t="s">
        <v>4902</v>
      </c>
      <c r="K3402" s="1" t="str">
        <f t="shared" si="213"/>
        <v>ㄉ</v>
      </c>
      <c r="L3402" s="1" t="str">
        <f t="shared" si="214"/>
        <v>ㄢ</v>
      </c>
      <c r="M3402" s="1" t="str">
        <f t="shared" si="215"/>
        <v/>
      </c>
      <c r="P3402" s="1" t="s">
        <v>20</v>
      </c>
      <c r="R3402" s="1" t="s">
        <v>4903</v>
      </c>
      <c r="V3402" s="1" t="s">
        <v>4910</v>
      </c>
      <c r="W3402" s="1" t="s">
        <v>4911</v>
      </c>
      <c r="AR3402" s="1" t="str">
        <f t="shared" si="216"/>
        <v>| [ㄉㄢ](ㄉㄢ.md) | [酖](酖.md) |  | dān | [動]
嗜酒、喜好喝酒。《說文解字．酉部》：「酖，樂酒也。」 |</v>
      </c>
    </row>
    <row r="3403" spans="1:44" hidden="1">
      <c r="A3403" s="1" t="s">
        <v>4912</v>
      </c>
      <c r="C3403" s="1">
        <v>1</v>
      </c>
      <c r="D3403" s="1" t="str">
        <f>"02000"</f>
        <v>02000</v>
      </c>
      <c r="E3403" s="1" t="s">
        <v>2419</v>
      </c>
      <c r="F3403" s="1">
        <v>11</v>
      </c>
      <c r="G3403" s="1">
        <v>5</v>
      </c>
      <c r="H3403" s="1">
        <v>0</v>
      </c>
      <c r="I3403" s="1" t="s">
        <v>4902</v>
      </c>
      <c r="K3403" s="1" t="str">
        <f t="shared" si="213"/>
        <v>ㄉ</v>
      </c>
      <c r="L3403" s="1" t="str">
        <f t="shared" si="214"/>
        <v>ㄢ</v>
      </c>
      <c r="M3403" s="1" t="str">
        <f t="shared" si="215"/>
        <v/>
      </c>
      <c r="P3403" s="1" t="s">
        <v>20</v>
      </c>
      <c r="R3403" s="1" t="s">
        <v>4903</v>
      </c>
      <c r="V3403" s="1" t="s">
        <v>4913</v>
      </c>
      <c r="AR3403" s="1" t="str">
        <f t="shared" si="216"/>
        <v>| [ㄉㄢ](ㄉㄢ.md) | [聃](聃.md) |  | dān | [動]
沉迷。通「耽」。《列子．楊朱》：「方其聃于色也，屏親昵，絕交遊。」
[形]
耳朵大且長。宋．蘇軾〈補禪月羅漢贊〉九首之二：「聃耳屬肩，綺眉覆顴。」
[名]
中國古代哲學家老子李耳的字。也稱為「老聃」。 |</v>
      </c>
    </row>
    <row r="3404" spans="1:44" hidden="1">
      <c r="A3404" s="1" t="s">
        <v>4914</v>
      </c>
      <c r="C3404" s="1">
        <v>1</v>
      </c>
      <c r="D3404" s="1" t="str">
        <f>"02001"</f>
        <v>02001</v>
      </c>
      <c r="E3404" s="1" t="s">
        <v>129</v>
      </c>
      <c r="F3404" s="1">
        <v>12</v>
      </c>
      <c r="G3404" s="1">
        <v>9</v>
      </c>
      <c r="H3404" s="1">
        <v>2</v>
      </c>
      <c r="I3404" s="1" t="s">
        <v>4902</v>
      </c>
      <c r="K3404" s="1" t="str">
        <f t="shared" si="213"/>
        <v>ㄉ</v>
      </c>
      <c r="L3404" s="1" t="str">
        <f t="shared" si="214"/>
        <v>ㄢ</v>
      </c>
      <c r="M3404" s="1" t="str">
        <f t="shared" si="215"/>
        <v/>
      </c>
      <c r="P3404" s="1" t="s">
        <v>20</v>
      </c>
      <c r="R3404" s="1" t="s">
        <v>4903</v>
      </c>
      <c r="V3404" s="1" t="s">
        <v>4915</v>
      </c>
      <c r="W3404" s="1" t="s">
        <v>4916</v>
      </c>
      <c r="AR3404" s="1" t="str">
        <f t="shared" si="216"/>
        <v>| [ㄉㄢ](ㄉㄢ.md) | [湛](湛.md) |  | dān | [形]
快樂。《詩經．小雅．鹿鳴》：「鼓瑟鼓琴，和樂且湛。」 |</v>
      </c>
    </row>
    <row r="3405" spans="1:44" hidden="1">
      <c r="A3405" s="1" t="s">
        <v>4917</v>
      </c>
      <c r="C3405" s="1">
        <v>1</v>
      </c>
      <c r="D3405" s="1" t="str">
        <f>"02002"</f>
        <v>02002</v>
      </c>
      <c r="E3405" s="1" t="s">
        <v>250</v>
      </c>
      <c r="F3405" s="1">
        <v>12</v>
      </c>
      <c r="G3405" s="1">
        <v>9</v>
      </c>
      <c r="H3405" s="1">
        <v>2</v>
      </c>
      <c r="I3405" s="1" t="s">
        <v>4902</v>
      </c>
      <c r="K3405" s="1" t="str">
        <f t="shared" si="213"/>
        <v>ㄉ</v>
      </c>
      <c r="L3405" s="1" t="str">
        <f t="shared" si="214"/>
        <v>ㄢ</v>
      </c>
      <c r="M3405" s="1" t="str">
        <f t="shared" si="215"/>
        <v/>
      </c>
      <c r="P3405" s="1" t="s">
        <v>20</v>
      </c>
      <c r="R3405" s="1" t="s">
        <v>4903</v>
      </c>
      <c r="V3405" s="1" t="s">
        <v>4918</v>
      </c>
      <c r="W3405" s="1" t="s">
        <v>4919</v>
      </c>
      <c r="AR3405" s="1" t="str">
        <f t="shared" si="216"/>
        <v>| [ㄉㄢ](ㄉㄢ.md) | [愖](愖.md) |  | dān | [形]
逸樂。《大戴禮記．卷一一．少閒》：「優以繼愖，政出自家門，此之謂失政也。」 |</v>
      </c>
    </row>
    <row r="3406" spans="1:44" hidden="1">
      <c r="A3406" s="1" t="s">
        <v>4920</v>
      </c>
      <c r="C3406" s="1">
        <v>1</v>
      </c>
      <c r="D3406" s="1" t="str">
        <f>"02003"</f>
        <v>02003</v>
      </c>
      <c r="E3406" s="1" t="s">
        <v>28</v>
      </c>
      <c r="F3406" s="1">
        <v>12</v>
      </c>
      <c r="G3406" s="1">
        <v>9</v>
      </c>
      <c r="H3406" s="1">
        <v>1</v>
      </c>
      <c r="I3406" s="1" t="s">
        <v>4902</v>
      </c>
      <c r="K3406" s="1" t="str">
        <f t="shared" si="213"/>
        <v>ㄉ</v>
      </c>
      <c r="L3406" s="1" t="str">
        <f t="shared" si="214"/>
        <v>ㄢ</v>
      </c>
      <c r="M3406" s="1" t="str">
        <f t="shared" si="215"/>
        <v/>
      </c>
      <c r="P3406" s="1" t="s">
        <v>20</v>
      </c>
      <c r="R3406" s="1" t="s">
        <v>4903</v>
      </c>
      <c r="V3406" s="1" t="s">
        <v>4921</v>
      </c>
      <c r="W3406" s="1" t="s">
        <v>4922</v>
      </c>
      <c r="AR3406" s="1" t="str">
        <f t="shared" si="216"/>
        <v>| [ㄉㄢ](ㄉㄢ.md) | [單](單.md) |  | dān | [形]
1.單獨、一個。與「複」相對。如：「單身貴族」、「單槍匹馬」。唐．韓愈〈祭十二郎文〉：「兩世一身，形單影隻。」
2.奇數的。與「雙」相對。如：「單數」、「單日」、「單號」。
3.薄弱、孤零。《後漢書．卷一九．耿恭傳》：「耿恭以單兵固守孤城，當匈奴之衝。」南朝梁．鍾嶸〈詩品序〉：「寒客衣單，孀閨淚盡。」
4.不複雜、少變化。如：「簡單」、「單純」、「單調」。
5.零的代稱。宋．史達祖〈西江月．三十六宮月冷〉詞：「三十六宮月冷，百單八顆香懸。」《京本通俗小說．志誠張主管》：「至今那一串一百單八顆數珠，不知下落。」
6.衣物是孤層的。如：「單衣」、「單褲」。
[名]
1.記載事物的紙張。如：「名單」、「帳單」、「稅單」、「傳單」。
2.單層的布或衣物。如：「被單」、「床單」、「褥單」。
[副]
1.僅、只。如：「單靠我一個人的力量是不夠的。」、「單說不做，是不會成功的。」《紅樓夢》第五二回：「他是忍不住的，一時氣了，或打或罵，依舊嚷來不好。所以單告訴你。」
2.孤獨的、獨自一人的。如：「單打獨鬥」。《後漢書．卷八二．方術傳上．李郃傳》：「和帝即位，分遣使者，皆微服單行。」 |</v>
      </c>
    </row>
    <row r="3407" spans="1:44" hidden="1">
      <c r="A3407" s="1" t="s">
        <v>4923</v>
      </c>
      <c r="C3407" s="1">
        <v>1</v>
      </c>
      <c r="D3407" s="1" t="str">
        <f>"02004"</f>
        <v>02004</v>
      </c>
      <c r="E3407" s="1" t="s">
        <v>256</v>
      </c>
      <c r="F3407" s="1">
        <v>15</v>
      </c>
      <c r="G3407" s="1">
        <v>12</v>
      </c>
      <c r="H3407" s="1">
        <v>0</v>
      </c>
      <c r="I3407" s="1" t="s">
        <v>4902</v>
      </c>
      <c r="K3407" s="1" t="str">
        <f t="shared" si="213"/>
        <v>ㄉ</v>
      </c>
      <c r="L3407" s="1" t="str">
        <f t="shared" si="214"/>
        <v>ㄢ</v>
      </c>
      <c r="M3407" s="1" t="str">
        <f t="shared" si="215"/>
        <v/>
      </c>
      <c r="P3407" s="1" t="s">
        <v>20</v>
      </c>
      <c r="R3407" s="1" t="s">
        <v>4903</v>
      </c>
      <c r="V3407" s="1" t="s">
        <v>4924</v>
      </c>
      <c r="AR3407" s="1" t="str">
        <f t="shared" si="216"/>
        <v>| [ㄉㄢ](ㄉㄢ.md) | [鄲](鄲.md) |  | dān | 參見「邯鄲」條。 |</v>
      </c>
    </row>
    <row r="3408" spans="1:44" hidden="1">
      <c r="A3408" s="1" t="s">
        <v>4925</v>
      </c>
      <c r="C3408" s="1">
        <v>1</v>
      </c>
      <c r="D3408" s="1" t="str">
        <f>"02005"</f>
        <v>02005</v>
      </c>
      <c r="E3408" s="1" t="s">
        <v>1372</v>
      </c>
      <c r="F3408" s="1">
        <v>16</v>
      </c>
      <c r="G3408" s="1">
        <v>12</v>
      </c>
      <c r="H3408" s="1">
        <v>0</v>
      </c>
      <c r="I3408" s="1" t="s">
        <v>4902</v>
      </c>
      <c r="K3408" s="1" t="str">
        <f t="shared" si="213"/>
        <v>ㄉ</v>
      </c>
      <c r="L3408" s="1" t="str">
        <f t="shared" si="214"/>
        <v>ㄢ</v>
      </c>
      <c r="M3408" s="1" t="str">
        <f t="shared" si="215"/>
        <v/>
      </c>
      <c r="P3408" s="1" t="s">
        <v>20</v>
      </c>
      <c r="R3408" s="1" t="s">
        <v>4903</v>
      </c>
      <c r="V3408" s="1" t="s">
        <v>4926</v>
      </c>
      <c r="AR3408" s="1" t="str">
        <f t="shared" si="216"/>
        <v>| [ㄉㄢ](ㄉㄢ.md) | [殫](殫.md) |  | dān | [動]
竭盡。如：「殫思竭慮」。《漢書．卷六〇．杜欽傳》：「殫天下之財以奉淫侈，匱萬姓之力以從耳目。」唐．柳宗元〈捕蛇者說〉：「殫其地之出，竭其廬之入，號呼而轉徒，饑渴而頓踣。」 |</v>
      </c>
    </row>
    <row r="3409" spans="1:44" hidden="1">
      <c r="A3409" s="1" t="s">
        <v>4927</v>
      </c>
      <c r="C3409" s="1">
        <v>1</v>
      </c>
      <c r="D3409" s="1" t="str">
        <f>"02006"</f>
        <v>02006</v>
      </c>
      <c r="E3409" s="1" t="s">
        <v>40</v>
      </c>
      <c r="F3409" s="1">
        <v>17</v>
      </c>
      <c r="G3409" s="1">
        <v>12</v>
      </c>
      <c r="H3409" s="1">
        <v>2</v>
      </c>
      <c r="I3409" s="1" t="s">
        <v>4902</v>
      </c>
      <c r="K3409" s="1" t="str">
        <f t="shared" si="213"/>
        <v>ㄉ</v>
      </c>
      <c r="L3409" s="1" t="str">
        <f t="shared" si="214"/>
        <v>ㄢ</v>
      </c>
      <c r="M3409" s="1" t="str">
        <f t="shared" si="215"/>
        <v/>
      </c>
      <c r="P3409" s="1" t="s">
        <v>20</v>
      </c>
      <c r="R3409" s="1" t="s">
        <v>4903</v>
      </c>
      <c r="V3409" s="1" t="s">
        <v>4928</v>
      </c>
      <c r="W3409" s="1" t="s">
        <v>4929</v>
      </c>
      <c r="AR3409" s="1" t="str">
        <f t="shared" si="216"/>
        <v>| [ㄉㄢ](ㄉㄢ.md) | [癉](癉.md) |  | dān | 參見「火癉」條。 |</v>
      </c>
    </row>
    <row r="3410" spans="1:44" hidden="1">
      <c r="A3410" s="1" t="s">
        <v>4930</v>
      </c>
      <c r="C3410" s="1">
        <v>1</v>
      </c>
      <c r="D3410" s="1" t="str">
        <f>"02007"</f>
        <v>02007</v>
      </c>
      <c r="E3410" s="1" t="s">
        <v>340</v>
      </c>
      <c r="F3410" s="1">
        <v>18</v>
      </c>
      <c r="G3410" s="1">
        <v>12</v>
      </c>
      <c r="H3410" s="1">
        <v>0</v>
      </c>
      <c r="I3410" s="1" t="s">
        <v>4902</v>
      </c>
      <c r="K3410" s="1" t="str">
        <f t="shared" si="213"/>
        <v>ㄉ</v>
      </c>
      <c r="L3410" s="1" t="str">
        <f t="shared" si="214"/>
        <v>ㄢ</v>
      </c>
      <c r="M3410" s="1" t="str">
        <f t="shared" si="215"/>
        <v/>
      </c>
      <c r="P3410" s="1" t="s">
        <v>20</v>
      </c>
      <c r="R3410" s="1" t="s">
        <v>4903</v>
      </c>
      <c r="V3410" s="1" t="s">
        <v>4931</v>
      </c>
      <c r="AR3410" s="1" t="str">
        <f t="shared" si="216"/>
        <v>| [ㄉㄢ](ㄉㄢ.md) | [襌](襌.md) |  | dān | [名]
無襯裡的衣裳。《禮記．玉藻》：「襌為絅。」漢．鄭玄．注：「有衣裳而無裡。」 |</v>
      </c>
    </row>
    <row r="3411" spans="1:44" hidden="1">
      <c r="A3411" s="1" t="s">
        <v>4932</v>
      </c>
      <c r="C3411" s="1">
        <v>1</v>
      </c>
      <c r="D3411" s="1" t="str">
        <f>"02008"</f>
        <v>02008</v>
      </c>
      <c r="E3411" s="1" t="s">
        <v>49</v>
      </c>
      <c r="F3411" s="1">
        <v>18</v>
      </c>
      <c r="G3411" s="1">
        <v>12</v>
      </c>
      <c r="H3411" s="1">
        <v>0</v>
      </c>
      <c r="I3411" s="1" t="s">
        <v>4902</v>
      </c>
      <c r="K3411" s="1" t="str">
        <f t="shared" si="213"/>
        <v>ㄉ</v>
      </c>
      <c r="L3411" s="1" t="str">
        <f t="shared" si="214"/>
        <v>ㄢ</v>
      </c>
      <c r="M3411" s="1" t="str">
        <f t="shared" si="215"/>
        <v/>
      </c>
      <c r="P3411" s="1" t="s">
        <v>20</v>
      </c>
      <c r="R3411" s="1" t="s">
        <v>4903</v>
      </c>
      <c r="V3411" s="1" t="s">
        <v>4933</v>
      </c>
      <c r="AR3411" s="1" t="str">
        <f t="shared" si="216"/>
        <v>| [ㄉㄢ](ㄉㄢ.md) | [簞](簞.md) |  | dān | [名]
盛飯的圓形竹器。如：「簞瓢屢空」、「簞食壺漿」。《論語．雍也》：「賢哉回也！一簞食，一瓢飲，在陋巷，人不堪其憂，回也不改其樂。」 |</v>
      </c>
    </row>
    <row r="3412" spans="1:44" hidden="1">
      <c r="A3412" s="1" t="s">
        <v>4934</v>
      </c>
      <c r="C3412" s="1">
        <v>1</v>
      </c>
      <c r="D3412" s="1" t="str">
        <f>"02009"</f>
        <v>02009</v>
      </c>
      <c r="E3412" s="1" t="s">
        <v>114</v>
      </c>
      <c r="F3412" s="1">
        <v>15</v>
      </c>
      <c r="G3412" s="1">
        <v>13</v>
      </c>
      <c r="H3412" s="1">
        <v>0</v>
      </c>
      <c r="I3412" s="1" t="s">
        <v>4902</v>
      </c>
      <c r="K3412" s="1" t="str">
        <f t="shared" si="213"/>
        <v>ㄉ</v>
      </c>
      <c r="L3412" s="1" t="str">
        <f t="shared" si="214"/>
        <v>ㄢ</v>
      </c>
      <c r="M3412" s="1" t="str">
        <f t="shared" si="215"/>
        <v/>
      </c>
      <c r="P3412" s="1" t="s">
        <v>20</v>
      </c>
      <c r="R3412" s="1" t="s">
        <v>4903</v>
      </c>
      <c r="V3412" s="1" t="s">
        <v>4935</v>
      </c>
      <c r="AR3412" s="1" t="str">
        <f t="shared" si="216"/>
        <v>| [ㄉㄢ](ㄉㄢ.md) | [儋](儋.md) |  | dān | [動]
擔負、負荷。同「擔」。《漢書．卷八七．揚雄傳下》：「析人之圭，儋人之爵，懷人之符，分人之祿。」南朝宋．劉義慶《世說新語．黜免》：「上人箸百尺樓上，儋梯將去。」
[名]
1.盛物的器具。《聊齋志異．卷一．王成》：「王喜，遂行，購鶉盈儋，復入郡。」
2.儋縣：縣名。隸屬大陸地區海南特別行政區，在海南島西岸。
3.姓。如周代有儋翩。 |</v>
      </c>
    </row>
    <row r="3413" spans="1:44" hidden="1">
      <c r="A3413" s="1" t="s">
        <v>4936</v>
      </c>
      <c r="C3413" s="1">
        <v>1</v>
      </c>
      <c r="D3413" s="1" t="str">
        <f>"02010"</f>
        <v>02010</v>
      </c>
      <c r="E3413" s="1" t="s">
        <v>24</v>
      </c>
      <c r="F3413" s="1">
        <v>16</v>
      </c>
      <c r="G3413" s="1">
        <v>13</v>
      </c>
      <c r="H3413" s="1">
        <v>1</v>
      </c>
      <c r="I3413" s="1" t="s">
        <v>4902</v>
      </c>
      <c r="K3413" s="1" t="str">
        <f t="shared" si="213"/>
        <v>ㄉ</v>
      </c>
      <c r="L3413" s="1" t="str">
        <f t="shared" si="214"/>
        <v>ㄢ</v>
      </c>
      <c r="M3413" s="1" t="str">
        <f t="shared" si="215"/>
        <v/>
      </c>
      <c r="P3413" s="1" t="s">
        <v>20</v>
      </c>
      <c r="R3413" s="1" t="s">
        <v>4903</v>
      </c>
      <c r="V3413" s="1" t="s">
        <v>4937</v>
      </c>
      <c r="W3413" s="1" t="s">
        <v>4938</v>
      </c>
      <c r="AR3413" s="1" t="str">
        <f t="shared" si="216"/>
        <v>| [ㄉㄢ](ㄉㄢ.md) | [擔](擔.md) |  | dān | [動]
1.用肩膀挑東西。如：「擔水」。《戰國策．秦策一》：「羸縢履蹻，負書擔橐。」
2.參見「扁擔」條。
3.負責、承當。如：「擔風險」、「這責任我恐怕擔不起。」《紅樓夢》第六七回：「人家陪著你走了二三千里的路程，受了四五個月的辛苦，而且在路上又替你擔了多少的驚怕沉重。」 |</v>
      </c>
    </row>
    <row r="3414" spans="1:44" hidden="1">
      <c r="A3414" s="1" t="s">
        <v>4939</v>
      </c>
      <c r="C3414" s="1">
        <v>1</v>
      </c>
      <c r="D3414" s="1" t="str">
        <f>"02011"</f>
        <v>02011</v>
      </c>
      <c r="E3414" s="1" t="s">
        <v>1824</v>
      </c>
      <c r="F3414" s="1">
        <v>18</v>
      </c>
      <c r="G3414" s="1">
        <v>13</v>
      </c>
      <c r="H3414" s="1">
        <v>1</v>
      </c>
      <c r="I3414" s="1" t="s">
        <v>4902</v>
      </c>
      <c r="K3414" s="1" t="str">
        <f t="shared" si="213"/>
        <v>ㄉ</v>
      </c>
      <c r="L3414" s="1" t="str">
        <f t="shared" si="214"/>
        <v>ㄢ</v>
      </c>
      <c r="M3414" s="1" t="str">
        <f t="shared" si="215"/>
        <v/>
      </c>
      <c r="P3414" s="1" t="s">
        <v>20</v>
      </c>
      <c r="R3414" s="1" t="s">
        <v>4903</v>
      </c>
      <c r="V3414" s="1" t="s">
        <v>4940</v>
      </c>
      <c r="W3414" s="1" t="s">
        <v>4941</v>
      </c>
      <c r="AR3414" s="1" t="str">
        <f t="shared" si="216"/>
        <v>| [ㄉㄢ](ㄉㄢ.md) | [甔](甔.md) |  | dān | [名]
可容一石的瓦器。《史記．卷一二九．貨殖傳》：「漿千甔、屠牛羊彘千皮。」 |</v>
      </c>
    </row>
    <row r="3415" spans="1:44" hidden="1">
      <c r="A3415" s="1" t="s">
        <v>5029</v>
      </c>
      <c r="C3415" s="1">
        <v>1</v>
      </c>
      <c r="D3415" s="1" t="str">
        <f>"02047"</f>
        <v>02047</v>
      </c>
      <c r="E3415" s="1" t="s">
        <v>753</v>
      </c>
      <c r="F3415" s="1">
        <v>13</v>
      </c>
      <c r="G3415" s="1">
        <v>8</v>
      </c>
      <c r="H3415" s="1">
        <v>1</v>
      </c>
      <c r="I3415" s="1" t="s">
        <v>5030</v>
      </c>
      <c r="K3415" s="1" t="str">
        <f t="shared" si="213"/>
        <v>ㄉ</v>
      </c>
      <c r="L3415" s="1" t="str">
        <f t="shared" si="214"/>
        <v>ㄤ</v>
      </c>
      <c r="M3415" s="1" t="str">
        <f t="shared" si="215"/>
        <v/>
      </c>
      <c r="P3415" s="1" t="s">
        <v>20</v>
      </c>
      <c r="R3415" s="1" t="s">
        <v>5031</v>
      </c>
      <c r="V3415" s="1" t="s">
        <v>5032</v>
      </c>
      <c r="W3415" s="1" t="s">
        <v>5033</v>
      </c>
      <c r="AR3415" s="1" t="str">
        <f t="shared" si="216"/>
        <v>| [ㄉㄤ](ㄉㄤ.md) | [當](當.md) |  | dāng | [動]_x000D_
1.擔任。如：「當記者」、「當教員」。_x000D_
2.主管、管理。如：「當位」、「當權」、「當政」。《紅樓夢》第六回：「這位鳳姑娘，今年不過十八、九歲罷了，就這等有本事，當這樣的家，可是難得的！」_x000D_
3.承受。如：「不敢當」、「敢做敢當」、「當之無愧」。_x000D_
4.適合、相稱。如：「門當戶對」、「旗鼓相當」。_x000D_
5.面對、對著。如：「當面談話」、「當機立斷」、「當仁不讓」、「首當其衝」、「當著大家道個歉，把事情了了。」_x000D_
6.輪值。如：「當班」。《左傳．宣公十二年》：「右廣初駕，數及日中；左則受之，以至于昏。內官序當其夜，以待不虞。不可謂無備。」_x000D_
7.當作、作為 。如：「安步當車」、「寒夜客來茶當酒」。_x000D_
8.判決、判處。《史記．卷一〇二．張釋之馮唐列傳．張釋之》：「此人親驚吾馬，吾馬賴柔和，令他馬，固不敗傷我乎？而廷尉乃當之罰金！」_x000D_
[代]_x000D_
彼、那。指在事情發生的時間內。如：「當年」、「當時」、「當天」。_x000D_
[介]_x000D_
1.表示動作行為的方向。漢．王充《論衡．變動》：「盛夏之時，當風而立；隆冬之月，嚮日而坐。」_x000D_
2.表示動作行為的時間。《孟子．滕文公上》：「當堯之時，天下猶未平。」《史記．卷七．項羽本紀》：「當是時，項羽兵四十萬，在新豐鴻門；沛公兵十萬，在霸上。」_x000D_
[副]_x000D_
應該。如：「出門在外，當用則用，不必太節省。」《韓非子．初見秦》：「秦當霸而不霸，天下固以量秦之謀臣一矣。」《史記．卷八七．李斯列傳》：「安得亡國之言！此非人臣所當議也！」_x000D_
[擬]_x000D_
模擬撞擊金屬器物的聲音。如：「當！當！當！這是寺廟傳來的鐘聲。」_x000D_
[名]_x000D_
頂端。如瓜蒂稱為「瓜當」，屋簷頂端的蓋瓦頭稱為「瓦當」。 |</v>
      </c>
    </row>
    <row r="3416" spans="1:44" hidden="1">
      <c r="A3416" s="1" t="s">
        <v>5034</v>
      </c>
      <c r="C3416" s="1">
        <v>1</v>
      </c>
      <c r="D3416" s="1" t="str">
        <f>"02048"</f>
        <v>02048</v>
      </c>
      <c r="E3416" s="1" t="s">
        <v>28</v>
      </c>
      <c r="F3416" s="1">
        <v>16</v>
      </c>
      <c r="G3416" s="1">
        <v>13</v>
      </c>
      <c r="H3416" s="1">
        <v>0</v>
      </c>
      <c r="I3416" s="1" t="s">
        <v>5030</v>
      </c>
      <c r="K3416" s="1" t="str">
        <f t="shared" si="213"/>
        <v>ㄉ</v>
      </c>
      <c r="L3416" s="1" t="str">
        <f t="shared" si="214"/>
        <v>ㄤ</v>
      </c>
      <c r="M3416" s="1" t="str">
        <f t="shared" si="215"/>
        <v/>
      </c>
      <c r="P3416" s="1" t="s">
        <v>20</v>
      </c>
      <c r="R3416" s="1" t="s">
        <v>5031</v>
      </c>
      <c r="V3416" s="1" t="s">
        <v>5035</v>
      </c>
      <c r="AR3416" s="1" t="str">
        <f t="shared" si="216"/>
        <v>| [ㄉㄤ](ㄉㄤ.md) | [噹](噹.md) |  | dāng | [擬]_x000D_
模擬撞擊金屬器物所發出的聲音。《兒女英雄傳》第二二回：「只聽得噹噹噹一片鑼響，嘩啦啦扯起船篷，那些船家叫著號兒，點了一篙，那船便離了岸。」 |</v>
      </c>
    </row>
    <row r="3417" spans="1:44" hidden="1">
      <c r="A3417" s="1" t="s">
        <v>5036</v>
      </c>
      <c r="C3417" s="1">
        <v>1</v>
      </c>
      <c r="D3417" s="1" t="str">
        <f>"02049"</f>
        <v>02049</v>
      </c>
      <c r="E3417" s="1" t="s">
        <v>142</v>
      </c>
      <c r="F3417" s="1">
        <v>17</v>
      </c>
      <c r="G3417" s="1">
        <v>13</v>
      </c>
      <c r="H3417" s="1">
        <v>0</v>
      </c>
      <c r="I3417" s="1" t="s">
        <v>5030</v>
      </c>
      <c r="K3417" s="1" t="str">
        <f t="shared" si="213"/>
        <v>ㄉ</v>
      </c>
      <c r="L3417" s="1" t="str">
        <f t="shared" si="214"/>
        <v>ㄤ</v>
      </c>
      <c r="M3417" s="1" t="str">
        <f t="shared" si="215"/>
        <v/>
      </c>
      <c r="P3417" s="1" t="s">
        <v>20</v>
      </c>
      <c r="R3417" s="1" t="s">
        <v>5031</v>
      </c>
      <c r="V3417" s="1" t="s">
        <v>5037</v>
      </c>
      <c r="AR3417" s="1" t="str">
        <f t="shared" si="216"/>
        <v>| [ㄉㄤ](ㄉㄤ.md) | [璫](璫.md) |  | dāng | [名]
1.古人在帽前以金或銀製成的華麗裝飾物。如：「金璫」、「銀璫」。
2.戴在耳垂上的珠玉。《文選．曹植．洛神賦》：「無微情以效愛兮，獻江南之明璫。」南朝梁．劉勰《文心雕龍．雜文》：「唯士衡運思，理新文敏，而裁章置句，廣於舊篇，豈慕朱仲四寸之璫乎！」
3.漢代宦官帽子上的裝飾品。後用以比喻宦官。如：「奸璫」、「權璫」。 |</v>
      </c>
    </row>
    <row r="3418" spans="1:44" hidden="1">
      <c r="A3418" s="1" t="s">
        <v>5038</v>
      </c>
      <c r="C3418" s="1">
        <v>1</v>
      </c>
      <c r="D3418" s="1" t="str">
        <f>"02050"</f>
        <v>02050</v>
      </c>
      <c r="E3418" s="1" t="s">
        <v>340</v>
      </c>
      <c r="F3418" s="1">
        <v>19</v>
      </c>
      <c r="G3418" s="1">
        <v>13</v>
      </c>
      <c r="H3418" s="1">
        <v>0</v>
      </c>
      <c r="I3418" s="1" t="s">
        <v>5030</v>
      </c>
      <c r="K3418" s="1" t="str">
        <f t="shared" si="213"/>
        <v>ㄉ</v>
      </c>
      <c r="L3418" s="1" t="str">
        <f t="shared" si="214"/>
        <v>ㄤ</v>
      </c>
      <c r="M3418" s="1" t="str">
        <f t="shared" si="215"/>
        <v/>
      </c>
      <c r="P3418" s="1" t="s">
        <v>20</v>
      </c>
      <c r="R3418" s="1" t="s">
        <v>5031</v>
      </c>
      <c r="V3418" s="1" t="s">
        <v>5039</v>
      </c>
      <c r="AR3418" s="1" t="str">
        <f t="shared" si="216"/>
        <v>| [ㄉㄤ](ㄉㄤ.md) | [襠](襠.md) |  | dāng | [名]
褲子兩片腿管相連的地方。如：「褲襠」、「開襠褲」。 |</v>
      </c>
    </row>
    <row r="3419" spans="1:44" hidden="1">
      <c r="A3419" s="1" t="s">
        <v>5040</v>
      </c>
      <c r="C3419" s="1">
        <v>1</v>
      </c>
      <c r="D3419" s="1" t="str">
        <f>"02051"</f>
        <v>02051</v>
      </c>
      <c r="E3419" s="1" t="s">
        <v>49</v>
      </c>
      <c r="F3419" s="1">
        <v>19</v>
      </c>
      <c r="G3419" s="1">
        <v>13</v>
      </c>
      <c r="H3419" s="1">
        <v>0</v>
      </c>
      <c r="I3419" s="1" t="s">
        <v>5030</v>
      </c>
      <c r="K3419" s="1" t="str">
        <f t="shared" si="213"/>
        <v>ㄉ</v>
      </c>
      <c r="L3419" s="1" t="str">
        <f t="shared" si="214"/>
        <v>ㄤ</v>
      </c>
      <c r="M3419" s="1" t="str">
        <f t="shared" si="215"/>
        <v/>
      </c>
      <c r="P3419" s="1" t="s">
        <v>20</v>
      </c>
      <c r="R3419" s="1" t="s">
        <v>5031</v>
      </c>
      <c r="V3419" s="1" t="s">
        <v>5041</v>
      </c>
      <c r="AR3419" s="1" t="str">
        <f t="shared" si="216"/>
        <v>| [ㄉㄤ](ㄉㄤ.md) | [簹](簹.md) |  | dāng | 參見「篔簹」條。 |</v>
      </c>
    </row>
    <row r="3420" spans="1:44" hidden="1">
      <c r="A3420" s="1" t="s">
        <v>5042</v>
      </c>
      <c r="C3420" s="1">
        <v>1</v>
      </c>
      <c r="D3420" s="1" t="str">
        <f>"02052"</f>
        <v>02052</v>
      </c>
      <c r="E3420" s="1" t="s">
        <v>55</v>
      </c>
      <c r="F3420" s="1">
        <v>21</v>
      </c>
      <c r="G3420" s="1">
        <v>13</v>
      </c>
      <c r="H3420" s="1">
        <v>1</v>
      </c>
      <c r="I3420" s="1" t="s">
        <v>5030</v>
      </c>
      <c r="K3420" s="1" t="str">
        <f t="shared" si="213"/>
        <v>ㄉ</v>
      </c>
      <c r="L3420" s="1" t="str">
        <f t="shared" si="214"/>
        <v>ㄤ</v>
      </c>
      <c r="M3420" s="1" t="str">
        <f t="shared" si="215"/>
        <v/>
      </c>
      <c r="P3420" s="1" t="s">
        <v>20</v>
      </c>
      <c r="R3420" s="1" t="s">
        <v>5031</v>
      </c>
      <c r="V3420" s="1" t="s">
        <v>5043</v>
      </c>
      <c r="W3420" s="1" t="s">
        <v>5044</v>
      </c>
      <c r="AR3420" s="1" t="str">
        <f t="shared" si="216"/>
        <v>| [ㄉㄤ](ㄉㄤ.md) | [鐺](鐺.md) |  | dāng | 參見「鋃鐺」、「鐺鐺」等條。 |</v>
      </c>
    </row>
    <row r="3421" spans="1:44" hidden="1">
      <c r="A3421" s="1" t="s">
        <v>5083</v>
      </c>
      <c r="C3421" s="1">
        <v>1</v>
      </c>
      <c r="D3421" s="1" t="str">
        <f>"02070"</f>
        <v>02070</v>
      </c>
      <c r="E3421" s="1" t="s">
        <v>147</v>
      </c>
      <c r="F3421" s="1">
        <v>12</v>
      </c>
      <c r="G3421" s="1">
        <v>7</v>
      </c>
      <c r="H3421" s="1">
        <v>0</v>
      </c>
      <c r="I3421" s="1" t="s">
        <v>5084</v>
      </c>
      <c r="K3421" s="1" t="str">
        <f t="shared" si="213"/>
        <v>ㄉ</v>
      </c>
      <c r="L3421" s="1" t="str">
        <f t="shared" si="214"/>
        <v>ㄥ</v>
      </c>
      <c r="M3421" s="1" t="str">
        <f t="shared" si="215"/>
        <v/>
      </c>
      <c r="P3421" s="1" t="s">
        <v>20</v>
      </c>
      <c r="R3421" s="1" t="s">
        <v>5085</v>
      </c>
      <c r="V3421" s="1" t="s">
        <v>5086</v>
      </c>
      <c r="AR3421" s="1" t="str">
        <f t="shared" si="216"/>
        <v>| [ㄉㄥ](ㄉㄥ.md) | [登](登.md) |  | dēng | [動]
1.上、升。由低處到高處。如：「登山」、「登峰造極」、「一步登天」、「捷足先登」。《禮記．中庸》：「君子之道，辟如行遠必自邇，辟如登高必自卑。」宋．陳與義〈臨江仙．憶昔午橋橋上飲〉詞：「閒登小閣看新晴。古今多少事，漁唱起三更。」
2.進用、提拔。《管子．小匡》：「退而察問其鄉里，以觀其所能，而無大過，登以為上卿之佐。」唐．韓愈〈八月十五夜贈張功曹〉詩：「昨者州前搥大鼓，嗣皇繼聖登夔皋。」
3.成熟。《孟子．滕文公上》：「五穀不登，禽獸偪人。」宋．蘇軾〈荔支歎〉：「雨順風調百穀登，民不飢寒為上瑞。」
4.記錄、刊載。如：「登記」、「登報」、「登帳」、「刊登」。
5.科舉考試合格被錄取。唐．鄭谷〈贈劉神童〉詩：「還家雖解喜，登第未知榮。」《新唐書．卷一六八．劉禹錫傳》：「登博學弘詞科，工文章。」
6.收取別人物品時的敬詞。如：「拜登厚賜」。
7.北方方言。指穿。如：「腳登長筒靴」。《文明小史》第四九回：「上面套著棗紅鐵線紗夾馬褂，底下登著緞靴。」
[名]
姓。如三國時蜀國有登定。 |</v>
      </c>
    </row>
    <row r="3422" spans="1:44" hidden="1">
      <c r="A3422" s="1" t="s">
        <v>5087</v>
      </c>
      <c r="C3422" s="1">
        <v>1</v>
      </c>
      <c r="D3422" s="1" t="str">
        <f>"02071"</f>
        <v>02071</v>
      </c>
      <c r="E3422" s="1" t="s">
        <v>28</v>
      </c>
      <c r="F3422" s="1">
        <v>15</v>
      </c>
      <c r="G3422" s="1">
        <v>12</v>
      </c>
      <c r="H3422" s="1">
        <v>0</v>
      </c>
      <c r="I3422" s="1" t="s">
        <v>5084</v>
      </c>
      <c r="K3422" s="1" t="str">
        <f t="shared" si="213"/>
        <v>ㄉ</v>
      </c>
      <c r="L3422" s="1" t="str">
        <f t="shared" si="214"/>
        <v>ㄥ</v>
      </c>
      <c r="M3422" s="1" t="str">
        <f t="shared" si="215"/>
        <v/>
      </c>
      <c r="P3422" s="1" t="s">
        <v>20</v>
      </c>
      <c r="R3422" s="1" t="s">
        <v>5085</v>
      </c>
      <c r="V3422" s="1" t="s">
        <v>5088</v>
      </c>
      <c r="AR3422" s="1" t="str">
        <f t="shared" si="216"/>
        <v>| [ㄉㄥ](ㄉㄥ.md) | [噔](噔.md) |  | dēng | [擬]_x000D_
模擬穿硬底鞋踩踏在地上所發出的聲音。如：「他噔噔噔的朝這邊跑來！」「只聽到樓板『咯噔！咯噔！』地響，令人毛骨悚然！」 |</v>
      </c>
    </row>
    <row r="3423" spans="1:44" hidden="1">
      <c r="A3423" s="1" t="s">
        <v>5089</v>
      </c>
      <c r="C3423" s="1">
        <v>1</v>
      </c>
      <c r="D3423" s="1" t="str">
        <f>"02072"</f>
        <v>02072</v>
      </c>
      <c r="E3423" s="1" t="s">
        <v>336</v>
      </c>
      <c r="F3423" s="1">
        <v>16</v>
      </c>
      <c r="G3423" s="1">
        <v>12</v>
      </c>
      <c r="H3423" s="1">
        <v>0</v>
      </c>
      <c r="I3423" s="1" t="s">
        <v>5084</v>
      </c>
      <c r="K3423" s="1" t="str">
        <f t="shared" si="213"/>
        <v>ㄉ</v>
      </c>
      <c r="L3423" s="1" t="str">
        <f t="shared" si="214"/>
        <v>ㄥ</v>
      </c>
      <c r="M3423" s="1" t="str">
        <f t="shared" si="215"/>
        <v/>
      </c>
      <c r="P3423" s="1" t="s">
        <v>20</v>
      </c>
      <c r="R3423" s="1" t="s">
        <v>5085</v>
      </c>
      <c r="V3423" s="1" t="s">
        <v>5090</v>
      </c>
      <c r="AR3423" s="1" t="str">
        <f t="shared" si="216"/>
        <v>| [ㄉㄥ](ㄉㄥ.md) | [燈](燈.md) |  | dēng | [名]
1.照明或作為他用的發光器具。如：「電燈」、「日光燈」、「紅綠燈」。
2.燃燒液體或氣體，用來對他物加熱的器具。如：「酒精燈」、「本生燈」。
3.佛法導向光明坦途，趨避邪惡黑暗，故稱佛法為「燈」。唐．杜甫〈望牛頭寺〉詩：「傳燈無白日，布地有黃金。」 |</v>
      </c>
    </row>
    <row r="3424" spans="1:44" hidden="1">
      <c r="A3424" s="1" t="s">
        <v>5091</v>
      </c>
      <c r="C3424" s="1">
        <v>1</v>
      </c>
      <c r="D3424" s="1" t="str">
        <f>"02073"</f>
        <v>02073</v>
      </c>
      <c r="E3424" s="1" t="s">
        <v>1703</v>
      </c>
      <c r="F3424" s="1">
        <v>16</v>
      </c>
      <c r="G3424" s="1">
        <v>12</v>
      </c>
      <c r="H3424" s="1">
        <v>0</v>
      </c>
      <c r="I3424" s="1" t="s">
        <v>5084</v>
      </c>
      <c r="K3424" s="1" t="str">
        <f t="shared" si="213"/>
        <v>ㄉ</v>
      </c>
      <c r="L3424" s="1" t="str">
        <f t="shared" si="214"/>
        <v>ㄥ</v>
      </c>
      <c r="M3424" s="1" t="str">
        <f t="shared" si="215"/>
        <v/>
      </c>
      <c r="P3424" s="1" t="s">
        <v>20</v>
      </c>
      <c r="R3424" s="1" t="s">
        <v>5085</v>
      </c>
      <c r="V3424" s="1" t="s">
        <v>5092</v>
      </c>
      <c r="AR3424" s="1" t="str">
        <f t="shared" si="216"/>
        <v>| [ㄉㄥ](ㄉㄥ.md) | [㲪](㲪.md) |  | dēng | 參見「毾㲪」條。 |</v>
      </c>
    </row>
    <row r="3425" spans="1:44" hidden="1">
      <c r="A3425" s="1" t="s">
        <v>5093</v>
      </c>
      <c r="C3425" s="1">
        <v>1</v>
      </c>
      <c r="D3425" s="1" t="str">
        <f>"02074"</f>
        <v>02074</v>
      </c>
      <c r="E3425" s="1" t="s">
        <v>49</v>
      </c>
      <c r="F3425" s="1">
        <v>18</v>
      </c>
      <c r="G3425" s="1">
        <v>12</v>
      </c>
      <c r="H3425" s="1">
        <v>0</v>
      </c>
      <c r="I3425" s="1" t="s">
        <v>5084</v>
      </c>
      <c r="K3425" s="1" t="str">
        <f t="shared" si="213"/>
        <v>ㄉ</v>
      </c>
      <c r="L3425" s="1" t="str">
        <f t="shared" si="214"/>
        <v>ㄥ</v>
      </c>
      <c r="M3425" s="1" t="str">
        <f t="shared" si="215"/>
        <v/>
      </c>
      <c r="P3425" s="1" t="s">
        <v>20</v>
      </c>
      <c r="R3425" s="1" t="s">
        <v>5085</v>
      </c>
      <c r="V3425" s="1" t="s">
        <v>5094</v>
      </c>
      <c r="AR3425" s="1" t="str">
        <f t="shared" si="216"/>
        <v>| [ㄉㄥ](ㄉㄥ.md) | [簦](簦.md) |  | dēng | [名]
古代禦雨的器具，猶如現在的雨傘。《說文解字．竹部》：「簦，笠蓋也。」清．段玉裁．注：「笠而有柄如蓋也，即今之雨繖。」《史記．卷七六．平原君虞卿傳》：「虞卿者，游說之士也。躡蹻檐簦說趙孝成王。」裴駰集解引徐廣曰：「簦，長柄笠。笠有柄者謂之簦。」 |</v>
      </c>
    </row>
    <row r="3426" spans="1:44" hidden="1">
      <c r="A3426" s="1" t="s">
        <v>5095</v>
      </c>
      <c r="C3426" s="1">
        <v>1</v>
      </c>
      <c r="D3426" s="1" t="str">
        <f>"02075"</f>
        <v>02075</v>
      </c>
      <c r="E3426" s="1" t="s">
        <v>55</v>
      </c>
      <c r="F3426" s="1">
        <v>20</v>
      </c>
      <c r="G3426" s="1">
        <v>12</v>
      </c>
      <c r="H3426" s="1">
        <v>2</v>
      </c>
      <c r="I3426" s="1" t="s">
        <v>5084</v>
      </c>
      <c r="K3426" s="1" t="str">
        <f t="shared" si="213"/>
        <v>ㄉ</v>
      </c>
      <c r="L3426" s="1" t="str">
        <f t="shared" si="214"/>
        <v>ㄥ</v>
      </c>
      <c r="M3426" s="1" t="str">
        <f t="shared" si="215"/>
        <v/>
      </c>
      <c r="P3426" s="1" t="s">
        <v>20</v>
      </c>
      <c r="R3426" s="1" t="s">
        <v>5085</v>
      </c>
      <c r="V3426" s="1" t="s">
        <v>5096</v>
      </c>
      <c r="W3426" s="1" t="s">
        <v>5097</v>
      </c>
      <c r="AR3426" s="1" t="str">
        <f t="shared" si="216"/>
        <v>| [ㄉㄥ](ㄉㄥ.md) | [鐙](鐙.md) |  | dēng | [名]
1.照明用具。同「燈」。清．陳澧〈水龍吟．詞仙曾駐峰頭〉詞：「賸出山迴望，鐙明佛屋，有閑僧睡。」
2.古代的飲食器具。通「豋」。《儀禮．公食大夫禮》：「大羹湆不和，實于鐙。」漢．鄭玄．注：「瓦豆謂之鐙。」 |</v>
      </c>
    </row>
    <row r="3427" spans="1:44" hidden="1">
      <c r="A3427" s="1" t="s">
        <v>5098</v>
      </c>
      <c r="C3427" s="1">
        <v>1</v>
      </c>
      <c r="D3427" s="1" t="str">
        <f>"02076"</f>
        <v>02076</v>
      </c>
      <c r="E3427" s="1" t="s">
        <v>4293</v>
      </c>
      <c r="F3427" s="1">
        <v>13</v>
      </c>
      <c r="G3427" s="1">
        <v>6</v>
      </c>
      <c r="H3427" s="1">
        <v>0</v>
      </c>
      <c r="I3427" s="1" t="s">
        <v>5084</v>
      </c>
      <c r="K3427" s="1" t="str">
        <f t="shared" si="213"/>
        <v>ㄉ</v>
      </c>
      <c r="L3427" s="1" t="str">
        <f t="shared" si="214"/>
        <v>ㄥ</v>
      </c>
      <c r="M3427" s="1" t="str">
        <f t="shared" si="215"/>
        <v/>
      </c>
      <c r="P3427" s="1" t="s">
        <v>20</v>
      </c>
      <c r="R3427" s="1" t="s">
        <v>5085</v>
      </c>
      <c r="V3427" s="1" t="s">
        <v>5099</v>
      </c>
      <c r="AR3427" s="1" t="str">
        <f t="shared" si="216"/>
        <v>| [ㄉㄥ](ㄉㄥ.md) | [豋](豋.md) |  | dēng | [名]
古代盛肉食的器具，亦作為禮器之用。唐．高宗〈宗廟薦享別奠詔〉：「自今以後，宗廟薦享，爵及簠簋豋鉶，各宜別奠。」 |</v>
      </c>
    </row>
    <row r="3428" spans="1:44" hidden="1">
      <c r="A3428" s="1" t="s">
        <v>5130</v>
      </c>
      <c r="C3428" s="1">
        <v>1</v>
      </c>
      <c r="D3428" s="1" t="str">
        <f>"02088"</f>
        <v>02088</v>
      </c>
      <c r="E3428" s="1" t="s">
        <v>3195</v>
      </c>
      <c r="F3428" s="1">
        <v>5</v>
      </c>
      <c r="G3428" s="1">
        <v>1</v>
      </c>
      <c r="H3428" s="1">
        <v>1</v>
      </c>
      <c r="I3428" s="1" t="s">
        <v>5131</v>
      </c>
      <c r="K3428" s="1" t="str">
        <f t="shared" si="213"/>
        <v>ㄉ</v>
      </c>
      <c r="L3428" s="1" t="str">
        <f t="shared" si="214"/>
        <v>ㄧ</v>
      </c>
      <c r="M3428" s="1" t="str">
        <f t="shared" si="215"/>
        <v/>
      </c>
      <c r="P3428" s="1" t="s">
        <v>20</v>
      </c>
      <c r="R3428" s="1" t="s">
        <v>5132</v>
      </c>
      <c r="V3428" s="1" t="s">
        <v>5133</v>
      </c>
      <c r="W3428" s="1" t="s">
        <v>5134</v>
      </c>
      <c r="AR3428" s="1" t="str">
        <f t="shared" si="216"/>
        <v>| [ㄉㄧ](ㄉㄧ.md) | [氐](氐.md) |  | dī | [名]
1.中國古代西方少數民族之一。商、周以至魏晉南北朝時分布在今大陸地區陝西、甘肅、四川一帶。東晉時曾建前秦、後涼等國。
2.星座名。二十八星宿之一。東方蒼龍七宿的第三宿，共有四顆星。
[動]
俯、垂下。通「低」。《漢書．卷二四．食貨志下》：「而商賈或墆財役貧，轉轂百數，廢居居邑，封君皆氐首仰給焉。」唐．顏師古．注：「氐首，猶俯首也。」 |</v>
      </c>
    </row>
    <row r="3429" spans="1:44" hidden="1">
      <c r="A3429" s="1" t="s">
        <v>5135</v>
      </c>
      <c r="C3429" s="1">
        <v>1</v>
      </c>
      <c r="D3429" s="1" t="str">
        <f>"02089"</f>
        <v>02089</v>
      </c>
      <c r="E3429" s="1" t="s">
        <v>114</v>
      </c>
      <c r="F3429" s="1">
        <v>7</v>
      </c>
      <c r="G3429" s="1">
        <v>5</v>
      </c>
      <c r="H3429" s="1">
        <v>0</v>
      </c>
      <c r="I3429" s="1" t="s">
        <v>5131</v>
      </c>
      <c r="K3429" s="1" t="str">
        <f t="shared" si="213"/>
        <v>ㄉ</v>
      </c>
      <c r="L3429" s="1" t="str">
        <f t="shared" si="214"/>
        <v>ㄧ</v>
      </c>
      <c r="M3429" s="1" t="str">
        <f t="shared" si="215"/>
        <v/>
      </c>
      <c r="P3429" s="1" t="s">
        <v>20</v>
      </c>
      <c r="R3429" s="1" t="s">
        <v>5132</v>
      </c>
      <c r="V3429" s="1" t="s">
        <v>5136</v>
      </c>
      <c r="AR3429" s="1" t="str">
        <f t="shared" si="216"/>
        <v>| [ㄉㄧ](ㄉㄧ.md) | [低](低.md) |  | dī | [形]
1.上下距離小，或離地面近。與「高」相對。如：「低處」、「低空飛過」。《文選．謝朓．敬亭山詩》：「交藤荒且蔓，樛枝聳復低。」宋．文天祥〈正氣歌．序〉：「單扉低小，白間短窄。」
2.低下。指身分、能力、程度等而言。唐．李白〈登黃山凌歊臺送族弟溧陽尉濟充泛舟赴華陰〉詩：「空手無壯士，窮居使人低。」
3.價較便宜的。宋．蘇軾〈和文與可洋川園池三十首．金橙徑〉詩：「金橙縱復里人知，不見鱸魚價自低。」
4.形容興趣不高或情緒不好。如：「只要下雨天，我出門的興致就低了。」、「自從落榜後，他的情緒一直很低。」
5.形容聲音很小。如：「你說話的聲音太低了，別人可能聽不清楚。」
[動]
1.俯、向下彎。如：「低身」、「低頭不語」。
2.放低、垂落。《文選．謝惠連．雪賦》：「願低帷以昵帎，念解珮而褫紳。」唐．李端〈代棄婦答賈客〉詩：「鳴環動珮恩無盡，掩袖低巾淚不流。」
[副]
1.低矮的。如：「夜幕低垂」、「黃昏時，太陽低懸在海平面上。」
2.輕聲的。宋．姜夔〈過垂虹〉詩：「自作新詞韻最嬌，小紅低唱我吹簫。」 |</v>
      </c>
    </row>
    <row r="3430" spans="1:44" hidden="1">
      <c r="A3430" s="1" t="s">
        <v>5137</v>
      </c>
      <c r="C3430" s="1">
        <v>1</v>
      </c>
      <c r="D3430" s="1" t="str">
        <f>"02090"</f>
        <v>02090</v>
      </c>
      <c r="E3430" s="1" t="s">
        <v>43</v>
      </c>
      <c r="F3430" s="1">
        <v>11</v>
      </c>
      <c r="G3430" s="1">
        <v>5</v>
      </c>
      <c r="H3430" s="1">
        <v>0</v>
      </c>
      <c r="I3430" s="1" t="s">
        <v>5131</v>
      </c>
      <c r="K3430" s="1" t="str">
        <f t="shared" si="213"/>
        <v>ㄉ</v>
      </c>
      <c r="L3430" s="1" t="str">
        <f t="shared" si="214"/>
        <v>ㄧ</v>
      </c>
      <c r="M3430" s="1" t="str">
        <f t="shared" si="215"/>
        <v/>
      </c>
      <c r="P3430" s="1" t="s">
        <v>20</v>
      </c>
      <c r="R3430" s="1" t="s">
        <v>5132</v>
      </c>
      <c r="V3430" s="1" t="s">
        <v>5138</v>
      </c>
      <c r="AR3430" s="1" t="str">
        <f t="shared" si="216"/>
        <v>| [ㄉㄧ](ㄉㄧ.md) | [羝](羝.md) |  | dī | [名]
公羊。《漢書．卷五四．蘇武傳》：「乃徙武北海上無人處，使牧羝，羝乳乃得歸。」唐．顏師古．注：「羝，牡羊也。」《文選．郭璞．遊仙詩七首之一》：「進則保龍見，退為觸藩羝。」 |</v>
      </c>
    </row>
    <row r="3431" spans="1:44" hidden="1">
      <c r="A3431" s="1" t="s">
        <v>5139</v>
      </c>
      <c r="C3431" s="1">
        <v>1</v>
      </c>
      <c r="D3431" s="1" t="str">
        <f>"02091"</f>
        <v>02091</v>
      </c>
      <c r="E3431" s="1" t="s">
        <v>340</v>
      </c>
      <c r="F3431" s="1">
        <v>11</v>
      </c>
      <c r="G3431" s="1">
        <v>5</v>
      </c>
      <c r="H3431" s="1">
        <v>0</v>
      </c>
      <c r="I3431" s="1" t="s">
        <v>5131</v>
      </c>
      <c r="K3431" s="1" t="str">
        <f t="shared" si="213"/>
        <v>ㄉ</v>
      </c>
      <c r="L3431" s="1" t="str">
        <f t="shared" si="214"/>
        <v>ㄧ</v>
      </c>
      <c r="M3431" s="1" t="str">
        <f t="shared" si="215"/>
        <v/>
      </c>
      <c r="P3431" s="1" t="s">
        <v>20</v>
      </c>
      <c r="R3431" s="1" t="s">
        <v>5132</v>
      </c>
      <c r="V3431" s="1" t="s">
        <v>5140</v>
      </c>
      <c r="AR3431" s="1" t="str">
        <f t="shared" si="216"/>
        <v>| [ㄉㄧ](ㄉㄧ.md) | [袛](袛.md) |  | dī | [名]
袛裯：貼身的內衣。《說文解字．衣部》：「袛，袛裯，短衣也。」《後漢書．卷三一．羊續傳》：「其資藏唯有布衾、敝袛裯，鹽、麥數斛而已。」 |</v>
      </c>
    </row>
    <row r="3432" spans="1:44" hidden="1">
      <c r="A3432" s="1" t="s">
        <v>5141</v>
      </c>
      <c r="C3432" s="1">
        <v>1</v>
      </c>
      <c r="D3432" s="1" t="str">
        <f>"02092"</f>
        <v>02092</v>
      </c>
      <c r="E3432" s="1" t="s">
        <v>132</v>
      </c>
      <c r="F3432" s="1">
        <v>12</v>
      </c>
      <c r="G3432" s="1">
        <v>9</v>
      </c>
      <c r="H3432" s="1">
        <v>2</v>
      </c>
      <c r="I3432" s="1" t="s">
        <v>5131</v>
      </c>
      <c r="K3432" s="1" t="str">
        <f t="shared" ref="K3432:K3495" si="217">LEFT(I3432, 1)</f>
        <v>ㄉ</v>
      </c>
      <c r="L3432" s="1" t="str">
        <f t="shared" ref="L3432:L3495" si="218">MID(I3432, 2, 1)</f>
        <v>ㄧ</v>
      </c>
      <c r="M3432" s="1" t="str">
        <f t="shared" si="215"/>
        <v/>
      </c>
      <c r="P3432" s="1" t="s">
        <v>110</v>
      </c>
      <c r="R3432" s="1" t="s">
        <v>5132</v>
      </c>
      <c r="V3432" s="1" t="s">
        <v>111</v>
      </c>
      <c r="W3432" s="1" t="s">
        <v>5142</v>
      </c>
      <c r="AR3432" s="1" t="str">
        <f t="shared" si="216"/>
        <v>| [ㄉㄧ](ㄉㄧ.md) | [堤](堤.md) |  | dī | (一)之又音。 |</v>
      </c>
    </row>
    <row r="3433" spans="1:44" hidden="1">
      <c r="A3433" s="1" t="s">
        <v>5143</v>
      </c>
      <c r="C3433" s="1">
        <v>1</v>
      </c>
      <c r="D3433" s="1" t="str">
        <f>"02093"</f>
        <v>02093</v>
      </c>
      <c r="E3433" s="1" t="s">
        <v>24</v>
      </c>
      <c r="F3433" s="1">
        <v>12</v>
      </c>
      <c r="G3433" s="1">
        <v>9</v>
      </c>
      <c r="H3433" s="1">
        <v>2</v>
      </c>
      <c r="I3433" s="1" t="s">
        <v>5131</v>
      </c>
      <c r="K3433" s="1" t="str">
        <f t="shared" si="217"/>
        <v>ㄉ</v>
      </c>
      <c r="L3433" s="1" t="str">
        <f t="shared" si="218"/>
        <v>ㄧ</v>
      </c>
      <c r="M3433" s="1" t="str">
        <f t="shared" si="215"/>
        <v/>
      </c>
      <c r="P3433" s="1" t="s">
        <v>20</v>
      </c>
      <c r="R3433" s="1" t="s">
        <v>5132</v>
      </c>
      <c r="V3433" s="1" t="s">
        <v>5144</v>
      </c>
      <c r="W3433" s="1" t="s">
        <v>5145</v>
      </c>
      <c r="AR3433" s="1" t="str">
        <f t="shared" si="216"/>
        <v>| [ㄉㄧ](ㄉㄧ.md) | [提](提.md) |  | dī | [動]_x000D_
1.投擲。《戰國策．燕策三》：「（荊軻）乃引其匕首提秦王。不中，中柱。」《史記．卷八六．刺客列傳．荊軻》：「是時侍醫夏無且以其所奉藥囊提荊軻也。」_x000D_
2.參見「提防」、「提溜」等條。 |</v>
      </c>
    </row>
    <row r="3434" spans="1:44" hidden="1">
      <c r="A3434" s="1" t="s">
        <v>5146</v>
      </c>
      <c r="C3434" s="1">
        <v>1</v>
      </c>
      <c r="D3434" s="1" t="str">
        <f>"02094"</f>
        <v>02094</v>
      </c>
      <c r="E3434" s="1" t="s">
        <v>55</v>
      </c>
      <c r="F3434" s="1">
        <v>17</v>
      </c>
      <c r="G3434" s="1">
        <v>9</v>
      </c>
      <c r="H3434" s="1">
        <v>1</v>
      </c>
      <c r="I3434" s="1" t="s">
        <v>5131</v>
      </c>
      <c r="K3434" s="1" t="str">
        <f t="shared" si="217"/>
        <v>ㄉ</v>
      </c>
      <c r="L3434" s="1" t="str">
        <f t="shared" si="218"/>
        <v>ㄧ</v>
      </c>
      <c r="M3434" s="1" t="str">
        <f t="shared" si="215"/>
        <v/>
      </c>
      <c r="P3434" s="1" t="s">
        <v>20</v>
      </c>
      <c r="R3434" s="1" t="s">
        <v>5132</v>
      </c>
      <c r="V3434" s="1" t="s">
        <v>5147</v>
      </c>
      <c r="W3434" s="1" t="s">
        <v>5148</v>
      </c>
      <c r="AR3434" s="1" t="str">
        <f t="shared" si="216"/>
        <v>| [ㄉㄧ](ㄉㄧ.md) | [鍉](鍉.md) |  | dī | [名]
1.歃血器。《廣韻．平聲．齊韻》：「鍉，歃血器。」《後漢書．卷二三．隗囂傳》：「祝畢，有司穿次于庭，牽馬操刀，奉盤錯鍉，遂割牲而盟。」
2.中醫九針之一。參見「鍉針」條。 |</v>
      </c>
    </row>
    <row r="3435" spans="1:44" hidden="1">
      <c r="A3435" s="1" t="s">
        <v>5149</v>
      </c>
      <c r="C3435" s="1">
        <v>1</v>
      </c>
      <c r="D3435" s="1" t="str">
        <f>"02095"</f>
        <v>02095</v>
      </c>
      <c r="E3435" s="1" t="s">
        <v>96</v>
      </c>
      <c r="F3435" s="1">
        <v>18</v>
      </c>
      <c r="G3435" s="1">
        <v>9</v>
      </c>
      <c r="H3435" s="1">
        <v>0</v>
      </c>
      <c r="I3435" s="1" t="s">
        <v>5131</v>
      </c>
      <c r="K3435" s="1" t="str">
        <f t="shared" si="217"/>
        <v>ㄉ</v>
      </c>
      <c r="L3435" s="1" t="str">
        <f t="shared" si="218"/>
        <v>ㄧ</v>
      </c>
      <c r="M3435" s="1" t="str">
        <f t="shared" si="215"/>
        <v/>
      </c>
      <c r="P3435" s="1" t="s">
        <v>20</v>
      </c>
      <c r="R3435" s="1" t="s">
        <v>5132</v>
      </c>
      <c r="V3435" s="1" t="s">
        <v>5150</v>
      </c>
      <c r="AR3435" s="1" t="str">
        <f t="shared" si="216"/>
        <v>| [ㄉㄧ](ㄉㄧ.md) | [鞮](鞮.md) |  | dī | [名]
1.古代用皮革製成的鞋子。即靴。《廣韻．上聲．齊韻》：「鞮，革履。」漢．桓寬《鹽鐵論．散不足》：「古者庶人賤騎繩控，革鞮皮廌而已。」唐．韓翃〈送巴州楊使君〉詩：「前驅錦帶魚皮鞮，側佩金璋虎頭綬。」
2.中國古代西北一帶外族的稱呼。唐．釋慧琳《一切經音義．卷八五．辯正論音》：「鞮，比狄、西戎號也。」
3.職官名。參見「鞮鞻」條。
4.姓。如春秋時晉國有邑名銅鞮，後人以地名為姓。 |</v>
      </c>
    </row>
    <row r="3436" spans="1:44" hidden="1">
      <c r="A3436" s="1" t="s">
        <v>5151</v>
      </c>
      <c r="C3436" s="1">
        <v>1</v>
      </c>
      <c r="D3436" s="1" t="str">
        <f>"02096"</f>
        <v>02096</v>
      </c>
      <c r="E3436" s="1" t="s">
        <v>37</v>
      </c>
      <c r="F3436" s="1">
        <v>12</v>
      </c>
      <c r="G3436" s="1">
        <v>8</v>
      </c>
      <c r="H3436" s="1">
        <v>0</v>
      </c>
      <c r="I3436" s="1" t="s">
        <v>5131</v>
      </c>
      <c r="K3436" s="1" t="str">
        <f t="shared" si="217"/>
        <v>ㄉ</v>
      </c>
      <c r="L3436" s="1" t="str">
        <f t="shared" si="218"/>
        <v>ㄧ</v>
      </c>
      <c r="M3436" s="1" t="str">
        <f t="shared" si="215"/>
        <v/>
      </c>
      <c r="P3436" s="1" t="s">
        <v>20</v>
      </c>
      <c r="R3436" s="1" t="s">
        <v>5132</v>
      </c>
      <c r="V3436" s="1" t="s">
        <v>5152</v>
      </c>
      <c r="AR3436" s="1" t="str">
        <f t="shared" si="216"/>
        <v>| [ㄉㄧ](ㄉㄧ.md) | [菂](菂.md) |  | dī | [名]
蓮花的果實，即蓮子。《文選．王延壽．魯靈光殿賦》：「綠房紫菂，窋吒垂珠。」 |</v>
      </c>
    </row>
    <row r="3437" spans="1:44" hidden="1">
      <c r="A3437" s="1" t="s">
        <v>5153</v>
      </c>
      <c r="C3437" s="1">
        <v>1</v>
      </c>
      <c r="D3437" s="1" t="str">
        <f>"02097"</f>
        <v>02097</v>
      </c>
      <c r="E3437" s="1" t="s">
        <v>129</v>
      </c>
      <c r="F3437" s="1">
        <v>14</v>
      </c>
      <c r="G3437" s="1">
        <v>11</v>
      </c>
      <c r="H3437" s="1">
        <v>0</v>
      </c>
      <c r="I3437" s="1" t="s">
        <v>5131</v>
      </c>
      <c r="K3437" s="1" t="str">
        <f t="shared" si="217"/>
        <v>ㄉ</v>
      </c>
      <c r="L3437" s="1" t="str">
        <f t="shared" si="218"/>
        <v>ㄧ</v>
      </c>
      <c r="M3437" s="1" t="str">
        <f t="shared" si="215"/>
        <v/>
      </c>
      <c r="P3437" s="1" t="s">
        <v>20</v>
      </c>
      <c r="R3437" s="1" t="s">
        <v>5132</v>
      </c>
      <c r="V3437" s="1" t="s">
        <v>5154</v>
      </c>
      <c r="AR3437" s="1" t="str">
        <f t="shared" si="216"/>
        <v>| [ㄉㄧ](ㄉㄧ.md) | [滴](滴.md) |  | dī | [名]
1.點狀的液體。如：「水滴」、「雨滴」、「汗滴」。
2.量詞。計算液體下滴數量的單位。如：「幾滴雨」、「兩滴眼淚」、「數滴汗水」。
[動]
液體呈點狀往下掉。如：「汗水直往下滴。」、「滴上眼藥水。」南唐．李煜〈憶江南．多少淚〉詞：「心事莫將和淚滴，鳳笙休向月明吹。」宋．陸游〈江上對酒作〉詩：「把酒不能飲，苦淚滴酒觴。」 |</v>
      </c>
    </row>
    <row r="3438" spans="1:44" hidden="1">
      <c r="A3438" s="1" t="s">
        <v>5155</v>
      </c>
      <c r="C3438" s="1">
        <v>1</v>
      </c>
      <c r="D3438" s="1" t="str">
        <f>"02098"</f>
        <v>02098</v>
      </c>
      <c r="E3438" s="1" t="s">
        <v>55</v>
      </c>
      <c r="F3438" s="1">
        <v>19</v>
      </c>
      <c r="G3438" s="1">
        <v>11</v>
      </c>
      <c r="H3438" s="1">
        <v>2</v>
      </c>
      <c r="I3438" s="1" t="s">
        <v>5131</v>
      </c>
      <c r="K3438" s="1" t="str">
        <f t="shared" si="217"/>
        <v>ㄉ</v>
      </c>
      <c r="L3438" s="1" t="str">
        <f t="shared" si="218"/>
        <v>ㄧ</v>
      </c>
      <c r="M3438" s="1" t="str">
        <f t="shared" si="215"/>
        <v/>
      </c>
      <c r="P3438" s="1" t="s">
        <v>20</v>
      </c>
      <c r="R3438" s="1" t="s">
        <v>5132</v>
      </c>
      <c r="V3438" s="1" t="s">
        <v>5156</v>
      </c>
      <c r="W3438" s="1" t="s">
        <v>5157</v>
      </c>
      <c r="AR3438" s="1" t="str">
        <f t="shared" si="216"/>
        <v>| [ㄉㄧ](ㄉㄧ.md) | [鏑](鏑.md) |  | dī | [名]
（dysprosium，Dy）化學元素。原子序66。稀土金屬元素之一。有銀色光澤，不具腐蝕性，可溶於稀酸之中。與水和鹵素反應緩慢，故在潮溼空氣中不起反應。產量甚微，係以鈣還原氟化鏑而得。 |</v>
      </c>
    </row>
    <row r="3439" spans="1:44" hidden="1">
      <c r="A3439" s="1" t="s">
        <v>5158</v>
      </c>
      <c r="C3439" s="1">
        <v>1</v>
      </c>
      <c r="D3439" s="1" t="str">
        <f>"02099"</f>
        <v>02099</v>
      </c>
      <c r="E3439" s="1" t="s">
        <v>169</v>
      </c>
      <c r="F3439" s="1">
        <v>17</v>
      </c>
      <c r="G3439" s="1">
        <v>12</v>
      </c>
      <c r="H3439" s="1">
        <v>0</v>
      </c>
      <c r="I3439" s="1" t="s">
        <v>5131</v>
      </c>
      <c r="K3439" s="1" t="str">
        <f t="shared" si="217"/>
        <v>ㄉ</v>
      </c>
      <c r="L3439" s="1" t="str">
        <f t="shared" si="218"/>
        <v>ㄧ</v>
      </c>
      <c r="M3439" s="1" t="str">
        <f t="shared" si="215"/>
        <v/>
      </c>
      <c r="P3439" s="1" t="s">
        <v>20</v>
      </c>
      <c r="R3439" s="1" t="s">
        <v>5132</v>
      </c>
      <c r="V3439" s="1" t="s">
        <v>5159</v>
      </c>
      <c r="AR3439" s="1" t="str">
        <f t="shared" si="216"/>
        <v>| [ㄉㄧ](ㄉㄧ.md) | [磾](磾.md) |  | dī | [名]
1.黑石。可用來染繒，產於琅琊山。《集韻．平聲．齊韻》：「磾，黑石，可染繒。出琅琊。」
2.人名用字。如漢代有金日磾。 |</v>
      </c>
    </row>
    <row r="3440" spans="1:44" hidden="1">
      <c r="A3440" s="1" t="s">
        <v>4861</v>
      </c>
      <c r="C3440" s="1">
        <v>1</v>
      </c>
      <c r="D3440" s="1" t="str">
        <f>"02272"</f>
        <v>02272</v>
      </c>
      <c r="E3440" s="1" t="s">
        <v>256</v>
      </c>
      <c r="F3440" s="1">
        <v>11</v>
      </c>
      <c r="G3440" s="1">
        <v>8</v>
      </c>
      <c r="H3440" s="1">
        <v>1</v>
      </c>
      <c r="I3440" s="1" t="s">
        <v>5568</v>
      </c>
      <c r="K3440" s="1" t="str">
        <f t="shared" si="217"/>
        <v>ㄉ</v>
      </c>
      <c r="L3440" s="1" t="str">
        <f t="shared" si="218"/>
        <v>ㄨ</v>
      </c>
      <c r="M3440" s="1" t="str">
        <f t="shared" si="215"/>
        <v/>
      </c>
      <c r="P3440" s="1" t="s">
        <v>20</v>
      </c>
      <c r="R3440" s="1" t="s">
        <v>5569</v>
      </c>
      <c r="V3440" s="1" t="s">
        <v>5570</v>
      </c>
      <c r="W3440" s="1" t="s">
        <v>5571</v>
      </c>
      <c r="AR3440" s="1" t="str">
        <f t="shared" si="216"/>
        <v>| [ㄉㄨ](ㄉㄨ.md) | [都](都.md) |  | dū | [名]
1.大城市。如：「花都」、「港都」、「通都大邑」。
2.中央政府及地方政府的所在地。如：「首都」、「國都」、「京都」、「行都」。
3.姓。如漢代有都稽，明代有都穆。
[動]
1.定都。《史記．卷七．項羽本紀》：「項王自立為西楚霸王，王九郡，都彭城。」
2.居。《漢書．卷六五．東方朔傳》：「蘇秦、張儀一當萬乘之主，而都卿相之位。」
3.總計。《文選．曹丕．與吳質書》：「頃撰其遺文，都為一集。」
[形]
優雅、優美。《詩經．鄭風．有女同車》：「彼美孟姜，洵美且都。」《聊齋志異．卷一．嬌娜》：「一少年出，丰采甚都。」 |</v>
      </c>
    </row>
    <row r="3441" spans="1:44" hidden="1">
      <c r="A3441" s="1" t="s">
        <v>5572</v>
      </c>
      <c r="C3441" s="1">
        <v>1</v>
      </c>
      <c r="D3441" s="1" t="str">
        <f>"02273"</f>
        <v>02273</v>
      </c>
      <c r="E3441" s="1" t="s">
        <v>28</v>
      </c>
      <c r="F3441" s="1">
        <v>14</v>
      </c>
      <c r="G3441" s="1">
        <v>11</v>
      </c>
      <c r="H3441" s="1">
        <v>0</v>
      </c>
      <c r="I3441" s="1" t="s">
        <v>5568</v>
      </c>
      <c r="K3441" s="1" t="str">
        <f t="shared" si="217"/>
        <v>ㄉ</v>
      </c>
      <c r="L3441" s="1" t="str">
        <f t="shared" si="218"/>
        <v>ㄨ</v>
      </c>
      <c r="M3441" s="1" t="str">
        <f t="shared" si="215"/>
        <v/>
      </c>
      <c r="P3441" s="1" t="s">
        <v>20</v>
      </c>
      <c r="R3441" s="1" t="s">
        <v>5569</v>
      </c>
      <c r="V3441" s="1" t="s">
        <v>5573</v>
      </c>
      <c r="AR3441" s="1" t="str">
        <f t="shared" si="216"/>
        <v>| [ㄉㄨ](ㄉㄨ.md) | [嘟](嘟.md) |  | dū | 參見「嘟嘟」、「嘟嚕」等條。 |</v>
      </c>
    </row>
    <row r="3442" spans="1:44" hidden="1">
      <c r="A3442" s="1" t="s">
        <v>5574</v>
      </c>
      <c r="C3442" s="1">
        <v>1</v>
      </c>
      <c r="D3442" s="1" t="str">
        <f>"02274"</f>
        <v>02274</v>
      </c>
      <c r="E3442" s="1" t="s">
        <v>709</v>
      </c>
      <c r="F3442" s="1">
        <v>16</v>
      </c>
      <c r="G3442" s="1">
        <v>8</v>
      </c>
      <c r="H3442" s="1">
        <v>1</v>
      </c>
      <c r="I3442" s="1" t="s">
        <v>5568</v>
      </c>
      <c r="K3442" s="1" t="str">
        <f t="shared" si="217"/>
        <v>ㄉ</v>
      </c>
      <c r="L3442" s="1" t="str">
        <f t="shared" si="218"/>
        <v>ㄨ</v>
      </c>
      <c r="M3442" s="1" t="str">
        <f t="shared" si="215"/>
        <v/>
      </c>
      <c r="P3442" s="1" t="s">
        <v>20</v>
      </c>
      <c r="R3442" s="1" t="s">
        <v>5569</v>
      </c>
      <c r="V3442" s="1" t="s">
        <v>5575</v>
      </c>
      <c r="W3442" s="1" t="s">
        <v>5576</v>
      </c>
      <c r="AR3442" s="1" t="str">
        <f t="shared" si="216"/>
        <v>| [ㄉㄨ](ㄉㄨ.md) | [闍](闍.md) |  | dū | [名]
城門上的平臺。《詩經．鄭風．出其東門》：「出其闉闍，有女如荼。」漢．毛亨．傳：「闍，城臺也。」唐．孔穎達．正義：「闍，是城上之臺，謂當門臺也。」 |</v>
      </c>
    </row>
    <row r="3443" spans="1:44" hidden="1">
      <c r="A3443" s="1" t="s">
        <v>5577</v>
      </c>
      <c r="C3443" s="1">
        <v>1</v>
      </c>
      <c r="D3443" s="1" t="str">
        <f>"02275"</f>
        <v>02275</v>
      </c>
      <c r="E3443" s="1" t="s">
        <v>1015</v>
      </c>
      <c r="F3443" s="1">
        <v>13</v>
      </c>
      <c r="G3443" s="1">
        <v>8</v>
      </c>
      <c r="H3443" s="1">
        <v>0</v>
      </c>
      <c r="I3443" s="1" t="s">
        <v>5568</v>
      </c>
      <c r="K3443" s="1" t="str">
        <f t="shared" si="217"/>
        <v>ㄉ</v>
      </c>
      <c r="L3443" s="1" t="str">
        <f t="shared" si="218"/>
        <v>ㄨ</v>
      </c>
      <c r="M3443" s="1" t="str">
        <f t="shared" ref="M3443:M3506" si="219">MID(I3443, 3, 1)</f>
        <v/>
      </c>
      <c r="P3443" s="1" t="s">
        <v>20</v>
      </c>
      <c r="R3443" s="1" t="s">
        <v>5569</v>
      </c>
      <c r="V3443" s="1" t="s">
        <v>5578</v>
      </c>
      <c r="AR3443" s="1" t="str">
        <f t="shared" si="216"/>
        <v>| [ㄉㄨ](ㄉㄨ.md) | [督](督.md) |  | dū | [動]
1.監察、考核、審視。如：「監督」、「督導」、「督戰」。《管子．心術上》：「故事督乎法，法出乎權。」唐．尹知章．注：「督，察也。謂以法察事。」
2.催促。如：「督促」。《後漢書．卷三五．張純傳》：「督委輸，監諸將營。」唐．章懷太子．注：「督，促也。」
3.責備。如：「督過」。漢．王充《論衡．寒溫》：「父子相怒，夫妻相督。」
[名]
1.大將。《後漢書．卷四六．郭躬傳》：「軍征，校尉一統於督。」唐．章懷太子．注：「督，謂大將。」《三國志．卷三五．諸葛亮傳》：「將軍向寵，性行淑均，曉暢軍事，試用於昔日，先帝稱之曰能，是以眾議舉寵為督。」
2.職官名。具監察及指揮權責的官員。如：「監督」、「都督」、「總督」。
3.中醫上指人體的奇經八脈之一。是陽經經脈的總綱。
4.姓。如春秋時晉國有督戎。 |</v>
      </c>
    </row>
    <row r="3444" spans="1:44" hidden="1">
      <c r="A3444" s="1" t="s">
        <v>5651</v>
      </c>
      <c r="C3444" s="1">
        <v>1</v>
      </c>
      <c r="D3444" s="1" t="str">
        <f>"02308"</f>
        <v>02308</v>
      </c>
      <c r="E3444" s="1" t="s">
        <v>3347</v>
      </c>
      <c r="F3444" s="1">
        <v>6</v>
      </c>
      <c r="G3444" s="1">
        <v>3</v>
      </c>
      <c r="H3444" s="1">
        <v>1</v>
      </c>
      <c r="I3444" s="1" t="s">
        <v>5652</v>
      </c>
      <c r="K3444" s="1" t="str">
        <f t="shared" si="217"/>
        <v>ㄉ</v>
      </c>
      <c r="L3444" s="1" t="str">
        <f t="shared" si="218"/>
        <v>ㄨ</v>
      </c>
      <c r="M3444" s="1" t="str">
        <f t="shared" si="219"/>
        <v>ㄛ</v>
      </c>
      <c r="P3444" s="1" t="s">
        <v>20</v>
      </c>
      <c r="R3444" s="1" t="s">
        <v>5653</v>
      </c>
      <c r="V3444" s="1" t="s">
        <v>5654</v>
      </c>
      <c r="W3444" s="1" t="s">
        <v>5655</v>
      </c>
      <c r="AR3444" s="1" t="str">
        <f t="shared" si="216"/>
        <v>| [ㄉㄨㄛ](ㄉㄨㄛ.md) | [多](多.md) |  | duō | [形]
1.豐富、不少。如：「多事之秋」、「友直、友諒、友多聞。」《文選．潘岳．楊荊州誄》：「多才豐藝，強記洽聞。」
2.有餘。如：「一年多」、「十萬多人」。
[副]
1.經常。如：「多讀多寫」。《文選．孔融．薦禰衡表》：「若衡等輩，不可多得。」
2.非常。表程度高。如：「多謝」、「好得多」、「快得多」。
3.大部分。表數量大。《孟子．梁惠王下》：「諸侯多謀伐寡人者。」《洛陽伽藍記．卷四．法雲寺》：「王侯第宅，多題為寺。」
4.過分、不必要。如：「多疑」、「多管閒事」。
5.只、只是。《論語．子張》：「多見其不知量也。」唐．徐凝〈獨住僧〉詩：「多應獨住山林慣，唯照寒泉自剃頭。」
[動]
1.稱美、稱讚。《史記．卷一〇〇．季布傳》：「當是時，諸公皆多季布能摧剛為柔，朱家亦以此名聞當世。」《漢書．卷六八．霍光傳》：「眾庶莫不多光。」
2.勝、超過。明．湯顯祖《紫簫記》第一〇齣：「想他才似相如，貌多王粲。」
[名]
姓。如商代有多父鼎。 |</v>
      </c>
    </row>
    <row r="3445" spans="1:44" hidden="1">
      <c r="A3445" s="1" t="s">
        <v>5656</v>
      </c>
      <c r="C3445" s="1">
        <v>1</v>
      </c>
      <c r="D3445" s="1" t="str">
        <f>"02309"</f>
        <v>02309</v>
      </c>
      <c r="E3445" s="1" t="s">
        <v>28</v>
      </c>
      <c r="F3445" s="1">
        <v>9</v>
      </c>
      <c r="G3445" s="1">
        <v>6</v>
      </c>
      <c r="H3445" s="1">
        <v>1</v>
      </c>
      <c r="I3445" s="1" t="s">
        <v>5652</v>
      </c>
      <c r="K3445" s="1" t="str">
        <f t="shared" si="217"/>
        <v>ㄉ</v>
      </c>
      <c r="L3445" s="1" t="str">
        <f t="shared" si="218"/>
        <v>ㄨ</v>
      </c>
      <c r="M3445" s="1" t="str">
        <f t="shared" si="219"/>
        <v>ㄛ</v>
      </c>
      <c r="P3445" s="1" t="s">
        <v>20</v>
      </c>
      <c r="R3445" s="1" t="s">
        <v>5653</v>
      </c>
      <c r="V3445" s="1" t="s">
        <v>5657</v>
      </c>
      <c r="W3445" s="1" t="s">
        <v>5658</v>
      </c>
      <c r="AR3445" s="1" t="str">
        <f t="shared" si="216"/>
        <v>| [ㄉㄨㄛ](ㄉㄨㄛ.md) | [哆](哆.md) |  | duō | 參見「哆嗦」條。 |</v>
      </c>
    </row>
    <row r="3446" spans="1:44" hidden="1">
      <c r="A3446" s="1" t="s">
        <v>5659</v>
      </c>
      <c r="C3446" s="1">
        <v>1</v>
      </c>
      <c r="D3446" s="1" t="str">
        <f>"02310"</f>
        <v>02310</v>
      </c>
      <c r="E3446" s="1" t="s">
        <v>24</v>
      </c>
      <c r="F3446" s="1">
        <v>11</v>
      </c>
      <c r="G3446" s="1">
        <v>8</v>
      </c>
      <c r="H3446" s="1">
        <v>2</v>
      </c>
      <c r="I3446" s="1" t="s">
        <v>5652</v>
      </c>
      <c r="K3446" s="1" t="str">
        <f t="shared" si="217"/>
        <v>ㄉ</v>
      </c>
      <c r="L3446" s="1" t="str">
        <f t="shared" si="218"/>
        <v>ㄨ</v>
      </c>
      <c r="M3446" s="1" t="str">
        <f t="shared" si="219"/>
        <v>ㄛ</v>
      </c>
      <c r="P3446" s="1" t="s">
        <v>110</v>
      </c>
      <c r="R3446" s="1" t="s">
        <v>5653</v>
      </c>
      <c r="V3446" s="1" t="s">
        <v>111</v>
      </c>
      <c r="W3446" s="1" t="s">
        <v>5660</v>
      </c>
      <c r="AR3446" s="1" t="str">
        <f t="shared" si="216"/>
        <v>| [ㄉㄨㄛ](ㄉㄨㄛ.md) | [掇](掇.md) |  | duō | (一)之又音。 |</v>
      </c>
    </row>
    <row r="3447" spans="1:44" hidden="1">
      <c r="A3447" s="1" t="s">
        <v>5651</v>
      </c>
      <c r="C3447" s="1">
        <v>1</v>
      </c>
      <c r="D3447" s="1" t="str">
        <f>"02311"</f>
        <v>02311</v>
      </c>
      <c r="E3447" s="1" t="s">
        <v>3347</v>
      </c>
      <c r="F3447" s="1">
        <v>6</v>
      </c>
      <c r="G3447" s="1">
        <v>3</v>
      </c>
      <c r="H3447" s="1">
        <v>2</v>
      </c>
      <c r="I3447" s="1" t="s">
        <v>5661</v>
      </c>
      <c r="K3447" s="1" t="str">
        <f t="shared" si="217"/>
        <v>ㄉ</v>
      </c>
      <c r="L3447" s="1" t="str">
        <f t="shared" si="218"/>
        <v>ㄨ</v>
      </c>
      <c r="M3447" s="1" t="str">
        <f t="shared" si="219"/>
        <v>ㄛ</v>
      </c>
      <c r="P3447" s="1" t="s">
        <v>20</v>
      </c>
      <c r="R3447" s="1" t="s">
        <v>5662</v>
      </c>
      <c r="V3447" s="1" t="s">
        <v>5663</v>
      </c>
      <c r="W3447" s="1" t="s">
        <v>5664</v>
      </c>
      <c r="AR3447" s="1" t="str">
        <f t="shared" si="216"/>
        <v>| [ㄉㄨㄛˊ](ㄉㄨㄛˊ.md) | [多](多.md) |  | duó | [副]
何等、如何。表疑問、感嘆的語氣。如：「多好」、「多高」、「帶大一個孩子是多麼不容易啊！」 |</v>
      </c>
    </row>
    <row r="3448" spans="1:44" hidden="1">
      <c r="A3448" s="1" t="s">
        <v>5665</v>
      </c>
      <c r="C3448" s="1">
        <v>1</v>
      </c>
      <c r="D3448" s="1" t="str">
        <f>"02312"</f>
        <v>02312</v>
      </c>
      <c r="E3448" s="1" t="s">
        <v>185</v>
      </c>
      <c r="F3448" s="1">
        <v>10</v>
      </c>
      <c r="G3448" s="1">
        <v>8</v>
      </c>
      <c r="H3448" s="1">
        <v>0</v>
      </c>
      <c r="I3448" s="1" t="s">
        <v>5661</v>
      </c>
      <c r="K3448" s="1" t="str">
        <f t="shared" si="217"/>
        <v>ㄉ</v>
      </c>
      <c r="L3448" s="1" t="str">
        <f t="shared" si="218"/>
        <v>ㄨ</v>
      </c>
      <c r="M3448" s="1" t="str">
        <f t="shared" si="219"/>
        <v>ㄛ</v>
      </c>
      <c r="P3448" s="1" t="s">
        <v>20</v>
      </c>
      <c r="R3448" s="1" t="s">
        <v>5662</v>
      </c>
      <c r="V3448" s="1" t="s">
        <v>5666</v>
      </c>
      <c r="AR3448" s="1" t="str">
        <f t="shared" si="216"/>
        <v>| [ㄉㄨㄛˊ](ㄉㄨㄛˊ.md) | [剟](剟.md) |  | duó | [動]
1.用刀刺或割。《史記．卷八九．張耳陳餘傳》：「吏治榜笞數千、刺剟，身無可擊者，終不復言。」《漢書．卷四八．賈誼傳》：「盜者剟寢戶之簾，搴兩廟之器。」
2.削減、刪除。《商君書．定分》：「有敢剟定法令，損益一字以上，罪死不赦。」 |</v>
      </c>
    </row>
    <row r="3449" spans="1:44" hidden="1">
      <c r="A3449" s="1" t="s">
        <v>5659</v>
      </c>
      <c r="C3449" s="1">
        <v>1</v>
      </c>
      <c r="D3449" s="1" t="str">
        <f>"02313"</f>
        <v>02313</v>
      </c>
      <c r="E3449" s="1" t="s">
        <v>24</v>
      </c>
      <c r="F3449" s="1">
        <v>11</v>
      </c>
      <c r="G3449" s="1">
        <v>8</v>
      </c>
      <c r="H3449" s="1">
        <v>1</v>
      </c>
      <c r="I3449" s="1" t="s">
        <v>5661</v>
      </c>
      <c r="K3449" s="1" t="str">
        <f t="shared" si="217"/>
        <v>ㄉ</v>
      </c>
      <c r="L3449" s="1" t="str">
        <f t="shared" si="218"/>
        <v>ㄨ</v>
      </c>
      <c r="M3449" s="1" t="str">
        <f t="shared" si="219"/>
        <v>ㄛ</v>
      </c>
      <c r="P3449" s="1" t="s">
        <v>20</v>
      </c>
      <c r="R3449" s="1" t="s">
        <v>5662</v>
      </c>
      <c r="V3449" s="1" t="s">
        <v>5667</v>
      </c>
      <c r="W3449" s="1" t="s">
        <v>5668</v>
      </c>
      <c r="AR3449" s="1" t="str">
        <f t="shared" si="216"/>
        <v>| [ㄉㄨㄛˊ](ㄉㄨㄛˊ.md) | [掇](掇.md) |  | duó | [動]
1.拾取。《詩經．周南．芣苢》：「采采芣苢，薄言掇之。」《韓非子．五蠹》：「鑠金百溢，盜跖不掇。」
2.採摘。《文選．曹操．短歌行》：「明明如月，何時可掇？」宋．歐陽修〈豐樂亭記〉：「掇幽芳而蔭喬木，風霜冰雪，刻露清秀。」
3.擇取。唐．白居易〈與元九書〉：「博搜精掇，編而次之。」
4.搬、端。《水滸傳》第二六回：「武松掇條凳子，卻坐在橫頭。」《儒林外史》第四回：「嚴家家人掇了一個食盒來，又提了一瓶酒。」
5.調轉、扭轉。明．王世貞《鳴鳳記》第五齣：「那時我就掇身轉來，就如奉承嚴家一般奉承他了。」
[形]
短。《莊子．秋水》：「掇而不跂，知時无止。」晉．郭象．注：「掇，猶短也。」 |</v>
      </c>
    </row>
    <row r="3450" spans="1:44" hidden="1">
      <c r="A3450" s="1" t="s">
        <v>5669</v>
      </c>
      <c r="C3450" s="1">
        <v>1</v>
      </c>
      <c r="D3450" s="1" t="str">
        <f>"02314"</f>
        <v>02314</v>
      </c>
      <c r="E3450" s="1" t="s">
        <v>1703</v>
      </c>
      <c r="F3450" s="1">
        <v>12</v>
      </c>
      <c r="G3450" s="1">
        <v>8</v>
      </c>
      <c r="H3450" s="1">
        <v>0</v>
      </c>
      <c r="I3450" s="1" t="s">
        <v>5661</v>
      </c>
      <c r="K3450" s="1" t="str">
        <f t="shared" si="217"/>
        <v>ㄉ</v>
      </c>
      <c r="L3450" s="1" t="str">
        <f t="shared" si="218"/>
        <v>ㄨ</v>
      </c>
      <c r="M3450" s="1" t="str">
        <f t="shared" si="219"/>
        <v>ㄛ</v>
      </c>
      <c r="P3450" s="1" t="s">
        <v>20</v>
      </c>
      <c r="R3450" s="1" t="s">
        <v>5662</v>
      </c>
      <c r="V3450" s="1" t="s">
        <v>5670</v>
      </c>
      <c r="AR3450" s="1" t="str">
        <f t="shared" si="216"/>
        <v>| [ㄉㄨㄛˊ](ㄉㄨㄛˊ.md) | [毲](毲.md) |  | duó | [名]
古代蠻夷所編的毛織品。《集韻．入聲．末韻》：「毲，蠻夷織毛罽也。」《後漢書．卷八六．南蠻西南夷傳．西南夷傳》：「知染采文繡，罽毲帛疊，蘭干細布，織成文章綾錦。」 |</v>
      </c>
    </row>
    <row r="3451" spans="1:44" hidden="1">
      <c r="A3451" s="1" t="s">
        <v>5671</v>
      </c>
      <c r="C3451" s="1">
        <v>1</v>
      </c>
      <c r="D3451" s="1" t="str">
        <f>"02315"</f>
        <v>02315</v>
      </c>
      <c r="E3451" s="1" t="s">
        <v>426</v>
      </c>
      <c r="F3451" s="1">
        <v>12</v>
      </c>
      <c r="G3451" s="1">
        <v>8</v>
      </c>
      <c r="H3451" s="1">
        <v>0</v>
      </c>
      <c r="I3451" s="1" t="s">
        <v>5661</v>
      </c>
      <c r="K3451" s="1" t="str">
        <f t="shared" si="217"/>
        <v>ㄉ</v>
      </c>
      <c r="L3451" s="1" t="str">
        <f t="shared" si="218"/>
        <v>ㄨ</v>
      </c>
      <c r="M3451" s="1" t="str">
        <f t="shared" si="219"/>
        <v>ㄛ</v>
      </c>
      <c r="P3451" s="1" t="s">
        <v>20</v>
      </c>
      <c r="R3451" s="1" t="s">
        <v>5662</v>
      </c>
      <c r="V3451" s="1" t="s">
        <v>5443</v>
      </c>
      <c r="AR3451" s="1" t="str">
        <f t="shared" si="216"/>
        <v>| [ㄉㄨㄛˊ](ㄉㄨㄛˊ.md) | [敪](敪.md) |  | duó | 參見「敁敪」條。 |</v>
      </c>
    </row>
    <row r="3452" spans="1:44" hidden="1">
      <c r="A3452" s="1" t="s">
        <v>5672</v>
      </c>
      <c r="C3452" s="1">
        <v>1</v>
      </c>
      <c r="D3452" s="1" t="str">
        <f>"02316"</f>
        <v>02316</v>
      </c>
      <c r="E3452" s="1" t="s">
        <v>340</v>
      </c>
      <c r="F3452" s="1">
        <v>14</v>
      </c>
      <c r="G3452" s="1">
        <v>8</v>
      </c>
      <c r="H3452" s="1">
        <v>0</v>
      </c>
      <c r="I3452" s="1" t="s">
        <v>5661</v>
      </c>
      <c r="K3452" s="1" t="str">
        <f t="shared" si="217"/>
        <v>ㄉ</v>
      </c>
      <c r="L3452" s="1" t="str">
        <f t="shared" si="218"/>
        <v>ㄨ</v>
      </c>
      <c r="M3452" s="1" t="str">
        <f t="shared" si="219"/>
        <v>ㄛ</v>
      </c>
      <c r="P3452" s="1" t="s">
        <v>20</v>
      </c>
      <c r="R3452" s="1" t="s">
        <v>5662</v>
      </c>
      <c r="V3452" s="1" t="s">
        <v>5673</v>
      </c>
      <c r="AR3452" s="1" t="str">
        <f t="shared" si="216"/>
        <v>| [ㄉㄨㄛˊ](ㄉㄨㄛˊ.md) | [裰](裰.md) |  | duó | [動]
縫補破衣。《廣韻．入聲．末韻》：「裰，補綴破衣也。」
[名]
參見「直裰」條。 |</v>
      </c>
    </row>
    <row r="3453" spans="1:44" hidden="1">
      <c r="A3453" s="1" t="s">
        <v>5674</v>
      </c>
      <c r="C3453" s="1">
        <v>1</v>
      </c>
      <c r="D3453" s="1" t="str">
        <f>"02317"</f>
        <v>02317</v>
      </c>
      <c r="E3453" s="1" t="s">
        <v>185</v>
      </c>
      <c r="F3453" s="1">
        <v>11</v>
      </c>
      <c r="G3453" s="1">
        <v>9</v>
      </c>
      <c r="H3453" s="1">
        <v>0</v>
      </c>
      <c r="I3453" s="1" t="s">
        <v>5661</v>
      </c>
      <c r="K3453" s="1" t="str">
        <f t="shared" si="217"/>
        <v>ㄉ</v>
      </c>
      <c r="L3453" s="1" t="str">
        <f t="shared" si="218"/>
        <v>ㄨ</v>
      </c>
      <c r="M3453" s="1" t="str">
        <f t="shared" si="219"/>
        <v>ㄛ</v>
      </c>
      <c r="P3453" s="1" t="s">
        <v>20</v>
      </c>
      <c r="R3453" s="1" t="s">
        <v>5662</v>
      </c>
      <c r="V3453" s="1" t="s">
        <v>5675</v>
      </c>
      <c r="AR3453" s="1" t="str">
        <f t="shared" si="216"/>
        <v>| [ㄉㄨㄛˊ](ㄉㄨㄛˊ.md) | [剫](剫.md) |  | duó | [動]
裁割、加工木材。《廣韻．入聲．鐸韻》：「剫，治木也。」 |</v>
      </c>
    </row>
    <row r="3454" spans="1:44" hidden="1">
      <c r="A3454" s="1" t="s">
        <v>5676</v>
      </c>
      <c r="C3454" s="1">
        <v>1</v>
      </c>
      <c r="D3454" s="1" t="str">
        <f>"02318"</f>
        <v>02318</v>
      </c>
      <c r="E3454" s="1" t="s">
        <v>563</v>
      </c>
      <c r="F3454" s="1">
        <v>14</v>
      </c>
      <c r="G3454" s="1">
        <v>11</v>
      </c>
      <c r="H3454" s="1">
        <v>0</v>
      </c>
      <c r="I3454" s="1" t="s">
        <v>5661</v>
      </c>
      <c r="K3454" s="1" t="str">
        <f t="shared" si="217"/>
        <v>ㄉ</v>
      </c>
      <c r="L3454" s="1" t="str">
        <f t="shared" si="218"/>
        <v>ㄨ</v>
      </c>
      <c r="M3454" s="1" t="str">
        <f t="shared" si="219"/>
        <v>ㄛ</v>
      </c>
      <c r="P3454" s="1" t="s">
        <v>20</v>
      </c>
      <c r="R3454" s="1" t="s">
        <v>5662</v>
      </c>
      <c r="V3454" s="1" t="s">
        <v>5677</v>
      </c>
      <c r="AR3454" s="1" t="str">
        <f t="shared" si="216"/>
        <v>| [ㄉㄨㄛˊ](ㄉㄨㄛˊ.md) | [奪](奪.md) |  | duó | [動]
1.強取。如：「搶奪」。《水滸傳》第六七回：「殺去東京，奪了鳥位子，卻不強似在這里鳥亂！」
2.削除、使失去。如：「剝奪」、「褫奪」。唐．皮日休〈十原系述．原刑〉：「苟有過，必諭之；諭而不可，奪其政。」
3.爭取。如：「爭奪」、「奪標」。清．洪昇《長生殿》第五齣：「繡幕雕軒，珠繞翠圍，爭妍奪俊。」
4.做決定。如：「定奪」、「裁奪」。
5.錯過。《孟子．梁惠王上》：「百畝之田，勿奪其時，數口之家可以無饑矣。」
6.衝過。如：「奪門而出」、「淚水奪眶而出」。
7.耀眼、眩目。如：「光彩奪目」。《紅樓夢》第二三回：「賈政一舉目，見寶玉站在跟前，神彩飄逸，秀色奪人。」
8.脫漏、漏掉。如：「訛奪」。《後漢書．卷六七．黨錮傳．李膺傳》：「本謂膺賢，遣子師之，豈可以漏奪名籍，苟安而已！」 |</v>
      </c>
    </row>
    <row r="3455" spans="1:44" hidden="1">
      <c r="A3455" s="1" t="s">
        <v>5678</v>
      </c>
      <c r="C3455" s="1">
        <v>1</v>
      </c>
      <c r="D3455" s="1" t="str">
        <f>"02319"</f>
        <v>02319</v>
      </c>
      <c r="E3455" s="1" t="s">
        <v>340</v>
      </c>
      <c r="F3455" s="1">
        <v>19</v>
      </c>
      <c r="G3455" s="1">
        <v>13</v>
      </c>
      <c r="H3455" s="1">
        <v>2</v>
      </c>
      <c r="I3455" s="1" t="s">
        <v>5661</v>
      </c>
      <c r="K3455" s="1" t="str">
        <f t="shared" si="217"/>
        <v>ㄉ</v>
      </c>
      <c r="L3455" s="1" t="str">
        <f t="shared" si="218"/>
        <v>ㄨ</v>
      </c>
      <c r="M3455" s="1" t="str">
        <f t="shared" si="219"/>
        <v>ㄛ</v>
      </c>
      <c r="P3455" s="1" t="s">
        <v>110</v>
      </c>
      <c r="R3455" s="1" t="s">
        <v>5662</v>
      </c>
      <c r="V3455" s="1" t="s">
        <v>111</v>
      </c>
      <c r="W3455" s="1" t="s">
        <v>5679</v>
      </c>
      <c r="AR3455" s="1" t="str">
        <f t="shared" si="216"/>
        <v>| [ㄉㄨㄛˊ](ㄉㄨㄛˊ.md) | [襗](襗.md) |  | duó | (一)之又音。 |</v>
      </c>
    </row>
    <row r="3456" spans="1:44" hidden="1">
      <c r="A3456" s="1" t="s">
        <v>5680</v>
      </c>
      <c r="C3456" s="1">
        <v>1</v>
      </c>
      <c r="D3456" s="1" t="str">
        <f>"02320"</f>
        <v>02320</v>
      </c>
      <c r="E3456" s="1" t="s">
        <v>55</v>
      </c>
      <c r="F3456" s="1">
        <v>21</v>
      </c>
      <c r="G3456" s="1">
        <v>13</v>
      </c>
      <c r="H3456" s="1">
        <v>0</v>
      </c>
      <c r="I3456" s="1" t="s">
        <v>5661</v>
      </c>
      <c r="K3456" s="1" t="str">
        <f t="shared" si="217"/>
        <v>ㄉ</v>
      </c>
      <c r="L3456" s="1" t="str">
        <f t="shared" si="218"/>
        <v>ㄨ</v>
      </c>
      <c r="M3456" s="1" t="str">
        <f t="shared" si="219"/>
        <v>ㄛ</v>
      </c>
      <c r="P3456" s="1" t="s">
        <v>20</v>
      </c>
      <c r="R3456" s="1" t="s">
        <v>5662</v>
      </c>
      <c r="V3456" s="1" t="s">
        <v>5681</v>
      </c>
      <c r="AR3456" s="1" t="str">
        <f t="shared" si="216"/>
        <v>| [ㄉㄨㄛˊ](ㄉㄨㄛˊ.md) | [鐸](鐸.md) |  | duó | [名]
1.樂器名，打擊樂器。一種大鈴，通常為有柄有鈴舌，振舌發聲。古代用來宣佈政教法令或示警。材質多為金屬製或木製。如：「鈴鐸」、「木鐸」。
2.姓。如春秋時晉國有鐸遏寇。 |</v>
      </c>
    </row>
    <row r="3457" spans="1:44" hidden="1">
      <c r="A3457" s="1" t="s">
        <v>5682</v>
      </c>
      <c r="C3457" s="1">
        <v>1</v>
      </c>
      <c r="D3457" s="1" t="str">
        <f>"02321"</f>
        <v>02321</v>
      </c>
      <c r="E3457" s="1" t="s">
        <v>139</v>
      </c>
      <c r="F3457" s="1">
        <v>6</v>
      </c>
      <c r="G3457" s="1">
        <v>2</v>
      </c>
      <c r="H3457" s="1">
        <v>0</v>
      </c>
      <c r="I3457" s="1" t="s">
        <v>5683</v>
      </c>
      <c r="K3457" s="1" t="str">
        <f t="shared" si="217"/>
        <v>ㄉ</v>
      </c>
      <c r="L3457" s="1" t="str">
        <f t="shared" si="218"/>
        <v>ㄨ</v>
      </c>
      <c r="M3457" s="1" t="str">
        <f t="shared" si="219"/>
        <v>ㄛ</v>
      </c>
      <c r="P3457" s="1" t="s">
        <v>20</v>
      </c>
      <c r="R3457" s="1" t="s">
        <v>5684</v>
      </c>
      <c r="V3457" s="1" t="s">
        <v>5685</v>
      </c>
      <c r="AR3457" s="1" t="str">
        <f t="shared" si="216"/>
        <v>| [ㄉㄨㄛˇ](ㄉㄨㄛˇ.md) | [朵](朵.md) |  | duǒ | [名]
1.植物的花或苞。如：「花朵」。唐．白居易〈新春江次〉詩：「粉片妝梅朵，金絲刷柳條。」
2.量詞。計算花或雲彩等團狀物的單位。如：「一朵花」、「幾朵白雲」、「浪花一朵朵」。唐．杜甫〈江畔獨步尋花七絕句〉之六：「黃四娘家花滿蹊，千朵萬朵壓枝低。」
[動]
參見「朵頤」條。 |</v>
      </c>
    </row>
    <row r="3458" spans="1:44" hidden="1">
      <c r="A3458" s="1" t="s">
        <v>5686</v>
      </c>
      <c r="C3458" s="1">
        <v>1</v>
      </c>
      <c r="D3458" s="1" t="str">
        <f>"02322"</f>
        <v>02322</v>
      </c>
      <c r="E3458" s="1" t="s">
        <v>132</v>
      </c>
      <c r="F3458" s="1">
        <v>9</v>
      </c>
      <c r="G3458" s="1">
        <v>6</v>
      </c>
      <c r="H3458" s="1">
        <v>1</v>
      </c>
      <c r="I3458" s="1" t="s">
        <v>5683</v>
      </c>
      <c r="K3458" s="1" t="str">
        <f t="shared" si="217"/>
        <v>ㄉ</v>
      </c>
      <c r="L3458" s="1" t="str">
        <f t="shared" si="218"/>
        <v>ㄨ</v>
      </c>
      <c r="M3458" s="1" t="str">
        <f t="shared" si="219"/>
        <v>ㄛ</v>
      </c>
      <c r="P3458" s="1" t="s">
        <v>20</v>
      </c>
      <c r="R3458" s="1" t="s">
        <v>5684</v>
      </c>
      <c r="V3458" s="1" t="s">
        <v>5687</v>
      </c>
      <c r="W3458" s="1" t="s">
        <v>5688</v>
      </c>
      <c r="AR3458" s="1" t="str">
        <f t="shared" si="216"/>
        <v>| [ㄉㄨㄛˇ](ㄉㄨㄛˇ.md) | [垛](垛.md) |  | duǒ | [名]
1.建築物突出的部分。如：「城垛」、「門垛子」。明．湯顯祖《牡丹亭》第二四齣：「蒼苔滑擦，倚逗著斷垣低垛，因何蝴蝶門兒落合？」
2.箭靶。如：「射垛」。《太平廣記．卷二五〇．鄧玄挺》：「又嘗與謝佑同射，先自矜敏手，及至對射，數十發皆不中垛。」 |</v>
      </c>
    </row>
    <row r="3459" spans="1:44" hidden="1">
      <c r="A3459" s="1" t="s">
        <v>5689</v>
      </c>
      <c r="C3459" s="1">
        <v>1</v>
      </c>
      <c r="D3459" s="1" t="str">
        <f>"02323"</f>
        <v>02323</v>
      </c>
      <c r="E3459" s="1" t="s">
        <v>4563</v>
      </c>
      <c r="F3459" s="1">
        <v>13</v>
      </c>
      <c r="G3459" s="1">
        <v>6</v>
      </c>
      <c r="H3459" s="1">
        <v>0</v>
      </c>
      <c r="I3459" s="1" t="s">
        <v>5683</v>
      </c>
      <c r="K3459" s="1" t="str">
        <f t="shared" si="217"/>
        <v>ㄉ</v>
      </c>
      <c r="L3459" s="1" t="str">
        <f t="shared" si="218"/>
        <v>ㄨ</v>
      </c>
      <c r="M3459" s="1" t="str">
        <f t="shared" si="219"/>
        <v>ㄛ</v>
      </c>
      <c r="P3459" s="1" t="s">
        <v>20</v>
      </c>
      <c r="R3459" s="1" t="s">
        <v>5684</v>
      </c>
      <c r="V3459" s="1" t="s">
        <v>5690</v>
      </c>
      <c r="AR3459" s="1" t="str">
        <f t="shared" ref="AR3459:AR3522" si="220">"| ["&amp;I3459&amp;"]("&amp;I3459&amp;".md) | ["&amp;A3459&amp;"]("&amp;A3459&amp;".md) | "&amp;" | "&amp;R3459&amp;" | "&amp;V3459&amp;" |"</f>
        <v>| [ㄉㄨㄛˇ](ㄉㄨㄛˇ.md) | [趓](趓.md) |  | duǒ | [動]
隱藏。如：「潛潛趓趓」。宋．陳德武〈清平樂．嬌聲嬌語〉詞：「趓在綠陰深處。」 |</v>
      </c>
    </row>
    <row r="3460" spans="1:44" hidden="1">
      <c r="A3460" s="1" t="s">
        <v>5691</v>
      </c>
      <c r="C3460" s="1">
        <v>1</v>
      </c>
      <c r="D3460" s="1" t="str">
        <f>"02324"</f>
        <v>02324</v>
      </c>
      <c r="E3460" s="1" t="s">
        <v>5692</v>
      </c>
      <c r="F3460" s="1">
        <v>13</v>
      </c>
      <c r="G3460" s="1">
        <v>6</v>
      </c>
      <c r="H3460" s="1">
        <v>0</v>
      </c>
      <c r="I3460" s="1" t="s">
        <v>5683</v>
      </c>
      <c r="K3460" s="1" t="str">
        <f t="shared" si="217"/>
        <v>ㄉ</v>
      </c>
      <c r="L3460" s="1" t="str">
        <f t="shared" si="218"/>
        <v>ㄨ</v>
      </c>
      <c r="M3460" s="1" t="str">
        <f t="shared" si="219"/>
        <v>ㄛ</v>
      </c>
      <c r="P3460" s="1" t="s">
        <v>20</v>
      </c>
      <c r="R3460" s="1" t="s">
        <v>5684</v>
      </c>
      <c r="V3460" s="1" t="s">
        <v>5693</v>
      </c>
      <c r="AR3460" s="1" t="str">
        <f t="shared" si="220"/>
        <v>| [ㄉㄨㄛˇ](ㄉㄨㄛˇ.md) | [躲](躲.md) |  | duǒ | [動]
1.隱藏、藏身。如：「躲開」、「躲貓貓」。《醒世恆言．卷三．賣油郎獨占花魁》：「家中大小，躲得沒半個影兒。」
2.避開。如：「躲雨」、「躲避」、「明槍易躲，暗箭難防」。宋．陸游〈沁園春．孤鶴歸飛〉詞：「躲盡危機，消殘壯志，短艇湖中閒采蓴。」 |</v>
      </c>
    </row>
    <row r="3461" spans="1:44" hidden="1">
      <c r="A3461" s="1" t="s">
        <v>5694</v>
      </c>
      <c r="C3461" s="1">
        <v>1</v>
      </c>
      <c r="D3461" s="1" t="str">
        <f>"02325"</f>
        <v>02325</v>
      </c>
      <c r="E3461" s="1" t="s">
        <v>132</v>
      </c>
      <c r="F3461" s="1">
        <v>12</v>
      </c>
      <c r="G3461" s="1">
        <v>9</v>
      </c>
      <c r="H3461" s="1">
        <v>0</v>
      </c>
      <c r="I3461" s="1" t="s">
        <v>5683</v>
      </c>
      <c r="K3461" s="1" t="str">
        <f t="shared" si="217"/>
        <v>ㄉ</v>
      </c>
      <c r="L3461" s="1" t="str">
        <f t="shared" si="218"/>
        <v>ㄨ</v>
      </c>
      <c r="M3461" s="1" t="str">
        <f t="shared" si="219"/>
        <v>ㄛ</v>
      </c>
      <c r="P3461" s="1" t="s">
        <v>20</v>
      </c>
      <c r="R3461" s="1" t="s">
        <v>5684</v>
      </c>
      <c r="V3461" s="1" t="s">
        <v>5695</v>
      </c>
      <c r="AR3461" s="1" t="str">
        <f t="shared" si="220"/>
        <v>| [ㄉㄨㄛˇ](ㄉㄨㄛˇ.md) | [埵](埵.md) |  | duǒ | [名]
1.堅硬的土。《說文解字．土部》：「埵，堅土也。」
2.鎔冶金屬的器具。《淮南子．齊俗》：「鑪橐埵坊設，非巧冶不能以治金。」漢．高誘．注：「鑪、橐、埵皆冶具。」 |</v>
      </c>
    </row>
    <row r="3462" spans="1:44" hidden="1">
      <c r="A3462" s="1" t="s">
        <v>5696</v>
      </c>
      <c r="C3462" s="1">
        <v>1</v>
      </c>
      <c r="D3462" s="1" t="str">
        <f>"02326"</f>
        <v>02326</v>
      </c>
      <c r="E3462" s="1" t="s">
        <v>725</v>
      </c>
      <c r="F3462" s="1">
        <v>15</v>
      </c>
      <c r="G3462" s="1">
        <v>9</v>
      </c>
      <c r="H3462" s="1">
        <v>0</v>
      </c>
      <c r="I3462" s="1" t="s">
        <v>5683</v>
      </c>
      <c r="K3462" s="1" t="str">
        <f t="shared" si="217"/>
        <v>ㄉ</v>
      </c>
      <c r="L3462" s="1" t="str">
        <f t="shared" si="218"/>
        <v>ㄨ</v>
      </c>
      <c r="M3462" s="1" t="str">
        <f t="shared" si="219"/>
        <v>ㄛ</v>
      </c>
      <c r="P3462" s="1" t="s">
        <v>20</v>
      </c>
      <c r="R3462" s="1" t="s">
        <v>5684</v>
      </c>
      <c r="V3462" s="1" t="s">
        <v>5697</v>
      </c>
      <c r="AR3462" s="1" t="str">
        <f t="shared" si="220"/>
        <v>| [ㄉㄨㄛˇ](ㄉㄨㄛˇ.md) | [綞](綞.md) |  | duǒ | 參見「綞子」條。 |</v>
      </c>
    </row>
    <row r="3463" spans="1:44" hidden="1">
      <c r="A3463" s="1" t="s">
        <v>5698</v>
      </c>
      <c r="C3463" s="1">
        <v>1</v>
      </c>
      <c r="D3463" s="1" t="str">
        <f>"02327"</f>
        <v>02327</v>
      </c>
      <c r="E3463" s="1" t="s">
        <v>1078</v>
      </c>
      <c r="F3463" s="1">
        <v>19</v>
      </c>
      <c r="G3463" s="1">
        <v>9</v>
      </c>
      <c r="H3463" s="1">
        <v>1</v>
      </c>
      <c r="I3463" s="1" t="s">
        <v>5683</v>
      </c>
      <c r="K3463" s="1" t="str">
        <f t="shared" si="217"/>
        <v>ㄉ</v>
      </c>
      <c r="L3463" s="1" t="str">
        <f t="shared" si="218"/>
        <v>ㄨ</v>
      </c>
      <c r="M3463" s="1" t="str">
        <f t="shared" si="219"/>
        <v>ㄛ</v>
      </c>
      <c r="P3463" s="1" t="s">
        <v>20</v>
      </c>
      <c r="R3463" s="1" t="s">
        <v>5684</v>
      </c>
      <c r="V3463" s="1" t="s">
        <v>5699</v>
      </c>
      <c r="W3463" s="1" t="s">
        <v>5700</v>
      </c>
      <c r="AR3463" s="1" t="str">
        <f t="shared" si="220"/>
        <v>| [ㄉㄨㄛˇ](ㄉㄨㄛˇ.md) | [鬌](鬌.md) |  | duǒ | [名]
小孩剪髮後所餘留的頭髮。《禮記．內則》：「三月之末，擇日翦髮為鬌。」唐．孔穎達．正義：「三月翦髮所留不翦者謂之鬌。」 |</v>
      </c>
    </row>
    <row r="3464" spans="1:44" hidden="1">
      <c r="A3464" s="1" t="s">
        <v>5701</v>
      </c>
      <c r="C3464" s="1">
        <v>1</v>
      </c>
      <c r="D3464" s="1" t="str">
        <f>"02328"</f>
        <v>02328</v>
      </c>
      <c r="E3464" s="1" t="s">
        <v>28</v>
      </c>
      <c r="F3464" s="1">
        <v>20</v>
      </c>
      <c r="G3464" s="1">
        <v>17</v>
      </c>
      <c r="H3464" s="1">
        <v>0</v>
      </c>
      <c r="I3464" s="1" t="s">
        <v>5683</v>
      </c>
      <c r="K3464" s="1" t="str">
        <f t="shared" si="217"/>
        <v>ㄉ</v>
      </c>
      <c r="L3464" s="1" t="str">
        <f t="shared" si="218"/>
        <v>ㄨ</v>
      </c>
      <c r="M3464" s="1" t="str">
        <f t="shared" si="219"/>
        <v>ㄛ</v>
      </c>
      <c r="P3464" s="1" t="s">
        <v>20</v>
      </c>
      <c r="R3464" s="1" t="s">
        <v>5684</v>
      </c>
      <c r="V3464" s="1" t="s">
        <v>5702</v>
      </c>
      <c r="AR3464" s="1" t="str">
        <f t="shared" si="220"/>
        <v>| [ㄉㄨㄛˇ](ㄉㄨㄛˇ.md) | [嚲](嚲.md) |  | duǒ | [形]
下垂的樣子。元．白樸《梧桐雨》第一折：「我把你半嚲的肩兒憑，他把個百媚臉兒擎。」 |</v>
      </c>
    </row>
    <row r="3465" spans="1:44" hidden="1">
      <c r="A3465" s="1" t="s">
        <v>5703</v>
      </c>
      <c r="C3465" s="1">
        <v>1</v>
      </c>
      <c r="D3465" s="1" t="str">
        <f>"02329"</f>
        <v>02329</v>
      </c>
      <c r="E3465" s="1" t="s">
        <v>336</v>
      </c>
      <c r="F3465" s="1">
        <v>7</v>
      </c>
      <c r="G3465" s="1">
        <v>3</v>
      </c>
      <c r="H3465" s="1">
        <v>2</v>
      </c>
      <c r="I3465" s="1" t="s">
        <v>5704</v>
      </c>
      <c r="K3465" s="1" t="str">
        <f t="shared" si="217"/>
        <v>ㄉ</v>
      </c>
      <c r="L3465" s="1" t="str">
        <f t="shared" si="218"/>
        <v>ㄨ</v>
      </c>
      <c r="M3465" s="1" t="str">
        <f t="shared" si="219"/>
        <v>ㄛ</v>
      </c>
      <c r="P3465" s="1" t="s">
        <v>110</v>
      </c>
      <c r="R3465" s="1" t="s">
        <v>5705</v>
      </c>
      <c r="V3465" s="1" t="s">
        <v>111</v>
      </c>
      <c r="W3465" s="1" t="s">
        <v>5706</v>
      </c>
      <c r="AR3465" s="1" t="str">
        <f t="shared" si="220"/>
        <v>| [ㄉㄨㄛˋ](ㄉㄨㄛˋ.md) | [灺](灺.md) |  | duò | (一)之又音。 |</v>
      </c>
    </row>
    <row r="3466" spans="1:44" hidden="1">
      <c r="A3466" s="1" t="s">
        <v>5255</v>
      </c>
      <c r="C3466" s="1">
        <v>1</v>
      </c>
      <c r="D3466" s="1" t="str">
        <f>"02330"</f>
        <v>02330</v>
      </c>
      <c r="E3466" s="1" t="s">
        <v>139</v>
      </c>
      <c r="F3466" s="1">
        <v>7</v>
      </c>
      <c r="G3466" s="1">
        <v>3</v>
      </c>
      <c r="H3466" s="1">
        <v>2</v>
      </c>
      <c r="I3466" s="1" t="s">
        <v>5704</v>
      </c>
      <c r="K3466" s="1" t="str">
        <f t="shared" si="217"/>
        <v>ㄉ</v>
      </c>
      <c r="L3466" s="1" t="str">
        <f t="shared" si="218"/>
        <v>ㄨ</v>
      </c>
      <c r="M3466" s="1" t="str">
        <f t="shared" si="219"/>
        <v>ㄛ</v>
      </c>
      <c r="P3466" s="1" t="s">
        <v>20</v>
      </c>
      <c r="R3466" s="1" t="s">
        <v>5705</v>
      </c>
      <c r="V3466" s="1" t="s">
        <v>5707</v>
      </c>
      <c r="W3466" s="1" t="s">
        <v>5708</v>
      </c>
      <c r="AR3466" s="1" t="str">
        <f t="shared" si="220"/>
        <v>| [ㄉㄨㄛˋ](ㄉㄨㄛˋ.md) | [杕](杕.md) |  | duò | [名]
控制行船方向的設備，多裝置在船尾。同「舵」。《淮南子．說林》：「心所說，毀舟為杕；心所欲，毀鐘為鐸。」 |</v>
      </c>
    </row>
    <row r="3467" spans="1:44" hidden="1">
      <c r="A3467" s="1" t="s">
        <v>5709</v>
      </c>
      <c r="C3467" s="1">
        <v>1</v>
      </c>
      <c r="D3467" s="1" t="str">
        <f>"02331"</f>
        <v>02331</v>
      </c>
      <c r="E3467" s="1" t="s">
        <v>319</v>
      </c>
      <c r="F3467" s="1">
        <v>13</v>
      </c>
      <c r="G3467" s="1">
        <v>3</v>
      </c>
      <c r="H3467" s="1">
        <v>2</v>
      </c>
      <c r="I3467" s="1" t="s">
        <v>5704</v>
      </c>
      <c r="K3467" s="1" t="str">
        <f t="shared" si="217"/>
        <v>ㄉ</v>
      </c>
      <c r="L3467" s="1" t="str">
        <f t="shared" si="218"/>
        <v>ㄨ</v>
      </c>
      <c r="M3467" s="1" t="str">
        <f t="shared" si="219"/>
        <v>ㄛ</v>
      </c>
      <c r="P3467" s="1" t="s">
        <v>20</v>
      </c>
      <c r="R3467" s="1" t="s">
        <v>5705</v>
      </c>
      <c r="V3467" s="1" t="s">
        <v>5710</v>
      </c>
      <c r="W3467" s="1" t="s">
        <v>5711</v>
      </c>
      <c r="AR3467" s="1" t="str">
        <f t="shared" si="220"/>
        <v>| [ㄉㄨㄛˋ](ㄉㄨㄛˋ.md) | [馱](馱.md) |  | duò | [名]
1.牲畜背上載負的東西。宋．陸游〈短歌示諸稚〉詩：「再歸又六年，疲馬欣解馱。」
2.量詞。計算牲口所載負物品的單位。如：「錦緞二十馱」、「接連進了十幾馱貨，倉庫都滿了。」 |</v>
      </c>
    </row>
    <row r="3468" spans="1:44" hidden="1">
      <c r="A3468" s="1" t="s">
        <v>5712</v>
      </c>
      <c r="C3468" s="1">
        <v>1</v>
      </c>
      <c r="D3468" s="1" t="str">
        <f>"02332"</f>
        <v>02332</v>
      </c>
      <c r="E3468" s="1" t="s">
        <v>28</v>
      </c>
      <c r="F3468" s="1">
        <v>8</v>
      </c>
      <c r="G3468" s="1">
        <v>5</v>
      </c>
      <c r="H3468" s="1">
        <v>0</v>
      </c>
      <c r="I3468" s="1" t="s">
        <v>5704</v>
      </c>
      <c r="K3468" s="1" t="str">
        <f t="shared" si="217"/>
        <v>ㄉ</v>
      </c>
      <c r="L3468" s="1" t="str">
        <f t="shared" si="218"/>
        <v>ㄨ</v>
      </c>
      <c r="M3468" s="1" t="str">
        <f t="shared" si="219"/>
        <v>ㄛ</v>
      </c>
      <c r="P3468" s="1" t="s">
        <v>20</v>
      </c>
      <c r="R3468" s="1" t="s">
        <v>5705</v>
      </c>
      <c r="V3468" s="1" t="s">
        <v>5713</v>
      </c>
      <c r="AR3468" s="1" t="str">
        <f t="shared" si="220"/>
        <v>| [ㄉㄨㄛˋ](ㄉㄨㄛˋ.md) | [咄](咄.md) |  | duò | [動]
斥責、怒罵。《管子．形勢解》：「烏集之交，初雖相驩，後必相咄。」《聊齋志異．卷二．聶小倩》：「女云：『夜無知者。』甯又咄之。」
[歎]
1.表示呵叱。《史記．卷一二六．滑稽傳．褚少孫補郭舍人傳》：「郭舍人疾言罵之曰：『咄！老女子！何不疾行！』」
2.表示痛惜。《漢書．卷五四．李廣傳》：「立政曰：『咄！少卿良苦！』」 |</v>
      </c>
    </row>
    <row r="3469" spans="1:44" hidden="1">
      <c r="A3469" s="1" t="s">
        <v>5714</v>
      </c>
      <c r="C3469" s="1">
        <v>1</v>
      </c>
      <c r="D3469" s="1" t="str">
        <f>"02333"</f>
        <v>02333</v>
      </c>
      <c r="E3469" s="1" t="s">
        <v>139</v>
      </c>
      <c r="F3469" s="1">
        <v>9</v>
      </c>
      <c r="G3469" s="1">
        <v>5</v>
      </c>
      <c r="H3469" s="1">
        <v>0</v>
      </c>
      <c r="I3469" s="1" t="s">
        <v>5704</v>
      </c>
      <c r="K3469" s="1" t="str">
        <f t="shared" si="217"/>
        <v>ㄉ</v>
      </c>
      <c r="L3469" s="1" t="str">
        <f t="shared" si="218"/>
        <v>ㄨ</v>
      </c>
      <c r="M3469" s="1" t="str">
        <f t="shared" si="219"/>
        <v>ㄛ</v>
      </c>
      <c r="P3469" s="1" t="s">
        <v>20</v>
      </c>
      <c r="R3469" s="1" t="s">
        <v>5705</v>
      </c>
      <c r="V3469" s="1" t="s">
        <v>5715</v>
      </c>
      <c r="AR3469" s="1" t="str">
        <f t="shared" si="220"/>
        <v>| [ㄉㄨㄛˋ](ㄉㄨㄛˋ.md) | [柮](柮.md) |  | duò | 參見「榾柮」條。 |</v>
      </c>
    </row>
    <row r="3470" spans="1:44" hidden="1">
      <c r="A3470" s="1" t="s">
        <v>5716</v>
      </c>
      <c r="C3470" s="1">
        <v>1</v>
      </c>
      <c r="D3470" s="1" t="str">
        <f>"02334"</f>
        <v>02334</v>
      </c>
      <c r="E3470" s="1" t="s">
        <v>193</v>
      </c>
      <c r="F3470" s="1">
        <v>13</v>
      </c>
      <c r="G3470" s="1">
        <v>5</v>
      </c>
      <c r="H3470" s="1">
        <v>0</v>
      </c>
      <c r="I3470" s="1" t="s">
        <v>5704</v>
      </c>
      <c r="K3470" s="1" t="str">
        <f t="shared" si="217"/>
        <v>ㄉ</v>
      </c>
      <c r="L3470" s="1" t="str">
        <f t="shared" si="218"/>
        <v>ㄨ</v>
      </c>
      <c r="M3470" s="1" t="str">
        <f t="shared" si="219"/>
        <v>ㄛ</v>
      </c>
      <c r="P3470" s="1" t="s">
        <v>20</v>
      </c>
      <c r="R3470" s="1" t="s">
        <v>5705</v>
      </c>
      <c r="V3470" s="1" t="s">
        <v>5717</v>
      </c>
      <c r="AR3470" s="1" t="str">
        <f t="shared" si="220"/>
        <v>| [ㄉㄨㄛˋ](ㄉㄨㄛˋ.md) | [飿](飿.md) |  | duò | 參見「餶飿」條。 |</v>
      </c>
    </row>
    <row r="3471" spans="1:44" hidden="1">
      <c r="A3471" s="1" t="s">
        <v>5718</v>
      </c>
      <c r="C3471" s="1">
        <v>1</v>
      </c>
      <c r="D3471" s="1" t="str">
        <f>"02335"</f>
        <v>02335</v>
      </c>
      <c r="E3471" s="1" t="s">
        <v>185</v>
      </c>
      <c r="F3471" s="1">
        <v>8</v>
      </c>
      <c r="G3471" s="1">
        <v>6</v>
      </c>
      <c r="H3471" s="1">
        <v>0</v>
      </c>
      <c r="I3471" s="1" t="s">
        <v>5704</v>
      </c>
      <c r="K3471" s="1" t="str">
        <f t="shared" si="217"/>
        <v>ㄉ</v>
      </c>
      <c r="L3471" s="1" t="str">
        <f t="shared" si="218"/>
        <v>ㄨ</v>
      </c>
      <c r="M3471" s="1" t="str">
        <f t="shared" si="219"/>
        <v>ㄛ</v>
      </c>
      <c r="P3471" s="1" t="s">
        <v>20</v>
      </c>
      <c r="R3471" s="1" t="s">
        <v>5705</v>
      </c>
      <c r="V3471" s="1" t="s">
        <v>5719</v>
      </c>
      <c r="AR3471" s="1" t="str">
        <f t="shared" si="220"/>
        <v>| [ㄉㄨㄛˋ](ㄉㄨㄛˋ.md) | [剁](剁.md) |  | duò | [動]
用刀斬、切。如：「剁肉」、「剁餃子餡」。《聊齋志異．卷一．妖術》：「鬼益怒，吼如雷，轉身復剁。」 |</v>
      </c>
    </row>
    <row r="3472" spans="1:44" hidden="1">
      <c r="A3472" s="1" t="s">
        <v>5686</v>
      </c>
      <c r="C3472" s="1">
        <v>1</v>
      </c>
      <c r="D3472" s="1" t="str">
        <f>"02336"</f>
        <v>02336</v>
      </c>
      <c r="E3472" s="1" t="s">
        <v>132</v>
      </c>
      <c r="F3472" s="1">
        <v>9</v>
      </c>
      <c r="G3472" s="1">
        <v>6</v>
      </c>
      <c r="H3472" s="1">
        <v>2</v>
      </c>
      <c r="I3472" s="1" t="s">
        <v>5704</v>
      </c>
      <c r="K3472" s="1" t="str">
        <f t="shared" si="217"/>
        <v>ㄉ</v>
      </c>
      <c r="L3472" s="1" t="str">
        <f t="shared" si="218"/>
        <v>ㄨ</v>
      </c>
      <c r="M3472" s="1" t="str">
        <f t="shared" si="219"/>
        <v>ㄛ</v>
      </c>
      <c r="P3472" s="1" t="s">
        <v>20</v>
      </c>
      <c r="R3472" s="1" t="s">
        <v>5705</v>
      </c>
      <c r="V3472" s="1" t="s">
        <v>5720</v>
      </c>
      <c r="W3472" s="1" t="s">
        <v>5721</v>
      </c>
      <c r="AR3472" s="1" t="str">
        <f t="shared" si="220"/>
        <v>| [ㄉㄨㄛˋ](ㄉㄨㄛˋ.md) | [垛](垛.md) |  | duò | [動]
堆積。如：「快把那些稻草綑垛起來！」
[名]
合攏成堆的東西。如：「草垛」、「柴火垛」。《儒林外史》第五二回：「那八塊方磚，齊齊整整，疊作一垛在階沿上，有四尺來高。」 |</v>
      </c>
    </row>
    <row r="3473" spans="1:44" hidden="1">
      <c r="A3473" s="1" t="s">
        <v>5722</v>
      </c>
      <c r="C3473" s="1">
        <v>1</v>
      </c>
      <c r="D3473" s="1" t="str">
        <f>"02337"</f>
        <v>02337</v>
      </c>
      <c r="E3473" s="1" t="s">
        <v>77</v>
      </c>
      <c r="F3473" s="1">
        <v>13</v>
      </c>
      <c r="G3473" s="1">
        <v>6</v>
      </c>
      <c r="H3473" s="1">
        <v>0</v>
      </c>
      <c r="I3473" s="1" t="s">
        <v>5704</v>
      </c>
      <c r="K3473" s="1" t="str">
        <f t="shared" si="217"/>
        <v>ㄉ</v>
      </c>
      <c r="L3473" s="1" t="str">
        <f t="shared" si="218"/>
        <v>ㄨ</v>
      </c>
      <c r="M3473" s="1" t="str">
        <f t="shared" si="219"/>
        <v>ㄛ</v>
      </c>
      <c r="P3473" s="1" t="s">
        <v>20</v>
      </c>
      <c r="R3473" s="1" t="s">
        <v>5705</v>
      </c>
      <c r="V3473" s="1" t="s">
        <v>5723</v>
      </c>
      <c r="AR3473" s="1" t="str">
        <f t="shared" si="220"/>
        <v>| [ㄉㄨㄛˋ](ㄉㄨㄛˋ.md) | [跺](跺.md) |  | duò | [動]
以腳用力踏地。《紅樓夢》第三四回：「林黛玉急的跺腳。」 |</v>
      </c>
    </row>
    <row r="3474" spans="1:44" hidden="1">
      <c r="A3474" s="1" t="s">
        <v>5637</v>
      </c>
      <c r="C3474" s="1">
        <v>1</v>
      </c>
      <c r="D3474" s="1" t="str">
        <f>"02338"</f>
        <v>02338</v>
      </c>
      <c r="E3474" s="1" t="s">
        <v>447</v>
      </c>
      <c r="F3474" s="1">
        <v>9</v>
      </c>
      <c r="G3474" s="1">
        <v>6</v>
      </c>
      <c r="H3474" s="1">
        <v>2</v>
      </c>
      <c r="I3474" s="1" t="s">
        <v>5704</v>
      </c>
      <c r="K3474" s="1" t="str">
        <f t="shared" si="217"/>
        <v>ㄉ</v>
      </c>
      <c r="L3474" s="1" t="str">
        <f t="shared" si="218"/>
        <v>ㄨ</v>
      </c>
      <c r="M3474" s="1" t="str">
        <f t="shared" si="219"/>
        <v>ㄛ</v>
      </c>
      <c r="P3474" s="1" t="s">
        <v>20</v>
      </c>
      <c r="R3474" s="1" t="s">
        <v>5705</v>
      </c>
      <c r="V3474" s="1" t="s">
        <v>5724</v>
      </c>
      <c r="W3474" s="1" t="s">
        <v>5725</v>
      </c>
      <c r="AR3474" s="1" t="str">
        <f t="shared" si="220"/>
        <v>| [ㄉㄨㄛˋ](ㄉㄨㄛˋ.md) | [度](度.md) |  | duò | [動]
1.考慮、推測。如：「審度」、「揣度」。《詩經．大雅．抑》：「神之格思，不可度思矧可射思。」
2.測量。如：「量度」。漢．文帝〈議佐百姓詔〉：「夫度田非益寡，而計民未加益。」 |</v>
      </c>
    </row>
    <row r="3475" spans="1:44" hidden="1">
      <c r="A3475" s="1" t="s">
        <v>5726</v>
      </c>
      <c r="C3475" s="1">
        <v>1</v>
      </c>
      <c r="D3475" s="1" t="str">
        <f>"02339"</f>
        <v>02339</v>
      </c>
      <c r="E3475" s="1" t="s">
        <v>77</v>
      </c>
      <c r="F3475" s="1">
        <v>16</v>
      </c>
      <c r="G3475" s="1">
        <v>9</v>
      </c>
      <c r="H3475" s="1">
        <v>0</v>
      </c>
      <c r="I3475" s="1" t="s">
        <v>5704</v>
      </c>
      <c r="K3475" s="1" t="str">
        <f t="shared" si="217"/>
        <v>ㄉ</v>
      </c>
      <c r="L3475" s="1" t="str">
        <f t="shared" si="218"/>
        <v>ㄨ</v>
      </c>
      <c r="M3475" s="1" t="str">
        <f t="shared" si="219"/>
        <v>ㄛ</v>
      </c>
      <c r="P3475" s="1" t="s">
        <v>20</v>
      </c>
      <c r="R3475" s="1" t="s">
        <v>5705</v>
      </c>
      <c r="V3475" s="1" t="s">
        <v>5727</v>
      </c>
      <c r="AR3475" s="1" t="str">
        <f t="shared" si="220"/>
        <v>| [ㄉㄨㄛˋ](ㄉㄨㄛˋ.md) | [踱](踱.md) |  | duò | [動]_x000D_
一步一步慢慢地走。常用來表示處在悠閒或思慮的狀態中。如：「踱方步」、「踱來踱去」。《文明小史》第三四回：「到第四日上，有一個秀才……躬身曲背的踱進店來。」 |</v>
      </c>
    </row>
    <row r="3476" spans="1:44" hidden="1">
      <c r="A3476" s="1" t="s">
        <v>5728</v>
      </c>
      <c r="C3476" s="1">
        <v>1</v>
      </c>
      <c r="D3476" s="1" t="str">
        <f>"02340"</f>
        <v>02340</v>
      </c>
      <c r="E3476" s="1" t="s">
        <v>139</v>
      </c>
      <c r="F3476" s="1">
        <v>9</v>
      </c>
      <c r="G3476" s="1">
        <v>5</v>
      </c>
      <c r="H3476" s="1">
        <v>0</v>
      </c>
      <c r="I3476" s="1" t="s">
        <v>5704</v>
      </c>
      <c r="K3476" s="1" t="str">
        <f t="shared" si="217"/>
        <v>ㄉ</v>
      </c>
      <c r="L3476" s="1" t="str">
        <f t="shared" si="218"/>
        <v>ㄨ</v>
      </c>
      <c r="M3476" s="1" t="str">
        <f t="shared" si="219"/>
        <v>ㄛ</v>
      </c>
      <c r="P3476" s="1" t="s">
        <v>20</v>
      </c>
      <c r="R3476" s="1" t="s">
        <v>5705</v>
      </c>
      <c r="V3476" s="1" t="s">
        <v>5729</v>
      </c>
      <c r="AR3476" s="1" t="str">
        <f t="shared" si="220"/>
        <v>| [ㄉㄨㄛˋ](ㄉㄨㄛˋ.md) | [柁](柁.md) |  | duò | [名]
置於船後，控制行進方向的設備。同「舵」。《紅樓夢》第五回：「只有一個機，乃木居士掌柁。」 |</v>
      </c>
    </row>
    <row r="3477" spans="1:44" hidden="1">
      <c r="A3477" s="1" t="s">
        <v>5730</v>
      </c>
      <c r="C3477" s="1">
        <v>1</v>
      </c>
      <c r="D3477" s="1" t="str">
        <f>"02341"</f>
        <v>02341</v>
      </c>
      <c r="E3477" s="1" t="s">
        <v>181</v>
      </c>
      <c r="F3477" s="1">
        <v>11</v>
      </c>
      <c r="G3477" s="1">
        <v>5</v>
      </c>
      <c r="H3477" s="1">
        <v>0</v>
      </c>
      <c r="I3477" s="1" t="s">
        <v>5704</v>
      </c>
      <c r="K3477" s="1" t="str">
        <f t="shared" si="217"/>
        <v>ㄉ</v>
      </c>
      <c r="L3477" s="1" t="str">
        <f t="shared" si="218"/>
        <v>ㄨ</v>
      </c>
      <c r="M3477" s="1" t="str">
        <f t="shared" si="219"/>
        <v>ㄛ</v>
      </c>
      <c r="P3477" s="1" t="s">
        <v>20</v>
      </c>
      <c r="R3477" s="1" t="s">
        <v>5705</v>
      </c>
      <c r="V3477" s="1" t="s">
        <v>5731</v>
      </c>
      <c r="AR3477" s="1" t="str">
        <f t="shared" si="220"/>
        <v>| [ㄉㄨㄛˋ](ㄉㄨㄛˋ.md) | [舵](舵.md) |  | duò | [名]
1.泛指交通工具上控制方向的設備。如：「升降舵」、「方向舵」。《老殘遊記》第一回：「樓下四人專管轉舵的事。」
2.比喻奮鬥的方針或憑藉。如：「把握住你人生之舵。」 |</v>
      </c>
    </row>
    <row r="3478" spans="1:44" hidden="1">
      <c r="A3478" s="1" t="s">
        <v>5732</v>
      </c>
      <c r="C3478" s="1">
        <v>1</v>
      </c>
      <c r="D3478" s="1" t="str">
        <f>"02342"</f>
        <v>02342</v>
      </c>
      <c r="E3478" s="1" t="s">
        <v>691</v>
      </c>
      <c r="F3478" s="1">
        <v>9</v>
      </c>
      <c r="G3478" s="1">
        <v>6</v>
      </c>
      <c r="H3478" s="1">
        <v>0</v>
      </c>
      <c r="I3478" s="1" t="s">
        <v>5704</v>
      </c>
      <c r="K3478" s="1" t="str">
        <f t="shared" si="217"/>
        <v>ㄉ</v>
      </c>
      <c r="L3478" s="1" t="str">
        <f t="shared" si="218"/>
        <v>ㄨ</v>
      </c>
      <c r="M3478" s="1" t="str">
        <f t="shared" si="219"/>
        <v>ㄛ</v>
      </c>
      <c r="P3478" s="1" t="s">
        <v>20</v>
      </c>
      <c r="R3478" s="1" t="s">
        <v>5705</v>
      </c>
      <c r="V3478" s="1" t="s">
        <v>5733</v>
      </c>
      <c r="AR3478" s="1" t="str">
        <f t="shared" si="220"/>
        <v>| [ㄉㄨㄛˋ](ㄉㄨㄛˋ.md) | [陊](陊.md) |  | duò | [動]
崩落、墜落。如：「陊落」。《文選．張衡．西京賦》：「程巧致功，期不陁陊。」三國吳．薛綜．注：「言皆程擇好匠，令盡致其功，夫既牢又固不傾陊也。」 |</v>
      </c>
    </row>
    <row r="3479" spans="1:44" hidden="1">
      <c r="A3479" s="1" t="s">
        <v>5734</v>
      </c>
      <c r="C3479" s="1">
        <v>1</v>
      </c>
      <c r="D3479" s="1" t="str">
        <f>"02343"</f>
        <v>02343</v>
      </c>
      <c r="E3479" s="1" t="s">
        <v>77</v>
      </c>
      <c r="F3479" s="1">
        <v>13</v>
      </c>
      <c r="G3479" s="1">
        <v>6</v>
      </c>
      <c r="H3479" s="1">
        <v>0</v>
      </c>
      <c r="I3479" s="1" t="s">
        <v>5704</v>
      </c>
      <c r="K3479" s="1" t="str">
        <f t="shared" si="217"/>
        <v>ㄉ</v>
      </c>
      <c r="L3479" s="1" t="str">
        <f t="shared" si="218"/>
        <v>ㄨ</v>
      </c>
      <c r="M3479" s="1" t="str">
        <f t="shared" si="219"/>
        <v>ㄛ</v>
      </c>
      <c r="P3479" s="1" t="s">
        <v>20</v>
      </c>
      <c r="R3479" s="1" t="s">
        <v>5705</v>
      </c>
      <c r="V3479" s="1" t="s">
        <v>5735</v>
      </c>
      <c r="AR3479" s="1" t="str">
        <f t="shared" si="220"/>
        <v>| [ㄉㄨㄛˋ](ㄉㄨㄛˋ.md) | [跢](跢.md) |  | duò | [動]
用力踏地。清．孔尚任《桃花扇》第三八齣：「今夜揚州城陷，逃到此間，聞的皇帝已走，跢了跢腳，跳下江去了。」 |</v>
      </c>
    </row>
    <row r="3480" spans="1:44" hidden="1">
      <c r="A3480" s="1" t="s">
        <v>5736</v>
      </c>
      <c r="C3480" s="1">
        <v>1</v>
      </c>
      <c r="D3480" s="1" t="str">
        <f>"02344"</f>
        <v>02344</v>
      </c>
      <c r="E3480" s="1" t="s">
        <v>250</v>
      </c>
      <c r="F3480" s="1">
        <v>12</v>
      </c>
      <c r="G3480" s="1">
        <v>9</v>
      </c>
      <c r="H3480" s="1">
        <v>0</v>
      </c>
      <c r="I3480" s="1" t="s">
        <v>5704</v>
      </c>
      <c r="K3480" s="1" t="str">
        <f t="shared" si="217"/>
        <v>ㄉ</v>
      </c>
      <c r="L3480" s="1" t="str">
        <f t="shared" si="218"/>
        <v>ㄨ</v>
      </c>
      <c r="M3480" s="1" t="str">
        <f t="shared" si="219"/>
        <v>ㄛ</v>
      </c>
      <c r="P3480" s="1" t="s">
        <v>20</v>
      </c>
      <c r="R3480" s="1" t="s">
        <v>5705</v>
      </c>
      <c r="V3480" s="1" t="s">
        <v>5737</v>
      </c>
      <c r="AR3480" s="1" t="str">
        <f t="shared" si="220"/>
        <v>| [ㄉㄨㄛˋ](ㄉㄨㄛˋ.md) | [惰](惰.md) |  | duò | [形]
懈怠、懶散。如：「惰性」。《書經．盤庚》：「惰農自安，不昏作勞。」 |</v>
      </c>
    </row>
    <row r="3481" spans="1:44" hidden="1">
      <c r="A3481" s="1" t="s">
        <v>5738</v>
      </c>
      <c r="C3481" s="1">
        <v>1</v>
      </c>
      <c r="D3481" s="1" t="str">
        <f>"02345"</f>
        <v>02345</v>
      </c>
      <c r="E3481" s="1" t="s">
        <v>132</v>
      </c>
      <c r="F3481" s="1">
        <v>15</v>
      </c>
      <c r="G3481" s="1">
        <v>12</v>
      </c>
      <c r="H3481" s="1">
        <v>0</v>
      </c>
      <c r="I3481" s="1" t="s">
        <v>5704</v>
      </c>
      <c r="K3481" s="1" t="str">
        <f t="shared" si="217"/>
        <v>ㄉ</v>
      </c>
      <c r="L3481" s="1" t="str">
        <f t="shared" si="218"/>
        <v>ㄨ</v>
      </c>
      <c r="M3481" s="1" t="str">
        <f t="shared" si="219"/>
        <v>ㄛ</v>
      </c>
      <c r="P3481" s="1" t="s">
        <v>20</v>
      </c>
      <c r="R3481" s="1" t="s">
        <v>5705</v>
      </c>
      <c r="V3481" s="1" t="s">
        <v>5739</v>
      </c>
      <c r="AR3481" s="1" t="str">
        <f t="shared" si="220"/>
        <v>| [ㄉㄨㄛˋ](ㄉㄨㄛˋ.md) | [墯](墯.md) |  | duò | [動]
墜落、掉落。《後漢書．卷二四．馬援傳》：「仰視飛鳶跕跕墯水中。」
[形]
懈怠、懶散。《新唐書．卷一六九．韋貫之傳》：「有司弛墯不力，正可黜慢官，懲不恪，擇可任者繕完之。」 |</v>
      </c>
    </row>
    <row r="3482" spans="1:44" hidden="1">
      <c r="A3482" s="1" t="s">
        <v>5740</v>
      </c>
      <c r="C3482" s="1">
        <v>1</v>
      </c>
      <c r="D3482" s="1" t="str">
        <f>"02346"</f>
        <v>02346</v>
      </c>
      <c r="E3482" s="1" t="s">
        <v>132</v>
      </c>
      <c r="F3482" s="1">
        <v>15</v>
      </c>
      <c r="G3482" s="1">
        <v>12</v>
      </c>
      <c r="H3482" s="1">
        <v>1</v>
      </c>
      <c r="I3482" s="1" t="s">
        <v>5704</v>
      </c>
      <c r="K3482" s="1" t="str">
        <f t="shared" si="217"/>
        <v>ㄉ</v>
      </c>
      <c r="L3482" s="1" t="str">
        <f t="shared" si="218"/>
        <v>ㄨ</v>
      </c>
      <c r="M3482" s="1" t="str">
        <f t="shared" si="219"/>
        <v>ㄛ</v>
      </c>
      <c r="P3482" s="1" t="s">
        <v>20</v>
      </c>
      <c r="R3482" s="1" t="s">
        <v>5705</v>
      </c>
      <c r="V3482" s="1" t="s">
        <v>5741</v>
      </c>
      <c r="W3482" s="1" t="s">
        <v>5742</v>
      </c>
      <c r="AR3482" s="1" t="str">
        <f t="shared" si="220"/>
        <v>| [ㄉㄨㄛˋ](ㄉㄨㄛˋ.md) | [墮](墮.md) |  | duò | [動]
落、掉。如：「墮落」、「墮入海中」。《史記．卷五五．留侯世家》：「有一老父，衣褐，至良所，直墮其履圯下。」
[形]
怠慢。通「惰」。如：「墮民」。 |</v>
      </c>
    </row>
    <row r="3483" spans="1:44" hidden="1">
      <c r="A3483" s="1" t="s">
        <v>5743</v>
      </c>
      <c r="C3483" s="1">
        <v>1</v>
      </c>
      <c r="D3483" s="1" t="str">
        <f>"02347"</f>
        <v>02347</v>
      </c>
      <c r="E3483" s="1" t="s">
        <v>190</v>
      </c>
      <c r="F3483" s="1">
        <v>15</v>
      </c>
      <c r="G3483" s="1">
        <v>12</v>
      </c>
      <c r="H3483" s="1">
        <v>0</v>
      </c>
      <c r="I3483" s="1" t="s">
        <v>5704</v>
      </c>
      <c r="K3483" s="1" t="str">
        <f t="shared" si="217"/>
        <v>ㄉ</v>
      </c>
      <c r="L3483" s="1" t="str">
        <f t="shared" si="218"/>
        <v>ㄨ</v>
      </c>
      <c r="M3483" s="1" t="str">
        <f t="shared" si="219"/>
        <v>ㄛ</v>
      </c>
      <c r="P3483" s="1" t="s">
        <v>20</v>
      </c>
      <c r="R3483" s="1" t="s">
        <v>5705</v>
      </c>
      <c r="V3483" s="1" t="s">
        <v>5744</v>
      </c>
      <c r="AR3483" s="1" t="str">
        <f t="shared" si="220"/>
        <v>| [ㄉㄨㄛˋ](ㄉㄨㄛˋ.md) | [嶞](嶞.md) |  | duò | [形]
山狹而長。《詩經．周頌．般》：「嶞山喬嶽，允猶翕河。」 |</v>
      </c>
    </row>
    <row r="3484" spans="1:44" hidden="1">
      <c r="A3484" s="1" t="s">
        <v>5698</v>
      </c>
      <c r="C3484" s="1">
        <v>1</v>
      </c>
      <c r="D3484" s="1" t="str">
        <f>"02348"</f>
        <v>02348</v>
      </c>
      <c r="E3484" s="1" t="s">
        <v>1078</v>
      </c>
      <c r="F3484" s="1">
        <v>19</v>
      </c>
      <c r="G3484" s="1">
        <v>9</v>
      </c>
      <c r="H3484" s="1">
        <v>2</v>
      </c>
      <c r="I3484" s="1" t="s">
        <v>5704</v>
      </c>
      <c r="K3484" s="1" t="str">
        <f t="shared" si="217"/>
        <v>ㄉ</v>
      </c>
      <c r="L3484" s="1" t="str">
        <f t="shared" si="218"/>
        <v>ㄨ</v>
      </c>
      <c r="M3484" s="1" t="str">
        <f t="shared" si="219"/>
        <v>ㄛ</v>
      </c>
      <c r="P3484" s="1" t="s">
        <v>110</v>
      </c>
      <c r="R3484" s="1" t="s">
        <v>5705</v>
      </c>
      <c r="V3484" s="1" t="s">
        <v>111</v>
      </c>
      <c r="W3484" s="1" t="s">
        <v>5745</v>
      </c>
      <c r="AR3484" s="1" t="str">
        <f t="shared" si="220"/>
        <v>| [ㄉㄨㄛˋ](ㄉㄨㄛˋ.md) | [鬌](鬌.md) |  | duò | (一)之又音。 |</v>
      </c>
    </row>
    <row r="3485" spans="1:44" hidden="1">
      <c r="A3485" s="1" t="s">
        <v>5286</v>
      </c>
      <c r="C3485" s="1">
        <v>1</v>
      </c>
      <c r="D3485" s="1" t="str">
        <f>"02155"</f>
        <v>02155</v>
      </c>
      <c r="E3485" s="1" t="s">
        <v>106</v>
      </c>
      <c r="F3485" s="1">
        <v>10</v>
      </c>
      <c r="G3485" s="1">
        <v>6</v>
      </c>
      <c r="H3485" s="1">
        <v>0</v>
      </c>
      <c r="I3485" s="1" t="s">
        <v>5287</v>
      </c>
      <c r="K3485" s="1" t="str">
        <f t="shared" si="217"/>
        <v>ㄉ</v>
      </c>
      <c r="L3485" s="1" t="str">
        <f t="shared" si="218"/>
        <v>ㄧ</v>
      </c>
      <c r="M3485" s="1" t="str">
        <f t="shared" si="219"/>
        <v>ㄝ</v>
      </c>
      <c r="P3485" s="1" t="s">
        <v>20</v>
      </c>
      <c r="R3485" s="1" t="s">
        <v>5288</v>
      </c>
      <c r="V3485" s="1" t="s">
        <v>5289</v>
      </c>
      <c r="AR3485" s="1" t="str">
        <f t="shared" si="220"/>
        <v>| [ㄉㄧㄝ](ㄉㄧㄝ.md) | [爹](爹.md) |  | diē | [名]
稱謂：(1)子女對父親的稱呼。《儒林外史》第一六回：「匡超人走到跟前，叫一聲『爹！兒子回來了！』上前磕了頭。」(2)對年長者的尊稱。如：「請問老爹尊姓大名？」(3)祖父的俗稱。如：「阿爹聽到小孫子的哭泣聲，趕忙過去抱起他。」(4)僕人、妻妾對男主人，或平民百姓對官吏的尊稱。元．關漢卿《魯齋郎．楔子》：「比及爹有這個心，小人打聽在肚裡了。」《金瓶梅》第六九回：「話說文嫂兒到家，平安說：『爹在對門房子裡。進去稟報。』西門慶正在書房中，和溫秀坐的，見玳安，隨即出來小客位內坐下。」 |</v>
      </c>
    </row>
    <row r="3486" spans="1:44" hidden="1">
      <c r="A3486" s="1" t="s">
        <v>5290</v>
      </c>
      <c r="C3486" s="1">
        <v>1</v>
      </c>
      <c r="D3486" s="1" t="str">
        <f>"02156"</f>
        <v>02156</v>
      </c>
      <c r="E3486" s="1" t="s">
        <v>28</v>
      </c>
      <c r="F3486" s="1">
        <v>13</v>
      </c>
      <c r="G3486" s="1">
        <v>10</v>
      </c>
      <c r="H3486" s="1">
        <v>0</v>
      </c>
      <c r="I3486" s="1" t="s">
        <v>5287</v>
      </c>
      <c r="K3486" s="1" t="str">
        <f t="shared" si="217"/>
        <v>ㄉ</v>
      </c>
      <c r="L3486" s="1" t="str">
        <f t="shared" si="218"/>
        <v>ㄧ</v>
      </c>
      <c r="M3486" s="1" t="str">
        <f t="shared" si="219"/>
        <v>ㄝ</v>
      </c>
      <c r="P3486" s="1" t="s">
        <v>20</v>
      </c>
      <c r="R3486" s="1" t="s">
        <v>5288</v>
      </c>
      <c r="V3486" s="1" t="s">
        <v>5291</v>
      </c>
      <c r="AR3486" s="1" t="str">
        <f t="shared" si="220"/>
        <v>| [ㄉㄧㄝ](ㄉㄧㄝ.md) | [嗲](嗲.md) |  | diē | [形]
形容聲音或姿態嬌媚造作。如：「嗲聲嗲氣」。 |</v>
      </c>
    </row>
    <row r="3487" spans="1:44" hidden="1">
      <c r="A3487" s="1" t="s">
        <v>5292</v>
      </c>
      <c r="C3487" s="1">
        <v>1</v>
      </c>
      <c r="D3487" s="1" t="str">
        <f>"02157"</f>
        <v>02157</v>
      </c>
      <c r="E3487" s="1" t="s">
        <v>5293</v>
      </c>
      <c r="F3487" s="1">
        <v>5</v>
      </c>
      <c r="G3487" s="1">
        <v>3</v>
      </c>
      <c r="H3487" s="1">
        <v>2</v>
      </c>
      <c r="I3487" s="1" t="s">
        <v>5294</v>
      </c>
      <c r="K3487" s="1" t="str">
        <f t="shared" si="217"/>
        <v>ㄉ</v>
      </c>
      <c r="L3487" s="1" t="str">
        <f t="shared" si="218"/>
        <v>ㄧ</v>
      </c>
      <c r="M3487" s="1" t="str">
        <f t="shared" si="219"/>
        <v>ㄝ</v>
      </c>
      <c r="P3487" s="1" t="s">
        <v>110</v>
      </c>
      <c r="R3487" s="1" t="s">
        <v>5295</v>
      </c>
      <c r="V3487" s="1" t="s">
        <v>111</v>
      </c>
      <c r="W3487" s="1" t="s">
        <v>5296</v>
      </c>
      <c r="AR3487" s="1" t="str">
        <f t="shared" si="220"/>
        <v>| [ㄉㄧㄝˊ](ㄉㄧㄝˊ.md) | [凸](凸.md) |  | dié | (一)之又音。 |</v>
      </c>
    </row>
    <row r="3488" spans="1:44" hidden="1">
      <c r="A3488" s="1" t="s">
        <v>5297</v>
      </c>
      <c r="C3488" s="1">
        <v>1</v>
      </c>
      <c r="D3488" s="1" t="str">
        <f>"02158"</f>
        <v>02158</v>
      </c>
      <c r="E3488" s="1" t="s">
        <v>114</v>
      </c>
      <c r="F3488" s="1">
        <v>7</v>
      </c>
      <c r="G3488" s="1">
        <v>5</v>
      </c>
      <c r="H3488" s="1">
        <v>2</v>
      </c>
      <c r="I3488" s="1" t="s">
        <v>5294</v>
      </c>
      <c r="K3488" s="1" t="str">
        <f t="shared" si="217"/>
        <v>ㄉ</v>
      </c>
      <c r="L3488" s="1" t="str">
        <f t="shared" si="218"/>
        <v>ㄧ</v>
      </c>
      <c r="M3488" s="1" t="str">
        <f t="shared" si="219"/>
        <v>ㄝ</v>
      </c>
      <c r="P3488" s="1" t="s">
        <v>20</v>
      </c>
      <c r="R3488" s="1" t="s">
        <v>5295</v>
      </c>
      <c r="V3488" s="1" t="s">
        <v>5298</v>
      </c>
      <c r="W3488" s="1" t="s">
        <v>5299</v>
      </c>
      <c r="AR3488" s="1" t="str">
        <f t="shared" si="220"/>
        <v>| [ㄉㄧㄝˊ](ㄉㄧㄝˊ.md) | [佚](佚.md) |  | dié | [副]
輪流、更替。如：「佚興」、「佚起」。《穀梁傳．文公十一年》：「弟兄三人，佚宕中國。」晉．范甯．注：「佚，猶更也。」 |</v>
      </c>
    </row>
    <row r="3489" spans="1:44" hidden="1">
      <c r="A3489" s="1" t="s">
        <v>5300</v>
      </c>
      <c r="C3489" s="1">
        <v>1</v>
      </c>
      <c r="D3489" s="1" t="str">
        <f>"02159"</f>
        <v>02159</v>
      </c>
      <c r="E3489" s="1" t="s">
        <v>139</v>
      </c>
      <c r="F3489" s="1">
        <v>9</v>
      </c>
      <c r="G3489" s="1">
        <v>5</v>
      </c>
      <c r="H3489" s="1">
        <v>2</v>
      </c>
      <c r="I3489" s="1" t="s">
        <v>5294</v>
      </c>
      <c r="K3489" s="1" t="str">
        <f t="shared" si="217"/>
        <v>ㄉ</v>
      </c>
      <c r="L3489" s="1" t="str">
        <f t="shared" si="218"/>
        <v>ㄧ</v>
      </c>
      <c r="M3489" s="1" t="str">
        <f t="shared" si="219"/>
        <v>ㄝ</v>
      </c>
      <c r="P3489" s="1" t="s">
        <v>20</v>
      </c>
      <c r="R3489" s="1" t="s">
        <v>5295</v>
      </c>
      <c r="V3489" s="1" t="s">
        <v>5301</v>
      </c>
      <c r="W3489" s="1" t="s">
        <v>5302</v>
      </c>
      <c r="AR3489" s="1" t="str">
        <f t="shared" si="220"/>
        <v>| [ㄉㄧㄝˊ](ㄉㄧㄝˊ.md) | [柣](柣.md) |  | dié | [名]
桔柣：春秋時鄭都的城門名稱。《左傳．莊公二十八年》：「秋，子元以車六百乘伐鄭，入於桔柣之門。」晉．杜預．注：「桔柣，鄭遠郊之門也。」 |</v>
      </c>
    </row>
    <row r="3490" spans="1:44" hidden="1">
      <c r="A3490" s="1" t="s">
        <v>5303</v>
      </c>
      <c r="C3490" s="1">
        <v>1</v>
      </c>
      <c r="D3490" s="1" t="str">
        <f>"02160"</f>
        <v>02160</v>
      </c>
      <c r="E3490" s="1" t="s">
        <v>646</v>
      </c>
      <c r="F3490" s="1">
        <v>9</v>
      </c>
      <c r="G3490" s="1">
        <v>5</v>
      </c>
      <c r="H3490" s="1">
        <v>1</v>
      </c>
      <c r="I3490" s="1" t="s">
        <v>5294</v>
      </c>
      <c r="K3490" s="1" t="str">
        <f t="shared" si="217"/>
        <v>ㄉ</v>
      </c>
      <c r="L3490" s="1" t="str">
        <f t="shared" si="218"/>
        <v>ㄧ</v>
      </c>
      <c r="M3490" s="1" t="str">
        <f t="shared" si="219"/>
        <v>ㄝ</v>
      </c>
      <c r="P3490" s="1" t="s">
        <v>20</v>
      </c>
      <c r="R3490" s="1" t="s">
        <v>5295</v>
      </c>
      <c r="V3490" s="1" t="s">
        <v>5304</v>
      </c>
      <c r="W3490" s="1" t="s">
        <v>5305</v>
      </c>
      <c r="AR3490" s="1" t="str">
        <f t="shared" si="220"/>
        <v>| [ㄉㄧㄝˊ](ㄉㄧㄝˊ.md) | [昳](昳.md) |  | dié | [動]
太陽過午西斜。《漢書．卷九二．游俠傳．原涉傳》：「諸客奔走市價，至日昳皆會。」
[名]
太陽偏西的時刻。清．徐珂《清稗類鈔．藝術類．傅青主善書畫》：「知其嗜酒，乃與痛飲，自晡至昳，始罷席。」 |</v>
      </c>
    </row>
    <row r="3491" spans="1:44" hidden="1">
      <c r="A3491" s="1" t="s">
        <v>5306</v>
      </c>
      <c r="C3491" s="1">
        <v>1</v>
      </c>
      <c r="D3491" s="1" t="str">
        <f>"02161"</f>
        <v>02161</v>
      </c>
      <c r="E3491" s="1" t="s">
        <v>558</v>
      </c>
      <c r="F3491" s="1">
        <v>9</v>
      </c>
      <c r="G3491" s="1">
        <v>5</v>
      </c>
      <c r="H3491" s="1">
        <v>0</v>
      </c>
      <c r="I3491" s="1" t="s">
        <v>5294</v>
      </c>
      <c r="K3491" s="1" t="str">
        <f t="shared" si="217"/>
        <v>ㄉ</v>
      </c>
      <c r="L3491" s="1" t="str">
        <f t="shared" si="218"/>
        <v>ㄧ</v>
      </c>
      <c r="M3491" s="1" t="str">
        <f t="shared" si="219"/>
        <v>ㄝ</v>
      </c>
      <c r="P3491" s="1" t="s">
        <v>20</v>
      </c>
      <c r="R3491" s="1" t="s">
        <v>5295</v>
      </c>
      <c r="V3491" s="1" t="s">
        <v>5307</v>
      </c>
      <c r="AR3491" s="1" t="str">
        <f t="shared" si="220"/>
        <v>| [ㄉㄧㄝˊ](ㄉㄧㄝˊ.md) | [迭](迭.md) |  | dié | [動]
1.輪流、更替。如：「更迭」。《詩經．邶風．柏風》：「日居月諸，胡迭而微。」
2.止。《水滸傳》第一回：「奔到廊下，只見真人向前，叫苦不迭。」
3.及、達到。宋．吳文英〈瑞鶴仙．淚荷拋碎璧〉詞：「對小山不迭，寸眉愁碧。」《董西廂》卷二：「一個走不迭和尚，被小校活拿。」
[副]
1.交替、輪流。《文選．沈約．宋書謝靈運傳論》：「剛柔迭用，喜慍分情。」
2.屢次、接連。如：「迭遭挫敗」。《文選．司馬相如．上林賦》：「族居遞奏，金鼓迭起。」《文選．干寶．晉紀總論》：「國政迭移於亂人，禁兵外散於四方。」 |</v>
      </c>
    </row>
    <row r="3492" spans="1:44" hidden="1">
      <c r="A3492" s="1" t="s">
        <v>5308</v>
      </c>
      <c r="C3492" s="1">
        <v>1</v>
      </c>
      <c r="D3492" s="1" t="str">
        <f>"02162"</f>
        <v>02162</v>
      </c>
      <c r="E3492" s="1" t="s">
        <v>238</v>
      </c>
      <c r="F3492" s="1">
        <v>10</v>
      </c>
      <c r="G3492" s="1">
        <v>5</v>
      </c>
      <c r="H3492" s="1">
        <v>0</v>
      </c>
      <c r="I3492" s="1" t="s">
        <v>5294</v>
      </c>
      <c r="K3492" s="1" t="str">
        <f t="shared" si="217"/>
        <v>ㄉ</v>
      </c>
      <c r="L3492" s="1" t="str">
        <f t="shared" si="218"/>
        <v>ㄧ</v>
      </c>
      <c r="M3492" s="1" t="str">
        <f t="shared" si="219"/>
        <v>ㄝ</v>
      </c>
      <c r="P3492" s="1" t="s">
        <v>20</v>
      </c>
      <c r="R3492" s="1" t="s">
        <v>5295</v>
      </c>
      <c r="V3492" s="1" t="s">
        <v>5309</v>
      </c>
      <c r="AR3492" s="1" t="str">
        <f t="shared" si="220"/>
        <v>| [ㄉㄧㄝˊ](ㄉㄧㄝˊ.md) | [瓞](瓞.md) |  | dié | [名]
小瓜。《詩經．大雅．綿》：「綿綿瓜瓞，民之初生，自土沮漆。」宋．辛棄疾〈念奴嬌．看公風骨〉詞：「世上兒曹都蓄縮，凍芋旁堆秋瓞。」 |</v>
      </c>
    </row>
    <row r="3493" spans="1:44" hidden="1">
      <c r="A3493" s="1" t="s">
        <v>5310</v>
      </c>
      <c r="C3493" s="1">
        <v>1</v>
      </c>
      <c r="D3493" s="1" t="str">
        <f>"02163"</f>
        <v>02163</v>
      </c>
      <c r="E3493" s="1" t="s">
        <v>77</v>
      </c>
      <c r="F3493" s="1">
        <v>12</v>
      </c>
      <c r="G3493" s="1">
        <v>5</v>
      </c>
      <c r="H3493" s="1">
        <v>0</v>
      </c>
      <c r="I3493" s="1" t="s">
        <v>5294</v>
      </c>
      <c r="K3493" s="1" t="str">
        <f t="shared" si="217"/>
        <v>ㄉ</v>
      </c>
      <c r="L3493" s="1" t="str">
        <f t="shared" si="218"/>
        <v>ㄧ</v>
      </c>
      <c r="M3493" s="1" t="str">
        <f t="shared" si="219"/>
        <v>ㄝ</v>
      </c>
      <c r="P3493" s="1" t="s">
        <v>20</v>
      </c>
      <c r="R3493" s="1" t="s">
        <v>5295</v>
      </c>
      <c r="V3493" s="1" t="s">
        <v>5311</v>
      </c>
      <c r="AR3493" s="1" t="str">
        <f t="shared" si="220"/>
        <v>| [ㄉㄧㄝˊ](ㄉㄧㄝˊ.md) | [跌](跌.md) |  | dié | [動]
1.失足傾倒。如：「跌了一跤」、「天雨路滑，小心跌倒。」
2.落下、降低。如：「股市下跌」、「最近市場上的物價跌了不少。」
3.差失。《荀子．王霸》：「楊朱哭衢涂曰：『此夫過舉，蹞步而覺，跌千里者夫，哀哭之。』」
4.頓足、跺腳。《三國演義》第九回：「（王）允仰面跌足，半晌不語。」《二刻拍案驚奇》卷五：「喜得個神宗跌腳歡忭。」
[形]
形容文字、言語頓挫波折。如：「跌宕」。唐．韓愈〈岳陽樓別竇司直〉詩：「鬼神非人世，節奏頗跌踼。」 |</v>
      </c>
    </row>
    <row r="3494" spans="1:44" hidden="1">
      <c r="A3494" s="1" t="s">
        <v>5312</v>
      </c>
      <c r="C3494" s="1">
        <v>1</v>
      </c>
      <c r="D3494" s="1" t="str">
        <f>"02164"</f>
        <v>02164</v>
      </c>
      <c r="E3494" s="1" t="s">
        <v>132</v>
      </c>
      <c r="F3494" s="1">
        <v>9</v>
      </c>
      <c r="G3494" s="1">
        <v>6</v>
      </c>
      <c r="H3494" s="1">
        <v>0</v>
      </c>
      <c r="I3494" s="1" t="s">
        <v>5294</v>
      </c>
      <c r="K3494" s="1" t="str">
        <f t="shared" si="217"/>
        <v>ㄉ</v>
      </c>
      <c r="L3494" s="1" t="str">
        <f t="shared" si="218"/>
        <v>ㄧ</v>
      </c>
      <c r="M3494" s="1" t="str">
        <f t="shared" si="219"/>
        <v>ㄝ</v>
      </c>
      <c r="P3494" s="1" t="s">
        <v>20</v>
      </c>
      <c r="R3494" s="1" t="s">
        <v>5295</v>
      </c>
      <c r="V3494" s="1" t="s">
        <v>5313</v>
      </c>
      <c r="AR3494" s="1" t="str">
        <f t="shared" si="220"/>
        <v>| [ㄉㄧㄝˊ](ㄉㄧㄝˊ.md) | [垤](垤.md) |  | dié | [名]
1.螞蟻穴口的小土堆。《詩經．豳風．東山》：「鸛鳴于垤，婦歎于室。」漢．毛亨．傳：「垤，螘塚也。」《韓非子．姦劫弒臣》：「夫世愚學之人，比有術之士也，猶螘垤之比大陵也，其相去遠矣。」
2.小土堆。《孟子．公孫丑上》：「泰山之於丘垤，河海之於行潦，類也。」《呂氏春秋．似順論．慎小》：「人之情不蹶於山，而蹶於垤。」 |</v>
      </c>
    </row>
    <row r="3495" spans="1:44" hidden="1">
      <c r="A3495" s="1" t="s">
        <v>5314</v>
      </c>
      <c r="C3495" s="1">
        <v>1</v>
      </c>
      <c r="D3495" s="1" t="str">
        <f>"02165"</f>
        <v>02165</v>
      </c>
      <c r="E3495" s="1" t="s">
        <v>28</v>
      </c>
      <c r="F3495" s="1">
        <v>9</v>
      </c>
      <c r="G3495" s="1">
        <v>6</v>
      </c>
      <c r="H3495" s="1">
        <v>2</v>
      </c>
      <c r="I3495" s="1" t="s">
        <v>5294</v>
      </c>
      <c r="K3495" s="1" t="str">
        <f t="shared" si="217"/>
        <v>ㄉ</v>
      </c>
      <c r="L3495" s="1" t="str">
        <f t="shared" si="218"/>
        <v>ㄧ</v>
      </c>
      <c r="M3495" s="1" t="str">
        <f t="shared" si="219"/>
        <v>ㄝ</v>
      </c>
      <c r="P3495" s="1" t="s">
        <v>20</v>
      </c>
      <c r="R3495" s="1" t="s">
        <v>5295</v>
      </c>
      <c r="V3495" s="1" t="s">
        <v>5315</v>
      </c>
      <c r="W3495" s="1" t="s">
        <v>5316</v>
      </c>
      <c r="AR3495" s="1" t="str">
        <f t="shared" si="220"/>
        <v>| [ㄉㄧㄝˊ](ㄉㄧㄝˊ.md) | [咥](咥.md) |  | dié | [動]
咬。清．王念孫《廣雅疏證．卷三下．釋詁》：「咥，齧也。」《易經．履卦》：「履虎尾，不咥人，亨。」明．馬中錫〈中山狼傳〉：「是狼為虞人所窘，求救于我，我實生之，今反欲咥我。」 |</v>
      </c>
    </row>
    <row r="3496" spans="1:44" hidden="1">
      <c r="A3496" s="1" t="s">
        <v>5317</v>
      </c>
      <c r="C3496" s="1">
        <v>1</v>
      </c>
      <c r="D3496" s="1" t="str">
        <f>"02166"</f>
        <v>02166</v>
      </c>
      <c r="E3496" s="1" t="s">
        <v>190</v>
      </c>
      <c r="F3496" s="1">
        <v>9</v>
      </c>
      <c r="G3496" s="1">
        <v>6</v>
      </c>
      <c r="H3496" s="1">
        <v>0</v>
      </c>
      <c r="I3496" s="1" t="s">
        <v>5294</v>
      </c>
      <c r="K3496" s="1" t="str">
        <f t="shared" ref="K3496:K3559" si="221">LEFT(I3496, 1)</f>
        <v>ㄉ</v>
      </c>
      <c r="L3496" s="1" t="str">
        <f t="shared" ref="L3496:L3559" si="222">MID(I3496, 2, 1)</f>
        <v>ㄧ</v>
      </c>
      <c r="M3496" s="1" t="str">
        <f t="shared" si="219"/>
        <v>ㄝ</v>
      </c>
      <c r="P3496" s="1" t="s">
        <v>20</v>
      </c>
      <c r="R3496" s="1" t="s">
        <v>5295</v>
      </c>
      <c r="V3496" s="1" t="s">
        <v>5318</v>
      </c>
      <c r="AR3496" s="1" t="str">
        <f t="shared" si="220"/>
        <v>| [ㄉㄧㄝˊ](ㄉㄧㄝˊ.md) | [峌](峌.md) |  | dié | [形]
峌嵲：高峻的樣子。《文選．木華．海賦》：「則有崇島巨鼇，峌嵲孤亭。」 |</v>
      </c>
    </row>
    <row r="3497" spans="1:44" hidden="1">
      <c r="A3497" s="1" t="s">
        <v>5319</v>
      </c>
      <c r="C3497" s="1">
        <v>1</v>
      </c>
      <c r="D3497" s="1" t="str">
        <f>"02167"</f>
        <v>02167</v>
      </c>
      <c r="E3497" s="1" t="s">
        <v>5320</v>
      </c>
      <c r="F3497" s="1">
        <v>12</v>
      </c>
      <c r="G3497" s="1">
        <v>6</v>
      </c>
      <c r="H3497" s="1">
        <v>1</v>
      </c>
      <c r="I3497" s="1" t="s">
        <v>5294</v>
      </c>
      <c r="K3497" s="1" t="str">
        <f t="shared" si="221"/>
        <v>ㄉ</v>
      </c>
      <c r="L3497" s="1" t="str">
        <f t="shared" si="222"/>
        <v>ㄧ</v>
      </c>
      <c r="M3497" s="1" t="str">
        <f t="shared" si="219"/>
        <v>ㄝ</v>
      </c>
      <c r="P3497" s="1" t="s">
        <v>20</v>
      </c>
      <c r="R3497" s="1" t="s">
        <v>5295</v>
      </c>
      <c r="V3497" s="1" t="s">
        <v>5321</v>
      </c>
      <c r="W3497" s="1" t="s">
        <v>5322</v>
      </c>
      <c r="AR3497" s="1" t="str">
        <f t="shared" si="220"/>
        <v>| [ㄉㄧㄝˊ](ㄉㄧㄝˊ.md) | [臷](臷.md) |  | dié | [名]
1.老年人。同「耋」。《集韻．入聲．屑韻》：「《說文》：『年八十曰耋。』或不省。亦作臷。」
2.赤黑色的馬。《漢書．卷二八．地理志上》：「及車轔、四臷、小戎之篇，皆言車馬田狩之事。」
[形]
老。《漢書．卷八一．孔光傳》：「臣光智謀淺短，犬馬齒臷，誠恐一旦顛仆，無以報稱。」三國魏．吳質〈答魏太子牋〉：「時邁齒臷，猶欲觸匈奮首，展其割裂之用也。」 |</v>
      </c>
    </row>
    <row r="3498" spans="1:44" hidden="1">
      <c r="A3498" s="1" t="s">
        <v>5323</v>
      </c>
      <c r="C3498" s="1">
        <v>1</v>
      </c>
      <c r="D3498" s="1" t="str">
        <f>"02168"</f>
        <v>02168</v>
      </c>
      <c r="E3498" s="1" t="s">
        <v>2975</v>
      </c>
      <c r="F3498" s="1">
        <v>12</v>
      </c>
      <c r="G3498" s="1">
        <v>6</v>
      </c>
      <c r="H3498" s="1">
        <v>0</v>
      </c>
      <c r="I3498" s="1" t="s">
        <v>5294</v>
      </c>
      <c r="K3498" s="1" t="str">
        <f t="shared" si="221"/>
        <v>ㄉ</v>
      </c>
      <c r="L3498" s="1" t="str">
        <f t="shared" si="222"/>
        <v>ㄧ</v>
      </c>
      <c r="M3498" s="1" t="str">
        <f t="shared" si="219"/>
        <v>ㄝ</v>
      </c>
      <c r="P3498" s="1" t="s">
        <v>20</v>
      </c>
      <c r="R3498" s="1" t="s">
        <v>5295</v>
      </c>
      <c r="V3498" s="1" t="s">
        <v>5324</v>
      </c>
      <c r="AR3498" s="1" t="str">
        <f t="shared" si="220"/>
        <v>| [ㄉㄧㄝˊ](ㄉㄧㄝˊ.md) | [耋](耋.md) |  | dié | [名]
1.高齡、高壽。《說文解字．老部》：「耋，年八十曰耋。」
2.泛指老年人。唐．劉禹錫〈唐故尚書主客員外郎盧公集序〉：「三至郎署，坐成遺耋。」 |</v>
      </c>
    </row>
    <row r="3499" spans="1:44" hidden="1">
      <c r="A3499" s="1" t="s">
        <v>5325</v>
      </c>
      <c r="C3499" s="1">
        <v>1</v>
      </c>
      <c r="D3499" s="1" t="str">
        <f>"02169"</f>
        <v>02169</v>
      </c>
      <c r="E3499" s="1" t="s">
        <v>725</v>
      </c>
      <c r="F3499" s="1">
        <v>12</v>
      </c>
      <c r="G3499" s="1">
        <v>6</v>
      </c>
      <c r="H3499" s="1">
        <v>0</v>
      </c>
      <c r="I3499" s="1" t="s">
        <v>5294</v>
      </c>
      <c r="K3499" s="1" t="str">
        <f t="shared" si="221"/>
        <v>ㄉ</v>
      </c>
      <c r="L3499" s="1" t="str">
        <f t="shared" si="222"/>
        <v>ㄧ</v>
      </c>
      <c r="M3499" s="1" t="str">
        <f t="shared" si="219"/>
        <v>ㄝ</v>
      </c>
      <c r="P3499" s="1" t="s">
        <v>20</v>
      </c>
      <c r="R3499" s="1" t="s">
        <v>5295</v>
      </c>
      <c r="V3499" s="1" t="s">
        <v>5326</v>
      </c>
      <c r="AR3499" s="1" t="str">
        <f t="shared" si="220"/>
        <v>| [ㄉㄧㄝˊ](ㄉㄧㄝˊ.md) | [絰](絰.md) |  | dié | [名]
古代喪服上用麻葛布做成的帶子。戴在頭上稱為「首絰」，束在腰間稱為「腰絰」。《儀禮．喪服》：「喪服，斬衰裳，苴絰，杖，絞帶。」漢．鄭玄．注：「麻在首、在要皆曰絰。首絰象緇布冠之缺項，要絰象大帶。」
[動]
穿著喪服。《禮記．檀弓上》：「孔子之喪，二三子皆絰而出。」 |</v>
      </c>
    </row>
    <row r="3500" spans="1:44" hidden="1">
      <c r="A3500" s="1" t="s">
        <v>5327</v>
      </c>
      <c r="C3500" s="1">
        <v>1</v>
      </c>
      <c r="D3500" s="1" t="str">
        <f>"02170"</f>
        <v>02170</v>
      </c>
      <c r="E3500" s="1" t="s">
        <v>679</v>
      </c>
      <c r="F3500" s="1">
        <v>17</v>
      </c>
      <c r="G3500" s="1">
        <v>11</v>
      </c>
      <c r="H3500" s="1">
        <v>0</v>
      </c>
      <c r="I3500" s="1" t="s">
        <v>5294</v>
      </c>
      <c r="K3500" s="1" t="str">
        <f t="shared" si="221"/>
        <v>ㄉ</v>
      </c>
      <c r="L3500" s="1" t="str">
        <f t="shared" si="222"/>
        <v>ㄧ</v>
      </c>
      <c r="M3500" s="1" t="str">
        <f t="shared" si="219"/>
        <v>ㄝ</v>
      </c>
      <c r="P3500" s="1" t="s">
        <v>20</v>
      </c>
      <c r="R3500" s="1" t="s">
        <v>5295</v>
      </c>
      <c r="V3500" s="1" t="s">
        <v>5328</v>
      </c>
      <c r="AR3500" s="1" t="str">
        <f t="shared" si="220"/>
        <v>| [ㄉㄧㄝˊ](ㄉㄧㄝˊ.md) | [螲](螲.md) |  | dié | 參見「螲蟷」條。 |</v>
      </c>
    </row>
    <row r="3501" spans="1:44" hidden="1">
      <c r="A3501" s="1" t="s">
        <v>5329</v>
      </c>
      <c r="C3501" s="1">
        <v>1</v>
      </c>
      <c r="D3501" s="1" t="str">
        <f>"02171"</f>
        <v>02171</v>
      </c>
      <c r="E3501" s="1" t="s">
        <v>250</v>
      </c>
      <c r="F3501" s="1">
        <v>12</v>
      </c>
      <c r="G3501" s="1">
        <v>9</v>
      </c>
      <c r="H3501" s="1">
        <v>0</v>
      </c>
      <c r="I3501" s="1" t="s">
        <v>5294</v>
      </c>
      <c r="K3501" s="1" t="str">
        <f t="shared" si="221"/>
        <v>ㄉ</v>
      </c>
      <c r="L3501" s="1" t="str">
        <f t="shared" si="222"/>
        <v>ㄧ</v>
      </c>
      <c r="M3501" s="1" t="str">
        <f t="shared" si="219"/>
        <v>ㄝ</v>
      </c>
      <c r="P3501" s="1" t="s">
        <v>20</v>
      </c>
      <c r="R3501" s="1" t="s">
        <v>5295</v>
      </c>
      <c r="V3501" s="1" t="s">
        <v>5330</v>
      </c>
      <c r="AR3501" s="1" t="str">
        <f t="shared" si="220"/>
        <v>| [ㄉㄧㄝˊ](ㄉㄧㄝˊ.md) | [惵](惵.md) |  | dié | [副]
懼怕、恐懼的樣子。《後漢書．卷一〇．皇后紀上．章德竇皇后紀》：「自是宮房惵息，后愛日隆。」唐．章懷太子．注：「惵，懼也。」《文選．班固．東都賦》：「惵然意下，捧手欲辭。」 |</v>
      </c>
    </row>
    <row r="3502" spans="1:44" hidden="1">
      <c r="A3502" s="1" t="s">
        <v>5331</v>
      </c>
      <c r="C3502" s="1">
        <v>1</v>
      </c>
      <c r="D3502" s="1" t="str">
        <f>"02172"</f>
        <v>02172</v>
      </c>
      <c r="E3502" s="1" t="s">
        <v>132</v>
      </c>
      <c r="F3502" s="1">
        <v>12</v>
      </c>
      <c r="G3502" s="1">
        <v>9</v>
      </c>
      <c r="H3502" s="1">
        <v>0</v>
      </c>
      <c r="I3502" s="1" t="s">
        <v>5294</v>
      </c>
      <c r="K3502" s="1" t="str">
        <f t="shared" si="221"/>
        <v>ㄉ</v>
      </c>
      <c r="L3502" s="1" t="str">
        <f t="shared" si="222"/>
        <v>ㄧ</v>
      </c>
      <c r="M3502" s="1" t="str">
        <f t="shared" si="219"/>
        <v>ㄝ</v>
      </c>
      <c r="P3502" s="1" t="s">
        <v>20</v>
      </c>
      <c r="R3502" s="1" t="s">
        <v>5295</v>
      </c>
      <c r="V3502" s="1" t="s">
        <v>5332</v>
      </c>
      <c r="AR3502" s="1" t="str">
        <f t="shared" si="220"/>
        <v>| [ㄉㄧㄝˊ](ㄉㄧㄝˊ.md) | [堞](堞.md) |  | dié | [名]
城牆上的齒狀矮牆。《左傳．襄公六年》：「甲寅，堙之環城，傅於堞。」晉．杜預．注：「堞，女牆也。」南朝宋．鮑照〈蕪城賦〉：「是以板築雉堞之殷，井幹烽櫓之勤，格高五獄，袤廣三墳，崒若斷岸，矗似長雲。」 |</v>
      </c>
    </row>
    <row r="3503" spans="1:44" hidden="1">
      <c r="A3503" s="1" t="s">
        <v>5333</v>
      </c>
      <c r="C3503" s="1">
        <v>1</v>
      </c>
      <c r="D3503" s="1" t="str">
        <f>"02173"</f>
        <v>02173</v>
      </c>
      <c r="E3503" s="1" t="s">
        <v>28</v>
      </c>
      <c r="F3503" s="1">
        <v>12</v>
      </c>
      <c r="G3503" s="1">
        <v>9</v>
      </c>
      <c r="H3503" s="1">
        <v>1</v>
      </c>
      <c r="I3503" s="1" t="s">
        <v>5294</v>
      </c>
      <c r="K3503" s="1" t="str">
        <f t="shared" si="221"/>
        <v>ㄉ</v>
      </c>
      <c r="L3503" s="1" t="str">
        <f t="shared" si="222"/>
        <v>ㄧ</v>
      </c>
      <c r="M3503" s="1" t="str">
        <f t="shared" si="219"/>
        <v>ㄝ</v>
      </c>
      <c r="P3503" s="1" t="s">
        <v>20</v>
      </c>
      <c r="R3503" s="1" t="s">
        <v>5295</v>
      </c>
      <c r="V3503" s="1" t="s">
        <v>5334</v>
      </c>
      <c r="W3503" s="1" t="s">
        <v>5335</v>
      </c>
      <c r="AR3503" s="1" t="str">
        <f t="shared" si="220"/>
        <v>| [ㄉㄧㄝˊ](ㄉㄧㄝˊ.md) | [喋](喋.md) |  | dié | 1.參見「喋囁」、「喋喋不休」等條。
2.踐踏。通「蹀」。《漢書．卷四．文帝紀》：「新喋血京師。」唐．顏師古．注：「喋，本字當作蹀。蹀，謂履涉之耳。」 |</v>
      </c>
    </row>
    <row r="3504" spans="1:44" hidden="1">
      <c r="A3504" s="1" t="s">
        <v>5336</v>
      </c>
      <c r="C3504" s="1">
        <v>1</v>
      </c>
      <c r="D3504" s="1" t="str">
        <f>"02174"</f>
        <v>02174</v>
      </c>
      <c r="E3504" s="1" t="s">
        <v>139</v>
      </c>
      <c r="F3504" s="1">
        <v>13</v>
      </c>
      <c r="G3504" s="1">
        <v>9</v>
      </c>
      <c r="H3504" s="1">
        <v>0</v>
      </c>
      <c r="I3504" s="1" t="s">
        <v>5294</v>
      </c>
      <c r="K3504" s="1" t="str">
        <f t="shared" si="221"/>
        <v>ㄉ</v>
      </c>
      <c r="L3504" s="1" t="str">
        <f t="shared" si="222"/>
        <v>ㄧ</v>
      </c>
      <c r="M3504" s="1" t="str">
        <f t="shared" si="219"/>
        <v>ㄝ</v>
      </c>
      <c r="P3504" s="1" t="s">
        <v>20</v>
      </c>
      <c r="R3504" s="1" t="s">
        <v>5295</v>
      </c>
      <c r="V3504" s="1" t="s">
        <v>5337</v>
      </c>
      <c r="AR3504" s="1" t="str">
        <f t="shared" si="220"/>
        <v>| [ㄉㄧㄝˊ](ㄉㄧㄝˊ.md) | [楪](楪.md) |  | dié | [名]
1.底部平而淺，用來盛食物等的小盤子。《太平廣記．卷二二〇．劉錄事》：「乃寘（珠）於茶甌中，以楪覆之。食未半，怪覆甌楪傾側。」清．紀昀《閱微草堂筆記．卷四．灤陽消夏錄四》：「則几設色小楪，縱橫狼藉，畫筆亦濡染幾遍，圖已成矣。」也作「碟」。
2.量詞。計算碟裝物的單位。唐．白居易〈七年元日對酒〉詩五首之三：「三杯藍尾酒，一楪膠牙餳。」《太平廣記．卷二二〇．劉錄事》：「劉初食鱠數楪，忽似小哽，因咯，出一骨珠子大如豆。」 |</v>
      </c>
    </row>
    <row r="3505" spans="1:44" hidden="1">
      <c r="A3505" s="1" t="s">
        <v>5338</v>
      </c>
      <c r="C3505" s="1">
        <v>1</v>
      </c>
      <c r="D3505" s="1" t="str">
        <f>"02175"</f>
        <v>02175</v>
      </c>
      <c r="E3505" s="1" t="s">
        <v>698</v>
      </c>
      <c r="F3505" s="1">
        <v>13</v>
      </c>
      <c r="G3505" s="1">
        <v>9</v>
      </c>
      <c r="H3505" s="1">
        <v>0</v>
      </c>
      <c r="I3505" s="1" t="s">
        <v>5294</v>
      </c>
      <c r="K3505" s="1" t="str">
        <f t="shared" si="221"/>
        <v>ㄉ</v>
      </c>
      <c r="L3505" s="1" t="str">
        <f t="shared" si="222"/>
        <v>ㄧ</v>
      </c>
      <c r="M3505" s="1" t="str">
        <f t="shared" si="219"/>
        <v>ㄝ</v>
      </c>
      <c r="P3505" s="1" t="s">
        <v>20</v>
      </c>
      <c r="R3505" s="1" t="s">
        <v>5295</v>
      </c>
      <c r="V3505" s="1" t="s">
        <v>5339</v>
      </c>
      <c r="AR3505" s="1" t="str">
        <f t="shared" si="220"/>
        <v>| [ㄉㄧㄝˊ](ㄉㄧㄝˊ.md) | [牒](牒.md) |  | dié | [名]_x000D_
1.古代用來書寫的小而薄的竹簡或木片。《墨子．公輸》：「於是見公輸盤，子墨子解帶為城，以牒為械。」《漢書．卷五一．路溫舒傳》：「溫舒取澤中蒲，截以為牒，編用寫書。」_x000D_
2.官方文書或證件。如：「最後通牒」。《左傳．昭公二十五年》：「右師不敢對，受牒而退。」金．麻九疇〈許方村即事〉詩：「撲慘官始威，牒煩民更玩。」_x000D_
3.各種紀錄文件。《史記．卷一三〇．太史公自序》：「維三代尚矣，年紀不可考，蓋取之譜牒舊聞。」_x000D_
4.訟狀。《魏書．卷四一．源子恭傳》：「比加採訪，略無證明，尋其表狀，又復莫落，案牒推理，實有所疑。」清．紀昀《閱微草堂筆記．卷四．灤陽消夏錄四》：「今乃知曾投此牒，豈得罪鬼神，使我受笞耶？」_x000D_
5.綿織品。《後漢書．卷四九．王符傳》：「且其徒御僕妾，皆服文組綵牒，錦繡綺紈。」 |</v>
      </c>
    </row>
    <row r="3506" spans="1:44" hidden="1">
      <c r="A3506" s="1" t="s">
        <v>5340</v>
      </c>
      <c r="C3506" s="1">
        <v>1</v>
      </c>
      <c r="D3506" s="1" t="str">
        <f>"02176"</f>
        <v>02176</v>
      </c>
      <c r="E3506" s="1" t="s">
        <v>169</v>
      </c>
      <c r="F3506" s="1">
        <v>14</v>
      </c>
      <c r="G3506" s="1">
        <v>9</v>
      </c>
      <c r="H3506" s="1">
        <v>0</v>
      </c>
      <c r="I3506" s="1" t="s">
        <v>5294</v>
      </c>
      <c r="K3506" s="1" t="str">
        <f t="shared" si="221"/>
        <v>ㄉ</v>
      </c>
      <c r="L3506" s="1" t="str">
        <f t="shared" si="222"/>
        <v>ㄧ</v>
      </c>
      <c r="M3506" s="1" t="str">
        <f t="shared" si="219"/>
        <v>ㄝ</v>
      </c>
      <c r="P3506" s="1" t="s">
        <v>20</v>
      </c>
      <c r="R3506" s="1" t="s">
        <v>5295</v>
      </c>
      <c r="V3506" s="1" t="s">
        <v>5341</v>
      </c>
      <c r="AR3506" s="1" t="str">
        <f t="shared" si="220"/>
        <v>| [ㄉㄧㄝˊ](ㄉㄧㄝˊ.md) | [碟](碟.md) |  | dié | [名]
1.底部平而淺，用以盛裝食物的小盤。如：「瓷碟」。《水滸傳》第三七回：「取三分飯食羹湯菜蔬，教他三個喫了，莊客收了碗碟，自入裡面去。」也稱為「碟子」。
2.像碟狀的物體。如：「飛碟」、「光碟」。
3.量詞。計算碟裝物的單位。如：「兩碟瓜子」、「三碟糖果」。 |</v>
      </c>
    </row>
    <row r="3507" spans="1:44" hidden="1">
      <c r="A3507" s="1" t="s">
        <v>5342</v>
      </c>
      <c r="C3507" s="1">
        <v>1</v>
      </c>
      <c r="D3507" s="1" t="str">
        <f>"02177"</f>
        <v>02177</v>
      </c>
      <c r="E3507" s="1" t="s">
        <v>340</v>
      </c>
      <c r="F3507" s="1">
        <v>15</v>
      </c>
      <c r="G3507" s="1">
        <v>9</v>
      </c>
      <c r="H3507" s="1">
        <v>0</v>
      </c>
      <c r="I3507" s="1" t="s">
        <v>5294</v>
      </c>
      <c r="K3507" s="1" t="str">
        <f t="shared" si="221"/>
        <v>ㄉ</v>
      </c>
      <c r="L3507" s="1" t="str">
        <f t="shared" si="222"/>
        <v>ㄧ</v>
      </c>
      <c r="M3507" s="1" t="str">
        <f t="shared" ref="M3507:M3570" si="223">MID(I3507, 3, 1)</f>
        <v>ㄝ</v>
      </c>
      <c r="P3507" s="1" t="s">
        <v>20</v>
      </c>
      <c r="R3507" s="1" t="s">
        <v>5295</v>
      </c>
      <c r="V3507" s="1" t="s">
        <v>5343</v>
      </c>
      <c r="AR3507" s="1" t="str">
        <f t="shared" si="220"/>
        <v>| [ㄉㄧㄝˊ](ㄉㄧㄝˊ.md) | [褋](褋.md) |  | dié | [名]
單衣。《楚辭．屈原．九歌．湘夫人》：「捐余袂兮江中，遺余褋兮澧浦。」唐．皮日休〈九諷系述．捨慕〉：「以兗衣為褋兮，以黎邱為墟。」 |</v>
      </c>
    </row>
    <row r="3508" spans="1:44" hidden="1">
      <c r="A3508" s="1" t="s">
        <v>5344</v>
      </c>
      <c r="C3508" s="1">
        <v>1</v>
      </c>
      <c r="D3508" s="1" t="str">
        <f>"02178"</f>
        <v>02178</v>
      </c>
      <c r="E3508" s="1" t="s">
        <v>679</v>
      </c>
      <c r="F3508" s="1">
        <v>15</v>
      </c>
      <c r="G3508" s="1">
        <v>9</v>
      </c>
      <c r="H3508" s="1">
        <v>0</v>
      </c>
      <c r="I3508" s="1" t="s">
        <v>5294</v>
      </c>
      <c r="K3508" s="1" t="str">
        <f t="shared" si="221"/>
        <v>ㄉ</v>
      </c>
      <c r="L3508" s="1" t="str">
        <f t="shared" si="222"/>
        <v>ㄧ</v>
      </c>
      <c r="M3508" s="1" t="str">
        <f t="shared" si="223"/>
        <v>ㄝ</v>
      </c>
      <c r="P3508" s="1" t="s">
        <v>20</v>
      </c>
      <c r="R3508" s="1" t="s">
        <v>5295</v>
      </c>
      <c r="V3508" s="1" t="s">
        <v>5345</v>
      </c>
      <c r="AR3508" s="1" t="str">
        <f t="shared" si="220"/>
        <v>| [ㄉㄧㄝˊ](ㄉㄧㄝˊ.md) | [蝶](蝶.md) |  | dié | [名]
動物名。昆蟲綱鱗翅目。體形小，四翅大，多彩色。頭上有對複眼，兩個單眼，複眼間的觸角專司感覺。頭下的口器，可吸食花蜜。胸前長三對步行腳。喜在花間飛舞，傳播花粉。種類很多，有粉蝶、黃蝶、鳳蝶等。 |</v>
      </c>
    </row>
    <row r="3509" spans="1:44" hidden="1">
      <c r="A3509" s="1" t="s">
        <v>5346</v>
      </c>
      <c r="C3509" s="1">
        <v>1</v>
      </c>
      <c r="D3509" s="1" t="str">
        <f>"02179"</f>
        <v>02179</v>
      </c>
      <c r="E3509" s="1" t="s">
        <v>181</v>
      </c>
      <c r="F3509" s="1">
        <v>15</v>
      </c>
      <c r="G3509" s="1">
        <v>9</v>
      </c>
      <c r="H3509" s="1">
        <v>0</v>
      </c>
      <c r="I3509" s="1" t="s">
        <v>5294</v>
      </c>
      <c r="K3509" s="1" t="str">
        <f t="shared" si="221"/>
        <v>ㄉ</v>
      </c>
      <c r="L3509" s="1" t="str">
        <f t="shared" si="222"/>
        <v>ㄧ</v>
      </c>
      <c r="M3509" s="1" t="str">
        <f t="shared" si="223"/>
        <v>ㄝ</v>
      </c>
      <c r="P3509" s="1" t="s">
        <v>20</v>
      </c>
      <c r="R3509" s="1" t="s">
        <v>5295</v>
      </c>
      <c r="V3509" s="1" t="s">
        <v>5347</v>
      </c>
      <c r="AR3509" s="1" t="str">
        <f t="shared" si="220"/>
        <v>| [ㄉㄧㄝˊ](ㄉㄧㄝˊ.md) | [艓](艓.md) |  | dié | [名]
小船。《宋書．卷七四．沈攸之傳》：「輕艓一萬，截其津要。」唐．杜甫〈最能行〉：「富豪有錢駕大舸，貧窮取給行艓子。」 |</v>
      </c>
    </row>
    <row r="3510" spans="1:44" hidden="1">
      <c r="A3510" s="1" t="s">
        <v>5348</v>
      </c>
      <c r="C3510" s="1">
        <v>1</v>
      </c>
      <c r="D3510" s="1" t="str">
        <f>"02180"</f>
        <v>02180</v>
      </c>
      <c r="E3510" s="1" t="s">
        <v>331</v>
      </c>
      <c r="F3510" s="1">
        <v>16</v>
      </c>
      <c r="G3510" s="1">
        <v>9</v>
      </c>
      <c r="H3510" s="1">
        <v>0</v>
      </c>
      <c r="I3510" s="1" t="s">
        <v>5294</v>
      </c>
      <c r="K3510" s="1" t="str">
        <f t="shared" si="221"/>
        <v>ㄉ</v>
      </c>
      <c r="L3510" s="1" t="str">
        <f t="shared" si="222"/>
        <v>ㄧ</v>
      </c>
      <c r="M3510" s="1" t="str">
        <f t="shared" si="223"/>
        <v>ㄝ</v>
      </c>
      <c r="P3510" s="1" t="s">
        <v>20</v>
      </c>
      <c r="R3510" s="1" t="s">
        <v>5295</v>
      </c>
      <c r="V3510" s="1" t="s">
        <v>5349</v>
      </c>
      <c r="AR3510" s="1" t="str">
        <f t="shared" si="220"/>
        <v>| [ㄉㄧㄝˊ](ㄉㄧㄝˊ.md) | [諜](諜.md) |  | dié | [名]
1.刺探敵人消息與內情的人。如：「間諜」。《左傳．宣公八年》：「晉人獲秦諜，殺諸絳市，六日而蘇。」《資治通鑑．卷二六三．唐紀七十九．昭宗天復二年》：「募有能入城為諜者，騎士馬景請行。」
2.官府的記錄文件。即譜諜。通「牒」。《漢書．卷二二．禮樂志》：「齊房產草，九莖連葉，宮童效異，披圖案諜。」
[動]
祕密打探軍政等情報。《左傳．桓公十二年》：「羅人欲伐之，使伯嘉諜之，三巡數之。」《新唐書．卷一三三．王忠嗣傳》：「乃營木剌、蘭山，諜虛實。」
[形]
多言。通「喋」。參見「諜諜」條。 |</v>
      </c>
    </row>
    <row r="3511" spans="1:44" hidden="1">
      <c r="A3511" s="1" t="s">
        <v>5350</v>
      </c>
      <c r="C3511" s="1">
        <v>1</v>
      </c>
      <c r="D3511" s="1" t="str">
        <f>"02181"</f>
        <v>02181</v>
      </c>
      <c r="E3511" s="1" t="s">
        <v>77</v>
      </c>
      <c r="F3511" s="1">
        <v>16</v>
      </c>
      <c r="G3511" s="1">
        <v>9</v>
      </c>
      <c r="H3511" s="1">
        <v>0</v>
      </c>
      <c r="I3511" s="1" t="s">
        <v>5294</v>
      </c>
      <c r="K3511" s="1" t="str">
        <f t="shared" si="221"/>
        <v>ㄉ</v>
      </c>
      <c r="L3511" s="1" t="str">
        <f t="shared" si="222"/>
        <v>ㄧ</v>
      </c>
      <c r="M3511" s="1" t="str">
        <f t="shared" si="223"/>
        <v>ㄝ</v>
      </c>
      <c r="P3511" s="1" t="s">
        <v>20</v>
      </c>
      <c r="R3511" s="1" t="s">
        <v>5295</v>
      </c>
      <c r="V3511" s="1" t="s">
        <v>5351</v>
      </c>
      <c r="AR3511" s="1" t="str">
        <f t="shared" si="220"/>
        <v>| [ㄉㄧㄝˊ](ㄉㄧㄝˊ.md) | [蹀](蹀.md) |  | dié | [動]
蹈、踏。如：「蹀血」。《淮南子．俶真》：「足蹀陽阿之舞，而手會綠水之趨。」 |</v>
      </c>
    </row>
    <row r="3512" spans="1:44" hidden="1">
      <c r="A3512" s="1" t="s">
        <v>5352</v>
      </c>
      <c r="C3512" s="1">
        <v>1</v>
      </c>
      <c r="D3512" s="1" t="str">
        <f>"02182"</f>
        <v>02182</v>
      </c>
      <c r="E3512" s="1" t="s">
        <v>156</v>
      </c>
      <c r="F3512" s="1">
        <v>20</v>
      </c>
      <c r="G3512" s="1">
        <v>9</v>
      </c>
      <c r="H3512" s="1">
        <v>0</v>
      </c>
      <c r="I3512" s="1" t="s">
        <v>5294</v>
      </c>
      <c r="K3512" s="1" t="str">
        <f t="shared" si="221"/>
        <v>ㄉ</v>
      </c>
      <c r="L3512" s="1" t="str">
        <f t="shared" si="222"/>
        <v>ㄧ</v>
      </c>
      <c r="M3512" s="1" t="str">
        <f t="shared" si="223"/>
        <v>ㄝ</v>
      </c>
      <c r="P3512" s="1" t="s">
        <v>20</v>
      </c>
      <c r="R3512" s="1" t="s">
        <v>5295</v>
      </c>
      <c r="V3512" s="1" t="s">
        <v>5353</v>
      </c>
      <c r="AR3512" s="1" t="str">
        <f t="shared" si="220"/>
        <v>| [ㄉㄧㄝˊ](ㄉㄧㄝˊ.md) | [鰈](鰈.md) |  | dié | [名]
動物名。脊椎動物亞門硬骨魚綱鰈形目。體側扁，長橢圓形，有細鱗。兩眼位於體右側，常以左側橫臥海底，為底棲性魚類。主產於溫帶及寒帶，以北方較多。也稱為「比目魚」。 |</v>
      </c>
    </row>
    <row r="3513" spans="1:44" hidden="1">
      <c r="A3513" s="1" t="s">
        <v>5354</v>
      </c>
      <c r="C3513" s="1">
        <v>1</v>
      </c>
      <c r="D3513" s="1" t="str">
        <f>"02183"</f>
        <v>02183</v>
      </c>
      <c r="E3513" s="1" t="s">
        <v>77</v>
      </c>
      <c r="F3513" s="1">
        <v>12</v>
      </c>
      <c r="G3513" s="1">
        <v>5</v>
      </c>
      <c r="H3513" s="1">
        <v>2</v>
      </c>
      <c r="I3513" s="1" t="s">
        <v>5294</v>
      </c>
      <c r="K3513" s="1" t="str">
        <f t="shared" si="221"/>
        <v>ㄉ</v>
      </c>
      <c r="L3513" s="1" t="str">
        <f t="shared" si="222"/>
        <v>ㄧ</v>
      </c>
      <c r="M3513" s="1" t="str">
        <f t="shared" si="223"/>
        <v>ㄝ</v>
      </c>
      <c r="P3513" s="1" t="s">
        <v>20</v>
      </c>
      <c r="R3513" s="1" t="s">
        <v>5295</v>
      </c>
      <c r="V3513" s="1" t="s">
        <v>5355</v>
      </c>
      <c r="W3513" s="1" t="s">
        <v>5356</v>
      </c>
      <c r="AR3513" s="1" t="str">
        <f t="shared" si="220"/>
        <v>| [ㄉㄧㄝˊ](ㄉㄧㄝˊ.md) | [跕](跕.md) |  | dié | 參見「跕跕」條。 |</v>
      </c>
    </row>
    <row r="3514" spans="1:44" hidden="1">
      <c r="A3514" s="1" t="s">
        <v>5357</v>
      </c>
      <c r="C3514" s="1">
        <v>1</v>
      </c>
      <c r="D3514" s="1" t="str">
        <f>"02184"</f>
        <v>02184</v>
      </c>
      <c r="E3514" s="1" t="s">
        <v>132</v>
      </c>
      <c r="F3514" s="1">
        <v>14</v>
      </c>
      <c r="G3514" s="1">
        <v>11</v>
      </c>
      <c r="H3514" s="1">
        <v>0</v>
      </c>
      <c r="I3514" s="1" t="s">
        <v>5294</v>
      </c>
      <c r="K3514" s="1" t="str">
        <f t="shared" si="221"/>
        <v>ㄉ</v>
      </c>
      <c r="L3514" s="1" t="str">
        <f t="shared" si="222"/>
        <v>ㄧ</v>
      </c>
      <c r="M3514" s="1" t="str">
        <f t="shared" si="223"/>
        <v>ㄝ</v>
      </c>
      <c r="P3514" s="1" t="s">
        <v>20</v>
      </c>
      <c r="R3514" s="1" t="s">
        <v>5295</v>
      </c>
      <c r="V3514" s="1" t="s">
        <v>5358</v>
      </c>
      <c r="AR3514" s="1" t="str">
        <f t="shared" si="220"/>
        <v>| [ㄉㄧㄝˊ](ㄉㄧㄝˊ.md) | [墆](墆.md) |  | dié | [動]
停滯、積聚。《漢書．卷二四．食貨志下》：「而富商賈或墆財役貧，轉轂百數，廢居居邑，封君皆氐首仰給焉。」宋．羅泌《路史．卷一．中三皇紀．地皇氏》：「是故能天運地墆，而輪轉無廢。」 |</v>
      </c>
    </row>
    <row r="3515" spans="1:44" hidden="1">
      <c r="A3515" s="1" t="s">
        <v>5359</v>
      </c>
      <c r="C3515" s="1">
        <v>1</v>
      </c>
      <c r="D3515" s="1" t="str">
        <f>"02185"</f>
        <v>02185</v>
      </c>
      <c r="E3515" s="1" t="s">
        <v>190</v>
      </c>
      <c r="F3515" s="1">
        <v>14</v>
      </c>
      <c r="G3515" s="1">
        <v>11</v>
      </c>
      <c r="H3515" s="1">
        <v>0</v>
      </c>
      <c r="I3515" s="1" t="s">
        <v>5294</v>
      </c>
      <c r="K3515" s="1" t="str">
        <f t="shared" si="221"/>
        <v>ㄉ</v>
      </c>
      <c r="L3515" s="1" t="str">
        <f t="shared" si="222"/>
        <v>ㄧ</v>
      </c>
      <c r="M3515" s="1" t="str">
        <f t="shared" si="223"/>
        <v>ㄝ</v>
      </c>
      <c r="P3515" s="1" t="s">
        <v>20</v>
      </c>
      <c r="R3515" s="1" t="s">
        <v>5295</v>
      </c>
      <c r="V3515" s="1" t="s">
        <v>5360</v>
      </c>
      <c r="AR3515" s="1" t="str">
        <f t="shared" si="220"/>
        <v>| [ㄉㄧㄝˊ](ㄉㄧㄝˊ.md) | [嵽](嵽.md) |  | dié | 參見「嵽嵲」條。 |</v>
      </c>
    </row>
    <row r="3516" spans="1:44" hidden="1">
      <c r="A3516" s="1" t="s">
        <v>5361</v>
      </c>
      <c r="C3516" s="1">
        <v>1</v>
      </c>
      <c r="D3516" s="1" t="str">
        <f>"02186"</f>
        <v>02186</v>
      </c>
      <c r="E3516" s="1" t="s">
        <v>340</v>
      </c>
      <c r="F3516" s="1">
        <v>17</v>
      </c>
      <c r="G3516" s="1">
        <v>11</v>
      </c>
      <c r="H3516" s="1">
        <v>1</v>
      </c>
      <c r="I3516" s="1" t="s">
        <v>5294</v>
      </c>
      <c r="K3516" s="1" t="str">
        <f t="shared" si="221"/>
        <v>ㄉ</v>
      </c>
      <c r="L3516" s="1" t="str">
        <f t="shared" si="222"/>
        <v>ㄧ</v>
      </c>
      <c r="M3516" s="1" t="str">
        <f t="shared" si="223"/>
        <v>ㄝ</v>
      </c>
      <c r="P3516" s="1" t="s">
        <v>20</v>
      </c>
      <c r="R3516" s="1" t="s">
        <v>5295</v>
      </c>
      <c r="V3516" s="1" t="s">
        <v>5362</v>
      </c>
      <c r="W3516" s="1" t="s">
        <v>5363</v>
      </c>
      <c r="AR3516" s="1" t="str">
        <f t="shared" si="220"/>
        <v>| [ㄉㄧㄝˊ](ㄉㄧㄝˊ.md) | [褶](褶.md) |  | dié | [名]_x000D_
即夾衣。中間無綿絮的雙層衣服。《儀禮．士喪禮》：「襚者以褶，則必有裳。」《禮記．玉藻》：「襌為絅，帛為褶。」漢．鄭玄．注：「褶，有表裡而無著。」 |</v>
      </c>
    </row>
    <row r="3517" spans="1:44" hidden="1">
      <c r="A3517" s="1" t="s">
        <v>5364</v>
      </c>
      <c r="C3517" s="1">
        <v>1</v>
      </c>
      <c r="D3517" s="1" t="str">
        <f>"02187"</f>
        <v>02187</v>
      </c>
      <c r="E3517" s="1" t="s">
        <v>753</v>
      </c>
      <c r="F3517" s="1">
        <v>22</v>
      </c>
      <c r="G3517" s="1">
        <v>17</v>
      </c>
      <c r="H3517" s="1">
        <v>0</v>
      </c>
      <c r="I3517" s="1" t="s">
        <v>5294</v>
      </c>
      <c r="K3517" s="1" t="str">
        <f t="shared" si="221"/>
        <v>ㄉ</v>
      </c>
      <c r="L3517" s="1" t="str">
        <f t="shared" si="222"/>
        <v>ㄧ</v>
      </c>
      <c r="M3517" s="1" t="str">
        <f t="shared" si="223"/>
        <v>ㄝ</v>
      </c>
      <c r="P3517" s="1" t="s">
        <v>20</v>
      </c>
      <c r="R3517" s="1" t="s">
        <v>5295</v>
      </c>
      <c r="V3517" s="1" t="s">
        <v>5365</v>
      </c>
      <c r="AR3517" s="1" t="str">
        <f t="shared" si="220"/>
        <v>| [ㄉㄧㄝˊ](ㄉㄧㄝˊ.md) | [疊](疊.md) |  | dié | [動]
1.堆聚、累積。如：「堆疊」、「疊羅漢」、「疊石為山」。宋．文天祥〈正氣歌．序〉：「惡氣雜出，時則為穢氣，疊是數氣，當之者鮮不為厲。」
2.用手折疊。如：「疊被」。《紅樓夢》第七一回：「鳳姐在樓上看著人收送來的新圍屏，只有平兒在房裡與鳳姐疊衣服。」
3.振、振動。《文選．左思．吳都賦》：「鉦鼓疊山，火烈熛林。」《鏡花緣》第一九回：「只好疊著精神，穩著步兒，探著腰兒，挺著胸兒，直著頸兒，一步一趨，望前而行。」
4.擊、輕敲。《文選．謝朓．鼓吹曲》：「凝笳翼高蓋，疊鼓送華輈。」唐．李善．注：「小擊鼓謂之疊。」
[名]
1.量詞：(1)計算重疊堆積物的單位。如：「一疊紙」、「兩疊文件」。(2)計算層層山巒的單位。唐．許渾〈歲暮自廣江至新興往復中題峽山寺〉詩四首之二：「水曲巖千疊，雲重樹百層。」(3)計算歷史劃分時期的單位。《文選．左思．吳都賦》：「雖累葉百疊，而富彊相繼。」(4)計算樂曲章節的重複吟唱或演奏的單位。如：「陽關三疊」。唐．白居易〈聽歌．何滿子〉：「一曲四調歌八疊，從頭便是斷腸聲。」清．洪昇《長生殿》第一六齣：「霓裳散序昨已奏過，羽衣第二疊，可曾演熟？」
2.日本人稱室內鋪地的蓆子為「疊」，並以二疊合為一坪，用來計算室內的大小。
[形]
一層一層的。如：「疊峰」、「疊浪」、「重巖疊嶂」。
[副]
重複。宋．岳飛〈奉詔移偽齊檄〉：「驛騎交馳，羽檄疊至。」《清史稿．卷二二．穆宗本紀二》：「丙辰，以水旱疊見，詔修省。」 |</v>
      </c>
    </row>
    <row r="3518" spans="1:44" hidden="1">
      <c r="A3518" s="1" t="s">
        <v>5366</v>
      </c>
      <c r="C3518" s="1">
        <v>1</v>
      </c>
      <c r="D3518" s="1" t="str">
        <f>"02188"</f>
        <v>02188</v>
      </c>
      <c r="E3518" s="1" t="s">
        <v>1703</v>
      </c>
      <c r="F3518" s="1">
        <v>26</v>
      </c>
      <c r="G3518" s="1">
        <v>22</v>
      </c>
      <c r="H3518" s="1">
        <v>0</v>
      </c>
      <c r="I3518" s="1" t="s">
        <v>5294</v>
      </c>
      <c r="K3518" s="1" t="str">
        <f t="shared" si="221"/>
        <v>ㄉ</v>
      </c>
      <c r="L3518" s="1" t="str">
        <f t="shared" si="222"/>
        <v>ㄧ</v>
      </c>
      <c r="M3518" s="1" t="str">
        <f t="shared" si="223"/>
        <v>ㄝ</v>
      </c>
      <c r="P3518" s="1" t="s">
        <v>20</v>
      </c>
      <c r="R3518" s="1" t="s">
        <v>5295</v>
      </c>
      <c r="V3518" s="1" t="s">
        <v>5367</v>
      </c>
      <c r="AR3518" s="1" t="str">
        <f t="shared" si="220"/>
        <v>| [ㄉㄧㄝˊ](ㄉㄧㄝˊ.md) | [㲲](㲲.md) |  | dié | [名]
精細毛織布。《廣韻．入聲．怗韻》：「㲲，細毛布。」唐．王維〈與蘇盧二員外期遊方丈寺而蘇不至因有是作〉詩：「手巾花㲲淨，香帔稻畦成。」 |</v>
      </c>
    </row>
    <row r="3519" spans="1:44" hidden="1">
      <c r="A3519" s="1" t="s">
        <v>5746</v>
      </c>
      <c r="C3519" s="1">
        <v>1</v>
      </c>
      <c r="D3519" s="1" t="str">
        <f>"02349"</f>
        <v>02349</v>
      </c>
      <c r="E3519" s="1" t="s">
        <v>558</v>
      </c>
      <c r="F3519" s="1">
        <v>10</v>
      </c>
      <c r="G3519" s="1">
        <v>6</v>
      </c>
      <c r="H3519" s="1">
        <v>2</v>
      </c>
      <c r="I3519" s="1" t="s">
        <v>5747</v>
      </c>
      <c r="K3519" s="1" t="str">
        <f t="shared" si="221"/>
        <v>ㄉ</v>
      </c>
      <c r="L3519" s="1" t="str">
        <f t="shared" si="222"/>
        <v>ㄨ</v>
      </c>
      <c r="M3519" s="1" t="str">
        <f t="shared" si="223"/>
        <v>ㄟ</v>
      </c>
      <c r="P3519" s="1" t="s">
        <v>20</v>
      </c>
      <c r="R3519" s="1" t="s">
        <v>5748</v>
      </c>
      <c r="V3519" s="1" t="s">
        <v>5749</v>
      </c>
      <c r="W3519" s="1" t="s">
        <v>5750</v>
      </c>
      <c r="AR3519" s="1" t="str">
        <f t="shared" si="220"/>
        <v>| [ㄉㄨㄟ](ㄉㄨㄟ.md) | [追](追.md) |  | duī | [名]
鐘紐。《孟子．盡心下》：「高子曰：『禹之聲，尚文王之聲。』孟子曰：『何以言之？』曰：『以追蠡。』」漢．趙岐．注：「追，鐘鈕也。鈕磨齧處深矣。蠡，欲絕之貌也。」
[動]
雕、雕琢。《詩經．大雅．棫樸》：「追琢其章，金玉其相。」《周禮．天官．追師》：「掌王后之首服，為副編次追衡笄。」漢．鄭玄．注：「追，猶治也。」 |</v>
      </c>
    </row>
    <row r="3520" spans="1:44" hidden="1">
      <c r="A3520" s="1" t="s">
        <v>5751</v>
      </c>
      <c r="C3520" s="1">
        <v>1</v>
      </c>
      <c r="D3520" s="1" t="str">
        <f>"02350"</f>
        <v>02350</v>
      </c>
      <c r="E3520" s="1" t="s">
        <v>132</v>
      </c>
      <c r="F3520" s="1">
        <v>11</v>
      </c>
      <c r="G3520" s="1">
        <v>8</v>
      </c>
      <c r="H3520" s="1">
        <v>0</v>
      </c>
      <c r="I3520" s="1" t="s">
        <v>5747</v>
      </c>
      <c r="K3520" s="1" t="str">
        <f t="shared" si="221"/>
        <v>ㄉ</v>
      </c>
      <c r="L3520" s="1" t="str">
        <f t="shared" si="222"/>
        <v>ㄨ</v>
      </c>
      <c r="M3520" s="1" t="str">
        <f t="shared" si="223"/>
        <v>ㄟ</v>
      </c>
      <c r="P3520" s="1" t="s">
        <v>20</v>
      </c>
      <c r="R3520" s="1" t="s">
        <v>5748</v>
      </c>
      <c r="V3520" s="1" t="s">
        <v>5752</v>
      </c>
      <c r="AR3520" s="1" t="str">
        <f t="shared" si="220"/>
        <v>| [ㄉㄨㄟ](ㄉㄨㄟ.md) | [堆](堆.md) |  | duī | [名]
1.積聚成小山的東西。如：「土堆」、「瓦礫堆」、「柴火堆」。
2.量詞。計算堆積物、成群人的單位。如：「一堆土」、「兩堆人」。
3.地名用字。如屏東縣的六堆，大陸地區四川省奉節縣東瞿塘峽口的灩澦堆。
[動]
1.積聚。如：「堆恨成仇」。
2.用手或工具把東西聚積起來。如：「把白菜堆在院子裡。」、「把書堆在桌子上。」 |</v>
      </c>
    </row>
    <row r="3521" spans="1:44" hidden="1">
      <c r="A3521" s="1" t="s">
        <v>5753</v>
      </c>
      <c r="C3521" s="1">
        <v>1</v>
      </c>
      <c r="D3521" s="1" t="str">
        <f>"02351"</f>
        <v>02351</v>
      </c>
      <c r="E3521" s="1" t="s">
        <v>426</v>
      </c>
      <c r="F3521" s="1">
        <v>12</v>
      </c>
      <c r="G3521" s="1">
        <v>8</v>
      </c>
      <c r="H3521" s="1">
        <v>3</v>
      </c>
      <c r="I3521" s="1" t="s">
        <v>5747</v>
      </c>
      <c r="K3521" s="1" t="str">
        <f t="shared" si="221"/>
        <v>ㄉ</v>
      </c>
      <c r="L3521" s="1" t="str">
        <f t="shared" si="222"/>
        <v>ㄨ</v>
      </c>
      <c r="M3521" s="1" t="str">
        <f t="shared" si="223"/>
        <v>ㄟ</v>
      </c>
      <c r="P3521" s="1" t="s">
        <v>20</v>
      </c>
      <c r="R3521" s="1" t="s">
        <v>5748</v>
      </c>
      <c r="V3521" s="1" t="s">
        <v>5754</v>
      </c>
      <c r="W3521" s="1" t="s">
        <v>5755</v>
      </c>
      <c r="AR3521" s="1" t="str">
        <f t="shared" si="220"/>
        <v>| [ㄉㄨㄟ](ㄉㄨㄟ.md) | [敦](敦.md) |  | duī | [動]
催逼、逼迫。《詩經．邶風．北門》：「王事敦我，政事一埤遺我。」
[副]
孤獨的樣子。《詩經．豳風．東山》：「敦彼獨宿，亦在車下。」 |</v>
      </c>
    </row>
    <row r="3522" spans="1:44" hidden="1">
      <c r="A3522" s="1" t="s">
        <v>5756</v>
      </c>
      <c r="C3522" s="1">
        <v>1</v>
      </c>
      <c r="D3522" s="1" t="str">
        <f>"02352"</f>
        <v>02352</v>
      </c>
      <c r="E3522" s="1" t="s">
        <v>3581</v>
      </c>
      <c r="F3522" s="1">
        <v>7</v>
      </c>
      <c r="G3522" s="1">
        <v>5</v>
      </c>
      <c r="H3522" s="1">
        <v>0</v>
      </c>
      <c r="I3522" s="1" t="s">
        <v>5757</v>
      </c>
      <c r="K3522" s="1" t="str">
        <f t="shared" si="221"/>
        <v>ㄉ</v>
      </c>
      <c r="L3522" s="1" t="str">
        <f t="shared" si="222"/>
        <v>ㄨ</v>
      </c>
      <c r="M3522" s="1" t="str">
        <f t="shared" si="223"/>
        <v>ㄟ</v>
      </c>
      <c r="P3522" s="1" t="s">
        <v>20</v>
      </c>
      <c r="R3522" s="1" t="s">
        <v>5758</v>
      </c>
      <c r="V3522" s="1" t="s">
        <v>5759</v>
      </c>
      <c r="AR3522" s="1" t="str">
        <f t="shared" si="220"/>
        <v>| [ㄉㄨㄟˋ](ㄉㄨㄟˋ.md) | [兌](兌.md) |  | duì | [動]
1.交換。如：「兌換」。唐．丁仙芝〈餘杭醉歌贈吳山人〉詩：「十千兌得餘杭酒，二月春城長命杯。」
2.憑票據支付或領取現金。如：「兌現」、「匯兌」、「擠兌」。
3.攙入。如：「這水太燙了，兌點冷水進去。」
4.拚、搏。《京本通俗小說．錯斬崔寧》：「你這剪徑的毛團！我須是認得你。做這老性命著與你兌了罷！」
[名]
《易經》卦名：(1)八卦之一。卦形是☱，代表沼澤。(2)六十四卦之一。兌（☱）下兌（☱）上。象亨通而利於守正之義。 |</v>
      </c>
    </row>
    <row r="3523" spans="1:44" hidden="1">
      <c r="A3523" s="1" t="s">
        <v>5753</v>
      </c>
      <c r="C3523" s="1">
        <v>1</v>
      </c>
      <c r="D3523" s="1" t="str">
        <f>"02353"</f>
        <v>02353</v>
      </c>
      <c r="E3523" s="1" t="s">
        <v>426</v>
      </c>
      <c r="F3523" s="1">
        <v>12</v>
      </c>
      <c r="G3523" s="1">
        <v>8</v>
      </c>
      <c r="H3523" s="1">
        <v>4</v>
      </c>
      <c r="I3523" s="1" t="s">
        <v>5757</v>
      </c>
      <c r="K3523" s="1" t="str">
        <f t="shared" si="221"/>
        <v>ㄉ</v>
      </c>
      <c r="L3523" s="1" t="str">
        <f t="shared" si="222"/>
        <v>ㄨ</v>
      </c>
      <c r="M3523" s="1" t="str">
        <f t="shared" si="223"/>
        <v>ㄟ</v>
      </c>
      <c r="P3523" s="1" t="s">
        <v>20</v>
      </c>
      <c r="R3523" s="1" t="s">
        <v>5758</v>
      </c>
      <c r="V3523" s="1" t="s">
        <v>5760</v>
      </c>
      <c r="W3523" s="1" t="s">
        <v>5761</v>
      </c>
      <c r="AR3523" s="1" t="str">
        <f t="shared" ref="AR3523:AR3586" si="224">"| ["&amp;I3523&amp;"]("&amp;I3523&amp;".md) | ["&amp;A3523&amp;"]("&amp;A3523&amp;".md) | "&amp;" | "&amp;R3523&amp;" | "&amp;V3523&amp;" |"</f>
        <v>| [ㄉㄨㄟˋ](ㄉㄨㄟˋ.md) | [敦](敦.md) |  | duì | [名]
古代用來盛黍、稷、稻、粱等的器具。形狀多種，一般為三短足，圓腹，二環耳，有蓋。有的蓋子也能翻轉過來使用。圈足的敦，蓋上多有捉手。流行於春秋戰國時期。《禮記．明堂位》：「有虞氏之兩敦，夏后氏之四連。」漢．鄭玄．注：「敦，黍稷器。」 |</v>
      </c>
    </row>
    <row r="3524" spans="1:44" hidden="1">
      <c r="A3524" s="1" t="s">
        <v>5762</v>
      </c>
      <c r="C3524" s="1">
        <v>1</v>
      </c>
      <c r="D3524" s="1" t="str">
        <f>"02354"</f>
        <v>02354</v>
      </c>
      <c r="E3524" s="1" t="s">
        <v>250</v>
      </c>
      <c r="F3524" s="1">
        <v>16</v>
      </c>
      <c r="G3524" s="1">
        <v>12</v>
      </c>
      <c r="H3524" s="1">
        <v>0</v>
      </c>
      <c r="I3524" s="1" t="s">
        <v>5757</v>
      </c>
      <c r="K3524" s="1" t="str">
        <f t="shared" si="221"/>
        <v>ㄉ</v>
      </c>
      <c r="L3524" s="1" t="str">
        <f t="shared" si="222"/>
        <v>ㄨ</v>
      </c>
      <c r="M3524" s="1" t="str">
        <f t="shared" si="223"/>
        <v>ㄟ</v>
      </c>
      <c r="P3524" s="1" t="s">
        <v>20</v>
      </c>
      <c r="R3524" s="1" t="s">
        <v>5758</v>
      </c>
      <c r="V3524" s="1" t="s">
        <v>5763</v>
      </c>
      <c r="AR3524" s="1" t="str">
        <f t="shared" si="224"/>
        <v>| [ㄉㄨㄟˋ](ㄉㄨㄟˋ.md) | [憝](憝.md) |  | duì | [動]
怨恨、憎惡。《書經．康誥》：「殺越人于貨，暋不畏死，罔弗憝。」
[形]
凶惡、奸惡。《文選．潘岳．西征賦》：「慍韓馬之大憝，阻關谷以稱亂。」《新唐書．卷一五四．李晟傳》：「晟蕩夷兇憝，而市不易廛。」 |</v>
      </c>
    </row>
    <row r="3525" spans="1:44" hidden="1">
      <c r="A3525" s="1" t="s">
        <v>5764</v>
      </c>
      <c r="C3525" s="1">
        <v>1</v>
      </c>
      <c r="D3525" s="1" t="str">
        <f>"02355"</f>
        <v>02355</v>
      </c>
      <c r="E3525" s="1" t="s">
        <v>55</v>
      </c>
      <c r="F3525" s="1">
        <v>16</v>
      </c>
      <c r="G3525" s="1">
        <v>8</v>
      </c>
      <c r="H3525" s="1">
        <v>2</v>
      </c>
      <c r="I3525" s="1" t="s">
        <v>5757</v>
      </c>
      <c r="K3525" s="1" t="str">
        <f t="shared" si="221"/>
        <v>ㄉ</v>
      </c>
      <c r="L3525" s="1" t="str">
        <f t="shared" si="222"/>
        <v>ㄨ</v>
      </c>
      <c r="M3525" s="1" t="str">
        <f t="shared" si="223"/>
        <v>ㄟ</v>
      </c>
      <c r="P3525" s="1" t="s">
        <v>20</v>
      </c>
      <c r="R3525" s="1" t="s">
        <v>5758</v>
      </c>
      <c r="V3525" s="1" t="s">
        <v>5765</v>
      </c>
      <c r="W3525" s="1" t="s">
        <v>5766</v>
      </c>
      <c r="AR3525" s="1" t="str">
        <f t="shared" si="224"/>
        <v>| [ㄉㄨㄟˋ](ㄉㄨㄟˋ.md) | [錞](錞.md) |  | duì | [名]
矛戟柄末端的平底金屬套。《詩經．秦風．小戎》：「俴駟孔群，厹矛鋈錞，蒙伐有苑。」《淮南子．說林》：「錞之與刃，孰先弊也？」漢．高誘．注：「錞，矜下銅鐏也。」 |</v>
      </c>
    </row>
    <row r="3526" spans="1:44" hidden="1">
      <c r="A3526" s="1" t="s">
        <v>5767</v>
      </c>
      <c r="C3526" s="1">
        <v>1</v>
      </c>
      <c r="D3526" s="1" t="str">
        <f>"02356"</f>
        <v>02356</v>
      </c>
      <c r="E3526" s="1" t="s">
        <v>691</v>
      </c>
      <c r="F3526" s="1">
        <v>12</v>
      </c>
      <c r="G3526" s="1">
        <v>9</v>
      </c>
      <c r="H3526" s="1">
        <v>0</v>
      </c>
      <c r="I3526" s="1" t="s">
        <v>5757</v>
      </c>
      <c r="K3526" s="1" t="str">
        <f t="shared" si="221"/>
        <v>ㄉ</v>
      </c>
      <c r="L3526" s="1" t="str">
        <f t="shared" si="222"/>
        <v>ㄨ</v>
      </c>
      <c r="M3526" s="1" t="str">
        <f t="shared" si="223"/>
        <v>ㄟ</v>
      </c>
      <c r="P3526" s="1" t="s">
        <v>20</v>
      </c>
      <c r="R3526" s="1" t="s">
        <v>5758</v>
      </c>
      <c r="V3526" s="1" t="s">
        <v>5768</v>
      </c>
      <c r="AR3526" s="1" t="str">
        <f t="shared" si="224"/>
        <v>| [ㄉㄨㄟˋ](ㄉㄨㄟˋ.md) | [隊](隊.md) |  | duì | [名]
1.行列。如：「車隊」、「排隊」。
2.集合多人而成的團體。如：「排球隊」、「探險隊」、「消防隊」、「游擊隊」。
3.軍旅、部卒。如：「軍隊」、「部隊」。
4.量詞。計算成隊的人或物的單位。如：「一隊人馬」。明．徐弘祖《徐霞客遊記．卷四上．粵西遊日記四》：「洞之西垂，又有石柱一隊，外自洞口排列，抵洞後西界，別成長榭。」 |</v>
      </c>
    </row>
    <row r="3527" spans="1:44" hidden="1">
      <c r="A3527" s="1" t="s">
        <v>5769</v>
      </c>
      <c r="C3527" s="1">
        <v>1</v>
      </c>
      <c r="D3527" s="1" t="str">
        <f>"02357"</f>
        <v>02357</v>
      </c>
      <c r="E3527" s="1" t="s">
        <v>169</v>
      </c>
      <c r="F3527" s="1">
        <v>13</v>
      </c>
      <c r="G3527" s="1">
        <v>8</v>
      </c>
      <c r="H3527" s="1">
        <v>0</v>
      </c>
      <c r="I3527" s="1" t="s">
        <v>5757</v>
      </c>
      <c r="K3527" s="1" t="str">
        <f t="shared" si="221"/>
        <v>ㄉ</v>
      </c>
      <c r="L3527" s="1" t="str">
        <f t="shared" si="222"/>
        <v>ㄨ</v>
      </c>
      <c r="M3527" s="1" t="str">
        <f t="shared" si="223"/>
        <v>ㄟ</v>
      </c>
      <c r="P3527" s="1" t="s">
        <v>20</v>
      </c>
      <c r="R3527" s="1" t="s">
        <v>5758</v>
      </c>
      <c r="V3527" s="1" t="s">
        <v>5770</v>
      </c>
      <c r="AR3527" s="1" t="str">
        <f t="shared" si="224"/>
        <v>| [ㄉㄨㄟˋ](ㄉㄨㄟˋ.md) | [碓](碓.md) |  | duì | [名]
舂米的用具。《廣韻．去聲．隊韻》：「碓，杵臼。」宋．陸游〈小舟游近村捨舟步歸〉詩四首之一：「數家茅屋自成村，地碓聲中晝掩門。」《西遊記》第一九回：「那怪撲的跪下，望空似搗碓的一般，只管磕頭。」 |</v>
      </c>
    </row>
    <row r="3528" spans="1:44" hidden="1">
      <c r="A3528" s="1" t="s">
        <v>5771</v>
      </c>
      <c r="C3528" s="1">
        <v>1</v>
      </c>
      <c r="D3528" s="1" t="str">
        <f>"02358"</f>
        <v>02358</v>
      </c>
      <c r="E3528" s="1" t="s">
        <v>1595</v>
      </c>
      <c r="F3528" s="1">
        <v>14</v>
      </c>
      <c r="G3528" s="1">
        <v>11</v>
      </c>
      <c r="H3528" s="1">
        <v>0</v>
      </c>
      <c r="I3528" s="1" t="s">
        <v>5757</v>
      </c>
      <c r="K3528" s="1" t="str">
        <f t="shared" si="221"/>
        <v>ㄉ</v>
      </c>
      <c r="L3528" s="1" t="str">
        <f t="shared" si="222"/>
        <v>ㄨ</v>
      </c>
      <c r="M3528" s="1" t="str">
        <f t="shared" si="223"/>
        <v>ㄟ</v>
      </c>
      <c r="P3528" s="1" t="s">
        <v>20</v>
      </c>
      <c r="R3528" s="1" t="s">
        <v>5758</v>
      </c>
      <c r="V3528" s="1" t="s">
        <v>5772</v>
      </c>
      <c r="AR3528" s="1" t="str">
        <f t="shared" si="224"/>
        <v>| [ㄉㄨㄟˋ](ㄉㄨㄟˋ.md) | [對](對.md) |  | duì | [動]
1.回答地位高的人所提的問題或接續他們的說話。《左傳．隱公元年》：「公問之。對曰：『小人有母，皆嘗小人之食矣，未嘗君之羹。』」
2.一般的應答。如：「無言以對」。
3.對待、看待。如：「對人誠懇」。
4.朝著、向著。如：「槍口對準靶子」、「面對面」、「對著天空」。《文選．曹操．短歌行》：「對酒當歌，人生幾何？」
5.相合、投合。如：「對症下藥」。
6.比照檢查。如：「校對」、「對指紋」、「對身分證」。
7.調整使合標準。如：「將焦距對好」。
8.攙入。如：「再對些熱水進去，否則太冷了。」
9.使兩種事物配合在一起。如：「把門對上」、「對對子」。
10. 雙方抗爭起來。如：「他們怒目相向，對起來了。」
[名]
1.成雙的人或物。如：「他們正好配成對。」
2.對聯的簡稱。如：「對子」、「門對」、「喜對」。
3.量詞。計算成雙的人或物的單位。如：「一對鐲子」、「三對夫妻」。
[形]
1.對面的。如：「對岸」、「對方」。
2.正確、正常的。如：「數目不對」、「神色不對」。
[介]
表示動作的對象。如：「他對你說什麼？」、「我對環境不熟。」 |</v>
      </c>
    </row>
    <row r="3529" spans="1:44" hidden="1">
      <c r="A3529" s="1" t="s">
        <v>5773</v>
      </c>
      <c r="C3529" s="1">
        <v>1</v>
      </c>
      <c r="D3529" s="1" t="str">
        <f>"02359"</f>
        <v>02359</v>
      </c>
      <c r="E3529" s="1" t="s">
        <v>37</v>
      </c>
      <c r="F3529" s="1">
        <v>18</v>
      </c>
      <c r="G3529" s="1">
        <v>14</v>
      </c>
      <c r="H3529" s="1">
        <v>0</v>
      </c>
      <c r="I3529" s="1" t="s">
        <v>5757</v>
      </c>
      <c r="K3529" s="1" t="str">
        <f t="shared" si="221"/>
        <v>ㄉ</v>
      </c>
      <c r="L3529" s="1" t="str">
        <f t="shared" si="222"/>
        <v>ㄨ</v>
      </c>
      <c r="M3529" s="1" t="str">
        <f t="shared" si="223"/>
        <v>ㄟ</v>
      </c>
      <c r="P3529" s="1" t="s">
        <v>20</v>
      </c>
      <c r="R3529" s="1" t="s">
        <v>5758</v>
      </c>
      <c r="V3529" s="1" t="s">
        <v>5774</v>
      </c>
      <c r="AR3529" s="1" t="str">
        <f t="shared" si="224"/>
        <v>| [ㄉㄨㄟˋ](ㄉㄨㄟˋ.md) | [薱](薱.md) |  | duì | [形]
草木茂盛。《文選．張衡．西京賦》：「鬱蓊薆薱。」唐．李善．注：「皆草木盛貌也。」 |</v>
      </c>
    </row>
    <row r="3530" spans="1:44" hidden="1">
      <c r="A3530" s="1" t="s">
        <v>5775</v>
      </c>
      <c r="C3530" s="1">
        <v>1</v>
      </c>
      <c r="D3530" s="1" t="str">
        <f>"02360"</f>
        <v>02360</v>
      </c>
      <c r="E3530" s="1" t="s">
        <v>250</v>
      </c>
      <c r="F3530" s="1">
        <v>18</v>
      </c>
      <c r="G3530" s="1">
        <v>14</v>
      </c>
      <c r="H3530" s="1">
        <v>0</v>
      </c>
      <c r="I3530" s="1" t="s">
        <v>5757</v>
      </c>
      <c r="K3530" s="1" t="str">
        <f t="shared" si="221"/>
        <v>ㄉ</v>
      </c>
      <c r="L3530" s="1" t="str">
        <f t="shared" si="222"/>
        <v>ㄨ</v>
      </c>
      <c r="M3530" s="1" t="str">
        <f t="shared" si="223"/>
        <v>ㄟ</v>
      </c>
      <c r="P3530" s="1" t="s">
        <v>20</v>
      </c>
      <c r="R3530" s="1" t="s">
        <v>5758</v>
      </c>
      <c r="V3530" s="1" t="s">
        <v>5776</v>
      </c>
      <c r="AR3530" s="1" t="str">
        <f t="shared" si="224"/>
        <v>| [ㄉㄨㄟˋ](ㄉㄨㄟˋ.md) | [懟](懟.md) |  | duì | [動]
怨恨、埋怨。如：「怨懟」、「忿懟」。《左傳．僖公二十四年》：「盍亦求之，以死誰懟？」《聊齋志異．卷一．王成》：「主人懟曰：『我言如何，子乃急自鬻也？』」 |</v>
      </c>
    </row>
    <row r="3531" spans="1:44" hidden="1">
      <c r="A3531" s="1" t="s">
        <v>5368</v>
      </c>
      <c r="C3531" s="1">
        <v>1</v>
      </c>
      <c r="D3531" s="1" t="str">
        <f>"02189"</f>
        <v>02189</v>
      </c>
      <c r="E3531" s="1" t="s">
        <v>185</v>
      </c>
      <c r="F3531" s="1">
        <v>2</v>
      </c>
      <c r="G3531" s="1">
        <v>0</v>
      </c>
      <c r="H3531" s="1">
        <v>0</v>
      </c>
      <c r="I3531" s="1" t="s">
        <v>5369</v>
      </c>
      <c r="K3531" s="1" t="str">
        <f t="shared" si="221"/>
        <v>ㄉ</v>
      </c>
      <c r="L3531" s="1" t="str">
        <f t="shared" si="222"/>
        <v>ㄧ</v>
      </c>
      <c r="M3531" s="1" t="str">
        <f t="shared" si="223"/>
        <v>ㄠ</v>
      </c>
      <c r="P3531" s="1" t="s">
        <v>20</v>
      </c>
      <c r="R3531" s="1" t="s">
        <v>5370</v>
      </c>
      <c r="V3531" s="1" t="s">
        <v>5371</v>
      </c>
      <c r="AR3531" s="1" t="str">
        <f t="shared" si="224"/>
        <v>| [ㄉㄧㄠ](ㄉㄧㄠ.md) | [刁](刁.md) |  | diāo | [形]
狡猾、狡詐。如：「刁蠻」、「大膽刁民」。《文明小史》第三九回：「諸城的百姓也實在刁的很。」
[動]
1.嘴裡銜著。同「叼」。《兒女英雄傳》第四回：「可巧見他刁著一根小煙袋兒，交叉著手，靠著窗臺兒，在那裡歇腿兒呢！」
2.拐去、搶走。如：「刁風拐月」。
[名]
姓。如東晉有刁協，五代有刁光胤。 |</v>
      </c>
    </row>
    <row r="3532" spans="1:44" hidden="1">
      <c r="A3532" s="1" t="s">
        <v>5372</v>
      </c>
      <c r="C3532" s="1">
        <v>1</v>
      </c>
      <c r="D3532" s="1" t="str">
        <f>"02190"</f>
        <v>02190</v>
      </c>
      <c r="E3532" s="1" t="s">
        <v>28</v>
      </c>
      <c r="F3532" s="1">
        <v>5</v>
      </c>
      <c r="G3532" s="1">
        <v>2</v>
      </c>
      <c r="H3532" s="1">
        <v>0</v>
      </c>
      <c r="I3532" s="1" t="s">
        <v>5369</v>
      </c>
      <c r="K3532" s="1" t="str">
        <f t="shared" si="221"/>
        <v>ㄉ</v>
      </c>
      <c r="L3532" s="1" t="str">
        <f t="shared" si="222"/>
        <v>ㄧ</v>
      </c>
      <c r="M3532" s="1" t="str">
        <f t="shared" si="223"/>
        <v>ㄠ</v>
      </c>
      <c r="P3532" s="1" t="s">
        <v>20</v>
      </c>
      <c r="R3532" s="1" t="s">
        <v>5370</v>
      </c>
      <c r="V3532" s="1" t="s">
        <v>5373</v>
      </c>
      <c r="AR3532" s="1" t="str">
        <f t="shared" si="224"/>
        <v>| [ㄉㄧㄠ](ㄉㄧㄠ.md) | [叼](叼.md) |  | diāo | [動]
用嘴銜物。如：「那人叼著香菸，一付吊兒郎當的模樣。」 |</v>
      </c>
    </row>
    <row r="3533" spans="1:44" hidden="1">
      <c r="A3533" s="1" t="s">
        <v>5374</v>
      </c>
      <c r="C3533" s="1">
        <v>1</v>
      </c>
      <c r="D3533" s="1" t="str">
        <f>"02191"</f>
        <v>02191</v>
      </c>
      <c r="E3533" s="1" t="s">
        <v>1381</v>
      </c>
      <c r="F3533" s="1">
        <v>10</v>
      </c>
      <c r="G3533" s="1">
        <v>8</v>
      </c>
      <c r="H3533" s="1">
        <v>0</v>
      </c>
      <c r="I3533" s="1" t="s">
        <v>5369</v>
      </c>
      <c r="K3533" s="1" t="str">
        <f t="shared" si="221"/>
        <v>ㄉ</v>
      </c>
      <c r="L3533" s="1" t="str">
        <f t="shared" si="222"/>
        <v>ㄧ</v>
      </c>
      <c r="M3533" s="1" t="str">
        <f t="shared" si="223"/>
        <v>ㄠ</v>
      </c>
      <c r="P3533" s="1" t="s">
        <v>20</v>
      </c>
      <c r="R3533" s="1" t="s">
        <v>5370</v>
      </c>
      <c r="V3533" s="1" t="s">
        <v>5375</v>
      </c>
      <c r="AR3533" s="1" t="str">
        <f t="shared" si="224"/>
        <v>| [ㄉㄧㄠ](ㄉㄧㄠ.md) | [凋](凋.md) |  | diāo | [動]
1.枯萎。《文選．左思．蜀都賦》：「迎隆冬而不凋，常曄曄以猗猗。」唐．杜牧〈寄揚州韓綽判官〉詩：「青山隱隱水迢迢，秋盡江南草木凋。」
2.衰落、衰頹。《文選．潘岳．懷舊賦》：「不幸短命，父子凋殞。」宋．陸游〈樓上醉書〉詩：「八年梁益凋朱顏，三更撫枕忽大叫。」 |</v>
      </c>
    </row>
    <row r="3534" spans="1:44" hidden="1">
      <c r="A3534" s="1" t="s">
        <v>5376</v>
      </c>
      <c r="C3534" s="1">
        <v>1</v>
      </c>
      <c r="D3534" s="1" t="str">
        <f>"02192"</f>
        <v>02192</v>
      </c>
      <c r="E3534" s="1" t="s">
        <v>1335</v>
      </c>
      <c r="F3534" s="1">
        <v>11</v>
      </c>
      <c r="G3534" s="1">
        <v>8</v>
      </c>
      <c r="H3534" s="1">
        <v>0</v>
      </c>
      <c r="I3534" s="1" t="s">
        <v>5369</v>
      </c>
      <c r="K3534" s="1" t="str">
        <f t="shared" si="221"/>
        <v>ㄉ</v>
      </c>
      <c r="L3534" s="1" t="str">
        <f t="shared" si="222"/>
        <v>ㄧ</v>
      </c>
      <c r="M3534" s="1" t="str">
        <f t="shared" si="223"/>
        <v>ㄠ</v>
      </c>
      <c r="P3534" s="1" t="s">
        <v>20</v>
      </c>
      <c r="R3534" s="1" t="s">
        <v>5370</v>
      </c>
      <c r="V3534" s="1" t="s">
        <v>5377</v>
      </c>
      <c r="AR3534" s="1" t="str">
        <f t="shared" si="224"/>
        <v>| [ㄉㄧㄠ](ㄉㄧㄠ.md) | [彫](彫.md) |  | diāo | [動]
1.刻鏤。《莊子．天道》：「覆載天地刻彫眾形而不為巧，此之謂天樂。」
2.枯萎、零落。通「凋」。《論語．子罕》：「子曰：『歲寒然後知松柏之後彫也。』」
3.疲勞、傷殘。《三國志．卷三．魏書．明帝紀》：「于時百姓彫弊，四海分崩。」
[形]
經雕飾的。如：「彫牆」、「彫弓」。 |</v>
      </c>
    </row>
    <row r="3535" spans="1:44" hidden="1">
      <c r="A3535" s="1" t="s">
        <v>5378</v>
      </c>
      <c r="C3535" s="1">
        <v>1</v>
      </c>
      <c r="D3535" s="1" t="str">
        <f>"02193"</f>
        <v>02193</v>
      </c>
      <c r="E3535" s="1" t="s">
        <v>142</v>
      </c>
      <c r="F3535" s="1">
        <v>12</v>
      </c>
      <c r="G3535" s="1">
        <v>8</v>
      </c>
      <c r="H3535" s="1">
        <v>0</v>
      </c>
      <c r="I3535" s="1" t="s">
        <v>5369</v>
      </c>
      <c r="K3535" s="1" t="str">
        <f t="shared" si="221"/>
        <v>ㄉ</v>
      </c>
      <c r="L3535" s="1" t="str">
        <f t="shared" si="222"/>
        <v>ㄧ</v>
      </c>
      <c r="M3535" s="1" t="str">
        <f t="shared" si="223"/>
        <v>ㄠ</v>
      </c>
      <c r="P3535" s="1" t="s">
        <v>20</v>
      </c>
      <c r="R3535" s="1" t="s">
        <v>5370</v>
      </c>
      <c r="V3535" s="1" t="s">
        <v>5379</v>
      </c>
      <c r="AR3535" s="1" t="str">
        <f t="shared" si="224"/>
        <v>| [ㄉㄧㄠ](ㄉㄧㄠ.md) | [琱](琱.md) |  | diāo | [動]
1.磨製玉器。《集韻．平聲．蕭韻》：「琱，說文：『治玉也。』」
2.刻鏤。通「雕」、「彫」。《漢書．卷九〇．酷吏傳．序》：「漢興，破觚而為圜，斲琱而為樸，號為罔漏吞舟之魚。」
3.雕畫彩飾。《漢書．卷七二．貢禹傳》：「牆塗而不琱，木摩而不刻。」
[形]
經雕飾的。《鏡花緣》第一〇回：「身穿白布箭衣，頭上束著白布漁婆巾，臂上跨著一張琱弓。」 |</v>
      </c>
    </row>
    <row r="3536" spans="1:44" hidden="1">
      <c r="A3536" s="1" t="s">
        <v>5380</v>
      </c>
      <c r="C3536" s="1">
        <v>1</v>
      </c>
      <c r="D3536" s="1" t="str">
        <f>"02194"</f>
        <v>02194</v>
      </c>
      <c r="E3536" s="1" t="s">
        <v>169</v>
      </c>
      <c r="F3536" s="1">
        <v>13</v>
      </c>
      <c r="G3536" s="1">
        <v>8</v>
      </c>
      <c r="H3536" s="1">
        <v>0</v>
      </c>
      <c r="I3536" s="1" t="s">
        <v>5369</v>
      </c>
      <c r="K3536" s="1" t="str">
        <f t="shared" si="221"/>
        <v>ㄉ</v>
      </c>
      <c r="L3536" s="1" t="str">
        <f t="shared" si="222"/>
        <v>ㄧ</v>
      </c>
      <c r="M3536" s="1" t="str">
        <f t="shared" si="223"/>
        <v>ㄠ</v>
      </c>
      <c r="P3536" s="1" t="s">
        <v>20</v>
      </c>
      <c r="R3536" s="1" t="s">
        <v>5370</v>
      </c>
      <c r="V3536" s="1" t="s">
        <v>5381</v>
      </c>
      <c r="AR3536" s="1" t="str">
        <f t="shared" si="224"/>
        <v>| [ㄉㄧㄠ](ㄉㄧㄠ.md) | [碉](碉.md) |  | diāo | [名]
用石料築成的建築物。《玉篇．石部》：「碉，石室。」如：「明碉暗堡」。宋．李新〈答李丞用其韻〉：「頑雲垂翼山碉暗，喬麥饒花雪嶺開。」《清史稿．卷三一八．阿桂傳》：「（阿桂）進逼僧格宗，突入毀其碉。」 |</v>
      </c>
    </row>
    <row r="3537" spans="1:44" hidden="1">
      <c r="A3537" s="1" t="s">
        <v>5382</v>
      </c>
      <c r="C3537" s="1">
        <v>1</v>
      </c>
      <c r="D3537" s="1" t="str">
        <f>"02195"</f>
        <v>02195</v>
      </c>
      <c r="E3537" s="1" t="s">
        <v>5383</v>
      </c>
      <c r="F3537" s="1">
        <v>16</v>
      </c>
      <c r="G3537" s="1">
        <v>8</v>
      </c>
      <c r="H3537" s="1">
        <v>0</v>
      </c>
      <c r="I3537" s="1" t="s">
        <v>5369</v>
      </c>
      <c r="K3537" s="1" t="str">
        <f t="shared" si="221"/>
        <v>ㄉ</v>
      </c>
      <c r="L3537" s="1" t="str">
        <f t="shared" si="222"/>
        <v>ㄧ</v>
      </c>
      <c r="M3537" s="1" t="str">
        <f t="shared" si="223"/>
        <v>ㄠ</v>
      </c>
      <c r="P3537" s="1" t="s">
        <v>20</v>
      </c>
      <c r="R3537" s="1" t="s">
        <v>5370</v>
      </c>
      <c r="V3537" s="1" t="s">
        <v>5384</v>
      </c>
      <c r="AR3537" s="1" t="str">
        <f t="shared" si="224"/>
        <v>| [ㄉㄧㄠ](ㄉㄧㄠ.md) | [雕](雕.md) |  | diāo | [名]
1.鷲的別名。同「鵰」。唐．王維〈觀獵〉詩：「迴看射雕處，千里暮雲平。」
2.指雕刻的技術或成品。如：「竹雕」、「木雕」、「玉雕」、「浮雕」。
3.姓。如漢代有雕延年。
[動]
刻鏤。如：「雕塑」、「雕刻」。《論語．公冶長》：「朽木不可雕也，糞土之牆不可杇也。」
[形]
1.經彩畫裝飾的。如：「雕欄玉砌」、「雕梁畫棟」。宋．蘇軾〈超然臺記〉：「去雕牆之美，而庇采椽之居。」
2.狡詐的。通「刁」。《管子．七法》：「一體之治者，去奇說，禁雕俗也。」 |</v>
      </c>
    </row>
    <row r="3538" spans="1:44" hidden="1">
      <c r="A3538" s="1" t="s">
        <v>5385</v>
      </c>
      <c r="C3538" s="1">
        <v>1</v>
      </c>
      <c r="D3538" s="1" t="str">
        <f>"02196"</f>
        <v>02196</v>
      </c>
      <c r="E3538" s="1" t="s">
        <v>272</v>
      </c>
      <c r="F3538" s="1">
        <v>19</v>
      </c>
      <c r="G3538" s="1">
        <v>8</v>
      </c>
      <c r="H3538" s="1">
        <v>0</v>
      </c>
      <c r="I3538" s="1" t="s">
        <v>5369</v>
      </c>
      <c r="K3538" s="1" t="str">
        <f t="shared" si="221"/>
        <v>ㄉ</v>
      </c>
      <c r="L3538" s="1" t="str">
        <f t="shared" si="222"/>
        <v>ㄧ</v>
      </c>
      <c r="M3538" s="1" t="str">
        <f t="shared" si="223"/>
        <v>ㄠ</v>
      </c>
      <c r="P3538" s="1" t="s">
        <v>20</v>
      </c>
      <c r="R3538" s="1" t="s">
        <v>5370</v>
      </c>
      <c r="V3538" s="1" t="s">
        <v>5386</v>
      </c>
      <c r="AR3538" s="1" t="str">
        <f t="shared" si="224"/>
        <v>| [ㄉㄧㄠ](ㄉㄧㄠ.md) | [鵰](鵰.md) |  | diāo | [名]
動物名。鳥綱鷹科鷹形目猛禽類。嘴呈鉤狀，羽毛褐色，腳被羽毛直達趾間。視力極強，以捕食小動物為生。也稱為「鷲」、「老鵰」。 |</v>
      </c>
    </row>
    <row r="3539" spans="1:44" hidden="1">
      <c r="A3539" s="1" t="s">
        <v>5387</v>
      </c>
      <c r="C3539" s="1">
        <v>1</v>
      </c>
      <c r="D3539" s="1" t="str">
        <f>"02197"</f>
        <v>02197</v>
      </c>
      <c r="E3539" s="1" t="s">
        <v>156</v>
      </c>
      <c r="F3539" s="1">
        <v>19</v>
      </c>
      <c r="G3539" s="1">
        <v>8</v>
      </c>
      <c r="H3539" s="1">
        <v>0</v>
      </c>
      <c r="I3539" s="1" t="s">
        <v>5369</v>
      </c>
      <c r="K3539" s="1" t="str">
        <f t="shared" si="221"/>
        <v>ㄉ</v>
      </c>
      <c r="L3539" s="1" t="str">
        <f t="shared" si="222"/>
        <v>ㄧ</v>
      </c>
      <c r="M3539" s="1" t="str">
        <f t="shared" si="223"/>
        <v>ㄠ</v>
      </c>
      <c r="P3539" s="1" t="s">
        <v>20</v>
      </c>
      <c r="R3539" s="1" t="s">
        <v>5370</v>
      </c>
      <c r="V3539" s="1" t="s">
        <v>5388</v>
      </c>
      <c r="AR3539" s="1" t="str">
        <f t="shared" si="224"/>
        <v>| [ㄉㄧㄠ](ㄉㄧㄠ.md) | [鯛](鯛.md) |  | diāo | [名]
動物名。脊椎動物亞門硬骨魚綱鱸目。體側扁，呈紅色或淡紅色，背部微凸，頭大口小，生活在熱帶至溫帶沿海。俗稱為「銅盆魚」、「嘉鱲魚」。 |</v>
      </c>
    </row>
    <row r="3540" spans="1:44" hidden="1">
      <c r="A3540" s="1" t="s">
        <v>5389</v>
      </c>
      <c r="C3540" s="1">
        <v>1</v>
      </c>
      <c r="D3540" s="1" t="str">
        <f>"02198"</f>
        <v>02198</v>
      </c>
      <c r="E3540" s="1" t="s">
        <v>679</v>
      </c>
      <c r="F3540" s="1">
        <v>11</v>
      </c>
      <c r="G3540" s="1">
        <v>5</v>
      </c>
      <c r="H3540" s="1">
        <v>0</v>
      </c>
      <c r="I3540" s="1" t="s">
        <v>5369</v>
      </c>
      <c r="K3540" s="1" t="str">
        <f t="shared" si="221"/>
        <v>ㄉ</v>
      </c>
      <c r="L3540" s="1" t="str">
        <f t="shared" si="222"/>
        <v>ㄧ</v>
      </c>
      <c r="M3540" s="1" t="str">
        <f t="shared" si="223"/>
        <v>ㄠ</v>
      </c>
      <c r="P3540" s="1" t="s">
        <v>20</v>
      </c>
      <c r="R3540" s="1" t="s">
        <v>5370</v>
      </c>
      <c r="V3540" s="1" t="s">
        <v>5390</v>
      </c>
      <c r="AR3540" s="1" t="str">
        <f t="shared" si="224"/>
        <v>| [ㄉㄧㄠ](ㄉㄧㄠ.md) | [蛁](蛁.md) |  | diāo | [名]
蟬。漢．揚雄《太玄經．卷五．飾卦》：「次八，蛁鳴喁喁，血出其口。」 |</v>
      </c>
    </row>
    <row r="3541" spans="1:44" hidden="1">
      <c r="A3541" s="1" t="s">
        <v>5391</v>
      </c>
      <c r="C3541" s="1">
        <v>1</v>
      </c>
      <c r="D3541" s="1" t="str">
        <f>"02199"</f>
        <v>02199</v>
      </c>
      <c r="E3541" s="1" t="s">
        <v>537</v>
      </c>
      <c r="F3541" s="1">
        <v>12</v>
      </c>
      <c r="G3541" s="1">
        <v>5</v>
      </c>
      <c r="H3541" s="1">
        <v>0</v>
      </c>
      <c r="I3541" s="1" t="s">
        <v>5369</v>
      </c>
      <c r="K3541" s="1" t="str">
        <f t="shared" si="221"/>
        <v>ㄉ</v>
      </c>
      <c r="L3541" s="1" t="str">
        <f t="shared" si="222"/>
        <v>ㄧ</v>
      </c>
      <c r="M3541" s="1" t="str">
        <f t="shared" si="223"/>
        <v>ㄠ</v>
      </c>
      <c r="P3541" s="1" t="s">
        <v>20</v>
      </c>
      <c r="R3541" s="1" t="s">
        <v>5370</v>
      </c>
      <c r="V3541" s="1" t="s">
        <v>5392</v>
      </c>
      <c r="AR3541" s="1" t="str">
        <f t="shared" si="224"/>
        <v>| [ㄉㄧㄠ](ㄉㄧㄠ.md) | [貂](貂.md) |  | diāo | [名]_x000D_
1.動物名。嘴尖，體細長，四肢短小。耳朵呈三角形，聽覺敏銳。尾粗，毛長寸許，色黃或紫黑，毛皮輕暖珍貴。_x000D_
2.姓。如漢代有貂蟬。 |</v>
      </c>
    </row>
    <row r="3542" spans="1:44" hidden="1">
      <c r="A3542" s="1" t="s">
        <v>5393</v>
      </c>
      <c r="C3542" s="1">
        <v>1</v>
      </c>
      <c r="D3542" s="1" t="str">
        <f>"02200"</f>
        <v>02200</v>
      </c>
      <c r="E3542" s="1" t="s">
        <v>871</v>
      </c>
      <c r="F3542" s="1">
        <v>9</v>
      </c>
      <c r="G3542" s="1">
        <v>6</v>
      </c>
      <c r="H3542" s="1">
        <v>0</v>
      </c>
      <c r="I3542" s="1" t="s">
        <v>5394</v>
      </c>
      <c r="K3542" s="1" t="str">
        <f t="shared" si="221"/>
        <v>ㄉ</v>
      </c>
      <c r="L3542" s="1" t="str">
        <f t="shared" si="222"/>
        <v>ㄧ</v>
      </c>
      <c r="M3542" s="1" t="str">
        <f t="shared" si="223"/>
        <v>ㄠ</v>
      </c>
      <c r="P3542" s="1" t="s">
        <v>20</v>
      </c>
      <c r="R3542" s="1" t="s">
        <v>5395</v>
      </c>
      <c r="V3542" s="1" t="s">
        <v>5396</v>
      </c>
      <c r="AR3542" s="1" t="str">
        <f t="shared" si="224"/>
        <v>| [ㄉㄧㄠˇ](ㄉㄧㄠˇ.md) | [屌](屌.md) |  | diǎo | [名]_x000D_
1.男性外生殖器的俗稱。《字彙．尸部》：「屌，男子陰名。」_x000D_
2.粗鄙低俗的話。《董西廂》卷三：「怎背誦華嚴經呵？禿屌！」《歧路燈》第六七回：「這卻可笑了，那棄產收值是我近來的常事，稀鬆平常，關甚麼屌哩！」《大清全傳》第八二回：「聽夥計一說，氣的他沖沖大怒，說：『好一箇屌進的你，喫了飯不給錢，你還這様無禮。』」 |</v>
      </c>
    </row>
    <row r="3543" spans="1:44" hidden="1">
      <c r="A3543" s="1" t="s">
        <v>5397</v>
      </c>
      <c r="C3543" s="1">
        <v>1</v>
      </c>
      <c r="D3543" s="1" t="str">
        <f>"02201"</f>
        <v>02201</v>
      </c>
      <c r="E3543" s="1" t="s">
        <v>272</v>
      </c>
      <c r="F3543" s="1">
        <v>11</v>
      </c>
      <c r="G3543" s="1">
        <v>0</v>
      </c>
      <c r="H3543" s="1">
        <v>2</v>
      </c>
      <c r="I3543" s="1" t="s">
        <v>5394</v>
      </c>
      <c r="K3543" s="1" t="str">
        <f t="shared" si="221"/>
        <v>ㄉ</v>
      </c>
      <c r="L3543" s="1" t="str">
        <f t="shared" si="222"/>
        <v>ㄧ</v>
      </c>
      <c r="M3543" s="1" t="str">
        <f t="shared" si="223"/>
        <v>ㄠ</v>
      </c>
      <c r="P3543" s="1" t="s">
        <v>20</v>
      </c>
      <c r="R3543" s="1" t="s">
        <v>5395</v>
      </c>
      <c r="V3543" s="1" t="s">
        <v>5398</v>
      </c>
      <c r="W3543" s="1" t="s">
        <v>5399</v>
      </c>
      <c r="AR3543" s="1" t="str">
        <f t="shared" si="224"/>
        <v>| [ㄉㄧㄠˇ](ㄉㄧㄠˇ.md) | [鳥](鳥.md) |  | diǎo | [名]
1.男性的生殖器。同「屌」。明．馮夢龍《古今譚概．卷一七．容悅部．洗鳥》：「大學士萬安老而陰痿，徽人倪進賢以藥劑湯洗之，得為庶吉士，授御史。時人目為洗鳥御史。」
2.罵人的粗穢語。《水滸傳》第三五回：「不換便罷，沒可得鳥嚇他！」 |</v>
      </c>
    </row>
    <row r="3544" spans="1:44" hidden="1">
      <c r="A3544" s="1" t="s">
        <v>5400</v>
      </c>
      <c r="C3544" s="1">
        <v>1</v>
      </c>
      <c r="D3544" s="1" t="str">
        <f>"02202"</f>
        <v>02202</v>
      </c>
      <c r="E3544" s="1" t="s">
        <v>103</v>
      </c>
      <c r="F3544" s="1">
        <v>4</v>
      </c>
      <c r="G3544" s="1">
        <v>1</v>
      </c>
      <c r="H3544" s="1">
        <v>0</v>
      </c>
      <c r="I3544" s="1" t="s">
        <v>5401</v>
      </c>
      <c r="K3544" s="1" t="str">
        <f t="shared" si="221"/>
        <v>ㄉ</v>
      </c>
      <c r="L3544" s="1" t="str">
        <f t="shared" si="222"/>
        <v>ㄧ</v>
      </c>
      <c r="M3544" s="1" t="str">
        <f t="shared" si="223"/>
        <v>ㄠ</v>
      </c>
      <c r="P3544" s="1" t="s">
        <v>20</v>
      </c>
      <c r="R3544" s="1" t="s">
        <v>5402</v>
      </c>
      <c r="V3544" s="1" t="s">
        <v>5403</v>
      </c>
      <c r="AR3544" s="1" t="str">
        <f t="shared" si="224"/>
        <v>| [ㄉㄧㄠˋ](ㄉㄧㄠˋ.md) | [弔](弔.md) |  | diào | [動]
1.祭奠死者。如：「弔唁」、「弔喪」。《莊子．至樂》：「莊子妻死，惠子弔之。」《史記．卷八四．屈原賈生傳》：「及渡湘水，為賦以弔屈原。」
2.慰問遭遇不幸的人或團體。《左傳．莊公十一年》：「秋，宋大水，公使弔焉。」唐．韓愈〈後廿九日復上書〉：「古之士，三月不仕則相弔。」
3.哀傷、憐憫。《詩經．檜風．匪風》：「顧瞻周道，中心弔兮。」漢．毛亨．傳：「弔，傷也。」《左傳．襄公十四年》：「有君不弔，有臣不敏。」晉．杜預．注：「弔，恤也。」
4.求取、提取。同「吊」。漢．王充《論衡．自紀》：「不鬻智以干祿，不辭爵以弔名。」《醒世恆言．卷二九．盧太學詩酒傲王侯》：「監中弔出盧柟主僕，徑去檢驗鈕成尸首。」
[名]
量詞。古代計算錢幣的單位。一千個制錢或值一千個制錢的銅幣數量為一弔；北平人稱一百文為「一弔」。《紅樓夢》第五七回：「前兒我悄悄的把綿衣服叫人當了幾弔錢盤纏。」 |</v>
      </c>
    </row>
    <row r="3545" spans="1:44" hidden="1">
      <c r="A3545" s="1" t="s">
        <v>5404</v>
      </c>
      <c r="C3545" s="1">
        <v>1</v>
      </c>
      <c r="D3545" s="1" t="str">
        <f>"02203"</f>
        <v>02203</v>
      </c>
      <c r="E3545" s="1" t="s">
        <v>28</v>
      </c>
      <c r="F3545" s="1">
        <v>6</v>
      </c>
      <c r="G3545" s="1">
        <v>3</v>
      </c>
      <c r="H3545" s="1">
        <v>0</v>
      </c>
      <c r="I3545" s="1" t="s">
        <v>5401</v>
      </c>
      <c r="K3545" s="1" t="str">
        <f t="shared" si="221"/>
        <v>ㄉ</v>
      </c>
      <c r="L3545" s="1" t="str">
        <f t="shared" si="222"/>
        <v>ㄧ</v>
      </c>
      <c r="M3545" s="1" t="str">
        <f t="shared" si="223"/>
        <v>ㄠ</v>
      </c>
      <c r="P3545" s="1" t="s">
        <v>20</v>
      </c>
      <c r="R3545" s="1" t="s">
        <v>5402</v>
      </c>
      <c r="V3545" s="1" t="s">
        <v>5405</v>
      </c>
      <c r="AR3545" s="1" t="str">
        <f t="shared" si="224"/>
        <v>| [ㄉㄧㄠˋ](ㄉㄧㄠˋ.md) | [吊](吊.md) |  | diào | [動]
1.懸掛。如：「懸吊」、「吊頸」、「上吊」。
2.收回、扣留。如：「他因違規駕駛而被吊銷執照。」
3.提取。如：「吊卷」。
4.到喪家慰問祭奠。同「弔」。如：「吊祭」、「哀吊」。
[形]
懸掛的。如：「吊鐘」、「吊燈」、「吊橋」。
[名]
量詞。古代計算錢幣的單位。同「弔」。 |</v>
      </c>
    </row>
    <row r="3546" spans="1:44" hidden="1">
      <c r="A3546" s="1" t="s">
        <v>5406</v>
      </c>
      <c r="C3546" s="1">
        <v>1</v>
      </c>
      <c r="D3546" s="1" t="str">
        <f>"02204"</f>
        <v>02204</v>
      </c>
      <c r="E3546" s="1" t="s">
        <v>55</v>
      </c>
      <c r="F3546" s="1">
        <v>14</v>
      </c>
      <c r="G3546" s="1">
        <v>6</v>
      </c>
      <c r="H3546" s="1">
        <v>0</v>
      </c>
      <c r="I3546" s="1" t="s">
        <v>5401</v>
      </c>
      <c r="K3546" s="1" t="str">
        <f t="shared" si="221"/>
        <v>ㄉ</v>
      </c>
      <c r="L3546" s="1" t="str">
        <f t="shared" si="222"/>
        <v>ㄧ</v>
      </c>
      <c r="M3546" s="1" t="str">
        <f t="shared" si="223"/>
        <v>ㄠ</v>
      </c>
      <c r="P3546" s="1" t="s">
        <v>20</v>
      </c>
      <c r="R3546" s="1" t="s">
        <v>5402</v>
      </c>
      <c r="V3546" s="1" t="s">
        <v>5407</v>
      </c>
      <c r="AR3546" s="1" t="str">
        <f t="shared" si="224"/>
        <v>| [ㄉㄧㄠˋ](ㄉㄧㄠˋ.md) | [銱](銱.md) |  | diào | 參見「銱子」、「釕銱兒」等條。 |</v>
      </c>
    </row>
    <row r="3547" spans="1:44" hidden="1">
      <c r="A3547" s="1" t="s">
        <v>5408</v>
      </c>
      <c r="C3547" s="1">
        <v>1</v>
      </c>
      <c r="D3547" s="1" t="str">
        <f>"02205"</f>
        <v>02205</v>
      </c>
      <c r="E3547" s="1" t="s">
        <v>24</v>
      </c>
      <c r="F3547" s="1">
        <v>11</v>
      </c>
      <c r="G3547" s="1">
        <v>8</v>
      </c>
      <c r="H3547" s="1">
        <v>0</v>
      </c>
      <c r="I3547" s="1" t="s">
        <v>5401</v>
      </c>
      <c r="K3547" s="1" t="str">
        <f t="shared" si="221"/>
        <v>ㄉ</v>
      </c>
      <c r="L3547" s="1" t="str">
        <f t="shared" si="222"/>
        <v>ㄧ</v>
      </c>
      <c r="M3547" s="1" t="str">
        <f t="shared" si="223"/>
        <v>ㄠ</v>
      </c>
      <c r="P3547" s="1" t="s">
        <v>20</v>
      </c>
      <c r="R3547" s="1" t="s">
        <v>5402</v>
      </c>
      <c r="V3547" s="1" t="s">
        <v>5409</v>
      </c>
      <c r="AR3547" s="1" t="str">
        <f t="shared" si="224"/>
        <v>| [ㄉㄧㄠˋ](ㄉㄧㄠˋ.md) | [掉](掉.md) |  | diào | [動]
1.落下。如：「飛機失事，聽說掉在這附近海域。」《紅樓夢》第八二回：「嘆了一回氣，掉了幾點淚。」
2.遺失、遺漏。如：「掉了錢包」、「這裡掉了幾個字，記得補上去。」
3.減退、剝落。如：「掉色」、「掉漆」。
4.擺動、搖動。如：「尾大不掉」。宋．真山民〈春行〉：「東風若欲招人醉，頻掉橋西賣酒旗。」
5.回轉、轉動。如：「將車頭掉過來。」宋．陸游〈送王季嘉赴湖南漕司主管官〉詩：「王子掉頭去，長沙萬里餘。」
6.對換、替換。如：「掉換」、「掉包」。
[助]
置動詞之後，表示動作完成。如：「燒掉」、「丟掉」、「除掉」、「忘掉」。 |</v>
      </c>
    </row>
    <row r="3548" spans="1:44" hidden="1">
      <c r="A3548" s="1" t="s">
        <v>5410</v>
      </c>
      <c r="C3548" s="1">
        <v>1</v>
      </c>
      <c r="D3548" s="1" t="str">
        <f>"02206"</f>
        <v>02206</v>
      </c>
      <c r="E3548" s="1" t="s">
        <v>55</v>
      </c>
      <c r="F3548" s="1">
        <v>11</v>
      </c>
      <c r="G3548" s="1">
        <v>3</v>
      </c>
      <c r="H3548" s="1">
        <v>0</v>
      </c>
      <c r="I3548" s="1" t="s">
        <v>5401</v>
      </c>
      <c r="K3548" s="1" t="str">
        <f t="shared" si="221"/>
        <v>ㄉ</v>
      </c>
      <c r="L3548" s="1" t="str">
        <f t="shared" si="222"/>
        <v>ㄧ</v>
      </c>
      <c r="M3548" s="1" t="str">
        <f t="shared" si="223"/>
        <v>ㄠ</v>
      </c>
      <c r="P3548" s="1" t="s">
        <v>20</v>
      </c>
      <c r="R3548" s="1" t="s">
        <v>5402</v>
      </c>
      <c r="V3548" s="1" t="s">
        <v>5411</v>
      </c>
      <c r="AR3548" s="1" t="str">
        <f t="shared" si="224"/>
        <v>| [ㄉㄧㄠˋ](ㄉㄧㄠˋ.md) | [釣](釣.md) |  | diào | [動]
1.用餌引誘魚類或其他水生動物上鉤。如：「釣魚」、「釣蝦」。
2.騙取、誘取。如：「沽名釣譽」。《淮南子．主術》：「虞君好寶，而晉獻以璧馬釣之。」
[名]
1.釣鉤的簡稱。如：「等魚兒上釣。」
2.姓。如宋代有釣宏。 |</v>
      </c>
    </row>
    <row r="3549" spans="1:44" hidden="1">
      <c r="A3549" s="1" t="s">
        <v>5412</v>
      </c>
      <c r="C3549" s="1">
        <v>1</v>
      </c>
      <c r="D3549" s="1" t="str">
        <f>"02207"</f>
        <v>02207</v>
      </c>
      <c r="E3549" s="1" t="s">
        <v>331</v>
      </c>
      <c r="F3549" s="1">
        <v>13</v>
      </c>
      <c r="G3549" s="1">
        <v>6</v>
      </c>
      <c r="H3549" s="1">
        <v>2</v>
      </c>
      <c r="I3549" s="1" t="s">
        <v>5401</v>
      </c>
      <c r="K3549" s="1" t="str">
        <f t="shared" si="221"/>
        <v>ㄉ</v>
      </c>
      <c r="L3549" s="1" t="str">
        <f t="shared" si="222"/>
        <v>ㄧ</v>
      </c>
      <c r="M3549" s="1" t="str">
        <f t="shared" si="223"/>
        <v>ㄠ</v>
      </c>
      <c r="P3549" s="1" t="s">
        <v>20</v>
      </c>
      <c r="R3549" s="1" t="s">
        <v>5402</v>
      </c>
      <c r="V3549" s="1" t="s">
        <v>5413</v>
      </c>
      <c r="W3549" s="1" t="s">
        <v>5414</v>
      </c>
      <c r="AR3549" s="1" t="str">
        <f t="shared" si="224"/>
        <v>| [ㄉㄧㄠˋ](ㄉㄧㄠˋ.md) | [誂](誂.md) |  | diào | [副]
突然。《淮南子．兵略》：「況以三軍之眾，赴水火而不還踵乎，雖誂合刃於天下，誰敢在於上者。」 |</v>
      </c>
    </row>
    <row r="3550" spans="1:44" hidden="1">
      <c r="A3550" s="1" t="s">
        <v>5415</v>
      </c>
      <c r="C3550" s="1">
        <v>1</v>
      </c>
      <c r="D3550" s="1" t="str">
        <f>"02208"</f>
        <v>02208</v>
      </c>
      <c r="E3550" s="1" t="s">
        <v>55</v>
      </c>
      <c r="F3550" s="1">
        <v>14</v>
      </c>
      <c r="G3550" s="1">
        <v>6</v>
      </c>
      <c r="H3550" s="1">
        <v>2</v>
      </c>
      <c r="I3550" s="1" t="s">
        <v>5401</v>
      </c>
      <c r="K3550" s="1" t="str">
        <f t="shared" si="221"/>
        <v>ㄉ</v>
      </c>
      <c r="L3550" s="1" t="str">
        <f t="shared" si="222"/>
        <v>ㄧ</v>
      </c>
      <c r="M3550" s="1" t="str">
        <f t="shared" si="223"/>
        <v>ㄠ</v>
      </c>
      <c r="P3550" s="1" t="s">
        <v>20</v>
      </c>
      <c r="R3550" s="1" t="s">
        <v>5402</v>
      </c>
      <c r="V3550" s="1" t="s">
        <v>5416</v>
      </c>
      <c r="W3550" s="1" t="s">
        <v>5417</v>
      </c>
      <c r="AR3550" s="1" t="str">
        <f t="shared" si="224"/>
        <v>| [ㄉㄧㄠˋ](ㄉㄧㄠˋ.md) | [銚](銚.md) |  | diào | [名]
一種小型炊具。有柄及出水口，用來燒開水或熬煮東西。《說文解字．金部》：「銚，溫器也。」清．段玉裁．注：「今煮物瓦器，謂之銚子。」明．張自烈《正字通．金部》：「銚，今釜之小而有柄有流者亦曰銚。」如：「瓦銚」、「茶銚」、「酒銚」、「藥銚」。也稱為「銚子」。 |</v>
      </c>
    </row>
    <row r="3551" spans="1:44" hidden="1">
      <c r="A3551" s="1" t="s">
        <v>5418</v>
      </c>
      <c r="C3551" s="1">
        <v>1</v>
      </c>
      <c r="D3551" s="1" t="str">
        <f>"02209"</f>
        <v>02209</v>
      </c>
      <c r="E3551" s="1" t="s">
        <v>331</v>
      </c>
      <c r="F3551" s="1">
        <v>15</v>
      </c>
      <c r="G3551" s="1">
        <v>8</v>
      </c>
      <c r="H3551" s="1">
        <v>2</v>
      </c>
      <c r="I3551" s="1" t="s">
        <v>5401</v>
      </c>
      <c r="K3551" s="1" t="str">
        <f t="shared" si="221"/>
        <v>ㄉ</v>
      </c>
      <c r="L3551" s="1" t="str">
        <f t="shared" si="222"/>
        <v>ㄧ</v>
      </c>
      <c r="M3551" s="1" t="str">
        <f t="shared" si="223"/>
        <v>ㄠ</v>
      </c>
      <c r="P3551" s="1" t="s">
        <v>20</v>
      </c>
      <c r="R3551" s="1" t="s">
        <v>5402</v>
      </c>
      <c r="V3551" s="1" t="s">
        <v>5419</v>
      </c>
      <c r="W3551" s="1" t="s">
        <v>5420</v>
      </c>
      <c r="AR3551" s="1" t="str">
        <f t="shared" si="224"/>
        <v>| [ㄉㄧㄠˋ](ㄉㄧㄠˋ.md) | [調](調.md) |  | diào | [動]
1.職務更動。如：「調職」、「調差」、「轉調」、「外調」。《史記．卷一〇一．袁盎鼂錯傳》：「然袁盎亦以數直諫，不得久居中，調為隴西都尉。」
2.派遣、安排。如：「調度」、「調兵遣將」。《漢書．卷八．宣帝紀》：「秋，大發興調關東輕車銳卒，選郡國吏三百石伉健習騎射者，皆從軍。」
3.互換。如：「對調」、「調換」、「調位置」。
4.提取。如：「借調」、「抽調」、「調卷宗」、「調病歷」。
[名]
1.樂律、韻律。《淮南子．氾論》：「事猶琴瑟，每絃改調。」《新唐書．卷一八三．鄭綮傳》：「綮本善詩，其語多俳諧，故使落調。」
2.調式的類別和主音高度。如：「Ｃ大調」、「Ｄ大調」。
3.語言中字音的高低升降。如：「陽平調」、「去聲調」、「入聲調」。
4.說話、讀書或朗誦的腔調。如：「南腔北調」、「鄉音鄉調」。
5.言詞、意見。如：「論調」、「老調」、「陳腔濫調」。
6.人的風格才情或思想情感。如：「格調」、「情調」。《晉書．卷五一．王接傳》：「王接才調秀出，見賞知音。」唐．元稹〈酬翰林白學士代書一百韻〉：「脫俗殊常調，潛工大有為。」
7.戶稅。《新唐書．卷五一．食貨志一》：「唐之始時，授人以口分、世業田，而取之以租、庸、調之法。……丁隨鄉所出，歲輸絹二匹，綾、絁二丈，布加五之一，綿三兩，麻三斤，非蠶鄉則輸銀十四兩，謂之調。」 |</v>
      </c>
    </row>
    <row r="3552" spans="1:44" hidden="1">
      <c r="A3552" s="1" t="s">
        <v>5421</v>
      </c>
      <c r="C3552" s="1">
        <v>1</v>
      </c>
      <c r="D3552" s="1" t="str">
        <f>"02210"</f>
        <v>02210</v>
      </c>
      <c r="E3552" s="1" t="s">
        <v>37</v>
      </c>
      <c r="F3552" s="1">
        <v>15</v>
      </c>
      <c r="G3552" s="1">
        <v>11</v>
      </c>
      <c r="H3552" s="1">
        <v>0</v>
      </c>
      <c r="I3552" s="1" t="s">
        <v>5401</v>
      </c>
      <c r="K3552" s="1" t="str">
        <f t="shared" si="221"/>
        <v>ㄉ</v>
      </c>
      <c r="L3552" s="1" t="str">
        <f t="shared" si="222"/>
        <v>ㄧ</v>
      </c>
      <c r="M3552" s="1" t="str">
        <f t="shared" si="223"/>
        <v>ㄠ</v>
      </c>
      <c r="P3552" s="1" t="s">
        <v>20</v>
      </c>
      <c r="R3552" s="1" t="s">
        <v>5402</v>
      </c>
      <c r="V3552" s="1" t="s">
        <v>5422</v>
      </c>
      <c r="AR3552" s="1" t="str">
        <f t="shared" si="224"/>
        <v>| [ㄉㄧㄠˋ](ㄉㄧㄠˋ.md) | [蓧](蓧.md) |  | diào | [名]
古時用來除草的農具。以竹或草本的枝條編成。《論語．微子》：「子路從而後，遇丈人，以杖荷蓧。」 |</v>
      </c>
    </row>
    <row r="3553" spans="1:44" hidden="1">
      <c r="A3553" s="1" t="s">
        <v>5423</v>
      </c>
      <c r="C3553" s="1">
        <v>1</v>
      </c>
      <c r="D3553" s="1" t="str">
        <f>"02211"</f>
        <v>02211</v>
      </c>
      <c r="E3553" s="1" t="s">
        <v>1274</v>
      </c>
      <c r="F3553" s="1">
        <v>16</v>
      </c>
      <c r="G3553" s="1">
        <v>11</v>
      </c>
      <c r="H3553" s="1">
        <v>0</v>
      </c>
      <c r="I3553" s="1" t="s">
        <v>5401</v>
      </c>
      <c r="K3553" s="1" t="str">
        <f t="shared" si="221"/>
        <v>ㄉ</v>
      </c>
      <c r="L3553" s="1" t="str">
        <f t="shared" si="222"/>
        <v>ㄧ</v>
      </c>
      <c r="M3553" s="1" t="str">
        <f t="shared" si="223"/>
        <v>ㄠ</v>
      </c>
      <c r="P3553" s="1" t="s">
        <v>20</v>
      </c>
      <c r="R3553" s="1" t="s">
        <v>5402</v>
      </c>
      <c r="V3553" s="1" t="s">
        <v>5424</v>
      </c>
      <c r="AR3553" s="1" t="str">
        <f t="shared" si="224"/>
        <v>| [ㄉㄧㄠˋ](ㄉㄧㄠˋ.md) | [窵](窵.md) |  | diào | 參見「窵遠」條。 |</v>
      </c>
    </row>
    <row r="3554" spans="1:44" hidden="1">
      <c r="A3554" s="1" t="s">
        <v>5199</v>
      </c>
      <c r="C3554" s="1">
        <v>1</v>
      </c>
      <c r="D3554" s="1" t="str">
        <f>"02212"</f>
        <v>02212</v>
      </c>
      <c r="E3554" s="1" t="s">
        <v>37</v>
      </c>
      <c r="F3554" s="1">
        <v>18</v>
      </c>
      <c r="G3554" s="1">
        <v>14</v>
      </c>
      <c r="H3554" s="1">
        <v>1</v>
      </c>
      <c r="I3554" s="1" t="s">
        <v>5401</v>
      </c>
      <c r="K3554" s="1" t="str">
        <f t="shared" si="221"/>
        <v>ㄉ</v>
      </c>
      <c r="L3554" s="1" t="str">
        <f t="shared" si="222"/>
        <v>ㄧ</v>
      </c>
      <c r="M3554" s="1" t="str">
        <f t="shared" si="223"/>
        <v>ㄠ</v>
      </c>
      <c r="P3554" s="1" t="s">
        <v>20</v>
      </c>
      <c r="R3554" s="1" t="s">
        <v>5402</v>
      </c>
      <c r="V3554" s="1" t="s">
        <v>5425</v>
      </c>
      <c r="W3554" s="1" t="s">
        <v>5426</v>
      </c>
      <c r="AR3554" s="1" t="str">
        <f t="shared" si="224"/>
        <v>| [ㄉㄧㄠˋ](ㄉㄧㄠˋ.md) | [藋](藋.md) |  | diào | 參見「蔏藋」條。 |</v>
      </c>
    </row>
    <row r="3555" spans="1:44" hidden="1">
      <c r="A3555" s="1" t="s">
        <v>5427</v>
      </c>
      <c r="C3555" s="1">
        <v>1</v>
      </c>
      <c r="D3555" s="1" t="str">
        <f>"02213"</f>
        <v>02213</v>
      </c>
      <c r="E3555" s="1" t="s">
        <v>3480</v>
      </c>
      <c r="F3555" s="1">
        <v>4</v>
      </c>
      <c r="G3555" s="1">
        <v>3</v>
      </c>
      <c r="H3555" s="1">
        <v>0</v>
      </c>
      <c r="I3555" s="1" t="s">
        <v>5428</v>
      </c>
      <c r="K3555" s="1" t="str">
        <f t="shared" si="221"/>
        <v>ㄉ</v>
      </c>
      <c r="L3555" s="1" t="str">
        <f t="shared" si="222"/>
        <v>ㄧ</v>
      </c>
      <c r="M3555" s="1" t="str">
        <f t="shared" si="223"/>
        <v>ㄡ</v>
      </c>
      <c r="P3555" s="1" t="s">
        <v>20</v>
      </c>
      <c r="R3555" s="1" t="s">
        <v>5429</v>
      </c>
      <c r="V3555" s="1" t="s">
        <v>5430</v>
      </c>
      <c r="AR3555" s="1" t="str">
        <f t="shared" si="224"/>
        <v>| [ㄉㄧㄡ](ㄉㄧㄡ.md) | [乣](乣.md) |  | diū | 參見「乣軍」條。 |</v>
      </c>
    </row>
    <row r="3556" spans="1:44" hidden="1">
      <c r="A3556" s="1" t="s">
        <v>5431</v>
      </c>
      <c r="C3556" s="1">
        <v>1</v>
      </c>
      <c r="D3556" s="1" t="str">
        <f>"02214"</f>
        <v>02214</v>
      </c>
      <c r="E3556" s="1" t="s">
        <v>789</v>
      </c>
      <c r="F3556" s="1">
        <v>6</v>
      </c>
      <c r="G3556" s="1">
        <v>5</v>
      </c>
      <c r="H3556" s="1">
        <v>0</v>
      </c>
      <c r="I3556" s="1" t="s">
        <v>5428</v>
      </c>
      <c r="K3556" s="1" t="str">
        <f t="shared" si="221"/>
        <v>ㄉ</v>
      </c>
      <c r="L3556" s="1" t="str">
        <f t="shared" si="222"/>
        <v>ㄧ</v>
      </c>
      <c r="M3556" s="1" t="str">
        <f t="shared" si="223"/>
        <v>ㄡ</v>
      </c>
      <c r="P3556" s="1" t="s">
        <v>20</v>
      </c>
      <c r="R3556" s="1" t="s">
        <v>5429</v>
      </c>
      <c r="V3556" s="1" t="s">
        <v>5432</v>
      </c>
      <c r="AR3556" s="1" t="str">
        <f t="shared" si="224"/>
        <v>| [ㄉㄧㄡ](ㄉㄧㄡ.md) | [丟](丟.md) |  | diū | [動]
1.遺失、失去。如：「丟臉」、「丟飯碗」、「丟三落四」、「丟了錢包」。
2.扔、拋棄。如：「不要隨地亂丟紙屑、果皮！」元．無名氏《抱妝盒》第三折：「金水橋撲通的丟下個半生半死小孩兒。」《水滸傳》第二九回：「聽得撲同的一聲響，可憐這婦人正被直丟在大酒缸。」
3.遞、投送。如：「丟眼色」、「丟眉弄眼」。
4.擱置。《兒女英雄傳》第一七回：「褚一官便丟下這裡的事，忙著穿衣服、戴帽子。」 |</v>
      </c>
    </row>
    <row r="3557" spans="1:44" hidden="1">
      <c r="A3557" s="1" t="s">
        <v>5433</v>
      </c>
      <c r="C3557" s="1">
        <v>1</v>
      </c>
      <c r="D3557" s="1" t="str">
        <f>"02215"</f>
        <v>02215</v>
      </c>
      <c r="E3557" s="1" t="s">
        <v>55</v>
      </c>
      <c r="F3557" s="1">
        <v>14</v>
      </c>
      <c r="G3557" s="1">
        <v>6</v>
      </c>
      <c r="H3557" s="1">
        <v>0</v>
      </c>
      <c r="I3557" s="1" t="s">
        <v>5428</v>
      </c>
      <c r="K3557" s="1" t="str">
        <f t="shared" si="221"/>
        <v>ㄉ</v>
      </c>
      <c r="L3557" s="1" t="str">
        <f t="shared" si="222"/>
        <v>ㄧ</v>
      </c>
      <c r="M3557" s="1" t="str">
        <f t="shared" si="223"/>
        <v>ㄡ</v>
      </c>
      <c r="P3557" s="1" t="s">
        <v>20</v>
      </c>
      <c r="R3557" s="1" t="s">
        <v>5429</v>
      </c>
      <c r="V3557" s="1" t="s">
        <v>5434</v>
      </c>
      <c r="AR3557" s="1" t="str">
        <f t="shared" si="224"/>
        <v>| [ㄉㄧㄡ](ㄉㄧㄡ.md) | [銩](銩.md) |  | diū | [名]
（thulium，Tm）化學元素。原子序69。稀土金屬元素之一。質軟，銀白色。可溶於酸中，與水作用緩慢。其鹽類呈綠色。主要存於稀土礦石中，一般以離子交換法取得。 |</v>
      </c>
    </row>
    <row r="3558" spans="1:44" hidden="1">
      <c r="A3558" s="1" t="s">
        <v>1160</v>
      </c>
      <c r="C3558" s="1">
        <v>1</v>
      </c>
      <c r="D3558" s="1" t="str">
        <f>"02216"</f>
        <v>02216</v>
      </c>
      <c r="E3558" s="1" t="s">
        <v>1161</v>
      </c>
      <c r="F3558" s="1">
        <v>12</v>
      </c>
      <c r="G3558" s="1">
        <v>3</v>
      </c>
      <c r="H3558" s="1">
        <v>2</v>
      </c>
      <c r="I3558" s="1" t="s">
        <v>5428</v>
      </c>
      <c r="K3558" s="1" t="str">
        <f t="shared" si="221"/>
        <v>ㄉ</v>
      </c>
      <c r="L3558" s="1" t="str">
        <f t="shared" si="222"/>
        <v>ㄧ</v>
      </c>
      <c r="M3558" s="1" t="str">
        <f t="shared" si="223"/>
        <v>ㄡ</v>
      </c>
      <c r="P3558" s="1" t="s">
        <v>20</v>
      </c>
      <c r="R3558" s="1" t="s">
        <v>5429</v>
      </c>
      <c r="V3558" s="1" t="s">
        <v>5435</v>
      </c>
      <c r="W3558" s="1" t="s">
        <v>5436</v>
      </c>
      <c r="AR3558" s="1" t="str">
        <f t="shared" si="224"/>
        <v>| [ㄉㄧㄡ](ㄉㄧㄡ.md) | [颩](颩.md) |  | diū | [動]
1.拋擲。元．高安道〈哨遍．暖日和風套．一煞〉：「凹了也難收救，四邊廂土糝，八下裡磚颩。」
2.斜視。元．高安道〈哨遍．暖日和風套．七煞〉：「喝破子把腔兒莽誕，打訛的將納老胡颩。」
[形]
扭扭捏捏的樣子。元．高安道〈哨遍．暖日和風套．三煞〉：「妝旦不抹颩，蠢身軀似水牛。」元．無名氏〈耍孩兒．昨朝有客套．十二煞〉：「盼得他來到，早涎涎澄澄，抹抹颩颩。」 |</v>
      </c>
    </row>
    <row r="3559" spans="1:44" hidden="1">
      <c r="A3559" s="1" t="s">
        <v>5437</v>
      </c>
      <c r="C3559" s="1">
        <v>1</v>
      </c>
      <c r="D3559" s="1" t="str">
        <f>"02217"</f>
        <v>02217</v>
      </c>
      <c r="E3559" s="1" t="s">
        <v>24</v>
      </c>
      <c r="F3559" s="1">
        <v>8</v>
      </c>
      <c r="G3559" s="1">
        <v>5</v>
      </c>
      <c r="H3559" s="1">
        <v>3</v>
      </c>
      <c r="I3559" s="1" t="s">
        <v>5438</v>
      </c>
      <c r="K3559" s="1" t="str">
        <f t="shared" si="221"/>
        <v>ㄉ</v>
      </c>
      <c r="L3559" s="1" t="str">
        <f t="shared" si="222"/>
        <v>ㄧ</v>
      </c>
      <c r="M3559" s="1" t="str">
        <f t="shared" si="223"/>
        <v>ㄢ</v>
      </c>
      <c r="P3559" s="1" t="s">
        <v>20</v>
      </c>
      <c r="R3559" s="1" t="s">
        <v>5439</v>
      </c>
      <c r="V3559" s="1" t="s">
        <v>5440</v>
      </c>
      <c r="W3559" s="1" t="s">
        <v>5441</v>
      </c>
      <c r="AR3559" s="1" t="str">
        <f t="shared" si="224"/>
        <v>| [ㄉㄧㄢ](ㄉㄧㄢ.md) | [拈](拈.md) |  | diān | [動]
將物品放置手中，估量輕重。通「掂」。如：「他拈了拈小石塊，隨手打了個水漂兒。」《孤本元明雜劇．大劫牢．第一折》：「也不索晝夜思量心內想，也不索拈斤播兩顯耀我這英雄猛將。」 |</v>
      </c>
    </row>
    <row r="3560" spans="1:44" hidden="1">
      <c r="A3560" s="1" t="s">
        <v>5442</v>
      </c>
      <c r="C3560" s="1">
        <v>1</v>
      </c>
      <c r="D3560" s="1" t="str">
        <f>"02218"</f>
        <v>02218</v>
      </c>
      <c r="E3560" s="1" t="s">
        <v>426</v>
      </c>
      <c r="F3560" s="1">
        <v>9</v>
      </c>
      <c r="G3560" s="1">
        <v>5</v>
      </c>
      <c r="H3560" s="1">
        <v>0</v>
      </c>
      <c r="I3560" s="1" t="s">
        <v>5438</v>
      </c>
      <c r="K3560" s="1" t="str">
        <f t="shared" ref="K3560:K3623" si="225">LEFT(I3560, 1)</f>
        <v>ㄉ</v>
      </c>
      <c r="L3560" s="1" t="str">
        <f t="shared" ref="L3560:L3623" si="226">MID(I3560, 2, 1)</f>
        <v>ㄧ</v>
      </c>
      <c r="M3560" s="1" t="str">
        <f t="shared" si="223"/>
        <v>ㄢ</v>
      </c>
      <c r="P3560" s="1" t="s">
        <v>20</v>
      </c>
      <c r="R3560" s="1" t="s">
        <v>5439</v>
      </c>
      <c r="V3560" s="1" t="s">
        <v>5443</v>
      </c>
      <c r="AR3560" s="1" t="str">
        <f t="shared" si="224"/>
        <v>| [ㄉㄧㄢ](ㄉㄧㄢ.md) | [敁](敁.md) |  | diān | 參見「敁敪」條。 |</v>
      </c>
    </row>
    <row r="3561" spans="1:44" hidden="1">
      <c r="A3561" s="1" t="s">
        <v>5444</v>
      </c>
      <c r="C3561" s="1">
        <v>1</v>
      </c>
      <c r="D3561" s="1" t="str">
        <f>"02219"</f>
        <v>02219</v>
      </c>
      <c r="E3561" s="1" t="s">
        <v>24</v>
      </c>
      <c r="F3561" s="1">
        <v>11</v>
      </c>
      <c r="G3561" s="1">
        <v>8</v>
      </c>
      <c r="H3561" s="1">
        <v>0</v>
      </c>
      <c r="I3561" s="1" t="s">
        <v>5438</v>
      </c>
      <c r="K3561" s="1" t="str">
        <f t="shared" si="225"/>
        <v>ㄉ</v>
      </c>
      <c r="L3561" s="1" t="str">
        <f t="shared" si="226"/>
        <v>ㄧ</v>
      </c>
      <c r="M3561" s="1" t="str">
        <f t="shared" si="223"/>
        <v>ㄢ</v>
      </c>
      <c r="P3561" s="1" t="s">
        <v>20</v>
      </c>
      <c r="R3561" s="1" t="s">
        <v>5439</v>
      </c>
      <c r="V3561" s="1" t="s">
        <v>5445</v>
      </c>
      <c r="AR3561" s="1" t="str">
        <f t="shared" si="224"/>
        <v>| [ㄉㄧㄢ](ㄉㄧㄢ.md) | [掂](掂.md) |  | diān | [動]
1.用手估量物體的輕重。元．喬吉〈水仙子．為友人作〉曲：「稅錢比茶船上欠，斤兩去等秤上掂。」《紅樓夢》第五一回：「麝月聽了，便放下戥子，揀了一塊，掂了一掂。」
2.折斷。明．賈仲名《對玉梳．楔子》：「又有這玉梳兒一枚，是妾平日所愛之珍，掂做兩半，君收一半，妾留一半。」 |</v>
      </c>
    </row>
    <row r="3562" spans="1:44" hidden="1">
      <c r="A3562" s="1" t="s">
        <v>5446</v>
      </c>
      <c r="C3562" s="1">
        <v>1</v>
      </c>
      <c r="D3562" s="1" t="str">
        <f>"02220"</f>
        <v>02220</v>
      </c>
      <c r="E3562" s="1" t="s">
        <v>114</v>
      </c>
      <c r="F3562" s="1">
        <v>12</v>
      </c>
      <c r="G3562" s="1">
        <v>10</v>
      </c>
      <c r="H3562" s="1">
        <v>0</v>
      </c>
      <c r="I3562" s="1" t="s">
        <v>5438</v>
      </c>
      <c r="K3562" s="1" t="str">
        <f t="shared" si="225"/>
        <v>ㄉ</v>
      </c>
      <c r="L3562" s="1" t="str">
        <f t="shared" si="226"/>
        <v>ㄧ</v>
      </c>
      <c r="M3562" s="1" t="str">
        <f t="shared" si="223"/>
        <v>ㄢ</v>
      </c>
      <c r="P3562" s="1" t="s">
        <v>20</v>
      </c>
      <c r="R3562" s="1" t="s">
        <v>5439</v>
      </c>
      <c r="V3562" s="1" t="s">
        <v>5447</v>
      </c>
      <c r="AR3562" s="1" t="str">
        <f t="shared" si="224"/>
        <v>| [ㄉㄧㄢ](ㄉㄧㄢ.md) | [傎](傎.md) |  | diān | [動]
顛倒、錯亂。《穀梁傳．僖公二十八年》：「晉文公之行事為已傎矣！」 |</v>
      </c>
    </row>
    <row r="3563" spans="1:44" hidden="1">
      <c r="A3563" s="1" t="s">
        <v>5448</v>
      </c>
      <c r="C3563" s="1">
        <v>1</v>
      </c>
      <c r="D3563" s="1" t="str">
        <f>"02221"</f>
        <v>02221</v>
      </c>
      <c r="E3563" s="1" t="s">
        <v>129</v>
      </c>
      <c r="F3563" s="1">
        <v>13</v>
      </c>
      <c r="G3563" s="1">
        <v>10</v>
      </c>
      <c r="H3563" s="1">
        <v>0</v>
      </c>
      <c r="I3563" s="1" t="s">
        <v>5438</v>
      </c>
      <c r="K3563" s="1" t="str">
        <f t="shared" si="225"/>
        <v>ㄉ</v>
      </c>
      <c r="L3563" s="1" t="str">
        <f t="shared" si="226"/>
        <v>ㄧ</v>
      </c>
      <c r="M3563" s="1" t="str">
        <f t="shared" si="223"/>
        <v>ㄢ</v>
      </c>
      <c r="P3563" s="1" t="s">
        <v>20</v>
      </c>
      <c r="R3563" s="1" t="s">
        <v>5439</v>
      </c>
      <c r="V3563" s="1" t="s">
        <v>5449</v>
      </c>
      <c r="AR3563" s="1" t="str">
        <f t="shared" si="224"/>
        <v>| [ㄉㄧㄢ](ㄉㄧㄢ.md) | [滇](滇.md) |  | diān | [名]
1.大陸地區雲南省的簡稱。秦漢時，雲南省為滇國地，故簡稱為「滇」。
2.湖泊名。參見「滇池」條。
3.國名。戰國時楚威王大將莊蹻所建，故址在今大陸地區雲南省東部滇池附近。
4.姓。如漢代有滇零、滇良。 |</v>
      </c>
    </row>
    <row r="3564" spans="1:44" hidden="1">
      <c r="A3564" s="1" t="s">
        <v>5450</v>
      </c>
      <c r="C3564" s="1">
        <v>1</v>
      </c>
      <c r="D3564" s="1" t="str">
        <f>"02222"</f>
        <v>02222</v>
      </c>
      <c r="E3564" s="1" t="s">
        <v>40</v>
      </c>
      <c r="F3564" s="1">
        <v>15</v>
      </c>
      <c r="G3564" s="1">
        <v>10</v>
      </c>
      <c r="H3564" s="1">
        <v>0</v>
      </c>
      <c r="I3564" s="1" t="s">
        <v>5438</v>
      </c>
      <c r="K3564" s="1" t="str">
        <f t="shared" si="225"/>
        <v>ㄉ</v>
      </c>
      <c r="L3564" s="1" t="str">
        <f t="shared" si="226"/>
        <v>ㄧ</v>
      </c>
      <c r="M3564" s="1" t="str">
        <f t="shared" si="223"/>
        <v>ㄢ</v>
      </c>
      <c r="P3564" s="1" t="s">
        <v>20</v>
      </c>
      <c r="R3564" s="1" t="s">
        <v>5439</v>
      </c>
      <c r="V3564" s="1" t="s">
        <v>5451</v>
      </c>
      <c r="AR3564" s="1" t="str">
        <f t="shared" si="224"/>
        <v>| [ㄉㄧㄢ](ㄉㄧㄢ.md) | [瘨](瘨.md) |  | diān | [動]
1.病、使困苦。《詩經．大雅．雲漢》：「胡寧瘨我以旱，憯不知其故。」
2.暈倒。《戰國策．楚策一》：「（申包胥）七日不得告，水漿無入口，瘨而殫悶，旄不知人。」 |</v>
      </c>
    </row>
    <row r="3565" spans="1:44" hidden="1">
      <c r="A3565" s="1" t="s">
        <v>5452</v>
      </c>
      <c r="C3565" s="1">
        <v>1</v>
      </c>
      <c r="D3565" s="1" t="str">
        <f>"02223"</f>
        <v>02223</v>
      </c>
      <c r="E3565" s="1" t="s">
        <v>77</v>
      </c>
      <c r="F3565" s="1">
        <v>17</v>
      </c>
      <c r="G3565" s="1">
        <v>10</v>
      </c>
      <c r="H3565" s="1">
        <v>0</v>
      </c>
      <c r="I3565" s="1" t="s">
        <v>5438</v>
      </c>
      <c r="K3565" s="1" t="str">
        <f t="shared" si="225"/>
        <v>ㄉ</v>
      </c>
      <c r="L3565" s="1" t="str">
        <f t="shared" si="226"/>
        <v>ㄧ</v>
      </c>
      <c r="M3565" s="1" t="str">
        <f t="shared" si="223"/>
        <v>ㄢ</v>
      </c>
      <c r="P3565" s="1" t="s">
        <v>20</v>
      </c>
      <c r="R3565" s="1" t="s">
        <v>5439</v>
      </c>
      <c r="V3565" s="1" t="s">
        <v>5453</v>
      </c>
      <c r="AR3565" s="1" t="str">
        <f t="shared" si="224"/>
        <v>| [ㄉㄧㄢ](ㄉㄧㄢ.md) | [蹎](蹎.md) |  | diān | [動]
顛仆、跌倒。通「顛」。《荀子．正論》：「蹎跌碎折，不待頃矣。」《漢書．卷七二．貢禹傳》：「誠恐一旦蹎仆氣竭，不復自還，洿席薦於宮室，骸骨棄捐，孤魂不歸。」 |</v>
      </c>
    </row>
    <row r="3566" spans="1:44" hidden="1">
      <c r="A3566" s="1" t="s">
        <v>5454</v>
      </c>
      <c r="C3566" s="1">
        <v>1</v>
      </c>
      <c r="D3566" s="1" t="str">
        <f>"02224"</f>
        <v>02224</v>
      </c>
      <c r="E3566" s="1" t="s">
        <v>684</v>
      </c>
      <c r="F3566" s="1">
        <v>19</v>
      </c>
      <c r="G3566" s="1">
        <v>10</v>
      </c>
      <c r="H3566" s="1">
        <v>0</v>
      </c>
      <c r="I3566" s="1" t="s">
        <v>5438</v>
      </c>
      <c r="K3566" s="1" t="str">
        <f t="shared" si="225"/>
        <v>ㄉ</v>
      </c>
      <c r="L3566" s="1" t="str">
        <f t="shared" si="226"/>
        <v>ㄧ</v>
      </c>
      <c r="M3566" s="1" t="str">
        <f t="shared" si="223"/>
        <v>ㄢ</v>
      </c>
      <c r="P3566" s="1" t="s">
        <v>20</v>
      </c>
      <c r="R3566" s="1" t="s">
        <v>5439</v>
      </c>
      <c r="V3566" s="1" t="s">
        <v>5455</v>
      </c>
      <c r="AR3566" s="1" t="str">
        <f t="shared" si="224"/>
        <v>| [ㄉㄧㄢ](ㄉㄧㄢ.md) | [顛](顛.md) |  | diān | [名]_x000D_
1.頭頂。《墨子．脩身》：「華髮隳顛，而猶弗舍者，其唯聖人乎！」清．孫詒讓．閒詁：「隳顛，即禿頂。」_x000D_
2.最高的地方、頂端。同「巔」。如：「山顛」、「樹顛」、「塔顛」。_x000D_
3.額頭。《詩經．秦風．車鄰》：「有車鄰鄰，有馬白顛。」_x000D_
4.根本。晉．陸機〈文賦〉：「如失機而後會，恆操末以續顛。」_x000D_
5.姓。如春秋時晉國有顛頡。_x000D_
[動]_x000D_
1.震盪、搖動。如：「這條山路崎嶇不平，車子顛得很厲害。」_x000D_
2.跌落、墜落。《論語．季氏》：「危而不持，顛而不扶，則將焉用彼相矣。」《漢書．卷二七．五行志中之上》：「自上下者為崩，厥應泰山之石顛而下。」_x000D_
3.倒置。《詩經．齊風．東方未明》：「東方未明，顛倒衣裳，顛之倒之，自公召之。」漢．劉向〈九歎．愍命〉：「今反表以為裡兮，顛裳以為衣。」_x000D_
4.發狂。通「癲」。宋．蘇軾〈李公擇求黃鶴樓詩因記舊所聞於馮當世者〉詩：「無功暴得喜欲顛，神人戲汝真可憐。」_x000D_
5.大吵大鬧。《二刻拍案驚奇》卷二〇：「巢氏倚了病勢，要死要活的顛了一場。」 |</v>
      </c>
    </row>
    <row r="3567" spans="1:44" hidden="1">
      <c r="A3567" s="1" t="s">
        <v>5456</v>
      </c>
      <c r="C3567" s="1">
        <v>1</v>
      </c>
      <c r="D3567" s="1" t="str">
        <f>"02225"</f>
        <v>02225</v>
      </c>
      <c r="E3567" s="1" t="s">
        <v>24</v>
      </c>
      <c r="F3567" s="1">
        <v>22</v>
      </c>
      <c r="G3567" s="1">
        <v>19</v>
      </c>
      <c r="H3567" s="1">
        <v>0</v>
      </c>
      <c r="I3567" s="1" t="s">
        <v>5438</v>
      </c>
      <c r="K3567" s="1" t="str">
        <f t="shared" si="225"/>
        <v>ㄉ</v>
      </c>
      <c r="L3567" s="1" t="str">
        <f t="shared" si="226"/>
        <v>ㄧ</v>
      </c>
      <c r="M3567" s="1" t="str">
        <f t="shared" si="223"/>
        <v>ㄢ</v>
      </c>
      <c r="P3567" s="1" t="s">
        <v>20</v>
      </c>
      <c r="R3567" s="1" t="s">
        <v>5439</v>
      </c>
      <c r="V3567" s="1" t="s">
        <v>5457</v>
      </c>
      <c r="AR3567" s="1" t="str">
        <f t="shared" si="224"/>
        <v>| [ㄉㄧㄢ](ㄉㄧㄢ.md) | [攧](攧.md) |  | diān | [動]
1.跌。《五代史平話．梁史．卷上》：「將這孩兒要頓放烏鳶巢內，便是攧下來，他怎生更活！」《喻世明言．卷一五．史弘肇龍虎君臣會》：「正看裡，被康、張二聖用手打推攧將下峭壁巖崖裡去。」
2.頓足、跺腳。《董西廂》卷六：「君瑞攀鞍空自攧，道得個冤家寧耐些。」元．關漢卿〈侍香金童．春閨院宇套．么〉：「鳳幃冷落，鴛衾虛設。玉筍頻搓，繡鞋重攧。」
3.投、擲。《五代史平話．漢史．卷上》：「知遠又將這錢去入頭共賭，不數攧又被那六個秀才贏了。」 |</v>
      </c>
    </row>
    <row r="3568" spans="1:44" hidden="1">
      <c r="A3568" s="1" t="s">
        <v>5458</v>
      </c>
      <c r="C3568" s="1">
        <v>1</v>
      </c>
      <c r="D3568" s="1" t="str">
        <f>"02226"</f>
        <v>02226</v>
      </c>
      <c r="E3568" s="1" t="s">
        <v>190</v>
      </c>
      <c r="F3568" s="1">
        <v>22</v>
      </c>
      <c r="G3568" s="1">
        <v>19</v>
      </c>
      <c r="H3568" s="1">
        <v>0</v>
      </c>
      <c r="I3568" s="1" t="s">
        <v>5438</v>
      </c>
      <c r="K3568" s="1" t="str">
        <f t="shared" si="225"/>
        <v>ㄉ</v>
      </c>
      <c r="L3568" s="1" t="str">
        <f t="shared" si="226"/>
        <v>ㄧ</v>
      </c>
      <c r="M3568" s="1" t="str">
        <f t="shared" si="223"/>
        <v>ㄢ</v>
      </c>
      <c r="P3568" s="1" t="s">
        <v>20</v>
      </c>
      <c r="R3568" s="1" t="s">
        <v>5439</v>
      </c>
      <c r="V3568" s="1" t="s">
        <v>5459</v>
      </c>
      <c r="AR3568" s="1" t="str">
        <f t="shared" si="224"/>
        <v>| [ㄉㄧㄢ](ㄉㄧㄢ.md) | [巔](巔.md) |  | diān | [名]
山頂。《詩經．唐風．采苓》：「采苓采苓，首陽之巔。」
[形]
最高的。如：「巔峰」、「巔頂」。 |</v>
      </c>
    </row>
    <row r="3569" spans="1:44" hidden="1">
      <c r="A3569" s="1" t="s">
        <v>5460</v>
      </c>
      <c r="C3569" s="1">
        <v>1</v>
      </c>
      <c r="D3569" s="1" t="str">
        <f>"02227"</f>
        <v>02227</v>
      </c>
      <c r="E3569" s="1" t="s">
        <v>40</v>
      </c>
      <c r="F3569" s="1">
        <v>24</v>
      </c>
      <c r="G3569" s="1">
        <v>19</v>
      </c>
      <c r="H3569" s="1">
        <v>0</v>
      </c>
      <c r="I3569" s="1" t="s">
        <v>5438</v>
      </c>
      <c r="K3569" s="1" t="str">
        <f t="shared" si="225"/>
        <v>ㄉ</v>
      </c>
      <c r="L3569" s="1" t="str">
        <f t="shared" si="226"/>
        <v>ㄧ</v>
      </c>
      <c r="M3569" s="1" t="str">
        <f t="shared" si="223"/>
        <v>ㄢ</v>
      </c>
      <c r="P3569" s="1" t="s">
        <v>20</v>
      </c>
      <c r="R3569" s="1" t="s">
        <v>5439</v>
      </c>
      <c r="V3569" s="1" t="s">
        <v>5461</v>
      </c>
      <c r="AR3569" s="1" t="str">
        <f t="shared" si="224"/>
        <v>| [ㄉㄧㄢ](ㄉㄧㄢ.md) | [癲](癲.md) |  | diān | [形]_x000D_
形容精神錯亂、言行失常。如：「癲狂」、「瘋癲」。《南史．卷四四．齊武帝諸子列傳．魚復侯子響》：「蠻曰：『殿下癲如雷，敢相隨邪？』」_x000D_
[名]_x000D_
參見「癲癇」條。 |</v>
      </c>
    </row>
    <row r="3570" spans="1:44" hidden="1">
      <c r="A3570" s="1" t="s">
        <v>5462</v>
      </c>
      <c r="C3570" s="1">
        <v>1</v>
      </c>
      <c r="D3570" s="1" t="str">
        <f>"02228"</f>
        <v>02228</v>
      </c>
      <c r="E3570" s="1" t="s">
        <v>18</v>
      </c>
      <c r="F3570" s="1">
        <v>8</v>
      </c>
      <c r="G3570" s="1">
        <v>6</v>
      </c>
      <c r="H3570" s="1">
        <v>0</v>
      </c>
      <c r="I3570" s="1" t="s">
        <v>5463</v>
      </c>
      <c r="K3570" s="1" t="str">
        <f t="shared" si="225"/>
        <v>ㄉ</v>
      </c>
      <c r="L3570" s="1" t="str">
        <f t="shared" si="226"/>
        <v>ㄧ</v>
      </c>
      <c r="M3570" s="1" t="str">
        <f t="shared" si="223"/>
        <v>ㄢ</v>
      </c>
      <c r="P3570" s="1" t="s">
        <v>20</v>
      </c>
      <c r="R3570" s="1" t="s">
        <v>5464</v>
      </c>
      <c r="V3570" s="1" t="s">
        <v>5465</v>
      </c>
      <c r="AR3570" s="1" t="str">
        <f t="shared" si="224"/>
        <v>| [ㄉㄧㄢˇ](ㄉㄧㄢˇ.md) | [典](典.md) |  | diǎn | [名]
1.五帝時的書，指重要的文獻、簡冊。《左傳．昭公十二年》：「是能讀三墳五典，八索九丘。」
2.國家的常法。《周禮．天官．大宰》：「大宰之職，掌建邦之六典，以佐王治邦國。」
3.可作為依據或模範的書。如：「字典」、「引經據典」。
4.可遵守的法度、準則。《文選．劉琨．勸進表》：「中興之兆，圖讖垂典，自京畿隕喪，九服崩離，天下囂然，無所歸懷。」
5.典禮、儀式。如：「慶典」、「大典」、「盛典」。
6.前代的故事、制度、文物。如：「用典」、「數典忘祖」。
7.姓。如三國時魏國有典韋。
[動]
1.掌管、治理。如：「典試」、「典獄」。《三國志．卷六二．吳書．是儀傳》：「到見親任，專典機密。」
2.以物品質押貸款。如：「典當」。唐．杜甫〈曲江〉詩二首之二：「朝回日日典春衣，每日江頭盡醉歸。」
[形]
文雅、雅緻。如：「典雅」。南朝梁．蕭統〈答玄圃園講誦啟令〉：「辭典文豔。」 |</v>
      </c>
    </row>
    <row r="3571" spans="1:44" hidden="1">
      <c r="A3571" s="1" t="s">
        <v>5466</v>
      </c>
      <c r="C3571" s="1">
        <v>1</v>
      </c>
      <c r="D3571" s="1" t="str">
        <f>"02229"</f>
        <v>02229</v>
      </c>
      <c r="E3571" s="1" t="s">
        <v>40</v>
      </c>
      <c r="F3571" s="1">
        <v>13</v>
      </c>
      <c r="G3571" s="1">
        <v>8</v>
      </c>
      <c r="H3571" s="1">
        <v>0</v>
      </c>
      <c r="I3571" s="1" t="s">
        <v>5463</v>
      </c>
      <c r="K3571" s="1" t="str">
        <f t="shared" si="225"/>
        <v>ㄉ</v>
      </c>
      <c r="L3571" s="1" t="str">
        <f t="shared" si="226"/>
        <v>ㄧ</v>
      </c>
      <c r="M3571" s="1" t="str">
        <f t="shared" ref="M3571:M3634" si="227">MID(I3571, 3, 1)</f>
        <v>ㄢ</v>
      </c>
      <c r="P3571" s="1" t="s">
        <v>20</v>
      </c>
      <c r="R3571" s="1" t="s">
        <v>5464</v>
      </c>
      <c r="V3571" s="1" t="s">
        <v>5467</v>
      </c>
      <c r="AR3571" s="1" t="str">
        <f t="shared" si="224"/>
        <v>| [ㄉㄧㄢˇ](ㄉㄧㄢˇ.md) | [痶](痶.md) |  | diǎn | 參見「痶腳」條。 |</v>
      </c>
    </row>
    <row r="3572" spans="1:44" hidden="1">
      <c r="A3572" s="1" t="s">
        <v>5468</v>
      </c>
      <c r="C3572" s="1">
        <v>1</v>
      </c>
      <c r="D3572" s="1" t="str">
        <f>"02230"</f>
        <v>02230</v>
      </c>
      <c r="E3572" s="1" t="s">
        <v>169</v>
      </c>
      <c r="F3572" s="1">
        <v>13</v>
      </c>
      <c r="G3572" s="1">
        <v>8</v>
      </c>
      <c r="H3572" s="1">
        <v>0</v>
      </c>
      <c r="I3572" s="1" t="s">
        <v>5463</v>
      </c>
      <c r="K3572" s="1" t="str">
        <f t="shared" si="225"/>
        <v>ㄉ</v>
      </c>
      <c r="L3572" s="1" t="str">
        <f t="shared" si="226"/>
        <v>ㄧ</v>
      </c>
      <c r="M3572" s="1" t="str">
        <f t="shared" si="227"/>
        <v>ㄢ</v>
      </c>
      <c r="P3572" s="1" t="s">
        <v>20</v>
      </c>
      <c r="R3572" s="1" t="s">
        <v>5464</v>
      </c>
      <c r="V3572" s="1" t="s">
        <v>5469</v>
      </c>
      <c r="AR3572" s="1" t="str">
        <f t="shared" si="224"/>
        <v>| [ㄉㄧㄢˇ](ㄉㄧㄢˇ.md) | [碘](碘.md) |  | diǎn | [名]
（iodine，I）化學元素。原子序53。為非金屬固體的鹵素，有毒性和腐蝕性，易昇華。不溶於水，但溶於有機溶劑。多存於海水及鹽泉中，為黑色結晶體，可供醫藥、照像、顏料等用。碘也是合成甲狀腺激素的主要成分。可調整細胞的氧化作用，影響人體的基本代謝率。 |</v>
      </c>
    </row>
    <row r="3573" spans="1:44" hidden="1">
      <c r="A3573" s="1" t="s">
        <v>5470</v>
      </c>
      <c r="C3573" s="1">
        <v>1</v>
      </c>
      <c r="D3573" s="1" t="str">
        <f>"02231"</f>
        <v>02231</v>
      </c>
      <c r="E3573" s="1" t="s">
        <v>2777</v>
      </c>
      <c r="F3573" s="1">
        <v>17</v>
      </c>
      <c r="G3573" s="1">
        <v>5</v>
      </c>
      <c r="H3573" s="1">
        <v>0</v>
      </c>
      <c r="I3573" s="1" t="s">
        <v>5463</v>
      </c>
      <c r="K3573" s="1" t="str">
        <f t="shared" si="225"/>
        <v>ㄉ</v>
      </c>
      <c r="L3573" s="1" t="str">
        <f t="shared" si="226"/>
        <v>ㄧ</v>
      </c>
      <c r="M3573" s="1" t="str">
        <f t="shared" si="227"/>
        <v>ㄢ</v>
      </c>
      <c r="P3573" s="1" t="s">
        <v>20</v>
      </c>
      <c r="R3573" s="1" t="s">
        <v>5464</v>
      </c>
      <c r="V3573" s="1" t="s">
        <v>5471</v>
      </c>
      <c r="AR3573" s="1" t="str">
        <f t="shared" si="224"/>
        <v>| [ㄉㄧㄢˇ](ㄉㄧㄢˇ.md) | [點](點.md) |  | diǎn | [名]
1.小的痕跡。如：「斑點」、「汙點」。
2.小水珠、小滴的液體。如：「珠點」、「小雨點」。
3.一種字形筆畫。用筆觸紙即起稱為「點」。如：「三點水」。元．關漢卿《望江亭》第三折：「妾身須識個撇、豎、點、劃。」
4.句讀的標誌。如：「逗點」、「標點」。
5.點心食品的簡稱。如：「西點」、「茶點」、「糕點」、「早點」。
6.計時的單位。一個小時稱為「一點」。如：「中午十二點」。
7.規定的時間。如：「準點」、「誤點」、「鐘點」。
8.一定的地方或標準。如：「終點」、「起點」、「冰點」、「沸點」。
9.事物的某一部分或某一方面。如：「優點」、「缺點」、「重點」、「弱點」。
10.量詞。計算條文項目的單位。如：「這個主題，可分下列三點來說明。」
11.幾何學上稱沒有長、寬、厚、薄，而只有位置的為「點」。
12.小數點。如33.5讀作三十三點五。
[動]
1.引火。如：「點火」、「點燃」、「點燈」。
2.指定。如：「點菜」、「點歌」、「點播節目」。
3.逐個檢覈、查對。如：「點貨」、「點名」、「清點」、「盤點」。
4.觸到物體立即離開。如：「蜻蜓點水」、「以腳點地」。
5.使液體滴下。如：「點眼藥水」。
6.指示、暗示。如：「點化」、「點出主題」、「一點就醒」、「他聽了，知道是在點這件事情。」
7.裝飾襯托。如：「裝點」、「點染」、「點綴」。三國魏．何晏〈景福殿賦〉：「點以銀黃，爍以琅玕。」
[形]
形容少許的。如：「吃點東西吧！」、「一點小事別在意！」 |</v>
      </c>
    </row>
    <row r="3574" spans="1:44" hidden="1">
      <c r="A3574" s="1" t="s">
        <v>5472</v>
      </c>
      <c r="C3574" s="1">
        <v>1</v>
      </c>
      <c r="D3574" s="1" t="str">
        <f>"02232"</f>
        <v>02232</v>
      </c>
      <c r="E3574" s="1" t="s">
        <v>114</v>
      </c>
      <c r="F3574" s="1">
        <v>7</v>
      </c>
      <c r="G3574" s="1">
        <v>5</v>
      </c>
      <c r="H3574" s="1">
        <v>1</v>
      </c>
      <c r="I3574" s="1" t="s">
        <v>5473</v>
      </c>
      <c r="K3574" s="1" t="str">
        <f t="shared" si="225"/>
        <v>ㄉ</v>
      </c>
      <c r="L3574" s="1" t="str">
        <f t="shared" si="226"/>
        <v>ㄧ</v>
      </c>
      <c r="M3574" s="1" t="str">
        <f t="shared" si="227"/>
        <v>ㄢ</v>
      </c>
      <c r="P3574" s="1" t="s">
        <v>20</v>
      </c>
      <c r="R3574" s="1" t="s">
        <v>5474</v>
      </c>
      <c r="V3574" s="1" t="s">
        <v>5475</v>
      </c>
      <c r="W3574" s="1" t="s">
        <v>5476</v>
      </c>
      <c r="AR3574" s="1" t="str">
        <f t="shared" si="224"/>
        <v>| [ㄉㄧㄢˋ](ㄉㄧㄢˋ.md) | [佃](佃.md) |  | diàn | [名]
承租他人田地耕種，或為他人傭耕的人。明．張自烈《正字通．人部》：「佃，代耕農也。」《宋史．卷一七三．食貨志》：「稽其畝步，訂其主佃，亦莫如鄉都之便也。」
[動]
承租土地。《晉書．卷二六．食貨志》：「又廣開水田，募貧民佃之。」 |</v>
      </c>
    </row>
    <row r="3575" spans="1:44" hidden="1">
      <c r="A3575" s="1" t="s">
        <v>5477</v>
      </c>
      <c r="C3575" s="1">
        <v>1</v>
      </c>
      <c r="D3575" s="1" t="str">
        <f>"02233"</f>
        <v>02233</v>
      </c>
      <c r="E3575" s="1" t="s">
        <v>753</v>
      </c>
      <c r="F3575" s="1">
        <v>7</v>
      </c>
      <c r="G3575" s="1">
        <v>2</v>
      </c>
      <c r="H3575" s="1">
        <v>1</v>
      </c>
      <c r="I3575" s="1" t="s">
        <v>5473</v>
      </c>
      <c r="K3575" s="1" t="str">
        <f t="shared" si="225"/>
        <v>ㄉ</v>
      </c>
      <c r="L3575" s="1" t="str">
        <f t="shared" si="226"/>
        <v>ㄧ</v>
      </c>
      <c r="M3575" s="1" t="str">
        <f t="shared" si="227"/>
        <v>ㄢ</v>
      </c>
      <c r="P3575" s="1" t="s">
        <v>20</v>
      </c>
      <c r="R3575" s="1" t="s">
        <v>5474</v>
      </c>
      <c r="V3575" s="1" t="s">
        <v>5478</v>
      </c>
      <c r="W3575" s="1" t="s">
        <v>5479</v>
      </c>
      <c r="AR3575" s="1" t="str">
        <f t="shared" si="224"/>
        <v>| [ㄉㄧㄢˋ](ㄉㄧㄢˋ.md) | [甸](甸.md) |  | diàn | [名]
1.郊外。《左傳．襄公二十一年》：「將逃罪，罪重於郊甸。」晉．杜預．注：「郭外曰郊，郊外曰甸。」南朝齊．謝朓〈晚登三山還望京邑詩〉：「喧鳥覆春洲，雜英滿芳甸。」
2.田野的產物。《禮記．少儀》：「臣為君喪，納貨貝於君，則曰納甸於有司。」漢．鄭玄．注：「甸，謂田野之物。」
[動]
治理。《書經．多士》：「乃命爾先祖成湯革夏，俊民甸四方。」《詩經．小雅．信南山》：「信彼南山，維禹甸之。」漢．毛亨．傳：「甸，治也。」 |</v>
      </c>
    </row>
    <row r="3576" spans="1:44" hidden="1">
      <c r="A3576" s="1" t="s">
        <v>5480</v>
      </c>
      <c r="C3576" s="1">
        <v>1</v>
      </c>
      <c r="D3576" s="1" t="str">
        <f>"02234"</f>
        <v>02234</v>
      </c>
      <c r="E3576" s="1" t="s">
        <v>55</v>
      </c>
      <c r="F3576" s="1">
        <v>13</v>
      </c>
      <c r="G3576" s="1">
        <v>5</v>
      </c>
      <c r="H3576" s="1">
        <v>1</v>
      </c>
      <c r="I3576" s="1" t="s">
        <v>5473</v>
      </c>
      <c r="K3576" s="1" t="str">
        <f t="shared" si="225"/>
        <v>ㄉ</v>
      </c>
      <c r="L3576" s="1" t="str">
        <f t="shared" si="226"/>
        <v>ㄧ</v>
      </c>
      <c r="M3576" s="1" t="str">
        <f t="shared" si="227"/>
        <v>ㄢ</v>
      </c>
      <c r="P3576" s="1" t="s">
        <v>20</v>
      </c>
      <c r="R3576" s="1" t="s">
        <v>5474</v>
      </c>
      <c r="V3576" s="1" t="s">
        <v>5481</v>
      </c>
      <c r="W3576" s="1" t="s">
        <v>5482</v>
      </c>
      <c r="AR3576" s="1" t="str">
        <f t="shared" si="224"/>
        <v>| [ㄉㄧㄢˋ](ㄉㄧㄢˋ.md) | [鈿](鈿.md) |  | diàn | [名]
1.用金銀珠寶鑲製成的花形飾物。唐．白居易〈琵琶行〉：「鈿頭雲篦擊節碎，血色羅裙翻酒汙。」唐．韋莊〈清平樂．何處遊女〉詞：「妝成不整金鈿，含羞待月鞦韆。」
2.用貝殼鑲製成的飾物。如：「螺鈿」。
3.吳語。指錢或硬幣。如：「銅鈿」、「車鈿」、「房鈿」、「船鈿」。
[動]
以珠玉貝殼等鑲嵌器物。《魏書．卷一一〇．食貨志》：「詔中尚方作黃金合盤十二具，徑二尺二寸，鏤以白銀，鈿以玫瑰。」《北史．卷九五．赤土傳》：「王榻後作一木龕，以金銀五香木雜鈿之。」
[形]
以金銀珠寶為飾的。如：「鈿箏」、「鈿車」、「鈿盒」。 |</v>
      </c>
    </row>
    <row r="3577" spans="1:44" hidden="1">
      <c r="A3577" s="1" t="s">
        <v>5483</v>
      </c>
      <c r="C3577" s="1">
        <v>1</v>
      </c>
      <c r="D3577" s="1" t="str">
        <f>"02235"</f>
        <v>02235</v>
      </c>
      <c r="E3577" s="1" t="s">
        <v>447</v>
      </c>
      <c r="F3577" s="1">
        <v>8</v>
      </c>
      <c r="G3577" s="1">
        <v>5</v>
      </c>
      <c r="H3577" s="1">
        <v>0</v>
      </c>
      <c r="I3577" s="1" t="s">
        <v>5473</v>
      </c>
      <c r="K3577" s="1" t="str">
        <f t="shared" si="225"/>
        <v>ㄉ</v>
      </c>
      <c r="L3577" s="1" t="str">
        <f t="shared" si="226"/>
        <v>ㄧ</v>
      </c>
      <c r="M3577" s="1" t="str">
        <f t="shared" si="227"/>
        <v>ㄢ</v>
      </c>
      <c r="P3577" s="1" t="s">
        <v>20</v>
      </c>
      <c r="R3577" s="1" t="s">
        <v>5474</v>
      </c>
      <c r="V3577" s="1" t="s">
        <v>5484</v>
      </c>
      <c r="AR3577" s="1" t="str">
        <f t="shared" si="224"/>
        <v>| [ㄉㄧㄢˋ](ㄉㄧㄢˋ.md) | [店](店.md) |  | diàn | [名]
1.陳列貨物以出售的地方。如：「布店」、「商店」、「書店」、「連鎖店」。
2.旅館。如：「住店」。宋．蘇軾〈岐亭道上見梅花戲贈季常〉詩：「野店初嘗竹葉酒，江雲欲落豆秸灰。」 |</v>
      </c>
    </row>
    <row r="3578" spans="1:44" hidden="1">
      <c r="A3578" s="1" t="s">
        <v>5485</v>
      </c>
      <c r="C3578" s="1">
        <v>1</v>
      </c>
      <c r="D3578" s="1" t="str">
        <f>"02236"</f>
        <v>02236</v>
      </c>
      <c r="E3578" s="1" t="s">
        <v>132</v>
      </c>
      <c r="F3578" s="1">
        <v>8</v>
      </c>
      <c r="G3578" s="1">
        <v>5</v>
      </c>
      <c r="H3578" s="1">
        <v>0</v>
      </c>
      <c r="I3578" s="1" t="s">
        <v>5473</v>
      </c>
      <c r="K3578" s="1" t="str">
        <f t="shared" si="225"/>
        <v>ㄉ</v>
      </c>
      <c r="L3578" s="1" t="str">
        <f t="shared" si="226"/>
        <v>ㄧ</v>
      </c>
      <c r="M3578" s="1" t="str">
        <f t="shared" si="227"/>
        <v>ㄢ</v>
      </c>
      <c r="P3578" s="1" t="s">
        <v>20</v>
      </c>
      <c r="R3578" s="1" t="s">
        <v>5474</v>
      </c>
      <c r="V3578" s="1" t="s">
        <v>5486</v>
      </c>
      <c r="AR3578" s="1" t="str">
        <f t="shared" si="224"/>
        <v>| [ㄉㄧㄢˋ](ㄉㄧㄢˋ.md) | [坫](坫.md) |  | diàn | [名]
1.古代君主會盟宴饗時，於獻禮完畢，作為放回酒杯用的土臺，高可屏蔽。《論語．八佾》：「邦君樹塞門，管氏亦樹塞門，邦君為兩君之好，有反坫，管氏亦有反坫。」
2.堂角、屋隅。《儀禮．士冠禮》：「執以待于西坫南。」
3.屋內儲藏食物的地方。《禮記．內則》：「天子之閣，左達五，右達五，公侯伯於房中五，大夫於閣三，士於坫一。」 |</v>
      </c>
    </row>
    <row r="3579" spans="1:44" hidden="1">
      <c r="A3579" s="1" t="s">
        <v>5487</v>
      </c>
      <c r="C3579" s="1">
        <v>1</v>
      </c>
      <c r="D3579" s="1" t="str">
        <f>"02237"</f>
        <v>02237</v>
      </c>
      <c r="E3579" s="1" t="s">
        <v>691</v>
      </c>
      <c r="F3579" s="1">
        <v>8</v>
      </c>
      <c r="G3579" s="1">
        <v>5</v>
      </c>
      <c r="H3579" s="1">
        <v>1</v>
      </c>
      <c r="I3579" s="1" t="s">
        <v>5473</v>
      </c>
      <c r="K3579" s="1" t="str">
        <f t="shared" si="225"/>
        <v>ㄉ</v>
      </c>
      <c r="L3579" s="1" t="str">
        <f t="shared" si="226"/>
        <v>ㄧ</v>
      </c>
      <c r="M3579" s="1" t="str">
        <f t="shared" si="227"/>
        <v>ㄢ</v>
      </c>
      <c r="P3579" s="1" t="s">
        <v>20</v>
      </c>
      <c r="R3579" s="1" t="s">
        <v>5474</v>
      </c>
      <c r="V3579" s="1" t="s">
        <v>5488</v>
      </c>
      <c r="W3579" s="1" t="s">
        <v>5489</v>
      </c>
      <c r="AR3579" s="1" t="str">
        <f t="shared" si="224"/>
        <v>| [ㄉㄧㄢˋ](ㄉㄧㄢˋ.md) | [阽](阽.md) |  | diàn | [動]
臨危、危險。《漢書．卷四．文帝紀》：「草木群生之物皆有自樂，而吾百姓鰥寡孤獨窮困之人或阽於死亡，而莫之省憂。」顏師古注引如淳曰：「阽，近邊欲墮之意。」《後漢書．卷五九．張衡傳》：「阽身以徼幸，固貪夫之所為，未得而豫喪也。」 |</v>
      </c>
    </row>
    <row r="3580" spans="1:44" hidden="1">
      <c r="A3580" s="1" t="s">
        <v>5490</v>
      </c>
      <c r="C3580" s="1">
        <v>1</v>
      </c>
      <c r="D3580" s="1" t="str">
        <f>"02238"</f>
        <v>02238</v>
      </c>
      <c r="E3580" s="1" t="s">
        <v>142</v>
      </c>
      <c r="F3580" s="1">
        <v>9</v>
      </c>
      <c r="G3580" s="1">
        <v>5</v>
      </c>
      <c r="H3580" s="1">
        <v>0</v>
      </c>
      <c r="I3580" s="1" t="s">
        <v>5473</v>
      </c>
      <c r="K3580" s="1" t="str">
        <f t="shared" si="225"/>
        <v>ㄉ</v>
      </c>
      <c r="L3580" s="1" t="str">
        <f t="shared" si="226"/>
        <v>ㄧ</v>
      </c>
      <c r="M3580" s="1" t="str">
        <f t="shared" si="227"/>
        <v>ㄢ</v>
      </c>
      <c r="P3580" s="1" t="s">
        <v>20</v>
      </c>
      <c r="R3580" s="1" t="s">
        <v>5474</v>
      </c>
      <c r="V3580" s="1" t="s">
        <v>5491</v>
      </c>
      <c r="AR3580" s="1" t="str">
        <f t="shared" si="224"/>
        <v>| [ㄉㄧㄢˋ](ㄉㄧㄢˋ.md) | [玷](玷.md) |  | diàn | [名]
1.玉上的瑕疵、斑點。《詩經．大雅．抑》：「白圭之玷，尚可磨也。」
2.缺點、過失。《詩經．大雅．抑》：「斯言之玷，不可為也。」《喻世明言．卷二七．金玉奴棒打薄情郎》：「卻拜個團頭做岳丈，可不是終身之玷！」
[動]
1.汙辱、弄髒。如：「玷汙」、「有玷家聲」。元．鄭光祖《倩女離魂》第二折：「你今私自趕來，有玷風化，是何道理？」清．蔣士銓《冬青樹》第二九齣：「惜朝內無人匡諫，以致成彼高名，玷俺君德。」
2.謙詞。自謙讓職務蒙受汙辱之意。如：「久玷官職，又乏政績，實在汗顏！」唐．杜甫〈春日江村〉詩五首之三：「豈知牙齒落，名玷薦賢中。」 |</v>
      </c>
    </row>
    <row r="3581" spans="1:44" hidden="1">
      <c r="A3581" s="1" t="s">
        <v>5492</v>
      </c>
      <c r="C3581" s="1">
        <v>1</v>
      </c>
      <c r="D3581" s="1" t="str">
        <f>"02239"</f>
        <v>02239</v>
      </c>
      <c r="E3581" s="1" t="s">
        <v>1252</v>
      </c>
      <c r="F3581" s="1">
        <v>9</v>
      </c>
      <c r="G3581" s="1">
        <v>5</v>
      </c>
      <c r="H3581" s="1">
        <v>0</v>
      </c>
      <c r="I3581" s="1" t="s">
        <v>5473</v>
      </c>
      <c r="K3581" s="1" t="str">
        <f t="shared" si="225"/>
        <v>ㄉ</v>
      </c>
      <c r="L3581" s="1" t="str">
        <f t="shared" si="226"/>
        <v>ㄧ</v>
      </c>
      <c r="M3581" s="1" t="str">
        <f t="shared" si="227"/>
        <v>ㄢ</v>
      </c>
      <c r="P3581" s="1" t="s">
        <v>20</v>
      </c>
      <c r="R3581" s="1" t="s">
        <v>5474</v>
      </c>
      <c r="V3581" s="1" t="s">
        <v>5493</v>
      </c>
      <c r="AR3581" s="1" t="str">
        <f t="shared" si="224"/>
        <v>| [ㄉㄧㄢˋ](ㄉㄧㄢˋ.md) | [扂](扂.md) |  | diàn | [名]
門閂。《集韻．上聲．忝韻》：「扂，戶牡。」唐．韓愈〈進學解〉：「夫大木為杗，細木為桷，欂櫨侏儒，椳闑扂楔，各得其宜，施以成室者，匠氏之工也。」 |</v>
      </c>
    </row>
    <row r="3582" spans="1:44" hidden="1">
      <c r="A3582" s="1" t="s">
        <v>5494</v>
      </c>
      <c r="C3582" s="1">
        <v>1</v>
      </c>
      <c r="D3582" s="1" t="str">
        <f>"02240"</f>
        <v>02240</v>
      </c>
      <c r="E3582" s="1" t="s">
        <v>40</v>
      </c>
      <c r="F3582" s="1">
        <v>10</v>
      </c>
      <c r="G3582" s="1">
        <v>5</v>
      </c>
      <c r="H3582" s="1">
        <v>0</v>
      </c>
      <c r="I3582" s="1" t="s">
        <v>5473</v>
      </c>
      <c r="K3582" s="1" t="str">
        <f t="shared" si="225"/>
        <v>ㄉ</v>
      </c>
      <c r="L3582" s="1" t="str">
        <f t="shared" si="226"/>
        <v>ㄧ</v>
      </c>
      <c r="M3582" s="1" t="str">
        <f t="shared" si="227"/>
        <v>ㄢ</v>
      </c>
      <c r="P3582" s="1" t="s">
        <v>20</v>
      </c>
      <c r="R3582" s="1" t="s">
        <v>5474</v>
      </c>
      <c r="V3582" s="1" t="s">
        <v>5495</v>
      </c>
      <c r="AR3582" s="1" t="str">
        <f t="shared" si="224"/>
        <v>| [ㄉㄧㄢˋ](ㄉㄧㄢˋ.md) | [痁](痁.md) |  | diàn | [名]
瘧疾。《說文解字．疒部》：「痁，有熱瘧。」清．段玉裁．注：「痁，有熱無寒之瘧也。」《資治通鑑．卷二一一．唐紀二十七．玄宗開元四年》：「（姚崇）以病痁謁告，上遣使問飲食起居狀，日數十輩。」
[動]
1.患瘧疾。《左傳．昭公二十年》：「公遽見之，執其手曰：『余知而無罪也，人復而所。』齊侯疥，遂痁。」
2.瀕臨危險。通「阽」。《禮記．曾子問》：「且君子行禮，不以人之親痁患。」漢．王符《潛夫論．思賢》：「三代以下，皆以支羅服烝穬麥合藥，病日痁而遂死也。」 |</v>
      </c>
    </row>
    <row r="3583" spans="1:44" hidden="1">
      <c r="A3583" s="1" t="s">
        <v>5496</v>
      </c>
      <c r="C3583" s="1">
        <v>1</v>
      </c>
      <c r="D3583" s="1" t="str">
        <f>"02241"</f>
        <v>02241</v>
      </c>
      <c r="E3583" s="1" t="s">
        <v>250</v>
      </c>
      <c r="F3583" s="1">
        <v>11</v>
      </c>
      <c r="G3583" s="1">
        <v>8</v>
      </c>
      <c r="H3583" s="1">
        <v>0</v>
      </c>
      <c r="I3583" s="1" t="s">
        <v>5473</v>
      </c>
      <c r="K3583" s="1" t="str">
        <f t="shared" si="225"/>
        <v>ㄉ</v>
      </c>
      <c r="L3583" s="1" t="str">
        <f t="shared" si="226"/>
        <v>ㄧ</v>
      </c>
      <c r="M3583" s="1" t="str">
        <f t="shared" si="227"/>
        <v>ㄢ</v>
      </c>
      <c r="P3583" s="1" t="s">
        <v>20</v>
      </c>
      <c r="R3583" s="1" t="s">
        <v>5474</v>
      </c>
      <c r="V3583" s="1" t="s">
        <v>5497</v>
      </c>
      <c r="AR3583" s="1" t="str">
        <f t="shared" si="224"/>
        <v>| [ㄉㄧㄢˋ](ㄉㄧㄢˋ.md) | [惦](惦.md) |  | diàn | [動]
思念、掛念。如：「惦記」。《紅樓夢》第一一回：「你別在這裡只管這們著，倒招的媳婦也心裡不好。太太那裡又惦著你。」 |</v>
      </c>
    </row>
    <row r="3584" spans="1:44" hidden="1">
      <c r="A3584" s="1" t="s">
        <v>5498</v>
      </c>
      <c r="C3584" s="1">
        <v>1</v>
      </c>
      <c r="D3584" s="1" t="str">
        <f>"02242"</f>
        <v>02242</v>
      </c>
      <c r="E3584" s="1" t="s">
        <v>77</v>
      </c>
      <c r="F3584" s="1">
        <v>15</v>
      </c>
      <c r="G3584" s="1">
        <v>8</v>
      </c>
      <c r="H3584" s="1">
        <v>0</v>
      </c>
      <c r="I3584" s="1" t="s">
        <v>5473</v>
      </c>
      <c r="K3584" s="1" t="str">
        <f t="shared" si="225"/>
        <v>ㄉ</v>
      </c>
      <c r="L3584" s="1" t="str">
        <f t="shared" si="226"/>
        <v>ㄧ</v>
      </c>
      <c r="M3584" s="1" t="str">
        <f t="shared" si="227"/>
        <v>ㄢ</v>
      </c>
      <c r="P3584" s="1" t="s">
        <v>20</v>
      </c>
      <c r="R3584" s="1" t="s">
        <v>5474</v>
      </c>
      <c r="V3584" s="1" t="s">
        <v>5499</v>
      </c>
      <c r="AR3584" s="1" t="str">
        <f t="shared" si="224"/>
        <v>| [ㄉㄧㄢˋ](ㄉㄧㄢˋ.md) | [踮](踮.md) |  | diàn | [動]
抬起腳跟而腳尖著地。如：「他人長得矮小，在人群中得踮起腳才能看到前面。」 |</v>
      </c>
    </row>
    <row r="3585" spans="1:44" hidden="1">
      <c r="A3585" s="1" t="s">
        <v>5500</v>
      </c>
      <c r="C3585" s="1">
        <v>1</v>
      </c>
      <c r="D3585" s="1" t="str">
        <f>"02243"</f>
        <v>02243</v>
      </c>
      <c r="E3585" s="1" t="s">
        <v>563</v>
      </c>
      <c r="F3585" s="1">
        <v>12</v>
      </c>
      <c r="G3585" s="1">
        <v>9</v>
      </c>
      <c r="H3585" s="1">
        <v>0</v>
      </c>
      <c r="I3585" s="1" t="s">
        <v>5473</v>
      </c>
      <c r="K3585" s="1" t="str">
        <f t="shared" si="225"/>
        <v>ㄉ</v>
      </c>
      <c r="L3585" s="1" t="str">
        <f t="shared" si="226"/>
        <v>ㄧ</v>
      </c>
      <c r="M3585" s="1" t="str">
        <f t="shared" si="227"/>
        <v>ㄢ</v>
      </c>
      <c r="P3585" s="1" t="s">
        <v>20</v>
      </c>
      <c r="R3585" s="1" t="s">
        <v>5474</v>
      </c>
      <c r="V3585" s="1" t="s">
        <v>5501</v>
      </c>
      <c r="AR3585" s="1" t="str">
        <f t="shared" si="224"/>
        <v>| [ㄉㄧㄢˋ](ㄉㄧㄢˋ.md) | [奠](奠.md) |  | diàn | [動]
1.祭獻，用祭品祭神或向死者致祭。《說文解字．丌部》：「奠，置祭也。」清．袁枚〈祭妹文〉：「哭汝既不聞汝言，奠汝又不見汝食。」
2.進獻。《楚辭．屈原．九歌．東皇太一》：「蕙肴蒸兮蘭藉，奠桂酒兮椒漿。」唐．韓愈〈元和聖德詩〉：「奠璧獻斝，眾樂驚作。」
3.置放、安置。《禮記．內則》：「其相授則女受以篚，其無篚則皆坐，奠之而後取之。」
4.定、建立。如：「奠基」、「奠都南京」。《書經．禹貢》：「禹敷土隨山刊木，奠高山大川。」
[名]
祭品。唐．韓愈〈祭十二郎文〉：「乃能銜哀致誠，使建中遠具時羞之奠，告汝十二郎之靈。」唐．元稹〈遣悲懷〉詩三首之一：「今日俸錢過十萬，與君營奠復營齋。」 |</v>
      </c>
    </row>
    <row r="3586" spans="1:44" hidden="1">
      <c r="A3586" s="1" t="s">
        <v>5502</v>
      </c>
      <c r="C3586" s="1">
        <v>1</v>
      </c>
      <c r="D3586" s="1" t="str">
        <f>"02244"</f>
        <v>02244</v>
      </c>
      <c r="E3586" s="1" t="s">
        <v>125</v>
      </c>
      <c r="F3586" s="1">
        <v>13</v>
      </c>
      <c r="G3586" s="1">
        <v>5</v>
      </c>
      <c r="H3586" s="1">
        <v>0</v>
      </c>
      <c r="I3586" s="1" t="s">
        <v>5473</v>
      </c>
      <c r="K3586" s="1" t="str">
        <f t="shared" si="225"/>
        <v>ㄉ</v>
      </c>
      <c r="L3586" s="1" t="str">
        <f t="shared" si="226"/>
        <v>ㄧ</v>
      </c>
      <c r="M3586" s="1" t="str">
        <f t="shared" si="227"/>
        <v>ㄢ</v>
      </c>
      <c r="P3586" s="1" t="s">
        <v>20</v>
      </c>
      <c r="R3586" s="1" t="s">
        <v>5474</v>
      </c>
      <c r="V3586" s="1" t="s">
        <v>5503</v>
      </c>
      <c r="AR3586" s="1" t="str">
        <f t="shared" si="224"/>
        <v>| [ㄉㄧㄢˋ](ㄉㄧㄢˋ.md) | [電](電.md) |  | diàn | [名]_x000D_
1.一種物質固有的能，亦為自然界基本現象之一，有正電（陽電）、負電（陰電）兩種性質。兩種電相觸，或失去均衡時，會發生放電作用，可產生光和熱。如：「閃電」、「靜電」、「導電」、「停電」。_x000D_
2.電報或電話、電臺的簡稱。如：「回電」、「急電」、「賀電」、「根據外電報導」。_x000D_
3.比喻被特定對象所吸引而產生的微妙情愫。如：「來電的感覺真是筆墨難以形容！」_x000D_
[動]_x000D_
1.觸電。如：「我被這臺洗衣機電了一下。」_x000D_
2.打電話或打電報。如：「這件事必須電請上級裁示。」_x000D_
3.遭人修理。如：「他一時失言，被朋友電得哭笑不得。」_x000D_
[形]_x000D_
藉電流以發動或使用的。如：「電梯」、「電燈」、「電冰箱」。_x000D_
[副]_x000D_
1.迅速如電的。如：「風馳電掣」。《晉書．卷六七．列傳．溫嶠》：「今躬率所統，為士卒先，催進諸軍，一時電擊。」_x000D_
2.明快的。唐．李白〈天長節度使鄂州刺史韋公德政碑〉：「秀骨嶽立，英謀電斷。」 |</v>
      </c>
    </row>
    <row r="3587" spans="1:44" hidden="1">
      <c r="A3587" s="1" t="s">
        <v>5504</v>
      </c>
      <c r="C3587" s="1">
        <v>1</v>
      </c>
      <c r="D3587" s="1" t="str">
        <f>"02245"</f>
        <v>02245</v>
      </c>
      <c r="E3587" s="1" t="s">
        <v>5505</v>
      </c>
      <c r="F3587" s="1">
        <v>13</v>
      </c>
      <c r="G3587" s="1">
        <v>9</v>
      </c>
      <c r="H3587" s="1">
        <v>0</v>
      </c>
      <c r="I3587" s="1" t="s">
        <v>5473</v>
      </c>
      <c r="K3587" s="1" t="str">
        <f t="shared" si="225"/>
        <v>ㄉ</v>
      </c>
      <c r="L3587" s="1" t="str">
        <f t="shared" si="226"/>
        <v>ㄧ</v>
      </c>
      <c r="M3587" s="1" t="str">
        <f t="shared" si="227"/>
        <v>ㄢ</v>
      </c>
      <c r="P3587" s="1" t="s">
        <v>20</v>
      </c>
      <c r="R3587" s="1" t="s">
        <v>5474</v>
      </c>
      <c r="V3587" s="1" t="s">
        <v>5506</v>
      </c>
      <c r="AR3587" s="1" t="str">
        <f t="shared" ref="AR3587:AR3650" si="228">"| ["&amp;I3587&amp;"]("&amp;I3587&amp;".md) | ["&amp;A3587&amp;"]("&amp;A3587&amp;".md) | "&amp;" | "&amp;R3587&amp;" | "&amp;V3587&amp;" |"</f>
        <v>| [ㄉㄧㄢˋ](ㄉㄧㄢˋ.md) | [殿](殿.md) |  | diàn | [名]
1.高大的廳堂。如：「宮殿」、「佛殿」、「金鑾殿」、「森羅殿」、「大雄寶殿」。
2.行軍時保護全軍的最後一個部隊。《左傳．襄公二十六年》：「晉人寘諸戎車之殿，以為謀主。」《文選．張衡．東京賦》：「殿未出乎城闕，旆已反乎郊畛。」李善注引薛綜曰：「殿，後軍也。」
[形]
最後的。如：「殿軍」、「殿後」。
[動]
1.鎮定、鎮守。《詩經．小雅．采菽》：「殿天子之邦。」《論語．雍也》：「孟之反不伐，奔而殿。」
2.收尾、結束。宋．蘇軾〈雨晴後步至四望亭下〉詩：「殷懃木芍藥，獨自殿餘春。」 |</v>
      </c>
    </row>
    <row r="3588" spans="1:44" hidden="1">
      <c r="A3588" s="1" t="s">
        <v>5507</v>
      </c>
      <c r="C3588" s="1">
        <v>1</v>
      </c>
      <c r="D3588" s="1" t="str">
        <f>"02246"</f>
        <v>02246</v>
      </c>
      <c r="E3588" s="1" t="s">
        <v>129</v>
      </c>
      <c r="F3588" s="1">
        <v>16</v>
      </c>
      <c r="G3588" s="1">
        <v>13</v>
      </c>
      <c r="H3588" s="1">
        <v>0</v>
      </c>
      <c r="I3588" s="1" t="s">
        <v>5473</v>
      </c>
      <c r="K3588" s="1" t="str">
        <f t="shared" si="225"/>
        <v>ㄉ</v>
      </c>
      <c r="L3588" s="1" t="str">
        <f t="shared" si="226"/>
        <v>ㄧ</v>
      </c>
      <c r="M3588" s="1" t="str">
        <f t="shared" si="227"/>
        <v>ㄢ</v>
      </c>
      <c r="P3588" s="1" t="s">
        <v>20</v>
      </c>
      <c r="R3588" s="1" t="s">
        <v>5474</v>
      </c>
      <c r="V3588" s="1" t="s">
        <v>5508</v>
      </c>
      <c r="AR3588" s="1" t="str">
        <f t="shared" si="228"/>
        <v>| [ㄉㄧㄢˋ](ㄉㄧㄢˋ.md) | [澱](澱.md) |  | diàn | [名]
1.沉積的渣滓、淤泥。《宋史．卷九二．河渠志》：「今第見水即以杷濬之，水當隨杷改趨直河，苟置數千杷，則諸河淺澱，皆非所患。」
2.藍色染料。用藍葉浸水調和石灰沉澱而製成。元．周德清〈塞鴻秋．長江萬里白如練〉曲：「長江萬里白如練，淮山數點青如澱。」
[動]
淤積、沉浸。如：「沉澱」。宋．沈括《夢溪筆談．卷二五．雜志》：「而汴渠有二十年不浚，歲歲堙澱。」清．徐珂《清稗類鈔．詼諧類．回湯豆腐乾》：「豆腐，以黃豆為之。造法：水浸磨漿，濾去滓，煎成，澱以鹽鹵汁，就釜收之。」 |</v>
      </c>
    </row>
    <row r="3589" spans="1:44" hidden="1">
      <c r="A3589" s="1" t="s">
        <v>5509</v>
      </c>
      <c r="C3589" s="1">
        <v>1</v>
      </c>
      <c r="D3589" s="1" t="str">
        <f>"02247"</f>
        <v>02247</v>
      </c>
      <c r="E3589" s="1" t="s">
        <v>40</v>
      </c>
      <c r="F3589" s="1">
        <v>18</v>
      </c>
      <c r="G3589" s="1">
        <v>13</v>
      </c>
      <c r="H3589" s="1">
        <v>0</v>
      </c>
      <c r="I3589" s="1" t="s">
        <v>5473</v>
      </c>
      <c r="K3589" s="1" t="str">
        <f t="shared" si="225"/>
        <v>ㄉ</v>
      </c>
      <c r="L3589" s="1" t="str">
        <f t="shared" si="226"/>
        <v>ㄧ</v>
      </c>
      <c r="M3589" s="1" t="str">
        <f t="shared" si="227"/>
        <v>ㄢ</v>
      </c>
      <c r="P3589" s="1" t="s">
        <v>20</v>
      </c>
      <c r="R3589" s="1" t="s">
        <v>5474</v>
      </c>
      <c r="V3589" s="1" t="s">
        <v>5510</v>
      </c>
      <c r="AR3589" s="1" t="str">
        <f t="shared" si="228"/>
        <v>| [ㄉㄧㄢˋ](ㄉㄧㄢˋ.md) | [癜](癜.md) |  | diàn | [名]
中醫上指皮膚出現紫色或白色的小點，久而蔓延成疔。明．張自烈《正字通．疒部》：「癜，癜風，斑片也，有紫白二種。」俗稱為「白癜風」、「紫癜風」。 |</v>
      </c>
    </row>
    <row r="3590" spans="1:44" hidden="1">
      <c r="A3590" s="1" t="s">
        <v>5511</v>
      </c>
      <c r="C3590" s="1">
        <v>1</v>
      </c>
      <c r="D3590" s="1" t="str">
        <f>"02248"</f>
        <v>02248</v>
      </c>
      <c r="E3590" s="1" t="s">
        <v>132</v>
      </c>
      <c r="F3590" s="1">
        <v>14</v>
      </c>
      <c r="G3590" s="1">
        <v>11</v>
      </c>
      <c r="H3590" s="1">
        <v>0</v>
      </c>
      <c r="I3590" s="1" t="s">
        <v>5473</v>
      </c>
      <c r="K3590" s="1" t="str">
        <f t="shared" si="225"/>
        <v>ㄉ</v>
      </c>
      <c r="L3590" s="1" t="str">
        <f t="shared" si="226"/>
        <v>ㄧ</v>
      </c>
      <c r="M3590" s="1" t="str">
        <f t="shared" si="227"/>
        <v>ㄢ</v>
      </c>
      <c r="P3590" s="1" t="s">
        <v>20</v>
      </c>
      <c r="R3590" s="1" t="s">
        <v>5474</v>
      </c>
      <c r="V3590" s="1" t="s">
        <v>5512</v>
      </c>
      <c r="AR3590" s="1" t="str">
        <f t="shared" si="228"/>
        <v>| [ㄉㄧㄢˋ](ㄉㄧㄢˋ.md) | [墊](墊.md) |  | diàn | [動]
1.將東西襯在下面或鋪在上面，使加高、加厚或平整。《紅樓夢》第七二回：「鳳姐道：『我又不等著啣口墊背，忙了什麼！』」《兒女英雄傳》第二〇回：「這一個褥子薄，再墊個坐褥罷！」
2.填補空缺。如：「趕快拿個節目來墊檔，以免開天窗！」、「正戲未上演前，先墊一段小戲。」
3.代人或託人暫付款項。《老殘遊記》第一四回：「但是我行篋中所有頗不敷用，要請你老哥墊一墊，到了省城，我就還你。」《二十年目睹之怪現狀》第六三回：「倘使我們老爺，不肯拏出錢來，就是家人們代湊著先墊起來，也可以使得。」
4.陷入、下沉。如：「墊沒」、「墊溺」。《漢書．卷九十九．王莽傳下》：「武功中水鄉民三舍墊為池。」
[名]
鋪在下面的東西。如：「鞋墊」、「坐墊」、「靠墊」、「軟墊」、「床墊」、「氣墊」。 |</v>
      </c>
    </row>
    <row r="3591" spans="1:44" hidden="1">
      <c r="A3591" s="1" t="s">
        <v>5513</v>
      </c>
      <c r="C3591" s="1">
        <v>1</v>
      </c>
      <c r="D3591" s="1" t="str">
        <f>"02249"</f>
        <v>02249</v>
      </c>
      <c r="E3591" s="1" t="s">
        <v>5514</v>
      </c>
      <c r="F3591" s="1">
        <v>16</v>
      </c>
      <c r="G3591" s="1">
        <v>8</v>
      </c>
      <c r="H3591" s="1">
        <v>0</v>
      </c>
      <c r="I3591" s="1" t="s">
        <v>5473</v>
      </c>
      <c r="K3591" s="1" t="str">
        <f t="shared" si="225"/>
        <v>ㄉ</v>
      </c>
      <c r="L3591" s="1" t="str">
        <f t="shared" si="226"/>
        <v>ㄧ</v>
      </c>
      <c r="M3591" s="1" t="str">
        <f t="shared" si="227"/>
        <v>ㄢ</v>
      </c>
      <c r="P3591" s="1" t="s">
        <v>20</v>
      </c>
      <c r="R3591" s="1" t="s">
        <v>5474</v>
      </c>
      <c r="V3591" s="1" t="s">
        <v>5515</v>
      </c>
      <c r="AR3591" s="1" t="str">
        <f t="shared" si="228"/>
        <v>| [ㄉㄧㄢˋ](ㄉㄧㄢˋ.md) | [靛](靛.md) |  | diàn | [名]_x000D_
1.一種天然的青色染料，用藍草的葉子浸水加石灰沉澱而成。也稱為「靛青」、「藍靛」、「藍澱」。_x000D_
2.藍色與紫色混合而成的顏色。如：「彩虹有紅、橙、黃、綠、藍、靛、紫七個顏色。」 |</v>
      </c>
    </row>
    <row r="3592" spans="1:44" hidden="1">
      <c r="A3592" s="1" t="s">
        <v>5516</v>
      </c>
      <c r="C3592" s="1">
        <v>1</v>
      </c>
      <c r="D3592" s="1" t="str">
        <f>"02250"</f>
        <v>02250</v>
      </c>
      <c r="E3592" s="1" t="s">
        <v>49</v>
      </c>
      <c r="F3592" s="1">
        <v>18</v>
      </c>
      <c r="G3592" s="1">
        <v>12</v>
      </c>
      <c r="H3592" s="1">
        <v>0</v>
      </c>
      <c r="I3592" s="1" t="s">
        <v>5473</v>
      </c>
      <c r="K3592" s="1" t="str">
        <f t="shared" si="225"/>
        <v>ㄉ</v>
      </c>
      <c r="L3592" s="1" t="str">
        <f t="shared" si="226"/>
        <v>ㄧ</v>
      </c>
      <c r="M3592" s="1" t="str">
        <f t="shared" si="227"/>
        <v>ㄢ</v>
      </c>
      <c r="P3592" s="1" t="s">
        <v>20</v>
      </c>
      <c r="R3592" s="1" t="s">
        <v>5474</v>
      </c>
      <c r="V3592" s="1" t="s">
        <v>5517</v>
      </c>
      <c r="AR3592" s="1" t="str">
        <f t="shared" si="228"/>
        <v>| [ㄉㄧㄢˋ](ㄉㄧㄢˋ.md) | [簟](簟.md) |  | diàn | [名]
竹席。《說文解字．竹部》：「簟，竹席也。」宋．歐陽修〈臨江仙．柳下輕雷池上雨〉詞：「玉鉤垂下簾旌，涼波不動簟紋平，水精雙枕，傍有墮釵橫。」 |</v>
      </c>
    </row>
    <row r="3593" spans="1:44" hidden="1">
      <c r="A3593" s="1" t="s">
        <v>5518</v>
      </c>
      <c r="C3593" s="1">
        <v>1</v>
      </c>
      <c r="D3593" s="1" t="str">
        <f>"02251"</f>
        <v>02251</v>
      </c>
      <c r="E3593" s="1" t="s">
        <v>319</v>
      </c>
      <c r="F3593" s="1">
        <v>22</v>
      </c>
      <c r="G3593" s="1">
        <v>12</v>
      </c>
      <c r="H3593" s="1">
        <v>0</v>
      </c>
      <c r="I3593" s="1" t="s">
        <v>5473</v>
      </c>
      <c r="K3593" s="1" t="str">
        <f t="shared" si="225"/>
        <v>ㄉ</v>
      </c>
      <c r="L3593" s="1" t="str">
        <f t="shared" si="226"/>
        <v>ㄧ</v>
      </c>
      <c r="M3593" s="1" t="str">
        <f t="shared" si="227"/>
        <v>ㄢ</v>
      </c>
      <c r="P3593" s="1" t="s">
        <v>20</v>
      </c>
      <c r="R3593" s="1" t="s">
        <v>5474</v>
      </c>
      <c r="V3593" s="1" t="s">
        <v>5519</v>
      </c>
      <c r="AR3593" s="1" t="str">
        <f t="shared" si="228"/>
        <v>| [ㄉㄧㄢˋ](ㄉㄧㄢˋ.md) | [驔](驔.md) |  | diàn | [名]
脊毛黃色的黑馬。《說文解字．馬部》：「驔，驪馬黃脊。」《詩經．魯頌．駉》：「駉駉牡馬，在坰之野，薄言駉者，有駰有騢，有驔有魚，以車袪袪。」 |</v>
      </c>
    </row>
    <row r="3594" spans="1:44" hidden="1">
      <c r="A3594" s="1" t="s">
        <v>5777</v>
      </c>
      <c r="C3594" s="1">
        <v>1</v>
      </c>
      <c r="D3594" s="1" t="str">
        <f>"02361"</f>
        <v>02361</v>
      </c>
      <c r="E3594" s="1" t="s">
        <v>5778</v>
      </c>
      <c r="F3594" s="1">
        <v>9</v>
      </c>
      <c r="G3594" s="1">
        <v>3</v>
      </c>
      <c r="H3594" s="1">
        <v>1</v>
      </c>
      <c r="I3594" s="1" t="s">
        <v>5779</v>
      </c>
      <c r="K3594" s="1" t="str">
        <f t="shared" si="225"/>
        <v>ㄉ</v>
      </c>
      <c r="L3594" s="1" t="str">
        <f t="shared" si="226"/>
        <v>ㄨ</v>
      </c>
      <c r="M3594" s="1" t="str">
        <f t="shared" si="227"/>
        <v>ㄢ</v>
      </c>
      <c r="P3594" s="1" t="s">
        <v>20</v>
      </c>
      <c r="R3594" s="1" t="s">
        <v>5780</v>
      </c>
      <c r="V3594" s="1" t="s">
        <v>5781</v>
      </c>
      <c r="W3594" s="1" t="s">
        <v>5782</v>
      </c>
      <c r="AR3594" s="1" t="str">
        <f t="shared" si="228"/>
        <v>| [ㄉㄨㄢ](ㄉㄨㄢ.md) | [耑](耑.md) |  | duān | [名]
1.事物的起始。通「端」。《漢書．卷三〇．藝文志》：「言感物造耑，材知深美。」
2.器物的尖端。《周禮．冬官考工記．磬氏》：「已上則摩其旁，已下則摩其耑。」 |</v>
      </c>
    </row>
    <row r="3595" spans="1:44" hidden="1">
      <c r="A3595" s="1" t="s">
        <v>5783</v>
      </c>
      <c r="C3595" s="1">
        <v>1</v>
      </c>
      <c r="D3595" s="1" t="str">
        <f>"02362"</f>
        <v>02362</v>
      </c>
      <c r="E3595" s="1" t="s">
        <v>5784</v>
      </c>
      <c r="F3595" s="1">
        <v>14</v>
      </c>
      <c r="G3595" s="1">
        <v>9</v>
      </c>
      <c r="H3595" s="1">
        <v>0</v>
      </c>
      <c r="I3595" s="1" t="s">
        <v>5779</v>
      </c>
      <c r="K3595" s="1" t="str">
        <f t="shared" si="225"/>
        <v>ㄉ</v>
      </c>
      <c r="L3595" s="1" t="str">
        <f t="shared" si="226"/>
        <v>ㄨ</v>
      </c>
      <c r="M3595" s="1" t="str">
        <f t="shared" si="227"/>
        <v>ㄢ</v>
      </c>
      <c r="P3595" s="1" t="s">
        <v>20</v>
      </c>
      <c r="R3595" s="1" t="s">
        <v>5780</v>
      </c>
      <c r="V3595" s="1" t="s">
        <v>5785</v>
      </c>
      <c r="AR3595" s="1" t="str">
        <f t="shared" si="228"/>
        <v>| [ㄉㄨㄢ](ㄉㄨㄢ.md) | [端](端.md) |  | duān | [名]_x000D_
1.事物的兩頭皆稱為「端」。如：「尖端」、「末端」、「筆端」。《論語．子罕》：「我叩其兩端而竭焉。」明．徐弘祖《徐霞客遊記．卷三下．粵西遊日記二》：「岐中倒垂一乳，長數丈，其端空懸，水由端涓涓下。」_x000D_
2.事物的起始、原因。如：「開端」、「發端」、「事端」、「挑起戰端」。《孟子．公孫丑》：「惻隱之心，仁之端也。」《史記．卷七七．魏公子列傳》：「今有難，無他端而欲赴秦軍，譬若以肉投餒虎，何功之有哉？」《三國演義》第一六回：「公若應之，是疲於奔命，而又結怨於人；若其不允，是棄親而啟兵端也。」_x000D_
3.項目、方面。如：「鬼計多端」、「變化萬端」、「舉其一端」。《儒林外史》第三四回：「是這等樣，天下無妻子的人或者也少幾個，也是培補元氣之一端。」_x000D_
4.心思、思緒。南朝宋．劉義慶《世說新語．言語》：「衛洗馬初欲渡江，形神慘悴語左右云：『見此芒芒，不覺百端交集。』」唐．杜甫〈自京赴奉先縣詠懷五百字〉詩：「憂端齊終南，澒洞不可掇。」_x000D_
5.古代布帛的長度單位。通常一端約等於一匹。《初刻拍案驚奇》卷一：「除了文若虛，每人送緞子二端。」《儒林外史》第四二回：「次日，大爺備了八把點銅壺、兩瓶山羊血、四端苗錦、六簍貢茶，叫人挑著。」_x000D_
6.姓。如明代有端孝思。_x000D_
[形]_x000D_
正、直、不歪斜。如：「舉止端正」、「品行不端」。《禮記．玉藻》：「目容端，口容止。」《孟子．離婁下》：「夫尹公之他，端人也，其取友必端矣。」《醒世姻緣傳》第一三回：「將詳文書冊，俱一一寫得端正，批上簽了花押。」_x000D_
[動]_x000D_
1.以手托物。如：「端碗」、「端菜上桌」。《醒世姻緣傳》第五六回：「他起五更睡半夜，與主母梳頭纏腳，洗面穿衣，端茶掇飯，再也沒些怨聲。」_x000D_
2.擺。如：「端架子」、「把問題都端到檯面上討論」。_x000D_
[副]_x000D_
1.到底、究竟。宋．王安石〈龍泉寺石井〉詩二首之二：「四海旱多霖雨少，此中端有臥龍無？」宋．陸游〈幽事〉詩：「餘年端有幾？風月且婆娑。」_x000D_
2.果真。宋．蘇軾〈水龍吟．小舟橫截春江〉詞：「武昌南岸，昔遊應記。料多情夢裡，端來見我，也參差是。」 |</v>
      </c>
    </row>
    <row r="3596" spans="1:44" hidden="1">
      <c r="A3596" s="1" t="s">
        <v>5786</v>
      </c>
      <c r="C3596" s="1">
        <v>1</v>
      </c>
      <c r="D3596" s="1" t="str">
        <f>"02363"</f>
        <v>02363</v>
      </c>
      <c r="E3596" s="1" t="s">
        <v>122</v>
      </c>
      <c r="F3596" s="1">
        <v>12</v>
      </c>
      <c r="G3596" s="1">
        <v>7</v>
      </c>
      <c r="H3596" s="1">
        <v>0</v>
      </c>
      <c r="I3596" s="1" t="s">
        <v>5787</v>
      </c>
      <c r="K3596" s="1" t="str">
        <f t="shared" si="225"/>
        <v>ㄉ</v>
      </c>
      <c r="L3596" s="1" t="str">
        <f t="shared" si="226"/>
        <v>ㄨ</v>
      </c>
      <c r="M3596" s="1" t="str">
        <f t="shared" si="227"/>
        <v>ㄢ</v>
      </c>
      <c r="P3596" s="1" t="s">
        <v>20</v>
      </c>
      <c r="R3596" s="1" t="s">
        <v>5788</v>
      </c>
      <c r="V3596" s="1" t="s">
        <v>5789</v>
      </c>
      <c r="AR3596" s="1" t="str">
        <f t="shared" si="228"/>
        <v>| [ㄉㄨㄢˇ](ㄉㄨㄢˇ.md) | [短](短.md) |  | duǎn | [形]
長的相反詞：(1)指距離或長度小。如：「短刀」、「短裙」。(2)指時間少。如：「晝長夜短」。《書經．堯典》：「日短星昴，以正仲冬。」(3)指才氣少。如：「短才」。《晉書．卷六二．劉琨傳》：「以臣愚短，當此至難，憂如循環，不遑寢食。」
[名]
過失、缺點。如：「護短」、「揭短」、「說長道短」、「截長補短」。
[動]
1.缺少。《官話指南．卷二．官商吐屬》：「我這兒短了兩隻白皮箱。」
2.說別人壞話。《史記．卷八四．屈原賈生傳》：「令尹子蘭聞之大怒，卒使上官大夫短屈原於頃襄王，頃襄王怒而遷之。」
3.搶劫。《儒林外史》第四回：「嚴鄉紳執意不肯，把小的的驢和米同稍袋都叫人短了家去。」 |</v>
      </c>
    </row>
    <row r="3597" spans="1:44" hidden="1">
      <c r="A3597" s="1" t="s">
        <v>5790</v>
      </c>
      <c r="C3597" s="1">
        <v>1</v>
      </c>
      <c r="D3597" s="1" t="str">
        <f>"02364"</f>
        <v>02364</v>
      </c>
      <c r="E3597" s="1" t="s">
        <v>5505</v>
      </c>
      <c r="F3597" s="1">
        <v>9</v>
      </c>
      <c r="G3597" s="1">
        <v>5</v>
      </c>
      <c r="H3597" s="1">
        <v>0</v>
      </c>
      <c r="I3597" s="1" t="s">
        <v>5791</v>
      </c>
      <c r="K3597" s="1" t="str">
        <f t="shared" si="225"/>
        <v>ㄉ</v>
      </c>
      <c r="L3597" s="1" t="str">
        <f t="shared" si="226"/>
        <v>ㄨ</v>
      </c>
      <c r="M3597" s="1" t="str">
        <f t="shared" si="227"/>
        <v>ㄢ</v>
      </c>
      <c r="P3597" s="1" t="s">
        <v>20</v>
      </c>
      <c r="R3597" s="1" t="s">
        <v>5792</v>
      </c>
      <c r="V3597" s="1" t="s">
        <v>5793</v>
      </c>
      <c r="AR3597" s="1" t="str">
        <f t="shared" si="228"/>
        <v>| [ㄉㄨㄢˋ](ㄉㄨㄢˋ.md) | [段](段.md) |  | duàn | [名]
1.量詞：(1)計算長條物分成若干部分的單位。如：「兩段木頭」、「把這線剪成數小段。」(2)計算具有延續性質事物段落的單位。如：「一段路」、「一段情」、「一段話」、「一段時間」。
2.工廠、工礦或鐵公路組織中的一種任務編組。如：「工務段」、「機務段」。
3.姓。如唐代有段成式，清代有段玉裁。 |</v>
      </c>
    </row>
    <row r="3598" spans="1:44" hidden="1">
      <c r="A3598" s="1" t="s">
        <v>5794</v>
      </c>
      <c r="C3598" s="1">
        <v>1</v>
      </c>
      <c r="D3598" s="1" t="str">
        <f>"02365"</f>
        <v>02365</v>
      </c>
      <c r="E3598" s="1" t="s">
        <v>68</v>
      </c>
      <c r="F3598" s="1">
        <v>13</v>
      </c>
      <c r="G3598" s="1">
        <v>9</v>
      </c>
      <c r="H3598" s="1">
        <v>0</v>
      </c>
      <c r="I3598" s="1" t="s">
        <v>5791</v>
      </c>
      <c r="K3598" s="1" t="str">
        <f t="shared" si="225"/>
        <v>ㄉ</v>
      </c>
      <c r="L3598" s="1" t="str">
        <f t="shared" si="226"/>
        <v>ㄨ</v>
      </c>
      <c r="M3598" s="1" t="str">
        <f t="shared" si="227"/>
        <v>ㄢ</v>
      </c>
      <c r="P3598" s="1" t="s">
        <v>20</v>
      </c>
      <c r="R3598" s="1" t="s">
        <v>5792</v>
      </c>
      <c r="V3598" s="1" t="s">
        <v>5795</v>
      </c>
      <c r="AR3598" s="1" t="str">
        <f t="shared" si="228"/>
        <v>| [ㄉㄨㄢˋ](ㄉㄨㄢˋ.md) | [腶](腶.md) |  | duàn | [名]
腶脩：加以薑桂，捶擣所製成的肉乾。《集韻．去聲．換韻》：「腶，腶脩，捶脯施薑桂也。」《禮記．郊特牲》：「大饗尚腶脩而已矣。」《新唐書．卷一六四．歸崇敬傳》：「學生謁師，贄用腶脩一束，酒一壺，衫布一裁，色如師所服。」 |</v>
      </c>
    </row>
    <row r="3599" spans="1:44" hidden="1">
      <c r="A3599" s="1" t="s">
        <v>5796</v>
      </c>
      <c r="C3599" s="1">
        <v>1</v>
      </c>
      <c r="D3599" s="1" t="str">
        <f>"02366"</f>
        <v>02366</v>
      </c>
      <c r="E3599" s="1" t="s">
        <v>169</v>
      </c>
      <c r="F3599" s="1">
        <v>14</v>
      </c>
      <c r="G3599" s="1">
        <v>9</v>
      </c>
      <c r="H3599" s="1">
        <v>0</v>
      </c>
      <c r="I3599" s="1" t="s">
        <v>5791</v>
      </c>
      <c r="K3599" s="1" t="str">
        <f t="shared" si="225"/>
        <v>ㄉ</v>
      </c>
      <c r="L3599" s="1" t="str">
        <f t="shared" si="226"/>
        <v>ㄨ</v>
      </c>
      <c r="M3599" s="1" t="str">
        <f t="shared" si="227"/>
        <v>ㄢ</v>
      </c>
      <c r="P3599" s="1" t="s">
        <v>20</v>
      </c>
      <c r="R3599" s="1" t="s">
        <v>5792</v>
      </c>
      <c r="V3599" s="1" t="s">
        <v>5797</v>
      </c>
      <c r="AR3599" s="1" t="str">
        <f t="shared" si="228"/>
        <v>| [ㄉㄨㄢˋ](ㄉㄨㄢˋ.md) | [碫](碫.md) |  | duàn | [名]
磨刀石。《廣韻．去聲．換韻》：「碫，礪石。」 |</v>
      </c>
    </row>
    <row r="3600" spans="1:44" hidden="1">
      <c r="A3600" s="1" t="s">
        <v>5798</v>
      </c>
      <c r="C3600" s="1">
        <v>1</v>
      </c>
      <c r="D3600" s="1" t="str">
        <f>"02367"</f>
        <v>02367</v>
      </c>
      <c r="E3600" s="1" t="s">
        <v>725</v>
      </c>
      <c r="F3600" s="1">
        <v>15</v>
      </c>
      <c r="G3600" s="1">
        <v>9</v>
      </c>
      <c r="H3600" s="1">
        <v>0</v>
      </c>
      <c r="I3600" s="1" t="s">
        <v>5791</v>
      </c>
      <c r="K3600" s="1" t="str">
        <f t="shared" si="225"/>
        <v>ㄉ</v>
      </c>
      <c r="L3600" s="1" t="str">
        <f t="shared" si="226"/>
        <v>ㄨ</v>
      </c>
      <c r="M3600" s="1" t="str">
        <f t="shared" si="227"/>
        <v>ㄢ</v>
      </c>
      <c r="P3600" s="1" t="s">
        <v>20</v>
      </c>
      <c r="R3600" s="1" t="s">
        <v>5792</v>
      </c>
      <c r="V3600" s="1" t="s">
        <v>5799</v>
      </c>
      <c r="AR3600" s="1" t="str">
        <f t="shared" si="228"/>
        <v>| [ㄉㄨㄢˋ](ㄉㄨㄢˋ.md) | [緞](緞.md) |  | duàn | [名]
質地厚密，一面平滑有光彩的絲織品。如：「錦緞」、「綢緞」。 |</v>
      </c>
    </row>
    <row r="3601" spans="1:44" hidden="1">
      <c r="A3601" s="1" t="s">
        <v>5800</v>
      </c>
      <c r="C3601" s="1">
        <v>1</v>
      </c>
      <c r="D3601" s="1" t="str">
        <f>"02368"</f>
        <v>02368</v>
      </c>
      <c r="E3601" s="1" t="s">
        <v>5505</v>
      </c>
      <c r="F3601" s="1">
        <v>16</v>
      </c>
      <c r="G3601" s="1">
        <v>12</v>
      </c>
      <c r="H3601" s="1">
        <v>0</v>
      </c>
      <c r="I3601" s="1" t="s">
        <v>5791</v>
      </c>
      <c r="K3601" s="1" t="str">
        <f t="shared" si="225"/>
        <v>ㄉ</v>
      </c>
      <c r="L3601" s="1" t="str">
        <f t="shared" si="226"/>
        <v>ㄨ</v>
      </c>
      <c r="M3601" s="1" t="str">
        <f t="shared" si="227"/>
        <v>ㄢ</v>
      </c>
      <c r="P3601" s="1" t="s">
        <v>20</v>
      </c>
      <c r="R3601" s="1" t="s">
        <v>5792</v>
      </c>
      <c r="V3601" s="1" t="s">
        <v>5801</v>
      </c>
      <c r="AR3601" s="1" t="str">
        <f t="shared" si="228"/>
        <v>| [ㄉㄨㄢˋ](ㄉㄨㄢˋ.md) | [毈](毈.md) |  | duàn | [動]
孵不出小鳥。《淮南子．原道》：「獸胎不贕，鳥卵不毈。」漢．高誘．注：「卵不成鳥曰毈。」 |</v>
      </c>
    </row>
    <row r="3602" spans="1:44" hidden="1">
      <c r="A3602" s="1" t="s">
        <v>5802</v>
      </c>
      <c r="C3602" s="1">
        <v>1</v>
      </c>
      <c r="D3602" s="1" t="str">
        <f>"02369"</f>
        <v>02369</v>
      </c>
      <c r="E3602" s="1" t="s">
        <v>55</v>
      </c>
      <c r="F3602" s="1">
        <v>17</v>
      </c>
      <c r="G3602" s="1">
        <v>9</v>
      </c>
      <c r="H3602" s="1">
        <v>0</v>
      </c>
      <c r="I3602" s="1" t="s">
        <v>5791</v>
      </c>
      <c r="K3602" s="1" t="str">
        <f t="shared" si="225"/>
        <v>ㄉ</v>
      </c>
      <c r="L3602" s="1" t="str">
        <f t="shared" si="226"/>
        <v>ㄨ</v>
      </c>
      <c r="M3602" s="1" t="str">
        <f t="shared" si="227"/>
        <v>ㄢ</v>
      </c>
      <c r="P3602" s="1" t="s">
        <v>20</v>
      </c>
      <c r="R3602" s="1" t="s">
        <v>5792</v>
      </c>
      <c r="V3602" s="1" t="s">
        <v>5803</v>
      </c>
      <c r="AR3602" s="1" t="str">
        <f t="shared" si="228"/>
        <v>| [ㄉㄨㄢˋ](ㄉㄨㄢˋ.md) | [鍛](鍛.md) |  | duàn | [動]
將金屬放入火中燒紅，再用鐵錘搥打。如：「鍛鍊」、「鍛造」、「鍛工」、「鍛接」。《書經．費誓》：「備乃弓矢，鍛乃戈矛，礪乃鋒刃，無敢不善。」《晉書．卷四九．嵇康傳》：「初，康居貧，嘗與向秀共鍛於大樹之下，以自贍給。」
[名]
磨刀石。同「碫」。《詩經．大雅．公劉》：「涉渭為亂，取厲取鍛。」漢．毛亨．傳：「鍛，石也。」 |</v>
      </c>
    </row>
    <row r="3603" spans="1:44" hidden="1">
      <c r="A3603" s="1" t="s">
        <v>5804</v>
      </c>
      <c r="C3603" s="1">
        <v>1</v>
      </c>
      <c r="D3603" s="1" t="str">
        <f>"02370"</f>
        <v>02370</v>
      </c>
      <c r="E3603" s="1" t="s">
        <v>4517</v>
      </c>
      <c r="F3603" s="1">
        <v>18</v>
      </c>
      <c r="G3603" s="1">
        <v>14</v>
      </c>
      <c r="H3603" s="1">
        <v>0</v>
      </c>
      <c r="I3603" s="1" t="s">
        <v>5791</v>
      </c>
      <c r="K3603" s="1" t="str">
        <f t="shared" si="225"/>
        <v>ㄉ</v>
      </c>
      <c r="L3603" s="1" t="str">
        <f t="shared" si="226"/>
        <v>ㄨ</v>
      </c>
      <c r="M3603" s="1" t="str">
        <f t="shared" si="227"/>
        <v>ㄢ</v>
      </c>
      <c r="P3603" s="1" t="s">
        <v>20</v>
      </c>
      <c r="R3603" s="1" t="s">
        <v>5792</v>
      </c>
      <c r="V3603" s="1" t="s">
        <v>5805</v>
      </c>
      <c r="AR3603" s="1" t="str">
        <f t="shared" si="228"/>
        <v>| [ㄉㄨㄢˋ](ㄉㄨㄢˋ.md) | [斷](斷.md) |  | duàn | [動]
1.截開。如：「砍斷」、「割斷」。《易經．繫辭下》：「斷木為杵。」
2.隔絕、不延續。如：「中斷」、「望斷」、「斷了音訊」、「恩斷義絕」。唐．白居易〈後宮詞〉：「紅顏未老恩先斷，斜倚熏籠坐到明。」
3.戒除。如：「斷菸」、「斷奶」、「斷酒」。
4.決定、判定。如：「診斷」、「當機立斷」、「優柔寡斷」。《漢書．卷六八．霍光傳》：「當斷不斷，反受其亂。」
[副]
絕對的。如：「斷無此理」、「此事斷然做不得。」 |</v>
      </c>
    </row>
    <row r="3604" spans="1:44" hidden="1">
      <c r="A3604" s="1" t="s">
        <v>5806</v>
      </c>
      <c r="C3604" s="1">
        <v>1</v>
      </c>
      <c r="D3604" s="1" t="str">
        <f>"02371"</f>
        <v>02371</v>
      </c>
      <c r="E3604" s="1" t="s">
        <v>49</v>
      </c>
      <c r="F3604" s="1">
        <v>24</v>
      </c>
      <c r="G3604" s="1">
        <v>18</v>
      </c>
      <c r="H3604" s="1">
        <v>0</v>
      </c>
      <c r="I3604" s="1" t="s">
        <v>5791</v>
      </c>
      <c r="K3604" s="1" t="str">
        <f t="shared" si="225"/>
        <v>ㄉ</v>
      </c>
      <c r="L3604" s="1" t="str">
        <f t="shared" si="226"/>
        <v>ㄨ</v>
      </c>
      <c r="M3604" s="1" t="str">
        <f t="shared" si="227"/>
        <v>ㄢ</v>
      </c>
      <c r="P3604" s="1" t="s">
        <v>20</v>
      </c>
      <c r="R3604" s="1" t="s">
        <v>5792</v>
      </c>
      <c r="V3604" s="1" t="s">
        <v>5807</v>
      </c>
      <c r="AR3604" s="1" t="str">
        <f t="shared" si="228"/>
        <v>| [ㄉㄨㄢˋ](ㄉㄨㄢˋ.md) | [籪](籪.md) |  | duàn | [名]
插置在水中，便於捕捉魚、蝦、螃蟹等的竹柵。如：「魚籪」。 |</v>
      </c>
    </row>
    <row r="3605" spans="1:44" hidden="1">
      <c r="A3605" s="1" t="s">
        <v>5808</v>
      </c>
      <c r="C3605" s="1">
        <v>1</v>
      </c>
      <c r="D3605" s="1" t="str">
        <f>"02372"</f>
        <v>02372</v>
      </c>
      <c r="E3605" s="1" t="s">
        <v>250</v>
      </c>
      <c r="F3605" s="1">
        <v>11</v>
      </c>
      <c r="G3605" s="1">
        <v>8</v>
      </c>
      <c r="H3605" s="1">
        <v>0</v>
      </c>
      <c r="I3605" s="1" t="s">
        <v>5809</v>
      </c>
      <c r="K3605" s="1" t="str">
        <f t="shared" si="225"/>
        <v>ㄉ</v>
      </c>
      <c r="L3605" s="1" t="str">
        <f t="shared" si="226"/>
        <v>ㄨ</v>
      </c>
      <c r="M3605" s="1" t="str">
        <f t="shared" si="227"/>
        <v>ㄣ</v>
      </c>
      <c r="P3605" s="1" t="s">
        <v>20</v>
      </c>
      <c r="R3605" s="1" t="s">
        <v>5810</v>
      </c>
      <c r="V3605" s="1" t="s">
        <v>5811</v>
      </c>
      <c r="AR3605" s="1" t="str">
        <f t="shared" si="228"/>
        <v>| [ㄉㄨㄣ](ㄉㄨㄣ.md) | [惇](惇.md) |  | dūn | [形]
篤厚、信實。如：「風惇俗厚」。《書經．舜典》：「柔遠能邇，惇德允元。」漢．孔安國．傳：「敦，厚也。」
[動]
1.勸勉。《文選．班固．西都賦》：「命夫惇誨故老、名儒、師傅，講論乎六藝，稽合乎同異。」
2.重視、推崇。《書經．武成》：「惇信明義，崇德報功，垂拱而天下治。」 |</v>
      </c>
    </row>
    <row r="3606" spans="1:44" hidden="1">
      <c r="A3606" s="1" t="s">
        <v>5753</v>
      </c>
      <c r="C3606" s="1">
        <v>1</v>
      </c>
      <c r="D3606" s="1" t="str">
        <f>"02373"</f>
        <v>02373</v>
      </c>
      <c r="E3606" s="1" t="s">
        <v>426</v>
      </c>
      <c r="F3606" s="1">
        <v>12</v>
      </c>
      <c r="G3606" s="1">
        <v>8</v>
      </c>
      <c r="H3606" s="1">
        <v>1</v>
      </c>
      <c r="I3606" s="1" t="s">
        <v>5809</v>
      </c>
      <c r="K3606" s="1" t="str">
        <f t="shared" si="225"/>
        <v>ㄉ</v>
      </c>
      <c r="L3606" s="1" t="str">
        <f t="shared" si="226"/>
        <v>ㄨ</v>
      </c>
      <c r="M3606" s="1" t="str">
        <f t="shared" si="227"/>
        <v>ㄣ</v>
      </c>
      <c r="P3606" s="1" t="s">
        <v>20</v>
      </c>
      <c r="R3606" s="1" t="s">
        <v>5810</v>
      </c>
      <c r="V3606" s="1" t="s">
        <v>5812</v>
      </c>
      <c r="W3606" s="1" t="s">
        <v>5813</v>
      </c>
      <c r="AR3606" s="1" t="str">
        <f t="shared" si="228"/>
        <v>| [ㄉㄨㄣ](ㄉㄨㄣ.md) | [敦](敦.md) |  | dūn | [動]
1.督理。如：「敦促」。《孟子．公孫丑下》：「前日不知虞之不肖，使虞敦匠事。」《抱朴子．外篇．安貧》：「今吾子督余以誨盜之業，敦余以召賊之策。」
2.和睦、使融洽。如：「敦親睦鄰」。
[形]
質樸、篤厚。如：「敦厚」。《孟子．萬章下》：「故聞柳下惠之風者，鄙夫寬，薄夫敦。」漢．王符《潛夫論．實貢》：「夫修身慎行，敦方正直，清廉潔白，恬淡無為，化之本也。」
[副]
誠懇。如：「敦聘」、「敦請」。
[名]
姓。如春秋時衛國有敦治。 |</v>
      </c>
    </row>
    <row r="3607" spans="1:44" hidden="1">
      <c r="A3607" s="1" t="s">
        <v>5814</v>
      </c>
      <c r="C3607" s="1">
        <v>1</v>
      </c>
      <c r="D3607" s="1" t="str">
        <f>"02374"</f>
        <v>02374</v>
      </c>
      <c r="E3607" s="1" t="s">
        <v>132</v>
      </c>
      <c r="F3607" s="1">
        <v>15</v>
      </c>
      <c r="G3607" s="1">
        <v>12</v>
      </c>
      <c r="H3607" s="1">
        <v>0</v>
      </c>
      <c r="I3607" s="1" t="s">
        <v>5809</v>
      </c>
      <c r="K3607" s="1" t="str">
        <f t="shared" si="225"/>
        <v>ㄉ</v>
      </c>
      <c r="L3607" s="1" t="str">
        <f t="shared" si="226"/>
        <v>ㄨ</v>
      </c>
      <c r="M3607" s="1" t="str">
        <f t="shared" si="227"/>
        <v>ㄣ</v>
      </c>
      <c r="P3607" s="1" t="s">
        <v>20</v>
      </c>
      <c r="R3607" s="1" t="s">
        <v>5810</v>
      </c>
      <c r="V3607" s="1" t="s">
        <v>5815</v>
      </c>
      <c r="AR3607" s="1" t="str">
        <f t="shared" si="228"/>
        <v>| [ㄉㄨㄣ](ㄉㄨㄣ.md) | [墩](墩.md) |  | dūn | [名]
1.沙土堆成的高丘。如：「土墩」、「沙墩」。
2.用來支撐、墊物的粗壯木石或磚石所砌成的基礎。如：「橋墩」、「木墩」、「門墩」、「石墩」。
3.量詞。計算叢生植物的單位。同「叢」、「束」。如：「一墩麻條」。
4.術數用語。指隆起的地形。《儒林外史》第四五回：「從浦口山上發脈，一個墩，一個砲。」 |</v>
      </c>
    </row>
    <row r="3608" spans="1:44" hidden="1">
      <c r="A3608" s="1" t="s">
        <v>5816</v>
      </c>
      <c r="C3608" s="1">
        <v>1</v>
      </c>
      <c r="D3608" s="1" t="str">
        <f>"02375"</f>
        <v>02375</v>
      </c>
      <c r="E3608" s="1" t="s">
        <v>336</v>
      </c>
      <c r="F3608" s="1">
        <v>16</v>
      </c>
      <c r="G3608" s="1">
        <v>12</v>
      </c>
      <c r="H3608" s="1">
        <v>2</v>
      </c>
      <c r="I3608" s="1" t="s">
        <v>5809</v>
      </c>
      <c r="K3608" s="1" t="str">
        <f t="shared" si="225"/>
        <v>ㄉ</v>
      </c>
      <c r="L3608" s="1" t="str">
        <f t="shared" si="226"/>
        <v>ㄨ</v>
      </c>
      <c r="M3608" s="1" t="str">
        <f t="shared" si="227"/>
        <v>ㄣ</v>
      </c>
      <c r="P3608" s="1" t="s">
        <v>20</v>
      </c>
      <c r="R3608" s="1" t="s">
        <v>5810</v>
      </c>
      <c r="V3608" s="1" t="s">
        <v>5817</v>
      </c>
      <c r="W3608" s="1" t="s">
        <v>5818</v>
      </c>
      <c r="AR3608" s="1" t="str">
        <f t="shared" si="228"/>
        <v>| [ㄉㄨㄣ](ㄉㄨㄣ.md) | [燉](燉.md) |  | dūn | [形]
火勢旺盛。《玉篇．火部》：「燉，火盛貌。」
[名]
燉煌：地名。參見「敦煌」條。 |</v>
      </c>
    </row>
    <row r="3609" spans="1:44" hidden="1">
      <c r="A3609" s="1" t="s">
        <v>5819</v>
      </c>
      <c r="C3609" s="1">
        <v>1</v>
      </c>
      <c r="D3609" s="1" t="str">
        <f>"02376"</f>
        <v>02376</v>
      </c>
      <c r="E3609" s="1" t="s">
        <v>77</v>
      </c>
      <c r="F3609" s="1">
        <v>19</v>
      </c>
      <c r="G3609" s="1">
        <v>12</v>
      </c>
      <c r="H3609" s="1">
        <v>1</v>
      </c>
      <c r="I3609" s="1" t="s">
        <v>5809</v>
      </c>
      <c r="K3609" s="1" t="str">
        <f t="shared" si="225"/>
        <v>ㄉ</v>
      </c>
      <c r="L3609" s="1" t="str">
        <f t="shared" si="226"/>
        <v>ㄨ</v>
      </c>
      <c r="M3609" s="1" t="str">
        <f t="shared" si="227"/>
        <v>ㄣ</v>
      </c>
      <c r="P3609" s="1" t="s">
        <v>20</v>
      </c>
      <c r="R3609" s="1" t="s">
        <v>5810</v>
      </c>
      <c r="V3609" s="1" t="s">
        <v>5820</v>
      </c>
      <c r="W3609" s="1" t="s">
        <v>5821</v>
      </c>
      <c r="AR3609" s="1" t="str">
        <f t="shared" si="228"/>
        <v>| [ㄉㄨㄣ](ㄉㄨㄣ.md) | [蹲](蹲.md) |  | dūn | [動]
1.彎曲兩腿，臀部虛坐而不著地。如：「蹲踞」、「蹲下」。
2.留、閒居。《老殘遊記》第一回：「這麼長天大日的，老殘，你蹲在家裡做甚？」 |</v>
      </c>
    </row>
    <row r="3610" spans="1:44" hidden="1">
      <c r="A3610" s="1" t="s">
        <v>5822</v>
      </c>
      <c r="C3610" s="1">
        <v>1</v>
      </c>
      <c r="D3610" s="1" t="str">
        <f>"02377"</f>
        <v>02377</v>
      </c>
      <c r="E3610" s="1" t="s">
        <v>1015</v>
      </c>
      <c r="F3610" s="1">
        <v>9</v>
      </c>
      <c r="G3610" s="1">
        <v>4</v>
      </c>
      <c r="H3610" s="1">
        <v>0</v>
      </c>
      <c r="I3610" s="1" t="s">
        <v>5823</v>
      </c>
      <c r="K3610" s="1" t="str">
        <f t="shared" si="225"/>
        <v>ㄉ</v>
      </c>
      <c r="L3610" s="1" t="str">
        <f t="shared" si="226"/>
        <v>ㄨ</v>
      </c>
      <c r="M3610" s="1" t="str">
        <f t="shared" si="227"/>
        <v>ㄣ</v>
      </c>
      <c r="P3610" s="1" t="s">
        <v>20</v>
      </c>
      <c r="R3610" s="1" t="s">
        <v>5824</v>
      </c>
      <c r="V3610" s="1" t="s">
        <v>5825</v>
      </c>
      <c r="AR3610" s="1" t="str">
        <f t="shared" si="228"/>
        <v>| [ㄉㄨㄣˇ](ㄉㄨㄣˇ.md) | [盹](盹.md) |  | dǔn | [名]
時間很短的睡眠。如：「打盹兒」、「醒盹兒」。元．喬吉《揚州夢》第二折：「適纔剛打了一個盹，又早晚了也。」
[動]
閉目小睡。《董西廂》卷七：「中袖與枕頭兒都是淚痕，一夜家無眠白日盹。」元．王實甫《西廂記．第二本．第一折》：「紅娘呵，我只索搭伏定鮫綃枕頭兒上盹。」 |</v>
      </c>
    </row>
    <row r="3611" spans="1:44" hidden="1">
      <c r="A3611" s="1" t="s">
        <v>5826</v>
      </c>
      <c r="C3611" s="1">
        <v>1</v>
      </c>
      <c r="D3611" s="1" t="str">
        <f>"02378"</f>
        <v>02378</v>
      </c>
      <c r="E3611" s="1" t="s">
        <v>77</v>
      </c>
      <c r="F3611" s="1">
        <v>20</v>
      </c>
      <c r="G3611" s="1">
        <v>13</v>
      </c>
      <c r="H3611" s="1">
        <v>0</v>
      </c>
      <c r="I3611" s="1" t="s">
        <v>5823</v>
      </c>
      <c r="K3611" s="1" t="str">
        <f t="shared" si="225"/>
        <v>ㄉ</v>
      </c>
      <c r="L3611" s="1" t="str">
        <f t="shared" si="226"/>
        <v>ㄨ</v>
      </c>
      <c r="M3611" s="1" t="str">
        <f t="shared" si="227"/>
        <v>ㄣ</v>
      </c>
      <c r="P3611" s="1" t="s">
        <v>20</v>
      </c>
      <c r="R3611" s="1" t="s">
        <v>5824</v>
      </c>
      <c r="V3611" s="1" t="s">
        <v>5827</v>
      </c>
      <c r="AR3611" s="1" t="str">
        <f t="shared" si="228"/>
        <v>| [ㄉㄨㄣˇ](ㄉㄨㄣˇ.md) | [躉](躉.md) |  | dǔn | [動]
整批的購入。如：「現躉現賣」。《里語徵實．卷上．一字徵實》引《人生要覽》：「貴時卸丟，賤時躉。」
[副]
成批的。如：「躉售」、「躉買」。 |</v>
      </c>
    </row>
    <row r="3612" spans="1:44" hidden="1">
      <c r="A3612" s="1" t="s">
        <v>5828</v>
      </c>
      <c r="C3612" s="1">
        <v>1</v>
      </c>
      <c r="D3612" s="1" t="str">
        <f>"02379"</f>
        <v>02379</v>
      </c>
      <c r="E3612" s="1" t="s">
        <v>129</v>
      </c>
      <c r="F3612" s="1">
        <v>7</v>
      </c>
      <c r="G3612" s="1">
        <v>4</v>
      </c>
      <c r="H3612" s="1">
        <v>0</v>
      </c>
      <c r="I3612" s="1" t="s">
        <v>5829</v>
      </c>
      <c r="K3612" s="1" t="str">
        <f t="shared" si="225"/>
        <v>ㄉ</v>
      </c>
      <c r="L3612" s="1" t="str">
        <f t="shared" si="226"/>
        <v>ㄨ</v>
      </c>
      <c r="M3612" s="1" t="str">
        <f t="shared" si="227"/>
        <v>ㄣ</v>
      </c>
      <c r="P3612" s="1" t="s">
        <v>20</v>
      </c>
      <c r="R3612" s="1" t="s">
        <v>5830</v>
      </c>
      <c r="V3612" s="1" t="s">
        <v>5831</v>
      </c>
      <c r="AR3612" s="1" t="str">
        <f t="shared" si="228"/>
        <v>| [ㄉㄨㄣˋ](ㄉㄨㄣˋ.md) | [沌](沌.md) |  | dùn | 參見「混沌」條。 |</v>
      </c>
    </row>
    <row r="3613" spans="1:44" hidden="1">
      <c r="A3613" s="1" t="s">
        <v>5832</v>
      </c>
      <c r="C3613" s="1">
        <v>1</v>
      </c>
      <c r="D3613" s="1" t="str">
        <f>"02379A"</f>
        <v>02379A</v>
      </c>
      <c r="E3613" s="1" t="s">
        <v>447</v>
      </c>
      <c r="F3613" s="1">
        <v>7</v>
      </c>
      <c r="G3613" s="1">
        <v>4</v>
      </c>
      <c r="H3613" s="1">
        <v>1</v>
      </c>
      <c r="I3613" s="1" t="s">
        <v>5829</v>
      </c>
      <c r="K3613" s="1" t="str">
        <f t="shared" si="225"/>
        <v>ㄉ</v>
      </c>
      <c r="L3613" s="1" t="str">
        <f t="shared" si="226"/>
        <v>ㄨ</v>
      </c>
      <c r="M3613" s="1" t="str">
        <f t="shared" si="227"/>
        <v>ㄣ</v>
      </c>
      <c r="P3613" s="1" t="s">
        <v>20</v>
      </c>
      <c r="R3613" s="1" t="s">
        <v>5830</v>
      </c>
      <c r="V3613" s="1" t="s">
        <v>5833</v>
      </c>
      <c r="W3613" s="1" t="s">
        <v>5834</v>
      </c>
      <c r="AR3613" s="1" t="str">
        <f t="shared" si="228"/>
        <v>| [ㄉㄨㄣˋ](ㄉㄨㄣˋ.md) | [庉](庉.md) |  | dùn | [名]
樓牆。《說文解字．广部》：「庉，樓牆也。」
[擬]
參見「庉庉」條。 |</v>
      </c>
    </row>
    <row r="3614" spans="1:44" hidden="1">
      <c r="A3614" s="1" t="s">
        <v>5835</v>
      </c>
      <c r="C3614" s="1">
        <v>1</v>
      </c>
      <c r="D3614" s="1" t="str">
        <f>"02380"</f>
        <v>02380</v>
      </c>
      <c r="E3614" s="1" t="s">
        <v>2557</v>
      </c>
      <c r="F3614" s="1">
        <v>7</v>
      </c>
      <c r="G3614" s="1">
        <v>4</v>
      </c>
      <c r="H3614" s="1">
        <v>1</v>
      </c>
      <c r="I3614" s="1" t="s">
        <v>5829</v>
      </c>
      <c r="K3614" s="1" t="str">
        <f t="shared" si="225"/>
        <v>ㄉ</v>
      </c>
      <c r="L3614" s="1" t="str">
        <f t="shared" si="226"/>
        <v>ㄨ</v>
      </c>
      <c r="M3614" s="1" t="str">
        <f t="shared" si="227"/>
        <v>ㄣ</v>
      </c>
      <c r="P3614" s="1" t="s">
        <v>20</v>
      </c>
      <c r="R3614" s="1" t="s">
        <v>5830</v>
      </c>
      <c r="V3614" s="1" t="s">
        <v>5836</v>
      </c>
      <c r="W3614" s="1" t="s">
        <v>5837</v>
      </c>
      <c r="AR3614" s="1" t="str">
        <f t="shared" si="228"/>
        <v>| [ㄉㄨㄣˋ](ㄉㄨㄣˋ.md) | [囤](囤.md) |  | dùn | [名]
用竹篾、荊柳條、稻草等編成或用竹蓆所圍成的盛糧器具。如：「米囤」、「麥囤」。唐．貫休〈山居〉詩二四首之一七：「且為小囤盛紅粟，別有珍禽勝白鷗。」《老殘遊記》第一四回：「囤子裡的散糧被亂人搶了一個精光，只有潑灑在地上的，掃了掃，還有兩三擔糧食。」 |</v>
      </c>
    </row>
    <row r="3615" spans="1:44" hidden="1">
      <c r="A3615" s="1" t="s">
        <v>5838</v>
      </c>
      <c r="C3615" s="1">
        <v>1</v>
      </c>
      <c r="D3615" s="1" t="str">
        <f>"02381"</f>
        <v>02381</v>
      </c>
      <c r="E3615" s="1" t="s">
        <v>55</v>
      </c>
      <c r="F3615" s="1">
        <v>12</v>
      </c>
      <c r="G3615" s="1">
        <v>4</v>
      </c>
      <c r="H3615" s="1">
        <v>0</v>
      </c>
      <c r="I3615" s="1" t="s">
        <v>5829</v>
      </c>
      <c r="K3615" s="1" t="str">
        <f t="shared" si="225"/>
        <v>ㄉ</v>
      </c>
      <c r="L3615" s="1" t="str">
        <f t="shared" si="226"/>
        <v>ㄨ</v>
      </c>
      <c r="M3615" s="1" t="str">
        <f t="shared" si="227"/>
        <v>ㄣ</v>
      </c>
      <c r="P3615" s="1" t="s">
        <v>20</v>
      </c>
      <c r="R3615" s="1" t="s">
        <v>5830</v>
      </c>
      <c r="V3615" s="1" t="s">
        <v>5839</v>
      </c>
      <c r="AR3615" s="1" t="str">
        <f t="shared" si="228"/>
        <v>| [ㄉㄨㄣˋ](ㄉㄨㄣˋ.md) | [鈍](鈍.md) |  | dùn | [形]
1.不銳利。如：「鈍刀」、「鈍器」。
2.笨、呆、蠢。如：「遲鈍」、「愚鈍」、「魯鈍」。元．楊景賢《劉行首》第三折：「休笑我妝鈍妝呆，看了幾千場柳凋花謝。」 |</v>
      </c>
    </row>
    <row r="3616" spans="1:44" hidden="1">
      <c r="A3616" s="1" t="s">
        <v>5840</v>
      </c>
      <c r="C3616" s="1">
        <v>1</v>
      </c>
      <c r="D3616" s="1" t="str">
        <f>"02382"</f>
        <v>02382</v>
      </c>
      <c r="E3616" s="1" t="s">
        <v>193</v>
      </c>
      <c r="F3616" s="1">
        <v>12</v>
      </c>
      <c r="G3616" s="1">
        <v>4</v>
      </c>
      <c r="H3616" s="1">
        <v>1</v>
      </c>
      <c r="I3616" s="1" t="s">
        <v>5829</v>
      </c>
      <c r="K3616" s="1" t="str">
        <f t="shared" si="225"/>
        <v>ㄉ</v>
      </c>
      <c r="L3616" s="1" t="str">
        <f t="shared" si="226"/>
        <v>ㄨ</v>
      </c>
      <c r="M3616" s="1" t="str">
        <f t="shared" si="227"/>
        <v>ㄣ</v>
      </c>
      <c r="P3616" s="1" t="s">
        <v>20</v>
      </c>
      <c r="R3616" s="1" t="s">
        <v>5830</v>
      </c>
      <c r="V3616" s="1" t="s">
        <v>5841</v>
      </c>
      <c r="W3616" s="1" t="s">
        <v>5842</v>
      </c>
      <c r="AR3616" s="1" t="str">
        <f t="shared" si="228"/>
        <v>| [ㄉㄨㄣˋ](ㄉㄨㄣˋ.md) | [飩](飩.md) |  | dùn | 參見「餛飩」條。 |</v>
      </c>
    </row>
    <row r="3617" spans="1:44" hidden="1">
      <c r="A3617" s="1" t="s">
        <v>5588</v>
      </c>
      <c r="C3617" s="1">
        <v>1</v>
      </c>
      <c r="D3617" s="1" t="str">
        <f>"02383"</f>
        <v>02383</v>
      </c>
      <c r="E3617" s="1" t="s">
        <v>684</v>
      </c>
      <c r="F3617" s="1">
        <v>13</v>
      </c>
      <c r="G3617" s="1">
        <v>4</v>
      </c>
      <c r="H3617" s="1">
        <v>1</v>
      </c>
      <c r="I3617" s="1" t="s">
        <v>5829</v>
      </c>
      <c r="K3617" s="1" t="str">
        <f t="shared" si="225"/>
        <v>ㄉ</v>
      </c>
      <c r="L3617" s="1" t="str">
        <f t="shared" si="226"/>
        <v>ㄨ</v>
      </c>
      <c r="M3617" s="1" t="str">
        <f t="shared" si="227"/>
        <v>ㄣ</v>
      </c>
      <c r="P3617" s="1" t="s">
        <v>20</v>
      </c>
      <c r="R3617" s="1" t="s">
        <v>5830</v>
      </c>
      <c r="V3617" s="1" t="s">
        <v>5843</v>
      </c>
      <c r="W3617" s="1" t="s">
        <v>5844</v>
      </c>
      <c r="AR3617" s="1" t="str">
        <f t="shared" si="228"/>
        <v>| [ㄉㄨㄣˋ](ㄉㄨㄣˋ.md) | [頓](頓.md) |  | dùn | [動]
1.以頭或足叩地。如：「頓首」、「頓腳」。唐．杜甫〈兵車行〉：「牽衣頓足攔道哭，哭聲直上干雲霄。」
2.暫停、停留。如：「停頓」。《文選．郭璞．遊仙詩七首之四》：「六龍安可頓，運流有代謝。」
3.安置、放置。如：「安頓」。宋．楊萬里〈城頭秋望〉詩二首之一：「秋光好處頓胡床，旋喚茶甌淺著湯。」
4.整治。如：「整頓」。《資治通鑑．卷二．周紀二．顯王四十八年》：「夫賢者，其德足以敦化正俗，其才足以頓綱振紀。」
5.屯兵、駐紮。通「屯」。《韓非子．五蠹》：「萬乘之國，莫敢自頓於堅城之下，而使強敵裁其弊也。」
[形]
1.疲倦。如：「困頓」、「委頓」。《孫子．謀攻》：「必以全爭於天下，故兵不頓而利可全。」
2.鈍、不鋒利。漢．賈誼〈治安策〉：「屠牛坦一朝解十二牛，而芒刃不頓者，所排擊剝割，皆眾理解也。」
3.傾倒、毀壞。《資治通鑑．卷六五．漢紀五十七．獻帝建安十三年》：「舟船戰具，頓廢不脩。」
[名]
1.量詞。計算吃飯、斥責等行為次數的單位。如：「吃一頓飯」、「痛打一頓」。
2.姓。如漢代有頓琦。
[副]
立刻、突然。如：「頓悟」、「茅塞頓開」。《紅樓夢》第五回：「勘破三春景不長，緇衣頓改昔年妝。」 |</v>
      </c>
    </row>
    <row r="3618" spans="1:44" hidden="1">
      <c r="A3618" s="1" t="s">
        <v>5845</v>
      </c>
      <c r="C3618" s="1">
        <v>1</v>
      </c>
      <c r="D3618" s="1" t="str">
        <f>"02384"</f>
        <v>02384</v>
      </c>
      <c r="E3618" s="1" t="s">
        <v>28</v>
      </c>
      <c r="F3618" s="1">
        <v>16</v>
      </c>
      <c r="G3618" s="1">
        <v>13</v>
      </c>
      <c r="H3618" s="1">
        <v>0</v>
      </c>
      <c r="I3618" s="1" t="s">
        <v>5829</v>
      </c>
      <c r="K3618" s="1" t="str">
        <f t="shared" si="225"/>
        <v>ㄉ</v>
      </c>
      <c r="L3618" s="1" t="str">
        <f t="shared" si="226"/>
        <v>ㄨ</v>
      </c>
      <c r="M3618" s="1" t="str">
        <f t="shared" si="227"/>
        <v>ㄣ</v>
      </c>
      <c r="P3618" s="1" t="s">
        <v>20</v>
      </c>
      <c r="R3618" s="1" t="s">
        <v>5830</v>
      </c>
      <c r="V3618" s="1" t="s">
        <v>5846</v>
      </c>
      <c r="AR3618" s="1" t="str">
        <f t="shared" si="228"/>
        <v>| [ㄉㄨㄣˋ](ㄉㄨㄣˋ.md) | [噸](噸.md) |  | dùn | [量]_x000D_
1.表示質量和重量的單位。公制一公噸等於一千公斤；在英制中，一噸等於一千零一十六點零四六九公斤，也稱為「長噸」；但在美加地區，一噸等於九百零七點一八四七公斤，也稱為「短噸」。_x000D_
2.計算船艙容積的單位。一噸等於一百立方英尺或二點八三立方公尺。_x000D_
3.計算船載貨體積的單位。一噸等於四十立方英尺或一點一三二八立方公尺。 |</v>
      </c>
    </row>
    <row r="3619" spans="1:44" hidden="1">
      <c r="A3619" s="1" t="s">
        <v>5847</v>
      </c>
      <c r="C3619" s="1">
        <v>1</v>
      </c>
      <c r="D3619" s="1" t="str">
        <f>"02385"</f>
        <v>02385</v>
      </c>
      <c r="E3619" s="1" t="s">
        <v>1015</v>
      </c>
      <c r="F3619" s="1">
        <v>9</v>
      </c>
      <c r="G3619" s="1">
        <v>4</v>
      </c>
      <c r="H3619" s="1">
        <v>1</v>
      </c>
      <c r="I3619" s="1" t="s">
        <v>5829</v>
      </c>
      <c r="K3619" s="1" t="str">
        <f t="shared" si="225"/>
        <v>ㄉ</v>
      </c>
      <c r="L3619" s="1" t="str">
        <f t="shared" si="226"/>
        <v>ㄨ</v>
      </c>
      <c r="M3619" s="1" t="str">
        <f t="shared" si="227"/>
        <v>ㄣ</v>
      </c>
      <c r="P3619" s="1" t="s">
        <v>20</v>
      </c>
      <c r="R3619" s="1" t="s">
        <v>5830</v>
      </c>
      <c r="V3619" s="1" t="s">
        <v>5848</v>
      </c>
      <c r="W3619" s="1" t="s">
        <v>5849</v>
      </c>
      <c r="AR3619" s="1" t="str">
        <f t="shared" si="228"/>
        <v>| [ㄉㄨㄣˋ](ㄉㄨㄣˋ.md) | [盾](盾.md) |  | dùn | [名]
1.一種抵禦敵人矢刃等攻擊，保護己身安全的兵器。如：「盾牌」、「籐盾」、「金劍神盾」。
2.比喻支持或援助的力量。如：「深厚的民意基礎是他強而有力的後盾。」
3.盾形的物品。多用作獎牌或紀念品。如：「銀盾」、「金盾」。
4.荷蘭、越南、印尼等國貨幣單位的簡稱。 |</v>
      </c>
    </row>
    <row r="3620" spans="1:44" hidden="1">
      <c r="A3620" s="1" t="s">
        <v>5850</v>
      </c>
      <c r="C3620" s="1">
        <v>1</v>
      </c>
      <c r="D3620" s="1" t="str">
        <f>"02386"</f>
        <v>02386</v>
      </c>
      <c r="E3620" s="1" t="s">
        <v>558</v>
      </c>
      <c r="F3620" s="1">
        <v>13</v>
      </c>
      <c r="G3620" s="1">
        <v>9</v>
      </c>
      <c r="H3620" s="1">
        <v>0</v>
      </c>
      <c r="I3620" s="1" t="s">
        <v>5829</v>
      </c>
      <c r="K3620" s="1" t="str">
        <f t="shared" si="225"/>
        <v>ㄉ</v>
      </c>
      <c r="L3620" s="1" t="str">
        <f t="shared" si="226"/>
        <v>ㄨ</v>
      </c>
      <c r="M3620" s="1" t="str">
        <f t="shared" si="227"/>
        <v>ㄣ</v>
      </c>
      <c r="P3620" s="1" t="s">
        <v>20</v>
      </c>
      <c r="R3620" s="1" t="s">
        <v>5830</v>
      </c>
      <c r="V3620" s="1" t="s">
        <v>5851</v>
      </c>
      <c r="AR3620" s="1" t="str">
        <f t="shared" si="228"/>
        <v>| [ㄉㄨㄣˋ](ㄉㄨㄣˋ.md) | [遁](遁.md) |  | dùn | [動]
1.逃走。如：「逃遁」、「尿遁」、「地遁」、「遠遁」。《左傳．襄公十八年》：「丙寅晦，齊師夜遁。」
2.逃避。《史記．卷一二二．酷吏傳．序》：「昔天下之網嘗密矣，然姦偽萌起，其極也，上下相遁，至於不振。」
3.隱匿。《後漢書．卷八一．范冉傳》：「因遁身逃命於梁沛之間，徒行敝服，賣卜於市。」 |</v>
      </c>
    </row>
    <row r="3621" spans="1:44" hidden="1">
      <c r="A3621" s="1" t="s">
        <v>5753</v>
      </c>
      <c r="C3621" s="1">
        <v>1</v>
      </c>
      <c r="D3621" s="1" t="str">
        <f>"02387"</f>
        <v>02387</v>
      </c>
      <c r="E3621" s="1" t="s">
        <v>426</v>
      </c>
      <c r="F3621" s="1">
        <v>12</v>
      </c>
      <c r="G3621" s="1">
        <v>8</v>
      </c>
      <c r="H3621" s="1">
        <v>2</v>
      </c>
      <c r="I3621" s="1" t="s">
        <v>5829</v>
      </c>
      <c r="K3621" s="1" t="str">
        <f t="shared" si="225"/>
        <v>ㄉ</v>
      </c>
      <c r="L3621" s="1" t="str">
        <f t="shared" si="226"/>
        <v>ㄨ</v>
      </c>
      <c r="M3621" s="1" t="str">
        <f t="shared" si="227"/>
        <v>ㄣ</v>
      </c>
      <c r="P3621" s="1" t="s">
        <v>20</v>
      </c>
      <c r="R3621" s="1" t="s">
        <v>5830</v>
      </c>
      <c r="V3621" s="1" t="s">
        <v>5852</v>
      </c>
      <c r="W3621" s="1" t="s">
        <v>5853</v>
      </c>
      <c r="AR3621" s="1" t="str">
        <f t="shared" si="228"/>
        <v>| [ㄉㄨㄣˋ](ㄉㄨㄣˋ.md) | [敦](敦.md) |  | dùn | [形]
不明朗、不開通。通「沌」。如：「渾敦」。 |</v>
      </c>
    </row>
    <row r="3622" spans="1:44" hidden="1">
      <c r="A3622" s="1" t="s">
        <v>5816</v>
      </c>
      <c r="C3622" s="1">
        <v>1</v>
      </c>
      <c r="D3622" s="1" t="str">
        <f>"02388"</f>
        <v>02388</v>
      </c>
      <c r="E3622" s="1" t="s">
        <v>336</v>
      </c>
      <c r="F3622" s="1">
        <v>16</v>
      </c>
      <c r="G3622" s="1">
        <v>12</v>
      </c>
      <c r="H3622" s="1">
        <v>1</v>
      </c>
      <c r="I3622" s="1" t="s">
        <v>5829</v>
      </c>
      <c r="K3622" s="1" t="str">
        <f t="shared" si="225"/>
        <v>ㄉ</v>
      </c>
      <c r="L3622" s="1" t="str">
        <f t="shared" si="226"/>
        <v>ㄨ</v>
      </c>
      <c r="M3622" s="1" t="str">
        <f t="shared" si="227"/>
        <v>ㄣ</v>
      </c>
      <c r="P3622" s="1" t="s">
        <v>20</v>
      </c>
      <c r="R3622" s="1" t="s">
        <v>5830</v>
      </c>
      <c r="V3622" s="1" t="s">
        <v>5854</v>
      </c>
      <c r="W3622" s="1" t="s">
        <v>5855</v>
      </c>
      <c r="AR3622" s="1" t="str">
        <f t="shared" si="228"/>
        <v>| [ㄉㄨㄣˋ](ㄉㄨㄣˋ.md) | [燉](燉.md) |  | dùn | [動]
烹調方法：(1)將食物加水，用文火慢煮使爛熟。如：「清燉」、「燉雞」。(2)將食物放入盅或陶罐中，隔水以慢火煨煮使材料熟軟。如：「鳳爪燉冬菇」。 |</v>
      </c>
    </row>
    <row r="3623" spans="1:44" hidden="1">
      <c r="A3623" s="1" t="s">
        <v>5856</v>
      </c>
      <c r="C3623" s="1">
        <v>1</v>
      </c>
      <c r="D3623" s="1" t="str">
        <f>"02389"</f>
        <v>02389</v>
      </c>
      <c r="E3623" s="1" t="s">
        <v>558</v>
      </c>
      <c r="F3623" s="1">
        <v>15</v>
      </c>
      <c r="G3623" s="1">
        <v>11</v>
      </c>
      <c r="H3623" s="1">
        <v>0</v>
      </c>
      <c r="I3623" s="1" t="s">
        <v>5829</v>
      </c>
      <c r="K3623" s="1" t="str">
        <f t="shared" si="225"/>
        <v>ㄉ</v>
      </c>
      <c r="L3623" s="1" t="str">
        <f t="shared" si="226"/>
        <v>ㄨ</v>
      </c>
      <c r="M3623" s="1" t="str">
        <f t="shared" si="227"/>
        <v>ㄣ</v>
      </c>
      <c r="P3623" s="1" t="s">
        <v>20</v>
      </c>
      <c r="R3623" s="1" t="s">
        <v>5830</v>
      </c>
      <c r="V3623" s="1" t="s">
        <v>5857</v>
      </c>
      <c r="AR3623" s="1" t="str">
        <f t="shared" si="228"/>
        <v>| [ㄉㄨㄣˋ](ㄉㄨㄣˋ.md) | [遯](遯.md) |  | dùn | [名]
《易經》卦名。六十四卦之一。艮（☶）下乾（☰）上，表隱退之象。
[動]
逃。同「遁」。如：「遯走」、「遯跡山林」。 |</v>
      </c>
    </row>
    <row r="3624" spans="1:44" hidden="1">
      <c r="A3624" s="1" t="s">
        <v>5520</v>
      </c>
      <c r="C3624" s="1">
        <v>1</v>
      </c>
      <c r="D3624" s="1" t="str">
        <f>"02252"</f>
        <v>02252</v>
      </c>
      <c r="E3624" s="1" t="s">
        <v>789</v>
      </c>
      <c r="F3624" s="1">
        <v>2</v>
      </c>
      <c r="G3624" s="1">
        <v>1</v>
      </c>
      <c r="H3624" s="1">
        <v>1</v>
      </c>
      <c r="I3624" s="1" t="s">
        <v>5521</v>
      </c>
      <c r="K3624" s="1" t="str">
        <f t="shared" ref="K3624:K3679" si="229">LEFT(I3624, 1)</f>
        <v>ㄉ</v>
      </c>
      <c r="L3624" s="1" t="str">
        <f t="shared" ref="L3624:L3679" si="230">MID(I3624, 2, 1)</f>
        <v>ㄧ</v>
      </c>
      <c r="M3624" s="1" t="str">
        <f t="shared" si="227"/>
        <v>ㄥ</v>
      </c>
      <c r="P3624" s="1" t="s">
        <v>20</v>
      </c>
      <c r="R3624" s="1" t="s">
        <v>5522</v>
      </c>
      <c r="V3624" s="1" t="s">
        <v>5523</v>
      </c>
      <c r="W3624" s="1" t="s">
        <v>5524</v>
      </c>
      <c r="AR3624" s="1" t="str">
        <f t="shared" si="228"/>
        <v>| [ㄉㄧㄥ](ㄉㄧㄥ.md) | [丁](丁.md) |  | dīng | [名]
1.天干的第四位。
2.排列次序的等第。在甲、乙、丙之後，表示第四級，或較差的等級。
3.成年男子。如：「壯丁」、「男丁」、「單丁」。
4.人、人口。如：「添丁」、「幫丁」、「人丁單薄」。《南史．卷三三．何承天傳》：「計丁課仗，勿使有闕。」
5.僕役，或指從事某些勞動或職業的人。如：「園丁」、「庖丁」、「家丁」。
6.方形的小塊。如：「雞丁」、「肉丁」、「補丁」、「將小黃瓜切丁。」
7.姓。如漢代有丁令威，清代有丁汝昌。
[動]
當、遭逢。如：「丁憂」、「丁外艱」、「丁內艱」。
[形]
1.壯盛的。如：「丁年」。
2.極少的、極小的。如：「他的身子還很硬朗，一丁點兒毛病都沒有。」 |</v>
      </c>
    </row>
    <row r="3625" spans="1:44" hidden="1">
      <c r="A3625" s="1" t="s">
        <v>5525</v>
      </c>
      <c r="C3625" s="1">
        <v>1</v>
      </c>
      <c r="D3625" s="1" t="str">
        <f>"02253"</f>
        <v>02253</v>
      </c>
      <c r="E3625" s="1" t="s">
        <v>114</v>
      </c>
      <c r="F3625" s="1">
        <v>4</v>
      </c>
      <c r="G3625" s="1">
        <v>2</v>
      </c>
      <c r="H3625" s="1">
        <v>0</v>
      </c>
      <c r="I3625" s="1" t="s">
        <v>5521</v>
      </c>
      <c r="K3625" s="1" t="str">
        <f t="shared" si="229"/>
        <v>ㄉ</v>
      </c>
      <c r="L3625" s="1" t="str">
        <f t="shared" si="230"/>
        <v>ㄧ</v>
      </c>
      <c r="M3625" s="1" t="str">
        <f t="shared" si="227"/>
        <v>ㄥ</v>
      </c>
      <c r="P3625" s="1" t="s">
        <v>20</v>
      </c>
      <c r="R3625" s="1" t="s">
        <v>5522</v>
      </c>
      <c r="V3625" s="1" t="s">
        <v>5526</v>
      </c>
      <c r="AR3625" s="1" t="str">
        <f t="shared" si="228"/>
        <v>| [ㄉㄧㄥ](ㄉㄧㄥ.md) | [仃](仃.md) |  | dīng | 參見「伶仃」條。 |</v>
      </c>
    </row>
    <row r="3626" spans="1:44" hidden="1">
      <c r="A3626" s="1" t="s">
        <v>5527</v>
      </c>
      <c r="C3626" s="1">
        <v>1</v>
      </c>
      <c r="D3626" s="1" t="str">
        <f>"02254"</f>
        <v>02254</v>
      </c>
      <c r="E3626" s="1" t="s">
        <v>28</v>
      </c>
      <c r="F3626" s="1">
        <v>5</v>
      </c>
      <c r="G3626" s="1">
        <v>2</v>
      </c>
      <c r="H3626" s="1">
        <v>0</v>
      </c>
      <c r="I3626" s="1" t="s">
        <v>5521</v>
      </c>
      <c r="K3626" s="1" t="str">
        <f t="shared" si="229"/>
        <v>ㄉ</v>
      </c>
      <c r="L3626" s="1" t="str">
        <f t="shared" si="230"/>
        <v>ㄧ</v>
      </c>
      <c r="M3626" s="1" t="str">
        <f t="shared" si="227"/>
        <v>ㄥ</v>
      </c>
      <c r="P3626" s="1" t="s">
        <v>20</v>
      </c>
      <c r="R3626" s="1" t="s">
        <v>5522</v>
      </c>
      <c r="V3626" s="1" t="s">
        <v>5528</v>
      </c>
      <c r="AR3626" s="1" t="str">
        <f t="shared" si="228"/>
        <v>| [ㄉㄧㄥ](ㄉㄧㄥ.md) | [叮](叮.md) |  | dīng | [動]
1.蚊、蟻或蜜蜂等昆蟲螫咬人畜。如：「被蚊子叮了。」
2.再三吩咐。如：「叮嚀」、「叮囑」。
[擬]
參見「叮噹」、「叮叮噹噹」、「叮叮咚咚」等條。 |</v>
      </c>
    </row>
    <row r="3627" spans="1:44" hidden="1">
      <c r="A3627" s="1" t="s">
        <v>5529</v>
      </c>
      <c r="C3627" s="1">
        <v>1</v>
      </c>
      <c r="D3627" s="1" t="str">
        <f>"02255"</f>
        <v>02255</v>
      </c>
      <c r="E3627" s="1" t="s">
        <v>142</v>
      </c>
      <c r="F3627" s="1">
        <v>6</v>
      </c>
      <c r="G3627" s="1">
        <v>2</v>
      </c>
      <c r="H3627" s="1">
        <v>0</v>
      </c>
      <c r="I3627" s="1" t="s">
        <v>5521</v>
      </c>
      <c r="K3627" s="1" t="str">
        <f t="shared" si="229"/>
        <v>ㄉ</v>
      </c>
      <c r="L3627" s="1" t="str">
        <f t="shared" si="230"/>
        <v>ㄧ</v>
      </c>
      <c r="M3627" s="1" t="str">
        <f t="shared" si="227"/>
        <v>ㄥ</v>
      </c>
      <c r="P3627" s="1" t="s">
        <v>20</v>
      </c>
      <c r="R3627" s="1" t="s">
        <v>5522</v>
      </c>
      <c r="V3627" s="1" t="s">
        <v>5530</v>
      </c>
      <c r="AR3627" s="1" t="str">
        <f t="shared" si="228"/>
        <v>| [ㄉㄧㄥ](ㄉㄧㄥ.md) | [玎](玎.md) |  | dīng | [擬]_x000D_
模擬玉石相碰撞的聲音。如：「玎璫」、「玲玎」。 |</v>
      </c>
    </row>
    <row r="3628" spans="1:44" hidden="1">
      <c r="A3628" s="1" t="s">
        <v>5531</v>
      </c>
      <c r="C3628" s="1">
        <v>1</v>
      </c>
      <c r="D3628" s="1" t="str">
        <f>"02256"</f>
        <v>02256</v>
      </c>
      <c r="E3628" s="1" t="s">
        <v>40</v>
      </c>
      <c r="F3628" s="1">
        <v>7</v>
      </c>
      <c r="G3628" s="1">
        <v>2</v>
      </c>
      <c r="H3628" s="1">
        <v>0</v>
      </c>
      <c r="I3628" s="1" t="s">
        <v>5521</v>
      </c>
      <c r="K3628" s="1" t="str">
        <f t="shared" si="229"/>
        <v>ㄉ</v>
      </c>
      <c r="L3628" s="1" t="str">
        <f t="shared" si="230"/>
        <v>ㄧ</v>
      </c>
      <c r="M3628" s="1" t="str">
        <f t="shared" si="227"/>
        <v>ㄥ</v>
      </c>
      <c r="P3628" s="1" t="s">
        <v>20</v>
      </c>
      <c r="R3628" s="1" t="s">
        <v>5522</v>
      </c>
      <c r="V3628" s="1" t="s">
        <v>5532</v>
      </c>
      <c r="AR3628" s="1" t="str">
        <f t="shared" si="228"/>
        <v>| [ㄉㄧㄥ](ㄉㄧㄥ.md) | [疔](疔.md) |  | dīng | 病名。一種毛囊及毛囊周圍組織的細菌感染症。形狀類似豌豆。初起形如粟粒，上有白色膿頭，腫硬劇痛，患者易發寒熱。 |</v>
      </c>
    </row>
    <row r="3629" spans="1:44" hidden="1">
      <c r="A3629" s="1" t="s">
        <v>5533</v>
      </c>
      <c r="C3629" s="1">
        <v>1</v>
      </c>
      <c r="D3629" s="1" t="str">
        <f>"02257"</f>
        <v>02257</v>
      </c>
      <c r="E3629" s="1" t="s">
        <v>1015</v>
      </c>
      <c r="F3629" s="1">
        <v>7</v>
      </c>
      <c r="G3629" s="1">
        <v>2</v>
      </c>
      <c r="H3629" s="1">
        <v>0</v>
      </c>
      <c r="I3629" s="1" t="s">
        <v>5521</v>
      </c>
      <c r="K3629" s="1" t="str">
        <f t="shared" si="229"/>
        <v>ㄉ</v>
      </c>
      <c r="L3629" s="1" t="str">
        <f t="shared" si="230"/>
        <v>ㄧ</v>
      </c>
      <c r="M3629" s="1" t="str">
        <f t="shared" si="227"/>
        <v>ㄥ</v>
      </c>
      <c r="P3629" s="1" t="s">
        <v>20</v>
      </c>
      <c r="R3629" s="1" t="s">
        <v>5522</v>
      </c>
      <c r="V3629" s="1" t="s">
        <v>5534</v>
      </c>
      <c r="AR3629" s="1" t="str">
        <f t="shared" si="228"/>
        <v>| [ㄉㄧㄥ](ㄉㄧㄥ.md) | [盯](盯.md) |  | dīng | [動]
集中精神或目光，注意的看。通「釘」。如：「盯住他，別讓他跑了！」、「他盯著電視螢光幕看，一步也不肯離開，深怕錯過精彩的情節。」 |</v>
      </c>
    </row>
    <row r="3630" spans="1:44" hidden="1">
      <c r="A3630" s="1" t="s">
        <v>5535</v>
      </c>
      <c r="C3630" s="1">
        <v>1</v>
      </c>
      <c r="D3630" s="1" t="str">
        <f>"02258"</f>
        <v>02258</v>
      </c>
      <c r="E3630" s="1" t="s">
        <v>753</v>
      </c>
      <c r="F3630" s="1">
        <v>7</v>
      </c>
      <c r="G3630" s="1">
        <v>2</v>
      </c>
      <c r="H3630" s="1">
        <v>2</v>
      </c>
      <c r="I3630" s="1" t="s">
        <v>5521</v>
      </c>
      <c r="K3630" s="1" t="str">
        <f t="shared" si="229"/>
        <v>ㄉ</v>
      </c>
      <c r="L3630" s="1" t="str">
        <f t="shared" si="230"/>
        <v>ㄧ</v>
      </c>
      <c r="M3630" s="1" t="str">
        <f t="shared" si="227"/>
        <v>ㄥ</v>
      </c>
      <c r="P3630" s="1" t="s">
        <v>20</v>
      </c>
      <c r="R3630" s="1" t="s">
        <v>5522</v>
      </c>
      <c r="V3630" s="1" t="s">
        <v>5536</v>
      </c>
      <c r="W3630" s="1" t="s">
        <v>5537</v>
      </c>
      <c r="AR3630" s="1" t="str">
        <f t="shared" si="228"/>
        <v>| [ㄉㄧㄥ](ㄉㄧㄥ.md) | [町](町.md) |  | dīng | [名]
地名用字。如臺北市的西門町和東門町，大陸地區雲南省的畹町鎮。 |</v>
      </c>
    </row>
    <row r="3631" spans="1:44" hidden="1">
      <c r="A3631" s="1" t="s">
        <v>5538</v>
      </c>
      <c r="C3631" s="1">
        <v>1</v>
      </c>
      <c r="D3631" s="1" t="str">
        <f>"02259"</f>
        <v>02259</v>
      </c>
      <c r="E3631" s="1" t="s">
        <v>55</v>
      </c>
      <c r="F3631" s="1">
        <v>10</v>
      </c>
      <c r="G3631" s="1">
        <v>2</v>
      </c>
      <c r="H3631" s="1">
        <v>1</v>
      </c>
      <c r="I3631" s="1" t="s">
        <v>5521</v>
      </c>
      <c r="K3631" s="1" t="str">
        <f t="shared" si="229"/>
        <v>ㄉ</v>
      </c>
      <c r="L3631" s="1" t="str">
        <f t="shared" si="230"/>
        <v>ㄧ</v>
      </c>
      <c r="M3631" s="1" t="str">
        <f t="shared" si="227"/>
        <v>ㄥ</v>
      </c>
      <c r="P3631" s="1" t="s">
        <v>20</v>
      </c>
      <c r="R3631" s="1" t="s">
        <v>5522</v>
      </c>
      <c r="V3631" s="1" t="s">
        <v>5539</v>
      </c>
      <c r="W3631" s="1" t="s">
        <v>5540</v>
      </c>
      <c r="AR3631" s="1" t="str">
        <f t="shared" si="228"/>
        <v>| [ㄉㄧㄥ](ㄉㄧㄥ.md) | [釘](釘.md) |  | dīng | [名]
由鋼鐵或竹木作成，為尖頭細長形，可貫穿物體，使結合牢固的東西。如：「鐵釘」、「螺絲釘」。也稱為「釘子」。
[動]
1.集中精神注視、看守。如：「釘著他看」、「緊迫釘人」。
2.督促、監督。如：「你得釘著他寫功課，免得他又偷懶了！」 |</v>
      </c>
    </row>
    <row r="3632" spans="1:44" hidden="1">
      <c r="A3632" s="1" t="s">
        <v>5541</v>
      </c>
      <c r="C3632" s="1">
        <v>1</v>
      </c>
      <c r="D3632" s="1" t="str">
        <f>"02260"</f>
        <v>02260</v>
      </c>
      <c r="E3632" s="1" t="s">
        <v>2419</v>
      </c>
      <c r="F3632" s="1">
        <v>8</v>
      </c>
      <c r="G3632" s="1">
        <v>2</v>
      </c>
      <c r="H3632" s="1">
        <v>1</v>
      </c>
      <c r="I3632" s="1" t="s">
        <v>5542</v>
      </c>
      <c r="K3632" s="1" t="str">
        <f t="shared" si="229"/>
        <v>ㄉ</v>
      </c>
      <c r="L3632" s="1" t="str">
        <f t="shared" si="230"/>
        <v>ㄧ</v>
      </c>
      <c r="M3632" s="1" t="str">
        <f t="shared" si="227"/>
        <v>ㄥ</v>
      </c>
      <c r="P3632" s="1" t="s">
        <v>20</v>
      </c>
      <c r="R3632" s="1" t="s">
        <v>5543</v>
      </c>
      <c r="V3632" s="1" t="s">
        <v>5544</v>
      </c>
      <c r="W3632" s="1" t="s">
        <v>5545</v>
      </c>
      <c r="AR3632" s="1" t="str">
        <f t="shared" si="228"/>
        <v>| [ㄉㄧㄥˇ](ㄉㄧㄥˇ.md) | [耵](耵.md) |  | dǐng | 參見「耵聹」條。 |</v>
      </c>
    </row>
    <row r="3633" spans="1:44" hidden="1">
      <c r="A3633" s="1" t="s">
        <v>5546</v>
      </c>
      <c r="C3633" s="1">
        <v>1</v>
      </c>
      <c r="D3633" s="1" t="str">
        <f>"02261"</f>
        <v>02261</v>
      </c>
      <c r="E3633" s="1" t="s">
        <v>1462</v>
      </c>
      <c r="F3633" s="1">
        <v>9</v>
      </c>
      <c r="G3633" s="1">
        <v>2</v>
      </c>
      <c r="H3633" s="1">
        <v>0</v>
      </c>
      <c r="I3633" s="1" t="s">
        <v>5542</v>
      </c>
      <c r="K3633" s="1" t="str">
        <f t="shared" si="229"/>
        <v>ㄉ</v>
      </c>
      <c r="L3633" s="1" t="str">
        <f t="shared" si="230"/>
        <v>ㄧ</v>
      </c>
      <c r="M3633" s="1" t="str">
        <f t="shared" si="227"/>
        <v>ㄥ</v>
      </c>
      <c r="P3633" s="1" t="s">
        <v>20</v>
      </c>
      <c r="R3633" s="1" t="s">
        <v>5543</v>
      </c>
      <c r="V3633" s="1" t="s">
        <v>3719</v>
      </c>
      <c r="AR3633" s="1" t="str">
        <f t="shared" si="228"/>
        <v>| [ㄉㄧㄥˇ](ㄉㄧㄥˇ.md) | [酊](酊.md) |  | dǐng | 參見「酩酊」條。 |</v>
      </c>
    </row>
    <row r="3634" spans="1:44" hidden="1">
      <c r="A3634" s="1" t="s">
        <v>5547</v>
      </c>
      <c r="C3634" s="1">
        <v>1</v>
      </c>
      <c r="D3634" s="1" t="str">
        <f>"02262"</f>
        <v>02262</v>
      </c>
      <c r="E3634" s="1" t="s">
        <v>684</v>
      </c>
      <c r="F3634" s="1">
        <v>11</v>
      </c>
      <c r="G3634" s="1">
        <v>2</v>
      </c>
      <c r="H3634" s="1">
        <v>0</v>
      </c>
      <c r="I3634" s="1" t="s">
        <v>5542</v>
      </c>
      <c r="K3634" s="1" t="str">
        <f t="shared" si="229"/>
        <v>ㄉ</v>
      </c>
      <c r="L3634" s="1" t="str">
        <f t="shared" si="230"/>
        <v>ㄧ</v>
      </c>
      <c r="M3634" s="1" t="str">
        <f t="shared" si="227"/>
        <v>ㄥ</v>
      </c>
      <c r="P3634" s="1" t="s">
        <v>20</v>
      </c>
      <c r="R3634" s="1" t="s">
        <v>5543</v>
      </c>
      <c r="V3634" s="1" t="s">
        <v>5548</v>
      </c>
      <c r="AR3634" s="1" t="str">
        <f t="shared" si="228"/>
        <v>| [ㄉㄧㄥˇ](ㄉㄧㄥˇ.md) | [頂](頂.md) |  | dǐng | [名]
1.頭的最上部。如：「頭頂」、「禿頂」、「摩頂放踵」。
2.物體最高、最上面的部分。如：「山頂」、「屋頂」、「塔頂」。
3.量詞。計算帽子、轎子等的單位。如：「一頂草帽」、「兩頂斗笠」。《紅樓夢》第一四回：「堂客算來亦有十來頂大轎，三、四十頂小轎。」
[動]
1.以頭承戴。如：「頂天立地」。《水滸傳》第五回：「跨了戒刀，提了禪杖，頂了衣包，便出寨來。」
2.抵住、支撐。《水滸傳》第二五回：「我便一頭頂住那婆子。」《西遊記》第四四回：「我家里燒火的，也是他；掃地的，也是他；頂門的，也是他。」
3.以言相抵。如：「頂嘴」、「頂撞」。《儒林外史》第四三回：「憑著官叫他說甚麼，就是甚麼，那裡還敢頂一句。」《文明小史》第三一回：「寧波的教案，辦得太軟了，官倒沒事，只百姓吃了虧，要是能夠頂上幾句也好些。」
4.冒著、迎面對著。如：「頂風而行」、「她頂著雨匆匆離去。」
5.代替、遞補。如：「頂替」、「頂名」。《文明小史》第二二回：「且說胡道臺補缺的風聲出去，就有幾位候補道想頂他銀圓局的差使。」
6.財產的出價承受，或標價出讓。如：「他新近頂了一家店，不久就要開張。」
[副]
最、非常。如：「頂好」、「頂多」、「頂合適」、「頂喜歡」。《老殘遊記二編》第四回：「刷洗鍋碗是我的差使，這還罷了，頂難受是清早上掃屋子裡的地！」 |</v>
      </c>
    </row>
    <row r="3635" spans="1:44" hidden="1">
      <c r="A3635" s="1" t="s">
        <v>5549</v>
      </c>
      <c r="C3635" s="1">
        <v>1</v>
      </c>
      <c r="D3635" s="1" t="str">
        <f>"02263"</f>
        <v>02263</v>
      </c>
      <c r="E3635" s="1" t="s">
        <v>3437</v>
      </c>
      <c r="F3635" s="1">
        <v>13</v>
      </c>
      <c r="G3635" s="1">
        <v>0</v>
      </c>
      <c r="H3635" s="1">
        <v>0</v>
      </c>
      <c r="I3635" s="1" t="s">
        <v>5542</v>
      </c>
      <c r="K3635" s="1" t="str">
        <f t="shared" si="229"/>
        <v>ㄉ</v>
      </c>
      <c r="L3635" s="1" t="str">
        <f t="shared" si="230"/>
        <v>ㄧ</v>
      </c>
      <c r="M3635" s="1" t="str">
        <f t="shared" ref="M3635:M3664" si="231">MID(I3635, 3, 1)</f>
        <v>ㄥ</v>
      </c>
      <c r="P3635" s="1" t="s">
        <v>20</v>
      </c>
      <c r="R3635" s="1" t="s">
        <v>5543</v>
      </c>
      <c r="V3635" s="1" t="s">
        <v>5550</v>
      </c>
      <c r="AR3635" s="1" t="str">
        <f t="shared" si="228"/>
        <v>| [ㄉㄧㄥˇ](ㄉㄧㄥˇ.md) | [鼎](鼎.md) |  | dǐng | [名]_x000D_
1.古代用來烹煮食物的金屬器具。圓腹、三足兩耳，亦有四足的方鼎。盛行於商、周時代。《說文解字．鼎部》：「鼎，三足兩耳，和五味之寶器也。」漢．王充《論衡．譴告》：「釀酒於罌，烹肉於鼎，皆欲其氣味調得也。」_x000D_
2.祭祀的禮器。《漢書．卷二五．郊祀志上》：「鼎宜視宗禰，臧於帝庭，以合明應。」_x000D_
3.古代傳國的寶器。相傳夏禹鑄九鼎以為傳受帝位的重器。《禮記．祭統》：「夫鼎有銘，銘者，自名也。自名以稱揚其先祖之美，而明著之後世者也。」《漢書．卷二五．郊祀志上》：「禹收九牧之金，鑄九鼎，象九州。」_x000D_
4.比喻國家政權或帝位。《左傳．宣公三年》：「周雖德衰，天命未改，鼎之輕重，未可問也。」《五代史平話．漢史．卷上》：「惜乎天道好還，得國之後，坐席未溫，而郭威睥睨其間，已挈漢鼎而為周矣。」《儒林外史》第一回：「不數年間，吳王削平禍亂，定鼎應天，天下一統，建國號大明，年號洪武。」_x000D_
5.比喻三公、宰相、重臣等高位。《後漢書．卷三三．朱馮虞鄭周列傳．朱浮》：「即位以來，不用舊典；信刺舉之官，黜鼎輔之任。」《北史．卷九二．恩幸列傳．序》：「若乃心利錐刀，居臺鼎之任；智昏菽麥，當機衡之重。」_x000D_
6.古代烹殺罪人的刑具。東周戰國．燕丹〈與傅麴武書〉：「故有刎喉不顧，據鼎不避者，斯豈樂死而忘生哉，其心有所守也。」宋．文天祥〈正氣歌〉：「鼎鑊甘如飴，求之不可得。」_x000D_
7.煉丹煮藥的器具。《西遊記》第一七回：「講的是立鼎安爐，摶砂煉汞；白雪黃芽，傍門外道。」明．梅鼎祚《玉合記》第一三齣：「早除卻花魔酒病，慣聞他鶴唳猿聲，守清夜藥罏丹鼎。」_x000D_
8.《易經》卦名。六十四卦之一。巽（☴）下離（☲）上。去故取新之象。_x000D_
9.福建方言。指鍋子。如稱廚房為「鼎間」，稱鍋蓋為「鼎蓋」。_x000D_
10.量詞。《管子．輕重乙》：「其有親戚者，必遺之酒四石，肉四鼎；其無親戚者，必遺其妻子酒三石，肉三鼎。」《金史．卷三〇．禮志三》：「每室羊豕各一鼎，皆設扃幂。」_x000D_
11.二一四部首之一。_x000D_
[形]_x000D_
大。如：「鼎言」、「鼎臣」。《官場現形記》第二四回：「你一到京，打聽人家，像他這樣大名鼎鼎，還怕有不曉得的？」《老殘遊記》第一七回：「弟擬拔出風塵，納為簉室，請兄鼎力維持，身價若干，如數照繳云云。」_x000D_
[動]_x000D_
更改、更新。《易經．雜卦》：「革，去故也。鼎，取新也。」漢．魏伯陽《參同契．君臣御政》：「御政之首，鼎新革故。」《隋書．卷五八．列傳．許善心》引隋．許善心〈神雀頌〉：「質文鼎革，沿習因成。祥圖瑞史，赫赫明明。」_x000D_
[副]_x000D_
1.鼎有三足，引申為三方並立。《三國志．卷六一．吳書．潘濬陸凱傳．陸凱》：「近者漢之衰末，三家鼎立。」《晉書．卷八七．列傳．涼武昭王李玄盛》：「昔漢運將終，三國鼎峙，鈞天之曆，數鍾皇晉。」_x000D_
2.方、正。《漢書．卷四八．賈誼傳》：「天子春秋鼎盛，行義未過。」宋．黃庭堅〈次韻子瞻武昌西山〉：「山川悠遠莫浪許，富貴崢嶸今鼎來。」 |</v>
      </c>
    </row>
    <row r="3636" spans="1:44" hidden="1">
      <c r="A3636" s="1" t="s">
        <v>5551</v>
      </c>
      <c r="C3636" s="1">
        <v>1</v>
      </c>
      <c r="D3636" s="1" t="str">
        <f>"02264"</f>
        <v>02264</v>
      </c>
      <c r="E3636" s="1" t="s">
        <v>624</v>
      </c>
      <c r="F3636" s="1">
        <v>8</v>
      </c>
      <c r="G3636" s="1">
        <v>5</v>
      </c>
      <c r="H3636" s="1">
        <v>0</v>
      </c>
      <c r="I3636" s="1" t="s">
        <v>5552</v>
      </c>
      <c r="K3636" s="1" t="str">
        <f t="shared" si="229"/>
        <v>ㄉ</v>
      </c>
      <c r="L3636" s="1" t="str">
        <f t="shared" si="230"/>
        <v>ㄧ</v>
      </c>
      <c r="M3636" s="1" t="str">
        <f t="shared" si="231"/>
        <v>ㄥ</v>
      </c>
      <c r="P3636" s="1" t="s">
        <v>20</v>
      </c>
      <c r="R3636" s="1" t="s">
        <v>5553</v>
      </c>
      <c r="V3636" s="1" t="s">
        <v>5554</v>
      </c>
      <c r="AR3636" s="1" t="str">
        <f t="shared" si="228"/>
        <v>| [ㄉㄧㄥˋ](ㄉㄧㄥˋ.md) | [定](定.md) |  | dìng | [形]
1.確切的、不改變的。如：「定理」、「定義」、「定律」、「定局」、「定論」。
2.不動的。如：「定產」、「定業」。
3.規定的。如：「定量」、「定時」、「定期」。
[動]
1.固定、使固定。如：「定住」、「定影」。
2.使平靜、使穩固。如：「平定」、「安邦定國」。
3.使確定、不更改。如：「底定」、「決定」、「否定」、「裁定」。
4.約定、訂立。如：「定約」、「制定」、「訂定」。
[副]
1.究竟、到底。表疑問。南朝宋．劉義慶《世說新語．言語》：「卿云艾艾，定是幾艾？」唐．李白〈答族姪僧中孚贈玉泉仙人掌茶〉詩：「舉世未見之，其名定誰傳？」
2.必然。如：「定能成功」、「定死無疑」。唐．杜甫〈寄高適〉詩：「定知相見日，爛漫倒芳樽。」
[名]
姓。如明代有定伯安。 |</v>
      </c>
    </row>
    <row r="3637" spans="1:44" hidden="1">
      <c r="A3637" s="1" t="s">
        <v>5555</v>
      </c>
      <c r="C3637" s="1">
        <v>1</v>
      </c>
      <c r="D3637" s="1" t="str">
        <f>"02265"</f>
        <v>02265</v>
      </c>
      <c r="E3637" s="1" t="s">
        <v>28</v>
      </c>
      <c r="F3637" s="1">
        <v>11</v>
      </c>
      <c r="G3637" s="1">
        <v>8</v>
      </c>
      <c r="H3637" s="1">
        <v>0</v>
      </c>
      <c r="I3637" s="1" t="s">
        <v>5552</v>
      </c>
      <c r="K3637" s="1" t="str">
        <f t="shared" si="229"/>
        <v>ㄉ</v>
      </c>
      <c r="L3637" s="1" t="str">
        <f t="shared" si="230"/>
        <v>ㄧ</v>
      </c>
      <c r="M3637" s="1" t="str">
        <f t="shared" si="231"/>
        <v>ㄥ</v>
      </c>
      <c r="P3637" s="1" t="s">
        <v>20</v>
      </c>
      <c r="R3637" s="1" t="s">
        <v>5553</v>
      </c>
      <c r="V3637" s="1" t="s">
        <v>3465</v>
      </c>
      <c r="AR3637" s="1" t="str">
        <f t="shared" si="228"/>
        <v>| [ㄉㄧㄥˋ](ㄉㄧㄥˋ.md) | [啶](啶.md) |  | dìng | 參見「嘧啶」條。 |</v>
      </c>
    </row>
    <row r="3638" spans="1:44" hidden="1">
      <c r="A3638" s="1" t="s">
        <v>5556</v>
      </c>
      <c r="C3638" s="1">
        <v>1</v>
      </c>
      <c r="D3638" s="1" t="str">
        <f>"02266"</f>
        <v>02266</v>
      </c>
      <c r="E3638" s="1" t="s">
        <v>169</v>
      </c>
      <c r="F3638" s="1">
        <v>13</v>
      </c>
      <c r="G3638" s="1">
        <v>8</v>
      </c>
      <c r="H3638" s="1">
        <v>0</v>
      </c>
      <c r="I3638" s="1" t="s">
        <v>5552</v>
      </c>
      <c r="K3638" s="1" t="str">
        <f t="shared" si="229"/>
        <v>ㄉ</v>
      </c>
      <c r="L3638" s="1" t="str">
        <f t="shared" si="230"/>
        <v>ㄧ</v>
      </c>
      <c r="M3638" s="1" t="str">
        <f t="shared" si="231"/>
        <v>ㄥ</v>
      </c>
      <c r="P3638" s="1" t="s">
        <v>20</v>
      </c>
      <c r="R3638" s="1" t="s">
        <v>5553</v>
      </c>
      <c r="V3638" s="1" t="s">
        <v>5557</v>
      </c>
      <c r="AR3638" s="1" t="str">
        <f t="shared" si="228"/>
        <v>| [ㄉㄧㄥˋ](ㄉㄧㄥˋ.md) | [碇](碇.md) |  | dìng | [名]
繫船的石墩或鐵錨。唐．韓愈〈正議大夫尚書左丞孔公墓誌銘〉：「蕃舶之至泊步，有下碇之稅。」
[動]
船停泊放錨以固定船身。如：「碇泊」。宋．蘇軾《東坡志林．卷一．記遊．記過合浦》：「是日六月晦，無月，碇宿大海中。」 |</v>
      </c>
    </row>
    <row r="3639" spans="1:44" hidden="1">
      <c r="A3639" s="1" t="s">
        <v>5558</v>
      </c>
      <c r="C3639" s="1">
        <v>1</v>
      </c>
      <c r="D3639" s="1" t="str">
        <f>"02267"</f>
        <v>02267</v>
      </c>
      <c r="E3639" s="1" t="s">
        <v>55</v>
      </c>
      <c r="F3639" s="1">
        <v>16</v>
      </c>
      <c r="G3639" s="1">
        <v>8</v>
      </c>
      <c r="H3639" s="1">
        <v>0</v>
      </c>
      <c r="I3639" s="1" t="s">
        <v>5552</v>
      </c>
      <c r="K3639" s="1" t="str">
        <f t="shared" si="229"/>
        <v>ㄉ</v>
      </c>
      <c r="L3639" s="1" t="str">
        <f t="shared" si="230"/>
        <v>ㄧ</v>
      </c>
      <c r="M3639" s="1" t="str">
        <f t="shared" si="231"/>
        <v>ㄥ</v>
      </c>
      <c r="P3639" s="1" t="s">
        <v>20</v>
      </c>
      <c r="R3639" s="1" t="s">
        <v>5553</v>
      </c>
      <c r="V3639" s="1" t="s">
        <v>5559</v>
      </c>
      <c r="AR3639" s="1" t="str">
        <f t="shared" si="228"/>
        <v>| [ㄉㄧㄥˋ](ㄉㄧㄥˋ.md) | [錠](錠.md) |  | dìng | [名]
1.製成塊狀的金屬或藥物。如：「銀錠」、「金錠」、「鋼錠」、「萬應錠」、「止痛錠」。《初刻拍案驚奇》卷一：「約得百兩，便熔成一大錠。」
2.量詞。計算塊狀物的單位。如：「一錠墨」、「兩錠白銀」。
3.用紙或錫箔糊成元寶狀的祭奠用品。如：「冥錠」、「香燭紙錠」。
4.紡車或紡紗機上繞紗的機件。如：「紗錠」、「錠子」。 |</v>
      </c>
    </row>
    <row r="3640" spans="1:44" hidden="1">
      <c r="A3640" s="1" t="s">
        <v>5560</v>
      </c>
      <c r="C3640" s="1">
        <v>1</v>
      </c>
      <c r="D3640" s="1" t="str">
        <f>"02268"</f>
        <v>02268</v>
      </c>
      <c r="E3640" s="1" t="s">
        <v>331</v>
      </c>
      <c r="F3640" s="1">
        <v>9</v>
      </c>
      <c r="G3640" s="1">
        <v>2</v>
      </c>
      <c r="H3640" s="1">
        <v>0</v>
      </c>
      <c r="I3640" s="1" t="s">
        <v>5552</v>
      </c>
      <c r="K3640" s="1" t="str">
        <f t="shared" si="229"/>
        <v>ㄉ</v>
      </c>
      <c r="L3640" s="1" t="str">
        <f t="shared" si="230"/>
        <v>ㄧ</v>
      </c>
      <c r="M3640" s="1" t="str">
        <f t="shared" si="231"/>
        <v>ㄥ</v>
      </c>
      <c r="P3640" s="1" t="s">
        <v>20</v>
      </c>
      <c r="R3640" s="1" t="s">
        <v>5553</v>
      </c>
      <c r="V3640" s="1" t="s">
        <v>5561</v>
      </c>
      <c r="AR3640" s="1" t="str">
        <f t="shared" si="228"/>
        <v>| [ㄉㄧㄥˋ](ㄉㄧㄥˋ.md) | [訂](訂.md) |  | dìng | [動]
1.協商後立下（條約、規章等）。如：「擬訂」、「訂約」。
2.修正。如：「增訂」、「補訂」、「修訂」、「校訂」。
3.事先預約。如：「訂報」、「預訂」、「訂位」、「訂貨」。
4.用線、釘子等把書頁等穿連成冊。如：「裝訂」、「訂書機」、「將這疊紙訂成一本筆記簿。」 |</v>
      </c>
    </row>
    <row r="3641" spans="1:44" hidden="1">
      <c r="A3641" s="1" t="s">
        <v>5538</v>
      </c>
      <c r="C3641" s="1">
        <v>1</v>
      </c>
      <c r="D3641" s="1" t="str">
        <f>"02269"</f>
        <v>02269</v>
      </c>
      <c r="E3641" s="1" t="s">
        <v>55</v>
      </c>
      <c r="F3641" s="1">
        <v>10</v>
      </c>
      <c r="G3641" s="1">
        <v>2</v>
      </c>
      <c r="H3641" s="1">
        <v>2</v>
      </c>
      <c r="I3641" s="1" t="s">
        <v>5552</v>
      </c>
      <c r="K3641" s="1" t="str">
        <f t="shared" si="229"/>
        <v>ㄉ</v>
      </c>
      <c r="L3641" s="1" t="str">
        <f t="shared" si="230"/>
        <v>ㄧ</v>
      </c>
      <c r="M3641" s="1" t="str">
        <f t="shared" si="231"/>
        <v>ㄥ</v>
      </c>
      <c r="P3641" s="1" t="s">
        <v>20</v>
      </c>
      <c r="R3641" s="1" t="s">
        <v>5553</v>
      </c>
      <c r="V3641" s="1" t="s">
        <v>5562</v>
      </c>
      <c r="W3641" s="1" t="s">
        <v>5563</v>
      </c>
      <c r="AR3641" s="1" t="str">
        <f t="shared" si="228"/>
        <v>| [ㄉㄧㄥˋ](ㄉㄧㄥˋ.md) | [釘](釘.md) |  | dìng | [動]
1.以釘、針貫物，用以固定東西，或是將分散的物品連結起來。如：「釘書機」。
2.以針線連綴衣物。如：「釘扣子」。 |</v>
      </c>
    </row>
    <row r="3642" spans="1:44" hidden="1">
      <c r="A3642" s="1" t="s">
        <v>5564</v>
      </c>
      <c r="C3642" s="1">
        <v>1</v>
      </c>
      <c r="D3642" s="1" t="str">
        <f>"02270"</f>
        <v>02270</v>
      </c>
      <c r="E3642" s="1" t="s">
        <v>193</v>
      </c>
      <c r="F3642" s="1">
        <v>10</v>
      </c>
      <c r="G3642" s="1">
        <v>2</v>
      </c>
      <c r="H3642" s="1">
        <v>0</v>
      </c>
      <c r="I3642" s="1" t="s">
        <v>5552</v>
      </c>
      <c r="K3642" s="1" t="str">
        <f t="shared" si="229"/>
        <v>ㄉ</v>
      </c>
      <c r="L3642" s="1" t="str">
        <f t="shared" si="230"/>
        <v>ㄧ</v>
      </c>
      <c r="M3642" s="1" t="str">
        <f t="shared" si="231"/>
        <v>ㄥ</v>
      </c>
      <c r="P3642" s="1" t="s">
        <v>20</v>
      </c>
      <c r="R3642" s="1" t="s">
        <v>5553</v>
      </c>
      <c r="V3642" s="1" t="s">
        <v>4892</v>
      </c>
      <c r="AR3642" s="1" t="str">
        <f t="shared" si="228"/>
        <v>| [ㄉㄧㄥˋ](ㄉㄧㄥˋ.md) | [飣](飣.md) |  | dìng | 參見「餖飣」條。 |</v>
      </c>
    </row>
    <row r="3643" spans="1:44" hidden="1">
      <c r="A3643" s="1" t="s">
        <v>5565</v>
      </c>
      <c r="C3643" s="1">
        <v>1</v>
      </c>
      <c r="D3643" s="1" t="str">
        <f>"02271"</f>
        <v>02271</v>
      </c>
      <c r="E3643" s="1" t="s">
        <v>55</v>
      </c>
      <c r="F3643" s="1">
        <v>15</v>
      </c>
      <c r="G3643" s="1">
        <v>7</v>
      </c>
      <c r="H3643" s="1">
        <v>2</v>
      </c>
      <c r="I3643" s="1" t="s">
        <v>5552</v>
      </c>
      <c r="K3643" s="1" t="str">
        <f t="shared" si="229"/>
        <v>ㄉ</v>
      </c>
      <c r="L3643" s="1" t="str">
        <f t="shared" si="230"/>
        <v>ㄧ</v>
      </c>
      <c r="M3643" s="1" t="str">
        <f t="shared" si="231"/>
        <v>ㄥ</v>
      </c>
      <c r="P3643" s="1" t="s">
        <v>20</v>
      </c>
      <c r="R3643" s="1" t="s">
        <v>5553</v>
      </c>
      <c r="V3643" s="1" t="s">
        <v>5566</v>
      </c>
      <c r="W3643" s="1" t="s">
        <v>5567</v>
      </c>
      <c r="AR3643" s="1" t="str">
        <f t="shared" si="228"/>
        <v>| [ㄉㄧㄥˋ](ㄉㄧㄥˋ.md) | [鋌](鋌.md) |  | dìng | [名]
1.未經冶煉鑄造的銅鐵。《說文解字．金部》：「鋌，銅鐵璞也。」《文選．張協．七命》：「邪谿之鋌，赤山之精。」
2.金銀鎔鑄成一定的形式。通「錠」。《南史．卷五三．廬陵威王續傳》：「至內庫閱珍物，見金鋌。」《金史．卷四八．食貨志三》：「舊例銀每鋌五十兩，其直百貫。」 |</v>
      </c>
    </row>
    <row r="3644" spans="1:44" hidden="1">
      <c r="A3644" s="1" t="s">
        <v>5858</v>
      </c>
      <c r="C3644" s="1">
        <v>1</v>
      </c>
      <c r="D3644" s="1" t="str">
        <f>"02390"</f>
        <v>02390</v>
      </c>
      <c r="E3644" s="1" t="s">
        <v>1381</v>
      </c>
      <c r="F3644" s="1">
        <v>5</v>
      </c>
      <c r="G3644" s="1">
        <v>3</v>
      </c>
      <c r="H3644" s="1">
        <v>0</v>
      </c>
      <c r="I3644" s="1" t="s">
        <v>5859</v>
      </c>
      <c r="K3644" s="1" t="str">
        <f t="shared" si="229"/>
        <v>ㄉ</v>
      </c>
      <c r="L3644" s="1" t="str">
        <f t="shared" si="230"/>
        <v>ㄨ</v>
      </c>
      <c r="M3644" s="1" t="str">
        <f t="shared" si="231"/>
        <v>ㄥ</v>
      </c>
      <c r="P3644" s="1" t="s">
        <v>20</v>
      </c>
      <c r="R3644" s="1" t="s">
        <v>5860</v>
      </c>
      <c r="V3644" s="1" t="s">
        <v>5861</v>
      </c>
      <c r="AR3644" s="1" t="str">
        <f t="shared" si="228"/>
        <v>| [ㄉㄨㄥ](ㄉㄨㄥ.md) | [冬](冬.md) |  | dōng | [名]_x000D_
1.一年四季中的最後一季。農曆指立冬至立春的時期，一般而言氣溫較低。若以北半球氣候論，概指十一月或十二月至翌年的二月或三月期間。如：「寒冬」、「殘冬」、「冬天」。_x000D_
2.姓。如三國時有冬逢。 |</v>
      </c>
    </row>
    <row r="3645" spans="1:44" hidden="1">
      <c r="A3645" s="1" t="s">
        <v>5862</v>
      </c>
      <c r="C3645" s="1">
        <v>1</v>
      </c>
      <c r="D3645" s="1" t="str">
        <f>"02391"</f>
        <v>02391</v>
      </c>
      <c r="E3645" s="1" t="s">
        <v>28</v>
      </c>
      <c r="F3645" s="1">
        <v>8</v>
      </c>
      <c r="G3645" s="1">
        <v>5</v>
      </c>
      <c r="H3645" s="1">
        <v>0</v>
      </c>
      <c r="I3645" s="1" t="s">
        <v>5859</v>
      </c>
      <c r="K3645" s="1" t="str">
        <f t="shared" si="229"/>
        <v>ㄉ</v>
      </c>
      <c r="L3645" s="1" t="str">
        <f t="shared" si="230"/>
        <v>ㄨ</v>
      </c>
      <c r="M3645" s="1" t="str">
        <f t="shared" si="231"/>
        <v>ㄥ</v>
      </c>
      <c r="P3645" s="1" t="s">
        <v>20</v>
      </c>
      <c r="R3645" s="1" t="s">
        <v>5860</v>
      </c>
      <c r="V3645" s="1" t="s">
        <v>5863</v>
      </c>
      <c r="AR3645" s="1" t="str">
        <f t="shared" si="228"/>
        <v>| [ㄉㄨㄥ](ㄉㄨㄥ.md) | [咚](咚.md) |  | dōng | [擬]_x000D_
模擬撞擊或敲鼓的聲音。如：「咕咚一聲」、「咚咚的鼓聲」。 |</v>
      </c>
    </row>
    <row r="3646" spans="1:44" hidden="1">
      <c r="A3646" s="1" t="s">
        <v>5864</v>
      </c>
      <c r="C3646" s="1">
        <v>1</v>
      </c>
      <c r="D3646" s="1" t="str">
        <f>"02392"</f>
        <v>02392</v>
      </c>
      <c r="E3646" s="1" t="s">
        <v>2228</v>
      </c>
      <c r="F3646" s="1">
        <v>9</v>
      </c>
      <c r="G3646" s="1">
        <v>5</v>
      </c>
      <c r="H3646" s="1">
        <v>0</v>
      </c>
      <c r="I3646" s="1" t="s">
        <v>5859</v>
      </c>
      <c r="K3646" s="1" t="str">
        <f t="shared" si="229"/>
        <v>ㄉ</v>
      </c>
      <c r="L3646" s="1" t="str">
        <f t="shared" si="230"/>
        <v>ㄨ</v>
      </c>
      <c r="M3646" s="1" t="str">
        <f t="shared" si="231"/>
        <v>ㄥ</v>
      </c>
      <c r="P3646" s="1" t="s">
        <v>20</v>
      </c>
      <c r="R3646" s="1" t="s">
        <v>5860</v>
      </c>
      <c r="V3646" s="1" t="s">
        <v>5865</v>
      </c>
      <c r="AR3646" s="1" t="str">
        <f t="shared" si="228"/>
        <v>| [ㄉㄨㄥ](ㄉㄨㄥ.md) | [氡](氡.md) |  | dōng | [名]
（radon，Rn）化學元素。原子序86。全部同位素都具放射性，為一種鈍氣。可從鐳放射性衰變中以氣體射氣的形式獲得。在醫學上通常用來治療惡性腫瘤。也稱為「鐳射氣」。 |</v>
      </c>
    </row>
    <row r="3647" spans="1:44" hidden="1">
      <c r="A3647" s="1" t="s">
        <v>5866</v>
      </c>
      <c r="C3647" s="1">
        <v>1</v>
      </c>
      <c r="D3647" s="1" t="str">
        <f>"02393"</f>
        <v>02393</v>
      </c>
      <c r="E3647" s="1" t="s">
        <v>2154</v>
      </c>
      <c r="F3647" s="1">
        <v>18</v>
      </c>
      <c r="G3647" s="1">
        <v>5</v>
      </c>
      <c r="H3647" s="1">
        <v>0</v>
      </c>
      <c r="I3647" s="1" t="s">
        <v>5859</v>
      </c>
      <c r="K3647" s="1" t="str">
        <f t="shared" si="229"/>
        <v>ㄉ</v>
      </c>
      <c r="L3647" s="1" t="str">
        <f t="shared" si="230"/>
        <v>ㄨ</v>
      </c>
      <c r="M3647" s="1" t="str">
        <f t="shared" si="231"/>
        <v>ㄥ</v>
      </c>
      <c r="P3647" s="1" t="s">
        <v>20</v>
      </c>
      <c r="R3647" s="1" t="s">
        <v>5860</v>
      </c>
      <c r="V3647" s="1" t="s">
        <v>5867</v>
      </c>
      <c r="AR3647" s="1" t="str">
        <f t="shared" si="228"/>
        <v>| [ㄉㄨㄥ](ㄉㄨㄥ.md) | [鼕](鼕.md) |  | dōng | [擬]_x000D_
模擬敲鼓、敲門等的聲音。如：「鼓聲鼕鼕」、「鼕鼕鼕……，一陣急促的敲門聲，驚醒了屋內熟睡的人們。」唐．劉禹錫〈同白二十二贈王山人〉詩：「笑聽鼕鼕朝暮鼓，只能催得市朝人。」 |</v>
      </c>
    </row>
    <row r="3648" spans="1:44" hidden="1">
      <c r="A3648" s="1" t="s">
        <v>5868</v>
      </c>
      <c r="C3648" s="1">
        <v>1</v>
      </c>
      <c r="D3648" s="1" t="str">
        <f>"02394"</f>
        <v>02394</v>
      </c>
      <c r="E3648" s="1" t="s">
        <v>139</v>
      </c>
      <c r="F3648" s="1">
        <v>8</v>
      </c>
      <c r="G3648" s="1">
        <v>4</v>
      </c>
      <c r="H3648" s="1">
        <v>0</v>
      </c>
      <c r="I3648" s="1" t="s">
        <v>5859</v>
      </c>
      <c r="K3648" s="1" t="str">
        <f t="shared" si="229"/>
        <v>ㄉ</v>
      </c>
      <c r="L3648" s="1" t="str">
        <f t="shared" si="230"/>
        <v>ㄨ</v>
      </c>
      <c r="M3648" s="1" t="str">
        <f t="shared" si="231"/>
        <v>ㄥ</v>
      </c>
      <c r="P3648" s="1" t="s">
        <v>20</v>
      </c>
      <c r="R3648" s="1" t="s">
        <v>5860</v>
      </c>
      <c r="V3648" s="1" t="s">
        <v>5869</v>
      </c>
      <c r="AR3648" s="1" t="str">
        <f t="shared" si="228"/>
        <v>| [ㄉㄨㄥ](ㄉㄨㄥ.md) | [東](東.md) |  | dōng | [名]
1.方位名。日出的一方。與「西」相對。《書經．禹貢》：「南至于華陰，東至于底柱。」
2.主人。由於古時主位在東，客位在西，所以稱主人為「東」。如：「房東」、「店東」。唐．杜甫〈偪仄行贈畢曜〉詩：「東家蹇驢許借我，泥滑不敢騎朝天。」
3.請客出錢的人。如：「今天我作東，請大家吃飯。」
4.姓。如元代有東良會。 |</v>
      </c>
    </row>
    <row r="3649" spans="1:44" hidden="1">
      <c r="A3649" s="1" t="s">
        <v>5870</v>
      </c>
      <c r="C3649" s="1">
        <v>1</v>
      </c>
      <c r="D3649" s="1" t="str">
        <f>"02395"</f>
        <v>02395</v>
      </c>
      <c r="E3649" s="1" t="s">
        <v>129</v>
      </c>
      <c r="F3649" s="1">
        <v>11</v>
      </c>
      <c r="G3649" s="1">
        <v>8</v>
      </c>
      <c r="H3649" s="1">
        <v>2</v>
      </c>
      <c r="I3649" s="1" t="s">
        <v>5859</v>
      </c>
      <c r="K3649" s="1" t="str">
        <f t="shared" si="229"/>
        <v>ㄉ</v>
      </c>
      <c r="L3649" s="1" t="str">
        <f t="shared" si="230"/>
        <v>ㄨ</v>
      </c>
      <c r="M3649" s="1" t="str">
        <f t="shared" si="231"/>
        <v>ㄥ</v>
      </c>
      <c r="P3649" s="1" t="s">
        <v>110</v>
      </c>
      <c r="R3649" s="1" t="s">
        <v>5860</v>
      </c>
      <c r="V3649" s="1" t="s">
        <v>111</v>
      </c>
      <c r="W3649" s="1" t="s">
        <v>5871</v>
      </c>
      <c r="AR3649" s="1" t="str">
        <f t="shared" si="228"/>
        <v>| [ㄉㄨㄥ](ㄉㄨㄥ.md) | [涷](涷.md) |  | dōng | (一)之又音。 |</v>
      </c>
    </row>
    <row r="3650" spans="1:44" hidden="1">
      <c r="A3650" s="1" t="s">
        <v>5872</v>
      </c>
      <c r="C3650" s="1">
        <v>1</v>
      </c>
      <c r="D3650" s="1" t="str">
        <f>"02396"</f>
        <v>02396</v>
      </c>
      <c r="E3650" s="1" t="s">
        <v>679</v>
      </c>
      <c r="F3650" s="1">
        <v>14</v>
      </c>
      <c r="G3650" s="1">
        <v>8</v>
      </c>
      <c r="H3650" s="1">
        <v>1</v>
      </c>
      <c r="I3650" s="1" t="s">
        <v>5859</v>
      </c>
      <c r="K3650" s="1" t="str">
        <f t="shared" si="229"/>
        <v>ㄉ</v>
      </c>
      <c r="L3650" s="1" t="str">
        <f t="shared" si="230"/>
        <v>ㄨ</v>
      </c>
      <c r="M3650" s="1" t="str">
        <f t="shared" si="231"/>
        <v>ㄥ</v>
      </c>
      <c r="P3650" s="1" t="s">
        <v>20</v>
      </c>
      <c r="R3650" s="1" t="s">
        <v>5860</v>
      </c>
      <c r="V3650" s="1" t="s">
        <v>5278</v>
      </c>
      <c r="W3650" s="1" t="s">
        <v>5873</v>
      </c>
      <c r="AR3650" s="1" t="str">
        <f t="shared" si="228"/>
        <v>| [ㄉㄨㄥ](ㄉㄨㄥ.md) | [蝀](蝀.md) |  | dōng | 參見「蝃蝀」條。 |</v>
      </c>
    </row>
    <row r="3651" spans="1:44" hidden="1">
      <c r="A3651" s="1" t="s">
        <v>5874</v>
      </c>
      <c r="C3651" s="1">
        <v>1</v>
      </c>
      <c r="D3651" s="1" t="str">
        <f>"02397"</f>
        <v>02397</v>
      </c>
      <c r="E3651" s="1" t="s">
        <v>37</v>
      </c>
      <c r="F3651" s="1">
        <v>13</v>
      </c>
      <c r="G3651" s="1">
        <v>9</v>
      </c>
      <c r="H3651" s="1">
        <v>0</v>
      </c>
      <c r="I3651" s="1" t="s">
        <v>5875</v>
      </c>
      <c r="K3651" s="1" t="str">
        <f t="shared" si="229"/>
        <v>ㄉ</v>
      </c>
      <c r="L3651" s="1" t="str">
        <f t="shared" si="230"/>
        <v>ㄨ</v>
      </c>
      <c r="M3651" s="1" t="str">
        <f t="shared" si="231"/>
        <v>ㄥ</v>
      </c>
      <c r="P3651" s="1" t="s">
        <v>20</v>
      </c>
      <c r="R3651" s="1" t="s">
        <v>5876</v>
      </c>
      <c r="V3651" s="1" t="s">
        <v>5877</v>
      </c>
      <c r="AR3651" s="1" t="str">
        <f t="shared" ref="AR3651:AR3714" si="232">"| ["&amp;I3651&amp;"]("&amp;I3651&amp;".md) | ["&amp;A3651&amp;"]("&amp;A3651&amp;".md) | "&amp;" | "&amp;R3651&amp;" | "&amp;V3651&amp;" |"</f>
        <v>| [ㄉㄨㄥˇ](ㄉㄨㄥˇ.md) | [董](董.md) |  | dǒng | [名]
1.董事或董事長的簡稱。如：「校董」、「常董」、「李董」。
2.參見「古董」條。
3.姓。如漢代有董仲舒。
[動]
1.監督。如：「董理」。《書經．大禹謨》：「戒之用休，董之用威。」《文選．陸機．漢高祖功臣頌》：「肅肅荊王，董我三軍。」
2.匡正。《後漢書．卷六七．岑晊傳》：「雖在閭里，慨然有董正天下之志。」唐．魏徵〈論時政疏〉：「雖董之以嚴刑，震之以威怒。」 |</v>
      </c>
    </row>
    <row r="3652" spans="1:44" hidden="1">
      <c r="A3652" s="1" t="s">
        <v>5878</v>
      </c>
      <c r="C3652" s="1">
        <v>1</v>
      </c>
      <c r="D3652" s="1" t="str">
        <f>"02398"</f>
        <v>02398</v>
      </c>
      <c r="E3652" s="1" t="s">
        <v>250</v>
      </c>
      <c r="F3652" s="1">
        <v>16</v>
      </c>
      <c r="G3652" s="1">
        <v>13</v>
      </c>
      <c r="H3652" s="1">
        <v>0</v>
      </c>
      <c r="I3652" s="1" t="s">
        <v>5875</v>
      </c>
      <c r="K3652" s="1" t="str">
        <f t="shared" si="229"/>
        <v>ㄉ</v>
      </c>
      <c r="L3652" s="1" t="str">
        <f t="shared" si="230"/>
        <v>ㄨ</v>
      </c>
      <c r="M3652" s="1" t="str">
        <f t="shared" si="231"/>
        <v>ㄥ</v>
      </c>
      <c r="P3652" s="1" t="s">
        <v>20</v>
      </c>
      <c r="R3652" s="1" t="s">
        <v>5876</v>
      </c>
      <c r="V3652" s="1" t="s">
        <v>5879</v>
      </c>
      <c r="AR3652" s="1" t="str">
        <f t="shared" si="232"/>
        <v>| [ㄉㄨㄥˇ](ㄉㄨㄥˇ.md) | [懂](懂.md) |  | dǒng | [動]
明白、了解。如：「懂道理」、「懂事」、「看懂了」。
[形]
參見「瞢懂」條。 |</v>
      </c>
    </row>
    <row r="3653" spans="1:44" hidden="1">
      <c r="A3653" s="1" t="s">
        <v>5880</v>
      </c>
      <c r="C3653" s="1">
        <v>1</v>
      </c>
      <c r="D3653" s="1" t="str">
        <f>"02399"</f>
        <v>02399</v>
      </c>
      <c r="E3653" s="1" t="s">
        <v>114</v>
      </c>
      <c r="F3653" s="1">
        <v>8</v>
      </c>
      <c r="G3653" s="1">
        <v>6</v>
      </c>
      <c r="H3653" s="1">
        <v>2</v>
      </c>
      <c r="I3653" s="1" t="s">
        <v>5881</v>
      </c>
      <c r="K3653" s="1" t="str">
        <f t="shared" si="229"/>
        <v>ㄉ</v>
      </c>
      <c r="L3653" s="1" t="str">
        <f t="shared" si="230"/>
        <v>ㄨ</v>
      </c>
      <c r="M3653" s="1" t="str">
        <f t="shared" si="231"/>
        <v>ㄥ</v>
      </c>
      <c r="P3653" s="1" t="s">
        <v>20</v>
      </c>
      <c r="R3653" s="1" t="s">
        <v>5882</v>
      </c>
      <c r="V3653" s="1" t="s">
        <v>5883</v>
      </c>
      <c r="W3653" s="1" t="s">
        <v>5884</v>
      </c>
      <c r="AR3653" s="1" t="str">
        <f t="shared" si="232"/>
        <v>| [ㄉㄨㄥˋ](ㄉㄨㄥˋ.md) | [侗](侗.md) |  | dòng | [名]
中國少數民族之一。參見「侗族」條。 |</v>
      </c>
    </row>
    <row r="3654" spans="1:44" hidden="1">
      <c r="A3654" s="1" t="s">
        <v>5885</v>
      </c>
      <c r="C3654" s="1">
        <v>1</v>
      </c>
      <c r="D3654" s="1" t="str">
        <f>"02400"</f>
        <v>02400</v>
      </c>
      <c r="E3654" s="1" t="s">
        <v>129</v>
      </c>
      <c r="F3654" s="1">
        <v>9</v>
      </c>
      <c r="G3654" s="1">
        <v>6</v>
      </c>
      <c r="H3654" s="1">
        <v>1</v>
      </c>
      <c r="I3654" s="1" t="s">
        <v>5881</v>
      </c>
      <c r="K3654" s="1" t="str">
        <f t="shared" si="229"/>
        <v>ㄉ</v>
      </c>
      <c r="L3654" s="1" t="str">
        <f t="shared" si="230"/>
        <v>ㄨ</v>
      </c>
      <c r="M3654" s="1" t="str">
        <f t="shared" si="231"/>
        <v>ㄥ</v>
      </c>
      <c r="P3654" s="1" t="s">
        <v>20</v>
      </c>
      <c r="R3654" s="1" t="s">
        <v>5882</v>
      </c>
      <c r="V3654" s="1" t="s">
        <v>5886</v>
      </c>
      <c r="W3654" s="1" t="s">
        <v>5887</v>
      </c>
      <c r="AR3654" s="1" t="str">
        <f t="shared" si="232"/>
        <v>| [ㄉㄨㄥˋ](ㄉㄨㄥˋ.md) | [洞](洞.md) |  | dòng | [名]
1.深穴。如：「壁洞」、「山洞」。
2.穿破的孔。如：「衣服破了一個洞。」
3.口語中用來代替數目字的「零」。如：「洞洞拐」。
[動]
深察。南朝梁．劉勰《文心雕龍．宗經》：「洞性靈之奧區，極文章之骨髓者也。」
[副]
透澈、明白。如：「洞悉」、「洞察」。 |</v>
      </c>
    </row>
    <row r="3655" spans="1:44" hidden="1">
      <c r="A3655" s="1" t="s">
        <v>5888</v>
      </c>
      <c r="C3655" s="1">
        <v>1</v>
      </c>
      <c r="D3655" s="1" t="str">
        <f>"02401"</f>
        <v>02401</v>
      </c>
      <c r="E3655" s="1" t="s">
        <v>250</v>
      </c>
      <c r="F3655" s="1">
        <v>9</v>
      </c>
      <c r="G3655" s="1">
        <v>6</v>
      </c>
      <c r="H3655" s="1">
        <v>2</v>
      </c>
      <c r="I3655" s="1" t="s">
        <v>5881</v>
      </c>
      <c r="K3655" s="1" t="str">
        <f t="shared" si="229"/>
        <v>ㄉ</v>
      </c>
      <c r="L3655" s="1" t="str">
        <f t="shared" si="230"/>
        <v>ㄨ</v>
      </c>
      <c r="M3655" s="1" t="str">
        <f t="shared" si="231"/>
        <v>ㄥ</v>
      </c>
      <c r="P3655" s="1" t="s">
        <v>20</v>
      </c>
      <c r="R3655" s="1" t="s">
        <v>5882</v>
      </c>
      <c r="V3655" s="1" t="s">
        <v>5889</v>
      </c>
      <c r="W3655" s="1" t="s">
        <v>5890</v>
      </c>
      <c r="AR3655" s="1" t="str">
        <f t="shared" si="232"/>
        <v>| [ㄉㄨㄥˋ](ㄉㄨㄥˋ.md) | [恫](恫.md) |  | dòng | 參見「恫喝」、「恫嚇」等條。 |</v>
      </c>
    </row>
    <row r="3656" spans="1:44" hidden="1">
      <c r="A3656" s="1" t="s">
        <v>5891</v>
      </c>
      <c r="C3656" s="1">
        <v>1</v>
      </c>
      <c r="D3656" s="1" t="str">
        <f>"02402"</f>
        <v>02402</v>
      </c>
      <c r="E3656" s="1" t="s">
        <v>132</v>
      </c>
      <c r="F3656" s="1">
        <v>9</v>
      </c>
      <c r="G3656" s="1">
        <v>6</v>
      </c>
      <c r="H3656" s="1">
        <v>1</v>
      </c>
      <c r="I3656" s="1" t="s">
        <v>5881</v>
      </c>
      <c r="K3656" s="1" t="str">
        <f t="shared" si="229"/>
        <v>ㄉ</v>
      </c>
      <c r="L3656" s="1" t="str">
        <f t="shared" si="230"/>
        <v>ㄨ</v>
      </c>
      <c r="M3656" s="1" t="str">
        <f t="shared" si="231"/>
        <v>ㄥ</v>
      </c>
      <c r="P3656" s="1" t="s">
        <v>20</v>
      </c>
      <c r="R3656" s="1" t="s">
        <v>5882</v>
      </c>
      <c r="V3656" s="1" t="s">
        <v>5892</v>
      </c>
      <c r="W3656" s="1" t="s">
        <v>5893</v>
      </c>
      <c r="AR3656" s="1" t="str">
        <f t="shared" si="232"/>
        <v>| [ㄉㄨㄥˋ](ㄉㄨㄥˋ.md) | [垌](垌.md) |  | dòng | [名]_x000D_
地名用字。如：廣東有「儒垌」、廣西有「麻垌鎮」。 |</v>
      </c>
    </row>
    <row r="3657" spans="1:44" hidden="1">
      <c r="A3657" s="1" t="s">
        <v>5894</v>
      </c>
      <c r="C3657" s="1">
        <v>1</v>
      </c>
      <c r="D3657" s="1" t="str">
        <f>"02403"</f>
        <v>02403</v>
      </c>
      <c r="E3657" s="1" t="s">
        <v>190</v>
      </c>
      <c r="F3657" s="1">
        <v>9</v>
      </c>
      <c r="G3657" s="1">
        <v>6</v>
      </c>
      <c r="H3657" s="1">
        <v>2</v>
      </c>
      <c r="I3657" s="1" t="s">
        <v>5881</v>
      </c>
      <c r="K3657" s="1" t="str">
        <f t="shared" si="229"/>
        <v>ㄉ</v>
      </c>
      <c r="L3657" s="1" t="str">
        <f t="shared" si="230"/>
        <v>ㄨ</v>
      </c>
      <c r="M3657" s="1" t="str">
        <f t="shared" si="231"/>
        <v>ㄥ</v>
      </c>
      <c r="P3657" s="1" t="s">
        <v>20</v>
      </c>
      <c r="R3657" s="1" t="s">
        <v>5882</v>
      </c>
      <c r="V3657" s="1" t="s">
        <v>5895</v>
      </c>
      <c r="W3657" s="1" t="s">
        <v>5896</v>
      </c>
      <c r="AR3657" s="1" t="str">
        <f t="shared" si="232"/>
        <v>| [ㄉㄨㄥˋ](ㄉㄨㄥˋ.md) | [峒](峒.md) |  | dòng | [名]
1.早期大陸地區海南島黎族政治組織的名稱。各峒以山嶺、河流為界，有固定的地域。如：「峒長」。
2.地名用字：(1)苗、傜、僮、侗等民族的聚居區域。分布在大陸地區廣西、貴州等部分山區。如「苗峒」、「黃峒」。(2)山洞。如：「峒中」、「吉峒坪」。 |</v>
      </c>
    </row>
    <row r="3658" spans="1:44" hidden="1">
      <c r="A3658" s="1" t="s">
        <v>5897</v>
      </c>
      <c r="C3658" s="1">
        <v>1</v>
      </c>
      <c r="D3658" s="1" t="str">
        <f>"02404"</f>
        <v>02404</v>
      </c>
      <c r="E3658" s="1" t="s">
        <v>68</v>
      </c>
      <c r="F3658" s="1">
        <v>10</v>
      </c>
      <c r="G3658" s="1">
        <v>6</v>
      </c>
      <c r="H3658" s="1">
        <v>0</v>
      </c>
      <c r="I3658" s="1" t="s">
        <v>5881</v>
      </c>
      <c r="K3658" s="1" t="str">
        <f t="shared" si="229"/>
        <v>ㄉ</v>
      </c>
      <c r="L3658" s="1" t="str">
        <f t="shared" si="230"/>
        <v>ㄨ</v>
      </c>
      <c r="M3658" s="1" t="str">
        <f t="shared" si="231"/>
        <v>ㄥ</v>
      </c>
      <c r="P3658" s="1" t="s">
        <v>20</v>
      </c>
      <c r="R3658" s="1" t="s">
        <v>5882</v>
      </c>
      <c r="V3658" s="1" t="s">
        <v>5898</v>
      </c>
      <c r="AR3658" s="1" t="str">
        <f t="shared" si="232"/>
        <v>| [ㄉㄨㄥˋ](ㄉㄨㄥˋ.md) | [胴](胴.md) |  | dòng | [名]_x000D_
人或動物的軀幹。如：「胴體」。 |</v>
      </c>
    </row>
    <row r="3659" spans="1:44" hidden="1">
      <c r="A3659" s="1" t="s">
        <v>5899</v>
      </c>
      <c r="C3659" s="1">
        <v>1</v>
      </c>
      <c r="D3659" s="1" t="str">
        <f>"02405"</f>
        <v>02405</v>
      </c>
      <c r="E3659" s="1" t="s">
        <v>1381</v>
      </c>
      <c r="F3659" s="1">
        <v>10</v>
      </c>
      <c r="G3659" s="1">
        <v>8</v>
      </c>
      <c r="H3659" s="1">
        <v>0</v>
      </c>
      <c r="I3659" s="1" t="s">
        <v>5881</v>
      </c>
      <c r="K3659" s="1" t="str">
        <f t="shared" si="229"/>
        <v>ㄉ</v>
      </c>
      <c r="L3659" s="1" t="str">
        <f t="shared" si="230"/>
        <v>ㄨ</v>
      </c>
      <c r="M3659" s="1" t="str">
        <f t="shared" si="231"/>
        <v>ㄥ</v>
      </c>
      <c r="P3659" s="1" t="s">
        <v>20</v>
      </c>
      <c r="R3659" s="1" t="s">
        <v>5882</v>
      </c>
      <c r="V3659" s="1" t="s">
        <v>5900</v>
      </c>
      <c r="AR3659" s="1" t="str">
        <f t="shared" si="232"/>
        <v>| [ㄉㄨㄥˋ](ㄉㄨㄥˋ.md) | [凍](凍.md) |  | dòng | [名]
1.食物湯汁或含有膠質材料的汁液等，凝結成的半固體。如：「魚凍」、「肉凍」、「果凍」。
2.姓。如明代有凍秦。
[動]
1.液體或含水分的東西遇冷而凝結。如：「冰凍」、「冷凍」、「天寒地凍」。《禮記．月令》：「孟冬之月，……水始冰，地始凍。」唐．李賀〈贈陳商〉詩：「柴門車轍凍，日下榆影瘦。」
2.受冷或感到冷。如：「凍得發抖。」 |</v>
      </c>
    </row>
    <row r="3660" spans="1:44" hidden="1">
      <c r="A3660" s="1" t="s">
        <v>5870</v>
      </c>
      <c r="C3660" s="1">
        <v>1</v>
      </c>
      <c r="D3660" s="1" t="str">
        <f>"02406"</f>
        <v>02406</v>
      </c>
      <c r="E3660" s="1" t="s">
        <v>129</v>
      </c>
      <c r="F3660" s="1">
        <v>11</v>
      </c>
      <c r="G3660" s="1">
        <v>8</v>
      </c>
      <c r="H3660" s="1">
        <v>1</v>
      </c>
      <c r="I3660" s="1" t="s">
        <v>5881</v>
      </c>
      <c r="K3660" s="1" t="str">
        <f t="shared" si="229"/>
        <v>ㄉ</v>
      </c>
      <c r="L3660" s="1" t="str">
        <f t="shared" si="230"/>
        <v>ㄨ</v>
      </c>
      <c r="M3660" s="1" t="str">
        <f t="shared" si="231"/>
        <v>ㄥ</v>
      </c>
      <c r="P3660" s="1" t="s">
        <v>20</v>
      </c>
      <c r="R3660" s="1" t="s">
        <v>5882</v>
      </c>
      <c r="V3660" s="1" t="s">
        <v>5901</v>
      </c>
      <c r="W3660" s="1" t="s">
        <v>5902</v>
      </c>
      <c r="AR3660" s="1" t="str">
        <f t="shared" si="232"/>
        <v>| [ㄉㄨㄥˋ](ㄉㄨㄥˋ.md) | [涷](涷.md) |  | dòng | [名]
1.河川名。源出大陸地區山西省長子縣發鳩山而注入黃河。
2.暴雨。《楚辭．屈原．九歌．大司命》：「令飄風兮先驅，使涷雨兮灑塵。」 |</v>
      </c>
    </row>
    <row r="3661" spans="1:44" hidden="1">
      <c r="A3661" s="1" t="s">
        <v>5903</v>
      </c>
      <c r="C3661" s="1">
        <v>1</v>
      </c>
      <c r="D3661" s="1" t="str">
        <f>"02407"</f>
        <v>02407</v>
      </c>
      <c r="E3661" s="1" t="s">
        <v>139</v>
      </c>
      <c r="F3661" s="1">
        <v>12</v>
      </c>
      <c r="G3661" s="1">
        <v>8</v>
      </c>
      <c r="H3661" s="1">
        <v>0</v>
      </c>
      <c r="I3661" s="1" t="s">
        <v>5881</v>
      </c>
      <c r="K3661" s="1" t="str">
        <f t="shared" si="229"/>
        <v>ㄉ</v>
      </c>
      <c r="L3661" s="1" t="str">
        <f t="shared" si="230"/>
        <v>ㄨ</v>
      </c>
      <c r="M3661" s="1" t="str">
        <f t="shared" si="231"/>
        <v>ㄥ</v>
      </c>
      <c r="P3661" s="1" t="s">
        <v>20</v>
      </c>
      <c r="R3661" s="1" t="s">
        <v>5882</v>
      </c>
      <c r="V3661" s="1" t="s">
        <v>5904</v>
      </c>
      <c r="AR3661" s="1" t="str">
        <f t="shared" si="232"/>
        <v>| [ㄉㄨㄥˋ](ㄉㄨㄥˋ.md) | [棟](棟.md) |  | dòng | [名]
1.房屋的正梁。《左傳．襄公三十一年》：「子於鄭國，棟也。」《國語．魯語上》：「不厚其棟，不能任重。」
2.量詞。計算房屋建築物的單位。如：「一棟房屋」。 |</v>
      </c>
    </row>
    <row r="3662" spans="1:44" hidden="1">
      <c r="A3662" s="1" t="s">
        <v>5872</v>
      </c>
      <c r="C3662" s="1">
        <v>1</v>
      </c>
      <c r="D3662" s="1" t="str">
        <f>"02408"</f>
        <v>02408</v>
      </c>
      <c r="E3662" s="1" t="s">
        <v>679</v>
      </c>
      <c r="F3662" s="1">
        <v>14</v>
      </c>
      <c r="G3662" s="1">
        <v>8</v>
      </c>
      <c r="H3662" s="1">
        <v>2</v>
      </c>
      <c r="I3662" s="1" t="s">
        <v>5881</v>
      </c>
      <c r="K3662" s="1" t="str">
        <f t="shared" si="229"/>
        <v>ㄉ</v>
      </c>
      <c r="L3662" s="1" t="str">
        <f t="shared" si="230"/>
        <v>ㄨ</v>
      </c>
      <c r="M3662" s="1" t="str">
        <f t="shared" si="231"/>
        <v>ㄥ</v>
      </c>
      <c r="P3662" s="1" t="s">
        <v>110</v>
      </c>
      <c r="R3662" s="1" t="s">
        <v>5882</v>
      </c>
      <c r="V3662" s="1" t="s">
        <v>111</v>
      </c>
      <c r="W3662" s="1" t="s">
        <v>5905</v>
      </c>
      <c r="AR3662" s="1" t="str">
        <f t="shared" si="232"/>
        <v>| [ㄉㄨㄥˋ](ㄉㄨㄥˋ.md) | [蝀](蝀.md) |  | dòng | (一)之又音。 |</v>
      </c>
    </row>
    <row r="3663" spans="1:44" hidden="1">
      <c r="A3663" s="1" t="s">
        <v>5906</v>
      </c>
      <c r="C3663" s="1">
        <v>1</v>
      </c>
      <c r="D3663" s="1" t="str">
        <f>"02409"</f>
        <v>02409</v>
      </c>
      <c r="E3663" s="1" t="s">
        <v>245</v>
      </c>
      <c r="F3663" s="1">
        <v>11</v>
      </c>
      <c r="G3663" s="1">
        <v>9</v>
      </c>
      <c r="H3663" s="1">
        <v>0</v>
      </c>
      <c r="I3663" s="1" t="s">
        <v>5881</v>
      </c>
      <c r="K3663" s="1" t="str">
        <f t="shared" si="229"/>
        <v>ㄉ</v>
      </c>
      <c r="L3663" s="1" t="str">
        <f t="shared" si="230"/>
        <v>ㄨ</v>
      </c>
      <c r="M3663" s="1" t="str">
        <f t="shared" si="231"/>
        <v>ㄥ</v>
      </c>
      <c r="P3663" s="1" t="s">
        <v>20</v>
      </c>
      <c r="R3663" s="1" t="s">
        <v>5882</v>
      </c>
      <c r="V3663" s="1" t="s">
        <v>5907</v>
      </c>
      <c r="AR3663" s="1" t="str">
        <f t="shared" si="232"/>
        <v>| [ㄉㄨㄥˋ](ㄉㄨㄥˋ.md) | [動](動.md) |  | dòng | [動]
1.事物改變原來位置或脫離靜止狀態。與「靜」相對。如：「別動我的東西！」、「風吹草動」、「動一動，比較不冷」。
2.使用。如：「動筆」、「動刀」、「動腦筋」、「動心思」。
3.有所作為、開始做。如：「大家肯合作，動起來就快了！」、「動工」、「動身」。
4.觸發、感觸。如：「動怒」、「動人」、「感動」、「心動」。
5.吃。如：「他向來不動葷腥。」
[副]
1.每每、往往。如：「動輒得咎」。唐．杜甫〈贈衛八處士〉詩：「人生不相見，動如參與商。」唐．白居易〈與元微之書〉：「每一獨往，動彌旬日。」
2.用在動詞之後，表示效果。如：「提不動」、「你說動他了嗎？」。 |</v>
      </c>
    </row>
    <row r="3664" spans="1:44" hidden="1">
      <c r="A3664" s="1" t="s">
        <v>5908</v>
      </c>
      <c r="C3664" s="1">
        <v>1</v>
      </c>
      <c r="D3664" s="1" t="str">
        <f>"02410"</f>
        <v>02410</v>
      </c>
      <c r="E3664" s="1" t="s">
        <v>129</v>
      </c>
      <c r="F3664" s="1">
        <v>12</v>
      </c>
      <c r="G3664" s="1">
        <v>9</v>
      </c>
      <c r="H3664" s="1">
        <v>0</v>
      </c>
      <c r="I3664" s="1" t="s">
        <v>5881</v>
      </c>
      <c r="K3664" s="1" t="str">
        <f t="shared" si="229"/>
        <v>ㄉ</v>
      </c>
      <c r="L3664" s="1" t="str">
        <f t="shared" si="230"/>
        <v>ㄨ</v>
      </c>
      <c r="M3664" s="1" t="str">
        <f t="shared" si="231"/>
        <v>ㄥ</v>
      </c>
      <c r="P3664" s="1" t="s">
        <v>20</v>
      </c>
      <c r="R3664" s="1" t="s">
        <v>5882</v>
      </c>
      <c r="V3664" s="1" t="s">
        <v>5909</v>
      </c>
      <c r="AR3664" s="1" t="str">
        <f t="shared" si="232"/>
        <v>| [ㄉㄨㄥˋ](ㄉㄨㄥˋ.md) | [湩](湩.md) |  | dòng | [名]
乳汁。《穆天子傳》卷四：「具牛羊之湩，以洗天子之足。」《後漢書．卷八一．獨行傳．李善傳》：「親自哺養，乳為生湩。」唐．章懷太子．注：「湩，乳汁也。」 |</v>
      </c>
    </row>
    <row r="3665" spans="1:44" hidden="1">
      <c r="A3665" s="1" t="s">
        <v>4645</v>
      </c>
      <c r="C3665" s="1">
        <v>1</v>
      </c>
      <c r="D3665" s="1" t="str">
        <f>"01899"</f>
        <v>01899</v>
      </c>
      <c r="E3665" s="1" t="s">
        <v>24</v>
      </c>
      <c r="F3665" s="1">
        <v>5</v>
      </c>
      <c r="G3665" s="1">
        <v>2</v>
      </c>
      <c r="H3665" s="1">
        <v>2</v>
      </c>
      <c r="I3665" s="1" t="s">
        <v>4646</v>
      </c>
      <c r="K3665" s="1" t="str">
        <f t="shared" si="229"/>
        <v>ㄉ</v>
      </c>
      <c r="L3665" s="1" t="str">
        <f t="shared" si="230"/>
        <v>ㄚ</v>
      </c>
      <c r="N3665" s="3" t="s">
        <v>30575</v>
      </c>
      <c r="O3665" s="3"/>
      <c r="P3665" s="1" t="s">
        <v>20</v>
      </c>
      <c r="R3665" s="1" t="s">
        <v>4647</v>
      </c>
      <c r="V3665" s="1" t="s">
        <v>4648</v>
      </c>
      <c r="W3665" s="1" t="s">
        <v>4649</v>
      </c>
      <c r="AR3665" s="1" t="str">
        <f t="shared" si="232"/>
        <v>| [ㄉㄚˊ](ㄉㄚˊ.md) | [打](打.md) |  | dá | [名]
量詞。計算物品的單位。為英文dozen的音譯。十二個為一打。如：「一打毛巾」、「兩打鉛筆」。 |</v>
      </c>
    </row>
    <row r="3666" spans="1:44" hidden="1">
      <c r="A3666" s="1" t="s">
        <v>4650</v>
      </c>
      <c r="C3666" s="1">
        <v>1</v>
      </c>
      <c r="D3666" s="1" t="str">
        <f>"01900"</f>
        <v>01900</v>
      </c>
      <c r="E3666" s="1" t="s">
        <v>250</v>
      </c>
      <c r="F3666" s="1">
        <v>8</v>
      </c>
      <c r="G3666" s="1">
        <v>5</v>
      </c>
      <c r="H3666" s="1">
        <v>0</v>
      </c>
      <c r="I3666" s="1" t="s">
        <v>4646</v>
      </c>
      <c r="K3666" s="1" t="str">
        <f t="shared" si="229"/>
        <v>ㄉ</v>
      </c>
      <c r="L3666" s="1" t="str">
        <f t="shared" si="230"/>
        <v>ㄚ</v>
      </c>
      <c r="N3666" s="3" t="s">
        <v>30575</v>
      </c>
      <c r="O3666" s="3"/>
      <c r="P3666" s="1" t="s">
        <v>20</v>
      </c>
      <c r="R3666" s="1" t="s">
        <v>4647</v>
      </c>
      <c r="V3666" s="1" t="s">
        <v>4651</v>
      </c>
      <c r="AR3666" s="1" t="str">
        <f t="shared" si="232"/>
        <v>| [ㄉㄚˊ](ㄉㄚˊ.md) | [怛](怛.md) |  | dá | [動]
1.悲痛、憂傷。《詩經．檜風．匪風》：「顧瞻周道，中心怛兮。」
2.驚恐、畏懼。唐．獨孤及〈代書寄上李廣州〉詩：「推誠魚鱉信，持正魑魅怛。」
3.威嚇、恐嚇。唐．柳宗元〈三戒．臨江之麋〉：「群犬垂涎，揚尾皆來，其人怒怛之。」
[名]
懼怕。《文選．左思．魏都賦》：「顧非累卵於疊棋，焉至觀形而懷怛。」 |</v>
      </c>
    </row>
    <row r="3667" spans="1:44" hidden="1">
      <c r="A3667" s="1" t="s">
        <v>4652</v>
      </c>
      <c r="C3667" s="1">
        <v>1</v>
      </c>
      <c r="D3667" s="1" t="str">
        <f>"01901"</f>
        <v>01901</v>
      </c>
      <c r="E3667" s="1" t="s">
        <v>28</v>
      </c>
      <c r="F3667" s="1">
        <v>8</v>
      </c>
      <c r="G3667" s="1">
        <v>5</v>
      </c>
      <c r="H3667" s="1">
        <v>0</v>
      </c>
      <c r="I3667" s="1" t="s">
        <v>4646</v>
      </c>
      <c r="K3667" s="1" t="str">
        <f t="shared" si="229"/>
        <v>ㄉ</v>
      </c>
      <c r="L3667" s="1" t="str">
        <f t="shared" si="230"/>
        <v>ㄚ</v>
      </c>
      <c r="N3667" s="3" t="s">
        <v>30575</v>
      </c>
      <c r="O3667" s="3"/>
      <c r="P3667" s="1" t="s">
        <v>20</v>
      </c>
      <c r="R3667" s="1" t="s">
        <v>4647</v>
      </c>
      <c r="V3667" s="1" t="s">
        <v>4653</v>
      </c>
      <c r="AR3667" s="1" t="str">
        <f t="shared" si="232"/>
        <v>| [ㄉㄚˊ](ㄉㄚˊ.md) | [呾](呾.md) |  | dá | [動]
1.相呵笑。唐．韓愈〈幽州節度判官贈給事中清河張君墓誌銘〉：「我銘以貞之，不肖者之呾也。」
2.歌唱時用手或足打節拍。元．喬吉〈喬牌兒．鳳求凰琴慢彈套〉：「鳳求凰琴慢彈，鶯求友曲休呾。」 |</v>
      </c>
    </row>
    <row r="3668" spans="1:44" hidden="1">
      <c r="A3668" s="1" t="s">
        <v>4654</v>
      </c>
      <c r="C3668" s="1">
        <v>1</v>
      </c>
      <c r="D3668" s="1" t="str">
        <f>"01902"</f>
        <v>01902</v>
      </c>
      <c r="E3668" s="1" t="s">
        <v>534</v>
      </c>
      <c r="F3668" s="1">
        <v>8</v>
      </c>
      <c r="G3668" s="1">
        <v>5</v>
      </c>
      <c r="H3668" s="1">
        <v>0</v>
      </c>
      <c r="I3668" s="1" t="s">
        <v>4646</v>
      </c>
      <c r="K3668" s="1" t="str">
        <f t="shared" si="229"/>
        <v>ㄉ</v>
      </c>
      <c r="L3668" s="1" t="str">
        <f t="shared" si="230"/>
        <v>ㄚ</v>
      </c>
      <c r="N3668" s="3" t="s">
        <v>30575</v>
      </c>
      <c r="O3668" s="3"/>
      <c r="P3668" s="1" t="s">
        <v>20</v>
      </c>
      <c r="R3668" s="1" t="s">
        <v>4647</v>
      </c>
      <c r="V3668" s="1" t="s">
        <v>4655</v>
      </c>
      <c r="AR3668" s="1" t="str">
        <f t="shared" si="232"/>
        <v>| [ㄉㄚˊ](ㄉㄚˊ.md) | [妲](妲.md) |  | dá | 參見「妲己」條。 |</v>
      </c>
    </row>
    <row r="3669" spans="1:44" hidden="1">
      <c r="A3669" s="1" t="s">
        <v>4656</v>
      </c>
      <c r="C3669" s="1">
        <v>1</v>
      </c>
      <c r="D3669" s="1" t="str">
        <f>"01903"</f>
        <v>01903</v>
      </c>
      <c r="E3669" s="1" t="s">
        <v>96</v>
      </c>
      <c r="F3669" s="1">
        <v>14</v>
      </c>
      <c r="G3669" s="1">
        <v>5</v>
      </c>
      <c r="H3669" s="1">
        <v>0</v>
      </c>
      <c r="I3669" s="1" t="s">
        <v>4646</v>
      </c>
      <c r="K3669" s="1" t="str">
        <f t="shared" si="229"/>
        <v>ㄉ</v>
      </c>
      <c r="L3669" s="1" t="str">
        <f t="shared" si="230"/>
        <v>ㄚ</v>
      </c>
      <c r="N3669" s="3" t="s">
        <v>30575</v>
      </c>
      <c r="O3669" s="3"/>
      <c r="P3669" s="1" t="s">
        <v>20</v>
      </c>
      <c r="R3669" s="1" t="s">
        <v>4647</v>
      </c>
      <c r="V3669" s="1" t="s">
        <v>4657</v>
      </c>
      <c r="AR3669" s="1" t="str">
        <f t="shared" si="232"/>
        <v>| [ㄉㄚˊ](ㄉㄚˊ.md) | [靼](靼.md) |  | dá | [名]
1.質地柔軟的皮革。《說文解字．革部》：「靼，柔革也。」
2.參見「韃靼」條。 |</v>
      </c>
    </row>
    <row r="3670" spans="1:44" hidden="1">
      <c r="A3670" s="1" t="s">
        <v>4658</v>
      </c>
      <c r="C3670" s="1">
        <v>1</v>
      </c>
      <c r="D3670" s="1" t="str">
        <f>"01904"</f>
        <v>01904</v>
      </c>
      <c r="E3670" s="1" t="s">
        <v>37</v>
      </c>
      <c r="F3670" s="1">
        <v>10</v>
      </c>
      <c r="G3670" s="1">
        <v>6</v>
      </c>
      <c r="H3670" s="1">
        <v>0</v>
      </c>
      <c r="I3670" s="1" t="s">
        <v>4646</v>
      </c>
      <c r="K3670" s="1" t="str">
        <f t="shared" si="229"/>
        <v>ㄉ</v>
      </c>
      <c r="L3670" s="1" t="str">
        <f t="shared" si="230"/>
        <v>ㄚ</v>
      </c>
      <c r="N3670" s="3" t="s">
        <v>30575</v>
      </c>
      <c r="O3670" s="3"/>
      <c r="P3670" s="1" t="s">
        <v>20</v>
      </c>
      <c r="R3670" s="1" t="s">
        <v>4647</v>
      </c>
      <c r="V3670" s="1" t="s">
        <v>4659</v>
      </c>
      <c r="AR3670" s="1" t="str">
        <f t="shared" si="232"/>
        <v>| [ㄉㄚˊ](ㄉㄚˊ.md) | [荅](荅.md) |  | dá | [名]
小豆。《說文解字．艸》：「荅，小尗也。」清．王念孫《廣雅疏證．卷十上．釋草》：「小豆，荅也。」
[形]
厚重。《漢書．卷九一．貨殖傳．巴寡婦清傳》：「文采千匹，荅布皮革千石。」唐．顏師古．注：「麤厚之布也，其價賤，故與皮革同其量耳，非白疊也。荅者，厚重之貌。」 |</v>
      </c>
    </row>
    <row r="3671" spans="1:44" hidden="1">
      <c r="A3671" s="1" t="s">
        <v>4629</v>
      </c>
      <c r="C3671" s="1">
        <v>1</v>
      </c>
      <c r="D3671" s="1" t="str">
        <f>"01905"</f>
        <v>01905</v>
      </c>
      <c r="E3671" s="1" t="s">
        <v>49</v>
      </c>
      <c r="F3671" s="1">
        <v>12</v>
      </c>
      <c r="G3671" s="1">
        <v>6</v>
      </c>
      <c r="H3671" s="1">
        <v>1</v>
      </c>
      <c r="I3671" s="1" t="s">
        <v>4646</v>
      </c>
      <c r="K3671" s="1" t="str">
        <f t="shared" si="229"/>
        <v>ㄉ</v>
      </c>
      <c r="L3671" s="1" t="str">
        <f t="shared" si="230"/>
        <v>ㄚ</v>
      </c>
      <c r="N3671" s="3" t="s">
        <v>30575</v>
      </c>
      <c r="O3671" s="3"/>
      <c r="P3671" s="1" t="s">
        <v>20</v>
      </c>
      <c r="R3671" s="1" t="s">
        <v>4647</v>
      </c>
      <c r="V3671" s="1" t="s">
        <v>4660</v>
      </c>
      <c r="W3671" s="1" t="s">
        <v>4661</v>
      </c>
      <c r="AR3671" s="1" t="str">
        <f t="shared" si="232"/>
        <v>| [ㄉㄚˊ](ㄉㄚˊ.md) | [答](答.md) |  | dá | [動]
1.應對、回覆別人的問題。如：「回答」、「答覆」、「笑而不答」。
2.接受他人的恩惠而加以回報。如：「報答」、「答謝」。 |</v>
      </c>
    </row>
    <row r="3672" spans="1:44" hidden="1">
      <c r="A3672" s="1" t="s">
        <v>4662</v>
      </c>
      <c r="C3672" s="1">
        <v>1</v>
      </c>
      <c r="D3672" s="1" t="str">
        <f>"01906"</f>
        <v>01906</v>
      </c>
      <c r="E3672" s="1" t="s">
        <v>129</v>
      </c>
      <c r="F3672" s="1">
        <v>13</v>
      </c>
      <c r="G3672" s="1">
        <v>10</v>
      </c>
      <c r="H3672" s="1">
        <v>0</v>
      </c>
      <c r="I3672" s="1" t="s">
        <v>4646</v>
      </c>
      <c r="K3672" s="1" t="str">
        <f t="shared" si="229"/>
        <v>ㄉ</v>
      </c>
      <c r="L3672" s="1" t="str">
        <f t="shared" si="230"/>
        <v>ㄚ</v>
      </c>
      <c r="N3672" s="3" t="s">
        <v>30575</v>
      </c>
      <c r="O3672" s="3"/>
      <c r="P3672" s="1" t="s">
        <v>20</v>
      </c>
      <c r="R3672" s="1" t="s">
        <v>4647</v>
      </c>
      <c r="V3672" s="1" t="s">
        <v>4663</v>
      </c>
      <c r="AR3672" s="1" t="str">
        <f t="shared" si="232"/>
        <v>| [ㄉㄚˊ](ㄉㄚˊ.md) | [溚](溚.md) |  | dá | [名]
焦油的舊稱。參見「煤溚」條。 |</v>
      </c>
    </row>
    <row r="3673" spans="1:44" hidden="1">
      <c r="A3673" s="1" t="s">
        <v>4664</v>
      </c>
      <c r="C3673" s="1">
        <v>1</v>
      </c>
      <c r="D3673" s="1" t="str">
        <f>"01907"</f>
        <v>01907</v>
      </c>
      <c r="E3673" s="1" t="s">
        <v>40</v>
      </c>
      <c r="F3673" s="1">
        <v>15</v>
      </c>
      <c r="G3673" s="1">
        <v>10</v>
      </c>
      <c r="H3673" s="1">
        <v>2</v>
      </c>
      <c r="I3673" s="1" t="s">
        <v>4646</v>
      </c>
      <c r="K3673" s="1" t="str">
        <f t="shared" si="229"/>
        <v>ㄉ</v>
      </c>
      <c r="L3673" s="1" t="str">
        <f t="shared" si="230"/>
        <v>ㄚ</v>
      </c>
      <c r="N3673" s="3" t="s">
        <v>30575</v>
      </c>
      <c r="O3673" s="3"/>
      <c r="P3673" s="1" t="s">
        <v>186</v>
      </c>
      <c r="R3673" s="1" t="s">
        <v>4647</v>
      </c>
      <c r="V3673" s="1" t="s">
        <v>206</v>
      </c>
      <c r="W3673" s="1" t="s">
        <v>4665</v>
      </c>
      <c r="AR3673" s="1" t="str">
        <f t="shared" si="232"/>
        <v>| [ㄉㄚˊ](ㄉㄚˊ.md) | [瘩](瘩.md) |  | dá | (一)之讀音。 |</v>
      </c>
    </row>
    <row r="3674" spans="1:44" hidden="1">
      <c r="A3674" s="1" t="s">
        <v>4666</v>
      </c>
      <c r="C3674" s="1">
        <v>1</v>
      </c>
      <c r="D3674" s="1" t="str">
        <f>"01908"</f>
        <v>01908</v>
      </c>
      <c r="E3674" s="1" t="s">
        <v>558</v>
      </c>
      <c r="F3674" s="1">
        <v>13</v>
      </c>
      <c r="G3674" s="1">
        <v>9</v>
      </c>
      <c r="H3674" s="1">
        <v>1</v>
      </c>
      <c r="I3674" s="1" t="s">
        <v>4646</v>
      </c>
      <c r="K3674" s="1" t="str">
        <f t="shared" si="229"/>
        <v>ㄉ</v>
      </c>
      <c r="L3674" s="1" t="str">
        <f t="shared" si="230"/>
        <v>ㄚ</v>
      </c>
      <c r="N3674" s="3" t="s">
        <v>30575</v>
      </c>
      <c r="O3674" s="3"/>
      <c r="P3674" s="1" t="s">
        <v>20</v>
      </c>
      <c r="R3674" s="1" t="s">
        <v>4647</v>
      </c>
      <c r="V3674" s="1" t="s">
        <v>4667</v>
      </c>
      <c r="W3674" s="1" t="s">
        <v>4668</v>
      </c>
      <c r="AR3674" s="1" t="str">
        <f t="shared" si="232"/>
        <v>| [ㄉㄚˊ](ㄉㄚˊ.md) | [達](達.md) |  | dá | [動]
1.通。如：「直達車」、「四通八達」。《呂氏春秋．孟春紀．重己》：「理塞則氣不達，味眾珍則胃充，胃充則中大鞔。」
2.到。《書經．禹貢》：「浮于淮泗、達于河。」唐．杜甫〈月夜憶舍弟〉詩：「寄書長不達，況乃未休兵。」
3.實現、完成。如：「目的已達」。
4.表現。如：「詞不達意」。
5.通曉事理。《論語．雍也》：「賜也達，於從政乎何有？」
6.告訴。如：「傳達」、「轉達」。
[形]
1.顯達、顯貴。如：「達官貴人」。《文選．李密．陳情表》：「本圖宦達，不矜名節。」
2.常行不變。如：「達德」、「達道」。《禮記．三年問》：「夫三年之喪，天下之達喪也。」
3.豁達、宏達。如：「達人」、「達見」。
[副]
遍。《書經．召誥》：「若翼日乙卯，周公朝至于洛，則達觀于新邑營。」
[名]
姓。如春秋時齊國有達子，明代有達云。 |</v>
      </c>
    </row>
    <row r="3675" spans="1:44" hidden="1">
      <c r="A3675" s="1" t="s">
        <v>4639</v>
      </c>
      <c r="C3675" s="1">
        <v>1</v>
      </c>
      <c r="D3675" s="1" t="str">
        <f>"01909"</f>
        <v>01909</v>
      </c>
      <c r="E3675" s="1" t="s">
        <v>28</v>
      </c>
      <c r="F3675" s="1">
        <v>16</v>
      </c>
      <c r="G3675" s="1">
        <v>13</v>
      </c>
      <c r="H3675" s="1">
        <v>1</v>
      </c>
      <c r="I3675" s="1" t="s">
        <v>4646</v>
      </c>
      <c r="K3675" s="1" t="str">
        <f t="shared" si="229"/>
        <v>ㄉ</v>
      </c>
      <c r="L3675" s="1" t="str">
        <f t="shared" si="230"/>
        <v>ㄚ</v>
      </c>
      <c r="N3675" s="3" t="s">
        <v>30575</v>
      </c>
      <c r="O3675" s="3"/>
      <c r="P3675" s="1" t="s">
        <v>20</v>
      </c>
      <c r="R3675" s="1" t="s">
        <v>4647</v>
      </c>
      <c r="V3675" s="1" t="s">
        <v>4669</v>
      </c>
      <c r="W3675" s="1" t="s">
        <v>4670</v>
      </c>
      <c r="AR3675" s="1" t="str">
        <f t="shared" si="232"/>
        <v>| [ㄉㄚˊ](ㄉㄚˊ.md) | [噠](噠.md) |  | dá | [名]
嚈噠：中國古代的西方國家。《集韻．入聲．曷韻》：「噠，嚈噠，西夷國名。」《北史．卷四．魏本紀．肅宗孝明帝》：「是歲（神龜二年），吐谷渾、宕昌、嚈噠等國並遣使朝貢。」 |</v>
      </c>
    </row>
    <row r="3676" spans="1:44" hidden="1">
      <c r="A3676" s="1" t="s">
        <v>4671</v>
      </c>
      <c r="C3676" s="1">
        <v>1</v>
      </c>
      <c r="D3676" s="1" t="str">
        <f>"01910"</f>
        <v>01910</v>
      </c>
      <c r="E3676" s="1" t="s">
        <v>725</v>
      </c>
      <c r="F3676" s="1">
        <v>19</v>
      </c>
      <c r="G3676" s="1">
        <v>13</v>
      </c>
      <c r="H3676" s="1">
        <v>2</v>
      </c>
      <c r="I3676" s="1" t="s">
        <v>4646</v>
      </c>
      <c r="K3676" s="1" t="str">
        <f t="shared" si="229"/>
        <v>ㄉ</v>
      </c>
      <c r="L3676" s="1" t="str">
        <f t="shared" si="230"/>
        <v>ㄚ</v>
      </c>
      <c r="N3676" s="3" t="s">
        <v>30575</v>
      </c>
      <c r="O3676" s="3"/>
      <c r="P3676" s="1" t="s">
        <v>186</v>
      </c>
      <c r="R3676" s="1" t="s">
        <v>4647</v>
      </c>
      <c r="V3676" s="1" t="s">
        <v>206</v>
      </c>
      <c r="W3676" s="1" t="s">
        <v>4672</v>
      </c>
      <c r="AR3676" s="1" t="str">
        <f t="shared" si="232"/>
        <v>| [ㄉㄚˊ](ㄉㄚˊ.md) | [繨](繨.md) |  | dá | (一)之讀音。 |</v>
      </c>
    </row>
    <row r="3677" spans="1:44" hidden="1">
      <c r="A3677" s="1" t="s">
        <v>4673</v>
      </c>
      <c r="C3677" s="1">
        <v>1</v>
      </c>
      <c r="D3677" s="1" t="str">
        <f>"01911"</f>
        <v>01911</v>
      </c>
      <c r="E3677" s="1" t="s">
        <v>96</v>
      </c>
      <c r="F3677" s="1">
        <v>22</v>
      </c>
      <c r="G3677" s="1">
        <v>13</v>
      </c>
      <c r="H3677" s="1">
        <v>0</v>
      </c>
      <c r="I3677" s="1" t="s">
        <v>4646</v>
      </c>
      <c r="K3677" s="1" t="str">
        <f t="shared" si="229"/>
        <v>ㄉ</v>
      </c>
      <c r="L3677" s="1" t="str">
        <f t="shared" si="230"/>
        <v>ㄚ</v>
      </c>
      <c r="N3677" s="3" t="s">
        <v>30575</v>
      </c>
      <c r="O3677" s="3"/>
      <c r="P3677" s="1" t="s">
        <v>20</v>
      </c>
      <c r="R3677" s="1" t="s">
        <v>4647</v>
      </c>
      <c r="V3677" s="1" t="s">
        <v>4674</v>
      </c>
      <c r="AR3677" s="1" t="str">
        <f t="shared" si="232"/>
        <v>| [ㄉㄚˊ](ㄉㄚˊ.md) | [韃](韃.md) |  | dá | 參見「韃靼」、「韃子」等條。 |</v>
      </c>
    </row>
    <row r="3678" spans="1:44" hidden="1">
      <c r="A3678" s="1" t="s">
        <v>4645</v>
      </c>
      <c r="C3678" s="1">
        <v>1</v>
      </c>
      <c r="D3678" s="1" t="str">
        <f>"01912"</f>
        <v>01912</v>
      </c>
      <c r="E3678" s="1" t="s">
        <v>24</v>
      </c>
      <c r="F3678" s="1">
        <v>5</v>
      </c>
      <c r="G3678" s="1">
        <v>2</v>
      </c>
      <c r="H3678" s="1">
        <v>1</v>
      </c>
      <c r="I3678" s="1" t="s">
        <v>4675</v>
      </c>
      <c r="K3678" s="1" t="str">
        <f t="shared" si="229"/>
        <v>ㄉ</v>
      </c>
      <c r="L3678" s="1" t="str">
        <f t="shared" si="230"/>
        <v>ㄚ</v>
      </c>
      <c r="N3678" s="3" t="s">
        <v>30576</v>
      </c>
      <c r="O3678" s="3"/>
      <c r="P3678" s="1" t="s">
        <v>20</v>
      </c>
      <c r="R3678" s="1" t="s">
        <v>4676</v>
      </c>
      <c r="V3678" s="1" t="s">
        <v>4677</v>
      </c>
      <c r="W3678" s="1" t="s">
        <v>4678</v>
      </c>
      <c r="AR3678" s="1" t="str">
        <f t="shared" si="232"/>
        <v>| [ㄉㄚˇ](ㄉㄚˇ.md) | [打](打.md) |  | dǎ | [動]_x000D_
1.敲擊、捶擊、毆打。如：「打棒球」、「打鐵趁熱」。唐．杜甫〈十二月一日〉詩三首之二：「打鼓發船何郡郎，新亭舉目風景切。」《負曝閑談》第九回：「幸虧孫老六還有點家數，隨即跳上波羅蓋，跟著喇嘛僧你一拳我一拳的打起來了。」《說岳全傳》第三回：「你若不肯倍我們頑，就打你這狗頭。」_x000D_
2.攻擊、戰鬥。如：「打仗」。《水滸傳》第二回：「快備我的馬來。如今便先去打史家莊，後取華陰縣。」《三國演義》第一九回：「操即令曹仁引三千兵打沛城。」_x000D_
3.消除、除去。如：「打火英雄」。元．朱震亨《丹溪治法心要．卷三．心痛》：「打蟲方：楝根、檳榔、鶴虱，夏取汁飲，冬煎濃湯，下萬靈丸最好。」《無明羅剎集》卷下：「如有象群處大林中四邊火起。……時最大象挽於樹枝，以打火滅導道令過得離火難。」_x000D_
4.發出、放出。如：「打電報」、「打信號」、「打電話」。《警世通言．卷二八．白娘子永鎮雷峰塔》：「只聽得一聲響，卻是青天裡打一個霹靂，眾人都驚倒了！」《儒林外史》第三四回：「那響馬賊數十人，齊聲打了一個忽哨，飛奔前來。」_x000D_
5.指身體不自主地做出動作。如：「打瞌睡」、「打哈欠」、「打寒噤」、「打呼嚕」。元．無名氏《陳州糶米》第三折：「如今那普天下人盡言，道一個包龍圖暗暗的私行，諕得些官吏每兢兢打戰。」《警世通言．卷三六．皂角林大王假形》：「忽然打一個噴涕，廳上廳下人都打噴涕。」《醒世姻緣傳》第一回：「晁大舍送客回來，剛剛跨進大門，猶似被人劈面一掌，通身打了一個冷噤。」_x000D_
6.注入、刺入。如：「打針」、「打點滴」、「給車胎打氣」。《兒女英雄傳》第三回：「在風門、肝俞、腎俞、三里，四個穴道，打了四針。」《醒世恆言．卷二〇．張廷秀逃生救父》：「叫徐氏嘴對嘴打氣，接連打了十數口氣，只見咽喉氣轉，手足展施。」_x000D_
7. 做、製作。如：「打造」、「打毛衣」、「打一條項鍊」。《水滸傳》第四回：「好生打一條六十二斤的水磨禪杖與師父。」《紅樓夢》第六四回：「於是二人商議著，使人看房子、打首飾，給二姐兒置買妝奩及新房中應用床帳等物。」《醒世姻緣傳》第五七回：「那人慘白鬍鬚，打著辮子，寡骨瘦臉，凸暴著兩個眼。」《兒女英雄傳》第五回：「又拿了一根大繩出來，往公子的胸前一搭，向後抄手，繞了三、四道，打了一個死扣兒。」_x000D_
8.舉、持。如：「打燈籠」。《三國演義》第一回：「忽見一彪軍馬，盡打紅旗，當頭來到，截住去路。」《紅樓夢》第一三回：「早有大明宮掌宮內相戴權，先備了祭禮遣人來，次後坐了大轎，打傘鳴鑼，親來上祭。」_x000D_
9.汲取、盛取。《醒世恆言．卷二五．獨孤生歸途鬧夢》：「那心兒裡就是十五、六個吊桶打水，七上八落的跳一個不止。」《西遊記》第五六回：「這老楊的兒子忙入裡面，叫起他妻來，打米煮飯。」_x000D_
10.捕捉、獵取。宋．汪元量〈湖州歌〉九八首之一七：「手中明鏡拋船上，半揭篷窗看打魚。」《水滸傳》第二回：「小人們不敢上山打捕野味，那討來賣？」《西遊記》第一三回：「我在這裡住人，專倚打些狼虎為生，捉些蛇蟲過活。」_x000D_
11.割取、砍取。《西遊記》第八五回：「八戒，你去打馬草的，怎麼這般狼狽回來？想是山上人家人看護，不容你打草麼？」《儒林外史》第三八回：「只得左近人家傭工，替人挑土打柴。」_x000D_
12.購買。如：「打年貨」、「打車票」。《儒林外史》第一一回：「數錢去鎮上打了三斤一方肉。」《醒世姻緣傳》第七八回：「連忙打肉殺雞，沽酒做菜，定蒸餅，買火燒。」清．劉獻廷《廣陽雜記》卷五：「買物曰打米、曰打肉。」_x000D_
13. 轉動、撥動。如：「打方向盤」。清．胡天游〈漁家傲．歲月等閒歸一睡〉詞：「一葉身隨風打舵，九迴腸似天旋磨，心事近來堪問麼，鐙影過，轉教歸夢無心做。」《兒女英雄傳》第三三回：「及至他問我丈人多少地，應收多少高粱、麥子、穀子，我丈人不用打算盤，說的數目卻又合那算法本子上不差上下。」_x000D_
14. 鑿開、揭開。如：「打開鍋蓋」、「打一口井」。《平妖傳》第四〇回：「只須帶五百名掘子手，在城北打一個地洞，直入貝州城內。」_x000D_
15. 破開、摔開。如：「雞飛蛋打」、「他不小心把碗打了，碎了一地！」_x000D_
16. 印上、畫上、刻上。如：「打樣」、「打郵戳」。《水滸傳》第八回：「林冲當下看人寫了，借過筆來，去年月下押個花字，打個手模。」《三寶太監西洋記通俗演義》第六七回：「碑上打著一行大字，說道：『西洋金眼國忠孝之墓。』」《紅樓夢》第二八回：「炕上兩個丫頭打粉線，黛玉彎著腰拿著剪子裁什麼呢。」_x000D_
17. 塗抹。如：「打蠟」、「打粉底」、「打亮光漆」。_x000D_
18. 定出、立定、盤算。如：「打分數」、「打基礎」、「精打細算」。《綠野仙蹤》第六回：「他今日做這般刀斬斧斷的事，可知他平日心中也不知打過幾千回稿兒。」《八仙得道》第五三回：「結果，不但把背城的資本，一博而空，還欠了人家一大筆錢，立下筆據，限期償還。這一來，就不怕他不從繼母身上打算了。」_x000D_
19.使用、採用。如：「打比喻」、「打官腔」。《西遊記》第二五回：「徒弟息怒。我們是出家人，休打誑語，莫喫昧心食。果然喫了他的，陪他個禮罷。何苦這般抵賴？」《官場現形記》第一七回：「當面怕弄僵，還是寫信的好；你寫信只管打官話，是不怕他出首的。」《兒女英雄傳》第三七回：「只聽他打著一口的常州鄉談道：『底樣臥，底樣臥。』」_x000D_
20.擔任、從事。如：「打零工」、「打游擊」。《文明小史》第五一回：「四、五個家人，十幾個打雜的，一大群人趁了長江輪船。」_x000D_
21.搭乘、乘坐。《西遊記》第四九回：「正都在河邊上吵鬧，忽聽得河中間高叫：『孫大聖不要打船，花費人家財物。我送你師徒們過去。』」《紅樓夢》第一一九回：「咱們說定了幾時，我叫女婿打了車來接了去。」《海上花列傳》第五回：「蓮生接來揩了一把，方吩咐來安打轎回去。」_x000D_
22.振作、提起。《金瓶梅詞話》第六一回：「那李瓶兒在房中身上不方便，請了半日，纔請了來，恰似風兒刮倒的一般，強打著精神，陪西門慶坐。」《紅樓夢》第七六回：「我少不得打起精神來對一句，只是再不能似這一句了。」_x000D_
23.設置。《金瓶梅詞話》第九四回：「這雪娥一領進入一個門戶，半間房子裡面，打著土炕。炕上坐著個五、六十歲的婆子，還有個十七、八頂老丫頭。」《醒世姻緣傳》第七五回：「眼下又要娶親，小小一個院子，東邊一間小房，打著煤爐，是做飯的去處。」_x000D_
24.猜測。《小五義》第二三回：「你打啞謎，我如何猜得著你的心事哪！」《鏡花緣》第八〇回：「紫芝道：『你還是談天？還是打謎？』」《醒世姻緣傳》第五八回：「『孩子跑在哥面前』，打四書五字。」_x000D_
[名]_x000D_
1.武術、武功。如：「武打」、「教打」、「練打」。_x000D_
2.姓。如宋代的丹流國有打擊。_x000D_
[介]_x000D_
自、從。如：「您打哪裡來？」、「打現在起，我要發奮用功。」《金瓶梅詞話》第二回：「兀的誰家大官人，打這屋簷下過？」《紅樓夢》第五二回：「周哥，錢哥，咱們打這角門走罷，省得到了老爺的書房門口又下來。」 |</v>
      </c>
    </row>
    <row r="3679" spans="1:44" hidden="1">
      <c r="A3679" s="1" t="s">
        <v>4679</v>
      </c>
      <c r="C3679" s="1">
        <v>1</v>
      </c>
      <c r="D3679" s="1" t="str">
        <f>"01913"</f>
        <v>01913</v>
      </c>
      <c r="E3679" s="1" t="s">
        <v>563</v>
      </c>
      <c r="F3679" s="1">
        <v>3</v>
      </c>
      <c r="G3679" s="1">
        <v>0</v>
      </c>
      <c r="H3679" s="1">
        <v>1</v>
      </c>
      <c r="I3679" s="1" t="s">
        <v>4680</v>
      </c>
      <c r="K3679" s="1" t="str">
        <f t="shared" si="229"/>
        <v>ㄉ</v>
      </c>
      <c r="L3679" s="1" t="str">
        <f t="shared" si="230"/>
        <v>ㄚ</v>
      </c>
      <c r="N3679" s="3" t="s">
        <v>30574</v>
      </c>
      <c r="O3679" s="3"/>
      <c r="P3679" s="1" t="s">
        <v>20</v>
      </c>
      <c r="R3679" s="1" t="s">
        <v>4681</v>
      </c>
      <c r="V3679" s="1" t="s">
        <v>4682</v>
      </c>
      <c r="W3679" s="1" t="s">
        <v>4683</v>
      </c>
      <c r="AR3679" s="1" t="str">
        <f t="shared" si="232"/>
        <v>| [ㄉㄚˋ](ㄉㄚˋ.md) | [大](大.md) |  | dà | [形]
1.在體積、面積、容量、數量、強度、深度、力量等方面超過一般，或超過比較的對象。與「小」相對而言。如：「大山」、「大河」、「大雨」、「眼睛大」、「力氣大」、「雷聲大，雨點小。」
2.最年長的、排行第一的。如：「大哥」、「大伯」、「大媽」。
3.表示尊敬之詞。如：「拜讀大作」、「尊姓大名」。
4.不平常、重要的、偉大的。《文選．石崇．思歸引序》：「余少有大志，夸邁流俗。」《文選．袁宏．三國名臣序贊》：「雖大旨同歸，所託或乖。」
5.時間上更前或更後，有強調的意味。如：「大前天」、「大後天」、「大年初一」。
[副]
1.表程度深。如：「大吃一驚」、「大快人心」、「大搞活動」、「天已大亮」、「大有出息」。
2.與「不」字連用，表次數少或程度淺。如：「她不大出門見人的。」、「他不大愛抽菸。」、「小侄兒還不大會講話。」
3.很、非常。《漢書．卷六八．霍光傳》：「長公主大以是怨光。」
4.差不多、不很精確。如：「大約」、「大概」、「大略」。
[名]
1.與「小」相對之詞。《孟子．梁惠王上》：「小國不可以敵大。」
2.年紀較大的人。如：「你們一家大小都要來吃喜酒喔！」
3.姓。如唐代有大明，金代有大興國。
4.二一四部首之一。
[動]
誇耀、自以為是。如：「誇大」。《禮記．表記》：「是故君子不自大其事，不自尚其功。」 |</v>
      </c>
    </row>
    <row r="3680" spans="1:44" hidden="1">
      <c r="A3680" s="1" t="s">
        <v>4664</v>
      </c>
      <c r="C3680" s="1">
        <v>1</v>
      </c>
      <c r="D3680" s="1" t="str">
        <f>"01914"</f>
        <v>01914</v>
      </c>
      <c r="E3680" s="1" t="s">
        <v>40</v>
      </c>
      <c r="F3680" s="1">
        <v>15</v>
      </c>
      <c r="G3680" s="1">
        <v>10</v>
      </c>
      <c r="H3680" s="1">
        <v>1</v>
      </c>
      <c r="I3680" s="1" t="s">
        <v>4684</v>
      </c>
      <c r="J3680" s="2" t="s">
        <v>30559</v>
      </c>
      <c r="K3680" s="1" t="s">
        <v>30564</v>
      </c>
      <c r="L3680" s="1" t="s">
        <v>24143</v>
      </c>
      <c r="P3680" s="1" t="s">
        <v>388</v>
      </c>
      <c r="R3680" s="1" t="s">
        <v>4685</v>
      </c>
      <c r="V3680" s="1" t="s">
        <v>4686</v>
      </c>
      <c r="W3680" s="1" t="s">
        <v>4687</v>
      </c>
      <c r="AR3680" s="1" t="str">
        <f t="shared" si="232"/>
        <v>| [˙ㄉㄚ](˙ㄉㄚ.md) | [瘩](瘩.md) |  | da | 參見「疙瘩」條。 |</v>
      </c>
    </row>
    <row r="3681" spans="1:44" hidden="1">
      <c r="A3681" s="1" t="s">
        <v>4671</v>
      </c>
      <c r="C3681" s="1">
        <v>1</v>
      </c>
      <c r="D3681" s="1" t="str">
        <f>"01915"</f>
        <v>01915</v>
      </c>
      <c r="E3681" s="1" t="s">
        <v>725</v>
      </c>
      <c r="F3681" s="1">
        <v>19</v>
      </c>
      <c r="G3681" s="1">
        <v>13</v>
      </c>
      <c r="H3681" s="1">
        <v>1</v>
      </c>
      <c r="I3681" s="1" t="s">
        <v>4684</v>
      </c>
      <c r="J3681" s="2" t="s">
        <v>30559</v>
      </c>
      <c r="K3681" s="1" t="s">
        <v>30564</v>
      </c>
      <c r="L3681" s="1" t="s">
        <v>24143</v>
      </c>
      <c r="P3681" s="1" t="s">
        <v>388</v>
      </c>
      <c r="R3681" s="1" t="s">
        <v>4685</v>
      </c>
      <c r="V3681" s="1" t="s">
        <v>4688</v>
      </c>
      <c r="W3681" s="1" t="s">
        <v>4689</v>
      </c>
      <c r="AR3681" s="1" t="str">
        <f t="shared" si="232"/>
        <v>| [˙ㄉㄚ](˙ㄉㄚ.md) | [繨](繨.md) |  | da | 參見「紇繨」條。 |</v>
      </c>
    </row>
    <row r="3682" spans="1:44" hidden="1">
      <c r="A3682" s="1" t="s">
        <v>4694</v>
      </c>
      <c r="C3682" s="1">
        <v>1</v>
      </c>
      <c r="D3682" s="1" t="str">
        <f>"01917"</f>
        <v>01917</v>
      </c>
      <c r="E3682" s="1" t="s">
        <v>234</v>
      </c>
      <c r="F3682" s="1">
        <v>11</v>
      </c>
      <c r="G3682" s="1">
        <v>8</v>
      </c>
      <c r="H3682" s="1">
        <v>1</v>
      </c>
      <c r="I3682" s="1" t="s">
        <v>4695</v>
      </c>
      <c r="K3682" s="1" t="str">
        <f>LEFT(I3682, 1)</f>
        <v>ㄉ</v>
      </c>
      <c r="L3682" s="1" t="str">
        <f>MID(I3682, 2, 1)</f>
        <v>ㄜ</v>
      </c>
      <c r="N3682" s="3" t="s">
        <v>30575</v>
      </c>
      <c r="O3682" s="3"/>
      <c r="P3682" s="1" t="s">
        <v>20</v>
      </c>
      <c r="R3682" s="1" t="s">
        <v>4696</v>
      </c>
      <c r="V3682" s="1" t="s">
        <v>4697</v>
      </c>
      <c r="W3682" s="1" t="s">
        <v>4698</v>
      </c>
      <c r="AR3682" s="1" t="str">
        <f t="shared" si="232"/>
        <v>| [ㄉㄜˊ](ㄉㄜˊ.md) | [得](得.md) |  | dé | [動]
1.獲、取。與「失」相對而言。如：「鷸蚌相爭，漁翁得利。」《孟子．告子上》：「求則得之，舍則失之。」
2.演算產生結果。如：「三三得九。」
3.遇。如：「得便」、「得空即前往拜訪。」
4.契合、適宜。如：「得體」、「得法」。漢．王襃〈聖主得賢臣頌〉：「聚精會神，相得益章。」
5.快意、滿足。《史記．卷六二．管晏傳》：「意氣揚揚，甚自得也。」
6.可以、能夠。如：「得過且過」、「不得抽菸！」、「得饒人處且饒人」、「所有員工均得摸彩。」
7.用於談話終了之時，表反對、禁止或同意。如：「得了，別再出餿主意了！」、「得，我們就照你的方法去做。」
[副]
相當於「何」、「豈」、「那」、「怎」、「難道」等，表示反詰的語氣。唐．杜甫〈後苦寒行〉二首之二：「巴東之峽生凌澌，彼蒼迴斡人得知。」
[助]
置於動詞之後，無義。唐．杜甫〈絕句漫興〉詩九首之二：「恰似春風相欺得，夜來吹折數枝花。」 |</v>
      </c>
    </row>
    <row r="3683" spans="1:44" hidden="1">
      <c r="A3683" s="1" t="s">
        <v>4699</v>
      </c>
      <c r="C3683" s="1">
        <v>1</v>
      </c>
      <c r="D3683" s="1" t="str">
        <f>"01918"</f>
        <v>01918</v>
      </c>
      <c r="E3683" s="1" t="s">
        <v>234</v>
      </c>
      <c r="F3683" s="1">
        <v>15</v>
      </c>
      <c r="G3683" s="1">
        <v>12</v>
      </c>
      <c r="H3683" s="1">
        <v>0</v>
      </c>
      <c r="I3683" s="1" t="s">
        <v>4695</v>
      </c>
      <c r="K3683" s="1" t="str">
        <f>LEFT(I3683, 1)</f>
        <v>ㄉ</v>
      </c>
      <c r="L3683" s="1" t="str">
        <f>MID(I3683, 2, 1)</f>
        <v>ㄜ</v>
      </c>
      <c r="N3683" s="3" t="s">
        <v>30575</v>
      </c>
      <c r="O3683" s="3"/>
      <c r="P3683" s="1" t="s">
        <v>20</v>
      </c>
      <c r="R3683" s="1" t="s">
        <v>4696</v>
      </c>
      <c r="V3683" s="1" t="s">
        <v>4700</v>
      </c>
      <c r="AR3683" s="1" t="str">
        <f t="shared" si="232"/>
        <v>| [ㄉㄜˊ](ㄉㄜˊ.md) | [德](德.md) |  | dé | [名]
1.人類共同遵循的規範。《論語．述而》：「德之不脩，學之不講。」
2.品行、作風。《論語．顏淵》：「君子之德風，小人之德草。草上之風必偃。」
3.恩澤、恩惠。《論語．憲問》：「子曰：『何以報德？以直報怨，以德報德。』」《孟子．公孫丑上》：「且以文王之德，百年而後崩，猶未洽於天下。」
4.心意、信念。如：「一心一德」、「離心離德」。
5.德意志聯邦共和國的簡稱。
6.姓。如漢代西域有德若國，後人以國為姓，簡姓德。
[動]
感激、感恩。《左傳．成公三年》：「王曰：『然則德我乎？』」《聊齋志異．卷一．王成》：「主人聞而德之，贈金五兩，慰之使歸。」
[形]
好的、善的。如：「德政」、「德譽」。《文選．袁宏．三國名臣序贊》：「恂恂德心，汪汪軌度。」 |</v>
      </c>
    </row>
    <row r="3684" spans="1:44" hidden="1">
      <c r="A3684" s="1" t="s">
        <v>4701</v>
      </c>
      <c r="C3684" s="1">
        <v>1</v>
      </c>
      <c r="D3684" s="1" t="str">
        <f>"01919"</f>
        <v>01919</v>
      </c>
      <c r="E3684" s="1" t="s">
        <v>132</v>
      </c>
      <c r="F3684" s="1">
        <v>6</v>
      </c>
      <c r="G3684" s="1">
        <v>3</v>
      </c>
      <c r="H3684" s="1">
        <v>2</v>
      </c>
      <c r="I3684" s="1" t="s">
        <v>4702</v>
      </c>
      <c r="J3684" s="2" t="s">
        <v>30559</v>
      </c>
      <c r="K3684" s="1" t="s">
        <v>30564</v>
      </c>
      <c r="L3684" s="1" t="s">
        <v>24183</v>
      </c>
      <c r="P3684" s="1" t="s">
        <v>20</v>
      </c>
      <c r="R3684" s="1" t="s">
        <v>4703</v>
      </c>
      <c r="V3684" s="1" t="s">
        <v>4704</v>
      </c>
      <c r="W3684" s="1" t="s">
        <v>4705</v>
      </c>
      <c r="AR3684" s="1" t="str">
        <f t="shared" si="232"/>
        <v>| [˙ㄉㄜ](˙ㄉㄜ.md) | [地](地.md) |  | de | [助]
結構助詞。用在副詞之後。同「的」。如：「慢慢地吃」、「好好地玩」、「雨勢漸漸地小了。」 |</v>
      </c>
    </row>
    <row r="3685" spans="1:44" hidden="1">
      <c r="A3685" s="1" t="s">
        <v>4706</v>
      </c>
      <c r="C3685" s="1">
        <v>1</v>
      </c>
      <c r="D3685" s="1" t="str">
        <f>"01920"</f>
        <v>01920</v>
      </c>
      <c r="E3685" s="1" t="s">
        <v>447</v>
      </c>
      <c r="F3685" s="1">
        <v>8</v>
      </c>
      <c r="G3685" s="1">
        <v>5</v>
      </c>
      <c r="H3685" s="1">
        <v>2</v>
      </c>
      <c r="I3685" s="1" t="s">
        <v>4702</v>
      </c>
      <c r="J3685" s="2" t="s">
        <v>30559</v>
      </c>
      <c r="K3685" s="1" t="s">
        <v>30564</v>
      </c>
      <c r="L3685" s="1" t="s">
        <v>24183</v>
      </c>
      <c r="P3685" s="1" t="s">
        <v>20</v>
      </c>
      <c r="R3685" s="1" t="s">
        <v>4703</v>
      </c>
      <c r="V3685" s="1" t="s">
        <v>4707</v>
      </c>
      <c r="W3685" s="1" t="s">
        <v>4708</v>
      </c>
      <c r="AR3685" s="1" t="str">
        <f t="shared" si="232"/>
        <v>| [˙ㄉㄜ](˙ㄉㄜ.md) | [底](底.md) |  | de | [助]
結構助詞。用在名詞或代名詞後面，表示所有的意思。同「的」。如：「我底書」、「他底筆」。 |</v>
      </c>
    </row>
    <row r="3686" spans="1:44" hidden="1">
      <c r="A3686" s="1" t="s">
        <v>4709</v>
      </c>
      <c r="C3686" s="1">
        <v>1</v>
      </c>
      <c r="D3686" s="1" t="str">
        <f>"01921"</f>
        <v>01921</v>
      </c>
      <c r="E3686" s="1" t="s">
        <v>205</v>
      </c>
      <c r="F3686" s="1">
        <v>8</v>
      </c>
      <c r="G3686" s="1">
        <v>3</v>
      </c>
      <c r="H3686" s="1">
        <v>3</v>
      </c>
      <c r="I3686" s="1" t="s">
        <v>4702</v>
      </c>
      <c r="J3686" s="2" t="s">
        <v>30559</v>
      </c>
      <c r="K3686" s="1" t="s">
        <v>30564</v>
      </c>
      <c r="L3686" s="1" t="s">
        <v>24183</v>
      </c>
      <c r="P3686" s="1" t="s">
        <v>20</v>
      </c>
      <c r="R3686" s="1" t="s">
        <v>4703</v>
      </c>
      <c r="V3686" s="1" t="s">
        <v>4710</v>
      </c>
      <c r="W3686" s="1" t="s">
        <v>4711</v>
      </c>
      <c r="AR3686" s="1" t="str">
        <f t="shared" si="232"/>
        <v>| [˙ㄉㄜ](˙ㄉㄜ.md) | [的](的.md) |  | de | [助]
1.結構助詞：(1)置於形容詞後。如：「美麗的風景」、「聰明的小孩」。(2)置於名詞或代名詞後，表示所屬、所有的關係。如：「我的書」、「太陽的光」。(3)置於修飾片語或子句後。如：「他寄來的信，我昨天收到。」、「那賣花的人沒零錢找。」(4)置於副詞後。同「地」。如：「慢慢的走」、「高高的飛」。
2.句尾助詞：置於句尾，表示肯定或加強的語氣。如：「這樣做是不可以的！」、「你不是這樣講的！」 |</v>
      </c>
    </row>
    <row r="3687" spans="1:44" hidden="1">
      <c r="A3687" s="1" t="s">
        <v>4694</v>
      </c>
      <c r="C3687" s="1">
        <v>1</v>
      </c>
      <c r="D3687" s="1" t="str">
        <f>"01922"</f>
        <v>01922</v>
      </c>
      <c r="E3687" s="1" t="s">
        <v>234</v>
      </c>
      <c r="F3687" s="1">
        <v>11</v>
      </c>
      <c r="G3687" s="1">
        <v>8</v>
      </c>
      <c r="H3687" s="1">
        <v>3</v>
      </c>
      <c r="I3687" s="1" t="s">
        <v>4702</v>
      </c>
      <c r="J3687" s="2" t="s">
        <v>30559</v>
      </c>
      <c r="K3687" s="1" t="s">
        <v>30564</v>
      </c>
      <c r="L3687" s="1" t="s">
        <v>24183</v>
      </c>
      <c r="P3687" s="1" t="s">
        <v>20</v>
      </c>
      <c r="R3687" s="1" t="s">
        <v>4703</v>
      </c>
      <c r="V3687" s="1" t="s">
        <v>4712</v>
      </c>
      <c r="W3687" s="1" t="s">
        <v>4713</v>
      </c>
      <c r="AR3687" s="1" t="str">
        <f t="shared" si="232"/>
        <v>| [˙ㄉㄜ](˙ㄉㄜ.md) | [得](得.md) |  | de | [助]_x000D_
用於動詞、形容詞後面，表示結果或性狀。如：「跑得快」、「美得冒泡」。 |</v>
      </c>
    </row>
    <row r="3688" spans="1:44" hidden="1">
      <c r="A3688" s="1" t="s">
        <v>4679</v>
      </c>
      <c r="C3688" s="1">
        <v>1</v>
      </c>
      <c r="D3688" s="1" t="str">
        <f>"01930"</f>
        <v>01930</v>
      </c>
      <c r="E3688" s="1" t="s">
        <v>563</v>
      </c>
      <c r="F3688" s="1">
        <v>3</v>
      </c>
      <c r="G3688" s="1">
        <v>0</v>
      </c>
      <c r="H3688" s="1">
        <v>2</v>
      </c>
      <c r="I3688" s="1" t="s">
        <v>4737</v>
      </c>
      <c r="K3688" s="1" t="str">
        <f t="shared" ref="K3688:K3751" si="233">LEFT(I3688, 1)</f>
        <v>ㄉ</v>
      </c>
      <c r="L3688" s="1" t="str">
        <f t="shared" ref="L3688:L3751" si="234">MID(I3688, 2, 1)</f>
        <v>ㄞ</v>
      </c>
      <c r="N3688" s="3" t="s">
        <v>30574</v>
      </c>
      <c r="O3688" s="3"/>
      <c r="P3688" s="1" t="s">
        <v>20</v>
      </c>
      <c r="R3688" s="1" t="s">
        <v>4738</v>
      </c>
      <c r="V3688" s="1" t="s">
        <v>4739</v>
      </c>
      <c r="W3688" s="1" t="s">
        <v>4740</v>
      </c>
      <c r="AR3688" s="1" t="str">
        <f t="shared" si="232"/>
        <v>| [ㄉㄞˋ](ㄉㄞˋ.md) | [大](大.md) |  | dài | 參見「大夫」條。 |</v>
      </c>
    </row>
    <row r="3689" spans="1:44" hidden="1">
      <c r="A3689" s="1" t="s">
        <v>4741</v>
      </c>
      <c r="C3689" s="1">
        <v>1</v>
      </c>
      <c r="D3689" s="1" t="str">
        <f>"01931"</f>
        <v>01931</v>
      </c>
      <c r="E3689" s="1" t="s">
        <v>129</v>
      </c>
      <c r="F3689" s="1">
        <v>6</v>
      </c>
      <c r="G3689" s="1">
        <v>3</v>
      </c>
      <c r="H3689" s="1">
        <v>0</v>
      </c>
      <c r="I3689" s="1" t="s">
        <v>4737</v>
      </c>
      <c r="K3689" s="1" t="str">
        <f t="shared" si="233"/>
        <v>ㄉ</v>
      </c>
      <c r="L3689" s="1" t="str">
        <f t="shared" si="234"/>
        <v>ㄞ</v>
      </c>
      <c r="N3689" s="3" t="s">
        <v>30574</v>
      </c>
      <c r="O3689" s="3"/>
      <c r="P3689" s="1" t="s">
        <v>20</v>
      </c>
      <c r="R3689" s="1" t="s">
        <v>4738</v>
      </c>
      <c r="V3689" s="1" t="s">
        <v>4742</v>
      </c>
      <c r="AR3689" s="1" t="str">
        <f t="shared" si="232"/>
        <v>| [ㄉㄞˋ](ㄉㄞˋ.md) | [汏](汏.md) |  | dài | [動]
方言。指刷、沖洗。如：「汏衣服」。
[名]
波濤。《楚辭．屈原．九章．涉江》：「乘舲船余上沅兮，齊吳榜以擊汏。」 |</v>
      </c>
    </row>
    <row r="3690" spans="1:44" hidden="1">
      <c r="A3690" s="1" t="s">
        <v>4743</v>
      </c>
      <c r="C3690" s="1">
        <v>1</v>
      </c>
      <c r="D3690" s="1" t="str">
        <f>"01932"</f>
        <v>01932</v>
      </c>
      <c r="E3690" s="1" t="s">
        <v>71</v>
      </c>
      <c r="F3690" s="1">
        <v>10</v>
      </c>
      <c r="G3690" s="1">
        <v>3</v>
      </c>
      <c r="H3690" s="1">
        <v>0</v>
      </c>
      <c r="I3690" s="1" t="s">
        <v>4737</v>
      </c>
      <c r="K3690" s="1" t="str">
        <f t="shared" si="233"/>
        <v>ㄉ</v>
      </c>
      <c r="L3690" s="1" t="str">
        <f t="shared" si="234"/>
        <v>ㄞ</v>
      </c>
      <c r="N3690" s="3" t="s">
        <v>30574</v>
      </c>
      <c r="O3690" s="3"/>
      <c r="P3690" s="1" t="s">
        <v>20</v>
      </c>
      <c r="R3690" s="1" t="s">
        <v>4738</v>
      </c>
      <c r="V3690" s="1" t="s">
        <v>4744</v>
      </c>
      <c r="AR3690" s="1" t="str">
        <f t="shared" si="232"/>
        <v>| [ㄉㄞˋ](ㄉㄞˋ.md) | [軑](軑.md) |  | dài | [名]
1.車軸前端的帽蓋。通常為圓管狀，用金屬製成。《說文解字．車部》：「軑，車輨也。」《楚辭．屈原．離騷》：「屯余車其千乘兮，齊玉軑而並馳。」
2.車輪、輪子。清．王念孫《廣雅疏證．卷七下．釋器》：「軑，輪也。」唐．韓愈、孟郊〈秋雨聯句〉：「深路倒羸驂，弱途擁行軑。」 |</v>
      </c>
    </row>
    <row r="3691" spans="1:44" hidden="1">
      <c r="A3691" s="1" t="s">
        <v>4745</v>
      </c>
      <c r="C3691" s="1">
        <v>1</v>
      </c>
      <c r="D3691" s="1" t="str">
        <f>"01933"</f>
        <v>01933</v>
      </c>
      <c r="E3691" s="1" t="s">
        <v>114</v>
      </c>
      <c r="F3691" s="1">
        <v>5</v>
      </c>
      <c r="G3691" s="1">
        <v>3</v>
      </c>
      <c r="H3691" s="1">
        <v>0</v>
      </c>
      <c r="I3691" s="1" t="s">
        <v>4737</v>
      </c>
      <c r="K3691" s="1" t="str">
        <f t="shared" si="233"/>
        <v>ㄉ</v>
      </c>
      <c r="L3691" s="1" t="str">
        <f t="shared" si="234"/>
        <v>ㄞ</v>
      </c>
      <c r="N3691" s="3" t="s">
        <v>30574</v>
      </c>
      <c r="O3691" s="3"/>
      <c r="P3691" s="1" t="s">
        <v>20</v>
      </c>
      <c r="R3691" s="1" t="s">
        <v>4738</v>
      </c>
      <c r="V3691" s="1" t="s">
        <v>4746</v>
      </c>
      <c r="AR3691" s="1" t="str">
        <f t="shared" si="232"/>
        <v>| [ㄉㄞˋ](ㄉㄞˋ.md) | [代](代.md) |  | dài | [名]
1.歷史的階段、分期。如：「朝代」、「古代」、「唐代」、「現代」。《禮記．禮運》：「大道之行也，與三代之英，丘未之逮也，而有志焉。」
2.泛指時間。如：「年代」、「時代」。
3.量詞。計算輩分的單位。如：「他家四代祖孫都從事同一行業。」
4.繼任的人。《宋史．卷四一六．余玠傳》：「戎帥欲舉統制姚世安為代。」
5.國名：(1)戰國時的國家，為趙襄子所滅，故址約在今大陸地區河北省蔚縣東北。(2)五胡十六國鮮卑拓跋氏所建。約在今大陸地區山西、內蒙古一帶，後為前秦所滅。
6.姓。如宋代有代淵。
[動]
1.替代、替換。如：「代課」、「越俎代庖」。《史記．卷七．項羽本紀》：「彼可取而代也。」
2.交替、輪流。《文選．張衡．東京賦》：「於是春秋改節，四時迭代。」
3.接替、繼承。《左傳．莊公八年》：「齊侯使連稱，管至父戍葵丘，瓜時而往，曰：『及瓜而代。』」漢．王充《論衡．偶會》：「父歿而子嗣，姑死而婦代。」
[副]
輪流更換。如：「人才代興」、「新陳代謝」。 |</v>
      </c>
    </row>
    <row r="3692" spans="1:44" hidden="1">
      <c r="A3692" s="1" t="s">
        <v>4747</v>
      </c>
      <c r="C3692" s="1">
        <v>1</v>
      </c>
      <c r="D3692" s="1" t="str">
        <f>"01934"</f>
        <v>01934</v>
      </c>
      <c r="E3692" s="1" t="s">
        <v>190</v>
      </c>
      <c r="F3692" s="1">
        <v>8</v>
      </c>
      <c r="G3692" s="1">
        <v>5</v>
      </c>
      <c r="H3692" s="1">
        <v>0</v>
      </c>
      <c r="I3692" s="1" t="s">
        <v>4737</v>
      </c>
      <c r="K3692" s="1" t="str">
        <f t="shared" si="233"/>
        <v>ㄉ</v>
      </c>
      <c r="L3692" s="1" t="str">
        <f t="shared" si="234"/>
        <v>ㄞ</v>
      </c>
      <c r="N3692" s="3" t="s">
        <v>30574</v>
      </c>
      <c r="O3692" s="3"/>
      <c r="P3692" s="1" t="s">
        <v>20</v>
      </c>
      <c r="R3692" s="1" t="s">
        <v>4738</v>
      </c>
      <c r="V3692" s="1" t="s">
        <v>4748</v>
      </c>
      <c r="AR3692" s="1" t="str">
        <f t="shared" si="232"/>
        <v>| [ㄉㄞˋ](ㄉㄞˋ.md) | [岱](岱.md) |  | dài | [名]
泰山別稱為「岱山」、「岱宗」，簡稱為「岱」。是五嶽中的東嶽，位在大陸地區山東省泰安縣北。《公羊傳．桓公十六年》：「越在岱陰，屬負茲，舍不即罪爾。」《文選．張衡．東京賦》：「乘輿巡乎岱嶽，勸稼穡於原陸。」 |</v>
      </c>
    </row>
    <row r="3693" spans="1:44" hidden="1">
      <c r="A3693" s="1" t="s">
        <v>4749</v>
      </c>
      <c r="C3693" s="1">
        <v>1</v>
      </c>
      <c r="D3693" s="1" t="str">
        <f>"01935"</f>
        <v>01935</v>
      </c>
      <c r="E3693" s="1" t="s">
        <v>142</v>
      </c>
      <c r="F3693" s="1">
        <v>9</v>
      </c>
      <c r="G3693" s="1">
        <v>5</v>
      </c>
      <c r="H3693" s="1">
        <v>0</v>
      </c>
      <c r="I3693" s="1" t="s">
        <v>4737</v>
      </c>
      <c r="K3693" s="1" t="str">
        <f t="shared" si="233"/>
        <v>ㄉ</v>
      </c>
      <c r="L3693" s="1" t="str">
        <f t="shared" si="234"/>
        <v>ㄞ</v>
      </c>
      <c r="N3693" s="3" t="s">
        <v>30574</v>
      </c>
      <c r="O3693" s="3"/>
      <c r="P3693" s="1" t="s">
        <v>20</v>
      </c>
      <c r="R3693" s="1" t="s">
        <v>4738</v>
      </c>
      <c r="V3693" s="1" t="s">
        <v>2907</v>
      </c>
      <c r="AR3693" s="1" t="str">
        <f t="shared" si="232"/>
        <v>| [ㄉㄞˋ](ㄉㄞˋ.md) | [玳](玳.md) |  | dài | 參見「玳瑁」條。 |</v>
      </c>
    </row>
    <row r="3694" spans="1:44" hidden="1">
      <c r="A3694" s="1" t="s">
        <v>4750</v>
      </c>
      <c r="C3694" s="1">
        <v>1</v>
      </c>
      <c r="D3694" s="1" t="str">
        <f>"01936"</f>
        <v>01936</v>
      </c>
      <c r="E3694" s="1" t="s">
        <v>340</v>
      </c>
      <c r="F3694" s="1">
        <v>11</v>
      </c>
      <c r="G3694" s="1">
        <v>5</v>
      </c>
      <c r="H3694" s="1">
        <v>0</v>
      </c>
      <c r="I3694" s="1" t="s">
        <v>4737</v>
      </c>
      <c r="K3694" s="1" t="str">
        <f t="shared" si="233"/>
        <v>ㄉ</v>
      </c>
      <c r="L3694" s="1" t="str">
        <f t="shared" si="234"/>
        <v>ㄞ</v>
      </c>
      <c r="N3694" s="3" t="s">
        <v>30574</v>
      </c>
      <c r="O3694" s="3"/>
      <c r="P3694" s="1" t="s">
        <v>20</v>
      </c>
      <c r="R3694" s="1" t="s">
        <v>4738</v>
      </c>
      <c r="V3694" s="1" t="s">
        <v>4751</v>
      </c>
      <c r="AR3694" s="1" t="str">
        <f t="shared" si="232"/>
        <v>| [ㄉㄞˋ](ㄉㄞˋ.md) | [袋](袋.md) |  | dài | [名]
1.裝東西的器物。如：「口袋」、「背袋」、「衣袋」、「布袋」。
2.具有容納或盛裝作用的部位或器具。如：「腦袋」、「旱煙袋」。
3.量詞。計算袋裝物的單位。如：「他買了一袋米。」、「他一天抽兩袋煙。」 |</v>
      </c>
    </row>
    <row r="3695" spans="1:44" hidden="1">
      <c r="A3695" s="1" t="s">
        <v>4752</v>
      </c>
      <c r="C3695" s="1">
        <v>1</v>
      </c>
      <c r="D3695" s="1" t="str">
        <f>"01937"</f>
        <v>01937</v>
      </c>
      <c r="E3695" s="1" t="s">
        <v>505</v>
      </c>
      <c r="F3695" s="1">
        <v>12</v>
      </c>
      <c r="G3695" s="1">
        <v>5</v>
      </c>
      <c r="H3695" s="1">
        <v>1</v>
      </c>
      <c r="I3695" s="1" t="s">
        <v>4737</v>
      </c>
      <c r="K3695" s="1" t="str">
        <f t="shared" si="233"/>
        <v>ㄉ</v>
      </c>
      <c r="L3695" s="1" t="str">
        <f t="shared" si="234"/>
        <v>ㄞ</v>
      </c>
      <c r="N3695" s="3" t="s">
        <v>30574</v>
      </c>
      <c r="O3695" s="3"/>
      <c r="P3695" s="1" t="s">
        <v>20</v>
      </c>
      <c r="R3695" s="1" t="s">
        <v>4738</v>
      </c>
      <c r="V3695" s="1" t="s">
        <v>4753</v>
      </c>
      <c r="W3695" s="1" t="s">
        <v>4754</v>
      </c>
      <c r="AR3695" s="1" t="str">
        <f t="shared" si="232"/>
        <v>| [ㄉㄞˋ](ㄉㄞˋ.md) | [貸](貸.md) |  | dài | [動]
1.借。如：「借貸」、「貸款」、「昨天我向他告貸一百萬元。」
2.施與。《左傳．文公十六年》：「宋饑，竭其粟而貸之。」《後漢書．卷四．和帝紀》：「甲子，詔賑貸并州四郡貧民。」
3.推卸。如：「責無旁貸」。
4.寬恕。如：「寬貸」、「你們明知故犯，定要嚴懲不貸。」 |</v>
      </c>
    </row>
    <row r="3696" spans="1:44" hidden="1">
      <c r="A3696" s="1" t="s">
        <v>4755</v>
      </c>
      <c r="C3696" s="1">
        <v>1</v>
      </c>
      <c r="D3696" s="1" t="str">
        <f>"01938"</f>
        <v>01938</v>
      </c>
      <c r="E3696" s="1" t="s">
        <v>2777</v>
      </c>
      <c r="F3696" s="1">
        <v>17</v>
      </c>
      <c r="G3696" s="1">
        <v>5</v>
      </c>
      <c r="H3696" s="1">
        <v>0</v>
      </c>
      <c r="I3696" s="1" t="s">
        <v>4737</v>
      </c>
      <c r="K3696" s="1" t="str">
        <f t="shared" si="233"/>
        <v>ㄉ</v>
      </c>
      <c r="L3696" s="1" t="str">
        <f t="shared" si="234"/>
        <v>ㄞ</v>
      </c>
      <c r="N3696" s="3" t="s">
        <v>30574</v>
      </c>
      <c r="O3696" s="3"/>
      <c r="P3696" s="1" t="s">
        <v>20</v>
      </c>
      <c r="R3696" s="1" t="s">
        <v>4738</v>
      </c>
      <c r="V3696" s="1" t="s">
        <v>4756</v>
      </c>
      <c r="AR3696" s="1" t="str">
        <f t="shared" si="232"/>
        <v>| [ㄉㄞˋ](ㄉㄞˋ.md) | [黛](黛.md) |  | dài | [名]
1.青黑色的顏料，古時女子用以畫眉。《楚辭．屈原．大招》：「粉白黛黑，施芳澤只。」
2.婦女的眉。南朝梁．元帝〈代舊姬有怨〉詩：「怨黛舒還斂，啼紅拭復垂。」
3.美女。唐．白居易〈長恨歌〉：「回眸一笑百媚生，六宮粉黛無顏色。」
[形]
青黑色的。唐．韋莊〈三用韻〉：「晚日舒霞綺，遙天倚黛岑。」 |</v>
      </c>
    </row>
    <row r="3697" spans="1:44" hidden="1">
      <c r="A3697" s="1" t="s">
        <v>4757</v>
      </c>
      <c r="C3697" s="1">
        <v>1</v>
      </c>
      <c r="D3697" s="1" t="str">
        <f>"01939"</f>
        <v>01939</v>
      </c>
      <c r="E3697" s="1" t="s">
        <v>4758</v>
      </c>
      <c r="F3697" s="1">
        <v>8</v>
      </c>
      <c r="G3697" s="1">
        <v>0</v>
      </c>
      <c r="H3697" s="1">
        <v>0</v>
      </c>
      <c r="I3697" s="1" t="s">
        <v>4737</v>
      </c>
      <c r="K3697" s="1" t="str">
        <f t="shared" si="233"/>
        <v>ㄉ</v>
      </c>
      <c r="L3697" s="1" t="str">
        <f t="shared" si="234"/>
        <v>ㄞ</v>
      </c>
      <c r="N3697" s="3" t="s">
        <v>30574</v>
      </c>
      <c r="O3697" s="3"/>
      <c r="P3697" s="1" t="s">
        <v>20</v>
      </c>
      <c r="R3697" s="1" t="s">
        <v>4738</v>
      </c>
      <c r="V3697" s="1" t="s">
        <v>4759</v>
      </c>
      <c r="AR3697" s="1" t="str">
        <f t="shared" si="232"/>
        <v>| [ㄉㄞˋ](ㄉㄞˋ.md) | [隶](隶.md) |  | dài | [動]
及、到。同「逮」。《說文解字．隶部》：「隶，及也。……從後及之也。」
[名]
二一四部首之一。 |</v>
      </c>
    </row>
    <row r="3698" spans="1:44" hidden="1">
      <c r="A3698" s="1" t="s">
        <v>4760</v>
      </c>
      <c r="C3698" s="1">
        <v>1</v>
      </c>
      <c r="D3698" s="1" t="str">
        <f>"01940"</f>
        <v>01940</v>
      </c>
      <c r="E3698" s="1" t="s">
        <v>132</v>
      </c>
      <c r="F3698" s="1">
        <v>11</v>
      </c>
      <c r="G3698" s="1">
        <v>8</v>
      </c>
      <c r="H3698" s="1">
        <v>0</v>
      </c>
      <c r="I3698" s="1" t="s">
        <v>4737</v>
      </c>
      <c r="K3698" s="1" t="str">
        <f t="shared" si="233"/>
        <v>ㄉ</v>
      </c>
      <c r="L3698" s="1" t="str">
        <f t="shared" si="234"/>
        <v>ㄞ</v>
      </c>
      <c r="N3698" s="3" t="s">
        <v>30574</v>
      </c>
      <c r="O3698" s="3"/>
      <c r="P3698" s="1" t="s">
        <v>20</v>
      </c>
      <c r="R3698" s="1" t="s">
        <v>4738</v>
      </c>
      <c r="V3698" s="1" t="s">
        <v>4761</v>
      </c>
      <c r="AR3698" s="1" t="str">
        <f t="shared" si="232"/>
        <v>| [ㄉㄞˋ](ㄉㄞˋ.md) | [埭](埭.md) |  | dài | [名]
1.防水的土壩。《晉書．卷七九．謝玄傳》：「堰呂梁水，樹柵，立七埭為派，擁二岸之流，以利運漕，自此公私利便。」
2.地名用字。如大陸地區安徽省的石埭，浙江省的鐘埭。
3.吳語。量詞。計算來回次數的單位。相當於「回」、「趟」。《海上花列傳》第二回：「我教娘姨到棧房裡看仔耐幾埭，說是勿曾來。」 |</v>
      </c>
    </row>
    <row r="3699" spans="1:44" hidden="1">
      <c r="A3699" s="1" t="s">
        <v>4734</v>
      </c>
      <c r="C3699" s="1">
        <v>1</v>
      </c>
      <c r="D3699" s="1" t="str">
        <f>"01941"</f>
        <v>01941</v>
      </c>
      <c r="E3699" s="1" t="s">
        <v>558</v>
      </c>
      <c r="F3699" s="1">
        <v>12</v>
      </c>
      <c r="G3699" s="1">
        <v>8</v>
      </c>
      <c r="H3699" s="1">
        <v>1</v>
      </c>
      <c r="I3699" s="1" t="s">
        <v>4737</v>
      </c>
      <c r="K3699" s="1" t="str">
        <f t="shared" si="233"/>
        <v>ㄉ</v>
      </c>
      <c r="L3699" s="1" t="str">
        <f t="shared" si="234"/>
        <v>ㄞ</v>
      </c>
      <c r="N3699" s="3" t="s">
        <v>30574</v>
      </c>
      <c r="O3699" s="3"/>
      <c r="P3699" s="1" t="s">
        <v>20</v>
      </c>
      <c r="R3699" s="1" t="s">
        <v>4738</v>
      </c>
      <c r="V3699" s="1" t="s">
        <v>4762</v>
      </c>
      <c r="W3699" s="1" t="s">
        <v>4763</v>
      </c>
      <c r="AR3699" s="1" t="str">
        <f t="shared" si="232"/>
        <v>| [ㄉㄞˋ](ㄉㄞˋ.md) | [逮](逮.md) |  | dài | [動]
1.及、趕上、達到。如：「力有未逮」。《論語．里仁》：「古者言之不出，恥躬之不逮也。」
2.追捕、捉拿。《漢書．卷七六．趙廣漢傳》：「禹坐要斬，請逮捕廣漢。」《明史．卷一六五．丁瑄傳》：「田主訴於縣，縣逮（鄧）茂七。不赴。」
[介]
及、到。表時間。《左傳．成公十三年》：「昔逮我獻公及穆公相好，勠力同心。」 |</v>
      </c>
    </row>
    <row r="3700" spans="1:44" hidden="1">
      <c r="A3700" s="1" t="s">
        <v>4764</v>
      </c>
      <c r="C3700" s="1">
        <v>1</v>
      </c>
      <c r="D3700" s="1" t="str">
        <f>"01942"</f>
        <v>01942</v>
      </c>
      <c r="E3700" s="1" t="s">
        <v>125</v>
      </c>
      <c r="F3700" s="1">
        <v>24</v>
      </c>
      <c r="G3700" s="1">
        <v>16</v>
      </c>
      <c r="H3700" s="1">
        <v>0</v>
      </c>
      <c r="I3700" s="1" t="s">
        <v>4737</v>
      </c>
      <c r="K3700" s="1" t="str">
        <f t="shared" si="233"/>
        <v>ㄉ</v>
      </c>
      <c r="L3700" s="1" t="str">
        <f t="shared" si="234"/>
        <v>ㄞ</v>
      </c>
      <c r="N3700" s="3" t="s">
        <v>30574</v>
      </c>
      <c r="O3700" s="3"/>
      <c r="P3700" s="1" t="s">
        <v>20</v>
      </c>
      <c r="R3700" s="1" t="s">
        <v>4738</v>
      </c>
      <c r="V3700" s="1" t="s">
        <v>4765</v>
      </c>
      <c r="AR3700" s="1" t="str">
        <f t="shared" si="232"/>
        <v>| [ㄉㄞˋ](ㄉㄞˋ.md) | [靆](靆.md) |  | dài | 參見「靉靆」條。 |</v>
      </c>
    </row>
    <row r="3701" spans="1:44" hidden="1">
      <c r="A3701" s="1" t="s">
        <v>4766</v>
      </c>
      <c r="C3701" s="1">
        <v>1</v>
      </c>
      <c r="D3701" s="1" t="str">
        <f>"01943"</f>
        <v>01943</v>
      </c>
      <c r="E3701" s="1" t="s">
        <v>1372</v>
      </c>
      <c r="F3701" s="1">
        <v>9</v>
      </c>
      <c r="G3701" s="1">
        <v>5</v>
      </c>
      <c r="H3701" s="1">
        <v>0</v>
      </c>
      <c r="I3701" s="1" t="s">
        <v>4737</v>
      </c>
      <c r="K3701" s="1" t="str">
        <f t="shared" si="233"/>
        <v>ㄉ</v>
      </c>
      <c r="L3701" s="1" t="str">
        <f t="shared" si="234"/>
        <v>ㄞ</v>
      </c>
      <c r="N3701" s="3" t="s">
        <v>30574</v>
      </c>
      <c r="O3701" s="3"/>
      <c r="P3701" s="1" t="s">
        <v>20</v>
      </c>
      <c r="R3701" s="1" t="s">
        <v>4738</v>
      </c>
      <c r="V3701" s="1" t="s">
        <v>4767</v>
      </c>
      <c r="AR3701" s="1" t="str">
        <f t="shared" si="232"/>
        <v>| [ㄉㄞˋ](ㄉㄞˋ.md) | [殆](殆.md) |  | dài | [形]
1.危險、不安。《論語．為政》：「學而不思則罔，思而不學則殆。」《孫子．謀攻》：「知彼知己，百戰不殆。……不知彼，不知己，每戰必殆。」
2.疲乏、疲困。《莊子．養生主》：「吾生也有涯，而知也無涯。以有涯隨無涯，殆已。」《聊齋志異．卷二．鳳陽士人》：「郎君星馳夜半，人畜想當俱殆。」
[副]
1.大概、恐怕、也許。表示推測或不肯定的語氣。《孟子．梁惠王上》：「殆有甚焉，緣木求魚，雖不得魚，無後災。」唐．陳鴻《長恨傳》：「時夜殆半，休侍衛於東西廂，獨侍上。」
2.幾乎、將近、差不多。表示設想的語氣。《文選．孔融．論盛孝章書》：「海內知識，零落殆盡。」
3.近似。《漢書．卷六九．趙充國傳》：「而賢以為可奪其畜產，虜其妻子，此殆空言，非至計也。」 |</v>
      </c>
    </row>
    <row r="3702" spans="1:44" hidden="1">
      <c r="A3702" s="1" t="s">
        <v>4768</v>
      </c>
      <c r="C3702" s="1">
        <v>1</v>
      </c>
      <c r="D3702" s="1" t="str">
        <f>"01944"</f>
        <v>01944</v>
      </c>
      <c r="E3702" s="1" t="s">
        <v>558</v>
      </c>
      <c r="F3702" s="1">
        <v>9</v>
      </c>
      <c r="G3702" s="1">
        <v>5</v>
      </c>
      <c r="H3702" s="1">
        <v>0</v>
      </c>
      <c r="I3702" s="1" t="s">
        <v>4737</v>
      </c>
      <c r="K3702" s="1" t="str">
        <f t="shared" si="233"/>
        <v>ㄉ</v>
      </c>
      <c r="L3702" s="1" t="str">
        <f t="shared" si="234"/>
        <v>ㄞ</v>
      </c>
      <c r="N3702" s="3" t="s">
        <v>30574</v>
      </c>
      <c r="O3702" s="3"/>
      <c r="P3702" s="1" t="s">
        <v>20</v>
      </c>
      <c r="R3702" s="1" t="s">
        <v>4738</v>
      </c>
      <c r="V3702" s="1" t="s">
        <v>4769</v>
      </c>
      <c r="AR3702" s="1" t="str">
        <f t="shared" si="232"/>
        <v>| [ㄉㄞˋ](ㄉㄞˋ.md) | [迨](迨.md) |  | dài | [動]
及、等到。《詩經．召南．摽有梅》：「求我庶士，迨其吉兮。」唐．柳宗元〈三戒．序〉：「竊時以肆暴，然卒迨於禍。」
[介]
趁、乘。表示時間。《詩經．邶風．匏有苦葉》：「士如歸妻，迨冰未泮。」《文選．陸機．弔魏武帝文》：「迨營魄之未離，假餘息乎音翰。」 |</v>
      </c>
    </row>
    <row r="3703" spans="1:44" hidden="1">
      <c r="A3703" s="1" t="s">
        <v>4770</v>
      </c>
      <c r="C3703" s="1">
        <v>1</v>
      </c>
      <c r="D3703" s="1" t="str">
        <f>"01945"</f>
        <v>01945</v>
      </c>
      <c r="E3703" s="1" t="s">
        <v>250</v>
      </c>
      <c r="F3703" s="1">
        <v>9</v>
      </c>
      <c r="G3703" s="1">
        <v>5</v>
      </c>
      <c r="H3703" s="1">
        <v>0</v>
      </c>
      <c r="I3703" s="1" t="s">
        <v>4737</v>
      </c>
      <c r="K3703" s="1" t="str">
        <f t="shared" si="233"/>
        <v>ㄉ</v>
      </c>
      <c r="L3703" s="1" t="str">
        <f t="shared" si="234"/>
        <v>ㄞ</v>
      </c>
      <c r="N3703" s="3" t="s">
        <v>30574</v>
      </c>
      <c r="O3703" s="3"/>
      <c r="P3703" s="1" t="s">
        <v>20</v>
      </c>
      <c r="R3703" s="1" t="s">
        <v>4738</v>
      </c>
      <c r="V3703" s="1" t="s">
        <v>4771</v>
      </c>
      <c r="AR3703" s="1" t="str">
        <f t="shared" si="232"/>
        <v>| [ㄉㄞˋ](ㄉㄞˋ.md) | [怠](怠.md) |  | dài | [形]
1.鬆懈、懶惰。如：「怠惰」、「懈怠」。唐．韓愈〈原毀〉：「怠者不能修，而忌者畏人修。」
2.輕慢不莊重。如：「怠慢」。《漢書．卷三六．楚元王劉交傳》：「醴酒不設，王之意怠。」
3.疲倦、疲累。如：「倦怠」。 |</v>
      </c>
    </row>
    <row r="3704" spans="1:44" hidden="1">
      <c r="A3704" s="1" t="s">
        <v>4772</v>
      </c>
      <c r="C3704" s="1">
        <v>1</v>
      </c>
      <c r="D3704" s="1" t="str">
        <f>"01946"</f>
        <v>01946</v>
      </c>
      <c r="E3704" s="1" t="s">
        <v>725</v>
      </c>
      <c r="F3704" s="1">
        <v>11</v>
      </c>
      <c r="G3704" s="1">
        <v>5</v>
      </c>
      <c r="H3704" s="1">
        <v>0</v>
      </c>
      <c r="I3704" s="1" t="s">
        <v>4737</v>
      </c>
      <c r="K3704" s="1" t="str">
        <f t="shared" si="233"/>
        <v>ㄉ</v>
      </c>
      <c r="L3704" s="1" t="str">
        <f t="shared" si="234"/>
        <v>ㄞ</v>
      </c>
      <c r="N3704" s="3" t="s">
        <v>30574</v>
      </c>
      <c r="O3704" s="3"/>
      <c r="P3704" s="1" t="s">
        <v>20</v>
      </c>
      <c r="R3704" s="1" t="s">
        <v>4738</v>
      </c>
      <c r="V3704" s="1" t="s">
        <v>4773</v>
      </c>
      <c r="AR3704" s="1" t="str">
        <f t="shared" si="232"/>
        <v>| [ㄉㄞˋ](ㄉㄞˋ.md) | [紿](紿.md) |  | dài | [動]
1.欺誑、欺騙。《漢書．卷三五．吳王劉濞傳》：「東越即紿吳王，吳王出勞軍，使人鏦殺吳王。」《五代史平話．晉史．卷上》：「當紿信入賀，使武士縛信斬之，夷其三族，便是『敗也蕭何』也。」
2.至、進到。《淮南子．氾論》：「出百死而紿一生，以爭天下之權。」漢．高誘．注：「紿，至也。」 |</v>
      </c>
    </row>
    <row r="3705" spans="1:44" hidden="1">
      <c r="A3705" s="1" t="s">
        <v>4774</v>
      </c>
      <c r="C3705" s="1">
        <v>1</v>
      </c>
      <c r="D3705" s="1" t="str">
        <f>"01947"</f>
        <v>01947</v>
      </c>
      <c r="E3705" s="1" t="s">
        <v>319</v>
      </c>
      <c r="F3705" s="1">
        <v>15</v>
      </c>
      <c r="G3705" s="1">
        <v>5</v>
      </c>
      <c r="H3705" s="1">
        <v>2</v>
      </c>
      <c r="I3705" s="1" t="s">
        <v>4737</v>
      </c>
      <c r="K3705" s="1" t="str">
        <f t="shared" si="233"/>
        <v>ㄉ</v>
      </c>
      <c r="L3705" s="1" t="str">
        <f t="shared" si="234"/>
        <v>ㄞ</v>
      </c>
      <c r="N3705" s="3" t="s">
        <v>30574</v>
      </c>
      <c r="O3705" s="3"/>
      <c r="P3705" s="1" t="s">
        <v>20</v>
      </c>
      <c r="R3705" s="1" t="s">
        <v>4738</v>
      </c>
      <c r="V3705" s="1" t="s">
        <v>4775</v>
      </c>
      <c r="W3705" s="1" t="s">
        <v>4776</v>
      </c>
      <c r="AR3705" s="1" t="str">
        <f t="shared" si="232"/>
        <v>| [ㄉㄞˋ](ㄉㄞˋ.md) | [駘](駘.md) |  | dài | 參見「駘蕩」條。 |</v>
      </c>
    </row>
    <row r="3706" spans="1:44" hidden="1">
      <c r="A3706" s="1" t="s">
        <v>4719</v>
      </c>
      <c r="C3706" s="1">
        <v>1</v>
      </c>
      <c r="D3706" s="1" t="str">
        <f>"01948"</f>
        <v>01948</v>
      </c>
      <c r="E3706" s="1" t="s">
        <v>234</v>
      </c>
      <c r="F3706" s="1">
        <v>9</v>
      </c>
      <c r="G3706" s="1">
        <v>6</v>
      </c>
      <c r="H3706" s="1">
        <v>1</v>
      </c>
      <c r="I3706" s="1" t="s">
        <v>4737</v>
      </c>
      <c r="K3706" s="1" t="str">
        <f t="shared" si="233"/>
        <v>ㄉ</v>
      </c>
      <c r="L3706" s="1" t="str">
        <f t="shared" si="234"/>
        <v>ㄞ</v>
      </c>
      <c r="N3706" s="3" t="s">
        <v>30574</v>
      </c>
      <c r="O3706" s="3"/>
      <c r="P3706" s="1" t="s">
        <v>20</v>
      </c>
      <c r="R3706" s="1" t="s">
        <v>4738</v>
      </c>
      <c r="V3706" s="1" t="s">
        <v>4777</v>
      </c>
      <c r="W3706" s="1" t="s">
        <v>4778</v>
      </c>
      <c r="AR3706" s="1" t="str">
        <f t="shared" si="232"/>
        <v>| [ㄉㄞˋ](ㄉㄞˋ.md) | [待](待.md) |  | dài | [動]
1.等候。《左傳．隱公元年》：「多行不義，必自斃，子姑待之。」《文選．古詩十九首．生年不滿百》：「為樂當及時，何能待來茲。」
2.防備、抵禦。《易經．繫辭下》：「上棟下宇，以待風雨。」《史記．卷七三．白起王翦傳》：「廉頗堅壁以待秦，秦數挑戰，趙兵不出。」
3.依恃、憑靠。《商君書．農戰》：「國待農戰而安，主待農戰而尊。」
4.對待、照顧。如：「優待」、「款待」、「招待」、「待客之道」、「待人接物」。
5.將要、打算。如：「正待出外，卻下起大雨來了。」宋．辛棄疾〈最高樓．相思苦〉詞：「待不飲，奈何君有恨；待痛飲，奈何吾有病。」元．鄭光祖《倩女離魂》第二折：「你道我為甚麼私離繡榻，待和伊同走天涯。」
[助]
置於句末或句中的語氣詞。相當於「啊」。宋．何夢桂〈沁園春．孔蓋蜺旌〉詞：「問韶光九十，何如今待！」 |</v>
      </c>
    </row>
    <row r="3707" spans="1:44" hidden="1">
      <c r="A3707" s="1" t="s">
        <v>4779</v>
      </c>
      <c r="C3707" s="1">
        <v>1</v>
      </c>
      <c r="D3707" s="1" t="str">
        <f>"01949"</f>
        <v>01949</v>
      </c>
      <c r="E3707" s="1" t="s">
        <v>222</v>
      </c>
      <c r="F3707" s="1">
        <v>11</v>
      </c>
      <c r="G3707" s="1">
        <v>8</v>
      </c>
      <c r="H3707" s="1">
        <v>0</v>
      </c>
      <c r="I3707" s="1" t="s">
        <v>4737</v>
      </c>
      <c r="K3707" s="1" t="str">
        <f t="shared" si="233"/>
        <v>ㄉ</v>
      </c>
      <c r="L3707" s="1" t="str">
        <f t="shared" si="234"/>
        <v>ㄞ</v>
      </c>
      <c r="N3707" s="3" t="s">
        <v>30574</v>
      </c>
      <c r="O3707" s="3"/>
      <c r="P3707" s="1" t="s">
        <v>20</v>
      </c>
      <c r="R3707" s="1" t="s">
        <v>4738</v>
      </c>
      <c r="V3707" s="1" t="s">
        <v>4780</v>
      </c>
      <c r="AR3707" s="1" t="str">
        <f t="shared" si="232"/>
        <v>| [ㄉㄞˋ](ㄉㄞˋ.md) | [帶](帶.md) |  | dài | [名]
1.繫衣服或紮東西所用的長條物。如「衣帶」、「腰帶」、「鞋帶」。《詩經．衛風．有狐》：「心之憂矣，之子無帶。」漢．毛亨．傳：「帶，所以申束衣。」也稱為「帶子」。
2.泛指長條狀的物體。如：「海帶」、「臍帶」、「光帶」、「磁帶」、「輸送帶」。
3.地球表面依緯度劃分的氣候區。如：「溫帶」、「熱帶」、「寒帶」、「亞熱帶」。
4.地區、區域。如：「林帶」、「高山地帶」、「沿海一帶」。
5.一種婦科症狀。如：「白帶」、「赤帶」。《史記．卷一〇五．扁鵲倉公傳》：「扁鵲名聞天下，過邯鄲，聞貴婦人，即為帶下醫。」
6.姓。如戰國時有帶陀。
[動]
1.佩掛。《史記．卷六．秦始皇本紀》：「己酉，王冠，帶劍。長信侯毐作亂而覺。」
2.隨身攜著、拿著。如：「自帶乾糧」、「帶著錢包」。
3.附帶、連帶、順便做。如：「連說帶笑」、「記得幫我帶口信！」、「出去時把門帶上。」
4.含著、呈現。如：「面帶愁容」、「說話帶刺」、「帶異樣眼光」。唐．白居易〈長恨歌〉：「玉容寂寞淚闌干，梨花一枝春帶雨。」
5.率領、引導。如：「帶兵」、「帶路」、「帶隊」、「帶頭」。
6.圍繞、環繞。《文選．陸機．辯亡論下》：「長江制其區宇，峻山帶其封域。」元．王實甫《西廂記．第一本．第一折》：「這河帶齊梁，分秦晉，隘幽燕。」 |</v>
      </c>
    </row>
    <row r="3708" spans="1:44" hidden="1">
      <c r="A3708" s="1" t="s">
        <v>4781</v>
      </c>
      <c r="C3708" s="1">
        <v>1</v>
      </c>
      <c r="D3708" s="1" t="str">
        <f>"01950"</f>
        <v>01950</v>
      </c>
      <c r="E3708" s="1" t="s">
        <v>679</v>
      </c>
      <c r="F3708" s="1">
        <v>14</v>
      </c>
      <c r="G3708" s="1">
        <v>8</v>
      </c>
      <c r="H3708" s="1">
        <v>2</v>
      </c>
      <c r="I3708" s="1" t="s">
        <v>4737</v>
      </c>
      <c r="K3708" s="1" t="str">
        <f t="shared" si="233"/>
        <v>ㄉ</v>
      </c>
      <c r="L3708" s="1" t="str">
        <f t="shared" si="234"/>
        <v>ㄞ</v>
      </c>
      <c r="N3708" s="3" t="s">
        <v>30574</v>
      </c>
      <c r="O3708" s="3"/>
      <c r="P3708" s="1" t="s">
        <v>20</v>
      </c>
      <c r="R3708" s="1" t="s">
        <v>4738</v>
      </c>
      <c r="V3708" s="1" t="s">
        <v>4782</v>
      </c>
      <c r="W3708" s="1" t="s">
        <v>4783</v>
      </c>
      <c r="AR3708" s="1" t="str">
        <f t="shared" si="232"/>
        <v>| [ㄉㄞˋ](ㄉㄞˋ.md) | [蝳](蝳.md) |  | dài | 參見「蝳蝐」條。 |</v>
      </c>
    </row>
    <row r="3709" spans="1:44" hidden="1">
      <c r="A3709" s="1" t="s">
        <v>4784</v>
      </c>
      <c r="C3709" s="1">
        <v>1</v>
      </c>
      <c r="D3709" s="1" t="str">
        <f>"01951"</f>
        <v>01951</v>
      </c>
      <c r="E3709" s="1" t="s">
        <v>4785</v>
      </c>
      <c r="F3709" s="1">
        <v>17</v>
      </c>
      <c r="G3709" s="1">
        <v>13</v>
      </c>
      <c r="H3709" s="1">
        <v>0</v>
      </c>
      <c r="I3709" s="1" t="s">
        <v>4737</v>
      </c>
      <c r="K3709" s="1" t="str">
        <f t="shared" si="233"/>
        <v>ㄉ</v>
      </c>
      <c r="L3709" s="1" t="str">
        <f t="shared" si="234"/>
        <v>ㄞ</v>
      </c>
      <c r="N3709" s="3" t="s">
        <v>30574</v>
      </c>
      <c r="O3709" s="3"/>
      <c r="P3709" s="1" t="s">
        <v>20</v>
      </c>
      <c r="R3709" s="1" t="s">
        <v>4738</v>
      </c>
      <c r="V3709" s="1" t="s">
        <v>4786</v>
      </c>
      <c r="AR3709" s="1" t="str">
        <f t="shared" si="232"/>
        <v>| [ㄉㄞˋ](ㄉㄞˋ.md) | [戴](戴.md) |  | dài | [動]
1.把東西附加在頭、面、胸、臂等處。如：「戴花」、「戴帽子」、「戴眼鏡」。
2.以頭頂著。如：「披星戴月」、「不共戴天之仇」。《文選．何晏．景福殿賦》：「迫而察之，若仰崇山而戴垂雲。」
3.擁護、推崇。如：「愛戴」、「擁戴」。《文選．張衡．東京賦》：「息肩於大漢，而欣戴高祖。」
[名]
姓。如漢代有戴德、戴聖，治《禮記》傳世，世稱為「大戴」、「小戴」。 |</v>
      </c>
    </row>
    <row r="3710" spans="1:44" hidden="1">
      <c r="A3710" s="1" t="s">
        <v>4787</v>
      </c>
      <c r="C3710" s="1">
        <v>1</v>
      </c>
      <c r="D3710" s="1" t="str">
        <f>"01952"</f>
        <v>01952</v>
      </c>
      <c r="E3710" s="1" t="s">
        <v>340</v>
      </c>
      <c r="F3710" s="1">
        <v>23</v>
      </c>
      <c r="G3710" s="1">
        <v>17</v>
      </c>
      <c r="H3710" s="1">
        <v>0</v>
      </c>
      <c r="I3710" s="1" t="s">
        <v>4737</v>
      </c>
      <c r="K3710" s="1" t="str">
        <f t="shared" si="233"/>
        <v>ㄉ</v>
      </c>
      <c r="L3710" s="1" t="str">
        <f t="shared" si="234"/>
        <v>ㄞ</v>
      </c>
      <c r="N3710" s="3" t="s">
        <v>30574</v>
      </c>
      <c r="O3710" s="3"/>
      <c r="P3710" s="1" t="s">
        <v>20</v>
      </c>
      <c r="R3710" s="1" t="s">
        <v>4738</v>
      </c>
      <c r="V3710" s="1" t="s">
        <v>4788</v>
      </c>
      <c r="AR3710" s="1" t="str">
        <f t="shared" si="232"/>
        <v>| [ㄉㄞˋ](ㄉㄞˋ.md) | [襶](襶.md) |  | dài | 參見「褦襶」條。 |</v>
      </c>
    </row>
    <row r="3711" spans="1:44" hidden="1">
      <c r="A3711" s="1" t="s">
        <v>4725</v>
      </c>
      <c r="C3711" s="1">
        <v>1</v>
      </c>
      <c r="D3711" s="1" t="str">
        <f>"01926"</f>
        <v>01926</v>
      </c>
      <c r="E3711" s="1" t="s">
        <v>1372</v>
      </c>
      <c r="F3711" s="1">
        <v>4</v>
      </c>
      <c r="G3711" s="1">
        <v>0</v>
      </c>
      <c r="H3711" s="1">
        <v>1</v>
      </c>
      <c r="I3711" s="1" t="s">
        <v>4726</v>
      </c>
      <c r="K3711" s="1" t="str">
        <f t="shared" si="233"/>
        <v>ㄉ</v>
      </c>
      <c r="L3711" s="1" t="str">
        <f t="shared" si="234"/>
        <v>ㄞ</v>
      </c>
      <c r="N3711" s="3" t="s">
        <v>30576</v>
      </c>
      <c r="O3711" s="3"/>
      <c r="P3711" s="1" t="s">
        <v>20</v>
      </c>
      <c r="R3711" s="1" t="s">
        <v>4727</v>
      </c>
      <c r="V3711" s="1" t="s">
        <v>4728</v>
      </c>
      <c r="W3711" s="1" t="s">
        <v>4729</v>
      </c>
      <c r="AR3711" s="1" t="str">
        <f t="shared" si="232"/>
        <v>| [ㄉㄞˇ](ㄉㄞˇ.md) | [歹](歹.md) |  | dǎi | [名]
1.壞事、惡事。如：「為非作歹」。
2.二一四部首之一。
[形]
惡、不好。如：「他並無歹意，請大家放心。」《紅樓夢》第一七、一八回：「你不用同我好一陣歹一陣的，要惱，就撂開手。」 |</v>
      </c>
    </row>
    <row r="3712" spans="1:44" hidden="1">
      <c r="A3712" s="1" t="s">
        <v>4694</v>
      </c>
      <c r="C3712" s="1">
        <v>1</v>
      </c>
      <c r="D3712" s="1" t="str">
        <f>"01927"</f>
        <v>01927</v>
      </c>
      <c r="E3712" s="1" t="s">
        <v>234</v>
      </c>
      <c r="F3712" s="1">
        <v>11</v>
      </c>
      <c r="G3712" s="1">
        <v>8</v>
      </c>
      <c r="H3712" s="1">
        <v>4</v>
      </c>
      <c r="I3712" s="1" t="s">
        <v>4726</v>
      </c>
      <c r="K3712" s="1" t="str">
        <f t="shared" si="233"/>
        <v>ㄉ</v>
      </c>
      <c r="L3712" s="1" t="str">
        <f t="shared" si="234"/>
        <v>ㄞ</v>
      </c>
      <c r="N3712" s="3" t="s">
        <v>30576</v>
      </c>
      <c r="O3712" s="3"/>
      <c r="P3712" s="1" t="s">
        <v>20</v>
      </c>
      <c r="R3712" s="1" t="s">
        <v>4727</v>
      </c>
      <c r="V3712" s="1" t="s">
        <v>4730</v>
      </c>
      <c r="W3712" s="1" t="s">
        <v>4731</v>
      </c>
      <c r="AR3712" s="1" t="str">
        <f t="shared" si="232"/>
        <v>| [ㄉㄞˇ](ㄉㄞˇ.md) | [得](得.md) |  | dǎi | [動]
遭受。如：「他作惡多端，得了報應也是應該的。」 |</v>
      </c>
    </row>
    <row r="3713" spans="1:44" hidden="1">
      <c r="A3713" s="1" t="s">
        <v>4732</v>
      </c>
      <c r="C3713" s="1">
        <v>1</v>
      </c>
      <c r="D3713" s="1" t="str">
        <f>"01928"</f>
        <v>01928</v>
      </c>
      <c r="E3713" s="1" t="s">
        <v>114</v>
      </c>
      <c r="F3713" s="1">
        <v>12</v>
      </c>
      <c r="G3713" s="1">
        <v>10</v>
      </c>
      <c r="H3713" s="1">
        <v>0</v>
      </c>
      <c r="I3713" s="1" t="s">
        <v>4726</v>
      </c>
      <c r="K3713" s="1" t="str">
        <f t="shared" si="233"/>
        <v>ㄉ</v>
      </c>
      <c r="L3713" s="1" t="str">
        <f t="shared" si="234"/>
        <v>ㄞ</v>
      </c>
      <c r="N3713" s="3" t="s">
        <v>30576</v>
      </c>
      <c r="O3713" s="3"/>
      <c r="P3713" s="1" t="s">
        <v>20</v>
      </c>
      <c r="R3713" s="1" t="s">
        <v>4727</v>
      </c>
      <c r="V3713" s="1" t="s">
        <v>4733</v>
      </c>
      <c r="AR3713" s="1" t="str">
        <f t="shared" si="232"/>
        <v>| [ㄉㄞˇ](ㄉㄞˇ.md) | [傣](傣.md) |  | dǎi | [名]
中國少數民族之一。參見「傣族」條。 |</v>
      </c>
    </row>
    <row r="3714" spans="1:44" hidden="1">
      <c r="A3714" s="1" t="s">
        <v>4734</v>
      </c>
      <c r="C3714" s="1">
        <v>1</v>
      </c>
      <c r="D3714" s="1" t="str">
        <f>"01929"</f>
        <v>01929</v>
      </c>
      <c r="E3714" s="1" t="s">
        <v>558</v>
      </c>
      <c r="F3714" s="1">
        <v>12</v>
      </c>
      <c r="G3714" s="1">
        <v>8</v>
      </c>
      <c r="H3714" s="1">
        <v>2</v>
      </c>
      <c r="I3714" s="1" t="s">
        <v>4726</v>
      </c>
      <c r="K3714" s="1" t="str">
        <f t="shared" si="233"/>
        <v>ㄉ</v>
      </c>
      <c r="L3714" s="1" t="str">
        <f t="shared" si="234"/>
        <v>ㄞ</v>
      </c>
      <c r="N3714" s="3" t="s">
        <v>30576</v>
      </c>
      <c r="O3714" s="3"/>
      <c r="P3714" s="1" t="s">
        <v>20</v>
      </c>
      <c r="R3714" s="1" t="s">
        <v>4727</v>
      </c>
      <c r="V3714" s="1" t="s">
        <v>4735</v>
      </c>
      <c r="W3714" s="1" t="s">
        <v>4736</v>
      </c>
      <c r="AR3714" s="1" t="str">
        <f t="shared" si="232"/>
        <v>| [ㄉㄞˇ](ㄉㄞˇ.md) | [逮](逮.md) |  | dǎi | [動]
方言。捉。如：「逮到」、「逮住」、「官兵逮強盜」。 |</v>
      </c>
    </row>
    <row r="3715" spans="1:44" hidden="1">
      <c r="A3715" s="1" t="s">
        <v>4694</v>
      </c>
      <c r="C3715" s="1">
        <v>1</v>
      </c>
      <c r="D3715" s="1" t="str">
        <f>"01953"</f>
        <v>01953</v>
      </c>
      <c r="E3715" s="1" t="s">
        <v>234</v>
      </c>
      <c r="F3715" s="1">
        <v>11</v>
      </c>
      <c r="G3715" s="1">
        <v>8</v>
      </c>
      <c r="H3715" s="1">
        <v>2</v>
      </c>
      <c r="I3715" s="1" t="s">
        <v>4789</v>
      </c>
      <c r="K3715" s="1" t="str">
        <f t="shared" si="233"/>
        <v>ㄉ</v>
      </c>
      <c r="L3715" s="1" t="str">
        <f t="shared" si="234"/>
        <v>ㄟ</v>
      </c>
      <c r="N3715" s="3" t="s">
        <v>30576</v>
      </c>
      <c r="O3715" s="3"/>
      <c r="P3715" s="1" t="s">
        <v>20</v>
      </c>
      <c r="R3715" s="1" t="s">
        <v>4790</v>
      </c>
      <c r="V3715" s="1" t="s">
        <v>4791</v>
      </c>
      <c r="W3715" s="1" t="s">
        <v>4792</v>
      </c>
      <c r="AR3715" s="1" t="str">
        <f t="shared" ref="AR3715:AR3778" si="235">"| ["&amp;I3715&amp;"]("&amp;I3715&amp;".md) | ["&amp;A3715&amp;"]("&amp;A3715&amp;".md) | "&amp;" | "&amp;R3715&amp;" | "&amp;V3715&amp;" |"</f>
        <v>| [ㄉㄟˇ](ㄉㄟˇ.md) | [得](得.md) |  | děi | [副]
應該、必須、需要。如：「你總得讓我把話說完。」《紅樓夢》第六六回：「出了月就起身，得半個工夫纔回來。」 |</v>
      </c>
    </row>
    <row r="3716" spans="1:44" hidden="1">
      <c r="A3716" s="1" t="s">
        <v>4826</v>
      </c>
      <c r="C3716" s="1">
        <v>1</v>
      </c>
      <c r="D3716" s="1" t="str">
        <f>"01966"</f>
        <v>01966</v>
      </c>
      <c r="E3716" s="1" t="s">
        <v>185</v>
      </c>
      <c r="F3716" s="1">
        <v>8</v>
      </c>
      <c r="G3716" s="1">
        <v>6</v>
      </c>
      <c r="H3716" s="1">
        <v>0</v>
      </c>
      <c r="I3716" s="1" t="s">
        <v>4827</v>
      </c>
      <c r="K3716" s="1" t="str">
        <f t="shared" si="233"/>
        <v>ㄉ</v>
      </c>
      <c r="L3716" s="1" t="str">
        <f t="shared" si="234"/>
        <v>ㄠ</v>
      </c>
      <c r="N3716" s="3" t="s">
        <v>30574</v>
      </c>
      <c r="O3716" s="3"/>
      <c r="P3716" s="1" t="s">
        <v>20</v>
      </c>
      <c r="R3716" s="1" t="s">
        <v>4828</v>
      </c>
      <c r="V3716" s="1" t="s">
        <v>4829</v>
      </c>
      <c r="AR3716" s="1" t="str">
        <f t="shared" si="235"/>
        <v>| [ㄉㄠˋ](ㄉㄠˋ.md) | [到](到.md) |  | dào | [動]
1.抵達、到達。如：「火車到站」、「支票到期」、「堅持到底」。《文選．江淹．恨賦》：「人生到此，天道寧論。」
2.往、去。如：「到非洲叢林探險。」、「我晚上到你家拜訪。」
[形]
周密。如：「若有不到之處，尚請多多包涵！」《晉書．卷三二．后妃傳下．康獻褚皇后傳》：「所奏懇到，形于翰墨，執省未究，以悲以懼。」《文選．袁宏．三國名臣序贊》：「君親自然，匪由名教，敬授既同，情禮兼到。」
[名]
姓。如南朝宋有到彥之。 |</v>
      </c>
    </row>
    <row r="3717" spans="1:44" hidden="1">
      <c r="A3717" s="1" t="s">
        <v>4810</v>
      </c>
      <c r="C3717" s="1">
        <v>1</v>
      </c>
      <c r="D3717" s="1" t="str">
        <f>"01967"</f>
        <v>01967</v>
      </c>
      <c r="E3717" s="1" t="s">
        <v>114</v>
      </c>
      <c r="F3717" s="1">
        <v>10</v>
      </c>
      <c r="G3717" s="1">
        <v>8</v>
      </c>
      <c r="H3717" s="1">
        <v>2</v>
      </c>
      <c r="I3717" s="1" t="s">
        <v>4827</v>
      </c>
      <c r="K3717" s="1" t="str">
        <f t="shared" si="233"/>
        <v>ㄉ</v>
      </c>
      <c r="L3717" s="1" t="str">
        <f t="shared" si="234"/>
        <v>ㄠ</v>
      </c>
      <c r="N3717" s="3" t="s">
        <v>30574</v>
      </c>
      <c r="O3717" s="3"/>
      <c r="P3717" s="1" t="s">
        <v>20</v>
      </c>
      <c r="R3717" s="1" t="s">
        <v>4828</v>
      </c>
      <c r="V3717" s="1" t="s">
        <v>4830</v>
      </c>
      <c r="W3717" s="1" t="s">
        <v>4831</v>
      </c>
      <c r="AR3717" s="1" t="str">
        <f t="shared" si="235"/>
        <v>| [ㄉㄠˋ](ㄉㄠˋ.md) | [倒](倒.md) |  | dào | [動]
1.上下前後相反，或互相更換。《詩經．齊風．東方未明》：「顛之倒之，自公召之。」《朱子語類．卷七一．易．復》：「如人善端初萌，正欲靜以養之，方能盛大。若如公說，卻是倒了。」
2.把物體或液體傾倒出來。如：「倒茶水」、「倒垃圾」。唐．韓愈〈岳陽樓別竇司直〉詩：「開筵交履舄，爛漫倒家釀。」
3.向後退。如：「倒車」、「倒退」。
4.違逆、不順。《韓非子．難言》：「且至言忤於耳而倒於心，非賢聖莫能聽。」《呂氏春秋．季夏紀．明理》：「故至亂之化，君臣相賊，長少相殺，父子相忍，弟兄相誣，知交相倒。」
[副]
1.反而。表出乎意料之外。《紅樓夢》第二二回：「你連多少大生日都料理過了，這會子倒沒了主意。」《兒女英雄傳》第一七回：「你老人家不說今日要歇半天兒嗎？怎的倒這麼早就來了。」
2.卻。《朱子語類．卷三九．論語．先進篇上》：「如今人恁地文理細密，倒未必好，寧可是白直粗疏底人。」《紅樓夢》第一九回：「你倒說說，我還要怎麼留你？我自己也難說了。」
3.反過來、相反的。如：「海水倒灌」、「倒掛金鉤」。唐．徐凝〈杭州祝濤頭〉詩二首之二：「倒打錢塘郭，長驅白浪花。」 |</v>
      </c>
    </row>
    <row r="3718" spans="1:44" hidden="1">
      <c r="A3718" s="1" t="s">
        <v>4832</v>
      </c>
      <c r="C3718" s="1">
        <v>1</v>
      </c>
      <c r="D3718" s="1" t="str">
        <f>"01968"</f>
        <v>01968</v>
      </c>
      <c r="E3718" s="1" t="s">
        <v>250</v>
      </c>
      <c r="F3718" s="1">
        <v>11</v>
      </c>
      <c r="G3718" s="1">
        <v>8</v>
      </c>
      <c r="H3718" s="1">
        <v>0</v>
      </c>
      <c r="I3718" s="1" t="s">
        <v>4827</v>
      </c>
      <c r="K3718" s="1" t="str">
        <f t="shared" si="233"/>
        <v>ㄉ</v>
      </c>
      <c r="L3718" s="1" t="str">
        <f t="shared" si="234"/>
        <v>ㄠ</v>
      </c>
      <c r="N3718" s="3" t="s">
        <v>30574</v>
      </c>
      <c r="O3718" s="3"/>
      <c r="P3718" s="1" t="s">
        <v>20</v>
      </c>
      <c r="R3718" s="1" t="s">
        <v>4828</v>
      </c>
      <c r="V3718" s="1" t="s">
        <v>4833</v>
      </c>
      <c r="AR3718" s="1" t="str">
        <f t="shared" si="235"/>
        <v>| [ㄉㄠˋ](ㄉㄠˋ.md) | [悼](悼.md) |  | dào | [動]
1.悲哀、傷感。《詩經．衛風．氓》：「靜言思之，躬自悼矣。」《漢書．卷四八．賈誼．贊曰》：「使時見用，功化必盛。為庸臣所害。甚可悼痛。」
2.憐惜、惋惜。如：「惋悼」、「嗟悼」。
3.畏懼、恐懼。《莊子．山木》：「及其得柘棘枳枸之間也，危行側視，振動悼慄。」 |</v>
      </c>
    </row>
    <row r="3719" spans="1:44" hidden="1">
      <c r="A3719" s="1" t="s">
        <v>4834</v>
      </c>
      <c r="C3719" s="1">
        <v>1</v>
      </c>
      <c r="D3719" s="1" t="str">
        <f>"01969"</f>
        <v>01969</v>
      </c>
      <c r="E3719" s="1" t="s">
        <v>438</v>
      </c>
      <c r="F3719" s="1">
        <v>12</v>
      </c>
      <c r="G3719" s="1">
        <v>7</v>
      </c>
      <c r="H3719" s="1">
        <v>0</v>
      </c>
      <c r="I3719" s="1" t="s">
        <v>4827</v>
      </c>
      <c r="K3719" s="1" t="str">
        <f t="shared" si="233"/>
        <v>ㄉ</v>
      </c>
      <c r="L3719" s="1" t="str">
        <f t="shared" si="234"/>
        <v>ㄠ</v>
      </c>
      <c r="N3719" s="3" t="s">
        <v>30574</v>
      </c>
      <c r="O3719" s="3"/>
      <c r="P3719" s="1" t="s">
        <v>20</v>
      </c>
      <c r="R3719" s="1" t="s">
        <v>4828</v>
      </c>
      <c r="V3719" s="1" t="s">
        <v>4835</v>
      </c>
      <c r="AR3719" s="1" t="str">
        <f t="shared" si="235"/>
        <v>| [ㄉㄠˋ](ㄉㄠˋ.md) | [盜](盜.md) |  | dào | [名]
竊取或搶奪財物的人。如：「強盜」、「海盜」。《禮記．禮運》：「是故謀閉而不興，盜竊亂賊而不作。」《論語．陽貨》：「色厲而內荏，譬諸小人，其猶穿窬之盜也與。」
[動]
偷取、竊取。亦指用不正當的手段謀取。如：「掩耳盜鈴」。《荀子．不苟》：「是姦人將以盜名於晻世者也，險莫大焉。」 |</v>
      </c>
    </row>
    <row r="3720" spans="1:44" hidden="1">
      <c r="A3720" s="1" t="s">
        <v>4836</v>
      </c>
      <c r="C3720" s="1">
        <v>1</v>
      </c>
      <c r="D3720" s="1" t="str">
        <f>"01970"</f>
        <v>01970</v>
      </c>
      <c r="E3720" s="1" t="s">
        <v>558</v>
      </c>
      <c r="F3720" s="1">
        <v>13</v>
      </c>
      <c r="G3720" s="1">
        <v>9</v>
      </c>
      <c r="H3720" s="1">
        <v>0</v>
      </c>
      <c r="I3720" s="1" t="s">
        <v>4827</v>
      </c>
      <c r="K3720" s="1" t="str">
        <f t="shared" si="233"/>
        <v>ㄉ</v>
      </c>
      <c r="L3720" s="1" t="str">
        <f t="shared" si="234"/>
        <v>ㄠ</v>
      </c>
      <c r="N3720" s="3" t="s">
        <v>30574</v>
      </c>
      <c r="O3720" s="3"/>
      <c r="P3720" s="1" t="s">
        <v>20</v>
      </c>
      <c r="R3720" s="1" t="s">
        <v>4828</v>
      </c>
      <c r="V3720" s="1" t="s">
        <v>4837</v>
      </c>
      <c r="AR3720" s="1" t="str">
        <f t="shared" si="235"/>
        <v>| [ㄉㄠˋ](ㄉㄠˋ.md) | [道](道.md) |  | dào | [名]
1.路途、途徑。如：「鐵道」、「河道」、「國道高速公路」。《論語．泰伯》：「士不可以不弘毅，任重而道遠。」
2.方法、道理。如：「頭頭是道」、「以其人之道，還治其人之身」。《禮記．中庸》：「果能此道矣！雖愚必明，雖柔必強。」
3.真理。《論語．里仁》：「子曰：『朝聞道，夕死可矣！』」
4.思想、學說。如：「老莊之道」。《論語．里仁》：「子曰：『參乎！吾道一以貫之。』」
5.技藝、技巧。《論語．子張》：「雖小道，必有可觀者焉。致遠恐泥，是以君子不為也。」
6.中國古代的一個思想流派。參見「道家」條。
7.中國主要的宗教之一。參見「道教」條。
8.道士的簡稱。如：「老道」、「貧道」、「一僧一道」。
9.宗教的教義、義理。如：「學道」、「得道」、「傳道」、「布道」。
10.古代行政區域名稱：(1)唐太宗貞觀時代分天下為十道，後增為十五道，相當於現在的省。(2)清代和民初在省下設道。
11.量詞：(1)計算條狀物的單位。如：「三道黃線」、「一道閃電」。(2)計算有出入口設施的單位。如：「兩道門」、「多道關卡」。(3)計算題目、命令等的單位。相當於「則」、「條」。如：「十道題目」、「下一道命令」。(4)計算工作次數的單位。如：「省一道手續」、「上了兩道油漆」。(5)計算菜餚的單位。如：「總共有十二道菜。」
12.姓。如春秋時楚國有道朔。
[動]
1.說、談。如：「常言道」、「一語道破」、「能言善道」、「說長道短」。《論語．季氏》：「樂節禮樂，樂道人之善，樂多賢友。」
2.用言語表示心意、情意。如：「道喜」、「道賀」、「道歉」、「道謝」。
3.以為、認為、料想。如：「我道是誰呢？原來是你來了！」《紅樓夢》第一一六回：「眾人都見他忽笑忽悲，也不解是何意，只道是他的舊病。」
4.引導、指引。通「導」。《論語．為政》：「道之以德，齊之以禮，有恥且格。」明．馬中錫〈中山狼傳〉：「趙簡子大獵於中山，虞人道前，鷹犬羅後。」
[介]
由、從。《管子．禁藏》：「故凡治亂之情，皆道上始。」《史記．卷八．高祖本紀》：「太尉周勃道太原入，定代地。」 |</v>
      </c>
    </row>
    <row r="3721" spans="1:44" hidden="1">
      <c r="A3721" s="1" t="s">
        <v>4819</v>
      </c>
      <c r="C3721" s="1">
        <v>1</v>
      </c>
      <c r="D3721" s="1" t="str">
        <f>"01971"</f>
        <v>01971</v>
      </c>
      <c r="E3721" s="1" t="s">
        <v>1595</v>
      </c>
      <c r="F3721" s="1">
        <v>16</v>
      </c>
      <c r="G3721" s="1">
        <v>13</v>
      </c>
      <c r="H3721" s="1">
        <v>2</v>
      </c>
      <c r="I3721" s="1" t="s">
        <v>4827</v>
      </c>
      <c r="K3721" s="1" t="str">
        <f t="shared" si="233"/>
        <v>ㄉ</v>
      </c>
      <c r="L3721" s="1" t="str">
        <f t="shared" si="234"/>
        <v>ㄠ</v>
      </c>
      <c r="N3721" s="3" t="s">
        <v>30574</v>
      </c>
      <c r="O3721" s="3"/>
      <c r="P3721" s="1" t="s">
        <v>186</v>
      </c>
      <c r="R3721" s="1" t="s">
        <v>4828</v>
      </c>
      <c r="V3721" s="1" t="s">
        <v>206</v>
      </c>
      <c r="W3721" s="1" t="s">
        <v>4838</v>
      </c>
      <c r="AR3721" s="1" t="str">
        <f t="shared" si="235"/>
        <v>| [ㄉㄠˋ](ㄉㄠˋ.md) | [導](導.md) |  | dào | (一)之讀音。 |</v>
      </c>
    </row>
    <row r="3722" spans="1:44" hidden="1">
      <c r="A3722" s="1" t="s">
        <v>4839</v>
      </c>
      <c r="C3722" s="1">
        <v>1</v>
      </c>
      <c r="D3722" s="1" t="str">
        <f>"01972"</f>
        <v>01972</v>
      </c>
      <c r="E3722" s="1" t="s">
        <v>2271</v>
      </c>
      <c r="F3722" s="1">
        <v>14</v>
      </c>
      <c r="G3722" s="1">
        <v>8</v>
      </c>
      <c r="H3722" s="1">
        <v>1</v>
      </c>
      <c r="I3722" s="1" t="s">
        <v>4827</v>
      </c>
      <c r="K3722" s="1" t="str">
        <f t="shared" si="233"/>
        <v>ㄉ</v>
      </c>
      <c r="L3722" s="1" t="str">
        <f t="shared" si="234"/>
        <v>ㄠ</v>
      </c>
      <c r="N3722" s="3" t="s">
        <v>30574</v>
      </c>
      <c r="O3722" s="3"/>
      <c r="P3722" s="1" t="s">
        <v>20</v>
      </c>
      <c r="R3722" s="1" t="s">
        <v>4828</v>
      </c>
      <c r="V3722" s="1" t="s">
        <v>4840</v>
      </c>
      <c r="W3722" s="1" t="s">
        <v>4841</v>
      </c>
      <c r="AR3722" s="1" t="str">
        <f t="shared" si="235"/>
        <v>| [ㄉㄠˋ](ㄉㄠˋ.md) | [翢](翢.md) |  | dào | [名]
大旗。同「纛」。《爾雅．釋言》：「翢，纛也。」晉．郭璞．注：「今之羽葆幢。」《集韻．平聲．豪韻》：「纛，舞者所執幢。或作翢。」 |</v>
      </c>
    </row>
    <row r="3723" spans="1:44" hidden="1">
      <c r="A3723" s="1" t="s">
        <v>4842</v>
      </c>
      <c r="C3723" s="1">
        <v>1</v>
      </c>
      <c r="D3723" s="1" t="str">
        <f>"01973"</f>
        <v>01973</v>
      </c>
      <c r="E3723" s="1" t="s">
        <v>429</v>
      </c>
      <c r="F3723" s="1">
        <v>15</v>
      </c>
      <c r="G3723" s="1">
        <v>10</v>
      </c>
      <c r="H3723" s="1">
        <v>0</v>
      </c>
      <c r="I3723" s="1" t="s">
        <v>4827</v>
      </c>
      <c r="K3723" s="1" t="str">
        <f t="shared" si="233"/>
        <v>ㄉ</v>
      </c>
      <c r="L3723" s="1" t="str">
        <f t="shared" si="234"/>
        <v>ㄠ</v>
      </c>
      <c r="N3723" s="3" t="s">
        <v>30574</v>
      </c>
      <c r="O3723" s="3"/>
      <c r="P3723" s="1" t="s">
        <v>20</v>
      </c>
      <c r="R3723" s="1" t="s">
        <v>4828</v>
      </c>
      <c r="V3723" s="1" t="s">
        <v>4843</v>
      </c>
      <c r="AR3723" s="1" t="str">
        <f t="shared" si="235"/>
        <v>| [ㄉㄠˋ](ㄉㄠˋ.md) | [稻](稻.md) |  | dào | [名]
1.植物名。禾本科稻屬，一年生草本。莖高三、四尺，結實累累成穗，有水稻和旱稻兩種。穎果橢圓，有硬殼，去殼後就是大米。以其黏性而言，可分蓬萊稻、在來稻兩種。若以成熟的先後順序言，又可分早稻、晚稻兩種。為亞洲國家重要的糧食作物。
2.姓。如春秋時秦國有稻黃。 |</v>
      </c>
    </row>
    <row r="3724" spans="1:44" hidden="1">
      <c r="A3724" s="1" t="s">
        <v>4844</v>
      </c>
      <c r="C3724" s="1">
        <v>1</v>
      </c>
      <c r="D3724" s="1" t="str">
        <f>"01974"</f>
        <v>01974</v>
      </c>
      <c r="E3724" s="1" t="s">
        <v>77</v>
      </c>
      <c r="F3724" s="1">
        <v>17</v>
      </c>
      <c r="G3724" s="1">
        <v>10</v>
      </c>
      <c r="H3724" s="1">
        <v>0</v>
      </c>
      <c r="I3724" s="1" t="s">
        <v>4827</v>
      </c>
      <c r="K3724" s="1" t="str">
        <f t="shared" si="233"/>
        <v>ㄉ</v>
      </c>
      <c r="L3724" s="1" t="str">
        <f t="shared" si="234"/>
        <v>ㄠ</v>
      </c>
      <c r="N3724" s="3" t="s">
        <v>30574</v>
      </c>
      <c r="O3724" s="3"/>
      <c r="P3724" s="1" t="s">
        <v>20</v>
      </c>
      <c r="R3724" s="1" t="s">
        <v>4828</v>
      </c>
      <c r="V3724" s="1" t="s">
        <v>4845</v>
      </c>
      <c r="AR3724" s="1" t="str">
        <f t="shared" si="235"/>
        <v>| [ㄉㄠˋ](ㄉㄠˋ.md) | [蹈](蹈.md) |  | dào | [動]
1.踩踏、踐踏。如：「赴湯蹈火」、「重蹈覆轍」。《書經．君牙》：「心之憂危，若蹈虎尾，涉于春冰。」
2.頓腳、跳動。如：「手舞足蹈」。唐．李商隱〈韓碑〉詩：「愈拜稽首蹈且舞，金石刻畫臣能為。」
3.投身、投入。《史記．卷八三．魯仲連鄒陽傳》：「彼即肆然而為帝，過而為政於天下，則連有蹈東海而死耳，吾不忍為之民也。」
4.遵循、實踐、履行。如：「循規蹈矩」。《穀梁傳．隱公元年》：「若隱者可謂輕千乘之國，蹈道則未也。」唐．韓愈〈爭臣論〉：「夫不以所居之時不一，而所蹈之德不同也。」 |</v>
      </c>
    </row>
    <row r="3725" spans="1:44" hidden="1">
      <c r="A3725" s="1" t="s">
        <v>4846</v>
      </c>
      <c r="C3725" s="1">
        <v>1</v>
      </c>
      <c r="D3725" s="1" t="str">
        <f>"01975"</f>
        <v>01975</v>
      </c>
      <c r="E3725" s="1" t="s">
        <v>222</v>
      </c>
      <c r="F3725" s="1">
        <v>17</v>
      </c>
      <c r="G3725" s="1">
        <v>14</v>
      </c>
      <c r="H3725" s="1">
        <v>1</v>
      </c>
      <c r="I3725" s="1" t="s">
        <v>4827</v>
      </c>
      <c r="K3725" s="1" t="str">
        <f t="shared" si="233"/>
        <v>ㄉ</v>
      </c>
      <c r="L3725" s="1" t="str">
        <f t="shared" si="234"/>
        <v>ㄠ</v>
      </c>
      <c r="N3725" s="3" t="s">
        <v>30574</v>
      </c>
      <c r="O3725" s="3"/>
      <c r="P3725" s="1" t="s">
        <v>20</v>
      </c>
      <c r="R3725" s="1" t="s">
        <v>4828</v>
      </c>
      <c r="V3725" s="1" t="s">
        <v>4847</v>
      </c>
      <c r="W3725" s="1" t="s">
        <v>4848</v>
      </c>
      <c r="AR3725" s="1" t="str">
        <f t="shared" si="235"/>
        <v>| [ㄉㄠˋ](ㄉㄠˋ.md) | [幬](幬.md) |  | dào | [動]
覆蓋。《左傳．襄公二十九年》：「德至矣哉！大矣！如天之無不幬也，如地之無不載也。」 |</v>
      </c>
    </row>
    <row r="3726" spans="1:44" hidden="1">
      <c r="A3726" s="1" t="s">
        <v>4849</v>
      </c>
      <c r="C3726" s="1">
        <v>1</v>
      </c>
      <c r="D3726" s="1" t="str">
        <f>"01976"</f>
        <v>01976</v>
      </c>
      <c r="E3726" s="1" t="s">
        <v>336</v>
      </c>
      <c r="F3726" s="1">
        <v>18</v>
      </c>
      <c r="G3726" s="1">
        <v>14</v>
      </c>
      <c r="H3726" s="1">
        <v>2</v>
      </c>
      <c r="I3726" s="1" t="s">
        <v>4827</v>
      </c>
      <c r="K3726" s="1" t="str">
        <f t="shared" si="233"/>
        <v>ㄉ</v>
      </c>
      <c r="L3726" s="1" t="str">
        <f t="shared" si="234"/>
        <v>ㄠ</v>
      </c>
      <c r="N3726" s="3" t="s">
        <v>30574</v>
      </c>
      <c r="O3726" s="3"/>
      <c r="P3726" s="1" t="s">
        <v>110</v>
      </c>
      <c r="R3726" s="1" t="s">
        <v>4828</v>
      </c>
      <c r="V3726" s="1" t="s">
        <v>111</v>
      </c>
      <c r="W3726" s="1" t="s">
        <v>4850</v>
      </c>
      <c r="AR3726" s="1" t="str">
        <f t="shared" si="235"/>
        <v>| [ㄉㄠˋ](ㄉㄠˋ.md) | [燾](燾.md) |  | dào | (一)之又音。 |</v>
      </c>
    </row>
    <row r="3727" spans="1:44" hidden="1">
      <c r="A3727" s="1" t="s">
        <v>4851</v>
      </c>
      <c r="C3727" s="1">
        <v>1</v>
      </c>
      <c r="D3727" s="1" t="str">
        <f>"01977"</f>
        <v>01977</v>
      </c>
      <c r="E3727" s="1" t="s">
        <v>2271</v>
      </c>
      <c r="F3727" s="1">
        <v>20</v>
      </c>
      <c r="G3727" s="1">
        <v>14</v>
      </c>
      <c r="H3727" s="1">
        <v>1</v>
      </c>
      <c r="I3727" s="1" t="s">
        <v>4827</v>
      </c>
      <c r="K3727" s="1" t="str">
        <f t="shared" si="233"/>
        <v>ㄉ</v>
      </c>
      <c r="L3727" s="1" t="str">
        <f t="shared" si="234"/>
        <v>ㄠ</v>
      </c>
      <c r="N3727" s="3" t="s">
        <v>30574</v>
      </c>
      <c r="O3727" s="3"/>
      <c r="P3727" s="1" t="s">
        <v>20</v>
      </c>
      <c r="R3727" s="1" t="s">
        <v>4828</v>
      </c>
      <c r="V3727" s="1" t="s">
        <v>4852</v>
      </c>
      <c r="W3727" s="1" t="s">
        <v>4853</v>
      </c>
      <c r="AR3727" s="1" t="str">
        <f t="shared" si="235"/>
        <v>| [ㄉㄠˋ](ㄉㄠˋ.md) | [翿](翿.md) |  | dào | [名]
古時舞者所持的羽扇。《詩經．王風．君子揚揚》：「君子陶陶，左執翿，右招我由敖。」 |</v>
      </c>
    </row>
    <row r="3728" spans="1:44" hidden="1">
      <c r="A3728" s="1" t="s">
        <v>4854</v>
      </c>
      <c r="C3728" s="1">
        <v>1</v>
      </c>
      <c r="D3728" s="1" t="str">
        <f>"01978"</f>
        <v>01978</v>
      </c>
      <c r="E3728" s="1" t="s">
        <v>725</v>
      </c>
      <c r="F3728" s="1">
        <v>24</v>
      </c>
      <c r="G3728" s="1">
        <v>18</v>
      </c>
      <c r="H3728" s="1">
        <v>1</v>
      </c>
      <c r="I3728" s="1" t="s">
        <v>4827</v>
      </c>
      <c r="K3728" s="1" t="str">
        <f t="shared" si="233"/>
        <v>ㄉ</v>
      </c>
      <c r="L3728" s="1" t="str">
        <f t="shared" si="234"/>
        <v>ㄠ</v>
      </c>
      <c r="N3728" s="3" t="s">
        <v>30574</v>
      </c>
      <c r="O3728" s="3"/>
      <c r="P3728" s="1" t="s">
        <v>20</v>
      </c>
      <c r="R3728" s="1" t="s">
        <v>4828</v>
      </c>
      <c r="V3728" s="1" t="s">
        <v>4855</v>
      </c>
      <c r="W3728" s="1" t="s">
        <v>4856</v>
      </c>
      <c r="AR3728" s="1" t="str">
        <f t="shared" si="235"/>
        <v>| [ㄉㄠˋ](ㄉㄠˋ.md) | [纛](纛.md) |  | dào | [名]_x000D_
1.以氂牛尾或雉尾為裝飾的大旗，古時多用在喪葬大事及顯貴人家。《周禮．地官司徒．鄉師》：「及葬，執纛以與匠師御柩而治役。」_x000D_
2.舞者所持的羽毛。《爾雅．釋言》：「纛，翳也。」邢昺疏引孫炎曰：「纛，舞者所持羽也。」_x000D_
3.軍中的大旗。《周書．卷一七．列傳．劉亮》：「亮乃將二十騎，先豎纛於近城高嶺，即馳入城中。」 |</v>
      </c>
    </row>
    <row r="3729" spans="1:44" hidden="1">
      <c r="A3729" s="1" t="s">
        <v>4806</v>
      </c>
      <c r="C3729" s="1">
        <v>1</v>
      </c>
      <c r="D3729" s="1" t="str">
        <f>"01959"</f>
        <v>01959</v>
      </c>
      <c r="E3729" s="1" t="s">
        <v>24</v>
      </c>
      <c r="F3729" s="1">
        <v>11</v>
      </c>
      <c r="G3729" s="1">
        <v>8</v>
      </c>
      <c r="H3729" s="1">
        <v>0</v>
      </c>
      <c r="I3729" s="1" t="s">
        <v>4807</v>
      </c>
      <c r="K3729" s="1" t="str">
        <f t="shared" si="233"/>
        <v>ㄉ</v>
      </c>
      <c r="L3729" s="1" t="str">
        <f t="shared" si="234"/>
        <v>ㄠ</v>
      </c>
      <c r="N3729" s="3" t="s">
        <v>30575</v>
      </c>
      <c r="O3729" s="3"/>
      <c r="P3729" s="1" t="s">
        <v>20</v>
      </c>
      <c r="R3729" s="1" t="s">
        <v>4808</v>
      </c>
      <c r="V3729" s="1" t="s">
        <v>4809</v>
      </c>
      <c r="AR3729" s="1" t="str">
        <f t="shared" si="235"/>
        <v>| [ㄉㄠˊ](ㄉㄠˊ.md) | [捯](捯.md) |  | dáo | [動]
1.方言。指兩手交替將繩線拉回或繞好。如：「捯線」。
2.方言。指尋究線索。如：「這案子已捯出點頭緒來了。」 |</v>
      </c>
    </row>
    <row r="3730" spans="1:44" hidden="1">
      <c r="A3730" s="1" t="s">
        <v>4810</v>
      </c>
      <c r="C3730" s="1">
        <v>1</v>
      </c>
      <c r="D3730" s="1" t="str">
        <f>"01960"</f>
        <v>01960</v>
      </c>
      <c r="E3730" s="1" t="s">
        <v>114</v>
      </c>
      <c r="F3730" s="1">
        <v>10</v>
      </c>
      <c r="G3730" s="1">
        <v>8</v>
      </c>
      <c r="H3730" s="1">
        <v>1</v>
      </c>
      <c r="I3730" s="1" t="s">
        <v>4811</v>
      </c>
      <c r="K3730" s="1" t="str">
        <f t="shared" si="233"/>
        <v>ㄉ</v>
      </c>
      <c r="L3730" s="1" t="str">
        <f t="shared" si="234"/>
        <v>ㄠ</v>
      </c>
      <c r="N3730" s="3" t="s">
        <v>30576</v>
      </c>
      <c r="O3730" s="3"/>
      <c r="P3730" s="1" t="s">
        <v>20</v>
      </c>
      <c r="R3730" s="1" t="s">
        <v>4812</v>
      </c>
      <c r="V3730" s="1" t="s">
        <v>4813</v>
      </c>
      <c r="W3730" s="1" t="s">
        <v>4814</v>
      </c>
      <c r="AR3730" s="1" t="str">
        <f t="shared" si="235"/>
        <v>| [ㄉㄠˇ](ㄉㄠˇ.md) | [倒](倒.md) |  | dǎo | [動]
1.人或豎立的物體因本身或外來因素而橫躺下來。如：「跌倒」、「摔倒」、「臥倒」、「大水沖倒龍王廟」。《文選．司馬相如．上林賦》：「弓不虛發，應聲而倒。」
2.垮臺、失敗。如：「倒閉」、「倒臺」。《三國志．魏書．卷九．曹爽傳》「夷三族」句下裴松之注引魏略：「卿用讀書何為耶！於今日卿等門戶倒矣！」《二十年目睹之怪現狀》第一〇八回：「我們的生意，已經倒了。」
3.聲音沙啞。如：「聽說那位名演員近日嗓子倒了，正在休息當中。」
4.北平方言：(1)指商家把整批貨物或全部店裡的物品頂讓給別人。如：「將鋪子倒出去。」《儒林外史》第五二回：「我東頭街上談家當鋪折了本，要倒與人。現在有半樓貨，值得一千六百兩。」(2)指轉移、更換、對調。如：「倒手」、「兩張桌子對倒一下。」 |</v>
      </c>
    </row>
    <row r="3731" spans="1:44" hidden="1">
      <c r="A3731" s="1" t="s">
        <v>4815</v>
      </c>
      <c r="C3731" s="1">
        <v>1</v>
      </c>
      <c r="D3731" s="1" t="str">
        <f>"01961"</f>
        <v>01961</v>
      </c>
      <c r="E3731" s="1" t="s">
        <v>190</v>
      </c>
      <c r="F3731" s="1">
        <v>10</v>
      </c>
      <c r="G3731" s="1">
        <v>7</v>
      </c>
      <c r="H3731" s="1">
        <v>0</v>
      </c>
      <c r="I3731" s="1" t="s">
        <v>4811</v>
      </c>
      <c r="K3731" s="1" t="str">
        <f t="shared" si="233"/>
        <v>ㄉ</v>
      </c>
      <c r="L3731" s="1" t="str">
        <f t="shared" si="234"/>
        <v>ㄠ</v>
      </c>
      <c r="N3731" s="3" t="s">
        <v>30576</v>
      </c>
      <c r="O3731" s="3"/>
      <c r="P3731" s="1" t="s">
        <v>20</v>
      </c>
      <c r="R3731" s="1" t="s">
        <v>4812</v>
      </c>
      <c r="V3731" s="1" t="s">
        <v>4816</v>
      </c>
      <c r="AR3731" s="1" t="str">
        <f t="shared" si="235"/>
        <v>| [ㄉㄠˇ](ㄉㄠˇ.md) | [島](島.md) |  | dǎo | [名]
海中或湖中被水圍繞的小陸地。《史記．卷九四．田儋傳》：「田橫懼誅，而與其徒屬五百餘人入海，居島中。」 |</v>
      </c>
    </row>
    <row r="3732" spans="1:44" hidden="1">
      <c r="A3732" s="1" t="s">
        <v>4817</v>
      </c>
      <c r="C3732" s="1">
        <v>1</v>
      </c>
      <c r="D3732" s="1" t="str">
        <f>"01962"</f>
        <v>01962</v>
      </c>
      <c r="E3732" s="1" t="s">
        <v>24</v>
      </c>
      <c r="F3732" s="1">
        <v>13</v>
      </c>
      <c r="G3732" s="1">
        <v>10</v>
      </c>
      <c r="H3732" s="1">
        <v>0</v>
      </c>
      <c r="I3732" s="1" t="s">
        <v>4811</v>
      </c>
      <c r="K3732" s="1" t="str">
        <f t="shared" si="233"/>
        <v>ㄉ</v>
      </c>
      <c r="L3732" s="1" t="str">
        <f t="shared" si="234"/>
        <v>ㄠ</v>
      </c>
      <c r="N3732" s="3" t="s">
        <v>30576</v>
      </c>
      <c r="O3732" s="3"/>
      <c r="P3732" s="1" t="s">
        <v>20</v>
      </c>
      <c r="R3732" s="1" t="s">
        <v>4812</v>
      </c>
      <c r="V3732" s="1" t="s">
        <v>4818</v>
      </c>
      <c r="AR3732" s="1" t="str">
        <f t="shared" si="235"/>
        <v>| [ㄉㄠˇ](ㄉㄠˇ.md) | [搗](搗.md) |  | dǎo | [動]
1.撞擊。如：「搗米」、「搗藥」、「叩頭如搗蒜」。
2.捶打。如：「搗衣」。
3.攻擊、攻打。如：「直搗敵人的巢穴」。
4.擾亂、攪亂。如：「搗亂」、「搗鬼」、「搗麻煩」。
5.損毀、破壞。《西遊記》第二五回：「我把你這猢猴！怎麼弄手段搗了我的灶。」 |</v>
      </c>
    </row>
    <row r="3733" spans="1:44" hidden="1">
      <c r="A3733" s="1" t="s">
        <v>4819</v>
      </c>
      <c r="C3733" s="1">
        <v>1</v>
      </c>
      <c r="D3733" s="1" t="str">
        <f>"01963"</f>
        <v>01963</v>
      </c>
      <c r="E3733" s="1" t="s">
        <v>1595</v>
      </c>
      <c r="F3733" s="1">
        <v>16</v>
      </c>
      <c r="G3733" s="1">
        <v>13</v>
      </c>
      <c r="H3733" s="1">
        <v>1</v>
      </c>
      <c r="I3733" s="1" t="s">
        <v>4811</v>
      </c>
      <c r="K3733" s="1" t="str">
        <f t="shared" si="233"/>
        <v>ㄉ</v>
      </c>
      <c r="L3733" s="1" t="str">
        <f t="shared" si="234"/>
        <v>ㄠ</v>
      </c>
      <c r="N3733" s="3" t="s">
        <v>30576</v>
      </c>
      <c r="O3733" s="3"/>
      <c r="P3733" s="1" t="s">
        <v>388</v>
      </c>
      <c r="R3733" s="1" t="s">
        <v>4812</v>
      </c>
      <c r="V3733" s="1" t="s">
        <v>4820</v>
      </c>
      <c r="W3733" s="1" t="s">
        <v>4821</v>
      </c>
      <c r="AR3733" s="1" t="str">
        <f t="shared" si="235"/>
        <v>| [ㄉㄠˇ](ㄉㄠˇ.md) | [導](導.md) |  | dǎo | [動]
1.帶領、指引。如：「疏導」、「引導」、「導航」。《國語．周語上》：「是故為川者，決之使導；為民者，宣之使言。」
2.教育、啟發。如：「指導」、「開導」、「勸導」。《孟子．盡心上》：「西伯善養老者，制其田里，教之樹畜，導其妻子，使養其老。」《國語．晉語二》：「夫長國者唯知哀樂喜怒之節，是以導民。」
3.傳送。如：「導電」、「導熱」、「傳導」。 |</v>
      </c>
    </row>
    <row r="3734" spans="1:44" hidden="1">
      <c r="A3734" s="1" t="s">
        <v>4822</v>
      </c>
      <c r="C3734" s="1">
        <v>1</v>
      </c>
      <c r="D3734" s="1" t="str">
        <f>"01964"</f>
        <v>01964</v>
      </c>
      <c r="E3734" s="1" t="s">
        <v>24</v>
      </c>
      <c r="F3734" s="1">
        <v>17</v>
      </c>
      <c r="G3734" s="1">
        <v>14</v>
      </c>
      <c r="H3734" s="1">
        <v>0</v>
      </c>
      <c r="I3734" s="1" t="s">
        <v>4811</v>
      </c>
      <c r="K3734" s="1" t="str">
        <f t="shared" si="233"/>
        <v>ㄉ</v>
      </c>
      <c r="L3734" s="1" t="str">
        <f t="shared" si="234"/>
        <v>ㄠ</v>
      </c>
      <c r="N3734" s="3" t="s">
        <v>30576</v>
      </c>
      <c r="O3734" s="3"/>
      <c r="P3734" s="1" t="s">
        <v>20</v>
      </c>
      <c r="R3734" s="1" t="s">
        <v>4812</v>
      </c>
      <c r="V3734" s="1" t="s">
        <v>4823</v>
      </c>
      <c r="AR3734" s="1" t="str">
        <f t="shared" si="235"/>
        <v>| [ㄉㄠˇ](ㄉㄠˇ.md) | [擣](擣.md) |  | dǎo | [動]
1.舂、撞擊。如：「擣米」、「擣藥」。
2.搥擊。唐．韓愈〈春雪〉詩：「城險疑懸布，砧寒未擣綃。」
3.攻破。《史記．卷六五．孫子吳起傳》：「批亢擣虛，形格勢禁，則自為解耳。」 |</v>
      </c>
    </row>
    <row r="3735" spans="1:44" hidden="1">
      <c r="A3735" s="1" t="s">
        <v>4824</v>
      </c>
      <c r="C3735" s="1">
        <v>1</v>
      </c>
      <c r="D3735" s="1" t="str">
        <f>"01965"</f>
        <v>01965</v>
      </c>
      <c r="E3735" s="1" t="s">
        <v>825</v>
      </c>
      <c r="F3735" s="1">
        <v>19</v>
      </c>
      <c r="G3735" s="1">
        <v>14</v>
      </c>
      <c r="H3735" s="1">
        <v>0</v>
      </c>
      <c r="I3735" s="1" t="s">
        <v>4811</v>
      </c>
      <c r="K3735" s="1" t="str">
        <f t="shared" si="233"/>
        <v>ㄉ</v>
      </c>
      <c r="L3735" s="1" t="str">
        <f t="shared" si="234"/>
        <v>ㄠ</v>
      </c>
      <c r="N3735" s="3" t="s">
        <v>30576</v>
      </c>
      <c r="O3735" s="3"/>
      <c r="P3735" s="1" t="s">
        <v>20</v>
      </c>
      <c r="R3735" s="1" t="s">
        <v>4812</v>
      </c>
      <c r="V3735" s="1" t="s">
        <v>4825</v>
      </c>
      <c r="AR3735" s="1" t="str">
        <f t="shared" si="235"/>
        <v>| [ㄉㄠˇ](ㄉㄠˇ.md) | [禱](禱.md) |  | dǎo | [動]
1.祭神而有所求。如：「禱告」、「祈禱」。《史記．卷四七．孔子世家》：「紇與顏氏女野合而生孔子，禱於尼丘得孔子。」唐．柳宗元〈太白山祠堂碑〉：「故歲水旱則禱之，寒暑乖候則禱之，厲疾祟降則禱之。」
2.請求。《董西廂》卷三：「昨日亂軍至寺，夫人禱我退賊之策。」
3.書信中的敬詞。表盼望和請求。如：「盼禱」、「為禱」。《儒林外史》第二二回：「明幸駕少留片刻，以便趨教。至禱！至禱！」 |</v>
      </c>
    </row>
    <row r="3736" spans="1:44" hidden="1">
      <c r="A3736" s="1" t="s">
        <v>4879</v>
      </c>
      <c r="C3736" s="1">
        <v>1</v>
      </c>
      <c r="D3736" s="1" t="str">
        <f>"01987"</f>
        <v>01987</v>
      </c>
      <c r="E3736" s="1" t="s">
        <v>4293</v>
      </c>
      <c r="F3736" s="1">
        <v>7</v>
      </c>
      <c r="G3736" s="1">
        <v>0</v>
      </c>
      <c r="H3736" s="1">
        <v>0</v>
      </c>
      <c r="I3736" s="1" t="s">
        <v>4880</v>
      </c>
      <c r="K3736" s="1" t="str">
        <f t="shared" si="233"/>
        <v>ㄉ</v>
      </c>
      <c r="L3736" s="1" t="str">
        <f t="shared" si="234"/>
        <v>ㄡ</v>
      </c>
      <c r="N3736" s="3" t="s">
        <v>30574</v>
      </c>
      <c r="O3736" s="3"/>
      <c r="P3736" s="1" t="s">
        <v>20</v>
      </c>
      <c r="R3736" s="1" t="s">
        <v>4881</v>
      </c>
      <c r="V3736" s="1" t="s">
        <v>4882</v>
      </c>
      <c r="AR3736" s="1" t="str">
        <f t="shared" si="235"/>
        <v>| [ㄉㄡˋ](ㄉㄡˋ.md) | [豆](豆.md) |  | dòu | [名]
1.古代盛食品的器皿。器淺似盤，圈足，多數有蓋。盛行於商周時期，後亦作為禮器。《說文解字．豆部》：「豆，古食肉器也。」《詩經．大雅．生民》：「卬盛于豆，于豆于登。」漢．鄭玄．箋：「祀天用瓦豆，陶器質也。」
2.雙子葉植物豆科的泛稱。草本、木本均有。葉多複葉，間或為單葉，互生，通常具托葉。花為蝶形，或兩側對稱，有些為輻射對稱。果為莢果，種子無胚乳，間或含少量胚乳。約一萬六千種，產世界各地。用途極廣，供食用、藥用或觀賞等。
3.姓。如漢代有豆如意，清代有豆文武。
4.二一四部首之一。 |</v>
      </c>
    </row>
    <row r="3737" spans="1:44" hidden="1">
      <c r="A3737" s="1" t="s">
        <v>4883</v>
      </c>
      <c r="C3737" s="1">
        <v>1</v>
      </c>
      <c r="D3737" s="1" t="str">
        <f>"01988"</f>
        <v>01988</v>
      </c>
      <c r="E3737" s="1" t="s">
        <v>558</v>
      </c>
      <c r="F3737" s="1">
        <v>11</v>
      </c>
      <c r="G3737" s="1">
        <v>7</v>
      </c>
      <c r="H3737" s="1">
        <v>0</v>
      </c>
      <c r="I3737" s="1" t="s">
        <v>4880</v>
      </c>
      <c r="K3737" s="1" t="str">
        <f t="shared" si="233"/>
        <v>ㄉ</v>
      </c>
      <c r="L3737" s="1" t="str">
        <f t="shared" si="234"/>
        <v>ㄡ</v>
      </c>
      <c r="N3737" s="3" t="s">
        <v>30574</v>
      </c>
      <c r="O3737" s="3"/>
      <c r="P3737" s="1" t="s">
        <v>20</v>
      </c>
      <c r="R3737" s="1" t="s">
        <v>4881</v>
      </c>
      <c r="V3737" s="1" t="s">
        <v>4884</v>
      </c>
      <c r="AR3737" s="1" t="str">
        <f t="shared" si="235"/>
        <v>| [ㄉㄡˋ](ㄉㄡˋ.md) | [逗](逗.md) |  | dòu | [動]
1.停止不前。如：「逗留」。《文選．張衡．思玄賦》：「亂弱水之潺湲兮，逗華陰之湍渚。」
2.惹、引弄。如：「娃娃被逗得笑了起來。」、「這娃兒很逗人憐愛。」
[名]
句讀。如：「逗點」、「逗號」。 |</v>
      </c>
    </row>
    <row r="3738" spans="1:44" hidden="1">
      <c r="A3738" s="1" t="s">
        <v>4885</v>
      </c>
      <c r="C3738" s="1">
        <v>1</v>
      </c>
      <c r="D3738" s="1" t="str">
        <f>"01989"</f>
        <v>01989</v>
      </c>
      <c r="E3738" s="1" t="s">
        <v>37</v>
      </c>
      <c r="F3738" s="1">
        <v>11</v>
      </c>
      <c r="G3738" s="1">
        <v>7</v>
      </c>
      <c r="H3738" s="1">
        <v>0</v>
      </c>
      <c r="I3738" s="1" t="s">
        <v>4880</v>
      </c>
      <c r="K3738" s="1" t="str">
        <f t="shared" si="233"/>
        <v>ㄉ</v>
      </c>
      <c r="L3738" s="1" t="str">
        <f t="shared" si="234"/>
        <v>ㄡ</v>
      </c>
      <c r="N3738" s="3" t="s">
        <v>30574</v>
      </c>
      <c r="O3738" s="3"/>
      <c r="P3738" s="1" t="s">
        <v>20</v>
      </c>
      <c r="R3738" s="1" t="s">
        <v>4881</v>
      </c>
      <c r="V3738" s="1" t="s">
        <v>4886</v>
      </c>
      <c r="AR3738" s="1" t="str">
        <f t="shared" si="235"/>
        <v>| [ㄉㄡˋ](ㄉㄡˋ.md) | [荳](荳.md) |  | dòu | [名]
雙子葉植物的一科。種類甚多，實皆結莢。同「豆」。 |</v>
      </c>
    </row>
    <row r="3739" spans="1:44" hidden="1">
      <c r="A3739" s="1" t="s">
        <v>4887</v>
      </c>
      <c r="C3739" s="1">
        <v>1</v>
      </c>
      <c r="D3739" s="1" t="str">
        <f>"01990"</f>
        <v>01990</v>
      </c>
      <c r="E3739" s="1" t="s">
        <v>68</v>
      </c>
      <c r="F3739" s="1">
        <v>11</v>
      </c>
      <c r="G3739" s="1">
        <v>7</v>
      </c>
      <c r="H3739" s="1">
        <v>0</v>
      </c>
      <c r="I3739" s="1" t="s">
        <v>4880</v>
      </c>
      <c r="K3739" s="1" t="str">
        <f t="shared" si="233"/>
        <v>ㄉ</v>
      </c>
      <c r="L3739" s="1" t="str">
        <f t="shared" si="234"/>
        <v>ㄡ</v>
      </c>
      <c r="N3739" s="3" t="s">
        <v>30574</v>
      </c>
      <c r="O3739" s="3"/>
      <c r="P3739" s="1" t="s">
        <v>20</v>
      </c>
      <c r="R3739" s="1" t="s">
        <v>4881</v>
      </c>
      <c r="V3739" s="1" t="s">
        <v>4888</v>
      </c>
      <c r="AR3739" s="1" t="str">
        <f t="shared" si="235"/>
        <v>| [ㄉㄡˋ](ㄉㄡˋ.md) | [脰](脰.md) |  | dòu | [名]
頸項、脖子。《公羊傳．莊公十二年》：「萬怒，搏閔公，絕其脰。」 |</v>
      </c>
    </row>
    <row r="3740" spans="1:44" hidden="1">
      <c r="A3740" s="1" t="s">
        <v>4889</v>
      </c>
      <c r="C3740" s="1">
        <v>1</v>
      </c>
      <c r="D3740" s="1" t="str">
        <f>"01991"</f>
        <v>01991</v>
      </c>
      <c r="E3740" s="1" t="s">
        <v>40</v>
      </c>
      <c r="F3740" s="1">
        <v>12</v>
      </c>
      <c r="G3740" s="1">
        <v>7</v>
      </c>
      <c r="H3740" s="1">
        <v>0</v>
      </c>
      <c r="I3740" s="1" t="s">
        <v>4880</v>
      </c>
      <c r="K3740" s="1" t="str">
        <f t="shared" si="233"/>
        <v>ㄉ</v>
      </c>
      <c r="L3740" s="1" t="str">
        <f t="shared" si="234"/>
        <v>ㄡ</v>
      </c>
      <c r="N3740" s="3" t="s">
        <v>30574</v>
      </c>
      <c r="O3740" s="3"/>
      <c r="P3740" s="1" t="s">
        <v>20</v>
      </c>
      <c r="R3740" s="1" t="s">
        <v>4881</v>
      </c>
      <c r="V3740" s="1" t="s">
        <v>4890</v>
      </c>
      <c r="AR3740" s="1" t="str">
        <f t="shared" si="235"/>
        <v>| [ㄉㄡˋ](ㄉㄡˋ.md) | [痘](痘.md) |  | dòu | [名]
1.皮膚上因病所生的豆狀膿疱。如：「痘瘡」、「水痘」。
2.青春期因皮脂分泌旺盛，導致皮脂腺阻塞而在皮膚上所形成的丘疹。如：「青春痘」。 |</v>
      </c>
    </row>
    <row r="3741" spans="1:44" hidden="1">
      <c r="A3741" s="1" t="s">
        <v>4891</v>
      </c>
      <c r="C3741" s="1">
        <v>1</v>
      </c>
      <c r="D3741" s="1" t="str">
        <f>"01992"</f>
        <v>01992</v>
      </c>
      <c r="E3741" s="1" t="s">
        <v>193</v>
      </c>
      <c r="F3741" s="1">
        <v>15</v>
      </c>
      <c r="G3741" s="1">
        <v>7</v>
      </c>
      <c r="H3741" s="1">
        <v>0</v>
      </c>
      <c r="I3741" s="1" t="s">
        <v>4880</v>
      </c>
      <c r="K3741" s="1" t="str">
        <f t="shared" si="233"/>
        <v>ㄉ</v>
      </c>
      <c r="L3741" s="1" t="str">
        <f t="shared" si="234"/>
        <v>ㄡ</v>
      </c>
      <c r="N3741" s="3" t="s">
        <v>30574</v>
      </c>
      <c r="O3741" s="3"/>
      <c r="P3741" s="1" t="s">
        <v>20</v>
      </c>
      <c r="R3741" s="1" t="s">
        <v>4881</v>
      </c>
      <c r="V3741" s="1" t="s">
        <v>4892</v>
      </c>
      <c r="AR3741" s="1" t="str">
        <f t="shared" si="235"/>
        <v>| [ㄉㄡˋ](ㄉㄡˋ.md) | [餖](餖.md) |  | dòu | 參見「餖飣」條。 |</v>
      </c>
    </row>
    <row r="3742" spans="1:44" hidden="1">
      <c r="A3742" s="1" t="s">
        <v>4893</v>
      </c>
      <c r="C3742" s="1">
        <v>1</v>
      </c>
      <c r="D3742" s="1" t="str">
        <f>"01993"</f>
        <v>01993</v>
      </c>
      <c r="E3742" s="1" t="s">
        <v>4894</v>
      </c>
      <c r="F3742" s="1">
        <v>10</v>
      </c>
      <c r="G3742" s="1">
        <v>0</v>
      </c>
      <c r="H3742" s="1">
        <v>0</v>
      </c>
      <c r="I3742" s="1" t="s">
        <v>4880</v>
      </c>
      <c r="K3742" s="1" t="str">
        <f t="shared" si="233"/>
        <v>ㄉ</v>
      </c>
      <c r="L3742" s="1" t="str">
        <f t="shared" si="234"/>
        <v>ㄡ</v>
      </c>
      <c r="N3742" s="3" t="s">
        <v>30574</v>
      </c>
      <c r="O3742" s="3"/>
      <c r="P3742" s="1" t="s">
        <v>20</v>
      </c>
      <c r="R3742" s="1" t="s">
        <v>4881</v>
      </c>
      <c r="V3742" s="1" t="s">
        <v>4895</v>
      </c>
      <c r="AR3742" s="1" t="str">
        <f t="shared" si="235"/>
        <v>| [ㄉㄡˋ](ㄉㄡˋ.md) | [鬥](鬥.md) |  | dòu | [動]
1.相爭。如：「械鬥」、「明爭暗鬥」。《論語．季氏》：「血氣方剛，戒之在鬥。」
2.使動物相鬥。如：「鬥狗」、「鬥雞」、「鬥蛐蛐兒」。
3.競賽、比賽。如：「鬥智」、「鬥棋」、「鬥法」。《喻世明言．卷二六．沈小官一鳥害七命》：「這畜生只除天上有，果係世間無，將他各處去鬥，俱鬥他不過，成百十貫贏得。」
4.拼湊、湊集。如：「把這些小碎布鬥成一個袋子。」《金瓶梅》第一回：「都鬥分子，來與武松人情。」《喻世明言．卷三．新橋市韓五賣春情》：「我們鬥分銀子，與你作賀。」
5.惹、引弄。通「逗」。元．馬致遠《漢宮秋》第一折：「休煩惱吾當且是耍，鬥卿來便當真假。」
[名]
1.姓。如黃帝時有鬥苞，春秋時楚國有鬥伯比。
2.二一四部首之一。 |</v>
      </c>
    </row>
    <row r="3743" spans="1:44" hidden="1">
      <c r="A3743" s="1" t="s">
        <v>4896</v>
      </c>
      <c r="C3743" s="1">
        <v>1</v>
      </c>
      <c r="D3743" s="1" t="str">
        <f>"01994"</f>
        <v>01994</v>
      </c>
      <c r="E3743" s="1" t="s">
        <v>1274</v>
      </c>
      <c r="F3743" s="1">
        <v>20</v>
      </c>
      <c r="G3743" s="1">
        <v>15</v>
      </c>
      <c r="H3743" s="1">
        <v>0</v>
      </c>
      <c r="I3743" s="1" t="s">
        <v>4880</v>
      </c>
      <c r="K3743" s="1" t="str">
        <f t="shared" si="233"/>
        <v>ㄉ</v>
      </c>
      <c r="L3743" s="1" t="str">
        <f t="shared" si="234"/>
        <v>ㄡ</v>
      </c>
      <c r="N3743" s="3" t="s">
        <v>30574</v>
      </c>
      <c r="O3743" s="3"/>
      <c r="P3743" s="1" t="s">
        <v>20</v>
      </c>
      <c r="R3743" s="1" t="s">
        <v>4881</v>
      </c>
      <c r="V3743" s="1" t="s">
        <v>4897</v>
      </c>
      <c r="AR3743" s="1" t="str">
        <f t="shared" si="235"/>
        <v>| [ㄉㄡˋ](ㄉㄡˋ.md) | [竇](竇.md) |  | dòu | [名]
1.孔穴、縫隙。南朝宋．劉義慶《世說新語．排調》：「君口中何為開狗竇？」
2.人體內某些器官或組織內部的凹陷處。如：「鼻竇」。
3.姓。如漢代有竇嬰、竇憲。 |</v>
      </c>
    </row>
    <row r="3744" spans="1:44" hidden="1">
      <c r="A3744" s="1" t="s">
        <v>4898</v>
      </c>
      <c r="C3744" s="1">
        <v>1</v>
      </c>
      <c r="D3744" s="1" t="str">
        <f>"01995"</f>
        <v>01995</v>
      </c>
      <c r="E3744" s="1" t="s">
        <v>331</v>
      </c>
      <c r="F3744" s="1">
        <v>22</v>
      </c>
      <c r="G3744" s="1">
        <v>15</v>
      </c>
      <c r="H3744" s="1">
        <v>2</v>
      </c>
      <c r="I3744" s="1" t="s">
        <v>4880</v>
      </c>
      <c r="K3744" s="1" t="str">
        <f t="shared" si="233"/>
        <v>ㄉ</v>
      </c>
      <c r="L3744" s="1" t="str">
        <f t="shared" si="234"/>
        <v>ㄡ</v>
      </c>
      <c r="N3744" s="3" t="s">
        <v>30574</v>
      </c>
      <c r="O3744" s="3"/>
      <c r="P3744" s="1" t="s">
        <v>20</v>
      </c>
      <c r="R3744" s="1" t="s">
        <v>4881</v>
      </c>
      <c r="V3744" s="1" t="s">
        <v>4899</v>
      </c>
      <c r="W3744" s="1" t="s">
        <v>4900</v>
      </c>
      <c r="AR3744" s="1" t="str">
        <f t="shared" si="235"/>
        <v>| [ㄉㄡˋ](ㄉㄡˋ.md) | [讀](讀.md) |  | dòu | [名]
句中語意未完，讀時須停頓的地方。如：「句讀」。也作「逗」。 |</v>
      </c>
    </row>
    <row r="3745" spans="1:44" hidden="1">
      <c r="A3745" s="1" t="s">
        <v>4868</v>
      </c>
      <c r="C3745" s="1">
        <v>1</v>
      </c>
      <c r="D3745" s="1" t="str">
        <f>"01983"</f>
        <v>01983</v>
      </c>
      <c r="E3745" s="1" t="s">
        <v>4869</v>
      </c>
      <c r="F3745" s="1">
        <v>4</v>
      </c>
      <c r="G3745" s="1">
        <v>0</v>
      </c>
      <c r="H3745" s="1">
        <v>0</v>
      </c>
      <c r="I3745" s="1" t="s">
        <v>4870</v>
      </c>
      <c r="K3745" s="1" t="str">
        <f t="shared" si="233"/>
        <v>ㄉ</v>
      </c>
      <c r="L3745" s="1" t="str">
        <f t="shared" si="234"/>
        <v>ㄡ</v>
      </c>
      <c r="N3745" s="3" t="s">
        <v>30576</v>
      </c>
      <c r="O3745" s="3"/>
      <c r="P3745" s="1" t="s">
        <v>20</v>
      </c>
      <c r="R3745" s="1" t="s">
        <v>4871</v>
      </c>
      <c r="V3745" s="1" t="s">
        <v>4872</v>
      </c>
      <c r="AR3745" s="1" t="str">
        <f t="shared" si="235"/>
        <v>| [ㄉㄡˇ](ㄉㄡˇ.md) | [斗](斗.md) |  | dǒu | [名]
1.量詞。計算容量的單位。十升為一斗，十斗為一石。《漢書．卷二一．律曆志上》：「十升為斗……斗者，聚升之量也。」《紅樓夢》第四二回：「如今這一個裡頭裝了兩斗御田粳米。」
2.酒器。《詩經．大雅．行葦》：「酌以大斗。」《史記．卷七．項羽本紀》：「玉斗一雙，欲與亞父。」
3.形狀像斗的器具。如：「漏斗」、「熨斗」、「米斗」、「菸斗」。
4.星座名：(1)二十八星宿之一。北方玄武七宿的第一宿，有六顆星，通稱為「南斗」。(2)北斗七星。
5.圓形的指紋。參見「斗箕」、「斗紋」等條。
6.姓。如宋代有斗蓋。
7.二一四部首之一。
[形]
1.比喻小。如：「斗室」、「斗城」。
2.比喻大。南朝梁．簡文帝〈七勵〉：「至如牽鉤壯氣，斗膽豪心。」
3.險峻、陡峭。通「陡」。《史記．卷二八．封禪書》：「成山斗入海，最居齊東北隅，以迎日出云。」明．徐弘祖《徐霞客遊記．卷一下．閩遊日記》：「蓋是山四面斗削，惟一線為暗磴，百丈為明梯。」
[副]
驟然、突然。唐．韓愈〈答張十一功曹〉詩：「吟君詩罷看雙鬢，斗覺霜毛一半加。」 |</v>
      </c>
    </row>
    <row r="3746" spans="1:44" hidden="1">
      <c r="A3746" s="1" t="s">
        <v>4873</v>
      </c>
      <c r="C3746" s="1">
        <v>1</v>
      </c>
      <c r="D3746" s="1" t="str">
        <f>"01984"</f>
        <v>01984</v>
      </c>
      <c r="E3746" s="1" t="s">
        <v>24</v>
      </c>
      <c r="F3746" s="1">
        <v>7</v>
      </c>
      <c r="G3746" s="1">
        <v>4</v>
      </c>
      <c r="H3746" s="1">
        <v>0</v>
      </c>
      <c r="I3746" s="1" t="s">
        <v>4870</v>
      </c>
      <c r="K3746" s="1" t="str">
        <f t="shared" si="233"/>
        <v>ㄉ</v>
      </c>
      <c r="L3746" s="1" t="str">
        <f t="shared" si="234"/>
        <v>ㄡ</v>
      </c>
      <c r="N3746" s="3" t="s">
        <v>30576</v>
      </c>
      <c r="O3746" s="3"/>
      <c r="P3746" s="1" t="s">
        <v>20</v>
      </c>
      <c r="R3746" s="1" t="s">
        <v>4871</v>
      </c>
      <c r="V3746" s="1" t="s">
        <v>4874</v>
      </c>
      <c r="AR3746" s="1" t="str">
        <f t="shared" si="235"/>
        <v>| [ㄉㄡˇ](ㄉㄡˇ.md) | [抖](抖.md) |  | dǒu | [動]
1.顫動。如：「發抖」、「顫抖」。《兒女英雄傳》第一三回：「把個管獄的典史，登時嚇得渾身亂抖。」
2.振動。如：「抖落一身的灰塵。」《兒女英雄傳》第四回：「誰想那女子放下石頭，把手上、身上的土，拍了拍抖了抖。」
3.振奮、鼓起。參見「抖擻」條。
4.俗稱得志、得意為「抖」。多含諷刺的意味。如：「靠著逢迎拍馬的技倆，沒幾年他便抖起來了。」《紅樓夢》第六〇回：「你老把威風抖一抖，以後也好爭別的禮。」
5.揭穿。如：「事情抖開了，對大家都沒有好處。」 |</v>
      </c>
    </row>
    <row r="3747" spans="1:44" hidden="1">
      <c r="A3747" s="1" t="s">
        <v>4875</v>
      </c>
      <c r="C3747" s="1">
        <v>1</v>
      </c>
      <c r="D3747" s="1" t="str">
        <f>"01985"</f>
        <v>01985</v>
      </c>
      <c r="E3747" s="1" t="s">
        <v>679</v>
      </c>
      <c r="F3747" s="1">
        <v>10</v>
      </c>
      <c r="G3747" s="1">
        <v>4</v>
      </c>
      <c r="H3747" s="1">
        <v>0</v>
      </c>
      <c r="I3747" s="1" t="s">
        <v>4870</v>
      </c>
      <c r="K3747" s="1" t="str">
        <f t="shared" si="233"/>
        <v>ㄉ</v>
      </c>
      <c r="L3747" s="1" t="str">
        <f t="shared" si="234"/>
        <v>ㄡ</v>
      </c>
      <c r="N3747" s="3" t="s">
        <v>30576</v>
      </c>
      <c r="O3747" s="3"/>
      <c r="P3747" s="1" t="s">
        <v>20</v>
      </c>
      <c r="R3747" s="1" t="s">
        <v>4871</v>
      </c>
      <c r="V3747" s="1" t="s">
        <v>4876</v>
      </c>
      <c r="AR3747" s="1" t="str">
        <f t="shared" si="235"/>
        <v>| [ㄉㄡˇ](ㄉㄡˇ.md) | [蚪](蚪.md) |  | dǒu | 參見「蝌蚪」條。 |</v>
      </c>
    </row>
    <row r="3748" spans="1:44" hidden="1">
      <c r="A3748" s="1" t="s">
        <v>4877</v>
      </c>
      <c r="C3748" s="1">
        <v>1</v>
      </c>
      <c r="D3748" s="1" t="str">
        <f>"01986"</f>
        <v>01986</v>
      </c>
      <c r="E3748" s="1" t="s">
        <v>691</v>
      </c>
      <c r="F3748" s="1">
        <v>10</v>
      </c>
      <c r="G3748" s="1">
        <v>7</v>
      </c>
      <c r="H3748" s="1">
        <v>0</v>
      </c>
      <c r="I3748" s="1" t="s">
        <v>4870</v>
      </c>
      <c r="K3748" s="1" t="str">
        <f t="shared" si="233"/>
        <v>ㄉ</v>
      </c>
      <c r="L3748" s="1" t="str">
        <f t="shared" si="234"/>
        <v>ㄡ</v>
      </c>
      <c r="N3748" s="3" t="s">
        <v>30576</v>
      </c>
      <c r="O3748" s="3"/>
      <c r="P3748" s="1" t="s">
        <v>20</v>
      </c>
      <c r="R3748" s="1" t="s">
        <v>4871</v>
      </c>
      <c r="V3748" s="1" t="s">
        <v>4878</v>
      </c>
      <c r="AR3748" s="1" t="str">
        <f t="shared" si="235"/>
        <v>| [ㄉㄡˇ](ㄉㄡˇ.md) | [陡](陡.md) |  | dǒu | [形]_x000D_
1.坡度峻峭，近於垂直。如：「陡峭」、「又高又陡」。《老殘遊記》第八回：「一邊是陡山，一邊是深谷。」_x000D_
2.嚴密。宋．秦醇《譚意哥傳》：「陡帳垂絲，清風射牖，疏簾透月，銀鴨噴香。」_x000D_
[副]_x000D_
突然、驟然。如：「天氣陡變」。《紅樓夢》第九七回：「且說寶玉回來，舊病陡發，更加昏憒，連飲食也不能進了。」 |</v>
      </c>
    </row>
    <row r="3749" spans="1:44" hidden="1">
      <c r="A3749" s="1" t="s">
        <v>18874</v>
      </c>
      <c r="C3749" s="1">
        <v>1</v>
      </c>
      <c r="D3749" s="1" t="str">
        <f>"119060015"</f>
        <v>119060015</v>
      </c>
      <c r="E3749" s="1" t="s">
        <v>139</v>
      </c>
      <c r="F3749" s="1">
        <v>8</v>
      </c>
      <c r="G3749" s="1">
        <v>4</v>
      </c>
      <c r="H3749" s="1">
        <v>1</v>
      </c>
      <c r="I3749" s="1" t="s">
        <v>4870</v>
      </c>
      <c r="K3749" s="1" t="str">
        <f t="shared" si="233"/>
        <v>ㄉ</v>
      </c>
      <c r="L3749" s="1" t="str">
        <f t="shared" si="234"/>
        <v>ㄡ</v>
      </c>
      <c r="N3749" s="3" t="s">
        <v>30576</v>
      </c>
      <c r="O3749" s="3"/>
      <c r="P3749" s="1" t="s">
        <v>20</v>
      </c>
      <c r="R3749" s="1" t="s">
        <v>4871</v>
      </c>
      <c r="V3749" s="1" t="s">
        <v>30531</v>
      </c>
      <c r="W3749" s="1" t="s">
        <v>30532</v>
      </c>
      <c r="AR3749" s="1" t="str">
        <f t="shared" si="235"/>
        <v>| [ㄉㄡˇ](ㄉㄡˇ.md) | [枓](枓.md) |  | dǒu | [名]
柱上方木。 |</v>
      </c>
    </row>
    <row r="3750" spans="1:44" hidden="1">
      <c r="A3750" s="1" t="s">
        <v>4963</v>
      </c>
      <c r="C3750" s="1">
        <v>1</v>
      </c>
      <c r="D3750" s="1" t="str">
        <f>"02020"</f>
        <v>02020</v>
      </c>
      <c r="E3750" s="1" t="s">
        <v>169</v>
      </c>
      <c r="F3750" s="1">
        <v>5</v>
      </c>
      <c r="G3750" s="1">
        <v>0</v>
      </c>
      <c r="H3750" s="1">
        <v>2</v>
      </c>
      <c r="I3750" s="1" t="s">
        <v>4964</v>
      </c>
      <c r="K3750" s="1" t="str">
        <f t="shared" si="233"/>
        <v>ㄉ</v>
      </c>
      <c r="L3750" s="1" t="str">
        <f t="shared" si="234"/>
        <v>ㄢ</v>
      </c>
      <c r="N3750" s="3" t="s">
        <v>30574</v>
      </c>
      <c r="O3750" s="3"/>
      <c r="P3750" s="1" t="s">
        <v>20</v>
      </c>
      <c r="R3750" s="1" t="s">
        <v>4965</v>
      </c>
      <c r="V3750" s="1" t="s">
        <v>4966</v>
      </c>
      <c r="W3750" s="1" t="s">
        <v>4967</v>
      </c>
      <c r="AR3750" s="1" t="str">
        <f t="shared" si="235"/>
        <v>| [ㄉㄢˋ](ㄉㄢˋ.md) | [石](石.md) |  | dàn | [名]_x000D_
量詞：(1)計算容量的單位。公制一石等於十斗。也稱為「公石」。(2)古代計算重量的單位。漢．鼂錯〈論貴粟疏〉：「數石之重，中人弗勝，不為奸邪所利，一日弗得而飢寒至，是故明君貴五穀而賤金玉。」《戰國策．齊策四》：「大王據千乘之地，而建千石鍾，萬石虡。」 |</v>
      </c>
    </row>
    <row r="3751" spans="1:44" hidden="1">
      <c r="A3751" s="1" t="s">
        <v>4968</v>
      </c>
      <c r="C3751" s="1">
        <v>1</v>
      </c>
      <c r="D3751" s="1" t="str">
        <f>"02021"</f>
        <v>02021</v>
      </c>
      <c r="E3751" s="1" t="s">
        <v>646</v>
      </c>
      <c r="F3751" s="1">
        <v>5</v>
      </c>
      <c r="G3751" s="1">
        <v>1</v>
      </c>
      <c r="H3751" s="1">
        <v>0</v>
      </c>
      <c r="I3751" s="1" t="s">
        <v>4964</v>
      </c>
      <c r="K3751" s="1" t="str">
        <f t="shared" si="233"/>
        <v>ㄉ</v>
      </c>
      <c r="L3751" s="1" t="str">
        <f t="shared" si="234"/>
        <v>ㄢ</v>
      </c>
      <c r="N3751" s="3" t="s">
        <v>30574</v>
      </c>
      <c r="O3751" s="3"/>
      <c r="P3751" s="1" t="s">
        <v>20</v>
      </c>
      <c r="R3751" s="1" t="s">
        <v>4965</v>
      </c>
      <c r="V3751" s="1" t="s">
        <v>4969</v>
      </c>
      <c r="AR3751" s="1" t="str">
        <f t="shared" si="235"/>
        <v>| [ㄉㄢˋ](ㄉㄢˋ.md) | [旦](旦.md) |  | dàn | [名]
1.天剛亮的時候。如：「枕戈待旦」、「通宵達旦」。《文選．左思．蜀都賦》：「晨鳧旦至，候鴈銜蘆。」
2.白天。漢．揚雄〈解嘲〉：「旦握權則為卿相，夕失勢則為匹夫。」
3.指農曆初一日。《南齊書．卷九．禮志上》：「秦人以十月旦為歲首。」《藝文類聚．卷四》：「邯鄲之民以正月之旦獻鳩於簡子。……簡子曰：『正旦放生，示有恩也。』」
4.（某一）日、天。如：「元旦」、「旦旦」、「一旦」。
5.光亮，明亮。〈卿雲歌〉：「日月光華，旦復旦兮。」
6.戲劇中扮演婦女的角色。如：「老旦」、「花旦」、「小旦」、「武旦」、「刀馬旦」。 |</v>
      </c>
    </row>
    <row r="3752" spans="1:44" hidden="1">
      <c r="A3752" s="1" t="s">
        <v>4970</v>
      </c>
      <c r="C3752" s="1">
        <v>1</v>
      </c>
      <c r="D3752" s="1" t="str">
        <f>"02022"</f>
        <v>02022</v>
      </c>
      <c r="E3752" s="1" t="s">
        <v>114</v>
      </c>
      <c r="F3752" s="1">
        <v>7</v>
      </c>
      <c r="G3752" s="1">
        <v>5</v>
      </c>
      <c r="H3752" s="1">
        <v>0</v>
      </c>
      <c r="I3752" s="1" t="s">
        <v>4964</v>
      </c>
      <c r="K3752" s="1" t="str">
        <f t="shared" ref="K3752:K3815" si="236">LEFT(I3752, 1)</f>
        <v>ㄉ</v>
      </c>
      <c r="L3752" s="1" t="str">
        <f t="shared" ref="L3752:L3815" si="237">MID(I3752, 2, 1)</f>
        <v>ㄢ</v>
      </c>
      <c r="N3752" s="3" t="s">
        <v>30574</v>
      </c>
      <c r="O3752" s="3"/>
      <c r="P3752" s="1" t="s">
        <v>20</v>
      </c>
      <c r="R3752" s="1" t="s">
        <v>4965</v>
      </c>
      <c r="V3752" s="1" t="s">
        <v>4971</v>
      </c>
      <c r="AR3752" s="1" t="str">
        <f t="shared" si="235"/>
        <v>| [ㄉㄢˋ](ㄉㄢˋ.md) | [但](但.md) |  | dàn | [副]
1.僅、只。如：「但願如此」。唐．李白〈蜀道難〉：「但見悲鳥號古木，雄飛雌從繞林間。」唐．李商隱〈無題〉詩：「曉鏡但愁雲鬢改，夜吟應覺月光寒。」
2.只要。唐．王昌齡〈出塞〉詩二首之一：「但使龍城飛將在，不教胡馬度陰山。」元．王實甫《西廂記．第二本．第一折》：「但出閨門，影兒般不離身。」
3.只有、唯有。宋．蘇軾〈行香子．一葉舟輕〉詞：「但遠山長，雲山亂，曉山青。」
4.凡、所有。元．關漢卿《玉鏡臺》第一折：「則見脂粉馨香，環佩丁當，藕絲嫩新織仙裳，但風流都在他身上。」
5.儘管。如：「但說無妨」。
[連]
不過、可是。如：「你雖然聰明，但也要努力才能成功。」
[名]
姓。如漢代有但欽。 |</v>
      </c>
    </row>
    <row r="3753" spans="1:44" hidden="1">
      <c r="A3753" s="1" t="s">
        <v>4972</v>
      </c>
      <c r="C3753" s="1">
        <v>1</v>
      </c>
      <c r="D3753" s="1" t="str">
        <f>"02023"</f>
        <v>02023</v>
      </c>
      <c r="E3753" s="1" t="s">
        <v>55</v>
      </c>
      <c r="F3753" s="1">
        <v>13</v>
      </c>
      <c r="G3753" s="1">
        <v>5</v>
      </c>
      <c r="H3753" s="1">
        <v>0</v>
      </c>
      <c r="I3753" s="1" t="s">
        <v>4964</v>
      </c>
      <c r="K3753" s="1" t="str">
        <f t="shared" si="236"/>
        <v>ㄉ</v>
      </c>
      <c r="L3753" s="1" t="str">
        <f t="shared" si="237"/>
        <v>ㄢ</v>
      </c>
      <c r="N3753" s="3" t="s">
        <v>30574</v>
      </c>
      <c r="O3753" s="3"/>
      <c r="P3753" s="1" t="s">
        <v>20</v>
      </c>
      <c r="R3753" s="1" t="s">
        <v>4965</v>
      </c>
      <c r="V3753" s="1" t="s">
        <v>4973</v>
      </c>
      <c r="AR3753" s="1" t="str">
        <f t="shared" si="235"/>
        <v>| [ㄉㄢˋ](ㄉㄢˋ.md) | [鉭](鉭.md) |  | dàn | [名]_x000D_
（tantalum，Ta）化學元素。原子序73。金屬元素之一，色白如銀，富延展性，具抗鹼、抗酸性。多存於鈮礦中，鎢礦與某些稀土礦中亦含少量。可用於製造化工器材及真空管、超短波發射器等電工材料。醫療上用來製成薄片或細線，縫補被破壞的組織。碳化鉭熔點高，極堅硬，可製切削工具。 |</v>
      </c>
    </row>
    <row r="3754" spans="1:44" hidden="1">
      <c r="A3754" s="1" t="s">
        <v>4974</v>
      </c>
      <c r="C3754" s="1">
        <v>1</v>
      </c>
      <c r="D3754" s="1" t="str">
        <f>"02023A"</f>
        <v>02023A</v>
      </c>
      <c r="E3754" s="1" t="s">
        <v>68</v>
      </c>
      <c r="F3754" s="1">
        <v>17</v>
      </c>
      <c r="G3754" s="1">
        <v>13</v>
      </c>
      <c r="H3754" s="1">
        <v>2</v>
      </c>
      <c r="I3754" s="1" t="s">
        <v>4964</v>
      </c>
      <c r="K3754" s="1" t="str">
        <f t="shared" si="236"/>
        <v>ㄉ</v>
      </c>
      <c r="L3754" s="1" t="str">
        <f t="shared" si="237"/>
        <v>ㄢ</v>
      </c>
      <c r="N3754" s="3" t="s">
        <v>30574</v>
      </c>
      <c r="O3754" s="3"/>
      <c r="P3754" s="1" t="s">
        <v>20</v>
      </c>
      <c r="R3754" s="1" t="s">
        <v>4965</v>
      </c>
      <c r="V3754" s="1" t="s">
        <v>4975</v>
      </c>
      <c r="W3754" s="1" t="s">
        <v>4976</v>
      </c>
      <c r="AR3754" s="1" t="str">
        <f t="shared" si="235"/>
        <v>| [ㄉㄢˋ](ㄉㄢˋ.md) | [膻](膻.md) |  | dàn | 參見「膻中」條。 |</v>
      </c>
    </row>
    <row r="3755" spans="1:44" hidden="1">
      <c r="A3755" s="1" t="s">
        <v>4977</v>
      </c>
      <c r="C3755" s="1">
        <v>1</v>
      </c>
      <c r="D3755" s="1" t="str">
        <f>"02024"</f>
        <v>02024</v>
      </c>
      <c r="E3755" s="1" t="s">
        <v>40</v>
      </c>
      <c r="F3755" s="1">
        <v>18</v>
      </c>
      <c r="G3755" s="1">
        <v>13</v>
      </c>
      <c r="H3755" s="1">
        <v>0</v>
      </c>
      <c r="I3755" s="1" t="s">
        <v>4964</v>
      </c>
      <c r="K3755" s="1" t="str">
        <f t="shared" si="236"/>
        <v>ㄉ</v>
      </c>
      <c r="L3755" s="1" t="str">
        <f t="shared" si="237"/>
        <v>ㄢ</v>
      </c>
      <c r="N3755" s="3" t="s">
        <v>30574</v>
      </c>
      <c r="O3755" s="3"/>
      <c r="P3755" s="1" t="s">
        <v>20</v>
      </c>
      <c r="R3755" s="1" t="s">
        <v>4965</v>
      </c>
      <c r="V3755" s="1" t="s">
        <v>4978</v>
      </c>
      <c r="AR3755" s="1" t="str">
        <f t="shared" si="235"/>
        <v>| [ㄉㄢˋ](ㄉㄢˋ.md) | [𤺺](𤺺.md) |  | dàn | [動]
詬病。《禮記．緇衣》：「有國者章善𤺺惡，以示民厚，則民情不貳。」 |</v>
      </c>
    </row>
    <row r="3756" spans="1:44" hidden="1">
      <c r="A3756" s="1" t="s">
        <v>4979</v>
      </c>
      <c r="C3756" s="1">
        <v>1</v>
      </c>
      <c r="D3756" s="1" t="str">
        <f>"02025"</f>
        <v>02025</v>
      </c>
      <c r="E3756" s="1" t="s">
        <v>725</v>
      </c>
      <c r="F3756" s="1">
        <v>19</v>
      </c>
      <c r="G3756" s="1">
        <v>13</v>
      </c>
      <c r="H3756" s="1">
        <v>2</v>
      </c>
      <c r="I3756" s="1" t="s">
        <v>4964</v>
      </c>
      <c r="K3756" s="1" t="str">
        <f t="shared" si="236"/>
        <v>ㄉ</v>
      </c>
      <c r="L3756" s="1" t="str">
        <f t="shared" si="237"/>
        <v>ㄢ</v>
      </c>
      <c r="N3756" s="3" t="s">
        <v>30574</v>
      </c>
      <c r="O3756" s="3"/>
      <c r="P3756" s="1" t="s">
        <v>20</v>
      </c>
      <c r="R3756" s="1" t="s">
        <v>4965</v>
      </c>
      <c r="V3756" s="1" t="s">
        <v>4980</v>
      </c>
      <c r="W3756" s="1" t="s">
        <v>4981</v>
      </c>
      <c r="AR3756" s="1" t="str">
        <f t="shared" si="235"/>
        <v>| [ㄉㄢˋ](ㄉㄢˋ.md) | [繵](繵.md) |  | dàn | [名]
束腰的大帶。《廣韻．上聲．旱韻》：「繵，束腰大帶。」 |</v>
      </c>
    </row>
    <row r="3757" spans="1:44" hidden="1">
      <c r="A3757" s="1" t="s">
        <v>4982</v>
      </c>
      <c r="C3757" s="1">
        <v>1</v>
      </c>
      <c r="D3757" s="1" t="str">
        <f>"02026"</f>
        <v>02026</v>
      </c>
      <c r="E3757" s="1" t="s">
        <v>129</v>
      </c>
      <c r="F3757" s="1">
        <v>11</v>
      </c>
      <c r="G3757" s="1">
        <v>8</v>
      </c>
      <c r="H3757" s="1">
        <v>0</v>
      </c>
      <c r="I3757" s="1" t="s">
        <v>4964</v>
      </c>
      <c r="K3757" s="1" t="str">
        <f t="shared" si="236"/>
        <v>ㄉ</v>
      </c>
      <c r="L3757" s="1" t="str">
        <f t="shared" si="237"/>
        <v>ㄢ</v>
      </c>
      <c r="N3757" s="3" t="s">
        <v>30574</v>
      </c>
      <c r="O3757" s="3"/>
      <c r="P3757" s="1" t="s">
        <v>20</v>
      </c>
      <c r="R3757" s="1" t="s">
        <v>4965</v>
      </c>
      <c r="V3757" s="1" t="s">
        <v>4983</v>
      </c>
      <c r="AR3757" s="1" t="str">
        <f t="shared" si="235"/>
        <v>| [ㄉㄢˋ](ㄉㄢˋ.md) | [淡](淡.md) |  | dàn | [形]_x000D_
1.味道不鹹、不重。如：「淡水湖」、「粗茶淡飯」、「這湯太淡了！」_x000D_
2.稀薄、不濃厚。如：「淡酒」、「雲淡風輕」。《莊子．山林》：「君子之交淡若水，小人之交甘若醴。」_x000D_
3.色淺。如：「淡黃色」。_x000D_
4.不熱心。如：「冷淡」、「淡淡地應了一聲。」_x000D_
5.不旺盛。如：「淡季」、「淡月」、「生意清淡」。_x000D_
[副]_x000D_
淺、不深。如：「淡妝濃抹」、「淡掃蛾眉」。_x000D_
[名]_x000D_
1.北方方言。指無聊、無意義的話。如：「瞎扯淡」。《儒林外史》第四回：「眾人慌了，求張鄉紳……說情，知縣准了，早堂帶進，罵了幾句，扯了一個淡，趕了出去。」_x000D_
2.姓。如明代宦官劉謹，仗勢欺人，同州一帶劉姓恥與劉謹同姓，遂改姓為淡。 |</v>
      </c>
    </row>
    <row r="3758" spans="1:44" hidden="1">
      <c r="A3758" s="1" t="s">
        <v>4984</v>
      </c>
      <c r="C3758" s="1">
        <v>1</v>
      </c>
      <c r="D3758" s="1" t="str">
        <f>"02027"</f>
        <v>02027</v>
      </c>
      <c r="E3758" s="1" t="s">
        <v>28</v>
      </c>
      <c r="F3758" s="1">
        <v>11</v>
      </c>
      <c r="G3758" s="1">
        <v>8</v>
      </c>
      <c r="H3758" s="1">
        <v>0</v>
      </c>
      <c r="I3758" s="1" t="s">
        <v>4964</v>
      </c>
      <c r="K3758" s="1" t="str">
        <f t="shared" si="236"/>
        <v>ㄉ</v>
      </c>
      <c r="L3758" s="1" t="str">
        <f t="shared" si="237"/>
        <v>ㄢ</v>
      </c>
      <c r="N3758" s="3" t="s">
        <v>30574</v>
      </c>
      <c r="O3758" s="3"/>
      <c r="P3758" s="1" t="s">
        <v>20</v>
      </c>
      <c r="R3758" s="1" t="s">
        <v>4965</v>
      </c>
      <c r="V3758" s="1" t="s">
        <v>4985</v>
      </c>
      <c r="AR3758" s="1" t="str">
        <f t="shared" si="235"/>
        <v>| [ㄉㄢˋ](ㄉㄢˋ.md) | [啖](啖.md) |  | dàn | [動]
1.吃。如：「啖飯」、「啖粥」。《初刻拍案驚奇》卷三：「煽起炭火做煎餅自啖，連啖了百餘個。」清．洪昇《長生殿》第二八齣：「癩蝦蟆妄想天鵝啖。」
2.給人食物吃。《漢書．卷七二．王吉傳》：「東家有大棗樹垂吉庭中，吉婦取棗以啖吉。」唐．顏師古．注：「啖，謂使食之。」唐．李白〈俠客行〉：「將炙啖朱亥，持觴勸侯嬴。」
3.誘使別人聽從自己。《新唐書．卷一四九．劉晏傳》：「其有口舌者，率以利啖之，使不得有所訾短。」
[名]
姓。如五胡十六國時前秦有啖鐵，唐代有啖助。 |</v>
      </c>
    </row>
    <row r="3759" spans="1:44" hidden="1">
      <c r="A3759" s="1" t="s">
        <v>4986</v>
      </c>
      <c r="C3759" s="1">
        <v>1</v>
      </c>
      <c r="D3759" s="1" t="str">
        <f>"02028"</f>
        <v>02028</v>
      </c>
      <c r="E3759" s="1" t="s">
        <v>2228</v>
      </c>
      <c r="F3759" s="1">
        <v>12</v>
      </c>
      <c r="G3759" s="1">
        <v>8</v>
      </c>
      <c r="H3759" s="1">
        <v>0</v>
      </c>
      <c r="I3759" s="1" t="s">
        <v>4964</v>
      </c>
      <c r="K3759" s="1" t="str">
        <f t="shared" si="236"/>
        <v>ㄉ</v>
      </c>
      <c r="L3759" s="1" t="str">
        <f t="shared" si="237"/>
        <v>ㄢ</v>
      </c>
      <c r="N3759" s="3" t="s">
        <v>30574</v>
      </c>
      <c r="O3759" s="3"/>
      <c r="P3759" s="1" t="s">
        <v>20</v>
      </c>
      <c r="R3759" s="1" t="s">
        <v>4965</v>
      </c>
      <c r="V3759" s="1" t="s">
        <v>4987</v>
      </c>
      <c r="AR3759" s="1" t="str">
        <f t="shared" si="235"/>
        <v>| [ㄉㄢˋ](ㄉㄢˋ.md) | [氮](氮.md) |  | dàn | [名]
（nitrogen，N）化學元素。原子序7。氮氣是一種無色無臭的氣體，占空氣成分的五分之四，不能自燃，也不能助燃。可以用來製造氨、硝酸和氮肥，又可以填充電燈泡，液態氮是常用的低溫冷卻劑。 |</v>
      </c>
    </row>
    <row r="3760" spans="1:44" hidden="1">
      <c r="A3760" s="1" t="s">
        <v>4988</v>
      </c>
      <c r="C3760" s="1">
        <v>1</v>
      </c>
      <c r="D3760" s="1" t="str">
        <f>"02029"</f>
        <v>02029</v>
      </c>
      <c r="E3760" s="1" t="s">
        <v>193</v>
      </c>
      <c r="F3760" s="1">
        <v>16</v>
      </c>
      <c r="G3760" s="1">
        <v>8</v>
      </c>
      <c r="H3760" s="1">
        <v>1</v>
      </c>
      <c r="I3760" s="1" t="s">
        <v>4964</v>
      </c>
      <c r="K3760" s="1" t="str">
        <f t="shared" si="236"/>
        <v>ㄉ</v>
      </c>
      <c r="L3760" s="1" t="str">
        <f t="shared" si="237"/>
        <v>ㄢ</v>
      </c>
      <c r="N3760" s="3" t="s">
        <v>30574</v>
      </c>
      <c r="O3760" s="3"/>
      <c r="P3760" s="1" t="s">
        <v>20</v>
      </c>
      <c r="R3760" s="1" t="s">
        <v>4965</v>
      </c>
      <c r="V3760" s="1" t="s">
        <v>4989</v>
      </c>
      <c r="W3760" s="1" t="s">
        <v>4990</v>
      </c>
      <c r="AR3760" s="1" t="str">
        <f t="shared" si="235"/>
        <v>| [ㄉㄢˋ](ㄉㄢˋ.md) | [餤](餤.md) |  | dàn | [名]
一種捲肉的薄餅，可切而進獻與人。明．張自烈《正字通．食部》：「餤，餅屬。唐賜進士有紅綾餤，南唐有玲瓏餤，皆餅也。」
[動]
1.吃。同「啖」、「啗」。唐．杜牧〈罪言〉：「至於有圍急，食盡，餤屍以戰。」《聊齋志異．卷八．畫馬》：「夜不甚餤芻豆，意甚病。」
2.以利相誘。《史記．卷四三．趙世家》：「秦非愛趙而憎齊也，欲亡韓而吞二周，故以齊餤天下。」 |</v>
      </c>
    </row>
    <row r="3761" spans="1:44" hidden="1">
      <c r="A3761" s="1" t="s">
        <v>4991</v>
      </c>
      <c r="C3761" s="1">
        <v>1</v>
      </c>
      <c r="D3761" s="1" t="str">
        <f>"02030"</f>
        <v>02030</v>
      </c>
      <c r="E3761" s="1" t="s">
        <v>28</v>
      </c>
      <c r="F3761" s="1">
        <v>11</v>
      </c>
      <c r="G3761" s="1">
        <v>8</v>
      </c>
      <c r="H3761" s="1">
        <v>0</v>
      </c>
      <c r="I3761" s="1" t="s">
        <v>4964</v>
      </c>
      <c r="K3761" s="1" t="str">
        <f t="shared" si="236"/>
        <v>ㄉ</v>
      </c>
      <c r="L3761" s="1" t="str">
        <f t="shared" si="237"/>
        <v>ㄢ</v>
      </c>
      <c r="N3761" s="3" t="s">
        <v>30574</v>
      </c>
      <c r="O3761" s="3"/>
      <c r="P3761" s="1" t="s">
        <v>20</v>
      </c>
      <c r="R3761" s="1" t="s">
        <v>4965</v>
      </c>
      <c r="V3761" s="1" t="s">
        <v>4992</v>
      </c>
      <c r="AR3761" s="1" t="str">
        <f t="shared" si="235"/>
        <v>| [ㄉㄢˋ](ㄉㄢˋ.md) | [啗](啗.md) |  | dàn | [動]
1.吃。同「啖」。《史記．卷七．項羽本紀》：「樊噲覆其盾於地，加彘肩上，拔劍切而啗之。」宋．岳飛〈良馬對〉：「臣有二馬，日啗芻豆數斗，飲泉一斛，然非精潔即不受。」
2.以利誘惑他人。《聊齋志異．卷二．紅玉》：「君重啗之，必合諧允。」 |</v>
      </c>
    </row>
    <row r="3762" spans="1:44" hidden="1">
      <c r="A3762" s="1" t="s">
        <v>4993</v>
      </c>
      <c r="C3762" s="1">
        <v>1</v>
      </c>
      <c r="D3762" s="1" t="str">
        <f>"02031"</f>
        <v>02031</v>
      </c>
      <c r="E3762" s="1" t="s">
        <v>37</v>
      </c>
      <c r="F3762" s="1">
        <v>12</v>
      </c>
      <c r="G3762" s="1">
        <v>8</v>
      </c>
      <c r="H3762" s="1">
        <v>0</v>
      </c>
      <c r="I3762" s="1" t="s">
        <v>4964</v>
      </c>
      <c r="K3762" s="1" t="str">
        <f t="shared" si="236"/>
        <v>ㄉ</v>
      </c>
      <c r="L3762" s="1" t="str">
        <f t="shared" si="237"/>
        <v>ㄢ</v>
      </c>
      <c r="N3762" s="3" t="s">
        <v>30574</v>
      </c>
      <c r="O3762" s="3"/>
      <c r="P3762" s="1" t="s">
        <v>20</v>
      </c>
      <c r="R3762" s="1" t="s">
        <v>4965</v>
      </c>
      <c r="V3762" s="1" t="s">
        <v>4994</v>
      </c>
      <c r="AR3762" s="1" t="str">
        <f t="shared" si="235"/>
        <v>| [ㄉㄢˋ](ㄉㄢˋ.md) | [萏](萏.md) |  | dàn | 參見「菡萏」條。 |</v>
      </c>
    </row>
    <row r="3763" spans="1:44" hidden="1">
      <c r="A3763" s="1" t="s">
        <v>4995</v>
      </c>
      <c r="C3763" s="1">
        <v>1</v>
      </c>
      <c r="D3763" s="1" t="str">
        <f>"02032"</f>
        <v>02032</v>
      </c>
      <c r="E3763" s="1" t="s">
        <v>1274</v>
      </c>
      <c r="F3763" s="1">
        <v>13</v>
      </c>
      <c r="G3763" s="1">
        <v>8</v>
      </c>
      <c r="H3763" s="1">
        <v>0</v>
      </c>
      <c r="I3763" s="1" t="s">
        <v>4964</v>
      </c>
      <c r="K3763" s="1" t="str">
        <f t="shared" si="236"/>
        <v>ㄉ</v>
      </c>
      <c r="L3763" s="1" t="str">
        <f t="shared" si="237"/>
        <v>ㄢ</v>
      </c>
      <c r="N3763" s="3" t="s">
        <v>30574</v>
      </c>
      <c r="O3763" s="3"/>
      <c r="P3763" s="1" t="s">
        <v>20</v>
      </c>
      <c r="R3763" s="1" t="s">
        <v>4965</v>
      </c>
      <c r="V3763" s="1" t="s">
        <v>4996</v>
      </c>
      <c r="AR3763" s="1" t="str">
        <f t="shared" si="235"/>
        <v>| [ㄉㄢˋ](ㄉㄢˋ.md) | [窞](窞.md) |  | dàn | [名]
深洞。《易經．坎卦．初六》：「習坎，入于坎窞，凶。」 |</v>
      </c>
    </row>
    <row r="3764" spans="1:44" hidden="1">
      <c r="A3764" s="1" t="s">
        <v>4997</v>
      </c>
      <c r="C3764" s="1">
        <v>1</v>
      </c>
      <c r="D3764" s="1" t="str">
        <f>"02033"</f>
        <v>02033</v>
      </c>
      <c r="E3764" s="1" t="s">
        <v>679</v>
      </c>
      <c r="F3764" s="1">
        <v>11</v>
      </c>
      <c r="G3764" s="1">
        <v>5</v>
      </c>
      <c r="H3764" s="1">
        <v>0</v>
      </c>
      <c r="I3764" s="1" t="s">
        <v>4964</v>
      </c>
      <c r="K3764" s="1" t="str">
        <f t="shared" si="236"/>
        <v>ㄉ</v>
      </c>
      <c r="L3764" s="1" t="str">
        <f t="shared" si="237"/>
        <v>ㄢ</v>
      </c>
      <c r="N3764" s="3" t="s">
        <v>30574</v>
      </c>
      <c r="O3764" s="3"/>
      <c r="P3764" s="1" t="s">
        <v>20</v>
      </c>
      <c r="R3764" s="1" t="s">
        <v>4965</v>
      </c>
      <c r="V3764" s="1" t="s">
        <v>4998</v>
      </c>
      <c r="AR3764" s="1" t="str">
        <f t="shared" si="235"/>
        <v>| [ㄉㄢˋ](ㄉㄢˋ.md) | [蛋](蛋.md) |  | dàn | [名]_x000D_
1.鳥類和爬蟲類所生帶有硬殼的卵，受精之後可孵出小動物。如：「雞蛋」、「蛇蛋」、「下蛋」。_x000D_
2.形狀像蛋的東西。如：「臉蛋兒」、「山藥蛋」。_x000D_
3.斥責或罵人的話。用以比喻人或動作。如：「笨蛋」、「壞蛋」、「完蛋」、「糊塗蛋」。清．徐珂《清稗類鈔．飲食類．京師食品》：「北人罵人之辭，輒有蛋字，曰渾蛋，曰吵蛋，曰倒蛋，曰黃巴蛋，故於肴饌之蛋字，輒避之。」《紅樓復夢》第九〇回：「你相與這個臭忘八，你算瞎了眼，倒了運！你快些給我滾蛋！」《老殘遊記》第一四回；「誰知這些渾蛋還有許多蹲在屋頂上不肯下來呢！」_x000D_
4.中國南方沿海少數民族之一。同「蜑」。如：「胡夷蛋蠻」。《宋史．卷三一．高宗本紀八》：「閏月丙午，罷廉州貢珠，縱蛋丁自便。」 |</v>
      </c>
    </row>
    <row r="3765" spans="1:44" hidden="1">
      <c r="A3765" s="1" t="s">
        <v>4999</v>
      </c>
      <c r="C3765" s="1">
        <v>1</v>
      </c>
      <c r="D3765" s="1" t="str">
        <f>"02034"</f>
        <v>02034</v>
      </c>
      <c r="E3765" s="1" t="s">
        <v>1078</v>
      </c>
      <c r="F3765" s="1">
        <v>14</v>
      </c>
      <c r="G3765" s="1">
        <v>4</v>
      </c>
      <c r="H3765" s="1">
        <v>0</v>
      </c>
      <c r="I3765" s="1" t="s">
        <v>4964</v>
      </c>
      <c r="K3765" s="1" t="str">
        <f t="shared" si="236"/>
        <v>ㄉ</v>
      </c>
      <c r="L3765" s="1" t="str">
        <f t="shared" si="237"/>
        <v>ㄢ</v>
      </c>
      <c r="N3765" s="3" t="s">
        <v>30574</v>
      </c>
      <c r="O3765" s="3"/>
      <c r="P3765" s="1" t="s">
        <v>20</v>
      </c>
      <c r="R3765" s="1" t="s">
        <v>4965</v>
      </c>
      <c r="V3765" s="1" t="s">
        <v>5000</v>
      </c>
      <c r="AR3765" s="1" t="str">
        <f t="shared" si="235"/>
        <v>| [ㄉㄢˋ](ㄉㄢˋ.md) | [髧](髧.md) |  | dàn | [形]
頭髮下垂的樣子。《詩經．鄘風．柏舟》：「髧彼兩髦，實維我儀，之死矢靡它。」 |</v>
      </c>
    </row>
    <row r="3766" spans="1:44" hidden="1">
      <c r="A3766" s="1" t="s">
        <v>5001</v>
      </c>
      <c r="C3766" s="1">
        <v>1</v>
      </c>
      <c r="D3766" s="1" t="str">
        <f>"02035"</f>
        <v>02035</v>
      </c>
      <c r="E3766" s="1" t="s">
        <v>114</v>
      </c>
      <c r="F3766" s="1">
        <v>14</v>
      </c>
      <c r="G3766" s="1">
        <v>12</v>
      </c>
      <c r="H3766" s="1">
        <v>0</v>
      </c>
      <c r="I3766" s="1" t="s">
        <v>4964</v>
      </c>
      <c r="K3766" s="1" t="str">
        <f t="shared" si="236"/>
        <v>ㄉ</v>
      </c>
      <c r="L3766" s="1" t="str">
        <f t="shared" si="237"/>
        <v>ㄢ</v>
      </c>
      <c r="N3766" s="3" t="s">
        <v>30574</v>
      </c>
      <c r="O3766" s="3"/>
      <c r="P3766" s="1" t="s">
        <v>20</v>
      </c>
      <c r="R3766" s="1" t="s">
        <v>4965</v>
      </c>
      <c r="V3766" s="1" t="s">
        <v>5002</v>
      </c>
      <c r="AR3766" s="1" t="str">
        <f t="shared" si="235"/>
        <v>| [ㄉㄢˋ](ㄉㄢˋ.md) | [僤](僤.md) |  | dàn | [副]
盛、厚。《詩經．大雅．桑柔》：「我生不辰，逢天僤怒。」漢．毛亨．傳：「僤，厚也。」 |</v>
      </c>
    </row>
    <row r="3767" spans="1:44" hidden="1">
      <c r="A3767" s="1" t="s">
        <v>5003</v>
      </c>
      <c r="C3767" s="1">
        <v>1</v>
      </c>
      <c r="D3767" s="1" t="str">
        <f>"02036"</f>
        <v>02036</v>
      </c>
      <c r="E3767" s="1" t="s">
        <v>129</v>
      </c>
      <c r="F3767" s="1">
        <v>15</v>
      </c>
      <c r="G3767" s="1">
        <v>12</v>
      </c>
      <c r="H3767" s="1">
        <v>1</v>
      </c>
      <c r="I3767" s="1" t="s">
        <v>4964</v>
      </c>
      <c r="K3767" s="1" t="str">
        <f t="shared" si="236"/>
        <v>ㄉ</v>
      </c>
      <c r="L3767" s="1" t="str">
        <f t="shared" si="237"/>
        <v>ㄢ</v>
      </c>
      <c r="N3767" s="3" t="s">
        <v>30574</v>
      </c>
      <c r="O3767" s="3"/>
      <c r="P3767" s="1" t="s">
        <v>20</v>
      </c>
      <c r="R3767" s="1" t="s">
        <v>4965</v>
      </c>
      <c r="V3767" s="1" t="s">
        <v>5004</v>
      </c>
      <c r="W3767" s="1" t="s">
        <v>5005</v>
      </c>
      <c r="AR3767" s="1" t="str">
        <f t="shared" si="235"/>
        <v>| [ㄉㄢˋ](ㄉㄢˋ.md) | [潬](潬.md) |  | dàn | [名]
沙灘。《爾雅．釋水》：「潬，沙出。」晉．郭璞．注：「今江東呼水中沙堆為潬。」《北齊書．卷四二．陽斐傳》：「又移津於白馬，中河起石潬，兩岸造關城，累年乃就。」
[形]
潬潬：輾轉互動的樣子。南朝梁．劉勰《文心雕龍．封禪》：「圖曰：『潬潬噅噅，棼棼雉雉，萬物盡化。』言至德所被也。」 |</v>
      </c>
    </row>
    <row r="3768" spans="1:44" hidden="1">
      <c r="A3768" s="1" t="s">
        <v>5006</v>
      </c>
      <c r="C3768" s="1">
        <v>1</v>
      </c>
      <c r="D3768" s="1" t="str">
        <f>"02037"</f>
        <v>02037</v>
      </c>
      <c r="E3768" s="1" t="s">
        <v>250</v>
      </c>
      <c r="F3768" s="1">
        <v>15</v>
      </c>
      <c r="G3768" s="1">
        <v>12</v>
      </c>
      <c r="H3768" s="1">
        <v>0</v>
      </c>
      <c r="I3768" s="1" t="s">
        <v>4964</v>
      </c>
      <c r="K3768" s="1" t="str">
        <f t="shared" si="236"/>
        <v>ㄉ</v>
      </c>
      <c r="L3768" s="1" t="str">
        <f t="shared" si="237"/>
        <v>ㄢ</v>
      </c>
      <c r="N3768" s="3" t="s">
        <v>30574</v>
      </c>
      <c r="O3768" s="3"/>
      <c r="P3768" s="1" t="s">
        <v>20</v>
      </c>
      <c r="R3768" s="1" t="s">
        <v>4965</v>
      </c>
      <c r="V3768" s="1" t="s">
        <v>5007</v>
      </c>
      <c r="AR3768" s="1" t="str">
        <f t="shared" si="235"/>
        <v>| [ㄉㄢˋ](ㄉㄢˋ.md) | [憚](憚.md) |  | dàn | [動]
怕、畏懼。《楚辭．屈原．離騷》：「豈余身之憚殃兮，恐皇輿之敗績。」《晉書．卷四五．劉毅傳》：「毅幼有孝行，少厲清節，然好臧否人物，王公貴人望風憚之。」 |</v>
      </c>
    </row>
    <row r="3769" spans="1:44" hidden="1">
      <c r="A3769" s="1" t="s">
        <v>5008</v>
      </c>
      <c r="C3769" s="1">
        <v>1</v>
      </c>
      <c r="D3769" s="1" t="str">
        <f>"02038"</f>
        <v>02038</v>
      </c>
      <c r="E3769" s="1" t="s">
        <v>103</v>
      </c>
      <c r="F3769" s="1">
        <v>15</v>
      </c>
      <c r="G3769" s="1">
        <v>12</v>
      </c>
      <c r="H3769" s="1">
        <v>1</v>
      </c>
      <c r="I3769" s="1" t="s">
        <v>4964</v>
      </c>
      <c r="K3769" s="1" t="str">
        <f t="shared" si="236"/>
        <v>ㄉ</v>
      </c>
      <c r="L3769" s="1" t="str">
        <f t="shared" si="237"/>
        <v>ㄢ</v>
      </c>
      <c r="N3769" s="3" t="s">
        <v>30574</v>
      </c>
      <c r="O3769" s="3"/>
      <c r="P3769" s="1" t="s">
        <v>20</v>
      </c>
      <c r="R3769" s="1" t="s">
        <v>4965</v>
      </c>
      <c r="V3769" s="1" t="s">
        <v>5009</v>
      </c>
      <c r="W3769" s="1" t="s">
        <v>5010</v>
      </c>
      <c r="AR3769" s="1" t="str">
        <f t="shared" si="235"/>
        <v>| [ㄉㄢˋ](ㄉㄢˋ.md) | [彈](彈.md) |  | dàn | [名]
1.彈弓藉彈力發射出的小鐵丸。如：「彈丸」、「泥彈」。南朝陳．徐陵〈紫騮馬〉詩：「角弓連兩兔，珠彈落雙鴻。」
2.內裝火藥，具殺傷力和毀滅性的爆炸物。如：「子彈」、「炸彈」、「原子彈」、「手榴彈」。
3.彈弓。《戰國策．楚策四》：「左挾彈，右攝丸。」漢．劉向《說苑．卷一一．善說》：「彈之狀如弓，而以竹為弦。」
4.鳥類、爬蟲類等帶有硬殼的卵。同「蛋」。元．無名氏《漁樵記》第二折：「麻雀抱鵝彈，木伴哥生娃娃。」 |</v>
      </c>
    </row>
    <row r="3770" spans="1:44" hidden="1">
      <c r="A3770" s="1" t="s">
        <v>4927</v>
      </c>
      <c r="C3770" s="1">
        <v>1</v>
      </c>
      <c r="D3770" s="1" t="str">
        <f>"02039"</f>
        <v>02039</v>
      </c>
      <c r="E3770" s="1" t="s">
        <v>40</v>
      </c>
      <c r="F3770" s="1">
        <v>17</v>
      </c>
      <c r="G3770" s="1">
        <v>12</v>
      </c>
      <c r="H3770" s="1">
        <v>1</v>
      </c>
      <c r="I3770" s="1" t="s">
        <v>4964</v>
      </c>
      <c r="K3770" s="1" t="str">
        <f t="shared" si="236"/>
        <v>ㄉ</v>
      </c>
      <c r="L3770" s="1" t="str">
        <f t="shared" si="237"/>
        <v>ㄢ</v>
      </c>
      <c r="N3770" s="3" t="s">
        <v>30574</v>
      </c>
      <c r="O3770" s="3"/>
      <c r="P3770" s="1" t="s">
        <v>20</v>
      </c>
      <c r="R3770" s="1" t="s">
        <v>4965</v>
      </c>
      <c r="V3770" s="1" t="s">
        <v>5011</v>
      </c>
      <c r="W3770" s="1" t="s">
        <v>5012</v>
      </c>
      <c r="AR3770" s="1" t="str">
        <f t="shared" si="235"/>
        <v>| [ㄉㄢˋ](ㄉㄢˋ.md) | [癉](癉.md) |  | dàn | [名]
因勞累而生的疾病。《詩經．大雅．板》：「上帝板板，下民卒癉。」
[動]
憎恨。《書經．畢命》：「彰善癉惡，樹之風聲。」 |</v>
      </c>
    </row>
    <row r="3771" spans="1:44" hidden="1">
      <c r="A3771" s="1" t="s">
        <v>5013</v>
      </c>
      <c r="C3771" s="1">
        <v>1</v>
      </c>
      <c r="D3771" s="1" t="str">
        <f>"02040"</f>
        <v>02040</v>
      </c>
      <c r="E3771" s="1" t="s">
        <v>679</v>
      </c>
      <c r="F3771" s="1">
        <v>14</v>
      </c>
      <c r="G3771" s="1">
        <v>8</v>
      </c>
      <c r="H3771" s="1">
        <v>0</v>
      </c>
      <c r="I3771" s="1" t="s">
        <v>4964</v>
      </c>
      <c r="K3771" s="1" t="str">
        <f t="shared" si="236"/>
        <v>ㄉ</v>
      </c>
      <c r="L3771" s="1" t="str">
        <f t="shared" si="237"/>
        <v>ㄢ</v>
      </c>
      <c r="N3771" s="3" t="s">
        <v>30574</v>
      </c>
      <c r="O3771" s="3"/>
      <c r="P3771" s="1" t="s">
        <v>20</v>
      </c>
      <c r="R3771" s="1" t="s">
        <v>4965</v>
      </c>
      <c r="V3771" s="1" t="s">
        <v>5014</v>
      </c>
      <c r="AR3771" s="1" t="str">
        <f t="shared" si="235"/>
        <v>| [ㄉㄢˋ](ㄉㄢˋ.md) | [蜑](蜑.md) |  | dàn | [名]
中國南方少數民族之一。居住於大陸地區廣東、福建沿海一帶。終年舟居，以捕魚或行船為業。唐．柳宗元〈嶺南節度饗軍堂記〉：「胡夷蜑蠻，睢盱就列者千人以上。」 |</v>
      </c>
    </row>
    <row r="3772" spans="1:44" hidden="1">
      <c r="A3772" s="1" t="s">
        <v>5015</v>
      </c>
      <c r="C3772" s="1">
        <v>1</v>
      </c>
      <c r="D3772" s="1" t="str">
        <f>"02041"</f>
        <v>02041</v>
      </c>
      <c r="E3772" s="1" t="s">
        <v>331</v>
      </c>
      <c r="F3772" s="1">
        <v>15</v>
      </c>
      <c r="G3772" s="1">
        <v>8</v>
      </c>
      <c r="H3772" s="1">
        <v>0</v>
      </c>
      <c r="I3772" s="1" t="s">
        <v>4964</v>
      </c>
      <c r="K3772" s="1" t="str">
        <f t="shared" si="236"/>
        <v>ㄉ</v>
      </c>
      <c r="L3772" s="1" t="str">
        <f t="shared" si="237"/>
        <v>ㄢ</v>
      </c>
      <c r="N3772" s="3" t="s">
        <v>30574</v>
      </c>
      <c r="O3772" s="3"/>
      <c r="P3772" s="1" t="s">
        <v>20</v>
      </c>
      <c r="R3772" s="1" t="s">
        <v>4965</v>
      </c>
      <c r="V3772" s="1" t="s">
        <v>5016</v>
      </c>
      <c r="AR3772" s="1" t="str">
        <f t="shared" si="235"/>
        <v>| [ㄉㄢˋ](ㄉㄢˋ.md) | [誕](誕.md) |  | dàn | [形]
1.行為放蕩或怪異。如：「放誕」、「怪誕」、「荒誕不經」。
2.大的。《後漢書．卷一．光武帝紀．贊曰》：「光武誕命，靈貺自甄。」
[名]
1.虛妄不實的言語。漢．劉向《說苑．卷八．尊賢》：「口銳者多誕而寡信，後恐不驗也。」
2.生日。如：「壽誕」、「華誕」。
[動]
1.出生。如：「誕生」。《晉書．卷九二．文苑傳．袁宏傳》：「云獲麟於此野，誕靈物以瑞德，奚授體於虞者！」
2.誇口而言。晉．陶淵明〈讀山海經〉詩一三首之九：「夸父誕宏志，乃與日競走。」
[副]
大大的。《書經．湯誥》：「王歸自克夏，至于亳，誕告萬方。」
[助]
發語詞，無義。《詩經．大雅．生民》：「誕彌厥月，先生如達。」 |</v>
      </c>
    </row>
    <row r="3773" spans="1:44" hidden="1">
      <c r="A3773" s="1" t="s">
        <v>5017</v>
      </c>
      <c r="C3773" s="1">
        <v>1</v>
      </c>
      <c r="D3773" s="1" t="str">
        <f>"02042"</f>
        <v>02042</v>
      </c>
      <c r="E3773" s="1" t="s">
        <v>129</v>
      </c>
      <c r="F3773" s="1">
        <v>16</v>
      </c>
      <c r="G3773" s="1">
        <v>13</v>
      </c>
      <c r="H3773" s="1">
        <v>1</v>
      </c>
      <c r="I3773" s="1" t="s">
        <v>4964</v>
      </c>
      <c r="K3773" s="1" t="str">
        <f t="shared" si="236"/>
        <v>ㄉ</v>
      </c>
      <c r="L3773" s="1" t="str">
        <f t="shared" si="237"/>
        <v>ㄢ</v>
      </c>
      <c r="N3773" s="3" t="s">
        <v>30574</v>
      </c>
      <c r="O3773" s="3"/>
      <c r="P3773" s="1" t="s">
        <v>20</v>
      </c>
      <c r="R3773" s="1" t="s">
        <v>4965</v>
      </c>
      <c r="V3773" s="1" t="s">
        <v>5018</v>
      </c>
      <c r="W3773" s="1" t="s">
        <v>5019</v>
      </c>
      <c r="AR3773" s="1" t="str">
        <f t="shared" si="235"/>
        <v>| [ㄉㄢˋ](ㄉㄢˋ.md) | [澹](澹.md) |  | dàn | [形]
1.恬靜而寡欲。《漢書．卷五七．司馬相如傳》：「泊乎無為，澹乎自持。」
2.安靜。《老子》第二〇章：「澹兮其若海，飂兮若無止。」
3.清淡、不濃烈。漢．王充《論衡．自紀》：「狄牙和膳，肴無澹味。」
4.水波蕩漾。唐．白居易〈酬夢得早秋夜對月見寄〉詩：「庭蕪淒白露，池色澹金波。」
[名]
姓。如明代有澹文昇。 |</v>
      </c>
    </row>
    <row r="3774" spans="1:44" hidden="1">
      <c r="A3774" s="1" t="s">
        <v>5020</v>
      </c>
      <c r="C3774" s="1">
        <v>1</v>
      </c>
      <c r="D3774" s="1" t="str">
        <f>"02043"</f>
        <v>02043</v>
      </c>
      <c r="E3774" s="1" t="s">
        <v>250</v>
      </c>
      <c r="F3774" s="1">
        <v>16</v>
      </c>
      <c r="G3774" s="1">
        <v>13</v>
      </c>
      <c r="H3774" s="1">
        <v>0</v>
      </c>
      <c r="I3774" s="1" t="s">
        <v>4964</v>
      </c>
      <c r="K3774" s="1" t="str">
        <f t="shared" si="236"/>
        <v>ㄉ</v>
      </c>
      <c r="L3774" s="1" t="str">
        <f t="shared" si="237"/>
        <v>ㄢ</v>
      </c>
      <c r="N3774" s="3" t="s">
        <v>30574</v>
      </c>
      <c r="O3774" s="3"/>
      <c r="P3774" s="1" t="s">
        <v>20</v>
      </c>
      <c r="R3774" s="1" t="s">
        <v>4965</v>
      </c>
      <c r="V3774" s="1" t="s">
        <v>5021</v>
      </c>
      <c r="AR3774" s="1" t="str">
        <f t="shared" si="235"/>
        <v>| [ㄉㄢˋ](ㄉㄢˋ.md) | [憺](憺.md) |  | dàn | [副]
安逸、安適。《淮南子．本經》：「憺然無欲而民自樸，無禨祥而民不夭。」南朝宋．謝靈運〈石壁精舍還湖中作詩〉：「清暉能娛人，游子憺忘歸。」
[動]
1.安定。《淮南子．俶真》：「蜂蠆螫指而神不能憺。」漢．高誘．注：「憺，定也。」
2.震動、使畏懼。《漢書．卷五四．李廣傳》：「是以名聲暴於夷貉，威稜憺乎鄰國。」 |</v>
      </c>
    </row>
    <row r="3775" spans="1:44" hidden="1">
      <c r="A3775" s="1" t="s">
        <v>4936</v>
      </c>
      <c r="C3775" s="1">
        <v>1</v>
      </c>
      <c r="D3775" s="1" t="str">
        <f>"02044"</f>
        <v>02044</v>
      </c>
      <c r="E3775" s="1" t="s">
        <v>24</v>
      </c>
      <c r="F3775" s="1">
        <v>16</v>
      </c>
      <c r="G3775" s="1">
        <v>13</v>
      </c>
      <c r="H3775" s="1">
        <v>2</v>
      </c>
      <c r="I3775" s="1" t="s">
        <v>4964</v>
      </c>
      <c r="K3775" s="1" t="str">
        <f t="shared" si="236"/>
        <v>ㄉ</v>
      </c>
      <c r="L3775" s="1" t="str">
        <f t="shared" si="237"/>
        <v>ㄢ</v>
      </c>
      <c r="N3775" s="3" t="s">
        <v>30574</v>
      </c>
      <c r="O3775" s="3"/>
      <c r="P3775" s="1" t="s">
        <v>20</v>
      </c>
      <c r="R3775" s="1" t="s">
        <v>4965</v>
      </c>
      <c r="V3775" s="1" t="s">
        <v>5022</v>
      </c>
      <c r="W3775" s="1" t="s">
        <v>5023</v>
      </c>
      <c r="AR3775" s="1" t="str">
        <f t="shared" si="235"/>
        <v>| [ㄉㄢˋ](ㄉㄢˋ.md) | [擔](擔.md) |  | dàn | [名]
1.用扁擔所挑的物品。《列子．湯問》：「遂率子孫荷擔者三夫，叩石墾壤，箕畚運於渤海之尾。」
2.肩負的責任。如：「重擔」。
3.量詞。計算成挑物品的單位。如：「一擔米」、「兩擔柴」、「三擔賀禮」。 |</v>
      </c>
    </row>
    <row r="3776" spans="1:44" hidden="1">
      <c r="A3776" s="1" t="s">
        <v>4939</v>
      </c>
      <c r="C3776" s="1">
        <v>1</v>
      </c>
      <c r="D3776" s="1" t="str">
        <f>"02045"</f>
        <v>02045</v>
      </c>
      <c r="E3776" s="1" t="s">
        <v>1824</v>
      </c>
      <c r="F3776" s="1">
        <v>18</v>
      </c>
      <c r="G3776" s="1">
        <v>13</v>
      </c>
      <c r="H3776" s="1">
        <v>2</v>
      </c>
      <c r="I3776" s="1" t="s">
        <v>4964</v>
      </c>
      <c r="K3776" s="1" t="str">
        <f t="shared" si="236"/>
        <v>ㄉ</v>
      </c>
      <c r="L3776" s="1" t="str">
        <f t="shared" si="237"/>
        <v>ㄢ</v>
      </c>
      <c r="N3776" s="3" t="s">
        <v>30574</v>
      </c>
      <c r="O3776" s="3"/>
      <c r="P3776" s="1" t="s">
        <v>110</v>
      </c>
      <c r="R3776" s="1" t="s">
        <v>4965</v>
      </c>
      <c r="V3776" s="1" t="s">
        <v>111</v>
      </c>
      <c r="W3776" s="1" t="s">
        <v>5024</v>
      </c>
      <c r="AR3776" s="1" t="str">
        <f t="shared" si="235"/>
        <v>| [ㄉㄢˋ](ㄉㄢˋ.md) | [甔](甔.md) |  | dàn | (一)之又音。 |</v>
      </c>
    </row>
    <row r="3777" spans="1:44" hidden="1">
      <c r="A3777" s="1" t="s">
        <v>4942</v>
      </c>
      <c r="C3777" s="1">
        <v>1</v>
      </c>
      <c r="D3777" s="1" t="str">
        <f>"02012"</f>
        <v>02012</v>
      </c>
      <c r="E3777" s="1" t="s">
        <v>24</v>
      </c>
      <c r="F3777" s="1">
        <v>7</v>
      </c>
      <c r="G3777" s="1">
        <v>4</v>
      </c>
      <c r="H3777" s="1">
        <v>1</v>
      </c>
      <c r="I3777" s="1" t="s">
        <v>4943</v>
      </c>
      <c r="K3777" s="1" t="str">
        <f t="shared" si="236"/>
        <v>ㄉ</v>
      </c>
      <c r="L3777" s="1" t="str">
        <f t="shared" si="237"/>
        <v>ㄢ</v>
      </c>
      <c r="N3777" s="3" t="s">
        <v>30576</v>
      </c>
      <c r="O3777" s="3"/>
      <c r="P3777" s="1" t="s">
        <v>20</v>
      </c>
      <c r="R3777" s="1" t="s">
        <v>4944</v>
      </c>
      <c r="V3777" s="1" t="s">
        <v>4945</v>
      </c>
      <c r="W3777" s="1" t="s">
        <v>4946</v>
      </c>
      <c r="AR3777" s="1" t="str">
        <f t="shared" si="235"/>
        <v>| [ㄉㄢˇ](ㄉㄢˇ.md) | [抌](抌.md) |  | dǎn | [動]
擊。《說文解字．手部》：「抌，深擊也。」清．段玉裁．注：「刺客列傳：『左手把其袖，右手揕其匈。』揕即抌字。徐廣曰：『一作抗。』按：抗乃抌之訛耳。」《列子．黃帝》：「攩㧙挨抌，亡所不為。」 |</v>
      </c>
    </row>
    <row r="3778" spans="1:44" hidden="1">
      <c r="A3778" s="1" t="s">
        <v>4947</v>
      </c>
      <c r="C3778" s="1">
        <v>1</v>
      </c>
      <c r="D3778" s="1" t="str">
        <f>"02013"</f>
        <v>02013</v>
      </c>
      <c r="E3778" s="1" t="s">
        <v>725</v>
      </c>
      <c r="F3778" s="1">
        <v>10</v>
      </c>
      <c r="G3778" s="1">
        <v>4</v>
      </c>
      <c r="H3778" s="1">
        <v>0</v>
      </c>
      <c r="I3778" s="1" t="s">
        <v>4943</v>
      </c>
      <c r="K3778" s="1" t="str">
        <f t="shared" si="236"/>
        <v>ㄉ</v>
      </c>
      <c r="L3778" s="1" t="str">
        <f t="shared" si="237"/>
        <v>ㄢ</v>
      </c>
      <c r="N3778" s="3" t="s">
        <v>30576</v>
      </c>
      <c r="O3778" s="3"/>
      <c r="P3778" s="1" t="s">
        <v>20</v>
      </c>
      <c r="R3778" s="1" t="s">
        <v>4944</v>
      </c>
      <c r="V3778" s="1" t="s">
        <v>4948</v>
      </c>
      <c r="AR3778" s="1" t="str">
        <f t="shared" si="235"/>
        <v>| [ㄉㄢˇ](ㄉㄢˇ.md) | [紞](紞.md) |  | dǎn | [名]_x000D_
垂於冠冕兩旁，懸繫玉瑱的綵線。《左傳．桓公二年》：「袞冕黻珽，帶裳幅舄，衡紞紘綎，昭其度也。」_x000D_
[擬]_x000D_
參見「紞紞」、「紞如」等條。 |</v>
      </c>
    </row>
    <row r="3779" spans="1:44" hidden="1">
      <c r="A3779" s="1" t="s">
        <v>4949</v>
      </c>
      <c r="C3779" s="1">
        <v>1</v>
      </c>
      <c r="D3779" s="1" t="str">
        <f>"02014"</f>
        <v>02014</v>
      </c>
      <c r="E3779" s="1" t="s">
        <v>2777</v>
      </c>
      <c r="F3779" s="1">
        <v>16</v>
      </c>
      <c r="G3779" s="1">
        <v>4</v>
      </c>
      <c r="H3779" s="1">
        <v>0</v>
      </c>
      <c r="I3779" s="1" t="s">
        <v>4943</v>
      </c>
      <c r="K3779" s="1" t="str">
        <f t="shared" si="236"/>
        <v>ㄉ</v>
      </c>
      <c r="L3779" s="1" t="str">
        <f t="shared" si="237"/>
        <v>ㄢ</v>
      </c>
      <c r="N3779" s="3" t="s">
        <v>30576</v>
      </c>
      <c r="O3779" s="3"/>
      <c r="P3779" s="1" t="s">
        <v>20</v>
      </c>
      <c r="R3779" s="1" t="s">
        <v>4944</v>
      </c>
      <c r="V3779" s="1" t="s">
        <v>4950</v>
      </c>
      <c r="AR3779" s="1" t="str">
        <f t="shared" ref="AR3779:AR3842" si="238">"| ["&amp;I3779&amp;"]("&amp;I3779&amp;".md) | ["&amp;A3779&amp;"]("&amp;A3779&amp;".md) | "&amp;" | "&amp;R3779&amp;" | "&amp;V3779&amp;" |"</f>
        <v>| [ㄉㄢˇ](ㄉㄢˇ.md) | [黕](黕.md) |  | dǎn | [名]
黑色汙垢。《楚辭．宋玉．九辯》：「竊不自聊而願忠兮，或黕點而汙之。」
[形]
烏黑、黝黑。《文選．潘岳．藉田賦》：「青壇蔚其嶽立兮，翠幕黕以雲布。」 |</v>
      </c>
    </row>
    <row r="3780" spans="1:44" hidden="1">
      <c r="A3780" s="1" t="s">
        <v>4951</v>
      </c>
      <c r="C3780" s="1">
        <v>1</v>
      </c>
      <c r="D3780" s="1" t="str">
        <f>"02015"</f>
        <v>02015</v>
      </c>
      <c r="E3780" s="1" t="s">
        <v>40</v>
      </c>
      <c r="F3780" s="1">
        <v>10</v>
      </c>
      <c r="G3780" s="1">
        <v>5</v>
      </c>
      <c r="H3780" s="1">
        <v>0</v>
      </c>
      <c r="I3780" s="1" t="s">
        <v>4943</v>
      </c>
      <c r="K3780" s="1" t="str">
        <f t="shared" si="236"/>
        <v>ㄉ</v>
      </c>
      <c r="L3780" s="1" t="str">
        <f t="shared" si="237"/>
        <v>ㄢ</v>
      </c>
      <c r="N3780" s="3" t="s">
        <v>30576</v>
      </c>
      <c r="O3780" s="3"/>
      <c r="P3780" s="1" t="s">
        <v>20</v>
      </c>
      <c r="R3780" s="1" t="s">
        <v>4944</v>
      </c>
      <c r="V3780" s="1" t="s">
        <v>4952</v>
      </c>
      <c r="AR3780" s="1" t="str">
        <f t="shared" si="238"/>
        <v>| [ㄉㄢˇ](ㄉㄢˇ.md) | [疸](疸.md) |  | dǎn | 參見「黃疸」條。 |</v>
      </c>
    </row>
    <row r="3781" spans="1:44" hidden="1">
      <c r="A3781" s="1" t="s">
        <v>4953</v>
      </c>
      <c r="C3781" s="1">
        <v>1</v>
      </c>
      <c r="D3781" s="1" t="str">
        <f>"02016"</f>
        <v>02016</v>
      </c>
      <c r="E3781" s="1" t="s">
        <v>367</v>
      </c>
      <c r="F3781" s="1">
        <v>13</v>
      </c>
      <c r="G3781" s="1">
        <v>11</v>
      </c>
      <c r="H3781" s="1">
        <v>0</v>
      </c>
      <c r="I3781" s="1" t="s">
        <v>4943</v>
      </c>
      <c r="K3781" s="1" t="str">
        <f t="shared" si="236"/>
        <v>ㄉ</v>
      </c>
      <c r="L3781" s="1" t="str">
        <f t="shared" si="237"/>
        <v>ㄢ</v>
      </c>
      <c r="N3781" s="3" t="s">
        <v>30576</v>
      </c>
      <c r="O3781" s="3"/>
      <c r="P3781" s="1" t="s">
        <v>20</v>
      </c>
      <c r="R3781" s="1" t="s">
        <v>4944</v>
      </c>
      <c r="V3781" s="1" t="s">
        <v>4954</v>
      </c>
      <c r="AR3781" s="1" t="str">
        <f t="shared" si="238"/>
        <v>| [ㄉㄢˇ](ㄉㄢˇ.md) | [亶](亶.md) |  | dǎn | [副]
誠然、真實、實在。《詩經．小雅．常棣》：「宜爾家室，樂爾妻帑。是究是圖，亶其然乎。」
[名]
姓。如漢代有亶誦。 |</v>
      </c>
    </row>
    <row r="3782" spans="1:44" hidden="1">
      <c r="A3782" s="1" t="s">
        <v>4955</v>
      </c>
      <c r="C3782" s="1">
        <v>1</v>
      </c>
      <c r="D3782" s="1" t="str">
        <f>"02017"</f>
        <v>02017</v>
      </c>
      <c r="E3782" s="1" t="s">
        <v>24</v>
      </c>
      <c r="F3782" s="1">
        <v>15</v>
      </c>
      <c r="G3782" s="1">
        <v>12</v>
      </c>
      <c r="H3782" s="1">
        <v>1</v>
      </c>
      <c r="I3782" s="1" t="s">
        <v>4943</v>
      </c>
      <c r="K3782" s="1" t="str">
        <f t="shared" si="236"/>
        <v>ㄉ</v>
      </c>
      <c r="L3782" s="1" t="str">
        <f t="shared" si="237"/>
        <v>ㄢ</v>
      </c>
      <c r="N3782" s="3" t="s">
        <v>30576</v>
      </c>
      <c r="O3782" s="3"/>
      <c r="P3782" s="1" t="s">
        <v>20</v>
      </c>
      <c r="R3782" s="1" t="s">
        <v>4944</v>
      </c>
      <c r="V3782" s="1" t="s">
        <v>4956</v>
      </c>
      <c r="W3782" s="1" t="s">
        <v>4957</v>
      </c>
      <c r="AR3782" s="1" t="str">
        <f t="shared" si="238"/>
        <v>| [ㄉㄢˇ](ㄉㄢˇ.md) | [撢](撢.md) |  | dǎn | [動]
用撢子或其他東西輕拍，拂去塵土。如：「撢一撢灰塵。」 |</v>
      </c>
    </row>
    <row r="3783" spans="1:44" hidden="1">
      <c r="A3783" s="1" t="s">
        <v>4958</v>
      </c>
      <c r="C3783" s="1">
        <v>1</v>
      </c>
      <c r="D3783" s="1" t="str">
        <f>"02018"</f>
        <v>02018</v>
      </c>
      <c r="E3783" s="1" t="s">
        <v>24</v>
      </c>
      <c r="F3783" s="1">
        <v>15</v>
      </c>
      <c r="G3783" s="1">
        <v>12</v>
      </c>
      <c r="H3783" s="1">
        <v>1</v>
      </c>
      <c r="I3783" s="1" t="s">
        <v>4943</v>
      </c>
      <c r="K3783" s="1" t="str">
        <f t="shared" si="236"/>
        <v>ㄉ</v>
      </c>
      <c r="L3783" s="1" t="str">
        <f t="shared" si="237"/>
        <v>ㄢ</v>
      </c>
      <c r="N3783" s="3" t="s">
        <v>30576</v>
      </c>
      <c r="O3783" s="3"/>
      <c r="P3783" s="1" t="s">
        <v>20</v>
      </c>
      <c r="R3783" s="1" t="s">
        <v>4944</v>
      </c>
      <c r="V3783" s="1" t="s">
        <v>4959</v>
      </c>
      <c r="W3783" s="1" t="s">
        <v>4960</v>
      </c>
      <c r="AR3783" s="1" t="str">
        <f t="shared" si="238"/>
        <v>| [ㄉㄢˇ](ㄉㄢˇ.md) | [撣](撣.md) |  | dǎn | [動]
1.提持。《說文解字．手部》：「撣，提持也。」清．段玉裁．注：「提持，猶縣持也。」
2.拂去塵土。《老殘遊記》第一二回：「翠花掌燭，翠環捧硯，我來撣灰。」 |</v>
      </c>
    </row>
    <row r="3784" spans="1:44" hidden="1">
      <c r="A3784" s="1" t="s">
        <v>4961</v>
      </c>
      <c r="C3784" s="1">
        <v>1</v>
      </c>
      <c r="D3784" s="1" t="str">
        <f>"02019"</f>
        <v>02019</v>
      </c>
      <c r="E3784" s="1" t="s">
        <v>68</v>
      </c>
      <c r="F3784" s="1">
        <v>17</v>
      </c>
      <c r="G3784" s="1">
        <v>13</v>
      </c>
      <c r="H3784" s="1">
        <v>0</v>
      </c>
      <c r="I3784" s="1" t="s">
        <v>4943</v>
      </c>
      <c r="K3784" s="1" t="str">
        <f t="shared" si="236"/>
        <v>ㄉ</v>
      </c>
      <c r="L3784" s="1" t="str">
        <f t="shared" si="237"/>
        <v>ㄢ</v>
      </c>
      <c r="N3784" s="3" t="s">
        <v>30576</v>
      </c>
      <c r="O3784" s="3"/>
      <c r="P3784" s="1" t="s">
        <v>20</v>
      </c>
      <c r="R3784" s="1" t="s">
        <v>4944</v>
      </c>
      <c r="V3784" s="1" t="s">
        <v>4962</v>
      </c>
      <c r="AR3784" s="1" t="str">
        <f t="shared" si="238"/>
        <v>| [ㄉㄢˇ](ㄉㄢˇ.md) | [膽](膽.md) |  | dǎn | [名]
1.內臟器官之一。近肝臟右半葉，所儲膽汁，黃綠色、味苦，助消化。也稱為「膽囊」。
2.勇氣，古人以為勇氣由膽發出。如：「膽怯」、「壯膽」。
3.器物的內部，可容納水、空氣等。如：「球膽」、「瓶膽」、「熱水瓶的內膽」。 |</v>
      </c>
    </row>
    <row r="3785" spans="1:44" hidden="1">
      <c r="A3785" s="1" t="s">
        <v>5025</v>
      </c>
      <c r="C3785" s="1">
        <v>1</v>
      </c>
      <c r="D3785" s="1" t="str">
        <f>"02046"</f>
        <v>02046</v>
      </c>
      <c r="E3785" s="1" t="s">
        <v>24</v>
      </c>
      <c r="F3785" s="1">
        <v>15</v>
      </c>
      <c r="G3785" s="1">
        <v>12</v>
      </c>
      <c r="H3785" s="1">
        <v>0</v>
      </c>
      <c r="I3785" s="1" t="s">
        <v>5026</v>
      </c>
      <c r="K3785" s="1" t="str">
        <f t="shared" si="236"/>
        <v>ㄉ</v>
      </c>
      <c r="L3785" s="1" t="str">
        <f t="shared" si="237"/>
        <v>ㄣ</v>
      </c>
      <c r="N3785" s="3" t="s">
        <v>30574</v>
      </c>
      <c r="O3785" s="3"/>
      <c r="P3785" s="1" t="s">
        <v>20</v>
      </c>
      <c r="R3785" s="1" t="s">
        <v>5027</v>
      </c>
      <c r="V3785" s="1" t="s">
        <v>5028</v>
      </c>
      <c r="AR3785" s="1" t="str">
        <f t="shared" si="238"/>
        <v>| [ㄉㄣˋ](ㄉㄣˋ.md) | [㩐](㩐.md) |  | dèn | [動]
突然使勁用力拉。如：「別使大勁兒，小心把線㩐斷了。」 |</v>
      </c>
    </row>
    <row r="3786" spans="1:44" hidden="1">
      <c r="A3786" s="1" t="s">
        <v>5064</v>
      </c>
      <c r="C3786" s="1">
        <v>1</v>
      </c>
      <c r="D3786" s="1" t="str">
        <f>"02061"</f>
        <v>02061</v>
      </c>
      <c r="E3786" s="1" t="s">
        <v>624</v>
      </c>
      <c r="F3786" s="1">
        <v>8</v>
      </c>
      <c r="G3786" s="1">
        <v>5</v>
      </c>
      <c r="H3786" s="1">
        <v>0</v>
      </c>
      <c r="I3786" s="1" t="s">
        <v>5065</v>
      </c>
      <c r="K3786" s="1" t="str">
        <f t="shared" si="236"/>
        <v>ㄉ</v>
      </c>
      <c r="L3786" s="1" t="str">
        <f t="shared" si="237"/>
        <v>ㄤ</v>
      </c>
      <c r="N3786" s="3" t="s">
        <v>30574</v>
      </c>
      <c r="O3786" s="3"/>
      <c r="P3786" s="1" t="s">
        <v>20</v>
      </c>
      <c r="R3786" s="1" t="s">
        <v>5066</v>
      </c>
      <c r="V3786" s="1" t="s">
        <v>5067</v>
      </c>
      <c r="AR3786" s="1" t="str">
        <f t="shared" si="238"/>
        <v>| [ㄉㄤˋ](ㄉㄤˋ.md) | [宕](宕.md) |  | dàng | [動]
拖延、延遲。如：「懸宕」、「延宕」。《二十年目睹之怪現狀》第五二回：「這一百吊，暫時宕一宕，我再想法子報銷。」
[形]
行為放蕩不受拘束。通「蕩」。三國魏．曹植〈七哀詩〉：「借問歎者誰，言是宕子妻。」宋．蘇軾〈王子立墓誌銘〉：「人人自重，不敢嬉宕。」
[名]
石洞、礦坑。《文選．左思．蜀都賦》：「外負銅梁於宕渠，內函要害於膏腴。」明．徐弘祖《徐霞客遊記．卷二下．楚遊日記》：「兼茅中自時有偃宕，疑為虎穴。」 |</v>
      </c>
    </row>
    <row r="3787" spans="1:44" hidden="1">
      <c r="A3787" s="1" t="s">
        <v>5068</v>
      </c>
      <c r="C3787" s="1">
        <v>1</v>
      </c>
      <c r="D3787" s="1" t="str">
        <f>"02062"</f>
        <v>02062</v>
      </c>
      <c r="E3787" s="1" t="s">
        <v>558</v>
      </c>
      <c r="F3787" s="1">
        <v>13</v>
      </c>
      <c r="G3787" s="1">
        <v>9</v>
      </c>
      <c r="H3787" s="1">
        <v>0</v>
      </c>
      <c r="I3787" s="1" t="s">
        <v>5065</v>
      </c>
      <c r="K3787" s="1" t="str">
        <f t="shared" si="236"/>
        <v>ㄉ</v>
      </c>
      <c r="L3787" s="1" t="str">
        <f t="shared" si="237"/>
        <v>ㄤ</v>
      </c>
      <c r="N3787" s="3" t="s">
        <v>30574</v>
      </c>
      <c r="O3787" s="3"/>
      <c r="P3787" s="1" t="s">
        <v>20</v>
      </c>
      <c r="R3787" s="1" t="s">
        <v>5066</v>
      </c>
      <c r="V3787" s="1" t="s">
        <v>5069</v>
      </c>
      <c r="AR3787" s="1" t="str">
        <f t="shared" si="238"/>
        <v>| [ㄉㄤˋ](ㄉㄤˋ.md) | [逿](逿.md) |  | dàng | [動]
1.跌倒。《漢書．卷八八．儒林傳．王式傳》：「式恥之，陽醉逿墜。」唐．顏師古．注：「逿，失據而倒也。」
2.搖撼、振盪。《史記．卷一〇五．扁鵲倉公傳》：「周身熱，脈盛者，為重陽；重陽者，逿心主。」裴駰集解引徐廣曰：「逿，盪也。謂病盪心者，猶刺其心。」 |</v>
      </c>
    </row>
    <row r="3788" spans="1:44" hidden="1">
      <c r="A3788" s="1" t="s">
        <v>5070</v>
      </c>
      <c r="C3788" s="1">
        <v>1</v>
      </c>
      <c r="D3788" s="1" t="str">
        <f>"02063"</f>
        <v>02063</v>
      </c>
      <c r="E3788" s="1" t="s">
        <v>169</v>
      </c>
      <c r="F3788" s="1">
        <v>14</v>
      </c>
      <c r="G3788" s="1">
        <v>9</v>
      </c>
      <c r="H3788" s="1">
        <v>0</v>
      </c>
      <c r="I3788" s="1" t="s">
        <v>5065</v>
      </c>
      <c r="K3788" s="1" t="str">
        <f t="shared" si="236"/>
        <v>ㄉ</v>
      </c>
      <c r="L3788" s="1" t="str">
        <f t="shared" si="237"/>
        <v>ㄤ</v>
      </c>
      <c r="N3788" s="3" t="s">
        <v>30574</v>
      </c>
      <c r="O3788" s="3"/>
      <c r="P3788" s="1" t="s">
        <v>20</v>
      </c>
      <c r="R3788" s="1" t="s">
        <v>5066</v>
      </c>
      <c r="V3788" s="1" t="s">
        <v>5071</v>
      </c>
      <c r="AR3788" s="1" t="str">
        <f t="shared" si="238"/>
        <v>| [ㄉㄤˋ](ㄉㄤˋ.md) | [碭](碭.md) |  | dàng | [名]
1.有紋理的石頭。《文選．何晏．景福殿賦》：「墉垣碭基，其光昭昭。」李善注引《說文》曰：「碭，文石也。」
2.山名。即碭山。在大陸地區安徽省碭山縣東南。
3.姓。如漢代有碭魯賜。
[動]
振盪。《莊子．庚桑楚》：「吞舟之魚，碭而失水，則蟻能苦之。」
[形]
大、廣。《淮南子．本經》：「當此之時，玄玄至碭而運照。」漢．高誘．注：「碭，大也。盛德之君，恩仁廣大，遍照四海也。」 |</v>
      </c>
    </row>
    <row r="3789" spans="1:44" hidden="1">
      <c r="A3789" s="1" t="s">
        <v>5072</v>
      </c>
      <c r="C3789" s="1">
        <v>1</v>
      </c>
      <c r="D3789" s="1" t="str">
        <f>"02064"</f>
        <v>02064</v>
      </c>
      <c r="E3789" s="1" t="s">
        <v>37</v>
      </c>
      <c r="F3789" s="1">
        <v>16</v>
      </c>
      <c r="G3789" s="1">
        <v>12</v>
      </c>
      <c r="H3789" s="1">
        <v>0</v>
      </c>
      <c r="I3789" s="1" t="s">
        <v>5065</v>
      </c>
      <c r="K3789" s="1" t="str">
        <f t="shared" si="236"/>
        <v>ㄉ</v>
      </c>
      <c r="L3789" s="1" t="str">
        <f t="shared" si="237"/>
        <v>ㄤ</v>
      </c>
      <c r="N3789" s="3" t="s">
        <v>30574</v>
      </c>
      <c r="O3789" s="3"/>
      <c r="P3789" s="1" t="s">
        <v>20</v>
      </c>
      <c r="R3789" s="1" t="s">
        <v>5066</v>
      </c>
      <c r="V3789" s="1" t="s">
        <v>5073</v>
      </c>
      <c r="AR3789" s="1" t="str">
        <f t="shared" si="238"/>
        <v>| [ㄉㄤˋ](ㄉㄤˋ.md) | [蕩](蕩.md) |  | dàng | [動]_x000D_
1.搖動、擺動。唐．駱賓王〈櫂歌行〉：「鏡花搖芰日，衣麝入荷風。葉密舟難蕩，蓮疏浦易空。」宋．姜夔〈揚州慢．淮左名都〉詞：「二十四橋仍在，波心蕩、冷月無聲。」《說岳全傳》第四九回：「正在觀看，忽見水面上一隻小船，使著雙槳，望著岸邊蕩來。」_x000D_
2.動亂、擾亂。《荀子．勸學》：「是故權利不能傾也，群眾不能移也，天下不能蕩也。」《呂氏春秋．孟冬紀．孟冬》：「無或作為淫巧以蕩上心，必功致，為上物。」《太平廣記．卷三六一．素娥》引《甘澤謠》：「某非他怪，乃花月之妖。上帝遣求，亦以多言蕩公之心，將興李氏。」_x000D_
3.碰觸、衝撞。唐．柳宗元〈三戒．黔之驢〉：「虎大駭遠遁，……稍近益狎，蕩倚衝冒，驢不勝怒，蹄之。」《水滸傳》第一〇七回：「楊志等遵令。擂鼓三通，眾將上前，蕩開賊將西方門旗，殺將入去。」《型世言》第二五回：「那女子早被箱子一蕩，也滾落水，狠扯箱子。」_x000D_
4.清空、去除。《魏書．卷二四．列傳．崔玄伯》：「譬琴瑟不調，必改而更張；法度不平，亦須蕩而更制。」唐．杜甫〈白鳧行〉：「故畦遺穗已蕩盡，天寒歲暮波濤中。」《西遊記》第六九回：「行者笑道：『賢弟不知！此藥利痰順氣，蕩肚中凝滯之寒熱。』」_x000D_
5.毀壞、敗壞。《國語．周語下》：「夫周，高山、廣川、大藪也，故能生是良材，而幽王蕩以為魁陵、糞土、溝瀆，其有悛乎？」唐．吳融〈沃焦山賦〉：「若然者，不惟九土潰而全墮，抑亦三光蕩而崩離。」《遼史．卷三四．兵衛志上》：「沿途民居、園囿、桑柘，必夷伐焚蕩。」_x000D_
6.閒逛。《西遊記》第六回：「他因沒事幹管理，東遊西蕩。朕又恐別生事端，著他代管蟠桃園。」《醒世恆言．卷三九．汪大尹火焚寶蓮寺》：「一路胡思亂想，行一步，懶一步，慢騰騰的蕩至寺中。」_x000D_
[形]_x000D_
1.放縱不受拘束。如：「放蕩」、「浪蕩子」。《論語．陽貨》：「古之狂也肆，今之狂也蕩。」《列子．楊朱》：「恣耳目之所娛，窮意慮之所為，熙熙然以至於死，此天民之逸蕩者也。」_x000D_
2.平坦。如：「坦蕩」。《詩經．齊風．載驅》：「魯道有蕩，齊子翱翔。」_x000D_
3.廣大無邊際。《左傳．襄公二十九年》：「為之歌豳，曰：『美哉！蕩哉！樂而不淫，其周公之東乎？』」晉．陸雲〈愁霖賦〉：「高岸渙其無崖兮，平原蕩而為淵。」唐．李絳〈兵部尚書王紹神道碑〉：「聖運啟兮大人造，王氣蕩兮英風掃。」_x000D_
[名]_x000D_
1.積水長草的淺水湖。如：「魚蕩」、「蘆花蕩」。宋．范成大〈晚春田園雜興十二絕〉之二：「湖蓮舊蕩藕新翻，小小荷錢沒漲痕。」《水滸傳》第一九回：「何濤與巡檢商議道：『這湖泊裡港汊又多，路徑甚雜；抑且水蕩陂塘，不知深淺。』」_x000D_
2.《詩經．大雅》的篇名。共八章。根據〈詩序〉：「蕩，召穆公傷周室大壞也。厲王無道，蕩蕩無綱紀文章，故作是詩也。」指假文王語氣，以彰殷人之惡，而明周人得國之正也。首章二句為：「蕩蕩上帝，下民之辟。」 |</v>
      </c>
    </row>
    <row r="3790" spans="1:44" hidden="1">
      <c r="A3790" s="1" t="s">
        <v>5074</v>
      </c>
      <c r="C3790" s="1">
        <v>1</v>
      </c>
      <c r="D3790" s="1" t="str">
        <f>"02065"</f>
        <v>02065</v>
      </c>
      <c r="E3790" s="1" t="s">
        <v>438</v>
      </c>
      <c r="F3790" s="1">
        <v>17</v>
      </c>
      <c r="G3790" s="1">
        <v>12</v>
      </c>
      <c r="H3790" s="1">
        <v>0</v>
      </c>
      <c r="I3790" s="1" t="s">
        <v>5065</v>
      </c>
      <c r="K3790" s="1" t="str">
        <f t="shared" si="236"/>
        <v>ㄉ</v>
      </c>
      <c r="L3790" s="1" t="str">
        <f t="shared" si="237"/>
        <v>ㄤ</v>
      </c>
      <c r="N3790" s="3" t="s">
        <v>30574</v>
      </c>
      <c r="O3790" s="3"/>
      <c r="P3790" s="1" t="s">
        <v>20</v>
      </c>
      <c r="R3790" s="1" t="s">
        <v>5066</v>
      </c>
      <c r="V3790" s="1" t="s">
        <v>5075</v>
      </c>
      <c r="AR3790" s="1" t="str">
        <f t="shared" si="238"/>
        <v>| [ㄉㄤˋ](ㄉㄤˋ.md) | [盪](盪.md) |  | dàng | [動]
1.洗滌、洗淨。北齊．顏之推《顏氏家訓．序致》：「習若自然，卒難洗盪。」明．張岱〈岱志〉：「江北地土，其中多有千巖萬壑，特無九年洪水為之盪滌漱剔，一出其真面目耳。」
2.掃除、掃蕩。《後漢書．卷四〇．班彪傳下》：「西盪河源，東澹海漘。」《宋書．卷七七．顏師伯傳》：「苟思達、龐孟虯等又追虜至杜梁，虜眾多，四面俱合，平面參軍童太壹及苟思達等並單騎出盪，應手披靡。」
3.擺動、搖動。如：「盪舟」、「盪鞦韆」。南朝梁．江淹〈悼室人〉詩一〇首之二：「帳裡春風盪，簷前還燕拂。」
4.交替、推移。《易經．繫辭上》：「是故剛柔相摩，八卦相盪。」 |</v>
      </c>
    </row>
    <row r="3791" spans="1:44" hidden="1">
      <c r="A3791" s="1" t="s">
        <v>5076</v>
      </c>
      <c r="C3791" s="1">
        <v>1</v>
      </c>
      <c r="D3791" s="1" t="str">
        <f>"02066"</f>
        <v>02066</v>
      </c>
      <c r="E3791" s="1" t="s">
        <v>49</v>
      </c>
      <c r="F3791" s="1">
        <v>18</v>
      </c>
      <c r="G3791" s="1">
        <v>12</v>
      </c>
      <c r="H3791" s="1">
        <v>0</v>
      </c>
      <c r="I3791" s="1" t="s">
        <v>5065</v>
      </c>
      <c r="K3791" s="1" t="str">
        <f t="shared" si="236"/>
        <v>ㄉ</v>
      </c>
      <c r="L3791" s="1" t="str">
        <f t="shared" si="237"/>
        <v>ㄤ</v>
      </c>
      <c r="N3791" s="3" t="s">
        <v>30574</v>
      </c>
      <c r="O3791" s="3"/>
      <c r="P3791" s="1" t="s">
        <v>20</v>
      </c>
      <c r="R3791" s="1" t="s">
        <v>5066</v>
      </c>
      <c r="V3791" s="1" t="s">
        <v>5077</v>
      </c>
      <c r="AR3791" s="1" t="str">
        <f t="shared" si="238"/>
        <v>| [ㄉㄤˋ](ㄉㄤˋ.md) | [簜](簜.md) |  | dàng | [名]
1.大竹子。《說文解字．竹部》：「簜，大竹也。」《書經．禹貢》：「篠簜既敷，厥草惟夭，厥木惟喬。」漢．孔安國．傳：「篠，竹箭。簜，大竹。」
2.笙簫一類的樂器。《說文解字．竹部》「簜」字．清．段玉裁．注：「以竹成器亦曰簜。笙簫皆用小竹，而云簜者，大之也。」 |</v>
      </c>
    </row>
    <row r="3792" spans="1:44" hidden="1">
      <c r="A3792" s="1" t="s">
        <v>5049</v>
      </c>
      <c r="C3792" s="1">
        <v>1</v>
      </c>
      <c r="D3792" s="1" t="str">
        <f>"02067"</f>
        <v>02067</v>
      </c>
      <c r="E3792" s="1" t="s">
        <v>1824</v>
      </c>
      <c r="F3792" s="1">
        <v>13</v>
      </c>
      <c r="G3792" s="1">
        <v>8</v>
      </c>
      <c r="H3792" s="1">
        <v>1</v>
      </c>
      <c r="I3792" s="1" t="s">
        <v>5065</v>
      </c>
      <c r="K3792" s="1" t="str">
        <f t="shared" si="236"/>
        <v>ㄉ</v>
      </c>
      <c r="L3792" s="1" t="str">
        <f t="shared" si="237"/>
        <v>ㄤ</v>
      </c>
      <c r="N3792" s="3" t="s">
        <v>30574</v>
      </c>
      <c r="O3792" s="3"/>
      <c r="P3792" s="1" t="s">
        <v>20</v>
      </c>
      <c r="R3792" s="1" t="s">
        <v>5066</v>
      </c>
      <c r="V3792" s="1" t="s">
        <v>5078</v>
      </c>
      <c r="W3792" s="1" t="s">
        <v>5079</v>
      </c>
      <c r="AR3792" s="1" t="str">
        <f t="shared" si="238"/>
        <v>| [ㄉㄤˋ](ㄉㄤˋ.md) | [瓽](瓽.md) |  | dàng | [名]
1.大盆。《說文解字．瓦部》：「瓽，大盆也。」《廣韻．去聲．宕韻》：「瓽，大甕。」
2.以磚砌成的井壁。《漢書．卷九二．游俠傳．陳遵傳》：「一旦叀礙，為瓽所轠，身提黃泉，骨肉為泥。」 |</v>
      </c>
    </row>
    <row r="3793" spans="1:44" hidden="1">
      <c r="A3793" s="1" t="s">
        <v>5029</v>
      </c>
      <c r="C3793" s="1">
        <v>1</v>
      </c>
      <c r="D3793" s="1" t="str">
        <f>"02068"</f>
        <v>02068</v>
      </c>
      <c r="E3793" s="1" t="s">
        <v>753</v>
      </c>
      <c r="F3793" s="1">
        <v>13</v>
      </c>
      <c r="G3793" s="1">
        <v>8</v>
      </c>
      <c r="H3793" s="1">
        <v>2</v>
      </c>
      <c r="I3793" s="1" t="s">
        <v>5065</v>
      </c>
      <c r="K3793" s="1" t="str">
        <f t="shared" si="236"/>
        <v>ㄉ</v>
      </c>
      <c r="L3793" s="1" t="str">
        <f t="shared" si="237"/>
        <v>ㄤ</v>
      </c>
      <c r="N3793" s="3" t="s">
        <v>30574</v>
      </c>
      <c r="O3793" s="3"/>
      <c r="P3793" s="1" t="s">
        <v>20</v>
      </c>
      <c r="R3793" s="1" t="s">
        <v>5066</v>
      </c>
      <c r="V3793" s="1" t="s">
        <v>5080</v>
      </c>
      <c r="W3793" s="1" t="s">
        <v>5081</v>
      </c>
      <c r="AR3793" s="1" t="str">
        <f t="shared" si="238"/>
        <v>| [ㄉㄤˋ](ㄉㄤˋ.md) | [當](當.md) |  | dàng | [形]_x000D_
1.合宜。如：「恰當」、「適當」、「妥當」、「若有不當之處，請多指教。」《禮記．樂記》：「夫古者天地順而四時當，民有德而五穀昌。」_x000D_
2.同一。_x000D_
[動]_x000D_
1.用物品向當鋪抵押借錢。如：「典當」、「質當」。《儒林外史》第三六回：「拿幾件衣服當了。」_x000D_
2.視、認為。如：「不該錯將好人當壞人！」「你當我是傻子？居然敢賣我贗品！」_x000D_
3.成績不及格。或以為來源是借用橋牌術語「down」。如：「這一科我沒考好，準被當！」_x000D_
[名]_x000D_
1.圈套、詭計。如：「害人的勾當」。《紅樓夢》第九二回：「我一時失腳，上了他的當。」_x000D_
2.抵押在當鋪的物品。如：「贖當」。 |</v>
      </c>
    </row>
    <row r="3794" spans="1:44" hidden="1">
      <c r="A3794" s="1" t="s">
        <v>5055</v>
      </c>
      <c r="C3794" s="1">
        <v>1</v>
      </c>
      <c r="D3794" s="1" t="str">
        <f>"02069"</f>
        <v>02069</v>
      </c>
      <c r="E3794" s="1" t="s">
        <v>139</v>
      </c>
      <c r="F3794" s="1">
        <v>17</v>
      </c>
      <c r="G3794" s="1">
        <v>13</v>
      </c>
      <c r="H3794" s="1">
        <v>2</v>
      </c>
      <c r="I3794" s="1" t="s">
        <v>5065</v>
      </c>
      <c r="K3794" s="1" t="str">
        <f t="shared" si="236"/>
        <v>ㄉ</v>
      </c>
      <c r="L3794" s="1" t="str">
        <f t="shared" si="237"/>
        <v>ㄤ</v>
      </c>
      <c r="N3794" s="3" t="s">
        <v>30574</v>
      </c>
      <c r="O3794" s="3"/>
      <c r="P3794" s="1" t="s">
        <v>110</v>
      </c>
      <c r="R3794" s="1" t="s">
        <v>5066</v>
      </c>
      <c r="V3794" s="1" t="s">
        <v>111</v>
      </c>
      <c r="W3794" s="1" t="s">
        <v>5082</v>
      </c>
      <c r="AR3794" s="1" t="str">
        <f t="shared" si="238"/>
        <v>| [ㄉㄤˋ](ㄉㄤˋ.md) | [檔](檔.md) |  | dàng | (一)之又音。 |</v>
      </c>
    </row>
    <row r="3795" spans="1:44" hidden="1">
      <c r="A3795" s="1" t="s">
        <v>5045</v>
      </c>
      <c r="C3795" s="1">
        <v>1</v>
      </c>
      <c r="D3795" s="1" t="str">
        <f>"02053"</f>
        <v>02053</v>
      </c>
      <c r="E3795" s="1" t="s">
        <v>3581</v>
      </c>
      <c r="F3795" s="1">
        <v>10</v>
      </c>
      <c r="G3795" s="1">
        <v>8</v>
      </c>
      <c r="H3795" s="1">
        <v>0</v>
      </c>
      <c r="I3795" s="1" t="s">
        <v>5046</v>
      </c>
      <c r="K3795" s="1" t="str">
        <f t="shared" si="236"/>
        <v>ㄉ</v>
      </c>
      <c r="L3795" s="1" t="str">
        <f t="shared" si="237"/>
        <v>ㄤ</v>
      </c>
      <c r="N3795" s="3" t="s">
        <v>30576</v>
      </c>
      <c r="O3795" s="3"/>
      <c r="P3795" s="1" t="s">
        <v>20</v>
      </c>
      <c r="R3795" s="1" t="s">
        <v>5047</v>
      </c>
      <c r="V3795" s="1" t="s">
        <v>5048</v>
      </c>
      <c r="AR3795" s="1" t="str">
        <f t="shared" si="238"/>
        <v>| [ㄉㄤˇ](ㄉㄤˇ.md) | [党](党.md) |  | dǎng | [名]
姓。如宋代有党進。 |</v>
      </c>
    </row>
    <row r="3796" spans="1:44" hidden="1">
      <c r="A3796" s="1" t="s">
        <v>5049</v>
      </c>
      <c r="C3796" s="1">
        <v>1</v>
      </c>
      <c r="D3796" s="1" t="str">
        <f>"02054"</f>
        <v>02054</v>
      </c>
      <c r="E3796" s="1" t="s">
        <v>1824</v>
      </c>
      <c r="F3796" s="1">
        <v>13</v>
      </c>
      <c r="G3796" s="1">
        <v>8</v>
      </c>
      <c r="H3796" s="1">
        <v>2</v>
      </c>
      <c r="I3796" s="1" t="s">
        <v>5046</v>
      </c>
      <c r="K3796" s="1" t="str">
        <f t="shared" si="236"/>
        <v>ㄉ</v>
      </c>
      <c r="L3796" s="1" t="str">
        <f t="shared" si="237"/>
        <v>ㄤ</v>
      </c>
      <c r="N3796" s="3" t="s">
        <v>30576</v>
      </c>
      <c r="O3796" s="3"/>
      <c r="P3796" s="1" t="s">
        <v>110</v>
      </c>
      <c r="R3796" s="1" t="s">
        <v>5047</v>
      </c>
      <c r="V3796" s="1" t="s">
        <v>111</v>
      </c>
      <c r="W3796" s="1" t="s">
        <v>5050</v>
      </c>
      <c r="AR3796" s="1" t="str">
        <f t="shared" si="238"/>
        <v>| [ㄉㄤˇ](ㄉㄤˇ.md) | [瓽](瓽.md) |  | dǎng | (一)之又音。 |</v>
      </c>
    </row>
    <row r="3797" spans="1:44" hidden="1">
      <c r="A3797" s="1" t="s">
        <v>5029</v>
      </c>
      <c r="C3797" s="1">
        <v>1</v>
      </c>
      <c r="D3797" s="1" t="str">
        <f>"02055"</f>
        <v>02055</v>
      </c>
      <c r="E3797" s="1" t="s">
        <v>753</v>
      </c>
      <c r="F3797" s="1">
        <v>13</v>
      </c>
      <c r="G3797" s="1">
        <v>8</v>
      </c>
      <c r="H3797" s="1">
        <v>3</v>
      </c>
      <c r="I3797" s="1" t="s">
        <v>5046</v>
      </c>
      <c r="K3797" s="1" t="str">
        <f t="shared" si="236"/>
        <v>ㄉ</v>
      </c>
      <c r="L3797" s="1" t="str">
        <f t="shared" si="237"/>
        <v>ㄤ</v>
      </c>
      <c r="N3797" s="3" t="s">
        <v>30576</v>
      </c>
      <c r="O3797" s="3"/>
      <c r="P3797" s="1" t="s">
        <v>20</v>
      </c>
      <c r="R3797" s="1" t="s">
        <v>5047</v>
      </c>
      <c r="V3797" s="1" t="s">
        <v>5051</v>
      </c>
      <c r="W3797" s="1" t="s">
        <v>5052</v>
      </c>
      <c r="AR3797" s="1" t="str">
        <f t="shared" si="238"/>
        <v>| [ㄉㄤˇ](ㄉㄤˇ.md) | [當](當.md) |  | dǎng | [動]
1.匹敵、抵抗。通「擋」。如：「螳臂當車」、「銳不可當」。《史記．卷八一．廉頗藺相如列傳》：「言兵事，以天下莫能當。」唐．王維〈老將行〉：「一身轉戰三千里，一劍曾當百萬師。」
2.偏袒。通「黨」。《莊子．天下〉：「公而不當，易而無私。」 |</v>
      </c>
    </row>
    <row r="3798" spans="1:44" hidden="1">
      <c r="A3798" s="1" t="s">
        <v>5053</v>
      </c>
      <c r="C3798" s="1">
        <v>1</v>
      </c>
      <c r="D3798" s="1" t="str">
        <f>"02056"</f>
        <v>02056</v>
      </c>
      <c r="E3798" s="1" t="s">
        <v>24</v>
      </c>
      <c r="F3798" s="1">
        <v>16</v>
      </c>
      <c r="G3798" s="1">
        <v>13</v>
      </c>
      <c r="H3798" s="1">
        <v>0</v>
      </c>
      <c r="I3798" s="1" t="s">
        <v>5046</v>
      </c>
      <c r="K3798" s="1" t="str">
        <f t="shared" si="236"/>
        <v>ㄉ</v>
      </c>
      <c r="L3798" s="1" t="str">
        <f t="shared" si="237"/>
        <v>ㄤ</v>
      </c>
      <c r="N3798" s="3" t="s">
        <v>30576</v>
      </c>
      <c r="O3798" s="3"/>
      <c r="P3798" s="1" t="s">
        <v>20</v>
      </c>
      <c r="R3798" s="1" t="s">
        <v>5047</v>
      </c>
      <c r="V3798" s="1" t="s">
        <v>5054</v>
      </c>
      <c r="AR3798" s="1" t="str">
        <f t="shared" si="238"/>
        <v>| [ㄉㄤˇ](ㄉㄤˇ.md) | [擋](擋.md) |  | dǎng | [動]_x000D_
1.遮蔽。如：「擋太陽」、「擋風遮雨」。_x000D_
2.攔阻、抵擋。如：「擋駕」、「擋箭牌」、「兵來將擋，水來土掩。」《兒女英雄傳》第四〇回：「你看這可不叫作運氣來了，崑崙山也擋不住麼。」 |</v>
      </c>
    </row>
    <row r="3799" spans="1:44" hidden="1">
      <c r="A3799" s="1" t="s">
        <v>5055</v>
      </c>
      <c r="C3799" s="1">
        <v>1</v>
      </c>
      <c r="D3799" s="1" t="str">
        <f>"02057"</f>
        <v>02057</v>
      </c>
      <c r="E3799" s="1" t="s">
        <v>139</v>
      </c>
      <c r="F3799" s="1">
        <v>17</v>
      </c>
      <c r="G3799" s="1">
        <v>13</v>
      </c>
      <c r="H3799" s="1">
        <v>1</v>
      </c>
      <c r="I3799" s="1" t="s">
        <v>5046</v>
      </c>
      <c r="K3799" s="1" t="str">
        <f t="shared" si="236"/>
        <v>ㄉ</v>
      </c>
      <c r="L3799" s="1" t="str">
        <f t="shared" si="237"/>
        <v>ㄤ</v>
      </c>
      <c r="N3799" s="3" t="s">
        <v>30576</v>
      </c>
      <c r="O3799" s="3"/>
      <c r="P3799" s="1" t="s">
        <v>20</v>
      </c>
      <c r="R3799" s="1" t="s">
        <v>5047</v>
      </c>
      <c r="V3799" s="1" t="s">
        <v>5056</v>
      </c>
      <c r="W3799" s="1" t="s">
        <v>5057</v>
      </c>
      <c r="AR3799" s="1" t="str">
        <f t="shared" si="238"/>
        <v>| [ㄉㄤˇ](ㄉㄤˇ.md) | [檔](檔.md) |  | dǎng | [名]_x000D_
1.存放公文、卷宗的櫥架。如：「歸檔」、「清檔」、「存檔」。_x000D_
2.檔案的簡稱。如：「建檔」、「查檔」。_x000D_
3.電影或戲劇節目放映演出的時段。如：「接檔」、「上檔」、「下檔」、「黃金檔」、「八點檔」。_x000D_
4.排檔汽車等變速器的簡稱。如：「換檔」、「低速檔」。_x000D_
5.指時間或空間的空隙。如：「空檔」、「填檔」。_x000D_
6.貨品的等級或價位。如：「低檔貨」、「高檔產品」。_x000D_
7.組合的夥伴。如：「搭檔」、「拍檔」、「父子檔」、「兄弟檔」。_x000D_
8.攤位。如：「魚檔」、「大排檔」。_x000D_
9.量詞：(1)計算娛樂節目演出期間的單位。如：「下一檔戲」、「作了三檔秀」。(2)計算事物、事件的單位。相當於「碼」、「件」。如：「為了這檔事，我四處奔波，可真累壞了！」 |</v>
      </c>
    </row>
    <row r="3800" spans="1:44" hidden="1">
      <c r="A3800" s="1" t="s">
        <v>5058</v>
      </c>
      <c r="C3800" s="1">
        <v>1</v>
      </c>
      <c r="D3800" s="1" t="str">
        <f>"02058"</f>
        <v>02058</v>
      </c>
      <c r="E3800" s="1" t="s">
        <v>2777</v>
      </c>
      <c r="F3800" s="1">
        <v>20</v>
      </c>
      <c r="G3800" s="1">
        <v>8</v>
      </c>
      <c r="H3800" s="1">
        <v>0</v>
      </c>
      <c r="I3800" s="1" t="s">
        <v>5046</v>
      </c>
      <c r="K3800" s="1" t="str">
        <f t="shared" si="236"/>
        <v>ㄉ</v>
      </c>
      <c r="L3800" s="1" t="str">
        <f t="shared" si="237"/>
        <v>ㄤ</v>
      </c>
      <c r="N3800" s="3" t="s">
        <v>30576</v>
      </c>
      <c r="O3800" s="3"/>
      <c r="P3800" s="1" t="s">
        <v>20</v>
      </c>
      <c r="R3800" s="1" t="s">
        <v>5047</v>
      </c>
      <c r="V3800" s="1" t="s">
        <v>5059</v>
      </c>
      <c r="AR3800" s="1" t="str">
        <f t="shared" si="238"/>
        <v>| [ㄉㄤˇ](ㄉㄤˇ.md) | [黨](黨.md) |  | dǎng | [名]
1.志同道合的人所組成的有組織、有主義的團體。如：「政黨」、「革命黨」。
2.因利害關係而結成的小團體。如：「結黨營私」、「狐群狗黨」。《左傳．僖公九年》：「臣聞亡人無黨，有黨必有讎。」漢．桓寬《鹽鐵論．禁耕》：「眾邪群聚，私門成黨。」
3.朋友、同輩。指意氣相投的人。唐．韓愈〈山石〉詩：「嗟哉吾黨二三子，安得至老不更歸。」
4.古代地方的組織名稱。以五百家為一黨。《周禮．地官．大司徒》：「五族為黨。」漢．鄭玄．注：「族，百家；黨，五百家。」《禮記．學記》：「股之教者，家有塾，黨有庠，術有序，國有學。」
5.親族、姻戚。如：「父黨」、「母黨」。
6.姓。如明代有黨還醇。
[動]
偏袒、偏私。《書經．洪範》：「無偏無黨，王道蕩蕩。」《論語．述而》：「吾聞君子不黨，君子亦黨乎？」
[形]
正直的。同「讜」。如：「黨言」、「黨論」。 |</v>
      </c>
    </row>
    <row r="3801" spans="1:44" hidden="1">
      <c r="A3801" s="1" t="s">
        <v>5060</v>
      </c>
      <c r="C3801" s="1">
        <v>1</v>
      </c>
      <c r="D3801" s="1" t="str">
        <f>"02059"</f>
        <v>02059</v>
      </c>
      <c r="E3801" s="1" t="s">
        <v>24</v>
      </c>
      <c r="F3801" s="1">
        <v>23</v>
      </c>
      <c r="G3801" s="1">
        <v>20</v>
      </c>
      <c r="H3801" s="1">
        <v>0</v>
      </c>
      <c r="I3801" s="1" t="s">
        <v>5046</v>
      </c>
      <c r="K3801" s="1" t="str">
        <f t="shared" si="236"/>
        <v>ㄉ</v>
      </c>
      <c r="L3801" s="1" t="str">
        <f t="shared" si="237"/>
        <v>ㄤ</v>
      </c>
      <c r="N3801" s="3" t="s">
        <v>30576</v>
      </c>
      <c r="O3801" s="3"/>
      <c r="P3801" s="1" t="s">
        <v>20</v>
      </c>
      <c r="R3801" s="1" t="s">
        <v>5047</v>
      </c>
      <c r="V3801" s="1" t="s">
        <v>5061</v>
      </c>
      <c r="AR3801" s="1" t="str">
        <f t="shared" si="238"/>
        <v>| [ㄉㄤˇ](ㄉㄤˇ.md) | [攩](攩.md) |  | dǎng | [動]
1.阻攔。同「擋」。《警世通言．卷二八．白娘子永鎮雷峰塔》：「許宣道：『你是鬼怪，不許入來。』攩住了門不放他。」
2.抵擋、抵禦。金聖歎刪本《水滸傳》第三二回：「且把酒來攩寒。」
3.搥打。《列子．黃帝》：「既而狎侮欺詒，攩㧙挨抌，亡所不為。」 |</v>
      </c>
    </row>
    <row r="3802" spans="1:44" hidden="1">
      <c r="A3802" s="1" t="s">
        <v>5062</v>
      </c>
      <c r="C3802" s="1">
        <v>1</v>
      </c>
      <c r="D3802" s="1" t="str">
        <f>"02060"</f>
        <v>02060</v>
      </c>
      <c r="E3802" s="1" t="s">
        <v>331</v>
      </c>
      <c r="F3802" s="1">
        <v>27</v>
      </c>
      <c r="G3802" s="1">
        <v>20</v>
      </c>
      <c r="H3802" s="1">
        <v>0</v>
      </c>
      <c r="I3802" s="1" t="s">
        <v>5046</v>
      </c>
      <c r="K3802" s="1" t="str">
        <f t="shared" si="236"/>
        <v>ㄉ</v>
      </c>
      <c r="L3802" s="1" t="str">
        <f t="shared" si="237"/>
        <v>ㄤ</v>
      </c>
      <c r="N3802" s="3" t="s">
        <v>30576</v>
      </c>
      <c r="O3802" s="3"/>
      <c r="P3802" s="1" t="s">
        <v>20</v>
      </c>
      <c r="R3802" s="1" t="s">
        <v>5047</v>
      </c>
      <c r="V3802" s="1" t="s">
        <v>5063</v>
      </c>
      <c r="AR3802" s="1" t="str">
        <f t="shared" si="238"/>
        <v>| [ㄉㄤˇ](ㄉㄤˇ.md) | [讜](讜.md) |  | dǎng | [名]
1.正直的言論。《玉篇．言部》：「讜，直言也，善言也。」
2.敢於直言無諱的人。唐．李白〈經亂離後天恩流夜郎憶舊遊書懷贈江夏韋太守良宰〉詩：「公卿如犬羊，忠讜醢與葅。」
[形]
正直的。如：「讜論」。南朝梁．劉勰《文心雕龍．奏啟》：「有表奏確切，號為讜言。」 |</v>
      </c>
    </row>
    <row r="3803" spans="1:44" hidden="1">
      <c r="A3803" s="1" t="s">
        <v>5106</v>
      </c>
      <c r="C3803" s="1">
        <v>1</v>
      </c>
      <c r="D3803" s="1" t="str">
        <f>"02079"</f>
        <v>02079</v>
      </c>
      <c r="E3803" s="1" t="s">
        <v>5107</v>
      </c>
      <c r="F3803" s="1">
        <v>14</v>
      </c>
      <c r="G3803" s="1">
        <v>12</v>
      </c>
      <c r="H3803" s="1">
        <v>0</v>
      </c>
      <c r="I3803" s="1" t="s">
        <v>5108</v>
      </c>
      <c r="K3803" s="1" t="str">
        <f t="shared" si="236"/>
        <v>ㄉ</v>
      </c>
      <c r="L3803" s="1" t="str">
        <f t="shared" si="237"/>
        <v>ㄥ</v>
      </c>
      <c r="N3803" s="3" t="s">
        <v>30574</v>
      </c>
      <c r="O3803" s="3"/>
      <c r="P3803" s="1" t="s">
        <v>20</v>
      </c>
      <c r="R3803" s="1" t="s">
        <v>5109</v>
      </c>
      <c r="V3803" s="1" t="s">
        <v>5110</v>
      </c>
      <c r="AR3803" s="1" t="str">
        <f t="shared" si="238"/>
        <v>| [ㄉㄥˋ](ㄉㄥˋ.md) | [凳](凳.md) |  | dèng | [名]
無靠背的坐具。如：「板凳」、「長凳」。《紅樓夢》第六二回：「都走來看時，果見湘雲臥於山石僻處一個石凳子上，業經香夢沉酣。」 |</v>
      </c>
    </row>
    <row r="3804" spans="1:44" hidden="1">
      <c r="A3804" s="1" t="s">
        <v>5111</v>
      </c>
      <c r="C3804" s="1">
        <v>1</v>
      </c>
      <c r="D3804" s="1" t="str">
        <f>"02079A"</f>
        <v>02079A</v>
      </c>
      <c r="E3804" s="1" t="s">
        <v>129</v>
      </c>
      <c r="F3804" s="1">
        <v>15</v>
      </c>
      <c r="G3804" s="1">
        <v>12</v>
      </c>
      <c r="H3804" s="1">
        <v>2</v>
      </c>
      <c r="I3804" s="1" t="s">
        <v>5108</v>
      </c>
      <c r="K3804" s="1" t="str">
        <f t="shared" si="236"/>
        <v>ㄉ</v>
      </c>
      <c r="L3804" s="1" t="str">
        <f t="shared" si="237"/>
        <v>ㄥ</v>
      </c>
      <c r="N3804" s="3" t="s">
        <v>30574</v>
      </c>
      <c r="O3804" s="3"/>
      <c r="P3804" s="1" t="s">
        <v>20</v>
      </c>
      <c r="R3804" s="1" t="s">
        <v>5109</v>
      </c>
      <c r="V3804" s="1" t="s">
        <v>5112</v>
      </c>
      <c r="W3804" s="1" t="s">
        <v>5113</v>
      </c>
      <c r="AR3804" s="1" t="str">
        <f t="shared" si="238"/>
        <v>| [ㄉㄥˋ](ㄉㄥˋ.md) | [澄](澄.md) |  | dèng | [動]
使沉澱、清澈。如：「把這盆水澄一澄。」 |</v>
      </c>
    </row>
    <row r="3805" spans="1:44" hidden="1">
      <c r="A3805" s="1" t="s">
        <v>5114</v>
      </c>
      <c r="C3805" s="1">
        <v>1</v>
      </c>
      <c r="D3805" s="1" t="str">
        <f>"02080"</f>
        <v>02080</v>
      </c>
      <c r="E3805" s="1" t="s">
        <v>132</v>
      </c>
      <c r="F3805" s="1">
        <v>15</v>
      </c>
      <c r="G3805" s="1">
        <v>12</v>
      </c>
      <c r="H3805" s="1">
        <v>0</v>
      </c>
      <c r="I3805" s="1" t="s">
        <v>5108</v>
      </c>
      <c r="K3805" s="1" t="str">
        <f t="shared" si="236"/>
        <v>ㄉ</v>
      </c>
      <c r="L3805" s="1" t="str">
        <f t="shared" si="237"/>
        <v>ㄥ</v>
      </c>
      <c r="N3805" s="3" t="s">
        <v>30574</v>
      </c>
      <c r="O3805" s="3"/>
      <c r="P3805" s="1" t="s">
        <v>20</v>
      </c>
      <c r="R3805" s="1" t="s">
        <v>5109</v>
      </c>
      <c r="V3805" s="1" t="s">
        <v>5115</v>
      </c>
      <c r="AR3805" s="1" t="str">
        <f t="shared" si="238"/>
        <v>| [ㄉㄥˋ](ㄉㄥˋ.md) | [墱](墱.md) |  | dèng | [名]
1.棧道。《文選．張衡．西京賦》：「即乃珍臺蹇產以極壯；墱道邐倚以正東。」《讀史方輿紀要．卷三九．山西一．五臺》：「危墱于霄，喬林拂日。」
2.排水道。《文選．左思．魏都賦》：「墱流十二，同源異口。畜為屯雲，泄為行雨。」北魏．酈道元《水經注．濁漳水注》：「魏武王又堨漳水迴流東注，號天井堰，二十里中作十二墱，墱相去三百步，令互相灌注。」 |</v>
      </c>
    </row>
    <row r="3806" spans="1:44" hidden="1">
      <c r="A3806" s="1" t="s">
        <v>5116</v>
      </c>
      <c r="C3806" s="1">
        <v>1</v>
      </c>
      <c r="D3806" s="1" t="str">
        <f>"02081"</f>
        <v>02081</v>
      </c>
      <c r="E3806" s="1" t="s">
        <v>190</v>
      </c>
      <c r="F3806" s="1">
        <v>15</v>
      </c>
      <c r="G3806" s="1">
        <v>12</v>
      </c>
      <c r="H3806" s="1">
        <v>0</v>
      </c>
      <c r="I3806" s="1" t="s">
        <v>5108</v>
      </c>
      <c r="K3806" s="1" t="str">
        <f t="shared" si="236"/>
        <v>ㄉ</v>
      </c>
      <c r="L3806" s="1" t="str">
        <f t="shared" si="237"/>
        <v>ㄥ</v>
      </c>
      <c r="N3806" s="3" t="s">
        <v>30574</v>
      </c>
      <c r="O3806" s="3"/>
      <c r="P3806" s="1" t="s">
        <v>20</v>
      </c>
      <c r="R3806" s="1" t="s">
        <v>5109</v>
      </c>
      <c r="V3806" s="1" t="s">
        <v>5117</v>
      </c>
      <c r="AR3806" s="1" t="str">
        <f t="shared" si="238"/>
        <v>| [ㄉㄥˋ](ㄉㄥˋ.md) | [嶝](嶝.md) |  | dèng | [名]
登山的小路。《字彙．山部》：「嶝，登陟之道。」《樂府詩集．卷三二．相和歌辭七．南朝宋．沈約．從軍行》：「雲縈九折嶝，風卷萬里波。」 |</v>
      </c>
    </row>
    <row r="3807" spans="1:44" hidden="1">
      <c r="A3807" s="1" t="s">
        <v>5118</v>
      </c>
      <c r="C3807" s="1">
        <v>1</v>
      </c>
      <c r="D3807" s="1" t="str">
        <f>"02082"</f>
        <v>02082</v>
      </c>
      <c r="E3807" s="1" t="s">
        <v>256</v>
      </c>
      <c r="F3807" s="1">
        <v>15</v>
      </c>
      <c r="G3807" s="1">
        <v>12</v>
      </c>
      <c r="H3807" s="1">
        <v>0</v>
      </c>
      <c r="I3807" s="1" t="s">
        <v>5108</v>
      </c>
      <c r="K3807" s="1" t="str">
        <f t="shared" si="236"/>
        <v>ㄉ</v>
      </c>
      <c r="L3807" s="1" t="str">
        <f t="shared" si="237"/>
        <v>ㄥ</v>
      </c>
      <c r="N3807" s="3" t="s">
        <v>30574</v>
      </c>
      <c r="O3807" s="3"/>
      <c r="P3807" s="1" t="s">
        <v>20</v>
      </c>
      <c r="R3807" s="1" t="s">
        <v>5109</v>
      </c>
      <c r="V3807" s="1" t="s">
        <v>5119</v>
      </c>
      <c r="AR3807" s="1" t="str">
        <f t="shared" si="238"/>
        <v>| [ㄉㄥˋ](ㄉㄥˋ.md) | [鄧](鄧.md) |  | dèng | [名]
1.國名。曼姓。周時所建。故址在今大陸地區河南省鄧縣，後為楚所滅。《說文解字．邑部》：「鄧，曼姓之國，今屬南陽。」
2.地名：(1)春秋時魯地，在今大陸地區山東省汶河以南，運河以北一帶。《左傳．隱公十年》：「公會齊侯、鄭伯于中丘，癸丑，盟于鄧，為師期。」晉．杜預．注：「鄧，魯地。」(2)春秋時蔡地，約在今大陸地區河南省郾城縣東南。(3)戰國時魏邑，約在今大陸地區河南省孟縣西南。《史記．卷五．秦本紀》：「（昭襄王）十六年，左更錯取軹及鄧。」張守節正義引《括地志》：「故鄧城在懷州河陽縣西三十一里，並六國時魏邑也。」
3.姓。如三國時魏國有鄧艾，清代有鄧廷楨。 |</v>
      </c>
    </row>
    <row r="3808" spans="1:44" hidden="1">
      <c r="A3808" s="1" t="s">
        <v>5120</v>
      </c>
      <c r="C3808" s="1">
        <v>1</v>
      </c>
      <c r="D3808" s="1" t="str">
        <f>"02083"</f>
        <v>02083</v>
      </c>
      <c r="E3808" s="1" t="s">
        <v>691</v>
      </c>
      <c r="F3808" s="1">
        <v>15</v>
      </c>
      <c r="G3808" s="1">
        <v>12</v>
      </c>
      <c r="H3808" s="1">
        <v>0</v>
      </c>
      <c r="I3808" s="1" t="s">
        <v>5108</v>
      </c>
      <c r="K3808" s="1" t="str">
        <f t="shared" si="236"/>
        <v>ㄉ</v>
      </c>
      <c r="L3808" s="1" t="str">
        <f t="shared" si="237"/>
        <v>ㄥ</v>
      </c>
      <c r="N3808" s="3" t="s">
        <v>30574</v>
      </c>
      <c r="O3808" s="3"/>
      <c r="P3808" s="1" t="s">
        <v>20</v>
      </c>
      <c r="R3808" s="1" t="s">
        <v>5109</v>
      </c>
      <c r="V3808" s="1" t="s">
        <v>5121</v>
      </c>
      <c r="AR3808" s="1" t="str">
        <f t="shared" si="238"/>
        <v>| [ㄉㄥˋ](ㄉㄥˋ.md) | [隥](隥.md) |  | dèng | [名]
1.階梯、石階。通「蹬」。《說文解字．阜部》：「隥，仰也。」清．段玉裁．注：「仰者舉也。登陟之道曰隥。」《新唐書．卷八三．諸帝公主傳．中宗八女傳》：「司農卿趙履溫為繕治，累石肖華山，隥彴橫邪，回淵九折，以石瀵水。」
2.山坡、險坡。《玉篇．阜部》：「隥，險阪也。」《穆天子傳》卷四：「天子南還，升于長松之隥。」 |</v>
      </c>
    </row>
    <row r="3809" spans="1:44" hidden="1">
      <c r="A3809" s="1" t="s">
        <v>5122</v>
      </c>
      <c r="C3809" s="1">
        <v>1</v>
      </c>
      <c r="D3809" s="1" t="str">
        <f>"02084"</f>
        <v>02084</v>
      </c>
      <c r="E3809" s="1" t="s">
        <v>169</v>
      </c>
      <c r="F3809" s="1">
        <v>17</v>
      </c>
      <c r="G3809" s="1">
        <v>12</v>
      </c>
      <c r="H3809" s="1">
        <v>0</v>
      </c>
      <c r="I3809" s="1" t="s">
        <v>5108</v>
      </c>
      <c r="K3809" s="1" t="str">
        <f t="shared" si="236"/>
        <v>ㄉ</v>
      </c>
      <c r="L3809" s="1" t="str">
        <f t="shared" si="237"/>
        <v>ㄥ</v>
      </c>
      <c r="N3809" s="3" t="s">
        <v>30574</v>
      </c>
      <c r="O3809" s="3"/>
      <c r="P3809" s="1" t="s">
        <v>20</v>
      </c>
      <c r="R3809" s="1" t="s">
        <v>5109</v>
      </c>
      <c r="V3809" s="1" t="s">
        <v>5123</v>
      </c>
      <c r="AR3809" s="1" t="str">
        <f t="shared" si="238"/>
        <v>| [ㄉㄥˋ](ㄉㄥˋ.md) | [磴](磴.md) |  | dèng | [名]
石階。宋．蘇軾〈徑山道中次韻答周長官兼贈蘇寺丞〉詩：「南望功臣山，雲外盤飛磴。」清．蔣士銓《冬青樹》第二九齣：「都認做鬼門關程途幽渺，哪知是俺上青雲梯磴逍遙。」 |</v>
      </c>
    </row>
    <row r="3810" spans="1:44" hidden="1">
      <c r="A3810" s="1" t="s">
        <v>5124</v>
      </c>
      <c r="C3810" s="1">
        <v>1</v>
      </c>
      <c r="D3810" s="1" t="str">
        <f>"02085"</f>
        <v>02085</v>
      </c>
      <c r="E3810" s="1" t="s">
        <v>1015</v>
      </c>
      <c r="F3810" s="1">
        <v>17</v>
      </c>
      <c r="G3810" s="1">
        <v>12</v>
      </c>
      <c r="H3810" s="1">
        <v>0</v>
      </c>
      <c r="I3810" s="1" t="s">
        <v>5108</v>
      </c>
      <c r="K3810" s="1" t="str">
        <f t="shared" si="236"/>
        <v>ㄉ</v>
      </c>
      <c r="L3810" s="1" t="str">
        <f t="shared" si="237"/>
        <v>ㄥ</v>
      </c>
      <c r="N3810" s="3" t="s">
        <v>30574</v>
      </c>
      <c r="O3810" s="3"/>
      <c r="P3810" s="1" t="s">
        <v>20</v>
      </c>
      <c r="R3810" s="1" t="s">
        <v>5109</v>
      </c>
      <c r="V3810" s="1" t="s">
        <v>5125</v>
      </c>
      <c r="AR3810" s="1" t="str">
        <f t="shared" si="238"/>
        <v>| [ㄉㄥˋ](ㄉㄥˋ.md) | [瞪](瞪.md) |  | dèng | [動]
1.惡意的看人。常表示憤恨或不滿。如：「這個路人很不高興的瞪了對方一眼。」
2.睜大眼睛直視。如：「他把眼睛都瞪圓了。」《晉書．卷九四．隱逸列傳．郭文》：「文瞪眸不轉，跨躡華堂如行林野。」
[副]
怒目而視。《舊唐書．卷一九〇．文苑列傳下．杜甫》：「甫性褊躁，無器度，恃恩放恣，常憑醉登武之床，瞪視武曰：『嚴挺之乃有此兒。』」 |</v>
      </c>
    </row>
    <row r="3811" spans="1:44" hidden="1">
      <c r="A3811" s="1" t="s">
        <v>5126</v>
      </c>
      <c r="C3811" s="1">
        <v>1</v>
      </c>
      <c r="D3811" s="1" t="str">
        <f>"02086"</f>
        <v>02086</v>
      </c>
      <c r="E3811" s="1" t="s">
        <v>77</v>
      </c>
      <c r="F3811" s="1">
        <v>19</v>
      </c>
      <c r="G3811" s="1">
        <v>12</v>
      </c>
      <c r="H3811" s="1">
        <v>0</v>
      </c>
      <c r="I3811" s="1" t="s">
        <v>5108</v>
      </c>
      <c r="K3811" s="1" t="str">
        <f t="shared" si="236"/>
        <v>ㄉ</v>
      </c>
      <c r="L3811" s="1" t="str">
        <f t="shared" si="237"/>
        <v>ㄥ</v>
      </c>
      <c r="N3811" s="3" t="s">
        <v>30574</v>
      </c>
      <c r="O3811" s="3"/>
      <c r="P3811" s="1" t="s">
        <v>20</v>
      </c>
      <c r="R3811" s="1" t="s">
        <v>5109</v>
      </c>
      <c r="V3811" s="1" t="s">
        <v>5127</v>
      </c>
      <c r="AR3811" s="1" t="str">
        <f t="shared" si="238"/>
        <v>| [ㄉㄥˋ](ㄉㄥˋ.md) | [蹬](蹬.md) |  | dèng | [動]
1.腳底踩在某物，用力往前跳。《西遊記》第七回：「將身一蹤，跳出丹爐，唿喇的一聲，蹬倒八卦爐。」《兒女英雄傳》第三一回：「藍嫂你聽聽，不是貓把瓦蹬下來了哇！」
2.穿。《兒女英雄傳》第三一回：「在帳子裡穿好了衣服，下了床，蹬上鞋子。」 |</v>
      </c>
    </row>
    <row r="3812" spans="1:44" hidden="1">
      <c r="A3812" s="1" t="s">
        <v>5095</v>
      </c>
      <c r="C3812" s="1">
        <v>1</v>
      </c>
      <c r="D3812" s="1" t="str">
        <f>"02087"</f>
        <v>02087</v>
      </c>
      <c r="E3812" s="1" t="s">
        <v>55</v>
      </c>
      <c r="F3812" s="1">
        <v>20</v>
      </c>
      <c r="G3812" s="1">
        <v>12</v>
      </c>
      <c r="H3812" s="1">
        <v>1</v>
      </c>
      <c r="I3812" s="1" t="s">
        <v>5108</v>
      </c>
      <c r="K3812" s="1" t="str">
        <f t="shared" si="236"/>
        <v>ㄉ</v>
      </c>
      <c r="L3812" s="1" t="str">
        <f t="shared" si="237"/>
        <v>ㄥ</v>
      </c>
      <c r="N3812" s="3" t="s">
        <v>30574</v>
      </c>
      <c r="O3812" s="3"/>
      <c r="P3812" s="1" t="s">
        <v>20</v>
      </c>
      <c r="R3812" s="1" t="s">
        <v>5109</v>
      </c>
      <c r="V3812" s="1" t="s">
        <v>5128</v>
      </c>
      <c r="W3812" s="1" t="s">
        <v>5129</v>
      </c>
      <c r="AR3812" s="1" t="str">
        <f t="shared" si="238"/>
        <v>| [ㄉㄥˋ](ㄉㄥˋ.md) | [鐙](鐙.md) |  | dèng | [名]
掛在馬鞍兩旁，讓騎馬的人踏腳用的東西。明．張自烈《正字通．金部》：「鐙，今馬鐙，馬鞍兩旁足所踏也。」唐．韓偓〈馬上見〉詩：「和裙穿玉鐙，隔袖把金鞭。」《紅樓夢》第六九回：「老頭子細說原委，賈璉只在鐙中跌足。」 |</v>
      </c>
    </row>
    <row r="3813" spans="1:44" hidden="1">
      <c r="A3813" s="1" t="s">
        <v>5100</v>
      </c>
      <c r="C3813" s="1">
        <v>1</v>
      </c>
      <c r="D3813" s="1" t="str">
        <f>"02077"</f>
        <v>02077</v>
      </c>
      <c r="E3813" s="1" t="s">
        <v>49</v>
      </c>
      <c r="F3813" s="1">
        <v>12</v>
      </c>
      <c r="G3813" s="1">
        <v>6</v>
      </c>
      <c r="H3813" s="1">
        <v>0</v>
      </c>
      <c r="I3813" s="1" t="s">
        <v>5101</v>
      </c>
      <c r="K3813" s="1" t="str">
        <f t="shared" si="236"/>
        <v>ㄉ</v>
      </c>
      <c r="L3813" s="1" t="str">
        <f t="shared" si="237"/>
        <v>ㄥ</v>
      </c>
      <c r="N3813" s="3" t="s">
        <v>30576</v>
      </c>
      <c r="O3813" s="3"/>
      <c r="P3813" s="1" t="s">
        <v>20</v>
      </c>
      <c r="R3813" s="1" t="s">
        <v>5102</v>
      </c>
      <c r="V3813" s="1" t="s">
        <v>5103</v>
      </c>
      <c r="AR3813" s="1" t="str">
        <f t="shared" si="238"/>
        <v>| [ㄉㄥˇ](ㄉㄥˇ.md) | [等](等.md) |  | děng | [名]
1.品級、次第。如：「上等」、「甲等」、「劣等」、「高人一等」。
2.種、類。如：「何等人物」、「這等事情」。《紅樓夢》第一一五回：「在弟是庸庸碌碌一等愚人，忝附同名。」
3.表類數之詞：(1)表複數。如：「我等」、「爾等」、「一干人等」、「紐約、倫敦、東京等世界金融中心。」(2)表列舉不盡。如：「我每天單是孩子的事都忙昏了，其他如廚房等等的事就更不用說了。」
4.一種小型的秤。用來稱金、銀、藥物等少量物品的衡器。《警世通言．卷二二．宋小官團圓破氈笠》：「便取出銀子，剛剛一塊，討等來一稱。」《初刻拍案驚奇》卷二二：「大等秤進，小等秤出。」俗稱為「等子」、「戥子」。
[動]
1.待、候。如：「等車」、「等一會兒」。《西遊記》第一四回：「你往那裡去來？教我行又不敢行，動又不敢動，只管在此等你。」
2.相同、相齊。如：「相等」、「等於」、「均等」、「平等」、「高低不等」。 |</v>
      </c>
    </row>
    <row r="3814" spans="1:44" hidden="1">
      <c r="A3814" s="1" t="s">
        <v>5104</v>
      </c>
      <c r="C3814" s="1">
        <v>1</v>
      </c>
      <c r="D3814" s="1" t="str">
        <f>"02078"</f>
        <v>02078</v>
      </c>
      <c r="E3814" s="1" t="s">
        <v>4785</v>
      </c>
      <c r="F3814" s="1">
        <v>13</v>
      </c>
      <c r="G3814" s="1">
        <v>9</v>
      </c>
      <c r="H3814" s="1">
        <v>0</v>
      </c>
      <c r="I3814" s="1" t="s">
        <v>5101</v>
      </c>
      <c r="K3814" s="1" t="str">
        <f t="shared" si="236"/>
        <v>ㄉ</v>
      </c>
      <c r="L3814" s="1" t="str">
        <f t="shared" si="237"/>
        <v>ㄥ</v>
      </c>
      <c r="N3814" s="3" t="s">
        <v>30576</v>
      </c>
      <c r="O3814" s="3"/>
      <c r="P3814" s="1" t="s">
        <v>20</v>
      </c>
      <c r="R3814" s="1" t="s">
        <v>5102</v>
      </c>
      <c r="V3814" s="1" t="s">
        <v>5105</v>
      </c>
      <c r="AR3814" s="1" t="str">
        <f t="shared" si="238"/>
        <v>| [ㄉㄥˇ](ㄉㄥˇ.md) | [戥](戥.md) |  | děng | 參見「戥子」條。 |</v>
      </c>
    </row>
    <row r="3815" spans="1:44" hidden="1">
      <c r="A3815" s="1" t="s">
        <v>4701</v>
      </c>
      <c r="C3815" s="1">
        <v>1</v>
      </c>
      <c r="D3815" s="1" t="str">
        <f>"02134"</f>
        <v>02134</v>
      </c>
      <c r="E3815" s="1" t="s">
        <v>132</v>
      </c>
      <c r="F3815" s="1">
        <v>6</v>
      </c>
      <c r="G3815" s="1">
        <v>3</v>
      </c>
      <c r="H3815" s="1">
        <v>1</v>
      </c>
      <c r="I3815" s="1" t="s">
        <v>5238</v>
      </c>
      <c r="K3815" s="1" t="str">
        <f t="shared" si="236"/>
        <v>ㄉ</v>
      </c>
      <c r="L3815" s="1" t="str">
        <f t="shared" si="237"/>
        <v>ㄧ</v>
      </c>
      <c r="N3815" s="3" t="s">
        <v>30574</v>
      </c>
      <c r="O3815" s="3"/>
      <c r="P3815" s="1" t="s">
        <v>20</v>
      </c>
      <c r="R3815" s="1" t="s">
        <v>5239</v>
      </c>
      <c r="V3815" s="1" t="s">
        <v>5240</v>
      </c>
      <c r="W3815" s="1" t="s">
        <v>5241</v>
      </c>
      <c r="AR3815" s="1" t="str">
        <f t="shared" si="238"/>
        <v>| [ㄉㄧˋ](ㄉㄧˋ.md) | [地](地.md) |  | dì | [名]
1.人類萬物棲息生長的場所。有時直接指地球。如：「大地」、「天地」、「地心」。《易經．繫辭下》：「仰則觀象於天，俯則觀法於地。」
2.陸地。如：「高地」、「窪地」、「山地」、「地下水」。唐．李白〈靜夜思〉詩：「床前明月光，疑是地上霜。」
3.田地、土地。如：「耕地」、「荒地」、「薄地」、「地盡其利」。
4.場所。如：「發祥地」、「目的地」、「根據地」、「所在地」、「置之死地而後生。」
5.區域。如：「本地」、「外地」、「腹地」、「殖民地」、「臺灣各地」。
6.地位、位置。如：「留餘地」、「易地而處」。《晉書．卷八四．王恭傳》：「自負才地高華，恆有宰輔之望。」
7.心意、意志的領域。如：「頗有見地。」《宋史．卷四三八．儒林傳．何基傳》：「榦告以必有真實心地、刻苦工夫而後可，基悚惕受命。」
8.本質、質地、底子。南朝梁．劉勰《文心雕龍．定勢》：「譬五色之錦，各以本采為地矣。」
9.路程。如：「這裡距離省城約有三十里地。」唐．李白〈妾薄命〉詩：「長門一步地，不肯暫迴車。」
[助]
1.用於副詞語尾。如：「忽地」、「驀地」。
2.置於「立」、「坐」、「臥」等動詞之後。相當於「著」。元．王實甫《西廂記．第一本．第一折》：「山門下立地，看有甚麼人來？」 |</v>
      </c>
    </row>
    <row r="3816" spans="1:44" hidden="1">
      <c r="A3816" s="1" t="s">
        <v>5242</v>
      </c>
      <c r="C3816" s="1">
        <v>1</v>
      </c>
      <c r="D3816" s="1" t="str">
        <f>"02135"</f>
        <v>02135</v>
      </c>
      <c r="E3816" s="1" t="s">
        <v>103</v>
      </c>
      <c r="F3816" s="1">
        <v>7</v>
      </c>
      <c r="G3816" s="1">
        <v>4</v>
      </c>
      <c r="H3816" s="1">
        <v>1</v>
      </c>
      <c r="I3816" s="1" t="s">
        <v>5238</v>
      </c>
      <c r="K3816" s="1" t="str">
        <f t="shared" ref="K3816:K3879" si="239">LEFT(I3816, 1)</f>
        <v>ㄉ</v>
      </c>
      <c r="L3816" s="1" t="str">
        <f t="shared" ref="L3816:L3879" si="240">MID(I3816, 2, 1)</f>
        <v>ㄧ</v>
      </c>
      <c r="N3816" s="3" t="s">
        <v>30574</v>
      </c>
      <c r="O3816" s="3"/>
      <c r="P3816" s="1" t="s">
        <v>20</v>
      </c>
      <c r="R3816" s="1" t="s">
        <v>5239</v>
      </c>
      <c r="V3816" s="1" t="s">
        <v>5243</v>
      </c>
      <c r="W3816" s="1" t="s">
        <v>5244</v>
      </c>
      <c r="AR3816" s="1" t="str">
        <f t="shared" si="238"/>
        <v>| [ㄉㄧˋ](ㄉㄧˋ.md) | [弟](弟.md) |  | dì | [名]
1.稱謂：(1)稱同胞男子先生者為「兄」，後生者為「弟」。如：「么弟」、「胞弟」、「令弟」、「舍弟」。《左傳．隱公元年》：「蔓草猶不可除，況君之寵弟乎？」也稱為「弟弟」。(2)稱親戚中同輩而年紀比自己小的男子。如：「堂弟」、「表弟」、「妻弟」、「族弟」。(3)古代亦稱女子後生者為「弟」。即妹。《孟子．萬章上》：「於衛主讎由彌子之妻，與子路之妻兄弟也。」《史記．卷五十六．陳丞相世家》：「樊噲，帝之故人也，功多，且及乃呂后弟呂嬃之夫。」(4)對同輩朋友的自稱。如：「愚弟」、「閣下海量，小弟自嘆弗如！」《紅樓夢》第二回：「雨村忙亦笑問：『老兄何日到此，弟竟不知。』」(5)稱年少於己者的同輩朋友。如：「仁弟」、「賢弟」。
2.次序、等第。《呂氏春秋．貴直論．原亂》：「亂必有弟：大亂五、小亂三。」《漢書．卷八三．朱博傳》：「徙雲陽、平陵縣，以高弟入為長安令。」
3.門徒、學生。如：「弟子」、「徒弟」。唐．賈至〈工部侍郎李公集序〉：「可謂孔門之弟，洙泗遺徒。」 |</v>
      </c>
    </row>
    <row r="3817" spans="1:44" hidden="1">
      <c r="A3817" s="1" t="s">
        <v>5245</v>
      </c>
      <c r="C3817" s="1">
        <v>1</v>
      </c>
      <c r="D3817" s="1" t="str">
        <f>"02136"</f>
        <v>02136</v>
      </c>
      <c r="E3817" s="1" t="s">
        <v>534</v>
      </c>
      <c r="F3817" s="1">
        <v>10</v>
      </c>
      <c r="G3817" s="1">
        <v>7</v>
      </c>
      <c r="H3817" s="1">
        <v>0</v>
      </c>
      <c r="I3817" s="1" t="s">
        <v>5238</v>
      </c>
      <c r="K3817" s="1" t="str">
        <f t="shared" si="239"/>
        <v>ㄉ</v>
      </c>
      <c r="L3817" s="1" t="str">
        <f t="shared" si="240"/>
        <v>ㄧ</v>
      </c>
      <c r="N3817" s="3" t="s">
        <v>30574</v>
      </c>
      <c r="O3817" s="3"/>
      <c r="P3817" s="1" t="s">
        <v>20</v>
      </c>
      <c r="R3817" s="1" t="s">
        <v>5239</v>
      </c>
      <c r="V3817" s="1" t="s">
        <v>5246</v>
      </c>
      <c r="AR3817" s="1" t="str">
        <f t="shared" si="238"/>
        <v>| [ㄉㄧˋ](ㄉㄧˋ.md) | [娣](娣.md) |  | dì | [名]
1.古代女子同事一夫，年長者稱年幼者為「娣」。《爾雅．釋親》：「女子同出，謂先生為姒，後生為娣。」晉．郭璞．注：「同出謂俱嫁事一夫。」《詩經．大雅．韓奕》：「諸娣從之，祁祁如雲。」
2.古時泛稱妹妹。《國語．晉語一》：「（驪姬）生奚齊，其娣生卓子。」三國吳．韋昭．注：「女子同生，謂後生為娣。」
3.古時稱丈夫的弟媳為「娣」。《儀禮．喪服》：「《傳》曰：『娣姒婦者，弟長也。』」漢．鄭玄．注：「娣姒婦者，兄弟之妻相名也。長婦謂稚婦為娣婦，娣婦謂長婦為姒婦。」 |</v>
      </c>
    </row>
    <row r="3818" spans="1:44" hidden="1">
      <c r="A3818" s="1" t="s">
        <v>5247</v>
      </c>
      <c r="C3818" s="1">
        <v>1</v>
      </c>
      <c r="D3818" s="1" t="str">
        <f>"02137"</f>
        <v>02137</v>
      </c>
      <c r="E3818" s="1" t="s">
        <v>49</v>
      </c>
      <c r="F3818" s="1">
        <v>11</v>
      </c>
      <c r="G3818" s="1">
        <v>5</v>
      </c>
      <c r="H3818" s="1">
        <v>0</v>
      </c>
      <c r="I3818" s="1" t="s">
        <v>5238</v>
      </c>
      <c r="K3818" s="1" t="str">
        <f t="shared" si="239"/>
        <v>ㄉ</v>
      </c>
      <c r="L3818" s="1" t="str">
        <f t="shared" si="240"/>
        <v>ㄧ</v>
      </c>
      <c r="N3818" s="3" t="s">
        <v>30574</v>
      </c>
      <c r="O3818" s="3"/>
      <c r="P3818" s="1" t="s">
        <v>20</v>
      </c>
      <c r="R3818" s="1" t="s">
        <v>5239</v>
      </c>
      <c r="V3818" s="1" t="s">
        <v>5248</v>
      </c>
      <c r="AR3818" s="1" t="str">
        <f t="shared" si="238"/>
        <v>| [ㄉㄧˋ](ㄉㄧˋ.md) | [第](第.md) |  | dì | [名]
1.次序、等級。如：「次第」、「等第」。《後漢書．卷九．孝獻帝紀》：「九月甲午，試儒生四十餘人，上第賜位郎中，次太子舍人，下第者罷之。」
2.用於整數數詞之前。表事物的順序或等級。如：「第一」、「第二」。
3.科第。科舉榜上的次第。如：「登第」、「落第」、「及第」。唐．韓愈〈柳子厚墓誌銘〉：「雖少年已成人，能取進士第，嶄然見頭角。」
4.古時指王公大臣或富貴人家的住宅。如：「府第」、「宅第」、「書香門第」。唐．柳宗元〈梓人傳〉：「裴封叔之第，在光德里。」
[動]
1.評定。《漢書．卷六四下．王襃傳》：「所幸宮館，輒為歌頌，第其高下，以差賜帛。」
2.科舉考試應試及格。唐．岑參〈送胡象落第歸王屋別業〉詩：「看君尚少年，不第莫悽然。」唐．白居易〈與元九書〉：「既第之後，雖專於科試，亦不廢詩。」
[副]
但、儘管。《史記．卷六五．孫子吳起傳》：「君第重射，臣能令君勝。」 |</v>
      </c>
    </row>
    <row r="3819" spans="1:44" hidden="1">
      <c r="A3819" s="1" t="s">
        <v>5249</v>
      </c>
      <c r="C3819" s="1">
        <v>1</v>
      </c>
      <c r="D3819" s="1" t="str">
        <f>"02138"</f>
        <v>02138</v>
      </c>
      <c r="E3819" s="1" t="s">
        <v>1015</v>
      </c>
      <c r="F3819" s="1">
        <v>12</v>
      </c>
      <c r="G3819" s="1">
        <v>7</v>
      </c>
      <c r="H3819" s="1">
        <v>0</v>
      </c>
      <c r="I3819" s="1" t="s">
        <v>5238</v>
      </c>
      <c r="K3819" s="1" t="str">
        <f t="shared" si="239"/>
        <v>ㄉ</v>
      </c>
      <c r="L3819" s="1" t="str">
        <f t="shared" si="240"/>
        <v>ㄧ</v>
      </c>
      <c r="N3819" s="3" t="s">
        <v>30574</v>
      </c>
      <c r="O3819" s="3"/>
      <c r="P3819" s="1" t="s">
        <v>20</v>
      </c>
      <c r="R3819" s="1" t="s">
        <v>5239</v>
      </c>
      <c r="V3819" s="1" t="s">
        <v>5250</v>
      </c>
      <c r="AR3819" s="1" t="str">
        <f t="shared" si="238"/>
        <v>| [ㄉㄧˋ](ㄉㄧˋ.md) | [睇](睇.md) |  | dì | [動]
1.微微斜視。《玉篇．目部》：「睇，傾視。」《楚辭．屈原．九章．懷沙》：「離婁微睇兮，瞽以為無明。」
2.看、注視。晉．陶淵明〈閒情賦〉：「仰睇天路，俯促鳴絃。」清．莊棫〈蝶戀花．城上斜陽依綠樹〉詞：「凝睇窺君君莫誤，幾多心事從君許。」 |</v>
      </c>
    </row>
    <row r="3820" spans="1:44" hidden="1">
      <c r="A3820" s="1" t="s">
        <v>5251</v>
      </c>
      <c r="C3820" s="1">
        <v>1</v>
      </c>
      <c r="D3820" s="1" t="str">
        <f>"02139"</f>
        <v>02139</v>
      </c>
      <c r="E3820" s="1" t="s">
        <v>142</v>
      </c>
      <c r="F3820" s="1">
        <v>7</v>
      </c>
      <c r="G3820" s="1">
        <v>3</v>
      </c>
      <c r="H3820" s="1">
        <v>0</v>
      </c>
      <c r="I3820" s="1" t="s">
        <v>5238</v>
      </c>
      <c r="K3820" s="1" t="str">
        <f t="shared" si="239"/>
        <v>ㄉ</v>
      </c>
      <c r="L3820" s="1" t="str">
        <f t="shared" si="240"/>
        <v>ㄧ</v>
      </c>
      <c r="N3820" s="3" t="s">
        <v>30574</v>
      </c>
      <c r="O3820" s="3"/>
      <c r="P3820" s="1" t="s">
        <v>20</v>
      </c>
      <c r="R3820" s="1" t="s">
        <v>5239</v>
      </c>
      <c r="V3820" s="1" t="s">
        <v>5252</v>
      </c>
      <c r="AR3820" s="1" t="str">
        <f t="shared" si="238"/>
        <v>| [ㄉㄧˋ](ㄉㄧˋ.md) | [玓](玓.md) |  | dì | 參見「玓瓅」條。 |</v>
      </c>
    </row>
    <row r="3821" spans="1:44" hidden="1">
      <c r="A3821" s="1" t="s">
        <v>4709</v>
      </c>
      <c r="C3821" s="1">
        <v>1</v>
      </c>
      <c r="D3821" s="1" t="str">
        <f>"02140"</f>
        <v>02140</v>
      </c>
      <c r="E3821" s="1" t="s">
        <v>205</v>
      </c>
      <c r="F3821" s="1">
        <v>8</v>
      </c>
      <c r="G3821" s="1">
        <v>3</v>
      </c>
      <c r="H3821" s="1">
        <v>1</v>
      </c>
      <c r="I3821" s="1" t="s">
        <v>5238</v>
      </c>
      <c r="K3821" s="1" t="str">
        <f t="shared" si="239"/>
        <v>ㄉ</v>
      </c>
      <c r="L3821" s="1" t="str">
        <f t="shared" si="240"/>
        <v>ㄧ</v>
      </c>
      <c r="N3821" s="3" t="s">
        <v>30574</v>
      </c>
      <c r="O3821" s="3"/>
      <c r="P3821" s="1" t="s">
        <v>20</v>
      </c>
      <c r="R3821" s="1" t="s">
        <v>5239</v>
      </c>
      <c r="V3821" s="1" t="s">
        <v>5253</v>
      </c>
      <c r="W3821" s="1" t="s">
        <v>5254</v>
      </c>
      <c r="AR3821" s="1" t="str">
        <f t="shared" si="238"/>
        <v>| [ㄉㄧˋ](ㄉㄧˋ.md) | [的](的.md) |  | dì | [名]_x000D_
箭靶的中心。如：「目的」、「標的」。《荀子．勸學》：「是故質的張而弓矢至焉，林木茂而斧斤至焉。」漢．王充《論衡．超奇》：「論之應理，猶矢之中的。」 |</v>
      </c>
    </row>
    <row r="3822" spans="1:44" hidden="1">
      <c r="A3822" s="1" t="s">
        <v>5255</v>
      </c>
      <c r="C3822" s="1">
        <v>1</v>
      </c>
      <c r="D3822" s="1" t="str">
        <f>"02141"</f>
        <v>02141</v>
      </c>
      <c r="E3822" s="1" t="s">
        <v>139</v>
      </c>
      <c r="F3822" s="1">
        <v>7</v>
      </c>
      <c r="G3822" s="1">
        <v>3</v>
      </c>
      <c r="H3822" s="1">
        <v>1</v>
      </c>
      <c r="I3822" s="1" t="s">
        <v>5238</v>
      </c>
      <c r="K3822" s="1" t="str">
        <f t="shared" si="239"/>
        <v>ㄉ</v>
      </c>
      <c r="L3822" s="1" t="str">
        <f t="shared" si="240"/>
        <v>ㄧ</v>
      </c>
      <c r="N3822" s="3" t="s">
        <v>30574</v>
      </c>
      <c r="O3822" s="3"/>
      <c r="P3822" s="1" t="s">
        <v>20</v>
      </c>
      <c r="R3822" s="1" t="s">
        <v>5239</v>
      </c>
      <c r="V3822" s="1" t="s">
        <v>5256</v>
      </c>
      <c r="W3822" s="1" t="s">
        <v>5257</v>
      </c>
      <c r="AR3822" s="1" t="str">
        <f t="shared" si="238"/>
        <v>| [ㄉㄧˋ](ㄉㄧˋ.md) | [杕](杕.md) |  | dì | [形]
樹木孤高獨立的樣子。《詩經．唐風．有杕之杜》：「有杕之杜，生于道左。」 |</v>
      </c>
    </row>
    <row r="3823" spans="1:44" hidden="1">
      <c r="A3823" s="1" t="s">
        <v>5258</v>
      </c>
      <c r="C3823" s="1">
        <v>1</v>
      </c>
      <c r="D3823" s="1" t="str">
        <f>"02142"</f>
        <v>02142</v>
      </c>
      <c r="E3823" s="1" t="s">
        <v>55</v>
      </c>
      <c r="F3823" s="1">
        <v>11</v>
      </c>
      <c r="G3823" s="1">
        <v>3</v>
      </c>
      <c r="H3823" s="1">
        <v>0</v>
      </c>
      <c r="I3823" s="1" t="s">
        <v>5238</v>
      </c>
      <c r="K3823" s="1" t="str">
        <f t="shared" si="239"/>
        <v>ㄉ</v>
      </c>
      <c r="L3823" s="1" t="str">
        <f t="shared" si="240"/>
        <v>ㄧ</v>
      </c>
      <c r="N3823" s="3" t="s">
        <v>30574</v>
      </c>
      <c r="O3823" s="3"/>
      <c r="P3823" s="1" t="s">
        <v>20</v>
      </c>
      <c r="R3823" s="1" t="s">
        <v>5239</v>
      </c>
      <c r="V3823" s="1" t="s">
        <v>5259</v>
      </c>
      <c r="AR3823" s="1" t="str">
        <f t="shared" si="238"/>
        <v>| [ㄉㄧˋ](ㄉㄧˋ.md) | [釱](釱.md) |  | dì | [名]
1.一種古代的刑具。加之於犯人腳上的鐵鐐，稱為「釱」。《漢書．卷六六．陳萬年傳》：「或私解脫鉗釱，衣服不如法，輒加罪笞。」唐．顏師古．注：「鉗在頸，釱在足，皆以鐵為之。」
2.車轄，車軸端頭的鐵鍵。《漢書．卷八七．揚雄傳上》：「陳眾車於東阬兮，肆玉釱而下馳。」唐．李頎〈鄭櫻桃歌〉：「鳴鼙走馬接飛鳥，銅釱瑟瑟隨去塵。」
3.化學元素。釔的舊譯。
[動]
套上腳鐐。《史記．卷三〇．平準書》：「敢私鑄鐵器煮鹽者，釱左趾，沒入其器物。」司馬貞索隱引張斐〈漢晉律序〉云：「狀如跟衣，著左足下，重六斤，以代臏，至魏武改以代刖也。」 |</v>
      </c>
    </row>
    <row r="3824" spans="1:44" hidden="1">
      <c r="A3824" s="1" t="s">
        <v>5260</v>
      </c>
      <c r="C3824" s="1">
        <v>1</v>
      </c>
      <c r="D3824" s="1" t="str">
        <f>"02143"</f>
        <v>02143</v>
      </c>
      <c r="E3824" s="1" t="s">
        <v>222</v>
      </c>
      <c r="F3824" s="1">
        <v>9</v>
      </c>
      <c r="G3824" s="1">
        <v>6</v>
      </c>
      <c r="H3824" s="1">
        <v>0</v>
      </c>
      <c r="I3824" s="1" t="s">
        <v>5238</v>
      </c>
      <c r="K3824" s="1" t="str">
        <f t="shared" si="239"/>
        <v>ㄉ</v>
      </c>
      <c r="L3824" s="1" t="str">
        <f t="shared" si="240"/>
        <v>ㄧ</v>
      </c>
      <c r="N3824" s="3" t="s">
        <v>30574</v>
      </c>
      <c r="O3824" s="3"/>
      <c r="P3824" s="1" t="s">
        <v>20</v>
      </c>
      <c r="R3824" s="1" t="s">
        <v>5239</v>
      </c>
      <c r="V3824" s="1" t="s">
        <v>5261</v>
      </c>
      <c r="AR3824" s="1" t="str">
        <f t="shared" si="238"/>
        <v>| [ㄉㄧˋ](ㄉㄧˋ.md) | [帝](帝.md) |  | dì | [名]
1.天子、君主。如：「稱帝」、「先帝」、「三皇五帝」。《戰國策．趙策三》：「秦所以急圍趙者，前與齊湣王爭強為帝。」
2.天神，宇宙的主宰。如：「上帝」、「天帝」、「玉皇大帝」。《左傳．僖公十年》：「夷吾無禮，余得請於帝矣。」
3.泛指其他尊貴的神。《漢書．卷一．高帝紀上》：「吾子，白帝子也，化為蛇，當道，今者赤帝子斬之。」 |</v>
      </c>
    </row>
    <row r="3825" spans="1:44" hidden="1">
      <c r="A3825" s="1" t="s">
        <v>5262</v>
      </c>
      <c r="C3825" s="1">
        <v>1</v>
      </c>
      <c r="D3825" s="1" t="str">
        <f>"02144"</f>
        <v>02144</v>
      </c>
      <c r="E3825" s="1" t="s">
        <v>37</v>
      </c>
      <c r="F3825" s="1">
        <v>13</v>
      </c>
      <c r="G3825" s="1">
        <v>9</v>
      </c>
      <c r="H3825" s="1">
        <v>0</v>
      </c>
      <c r="I3825" s="1" t="s">
        <v>5238</v>
      </c>
      <c r="K3825" s="1" t="str">
        <f t="shared" si="239"/>
        <v>ㄉ</v>
      </c>
      <c r="L3825" s="1" t="str">
        <f t="shared" si="240"/>
        <v>ㄧ</v>
      </c>
      <c r="N3825" s="3" t="s">
        <v>30574</v>
      </c>
      <c r="O3825" s="3"/>
      <c r="P3825" s="1" t="s">
        <v>20</v>
      </c>
      <c r="R3825" s="1" t="s">
        <v>5239</v>
      </c>
      <c r="V3825" s="1" t="s">
        <v>5263</v>
      </c>
      <c r="AR3825" s="1" t="str">
        <f t="shared" si="238"/>
        <v>| [ㄉㄧˋ](ㄉㄧˋ.md) | [蒂](蒂.md) |  | dì | [名]
1.果實與枝莖相連的部分。如：「根深蒂固」、「瓜熟蒂落」。明．楊繼盛〈書付尾箕兩兒〉：「心為一身之主，如樹之根，如果之蒂，最不可先壞了心。」
2.引申為末尾。如：「勿將菸蒂隨地亂扔！」 |</v>
      </c>
    </row>
    <row r="3826" spans="1:44" hidden="1">
      <c r="A3826" s="1" t="s">
        <v>5264</v>
      </c>
      <c r="C3826" s="1">
        <v>1</v>
      </c>
      <c r="D3826" s="1" t="str">
        <f>"02145"</f>
        <v>02145</v>
      </c>
      <c r="E3826" s="1" t="s">
        <v>825</v>
      </c>
      <c r="F3826" s="1">
        <v>14</v>
      </c>
      <c r="G3826" s="1">
        <v>9</v>
      </c>
      <c r="H3826" s="1">
        <v>0</v>
      </c>
      <c r="I3826" s="1" t="s">
        <v>5238</v>
      </c>
      <c r="K3826" s="1" t="str">
        <f t="shared" si="239"/>
        <v>ㄉ</v>
      </c>
      <c r="L3826" s="1" t="str">
        <f t="shared" si="240"/>
        <v>ㄧ</v>
      </c>
      <c r="N3826" s="3" t="s">
        <v>30574</v>
      </c>
      <c r="O3826" s="3"/>
      <c r="P3826" s="1" t="s">
        <v>20</v>
      </c>
      <c r="R3826" s="1" t="s">
        <v>5239</v>
      </c>
      <c r="V3826" s="1" t="s">
        <v>5265</v>
      </c>
      <c r="AR3826" s="1" t="str">
        <f t="shared" si="238"/>
        <v>| [ㄉㄧˋ](ㄉㄧˋ.md) | [禘](禘.md) |  | dì | [名]
古代重大的祭典之一。《禮記．王制》：「天子諸侯宗廟之祭，春曰礿，夏曰禘，秋曰嘗，冬曰烝。」 |</v>
      </c>
    </row>
    <row r="3827" spans="1:44" hidden="1">
      <c r="A3827" s="1" t="s">
        <v>5266</v>
      </c>
      <c r="C3827" s="1">
        <v>1</v>
      </c>
      <c r="D3827" s="1" t="str">
        <f>"02146"</f>
        <v>02146</v>
      </c>
      <c r="E3827" s="1" t="s">
        <v>169</v>
      </c>
      <c r="F3827" s="1">
        <v>14</v>
      </c>
      <c r="G3827" s="1">
        <v>9</v>
      </c>
      <c r="H3827" s="1">
        <v>0</v>
      </c>
      <c r="I3827" s="1" t="s">
        <v>5238</v>
      </c>
      <c r="K3827" s="1" t="str">
        <f t="shared" si="239"/>
        <v>ㄉ</v>
      </c>
      <c r="L3827" s="1" t="str">
        <f t="shared" si="240"/>
        <v>ㄧ</v>
      </c>
      <c r="N3827" s="3" t="s">
        <v>30574</v>
      </c>
      <c r="O3827" s="3"/>
      <c r="P3827" s="1" t="s">
        <v>20</v>
      </c>
      <c r="R3827" s="1" t="s">
        <v>5239</v>
      </c>
      <c r="V3827" s="1" t="s">
        <v>5267</v>
      </c>
      <c r="AR3827" s="1" t="str">
        <f t="shared" si="238"/>
        <v>| [ㄉㄧˋ](ㄉㄧˋ.md) | [碲](碲.md) |  | dì | [名]
（tellurium，Te）化學元素。原子序52。類金屬元素之一。不易傳熱但可導電，具金屬性質。溶於濃硫酸、硝酸、氫氧化鉀及氰化鉀等溶液，但不溶於水。為銀白色柱狀的結晶體，質脆，具金屬光澤，或為灰棕色的粉末。以二氧化硫還原其氧化物可得碲。金屬和合金中加少量碲，可改進機械性能及增強硬度。鉛含少量的碲，可製電纜及化工設備的保護層。碲和若干碲化合物則可為半導體材料。 |</v>
      </c>
    </row>
    <row r="3828" spans="1:44" hidden="1">
      <c r="A3828" s="1" t="s">
        <v>5268</v>
      </c>
      <c r="C3828" s="1">
        <v>1</v>
      </c>
      <c r="D3828" s="1" t="str">
        <f>"02147"</f>
        <v>02147</v>
      </c>
      <c r="E3828" s="1" t="s">
        <v>725</v>
      </c>
      <c r="F3828" s="1">
        <v>15</v>
      </c>
      <c r="G3828" s="1">
        <v>9</v>
      </c>
      <c r="H3828" s="1">
        <v>0</v>
      </c>
      <c r="I3828" s="1" t="s">
        <v>5238</v>
      </c>
      <c r="K3828" s="1" t="str">
        <f t="shared" si="239"/>
        <v>ㄉ</v>
      </c>
      <c r="L3828" s="1" t="str">
        <f t="shared" si="240"/>
        <v>ㄧ</v>
      </c>
      <c r="N3828" s="3" t="s">
        <v>30574</v>
      </c>
      <c r="O3828" s="3"/>
      <c r="P3828" s="1" t="s">
        <v>20</v>
      </c>
      <c r="R3828" s="1" t="s">
        <v>5239</v>
      </c>
      <c r="V3828" s="1" t="s">
        <v>5269</v>
      </c>
      <c r="AR3828" s="1" t="str">
        <f t="shared" si="238"/>
        <v>| [ㄉㄧˋ](ㄉㄧˋ.md) | [締](締.md) |  | dì | [動]
1.結、結合、訂立。如：「締交」、「締約」、「締結」。
2.建立、建造。如：「締創」、「締造」。《西京雜記》卷六：「（劉）歆欲撰漢書，編錄漢事，未得締構而亡。」
3.約束、制止。如：「取締不法商人。」 |</v>
      </c>
    </row>
    <row r="3829" spans="1:44" hidden="1">
      <c r="A3829" s="1" t="s">
        <v>5270</v>
      </c>
      <c r="C3829" s="1">
        <v>1</v>
      </c>
      <c r="D3829" s="1" t="str">
        <f>"02148"</f>
        <v>02148</v>
      </c>
      <c r="E3829" s="1" t="s">
        <v>331</v>
      </c>
      <c r="F3829" s="1">
        <v>16</v>
      </c>
      <c r="G3829" s="1">
        <v>9</v>
      </c>
      <c r="H3829" s="1">
        <v>0</v>
      </c>
      <c r="I3829" s="1" t="s">
        <v>5238</v>
      </c>
      <c r="K3829" s="1" t="str">
        <f t="shared" si="239"/>
        <v>ㄉ</v>
      </c>
      <c r="L3829" s="1" t="str">
        <f t="shared" si="240"/>
        <v>ㄧ</v>
      </c>
      <c r="N3829" s="3" t="s">
        <v>30574</v>
      </c>
      <c r="O3829" s="3"/>
      <c r="P3829" s="1" t="s">
        <v>20</v>
      </c>
      <c r="R3829" s="1" t="s">
        <v>5239</v>
      </c>
      <c r="V3829" s="1" t="s">
        <v>5271</v>
      </c>
      <c r="AR3829" s="1" t="str">
        <f t="shared" si="238"/>
        <v>| [ㄉㄧˋ](ㄉㄧˋ.md) | [諦](諦.md) |  | dì | [名]
道理、義理。如：「妙諦」、「真諦」。
[副]
仔細、詳細。如：「諦視」、「凝神諦聽」。《三國志．卷一六．杜畿傳》：「民嘗辭訟，有相告者，畿親見為陳大義，遣令歸諦思之，若意有所不盡，更來詣府。」
[動]
詳審、細察。《關尹子．九藥》：「諦毫末者不見天地之大，審小音者不聞雷霆之聲。」《新唐書．卷一〇六．劉祥道傳》：「日薄事叢，有司不及研諦。」 |</v>
      </c>
    </row>
    <row r="3830" spans="1:44" hidden="1">
      <c r="A3830" s="1" t="s">
        <v>5272</v>
      </c>
      <c r="C3830" s="1">
        <v>1</v>
      </c>
      <c r="D3830" s="1" t="str">
        <f>"02149"</f>
        <v>02149</v>
      </c>
      <c r="E3830" s="1" t="s">
        <v>139</v>
      </c>
      <c r="F3830" s="1">
        <v>12</v>
      </c>
      <c r="G3830" s="1">
        <v>8</v>
      </c>
      <c r="H3830" s="1">
        <v>1</v>
      </c>
      <c r="I3830" s="1" t="s">
        <v>5238</v>
      </c>
      <c r="K3830" s="1" t="str">
        <f t="shared" si="239"/>
        <v>ㄉ</v>
      </c>
      <c r="L3830" s="1" t="str">
        <f t="shared" si="240"/>
        <v>ㄧ</v>
      </c>
      <c r="N3830" s="3" t="s">
        <v>30574</v>
      </c>
      <c r="O3830" s="3"/>
      <c r="P3830" s="1" t="s">
        <v>20</v>
      </c>
      <c r="R3830" s="1" t="s">
        <v>5239</v>
      </c>
      <c r="V3830" s="1" t="s">
        <v>5273</v>
      </c>
      <c r="W3830" s="1" t="s">
        <v>5274</v>
      </c>
      <c r="AR3830" s="1" t="str">
        <f t="shared" si="238"/>
        <v>| [ㄉㄧˋ](ㄉㄧˋ.md) | [棣](棣.md) |  | dì | [名]
1.植物名。薔薇科李屬，「郁李」、「棠棣」、「常棣」之古稱。參見「郁李」條。《爾雅．釋木》：「常棣，棣。」晉．郭璞．注：「今山中有棣樹，子如櫻桃，可食。」也稱為「常棣」、「唐棣」。
2.年紀比自己小的男子。通「弟」。如「賢弟」也作「賢棣」。
3.姓。如漢代有棣立。 |</v>
      </c>
    </row>
    <row r="3831" spans="1:44" hidden="1">
      <c r="A3831" s="1" t="s">
        <v>4734</v>
      </c>
      <c r="C3831" s="1">
        <v>1</v>
      </c>
      <c r="D3831" s="1" t="str">
        <f>"02150"</f>
        <v>02150</v>
      </c>
      <c r="E3831" s="1" t="s">
        <v>558</v>
      </c>
      <c r="F3831" s="1">
        <v>12</v>
      </c>
      <c r="G3831" s="1">
        <v>8</v>
      </c>
      <c r="H3831" s="1">
        <v>3</v>
      </c>
      <c r="I3831" s="1" t="s">
        <v>5238</v>
      </c>
      <c r="K3831" s="1" t="str">
        <f t="shared" si="239"/>
        <v>ㄉ</v>
      </c>
      <c r="L3831" s="1" t="str">
        <f t="shared" si="240"/>
        <v>ㄧ</v>
      </c>
      <c r="N3831" s="3" t="s">
        <v>30574</v>
      </c>
      <c r="O3831" s="3"/>
      <c r="P3831" s="1" t="s">
        <v>20</v>
      </c>
      <c r="R3831" s="1" t="s">
        <v>5239</v>
      </c>
      <c r="V3831" s="1" t="s">
        <v>5275</v>
      </c>
      <c r="W3831" s="1" t="s">
        <v>5276</v>
      </c>
      <c r="AR3831" s="1" t="str">
        <f t="shared" si="238"/>
        <v>| [ㄉㄧˋ](ㄉㄧˋ.md) | [逮](逮.md) |  | dì | 參見「逮逮」條。 |</v>
      </c>
    </row>
    <row r="3832" spans="1:44" hidden="1">
      <c r="A3832" s="1" t="s">
        <v>5277</v>
      </c>
      <c r="C3832" s="1">
        <v>1</v>
      </c>
      <c r="D3832" s="1" t="str">
        <f>"02151"</f>
        <v>02151</v>
      </c>
      <c r="E3832" s="1" t="s">
        <v>679</v>
      </c>
      <c r="F3832" s="1">
        <v>14</v>
      </c>
      <c r="G3832" s="1">
        <v>8</v>
      </c>
      <c r="H3832" s="1">
        <v>0</v>
      </c>
      <c r="I3832" s="1" t="s">
        <v>5238</v>
      </c>
      <c r="K3832" s="1" t="str">
        <f t="shared" si="239"/>
        <v>ㄉ</v>
      </c>
      <c r="L3832" s="1" t="str">
        <f t="shared" si="240"/>
        <v>ㄧ</v>
      </c>
      <c r="N3832" s="3" t="s">
        <v>30574</v>
      </c>
      <c r="O3832" s="3"/>
      <c r="P3832" s="1" t="s">
        <v>20</v>
      </c>
      <c r="R3832" s="1" t="s">
        <v>5239</v>
      </c>
      <c r="V3832" s="1" t="s">
        <v>5278</v>
      </c>
      <c r="AR3832" s="1" t="str">
        <f t="shared" si="238"/>
        <v>| [ㄉㄧˋ](ㄉㄧˋ.md) | [蝃](蝃.md) |  | dì | 參見「蝃蝀」條。 |</v>
      </c>
    </row>
    <row r="3833" spans="1:44" hidden="1">
      <c r="A3833" s="1" t="s">
        <v>5279</v>
      </c>
      <c r="C3833" s="1">
        <v>1</v>
      </c>
      <c r="D3833" s="1" t="str">
        <f>"02152"</f>
        <v>02152</v>
      </c>
      <c r="E3833" s="1" t="s">
        <v>558</v>
      </c>
      <c r="F3833" s="1">
        <v>14</v>
      </c>
      <c r="G3833" s="1">
        <v>10</v>
      </c>
      <c r="H3833" s="1">
        <v>0</v>
      </c>
      <c r="I3833" s="1" t="s">
        <v>5238</v>
      </c>
      <c r="K3833" s="1" t="str">
        <f t="shared" si="239"/>
        <v>ㄉ</v>
      </c>
      <c r="L3833" s="1" t="str">
        <f t="shared" si="240"/>
        <v>ㄧ</v>
      </c>
      <c r="N3833" s="3" t="s">
        <v>30574</v>
      </c>
      <c r="O3833" s="3"/>
      <c r="P3833" s="1" t="s">
        <v>20</v>
      </c>
      <c r="R3833" s="1" t="s">
        <v>5239</v>
      </c>
      <c r="V3833" s="1" t="s">
        <v>5280</v>
      </c>
      <c r="AR3833" s="1" t="str">
        <f t="shared" si="238"/>
        <v>| [ㄉㄧˋ](ㄉㄧˋ.md) | [遞](遞.md) |  | dì | [動]
傳送。如：「郵遞」、「投遞」、「呈遞」、「遞眼色」。唐．杜甫〈宿青草湖〉詩：「寒冰爭倚薄，雲月遞微明。」
[副]
1.更迭、交替。《呂氏春秋．季春紀．先己》：「當今之世，巧謀並行，詐術遞用。」
2.順著次序。如：「遞增」、「遞降」、「遞減」。 |</v>
      </c>
    </row>
    <row r="3834" spans="1:44" hidden="1">
      <c r="A3834" s="1" t="s">
        <v>5281</v>
      </c>
      <c r="C3834" s="1">
        <v>1</v>
      </c>
      <c r="D3834" s="1" t="str">
        <f>"02153"</f>
        <v>02153</v>
      </c>
      <c r="E3834" s="1" t="s">
        <v>558</v>
      </c>
      <c r="F3834" s="1">
        <v>15</v>
      </c>
      <c r="G3834" s="1">
        <v>11</v>
      </c>
      <c r="H3834" s="1">
        <v>0</v>
      </c>
      <c r="I3834" s="1" t="s">
        <v>5238</v>
      </c>
      <c r="K3834" s="1" t="str">
        <f t="shared" si="239"/>
        <v>ㄉ</v>
      </c>
      <c r="L3834" s="1" t="str">
        <f t="shared" si="240"/>
        <v>ㄧ</v>
      </c>
      <c r="N3834" s="3" t="s">
        <v>30574</v>
      </c>
      <c r="O3834" s="3"/>
      <c r="P3834" s="1" t="s">
        <v>20</v>
      </c>
      <c r="R3834" s="1" t="s">
        <v>5239</v>
      </c>
      <c r="V3834" s="1" t="s">
        <v>5282</v>
      </c>
      <c r="AR3834" s="1" t="str">
        <f t="shared" si="238"/>
        <v>| [ㄉㄧˋ](ㄉㄧˋ.md) | [遰](遰.md) |  | dì | [動]
去、前往。《說文解字．辵部》：「遰，去也。」《大戴禮記．夏小正》：「九月遰鴻鴈。」漢．戴德．傳：「遰，往也。」清．李調元．注：「遰，去也。北來則曰鄉，南去則曰遰。」
[形]
迢遰：高邈、深遠。北魏．酈道元《水經注．洛水注》：「東北流逕雲中塢，左上迢遰層峻，流煙半垂，纓帶山阜，故埠受其名渠谷。」也作「迢遞」。
[副]
依序、依次。通「遞」。唐．王維〈謝弟縉新授左散騎常侍狀〉：「陛下均平布政，中外遰遷，尚錄前勞，仍收舊齒，使備顧問。」 |</v>
      </c>
    </row>
    <row r="3835" spans="1:44" hidden="1">
      <c r="A3835" s="1" t="s">
        <v>5283</v>
      </c>
      <c r="C3835" s="1">
        <v>1</v>
      </c>
      <c r="D3835" s="1" t="str">
        <f>"02154"</f>
        <v>02154</v>
      </c>
      <c r="E3835" s="1" t="s">
        <v>77</v>
      </c>
      <c r="F3835" s="1">
        <v>16</v>
      </c>
      <c r="G3835" s="1">
        <v>9</v>
      </c>
      <c r="H3835" s="1">
        <v>1</v>
      </c>
      <c r="I3835" s="1" t="s">
        <v>5238</v>
      </c>
      <c r="K3835" s="1" t="str">
        <f t="shared" si="239"/>
        <v>ㄉ</v>
      </c>
      <c r="L3835" s="1" t="str">
        <f t="shared" si="240"/>
        <v>ㄧ</v>
      </c>
      <c r="N3835" s="3" t="s">
        <v>30574</v>
      </c>
      <c r="O3835" s="3"/>
      <c r="P3835" s="1" t="s">
        <v>20</v>
      </c>
      <c r="R3835" s="1" t="s">
        <v>5239</v>
      </c>
      <c r="V3835" s="1" t="s">
        <v>5284</v>
      </c>
      <c r="W3835" s="1" t="s">
        <v>5285</v>
      </c>
      <c r="AR3835" s="1" t="str">
        <f t="shared" si="238"/>
        <v>| [ㄉㄧˋ](ㄉㄧˋ.md) | [踶](踶.md) |  | dì | [動]
踢、踏。《莊子．馬蹄》：「喜則交頸相靡，怒則分背相踶。」《文選．左思．魏都賦》：「雲雀踶甍而矯首，壯翼摛鏤於青霄。」 |</v>
      </c>
    </row>
    <row r="3836" spans="1:44" hidden="1">
      <c r="A3836" s="1" t="s">
        <v>5160</v>
      </c>
      <c r="C3836" s="1">
        <v>1</v>
      </c>
      <c r="D3836" s="1" t="str">
        <f>"02100"</f>
        <v>02100</v>
      </c>
      <c r="E3836" s="1" t="s">
        <v>198</v>
      </c>
      <c r="F3836" s="1">
        <v>7</v>
      </c>
      <c r="G3836" s="1">
        <v>4</v>
      </c>
      <c r="H3836" s="1">
        <v>0</v>
      </c>
      <c r="I3836" s="1" t="s">
        <v>5161</v>
      </c>
      <c r="K3836" s="1" t="str">
        <f t="shared" si="239"/>
        <v>ㄉ</v>
      </c>
      <c r="L3836" s="1" t="str">
        <f t="shared" si="240"/>
        <v>ㄧ</v>
      </c>
      <c r="N3836" s="3" t="s">
        <v>30575</v>
      </c>
      <c r="O3836" s="3"/>
      <c r="P3836" s="1" t="s">
        <v>20</v>
      </c>
      <c r="R3836" s="1" t="s">
        <v>5162</v>
      </c>
      <c r="V3836" s="1" t="s">
        <v>5163</v>
      </c>
      <c r="AR3836" s="1" t="str">
        <f t="shared" si="238"/>
        <v>| [ㄉㄧˊ](ㄉㄧˊ.md) | [狄](狄.md) |  | dí | [名]
1.中國古代北方的民族。因主要居住在北方，故通稱為「北狄」。秦、漢以後成為中原對北方各族的泛稱。《書經．仲虺之誥》：「東征，西夷怨；南征，北狄怨。」《禮記．王制》：「北方曰狄，衣羽毛，穴居，有不粒食者矣。」
2.姓。如唐代有狄仁傑。 |</v>
      </c>
    </row>
    <row r="3837" spans="1:44" hidden="1">
      <c r="A3837" s="1" t="s">
        <v>5164</v>
      </c>
      <c r="C3837" s="1">
        <v>1</v>
      </c>
      <c r="D3837" s="1" t="str">
        <f>"02101"</f>
        <v>02101</v>
      </c>
      <c r="E3837" s="1" t="s">
        <v>37</v>
      </c>
      <c r="F3837" s="1">
        <v>11</v>
      </c>
      <c r="G3837" s="1">
        <v>7</v>
      </c>
      <c r="H3837" s="1">
        <v>0</v>
      </c>
      <c r="I3837" s="1" t="s">
        <v>5161</v>
      </c>
      <c r="K3837" s="1" t="str">
        <f t="shared" si="239"/>
        <v>ㄉ</v>
      </c>
      <c r="L3837" s="1" t="str">
        <f t="shared" si="240"/>
        <v>ㄧ</v>
      </c>
      <c r="N3837" s="3" t="s">
        <v>30575</v>
      </c>
      <c r="O3837" s="3"/>
      <c r="P3837" s="1" t="s">
        <v>20</v>
      </c>
      <c r="R3837" s="1" t="s">
        <v>5162</v>
      </c>
      <c r="V3837" s="1" t="s">
        <v>5165</v>
      </c>
      <c r="AR3837" s="1" t="str">
        <f t="shared" si="238"/>
        <v>| [ㄉㄧˊ](ㄉㄧˊ.md) | [荻](荻.md) |  | dí | [名]
1.植物名。禾本科芒屬，多年生草本。地下莖蔓延，地上莖細而直立，高六十至一百六十公分，葉互生，線形，長二十至五十公分，葉緣粗糙。圓錐花序頂生，小穗被毛，無芒，紫色。生長於水邊或原野，與蘆同類。莖可織席，亦可作造紙原料。
2.姓。如漢代有荻赦之。 |</v>
      </c>
    </row>
    <row r="3838" spans="1:44" hidden="1">
      <c r="A3838" s="1" t="s">
        <v>4709</v>
      </c>
      <c r="C3838" s="1">
        <v>1</v>
      </c>
      <c r="D3838" s="1" t="str">
        <f>"02102"</f>
        <v>02102</v>
      </c>
      <c r="E3838" s="1" t="s">
        <v>205</v>
      </c>
      <c r="F3838" s="1">
        <v>8</v>
      </c>
      <c r="G3838" s="1">
        <v>3</v>
      </c>
      <c r="H3838" s="1">
        <v>2</v>
      </c>
      <c r="I3838" s="1" t="s">
        <v>5161</v>
      </c>
      <c r="K3838" s="1" t="str">
        <f t="shared" si="239"/>
        <v>ㄉ</v>
      </c>
      <c r="L3838" s="1" t="str">
        <f t="shared" si="240"/>
        <v>ㄧ</v>
      </c>
      <c r="N3838" s="3" t="s">
        <v>30575</v>
      </c>
      <c r="O3838" s="3"/>
      <c r="P3838" s="1" t="s">
        <v>20</v>
      </c>
      <c r="R3838" s="1" t="s">
        <v>5162</v>
      </c>
      <c r="V3838" s="1" t="s">
        <v>5166</v>
      </c>
      <c r="W3838" s="1" t="s">
        <v>5167</v>
      </c>
      <c r="AR3838" s="1" t="str">
        <f t="shared" si="238"/>
        <v>| [ㄉㄧˊ](ㄉㄧˊ.md) | [的](的.md) |  | dí | [副]
確、真、實在。如：「的確」。宋．賀鑄〈點絳脣．一幅霜綃〉詞：「掩妝無語，的是銷凝處。」元．白樸《牆頭馬上》第二折：「又不比秦樓夜讌金釵客，這的擔著利害。」
[形]
確實的、可靠的。如：「的保」、「的款」。 |</v>
      </c>
    </row>
    <row r="3839" spans="1:44" hidden="1">
      <c r="A3839" s="1" t="s">
        <v>5168</v>
      </c>
      <c r="C3839" s="1">
        <v>1</v>
      </c>
      <c r="D3839" s="1" t="str">
        <f>"02103"</f>
        <v>02103</v>
      </c>
      <c r="E3839" s="1" t="s">
        <v>96</v>
      </c>
      <c r="F3839" s="1">
        <v>12</v>
      </c>
      <c r="G3839" s="1">
        <v>3</v>
      </c>
      <c r="H3839" s="1">
        <v>0</v>
      </c>
      <c r="I3839" s="1" t="s">
        <v>5161</v>
      </c>
      <c r="K3839" s="1" t="str">
        <f t="shared" si="239"/>
        <v>ㄉ</v>
      </c>
      <c r="L3839" s="1" t="str">
        <f t="shared" si="240"/>
        <v>ㄧ</v>
      </c>
      <c r="N3839" s="3" t="s">
        <v>30575</v>
      </c>
      <c r="O3839" s="3"/>
      <c r="P3839" s="1" t="s">
        <v>20</v>
      </c>
      <c r="R3839" s="1" t="s">
        <v>5162</v>
      </c>
      <c r="V3839" s="1" t="s">
        <v>5169</v>
      </c>
      <c r="AR3839" s="1" t="str">
        <f t="shared" si="238"/>
        <v>| [ㄉㄧˊ](ㄉㄧˊ.md) | [靮](靮.md) |  | dí | [名]
控馬的韁繩。《禮記．少儀》：「牛則執紖，馬則執靮。」漢．鄭玄．注：「紖、靮皆所以繫制之者。」 |</v>
      </c>
    </row>
    <row r="3840" spans="1:44" hidden="1">
      <c r="A3840" s="1" t="s">
        <v>5170</v>
      </c>
      <c r="C3840" s="1">
        <v>1</v>
      </c>
      <c r="D3840" s="1" t="str">
        <f>"02104"</f>
        <v>02104</v>
      </c>
      <c r="E3840" s="1" t="s">
        <v>37</v>
      </c>
      <c r="F3840" s="1">
        <v>9</v>
      </c>
      <c r="G3840" s="1">
        <v>5</v>
      </c>
      <c r="H3840" s="1">
        <v>0</v>
      </c>
      <c r="I3840" s="1" t="s">
        <v>5161</v>
      </c>
      <c r="K3840" s="1" t="str">
        <f t="shared" si="239"/>
        <v>ㄉ</v>
      </c>
      <c r="L3840" s="1" t="str">
        <f t="shared" si="240"/>
        <v>ㄧ</v>
      </c>
      <c r="N3840" s="3" t="s">
        <v>30575</v>
      </c>
      <c r="O3840" s="3"/>
      <c r="P3840" s="1" t="s">
        <v>20</v>
      </c>
      <c r="R3840" s="1" t="s">
        <v>5162</v>
      </c>
      <c r="V3840" s="1" t="s">
        <v>5171</v>
      </c>
      <c r="AR3840" s="1" t="str">
        <f t="shared" si="238"/>
        <v>| [ㄉㄧˊ](ㄉㄧˊ.md) | [苖](苖.md) |  | dí | [名]
植物名。蓼科羊蹄屬，「羊蹄」之古稱。參見「羊蹄」條。 |</v>
      </c>
    </row>
    <row r="3841" spans="1:44" hidden="1">
      <c r="A3841" s="1" t="s">
        <v>5172</v>
      </c>
      <c r="C3841" s="1">
        <v>1</v>
      </c>
      <c r="D3841" s="1" t="str">
        <f>"02105"</f>
        <v>02105</v>
      </c>
      <c r="E3841" s="1" t="s">
        <v>558</v>
      </c>
      <c r="F3841" s="1">
        <v>9</v>
      </c>
      <c r="G3841" s="1">
        <v>5</v>
      </c>
      <c r="H3841" s="1">
        <v>0</v>
      </c>
      <c r="I3841" s="1" t="s">
        <v>5161</v>
      </c>
      <c r="K3841" s="1" t="str">
        <f t="shared" si="239"/>
        <v>ㄉ</v>
      </c>
      <c r="L3841" s="1" t="str">
        <f t="shared" si="240"/>
        <v>ㄧ</v>
      </c>
      <c r="N3841" s="3" t="s">
        <v>30575</v>
      </c>
      <c r="O3841" s="3"/>
      <c r="P3841" s="1" t="s">
        <v>20</v>
      </c>
      <c r="R3841" s="1" t="s">
        <v>5162</v>
      </c>
      <c r="V3841" s="1" t="s">
        <v>5173</v>
      </c>
      <c r="AR3841" s="1" t="str">
        <f t="shared" si="238"/>
        <v>| [ㄉㄧˊ](ㄉㄧˊ.md) | [迪](迪.md) |  | dí | [動]
1.開導、引導。《書經．太甲上》：「旁求俊彥，啟迪後人。」唐．孔穎達．正義：「乃旁求俊彥之人置之於位，令人開導後人。」
2.進用、任用。《詩經．大雅．桑柔》：「維此良人，弗求弗迪，維彼忍心，是顧是復。」漢．鄭玄．箋：「國有善人，王不求索，不進用之。」
3.實踐、實行。漢．揚雄《法言．先知》：「為國不迪其法而望其效，譬諸算乎！」晉．李軌．注：「迪，蹈。夫算者，不運籌策不能定其數；治國者，不蹈法度不能致其治。」
4.遵從、依循。《漢書．卷一〇〇．敘傳下》：「漢迪於秦，有革有因。」
[助]
發語詞，無義。有調節音節的作用。《書經．君奭》：「迪惟前人光，施于我沖子。」 |</v>
      </c>
    </row>
    <row r="3842" spans="1:44" hidden="1">
      <c r="A3842" s="1" t="s">
        <v>5174</v>
      </c>
      <c r="C3842" s="1">
        <v>1</v>
      </c>
      <c r="D3842" s="1" t="str">
        <f>"02106"</f>
        <v>02106</v>
      </c>
      <c r="E3842" s="1" t="s">
        <v>49</v>
      </c>
      <c r="F3842" s="1">
        <v>11</v>
      </c>
      <c r="G3842" s="1">
        <v>5</v>
      </c>
      <c r="H3842" s="1">
        <v>0</v>
      </c>
      <c r="I3842" s="1" t="s">
        <v>5161</v>
      </c>
      <c r="K3842" s="1" t="str">
        <f t="shared" si="239"/>
        <v>ㄉ</v>
      </c>
      <c r="L3842" s="1" t="str">
        <f t="shared" si="240"/>
        <v>ㄧ</v>
      </c>
      <c r="N3842" s="3" t="s">
        <v>30575</v>
      </c>
      <c r="O3842" s="3"/>
      <c r="P3842" s="1" t="s">
        <v>20</v>
      </c>
      <c r="R3842" s="1" t="s">
        <v>5162</v>
      </c>
      <c r="V3842" s="1" t="s">
        <v>5175</v>
      </c>
      <c r="AR3842" s="1" t="str">
        <f t="shared" si="238"/>
        <v>| [ㄉㄧˊ](ㄉㄧˊ.md) | [笛](笛.md) |  | dí | [名]
1.樂器名，吹管樂器。古代屬八音的竹類樂器，多為橫吹。亦名為「篴」。今在考古中所發現用動物的獸骨，所製成的吹管樂器，直吹，也被稱為骨笛。現有木、竹、金屬、塑膠等不同材質。
2.噴氣發聲的發音器，其響聲尖銳。如：「警笛」、「汽笛」。 |</v>
      </c>
    </row>
    <row r="3843" spans="1:44" hidden="1">
      <c r="A3843" s="1" t="s">
        <v>5176</v>
      </c>
      <c r="C3843" s="1">
        <v>1</v>
      </c>
      <c r="D3843" s="1" t="str">
        <f>"02107"</f>
        <v>02107</v>
      </c>
      <c r="E3843" s="1" t="s">
        <v>129</v>
      </c>
      <c r="F3843" s="1">
        <v>14</v>
      </c>
      <c r="G3843" s="1">
        <v>11</v>
      </c>
      <c r="H3843" s="1">
        <v>0</v>
      </c>
      <c r="I3843" s="1" t="s">
        <v>5161</v>
      </c>
      <c r="K3843" s="1" t="str">
        <f t="shared" si="239"/>
        <v>ㄉ</v>
      </c>
      <c r="L3843" s="1" t="str">
        <f t="shared" si="240"/>
        <v>ㄧ</v>
      </c>
      <c r="N3843" s="3" t="s">
        <v>30575</v>
      </c>
      <c r="O3843" s="3"/>
      <c r="P3843" s="1" t="s">
        <v>20</v>
      </c>
      <c r="R3843" s="1" t="s">
        <v>5162</v>
      </c>
      <c r="V3843" s="1" t="s">
        <v>5177</v>
      </c>
      <c r="AR3843" s="1" t="str">
        <f t="shared" ref="AR3843:AR3906" si="241">"| ["&amp;I3843&amp;"]("&amp;I3843&amp;".md) | ["&amp;A3843&amp;"]("&amp;A3843&amp;".md) | "&amp;" | "&amp;R3843&amp;" | "&amp;V3843&amp;" |"</f>
        <v>| [ㄉㄧˊ](ㄉㄧˊ.md) | [滌](滌.md) |  | dí | [動]
1.洗濯。如：「洗滌」。《漢書．卷五七．司馬相如傳上》：「相如身自著犢鼻褌，與庸保雜作，滌器於市中。」
2.清掃。《詩經．豳風．七月》：「九月肅霜，十月滌場，朋酒斯饗，曰殺羔羊。」
3.去除。如：「從今以後，我要滌除惡習，奮發向上。」《文選．張衡．東京賦》：「進明德而崇業，滌饕餮之貪欲。」 |</v>
      </c>
    </row>
    <row r="3844" spans="1:44" hidden="1">
      <c r="A3844" s="1" t="s">
        <v>5178</v>
      </c>
      <c r="C3844" s="1">
        <v>1</v>
      </c>
      <c r="D3844" s="1" t="str">
        <f>"02108"</f>
        <v>02108</v>
      </c>
      <c r="E3844" s="1" t="s">
        <v>28</v>
      </c>
      <c r="F3844" s="1">
        <v>14</v>
      </c>
      <c r="G3844" s="1">
        <v>11</v>
      </c>
      <c r="H3844" s="1">
        <v>0</v>
      </c>
      <c r="I3844" s="1" t="s">
        <v>5161</v>
      </c>
      <c r="K3844" s="1" t="str">
        <f t="shared" si="239"/>
        <v>ㄉ</v>
      </c>
      <c r="L3844" s="1" t="str">
        <f t="shared" si="240"/>
        <v>ㄧ</v>
      </c>
      <c r="N3844" s="3" t="s">
        <v>30575</v>
      </c>
      <c r="O3844" s="3"/>
      <c r="P3844" s="1" t="s">
        <v>20</v>
      </c>
      <c r="R3844" s="1" t="s">
        <v>5162</v>
      </c>
      <c r="V3844" s="1" t="s">
        <v>5179</v>
      </c>
      <c r="AR3844" s="1" t="str">
        <f t="shared" si="241"/>
        <v>| [ㄉㄧˊ](ㄉㄧˊ.md) | [嘀](嘀.md) |  | dí | 參見「嘀咕」、「嘀嘀咕咕」等條。 |</v>
      </c>
    </row>
    <row r="3845" spans="1:44" hidden="1">
      <c r="A3845" s="1" t="s">
        <v>5180</v>
      </c>
      <c r="C3845" s="1">
        <v>1</v>
      </c>
      <c r="D3845" s="1" t="str">
        <f>"02109"</f>
        <v>02109</v>
      </c>
      <c r="E3845" s="1" t="s">
        <v>534</v>
      </c>
      <c r="F3845" s="1">
        <v>14</v>
      </c>
      <c r="G3845" s="1">
        <v>11</v>
      </c>
      <c r="H3845" s="1">
        <v>0</v>
      </c>
      <c r="I3845" s="1" t="s">
        <v>5161</v>
      </c>
      <c r="K3845" s="1" t="str">
        <f t="shared" si="239"/>
        <v>ㄉ</v>
      </c>
      <c r="L3845" s="1" t="str">
        <f t="shared" si="240"/>
        <v>ㄧ</v>
      </c>
      <c r="N3845" s="3" t="s">
        <v>30575</v>
      </c>
      <c r="O3845" s="3"/>
      <c r="P3845" s="1" t="s">
        <v>20</v>
      </c>
      <c r="R3845" s="1" t="s">
        <v>5162</v>
      </c>
      <c r="V3845" s="1" t="s">
        <v>5181</v>
      </c>
      <c r="AR3845" s="1" t="str">
        <f t="shared" si="241"/>
        <v>| [ㄉㄧˊ](ㄉㄧˊ.md) | [嫡](嫡.md) |  | dí | [名]
1.正妻。《幼學瓊林．卷二．夫婦類》：「正妻謂之嫡。」也稱為「嫡室」。
2.嫡子。指正妻所生之子。《左傳．文公十七年》：「歸生佐寡君之嫡夷，以請陳侯于楚而朝諸君。」
[形]
1.正宗的、不是旁支的。如：「嫡妻」、「嫡嗣」、「嫡系」、「嫡長子」、「嫡脈相傳」。
2.家族中血統最近的。如：「嫡親」、「嫡堂兄弟」。 |</v>
      </c>
    </row>
    <row r="3846" spans="1:44" hidden="1">
      <c r="A3846" s="1" t="s">
        <v>5182</v>
      </c>
      <c r="C3846" s="1">
        <v>1</v>
      </c>
      <c r="D3846" s="1" t="str">
        <f>"02110"</f>
        <v>02110</v>
      </c>
      <c r="E3846" s="1" t="s">
        <v>558</v>
      </c>
      <c r="F3846" s="1">
        <v>15</v>
      </c>
      <c r="G3846" s="1">
        <v>11</v>
      </c>
      <c r="H3846" s="1">
        <v>2</v>
      </c>
      <c r="I3846" s="1" t="s">
        <v>5161</v>
      </c>
      <c r="K3846" s="1" t="str">
        <f t="shared" si="239"/>
        <v>ㄉ</v>
      </c>
      <c r="L3846" s="1" t="str">
        <f t="shared" si="240"/>
        <v>ㄧ</v>
      </c>
      <c r="N3846" s="3" t="s">
        <v>30575</v>
      </c>
      <c r="O3846" s="3"/>
      <c r="P3846" s="1" t="s">
        <v>20</v>
      </c>
      <c r="R3846" s="1" t="s">
        <v>5162</v>
      </c>
      <c r="V3846" s="1" t="s">
        <v>5183</v>
      </c>
      <c r="W3846" s="1" t="s">
        <v>5184</v>
      </c>
      <c r="AR3846" s="1" t="str">
        <f t="shared" si="241"/>
        <v>| [ㄉㄧˊ](ㄉㄧˊ.md) | [適](適.md) |  | dí | [名]_x000D_
1.正妻所生的兒子。同「嫡」。《左傳．文公十八年》：「殺適立庶，市人皆哭，魯人謂之哀姜。」《公羊傳．隱公元年》：「立適以長，不以賢。」漢．何休．解詁：「適謂適夫人之子。」_x000D_
2.敵人。通「敵」。《墨子．旗幟》：「諸守牲格者，三出卻適，守以令召賜食前，予大旗。」《史記．卷八二．田單列傳》：「夫始如處女，適人開戶；後如脫兔，適不及距。」_x000D_
[動]_x000D_
專主、作主。《詩經．衛風．伯兮》：「首如飛蓬，豈無膏沐，誰適為容。」漢．毛亨．傳：「適，主也。」 |</v>
      </c>
    </row>
    <row r="3847" spans="1:44" hidden="1">
      <c r="A3847" s="1" t="s">
        <v>5185</v>
      </c>
      <c r="C3847" s="1">
        <v>1</v>
      </c>
      <c r="D3847" s="1" t="str">
        <f>"02111"</f>
        <v>02111</v>
      </c>
      <c r="E3847" s="1" t="s">
        <v>426</v>
      </c>
      <c r="F3847" s="1">
        <v>15</v>
      </c>
      <c r="G3847" s="1">
        <v>11</v>
      </c>
      <c r="H3847" s="1">
        <v>0</v>
      </c>
      <c r="I3847" s="1" t="s">
        <v>5161</v>
      </c>
      <c r="K3847" s="1" t="str">
        <f t="shared" si="239"/>
        <v>ㄉ</v>
      </c>
      <c r="L3847" s="1" t="str">
        <f t="shared" si="240"/>
        <v>ㄧ</v>
      </c>
      <c r="N3847" s="3" t="s">
        <v>30575</v>
      </c>
      <c r="O3847" s="3"/>
      <c r="P3847" s="1" t="s">
        <v>20</v>
      </c>
      <c r="R3847" s="1" t="s">
        <v>5162</v>
      </c>
      <c r="V3847" s="1" t="s">
        <v>5186</v>
      </c>
      <c r="AR3847" s="1" t="str">
        <f t="shared" si="241"/>
        <v>| [ㄉㄧˊ](ㄉㄧˊ.md) | [敵](敵.md) |  | dí | [名]
仇人。如：「大敵當前」、「分清敵我」、「敵眾我寡」、「敵暗我明」。
[動]
抵擋、抵抗。如：「寡不敵眾」。漢．曹操〈讓縣自明本志令〉：「孤自度勢，實不敵之。」
[形]
1.敵對的、因利害衝突而不相容的。如：「敵軍」、「敵方」、「敵意」。
2.相等的、相當的。如：「勢均力敵」。唐．元稹〈代曲江老人百韻〉：「李杜詩篇敵，蘇張筆力勻。」 |</v>
      </c>
    </row>
    <row r="3848" spans="1:44" hidden="1">
      <c r="A3848" s="1" t="s">
        <v>5187</v>
      </c>
      <c r="C3848" s="1">
        <v>1</v>
      </c>
      <c r="D3848" s="1" t="str">
        <f>"02112"</f>
        <v>02112</v>
      </c>
      <c r="E3848" s="1" t="s">
        <v>139</v>
      </c>
      <c r="F3848" s="1">
        <v>15</v>
      </c>
      <c r="G3848" s="1">
        <v>11</v>
      </c>
      <c r="H3848" s="1">
        <v>0</v>
      </c>
      <c r="I3848" s="1" t="s">
        <v>5161</v>
      </c>
      <c r="K3848" s="1" t="str">
        <f t="shared" si="239"/>
        <v>ㄉ</v>
      </c>
      <c r="L3848" s="1" t="str">
        <f t="shared" si="240"/>
        <v>ㄧ</v>
      </c>
      <c r="N3848" s="3" t="s">
        <v>30575</v>
      </c>
      <c r="O3848" s="3"/>
      <c r="P3848" s="1" t="s">
        <v>20</v>
      </c>
      <c r="R3848" s="1" t="s">
        <v>5162</v>
      </c>
      <c r="V3848" s="1" t="s">
        <v>5188</v>
      </c>
      <c r="AR3848" s="1" t="str">
        <f t="shared" si="241"/>
        <v>| [ㄉㄧˊ](ㄉㄧˊ.md) | [樀](樀.md) |  | dí | 參見「樀樀」條。 |</v>
      </c>
    </row>
    <row r="3849" spans="1:44" hidden="1">
      <c r="A3849" s="1" t="s">
        <v>5189</v>
      </c>
      <c r="C3849" s="1">
        <v>1</v>
      </c>
      <c r="D3849" s="1" t="str">
        <f>"02113"</f>
        <v>02113</v>
      </c>
      <c r="E3849" s="1" t="s">
        <v>1824</v>
      </c>
      <c r="F3849" s="1">
        <v>16</v>
      </c>
      <c r="G3849" s="1">
        <v>11</v>
      </c>
      <c r="H3849" s="1">
        <v>0</v>
      </c>
      <c r="I3849" s="1" t="s">
        <v>5161</v>
      </c>
      <c r="K3849" s="1" t="str">
        <f t="shared" si="239"/>
        <v>ㄉ</v>
      </c>
      <c r="L3849" s="1" t="str">
        <f t="shared" si="240"/>
        <v>ㄧ</v>
      </c>
      <c r="N3849" s="3" t="s">
        <v>30575</v>
      </c>
      <c r="O3849" s="3"/>
      <c r="P3849" s="1" t="s">
        <v>20</v>
      </c>
      <c r="R3849" s="1" t="s">
        <v>5162</v>
      </c>
      <c r="V3849" s="1" t="s">
        <v>5190</v>
      </c>
      <c r="AR3849" s="1" t="str">
        <f t="shared" si="241"/>
        <v>| [ㄉㄧˊ](ㄉㄧˊ.md) | [甋](甋.md) |  | dí | [名]
瓴甋：磚。清．王念孫《廣雅疏證．卷七上．釋宮》：「瓴甋，磚也。」宋．晁補之〈坐進庵賦〉：「上蒙稿秸，下履瓴甋。」 |</v>
      </c>
    </row>
    <row r="3850" spans="1:44" hidden="1">
      <c r="A3850" s="1" t="s">
        <v>5191</v>
      </c>
      <c r="C3850" s="1">
        <v>1</v>
      </c>
      <c r="D3850" s="1" t="str">
        <f>"02114"</f>
        <v>02114</v>
      </c>
      <c r="E3850" s="1" t="s">
        <v>77</v>
      </c>
      <c r="F3850" s="1">
        <v>18</v>
      </c>
      <c r="G3850" s="1">
        <v>11</v>
      </c>
      <c r="H3850" s="1">
        <v>2</v>
      </c>
      <c r="I3850" s="1" t="s">
        <v>5161</v>
      </c>
      <c r="K3850" s="1" t="str">
        <f t="shared" si="239"/>
        <v>ㄉ</v>
      </c>
      <c r="L3850" s="1" t="str">
        <f t="shared" si="240"/>
        <v>ㄧ</v>
      </c>
      <c r="N3850" s="3" t="s">
        <v>30575</v>
      </c>
      <c r="O3850" s="3"/>
      <c r="P3850" s="1" t="s">
        <v>20</v>
      </c>
      <c r="R3850" s="1" t="s">
        <v>5162</v>
      </c>
      <c r="V3850" s="1" t="s">
        <v>5192</v>
      </c>
      <c r="W3850" s="1" t="s">
        <v>5193</v>
      </c>
      <c r="AR3850" s="1" t="str">
        <f t="shared" si="241"/>
        <v>| [ㄉㄧˊ](ㄉㄧˊ.md) | [蹢](蹢.md) |  | dí | [名]
獸蹄。《詩經．小雅．漸漸之石》：「有豕白蹢，烝涉波矣。」 |</v>
      </c>
    </row>
    <row r="3851" spans="1:44" hidden="1">
      <c r="A3851" s="1" t="s">
        <v>5155</v>
      </c>
      <c r="C3851" s="1">
        <v>1</v>
      </c>
      <c r="D3851" s="1" t="str">
        <f>"02115"</f>
        <v>02115</v>
      </c>
      <c r="E3851" s="1" t="s">
        <v>55</v>
      </c>
      <c r="F3851" s="1">
        <v>19</v>
      </c>
      <c r="G3851" s="1">
        <v>11</v>
      </c>
      <c r="H3851" s="1">
        <v>1</v>
      </c>
      <c r="I3851" s="1" t="s">
        <v>5161</v>
      </c>
      <c r="K3851" s="1" t="str">
        <f t="shared" si="239"/>
        <v>ㄉ</v>
      </c>
      <c r="L3851" s="1" t="str">
        <f t="shared" si="240"/>
        <v>ㄧ</v>
      </c>
      <c r="N3851" s="3" t="s">
        <v>30575</v>
      </c>
      <c r="O3851" s="3"/>
      <c r="P3851" s="1" t="s">
        <v>20</v>
      </c>
      <c r="R3851" s="1" t="s">
        <v>5162</v>
      </c>
      <c r="V3851" s="1" t="s">
        <v>5194</v>
      </c>
      <c r="W3851" s="1" t="s">
        <v>5195</v>
      </c>
      <c r="AR3851" s="1" t="str">
        <f t="shared" si="241"/>
        <v>| [ㄉㄧˊ](ㄉㄧˊ.md) | [鏑](鏑.md) |  | dí | [名]
1.箭頭。《續資治通鑑．卷一七．宋紀十七．太宗淳化四年》：「銷銅鐘為箭鏑，伐木為竿。」
2.箭。《文選．丘遲．與陳伯之書》：「如何一旦為奔亡之虜，聞鳴鏑而股戰，對穹廬以屈膝，又何劣邪！」明．李玉《占花魁》第二三齣：「歎當初早不用鴻門計，把孤身冒鏑當鋒，時不利。」 |</v>
      </c>
    </row>
    <row r="3852" spans="1:44" hidden="1">
      <c r="A3852" s="1" t="s">
        <v>5196</v>
      </c>
      <c r="C3852" s="1">
        <v>1</v>
      </c>
      <c r="D3852" s="1" t="str">
        <f>"02116"</f>
        <v>02116</v>
      </c>
      <c r="E3852" s="1" t="s">
        <v>2271</v>
      </c>
      <c r="F3852" s="1">
        <v>14</v>
      </c>
      <c r="G3852" s="1">
        <v>8</v>
      </c>
      <c r="H3852" s="1">
        <v>2</v>
      </c>
      <c r="I3852" s="1" t="s">
        <v>5161</v>
      </c>
      <c r="K3852" s="1" t="str">
        <f t="shared" si="239"/>
        <v>ㄉ</v>
      </c>
      <c r="L3852" s="1" t="str">
        <f t="shared" si="240"/>
        <v>ㄧ</v>
      </c>
      <c r="N3852" s="3" t="s">
        <v>30575</v>
      </c>
      <c r="O3852" s="3"/>
      <c r="P3852" s="1" t="s">
        <v>20</v>
      </c>
      <c r="R3852" s="1" t="s">
        <v>5162</v>
      </c>
      <c r="V3852" s="1" t="s">
        <v>5197</v>
      </c>
      <c r="W3852" s="1" t="s">
        <v>5198</v>
      </c>
      <c r="AR3852" s="1" t="str">
        <f t="shared" si="241"/>
        <v>| [ㄉㄧˊ](ㄉㄧˊ.md) | [翟](翟.md) |  | dí | [名]_x000D_
1.長尾的山雉。唐．王勃〈乾元殿頌〉：「境懷春翟，野散秋螟。」_x000D_
2.古代樂舞所用的雉羽。《詩經．邶風．簡兮》：「左手執籥，右手秉翟。」漢．張衡〈東京賦〉：「冠華秉翟，列舞八佾。」_x000D_
3.中國古代北方的民族。同「狄」。《禮記．檀弓下》：「晉獻公之喪，秦穆公使人弔公子重耳。」漢．鄭玄．注：「獻公殺其世子申生，重耳避難出奔，是時在翟，就弔之。」_x000D_
4.人名用字。如戰國時墨子名翟。 |</v>
      </c>
    </row>
    <row r="3853" spans="1:44" hidden="1">
      <c r="A3853" s="1" t="s">
        <v>5199</v>
      </c>
      <c r="C3853" s="1">
        <v>1</v>
      </c>
      <c r="D3853" s="1" t="str">
        <f>"02117"</f>
        <v>02117</v>
      </c>
      <c r="E3853" s="1" t="s">
        <v>37</v>
      </c>
      <c r="F3853" s="1">
        <v>18</v>
      </c>
      <c r="G3853" s="1">
        <v>14</v>
      </c>
      <c r="H3853" s="1">
        <v>2</v>
      </c>
      <c r="I3853" s="1" t="s">
        <v>5161</v>
      </c>
      <c r="K3853" s="1" t="str">
        <f t="shared" si="239"/>
        <v>ㄉ</v>
      </c>
      <c r="L3853" s="1" t="str">
        <f t="shared" si="240"/>
        <v>ㄧ</v>
      </c>
      <c r="N3853" s="3" t="s">
        <v>30575</v>
      </c>
      <c r="O3853" s="3"/>
      <c r="P3853" s="1" t="s">
        <v>20</v>
      </c>
      <c r="R3853" s="1" t="s">
        <v>5162</v>
      </c>
      <c r="V3853" s="1" t="s">
        <v>5200</v>
      </c>
      <c r="W3853" s="1" t="s">
        <v>5201</v>
      </c>
      <c r="AR3853" s="1" t="str">
        <f t="shared" si="241"/>
        <v>| [ㄉㄧˊ](ㄉㄧˊ.md) | [藋](藋.md) |  | dí | 參見「藋粱」條。 |</v>
      </c>
    </row>
    <row r="3854" spans="1:44" hidden="1">
      <c r="A3854" s="1" t="s">
        <v>5202</v>
      </c>
      <c r="C3854" s="1">
        <v>1</v>
      </c>
      <c r="D3854" s="1" t="str">
        <f>"02118"</f>
        <v>02118</v>
      </c>
      <c r="E3854" s="1" t="s">
        <v>46</v>
      </c>
      <c r="F3854" s="1">
        <v>22</v>
      </c>
      <c r="G3854" s="1">
        <v>16</v>
      </c>
      <c r="H3854" s="1">
        <v>0</v>
      </c>
      <c r="I3854" s="1" t="s">
        <v>5161</v>
      </c>
      <c r="K3854" s="1" t="str">
        <f t="shared" si="239"/>
        <v>ㄉ</v>
      </c>
      <c r="L3854" s="1" t="str">
        <f t="shared" si="240"/>
        <v>ㄧ</v>
      </c>
      <c r="N3854" s="3" t="s">
        <v>30575</v>
      </c>
      <c r="O3854" s="3"/>
      <c r="P3854" s="1" t="s">
        <v>20</v>
      </c>
      <c r="R3854" s="1" t="s">
        <v>5162</v>
      </c>
      <c r="V3854" s="1" t="s">
        <v>5203</v>
      </c>
      <c r="AR3854" s="1" t="str">
        <f t="shared" si="241"/>
        <v>| [ㄉㄧˊ](ㄉㄧˊ.md) | [糴](糴.md) |  | dí | [動]
買入穀物。與「糶」相對。元．陳泰〈集民謠〉二首之一：「縣官催租吏胥急，糴粟輸官莫論直。」
[名]
姓。如春秋時晉國有糴筏。 |</v>
      </c>
    </row>
    <row r="3855" spans="1:44" hidden="1">
      <c r="A3855" s="1" t="s">
        <v>5204</v>
      </c>
      <c r="C3855" s="1">
        <v>1</v>
      </c>
      <c r="D3855" s="1" t="str">
        <f>"02119"</f>
        <v>02119</v>
      </c>
      <c r="E3855" s="1" t="s">
        <v>272</v>
      </c>
      <c r="F3855" s="1">
        <v>25</v>
      </c>
      <c r="G3855" s="1">
        <v>14</v>
      </c>
      <c r="H3855" s="1">
        <v>0</v>
      </c>
      <c r="I3855" s="1" t="s">
        <v>5161</v>
      </c>
      <c r="K3855" s="1" t="str">
        <f t="shared" si="239"/>
        <v>ㄉ</v>
      </c>
      <c r="L3855" s="1" t="str">
        <f t="shared" si="240"/>
        <v>ㄧ</v>
      </c>
      <c r="N3855" s="3" t="s">
        <v>30575</v>
      </c>
      <c r="O3855" s="3"/>
      <c r="P3855" s="1" t="s">
        <v>20</v>
      </c>
      <c r="R3855" s="1" t="s">
        <v>5162</v>
      </c>
      <c r="V3855" s="1" t="s">
        <v>5205</v>
      </c>
      <c r="AR3855" s="1" t="str">
        <f t="shared" si="241"/>
        <v>| [ㄉㄧˊ](ㄉㄧˊ.md) | [鸐](鸐.md) |  | dí | [名]
長尾山雉。《爾雅．釋鳥》：「翟鳥山雉。」晉．郭璞．注：「尾長者。」 |</v>
      </c>
    </row>
    <row r="3856" spans="1:44" hidden="1">
      <c r="A3856" s="1" t="s">
        <v>5146</v>
      </c>
      <c r="C3856" s="1">
        <v>1</v>
      </c>
      <c r="D3856" s="1" t="str">
        <f>"02120"</f>
        <v>02120</v>
      </c>
      <c r="E3856" s="1" t="s">
        <v>55</v>
      </c>
      <c r="F3856" s="1">
        <v>17</v>
      </c>
      <c r="G3856" s="1">
        <v>9</v>
      </c>
      <c r="H3856" s="1">
        <v>2</v>
      </c>
      <c r="I3856" s="1" t="s">
        <v>5161</v>
      </c>
      <c r="K3856" s="1" t="str">
        <f t="shared" si="239"/>
        <v>ㄉ</v>
      </c>
      <c r="L3856" s="1" t="str">
        <f t="shared" si="240"/>
        <v>ㄧ</v>
      </c>
      <c r="N3856" s="3" t="s">
        <v>30575</v>
      </c>
      <c r="O3856" s="3"/>
      <c r="P3856" s="1" t="s">
        <v>20</v>
      </c>
      <c r="R3856" s="1" t="s">
        <v>5162</v>
      </c>
      <c r="V3856" s="1" t="s">
        <v>5206</v>
      </c>
      <c r="W3856" s="1" t="s">
        <v>5207</v>
      </c>
      <c r="AR3856" s="1" t="str">
        <f t="shared" si="241"/>
        <v>| [ㄉㄧˊ](ㄉㄧˊ.md) | [鍉](鍉.md) |  | dí | [名]
箭鏃、箭頭。同「鏑」。《漢書．卷三一．項籍傳》：「墮名城，殺豪俊，收天下之兵聚之咸陽，銷鋒鍉鑄以為金人十二，以弱天下之民。」 |</v>
      </c>
    </row>
    <row r="3857" spans="1:44" hidden="1">
      <c r="A3857" s="1" t="s">
        <v>5208</v>
      </c>
      <c r="C3857" s="1">
        <v>1</v>
      </c>
      <c r="D3857" s="1" t="str">
        <f>"02121"</f>
        <v>02121</v>
      </c>
      <c r="E3857" s="1" t="s">
        <v>2233</v>
      </c>
      <c r="F3857" s="1">
        <v>22</v>
      </c>
      <c r="G3857" s="1">
        <v>15</v>
      </c>
      <c r="H3857" s="1">
        <v>0</v>
      </c>
      <c r="I3857" s="1" t="s">
        <v>5161</v>
      </c>
      <c r="K3857" s="1" t="str">
        <f t="shared" si="239"/>
        <v>ㄉ</v>
      </c>
      <c r="L3857" s="1" t="str">
        <f t="shared" si="240"/>
        <v>ㄧ</v>
      </c>
      <c r="N3857" s="3" t="s">
        <v>30575</v>
      </c>
      <c r="O3857" s="3"/>
      <c r="P3857" s="1" t="s">
        <v>20</v>
      </c>
      <c r="R3857" s="1" t="s">
        <v>5162</v>
      </c>
      <c r="V3857" s="1" t="s">
        <v>5209</v>
      </c>
      <c r="AR3857" s="1" t="str">
        <f t="shared" si="241"/>
        <v>| [ㄉㄧˊ](ㄉㄧˊ.md) | [覿](覿.md) |  | dí | [動]
1.以禮相見。《春秋．莊公二十四年》：「八月丁丑，夫人姜氏入。戊寅，大夫宗婦覿，同幣。」《論語．鄉黨》：「私覿，愉愉如也。」
2.見。《易經．困卦．初六》：「入于幽谷，三歲不覿。」南朝梁．劉勰《文心雕龍．誄碑》：「論其人也，曖乎若可覿；道其哀也，悽焉如可傷：此其旨也。」
3.拜訪、探視。唐．王維〈藍田山石門精舍〉詩：「笑謝桃源人，花紅復來覿。」 |</v>
      </c>
    </row>
    <row r="3858" spans="1:44" hidden="1">
      <c r="A3858" s="1" t="s">
        <v>5130</v>
      </c>
      <c r="C3858" s="1">
        <v>1</v>
      </c>
      <c r="D3858" s="1" t="str">
        <f>"02122"</f>
        <v>02122</v>
      </c>
      <c r="E3858" s="1" t="s">
        <v>3195</v>
      </c>
      <c r="F3858" s="1">
        <v>5</v>
      </c>
      <c r="G3858" s="1">
        <v>1</v>
      </c>
      <c r="H3858" s="1">
        <v>2</v>
      </c>
      <c r="I3858" s="1" t="s">
        <v>5210</v>
      </c>
      <c r="K3858" s="1" t="str">
        <f t="shared" si="239"/>
        <v>ㄉ</v>
      </c>
      <c r="L3858" s="1" t="str">
        <f t="shared" si="240"/>
        <v>ㄧ</v>
      </c>
      <c r="N3858" s="3" t="s">
        <v>30576</v>
      </c>
      <c r="O3858" s="3"/>
      <c r="P3858" s="1" t="s">
        <v>20</v>
      </c>
      <c r="R3858" s="1" t="s">
        <v>5211</v>
      </c>
      <c r="V3858" s="1" t="s">
        <v>5212</v>
      </c>
      <c r="W3858" s="1" t="s">
        <v>5213</v>
      </c>
      <c r="AR3858" s="1" t="str">
        <f t="shared" si="241"/>
        <v>| [ㄉㄧˇ](ㄉㄧˇ.md) | [氐](氐.md) |  | dǐ | [名]
根本、基礎。同「柢」。《詩經．小雅．節南山》：「尹氏大師，維周之氐。」漢．毛亨．傳：「氐，本也。」
[副]
總括之詞。同「抵」。漢．司馬遷〈報任少卿書〉：「詩三百篇，大氐賢聖發憤之所為作也。」 |</v>
      </c>
    </row>
    <row r="3859" spans="1:44" hidden="1">
      <c r="A3859" s="1" t="s">
        <v>4706</v>
      </c>
      <c r="C3859" s="1">
        <v>1</v>
      </c>
      <c r="D3859" s="1" t="str">
        <f>"02123"</f>
        <v>02123</v>
      </c>
      <c r="E3859" s="1" t="s">
        <v>447</v>
      </c>
      <c r="F3859" s="1">
        <v>8</v>
      </c>
      <c r="G3859" s="1">
        <v>5</v>
      </c>
      <c r="H3859" s="1">
        <v>1</v>
      </c>
      <c r="I3859" s="1" t="s">
        <v>5210</v>
      </c>
      <c r="K3859" s="1" t="str">
        <f t="shared" si="239"/>
        <v>ㄉ</v>
      </c>
      <c r="L3859" s="1" t="str">
        <f t="shared" si="240"/>
        <v>ㄧ</v>
      </c>
      <c r="N3859" s="3" t="s">
        <v>30576</v>
      </c>
      <c r="O3859" s="3"/>
      <c r="P3859" s="1" t="s">
        <v>20</v>
      </c>
      <c r="R3859" s="1" t="s">
        <v>5211</v>
      </c>
      <c r="V3859" s="1" t="s">
        <v>5214</v>
      </c>
      <c r="W3859" s="1" t="s">
        <v>5215</v>
      </c>
      <c r="AR3859" s="1" t="str">
        <f t="shared" si="241"/>
        <v>| [ㄉㄧˇ](ㄉㄧˇ.md) | [底](底.md) |  | dǐ | [名]
1.器物或物體的最下部分。如：「鞋底」、「碗底」、「海底」、「井底」。
2.根源、底細。如：「謎底」、「揭底」、「摸底兒」、「尋根究底」。
3.末了、盡頭。如：「年底」、「月底」。
4.草稿、原本。如：「草底」、「存底」、「留個底兒」。
5.基本組成部分。如：「班底」、「紅底金字」。
[動]
到達。如：「終底於成」、「無所底極」。
[代]
何？什麼。表疑問。如：「干卿底事？」宋．蘇軾〈謝人見和前篇〉詩二首之二：「得酒強歡愁底事，閉門高臥定誰家？」 |</v>
      </c>
    </row>
    <row r="3860" spans="1:44" hidden="1">
      <c r="A3860" s="1" t="s">
        <v>5216</v>
      </c>
      <c r="C3860" s="1">
        <v>1</v>
      </c>
      <c r="D3860" s="1" t="str">
        <f>"02124"</f>
        <v>02124</v>
      </c>
      <c r="E3860" s="1" t="s">
        <v>132</v>
      </c>
      <c r="F3860" s="1">
        <v>8</v>
      </c>
      <c r="G3860" s="1">
        <v>5</v>
      </c>
      <c r="H3860" s="1">
        <v>2</v>
      </c>
      <c r="I3860" s="1" t="s">
        <v>5210</v>
      </c>
      <c r="K3860" s="1" t="str">
        <f t="shared" si="239"/>
        <v>ㄉ</v>
      </c>
      <c r="L3860" s="1" t="str">
        <f t="shared" si="240"/>
        <v>ㄧ</v>
      </c>
      <c r="N3860" s="3" t="s">
        <v>30576</v>
      </c>
      <c r="O3860" s="3"/>
      <c r="P3860" s="1" t="s">
        <v>20</v>
      </c>
      <c r="R3860" s="1" t="s">
        <v>5211</v>
      </c>
      <c r="V3860" s="1" t="s">
        <v>5217</v>
      </c>
      <c r="W3860" s="1" t="s">
        <v>5218</v>
      </c>
      <c r="AR3860" s="1" t="str">
        <f t="shared" si="241"/>
        <v>| [ㄉㄧˇ](ㄉㄧˇ.md) | [坻](坻.md) |  | dǐ | 參見「寶坻縣」條。 |</v>
      </c>
    </row>
    <row r="3861" spans="1:44" hidden="1">
      <c r="A3861" s="1" t="s">
        <v>5219</v>
      </c>
      <c r="C3861" s="1">
        <v>1</v>
      </c>
      <c r="D3861" s="1" t="str">
        <f>"02125"</f>
        <v>02125</v>
      </c>
      <c r="E3861" s="1" t="s">
        <v>24</v>
      </c>
      <c r="F3861" s="1">
        <v>8</v>
      </c>
      <c r="G3861" s="1">
        <v>5</v>
      </c>
      <c r="H3861" s="1">
        <v>1</v>
      </c>
      <c r="I3861" s="1" t="s">
        <v>5210</v>
      </c>
      <c r="K3861" s="1" t="str">
        <f t="shared" si="239"/>
        <v>ㄉ</v>
      </c>
      <c r="L3861" s="1" t="str">
        <f t="shared" si="240"/>
        <v>ㄧ</v>
      </c>
      <c r="N3861" s="3" t="s">
        <v>30576</v>
      </c>
      <c r="O3861" s="3"/>
      <c r="P3861" s="1" t="s">
        <v>20</v>
      </c>
      <c r="R3861" s="1" t="s">
        <v>5211</v>
      </c>
      <c r="V3861" s="1" t="s">
        <v>5220</v>
      </c>
      <c r="W3861" s="1" t="s">
        <v>5221</v>
      </c>
      <c r="AR3861" s="1" t="str">
        <f t="shared" si="241"/>
        <v>| [ㄉㄧˇ](ㄉㄧˇ.md) | [抵](抵.md) |  | dǐ | [動]
1.擋、抗拒。如：「抵擋。」《水滸傳》第六三回：「如今宋江領了兵圍城，賊寇浩大，不可抵敵。」
2.排擠。《漢書．卷八七．揚雄傳下》：「（范雎）激卬萬乘之主，界涇陽、抵穰侯而代之，當也。」《後漢書．卷二八上．桓譚馮衍列傳．桓譚》：「性嗜倡樂，簡易不修威儀，而憙非毀俗儒，由是多見排抵。」
3.衝突、觸犯。如：「你的話前後抵觸，矛盾極了！」《漢書．卷四．文帝紀》：「此細民之愚，無知抵死，朕甚不取。」
4.價值相當，可互相頂換。如：「抵債」、「一命抵一命」。唐．杜甫〈春望〉詩：「烽火連三月，家書抵萬金。」
5.互相抵消。如：「收支相抵」。宋．晏殊〈清平樂．春花秋草〉詞：「總把千山眉黛掃，未抵別愁多少。」清．孫奇逢《中州人物考．卷五．方正．常知州維翰》：「然停賦則病國，吾願輸家財抵之。」
6.頂、支撐。如：「手抵著下巴。」「用根棍子把門抵住。」
7.到達。如：「安抵家門」、「行抵某處」。《史記．卷六．秦始皇本紀》：「遂從井陘抵九原。」
8.投擲。漢．張衡〈東京賦〉：「藏金於山，抵璧於谷。」 |</v>
      </c>
    </row>
    <row r="3862" spans="1:44" hidden="1">
      <c r="A3862" s="1" t="s">
        <v>5222</v>
      </c>
      <c r="C3862" s="1">
        <v>1</v>
      </c>
      <c r="D3862" s="1" t="str">
        <f>"02126"</f>
        <v>02126</v>
      </c>
      <c r="E3862" s="1" t="s">
        <v>256</v>
      </c>
      <c r="F3862" s="1">
        <v>8</v>
      </c>
      <c r="G3862" s="1">
        <v>5</v>
      </c>
      <c r="H3862" s="1">
        <v>0</v>
      </c>
      <c r="I3862" s="1" t="s">
        <v>5210</v>
      </c>
      <c r="K3862" s="1" t="str">
        <f t="shared" si="239"/>
        <v>ㄉ</v>
      </c>
      <c r="L3862" s="1" t="str">
        <f t="shared" si="240"/>
        <v>ㄧ</v>
      </c>
      <c r="N3862" s="3" t="s">
        <v>30576</v>
      </c>
      <c r="O3862" s="3"/>
      <c r="P3862" s="1" t="s">
        <v>20</v>
      </c>
      <c r="R3862" s="1" t="s">
        <v>5211</v>
      </c>
      <c r="V3862" s="1" t="s">
        <v>5223</v>
      </c>
      <c r="AR3862" s="1" t="str">
        <f t="shared" si="241"/>
        <v>| [ㄉㄧˇ](ㄉㄧˇ.md) | [邸](邸.md) |  | dǐ | [名]_x000D_
1.古代諸侯入京，朝見天子的住所。《史記．卷七九．范雎蔡澤傳》：「（范雎）敝衣閒步之邸，見須賈。」《漢書．卷四．文帝紀》：「代王謝曰：『至邸而議之。』」唐．顏師古．注：「郡國朝宿之舍，在京師者率名邸。」_x000D_
2.高級官員的住所。如：「府邸」、「官邸」、「私邸」。《漢書．卷六四上．朱買臣傳》：「初，買臣免，待詔，常從會稽守邸者寄居飯食。」_x000D_
3.舊稱諸侯王。《北史．卷四三．列傳．張彝》：「王甚美其才，與河內張衡俱見禮重，晉邸稱為二張焉。」唐．元稹〈授薛昌朝等王傅等制〉：「擇才以佐諸邸，選士以列東朝。」_x000D_
4.旅館。《宋史．卷四三〇．道學傳．黃榦傳》：「時大雪，既至而熹它出，榦因留客邸。」_x000D_
5.屏風。《周禮．天官．掌次》：「王大旅上帝，則張氈案，設皇邸。」唐．賈公彥．疏：「邸謂以版為屏風，又以鳳皇羽飾之，此謂王坐所置也。」_x000D_
6.器物的底部。通「底」。《周禮．春官．典瑞》：「四圭有邸，以祀天、旅上帝。」_x000D_
7.姓。如漢代有邸桂，明代有邸鵬。 |</v>
      </c>
    </row>
    <row r="3863" spans="1:44" hidden="1">
      <c r="A3863" s="1" t="s">
        <v>5224</v>
      </c>
      <c r="C3863" s="1">
        <v>1</v>
      </c>
      <c r="D3863" s="1" t="str">
        <f>"02127"</f>
        <v>02127</v>
      </c>
      <c r="E3863" s="1" t="s">
        <v>103</v>
      </c>
      <c r="F3863" s="1">
        <v>8</v>
      </c>
      <c r="G3863" s="1">
        <v>5</v>
      </c>
      <c r="H3863" s="1">
        <v>0</v>
      </c>
      <c r="I3863" s="1" t="s">
        <v>5210</v>
      </c>
      <c r="K3863" s="1" t="str">
        <f t="shared" si="239"/>
        <v>ㄉ</v>
      </c>
      <c r="L3863" s="1" t="str">
        <f t="shared" si="240"/>
        <v>ㄧ</v>
      </c>
      <c r="N3863" s="3" t="s">
        <v>30576</v>
      </c>
      <c r="O3863" s="3"/>
      <c r="P3863" s="1" t="s">
        <v>20</v>
      </c>
      <c r="R3863" s="1" t="s">
        <v>5211</v>
      </c>
      <c r="V3863" s="1" t="s">
        <v>5225</v>
      </c>
      <c r="AR3863" s="1" t="str">
        <f t="shared" si="241"/>
        <v>| [ㄉㄧˇ](ㄉㄧˇ.md) | [弤](弤.md) |  | dǐ | [名]
雕花的弓。《孟子．萬章上》：「干戈，朕；琴，朕；弤，朕。二嫂使治朕棲。」漢．趙岐．注：「弤，彫弓也。天子曰彫弓，堯禪舜天下，故賜之彫弓也。」 |</v>
      </c>
    </row>
    <row r="3864" spans="1:44" hidden="1">
      <c r="A3864" s="1" t="s">
        <v>5226</v>
      </c>
      <c r="C3864" s="1">
        <v>1</v>
      </c>
      <c r="D3864" s="1" t="str">
        <f>"02128"</f>
        <v>02128</v>
      </c>
      <c r="E3864" s="1" t="s">
        <v>691</v>
      </c>
      <c r="F3864" s="1">
        <v>8</v>
      </c>
      <c r="G3864" s="1">
        <v>5</v>
      </c>
      <c r="H3864" s="1">
        <v>0</v>
      </c>
      <c r="I3864" s="1" t="s">
        <v>5210</v>
      </c>
      <c r="K3864" s="1" t="str">
        <f t="shared" si="239"/>
        <v>ㄉ</v>
      </c>
      <c r="L3864" s="1" t="str">
        <f t="shared" si="240"/>
        <v>ㄧ</v>
      </c>
      <c r="N3864" s="3" t="s">
        <v>30576</v>
      </c>
      <c r="O3864" s="3"/>
      <c r="P3864" s="1" t="s">
        <v>20</v>
      </c>
      <c r="R3864" s="1" t="s">
        <v>5211</v>
      </c>
      <c r="V3864" s="1" t="s">
        <v>5227</v>
      </c>
      <c r="AR3864" s="1" t="str">
        <f t="shared" si="241"/>
        <v>| [ㄉㄧˇ](ㄉㄧˇ.md) | [阺](阺.md) |  | dǐ | [名]
山坡。《文選．宋玉．高唐賦》：「登巉巖而下望兮，臨大阺之蓄水。」《後漢書．卷一六．寇恂傳》：「及漢軍退，峻亡歸故營，復助囂拒隴阺。」 |</v>
      </c>
    </row>
    <row r="3865" spans="1:44" hidden="1">
      <c r="A3865" s="1" t="s">
        <v>5228</v>
      </c>
      <c r="C3865" s="1">
        <v>1</v>
      </c>
      <c r="D3865" s="1" t="str">
        <f>"02129"</f>
        <v>02129</v>
      </c>
      <c r="E3865" s="1" t="s">
        <v>139</v>
      </c>
      <c r="F3865" s="1">
        <v>9</v>
      </c>
      <c r="G3865" s="1">
        <v>5</v>
      </c>
      <c r="H3865" s="1">
        <v>0</v>
      </c>
      <c r="I3865" s="1" t="s">
        <v>5210</v>
      </c>
      <c r="K3865" s="1" t="str">
        <f t="shared" si="239"/>
        <v>ㄉ</v>
      </c>
      <c r="L3865" s="1" t="str">
        <f t="shared" si="240"/>
        <v>ㄧ</v>
      </c>
      <c r="N3865" s="3" t="s">
        <v>30576</v>
      </c>
      <c r="O3865" s="3"/>
      <c r="P3865" s="1" t="s">
        <v>20</v>
      </c>
      <c r="R3865" s="1" t="s">
        <v>5211</v>
      </c>
      <c r="V3865" s="1" t="s">
        <v>5229</v>
      </c>
      <c r="AR3865" s="1" t="str">
        <f t="shared" si="241"/>
        <v>| [ㄉㄧˇ](ㄉㄧˇ.md) | [柢](柢.md) |  | dǐ | [名]
1.樹根。《說文解字．木部》：「柢，木根也。」如：「根深柢固」。《文選．張衡．西京賦》：「久流長則難竭，柢深則難朽。」宋．陸游〈秋夜遣懷〉詩：「心如秋燕不安巢，跡似春萍本無柢。」
2.引申為本源、基礎。《廣韻．上聲．薺韻》：「柢，本也。」。《文選．左思．吳都賦》：「霸王之所根柢，開國之所基趾。」 |</v>
      </c>
    </row>
    <row r="3866" spans="1:44" hidden="1">
      <c r="A3866" s="1" t="s">
        <v>5230</v>
      </c>
      <c r="C3866" s="1">
        <v>1</v>
      </c>
      <c r="D3866" s="1" t="str">
        <f>"02130"</f>
        <v>02130</v>
      </c>
      <c r="E3866" s="1" t="s">
        <v>518</v>
      </c>
      <c r="F3866" s="1">
        <v>9</v>
      </c>
      <c r="G3866" s="1">
        <v>5</v>
      </c>
      <c r="H3866" s="1">
        <v>0</v>
      </c>
      <c r="I3866" s="1" t="s">
        <v>5210</v>
      </c>
      <c r="K3866" s="1" t="str">
        <f t="shared" si="239"/>
        <v>ㄉ</v>
      </c>
      <c r="L3866" s="1" t="str">
        <f t="shared" si="240"/>
        <v>ㄧ</v>
      </c>
      <c r="N3866" s="3" t="s">
        <v>30576</v>
      </c>
      <c r="O3866" s="3"/>
      <c r="P3866" s="1" t="s">
        <v>20</v>
      </c>
      <c r="R3866" s="1" t="s">
        <v>5211</v>
      </c>
      <c r="V3866" s="1" t="s">
        <v>5231</v>
      </c>
      <c r="AR3866" s="1" t="str">
        <f t="shared" si="241"/>
        <v>| [ㄉㄧˇ](ㄉㄧˇ.md) | [牴](牴.md) |  | dǐ | [動]_x000D_
1.牛、羊等有角的獸類用角碰撞。《廣韻．上聲．薺韻》：「牴，角觸。」清．高宗〈鬪牛歌題劉松年畫〉：「五溪蠻俗雖有此。」自注引毛奇齡《蠻司合誌》：「兩牛低頭相牴，未分勝負。」_x000D_
2.觸犯、衝突。如：「牴觸」、「牴牾」。《大正藏．史傳部．明．智旭．見聞錄》：「負債人聞其病篤，因念云：『我本無心負彼。因彼態太惡。故謾相牴耳。』」 |</v>
      </c>
    </row>
    <row r="3867" spans="1:44" hidden="1">
      <c r="A3867" s="1" t="s">
        <v>5232</v>
      </c>
      <c r="C3867" s="1">
        <v>1</v>
      </c>
      <c r="D3867" s="1" t="str">
        <f>"02131"</f>
        <v>02131</v>
      </c>
      <c r="E3867" s="1" t="s">
        <v>169</v>
      </c>
      <c r="F3867" s="1">
        <v>10</v>
      </c>
      <c r="G3867" s="1">
        <v>5</v>
      </c>
      <c r="H3867" s="1">
        <v>0</v>
      </c>
      <c r="I3867" s="1" t="s">
        <v>5210</v>
      </c>
      <c r="K3867" s="1" t="str">
        <f t="shared" si="239"/>
        <v>ㄉ</v>
      </c>
      <c r="L3867" s="1" t="str">
        <f t="shared" si="240"/>
        <v>ㄧ</v>
      </c>
      <c r="N3867" s="3" t="s">
        <v>30576</v>
      </c>
      <c r="O3867" s="3"/>
      <c r="P3867" s="1" t="s">
        <v>20</v>
      </c>
      <c r="R3867" s="1" t="s">
        <v>5211</v>
      </c>
      <c r="V3867" s="1" t="s">
        <v>5233</v>
      </c>
      <c r="AR3867" s="1" t="str">
        <f t="shared" si="241"/>
        <v>| [ㄉㄧˇ](ㄉㄧˇ.md) | [砥](砥.md) |  | dǐ | [名]
質地細緻、縝密的磨刀石。《書經．禹貢》：「礪砥砮丹。」漢．孔安國．傳：「砥細於礪，皆磨石也。」《淮南子．說山》：「厲利劍者必以柔砥。」
[動]
1.磨。《孫子．九地》「疾戰則存，不疾戰則亡者，為死地」句下宋．何延錫．注：「砥甲礪刃，并氣一力。」《淮南子．脩務》：「弓待檠而後能調，劍待砥而後能利。」
2.修養、磨鍊。《淮南子．道應》：「文王砥德修改，三年而天下二垂歸之。」《史記．卷六一．伯夷傳》：「閭巷之人，欲砥行立名者，非附青雲之士，惡能施于後世哉？」 |</v>
      </c>
    </row>
    <row r="3868" spans="1:44" hidden="1">
      <c r="A3868" s="1" t="s">
        <v>5234</v>
      </c>
      <c r="C3868" s="1">
        <v>1</v>
      </c>
      <c r="D3868" s="1" t="str">
        <f>"02132"</f>
        <v>02132</v>
      </c>
      <c r="E3868" s="1" t="s">
        <v>331</v>
      </c>
      <c r="F3868" s="1">
        <v>12</v>
      </c>
      <c r="G3868" s="1">
        <v>5</v>
      </c>
      <c r="H3868" s="1">
        <v>0</v>
      </c>
      <c r="I3868" s="1" t="s">
        <v>5210</v>
      </c>
      <c r="K3868" s="1" t="str">
        <f t="shared" si="239"/>
        <v>ㄉ</v>
      </c>
      <c r="L3868" s="1" t="str">
        <f t="shared" si="240"/>
        <v>ㄧ</v>
      </c>
      <c r="N3868" s="3" t="s">
        <v>30576</v>
      </c>
      <c r="O3868" s="3"/>
      <c r="P3868" s="1" t="s">
        <v>20</v>
      </c>
      <c r="R3868" s="1" t="s">
        <v>5211</v>
      </c>
      <c r="V3868" s="1" t="s">
        <v>5235</v>
      </c>
      <c r="AR3868" s="1" t="str">
        <f t="shared" si="241"/>
        <v>| [ㄉㄧˇ](ㄉㄧˇ.md) | [詆](詆.md) |  | dǐ | [動]
1.譴責、抨擊。宋．蘇軾〈潮州韓文公廟碑〉：「作書詆佛譏君王，要觀南海窺衡湘。」《紅樓夢》第一一五回：「弟聞得世兄也詆盡流俗，性情中另有一番見解。」
2.毀謗、誣蔑。如：「詆毀」。《漢書．卷三六．楚元王劉交傳》：「巧言醜詆，流言飛文，譁於民間。」宋．王安石〈讀墨〉詩：「詠言以自警，吾詩非好詆。」
3.欺騙。《漢書．卷六十五．東方朔傳》：「朔擅詆欺天子從官，當棄市。」 |</v>
      </c>
    </row>
    <row r="3869" spans="1:44" hidden="1">
      <c r="A3869" s="1" t="s">
        <v>5236</v>
      </c>
      <c r="C3869" s="1">
        <v>1</v>
      </c>
      <c r="D3869" s="1" t="str">
        <f>"02133"</f>
        <v>02133</v>
      </c>
      <c r="E3869" s="1" t="s">
        <v>1117</v>
      </c>
      <c r="F3869" s="1">
        <v>12</v>
      </c>
      <c r="G3869" s="1">
        <v>5</v>
      </c>
      <c r="H3869" s="1">
        <v>0</v>
      </c>
      <c r="I3869" s="1" t="s">
        <v>5210</v>
      </c>
      <c r="K3869" s="1" t="str">
        <f t="shared" si="239"/>
        <v>ㄉ</v>
      </c>
      <c r="L3869" s="1" t="str">
        <f t="shared" si="240"/>
        <v>ㄧ</v>
      </c>
      <c r="N3869" s="3" t="s">
        <v>30576</v>
      </c>
      <c r="O3869" s="3"/>
      <c r="P3869" s="1" t="s">
        <v>20</v>
      </c>
      <c r="R3869" s="1" t="s">
        <v>5211</v>
      </c>
      <c r="V3869" s="1" t="s">
        <v>5237</v>
      </c>
      <c r="AR3869" s="1" t="str">
        <f t="shared" si="241"/>
        <v>| [ㄉㄧˇ](ㄉㄧˇ.md) | [觝](觝.md) |  | dǐ | [動]
觸犯、衝突。同「牴」、「抵」。《淮南子．說山》：「兕牛之動以觝觸，物莫措其所脩，而用其短也。」 |</v>
      </c>
    </row>
    <row r="3870" spans="1:44" hidden="1">
      <c r="A3870" s="1" t="s">
        <v>5629</v>
      </c>
      <c r="C3870" s="1">
        <v>1</v>
      </c>
      <c r="D3870" s="1" t="str">
        <f>"02299"</f>
        <v>02299</v>
      </c>
      <c r="E3870" s="1" t="s">
        <v>139</v>
      </c>
      <c r="F3870" s="1">
        <v>7</v>
      </c>
      <c r="G3870" s="1">
        <v>3</v>
      </c>
      <c r="H3870" s="1">
        <v>0</v>
      </c>
      <c r="I3870" s="1" t="s">
        <v>5630</v>
      </c>
      <c r="K3870" s="1" t="str">
        <f t="shared" si="239"/>
        <v>ㄉ</v>
      </c>
      <c r="L3870" s="1" t="str">
        <f t="shared" si="240"/>
        <v>ㄨ</v>
      </c>
      <c r="N3870" s="3" t="s">
        <v>30574</v>
      </c>
      <c r="O3870" s="3"/>
      <c r="P3870" s="1" t="s">
        <v>20</v>
      </c>
      <c r="R3870" s="1" t="s">
        <v>5631</v>
      </c>
      <c r="V3870" s="1" t="s">
        <v>5632</v>
      </c>
      <c r="AR3870" s="1" t="str">
        <f t="shared" si="241"/>
        <v>| [ㄉㄨˋ](ㄉㄨˋ.md) | [杜](杜.md) |  | dù | [名]
1.植物名：(1)松科冷杉屬，「冷杉」之古稱，參見「冷杉」條。(2)薔薇科梨屬，「棠梨」、「杜梨」之古稱，參見「棠梨」條。(3)馬兜鈴科細辛屬，「杜蘅」之古稱，參見「杜蘅」條。
2.姓。如唐代有杜甫、杜牧。
[動]
1.堵塞、阻絕。如：「杜塞」、「杜絕」。《戰國策．秦策一》：「杜左右之口，天下莫之能伉。」《史記．卷六八．商君列傳》：「公子虔杜門不出已八年矣，君又殺祝懽而黥公孫賈。」
2.排斥、拒絕。《後漢書．卷七四上．袁紹劉表列傳．袁紹上》：「今賞加無勞，以攜有德；杜黜忠功，以疑眾望。」《南史．卷五．齊本紀．廢帝鬱林王》：「依違杜諫，乃止。」 |</v>
      </c>
    </row>
    <row r="3871" spans="1:44" hidden="1">
      <c r="A3871" s="1" t="s">
        <v>5614</v>
      </c>
      <c r="C3871" s="1">
        <v>1</v>
      </c>
      <c r="D3871" s="1" t="str">
        <f>"02300"</f>
        <v>02300</v>
      </c>
      <c r="E3871" s="1" t="s">
        <v>68</v>
      </c>
      <c r="F3871" s="1">
        <v>7</v>
      </c>
      <c r="G3871" s="1">
        <v>3</v>
      </c>
      <c r="H3871" s="1">
        <v>1</v>
      </c>
      <c r="I3871" s="1" t="s">
        <v>5630</v>
      </c>
      <c r="K3871" s="1" t="str">
        <f t="shared" si="239"/>
        <v>ㄉ</v>
      </c>
      <c r="L3871" s="1" t="str">
        <f t="shared" si="240"/>
        <v>ㄨ</v>
      </c>
      <c r="N3871" s="3" t="s">
        <v>30574</v>
      </c>
      <c r="O3871" s="3"/>
      <c r="P3871" s="1" t="s">
        <v>20</v>
      </c>
      <c r="R3871" s="1" t="s">
        <v>5631</v>
      </c>
      <c r="V3871" s="1" t="s">
        <v>5633</v>
      </c>
      <c r="W3871" s="1" t="s">
        <v>5634</v>
      </c>
      <c r="AR3871" s="1" t="str">
        <f t="shared" si="241"/>
        <v>| [ㄉㄨˋ](ㄉㄨˋ.md) | [肚](肚.md) |  | dù | [名]
腹部。《玉篇．肉部》：「肚，腹肚。」宋．蘇軾〈鳳翔八觀詩．石鼓歌〉：「細觀初以指畫肚，欲讀嗟如箝在口。」 |</v>
      </c>
    </row>
    <row r="3872" spans="1:44" hidden="1">
      <c r="A3872" s="1" t="s">
        <v>5635</v>
      </c>
      <c r="C3872" s="1">
        <v>1</v>
      </c>
      <c r="D3872" s="1" t="str">
        <f>"02301"</f>
        <v>02301</v>
      </c>
      <c r="E3872" s="1" t="s">
        <v>534</v>
      </c>
      <c r="F3872" s="1">
        <v>7</v>
      </c>
      <c r="G3872" s="1">
        <v>4</v>
      </c>
      <c r="H3872" s="1">
        <v>0</v>
      </c>
      <c r="I3872" s="1" t="s">
        <v>5630</v>
      </c>
      <c r="K3872" s="1" t="str">
        <f t="shared" si="239"/>
        <v>ㄉ</v>
      </c>
      <c r="L3872" s="1" t="str">
        <f t="shared" si="240"/>
        <v>ㄨ</v>
      </c>
      <c r="N3872" s="3" t="s">
        <v>30574</v>
      </c>
      <c r="O3872" s="3"/>
      <c r="P3872" s="1" t="s">
        <v>20</v>
      </c>
      <c r="R3872" s="1" t="s">
        <v>5631</v>
      </c>
      <c r="V3872" s="1" t="s">
        <v>5636</v>
      </c>
      <c r="AR3872" s="1" t="str">
        <f t="shared" si="241"/>
        <v>| [ㄉㄨˋ](ㄉㄨˋ.md) | [妒](妒.md) |  | dù | [動]
因別人勝過自己而內心忌恨。如：「妒忌」。《列子．說符》：「爵高者人妒之，官人者主惡之。」《文選．鄒陽．獄中上書自明》：「故女無美惡，入宮見妒，士無賢不肖，入朝見嫉。」 |</v>
      </c>
    </row>
    <row r="3873" spans="1:44" hidden="1">
      <c r="A3873" s="1" t="s">
        <v>5637</v>
      </c>
      <c r="C3873" s="1">
        <v>1</v>
      </c>
      <c r="D3873" s="1" t="str">
        <f>"02302"</f>
        <v>02302</v>
      </c>
      <c r="E3873" s="1" t="s">
        <v>447</v>
      </c>
      <c r="F3873" s="1">
        <v>9</v>
      </c>
      <c r="G3873" s="1">
        <v>6</v>
      </c>
      <c r="H3873" s="1">
        <v>1</v>
      </c>
      <c r="I3873" s="1" t="s">
        <v>5630</v>
      </c>
      <c r="K3873" s="1" t="str">
        <f t="shared" si="239"/>
        <v>ㄉ</v>
      </c>
      <c r="L3873" s="1" t="str">
        <f t="shared" si="240"/>
        <v>ㄨ</v>
      </c>
      <c r="N3873" s="3" t="s">
        <v>30574</v>
      </c>
      <c r="O3873" s="3"/>
      <c r="P3873" s="1" t="s">
        <v>20</v>
      </c>
      <c r="R3873" s="1" t="s">
        <v>5631</v>
      </c>
      <c r="V3873" s="1" t="s">
        <v>5638</v>
      </c>
      <c r="W3873" s="1" t="s">
        <v>5639</v>
      </c>
      <c r="AR3873" s="1" t="str">
        <f t="shared" si="241"/>
        <v>| [ㄉㄨˋ](ㄉㄨˋ.md) | [度](度.md) |  | dù | [名]
1.表示物質的相關性質所達到的狀況。如：「長度」、「硬度」、「溼度」、「密度」、「酸度」。
2.法制、規範。如：「制度」、「法度」。漢．揚雄〈長楊賦〉：「亦所以奉太尊之烈，遵文武之度。」
3.標準。如：「尺度」、「限度」。《國語．周語下》：「用物過度妨於財，正害財匱妨於樂。」唐．韓愈〈重雲李觀疾贈之〉詩：「天行失其度，陰氣來干陽。」
4.人的器量、胸懷。如：「器度」。《史記．卷八．高祖本紀》：「常有大度，不事家人生產作業。」
5.外表、儀態。如：「風度」、「態度」。《聊齋志異．卷一一．陳雲棲》：「生因竊往。扣其關，果有女道士三四人，謙喜承迎，儀度皆潔。」
6.量詞：(1)計算依一定標準劃分的單位。如：「耗電三百度」、「今天氣溫高達攝氏三十六度。」(2)計算次數的單位。如：「再度光臨」。《北史．卷四〇．列傳．李彪》：「彪前後六度銜命。」
7.數學上指：(1)計算圓弧及角的單位。圓周的三百六十分之一為弧的一度；一度的弧所對的中心角，為角度的一度。(2)物體的長、寬、高。如：「三度空間」。
8.姓。如漢代有度尚。
[動]
1.過、經歷。如：「度日如年」、「光陰虛度」。
2.由此岸到彼岸。同「渡」。《漢書．卷四八．賈誼傳》：「若夫經制不定，是猶度江河亡維楫。」
3.通過、跨越。同「渡」。《史記．卷九四．田儋列傳》：「用蒯通計，度平原，襲破齊歷下軍。」唐．王之渙〈涼州詞〉：「羌笛何須怨楊柳，春光不度玉門關。」 |</v>
      </c>
    </row>
    <row r="3874" spans="1:44" hidden="1">
      <c r="A3874" s="1" t="s">
        <v>5640</v>
      </c>
      <c r="C3874" s="1">
        <v>1</v>
      </c>
      <c r="D3874" s="1" t="str">
        <f>"02303"</f>
        <v>02303</v>
      </c>
      <c r="E3874" s="1" t="s">
        <v>129</v>
      </c>
      <c r="F3874" s="1">
        <v>12</v>
      </c>
      <c r="G3874" s="1">
        <v>9</v>
      </c>
      <c r="H3874" s="1">
        <v>0</v>
      </c>
      <c r="I3874" s="1" t="s">
        <v>5630</v>
      </c>
      <c r="K3874" s="1" t="str">
        <f t="shared" si="239"/>
        <v>ㄉ</v>
      </c>
      <c r="L3874" s="1" t="str">
        <f t="shared" si="240"/>
        <v>ㄨ</v>
      </c>
      <c r="N3874" s="3" t="s">
        <v>30574</v>
      </c>
      <c r="O3874" s="3"/>
      <c r="P3874" s="1" t="s">
        <v>20</v>
      </c>
      <c r="R3874" s="1" t="s">
        <v>5631</v>
      </c>
      <c r="V3874" s="1" t="s">
        <v>5641</v>
      </c>
      <c r="AR3874" s="1" t="str">
        <f t="shared" si="241"/>
        <v>| [ㄉㄨˋ](ㄉㄨˋ.md) | [渡](渡.md) |  | dù | [動]
1.過河、由此岸到彼岸。如：「渡河」、「渡海」。唐．李華〈弔古戰場文〉：「萬里奔走，連年暴露。沙草晨牧，河冰夜渡。」
2.通過、跨越。如：「渡過難關」。《史記．卷八．高祖本紀》：「淮陰已受命東，未渡平原。」宋．蘇軾〈梅花〉詩二首之一：「一夜東風吹石裂，半隨飛雪渡關山。」
3.交付、轉手。如：「引渡」、「讓渡」。
[名]
坐船過河的地方。《晉書．卷三四．杜預傳》：「預又以孟津渡險，有覆沒之患，請建河橋于富平津。」唐．王維〈歸嵩山作〉詩：「荒城臨古渡，落日滿秋山。」 |</v>
      </c>
    </row>
    <row r="3875" spans="1:44" hidden="1">
      <c r="A3875" s="1" t="s">
        <v>5642</v>
      </c>
      <c r="C3875" s="1">
        <v>1</v>
      </c>
      <c r="D3875" s="1" t="str">
        <f>"02304"</f>
        <v>02304</v>
      </c>
      <c r="E3875" s="1" t="s">
        <v>55</v>
      </c>
      <c r="F3875" s="1">
        <v>17</v>
      </c>
      <c r="G3875" s="1">
        <v>9</v>
      </c>
      <c r="H3875" s="1">
        <v>0</v>
      </c>
      <c r="I3875" s="1" t="s">
        <v>5630</v>
      </c>
      <c r="K3875" s="1" t="str">
        <f t="shared" si="239"/>
        <v>ㄉ</v>
      </c>
      <c r="L3875" s="1" t="str">
        <f t="shared" si="240"/>
        <v>ㄨ</v>
      </c>
      <c r="N3875" s="3" t="s">
        <v>30574</v>
      </c>
      <c r="O3875" s="3"/>
      <c r="P3875" s="1" t="s">
        <v>20</v>
      </c>
      <c r="R3875" s="1" t="s">
        <v>5631</v>
      </c>
      <c r="V3875" s="1" t="s">
        <v>5643</v>
      </c>
      <c r="AR3875" s="1" t="str">
        <f t="shared" si="241"/>
        <v>| [ㄉㄨˋ](ㄉㄨˋ.md) | [鍍](鍍.md) |  | dù | [動]
用電解的方法將一種金屬塗在他種金屬的外表。如：「電鍍」、「鍍銀」。《玉篇．金部》：「鍍，金鍍物也。」《水滸傳》第一三回：「身披一副鐵葉攢成鎧甲，腰繫一條鍍金獸面束帶。」 |</v>
      </c>
    </row>
    <row r="3876" spans="1:44" hidden="1">
      <c r="A3876" s="1" t="s">
        <v>5644</v>
      </c>
      <c r="C3876" s="1">
        <v>1</v>
      </c>
      <c r="D3876" s="1" t="str">
        <f>"02305"</f>
        <v>02305</v>
      </c>
      <c r="E3876" s="1" t="s">
        <v>426</v>
      </c>
      <c r="F3876" s="1">
        <v>17</v>
      </c>
      <c r="G3876" s="1">
        <v>13</v>
      </c>
      <c r="H3876" s="1">
        <v>2</v>
      </c>
      <c r="I3876" s="1" t="s">
        <v>5630</v>
      </c>
      <c r="K3876" s="1" t="str">
        <f t="shared" si="239"/>
        <v>ㄉ</v>
      </c>
      <c r="L3876" s="1" t="str">
        <f t="shared" si="240"/>
        <v>ㄨ</v>
      </c>
      <c r="N3876" s="3" t="s">
        <v>30574</v>
      </c>
      <c r="O3876" s="3"/>
      <c r="P3876" s="1" t="s">
        <v>20</v>
      </c>
      <c r="R3876" s="1" t="s">
        <v>5631</v>
      </c>
      <c r="V3876" s="1" t="s">
        <v>5645</v>
      </c>
      <c r="W3876" s="1" t="s">
        <v>5646</v>
      </c>
      <c r="AR3876" s="1" t="str">
        <f t="shared" si="241"/>
        <v>| [ㄉㄨˋ](ㄉㄨˋ.md) | [斁](斁.md) |  | dù | [動]
敗壞。《漢書．卷八三．薛宣傳》：「得其人則萬姓欣喜，百僚說服；不得其人則大職墮斁，王功不興。」唐．李華〈弔古戰場文〉：「秦漢而還，多事四夷，中州耗斁，無世無之。」 |</v>
      </c>
    </row>
    <row r="3877" spans="1:44" hidden="1">
      <c r="A3877" s="1" t="s">
        <v>5647</v>
      </c>
      <c r="C3877" s="1">
        <v>1</v>
      </c>
      <c r="D3877" s="1" t="str">
        <f>"02306"</f>
        <v>02306</v>
      </c>
      <c r="E3877" s="1" t="s">
        <v>49</v>
      </c>
      <c r="F3877" s="1">
        <v>19</v>
      </c>
      <c r="G3877" s="1">
        <v>13</v>
      </c>
      <c r="H3877" s="1">
        <v>0</v>
      </c>
      <c r="I3877" s="1" t="s">
        <v>5630</v>
      </c>
      <c r="K3877" s="1" t="str">
        <f t="shared" si="239"/>
        <v>ㄉ</v>
      </c>
      <c r="L3877" s="1" t="str">
        <f t="shared" si="240"/>
        <v>ㄨ</v>
      </c>
      <c r="N3877" s="3" t="s">
        <v>30574</v>
      </c>
      <c r="O3877" s="3"/>
      <c r="P3877" s="1" t="s">
        <v>20</v>
      </c>
      <c r="R3877" s="1" t="s">
        <v>5631</v>
      </c>
      <c r="V3877" s="1" t="s">
        <v>5648</v>
      </c>
      <c r="AR3877" s="1" t="str">
        <f t="shared" si="241"/>
        <v>| [ㄉㄨˋ](ㄉㄨˋ.md) | [簬](簬.md) |  | dù | [名]
一種可製箭桿的竹子。《字彙．竹部》：「簬，美竹，可為箭者。」 |</v>
      </c>
    </row>
    <row r="3878" spans="1:44" hidden="1">
      <c r="A3878" s="1" t="s">
        <v>5649</v>
      </c>
      <c r="C3878" s="1">
        <v>1</v>
      </c>
      <c r="D3878" s="1" t="str">
        <f>"02307"</f>
        <v>02307</v>
      </c>
      <c r="E3878" s="1" t="s">
        <v>679</v>
      </c>
      <c r="F3878" s="1">
        <v>24</v>
      </c>
      <c r="G3878" s="1">
        <v>18</v>
      </c>
      <c r="H3878" s="1">
        <v>0</v>
      </c>
      <c r="I3878" s="1" t="s">
        <v>5630</v>
      </c>
      <c r="K3878" s="1" t="str">
        <f t="shared" si="239"/>
        <v>ㄉ</v>
      </c>
      <c r="L3878" s="1" t="str">
        <f t="shared" si="240"/>
        <v>ㄨ</v>
      </c>
      <c r="N3878" s="3" t="s">
        <v>30574</v>
      </c>
      <c r="O3878" s="3"/>
      <c r="P3878" s="1" t="s">
        <v>20</v>
      </c>
      <c r="R3878" s="1" t="s">
        <v>5631</v>
      </c>
      <c r="V3878" s="1" t="s">
        <v>5650</v>
      </c>
      <c r="AR3878" s="1" t="str">
        <f t="shared" si="241"/>
        <v>| [ㄉㄨˋ](ㄉㄨˋ.md) | [蠹](蠹.md) |  | dù | [名]
1.蛀蟲。《說文解字．䖵部》「蠹」字．清．段玉裁．注：「在木中食木者也。」如：「木蠹」。唐．李賀〈堂堂〉詩：「十年粉蠹生畫梁，飢蟲不食堆碎黃。」
2.從中敗損或侵耗財物的人。《左傳．襄公二十七年》：「兵民之殘也，財用之蠹。」《商君書．修權》：「秩官之吏，隱下以漁百姓，此民之蠹也。」
[動]
蛀爛、腐蝕。《呂氏春秋．季春紀．季春》：「因智而明之，流水不腐，戶樞不蠹，動也。」唐．韓愈〈雜詩〉：「豈殊蠹書蟲，生死文字間。」 |</v>
      </c>
    </row>
    <row r="3879" spans="1:44" hidden="1">
      <c r="A3879" s="1" t="s">
        <v>5579</v>
      </c>
      <c r="C3879" s="1">
        <v>1</v>
      </c>
      <c r="D3879" s="1" t="str">
        <f>"02276"</f>
        <v>02276</v>
      </c>
      <c r="E3879" s="1" t="s">
        <v>2870</v>
      </c>
      <c r="F3879" s="1">
        <v>8</v>
      </c>
      <c r="G3879" s="1">
        <v>4</v>
      </c>
      <c r="H3879" s="1">
        <v>0</v>
      </c>
      <c r="I3879" s="1" t="s">
        <v>5580</v>
      </c>
      <c r="K3879" s="1" t="str">
        <f t="shared" si="239"/>
        <v>ㄉ</v>
      </c>
      <c r="L3879" s="1" t="str">
        <f t="shared" si="240"/>
        <v>ㄨ</v>
      </c>
      <c r="N3879" s="3" t="s">
        <v>30575</v>
      </c>
      <c r="O3879" s="3"/>
      <c r="P3879" s="1" t="s">
        <v>20</v>
      </c>
      <c r="R3879" s="1" t="s">
        <v>5581</v>
      </c>
      <c r="V3879" s="1" t="s">
        <v>5582</v>
      </c>
      <c r="AR3879" s="1" t="str">
        <f t="shared" si="241"/>
        <v>| [ㄉㄨˊ](ㄉㄨˊ.md) | [毒](毒.md) |  | dú | [名]_x000D_
1.禍害。如：「封建餘毒」。《書經．盤庚》：「汝不和吉言于百姓，惟汝自生毒。」《漢書．卷五六．董仲舒傳》：「其遺毒餘烈，至今未滅。」《後漢書．卷七八．宦者列傳．鄭眾》：「凡稱善士，莫不離被災毒。」_x000D_
2.會危害身體健康的物質。如：「中毒」。晉．潘岳〈馬汧督誄〉：「而蜂蠆有毒，驟失小利。」《老殘遊記》第一八回：「差你往齊東村，明查暗訪這十三條命案是否服毒？有什麼別樣案情？」_x000D_
3.指毒品。能讓人成癮並危害健康甚或生命的麻醉品。包括嗎啡、海洛因、古柯鹼等。如：「販毒」、「吸毒」、「反毒運動」。_x000D_
[動]_x000D_
1.怨恨。《列子．湯問》：「仙聖毒之，訴之於帝。」唐．柳宗元〈捕蛇者說〉：「若毒之乎？余將告於蒞事者，更若役，復若賦，則何如？」_x000D_
2.傷害、殘害。唐．杜甫〈夏夜歎〉詩：「永日不可暮，炎蒸毒我腸。」明．屠隆《曇花記》第三二齣：「曹操，你當時翦滅王室，荼毒生靈，覷天子如小兒，辱公卿如奴隸，你今日英雄那裡去了。」_x000D_
3.以毒物殺害。《山海經．西山經》：「有白石焉，其名曰礜，可以毒鼠。」《明史．卷二八九．忠義列傳一．孫燧列傳》：「惡巡撫王哲不附己，毒之，得疾，踰年死。」_x000D_
4.投毒。《左傳．襄公十四年》：「秦人毒涇上流，師人多死。」《宋史．卷三六六．列傳．劉錡》：「錡遣人毒潁上流及草中，戒軍士雖渴死，毋得飲于河者；飲，夷其族。」_x000D_
[形]_x000D_
1.含有毒素對健康或生命有危害的。如：「毒品」、「毒蛇」、「毒藥」。《漢書．卷六四下．嚴朱吾丘主父徐嚴終王賈傳．賈捐之》：「霧露氣溼，多毒草蟲蛇水土之害，人未見虜，戰士自死。」《後漢書．卷八六．南蠻西南夷列傳．西南夷》：「招呼諸君長，多釀毒酒。」_x000D_
2.凶狠、猛烈。如：「狠毒」、「虎毒不食子」。《晉書．卷一〇五．石勒載記下》：「孤往日厭卿老拳，卿亦飽孤毒手。」《紅樓夢》第三〇回：「這麼熱天，毒日頭地下晒壞了他。」_x000D_
[副]_x000D_
狠狠地。《三國演義》第四六回：「子敬豈不知公瑾今日毒打黃公覆，乃其計耶？」《初刻拍案驚奇》卷一三：「父親便將小的毒咬一口，咬落耳朵。」 |</v>
      </c>
    </row>
    <row r="3880" spans="1:44" hidden="1">
      <c r="A3880" s="1" t="s">
        <v>5583</v>
      </c>
      <c r="C3880" s="1">
        <v>1</v>
      </c>
      <c r="D3880" s="1" t="str">
        <f>"02277"</f>
        <v>02277</v>
      </c>
      <c r="E3880" s="1" t="s">
        <v>169</v>
      </c>
      <c r="F3880" s="1">
        <v>13</v>
      </c>
      <c r="G3880" s="1">
        <v>8</v>
      </c>
      <c r="H3880" s="1">
        <v>0</v>
      </c>
      <c r="I3880" s="1" t="s">
        <v>5580</v>
      </c>
      <c r="K3880" s="1" t="str">
        <f t="shared" ref="K3880:K3943" si="242">LEFT(I3880, 1)</f>
        <v>ㄉ</v>
      </c>
      <c r="L3880" s="1" t="str">
        <f t="shared" ref="L3880:L3943" si="243">MID(I3880, 2, 1)</f>
        <v>ㄨ</v>
      </c>
      <c r="N3880" s="3" t="s">
        <v>30575</v>
      </c>
      <c r="O3880" s="3"/>
      <c r="P3880" s="1" t="s">
        <v>20</v>
      </c>
      <c r="R3880" s="1" t="s">
        <v>5581</v>
      </c>
      <c r="V3880" s="1" t="s">
        <v>5584</v>
      </c>
      <c r="AR3880" s="1" t="str">
        <f t="shared" si="241"/>
        <v>| [ㄉㄨˊ](ㄉㄨˊ.md) | [碡](碡.md) |  | dú | 參見「碌碡」條。 |</v>
      </c>
    </row>
    <row r="3881" spans="1:44" hidden="1">
      <c r="A3881" s="1" t="s">
        <v>4781</v>
      </c>
      <c r="C3881" s="1">
        <v>1</v>
      </c>
      <c r="D3881" s="1" t="str">
        <f>"02278"</f>
        <v>02278</v>
      </c>
      <c r="E3881" s="1" t="s">
        <v>679</v>
      </c>
      <c r="F3881" s="1">
        <v>14</v>
      </c>
      <c r="G3881" s="1">
        <v>8</v>
      </c>
      <c r="H3881" s="1">
        <v>1</v>
      </c>
      <c r="I3881" s="1" t="s">
        <v>5580</v>
      </c>
      <c r="K3881" s="1" t="str">
        <f t="shared" si="242"/>
        <v>ㄉ</v>
      </c>
      <c r="L3881" s="1" t="str">
        <f t="shared" si="243"/>
        <v>ㄨ</v>
      </c>
      <c r="N3881" s="3" t="s">
        <v>30575</v>
      </c>
      <c r="O3881" s="3"/>
      <c r="P3881" s="1" t="s">
        <v>20</v>
      </c>
      <c r="R3881" s="1" t="s">
        <v>5581</v>
      </c>
      <c r="V3881" s="1" t="s">
        <v>5585</v>
      </c>
      <c r="W3881" s="1" t="s">
        <v>5586</v>
      </c>
      <c r="AR3881" s="1" t="str">
        <f t="shared" si="241"/>
        <v>| [ㄉㄨˊ](ㄉㄨˊ.md) | [蝳](蝳.md) |  | dú | [名]
蝳蜍：蜘蛛的別稱。漢．揚雄《方言》卷一一：「鼅鼄，……，北燕、朝鮮、洌水之間謂之蝳蜍。」《玉篇．蟲部》：「蝳，蝳蜍，肥大蜘蛛。」 |</v>
      </c>
    </row>
    <row r="3882" spans="1:44" hidden="1">
      <c r="A3882" s="1" t="s">
        <v>4854</v>
      </c>
      <c r="C3882" s="1">
        <v>1</v>
      </c>
      <c r="D3882" s="1" t="str">
        <f>"02279"</f>
        <v>02279</v>
      </c>
      <c r="E3882" s="1" t="s">
        <v>725</v>
      </c>
      <c r="F3882" s="1">
        <v>24</v>
      </c>
      <c r="G3882" s="1">
        <v>18</v>
      </c>
      <c r="H3882" s="1">
        <v>2</v>
      </c>
      <c r="I3882" s="1" t="s">
        <v>5580</v>
      </c>
      <c r="K3882" s="1" t="str">
        <f t="shared" si="242"/>
        <v>ㄉ</v>
      </c>
      <c r="L3882" s="1" t="str">
        <f t="shared" si="243"/>
        <v>ㄨ</v>
      </c>
      <c r="N3882" s="3" t="s">
        <v>30575</v>
      </c>
      <c r="O3882" s="3"/>
      <c r="P3882" s="1" t="s">
        <v>110</v>
      </c>
      <c r="R3882" s="1" t="s">
        <v>5581</v>
      </c>
      <c r="V3882" s="1" t="s">
        <v>111</v>
      </c>
      <c r="W3882" s="1" t="s">
        <v>5587</v>
      </c>
      <c r="AR3882" s="1" t="str">
        <f t="shared" si="241"/>
        <v>| [ㄉㄨˊ](ㄉㄨˊ.md) | [纛](纛.md) |  | dú | (一)之又音。 |</v>
      </c>
    </row>
    <row r="3883" spans="1:44" hidden="1">
      <c r="A3883" s="1" t="s">
        <v>5588</v>
      </c>
      <c r="C3883" s="1">
        <v>1</v>
      </c>
      <c r="D3883" s="1" t="str">
        <f>"02280"</f>
        <v>02280</v>
      </c>
      <c r="E3883" s="1" t="s">
        <v>684</v>
      </c>
      <c r="F3883" s="1">
        <v>13</v>
      </c>
      <c r="G3883" s="1">
        <v>4</v>
      </c>
      <c r="H3883" s="1">
        <v>2</v>
      </c>
      <c r="I3883" s="1" t="s">
        <v>5580</v>
      </c>
      <c r="K3883" s="1" t="str">
        <f t="shared" si="242"/>
        <v>ㄉ</v>
      </c>
      <c r="L3883" s="1" t="str">
        <f t="shared" si="243"/>
        <v>ㄨ</v>
      </c>
      <c r="N3883" s="3" t="s">
        <v>30575</v>
      </c>
      <c r="O3883" s="3"/>
      <c r="P3883" s="1" t="s">
        <v>20</v>
      </c>
      <c r="R3883" s="1" t="s">
        <v>5581</v>
      </c>
      <c r="V3883" s="1" t="s">
        <v>2730</v>
      </c>
      <c r="W3883" s="1" t="s">
        <v>5589</v>
      </c>
      <c r="AR3883" s="1" t="str">
        <f t="shared" si="241"/>
        <v>| [ㄉㄨˊ](ㄉㄨˊ.md) | [頓](頓.md) |  | dú | 參見「冒頓」條。 |</v>
      </c>
    </row>
    <row r="3884" spans="1:44" hidden="1">
      <c r="A3884" s="1" t="s">
        <v>5590</v>
      </c>
      <c r="C3884" s="1">
        <v>1</v>
      </c>
      <c r="D3884" s="1" t="str">
        <f>"02281"</f>
        <v>02281</v>
      </c>
      <c r="E3884" s="1" t="s">
        <v>198</v>
      </c>
      <c r="F3884" s="1">
        <v>16</v>
      </c>
      <c r="G3884" s="1">
        <v>13</v>
      </c>
      <c r="H3884" s="1">
        <v>0</v>
      </c>
      <c r="I3884" s="1" t="s">
        <v>5580</v>
      </c>
      <c r="K3884" s="1" t="str">
        <f t="shared" si="242"/>
        <v>ㄉ</v>
      </c>
      <c r="L3884" s="1" t="str">
        <f t="shared" si="243"/>
        <v>ㄨ</v>
      </c>
      <c r="N3884" s="3" t="s">
        <v>30575</v>
      </c>
      <c r="O3884" s="3"/>
      <c r="P3884" s="1" t="s">
        <v>20</v>
      </c>
      <c r="R3884" s="1" t="s">
        <v>5581</v>
      </c>
      <c r="V3884" s="1" t="s">
        <v>5591</v>
      </c>
      <c r="AR3884" s="1" t="str">
        <f t="shared" si="241"/>
        <v>| [ㄉㄨˊ](ㄉㄨˊ.md) | [獨](獨.md) |  | dú | [形]
孤單的、單一的。如：「獨子」、「獨木」。《文選．司馬遷．報任少卿書》：「今僕不幸早失父母，無兄弟之親，獨身孤立。」
[副]
1.僅、但、唯、只。如：「獨善其身」。《禮記．禮運》：「故人不獨親其親，不獨子其子。」
2.偏偏。《樂府詩集．卷三八．相和歌辭十三．古辭．孤兒行》：「孤子遇生，命獨當苦！」《文選．司馬遷．報任少卿書》：「身非木石，獨與法吏為伍？」
3.一個人的。如：「獨奏」。唐．杜甫〈月夜〉詩：「今夜鄜州月，閨中只獨看。」
4.專斷、一意孤行。如：「獨斷」、「獨裁」。
[名]
1.老而無子。《史記．卷一一七．司馬相如傳》：「恤鰥寡，存孤獨。」《初刻拍案驚奇》卷二〇：「縱教血染鵑紅，彼蒼不念煢獨。」 |</v>
      </c>
    </row>
    <row r="3885" spans="1:44" hidden="1">
      <c r="A3885" s="1" t="s">
        <v>5592</v>
      </c>
      <c r="C3885" s="1">
        <v>1</v>
      </c>
      <c r="D3885" s="1" t="str">
        <f>"02282"</f>
        <v>02282</v>
      </c>
      <c r="E3885" s="1" t="s">
        <v>1058</v>
      </c>
      <c r="F3885" s="1">
        <v>22</v>
      </c>
      <c r="G3885" s="1">
        <v>13</v>
      </c>
      <c r="H3885" s="1">
        <v>0</v>
      </c>
      <c r="I3885" s="1" t="s">
        <v>5580</v>
      </c>
      <c r="K3885" s="1" t="str">
        <f t="shared" si="242"/>
        <v>ㄉ</v>
      </c>
      <c r="L3885" s="1" t="str">
        <f t="shared" si="243"/>
        <v>ㄨ</v>
      </c>
      <c r="N3885" s="3" t="s">
        <v>30575</v>
      </c>
      <c r="O3885" s="3"/>
      <c r="P3885" s="1" t="s">
        <v>20</v>
      </c>
      <c r="R3885" s="1" t="s">
        <v>5581</v>
      </c>
      <c r="V3885" s="1" t="s">
        <v>5593</v>
      </c>
      <c r="AR3885" s="1" t="str">
        <f t="shared" si="241"/>
        <v>| [ㄉㄨˊ](ㄉㄨˊ.md) | [韣](韣.md) |  | dú | [名]
裝弓的套子。《說文解字．韋》：「韣，弓衣也。」《禮記．少儀》：「弓則以左手屈韣執拊，劍則啟櫝蓋襲之，加夫橈與劍焉。」宋．梅堯臣〈田家語〉詩：「三丁籍一壯，惡使操弓韣。」 |</v>
      </c>
    </row>
    <row r="3886" spans="1:44" hidden="1">
      <c r="A3886" s="1" t="s">
        <v>5594</v>
      </c>
      <c r="C3886" s="1">
        <v>1</v>
      </c>
      <c r="D3886" s="1" t="str">
        <f>"02283"</f>
        <v>02283</v>
      </c>
      <c r="E3886" s="1" t="s">
        <v>283</v>
      </c>
      <c r="F3886" s="1">
        <v>23</v>
      </c>
      <c r="G3886" s="1">
        <v>13</v>
      </c>
      <c r="H3886" s="1">
        <v>0</v>
      </c>
      <c r="I3886" s="1" t="s">
        <v>5580</v>
      </c>
      <c r="K3886" s="1" t="str">
        <f t="shared" si="242"/>
        <v>ㄉ</v>
      </c>
      <c r="L3886" s="1" t="str">
        <f t="shared" si="243"/>
        <v>ㄨ</v>
      </c>
      <c r="N3886" s="3" t="s">
        <v>30575</v>
      </c>
      <c r="O3886" s="3"/>
      <c r="P3886" s="1" t="s">
        <v>20</v>
      </c>
      <c r="R3886" s="1" t="s">
        <v>5581</v>
      </c>
      <c r="V3886" s="1" t="s">
        <v>5595</v>
      </c>
      <c r="AR3886" s="1" t="str">
        <f t="shared" si="241"/>
        <v>| [ㄉㄨˊ](ㄉㄨˊ.md) | [髑](髑.md) |  | dú | 參見「髑髏」條。 |</v>
      </c>
    </row>
    <row r="3887" spans="1:44" hidden="1">
      <c r="A3887" s="1" t="s">
        <v>5596</v>
      </c>
      <c r="C3887" s="1">
        <v>1</v>
      </c>
      <c r="D3887" s="1" t="str">
        <f>"02284"</f>
        <v>02284</v>
      </c>
      <c r="E3887" s="1" t="s">
        <v>129</v>
      </c>
      <c r="F3887" s="1">
        <v>18</v>
      </c>
      <c r="G3887" s="1">
        <v>15</v>
      </c>
      <c r="H3887" s="1">
        <v>0</v>
      </c>
      <c r="I3887" s="1" t="s">
        <v>5580</v>
      </c>
      <c r="K3887" s="1" t="str">
        <f t="shared" si="242"/>
        <v>ㄉ</v>
      </c>
      <c r="L3887" s="1" t="str">
        <f t="shared" si="243"/>
        <v>ㄨ</v>
      </c>
      <c r="N3887" s="3" t="s">
        <v>30575</v>
      </c>
      <c r="O3887" s="3"/>
      <c r="P3887" s="1" t="s">
        <v>20</v>
      </c>
      <c r="R3887" s="1" t="s">
        <v>5581</v>
      </c>
      <c r="V3887" s="1" t="s">
        <v>5597</v>
      </c>
      <c r="AR3887" s="1" t="str">
        <f t="shared" si="241"/>
        <v>| [ㄉㄨˊ](ㄉㄨˊ.md) | [瀆](瀆.md) |  | dú | [動]
1.輕慢、不敬。如：「褻瀆」。《禮記．少儀》：「毋拔來，毋報往，毋瀆神，毋循枉。」《鏡花緣》第一七回：「婢子以此細事上瀆高賢，真是貽笑大方。」
2.貪求。《左傳．昭公十三年》：「晉有羊舌鮒者，瀆貨無厭，亦將及矣，為此役也，子若以君命賜之，其已。」
[名]
1.水溝。如：「溝瀆」。《史記．卷八四．屈原賈生傳》：「彼尋常之汙瀆兮，豈能容吞舟之魚！」唐．司馬貞．索隱：「瀆，小渠也。」
2.注海的大河。《爾雅．釋水》：「江、河、淮、濟為四瀆，四瀆者，發源注海者也。」《韓非子．五蠹》：「中古之世，天下大水，而鯀禹決瀆。」
3.姓。如漢代有瀆弘之。 |</v>
      </c>
    </row>
    <row r="3888" spans="1:44" hidden="1">
      <c r="A3888" s="1" t="s">
        <v>5598</v>
      </c>
      <c r="C3888" s="1">
        <v>1</v>
      </c>
      <c r="D3888" s="1" t="str">
        <f>"02285"</f>
        <v>02285</v>
      </c>
      <c r="E3888" s="1" t="s">
        <v>139</v>
      </c>
      <c r="F3888" s="1">
        <v>19</v>
      </c>
      <c r="G3888" s="1">
        <v>15</v>
      </c>
      <c r="H3888" s="1">
        <v>0</v>
      </c>
      <c r="I3888" s="1" t="s">
        <v>5580</v>
      </c>
      <c r="K3888" s="1" t="str">
        <f t="shared" si="242"/>
        <v>ㄉ</v>
      </c>
      <c r="L3888" s="1" t="str">
        <f t="shared" si="243"/>
        <v>ㄨ</v>
      </c>
      <c r="N3888" s="3" t="s">
        <v>30575</v>
      </c>
      <c r="O3888" s="3"/>
      <c r="P3888" s="1" t="s">
        <v>20</v>
      </c>
      <c r="R3888" s="1" t="s">
        <v>5581</v>
      </c>
      <c r="V3888" s="1" t="s">
        <v>5599</v>
      </c>
      <c r="AR3888" s="1" t="str">
        <f t="shared" si="241"/>
        <v>| [ㄉㄨˊ](ㄉㄨˊ.md) | [櫝](櫝.md) |  | dú | [名]
1.木製的盒子。《論語．季氏》：「虎兕出於柙，龜玉毀於櫝中，是誰之過與？」宋．陸游〈自述〉詩：「遺經在櫝傳家學，大字書牆作座銘。」
2.棺材。《漢書．卷六七．楊王孫傳》：「昔帝堯之葬也，窾木為櫝，葛藟為緘，其穿下不亂泉，上不泄殠。」
[動]
封藏、收藏。《國語．鄭語》：「乃布幣焉而策告之，龍亡而漦在，櫝而藏之，傳效之。」唐．孫樵〈書褒城驛壁〉：「當愁醉醲，當飢飽鮮，囊帛櫝金，笑與秩終。」 |</v>
      </c>
    </row>
    <row r="3889" spans="1:44" hidden="1">
      <c r="A3889" s="1" t="s">
        <v>5600</v>
      </c>
      <c r="C3889" s="1">
        <v>1</v>
      </c>
      <c r="D3889" s="1" t="str">
        <f>"02286"</f>
        <v>02286</v>
      </c>
      <c r="E3889" s="1" t="s">
        <v>1372</v>
      </c>
      <c r="F3889" s="1">
        <v>19</v>
      </c>
      <c r="G3889" s="1">
        <v>15</v>
      </c>
      <c r="H3889" s="1">
        <v>0</v>
      </c>
      <c r="I3889" s="1" t="s">
        <v>5580</v>
      </c>
      <c r="K3889" s="1" t="str">
        <f t="shared" si="242"/>
        <v>ㄉ</v>
      </c>
      <c r="L3889" s="1" t="str">
        <f t="shared" si="243"/>
        <v>ㄨ</v>
      </c>
      <c r="N3889" s="3" t="s">
        <v>30575</v>
      </c>
      <c r="O3889" s="3"/>
      <c r="P3889" s="1" t="s">
        <v>20</v>
      </c>
      <c r="R3889" s="1" t="s">
        <v>5581</v>
      </c>
      <c r="V3889" s="1" t="s">
        <v>5601</v>
      </c>
      <c r="AR3889" s="1" t="str">
        <f t="shared" si="241"/>
        <v>| [ㄉㄨˊ](ㄉㄨˊ.md) | [殰](殰.md) |  | dú | [動]
動物未出生時，在胎中死去。《字彙．歹部》：「殰，未及生而胎敗也。」《禮記．樂記》：「胎生者不殰，而卵生者不殈，則樂之道歸焉耳。」 |</v>
      </c>
    </row>
    <row r="3890" spans="1:44" hidden="1">
      <c r="A3890" s="1" t="s">
        <v>5602</v>
      </c>
      <c r="C3890" s="1">
        <v>1</v>
      </c>
      <c r="D3890" s="1" t="str">
        <f>"02287"</f>
        <v>02287</v>
      </c>
      <c r="E3890" s="1" t="s">
        <v>518</v>
      </c>
      <c r="F3890" s="1">
        <v>19</v>
      </c>
      <c r="G3890" s="1">
        <v>15</v>
      </c>
      <c r="H3890" s="1">
        <v>0</v>
      </c>
      <c r="I3890" s="1" t="s">
        <v>5580</v>
      </c>
      <c r="K3890" s="1" t="str">
        <f t="shared" si="242"/>
        <v>ㄉ</v>
      </c>
      <c r="L3890" s="1" t="str">
        <f t="shared" si="243"/>
        <v>ㄨ</v>
      </c>
      <c r="N3890" s="3" t="s">
        <v>30575</v>
      </c>
      <c r="O3890" s="3"/>
      <c r="P3890" s="1" t="s">
        <v>20</v>
      </c>
      <c r="R3890" s="1" t="s">
        <v>5581</v>
      </c>
      <c r="V3890" s="1" t="s">
        <v>5603</v>
      </c>
      <c r="AR3890" s="1" t="str">
        <f t="shared" si="241"/>
        <v>| [ㄉㄨˊ](ㄉㄨˊ.md) | [犢](犢.md) |  | dú | [名]
1.小牛。如：「初生之犢不畏虎。」宋．陸游〈春晚即事〉詩四首之四：「老農愛犢行泥緩，幼婦憂蠶采葉忙。」
2.姓。如戰國時齊國有犢牧。 |</v>
      </c>
    </row>
    <row r="3891" spans="1:44" hidden="1">
      <c r="A3891" s="1" t="s">
        <v>5604</v>
      </c>
      <c r="C3891" s="1">
        <v>1</v>
      </c>
      <c r="D3891" s="1" t="str">
        <f>"02288"</f>
        <v>02288</v>
      </c>
      <c r="E3891" s="1" t="s">
        <v>698</v>
      </c>
      <c r="F3891" s="1">
        <v>19</v>
      </c>
      <c r="G3891" s="1">
        <v>15</v>
      </c>
      <c r="H3891" s="1">
        <v>0</v>
      </c>
      <c r="I3891" s="1" t="s">
        <v>5580</v>
      </c>
      <c r="K3891" s="1" t="str">
        <f t="shared" si="242"/>
        <v>ㄉ</v>
      </c>
      <c r="L3891" s="1" t="str">
        <f t="shared" si="243"/>
        <v>ㄨ</v>
      </c>
      <c r="N3891" s="3" t="s">
        <v>30575</v>
      </c>
      <c r="O3891" s="3"/>
      <c r="P3891" s="1" t="s">
        <v>20</v>
      </c>
      <c r="R3891" s="1" t="s">
        <v>5581</v>
      </c>
      <c r="V3891" s="1" t="s">
        <v>5605</v>
      </c>
      <c r="AR3891" s="1" t="str">
        <f t="shared" si="241"/>
        <v>| [ㄉㄨˊ](ㄉㄨˊ.md) | [牘](牘.md) |  | dú | [名]
1.古代用以書寫文字的木片。如：「簡牘」。《漢書．卷六三．武五子傳．廣陵厲王劉胥傳》：「佩玉環，簪筆持牘趨謁。」唐．顏師古．注：「犢，木簡也。」南朝梁．劉勰《文心雕龍．神思》：「子建援牘如口誦，仲宣舉筆似宿構。」
2.文書、書籍。如：「文牘」、「連篇累牘」。《後漢書．卷六二．荀淑傳》：「所見篇牘，一覽多能誦記。」
3.信札。如：「尺牘」。《儒林外史》第三三回：「小姪菲才寡學，大人誤採虛名，恐其有玷薦牘。」 |</v>
      </c>
    </row>
    <row r="3892" spans="1:44" hidden="1">
      <c r="A3892" s="1" t="s">
        <v>4898</v>
      </c>
      <c r="C3892" s="1">
        <v>1</v>
      </c>
      <c r="D3892" s="1" t="str">
        <f>"02289"</f>
        <v>02289</v>
      </c>
      <c r="E3892" s="1" t="s">
        <v>331</v>
      </c>
      <c r="F3892" s="1">
        <v>22</v>
      </c>
      <c r="G3892" s="1">
        <v>15</v>
      </c>
      <c r="H3892" s="1">
        <v>1</v>
      </c>
      <c r="I3892" s="1" t="s">
        <v>5580</v>
      </c>
      <c r="K3892" s="1" t="str">
        <f t="shared" si="242"/>
        <v>ㄉ</v>
      </c>
      <c r="L3892" s="1" t="str">
        <f t="shared" si="243"/>
        <v>ㄨ</v>
      </c>
      <c r="N3892" s="3" t="s">
        <v>30575</v>
      </c>
      <c r="O3892" s="3"/>
      <c r="P3892" s="1" t="s">
        <v>20</v>
      </c>
      <c r="R3892" s="1" t="s">
        <v>5581</v>
      </c>
      <c r="V3892" s="1" t="s">
        <v>5606</v>
      </c>
      <c r="W3892" s="1" t="s">
        <v>5607</v>
      </c>
      <c r="AR3892" s="1" t="str">
        <f t="shared" si="241"/>
        <v>| [ㄉㄨˊ](ㄉㄨˊ.md) | [讀](讀.md) |  | dú | [動]_x000D_
1.照著文字唸。如：「誦讀」、「朗讀」、「宣讀」。_x000D_
2.閱讀、看書。如：「讀經」、「讀者」、「閱讀」。《史記．卷四七．孔子世家》：「余讀孔氏書，想見其為人。」_x000D_
3.學習、專攻。如：「他目前在臺北讀大學。」「他讀理科，並不是自己的意願。」_x000D_
[名]_x000D_
文字的唸法、讀音。如：「異讀」、「一字二讀」。 |</v>
      </c>
    </row>
    <row r="3893" spans="1:44" hidden="1">
      <c r="A3893" s="1" t="s">
        <v>5608</v>
      </c>
      <c r="C3893" s="1">
        <v>1</v>
      </c>
      <c r="D3893" s="1" t="str">
        <f>"02290"</f>
        <v>02290</v>
      </c>
      <c r="E3893" s="1" t="s">
        <v>505</v>
      </c>
      <c r="F3893" s="1">
        <v>22</v>
      </c>
      <c r="G3893" s="1">
        <v>15</v>
      </c>
      <c r="H3893" s="1">
        <v>0</v>
      </c>
      <c r="I3893" s="1" t="s">
        <v>5580</v>
      </c>
      <c r="K3893" s="1" t="str">
        <f t="shared" si="242"/>
        <v>ㄉ</v>
      </c>
      <c r="L3893" s="1" t="str">
        <f t="shared" si="243"/>
        <v>ㄨ</v>
      </c>
      <c r="N3893" s="3" t="s">
        <v>30575</v>
      </c>
      <c r="O3893" s="3"/>
      <c r="P3893" s="1" t="s">
        <v>20</v>
      </c>
      <c r="R3893" s="1" t="s">
        <v>5581</v>
      </c>
      <c r="V3893" s="1" t="s">
        <v>5609</v>
      </c>
      <c r="AR3893" s="1" t="str">
        <f t="shared" si="241"/>
        <v>| [ㄉㄨˊ](ㄉㄨˊ.md) | [贕](贕.md) |  | dú | [動]
鳥獸未出生時，在胎中死去。《玉篇．卵部》：「卵內敗也。」《淮南子．原道》：「獸胎不贕，鳥卵不毈。」漢．高誘．注：「胎不成獸曰贕。」 |</v>
      </c>
    </row>
    <row r="3894" spans="1:44" hidden="1">
      <c r="A3894" s="1" t="s">
        <v>5610</v>
      </c>
      <c r="C3894" s="1">
        <v>1</v>
      </c>
      <c r="D3894" s="1" t="str">
        <f>"02291"</f>
        <v>02291</v>
      </c>
      <c r="E3894" s="1" t="s">
        <v>2777</v>
      </c>
      <c r="F3894" s="1">
        <v>27</v>
      </c>
      <c r="G3894" s="1">
        <v>15</v>
      </c>
      <c r="H3894" s="1">
        <v>0</v>
      </c>
      <c r="I3894" s="1" t="s">
        <v>5580</v>
      </c>
      <c r="K3894" s="1" t="str">
        <f t="shared" si="242"/>
        <v>ㄉ</v>
      </c>
      <c r="L3894" s="1" t="str">
        <f t="shared" si="243"/>
        <v>ㄨ</v>
      </c>
      <c r="N3894" s="3" t="s">
        <v>30575</v>
      </c>
      <c r="O3894" s="3"/>
      <c r="P3894" s="1" t="s">
        <v>20</v>
      </c>
      <c r="R3894" s="1" t="s">
        <v>5581</v>
      </c>
      <c r="V3894" s="1" t="s">
        <v>5611</v>
      </c>
      <c r="AR3894" s="1" t="str">
        <f t="shared" si="241"/>
        <v>| [ㄉㄨˊ](ㄉㄨˊ.md) | [黷](黷.md) |  | dú | [名]
汙垢。南朝宋．傅亮〈潘尚書僕射表〉：「上增國垢，下招私黷。」
[形]
汙穢。《文選．孔稚珪．北山移文》：「乍迴跡以心染，或先貞而後黷。」
[動]
1.輕慢、不恭敬。《書經．說命》：「黷于祭祀。」《後漢書．卷五二．崔駰傳》：「進不黨以讚己，退不黷於庸人。」
2.貪求。《南史．卷四九．劉懷珍傳》：「及累為州郡，頗黷財賄。」唐．柳宗元〈封建論〉：「列侯驕盈，黷貨事戎。」
3.輕妄、濫用。如：「窮兵黷武」。唐．柳宗元〈駮復讎議〉：「誅其可旌，茲謂濫，黷刑甚矣。」 |</v>
      </c>
    </row>
    <row r="3895" spans="1:44" hidden="1">
      <c r="A3895" s="1" t="s">
        <v>5612</v>
      </c>
      <c r="C3895" s="1">
        <v>1</v>
      </c>
      <c r="D3895" s="1" t="str">
        <f>"02292"</f>
        <v>02292</v>
      </c>
      <c r="E3895" s="1" t="s">
        <v>331</v>
      </c>
      <c r="F3895" s="1">
        <v>29</v>
      </c>
      <c r="G3895" s="1">
        <v>22</v>
      </c>
      <c r="H3895" s="1">
        <v>0</v>
      </c>
      <c r="I3895" s="1" t="s">
        <v>5580</v>
      </c>
      <c r="K3895" s="1" t="str">
        <f t="shared" si="242"/>
        <v>ㄉ</v>
      </c>
      <c r="L3895" s="1" t="str">
        <f t="shared" si="243"/>
        <v>ㄨ</v>
      </c>
      <c r="N3895" s="3" t="s">
        <v>30575</v>
      </c>
      <c r="O3895" s="3"/>
      <c r="P3895" s="1" t="s">
        <v>20</v>
      </c>
      <c r="R3895" s="1" t="s">
        <v>5581</v>
      </c>
      <c r="V3895" s="1" t="s">
        <v>5613</v>
      </c>
      <c r="AR3895" s="1" t="str">
        <f t="shared" si="241"/>
        <v>| [ㄉㄨˊ](ㄉㄨˊ.md) | [讟](讟.md) |  | dú | [動]
1.怨恨。《說文解字．誩部》：「讟，痛怨也。」《北史．卷三二．崔挺傳》：「陳既主昏於上，人讟於下。」
2.詆毀、誹謗。《左傳．宣公十二年》：「民不罷勞，君無怨讟。」晉．杜預．注：「讟，謗也。」《隋書．卷七五．儒林傳．何妥傳》：「屈辱既加，則有怨恨，謗讟之言出矣。」
[名]
毀謗、怨恨的話。《文選．張衡．思玄賦》：「且獲讟于群弟兮，啟金縢而後信。」 |</v>
      </c>
    </row>
    <row r="3896" spans="1:44" hidden="1">
      <c r="A3896" s="1" t="s">
        <v>5614</v>
      </c>
      <c r="C3896" s="1">
        <v>1</v>
      </c>
      <c r="D3896" s="1" t="str">
        <f>"02293"</f>
        <v>02293</v>
      </c>
      <c r="E3896" s="1" t="s">
        <v>68</v>
      </c>
      <c r="F3896" s="1">
        <v>7</v>
      </c>
      <c r="G3896" s="1">
        <v>3</v>
      </c>
      <c r="H3896" s="1">
        <v>2</v>
      </c>
      <c r="I3896" s="1" t="s">
        <v>5615</v>
      </c>
      <c r="K3896" s="1" t="str">
        <f t="shared" si="242"/>
        <v>ㄉ</v>
      </c>
      <c r="L3896" s="1" t="str">
        <f t="shared" si="243"/>
        <v>ㄨ</v>
      </c>
      <c r="N3896" s="3" t="s">
        <v>30576</v>
      </c>
      <c r="O3896" s="3"/>
      <c r="P3896" s="1" t="s">
        <v>20</v>
      </c>
      <c r="R3896" s="1" t="s">
        <v>5616</v>
      </c>
      <c r="V3896" s="1" t="s">
        <v>5617</v>
      </c>
      <c r="W3896" s="1" t="s">
        <v>5618</v>
      </c>
      <c r="AR3896" s="1" t="str">
        <f t="shared" si="241"/>
        <v>| [ㄉㄨˇ](ㄉㄨˇ.md) | [肚](肚.md) |  | dǔ | [名]
俗稱動物的胃為「肚」。《集韻．上聲．姥韻》：「肚，胃也。」如：「牛肚」、「豬肚」、「羊肚」。 |</v>
      </c>
    </row>
    <row r="3897" spans="1:44" hidden="1">
      <c r="A3897" s="1" t="s">
        <v>5619</v>
      </c>
      <c r="C3897" s="1">
        <v>1</v>
      </c>
      <c r="D3897" s="1" t="str">
        <f>"02294"</f>
        <v>02294</v>
      </c>
      <c r="E3897" s="1" t="s">
        <v>132</v>
      </c>
      <c r="F3897" s="1">
        <v>11</v>
      </c>
      <c r="G3897" s="1">
        <v>8</v>
      </c>
      <c r="H3897" s="1">
        <v>0</v>
      </c>
      <c r="I3897" s="1" t="s">
        <v>5615</v>
      </c>
      <c r="K3897" s="1" t="str">
        <f t="shared" si="242"/>
        <v>ㄉ</v>
      </c>
      <c r="L3897" s="1" t="str">
        <f t="shared" si="243"/>
        <v>ㄨ</v>
      </c>
      <c r="N3897" s="3" t="s">
        <v>30576</v>
      </c>
      <c r="O3897" s="3"/>
      <c r="P3897" s="1" t="s">
        <v>20</v>
      </c>
      <c r="R3897" s="1" t="s">
        <v>5616</v>
      </c>
      <c r="V3897" s="1" t="s">
        <v>5620</v>
      </c>
      <c r="AR3897" s="1" t="str">
        <f t="shared" si="241"/>
        <v>| [ㄉㄨˇ](ㄉㄨˇ.md) | [堵](堵.md) |  | dǔ | [名]
1.牆壁。晉．陶淵明〈五柳先生傳〉：「環堵蕭然，不蔽風日。」唐．柳宗元〈梓人傳〉：「畫宮於堵盈尺，而曲盡其制。」
2.量詞。計算牆壁的單位。如：「一堵牆」。唐．張祜〈遊天台山〉詩：「回首望四明，矗若城一堵。」
3.姓。如春秋時鄭國有堵叔。
[動]
1.阻塞。如：「堵塞」、「堵住破洞」。
2.以言語頂撞或遏阻別人。《紅樓夢》第三七回：「當著眾人，太太自為又增了光，堵了眾人的嘴，太太越發喜歡了。」 |</v>
      </c>
    </row>
    <row r="3898" spans="1:44" hidden="1">
      <c r="A3898" s="1" t="s">
        <v>5621</v>
      </c>
      <c r="C3898" s="1">
        <v>1</v>
      </c>
      <c r="D3898" s="1" t="str">
        <f>"02295"</f>
        <v>02295</v>
      </c>
      <c r="E3898" s="1" t="s">
        <v>1015</v>
      </c>
      <c r="F3898" s="1">
        <v>13</v>
      </c>
      <c r="G3898" s="1">
        <v>8</v>
      </c>
      <c r="H3898" s="1">
        <v>0</v>
      </c>
      <c r="I3898" s="1" t="s">
        <v>5615</v>
      </c>
      <c r="K3898" s="1" t="str">
        <f t="shared" si="242"/>
        <v>ㄉ</v>
      </c>
      <c r="L3898" s="1" t="str">
        <f t="shared" si="243"/>
        <v>ㄨ</v>
      </c>
      <c r="N3898" s="3" t="s">
        <v>30576</v>
      </c>
      <c r="O3898" s="3"/>
      <c r="P3898" s="1" t="s">
        <v>20</v>
      </c>
      <c r="R3898" s="1" t="s">
        <v>5616</v>
      </c>
      <c r="V3898" s="1" t="s">
        <v>5622</v>
      </c>
      <c r="AR3898" s="1" t="str">
        <f t="shared" si="241"/>
        <v>| [ㄉㄨˇ](ㄉㄨˇ.md) | [睹](睹.md) |  | dǔ | [動]
看見。如：「有目共睹」、「睹物思人」。《莊子．秋水》：「始吾弗信，今我睹子之難窮也，吾非至於子之門，則殆矣。」《紅樓夢》第九九回：「賈母等一則怕他招受寒暑，二則恐他睹景傷情。」 |</v>
      </c>
    </row>
    <row r="3899" spans="1:44" hidden="1">
      <c r="A3899" s="1" t="s">
        <v>5623</v>
      </c>
      <c r="C3899" s="1">
        <v>1</v>
      </c>
      <c r="D3899" s="1" t="str">
        <f>"02296"</f>
        <v>02296</v>
      </c>
      <c r="E3899" s="1" t="s">
        <v>505</v>
      </c>
      <c r="F3899" s="1">
        <v>15</v>
      </c>
      <c r="G3899" s="1">
        <v>8</v>
      </c>
      <c r="H3899" s="1">
        <v>0</v>
      </c>
      <c r="I3899" s="1" t="s">
        <v>5615</v>
      </c>
      <c r="K3899" s="1" t="str">
        <f t="shared" si="242"/>
        <v>ㄉ</v>
      </c>
      <c r="L3899" s="1" t="str">
        <f t="shared" si="243"/>
        <v>ㄨ</v>
      </c>
      <c r="N3899" s="3" t="s">
        <v>30576</v>
      </c>
      <c r="O3899" s="3"/>
      <c r="P3899" s="1" t="s">
        <v>20</v>
      </c>
      <c r="R3899" s="1" t="s">
        <v>5616</v>
      </c>
      <c r="V3899" s="1" t="s">
        <v>5624</v>
      </c>
      <c r="AR3899" s="1" t="str">
        <f t="shared" si="241"/>
        <v>| [ㄉㄨˇ](ㄉㄨˇ.md) | [賭](賭.md) |  | dǔ | [名]
用財物作為爭輸贏的不正當娛樂。如：「賭博」、「好賭」、「嗜賭如命」。《聊齋志異．卷三．賭符》：「倘能戒賭，我為汝覆之。」
[動]
爭勝負、比輸贏。元．關漢卿《竇娥冤》第二折：「要看什麼天喜到命，只賭本事，做得去自去做。」《老殘遊記》第一九回：「吳二浪子急於要賭，連忙說：『萬不會誤的！』」 |</v>
      </c>
    </row>
    <row r="3900" spans="1:44" hidden="1">
      <c r="A3900" s="1" t="s">
        <v>5625</v>
      </c>
      <c r="C3900" s="1">
        <v>1</v>
      </c>
      <c r="D3900" s="1" t="str">
        <f>"02297"</f>
        <v>02297</v>
      </c>
      <c r="E3900" s="1" t="s">
        <v>340</v>
      </c>
      <c r="F3900" s="1">
        <v>14</v>
      </c>
      <c r="G3900" s="1">
        <v>8</v>
      </c>
      <c r="H3900" s="1">
        <v>0</v>
      </c>
      <c r="I3900" s="1" t="s">
        <v>5615</v>
      </c>
      <c r="K3900" s="1" t="str">
        <f t="shared" si="242"/>
        <v>ㄉ</v>
      </c>
      <c r="L3900" s="1" t="str">
        <f t="shared" si="243"/>
        <v>ㄨ</v>
      </c>
      <c r="N3900" s="3" t="s">
        <v>30576</v>
      </c>
      <c r="O3900" s="3"/>
      <c r="P3900" s="1" t="s">
        <v>20</v>
      </c>
      <c r="R3900" s="1" t="s">
        <v>5616</v>
      </c>
      <c r="V3900" s="1" t="s">
        <v>5626</v>
      </c>
      <c r="AR3900" s="1" t="str">
        <f t="shared" si="241"/>
        <v>| [ㄉㄨˇ](ㄉㄨˇ.md) | [裻](裻.md) |  | dǔ | [名]
衣背接縫處。《說文解字．衣部》：「裻，背縫。」《國語．晉語一》：「是故使申生伐東山，衣之偏裻之衣，佩之以金玦。」 |</v>
      </c>
    </row>
    <row r="3901" spans="1:44" hidden="1">
      <c r="A3901" s="1" t="s">
        <v>5627</v>
      </c>
      <c r="C3901" s="1">
        <v>1</v>
      </c>
      <c r="D3901" s="1" t="str">
        <f>"02298"</f>
        <v>02298</v>
      </c>
      <c r="E3901" s="1" t="s">
        <v>49</v>
      </c>
      <c r="F3901" s="1">
        <v>16</v>
      </c>
      <c r="G3901" s="1">
        <v>10</v>
      </c>
      <c r="H3901" s="1">
        <v>0</v>
      </c>
      <c r="I3901" s="1" t="s">
        <v>5615</v>
      </c>
      <c r="K3901" s="1" t="str">
        <f t="shared" si="242"/>
        <v>ㄉ</v>
      </c>
      <c r="L3901" s="1" t="str">
        <f t="shared" si="243"/>
        <v>ㄨ</v>
      </c>
      <c r="N3901" s="3" t="s">
        <v>30576</v>
      </c>
      <c r="O3901" s="3"/>
      <c r="P3901" s="1" t="s">
        <v>20</v>
      </c>
      <c r="R3901" s="1" t="s">
        <v>5616</v>
      </c>
      <c r="V3901" s="1" t="s">
        <v>5628</v>
      </c>
      <c r="AR3901" s="1" t="str">
        <f t="shared" si="241"/>
        <v>| [ㄉㄨˇ](ㄉㄨˇ.md) | [篤](篤.md) |  | dǔ | [形]_x000D_
1.忠厚、誠實。如：「篤實」。《禮記．中庸》：「不顯惟德，百辟其刑之，是故君子篤恭而天下平。」《聊齋志異．卷六．蕙芳》：「馬生其名混，其業褻，蕙芳奚取哉？於此見仙人之貴樸訥誠篤也。」_x000D_
2.病勢沉重。《史記．卷七九．范睢蔡澤列傳．范睢》：「昭王彊起應侯，應侯遂稱病篤。」晉．李密〈陳情表〉：「臣欲奉詔奔馳，則劉病日篤。」_x000D_
3.深厚、豐厚。《後漢書．卷一三．隗囂公孫述列傳．隗囂》：「帝報以手書曰：『……自今以後，手書相聞，勿用傍人解構之言。』自是恩禮愈篤。」《宋史．卷三三九．列傳．蘇轍》：「轍與兄進退出處，無不相同，患難之中，友愛彌篤。」_x000D_
4.真確、允當。南朝梁．劉勰《文心雕龍．才略》：「但俗情抑揚，雷同一響，遂令文帝以位尊減才，思王以勢窘益價，未為篤論也。」_x000D_
[副]_x000D_
1.專一、切實。《禮記．儒行》：「儒有博學而不窮，篤行而不倦。」《南齊書．卷五四．高逸列傳．沈驎士》：「吳興沈驎士英風夙挺，峻節早樹，貞粹稟於天然，綜博生乎篤習。」_x000D_
2.甚、深、非常地。《漢書．卷七一．雋疏于薛平彭傳．疏廣》：「上疏乞骸骨，上以其年篤老，皆許之。」南朝梁．鍾嶸《詩品．序》：「曹公父子，篤好斯文。」《南疆逸史．卷二．紹宗紀略》：「上嘗與決事，篤念舊恩，不遺纖微。」_x000D_
[動]_x000D_
堅持、固守。《論語．泰伯》：「篤信好學，守死善道。」《管子．君臣下》：「君子行於禮，則上尊而民順。小民篤於農，則財厚而備足。」《後漢書．卷二六．伏侯宋蔡馮趙牟韋列傳．侯霸》：「篤志好學，師事九江太守房元，治《穀梁春秋》，為元都講。」_x000D_
[名]_x000D_
姓。如元代有篤列圖。 |</v>
      </c>
    </row>
    <row r="3902" spans="1:44" hidden="1">
      <c r="A3902" s="1" t="s">
        <v>5910</v>
      </c>
      <c r="C3902" s="1">
        <v>1</v>
      </c>
      <c r="D3902" s="1" t="str">
        <f>"02411"</f>
        <v>02411</v>
      </c>
      <c r="E3902" s="1" t="s">
        <v>624</v>
      </c>
      <c r="F3902" s="1">
        <v>5</v>
      </c>
      <c r="G3902" s="1">
        <v>2</v>
      </c>
      <c r="H3902" s="1">
        <v>1</v>
      </c>
      <c r="I3902" s="1" t="s">
        <v>5911</v>
      </c>
      <c r="K3902" s="1" t="str">
        <f t="shared" si="242"/>
        <v>ㄊ</v>
      </c>
      <c r="L3902" s="1" t="str">
        <f t="shared" si="243"/>
        <v>ㄚ</v>
      </c>
      <c r="M3902" s="1" t="str">
        <f t="shared" ref="M3902:M3965" si="244">MID(I3902, 3, 1)</f>
        <v/>
      </c>
      <c r="P3902" s="1" t="s">
        <v>20</v>
      </c>
      <c r="R3902" s="1" t="s">
        <v>5912</v>
      </c>
      <c r="V3902" s="1" t="s">
        <v>5913</v>
      </c>
      <c r="W3902" s="1" t="s">
        <v>5914</v>
      </c>
      <c r="AR3902" s="1" t="str">
        <f t="shared" si="241"/>
        <v>| [ㄊㄚ](ㄊㄚ.md) | [它](它.md) |  | tā | [名]_x000D_
蛇。《玉篇．它部》：「它，蛇也。」_x000D_
[代]_x000D_
第三人稱代詞。代指人以外的動物、植物或事物。如：「桂花很香，可以用它來泡茶。」_x000D_
[形]_x000D_
1.別的、其他的。如：「敢有它志」。《荀子．議兵》：「是故刑罰省而威流，無它故焉，由其道故也。」南朝宋．劉義慶《世說新語．方正》：「它人能令疏親，臣不能使親疏。」_x000D_
2.虛指。用在動詞後面。如：「吃它一頓再走」、「何不試它一回」。 |</v>
      </c>
    </row>
    <row r="3903" spans="1:44" hidden="1">
      <c r="A3903" s="1" t="s">
        <v>5915</v>
      </c>
      <c r="C3903" s="1">
        <v>1</v>
      </c>
      <c r="D3903" s="1" t="str">
        <f>"02412"</f>
        <v>02412</v>
      </c>
      <c r="E3903" s="1" t="s">
        <v>114</v>
      </c>
      <c r="F3903" s="1">
        <v>7</v>
      </c>
      <c r="G3903" s="1">
        <v>5</v>
      </c>
      <c r="H3903" s="1">
        <v>3</v>
      </c>
      <c r="I3903" s="1" t="s">
        <v>5911</v>
      </c>
      <c r="K3903" s="1" t="str">
        <f t="shared" si="242"/>
        <v>ㄊ</v>
      </c>
      <c r="L3903" s="1" t="str">
        <f t="shared" si="243"/>
        <v>ㄚ</v>
      </c>
      <c r="M3903" s="1" t="str">
        <f t="shared" si="244"/>
        <v/>
      </c>
      <c r="P3903" s="1" t="s">
        <v>20</v>
      </c>
      <c r="R3903" s="1" t="s">
        <v>5912</v>
      </c>
      <c r="V3903" s="1" t="s">
        <v>5916</v>
      </c>
      <c r="W3903" s="1" t="s">
        <v>5917</v>
      </c>
      <c r="AR3903" s="1" t="str">
        <f t="shared" si="241"/>
        <v>| [ㄊㄚ](ㄊㄚ.md) | [佗](佗.md) |  | tā | [代]
同「他」。《說文解字．人部》「它」字．清．段玉裁．注：「其字或叚佗為之，又俗作他。」《文選．陸機．文賦》：「佗日殆可謂曲盡其妙。」 |</v>
      </c>
    </row>
    <row r="3904" spans="1:44" hidden="1">
      <c r="A3904" s="1" t="s">
        <v>5918</v>
      </c>
      <c r="C3904" s="1">
        <v>1</v>
      </c>
      <c r="D3904" s="1" t="str">
        <f>"02413"</f>
        <v>02413</v>
      </c>
      <c r="E3904" s="1" t="s">
        <v>55</v>
      </c>
      <c r="F3904" s="1">
        <v>13</v>
      </c>
      <c r="G3904" s="1">
        <v>5</v>
      </c>
      <c r="H3904" s="1">
        <v>0</v>
      </c>
      <c r="I3904" s="1" t="s">
        <v>5911</v>
      </c>
      <c r="K3904" s="1" t="str">
        <f t="shared" si="242"/>
        <v>ㄊ</v>
      </c>
      <c r="L3904" s="1" t="str">
        <f t="shared" si="243"/>
        <v>ㄚ</v>
      </c>
      <c r="M3904" s="1" t="str">
        <f t="shared" si="244"/>
        <v/>
      </c>
      <c r="P3904" s="1" t="s">
        <v>20</v>
      </c>
      <c r="R3904" s="1" t="s">
        <v>5912</v>
      </c>
      <c r="V3904" s="1" t="s">
        <v>5919</v>
      </c>
      <c r="AR3904" s="1" t="str">
        <f t="shared" si="241"/>
        <v>| [ㄊㄚ](ㄊㄚ.md) | [鉈](鉈.md) |  | tā | [名]
（thallium，Tl）化學元素。原子序81。金屬元素之一。不溶於水，可溶於硝酸和硫酸。鉈化合物有毒。可用為光電管、溫度計及光學玻璃的原料。天然的鉈以微量存於鐵、鋅等硫化物礦中。 |</v>
      </c>
    </row>
    <row r="3905" spans="1:44" hidden="1">
      <c r="A3905" s="1" t="s">
        <v>5920</v>
      </c>
      <c r="C3905" s="1">
        <v>1</v>
      </c>
      <c r="D3905" s="1" t="str">
        <f>"02414"</f>
        <v>02414</v>
      </c>
      <c r="E3905" s="1" t="s">
        <v>114</v>
      </c>
      <c r="F3905" s="1">
        <v>5</v>
      </c>
      <c r="G3905" s="1">
        <v>3</v>
      </c>
      <c r="H3905" s="1">
        <v>1</v>
      </c>
      <c r="I3905" s="1" t="s">
        <v>5911</v>
      </c>
      <c r="K3905" s="1" t="str">
        <f t="shared" si="242"/>
        <v>ㄊ</v>
      </c>
      <c r="L3905" s="1" t="str">
        <f t="shared" si="243"/>
        <v>ㄚ</v>
      </c>
      <c r="M3905" s="1" t="str">
        <f t="shared" si="244"/>
        <v/>
      </c>
      <c r="P3905" s="1" t="s">
        <v>20</v>
      </c>
      <c r="R3905" s="1" t="s">
        <v>5912</v>
      </c>
      <c r="V3905" s="1" t="s">
        <v>5921</v>
      </c>
      <c r="W3905" s="1" t="s">
        <v>5922</v>
      </c>
      <c r="AR3905" s="1" t="str">
        <f t="shared" si="241"/>
        <v>| [ㄊㄚ](ㄊㄚ.md) | [他](他.md) |  | tā | [代]
第三人稱代名詞。指稱你我以外的第三人。《三國演義》第一〇回：「王方欺他年幼，躍馬迎戰。」《老殘遊記二編》第二回：「且等今晚試試他的口氣，他若肯了，不怕他師父不肯。」
[形]
另外的、別的。如：「他人」、「他日」、「他家的事」。《詩經．鄭風．褰裳》：「子不我思，豈無他士？」
[副]
其他方面的。如：「早已他去，不知所終。」
[名]
別的方面或其餘的事。《詩經．小雅．小旻》：「人知其一，莫知其他。」《孟子．梁惠王下》：「王顧左右而言他。」
[助]
用於句中當襯字，無所指。如：「唱他幾句」、「喝他幾杯」。《醒世恆言．卷三五．徐老僕義憤成家》：「聞得販漆這項道路頗有利息，況又在近處，何不去試他一試？」有時綴以「這」、「那」。如：「投宿於他這旅舍。」「看他那天氣好像要下雨。」亦可綴「這個」。如：「我恨就恨他這個冰天雪地。」 |</v>
      </c>
    </row>
    <row r="3906" spans="1:44" hidden="1">
      <c r="A3906" s="1" t="s">
        <v>5923</v>
      </c>
      <c r="C3906" s="1">
        <v>1</v>
      </c>
      <c r="D3906" s="1" t="str">
        <f>"02415"</f>
        <v>02415</v>
      </c>
      <c r="E3906" s="1" t="s">
        <v>534</v>
      </c>
      <c r="F3906" s="1">
        <v>6</v>
      </c>
      <c r="G3906" s="1">
        <v>3</v>
      </c>
      <c r="H3906" s="1">
        <v>0</v>
      </c>
      <c r="I3906" s="1" t="s">
        <v>5911</v>
      </c>
      <c r="K3906" s="1" t="str">
        <f t="shared" si="242"/>
        <v>ㄊ</v>
      </c>
      <c r="L3906" s="1" t="str">
        <f t="shared" si="243"/>
        <v>ㄚ</v>
      </c>
      <c r="M3906" s="1" t="str">
        <f t="shared" si="244"/>
        <v/>
      </c>
      <c r="P3906" s="1" t="s">
        <v>20</v>
      </c>
      <c r="R3906" s="1" t="s">
        <v>5912</v>
      </c>
      <c r="V3906" s="1" t="s">
        <v>5924</v>
      </c>
      <c r="AR3906" s="1" t="str">
        <f t="shared" si="241"/>
        <v>| [ㄊㄚ](ㄊㄚ.md) | [她](她.md) |  | tā | [代]
女性第三人稱。如：「她是我妹妹。」 |</v>
      </c>
    </row>
    <row r="3907" spans="1:44" hidden="1">
      <c r="A3907" s="1" t="s">
        <v>5925</v>
      </c>
      <c r="C3907" s="1">
        <v>1</v>
      </c>
      <c r="D3907" s="1" t="str">
        <f>"02416"</f>
        <v>02416</v>
      </c>
      <c r="E3907" s="1" t="s">
        <v>518</v>
      </c>
      <c r="F3907" s="1">
        <v>7</v>
      </c>
      <c r="G3907" s="1">
        <v>3</v>
      </c>
      <c r="H3907" s="1">
        <v>1</v>
      </c>
      <c r="I3907" s="1" t="s">
        <v>5911</v>
      </c>
      <c r="K3907" s="1" t="str">
        <f t="shared" si="242"/>
        <v>ㄊ</v>
      </c>
      <c r="L3907" s="1" t="str">
        <f t="shared" si="243"/>
        <v>ㄚ</v>
      </c>
      <c r="M3907" s="1" t="str">
        <f t="shared" si="244"/>
        <v/>
      </c>
      <c r="P3907" s="1" t="s">
        <v>20</v>
      </c>
      <c r="R3907" s="1" t="s">
        <v>5912</v>
      </c>
      <c r="V3907" s="1" t="s">
        <v>5926</v>
      </c>
      <c r="W3907" s="1" t="s">
        <v>5927</v>
      </c>
      <c r="AR3907" s="1" t="str">
        <f t="shared" ref="AR3907:AR3970" si="245">"| ["&amp;I3907&amp;"]("&amp;I3907&amp;".md) | ["&amp;A3907&amp;"]("&amp;A3907&amp;".md) | "&amp;" | "&amp;R3907&amp;" | "&amp;V3907&amp;" |"</f>
        <v>| [ㄊㄚ](ㄊㄚ.md) | [牠](牠.md) |  | tā | [代]
用於動物的第三人稱代名詞。如：「那頭小牛好可愛，大家爭相和牠合照！」 |</v>
      </c>
    </row>
    <row r="3908" spans="1:44" hidden="1">
      <c r="A3908" s="1" t="s">
        <v>5928</v>
      </c>
      <c r="C3908" s="1">
        <v>1</v>
      </c>
      <c r="D3908" s="1" t="str">
        <f>"02417"</f>
        <v>02417</v>
      </c>
      <c r="E3908" s="1" t="s">
        <v>825</v>
      </c>
      <c r="F3908" s="1">
        <v>8</v>
      </c>
      <c r="G3908" s="1">
        <v>3</v>
      </c>
      <c r="H3908" s="1">
        <v>0</v>
      </c>
      <c r="I3908" s="1" t="s">
        <v>5911</v>
      </c>
      <c r="K3908" s="1" t="str">
        <f t="shared" si="242"/>
        <v>ㄊ</v>
      </c>
      <c r="L3908" s="1" t="str">
        <f t="shared" si="243"/>
        <v>ㄚ</v>
      </c>
      <c r="M3908" s="1" t="str">
        <f t="shared" si="244"/>
        <v/>
      </c>
      <c r="P3908" s="1" t="s">
        <v>20</v>
      </c>
      <c r="R3908" s="1" t="s">
        <v>5912</v>
      </c>
      <c r="V3908" s="1" t="s">
        <v>5929</v>
      </c>
      <c r="AR3908" s="1" t="str">
        <f t="shared" si="245"/>
        <v>| [ㄊㄚ](ㄊㄚ.md) | [祂](祂.md) |  | tā | [代]
1.西方宗教在華傳教時，用作對上帝、耶穌等的第三人稱代名詞。如：「祂就是真理，信祂得永生。」
2.泛指一般神明的第三人稱代名詞。 |</v>
      </c>
    </row>
    <row r="3909" spans="1:44" hidden="1">
      <c r="A3909" s="1" t="s">
        <v>5930</v>
      </c>
      <c r="C3909" s="1">
        <v>1</v>
      </c>
      <c r="D3909" s="1" t="str">
        <f>"02418"</f>
        <v>02418</v>
      </c>
      <c r="E3909" s="1" t="s">
        <v>77</v>
      </c>
      <c r="F3909" s="1">
        <v>11</v>
      </c>
      <c r="G3909" s="1">
        <v>4</v>
      </c>
      <c r="H3909" s="1">
        <v>2</v>
      </c>
      <c r="I3909" s="1" t="s">
        <v>5911</v>
      </c>
      <c r="K3909" s="1" t="str">
        <f t="shared" si="242"/>
        <v>ㄊ</v>
      </c>
      <c r="L3909" s="1" t="str">
        <f t="shared" si="243"/>
        <v>ㄚ</v>
      </c>
      <c r="M3909" s="1" t="str">
        <f t="shared" si="244"/>
        <v/>
      </c>
      <c r="P3909" s="1" t="s">
        <v>20</v>
      </c>
      <c r="R3909" s="1" t="s">
        <v>5912</v>
      </c>
      <c r="V3909" s="1" t="s">
        <v>5931</v>
      </c>
      <c r="W3909" s="1" t="s">
        <v>5932</v>
      </c>
      <c r="AR3909" s="1" t="str">
        <f t="shared" si="245"/>
        <v>| [ㄊㄚ](ㄊㄚ.md) | [趿](趿.md) |  | tā | 參見「趿拉」條。 |</v>
      </c>
    </row>
    <row r="3910" spans="1:44" hidden="1">
      <c r="A3910" s="1" t="s">
        <v>5933</v>
      </c>
      <c r="C3910" s="1">
        <v>1</v>
      </c>
      <c r="D3910" s="1" t="str">
        <f>"02419"</f>
        <v>02419</v>
      </c>
      <c r="E3910" s="1" t="s">
        <v>96</v>
      </c>
      <c r="F3910" s="1">
        <v>13</v>
      </c>
      <c r="G3910" s="1">
        <v>4</v>
      </c>
      <c r="H3910" s="1">
        <v>1</v>
      </c>
      <c r="I3910" s="1" t="s">
        <v>5911</v>
      </c>
      <c r="K3910" s="1" t="str">
        <f t="shared" si="242"/>
        <v>ㄊ</v>
      </c>
      <c r="L3910" s="1" t="str">
        <f t="shared" si="243"/>
        <v>ㄚ</v>
      </c>
      <c r="M3910" s="1" t="str">
        <f t="shared" si="244"/>
        <v/>
      </c>
      <c r="P3910" s="1" t="s">
        <v>20</v>
      </c>
      <c r="R3910" s="1" t="s">
        <v>5912</v>
      </c>
      <c r="V3910" s="1" t="s">
        <v>5934</v>
      </c>
      <c r="W3910" s="1" t="s">
        <v>5935</v>
      </c>
      <c r="AR3910" s="1" t="str">
        <f t="shared" si="245"/>
        <v>| [ㄊㄚ](ㄊㄚ.md) | [靸](靸.md) |  | tā | [動]
1.拖著鞋子。《儒林外史》第四回：「那日在這裡住，鞋也沒有一雙，夏天靸著個蒲窩子，歪腿爛腳的。」
2.穿。《紅樓夢》第一四回：「又有十三眾尼僧搭繡衣，靸紅鞋，在靈前默誦接引諸咒，十分熱鬧。」 |</v>
      </c>
    </row>
    <row r="3911" spans="1:44" hidden="1">
      <c r="A3911" s="1" t="s">
        <v>5936</v>
      </c>
      <c r="C3911" s="1">
        <v>1</v>
      </c>
      <c r="D3911" s="1" t="str">
        <f>"02420"</f>
        <v>02420</v>
      </c>
      <c r="E3911" s="1" t="s">
        <v>132</v>
      </c>
      <c r="F3911" s="1">
        <v>13</v>
      </c>
      <c r="G3911" s="1">
        <v>10</v>
      </c>
      <c r="H3911" s="1">
        <v>0</v>
      </c>
      <c r="I3911" s="1" t="s">
        <v>5911</v>
      </c>
      <c r="K3911" s="1" t="str">
        <f t="shared" si="242"/>
        <v>ㄊ</v>
      </c>
      <c r="L3911" s="1" t="str">
        <f t="shared" si="243"/>
        <v>ㄚ</v>
      </c>
      <c r="M3911" s="1" t="str">
        <f t="shared" si="244"/>
        <v/>
      </c>
      <c r="P3911" s="1" t="s">
        <v>20</v>
      </c>
      <c r="R3911" s="1" t="s">
        <v>5912</v>
      </c>
      <c r="V3911" s="1" t="s">
        <v>5937</v>
      </c>
      <c r="AR3911" s="1" t="str">
        <f t="shared" si="245"/>
        <v>| [ㄊㄚ](ㄊㄚ.md) | [塌](塌.md) |  | tā | [動]
1.（底部）脫落。如：「桶底都塌下來了！」「包子蒸得太過火，都塌在蒸籠上了！」
2.（支架）垮落。如：「倒塌」、「坍塌」。明．無名氏《那吒三變》第四折：「喚雨的注雨如傾，呼風的狂風亂吼，天摧地塌，拔樹撼山。」《三國演義》第七八回：「操急拔劍望空砍去，忽然一聲響亮，震塌殿宇西南一角。」
3.凹陷。如：「瘦得兩眼都塌進去了！」元．無名氏《黃花峪》第一折：「我見他磣可可脣齒綻，血模糊打塌鼻梁。」《儒林外史》第三九回：「那裡禁得蕭雲仙的彈子打來，打得鼻塌嘴歪，無處躲避。」
4.氣勢衰落。如：「爐子裡久不添炭，火就塌了！」《兒女英雄傳》第一五回：「只是我想大丈夫仗本事幹功名，一下腳就講究花錢，塌了銳氣了。」 |</v>
      </c>
    </row>
    <row r="3912" spans="1:44" hidden="1">
      <c r="A3912" s="1" t="s">
        <v>5938</v>
      </c>
      <c r="C3912" s="1">
        <v>1</v>
      </c>
      <c r="D3912" s="1" t="str">
        <f>"02421"</f>
        <v>02421</v>
      </c>
      <c r="E3912" s="1" t="s">
        <v>24</v>
      </c>
      <c r="F3912" s="1">
        <v>13</v>
      </c>
      <c r="G3912" s="1">
        <v>10</v>
      </c>
      <c r="H3912" s="1">
        <v>2</v>
      </c>
      <c r="I3912" s="1" t="s">
        <v>5911</v>
      </c>
      <c r="K3912" s="1" t="str">
        <f t="shared" si="242"/>
        <v>ㄊ</v>
      </c>
      <c r="L3912" s="1" t="str">
        <f t="shared" si="243"/>
        <v>ㄚ</v>
      </c>
      <c r="M3912" s="1" t="str">
        <f t="shared" si="244"/>
        <v/>
      </c>
      <c r="P3912" s="1" t="s">
        <v>20</v>
      </c>
      <c r="R3912" s="1" t="s">
        <v>5912</v>
      </c>
      <c r="V3912" s="1" t="s">
        <v>5939</v>
      </c>
      <c r="W3912" s="1" t="s">
        <v>5940</v>
      </c>
      <c r="AR3912" s="1" t="str">
        <f t="shared" si="245"/>
        <v>| [ㄊㄚ](ㄊㄚ.md) | [搨](搨.md) |  | tā | [動]
流汗溼透衣服貼在身上。如：「溼透的汗衫搨在身上了！」 |</v>
      </c>
    </row>
    <row r="3913" spans="1:44" hidden="1">
      <c r="A3913" s="1" t="s">
        <v>5941</v>
      </c>
      <c r="C3913" s="1">
        <v>1</v>
      </c>
      <c r="D3913" s="1" t="str">
        <f>"02422"</f>
        <v>02422</v>
      </c>
      <c r="E3913" s="1" t="s">
        <v>340</v>
      </c>
      <c r="F3913" s="1">
        <v>16</v>
      </c>
      <c r="G3913" s="1">
        <v>10</v>
      </c>
      <c r="H3913" s="1">
        <v>0</v>
      </c>
      <c r="I3913" s="1" t="s">
        <v>5911</v>
      </c>
      <c r="K3913" s="1" t="str">
        <f t="shared" si="242"/>
        <v>ㄊ</v>
      </c>
      <c r="L3913" s="1" t="str">
        <f t="shared" si="243"/>
        <v>ㄚ</v>
      </c>
      <c r="M3913" s="1" t="str">
        <f t="shared" si="244"/>
        <v/>
      </c>
      <c r="P3913" s="1" t="s">
        <v>20</v>
      </c>
      <c r="R3913" s="1" t="s">
        <v>5912</v>
      </c>
      <c r="V3913" s="1" t="s">
        <v>5942</v>
      </c>
      <c r="AR3913" s="1" t="str">
        <f t="shared" si="245"/>
        <v>| [ㄊㄚ](ㄊㄚ.md) | [褟](褟.md) |  | tā | [名]
1.綴在衣物上的花邊。如：「褟縧子」、「褟邊兒」。
2.貼身穿的短衫。如：「汗褟兒」。 |</v>
      </c>
    </row>
    <row r="3914" spans="1:44" hidden="1">
      <c r="A3914" s="1" t="s">
        <v>6025</v>
      </c>
      <c r="C3914" s="1">
        <v>1</v>
      </c>
      <c r="D3914" s="1" t="str">
        <f>"02459"</f>
        <v>02459</v>
      </c>
      <c r="E3914" s="1" t="s">
        <v>28</v>
      </c>
      <c r="F3914" s="1">
        <v>5</v>
      </c>
      <c r="G3914" s="1">
        <v>2</v>
      </c>
      <c r="H3914" s="1">
        <v>1</v>
      </c>
      <c r="I3914" s="1" t="s">
        <v>6026</v>
      </c>
      <c r="K3914" s="1" t="str">
        <f t="shared" si="242"/>
        <v>ㄊ</v>
      </c>
      <c r="L3914" s="1" t="str">
        <f t="shared" si="243"/>
        <v>ㄞ</v>
      </c>
      <c r="M3914" s="1" t="str">
        <f t="shared" si="244"/>
        <v/>
      </c>
      <c r="P3914" s="1" t="s">
        <v>20</v>
      </c>
      <c r="R3914" s="1" t="s">
        <v>6027</v>
      </c>
      <c r="V3914" s="1" t="s">
        <v>6028</v>
      </c>
      <c r="W3914" s="1" t="s">
        <v>6029</v>
      </c>
      <c r="AR3914" s="1" t="str">
        <f t="shared" si="245"/>
        <v>| [ㄊㄞ](ㄊㄞ.md) | [台](台.md) |  | tāi | 地名用字。大陸地區浙江省台州、天台山。或讀為ㄊㄞˊ tái。 |</v>
      </c>
    </row>
    <row r="3915" spans="1:44" hidden="1">
      <c r="A3915" s="1" t="s">
        <v>6030</v>
      </c>
      <c r="C3915" s="1">
        <v>1</v>
      </c>
      <c r="D3915" s="1" t="str">
        <f>"02460"</f>
        <v>02460</v>
      </c>
      <c r="E3915" s="1" t="s">
        <v>37</v>
      </c>
      <c r="F3915" s="1">
        <v>9</v>
      </c>
      <c r="G3915" s="1">
        <v>5</v>
      </c>
      <c r="H3915" s="1">
        <v>2</v>
      </c>
      <c r="I3915" s="1" t="s">
        <v>6026</v>
      </c>
      <c r="K3915" s="1" t="str">
        <f t="shared" si="242"/>
        <v>ㄊ</v>
      </c>
      <c r="L3915" s="1" t="str">
        <f t="shared" si="243"/>
        <v>ㄞ</v>
      </c>
      <c r="M3915" s="1" t="str">
        <f t="shared" si="244"/>
        <v/>
      </c>
      <c r="P3915" s="1" t="s">
        <v>20</v>
      </c>
      <c r="R3915" s="1" t="s">
        <v>6027</v>
      </c>
      <c r="V3915" s="1" t="s">
        <v>6031</v>
      </c>
      <c r="W3915" s="1" t="s">
        <v>6032</v>
      </c>
      <c r="AR3915" s="1" t="str">
        <f t="shared" si="245"/>
        <v>| [ㄊㄞ](ㄊㄞ.md) | [苔](苔.md) |  | tāi | 參見「舌苔」條。 |</v>
      </c>
    </row>
    <row r="3916" spans="1:44" hidden="1">
      <c r="A3916" s="1" t="s">
        <v>6033</v>
      </c>
      <c r="C3916" s="1">
        <v>1</v>
      </c>
      <c r="D3916" s="1" t="str">
        <f>"02461"</f>
        <v>02461</v>
      </c>
      <c r="E3916" s="1" t="s">
        <v>68</v>
      </c>
      <c r="F3916" s="1">
        <v>9</v>
      </c>
      <c r="G3916" s="1">
        <v>5</v>
      </c>
      <c r="H3916" s="1">
        <v>0</v>
      </c>
      <c r="I3916" s="1" t="s">
        <v>6026</v>
      </c>
      <c r="K3916" s="1" t="str">
        <f t="shared" si="242"/>
        <v>ㄊ</v>
      </c>
      <c r="L3916" s="1" t="str">
        <f t="shared" si="243"/>
        <v>ㄞ</v>
      </c>
      <c r="M3916" s="1" t="str">
        <f t="shared" si="244"/>
        <v/>
      </c>
      <c r="P3916" s="1" t="s">
        <v>20</v>
      </c>
      <c r="R3916" s="1" t="s">
        <v>6027</v>
      </c>
      <c r="V3916" s="1" t="s">
        <v>6034</v>
      </c>
      <c r="AR3916" s="1" t="str">
        <f t="shared" si="245"/>
        <v>| [ㄊㄞ](ㄊㄞ.md) | [胎](胎.md) |  | tāi | [名]
1.人或其他哺乳動物母體內的幼體。如：「懷胎」、「胚胎」、「胎兒」、「雙胞胎」。
2.量詞。計算生育次數的單位。如：「頭胎」、「第二胎」。
3.器物的粗胚。如：「泥胎」。
4.衣服、被褥等的夾襯物。如：「棉花胎」。
5.事物的根源。如：「禍胎」。
6.參見「輪胎」條。 |</v>
      </c>
    </row>
    <row r="3917" spans="1:44" hidden="1">
      <c r="A3917" s="1" t="s">
        <v>6088</v>
      </c>
      <c r="C3917" s="1">
        <v>1</v>
      </c>
      <c r="D3917" s="1" t="str">
        <f>"02485"</f>
        <v>02485</v>
      </c>
      <c r="E3917" s="1" t="s">
        <v>563</v>
      </c>
      <c r="F3917" s="1">
        <v>5</v>
      </c>
      <c r="G3917" s="1">
        <v>2</v>
      </c>
      <c r="H3917" s="1">
        <v>0</v>
      </c>
      <c r="I3917" s="1" t="s">
        <v>6089</v>
      </c>
      <c r="K3917" s="1" t="str">
        <f t="shared" si="242"/>
        <v>ㄊ</v>
      </c>
      <c r="L3917" s="1" t="str">
        <f t="shared" si="243"/>
        <v>ㄠ</v>
      </c>
      <c r="M3917" s="1" t="str">
        <f t="shared" si="244"/>
        <v/>
      </c>
      <c r="P3917" s="1" t="s">
        <v>20</v>
      </c>
      <c r="R3917" s="1" t="s">
        <v>6090</v>
      </c>
      <c r="V3917" s="1" t="s">
        <v>6091</v>
      </c>
      <c r="AR3917" s="1" t="str">
        <f t="shared" si="245"/>
        <v>| [ㄊㄠ](ㄊㄠ.md) | [夲](夲.md) |  | tāo | [動]
急速進趨。《說文解字．食部》：「夲，進趣也。」清．段玉裁．注：「趣，疾也。」
[形]
往來相見的樣子。《字彙．大部》：「夲，往來見貌。」 |</v>
      </c>
    </row>
    <row r="3918" spans="1:44" hidden="1">
      <c r="A3918" s="1" t="s">
        <v>4799</v>
      </c>
      <c r="C3918" s="1">
        <v>1</v>
      </c>
      <c r="D3918" s="1" t="str">
        <f>"02486"</f>
        <v>02486</v>
      </c>
      <c r="E3918" s="1" t="s">
        <v>28</v>
      </c>
      <c r="F3918" s="1">
        <v>5</v>
      </c>
      <c r="G3918" s="1">
        <v>2</v>
      </c>
      <c r="H3918" s="1">
        <v>1</v>
      </c>
      <c r="I3918" s="1" t="s">
        <v>6089</v>
      </c>
      <c r="K3918" s="1" t="str">
        <f t="shared" si="242"/>
        <v>ㄊ</v>
      </c>
      <c r="L3918" s="1" t="str">
        <f t="shared" si="243"/>
        <v>ㄠ</v>
      </c>
      <c r="M3918" s="1" t="str">
        <f t="shared" si="244"/>
        <v/>
      </c>
      <c r="P3918" s="1" t="s">
        <v>20</v>
      </c>
      <c r="R3918" s="1" t="s">
        <v>6090</v>
      </c>
      <c r="V3918" s="1" t="s">
        <v>6092</v>
      </c>
      <c r="W3918" s="1" t="s">
        <v>6093</v>
      </c>
      <c r="AR3918" s="1" t="str">
        <f t="shared" si="245"/>
        <v>| [ㄊㄠ](ㄊㄠ.md) | [叨](叨.md) |  | tāo | [動]
1.貪。常用於功名、功勞之上。《宋史．卷三六〇．宗澤傳》：「當時固有阿意順旨以叨富貴者，亦有不相詭隨以獲罪戾者。」元．高文秀《澠池會》第二折：「不說那定國謀、安邦計，到與我個濫叨功名彌天罪。」
2.受人好處。如：「叨光」、「叨教」。
[副]
自謙的話。忝，表非分、過分。如：「叨擾」。三國蜀．諸葛亮〈街亭之敗戮馬謖上疏〉：「臣以弱才，叨竊非據，親秉旄鉞，以厲三軍。」元．張翥〈西內應制即事〉詩：「老臣叨視草，進罷益沾巾。」 |</v>
      </c>
    </row>
    <row r="3919" spans="1:44" hidden="1">
      <c r="A3919" s="1" t="s">
        <v>6094</v>
      </c>
      <c r="C3919" s="1">
        <v>1</v>
      </c>
      <c r="D3919" s="1" t="str">
        <f>"02487"</f>
        <v>02487</v>
      </c>
      <c r="E3919" s="1" t="s">
        <v>103</v>
      </c>
      <c r="F3919" s="1">
        <v>8</v>
      </c>
      <c r="G3919" s="1">
        <v>5</v>
      </c>
      <c r="H3919" s="1">
        <v>0</v>
      </c>
      <c r="I3919" s="1" t="s">
        <v>6089</v>
      </c>
      <c r="K3919" s="1" t="str">
        <f t="shared" si="242"/>
        <v>ㄊ</v>
      </c>
      <c r="L3919" s="1" t="str">
        <f t="shared" si="243"/>
        <v>ㄠ</v>
      </c>
      <c r="M3919" s="1" t="str">
        <f t="shared" si="244"/>
        <v/>
      </c>
      <c r="P3919" s="1" t="s">
        <v>20</v>
      </c>
      <c r="R3919" s="1" t="s">
        <v>6090</v>
      </c>
      <c r="V3919" s="1" t="s">
        <v>6095</v>
      </c>
      <c r="AR3919" s="1" t="str">
        <f t="shared" si="245"/>
        <v>| [ㄊㄠ](ㄊㄠ.md) | [弢](弢.md) |  | tāo | [名]
1.裝弓的袋子。《國語．齊語》：「弢無弓，服無矢。」
2.裝東西的套子。《新唐書．卷九三．李靖傳》：「其舊物有佩筆，以木為管弢。」
3.兵法。通「韜」。如：「六弢」、「弢略」。
[動]
隱藏。通「韜」。《文選．陸機．漢高祖功臣頌》：「弢跡匿光。」 |</v>
      </c>
    </row>
    <row r="3920" spans="1:44" hidden="1">
      <c r="A3920" s="1" t="s">
        <v>6096</v>
      </c>
      <c r="C3920" s="1">
        <v>1</v>
      </c>
      <c r="D3920" s="1" t="str">
        <f>"02488"</f>
        <v>02488</v>
      </c>
      <c r="E3920" s="1" t="s">
        <v>24</v>
      </c>
      <c r="F3920" s="1">
        <v>11</v>
      </c>
      <c r="G3920" s="1">
        <v>8</v>
      </c>
      <c r="H3920" s="1">
        <v>0</v>
      </c>
      <c r="I3920" s="1" t="s">
        <v>6089</v>
      </c>
      <c r="K3920" s="1" t="str">
        <f t="shared" si="242"/>
        <v>ㄊ</v>
      </c>
      <c r="L3920" s="1" t="str">
        <f t="shared" si="243"/>
        <v>ㄠ</v>
      </c>
      <c r="M3920" s="1" t="str">
        <f t="shared" si="244"/>
        <v/>
      </c>
      <c r="P3920" s="1" t="s">
        <v>20</v>
      </c>
      <c r="R3920" s="1" t="s">
        <v>6090</v>
      </c>
      <c r="V3920" s="1" t="s">
        <v>6097</v>
      </c>
      <c r="AR3920" s="1" t="str">
        <f t="shared" si="245"/>
        <v>| [ㄊㄠ](ㄊㄠ.md) | [掏](掏.md) |  | tāo | [動]
1.伸進去拿。如：「掏名片」、「掏槍」、「掏錢」。
2.從某個空間中取出東西。如：「掏腰包」、「掏耳朵」。
3.挖。如：「掏個洞」。 |</v>
      </c>
    </row>
    <row r="3921" spans="1:44" hidden="1">
      <c r="A3921" s="1" t="s">
        <v>6098</v>
      </c>
      <c r="C3921" s="1">
        <v>1</v>
      </c>
      <c r="D3921" s="1" t="str">
        <f>"02489"</f>
        <v>02489</v>
      </c>
      <c r="E3921" s="1" t="s">
        <v>129</v>
      </c>
      <c r="F3921" s="1">
        <v>13</v>
      </c>
      <c r="G3921" s="1">
        <v>10</v>
      </c>
      <c r="H3921" s="1">
        <v>0</v>
      </c>
      <c r="I3921" s="1" t="s">
        <v>6089</v>
      </c>
      <c r="K3921" s="1" t="str">
        <f t="shared" si="242"/>
        <v>ㄊ</v>
      </c>
      <c r="L3921" s="1" t="str">
        <f t="shared" si="243"/>
        <v>ㄠ</v>
      </c>
      <c r="M3921" s="1" t="str">
        <f t="shared" si="244"/>
        <v/>
      </c>
      <c r="P3921" s="1" t="s">
        <v>20</v>
      </c>
      <c r="R3921" s="1" t="s">
        <v>6090</v>
      </c>
      <c r="V3921" s="1" t="s">
        <v>6099</v>
      </c>
      <c r="AR3921" s="1" t="str">
        <f t="shared" si="245"/>
        <v>| [ㄊㄠ](ㄊㄠ.md) | [滔](滔.md) |  | tāo | [動]
瀰漫。如：「白浪滔天」。
[形]
大水滾滾不絕的樣子。參見「滔滔」條。 |</v>
      </c>
    </row>
    <row r="3922" spans="1:44" hidden="1">
      <c r="A3922" s="1" t="s">
        <v>6100</v>
      </c>
      <c r="C3922" s="1">
        <v>1</v>
      </c>
      <c r="D3922" s="1" t="str">
        <f>"02490"</f>
        <v>02490</v>
      </c>
      <c r="E3922" s="1" t="s">
        <v>250</v>
      </c>
      <c r="F3922" s="1">
        <v>13</v>
      </c>
      <c r="G3922" s="1">
        <v>10</v>
      </c>
      <c r="H3922" s="1">
        <v>0</v>
      </c>
      <c r="I3922" s="1" t="s">
        <v>6089</v>
      </c>
      <c r="K3922" s="1" t="str">
        <f t="shared" si="242"/>
        <v>ㄊ</v>
      </c>
      <c r="L3922" s="1" t="str">
        <f t="shared" si="243"/>
        <v>ㄠ</v>
      </c>
      <c r="M3922" s="1" t="str">
        <f t="shared" si="244"/>
        <v/>
      </c>
      <c r="P3922" s="1" t="s">
        <v>20</v>
      </c>
      <c r="R3922" s="1" t="s">
        <v>6090</v>
      </c>
      <c r="V3922" s="1" t="s">
        <v>6101</v>
      </c>
      <c r="AR3922" s="1" t="str">
        <f t="shared" si="245"/>
        <v>| [ㄊㄠ](ㄊㄠ.md) | [慆](慆.md) |  | tāo | [動]
1.娛悅、取悅。《左傳．昭公元年》：「君子之近琴瑟以儀節也，非以慆心也。」
2.懷疑。《左傳．昭公二十七年》：「天命不慆久矣。」
3.過。《詩經．唐風．蟋蟀》：「今我不樂，日月其慆。」
4.隱藏。通「韜」。《左傳．昭公三年》：「以樂慆憂」。
[副]
怠惰。如：「慆淫」、「慆慢」。 |</v>
      </c>
    </row>
    <row r="3923" spans="1:44" hidden="1">
      <c r="A3923" s="1" t="s">
        <v>6102</v>
      </c>
      <c r="C3923" s="1">
        <v>1</v>
      </c>
      <c r="D3923" s="1" t="str">
        <f>"02491"</f>
        <v>02491</v>
      </c>
      <c r="E3923" s="1" t="s">
        <v>24</v>
      </c>
      <c r="F3923" s="1">
        <v>13</v>
      </c>
      <c r="G3923" s="1">
        <v>10</v>
      </c>
      <c r="H3923" s="1">
        <v>0</v>
      </c>
      <c r="I3923" s="1" t="s">
        <v>6089</v>
      </c>
      <c r="K3923" s="1" t="str">
        <f t="shared" si="242"/>
        <v>ㄊ</v>
      </c>
      <c r="L3923" s="1" t="str">
        <f t="shared" si="243"/>
        <v>ㄠ</v>
      </c>
      <c r="M3923" s="1" t="str">
        <f t="shared" si="244"/>
        <v/>
      </c>
      <c r="P3923" s="1" t="s">
        <v>20</v>
      </c>
      <c r="R3923" s="1" t="s">
        <v>6090</v>
      </c>
      <c r="V3923" s="1" t="s">
        <v>6103</v>
      </c>
      <c r="AR3923" s="1" t="str">
        <f t="shared" si="245"/>
        <v>| [ㄊㄠ](ㄊㄠ.md) | [搯](搯.md) |  | tāo | [動]
1.探取。同「掏」。唐．韓愈〈貞曜先生墓誌銘〉：「及其為詩，劌目鉥心，刃迎縷解，鉤章棘句，搯擢胃腎。」
2.叩、擊。《國語．魯語下》：「請無瘠色，無洵涕，無搯膺。」 |</v>
      </c>
    </row>
    <row r="3924" spans="1:44" hidden="1">
      <c r="A3924" s="1" t="s">
        <v>6104</v>
      </c>
      <c r="C3924" s="1">
        <v>1</v>
      </c>
      <c r="D3924" s="1" t="str">
        <f>"02492"</f>
        <v>02492</v>
      </c>
      <c r="E3924" s="1" t="s">
        <v>331</v>
      </c>
      <c r="F3924" s="1">
        <v>17</v>
      </c>
      <c r="G3924" s="1">
        <v>10</v>
      </c>
      <c r="H3924" s="1">
        <v>0</v>
      </c>
      <c r="I3924" s="1" t="s">
        <v>6089</v>
      </c>
      <c r="K3924" s="1" t="str">
        <f t="shared" si="242"/>
        <v>ㄊ</v>
      </c>
      <c r="L3924" s="1" t="str">
        <f t="shared" si="243"/>
        <v>ㄠ</v>
      </c>
      <c r="M3924" s="1" t="str">
        <f t="shared" si="244"/>
        <v/>
      </c>
      <c r="P3924" s="1" t="s">
        <v>20</v>
      </c>
      <c r="R3924" s="1" t="s">
        <v>6090</v>
      </c>
      <c r="V3924" s="1" t="s">
        <v>6105</v>
      </c>
      <c r="AR3924" s="1" t="str">
        <f t="shared" si="245"/>
        <v>| [ㄊㄠ](ㄊㄠ.md) | [謟](謟.md) |  | tāo | [動]
疑惑。《左傳．昭公二十六年》：「天道不謟，不貳其命。」晉．杜預．注：「謟，疑也。」 |</v>
      </c>
    </row>
    <row r="3925" spans="1:44" hidden="1">
      <c r="A3925" s="1" t="s">
        <v>6106</v>
      </c>
      <c r="C3925" s="1">
        <v>1</v>
      </c>
      <c r="D3925" s="1" t="str">
        <f>"02493"</f>
        <v>02493</v>
      </c>
      <c r="E3925" s="1" t="s">
        <v>1058</v>
      </c>
      <c r="F3925" s="1">
        <v>19</v>
      </c>
      <c r="G3925" s="1">
        <v>10</v>
      </c>
      <c r="H3925" s="1">
        <v>0</v>
      </c>
      <c r="I3925" s="1" t="s">
        <v>6089</v>
      </c>
      <c r="K3925" s="1" t="str">
        <f t="shared" si="242"/>
        <v>ㄊ</v>
      </c>
      <c r="L3925" s="1" t="str">
        <f t="shared" si="243"/>
        <v>ㄠ</v>
      </c>
      <c r="M3925" s="1" t="str">
        <f t="shared" si="244"/>
        <v/>
      </c>
      <c r="P3925" s="1" t="s">
        <v>20</v>
      </c>
      <c r="R3925" s="1" t="s">
        <v>6090</v>
      </c>
      <c r="V3925" s="1" t="s">
        <v>6107</v>
      </c>
      <c r="AR3925" s="1" t="str">
        <f t="shared" si="245"/>
        <v>| [ㄊㄠ](ㄊㄠ.md) | [韜](韜.md) |  | tāo | [名]
1.劍套。《說文解字．韋部》：「韜，劍衣也。」
2.裝弓的袋子。《詩經．小雅．彤弓》「彤弓弨兮，受言櫜之」句下漢．毛亨．傳：「櫜，韜也。」唐．陸德明《經典釋文．卷六．毛詩音義中》：「韜，本又作弢，弓衣也。」
3.兵法。如：「韜略」、「六韜」。
[動]
隱藏。如：「韜光養晦」。 |</v>
      </c>
    </row>
    <row r="3926" spans="1:44" hidden="1">
      <c r="A3926" s="1" t="s">
        <v>6108</v>
      </c>
      <c r="C3926" s="1">
        <v>1</v>
      </c>
      <c r="D3926" s="1" t="str">
        <f>"02494"</f>
        <v>02494</v>
      </c>
      <c r="E3926" s="1" t="s">
        <v>725</v>
      </c>
      <c r="F3926" s="1">
        <v>13</v>
      </c>
      <c r="G3926" s="1">
        <v>7</v>
      </c>
      <c r="H3926" s="1">
        <v>0</v>
      </c>
      <c r="I3926" s="1" t="s">
        <v>6089</v>
      </c>
      <c r="K3926" s="1" t="str">
        <f t="shared" si="242"/>
        <v>ㄊ</v>
      </c>
      <c r="L3926" s="1" t="str">
        <f t="shared" si="243"/>
        <v>ㄠ</v>
      </c>
      <c r="M3926" s="1" t="str">
        <f t="shared" si="244"/>
        <v/>
      </c>
      <c r="P3926" s="1" t="s">
        <v>20</v>
      </c>
      <c r="R3926" s="1" t="s">
        <v>6090</v>
      </c>
      <c r="V3926" s="1" t="s">
        <v>6109</v>
      </c>
      <c r="AR3926" s="1" t="str">
        <f t="shared" si="245"/>
        <v>| [ㄊㄠ](ㄊㄠ.md) | [絛](絛.md) |  | tāo | [名]
用絲編成的繩帶。如：「絲絛」。《西遊記》第二回：「穿一領紅色衣，勒一條黃絛。」《初刻拍案驚奇》卷一：「約得百兩，使熔成一大錠，把一綜紅線，結成一絛，繫在錠腰。」 |</v>
      </c>
    </row>
    <row r="3927" spans="1:44" hidden="1">
      <c r="A3927" s="1" t="s">
        <v>6110</v>
      </c>
      <c r="C3927" s="1">
        <v>1</v>
      </c>
      <c r="D3927" s="1" t="str">
        <f>"02495"</f>
        <v>02495</v>
      </c>
      <c r="E3927" s="1" t="s">
        <v>129</v>
      </c>
      <c r="F3927" s="1">
        <v>17</v>
      </c>
      <c r="G3927" s="1">
        <v>14</v>
      </c>
      <c r="H3927" s="1">
        <v>2</v>
      </c>
      <c r="I3927" s="1" t="s">
        <v>6089</v>
      </c>
      <c r="K3927" s="1" t="str">
        <f t="shared" si="242"/>
        <v>ㄊ</v>
      </c>
      <c r="L3927" s="1" t="str">
        <f t="shared" si="243"/>
        <v>ㄠ</v>
      </c>
      <c r="M3927" s="1" t="str">
        <f t="shared" si="244"/>
        <v/>
      </c>
      <c r="P3927" s="1" t="s">
        <v>110</v>
      </c>
      <c r="R3927" s="1" t="s">
        <v>6090</v>
      </c>
      <c r="V3927" s="1" t="s">
        <v>111</v>
      </c>
      <c r="W3927" s="1" t="s">
        <v>6111</v>
      </c>
      <c r="AR3927" s="1" t="str">
        <f t="shared" si="245"/>
        <v>| [ㄊㄠ](ㄊㄠ.md) | [濤](濤.md) |  | tāo | (一)之又音。 |</v>
      </c>
    </row>
    <row r="3928" spans="1:44" hidden="1">
      <c r="A3928" s="1" t="s">
        <v>6112</v>
      </c>
      <c r="C3928" s="1">
        <v>1</v>
      </c>
      <c r="D3928" s="1" t="str">
        <f>"02496"</f>
        <v>02496</v>
      </c>
      <c r="E3928" s="1" t="s">
        <v>193</v>
      </c>
      <c r="F3928" s="1">
        <v>22</v>
      </c>
      <c r="G3928" s="1">
        <v>13</v>
      </c>
      <c r="H3928" s="1">
        <v>0</v>
      </c>
      <c r="I3928" s="1" t="s">
        <v>6089</v>
      </c>
      <c r="K3928" s="1" t="str">
        <f t="shared" si="242"/>
        <v>ㄊ</v>
      </c>
      <c r="L3928" s="1" t="str">
        <f t="shared" si="243"/>
        <v>ㄠ</v>
      </c>
      <c r="M3928" s="1" t="str">
        <f t="shared" si="244"/>
        <v/>
      </c>
      <c r="P3928" s="1" t="s">
        <v>20</v>
      </c>
      <c r="R3928" s="1" t="s">
        <v>6090</v>
      </c>
      <c r="V3928" s="1" t="s">
        <v>6113</v>
      </c>
      <c r="AR3928" s="1" t="str">
        <f t="shared" si="245"/>
        <v>| [ㄊㄠ](ㄊㄠ.md) | [饕](饕.md) |  | tāo | 參見「饕餮」條。 |</v>
      </c>
    </row>
    <row r="3929" spans="1:44" hidden="1">
      <c r="A3929" s="1" t="s">
        <v>6157</v>
      </c>
      <c r="C3929" s="1">
        <v>1</v>
      </c>
      <c r="D3929" s="1" t="str">
        <f>"02516"</f>
        <v>02516</v>
      </c>
      <c r="E3929" s="1" t="s">
        <v>114</v>
      </c>
      <c r="F3929" s="1">
        <v>11</v>
      </c>
      <c r="G3929" s="1">
        <v>9</v>
      </c>
      <c r="H3929" s="1">
        <v>0</v>
      </c>
      <c r="I3929" s="1" t="s">
        <v>6158</v>
      </c>
      <c r="K3929" s="1" t="str">
        <f t="shared" si="242"/>
        <v>ㄊ</v>
      </c>
      <c r="L3929" s="1" t="str">
        <f t="shared" si="243"/>
        <v>ㄡ</v>
      </c>
      <c r="M3929" s="1" t="str">
        <f t="shared" si="244"/>
        <v/>
      </c>
      <c r="P3929" s="1" t="s">
        <v>20</v>
      </c>
      <c r="R3929" s="1" t="s">
        <v>6159</v>
      </c>
      <c r="V3929" s="1" t="s">
        <v>6160</v>
      </c>
      <c r="AR3929" s="1" t="str">
        <f t="shared" si="245"/>
        <v>| [ㄊㄡ](ㄊㄡ.md) | [偷](偷.md) |  | tōu | [動]
1.竊取。如：「偷錢」、「偷東西」。
2.抽出、挪出（時間）。如：「偷空」、「偷閒」。
[名]
竊取東西的人。如：「小偷」。
[副]
私下、暗地裡。如：「偷看」、「偷聽」。
[形]
1.苟且敷衍。如：「偷安」。
2.刻薄、不厚道。《論語．泰伯》：「故舊不遺，則民不偷。」 |</v>
      </c>
    </row>
    <row r="3930" spans="1:44" hidden="1">
      <c r="A3930" s="1" t="s">
        <v>6161</v>
      </c>
      <c r="C3930" s="1">
        <v>1</v>
      </c>
      <c r="D3930" s="1" t="str">
        <f>"02517"</f>
        <v>02517</v>
      </c>
      <c r="E3930" s="1" t="s">
        <v>534</v>
      </c>
      <c r="F3930" s="1">
        <v>12</v>
      </c>
      <c r="G3930" s="1">
        <v>9</v>
      </c>
      <c r="H3930" s="1">
        <v>1</v>
      </c>
      <c r="I3930" s="1" t="s">
        <v>6158</v>
      </c>
      <c r="K3930" s="1" t="str">
        <f t="shared" si="242"/>
        <v>ㄊ</v>
      </c>
      <c r="L3930" s="1" t="str">
        <f t="shared" si="243"/>
        <v>ㄡ</v>
      </c>
      <c r="M3930" s="1" t="str">
        <f t="shared" si="244"/>
        <v/>
      </c>
      <c r="P3930" s="1" t="s">
        <v>20</v>
      </c>
      <c r="R3930" s="1" t="s">
        <v>6159</v>
      </c>
      <c r="V3930" s="1" t="s">
        <v>6162</v>
      </c>
      <c r="W3930" s="1" t="s">
        <v>6163</v>
      </c>
      <c r="AR3930" s="1" t="str">
        <f t="shared" si="245"/>
        <v>| [ㄊㄡ](ㄊㄡ.md) | [媮](媮.md) |  | tōu | [形]
巧黠。《左傳．文公十八年》：「齊君之語媮。」
[副]
苟且。《文選．曹植．雜詩七首之六》：「烈士多悲心，小人媮自閑。」
[動]
輕視、輕忽。《左傳．襄公三十年》：「晉未可媮也。」 |</v>
      </c>
    </row>
    <row r="3931" spans="1:44" hidden="1">
      <c r="A3931" s="1" t="s">
        <v>6164</v>
      </c>
      <c r="C3931" s="1">
        <v>1</v>
      </c>
      <c r="D3931" s="1" t="str">
        <f>"02518"</f>
        <v>02518</v>
      </c>
      <c r="E3931" s="1" t="s">
        <v>55</v>
      </c>
      <c r="F3931" s="1">
        <v>17</v>
      </c>
      <c r="G3931" s="1">
        <v>9</v>
      </c>
      <c r="H3931" s="1">
        <v>0</v>
      </c>
      <c r="I3931" s="1" t="s">
        <v>6158</v>
      </c>
      <c r="K3931" s="1" t="str">
        <f t="shared" si="242"/>
        <v>ㄊ</v>
      </c>
      <c r="L3931" s="1" t="str">
        <f t="shared" si="243"/>
        <v>ㄡ</v>
      </c>
      <c r="M3931" s="1" t="str">
        <f t="shared" si="244"/>
        <v/>
      </c>
      <c r="P3931" s="1" t="s">
        <v>20</v>
      </c>
      <c r="R3931" s="1" t="s">
        <v>6159</v>
      </c>
      <c r="V3931" s="1" t="s">
        <v>6165</v>
      </c>
      <c r="AR3931" s="1" t="str">
        <f t="shared" si="245"/>
        <v>| [ㄊㄡ](ㄊㄡ.md) | [鍮](鍮.md) |  | tōu | [名]
黃銅。《新唐書．卷二二一．西域傳下．康傳》：「綿地四千里，山周其外，土沃，產鍮、水精。」也稱為「鍮石」、「真鍮」。 |</v>
      </c>
    </row>
    <row r="3932" spans="1:44" hidden="1">
      <c r="A3932" s="1" t="s">
        <v>6192</v>
      </c>
      <c r="C3932" s="1">
        <v>1</v>
      </c>
      <c r="D3932" s="1" t="str">
        <f>"02527"</f>
        <v>02527</v>
      </c>
      <c r="E3932" s="1" t="s">
        <v>132</v>
      </c>
      <c r="F3932" s="1">
        <v>7</v>
      </c>
      <c r="G3932" s="1">
        <v>4</v>
      </c>
      <c r="H3932" s="1">
        <v>0</v>
      </c>
      <c r="I3932" s="1" t="s">
        <v>6193</v>
      </c>
      <c r="K3932" s="1" t="str">
        <f t="shared" si="242"/>
        <v>ㄊ</v>
      </c>
      <c r="L3932" s="1" t="str">
        <f t="shared" si="243"/>
        <v>ㄢ</v>
      </c>
      <c r="M3932" s="1" t="str">
        <f t="shared" si="244"/>
        <v/>
      </c>
      <c r="P3932" s="1" t="s">
        <v>20</v>
      </c>
      <c r="R3932" s="1" t="s">
        <v>6194</v>
      </c>
      <c r="V3932" s="1" t="s">
        <v>6195</v>
      </c>
      <c r="AR3932" s="1" t="str">
        <f t="shared" si="245"/>
        <v>| [ㄊㄢ](ㄊㄢ.md) | [坍](坍.md) |  | tān | [動]
倒塌毀壞。如：「牆坍了！」、「房坍了！」《兒女英雄傳》第二回：「把個不曾奉憲查收的新工，排山也似價坍了下來！」 |</v>
      </c>
    </row>
    <row r="3933" spans="1:44" hidden="1">
      <c r="A3933" s="1" t="s">
        <v>6196</v>
      </c>
      <c r="C3933" s="1">
        <v>1</v>
      </c>
      <c r="D3933" s="1" t="str">
        <f>"02528"</f>
        <v>02528</v>
      </c>
      <c r="E3933" s="1" t="s">
        <v>250</v>
      </c>
      <c r="F3933" s="1">
        <v>9</v>
      </c>
      <c r="G3933" s="1">
        <v>5</v>
      </c>
      <c r="H3933" s="1">
        <v>0</v>
      </c>
      <c r="I3933" s="1" t="s">
        <v>6193</v>
      </c>
      <c r="K3933" s="1" t="str">
        <f t="shared" si="242"/>
        <v>ㄊ</v>
      </c>
      <c r="L3933" s="1" t="str">
        <f t="shared" si="243"/>
        <v>ㄢ</v>
      </c>
      <c r="M3933" s="1" t="str">
        <f t="shared" si="244"/>
        <v/>
      </c>
      <c r="P3933" s="1" t="s">
        <v>20</v>
      </c>
      <c r="R3933" s="1" t="s">
        <v>6194</v>
      </c>
      <c r="V3933" s="1" t="s">
        <v>6197</v>
      </c>
      <c r="AR3933" s="1" t="str">
        <f t="shared" si="245"/>
        <v>| [ㄊㄢ](ㄊㄢ.md) | [怹](怹.md) |  | tān | [代]
第三人稱的尊稱。如：「新年裡，祝福母親怹老人家，福體康泰，萬事如意。」 |</v>
      </c>
    </row>
    <row r="3934" spans="1:44" hidden="1">
      <c r="A3934" s="1" t="s">
        <v>6198</v>
      </c>
      <c r="C3934" s="1">
        <v>1</v>
      </c>
      <c r="D3934" s="1" t="str">
        <f>"02529"</f>
        <v>02529</v>
      </c>
      <c r="E3934" s="1" t="s">
        <v>24</v>
      </c>
      <c r="F3934" s="1">
        <v>11</v>
      </c>
      <c r="G3934" s="1">
        <v>8</v>
      </c>
      <c r="H3934" s="1">
        <v>2</v>
      </c>
      <c r="I3934" s="1" t="s">
        <v>6193</v>
      </c>
      <c r="K3934" s="1" t="str">
        <f t="shared" si="242"/>
        <v>ㄊ</v>
      </c>
      <c r="L3934" s="1" t="str">
        <f t="shared" si="243"/>
        <v>ㄢ</v>
      </c>
      <c r="M3934" s="1" t="str">
        <f t="shared" si="244"/>
        <v/>
      </c>
      <c r="P3934" s="1" t="s">
        <v>20</v>
      </c>
      <c r="R3934" s="1" t="s">
        <v>6194</v>
      </c>
      <c r="V3934" s="1" t="s">
        <v>6199</v>
      </c>
      <c r="W3934" s="1" t="s">
        <v>6200</v>
      </c>
      <c r="AR3934" s="1" t="str">
        <f t="shared" si="245"/>
        <v>| [ㄊㄢ](ㄊㄢ.md) | [探](探.md) |  | tān | [動]
1.試。《論語．季氏》：「見善如不及，見不善如探湯。」
2.伸出。如：「探頭探腦」、「探手出去」。 |</v>
      </c>
    </row>
    <row r="3935" spans="1:44" hidden="1">
      <c r="A3935" s="1" t="s">
        <v>6201</v>
      </c>
      <c r="C3935" s="1">
        <v>1</v>
      </c>
      <c r="D3935" s="1" t="str">
        <f>"02530"</f>
        <v>02530</v>
      </c>
      <c r="E3935" s="1" t="s">
        <v>505</v>
      </c>
      <c r="F3935" s="1">
        <v>11</v>
      </c>
      <c r="G3935" s="1">
        <v>4</v>
      </c>
      <c r="H3935" s="1">
        <v>0</v>
      </c>
      <c r="I3935" s="1" t="s">
        <v>6193</v>
      </c>
      <c r="K3935" s="1" t="str">
        <f t="shared" si="242"/>
        <v>ㄊ</v>
      </c>
      <c r="L3935" s="1" t="str">
        <f t="shared" si="243"/>
        <v>ㄢ</v>
      </c>
      <c r="M3935" s="1" t="str">
        <f t="shared" si="244"/>
        <v/>
      </c>
      <c r="P3935" s="1" t="s">
        <v>20</v>
      </c>
      <c r="R3935" s="1" t="s">
        <v>6194</v>
      </c>
      <c r="V3935" s="1" t="s">
        <v>6202</v>
      </c>
      <c r="AR3935" s="1" t="str">
        <f t="shared" si="245"/>
        <v>| [ㄊㄢ](ㄊㄢ.md) | [貪](貪.md) |  | tān | [動]
1.愛財，不擇手段的求取財物。如：「貪贓枉法」、「貪貨棄命」、「貪汙」。
2.對各種事物不知滿足的追求。如：「貪玩」、「貪於飲食」。
3.片面的追求。如：「貪圖」、「貪便宜」。
[形]
占取不正當利益的。如：「貪官汙吏」。 |</v>
      </c>
    </row>
    <row r="3936" spans="1:44" hidden="1">
      <c r="A3936" s="1" t="s">
        <v>5003</v>
      </c>
      <c r="C3936" s="1">
        <v>1</v>
      </c>
      <c r="D3936" s="1" t="str">
        <f>"02531"</f>
        <v>02531</v>
      </c>
      <c r="E3936" s="1" t="s">
        <v>129</v>
      </c>
      <c r="F3936" s="1">
        <v>15</v>
      </c>
      <c r="G3936" s="1">
        <v>12</v>
      </c>
      <c r="H3936" s="1">
        <v>2</v>
      </c>
      <c r="I3936" s="1" t="s">
        <v>6193</v>
      </c>
      <c r="K3936" s="1" t="str">
        <f t="shared" si="242"/>
        <v>ㄊ</v>
      </c>
      <c r="L3936" s="1" t="str">
        <f t="shared" si="243"/>
        <v>ㄢ</v>
      </c>
      <c r="M3936" s="1" t="str">
        <f t="shared" si="244"/>
        <v/>
      </c>
      <c r="P3936" s="1" t="s">
        <v>110</v>
      </c>
      <c r="R3936" s="1" t="s">
        <v>6194</v>
      </c>
      <c r="V3936" s="1" t="s">
        <v>111</v>
      </c>
      <c r="W3936" s="1" t="s">
        <v>6203</v>
      </c>
      <c r="AR3936" s="1" t="str">
        <f t="shared" si="245"/>
        <v>| [ㄊㄢ](ㄊㄢ.md) | [潬](潬.md) |  | tān | (一)之又音。 |</v>
      </c>
    </row>
    <row r="3937" spans="1:44" hidden="1">
      <c r="A3937" s="1" t="s">
        <v>6204</v>
      </c>
      <c r="C3937" s="1">
        <v>1</v>
      </c>
      <c r="D3937" s="1" t="str">
        <f>"02532"</f>
        <v>02532</v>
      </c>
      <c r="E3937" s="1" t="s">
        <v>28</v>
      </c>
      <c r="F3937" s="1">
        <v>15</v>
      </c>
      <c r="G3937" s="1">
        <v>12</v>
      </c>
      <c r="H3937" s="1">
        <v>1</v>
      </c>
      <c r="I3937" s="1" t="s">
        <v>6193</v>
      </c>
      <c r="K3937" s="1" t="str">
        <f t="shared" si="242"/>
        <v>ㄊ</v>
      </c>
      <c r="L3937" s="1" t="str">
        <f t="shared" si="243"/>
        <v>ㄢ</v>
      </c>
      <c r="M3937" s="1" t="str">
        <f t="shared" si="244"/>
        <v/>
      </c>
      <c r="P3937" s="1" t="s">
        <v>20</v>
      </c>
      <c r="R3937" s="1" t="s">
        <v>6194</v>
      </c>
      <c r="V3937" s="1" t="s">
        <v>6205</v>
      </c>
      <c r="W3937" s="1" t="s">
        <v>6206</v>
      </c>
      <c r="AR3937" s="1" t="str">
        <f t="shared" si="245"/>
        <v>| [ㄊㄢ](ㄊㄢ.md) | [嘽](嘽.md) |  | tān | 參見「嘽嘽」、「嘽緩」等條。 |</v>
      </c>
    </row>
    <row r="3938" spans="1:44" hidden="1">
      <c r="A3938" s="1" t="s">
        <v>6207</v>
      </c>
      <c r="C3938" s="1">
        <v>1</v>
      </c>
      <c r="D3938" s="1" t="str">
        <f>"02533"</f>
        <v>02533</v>
      </c>
      <c r="E3938" s="1" t="s">
        <v>129</v>
      </c>
      <c r="F3938" s="1">
        <v>22</v>
      </c>
      <c r="G3938" s="1">
        <v>19</v>
      </c>
      <c r="H3938" s="1">
        <v>0</v>
      </c>
      <c r="I3938" s="1" t="s">
        <v>6193</v>
      </c>
      <c r="K3938" s="1" t="str">
        <f t="shared" si="242"/>
        <v>ㄊ</v>
      </c>
      <c r="L3938" s="1" t="str">
        <f t="shared" si="243"/>
        <v>ㄢ</v>
      </c>
      <c r="M3938" s="1" t="str">
        <f t="shared" si="244"/>
        <v/>
      </c>
      <c r="P3938" s="1" t="s">
        <v>20</v>
      </c>
      <c r="R3938" s="1" t="s">
        <v>6194</v>
      </c>
      <c r="V3938" s="1" t="s">
        <v>6208</v>
      </c>
      <c r="AR3938" s="1" t="str">
        <f t="shared" si="245"/>
        <v>| [ㄊㄢ](ㄊㄢ.md) | [灘](灘.md) |  | tān | [名]
1.指江、河、湖、海等水淺時露出，水深時淹沒的淤積平地。如：「海灘」、「沙灘」。唐．白居易〈遊悟真寺詩〉：「手拄青竹杖，足踏白石灘。」
2.江河中水淺石多而水流湍急的地方。北魏．酈道元《水經注．江水注》：「峽中有瞿塘、黃龕二灘，夏水迴復，沿泝所忌。」唐．崔道融〈溪夜〉詩：「漁人拋得釣筒盡，卻放輕舟下急灘。」
3.量詞。計算擴散成片的糊狀物或液體的單位。如：「一灘血」、「一灘爛泥」。 |</v>
      </c>
    </row>
    <row r="3939" spans="1:44" hidden="1">
      <c r="A3939" s="1" t="s">
        <v>6209</v>
      </c>
      <c r="C3939" s="1">
        <v>1</v>
      </c>
      <c r="D3939" s="1" t="str">
        <f>"02534"</f>
        <v>02534</v>
      </c>
      <c r="E3939" s="1" t="s">
        <v>24</v>
      </c>
      <c r="F3939" s="1">
        <v>22</v>
      </c>
      <c r="G3939" s="1">
        <v>19</v>
      </c>
      <c r="H3939" s="1">
        <v>0</v>
      </c>
      <c r="I3939" s="1" t="s">
        <v>6193</v>
      </c>
      <c r="K3939" s="1" t="str">
        <f t="shared" si="242"/>
        <v>ㄊ</v>
      </c>
      <c r="L3939" s="1" t="str">
        <f t="shared" si="243"/>
        <v>ㄢ</v>
      </c>
      <c r="M3939" s="1" t="str">
        <f t="shared" si="244"/>
        <v/>
      </c>
      <c r="P3939" s="1" t="s">
        <v>20</v>
      </c>
      <c r="R3939" s="1" t="s">
        <v>6194</v>
      </c>
      <c r="V3939" s="1" t="s">
        <v>6210</v>
      </c>
      <c r="AR3939" s="1" t="str">
        <f t="shared" si="245"/>
        <v>| [ㄊㄢ](ㄊㄢ.md) | [攤](攤.md) |  | tān | [動]
1.鋪開、擺開。《水滸傳》第三回：「地上攤著十數個膏藥。」
2.公開而無所隱瞞。如：「讓我們把話攤開來說。」
3.一種烹飪方法。將糊狀物在鍋中鋪平成薄片狀進行煎烤。如：「攤春捲皮」、「攤煎餅」。
4.分擔、分配。如：「攤錢」、「均攤任務」。
5.遇到、碰上。多指不如意的事情。如：「攤到這麻煩，可真受不了！」、「算你家吉星高照，差點沒攤了人命。」
[名]
1.設在路旁、夜市等處，隨地陳列貨物零售的地方。如：「麵攤」、「水果攤」、「小吃攤」。《老殘遊記》第一二回：「兩邊擺地攤，售賣農家器具。」
2.量詞。(1)表示概量。猶堆。如：「一攤泥」、「一攤肉」、「一攤人潮」。(2)表示一個攤位。如：「在他的攤子旁邊是一攤賣綠豆湯的，有時比他早到，有時比他晚來。」 |</v>
      </c>
    </row>
    <row r="3940" spans="1:44" hidden="1">
      <c r="A3940" s="1" t="s">
        <v>6211</v>
      </c>
      <c r="C3940" s="1">
        <v>1</v>
      </c>
      <c r="D3940" s="1" t="str">
        <f>"02535"</f>
        <v>02535</v>
      </c>
      <c r="E3940" s="1" t="s">
        <v>40</v>
      </c>
      <c r="F3940" s="1">
        <v>24</v>
      </c>
      <c r="G3940" s="1">
        <v>19</v>
      </c>
      <c r="H3940" s="1">
        <v>0</v>
      </c>
      <c r="I3940" s="1" t="s">
        <v>6193</v>
      </c>
      <c r="K3940" s="1" t="str">
        <f t="shared" si="242"/>
        <v>ㄊ</v>
      </c>
      <c r="L3940" s="1" t="str">
        <f t="shared" si="243"/>
        <v>ㄢ</v>
      </c>
      <c r="M3940" s="1" t="str">
        <f t="shared" si="244"/>
        <v/>
      </c>
      <c r="P3940" s="1" t="s">
        <v>20</v>
      </c>
      <c r="R3940" s="1" t="s">
        <v>6194</v>
      </c>
      <c r="V3940" s="1" t="s">
        <v>6212</v>
      </c>
      <c r="AR3940" s="1" t="str">
        <f t="shared" si="245"/>
        <v>| [ㄊㄢ](ㄊㄢ.md) | [癱](癱.md) |  | tān | [動]
1.肢體發生麻痺現象。如：「自從中風以來，他左邊的身子整個都癱了。」
2.躺坐。如：「走了半天的路，一回來，他整個人就癱在沙發上了。」
[形]
極度疲倦，無法動彈。如：「我已經癱了，別再叫我做事了。」
[名]
參見「癱瘓」條。 |</v>
      </c>
    </row>
    <row r="3941" spans="1:44" hidden="1">
      <c r="A3941" s="1" t="s">
        <v>6307</v>
      </c>
      <c r="C3941" s="1">
        <v>1</v>
      </c>
      <c r="D3941" s="1" t="str">
        <f>"02578"</f>
        <v>02578</v>
      </c>
      <c r="E3941" s="1" t="s">
        <v>129</v>
      </c>
      <c r="F3941" s="1">
        <v>12</v>
      </c>
      <c r="G3941" s="1">
        <v>9</v>
      </c>
      <c r="H3941" s="1">
        <v>1</v>
      </c>
      <c r="I3941" s="1" t="s">
        <v>6308</v>
      </c>
      <c r="K3941" s="1" t="str">
        <f t="shared" si="242"/>
        <v>ㄊ</v>
      </c>
      <c r="L3941" s="1" t="str">
        <f t="shared" si="243"/>
        <v>ㄤ</v>
      </c>
      <c r="M3941" s="1" t="str">
        <f t="shared" si="244"/>
        <v/>
      </c>
      <c r="P3941" s="1" t="s">
        <v>20</v>
      </c>
      <c r="R3941" s="1" t="s">
        <v>6309</v>
      </c>
      <c r="V3941" s="1" t="s">
        <v>6310</v>
      </c>
      <c r="W3941" s="1" t="s">
        <v>6311</v>
      </c>
      <c r="AR3941" s="1" t="str">
        <f t="shared" si="245"/>
        <v>| [ㄊㄤ](ㄊㄤ.md) | [湯](湯.md) |  | tāng | [名]_x000D_
1.熱水、沸水。如：「揚湯止沸」、「赴湯蹈火」。《論語．季氏》：「孔子曰：『見善如不及，見不善如探湯。』」《水滸傳》第二回：「莊客點上燈火，一面提湯來洗了腳。」_x000D_
2.食物烹煮後所得的汁液。如：「雞湯」、「高湯」、「紅燒牛肉的湯拿來拌飯，又香又好吃。」_x000D_
3.具有多量汁水的菜餚。如：「蛋花湯」、「青菜豆腐湯」。_x000D_
4.藥材加水煎熬成的汁液。如：「湯劑」、「湯藥」。《史記．卷一〇五．扁鵲倉公傳》：「齊中大夫病齲齒，臣意灸其左大陽明脈，即為苦參湯，日嗽三升，出入五六日，病已。」_x000D_
5.古代一種置人於沸水中烹死的刑罰。《漢書．卷五四．蘇建傳》：「今得殺身自效，雖蒙斧鉞湯鑊，誠甘樂之。」_x000D_
6.溫泉。如：「溫湯」、「錢湯」。_x000D_
7.人名。商朝的開國君主。也稱為「商湯」、「成湯」。_x000D_
8.姓。如明代有湯顯祖。_x000D_
[動]_x000D_
1.用熱水燙熟或溫熱食物。《山海經．西山經》：「湯其酒百樽，嬰以百珪百璧。」_x000D_
2.接觸、碰觸。《董西廂》卷五：「三五日來不湯個水米，教俺難戀世。」元．石君寶《秋胡戲妻》第三折：「你湯我一湯，拷了你那腰截骨。」 |</v>
      </c>
    </row>
    <row r="3942" spans="1:44" hidden="1">
      <c r="A3942" s="1" t="s">
        <v>6312</v>
      </c>
      <c r="C3942" s="1">
        <v>1</v>
      </c>
      <c r="D3942" s="1" t="str">
        <f>"02579"</f>
        <v>02579</v>
      </c>
      <c r="E3942" s="1" t="s">
        <v>55</v>
      </c>
      <c r="F3942" s="1">
        <v>20</v>
      </c>
      <c r="G3942" s="1">
        <v>12</v>
      </c>
      <c r="H3942" s="1">
        <v>0</v>
      </c>
      <c r="I3942" s="1" t="s">
        <v>6308</v>
      </c>
      <c r="K3942" s="1" t="str">
        <f t="shared" si="242"/>
        <v>ㄊ</v>
      </c>
      <c r="L3942" s="1" t="str">
        <f t="shared" si="243"/>
        <v>ㄤ</v>
      </c>
      <c r="M3942" s="1" t="str">
        <f t="shared" si="244"/>
        <v/>
      </c>
      <c r="P3942" s="1" t="s">
        <v>20</v>
      </c>
      <c r="R3942" s="1" t="s">
        <v>6309</v>
      </c>
      <c r="V3942" s="1" t="s">
        <v>6313</v>
      </c>
      <c r="AR3942" s="1" t="str">
        <f t="shared" si="245"/>
        <v>| [ㄊㄤ](ㄊㄤ.md) | [鐋](鐋.md) |  | tāng | 參見「鐋鑼」條。 |</v>
      </c>
    </row>
    <row r="3943" spans="1:44" hidden="1">
      <c r="A3943" s="1" t="s">
        <v>6314</v>
      </c>
      <c r="C3943" s="1">
        <v>1</v>
      </c>
      <c r="D3943" s="1" t="str">
        <f>"02580"</f>
        <v>02580</v>
      </c>
      <c r="E3943" s="1" t="s">
        <v>77</v>
      </c>
      <c r="F3943" s="1">
        <v>18</v>
      </c>
      <c r="G3943" s="1">
        <v>11</v>
      </c>
      <c r="H3943" s="1">
        <v>0</v>
      </c>
      <c r="I3943" s="1" t="s">
        <v>6308</v>
      </c>
      <c r="K3943" s="1" t="str">
        <f t="shared" si="242"/>
        <v>ㄊ</v>
      </c>
      <c r="L3943" s="1" t="str">
        <f t="shared" si="243"/>
        <v>ㄤ</v>
      </c>
      <c r="M3943" s="1" t="str">
        <f t="shared" si="244"/>
        <v/>
      </c>
      <c r="P3943" s="1" t="s">
        <v>20</v>
      </c>
      <c r="R3943" s="1" t="s">
        <v>6309</v>
      </c>
      <c r="V3943" s="1" t="s">
        <v>6315</v>
      </c>
      <c r="AR3943" s="1" t="str">
        <f t="shared" si="245"/>
        <v>| [ㄊㄤ](ㄊㄤ.md) | [蹚](蹚.md) |  | tāng | [動]
1.在有水草或泥巴的地面行走。如：「蹚渾水」、「你最好繞道而行，別蹚著水過來！」
2.踐踏。如：「這些高麗草坪全給牛蹚壞了。」 |</v>
      </c>
    </row>
    <row r="3944" spans="1:44" hidden="1">
      <c r="A3944" s="1" t="s">
        <v>6316</v>
      </c>
      <c r="C3944" s="1">
        <v>1</v>
      </c>
      <c r="D3944" s="1" t="str">
        <f>"02581"</f>
        <v>02581</v>
      </c>
      <c r="E3944" s="1" t="s">
        <v>55</v>
      </c>
      <c r="F3944" s="1">
        <v>19</v>
      </c>
      <c r="G3944" s="1">
        <v>11</v>
      </c>
      <c r="H3944" s="1">
        <v>1</v>
      </c>
      <c r="I3944" s="1" t="s">
        <v>6308</v>
      </c>
      <c r="K3944" s="1" t="str">
        <f t="shared" ref="K3944:K4007" si="246">LEFT(I3944, 1)</f>
        <v>ㄊ</v>
      </c>
      <c r="L3944" s="1" t="str">
        <f t="shared" ref="L3944:L4007" si="247">MID(I3944, 2, 1)</f>
        <v>ㄤ</v>
      </c>
      <c r="M3944" s="1" t="str">
        <f t="shared" si="244"/>
        <v/>
      </c>
      <c r="P3944" s="1" t="s">
        <v>20</v>
      </c>
      <c r="R3944" s="1" t="s">
        <v>6309</v>
      </c>
      <c r="V3944" s="1" t="s">
        <v>6317</v>
      </c>
      <c r="W3944" s="1" t="s">
        <v>6318</v>
      </c>
      <c r="AR3944" s="1" t="str">
        <f t="shared" si="245"/>
        <v>| [ㄊㄤ](ㄊㄤ.md) | [鏜](鏜.md) |  | tāng | [名]_x000D_
樂器名，打擊樂器。即小鏜鑼。一種形似小銅盤的樂器。俗稱為「鏜兒」。_x000D_
[擬]_x000D_
模擬鐘鼓聲或鑼聲。《詩經．邶風．擊鼓》：「擊鼓其鏜，踴躍用兵。」 |</v>
      </c>
    </row>
    <row r="3945" spans="1:44" hidden="1">
      <c r="A3945" s="1" t="s">
        <v>6409</v>
      </c>
      <c r="C3945" s="1">
        <v>1</v>
      </c>
      <c r="D3945" s="1" t="str">
        <f>"02621"</f>
        <v>02621</v>
      </c>
      <c r="E3945" s="1" t="s">
        <v>185</v>
      </c>
      <c r="F3945" s="1">
        <v>10</v>
      </c>
      <c r="G3945" s="1">
        <v>8</v>
      </c>
      <c r="H3945" s="1">
        <v>0</v>
      </c>
      <c r="I3945" s="1" t="s">
        <v>6410</v>
      </c>
      <c r="K3945" s="1" t="str">
        <f t="shared" si="246"/>
        <v>ㄊ</v>
      </c>
      <c r="L3945" s="1" t="str">
        <f t="shared" si="247"/>
        <v>ㄧ</v>
      </c>
      <c r="M3945" s="1" t="str">
        <f t="shared" si="244"/>
        <v/>
      </c>
      <c r="P3945" s="1" t="s">
        <v>20</v>
      </c>
      <c r="R3945" s="1" t="s">
        <v>6411</v>
      </c>
      <c r="V3945" s="1" t="s">
        <v>6412</v>
      </c>
      <c r="AR3945" s="1" t="str">
        <f t="shared" si="245"/>
        <v>| [ㄊㄧ](ㄊㄧ.md) | [剔](剔.md) |  | tī | [動]
1.將骨頭上的肉刮除下來。如：「請把骨肉剔淨好熬湯。」
2.從縫隙中往外挑。如：「剔牙」。
3.挑出不合標準的。如：「剔除惡習」、「先把筆試成績較差的人剔出來。」 |</v>
      </c>
    </row>
    <row r="3946" spans="1:44" hidden="1">
      <c r="A3946" s="1" t="s">
        <v>6413</v>
      </c>
      <c r="C3946" s="1">
        <v>1</v>
      </c>
      <c r="D3946" s="1" t="str">
        <f>"02622"</f>
        <v>02622</v>
      </c>
      <c r="E3946" s="1" t="s">
        <v>77</v>
      </c>
      <c r="F3946" s="1">
        <v>15</v>
      </c>
      <c r="G3946" s="1">
        <v>8</v>
      </c>
      <c r="H3946" s="1">
        <v>0</v>
      </c>
      <c r="I3946" s="1" t="s">
        <v>6410</v>
      </c>
      <c r="K3946" s="1" t="str">
        <f t="shared" si="246"/>
        <v>ㄊ</v>
      </c>
      <c r="L3946" s="1" t="str">
        <f t="shared" si="247"/>
        <v>ㄧ</v>
      </c>
      <c r="M3946" s="1" t="str">
        <f t="shared" si="244"/>
        <v/>
      </c>
      <c r="P3946" s="1" t="s">
        <v>20</v>
      </c>
      <c r="R3946" s="1" t="s">
        <v>6411</v>
      </c>
      <c r="V3946" s="1" t="s">
        <v>6414</v>
      </c>
      <c r="AR3946" s="1" t="str">
        <f t="shared" si="245"/>
        <v>| [ㄊㄧ](ㄊㄧ.md) | [踢](踢.md) |  | tī | [動]
用腳觸擊。如：「踢皮球」、「踢他一腳。」 |</v>
      </c>
    </row>
    <row r="3947" spans="1:44" hidden="1">
      <c r="A3947" s="1" t="s">
        <v>6415</v>
      </c>
      <c r="C3947" s="1">
        <v>1</v>
      </c>
      <c r="D3947" s="1" t="str">
        <f>"02623"</f>
        <v>02623</v>
      </c>
      <c r="E3947" s="1" t="s">
        <v>139</v>
      </c>
      <c r="F3947" s="1">
        <v>11</v>
      </c>
      <c r="G3947" s="1">
        <v>7</v>
      </c>
      <c r="H3947" s="1">
        <v>0</v>
      </c>
      <c r="I3947" s="1" t="s">
        <v>6410</v>
      </c>
      <c r="K3947" s="1" t="str">
        <f t="shared" si="246"/>
        <v>ㄊ</v>
      </c>
      <c r="L3947" s="1" t="str">
        <f t="shared" si="247"/>
        <v>ㄧ</v>
      </c>
      <c r="M3947" s="1" t="str">
        <f t="shared" si="244"/>
        <v/>
      </c>
      <c r="P3947" s="1" t="s">
        <v>20</v>
      </c>
      <c r="R3947" s="1" t="s">
        <v>6411</v>
      </c>
      <c r="V3947" s="1" t="s">
        <v>6416</v>
      </c>
      <c r="AR3947" s="1" t="str">
        <f t="shared" si="245"/>
        <v>| [ㄊㄧ](ㄊㄧ.md) | [梯](梯.md) |  | tī | [名]
木階，登高的器具或設備。如：「樓梯」、「竹梯」、「電梯」、「雲梯」。
[形]
形狀像樓梯一樣。如：「梯田」。
[動]
爬。唐．元稹《鶯鶯傳》：「既望之夕，張因梯甚樹而踰焉。」 |</v>
      </c>
    </row>
    <row r="3948" spans="1:44" hidden="1">
      <c r="A3948" s="1" t="s">
        <v>5292</v>
      </c>
      <c r="C3948" s="1">
        <v>1</v>
      </c>
      <c r="D3948" s="1" t="str">
        <f>"02759"</f>
        <v>02759</v>
      </c>
      <c r="E3948" s="1" t="s">
        <v>5293</v>
      </c>
      <c r="F3948" s="1">
        <v>5</v>
      </c>
      <c r="G3948" s="1">
        <v>3</v>
      </c>
      <c r="H3948" s="1">
        <v>3</v>
      </c>
      <c r="I3948" s="1" t="s">
        <v>6732</v>
      </c>
      <c r="K3948" s="1" t="str">
        <f t="shared" si="246"/>
        <v>ㄊ</v>
      </c>
      <c r="L3948" s="1" t="str">
        <f t="shared" si="247"/>
        <v>ㄨ</v>
      </c>
      <c r="M3948" s="1" t="str">
        <f t="shared" si="244"/>
        <v/>
      </c>
      <c r="P3948" s="1" t="s">
        <v>110</v>
      </c>
      <c r="R3948" s="1" t="s">
        <v>6733</v>
      </c>
      <c r="V3948" s="1" t="s">
        <v>111</v>
      </c>
      <c r="W3948" s="1" t="s">
        <v>6734</v>
      </c>
      <c r="AR3948" s="1" t="str">
        <f t="shared" si="245"/>
        <v>| [ㄊㄨ](ㄊㄨ.md) | [凸](凸.md) |  | tū | (一)之又音。 |</v>
      </c>
    </row>
    <row r="3949" spans="1:44" hidden="1">
      <c r="A3949" s="1" t="s">
        <v>6735</v>
      </c>
      <c r="C3949" s="1">
        <v>1</v>
      </c>
      <c r="D3949" s="1" t="str">
        <f>"02760"</f>
        <v>02760</v>
      </c>
      <c r="E3949" s="1" t="s">
        <v>429</v>
      </c>
      <c r="F3949" s="1">
        <v>7</v>
      </c>
      <c r="G3949" s="1">
        <v>2</v>
      </c>
      <c r="H3949" s="1">
        <v>0</v>
      </c>
      <c r="I3949" s="1" t="s">
        <v>6732</v>
      </c>
      <c r="K3949" s="1" t="str">
        <f t="shared" si="246"/>
        <v>ㄊ</v>
      </c>
      <c r="L3949" s="1" t="str">
        <f t="shared" si="247"/>
        <v>ㄨ</v>
      </c>
      <c r="M3949" s="1" t="str">
        <f t="shared" si="244"/>
        <v/>
      </c>
      <c r="P3949" s="1" t="s">
        <v>20</v>
      </c>
      <c r="R3949" s="1" t="s">
        <v>6733</v>
      </c>
      <c r="V3949" s="1" t="s">
        <v>6736</v>
      </c>
      <c r="AR3949" s="1" t="str">
        <f t="shared" si="245"/>
        <v>| [ㄊㄨ](ㄊㄨ.md) | [禿](禿.md) |  | tū | [形]
1.形容物體沒有毛、髮、草木、枝葉等。如：「禿子」、「禿頭」、「禿山」、「禿樹」。
2.物體尖端鈍粗、不尖銳。如：「禿針」、「禿筆」。
3.首尾不完整。如：「禿頭文章」、「這篇文章結尾有點禿了。」 |</v>
      </c>
    </row>
    <row r="3950" spans="1:44" hidden="1">
      <c r="A3950" s="1" t="s">
        <v>6737</v>
      </c>
      <c r="C3950" s="1">
        <v>1</v>
      </c>
      <c r="D3950" s="1" t="str">
        <f>"02761"</f>
        <v>02761</v>
      </c>
      <c r="E3950" s="1" t="s">
        <v>272</v>
      </c>
      <c r="F3950" s="1">
        <v>18</v>
      </c>
      <c r="G3950" s="1">
        <v>7</v>
      </c>
      <c r="H3950" s="1">
        <v>0</v>
      </c>
      <c r="I3950" s="1" t="s">
        <v>6732</v>
      </c>
      <c r="K3950" s="1" t="str">
        <f t="shared" si="246"/>
        <v>ㄊ</v>
      </c>
      <c r="L3950" s="1" t="str">
        <f t="shared" si="247"/>
        <v>ㄨ</v>
      </c>
      <c r="M3950" s="1" t="str">
        <f t="shared" si="244"/>
        <v/>
      </c>
      <c r="P3950" s="1" t="s">
        <v>20</v>
      </c>
      <c r="R3950" s="1" t="s">
        <v>6733</v>
      </c>
      <c r="V3950" s="1" t="s">
        <v>6738</v>
      </c>
      <c r="AR3950" s="1" t="str">
        <f t="shared" si="245"/>
        <v>| [ㄊㄨ](ㄊㄨ.md) | [鵚](鵚.md) |  | tū | 參見「鵚鶖」條。 |</v>
      </c>
    </row>
    <row r="3951" spans="1:44" hidden="1">
      <c r="A3951" s="1" t="s">
        <v>6739</v>
      </c>
      <c r="C3951" s="1">
        <v>1</v>
      </c>
      <c r="D3951" s="1" t="str">
        <f>"02762"</f>
        <v>02762</v>
      </c>
      <c r="E3951" s="1" t="s">
        <v>447</v>
      </c>
      <c r="F3951" s="1">
        <v>14</v>
      </c>
      <c r="G3951" s="1">
        <v>11</v>
      </c>
      <c r="H3951" s="1">
        <v>0</v>
      </c>
      <c r="I3951" s="1" t="s">
        <v>6732</v>
      </c>
      <c r="K3951" s="1" t="str">
        <f t="shared" si="246"/>
        <v>ㄊ</v>
      </c>
      <c r="L3951" s="1" t="str">
        <f t="shared" si="247"/>
        <v>ㄨ</v>
      </c>
      <c r="M3951" s="1" t="str">
        <f t="shared" si="244"/>
        <v/>
      </c>
      <c r="P3951" s="1" t="s">
        <v>20</v>
      </c>
      <c r="R3951" s="1" t="s">
        <v>6733</v>
      </c>
      <c r="V3951" s="1" t="s">
        <v>6740</v>
      </c>
      <c r="AR3951" s="1" t="str">
        <f t="shared" si="245"/>
        <v>| [ㄊㄨ](ㄊㄨ.md) | [廜](廜.md) |  | tū | [名]
廜㢝：(1)用草築成的房子。元．袁桷〈次韻繼學途中竹枝詞〉一〇首之四：「土屋苫草成廜㢝，前床翁媼後小姑。」(2)一種酒。宋．陸游〈立春前一日作〉詩：「重溫壽酒廜㢝釅，探借春盤餅餌香。」 |</v>
      </c>
    </row>
    <row r="3952" spans="1:44" hidden="1">
      <c r="A3952" s="1" t="s">
        <v>6741</v>
      </c>
      <c r="C3952" s="1">
        <v>1</v>
      </c>
      <c r="D3952" s="1" t="str">
        <f>"02763"</f>
        <v>02763</v>
      </c>
      <c r="E3952" s="1" t="s">
        <v>190</v>
      </c>
      <c r="F3952" s="1">
        <v>14</v>
      </c>
      <c r="G3952" s="1">
        <v>11</v>
      </c>
      <c r="H3952" s="1">
        <v>0</v>
      </c>
      <c r="I3952" s="1" t="s">
        <v>6732</v>
      </c>
      <c r="K3952" s="1" t="str">
        <f t="shared" si="246"/>
        <v>ㄊ</v>
      </c>
      <c r="L3952" s="1" t="str">
        <f t="shared" si="247"/>
        <v>ㄨ</v>
      </c>
      <c r="M3952" s="1" t="str">
        <f t="shared" si="244"/>
        <v/>
      </c>
      <c r="P3952" s="1" t="s">
        <v>20</v>
      </c>
      <c r="R3952" s="1" t="s">
        <v>6733</v>
      </c>
      <c r="V3952" s="1" t="s">
        <v>6742</v>
      </c>
      <c r="AR3952" s="1" t="str">
        <f t="shared" si="245"/>
        <v>| [ㄊㄨ](ㄊㄨ.md) | [嶀](嶀.md) |  | tū | [名]
山名。位在浙江省紹興市轄嵊州市北。清．顧祖禹《讀史方輿紀要．卷九二．浙江四．紹興府》：「嶀山在（嵊）縣北四十里。《輿地志》：『……嶀、嵊二山參差相對，為絕勝處。』」 |</v>
      </c>
    </row>
    <row r="3953" spans="1:44" hidden="1">
      <c r="A3953" s="1" t="s">
        <v>5910</v>
      </c>
      <c r="C3953" s="1">
        <v>1</v>
      </c>
      <c r="D3953" s="1" t="str">
        <f>"02794"</f>
        <v>02794</v>
      </c>
      <c r="E3953" s="1" t="s">
        <v>624</v>
      </c>
      <c r="F3953" s="1">
        <v>5</v>
      </c>
      <c r="G3953" s="1">
        <v>2</v>
      </c>
      <c r="H3953" s="1">
        <v>2</v>
      </c>
      <c r="I3953" s="1" t="s">
        <v>6813</v>
      </c>
      <c r="K3953" s="1" t="str">
        <f t="shared" si="246"/>
        <v>ㄊ</v>
      </c>
      <c r="L3953" s="1" t="str">
        <f t="shared" si="247"/>
        <v>ㄨ</v>
      </c>
      <c r="M3953" s="1" t="str">
        <f t="shared" si="244"/>
        <v>ㄛ</v>
      </c>
      <c r="P3953" s="1" t="s">
        <v>110</v>
      </c>
      <c r="R3953" s="1" t="s">
        <v>6814</v>
      </c>
      <c r="V3953" s="1" t="s">
        <v>111</v>
      </c>
      <c r="W3953" s="1" t="s">
        <v>6815</v>
      </c>
      <c r="AR3953" s="1" t="str">
        <f t="shared" si="245"/>
        <v>| [ㄊㄨㄛ](ㄊㄨㄛ.md) | [它](它.md) |  | tuō | (一)之又音。 |</v>
      </c>
    </row>
    <row r="3954" spans="1:44" hidden="1">
      <c r="A3954" s="1" t="s">
        <v>5915</v>
      </c>
      <c r="C3954" s="1">
        <v>1</v>
      </c>
      <c r="D3954" s="1" t="str">
        <f>"02795"</f>
        <v>02795</v>
      </c>
      <c r="E3954" s="1" t="s">
        <v>114</v>
      </c>
      <c r="F3954" s="1">
        <v>7</v>
      </c>
      <c r="G3954" s="1">
        <v>5</v>
      </c>
      <c r="H3954" s="1">
        <v>1</v>
      </c>
      <c r="I3954" s="1" t="s">
        <v>6813</v>
      </c>
      <c r="K3954" s="1" t="str">
        <f t="shared" si="246"/>
        <v>ㄊ</v>
      </c>
      <c r="L3954" s="1" t="str">
        <f t="shared" si="247"/>
        <v>ㄨ</v>
      </c>
      <c r="M3954" s="1" t="str">
        <f t="shared" si="244"/>
        <v>ㄛ</v>
      </c>
      <c r="P3954" s="1" t="s">
        <v>20</v>
      </c>
      <c r="R3954" s="1" t="s">
        <v>6814</v>
      </c>
      <c r="V3954" s="1" t="s">
        <v>6816</v>
      </c>
      <c r="W3954" s="1" t="s">
        <v>6817</v>
      </c>
      <c r="AR3954" s="1" t="str">
        <f t="shared" si="245"/>
        <v>| [ㄊㄨㄛ](ㄊㄨㄛ.md) | [佗](佗.md) |  | tuō | [代]
同「它」。《文選．曹丕．燕歌行》：「慊慊思歸戀故鄉，何為淹留寄佗方？」 |</v>
      </c>
    </row>
    <row r="3955" spans="1:44" hidden="1">
      <c r="A3955" s="1" t="s">
        <v>5920</v>
      </c>
      <c r="C3955" s="1">
        <v>1</v>
      </c>
      <c r="D3955" s="1" t="str">
        <f>"02796"</f>
        <v>02796</v>
      </c>
      <c r="E3955" s="1" t="s">
        <v>114</v>
      </c>
      <c r="F3955" s="1">
        <v>5</v>
      </c>
      <c r="G3955" s="1">
        <v>3</v>
      </c>
      <c r="H3955" s="1">
        <v>2</v>
      </c>
      <c r="I3955" s="1" t="s">
        <v>6813</v>
      </c>
      <c r="K3955" s="1" t="str">
        <f t="shared" si="246"/>
        <v>ㄊ</v>
      </c>
      <c r="L3955" s="1" t="str">
        <f t="shared" si="247"/>
        <v>ㄨ</v>
      </c>
      <c r="M3955" s="1" t="str">
        <f t="shared" si="244"/>
        <v>ㄛ</v>
      </c>
      <c r="P3955" s="1" t="s">
        <v>110</v>
      </c>
      <c r="R3955" s="1" t="s">
        <v>6814</v>
      </c>
      <c r="V3955" s="1" t="s">
        <v>111</v>
      </c>
      <c r="W3955" s="1" t="s">
        <v>6818</v>
      </c>
      <c r="AR3955" s="1" t="str">
        <f t="shared" si="245"/>
        <v>| [ㄊㄨㄛ](ㄊㄨㄛ.md) | [他](他.md) |  | tuō | (一)之又音。 |</v>
      </c>
    </row>
    <row r="3956" spans="1:44" hidden="1">
      <c r="A3956" s="1" t="s">
        <v>5925</v>
      </c>
      <c r="C3956" s="1">
        <v>1</v>
      </c>
      <c r="D3956" s="1" t="str">
        <f>"02797"</f>
        <v>02797</v>
      </c>
      <c r="E3956" s="1" t="s">
        <v>518</v>
      </c>
      <c r="F3956" s="1">
        <v>7</v>
      </c>
      <c r="G3956" s="1">
        <v>3</v>
      </c>
      <c r="H3956" s="1">
        <v>2</v>
      </c>
      <c r="I3956" s="1" t="s">
        <v>6813</v>
      </c>
      <c r="K3956" s="1" t="str">
        <f t="shared" si="246"/>
        <v>ㄊ</v>
      </c>
      <c r="L3956" s="1" t="str">
        <f t="shared" si="247"/>
        <v>ㄨ</v>
      </c>
      <c r="M3956" s="1" t="str">
        <f t="shared" si="244"/>
        <v>ㄛ</v>
      </c>
      <c r="P3956" s="1" t="s">
        <v>110</v>
      </c>
      <c r="R3956" s="1" t="s">
        <v>6814</v>
      </c>
      <c r="V3956" s="1" t="s">
        <v>111</v>
      </c>
      <c r="W3956" s="1" t="s">
        <v>6819</v>
      </c>
      <c r="AR3956" s="1" t="str">
        <f t="shared" si="245"/>
        <v>| [ㄊㄨㄛ](ㄊㄨㄛ.md) | [牠](牠.md) |  | tuō | (一)之又音。 |</v>
      </c>
    </row>
    <row r="3957" spans="1:44" hidden="1">
      <c r="A3957" s="1" t="s">
        <v>6820</v>
      </c>
      <c r="C3957" s="1">
        <v>1</v>
      </c>
      <c r="D3957" s="1" t="str">
        <f>"02798"</f>
        <v>02798</v>
      </c>
      <c r="E3957" s="1" t="s">
        <v>24</v>
      </c>
      <c r="F3957" s="1">
        <v>8</v>
      </c>
      <c r="G3957" s="1">
        <v>5</v>
      </c>
      <c r="H3957" s="1">
        <v>0</v>
      </c>
      <c r="I3957" s="1" t="s">
        <v>6813</v>
      </c>
      <c r="K3957" s="1" t="str">
        <f t="shared" si="246"/>
        <v>ㄊ</v>
      </c>
      <c r="L3957" s="1" t="str">
        <f t="shared" si="247"/>
        <v>ㄨ</v>
      </c>
      <c r="M3957" s="1" t="str">
        <f t="shared" si="244"/>
        <v>ㄛ</v>
      </c>
      <c r="P3957" s="1" t="s">
        <v>20</v>
      </c>
      <c r="R3957" s="1" t="s">
        <v>6814</v>
      </c>
      <c r="V3957" s="1" t="s">
        <v>6821</v>
      </c>
      <c r="AR3957" s="1" t="str">
        <f t="shared" si="245"/>
        <v>| [ㄊㄨㄛ](ㄊㄨㄛ.md) | [拖](拖.md) |  | tuō | [動]
1.牽拉。如：「拖拽」、「拖人下水」、「火車頭後面拖著十節車箱。」
2.垂著、搭著。如：「拖著兩條大辮子。」唐．溫庭筠〈張靜婉採蓮歌〉：「蘭膏墜髮紅玉春，燕釵拖頸拋盤雲。」
3.延宕。如：「拖延」、「拖時間」、「拖拖拉拉」。 |</v>
      </c>
    </row>
    <row r="3958" spans="1:44" hidden="1">
      <c r="A3958" s="1" t="s">
        <v>6822</v>
      </c>
      <c r="C3958" s="1">
        <v>1</v>
      </c>
      <c r="D3958" s="1" t="str">
        <f>"02799"</f>
        <v>02799</v>
      </c>
      <c r="E3958" s="1" t="s">
        <v>24</v>
      </c>
      <c r="F3958" s="1">
        <v>6</v>
      </c>
      <c r="G3958" s="1">
        <v>3</v>
      </c>
      <c r="H3958" s="1">
        <v>0</v>
      </c>
      <c r="I3958" s="1" t="s">
        <v>6813</v>
      </c>
      <c r="K3958" s="1" t="str">
        <f t="shared" si="246"/>
        <v>ㄊ</v>
      </c>
      <c r="L3958" s="1" t="str">
        <f t="shared" si="247"/>
        <v>ㄨ</v>
      </c>
      <c r="M3958" s="1" t="str">
        <f t="shared" si="244"/>
        <v>ㄛ</v>
      </c>
      <c r="P3958" s="1" t="s">
        <v>20</v>
      </c>
      <c r="R3958" s="1" t="s">
        <v>6814</v>
      </c>
      <c r="V3958" s="1" t="s">
        <v>6823</v>
      </c>
      <c r="AR3958" s="1" t="str">
        <f t="shared" si="245"/>
        <v>| [ㄊㄨㄛ](ㄊㄨㄛ.md) | [托](托.md) |  | tuō | [動]_x000D_
1.用手掌承舉。如：「托腮」、「托著茶盤」。《水滸傳》第二回：「沒多時，就廳上放開條桌子，莊客托出一桶盤，四樣菜蔬，一盤牛肉。」_x000D_
2.用手上下推舉。如：「排球一次你可托幾下？」_x000D_
3.襯、墊。如：「下面托一層毛毯。」_x000D_
4.陪襯。如：「襯托」、「烘雲托月」、「紅花雖好，也要有綠葉的烘托。」_x000D_
5.寄託。通「託」。如：「托兒所」。宋．辛棄疾〈瑞鶴仙．雁霜寒透幕〉詞：「瑤池舊約，鱗鴻更仗誰托？」_x000D_
6.借故推辭。通「託」。如：「推托」、「假托」。_x000D_
7.依靠。通「託」。如：「托福」。_x000D_
[名]_x000D_
承受東西的座子。如：「槍托」、「花托」、「茶托兒」。《水滸傳》第四回：「真長老與趙員外眾人茶罷，收了盞托。」_x000D_
[量]_x000D_
表示真空壓力的單位。一托等於一毫米汞柱高的壓力。 |</v>
      </c>
    </row>
    <row r="3959" spans="1:44" hidden="1">
      <c r="A3959" s="1" t="s">
        <v>6824</v>
      </c>
      <c r="C3959" s="1">
        <v>1</v>
      </c>
      <c r="D3959" s="1" t="str">
        <f>"02800"</f>
        <v>02800</v>
      </c>
      <c r="E3959" s="1" t="s">
        <v>114</v>
      </c>
      <c r="F3959" s="1">
        <v>8</v>
      </c>
      <c r="G3959" s="1">
        <v>6</v>
      </c>
      <c r="H3959" s="1">
        <v>0</v>
      </c>
      <c r="I3959" s="1" t="s">
        <v>6813</v>
      </c>
      <c r="K3959" s="1" t="str">
        <f t="shared" si="246"/>
        <v>ㄊ</v>
      </c>
      <c r="L3959" s="1" t="str">
        <f t="shared" si="247"/>
        <v>ㄨ</v>
      </c>
      <c r="M3959" s="1" t="str">
        <f t="shared" si="244"/>
        <v>ㄛ</v>
      </c>
      <c r="P3959" s="1" t="s">
        <v>20</v>
      </c>
      <c r="R3959" s="1" t="s">
        <v>6814</v>
      </c>
      <c r="V3959" s="1" t="s">
        <v>6825</v>
      </c>
      <c r="AR3959" s="1" t="str">
        <f t="shared" si="245"/>
        <v>| [ㄊㄨㄛ](ㄊㄨㄛ.md) | [侂](侂.md) |  | tuō | [動]
交託、寄託。同「託」。《說文解字．人部》：「侂，寄也。」清．段玉裁．注：「此與託音義皆同。」《玉篇．人部》：「侂，寄也。《論語》云：『可以侂六尺之孤。』」民國．章太炎《檢論．卷五．述圖》：「古之畫者侂於工師，今之畫者侂於名士。」 |</v>
      </c>
    </row>
    <row r="3960" spans="1:44" hidden="1">
      <c r="A3960" s="1" t="s">
        <v>6826</v>
      </c>
      <c r="C3960" s="1">
        <v>1</v>
      </c>
      <c r="D3960" s="1" t="str">
        <f>"02801"</f>
        <v>02801</v>
      </c>
      <c r="E3960" s="1" t="s">
        <v>331</v>
      </c>
      <c r="F3960" s="1">
        <v>10</v>
      </c>
      <c r="G3960" s="1">
        <v>3</v>
      </c>
      <c r="H3960" s="1">
        <v>0</v>
      </c>
      <c r="I3960" s="1" t="s">
        <v>6813</v>
      </c>
      <c r="K3960" s="1" t="str">
        <f t="shared" si="246"/>
        <v>ㄊ</v>
      </c>
      <c r="L3960" s="1" t="str">
        <f t="shared" si="247"/>
        <v>ㄨ</v>
      </c>
      <c r="M3960" s="1" t="str">
        <f t="shared" si="244"/>
        <v>ㄛ</v>
      </c>
      <c r="P3960" s="1" t="s">
        <v>20</v>
      </c>
      <c r="R3960" s="1" t="s">
        <v>6814</v>
      </c>
      <c r="V3960" s="1" t="s">
        <v>6827</v>
      </c>
      <c r="AR3960" s="1" t="str">
        <f t="shared" si="245"/>
        <v>| [ㄊㄨㄛ](ㄊㄨㄛ.md) | [託](託.md) |  | tuō | [動]
1.寄託。如：「託售」、「託兒所」。唐．杜甫〈大麥行〉：「安得如鳥有羽翅，託身白雲還故鄉。」
2.委任。如：「託付」、「委託」。《論語．泰伯》：「可以託六尺之孤，可以寄百里之命。」
3.請求、幫助。如：「請託」、「懇託」。《儒林外史》第四回：「三房裡曾託我說媒，我替他講西鄉裡封大戶家，好不有錢。」
4.借故推諉躲避。如：「推託」、「假託」。《後漢書．卷五三．姜肱傳》：「肱託以他辭，終不言盜。」
5.依賴。如：「託福」、「託庇」。《三國演義》第一〇六回：「臣託陛下洪福，必擒公孫淵以獻陛下。」 |</v>
      </c>
    </row>
    <row r="3961" spans="1:44" hidden="1">
      <c r="A3961" s="1" t="s">
        <v>6828</v>
      </c>
      <c r="C3961" s="1">
        <v>1</v>
      </c>
      <c r="D3961" s="1" t="str">
        <f>"02802"</f>
        <v>02802</v>
      </c>
      <c r="E3961" s="1" t="s">
        <v>193</v>
      </c>
      <c r="F3961" s="1">
        <v>11</v>
      </c>
      <c r="G3961" s="1">
        <v>3</v>
      </c>
      <c r="H3961" s="1">
        <v>0</v>
      </c>
      <c r="I3961" s="1" t="s">
        <v>6813</v>
      </c>
      <c r="K3961" s="1" t="str">
        <f t="shared" si="246"/>
        <v>ㄊ</v>
      </c>
      <c r="L3961" s="1" t="str">
        <f t="shared" si="247"/>
        <v>ㄨ</v>
      </c>
      <c r="M3961" s="1" t="str">
        <f t="shared" si="244"/>
        <v>ㄛ</v>
      </c>
      <c r="P3961" s="1" t="s">
        <v>20</v>
      </c>
      <c r="R3961" s="1" t="s">
        <v>6814</v>
      </c>
      <c r="V3961" s="1" t="s">
        <v>303</v>
      </c>
      <c r="AR3961" s="1" t="str">
        <f t="shared" si="245"/>
        <v>| [ㄊㄨㄛ](ㄊㄨㄛ.md) | [飥](飥.md) |  | tuō | 參見「餺飥」條。 |</v>
      </c>
    </row>
    <row r="3962" spans="1:44" hidden="1">
      <c r="A3962" s="1" t="s">
        <v>6829</v>
      </c>
      <c r="C3962" s="1">
        <v>1</v>
      </c>
      <c r="D3962" s="1" t="str">
        <f>"02803"</f>
        <v>02803</v>
      </c>
      <c r="E3962" s="1" t="s">
        <v>156</v>
      </c>
      <c r="F3962" s="1">
        <v>14</v>
      </c>
      <c r="G3962" s="1">
        <v>3</v>
      </c>
      <c r="H3962" s="1">
        <v>0</v>
      </c>
      <c r="I3962" s="1" t="s">
        <v>6813</v>
      </c>
      <c r="K3962" s="1" t="str">
        <f t="shared" si="246"/>
        <v>ㄊ</v>
      </c>
      <c r="L3962" s="1" t="str">
        <f t="shared" si="247"/>
        <v>ㄨ</v>
      </c>
      <c r="M3962" s="1" t="str">
        <f t="shared" si="244"/>
        <v>ㄛ</v>
      </c>
      <c r="P3962" s="1" t="s">
        <v>20</v>
      </c>
      <c r="R3962" s="1" t="s">
        <v>6814</v>
      </c>
      <c r="V3962" s="1" t="s">
        <v>6830</v>
      </c>
      <c r="AR3962" s="1" t="str">
        <f t="shared" si="245"/>
        <v>| [ㄊㄨㄛ](ㄊㄨㄛ.md) | [魠](魠.md) |  | tuō | [名]
古代指某些大口的魚類。《說文解字．魚部》：「魠，哆口魚也。」清．段玉裁．注：「哆者，張口也。……《廣雅》曰：『魧，魠也。』以魠為名，取開祏之意。」 |</v>
      </c>
    </row>
    <row r="3963" spans="1:44" hidden="1">
      <c r="A3963" s="1" t="s">
        <v>6831</v>
      </c>
      <c r="C3963" s="1">
        <v>1</v>
      </c>
      <c r="D3963" s="1" t="str">
        <f>"02804"</f>
        <v>02804</v>
      </c>
      <c r="E3963" s="1" t="s">
        <v>114</v>
      </c>
      <c r="F3963" s="1">
        <v>9</v>
      </c>
      <c r="G3963" s="1">
        <v>7</v>
      </c>
      <c r="H3963" s="1">
        <v>1</v>
      </c>
      <c r="I3963" s="1" t="s">
        <v>6813</v>
      </c>
      <c r="K3963" s="1" t="str">
        <f t="shared" si="246"/>
        <v>ㄊ</v>
      </c>
      <c r="L3963" s="1" t="str">
        <f t="shared" si="247"/>
        <v>ㄨ</v>
      </c>
      <c r="M3963" s="1" t="str">
        <f t="shared" si="244"/>
        <v>ㄛ</v>
      </c>
      <c r="P3963" s="1" t="s">
        <v>20</v>
      </c>
      <c r="R3963" s="1" t="s">
        <v>6814</v>
      </c>
      <c r="V3963" s="1" t="s">
        <v>6832</v>
      </c>
      <c r="W3963" s="1" t="s">
        <v>6833</v>
      </c>
      <c r="AR3963" s="1" t="str">
        <f t="shared" si="245"/>
        <v>| [ㄊㄨㄛ](ㄊㄨㄛ.md) | [侻](侻.md) |  | tuō | [形]
1.簡易。《晏子春秋．內篇．諫下》：「聖人之服，中侻而不駔，可以導眾。」《淮南子．本經》：「其言略而循理，其行侻而順情。」漢．高誘．注：「侻，簡易也。」
2.坦率而不羈小節。《新唐書．卷一〇二．李百藥傳》：「性疏侻，喜劇飲。」
[動]
脫離、離開。通「脫」。《老子》第三六章：「魚不可侻於淵，國之利器不可以示人。」 |</v>
      </c>
    </row>
    <row r="3964" spans="1:44" hidden="1">
      <c r="A3964" s="1" t="s">
        <v>6834</v>
      </c>
      <c r="C3964" s="1">
        <v>1</v>
      </c>
      <c r="D3964" s="1" t="str">
        <f>"02805"</f>
        <v>02805</v>
      </c>
      <c r="E3964" s="1" t="s">
        <v>139</v>
      </c>
      <c r="F3964" s="1">
        <v>11</v>
      </c>
      <c r="G3964" s="1">
        <v>7</v>
      </c>
      <c r="H3964" s="1">
        <v>2</v>
      </c>
      <c r="I3964" s="1" t="s">
        <v>6813</v>
      </c>
      <c r="K3964" s="1" t="str">
        <f t="shared" si="246"/>
        <v>ㄊ</v>
      </c>
      <c r="L3964" s="1" t="str">
        <f t="shared" si="247"/>
        <v>ㄨ</v>
      </c>
      <c r="M3964" s="1" t="str">
        <f t="shared" si="244"/>
        <v>ㄛ</v>
      </c>
      <c r="P3964" s="1" t="s">
        <v>20</v>
      </c>
      <c r="R3964" s="1" t="s">
        <v>6814</v>
      </c>
      <c r="V3964" s="1" t="s">
        <v>6835</v>
      </c>
      <c r="W3964" s="1" t="s">
        <v>6836</v>
      </c>
      <c r="AR3964" s="1" t="str">
        <f t="shared" si="245"/>
        <v>| [ㄊㄨㄛ](ㄊㄨㄛ.md) | [梲](梲.md) |  | tuō | [名]
棍、棒。《說文解字．木部》：「梲，木杖也。」《淮南子．說山》：「執彈而招鳥，揮梲而呼狗，欲致之，顧反走。」 |</v>
      </c>
    </row>
    <row r="3965" spans="1:44" hidden="1">
      <c r="A3965" s="1" t="s">
        <v>6837</v>
      </c>
      <c r="C3965" s="1">
        <v>1</v>
      </c>
      <c r="D3965" s="1" t="str">
        <f>"02806"</f>
        <v>02806</v>
      </c>
      <c r="E3965" s="1" t="s">
        <v>68</v>
      </c>
      <c r="F3965" s="1">
        <v>11</v>
      </c>
      <c r="G3965" s="1">
        <v>7</v>
      </c>
      <c r="H3965" s="1">
        <v>1</v>
      </c>
      <c r="I3965" s="1" t="s">
        <v>6813</v>
      </c>
      <c r="K3965" s="1" t="str">
        <f t="shared" si="246"/>
        <v>ㄊ</v>
      </c>
      <c r="L3965" s="1" t="str">
        <f t="shared" si="247"/>
        <v>ㄨ</v>
      </c>
      <c r="M3965" s="1" t="str">
        <f t="shared" si="244"/>
        <v>ㄛ</v>
      </c>
      <c r="P3965" s="1" t="s">
        <v>20</v>
      </c>
      <c r="R3965" s="1" t="s">
        <v>6814</v>
      </c>
      <c r="V3965" s="1" t="s">
        <v>6838</v>
      </c>
      <c r="W3965" s="1" t="s">
        <v>6839</v>
      </c>
      <c r="AR3965" s="1" t="str">
        <f t="shared" si="245"/>
        <v>| [ㄊㄨㄛ](ㄊㄨㄛ.md) | [脫](脫.md) |  | tuō | [動]
1.取下、解下、除去。如：「脫衣」、「脫鞋」、「脫水」、「脫脂」。唐．杜甫〈阻雨不得歸瀼西甘林〉詩：「令兒快搔背，脫我頭上簪。」
2.掉落。如：「脫皮」、「脫髮」。《文選．謝莊．月賦》：「洞庭始波，木葉微脫。」
3.離開、避開。如：「脫節」、「脫軌」、「擺脫」、「逃脫」。《抱朴子．外篇．用刑》：「猶長劍不可倒捉，巨魚不可脫淵也。」《史記．卷三三．魯周公世家》：「桓子詐而得脫。」
4.漏掉、缺漏。如：「脫漏」。《漢書．卷三〇．藝文志》：「書缺簡脫，禮壞樂崩。」
5.變賣或推銷東西。如：「這件珠寶因價格昂貴，很難脫手。」
[形]
1.動作迅速。如：「動如脫兔」。元．王實甫《麗春堂》第一折：「撲的呵箭飛金電，脫的呵馬過似飛熊。」
2.疏略、輕慢。如：「疏脫」。《左傳．僖公三十三年》：「輕則寡謀，無禮則脫。」
3.率性不受拘束。如：「灑脫」。
[副]
或者。表推想。《後漢書．卷一五．李通傳》：「事既未然，脫可免禍。」 |</v>
      </c>
    </row>
    <row r="3966" spans="1:44" hidden="1">
      <c r="A3966" s="1" t="s">
        <v>5910</v>
      </c>
      <c r="C3966" s="1">
        <v>1</v>
      </c>
      <c r="D3966" s="1" t="str">
        <f>"02807"</f>
        <v>02807</v>
      </c>
      <c r="E3966" s="1" t="s">
        <v>624</v>
      </c>
      <c r="F3966" s="1">
        <v>5</v>
      </c>
      <c r="G3966" s="1">
        <v>2</v>
      </c>
      <c r="H3966" s="1">
        <v>3</v>
      </c>
      <c r="I3966" s="1" t="s">
        <v>6840</v>
      </c>
      <c r="K3966" s="1" t="str">
        <f t="shared" si="246"/>
        <v>ㄊ</v>
      </c>
      <c r="L3966" s="1" t="str">
        <f t="shared" si="247"/>
        <v>ㄨ</v>
      </c>
      <c r="M3966" s="1" t="str">
        <f t="shared" ref="M3966:M4029" si="248">MID(I3966, 3, 1)</f>
        <v>ㄛ</v>
      </c>
      <c r="P3966" s="1" t="s">
        <v>20</v>
      </c>
      <c r="R3966" s="1" t="s">
        <v>6841</v>
      </c>
      <c r="V3966" s="1" t="s">
        <v>6842</v>
      </c>
      <c r="W3966" s="1" t="s">
        <v>6843</v>
      </c>
      <c r="AR3966" s="1" t="str">
        <f t="shared" si="245"/>
        <v>| [ㄊㄨㄛˊ](ㄊㄨㄛˊ.md) | [它](它.md) |  | tuó | [名]_x000D_
橐它：駱駝。通「駝」。《漢書．卷九六．西域傳上．鄯善國》：「民隨畜牧逐水草，有驢馬，多橐它。」 |</v>
      </c>
    </row>
    <row r="3967" spans="1:44" hidden="1">
      <c r="A3967" s="1" t="s">
        <v>5915</v>
      </c>
      <c r="C3967" s="1">
        <v>1</v>
      </c>
      <c r="D3967" s="1" t="str">
        <f>"02808"</f>
        <v>02808</v>
      </c>
      <c r="E3967" s="1" t="s">
        <v>114</v>
      </c>
      <c r="F3967" s="1">
        <v>7</v>
      </c>
      <c r="G3967" s="1">
        <v>5</v>
      </c>
      <c r="H3967" s="1">
        <v>2</v>
      </c>
      <c r="I3967" s="1" t="s">
        <v>6840</v>
      </c>
      <c r="K3967" s="1" t="str">
        <f t="shared" si="246"/>
        <v>ㄊ</v>
      </c>
      <c r="L3967" s="1" t="str">
        <f t="shared" si="247"/>
        <v>ㄨ</v>
      </c>
      <c r="M3967" s="1" t="str">
        <f t="shared" si="248"/>
        <v>ㄛ</v>
      </c>
      <c r="P3967" s="1" t="s">
        <v>20</v>
      </c>
      <c r="R3967" s="1" t="s">
        <v>6841</v>
      </c>
      <c r="V3967" s="1" t="s">
        <v>6844</v>
      </c>
      <c r="W3967" s="1" t="s">
        <v>6845</v>
      </c>
      <c r="AR3967" s="1" t="str">
        <f t="shared" si="245"/>
        <v>| [ㄊㄨㄛˊ](ㄊㄨㄛˊ.md) | [佗](佗.md) |  | tuó | [動]
負荷。《漢書．卷六九．趙充國傳》：「以一馬自佗負三十日食。」 |</v>
      </c>
    </row>
    <row r="3968" spans="1:44" hidden="1">
      <c r="A3968" s="1" t="s">
        <v>6846</v>
      </c>
      <c r="C3968" s="1">
        <v>1</v>
      </c>
      <c r="D3968" s="1" t="str">
        <f>"02809"</f>
        <v>02809</v>
      </c>
      <c r="E3968" s="1" t="s">
        <v>129</v>
      </c>
      <c r="F3968" s="1">
        <v>8</v>
      </c>
      <c r="G3968" s="1">
        <v>5</v>
      </c>
      <c r="H3968" s="1">
        <v>0</v>
      </c>
      <c r="I3968" s="1" t="s">
        <v>6840</v>
      </c>
      <c r="K3968" s="1" t="str">
        <f t="shared" si="246"/>
        <v>ㄊ</v>
      </c>
      <c r="L3968" s="1" t="str">
        <f t="shared" si="247"/>
        <v>ㄨ</v>
      </c>
      <c r="M3968" s="1" t="str">
        <f t="shared" si="248"/>
        <v>ㄛ</v>
      </c>
      <c r="P3968" s="1" t="s">
        <v>20</v>
      </c>
      <c r="R3968" s="1" t="s">
        <v>6841</v>
      </c>
      <c r="V3968" s="1" t="s">
        <v>6847</v>
      </c>
      <c r="AR3968" s="1" t="str">
        <f t="shared" si="245"/>
        <v>| [ㄊㄨㄛˊ](ㄊㄨㄛˊ.md) | [沱](沱.md) |  | tuó | [名]
1.水灣，多用於地名。如：「朱家沱」、「石盤沱」。北周．庾信〈將命使北始渡瓜步江詩〉：「輴軒臨磧岸，旌節映江沱。」
2.參見「沱江」條。
[形]
1.水勢盛大。參見「滂沱」條。
2.流淚的樣子。《易經．離卦．象曰》：「出涕沱若，戚嗟若。」 |</v>
      </c>
    </row>
    <row r="3969" spans="1:44" hidden="1">
      <c r="A3969" s="1" t="s">
        <v>6848</v>
      </c>
      <c r="C3969" s="1">
        <v>1</v>
      </c>
      <c r="D3969" s="1" t="str">
        <f>"02810"</f>
        <v>02810</v>
      </c>
      <c r="E3969" s="1" t="s">
        <v>132</v>
      </c>
      <c r="F3969" s="1">
        <v>8</v>
      </c>
      <c r="G3969" s="1">
        <v>5</v>
      </c>
      <c r="H3969" s="1">
        <v>0</v>
      </c>
      <c r="I3969" s="1" t="s">
        <v>6840</v>
      </c>
      <c r="K3969" s="1" t="str">
        <f t="shared" si="246"/>
        <v>ㄊ</v>
      </c>
      <c r="L3969" s="1" t="str">
        <f t="shared" si="247"/>
        <v>ㄨ</v>
      </c>
      <c r="M3969" s="1" t="str">
        <f t="shared" si="248"/>
        <v>ㄛ</v>
      </c>
      <c r="P3969" s="1" t="s">
        <v>20</v>
      </c>
      <c r="R3969" s="1" t="s">
        <v>6841</v>
      </c>
      <c r="V3969" s="1" t="s">
        <v>6849</v>
      </c>
      <c r="AR3969" s="1" t="str">
        <f t="shared" si="245"/>
        <v>| [ㄊㄨㄛˊ](ㄊㄨㄛˊ.md) | [坨](坨.md) |  | tuó | [名]
1.圓形塊狀物，或成堆成團的東西。如：「秤坨」、「蠟坨子」、「泥坨子」。
2.露天的晒鹽場。《清史稿．卷一二三．食貨志四》：「得鹽則貯之官地，奉天謂之倉，長蘆謂之坨。」
3.量詞。計算土、糞等較小堆東西的單位。如：「兩坨土」、「一坨糞便」。 |</v>
      </c>
    </row>
    <row r="3970" spans="1:44" hidden="1">
      <c r="A3970" s="1" t="s">
        <v>6850</v>
      </c>
      <c r="C3970" s="1">
        <v>1</v>
      </c>
      <c r="D3970" s="1" t="str">
        <f>"02811"</f>
        <v>02811</v>
      </c>
      <c r="E3970" s="1" t="s">
        <v>190</v>
      </c>
      <c r="F3970" s="1">
        <v>8</v>
      </c>
      <c r="G3970" s="1">
        <v>5</v>
      </c>
      <c r="H3970" s="1">
        <v>0</v>
      </c>
      <c r="I3970" s="1" t="s">
        <v>6840</v>
      </c>
      <c r="K3970" s="1" t="str">
        <f t="shared" si="246"/>
        <v>ㄊ</v>
      </c>
      <c r="L3970" s="1" t="str">
        <f t="shared" si="247"/>
        <v>ㄨ</v>
      </c>
      <c r="M3970" s="1" t="str">
        <f t="shared" si="248"/>
        <v>ㄛ</v>
      </c>
      <c r="P3970" s="1" t="s">
        <v>20</v>
      </c>
      <c r="R3970" s="1" t="s">
        <v>6841</v>
      </c>
      <c r="V3970" s="1" t="s">
        <v>6851</v>
      </c>
      <c r="AR3970" s="1" t="str">
        <f t="shared" si="245"/>
        <v>| [ㄊㄨㄛˊ](ㄊㄨㄛˊ.md) | [岮](岮.md) |  | tuó | [形]
岥岮：傾斜不平的樣子。《字彙．山部》：「岮，岥岮，不平之貌。」《文選．潘岳．西征賦》：「覓陛殿之餘基，裁岥岮以隱嶙。」唐．李善．注：「岥岮，頹貌也。」 |</v>
      </c>
    </row>
    <row r="3971" spans="1:44" hidden="1">
      <c r="A3971" s="1" t="s">
        <v>6852</v>
      </c>
      <c r="C3971" s="1">
        <v>1</v>
      </c>
      <c r="D3971" s="1" t="str">
        <f>"02812"</f>
        <v>02812</v>
      </c>
      <c r="E3971" s="1" t="s">
        <v>691</v>
      </c>
      <c r="F3971" s="1">
        <v>8</v>
      </c>
      <c r="G3971" s="1">
        <v>5</v>
      </c>
      <c r="H3971" s="1">
        <v>0</v>
      </c>
      <c r="I3971" s="1" t="s">
        <v>6840</v>
      </c>
      <c r="K3971" s="1" t="str">
        <f t="shared" si="246"/>
        <v>ㄊ</v>
      </c>
      <c r="L3971" s="1" t="str">
        <f t="shared" si="247"/>
        <v>ㄨ</v>
      </c>
      <c r="M3971" s="1" t="str">
        <f t="shared" si="248"/>
        <v>ㄛ</v>
      </c>
      <c r="P3971" s="1" t="s">
        <v>20</v>
      </c>
      <c r="R3971" s="1" t="s">
        <v>6841</v>
      </c>
      <c r="V3971" s="1" t="s">
        <v>6853</v>
      </c>
      <c r="AR3971" s="1" t="str">
        <f t="shared" ref="AR3971:AR4034" si="249">"| ["&amp;I3971&amp;"]("&amp;I3971&amp;".md) | ["&amp;A3971&amp;"]("&amp;A3971&amp;".md) | "&amp;" | "&amp;R3971&amp;" | "&amp;V3971&amp;" |"</f>
        <v>| [ㄊㄨㄛˊ](ㄊㄨㄛˊ.md) | [陀](陀.md) |  | tuó | [形]
傾側、不平。參見「陂陀」條。
[名]
1.團狀物。《西遊記》第七四回：「把棍子望小妖頭上砑了一砑，可憐，就砑得像一個肉陀！」
2.一種玩具。參見「陀螺」條。 |</v>
      </c>
    </row>
    <row r="3972" spans="1:44" hidden="1">
      <c r="A3972" s="1" t="s">
        <v>6854</v>
      </c>
      <c r="C3972" s="1">
        <v>1</v>
      </c>
      <c r="D3972" s="1" t="str">
        <f>"02813"</f>
        <v>02813</v>
      </c>
      <c r="E3972" s="1" t="s">
        <v>169</v>
      </c>
      <c r="F3972" s="1">
        <v>10</v>
      </c>
      <c r="G3972" s="1">
        <v>5</v>
      </c>
      <c r="H3972" s="1">
        <v>0</v>
      </c>
      <c r="I3972" s="1" t="s">
        <v>6840</v>
      </c>
      <c r="K3972" s="1" t="str">
        <f t="shared" si="246"/>
        <v>ㄊ</v>
      </c>
      <c r="L3972" s="1" t="str">
        <f t="shared" si="247"/>
        <v>ㄨ</v>
      </c>
      <c r="M3972" s="1" t="str">
        <f t="shared" si="248"/>
        <v>ㄛ</v>
      </c>
      <c r="P3972" s="1" t="s">
        <v>20</v>
      </c>
      <c r="R3972" s="1" t="s">
        <v>6841</v>
      </c>
      <c r="V3972" s="1" t="s">
        <v>6855</v>
      </c>
      <c r="AR3972" s="1" t="str">
        <f t="shared" si="249"/>
        <v>| [ㄊㄨㄛˊ](ㄊㄨㄛˊ.md) | [砣](砣.md) |  | tuó | [名]
1.石製的碾輪。如：「碾砣」。《字彙．石部》：「砣，碾輪石也。」
2.古代拋擲遊戲用的磚塊。同「堶」。《集韻．平聲．戈韻》：「堶，飛磚戲也。或作砣。」
3.秤錘。如：「秤砣」。 |</v>
      </c>
    </row>
    <row r="3973" spans="1:44" hidden="1">
      <c r="A3973" s="1" t="s">
        <v>6856</v>
      </c>
      <c r="C3973" s="1">
        <v>1</v>
      </c>
      <c r="D3973" s="1" t="str">
        <f>"02814"</f>
        <v>02814</v>
      </c>
      <c r="E3973" s="1" t="s">
        <v>725</v>
      </c>
      <c r="F3973" s="1">
        <v>11</v>
      </c>
      <c r="G3973" s="1">
        <v>5</v>
      </c>
      <c r="H3973" s="1">
        <v>0</v>
      </c>
      <c r="I3973" s="1" t="s">
        <v>6840</v>
      </c>
      <c r="K3973" s="1" t="str">
        <f t="shared" si="246"/>
        <v>ㄊ</v>
      </c>
      <c r="L3973" s="1" t="str">
        <f t="shared" si="247"/>
        <v>ㄨ</v>
      </c>
      <c r="M3973" s="1" t="str">
        <f t="shared" si="248"/>
        <v>ㄛ</v>
      </c>
      <c r="P3973" s="1" t="s">
        <v>20</v>
      </c>
      <c r="R3973" s="1" t="s">
        <v>6841</v>
      </c>
      <c r="V3973" s="1" t="s">
        <v>6857</v>
      </c>
      <c r="AR3973" s="1" t="str">
        <f t="shared" si="249"/>
        <v>| [ㄊㄨㄛˊ](ㄊㄨㄛˊ.md) | [紽](紽.md) |  | tuó | [名]
量詞。古代計算絲的單位。五絲為一紽。清．王念孫《廣雅疏證．卷四上．釋詁》：「紽，數也。」疏證：「紽、緎、總，皆數也。五絲為紽，四紽為緎，四緎為總。」《玉篇．糸部》：「紽，絲數也。」《詩經．召南．羔羊》：「羔羊之皮，素絲五紽。」漢．毛亨．傳：「紽，數也。」 |</v>
      </c>
    </row>
    <row r="3974" spans="1:44" hidden="1">
      <c r="A3974" s="1" t="s">
        <v>6858</v>
      </c>
      <c r="C3974" s="1">
        <v>1</v>
      </c>
      <c r="D3974" s="1" t="str">
        <f>"02815"</f>
        <v>02815</v>
      </c>
      <c r="E3974" s="1" t="s">
        <v>1462</v>
      </c>
      <c r="F3974" s="1">
        <v>12</v>
      </c>
      <c r="G3974" s="1">
        <v>5</v>
      </c>
      <c r="H3974" s="1">
        <v>0</v>
      </c>
      <c r="I3974" s="1" t="s">
        <v>6840</v>
      </c>
      <c r="K3974" s="1" t="str">
        <f t="shared" si="246"/>
        <v>ㄊ</v>
      </c>
      <c r="L3974" s="1" t="str">
        <f t="shared" si="247"/>
        <v>ㄨ</v>
      </c>
      <c r="M3974" s="1" t="str">
        <f t="shared" si="248"/>
        <v>ㄛ</v>
      </c>
      <c r="P3974" s="1" t="s">
        <v>20</v>
      </c>
      <c r="R3974" s="1" t="s">
        <v>6841</v>
      </c>
      <c r="V3974" s="1" t="s">
        <v>6859</v>
      </c>
      <c r="AR3974" s="1" t="str">
        <f t="shared" si="249"/>
        <v>| [ㄊㄨㄛˊ](ㄊㄨㄛˊ.md) | [酡](酡.md) |  | tuó | [動]
因飲酒而臉色泛紅。《楚辭．宋玉．招魂》：「美人既醉，朱顏酡些。」宋．陸游〈題嚴州王秀才山水枕屏〉詩：「驛亭沃酒醉臉酡，長笛腰鼓雜巴歌。」
[形]
紅潤的、泛紅的。《水滸傳》第五三回：「蒼然古貌，鶴髮酡顏。」 |</v>
      </c>
    </row>
    <row r="3975" spans="1:44" hidden="1">
      <c r="A3975" s="1" t="s">
        <v>6860</v>
      </c>
      <c r="C3975" s="1">
        <v>1</v>
      </c>
      <c r="D3975" s="1" t="str">
        <f>"02816"</f>
        <v>02816</v>
      </c>
      <c r="E3975" s="1" t="s">
        <v>77</v>
      </c>
      <c r="F3975" s="1">
        <v>12</v>
      </c>
      <c r="G3975" s="1">
        <v>5</v>
      </c>
      <c r="H3975" s="1">
        <v>0</v>
      </c>
      <c r="I3975" s="1" t="s">
        <v>6840</v>
      </c>
      <c r="K3975" s="1" t="str">
        <f t="shared" si="246"/>
        <v>ㄊ</v>
      </c>
      <c r="L3975" s="1" t="str">
        <f t="shared" si="247"/>
        <v>ㄨ</v>
      </c>
      <c r="M3975" s="1" t="str">
        <f t="shared" si="248"/>
        <v>ㄛ</v>
      </c>
      <c r="P3975" s="1" t="s">
        <v>20</v>
      </c>
      <c r="R3975" s="1" t="s">
        <v>6841</v>
      </c>
      <c r="V3975" s="1" t="s">
        <v>6861</v>
      </c>
      <c r="AR3975" s="1" t="str">
        <f t="shared" si="249"/>
        <v>| [ㄊㄨㄛˊ](ㄊㄨㄛˊ.md) | [跎](跎.md) |  | tuó | 參見「蹉跎」條。 |</v>
      </c>
    </row>
    <row r="3976" spans="1:44" hidden="1">
      <c r="A3976" s="1" t="s">
        <v>6862</v>
      </c>
      <c r="C3976" s="1">
        <v>1</v>
      </c>
      <c r="D3976" s="1" t="str">
        <f>"02817"</f>
        <v>02817</v>
      </c>
      <c r="E3976" s="1" t="s">
        <v>319</v>
      </c>
      <c r="F3976" s="1">
        <v>15</v>
      </c>
      <c r="G3976" s="1">
        <v>5</v>
      </c>
      <c r="H3976" s="1">
        <v>0</v>
      </c>
      <c r="I3976" s="1" t="s">
        <v>6840</v>
      </c>
      <c r="K3976" s="1" t="str">
        <f t="shared" si="246"/>
        <v>ㄊ</v>
      </c>
      <c r="L3976" s="1" t="str">
        <f t="shared" si="247"/>
        <v>ㄨ</v>
      </c>
      <c r="M3976" s="1" t="str">
        <f t="shared" si="248"/>
        <v>ㄛ</v>
      </c>
      <c r="P3976" s="1" t="s">
        <v>20</v>
      </c>
      <c r="R3976" s="1" t="s">
        <v>6841</v>
      </c>
      <c r="V3976" s="1" t="s">
        <v>6863</v>
      </c>
      <c r="AR3976" s="1" t="str">
        <f t="shared" si="249"/>
        <v>| [ㄊㄨㄛˊ](ㄊㄨㄛˊ.md) | [駝](駝.md) |  | tuó | [名]
參見「駱駝」條。
[動]
背負。通「馱」。如：「駝運」。《孤本元明雜劇．流星馬．第一折》：「他有一匹馬，背駝三將，入水如踏平地，日行千里流星馬，此乃是無敵之騎。」《文明小史》第二一回：「當夜兩人做了交割，清抱駝錢駝了兩次才完。」
[形]
背部彎曲的。如：「彎腰駝背」。 |</v>
      </c>
    </row>
    <row r="3977" spans="1:44" hidden="1">
      <c r="A3977" s="1" t="s">
        <v>6864</v>
      </c>
      <c r="C3977" s="1">
        <v>1</v>
      </c>
      <c r="D3977" s="1" t="str">
        <f>"02818"</f>
        <v>02818</v>
      </c>
      <c r="E3977" s="1" t="s">
        <v>272</v>
      </c>
      <c r="F3977" s="1">
        <v>16</v>
      </c>
      <c r="G3977" s="1">
        <v>5</v>
      </c>
      <c r="H3977" s="1">
        <v>0</v>
      </c>
      <c r="I3977" s="1" t="s">
        <v>6840</v>
      </c>
      <c r="K3977" s="1" t="str">
        <f t="shared" si="246"/>
        <v>ㄊ</v>
      </c>
      <c r="L3977" s="1" t="str">
        <f t="shared" si="247"/>
        <v>ㄨ</v>
      </c>
      <c r="M3977" s="1" t="str">
        <f t="shared" si="248"/>
        <v>ㄛ</v>
      </c>
      <c r="P3977" s="1" t="s">
        <v>20</v>
      </c>
      <c r="R3977" s="1" t="s">
        <v>6841</v>
      </c>
      <c r="V3977" s="1" t="s">
        <v>6865</v>
      </c>
      <c r="AR3977" s="1" t="str">
        <f t="shared" si="249"/>
        <v>| [ㄊㄨㄛˊ](ㄊㄨㄛˊ.md) | [鴕](鴕.md) |  | tuó | 參見「鴕鳥」條。 |</v>
      </c>
    </row>
    <row r="3978" spans="1:44" hidden="1">
      <c r="A3978" s="1" t="s">
        <v>6866</v>
      </c>
      <c r="C3978" s="1">
        <v>1</v>
      </c>
      <c r="D3978" s="1" t="str">
        <f>"02819"</f>
        <v>02819</v>
      </c>
      <c r="E3978" s="1" t="s">
        <v>156</v>
      </c>
      <c r="F3978" s="1">
        <v>16</v>
      </c>
      <c r="G3978" s="1">
        <v>5</v>
      </c>
      <c r="H3978" s="1">
        <v>0</v>
      </c>
      <c r="I3978" s="1" t="s">
        <v>6840</v>
      </c>
      <c r="K3978" s="1" t="str">
        <f t="shared" si="246"/>
        <v>ㄊ</v>
      </c>
      <c r="L3978" s="1" t="str">
        <f t="shared" si="247"/>
        <v>ㄨ</v>
      </c>
      <c r="M3978" s="1" t="str">
        <f t="shared" si="248"/>
        <v>ㄛ</v>
      </c>
      <c r="P3978" s="1" t="s">
        <v>20</v>
      </c>
      <c r="R3978" s="1" t="s">
        <v>6841</v>
      </c>
      <c r="V3978" s="1" t="s">
        <v>6867</v>
      </c>
      <c r="AR3978" s="1" t="str">
        <f t="shared" si="249"/>
        <v>| [ㄊㄨㄛˊ](ㄊㄨㄛˊ.md) | [鮀](鮀.md) |  | tuó | [名]
動物名。即鰵。硬骨魚綱條鰭亞綱鱸形目鮨科。體紅褐色，有許多黑色眼斑。上下頜無犬齒，後鼻孔為一垂直裂紋，鰓蓋骨有二棘。常居岩礁區海域。 |</v>
      </c>
    </row>
    <row r="3979" spans="1:44" hidden="1">
      <c r="A3979" s="1" t="s">
        <v>6868</v>
      </c>
      <c r="C3979" s="1">
        <v>1</v>
      </c>
      <c r="D3979" s="1" t="str">
        <f>"02820"</f>
        <v>02820</v>
      </c>
      <c r="E3979" s="1" t="s">
        <v>691</v>
      </c>
      <c r="F3979" s="1">
        <v>6</v>
      </c>
      <c r="G3979" s="1">
        <v>3</v>
      </c>
      <c r="H3979" s="1">
        <v>1</v>
      </c>
      <c r="I3979" s="1" t="s">
        <v>6840</v>
      </c>
      <c r="K3979" s="1" t="str">
        <f t="shared" si="246"/>
        <v>ㄊ</v>
      </c>
      <c r="L3979" s="1" t="str">
        <f t="shared" si="247"/>
        <v>ㄨ</v>
      </c>
      <c r="M3979" s="1" t="str">
        <f t="shared" si="248"/>
        <v>ㄛ</v>
      </c>
      <c r="P3979" s="1" t="s">
        <v>20</v>
      </c>
      <c r="R3979" s="1" t="s">
        <v>6841</v>
      </c>
      <c r="V3979" s="1" t="s">
        <v>6869</v>
      </c>
      <c r="W3979" s="1" t="s">
        <v>6870</v>
      </c>
      <c r="AR3979" s="1" t="str">
        <f t="shared" si="249"/>
        <v>| [ㄊㄨㄛˊ](ㄊㄨㄛˊ.md) | [阤](阤.md) |  | tuó | [形]
陂阤：險阻不平坦的。《史記．卷一一七．司馬相如傳》：「登陂阤之長阪兮，坌入曾宮之嵯峨。」 |</v>
      </c>
    </row>
    <row r="3980" spans="1:44" hidden="1">
      <c r="A3980" s="1" t="s">
        <v>6871</v>
      </c>
      <c r="C3980" s="1">
        <v>1</v>
      </c>
      <c r="D3980" s="1" t="str">
        <f>"02821"</f>
        <v>02821</v>
      </c>
      <c r="E3980" s="1" t="s">
        <v>132</v>
      </c>
      <c r="F3980" s="1">
        <v>12</v>
      </c>
      <c r="G3980" s="1">
        <v>9</v>
      </c>
      <c r="H3980" s="1">
        <v>0</v>
      </c>
      <c r="I3980" s="1" t="s">
        <v>6840</v>
      </c>
      <c r="K3980" s="1" t="str">
        <f t="shared" si="246"/>
        <v>ㄊ</v>
      </c>
      <c r="L3980" s="1" t="str">
        <f t="shared" si="247"/>
        <v>ㄨ</v>
      </c>
      <c r="M3980" s="1" t="str">
        <f t="shared" si="248"/>
        <v>ㄛ</v>
      </c>
      <c r="P3980" s="1" t="s">
        <v>20</v>
      </c>
      <c r="R3980" s="1" t="s">
        <v>6841</v>
      </c>
      <c r="V3980" s="1" t="s">
        <v>6872</v>
      </c>
      <c r="AR3980" s="1" t="str">
        <f t="shared" si="249"/>
        <v>| [ㄊㄨㄛˊ](ㄊㄨㄛˊ.md) | [堶](堶.md) |  | tuó | [名]
古代拋擲遊戲用的磚瓦。《玉篇．土部》：「堶，飛磚也。」宋．梅堯臣〈依韻和禁煙近事之什〉詩：「窈窕踏歌相把袂，輕浮賭勝各飛堶。」 |</v>
      </c>
    </row>
    <row r="3981" spans="1:44" hidden="1">
      <c r="A3981" s="1" t="s">
        <v>5709</v>
      </c>
      <c r="C3981" s="1">
        <v>1</v>
      </c>
      <c r="D3981" s="1" t="str">
        <f>"02822"</f>
        <v>02822</v>
      </c>
      <c r="E3981" s="1" t="s">
        <v>319</v>
      </c>
      <c r="F3981" s="1">
        <v>13</v>
      </c>
      <c r="G3981" s="1">
        <v>3</v>
      </c>
      <c r="H3981" s="1">
        <v>1</v>
      </c>
      <c r="I3981" s="1" t="s">
        <v>6840</v>
      </c>
      <c r="K3981" s="1" t="str">
        <f t="shared" si="246"/>
        <v>ㄊ</v>
      </c>
      <c r="L3981" s="1" t="str">
        <f t="shared" si="247"/>
        <v>ㄨ</v>
      </c>
      <c r="M3981" s="1" t="str">
        <f t="shared" si="248"/>
        <v>ㄛ</v>
      </c>
      <c r="P3981" s="1" t="s">
        <v>20</v>
      </c>
      <c r="R3981" s="1" t="s">
        <v>6841</v>
      </c>
      <c r="V3981" s="1" t="s">
        <v>6873</v>
      </c>
      <c r="W3981" s="1" t="s">
        <v>6874</v>
      </c>
      <c r="AR3981" s="1" t="str">
        <f t="shared" si="249"/>
        <v>| [ㄊㄨㄛˊ](ㄊㄨㄛˊ.md) | [馱](馱.md) |  | tuó | [動]
背負、背載。如：「馱運」。唐．李白〈對酒〉詩：「蒲萄酒，金叵羅，吳姬十五細馬馱。」《精忠岳傳》第三九回：「張保將高寵尸首馱在背上。」 |</v>
      </c>
    </row>
    <row r="3982" spans="1:44" hidden="1">
      <c r="A3982" s="1" t="s">
        <v>6875</v>
      </c>
      <c r="C3982" s="1">
        <v>1</v>
      </c>
      <c r="D3982" s="1" t="str">
        <f>"02823"</f>
        <v>02823</v>
      </c>
      <c r="E3982" s="1" t="s">
        <v>139</v>
      </c>
      <c r="F3982" s="1">
        <v>16</v>
      </c>
      <c r="G3982" s="1">
        <v>12</v>
      </c>
      <c r="H3982" s="1">
        <v>0</v>
      </c>
      <c r="I3982" s="1" t="s">
        <v>6840</v>
      </c>
      <c r="K3982" s="1" t="str">
        <f t="shared" si="246"/>
        <v>ㄊ</v>
      </c>
      <c r="L3982" s="1" t="str">
        <f t="shared" si="247"/>
        <v>ㄨ</v>
      </c>
      <c r="M3982" s="1" t="str">
        <f t="shared" si="248"/>
        <v>ㄛ</v>
      </c>
      <c r="P3982" s="1" t="s">
        <v>20</v>
      </c>
      <c r="R3982" s="1" t="s">
        <v>6841</v>
      </c>
      <c r="V3982" s="1" t="s">
        <v>6876</v>
      </c>
      <c r="AR3982" s="1" t="str">
        <f t="shared" si="249"/>
        <v>| [ㄊㄨㄛˊ](ㄊㄨㄛˊ.md) | [橐](橐.md) |  | tuó | [名]
1.袋子。如：「囊橐充盈」。《詩經．大雅．公劉》：「迺裹餱糧，于橐于囊。」《戰國策．秦策一》：「負書擔橐。」
2.古代冶煉時，用於鼓風的器具，即風箱。《淮南子．本經》：「鼓橐吹埵，以銷銅鐵。」漢．高誘．注：「橐，冶鑪排橐也。」三國魏．曹丕〈劍銘〉：「五色充鑪，巨橐自鼓。」
[動]
用袋子裝藏。漢．王充《論衡．書虛》：「吳王夫差殺伍子胥，煮之於鑊，乃以鴟夷橐投之於江。」清．徐珂《清稗類鈔．鑒賞類．許四山藏乳彝》：「掘之，得一銅器……乃橐以入城。」
[擬]
參見「橐橐」條。 |</v>
      </c>
    </row>
    <row r="3983" spans="1:44" hidden="1">
      <c r="A3983" s="1" t="s">
        <v>6877</v>
      </c>
      <c r="C3983" s="1">
        <v>1</v>
      </c>
      <c r="D3983" s="1" t="str">
        <f>"02824"</f>
        <v>02824</v>
      </c>
      <c r="E3983" s="1" t="s">
        <v>319</v>
      </c>
      <c r="F3983" s="1">
        <v>22</v>
      </c>
      <c r="G3983" s="1">
        <v>12</v>
      </c>
      <c r="H3983" s="1">
        <v>0</v>
      </c>
      <c r="I3983" s="1" t="s">
        <v>6840</v>
      </c>
      <c r="K3983" s="1" t="str">
        <f t="shared" si="246"/>
        <v>ㄊ</v>
      </c>
      <c r="L3983" s="1" t="str">
        <f t="shared" si="247"/>
        <v>ㄨ</v>
      </c>
      <c r="M3983" s="1" t="str">
        <f t="shared" si="248"/>
        <v>ㄛ</v>
      </c>
      <c r="P3983" s="1" t="s">
        <v>20</v>
      </c>
      <c r="R3983" s="1" t="s">
        <v>6841</v>
      </c>
      <c r="V3983" s="1" t="s">
        <v>6878</v>
      </c>
      <c r="AR3983" s="1" t="str">
        <f t="shared" si="249"/>
        <v>| [ㄊㄨㄛˊ](ㄊㄨㄛˊ.md) | [驒](驒.md) |  | tuó | [名]
毛色呈鱗狀斑紋的青黑色馬。《說文解字．馬部》：「驒，青驪白鱗，文如鼉魚也。」清．段玉裁．注：「青黑色的馬，起白片如鱗然。」《爾雅．釋畜》：「青驪鱗驒。」晉．郭璞．注：「色有深淺，斑駁隱粼，今之連錢驄。」 |</v>
      </c>
    </row>
    <row r="3984" spans="1:44" hidden="1">
      <c r="A3984" s="1" t="s">
        <v>6879</v>
      </c>
      <c r="C3984" s="1">
        <v>1</v>
      </c>
      <c r="D3984" s="1" t="str">
        <f>"02825"</f>
        <v>02825</v>
      </c>
      <c r="E3984" s="1" t="s">
        <v>3331</v>
      </c>
      <c r="F3984" s="1">
        <v>25</v>
      </c>
      <c r="G3984" s="1">
        <v>12</v>
      </c>
      <c r="H3984" s="1">
        <v>0</v>
      </c>
      <c r="I3984" s="1" t="s">
        <v>6840</v>
      </c>
      <c r="K3984" s="1" t="str">
        <f t="shared" si="246"/>
        <v>ㄊ</v>
      </c>
      <c r="L3984" s="1" t="str">
        <f t="shared" si="247"/>
        <v>ㄨ</v>
      </c>
      <c r="M3984" s="1" t="str">
        <f t="shared" si="248"/>
        <v>ㄛ</v>
      </c>
      <c r="P3984" s="1" t="s">
        <v>20</v>
      </c>
      <c r="R3984" s="1" t="s">
        <v>6841</v>
      </c>
      <c r="V3984" s="1" t="s">
        <v>6880</v>
      </c>
      <c r="AR3984" s="1" t="str">
        <f t="shared" si="249"/>
        <v>| [ㄊㄨㄛˊ](ㄊㄨㄛˊ.md) | [鼉](鼉.md) |  | tuó | [名]
動物名。爬蟲綱鼉科。長約二公尺餘，背部暗褐色，有六橫列角質鱗，具黃斑和黃條。腹面灰色，有黃灰色小斑和橫條。尾部有灰黑相間的環紋，四足，前肢五指無蹼，後肢四趾具蹼，穴居於池沼底部，以魚、蛙、鳥、鼠為食。為大陸地區特產動物，分布於長江下游、太湖流域一帶。皮可製鼓。也稱為「鼉龍」、「靈鼉」、「豬婆龍」、「揚子鱷」。 |</v>
      </c>
    </row>
    <row r="3985" spans="1:44" hidden="1">
      <c r="A3985" s="1" t="s">
        <v>6881</v>
      </c>
      <c r="C3985" s="1">
        <v>1</v>
      </c>
      <c r="D3985" s="1" t="str">
        <f>"02826"</f>
        <v>02826</v>
      </c>
      <c r="E3985" s="1" t="s">
        <v>534</v>
      </c>
      <c r="F3985" s="1">
        <v>7</v>
      </c>
      <c r="G3985" s="1">
        <v>4</v>
      </c>
      <c r="H3985" s="1">
        <v>0</v>
      </c>
      <c r="I3985" s="1" t="s">
        <v>6882</v>
      </c>
      <c r="K3985" s="1" t="str">
        <f t="shared" si="246"/>
        <v>ㄊ</v>
      </c>
      <c r="L3985" s="1" t="str">
        <f t="shared" si="247"/>
        <v>ㄨ</v>
      </c>
      <c r="M3985" s="1" t="str">
        <f t="shared" si="248"/>
        <v>ㄛ</v>
      </c>
      <c r="P3985" s="1" t="s">
        <v>20</v>
      </c>
      <c r="R3985" s="1" t="s">
        <v>6883</v>
      </c>
      <c r="V3985" s="1" t="s">
        <v>6884</v>
      </c>
      <c r="AR3985" s="1" t="str">
        <f t="shared" si="249"/>
        <v>| [ㄊㄨㄛˇ](ㄊㄨㄛˇ.md) | [妥](妥.md) |  | tuǒ | [副]
1.穩當、周全。如：「妥當」、「妥善安排」、「妥為照料」。《新唐書．卷一九七．循吏傳．韋仁壽傳》：「於是官得其人，民去歎愁，就妥定。」
2.適宜、合適。如：「這件事情恐怕不妥。」、「他說話欠妥，常引起公憤。」
3.完備、齊備。如：「這件事情已經辦妥了。」
[動]
1.安穩。《紅樓夢》第六八回：「你這一去且在園裡住兩天，等我設個法子回明白了，那時再見方妥。」
2.掉落、垂下。唐．杜甫〈重過何氏〉詩五首之一：「花妥鶯捎蝶，溪喧獺趁魚。」宋．石孝友〈點絳脣．日薄風遲〉詞：「日薄風遲，柳眠無力花枝妥。」
[名]
姓。如清代有妥得璘。 |</v>
      </c>
    </row>
    <row r="3986" spans="1:44" hidden="1">
      <c r="A3986" s="1" t="s">
        <v>6885</v>
      </c>
      <c r="C3986" s="1">
        <v>1</v>
      </c>
      <c r="D3986" s="1" t="str">
        <f>"02827"</f>
        <v>02827</v>
      </c>
      <c r="E3986" s="1" t="s">
        <v>447</v>
      </c>
      <c r="F3986" s="1">
        <v>11</v>
      </c>
      <c r="G3986" s="1">
        <v>8</v>
      </c>
      <c r="H3986" s="1">
        <v>0</v>
      </c>
      <c r="I3986" s="1" t="s">
        <v>6882</v>
      </c>
      <c r="K3986" s="1" t="str">
        <f t="shared" si="246"/>
        <v>ㄊ</v>
      </c>
      <c r="L3986" s="1" t="str">
        <f t="shared" si="247"/>
        <v>ㄨ</v>
      </c>
      <c r="M3986" s="1" t="str">
        <f t="shared" si="248"/>
        <v>ㄛ</v>
      </c>
      <c r="P3986" s="1" t="s">
        <v>20</v>
      </c>
      <c r="R3986" s="1" t="s">
        <v>6883</v>
      </c>
      <c r="V3986" s="1" t="s">
        <v>6886</v>
      </c>
      <c r="AR3986" s="1" t="str">
        <f t="shared" si="249"/>
        <v>| [ㄊㄨㄛˇ](ㄊㄨㄛˇ.md) | [庹](庹.md) |  | tuǒ | [名]
1.量詞。計算長度的單位。為成人平伸兩臂，兩手間的距離。《康熙字典．广部》引《字彙補》：「兩腕引長謂之庹。」
2.姓。如明代有庹五常。
[動]
以兩臂平伸測量長度。如：「你庹庹看這竹竿有多長？」《直語補證．庹》：「以手量物長短曰庹。」 |</v>
      </c>
    </row>
    <row r="3987" spans="1:44" hidden="1">
      <c r="A3987" s="1" t="s">
        <v>6887</v>
      </c>
      <c r="C3987" s="1">
        <v>1</v>
      </c>
      <c r="D3987" s="1" t="str">
        <f>"02828"</f>
        <v>02828</v>
      </c>
      <c r="E3987" s="1" t="s">
        <v>534</v>
      </c>
      <c r="F3987" s="1">
        <v>12</v>
      </c>
      <c r="G3987" s="1">
        <v>9</v>
      </c>
      <c r="H3987" s="1">
        <v>1</v>
      </c>
      <c r="I3987" s="1" t="s">
        <v>6882</v>
      </c>
      <c r="K3987" s="1" t="str">
        <f t="shared" si="246"/>
        <v>ㄊ</v>
      </c>
      <c r="L3987" s="1" t="str">
        <f t="shared" si="247"/>
        <v>ㄨ</v>
      </c>
      <c r="M3987" s="1" t="str">
        <f t="shared" si="248"/>
        <v>ㄛ</v>
      </c>
      <c r="P3987" s="1" t="s">
        <v>20</v>
      </c>
      <c r="R3987" s="1" t="s">
        <v>6883</v>
      </c>
      <c r="V3987" s="1" t="s">
        <v>6888</v>
      </c>
      <c r="W3987" s="1" t="s">
        <v>6889</v>
      </c>
      <c r="AR3987" s="1" t="str">
        <f t="shared" si="249"/>
        <v>| [ㄊㄨㄛˇ](ㄊㄨㄛˇ.md) | [媠](媠.md) |  | tuǒ | [形]
美好。如：「婑媠」。《文選．曹植．七啟》：「收亂髮兮拂蘭澤，行媠服兮揚幽若。」李善注引《說文》曰：「媠，南楚之名謂好也。」 |</v>
      </c>
    </row>
    <row r="3988" spans="1:44" hidden="1">
      <c r="A3988" s="1" t="s">
        <v>6890</v>
      </c>
      <c r="C3988" s="1">
        <v>1</v>
      </c>
      <c r="D3988" s="1" t="str">
        <f>"02829"</f>
        <v>02829</v>
      </c>
      <c r="E3988" s="1" t="s">
        <v>139</v>
      </c>
      <c r="F3988" s="1">
        <v>16</v>
      </c>
      <c r="G3988" s="1">
        <v>12</v>
      </c>
      <c r="H3988" s="1">
        <v>0</v>
      </c>
      <c r="I3988" s="1" t="s">
        <v>6882</v>
      </c>
      <c r="K3988" s="1" t="str">
        <f t="shared" si="246"/>
        <v>ㄊ</v>
      </c>
      <c r="L3988" s="1" t="str">
        <f t="shared" si="247"/>
        <v>ㄨ</v>
      </c>
      <c r="M3988" s="1" t="str">
        <f t="shared" si="248"/>
        <v>ㄛ</v>
      </c>
      <c r="P3988" s="1" t="s">
        <v>20</v>
      </c>
      <c r="R3988" s="1" t="s">
        <v>6883</v>
      </c>
      <c r="V3988" s="1" t="s">
        <v>6891</v>
      </c>
      <c r="AR3988" s="1" t="str">
        <f t="shared" si="249"/>
        <v>| [ㄊㄨㄛˇ](ㄊㄨㄛˇ.md) | [橢](橢.md) |  | tuǒ | [名]
狹長或長圓形的器物。《說文解字．木部》：「橢，車笭中橢橢器也。」清．朱駿聲《說文通訓定聲．隨部》：「橢，凡狹長之器皆得曰橢。」
[形]
狹長的、長圓形的。如：「橢圓形」。宋．蘇軾〈張近幾仲有龍尾子石硯以銅劍易之〉詩：「我家銅劍如赤蛇，君家石硯蒼璧橢而窪。」 |</v>
      </c>
    </row>
    <row r="3989" spans="1:44" hidden="1">
      <c r="A3989" s="1" t="s">
        <v>5952</v>
      </c>
      <c r="C3989" s="1">
        <v>1</v>
      </c>
      <c r="D3989" s="1" t="str">
        <f>"02830"</f>
        <v>02830</v>
      </c>
      <c r="E3989" s="1" t="s">
        <v>24</v>
      </c>
      <c r="F3989" s="1">
        <v>8</v>
      </c>
      <c r="G3989" s="1">
        <v>5</v>
      </c>
      <c r="H3989" s="1">
        <v>1</v>
      </c>
      <c r="I3989" s="1" t="s">
        <v>6892</v>
      </c>
      <c r="K3989" s="1" t="str">
        <f t="shared" si="246"/>
        <v>ㄊ</v>
      </c>
      <c r="L3989" s="1" t="str">
        <f t="shared" si="247"/>
        <v>ㄨ</v>
      </c>
      <c r="M3989" s="1" t="str">
        <f t="shared" si="248"/>
        <v>ㄛ</v>
      </c>
      <c r="P3989" s="1" t="s">
        <v>20</v>
      </c>
      <c r="R3989" s="1" t="s">
        <v>6893</v>
      </c>
      <c r="V3989" s="1" t="s">
        <v>6894</v>
      </c>
      <c r="W3989" s="1" t="s">
        <v>6895</v>
      </c>
      <c r="AR3989" s="1" t="str">
        <f t="shared" si="249"/>
        <v>| [ㄊㄨㄛˋ](ㄊㄨㄛˋ.md) | [拓](拓.md) |  | tuò | [動]
1.開展、擴充。如：「開拓」、「拓展」。
2.開墾。如：「拓荒」。 |</v>
      </c>
    </row>
    <row r="3990" spans="1:44" hidden="1">
      <c r="A3990" s="1" t="s">
        <v>6896</v>
      </c>
      <c r="C3990" s="1">
        <v>1</v>
      </c>
      <c r="D3990" s="1" t="str">
        <f>"02831"</f>
        <v>02831</v>
      </c>
      <c r="E3990" s="1" t="s">
        <v>139</v>
      </c>
      <c r="F3990" s="1">
        <v>9</v>
      </c>
      <c r="G3990" s="1">
        <v>5</v>
      </c>
      <c r="H3990" s="1">
        <v>0</v>
      </c>
      <c r="I3990" s="1" t="s">
        <v>6892</v>
      </c>
      <c r="K3990" s="1" t="str">
        <f t="shared" si="246"/>
        <v>ㄊ</v>
      </c>
      <c r="L3990" s="1" t="str">
        <f t="shared" si="247"/>
        <v>ㄨ</v>
      </c>
      <c r="M3990" s="1" t="str">
        <f t="shared" si="248"/>
        <v>ㄛ</v>
      </c>
      <c r="P3990" s="1" t="s">
        <v>20</v>
      </c>
      <c r="R3990" s="1" t="s">
        <v>6893</v>
      </c>
      <c r="V3990" s="1" t="s">
        <v>6897</v>
      </c>
      <c r="AR3990" s="1" t="str">
        <f t="shared" si="249"/>
        <v>| [ㄊㄨㄛˋ](ㄊㄨㄛˋ.md) | [柝](柝.md) |  | tuò | [名]
舊時巡夜人打更所敲擊的木梆。如：「重門擊柝」。南朝梁．無名氏〈木蘭詩〉二首之一：「朔氣傳金柝，寒光照鐵衣。」清．孔尚任《桃花扇》第三五齣：「棲鳥頻叫，擊柝連聲，女牆邊，側耳聽。」
[動]
開拓。《淮南子．原道》：「廓四方，柝八極。」漢．王符《潛夫論．救邊》：「武皇帝攘夷柝境，面數千里。」 |</v>
      </c>
    </row>
    <row r="3991" spans="1:44" hidden="1">
      <c r="A3991" s="1" t="s">
        <v>6898</v>
      </c>
      <c r="C3991" s="1">
        <v>1</v>
      </c>
      <c r="D3991" s="1" t="str">
        <f>"02832"</f>
        <v>02832</v>
      </c>
      <c r="E3991" s="1" t="s">
        <v>77</v>
      </c>
      <c r="F3991" s="1">
        <v>12</v>
      </c>
      <c r="G3991" s="1">
        <v>5</v>
      </c>
      <c r="H3991" s="1">
        <v>0</v>
      </c>
      <c r="I3991" s="1" t="s">
        <v>6892</v>
      </c>
      <c r="K3991" s="1" t="str">
        <f t="shared" si="246"/>
        <v>ㄊ</v>
      </c>
      <c r="L3991" s="1" t="str">
        <f t="shared" si="247"/>
        <v>ㄨ</v>
      </c>
      <c r="M3991" s="1" t="str">
        <f t="shared" si="248"/>
        <v>ㄛ</v>
      </c>
      <c r="P3991" s="1" t="s">
        <v>20</v>
      </c>
      <c r="R3991" s="1" t="s">
        <v>6893</v>
      </c>
      <c r="V3991" s="1" t="s">
        <v>6899</v>
      </c>
      <c r="AR3991" s="1" t="str">
        <f t="shared" si="249"/>
        <v>| [ㄊㄨㄛˋ](ㄊㄨㄛˋ.md) | [跅](跅.md) |  | tuò | 參見「跅弛」條。 |</v>
      </c>
    </row>
    <row r="3992" spans="1:44" hidden="1">
      <c r="A3992" s="1" t="s">
        <v>6900</v>
      </c>
      <c r="C3992" s="1">
        <v>1</v>
      </c>
      <c r="D3992" s="1" t="str">
        <f>"02833"</f>
        <v>02833</v>
      </c>
      <c r="E3992" s="1" t="s">
        <v>28</v>
      </c>
      <c r="F3992" s="1">
        <v>12</v>
      </c>
      <c r="G3992" s="1">
        <v>9</v>
      </c>
      <c r="H3992" s="1">
        <v>0</v>
      </c>
      <c r="I3992" s="1" t="s">
        <v>6892</v>
      </c>
      <c r="K3992" s="1" t="str">
        <f t="shared" si="246"/>
        <v>ㄊ</v>
      </c>
      <c r="L3992" s="1" t="str">
        <f t="shared" si="247"/>
        <v>ㄨ</v>
      </c>
      <c r="M3992" s="1" t="str">
        <f t="shared" si="248"/>
        <v>ㄛ</v>
      </c>
      <c r="P3992" s="1" t="s">
        <v>20</v>
      </c>
      <c r="R3992" s="1" t="s">
        <v>6893</v>
      </c>
      <c r="V3992" s="1" t="s">
        <v>6901</v>
      </c>
      <c r="AR3992" s="1" t="str">
        <f t="shared" si="249"/>
        <v>| [ㄊㄨㄛˋ](ㄊㄨㄛˋ.md) | [唾](唾.md) |  | tuò | [名]
口水、口液。如：「唾沫」、「唾液」。《文選．揚雄．解嘲》：「顩頤折頞，涕唾流沫。」《董西廂》卷三：「秀才家，平生餓，無那，空倚著門兒嚥唾。」
[動]
1.吐口水。有輕視、鄙棄的意思。如：「唾罵」、「唾棄」。《戰國策．趙策四》：「太后明謂左右：『有復言令長安君為質者，老婦必唾其面。』」
2.吐。《韓非子．外儲說左上》：「魯人有自喜者，見長年飲酒，不能釂則唾之，亦效唾之。」唐．韓愈〈太學博士李君墓誌銘〉：「發且止，唾血數十升以斃。」 |</v>
      </c>
    </row>
    <row r="3993" spans="1:44" hidden="1">
      <c r="A3993" s="1" t="s">
        <v>1622</v>
      </c>
      <c r="C3993" s="1">
        <v>1</v>
      </c>
      <c r="D3993" s="1" t="str">
        <f>"02834"</f>
        <v>02834</v>
      </c>
      <c r="E3993" s="1" t="s">
        <v>83</v>
      </c>
      <c r="F3993" s="1">
        <v>15</v>
      </c>
      <c r="G3993" s="1">
        <v>5</v>
      </c>
      <c r="H3993" s="1">
        <v>2</v>
      </c>
      <c r="I3993" s="1" t="s">
        <v>6892</v>
      </c>
      <c r="K3993" s="1" t="str">
        <f t="shared" si="246"/>
        <v>ㄊ</v>
      </c>
      <c r="L3993" s="1" t="str">
        <f t="shared" si="247"/>
        <v>ㄨ</v>
      </c>
      <c r="M3993" s="1" t="str">
        <f t="shared" si="248"/>
        <v>ㄛ</v>
      </c>
      <c r="P3993" s="1" t="s">
        <v>20</v>
      </c>
      <c r="R3993" s="1" t="s">
        <v>6893</v>
      </c>
      <c r="V3993" s="1" t="s">
        <v>6902</v>
      </c>
      <c r="W3993" s="1" t="s">
        <v>6903</v>
      </c>
      <c r="AR3993" s="1" t="str">
        <f t="shared" si="249"/>
        <v>| [ㄊㄨㄛˋ](ㄊㄨㄛˋ.md) | [魄](魄.md) |  | tuò | 參見「落魄」條。 |</v>
      </c>
    </row>
    <row r="3994" spans="1:44" hidden="1">
      <c r="A3994" s="1" t="s">
        <v>6904</v>
      </c>
      <c r="C3994" s="1">
        <v>1</v>
      </c>
      <c r="D3994" s="1" t="str">
        <f>"02835"</f>
        <v>02835</v>
      </c>
      <c r="E3994" s="1" t="s">
        <v>37</v>
      </c>
      <c r="F3994" s="1">
        <v>20</v>
      </c>
      <c r="G3994" s="1">
        <v>16</v>
      </c>
      <c r="H3994" s="1">
        <v>0</v>
      </c>
      <c r="I3994" s="1" t="s">
        <v>6892</v>
      </c>
      <c r="K3994" s="1" t="str">
        <f t="shared" si="246"/>
        <v>ㄊ</v>
      </c>
      <c r="L3994" s="1" t="str">
        <f t="shared" si="247"/>
        <v>ㄨ</v>
      </c>
      <c r="M3994" s="1" t="str">
        <f t="shared" si="248"/>
        <v>ㄛ</v>
      </c>
      <c r="P3994" s="1" t="s">
        <v>20</v>
      </c>
      <c r="R3994" s="1" t="s">
        <v>6893</v>
      </c>
      <c r="V3994" s="1" t="s">
        <v>6905</v>
      </c>
      <c r="AR3994" s="1" t="str">
        <f t="shared" si="249"/>
        <v>| [ㄊㄨㄛˋ](ㄊㄨㄛˋ.md) | [蘀](蘀.md) |  | tuò | [名]
草木脫落下來的皮或葉。《說文解字．艸部》：「蘀，草木凡皮葉落，陊地為蘀。」《詩經．豳風．七月》：「八月其穫，十月隕蘀。」 |</v>
      </c>
    </row>
    <row r="3995" spans="1:44" hidden="1">
      <c r="A3995" s="1" t="s">
        <v>6906</v>
      </c>
      <c r="C3995" s="1">
        <v>1</v>
      </c>
      <c r="D3995" s="1" t="str">
        <f>"02836"</f>
        <v>02836</v>
      </c>
      <c r="E3995" s="1" t="s">
        <v>49</v>
      </c>
      <c r="F3995" s="1">
        <v>22</v>
      </c>
      <c r="G3995" s="1">
        <v>16</v>
      </c>
      <c r="H3995" s="1">
        <v>0</v>
      </c>
      <c r="I3995" s="1" t="s">
        <v>6892</v>
      </c>
      <c r="K3995" s="1" t="str">
        <f t="shared" si="246"/>
        <v>ㄊ</v>
      </c>
      <c r="L3995" s="1" t="str">
        <f t="shared" si="247"/>
        <v>ㄨ</v>
      </c>
      <c r="M3995" s="1" t="str">
        <f t="shared" si="248"/>
        <v>ㄛ</v>
      </c>
      <c r="P3995" s="1" t="s">
        <v>20</v>
      </c>
      <c r="R3995" s="1" t="s">
        <v>6893</v>
      </c>
      <c r="V3995" s="1" t="s">
        <v>6907</v>
      </c>
      <c r="AR3995" s="1" t="str">
        <f t="shared" si="249"/>
        <v>| [ㄊㄨㄛˋ](ㄊㄨㄛˋ.md) | [籜](籜.md) |  | tuò | [名]
竹皮、筍殼。如：「竹籜」、「筍籜」。南朝梁．沈約〈休沐寄懷詩〉：「紫籜開綠篠，白鳥映青疇。」唐．杜甫〈嚴鄭公宅同詠竹〉詩：「綠竹半含籜，新梢纔出牆。」 |</v>
      </c>
    </row>
    <row r="3996" spans="1:44" hidden="1">
      <c r="A3996" s="1" t="s">
        <v>6509</v>
      </c>
      <c r="C3996" s="1">
        <v>1</v>
      </c>
      <c r="D3996" s="1" t="str">
        <f>"02665"</f>
        <v>02665</v>
      </c>
      <c r="E3996" s="1" t="s">
        <v>250</v>
      </c>
      <c r="F3996" s="1">
        <v>8</v>
      </c>
      <c r="G3996" s="1">
        <v>5</v>
      </c>
      <c r="H3996" s="1">
        <v>1</v>
      </c>
      <c r="I3996" s="1" t="s">
        <v>6510</v>
      </c>
      <c r="K3996" s="1" t="str">
        <f t="shared" si="246"/>
        <v>ㄊ</v>
      </c>
      <c r="L3996" s="1" t="str">
        <f t="shared" si="247"/>
        <v>ㄧ</v>
      </c>
      <c r="M3996" s="1" t="str">
        <f t="shared" si="248"/>
        <v>ㄝ</v>
      </c>
      <c r="P3996" s="1" t="s">
        <v>20</v>
      </c>
      <c r="R3996" s="1" t="s">
        <v>6511</v>
      </c>
      <c r="V3996" s="1" t="s">
        <v>6512</v>
      </c>
      <c r="W3996" s="1" t="s">
        <v>6513</v>
      </c>
      <c r="AR3996" s="1" t="str">
        <f t="shared" si="249"/>
        <v>| [ㄊㄧㄝ](ㄊㄧㄝ.md) | [怗](怗.md) |  | tiē | [動]
平服、平定。《公羊傳．僖公四年》：「桓公救中國而攘夷狄，卒怗荊，以此為王者之事也。」
[副]
安靜。《太平廣記．卷四五六．餘干縣令》：「又灌百斛，乃怗然無聲。」 |</v>
      </c>
    </row>
    <row r="3997" spans="1:44" hidden="1">
      <c r="A3997" s="1" t="s">
        <v>6514</v>
      </c>
      <c r="C3997" s="1">
        <v>1</v>
      </c>
      <c r="D3997" s="1" t="str">
        <f>"02666"</f>
        <v>02666</v>
      </c>
      <c r="E3997" s="1" t="s">
        <v>222</v>
      </c>
      <c r="F3997" s="1">
        <v>8</v>
      </c>
      <c r="G3997" s="1">
        <v>5</v>
      </c>
      <c r="H3997" s="1">
        <v>1</v>
      </c>
      <c r="I3997" s="1" t="s">
        <v>6510</v>
      </c>
      <c r="K3997" s="1" t="str">
        <f t="shared" si="246"/>
        <v>ㄊ</v>
      </c>
      <c r="L3997" s="1" t="str">
        <f t="shared" si="247"/>
        <v>ㄧ</v>
      </c>
      <c r="M3997" s="1" t="str">
        <f t="shared" si="248"/>
        <v>ㄝ</v>
      </c>
      <c r="P3997" s="1" t="s">
        <v>20</v>
      </c>
      <c r="R3997" s="1" t="s">
        <v>6511</v>
      </c>
      <c r="V3997" s="1" t="s">
        <v>6515</v>
      </c>
      <c r="W3997" s="1" t="s">
        <v>6516</v>
      </c>
      <c r="AR3997" s="1" t="str">
        <f t="shared" si="249"/>
        <v>| [ㄊㄧㄝ](ㄊㄧㄝ.md) | [帖](帖.md) |  | tiē | [動]
1.順服、馴伏。通「貼」。如：「帖服」、「俯首帖耳」。宋．薛季宣〈跋蠟虎圖〉詩：「請君懸之政事堂，坐令帖伏犬與羊。」
2.黏。通「貼」。如：「帖花黃」。元．無名氏《陳州糶米》第一折：「有朝事發丟下頭，拚著帖個大膏藥。」
[形]
穩當、適切。如：「妥帖」。
[名]
姓。如明代有帖晏。 |</v>
      </c>
    </row>
    <row r="3998" spans="1:44" hidden="1">
      <c r="A3998" s="1" t="s">
        <v>6517</v>
      </c>
      <c r="C3998" s="1">
        <v>1</v>
      </c>
      <c r="D3998" s="1" t="str">
        <f>"02667"</f>
        <v>02667</v>
      </c>
      <c r="E3998" s="1" t="s">
        <v>505</v>
      </c>
      <c r="F3998" s="1">
        <v>12</v>
      </c>
      <c r="G3998" s="1">
        <v>5</v>
      </c>
      <c r="H3998" s="1">
        <v>0</v>
      </c>
      <c r="I3998" s="1" t="s">
        <v>6510</v>
      </c>
      <c r="K3998" s="1" t="str">
        <f t="shared" si="246"/>
        <v>ㄊ</v>
      </c>
      <c r="L3998" s="1" t="str">
        <f t="shared" si="247"/>
        <v>ㄧ</v>
      </c>
      <c r="M3998" s="1" t="str">
        <f t="shared" si="248"/>
        <v>ㄝ</v>
      </c>
      <c r="P3998" s="1" t="s">
        <v>20</v>
      </c>
      <c r="R3998" s="1" t="s">
        <v>6511</v>
      </c>
      <c r="V3998" s="1" t="s">
        <v>6518</v>
      </c>
      <c r="AR3998" s="1" t="str">
        <f t="shared" si="249"/>
        <v>| [ㄊㄧㄝ](ㄊㄧㄝ.md) | [貼](貼.md) |  | tiē | [動]
1.黏附。如：「貼郵票」、「張貼」、「剪貼」。《紅樓夢》第五回：「寶玉抬頭，先看見一幅畫貼在上面，畫的人物甚好。」
2.挨近、接近。如：「緊貼」、「貼身」、「貼近」。宋．晏殊〈拂霓裳．樂秋天〉詞：「風日好，數行新雁貼寒煙。」
3.順服、服從。如：「部屬們對他十分服貼。」
4.補助。如：「補貼」、「貼現」、「哥哥每月貼他五十元。」
5.虧損、賠損。如：「倒貼」、「他貼了老本，還是無法挽救這家公司。」
6.在電腦應用程式中將此畫面的資料剪下，拷貝到另一畫面的動作。為英語paste的意譯。
7.質押、典當。唐．李嶠〈諫建白馬坂大像疏〉：「亦有賣舍貼田，以供王役。」
[形]
適切、妥當。如：「妥貼」、「貼切」。
[名]
1.戲劇角色中正旦以外的次要旦角稱為「貼」。元曲中稱為「貼旦」、「副旦」，明傳奇稱為「貼」。
2.一種油炸或火烤成的食物，底部焦香，表面熟軟。如：「鍋貼」。 |</v>
      </c>
    </row>
    <row r="3999" spans="1:44" hidden="1">
      <c r="A3999" s="1" t="s">
        <v>5354</v>
      </c>
      <c r="C3999" s="1">
        <v>1</v>
      </c>
      <c r="D3999" s="1" t="str">
        <f>"02668"</f>
        <v>02668</v>
      </c>
      <c r="E3999" s="1" t="s">
        <v>77</v>
      </c>
      <c r="F3999" s="1">
        <v>12</v>
      </c>
      <c r="G3999" s="1">
        <v>5</v>
      </c>
      <c r="H3999" s="1">
        <v>1</v>
      </c>
      <c r="I3999" s="1" t="s">
        <v>6510</v>
      </c>
      <c r="K3999" s="1" t="str">
        <f t="shared" si="246"/>
        <v>ㄊ</v>
      </c>
      <c r="L3999" s="1" t="str">
        <f t="shared" si="247"/>
        <v>ㄧ</v>
      </c>
      <c r="M3999" s="1" t="str">
        <f t="shared" si="248"/>
        <v>ㄝ</v>
      </c>
      <c r="P3999" s="1" t="s">
        <v>20</v>
      </c>
      <c r="R3999" s="1" t="s">
        <v>6511</v>
      </c>
      <c r="V3999" s="1" t="s">
        <v>6519</v>
      </c>
      <c r="W3999" s="1" t="s">
        <v>6520</v>
      </c>
      <c r="AR3999" s="1" t="str">
        <f t="shared" si="249"/>
        <v>| [ㄊㄧㄝ](ㄊㄧㄝ.md) | [跕](跕.md) |  | tiē | [動]
1.拖著鞋子走路。《集韻．入聲．帖韻》：「跕，行曳履。」《史記．卷一二九．貨殖傳》：「女子則鼓鳴瑟，跕屣，游媚貴富，入後宮，遍諸侯。」南朝宋．裴駰．集解：「瓚曰：『躡跟為跕也。』」《漢書．卷二八．地理志下》：「女子彈弦跕躧。」唐．顏師古．注：「躧字與屣同。屣謂小履之無跟者也。跕謂輕躡之也。」
2.貼近、貼著水面而飛。唐．宋之問〈為韋特進已下祭汝南王文〉：「鳶忌南而跕水，鴈愛北而隨車。」 |</v>
      </c>
    </row>
    <row r="4000" spans="1:44" hidden="1">
      <c r="A4000" s="1" t="s">
        <v>6514</v>
      </c>
      <c r="C4000" s="1">
        <v>1</v>
      </c>
      <c r="D4000" s="1" t="str">
        <f>"02669"</f>
        <v>02669</v>
      </c>
      <c r="E4000" s="1" t="s">
        <v>222</v>
      </c>
      <c r="F4000" s="1">
        <v>8</v>
      </c>
      <c r="G4000" s="1">
        <v>5</v>
      </c>
      <c r="H4000" s="1">
        <v>2</v>
      </c>
      <c r="I4000" s="1" t="s">
        <v>6521</v>
      </c>
      <c r="K4000" s="1" t="str">
        <f t="shared" si="246"/>
        <v>ㄊ</v>
      </c>
      <c r="L4000" s="1" t="str">
        <f t="shared" si="247"/>
        <v>ㄧ</v>
      </c>
      <c r="M4000" s="1" t="str">
        <f t="shared" si="248"/>
        <v>ㄝ</v>
      </c>
      <c r="P4000" s="1" t="s">
        <v>20</v>
      </c>
      <c r="R4000" s="1" t="s">
        <v>6522</v>
      </c>
      <c r="V4000" s="1" t="s">
        <v>6523</v>
      </c>
      <c r="W4000" s="1" t="s">
        <v>6524</v>
      </c>
      <c r="AR4000" s="1" t="str">
        <f t="shared" si="249"/>
        <v>| [ㄊㄧㄝˇ](ㄊㄧㄝˇ.md) | [帖](帖.md) |  | tiě | [名]
1.應酬用的書柬。如：「請帖」、「謝帖」。《儒林外史》第一〇回：「你回他我們不在家，留下了帖罷。」
2.量詞。計算藥劑的單位。如：「一帖藥」。 |</v>
      </c>
    </row>
    <row r="4001" spans="1:44" hidden="1">
      <c r="A4001" s="1" t="s">
        <v>6525</v>
      </c>
      <c r="C4001" s="1">
        <v>1</v>
      </c>
      <c r="D4001" s="1" t="str">
        <f>"02670"</f>
        <v>02670</v>
      </c>
      <c r="E4001" s="1" t="s">
        <v>55</v>
      </c>
      <c r="F4001" s="1">
        <v>21</v>
      </c>
      <c r="G4001" s="1">
        <v>13</v>
      </c>
      <c r="H4001" s="1">
        <v>0</v>
      </c>
      <c r="I4001" s="1" t="s">
        <v>6521</v>
      </c>
      <c r="K4001" s="1" t="str">
        <f t="shared" si="246"/>
        <v>ㄊ</v>
      </c>
      <c r="L4001" s="1" t="str">
        <f t="shared" si="247"/>
        <v>ㄧ</v>
      </c>
      <c r="M4001" s="1" t="str">
        <f t="shared" si="248"/>
        <v>ㄝ</v>
      </c>
      <c r="P4001" s="1" t="s">
        <v>20</v>
      </c>
      <c r="R4001" s="1" t="s">
        <v>6522</v>
      </c>
      <c r="V4001" s="1" t="s">
        <v>6526</v>
      </c>
      <c r="AR4001" s="1" t="str">
        <f t="shared" si="249"/>
        <v>| [ㄊㄧㄝˇ](ㄊㄧㄝˇ.md) | [鐵](鐵.md) |  | tiě | [名]
1.（iron，Fe）化學元素。原子序26。銀白色的金屬元素，富延展性，容易導電傳熱。受電磁感應會產生磁性。在潮溼空氣中容易生鏽。加熱後能與許多化學元素反應，鍛冶成各式材料，為煉鋼的主要原料，是應用最廣的金屬。大多存在於火成岩中。人體中若飲食長期缺乏鐵質會引起貧血。
2.兵器。如：「手無寸鐵」。漢．李陵〈答蘇武書〉：「兵盡矢窮，人無尺鐵，猶復徒首奮呼？」
3.姓。如隋朝時有鐵士雄。
[形]
1.堅固、堅硬。如：「鐵拳」、「銅牆鐵壁」、「金城鐵郭」。
2.堅定不變的。如：「鐵石心腸」、「鐵證如山」。南朝梁．劉勰《文心雕龍．祝盟》：「劉琨鐵誓，精貫霏霜。」
3.強硬、勁悍精銳。如：「鐵蹄」。唐．駱賓王〈代徐敬業討武氏檄〉：「鐵騎成群，玉軸相接。」
[副]
必定。如：「鐵定」、「鐵不是」。 |</v>
      </c>
    </row>
    <row r="4002" spans="1:44" hidden="1">
      <c r="A4002" s="1" t="s">
        <v>6527</v>
      </c>
      <c r="C4002" s="1">
        <v>1</v>
      </c>
      <c r="D4002" s="1" t="str">
        <f>"02671"</f>
        <v>02671</v>
      </c>
      <c r="E4002" s="1" t="s">
        <v>319</v>
      </c>
      <c r="F4002" s="1">
        <v>23</v>
      </c>
      <c r="G4002" s="1">
        <v>13</v>
      </c>
      <c r="H4002" s="1">
        <v>0</v>
      </c>
      <c r="I4002" s="1" t="s">
        <v>6521</v>
      </c>
      <c r="K4002" s="1" t="str">
        <f t="shared" si="246"/>
        <v>ㄊ</v>
      </c>
      <c r="L4002" s="1" t="str">
        <f t="shared" si="247"/>
        <v>ㄧ</v>
      </c>
      <c r="M4002" s="1" t="str">
        <f t="shared" si="248"/>
        <v>ㄝ</v>
      </c>
      <c r="P4002" s="1" t="s">
        <v>20</v>
      </c>
      <c r="R4002" s="1" t="s">
        <v>6522</v>
      </c>
      <c r="V4002" s="1" t="s">
        <v>6528</v>
      </c>
      <c r="AR4002" s="1" t="str">
        <f t="shared" si="249"/>
        <v>| [ㄊㄧㄝˇ](ㄊㄧㄝˇ.md) | [驖](驖.md) |  | tiě | [名]
毛色赤黑的馬。《說文解字．馬部》：「驖，馬赤黑色。」《詩經．秦風．駟驖》：「駟驖孔阜，六轡在手。」 |</v>
      </c>
    </row>
    <row r="4003" spans="1:44" hidden="1">
      <c r="A4003" s="1" t="s">
        <v>6514</v>
      </c>
      <c r="C4003" s="1">
        <v>1</v>
      </c>
      <c r="D4003" s="1" t="str">
        <f>"02672"</f>
        <v>02672</v>
      </c>
      <c r="E4003" s="1" t="s">
        <v>222</v>
      </c>
      <c r="F4003" s="1">
        <v>8</v>
      </c>
      <c r="G4003" s="1">
        <v>5</v>
      </c>
      <c r="H4003" s="1">
        <v>3</v>
      </c>
      <c r="I4003" s="1" t="s">
        <v>6529</v>
      </c>
      <c r="K4003" s="1" t="str">
        <f t="shared" si="246"/>
        <v>ㄊ</v>
      </c>
      <c r="L4003" s="1" t="str">
        <f t="shared" si="247"/>
        <v>ㄧ</v>
      </c>
      <c r="M4003" s="1" t="str">
        <f t="shared" si="248"/>
        <v>ㄝ</v>
      </c>
      <c r="P4003" s="1" t="s">
        <v>20</v>
      </c>
      <c r="R4003" s="1" t="s">
        <v>6530</v>
      </c>
      <c r="V4003" s="1" t="s">
        <v>6531</v>
      </c>
      <c r="W4003" s="1" t="s">
        <v>6532</v>
      </c>
      <c r="AR4003" s="1" t="str">
        <f t="shared" si="249"/>
        <v>| [ㄊㄧㄝˋ](ㄊㄧㄝˋ.md) | [帖](帖.md) |  | tiè | [名]
1.寫在紙、帛上的書信、詩、文等手書墨蹟。如王羲之的〈喪亂帖〉、〈快雪時晴帖〉。
2.臨摹學習的書畫拓本或影印本。如：「碑帖」、「字帖」、「畫帖」。宋．蘇軾〈虔州呂倚承事年八十三讀書作詩不已好收古今帖貧甚至食不足〉詩：「家藏古今帖，墨色照箱筥。」
3.文書、契據。南朝梁．無名氏〈木蘭詩〉二首之一：「昨夜見軍帖，可汗大點兵。」
4.唐、宋、元科舉時代，稱應試題目為「帖」，從經文中帖出數字而得。如：「試帖」。 |</v>
      </c>
    </row>
    <row r="4004" spans="1:44" hidden="1">
      <c r="A4004" s="1" t="s">
        <v>6533</v>
      </c>
      <c r="C4004" s="1">
        <v>1</v>
      </c>
      <c r="D4004" s="1" t="str">
        <f>"02673"</f>
        <v>02673</v>
      </c>
      <c r="E4004" s="1" t="s">
        <v>193</v>
      </c>
      <c r="F4004" s="1">
        <v>18</v>
      </c>
      <c r="G4004" s="1">
        <v>9</v>
      </c>
      <c r="H4004" s="1">
        <v>0</v>
      </c>
      <c r="I4004" s="1" t="s">
        <v>6529</v>
      </c>
      <c r="K4004" s="1" t="str">
        <f t="shared" si="246"/>
        <v>ㄊ</v>
      </c>
      <c r="L4004" s="1" t="str">
        <f t="shared" si="247"/>
        <v>ㄧ</v>
      </c>
      <c r="M4004" s="1" t="str">
        <f t="shared" si="248"/>
        <v>ㄝ</v>
      </c>
      <c r="P4004" s="1" t="s">
        <v>20</v>
      </c>
      <c r="R4004" s="1" t="s">
        <v>6530</v>
      </c>
      <c r="V4004" s="1" t="s">
        <v>6113</v>
      </c>
      <c r="AR4004" s="1" t="str">
        <f t="shared" si="249"/>
        <v>| [ㄊㄧㄝˋ](ㄊㄧㄝˋ.md) | [餮](餮.md) |  | tiè | 參見「饕餮」條。 |</v>
      </c>
    </row>
    <row r="4005" spans="1:44" hidden="1">
      <c r="A4005" s="1" t="s">
        <v>6908</v>
      </c>
      <c r="C4005" s="1">
        <v>1</v>
      </c>
      <c r="D4005" s="1" t="str">
        <f>"02837"</f>
        <v>02837</v>
      </c>
      <c r="E4005" s="1" t="s">
        <v>24</v>
      </c>
      <c r="F4005" s="1">
        <v>11</v>
      </c>
      <c r="G4005" s="1">
        <v>8</v>
      </c>
      <c r="H4005" s="1">
        <v>0</v>
      </c>
      <c r="I4005" s="1" t="s">
        <v>6909</v>
      </c>
      <c r="K4005" s="1" t="str">
        <f t="shared" si="246"/>
        <v>ㄊ</v>
      </c>
      <c r="L4005" s="1" t="str">
        <f t="shared" si="247"/>
        <v>ㄨ</v>
      </c>
      <c r="M4005" s="1" t="str">
        <f t="shared" si="248"/>
        <v>ㄟ</v>
      </c>
      <c r="P4005" s="1" t="s">
        <v>20</v>
      </c>
      <c r="R4005" s="1" t="s">
        <v>6910</v>
      </c>
      <c r="V4005" s="1" t="s">
        <v>6911</v>
      </c>
      <c r="AR4005" s="1" t="str">
        <f t="shared" si="249"/>
        <v>| [ㄊㄨㄟ](ㄊㄨㄟ.md) | [推](推.md) |  | tuī | [動]
1.用力往前或往外移動物體。如：「推車」、「推門」。唐．李白〈襄陽歌〉：「玉山自倒非人推。」
2.順著遷移。《易經．繫辭下》：「寒暑相推而歲成焉。」
3.根據已知尋究其他。如：「推算」、「推論」、「以此類推」。《漢書．卷三六．楚元王劉交傳》：「有意其推本之也。」
4.擴充、擴展。如：「推行」、「推銷」、「推廣教育」。《孟子．公孫丑上》：「推惡惡之心。」
5.選擇、荐舉。如：「推選」、「推舉」。《禮記．儒行》：「推賢而進達之。」
6.辭讓、讓與。如：「推讓」。《史記．卷九二．淮陰侯傳》：「推食食我。」
7.藉口、假托。如：「推托」、「推卸」、「推三阻四」。《警世通言．卷二八．白娘子永鎮雷峰塔》：「又推個事故，卻來白娘子家取傘。」
8.尊崇、讚許。如：「推崇」、「推許」。《晉書．卷四一．劉寔傳》：「天下所共推，則天下士也。」
9.除去。如：「推陳出新」。 |</v>
      </c>
    </row>
    <row r="4006" spans="1:44" hidden="1">
      <c r="A4006" s="1" t="s">
        <v>6912</v>
      </c>
      <c r="C4006" s="1">
        <v>1</v>
      </c>
      <c r="D4006" s="1" t="str">
        <f>"02838"</f>
        <v>02838</v>
      </c>
      <c r="E4006" s="1" t="s">
        <v>37</v>
      </c>
      <c r="F4006" s="1">
        <v>15</v>
      </c>
      <c r="G4006" s="1">
        <v>11</v>
      </c>
      <c r="H4006" s="1">
        <v>0</v>
      </c>
      <c r="I4006" s="1" t="s">
        <v>6909</v>
      </c>
      <c r="K4006" s="1" t="str">
        <f t="shared" si="246"/>
        <v>ㄊ</v>
      </c>
      <c r="L4006" s="1" t="str">
        <f t="shared" si="247"/>
        <v>ㄨ</v>
      </c>
      <c r="M4006" s="1" t="str">
        <f t="shared" si="248"/>
        <v>ㄟ</v>
      </c>
      <c r="P4006" s="1" t="s">
        <v>20</v>
      </c>
      <c r="R4006" s="1" t="s">
        <v>6910</v>
      </c>
      <c r="V4006" s="1" t="s">
        <v>6913</v>
      </c>
      <c r="AR4006" s="1" t="str">
        <f t="shared" si="249"/>
        <v>| [ㄊㄨㄟ](ㄊㄨㄟ.md) | [蓷](蓷.md) |  | tuī | [名]
植物名。脣形科茺蔚屬，「茺蔚」、「益母草」之古稱。參見「茺蔚」條。 |</v>
      </c>
    </row>
    <row r="4007" spans="1:44" hidden="1">
      <c r="A4007" s="1" t="s">
        <v>6914</v>
      </c>
      <c r="C4007" s="1">
        <v>1</v>
      </c>
      <c r="D4007" s="1" t="str">
        <f>"02839"</f>
        <v>02839</v>
      </c>
      <c r="E4007" s="1" t="s">
        <v>691</v>
      </c>
      <c r="F4007" s="1">
        <v>15</v>
      </c>
      <c r="G4007" s="1">
        <v>12</v>
      </c>
      <c r="H4007" s="1">
        <v>0</v>
      </c>
      <c r="I4007" s="1" t="s">
        <v>6915</v>
      </c>
      <c r="K4007" s="1" t="str">
        <f t="shared" si="246"/>
        <v>ㄊ</v>
      </c>
      <c r="L4007" s="1" t="str">
        <f t="shared" si="247"/>
        <v>ㄨ</v>
      </c>
      <c r="M4007" s="1" t="str">
        <f t="shared" si="248"/>
        <v>ㄟ</v>
      </c>
      <c r="P4007" s="1" t="s">
        <v>20</v>
      </c>
      <c r="R4007" s="1" t="s">
        <v>6916</v>
      </c>
      <c r="V4007" s="1" t="s">
        <v>6917</v>
      </c>
      <c r="AR4007" s="1" t="str">
        <f t="shared" si="249"/>
        <v>| [ㄊㄨㄟˊ](ㄊㄨㄟˊ.md) | [隤](隤.md) |  | tuí | [動]_x000D_
1.崩墜、墜落。東周戰國．宋玉〈高唐賦〉：「磐石險峻，傾崎崖隤。」《太平廣記．卷四〇〇．李員》引《宣室志》：「夜有甚雨，隤其堂之北垣。」_x000D_
2.敗壞。《漢書．卷五四．李廣蘇建傳．李廣》：「路窮絕兮矢刃摧，士眾滅兮名已隤。」漢．司馬遷〈報任少卿書〉：「李陵既生降，隤其家聲，而僕又佴之蠶室，重為天下觀笑。」_x000D_
3.降臨。《漢書．卷八七．揚雄傳上》引漢．揚雄〈河東賦〉：「因茲以勒崇垂鴻，發祥隤祉。」唐．顏師古．注：「隤，降也。」唐．韋元旦〈游神泉詩序〉：「垂拱元夏，隤祥應運，非醴泉歟？」_x000D_
[名]_x000D_
疝氣。漢．劉熙《釋名．釋疾病》：「陰腫曰隤，氣下隤也。」《黃帝內經素問．卷二．陰陽別論》：「三陽別論，發寒熱下為癰腫，及為痿厥……，其傳為隤疝。」 |</v>
      </c>
    </row>
    <row r="4008" spans="1:44" hidden="1">
      <c r="A4008" s="1" t="s">
        <v>6918</v>
      </c>
      <c r="C4008" s="1">
        <v>1</v>
      </c>
      <c r="D4008" s="1" t="str">
        <f>"02840"</f>
        <v>02840</v>
      </c>
      <c r="E4008" s="1" t="s">
        <v>77</v>
      </c>
      <c r="F4008" s="1">
        <v>19</v>
      </c>
      <c r="G4008" s="1">
        <v>12</v>
      </c>
      <c r="H4008" s="1">
        <v>0</v>
      </c>
      <c r="I4008" s="1" t="s">
        <v>6915</v>
      </c>
      <c r="K4008" s="1" t="str">
        <f t="shared" ref="K4008:K4071" si="250">LEFT(I4008, 1)</f>
        <v>ㄊ</v>
      </c>
      <c r="L4008" s="1" t="str">
        <f t="shared" ref="L4008:L4071" si="251">MID(I4008, 2, 1)</f>
        <v>ㄨ</v>
      </c>
      <c r="M4008" s="1" t="str">
        <f t="shared" si="248"/>
        <v>ㄟ</v>
      </c>
      <c r="P4008" s="1" t="s">
        <v>20</v>
      </c>
      <c r="R4008" s="1" t="s">
        <v>6916</v>
      </c>
      <c r="V4008" s="1" t="s">
        <v>6919</v>
      </c>
      <c r="AR4008" s="1" t="str">
        <f t="shared" si="249"/>
        <v>| [ㄊㄨㄟˊ](ㄊㄨㄟˊ.md) | [蹪](蹪.md) |  | tuí | [動]
顛仆、跌倒。《集韻．平聲．灰韻》：「蹪，楚人謂躓仆為蹪。」《淮南子．人間》：「人莫蹪於山，而蹪於蛭，是故人皆輕小害。」 |</v>
      </c>
    </row>
    <row r="4009" spans="1:44" hidden="1">
      <c r="A4009" s="1" t="s">
        <v>6920</v>
      </c>
      <c r="C4009" s="1">
        <v>1</v>
      </c>
      <c r="D4009" s="1" t="str">
        <f>"02841"</f>
        <v>02841</v>
      </c>
      <c r="E4009" s="1" t="s">
        <v>684</v>
      </c>
      <c r="F4009" s="1">
        <v>16</v>
      </c>
      <c r="G4009" s="1">
        <v>7</v>
      </c>
      <c r="H4009" s="1">
        <v>0</v>
      </c>
      <c r="I4009" s="1" t="s">
        <v>6915</v>
      </c>
      <c r="K4009" s="1" t="str">
        <f t="shared" si="250"/>
        <v>ㄊ</v>
      </c>
      <c r="L4009" s="1" t="str">
        <f t="shared" si="251"/>
        <v>ㄨ</v>
      </c>
      <c r="M4009" s="1" t="str">
        <f t="shared" si="248"/>
        <v>ㄟ</v>
      </c>
      <c r="P4009" s="1" t="s">
        <v>20</v>
      </c>
      <c r="R4009" s="1" t="s">
        <v>6916</v>
      </c>
      <c r="V4009" s="1" t="s">
        <v>6921</v>
      </c>
      <c r="AR4009" s="1" t="str">
        <f t="shared" si="249"/>
        <v>| [ㄊㄨㄟˊ](ㄊㄨㄟˊ.md) | [頹](頹.md) |  | tuí | [動]
1.崩壞、倒塌。《禮記．檀弓上》：「泰山其頹乎！梁木其壞乎！」《文選．鮑照．蕪城賦》：「通池既已夷，峻隅又已頹。」
2.落、墜。《文選．潘岳．寡婦賦》：「四節流兮忽代序，歲云暮兮日西頹。」《新唐書．卷一三八．李嗣業傳》：「嗣業提步士升山，頹石四面以擊賊。」
3.衰敗、敗壞。《文選．諸葛亮．出師表》：「親小人，遠賢士，此後漢所以傾頹也。」
[形]
1.崩塌的。如：「頹垣斷壁」。
2.委靡不振的樣子。如：「頹廢」、「頹喪」。
[副]
恭順、安詳。《禮記．檀弓上》：「敗而后稽顙，頹乎其順也。」漢．鄭玄．注：「頹，順也。」《北史．卷八三．文苑傳．庾信傳》：「身長八尺，腰帶十圍，容止頹然，有過人者。」 |</v>
      </c>
    </row>
    <row r="4010" spans="1:44" hidden="1">
      <c r="A4010" s="1" t="s">
        <v>6922</v>
      </c>
      <c r="C4010" s="1">
        <v>1</v>
      </c>
      <c r="D4010" s="1" t="str">
        <f>"02842"</f>
        <v>02842</v>
      </c>
      <c r="E4010" s="1" t="s">
        <v>83</v>
      </c>
      <c r="F4010" s="1">
        <v>18</v>
      </c>
      <c r="G4010" s="1">
        <v>8</v>
      </c>
      <c r="H4010" s="1">
        <v>0</v>
      </c>
      <c r="I4010" s="1" t="s">
        <v>6915</v>
      </c>
      <c r="K4010" s="1" t="str">
        <f t="shared" si="250"/>
        <v>ㄊ</v>
      </c>
      <c r="L4010" s="1" t="str">
        <f t="shared" si="251"/>
        <v>ㄨ</v>
      </c>
      <c r="M4010" s="1" t="str">
        <f t="shared" si="248"/>
        <v>ㄟ</v>
      </c>
      <c r="P4010" s="1" t="s">
        <v>20</v>
      </c>
      <c r="R4010" s="1" t="s">
        <v>6916</v>
      </c>
      <c r="V4010" s="1" t="s">
        <v>6923</v>
      </c>
      <c r="AR4010" s="1" t="str">
        <f t="shared" si="249"/>
        <v>| [ㄊㄨㄟˊ](ㄊㄨㄟˊ.md) | [魋](魋.md) |  | tuí | [名]
動物名。狀似小熊，短毛，赤黃色，俗稱為「赤熊」。《爾雅．釋獸》：「魋如小熊，竊毛而黃。」晉．郭璞．注：「今建平山中有此獸，狀如熊而小，毛麆淺赤黃色，俗呼為『赤熊』，即魋也。」明．李時珍《本草綱目．卷五一．獸部．熊》：「小而色黃赤者，魋也，建平人呼魋為赤熊。」
[形]
1.魁梧高大。晉．陸雲〈贈顧尚書詩〉：「麗容魋翕，孔好已張。」
2.惡劣。元．王氏〈粉蝶兒．江景蕭疏套．二煞〉：「伴著這魋人物，便似冤魂般相纏。」 |</v>
      </c>
    </row>
    <row r="4011" spans="1:44" hidden="1">
      <c r="A4011" s="1" t="s">
        <v>6924</v>
      </c>
      <c r="C4011" s="1">
        <v>1</v>
      </c>
      <c r="D4011" s="1" t="str">
        <f>"02843"</f>
        <v>02843</v>
      </c>
      <c r="E4011" s="1" t="s">
        <v>114</v>
      </c>
      <c r="F4011" s="1">
        <v>14</v>
      </c>
      <c r="G4011" s="1">
        <v>12</v>
      </c>
      <c r="H4011" s="1">
        <v>0</v>
      </c>
      <c r="I4011" s="1" t="s">
        <v>6925</v>
      </c>
      <c r="K4011" s="1" t="str">
        <f t="shared" si="250"/>
        <v>ㄊ</v>
      </c>
      <c r="L4011" s="1" t="str">
        <f t="shared" si="251"/>
        <v>ㄨ</v>
      </c>
      <c r="M4011" s="1" t="str">
        <f t="shared" si="248"/>
        <v>ㄟ</v>
      </c>
      <c r="P4011" s="1" t="s">
        <v>20</v>
      </c>
      <c r="R4011" s="1" t="s">
        <v>6926</v>
      </c>
      <c r="V4011" s="1" t="s">
        <v>6927</v>
      </c>
      <c r="AR4011" s="1" t="str">
        <f t="shared" si="249"/>
        <v>| [ㄊㄨㄟˇ](ㄊㄨㄟˇ.md) | [僓](僓.md) |  | tuǐ | [形]
嫻雅。《說文解字．人部》：「僓，嫺也。」清．段玉裁．注：「嫺者，雅也。」
[副]
自在不受拘束。《莊子．外物》：「月固不勝火，於是乎有僓然而道盡。」晉．郭象．注：「唯僓然無矜，遺形自得，道乃盡也。」唐．成玄英．疏：「僓然，放任不矜之貌。」 |</v>
      </c>
    </row>
    <row r="4012" spans="1:44" hidden="1">
      <c r="A4012" s="1" t="s">
        <v>6928</v>
      </c>
      <c r="C4012" s="1">
        <v>1</v>
      </c>
      <c r="D4012" s="1" t="str">
        <f>"02844"</f>
        <v>02844</v>
      </c>
      <c r="E4012" s="1" t="s">
        <v>68</v>
      </c>
      <c r="F4012" s="1">
        <v>14</v>
      </c>
      <c r="G4012" s="1">
        <v>10</v>
      </c>
      <c r="H4012" s="1">
        <v>0</v>
      </c>
      <c r="I4012" s="1" t="s">
        <v>6925</v>
      </c>
      <c r="K4012" s="1" t="str">
        <f t="shared" si="250"/>
        <v>ㄊ</v>
      </c>
      <c r="L4012" s="1" t="str">
        <f t="shared" si="251"/>
        <v>ㄨ</v>
      </c>
      <c r="M4012" s="1" t="str">
        <f t="shared" si="248"/>
        <v>ㄟ</v>
      </c>
      <c r="P4012" s="1" t="s">
        <v>20</v>
      </c>
      <c r="R4012" s="1" t="s">
        <v>6926</v>
      </c>
      <c r="V4012" s="1" t="s">
        <v>6929</v>
      </c>
      <c r="AR4012" s="1" t="str">
        <f t="shared" si="249"/>
        <v>| [ㄊㄨㄟˇ](ㄊㄨㄟˇ.md) | [腿](腿.md) |  | tuǐ | [名]
1.脛（小腿）和股（大腿）的總稱。是人或動物用來行走或支持軀體的部位。如：「玉腿」、「拔腿就跑」、「盤腿而坐」。
2.器物底部如腿一般，用來支撐物體的部分。如：「桌腿」、「椅腿」。
3.火腿的簡稱。如：「雲腿」、「宣腿」。 |</v>
      </c>
    </row>
    <row r="4013" spans="1:44" hidden="1">
      <c r="A4013" s="1" t="s">
        <v>6831</v>
      </c>
      <c r="C4013" s="1">
        <v>1</v>
      </c>
      <c r="D4013" s="1" t="str">
        <f>"02845"</f>
        <v>02845</v>
      </c>
      <c r="E4013" s="1" t="s">
        <v>114</v>
      </c>
      <c r="F4013" s="1">
        <v>9</v>
      </c>
      <c r="G4013" s="1">
        <v>7</v>
      </c>
      <c r="H4013" s="1">
        <v>2</v>
      </c>
      <c r="I4013" s="1" t="s">
        <v>6930</v>
      </c>
      <c r="K4013" s="1" t="str">
        <f t="shared" si="250"/>
        <v>ㄊ</v>
      </c>
      <c r="L4013" s="1" t="str">
        <f t="shared" si="251"/>
        <v>ㄨ</v>
      </c>
      <c r="M4013" s="1" t="str">
        <f t="shared" si="248"/>
        <v>ㄟ</v>
      </c>
      <c r="P4013" s="1" t="s">
        <v>20</v>
      </c>
      <c r="R4013" s="1" t="s">
        <v>6931</v>
      </c>
      <c r="V4013" s="1" t="s">
        <v>6932</v>
      </c>
      <c r="W4013" s="1" t="s">
        <v>6933</v>
      </c>
      <c r="AR4013" s="1" t="str">
        <f t="shared" si="249"/>
        <v>| [ㄊㄨㄟˋ](ㄊㄨㄟˋ.md) | [侻](侻.md) |  | tuì | [形]
1.舒緩的樣子。《集韻．去聲．太韻》：「侻，舒緩貌。」
2.合宜的。《文選．宋玉．神女賦》：「嫷被服，侻薄裝。」唐．李善．注：「侻，可也，言薄裝正相堪可。」 |</v>
      </c>
    </row>
    <row r="4014" spans="1:44" hidden="1">
      <c r="A4014" s="1" t="s">
        <v>6837</v>
      </c>
      <c r="C4014" s="1">
        <v>1</v>
      </c>
      <c r="D4014" s="1" t="str">
        <f>"02846"</f>
        <v>02846</v>
      </c>
      <c r="E4014" s="1" t="s">
        <v>68</v>
      </c>
      <c r="F4014" s="1">
        <v>11</v>
      </c>
      <c r="G4014" s="1">
        <v>7</v>
      </c>
      <c r="H4014" s="1">
        <v>2</v>
      </c>
      <c r="I4014" s="1" t="s">
        <v>6930</v>
      </c>
      <c r="K4014" s="1" t="str">
        <f t="shared" si="250"/>
        <v>ㄊ</v>
      </c>
      <c r="L4014" s="1" t="str">
        <f t="shared" si="251"/>
        <v>ㄨ</v>
      </c>
      <c r="M4014" s="1" t="str">
        <f t="shared" si="248"/>
        <v>ㄟ</v>
      </c>
      <c r="P4014" s="1" t="s">
        <v>20</v>
      </c>
      <c r="R4014" s="1" t="s">
        <v>6931</v>
      </c>
      <c r="V4014" s="1" t="s">
        <v>6934</v>
      </c>
      <c r="W4014" s="1" t="s">
        <v>6935</v>
      </c>
      <c r="AR4014" s="1" t="str">
        <f t="shared" si="249"/>
        <v>| [ㄊㄨㄟˋ](ㄊㄨㄟˋ.md) | [脫](脫.md) |  | tuì | [動]
蟬、蛇等動物脫去皮殼，或指人死超生。通「蛻」。《莊子．玉樂》：「蝴蝶胥也化而為蟲，生於灶下，其狀若脫。」《聊齋志異．卷二．珠兒》：「冤閉窮泉，不得脫化。」
[副]
寬舒、舒展、身心愉悅。《淮南子．精神》：「今夫繇者，揭钁臿，負籠土，鹽汗交流，喘息薄喉，當此之時，得茠越下，則脫然而喜矣。」漢．高誘．注：「脫，舒也。言繇人之得小休息，則氣得舒，故喜也。」 |</v>
      </c>
    </row>
    <row r="4015" spans="1:44" hidden="1">
      <c r="A4015" s="1" t="s">
        <v>6936</v>
      </c>
      <c r="C4015" s="1">
        <v>1</v>
      </c>
      <c r="D4015" s="1" t="str">
        <f>"02847"</f>
        <v>02847</v>
      </c>
      <c r="E4015" s="1" t="s">
        <v>679</v>
      </c>
      <c r="F4015" s="1">
        <v>13</v>
      </c>
      <c r="G4015" s="1">
        <v>7</v>
      </c>
      <c r="H4015" s="1">
        <v>1</v>
      </c>
      <c r="I4015" s="1" t="s">
        <v>6930</v>
      </c>
      <c r="K4015" s="1" t="str">
        <f t="shared" si="250"/>
        <v>ㄊ</v>
      </c>
      <c r="L4015" s="1" t="str">
        <f t="shared" si="251"/>
        <v>ㄨ</v>
      </c>
      <c r="M4015" s="1" t="str">
        <f t="shared" si="248"/>
        <v>ㄟ</v>
      </c>
      <c r="P4015" s="1" t="s">
        <v>20</v>
      </c>
      <c r="R4015" s="1" t="s">
        <v>6931</v>
      </c>
      <c r="V4015" s="1" t="s">
        <v>6937</v>
      </c>
      <c r="W4015" s="1" t="s">
        <v>6938</v>
      </c>
      <c r="AR4015" s="1" t="str">
        <f t="shared" si="249"/>
        <v>| [ㄊㄨㄟˋ](ㄊㄨㄟˋ.md) | [蛻](蛻.md) |  | tuì | [動]_x000D_
1.脫去、掉落。如：「蛻皮」。《淮南子．說林》：「蟬飲而不食，三十日而蛻。」三國魏．曹植〈神龜賦〉：「蛇折鱗于平皋，龍蛻骨于深谷。」_x000D_
2.變化。如：「蛻化」。_x000D_
3.道家稱修道成仙，魂魄飛離，空遺身軀為「蛻」。後亦指人死。《抱朴子．內篇．論仙》：「下士先死後蛻，謂之尸解仙。」宋．蘇軾〈和陶詠二疏〉詩：「已蛻則兩忘，身後誰毀譽。」_x000D_
[名]_x000D_
動物所脫下的皮膚或外殼。如：「蟬蛻」、「蛇蛻」。明．李時珍《本草綱目．卷三九．蟲部．蠶》：「蠶之屎曰沙，皮曰蛻。」 |</v>
      </c>
    </row>
    <row r="4016" spans="1:44" hidden="1">
      <c r="A4016" s="1" t="s">
        <v>6939</v>
      </c>
      <c r="C4016" s="1">
        <v>1</v>
      </c>
      <c r="D4016" s="1" t="str">
        <f>"02848"</f>
        <v>02848</v>
      </c>
      <c r="E4016" s="1" t="s">
        <v>319</v>
      </c>
      <c r="F4016" s="1">
        <v>17</v>
      </c>
      <c r="G4016" s="1">
        <v>7</v>
      </c>
      <c r="H4016" s="1">
        <v>0</v>
      </c>
      <c r="I4016" s="1" t="s">
        <v>6930</v>
      </c>
      <c r="K4016" s="1" t="str">
        <f t="shared" si="250"/>
        <v>ㄊ</v>
      </c>
      <c r="L4016" s="1" t="str">
        <f t="shared" si="251"/>
        <v>ㄨ</v>
      </c>
      <c r="M4016" s="1" t="str">
        <f t="shared" si="248"/>
        <v>ㄟ</v>
      </c>
      <c r="P4016" s="1" t="s">
        <v>20</v>
      </c>
      <c r="R4016" s="1" t="s">
        <v>6931</v>
      </c>
      <c r="V4016" s="1" t="s">
        <v>6940</v>
      </c>
      <c r="AR4016" s="1" t="str">
        <f t="shared" si="249"/>
        <v>| [ㄊㄨㄟˋ](ㄊㄨㄟˋ.md) | [駾](駾.md) |  | tuì | [動]
1.馬受驚嚇而急奔。《說文解字．馬部》：「駾，馬行疾來貌也。」
2.泛指迅速奔走。《詩經．大雅．綿》：「混夷駾矣，維其喙矣。」漢．毛亨．傳：「駾，突。」唐．李華〈潤州丹陽縣復練塘頌序〉：「西戎既駾矣，生人舒息。」 |</v>
      </c>
    </row>
    <row r="4017" spans="1:44" hidden="1">
      <c r="A4017" s="1" t="s">
        <v>6941</v>
      </c>
      <c r="C4017" s="1">
        <v>1</v>
      </c>
      <c r="D4017" s="1" t="str">
        <f>"02849"</f>
        <v>02849</v>
      </c>
      <c r="E4017" s="1" t="s">
        <v>558</v>
      </c>
      <c r="F4017" s="1">
        <v>10</v>
      </c>
      <c r="G4017" s="1">
        <v>6</v>
      </c>
      <c r="H4017" s="1">
        <v>0</v>
      </c>
      <c r="I4017" s="1" t="s">
        <v>6930</v>
      </c>
      <c r="K4017" s="1" t="str">
        <f t="shared" si="250"/>
        <v>ㄊ</v>
      </c>
      <c r="L4017" s="1" t="str">
        <f t="shared" si="251"/>
        <v>ㄨ</v>
      </c>
      <c r="M4017" s="1" t="str">
        <f t="shared" si="248"/>
        <v>ㄟ</v>
      </c>
      <c r="P4017" s="1" t="s">
        <v>20</v>
      </c>
      <c r="R4017" s="1" t="s">
        <v>6931</v>
      </c>
      <c r="V4017" s="1" t="s">
        <v>6942</v>
      </c>
      <c r="AR4017" s="1" t="str">
        <f t="shared" si="249"/>
        <v>| [ㄊㄨㄟˋ](ㄊㄨㄟˋ.md) | [退](退.md) |  | tuì | [動]
1.向後倒行、移動。與「進」相對。如：「後退」、「撤退」、「進退兩難」、「以退為進」、「學如逆水行舟，不進則退。」
2.畏縮。如：「退縮不前」。《論語．先進》：「求也退，故進之。」
3.謙讓。如：「謙退」、「退讓」。《晉書．卷三七．宗室列傳．安平獻王孚》：「宣帝執政，常自退損。」
4.離去、離開。如：「退席」、「遲到早退」、「功成身退」。
5.辭去職務。如：「退休」。《史記．卷三一．吳太伯世家》：「子胥退而耕於野。」宋．王安石〈上仁宗皇帝言事書〉：「不敢以其不勝任而輒退之。」
6.取消、解除。如：「退約」、「退租」、「退婚」。《紅樓夢》第一六回：「聞得父母退了前夫，它便一根麻繩，悄悄的自縊了。」
7.脫去、除去。如：「退毛」。《西遊記》第二三回：「把他且浸在後邊淨水池中，浸退了毛衣，使鹽醃著，使陰天下酒。」
8.減損、消失、衰減。如：「退燒」、「退色」、「衰退」。《左傳．昭公三年》：「火中，寒暑乃退。」宋．蘇軾〈雪後書北臺壁〉詩二首之二：「老病自嗟詩力退，空吟冰柱憶劉叉。」
9.歸還。如：「退貨」、「退票」、「多退少補」。《紅樓夢》第五七回：「這丫頭今兒不瘋了！怎麼去了幾日，忽然變了一個人。我明兒必回老太太，退回你去，我不敢要你了。」 |</v>
      </c>
    </row>
    <row r="4018" spans="1:44" hidden="1">
      <c r="A4018" s="1" t="s">
        <v>6943</v>
      </c>
      <c r="C4018" s="1">
        <v>1</v>
      </c>
      <c r="D4018" s="1" t="str">
        <f>"02850"</f>
        <v>02850</v>
      </c>
      <c r="E4018" s="1" t="s">
        <v>340</v>
      </c>
      <c r="F4018" s="1">
        <v>16</v>
      </c>
      <c r="G4018" s="1">
        <v>10</v>
      </c>
      <c r="H4018" s="1">
        <v>2</v>
      </c>
      <c r="I4018" s="1" t="s">
        <v>6930</v>
      </c>
      <c r="K4018" s="1" t="str">
        <f t="shared" si="250"/>
        <v>ㄊ</v>
      </c>
      <c r="L4018" s="1" t="str">
        <f t="shared" si="251"/>
        <v>ㄨ</v>
      </c>
      <c r="M4018" s="1" t="str">
        <f t="shared" si="248"/>
        <v>ㄟ</v>
      </c>
      <c r="P4018" s="1" t="s">
        <v>110</v>
      </c>
      <c r="R4018" s="1" t="s">
        <v>6931</v>
      </c>
      <c r="V4018" s="1" t="s">
        <v>111</v>
      </c>
      <c r="W4018" s="1" t="s">
        <v>6944</v>
      </c>
      <c r="AR4018" s="1" t="str">
        <f t="shared" si="249"/>
        <v>| [ㄊㄨㄟˋ](ㄊㄨㄟˋ.md) | [褪](褪.md) |  | tuì | (一)之又音。 |</v>
      </c>
    </row>
    <row r="4019" spans="1:44" hidden="1">
      <c r="A4019" s="1" t="s">
        <v>6534</v>
      </c>
      <c r="C4019" s="1">
        <v>1</v>
      </c>
      <c r="D4019" s="1" t="str">
        <f>"02674"</f>
        <v>02674</v>
      </c>
      <c r="E4019" s="1" t="s">
        <v>114</v>
      </c>
      <c r="F4019" s="1">
        <v>8</v>
      </c>
      <c r="G4019" s="1">
        <v>6</v>
      </c>
      <c r="H4019" s="1">
        <v>2</v>
      </c>
      <c r="I4019" s="1" t="s">
        <v>6535</v>
      </c>
      <c r="K4019" s="1" t="str">
        <f t="shared" si="250"/>
        <v>ㄊ</v>
      </c>
      <c r="L4019" s="1" t="str">
        <f t="shared" si="251"/>
        <v>ㄧ</v>
      </c>
      <c r="M4019" s="1" t="str">
        <f t="shared" si="248"/>
        <v>ㄠ</v>
      </c>
      <c r="P4019" s="1" t="s">
        <v>20</v>
      </c>
      <c r="R4019" s="1" t="s">
        <v>6536</v>
      </c>
      <c r="V4019" s="1" t="s">
        <v>6537</v>
      </c>
      <c r="W4019" s="1" t="s">
        <v>6538</v>
      </c>
      <c r="AR4019" s="1" t="str">
        <f t="shared" si="249"/>
        <v>| [ㄊㄧㄠ](ㄊㄧㄠ.md) | [佻](佻.md) |  | tiāo | [形]
輕薄、不莊重。如：「佻㒓」、「輕佻」。《資治通鑑．卷五九．漢紀五十一．靈帝中平六年》：「帝以辯輕佻無威儀，欲立協。」
[動]
竊取。《國語．周語中》：「而卻至佻天之功以為己力，不亦難乎？」《抱朴子．外篇．刺驕》：「或佻竊虛名，而躬自為之。」 |</v>
      </c>
    </row>
    <row r="4020" spans="1:44" hidden="1">
      <c r="A4020" s="1" t="s">
        <v>6539</v>
      </c>
      <c r="C4020" s="1">
        <v>1</v>
      </c>
      <c r="D4020" s="1" t="str">
        <f>"02675"</f>
        <v>02675</v>
      </c>
      <c r="E4020" s="1" t="s">
        <v>447</v>
      </c>
      <c r="F4020" s="1">
        <v>9</v>
      </c>
      <c r="G4020" s="1">
        <v>6</v>
      </c>
      <c r="H4020" s="1">
        <v>0</v>
      </c>
      <c r="I4020" s="1" t="s">
        <v>6535</v>
      </c>
      <c r="K4020" s="1" t="str">
        <f t="shared" si="250"/>
        <v>ㄊ</v>
      </c>
      <c r="L4020" s="1" t="str">
        <f t="shared" si="251"/>
        <v>ㄧ</v>
      </c>
      <c r="M4020" s="1" t="str">
        <f t="shared" si="248"/>
        <v>ㄠ</v>
      </c>
      <c r="P4020" s="1" t="s">
        <v>20</v>
      </c>
      <c r="R4020" s="1" t="s">
        <v>6536</v>
      </c>
      <c r="V4020" s="1" t="s">
        <v>6540</v>
      </c>
      <c r="AR4020" s="1" t="str">
        <f t="shared" si="249"/>
        <v>| [ㄊㄧㄠ](ㄊㄧㄠ.md) | [庣](庣.md) |  | tiāo | [形]
不滿的樣子。《廣韻．平聲．蕭韻》：「庣，不滿之貌。」
[名]
凹下的地方。《漢書．卷二一．律曆志上》：「其法用銅，方尺而圜其外，旁有庣焉。其上為斛，其下為斗。」唐．顏師古．注：「庣，不滿之處也。」 |</v>
      </c>
    </row>
    <row r="4021" spans="1:44" hidden="1">
      <c r="A4021" s="1" t="s">
        <v>6541</v>
      </c>
      <c r="C4021" s="1">
        <v>1</v>
      </c>
      <c r="D4021" s="1" t="str">
        <f>"02676"</f>
        <v>02676</v>
      </c>
      <c r="E4021" s="1" t="s">
        <v>250</v>
      </c>
      <c r="F4021" s="1">
        <v>9</v>
      </c>
      <c r="G4021" s="1">
        <v>6</v>
      </c>
      <c r="H4021" s="1">
        <v>0</v>
      </c>
      <c r="I4021" s="1" t="s">
        <v>6535</v>
      </c>
      <c r="K4021" s="1" t="str">
        <f t="shared" si="250"/>
        <v>ㄊ</v>
      </c>
      <c r="L4021" s="1" t="str">
        <f t="shared" si="251"/>
        <v>ㄧ</v>
      </c>
      <c r="M4021" s="1" t="str">
        <f t="shared" si="248"/>
        <v>ㄠ</v>
      </c>
      <c r="P4021" s="1" t="s">
        <v>20</v>
      </c>
      <c r="R4021" s="1" t="s">
        <v>6536</v>
      </c>
      <c r="V4021" s="1" t="s">
        <v>6542</v>
      </c>
      <c r="AR4021" s="1" t="str">
        <f t="shared" si="249"/>
        <v>| [ㄊㄧㄠ](ㄊㄧㄠ.md) | [恌](恌.md) |  | tiāo | [形]
輕薄放縱。《詩經．小雅．鹿鳴》：「視民不恌，君子是則是傚。」唐．李商隱〈送從翁從東川弘農尚書幕〉詩：「薄俗誰其激，斯民已甚恌。」 |</v>
      </c>
    </row>
    <row r="4022" spans="1:44" hidden="1">
      <c r="A4022" s="1" t="s">
        <v>6543</v>
      </c>
      <c r="C4022" s="1">
        <v>1</v>
      </c>
      <c r="D4022" s="1" t="str">
        <f>"02677"</f>
        <v>02677</v>
      </c>
      <c r="E4022" s="1" t="s">
        <v>24</v>
      </c>
      <c r="F4022" s="1">
        <v>9</v>
      </c>
      <c r="G4022" s="1">
        <v>6</v>
      </c>
      <c r="H4022" s="1">
        <v>1</v>
      </c>
      <c r="I4022" s="1" t="s">
        <v>6535</v>
      </c>
      <c r="K4022" s="1" t="str">
        <f t="shared" si="250"/>
        <v>ㄊ</v>
      </c>
      <c r="L4022" s="1" t="str">
        <f t="shared" si="251"/>
        <v>ㄧ</v>
      </c>
      <c r="M4022" s="1" t="str">
        <f t="shared" si="248"/>
        <v>ㄠ</v>
      </c>
      <c r="P4022" s="1" t="s">
        <v>20</v>
      </c>
      <c r="R4022" s="1" t="s">
        <v>6536</v>
      </c>
      <c r="V4022" s="1" t="s">
        <v>6544</v>
      </c>
      <c r="W4022" s="1" t="s">
        <v>6545</v>
      </c>
      <c r="AR4022" s="1" t="str">
        <f t="shared" si="249"/>
        <v>| [ㄊㄧㄠ](ㄊㄧㄠ.md) | [挑](挑.md) |  | tiāo | [動]
1.揀選。如：「挑選」、「挑剔」、「挑毛病」。《紅樓夢》第一〇二回：「挑了個風清日暖的日子，帶了好幾個家人，手內持著器械到園踹看動靜。」
2.用肩擔物。如：「挑柴」、「肩挑」、「挑水」。《水滸傳》第二回：「鎖上前後門，挑了擔兒，跟在馬後。」 |</v>
      </c>
    </row>
    <row r="4023" spans="1:44" hidden="1">
      <c r="A4023" s="1" t="s">
        <v>6546</v>
      </c>
      <c r="C4023" s="1">
        <v>1</v>
      </c>
      <c r="D4023" s="1" t="str">
        <f>"02678"</f>
        <v>02678</v>
      </c>
      <c r="E4023" s="1" t="s">
        <v>825</v>
      </c>
      <c r="F4023" s="1">
        <v>11</v>
      </c>
      <c r="G4023" s="1">
        <v>6</v>
      </c>
      <c r="H4023" s="1">
        <v>0</v>
      </c>
      <c r="I4023" s="1" t="s">
        <v>6535</v>
      </c>
      <c r="K4023" s="1" t="str">
        <f t="shared" si="250"/>
        <v>ㄊ</v>
      </c>
      <c r="L4023" s="1" t="str">
        <f t="shared" si="251"/>
        <v>ㄧ</v>
      </c>
      <c r="M4023" s="1" t="str">
        <f t="shared" si="248"/>
        <v>ㄠ</v>
      </c>
      <c r="P4023" s="1" t="s">
        <v>20</v>
      </c>
      <c r="R4023" s="1" t="s">
        <v>6536</v>
      </c>
      <c r="V4023" s="1" t="s">
        <v>6547</v>
      </c>
      <c r="AR4023" s="1" t="str">
        <f t="shared" si="249"/>
        <v>| [ㄊㄧㄠ](ㄊㄧㄠ.md) | [祧](祧.md) |  | tiāo | [名]
1.祖廟。《左傳．襄公二十三年》：「紇不佞，失守宗祧，敢告不弔。」
2.古代遠祖神位所遷往的宗廟稱為「祧」。《周禮．春官．守祧》：「守祧掌守先王先公之廟祧。」漢．鄭玄．注：「遷主所藏曰祧。」
3.繼承上代的人。如：「承祧」、「守祧」。
[動]
1.遷廟。《新唐書．卷一三．禮樂志》：「已祧之主，不得復入太廟。」《宋史．卷一二三．禮志二十六》：「僖祖及文懿皇后神主既祧，準禮不諱，忌日亦請依唐睿宗祧遷故事廢之。」
2.承繼。《聊齋志異．卷二．俠女》：「且身已向暮，旦夕犯霧露，深以祧續為憂耳。」《老殘遊記二編》第六回：「不怕等二老歸天後再還宗，或是兼祧兩姓俱可。」 |</v>
      </c>
    </row>
    <row r="4024" spans="1:44" hidden="1">
      <c r="A4024" s="1" t="s">
        <v>6548</v>
      </c>
      <c r="C4024" s="1">
        <v>1</v>
      </c>
      <c r="D4024" s="1" t="str">
        <f>"02679"</f>
        <v>02679</v>
      </c>
      <c r="E4024" s="1" t="s">
        <v>190</v>
      </c>
      <c r="F4024" s="1">
        <v>8</v>
      </c>
      <c r="G4024" s="1">
        <v>5</v>
      </c>
      <c r="H4024" s="1">
        <v>0</v>
      </c>
      <c r="I4024" s="1" t="s">
        <v>6549</v>
      </c>
      <c r="K4024" s="1" t="str">
        <f t="shared" si="250"/>
        <v>ㄊ</v>
      </c>
      <c r="L4024" s="1" t="str">
        <f t="shared" si="251"/>
        <v>ㄧ</v>
      </c>
      <c r="M4024" s="1" t="str">
        <f t="shared" si="248"/>
        <v>ㄠ</v>
      </c>
      <c r="P4024" s="1" t="s">
        <v>20</v>
      </c>
      <c r="R4024" s="1" t="s">
        <v>6550</v>
      </c>
      <c r="V4024" s="1" t="s">
        <v>6551</v>
      </c>
      <c r="AR4024" s="1" t="str">
        <f t="shared" si="249"/>
        <v>| [ㄊㄧㄠˊ](ㄊㄧㄠˊ.md) | [岧](岧.md) |  | tiáo | 參見「岧岧」、「岧嶢」等條。 |</v>
      </c>
    </row>
    <row r="4025" spans="1:44" hidden="1">
      <c r="A4025" s="1" t="s">
        <v>6552</v>
      </c>
      <c r="C4025" s="1">
        <v>1</v>
      </c>
      <c r="D4025" s="1" t="str">
        <f>"02680"</f>
        <v>02680</v>
      </c>
      <c r="E4025" s="1" t="s">
        <v>37</v>
      </c>
      <c r="F4025" s="1">
        <v>9</v>
      </c>
      <c r="G4025" s="1">
        <v>5</v>
      </c>
      <c r="H4025" s="1">
        <v>0</v>
      </c>
      <c r="I4025" s="1" t="s">
        <v>6549</v>
      </c>
      <c r="K4025" s="1" t="str">
        <f t="shared" si="250"/>
        <v>ㄊ</v>
      </c>
      <c r="L4025" s="1" t="str">
        <f t="shared" si="251"/>
        <v>ㄧ</v>
      </c>
      <c r="M4025" s="1" t="str">
        <f t="shared" si="248"/>
        <v>ㄠ</v>
      </c>
      <c r="P4025" s="1" t="s">
        <v>20</v>
      </c>
      <c r="R4025" s="1" t="s">
        <v>6550</v>
      </c>
      <c r="V4025" s="1" t="s">
        <v>6553</v>
      </c>
      <c r="AR4025" s="1" t="str">
        <f t="shared" si="249"/>
        <v>| [ㄊㄧㄠˊ](ㄊㄧㄠˊ.md) | [苕](苕.md) |  | tiáo | [名]
1.植物名：(1)紫葳科紫葳屬，「紫葳」、「凌霄花」之古稱。《詩經．小雅．苕之華》：「苕之華，芸其黃矣；心之憂矣，維其傷矣！」參見「紫葳」條。也稱為「凌苕」、「凌霄」、「陵苕」。(2)豆科蠶豆屬，「野豌豆」之古稱。參見「野豌豆」條。(3)藜科地膚屬，「地膚」、「掃帚」之古稱。參見「掃帚」條。
2.蘆葦的花穗。《荀子．勸學》：「以羽為巢，而編之以髮，繫之葦苕。風至苕折，卵破子死。」唐．楊倞．注：「苕，葦之秀也。」 |</v>
      </c>
    </row>
    <row r="4026" spans="1:44" hidden="1">
      <c r="A4026" s="1" t="s">
        <v>6554</v>
      </c>
      <c r="C4026" s="1">
        <v>1</v>
      </c>
      <c r="D4026" s="1" t="str">
        <f>"02681"</f>
        <v>02681</v>
      </c>
      <c r="E4026" s="1" t="s">
        <v>558</v>
      </c>
      <c r="F4026" s="1">
        <v>9</v>
      </c>
      <c r="G4026" s="1">
        <v>5</v>
      </c>
      <c r="H4026" s="1">
        <v>0</v>
      </c>
      <c r="I4026" s="1" t="s">
        <v>6549</v>
      </c>
      <c r="K4026" s="1" t="str">
        <f t="shared" si="250"/>
        <v>ㄊ</v>
      </c>
      <c r="L4026" s="1" t="str">
        <f t="shared" si="251"/>
        <v>ㄧ</v>
      </c>
      <c r="M4026" s="1" t="str">
        <f t="shared" si="248"/>
        <v>ㄠ</v>
      </c>
      <c r="P4026" s="1" t="s">
        <v>20</v>
      </c>
      <c r="R4026" s="1" t="s">
        <v>6550</v>
      </c>
      <c r="V4026" s="1" t="s">
        <v>6555</v>
      </c>
      <c r="AR4026" s="1" t="str">
        <f t="shared" si="249"/>
        <v>| [ㄊㄧㄠˊ](ㄊㄧㄠˊ.md) | [迢](迢.md) |  | tiáo | [形]
遙遠。如：「迢遞」、「迢迢」、「迢遙」、「迢遠」。 |</v>
      </c>
    </row>
    <row r="4027" spans="1:44" hidden="1">
      <c r="A4027" s="1" t="s">
        <v>6556</v>
      </c>
      <c r="C4027" s="1">
        <v>1</v>
      </c>
      <c r="D4027" s="1" t="str">
        <f>"02682"</f>
        <v>02682</v>
      </c>
      <c r="E4027" s="1" t="s">
        <v>49</v>
      </c>
      <c r="F4027" s="1">
        <v>11</v>
      </c>
      <c r="G4027" s="1">
        <v>5</v>
      </c>
      <c r="H4027" s="1">
        <v>0</v>
      </c>
      <c r="I4027" s="1" t="s">
        <v>6549</v>
      </c>
      <c r="K4027" s="1" t="str">
        <f t="shared" si="250"/>
        <v>ㄊ</v>
      </c>
      <c r="L4027" s="1" t="str">
        <f t="shared" si="251"/>
        <v>ㄧ</v>
      </c>
      <c r="M4027" s="1" t="str">
        <f t="shared" si="248"/>
        <v>ㄠ</v>
      </c>
      <c r="P4027" s="1" t="s">
        <v>20</v>
      </c>
      <c r="R4027" s="1" t="s">
        <v>6550</v>
      </c>
      <c r="V4027" s="1" t="s">
        <v>6557</v>
      </c>
      <c r="AR4027" s="1" t="str">
        <f t="shared" si="249"/>
        <v>| [ㄊㄧㄠˊ](ㄊㄧㄠˊ.md) | [笤](笤.md) |  | tiáo | 參見「笤帚」條。 |</v>
      </c>
    </row>
    <row r="4028" spans="1:44" hidden="1">
      <c r="A4028" s="1" t="s">
        <v>6558</v>
      </c>
      <c r="C4028" s="1">
        <v>1</v>
      </c>
      <c r="D4028" s="1" t="str">
        <f>"02683"</f>
        <v>02683</v>
      </c>
      <c r="E4028" s="1" t="s">
        <v>1078</v>
      </c>
      <c r="F4028" s="1">
        <v>15</v>
      </c>
      <c r="G4028" s="1">
        <v>5</v>
      </c>
      <c r="H4028" s="1">
        <v>0</v>
      </c>
      <c r="I4028" s="1" t="s">
        <v>6549</v>
      </c>
      <c r="K4028" s="1" t="str">
        <f t="shared" si="250"/>
        <v>ㄊ</v>
      </c>
      <c r="L4028" s="1" t="str">
        <f t="shared" si="251"/>
        <v>ㄧ</v>
      </c>
      <c r="M4028" s="1" t="str">
        <f t="shared" si="248"/>
        <v>ㄠ</v>
      </c>
      <c r="P4028" s="1" t="s">
        <v>20</v>
      </c>
      <c r="R4028" s="1" t="s">
        <v>6550</v>
      </c>
      <c r="V4028" s="1" t="s">
        <v>6559</v>
      </c>
      <c r="AR4028" s="1" t="str">
        <f t="shared" si="249"/>
        <v>| [ㄊㄧㄠˊ](ㄊㄧㄠˊ.md) | [髫](髫.md) |  | tiáo | [名]_x000D_
小孩額前垂下的頭髮。如：「黃髮垂髫」。晉．陶淵明〈祭程氏妹文〉：「我年二六，爾纔九齡，爰從靡識，撫髫相成。」 |</v>
      </c>
    </row>
    <row r="4029" spans="1:44" hidden="1">
      <c r="A4029" s="1" t="s">
        <v>6560</v>
      </c>
      <c r="C4029" s="1">
        <v>1</v>
      </c>
      <c r="D4029" s="1" t="str">
        <f>"02684"</f>
        <v>02684</v>
      </c>
      <c r="E4029" s="1" t="s">
        <v>592</v>
      </c>
      <c r="F4029" s="1">
        <v>20</v>
      </c>
      <c r="G4029" s="1">
        <v>5</v>
      </c>
      <c r="H4029" s="1">
        <v>0</v>
      </c>
      <c r="I4029" s="1" t="s">
        <v>6549</v>
      </c>
      <c r="K4029" s="1" t="str">
        <f t="shared" si="250"/>
        <v>ㄊ</v>
      </c>
      <c r="L4029" s="1" t="str">
        <f t="shared" si="251"/>
        <v>ㄧ</v>
      </c>
      <c r="M4029" s="1" t="str">
        <f t="shared" si="248"/>
        <v>ㄠ</v>
      </c>
      <c r="P4029" s="1" t="s">
        <v>20</v>
      </c>
      <c r="R4029" s="1" t="s">
        <v>6550</v>
      </c>
      <c r="V4029" s="1" t="s">
        <v>6561</v>
      </c>
      <c r="AR4029" s="1" t="str">
        <f t="shared" si="249"/>
        <v>| [ㄊㄧㄠˊ](ㄊㄧㄠˊ.md) | [齠](齠.md) |  | tiáo | [動]
兒童換牙。晉．陶淵明〈祭從弟敬遠文〉：「相及齠齒，並罹偏咎，斯情實深，斯愛實厚。」
[形]
孩童時期的。如：「齠年」、「齠齡」。唐．白居易〈送毛仙翁〉詩：「紺髮絲並緻，齠容花共妍。」
[名]
兒童額前垂下的頭髮。通「髫」。如：「垂齠」。《文選．張協．七命》：「玄齠巷歌，黃髮擊壤。」 |</v>
      </c>
    </row>
    <row r="4030" spans="1:44" hidden="1">
      <c r="A4030" s="1" t="s">
        <v>6534</v>
      </c>
      <c r="C4030" s="1">
        <v>1</v>
      </c>
      <c r="D4030" s="1" t="str">
        <f>"02685"</f>
        <v>02685</v>
      </c>
      <c r="E4030" s="1" t="s">
        <v>114</v>
      </c>
      <c r="F4030" s="1">
        <v>8</v>
      </c>
      <c r="G4030" s="1">
        <v>6</v>
      </c>
      <c r="H4030" s="1">
        <v>1</v>
      </c>
      <c r="I4030" s="1" t="s">
        <v>6549</v>
      </c>
      <c r="K4030" s="1" t="str">
        <f t="shared" si="250"/>
        <v>ㄊ</v>
      </c>
      <c r="L4030" s="1" t="str">
        <f t="shared" si="251"/>
        <v>ㄧ</v>
      </c>
      <c r="M4030" s="1" t="str">
        <f t="shared" ref="M4030:M4093" si="252">MID(I4030, 3, 1)</f>
        <v>ㄠ</v>
      </c>
      <c r="P4030" s="1" t="s">
        <v>20</v>
      </c>
      <c r="R4030" s="1" t="s">
        <v>6550</v>
      </c>
      <c r="V4030" s="1" t="s">
        <v>6562</v>
      </c>
      <c r="W4030" s="1" t="s">
        <v>6563</v>
      </c>
      <c r="AR4030" s="1" t="str">
        <f t="shared" si="249"/>
        <v>| [ㄊㄧㄠˊ](ㄊㄧㄠˊ.md) | [佻](佻.md) |  | tiáo | 參見「佻佻」條。 |</v>
      </c>
    </row>
    <row r="4031" spans="1:44" hidden="1">
      <c r="A4031" s="1" t="s">
        <v>6564</v>
      </c>
      <c r="C4031" s="1">
        <v>1</v>
      </c>
      <c r="D4031" s="1" t="str">
        <f>"02686"</f>
        <v>02686</v>
      </c>
      <c r="E4031" s="1" t="s">
        <v>139</v>
      </c>
      <c r="F4031" s="1">
        <v>11</v>
      </c>
      <c r="G4031" s="1">
        <v>7</v>
      </c>
      <c r="H4031" s="1">
        <v>0</v>
      </c>
      <c r="I4031" s="1" t="s">
        <v>6549</v>
      </c>
      <c r="K4031" s="1" t="str">
        <f t="shared" si="250"/>
        <v>ㄊ</v>
      </c>
      <c r="L4031" s="1" t="str">
        <f t="shared" si="251"/>
        <v>ㄧ</v>
      </c>
      <c r="M4031" s="1" t="str">
        <f t="shared" si="252"/>
        <v>ㄠ</v>
      </c>
      <c r="P4031" s="1" t="s">
        <v>20</v>
      </c>
      <c r="R4031" s="1" t="s">
        <v>6550</v>
      </c>
      <c r="V4031" s="1" t="s">
        <v>6565</v>
      </c>
      <c r="AR4031" s="1" t="str">
        <f t="shared" si="249"/>
        <v>| [ㄊㄧㄠˊ](ㄊㄧㄠˊ.md) | [條](條.md) |  | tiáo | [名]
1.細長的樹枝。如：「柳條」、「枝條」。唐．李白〈折楊柳〉詩：「攀條折春色，遠寄龍庭前。」
2.長條形的物體。如：「線條」、「麵條」、「便條」、「油條」。
3.項目、條目。如：「條款」、「條例」、「法條」。
4.次序、系統。如：「有條不紊」、「井井有條」。
5.量詞：(1)計算條狀物的單位。如：「一條魚」、「兩條線」、「三條香菸」、「五條裙子」。(2)計算文書分項的單位。如：「《民法》共有一二二五條。」
[形]
1.長。《書經．禹貢》：「厥草惟繇，厥木惟條。」
2.暢通無阻。如：「條暢洞達」。《戰國策．魏策一》：「地四平，諸侯四通，條達幅輳，無有名山大川之阻。」 |</v>
      </c>
    </row>
    <row r="4032" spans="1:44" hidden="1">
      <c r="A4032" s="1" t="s">
        <v>6566</v>
      </c>
      <c r="C4032" s="1">
        <v>1</v>
      </c>
      <c r="D4032" s="1" t="str">
        <f>"02687"</f>
        <v>02687</v>
      </c>
      <c r="E4032" s="1" t="s">
        <v>156</v>
      </c>
      <c r="F4032" s="1">
        <v>22</v>
      </c>
      <c r="G4032" s="1">
        <v>11</v>
      </c>
      <c r="H4032" s="1">
        <v>0</v>
      </c>
      <c r="I4032" s="1" t="s">
        <v>6549</v>
      </c>
      <c r="K4032" s="1" t="str">
        <f t="shared" si="250"/>
        <v>ㄊ</v>
      </c>
      <c r="L4032" s="1" t="str">
        <f t="shared" si="251"/>
        <v>ㄧ</v>
      </c>
      <c r="M4032" s="1" t="str">
        <f t="shared" si="252"/>
        <v>ㄠ</v>
      </c>
      <c r="P4032" s="1" t="s">
        <v>20</v>
      </c>
      <c r="R4032" s="1" t="s">
        <v>6550</v>
      </c>
      <c r="V4032" s="1" t="s">
        <v>6567</v>
      </c>
      <c r="AR4032" s="1" t="str">
        <f t="shared" si="249"/>
        <v>| [ㄊㄧㄠˊ](ㄊㄧㄠˊ.md) | [鰷](鰷.md) |  | tiáo | 參見「鰷魚」條。 |</v>
      </c>
    </row>
    <row r="4033" spans="1:44" hidden="1">
      <c r="A4033" s="1" t="s">
        <v>6568</v>
      </c>
      <c r="C4033" s="1">
        <v>1</v>
      </c>
      <c r="D4033" s="1" t="str">
        <f>"02688"</f>
        <v>02688</v>
      </c>
      <c r="E4033" s="1" t="s">
        <v>679</v>
      </c>
      <c r="F4033" s="1">
        <v>14</v>
      </c>
      <c r="G4033" s="1">
        <v>8</v>
      </c>
      <c r="H4033" s="1">
        <v>0</v>
      </c>
      <c r="I4033" s="1" t="s">
        <v>6549</v>
      </c>
      <c r="K4033" s="1" t="str">
        <f t="shared" si="250"/>
        <v>ㄊ</v>
      </c>
      <c r="L4033" s="1" t="str">
        <f t="shared" si="251"/>
        <v>ㄧ</v>
      </c>
      <c r="M4033" s="1" t="str">
        <f t="shared" si="252"/>
        <v>ㄠ</v>
      </c>
      <c r="P4033" s="1" t="s">
        <v>20</v>
      </c>
      <c r="R4033" s="1" t="s">
        <v>6550</v>
      </c>
      <c r="V4033" s="1" t="s">
        <v>6569</v>
      </c>
      <c r="AR4033" s="1" t="str">
        <f t="shared" si="249"/>
        <v>| [ㄊㄧㄠˊ](ㄊㄧㄠˊ.md) | [蜩](蜩.md) |  | tiáo | [名]
蟬。《詩經．豳風．七月》：「四月秀葽，五月鳴蜩。」《莊子．逍遙遊》：「蜩與學鳩笑之曰：『我決起而飛，搶榆枋時則不至，而控於地而已矣。』」 |</v>
      </c>
    </row>
    <row r="4034" spans="1:44" hidden="1">
      <c r="A4034" s="1" t="s">
        <v>5418</v>
      </c>
      <c r="C4034" s="1">
        <v>1</v>
      </c>
      <c r="D4034" s="1" t="str">
        <f>"02689"</f>
        <v>02689</v>
      </c>
      <c r="E4034" s="1" t="s">
        <v>331</v>
      </c>
      <c r="F4034" s="1">
        <v>15</v>
      </c>
      <c r="G4034" s="1">
        <v>8</v>
      </c>
      <c r="H4034" s="1">
        <v>1</v>
      </c>
      <c r="I4034" s="1" t="s">
        <v>6549</v>
      </c>
      <c r="K4034" s="1" t="str">
        <f t="shared" si="250"/>
        <v>ㄊ</v>
      </c>
      <c r="L4034" s="1" t="str">
        <f t="shared" si="251"/>
        <v>ㄧ</v>
      </c>
      <c r="M4034" s="1" t="str">
        <f t="shared" si="252"/>
        <v>ㄠ</v>
      </c>
      <c r="P4034" s="1" t="s">
        <v>20</v>
      </c>
      <c r="R4034" s="1" t="s">
        <v>6550</v>
      </c>
      <c r="V4034" s="1" t="s">
        <v>6570</v>
      </c>
      <c r="W4034" s="1" t="s">
        <v>6571</v>
      </c>
      <c r="AR4034" s="1" t="str">
        <f t="shared" si="249"/>
        <v>| [ㄊㄧㄠˊ](ㄊㄧㄠˊ.md) | [調](調.md) |  | tiáo | [動]
1.合適、和諧。《淮南子．說林》：「梨橘棗栗不同味，而皆調於口。」《漢書．卷五六．董仲舒傳》：「竊譬之琴瑟不調，甚者必解而更張之，乃可鼓也。」
2.使和解。如：「調解」、「調停」、「協調」。《資治通鑑．卷四四．漢紀三十六．光武帝建武二十四年》：「但畏長者家兒或在左右，或與從事，殊難得調，介介獨惡是耳！」
3.平均。如：「調劑」。《漢書．卷二四．食貨志下》：「以臨萬貨，以調盈虛，以收奇羨，則官富貴而末民困，六矣。」
4.混合、配合。如：「調色」、「調味」、「調配」。《新唐書．卷二〇二．文藝傳中．李白傳》：「帝賜食，親為調羹。」
5.嘲笑、戲弄、挑逗。南朝宋．劉義慶《世說新語．排調》：「康僧淵目深而鼻高，王丞相每調之。」《醒世恆言．卷一〇．劉小官雌雄兄弟》：「老嫗看見桑茂標致，將言語調弄他。」
[形]
和暢、正常。如：「風調雨順」。 |</v>
      </c>
    </row>
    <row r="4035" spans="1:44" hidden="1">
      <c r="A4035" s="1" t="s">
        <v>6572</v>
      </c>
      <c r="C4035" s="1">
        <v>1</v>
      </c>
      <c r="D4035" s="1" t="str">
        <f>"02690"</f>
        <v>02690</v>
      </c>
      <c r="E4035" s="1" t="s">
        <v>96</v>
      </c>
      <c r="F4035" s="1">
        <v>16</v>
      </c>
      <c r="G4035" s="1">
        <v>7</v>
      </c>
      <c r="H4035" s="1">
        <v>0</v>
      </c>
      <c r="I4035" s="1" t="s">
        <v>6549</v>
      </c>
      <c r="K4035" s="1" t="str">
        <f t="shared" si="250"/>
        <v>ㄊ</v>
      </c>
      <c r="L4035" s="1" t="str">
        <f t="shared" si="251"/>
        <v>ㄧ</v>
      </c>
      <c r="M4035" s="1" t="str">
        <f t="shared" si="252"/>
        <v>ㄠ</v>
      </c>
      <c r="P4035" s="1" t="s">
        <v>20</v>
      </c>
      <c r="R4035" s="1" t="s">
        <v>6550</v>
      </c>
      <c r="V4035" s="1" t="s">
        <v>6573</v>
      </c>
      <c r="AR4035" s="1" t="str">
        <f t="shared" ref="AR4035:AR4098" si="253">"| ["&amp;I4035&amp;"]("&amp;I4035&amp;".md) | ["&amp;A4035&amp;"]("&amp;A4035&amp;".md) | "&amp;" | "&amp;R4035&amp;" | "&amp;V4035&amp;" |"</f>
        <v>| [ㄊㄧㄠˊ](ㄊㄧㄠˊ.md) | [鞗](鞗.md) |  | tiáo | [名]
轡，馬韁繩。《字彙．革部》：「鞗，革轡也，御者所執，以絲曰轡，以革曰鞗。」《詩經．小雅．蓼蕭》：「既見君子，鞗革忡忡。」 |</v>
      </c>
    </row>
    <row r="4036" spans="1:44" hidden="1">
      <c r="A4036" s="1" t="s">
        <v>6543</v>
      </c>
      <c r="C4036" s="1">
        <v>1</v>
      </c>
      <c r="D4036" s="1" t="str">
        <f>"02691"</f>
        <v>02691</v>
      </c>
      <c r="E4036" s="1" t="s">
        <v>24</v>
      </c>
      <c r="F4036" s="1">
        <v>9</v>
      </c>
      <c r="G4036" s="1">
        <v>6</v>
      </c>
      <c r="H4036" s="1">
        <v>2</v>
      </c>
      <c r="I4036" s="1" t="s">
        <v>6574</v>
      </c>
      <c r="K4036" s="1" t="str">
        <f t="shared" si="250"/>
        <v>ㄊ</v>
      </c>
      <c r="L4036" s="1" t="str">
        <f t="shared" si="251"/>
        <v>ㄧ</v>
      </c>
      <c r="M4036" s="1" t="str">
        <f t="shared" si="252"/>
        <v>ㄠ</v>
      </c>
      <c r="P4036" s="1" t="s">
        <v>20</v>
      </c>
      <c r="R4036" s="1" t="s">
        <v>6575</v>
      </c>
      <c r="V4036" s="1" t="s">
        <v>6576</v>
      </c>
      <c r="W4036" s="1" t="s">
        <v>6577</v>
      </c>
      <c r="AR4036" s="1" t="str">
        <f t="shared" si="253"/>
        <v>| [ㄊㄧㄠˇ](ㄊㄧㄠˇ.md) | [挑](挑.md) |  | tiǎo | [動]
1.引動、舉起。如：「挑眉立目」。《紅樓夢》第八一回：「探春把竿子一挑，往地下一撩，卻是活迸的。」
2.用長形或尖形器具撥動。如：「挑火」、「挑刺」、「挑燈夜讀」。唐．白居易〈長恨歌〉：「夕殿螢飛思悄然，孤燈挑盡未成眠。」
3.一種刺繡針法。用針挑起經線或緯線，將線從下穿過。如：「挑花」。《聊齋志異．卷四．辛十四娘》：「曰：『十四娘近在閨中作什麼生？』女低應曰：『閒來只挑繡。』」
4.一種彈奏指法。手指反手回撥稱為「挑」。唐．白居易〈琵琶行〉：「輕攏慢撚抹復挑，初為霓裳後六么。」
5.搬弄、煽動。如：「挑撥」、「挑戰」。《文選．司馬遷．報任少卿書》：「垂餌虎口，橫挑彊胡，仰億萬之師。」
6.引誘、逗弄。通「誂」。如：「挑逗」、「挑弄」。《聊齋志異．卷二．鳳陽士人》：「士人注視麗者，屢以游詞相挑。」
[名]
一種書寫筆法。運筆向下，稍作停頓；向上提筆稍挫，扭鋒順勢挑出而收筆。 |</v>
      </c>
    </row>
    <row r="4037" spans="1:44" hidden="1">
      <c r="A4037" s="1" t="s">
        <v>6578</v>
      </c>
      <c r="C4037" s="1">
        <v>1</v>
      </c>
      <c r="D4037" s="1" t="str">
        <f>"02692"</f>
        <v>02692</v>
      </c>
      <c r="E4037" s="1" t="s">
        <v>2014</v>
      </c>
      <c r="F4037" s="1">
        <v>10</v>
      </c>
      <c r="G4037" s="1">
        <v>6</v>
      </c>
      <c r="H4037" s="1">
        <v>1</v>
      </c>
      <c r="I4037" s="1" t="s">
        <v>6574</v>
      </c>
      <c r="K4037" s="1" t="str">
        <f t="shared" si="250"/>
        <v>ㄊ</v>
      </c>
      <c r="L4037" s="1" t="str">
        <f t="shared" si="251"/>
        <v>ㄧ</v>
      </c>
      <c r="M4037" s="1" t="str">
        <f t="shared" si="252"/>
        <v>ㄠ</v>
      </c>
      <c r="P4037" s="1" t="s">
        <v>20</v>
      </c>
      <c r="R4037" s="1" t="s">
        <v>6575</v>
      </c>
      <c r="V4037" s="1" t="s">
        <v>6579</v>
      </c>
      <c r="W4037" s="1" t="s">
        <v>6580</v>
      </c>
      <c r="AR4037" s="1" t="str">
        <f t="shared" si="253"/>
        <v>| [ㄊㄧㄠˇ](ㄊㄧㄠˇ.md) | [朓](朓.md) |  | tiǎo | [名]
古代稱農曆月底月亮出現在西方時為「朓」。《說文解字．月部》：「朓，晦而月見西方謂之朓。」南朝宋．謝莊〈月賦〉：「朒朓警闕，朏魄示沖。」 |</v>
      </c>
    </row>
    <row r="4038" spans="1:44" hidden="1">
      <c r="A4038" s="1" t="s">
        <v>6581</v>
      </c>
      <c r="C4038" s="1">
        <v>1</v>
      </c>
      <c r="D4038" s="1" t="str">
        <f>"02693"</f>
        <v>02693</v>
      </c>
      <c r="E4038" s="1" t="s">
        <v>1274</v>
      </c>
      <c r="F4038" s="1">
        <v>11</v>
      </c>
      <c r="G4038" s="1">
        <v>6</v>
      </c>
      <c r="H4038" s="1">
        <v>0</v>
      </c>
      <c r="I4038" s="1" t="s">
        <v>6574</v>
      </c>
      <c r="K4038" s="1" t="str">
        <f t="shared" si="250"/>
        <v>ㄊ</v>
      </c>
      <c r="L4038" s="1" t="str">
        <f t="shared" si="251"/>
        <v>ㄧ</v>
      </c>
      <c r="M4038" s="1" t="str">
        <f t="shared" si="252"/>
        <v>ㄠ</v>
      </c>
      <c r="P4038" s="1" t="s">
        <v>20</v>
      </c>
      <c r="R4038" s="1" t="s">
        <v>6575</v>
      </c>
      <c r="V4038" s="1" t="s">
        <v>6582</v>
      </c>
      <c r="AR4038" s="1" t="str">
        <f t="shared" si="253"/>
        <v>| [ㄊㄧㄠˇ](ㄊㄧㄠˇ.md) | [窕](窕.md) |  | tiǎo | [形]
1.深邃。《說文解字．穴部》：「窕，深肆極也。」晉．郭璞〈江賦〉：「爰有包山洞庭，巴陵地道，潛逵傍通，幽岫窈窕。」清．王筠《說文句讀》卷一四：「深肆，蓋即深邃。」
2.間隙、不充滿。《荀子．賦》：「充盈大宇而不窕，入郤穴而不偪者與？」《呂氏春秋．仲夏紀．適音》：「不充則不詹，不詹則窕。」漢．高誘．注：「窕，不滿密也。」
3.微細、輕小。《左傳．昭公二十一年》：「天子省風以作樂，器以鐘之，輿以行之。小者不窕，大者不槬。則和於物。」晉．杜預．注：「窕，細不滿。」唐．杜牧〈昔事文皇帝三十二韻〉：「周鐘既窕槬，黥陣亦瘢痕。」
4.虛假、不實在。《韓非子．難二》：「語言辨，聽之說，不度於義，謂之窕言。」
5.輕薄、不莊重。通「佻」。《左傳．成公十六年》：「楚師輕窕，固壘而待之三日必退。」
[動]
挑逗、誘惑。通「挑」。《文選．卷三四．七．枚乘．七發》：「雜裾垂髾，目窕心與。」唐．李善．注：「窕，當為挑。」 |</v>
      </c>
    </row>
    <row r="4039" spans="1:44" hidden="1">
      <c r="A4039" s="1" t="s">
        <v>5412</v>
      </c>
      <c r="C4039" s="1">
        <v>1</v>
      </c>
      <c r="D4039" s="1" t="str">
        <f>"02694"</f>
        <v>02694</v>
      </c>
      <c r="E4039" s="1" t="s">
        <v>331</v>
      </c>
      <c r="F4039" s="1">
        <v>13</v>
      </c>
      <c r="G4039" s="1">
        <v>6</v>
      </c>
      <c r="H4039" s="1">
        <v>1</v>
      </c>
      <c r="I4039" s="1" t="s">
        <v>6574</v>
      </c>
      <c r="K4039" s="1" t="str">
        <f t="shared" si="250"/>
        <v>ㄊ</v>
      </c>
      <c r="L4039" s="1" t="str">
        <f t="shared" si="251"/>
        <v>ㄧ</v>
      </c>
      <c r="M4039" s="1" t="str">
        <f t="shared" si="252"/>
        <v>ㄠ</v>
      </c>
      <c r="P4039" s="1" t="s">
        <v>20</v>
      </c>
      <c r="R4039" s="1" t="s">
        <v>6575</v>
      </c>
      <c r="V4039" s="1" t="s">
        <v>6583</v>
      </c>
      <c r="W4039" s="1" t="s">
        <v>6584</v>
      </c>
      <c r="AR4039" s="1" t="str">
        <f t="shared" si="253"/>
        <v>| [ㄊㄧㄠˇ](ㄊㄧㄠˇ.md) | [誂](誂.md) |  | tiǎo | [動]
引誘、挑逗。《說文解字．言部》：「誂，相呼誘也。」《戰國策．秦策一》：「楚人有兩妻者，人誂其長者，詈之；誂其少者，少者許之。」也作「挑」。 |</v>
      </c>
    </row>
    <row r="4040" spans="1:44" hidden="1">
      <c r="A4040" s="1" t="s">
        <v>6585</v>
      </c>
      <c r="C4040" s="1">
        <v>1</v>
      </c>
      <c r="D4040" s="1" t="str">
        <f>"02695"</f>
        <v>02695</v>
      </c>
      <c r="E4040" s="1" t="s">
        <v>5692</v>
      </c>
      <c r="F4040" s="1">
        <v>13</v>
      </c>
      <c r="G4040" s="1">
        <v>6</v>
      </c>
      <c r="H4040" s="1">
        <v>0</v>
      </c>
      <c r="I4040" s="1" t="s">
        <v>6574</v>
      </c>
      <c r="K4040" s="1" t="str">
        <f t="shared" si="250"/>
        <v>ㄊ</v>
      </c>
      <c r="L4040" s="1" t="str">
        <f t="shared" si="251"/>
        <v>ㄧ</v>
      </c>
      <c r="M4040" s="1" t="str">
        <f t="shared" si="252"/>
        <v>ㄠ</v>
      </c>
      <c r="P4040" s="1" t="s">
        <v>20</v>
      </c>
      <c r="R4040" s="1" t="s">
        <v>6575</v>
      </c>
      <c r="V4040" s="1" t="s">
        <v>6586</v>
      </c>
      <c r="AR4040" s="1" t="str">
        <f t="shared" si="253"/>
        <v>| [ㄊㄧㄠˇ](ㄊㄧㄠˇ.md) | [䠷](䠷.md) |  | tiǎo | [形]
身材修長。《廣韻．上聲．篠韻》：「䠷，身長貌。」如：「身材高䠷」。 |</v>
      </c>
    </row>
    <row r="4041" spans="1:44" hidden="1">
      <c r="A4041" s="1" t="s">
        <v>6587</v>
      </c>
      <c r="C4041" s="1">
        <v>1</v>
      </c>
      <c r="D4041" s="1" t="str">
        <f>"02696"</f>
        <v>02696</v>
      </c>
      <c r="E4041" s="1" t="s">
        <v>534</v>
      </c>
      <c r="F4041" s="1">
        <v>17</v>
      </c>
      <c r="G4041" s="1">
        <v>14</v>
      </c>
      <c r="H4041" s="1">
        <v>0</v>
      </c>
      <c r="I4041" s="1" t="s">
        <v>6574</v>
      </c>
      <c r="K4041" s="1" t="str">
        <f t="shared" si="250"/>
        <v>ㄊ</v>
      </c>
      <c r="L4041" s="1" t="str">
        <f t="shared" si="251"/>
        <v>ㄧ</v>
      </c>
      <c r="M4041" s="1" t="str">
        <f t="shared" si="252"/>
        <v>ㄠ</v>
      </c>
      <c r="P4041" s="1" t="s">
        <v>20</v>
      </c>
      <c r="R4041" s="1" t="s">
        <v>6575</v>
      </c>
      <c r="V4041" s="1" t="s">
        <v>6588</v>
      </c>
      <c r="AR4041" s="1" t="str">
        <f t="shared" si="253"/>
        <v>| [ㄊㄧㄠˇ](ㄊㄧㄠˇ.md) | [嬥](嬥.md) |  | tiǎo | [形]
身材修長而美好。《說文解字．女部》：「嬥，直好貌。」
[名]
古代流行在巴蜀一帶的歌舞。《集韻．上聲．筱韻》：「嬥，一曰巴歌。」
[動]
跳舞。《文選．左思．魏都賦》：「或明發而嬥歌，或浮泳而卒歲。」 |</v>
      </c>
    </row>
    <row r="4042" spans="1:44" hidden="1">
      <c r="A4042" s="1" t="s">
        <v>6589</v>
      </c>
      <c r="C4042" s="1">
        <v>1</v>
      </c>
      <c r="D4042" s="1" t="str">
        <f>"02697"</f>
        <v>02697</v>
      </c>
      <c r="E4042" s="1" t="s">
        <v>1015</v>
      </c>
      <c r="F4042" s="1">
        <v>11</v>
      </c>
      <c r="G4042" s="1">
        <v>6</v>
      </c>
      <c r="H4042" s="1">
        <v>0</v>
      </c>
      <c r="I4042" s="1" t="s">
        <v>6590</v>
      </c>
      <c r="K4042" s="1" t="str">
        <f t="shared" si="250"/>
        <v>ㄊ</v>
      </c>
      <c r="L4042" s="1" t="str">
        <f t="shared" si="251"/>
        <v>ㄧ</v>
      </c>
      <c r="M4042" s="1" t="str">
        <f t="shared" si="252"/>
        <v>ㄠ</v>
      </c>
      <c r="P4042" s="1" t="s">
        <v>20</v>
      </c>
      <c r="R4042" s="1" t="s">
        <v>6591</v>
      </c>
      <c r="V4042" s="1" t="s">
        <v>6592</v>
      </c>
      <c r="AR4042" s="1" t="str">
        <f t="shared" si="253"/>
        <v>| [ㄊㄧㄠˋ](ㄊㄧㄠˋ.md) | [眺](眺.md) |  | tiào | [動]
1.眼睛邪視。《說文解字．目部》：「眺，目不正也。」《文選．潘岳．射雉賦》：「亦有目不步體，邪眺旁剔。」
2.遠望。如：「眺望」、「登高遠眺」。唐．杜甫〈喜晴〉詩：「出郭眺四郊，肅肅春增華。」 |</v>
      </c>
    </row>
    <row r="4043" spans="1:44" hidden="1">
      <c r="A4043" s="1" t="s">
        <v>6593</v>
      </c>
      <c r="C4043" s="1">
        <v>1</v>
      </c>
      <c r="D4043" s="1" t="str">
        <f>"02698"</f>
        <v>02698</v>
      </c>
      <c r="E4043" s="1" t="s">
        <v>77</v>
      </c>
      <c r="F4043" s="1">
        <v>13</v>
      </c>
      <c r="G4043" s="1">
        <v>6</v>
      </c>
      <c r="H4043" s="1">
        <v>0</v>
      </c>
      <c r="I4043" s="1" t="s">
        <v>6590</v>
      </c>
      <c r="K4043" s="1" t="str">
        <f t="shared" si="250"/>
        <v>ㄊ</v>
      </c>
      <c r="L4043" s="1" t="str">
        <f t="shared" si="251"/>
        <v>ㄧ</v>
      </c>
      <c r="M4043" s="1" t="str">
        <f t="shared" si="252"/>
        <v>ㄠ</v>
      </c>
      <c r="P4043" s="1" t="s">
        <v>20</v>
      </c>
      <c r="R4043" s="1" t="s">
        <v>6591</v>
      </c>
      <c r="V4043" s="1" t="s">
        <v>6594</v>
      </c>
      <c r="AR4043" s="1" t="str">
        <f t="shared" si="253"/>
        <v>| [ㄊㄧㄠˋ](ㄊㄧㄠˋ.md) | [跳](跳.md) |  | tiào | [動]
1.以腳蹬地，使身體往上或向前的動作。如：「跳躍」、「跳遠」、「雞飛狗跳」。《水滸傳》第二三回：「那一陣風過處，只聽得亂樹背後，撲地一聲響，跳出一隻弔睛白額大虫來。」
2.振動。如：「心跳」、「心驚肉跳」、「眼跳」。《浮生六記．卷一．閨房記樂》：「握其腕，暖尖滑膩，胸中不覺怦怦作跳。」
3.越過。如：「跳行」、「跳級」、「這一頁跳過去不看。」
4.脫離、逃出。如：「跳出火坑」。《紅樓夢》第五回：「萬望先以情欲聲色等事警其痴頑，或能使彼跳出迷人圈子，然後入於正路。」 |</v>
      </c>
    </row>
    <row r="4044" spans="1:44" hidden="1">
      <c r="A4044" s="1" t="s">
        <v>6595</v>
      </c>
      <c r="C4044" s="1">
        <v>1</v>
      </c>
      <c r="D4044" s="1" t="str">
        <f>"02699"</f>
        <v>02699</v>
      </c>
      <c r="E4044" s="1" t="s">
        <v>2233</v>
      </c>
      <c r="F4044" s="1">
        <v>13</v>
      </c>
      <c r="G4044" s="1">
        <v>6</v>
      </c>
      <c r="H4044" s="1">
        <v>0</v>
      </c>
      <c r="I4044" s="1" t="s">
        <v>6590</v>
      </c>
      <c r="K4044" s="1" t="str">
        <f t="shared" si="250"/>
        <v>ㄊ</v>
      </c>
      <c r="L4044" s="1" t="str">
        <f t="shared" si="251"/>
        <v>ㄧ</v>
      </c>
      <c r="M4044" s="1" t="str">
        <f t="shared" si="252"/>
        <v>ㄠ</v>
      </c>
      <c r="P4044" s="1" t="s">
        <v>20</v>
      </c>
      <c r="R4044" s="1" t="s">
        <v>6591</v>
      </c>
      <c r="V4044" s="1" t="s">
        <v>6596</v>
      </c>
      <c r="AR4044" s="1" t="str">
        <f t="shared" si="253"/>
        <v>| [ㄊㄧㄠˋ](ㄊㄧㄠˋ.md) | [覜](覜.md) |  | tiào | [動]
1.古代諸侯每三年舉行聘問相見的禮節。《說文解字．見部》：「覜，諸侯三年大相聘曰覜。」《左傳．昭公五年》：「朝聘有珪，享覜有璋。」
2.遠望。通「眺」。《後漢書．卷五九．張衡傳》：「流目覜夫衡阿兮，睹有黎之圮墳。」《文選．左思．魏都賦》：「抗旗亭之嶢薛，侈所覜之博大。」 |</v>
      </c>
    </row>
    <row r="4045" spans="1:44" hidden="1">
      <c r="A4045" s="1" t="s">
        <v>6597</v>
      </c>
      <c r="C4045" s="1">
        <v>1</v>
      </c>
      <c r="D4045" s="1" t="str">
        <f>"02700"</f>
        <v>02700</v>
      </c>
      <c r="E4045" s="1" t="s">
        <v>46</v>
      </c>
      <c r="F4045" s="1">
        <v>25</v>
      </c>
      <c r="G4045" s="1">
        <v>19</v>
      </c>
      <c r="H4045" s="1">
        <v>0</v>
      </c>
      <c r="I4045" s="1" t="s">
        <v>6590</v>
      </c>
      <c r="K4045" s="1" t="str">
        <f t="shared" si="250"/>
        <v>ㄊ</v>
      </c>
      <c r="L4045" s="1" t="str">
        <f t="shared" si="251"/>
        <v>ㄧ</v>
      </c>
      <c r="M4045" s="1" t="str">
        <f t="shared" si="252"/>
        <v>ㄠ</v>
      </c>
      <c r="P4045" s="1" t="s">
        <v>20</v>
      </c>
      <c r="R4045" s="1" t="s">
        <v>6591</v>
      </c>
      <c r="V4045" s="1" t="s">
        <v>6598</v>
      </c>
      <c r="AR4045" s="1" t="str">
        <f t="shared" si="253"/>
        <v>| [ㄊㄧㄠˋ](ㄊㄧㄠˋ.md) | [糶](糶.md) |  | tiào | [動]
出售穀物。《韓非子．內儲說下》：「韓昭侯之時，黍種嘗貴，甚少有，昭侯令人覆廩，廩吏果竊黍種而糶之甚多。」唐．聶夷中〈詠田家〉詩：「二月賣新絲，五月糶新穀。」 |</v>
      </c>
    </row>
    <row r="4046" spans="1:44" hidden="1">
      <c r="A4046" s="1" t="s">
        <v>6578</v>
      </c>
      <c r="C4046" s="1">
        <v>1</v>
      </c>
      <c r="D4046" s="1" t="str">
        <f>"02692A"</f>
        <v>02692A</v>
      </c>
      <c r="E4046" s="1" t="s">
        <v>2014</v>
      </c>
      <c r="F4046" s="1">
        <v>10</v>
      </c>
      <c r="G4046" s="1">
        <v>6</v>
      </c>
      <c r="H4046" s="1">
        <v>2</v>
      </c>
      <c r="I4046" s="1" t="s">
        <v>6590</v>
      </c>
      <c r="K4046" s="1" t="str">
        <f t="shared" si="250"/>
        <v>ㄊ</v>
      </c>
      <c r="L4046" s="1" t="str">
        <f t="shared" si="251"/>
        <v>ㄧ</v>
      </c>
      <c r="M4046" s="1" t="str">
        <f t="shared" si="252"/>
        <v>ㄠ</v>
      </c>
      <c r="P4046" s="1" t="s">
        <v>20</v>
      </c>
      <c r="R4046" s="1" t="s">
        <v>6591</v>
      </c>
      <c r="V4046" s="1" t="s">
        <v>30526</v>
      </c>
      <c r="W4046" s="1" t="s">
        <v>30527</v>
      </c>
      <c r="AR4046" s="1" t="str">
        <f t="shared" si="253"/>
        <v>| [ㄊㄧㄠˋ](ㄊㄧㄠˋ.md) | [朓](朓.md) |  | tiào | [名]
人名用字。如南朝有謝朓。 |</v>
      </c>
    </row>
    <row r="4047" spans="1:44" hidden="1">
      <c r="A4047" s="1" t="s">
        <v>6599</v>
      </c>
      <c r="C4047" s="1">
        <v>1</v>
      </c>
      <c r="D4047" s="1" t="str">
        <f>"02701"</f>
        <v>02701</v>
      </c>
      <c r="E4047" s="1" t="s">
        <v>563</v>
      </c>
      <c r="F4047" s="1">
        <v>4</v>
      </c>
      <c r="G4047" s="1">
        <v>1</v>
      </c>
      <c r="H4047" s="1">
        <v>0</v>
      </c>
      <c r="I4047" s="1" t="s">
        <v>6600</v>
      </c>
      <c r="K4047" s="1" t="str">
        <f t="shared" si="250"/>
        <v>ㄊ</v>
      </c>
      <c r="L4047" s="1" t="str">
        <f t="shared" si="251"/>
        <v>ㄧ</v>
      </c>
      <c r="M4047" s="1" t="str">
        <f t="shared" si="252"/>
        <v>ㄢ</v>
      </c>
      <c r="P4047" s="1" t="s">
        <v>20</v>
      </c>
      <c r="R4047" s="1" t="s">
        <v>6601</v>
      </c>
      <c r="V4047" s="1" t="s">
        <v>6602</v>
      </c>
      <c r="AR4047" s="1" t="str">
        <f t="shared" si="253"/>
        <v>| [ㄊㄧㄢ](ㄊㄧㄢ.md) | [天](天.md) |  | tiān | [名]
1.日月星辰所羅列的空間，即天空。如：「碧海青天」、「頂天立地」。唐．韓愈〈原道〉：「坐井而觀天，曰天小者，非天小也。」
2.一晝夜的時間。如：「昨天」、「今天」、「大後天」、「一天」。
3.白天或一天中的某一段時間。如：「三天三夜」、「三更天」。宋．程顥〈春日偶成〉詩：「雲淡風輕近午天，傍花隨柳過前川。」
4.時節、季節。如：「春天」、「三伏天」、「黃梅天」。
5.氣候。如：「晴天」、「陰天」、「大熱天」、「下雨天」。
6.自然。如：「人定勝天」、「樂天知命」。《莊子．天道》：「是故古之明大道者，先明天而道德次之。」
7.指宇宙萬物的主宰。有時指大自然、有時指命運、有時指天神等。如：「生死有命，富貴在天。」、「謀事在人，成事在天。」、「不怨天，不尤人。」《書經．泰誓中》：「天視自我民視，天聽自我民聽。」
8.指神靈所住的世界。如：「升天」、「歸天」。
9.不可或缺或最重要的事物。如：「以夫為天」。《漢書．卷四十三．酈食其傳》：「王者以民為天，而民以食為天。」
10. 量詞。計算時間的單位。一天有二十四小時。如：「這項工作限你三十天時間完成，不得拖延。」
[形]
1.自然的、天然的。如：「天才」、「天險」、「天籟」、「天性」。
2.數目極大的。如：「天價」、「天量」、「天文數字」。
3.騰空架設的、駕於空中的。如：「天橋」、「天窗」、「天棚」。
[副]
很、非常。如：「天大的好消息」、「天大的新聞」。 |</v>
      </c>
    </row>
    <row r="4048" spans="1:44" hidden="1">
      <c r="A4048" s="1" t="s">
        <v>6603</v>
      </c>
      <c r="C4048" s="1">
        <v>1</v>
      </c>
      <c r="D4048" s="1" t="str">
        <f>"02702"</f>
        <v>02702</v>
      </c>
      <c r="E4048" s="1" t="s">
        <v>129</v>
      </c>
      <c r="F4048" s="1">
        <v>11</v>
      </c>
      <c r="G4048" s="1">
        <v>8</v>
      </c>
      <c r="H4048" s="1">
        <v>0</v>
      </c>
      <c r="I4048" s="1" t="s">
        <v>6600</v>
      </c>
      <c r="K4048" s="1" t="str">
        <f t="shared" si="250"/>
        <v>ㄊ</v>
      </c>
      <c r="L4048" s="1" t="str">
        <f t="shared" si="251"/>
        <v>ㄧ</v>
      </c>
      <c r="M4048" s="1" t="str">
        <f t="shared" si="252"/>
        <v>ㄢ</v>
      </c>
      <c r="P4048" s="1" t="s">
        <v>20</v>
      </c>
      <c r="R4048" s="1" t="s">
        <v>6601</v>
      </c>
      <c r="V4048" s="1" t="s">
        <v>6604</v>
      </c>
      <c r="AR4048" s="1" t="str">
        <f t="shared" si="253"/>
        <v>| [ㄊㄧㄢ](ㄊㄧㄢ.md) | [添](添.md) |  | tiān | [動]
增加。如：「添飯」、「增添」、「添件衣服」。宋．辛棄疾〈瑞鷓鴣．膠膠擾擾幾時休〉詞：「先自一身愁不了，那堪愁上更添愁。」《紅樓夢》第四〇回：「鴛鴦便坐下了，婆子們添上碗筷來。」 |</v>
      </c>
    </row>
    <row r="4049" spans="1:44" hidden="1">
      <c r="A4049" s="1" t="s">
        <v>6605</v>
      </c>
      <c r="C4049" s="1">
        <v>1</v>
      </c>
      <c r="D4049" s="1" t="str">
        <f>"02703"</f>
        <v>02703</v>
      </c>
      <c r="E4049" s="1" t="s">
        <v>1462</v>
      </c>
      <c r="F4049" s="1">
        <v>12</v>
      </c>
      <c r="G4049" s="1">
        <v>5</v>
      </c>
      <c r="H4049" s="1">
        <v>0</v>
      </c>
      <c r="I4049" s="1" t="s">
        <v>6600</v>
      </c>
      <c r="K4049" s="1" t="str">
        <f t="shared" si="250"/>
        <v>ㄊ</v>
      </c>
      <c r="L4049" s="1" t="str">
        <f t="shared" si="251"/>
        <v>ㄧ</v>
      </c>
      <c r="M4049" s="1" t="str">
        <f t="shared" si="252"/>
        <v>ㄢ</v>
      </c>
      <c r="P4049" s="1" t="s">
        <v>20</v>
      </c>
      <c r="R4049" s="1" t="s">
        <v>6601</v>
      </c>
      <c r="V4049" s="1" t="s">
        <v>6606</v>
      </c>
      <c r="AR4049" s="1" t="str">
        <f t="shared" si="253"/>
        <v>| [ㄊㄧㄢ](ㄊㄧㄢ.md) | [酟](酟.md) |  | tiān | [動]
調和。《集韻．平聲．沾韻》：「酟，和也。」 |</v>
      </c>
    </row>
    <row r="4050" spans="1:44" hidden="1">
      <c r="A4050" s="1" t="s">
        <v>6607</v>
      </c>
      <c r="C4050" s="1">
        <v>1</v>
      </c>
      <c r="D4050" s="1" t="str">
        <f>"02704"</f>
        <v>02704</v>
      </c>
      <c r="E4050" s="1" t="s">
        <v>753</v>
      </c>
      <c r="F4050" s="1">
        <v>5</v>
      </c>
      <c r="G4050" s="1">
        <v>0</v>
      </c>
      <c r="H4050" s="1">
        <v>0</v>
      </c>
      <c r="I4050" s="1" t="s">
        <v>6608</v>
      </c>
      <c r="K4050" s="1" t="str">
        <f t="shared" si="250"/>
        <v>ㄊ</v>
      </c>
      <c r="L4050" s="1" t="str">
        <f t="shared" si="251"/>
        <v>ㄧ</v>
      </c>
      <c r="M4050" s="1" t="str">
        <f t="shared" si="252"/>
        <v>ㄢ</v>
      </c>
      <c r="P4050" s="1" t="s">
        <v>20</v>
      </c>
      <c r="R4050" s="1" t="s">
        <v>6609</v>
      </c>
      <c r="V4050" s="1" t="s">
        <v>6610</v>
      </c>
      <c r="AR4050" s="1" t="str">
        <f t="shared" si="253"/>
        <v>| [ㄊㄧㄢˊ](ㄊㄧㄢˊ.md) | [田](田.md) |  | tián | [名]
1.土地。如：「稻田」、「梯田」、「瓜田李下」、「蔗田」。《左傳．僖公二十八年》：「我執曹君，而分曹魏之田以賜宋人。」《孟子．梁惠王上》：「百畝之田，勿奪其時。」
2.可開採某些資源的地帶。如：「煤田」、「鹽田」。
3.姓。如戰國時魏有田子方。
4.二一四部首之一。
[動]
1.耕種。通「佃」。《漢書．卷一．高帝紀上》：「故秦苑囿園池，令民得田之。」
2.打獵。通「畋」。如：「田獵」。《詩經．鄭風．大叔于田》：「大叔于田，乘乘馬，執轡如組，兩驂如舞。」《國語．齊語》：「田、狩、罼、弋，不聽國政。」 |</v>
      </c>
    </row>
    <row r="4051" spans="1:44" hidden="1">
      <c r="A4051" s="1" t="s">
        <v>5472</v>
      </c>
      <c r="C4051" s="1">
        <v>1</v>
      </c>
      <c r="D4051" s="1" t="str">
        <f>"02705"</f>
        <v>02705</v>
      </c>
      <c r="E4051" s="1" t="s">
        <v>114</v>
      </c>
      <c r="F4051" s="1">
        <v>7</v>
      </c>
      <c r="G4051" s="1">
        <v>5</v>
      </c>
      <c r="H4051" s="1">
        <v>2</v>
      </c>
      <c r="I4051" s="1" t="s">
        <v>6608</v>
      </c>
      <c r="K4051" s="1" t="str">
        <f t="shared" si="250"/>
        <v>ㄊ</v>
      </c>
      <c r="L4051" s="1" t="str">
        <f t="shared" si="251"/>
        <v>ㄧ</v>
      </c>
      <c r="M4051" s="1" t="str">
        <f t="shared" si="252"/>
        <v>ㄢ</v>
      </c>
      <c r="P4051" s="1" t="s">
        <v>20</v>
      </c>
      <c r="R4051" s="1" t="s">
        <v>6609</v>
      </c>
      <c r="V4051" s="1" t="s">
        <v>6611</v>
      </c>
      <c r="W4051" s="1" t="s">
        <v>6612</v>
      </c>
      <c r="AR4051" s="1" t="str">
        <f t="shared" si="253"/>
        <v>| [ㄊㄧㄢˊ](ㄊㄧㄢˊ.md) | [佃](佃.md) |  | tián | [動]
1.耕種。《史記．卷六九．蘇秦傳》：「南有碣石、鴈門之饒，北有棗栗之利，民雖不佃作而足於棗栗矣。」南朝梁．劉勰《文心雕龍．議對》：「佃穀先曉於農，斷訟務精於律。」
2.打獵。通「田」、「畋」。《易經．繫辭下》：「作結繩而為罔罟，以佃以漁。」 |</v>
      </c>
    </row>
    <row r="4052" spans="1:44" hidden="1">
      <c r="A4052" s="1" t="s">
        <v>5477</v>
      </c>
      <c r="C4052" s="1">
        <v>1</v>
      </c>
      <c r="D4052" s="1" t="str">
        <f>"02706"</f>
        <v>02706</v>
      </c>
      <c r="E4052" s="1" t="s">
        <v>753</v>
      </c>
      <c r="F4052" s="1">
        <v>7</v>
      </c>
      <c r="G4052" s="1">
        <v>2</v>
      </c>
      <c r="H4052" s="1">
        <v>2</v>
      </c>
      <c r="I4052" s="1" t="s">
        <v>6608</v>
      </c>
      <c r="K4052" s="1" t="str">
        <f t="shared" si="250"/>
        <v>ㄊ</v>
      </c>
      <c r="L4052" s="1" t="str">
        <f t="shared" si="251"/>
        <v>ㄧ</v>
      </c>
      <c r="M4052" s="1" t="str">
        <f t="shared" si="252"/>
        <v>ㄢ</v>
      </c>
      <c r="P4052" s="1" t="s">
        <v>20</v>
      </c>
      <c r="R4052" s="1" t="s">
        <v>6609</v>
      </c>
      <c r="V4052" s="1" t="s">
        <v>6613</v>
      </c>
      <c r="W4052" s="1" t="s">
        <v>6614</v>
      </c>
      <c r="AR4052" s="1" t="str">
        <f t="shared" si="253"/>
        <v>| [ㄊㄧㄢˊ](ㄊㄧㄢˊ.md) | [甸](甸.md) |  | tián | [動]
狩獵。通「畋」、「田」。《周禮．春官．小宗伯》：「若大甸，則帥有司而饁獸于郊，遂頒禽。」唐．賈公彥．疏：「大甸者，天子四時田獵也。」 |</v>
      </c>
    </row>
    <row r="4053" spans="1:44" hidden="1">
      <c r="A4053" s="1" t="s">
        <v>6615</v>
      </c>
      <c r="C4053" s="1">
        <v>1</v>
      </c>
      <c r="D4053" s="1" t="str">
        <f>"02707"</f>
        <v>02707</v>
      </c>
      <c r="E4053" s="1" t="s">
        <v>753</v>
      </c>
      <c r="F4053" s="1">
        <v>9</v>
      </c>
      <c r="G4053" s="1">
        <v>4</v>
      </c>
      <c r="H4053" s="1">
        <v>0</v>
      </c>
      <c r="I4053" s="1" t="s">
        <v>6608</v>
      </c>
      <c r="K4053" s="1" t="str">
        <f t="shared" si="250"/>
        <v>ㄊ</v>
      </c>
      <c r="L4053" s="1" t="str">
        <f t="shared" si="251"/>
        <v>ㄧ</v>
      </c>
      <c r="M4053" s="1" t="str">
        <f t="shared" si="252"/>
        <v>ㄢ</v>
      </c>
      <c r="P4053" s="1" t="s">
        <v>20</v>
      </c>
      <c r="R4053" s="1" t="s">
        <v>6609</v>
      </c>
      <c r="V4053" s="1" t="s">
        <v>6616</v>
      </c>
      <c r="AR4053" s="1" t="str">
        <f t="shared" si="253"/>
        <v>| [ㄊㄧㄢˊ](ㄊㄧㄢˊ.md) | [畋](畋.md) |  | tián | [動]
1.耕種。《書經．多方》：「今爾尚宅爾宅，畋爾田，爾曷不惠王熙天之命？」唐．孔穎達．正義：「治田謂之畋，猶捕魚謂之漁，今人以營田求食謂之畋食，即此畋。」
2.狩獵。如：「畋獵」。《書經．五子之歌》：「乃盤遊無度，畋于有洛之表，十旬弗反。」《文選．司馬相如．子虛賦》：「楚使子虛使於齊，王悉發車騎與使者出畋。」李善注引司馬彪曰：「畋，獵也。」 |</v>
      </c>
    </row>
    <row r="4054" spans="1:44" hidden="1">
      <c r="A4054" s="1" t="s">
        <v>5480</v>
      </c>
      <c r="C4054" s="1">
        <v>1</v>
      </c>
      <c r="D4054" s="1" t="str">
        <f>"02708"</f>
        <v>02708</v>
      </c>
      <c r="E4054" s="1" t="s">
        <v>55</v>
      </c>
      <c r="F4054" s="1">
        <v>13</v>
      </c>
      <c r="G4054" s="1">
        <v>5</v>
      </c>
      <c r="H4054" s="1">
        <v>2</v>
      </c>
      <c r="I4054" s="1" t="s">
        <v>6608</v>
      </c>
      <c r="K4054" s="1" t="str">
        <f t="shared" si="250"/>
        <v>ㄊ</v>
      </c>
      <c r="L4054" s="1" t="str">
        <f t="shared" si="251"/>
        <v>ㄧ</v>
      </c>
      <c r="M4054" s="1" t="str">
        <f t="shared" si="252"/>
        <v>ㄢ</v>
      </c>
      <c r="P4054" s="1" t="s">
        <v>110</v>
      </c>
      <c r="R4054" s="1" t="s">
        <v>6609</v>
      </c>
      <c r="V4054" s="1" t="s">
        <v>111</v>
      </c>
      <c r="W4054" s="1" t="s">
        <v>6617</v>
      </c>
      <c r="AR4054" s="1" t="str">
        <f t="shared" si="253"/>
        <v>| [ㄊㄧㄢˊ](ㄊㄧㄢˊ.md) | [鈿](鈿.md) |  | tián | (一)之又音。 |</v>
      </c>
    </row>
    <row r="4055" spans="1:44" hidden="1">
      <c r="A4055" s="1" t="s">
        <v>6618</v>
      </c>
      <c r="C4055" s="1">
        <v>1</v>
      </c>
      <c r="D4055" s="1" t="str">
        <f>"02709"</f>
        <v>02709</v>
      </c>
      <c r="E4055" s="1" t="s">
        <v>250</v>
      </c>
      <c r="F4055" s="1">
        <v>9</v>
      </c>
      <c r="G4055" s="1">
        <v>6</v>
      </c>
      <c r="H4055" s="1">
        <v>0</v>
      </c>
      <c r="I4055" s="1" t="s">
        <v>6608</v>
      </c>
      <c r="K4055" s="1" t="str">
        <f t="shared" si="250"/>
        <v>ㄊ</v>
      </c>
      <c r="L4055" s="1" t="str">
        <f t="shared" si="251"/>
        <v>ㄧ</v>
      </c>
      <c r="M4055" s="1" t="str">
        <f t="shared" si="252"/>
        <v>ㄢ</v>
      </c>
      <c r="P4055" s="1" t="s">
        <v>20</v>
      </c>
      <c r="R4055" s="1" t="s">
        <v>6609</v>
      </c>
      <c r="V4055" s="1" t="s">
        <v>6619</v>
      </c>
      <c r="AR4055" s="1" t="str">
        <f t="shared" si="253"/>
        <v>| [ㄊㄧㄢˊ](ㄊㄧㄢˊ.md) | [恬](恬.md) |  | tián | [形]
1.安適、安然。如：「恬適」。《淮南子．精神》：「氣志虛靜恬愉而省嗜欲。」
2.安靜、清靜。如：「恬靜」。《紅樓夢》第一〇二回：「路上風恬浪靜，合家不必掛念。」
3.淡泊。如：「恬淡」。
[動]
淡漠。《韓非子．解老》：「所謂廉者，必生死之命也，輕恬資財也。」《晉書．卷四九．謝鯤傳》：「莫不服其遠暢，而恬於榮辱。」 |</v>
      </c>
    </row>
    <row r="4056" spans="1:44" hidden="1">
      <c r="A4056" s="1" t="s">
        <v>6620</v>
      </c>
      <c r="C4056" s="1">
        <v>1</v>
      </c>
      <c r="D4056" s="1" t="str">
        <f>"02710"</f>
        <v>02710</v>
      </c>
      <c r="E4056" s="1" t="s">
        <v>6621</v>
      </c>
      <c r="F4056" s="1">
        <v>11</v>
      </c>
      <c r="G4056" s="1">
        <v>6</v>
      </c>
      <c r="H4056" s="1">
        <v>0</v>
      </c>
      <c r="I4056" s="1" t="s">
        <v>6608</v>
      </c>
      <c r="K4056" s="1" t="str">
        <f t="shared" si="250"/>
        <v>ㄊ</v>
      </c>
      <c r="L4056" s="1" t="str">
        <f t="shared" si="251"/>
        <v>ㄧ</v>
      </c>
      <c r="M4056" s="1" t="str">
        <f t="shared" si="252"/>
        <v>ㄢ</v>
      </c>
      <c r="P4056" s="1" t="s">
        <v>20</v>
      </c>
      <c r="R4056" s="1" t="s">
        <v>6609</v>
      </c>
      <c r="V4056" s="1" t="s">
        <v>6622</v>
      </c>
      <c r="AR4056" s="1" t="str">
        <f t="shared" si="253"/>
        <v>| [ㄊㄧㄢˊ](ㄊㄧㄢˊ.md) | [甜](甜.md) |  | tián | [名]_x000D_
像糖或蜜的味道。如：「酸甜苦辣」。_x000D_
[形]_x000D_
1.味道像糖或蜜的。如：「這西瓜真甜！」_x000D_
2.美好。如：「甜蜜」、「甜言蜜語」、「她的聲音很甜美。」_x000D_
[副]_x000D_
安穩、酣熟。如：「她睡得很甜。」宋．楊萬里〈夜雨不寐〉詩：「更長酒力短，睡甜詩思苦。」 |</v>
      </c>
    </row>
    <row r="4057" spans="1:44" hidden="1">
      <c r="A4057" s="1" t="s">
        <v>6623</v>
      </c>
      <c r="C4057" s="1">
        <v>1</v>
      </c>
      <c r="D4057" s="1" t="str">
        <f>"02711"</f>
        <v>02711</v>
      </c>
      <c r="E4057" s="1" t="s">
        <v>129</v>
      </c>
      <c r="F4057" s="1">
        <v>12</v>
      </c>
      <c r="G4057" s="1">
        <v>9</v>
      </c>
      <c r="H4057" s="1">
        <v>0</v>
      </c>
      <c r="I4057" s="1" t="s">
        <v>6608</v>
      </c>
      <c r="K4057" s="1" t="str">
        <f t="shared" si="250"/>
        <v>ㄊ</v>
      </c>
      <c r="L4057" s="1" t="str">
        <f t="shared" si="251"/>
        <v>ㄧ</v>
      </c>
      <c r="M4057" s="1" t="str">
        <f t="shared" si="252"/>
        <v>ㄢ</v>
      </c>
      <c r="P4057" s="1" t="s">
        <v>20</v>
      </c>
      <c r="R4057" s="1" t="s">
        <v>6609</v>
      </c>
      <c r="V4057" s="1" t="s">
        <v>6624</v>
      </c>
      <c r="AR4057" s="1" t="str">
        <f t="shared" si="253"/>
        <v>| [ㄊㄧㄢˊ](ㄊㄧㄢˊ.md) | [湉](湉.md) |  | tián | 參見「湉湉」、「澶湉」等條。 |</v>
      </c>
    </row>
    <row r="4058" spans="1:44" hidden="1">
      <c r="A4058" s="1" t="s">
        <v>6625</v>
      </c>
      <c r="C4058" s="1">
        <v>1</v>
      </c>
      <c r="D4058" s="1" t="str">
        <f>"02712"</f>
        <v>02712</v>
      </c>
      <c r="E4058" s="1" t="s">
        <v>132</v>
      </c>
      <c r="F4058" s="1">
        <v>13</v>
      </c>
      <c r="G4058" s="1">
        <v>10</v>
      </c>
      <c r="H4058" s="1">
        <v>0</v>
      </c>
      <c r="I4058" s="1" t="s">
        <v>6608</v>
      </c>
      <c r="K4058" s="1" t="str">
        <f t="shared" si="250"/>
        <v>ㄊ</v>
      </c>
      <c r="L4058" s="1" t="str">
        <f t="shared" si="251"/>
        <v>ㄧ</v>
      </c>
      <c r="M4058" s="1" t="str">
        <f t="shared" si="252"/>
        <v>ㄢ</v>
      </c>
      <c r="P4058" s="1" t="s">
        <v>20</v>
      </c>
      <c r="R4058" s="1" t="s">
        <v>6609</v>
      </c>
      <c r="V4058" s="1" t="s">
        <v>6626</v>
      </c>
      <c r="AR4058" s="1" t="str">
        <f t="shared" si="253"/>
        <v>| [ㄊㄧㄢˊ](ㄊㄧㄢˊ.md) | [填](填.md) |  | tián | [動]
1.補塞。如：「填充」、「裝填」。《戰國策．趙策四》：「十五歲矣。雖少，願及未填溝壑而託之。」
2.充滿。如：「義憤填膺」。《文選．江淹．恨賦》：「置酒欲飲，悲來填膺。」
3.填寫。如：「填表」、「填詞」、「填日期」。明．徐渭《雌木蘭》第一齣：「軍書十卷，書書卷卷把俺爺來填。」
[擬]
形容擊鼓聲。《孟子．梁惠王上》：「填然鼓之，兵刃既接，棄甲曳兵而走。」《隋書．卷一四．音樂志中》：「設虡設業，鞉鼓填填。」 |</v>
      </c>
    </row>
    <row r="4059" spans="1:44" hidden="1">
      <c r="A4059" s="1" t="s">
        <v>6627</v>
      </c>
      <c r="C4059" s="1">
        <v>1</v>
      </c>
      <c r="D4059" s="1" t="str">
        <f>"02713"</f>
        <v>02713</v>
      </c>
      <c r="E4059" s="1" t="s">
        <v>24</v>
      </c>
      <c r="F4059" s="1">
        <v>13</v>
      </c>
      <c r="G4059" s="1">
        <v>10</v>
      </c>
      <c r="H4059" s="1">
        <v>0</v>
      </c>
      <c r="I4059" s="1" t="s">
        <v>6608</v>
      </c>
      <c r="K4059" s="1" t="str">
        <f t="shared" si="250"/>
        <v>ㄊ</v>
      </c>
      <c r="L4059" s="1" t="str">
        <f t="shared" si="251"/>
        <v>ㄧ</v>
      </c>
      <c r="M4059" s="1" t="str">
        <f t="shared" si="252"/>
        <v>ㄢ</v>
      </c>
      <c r="P4059" s="1" t="s">
        <v>20</v>
      </c>
      <c r="R4059" s="1" t="s">
        <v>6609</v>
      </c>
      <c r="V4059" s="1" t="s">
        <v>6628</v>
      </c>
      <c r="AR4059" s="1" t="str">
        <f t="shared" si="253"/>
        <v>| [ㄊㄧㄢˊ](ㄊㄧㄢˊ.md) | [搷](搷.md) |  | tián | [動]
敲擊。《楚辭．宋玉．招魂》：「竽瑟狂會，搷鳴鼓些。」 |</v>
      </c>
    </row>
    <row r="4060" spans="1:44" hidden="1">
      <c r="A4060" s="1" t="s">
        <v>6629</v>
      </c>
      <c r="C4060" s="1">
        <v>1</v>
      </c>
      <c r="D4060" s="1" t="str">
        <f>"02714"</f>
        <v>02714</v>
      </c>
      <c r="E4060" s="1" t="s">
        <v>169</v>
      </c>
      <c r="F4060" s="1">
        <v>15</v>
      </c>
      <c r="G4060" s="1">
        <v>10</v>
      </c>
      <c r="H4060" s="1">
        <v>0</v>
      </c>
      <c r="I4060" s="1" t="s">
        <v>6608</v>
      </c>
      <c r="K4060" s="1" t="str">
        <f t="shared" si="250"/>
        <v>ㄊ</v>
      </c>
      <c r="L4060" s="1" t="str">
        <f t="shared" si="251"/>
        <v>ㄧ</v>
      </c>
      <c r="M4060" s="1" t="str">
        <f t="shared" si="252"/>
        <v>ㄢ</v>
      </c>
      <c r="P4060" s="1" t="s">
        <v>20</v>
      </c>
      <c r="R4060" s="1" t="s">
        <v>6609</v>
      </c>
      <c r="V4060" s="1" t="s">
        <v>6630</v>
      </c>
      <c r="AR4060" s="1" t="str">
        <f t="shared" si="253"/>
        <v>| [ㄊㄧㄢˊ](ㄊㄧㄢˊ.md) | [磌](磌.md) |  | tián | [擬]
形容落石的聲音。《集韻．平聲．先韻》：「磌，石落聲。」《公羊傳．僖公十六年》：「霣石記聞，聞其磌然。」
[名]
柱下石。清．王念孫《廣雅疏證．卷七上．釋宮》：「磌，礩也。」疏證：「《太平御覽》引《說文》云：『礩，柱下石也。』」 |</v>
      </c>
    </row>
    <row r="4061" spans="1:44" hidden="1">
      <c r="A4061" s="1" t="s">
        <v>6631</v>
      </c>
      <c r="C4061" s="1">
        <v>1</v>
      </c>
      <c r="D4061" s="1" t="str">
        <f>"02715"</f>
        <v>02715</v>
      </c>
      <c r="E4061" s="1" t="s">
        <v>709</v>
      </c>
      <c r="F4061" s="1">
        <v>18</v>
      </c>
      <c r="G4061" s="1">
        <v>10</v>
      </c>
      <c r="H4061" s="1">
        <v>0</v>
      </c>
      <c r="I4061" s="1" t="s">
        <v>6608</v>
      </c>
      <c r="K4061" s="1" t="str">
        <f t="shared" si="250"/>
        <v>ㄊ</v>
      </c>
      <c r="L4061" s="1" t="str">
        <f t="shared" si="251"/>
        <v>ㄧ</v>
      </c>
      <c r="M4061" s="1" t="str">
        <f t="shared" si="252"/>
        <v>ㄢ</v>
      </c>
      <c r="P4061" s="1" t="s">
        <v>20</v>
      </c>
      <c r="R4061" s="1" t="s">
        <v>6609</v>
      </c>
      <c r="V4061" s="1" t="s">
        <v>6632</v>
      </c>
      <c r="AR4061" s="1" t="str">
        <f t="shared" si="253"/>
        <v>| [ㄊㄧㄢˊ](ㄊㄧㄢˊ.md) | [闐](闐.md) |  | tián | [動]
充塞、充滿。《史記．卷一二〇．鄭當時傳》：「始翟公為廷尉，賓客闐門。」
[形]
參見「闐闐」條。 |</v>
      </c>
    </row>
    <row r="4062" spans="1:44" hidden="1">
      <c r="A4062" s="1" t="s">
        <v>6633</v>
      </c>
      <c r="C4062" s="1">
        <v>1</v>
      </c>
      <c r="D4062" s="1" t="str">
        <f>"02716"</f>
        <v>02716</v>
      </c>
      <c r="E4062" s="1" t="s">
        <v>250</v>
      </c>
      <c r="F4062" s="1">
        <v>8</v>
      </c>
      <c r="G4062" s="1">
        <v>4</v>
      </c>
      <c r="H4062" s="1">
        <v>0</v>
      </c>
      <c r="I4062" s="1" t="s">
        <v>6634</v>
      </c>
      <c r="K4062" s="1" t="str">
        <f t="shared" si="250"/>
        <v>ㄊ</v>
      </c>
      <c r="L4062" s="1" t="str">
        <f t="shared" si="251"/>
        <v>ㄧ</v>
      </c>
      <c r="M4062" s="1" t="str">
        <f t="shared" si="252"/>
        <v>ㄢ</v>
      </c>
      <c r="P4062" s="1" t="s">
        <v>20</v>
      </c>
      <c r="R4062" s="1" t="s">
        <v>6635</v>
      </c>
      <c r="V4062" s="1" t="s">
        <v>6636</v>
      </c>
      <c r="AR4062" s="1" t="str">
        <f t="shared" si="253"/>
        <v>| [ㄊㄧㄢˇ](ㄊㄧㄢˇ.md) | [忝](忝.md) |  | tiǎn | [動]
羞辱、汙蔑。《詩經．小雅．小宛》：「夙興夜寐，毋忝爾所生。」
[副]
自稱的謙詞。有輕賤、侮辱的意思。如：「忝居」、「忝為人師」、「忝列門牆」。《西遊記》第九回：「孩兒叨賴母親福庇，忝中狀元，欽賜遊街。」 |</v>
      </c>
    </row>
    <row r="4063" spans="1:44" hidden="1">
      <c r="A4063" s="1" t="s">
        <v>6637</v>
      </c>
      <c r="C4063" s="1">
        <v>1</v>
      </c>
      <c r="D4063" s="1" t="str">
        <f>"02717"</f>
        <v>02717</v>
      </c>
      <c r="E4063" s="1" t="s">
        <v>6303</v>
      </c>
      <c r="F4063" s="1">
        <v>14</v>
      </c>
      <c r="G4063" s="1">
        <v>8</v>
      </c>
      <c r="H4063" s="1">
        <v>0</v>
      </c>
      <c r="I4063" s="1" t="s">
        <v>6634</v>
      </c>
      <c r="K4063" s="1" t="str">
        <f t="shared" si="250"/>
        <v>ㄊ</v>
      </c>
      <c r="L4063" s="1" t="str">
        <f t="shared" si="251"/>
        <v>ㄧ</v>
      </c>
      <c r="M4063" s="1" t="str">
        <f t="shared" si="252"/>
        <v>ㄢ</v>
      </c>
      <c r="P4063" s="1" t="s">
        <v>20</v>
      </c>
      <c r="R4063" s="1" t="s">
        <v>6635</v>
      </c>
      <c r="V4063" s="1" t="s">
        <v>6638</v>
      </c>
      <c r="AR4063" s="1" t="str">
        <f t="shared" si="253"/>
        <v>| [ㄊㄧㄢˇ](ㄊㄧㄢˇ.md) | [舔](舔.md) |  | tiǎn | [動]
用舌頭觸碰或沾取東西。如：「舔嘴巴」、「舔冰棒」、「他被小狗舔得一臉的口水。」 |</v>
      </c>
    </row>
    <row r="4064" spans="1:44" hidden="1">
      <c r="A4064" s="1" t="s">
        <v>6639</v>
      </c>
      <c r="C4064" s="1">
        <v>1</v>
      </c>
      <c r="D4064" s="1" t="str">
        <f>"02718"</f>
        <v>02718</v>
      </c>
      <c r="E4064" s="1" t="s">
        <v>1372</v>
      </c>
      <c r="F4064" s="1">
        <v>9</v>
      </c>
      <c r="G4064" s="1">
        <v>5</v>
      </c>
      <c r="H4064" s="1">
        <v>0</v>
      </c>
      <c r="I4064" s="1" t="s">
        <v>6634</v>
      </c>
      <c r="K4064" s="1" t="str">
        <f t="shared" si="250"/>
        <v>ㄊ</v>
      </c>
      <c r="L4064" s="1" t="str">
        <f t="shared" si="251"/>
        <v>ㄧ</v>
      </c>
      <c r="M4064" s="1" t="str">
        <f t="shared" si="252"/>
        <v>ㄢ</v>
      </c>
      <c r="P4064" s="1" t="s">
        <v>20</v>
      </c>
      <c r="R4064" s="1" t="s">
        <v>6635</v>
      </c>
      <c r="V4064" s="1" t="s">
        <v>6640</v>
      </c>
      <c r="AR4064" s="1" t="str">
        <f t="shared" si="253"/>
        <v>| [ㄊㄧㄢˇ](ㄊㄧㄢˇ.md) | [殄](殄.md) |  | tiǎn | [動]
1.盡、滅絕。如：「殄滅」。《後漢書．卷四七．班超傳》：「彼不知我多少，必大震怖，可殄盡也。」
2.浪費、糟蹋。如：「暴殄天物」。 |</v>
      </c>
    </row>
    <row r="4065" spans="1:44" hidden="1">
      <c r="A4065" s="1" t="s">
        <v>6641</v>
      </c>
      <c r="C4065" s="1">
        <v>1</v>
      </c>
      <c r="D4065" s="1" t="str">
        <f>"02719"</f>
        <v>02719</v>
      </c>
      <c r="E4065" s="1" t="s">
        <v>129</v>
      </c>
      <c r="F4065" s="1">
        <v>11</v>
      </c>
      <c r="G4065" s="1">
        <v>8</v>
      </c>
      <c r="H4065" s="1">
        <v>0</v>
      </c>
      <c r="I4065" s="1" t="s">
        <v>6634</v>
      </c>
      <c r="K4065" s="1" t="str">
        <f t="shared" si="250"/>
        <v>ㄊ</v>
      </c>
      <c r="L4065" s="1" t="str">
        <f t="shared" si="251"/>
        <v>ㄧ</v>
      </c>
      <c r="M4065" s="1" t="str">
        <f t="shared" si="252"/>
        <v>ㄢ</v>
      </c>
      <c r="P4065" s="1" t="s">
        <v>20</v>
      </c>
      <c r="R4065" s="1" t="s">
        <v>6635</v>
      </c>
      <c r="V4065" s="1" t="s">
        <v>6642</v>
      </c>
      <c r="AR4065" s="1" t="str">
        <f t="shared" si="253"/>
        <v>| [ㄊㄧㄢˇ](ㄊㄧㄢˇ.md) | [淟](淟.md) |  | tiǎn | 參見「淟涊」、「淟濁」等條。 |</v>
      </c>
    </row>
    <row r="4066" spans="1:44" hidden="1">
      <c r="A4066" s="1" t="s">
        <v>6643</v>
      </c>
      <c r="C4066" s="1">
        <v>1</v>
      </c>
      <c r="D4066" s="1" t="str">
        <f>"02720"</f>
        <v>02720</v>
      </c>
      <c r="E4066" s="1" t="s">
        <v>250</v>
      </c>
      <c r="F4066" s="1">
        <v>11</v>
      </c>
      <c r="G4066" s="1">
        <v>8</v>
      </c>
      <c r="H4066" s="1">
        <v>0</v>
      </c>
      <c r="I4066" s="1" t="s">
        <v>6634</v>
      </c>
      <c r="K4066" s="1" t="str">
        <f t="shared" si="250"/>
        <v>ㄊ</v>
      </c>
      <c r="L4066" s="1" t="str">
        <f t="shared" si="251"/>
        <v>ㄧ</v>
      </c>
      <c r="M4066" s="1" t="str">
        <f t="shared" si="252"/>
        <v>ㄢ</v>
      </c>
      <c r="P4066" s="1" t="s">
        <v>20</v>
      </c>
      <c r="R4066" s="1" t="s">
        <v>6635</v>
      </c>
      <c r="V4066" s="1" t="s">
        <v>6644</v>
      </c>
      <c r="AR4066" s="1" t="str">
        <f t="shared" si="253"/>
        <v>| [ㄊㄧㄢˇ](ㄊㄧㄢˇ.md) | [㥏](㥏.md) |  | tiǎn | 參見「㥏墨」條。 |</v>
      </c>
    </row>
    <row r="4067" spans="1:44" hidden="1">
      <c r="A4067" s="1" t="s">
        <v>6645</v>
      </c>
      <c r="C4067" s="1">
        <v>1</v>
      </c>
      <c r="D4067" s="1" t="str">
        <f>"02721"</f>
        <v>02721</v>
      </c>
      <c r="E4067" s="1" t="s">
        <v>68</v>
      </c>
      <c r="F4067" s="1">
        <v>12</v>
      </c>
      <c r="G4067" s="1">
        <v>8</v>
      </c>
      <c r="H4067" s="1">
        <v>0</v>
      </c>
      <c r="I4067" s="1" t="s">
        <v>6634</v>
      </c>
      <c r="K4067" s="1" t="str">
        <f t="shared" si="250"/>
        <v>ㄊ</v>
      </c>
      <c r="L4067" s="1" t="str">
        <f t="shared" si="251"/>
        <v>ㄧ</v>
      </c>
      <c r="M4067" s="1" t="str">
        <f t="shared" si="252"/>
        <v>ㄢ</v>
      </c>
      <c r="P4067" s="1" t="s">
        <v>20</v>
      </c>
      <c r="R4067" s="1" t="s">
        <v>6635</v>
      </c>
      <c r="V4067" s="1" t="s">
        <v>6646</v>
      </c>
      <c r="AR4067" s="1" t="str">
        <f t="shared" si="253"/>
        <v>| [ㄊㄧㄢˇ](ㄊㄧㄢˇ.md) | [腆](腆.md) |  | tiǎn | [形]_x000D_
1.豐盛、豐厚。如：「腆儀」。明．徐弘祖《徐霞客遊記．卷六上．滇遊日記四》：「抵殿東廂，則築居亦為拉出矣。遂就燕飲。其婦所備肴饌甚腆。」_x000D_
2.善、美好。《禮記．郊特牲》：「幣必誠，辭無不腆。」_x000D_
3.害羞的樣子。參見「腼腆」條。_x000D_
4.不知羞恥的。南朝梁．沈約〈奏彈王源〉：「明目腆顏，曾無愧焉。」_x000D_
[動]_x000D_
凸出、挺出。如：「腆著胸脯」。《儒林外史》第三回：「屠戶橫披了衣服，腆著肚子去了。」 |</v>
      </c>
    </row>
    <row r="4068" spans="1:44" hidden="1">
      <c r="A4068" s="1" t="s">
        <v>6647</v>
      </c>
      <c r="C4068" s="1">
        <v>1</v>
      </c>
      <c r="D4068" s="1" t="str">
        <f>"02722"</f>
        <v>02722</v>
      </c>
      <c r="E4068" s="1" t="s">
        <v>193</v>
      </c>
      <c r="F4068" s="1">
        <v>14</v>
      </c>
      <c r="G4068" s="1">
        <v>6</v>
      </c>
      <c r="H4068" s="1">
        <v>0</v>
      </c>
      <c r="I4068" s="1" t="s">
        <v>6634</v>
      </c>
      <c r="K4068" s="1" t="str">
        <f t="shared" si="250"/>
        <v>ㄊ</v>
      </c>
      <c r="L4068" s="1" t="str">
        <f t="shared" si="251"/>
        <v>ㄧ</v>
      </c>
      <c r="M4068" s="1" t="str">
        <f t="shared" si="252"/>
        <v>ㄢ</v>
      </c>
      <c r="P4068" s="1" t="s">
        <v>20</v>
      </c>
      <c r="R4068" s="1" t="s">
        <v>6635</v>
      </c>
      <c r="V4068" s="1" t="s">
        <v>6648</v>
      </c>
      <c r="AR4068" s="1" t="str">
        <f t="shared" si="253"/>
        <v>| [ㄊㄧㄢˇ](ㄊㄧㄢˇ.md) | [餂](餂.md) |  | tiǎn | [動]
探取、套騙。《孟子．盡心下》：「士未可以言而言，是以言餂之。」《聊齋志異．卷二．紅玉》：「誠恐宋人餂我。」 |</v>
      </c>
    </row>
    <row r="4069" spans="1:44" hidden="1">
      <c r="A4069" s="1" t="s">
        <v>3609</v>
      </c>
      <c r="C4069" s="1">
        <v>1</v>
      </c>
      <c r="D4069" s="1" t="str">
        <f>"02724"</f>
        <v>02724</v>
      </c>
      <c r="E4069" s="1" t="s">
        <v>3610</v>
      </c>
      <c r="F4069" s="1">
        <v>16</v>
      </c>
      <c r="G4069" s="1">
        <v>7</v>
      </c>
      <c r="H4069" s="1">
        <v>1</v>
      </c>
      <c r="I4069" s="1" t="s">
        <v>6634</v>
      </c>
      <c r="K4069" s="1" t="str">
        <f t="shared" si="250"/>
        <v>ㄊ</v>
      </c>
      <c r="L4069" s="1" t="str">
        <f t="shared" si="251"/>
        <v>ㄧ</v>
      </c>
      <c r="M4069" s="1" t="str">
        <f t="shared" si="252"/>
        <v>ㄢ</v>
      </c>
      <c r="P4069" s="1" t="s">
        <v>20</v>
      </c>
      <c r="R4069" s="1" t="s">
        <v>6635</v>
      </c>
      <c r="V4069" s="1" t="s">
        <v>6649</v>
      </c>
      <c r="W4069" s="1" t="s">
        <v>6650</v>
      </c>
      <c r="AR4069" s="1" t="str">
        <f t="shared" si="253"/>
        <v>| [ㄊㄧㄢˇ](ㄊㄧㄢˇ.md) | [靦](靦.md) |  | tiǎn | [形]
慚愧的。《文選．左思．魏都賦》：「有靦瞢容，神惢形茹。」
[動]
厚顏、不以為恥。《南史．卷六一．陳伯之傳》：「將軍獨靦顏借命，驅馳氈裘之長，寧不哀哉！」 |</v>
      </c>
    </row>
    <row r="4070" spans="1:44" hidden="1">
      <c r="A4070" s="1" t="s">
        <v>6651</v>
      </c>
      <c r="C4070" s="1">
        <v>1</v>
      </c>
      <c r="D4070" s="1" t="str">
        <f>"02725"</f>
        <v>02725</v>
      </c>
      <c r="E4070" s="1" t="s">
        <v>24</v>
      </c>
      <c r="F4070" s="1">
        <v>11</v>
      </c>
      <c r="G4070" s="1">
        <v>8</v>
      </c>
      <c r="H4070" s="1">
        <v>0</v>
      </c>
      <c r="I4070" s="1" t="s">
        <v>6652</v>
      </c>
      <c r="K4070" s="1" t="str">
        <f t="shared" si="250"/>
        <v>ㄊ</v>
      </c>
      <c r="L4070" s="1" t="str">
        <f t="shared" si="251"/>
        <v>ㄧ</v>
      </c>
      <c r="M4070" s="1" t="str">
        <f t="shared" si="252"/>
        <v>ㄢ</v>
      </c>
      <c r="P4070" s="1" t="s">
        <v>20</v>
      </c>
      <c r="R4070" s="1" t="s">
        <v>6653</v>
      </c>
      <c r="V4070" s="1" t="s">
        <v>6654</v>
      </c>
      <c r="AR4070" s="1" t="str">
        <f t="shared" si="253"/>
        <v>| [ㄊㄧㄢˋ](ㄊㄧㄢˋ.md) | [掭](掭.md) |  | tiàn | [動]
1.撥動、剔出。如：「掭燈火」。《初刻拍案驚奇》卷二三：「立起身來，幸得殘燈未息，重掭亮了。」
2.用毛筆蘸墨。如：「掭筆」。《西遊記》第三回：「那判官慌忙捧筆，飽掭濃墨。」 |</v>
      </c>
    </row>
    <row r="4071" spans="1:44" hidden="1">
      <c r="A4071" s="1" t="s">
        <v>6655</v>
      </c>
      <c r="C4071" s="1">
        <v>1</v>
      </c>
      <c r="D4071" s="1" t="str">
        <f>"02727"</f>
        <v>02727</v>
      </c>
      <c r="E4071" s="1" t="s">
        <v>142</v>
      </c>
      <c r="F4071" s="1">
        <v>14</v>
      </c>
      <c r="G4071" s="1">
        <v>10</v>
      </c>
      <c r="H4071" s="1">
        <v>0</v>
      </c>
      <c r="I4071" s="1" t="s">
        <v>6652</v>
      </c>
      <c r="K4071" s="1" t="str">
        <f t="shared" si="250"/>
        <v>ㄊ</v>
      </c>
      <c r="L4071" s="1" t="str">
        <f t="shared" si="251"/>
        <v>ㄧ</v>
      </c>
      <c r="M4071" s="1" t="str">
        <f t="shared" si="252"/>
        <v>ㄢ</v>
      </c>
      <c r="P4071" s="1" t="s">
        <v>20</v>
      </c>
      <c r="R4071" s="1" t="s">
        <v>6653</v>
      </c>
      <c r="V4071" s="1" t="s">
        <v>6656</v>
      </c>
      <c r="AR4071" s="1" t="str">
        <f t="shared" si="253"/>
        <v>| [ㄊㄧㄢˋ](ㄊㄧㄢˋ.md) | [瑱](瑱.md) |  | tiàn | [名]
古代繫於冠冕兩側，垂在耳旁，用以塞耳的玉飾。《說文解字．玉部》：「瑱，以玉充耳也。」《左傳．昭公二十六年》：「以幣錦二兩，縛一如瑱。」晉．杜預．注：「瑱，充耳。」唐．孔穎達．正義：「禮以一絛五采橫冕上，兩頭下垂，繫黃綿，綿下又縣玉為瑱以塞耳。」《戰國策．齊策四》：「徹其環瑱，至老不嫁，以養父母。」也稱為「充耳」。
[動]
充填。《文選．郭璞．江賦》：「金精玉英瑱其裡，瑤珠怪石琗其表。」 |</v>
      </c>
    </row>
    <row r="4072" spans="1:44" hidden="1">
      <c r="A4072" s="1" t="s">
        <v>6657</v>
      </c>
      <c r="C4072" s="1">
        <v>1</v>
      </c>
      <c r="D4072" s="1" t="str">
        <f>"02727A"</f>
        <v>02727A</v>
      </c>
      <c r="E4072" s="1" t="s">
        <v>6303</v>
      </c>
      <c r="F4072" s="1">
        <v>19</v>
      </c>
      <c r="G4072" s="1">
        <v>13</v>
      </c>
      <c r="H4072" s="1">
        <v>0</v>
      </c>
      <c r="I4072" s="1" t="s">
        <v>6652</v>
      </c>
      <c r="K4072" s="1" t="str">
        <f t="shared" ref="K4072:K4135" si="254">LEFT(I4072, 1)</f>
        <v>ㄊ</v>
      </c>
      <c r="L4072" s="1" t="str">
        <f t="shared" ref="L4072:L4135" si="255">MID(I4072, 2, 1)</f>
        <v>ㄧ</v>
      </c>
      <c r="M4072" s="1" t="str">
        <f t="shared" si="252"/>
        <v>ㄢ</v>
      </c>
      <c r="P4072" s="1" t="s">
        <v>20</v>
      </c>
      <c r="R4072" s="1" t="s">
        <v>6653</v>
      </c>
      <c r="V4072" s="1" t="s">
        <v>6658</v>
      </c>
      <c r="AR4072" s="1" t="str">
        <f t="shared" si="253"/>
        <v>| [ㄊㄧㄢˋ](ㄊㄧㄢˋ.md) | [舚](舚.md) |  | tiàn | [動]
吐舌。唐．韓愈〈喜侯喜至贈張籍張徹〉詩：「雜作承間聘，交驚舌互舚。」 |</v>
      </c>
    </row>
    <row r="4073" spans="1:44" hidden="1">
      <c r="A4073" s="1" t="s">
        <v>6945</v>
      </c>
      <c r="C4073" s="1">
        <v>1</v>
      </c>
      <c r="D4073" s="1" t="str">
        <f>"02851"</f>
        <v>02851</v>
      </c>
      <c r="E4073" s="1" t="s">
        <v>129</v>
      </c>
      <c r="F4073" s="1">
        <v>12</v>
      </c>
      <c r="G4073" s="1">
        <v>9</v>
      </c>
      <c r="H4073" s="1">
        <v>0</v>
      </c>
      <c r="I4073" s="1" t="s">
        <v>6946</v>
      </c>
      <c r="K4073" s="1" t="str">
        <f t="shared" si="254"/>
        <v>ㄊ</v>
      </c>
      <c r="L4073" s="1" t="str">
        <f t="shared" si="255"/>
        <v>ㄨ</v>
      </c>
      <c r="M4073" s="1" t="str">
        <f t="shared" si="252"/>
        <v>ㄢ</v>
      </c>
      <c r="P4073" s="1" t="s">
        <v>20</v>
      </c>
      <c r="R4073" s="1" t="s">
        <v>6947</v>
      </c>
      <c r="V4073" s="1" t="s">
        <v>6948</v>
      </c>
      <c r="AR4073" s="1" t="str">
        <f t="shared" si="253"/>
        <v>| [ㄊㄨㄢ](ㄊㄨㄢ.md) | [湍](湍.md) |  | tuān | [名]_x000D_
急流。如：「飛湍」、「奔湍」。南朝宋．謝靈運〈七里瀨〉詩：「孤客傷逝湍，徒旅苦奔峭。」_x000D_
[形]_x000D_
水流迅急。如：「湍急」、「湍流」。《孟子．告子上》：「性猶湍水也，決諸東方則東流，決諸西方則西流。」唐．李白〈江上答崔宣城〉詩：「問我將何事，湍波歷幾重？」 |</v>
      </c>
    </row>
    <row r="4074" spans="1:44" hidden="1">
      <c r="A4074" s="1" t="s">
        <v>6949</v>
      </c>
      <c r="C4074" s="1">
        <v>1</v>
      </c>
      <c r="D4074" s="1" t="str">
        <f>"02852"</f>
        <v>02852</v>
      </c>
      <c r="E4074" s="1" t="s">
        <v>537</v>
      </c>
      <c r="F4074" s="1">
        <v>16</v>
      </c>
      <c r="G4074" s="1">
        <v>9</v>
      </c>
      <c r="H4074" s="1">
        <v>0</v>
      </c>
      <c r="I4074" s="1" t="s">
        <v>6946</v>
      </c>
      <c r="K4074" s="1" t="str">
        <f t="shared" si="254"/>
        <v>ㄊ</v>
      </c>
      <c r="L4074" s="1" t="str">
        <f t="shared" si="255"/>
        <v>ㄨ</v>
      </c>
      <c r="M4074" s="1" t="str">
        <f t="shared" si="252"/>
        <v>ㄢ</v>
      </c>
      <c r="P4074" s="1" t="s">
        <v>20</v>
      </c>
      <c r="R4074" s="1" t="s">
        <v>6947</v>
      </c>
      <c r="V4074" s="1" t="s">
        <v>6950</v>
      </c>
      <c r="AR4074" s="1" t="str">
        <f t="shared" si="253"/>
        <v>| [ㄊㄨㄢ](ㄊㄨㄢ.md) | [貒](貒.md) |  | tuān | [名]
一種外形似豬的動物。即豬獾。體形肥大，行動遲鈍。短尾、尖嘴，擅掘洞，穴居。明．張自烈《正字通．豸部》：「貒，豬獾，一名獾㹠，狀似小豬，體肥，行鈍，穴居，足尾短，褐毛，尖喙，能孔地，食蟲肉。」 |</v>
      </c>
    </row>
    <row r="4075" spans="1:44" hidden="1">
      <c r="A4075" s="1" t="s">
        <v>6951</v>
      </c>
      <c r="C4075" s="1">
        <v>1</v>
      </c>
      <c r="D4075" s="1" t="str">
        <f>"02853"</f>
        <v>02853</v>
      </c>
      <c r="E4075" s="1" t="s">
        <v>185</v>
      </c>
      <c r="F4075" s="1">
        <v>13</v>
      </c>
      <c r="G4075" s="1">
        <v>11</v>
      </c>
      <c r="H4075" s="1">
        <v>1</v>
      </c>
      <c r="I4075" s="1" t="s">
        <v>6952</v>
      </c>
      <c r="K4075" s="1" t="str">
        <f t="shared" si="254"/>
        <v>ㄊ</v>
      </c>
      <c r="L4075" s="1" t="str">
        <f t="shared" si="255"/>
        <v>ㄨ</v>
      </c>
      <c r="M4075" s="1" t="str">
        <f t="shared" si="252"/>
        <v>ㄢ</v>
      </c>
      <c r="P4075" s="1" t="s">
        <v>20</v>
      </c>
      <c r="R4075" s="1" t="s">
        <v>6953</v>
      </c>
      <c r="V4075" s="1" t="s">
        <v>6954</v>
      </c>
      <c r="W4075" s="1" t="s">
        <v>6955</v>
      </c>
      <c r="AR4075" s="1" t="str">
        <f t="shared" si="253"/>
        <v>| [ㄊㄨㄢˊ](ㄊㄨㄢˊ.md) | [剸](剸.md) |  | tuán | [動]
割截。《禮記．文王世子》：「其刑罪則纖剸。」漢．鄭玄．注：「剸，割也。」《文選．王襃．聖主得賢臣頌》：「水斷蛟龍，陸剸犀革。」 |</v>
      </c>
    </row>
    <row r="4076" spans="1:44" hidden="1">
      <c r="A4076" s="1" t="s">
        <v>6956</v>
      </c>
      <c r="C4076" s="1">
        <v>1</v>
      </c>
      <c r="D4076" s="1" t="str">
        <f>"02854"</f>
        <v>02854</v>
      </c>
      <c r="E4076" s="1" t="s">
        <v>129</v>
      </c>
      <c r="F4076" s="1">
        <v>14</v>
      </c>
      <c r="G4076" s="1">
        <v>11</v>
      </c>
      <c r="H4076" s="1">
        <v>0</v>
      </c>
      <c r="I4076" s="1" t="s">
        <v>6952</v>
      </c>
      <c r="K4076" s="1" t="str">
        <f t="shared" si="254"/>
        <v>ㄊ</v>
      </c>
      <c r="L4076" s="1" t="str">
        <f t="shared" si="255"/>
        <v>ㄨ</v>
      </c>
      <c r="M4076" s="1" t="str">
        <f t="shared" si="252"/>
        <v>ㄢ</v>
      </c>
      <c r="P4076" s="1" t="s">
        <v>20</v>
      </c>
      <c r="R4076" s="1" t="s">
        <v>6953</v>
      </c>
      <c r="V4076" s="1" t="s">
        <v>6957</v>
      </c>
      <c r="AR4076" s="1" t="str">
        <f t="shared" si="253"/>
        <v>| [ㄊㄨㄢˊ](ㄊㄨㄢˊ.md) | [漙](漙.md) |  | tuán | [形]
露水豐沛的樣子。《詩經．鄭風．野有蔓草》：「野有蔓草，零露漙兮。」漢．毛亨．傳：「漙漙然盛多也。」 |</v>
      </c>
    </row>
    <row r="4077" spans="1:44" hidden="1">
      <c r="A4077" s="1" t="s">
        <v>6958</v>
      </c>
      <c r="C4077" s="1">
        <v>1</v>
      </c>
      <c r="D4077" s="1" t="str">
        <f>"02855"</f>
        <v>02855</v>
      </c>
      <c r="E4077" s="1" t="s">
        <v>250</v>
      </c>
      <c r="F4077" s="1">
        <v>14</v>
      </c>
      <c r="G4077" s="1">
        <v>11</v>
      </c>
      <c r="H4077" s="1">
        <v>0</v>
      </c>
      <c r="I4077" s="1" t="s">
        <v>6952</v>
      </c>
      <c r="K4077" s="1" t="str">
        <f t="shared" si="254"/>
        <v>ㄊ</v>
      </c>
      <c r="L4077" s="1" t="str">
        <f t="shared" si="255"/>
        <v>ㄨ</v>
      </c>
      <c r="M4077" s="1" t="str">
        <f t="shared" si="252"/>
        <v>ㄢ</v>
      </c>
      <c r="P4077" s="1" t="s">
        <v>20</v>
      </c>
      <c r="R4077" s="1" t="s">
        <v>6953</v>
      </c>
      <c r="V4077" s="1" t="s">
        <v>6959</v>
      </c>
      <c r="AR4077" s="1" t="str">
        <f t="shared" si="253"/>
        <v>| [ㄊㄨㄢˊ](ㄊㄨㄢˊ.md) | [慱](慱.md) |  | tuán | [形]
愁苦憂勞的樣子。參見「慱慱」條。 |</v>
      </c>
    </row>
    <row r="4078" spans="1:44" hidden="1">
      <c r="A4078" s="1" t="s">
        <v>6960</v>
      </c>
      <c r="C4078" s="1">
        <v>1</v>
      </c>
      <c r="D4078" s="1" t="str">
        <f>"02856"</f>
        <v>02856</v>
      </c>
      <c r="E4078" s="1" t="s">
        <v>24</v>
      </c>
      <c r="F4078" s="1">
        <v>14</v>
      </c>
      <c r="G4078" s="1">
        <v>11</v>
      </c>
      <c r="H4078" s="1">
        <v>0</v>
      </c>
      <c r="I4078" s="1" t="s">
        <v>6952</v>
      </c>
      <c r="K4078" s="1" t="str">
        <f t="shared" si="254"/>
        <v>ㄊ</v>
      </c>
      <c r="L4078" s="1" t="str">
        <f t="shared" si="255"/>
        <v>ㄨ</v>
      </c>
      <c r="M4078" s="1" t="str">
        <f t="shared" si="252"/>
        <v>ㄢ</v>
      </c>
      <c r="P4078" s="1" t="s">
        <v>20</v>
      </c>
      <c r="R4078" s="1" t="s">
        <v>6953</v>
      </c>
      <c r="V4078" s="1" t="s">
        <v>6961</v>
      </c>
      <c r="AR4078" s="1" t="str">
        <f t="shared" si="253"/>
        <v>| [ㄊㄨㄢˊ](ㄊㄨㄢˊ.md) | [摶](摶.md) |  | tuán | [動]
1.捏聚搓揉成團。如：「摶弄」、「摶土」、「摶麵」。《文選．枚乘．七發》：「楚苗之食，安胡之變飰，摶之不解，一啜而散。」
2.憑藉。《莊子．逍遙遊》：「摶扶搖而上九萬里。」明．張四維《雙烈記》第三〇齣：「夾攻裡外施英勇，看他鵬翮怎摶風，管教墮吾計中。」
3.集聚、結合。《管子．內業》：「摶氣如神，萬物被存。」《商君書．農戰》：「摶民力以待外事，然後患可以去而王可致也。」 |</v>
      </c>
    </row>
    <row r="4079" spans="1:44" hidden="1">
      <c r="A4079" s="1" t="s">
        <v>6962</v>
      </c>
      <c r="C4079" s="1">
        <v>1</v>
      </c>
      <c r="D4079" s="1" t="str">
        <f>"02857"</f>
        <v>02857</v>
      </c>
      <c r="E4079" s="1" t="s">
        <v>2557</v>
      </c>
      <c r="F4079" s="1">
        <v>14</v>
      </c>
      <c r="G4079" s="1">
        <v>11</v>
      </c>
      <c r="H4079" s="1">
        <v>0</v>
      </c>
      <c r="I4079" s="1" t="s">
        <v>6952</v>
      </c>
      <c r="K4079" s="1" t="str">
        <f t="shared" si="254"/>
        <v>ㄊ</v>
      </c>
      <c r="L4079" s="1" t="str">
        <f t="shared" si="255"/>
        <v>ㄨ</v>
      </c>
      <c r="M4079" s="1" t="str">
        <f t="shared" si="252"/>
        <v>ㄢ</v>
      </c>
      <c r="P4079" s="1" t="s">
        <v>20</v>
      </c>
      <c r="R4079" s="1" t="s">
        <v>6953</v>
      </c>
      <c r="V4079" s="1" t="s">
        <v>6963</v>
      </c>
      <c r="AR4079" s="1" t="str">
        <f t="shared" si="253"/>
        <v>| [ㄊㄨㄢˊ](ㄊㄨㄢˊ.md) | [團](團.md) |  | tuán | [名]
1.圓球形物體。如：「粉團」、「紙團」、「蒲團」、「麵團」。
2.有組織的一群人，可以一起運作或活動。如：「社團」、「馬戲團」、「旅行團」、「合唱團」。
3.聚合物。如：「疑團」、「冷氣團」、「星團」。
4.軍隊編組建制的單位。歷代不一。陸軍介於師、旅之間，三營為一團，現已取消不用。
5.量詞。計算團狀物的單位。如：「一團毛線」、「兩團泥巴」。
[動]
1.搓弄、揉合。如：「團泥球」、「團紙團」。漢．崔寔〈四民月令〉：「齊人呼寒食為冷節，以麴為蒸餅樣，團棗附之，名曰棗糕。」
2.聚集、結合。如：「團結」。唐．張說〈東都酺宴〉詩四首之三：「爭馳群鳥散，鬥伎百花團。」
3.估量、猜度。《董西廂》卷六：「舊日做下的衣服件件小，眼謾眉低胸乳高，管有兀誰廝般著，我團著這妮子做破大手腳。」 |</v>
      </c>
    </row>
    <row r="4080" spans="1:44" hidden="1">
      <c r="A4080" s="1" t="s">
        <v>6964</v>
      </c>
      <c r="C4080" s="1">
        <v>1</v>
      </c>
      <c r="D4080" s="1" t="str">
        <f>"02858"</f>
        <v>02858</v>
      </c>
      <c r="E4080" s="1" t="s">
        <v>49</v>
      </c>
      <c r="F4080" s="1">
        <v>17</v>
      </c>
      <c r="G4080" s="1">
        <v>11</v>
      </c>
      <c r="H4080" s="1">
        <v>1</v>
      </c>
      <c r="I4080" s="1" t="s">
        <v>6952</v>
      </c>
      <c r="K4080" s="1" t="str">
        <f t="shared" si="254"/>
        <v>ㄊ</v>
      </c>
      <c r="L4080" s="1" t="str">
        <f t="shared" si="255"/>
        <v>ㄨ</v>
      </c>
      <c r="M4080" s="1" t="str">
        <f t="shared" si="252"/>
        <v>ㄢ</v>
      </c>
      <c r="P4080" s="1" t="s">
        <v>20</v>
      </c>
      <c r="R4080" s="1" t="s">
        <v>6953</v>
      </c>
      <c r="V4080" s="1" t="s">
        <v>6965</v>
      </c>
      <c r="W4080" s="1" t="s">
        <v>6966</v>
      </c>
      <c r="AR4080" s="1" t="str">
        <f t="shared" si="253"/>
        <v>| [ㄊㄨㄢˊ](ㄊㄨㄢˊ.md) | [篿](篿.md) |  | tuán | [名]
圓形的竹器。《說文解字．竹部》：「篿，圜竹器也。」清．段玉裁．注：「盛物之器而圜者。」 |</v>
      </c>
    </row>
    <row r="4081" spans="1:44" hidden="1">
      <c r="A4081" s="1" t="s">
        <v>6967</v>
      </c>
      <c r="C4081" s="1">
        <v>1</v>
      </c>
      <c r="D4081" s="1" t="str">
        <f>"02859"</f>
        <v>02859</v>
      </c>
      <c r="E4081" s="1" t="s">
        <v>46</v>
      </c>
      <c r="F4081" s="1">
        <v>20</v>
      </c>
      <c r="G4081" s="1">
        <v>14</v>
      </c>
      <c r="H4081" s="1">
        <v>0</v>
      </c>
      <c r="I4081" s="1" t="s">
        <v>6952</v>
      </c>
      <c r="K4081" s="1" t="str">
        <f t="shared" si="254"/>
        <v>ㄊ</v>
      </c>
      <c r="L4081" s="1" t="str">
        <f t="shared" si="255"/>
        <v>ㄨ</v>
      </c>
      <c r="M4081" s="1" t="str">
        <f t="shared" si="252"/>
        <v>ㄢ</v>
      </c>
      <c r="P4081" s="1" t="s">
        <v>20</v>
      </c>
      <c r="R4081" s="1" t="s">
        <v>6953</v>
      </c>
      <c r="V4081" s="1" t="s">
        <v>6968</v>
      </c>
      <c r="AR4081" s="1" t="str">
        <f t="shared" si="253"/>
        <v>| [ㄊㄨㄢˊ](ㄊㄨㄢˊ.md) | [糰](糰.md) |  | tuán | [名]
以米或粉等製成的圓球形食品。如：「飯糰」、「湯糰」、「糯米糰」。唐．白居易〈寒食日過棗糰店〉詩：「寒食棗糰店，春低楊柳枝。」 |</v>
      </c>
    </row>
    <row r="4082" spans="1:44" hidden="1">
      <c r="A4082" s="1" t="s">
        <v>6969</v>
      </c>
      <c r="C4082" s="1">
        <v>1</v>
      </c>
      <c r="D4082" s="1" t="str">
        <f>"02860"</f>
        <v>02860</v>
      </c>
      <c r="E4082" s="1" t="s">
        <v>753</v>
      </c>
      <c r="F4082" s="1">
        <v>14</v>
      </c>
      <c r="G4082" s="1">
        <v>9</v>
      </c>
      <c r="H4082" s="1">
        <v>0</v>
      </c>
      <c r="I4082" s="1" t="s">
        <v>6970</v>
      </c>
      <c r="K4082" s="1" t="str">
        <f t="shared" si="254"/>
        <v>ㄊ</v>
      </c>
      <c r="L4082" s="1" t="str">
        <f t="shared" si="255"/>
        <v>ㄨ</v>
      </c>
      <c r="M4082" s="1" t="str">
        <f t="shared" si="252"/>
        <v>ㄢ</v>
      </c>
      <c r="P4082" s="1" t="s">
        <v>20</v>
      </c>
      <c r="R4082" s="1" t="s">
        <v>6971</v>
      </c>
      <c r="V4082" s="1" t="s">
        <v>6972</v>
      </c>
      <c r="AR4082" s="1" t="str">
        <f t="shared" si="253"/>
        <v>| [ㄊㄨㄢˇ](ㄊㄨㄢˇ.md) | [畽](畽.md) |  | tuǎn | [名]
田界相接的地方。明．張自烈《正字通．田部》：「周區為町，接町為畽。」 |</v>
      </c>
    </row>
    <row r="4083" spans="1:44" hidden="1">
      <c r="A4083" s="1" t="s">
        <v>6973</v>
      </c>
      <c r="C4083" s="1">
        <v>1</v>
      </c>
      <c r="D4083" s="1" t="str">
        <f>"02861"</f>
        <v>02861</v>
      </c>
      <c r="E4083" s="1" t="s">
        <v>753</v>
      </c>
      <c r="F4083" s="1">
        <v>17</v>
      </c>
      <c r="G4083" s="1">
        <v>12</v>
      </c>
      <c r="H4083" s="1">
        <v>0</v>
      </c>
      <c r="I4083" s="1" t="s">
        <v>6970</v>
      </c>
      <c r="K4083" s="1" t="str">
        <f t="shared" si="254"/>
        <v>ㄊ</v>
      </c>
      <c r="L4083" s="1" t="str">
        <f t="shared" si="255"/>
        <v>ㄨ</v>
      </c>
      <c r="M4083" s="1" t="str">
        <f t="shared" si="252"/>
        <v>ㄢ</v>
      </c>
      <c r="P4083" s="1" t="s">
        <v>20</v>
      </c>
      <c r="R4083" s="1" t="s">
        <v>6971</v>
      </c>
      <c r="V4083" s="1" t="s">
        <v>6974</v>
      </c>
      <c r="AR4083" s="1" t="str">
        <f t="shared" si="253"/>
        <v>| [ㄊㄨㄢˇ](ㄊㄨㄢˇ.md) | [疃](疃.md) |  | tuǎn | [名]
1.禽獸踐踏的地方。《說文解字．田部》：「疃，禽獸所踐處也。」宋．黃庭堅〈觀祕閣蘇子美題壁詩〉：「姑蘇麋鹿疃，風月在書堂。」
2.村莊、屯。多用於地名。如大陸地區河北省的賈家疃。元．孟漢卿《魔合羅》第四折：「怎把走村串疃貨郎兒，屈勘做了圖財致命殺人賊！」《水滸傳》第六三回：「在庾家疃一字兒擺成陣勢。」 |</v>
      </c>
    </row>
    <row r="4084" spans="1:44" hidden="1">
      <c r="A4084" s="1" t="s">
        <v>6975</v>
      </c>
      <c r="C4084" s="1">
        <v>1</v>
      </c>
      <c r="D4084" s="1" t="str">
        <f>"02862"</f>
        <v>02862</v>
      </c>
      <c r="E4084" s="1" t="s">
        <v>6976</v>
      </c>
      <c r="F4084" s="1">
        <v>9</v>
      </c>
      <c r="G4084" s="1">
        <v>6</v>
      </c>
      <c r="H4084" s="1">
        <v>0</v>
      </c>
      <c r="I4084" s="1" t="s">
        <v>6977</v>
      </c>
      <c r="K4084" s="1" t="str">
        <f t="shared" si="254"/>
        <v>ㄊ</v>
      </c>
      <c r="L4084" s="1" t="str">
        <f t="shared" si="255"/>
        <v>ㄨ</v>
      </c>
      <c r="M4084" s="1" t="str">
        <f t="shared" si="252"/>
        <v>ㄢ</v>
      </c>
      <c r="P4084" s="1" t="s">
        <v>20</v>
      </c>
      <c r="R4084" s="1" t="s">
        <v>6978</v>
      </c>
      <c r="V4084" s="1" t="s">
        <v>6979</v>
      </c>
      <c r="AR4084" s="1" t="str">
        <f t="shared" si="253"/>
        <v>| [ㄊㄨㄢˋ](ㄊㄨㄢˋ.md) | [彖](彖.md) |  | tuàn | [動]
判斷。宋．歐陽修〈新營小齋鑿地爐輒成五言三十七韻〉：「魯冊謹會盟，周公彖凶吉。」
[名]
易經斷定卦義之辭。《易經．乾卦．彖曰》唐．孔穎達．正義：「夫子所作彖辭，統論一卦之義，或說其卦之德，或說其卦之義，或說其卦之名。……案：褚氏、莊氏並云：『彖，斷也。斷定一卦之義，所以名為彖也。』」 |</v>
      </c>
    </row>
    <row r="4085" spans="1:44" hidden="1">
      <c r="A4085" s="1" t="s">
        <v>6980</v>
      </c>
      <c r="C4085" s="1">
        <v>1</v>
      </c>
      <c r="D4085" s="1" t="str">
        <f>"02863"</f>
        <v>02863</v>
      </c>
      <c r="E4085" s="1" t="s">
        <v>340</v>
      </c>
      <c r="F4085" s="1">
        <v>15</v>
      </c>
      <c r="G4085" s="1">
        <v>9</v>
      </c>
      <c r="H4085" s="1">
        <v>0</v>
      </c>
      <c r="I4085" s="1" t="s">
        <v>6977</v>
      </c>
      <c r="K4085" s="1" t="str">
        <f t="shared" si="254"/>
        <v>ㄊ</v>
      </c>
      <c r="L4085" s="1" t="str">
        <f t="shared" si="255"/>
        <v>ㄨ</v>
      </c>
      <c r="M4085" s="1" t="str">
        <f t="shared" si="252"/>
        <v>ㄢ</v>
      </c>
      <c r="P4085" s="1" t="s">
        <v>20</v>
      </c>
      <c r="R4085" s="1" t="s">
        <v>6978</v>
      </c>
      <c r="V4085" s="1" t="s">
        <v>6981</v>
      </c>
      <c r="AR4085" s="1" t="str">
        <f t="shared" si="253"/>
        <v>| [ㄊㄨㄢˋ](ㄊㄨㄢˋ.md) | [褖](褖.md) |  | tuàn | 參見「褖衣」條。 |</v>
      </c>
    </row>
    <row r="4086" spans="1:44" hidden="1">
      <c r="A4086" s="1" t="s">
        <v>6982</v>
      </c>
      <c r="C4086" s="1">
        <v>1</v>
      </c>
      <c r="D4086" s="1" t="str">
        <f>"02864"</f>
        <v>02864</v>
      </c>
      <c r="E4086" s="1" t="s">
        <v>28</v>
      </c>
      <c r="F4086" s="1">
        <v>7</v>
      </c>
      <c r="G4086" s="1">
        <v>4</v>
      </c>
      <c r="H4086" s="1">
        <v>0</v>
      </c>
      <c r="I4086" s="1" t="s">
        <v>6983</v>
      </c>
      <c r="K4086" s="1" t="str">
        <f t="shared" si="254"/>
        <v>ㄊ</v>
      </c>
      <c r="L4086" s="1" t="str">
        <f t="shared" si="255"/>
        <v>ㄨ</v>
      </c>
      <c r="M4086" s="1" t="str">
        <f t="shared" si="252"/>
        <v>ㄣ</v>
      </c>
      <c r="P4086" s="1" t="s">
        <v>20</v>
      </c>
      <c r="R4086" s="1" t="s">
        <v>6984</v>
      </c>
      <c r="V4086" s="1" t="s">
        <v>6985</v>
      </c>
      <c r="AR4086" s="1" t="str">
        <f t="shared" si="253"/>
        <v>| [ㄊㄨㄣ](ㄊㄨㄣ.md) | [吞](吞.md) |  | tūn | [動]
1.不加以咀嚼就整個嚥下去。如：「吞服藥丸」、「狼吞虎嚥」、「囫圇吞棗」。《晉書．卷九五．藝術傳．單道開傳》：「恆服細石子，一吞數枚，日一服，或多或少。」唐．杜甫〈渼陂行〉：「鼉作鯨吞不復知，惡風白浪何嗟及。」
2.兼併、消滅。如：「侵吞」、「獨吞」。漢．桓寬《鹽鐵論．輕重》：「其後彊吞弱大兼小，并為六國。」《三國演義》第三三回：「袁紹存日，常有吞遼東之心。」
3.包含、容納。如：「氣吞山河」。《文選．陸機．辯亡論上》：「喟然有吞江滸之志，一宇宙之氣。」宋．范仲淹〈岳陽樓記〉：「銜遠山，吞長江，浩浩湯湯。」
[名]
姓。如漢代有吞景雲。 |</v>
      </c>
    </row>
    <row r="4087" spans="1:44" hidden="1">
      <c r="A4087" s="1" t="s">
        <v>6986</v>
      </c>
      <c r="C4087" s="1">
        <v>1</v>
      </c>
      <c r="D4087" s="1" t="str">
        <f>"02865"</f>
        <v>02865</v>
      </c>
      <c r="E4087" s="1" t="s">
        <v>129</v>
      </c>
      <c r="F4087" s="1">
        <v>10</v>
      </c>
      <c r="G4087" s="1">
        <v>7</v>
      </c>
      <c r="H4087" s="1">
        <v>1</v>
      </c>
      <c r="I4087" s="1" t="s">
        <v>6983</v>
      </c>
      <c r="K4087" s="1" t="str">
        <f t="shared" si="254"/>
        <v>ㄊ</v>
      </c>
      <c r="L4087" s="1" t="str">
        <f t="shared" si="255"/>
        <v>ㄨ</v>
      </c>
      <c r="M4087" s="1" t="str">
        <f t="shared" si="252"/>
        <v>ㄣ</v>
      </c>
      <c r="P4087" s="1" t="s">
        <v>20</v>
      </c>
      <c r="R4087" s="1" t="s">
        <v>6984</v>
      </c>
      <c r="V4087" s="1" t="s">
        <v>6987</v>
      </c>
      <c r="W4087" s="1" t="s">
        <v>6988</v>
      </c>
      <c r="AR4087" s="1" t="str">
        <f t="shared" si="253"/>
        <v>| [ㄊㄨㄣ](ㄊㄨㄣ.md) | [涒](涒.md) |  | tūn | [動]
吃了又吐出來。《說文解字．水部》：「涒，食已而復吐之。」
[名]
參見「涒灘」條。 |</v>
      </c>
    </row>
    <row r="4088" spans="1:44" hidden="1">
      <c r="A4088" s="1" t="s">
        <v>6989</v>
      </c>
      <c r="C4088" s="1">
        <v>1</v>
      </c>
      <c r="D4088" s="1" t="str">
        <f>"02866"</f>
        <v>02866</v>
      </c>
      <c r="E4088" s="1" t="s">
        <v>28</v>
      </c>
      <c r="F4088" s="1">
        <v>11</v>
      </c>
      <c r="G4088" s="1">
        <v>8</v>
      </c>
      <c r="H4088" s="1">
        <v>0</v>
      </c>
      <c r="I4088" s="1" t="s">
        <v>6983</v>
      </c>
      <c r="K4088" s="1" t="str">
        <f t="shared" si="254"/>
        <v>ㄊ</v>
      </c>
      <c r="L4088" s="1" t="str">
        <f t="shared" si="255"/>
        <v>ㄨ</v>
      </c>
      <c r="M4088" s="1" t="str">
        <f t="shared" si="252"/>
        <v>ㄣ</v>
      </c>
      <c r="P4088" s="1" t="s">
        <v>20</v>
      </c>
      <c r="R4088" s="1" t="s">
        <v>6984</v>
      </c>
      <c r="V4088" s="1" t="s">
        <v>6990</v>
      </c>
      <c r="AR4088" s="1" t="str">
        <f t="shared" si="253"/>
        <v>| [ㄊㄨㄣ](ㄊㄨㄣ.md) | [啍](啍.md) |  | tūn | 參見「啍啍」條。 |</v>
      </c>
    </row>
    <row r="4089" spans="1:44" hidden="1">
      <c r="A4089" s="1" t="s">
        <v>6991</v>
      </c>
      <c r="C4089" s="1">
        <v>1</v>
      </c>
      <c r="D4089" s="1" t="str">
        <f>"02867"</f>
        <v>02867</v>
      </c>
      <c r="E4089" s="1" t="s">
        <v>646</v>
      </c>
      <c r="F4089" s="1">
        <v>16</v>
      </c>
      <c r="G4089" s="1">
        <v>12</v>
      </c>
      <c r="H4089" s="1">
        <v>0</v>
      </c>
      <c r="I4089" s="1" t="s">
        <v>6983</v>
      </c>
      <c r="K4089" s="1" t="str">
        <f t="shared" si="254"/>
        <v>ㄊ</v>
      </c>
      <c r="L4089" s="1" t="str">
        <f t="shared" si="255"/>
        <v>ㄨ</v>
      </c>
      <c r="M4089" s="1" t="str">
        <f t="shared" si="252"/>
        <v>ㄣ</v>
      </c>
      <c r="P4089" s="1" t="s">
        <v>20</v>
      </c>
      <c r="R4089" s="1" t="s">
        <v>6984</v>
      </c>
      <c r="V4089" s="1" t="s">
        <v>6992</v>
      </c>
      <c r="AR4089" s="1" t="str">
        <f t="shared" si="253"/>
        <v>| [ㄊㄨㄣ](ㄊㄨㄣ.md) | [暾](暾.md) |  | tūn | [名]
早晨初升的太陽。《楚辭．屈原．九歌．東君》：「暾將出兮東方，照吾檻兮扶桑。」
[形]
暖、熱。清．徐珂《清稗類鈔．諫諍類．某侍衛譎諫游畋》：「且戶灶銜接，炎暾之盛，十倍京師。」 |</v>
      </c>
    </row>
    <row r="4090" spans="1:44" hidden="1">
      <c r="A4090" s="1" t="s">
        <v>6993</v>
      </c>
      <c r="C4090" s="1">
        <v>1</v>
      </c>
      <c r="D4090" s="1" t="str">
        <f>"02868"</f>
        <v>02868</v>
      </c>
      <c r="E4090" s="1" t="s">
        <v>6180</v>
      </c>
      <c r="F4090" s="1">
        <v>20</v>
      </c>
      <c r="G4090" s="1">
        <v>8</v>
      </c>
      <c r="H4090" s="1">
        <v>0</v>
      </c>
      <c r="I4090" s="1" t="s">
        <v>6983</v>
      </c>
      <c r="K4090" s="1" t="str">
        <f t="shared" si="254"/>
        <v>ㄊ</v>
      </c>
      <c r="L4090" s="1" t="str">
        <f t="shared" si="255"/>
        <v>ㄨ</v>
      </c>
      <c r="M4090" s="1" t="str">
        <f t="shared" si="252"/>
        <v>ㄣ</v>
      </c>
      <c r="P4090" s="1" t="s">
        <v>20</v>
      </c>
      <c r="R4090" s="1" t="s">
        <v>6984</v>
      </c>
      <c r="V4090" s="1" t="s">
        <v>6994</v>
      </c>
      <c r="AR4090" s="1" t="str">
        <f t="shared" si="253"/>
        <v>| [ㄊㄨㄣ](ㄊㄨㄣ.md) | [𪏆](𪏆.md) |  | tūn | [名]
黃色。《集韻．平聲．魂韻》：「𪏆，黃色。」 |</v>
      </c>
    </row>
    <row r="4091" spans="1:44" hidden="1">
      <c r="A4091" s="1" t="s">
        <v>6995</v>
      </c>
      <c r="C4091" s="1">
        <v>1</v>
      </c>
      <c r="D4091" s="1" t="str">
        <f>"02869"</f>
        <v>02869</v>
      </c>
      <c r="E4091" s="1" t="s">
        <v>6996</v>
      </c>
      <c r="F4091" s="1">
        <v>4</v>
      </c>
      <c r="G4091" s="1">
        <v>1</v>
      </c>
      <c r="H4091" s="1">
        <v>1</v>
      </c>
      <c r="I4091" s="1" t="s">
        <v>6997</v>
      </c>
      <c r="K4091" s="1" t="str">
        <f t="shared" si="254"/>
        <v>ㄊ</v>
      </c>
      <c r="L4091" s="1" t="str">
        <f t="shared" si="255"/>
        <v>ㄨ</v>
      </c>
      <c r="M4091" s="1" t="str">
        <f t="shared" si="252"/>
        <v>ㄣ</v>
      </c>
      <c r="P4091" s="1" t="s">
        <v>20</v>
      </c>
      <c r="R4091" s="1" t="s">
        <v>6998</v>
      </c>
      <c r="V4091" s="1" t="s">
        <v>6999</v>
      </c>
      <c r="W4091" s="1" t="s">
        <v>7000</v>
      </c>
      <c r="AR4091" s="1" t="str">
        <f t="shared" si="253"/>
        <v>| [ㄊㄨㄣˊ](ㄊㄨㄣˊ.md) | [屯](屯.md) |  | tún | [動]
1.聚集、儲存。如：「屯集」、「屯積」、「聚草屯糧」。《楚辭．屈原．離騷》：「屯車其千乘兮，齊玉軑而並馳。」
2.駐軍防守。如：「屯兵」、「屯紮」。唐．李商隱〈行次西郊作一百韻〉：「但聞虜騎入，不見漢兵屯。」
3.駐軍在戍地墾荒耕種。如：「屯田」。《漢書．卷七九．馮奉世傳》：「於是遣奉世將萬二千人騎，以將屯為名。」唐．顏師古．注：「且云領兵屯田。」
4.堆疊、阻擋。如：「大雪屯門」、「水來土屯」。《水滸傳》第二三回：「屯街塞巷，都來看迎大蟲。」
[名]
1.村莊。如大陸地區遼寧瀋陽的皇姑屯。《紅樓夢》第三九回：「他是鄉屯裡的人，老實，那裡擱的住你打趣他！」
2.軍營。《管子．輕重乙》：「請以令發師置屯籍農。」《文選．張衡．西京賦》：「衛尉入屯，警夜巡晝。」 |</v>
      </c>
    </row>
    <row r="4092" spans="1:44" hidden="1">
      <c r="A4092" s="1" t="s">
        <v>5832</v>
      </c>
      <c r="C4092" s="1">
        <v>1</v>
      </c>
      <c r="D4092" s="1" t="str">
        <f>"02869A"</f>
        <v>02869A</v>
      </c>
      <c r="E4092" s="1" t="s">
        <v>447</v>
      </c>
      <c r="F4092" s="1">
        <v>7</v>
      </c>
      <c r="G4092" s="1">
        <v>4</v>
      </c>
      <c r="H4092" s="1">
        <v>2</v>
      </c>
      <c r="I4092" s="1" t="s">
        <v>6997</v>
      </c>
      <c r="K4092" s="1" t="str">
        <f t="shared" si="254"/>
        <v>ㄊ</v>
      </c>
      <c r="L4092" s="1" t="str">
        <f t="shared" si="255"/>
        <v>ㄨ</v>
      </c>
      <c r="M4092" s="1" t="str">
        <f t="shared" si="252"/>
        <v>ㄣ</v>
      </c>
      <c r="P4092" s="1" t="s">
        <v>20</v>
      </c>
      <c r="R4092" s="1" t="s">
        <v>6998</v>
      </c>
      <c r="V4092" s="1" t="s">
        <v>7001</v>
      </c>
      <c r="W4092" s="1" t="s">
        <v>7002</v>
      </c>
      <c r="AR4092" s="1" t="str">
        <f t="shared" si="253"/>
        <v>| [ㄊㄨㄣˊ](ㄊㄨㄣˊ.md) | [庉](庉.md) |  | tún | [形]
形容火熾盛的樣子。《爾雅．釋天》：「風與火為庉。」宋．邢昺．疏：「庉庉熾盛之貌。」 |</v>
      </c>
    </row>
    <row r="4093" spans="1:44" hidden="1">
      <c r="A4093" s="1" t="s">
        <v>7003</v>
      </c>
      <c r="C4093" s="1">
        <v>1</v>
      </c>
      <c r="D4093" s="1" t="str">
        <f>"02870"</f>
        <v>02870</v>
      </c>
      <c r="E4093" s="1" t="s">
        <v>250</v>
      </c>
      <c r="F4093" s="1">
        <v>7</v>
      </c>
      <c r="G4093" s="1">
        <v>4</v>
      </c>
      <c r="H4093" s="1">
        <v>0</v>
      </c>
      <c r="I4093" s="1" t="s">
        <v>6997</v>
      </c>
      <c r="K4093" s="1" t="str">
        <f t="shared" si="254"/>
        <v>ㄊ</v>
      </c>
      <c r="L4093" s="1" t="str">
        <f t="shared" si="255"/>
        <v>ㄨ</v>
      </c>
      <c r="M4093" s="1" t="str">
        <f t="shared" si="252"/>
        <v>ㄣ</v>
      </c>
      <c r="P4093" s="1" t="s">
        <v>20</v>
      </c>
      <c r="R4093" s="1" t="s">
        <v>6998</v>
      </c>
      <c r="V4093" s="1" t="s">
        <v>7004</v>
      </c>
      <c r="AR4093" s="1" t="str">
        <f t="shared" si="253"/>
        <v>| [ㄊㄨㄣˊ](ㄊㄨㄣˊ.md) | [忳](忳.md) |  | tún | [形]
憂苦煩悶的樣子。《楚辭．屈原．離騷》：「忳鬱邑余侘傺兮，吾獨窮困乎此時也。」漢．王逸．注：「忳，憂貌。」 |</v>
      </c>
    </row>
    <row r="4094" spans="1:44" hidden="1">
      <c r="A4094" s="1" t="s">
        <v>5835</v>
      </c>
      <c r="C4094" s="1">
        <v>1</v>
      </c>
      <c r="D4094" s="1" t="str">
        <f>"02871"</f>
        <v>02871</v>
      </c>
      <c r="E4094" s="1" t="s">
        <v>2557</v>
      </c>
      <c r="F4094" s="1">
        <v>7</v>
      </c>
      <c r="G4094" s="1">
        <v>4</v>
      </c>
      <c r="H4094" s="1">
        <v>2</v>
      </c>
      <c r="I4094" s="1" t="s">
        <v>6997</v>
      </c>
      <c r="K4094" s="1" t="str">
        <f t="shared" si="254"/>
        <v>ㄊ</v>
      </c>
      <c r="L4094" s="1" t="str">
        <f t="shared" si="255"/>
        <v>ㄨ</v>
      </c>
      <c r="M4094" s="1" t="str">
        <f t="shared" ref="M4094:M4157" si="256">MID(I4094, 3, 1)</f>
        <v>ㄣ</v>
      </c>
      <c r="P4094" s="1" t="s">
        <v>20</v>
      </c>
      <c r="R4094" s="1" t="s">
        <v>6998</v>
      </c>
      <c r="V4094" s="1" t="s">
        <v>7005</v>
      </c>
      <c r="W4094" s="1" t="s">
        <v>7006</v>
      </c>
      <c r="AR4094" s="1" t="str">
        <f t="shared" si="253"/>
        <v>| [ㄊㄨㄣˊ](ㄊㄨㄣˊ.md) | [囤](囤.md) |  | tún | [動]
積聚、儲存。如：「囤貨」、「囤糧」、「囤積居奇」。《儒林外史》第二一回：「牛老把囤下來的幾石糧食變賣了。」 |</v>
      </c>
    </row>
    <row r="4095" spans="1:44" hidden="1">
      <c r="A4095" s="1" t="s">
        <v>7007</v>
      </c>
      <c r="C4095" s="1">
        <v>1</v>
      </c>
      <c r="D4095" s="1" t="str">
        <f>"02872"</f>
        <v>02872</v>
      </c>
      <c r="E4095" s="1" t="s">
        <v>37</v>
      </c>
      <c r="F4095" s="1">
        <v>8</v>
      </c>
      <c r="G4095" s="1">
        <v>4</v>
      </c>
      <c r="H4095" s="1">
        <v>0</v>
      </c>
      <c r="I4095" s="1" t="s">
        <v>6997</v>
      </c>
      <c r="K4095" s="1" t="str">
        <f t="shared" si="254"/>
        <v>ㄊ</v>
      </c>
      <c r="L4095" s="1" t="str">
        <f t="shared" si="255"/>
        <v>ㄨ</v>
      </c>
      <c r="M4095" s="1" t="str">
        <f t="shared" si="256"/>
        <v>ㄣ</v>
      </c>
      <c r="P4095" s="1" t="s">
        <v>20</v>
      </c>
      <c r="R4095" s="1" t="s">
        <v>6998</v>
      </c>
      <c r="V4095" s="1" t="s">
        <v>7008</v>
      </c>
      <c r="AR4095" s="1" t="str">
        <f t="shared" si="253"/>
        <v>| [ㄊㄨㄣˊ](ㄊㄨㄣˊ.md) | [芚](芚.md) |  | tún | [名]
一種蔬菜，類似莧菜。《玉篇．艸部》：「芚，菜。似莧，可食。」
[形]
草木初生的樣子。《集韻．平聲．魂韻》：「芚，木始生貌。」漢．揚雄《法言．寡見》：「春木之芚兮，援我手之鶉兮。」 |</v>
      </c>
    </row>
    <row r="4096" spans="1:44" hidden="1">
      <c r="A4096" s="1" t="s">
        <v>7009</v>
      </c>
      <c r="C4096" s="1">
        <v>1</v>
      </c>
      <c r="D4096" s="1" t="str">
        <f>"02873"</f>
        <v>02873</v>
      </c>
      <c r="E4096" s="1" t="s">
        <v>71</v>
      </c>
      <c r="F4096" s="1">
        <v>11</v>
      </c>
      <c r="G4096" s="1">
        <v>4</v>
      </c>
      <c r="H4096" s="1">
        <v>0</v>
      </c>
      <c r="I4096" s="1" t="s">
        <v>6997</v>
      </c>
      <c r="K4096" s="1" t="str">
        <f t="shared" si="254"/>
        <v>ㄊ</v>
      </c>
      <c r="L4096" s="1" t="str">
        <f t="shared" si="255"/>
        <v>ㄨ</v>
      </c>
      <c r="M4096" s="1" t="str">
        <f t="shared" si="256"/>
        <v>ㄣ</v>
      </c>
      <c r="P4096" s="1" t="s">
        <v>20</v>
      </c>
      <c r="R4096" s="1" t="s">
        <v>6998</v>
      </c>
      <c r="V4096" s="1" t="s">
        <v>7010</v>
      </c>
      <c r="AR4096" s="1" t="str">
        <f t="shared" si="253"/>
        <v>| [ㄊㄨㄣˊ](ㄊㄨㄣˊ.md) | [軘](軘.md) |  | tún | [名]
一種古代兵車。參見「軘車」條。 |</v>
      </c>
    </row>
    <row r="4097" spans="1:44" hidden="1">
      <c r="A4097" s="1" t="s">
        <v>5840</v>
      </c>
      <c r="C4097" s="1">
        <v>1</v>
      </c>
      <c r="D4097" s="1" t="str">
        <f>"02874"</f>
        <v>02874</v>
      </c>
      <c r="E4097" s="1" t="s">
        <v>193</v>
      </c>
      <c r="F4097" s="1">
        <v>12</v>
      </c>
      <c r="G4097" s="1">
        <v>4</v>
      </c>
      <c r="H4097" s="1">
        <v>2</v>
      </c>
      <c r="I4097" s="1" t="s">
        <v>6997</v>
      </c>
      <c r="K4097" s="1" t="str">
        <f t="shared" si="254"/>
        <v>ㄊ</v>
      </c>
      <c r="L4097" s="1" t="str">
        <f t="shared" si="255"/>
        <v>ㄨ</v>
      </c>
      <c r="M4097" s="1" t="str">
        <f t="shared" si="256"/>
        <v>ㄣ</v>
      </c>
      <c r="P4097" s="1" t="s">
        <v>110</v>
      </c>
      <c r="R4097" s="1" t="s">
        <v>6998</v>
      </c>
      <c r="V4097" s="1" t="s">
        <v>111</v>
      </c>
      <c r="W4097" s="1" t="s">
        <v>7011</v>
      </c>
      <c r="AR4097" s="1" t="str">
        <f t="shared" si="253"/>
        <v>| [ㄊㄨㄣˊ](ㄊㄨㄣˊ.md) | [飩](飩.md) |  | tún | (一)之又音。 |</v>
      </c>
    </row>
    <row r="4098" spans="1:44" hidden="1">
      <c r="A4098" s="1" t="s">
        <v>7012</v>
      </c>
      <c r="C4098" s="1">
        <v>1</v>
      </c>
      <c r="D4098" s="1" t="str">
        <f>"02875"</f>
        <v>02875</v>
      </c>
      <c r="E4098" s="1" t="s">
        <v>156</v>
      </c>
      <c r="F4098" s="1">
        <v>15</v>
      </c>
      <c r="G4098" s="1">
        <v>4</v>
      </c>
      <c r="H4098" s="1">
        <v>0</v>
      </c>
      <c r="I4098" s="1" t="s">
        <v>6997</v>
      </c>
      <c r="K4098" s="1" t="str">
        <f t="shared" si="254"/>
        <v>ㄊ</v>
      </c>
      <c r="L4098" s="1" t="str">
        <f t="shared" si="255"/>
        <v>ㄨ</v>
      </c>
      <c r="M4098" s="1" t="str">
        <f t="shared" si="256"/>
        <v>ㄣ</v>
      </c>
      <c r="P4098" s="1" t="s">
        <v>20</v>
      </c>
      <c r="R4098" s="1" t="s">
        <v>6998</v>
      </c>
      <c r="V4098" s="1" t="s">
        <v>7013</v>
      </c>
      <c r="AR4098" s="1" t="str">
        <f t="shared" si="253"/>
        <v>| [ㄊㄨㄣˊ](ㄊㄨㄣˊ.md) | [魨](魨.md) |  | tún | [名]
動物名。即河豚。脊椎亞門硬骨魚綱。口小腹大，體呈圓筒形。無鱗或有刺鱗，背淡蒼色。種類很多。肉味鮮美，但內臟、血液等含有毒素，誤食則往往致死。 |</v>
      </c>
    </row>
    <row r="4099" spans="1:44" hidden="1">
      <c r="A4099" s="1" t="s">
        <v>7014</v>
      </c>
      <c r="C4099" s="1">
        <v>1</v>
      </c>
      <c r="D4099" s="1" t="str">
        <f>"02876"</f>
        <v>02876</v>
      </c>
      <c r="E4099" s="1" t="s">
        <v>52</v>
      </c>
      <c r="F4099" s="1">
        <v>11</v>
      </c>
      <c r="G4099" s="1">
        <v>4</v>
      </c>
      <c r="H4099" s="1">
        <v>0</v>
      </c>
      <c r="I4099" s="1" t="s">
        <v>6997</v>
      </c>
      <c r="K4099" s="1" t="str">
        <f t="shared" si="254"/>
        <v>ㄊ</v>
      </c>
      <c r="L4099" s="1" t="str">
        <f t="shared" si="255"/>
        <v>ㄨ</v>
      </c>
      <c r="M4099" s="1" t="str">
        <f t="shared" si="256"/>
        <v>ㄣ</v>
      </c>
      <c r="P4099" s="1" t="s">
        <v>20</v>
      </c>
      <c r="R4099" s="1" t="s">
        <v>6998</v>
      </c>
      <c r="V4099" s="1" t="s">
        <v>7015</v>
      </c>
      <c r="AR4099" s="1" t="str">
        <f t="shared" ref="AR4099:AR4162" si="257">"| ["&amp;I4099&amp;"]("&amp;I4099&amp;".md) | ["&amp;A4099&amp;"]("&amp;A4099&amp;".md) | "&amp;" | "&amp;R4099&amp;" | "&amp;V4099&amp;" |"</f>
        <v>| [ㄊㄨㄣˊ](ㄊㄨㄣˊ.md) | [豚](豚.md) |  | tún | [名]
小豬。亦泛指豬。《孟子．梁惠王上》：「雞、豚、狗、彘之畜，無失其時。」宋．陸游〈遊西山村〉詩：「莫笑農家臘酒渾，豐年留客足雞豚。」 |</v>
      </c>
    </row>
    <row r="4100" spans="1:44" hidden="1">
      <c r="A4100" s="1" t="s">
        <v>7016</v>
      </c>
      <c r="C4100" s="1">
        <v>1</v>
      </c>
      <c r="D4100" s="1" t="str">
        <f>"02877"</f>
        <v>02877</v>
      </c>
      <c r="E4100" s="1" t="s">
        <v>68</v>
      </c>
      <c r="F4100" s="1">
        <v>17</v>
      </c>
      <c r="G4100" s="1">
        <v>13</v>
      </c>
      <c r="H4100" s="1">
        <v>0</v>
      </c>
      <c r="I4100" s="1" t="s">
        <v>6997</v>
      </c>
      <c r="K4100" s="1" t="str">
        <f t="shared" si="254"/>
        <v>ㄊ</v>
      </c>
      <c r="L4100" s="1" t="str">
        <f t="shared" si="255"/>
        <v>ㄨ</v>
      </c>
      <c r="M4100" s="1" t="str">
        <f t="shared" si="256"/>
        <v>ㄣ</v>
      </c>
      <c r="P4100" s="1" t="s">
        <v>20</v>
      </c>
      <c r="R4100" s="1" t="s">
        <v>6998</v>
      </c>
      <c r="V4100" s="1" t="s">
        <v>7017</v>
      </c>
      <c r="AR4100" s="1" t="str">
        <f t="shared" si="257"/>
        <v>| [ㄊㄨㄣˊ](ㄊㄨㄣˊ.md) | [臀](臀.md) |  | tún | [名]
1.人或某些動物身後兩腿上端與腰相連的部位。俗稱為「屁股」。《易經．夬卦．九四》：「臀無膚，其行次且。」《國語．周語下》：「且吾聞成公之生也，其母夢神規其臀以墨。」
2.器物的底部。《周禮．冬官考工記．栗氏》：「其臀一寸，其實一豆。」 |</v>
      </c>
    </row>
    <row r="4101" spans="1:44" hidden="1">
      <c r="A4101" s="1" t="s">
        <v>7018</v>
      </c>
      <c r="C4101" s="1">
        <v>1</v>
      </c>
      <c r="D4101" s="1" t="str">
        <f>"02878"</f>
        <v>02878</v>
      </c>
      <c r="E4101" s="1" t="s">
        <v>129</v>
      </c>
      <c r="F4101" s="1">
        <v>6</v>
      </c>
      <c r="G4101" s="1">
        <v>2</v>
      </c>
      <c r="H4101" s="1">
        <v>1</v>
      </c>
      <c r="I4101" s="1" t="s">
        <v>7019</v>
      </c>
      <c r="K4101" s="1" t="str">
        <f t="shared" si="254"/>
        <v>ㄊ</v>
      </c>
      <c r="L4101" s="1" t="str">
        <f t="shared" si="255"/>
        <v>ㄨ</v>
      </c>
      <c r="M4101" s="1" t="str">
        <f t="shared" si="256"/>
        <v>ㄣ</v>
      </c>
      <c r="P4101" s="1" t="s">
        <v>20</v>
      </c>
      <c r="R4101" s="1" t="s">
        <v>7020</v>
      </c>
      <c r="V4101" s="1" t="s">
        <v>7021</v>
      </c>
      <c r="W4101" s="1" t="s">
        <v>7022</v>
      </c>
      <c r="AR4101" s="1" t="str">
        <f t="shared" si="257"/>
        <v>| [ㄊㄨㄣˇ](ㄊㄨㄣˇ.md) | [汆](汆.md) |  | tǔn | [動]
1.漂流。《字彙．水部》：「汆，水推物也。」明．無名氏《白兔記》第二齣：「淺水灘頭，汆下一個坐婆來。」
2.用油炸。如：「油汆豆腐」、「油汆花生」。清．徐珂《清稗類鈔．飲食類．汆豬肉皮》：「豬肉皮略泡，入沸油汆之。」 |</v>
      </c>
    </row>
    <row r="4102" spans="1:44" hidden="1">
      <c r="A4102" s="1" t="s">
        <v>6943</v>
      </c>
      <c r="C4102" s="1">
        <v>1</v>
      </c>
      <c r="D4102" s="1" t="str">
        <f>"02879"</f>
        <v>02879</v>
      </c>
      <c r="E4102" s="1" t="s">
        <v>340</v>
      </c>
      <c r="F4102" s="1">
        <v>16</v>
      </c>
      <c r="G4102" s="1">
        <v>10</v>
      </c>
      <c r="H4102" s="1">
        <v>1</v>
      </c>
      <c r="I4102" s="1" t="s">
        <v>7023</v>
      </c>
      <c r="K4102" s="1" t="str">
        <f t="shared" si="254"/>
        <v>ㄊ</v>
      </c>
      <c r="L4102" s="1" t="str">
        <f t="shared" si="255"/>
        <v>ㄨ</v>
      </c>
      <c r="M4102" s="1" t="str">
        <f t="shared" si="256"/>
        <v>ㄣ</v>
      </c>
      <c r="P4102" s="1" t="s">
        <v>20</v>
      </c>
      <c r="R4102" s="1" t="s">
        <v>7024</v>
      </c>
      <c r="V4102" s="1" t="s">
        <v>7025</v>
      </c>
      <c r="W4102" s="1" t="s">
        <v>7026</v>
      </c>
      <c r="AR4102" s="1" t="str">
        <f t="shared" si="257"/>
        <v>| [ㄊㄨㄣˋ](ㄊㄨㄣˋ.md) | [褪](褪.md) |  | tùn | [動]
1.脫下、脫掉。如：「褪下鐲子」。元．王實甫《西廂記．第二本．第一折》：「羅衣寬褪，能消幾度黃昏？」《儒林外史》第三九回：「惡和尚道：『你褪了帽子罷！』老和尚含著眼淚，自己除了帽子。」
2.消減、消失。如：「褪色」。《京本通俗小說．碾玉觀音》：「腮邊紅褪青梅小，口角黃消乳燕飛。」
3.凋謝。宋．蘇軾〈蝶戀花．花褪殘紅青杏小〉詞：「花褪殘紅青杏小，燕子飛時，綠水人家繞。」宋．辛棄疾〈生查子．梅子褪花時〉詞：「梅子褪花時，直與黃梅接。」
4.藏放。如：「袖子裡褪了一封信。」元．無名氏《百花亭》第一折：「懷揣十大曲，袖褪樂章集。」
5.退。元．楊顯之《瀟湘雨》第一折：「待趨前，還褪後，我則索慌忙施禮半含羞。」《警世通言．卷二三．樂小舍𢬵生覓偶》：「見他趨前褪後，神情不定，心上也覺可憐。」 |</v>
      </c>
    </row>
    <row r="4103" spans="1:44" hidden="1">
      <c r="A4103" s="1" t="s">
        <v>6659</v>
      </c>
      <c r="C4103" s="1">
        <v>1</v>
      </c>
      <c r="D4103" s="1" t="str">
        <f>"02728"</f>
        <v>02728</v>
      </c>
      <c r="E4103" s="1" t="s">
        <v>129</v>
      </c>
      <c r="F4103" s="1">
        <v>5</v>
      </c>
      <c r="G4103" s="1">
        <v>2</v>
      </c>
      <c r="H4103" s="1">
        <v>0</v>
      </c>
      <c r="I4103" s="1" t="s">
        <v>6660</v>
      </c>
      <c r="K4103" s="1" t="str">
        <f t="shared" si="254"/>
        <v>ㄊ</v>
      </c>
      <c r="L4103" s="1" t="str">
        <f t="shared" si="255"/>
        <v>ㄧ</v>
      </c>
      <c r="M4103" s="1" t="str">
        <f t="shared" si="256"/>
        <v>ㄥ</v>
      </c>
      <c r="P4103" s="1" t="s">
        <v>20</v>
      </c>
      <c r="R4103" s="1" t="s">
        <v>6661</v>
      </c>
      <c r="V4103" s="1" t="s">
        <v>6662</v>
      </c>
      <c r="AR4103" s="1" t="str">
        <f t="shared" si="257"/>
        <v>| [ㄊㄧㄥ](ㄊㄧㄥ.md) | [汀](汀.md) |  | tīng | [名]
水邊平地或河流中的小沙洲。如：「汀洲」、「綠汀」。唐．王勃〈滕王閣序〉：「鶴汀鳧渚，窮島嶼之縈迴。」宋．陸游〈夜泊水村〉詩：「記取江湖泊船處，臥聞新雁落寒汀。」俗讀為ㄉㄧㄥ（dīng）。 |</v>
      </c>
    </row>
    <row r="4104" spans="1:44" hidden="1">
      <c r="A4104" s="1" t="s">
        <v>6663</v>
      </c>
      <c r="C4104" s="1">
        <v>1</v>
      </c>
      <c r="D4104" s="1" t="str">
        <f>"02729"</f>
        <v>02729</v>
      </c>
      <c r="E4104" s="1" t="s">
        <v>139</v>
      </c>
      <c r="F4104" s="1">
        <v>6</v>
      </c>
      <c r="G4104" s="1">
        <v>2</v>
      </c>
      <c r="H4104" s="1">
        <v>0</v>
      </c>
      <c r="I4104" s="1" t="s">
        <v>6660</v>
      </c>
      <c r="K4104" s="1" t="str">
        <f t="shared" si="254"/>
        <v>ㄊ</v>
      </c>
      <c r="L4104" s="1" t="str">
        <f t="shared" si="255"/>
        <v>ㄧ</v>
      </c>
      <c r="M4104" s="1" t="str">
        <f t="shared" si="256"/>
        <v>ㄥ</v>
      </c>
      <c r="P4104" s="1" t="s">
        <v>20</v>
      </c>
      <c r="R4104" s="1" t="s">
        <v>6661</v>
      </c>
      <c r="V4104" s="1" t="s">
        <v>6664</v>
      </c>
      <c r="AR4104" s="1" t="str">
        <f t="shared" si="257"/>
        <v>| [ㄊㄧㄥ](ㄊㄧㄥ.md) | [朾](朾.md) |  | tīng | [名]
地名。春秋時宋國屬地。故址約在今大陸地區河南省淮陽縣西北。 |</v>
      </c>
    </row>
    <row r="4105" spans="1:44" hidden="1">
      <c r="A4105" s="1" t="s">
        <v>5541</v>
      </c>
      <c r="C4105" s="1">
        <v>1</v>
      </c>
      <c r="D4105" s="1" t="str">
        <f>"02730"</f>
        <v>02730</v>
      </c>
      <c r="E4105" s="1" t="s">
        <v>2419</v>
      </c>
      <c r="F4105" s="1">
        <v>8</v>
      </c>
      <c r="G4105" s="1">
        <v>2</v>
      </c>
      <c r="H4105" s="1">
        <v>2</v>
      </c>
      <c r="I4105" s="1" t="s">
        <v>6660</v>
      </c>
      <c r="K4105" s="1" t="str">
        <f t="shared" si="254"/>
        <v>ㄊ</v>
      </c>
      <c r="L4105" s="1" t="str">
        <f t="shared" si="255"/>
        <v>ㄧ</v>
      </c>
      <c r="M4105" s="1" t="str">
        <f t="shared" si="256"/>
        <v>ㄥ</v>
      </c>
      <c r="P4105" s="1" t="s">
        <v>110</v>
      </c>
      <c r="R4105" s="1" t="s">
        <v>6661</v>
      </c>
      <c r="V4105" s="1" t="s">
        <v>111</v>
      </c>
      <c r="W4105" s="1" t="s">
        <v>6665</v>
      </c>
      <c r="AR4105" s="1" t="str">
        <f t="shared" si="257"/>
        <v>| [ㄊㄧㄥ](ㄊㄧㄥ.md) | [耵](耵.md) |  | tīng | (一)之又音。 |</v>
      </c>
    </row>
    <row r="4106" spans="1:44" hidden="1">
      <c r="A4106" s="1" t="s">
        <v>6666</v>
      </c>
      <c r="C4106" s="1">
        <v>1</v>
      </c>
      <c r="D4106" s="1" t="str">
        <f>"02731"</f>
        <v>02731</v>
      </c>
      <c r="E4106" s="1" t="s">
        <v>139</v>
      </c>
      <c r="F4106" s="1">
        <v>11</v>
      </c>
      <c r="G4106" s="1">
        <v>7</v>
      </c>
      <c r="H4106" s="1">
        <v>1</v>
      </c>
      <c r="I4106" s="1" t="s">
        <v>6660</v>
      </c>
      <c r="K4106" s="1" t="str">
        <f t="shared" si="254"/>
        <v>ㄊ</v>
      </c>
      <c r="L4106" s="1" t="str">
        <f t="shared" si="255"/>
        <v>ㄧ</v>
      </c>
      <c r="M4106" s="1" t="str">
        <f t="shared" si="256"/>
        <v>ㄥ</v>
      </c>
      <c r="P4106" s="1" t="s">
        <v>20</v>
      </c>
      <c r="R4106" s="1" t="s">
        <v>6661</v>
      </c>
      <c r="V4106" s="1" t="s">
        <v>6667</v>
      </c>
      <c r="W4106" s="1" t="s">
        <v>6668</v>
      </c>
      <c r="AR4106" s="1" t="str">
        <f t="shared" si="257"/>
        <v>| [ㄊㄧㄥ](ㄊㄧㄥ.md) | [桯](桯.md) |  | tīng | [名]
床前的桌子。如：「桯凳」。《說文解字．木部》：「桯，床前几。」清．段玉裁．注：「古者坐於床而隱於几，……此床前之几，與席前之几不同，謂之桯者，言其平也。」 |</v>
      </c>
    </row>
    <row r="4107" spans="1:44" hidden="1">
      <c r="A4107" s="1" t="s">
        <v>6669</v>
      </c>
      <c r="C4107" s="1">
        <v>1</v>
      </c>
      <c r="D4107" s="1" t="str">
        <f>"02732"</f>
        <v>02732</v>
      </c>
      <c r="E4107" s="1" t="s">
        <v>96</v>
      </c>
      <c r="F4107" s="1">
        <v>16</v>
      </c>
      <c r="G4107" s="1">
        <v>7</v>
      </c>
      <c r="H4107" s="1">
        <v>0</v>
      </c>
      <c r="I4107" s="1" t="s">
        <v>6660</v>
      </c>
      <c r="K4107" s="1" t="str">
        <f t="shared" si="254"/>
        <v>ㄊ</v>
      </c>
      <c r="L4107" s="1" t="str">
        <f t="shared" si="255"/>
        <v>ㄧ</v>
      </c>
      <c r="M4107" s="1" t="str">
        <f t="shared" si="256"/>
        <v>ㄥ</v>
      </c>
      <c r="P4107" s="1" t="s">
        <v>20</v>
      </c>
      <c r="R4107" s="1" t="s">
        <v>6661</v>
      </c>
      <c r="V4107" s="1" t="s">
        <v>6670</v>
      </c>
      <c r="AR4107" s="1" t="str">
        <f t="shared" si="257"/>
        <v>| [ㄊㄧㄥ](ㄊㄧㄥ.md) | [鞓](鞓.md) |  | tīng | [名]
皮帶。唐．杜牧〈分司東都寓居履道叨承川尹劉侍郎大夫恩知上四十韻〉：「脛細摧新履，腰羸減舊鞓。」《宋史．卷一五三．輿服志五》：「詔中書舍人、諫議大夫、待制、殿中少監許繫紅鞓犀帶，不佩魚。」 |</v>
      </c>
    </row>
    <row r="4108" spans="1:44" hidden="1">
      <c r="A4108" s="1" t="s">
        <v>6671</v>
      </c>
      <c r="C4108" s="1">
        <v>1</v>
      </c>
      <c r="D4108" s="1" t="str">
        <f>"02733"</f>
        <v>02733</v>
      </c>
      <c r="E4108" s="1" t="s">
        <v>725</v>
      </c>
      <c r="F4108" s="1">
        <v>13</v>
      </c>
      <c r="G4108" s="1">
        <v>7</v>
      </c>
      <c r="H4108" s="1">
        <v>0</v>
      </c>
      <c r="I4108" s="1" t="s">
        <v>6660</v>
      </c>
      <c r="K4108" s="1" t="str">
        <f t="shared" si="254"/>
        <v>ㄊ</v>
      </c>
      <c r="L4108" s="1" t="str">
        <f t="shared" si="255"/>
        <v>ㄧ</v>
      </c>
      <c r="M4108" s="1" t="str">
        <f t="shared" si="256"/>
        <v>ㄥ</v>
      </c>
      <c r="P4108" s="1" t="s">
        <v>20</v>
      </c>
      <c r="R4108" s="1" t="s">
        <v>6661</v>
      </c>
      <c r="V4108" s="1" t="s">
        <v>6672</v>
      </c>
      <c r="AR4108" s="1" t="str">
        <f t="shared" si="257"/>
        <v>| [ㄊㄧㄥ](ㄊㄧㄥ.md) | [綎](綎.md) |  | tīng | [名]
佩玉的絲帶。《說文解字．糸部》：「綎，系綬也。」《後漢書．卷六〇下．蔡邕傳》：「濟濟多士，端委縉綎。」 |</v>
      </c>
    </row>
    <row r="4109" spans="1:44" hidden="1">
      <c r="A4109" s="1" t="s">
        <v>6673</v>
      </c>
      <c r="C4109" s="1">
        <v>1</v>
      </c>
      <c r="D4109" s="1" t="str">
        <f>"02734"</f>
        <v>02734</v>
      </c>
      <c r="E4109" s="1" t="s">
        <v>2419</v>
      </c>
      <c r="F4109" s="1">
        <v>22</v>
      </c>
      <c r="G4109" s="1">
        <v>16</v>
      </c>
      <c r="H4109" s="1">
        <v>1</v>
      </c>
      <c r="I4109" s="1" t="s">
        <v>6660</v>
      </c>
      <c r="K4109" s="1" t="str">
        <f t="shared" si="254"/>
        <v>ㄊ</v>
      </c>
      <c r="L4109" s="1" t="str">
        <f t="shared" si="255"/>
        <v>ㄧ</v>
      </c>
      <c r="M4109" s="1" t="str">
        <f t="shared" si="256"/>
        <v>ㄥ</v>
      </c>
      <c r="P4109" s="1" t="s">
        <v>20</v>
      </c>
      <c r="R4109" s="1" t="s">
        <v>6661</v>
      </c>
      <c r="V4109" s="1" t="s">
        <v>6674</v>
      </c>
      <c r="W4109" s="1" t="s">
        <v>6675</v>
      </c>
      <c r="AR4109" s="1" t="str">
        <f t="shared" si="257"/>
        <v>| [ㄊㄧㄥ](ㄊㄧㄥ.md) | [聽](聽.md) |  | tīng | [動]
1.用耳朵收受聲音。如：「聆聽」、「聽音樂」、「傾聽」。《禮記．檀弓下》：「有婦人哭於墓者而哀，夫子式而聽之。」
2.採信、取信。如：「聽信」。《戰國策．齊策一》：「士尉以證靖郭君，靖郭君不聽，士尉辭而去。」《宋史．卷四四二．文苑傳四．蘇舜欽傳》：「而大臣歸咎于刑獄之濫，陛下聽之，故肆赦天下以為禳救。」
3.等候、等待。明．徐渭《雌木蘭》第二齣：「念其勞役多年，令馳還鄉，休息三月，仍聽取用。」
4.順從、服從。如：「聽從」、「言聽計從」。《韓非子．五蠹》：「民固驕於愛，聽於威矣。」
[名]
1.耳聞的事情。《文選．諸葛亮．出師表》：「誠宜開張聖聽，以光先帝遺德。」
2.廳堂。通「廳」。南朝宋．劉義慶《世說新語．黜免》：「大司馬府聽前有一老槐，甚扶疏。」
3.量詞。計算罐頭食品的單位。為英語tin的音譯。如：「一聽奶粉」。
4.姓。如唐代有聽姓。 |</v>
      </c>
    </row>
    <row r="4110" spans="1:44" hidden="1">
      <c r="A4110" s="1" t="s">
        <v>6676</v>
      </c>
      <c r="C4110" s="1">
        <v>1</v>
      </c>
      <c r="D4110" s="1" t="str">
        <f>"02735"</f>
        <v>02735</v>
      </c>
      <c r="E4110" s="1" t="s">
        <v>447</v>
      </c>
      <c r="F4110" s="1">
        <v>25</v>
      </c>
      <c r="G4110" s="1">
        <v>22</v>
      </c>
      <c r="H4110" s="1">
        <v>0</v>
      </c>
      <c r="I4110" s="1" t="s">
        <v>6660</v>
      </c>
      <c r="K4110" s="1" t="str">
        <f t="shared" si="254"/>
        <v>ㄊ</v>
      </c>
      <c r="L4110" s="1" t="str">
        <f t="shared" si="255"/>
        <v>ㄧ</v>
      </c>
      <c r="M4110" s="1" t="str">
        <f t="shared" si="256"/>
        <v>ㄥ</v>
      </c>
      <c r="P4110" s="1" t="s">
        <v>20</v>
      </c>
      <c r="R4110" s="1" t="s">
        <v>6661</v>
      </c>
      <c r="V4110" s="1" t="s">
        <v>6677</v>
      </c>
      <c r="AR4110" s="1" t="str">
        <f t="shared" si="257"/>
        <v>| [ㄊㄧㄥ](ㄊㄧㄥ.md) | [廳](廳.md) |  | tīng | [名]
1.屋內的正堂。如：「大廳」、「正廳」。
2.聚會、招待客人的房間或場所。如：「客廳」、「餐廳」、「舞廳」、「交誼廳」。
3.從事某些工作或表演的場所或店堂。如：「理髮廳」、「音樂廳」。
4.官府辦公的地方。如：「辦公廳」。清．徐珂《清稗類鈔．飲食類．某孝廉飯於蔣文恪邸》：「屬僕曰：『第送詣某書記廳，云昨己面語相公。』」
5.現代政府機關所轄的機構。如：「教育廳」、「農林廳」、「建設廳」。
6.清代府下所設與州、縣同級的地方行政單位。如清代在臺灣設有淡水廳、噶瑪蘭廳等。《清史稿．卷一一六．職官志三》：「初治明制，府廳、州、縣及各衛武學並置學官。」 |</v>
      </c>
    </row>
    <row r="4111" spans="1:44" hidden="1">
      <c r="A4111" s="1" t="s">
        <v>6678</v>
      </c>
      <c r="C4111" s="1">
        <v>1</v>
      </c>
      <c r="D4111" s="1" t="str">
        <f>"02736"</f>
        <v>02736</v>
      </c>
      <c r="E4111" s="1" t="s">
        <v>6679</v>
      </c>
      <c r="F4111" s="1">
        <v>7</v>
      </c>
      <c r="G4111" s="1">
        <v>4</v>
      </c>
      <c r="H4111" s="1">
        <v>0</v>
      </c>
      <c r="I4111" s="1" t="s">
        <v>6680</v>
      </c>
      <c r="K4111" s="1" t="str">
        <f t="shared" si="254"/>
        <v>ㄊ</v>
      </c>
      <c r="L4111" s="1" t="str">
        <f t="shared" si="255"/>
        <v>ㄧ</v>
      </c>
      <c r="M4111" s="1" t="str">
        <f t="shared" si="256"/>
        <v>ㄥ</v>
      </c>
      <c r="P4111" s="1" t="s">
        <v>20</v>
      </c>
      <c r="R4111" s="1" t="s">
        <v>6681</v>
      </c>
      <c r="V4111" s="1" t="s">
        <v>6682</v>
      </c>
      <c r="AR4111" s="1" t="str">
        <f t="shared" si="257"/>
        <v>| [ㄊㄧㄥˊ](ㄊㄧㄥˊ.md) | [廷](廷.md) |  | tíng | [名]
1.君主時代，國君辦事與發布政令的地方。如：「朝廷」、「宮廷」。《史記．卷八一．廉頗藺相如傳》：「秦王齋五日後，乃設九賓禮於廷，引趙使者藺相如。」唐．杜甫〈自京赴奉先縣詠懷五百字〉詩：「彤庭所分帛，本自寒女出。」
2.地方官吏辦事的處所。如：「縣廷」。唐．韓愈〈為裴相公讓官表〉：「移官府廷，因佐戎幕。」
3.庭院。通「庭」。漢．王充《論衡．論死》：「滿堂盈廷，填塞巷路。」 |</v>
      </c>
    </row>
    <row r="4112" spans="1:44" hidden="1">
      <c r="A4112" s="1" t="s">
        <v>6683</v>
      </c>
      <c r="C4112" s="1">
        <v>1</v>
      </c>
      <c r="D4112" s="1" t="str">
        <f>"02737"</f>
        <v>02737</v>
      </c>
      <c r="E4112" s="1" t="s">
        <v>447</v>
      </c>
      <c r="F4112" s="1">
        <v>10</v>
      </c>
      <c r="G4112" s="1">
        <v>7</v>
      </c>
      <c r="H4112" s="1">
        <v>0</v>
      </c>
      <c r="I4112" s="1" t="s">
        <v>6680</v>
      </c>
      <c r="K4112" s="1" t="str">
        <f t="shared" si="254"/>
        <v>ㄊ</v>
      </c>
      <c r="L4112" s="1" t="str">
        <f t="shared" si="255"/>
        <v>ㄧ</v>
      </c>
      <c r="M4112" s="1" t="str">
        <f t="shared" si="256"/>
        <v>ㄥ</v>
      </c>
      <c r="P4112" s="1" t="s">
        <v>20</v>
      </c>
      <c r="R4112" s="1" t="s">
        <v>6681</v>
      </c>
      <c r="V4112" s="1" t="s">
        <v>6684</v>
      </c>
      <c r="AR4112" s="1" t="str">
        <f t="shared" si="257"/>
        <v>| [ㄊㄧㄥˊ](ㄊㄧㄥˊ.md) | [庭](庭.md) |  | tíng | [名]
1.廳堂、正房。《說文解字．广部》：「庭，宮中也。」清．段玉裁．注：「宮者，室也。室之中曰庭。」《論語．季氏》：「嘗獨立，鯉趨而過庭。」
2.院子、大廳臺階前的空地。如：「庭院」。《文選．古詩十九首．庭中有奇樹》：「庭中有奇樹，綠葉發華滋。」
3.泛稱寬闊的地方。如：「大庭廣眾」。
4.審理訴訟案件的場所。如：「法庭」、「開庭」、「民事庭」。
5.額頭。如：「天庭飽滿」、「庭闕不張」。 |</v>
      </c>
    </row>
    <row r="4113" spans="1:44" hidden="1">
      <c r="A4113" s="1" t="s">
        <v>6685</v>
      </c>
      <c r="C4113" s="1">
        <v>1</v>
      </c>
      <c r="D4113" s="1" t="str">
        <f>"02738"</f>
        <v>02738</v>
      </c>
      <c r="E4113" s="1" t="s">
        <v>37</v>
      </c>
      <c r="F4113" s="1">
        <v>11</v>
      </c>
      <c r="G4113" s="1">
        <v>7</v>
      </c>
      <c r="H4113" s="1">
        <v>0</v>
      </c>
      <c r="I4113" s="1" t="s">
        <v>6680</v>
      </c>
      <c r="K4113" s="1" t="str">
        <f t="shared" si="254"/>
        <v>ㄊ</v>
      </c>
      <c r="L4113" s="1" t="str">
        <f t="shared" si="255"/>
        <v>ㄧ</v>
      </c>
      <c r="M4113" s="1" t="str">
        <f t="shared" si="256"/>
        <v>ㄥ</v>
      </c>
      <c r="P4113" s="1" t="s">
        <v>20</v>
      </c>
      <c r="R4113" s="1" t="s">
        <v>6681</v>
      </c>
      <c r="V4113" s="1" t="s">
        <v>6686</v>
      </c>
      <c r="AR4113" s="1" t="str">
        <f t="shared" si="257"/>
        <v>| [ㄊㄧㄥˊ](ㄊㄧㄥˊ.md) | [莛](莛.md) |  | tíng | [名]
1.草莖。《說文解字．艸部》：「莛，莖也。」如：「麥莛兒」。《漢書．卷六五．東方朔傳》：「以筦闚天，以蠡測海，以莛撞鐘。」
2.房屋上的橫梁。《莊子．齊物論》：「故為是舉莛與楹，厲與西施，恢恑憰怪，道通為一。」 |</v>
      </c>
    </row>
    <row r="4114" spans="1:44" hidden="1">
      <c r="A4114" s="1" t="s">
        <v>6687</v>
      </c>
      <c r="C4114" s="1">
        <v>1</v>
      </c>
      <c r="D4114" s="1" t="str">
        <f>"02739"</f>
        <v>02739</v>
      </c>
      <c r="E4114" s="1" t="s">
        <v>679</v>
      </c>
      <c r="F4114" s="1">
        <v>13</v>
      </c>
      <c r="G4114" s="1">
        <v>7</v>
      </c>
      <c r="H4114" s="1">
        <v>0</v>
      </c>
      <c r="I4114" s="1" t="s">
        <v>6680</v>
      </c>
      <c r="K4114" s="1" t="str">
        <f t="shared" si="254"/>
        <v>ㄊ</v>
      </c>
      <c r="L4114" s="1" t="str">
        <f t="shared" si="255"/>
        <v>ㄧ</v>
      </c>
      <c r="M4114" s="1" t="str">
        <f t="shared" si="256"/>
        <v>ㄥ</v>
      </c>
      <c r="P4114" s="1" t="s">
        <v>20</v>
      </c>
      <c r="R4114" s="1" t="s">
        <v>6681</v>
      </c>
      <c r="V4114" s="1" t="s">
        <v>6688</v>
      </c>
      <c r="AR4114" s="1" t="str">
        <f t="shared" si="257"/>
        <v>| [ㄊㄧㄥˊ](ㄊㄧㄥˊ.md) | [蜓](蜓.md) |  | tíng | 參見「蜻蜓」、「蝘蜓」等條。 |</v>
      </c>
    </row>
    <row r="4115" spans="1:44" hidden="1">
      <c r="A4115" s="1" t="s">
        <v>6689</v>
      </c>
      <c r="C4115" s="1">
        <v>1</v>
      </c>
      <c r="D4115" s="1" t="str">
        <f>"02740"</f>
        <v>02740</v>
      </c>
      <c r="E4115" s="1" t="s">
        <v>49</v>
      </c>
      <c r="F4115" s="1">
        <v>13</v>
      </c>
      <c r="G4115" s="1">
        <v>7</v>
      </c>
      <c r="H4115" s="1">
        <v>0</v>
      </c>
      <c r="I4115" s="1" t="s">
        <v>6680</v>
      </c>
      <c r="K4115" s="1" t="str">
        <f t="shared" si="254"/>
        <v>ㄊ</v>
      </c>
      <c r="L4115" s="1" t="str">
        <f t="shared" si="255"/>
        <v>ㄧ</v>
      </c>
      <c r="M4115" s="1" t="str">
        <f t="shared" si="256"/>
        <v>ㄥ</v>
      </c>
      <c r="P4115" s="1" t="s">
        <v>20</v>
      </c>
      <c r="R4115" s="1" t="s">
        <v>6681</v>
      </c>
      <c r="V4115" s="1" t="s">
        <v>6690</v>
      </c>
      <c r="AR4115" s="1" t="str">
        <f t="shared" si="257"/>
        <v>| [ㄊㄧㄥˊ](ㄊㄧㄥˊ.md) | [筳](筳.md) |  | tíng | [名]_x000D_
1.紡紗、絡絲或捲棉條的器具。清．朱駿聲《說文通訓定聲．鼎部》：「筳，所以絡絲者，蘇俗謂之篗頭，筳即其四周挺如柵者。」也稱為「錠」、「錠子」、「筳子」。_x000D_
2.小的竹枝或木枝。《漢書．卷九九．王莽傳中》：「莽使太醫、尚方與巧屠共刳剝之，量度五藏，以竹筳導其脈，知所終始，云可以治病。」《六臣註文選．卷四五．東方朔．答客難》：「以管窺天，以蠡測海，以筳撞鐘。」唐．張銑．注：「筳，小木枝也。」 |</v>
      </c>
    </row>
    <row r="4116" spans="1:44" hidden="1">
      <c r="A4116" s="1" t="s">
        <v>6691</v>
      </c>
      <c r="C4116" s="1">
        <v>1</v>
      </c>
      <c r="D4116" s="1" t="str">
        <f>"02741"</f>
        <v>02741</v>
      </c>
      <c r="E4116" s="1" t="s">
        <v>125</v>
      </c>
      <c r="F4116" s="1">
        <v>15</v>
      </c>
      <c r="G4116" s="1">
        <v>7</v>
      </c>
      <c r="H4116" s="1">
        <v>0</v>
      </c>
      <c r="I4116" s="1" t="s">
        <v>6680</v>
      </c>
      <c r="K4116" s="1" t="str">
        <f t="shared" si="254"/>
        <v>ㄊ</v>
      </c>
      <c r="L4116" s="1" t="str">
        <f t="shared" si="255"/>
        <v>ㄧ</v>
      </c>
      <c r="M4116" s="1" t="str">
        <f t="shared" si="256"/>
        <v>ㄥ</v>
      </c>
      <c r="P4116" s="1" t="s">
        <v>20</v>
      </c>
      <c r="R4116" s="1" t="s">
        <v>6681</v>
      </c>
      <c r="V4116" s="1" t="s">
        <v>6692</v>
      </c>
      <c r="AR4116" s="1" t="str">
        <f t="shared" si="257"/>
        <v>| [ㄊㄧㄥˊ](ㄊㄧㄥˊ.md) | [霆](霆.md) |  | tíng | [名]
1.突然暴起的雷聲。《說文解字．雨部》：「霆，雷餘聲也鈴鈴，所以挺出萬物。」如：「雷霆」。
2.閃電。《玉篇．雨部》：「霆，電也。」《淮南子．兵略》：「疾雷不及塞耳，疾霆不暇掩目。」 |</v>
      </c>
    </row>
    <row r="4117" spans="1:44" hidden="1">
      <c r="A4117" s="1" t="s">
        <v>6693</v>
      </c>
      <c r="C4117" s="1">
        <v>1</v>
      </c>
      <c r="D4117" s="1" t="str">
        <f>"02742"</f>
        <v>02742</v>
      </c>
      <c r="E4117" s="1" t="s">
        <v>86</v>
      </c>
      <c r="F4117" s="1">
        <v>20</v>
      </c>
      <c r="G4117" s="1">
        <v>7</v>
      </c>
      <c r="H4117" s="1">
        <v>0</v>
      </c>
      <c r="I4117" s="1" t="s">
        <v>6680</v>
      </c>
      <c r="K4117" s="1" t="str">
        <f t="shared" si="254"/>
        <v>ㄊ</v>
      </c>
      <c r="L4117" s="1" t="str">
        <f t="shared" si="255"/>
        <v>ㄧ</v>
      </c>
      <c r="M4117" s="1" t="str">
        <f t="shared" si="256"/>
        <v>ㄥ</v>
      </c>
      <c r="P4117" s="1" t="s">
        <v>20</v>
      </c>
      <c r="R4117" s="1" t="s">
        <v>6681</v>
      </c>
      <c r="V4117" s="1" t="s">
        <v>6694</v>
      </c>
      <c r="AR4117" s="1" t="str">
        <f t="shared" si="257"/>
        <v>| [ㄊㄧㄥˊ](ㄊㄧㄥˊ.md) | [鼮](鼮.md) |  | tíng | [名]
動物名。哺乳動物齧齒目。身上有花紋如豹。 |</v>
      </c>
    </row>
    <row r="4118" spans="1:44" hidden="1">
      <c r="A4118" s="1" t="s">
        <v>6695</v>
      </c>
      <c r="C4118" s="1">
        <v>1</v>
      </c>
      <c r="D4118" s="1" t="str">
        <f>"02743"</f>
        <v>02743</v>
      </c>
      <c r="E4118" s="1" t="s">
        <v>367</v>
      </c>
      <c r="F4118" s="1">
        <v>9</v>
      </c>
      <c r="G4118" s="1">
        <v>7</v>
      </c>
      <c r="H4118" s="1">
        <v>0</v>
      </c>
      <c r="I4118" s="1" t="s">
        <v>6680</v>
      </c>
      <c r="K4118" s="1" t="str">
        <f t="shared" si="254"/>
        <v>ㄊ</v>
      </c>
      <c r="L4118" s="1" t="str">
        <f t="shared" si="255"/>
        <v>ㄧ</v>
      </c>
      <c r="M4118" s="1" t="str">
        <f t="shared" si="256"/>
        <v>ㄥ</v>
      </c>
      <c r="P4118" s="1" t="s">
        <v>20</v>
      </c>
      <c r="R4118" s="1" t="s">
        <v>6681</v>
      </c>
      <c r="V4118" s="1" t="s">
        <v>6696</v>
      </c>
      <c r="AR4118" s="1" t="str">
        <f t="shared" si="257"/>
        <v>| [ㄊㄧㄥˊ](ㄊㄧㄥˊ.md) | [亭](亭.md) |  | tíng | [名]
1.秦漢時的地方治安機構。《史記．卷一〇九．李將軍傳》：「嘗夜從一騎出，從人田間飲，還至霸陵亭，霸陵尉醉，呵止廣。」
2.古代建在路旁的公家房舍，以便旅客投宿休息。唐．李白〈菩薩蠻．平林漠漠煙如織〉詞：「何處是歸程？長亭更短亭！」
3.守望敵情的處所。三國魏．王粲〈七哀詩〉三首之三：「登城望亭燧，翩翩飛戍旗。」
4.有頂無牆，供人憩息、觀賞的建築物，多築在花園或路旁。如：「涼亭」、「茅亭」。宋．歐陽修〈醉翁亭記〉：「峰回路轉，有亭翼然，臨於泉上者，醉翁亭也。」
5.一種供辦公或營業使用的小型房子。如：「票亭」、「郵亭」、「電話亭」。 |</v>
      </c>
    </row>
    <row r="4119" spans="1:44" hidden="1">
      <c r="A4119" s="1" t="s">
        <v>6697</v>
      </c>
      <c r="C4119" s="1">
        <v>1</v>
      </c>
      <c r="D4119" s="1" t="str">
        <f>"02744"</f>
        <v>02744</v>
      </c>
      <c r="E4119" s="1" t="s">
        <v>114</v>
      </c>
      <c r="F4119" s="1">
        <v>11</v>
      </c>
      <c r="G4119" s="1">
        <v>9</v>
      </c>
      <c r="H4119" s="1">
        <v>0</v>
      </c>
      <c r="I4119" s="1" t="s">
        <v>6680</v>
      </c>
      <c r="K4119" s="1" t="str">
        <f t="shared" si="254"/>
        <v>ㄊ</v>
      </c>
      <c r="L4119" s="1" t="str">
        <f t="shared" si="255"/>
        <v>ㄧ</v>
      </c>
      <c r="M4119" s="1" t="str">
        <f t="shared" si="256"/>
        <v>ㄥ</v>
      </c>
      <c r="P4119" s="1" t="s">
        <v>20</v>
      </c>
      <c r="R4119" s="1" t="s">
        <v>6681</v>
      </c>
      <c r="V4119" s="1" t="s">
        <v>6698</v>
      </c>
      <c r="AR4119" s="1" t="str">
        <f t="shared" si="257"/>
        <v>| [ㄊㄧㄥˊ](ㄊㄧㄥˊ.md) | [停](停.md) |  | tíng | [動]
1.中止。如：「停辦」、「停止」、「雨停了」。
2.止留、暫時居留。如：「停留」。《三國演義》第一〇六回：「雨水不住，營中泥濘，軍不可停，請移於前面山上。」
3.放置、擱置。如：「停放」。《後漢書．卷八一．獨行傳．范式傳》：「遂停柩移時，乃見有素車白馬，號哭而來。」《儒林外史》第二六回：「把棺材就停在房子中間，開了幾日喪。」
[副]
穩當、妥貼。《西遊記》第三回：「悟空將金冠、金甲、雲履都穿戴停當。」《儒林外史》第五回：「當下商議已定，一切辦的停妥。」 |</v>
      </c>
    </row>
    <row r="4120" spans="1:44" hidden="1">
      <c r="A4120" s="1" t="s">
        <v>6699</v>
      </c>
      <c r="C4120" s="1">
        <v>1</v>
      </c>
      <c r="D4120" s="1" t="str">
        <f>"02745"</f>
        <v>02745</v>
      </c>
      <c r="E4120" s="1" t="s">
        <v>129</v>
      </c>
      <c r="F4120" s="1">
        <v>12</v>
      </c>
      <c r="G4120" s="1">
        <v>9</v>
      </c>
      <c r="H4120" s="1">
        <v>0</v>
      </c>
      <c r="I4120" s="1" t="s">
        <v>6680</v>
      </c>
      <c r="K4120" s="1" t="str">
        <f t="shared" si="254"/>
        <v>ㄊ</v>
      </c>
      <c r="L4120" s="1" t="str">
        <f t="shared" si="255"/>
        <v>ㄧ</v>
      </c>
      <c r="M4120" s="1" t="str">
        <f t="shared" si="256"/>
        <v>ㄥ</v>
      </c>
      <c r="P4120" s="1" t="s">
        <v>20</v>
      </c>
      <c r="R4120" s="1" t="s">
        <v>6681</v>
      </c>
      <c r="V4120" s="1" t="s">
        <v>6700</v>
      </c>
      <c r="AR4120" s="1" t="str">
        <f t="shared" si="257"/>
        <v>| [ㄊㄧㄥˊ](ㄊㄧㄥˊ.md) | [渟](渟.md) |  | tíng | [動]
水流停止不動。唐．柳宗元〈游黃溪記〉：「其略若剖大甕，側立千尺，溪水積焉，黛蓄膏渟，來若白虹，沉沉無聲。」 |</v>
      </c>
    </row>
    <row r="4121" spans="1:44" hidden="1">
      <c r="A4121" s="1" t="s">
        <v>6701</v>
      </c>
      <c r="C4121" s="1">
        <v>1</v>
      </c>
      <c r="D4121" s="1" t="str">
        <f>"02746"</f>
        <v>02746</v>
      </c>
      <c r="E4121" s="1" t="s">
        <v>534</v>
      </c>
      <c r="F4121" s="1">
        <v>12</v>
      </c>
      <c r="G4121" s="1">
        <v>9</v>
      </c>
      <c r="H4121" s="1">
        <v>0</v>
      </c>
      <c r="I4121" s="1" t="s">
        <v>6680</v>
      </c>
      <c r="K4121" s="1" t="str">
        <f t="shared" si="254"/>
        <v>ㄊ</v>
      </c>
      <c r="L4121" s="1" t="str">
        <f t="shared" si="255"/>
        <v>ㄧ</v>
      </c>
      <c r="M4121" s="1" t="str">
        <f t="shared" si="256"/>
        <v>ㄥ</v>
      </c>
      <c r="P4121" s="1" t="s">
        <v>20</v>
      </c>
      <c r="R4121" s="1" t="s">
        <v>6681</v>
      </c>
      <c r="V4121" s="1" t="s">
        <v>6702</v>
      </c>
      <c r="AR4121" s="1" t="str">
        <f t="shared" si="257"/>
        <v>| [ㄊㄧㄥˊ](ㄊㄧㄥˊ.md) | [婷](婷.md) |  | tíng | [形]
美好的樣子。參見「娉婷」、「婷婷」等條。 |</v>
      </c>
    </row>
    <row r="4122" spans="1:44" hidden="1">
      <c r="A4122" s="1" t="s">
        <v>6703</v>
      </c>
      <c r="C4122" s="1">
        <v>1</v>
      </c>
      <c r="D4122" s="1" t="str">
        <f>"02747"</f>
        <v>02747</v>
      </c>
      <c r="E4122" s="1" t="s">
        <v>37</v>
      </c>
      <c r="F4122" s="1">
        <v>13</v>
      </c>
      <c r="G4122" s="1">
        <v>9</v>
      </c>
      <c r="H4122" s="1">
        <v>0</v>
      </c>
      <c r="I4122" s="1" t="s">
        <v>6680</v>
      </c>
      <c r="K4122" s="1" t="str">
        <f t="shared" si="254"/>
        <v>ㄊ</v>
      </c>
      <c r="L4122" s="1" t="str">
        <f t="shared" si="255"/>
        <v>ㄧ</v>
      </c>
      <c r="M4122" s="1" t="str">
        <f t="shared" si="256"/>
        <v>ㄥ</v>
      </c>
      <c r="P4122" s="1" t="s">
        <v>20</v>
      </c>
      <c r="R4122" s="1" t="s">
        <v>6681</v>
      </c>
      <c r="V4122" s="1" t="s">
        <v>6704</v>
      </c>
      <c r="AR4122" s="1" t="str">
        <f t="shared" si="257"/>
        <v>| [ㄊㄧㄥˊ](ㄊㄧㄥˊ.md) | [葶](葶.md) |  | tíng | 參見「葶藶」條。 |</v>
      </c>
    </row>
    <row r="4123" spans="1:44" hidden="1">
      <c r="A4123" s="1" t="s">
        <v>6705</v>
      </c>
      <c r="C4123" s="1">
        <v>1</v>
      </c>
      <c r="D4123" s="1" t="str">
        <f>"02748"</f>
        <v>02748</v>
      </c>
      <c r="E4123" s="1" t="s">
        <v>132</v>
      </c>
      <c r="F4123" s="1">
        <v>4</v>
      </c>
      <c r="G4123" s="1">
        <v>1</v>
      </c>
      <c r="H4123" s="1">
        <v>1</v>
      </c>
      <c r="I4123" s="1" t="s">
        <v>6706</v>
      </c>
      <c r="K4123" s="1" t="str">
        <f t="shared" si="254"/>
        <v>ㄊ</v>
      </c>
      <c r="L4123" s="1" t="str">
        <f t="shared" si="255"/>
        <v>ㄧ</v>
      </c>
      <c r="M4123" s="1" t="str">
        <f t="shared" si="256"/>
        <v>ㄥ</v>
      </c>
      <c r="P4123" s="1" t="s">
        <v>20</v>
      </c>
      <c r="R4123" s="1" t="s">
        <v>6707</v>
      </c>
      <c r="V4123" s="1" t="s">
        <v>6708</v>
      </c>
      <c r="W4123" s="1" t="s">
        <v>6709</v>
      </c>
      <c r="AR4123" s="1" t="str">
        <f t="shared" si="257"/>
        <v>| [ㄊㄧㄥˇ](ㄊㄧㄥˇ.md) | [𡈼](𡈼.md) |  | tǐng | [形]
善、美好。《說文解字．𡈼部》：「𡈼，善也。」清．段玉裁．注：「人各事其事，是善也。」
[動]
挺立。《說文解字．𡈼部》：「𡈼，一曰象物出地挺生也。」清．朱駿聲《說文通訓定聲．鼎部》：「按此字從人立土上，會意。挺，立也。與立同誼。望、廷皆從此為義。」 |</v>
      </c>
    </row>
    <row r="4124" spans="1:44" hidden="1">
      <c r="A4124" s="1" t="s">
        <v>6710</v>
      </c>
      <c r="C4124" s="1">
        <v>1</v>
      </c>
      <c r="D4124" s="1" t="str">
        <f>"02749"</f>
        <v>02749</v>
      </c>
      <c r="E4124" s="1" t="s">
        <v>114</v>
      </c>
      <c r="F4124" s="1">
        <v>9</v>
      </c>
      <c r="G4124" s="1">
        <v>7</v>
      </c>
      <c r="H4124" s="1">
        <v>0</v>
      </c>
      <c r="I4124" s="1" t="s">
        <v>6706</v>
      </c>
      <c r="K4124" s="1" t="str">
        <f t="shared" si="254"/>
        <v>ㄊ</v>
      </c>
      <c r="L4124" s="1" t="str">
        <f t="shared" si="255"/>
        <v>ㄧ</v>
      </c>
      <c r="M4124" s="1" t="str">
        <f t="shared" si="256"/>
        <v>ㄥ</v>
      </c>
      <c r="P4124" s="1" t="s">
        <v>20</v>
      </c>
      <c r="R4124" s="1" t="s">
        <v>6707</v>
      </c>
      <c r="V4124" s="1" t="s">
        <v>6711</v>
      </c>
      <c r="AR4124" s="1" t="str">
        <f t="shared" si="257"/>
        <v>| [ㄊㄧㄥˇ](ㄊㄧㄥˇ.md) | [侹](侹.md) |  | tǐng | [形]
1.長的樣子。《說文解字．人部》：「侹，長貌。」
2.平直。參見「侹侹」條。 |</v>
      </c>
    </row>
    <row r="4125" spans="1:44" hidden="1">
      <c r="A4125" s="1" t="s">
        <v>6712</v>
      </c>
      <c r="C4125" s="1">
        <v>1</v>
      </c>
      <c r="D4125" s="1" t="str">
        <f>"02750"</f>
        <v>02750</v>
      </c>
      <c r="E4125" s="1" t="s">
        <v>24</v>
      </c>
      <c r="F4125" s="1">
        <v>10</v>
      </c>
      <c r="G4125" s="1">
        <v>7</v>
      </c>
      <c r="H4125" s="1">
        <v>0</v>
      </c>
      <c r="I4125" s="1" t="s">
        <v>6706</v>
      </c>
      <c r="K4125" s="1" t="str">
        <f t="shared" si="254"/>
        <v>ㄊ</v>
      </c>
      <c r="L4125" s="1" t="str">
        <f t="shared" si="255"/>
        <v>ㄧ</v>
      </c>
      <c r="M4125" s="1" t="str">
        <f t="shared" si="256"/>
        <v>ㄥ</v>
      </c>
      <c r="P4125" s="1" t="s">
        <v>20</v>
      </c>
      <c r="R4125" s="1" t="s">
        <v>6707</v>
      </c>
      <c r="V4125" s="1" t="s">
        <v>6713</v>
      </c>
      <c r="AR4125" s="1" t="str">
        <f t="shared" si="257"/>
        <v>| [ㄊㄧㄥˇ](ㄊㄧㄥˇ.md) | [挺](挺.md) |  | tǐng | [動]
1.拔出。《說文解字．手部》：「挺，拔也。」《戰國策．魏策四》：「挺劍而起。」《三國演義》第一回：「張飛挺丈八蛇矛直出。」
2.撐直。如：「挺胸」、「挺著脖子」。
3.勉強支撐。如：「挺不住」、「他病了！還是硬挺著不肯休息。」
[形]
1.直的。如：「西裝筆挺」。
2.獨特、傑出。如：「英俊挺拔」。漢．班固〈為第五倫薦謝夷吾疏〉：「竊見鉅鹿太守會稽謝夷吾，出自東州，厥土塗泥，而英資挺特，奇偉秀出。」南朝齊．孔稚珪〈祭外兄張長史文〉：「惟君之德，高明秀挺。」
[副]
很、甚。如：「他人緣挺好。」、「她待人挺和氣。」、「她看起來挺高興的樣子。」《兒女英雄傳》第三一回：「挺長挺深的一個大口子，鮮血直流的呢？」
[名]
量詞。計算機槍數量的單位。如：「十挺機關槍」。 |</v>
      </c>
    </row>
    <row r="4126" spans="1:44" hidden="1">
      <c r="A4126" s="1" t="s">
        <v>6714</v>
      </c>
      <c r="C4126" s="1">
        <v>1</v>
      </c>
      <c r="D4126" s="1" t="str">
        <f>"02751"</f>
        <v>02751</v>
      </c>
      <c r="E4126" s="1" t="s">
        <v>142</v>
      </c>
      <c r="F4126" s="1">
        <v>11</v>
      </c>
      <c r="G4126" s="1">
        <v>7</v>
      </c>
      <c r="H4126" s="1">
        <v>0</v>
      </c>
      <c r="I4126" s="1" t="s">
        <v>6706</v>
      </c>
      <c r="K4126" s="1" t="str">
        <f t="shared" si="254"/>
        <v>ㄊ</v>
      </c>
      <c r="L4126" s="1" t="str">
        <f t="shared" si="255"/>
        <v>ㄧ</v>
      </c>
      <c r="M4126" s="1" t="str">
        <f t="shared" si="256"/>
        <v>ㄥ</v>
      </c>
      <c r="P4126" s="1" t="s">
        <v>20</v>
      </c>
      <c r="R4126" s="1" t="s">
        <v>6707</v>
      </c>
      <c r="V4126" s="1" t="s">
        <v>6715</v>
      </c>
      <c r="AR4126" s="1" t="str">
        <f t="shared" si="257"/>
        <v>| [ㄊㄧㄥˇ](ㄊㄧㄥˇ.md) | [珽](珽.md) |  | tǐng | [名]
大圭。古代天子上朝所執的玉版。《說文解字．玉部》：「珽，大圭。長三尺，抒上，終葵首。」《資治通鑑．卷一七一．陳紀五．宣帝太建四年》：「護既入，如帝所戒讀酒誥；未畢，帝以玉珽自後擊之，護踣於地。」 |</v>
      </c>
    </row>
    <row r="4127" spans="1:44" hidden="1">
      <c r="A4127" s="1" t="s">
        <v>6716</v>
      </c>
      <c r="C4127" s="1">
        <v>1</v>
      </c>
      <c r="D4127" s="1" t="str">
        <f>"02752"</f>
        <v>02752</v>
      </c>
      <c r="E4127" s="1" t="s">
        <v>139</v>
      </c>
      <c r="F4127" s="1">
        <v>11</v>
      </c>
      <c r="G4127" s="1">
        <v>7</v>
      </c>
      <c r="H4127" s="1">
        <v>0</v>
      </c>
      <c r="I4127" s="1" t="s">
        <v>6706</v>
      </c>
      <c r="K4127" s="1" t="str">
        <f t="shared" si="254"/>
        <v>ㄊ</v>
      </c>
      <c r="L4127" s="1" t="str">
        <f t="shared" si="255"/>
        <v>ㄧ</v>
      </c>
      <c r="M4127" s="1" t="str">
        <f t="shared" si="256"/>
        <v>ㄥ</v>
      </c>
      <c r="P4127" s="1" t="s">
        <v>20</v>
      </c>
      <c r="R4127" s="1" t="s">
        <v>6707</v>
      </c>
      <c r="V4127" s="1" t="s">
        <v>6717</v>
      </c>
      <c r="AR4127" s="1" t="str">
        <f t="shared" si="257"/>
        <v>| [ㄊㄧㄥˇ](ㄊㄧㄥˇ.md) | [梃](梃.md) |  | tǐng | [名]
1.棍棒。如：「箠梃」。《孟子．梁惠王上》：「殺人以梃與刃，有以異乎？」唐．柳宗元〈封建論〉：「負鋤梃謫戍之徒，圜視而合從，大呼而成群。」
2.量詞。古代計算竿狀物的單位。唐．韓愈〈藍田縣丞廳壁記〉：「庭有老槐四行，南牆鉅竹千梃，儼立若相持。」 |</v>
      </c>
    </row>
    <row r="4128" spans="1:44" hidden="1">
      <c r="A4128" s="1" t="s">
        <v>6718</v>
      </c>
      <c r="C4128" s="1">
        <v>1</v>
      </c>
      <c r="D4128" s="1" t="str">
        <f>"02753"</f>
        <v>02753</v>
      </c>
      <c r="E4128" s="1" t="s">
        <v>68</v>
      </c>
      <c r="F4128" s="1">
        <v>11</v>
      </c>
      <c r="G4128" s="1">
        <v>7</v>
      </c>
      <c r="H4128" s="1">
        <v>0</v>
      </c>
      <c r="I4128" s="1" t="s">
        <v>6706</v>
      </c>
      <c r="K4128" s="1" t="str">
        <f t="shared" si="254"/>
        <v>ㄊ</v>
      </c>
      <c r="L4128" s="1" t="str">
        <f t="shared" si="255"/>
        <v>ㄧ</v>
      </c>
      <c r="M4128" s="1" t="str">
        <f t="shared" si="256"/>
        <v>ㄥ</v>
      </c>
      <c r="P4128" s="1" t="s">
        <v>20</v>
      </c>
      <c r="R4128" s="1" t="s">
        <v>6707</v>
      </c>
      <c r="V4128" s="1" t="s">
        <v>6719</v>
      </c>
      <c r="AR4128" s="1" t="str">
        <f t="shared" si="257"/>
        <v>| [ㄊㄧㄥˇ](ㄊㄧㄥˇ.md) | [脡](脡.md) |  | tǐng | [名]
直條狀的乾肉。《公羊傳．昭公二十五年》：「高子執簞食與四脡脯。」《清史稿．卷五一一．列女傳四．林守仁妻王傳》：「母去兒無恐，但歲時具杯酒，一脡肉，母當歸，不相嚇也。」
[形]
直的。參見「脡脡」、「脡直」等條。 |</v>
      </c>
    </row>
    <row r="4129" spans="1:44" hidden="1">
      <c r="A4129" s="1" t="s">
        <v>6720</v>
      </c>
      <c r="C4129" s="1">
        <v>1</v>
      </c>
      <c r="D4129" s="1" t="str">
        <f>"02754"</f>
        <v>02754</v>
      </c>
      <c r="E4129" s="1" t="s">
        <v>181</v>
      </c>
      <c r="F4129" s="1">
        <v>13</v>
      </c>
      <c r="G4129" s="1">
        <v>7</v>
      </c>
      <c r="H4129" s="1">
        <v>0</v>
      </c>
      <c r="I4129" s="1" t="s">
        <v>6706</v>
      </c>
      <c r="K4129" s="1" t="str">
        <f t="shared" si="254"/>
        <v>ㄊ</v>
      </c>
      <c r="L4129" s="1" t="str">
        <f t="shared" si="255"/>
        <v>ㄧ</v>
      </c>
      <c r="M4129" s="1" t="str">
        <f t="shared" si="256"/>
        <v>ㄥ</v>
      </c>
      <c r="P4129" s="1" t="s">
        <v>20</v>
      </c>
      <c r="R4129" s="1" t="s">
        <v>6707</v>
      </c>
      <c r="V4129" s="1" t="s">
        <v>6721</v>
      </c>
      <c r="AR4129" s="1" t="str">
        <f t="shared" si="257"/>
        <v>| [ㄊㄧㄥˇ](ㄊㄧㄥˇ.md) | [艇](艇.md) |  | tǐng | [名]
1.輕便狹長的小船。如：「快艇」、「汽艇」、「救生艇」。
2.像艇的較大型船隻。如：「飛艇」、「砲艇」、「潛水艇」、「豪華遊艇」。 |</v>
      </c>
    </row>
    <row r="4130" spans="1:44" hidden="1">
      <c r="A4130" s="1" t="s">
        <v>5565</v>
      </c>
      <c r="C4130" s="1">
        <v>1</v>
      </c>
      <c r="D4130" s="1" t="str">
        <f>"02755"</f>
        <v>02755</v>
      </c>
      <c r="E4130" s="1" t="s">
        <v>55</v>
      </c>
      <c r="F4130" s="1">
        <v>15</v>
      </c>
      <c r="G4130" s="1">
        <v>7</v>
      </c>
      <c r="H4130" s="1">
        <v>1</v>
      </c>
      <c r="I4130" s="1" t="s">
        <v>6706</v>
      </c>
      <c r="K4130" s="1" t="str">
        <f t="shared" si="254"/>
        <v>ㄊ</v>
      </c>
      <c r="L4130" s="1" t="str">
        <f t="shared" si="255"/>
        <v>ㄧ</v>
      </c>
      <c r="M4130" s="1" t="str">
        <f t="shared" si="256"/>
        <v>ㄥ</v>
      </c>
      <c r="P4130" s="1" t="s">
        <v>20</v>
      </c>
      <c r="R4130" s="1" t="s">
        <v>6707</v>
      </c>
      <c r="V4130" s="1" t="s">
        <v>6722</v>
      </c>
      <c r="W4130" s="1" t="s">
        <v>6723</v>
      </c>
      <c r="AR4130" s="1" t="str">
        <f t="shared" si="257"/>
        <v>| [ㄊㄧㄥˇ](ㄊㄧㄥˇ.md) | [鋌](鋌.md) |  | tǐng | [副]
走得很快的樣子。《左傳．文公十七年》：「鋌而走險，急何能擇！」晉．杜預．注：「鋌，疾走貌。」唐．李華〈弔古戰場文〉：「鳥飛不下，獸鋌亡群。」 |</v>
      </c>
    </row>
    <row r="4131" spans="1:44" hidden="1">
      <c r="A4131" s="1" t="s">
        <v>6724</v>
      </c>
      <c r="C4131" s="1">
        <v>1</v>
      </c>
      <c r="D4131" s="1" t="str">
        <f>"02756"</f>
        <v>02756</v>
      </c>
      <c r="E4131" s="1" t="s">
        <v>684</v>
      </c>
      <c r="F4131" s="1">
        <v>16</v>
      </c>
      <c r="G4131" s="1">
        <v>7</v>
      </c>
      <c r="H4131" s="1">
        <v>0</v>
      </c>
      <c r="I4131" s="1" t="s">
        <v>6706</v>
      </c>
      <c r="K4131" s="1" t="str">
        <f t="shared" si="254"/>
        <v>ㄊ</v>
      </c>
      <c r="L4131" s="1" t="str">
        <f t="shared" si="255"/>
        <v>ㄧ</v>
      </c>
      <c r="M4131" s="1" t="str">
        <f t="shared" si="256"/>
        <v>ㄥ</v>
      </c>
      <c r="P4131" s="1" t="s">
        <v>20</v>
      </c>
      <c r="R4131" s="1" t="s">
        <v>6707</v>
      </c>
      <c r="V4131" s="1" t="s">
        <v>6725</v>
      </c>
      <c r="AR4131" s="1" t="str">
        <f t="shared" si="257"/>
        <v>| [ㄊㄧㄥˇ](ㄊㄧㄥˇ.md) | [頲](頲.md) |  | tǐng | [形]
1.頭長而直的樣子。《說文解字．頁部》：「頲，狹頭頲也。」
2.直的。《爾雅．釋詁下》：「頲，直也。」 |</v>
      </c>
    </row>
    <row r="4132" spans="1:44" hidden="1">
      <c r="A4132" s="1" t="s">
        <v>5535</v>
      </c>
      <c r="C4132" s="1">
        <v>1</v>
      </c>
      <c r="D4132" s="1" t="str">
        <f>"02757"</f>
        <v>02757</v>
      </c>
      <c r="E4132" s="1" t="s">
        <v>753</v>
      </c>
      <c r="F4132" s="1">
        <v>7</v>
      </c>
      <c r="G4132" s="1">
        <v>2</v>
      </c>
      <c r="H4132" s="1">
        <v>1</v>
      </c>
      <c r="I4132" s="1" t="s">
        <v>6706</v>
      </c>
      <c r="K4132" s="1" t="str">
        <f t="shared" si="254"/>
        <v>ㄊ</v>
      </c>
      <c r="L4132" s="1" t="str">
        <f t="shared" si="255"/>
        <v>ㄧ</v>
      </c>
      <c r="M4132" s="1" t="str">
        <f t="shared" si="256"/>
        <v>ㄥ</v>
      </c>
      <c r="P4132" s="1" t="s">
        <v>20</v>
      </c>
      <c r="R4132" s="1" t="s">
        <v>6707</v>
      </c>
      <c r="V4132" s="1" t="s">
        <v>6726</v>
      </c>
      <c r="W4132" s="1" t="s">
        <v>6727</v>
      </c>
      <c r="AR4132" s="1" t="str">
        <f t="shared" si="257"/>
        <v>| [ㄊㄧㄥˇ](ㄊㄧㄥˇ.md) | [町](町.md) |  | tǐng | [名]
1.田界、田間小路。《莊子．人間世》：「彼且為無町畦，亦與之為無町畦。」唐．成玄英．疏：「町，畔也。」
2.田地。《文選．卷二．賦．張衡．西京賦》：「篠簜敷衍，編町成篁。」李善引薛綜注：「町，謂畎畝。」 |</v>
      </c>
    </row>
    <row r="4133" spans="1:44" hidden="1">
      <c r="A4133" s="1" t="s">
        <v>6673</v>
      </c>
      <c r="C4133" s="1">
        <v>1</v>
      </c>
      <c r="D4133" s="1" t="str">
        <f>"02758"</f>
        <v>02758</v>
      </c>
      <c r="E4133" s="1" t="s">
        <v>2419</v>
      </c>
      <c r="F4133" s="1">
        <v>22</v>
      </c>
      <c r="G4133" s="1">
        <v>16</v>
      </c>
      <c r="H4133" s="1">
        <v>2</v>
      </c>
      <c r="I4133" s="1" t="s">
        <v>6728</v>
      </c>
      <c r="K4133" s="1" t="str">
        <f t="shared" si="254"/>
        <v>ㄊ</v>
      </c>
      <c r="L4133" s="1" t="str">
        <f t="shared" si="255"/>
        <v>ㄧ</v>
      </c>
      <c r="M4133" s="1" t="str">
        <f t="shared" si="256"/>
        <v>ㄥ</v>
      </c>
      <c r="P4133" s="1" t="s">
        <v>20</v>
      </c>
      <c r="R4133" s="1" t="s">
        <v>6729</v>
      </c>
      <c r="V4133" s="1" t="s">
        <v>6730</v>
      </c>
      <c r="W4133" s="1" t="s">
        <v>6731</v>
      </c>
      <c r="AR4133" s="1" t="str">
        <f t="shared" si="257"/>
        <v>| [ㄊㄧㄥˋ](ㄊㄧㄥˋ.md) | [聽](聽.md) |  | tìng | [動]
1.治理、處理。如：「垂簾聽政」。《周禮．天官．小宰》：「以聽官府之六計。」
2.裁決、裁斷。如：「聽獄」。《論語．顏淵》：「聽訟，吾猶人也，必也使無訟乎？」
3.任由、任憑。如：「聽其自然」、「悉聽尊便」、「聽天由命」。《西遊記》第九回：「這江州有個金山寺、焦山寺，聽你在那個寺裡去。」 |</v>
      </c>
    </row>
    <row r="4134" spans="1:44" hidden="1">
      <c r="A4134" s="1" t="s">
        <v>15722</v>
      </c>
      <c r="C4134" s="1">
        <v>1</v>
      </c>
      <c r="D4134" s="1" t="str">
        <f>"06584"</f>
        <v>06584</v>
      </c>
      <c r="E4134" s="1" t="s">
        <v>336</v>
      </c>
      <c r="F4134" s="1">
        <v>11</v>
      </c>
      <c r="G4134" s="1">
        <v>7</v>
      </c>
      <c r="H4134" s="1">
        <v>0</v>
      </c>
      <c r="I4134" s="1" t="s">
        <v>6660</v>
      </c>
      <c r="K4134" s="1" t="str">
        <f t="shared" si="254"/>
        <v>ㄊ</v>
      </c>
      <c r="L4134" s="1" t="str">
        <f t="shared" si="255"/>
        <v>ㄧ</v>
      </c>
      <c r="M4134" s="1" t="str">
        <f t="shared" si="256"/>
        <v>ㄥ</v>
      </c>
      <c r="P4134" s="1" t="s">
        <v>20</v>
      </c>
      <c r="R4134" s="1" t="s">
        <v>6661</v>
      </c>
      <c r="V4134" s="1" t="s">
        <v>15723</v>
      </c>
      <c r="AR4134" s="1" t="str">
        <f t="shared" si="257"/>
        <v>| [ㄊㄧㄥ](ㄊㄧㄥ.md) | [烴](烴.md) |  | tīng | [名]_x000D_
僅由碳、氫兩種原子所組成的有機化合物。主要從石油、天然氣、植物中分離，或由天然存在的烴類裂解與合成，為石化工業中製造塑膠、橡膠與合成纖維等的重要原料。也稱為「碳氫化合物」。 |</v>
      </c>
    </row>
    <row r="4135" spans="1:44" hidden="1">
      <c r="A4135" s="1" t="s">
        <v>5888</v>
      </c>
      <c r="C4135" s="1">
        <v>1</v>
      </c>
      <c r="D4135" s="1" t="str">
        <f>"02880"</f>
        <v>02880</v>
      </c>
      <c r="E4135" s="1" t="s">
        <v>250</v>
      </c>
      <c r="F4135" s="1">
        <v>9</v>
      </c>
      <c r="G4135" s="1">
        <v>6</v>
      </c>
      <c r="H4135" s="1">
        <v>1</v>
      </c>
      <c r="I4135" s="1" t="s">
        <v>7027</v>
      </c>
      <c r="K4135" s="1" t="str">
        <f t="shared" si="254"/>
        <v>ㄊ</v>
      </c>
      <c r="L4135" s="1" t="str">
        <f t="shared" si="255"/>
        <v>ㄨ</v>
      </c>
      <c r="M4135" s="1" t="str">
        <f t="shared" si="256"/>
        <v>ㄥ</v>
      </c>
      <c r="P4135" s="1" t="s">
        <v>20</v>
      </c>
      <c r="R4135" s="1" t="s">
        <v>7028</v>
      </c>
      <c r="V4135" s="1" t="s">
        <v>7029</v>
      </c>
      <c r="W4135" s="1" t="s">
        <v>7030</v>
      </c>
      <c r="AR4135" s="1" t="str">
        <f t="shared" si="257"/>
        <v>| [ㄊㄨㄥ](ㄊㄨㄥ.md) | [恫](恫.md) |  | tōng | [動]
傷痛、哀痛。《詩經．大雅．桑柔》：「哀恫中國，具贅卒荒。」《文選．張衡．思玄賦》：「尚前良之遺風兮，恫後辰而無及。」
[名]
悲痛。《聊齋志異．卷二．嬰寧》：「君倘不惜煩賣，使地下人消此怨恫。」 |</v>
      </c>
    </row>
    <row r="4136" spans="1:44" hidden="1">
      <c r="A4136" s="1" t="s">
        <v>7031</v>
      </c>
      <c r="C4136" s="1">
        <v>1</v>
      </c>
      <c r="D4136" s="1" t="str">
        <f>"02881"</f>
        <v>02881</v>
      </c>
      <c r="E4136" s="1" t="s">
        <v>40</v>
      </c>
      <c r="F4136" s="1">
        <v>11</v>
      </c>
      <c r="G4136" s="1">
        <v>6</v>
      </c>
      <c r="H4136" s="1">
        <v>0</v>
      </c>
      <c r="I4136" s="1" t="s">
        <v>7027</v>
      </c>
      <c r="K4136" s="1" t="str">
        <f t="shared" ref="K4136:K4199" si="258">LEFT(I4136, 1)</f>
        <v>ㄊ</v>
      </c>
      <c r="L4136" s="1" t="str">
        <f t="shared" ref="L4136:L4199" si="259">MID(I4136, 2, 1)</f>
        <v>ㄨ</v>
      </c>
      <c r="M4136" s="1" t="str">
        <f t="shared" si="256"/>
        <v>ㄥ</v>
      </c>
      <c r="P4136" s="1" t="s">
        <v>20</v>
      </c>
      <c r="R4136" s="1" t="s">
        <v>7028</v>
      </c>
      <c r="V4136" s="1" t="s">
        <v>7032</v>
      </c>
      <c r="AR4136" s="1" t="str">
        <f t="shared" si="257"/>
        <v>| [ㄊㄨㄥ](ㄊㄨㄥ.md) | [痌](痌.md) |  | tōng | [名]
痛苦。如：「痌瘝在抱」。
[動]
哀痛、悲痛。唐．皇甫湜〈韓文公墓誌銘〉：「令望絕邪，痌此四方。」 |</v>
      </c>
    </row>
    <row r="4137" spans="1:44" hidden="1">
      <c r="A4137" s="1" t="s">
        <v>7033</v>
      </c>
      <c r="C4137" s="1">
        <v>1</v>
      </c>
      <c r="D4137" s="1" t="str">
        <f>"02882"</f>
        <v>02882</v>
      </c>
      <c r="E4137" s="1" t="s">
        <v>558</v>
      </c>
      <c r="F4137" s="1">
        <v>11</v>
      </c>
      <c r="G4137" s="1">
        <v>7</v>
      </c>
      <c r="H4137" s="1">
        <v>0</v>
      </c>
      <c r="I4137" s="1" t="s">
        <v>7027</v>
      </c>
      <c r="K4137" s="1" t="str">
        <f t="shared" si="258"/>
        <v>ㄊ</v>
      </c>
      <c r="L4137" s="1" t="str">
        <f t="shared" si="259"/>
        <v>ㄨ</v>
      </c>
      <c r="M4137" s="1" t="str">
        <f t="shared" si="256"/>
        <v>ㄥ</v>
      </c>
      <c r="P4137" s="1" t="s">
        <v>20</v>
      </c>
      <c r="R4137" s="1" t="s">
        <v>7028</v>
      </c>
      <c r="V4137" s="1" t="s">
        <v>7034</v>
      </c>
      <c r="AR4137" s="1" t="str">
        <f t="shared" si="257"/>
        <v>| [ㄊㄨㄥ](ㄊㄨㄥ.md) | [通](通.md) |  | tōng | [形]_x000D_
1.沒有堵塞，可以穿過的。如：「水管不通了。」_x000D_
2.流暢、暢達。如：「暢通」、「四通八達」、「你的作文寫得不夠通順。」《老殘遊記》第一回：「當年也曾讀過幾句詩書，因八股文章做得不通，所以學也未曾進得一個。」_x000D_
3.順利。如：「星運亨通」。宋．范仲淹〈岳陽樓記〉：「政通人和，百廢具興。」_x000D_
4.靈活、不閉塞。如：「圓通」、「開通」。_x000D_
5.淵博。如：「通人」、「博學通儒」。_x000D_
6.共同的。如：「好逸惡勞是一般人的通病。」《孟子．滕文公上》：「天下之通義也。」_x000D_
7.整個、全部。如：「通宵」、「通盤考量」。《孟子．離婁下》：「匡章通國皆稱不孝焉，夫子與之遊，又從而禮貌之，敢問何也？」_x000D_
[副]_x000D_
全、都。如：「通通上去」。《紅樓夢》第二八回：「他說的我通不懂，怎麼不該罰！」_x000D_
[動]_x000D_
1.到達。如：「通到」、「通往」。《國語．晉語二》：「道遠難通，望大難走。」_x000D_
2.往來、交往。如：「通商」、「通航」、「互通有無」。《漢書．卷三七．季布欒布田叔傳．季布》：「吾聞曹丘生非長者，勿與通。」_x000D_
3.報告、使知曉。如：「通知」、「通報」。《史記．卷四八．陳涉世家》：「自辯數，乃置，不肯為通。」_x000D_
4.明白、了解。如：「通曉」、「精通」。《漢書．卷七二．王貢兩龔鮑傳．王吉》：「今使俗吏得任子弟，率多驕驁，不通古今。」_x000D_
5.發生不正常的性關係。如：「通姦」、「私通」。《左傳．桓公十八年》：「公會齊侯于濼，遂及文姜如齊，齊侯通焉。」《漢書．卷五五．衛青霍去病傳．衛青》：「季與主家僮衛媼通，生青。」_x000D_
[名]_x000D_
1.熟悉某種事物的人。如：「中國通」、「萬事通」、「數學通」。_x000D_
2.量詞：(1)計算文書、電訊的單位。如：「一通電話」、「三通電報」。(2)計算敲擊鐘鼓次數的單位。如：「擂鼓三通」。 |</v>
      </c>
    </row>
    <row r="4138" spans="1:44" hidden="1">
      <c r="A4138" s="1" t="s">
        <v>7035</v>
      </c>
      <c r="C4138" s="1">
        <v>1</v>
      </c>
      <c r="D4138" s="1" t="str">
        <f>"02883"</f>
        <v>02883</v>
      </c>
      <c r="E4138" s="1" t="s">
        <v>28</v>
      </c>
      <c r="F4138" s="1">
        <v>6</v>
      </c>
      <c r="G4138" s="1">
        <v>3</v>
      </c>
      <c r="H4138" s="1">
        <v>1</v>
      </c>
      <c r="I4138" s="1" t="s">
        <v>7036</v>
      </c>
      <c r="K4138" s="1" t="str">
        <f t="shared" si="258"/>
        <v>ㄊ</v>
      </c>
      <c r="L4138" s="1" t="str">
        <f t="shared" si="259"/>
        <v>ㄨ</v>
      </c>
      <c r="M4138" s="1" t="str">
        <f t="shared" si="256"/>
        <v>ㄥ</v>
      </c>
      <c r="P4138" s="1" t="s">
        <v>20</v>
      </c>
      <c r="R4138" s="1" t="s">
        <v>7037</v>
      </c>
      <c r="V4138" s="1" t="s">
        <v>7038</v>
      </c>
      <c r="W4138" s="1" t="s">
        <v>7039</v>
      </c>
      <c r="AR4138" s="1" t="str">
        <f t="shared" si="257"/>
        <v>| [ㄊㄨㄥˊ](ㄊㄨㄥˊ.md) | [同](同.md) |  | tóng | [動]
1.會合、聚集。《說文解字．𠔼部》：「同，合會也。」如：「會同」。唐．錢起〈送鍾評事應宏詞下第東歸〉詩：「勸君稍盡離筵酒，千里佳期難再同。」
2.統一、齊一。《書經．舜典》：「協時月正日，同律度量衡。」宋．陸游〈示兒〉詩：「死去元知萬事空，但悲不見九州同。」
3.一齊分享、從事等。如：「同甘苦，共患難。」《孫子．謀攻》：「不知三軍之事，而同三軍之政者，則軍士惑矣。」
4.贊成。如：「贊同」、「同意」。
[形]
一樣的。如：「同類」、「相同」、「同工同酬」。
[副]
一起、共同。如：「有福同享，有難同當。」唐．李白〈長干行〉二首之一：「同居長干里，兩小無嫌猜。」
[連]
和、與、跟。如：「有事同你商量。」、「我同他一起去看電影。」
[名]
1.和諧、和平。如：「促進世界大同」。《禮記．禮運》：「是故謀閉而不興，盜竊亂賊而不作，故外戶而不閉，是謂大同。」
2.契約。如：「合同」。
3.姓。如唐代有同谷。 |</v>
      </c>
    </row>
    <row r="4139" spans="1:44" hidden="1">
      <c r="A4139" s="1" t="s">
        <v>5880</v>
      </c>
      <c r="C4139" s="1">
        <v>1</v>
      </c>
      <c r="D4139" s="1" t="str">
        <f>"02884"</f>
        <v>02884</v>
      </c>
      <c r="E4139" s="1" t="s">
        <v>114</v>
      </c>
      <c r="F4139" s="1">
        <v>8</v>
      </c>
      <c r="G4139" s="1">
        <v>6</v>
      </c>
      <c r="H4139" s="1">
        <v>1</v>
      </c>
      <c r="I4139" s="1" t="s">
        <v>7036</v>
      </c>
      <c r="K4139" s="1" t="str">
        <f t="shared" si="258"/>
        <v>ㄊ</v>
      </c>
      <c r="L4139" s="1" t="str">
        <f t="shared" si="259"/>
        <v>ㄨ</v>
      </c>
      <c r="M4139" s="1" t="str">
        <f t="shared" si="256"/>
        <v>ㄥ</v>
      </c>
      <c r="P4139" s="1" t="s">
        <v>20</v>
      </c>
      <c r="R4139" s="1" t="s">
        <v>7037</v>
      </c>
      <c r="V4139" s="1" t="s">
        <v>7040</v>
      </c>
      <c r="W4139" s="1" t="s">
        <v>7041</v>
      </c>
      <c r="AR4139" s="1" t="str">
        <f t="shared" si="257"/>
        <v>| [ㄊㄨㄥˊ](ㄊㄨㄥˊ.md) | [侗](侗.md) |  | tóng | 參見「倥侗」條。 |</v>
      </c>
    </row>
    <row r="4140" spans="1:44" hidden="1">
      <c r="A4140" s="1" t="s">
        <v>5885</v>
      </c>
      <c r="C4140" s="1">
        <v>1</v>
      </c>
      <c r="D4140" s="1" t="str">
        <f>"02885"</f>
        <v>02885</v>
      </c>
      <c r="E4140" s="1" t="s">
        <v>129</v>
      </c>
      <c r="F4140" s="1">
        <v>9</v>
      </c>
      <c r="G4140" s="1">
        <v>6</v>
      </c>
      <c r="H4140" s="1">
        <v>2</v>
      </c>
      <c r="I4140" s="1" t="s">
        <v>7036</v>
      </c>
      <c r="K4140" s="1" t="str">
        <f t="shared" si="258"/>
        <v>ㄊ</v>
      </c>
      <c r="L4140" s="1" t="str">
        <f t="shared" si="259"/>
        <v>ㄨ</v>
      </c>
      <c r="M4140" s="1" t="str">
        <f t="shared" si="256"/>
        <v>ㄥ</v>
      </c>
      <c r="P4140" s="1" t="s">
        <v>20</v>
      </c>
      <c r="R4140" s="1" t="s">
        <v>7037</v>
      </c>
      <c r="V4140" s="1" t="s">
        <v>7042</v>
      </c>
      <c r="W4140" s="1" t="s">
        <v>7043</v>
      </c>
      <c r="AR4140" s="1" t="str">
        <f t="shared" si="257"/>
        <v>| [ㄊㄨㄥˊ](ㄊㄨㄥˊ.md) | [洞](洞.md) |  | tóng | 參見「澒洞」、「洪洞縣」等條。 |</v>
      </c>
    </row>
    <row r="4141" spans="1:44" hidden="1">
      <c r="A4141" s="1" t="s">
        <v>5891</v>
      </c>
      <c r="C4141" s="1">
        <v>1</v>
      </c>
      <c r="D4141" s="1" t="str">
        <f>"02886"</f>
        <v>02886</v>
      </c>
      <c r="E4141" s="1" t="s">
        <v>132</v>
      </c>
      <c r="F4141" s="1">
        <v>9</v>
      </c>
      <c r="G4141" s="1">
        <v>6</v>
      </c>
      <c r="H4141" s="1">
        <v>2</v>
      </c>
      <c r="I4141" s="1" t="s">
        <v>7036</v>
      </c>
      <c r="K4141" s="1" t="str">
        <f t="shared" si="258"/>
        <v>ㄊ</v>
      </c>
      <c r="L4141" s="1" t="str">
        <f t="shared" si="259"/>
        <v>ㄨ</v>
      </c>
      <c r="M4141" s="1" t="str">
        <f t="shared" si="256"/>
        <v>ㄥ</v>
      </c>
      <c r="P4141" s="1" t="s">
        <v>20</v>
      </c>
      <c r="R4141" s="1" t="s">
        <v>7037</v>
      </c>
      <c r="V4141" s="1" t="s">
        <v>7044</v>
      </c>
      <c r="W4141" s="1" t="s">
        <v>7045</v>
      </c>
      <c r="AR4141" s="1" t="str">
        <f t="shared" si="257"/>
        <v>| [ㄊㄨㄥˊ](ㄊㄨㄥˊ.md) | [垌](垌.md) |  | tóng | [名]
垌冢：地名。位於湖北省。 |</v>
      </c>
    </row>
    <row r="4142" spans="1:44" hidden="1">
      <c r="A4142" s="1" t="s">
        <v>7046</v>
      </c>
      <c r="C4142" s="1">
        <v>1</v>
      </c>
      <c r="D4142" s="1" t="str">
        <f>"02887"</f>
        <v>02887</v>
      </c>
      <c r="E4142" s="1" t="s">
        <v>28</v>
      </c>
      <c r="F4142" s="1">
        <v>9</v>
      </c>
      <c r="G4142" s="1">
        <v>6</v>
      </c>
      <c r="H4142" s="1">
        <v>0</v>
      </c>
      <c r="I4142" s="1" t="s">
        <v>7036</v>
      </c>
      <c r="K4142" s="1" t="str">
        <f t="shared" si="258"/>
        <v>ㄊ</v>
      </c>
      <c r="L4142" s="1" t="str">
        <f t="shared" si="259"/>
        <v>ㄨ</v>
      </c>
      <c r="M4142" s="1" t="str">
        <f t="shared" si="256"/>
        <v>ㄥ</v>
      </c>
      <c r="P4142" s="1" t="s">
        <v>20</v>
      </c>
      <c r="R4142" s="1" t="s">
        <v>7037</v>
      </c>
      <c r="V4142" s="1" t="s">
        <v>7047</v>
      </c>
      <c r="AR4142" s="1" t="str">
        <f t="shared" si="257"/>
        <v>| [ㄊㄨㄥˊ](ㄊㄨㄥˊ.md) | [哃](哃.md) |  | tóng | [動]
妄下言論。《玉篇．口部》：「哃，妄語也。」清．吳騫《拜經樓詩話》卷一：「正如里塾小兒學作對句，以字多者為能，盲師矜喝，瞽子哃疑，宜其謂七言最難合作，甚於五律也。」 |</v>
      </c>
    </row>
    <row r="4143" spans="1:44" hidden="1">
      <c r="A4143" s="1" t="s">
        <v>5894</v>
      </c>
      <c r="C4143" s="1">
        <v>1</v>
      </c>
      <c r="D4143" s="1" t="str">
        <f>"02888"</f>
        <v>02888</v>
      </c>
      <c r="E4143" s="1" t="s">
        <v>190</v>
      </c>
      <c r="F4143" s="1">
        <v>9</v>
      </c>
      <c r="G4143" s="1">
        <v>6</v>
      </c>
      <c r="H4143" s="1">
        <v>1</v>
      </c>
      <c r="I4143" s="1" t="s">
        <v>7036</v>
      </c>
      <c r="K4143" s="1" t="str">
        <f t="shared" si="258"/>
        <v>ㄊ</v>
      </c>
      <c r="L4143" s="1" t="str">
        <f t="shared" si="259"/>
        <v>ㄨ</v>
      </c>
      <c r="M4143" s="1" t="str">
        <f t="shared" si="256"/>
        <v>ㄥ</v>
      </c>
      <c r="P4143" s="1" t="s">
        <v>20</v>
      </c>
      <c r="R4143" s="1" t="s">
        <v>7037</v>
      </c>
      <c r="V4143" s="1" t="s">
        <v>7048</v>
      </c>
      <c r="W4143" s="1" t="s">
        <v>7049</v>
      </c>
      <c r="AR4143" s="1" t="str">
        <f t="shared" si="257"/>
        <v>| [ㄊㄨㄥˊ](ㄊㄨㄥˊ.md) | [峒](峒.md) |  | tóng | 參見「崆峒山」條。 |</v>
      </c>
    </row>
    <row r="4144" spans="1:44" hidden="1">
      <c r="A4144" s="1" t="s">
        <v>7050</v>
      </c>
      <c r="C4144" s="1">
        <v>1</v>
      </c>
      <c r="D4144" s="1" t="str">
        <f>"02889"</f>
        <v>02889</v>
      </c>
      <c r="E4144" s="1" t="s">
        <v>139</v>
      </c>
      <c r="F4144" s="1">
        <v>10</v>
      </c>
      <c r="G4144" s="1">
        <v>6</v>
      </c>
      <c r="H4144" s="1">
        <v>0</v>
      </c>
      <c r="I4144" s="1" t="s">
        <v>7036</v>
      </c>
      <c r="K4144" s="1" t="str">
        <f t="shared" si="258"/>
        <v>ㄊ</v>
      </c>
      <c r="L4144" s="1" t="str">
        <f t="shared" si="259"/>
        <v>ㄨ</v>
      </c>
      <c r="M4144" s="1" t="str">
        <f t="shared" si="256"/>
        <v>ㄥ</v>
      </c>
      <c r="P4144" s="1" t="s">
        <v>20</v>
      </c>
      <c r="R4144" s="1" t="s">
        <v>7037</v>
      </c>
      <c r="V4144" s="1" t="s">
        <v>7051</v>
      </c>
      <c r="AR4144" s="1" t="str">
        <f t="shared" si="257"/>
        <v>| [ㄊㄨㄥˊ](ㄊㄨㄥˊ.md) | [桐](桐.md) |  | tóng | 參見「泡桐」、「梧桐」、「油桐」等條。 |</v>
      </c>
    </row>
    <row r="4145" spans="1:44" hidden="1">
      <c r="A4145" s="1" t="s">
        <v>7052</v>
      </c>
      <c r="C4145" s="1">
        <v>1</v>
      </c>
      <c r="D4145" s="1" t="str">
        <f>"02890"</f>
        <v>02890</v>
      </c>
      <c r="E4145" s="1" t="s">
        <v>37</v>
      </c>
      <c r="F4145" s="1">
        <v>10</v>
      </c>
      <c r="G4145" s="1">
        <v>6</v>
      </c>
      <c r="H4145" s="1">
        <v>0</v>
      </c>
      <c r="I4145" s="1" t="s">
        <v>7036</v>
      </c>
      <c r="K4145" s="1" t="str">
        <f t="shared" si="258"/>
        <v>ㄊ</v>
      </c>
      <c r="L4145" s="1" t="str">
        <f t="shared" si="259"/>
        <v>ㄨ</v>
      </c>
      <c r="M4145" s="1" t="str">
        <f t="shared" si="256"/>
        <v>ㄥ</v>
      </c>
      <c r="P4145" s="1" t="s">
        <v>20</v>
      </c>
      <c r="R4145" s="1" t="s">
        <v>7037</v>
      </c>
      <c r="V4145" s="1" t="s">
        <v>7053</v>
      </c>
      <c r="AR4145" s="1" t="str">
        <f t="shared" si="257"/>
        <v>| [ㄊㄨㄥˊ](ㄊㄨㄥˊ.md) | [茼](茼.md) |  | tóng | 參見「茼蒿」條。 |</v>
      </c>
    </row>
    <row r="4146" spans="1:44" hidden="1">
      <c r="A4146" s="1" t="s">
        <v>7054</v>
      </c>
      <c r="C4146" s="1">
        <v>1</v>
      </c>
      <c r="D4146" s="1" t="str">
        <f>"02891"</f>
        <v>02891</v>
      </c>
      <c r="E4146" s="1" t="s">
        <v>1462</v>
      </c>
      <c r="F4146" s="1">
        <v>13</v>
      </c>
      <c r="G4146" s="1">
        <v>6</v>
      </c>
      <c r="H4146" s="1">
        <v>0</v>
      </c>
      <c r="I4146" s="1" t="s">
        <v>7036</v>
      </c>
      <c r="K4146" s="1" t="str">
        <f t="shared" si="258"/>
        <v>ㄊ</v>
      </c>
      <c r="L4146" s="1" t="str">
        <f t="shared" si="259"/>
        <v>ㄨ</v>
      </c>
      <c r="M4146" s="1" t="str">
        <f t="shared" si="256"/>
        <v>ㄥ</v>
      </c>
      <c r="P4146" s="1" t="s">
        <v>20</v>
      </c>
      <c r="R4146" s="1" t="s">
        <v>7037</v>
      </c>
      <c r="V4146" s="1" t="s">
        <v>7055</v>
      </c>
      <c r="AR4146" s="1" t="str">
        <f t="shared" si="257"/>
        <v>| [ㄊㄨㄥˊ](ㄊㄨㄥˊ.md) | [酮](酮.md) |  | tóng | [名]
含羰基的有機化合物。可從酸類的鈣鹽或鋇鹽乾餾而得，或由二級醇氧化而得。易起加成反應，可為優良溶劑，或為製造紡織品、油漆等的原料。 |</v>
      </c>
    </row>
    <row r="4147" spans="1:44" hidden="1">
      <c r="A4147" s="1" t="s">
        <v>7056</v>
      </c>
      <c r="C4147" s="1">
        <v>1</v>
      </c>
      <c r="D4147" s="1" t="str">
        <f>"02892"</f>
        <v>02892</v>
      </c>
      <c r="E4147" s="1" t="s">
        <v>55</v>
      </c>
      <c r="F4147" s="1">
        <v>14</v>
      </c>
      <c r="G4147" s="1">
        <v>6</v>
      </c>
      <c r="H4147" s="1">
        <v>0</v>
      </c>
      <c r="I4147" s="1" t="s">
        <v>7036</v>
      </c>
      <c r="K4147" s="1" t="str">
        <f t="shared" si="258"/>
        <v>ㄊ</v>
      </c>
      <c r="L4147" s="1" t="str">
        <f t="shared" si="259"/>
        <v>ㄨ</v>
      </c>
      <c r="M4147" s="1" t="str">
        <f t="shared" si="256"/>
        <v>ㄥ</v>
      </c>
      <c r="P4147" s="1" t="s">
        <v>20</v>
      </c>
      <c r="R4147" s="1" t="s">
        <v>7037</v>
      </c>
      <c r="V4147" s="1" t="s">
        <v>7057</v>
      </c>
      <c r="AR4147" s="1" t="str">
        <f t="shared" si="257"/>
        <v>| [ㄊㄨㄥˊ](ㄊㄨㄥˊ.md) | [銅](銅.md) |  | tóng | [名]_x000D_
（copper，Cu）化學元素。原子序29。金屬元素之一。呈紅棕色，柔韌有金屬光澤，富延展性，為良好的導電、導熱體。在潮溼空氣中，表面會慢慢氧化形成綠色的鹼式碳酸銅，俗稱為「銅綠」。易與其他金屬形成合金，今廣泛運用於工業、工程與藝術等方面，可製貨幣及種種器械等；亦可供製導線及電鑄板，為不可或缺的材料。 |</v>
      </c>
    </row>
    <row r="4148" spans="1:44" hidden="1">
      <c r="A4148" s="1" t="s">
        <v>7058</v>
      </c>
      <c r="C4148" s="1">
        <v>1</v>
      </c>
      <c r="D4148" s="1" t="str">
        <f>"02893"</f>
        <v>02893</v>
      </c>
      <c r="E4148" s="1" t="s">
        <v>156</v>
      </c>
      <c r="F4148" s="1">
        <v>17</v>
      </c>
      <c r="G4148" s="1">
        <v>6</v>
      </c>
      <c r="H4148" s="1">
        <v>0</v>
      </c>
      <c r="I4148" s="1" t="s">
        <v>7036</v>
      </c>
      <c r="K4148" s="1" t="str">
        <f t="shared" si="258"/>
        <v>ㄊ</v>
      </c>
      <c r="L4148" s="1" t="str">
        <f t="shared" si="259"/>
        <v>ㄨ</v>
      </c>
      <c r="M4148" s="1" t="str">
        <f t="shared" si="256"/>
        <v>ㄥ</v>
      </c>
      <c r="P4148" s="1" t="s">
        <v>20</v>
      </c>
      <c r="R4148" s="1" t="s">
        <v>7037</v>
      </c>
      <c r="V4148" s="1" t="s">
        <v>7059</v>
      </c>
      <c r="AR4148" s="1" t="str">
        <f t="shared" si="257"/>
        <v>| [ㄊㄨㄥˊ](ㄊㄨㄥˊ.md) | [鮦](鮦.md) |  | tóng | [名]
動物名。即鱧。鱧目鱧科。體呈圓柱狀，灰棕色或深褐色，腹部白色，背有暗褐色縱帶，側邊有大塊暗色斑紋。口大，頭部似蛇。肉食性。清．徐珂《清稗類鈔．動物類．鱧》：「鱧，可食，形長體圓，頭尾幾相等，細鱗黑色，有斑文，腹背兩鰭。……亦名鮦魚，俗名烏魚。」 |</v>
      </c>
    </row>
    <row r="4149" spans="1:44" hidden="1">
      <c r="A4149" s="1" t="s">
        <v>7060</v>
      </c>
      <c r="C4149" s="1">
        <v>1</v>
      </c>
      <c r="D4149" s="1" t="str">
        <f>"02894"</f>
        <v>02894</v>
      </c>
      <c r="E4149" s="1" t="s">
        <v>114</v>
      </c>
      <c r="F4149" s="1">
        <v>7</v>
      </c>
      <c r="G4149" s="1">
        <v>5</v>
      </c>
      <c r="H4149" s="1">
        <v>0</v>
      </c>
      <c r="I4149" s="1" t="s">
        <v>7036</v>
      </c>
      <c r="K4149" s="1" t="str">
        <f t="shared" si="258"/>
        <v>ㄊ</v>
      </c>
      <c r="L4149" s="1" t="str">
        <f t="shared" si="259"/>
        <v>ㄨ</v>
      </c>
      <c r="M4149" s="1" t="str">
        <f t="shared" si="256"/>
        <v>ㄥ</v>
      </c>
      <c r="P4149" s="1" t="s">
        <v>20</v>
      </c>
      <c r="R4149" s="1" t="s">
        <v>7037</v>
      </c>
      <c r="V4149" s="1" t="s">
        <v>7061</v>
      </c>
      <c r="AR4149" s="1" t="str">
        <f t="shared" si="257"/>
        <v>| [ㄊㄨㄥˊ](ㄊㄨㄥˊ.md) | [佟](佟.md) |  | tóng | [名]
姓。如清代有佟世南。 |</v>
      </c>
    </row>
    <row r="4150" spans="1:44" hidden="1">
      <c r="A4150" s="1" t="s">
        <v>7062</v>
      </c>
      <c r="C4150" s="1">
        <v>1</v>
      </c>
      <c r="D4150" s="1" t="str">
        <f>"02895"</f>
        <v>02895</v>
      </c>
      <c r="E4150" s="1" t="s">
        <v>1335</v>
      </c>
      <c r="F4150" s="1">
        <v>7</v>
      </c>
      <c r="G4150" s="1">
        <v>4</v>
      </c>
      <c r="H4150" s="1">
        <v>0</v>
      </c>
      <c r="I4150" s="1" t="s">
        <v>7036</v>
      </c>
      <c r="K4150" s="1" t="str">
        <f t="shared" si="258"/>
        <v>ㄊ</v>
      </c>
      <c r="L4150" s="1" t="str">
        <f t="shared" si="259"/>
        <v>ㄨ</v>
      </c>
      <c r="M4150" s="1" t="str">
        <f t="shared" si="256"/>
        <v>ㄥ</v>
      </c>
      <c r="P4150" s="1" t="s">
        <v>20</v>
      </c>
      <c r="R4150" s="1" t="s">
        <v>7037</v>
      </c>
      <c r="V4150" s="1" t="s">
        <v>7063</v>
      </c>
      <c r="AR4150" s="1" t="str">
        <f t="shared" si="257"/>
        <v>| [ㄊㄨㄥˊ](ㄊㄨㄥˊ.md) | [彤](彤.md) |  | tóng | [動]
用紅色顏料塗飾器物。《說文解字．彡部》：「彤，丹飾也。」漢．桓寬《鹽鐵論．散不足》：「唯瑚璉觴豆，而後彫文彤漆。」
[形]
赤紅色的。《詩經．邶風．靜女》：「靜女其孌，貽我彤管。」宋．李清照〈減字木蘭花．賣花擔上〉詞：「賣花擔上，買得一枝春欲放，淚染輕勻，猶帶彤霞曉露痕。」
[名]
姓。如周代有彤伯。 |</v>
      </c>
    </row>
    <row r="4151" spans="1:44" hidden="1">
      <c r="A4151" s="1" t="s">
        <v>7064</v>
      </c>
      <c r="C4151" s="1">
        <v>1</v>
      </c>
      <c r="D4151" s="1" t="str">
        <f>"02896"</f>
        <v>02896</v>
      </c>
      <c r="E4151" s="1" t="s">
        <v>5784</v>
      </c>
      <c r="F4151" s="1">
        <v>12</v>
      </c>
      <c r="G4151" s="1">
        <v>7</v>
      </c>
      <c r="H4151" s="1">
        <v>0</v>
      </c>
      <c r="I4151" s="1" t="s">
        <v>7036</v>
      </c>
      <c r="K4151" s="1" t="str">
        <f t="shared" si="258"/>
        <v>ㄊ</v>
      </c>
      <c r="L4151" s="1" t="str">
        <f t="shared" si="259"/>
        <v>ㄨ</v>
      </c>
      <c r="M4151" s="1" t="str">
        <f t="shared" si="256"/>
        <v>ㄥ</v>
      </c>
      <c r="P4151" s="1" t="s">
        <v>20</v>
      </c>
      <c r="R4151" s="1" t="s">
        <v>7037</v>
      </c>
      <c r="V4151" s="1" t="s">
        <v>7065</v>
      </c>
      <c r="AR4151" s="1" t="str">
        <f t="shared" si="257"/>
        <v>| [ㄊㄨㄥˊ](ㄊㄨㄥˊ.md) | [童](童.md) |  | tóng | [名]
1.古代獲罪入官為奴的男子。《說文解字．䇂部》：「童，男有辠曰奴，奴曰童，女曰妾。」《漢書．卷九一．貨殖傳．巴寡婦淸》：「羊彘千雙，童手指千。」顏師古注引孟康曰：「童，奴婢也。」
2.未成年的僕役。通「僮」。如：「書童」、「家童」。晉．李密〈陳情表〉：「內無應門五尺之僮。」
3.小孩，未成年的人。如：「牧童」、「兒童」、「童叟無欺」。《孟子．盡心上》：「孩提之童，無不知愛其親者。」
4.愚昧、無知的人。《國語．晉語四》：「聾聵不可使聽，童昏不可使謀。」
5.姓。如漢代有童仲玉。
[形]
1.幼小的、年幼的。如：「童玩」、「童裝」。《續漢書志．第一三．五行志一》：「桓帝之初，京都童謠曰：『城上烏，尾畢逋。公為吏，子為徒。』」
2.未成年的、未曾有性行為經歷的。如：「童男」、「童女」、「童貞」。
3.光禿的。如：「童山濯濯」。唐．韓愈〈進學解〉：「頭童齒豁，竟死何裨。」 |</v>
      </c>
    </row>
    <row r="4152" spans="1:44" hidden="1">
      <c r="A4152" s="1" t="s">
        <v>7066</v>
      </c>
      <c r="C4152" s="1">
        <v>1</v>
      </c>
      <c r="D4152" s="1" t="str">
        <f>"02897"</f>
        <v>02897</v>
      </c>
      <c r="E4152" s="1" t="s">
        <v>114</v>
      </c>
      <c r="F4152" s="1">
        <v>14</v>
      </c>
      <c r="G4152" s="1">
        <v>12</v>
      </c>
      <c r="H4152" s="1">
        <v>1</v>
      </c>
      <c r="I4152" s="1" t="s">
        <v>7036</v>
      </c>
      <c r="K4152" s="1" t="str">
        <f t="shared" si="258"/>
        <v>ㄊ</v>
      </c>
      <c r="L4152" s="1" t="str">
        <f t="shared" si="259"/>
        <v>ㄨ</v>
      </c>
      <c r="M4152" s="1" t="str">
        <f t="shared" si="256"/>
        <v>ㄥ</v>
      </c>
      <c r="P4152" s="1" t="s">
        <v>20</v>
      </c>
      <c r="R4152" s="1" t="s">
        <v>7037</v>
      </c>
      <c r="V4152" s="1" t="s">
        <v>7067</v>
      </c>
      <c r="W4152" s="1" t="s">
        <v>7068</v>
      </c>
      <c r="AR4152" s="1" t="str">
        <f t="shared" si="257"/>
        <v>| [ㄊㄨㄥˊ](ㄊㄨㄥˊ.md) | [僮](僮.md) |  | tóng | [名]
1.未成年的人。《說文解字．人部》：「僮，未冠也。」《左傳．哀公十一年》：「公為與其嬖僮汪錡乘皆死，皆殯。孔子曰：『能執干戈以衛社稷，可無殤也。』」唐．陸德明《經典釋文．卷二〇．春秋左氏音義之六》：「八歲至十九歲為殤。」
2.奴僕、奴婢。如：「家僮」、「書僮」。《文選．李密．陳情表》：「外無期功強近之親，內無應門五尺之僮。」唐．柳宗元〈三戒．永某氏之鼠〉：「購僮羅捕之，殺鼠如丘。」
3.姓。如漢代有僮尹。 |</v>
      </c>
    </row>
    <row r="4153" spans="1:44" hidden="1">
      <c r="A4153" s="1" t="s">
        <v>7069</v>
      </c>
      <c r="C4153" s="1">
        <v>1</v>
      </c>
      <c r="D4153" s="1" t="str">
        <f>"02898"</f>
        <v>02898</v>
      </c>
      <c r="E4153" s="1" t="s">
        <v>129</v>
      </c>
      <c r="F4153" s="1">
        <v>15</v>
      </c>
      <c r="G4153" s="1">
        <v>12</v>
      </c>
      <c r="H4153" s="1">
        <v>0</v>
      </c>
      <c r="I4153" s="1" t="s">
        <v>7036</v>
      </c>
      <c r="K4153" s="1" t="str">
        <f t="shared" si="258"/>
        <v>ㄊ</v>
      </c>
      <c r="L4153" s="1" t="str">
        <f t="shared" si="259"/>
        <v>ㄨ</v>
      </c>
      <c r="M4153" s="1" t="str">
        <f t="shared" si="256"/>
        <v>ㄥ</v>
      </c>
      <c r="P4153" s="1" t="s">
        <v>20</v>
      </c>
      <c r="R4153" s="1" t="s">
        <v>7037</v>
      </c>
      <c r="V4153" s="1" t="s">
        <v>7070</v>
      </c>
      <c r="AR4153" s="1" t="str">
        <f t="shared" si="257"/>
        <v>| [ㄊㄨㄥˊ](ㄊㄨㄥˊ.md) | [潼](潼.md) |  | tóng | 參見「潼潼」、「潼關」等條。 |</v>
      </c>
    </row>
    <row r="4154" spans="1:44" hidden="1">
      <c r="A4154" s="1" t="s">
        <v>7071</v>
      </c>
      <c r="C4154" s="1">
        <v>1</v>
      </c>
      <c r="D4154" s="1" t="str">
        <f>"02899"</f>
        <v>02899</v>
      </c>
      <c r="E4154" s="1" t="s">
        <v>1703</v>
      </c>
      <c r="F4154" s="1">
        <v>16</v>
      </c>
      <c r="G4154" s="1">
        <v>12</v>
      </c>
      <c r="H4154" s="1">
        <v>0</v>
      </c>
      <c r="I4154" s="1" t="s">
        <v>7036</v>
      </c>
      <c r="K4154" s="1" t="str">
        <f t="shared" si="258"/>
        <v>ㄊ</v>
      </c>
      <c r="L4154" s="1" t="str">
        <f t="shared" si="259"/>
        <v>ㄨ</v>
      </c>
      <c r="M4154" s="1" t="str">
        <f t="shared" si="256"/>
        <v>ㄥ</v>
      </c>
      <c r="P4154" s="1" t="s">
        <v>20</v>
      </c>
      <c r="R4154" s="1" t="s">
        <v>7037</v>
      </c>
      <c r="V4154" s="1" t="s">
        <v>7072</v>
      </c>
      <c r="AR4154" s="1" t="str">
        <f t="shared" si="257"/>
        <v>| [ㄊㄨㄥˊ](ㄊㄨㄥˊ.md) | [氃](氃.md) |  | tóng | 參見「氋氃」、「氃氋」等條。 |</v>
      </c>
    </row>
    <row r="4155" spans="1:44" hidden="1">
      <c r="A4155" s="1" t="s">
        <v>7073</v>
      </c>
      <c r="C4155" s="1">
        <v>1</v>
      </c>
      <c r="D4155" s="1" t="str">
        <f>"02900"</f>
        <v>02900</v>
      </c>
      <c r="E4155" s="1" t="s">
        <v>139</v>
      </c>
      <c r="F4155" s="1">
        <v>16</v>
      </c>
      <c r="G4155" s="1">
        <v>12</v>
      </c>
      <c r="H4155" s="1">
        <v>1</v>
      </c>
      <c r="I4155" s="1" t="s">
        <v>7036</v>
      </c>
      <c r="K4155" s="1" t="str">
        <f t="shared" si="258"/>
        <v>ㄊ</v>
      </c>
      <c r="L4155" s="1" t="str">
        <f t="shared" si="259"/>
        <v>ㄨ</v>
      </c>
      <c r="M4155" s="1" t="str">
        <f t="shared" si="256"/>
        <v>ㄥ</v>
      </c>
      <c r="P4155" s="1" t="s">
        <v>20</v>
      </c>
      <c r="R4155" s="1" t="s">
        <v>7037</v>
      </c>
      <c r="V4155" s="1" t="s">
        <v>7074</v>
      </c>
      <c r="W4155" s="1" t="s">
        <v>7075</v>
      </c>
      <c r="AR4155" s="1" t="str">
        <f t="shared" si="257"/>
        <v>| [ㄊㄨㄥˊ](ㄊㄨㄥˊ.md) | [橦](橦.md) |  | tóng | [名]
一種樹木。其花可織為布。《廣韻．平聲．東韻》：「橦，木名。花可為布。」 |</v>
      </c>
    </row>
    <row r="4156" spans="1:44" hidden="1">
      <c r="A4156" s="1" t="s">
        <v>7076</v>
      </c>
      <c r="C4156" s="1">
        <v>1</v>
      </c>
      <c r="D4156" s="1" t="str">
        <f>"02901"</f>
        <v>02901</v>
      </c>
      <c r="E4156" s="1" t="s">
        <v>646</v>
      </c>
      <c r="F4156" s="1">
        <v>16</v>
      </c>
      <c r="G4156" s="1">
        <v>12</v>
      </c>
      <c r="H4156" s="1">
        <v>0</v>
      </c>
      <c r="I4156" s="1" t="s">
        <v>7036</v>
      </c>
      <c r="K4156" s="1" t="str">
        <f t="shared" si="258"/>
        <v>ㄊ</v>
      </c>
      <c r="L4156" s="1" t="str">
        <f t="shared" si="259"/>
        <v>ㄨ</v>
      </c>
      <c r="M4156" s="1" t="str">
        <f t="shared" si="256"/>
        <v>ㄥ</v>
      </c>
      <c r="P4156" s="1" t="s">
        <v>20</v>
      </c>
      <c r="R4156" s="1" t="s">
        <v>7037</v>
      </c>
      <c r="V4156" s="1" t="s">
        <v>7077</v>
      </c>
      <c r="AR4156" s="1" t="str">
        <f t="shared" si="257"/>
        <v>| [ㄊㄨㄥˊ](ㄊㄨㄥˊ.md) | [曈](曈.md) |  | tóng | 參見「曈曈」、「曈曨」等條。 |</v>
      </c>
    </row>
    <row r="4157" spans="1:44" hidden="1">
      <c r="A4157" s="1" t="s">
        <v>7078</v>
      </c>
      <c r="C4157" s="1">
        <v>1</v>
      </c>
      <c r="D4157" s="1" t="str">
        <f>"02902"</f>
        <v>02902</v>
      </c>
      <c r="E4157" s="1" t="s">
        <v>2014</v>
      </c>
      <c r="F4157" s="1">
        <v>16</v>
      </c>
      <c r="G4157" s="1">
        <v>12</v>
      </c>
      <c r="H4157" s="1">
        <v>0</v>
      </c>
      <c r="I4157" s="1" t="s">
        <v>7036</v>
      </c>
      <c r="K4157" s="1" t="str">
        <f t="shared" si="258"/>
        <v>ㄊ</v>
      </c>
      <c r="L4157" s="1" t="str">
        <f t="shared" si="259"/>
        <v>ㄨ</v>
      </c>
      <c r="M4157" s="1" t="str">
        <f t="shared" si="256"/>
        <v>ㄥ</v>
      </c>
      <c r="P4157" s="1" t="s">
        <v>20</v>
      </c>
      <c r="R4157" s="1" t="s">
        <v>7037</v>
      </c>
      <c r="V4157" s="1" t="s">
        <v>7079</v>
      </c>
      <c r="AR4157" s="1" t="str">
        <f t="shared" si="257"/>
        <v>| [ㄊㄨㄥˊ](ㄊㄨㄥˊ.md) | [朣](朣.md) |  | tóng | 參見「朣朦」、「朣朧」等條。 |</v>
      </c>
    </row>
    <row r="4158" spans="1:44" hidden="1">
      <c r="A4158" s="1" t="s">
        <v>7080</v>
      </c>
      <c r="C4158" s="1">
        <v>1</v>
      </c>
      <c r="D4158" s="1" t="str">
        <f>"02903"</f>
        <v>02903</v>
      </c>
      <c r="E4158" s="1" t="s">
        <v>1015</v>
      </c>
      <c r="F4158" s="1">
        <v>17</v>
      </c>
      <c r="G4158" s="1">
        <v>12</v>
      </c>
      <c r="H4158" s="1">
        <v>0</v>
      </c>
      <c r="I4158" s="1" t="s">
        <v>7036</v>
      </c>
      <c r="K4158" s="1" t="str">
        <f t="shared" si="258"/>
        <v>ㄊ</v>
      </c>
      <c r="L4158" s="1" t="str">
        <f t="shared" si="259"/>
        <v>ㄨ</v>
      </c>
      <c r="M4158" s="1" t="str">
        <f t="shared" ref="M4158:M4170" si="260">MID(I4158, 3, 1)</f>
        <v>ㄥ</v>
      </c>
      <c r="P4158" s="1" t="s">
        <v>20</v>
      </c>
      <c r="R4158" s="1" t="s">
        <v>7037</v>
      </c>
      <c r="V4158" s="1" t="s">
        <v>7081</v>
      </c>
      <c r="AR4158" s="1" t="str">
        <f t="shared" si="257"/>
        <v>| [ㄊㄨㄥˊ](ㄊㄨㄥˊ.md) | [瞳](瞳.md) |  | tóng | [名]
眼珠。如：「瞳孔」、「瞳仁」。《史記．卷七．項羽本紀．太史公曰》：「吾聞之周生曰：『舜目蓋重瞳子』，又聞項羽亦重瞳子。」唐．李白〈登廣武古戰場懷古〉詩：「項王氣蓋世，紫電明雙瞳。」 |</v>
      </c>
    </row>
    <row r="4159" spans="1:44" hidden="1">
      <c r="A4159" s="1" t="s">
        <v>7082</v>
      </c>
      <c r="C4159" s="1">
        <v>1</v>
      </c>
      <c r="D4159" s="1" t="str">
        <f>"02904"</f>
        <v>02904</v>
      </c>
      <c r="E4159" s="1" t="s">
        <v>118</v>
      </c>
      <c r="F4159" s="1">
        <v>17</v>
      </c>
      <c r="G4159" s="1">
        <v>12</v>
      </c>
      <c r="H4159" s="1">
        <v>1</v>
      </c>
      <c r="I4159" s="1" t="s">
        <v>7036</v>
      </c>
      <c r="K4159" s="1" t="str">
        <f t="shared" si="258"/>
        <v>ㄊ</v>
      </c>
      <c r="L4159" s="1" t="str">
        <f t="shared" si="259"/>
        <v>ㄨ</v>
      </c>
      <c r="M4159" s="1" t="str">
        <f t="shared" si="260"/>
        <v>ㄥ</v>
      </c>
      <c r="P4159" s="1" t="s">
        <v>20</v>
      </c>
      <c r="R4159" s="1" t="s">
        <v>7037</v>
      </c>
      <c r="V4159" s="1" t="s">
        <v>7083</v>
      </c>
      <c r="W4159" s="1" t="s">
        <v>7084</v>
      </c>
      <c r="AR4159" s="1" t="str">
        <f t="shared" si="257"/>
        <v>| [ㄊㄨㄥˊ](ㄊㄨㄥˊ.md) | [罿](罿.md) |  | tóng | [名]
一種用來捕捉鳥獸的網。《詩經．王風．兔爰》：「有兔爰爰，雉離于罿。」《文選．張華．鷦鷯賦》：「鷹鸇過猶俄翼，尚何懼於罿罻？」唐．李善．注：「罿、罻皆網也。」 |</v>
      </c>
    </row>
    <row r="4160" spans="1:44" hidden="1">
      <c r="A4160" s="1" t="s">
        <v>7085</v>
      </c>
      <c r="C4160" s="1">
        <v>1</v>
      </c>
      <c r="D4160" s="1" t="str">
        <f>"02905"</f>
        <v>02905</v>
      </c>
      <c r="E4160" s="1" t="s">
        <v>429</v>
      </c>
      <c r="F4160" s="1">
        <v>17</v>
      </c>
      <c r="G4160" s="1">
        <v>12</v>
      </c>
      <c r="H4160" s="1">
        <v>0</v>
      </c>
      <c r="I4160" s="1" t="s">
        <v>7036</v>
      </c>
      <c r="K4160" s="1" t="str">
        <f t="shared" si="258"/>
        <v>ㄊ</v>
      </c>
      <c r="L4160" s="1" t="str">
        <f t="shared" si="259"/>
        <v>ㄨ</v>
      </c>
      <c r="M4160" s="1" t="str">
        <f t="shared" si="260"/>
        <v>ㄥ</v>
      </c>
      <c r="P4160" s="1" t="s">
        <v>20</v>
      </c>
      <c r="R4160" s="1" t="s">
        <v>7037</v>
      </c>
      <c r="V4160" s="1" t="s">
        <v>7086</v>
      </c>
      <c r="AR4160" s="1" t="str">
        <f t="shared" si="257"/>
        <v>| [ㄊㄨㄥˊ](ㄊㄨㄥˊ.md) | [穜](穜.md) |  | tóng | [名]
先種後熟的農作物。《周禮．天官．內宰》：「上春，詔王后帥六宮之人而生穜稑之種，而獻之于王。」鄭玄注引鄭司農云：「先種後孰謂之穜，後種先孰謂之稑。」 |</v>
      </c>
    </row>
    <row r="4161" spans="1:44" hidden="1">
      <c r="A4161" s="1" t="s">
        <v>7087</v>
      </c>
      <c r="C4161" s="1">
        <v>1</v>
      </c>
      <c r="D4161" s="1" t="str">
        <f>"02906"</f>
        <v>02906</v>
      </c>
      <c r="E4161" s="1" t="s">
        <v>181</v>
      </c>
      <c r="F4161" s="1">
        <v>18</v>
      </c>
      <c r="G4161" s="1">
        <v>12</v>
      </c>
      <c r="H4161" s="1">
        <v>0</v>
      </c>
      <c r="I4161" s="1" t="s">
        <v>7036</v>
      </c>
      <c r="K4161" s="1" t="str">
        <f t="shared" si="258"/>
        <v>ㄊ</v>
      </c>
      <c r="L4161" s="1" t="str">
        <f t="shared" si="259"/>
        <v>ㄨ</v>
      </c>
      <c r="M4161" s="1" t="str">
        <f t="shared" si="260"/>
        <v>ㄥ</v>
      </c>
      <c r="P4161" s="1" t="s">
        <v>20</v>
      </c>
      <c r="R4161" s="1" t="s">
        <v>7037</v>
      </c>
      <c r="V4161" s="1" t="s">
        <v>3296</v>
      </c>
      <c r="AR4161" s="1" t="str">
        <f t="shared" si="257"/>
        <v>| [ㄊㄨㄥˊ](ㄊㄨㄥˊ.md) | [艟](艟.md) |  | tóng | 參見「艨艟」條。 |</v>
      </c>
    </row>
    <row r="4162" spans="1:44" hidden="1">
      <c r="A4162" s="1" t="s">
        <v>7088</v>
      </c>
      <c r="C4162" s="1">
        <v>1</v>
      </c>
      <c r="D4162" s="1" t="str">
        <f>"02907"</f>
        <v>02907</v>
      </c>
      <c r="E4162" s="1" t="s">
        <v>6340</v>
      </c>
      <c r="F4162" s="1">
        <v>13</v>
      </c>
      <c r="G4162" s="1">
        <v>6</v>
      </c>
      <c r="H4162" s="1">
        <v>0</v>
      </c>
      <c r="I4162" s="1" t="s">
        <v>7036</v>
      </c>
      <c r="K4162" s="1" t="str">
        <f t="shared" si="258"/>
        <v>ㄊ</v>
      </c>
      <c r="L4162" s="1" t="str">
        <f t="shared" si="259"/>
        <v>ㄨ</v>
      </c>
      <c r="M4162" s="1" t="str">
        <f t="shared" si="260"/>
        <v>ㄥ</v>
      </c>
      <c r="P4162" s="1" t="s">
        <v>20</v>
      </c>
      <c r="R4162" s="1" t="s">
        <v>7037</v>
      </c>
      <c r="V4162" s="1" t="s">
        <v>7089</v>
      </c>
      <c r="AR4162" s="1" t="str">
        <f t="shared" si="257"/>
        <v>| [ㄊㄨㄥˊ](ㄊㄨㄥˊ.md) | [赨](赨.md) |  | tóng | [形]
紅色。《管子．地員》：「其種大苗，細苗，赨莖，黑秀，箭長。」唐．尹知章．注：「赨，即赤也。」 |</v>
      </c>
    </row>
    <row r="4163" spans="1:44" hidden="1">
      <c r="A4163" s="1" t="s">
        <v>7090</v>
      </c>
      <c r="C4163" s="1">
        <v>1</v>
      </c>
      <c r="D4163" s="1" t="str">
        <f>"02908"</f>
        <v>02908</v>
      </c>
      <c r="E4163" s="1" t="s">
        <v>24</v>
      </c>
      <c r="F4163" s="1">
        <v>10</v>
      </c>
      <c r="G4163" s="1">
        <v>7</v>
      </c>
      <c r="H4163" s="1">
        <v>0</v>
      </c>
      <c r="I4163" s="1" t="s">
        <v>7091</v>
      </c>
      <c r="K4163" s="1" t="str">
        <f t="shared" si="258"/>
        <v>ㄊ</v>
      </c>
      <c r="L4163" s="1" t="str">
        <f t="shared" si="259"/>
        <v>ㄨ</v>
      </c>
      <c r="M4163" s="1" t="str">
        <f t="shared" si="260"/>
        <v>ㄥ</v>
      </c>
      <c r="P4163" s="1" t="s">
        <v>20</v>
      </c>
      <c r="R4163" s="1" t="s">
        <v>7092</v>
      </c>
      <c r="V4163" s="1" t="s">
        <v>7093</v>
      </c>
      <c r="AR4163" s="1" t="str">
        <f t="shared" ref="AR4163:AR4226" si="261">"| ["&amp;I4163&amp;"]("&amp;I4163&amp;".md) | ["&amp;A4163&amp;"]("&amp;A4163&amp;".md) | "&amp;" | "&amp;R4163&amp;" | "&amp;V4163&amp;" |"</f>
        <v>| [ㄊㄨㄥˇ](ㄊㄨㄥˇ.md) | [捅](捅.md) |  | tǒng | [動]
1.戳、刺扎。如：「捅穿」、「捅破」、「他無故被捅了一刀。」、「這孩子把紙窗捅了一個窟窿。」
2.說穿、揭露。如：「他將所有的事情都捅了出來。」
3.招惹。如：「捅婁子」、「捅馬蜂窩」。 |</v>
      </c>
    </row>
    <row r="4164" spans="1:44" hidden="1">
      <c r="A4164" s="1" t="s">
        <v>7094</v>
      </c>
      <c r="C4164" s="1">
        <v>1</v>
      </c>
      <c r="D4164" s="1" t="str">
        <f>"02909"</f>
        <v>02909</v>
      </c>
      <c r="E4164" s="1" t="s">
        <v>139</v>
      </c>
      <c r="F4164" s="1">
        <v>11</v>
      </c>
      <c r="G4164" s="1">
        <v>7</v>
      </c>
      <c r="H4164" s="1">
        <v>0</v>
      </c>
      <c r="I4164" s="1" t="s">
        <v>7091</v>
      </c>
      <c r="K4164" s="1" t="str">
        <f t="shared" si="258"/>
        <v>ㄊ</v>
      </c>
      <c r="L4164" s="1" t="str">
        <f t="shared" si="259"/>
        <v>ㄨ</v>
      </c>
      <c r="M4164" s="1" t="str">
        <f t="shared" si="260"/>
        <v>ㄥ</v>
      </c>
      <c r="P4164" s="1" t="s">
        <v>20</v>
      </c>
      <c r="R4164" s="1" t="s">
        <v>7092</v>
      </c>
      <c r="V4164" s="1" t="s">
        <v>7095</v>
      </c>
      <c r="AR4164" s="1" t="str">
        <f t="shared" si="261"/>
        <v>| [ㄊㄨㄥˇ](ㄊㄨㄥˇ.md) | [桶](桶.md) |  | tǒng | [名]
1.圓形的盛物器。如：「木桶」、「水桶」、「汽油桶」。
2.量詞。計算桶裝物的單位。如：「一桶水」、「兩桶汽油」。 |</v>
      </c>
    </row>
    <row r="4165" spans="1:44" hidden="1">
      <c r="A4165" s="1" t="s">
        <v>7096</v>
      </c>
      <c r="C4165" s="1">
        <v>1</v>
      </c>
      <c r="D4165" s="1" t="str">
        <f>"02910"</f>
        <v>02910</v>
      </c>
      <c r="E4165" s="1" t="s">
        <v>725</v>
      </c>
      <c r="F4165" s="1">
        <v>11</v>
      </c>
      <c r="G4165" s="1">
        <v>5</v>
      </c>
      <c r="H4165" s="1">
        <v>0</v>
      </c>
      <c r="I4165" s="1" t="s">
        <v>7091</v>
      </c>
      <c r="K4165" s="1" t="str">
        <f t="shared" si="258"/>
        <v>ㄊ</v>
      </c>
      <c r="L4165" s="1" t="str">
        <f t="shared" si="259"/>
        <v>ㄨ</v>
      </c>
      <c r="M4165" s="1" t="str">
        <f t="shared" si="260"/>
        <v>ㄥ</v>
      </c>
      <c r="P4165" s="1" t="s">
        <v>20</v>
      </c>
      <c r="R4165" s="1" t="s">
        <v>7092</v>
      </c>
      <c r="V4165" s="1" t="s">
        <v>7097</v>
      </c>
      <c r="AR4165" s="1" t="str">
        <f t="shared" si="261"/>
        <v>| [ㄊㄨㄥˇ](ㄊㄨㄥˇ.md) | [統](統.md) |  | tǒng | [名]
1.絲的頭緒。《淮南子．泰族》：「繭之性為絲，然非得工女煮以熱湯而抽其統紀，則不能成絲。」
2.相繼不絕的體系、關係。如：「血統」、「傳統」、「法統」。《戰國策．秦策三》：「天下繼其統，守其業，傳之無窮。」
3.綱紀、綱要。《荀子．臣道》：「端慤以為統，禮義以為文。」
4.姓。如元代有統古興。
[動]
率領、總理。如：「統率」。《戰國策．齊策四》：「願君顧先王之宗廟，姑反國統萬人乎。」《三國演義》第二回：「張梁統其眾，與我軍相拒。」
[副]
總合、綜合。如：「統計」、「統謀」、「統籌」、「統稱」。宋．朱熹《大學章句》：「前四章統論綱領旨趣，後六章細論條目功夫。」
[形]
圓而中空。通「筒」。如：「短統襪」、「長統馬靴」。 |</v>
      </c>
    </row>
    <row r="4166" spans="1:44" hidden="1">
      <c r="A4166" s="1" t="s">
        <v>7098</v>
      </c>
      <c r="C4166" s="1">
        <v>1</v>
      </c>
      <c r="D4166" s="1" t="str">
        <f>"02911"</f>
        <v>02911</v>
      </c>
      <c r="E4166" s="1" t="s">
        <v>49</v>
      </c>
      <c r="F4166" s="1">
        <v>12</v>
      </c>
      <c r="G4166" s="1">
        <v>6</v>
      </c>
      <c r="H4166" s="1">
        <v>0</v>
      </c>
      <c r="I4166" s="1" t="s">
        <v>7091</v>
      </c>
      <c r="K4166" s="1" t="str">
        <f t="shared" si="258"/>
        <v>ㄊ</v>
      </c>
      <c r="L4166" s="1" t="str">
        <f t="shared" si="259"/>
        <v>ㄨ</v>
      </c>
      <c r="M4166" s="1" t="str">
        <f t="shared" si="260"/>
        <v>ㄥ</v>
      </c>
      <c r="P4166" s="1" t="s">
        <v>20</v>
      </c>
      <c r="R4166" s="1" t="s">
        <v>7092</v>
      </c>
      <c r="V4166" s="1" t="s">
        <v>7099</v>
      </c>
      <c r="AR4166" s="1" t="str">
        <f t="shared" si="261"/>
        <v>| [ㄊㄨㄥˇ](ㄊㄨㄥˇ.md) | [筒](筒.md) |  | tǒng | [名]
1.竹管。漢．王充《論衡．量知》：「截竹為筒，破以為牒，加筆墨之跡，乃成文字。」唐．杜甫〈引水〉詩：「白帝城西萬竹蟠，接筒引水喉不乾。」
2.中空的管狀物。如：「筆筒」、「煙筒」、「火箭筒」。
3.量詞。計算筒裝物的單位。如：「每張桌子有一筒筷子。」 |</v>
      </c>
    </row>
    <row r="4167" spans="1:44" hidden="1">
      <c r="A4167" s="1" t="s">
        <v>7035</v>
      </c>
      <c r="C4167" s="1">
        <v>1</v>
      </c>
      <c r="D4167" s="1" t="str">
        <f>"02912"</f>
        <v>02912</v>
      </c>
      <c r="E4167" s="1" t="s">
        <v>28</v>
      </c>
      <c r="F4167" s="1">
        <v>6</v>
      </c>
      <c r="G4167" s="1">
        <v>3</v>
      </c>
      <c r="H4167" s="1">
        <v>2</v>
      </c>
      <c r="I4167" s="1" t="s">
        <v>7100</v>
      </c>
      <c r="K4167" s="1" t="str">
        <f t="shared" si="258"/>
        <v>ㄊ</v>
      </c>
      <c r="L4167" s="1" t="str">
        <f t="shared" si="259"/>
        <v>ㄨ</v>
      </c>
      <c r="M4167" s="1" t="str">
        <f t="shared" si="260"/>
        <v>ㄥ</v>
      </c>
      <c r="P4167" s="1" t="s">
        <v>20</v>
      </c>
      <c r="R4167" s="1" t="s">
        <v>7101</v>
      </c>
      <c r="V4167" s="1" t="s">
        <v>7102</v>
      </c>
      <c r="W4167" s="1" t="s">
        <v>7103</v>
      </c>
      <c r="AR4167" s="1" t="str">
        <f t="shared" si="261"/>
        <v>| [ㄊㄨㄥˋ](ㄊㄨㄥˋ.md) | [同](同.md) |  | tòng | [名]
巷弄、小街道。如：「胡同」。 |</v>
      </c>
    </row>
    <row r="4168" spans="1:44" hidden="1">
      <c r="A4168" s="1" t="s">
        <v>7104</v>
      </c>
      <c r="C4168" s="1">
        <v>1</v>
      </c>
      <c r="D4168" s="1" t="str">
        <f>"02913"</f>
        <v>02913</v>
      </c>
      <c r="E4168" s="1" t="s">
        <v>7105</v>
      </c>
      <c r="F4168" s="1">
        <v>12</v>
      </c>
      <c r="G4168" s="1">
        <v>6</v>
      </c>
      <c r="H4168" s="1">
        <v>0</v>
      </c>
      <c r="I4168" s="1" t="s">
        <v>7100</v>
      </c>
      <c r="K4168" s="1" t="str">
        <f t="shared" si="258"/>
        <v>ㄊ</v>
      </c>
      <c r="L4168" s="1" t="str">
        <f t="shared" si="259"/>
        <v>ㄨ</v>
      </c>
      <c r="M4168" s="1" t="str">
        <f t="shared" si="260"/>
        <v>ㄥ</v>
      </c>
      <c r="P4168" s="1" t="s">
        <v>20</v>
      </c>
      <c r="R4168" s="1" t="s">
        <v>7101</v>
      </c>
      <c r="V4168" s="1" t="s">
        <v>7106</v>
      </c>
      <c r="AR4168" s="1" t="str">
        <f t="shared" si="261"/>
        <v>| [ㄊㄨㄥˋ](ㄊㄨㄥˋ.md) | [衕](衕.md) |  | tòng | [名]
參見「衚衕」條。 |</v>
      </c>
    </row>
    <row r="4169" spans="1:44" hidden="1">
      <c r="A4169" s="1" t="s">
        <v>7107</v>
      </c>
      <c r="C4169" s="1">
        <v>1</v>
      </c>
      <c r="D4169" s="1" t="str">
        <f>"02914"</f>
        <v>02914</v>
      </c>
      <c r="E4169" s="1" t="s">
        <v>40</v>
      </c>
      <c r="F4169" s="1">
        <v>12</v>
      </c>
      <c r="G4169" s="1">
        <v>7</v>
      </c>
      <c r="H4169" s="1">
        <v>0</v>
      </c>
      <c r="I4169" s="1" t="s">
        <v>7100</v>
      </c>
      <c r="K4169" s="1" t="str">
        <f t="shared" si="258"/>
        <v>ㄊ</v>
      </c>
      <c r="L4169" s="1" t="str">
        <f t="shared" si="259"/>
        <v>ㄨ</v>
      </c>
      <c r="M4169" s="1" t="str">
        <f t="shared" si="260"/>
        <v>ㄥ</v>
      </c>
      <c r="P4169" s="1" t="s">
        <v>20</v>
      </c>
      <c r="R4169" s="1" t="s">
        <v>7101</v>
      </c>
      <c r="V4169" s="1" t="s">
        <v>7108</v>
      </c>
      <c r="AR4169" s="1" t="str">
        <f t="shared" si="261"/>
        <v>| [ㄊㄨㄥˋ](ㄊㄨㄥˋ.md) | [痛](痛.md) |  | tòng | [動]
1.疼。如：「牙痛」、「頭痛」、「肚子痛」。唐．白居易〈新樂府．新豐折臂翁〉：「至今風雨陰寒夜，直到天明痛不眠。」
2.悲傷、傷悼。如：「哀痛」、「悲痛」。《史記．卷五．秦本紀》：「寡人思念先君之意，常痛於心。」
3.憐惜、憐愛。宋．晁沖之〈陸元釣寄日注茶〉詩：「爭新鬥試誇擊拂，風俗移人可深痛。」《聊齋志異．卷一〇．胭脂》：「堂下相遇，靦然含涕，似有痛惜之詞，而未可言也。」
4.憎恨。《國語．楚語下》：「又能上下說於鬼神，順道其欲惡，使神無有怨痛於楚國。」《史記．卷九二．淮陰侯傳》：「秦父兄怨此三人，痛入骨髓。」
[副]
極、盡情、澈底。如：「痛罵」、「痛飲」、「痛快」、「痛改前非」。《管子．七臣七主》：「姦臣痛言人情以驚主。」唐．尹知章．注：「痛，甚極之辭。」 |</v>
      </c>
    </row>
    <row r="4170" spans="1:44" hidden="1">
      <c r="A4170" s="1" t="s">
        <v>7109</v>
      </c>
      <c r="C4170" s="1">
        <v>1</v>
      </c>
      <c r="D4170" s="1" t="str">
        <f>"02915"</f>
        <v>02915</v>
      </c>
      <c r="E4170" s="1" t="s">
        <v>250</v>
      </c>
      <c r="F4170" s="1">
        <v>14</v>
      </c>
      <c r="G4170" s="1">
        <v>11</v>
      </c>
      <c r="H4170" s="1">
        <v>0</v>
      </c>
      <c r="I4170" s="1" t="s">
        <v>7100</v>
      </c>
      <c r="K4170" s="1" t="str">
        <f t="shared" si="258"/>
        <v>ㄊ</v>
      </c>
      <c r="L4170" s="1" t="str">
        <f t="shared" si="259"/>
        <v>ㄨ</v>
      </c>
      <c r="M4170" s="1" t="str">
        <f t="shared" si="260"/>
        <v>ㄥ</v>
      </c>
      <c r="P4170" s="1" t="s">
        <v>20</v>
      </c>
      <c r="R4170" s="1" t="s">
        <v>7101</v>
      </c>
      <c r="V4170" s="1" t="s">
        <v>7110</v>
      </c>
      <c r="AR4170" s="1" t="str">
        <f t="shared" si="261"/>
        <v>| [ㄊㄨㄥˋ](ㄊㄨㄥˋ.md) | [慟](慟.md) |  | tòng | [副]
過度悲傷。如：「慟哭」。《論語．先進》：「顏淵死，子哭之慟。」《南史．卷七五．隱逸傳上．顧歡傳》：「歡早孤，讀《詩》至『哀哀父母』，輒執書慟泣，由是受學者廢蓼莪篇，不復講焉。」 |</v>
      </c>
    </row>
    <row r="4171" spans="1:44" hidden="1">
      <c r="A4171" s="1" t="s">
        <v>5952</v>
      </c>
      <c r="C4171" s="1">
        <v>1</v>
      </c>
      <c r="D4171" s="1" t="str">
        <f>"02426"</f>
        <v>02426</v>
      </c>
      <c r="E4171" s="1" t="s">
        <v>24</v>
      </c>
      <c r="F4171" s="1">
        <v>8</v>
      </c>
      <c r="G4171" s="1">
        <v>5</v>
      </c>
      <c r="H4171" s="1">
        <v>2</v>
      </c>
      <c r="I4171" s="1" t="s">
        <v>5953</v>
      </c>
      <c r="K4171" s="1" t="str">
        <f t="shared" si="258"/>
        <v>ㄊ</v>
      </c>
      <c r="L4171" s="1" t="str">
        <f t="shared" si="259"/>
        <v>ㄚ</v>
      </c>
      <c r="N4171" s="3" t="s">
        <v>30574</v>
      </c>
      <c r="O4171" s="3"/>
      <c r="P4171" s="1" t="s">
        <v>20</v>
      </c>
      <c r="R4171" s="1" t="s">
        <v>5954</v>
      </c>
      <c r="V4171" s="1" t="s">
        <v>5955</v>
      </c>
      <c r="W4171" s="1" t="s">
        <v>5956</v>
      </c>
      <c r="AR4171" s="1" t="str">
        <f t="shared" si="261"/>
        <v>| [ㄊㄚˋ](ㄊㄚˋ.md) | [拓](拓.md) |  | tà | [動]
用紙墨摹印碑刻、銅器、甲骨等。方法是先在物體上蒙上一層薄紙（通常是棉紙或宣紙），再用髮束等物，予以拍打，依陰陽紋顯現凹凸紋路，然後上墨，以顯出所欲摹印的文字或圖像。通「搨」。如：「拓印」、「拓本」。 |</v>
      </c>
    </row>
    <row r="4172" spans="1:44" hidden="1">
      <c r="A4172" s="1" t="s">
        <v>5957</v>
      </c>
      <c r="C4172" s="1">
        <v>1</v>
      </c>
      <c r="D4172" s="1" t="str">
        <f>"02427"</f>
        <v>02427</v>
      </c>
      <c r="E4172" s="1" t="s">
        <v>129</v>
      </c>
      <c r="F4172" s="1">
        <v>8</v>
      </c>
      <c r="G4172" s="1">
        <v>4</v>
      </c>
      <c r="H4172" s="1">
        <v>0</v>
      </c>
      <c r="I4172" s="1" t="s">
        <v>5953</v>
      </c>
      <c r="K4172" s="1" t="str">
        <f t="shared" si="258"/>
        <v>ㄊ</v>
      </c>
      <c r="L4172" s="1" t="str">
        <f t="shared" si="259"/>
        <v>ㄚ</v>
      </c>
      <c r="N4172" s="3" t="s">
        <v>30574</v>
      </c>
      <c r="O4172" s="3"/>
      <c r="P4172" s="1" t="s">
        <v>20</v>
      </c>
      <c r="R4172" s="1" t="s">
        <v>5954</v>
      </c>
      <c r="V4172" s="1" t="s">
        <v>5958</v>
      </c>
      <c r="AR4172" s="1" t="str">
        <f t="shared" si="261"/>
        <v>| [ㄊㄚˋ](ㄊㄚˋ.md) | [沓](沓.md) |  | tà | [動]
相合。《文選．揚雄．羽獵賦》：「天與地沓。」
[副]
眾多而重複。如：「雜沓」、「紛至沓來」。
[名]
量詞。計算重疊的書、紙的單位。如：「他將舊報紙一沓一沓的整理好。」《里語徵實．卷上．一字徵實》引《避暑錄話》：「晏元獻平居不棄一紙，雖封皮亦十百為沓。猶今之言一套也。書稱幾沓本此。」 |</v>
      </c>
    </row>
    <row r="4173" spans="1:44" hidden="1">
      <c r="A4173" s="1" t="s">
        <v>5959</v>
      </c>
      <c r="C4173" s="1">
        <v>1</v>
      </c>
      <c r="D4173" s="1" t="str">
        <f>"02428"</f>
        <v>02428</v>
      </c>
      <c r="E4173" s="1" t="s">
        <v>129</v>
      </c>
      <c r="F4173" s="1">
        <v>11</v>
      </c>
      <c r="G4173" s="1">
        <v>8</v>
      </c>
      <c r="H4173" s="1">
        <v>0</v>
      </c>
      <c r="I4173" s="1" t="s">
        <v>5953</v>
      </c>
      <c r="K4173" s="1" t="str">
        <f t="shared" si="258"/>
        <v>ㄊ</v>
      </c>
      <c r="L4173" s="1" t="str">
        <f t="shared" si="259"/>
        <v>ㄚ</v>
      </c>
      <c r="N4173" s="3" t="s">
        <v>30574</v>
      </c>
      <c r="O4173" s="3"/>
      <c r="P4173" s="1" t="s">
        <v>20</v>
      </c>
      <c r="R4173" s="1" t="s">
        <v>5954</v>
      </c>
      <c r="V4173" s="1" t="s">
        <v>5960</v>
      </c>
      <c r="AR4173" s="1" t="str">
        <f t="shared" si="261"/>
        <v>| [ㄊㄚˋ](ㄊㄚˋ.md) | [涾](涾.md) |  | tà | 參見「涾沱」條。 |</v>
      </c>
    </row>
    <row r="4174" spans="1:44" hidden="1">
      <c r="A4174" s="1" t="s">
        <v>5961</v>
      </c>
      <c r="C4174" s="1">
        <v>1</v>
      </c>
      <c r="D4174" s="1" t="str">
        <f>"02429"</f>
        <v>02429</v>
      </c>
      <c r="E4174" s="1" t="s">
        <v>331</v>
      </c>
      <c r="F4174" s="1">
        <v>15</v>
      </c>
      <c r="G4174" s="1">
        <v>8</v>
      </c>
      <c r="H4174" s="1">
        <v>0</v>
      </c>
      <c r="I4174" s="1" t="s">
        <v>5953</v>
      </c>
      <c r="K4174" s="1" t="str">
        <f t="shared" si="258"/>
        <v>ㄊ</v>
      </c>
      <c r="L4174" s="1" t="str">
        <f t="shared" si="259"/>
        <v>ㄚ</v>
      </c>
      <c r="N4174" s="3" t="s">
        <v>30574</v>
      </c>
      <c r="O4174" s="3"/>
      <c r="P4174" s="1" t="s">
        <v>20</v>
      </c>
      <c r="R4174" s="1" t="s">
        <v>5954</v>
      </c>
      <c r="V4174" s="1" t="s">
        <v>5962</v>
      </c>
      <c r="AR4174" s="1" t="str">
        <f t="shared" si="261"/>
        <v>| [ㄊㄚˋ](ㄊㄚˋ.md) | [誻](誻.md) |  | tà | 參見「誻誻」條。 |</v>
      </c>
    </row>
    <row r="4175" spans="1:44" hidden="1">
      <c r="A4175" s="1" t="s">
        <v>5963</v>
      </c>
      <c r="C4175" s="1">
        <v>1</v>
      </c>
      <c r="D4175" s="1" t="str">
        <f>"02430"</f>
        <v>02430</v>
      </c>
      <c r="E4175" s="1" t="s">
        <v>77</v>
      </c>
      <c r="F4175" s="1">
        <v>15</v>
      </c>
      <c r="G4175" s="1">
        <v>8</v>
      </c>
      <c r="H4175" s="1">
        <v>0</v>
      </c>
      <c r="I4175" s="1" t="s">
        <v>5953</v>
      </c>
      <c r="K4175" s="1" t="str">
        <f t="shared" si="258"/>
        <v>ㄊ</v>
      </c>
      <c r="L4175" s="1" t="str">
        <f t="shared" si="259"/>
        <v>ㄚ</v>
      </c>
      <c r="N4175" s="3" t="s">
        <v>30574</v>
      </c>
      <c r="O4175" s="3"/>
      <c r="P4175" s="1" t="s">
        <v>20</v>
      </c>
      <c r="R4175" s="1" t="s">
        <v>5954</v>
      </c>
      <c r="V4175" s="1" t="s">
        <v>5964</v>
      </c>
      <c r="AR4175" s="1" t="str">
        <f t="shared" si="261"/>
        <v>| [ㄊㄚˋ](ㄊㄚˋ.md) | [踏](踏.md) |  | tà | [動]
1.用腳踩著地或東西。如：「踏步」、「踏水車」、「踐踏」、「腳踏實地」。
2.跟隨。《喻世明言．卷三六．宋四公大鬧禁魂張》：「我妝做丞局，後面踏將你來，你喫擺番了。」
3.實地勘驗。如：「踏勘」。《元史．卷一〇二．刑法志一》：「諸郡縣災傷，過時而不申，或申不以實，及按治官不以時檢踏，皆罪之。」 |</v>
      </c>
    </row>
    <row r="4176" spans="1:44" hidden="1">
      <c r="A4176" s="1" t="s">
        <v>5965</v>
      </c>
      <c r="C4176" s="1">
        <v>1</v>
      </c>
      <c r="D4176" s="1" t="str">
        <f>"02431"</f>
        <v>02431</v>
      </c>
      <c r="E4176" s="1" t="s">
        <v>96</v>
      </c>
      <c r="F4176" s="1">
        <v>17</v>
      </c>
      <c r="G4176" s="1">
        <v>8</v>
      </c>
      <c r="H4176" s="1">
        <v>0</v>
      </c>
      <c r="I4176" s="1" t="s">
        <v>5953</v>
      </c>
      <c r="K4176" s="1" t="str">
        <f t="shared" si="258"/>
        <v>ㄊ</v>
      </c>
      <c r="L4176" s="1" t="str">
        <f t="shared" si="259"/>
        <v>ㄚ</v>
      </c>
      <c r="N4176" s="3" t="s">
        <v>30574</v>
      </c>
      <c r="O4176" s="3"/>
      <c r="P4176" s="1" t="s">
        <v>20</v>
      </c>
      <c r="R4176" s="1" t="s">
        <v>5954</v>
      </c>
      <c r="V4176" s="1" t="s">
        <v>5966</v>
      </c>
      <c r="AR4176" s="1" t="str">
        <f t="shared" si="261"/>
        <v>| [ㄊㄚˋ](ㄊㄚˋ.md) | [鞜](鞜.md) |  | tà | [名]
皮鞋。《文選．揚雄．長楊賦》：「躬服節儉，綈衣不弊，革鞜不穿。」 |</v>
      </c>
    </row>
    <row r="4177" spans="1:44" hidden="1">
      <c r="A4177" s="1" t="s">
        <v>5967</v>
      </c>
      <c r="C4177" s="1">
        <v>1</v>
      </c>
      <c r="D4177" s="1" t="str">
        <f>"02432"</f>
        <v>02432</v>
      </c>
      <c r="E4177" s="1" t="s">
        <v>129</v>
      </c>
      <c r="F4177" s="1">
        <v>17</v>
      </c>
      <c r="G4177" s="1">
        <v>13</v>
      </c>
      <c r="H4177" s="1">
        <v>0</v>
      </c>
      <c r="I4177" s="1" t="s">
        <v>5953</v>
      </c>
      <c r="K4177" s="1" t="str">
        <f t="shared" si="258"/>
        <v>ㄊ</v>
      </c>
      <c r="L4177" s="1" t="str">
        <f t="shared" si="259"/>
        <v>ㄚ</v>
      </c>
      <c r="N4177" s="3" t="s">
        <v>30574</v>
      </c>
      <c r="O4177" s="3"/>
      <c r="P4177" s="1" t="s">
        <v>20</v>
      </c>
      <c r="R4177" s="1" t="s">
        <v>5954</v>
      </c>
      <c r="V4177" s="1" t="s">
        <v>5968</v>
      </c>
      <c r="AR4177" s="1" t="str">
        <f t="shared" si="261"/>
        <v>| [ㄊㄚˋ](ㄊㄚˋ.md) | [濌](濌.md) |  | tà | 參見「濌濌」條。 |</v>
      </c>
    </row>
    <row r="4178" spans="1:44" hidden="1">
      <c r="A4178" s="1" t="s">
        <v>5969</v>
      </c>
      <c r="C4178" s="1">
        <v>1</v>
      </c>
      <c r="D4178" s="1" t="str">
        <f>"02433"</f>
        <v>02433</v>
      </c>
      <c r="E4178" s="1" t="s">
        <v>198</v>
      </c>
      <c r="F4178" s="1">
        <v>9</v>
      </c>
      <c r="G4178" s="1">
        <v>6</v>
      </c>
      <c r="H4178" s="1">
        <v>0</v>
      </c>
      <c r="I4178" s="1" t="s">
        <v>5953</v>
      </c>
      <c r="K4178" s="1" t="str">
        <f t="shared" si="258"/>
        <v>ㄊ</v>
      </c>
      <c r="L4178" s="1" t="str">
        <f t="shared" si="259"/>
        <v>ㄚ</v>
      </c>
      <c r="N4178" s="3" t="s">
        <v>30574</v>
      </c>
      <c r="O4178" s="3"/>
      <c r="P4178" s="1" t="s">
        <v>20</v>
      </c>
      <c r="R4178" s="1" t="s">
        <v>5954</v>
      </c>
      <c r="V4178" s="1" t="s">
        <v>5970</v>
      </c>
      <c r="AR4178" s="1" t="str">
        <f t="shared" si="261"/>
        <v>| [ㄊㄚˋ](ㄊㄚˋ.md) | [狧](狧.md) |  | tà | [動]
狗以舌舔吃東西。《說文解字．犬部》：「狧，犬食也。」《漢書．卷三五．吳王劉濞傳》：「語有之曰：『狧糠及米。』」 |</v>
      </c>
    </row>
    <row r="4179" spans="1:44" hidden="1">
      <c r="A4179" s="1" t="s">
        <v>4666</v>
      </c>
      <c r="C4179" s="1">
        <v>1</v>
      </c>
      <c r="D4179" s="1" t="str">
        <f>"02434"</f>
        <v>02434</v>
      </c>
      <c r="E4179" s="1" t="s">
        <v>558</v>
      </c>
      <c r="F4179" s="1">
        <v>13</v>
      </c>
      <c r="G4179" s="1">
        <v>9</v>
      </c>
      <c r="H4179" s="1">
        <v>2</v>
      </c>
      <c r="I4179" s="1" t="s">
        <v>5953</v>
      </c>
      <c r="K4179" s="1" t="str">
        <f t="shared" si="258"/>
        <v>ㄊ</v>
      </c>
      <c r="L4179" s="1" t="str">
        <f t="shared" si="259"/>
        <v>ㄚ</v>
      </c>
      <c r="N4179" s="3" t="s">
        <v>30574</v>
      </c>
      <c r="O4179" s="3"/>
      <c r="P4179" s="1" t="s">
        <v>20</v>
      </c>
      <c r="R4179" s="1" t="s">
        <v>5954</v>
      </c>
      <c r="V4179" s="1" t="s">
        <v>5971</v>
      </c>
      <c r="W4179" s="1" t="s">
        <v>5972</v>
      </c>
      <c r="AR4179" s="1" t="str">
        <f t="shared" si="261"/>
        <v>| [ㄊㄚˋ](ㄊㄚˋ.md) | [達](達.md) |  | tà | [形]
挑達：(1)往來自由。《廣韻．入聲．曷韻》：「達，挑達，往來貌。」唐．王維〈贈吳官〉詩：「不如儂家任挑達，草屩撈蝦富春渚。」(2)行為輕薄放縱。晉．干寶《搜神記》卷五：「蔣子文者，廣陵人也，嗜酒好色，挑達無度。」也作「佻達」、「佻㒓」。 |</v>
      </c>
    </row>
    <row r="4180" spans="1:44" hidden="1">
      <c r="A4180" s="1" t="s">
        <v>5973</v>
      </c>
      <c r="C4180" s="1">
        <v>1</v>
      </c>
      <c r="D4180" s="1" t="str">
        <f>"02435"</f>
        <v>02435</v>
      </c>
      <c r="E4180" s="1" t="s">
        <v>114</v>
      </c>
      <c r="F4180" s="1">
        <v>15</v>
      </c>
      <c r="G4180" s="1">
        <v>13</v>
      </c>
      <c r="H4180" s="1">
        <v>0</v>
      </c>
      <c r="I4180" s="1" t="s">
        <v>5953</v>
      </c>
      <c r="K4180" s="1" t="str">
        <f t="shared" si="258"/>
        <v>ㄊ</v>
      </c>
      <c r="L4180" s="1" t="str">
        <f t="shared" si="259"/>
        <v>ㄚ</v>
      </c>
      <c r="N4180" s="3" t="s">
        <v>30574</v>
      </c>
      <c r="O4180" s="3"/>
      <c r="P4180" s="1" t="s">
        <v>20</v>
      </c>
      <c r="R4180" s="1" t="s">
        <v>5954</v>
      </c>
      <c r="V4180" s="1" t="s">
        <v>5974</v>
      </c>
      <c r="AR4180" s="1" t="str">
        <f t="shared" si="261"/>
        <v>| [ㄊㄚˋ](ㄊㄚˋ.md) | [㒓](㒓.md) |  | tà | 參見「佻㒓」條。 |</v>
      </c>
    </row>
    <row r="4181" spans="1:44" hidden="1">
      <c r="A4181" s="1" t="s">
        <v>5975</v>
      </c>
      <c r="C4181" s="1">
        <v>1</v>
      </c>
      <c r="D4181" s="1" t="str">
        <f>"02436"</f>
        <v>02436</v>
      </c>
      <c r="E4181" s="1" t="s">
        <v>24</v>
      </c>
      <c r="F4181" s="1">
        <v>16</v>
      </c>
      <c r="G4181" s="1">
        <v>13</v>
      </c>
      <c r="H4181" s="1">
        <v>0</v>
      </c>
      <c r="I4181" s="1" t="s">
        <v>5953</v>
      </c>
      <c r="K4181" s="1" t="str">
        <f t="shared" si="258"/>
        <v>ㄊ</v>
      </c>
      <c r="L4181" s="1" t="str">
        <f t="shared" si="259"/>
        <v>ㄚ</v>
      </c>
      <c r="N4181" s="3" t="s">
        <v>30574</v>
      </c>
      <c r="O4181" s="3"/>
      <c r="P4181" s="1" t="s">
        <v>20</v>
      </c>
      <c r="R4181" s="1" t="s">
        <v>5954</v>
      </c>
      <c r="V4181" s="1" t="s">
        <v>5976</v>
      </c>
      <c r="AR4181" s="1" t="str">
        <f t="shared" si="261"/>
        <v>| [ㄊㄚˋ](ㄊㄚˋ.md) | [撻](撻.md) |  | tà | [動]
用棍、鞭等拍打。如：「鞭撻」。
[形]
勇武。《詩經．商頌．殷武》：「撻彼殷武，奮伐荊楚。」 |</v>
      </c>
    </row>
    <row r="4182" spans="1:44" hidden="1">
      <c r="A4182" s="1" t="s">
        <v>4642</v>
      </c>
      <c r="C4182" s="1">
        <v>1</v>
      </c>
      <c r="D4182" s="1" t="str">
        <f>"02437"</f>
        <v>02437</v>
      </c>
      <c r="E4182" s="1" t="s">
        <v>77</v>
      </c>
      <c r="F4182" s="1">
        <v>20</v>
      </c>
      <c r="G4182" s="1">
        <v>13</v>
      </c>
      <c r="H4182" s="1">
        <v>1</v>
      </c>
      <c r="I4182" s="1" t="s">
        <v>5953</v>
      </c>
      <c r="K4182" s="1" t="str">
        <f t="shared" si="258"/>
        <v>ㄊ</v>
      </c>
      <c r="L4182" s="1" t="str">
        <f t="shared" si="259"/>
        <v>ㄚ</v>
      </c>
      <c r="N4182" s="3" t="s">
        <v>30574</v>
      </c>
      <c r="O4182" s="3"/>
      <c r="P4182" s="1" t="s">
        <v>20</v>
      </c>
      <c r="R4182" s="1" t="s">
        <v>5954</v>
      </c>
      <c r="V4182" s="1" t="s">
        <v>5977</v>
      </c>
      <c r="W4182" s="1" t="s">
        <v>5978</v>
      </c>
      <c r="AR4182" s="1" t="str">
        <f t="shared" si="261"/>
        <v>| [ㄊㄚˋ](ㄊㄚˋ.md) | [躂](躂.md) |  | tà | [動]
1.失足跌倒。如：「滑躂」。《玉篇．足部》：「躂，足跌也。」
2.踏。如：「踢躂」。 |</v>
      </c>
    </row>
    <row r="4183" spans="1:44" hidden="1">
      <c r="A4183" s="1" t="s">
        <v>5979</v>
      </c>
      <c r="C4183" s="1">
        <v>1</v>
      </c>
      <c r="D4183" s="1" t="str">
        <f>"02438"</f>
        <v>02438</v>
      </c>
      <c r="E4183" s="1" t="s">
        <v>709</v>
      </c>
      <c r="F4183" s="1">
        <v>21</v>
      </c>
      <c r="G4183" s="1">
        <v>13</v>
      </c>
      <c r="H4183" s="1">
        <v>0</v>
      </c>
      <c r="I4183" s="1" t="s">
        <v>5953</v>
      </c>
      <c r="K4183" s="1" t="str">
        <f t="shared" si="258"/>
        <v>ㄊ</v>
      </c>
      <c r="L4183" s="1" t="str">
        <f t="shared" si="259"/>
        <v>ㄚ</v>
      </c>
      <c r="N4183" s="3" t="s">
        <v>30574</v>
      </c>
      <c r="O4183" s="3"/>
      <c r="P4183" s="1" t="s">
        <v>20</v>
      </c>
      <c r="R4183" s="1" t="s">
        <v>5954</v>
      </c>
      <c r="V4183" s="1" t="s">
        <v>5980</v>
      </c>
      <c r="AR4183" s="1" t="str">
        <f t="shared" si="261"/>
        <v>| [ㄊㄚˋ](ㄊㄚˋ.md) | [闥](闥.md) |  | tà | [名]
門。如：「重閨幽闥」、「連闥洞房」、「排闥而入」。 |</v>
      </c>
    </row>
    <row r="4184" spans="1:44" hidden="1">
      <c r="A4184" s="1" t="s">
        <v>5938</v>
      </c>
      <c r="C4184" s="1">
        <v>1</v>
      </c>
      <c r="D4184" s="1" t="str">
        <f>"02439"</f>
        <v>02439</v>
      </c>
      <c r="E4184" s="1" t="s">
        <v>24</v>
      </c>
      <c r="F4184" s="1">
        <v>13</v>
      </c>
      <c r="G4184" s="1">
        <v>10</v>
      </c>
      <c r="H4184" s="1">
        <v>1</v>
      </c>
      <c r="I4184" s="1" t="s">
        <v>5953</v>
      </c>
      <c r="K4184" s="1" t="str">
        <f t="shared" si="258"/>
        <v>ㄊ</v>
      </c>
      <c r="L4184" s="1" t="str">
        <f t="shared" si="259"/>
        <v>ㄚ</v>
      </c>
      <c r="N4184" s="3" t="s">
        <v>30574</v>
      </c>
      <c r="O4184" s="3"/>
      <c r="P4184" s="1" t="s">
        <v>20</v>
      </c>
      <c r="R4184" s="1" t="s">
        <v>5954</v>
      </c>
      <c r="V4184" s="1" t="s">
        <v>5981</v>
      </c>
      <c r="W4184" s="1" t="s">
        <v>5982</v>
      </c>
      <c r="AR4184" s="1" t="str">
        <f t="shared" si="261"/>
        <v>| [ㄊㄚˋ](ㄊㄚˋ.md) | [搨](搨.md) |  | tà | [動]
1.以紙墨摹印碑帖。通「拓」。如：「搨摹」、「搨本」。唐．王建〈原上新居〉詩一三首之一一：「古碣憑人搨，閒詩任客吟。」
2.吳語。隨便的寫寫畫畫。《初刻拍案驚奇》卷一：「免不得是沈石田、文衡山、祝枝山搨子幾筆，便直上兩數銀子。」 |</v>
      </c>
    </row>
    <row r="4185" spans="1:44" hidden="1">
      <c r="A4185" s="1" t="s">
        <v>5983</v>
      </c>
      <c r="C4185" s="1">
        <v>1</v>
      </c>
      <c r="D4185" s="1" t="str">
        <f>"02440"</f>
        <v>02440</v>
      </c>
      <c r="E4185" s="1" t="s">
        <v>139</v>
      </c>
      <c r="F4185" s="1">
        <v>14</v>
      </c>
      <c r="G4185" s="1">
        <v>10</v>
      </c>
      <c r="H4185" s="1">
        <v>0</v>
      </c>
      <c r="I4185" s="1" t="s">
        <v>5953</v>
      </c>
      <c r="K4185" s="1" t="str">
        <f t="shared" si="258"/>
        <v>ㄊ</v>
      </c>
      <c r="L4185" s="1" t="str">
        <f t="shared" si="259"/>
        <v>ㄚ</v>
      </c>
      <c r="N4185" s="3" t="s">
        <v>30574</v>
      </c>
      <c r="O4185" s="3"/>
      <c r="P4185" s="1" t="s">
        <v>20</v>
      </c>
      <c r="R4185" s="1" t="s">
        <v>5954</v>
      </c>
      <c r="V4185" s="1" t="s">
        <v>5984</v>
      </c>
      <c r="AR4185" s="1" t="str">
        <f t="shared" si="261"/>
        <v>| [ㄊㄚˋ](ㄊㄚˋ.md) | [榻](榻.md) |  | tà | [名]
狹長的矮床。如：「籐榻」、「軟榻」。《樂府詩集．卷七三．雜曲歌辭十三．古辭．焦仲卿妻》：「移我瑠璃榻，出置前窗下。」 |</v>
      </c>
    </row>
    <row r="4186" spans="1:44" hidden="1">
      <c r="A4186" s="1" t="s">
        <v>5985</v>
      </c>
      <c r="C4186" s="1">
        <v>1</v>
      </c>
      <c r="D4186" s="1" t="str">
        <f>"02441"</f>
        <v>02441</v>
      </c>
      <c r="E4186" s="1" t="s">
        <v>558</v>
      </c>
      <c r="F4186" s="1">
        <v>14</v>
      </c>
      <c r="G4186" s="1">
        <v>10</v>
      </c>
      <c r="H4186" s="1">
        <v>0</v>
      </c>
      <c r="I4186" s="1" t="s">
        <v>5953</v>
      </c>
      <c r="K4186" s="1" t="str">
        <f t="shared" si="258"/>
        <v>ㄊ</v>
      </c>
      <c r="L4186" s="1" t="str">
        <f t="shared" si="259"/>
        <v>ㄚ</v>
      </c>
      <c r="N4186" s="3" t="s">
        <v>30574</v>
      </c>
      <c r="O4186" s="3"/>
      <c r="P4186" s="1" t="s">
        <v>20</v>
      </c>
      <c r="R4186" s="1" t="s">
        <v>5954</v>
      </c>
      <c r="V4186" s="1" t="s">
        <v>5986</v>
      </c>
      <c r="AR4186" s="1" t="str">
        <f t="shared" si="261"/>
        <v>| [ㄊㄚˋ](ㄊㄚˋ.md) | [遢](遢.md) |  | tà | 參見「邋遢」條。 |</v>
      </c>
    </row>
    <row r="4187" spans="1:44" hidden="1">
      <c r="A4187" s="1" t="s">
        <v>5987</v>
      </c>
      <c r="C4187" s="1">
        <v>1</v>
      </c>
      <c r="D4187" s="1" t="str">
        <f>"02442"</f>
        <v>02442</v>
      </c>
      <c r="E4187" s="1" t="s">
        <v>1703</v>
      </c>
      <c r="F4187" s="1">
        <v>14</v>
      </c>
      <c r="G4187" s="1">
        <v>10</v>
      </c>
      <c r="H4187" s="1">
        <v>0</v>
      </c>
      <c r="I4187" s="1" t="s">
        <v>5953</v>
      </c>
      <c r="K4187" s="1" t="str">
        <f t="shared" si="258"/>
        <v>ㄊ</v>
      </c>
      <c r="L4187" s="1" t="str">
        <f t="shared" si="259"/>
        <v>ㄚ</v>
      </c>
      <c r="N4187" s="3" t="s">
        <v>30574</v>
      </c>
      <c r="O4187" s="3"/>
      <c r="P4187" s="1" t="s">
        <v>20</v>
      </c>
      <c r="R4187" s="1" t="s">
        <v>5954</v>
      </c>
      <c r="V4187" s="1" t="s">
        <v>5092</v>
      </c>
      <c r="AR4187" s="1" t="str">
        <f t="shared" si="261"/>
        <v>| [ㄊㄚˋ](ㄊㄚˋ.md) | [毾](毾.md) |  | tà | 參見「毾㲪」條。 |</v>
      </c>
    </row>
    <row r="4188" spans="1:44" hidden="1">
      <c r="A4188" s="1" t="s">
        <v>5988</v>
      </c>
      <c r="C4188" s="1">
        <v>1</v>
      </c>
      <c r="D4188" s="1" t="str">
        <f>"02443"</f>
        <v>02443</v>
      </c>
      <c r="E4188" s="1" t="s">
        <v>77</v>
      </c>
      <c r="F4188" s="1">
        <v>17</v>
      </c>
      <c r="G4188" s="1">
        <v>10</v>
      </c>
      <c r="H4188" s="1">
        <v>0</v>
      </c>
      <c r="I4188" s="1" t="s">
        <v>5953</v>
      </c>
      <c r="K4188" s="1" t="str">
        <f t="shared" si="258"/>
        <v>ㄊ</v>
      </c>
      <c r="L4188" s="1" t="str">
        <f t="shared" si="259"/>
        <v>ㄚ</v>
      </c>
      <c r="N4188" s="3" t="s">
        <v>30574</v>
      </c>
      <c r="O4188" s="3"/>
      <c r="P4188" s="1" t="s">
        <v>20</v>
      </c>
      <c r="R4188" s="1" t="s">
        <v>5954</v>
      </c>
      <c r="V4188" s="1" t="s">
        <v>5989</v>
      </c>
      <c r="AR4188" s="1" t="str">
        <f t="shared" si="261"/>
        <v>| [ㄊㄚˋ](ㄊㄚˋ.md) | [蹋](蹋.md) |  | tà | [動]
1.腳著地或踩物。通「踏」。清．汪兆鏞〈憶舊游．隱林梢半角〉詞：「隱林梢半角，危榭荒臺，蹋碎涼煙。」
2.參見「蹧蹋」條。 |</v>
      </c>
    </row>
    <row r="4189" spans="1:44" hidden="1">
      <c r="A4189" s="1" t="s">
        <v>5990</v>
      </c>
      <c r="C4189" s="1">
        <v>1</v>
      </c>
      <c r="D4189" s="1" t="str">
        <f>"02444"</f>
        <v>02444</v>
      </c>
      <c r="E4189" s="1" t="s">
        <v>709</v>
      </c>
      <c r="F4189" s="1">
        <v>18</v>
      </c>
      <c r="G4189" s="1">
        <v>10</v>
      </c>
      <c r="H4189" s="1">
        <v>0</v>
      </c>
      <c r="I4189" s="1" t="s">
        <v>5953</v>
      </c>
      <c r="K4189" s="1" t="str">
        <f t="shared" si="258"/>
        <v>ㄊ</v>
      </c>
      <c r="L4189" s="1" t="str">
        <f t="shared" si="259"/>
        <v>ㄚ</v>
      </c>
      <c r="N4189" s="3" t="s">
        <v>30574</v>
      </c>
      <c r="O4189" s="3"/>
      <c r="P4189" s="1" t="s">
        <v>20</v>
      </c>
      <c r="R4189" s="1" t="s">
        <v>5954</v>
      </c>
      <c r="V4189" s="1" t="s">
        <v>5991</v>
      </c>
      <c r="AR4189" s="1" t="str">
        <f t="shared" si="261"/>
        <v>| [ㄊㄚˋ](ㄊㄚˋ.md) | [闒](闒.md) |  | tà | [名]
1.樓上的單扇門。《說文解字．門部》：「闒，樓上戶也。」
2.門樓上的屋子。《廣韻．入聲．盍韻》：「闒，門樓上屋。」 |</v>
      </c>
    </row>
    <row r="4190" spans="1:44" hidden="1">
      <c r="A4190" s="1" t="s">
        <v>4634</v>
      </c>
      <c r="C4190" s="1">
        <v>1</v>
      </c>
      <c r="D4190" s="1" t="str">
        <f>"02445"</f>
        <v>02445</v>
      </c>
      <c r="E4190" s="1" t="s">
        <v>28</v>
      </c>
      <c r="F4190" s="1">
        <v>13</v>
      </c>
      <c r="G4190" s="1">
        <v>10</v>
      </c>
      <c r="H4190" s="1">
        <v>1</v>
      </c>
      <c r="I4190" s="1" t="s">
        <v>5953</v>
      </c>
      <c r="K4190" s="1" t="str">
        <f t="shared" si="258"/>
        <v>ㄊ</v>
      </c>
      <c r="L4190" s="1" t="str">
        <f t="shared" si="259"/>
        <v>ㄚ</v>
      </c>
      <c r="N4190" s="3" t="s">
        <v>30574</v>
      </c>
      <c r="O4190" s="3"/>
      <c r="P4190" s="1" t="s">
        <v>20</v>
      </c>
      <c r="R4190" s="1" t="s">
        <v>5954</v>
      </c>
      <c r="V4190" s="1" t="s">
        <v>5992</v>
      </c>
      <c r="W4190" s="1" t="s">
        <v>5993</v>
      </c>
      <c r="AR4190" s="1" t="str">
        <f t="shared" si="261"/>
        <v>| [ㄊㄚˋ](ㄊㄚˋ.md) | [嗒](嗒.md) |  | tà | 參見「嗒然」、「嗒喪」等條。 |</v>
      </c>
    </row>
    <row r="4191" spans="1:44" hidden="1">
      <c r="A4191" s="1" t="s">
        <v>5994</v>
      </c>
      <c r="C4191" s="1">
        <v>1</v>
      </c>
      <c r="D4191" s="1" t="str">
        <f>"02446"</f>
        <v>02446</v>
      </c>
      <c r="E4191" s="1" t="s">
        <v>129</v>
      </c>
      <c r="F4191" s="1">
        <v>14</v>
      </c>
      <c r="G4191" s="1">
        <v>11</v>
      </c>
      <c r="H4191" s="1">
        <v>1</v>
      </c>
      <c r="I4191" s="1" t="s">
        <v>5953</v>
      </c>
      <c r="K4191" s="1" t="str">
        <f t="shared" si="258"/>
        <v>ㄊ</v>
      </c>
      <c r="L4191" s="1" t="str">
        <f t="shared" si="259"/>
        <v>ㄚ</v>
      </c>
      <c r="N4191" s="3" t="s">
        <v>30574</v>
      </c>
      <c r="O4191" s="3"/>
      <c r="P4191" s="1" t="s">
        <v>20</v>
      </c>
      <c r="R4191" s="1" t="s">
        <v>5954</v>
      </c>
      <c r="V4191" s="1" t="s">
        <v>5995</v>
      </c>
      <c r="W4191" s="1" t="s">
        <v>5996</v>
      </c>
      <c r="AR4191" s="1" t="str">
        <f t="shared" si="261"/>
        <v>| [ㄊㄚˋ](ㄊㄚˋ.md) | [漯](漯.md) |  | tà | [名]
河川名。古時黃河的一支流。其故道自今大陸地區河南省涉縣分出，行今黃河之北，經河北省而入山東省，於今黃河之南，東流入海。因河道屢有變遷，文獻上記載時有不同，舊跡今已不存。 |</v>
      </c>
    </row>
    <row r="4192" spans="1:44" hidden="1">
      <c r="A4192" s="1" t="s">
        <v>5997</v>
      </c>
      <c r="C4192" s="1">
        <v>1</v>
      </c>
      <c r="D4192" s="1" t="str">
        <f>"02447"</f>
        <v>02447</v>
      </c>
      <c r="E4192" s="1" t="s">
        <v>558</v>
      </c>
      <c r="F4192" s="1">
        <v>14</v>
      </c>
      <c r="G4192" s="1">
        <v>10</v>
      </c>
      <c r="H4192" s="1">
        <v>0</v>
      </c>
      <c r="I4192" s="1" t="s">
        <v>5953</v>
      </c>
      <c r="K4192" s="1" t="str">
        <f t="shared" si="258"/>
        <v>ㄊ</v>
      </c>
      <c r="L4192" s="1" t="str">
        <f t="shared" si="259"/>
        <v>ㄚ</v>
      </c>
      <c r="N4192" s="3" t="s">
        <v>30574</v>
      </c>
      <c r="O4192" s="3"/>
      <c r="P4192" s="1" t="s">
        <v>20</v>
      </c>
      <c r="R4192" s="1" t="s">
        <v>5954</v>
      </c>
      <c r="V4192" s="1" t="s">
        <v>5998</v>
      </c>
      <c r="AR4192" s="1" t="str">
        <f t="shared" si="261"/>
        <v>| [ㄊㄚˋ](ㄊㄚˋ.md) | [遝](遝.md) |  | tà | 參見「雜遝」條。 |</v>
      </c>
    </row>
    <row r="4193" spans="1:44" hidden="1">
      <c r="A4193" s="1" t="s">
        <v>5999</v>
      </c>
      <c r="C4193" s="1">
        <v>1</v>
      </c>
      <c r="D4193" s="1" t="str">
        <f>"02448"</f>
        <v>02448</v>
      </c>
      <c r="E4193" s="1" t="s">
        <v>28</v>
      </c>
      <c r="F4193" s="1">
        <v>17</v>
      </c>
      <c r="G4193" s="1">
        <v>14</v>
      </c>
      <c r="H4193" s="1">
        <v>0</v>
      </c>
      <c r="I4193" s="1" t="s">
        <v>5953</v>
      </c>
      <c r="K4193" s="1" t="str">
        <f t="shared" si="258"/>
        <v>ㄊ</v>
      </c>
      <c r="L4193" s="1" t="str">
        <f t="shared" si="259"/>
        <v>ㄚ</v>
      </c>
      <c r="N4193" s="3" t="s">
        <v>30574</v>
      </c>
      <c r="O4193" s="3"/>
      <c r="P4193" s="1" t="s">
        <v>20</v>
      </c>
      <c r="R4193" s="1" t="s">
        <v>5954</v>
      </c>
      <c r="V4193" s="1" t="s">
        <v>6000</v>
      </c>
      <c r="AR4193" s="1" t="str">
        <f t="shared" si="261"/>
        <v>| [ㄊㄚˋ](ㄊㄚˋ.md) | [嚃](嚃.md) |  | tà | [動]
大口吃喝。《禮記．曲禮上》：「毋嚃羹。」漢．鄭玄．注：「嚃為不嚼菜。」 |</v>
      </c>
    </row>
    <row r="4194" spans="1:44" hidden="1">
      <c r="A4194" s="1" t="s">
        <v>5950</v>
      </c>
      <c r="C4194" s="1">
        <v>1</v>
      </c>
      <c r="D4194" s="1" t="str">
        <f>"02449"</f>
        <v>02449</v>
      </c>
      <c r="E4194" s="1" t="s">
        <v>198</v>
      </c>
      <c r="F4194" s="1">
        <v>19</v>
      </c>
      <c r="G4194" s="1">
        <v>16</v>
      </c>
      <c r="H4194" s="1">
        <v>1</v>
      </c>
      <c r="I4194" s="1" t="s">
        <v>5953</v>
      </c>
      <c r="K4194" s="1" t="str">
        <f t="shared" si="258"/>
        <v>ㄊ</v>
      </c>
      <c r="L4194" s="1" t="str">
        <f t="shared" si="259"/>
        <v>ㄚ</v>
      </c>
      <c r="N4194" s="3" t="s">
        <v>30574</v>
      </c>
      <c r="O4194" s="3"/>
      <c r="P4194" s="1" t="s">
        <v>20</v>
      </c>
      <c r="R4194" s="1" t="s">
        <v>5954</v>
      </c>
      <c r="V4194" s="1" t="s">
        <v>6001</v>
      </c>
      <c r="W4194" s="1" t="s">
        <v>6002</v>
      </c>
      <c r="AR4194" s="1" t="str">
        <f t="shared" si="261"/>
        <v>| [ㄊㄚˋ](ㄊㄚˋ.md) | [獺](獺.md) |  | tà | [名]
動物名。哺乳動物綱食肉目。分水獺、海獺、旱獺三種。 |</v>
      </c>
    </row>
    <row r="4195" spans="1:44" hidden="1">
      <c r="A4195" s="1" t="s">
        <v>6003</v>
      </c>
      <c r="C4195" s="1">
        <v>1</v>
      </c>
      <c r="D4195" s="1" t="str">
        <f>"02450"</f>
        <v>02450</v>
      </c>
      <c r="E4195" s="1" t="s">
        <v>709</v>
      </c>
      <c r="F4195" s="1">
        <v>20</v>
      </c>
      <c r="G4195" s="1">
        <v>12</v>
      </c>
      <c r="H4195" s="1">
        <v>2</v>
      </c>
      <c r="I4195" s="1" t="s">
        <v>5953</v>
      </c>
      <c r="K4195" s="1" t="str">
        <f t="shared" si="258"/>
        <v>ㄊ</v>
      </c>
      <c r="L4195" s="1" t="str">
        <f t="shared" si="259"/>
        <v>ㄚ</v>
      </c>
      <c r="N4195" s="3" t="s">
        <v>30574</v>
      </c>
      <c r="O4195" s="3"/>
      <c r="P4195" s="1" t="s">
        <v>20</v>
      </c>
      <c r="R4195" s="1" t="s">
        <v>5954</v>
      </c>
      <c r="V4195" s="1" t="s">
        <v>6004</v>
      </c>
      <c r="W4195" s="1" t="s">
        <v>6005</v>
      </c>
      <c r="AR4195" s="1" t="str">
        <f t="shared" si="261"/>
        <v>| [ㄊㄚˋ](ㄊㄚˋ.md) | [闟](闟.md) |  | tà | [擬]_x000D_
模擬物體墮落的聲音。《通俗編．聲音》引《韓詩外傳》：「闟然投鐮于地。」 |</v>
      </c>
    </row>
    <row r="4196" spans="1:44" hidden="1">
      <c r="A4196" s="1" t="s">
        <v>5943</v>
      </c>
      <c r="C4196" s="1">
        <v>1</v>
      </c>
      <c r="D4196" s="1" t="str">
        <f>"02423"</f>
        <v>02423</v>
      </c>
      <c r="E4196" s="1" t="s">
        <v>132</v>
      </c>
      <c r="F4196" s="1">
        <v>13</v>
      </c>
      <c r="G4196" s="1">
        <v>10</v>
      </c>
      <c r="H4196" s="1">
        <v>0</v>
      </c>
      <c r="I4196" s="1" t="s">
        <v>5944</v>
      </c>
      <c r="K4196" s="1" t="str">
        <f t="shared" si="258"/>
        <v>ㄊ</v>
      </c>
      <c r="L4196" s="1" t="str">
        <f t="shared" si="259"/>
        <v>ㄚ</v>
      </c>
      <c r="N4196" s="3" t="s">
        <v>30576</v>
      </c>
      <c r="O4196" s="3"/>
      <c r="P4196" s="1" t="s">
        <v>20</v>
      </c>
      <c r="R4196" s="1" t="s">
        <v>5945</v>
      </c>
      <c r="V4196" s="1" t="s">
        <v>5946</v>
      </c>
      <c r="AR4196" s="1" t="str">
        <f t="shared" si="261"/>
        <v>| [ㄊㄚˇ](ㄊㄚˇ.md) | [塔](塔.md) |  | tǎ | [名]
1.形高頂尖的建築物，築於佛寺內用以藏舍利和經卷等。源出於印度。層數多為單數，用木、磚、石等材料建成。也稱為「佛圖」、「浮圖」、「浮屠」、「窣堵波」。
2.高聳而形狀似塔的建築物。如：「燈塔」、「水塔」、「瞭望塔」、「金字塔」。
3.一種西式點心。為英語tart的音譯。指上層無皮露餡的小甜餅或水果派。如：「蛋塔」、「椰子塔」。 |</v>
      </c>
    </row>
    <row r="4197" spans="1:44" hidden="1">
      <c r="A4197" s="1" t="s">
        <v>5947</v>
      </c>
      <c r="C4197" s="1">
        <v>1</v>
      </c>
      <c r="D4197" s="1" t="str">
        <f>"02424"</f>
        <v>02424</v>
      </c>
      <c r="E4197" s="1" t="s">
        <v>55</v>
      </c>
      <c r="F4197" s="1">
        <v>18</v>
      </c>
      <c r="G4197" s="1">
        <v>10</v>
      </c>
      <c r="H4197" s="1">
        <v>2</v>
      </c>
      <c r="I4197" s="1" t="s">
        <v>5944</v>
      </c>
      <c r="K4197" s="1" t="str">
        <f t="shared" si="258"/>
        <v>ㄊ</v>
      </c>
      <c r="L4197" s="1" t="str">
        <f t="shared" si="259"/>
        <v>ㄚ</v>
      </c>
      <c r="N4197" s="3" t="s">
        <v>30576</v>
      </c>
      <c r="O4197" s="3"/>
      <c r="P4197" s="1" t="s">
        <v>20</v>
      </c>
      <c r="R4197" s="1" t="s">
        <v>5945</v>
      </c>
      <c r="V4197" s="1" t="s">
        <v>5948</v>
      </c>
      <c r="W4197" s="1" t="s">
        <v>5949</v>
      </c>
      <c r="AR4197" s="1" t="str">
        <f t="shared" si="261"/>
        <v>| [ㄊㄚˇ](ㄊㄚˇ.md) | [鎝](鎝.md) |  | tǎ | [名]
（technetium，Tc）化學元素。原子序43。是人工合成的放射性金屬元素。地殼中含有從鈾自發裂變產生的極少量的鎝，由於壽命較短，故不可能存有原生鎝。鎝化合物和合金具有很好的防腐蝕性能。中國大陸譯為「鍀」。 |</v>
      </c>
    </row>
    <row r="4198" spans="1:44" hidden="1">
      <c r="A4198" s="1" t="s">
        <v>5950</v>
      </c>
      <c r="C4198" s="1">
        <v>1</v>
      </c>
      <c r="D4198" s="1" t="str">
        <f>"02425"</f>
        <v>02425</v>
      </c>
      <c r="E4198" s="1" t="s">
        <v>198</v>
      </c>
      <c r="F4198" s="1">
        <v>19</v>
      </c>
      <c r="G4198" s="1">
        <v>16</v>
      </c>
      <c r="H4198" s="1">
        <v>2</v>
      </c>
      <c r="I4198" s="1" t="s">
        <v>5944</v>
      </c>
      <c r="K4198" s="1" t="str">
        <f t="shared" si="258"/>
        <v>ㄊ</v>
      </c>
      <c r="L4198" s="1" t="str">
        <f t="shared" si="259"/>
        <v>ㄚ</v>
      </c>
      <c r="N4198" s="3" t="s">
        <v>30576</v>
      </c>
      <c r="O4198" s="3"/>
      <c r="P4198" s="1" t="s">
        <v>110</v>
      </c>
      <c r="R4198" s="1" t="s">
        <v>5945</v>
      </c>
      <c r="V4198" s="1" t="s">
        <v>111</v>
      </c>
      <c r="W4198" s="1" t="s">
        <v>5951</v>
      </c>
      <c r="AR4198" s="1" t="str">
        <f t="shared" si="261"/>
        <v>| [ㄊㄚˇ](ㄊㄚˇ.md) | [獺](獺.md) |  | tǎ | (一)之又音。 |</v>
      </c>
    </row>
    <row r="4199" spans="1:44" hidden="1">
      <c r="A4199" s="1" t="s">
        <v>6006</v>
      </c>
      <c r="C4199" s="1">
        <v>1</v>
      </c>
      <c r="D4199" s="1" t="str">
        <f>"02451"</f>
        <v>02451</v>
      </c>
      <c r="E4199" s="1" t="s">
        <v>250</v>
      </c>
      <c r="F4199" s="1">
        <v>7</v>
      </c>
      <c r="G4199" s="1">
        <v>3</v>
      </c>
      <c r="H4199" s="1">
        <v>0</v>
      </c>
      <c r="I4199" s="1" t="s">
        <v>6007</v>
      </c>
      <c r="K4199" s="1" t="str">
        <f t="shared" si="258"/>
        <v>ㄊ</v>
      </c>
      <c r="L4199" s="1" t="str">
        <f t="shared" si="259"/>
        <v>ㄜ</v>
      </c>
      <c r="N4199" s="3" t="s">
        <v>30574</v>
      </c>
      <c r="O4199" s="3"/>
      <c r="P4199" s="1" t="s">
        <v>20</v>
      </c>
      <c r="R4199" s="1" t="s">
        <v>6008</v>
      </c>
      <c r="V4199" s="1" t="s">
        <v>6009</v>
      </c>
      <c r="AR4199" s="1" t="str">
        <f t="shared" si="261"/>
        <v>| [ㄊㄜˋ](ㄊㄜˋ.md) | [忒](忒.md) |  | tè | [副]
過分、過甚。通「太」。元．關漢卿《救風塵》第一折：「那做丈夫的忒老實。」《初刻拍案驚奇》卷七：「官家作戲，忒沒道理！」
[動]
1.變更。《文選．王粲．贈士孫文始詩》：「龍雖勿用，志亦靡忒。」
2.差錯、失誤。《易經．豫卦．彖曰》：「故日月不過，而四時不忒。」
[形]
凶惡。《文選．陳琳．為袁紹檄豫州》：「而操遂承資跋扈，肆行凶忒。」 |</v>
      </c>
    </row>
    <row r="4200" spans="1:44" hidden="1">
      <c r="A4200" s="1" t="s">
        <v>6010</v>
      </c>
      <c r="C4200" s="1">
        <v>1</v>
      </c>
      <c r="D4200" s="1" t="str">
        <f>"02452"</f>
        <v>02452</v>
      </c>
      <c r="E4200" s="1" t="s">
        <v>55</v>
      </c>
      <c r="F4200" s="1">
        <v>15</v>
      </c>
      <c r="G4200" s="1">
        <v>7</v>
      </c>
      <c r="H4200" s="1">
        <v>0</v>
      </c>
      <c r="I4200" s="1" t="s">
        <v>6007</v>
      </c>
      <c r="K4200" s="1" t="str">
        <f t="shared" ref="K4200:K4228" si="262">LEFT(I4200, 1)</f>
        <v>ㄊ</v>
      </c>
      <c r="L4200" s="1" t="str">
        <f t="shared" ref="L4200:L4228" si="263">MID(I4200, 2, 1)</f>
        <v>ㄜ</v>
      </c>
      <c r="N4200" s="3" t="s">
        <v>30574</v>
      </c>
      <c r="O4200" s="3"/>
      <c r="P4200" s="1" t="s">
        <v>20</v>
      </c>
      <c r="R4200" s="1" t="s">
        <v>6008</v>
      </c>
      <c r="V4200" s="1" t="s">
        <v>6011</v>
      </c>
      <c r="AR4200" s="1" t="str">
        <f t="shared" si="261"/>
        <v>| [ㄊㄜˋ](ㄊㄜˋ.md) | [鋱](鋱.md) |  | tè | [名]
（terbium，Tb）化學元素。原子序65。鑭系元素之一。金屬鋱呈銀灰色，在室溫下會被空氣和水慢慢氧化。用於高溫燃料電池和雷射材料。 |</v>
      </c>
    </row>
    <row r="4201" spans="1:44" hidden="1">
      <c r="A4201" s="1" t="s">
        <v>6012</v>
      </c>
      <c r="C4201" s="1">
        <v>1</v>
      </c>
      <c r="D4201" s="1" t="str">
        <f>"02453"</f>
        <v>02453</v>
      </c>
      <c r="E4201" s="1" t="s">
        <v>250</v>
      </c>
      <c r="F4201" s="1">
        <v>7</v>
      </c>
      <c r="G4201" s="1">
        <v>3</v>
      </c>
      <c r="H4201" s="1">
        <v>0</v>
      </c>
      <c r="I4201" s="1" t="s">
        <v>6007</v>
      </c>
      <c r="K4201" s="1" t="str">
        <f t="shared" si="262"/>
        <v>ㄊ</v>
      </c>
      <c r="L4201" s="1" t="str">
        <f t="shared" si="263"/>
        <v>ㄜ</v>
      </c>
      <c r="N4201" s="3" t="s">
        <v>30574</v>
      </c>
      <c r="O4201" s="3"/>
      <c r="P4201" s="1" t="s">
        <v>20</v>
      </c>
      <c r="R4201" s="1" t="s">
        <v>6008</v>
      </c>
      <c r="V4201" s="1" t="s">
        <v>6013</v>
      </c>
      <c r="AR4201" s="1" t="str">
        <f t="shared" si="261"/>
        <v>| [ㄊㄜˋ](ㄊㄜˋ.md) | [忑](忑.md) |  | tè | 參見「忐忑」條。 |</v>
      </c>
    </row>
    <row r="4202" spans="1:44" hidden="1">
      <c r="A4202" s="1" t="s">
        <v>6014</v>
      </c>
      <c r="C4202" s="1">
        <v>1</v>
      </c>
      <c r="D4202" s="1" t="str">
        <f>"02454"</f>
        <v>02454</v>
      </c>
      <c r="E4202" s="1" t="s">
        <v>505</v>
      </c>
      <c r="F4202" s="1">
        <v>10</v>
      </c>
      <c r="G4202" s="1">
        <v>3</v>
      </c>
      <c r="H4202" s="1">
        <v>0</v>
      </c>
      <c r="I4202" s="1" t="s">
        <v>6007</v>
      </c>
      <c r="K4202" s="1" t="str">
        <f t="shared" si="262"/>
        <v>ㄊ</v>
      </c>
      <c r="L4202" s="1" t="str">
        <f t="shared" si="263"/>
        <v>ㄜ</v>
      </c>
      <c r="N4202" s="3" t="s">
        <v>30574</v>
      </c>
      <c r="O4202" s="3"/>
      <c r="P4202" s="1" t="s">
        <v>20</v>
      </c>
      <c r="R4202" s="1" t="s">
        <v>6008</v>
      </c>
      <c r="V4202" s="1" t="s">
        <v>6015</v>
      </c>
      <c r="AR4202" s="1" t="str">
        <f t="shared" si="261"/>
        <v>| [ㄊㄜˋ](ㄊㄜˋ.md) | [貣](貣.md) |  | tè | [動]
乞求。《荀子．儒效》：「今有人於此，屑然藏千溢之寶，雖行貣而食，人謂之富矣。」 |</v>
      </c>
    </row>
    <row r="4203" spans="1:44" hidden="1">
      <c r="A4203" s="1" t="s">
        <v>4752</v>
      </c>
      <c r="C4203" s="1">
        <v>1</v>
      </c>
      <c r="D4203" s="1" t="str">
        <f>"02455"</f>
        <v>02455</v>
      </c>
      <c r="E4203" s="1" t="s">
        <v>505</v>
      </c>
      <c r="F4203" s="1">
        <v>12</v>
      </c>
      <c r="G4203" s="1">
        <v>5</v>
      </c>
      <c r="H4203" s="1">
        <v>2</v>
      </c>
      <c r="I4203" s="1" t="s">
        <v>6007</v>
      </c>
      <c r="K4203" s="1" t="str">
        <f t="shared" si="262"/>
        <v>ㄊ</v>
      </c>
      <c r="L4203" s="1" t="str">
        <f t="shared" si="263"/>
        <v>ㄜ</v>
      </c>
      <c r="N4203" s="3" t="s">
        <v>30574</v>
      </c>
      <c r="O4203" s="3"/>
      <c r="P4203" s="1" t="s">
        <v>20</v>
      </c>
      <c r="R4203" s="1" t="s">
        <v>6008</v>
      </c>
      <c r="V4203" s="1" t="s">
        <v>6016</v>
      </c>
      <c r="W4203" s="1" t="s">
        <v>6017</v>
      </c>
      <c r="AR4203" s="1" t="str">
        <f t="shared" si="261"/>
        <v>| [ㄊㄜˋ](ㄊㄜˋ.md) | [貸](貸.md) |  | tè | [動]_x000D_
失誤、差錯。通「忒」。《禮記．月令》：「乃命大史，守典奉法，司天日月星辰之行，宿離不貸。」宋．俞文豹《吹劍錄外集》：「今二先生以道統自任，以師嚴自居，別白是否，分毫不貸。」 |</v>
      </c>
    </row>
    <row r="4204" spans="1:44" hidden="1">
      <c r="A4204" s="1" t="s">
        <v>6018</v>
      </c>
      <c r="C4204" s="1">
        <v>1</v>
      </c>
      <c r="D4204" s="1" t="str">
        <f>"02456"</f>
        <v>02456</v>
      </c>
      <c r="E4204" s="1" t="s">
        <v>518</v>
      </c>
      <c r="F4204" s="1">
        <v>10</v>
      </c>
      <c r="G4204" s="1">
        <v>6</v>
      </c>
      <c r="H4204" s="1">
        <v>0</v>
      </c>
      <c r="I4204" s="1" t="s">
        <v>6007</v>
      </c>
      <c r="K4204" s="1" t="str">
        <f t="shared" si="262"/>
        <v>ㄊ</v>
      </c>
      <c r="L4204" s="1" t="str">
        <f t="shared" si="263"/>
        <v>ㄜ</v>
      </c>
      <c r="N4204" s="3" t="s">
        <v>30574</v>
      </c>
      <c r="O4204" s="3"/>
      <c r="P4204" s="1" t="s">
        <v>20</v>
      </c>
      <c r="R4204" s="1" t="s">
        <v>6008</v>
      </c>
      <c r="V4204" s="1" t="s">
        <v>6019</v>
      </c>
      <c r="AR4204" s="1" t="str">
        <f t="shared" si="261"/>
        <v>| [ㄊㄜˋ](ㄊㄜˋ.md) | [特](特.md) |  | tè | [形]
1.與眾不同的、超出一般的。如：「獨特」、「特等」、「奇特」。
2.雄性的。如：「特牛」、「特牲」。
[副]
1.特別。如：「特地」、「特意」。《文選．李密．陳情表》：「況臣孤苦，特為尤甚！」
2.只、但。如：「不特」、「非特」。
[名]
1.配偶。《詩經．鄘風．柏舟》：「髧彼兩髦，實維我特。」
2.特務。如：「匪特」、「敵特」。 |</v>
      </c>
    </row>
    <row r="4205" spans="1:44" hidden="1">
      <c r="A4205" s="1" t="s">
        <v>6020</v>
      </c>
      <c r="C4205" s="1">
        <v>1</v>
      </c>
      <c r="D4205" s="1" t="str">
        <f>"02457"</f>
        <v>02457</v>
      </c>
      <c r="E4205" s="1" t="s">
        <v>250</v>
      </c>
      <c r="F4205" s="1">
        <v>15</v>
      </c>
      <c r="G4205" s="1">
        <v>11</v>
      </c>
      <c r="H4205" s="1">
        <v>0</v>
      </c>
      <c r="I4205" s="1" t="s">
        <v>6007</v>
      </c>
      <c r="K4205" s="1" t="str">
        <f t="shared" si="262"/>
        <v>ㄊ</v>
      </c>
      <c r="L4205" s="1" t="str">
        <f t="shared" si="263"/>
        <v>ㄜ</v>
      </c>
      <c r="N4205" s="3" t="s">
        <v>30574</v>
      </c>
      <c r="O4205" s="3"/>
      <c r="P4205" s="1" t="s">
        <v>20</v>
      </c>
      <c r="R4205" s="1" t="s">
        <v>6008</v>
      </c>
      <c r="V4205" s="1" t="s">
        <v>6021</v>
      </c>
      <c r="AR4205" s="1" t="str">
        <f t="shared" si="261"/>
        <v>| [ㄊㄜˋ](ㄊㄜˋ.md) | [慝](慝.md) |  | tè | [名]
1.邪惡。《詩經．大雅．民勞》：「式遏寇虐，無俾作慝。」
2.壞人。《資治通鑑．卷二三二．唐紀四十八．德宗貞元元年》：「實眾慝驚心之日，群生改觀之時。」元．胡三省．注：「眾慝，猶言眾惡也。」
3.災害。《國語．晉語八》：「蠱之慝，穀之飛實生之。」
[動]
改變。通「忒」。《詩經．鄘風．柏舟》：「髧彼兩髦，實維我特，之死矢靡慝。」 |</v>
      </c>
    </row>
    <row r="4206" spans="1:44" hidden="1">
      <c r="A4206" s="1" t="s">
        <v>6022</v>
      </c>
      <c r="C4206" s="1">
        <v>1</v>
      </c>
      <c r="D4206" s="1" t="str">
        <f>"02458"</f>
        <v>02458</v>
      </c>
      <c r="E4206" s="1" t="s">
        <v>679</v>
      </c>
      <c r="F4206" s="1">
        <v>16</v>
      </c>
      <c r="G4206" s="1">
        <v>10</v>
      </c>
      <c r="H4206" s="1">
        <v>2</v>
      </c>
      <c r="I4206" s="1" t="s">
        <v>6007</v>
      </c>
      <c r="K4206" s="1" t="str">
        <f t="shared" si="262"/>
        <v>ㄊ</v>
      </c>
      <c r="L4206" s="1" t="str">
        <f t="shared" si="263"/>
        <v>ㄜ</v>
      </c>
      <c r="N4206" s="3" t="s">
        <v>30574</v>
      </c>
      <c r="O4206" s="3"/>
      <c r="P4206" s="1" t="s">
        <v>20</v>
      </c>
      <c r="R4206" s="1" t="s">
        <v>6008</v>
      </c>
      <c r="V4206" s="1" t="s">
        <v>6023</v>
      </c>
      <c r="W4206" s="1" t="s">
        <v>6024</v>
      </c>
      <c r="AR4206" s="1" t="str">
        <f t="shared" si="261"/>
        <v>| [ㄊㄜˋ](ㄊㄜˋ.md) | [螣](螣.md) |  | tè | [名]
一種專食苗葉的小青蟲。元．元好問〈雁門道中書所見〉詩：「食禾有百螣，擇肉非一虎。」 |</v>
      </c>
    </row>
    <row r="4207" spans="1:44" hidden="1">
      <c r="A4207" s="1" t="s">
        <v>4679</v>
      </c>
      <c r="C4207" s="1">
        <v>1</v>
      </c>
      <c r="D4207" s="1" t="str">
        <f>"02476"</f>
        <v>02476</v>
      </c>
      <c r="E4207" s="1" t="s">
        <v>563</v>
      </c>
      <c r="F4207" s="1">
        <v>3</v>
      </c>
      <c r="G4207" s="1">
        <v>0</v>
      </c>
      <c r="H4207" s="1">
        <v>3</v>
      </c>
      <c r="I4207" s="1" t="s">
        <v>6065</v>
      </c>
      <c r="K4207" s="1" t="str">
        <f t="shared" si="262"/>
        <v>ㄊ</v>
      </c>
      <c r="L4207" s="1" t="str">
        <f t="shared" si="263"/>
        <v>ㄞ</v>
      </c>
      <c r="N4207" s="3" t="s">
        <v>30574</v>
      </c>
      <c r="O4207" s="3"/>
      <c r="P4207" s="1" t="s">
        <v>20</v>
      </c>
      <c r="R4207" s="1" t="s">
        <v>6066</v>
      </c>
      <c r="V4207" s="1" t="s">
        <v>6067</v>
      </c>
      <c r="W4207" s="1" t="s">
        <v>6068</v>
      </c>
      <c r="AR4207" s="1" t="str">
        <f t="shared" si="261"/>
        <v>| [ㄊㄞˋ](ㄊㄞˋ.md) | [大](大.md) |  | tài | [形]
至高無上的。通「太」、「泰」。清．江沅《說文釋例．卷上．釋字例．大》：「古兄作『大』，不作『太』、『泰』。《易》之『大極』，《春秋》之『大子』、『大上』，《尚書》之『大誓』、『大王王季』，《史》、《漢》之『大上皇』、『大后』，後人皆讀為太。或徑改本書，作『太』及『泰』。」 |</v>
      </c>
    </row>
    <row r="4208" spans="1:44" hidden="1">
      <c r="A4208" s="1" t="s">
        <v>6069</v>
      </c>
      <c r="C4208" s="1">
        <v>1</v>
      </c>
      <c r="D4208" s="1" t="str">
        <f>"02477"</f>
        <v>02477</v>
      </c>
      <c r="E4208" s="1" t="s">
        <v>250</v>
      </c>
      <c r="F4208" s="1">
        <v>6</v>
      </c>
      <c r="G4208" s="1">
        <v>3</v>
      </c>
      <c r="H4208" s="1">
        <v>1</v>
      </c>
      <c r="I4208" s="1" t="s">
        <v>6065</v>
      </c>
      <c r="K4208" s="1" t="str">
        <f t="shared" si="262"/>
        <v>ㄊ</v>
      </c>
      <c r="L4208" s="1" t="str">
        <f t="shared" si="263"/>
        <v>ㄞ</v>
      </c>
      <c r="N4208" s="3" t="s">
        <v>30574</v>
      </c>
      <c r="O4208" s="3"/>
      <c r="P4208" s="1" t="s">
        <v>20</v>
      </c>
      <c r="R4208" s="1" t="s">
        <v>6066</v>
      </c>
      <c r="V4208" s="1" t="s">
        <v>6070</v>
      </c>
      <c r="W4208" s="1" t="s">
        <v>6071</v>
      </c>
      <c r="AR4208" s="1" t="str">
        <f t="shared" si="261"/>
        <v>| [ㄊㄞˋ](ㄊㄞˋ.md) | [忕](忕.md) |  | tài | [形]
奢侈。《晉書．卷三三．何曾傳》：「劉毅等數劾奏曾侈忕無度。」《文選．張衡．西京賦》：「有憑虛公子，心侈體忕。」 |</v>
      </c>
    </row>
    <row r="4209" spans="1:44" hidden="1">
      <c r="A4209" s="1" t="s">
        <v>6072</v>
      </c>
      <c r="C4209" s="1">
        <v>1</v>
      </c>
      <c r="D4209" s="1" t="str">
        <f>"02478"</f>
        <v>02478</v>
      </c>
      <c r="E4209" s="1" t="s">
        <v>563</v>
      </c>
      <c r="F4209" s="1">
        <v>4</v>
      </c>
      <c r="G4209" s="1">
        <v>1</v>
      </c>
      <c r="H4209" s="1">
        <v>0</v>
      </c>
      <c r="I4209" s="1" t="s">
        <v>6065</v>
      </c>
      <c r="K4209" s="1" t="str">
        <f t="shared" si="262"/>
        <v>ㄊ</v>
      </c>
      <c r="L4209" s="1" t="str">
        <f t="shared" si="263"/>
        <v>ㄞ</v>
      </c>
      <c r="N4209" s="3" t="s">
        <v>30574</v>
      </c>
      <c r="O4209" s="3"/>
      <c r="P4209" s="1" t="s">
        <v>20</v>
      </c>
      <c r="R4209" s="1" t="s">
        <v>6066</v>
      </c>
      <c r="V4209" s="1" t="s">
        <v>6073</v>
      </c>
      <c r="AR4209" s="1" t="str">
        <f t="shared" si="261"/>
        <v>| [ㄊㄞˋ](ㄊㄞˋ.md) | [太](太.md) |  | tài | [副]
1.過甚。如：「太多」、「太熱」、「太客氣了！」
2.形容程度極高（多用於肯定）。如：「太偉大了！」、「太精細了！」
3.很（多用於否定）。如：「不太好」、「不太妙」。
[形]
1.極、最。如：「太古」、「太始」。
2.高或大。如：「太學」、「太空」。
3.身分、輩分最高或更高的。如：「太老伯」、「太老師」、「太夫人」。
[名]
稱謂：(1)用以尊稱輩分極高的長輩。如：「祖太」、「阿太」。(2)參見「太太」條。 |</v>
      </c>
    </row>
    <row r="4210" spans="1:44" hidden="1">
      <c r="A4210" s="1" t="s">
        <v>6074</v>
      </c>
      <c r="C4210" s="1">
        <v>1</v>
      </c>
      <c r="D4210" s="1" t="str">
        <f>"02479"</f>
        <v>02479</v>
      </c>
      <c r="E4210" s="1" t="s">
        <v>129</v>
      </c>
      <c r="F4210" s="1">
        <v>7</v>
      </c>
      <c r="G4210" s="1">
        <v>4</v>
      </c>
      <c r="H4210" s="1">
        <v>0</v>
      </c>
      <c r="I4210" s="1" t="s">
        <v>6065</v>
      </c>
      <c r="K4210" s="1" t="str">
        <f t="shared" si="262"/>
        <v>ㄊ</v>
      </c>
      <c r="L4210" s="1" t="str">
        <f t="shared" si="263"/>
        <v>ㄞ</v>
      </c>
      <c r="N4210" s="3" t="s">
        <v>30574</v>
      </c>
      <c r="O4210" s="3"/>
      <c r="P4210" s="1" t="s">
        <v>20</v>
      </c>
      <c r="R4210" s="1" t="s">
        <v>6066</v>
      </c>
      <c r="V4210" s="1" t="s">
        <v>6075</v>
      </c>
      <c r="AR4210" s="1" t="str">
        <f t="shared" si="261"/>
        <v>| [ㄊㄞˋ](ㄊㄞˋ.md) | [汰](汰.md) |  | tài | [動]
沖洗、除去無用的事物。如：「淘汰」、「汰舊換新」、「汰弱留強」。
[形]
過分的。如：「汰侈」、「奢汰」。 |</v>
      </c>
    </row>
    <row r="4211" spans="1:44" hidden="1">
      <c r="A4211" s="1" t="s">
        <v>6076</v>
      </c>
      <c r="C4211" s="1">
        <v>1</v>
      </c>
      <c r="D4211" s="1" t="str">
        <f>"02480"</f>
        <v>02480</v>
      </c>
      <c r="E4211" s="1" t="s">
        <v>68</v>
      </c>
      <c r="F4211" s="1">
        <v>8</v>
      </c>
      <c r="G4211" s="1">
        <v>4</v>
      </c>
      <c r="H4211" s="1">
        <v>0</v>
      </c>
      <c r="I4211" s="1" t="s">
        <v>6065</v>
      </c>
      <c r="K4211" s="1" t="str">
        <f t="shared" si="262"/>
        <v>ㄊ</v>
      </c>
      <c r="L4211" s="1" t="str">
        <f t="shared" si="263"/>
        <v>ㄞ</v>
      </c>
      <c r="N4211" s="3" t="s">
        <v>30574</v>
      </c>
      <c r="O4211" s="3"/>
      <c r="P4211" s="1" t="s">
        <v>20</v>
      </c>
      <c r="R4211" s="1" t="s">
        <v>6066</v>
      </c>
      <c r="V4211" s="1" t="s">
        <v>6077</v>
      </c>
      <c r="AR4211" s="1" t="str">
        <f t="shared" si="261"/>
        <v>| [ㄊㄞˋ](ㄊㄞˋ.md) | [肽](肽.md) |  | tài | [名]
在生化學中，兩個胺基酸脫去一分子水縮合後得到一個以肽鍵相連的二肽；以此類推，由多個胺基酸縮合而成為多肽。 |</v>
      </c>
    </row>
    <row r="4212" spans="1:44" hidden="1">
      <c r="A4212" s="1" t="s">
        <v>6078</v>
      </c>
      <c r="C4212" s="1">
        <v>1</v>
      </c>
      <c r="D4212" s="1" t="str">
        <f>"02481"</f>
        <v>02481</v>
      </c>
      <c r="E4212" s="1" t="s">
        <v>55</v>
      </c>
      <c r="F4212" s="1">
        <v>12</v>
      </c>
      <c r="G4212" s="1">
        <v>4</v>
      </c>
      <c r="H4212" s="1">
        <v>0</v>
      </c>
      <c r="I4212" s="1" t="s">
        <v>6065</v>
      </c>
      <c r="K4212" s="1" t="str">
        <f t="shared" si="262"/>
        <v>ㄊ</v>
      </c>
      <c r="L4212" s="1" t="str">
        <f t="shared" si="263"/>
        <v>ㄞ</v>
      </c>
      <c r="N4212" s="3" t="s">
        <v>30574</v>
      </c>
      <c r="O4212" s="3"/>
      <c r="P4212" s="1" t="s">
        <v>20</v>
      </c>
      <c r="R4212" s="1" t="s">
        <v>6066</v>
      </c>
      <c r="V4212" s="1" t="s">
        <v>6079</v>
      </c>
      <c r="AR4212" s="1" t="str">
        <f t="shared" si="261"/>
        <v>| [ㄊㄞˋ](ㄊㄞˋ.md) | [鈦](鈦.md) |  | tài | [名]
（titanium，Ti）化學元素。原子序22。金屬元素之一。帶銀灰色光澤。在地殼中貯量豐富。不溶於水，質堅韌而輕，耐腐蝕性強，延展性大。航空工業可使用純鈦或鈦合金，可用為醫療器材的化學鍍層，金屬陶瓷及金屬、陶瓷間的硬焊亦可用及。 |</v>
      </c>
    </row>
    <row r="4213" spans="1:44" hidden="1">
      <c r="A4213" s="1" t="s">
        <v>6080</v>
      </c>
      <c r="C4213" s="1">
        <v>1</v>
      </c>
      <c r="D4213" s="1" t="str">
        <f>"02482"</f>
        <v>02482</v>
      </c>
      <c r="E4213" s="1" t="s">
        <v>129</v>
      </c>
      <c r="F4213" s="1">
        <v>10</v>
      </c>
      <c r="G4213" s="1">
        <v>5</v>
      </c>
      <c r="H4213" s="1">
        <v>0</v>
      </c>
      <c r="I4213" s="1" t="s">
        <v>6065</v>
      </c>
      <c r="K4213" s="1" t="str">
        <f t="shared" si="262"/>
        <v>ㄊ</v>
      </c>
      <c r="L4213" s="1" t="str">
        <f t="shared" si="263"/>
        <v>ㄞ</v>
      </c>
      <c r="N4213" s="3" t="s">
        <v>30574</v>
      </c>
      <c r="O4213" s="3"/>
      <c r="P4213" s="1" t="s">
        <v>20</v>
      </c>
      <c r="R4213" s="1" t="s">
        <v>6066</v>
      </c>
      <c r="V4213" s="1" t="s">
        <v>6081</v>
      </c>
      <c r="AR4213" s="1" t="str">
        <f t="shared" si="261"/>
        <v>| [ㄊㄞˋ](ㄊㄞˋ.md) | [泰](泰.md) |  | tài | [形]
1.順適如意、命運亨通。如：「泰運」。
2.舒適、安樂。如：「福體康泰」、「國泰民安」。
3.奢侈。如：「驕泰」、「奢泰」。
4.暢通。如：「天地交泰」。
5.極。如：「泰西」。
[副]
甚。通「太」。如：「泰過」。
[名]
1.《易經》卦名。六十四卦之一。乾（☰）下坤（☷）上。為天地交而二氣通之象。
2.泰國的簡稱。 |</v>
      </c>
    </row>
    <row r="4214" spans="1:44" hidden="1">
      <c r="A4214" s="1" t="s">
        <v>6082</v>
      </c>
      <c r="C4214" s="1">
        <v>1</v>
      </c>
      <c r="D4214" s="1" t="str">
        <f>"02483"</f>
        <v>02483</v>
      </c>
      <c r="E4214" s="1" t="s">
        <v>250</v>
      </c>
      <c r="F4214" s="1">
        <v>14</v>
      </c>
      <c r="G4214" s="1">
        <v>10</v>
      </c>
      <c r="H4214" s="1">
        <v>0</v>
      </c>
      <c r="I4214" s="1" t="s">
        <v>6065</v>
      </c>
      <c r="K4214" s="1" t="str">
        <f t="shared" si="262"/>
        <v>ㄊ</v>
      </c>
      <c r="L4214" s="1" t="str">
        <f t="shared" si="263"/>
        <v>ㄞ</v>
      </c>
      <c r="N4214" s="3" t="s">
        <v>30574</v>
      </c>
      <c r="O4214" s="3"/>
      <c r="P4214" s="1" t="s">
        <v>20</v>
      </c>
      <c r="R4214" s="1" t="s">
        <v>6066</v>
      </c>
      <c r="V4214" s="1" t="s">
        <v>6083</v>
      </c>
      <c r="AR4214" s="1" t="str">
        <f t="shared" si="261"/>
        <v>| [ㄊㄞˋ](ㄊㄞˋ.md) | [態](態.md) |  | tài | [名]
1.情狀。如：「事態」、「形態」、「姿態」。
2.語法學上指通過一定的語法形式表示行為動作與主體的關係。一般分為兩種：(1)主動態：行為動作由主體發出。如：「他玩球。」(2)被動態：動作由主體承受。如：「球被他玩。」中文的被動態常用「被」、「給」等虛詞來表示。 |</v>
      </c>
    </row>
    <row r="4215" spans="1:44" hidden="1">
      <c r="A4215" s="1" t="s">
        <v>6035</v>
      </c>
      <c r="C4215" s="1">
        <v>1</v>
      </c>
      <c r="D4215" s="1" t="str">
        <f>"02462"</f>
        <v>02462</v>
      </c>
      <c r="E4215" s="1" t="s">
        <v>24</v>
      </c>
      <c r="F4215" s="1">
        <v>8</v>
      </c>
      <c r="G4215" s="1">
        <v>5</v>
      </c>
      <c r="H4215" s="1">
        <v>0</v>
      </c>
      <c r="I4215" s="1" t="s">
        <v>6036</v>
      </c>
      <c r="K4215" s="1" t="str">
        <f t="shared" si="262"/>
        <v>ㄊ</v>
      </c>
      <c r="L4215" s="1" t="str">
        <f t="shared" si="263"/>
        <v>ㄞ</v>
      </c>
      <c r="N4215" s="3" t="s">
        <v>30575</v>
      </c>
      <c r="O4215" s="3"/>
      <c r="P4215" s="1" t="s">
        <v>20</v>
      </c>
      <c r="R4215" s="1" t="s">
        <v>6037</v>
      </c>
      <c r="V4215" s="1" t="s">
        <v>6038</v>
      </c>
      <c r="AR4215" s="1" t="str">
        <f t="shared" si="261"/>
        <v>| [ㄊㄞˊ](ㄊㄞˊ.md) | [抬](抬.md) |  | tái | [動]_x000D_
1.舉起、提高。如：「抬頭挺胸」、「高抬貴手」、「哄抬物價」。_x000D_
2.兩人以上共同舉起東西。如：「抬轎子」、「抬擔架」。《三國演義》第七回：「屍首已被劉表軍士扛抬入城去了。」_x000D_
3.互相爭辯。如：「少跟我抬槓」、「三人抬不過個『理』字」。 |</v>
      </c>
    </row>
    <row r="4216" spans="1:44" hidden="1">
      <c r="A4216" s="1" t="s">
        <v>6039</v>
      </c>
      <c r="C4216" s="1">
        <v>1</v>
      </c>
      <c r="D4216" s="1" t="str">
        <f>"02463"</f>
        <v>02463</v>
      </c>
      <c r="E4216" s="1" t="s">
        <v>256</v>
      </c>
      <c r="F4216" s="1">
        <v>8</v>
      </c>
      <c r="G4216" s="1">
        <v>5</v>
      </c>
      <c r="H4216" s="1">
        <v>0</v>
      </c>
      <c r="I4216" s="1" t="s">
        <v>6036</v>
      </c>
      <c r="K4216" s="1" t="str">
        <f t="shared" si="262"/>
        <v>ㄊ</v>
      </c>
      <c r="L4216" s="1" t="str">
        <f t="shared" si="263"/>
        <v>ㄞ</v>
      </c>
      <c r="N4216" s="3" t="s">
        <v>30575</v>
      </c>
      <c r="O4216" s="3"/>
      <c r="P4216" s="1" t="s">
        <v>20</v>
      </c>
      <c r="R4216" s="1" t="s">
        <v>6037</v>
      </c>
      <c r="V4216" s="1" t="s">
        <v>6040</v>
      </c>
      <c r="AR4216" s="1" t="str">
        <f t="shared" si="261"/>
        <v>| [ㄊㄞˊ](ㄊㄞˊ.md) | [邰](邰.md) |  | tái | [名]
1.國名。后稷所封。故址約在今大陸地區陝西省武功縣西南。
2.姓。如明代有邰茂質。 |</v>
      </c>
    </row>
    <row r="4217" spans="1:44" hidden="1">
      <c r="A4217" s="1" t="s">
        <v>6030</v>
      </c>
      <c r="C4217" s="1">
        <v>1</v>
      </c>
      <c r="D4217" s="1" t="str">
        <f>"02464"</f>
        <v>02464</v>
      </c>
      <c r="E4217" s="1" t="s">
        <v>37</v>
      </c>
      <c r="F4217" s="1">
        <v>9</v>
      </c>
      <c r="G4217" s="1">
        <v>5</v>
      </c>
      <c r="H4217" s="1">
        <v>1</v>
      </c>
      <c r="I4217" s="1" t="s">
        <v>6036</v>
      </c>
      <c r="K4217" s="1" t="str">
        <f t="shared" si="262"/>
        <v>ㄊ</v>
      </c>
      <c r="L4217" s="1" t="str">
        <f t="shared" si="263"/>
        <v>ㄞ</v>
      </c>
      <c r="N4217" s="3" t="s">
        <v>30575</v>
      </c>
      <c r="O4217" s="3"/>
      <c r="P4217" s="1" t="s">
        <v>20</v>
      </c>
      <c r="R4217" s="1" t="s">
        <v>6037</v>
      </c>
      <c r="V4217" s="1" t="s">
        <v>6041</v>
      </c>
      <c r="W4217" s="1" t="s">
        <v>6042</v>
      </c>
      <c r="AR4217" s="1" t="str">
        <f t="shared" si="261"/>
        <v>| [ㄊㄞˊ](ㄊㄞˊ.md) | [苔](苔.md) |  | tái | [名]
植物名，苔蘚類植物下之一大群。配子體具假根及假葉，綠色。孢子體寄生於配子體上。 |</v>
      </c>
    </row>
    <row r="4218" spans="1:44" hidden="1">
      <c r="A4218" s="1" t="s">
        <v>6043</v>
      </c>
      <c r="C4218" s="1">
        <v>1</v>
      </c>
      <c r="D4218" s="1" t="str">
        <f>"02465"</f>
        <v>02465</v>
      </c>
      <c r="E4218" s="1" t="s">
        <v>336</v>
      </c>
      <c r="F4218" s="1">
        <v>9</v>
      </c>
      <c r="G4218" s="1">
        <v>5</v>
      </c>
      <c r="H4218" s="1">
        <v>0</v>
      </c>
      <c r="I4218" s="1" t="s">
        <v>6036</v>
      </c>
      <c r="K4218" s="1" t="str">
        <f t="shared" si="262"/>
        <v>ㄊ</v>
      </c>
      <c r="L4218" s="1" t="str">
        <f t="shared" si="263"/>
        <v>ㄞ</v>
      </c>
      <c r="N4218" s="3" t="s">
        <v>30575</v>
      </c>
      <c r="O4218" s="3"/>
      <c r="P4218" s="1" t="s">
        <v>20</v>
      </c>
      <c r="R4218" s="1" t="s">
        <v>6037</v>
      </c>
      <c r="V4218" s="1" t="s">
        <v>6044</v>
      </c>
      <c r="AR4218" s="1" t="str">
        <f t="shared" si="261"/>
        <v>| [ㄊㄞˊ](ㄊㄞˊ.md) | [炱](炱.md) |  | tái | [名]
煙氣凝結而成的黑灰。如：「煤炱」、「松炱」。 |</v>
      </c>
    </row>
    <row r="4219" spans="1:44" hidden="1">
      <c r="A4219" s="1" t="s">
        <v>6045</v>
      </c>
      <c r="C4219" s="1">
        <v>1</v>
      </c>
      <c r="D4219" s="1" t="str">
        <f>"02466"</f>
        <v>02466</v>
      </c>
      <c r="E4219" s="1" t="s">
        <v>77</v>
      </c>
      <c r="F4219" s="1">
        <v>12</v>
      </c>
      <c r="G4219" s="1">
        <v>5</v>
      </c>
      <c r="H4219" s="1">
        <v>0</v>
      </c>
      <c r="I4219" s="1" t="s">
        <v>6036</v>
      </c>
      <c r="K4219" s="1" t="str">
        <f t="shared" si="262"/>
        <v>ㄊ</v>
      </c>
      <c r="L4219" s="1" t="str">
        <f t="shared" si="263"/>
        <v>ㄞ</v>
      </c>
      <c r="N4219" s="3" t="s">
        <v>30575</v>
      </c>
      <c r="O4219" s="3"/>
      <c r="P4219" s="1" t="s">
        <v>20</v>
      </c>
      <c r="R4219" s="1" t="s">
        <v>6037</v>
      </c>
      <c r="V4219" s="1" t="s">
        <v>6046</v>
      </c>
      <c r="AR4219" s="1" t="str">
        <f t="shared" si="261"/>
        <v>| [ㄊㄞˊ](ㄊㄞˊ.md) | [跆](跆.md) |  | tái | [動]
踢踏、踐踏。如：「跆籍」、「跆拳」。 |</v>
      </c>
    </row>
    <row r="4220" spans="1:44" hidden="1">
      <c r="A4220" s="1" t="s">
        <v>6047</v>
      </c>
      <c r="C4220" s="1">
        <v>1</v>
      </c>
      <c r="D4220" s="1" t="str">
        <f>"02467"</f>
        <v>02467</v>
      </c>
      <c r="E4220" s="1" t="s">
        <v>1161</v>
      </c>
      <c r="F4220" s="1">
        <v>14</v>
      </c>
      <c r="G4220" s="1">
        <v>5</v>
      </c>
      <c r="H4220" s="1">
        <v>0</v>
      </c>
      <c r="I4220" s="1" t="s">
        <v>6036</v>
      </c>
      <c r="K4220" s="1" t="str">
        <f t="shared" si="262"/>
        <v>ㄊ</v>
      </c>
      <c r="L4220" s="1" t="str">
        <f t="shared" si="263"/>
        <v>ㄞ</v>
      </c>
      <c r="N4220" s="3" t="s">
        <v>30575</v>
      </c>
      <c r="O4220" s="3"/>
      <c r="P4220" s="1" t="s">
        <v>20</v>
      </c>
      <c r="R4220" s="1" t="s">
        <v>6037</v>
      </c>
      <c r="V4220" s="1" t="s">
        <v>6048</v>
      </c>
      <c r="AR4220" s="1" t="str">
        <f t="shared" si="261"/>
        <v>| [ㄊㄞˊ](ㄊㄞˊ.md) | [颱](颱.md) |  | tái | 參見「颱風」條。 |</v>
      </c>
    </row>
    <row r="4221" spans="1:44" hidden="1">
      <c r="A4221" s="1" t="s">
        <v>4774</v>
      </c>
      <c r="C4221" s="1">
        <v>1</v>
      </c>
      <c r="D4221" s="1" t="str">
        <f>"02468"</f>
        <v>02468</v>
      </c>
      <c r="E4221" s="1" t="s">
        <v>319</v>
      </c>
      <c r="F4221" s="1">
        <v>15</v>
      </c>
      <c r="G4221" s="1">
        <v>5</v>
      </c>
      <c r="H4221" s="1">
        <v>1</v>
      </c>
      <c r="I4221" s="1" t="s">
        <v>6036</v>
      </c>
      <c r="K4221" s="1" t="str">
        <f t="shared" si="262"/>
        <v>ㄊ</v>
      </c>
      <c r="L4221" s="1" t="str">
        <f t="shared" si="263"/>
        <v>ㄞ</v>
      </c>
      <c r="N4221" s="3" t="s">
        <v>30575</v>
      </c>
      <c r="O4221" s="3"/>
      <c r="P4221" s="1" t="s">
        <v>20</v>
      </c>
      <c r="R4221" s="1" t="s">
        <v>6037</v>
      </c>
      <c r="V4221" s="1" t="s">
        <v>6049</v>
      </c>
      <c r="W4221" s="1" t="s">
        <v>6050</v>
      </c>
      <c r="AR4221" s="1" t="str">
        <f t="shared" si="261"/>
        <v>| [ㄊㄞˊ](ㄊㄞˊ.md) | [駘](駘.md) |  | tái | [名]
1.劣馬。《楚辭．宋玉．九辯》：「卻騏驥而不乘兮，策駑駘而取路。」北周．庾信〈代人致乞致仕表〉：「臣又聞驅奔效駕，先輟於羸駘。」
2.比喻庸才。隋．江總〈勞酒賦〉：「謬陳力而策駘，豈酬恩于暮年。」
[動]
脫除、脫落。《後漢書．卷四二．崔寔傳》：「自數世以來，政多恩貸，馭委其轡，馬駘其銜。」 |</v>
      </c>
    </row>
    <row r="4222" spans="1:44" hidden="1">
      <c r="A4222" s="1" t="s">
        <v>6051</v>
      </c>
      <c r="C4222" s="1">
        <v>1</v>
      </c>
      <c r="D4222" s="1" t="str">
        <f>"02469"</f>
        <v>02469</v>
      </c>
      <c r="E4222" s="1" t="s">
        <v>156</v>
      </c>
      <c r="F4222" s="1">
        <v>16</v>
      </c>
      <c r="G4222" s="1">
        <v>5</v>
      </c>
      <c r="H4222" s="1">
        <v>0</v>
      </c>
      <c r="I4222" s="1" t="s">
        <v>6036</v>
      </c>
      <c r="K4222" s="1" t="str">
        <f t="shared" si="262"/>
        <v>ㄊ</v>
      </c>
      <c r="L4222" s="1" t="str">
        <f t="shared" si="263"/>
        <v>ㄞ</v>
      </c>
      <c r="N4222" s="3" t="s">
        <v>30575</v>
      </c>
      <c r="O4222" s="3"/>
      <c r="P4222" s="1" t="s">
        <v>20</v>
      </c>
      <c r="R4222" s="1" t="s">
        <v>6037</v>
      </c>
      <c r="V4222" s="1" t="s">
        <v>6052</v>
      </c>
      <c r="AR4222" s="1" t="str">
        <f t="shared" si="261"/>
        <v>| [ㄊㄞˊ](ㄊㄞˊ.md) | [鮐](鮐.md) |  | tái | [名]
動物名。脊椎動物亞門硬骨魚類條鰭亞綱。體呈紡錘形，尾柄兩側具有隆起稜；背鰭及臀鰭後方具有離鰭。體的橫斷面近於橢圓形，青綠色，上部有波狀紋，下部無斑點。生活在海裡，屬洄游性魚類。 |</v>
      </c>
    </row>
    <row r="4223" spans="1:44" hidden="1">
      <c r="A4223" s="1" t="s">
        <v>6053</v>
      </c>
      <c r="C4223" s="1">
        <v>1</v>
      </c>
      <c r="D4223" s="1" t="str">
        <f>"02470"</f>
        <v>02470</v>
      </c>
      <c r="E4223" s="1" t="s">
        <v>5320</v>
      </c>
      <c r="F4223" s="1">
        <v>14</v>
      </c>
      <c r="G4223" s="1">
        <v>8</v>
      </c>
      <c r="H4223" s="1">
        <v>0</v>
      </c>
      <c r="I4223" s="1" t="s">
        <v>6036</v>
      </c>
      <c r="K4223" s="1" t="str">
        <f t="shared" si="262"/>
        <v>ㄊ</v>
      </c>
      <c r="L4223" s="1" t="str">
        <f t="shared" si="263"/>
        <v>ㄞ</v>
      </c>
      <c r="N4223" s="3" t="s">
        <v>30575</v>
      </c>
      <c r="O4223" s="3"/>
      <c r="P4223" s="1" t="s">
        <v>20</v>
      </c>
      <c r="R4223" s="1" t="s">
        <v>6037</v>
      </c>
      <c r="V4223" s="1" t="s">
        <v>6054</v>
      </c>
      <c r="AR4223" s="1" t="str">
        <f t="shared" si="261"/>
        <v>| [ㄊㄞˊ](ㄊㄞˊ.md) | [臺](臺.md) |  | tái | [名]
1.高而平，可供眺望四方的建築物。如：「瞭望臺」、「亭臺樓閣」。
2.在公共場所中，凡高出地面可供人活動或表演的設備。如：「主席臺」、「舞臺」。
3.器物的底座。如：「硯臺」、「鍋臺」、「燭臺」。
4.機構名稱。古代可指中央機關。如：「中臺」、「省臺」。今日可指觀測天象或發送電訊的機構。如：「氣象臺」、「天文臺」、「電視臺」、「廣播電臺」。
5.對人尊稱的敬辭。如：「兄臺」、「尊臺」。
6.量詞。計算機器或電子設備的單位。如：「一臺機器」、「兩臺電視」。
7.臺灣的簡稱。
8.姓。如漢代有臺佟，宋代有臺號。 |</v>
      </c>
    </row>
    <row r="4224" spans="1:44" hidden="1">
      <c r="A4224" s="1" t="s">
        <v>6055</v>
      </c>
      <c r="C4224" s="1">
        <v>1</v>
      </c>
      <c r="D4224" s="1" t="str">
        <f>"02471"</f>
        <v>02471</v>
      </c>
      <c r="E4224" s="1" t="s">
        <v>114</v>
      </c>
      <c r="F4224" s="1">
        <v>16</v>
      </c>
      <c r="G4224" s="1">
        <v>14</v>
      </c>
      <c r="H4224" s="1">
        <v>0</v>
      </c>
      <c r="I4224" s="1" t="s">
        <v>6036</v>
      </c>
      <c r="K4224" s="1" t="str">
        <f t="shared" si="262"/>
        <v>ㄊ</v>
      </c>
      <c r="L4224" s="1" t="str">
        <f t="shared" si="263"/>
        <v>ㄞ</v>
      </c>
      <c r="N4224" s="3" t="s">
        <v>30575</v>
      </c>
      <c r="O4224" s="3"/>
      <c r="P4224" s="1" t="s">
        <v>20</v>
      </c>
      <c r="R4224" s="1" t="s">
        <v>6037</v>
      </c>
      <c r="V4224" s="1" t="s">
        <v>6056</v>
      </c>
      <c r="AR4224" s="1" t="str">
        <f t="shared" si="261"/>
        <v>| [ㄊㄞˊ](ㄊㄞˊ.md) | [儓](儓.md) |  | tái | [名]
1.古代對下層奴僕的稱謂。清．王念孫《廣雅疏證．卷一下．釋詁》：「儓，臣也。」唐．元結〈戲規〉：「彼牧兒望次山，猶儓隸不敢干其主。」
2.古時對農夫輕視的稱呼。漢．揚雄《方言》卷三：「儓，農夫之醜稱也。南楚凡罵庸賤謂之『田儓』。」 |</v>
      </c>
    </row>
    <row r="4225" spans="1:44" hidden="1">
      <c r="A4225" s="1" t="s">
        <v>6057</v>
      </c>
      <c r="C4225" s="1">
        <v>1</v>
      </c>
      <c r="D4225" s="1" t="str">
        <f>"02472"</f>
        <v>02472</v>
      </c>
      <c r="E4225" s="1" t="s">
        <v>534</v>
      </c>
      <c r="F4225" s="1">
        <v>17</v>
      </c>
      <c r="G4225" s="1">
        <v>14</v>
      </c>
      <c r="H4225" s="1">
        <v>0</v>
      </c>
      <c r="I4225" s="1" t="s">
        <v>6036</v>
      </c>
      <c r="K4225" s="1" t="str">
        <f t="shared" si="262"/>
        <v>ㄊ</v>
      </c>
      <c r="L4225" s="1" t="str">
        <f t="shared" si="263"/>
        <v>ㄞ</v>
      </c>
      <c r="N4225" s="3" t="s">
        <v>30575</v>
      </c>
      <c r="O4225" s="3"/>
      <c r="P4225" s="1" t="s">
        <v>20</v>
      </c>
      <c r="R4225" s="1" t="s">
        <v>6037</v>
      </c>
      <c r="V4225" s="1" t="s">
        <v>6058</v>
      </c>
      <c r="AR4225" s="1" t="str">
        <f t="shared" si="261"/>
        <v>| [ㄊㄞˊ](ㄊㄞˊ.md) | [嬯](嬯.md) |  | tái | [形]
遲鈍、痴笨。《說文解字．女部》：「嬯，遲鈍也。從女臺聲。」清．段玉裁．注：「今人謂痴如是。」 |</v>
      </c>
    </row>
    <row r="4226" spans="1:44" hidden="1">
      <c r="A4226" s="1" t="s">
        <v>6059</v>
      </c>
      <c r="C4226" s="1">
        <v>1</v>
      </c>
      <c r="D4226" s="1" t="str">
        <f>"02473"</f>
        <v>02473</v>
      </c>
      <c r="E4226" s="1" t="s">
        <v>139</v>
      </c>
      <c r="F4226" s="1">
        <v>18</v>
      </c>
      <c r="G4226" s="1">
        <v>14</v>
      </c>
      <c r="H4226" s="1">
        <v>0</v>
      </c>
      <c r="I4226" s="1" t="s">
        <v>6036</v>
      </c>
      <c r="K4226" s="1" t="str">
        <f t="shared" si="262"/>
        <v>ㄊ</v>
      </c>
      <c r="L4226" s="1" t="str">
        <f t="shared" si="263"/>
        <v>ㄞ</v>
      </c>
      <c r="N4226" s="3" t="s">
        <v>30575</v>
      </c>
      <c r="O4226" s="3"/>
      <c r="P4226" s="1" t="s">
        <v>20</v>
      </c>
      <c r="R4226" s="1" t="s">
        <v>6037</v>
      </c>
      <c r="V4226" s="1" t="s">
        <v>6060</v>
      </c>
      <c r="AR4226" s="1" t="str">
        <f t="shared" si="261"/>
        <v>| [ㄊㄞˊ](ㄊㄞˊ.md) | [檯](檯.md) |  | tái | [名]
桌子或像桌子的器物。如：「櫃檯」、「寫字檯」、「梳妝檯」。 |</v>
      </c>
    </row>
    <row r="4227" spans="1:44" hidden="1">
      <c r="A4227" s="1" t="s">
        <v>6061</v>
      </c>
      <c r="C4227" s="1">
        <v>1</v>
      </c>
      <c r="D4227" s="1" t="str">
        <f>"02474"</f>
        <v>02474</v>
      </c>
      <c r="E4227" s="1" t="s">
        <v>37</v>
      </c>
      <c r="F4227" s="1">
        <v>18</v>
      </c>
      <c r="G4227" s="1">
        <v>14</v>
      </c>
      <c r="H4227" s="1">
        <v>0</v>
      </c>
      <c r="I4227" s="1" t="s">
        <v>6036</v>
      </c>
      <c r="K4227" s="1" t="str">
        <f t="shared" si="262"/>
        <v>ㄊ</v>
      </c>
      <c r="L4227" s="1" t="str">
        <f t="shared" si="263"/>
        <v>ㄞ</v>
      </c>
      <c r="N4227" s="3" t="s">
        <v>30575</v>
      </c>
      <c r="O4227" s="3"/>
      <c r="P4227" s="1" t="s">
        <v>20</v>
      </c>
      <c r="R4227" s="1" t="s">
        <v>6037</v>
      </c>
      <c r="V4227" s="1" t="s">
        <v>6062</v>
      </c>
      <c r="AR4227" s="1" t="str">
        <f t="shared" ref="AR4227:AR4290" si="264">"| ["&amp;I4227&amp;"]("&amp;I4227&amp;".md) | ["&amp;A4227&amp;"]("&amp;A4227&amp;".md) | "&amp;" | "&amp;R4227&amp;" | "&amp;V4227&amp;" |"</f>
        <v>| [ㄊㄞˊ](ㄊㄞˊ.md) | [薹](薹.md) |  | tái | [名]
1.植物名：(1)莎草科薹草屬，一群薹草屬植物之混稱。多年生草本。稈三稜狀圓柱形，高十至一百二十公分，葉狹長線形，小穗單生或組成穗狀圓錐花序，雌花生於先出葉形成之囊內。堅果雙凸形或三稜形。葉可製笠帽、蓑衣等。也稱為「笠菅」。(2)十字花科蕓薹屬，「油菜」、「蕓薹」之古稱。參見「油菜」條。
2.蒜、韭菜、油菜等植物生長到某一階段時，中央部分所長出來的莖，頂上會開花結實，可採來當蔬菜。如：「蒜薹」、「韭菜薹」。 |</v>
      </c>
    </row>
    <row r="4228" spans="1:44" hidden="1">
      <c r="A4228" s="1" t="s">
        <v>6063</v>
      </c>
      <c r="C4228" s="1">
        <v>1</v>
      </c>
      <c r="D4228" s="1" t="str">
        <f>"02475"</f>
        <v>02475</v>
      </c>
      <c r="E4228" s="1" t="s">
        <v>49</v>
      </c>
      <c r="F4228" s="1">
        <v>20</v>
      </c>
      <c r="G4228" s="1">
        <v>14</v>
      </c>
      <c r="H4228" s="1">
        <v>0</v>
      </c>
      <c r="I4228" s="1" t="s">
        <v>6036</v>
      </c>
      <c r="K4228" s="1" t="str">
        <f t="shared" si="262"/>
        <v>ㄊ</v>
      </c>
      <c r="L4228" s="1" t="str">
        <f t="shared" si="263"/>
        <v>ㄞ</v>
      </c>
      <c r="N4228" s="3" t="s">
        <v>30575</v>
      </c>
      <c r="O4228" s="3"/>
      <c r="P4228" s="1" t="s">
        <v>20</v>
      </c>
      <c r="R4228" s="1" t="s">
        <v>6037</v>
      </c>
      <c r="V4228" s="1" t="s">
        <v>6064</v>
      </c>
      <c r="AR4228" s="1" t="str">
        <f t="shared" si="264"/>
        <v>| [ㄊㄞˊ](ㄊㄞˊ.md) | [籉](籉.md) |  | tái | [名]
笠。《文選．謝朓．在郡臥病呈沈尚書詩》：「連陰盛農節，籉笠聚東菑。」 |</v>
      </c>
    </row>
    <row r="4229" spans="1:44" hidden="1">
      <c r="A4229" s="1" t="s">
        <v>6084</v>
      </c>
      <c r="C4229" s="1">
        <v>1</v>
      </c>
      <c r="D4229" s="1" t="str">
        <f>"02484"</f>
        <v>02484</v>
      </c>
      <c r="E4229" s="1" t="s">
        <v>28</v>
      </c>
      <c r="F4229" s="1">
        <v>7</v>
      </c>
      <c r="G4229" s="1">
        <v>4</v>
      </c>
      <c r="H4229" s="1">
        <v>0</v>
      </c>
      <c r="I4229" s="1" t="s">
        <v>6085</v>
      </c>
      <c r="J4229" s="2" t="s">
        <v>30559</v>
      </c>
      <c r="K4229" s="1" t="s">
        <v>30565</v>
      </c>
      <c r="L4229" s="1" t="s">
        <v>24352</v>
      </c>
      <c r="P4229" s="1" t="s">
        <v>20</v>
      </c>
      <c r="R4229" s="1" t="s">
        <v>6086</v>
      </c>
      <c r="V4229" s="1" t="s">
        <v>6087</v>
      </c>
      <c r="AR4229" s="1" t="str">
        <f t="shared" si="264"/>
        <v>| [˙ㄊㄞ](˙ㄊㄞ.md) | [呔](呔.md) |  | tai | [歎]
促使對方注意的吆喝聲。《戲考大全．珠簾寨》：「呔！將珠寶留下，放你過去！」 |</v>
      </c>
    </row>
    <row r="4230" spans="1:44" hidden="1">
      <c r="A4230" s="1" t="s">
        <v>6153</v>
      </c>
      <c r="C4230" s="1">
        <v>1</v>
      </c>
      <c r="D4230" s="1" t="str">
        <f>"02514"</f>
        <v>02514</v>
      </c>
      <c r="E4230" s="1" t="s">
        <v>563</v>
      </c>
      <c r="F4230" s="1">
        <v>10</v>
      </c>
      <c r="G4230" s="1">
        <v>7</v>
      </c>
      <c r="H4230" s="1">
        <v>0</v>
      </c>
      <c r="I4230" s="1" t="s">
        <v>6154</v>
      </c>
      <c r="K4230" s="1" t="str">
        <f t="shared" ref="K4230:K4254" si="265">LEFT(I4230, 1)</f>
        <v>ㄊ</v>
      </c>
      <c r="L4230" s="1" t="str">
        <f t="shared" ref="L4230:L4254" si="266">MID(I4230, 2, 1)</f>
        <v>ㄠ</v>
      </c>
      <c r="N4230" s="3" t="s">
        <v>30574</v>
      </c>
      <c r="O4230" s="3"/>
      <c r="P4230" s="1" t="s">
        <v>20</v>
      </c>
      <c r="R4230" s="1" t="s">
        <v>6155</v>
      </c>
      <c r="V4230" s="1" t="s">
        <v>6156</v>
      </c>
      <c r="AR4230" s="1" t="str">
        <f t="shared" si="264"/>
        <v>| [ㄊㄠˋ](ㄊㄠˋ.md) | [套](套.md) |  | tào | [名]
1.加在東西外面的罩蓋物。如：「筆套」、「手套」、「被套」、「書套」。
2.拴繫牲口以拉車的皮繩或麻繩組。如：「大車套」、「牲口套」。
3.繩圈兒。如：「活套兒」、「繩套」。
4.技巧、動作、事件等。如：「老套」、「俗套」。
5.河流或山脈轉折彎曲的地方。如：「河套」。
6.量詞。計算成組事物的單位。如：「兩套洋裝」、「一套理論」。
[動]
1.加罩。如：「套件外衣」。
2.用套拴繫。如：「套車」、「套馬」。
3.綁住、限制住。如：「套住手腳」、「套牢」。
4.互相配合、銜接或重疊。如：「套招」、「套色」。
5.用言語設計問出實情。如：「拿話套他」。
6.模仿。如：「套公式」。
7.拉攏。如：「套交情」。
8.獲取。如：「套利」。
9.房屋向一端發展。如：「裡間兒開個門兒，又套出一間耳房來。」
[形]
1.成組的。如：「套房」。
2.罩在外面的。如：「套鞋」、「套褲」。 |</v>
      </c>
    </row>
    <row r="4231" spans="1:44" hidden="1">
      <c r="A4231" s="1" t="s">
        <v>6114</v>
      </c>
      <c r="C4231" s="1">
        <v>1</v>
      </c>
      <c r="D4231" s="1" t="str">
        <f>"02497"</f>
        <v>02497</v>
      </c>
      <c r="E4231" s="1" t="s">
        <v>570</v>
      </c>
      <c r="F4231" s="1">
        <v>8</v>
      </c>
      <c r="G4231" s="1">
        <v>6</v>
      </c>
      <c r="H4231" s="1">
        <v>0</v>
      </c>
      <c r="I4231" s="1" t="s">
        <v>6115</v>
      </c>
      <c r="K4231" s="1" t="str">
        <f t="shared" si="265"/>
        <v>ㄊ</v>
      </c>
      <c r="L4231" s="1" t="str">
        <f t="shared" si="266"/>
        <v>ㄠ</v>
      </c>
      <c r="N4231" s="3" t="s">
        <v>30575</v>
      </c>
      <c r="O4231" s="3"/>
      <c r="P4231" s="1" t="s">
        <v>20</v>
      </c>
      <c r="R4231" s="1" t="s">
        <v>6116</v>
      </c>
      <c r="V4231" s="1" t="s">
        <v>6117</v>
      </c>
      <c r="AR4231" s="1" t="str">
        <f t="shared" si="264"/>
        <v>| [ㄊㄠˊ](ㄊㄠˊ.md) | [匋](匋.md) |  | táo | [名]
瓦器。同「陶」。《說文解字．缶部》：「古者昆吾作匋。」清．段玉裁．注：「今字作陶，陶行而匋廢矣。」 |</v>
      </c>
    </row>
    <row r="4232" spans="1:44" hidden="1">
      <c r="A4232" s="1" t="s">
        <v>6118</v>
      </c>
      <c r="C4232" s="1">
        <v>1</v>
      </c>
      <c r="D4232" s="1" t="str">
        <f>"02498"</f>
        <v>02498</v>
      </c>
      <c r="E4232" s="1" t="s">
        <v>129</v>
      </c>
      <c r="F4232" s="1">
        <v>11</v>
      </c>
      <c r="G4232" s="1">
        <v>8</v>
      </c>
      <c r="H4232" s="1">
        <v>0</v>
      </c>
      <c r="I4232" s="1" t="s">
        <v>6115</v>
      </c>
      <c r="K4232" s="1" t="str">
        <f t="shared" si="265"/>
        <v>ㄊ</v>
      </c>
      <c r="L4232" s="1" t="str">
        <f t="shared" si="266"/>
        <v>ㄠ</v>
      </c>
      <c r="N4232" s="3" t="s">
        <v>30575</v>
      </c>
      <c r="O4232" s="3"/>
      <c r="P4232" s="1" t="s">
        <v>20</v>
      </c>
      <c r="R4232" s="1" t="s">
        <v>6116</v>
      </c>
      <c r="V4232" s="1" t="s">
        <v>6119</v>
      </c>
      <c r="AR4232" s="1" t="str">
        <f t="shared" si="264"/>
        <v>| [ㄊㄠˊ](ㄊㄠˊ.md) | [淘](淘.md) |  | táo | [動]
1.加水攪動，以淨除顆粒狀東西中的髒物或雜質。如：「淘米」、「淘金」、「浪淘沙」。
2.舀出髒物，藉以挖深或疏通。如：「淘井」、「淘水溝」。
3.損耗。如：「淘神」、「把身子淘空了。」
[形]
頑皮。如：「淘氣」、「這孩子淘得很！」 |</v>
      </c>
    </row>
    <row r="4233" spans="1:44" hidden="1">
      <c r="A4233" s="1" t="s">
        <v>6120</v>
      </c>
      <c r="C4233" s="1">
        <v>1</v>
      </c>
      <c r="D4233" s="1" t="str">
        <f>"02499"</f>
        <v>02499</v>
      </c>
      <c r="E4233" s="1" t="s">
        <v>28</v>
      </c>
      <c r="F4233" s="1">
        <v>11</v>
      </c>
      <c r="G4233" s="1">
        <v>8</v>
      </c>
      <c r="H4233" s="1">
        <v>0</v>
      </c>
      <c r="I4233" s="1" t="s">
        <v>6115</v>
      </c>
      <c r="K4233" s="1" t="str">
        <f t="shared" si="265"/>
        <v>ㄊ</v>
      </c>
      <c r="L4233" s="1" t="str">
        <f t="shared" si="266"/>
        <v>ㄠ</v>
      </c>
      <c r="N4233" s="3" t="s">
        <v>30575</v>
      </c>
      <c r="O4233" s="3"/>
      <c r="P4233" s="1" t="s">
        <v>20</v>
      </c>
      <c r="R4233" s="1" t="s">
        <v>6116</v>
      </c>
      <c r="V4233" s="1" t="s">
        <v>6121</v>
      </c>
      <c r="AR4233" s="1" t="str">
        <f t="shared" si="264"/>
        <v>| [ㄊㄠˊ](ㄊㄠˊ.md) | [啕](啕.md) |  | táo | 參見「嚎啕」條。 |</v>
      </c>
    </row>
    <row r="4234" spans="1:44" hidden="1">
      <c r="A4234" s="1" t="s">
        <v>6122</v>
      </c>
      <c r="C4234" s="1">
        <v>1</v>
      </c>
      <c r="D4234" s="1" t="str">
        <f>"02500"</f>
        <v>02500</v>
      </c>
      <c r="E4234" s="1" t="s">
        <v>691</v>
      </c>
      <c r="F4234" s="1">
        <v>11</v>
      </c>
      <c r="G4234" s="1">
        <v>8</v>
      </c>
      <c r="H4234" s="1">
        <v>1</v>
      </c>
      <c r="I4234" s="1" t="s">
        <v>6115</v>
      </c>
      <c r="K4234" s="1" t="str">
        <f t="shared" si="265"/>
        <v>ㄊ</v>
      </c>
      <c r="L4234" s="1" t="str">
        <f t="shared" si="266"/>
        <v>ㄠ</v>
      </c>
      <c r="N4234" s="3" t="s">
        <v>30575</v>
      </c>
      <c r="O4234" s="3"/>
      <c r="P4234" s="1" t="s">
        <v>20</v>
      </c>
      <c r="R4234" s="1" t="s">
        <v>6116</v>
      </c>
      <c r="V4234" s="1" t="s">
        <v>6123</v>
      </c>
      <c r="W4234" s="1" t="s">
        <v>6124</v>
      </c>
      <c r="AR4234" s="1" t="str">
        <f t="shared" si="264"/>
        <v>| [ㄊㄠˊ](ㄊㄠˊ.md) | [陶](陶.md) |  | táo | [名]
1.用黏土燒製的器物。如：「黑陶」、「彩陶」。
2.姓。如晉代有陶潛。
[動]
1.製造陶器。如：「陶冶」。《孟子．告子下》：「萬室之國，一人陶，則可乎？」
2.比喻培養、教育。如：「陶鑄性情」、「熏陶」。
3.暢通。《文選．枚乘．七發》：「陶陽氣，蕩春心。」 |</v>
      </c>
    </row>
    <row r="4235" spans="1:44" hidden="1">
      <c r="A4235" s="1" t="s">
        <v>6125</v>
      </c>
      <c r="C4235" s="1">
        <v>1</v>
      </c>
      <c r="D4235" s="1" t="str">
        <f>"02501"</f>
        <v>02501</v>
      </c>
      <c r="E4235" s="1" t="s">
        <v>37</v>
      </c>
      <c r="F4235" s="1">
        <v>12</v>
      </c>
      <c r="G4235" s="1">
        <v>8</v>
      </c>
      <c r="H4235" s="1">
        <v>0</v>
      </c>
      <c r="I4235" s="1" t="s">
        <v>6115</v>
      </c>
      <c r="K4235" s="1" t="str">
        <f t="shared" si="265"/>
        <v>ㄊ</v>
      </c>
      <c r="L4235" s="1" t="str">
        <f t="shared" si="266"/>
        <v>ㄠ</v>
      </c>
      <c r="N4235" s="3" t="s">
        <v>30575</v>
      </c>
      <c r="O4235" s="3"/>
      <c r="P4235" s="1" t="s">
        <v>20</v>
      </c>
      <c r="R4235" s="1" t="s">
        <v>6116</v>
      </c>
      <c r="V4235" s="1" t="s">
        <v>2521</v>
      </c>
      <c r="W4235" s="1" t="s">
        <v>6126</v>
      </c>
      <c r="AR4235" s="1" t="str">
        <f t="shared" si="264"/>
        <v>| [ㄊㄠˊ](ㄊㄠˊ.md) | [萄](萄.md) |  | táo | 參見「葡萄」條。 |</v>
      </c>
    </row>
    <row r="4236" spans="1:44" hidden="1">
      <c r="A4236" s="1" t="s">
        <v>6127</v>
      </c>
      <c r="C4236" s="1">
        <v>1</v>
      </c>
      <c r="D4236" s="1" t="str">
        <f>"02502"</f>
        <v>02502</v>
      </c>
      <c r="E4236" s="1" t="s">
        <v>725</v>
      </c>
      <c r="F4236" s="1">
        <v>14</v>
      </c>
      <c r="G4236" s="1">
        <v>8</v>
      </c>
      <c r="H4236" s="1">
        <v>0</v>
      </c>
      <c r="I4236" s="1" t="s">
        <v>6115</v>
      </c>
      <c r="K4236" s="1" t="str">
        <f t="shared" si="265"/>
        <v>ㄊ</v>
      </c>
      <c r="L4236" s="1" t="str">
        <f t="shared" si="266"/>
        <v>ㄠ</v>
      </c>
      <c r="N4236" s="3" t="s">
        <v>30575</v>
      </c>
      <c r="O4236" s="3"/>
      <c r="P4236" s="1" t="s">
        <v>20</v>
      </c>
      <c r="R4236" s="1" t="s">
        <v>6116</v>
      </c>
      <c r="V4236" s="1" t="s">
        <v>6128</v>
      </c>
      <c r="AR4236" s="1" t="str">
        <f t="shared" si="264"/>
        <v>| [ㄊㄠˊ](ㄊㄠˊ.md) | [綯](綯.md) |  | táo | [名]
繩索。《詩經．豳風．七月》：「晝爾于茅，宵爾索綯。」 |</v>
      </c>
    </row>
    <row r="4237" spans="1:44" hidden="1">
      <c r="A4237" s="1" t="s">
        <v>6129</v>
      </c>
      <c r="C4237" s="1">
        <v>1</v>
      </c>
      <c r="D4237" s="1" t="str">
        <f>"02503"</f>
        <v>02503</v>
      </c>
      <c r="E4237" s="1" t="s">
        <v>319</v>
      </c>
      <c r="F4237" s="1">
        <v>18</v>
      </c>
      <c r="G4237" s="1">
        <v>8</v>
      </c>
      <c r="H4237" s="1">
        <v>0</v>
      </c>
      <c r="I4237" s="1" t="s">
        <v>6115</v>
      </c>
      <c r="K4237" s="1" t="str">
        <f t="shared" si="265"/>
        <v>ㄊ</v>
      </c>
      <c r="L4237" s="1" t="str">
        <f t="shared" si="266"/>
        <v>ㄠ</v>
      </c>
      <c r="N4237" s="3" t="s">
        <v>30575</v>
      </c>
      <c r="O4237" s="3"/>
      <c r="P4237" s="1" t="s">
        <v>20</v>
      </c>
      <c r="R4237" s="1" t="s">
        <v>6116</v>
      </c>
      <c r="V4237" s="1" t="s">
        <v>6130</v>
      </c>
      <c r="AR4237" s="1" t="str">
        <f t="shared" si="264"/>
        <v>| [ㄊㄠˊ](ㄊㄠˊ.md) | [騊](騊.md) |  | táo | 參見「騊駼」條。 |</v>
      </c>
    </row>
    <row r="4238" spans="1:44" hidden="1">
      <c r="A4238" s="1" t="s">
        <v>6131</v>
      </c>
      <c r="C4238" s="1">
        <v>1</v>
      </c>
      <c r="D4238" s="1" t="str">
        <f>"02504"</f>
        <v>02504</v>
      </c>
      <c r="E4238" s="1" t="s">
        <v>129</v>
      </c>
      <c r="F4238" s="1">
        <v>9</v>
      </c>
      <c r="G4238" s="1">
        <v>6</v>
      </c>
      <c r="H4238" s="1">
        <v>1</v>
      </c>
      <c r="I4238" s="1" t="s">
        <v>6115</v>
      </c>
      <c r="K4238" s="1" t="str">
        <f t="shared" si="265"/>
        <v>ㄊ</v>
      </c>
      <c r="L4238" s="1" t="str">
        <f t="shared" si="266"/>
        <v>ㄠ</v>
      </c>
      <c r="N4238" s="3" t="s">
        <v>30575</v>
      </c>
      <c r="O4238" s="3"/>
      <c r="P4238" s="1" t="s">
        <v>20</v>
      </c>
      <c r="R4238" s="1" t="s">
        <v>6116</v>
      </c>
      <c r="V4238" s="1" t="s">
        <v>6132</v>
      </c>
      <c r="W4238" s="1" t="s">
        <v>6133</v>
      </c>
      <c r="AR4238" s="1" t="str">
        <f t="shared" si="264"/>
        <v>| [ㄊㄠˊ](ㄊㄠˊ.md) | [洮](洮.md) |  | táo | [動]
1.盥洗。《書經．顧命》：「甲子，王乃洮頮水。」唐．孔穎達．正義：「頮是洗面，知洮為盥手。」
2.淘洗。通「淘」。如：「洮米」。
[名]
參見「洮河」條。 |</v>
      </c>
    </row>
    <row r="4239" spans="1:44" hidden="1">
      <c r="A4239" s="1" t="s">
        <v>6134</v>
      </c>
      <c r="C4239" s="1">
        <v>1</v>
      </c>
      <c r="D4239" s="1" t="str">
        <f>"02505"</f>
        <v>02505</v>
      </c>
      <c r="E4239" s="1" t="s">
        <v>28</v>
      </c>
      <c r="F4239" s="1">
        <v>9</v>
      </c>
      <c r="G4239" s="1">
        <v>6</v>
      </c>
      <c r="H4239" s="1">
        <v>0</v>
      </c>
      <c r="I4239" s="1" t="s">
        <v>6115</v>
      </c>
      <c r="K4239" s="1" t="str">
        <f t="shared" si="265"/>
        <v>ㄊ</v>
      </c>
      <c r="L4239" s="1" t="str">
        <f t="shared" si="266"/>
        <v>ㄠ</v>
      </c>
      <c r="N4239" s="3" t="s">
        <v>30575</v>
      </c>
      <c r="O4239" s="3"/>
      <c r="P4239" s="1" t="s">
        <v>20</v>
      </c>
      <c r="R4239" s="1" t="s">
        <v>6116</v>
      </c>
      <c r="V4239" s="1" t="s">
        <v>6135</v>
      </c>
      <c r="AR4239" s="1" t="str">
        <f t="shared" si="264"/>
        <v>| [ㄊㄠˊ](ㄊㄠˊ.md) | [咷](咷.md) |  | táo | 參見「號咷」、「嚎咷」等條。 |</v>
      </c>
    </row>
    <row r="4240" spans="1:44" hidden="1">
      <c r="A4240" s="1" t="s">
        <v>6136</v>
      </c>
      <c r="C4240" s="1">
        <v>1</v>
      </c>
      <c r="D4240" s="1" t="str">
        <f>"02506"</f>
        <v>02506</v>
      </c>
      <c r="E4240" s="1" t="s">
        <v>139</v>
      </c>
      <c r="F4240" s="1">
        <v>10</v>
      </c>
      <c r="G4240" s="1">
        <v>6</v>
      </c>
      <c r="H4240" s="1">
        <v>0</v>
      </c>
      <c r="I4240" s="1" t="s">
        <v>6115</v>
      </c>
      <c r="K4240" s="1" t="str">
        <f t="shared" si="265"/>
        <v>ㄊ</v>
      </c>
      <c r="L4240" s="1" t="str">
        <f t="shared" si="266"/>
        <v>ㄠ</v>
      </c>
      <c r="N4240" s="3" t="s">
        <v>30575</v>
      </c>
      <c r="O4240" s="3"/>
      <c r="P4240" s="1" t="s">
        <v>20</v>
      </c>
      <c r="R4240" s="1" t="s">
        <v>6116</v>
      </c>
      <c r="V4240" s="1" t="s">
        <v>6137</v>
      </c>
      <c r="AR4240" s="1" t="str">
        <f t="shared" si="264"/>
        <v>| [ㄊㄠˊ](ㄊㄠˊ.md) | [桃](桃.md) |  | táo | [名]
1.植物名。薔薇科李屬，落葉小喬木。葉橢圓狀披針形至倒卵狀披針形，先端漸尖，細鋸齒緣。腋芽常三枚並生，兩側為花芽，中間為葉芽，春初開花，有白、紅二色。核果圓形或扁平，頂端有小突尖，外被毛，味酸可口。
2.形狀像桃子的東西。如：「壽桃」、「麵桃」。
3.生日的代稱。如：「桃觴」。
4.姓。如戰國有桃應。
[形]
用核桃製成的。如：「桃酥」。 |</v>
      </c>
    </row>
    <row r="4241" spans="1:44" hidden="1">
      <c r="A4241" s="1" t="s">
        <v>6138</v>
      </c>
      <c r="C4241" s="1">
        <v>1</v>
      </c>
      <c r="D4241" s="1" t="str">
        <f>"02507"</f>
        <v>02507</v>
      </c>
      <c r="E4241" s="1" t="s">
        <v>558</v>
      </c>
      <c r="F4241" s="1">
        <v>10</v>
      </c>
      <c r="G4241" s="1">
        <v>6</v>
      </c>
      <c r="H4241" s="1">
        <v>0</v>
      </c>
      <c r="I4241" s="1" t="s">
        <v>6115</v>
      </c>
      <c r="K4241" s="1" t="str">
        <f t="shared" si="265"/>
        <v>ㄊ</v>
      </c>
      <c r="L4241" s="1" t="str">
        <f t="shared" si="266"/>
        <v>ㄠ</v>
      </c>
      <c r="N4241" s="3" t="s">
        <v>30575</v>
      </c>
      <c r="O4241" s="3"/>
      <c r="P4241" s="1" t="s">
        <v>20</v>
      </c>
      <c r="R4241" s="1" t="s">
        <v>6116</v>
      </c>
      <c r="V4241" s="1" t="s">
        <v>6139</v>
      </c>
      <c r="AR4241" s="1" t="str">
        <f t="shared" si="264"/>
        <v>| [ㄊㄠˊ](ㄊㄠˊ.md) | [逃](逃.md) |  | táo | [動]
1.離開、跑走。如：「逃跑」、「逃走」、「畏罪潛逃」。《後漢書．卷七九．儒林傳下．謝該傳》：「猥使良才抱樸而逃」。
2.躲避。如：「逃避」。《孟子．公孫丑上》：「不目逃。」唐．杜甫〈飛仙閣〉詩：「浮生有定分，飢飽豈可逃？」 |</v>
      </c>
    </row>
    <row r="4242" spans="1:44" hidden="1">
      <c r="A4242" s="1" t="s">
        <v>6140</v>
      </c>
      <c r="C4242" s="1">
        <v>1</v>
      </c>
      <c r="D4242" s="1" t="str">
        <f>"02508"</f>
        <v>02508</v>
      </c>
      <c r="E4242" s="1" t="s">
        <v>96</v>
      </c>
      <c r="F4242" s="1">
        <v>14</v>
      </c>
      <c r="G4242" s="1">
        <v>5</v>
      </c>
      <c r="H4242" s="1">
        <v>0</v>
      </c>
      <c r="I4242" s="1" t="s">
        <v>6115</v>
      </c>
      <c r="K4242" s="1" t="str">
        <f t="shared" si="265"/>
        <v>ㄊ</v>
      </c>
      <c r="L4242" s="1" t="str">
        <f t="shared" si="266"/>
        <v>ㄠ</v>
      </c>
      <c r="N4242" s="3" t="s">
        <v>30575</v>
      </c>
      <c r="O4242" s="3"/>
      <c r="P4242" s="1" t="s">
        <v>20</v>
      </c>
      <c r="R4242" s="1" t="s">
        <v>6116</v>
      </c>
      <c r="V4242" s="1" t="s">
        <v>6141</v>
      </c>
      <c r="AR4242" s="1" t="str">
        <f t="shared" si="264"/>
        <v>| [ㄊㄠˊ](ㄊㄠˊ.md) | [鞀](鞀.md) |  | táo | [名]
樂器名，打擊樂器。古代的一種鼓。形制為鼓穿在木柄上，鼓框左右用繩繫著兩個珠狀物，手搖木柄，珠狀物來回敲擊鼓面而發聲。類似民間流行的撥浪鼓。隨柄上所穿鼓數的不同，而有路鞀、靈鞀、雷鞀的分別。一般為一至四面鼓。本用於宗廟社稷祭儀的雅樂中，漢唐以後，也用於宮廷的燕樂中。 |</v>
      </c>
    </row>
    <row r="4243" spans="1:44" hidden="1">
      <c r="A4243" s="1" t="s">
        <v>6110</v>
      </c>
      <c r="C4243" s="1">
        <v>1</v>
      </c>
      <c r="D4243" s="1" t="str">
        <f>"02509"</f>
        <v>02509</v>
      </c>
      <c r="E4243" s="1" t="s">
        <v>129</v>
      </c>
      <c r="F4243" s="1">
        <v>17</v>
      </c>
      <c r="G4243" s="1">
        <v>14</v>
      </c>
      <c r="H4243" s="1">
        <v>1</v>
      </c>
      <c r="I4243" s="1" t="s">
        <v>6115</v>
      </c>
      <c r="K4243" s="1" t="str">
        <f t="shared" si="265"/>
        <v>ㄊ</v>
      </c>
      <c r="L4243" s="1" t="str">
        <f t="shared" si="266"/>
        <v>ㄠ</v>
      </c>
      <c r="N4243" s="3" t="s">
        <v>30575</v>
      </c>
      <c r="O4243" s="3"/>
      <c r="P4243" s="1" t="s">
        <v>20</v>
      </c>
      <c r="R4243" s="1" t="s">
        <v>6116</v>
      </c>
      <c r="V4243" s="1" t="s">
        <v>6142</v>
      </c>
      <c r="W4243" s="1" t="s">
        <v>6143</v>
      </c>
      <c r="AR4243" s="1" t="str">
        <f t="shared" si="264"/>
        <v>| [ㄊㄠˊ](ㄊㄠˊ.md) | [濤](濤.md) |  | táo | [名]
1.大波浪。如：「驚濤駭浪」、「波濤洶湧」。
2.似波濤的聲音。如：「松濤」。 |</v>
      </c>
    </row>
    <row r="4244" spans="1:44" hidden="1">
      <c r="A4244" s="1" t="s">
        <v>4849</v>
      </c>
      <c r="C4244" s="1">
        <v>1</v>
      </c>
      <c r="D4244" s="1" t="str">
        <f>"02510"</f>
        <v>02510</v>
      </c>
      <c r="E4244" s="1" t="s">
        <v>336</v>
      </c>
      <c r="F4244" s="1">
        <v>18</v>
      </c>
      <c r="G4244" s="1">
        <v>14</v>
      </c>
      <c r="H4244" s="1">
        <v>1</v>
      </c>
      <c r="I4244" s="1" t="s">
        <v>6115</v>
      </c>
      <c r="K4244" s="1" t="str">
        <f t="shared" si="265"/>
        <v>ㄊ</v>
      </c>
      <c r="L4244" s="1" t="str">
        <f t="shared" si="266"/>
        <v>ㄠ</v>
      </c>
      <c r="N4244" s="3" t="s">
        <v>30575</v>
      </c>
      <c r="O4244" s="3"/>
      <c r="P4244" s="1" t="s">
        <v>20</v>
      </c>
      <c r="R4244" s="1" t="s">
        <v>6116</v>
      </c>
      <c r="V4244" s="1" t="s">
        <v>6144</v>
      </c>
      <c r="W4244" s="1" t="s">
        <v>6145</v>
      </c>
      <c r="AR4244" s="1" t="str">
        <f t="shared" si="264"/>
        <v>| [ㄊㄠˊ](ㄊㄠˊ.md) | [燾](燾.md) |  | táo | [動]
1.普照天下。《說文解字．火部》：「燾，溥覆照也。」
2.覆蓋。同「幬」。《史記．卷三一．吳太伯世家》：「德至矣哉！大矣，如天之無不燾也，如地之無不載也。」 |</v>
      </c>
    </row>
    <row r="4245" spans="1:44" hidden="1">
      <c r="A4245" s="1" t="s">
        <v>6146</v>
      </c>
      <c r="C4245" s="1">
        <v>1</v>
      </c>
      <c r="D4245" s="1" t="str">
        <f>"02511"</f>
        <v>02511</v>
      </c>
      <c r="E4245" s="1" t="s">
        <v>139</v>
      </c>
      <c r="F4245" s="1">
        <v>18</v>
      </c>
      <c r="G4245" s="1">
        <v>14</v>
      </c>
      <c r="H4245" s="1">
        <v>0</v>
      </c>
      <c r="I4245" s="1" t="s">
        <v>6115</v>
      </c>
      <c r="K4245" s="1" t="str">
        <f t="shared" si="265"/>
        <v>ㄊ</v>
      </c>
      <c r="L4245" s="1" t="str">
        <f t="shared" si="266"/>
        <v>ㄠ</v>
      </c>
      <c r="N4245" s="3" t="s">
        <v>30575</v>
      </c>
      <c r="O4245" s="3"/>
      <c r="P4245" s="1" t="s">
        <v>20</v>
      </c>
      <c r="R4245" s="1" t="s">
        <v>6116</v>
      </c>
      <c r="V4245" s="1" t="s">
        <v>6147</v>
      </c>
      <c r="AR4245" s="1" t="str">
        <f t="shared" si="264"/>
        <v>| [ㄊㄠˊ](ㄊㄠˊ.md) | [檮](檮.md) |  | táo | 參見「檮昧」、「檮杌」等條。 |</v>
      </c>
    </row>
    <row r="4246" spans="1:44" hidden="1">
      <c r="A4246" s="1" t="s">
        <v>4851</v>
      </c>
      <c r="C4246" s="1">
        <v>1</v>
      </c>
      <c r="D4246" s="1" t="str">
        <f>"02512"</f>
        <v>02512</v>
      </c>
      <c r="E4246" s="1" t="s">
        <v>2271</v>
      </c>
      <c r="F4246" s="1">
        <v>20</v>
      </c>
      <c r="G4246" s="1">
        <v>14</v>
      </c>
      <c r="H4246" s="1">
        <v>2</v>
      </c>
      <c r="I4246" s="1" t="s">
        <v>6115</v>
      </c>
      <c r="K4246" s="1" t="str">
        <f t="shared" si="265"/>
        <v>ㄊ</v>
      </c>
      <c r="L4246" s="1" t="str">
        <f t="shared" si="266"/>
        <v>ㄠ</v>
      </c>
      <c r="N4246" s="3" t="s">
        <v>30575</v>
      </c>
      <c r="O4246" s="3"/>
      <c r="P4246" s="1" t="s">
        <v>110</v>
      </c>
      <c r="R4246" s="1" t="s">
        <v>6116</v>
      </c>
      <c r="V4246" s="1" t="s">
        <v>111</v>
      </c>
      <c r="W4246" s="1" t="s">
        <v>6148</v>
      </c>
      <c r="AR4246" s="1" t="str">
        <f t="shared" si="264"/>
        <v>| [ㄊㄠˊ](ㄊㄠˊ.md) | [翿](翿.md) |  | táo | (一)之又音。 |</v>
      </c>
    </row>
    <row r="4247" spans="1:44" hidden="1">
      <c r="A4247" s="1" t="s">
        <v>6149</v>
      </c>
      <c r="C4247" s="1">
        <v>1</v>
      </c>
      <c r="D4247" s="1" t="str">
        <f>"02513"</f>
        <v>02513</v>
      </c>
      <c r="E4247" s="1" t="s">
        <v>331</v>
      </c>
      <c r="F4247" s="1">
        <v>10</v>
      </c>
      <c r="G4247" s="1">
        <v>3</v>
      </c>
      <c r="H4247" s="1">
        <v>0</v>
      </c>
      <c r="I4247" s="1" t="s">
        <v>6150</v>
      </c>
      <c r="K4247" s="1" t="str">
        <f t="shared" si="265"/>
        <v>ㄊ</v>
      </c>
      <c r="L4247" s="1" t="str">
        <f t="shared" si="266"/>
        <v>ㄠ</v>
      </c>
      <c r="N4247" s="3" t="s">
        <v>30576</v>
      </c>
      <c r="O4247" s="3"/>
      <c r="P4247" s="1" t="s">
        <v>20</v>
      </c>
      <c r="R4247" s="1" t="s">
        <v>6151</v>
      </c>
      <c r="V4247" s="1" t="s">
        <v>6152</v>
      </c>
      <c r="AR4247" s="1" t="str">
        <f t="shared" si="264"/>
        <v>| [ㄊㄠˇ](ㄊㄠˇ.md) | [討](討.md) |  | tǎo | [動]
1.征伐。如：「討賊」、「東征西討」。
2.索取。《儒林外史》第一四回：「滿天討價，就地還錢。」
3.請求。如：「討飯」、「討饒」、「討教」。
4.招惹。如：「討人憐」、「討厭」、「自討苦吃」。
5.娶。如：「討老婆」。《初刻拍案驚奇》卷二六：「我又不是你師父討的，我怕他做甚！」
6.找。《喻世明言．卷一五．史弘肇龍虎君臣會》：「不則一日，到西京河南府，討了個下處。」
7.研究。如：「討論」、「商討」。 |</v>
      </c>
    </row>
    <row r="4248" spans="1:44" hidden="1">
      <c r="A4248" s="1" t="s">
        <v>6184</v>
      </c>
      <c r="C4248" s="1">
        <v>1</v>
      </c>
      <c r="D4248" s="1" t="str">
        <f>"02525"</f>
        <v>02525</v>
      </c>
      <c r="E4248" s="1" t="s">
        <v>558</v>
      </c>
      <c r="F4248" s="1">
        <v>11</v>
      </c>
      <c r="G4248" s="1">
        <v>7</v>
      </c>
      <c r="H4248" s="1">
        <v>0</v>
      </c>
      <c r="I4248" s="1" t="s">
        <v>6185</v>
      </c>
      <c r="K4248" s="1" t="str">
        <f t="shared" si="265"/>
        <v>ㄊ</v>
      </c>
      <c r="L4248" s="1" t="str">
        <f t="shared" si="266"/>
        <v>ㄡ</v>
      </c>
      <c r="N4248" s="3" t="s">
        <v>30574</v>
      </c>
      <c r="O4248" s="3"/>
      <c r="P4248" s="1" t="s">
        <v>20</v>
      </c>
      <c r="R4248" s="1" t="s">
        <v>6186</v>
      </c>
      <c r="V4248" s="1" t="s">
        <v>6187</v>
      </c>
      <c r="AR4248" s="1" t="str">
        <f t="shared" si="264"/>
        <v>| [ㄊㄡˋ](ㄊㄡˋ.md) | [透](透.md) |  | tòu | [動]
1.一物體穿過另一物體。如：「滲透」、「刺透」、「陽光穿透了樹葉，灑了一地的燦爛。」
2.暗地裡報訊。如：「到時候，還煩你多少透一點訊息。」
3.顯露。如：「白裡透紅」。
[副]
形容澈底而充分的程度。如：「熟透」、「摸透」、「看透」、「苦透」、「恨透」、「冷透」。 |</v>
      </c>
    </row>
    <row r="4249" spans="1:44" hidden="1">
      <c r="A4249" s="1" t="s">
        <v>6166</v>
      </c>
      <c r="C4249" s="1">
        <v>1</v>
      </c>
      <c r="D4249" s="1" t="str">
        <f>"02519"</f>
        <v>02519</v>
      </c>
      <c r="E4249" s="1" t="s">
        <v>367</v>
      </c>
      <c r="F4249" s="1">
        <v>2</v>
      </c>
      <c r="G4249" s="1">
        <v>0</v>
      </c>
      <c r="H4249" s="1">
        <v>0</v>
      </c>
      <c r="I4249" s="1" t="s">
        <v>6167</v>
      </c>
      <c r="K4249" s="1" t="str">
        <f t="shared" si="265"/>
        <v>ㄊ</v>
      </c>
      <c r="L4249" s="1" t="str">
        <f t="shared" si="266"/>
        <v>ㄡ</v>
      </c>
      <c r="N4249" s="3" t="s">
        <v>30575</v>
      </c>
      <c r="O4249" s="3"/>
      <c r="P4249" s="1" t="s">
        <v>20</v>
      </c>
      <c r="R4249" s="1" t="s">
        <v>6168</v>
      </c>
      <c r="V4249" s="1" t="s">
        <v>1384</v>
      </c>
      <c r="AR4249" s="1" t="str">
        <f t="shared" si="264"/>
        <v>| [ㄊㄡˊ](ㄊㄡˊ.md) | [亠](亠.md) |  | tóu | [名]
二一四部首之一。 |</v>
      </c>
    </row>
    <row r="4250" spans="1:44" hidden="1">
      <c r="A4250" s="1" t="s">
        <v>6169</v>
      </c>
      <c r="C4250" s="1">
        <v>1</v>
      </c>
      <c r="D4250" s="1" t="str">
        <f>"02520"</f>
        <v>02520</v>
      </c>
      <c r="E4250" s="1" t="s">
        <v>24</v>
      </c>
      <c r="F4250" s="1">
        <v>7</v>
      </c>
      <c r="G4250" s="1">
        <v>4</v>
      </c>
      <c r="H4250" s="1">
        <v>0</v>
      </c>
      <c r="I4250" s="1" t="s">
        <v>6167</v>
      </c>
      <c r="K4250" s="1" t="str">
        <f t="shared" si="265"/>
        <v>ㄊ</v>
      </c>
      <c r="L4250" s="1" t="str">
        <f t="shared" si="266"/>
        <v>ㄡ</v>
      </c>
      <c r="N4250" s="3" t="s">
        <v>30575</v>
      </c>
      <c r="O4250" s="3"/>
      <c r="P4250" s="1" t="s">
        <v>20</v>
      </c>
      <c r="R4250" s="1" t="s">
        <v>6168</v>
      </c>
      <c r="V4250" s="1" t="s">
        <v>6170</v>
      </c>
      <c r="AR4250" s="1" t="str">
        <f t="shared" si="264"/>
        <v>| [ㄊㄡˊ](ㄊㄡˊ.md) | [投](投.md) |  | tóu | [動]
1.扔、擲。如：「投球」、「投籃」、「投石子」。
2.放進去。如：「投入」、「投票」、「投資」。
3.跳進去。如：「投江」、「投井」、「自投羅網」。
4.發向、映照。如：「眾人把目光都投向牆上的壁畫。」、「竹影散投在窗紙上。」
5.寄發。如：「投遞」、「投稿」、「投郵」。
6.前往、走向、迎向。如：「投宿」、「投降」、「棄暗投明」。
7.合。如：「情投意合」、「意氣相投」。
8.奔靠。如：「投奔」、「投靠親友」、「走投無路」。《三國演義》第二回：「玄德、關、張三人往代州投劉恢。」
9.接近、靠近。如：「投暮」。唐．孟郊〈題林校書花嚴寺書窗〉詩：「擬古投松坐，就明開紙疏。」
10.甩、揮。如：《左傳．宣公十四年》：「楚子聞之，投袂而起。」
11.拋棄。如：「投閒置散」。《後漢書．卷三二．樊宏陰識列傳．樊宏》：「然猶投戈講蓺，息馬論道。」
12.用。如：「投藥」。
13.贈送。如：《詩經．衛風．木瓜》：「投我以木瓜，報之以瓊琚。」
14.迎合。如：「投其所好」。 |</v>
      </c>
    </row>
    <row r="4251" spans="1:44" hidden="1">
      <c r="A4251" s="1" t="s">
        <v>6171</v>
      </c>
      <c r="C4251" s="1">
        <v>1</v>
      </c>
      <c r="D4251" s="1" t="str">
        <f>"02521"</f>
        <v>02521</v>
      </c>
      <c r="E4251" s="1" t="s">
        <v>1462</v>
      </c>
      <c r="F4251" s="1">
        <v>11</v>
      </c>
      <c r="G4251" s="1">
        <v>4</v>
      </c>
      <c r="H4251" s="1">
        <v>0</v>
      </c>
      <c r="I4251" s="1" t="s">
        <v>6167</v>
      </c>
      <c r="K4251" s="1" t="str">
        <f t="shared" si="265"/>
        <v>ㄊ</v>
      </c>
      <c r="L4251" s="1" t="str">
        <f t="shared" si="266"/>
        <v>ㄡ</v>
      </c>
      <c r="N4251" s="3" t="s">
        <v>30575</v>
      </c>
      <c r="O4251" s="3"/>
      <c r="P4251" s="1" t="s">
        <v>20</v>
      </c>
      <c r="R4251" s="1" t="s">
        <v>6168</v>
      </c>
      <c r="V4251" s="1" t="s">
        <v>6172</v>
      </c>
      <c r="AR4251" s="1" t="str">
        <f t="shared" si="264"/>
        <v>| [ㄊㄡˊ](ㄊㄡˊ.md) | [酘](酘.md) |  | tóu | [動]
1.酒再釀。《集韻．平聲．侯韻》：「酘，酒再釀。」
2.北平方言：(1)清洗。如：「這衣裳還帶著肥皂沫兒呢，再酘酘。」(2)搓洗。如：「把毛巾酘酘晾上。」 |</v>
      </c>
    </row>
    <row r="4252" spans="1:44" hidden="1">
      <c r="A4252" s="1" t="s">
        <v>6173</v>
      </c>
      <c r="C4252" s="1">
        <v>1</v>
      </c>
      <c r="D4252" s="1" t="str">
        <f>"02522"</f>
        <v>02522</v>
      </c>
      <c r="E4252" s="1" t="s">
        <v>283</v>
      </c>
      <c r="F4252" s="1">
        <v>14</v>
      </c>
      <c r="G4252" s="1">
        <v>4</v>
      </c>
      <c r="H4252" s="1">
        <v>1</v>
      </c>
      <c r="I4252" s="1" t="s">
        <v>6167</v>
      </c>
      <c r="K4252" s="1" t="str">
        <f t="shared" si="265"/>
        <v>ㄊ</v>
      </c>
      <c r="L4252" s="1" t="str">
        <f t="shared" si="266"/>
        <v>ㄡ</v>
      </c>
      <c r="N4252" s="3" t="s">
        <v>30575</v>
      </c>
      <c r="O4252" s="3"/>
      <c r="P4252" s="1" t="s">
        <v>186</v>
      </c>
      <c r="R4252" s="1" t="s">
        <v>6168</v>
      </c>
      <c r="V4252" s="1" t="s">
        <v>6174</v>
      </c>
      <c r="W4252" s="1" t="s">
        <v>6175</v>
      </c>
      <c r="AR4252" s="1" t="str">
        <f t="shared" si="264"/>
        <v>| [ㄊㄡˊ](ㄊㄡˊ.md) | [骰](骰.md) |  | tóu | 參見「骰子」條。 |</v>
      </c>
    </row>
    <row r="4253" spans="1:44" hidden="1">
      <c r="A4253" s="1" t="s">
        <v>6176</v>
      </c>
      <c r="C4253" s="1">
        <v>1</v>
      </c>
      <c r="D4253" s="1" t="str">
        <f>"02523"</f>
        <v>02523</v>
      </c>
      <c r="E4253" s="1" t="s">
        <v>684</v>
      </c>
      <c r="F4253" s="1">
        <v>16</v>
      </c>
      <c r="G4253" s="1">
        <v>7</v>
      </c>
      <c r="H4253" s="1">
        <v>1</v>
      </c>
      <c r="I4253" s="1" t="s">
        <v>6167</v>
      </c>
      <c r="K4253" s="1" t="str">
        <f t="shared" si="265"/>
        <v>ㄊ</v>
      </c>
      <c r="L4253" s="1" t="str">
        <f t="shared" si="266"/>
        <v>ㄡ</v>
      </c>
      <c r="N4253" s="3" t="s">
        <v>30575</v>
      </c>
      <c r="O4253" s="3"/>
      <c r="P4253" s="1" t="s">
        <v>20</v>
      </c>
      <c r="R4253" s="1" t="s">
        <v>6168</v>
      </c>
      <c r="V4253" s="1" t="s">
        <v>6177</v>
      </c>
      <c r="W4253" s="1" t="s">
        <v>6178</v>
      </c>
      <c r="AR4253" s="1" t="str">
        <f t="shared" si="264"/>
        <v>| [ㄊㄡˊ](ㄊㄡˊ.md) | [頭](頭.md) |  | tóu | [名]
1.人或動物脖子以上的部分。如：「人頭」、「牛頭」。
2.頭髮或髮式。如：「剪頭」、「剃頭」、「平頭」、「三分頭」。
3.首領。如：「他喜歡做頭。」唐．韓愈〈論淮西事宜狀〉：「或被分割隊伍，隸屬諸頭。」
4.頂端或末稍。如：「山頭」、「將那竹子頭削尖。」
5.事情的端始或結束點。如：「你先提個頭吧！」、「衝過頭了！」、「從頭開始」、「善惡到頭終有報」。
6.物體殘餘的部分。如：「請把那塊布頭兒拿來看看！」
7.賭博或交易中所抽取的錢財。如：「抽頭」。《水滸傳》第三八回：「小張乙道：『討頭的，拾錢的，和那把門的，都被他打倒在裡面。』」
8.人的代稱。如：「蒼頭」、「老實頭」、「冤大頭」。
9.量詞：(1)計算牛、驢、騾、羊、豬等牲畜或似頭之物的單位。如：「一頭牛」、「三頭羊」、「兩頭蒜」。(2)計算事情的單位。如：「一頭好親事」。《水滸傳》第四五回：「只要證盟懺疏，也是了當一頭事。」
10.方位：(1)表示上、中等方位。如：「街頭行人多」、「夜頭風起覺神來。」(2)表示邊、前等方位。如：「潯陽江頭」。唐．杜甫〈兵車行〉：「君不見青海頭，古來白骨無人收。」宋．歐陽修〈田家〉詩：「林外鳴鳩春雨歇，屋頭初日杏花繁。」
[形]
1.最前的。如：「頭獎」、「頭功」、「頭幾排」。
2.在先的。如：「頭兩天」、「頭幾年」。 |</v>
      </c>
    </row>
    <row r="4254" spans="1:44" hidden="1">
      <c r="A4254" s="1" t="s">
        <v>6179</v>
      </c>
      <c r="C4254" s="1">
        <v>1</v>
      </c>
      <c r="D4254" s="1" t="str">
        <f>"02524"</f>
        <v>02524</v>
      </c>
      <c r="E4254" s="1" t="s">
        <v>6180</v>
      </c>
      <c r="F4254" s="1">
        <v>17</v>
      </c>
      <c r="G4254" s="1">
        <v>5</v>
      </c>
      <c r="H4254" s="1">
        <v>0</v>
      </c>
      <c r="I4254" s="1" t="s">
        <v>6181</v>
      </c>
      <c r="K4254" s="1" t="str">
        <f t="shared" si="265"/>
        <v>ㄊ</v>
      </c>
      <c r="L4254" s="1" t="str">
        <f t="shared" si="266"/>
        <v>ㄡ</v>
      </c>
      <c r="N4254" s="3" t="s">
        <v>30576</v>
      </c>
      <c r="O4254" s="3"/>
      <c r="P4254" s="1" t="s">
        <v>20</v>
      </c>
      <c r="R4254" s="1" t="s">
        <v>6182</v>
      </c>
      <c r="V4254" s="1" t="s">
        <v>6183</v>
      </c>
      <c r="AR4254" s="1" t="str">
        <f t="shared" si="264"/>
        <v>| [ㄊㄡˇ](ㄊㄡˇ.md) | [黈](黈.md) |  | tǒu | [名]
黃色。《集韻．去聲．厚韻》：「黈，黃色。」
[動]
增。參見「黈益」條。 |</v>
      </c>
    </row>
    <row r="4255" spans="1:44" hidden="1">
      <c r="A4255" s="1" t="s">
        <v>6176</v>
      </c>
      <c r="C4255" s="1">
        <v>1</v>
      </c>
      <c r="D4255" s="1" t="str">
        <f>"02526"</f>
        <v>02526</v>
      </c>
      <c r="E4255" s="1" t="s">
        <v>684</v>
      </c>
      <c r="F4255" s="1">
        <v>16</v>
      </c>
      <c r="G4255" s="1">
        <v>7</v>
      </c>
      <c r="H4255" s="1">
        <v>2</v>
      </c>
      <c r="I4255" s="1" t="s">
        <v>6188</v>
      </c>
      <c r="J4255" s="2" t="s">
        <v>30559</v>
      </c>
      <c r="K4255" s="1" t="s">
        <v>30565</v>
      </c>
      <c r="L4255" s="1" t="s">
        <v>24547</v>
      </c>
      <c r="P4255" s="1" t="s">
        <v>20</v>
      </c>
      <c r="R4255" s="1" t="s">
        <v>6189</v>
      </c>
      <c r="V4255" s="1" t="s">
        <v>6190</v>
      </c>
      <c r="W4255" s="1" t="s">
        <v>6191</v>
      </c>
      <c r="AR4255" s="1" t="str">
        <f t="shared" si="264"/>
        <v>| [˙ㄊㄡ](˙ㄊㄡ.md) | [頭](頭.md) |  | tou | [綴]
詞尾：(1)接名詞。如：「罐頭」、「拳頭」、「舌頭」。(2)接動詞。如：「念頭」、「說頭」。(3)接形容詞。如：「甜頭」、「準頭」。(4)接方位詞。如：「後頭」、「上頭」、「外頭」。 |</v>
      </c>
    </row>
    <row r="4256" spans="1:44" hidden="1">
      <c r="A4256" s="1" t="s">
        <v>6286</v>
      </c>
      <c r="C4256" s="1">
        <v>1</v>
      </c>
      <c r="D4256" s="1" t="str">
        <f>"02569"</f>
        <v>02569</v>
      </c>
      <c r="E4256" s="1" t="s">
        <v>336</v>
      </c>
      <c r="F4256" s="1">
        <v>9</v>
      </c>
      <c r="G4256" s="1">
        <v>5</v>
      </c>
      <c r="H4256" s="1">
        <v>0</v>
      </c>
      <c r="I4256" s="1" t="s">
        <v>6287</v>
      </c>
      <c r="K4256" s="1" t="str">
        <f t="shared" ref="K4256:K4319" si="267">LEFT(I4256, 1)</f>
        <v>ㄊ</v>
      </c>
      <c r="L4256" s="1" t="str">
        <f t="shared" ref="L4256:L4319" si="268">MID(I4256, 2, 1)</f>
        <v>ㄢ</v>
      </c>
      <c r="N4256" s="3" t="s">
        <v>30574</v>
      </c>
      <c r="O4256" s="3"/>
      <c r="P4256" s="1" t="s">
        <v>20</v>
      </c>
      <c r="R4256" s="1" t="s">
        <v>6288</v>
      </c>
      <c r="V4256" s="1" t="s">
        <v>6289</v>
      </c>
      <c r="AR4256" s="1" t="str">
        <f t="shared" si="264"/>
        <v>| [ㄊㄢˋ](ㄊㄢˋ.md) | [炭](炭.md) |  | tàn | [名]
1.含碳物質在不完全燃燒或加熱時所得到的殘留物。《說文解字．火部》：「炭，燒木餘也。」如：「焦炭」、「木炭」。
2.方言。指煤。《史記．卷四九．外戚世家》：「（少君）至宜陽，為其主入山作炭，（寒）暮臥岸下百餘人，岸崩，盡壓殺臥者，少君獨得脫，不死。」《正字通．火部》：「炭，石炭。今西北所燒之煤，即石炭。」
3.姓。如漢代有炭虬。 |</v>
      </c>
    </row>
    <row r="4257" spans="1:44" hidden="1">
      <c r="A4257" s="1" t="s">
        <v>6290</v>
      </c>
      <c r="C4257" s="1">
        <v>1</v>
      </c>
      <c r="D4257" s="1" t="str">
        <f>"02570"</f>
        <v>02570</v>
      </c>
      <c r="E4257" s="1" t="s">
        <v>129</v>
      </c>
      <c r="F4257" s="1">
        <v>12</v>
      </c>
      <c r="G4257" s="1">
        <v>9</v>
      </c>
      <c r="H4257" s="1">
        <v>0</v>
      </c>
      <c r="I4257" s="1" t="s">
        <v>6287</v>
      </c>
      <c r="K4257" s="1" t="str">
        <f t="shared" si="267"/>
        <v>ㄊ</v>
      </c>
      <c r="L4257" s="1" t="str">
        <f t="shared" si="268"/>
        <v>ㄢ</v>
      </c>
      <c r="N4257" s="3" t="s">
        <v>30574</v>
      </c>
      <c r="O4257" s="3"/>
      <c r="P4257" s="1" t="s">
        <v>20</v>
      </c>
      <c r="R4257" s="1" t="s">
        <v>6288</v>
      </c>
      <c r="V4257" s="1" t="s">
        <v>6291</v>
      </c>
      <c r="AR4257" s="1" t="str">
        <f t="shared" si="264"/>
        <v>| [ㄊㄢˋ](ㄊㄢˋ.md) | [湠](湠.md) |  | tàn | 參見「湠漫」條。 |</v>
      </c>
    </row>
    <row r="4258" spans="1:44" hidden="1">
      <c r="A4258" s="1" t="s">
        <v>6292</v>
      </c>
      <c r="C4258" s="1">
        <v>1</v>
      </c>
      <c r="D4258" s="1" t="str">
        <f>"02571"</f>
        <v>02571</v>
      </c>
      <c r="E4258" s="1" t="s">
        <v>169</v>
      </c>
      <c r="F4258" s="1">
        <v>14</v>
      </c>
      <c r="G4258" s="1">
        <v>9</v>
      </c>
      <c r="H4258" s="1">
        <v>0</v>
      </c>
      <c r="I4258" s="1" t="s">
        <v>6287</v>
      </c>
      <c r="K4258" s="1" t="str">
        <f t="shared" si="267"/>
        <v>ㄊ</v>
      </c>
      <c r="L4258" s="1" t="str">
        <f t="shared" si="268"/>
        <v>ㄢ</v>
      </c>
      <c r="N4258" s="3" t="s">
        <v>30574</v>
      </c>
      <c r="O4258" s="3"/>
      <c r="P4258" s="1" t="s">
        <v>20</v>
      </c>
      <c r="R4258" s="1" t="s">
        <v>6288</v>
      </c>
      <c r="V4258" s="1" t="s">
        <v>6293</v>
      </c>
      <c r="AR4258" s="1" t="str">
        <f t="shared" si="264"/>
        <v>| [ㄊㄢˋ](ㄊㄢˋ.md) | [碳](碳.md) |  | tàn | [名]
（carbon，C）化學元素。原子序6。非金屬元素之一。是構成有機物的主要成分，大量存在於生物體中；自然界的碳元素以鑽石、石墨和無定形碳的形式存在。常溫下，化學性質穩定；高溫時，則能與許多元素發生反應，形成許多化合物。在工業和醫藥上的用途甚廣。 |</v>
      </c>
    </row>
    <row r="4259" spans="1:44" hidden="1">
      <c r="A4259" s="1" t="s">
        <v>6294</v>
      </c>
      <c r="C4259" s="1">
        <v>1</v>
      </c>
      <c r="D4259" s="1" t="str">
        <f>"02572"</f>
        <v>02572</v>
      </c>
      <c r="E4259" s="1" t="s">
        <v>43</v>
      </c>
      <c r="F4259" s="1">
        <v>15</v>
      </c>
      <c r="G4259" s="1">
        <v>9</v>
      </c>
      <c r="H4259" s="1">
        <v>0</v>
      </c>
      <c r="I4259" s="1" t="s">
        <v>6287</v>
      </c>
      <c r="K4259" s="1" t="str">
        <f t="shared" si="267"/>
        <v>ㄊ</v>
      </c>
      <c r="L4259" s="1" t="str">
        <f t="shared" si="268"/>
        <v>ㄢ</v>
      </c>
      <c r="N4259" s="3" t="s">
        <v>30574</v>
      </c>
      <c r="O4259" s="3"/>
      <c r="P4259" s="1" t="s">
        <v>20</v>
      </c>
      <c r="R4259" s="1" t="s">
        <v>6288</v>
      </c>
      <c r="V4259" s="1" t="s">
        <v>6295</v>
      </c>
      <c r="AR4259" s="1" t="str">
        <f t="shared" si="264"/>
        <v>| [ㄊㄢˋ](ㄊㄢˋ.md) | [羰](羰.md) |  | tàn | 參見「羰基」條。 |</v>
      </c>
    </row>
    <row r="4260" spans="1:44" hidden="1">
      <c r="A4260" s="1" t="s">
        <v>6198</v>
      </c>
      <c r="C4260" s="1">
        <v>1</v>
      </c>
      <c r="D4260" s="1" t="str">
        <f>"02573"</f>
        <v>02573</v>
      </c>
      <c r="E4260" s="1" t="s">
        <v>24</v>
      </c>
      <c r="F4260" s="1">
        <v>11</v>
      </c>
      <c r="G4260" s="1">
        <v>8</v>
      </c>
      <c r="H4260" s="1">
        <v>1</v>
      </c>
      <c r="I4260" s="1" t="s">
        <v>6287</v>
      </c>
      <c r="K4260" s="1" t="str">
        <f t="shared" si="267"/>
        <v>ㄊ</v>
      </c>
      <c r="L4260" s="1" t="str">
        <f t="shared" si="268"/>
        <v>ㄢ</v>
      </c>
      <c r="N4260" s="3" t="s">
        <v>30574</v>
      </c>
      <c r="O4260" s="3"/>
      <c r="P4260" s="1" t="s">
        <v>20</v>
      </c>
      <c r="R4260" s="1" t="s">
        <v>6288</v>
      </c>
      <c r="V4260" s="1" t="s">
        <v>6296</v>
      </c>
      <c r="W4260" s="1" t="s">
        <v>6297</v>
      </c>
      <c r="AR4260" s="1" t="str">
        <f t="shared" si="264"/>
        <v>| [ㄊㄢˋ](ㄊㄢˋ.md) | [探](探.md) |  | tàn | [動]
1.尋求。如：「尋幽探勝」、「探路」、「鑽探」。唐．姚合〈莊居野行〉：「採玉上山顛，探珠入水府。」
2.推究。如：「試探其本」、「探究本源」。
3.打聽。如：「探聽」、「探底細」。
4.試測。如：「探他的口氣。」
5.看望。如：「探友」、「探親」。唐．李商隱〈無題〉詩：「蓬山此去無多路，青鳥殷勤為探看。」
[名]
擔任偵察工作的人。如：「偵探」、「密探」。 |</v>
      </c>
    </row>
    <row r="4261" spans="1:44" hidden="1">
      <c r="A4261" s="1" t="s">
        <v>6298</v>
      </c>
      <c r="C4261" s="1">
        <v>1</v>
      </c>
      <c r="D4261" s="1" t="str">
        <f>"02574"</f>
        <v>02574</v>
      </c>
      <c r="E4261" s="1" t="s">
        <v>28</v>
      </c>
      <c r="F4261" s="1">
        <v>14</v>
      </c>
      <c r="G4261" s="1">
        <v>11</v>
      </c>
      <c r="H4261" s="1">
        <v>0</v>
      </c>
      <c r="I4261" s="1" t="s">
        <v>6287</v>
      </c>
      <c r="K4261" s="1" t="str">
        <f t="shared" si="267"/>
        <v>ㄊ</v>
      </c>
      <c r="L4261" s="1" t="str">
        <f t="shared" si="268"/>
        <v>ㄢ</v>
      </c>
      <c r="N4261" s="3" t="s">
        <v>30574</v>
      </c>
      <c r="O4261" s="3"/>
      <c r="P4261" s="1" t="s">
        <v>20</v>
      </c>
      <c r="R4261" s="1" t="s">
        <v>6288</v>
      </c>
      <c r="V4261" s="1" t="s">
        <v>6299</v>
      </c>
      <c r="AR4261" s="1" t="str">
        <f t="shared" si="264"/>
        <v>| [ㄊㄢˋ](ㄊㄢˋ.md) | [嘆](嘆.md) |  | tàn | [動]
1.呼出長氣，以發抒心中的憂悶感傷。如：「哀嘆」、「感嘆」、「仰天長嘆」、「嘆息」。《詩經．王風．中谷有蓷》：「有女仳離，󺟑其嘆矣！󺟑其嘆矣，遇人之艱難矣！」
2.稱讚。通「歎」。如：「嘆為觀止」。《浮生六記．卷五．中山紀歷》：「慶雲見於西方，……觀者莫不嘆為奇瑞。」 |</v>
      </c>
    </row>
    <row r="4262" spans="1:44" hidden="1">
      <c r="A4262" s="1" t="s">
        <v>6300</v>
      </c>
      <c r="C4262" s="1">
        <v>1</v>
      </c>
      <c r="D4262" s="1" t="str">
        <f>"02575"</f>
        <v>02575</v>
      </c>
      <c r="E4262" s="1" t="s">
        <v>1908</v>
      </c>
      <c r="F4262" s="1">
        <v>15</v>
      </c>
      <c r="G4262" s="1">
        <v>11</v>
      </c>
      <c r="H4262" s="1">
        <v>0</v>
      </c>
      <c r="I4262" s="1" t="s">
        <v>6287</v>
      </c>
      <c r="K4262" s="1" t="str">
        <f t="shared" si="267"/>
        <v>ㄊ</v>
      </c>
      <c r="L4262" s="1" t="str">
        <f t="shared" si="268"/>
        <v>ㄢ</v>
      </c>
      <c r="N4262" s="3" t="s">
        <v>30574</v>
      </c>
      <c r="O4262" s="3"/>
      <c r="P4262" s="1" t="s">
        <v>20</v>
      </c>
      <c r="R4262" s="1" t="s">
        <v>6288</v>
      </c>
      <c r="V4262" s="1" t="s">
        <v>6301</v>
      </c>
      <c r="AR4262" s="1" t="str">
        <f t="shared" si="264"/>
        <v>| [ㄊㄢˋ](ㄊㄢˋ.md) | [歎](歎.md) |  | tàn | [動]
1.心中喜悅，發而吟詠。如：「吟歎」、「詠歎」。《禮記．樂記》：「清廟之瑟，朱弦而疏越，壹倡而三歎，有遺音者矣。」
2.讚美。如：「歎賞」。《禮記．郊特牲》：「賓入大門而奏肆夏，示易以敬也。卒爵而樂闋，孔子屢歎之。」漢．鄭玄．注：「美此禮也。」漢．無名氏〈四坐且莫諠〉詩：「從風入君懷，四坐莫不歎。」
3.嘆息。通「嘆」。如：「悲歎」、「嗟歎」。《封神演義》第一回：「上天垂象皆如此，徒令英雄歎不平。」
[名]
古代的一種詩歌體裁。如《樂府詩集》收有〈古遺歎〉、〈昭君歎〉等是。 |</v>
      </c>
    </row>
    <row r="4263" spans="1:44" hidden="1">
      <c r="A4263" s="1" t="s">
        <v>6302</v>
      </c>
      <c r="C4263" s="1">
        <v>1</v>
      </c>
      <c r="D4263" s="1" t="str">
        <f>"02576"</f>
        <v>02576</v>
      </c>
      <c r="E4263" s="1" t="s">
        <v>6303</v>
      </c>
      <c r="F4263" s="1">
        <v>14</v>
      </c>
      <c r="G4263" s="1">
        <v>8</v>
      </c>
      <c r="H4263" s="1">
        <v>0</v>
      </c>
      <c r="I4263" s="1" t="s">
        <v>6287</v>
      </c>
      <c r="K4263" s="1" t="str">
        <f t="shared" si="267"/>
        <v>ㄊ</v>
      </c>
      <c r="L4263" s="1" t="str">
        <f t="shared" si="268"/>
        <v>ㄢ</v>
      </c>
      <c r="N4263" s="3" t="s">
        <v>30574</v>
      </c>
      <c r="O4263" s="3"/>
      <c r="P4263" s="1" t="s">
        <v>20</v>
      </c>
      <c r="R4263" s="1" t="s">
        <v>6288</v>
      </c>
      <c r="V4263" s="1" t="s">
        <v>6304</v>
      </c>
      <c r="AR4263" s="1" t="str">
        <f t="shared" si="264"/>
        <v>| [ㄊㄢˋ](ㄊㄢˋ.md) | [舕](舕.md) |  | tàn | 參見「舚舕」條。 |</v>
      </c>
    </row>
    <row r="4264" spans="1:44" hidden="1">
      <c r="A4264" s="1" t="s">
        <v>4955</v>
      </c>
      <c r="C4264" s="1">
        <v>1</v>
      </c>
      <c r="D4264" s="1" t="str">
        <f>"02577"</f>
        <v>02577</v>
      </c>
      <c r="E4264" s="1" t="s">
        <v>24</v>
      </c>
      <c r="F4264" s="1">
        <v>15</v>
      </c>
      <c r="G4264" s="1">
        <v>12</v>
      </c>
      <c r="H4264" s="1">
        <v>2</v>
      </c>
      <c r="I4264" s="1" t="s">
        <v>6287</v>
      </c>
      <c r="K4264" s="1" t="str">
        <f t="shared" si="267"/>
        <v>ㄊ</v>
      </c>
      <c r="L4264" s="1" t="str">
        <f t="shared" si="268"/>
        <v>ㄢ</v>
      </c>
      <c r="N4264" s="3" t="s">
        <v>30574</v>
      </c>
      <c r="O4264" s="3"/>
      <c r="P4264" s="1" t="s">
        <v>20</v>
      </c>
      <c r="R4264" s="1" t="s">
        <v>6288</v>
      </c>
      <c r="V4264" s="1" t="s">
        <v>6305</v>
      </c>
      <c r="W4264" s="1" t="s">
        <v>6306</v>
      </c>
      <c r="AR4264" s="1" t="str">
        <f t="shared" si="264"/>
        <v>| [ㄊㄢˋ](ㄊㄢˋ.md) | [撢](撢.md) |  | tàn | [動]
探索。通「探」。《說文解字．手部》：「撢，探也。」《周禮．夏官．撢人》「掌誦王志道，國之政事」句下唐．賈公彥．疏：「撢取王之此志，又道國之政事。」 |</v>
      </c>
    </row>
    <row r="4265" spans="1:44" hidden="1">
      <c r="A4265" s="1" t="s">
        <v>6213</v>
      </c>
      <c r="C4265" s="1">
        <v>1</v>
      </c>
      <c r="D4265" s="1" t="str">
        <f>"02536"</f>
        <v>02536</v>
      </c>
      <c r="E4265" s="1" t="s">
        <v>114</v>
      </c>
      <c r="F4265" s="1">
        <v>10</v>
      </c>
      <c r="G4265" s="1">
        <v>8</v>
      </c>
      <c r="H4265" s="1">
        <v>0</v>
      </c>
      <c r="I4265" s="1" t="s">
        <v>6214</v>
      </c>
      <c r="K4265" s="1" t="str">
        <f t="shared" si="267"/>
        <v>ㄊ</v>
      </c>
      <c r="L4265" s="1" t="str">
        <f t="shared" si="268"/>
        <v>ㄢ</v>
      </c>
      <c r="N4265" s="3" t="s">
        <v>30575</v>
      </c>
      <c r="O4265" s="3"/>
      <c r="P4265" s="1" t="s">
        <v>20</v>
      </c>
      <c r="R4265" s="1" t="s">
        <v>6215</v>
      </c>
      <c r="V4265" s="1" t="s">
        <v>6216</v>
      </c>
      <c r="AR4265" s="1" t="str">
        <f t="shared" si="264"/>
        <v>| [ㄊㄢˊ](ㄊㄢˊ.md) | [倓](倓.md) |  | tán | [副]
安然不疑的樣子。《荀子．仲尼》：「倓然見管仲之能足以託國也。」 |</v>
      </c>
    </row>
    <row r="4266" spans="1:44" hidden="1">
      <c r="A4266" s="1" t="s">
        <v>6217</v>
      </c>
      <c r="C4266" s="1">
        <v>1</v>
      </c>
      <c r="D4266" s="1" t="str">
        <f>"02537"</f>
        <v>02537</v>
      </c>
      <c r="E4266" s="1" t="s">
        <v>256</v>
      </c>
      <c r="F4266" s="1">
        <v>11</v>
      </c>
      <c r="G4266" s="1">
        <v>8</v>
      </c>
      <c r="H4266" s="1">
        <v>0</v>
      </c>
      <c r="I4266" s="1" t="s">
        <v>6214</v>
      </c>
      <c r="K4266" s="1" t="str">
        <f t="shared" si="267"/>
        <v>ㄊ</v>
      </c>
      <c r="L4266" s="1" t="str">
        <f t="shared" si="268"/>
        <v>ㄢ</v>
      </c>
      <c r="N4266" s="3" t="s">
        <v>30575</v>
      </c>
      <c r="O4266" s="3"/>
      <c r="P4266" s="1" t="s">
        <v>20</v>
      </c>
      <c r="R4266" s="1" t="s">
        <v>6215</v>
      </c>
      <c r="V4266" s="1" t="s">
        <v>6218</v>
      </c>
      <c r="AR4266" s="1" t="str">
        <f t="shared" si="264"/>
        <v>| [ㄊㄢˊ](ㄊㄢˊ.md) | [郯](郯.md) |  | tán | [名]
1.國名。周封少昊之後於此，後滅於越。故城約在今大陸地區山東省郯城縣西南。
2.姓。如元代有郯韶。 |</v>
      </c>
    </row>
    <row r="4267" spans="1:44" hidden="1">
      <c r="A4267" s="1" t="s">
        <v>6219</v>
      </c>
      <c r="C4267" s="1">
        <v>1</v>
      </c>
      <c r="D4267" s="1" t="str">
        <f>"02538"</f>
        <v>02538</v>
      </c>
      <c r="E4267" s="1" t="s">
        <v>250</v>
      </c>
      <c r="F4267" s="1">
        <v>11</v>
      </c>
      <c r="G4267" s="1">
        <v>8</v>
      </c>
      <c r="H4267" s="1">
        <v>0</v>
      </c>
      <c r="I4267" s="1" t="s">
        <v>6214</v>
      </c>
      <c r="K4267" s="1" t="str">
        <f t="shared" si="267"/>
        <v>ㄊ</v>
      </c>
      <c r="L4267" s="1" t="str">
        <f t="shared" si="268"/>
        <v>ㄢ</v>
      </c>
      <c r="N4267" s="3" t="s">
        <v>30575</v>
      </c>
      <c r="O4267" s="3"/>
      <c r="P4267" s="1" t="s">
        <v>20</v>
      </c>
      <c r="R4267" s="1" t="s">
        <v>6215</v>
      </c>
      <c r="V4267" s="1" t="s">
        <v>6220</v>
      </c>
      <c r="AR4267" s="1" t="str">
        <f t="shared" si="264"/>
        <v>| [ㄊㄢˊ](ㄊㄢˊ.md) | [惔](惔.md) |  | tán | [動]
灼燒。《詩經．大雅．雲漢》：「旱魃為虐，如惔如焚。」 |</v>
      </c>
    </row>
    <row r="4268" spans="1:44" hidden="1">
      <c r="A4268" s="1" t="s">
        <v>6221</v>
      </c>
      <c r="C4268" s="1">
        <v>1</v>
      </c>
      <c r="D4268" s="1" t="str">
        <f>"02539"</f>
        <v>02539</v>
      </c>
      <c r="E4268" s="1" t="s">
        <v>40</v>
      </c>
      <c r="F4268" s="1">
        <v>13</v>
      </c>
      <c r="G4268" s="1">
        <v>8</v>
      </c>
      <c r="H4268" s="1">
        <v>0</v>
      </c>
      <c r="I4268" s="1" t="s">
        <v>6214</v>
      </c>
      <c r="K4268" s="1" t="str">
        <f t="shared" si="267"/>
        <v>ㄊ</v>
      </c>
      <c r="L4268" s="1" t="str">
        <f t="shared" si="268"/>
        <v>ㄢ</v>
      </c>
      <c r="N4268" s="3" t="s">
        <v>30575</v>
      </c>
      <c r="O4268" s="3"/>
      <c r="P4268" s="1" t="s">
        <v>20</v>
      </c>
      <c r="R4268" s="1" t="s">
        <v>6215</v>
      </c>
      <c r="V4268" s="1" t="s">
        <v>6222</v>
      </c>
      <c r="AR4268" s="1" t="str">
        <f t="shared" si="264"/>
        <v>| [ㄊㄢˊ](ㄊㄢˊ.md) | [痰](痰.md) |  | tán | [名]
從呼吸道、口腔或喉嚨表面排出的黏液。可能含有唾液、膿、微生物、血液或吸入的微粒等。平常量少，肺部或氣管生病時，量則增加。如：「吐痰」、「濃痰」。 |</v>
      </c>
    </row>
    <row r="4269" spans="1:44" hidden="1">
      <c r="A4269" s="1" t="s">
        <v>6223</v>
      </c>
      <c r="C4269" s="1">
        <v>1</v>
      </c>
      <c r="D4269" s="1" t="str">
        <f>"02540"</f>
        <v>02540</v>
      </c>
      <c r="E4269" s="1" t="s">
        <v>331</v>
      </c>
      <c r="F4269" s="1">
        <v>15</v>
      </c>
      <c r="G4269" s="1">
        <v>8</v>
      </c>
      <c r="H4269" s="1">
        <v>0</v>
      </c>
      <c r="I4269" s="1" t="s">
        <v>6214</v>
      </c>
      <c r="K4269" s="1" t="str">
        <f t="shared" si="267"/>
        <v>ㄊ</v>
      </c>
      <c r="L4269" s="1" t="str">
        <f t="shared" si="268"/>
        <v>ㄢ</v>
      </c>
      <c r="N4269" s="3" t="s">
        <v>30575</v>
      </c>
      <c r="O4269" s="3"/>
      <c r="P4269" s="1" t="s">
        <v>20</v>
      </c>
      <c r="R4269" s="1" t="s">
        <v>6215</v>
      </c>
      <c r="V4269" s="1" t="s">
        <v>6224</v>
      </c>
      <c r="AR4269" s="1" t="str">
        <f t="shared" si="264"/>
        <v>| [ㄊㄢˊ](ㄊㄢˊ.md) | [談](談.md) |  | tán | [動]
說話或討論。如：「抵掌而談」、「促膝長談」、「紙上談兵」、「會談」、「和談」。《孟子．離婁下》：「蚤起，施後良人之所之，遍國中無與立談者。」宋．岳飛〈滿江紅．怒髮衝冠〉詞：「壯志饑餐胡虜肉，笑談渴飲匈奴血。」
[名]
1.所說的話。如：「奇談」、「美談」、「老生常談」、「無稽之談」。《文選．曹植．與楊德祖書》：「吾常歎此達言，以為美談。」
2.姓。如漢代有談巴。 |</v>
      </c>
    </row>
    <row r="4270" spans="1:44" hidden="1">
      <c r="A4270" s="1" t="s">
        <v>6225</v>
      </c>
      <c r="C4270" s="1">
        <v>1</v>
      </c>
      <c r="D4270" s="1" t="str">
        <f>"02541"</f>
        <v>02541</v>
      </c>
      <c r="E4270" s="1" t="s">
        <v>55</v>
      </c>
      <c r="F4270" s="1">
        <v>16</v>
      </c>
      <c r="G4270" s="1">
        <v>8</v>
      </c>
      <c r="H4270" s="1">
        <v>1</v>
      </c>
      <c r="I4270" s="1" t="s">
        <v>6214</v>
      </c>
      <c r="K4270" s="1" t="str">
        <f t="shared" si="267"/>
        <v>ㄊ</v>
      </c>
      <c r="L4270" s="1" t="str">
        <f t="shared" si="268"/>
        <v>ㄢ</v>
      </c>
      <c r="N4270" s="3" t="s">
        <v>30575</v>
      </c>
      <c r="O4270" s="3"/>
      <c r="P4270" s="1" t="s">
        <v>20</v>
      </c>
      <c r="R4270" s="1" t="s">
        <v>6215</v>
      </c>
      <c r="V4270" s="1" t="s">
        <v>6226</v>
      </c>
      <c r="W4270" s="1" t="s">
        <v>6227</v>
      </c>
      <c r="AR4270" s="1" t="str">
        <f t="shared" si="264"/>
        <v>| [ㄊㄢˊ](ㄊㄢˊ.md) | [錟](錟.md) |  | tán | [名]
長矛。《說文解字．金部》：「錟，長矛也。」 |</v>
      </c>
    </row>
    <row r="4271" spans="1:44" hidden="1">
      <c r="A4271" s="1" t="s">
        <v>4988</v>
      </c>
      <c r="C4271" s="1">
        <v>1</v>
      </c>
      <c r="D4271" s="1" t="str">
        <f>"02542"</f>
        <v>02542</v>
      </c>
      <c r="E4271" s="1" t="s">
        <v>193</v>
      </c>
      <c r="F4271" s="1">
        <v>16</v>
      </c>
      <c r="G4271" s="1">
        <v>8</v>
      </c>
      <c r="H4271" s="1">
        <v>2</v>
      </c>
      <c r="I4271" s="1" t="s">
        <v>6214</v>
      </c>
      <c r="K4271" s="1" t="str">
        <f t="shared" si="267"/>
        <v>ㄊ</v>
      </c>
      <c r="L4271" s="1" t="str">
        <f t="shared" si="268"/>
        <v>ㄢ</v>
      </c>
      <c r="N4271" s="3" t="s">
        <v>30575</v>
      </c>
      <c r="O4271" s="3"/>
      <c r="P4271" s="1" t="s">
        <v>20</v>
      </c>
      <c r="R4271" s="1" t="s">
        <v>6215</v>
      </c>
      <c r="V4271" s="1" t="s">
        <v>6228</v>
      </c>
      <c r="W4271" s="1" t="s">
        <v>6229</v>
      </c>
      <c r="AR4271" s="1" t="str">
        <f t="shared" si="264"/>
        <v>| [ㄊㄢˊ](ㄊㄢˊ.md) | [餤](餤.md) |  | tán | [動]
進、進入。《詩經．小雅．巧言》：「盜言孔甘，亂是用餤。」漢．毛亨．傳：「餤，進也。」 |</v>
      </c>
    </row>
    <row r="4272" spans="1:44" hidden="1">
      <c r="A4272" s="1" t="s">
        <v>6230</v>
      </c>
      <c r="C4272" s="1">
        <v>1</v>
      </c>
      <c r="D4272" s="1" t="str">
        <f>"02543"</f>
        <v>02543</v>
      </c>
      <c r="E4272" s="1" t="s">
        <v>4317</v>
      </c>
      <c r="F4272" s="1">
        <v>12</v>
      </c>
      <c r="G4272" s="1">
        <v>6</v>
      </c>
      <c r="H4272" s="1">
        <v>1</v>
      </c>
      <c r="I4272" s="1" t="s">
        <v>6214</v>
      </c>
      <c r="K4272" s="1" t="str">
        <f t="shared" si="267"/>
        <v>ㄊ</v>
      </c>
      <c r="L4272" s="1" t="str">
        <f t="shared" si="268"/>
        <v>ㄢ</v>
      </c>
      <c r="N4272" s="3" t="s">
        <v>30575</v>
      </c>
      <c r="O4272" s="3"/>
      <c r="P4272" s="1" t="s">
        <v>20</v>
      </c>
      <c r="R4272" s="1" t="s">
        <v>6215</v>
      </c>
      <c r="V4272" s="1" t="s">
        <v>6231</v>
      </c>
      <c r="W4272" s="1" t="s">
        <v>6232</v>
      </c>
      <c r="AR4272" s="1" t="str">
        <f t="shared" si="264"/>
        <v>| [ㄊㄢˊ](ㄊㄢˊ.md) | [覃](覃.md) |  | tán | [動]
延及、蔓延。《詩經．周南．葛覃》：「葛之覃兮，施于中谷。」南朝梁．劉勰《文心雕龍．頌讚》：「比類寓意，又覃及細物矣。」
[副]
深。如：「覃思」、「覃深」。 |</v>
      </c>
    </row>
    <row r="4273" spans="1:44" hidden="1">
      <c r="A4273" s="1" t="s">
        <v>6233</v>
      </c>
      <c r="C4273" s="1">
        <v>1</v>
      </c>
      <c r="D4273" s="1" t="str">
        <f>"02544"</f>
        <v>02544</v>
      </c>
      <c r="E4273" s="1" t="s">
        <v>129</v>
      </c>
      <c r="F4273" s="1">
        <v>15</v>
      </c>
      <c r="G4273" s="1">
        <v>12</v>
      </c>
      <c r="H4273" s="1">
        <v>0</v>
      </c>
      <c r="I4273" s="1" t="s">
        <v>6214</v>
      </c>
      <c r="K4273" s="1" t="str">
        <f t="shared" si="267"/>
        <v>ㄊ</v>
      </c>
      <c r="L4273" s="1" t="str">
        <f t="shared" si="268"/>
        <v>ㄢ</v>
      </c>
      <c r="N4273" s="3" t="s">
        <v>30575</v>
      </c>
      <c r="O4273" s="3"/>
      <c r="P4273" s="1" t="s">
        <v>20</v>
      </c>
      <c r="R4273" s="1" t="s">
        <v>6215</v>
      </c>
      <c r="V4273" s="1" t="s">
        <v>6234</v>
      </c>
      <c r="AR4273" s="1" t="str">
        <f t="shared" si="264"/>
        <v>| [ㄊㄢˊ](ㄊㄢˊ.md) | [潭](潭.md) |  | tán | [名]
1.深水池。如：「日月潭」、「百花潭」、「龍潭虎穴」。北魏．酈道元《水經注．江水注》：「春冬之時，則素湍綠潭，迴清倒影。」
2.水邊。南朝宋．鮑照〈贈傅都曹別〉詩：「輕鴻戲江潭，孤鴈集洲沚。」
3.姓。如明代有潭玉瑞。 |</v>
      </c>
    </row>
    <row r="4274" spans="1:44" hidden="1">
      <c r="A4274" s="1" t="s">
        <v>6235</v>
      </c>
      <c r="C4274" s="1">
        <v>1</v>
      </c>
      <c r="D4274" s="1" t="str">
        <f>"02545"</f>
        <v>02545</v>
      </c>
      <c r="E4274" s="1" t="s">
        <v>250</v>
      </c>
      <c r="F4274" s="1">
        <v>15</v>
      </c>
      <c r="G4274" s="1">
        <v>12</v>
      </c>
      <c r="H4274" s="1">
        <v>0</v>
      </c>
      <c r="I4274" s="1" t="s">
        <v>6214</v>
      </c>
      <c r="K4274" s="1" t="str">
        <f t="shared" si="267"/>
        <v>ㄊ</v>
      </c>
      <c r="L4274" s="1" t="str">
        <f t="shared" si="268"/>
        <v>ㄢ</v>
      </c>
      <c r="N4274" s="3" t="s">
        <v>30575</v>
      </c>
      <c r="O4274" s="3"/>
      <c r="P4274" s="1" t="s">
        <v>20</v>
      </c>
      <c r="R4274" s="1" t="s">
        <v>6215</v>
      </c>
      <c r="V4274" s="1" t="s">
        <v>6236</v>
      </c>
      <c r="AR4274" s="1" t="str">
        <f t="shared" si="264"/>
        <v>| [ㄊㄢˊ](ㄊㄢˊ.md) | [憛](憛.md) |  | tán | [動]
憂愁、憂思。《集韻．平聲．覃韻》：「憛，憂意。」 |</v>
      </c>
    </row>
    <row r="4275" spans="1:44" hidden="1">
      <c r="A4275" s="1" t="s">
        <v>6237</v>
      </c>
      <c r="C4275" s="1">
        <v>1</v>
      </c>
      <c r="D4275" s="1" t="str">
        <f>"02546"</f>
        <v>02546</v>
      </c>
      <c r="E4275" s="1" t="s">
        <v>256</v>
      </c>
      <c r="F4275" s="1">
        <v>15</v>
      </c>
      <c r="G4275" s="1">
        <v>12</v>
      </c>
      <c r="H4275" s="1">
        <v>0</v>
      </c>
      <c r="I4275" s="1" t="s">
        <v>6214</v>
      </c>
      <c r="K4275" s="1" t="str">
        <f t="shared" si="267"/>
        <v>ㄊ</v>
      </c>
      <c r="L4275" s="1" t="str">
        <f t="shared" si="268"/>
        <v>ㄢ</v>
      </c>
      <c r="N4275" s="3" t="s">
        <v>30575</v>
      </c>
      <c r="O4275" s="3"/>
      <c r="P4275" s="1" t="s">
        <v>20</v>
      </c>
      <c r="R4275" s="1" t="s">
        <v>6215</v>
      </c>
      <c r="V4275" s="1" t="s">
        <v>6238</v>
      </c>
      <c r="AR4275" s="1" t="str">
        <f t="shared" si="264"/>
        <v>| [ㄊㄢˊ](ㄊㄢˊ.md) | [𨝸](𨝸.md) |  | tán | [名]
國名。在今山東省章丘縣西。春秋時為齊所滅。《說文解字．邑部》：「𨝸，國也。齊桓公之所滅。」 |</v>
      </c>
    </row>
    <row r="4276" spans="1:44" hidden="1">
      <c r="A4276" s="1" t="s">
        <v>6239</v>
      </c>
      <c r="C4276" s="1">
        <v>1</v>
      </c>
      <c r="D4276" s="1" t="str">
        <f>"02547"</f>
        <v>02547</v>
      </c>
      <c r="E4276" s="1" t="s">
        <v>679</v>
      </c>
      <c r="F4276" s="1">
        <v>18</v>
      </c>
      <c r="G4276" s="1">
        <v>12</v>
      </c>
      <c r="H4276" s="1">
        <v>0</v>
      </c>
      <c r="I4276" s="1" t="s">
        <v>6214</v>
      </c>
      <c r="K4276" s="1" t="str">
        <f t="shared" si="267"/>
        <v>ㄊ</v>
      </c>
      <c r="L4276" s="1" t="str">
        <f t="shared" si="268"/>
        <v>ㄢ</v>
      </c>
      <c r="N4276" s="3" t="s">
        <v>30575</v>
      </c>
      <c r="O4276" s="3"/>
      <c r="P4276" s="1" t="s">
        <v>20</v>
      </c>
      <c r="R4276" s="1" t="s">
        <v>6215</v>
      </c>
      <c r="V4276" s="1" t="s">
        <v>6240</v>
      </c>
      <c r="AR4276" s="1" t="str">
        <f t="shared" si="264"/>
        <v>| [ㄊㄢˊ](ㄊㄢˊ.md) | [蟫](蟫.md) |  | tán | [名]
動物名。節肢動物昆蟲綱。性喜陰暗，食害衣服、書本等。也稱為「白魚」。 |</v>
      </c>
    </row>
    <row r="4277" spans="1:44" hidden="1">
      <c r="A4277" s="1" t="s">
        <v>6241</v>
      </c>
      <c r="C4277" s="1">
        <v>1</v>
      </c>
      <c r="D4277" s="1" t="str">
        <f>"02548"</f>
        <v>02548</v>
      </c>
      <c r="E4277" s="1" t="s">
        <v>175</v>
      </c>
      <c r="F4277" s="1">
        <v>18</v>
      </c>
      <c r="G4277" s="1">
        <v>12</v>
      </c>
      <c r="H4277" s="1">
        <v>0</v>
      </c>
      <c r="I4277" s="1" t="s">
        <v>6214</v>
      </c>
      <c r="K4277" s="1" t="str">
        <f t="shared" si="267"/>
        <v>ㄊ</v>
      </c>
      <c r="L4277" s="1" t="str">
        <f t="shared" si="268"/>
        <v>ㄢ</v>
      </c>
      <c r="N4277" s="3" t="s">
        <v>30575</v>
      </c>
      <c r="O4277" s="3"/>
      <c r="P4277" s="1" t="s">
        <v>20</v>
      </c>
      <c r="R4277" s="1" t="s">
        <v>6215</v>
      </c>
      <c r="V4277" s="1" t="s">
        <v>6242</v>
      </c>
      <c r="AR4277" s="1" t="str">
        <f t="shared" si="264"/>
        <v>| [ㄊㄢˊ](ㄊㄢˊ.md) | [罈](罈.md) |  | tán | [名]
1.口小肚大的瓦製容器。如：「酒罈」、「骨灰罈」。
2.量詞。計算罈裝物的單位。如：「兩罈酒」、「一罈醬菜」。 |</v>
      </c>
    </row>
    <row r="4278" spans="1:44" hidden="1">
      <c r="A4278" s="1" t="s">
        <v>6243</v>
      </c>
      <c r="C4278" s="1">
        <v>1</v>
      </c>
      <c r="D4278" s="1" t="str">
        <f>"02549"</f>
        <v>02549</v>
      </c>
      <c r="E4278" s="1" t="s">
        <v>331</v>
      </c>
      <c r="F4278" s="1">
        <v>19</v>
      </c>
      <c r="G4278" s="1">
        <v>12</v>
      </c>
      <c r="H4278" s="1">
        <v>0</v>
      </c>
      <c r="I4278" s="1" t="s">
        <v>6214</v>
      </c>
      <c r="K4278" s="1" t="str">
        <f t="shared" si="267"/>
        <v>ㄊ</v>
      </c>
      <c r="L4278" s="1" t="str">
        <f t="shared" si="268"/>
        <v>ㄢ</v>
      </c>
      <c r="N4278" s="3" t="s">
        <v>30575</v>
      </c>
      <c r="O4278" s="3"/>
      <c r="P4278" s="1" t="s">
        <v>20</v>
      </c>
      <c r="R4278" s="1" t="s">
        <v>6215</v>
      </c>
      <c r="V4278" s="1" t="s">
        <v>6244</v>
      </c>
      <c r="AR4278" s="1" t="str">
        <f t="shared" si="264"/>
        <v>| [ㄊㄢˊ](ㄊㄢˊ.md) | [譚](譚.md) |  | tán | [形]
安而放縱的樣子。《大戴禮記．子張問入官》：「富恭有本能圖，脩業居久而譚。」
[名]
1.言論。同「談」。如：「天方夜譚」、「風俗奇譚」。
2.姓。如清代有譚嗣同。 |</v>
      </c>
    </row>
    <row r="4279" spans="1:44" hidden="1">
      <c r="A4279" s="1" t="s">
        <v>6245</v>
      </c>
      <c r="C4279" s="1">
        <v>1</v>
      </c>
      <c r="D4279" s="1" t="str">
        <f>"02550"</f>
        <v>02550</v>
      </c>
      <c r="E4279" s="1" t="s">
        <v>1462</v>
      </c>
      <c r="F4279" s="1">
        <v>19</v>
      </c>
      <c r="G4279" s="1">
        <v>12</v>
      </c>
      <c r="H4279" s="1">
        <v>0</v>
      </c>
      <c r="I4279" s="1" t="s">
        <v>6214</v>
      </c>
      <c r="K4279" s="1" t="str">
        <f t="shared" si="267"/>
        <v>ㄊ</v>
      </c>
      <c r="L4279" s="1" t="str">
        <f t="shared" si="268"/>
        <v>ㄢ</v>
      </c>
      <c r="N4279" s="3" t="s">
        <v>30575</v>
      </c>
      <c r="O4279" s="3"/>
      <c r="P4279" s="1" t="s">
        <v>20</v>
      </c>
      <c r="R4279" s="1" t="s">
        <v>6215</v>
      </c>
      <c r="V4279" s="1" t="s">
        <v>6246</v>
      </c>
      <c r="AR4279" s="1" t="str">
        <f t="shared" si="264"/>
        <v>| [ㄊㄢˊ](ㄊㄢˊ.md) | [醰](醰.md) |  | tán | [形]
醇厚。《文選．左思．魏都賦》：「沐浴福應，宅心醰粹。」 |</v>
      </c>
    </row>
    <row r="4280" spans="1:44" hidden="1">
      <c r="A4280" s="1" t="s">
        <v>6247</v>
      </c>
      <c r="C4280" s="1">
        <v>1</v>
      </c>
      <c r="D4280" s="1" t="str">
        <f>"02551"</f>
        <v>02551</v>
      </c>
      <c r="E4280" s="1" t="s">
        <v>37</v>
      </c>
      <c r="F4280" s="1">
        <v>19</v>
      </c>
      <c r="G4280" s="1">
        <v>15</v>
      </c>
      <c r="H4280" s="1">
        <v>0</v>
      </c>
      <c r="I4280" s="1" t="s">
        <v>6214</v>
      </c>
      <c r="K4280" s="1" t="str">
        <f t="shared" si="267"/>
        <v>ㄊ</v>
      </c>
      <c r="L4280" s="1" t="str">
        <f t="shared" si="268"/>
        <v>ㄢ</v>
      </c>
      <c r="N4280" s="3" t="s">
        <v>30575</v>
      </c>
      <c r="O4280" s="3"/>
      <c r="P4280" s="1" t="s">
        <v>20</v>
      </c>
      <c r="R4280" s="1" t="s">
        <v>6215</v>
      </c>
      <c r="V4280" s="1" t="s">
        <v>6248</v>
      </c>
      <c r="AR4280" s="1" t="str">
        <f t="shared" si="264"/>
        <v>| [ㄊㄢˊ](ㄊㄢˊ.md) | [藫](藫.md) |  | tán | [名]
植物名。紅藻類杉苔科鹿角菜屬。「鹿角菜」之古稱。參見「鹿角菜」條。《玉篇．艸部》：「藫，海藻也，又名海羅。如亂髮，生海水中。」也稱為「恭摍」、「海羅」。 |</v>
      </c>
    </row>
    <row r="4281" spans="1:44" hidden="1">
      <c r="A4281" s="1" t="s">
        <v>6249</v>
      </c>
      <c r="C4281" s="1">
        <v>1</v>
      </c>
      <c r="D4281" s="1" t="str">
        <f>"02552"</f>
        <v>02552</v>
      </c>
      <c r="E4281" s="1" t="s">
        <v>55</v>
      </c>
      <c r="F4281" s="1">
        <v>20</v>
      </c>
      <c r="G4281" s="1">
        <v>12</v>
      </c>
      <c r="H4281" s="1">
        <v>0</v>
      </c>
      <c r="I4281" s="1" t="s">
        <v>6214</v>
      </c>
      <c r="K4281" s="1" t="str">
        <f t="shared" si="267"/>
        <v>ㄊ</v>
      </c>
      <c r="L4281" s="1" t="str">
        <f t="shared" si="268"/>
        <v>ㄢ</v>
      </c>
      <c r="N4281" s="3" t="s">
        <v>30575</v>
      </c>
      <c r="O4281" s="3"/>
      <c r="P4281" s="1" t="s">
        <v>20</v>
      </c>
      <c r="R4281" s="1" t="s">
        <v>6215</v>
      </c>
      <c r="V4281" s="1" t="s">
        <v>6250</v>
      </c>
      <c r="AR4281" s="1" t="str">
        <f t="shared" si="264"/>
        <v>| [ㄊㄢˊ](ㄊㄢˊ.md) | [鐔](鐔.md) |  | tán | [名]
1.劍鼻，指劍柄與劍身連接，兩旁外凸如鼻的部分。《莊子．說劍》：「天子之劍，以……晉魏為脊，周宋為鐔。」
2.古代一種似劍而小的兵器。《漢書．卷七六．韓延壽傳》：「延壽又取官銅物，候月蝕鑄作刀劍鉤鐔。」 |</v>
      </c>
    </row>
    <row r="4282" spans="1:44" hidden="1">
      <c r="A4282" s="1" t="s">
        <v>5008</v>
      </c>
      <c r="C4282" s="1">
        <v>1</v>
      </c>
      <c r="D4282" s="1" t="str">
        <f>"02553"</f>
        <v>02553</v>
      </c>
      <c r="E4282" s="1" t="s">
        <v>103</v>
      </c>
      <c r="F4282" s="1">
        <v>15</v>
      </c>
      <c r="G4282" s="1">
        <v>12</v>
      </c>
      <c r="H4282" s="1">
        <v>2</v>
      </c>
      <c r="I4282" s="1" t="s">
        <v>6214</v>
      </c>
      <c r="K4282" s="1" t="str">
        <f t="shared" si="267"/>
        <v>ㄊ</v>
      </c>
      <c r="L4282" s="1" t="str">
        <f t="shared" si="268"/>
        <v>ㄢ</v>
      </c>
      <c r="N4282" s="3" t="s">
        <v>30575</v>
      </c>
      <c r="O4282" s="3"/>
      <c r="P4282" s="1" t="s">
        <v>20</v>
      </c>
      <c r="R4282" s="1" t="s">
        <v>6215</v>
      </c>
      <c r="V4282" s="1" t="s">
        <v>6251</v>
      </c>
      <c r="W4282" s="1" t="s">
        <v>6252</v>
      </c>
      <c r="AR4282" s="1" t="str">
        <f t="shared" si="264"/>
        <v>| [ㄊㄢˊ](ㄊㄢˊ.md) | [彈](彈.md) |  | tán | [動]
1.用彈弓發射。《左傳．宣公二年》：「從臺上彈人，而觀其辟丸也。」《呂氏春秋．仲春季．貴生》：「以隋侯之珠，彈千仞之雀。」
2.敲擊。《戰國策．齊策四》：「食以草具，居有頃，倚柱彈其劍，歌曰：『長鋏歸來乎！食無魚。』」
3.撥弄或按弄樂器。如：「彈吉他」、「彈琵琶」。唐．劉長卿〈聽彈琴〉詩：「古調雖自愛，今人多不彈。」
4.糾劾、檢舉。《漢書．卷八四．翟方進傳》：「（方進）十餘年間至宰相，據法以彈咸等，皆罷退之。」《宋書．卷八七．蕭惠開傳》：「偃任遇甚隆，惠開不為之屈，偃怒，使門下推彈之。」
5.鬆、緊或伸縮東西，使產生力量。如：「彈棉花」、「彈球」。
6.掉落。如：「英雄有淚不輕彈。」
7.撥動天平上的準星，以稱重量。元．無名氏《陳州糶米》第一折：「拏來上天平彈著。少少少，你這銀子則十四兩。」 |</v>
      </c>
    </row>
    <row r="4283" spans="1:44" hidden="1">
      <c r="A4283" s="1" t="s">
        <v>5017</v>
      </c>
      <c r="C4283" s="1">
        <v>1</v>
      </c>
      <c r="D4283" s="1" t="str">
        <f>"02554"</f>
        <v>02554</v>
      </c>
      <c r="E4283" s="1" t="s">
        <v>129</v>
      </c>
      <c r="F4283" s="1">
        <v>16</v>
      </c>
      <c r="G4283" s="1">
        <v>13</v>
      </c>
      <c r="H4283" s="1">
        <v>2</v>
      </c>
      <c r="I4283" s="1" t="s">
        <v>6214</v>
      </c>
      <c r="K4283" s="1" t="str">
        <f t="shared" si="267"/>
        <v>ㄊ</v>
      </c>
      <c r="L4283" s="1" t="str">
        <f t="shared" si="268"/>
        <v>ㄢ</v>
      </c>
      <c r="N4283" s="3" t="s">
        <v>30575</v>
      </c>
      <c r="O4283" s="3"/>
      <c r="P4283" s="1" t="s">
        <v>20</v>
      </c>
      <c r="R4283" s="1" t="s">
        <v>6215</v>
      </c>
      <c r="V4283" s="1" t="s">
        <v>6253</v>
      </c>
      <c r="W4283" s="1" t="s">
        <v>6254</v>
      </c>
      <c r="AR4283" s="1" t="str">
        <f t="shared" si="264"/>
        <v>| [ㄊㄢˊ](ㄊㄢˊ.md) | [澹](澹.md) |  | tán | 參見「澹臺」條。 |</v>
      </c>
    </row>
    <row r="4284" spans="1:44" hidden="1">
      <c r="A4284" s="1" t="s">
        <v>6255</v>
      </c>
      <c r="C4284" s="1">
        <v>1</v>
      </c>
      <c r="D4284" s="1" t="str">
        <f>"02555"</f>
        <v>02555</v>
      </c>
      <c r="E4284" s="1" t="s">
        <v>132</v>
      </c>
      <c r="F4284" s="1">
        <v>16</v>
      </c>
      <c r="G4284" s="1">
        <v>13</v>
      </c>
      <c r="H4284" s="1">
        <v>0</v>
      </c>
      <c r="I4284" s="1" t="s">
        <v>6214</v>
      </c>
      <c r="K4284" s="1" t="str">
        <f t="shared" si="267"/>
        <v>ㄊ</v>
      </c>
      <c r="L4284" s="1" t="str">
        <f t="shared" si="268"/>
        <v>ㄢ</v>
      </c>
      <c r="N4284" s="3" t="s">
        <v>30575</v>
      </c>
      <c r="O4284" s="3"/>
      <c r="P4284" s="1" t="s">
        <v>20</v>
      </c>
      <c r="R4284" s="1" t="s">
        <v>6215</v>
      </c>
      <c r="V4284" s="1" t="s">
        <v>6256</v>
      </c>
      <c r="AR4284" s="1" t="str">
        <f t="shared" si="264"/>
        <v>| [ㄊㄢˊ](ㄊㄢˊ.md) | [壇](壇.md) |  | tán | [名]
1.古代用來舉行祭祀的高臺。如：「天壇」、「地壇」。《禮記．祭義》：「祭日於壇」。
2.古代朝會盟誓及封拜大將所設的高臺。如：「登壇拜將」。
3.某些宗教舉行法事的處所。如：「壇場」、「神壇」、「七星壇」、「設壇禮佛」。
4.用土堆砌成的矮臺子。如：「花壇」。
5.某種團體的總稱。如：「文壇」、「影壇」、「體壇」。 |</v>
      </c>
    </row>
    <row r="4285" spans="1:44" hidden="1">
      <c r="A4285" s="1" t="s">
        <v>6257</v>
      </c>
      <c r="C4285" s="1">
        <v>1</v>
      </c>
      <c r="D4285" s="1" t="str">
        <f>"02556"</f>
        <v>02556</v>
      </c>
      <c r="E4285" s="1" t="s">
        <v>139</v>
      </c>
      <c r="F4285" s="1">
        <v>17</v>
      </c>
      <c r="G4285" s="1">
        <v>13</v>
      </c>
      <c r="H4285" s="1">
        <v>0</v>
      </c>
      <c r="I4285" s="1" t="s">
        <v>6214</v>
      </c>
      <c r="K4285" s="1" t="str">
        <f t="shared" si="267"/>
        <v>ㄊ</v>
      </c>
      <c r="L4285" s="1" t="str">
        <f t="shared" si="268"/>
        <v>ㄢ</v>
      </c>
      <c r="N4285" s="3" t="s">
        <v>30575</v>
      </c>
      <c r="O4285" s="3"/>
      <c r="P4285" s="1" t="s">
        <v>20</v>
      </c>
      <c r="R4285" s="1" t="s">
        <v>6215</v>
      </c>
      <c r="V4285" s="1" t="s">
        <v>6258</v>
      </c>
      <c r="AR4285" s="1" t="str">
        <f t="shared" si="264"/>
        <v>| [ㄊㄢˊ](ㄊㄢˊ.md) | [檀](檀.md) |  | tán | [名]
1.植物名：(1)指檀香。參見「檀香」條。(2)指青檀。榆科青檀屬，落葉喬木。高可十餘公尺。樹皮淺灰色，有小皮孔，葉為螺旋狀排列，卵形。材質堅硬細緻，供家具、農具、建材等用材。(3)指紫檀。豆科紫檀屬。產於亞洲東南部，木材淡紅色，質亦堅硬緻密，可為家具、建材等。
2.佛教指布施。為六度之一。為梵語ｄāｎａ的音譯。全譯作「檀那」、「陀那」。
3.姓。如戰國時魯有檀弓。
[形]
淺紅色的。如：「檀色」、「檀口」。 |</v>
      </c>
    </row>
    <row r="4286" spans="1:44" hidden="1">
      <c r="A4286" s="1" t="s">
        <v>6259</v>
      </c>
      <c r="C4286" s="1">
        <v>1</v>
      </c>
      <c r="D4286" s="1" t="str">
        <f>"02557"</f>
        <v>02557</v>
      </c>
      <c r="E4286" s="1" t="s">
        <v>37</v>
      </c>
      <c r="F4286" s="1">
        <v>16</v>
      </c>
      <c r="G4286" s="1">
        <v>12</v>
      </c>
      <c r="H4286" s="1">
        <v>1</v>
      </c>
      <c r="I4286" s="1" t="s">
        <v>6214</v>
      </c>
      <c r="K4286" s="1" t="str">
        <f t="shared" si="267"/>
        <v>ㄊ</v>
      </c>
      <c r="L4286" s="1" t="str">
        <f t="shared" si="268"/>
        <v>ㄢ</v>
      </c>
      <c r="N4286" s="3" t="s">
        <v>30575</v>
      </c>
      <c r="O4286" s="3"/>
      <c r="P4286" s="1" t="s">
        <v>20</v>
      </c>
      <c r="R4286" s="1" t="s">
        <v>6215</v>
      </c>
      <c r="V4286" s="1" t="s">
        <v>6260</v>
      </c>
      <c r="W4286" s="1" t="s">
        <v>6261</v>
      </c>
      <c r="AR4286" s="1" t="str">
        <f t="shared" si="264"/>
        <v>| [ㄊㄢˊ](ㄊㄢˊ.md) | [蕁](蕁.md) |  | tán | [名]
植物名。知母之古稱。百合科知母屬，多年生草本。地下莖根橫走，葉細長叢生，有平行脈。穗狀花序多花，花常二至三朵簇生，花被片六枚，黃綠色或青紫色。蒴果長卵形。地下根莖可入藥，具解熱、潤腎燥、清心肺等效用。產大陸地區東北、內蒙至蒙古及韓國。
[動]
火勢向上燃燒。《淮南子．天文》：「火上蕁，水下流。」 |</v>
      </c>
    </row>
    <row r="4287" spans="1:44" hidden="1">
      <c r="A4287" s="1" t="s">
        <v>6262</v>
      </c>
      <c r="C4287" s="1">
        <v>1</v>
      </c>
      <c r="D4287" s="1" t="str">
        <f>"02558"</f>
        <v>02558</v>
      </c>
      <c r="E4287" s="1" t="s">
        <v>646</v>
      </c>
      <c r="F4287" s="1">
        <v>16</v>
      </c>
      <c r="G4287" s="1">
        <v>12</v>
      </c>
      <c r="H4287" s="1">
        <v>0</v>
      </c>
      <c r="I4287" s="1" t="s">
        <v>6214</v>
      </c>
      <c r="K4287" s="1" t="str">
        <f t="shared" si="267"/>
        <v>ㄊ</v>
      </c>
      <c r="L4287" s="1" t="str">
        <f t="shared" si="268"/>
        <v>ㄢ</v>
      </c>
      <c r="N4287" s="3" t="s">
        <v>30575</v>
      </c>
      <c r="O4287" s="3"/>
      <c r="P4287" s="1" t="s">
        <v>20</v>
      </c>
      <c r="R4287" s="1" t="s">
        <v>6215</v>
      </c>
      <c r="V4287" s="1" t="s">
        <v>6263</v>
      </c>
      <c r="AR4287" s="1" t="str">
        <f t="shared" si="264"/>
        <v>| [ㄊㄢˊ](ㄊㄢˊ.md) | [曇](曇.md) |  | tán | [動]
雲氣布於天空。《廣韻．平聲．覃韻》：「曇，雲布。」
[名]
1.雲氣。元．曾瑞〈罵玉郎過感皇恩採茶歌．長天遠水秋光淡〉曲：「暮雲曇，曉山嵐，六合為我一茅庵。」
2.胡語音譯。與梵語dharma對等，為法的意思。如：「阿毗曇」。 |</v>
      </c>
    </row>
    <row r="4288" spans="1:44" hidden="1">
      <c r="A4288" s="1" t="s">
        <v>6264</v>
      </c>
      <c r="C4288" s="1">
        <v>1</v>
      </c>
      <c r="D4288" s="1" t="str">
        <f>"02559"</f>
        <v>02559</v>
      </c>
      <c r="E4288" s="1" t="s">
        <v>250</v>
      </c>
      <c r="F4288" s="1">
        <v>7</v>
      </c>
      <c r="G4288" s="1">
        <v>3</v>
      </c>
      <c r="H4288" s="1">
        <v>0</v>
      </c>
      <c r="I4288" s="1" t="s">
        <v>6265</v>
      </c>
      <c r="K4288" s="1" t="str">
        <f t="shared" si="267"/>
        <v>ㄊ</v>
      </c>
      <c r="L4288" s="1" t="str">
        <f t="shared" si="268"/>
        <v>ㄢ</v>
      </c>
      <c r="N4288" s="3" t="s">
        <v>30576</v>
      </c>
      <c r="O4288" s="3"/>
      <c r="P4288" s="1" t="s">
        <v>20</v>
      </c>
      <c r="R4288" s="1" t="s">
        <v>6266</v>
      </c>
      <c r="V4288" s="1" t="s">
        <v>6013</v>
      </c>
      <c r="AR4288" s="1" t="str">
        <f t="shared" si="264"/>
        <v>| [ㄊㄢˇ](ㄊㄢˇ.md) | [忐](忐.md) |  | tǎn | 參見「忐忑」條。 |</v>
      </c>
    </row>
    <row r="4289" spans="1:44" hidden="1">
      <c r="A4289" s="1" t="s">
        <v>6267</v>
      </c>
      <c r="C4289" s="1">
        <v>1</v>
      </c>
      <c r="D4289" s="1" t="str">
        <f>"02560"</f>
        <v>02560</v>
      </c>
      <c r="E4289" s="1" t="s">
        <v>132</v>
      </c>
      <c r="F4289" s="1">
        <v>8</v>
      </c>
      <c r="G4289" s="1">
        <v>5</v>
      </c>
      <c r="H4289" s="1">
        <v>0</v>
      </c>
      <c r="I4289" s="1" t="s">
        <v>6265</v>
      </c>
      <c r="K4289" s="1" t="str">
        <f t="shared" si="267"/>
        <v>ㄊ</v>
      </c>
      <c r="L4289" s="1" t="str">
        <f t="shared" si="268"/>
        <v>ㄢ</v>
      </c>
      <c r="N4289" s="3" t="s">
        <v>30576</v>
      </c>
      <c r="O4289" s="3"/>
      <c r="P4289" s="1" t="s">
        <v>20</v>
      </c>
      <c r="R4289" s="1" t="s">
        <v>6266</v>
      </c>
      <c r="V4289" s="1" t="s">
        <v>6268</v>
      </c>
      <c r="AR4289" s="1" t="str">
        <f t="shared" si="264"/>
        <v>| [ㄊㄢˇ](ㄊㄢˇ.md) | [坦](坦.md) |  | tǎn | [動]
露出。如：「坦胸露背」。唐．杜甫〈江亭〉詩：「坦腹江亭暖，長吟野望時。」
[形]
1.寬平、平穩。如：「坦途」、「平坦」。
2.心地寬廣，沒有私心。《論語．述而》：「君子坦蕩蕩，小人長戚戚。」
[名]
1.舊稱女婿。如稱賢婿為「賢坦」，尊稱他人的女婿為「令坦」。
2.姓。如宋代有坦中庸。 |</v>
      </c>
    </row>
    <row r="4290" spans="1:44" hidden="1">
      <c r="A4290" s="1" t="s">
        <v>6269</v>
      </c>
      <c r="C4290" s="1">
        <v>1</v>
      </c>
      <c r="D4290" s="1" t="str">
        <f>"02561"</f>
        <v>02561</v>
      </c>
      <c r="E4290" s="1" t="s">
        <v>340</v>
      </c>
      <c r="F4290" s="1">
        <v>11</v>
      </c>
      <c r="G4290" s="1">
        <v>5</v>
      </c>
      <c r="H4290" s="1">
        <v>0</v>
      </c>
      <c r="I4290" s="1" t="s">
        <v>6265</v>
      </c>
      <c r="K4290" s="1" t="str">
        <f t="shared" si="267"/>
        <v>ㄊ</v>
      </c>
      <c r="L4290" s="1" t="str">
        <f t="shared" si="268"/>
        <v>ㄢ</v>
      </c>
      <c r="N4290" s="3" t="s">
        <v>30576</v>
      </c>
      <c r="O4290" s="3"/>
      <c r="P4290" s="1" t="s">
        <v>20</v>
      </c>
      <c r="R4290" s="1" t="s">
        <v>6266</v>
      </c>
      <c r="V4290" s="1" t="s">
        <v>6270</v>
      </c>
      <c r="AR4290" s="1" t="str">
        <f t="shared" si="264"/>
        <v>| [ㄊㄢˇ](ㄊㄢˇ.md) | [袒](袒.md) |  | tǎn | [動]
1.裸露。如：「袒腹」、「袒胸」。《左傳．莊公八年》：「袒而示之背。」
2.偏護。如：「偏袒」、「袒護」。唐．柳宗元〈奉平淮夷雅表〉：「士獲厥心，太袒高驤。」《清史稿．卷四二八．秦定三傳》：「福濟所恃惟兩軍，難左右袒，軍飢且渙。」
3.表露、表白。如：「袒懷」、「袒露心事」。 |</v>
      </c>
    </row>
    <row r="4291" spans="1:44" hidden="1">
      <c r="A4291" s="1" t="s">
        <v>6271</v>
      </c>
      <c r="C4291" s="1">
        <v>1</v>
      </c>
      <c r="D4291" s="1" t="str">
        <f>"02562"</f>
        <v>02562</v>
      </c>
      <c r="E4291" s="1" t="s">
        <v>114</v>
      </c>
      <c r="F4291" s="1">
        <v>15</v>
      </c>
      <c r="G4291" s="1">
        <v>13</v>
      </c>
      <c r="H4291" s="1">
        <v>2</v>
      </c>
      <c r="I4291" s="1" t="s">
        <v>6265</v>
      </c>
      <c r="K4291" s="1" t="str">
        <f t="shared" si="267"/>
        <v>ㄊ</v>
      </c>
      <c r="L4291" s="1" t="str">
        <f t="shared" si="268"/>
        <v>ㄢ</v>
      </c>
      <c r="N4291" s="3" t="s">
        <v>30576</v>
      </c>
      <c r="O4291" s="3"/>
      <c r="P4291" s="1" t="s">
        <v>20</v>
      </c>
      <c r="R4291" s="1" t="s">
        <v>6266</v>
      </c>
      <c r="V4291" s="1" t="s">
        <v>6272</v>
      </c>
      <c r="W4291" s="1" t="s">
        <v>6273</v>
      </c>
      <c r="AR4291" s="1" t="str">
        <f t="shared" ref="AR4291:AR4354" si="269">"| ["&amp;I4291&amp;"]("&amp;I4291&amp;".md) | ["&amp;A4291&amp;"]("&amp;A4291&amp;".md) | "&amp;" | "&amp;R4291&amp;" | "&amp;V4291&amp;" |"</f>
        <v>| [ㄊㄢˇ](ㄊㄢˇ.md) | [儃](儃.md) |  | tǎn | [形]
參見「儃儃」條。 |</v>
      </c>
    </row>
    <row r="4292" spans="1:44" hidden="1">
      <c r="A4292" s="1" t="s">
        <v>6274</v>
      </c>
      <c r="C4292" s="1">
        <v>1</v>
      </c>
      <c r="D4292" s="1" t="str">
        <f>"02563"</f>
        <v>02563</v>
      </c>
      <c r="E4292" s="1" t="s">
        <v>37</v>
      </c>
      <c r="F4292" s="1">
        <v>12</v>
      </c>
      <c r="G4292" s="1">
        <v>8</v>
      </c>
      <c r="H4292" s="1">
        <v>0</v>
      </c>
      <c r="I4292" s="1" t="s">
        <v>6265</v>
      </c>
      <c r="K4292" s="1" t="str">
        <f t="shared" si="267"/>
        <v>ㄊ</v>
      </c>
      <c r="L4292" s="1" t="str">
        <f t="shared" si="268"/>
        <v>ㄢ</v>
      </c>
      <c r="N4292" s="3" t="s">
        <v>30576</v>
      </c>
      <c r="O4292" s="3"/>
      <c r="P4292" s="1" t="s">
        <v>20</v>
      </c>
      <c r="R4292" s="1" t="s">
        <v>6266</v>
      </c>
      <c r="V4292" s="1" t="s">
        <v>6275</v>
      </c>
      <c r="AR4292" s="1" t="str">
        <f t="shared" si="269"/>
        <v>| [ㄊㄢˇ](ㄊㄢˇ.md) | [菼](菼.md) |  | tǎn | [名]
1.荻。《詩經．衛風．碩人》：「鱣鮪發發，葭菼揭揭。」
2.介於青白之間的顏色。《詩經．王風．大車》：「大車檻檻，毳衣如菼。」 |</v>
      </c>
    </row>
    <row r="4293" spans="1:44" hidden="1">
      <c r="A4293" s="1" t="s">
        <v>6276</v>
      </c>
      <c r="C4293" s="1">
        <v>1</v>
      </c>
      <c r="D4293" s="1" t="str">
        <f>"02564"</f>
        <v>02564</v>
      </c>
      <c r="E4293" s="1" t="s">
        <v>1703</v>
      </c>
      <c r="F4293" s="1">
        <v>12</v>
      </c>
      <c r="G4293" s="1">
        <v>8</v>
      </c>
      <c r="H4293" s="1">
        <v>0</v>
      </c>
      <c r="I4293" s="1" t="s">
        <v>6265</v>
      </c>
      <c r="K4293" s="1" t="str">
        <f t="shared" si="267"/>
        <v>ㄊ</v>
      </c>
      <c r="L4293" s="1" t="str">
        <f t="shared" si="268"/>
        <v>ㄢ</v>
      </c>
      <c r="N4293" s="3" t="s">
        <v>30576</v>
      </c>
      <c r="O4293" s="3"/>
      <c r="P4293" s="1" t="s">
        <v>20</v>
      </c>
      <c r="R4293" s="1" t="s">
        <v>6266</v>
      </c>
      <c r="V4293" s="1" t="s">
        <v>6277</v>
      </c>
      <c r="AR4293" s="1" t="str">
        <f t="shared" si="269"/>
        <v>| [ㄊㄢˇ](ㄊㄢˇ.md) | [毯](毯.md) |  | tǎn | [名]
一種可以鋪陳開來的棉毛織物。用來保暖或裝飾。如：「毛毯」、「地毯」、「壁毯」。 |</v>
      </c>
    </row>
    <row r="4294" spans="1:44" hidden="1">
      <c r="A4294" s="1" t="s">
        <v>6278</v>
      </c>
      <c r="C4294" s="1">
        <v>1</v>
      </c>
      <c r="D4294" s="1" t="str">
        <f>"02565"</f>
        <v>02565</v>
      </c>
      <c r="E4294" s="1" t="s">
        <v>28</v>
      </c>
      <c r="F4294" s="1">
        <v>14</v>
      </c>
      <c r="G4294" s="1">
        <v>11</v>
      </c>
      <c r="H4294" s="1">
        <v>0</v>
      </c>
      <c r="I4294" s="1" t="s">
        <v>6265</v>
      </c>
      <c r="K4294" s="1" t="str">
        <f t="shared" si="267"/>
        <v>ㄊ</v>
      </c>
      <c r="L4294" s="1" t="str">
        <f t="shared" si="268"/>
        <v>ㄢ</v>
      </c>
      <c r="N4294" s="3" t="s">
        <v>30576</v>
      </c>
      <c r="O4294" s="3"/>
      <c r="P4294" s="1" t="s">
        <v>20</v>
      </c>
      <c r="R4294" s="1" t="s">
        <v>6266</v>
      </c>
      <c r="V4294" s="1" t="s">
        <v>6279</v>
      </c>
      <c r="AR4294" s="1" t="str">
        <f t="shared" si="269"/>
        <v>| [ㄊㄢˇ](ㄊㄢˇ.md) | [嗿](嗿.md) |  | tǎn | [形]
眾多。《詩經．周頌．載芟》：「有嗿其饁，思媚其婦。」 |</v>
      </c>
    </row>
    <row r="4295" spans="1:44" hidden="1">
      <c r="A4295" s="1" t="s">
        <v>6280</v>
      </c>
      <c r="C4295" s="1">
        <v>1</v>
      </c>
      <c r="D4295" s="1" t="str">
        <f>"02566"</f>
        <v>02566</v>
      </c>
      <c r="E4295" s="1" t="s">
        <v>1462</v>
      </c>
      <c r="F4295" s="1">
        <v>16</v>
      </c>
      <c r="G4295" s="1">
        <v>9</v>
      </c>
      <c r="H4295" s="1">
        <v>0</v>
      </c>
      <c r="I4295" s="1" t="s">
        <v>6265</v>
      </c>
      <c r="K4295" s="1" t="str">
        <f t="shared" si="267"/>
        <v>ㄊ</v>
      </c>
      <c r="L4295" s="1" t="str">
        <f t="shared" si="268"/>
        <v>ㄢ</v>
      </c>
      <c r="N4295" s="3" t="s">
        <v>30576</v>
      </c>
      <c r="O4295" s="3"/>
      <c r="P4295" s="1" t="s">
        <v>20</v>
      </c>
      <c r="R4295" s="1" t="s">
        <v>6266</v>
      </c>
      <c r="V4295" s="1" t="s">
        <v>6281</v>
      </c>
      <c r="AR4295" s="1" t="str">
        <f t="shared" si="269"/>
        <v>| [ㄊㄢˇ](ㄊㄢˇ.md) | [醓](醓.md) |  | tǎn | [名]
肉醬。《詩經．大雅．行葦》：「醓醢以薦，或燔或炙。」 |</v>
      </c>
    </row>
    <row r="4296" spans="1:44" hidden="1">
      <c r="A4296" s="1" t="s">
        <v>6282</v>
      </c>
      <c r="C4296" s="1">
        <v>1</v>
      </c>
      <c r="D4296" s="1" t="str">
        <f>"02567"</f>
        <v>02567</v>
      </c>
      <c r="E4296" s="1" t="s">
        <v>825</v>
      </c>
      <c r="F4296" s="1">
        <v>17</v>
      </c>
      <c r="G4296" s="1">
        <v>12</v>
      </c>
      <c r="H4296" s="1">
        <v>0</v>
      </c>
      <c r="I4296" s="1" t="s">
        <v>6265</v>
      </c>
      <c r="K4296" s="1" t="str">
        <f t="shared" si="267"/>
        <v>ㄊ</v>
      </c>
      <c r="L4296" s="1" t="str">
        <f t="shared" si="268"/>
        <v>ㄢ</v>
      </c>
      <c r="N4296" s="3" t="s">
        <v>30576</v>
      </c>
      <c r="O4296" s="3"/>
      <c r="P4296" s="1" t="s">
        <v>20</v>
      </c>
      <c r="R4296" s="1" t="s">
        <v>6266</v>
      </c>
      <c r="V4296" s="1" t="s">
        <v>6283</v>
      </c>
      <c r="AR4296" s="1" t="str">
        <f t="shared" si="269"/>
        <v>| [ㄊㄢˇ](ㄊㄢˇ.md) | [禫](禫.md) |  | tǎn | [名]
父母喪期服滿，脫除孝服的祭禮。《說文解字．示部》：「禫，除服祭也。」元．王實甫《西廂記．第一本．第二折》：「這是崔相國小姐至孝，為報父母之恩，又是老相公禫日，就脫孝服，所以做好事。」 |</v>
      </c>
    </row>
    <row r="4297" spans="1:44" hidden="1">
      <c r="A4297" s="1" t="s">
        <v>6284</v>
      </c>
      <c r="C4297" s="1">
        <v>1</v>
      </c>
      <c r="D4297" s="1" t="str">
        <f>"02568"</f>
        <v>02568</v>
      </c>
      <c r="E4297" s="1" t="s">
        <v>2777</v>
      </c>
      <c r="F4297" s="1">
        <v>21</v>
      </c>
      <c r="G4297" s="1">
        <v>9</v>
      </c>
      <c r="H4297" s="1">
        <v>0</v>
      </c>
      <c r="I4297" s="1" t="s">
        <v>6265</v>
      </c>
      <c r="K4297" s="1" t="str">
        <f t="shared" si="267"/>
        <v>ㄊ</v>
      </c>
      <c r="L4297" s="1" t="str">
        <f t="shared" si="268"/>
        <v>ㄢ</v>
      </c>
      <c r="N4297" s="3" t="s">
        <v>30576</v>
      </c>
      <c r="O4297" s="3"/>
      <c r="P4297" s="1" t="s">
        <v>20</v>
      </c>
      <c r="R4297" s="1" t="s">
        <v>6266</v>
      </c>
      <c r="V4297" s="1" t="s">
        <v>6285</v>
      </c>
      <c r="AR4297" s="1" t="str">
        <f t="shared" si="269"/>
        <v>| [ㄊㄢˇ](ㄊㄢˇ.md) | [黮](黮.md) |  | tǎn | 參見「黮闇」條。 |</v>
      </c>
    </row>
    <row r="4298" spans="1:44" hidden="1">
      <c r="A4298" s="1" t="s">
        <v>6383</v>
      </c>
      <c r="C4298" s="1">
        <v>1</v>
      </c>
      <c r="D4298" s="1" t="str">
        <f>"02610"</f>
        <v>02610</v>
      </c>
      <c r="E4298" s="1" t="s">
        <v>4563</v>
      </c>
      <c r="F4298" s="1">
        <v>15</v>
      </c>
      <c r="G4298" s="1">
        <v>8</v>
      </c>
      <c r="H4298" s="1">
        <v>0</v>
      </c>
      <c r="I4298" s="1" t="s">
        <v>6384</v>
      </c>
      <c r="K4298" s="1" t="str">
        <f t="shared" si="267"/>
        <v>ㄊ</v>
      </c>
      <c r="L4298" s="1" t="str">
        <f t="shared" si="268"/>
        <v>ㄤ</v>
      </c>
      <c r="N4298" s="3" t="s">
        <v>30574</v>
      </c>
      <c r="O4298" s="3"/>
      <c r="P4298" s="1" t="s">
        <v>20</v>
      </c>
      <c r="R4298" s="1" t="s">
        <v>6385</v>
      </c>
      <c r="V4298" s="1" t="s">
        <v>6386</v>
      </c>
      <c r="AR4298" s="1" t="str">
        <f t="shared" si="269"/>
        <v>| [ㄊㄤˋ](ㄊㄤˋ.md) | [趟](趟.md) |  | tàng | [名]
量詞：(1)計算走動的次數的單位。相當於「遍」、「次」、「回」。如：「我已經去過三趟了，他總是不在家。」(2)計算打拳次數的單位。相當於「套」。如：「一早起來，打了幾趟拳，覺得精神好多了。」 |</v>
      </c>
    </row>
    <row r="4299" spans="1:44" hidden="1">
      <c r="A4299" s="1" t="s">
        <v>6387</v>
      </c>
      <c r="C4299" s="1">
        <v>1</v>
      </c>
      <c r="D4299" s="1" t="str">
        <f>"02611"</f>
        <v>02611</v>
      </c>
      <c r="E4299" s="1" t="s">
        <v>336</v>
      </c>
      <c r="F4299" s="1">
        <v>16</v>
      </c>
      <c r="G4299" s="1">
        <v>12</v>
      </c>
      <c r="H4299" s="1">
        <v>0</v>
      </c>
      <c r="I4299" s="1" t="s">
        <v>6384</v>
      </c>
      <c r="K4299" s="1" t="str">
        <f t="shared" si="267"/>
        <v>ㄊ</v>
      </c>
      <c r="L4299" s="1" t="str">
        <f t="shared" si="268"/>
        <v>ㄤ</v>
      </c>
      <c r="N4299" s="3" t="s">
        <v>30574</v>
      </c>
      <c r="O4299" s="3"/>
      <c r="P4299" s="1" t="s">
        <v>20</v>
      </c>
      <c r="R4299" s="1" t="s">
        <v>6385</v>
      </c>
      <c r="V4299" s="1" t="s">
        <v>6388</v>
      </c>
      <c r="AR4299" s="1" t="str">
        <f t="shared" si="269"/>
        <v>| [ㄊㄤˋ](ㄊㄤˋ.md) | [燙](燙.md) |  | tàng | [動]
1.被高熱的東西或火所傷。如：「燙傷」、「燙嘴」。《紅樓夢》第三五回：「寶玉自己燙了手，倒不覺的。」
2.用熱水或火溫物。如：「把酒燙一燙。」
3.利用高熱使物體產生變化。如：「燙髮」、「燙衣服」。
4.一種烹調方法。將材料在滾水中快煮後撈出。如：「將魷魚燙熟後切片。」
[形]
溫度高。如：「這水太燙了」、「額頭好燙，一定發燒了。」 |</v>
      </c>
    </row>
    <row r="4300" spans="1:44" hidden="1">
      <c r="A4300" s="1" t="s">
        <v>6319</v>
      </c>
      <c r="C4300" s="1">
        <v>1</v>
      </c>
      <c r="D4300" s="1" t="str">
        <f>"02582"</f>
        <v>02582</v>
      </c>
      <c r="E4300" s="1" t="s">
        <v>28</v>
      </c>
      <c r="F4300" s="1">
        <v>10</v>
      </c>
      <c r="G4300" s="1">
        <v>7</v>
      </c>
      <c r="H4300" s="1">
        <v>0</v>
      </c>
      <c r="I4300" s="1" t="s">
        <v>6320</v>
      </c>
      <c r="K4300" s="1" t="str">
        <f t="shared" si="267"/>
        <v>ㄊ</v>
      </c>
      <c r="L4300" s="1" t="str">
        <f t="shared" si="268"/>
        <v>ㄤ</v>
      </c>
      <c r="N4300" s="3" t="s">
        <v>30575</v>
      </c>
      <c r="O4300" s="3"/>
      <c r="P4300" s="1" t="s">
        <v>20</v>
      </c>
      <c r="R4300" s="1" t="s">
        <v>6321</v>
      </c>
      <c r="V4300" s="1" t="s">
        <v>6322</v>
      </c>
      <c r="AR4300" s="1" t="str">
        <f t="shared" si="269"/>
        <v>| [ㄊㄤˊ](ㄊㄤˊ.md) | [唐](唐.md) |  | táng | [名]
1.朝代名：(1)傳說中帝堯的時代。(2)參見「唐朝」條。(3)參見「後唐」條。(4)參見「南唐」條。
2.中國的別稱。如：「唐裝」、「唐人街」。
3.庭院中的道路。《詩經．陳風．防有鵲巢》：「中唐有甓。」《文選．張衡．東京賦》：「植華平於春圃，豐朱草於中唐。」
4.姓。如明代有唐順之。
[形]
1.廣大。《文選．枚乘．七發》：「浩唐之心，遁佚之志，其奚由至哉？」
2.參見「荒唐」條。
3.參見「唐突」條。
[副]
虛、空。如：「功不唐捐」。 |</v>
      </c>
    </row>
    <row r="4301" spans="1:44" hidden="1">
      <c r="A4301" s="1" t="s">
        <v>6323</v>
      </c>
      <c r="C4301" s="1">
        <v>1</v>
      </c>
      <c r="D4301" s="1" t="str">
        <f>"02583"</f>
        <v>02583</v>
      </c>
      <c r="E4301" s="1" t="s">
        <v>129</v>
      </c>
      <c r="F4301" s="1">
        <v>13</v>
      </c>
      <c r="G4301" s="1">
        <v>10</v>
      </c>
      <c r="H4301" s="1">
        <v>0</v>
      </c>
      <c r="I4301" s="1" t="s">
        <v>6320</v>
      </c>
      <c r="K4301" s="1" t="str">
        <f t="shared" si="267"/>
        <v>ㄊ</v>
      </c>
      <c r="L4301" s="1" t="str">
        <f t="shared" si="268"/>
        <v>ㄤ</v>
      </c>
      <c r="N4301" s="3" t="s">
        <v>30575</v>
      </c>
      <c r="O4301" s="3"/>
      <c r="P4301" s="1" t="s">
        <v>20</v>
      </c>
      <c r="R4301" s="1" t="s">
        <v>6321</v>
      </c>
      <c r="V4301" s="1" t="s">
        <v>6324</v>
      </c>
      <c r="AR4301" s="1" t="str">
        <f t="shared" si="269"/>
        <v>| [ㄊㄤˊ](ㄊㄤˊ.md) | [溏](溏.md) |  | táng | [形]
不凝結，呈半液體狀態的。如：「溏便」、「溏心」、「溏薄」。 |</v>
      </c>
    </row>
    <row r="4302" spans="1:44" hidden="1">
      <c r="A4302" s="1" t="s">
        <v>6325</v>
      </c>
      <c r="C4302" s="1">
        <v>1</v>
      </c>
      <c r="D4302" s="1" t="str">
        <f>"02584"</f>
        <v>02584</v>
      </c>
      <c r="E4302" s="1" t="s">
        <v>132</v>
      </c>
      <c r="F4302" s="1">
        <v>13</v>
      </c>
      <c r="G4302" s="1">
        <v>10</v>
      </c>
      <c r="H4302" s="1">
        <v>0</v>
      </c>
      <c r="I4302" s="1" t="s">
        <v>6320</v>
      </c>
      <c r="K4302" s="1" t="str">
        <f t="shared" si="267"/>
        <v>ㄊ</v>
      </c>
      <c r="L4302" s="1" t="str">
        <f t="shared" si="268"/>
        <v>ㄤ</v>
      </c>
      <c r="N4302" s="3" t="s">
        <v>30575</v>
      </c>
      <c r="O4302" s="3"/>
      <c r="P4302" s="1" t="s">
        <v>20</v>
      </c>
      <c r="R4302" s="1" t="s">
        <v>6321</v>
      </c>
      <c r="V4302" s="1" t="s">
        <v>6326</v>
      </c>
      <c r="AR4302" s="1" t="str">
        <f t="shared" si="269"/>
        <v>| [ㄊㄤˊ](ㄊㄤˊ.md) | [塘](塘.md) |  | táng | [名]
1.堤岸，後亦用為地名。如：「堤塘」、「河塘」、「海塘」、「錢塘」、「瞿塘」。北周．庾信〈哀江南賦〉：「連茂苑于海陵，跨橫塘于江浦。」
2.水池、池子。如：「水塘」、「池塘」。唐．杜甫〈和裴迪登新津寺寄王侍郎〉詩：「蟬聲集古寺，鳥影度寒塘。」
3.浴池。如：「洗澡塘」。 |</v>
      </c>
    </row>
    <row r="4303" spans="1:44" hidden="1">
      <c r="A4303" s="1" t="s">
        <v>6327</v>
      </c>
      <c r="C4303" s="1">
        <v>1</v>
      </c>
      <c r="D4303" s="1" t="str">
        <f>"02585"</f>
        <v>02585</v>
      </c>
      <c r="E4303" s="1" t="s">
        <v>24</v>
      </c>
      <c r="F4303" s="1">
        <v>13</v>
      </c>
      <c r="G4303" s="1">
        <v>10</v>
      </c>
      <c r="H4303" s="1">
        <v>0</v>
      </c>
      <c r="I4303" s="1" t="s">
        <v>6320</v>
      </c>
      <c r="K4303" s="1" t="str">
        <f t="shared" si="267"/>
        <v>ㄊ</v>
      </c>
      <c r="L4303" s="1" t="str">
        <f t="shared" si="268"/>
        <v>ㄤ</v>
      </c>
      <c r="N4303" s="3" t="s">
        <v>30575</v>
      </c>
      <c r="O4303" s="3"/>
      <c r="P4303" s="1" t="s">
        <v>20</v>
      </c>
      <c r="R4303" s="1" t="s">
        <v>6321</v>
      </c>
      <c r="V4303" s="1" t="s">
        <v>6328</v>
      </c>
      <c r="AR4303" s="1" t="str">
        <f t="shared" si="269"/>
        <v>| [ㄊㄤˊ](ㄊㄤˊ.md) | [搪](搪.md) |  | táng | [動]
1.抵禦、招架。如：「搪風冒雨」、「水來土搪」。
2.敷衍、應付。如：「搪塞」、「搪差事」。
3.混、騙。《警世通言．卷六．俞仲舉題詩遇上皇》：「每日早間，問店小二討些湯洗了面便出門，長篇見宰相，短卷謁公卿，搪得幾碗酒吃。」
4.把泥土或塗料均勻的塗在器物上。如：「搪爐子」。
5.冒昧、冒犯。如：「搪突」。 |</v>
      </c>
    </row>
    <row r="4304" spans="1:44" hidden="1">
      <c r="A4304" s="1" t="s">
        <v>6329</v>
      </c>
      <c r="C4304" s="1">
        <v>1</v>
      </c>
      <c r="D4304" s="1" t="str">
        <f>"02586"</f>
        <v>02586</v>
      </c>
      <c r="E4304" s="1" t="s">
        <v>336</v>
      </c>
      <c r="F4304" s="1">
        <v>14</v>
      </c>
      <c r="G4304" s="1">
        <v>10</v>
      </c>
      <c r="H4304" s="1">
        <v>0</v>
      </c>
      <c r="I4304" s="1" t="s">
        <v>6320</v>
      </c>
      <c r="K4304" s="1" t="str">
        <f t="shared" si="267"/>
        <v>ㄊ</v>
      </c>
      <c r="L4304" s="1" t="str">
        <f t="shared" si="268"/>
        <v>ㄤ</v>
      </c>
      <c r="N4304" s="3" t="s">
        <v>30575</v>
      </c>
      <c r="O4304" s="3"/>
      <c r="P4304" s="1" t="s">
        <v>20</v>
      </c>
      <c r="R4304" s="1" t="s">
        <v>6321</v>
      </c>
      <c r="V4304" s="1" t="s">
        <v>6330</v>
      </c>
      <c r="AR4304" s="1" t="str">
        <f t="shared" si="269"/>
        <v>| [ㄊㄤˊ](ㄊㄤˊ.md) | [煻](煻.md) |  | táng | [動]
烘焙。《說文解字．火部》「煨」字．清．段玉裁．注：「今俗謂以火溫出冬間花曰唐花，即煻字也。」
[名]
熱灰。《集韻．平聲．唐韻》：「熱灰謂之煻煨。」明．李時珍《本草綱目．卷一一．金石部．食鹽》：「崔中臣鍊鹽黑丸方：鹽末一升，納粗瓷瓶中，實築泥頭，初以煻火燒，漸漸加炭火，勿令瓶破。」 |</v>
      </c>
    </row>
    <row r="4305" spans="1:44" hidden="1">
      <c r="A4305" s="1" t="s">
        <v>6331</v>
      </c>
      <c r="C4305" s="1">
        <v>1</v>
      </c>
      <c r="D4305" s="1" t="str">
        <f>"02587"</f>
        <v>02587</v>
      </c>
      <c r="E4305" s="1" t="s">
        <v>139</v>
      </c>
      <c r="F4305" s="1">
        <v>14</v>
      </c>
      <c r="G4305" s="1">
        <v>10</v>
      </c>
      <c r="H4305" s="1">
        <v>0</v>
      </c>
      <c r="I4305" s="1" t="s">
        <v>6320</v>
      </c>
      <c r="K4305" s="1" t="str">
        <f t="shared" si="267"/>
        <v>ㄊ</v>
      </c>
      <c r="L4305" s="1" t="str">
        <f t="shared" si="268"/>
        <v>ㄤ</v>
      </c>
      <c r="N4305" s="3" t="s">
        <v>30575</v>
      </c>
      <c r="O4305" s="3"/>
      <c r="P4305" s="1" t="s">
        <v>20</v>
      </c>
      <c r="R4305" s="1" t="s">
        <v>6321</v>
      </c>
      <c r="V4305" s="1" t="s">
        <v>6332</v>
      </c>
      <c r="AR4305" s="1" t="str">
        <f t="shared" si="269"/>
        <v>| [ㄊㄤˊ](ㄊㄤˊ.md) | [榶](榶.md) |  | táng | [名]
1.榶棣：古書上所記載的一種樹木。《廣韻．平聲．唐韻》：「榶，榶棣，木名。」
2.碗。《荀子．正論》：「故魯人以榶，衛人用柯，齊人用一革，土地形制不同者，械用備飾不可不異也。」唐．楊倞．注：「或曰：《方言》云：『碗謂之榶，盂謂之柯。』」 |</v>
      </c>
    </row>
    <row r="4306" spans="1:44" hidden="1">
      <c r="A4306" s="1" t="s">
        <v>6333</v>
      </c>
      <c r="C4306" s="1">
        <v>1</v>
      </c>
      <c r="D4306" s="1" t="str">
        <f>"02588"</f>
        <v>02588</v>
      </c>
      <c r="E4306" s="1" t="s">
        <v>37</v>
      </c>
      <c r="F4306" s="1">
        <v>14</v>
      </c>
      <c r="G4306" s="1">
        <v>10</v>
      </c>
      <c r="H4306" s="1">
        <v>0</v>
      </c>
      <c r="I4306" s="1" t="s">
        <v>6320</v>
      </c>
      <c r="K4306" s="1" t="str">
        <f t="shared" si="267"/>
        <v>ㄊ</v>
      </c>
      <c r="L4306" s="1" t="str">
        <f t="shared" si="268"/>
        <v>ㄤ</v>
      </c>
      <c r="N4306" s="3" t="s">
        <v>30575</v>
      </c>
      <c r="O4306" s="3"/>
      <c r="P4306" s="1" t="s">
        <v>20</v>
      </c>
      <c r="R4306" s="1" t="s">
        <v>6321</v>
      </c>
      <c r="V4306" s="1" t="s">
        <v>6334</v>
      </c>
      <c r="AR4306" s="1" t="str">
        <f t="shared" si="269"/>
        <v>| [ㄊㄤˊ](ㄊㄤˊ.md) | [蓎](蓎.md) |  | táng | [名]
蓎蒙：植物名。松蘿科松蘿屬，「松蘿」、「女蘿」之古稱，參見「松蘿」條。《玉篇．艸部》：「蓎，蓎蒙，女蘿。」 |</v>
      </c>
    </row>
    <row r="4307" spans="1:44" hidden="1">
      <c r="A4307" s="1" t="s">
        <v>6335</v>
      </c>
      <c r="C4307" s="1">
        <v>1</v>
      </c>
      <c r="D4307" s="1" t="str">
        <f>"02589"</f>
        <v>02589</v>
      </c>
      <c r="E4307" s="1" t="s">
        <v>46</v>
      </c>
      <c r="F4307" s="1">
        <v>16</v>
      </c>
      <c r="G4307" s="1">
        <v>10</v>
      </c>
      <c r="H4307" s="1">
        <v>0</v>
      </c>
      <c r="I4307" s="1" t="s">
        <v>6320</v>
      </c>
      <c r="K4307" s="1" t="str">
        <f t="shared" si="267"/>
        <v>ㄊ</v>
      </c>
      <c r="L4307" s="1" t="str">
        <f t="shared" si="268"/>
        <v>ㄤ</v>
      </c>
      <c r="N4307" s="3" t="s">
        <v>30575</v>
      </c>
      <c r="O4307" s="3"/>
      <c r="P4307" s="1" t="s">
        <v>20</v>
      </c>
      <c r="R4307" s="1" t="s">
        <v>6321</v>
      </c>
      <c r="V4307" s="1" t="s">
        <v>6336</v>
      </c>
      <c r="AR4307" s="1" t="str">
        <f t="shared" si="269"/>
        <v>| [ㄊㄤˊ](ㄊㄤˊ.md) | [糖](糖.md) |  | táng | [名]
1.由甘蔗、甜菜、米、麥等提製成的甜性物質。如：「蔗糖」、「葡萄糖」。
2.有糖成分的食品。如：「花生糖」、「情人糖」。
3.食用糖的通稱。如：「白糖」、「紅糖」、「冰糖」。
[形]
1.用糖製成的。如：「糖水」、「糖衣」。
2.甜的、像糖一樣甜的。如：「糖味」、「糖舌蜜口」。 |</v>
      </c>
    </row>
    <row r="4308" spans="1:44" hidden="1">
      <c r="A4308" s="1" t="s">
        <v>6337</v>
      </c>
      <c r="C4308" s="1">
        <v>1</v>
      </c>
      <c r="D4308" s="1" t="str">
        <f>"02590"</f>
        <v>02590</v>
      </c>
      <c r="E4308" s="1" t="s">
        <v>679</v>
      </c>
      <c r="F4308" s="1">
        <v>16</v>
      </c>
      <c r="G4308" s="1">
        <v>10</v>
      </c>
      <c r="H4308" s="1">
        <v>0</v>
      </c>
      <c r="I4308" s="1" t="s">
        <v>6320</v>
      </c>
      <c r="K4308" s="1" t="str">
        <f t="shared" si="267"/>
        <v>ㄊ</v>
      </c>
      <c r="L4308" s="1" t="str">
        <f t="shared" si="268"/>
        <v>ㄤ</v>
      </c>
      <c r="N4308" s="3" t="s">
        <v>30575</v>
      </c>
      <c r="O4308" s="3"/>
      <c r="P4308" s="1" t="s">
        <v>20</v>
      </c>
      <c r="R4308" s="1" t="s">
        <v>6321</v>
      </c>
      <c r="V4308" s="1" t="s">
        <v>6338</v>
      </c>
      <c r="AR4308" s="1" t="str">
        <f t="shared" si="269"/>
        <v>| [ㄊㄤˊ](ㄊㄤˊ.md) | [螗](螗.md) |  | táng | 參見「螗蜩」條。 |</v>
      </c>
    </row>
    <row r="4309" spans="1:44" hidden="1">
      <c r="A4309" s="1" t="s">
        <v>6339</v>
      </c>
      <c r="C4309" s="1">
        <v>1</v>
      </c>
      <c r="D4309" s="1" t="str">
        <f>"02591"</f>
        <v>02591</v>
      </c>
      <c r="E4309" s="1" t="s">
        <v>6340</v>
      </c>
      <c r="F4309" s="1">
        <v>17</v>
      </c>
      <c r="G4309" s="1">
        <v>10</v>
      </c>
      <c r="H4309" s="1">
        <v>0</v>
      </c>
      <c r="I4309" s="1" t="s">
        <v>6320</v>
      </c>
      <c r="K4309" s="1" t="str">
        <f t="shared" si="267"/>
        <v>ㄊ</v>
      </c>
      <c r="L4309" s="1" t="str">
        <f t="shared" si="268"/>
        <v>ㄤ</v>
      </c>
      <c r="N4309" s="3" t="s">
        <v>30575</v>
      </c>
      <c r="O4309" s="3"/>
      <c r="P4309" s="1" t="s">
        <v>20</v>
      </c>
      <c r="R4309" s="1" t="s">
        <v>6321</v>
      </c>
      <c r="V4309" s="1" t="s">
        <v>6341</v>
      </c>
      <c r="AR4309" s="1" t="str">
        <f t="shared" si="269"/>
        <v>| [ㄊㄤˊ](ㄊㄤˊ.md) | [赯](赯.md) |  | táng | [名]
紅色。《廣韻．平聲．唐韻》：「赯，赤色。」
[形]
紅潤的。如：「這人身高八尺，紫赯臉兒。」 |</v>
      </c>
    </row>
    <row r="4310" spans="1:44" hidden="1">
      <c r="A4310" s="1" t="s">
        <v>6342</v>
      </c>
      <c r="C4310" s="1">
        <v>1</v>
      </c>
      <c r="D4310" s="1" t="str">
        <f>"02592"</f>
        <v>02592</v>
      </c>
      <c r="E4310" s="1" t="s">
        <v>1462</v>
      </c>
      <c r="F4310" s="1">
        <v>17</v>
      </c>
      <c r="G4310" s="1">
        <v>10</v>
      </c>
      <c r="H4310" s="1">
        <v>0</v>
      </c>
      <c r="I4310" s="1" t="s">
        <v>6320</v>
      </c>
      <c r="K4310" s="1" t="str">
        <f t="shared" si="267"/>
        <v>ㄊ</v>
      </c>
      <c r="L4310" s="1" t="str">
        <f t="shared" si="268"/>
        <v>ㄤ</v>
      </c>
      <c r="N4310" s="3" t="s">
        <v>30575</v>
      </c>
      <c r="O4310" s="3"/>
      <c r="P4310" s="1" t="s">
        <v>20</v>
      </c>
      <c r="R4310" s="1" t="s">
        <v>6321</v>
      </c>
      <c r="V4310" s="1" t="s">
        <v>6343</v>
      </c>
      <c r="AR4310" s="1" t="str">
        <f t="shared" si="269"/>
        <v>| [ㄊㄤˊ](ㄊㄤˊ.md) | [醣](醣.md) |  | táng | [名]
有機化合物中的碳水化合物，為多羥醛或多羥酮和其衍生物或聚合物。依其複雜程度，一般可分為單醣、雙醣、寡醣和多醣。為人體產生熱能的主要物質。如葡萄糖、蔗糖、乳糖、澱粉等。 |</v>
      </c>
    </row>
    <row r="4311" spans="1:44" hidden="1">
      <c r="A4311" s="1" t="s">
        <v>6344</v>
      </c>
      <c r="C4311" s="1">
        <v>1</v>
      </c>
      <c r="D4311" s="1" t="str">
        <f>"02593"</f>
        <v>02593</v>
      </c>
      <c r="E4311" s="1" t="s">
        <v>132</v>
      </c>
      <c r="F4311" s="1">
        <v>11</v>
      </c>
      <c r="G4311" s="1">
        <v>8</v>
      </c>
      <c r="H4311" s="1">
        <v>0</v>
      </c>
      <c r="I4311" s="1" t="s">
        <v>6320</v>
      </c>
      <c r="K4311" s="1" t="str">
        <f t="shared" si="267"/>
        <v>ㄊ</v>
      </c>
      <c r="L4311" s="1" t="str">
        <f t="shared" si="268"/>
        <v>ㄤ</v>
      </c>
      <c r="N4311" s="3" t="s">
        <v>30575</v>
      </c>
      <c r="O4311" s="3"/>
      <c r="P4311" s="1" t="s">
        <v>20</v>
      </c>
      <c r="R4311" s="1" t="s">
        <v>6321</v>
      </c>
      <c r="V4311" s="1" t="s">
        <v>6345</v>
      </c>
      <c r="AR4311" s="1" t="str">
        <f t="shared" si="269"/>
        <v>| [ㄊㄤˊ](ㄊㄤˊ.md) | [堂](堂.md) |  | táng | [名]
1.正房、大廳。如：「廳堂」、「登堂入室」。《論語．先進》：「由也升堂矣，未入於室也。」
2.以前官府辦公、審訊、舉行典禮的地方。如：「明堂」、「政事堂」、「大堂」。
3.用於廳堂名稱。有時也含有某一世系的意義。如：「養志堂」、「三槐堂」。
4.專門用途的房屋。如：「課堂」、「食堂」、「禮堂」、「佛堂」、「紀念堂」。
5.同祖父的親屬。參見「堂兄弟」、「堂姪」等條。
6.量詞：(1）計算成套物品的單位。如：「一堂瓷器」、「兩堂家具」。(2）計算課程分節的單位。如：「一堂課」。
7.用於商店的名號。如：「同仁堂」、「回春堂」。
[形]
宏偉。如：「富麗堂皇」。 |</v>
      </c>
    </row>
    <row r="4312" spans="1:44" hidden="1">
      <c r="A4312" s="1" t="s">
        <v>6346</v>
      </c>
      <c r="C4312" s="1">
        <v>1</v>
      </c>
      <c r="D4312" s="1" t="str">
        <f>"02594"</f>
        <v>02594</v>
      </c>
      <c r="E4312" s="1" t="s">
        <v>139</v>
      </c>
      <c r="F4312" s="1">
        <v>12</v>
      </c>
      <c r="G4312" s="1">
        <v>8</v>
      </c>
      <c r="H4312" s="1">
        <v>0</v>
      </c>
      <c r="I4312" s="1" t="s">
        <v>6320</v>
      </c>
      <c r="K4312" s="1" t="str">
        <f t="shared" si="267"/>
        <v>ㄊ</v>
      </c>
      <c r="L4312" s="1" t="str">
        <f t="shared" si="268"/>
        <v>ㄤ</v>
      </c>
      <c r="N4312" s="3" t="s">
        <v>30575</v>
      </c>
      <c r="O4312" s="3"/>
      <c r="P4312" s="1" t="s">
        <v>20</v>
      </c>
      <c r="R4312" s="1" t="s">
        <v>6321</v>
      </c>
      <c r="V4312" s="1" t="s">
        <v>6347</v>
      </c>
      <c r="AR4312" s="1" t="str">
        <f t="shared" si="269"/>
        <v>| [ㄊㄤˊ](ㄊㄤˊ.md) | [棠](棠.md) |  | táng | [名]
1.植物名。薔薇科梨屬，「棠梨」之古稱。參見「棠梨」條。
2.姓。如春秋時有棠衣若。 |</v>
      </c>
    </row>
    <row r="4313" spans="1:44" hidden="1">
      <c r="A4313" s="1" t="s">
        <v>6348</v>
      </c>
      <c r="C4313" s="1">
        <v>1</v>
      </c>
      <c r="D4313" s="1" t="str">
        <f>"02595"</f>
        <v>02595</v>
      </c>
      <c r="E4313" s="1" t="s">
        <v>68</v>
      </c>
      <c r="F4313" s="1">
        <v>15</v>
      </c>
      <c r="G4313" s="1">
        <v>11</v>
      </c>
      <c r="H4313" s="1">
        <v>0</v>
      </c>
      <c r="I4313" s="1" t="s">
        <v>6320</v>
      </c>
      <c r="K4313" s="1" t="str">
        <f t="shared" si="267"/>
        <v>ㄊ</v>
      </c>
      <c r="L4313" s="1" t="str">
        <f t="shared" si="268"/>
        <v>ㄤ</v>
      </c>
      <c r="N4313" s="3" t="s">
        <v>30575</v>
      </c>
      <c r="O4313" s="3"/>
      <c r="P4313" s="1" t="s">
        <v>20</v>
      </c>
      <c r="R4313" s="1" t="s">
        <v>6321</v>
      </c>
      <c r="V4313" s="1" t="s">
        <v>6349</v>
      </c>
      <c r="AR4313" s="1" t="str">
        <f t="shared" si="269"/>
        <v>| [ㄊㄤˊ](ㄊㄤˊ.md) | [膛](膛.md) |  | táng | [名]
1.胸腔。如：「胸膛」、「開膛破肚」。
2.物體中空的部分。如：「槍膛」、「炮膛」。 |</v>
      </c>
    </row>
    <row r="4314" spans="1:44" hidden="1">
      <c r="A4314" s="1" t="s">
        <v>6350</v>
      </c>
      <c r="C4314" s="1">
        <v>1</v>
      </c>
      <c r="D4314" s="1" t="str">
        <f>"02596"</f>
        <v>02596</v>
      </c>
      <c r="E4314" s="1" t="s">
        <v>679</v>
      </c>
      <c r="F4314" s="1">
        <v>17</v>
      </c>
      <c r="G4314" s="1">
        <v>11</v>
      </c>
      <c r="H4314" s="1">
        <v>0</v>
      </c>
      <c r="I4314" s="1" t="s">
        <v>6320</v>
      </c>
      <c r="K4314" s="1" t="str">
        <f t="shared" si="267"/>
        <v>ㄊ</v>
      </c>
      <c r="L4314" s="1" t="str">
        <f t="shared" si="268"/>
        <v>ㄤ</v>
      </c>
      <c r="N4314" s="3" t="s">
        <v>30575</v>
      </c>
      <c r="O4314" s="3"/>
      <c r="P4314" s="1" t="s">
        <v>20</v>
      </c>
      <c r="R4314" s="1" t="s">
        <v>6321</v>
      </c>
      <c r="V4314" s="1" t="s">
        <v>6351</v>
      </c>
      <c r="AR4314" s="1" t="str">
        <f t="shared" si="269"/>
        <v>| [ㄊㄤˊ](ㄊㄤˊ.md) | [螳](螳.md) |  | táng | 參見「螳螂」條。 |</v>
      </c>
    </row>
    <row r="4315" spans="1:44" hidden="1">
      <c r="A4315" s="1" t="s">
        <v>6316</v>
      </c>
      <c r="C4315" s="1">
        <v>1</v>
      </c>
      <c r="D4315" s="1" t="str">
        <f>"02597"</f>
        <v>02597</v>
      </c>
      <c r="E4315" s="1" t="s">
        <v>55</v>
      </c>
      <c r="F4315" s="1">
        <v>19</v>
      </c>
      <c r="G4315" s="1">
        <v>11</v>
      </c>
      <c r="H4315" s="1">
        <v>2</v>
      </c>
      <c r="I4315" s="1" t="s">
        <v>6320</v>
      </c>
      <c r="K4315" s="1" t="str">
        <f t="shared" si="267"/>
        <v>ㄊ</v>
      </c>
      <c r="L4315" s="1" t="str">
        <f t="shared" si="268"/>
        <v>ㄤ</v>
      </c>
      <c r="N4315" s="3" t="s">
        <v>30575</v>
      </c>
      <c r="O4315" s="3"/>
      <c r="P4315" s="1" t="s">
        <v>20</v>
      </c>
      <c r="R4315" s="1" t="s">
        <v>6321</v>
      </c>
      <c r="V4315" s="1" t="s">
        <v>6352</v>
      </c>
      <c r="W4315" s="1" t="s">
        <v>6353</v>
      </c>
      <c r="AR4315" s="1" t="str">
        <f t="shared" si="269"/>
        <v>| [ㄊㄤˊ](ㄊㄤˊ.md) | [鏜](鏜.md) |  | táng | [名]
一種機器加工的方法。參見「鏜床」、「鏜孔」等條。 |</v>
      </c>
    </row>
    <row r="4316" spans="1:44" hidden="1">
      <c r="A4316" s="1" t="s">
        <v>6354</v>
      </c>
      <c r="C4316" s="1">
        <v>1</v>
      </c>
      <c r="D4316" s="1" t="str">
        <f>"02598"</f>
        <v>02598</v>
      </c>
      <c r="E4316" s="1" t="s">
        <v>193</v>
      </c>
      <c r="F4316" s="1">
        <v>17</v>
      </c>
      <c r="G4316" s="1">
        <v>9</v>
      </c>
      <c r="H4316" s="1">
        <v>2</v>
      </c>
      <c r="I4316" s="1" t="s">
        <v>6320</v>
      </c>
      <c r="K4316" s="1" t="str">
        <f t="shared" si="267"/>
        <v>ㄊ</v>
      </c>
      <c r="L4316" s="1" t="str">
        <f t="shared" si="268"/>
        <v>ㄤ</v>
      </c>
      <c r="N4316" s="3" t="s">
        <v>30575</v>
      </c>
      <c r="O4316" s="3"/>
      <c r="P4316" s="1" t="s">
        <v>20</v>
      </c>
      <c r="R4316" s="1" t="s">
        <v>6321</v>
      </c>
      <c r="V4316" s="1" t="s">
        <v>6355</v>
      </c>
      <c r="W4316" s="1" t="s">
        <v>6356</v>
      </c>
      <c r="AR4316" s="1" t="str">
        <f t="shared" si="269"/>
        <v>| [ㄊㄤˊ](ㄊㄤˊ.md) | [餳](餳.md) |  | táng | (一)[名]之又音。 |</v>
      </c>
    </row>
    <row r="4317" spans="1:44" hidden="1">
      <c r="A4317" s="1" t="s">
        <v>6357</v>
      </c>
      <c r="C4317" s="1">
        <v>1</v>
      </c>
      <c r="D4317" s="1" t="str">
        <f>"02599"</f>
        <v>02599</v>
      </c>
      <c r="E4317" s="1" t="s">
        <v>222</v>
      </c>
      <c r="F4317" s="1">
        <v>8</v>
      </c>
      <c r="G4317" s="1">
        <v>5</v>
      </c>
      <c r="H4317" s="1">
        <v>2</v>
      </c>
      <c r="I4317" s="1" t="s">
        <v>6358</v>
      </c>
      <c r="K4317" s="1" t="str">
        <f t="shared" si="267"/>
        <v>ㄊ</v>
      </c>
      <c r="L4317" s="1" t="str">
        <f t="shared" si="268"/>
        <v>ㄤ</v>
      </c>
      <c r="N4317" s="3" t="s">
        <v>30576</v>
      </c>
      <c r="O4317" s="3"/>
      <c r="P4317" s="1" t="s">
        <v>20</v>
      </c>
      <c r="R4317" s="1" t="s">
        <v>6359</v>
      </c>
      <c r="V4317" s="1" t="s">
        <v>6360</v>
      </c>
      <c r="W4317" s="1" t="s">
        <v>6361</v>
      </c>
      <c r="AR4317" s="1" t="str">
        <f t="shared" si="269"/>
        <v>| [ㄊㄤˇ](ㄊㄤˇ.md) | [帑](帑.md) |  | tǎng | [名]
1.貯藏錢財的府庫。漢．邯鄲淳《笑林．漢世老人》：「田宅沒官，貨財充於內帑矣。」《舊唐書．卷一七九．鄭綮傳》：「罷郡，有錢千緡，寄州帑。」
2.國有的錢財、公款。如：「公帑」、「國帑」。《漢書．卷九四．匈奴傳下》：「以為虛費府帑。」《儒林外史》第九回：「這項銀子，非贓非帑，何以便行監禁？」 |</v>
      </c>
    </row>
    <row r="4318" spans="1:44" hidden="1">
      <c r="A4318" s="1" t="s">
        <v>6362</v>
      </c>
      <c r="C4318" s="1">
        <v>1</v>
      </c>
      <c r="D4318" s="1" t="str">
        <f>"02600"</f>
        <v>02600</v>
      </c>
      <c r="E4318" s="1" t="s">
        <v>114</v>
      </c>
      <c r="F4318" s="1">
        <v>10</v>
      </c>
      <c r="G4318" s="1">
        <v>8</v>
      </c>
      <c r="H4318" s="1">
        <v>1</v>
      </c>
      <c r="I4318" s="1" t="s">
        <v>6358</v>
      </c>
      <c r="K4318" s="1" t="str">
        <f t="shared" si="267"/>
        <v>ㄊ</v>
      </c>
      <c r="L4318" s="1" t="str">
        <f t="shared" si="268"/>
        <v>ㄤ</v>
      </c>
      <c r="N4318" s="3" t="s">
        <v>30576</v>
      </c>
      <c r="O4318" s="3"/>
      <c r="P4318" s="1" t="s">
        <v>20</v>
      </c>
      <c r="R4318" s="1" t="s">
        <v>6359</v>
      </c>
      <c r="V4318" s="1" t="s">
        <v>6363</v>
      </c>
      <c r="W4318" s="1" t="s">
        <v>6364</v>
      </c>
      <c r="AR4318" s="1" t="str">
        <f t="shared" si="269"/>
        <v>| [ㄊㄤˇ](ㄊㄤˇ.md) | [倘](倘.md) |  | tǎng | [連]
或然、如果。如：「倘然」、「倘若」。《儒林外史》第三回：「何不把范進的卷子再看一遍？倘有一線之明，也可憐他苦志。」 |</v>
      </c>
    </row>
    <row r="4319" spans="1:44" hidden="1">
      <c r="A4319" s="1" t="s">
        <v>6365</v>
      </c>
      <c r="C4319" s="1">
        <v>1</v>
      </c>
      <c r="D4319" s="1" t="str">
        <f>"02601"</f>
        <v>02601</v>
      </c>
      <c r="E4319" s="1" t="s">
        <v>129</v>
      </c>
      <c r="F4319" s="1">
        <v>11</v>
      </c>
      <c r="G4319" s="1">
        <v>8</v>
      </c>
      <c r="H4319" s="1">
        <v>0</v>
      </c>
      <c r="I4319" s="1" t="s">
        <v>6358</v>
      </c>
      <c r="K4319" s="1" t="str">
        <f t="shared" si="267"/>
        <v>ㄊ</v>
      </c>
      <c r="L4319" s="1" t="str">
        <f t="shared" si="268"/>
        <v>ㄤ</v>
      </c>
      <c r="N4319" s="3" t="s">
        <v>30576</v>
      </c>
      <c r="O4319" s="3"/>
      <c r="P4319" s="1" t="s">
        <v>20</v>
      </c>
      <c r="R4319" s="1" t="s">
        <v>6359</v>
      </c>
      <c r="V4319" s="1" t="s">
        <v>6366</v>
      </c>
      <c r="AR4319" s="1" t="str">
        <f t="shared" si="269"/>
        <v>| [ㄊㄤˇ](ㄊㄤˇ.md) | [淌](淌.md) |  | tǎng | [動]
流下、流出。如：「淌血」、「淌眼淚」、「天氣悶熱，一大堆學生都擠在一塊兒考試，裡外煎熬，個個滿頭淌汗。」 |</v>
      </c>
    </row>
    <row r="4320" spans="1:44" hidden="1">
      <c r="A4320" s="1" t="s">
        <v>6367</v>
      </c>
      <c r="C4320" s="1">
        <v>1</v>
      </c>
      <c r="D4320" s="1" t="str">
        <f>"02602"</f>
        <v>02602</v>
      </c>
      <c r="E4320" s="1" t="s">
        <v>250</v>
      </c>
      <c r="F4320" s="1">
        <v>11</v>
      </c>
      <c r="G4320" s="1">
        <v>8</v>
      </c>
      <c r="H4320" s="1">
        <v>2</v>
      </c>
      <c r="I4320" s="1" t="s">
        <v>6358</v>
      </c>
      <c r="K4320" s="1" t="str">
        <f t="shared" ref="K4320:K4383" si="270">LEFT(I4320, 1)</f>
        <v>ㄊ</v>
      </c>
      <c r="L4320" s="1" t="str">
        <f t="shared" ref="L4320:L4383" si="271">MID(I4320, 2, 1)</f>
        <v>ㄤ</v>
      </c>
      <c r="N4320" s="3" t="s">
        <v>30576</v>
      </c>
      <c r="O4320" s="3"/>
      <c r="P4320" s="1" t="s">
        <v>110</v>
      </c>
      <c r="R4320" s="1" t="s">
        <v>6359</v>
      </c>
      <c r="V4320" s="1" t="s">
        <v>111</v>
      </c>
      <c r="W4320" s="1" t="s">
        <v>6368</v>
      </c>
      <c r="AR4320" s="1" t="str">
        <f t="shared" si="269"/>
        <v>| [ㄊㄤˇ](ㄊㄤˇ.md) | [惝](惝.md) |  | tǎng | (一)之又音。 |</v>
      </c>
    </row>
    <row r="4321" spans="1:44" hidden="1">
      <c r="A4321" s="1" t="s">
        <v>6369</v>
      </c>
      <c r="C4321" s="1">
        <v>1</v>
      </c>
      <c r="D4321" s="1" t="str">
        <f>"02603"</f>
        <v>02603</v>
      </c>
      <c r="E4321" s="1" t="s">
        <v>5692</v>
      </c>
      <c r="F4321" s="1">
        <v>15</v>
      </c>
      <c r="G4321" s="1">
        <v>8</v>
      </c>
      <c r="H4321" s="1">
        <v>0</v>
      </c>
      <c r="I4321" s="1" t="s">
        <v>6358</v>
      </c>
      <c r="K4321" s="1" t="str">
        <f t="shared" si="270"/>
        <v>ㄊ</v>
      </c>
      <c r="L4321" s="1" t="str">
        <f t="shared" si="271"/>
        <v>ㄤ</v>
      </c>
      <c r="N4321" s="3" t="s">
        <v>30576</v>
      </c>
      <c r="O4321" s="3"/>
      <c r="P4321" s="1" t="s">
        <v>20</v>
      </c>
      <c r="R4321" s="1" t="s">
        <v>6359</v>
      </c>
      <c r="V4321" s="1" t="s">
        <v>6370</v>
      </c>
      <c r="AR4321" s="1" t="str">
        <f t="shared" si="269"/>
        <v>| [ㄊㄤˇ](ㄊㄤˇ.md) | [躺](躺.md) |  | tǎng | [動]
平臥。如：「躺平」、「躺下」、「若覺得累，可以進去躺會兒。」 |</v>
      </c>
    </row>
    <row r="4322" spans="1:44" hidden="1">
      <c r="A4322" s="1" t="s">
        <v>6371</v>
      </c>
      <c r="C4322" s="1">
        <v>1</v>
      </c>
      <c r="D4322" s="1" t="str">
        <f>"02604"</f>
        <v>02604</v>
      </c>
      <c r="E4322" s="1" t="s">
        <v>114</v>
      </c>
      <c r="F4322" s="1">
        <v>22</v>
      </c>
      <c r="G4322" s="1">
        <v>20</v>
      </c>
      <c r="H4322" s="1">
        <v>0</v>
      </c>
      <c r="I4322" s="1" t="s">
        <v>6358</v>
      </c>
      <c r="K4322" s="1" t="str">
        <f t="shared" si="270"/>
        <v>ㄊ</v>
      </c>
      <c r="L4322" s="1" t="str">
        <f t="shared" si="271"/>
        <v>ㄤ</v>
      </c>
      <c r="N4322" s="3" t="s">
        <v>30576</v>
      </c>
      <c r="O4322" s="3"/>
      <c r="P4322" s="1" t="s">
        <v>20</v>
      </c>
      <c r="R4322" s="1" t="s">
        <v>6359</v>
      </c>
      <c r="V4322" s="1" t="s">
        <v>6372</v>
      </c>
      <c r="AR4322" s="1" t="str">
        <f t="shared" si="269"/>
        <v>| [ㄊㄤˇ](ㄊㄤˇ.md) | [儻](儻.md) |  | tǎng | [形]
參見「倜儻」條。
[連]
如果、倘若。同「倘」。《史記．卷六一．伯夷傳》：「儻所謂天道，是邪？非邪？」《文選．曹植．王仲宣誄》：「儻獨有靈，游魂泰素。」 |</v>
      </c>
    </row>
    <row r="4323" spans="1:44" hidden="1">
      <c r="A4323" s="1" t="s">
        <v>6373</v>
      </c>
      <c r="C4323" s="1">
        <v>1</v>
      </c>
      <c r="D4323" s="1" t="str">
        <f>"02605"</f>
        <v>02605</v>
      </c>
      <c r="E4323" s="1" t="s">
        <v>250</v>
      </c>
      <c r="F4323" s="1">
        <v>23</v>
      </c>
      <c r="G4323" s="1">
        <v>20</v>
      </c>
      <c r="H4323" s="1">
        <v>0</v>
      </c>
      <c r="I4323" s="1" t="s">
        <v>6358</v>
      </c>
      <c r="K4323" s="1" t="str">
        <f t="shared" si="270"/>
        <v>ㄊ</v>
      </c>
      <c r="L4323" s="1" t="str">
        <f t="shared" si="271"/>
        <v>ㄤ</v>
      </c>
      <c r="N4323" s="3" t="s">
        <v>30576</v>
      </c>
      <c r="O4323" s="3"/>
      <c r="P4323" s="1" t="s">
        <v>20</v>
      </c>
      <c r="R4323" s="1" t="s">
        <v>6359</v>
      </c>
      <c r="V4323" s="1" t="s">
        <v>6374</v>
      </c>
      <c r="AR4323" s="1" t="str">
        <f t="shared" si="269"/>
        <v>| [ㄊㄤˇ](ㄊㄤˇ.md) | [戃](戃.md) |  | tǎng | 參見「戃慌」條。 |</v>
      </c>
    </row>
    <row r="4324" spans="1:44" hidden="1">
      <c r="A4324" s="1" t="s">
        <v>6375</v>
      </c>
      <c r="C4324" s="1">
        <v>1</v>
      </c>
      <c r="D4324" s="1" t="str">
        <f>"02606"</f>
        <v>02606</v>
      </c>
      <c r="E4324" s="1" t="s">
        <v>336</v>
      </c>
      <c r="F4324" s="1">
        <v>24</v>
      </c>
      <c r="G4324" s="1">
        <v>20</v>
      </c>
      <c r="H4324" s="1">
        <v>0</v>
      </c>
      <c r="I4324" s="1" t="s">
        <v>6358</v>
      </c>
      <c r="K4324" s="1" t="str">
        <f t="shared" si="270"/>
        <v>ㄊ</v>
      </c>
      <c r="L4324" s="1" t="str">
        <f t="shared" si="271"/>
        <v>ㄤ</v>
      </c>
      <c r="N4324" s="3" t="s">
        <v>30576</v>
      </c>
      <c r="O4324" s="3"/>
      <c r="P4324" s="1" t="s">
        <v>20</v>
      </c>
      <c r="R4324" s="1" t="s">
        <v>6359</v>
      </c>
      <c r="V4324" s="1" t="s">
        <v>6376</v>
      </c>
      <c r="AR4324" s="1" t="str">
        <f t="shared" si="269"/>
        <v>| [ㄊㄤˇ](ㄊㄤˇ.md) | [爣](爣.md) |  | tǎng | 參見「爣閬」條。 |</v>
      </c>
    </row>
    <row r="4325" spans="1:44" hidden="1">
      <c r="A4325" s="1" t="s">
        <v>6377</v>
      </c>
      <c r="C4325" s="1">
        <v>1</v>
      </c>
      <c r="D4325" s="1" t="str">
        <f>"02607"</f>
        <v>02607</v>
      </c>
      <c r="E4325" s="1" t="s">
        <v>646</v>
      </c>
      <c r="F4325" s="1">
        <v>24</v>
      </c>
      <c r="G4325" s="1">
        <v>20</v>
      </c>
      <c r="H4325" s="1">
        <v>0</v>
      </c>
      <c r="I4325" s="1" t="s">
        <v>6358</v>
      </c>
      <c r="K4325" s="1" t="str">
        <f t="shared" si="270"/>
        <v>ㄊ</v>
      </c>
      <c r="L4325" s="1" t="str">
        <f t="shared" si="271"/>
        <v>ㄤ</v>
      </c>
      <c r="N4325" s="3" t="s">
        <v>30576</v>
      </c>
      <c r="O4325" s="3"/>
      <c r="P4325" s="1" t="s">
        <v>20</v>
      </c>
      <c r="R4325" s="1" t="s">
        <v>6359</v>
      </c>
      <c r="V4325" s="1" t="s">
        <v>6378</v>
      </c>
      <c r="AR4325" s="1" t="str">
        <f t="shared" si="269"/>
        <v>| [ㄊㄤˇ](ㄊㄤˇ.md) | [曭](曭.md) |  | tǎng | [形]
日光不明朗的樣子。《廣韻．上聲．蕩韻》：「曭，日不明。」《楚辭．屈原．遠遊》：「時曖曃其曭莽兮，召玄武而奔屬。」 |</v>
      </c>
    </row>
    <row r="4326" spans="1:44" hidden="1">
      <c r="A4326" s="1" t="s">
        <v>6379</v>
      </c>
      <c r="C4326" s="1">
        <v>1</v>
      </c>
      <c r="D4326" s="1" t="str">
        <f>"02608"</f>
        <v>02608</v>
      </c>
      <c r="E4326" s="1" t="s">
        <v>1015</v>
      </c>
      <c r="F4326" s="1">
        <v>25</v>
      </c>
      <c r="G4326" s="1">
        <v>20</v>
      </c>
      <c r="H4326" s="1">
        <v>0</v>
      </c>
      <c r="I4326" s="1" t="s">
        <v>6358</v>
      </c>
      <c r="K4326" s="1" t="str">
        <f t="shared" si="270"/>
        <v>ㄊ</v>
      </c>
      <c r="L4326" s="1" t="str">
        <f t="shared" si="271"/>
        <v>ㄤ</v>
      </c>
      <c r="N4326" s="3" t="s">
        <v>30576</v>
      </c>
      <c r="O4326" s="3"/>
      <c r="P4326" s="1" t="s">
        <v>20</v>
      </c>
      <c r="R4326" s="1" t="s">
        <v>6359</v>
      </c>
      <c r="V4326" s="1" t="s">
        <v>6380</v>
      </c>
      <c r="AR4326" s="1" t="str">
        <f t="shared" si="269"/>
        <v>| [ㄊㄤˇ](ㄊㄤˇ.md) | [矘](矘.md) |  | tǎng | [形]
眼睛無神，茫然直視的樣子。《說文解字．目部》：「矘，目無精直視也。」《後漢書．卷三四．梁統傳》：「（梁冀）為人鳶肩豺目，洞精矘眄。」 |</v>
      </c>
    </row>
    <row r="4327" spans="1:44" hidden="1">
      <c r="A4327" s="1" t="s">
        <v>6381</v>
      </c>
      <c r="C4327" s="1">
        <v>1</v>
      </c>
      <c r="D4327" s="1" t="str">
        <f>"02609"</f>
        <v>02609</v>
      </c>
      <c r="E4327" s="1" t="s">
        <v>55</v>
      </c>
      <c r="F4327" s="1">
        <v>28</v>
      </c>
      <c r="G4327" s="1">
        <v>20</v>
      </c>
      <c r="H4327" s="1">
        <v>0</v>
      </c>
      <c r="I4327" s="1" t="s">
        <v>6358</v>
      </c>
      <c r="K4327" s="1" t="str">
        <f t="shared" si="270"/>
        <v>ㄊ</v>
      </c>
      <c r="L4327" s="1" t="str">
        <f t="shared" si="271"/>
        <v>ㄤ</v>
      </c>
      <c r="N4327" s="3" t="s">
        <v>30576</v>
      </c>
      <c r="O4327" s="3"/>
      <c r="P4327" s="1" t="s">
        <v>20</v>
      </c>
      <c r="R4327" s="1" t="s">
        <v>6359</v>
      </c>
      <c r="V4327" s="1" t="s">
        <v>6382</v>
      </c>
      <c r="AR4327" s="1" t="str">
        <f t="shared" si="269"/>
        <v>| [ㄊㄤˇ](ㄊㄤˇ.md) | [钂](钂.md) |  | tǎng | 參見「钂鈀」、「钂叉」等條。 |</v>
      </c>
    </row>
    <row r="4328" spans="1:44" hidden="1">
      <c r="A4328" s="1" t="s">
        <v>6389</v>
      </c>
      <c r="C4328" s="1">
        <v>1</v>
      </c>
      <c r="D4328" s="1" t="str">
        <f>"02612"</f>
        <v>02612</v>
      </c>
      <c r="E4328" s="1" t="s">
        <v>40</v>
      </c>
      <c r="F4328" s="1">
        <v>10</v>
      </c>
      <c r="G4328" s="1">
        <v>5</v>
      </c>
      <c r="H4328" s="1">
        <v>0</v>
      </c>
      <c r="I4328" s="1" t="s">
        <v>6390</v>
      </c>
      <c r="K4328" s="1" t="str">
        <f t="shared" si="270"/>
        <v>ㄊ</v>
      </c>
      <c r="L4328" s="1" t="str">
        <f t="shared" si="271"/>
        <v>ㄥ</v>
      </c>
      <c r="N4328" s="3" t="s">
        <v>30575</v>
      </c>
      <c r="O4328" s="3"/>
      <c r="P4328" s="1" t="s">
        <v>20</v>
      </c>
      <c r="R4328" s="1" t="s">
        <v>6391</v>
      </c>
      <c r="V4328" s="1" t="s">
        <v>6392</v>
      </c>
      <c r="AR4328" s="1" t="str">
        <f t="shared" si="269"/>
        <v>| [ㄊㄥˊ](ㄊㄥˊ.md) | [疼](疼.md) |  | téng | [形]
痛。如：「頭疼」、「肚子疼」。
[動]
愛憐。如：「爺爺、奶奶最疼我了。」、「這孩子乖巧又伶俐，怪惹人疼的。」 |</v>
      </c>
    </row>
    <row r="4329" spans="1:44" hidden="1">
      <c r="A4329" s="1" t="s">
        <v>6393</v>
      </c>
      <c r="C4329" s="1">
        <v>1</v>
      </c>
      <c r="D4329" s="1" t="str">
        <f>"02613"</f>
        <v>02613</v>
      </c>
      <c r="E4329" s="1" t="s">
        <v>222</v>
      </c>
      <c r="F4329" s="1">
        <v>13</v>
      </c>
      <c r="G4329" s="1">
        <v>10</v>
      </c>
      <c r="H4329" s="1">
        <v>0</v>
      </c>
      <c r="I4329" s="1" t="s">
        <v>6390</v>
      </c>
      <c r="K4329" s="1" t="str">
        <f t="shared" si="270"/>
        <v>ㄊ</v>
      </c>
      <c r="L4329" s="1" t="str">
        <f t="shared" si="271"/>
        <v>ㄥ</v>
      </c>
      <c r="N4329" s="3" t="s">
        <v>30575</v>
      </c>
      <c r="O4329" s="3"/>
      <c r="P4329" s="1" t="s">
        <v>20</v>
      </c>
      <c r="R4329" s="1" t="s">
        <v>6391</v>
      </c>
      <c r="V4329" s="1" t="s">
        <v>6394</v>
      </c>
      <c r="AR4329" s="1" t="str">
        <f t="shared" si="269"/>
        <v>| [ㄊㄥˊ](ㄊㄥˊ.md) | [幐](幐.md) |  | téng | [名]
囊。《說文解字．巾部》：「幐，囊也。」《宋書．卷六八．武二王傳．南郡王義宣傳》：「乃於內戎服，幐囊盛糧。」《新唐書．卷一九八．儒學傳．序》：「官幐私楮，喪脫幾盡。」 |</v>
      </c>
    </row>
    <row r="4330" spans="1:44" hidden="1">
      <c r="A4330" s="1" t="s">
        <v>6395</v>
      </c>
      <c r="C4330" s="1">
        <v>1</v>
      </c>
      <c r="D4330" s="1" t="str">
        <f>"02614"</f>
        <v>02614</v>
      </c>
      <c r="E4330" s="1" t="s">
        <v>129</v>
      </c>
      <c r="F4330" s="1">
        <v>15</v>
      </c>
      <c r="G4330" s="1">
        <v>10</v>
      </c>
      <c r="H4330" s="1">
        <v>0</v>
      </c>
      <c r="I4330" s="1" t="s">
        <v>6390</v>
      </c>
      <c r="K4330" s="1" t="str">
        <f t="shared" si="270"/>
        <v>ㄊ</v>
      </c>
      <c r="L4330" s="1" t="str">
        <f t="shared" si="271"/>
        <v>ㄥ</v>
      </c>
      <c r="N4330" s="3" t="s">
        <v>30575</v>
      </c>
      <c r="O4330" s="3"/>
      <c r="P4330" s="1" t="s">
        <v>20</v>
      </c>
      <c r="R4330" s="1" t="s">
        <v>6391</v>
      </c>
      <c r="V4330" s="1" t="s">
        <v>6396</v>
      </c>
      <c r="AR4330" s="1" t="str">
        <f t="shared" si="269"/>
        <v>| [ㄊㄥˊ](ㄊㄥˊ.md) | [滕](滕.md) |  | téng | [動]
水流向上噴湧。《玉篇．水部》：「滕，《詩》曰：『百川沸滕。』水上涌也。」
[名]
1.國名。西周諸侯國之一。故址約在今大陸地區山東省滕縣一帶。
2.姓。如明代有滕宗智。 |</v>
      </c>
    </row>
    <row r="4331" spans="1:44" hidden="1">
      <c r="A4331" s="1" t="s">
        <v>6022</v>
      </c>
      <c r="C4331" s="1">
        <v>1</v>
      </c>
      <c r="D4331" s="1" t="str">
        <f>"02615"</f>
        <v>02615</v>
      </c>
      <c r="E4331" s="1" t="s">
        <v>679</v>
      </c>
      <c r="F4331" s="1">
        <v>16</v>
      </c>
      <c r="G4331" s="1">
        <v>10</v>
      </c>
      <c r="H4331" s="1">
        <v>1</v>
      </c>
      <c r="I4331" s="1" t="s">
        <v>6390</v>
      </c>
      <c r="K4331" s="1" t="str">
        <f t="shared" si="270"/>
        <v>ㄊ</v>
      </c>
      <c r="L4331" s="1" t="str">
        <f t="shared" si="271"/>
        <v>ㄥ</v>
      </c>
      <c r="N4331" s="3" t="s">
        <v>30575</v>
      </c>
      <c r="O4331" s="3"/>
      <c r="P4331" s="1" t="s">
        <v>20</v>
      </c>
      <c r="R4331" s="1" t="s">
        <v>6391</v>
      </c>
      <c r="V4331" s="1" t="s">
        <v>6397</v>
      </c>
      <c r="W4331" s="1" t="s">
        <v>6398</v>
      </c>
      <c r="AR4331" s="1" t="str">
        <f t="shared" si="269"/>
        <v>| [ㄊㄥˊ](ㄊㄥˊ.md) | [螣](螣.md) |  | téng | 參見「螣蛇」條。 |</v>
      </c>
    </row>
    <row r="4332" spans="1:44" hidden="1">
      <c r="A4332" s="1" t="s">
        <v>6399</v>
      </c>
      <c r="C4332" s="1">
        <v>1</v>
      </c>
      <c r="D4332" s="1" t="str">
        <f>"02616"</f>
        <v>02616</v>
      </c>
      <c r="E4332" s="1" t="s">
        <v>725</v>
      </c>
      <c r="F4332" s="1">
        <v>16</v>
      </c>
      <c r="G4332" s="1">
        <v>10</v>
      </c>
      <c r="H4332" s="1">
        <v>0</v>
      </c>
      <c r="I4332" s="1" t="s">
        <v>6390</v>
      </c>
      <c r="K4332" s="1" t="str">
        <f t="shared" si="270"/>
        <v>ㄊ</v>
      </c>
      <c r="L4332" s="1" t="str">
        <f t="shared" si="271"/>
        <v>ㄥ</v>
      </c>
      <c r="N4332" s="3" t="s">
        <v>30575</v>
      </c>
      <c r="O4332" s="3"/>
      <c r="P4332" s="1" t="s">
        <v>20</v>
      </c>
      <c r="R4332" s="1" t="s">
        <v>6391</v>
      </c>
      <c r="V4332" s="1" t="s">
        <v>6400</v>
      </c>
      <c r="AR4332" s="1" t="str">
        <f t="shared" si="269"/>
        <v>| [ㄊㄥˊ](ㄊㄥˊ.md) | [縢](縢.md) |  | téng | [動]
封閉、纏束。《詩經．秦風．小戎》：「交韔二弓，竹閉緄縢。」漢．毛亨．傳：「縢，約也。」
[名]
1.繩索。《詩經．魯頌．閟宮》：「公車千乘，朱英綠縢。」《續漢書志．第三〇．輿服志下》：「乘輿以縢貫曰珠。」
2.綁腿布。《戰國策．秦策一》：「羸縢履蹻，負書擔橐。」
3.囊。通「幐」。《後漢書．卷七九．儒林傳上．序》：「大則連為帷蓋，小乃制為縢囊。」《遼史．卷五二．禮志五》：「負銀罌，捧縢，履黃道行。」 |</v>
      </c>
    </row>
    <row r="4333" spans="1:44" hidden="1">
      <c r="A4333" s="1" t="s">
        <v>6401</v>
      </c>
      <c r="C4333" s="1">
        <v>1</v>
      </c>
      <c r="D4333" s="1" t="str">
        <f>"02617"</f>
        <v>02617</v>
      </c>
      <c r="E4333" s="1" t="s">
        <v>331</v>
      </c>
      <c r="F4333" s="1">
        <v>17</v>
      </c>
      <c r="G4333" s="1">
        <v>10</v>
      </c>
      <c r="H4333" s="1">
        <v>0</v>
      </c>
      <c r="I4333" s="1" t="s">
        <v>6390</v>
      </c>
      <c r="K4333" s="1" t="str">
        <f t="shared" si="270"/>
        <v>ㄊ</v>
      </c>
      <c r="L4333" s="1" t="str">
        <f t="shared" si="271"/>
        <v>ㄥ</v>
      </c>
      <c r="N4333" s="3" t="s">
        <v>30575</v>
      </c>
      <c r="O4333" s="3"/>
      <c r="P4333" s="1" t="s">
        <v>20</v>
      </c>
      <c r="R4333" s="1" t="s">
        <v>6391</v>
      </c>
      <c r="V4333" s="1" t="s">
        <v>6402</v>
      </c>
      <c r="AR4333" s="1" t="str">
        <f t="shared" si="269"/>
        <v>| [ㄊㄥˊ](ㄊㄥˊ.md) | [謄](謄.md) |  | téng | [動]
複寫、抄寫。如：「謄稿」、「謄清」、「謄寫」。 |</v>
      </c>
    </row>
    <row r="4334" spans="1:44" hidden="1">
      <c r="A4334" s="1" t="s">
        <v>6403</v>
      </c>
      <c r="C4334" s="1">
        <v>1</v>
      </c>
      <c r="D4334" s="1" t="str">
        <f>"02618"</f>
        <v>02618</v>
      </c>
      <c r="E4334" s="1" t="s">
        <v>37</v>
      </c>
      <c r="F4334" s="1">
        <v>19</v>
      </c>
      <c r="G4334" s="1">
        <v>15</v>
      </c>
      <c r="H4334" s="1">
        <v>0</v>
      </c>
      <c r="I4334" s="1" t="s">
        <v>6390</v>
      </c>
      <c r="K4334" s="1" t="str">
        <f t="shared" si="270"/>
        <v>ㄊ</v>
      </c>
      <c r="L4334" s="1" t="str">
        <f t="shared" si="271"/>
        <v>ㄥ</v>
      </c>
      <c r="N4334" s="3" t="s">
        <v>30575</v>
      </c>
      <c r="O4334" s="3"/>
      <c r="P4334" s="1" t="s">
        <v>20</v>
      </c>
      <c r="R4334" s="1" t="s">
        <v>6391</v>
      </c>
      <c r="V4334" s="1" t="s">
        <v>6404</v>
      </c>
      <c r="AR4334" s="1" t="str">
        <f t="shared" si="269"/>
        <v>| [ㄊㄥˊ](ㄊㄥˊ.md) | [藤](藤.md) |  | téng | [名]
1.植物名。棕櫚科黃藤屬，「白藤」、「黃藤」之俗稱，參見「白藤」條。
2.蔓生植物的卷鬚或莖。如：「葡萄藤」、「南瓜藤」。
3.姓。如明代有藤文澤。 |</v>
      </c>
    </row>
    <row r="4335" spans="1:44" hidden="1">
      <c r="A4335" s="1" t="s">
        <v>6405</v>
      </c>
      <c r="C4335" s="1">
        <v>1</v>
      </c>
      <c r="D4335" s="1" t="str">
        <f>"02619"</f>
        <v>02619</v>
      </c>
      <c r="E4335" s="1" t="s">
        <v>319</v>
      </c>
      <c r="F4335" s="1">
        <v>20</v>
      </c>
      <c r="G4335" s="1">
        <v>10</v>
      </c>
      <c r="H4335" s="1">
        <v>0</v>
      </c>
      <c r="I4335" s="1" t="s">
        <v>6390</v>
      </c>
      <c r="K4335" s="1" t="str">
        <f t="shared" si="270"/>
        <v>ㄊ</v>
      </c>
      <c r="L4335" s="1" t="str">
        <f t="shared" si="271"/>
        <v>ㄥ</v>
      </c>
      <c r="N4335" s="3" t="s">
        <v>30575</v>
      </c>
      <c r="O4335" s="3"/>
      <c r="P4335" s="1" t="s">
        <v>20</v>
      </c>
      <c r="R4335" s="1" t="s">
        <v>6391</v>
      </c>
      <c r="V4335" s="1" t="s">
        <v>6406</v>
      </c>
      <c r="AR4335" s="1" t="str">
        <f t="shared" si="269"/>
        <v>| [ㄊㄥˊ](ㄊㄥˊ.md) | [騰](騰.md) |  | téng | [動]
1.奔馳、跳躍。如：「萬馬奔騰」、「舉國歡騰」。《明史．卷三〇九．流賊傳．李自成傳》：「有一馬儳行列者斬之，馬騰入田苗者斬之。」
2.上升。如：「升騰」、「火氣上騰」。
3.驅馳、乘騎。《楚辭．屈原．離騷》：「路脩遠以多艱兮，騰眾車使徑待。」唐．杜甫〈苦雨奉寄隴西公兼呈王徵士〉詩：「願騰六尺駒，背若孤征鴻。」
4.蒸。《西遊記》第七七回：「我有些兒寒濕氣的病，要他騰騰。」
5.挪移。如：「這幾天我得騰出時間來看書。」、「媽媽要我騰出一間屋子來堆書。」《儒林外史》第二〇回：「弟婦一倒了頭，家裡一個錢也沒有，我店裡是騰不出來。」
[名]
姓。如漢代有騰撫。 |</v>
      </c>
    </row>
    <row r="4336" spans="1:44" hidden="1">
      <c r="A4336" s="1" t="s">
        <v>6407</v>
      </c>
      <c r="C4336" s="1">
        <v>1</v>
      </c>
      <c r="D4336" s="1" t="str">
        <f>"02620"</f>
        <v>02620</v>
      </c>
      <c r="E4336" s="1" t="s">
        <v>49</v>
      </c>
      <c r="F4336" s="1">
        <v>21</v>
      </c>
      <c r="G4336" s="1">
        <v>15</v>
      </c>
      <c r="H4336" s="1">
        <v>0</v>
      </c>
      <c r="I4336" s="1" t="s">
        <v>6390</v>
      </c>
      <c r="K4336" s="1" t="str">
        <f t="shared" si="270"/>
        <v>ㄊ</v>
      </c>
      <c r="L4336" s="1" t="str">
        <f t="shared" si="271"/>
        <v>ㄥ</v>
      </c>
      <c r="N4336" s="3" t="s">
        <v>30575</v>
      </c>
      <c r="O4336" s="3"/>
      <c r="P4336" s="1" t="s">
        <v>20</v>
      </c>
      <c r="R4336" s="1" t="s">
        <v>6391</v>
      </c>
      <c r="V4336" s="1" t="s">
        <v>6408</v>
      </c>
      <c r="AR4336" s="1" t="str">
        <f t="shared" si="269"/>
        <v>| [ㄊㄥˊ](ㄊㄥˊ.md) | [籐](籐.md) |  | téng | [名]
1.竹製的器具。《集韻．平聲．登韻》：「籐，竹器。」
2.棕櫚科「水籐屬」、「黃籐屬」、「巨籐屬」等約十餘屬其莖部的泛稱，常用製家具、藤杖、藤席及各式編織工藝品等。
3.泛指蔓生植物的卷鬚或莖。同「藤」。南朝齊．謝朓〈與江水曹至干濱戲〉詩：「花枝聚如雪，垂籐散猶網。」 |</v>
      </c>
    </row>
    <row r="4337" spans="1:44" hidden="1">
      <c r="A4337" s="1" t="s">
        <v>5242</v>
      </c>
      <c r="C4337" s="1">
        <v>1</v>
      </c>
      <c r="D4337" s="1" t="str">
        <f>"02644"</f>
        <v>02644</v>
      </c>
      <c r="E4337" s="1" t="s">
        <v>103</v>
      </c>
      <c r="F4337" s="1">
        <v>7</v>
      </c>
      <c r="G4337" s="1">
        <v>4</v>
      </c>
      <c r="H4337" s="1">
        <v>2</v>
      </c>
      <c r="I4337" s="1" t="s">
        <v>6460</v>
      </c>
      <c r="K4337" s="1" t="str">
        <f t="shared" si="270"/>
        <v>ㄊ</v>
      </c>
      <c r="L4337" s="1" t="str">
        <f t="shared" si="271"/>
        <v>ㄧ</v>
      </c>
      <c r="N4337" s="3" t="s">
        <v>30574</v>
      </c>
      <c r="O4337" s="3"/>
      <c r="P4337" s="1" t="s">
        <v>20</v>
      </c>
      <c r="R4337" s="1" t="s">
        <v>6461</v>
      </c>
      <c r="V4337" s="1" t="s">
        <v>6462</v>
      </c>
      <c r="W4337" s="1" t="s">
        <v>6463</v>
      </c>
      <c r="AR4337" s="1" t="str">
        <f t="shared" si="269"/>
        <v>| [ㄊㄧˋ](ㄊㄧˋ.md) | [弟](弟.md) |  | tì | [名]
儒家稱敬順兄長、友愛兄弟的倫理道德為「弟」。同「悌」。《禮記．大學》：「孝者所以事君也，弟者所以事長也。」
[動]
敬愛兄長。同「悌」。《論語．學而》：「其為人也孝弟，而好犯上者鮮矣。」
[副]
但、且。《史記．卷一．五帝本紀．太史公曰》：「顧弟弗深考，其所表見皆不虛。」 |</v>
      </c>
    </row>
    <row r="4338" spans="1:44" hidden="1">
      <c r="A4338" s="1" t="s">
        <v>6464</v>
      </c>
      <c r="C4338" s="1">
        <v>1</v>
      </c>
      <c r="D4338" s="1" t="str">
        <f>"02645"</f>
        <v>02645</v>
      </c>
      <c r="E4338" s="1" t="s">
        <v>185</v>
      </c>
      <c r="F4338" s="1">
        <v>9</v>
      </c>
      <c r="G4338" s="1">
        <v>7</v>
      </c>
      <c r="H4338" s="1">
        <v>0</v>
      </c>
      <c r="I4338" s="1" t="s">
        <v>6460</v>
      </c>
      <c r="K4338" s="1" t="str">
        <f t="shared" si="270"/>
        <v>ㄊ</v>
      </c>
      <c r="L4338" s="1" t="str">
        <f t="shared" si="271"/>
        <v>ㄧ</v>
      </c>
      <c r="N4338" s="3" t="s">
        <v>30574</v>
      </c>
      <c r="O4338" s="3"/>
      <c r="P4338" s="1" t="s">
        <v>20</v>
      </c>
      <c r="R4338" s="1" t="s">
        <v>6461</v>
      </c>
      <c r="V4338" s="1" t="s">
        <v>6465</v>
      </c>
      <c r="AR4338" s="1" t="str">
        <f t="shared" si="269"/>
        <v>| [ㄊㄧˋ](ㄊㄧˋ.md) | [剃](剃.md) |  | tì | [動]
除去，多指削掉毛髮。如：「剃頭」、「剃髮」、「剃鬍子」。《水滸傳》第四回：「剃髮人只一刀，盡皆剃了。」 |</v>
      </c>
    </row>
    <row r="4339" spans="1:44" hidden="1">
      <c r="A4339" s="1" t="s">
        <v>6466</v>
      </c>
      <c r="C4339" s="1">
        <v>1</v>
      </c>
      <c r="D4339" s="1" t="str">
        <f>"02646"</f>
        <v>02646</v>
      </c>
      <c r="E4339" s="1" t="s">
        <v>129</v>
      </c>
      <c r="F4339" s="1">
        <v>10</v>
      </c>
      <c r="G4339" s="1">
        <v>7</v>
      </c>
      <c r="H4339" s="1">
        <v>0</v>
      </c>
      <c r="I4339" s="1" t="s">
        <v>6460</v>
      </c>
      <c r="K4339" s="1" t="str">
        <f t="shared" si="270"/>
        <v>ㄊ</v>
      </c>
      <c r="L4339" s="1" t="str">
        <f t="shared" si="271"/>
        <v>ㄧ</v>
      </c>
      <c r="N4339" s="3" t="s">
        <v>30574</v>
      </c>
      <c r="O4339" s="3"/>
      <c r="P4339" s="1" t="s">
        <v>20</v>
      </c>
      <c r="R4339" s="1" t="s">
        <v>6461</v>
      </c>
      <c r="V4339" s="1" t="s">
        <v>6467</v>
      </c>
      <c r="AR4339" s="1" t="str">
        <f t="shared" si="269"/>
        <v>| [ㄊㄧˋ](ㄊㄧˋ.md) | [涕](涕.md) |  | tì | [名]
1.眼淚。如：「痛哭流涕」、「感激涕零」。唐．陳子昂〈登幽州臺歌〉：「念天地之悠悠，獨愴然而涕下。」
2.鼻涕。漢．王襃〈僮約〉：「目淚下落，鼻涕長一尺。」 |</v>
      </c>
    </row>
    <row r="4340" spans="1:44" hidden="1">
      <c r="A4340" s="1" t="s">
        <v>6468</v>
      </c>
      <c r="C4340" s="1">
        <v>1</v>
      </c>
      <c r="D4340" s="1" t="str">
        <f>"02647"</f>
        <v>02647</v>
      </c>
      <c r="E4340" s="1" t="s">
        <v>250</v>
      </c>
      <c r="F4340" s="1">
        <v>10</v>
      </c>
      <c r="G4340" s="1">
        <v>7</v>
      </c>
      <c r="H4340" s="1">
        <v>0</v>
      </c>
      <c r="I4340" s="1" t="s">
        <v>6460</v>
      </c>
      <c r="K4340" s="1" t="str">
        <f t="shared" si="270"/>
        <v>ㄊ</v>
      </c>
      <c r="L4340" s="1" t="str">
        <f t="shared" si="271"/>
        <v>ㄧ</v>
      </c>
      <c r="N4340" s="3" t="s">
        <v>30574</v>
      </c>
      <c r="O4340" s="3"/>
      <c r="P4340" s="1" t="s">
        <v>20</v>
      </c>
      <c r="R4340" s="1" t="s">
        <v>6461</v>
      </c>
      <c r="V4340" s="1" t="s">
        <v>6469</v>
      </c>
      <c r="AR4340" s="1" t="str">
        <f t="shared" si="269"/>
        <v>| [ㄊㄧˋ](ㄊㄧˋ.md) | [悌](悌.md) |  | tì | [動]
1.敬重兄長。《孟子．滕文公下》：「入則孝，出則悌。」
2.友愛兄弟。如：「友悌」。 |</v>
      </c>
    </row>
    <row r="4341" spans="1:44" hidden="1">
      <c r="A4341" s="1" t="s">
        <v>6470</v>
      </c>
      <c r="C4341" s="1">
        <v>1</v>
      </c>
      <c r="D4341" s="1" t="str">
        <f>"02648"</f>
        <v>02648</v>
      </c>
      <c r="E4341" s="1" t="s">
        <v>55</v>
      </c>
      <c r="F4341" s="1">
        <v>15</v>
      </c>
      <c r="G4341" s="1">
        <v>7</v>
      </c>
      <c r="H4341" s="1">
        <v>0</v>
      </c>
      <c r="I4341" s="1" t="s">
        <v>6460</v>
      </c>
      <c r="K4341" s="1" t="str">
        <f t="shared" si="270"/>
        <v>ㄊ</v>
      </c>
      <c r="L4341" s="1" t="str">
        <f t="shared" si="271"/>
        <v>ㄧ</v>
      </c>
      <c r="N4341" s="3" t="s">
        <v>30574</v>
      </c>
      <c r="O4341" s="3"/>
      <c r="P4341" s="1" t="s">
        <v>20</v>
      </c>
      <c r="R4341" s="1" t="s">
        <v>6461</v>
      </c>
      <c r="V4341" s="1" t="s">
        <v>6471</v>
      </c>
      <c r="AR4341" s="1" t="str">
        <f t="shared" si="269"/>
        <v>| [ㄊㄧˋ](ㄊㄧˋ.md) | [銻](銻.md) |  | tì | [名]
（antimony，Sb）化學元素。原子序51。金屬元素之一。一般銻呈銀灰色，性脆，具冷脹性。無定形銻呈灰色，由鹵化銻電解製得。可用來製造印刷合金（鉛字）與軸承合金等。超純銻的金屬間化合物是重要的半導體及紅外線探測器材料。 |</v>
      </c>
    </row>
    <row r="4342" spans="1:44" hidden="1">
      <c r="A4342" s="1" t="s">
        <v>6472</v>
      </c>
      <c r="C4342" s="1">
        <v>1</v>
      </c>
      <c r="D4342" s="1" t="str">
        <f>"02649"</f>
        <v>02649</v>
      </c>
      <c r="E4342" s="1" t="s">
        <v>114</v>
      </c>
      <c r="F4342" s="1">
        <v>10</v>
      </c>
      <c r="G4342" s="1">
        <v>8</v>
      </c>
      <c r="H4342" s="1">
        <v>0</v>
      </c>
      <c r="I4342" s="1" t="s">
        <v>6460</v>
      </c>
      <c r="K4342" s="1" t="str">
        <f t="shared" si="270"/>
        <v>ㄊ</v>
      </c>
      <c r="L4342" s="1" t="str">
        <f t="shared" si="271"/>
        <v>ㄧ</v>
      </c>
      <c r="N4342" s="3" t="s">
        <v>30574</v>
      </c>
      <c r="O4342" s="3"/>
      <c r="P4342" s="1" t="s">
        <v>20</v>
      </c>
      <c r="R4342" s="1" t="s">
        <v>6461</v>
      </c>
      <c r="V4342" s="1" t="s">
        <v>6473</v>
      </c>
      <c r="AR4342" s="1" t="str">
        <f t="shared" si="269"/>
        <v>| [ㄊㄧˋ](ㄊㄧˋ.md) | [倜](倜.md) |  | tì | 參見「倜儻」條。 |</v>
      </c>
    </row>
    <row r="4343" spans="1:44" hidden="1">
      <c r="A4343" s="1" t="s">
        <v>6474</v>
      </c>
      <c r="C4343" s="1">
        <v>1</v>
      </c>
      <c r="D4343" s="1" t="str">
        <f>"02650"</f>
        <v>02650</v>
      </c>
      <c r="E4343" s="1" t="s">
        <v>250</v>
      </c>
      <c r="F4343" s="1">
        <v>11</v>
      </c>
      <c r="G4343" s="1">
        <v>8</v>
      </c>
      <c r="H4343" s="1">
        <v>0</v>
      </c>
      <c r="I4343" s="1" t="s">
        <v>6460</v>
      </c>
      <c r="K4343" s="1" t="str">
        <f t="shared" si="270"/>
        <v>ㄊ</v>
      </c>
      <c r="L4343" s="1" t="str">
        <f t="shared" si="271"/>
        <v>ㄧ</v>
      </c>
      <c r="N4343" s="3" t="s">
        <v>30574</v>
      </c>
      <c r="O4343" s="3"/>
      <c r="P4343" s="1" t="s">
        <v>20</v>
      </c>
      <c r="R4343" s="1" t="s">
        <v>6461</v>
      </c>
      <c r="V4343" s="1" t="s">
        <v>6475</v>
      </c>
      <c r="AR4343" s="1" t="str">
        <f t="shared" si="269"/>
        <v>| [ㄊㄧˋ](ㄊㄧˋ.md) | [惕](惕.md) |  | tì | [動]
小心謹慎，隨時警覺。如：「警惕」。《易經．乾卦．九三》：「君子終日乾乾，夕惕若厲。」《文選．潘岳．悼亡詩三首之一》：「悵怳如或存，周遑忡驚惕。」 |</v>
      </c>
    </row>
    <row r="4344" spans="1:44" hidden="1">
      <c r="A4344" s="1" t="s">
        <v>6476</v>
      </c>
      <c r="C4344" s="1">
        <v>1</v>
      </c>
      <c r="D4344" s="1" t="str">
        <f>"02651"</f>
        <v>02651</v>
      </c>
      <c r="E4344" s="1" t="s">
        <v>340</v>
      </c>
      <c r="F4344" s="1">
        <v>14</v>
      </c>
      <c r="G4344" s="1">
        <v>8</v>
      </c>
      <c r="H4344" s="1">
        <v>1</v>
      </c>
      <c r="I4344" s="1" t="s">
        <v>6460</v>
      </c>
      <c r="K4344" s="1" t="str">
        <f t="shared" si="270"/>
        <v>ㄊ</v>
      </c>
      <c r="L4344" s="1" t="str">
        <f t="shared" si="271"/>
        <v>ㄧ</v>
      </c>
      <c r="N4344" s="3" t="s">
        <v>30574</v>
      </c>
      <c r="O4344" s="3"/>
      <c r="P4344" s="1" t="s">
        <v>20</v>
      </c>
      <c r="R4344" s="1" t="s">
        <v>6461</v>
      </c>
      <c r="V4344" s="1" t="s">
        <v>6477</v>
      </c>
      <c r="W4344" s="1" t="s">
        <v>6478</v>
      </c>
      <c r="AR4344" s="1" t="str">
        <f t="shared" si="269"/>
        <v>| [ㄊㄧˋ](ㄊㄧˋ.md) | [裼](裼.md) |  | tì | [名]
包覆嬰兒的被褥。《詩經．小雅．斯干》：「乃生女子，載寢之地，載衣之裼。」漢．毛亨．傳：「裼，褓也。」 |</v>
      </c>
    </row>
    <row r="4345" spans="1:44" hidden="1">
      <c r="A4345" s="1" t="s">
        <v>6479</v>
      </c>
      <c r="C4345" s="1">
        <v>1</v>
      </c>
      <c r="D4345" s="1" t="str">
        <f>"02652"</f>
        <v>02652</v>
      </c>
      <c r="E4345" s="1" t="s">
        <v>1078</v>
      </c>
      <c r="F4345" s="1">
        <v>18</v>
      </c>
      <c r="G4345" s="1">
        <v>8</v>
      </c>
      <c r="H4345" s="1">
        <v>0</v>
      </c>
      <c r="I4345" s="1" t="s">
        <v>6460</v>
      </c>
      <c r="K4345" s="1" t="str">
        <f t="shared" si="270"/>
        <v>ㄊ</v>
      </c>
      <c r="L4345" s="1" t="str">
        <f t="shared" si="271"/>
        <v>ㄧ</v>
      </c>
      <c r="N4345" s="3" t="s">
        <v>30574</v>
      </c>
      <c r="O4345" s="3"/>
      <c r="P4345" s="1" t="s">
        <v>20</v>
      </c>
      <c r="R4345" s="1" t="s">
        <v>6461</v>
      </c>
      <c r="V4345" s="1" t="s">
        <v>6480</v>
      </c>
      <c r="AR4345" s="1" t="str">
        <f t="shared" si="269"/>
        <v>| [ㄊㄧˋ](ㄊㄧˋ.md) | [鬄](鬄.md) |  | tì | [名]
假髮。《莊子．天地》：「禿而施鬄，病而求醫。」
[動]
剔除毛髮。《漢書．卷六二．司馬遷傳》：「其次鬄毛髮嬰金鐵受辱。」《宋史．卷三六一．張浚傳》：「兀朮僅以身免，亟鬄其須髯遁歸。」 |</v>
      </c>
    </row>
    <row r="4346" spans="1:44" hidden="1">
      <c r="A4346" s="1" t="s">
        <v>6481</v>
      </c>
      <c r="C4346" s="1">
        <v>1</v>
      </c>
      <c r="D4346" s="1" t="str">
        <f>"02653"</f>
        <v>02653</v>
      </c>
      <c r="E4346" s="1" t="s">
        <v>558</v>
      </c>
      <c r="F4346" s="1">
        <v>11</v>
      </c>
      <c r="G4346" s="1">
        <v>7</v>
      </c>
      <c r="H4346" s="1">
        <v>0</v>
      </c>
      <c r="I4346" s="1" t="s">
        <v>6460</v>
      </c>
      <c r="K4346" s="1" t="str">
        <f t="shared" si="270"/>
        <v>ㄊ</v>
      </c>
      <c r="L4346" s="1" t="str">
        <f t="shared" si="271"/>
        <v>ㄧ</v>
      </c>
      <c r="N4346" s="3" t="s">
        <v>30574</v>
      </c>
      <c r="O4346" s="3"/>
      <c r="P4346" s="1" t="s">
        <v>20</v>
      </c>
      <c r="R4346" s="1" t="s">
        <v>6461</v>
      </c>
      <c r="V4346" s="1" t="s">
        <v>6482</v>
      </c>
      <c r="AR4346" s="1" t="str">
        <f t="shared" si="269"/>
        <v>| [ㄊㄧˋ](ㄊㄧˋ.md) | [逖](逖.md) |  | tì | [形]
遙遠的、遠方的。《說文解字．辵部》：「逖，遠也。」《隋書．卷一四．音樂志中》：「百蠻非眾，八荒非逖，同作堯人，俱包禹跡。」
[動]
遠離。《書經．多方》：「我則致天之罰，離逖爾土。」《漢書．卷八五．谷永傳》：「誅逐仁賢，離逖骨肉。」 |</v>
      </c>
    </row>
    <row r="4347" spans="1:44" hidden="1">
      <c r="A4347" s="1" t="s">
        <v>6483</v>
      </c>
      <c r="C4347" s="1">
        <v>1</v>
      </c>
      <c r="D4347" s="1" t="str">
        <f>"02654"</f>
        <v>02654</v>
      </c>
      <c r="E4347" s="1" t="s">
        <v>871</v>
      </c>
      <c r="F4347" s="1">
        <v>11</v>
      </c>
      <c r="G4347" s="1">
        <v>8</v>
      </c>
      <c r="H4347" s="1">
        <v>0</v>
      </c>
      <c r="I4347" s="1" t="s">
        <v>6460</v>
      </c>
      <c r="K4347" s="1" t="str">
        <f t="shared" si="270"/>
        <v>ㄊ</v>
      </c>
      <c r="L4347" s="1" t="str">
        <f t="shared" si="271"/>
        <v>ㄧ</v>
      </c>
      <c r="N4347" s="3" t="s">
        <v>30574</v>
      </c>
      <c r="O4347" s="3"/>
      <c r="P4347" s="1" t="s">
        <v>20</v>
      </c>
      <c r="R4347" s="1" t="s">
        <v>6461</v>
      </c>
      <c r="V4347" s="1" t="s">
        <v>6484</v>
      </c>
      <c r="AR4347" s="1" t="str">
        <f t="shared" si="269"/>
        <v>| [ㄊㄧˋ](ㄊㄧˋ.md) | [屜](屜.md) |  | tì | [名]
1.桌櫃中可以隨意抽動、存放物品的隔層。如：「抽屜」。北周．庾信〈鏡賦〉：「暫設妝奩，還抽鏡屜。」
2.蒸籠的簡稱。如蒸籠的隔層稱為「籠屜」，蓋子稱為「屜帽」。 |</v>
      </c>
    </row>
    <row r="4348" spans="1:44" hidden="1">
      <c r="A4348" s="1" t="s">
        <v>6485</v>
      </c>
      <c r="C4348" s="1">
        <v>1</v>
      </c>
      <c r="D4348" s="1" t="str">
        <f>"02655"</f>
        <v>02655</v>
      </c>
      <c r="E4348" s="1" t="s">
        <v>28</v>
      </c>
      <c r="F4348" s="1">
        <v>12</v>
      </c>
      <c r="G4348" s="1">
        <v>9</v>
      </c>
      <c r="H4348" s="1">
        <v>2</v>
      </c>
      <c r="I4348" s="1" t="s">
        <v>6460</v>
      </c>
      <c r="K4348" s="1" t="str">
        <f t="shared" si="270"/>
        <v>ㄊ</v>
      </c>
      <c r="L4348" s="1" t="str">
        <f t="shared" si="271"/>
        <v>ㄧ</v>
      </c>
      <c r="N4348" s="3" t="s">
        <v>30574</v>
      </c>
      <c r="O4348" s="3"/>
      <c r="P4348" s="1" t="s">
        <v>110</v>
      </c>
      <c r="R4348" s="1" t="s">
        <v>6461</v>
      </c>
      <c r="V4348" s="1" t="s">
        <v>111</v>
      </c>
      <c r="W4348" s="1" t="s">
        <v>6486</v>
      </c>
      <c r="AR4348" s="1" t="str">
        <f t="shared" si="269"/>
        <v>| [ㄊㄧˋ](ㄊㄧˋ.md) | [啻](啻.md) |  | tì | (一)之又音。 |</v>
      </c>
    </row>
    <row r="4349" spans="1:44" hidden="1">
      <c r="A4349" s="1" t="s">
        <v>6487</v>
      </c>
      <c r="C4349" s="1">
        <v>1</v>
      </c>
      <c r="D4349" s="1" t="str">
        <f>"02656"</f>
        <v>02656</v>
      </c>
      <c r="E4349" s="1" t="s">
        <v>6488</v>
      </c>
      <c r="F4349" s="1">
        <v>12</v>
      </c>
      <c r="G4349" s="1">
        <v>8</v>
      </c>
      <c r="H4349" s="1">
        <v>0</v>
      </c>
      <c r="I4349" s="1" t="s">
        <v>6460</v>
      </c>
      <c r="K4349" s="1" t="str">
        <f t="shared" si="270"/>
        <v>ㄊ</v>
      </c>
      <c r="L4349" s="1" t="str">
        <f t="shared" si="271"/>
        <v>ㄧ</v>
      </c>
      <c r="N4349" s="3" t="s">
        <v>30574</v>
      </c>
      <c r="O4349" s="3"/>
      <c r="P4349" s="1" t="s">
        <v>20</v>
      </c>
      <c r="R4349" s="1" t="s">
        <v>6461</v>
      </c>
      <c r="V4349" s="1" t="s">
        <v>6489</v>
      </c>
      <c r="AR4349" s="1" t="str">
        <f t="shared" si="269"/>
        <v>| [ㄊㄧˋ](ㄊㄧˋ.md) | [替](替.md) |  | tì | [動]
1.廢除。《說文解字．竝部》：「替，廢也。」如：「替廢」。《詩經．小雅．楚茨》：「子子孫孫，勿替引之。」《楚辭．屈原．九章．懷沙》：「刓方以為圜兮，常度未替。」
2.衰敗、衰落。如：「衰替」、「興替」。《晉書．卷一一一．慕容暐載記》：「風頹化替，莫相糾攝。」
3.代替。如：「更替」、「替換」、「他因冒名頂替，而被取消比賽資格。」
[介]
1.為。如：「你有今天的成就，大家都替你高興。」、「兒孫自有兒孫福，你別替孩子們操心了。」
2.向、對。《初刻拍案驚奇》卷二六：「我是替你說過了，方住此的。」《儒林外史》第二五回：「你不去，同令郎在我這裡喫了飯，我回來還有話替你說。」
[連]
和、與。《初刻拍案驚奇》卷二七：「一院中的人沒一個不替他相好，說得來的。」 |</v>
      </c>
    </row>
    <row r="4350" spans="1:44" hidden="1">
      <c r="A4350" s="1" t="s">
        <v>5272</v>
      </c>
      <c r="C4350" s="1">
        <v>1</v>
      </c>
      <c r="D4350" s="1" t="str">
        <f>"02657"</f>
        <v>02657</v>
      </c>
      <c r="E4350" s="1" t="s">
        <v>139</v>
      </c>
      <c r="F4350" s="1">
        <v>12</v>
      </c>
      <c r="G4350" s="1">
        <v>8</v>
      </c>
      <c r="H4350" s="1">
        <v>2</v>
      </c>
      <c r="I4350" s="1" t="s">
        <v>6460</v>
      </c>
      <c r="K4350" s="1" t="str">
        <f t="shared" si="270"/>
        <v>ㄊ</v>
      </c>
      <c r="L4350" s="1" t="str">
        <f t="shared" si="271"/>
        <v>ㄧ</v>
      </c>
      <c r="N4350" s="3" t="s">
        <v>30574</v>
      </c>
      <c r="O4350" s="3"/>
      <c r="P4350" s="1" t="s">
        <v>20</v>
      </c>
      <c r="R4350" s="1" t="s">
        <v>6461</v>
      </c>
      <c r="V4350" s="1" t="s">
        <v>6490</v>
      </c>
      <c r="W4350" s="1" t="s">
        <v>6491</v>
      </c>
      <c r="AR4350" s="1" t="str">
        <f t="shared" si="269"/>
        <v>| [ㄊㄧˋ](ㄊㄧˋ.md) | [棣](棣.md) |  | tì | [副]
通、達。《漢書．卷二一．律曆志上》：「正月，乾之九三，萬物棣通。」顏師古注引孟康曰：「棣謂通意也。」 |</v>
      </c>
    </row>
    <row r="4351" spans="1:44" hidden="1">
      <c r="A4351" s="1" t="s">
        <v>6492</v>
      </c>
      <c r="C4351" s="1">
        <v>1</v>
      </c>
      <c r="D4351" s="1" t="str">
        <f>"02658"</f>
        <v>02658</v>
      </c>
      <c r="E4351" s="1" t="s">
        <v>24</v>
      </c>
      <c r="F4351" s="1">
        <v>14</v>
      </c>
      <c r="G4351" s="1">
        <v>11</v>
      </c>
      <c r="H4351" s="1">
        <v>2</v>
      </c>
      <c r="I4351" s="1" t="s">
        <v>6460</v>
      </c>
      <c r="K4351" s="1" t="str">
        <f t="shared" si="270"/>
        <v>ㄊ</v>
      </c>
      <c r="L4351" s="1" t="str">
        <f t="shared" si="271"/>
        <v>ㄧ</v>
      </c>
      <c r="N4351" s="3" t="s">
        <v>30574</v>
      </c>
      <c r="O4351" s="3"/>
      <c r="P4351" s="1" t="s">
        <v>20</v>
      </c>
      <c r="R4351" s="1" t="s">
        <v>6461</v>
      </c>
      <c r="V4351" s="1" t="s">
        <v>6493</v>
      </c>
      <c r="W4351" s="1" t="s">
        <v>6494</v>
      </c>
      <c r="AR4351" s="1" t="str">
        <f t="shared" si="269"/>
        <v>| [ㄊㄧˋ](ㄊㄧˋ.md) | [摘](摘.md) |  | tì | [動]
1.侵擾。《後漢書．卷一三．隗囂公孫述列傳．隗囂》：「西侵羌戎，東摘濊貊。」
2.發動、啟動。清．厲鶚〈新正五日將赴西林臯亭探梅之約晩晴志喜〉詩：「花風吹第一，明發摘船行。」
3.開發、開闢。宋．陸游〈答方寺丞啟〉：「捫參歷井，久困客遊，煮海摘山，屢乘使傳。」
4.揭發。《魏書．卷八八．良吏傳．宋世景》：「民間之事，巨細必知，發姦摘伏，有若神明。」 |</v>
      </c>
    </row>
    <row r="4352" spans="1:44" hidden="1">
      <c r="A4352" s="1" t="s">
        <v>6495</v>
      </c>
      <c r="C4352" s="1">
        <v>1</v>
      </c>
      <c r="D4352" s="1" t="str">
        <f>"02659"</f>
        <v>02659</v>
      </c>
      <c r="E4352" s="1" t="s">
        <v>24</v>
      </c>
      <c r="F4352" s="1">
        <v>18</v>
      </c>
      <c r="G4352" s="1">
        <v>15</v>
      </c>
      <c r="H4352" s="1">
        <v>2</v>
      </c>
      <c r="I4352" s="1" t="s">
        <v>6460</v>
      </c>
      <c r="K4352" s="1" t="str">
        <f t="shared" si="270"/>
        <v>ㄊ</v>
      </c>
      <c r="L4352" s="1" t="str">
        <f t="shared" si="271"/>
        <v>ㄧ</v>
      </c>
      <c r="N4352" s="3" t="s">
        <v>30574</v>
      </c>
      <c r="O4352" s="3"/>
      <c r="P4352" s="1" t="s">
        <v>20</v>
      </c>
      <c r="R4352" s="1" t="s">
        <v>6461</v>
      </c>
      <c r="V4352" s="1" t="s">
        <v>6496</v>
      </c>
      <c r="W4352" s="1" t="s">
        <v>6497</v>
      </c>
      <c r="AR4352" s="1" t="str">
        <f t="shared" si="269"/>
        <v>| [ㄊㄧˋ](ㄊㄧˋ.md) | [擿](擿.md) |  | tì | [動]
1.挑取、挑出。如：「擿出」。《漢書．卷八．宣帝紀》：「其令三輔毋得以春夏擿巢探卵，彈射飛鳥。」
2.揭發、揭露。如：「發姦擿伏」。《新唐書．卷二〇六．外戚傳．楊國忠傳》：「國忠已得志，則窮擿林甫姦事，碎其家。」 |</v>
      </c>
    </row>
    <row r="4353" spans="1:44" hidden="1">
      <c r="A4353" s="1" t="s">
        <v>6498</v>
      </c>
      <c r="C4353" s="1">
        <v>1</v>
      </c>
      <c r="D4353" s="1" t="str">
        <f>"02660"</f>
        <v>02660</v>
      </c>
      <c r="E4353" s="1" t="s">
        <v>1372</v>
      </c>
      <c r="F4353" s="1">
        <v>15</v>
      </c>
      <c r="G4353" s="1">
        <v>11</v>
      </c>
      <c r="H4353" s="1">
        <v>0</v>
      </c>
      <c r="I4353" s="1" t="s">
        <v>6460</v>
      </c>
      <c r="K4353" s="1" t="str">
        <f t="shared" si="270"/>
        <v>ㄊ</v>
      </c>
      <c r="L4353" s="1" t="str">
        <f t="shared" si="271"/>
        <v>ㄧ</v>
      </c>
      <c r="N4353" s="3" t="s">
        <v>30574</v>
      </c>
      <c r="O4353" s="3"/>
      <c r="P4353" s="1" t="s">
        <v>20</v>
      </c>
      <c r="R4353" s="1" t="s">
        <v>6461</v>
      </c>
      <c r="V4353" s="1" t="s">
        <v>6499</v>
      </c>
      <c r="AR4353" s="1" t="str">
        <f t="shared" si="269"/>
        <v>| [ㄊㄧˋ](ㄊㄧˋ.md) | [殢](殢.md) |  | tì | [動]
1.滯留、逗留。《字彙．歹部》：「殢，滯也。」唐．羅隱〈西京崇德里居〉詩：「進乏梯媒退又難，強隨豪貴殢長安。」
2.纏綿、糾纏。唐．李山甫〈柳〉詩一〇首之九：「強扶柔態酒難醒，殢著春風別有情。」清．洪昇《長生殿》第一九齣：「到日三竿不臨朝，外人不知呵，都只說殢君王是我這庸姿劣貌。」
3.沉迷、沉溺。如：「殢酒」。唐．杜牧〈送別〉詩：「莫殢酒盃閒過日，碧雲深處是佳期。」明．劉兌〈金童玉女嬌紅記〉：「這些時尋芳人散日平西，俺正是殢春情樂意忘歸。」 |</v>
      </c>
    </row>
    <row r="4354" spans="1:44" hidden="1">
      <c r="A4354" s="1" t="s">
        <v>6500</v>
      </c>
      <c r="C4354" s="1">
        <v>1</v>
      </c>
      <c r="D4354" s="1" t="str">
        <f>"02661"</f>
        <v>02661</v>
      </c>
      <c r="E4354" s="1" t="s">
        <v>37</v>
      </c>
      <c r="F4354" s="1">
        <v>17</v>
      </c>
      <c r="G4354" s="1">
        <v>13</v>
      </c>
      <c r="H4354" s="1">
        <v>0</v>
      </c>
      <c r="I4354" s="1" t="s">
        <v>6460</v>
      </c>
      <c r="K4354" s="1" t="str">
        <f t="shared" si="270"/>
        <v>ㄊ</v>
      </c>
      <c r="L4354" s="1" t="str">
        <f t="shared" si="271"/>
        <v>ㄧ</v>
      </c>
      <c r="N4354" s="3" t="s">
        <v>30574</v>
      </c>
      <c r="O4354" s="3"/>
      <c r="P4354" s="1" t="s">
        <v>20</v>
      </c>
      <c r="R4354" s="1" t="s">
        <v>6461</v>
      </c>
      <c r="V4354" s="1" t="s">
        <v>6501</v>
      </c>
      <c r="AR4354" s="1" t="str">
        <f t="shared" si="269"/>
        <v>| [ㄊㄧˋ](ㄊㄧˋ.md) | [薙](薙.md) |  | tì | [動]
1.除草。宋．蘇軾〈甘露寺〉詩：「薙草得斷碑，斬崖出金棺。」《資治通鑑．卷二六三．唐紀七十九．昭宗天復二年》：「朱全忠遣人薙城外草以困城中。」
2.削髮。通「剃」。如：「薙髮」。 |</v>
      </c>
    </row>
    <row r="4355" spans="1:44" hidden="1">
      <c r="A4355" s="1" t="s">
        <v>6502</v>
      </c>
      <c r="C4355" s="1">
        <v>1</v>
      </c>
      <c r="D4355" s="1" t="str">
        <f>"02662"</f>
        <v>02662</v>
      </c>
      <c r="E4355" s="1" t="s">
        <v>28</v>
      </c>
      <c r="F4355" s="1">
        <v>17</v>
      </c>
      <c r="G4355" s="1">
        <v>14</v>
      </c>
      <c r="H4355" s="1">
        <v>0</v>
      </c>
      <c r="I4355" s="1" t="s">
        <v>6460</v>
      </c>
      <c r="K4355" s="1" t="str">
        <f t="shared" si="270"/>
        <v>ㄊ</v>
      </c>
      <c r="L4355" s="1" t="str">
        <f t="shared" si="271"/>
        <v>ㄧ</v>
      </c>
      <c r="N4355" s="3" t="s">
        <v>30574</v>
      </c>
      <c r="O4355" s="3"/>
      <c r="P4355" s="1" t="s">
        <v>20</v>
      </c>
      <c r="R4355" s="1" t="s">
        <v>6461</v>
      </c>
      <c r="V4355" s="1" t="s">
        <v>6503</v>
      </c>
      <c r="AR4355" s="1" t="str">
        <f t="shared" ref="AR4355:AR4418" si="272">"| ["&amp;I4355&amp;"]("&amp;I4355&amp;".md) | ["&amp;A4355&amp;"]("&amp;A4355&amp;".md) | "&amp;" | "&amp;R4355&amp;" | "&amp;V4355&amp;" |"</f>
        <v>| [ㄊㄧˋ](ㄊㄧˋ.md) | [嚏](嚏.md) |  | tì | 參見「噴嚏」條。 |</v>
      </c>
    </row>
    <row r="4356" spans="1:44" hidden="1">
      <c r="A4356" s="1" t="s">
        <v>6504</v>
      </c>
      <c r="C4356" s="1">
        <v>1</v>
      </c>
      <c r="D4356" s="1" t="str">
        <f>"02663"</f>
        <v>02663</v>
      </c>
      <c r="E4356" s="1" t="s">
        <v>49</v>
      </c>
      <c r="F4356" s="1">
        <v>20</v>
      </c>
      <c r="G4356" s="1">
        <v>14</v>
      </c>
      <c r="H4356" s="1">
        <v>0</v>
      </c>
      <c r="I4356" s="1" t="s">
        <v>6460</v>
      </c>
      <c r="K4356" s="1" t="str">
        <f t="shared" si="270"/>
        <v>ㄊ</v>
      </c>
      <c r="L4356" s="1" t="str">
        <f t="shared" si="271"/>
        <v>ㄧ</v>
      </c>
      <c r="N4356" s="3" t="s">
        <v>30574</v>
      </c>
      <c r="O4356" s="3"/>
      <c r="P4356" s="1" t="s">
        <v>20</v>
      </c>
      <c r="R4356" s="1" t="s">
        <v>6461</v>
      </c>
      <c r="V4356" s="1" t="s">
        <v>6505</v>
      </c>
      <c r="AR4356" s="1" t="str">
        <f t="shared" si="272"/>
        <v>| [ㄊㄧˋ](ㄊㄧˋ.md) | [籊](籊.md) |  | tì | [形]
修長纖細的。《詩經．衛風．竹竿》：「籊籊竹竿，以釣于淇。」 |</v>
      </c>
    </row>
    <row r="4357" spans="1:44" hidden="1">
      <c r="A4357" s="1" t="s">
        <v>6506</v>
      </c>
      <c r="C4357" s="1">
        <v>1</v>
      </c>
      <c r="D4357" s="1" t="str">
        <f>"02664"</f>
        <v>02664</v>
      </c>
      <c r="E4357" s="1" t="s">
        <v>4563</v>
      </c>
      <c r="F4357" s="1">
        <v>21</v>
      </c>
      <c r="G4357" s="1">
        <v>14</v>
      </c>
      <c r="H4357" s="1">
        <v>1</v>
      </c>
      <c r="I4357" s="1" t="s">
        <v>6460</v>
      </c>
      <c r="K4357" s="1" t="str">
        <f t="shared" si="270"/>
        <v>ㄊ</v>
      </c>
      <c r="L4357" s="1" t="str">
        <f t="shared" si="271"/>
        <v>ㄧ</v>
      </c>
      <c r="N4357" s="3" t="s">
        <v>30574</v>
      </c>
      <c r="O4357" s="3"/>
      <c r="P4357" s="1" t="s">
        <v>20</v>
      </c>
      <c r="R4357" s="1" t="s">
        <v>6461</v>
      </c>
      <c r="V4357" s="1" t="s">
        <v>6507</v>
      </c>
      <c r="W4357" s="1" t="s">
        <v>6508</v>
      </c>
      <c r="AR4357" s="1" t="str">
        <f t="shared" si="272"/>
        <v>| [ㄊㄧˋ](ㄊㄧˋ.md) | [趯](趯.md) |  | tì | [名]
一種書寫方法。運筆至轉彎鉤處，先輕頓，再轉筆而出。清．錢泳《履園叢話．卷一一上．書學．隸書》：「迨鍾傅一出，又將漢隸變為轉折，畫平豎直，間用鉤趯，漸成楷法，謂之真書。」
[形]
參見「趯趯」條。
[動]
踢。唐．呂巖〈絕句〉：「趯倒葫蘆掉卻琴，倒行直上臥牛岑。」唐．段成式《酉陽雜俎．卷五．詭習》：「張芬曾為韋南康親隨行軍，曲藝過人，……常於福感寺趯鞠，高及半塔，彈力五斗。」 |</v>
      </c>
    </row>
    <row r="4358" spans="1:44" hidden="1">
      <c r="A4358" s="1" t="s">
        <v>6417</v>
      </c>
      <c r="C4358" s="1">
        <v>1</v>
      </c>
      <c r="D4358" s="1" t="str">
        <f>"02624"</f>
        <v>02624</v>
      </c>
      <c r="E4358" s="1" t="s">
        <v>37</v>
      </c>
      <c r="F4358" s="1">
        <v>10</v>
      </c>
      <c r="G4358" s="1">
        <v>6</v>
      </c>
      <c r="H4358" s="1">
        <v>1</v>
      </c>
      <c r="I4358" s="1" t="s">
        <v>6418</v>
      </c>
      <c r="K4358" s="1" t="str">
        <f t="shared" si="270"/>
        <v>ㄊ</v>
      </c>
      <c r="L4358" s="1" t="str">
        <f t="shared" si="271"/>
        <v>ㄧ</v>
      </c>
      <c r="N4358" s="3" t="s">
        <v>30575</v>
      </c>
      <c r="O4358" s="3"/>
      <c r="P4358" s="1" t="s">
        <v>20</v>
      </c>
      <c r="R4358" s="1" t="s">
        <v>6419</v>
      </c>
      <c r="V4358" s="1" t="s">
        <v>6420</v>
      </c>
      <c r="W4358" s="1" t="s">
        <v>6421</v>
      </c>
      <c r="AR4358" s="1" t="str">
        <f t="shared" si="272"/>
        <v>| [ㄊㄧˊ](ㄊㄧˊ.md) | [荑](荑.md) |  | tí | [名]
1.草木初生時的嫩芽。《文選．郭璞．遊仙詩七首之一》：「臨源挹清波，陵岡掇丹荑。」唐．白居易〈東牆夜合樹去秋為風雨所摧今年花時悵然有感〉詩：「碧荑紅樓今何在？風雨飄將去不回。」
2.借指女子柔細的手。如：「柔荑」、「香荑」。 |</v>
      </c>
    </row>
    <row r="4359" spans="1:44" hidden="1">
      <c r="A4359" s="1" t="s">
        <v>6422</v>
      </c>
      <c r="C4359" s="1">
        <v>1</v>
      </c>
      <c r="D4359" s="1" t="str">
        <f>"02625"</f>
        <v>02625</v>
      </c>
      <c r="E4359" s="1" t="s">
        <v>114</v>
      </c>
      <c r="F4359" s="1">
        <v>11</v>
      </c>
      <c r="G4359" s="1">
        <v>9</v>
      </c>
      <c r="H4359" s="1">
        <v>0</v>
      </c>
      <c r="I4359" s="1" t="s">
        <v>6418</v>
      </c>
      <c r="K4359" s="1" t="str">
        <f t="shared" si="270"/>
        <v>ㄊ</v>
      </c>
      <c r="L4359" s="1" t="str">
        <f t="shared" si="271"/>
        <v>ㄧ</v>
      </c>
      <c r="N4359" s="3" t="s">
        <v>30575</v>
      </c>
      <c r="O4359" s="3"/>
      <c r="P4359" s="1" t="s">
        <v>20</v>
      </c>
      <c r="R4359" s="1" t="s">
        <v>6419</v>
      </c>
      <c r="V4359" s="1" t="s">
        <v>6423</v>
      </c>
      <c r="AR4359" s="1" t="str">
        <f t="shared" si="272"/>
        <v>| [ㄊㄧˊ](ㄊㄧˊ.md) | [偍](偍.md) |  | tí | [形]
鬆懈緩慢。《荀子．修身》：「少見曰陋，難進曰偍。」 |</v>
      </c>
    </row>
    <row r="4360" spans="1:44" hidden="1">
      <c r="A4360" s="1" t="s">
        <v>5141</v>
      </c>
      <c r="C4360" s="1">
        <v>1</v>
      </c>
      <c r="D4360" s="1" t="str">
        <f>"02626"</f>
        <v>02626</v>
      </c>
      <c r="E4360" s="1" t="s">
        <v>132</v>
      </c>
      <c r="F4360" s="1">
        <v>12</v>
      </c>
      <c r="G4360" s="1">
        <v>9</v>
      </c>
      <c r="H4360" s="1">
        <v>1</v>
      </c>
      <c r="I4360" s="1" t="s">
        <v>6418</v>
      </c>
      <c r="K4360" s="1" t="str">
        <f t="shared" si="270"/>
        <v>ㄊ</v>
      </c>
      <c r="L4360" s="1" t="str">
        <f t="shared" si="271"/>
        <v>ㄧ</v>
      </c>
      <c r="N4360" s="3" t="s">
        <v>30575</v>
      </c>
      <c r="O4360" s="3"/>
      <c r="P4360" s="1" t="s">
        <v>20</v>
      </c>
      <c r="R4360" s="1" t="s">
        <v>6419</v>
      </c>
      <c r="V4360" s="1" t="s">
        <v>6424</v>
      </c>
      <c r="W4360" s="1" t="s">
        <v>6425</v>
      </c>
      <c r="AR4360" s="1" t="str">
        <f t="shared" si="272"/>
        <v>| [ㄊㄧˊ](ㄊㄧˊ.md) | [堤](堤.md) |  | tí | [名]_x000D_
1.在江、河、湖、海邊修築的防水建築物，以阻止水患，多用土或石修砌而成。如：「河堤」、「海堤」、「防波堤」。《老殘遊記》第一三回：「這些堤裡百姓怎樣好呢？須得給錢，叫他們搬開纔好。」_x000D_
2.陶瓷瓶的底座。《淮南子．詮言》：「蓼菜成行，瓶甌有堤。」漢．高誘．注：「堤，瓶甌下安也。」_x000D_
[動]_x000D_
修築堤防。宋．蘇軾〈禹之所以通水之法〉：「今也堤之而廬民甚上，所謂愛尺寸而忘千里也。」 |</v>
      </c>
    </row>
    <row r="4361" spans="1:44" hidden="1">
      <c r="A4361" s="1" t="s">
        <v>5143</v>
      </c>
      <c r="C4361" s="1">
        <v>1</v>
      </c>
      <c r="D4361" s="1" t="str">
        <f>"02627"</f>
        <v>02627</v>
      </c>
      <c r="E4361" s="1" t="s">
        <v>24</v>
      </c>
      <c r="F4361" s="1">
        <v>12</v>
      </c>
      <c r="G4361" s="1">
        <v>9</v>
      </c>
      <c r="H4361" s="1">
        <v>1</v>
      </c>
      <c r="I4361" s="1" t="s">
        <v>6418</v>
      </c>
      <c r="K4361" s="1" t="str">
        <f t="shared" si="270"/>
        <v>ㄊ</v>
      </c>
      <c r="L4361" s="1" t="str">
        <f t="shared" si="271"/>
        <v>ㄧ</v>
      </c>
      <c r="N4361" s="3" t="s">
        <v>30575</v>
      </c>
      <c r="O4361" s="3"/>
      <c r="P4361" s="1" t="s">
        <v>20</v>
      </c>
      <c r="R4361" s="1" t="s">
        <v>6419</v>
      </c>
      <c r="V4361" s="1" t="s">
        <v>6426</v>
      </c>
      <c r="W4361" s="1" t="s">
        <v>6427</v>
      </c>
      <c r="AR4361" s="1" t="str">
        <f t="shared" si="272"/>
        <v>| [ㄊㄧˊ](ㄊㄧˊ.md) | [提](提.md) |  | tí | [動]
1.用手懸空拿著。如：「提燈」、「提水桶」、「提筆寫作」。
2.從下往上移。如：「提升」、「提高」。
3.把預定時間往前移。如：「提前」、「提早」。
4.領取。如：「提貨」、「提款」。
5.舉出、揭示。如：「提名」、「提議」、「提要」、「提意見」。
6.振作。如：「提振精神」、「提神醒腦」。
7.說、談。如：「提到」、「提及」、「舊事重提」、「這事不提也罷！」
8.警覺。《紅樓夢》第六三回：「他也不是好意的，少不得也要常提著些兒。」
[名]
1.舀酒、油等的長柄器具。如：「酒提」、「油提」。
2.姓。如春秋時晉國有提彌明，清代有提橋。 |</v>
      </c>
    </row>
    <row r="4362" spans="1:44" hidden="1">
      <c r="A4362" s="1" t="s">
        <v>6428</v>
      </c>
      <c r="C4362" s="1">
        <v>1</v>
      </c>
      <c r="D4362" s="1" t="str">
        <f>"02628"</f>
        <v>02628</v>
      </c>
      <c r="E4362" s="1" t="s">
        <v>534</v>
      </c>
      <c r="F4362" s="1">
        <v>12</v>
      </c>
      <c r="G4362" s="1">
        <v>9</v>
      </c>
      <c r="H4362" s="1">
        <v>0</v>
      </c>
      <c r="I4362" s="1" t="s">
        <v>6418</v>
      </c>
      <c r="K4362" s="1" t="str">
        <f t="shared" si="270"/>
        <v>ㄊ</v>
      </c>
      <c r="L4362" s="1" t="str">
        <f t="shared" si="271"/>
        <v>ㄧ</v>
      </c>
      <c r="N4362" s="3" t="s">
        <v>30575</v>
      </c>
      <c r="O4362" s="3"/>
      <c r="P4362" s="1" t="s">
        <v>20</v>
      </c>
      <c r="R4362" s="1" t="s">
        <v>6419</v>
      </c>
      <c r="V4362" s="1" t="s">
        <v>6429</v>
      </c>
      <c r="AR4362" s="1" t="str">
        <f t="shared" si="272"/>
        <v>| [ㄊㄧˊ](ㄊㄧˊ.md) | [媞](媞.md) |  | tí | 參見「媞媞」條。 |</v>
      </c>
    </row>
    <row r="4363" spans="1:44" hidden="1">
      <c r="A4363" s="1" t="s">
        <v>6430</v>
      </c>
      <c r="C4363" s="1">
        <v>1</v>
      </c>
      <c r="D4363" s="1" t="str">
        <f>"02629"</f>
        <v>02629</v>
      </c>
      <c r="E4363" s="1" t="s">
        <v>691</v>
      </c>
      <c r="F4363" s="1">
        <v>12</v>
      </c>
      <c r="G4363" s="1">
        <v>9</v>
      </c>
      <c r="H4363" s="1">
        <v>0</v>
      </c>
      <c r="I4363" s="1" t="s">
        <v>6418</v>
      </c>
      <c r="K4363" s="1" t="str">
        <f t="shared" si="270"/>
        <v>ㄊ</v>
      </c>
      <c r="L4363" s="1" t="str">
        <f t="shared" si="271"/>
        <v>ㄧ</v>
      </c>
      <c r="N4363" s="3" t="s">
        <v>30575</v>
      </c>
      <c r="O4363" s="3"/>
      <c r="P4363" s="1" t="s">
        <v>20</v>
      </c>
      <c r="R4363" s="1" t="s">
        <v>6419</v>
      </c>
      <c r="V4363" s="1" t="s">
        <v>6431</v>
      </c>
      <c r="AR4363" s="1" t="str">
        <f t="shared" si="272"/>
        <v>| [ㄊㄧˊ](ㄊㄧˊ.md) | [隄](隄.md) |  | tí | [名]
以土石修築，用來防水的建築物。同「堤」。如：「隄塘」、「土隄」、「石隄」。 |</v>
      </c>
    </row>
    <row r="4364" spans="1:44" hidden="1">
      <c r="A4364" s="1" t="s">
        <v>6432</v>
      </c>
      <c r="C4364" s="1">
        <v>1</v>
      </c>
      <c r="D4364" s="1" t="str">
        <f>"02630"</f>
        <v>02630</v>
      </c>
      <c r="E4364" s="1" t="s">
        <v>825</v>
      </c>
      <c r="F4364" s="1">
        <v>14</v>
      </c>
      <c r="G4364" s="1">
        <v>9</v>
      </c>
      <c r="H4364" s="1">
        <v>0</v>
      </c>
      <c r="I4364" s="1" t="s">
        <v>6418</v>
      </c>
      <c r="K4364" s="1" t="str">
        <f t="shared" si="270"/>
        <v>ㄊ</v>
      </c>
      <c r="L4364" s="1" t="str">
        <f t="shared" si="271"/>
        <v>ㄧ</v>
      </c>
      <c r="N4364" s="3" t="s">
        <v>30575</v>
      </c>
      <c r="O4364" s="3"/>
      <c r="P4364" s="1" t="s">
        <v>20</v>
      </c>
      <c r="R4364" s="1" t="s">
        <v>6419</v>
      </c>
      <c r="V4364" s="1" t="s">
        <v>6433</v>
      </c>
      <c r="AR4364" s="1" t="str">
        <f t="shared" si="272"/>
        <v>| [ㄊㄧˊ](ㄊㄧˊ.md) | [禔](禔.md) |  | tí | [動]
安。《說文解字．示部》：「禔，安也。」漢．揚雄《法言．修身》：「或問士何如斯可以禔身？」
[名]
福。《漢書．卷五七．司馬相如傳下》：「遐邇一體，中外禔福，不亦康乎？」 |</v>
      </c>
    </row>
    <row r="4365" spans="1:44" hidden="1">
      <c r="A4365" s="1" t="s">
        <v>6434</v>
      </c>
      <c r="C4365" s="1">
        <v>1</v>
      </c>
      <c r="D4365" s="1" t="str">
        <f>"02631"</f>
        <v>02631</v>
      </c>
      <c r="E4365" s="1" t="s">
        <v>725</v>
      </c>
      <c r="F4365" s="1">
        <v>15</v>
      </c>
      <c r="G4365" s="1">
        <v>9</v>
      </c>
      <c r="H4365" s="1">
        <v>0</v>
      </c>
      <c r="I4365" s="1" t="s">
        <v>6418</v>
      </c>
      <c r="K4365" s="1" t="str">
        <f t="shared" si="270"/>
        <v>ㄊ</v>
      </c>
      <c r="L4365" s="1" t="str">
        <f t="shared" si="271"/>
        <v>ㄧ</v>
      </c>
      <c r="N4365" s="3" t="s">
        <v>30575</v>
      </c>
      <c r="O4365" s="3"/>
      <c r="P4365" s="1" t="s">
        <v>20</v>
      </c>
      <c r="R4365" s="1" t="s">
        <v>6419</v>
      </c>
      <c r="V4365" s="1" t="s">
        <v>6435</v>
      </c>
      <c r="AR4365" s="1" t="str">
        <f t="shared" si="272"/>
        <v>| [ㄊㄧˊ](ㄊㄧˊ.md) | [緹](緹.md) |  | tí | [名]
丹紅色的絲織物。《說文解字．糸部》：「緹，帛丹黃色也。」南朝宋．鮑照〈學古詩〉：「衿服雜緹繢，首飾亂珍瓊。」
[形]
橘紅色的。《史記．卷一二六．滑稽傳．褚少孫補西門豹傳》：「為治齋宮河上，張緹絳帷，女居其中。」《文選．劉楨．贈五官中郎將詩四首之四》：「明月照緹幕，華燈散炎輝。」 |</v>
      </c>
    </row>
    <row r="4366" spans="1:44" hidden="1">
      <c r="A4366" s="1" t="s">
        <v>6436</v>
      </c>
      <c r="C4366" s="1">
        <v>1</v>
      </c>
      <c r="D4366" s="1" t="str">
        <f>"02632"</f>
        <v>02632</v>
      </c>
      <c r="E4366" s="1" t="s">
        <v>1462</v>
      </c>
      <c r="F4366" s="1">
        <v>16</v>
      </c>
      <c r="G4366" s="1">
        <v>9</v>
      </c>
      <c r="H4366" s="1">
        <v>0</v>
      </c>
      <c r="I4366" s="1" t="s">
        <v>6418</v>
      </c>
      <c r="K4366" s="1" t="str">
        <f t="shared" si="270"/>
        <v>ㄊ</v>
      </c>
      <c r="L4366" s="1" t="str">
        <f t="shared" si="271"/>
        <v>ㄧ</v>
      </c>
      <c r="N4366" s="3" t="s">
        <v>30575</v>
      </c>
      <c r="O4366" s="3"/>
      <c r="P4366" s="1" t="s">
        <v>20</v>
      </c>
      <c r="R4366" s="1" t="s">
        <v>6419</v>
      </c>
      <c r="V4366" s="1" t="s">
        <v>6437</v>
      </c>
      <c r="AR4366" s="1" t="str">
        <f t="shared" si="272"/>
        <v>| [ㄊㄧˊ](ㄊㄧˊ.md) | [醍](醍.md) |  | tí | 參見「醍醐」條。 |</v>
      </c>
    </row>
    <row r="4367" spans="1:44" hidden="1">
      <c r="A4367" s="1" t="s">
        <v>6438</v>
      </c>
      <c r="C4367" s="1">
        <v>1</v>
      </c>
      <c r="D4367" s="1" t="str">
        <f>"02633"</f>
        <v>02633</v>
      </c>
      <c r="E4367" s="1" t="s">
        <v>684</v>
      </c>
      <c r="F4367" s="1">
        <v>18</v>
      </c>
      <c r="G4367" s="1">
        <v>9</v>
      </c>
      <c r="H4367" s="1">
        <v>0</v>
      </c>
      <c r="I4367" s="1" t="s">
        <v>6418</v>
      </c>
      <c r="K4367" s="1" t="str">
        <f t="shared" si="270"/>
        <v>ㄊ</v>
      </c>
      <c r="L4367" s="1" t="str">
        <f t="shared" si="271"/>
        <v>ㄧ</v>
      </c>
      <c r="N4367" s="3" t="s">
        <v>30575</v>
      </c>
      <c r="O4367" s="3"/>
      <c r="P4367" s="1" t="s">
        <v>20</v>
      </c>
      <c r="R4367" s="1" t="s">
        <v>6419</v>
      </c>
      <c r="V4367" s="1" t="s">
        <v>6439</v>
      </c>
      <c r="AR4367" s="1" t="str">
        <f t="shared" si="272"/>
        <v>| [ㄊㄧˊ](ㄊㄧˊ.md) | [題](題.md) |  | tí | [名]
1.額頭。《說文解字．頁部》：「題，額也。」《韓非子．解老》：「弟子曰：『是黑牛也，而白在其題。』」
2.詩文、演講或一件事情所標立的一項名目。如：「標題」、「詩題」、「文題」。
3.考試時要求解答的問題。如：「選擇題」、「試題」、「問答題」。
4.量詞。計算題目的單位。如：「十題問答題」、「兩題申論題」。
[動]
1.簽署、寫在上面。如：「題名」、「題詩」、「題字」。
2.述說。同「提」。元．張國賓《薛仁貴》第一折：「諸葛亮鋤田鉋地，劉先生織席編履，那等的人題他做甚麼？」 |</v>
      </c>
    </row>
    <row r="4368" spans="1:44" hidden="1">
      <c r="A4368" s="1" t="s">
        <v>6440</v>
      </c>
      <c r="C4368" s="1">
        <v>1</v>
      </c>
      <c r="D4368" s="1" t="str">
        <f>"02634"</f>
        <v>02634</v>
      </c>
      <c r="E4368" s="1" t="s">
        <v>319</v>
      </c>
      <c r="F4368" s="1">
        <v>19</v>
      </c>
      <c r="G4368" s="1">
        <v>9</v>
      </c>
      <c r="H4368" s="1">
        <v>0</v>
      </c>
      <c r="I4368" s="1" t="s">
        <v>6418</v>
      </c>
      <c r="K4368" s="1" t="str">
        <f t="shared" si="270"/>
        <v>ㄊ</v>
      </c>
      <c r="L4368" s="1" t="str">
        <f t="shared" si="271"/>
        <v>ㄧ</v>
      </c>
      <c r="N4368" s="3" t="s">
        <v>30575</v>
      </c>
      <c r="O4368" s="3"/>
      <c r="P4368" s="1" t="s">
        <v>20</v>
      </c>
      <c r="R4368" s="1" t="s">
        <v>6419</v>
      </c>
      <c r="V4368" s="1" t="s">
        <v>6441</v>
      </c>
      <c r="AR4368" s="1" t="str">
        <f t="shared" si="272"/>
        <v>| [ㄊㄧˊ](ㄊㄧˊ.md) | [騠](騠.md) |  | tí | 參見「駃騠」條。 |</v>
      </c>
    </row>
    <row r="4369" spans="1:44" hidden="1">
      <c r="A4369" s="1" t="s">
        <v>6442</v>
      </c>
      <c r="C4369" s="1">
        <v>1</v>
      </c>
      <c r="D4369" s="1" t="str">
        <f>"02635"</f>
        <v>02635</v>
      </c>
      <c r="E4369" s="1" t="s">
        <v>272</v>
      </c>
      <c r="F4369" s="1">
        <v>20</v>
      </c>
      <c r="G4369" s="1">
        <v>9</v>
      </c>
      <c r="H4369" s="1">
        <v>0</v>
      </c>
      <c r="I4369" s="1" t="s">
        <v>6418</v>
      </c>
      <c r="K4369" s="1" t="str">
        <f t="shared" si="270"/>
        <v>ㄊ</v>
      </c>
      <c r="L4369" s="1" t="str">
        <f t="shared" si="271"/>
        <v>ㄧ</v>
      </c>
      <c r="N4369" s="3" t="s">
        <v>30575</v>
      </c>
      <c r="O4369" s="3"/>
      <c r="P4369" s="1" t="s">
        <v>20</v>
      </c>
      <c r="R4369" s="1" t="s">
        <v>6419</v>
      </c>
      <c r="V4369" s="1" t="s">
        <v>6443</v>
      </c>
      <c r="AR4369" s="1" t="str">
        <f t="shared" si="272"/>
        <v>| [ㄊㄧˊ](ㄊㄧˊ.md) | [鶗](鶗.md) |  | tí | 參見「鶗鴃」條。 |</v>
      </c>
    </row>
    <row r="4370" spans="1:44" hidden="1">
      <c r="A4370" s="1" t="s">
        <v>6444</v>
      </c>
      <c r="C4370" s="1">
        <v>1</v>
      </c>
      <c r="D4370" s="1" t="str">
        <f>"02636"</f>
        <v>02636</v>
      </c>
      <c r="E4370" s="1" t="s">
        <v>156</v>
      </c>
      <c r="F4370" s="1">
        <v>20</v>
      </c>
      <c r="G4370" s="1">
        <v>9</v>
      </c>
      <c r="H4370" s="1">
        <v>0</v>
      </c>
      <c r="I4370" s="1" t="s">
        <v>6418</v>
      </c>
      <c r="K4370" s="1" t="str">
        <f t="shared" si="270"/>
        <v>ㄊ</v>
      </c>
      <c r="L4370" s="1" t="str">
        <f t="shared" si="271"/>
        <v>ㄧ</v>
      </c>
      <c r="N4370" s="3" t="s">
        <v>30575</v>
      </c>
      <c r="O4370" s="3"/>
      <c r="P4370" s="1" t="s">
        <v>20</v>
      </c>
      <c r="R4370" s="1" t="s">
        <v>6419</v>
      </c>
      <c r="V4370" s="1" t="s">
        <v>6445</v>
      </c>
      <c r="AR4370" s="1" t="str">
        <f t="shared" si="272"/>
        <v>| [ㄊㄧˊ](ㄊㄧˊ.md) | [鯷](鯷.md) |  | tí | [名]
1.動物名。魚綱鯷科。銀灰色，體長側扁，體側有一條銀白色縱帶。為群集於淺海的小型魚類。盛產於東海、黃海。也稱為「黑背鰮」。
2.中國古代種族之一。分布於東方海中。《漢書．卷二八．地理志下》：「會稽海外有東鯷人，分為二十餘國，以歲時來獻見云。」 |</v>
      </c>
    </row>
    <row r="4371" spans="1:44" hidden="1">
      <c r="A4371" s="1" t="s">
        <v>6446</v>
      </c>
      <c r="C4371" s="1">
        <v>1</v>
      </c>
      <c r="D4371" s="1" t="str">
        <f>"02637"</f>
        <v>02637</v>
      </c>
      <c r="E4371" s="1" t="s">
        <v>28</v>
      </c>
      <c r="F4371" s="1">
        <v>12</v>
      </c>
      <c r="G4371" s="1">
        <v>9</v>
      </c>
      <c r="H4371" s="1">
        <v>0</v>
      </c>
      <c r="I4371" s="1" t="s">
        <v>6418</v>
      </c>
      <c r="K4371" s="1" t="str">
        <f t="shared" si="270"/>
        <v>ㄊ</v>
      </c>
      <c r="L4371" s="1" t="str">
        <f t="shared" si="271"/>
        <v>ㄧ</v>
      </c>
      <c r="N4371" s="3" t="s">
        <v>30575</v>
      </c>
      <c r="O4371" s="3"/>
      <c r="P4371" s="1" t="s">
        <v>20</v>
      </c>
      <c r="R4371" s="1" t="s">
        <v>6419</v>
      </c>
      <c r="V4371" s="1" t="s">
        <v>6447</v>
      </c>
      <c r="AR4371" s="1" t="str">
        <f t="shared" si="272"/>
        <v>| [ㄊㄧˊ](ㄊㄧˊ.md) | [啼](啼.md) |  | tí | [動]
1.號哭。如：「啼哭」。《穀梁傳．僖公十八年》：「麗姬下堂而啼。」《三國志．卷二九．魏書．方技傳．華佗傳》：「東陽陳叔山小男二歲得疾，下利常先啼，日以羸困。」
2.鳥獸的鳴叫。如：「虎嘯猿啼」。唐．張繼〈楓橋夜泊〉詩：「月落烏啼霜滿天，江楓漁火對愁眠。」宋．辛棄疾〈賀新郎．綠樹聽鵜鴃〉詞：「啼到春歸無尋處，苦恨芳菲都歇。」 |</v>
      </c>
    </row>
    <row r="4372" spans="1:44" hidden="1">
      <c r="A4372" s="1" t="s">
        <v>6448</v>
      </c>
      <c r="C4372" s="1">
        <v>1</v>
      </c>
      <c r="D4372" s="1" t="str">
        <f>"02638"</f>
        <v>02638</v>
      </c>
      <c r="E4372" s="1" t="s">
        <v>77</v>
      </c>
      <c r="F4372" s="1">
        <v>16</v>
      </c>
      <c r="G4372" s="1">
        <v>9</v>
      </c>
      <c r="H4372" s="1">
        <v>0</v>
      </c>
      <c r="I4372" s="1" t="s">
        <v>6418</v>
      </c>
      <c r="K4372" s="1" t="str">
        <f t="shared" si="270"/>
        <v>ㄊ</v>
      </c>
      <c r="L4372" s="1" t="str">
        <f t="shared" si="271"/>
        <v>ㄧ</v>
      </c>
      <c r="N4372" s="3" t="s">
        <v>30575</v>
      </c>
      <c r="O4372" s="3"/>
      <c r="P4372" s="1" t="s">
        <v>20</v>
      </c>
      <c r="R4372" s="1" t="s">
        <v>6419</v>
      </c>
      <c r="V4372" s="1" t="s">
        <v>6449</v>
      </c>
      <c r="AR4372" s="1" t="str">
        <f t="shared" si="272"/>
        <v>| [ㄊㄧˊ](ㄊㄧˊ.md) | [蹄](蹄.md) |  | tí | [名]
1.獸足趾端的角質變形物，後借以通稱獸足。如：「馬蹄」、「牛蹄」。
2.古代的一種捕獸器。如：「筌蹄」。
[動]
踢。唐．柳宗元〈三戒．黔之驢〉：「驢不勝怒，蹄之。」 |</v>
      </c>
    </row>
    <row r="4373" spans="1:44" hidden="1">
      <c r="A4373" s="1" t="s">
        <v>6450</v>
      </c>
      <c r="C4373" s="1">
        <v>1</v>
      </c>
      <c r="D4373" s="1" t="str">
        <f>"02639"</f>
        <v>02639</v>
      </c>
      <c r="E4373" s="1" t="s">
        <v>429</v>
      </c>
      <c r="F4373" s="1">
        <v>12</v>
      </c>
      <c r="G4373" s="1">
        <v>7</v>
      </c>
      <c r="H4373" s="1">
        <v>0</v>
      </c>
      <c r="I4373" s="1" t="s">
        <v>6418</v>
      </c>
      <c r="K4373" s="1" t="str">
        <f t="shared" si="270"/>
        <v>ㄊ</v>
      </c>
      <c r="L4373" s="1" t="str">
        <f t="shared" si="271"/>
        <v>ㄧ</v>
      </c>
      <c r="N4373" s="3" t="s">
        <v>30575</v>
      </c>
      <c r="O4373" s="3"/>
      <c r="P4373" s="1" t="s">
        <v>20</v>
      </c>
      <c r="R4373" s="1" t="s">
        <v>6419</v>
      </c>
      <c r="V4373" s="1" t="s">
        <v>6451</v>
      </c>
      <c r="AR4373" s="1" t="str">
        <f t="shared" si="272"/>
        <v>| [ㄊㄧˊ](ㄊㄧˊ.md) | [稊](稊.md) |  | tí | [名]
1.一種實如小米，形似稗的野草。元．曾瑞〈哨遍．人性善皆由天命套．么〉：「把閑花野草都鋤淨，尚又怕稊稗交生。」
2.楊柳樹重新長出的枝葉。《易經．大過卦．九二》：「枯楊生稊。」唐．李白〈雉朝飛〉詩：「枯楊枯楊爾生稊，我獨七十而孤棲。」 |</v>
      </c>
    </row>
    <row r="4374" spans="1:44" hidden="1">
      <c r="A4374" s="1" t="s">
        <v>6452</v>
      </c>
      <c r="C4374" s="1">
        <v>1</v>
      </c>
      <c r="D4374" s="1" t="str">
        <f>"02640"</f>
        <v>02640</v>
      </c>
      <c r="E4374" s="1" t="s">
        <v>725</v>
      </c>
      <c r="F4374" s="1">
        <v>13</v>
      </c>
      <c r="G4374" s="1">
        <v>7</v>
      </c>
      <c r="H4374" s="1">
        <v>0</v>
      </c>
      <c r="I4374" s="1" t="s">
        <v>6418</v>
      </c>
      <c r="K4374" s="1" t="str">
        <f t="shared" si="270"/>
        <v>ㄊ</v>
      </c>
      <c r="L4374" s="1" t="str">
        <f t="shared" si="271"/>
        <v>ㄧ</v>
      </c>
      <c r="N4374" s="3" t="s">
        <v>30575</v>
      </c>
      <c r="O4374" s="3"/>
      <c r="P4374" s="1" t="s">
        <v>20</v>
      </c>
      <c r="R4374" s="1" t="s">
        <v>6419</v>
      </c>
      <c r="V4374" s="1" t="s">
        <v>6453</v>
      </c>
      <c r="AR4374" s="1" t="str">
        <f t="shared" si="272"/>
        <v>| [ㄊㄧˊ](ㄊㄧˊ.md) | [綈](綈.md) |  | tí | [名]
古代一種光滑細澤的厚絲織品。可用來製袍、寫字等。《說文解字．糸部》：「綈，厚繒也。」晉．左思〈嬌女詩〉：「執書愛綈素，誦習矜所獲。」 |</v>
      </c>
    </row>
    <row r="4375" spans="1:44" hidden="1">
      <c r="A4375" s="1" t="s">
        <v>6454</v>
      </c>
      <c r="C4375" s="1">
        <v>1</v>
      </c>
      <c r="D4375" s="1" t="str">
        <f>"02641"</f>
        <v>02641</v>
      </c>
      <c r="E4375" s="1" t="s">
        <v>272</v>
      </c>
      <c r="F4375" s="1">
        <v>18</v>
      </c>
      <c r="G4375" s="1">
        <v>7</v>
      </c>
      <c r="H4375" s="1">
        <v>0</v>
      </c>
      <c r="I4375" s="1" t="s">
        <v>6418</v>
      </c>
      <c r="K4375" s="1" t="str">
        <f t="shared" si="270"/>
        <v>ㄊ</v>
      </c>
      <c r="L4375" s="1" t="str">
        <f t="shared" si="271"/>
        <v>ㄧ</v>
      </c>
      <c r="N4375" s="3" t="s">
        <v>30575</v>
      </c>
      <c r="O4375" s="3"/>
      <c r="P4375" s="1" t="s">
        <v>20</v>
      </c>
      <c r="R4375" s="1" t="s">
        <v>6419</v>
      </c>
      <c r="V4375" s="1" t="s">
        <v>6455</v>
      </c>
      <c r="AR4375" s="1" t="str">
        <f t="shared" si="272"/>
        <v>| [ㄊㄧˊ](ㄊㄧˊ.md) | [鵜](鵜.md) |  | tí | 參見「鵜鶘」條。 |</v>
      </c>
    </row>
    <row r="4376" spans="1:44" hidden="1">
      <c r="A4376" s="1" t="s">
        <v>6456</v>
      </c>
      <c r="C4376" s="1">
        <v>1</v>
      </c>
      <c r="D4376" s="1" t="str">
        <f>"02643"</f>
        <v>02643</v>
      </c>
      <c r="E4376" s="1" t="s">
        <v>283</v>
      </c>
      <c r="F4376" s="1">
        <v>23</v>
      </c>
      <c r="G4376" s="1">
        <v>13</v>
      </c>
      <c r="H4376" s="1">
        <v>0</v>
      </c>
      <c r="I4376" s="1" t="s">
        <v>6457</v>
      </c>
      <c r="K4376" s="1" t="str">
        <f t="shared" si="270"/>
        <v>ㄊ</v>
      </c>
      <c r="L4376" s="1" t="str">
        <f t="shared" si="271"/>
        <v>ㄧ</v>
      </c>
      <c r="N4376" s="3" t="s">
        <v>30576</v>
      </c>
      <c r="O4376" s="3"/>
      <c r="P4376" s="1" t="s">
        <v>20</v>
      </c>
      <c r="R4376" s="1" t="s">
        <v>6458</v>
      </c>
      <c r="V4376" s="1" t="s">
        <v>6459</v>
      </c>
      <c r="AR4376" s="1" t="str">
        <f t="shared" si="272"/>
        <v>| [ㄊㄧˇ](ㄊㄧˇ.md) | [體](體.md) |  | tǐ | [名]
1.人體或其他動物的全身。如：「身體」、「肉體」、「人體」。
2.身體的各部分。如：「肢體」、「上體」、「五體投地」。《論語．微子》：「四體不勤。」《史記．卷七．項羽本紀》：「乃自刎而死。王翳取其頭，……最其後，郎中騎楊喜、騎司馬呂馬童、郎中呂勝、楊武各得其一體。」
3.事物的本質形態或主要部分。如：「固體」、「液體」、「主體」、「物體」。
4.文章的體裁。如：「駢體」、「散體」、「賦體」、「文體」。
5.文字書寫的形式。如：「字體」、「草體」、「楷體」。
6.數學上指立體的形狀。如：「正方體」、「長方體」、「圓柱體」。
7.哲學上指本體。如：「中學為體，西學為用。」
[動]
1.實行。如：「身體力行」。《淮南子．氾論》：「故聖人以身體之。」
2.設身處地，為人著想。如：「體諒」、「體恤民情」。清．林覺民〈與妻訣別書〉：「汝體吾此心。」
[副]
親身的。如：「體驗」、「體會」、「體認」。 |</v>
      </c>
    </row>
    <row r="4377" spans="1:44" hidden="1">
      <c r="A4377" s="1" t="s">
        <v>6796</v>
      </c>
      <c r="C4377" s="1">
        <v>1</v>
      </c>
      <c r="D4377" s="1" t="str">
        <f>"02790"</f>
        <v>02790</v>
      </c>
      <c r="E4377" s="1" t="s">
        <v>28</v>
      </c>
      <c r="F4377" s="1">
        <v>6</v>
      </c>
      <c r="G4377" s="1">
        <v>3</v>
      </c>
      <c r="H4377" s="1">
        <v>2</v>
      </c>
      <c r="I4377" s="1" t="s">
        <v>6803</v>
      </c>
      <c r="K4377" s="1" t="str">
        <f t="shared" si="270"/>
        <v>ㄊ</v>
      </c>
      <c r="L4377" s="1" t="str">
        <f t="shared" si="271"/>
        <v>ㄨ</v>
      </c>
      <c r="N4377" s="3" t="s">
        <v>30574</v>
      </c>
      <c r="O4377" s="3"/>
      <c r="P4377" s="1" t="s">
        <v>20</v>
      </c>
      <c r="R4377" s="1" t="s">
        <v>6804</v>
      </c>
      <c r="V4377" s="1" t="s">
        <v>6805</v>
      </c>
      <c r="W4377" s="1" t="s">
        <v>6806</v>
      </c>
      <c r="AR4377" s="1" t="str">
        <f t="shared" si="272"/>
        <v>| [ㄊㄨˋ](ㄊㄨˋ.md) | [吐](吐.md) |  | tù | [動]
1.由胃逆出。如：「吐血」、「嘔吐」、「上吐下瀉」。
2.把吞沒的東西退還。如：「吐出贓款」、「歸你的，自拿去；不歸你的，請全數吐出來吧！」 |</v>
      </c>
    </row>
    <row r="4378" spans="1:44" hidden="1">
      <c r="A4378" s="1" t="s">
        <v>6807</v>
      </c>
      <c r="C4378" s="1">
        <v>1</v>
      </c>
      <c r="D4378" s="1" t="str">
        <f>"02791"</f>
        <v>02791</v>
      </c>
      <c r="E4378" s="1" t="s">
        <v>3581</v>
      </c>
      <c r="F4378" s="1">
        <v>8</v>
      </c>
      <c r="G4378" s="1">
        <v>6</v>
      </c>
      <c r="H4378" s="1">
        <v>0</v>
      </c>
      <c r="I4378" s="1" t="s">
        <v>6803</v>
      </c>
      <c r="K4378" s="1" t="str">
        <f t="shared" si="270"/>
        <v>ㄊ</v>
      </c>
      <c r="L4378" s="1" t="str">
        <f t="shared" si="271"/>
        <v>ㄨ</v>
      </c>
      <c r="N4378" s="3" t="s">
        <v>30574</v>
      </c>
      <c r="O4378" s="3"/>
      <c r="P4378" s="1" t="s">
        <v>20</v>
      </c>
      <c r="R4378" s="1" t="s">
        <v>6804</v>
      </c>
      <c r="V4378" s="1" t="s">
        <v>6808</v>
      </c>
      <c r="AR4378" s="1" t="str">
        <f t="shared" si="272"/>
        <v>| [ㄊㄨˋ](ㄊㄨˋ.md) | [兔](兔.md) |  | tù | [名]
動物名。脊椎動物哺乳類兔形目。草食性動物。耳大，尾短向上翹，上脣中裂，後腿較前腿長。毛色為灰、白或褐色。有家兔、野兔兩種。俗稱為「兔子」。 |</v>
      </c>
    </row>
    <row r="4379" spans="1:44" hidden="1">
      <c r="A4379" s="1" t="s">
        <v>6809</v>
      </c>
      <c r="C4379" s="1">
        <v>1</v>
      </c>
      <c r="D4379" s="1" t="str">
        <f>"02792"</f>
        <v>02792</v>
      </c>
      <c r="E4379" s="1" t="s">
        <v>132</v>
      </c>
      <c r="F4379" s="1">
        <v>11</v>
      </c>
      <c r="G4379" s="1">
        <v>8</v>
      </c>
      <c r="H4379" s="1">
        <v>0</v>
      </c>
      <c r="I4379" s="1" t="s">
        <v>6803</v>
      </c>
      <c r="K4379" s="1" t="str">
        <f t="shared" si="270"/>
        <v>ㄊ</v>
      </c>
      <c r="L4379" s="1" t="str">
        <f t="shared" si="271"/>
        <v>ㄨ</v>
      </c>
      <c r="N4379" s="3" t="s">
        <v>30574</v>
      </c>
      <c r="O4379" s="3"/>
      <c r="P4379" s="1" t="s">
        <v>20</v>
      </c>
      <c r="R4379" s="1" t="s">
        <v>6804</v>
      </c>
      <c r="V4379" s="1" t="s">
        <v>6810</v>
      </c>
      <c r="AR4379" s="1" t="str">
        <f t="shared" si="272"/>
        <v>| [ㄊㄨˋ](ㄊㄨˋ.md) | [堍](堍.md) |  | tù | [名]
靠近橋頭兩端的地方。如：「橋堍」。宋．吳文英〈西子妝慢．流水麴塵〉詞：「笑拈芳草不知名，乍淩波，斷橋西堍。」 |</v>
      </c>
    </row>
    <row r="4380" spans="1:44" hidden="1">
      <c r="A4380" s="1" t="s">
        <v>6785</v>
      </c>
      <c r="C4380" s="1">
        <v>1</v>
      </c>
      <c r="D4380" s="1" t="str">
        <f>"02793"</f>
        <v>02793</v>
      </c>
      <c r="E4380" s="1" t="s">
        <v>37</v>
      </c>
      <c r="F4380" s="1">
        <v>12</v>
      </c>
      <c r="G4380" s="1">
        <v>8</v>
      </c>
      <c r="H4380" s="1">
        <v>1</v>
      </c>
      <c r="I4380" s="1" t="s">
        <v>6803</v>
      </c>
      <c r="K4380" s="1" t="str">
        <f t="shared" si="270"/>
        <v>ㄊ</v>
      </c>
      <c r="L4380" s="1" t="str">
        <f t="shared" si="271"/>
        <v>ㄨ</v>
      </c>
      <c r="N4380" s="3" t="s">
        <v>30574</v>
      </c>
      <c r="O4380" s="3"/>
      <c r="P4380" s="1" t="s">
        <v>20</v>
      </c>
      <c r="R4380" s="1" t="s">
        <v>6804</v>
      </c>
      <c r="V4380" s="1" t="s">
        <v>6811</v>
      </c>
      <c r="W4380" s="1" t="s">
        <v>6812</v>
      </c>
      <c r="AR4380" s="1" t="str">
        <f t="shared" si="272"/>
        <v>| [ㄊㄨˋ](ㄊㄨˋ.md) | [菟](菟.md) |  | tù | 參見「菟葵」、「菟裘」等條。 |</v>
      </c>
    </row>
    <row r="4381" spans="1:44" hidden="1">
      <c r="A4381" s="1" t="s">
        <v>5292</v>
      </c>
      <c r="C4381" s="1">
        <v>1</v>
      </c>
      <c r="D4381" s="1" t="str">
        <f>"02764"</f>
        <v>02764</v>
      </c>
      <c r="E4381" s="1" t="s">
        <v>5293</v>
      </c>
      <c r="F4381" s="1">
        <v>5</v>
      </c>
      <c r="G4381" s="1">
        <v>3</v>
      </c>
      <c r="H4381" s="1">
        <v>1</v>
      </c>
      <c r="I4381" s="1" t="s">
        <v>6743</v>
      </c>
      <c r="K4381" s="1" t="str">
        <f t="shared" si="270"/>
        <v>ㄊ</v>
      </c>
      <c r="L4381" s="1" t="str">
        <f t="shared" si="271"/>
        <v>ㄨ</v>
      </c>
      <c r="N4381" s="3" t="s">
        <v>30575</v>
      </c>
      <c r="O4381" s="3"/>
      <c r="P4381" s="1" t="s">
        <v>20</v>
      </c>
      <c r="R4381" s="1" t="s">
        <v>6744</v>
      </c>
      <c r="V4381" s="1" t="s">
        <v>6745</v>
      </c>
      <c r="W4381" s="1" t="s">
        <v>6746</v>
      </c>
      <c r="AR4381" s="1" t="str">
        <f t="shared" si="272"/>
        <v>| [ㄊㄨˊ](ㄊㄨˊ.md) | [凸](凸.md) |  | tú | [形]
高出的、突出的。「凹」的相反。如：「凸眼」、「凸透鏡」。唐．陸龜蒙〈奉酬襲美先輩吳中苦雨一百韻〉：「先夸屋舍好，又恃頭角凸。」《浮生六記．卷二．閒情記趣》：「以土礫凸者為邱，凹者為壑。」 |</v>
      </c>
    </row>
    <row r="4382" spans="1:44" hidden="1">
      <c r="A4382" s="1" t="s">
        <v>6747</v>
      </c>
      <c r="C4382" s="1">
        <v>1</v>
      </c>
      <c r="D4382" s="1" t="str">
        <f>"02765"</f>
        <v>02765</v>
      </c>
      <c r="E4382" s="1" t="s">
        <v>250</v>
      </c>
      <c r="F4382" s="1">
        <v>8</v>
      </c>
      <c r="G4382" s="1">
        <v>5</v>
      </c>
      <c r="H4382" s="1">
        <v>0</v>
      </c>
      <c r="I4382" s="1" t="s">
        <v>6743</v>
      </c>
      <c r="K4382" s="1" t="str">
        <f t="shared" si="270"/>
        <v>ㄊ</v>
      </c>
      <c r="L4382" s="1" t="str">
        <f t="shared" si="271"/>
        <v>ㄨ</v>
      </c>
      <c r="N4382" s="3" t="s">
        <v>30575</v>
      </c>
      <c r="O4382" s="3"/>
      <c r="P4382" s="1" t="s">
        <v>20</v>
      </c>
      <c r="R4382" s="1" t="s">
        <v>6744</v>
      </c>
      <c r="V4382" s="1" t="s">
        <v>6748</v>
      </c>
      <c r="AR4382" s="1" t="str">
        <f t="shared" si="272"/>
        <v>| [ㄊㄨˊ](ㄊㄨˊ.md) | [怢](怢.md) |  | tú | [動]
忽視。《後漢書．卷五二．崔駰傳》：「習亂安危，怢不自睹。」《文選．王襃．四子講德論》：「故美玉蘊於碔砆，凡人視之怢焉。」 |</v>
      </c>
    </row>
    <row r="4383" spans="1:44" hidden="1">
      <c r="A4383" s="1" t="s">
        <v>6749</v>
      </c>
      <c r="C4383" s="1">
        <v>1</v>
      </c>
      <c r="D4383" s="1" t="str">
        <f>"02766"</f>
        <v>02766</v>
      </c>
      <c r="E4383" s="1" t="s">
        <v>1274</v>
      </c>
      <c r="F4383" s="1">
        <v>9</v>
      </c>
      <c r="G4383" s="1">
        <v>4</v>
      </c>
      <c r="H4383" s="1">
        <v>0</v>
      </c>
      <c r="I4383" s="1" t="s">
        <v>6743</v>
      </c>
      <c r="K4383" s="1" t="str">
        <f t="shared" si="270"/>
        <v>ㄊ</v>
      </c>
      <c r="L4383" s="1" t="str">
        <f t="shared" si="271"/>
        <v>ㄨ</v>
      </c>
      <c r="N4383" s="3" t="s">
        <v>30575</v>
      </c>
      <c r="O4383" s="3"/>
      <c r="P4383" s="1" t="s">
        <v>20</v>
      </c>
      <c r="R4383" s="1" t="s">
        <v>6744</v>
      </c>
      <c r="V4383" s="1" t="s">
        <v>6750</v>
      </c>
      <c r="AR4383" s="1" t="str">
        <f t="shared" si="272"/>
        <v>| [ㄊㄨˊ](ㄊㄨˊ.md) | [突](突.md) |  | tú | [動]
1.凸起、高出周圍。如：「突起」、「突出」。明．徐弘祖《徐霞客遊記．卷五上．滇遊日記一》：「南崖有亭前突，北崖橫倚樓。」
2.猛衝、衝撞。如：「突圍」。《文選．班固．西都賦》：「窮虎奔突，狂兕觸蹷。」《文選．王延壽．魯靈光殿賦．序》：「遭漢中微，盜賊奔突。」
3.觸犯、冒犯。元．白樸《梧桐雨》第二折：「等不的俺筵上笙歌散，可不氣丕丕冒突天顏。」
4.穿通、攻破。《左傳．僖公二十五年》：「鄭子展、子產帥車七百乘，伐陳。宵突陳城，遂入之。」
[名]
煙囪。如：「煙突」、「曲突徙薪」。元．盧琦〈漁樵共話圖〉詩：「我渴魚可羹，爾歸突未煙。」
[副]
忽然、猝然。如：「突飛猛進」、「突如其來」。《後漢書．卷六六．陳蕃傳》：「蕃時年七十，聞難作，將官屬諸生八十餘，人並拔刃，突入承明門。」 |</v>
      </c>
    </row>
    <row r="4384" spans="1:44" hidden="1">
      <c r="A4384" s="1" t="s">
        <v>6751</v>
      </c>
      <c r="C4384" s="1">
        <v>1</v>
      </c>
      <c r="D4384" s="1" t="str">
        <f>"02767"</f>
        <v>02767</v>
      </c>
      <c r="E4384" s="1" t="s">
        <v>37</v>
      </c>
      <c r="F4384" s="1">
        <v>13</v>
      </c>
      <c r="G4384" s="1">
        <v>9</v>
      </c>
      <c r="H4384" s="1">
        <v>0</v>
      </c>
      <c r="I4384" s="1" t="s">
        <v>6743</v>
      </c>
      <c r="K4384" s="1" t="str">
        <f t="shared" ref="K4384:K4447" si="273">LEFT(I4384, 1)</f>
        <v>ㄊ</v>
      </c>
      <c r="L4384" s="1" t="str">
        <f t="shared" ref="L4384:L4447" si="274">MID(I4384, 2, 1)</f>
        <v>ㄨ</v>
      </c>
      <c r="N4384" s="3" t="s">
        <v>30575</v>
      </c>
      <c r="O4384" s="3"/>
      <c r="P4384" s="1" t="s">
        <v>20</v>
      </c>
      <c r="R4384" s="1" t="s">
        <v>6744</v>
      </c>
      <c r="V4384" s="1" t="s">
        <v>6752</v>
      </c>
      <c r="AR4384" s="1" t="str">
        <f t="shared" si="272"/>
        <v>| [ㄊㄨˊ](ㄊㄨˊ.md) | [葖](葖.md) |  | tú | [名]
植物名。十字花科萊菔屬。根部肥大，肉質。基生葉及下部莖生葉大頭羽狀中裂，長八至三十公分，莖上部葉片長橢圓形，鋸齒緣或全緣。總狀花序頂生及腋生，花白色或粉紫色。長角果圓柱形，先端喙狀。參見「蘿蔔」條。《爾雅．釋草》：「葖，蘆萉。」晉．郭璞．注：「萉宜為菔。蘆菔，蕪菁屬。紫華大根，俗呼雹葖。」宋．邢昺．疏：「紫花菘也，俗呼溫菘，似蕪菁大根。一名葖，俗呼雹葖；一名蘆菔，今謂之蘿蔔是也。」 |</v>
      </c>
    </row>
    <row r="4385" spans="1:44" hidden="1">
      <c r="A4385" s="1" t="s">
        <v>6753</v>
      </c>
      <c r="C4385" s="1">
        <v>1</v>
      </c>
      <c r="D4385" s="1" t="str">
        <f>"02768"</f>
        <v>02768</v>
      </c>
      <c r="E4385" s="1" t="s">
        <v>86</v>
      </c>
      <c r="F4385" s="1">
        <v>22</v>
      </c>
      <c r="G4385" s="1">
        <v>9</v>
      </c>
      <c r="H4385" s="1">
        <v>0</v>
      </c>
      <c r="I4385" s="1" t="s">
        <v>6743</v>
      </c>
      <c r="K4385" s="1" t="str">
        <f t="shared" si="273"/>
        <v>ㄊ</v>
      </c>
      <c r="L4385" s="1" t="str">
        <f t="shared" si="274"/>
        <v>ㄨ</v>
      </c>
      <c r="N4385" s="3" t="s">
        <v>30575</v>
      </c>
      <c r="O4385" s="3"/>
      <c r="P4385" s="1" t="s">
        <v>20</v>
      </c>
      <c r="R4385" s="1" t="s">
        <v>6744</v>
      </c>
      <c r="V4385" s="1" t="s">
        <v>6754</v>
      </c>
      <c r="AR4385" s="1" t="str">
        <f t="shared" si="272"/>
        <v>| [ㄊㄨˊ](ㄊㄨˊ.md) | [鼵](鼵.md) |  | tú | [名]
一種喜與鳥同穴的鼠。《爾雅．釋鳥》：「鳥鼠同穴，其鳥為鵌，其鼠為鼵。」晉．郭璞．注：「鼵如人家鼠而短尾，鵌似鵽而小，黃黑色。穴入地三、四尺，鼠在內，鳥在外。」 |</v>
      </c>
    </row>
    <row r="4386" spans="1:44" hidden="1">
      <c r="A4386" s="1" t="s">
        <v>6755</v>
      </c>
      <c r="C4386" s="1">
        <v>1</v>
      </c>
      <c r="D4386" s="1" t="str">
        <f>"02769"</f>
        <v>02769</v>
      </c>
      <c r="E4386" s="1" t="s">
        <v>129</v>
      </c>
      <c r="F4386" s="1">
        <v>10</v>
      </c>
      <c r="G4386" s="1">
        <v>7</v>
      </c>
      <c r="H4386" s="1">
        <v>0</v>
      </c>
      <c r="I4386" s="1" t="s">
        <v>6743</v>
      </c>
      <c r="K4386" s="1" t="str">
        <f t="shared" si="273"/>
        <v>ㄊ</v>
      </c>
      <c r="L4386" s="1" t="str">
        <f t="shared" si="274"/>
        <v>ㄨ</v>
      </c>
      <c r="N4386" s="3" t="s">
        <v>30575</v>
      </c>
      <c r="O4386" s="3"/>
      <c r="P4386" s="1" t="s">
        <v>20</v>
      </c>
      <c r="R4386" s="1" t="s">
        <v>6744</v>
      </c>
      <c r="V4386" s="1" t="s">
        <v>6756</v>
      </c>
      <c r="AR4386" s="1" t="str">
        <f t="shared" si="272"/>
        <v>| [ㄊㄨˊ](ㄊㄨˊ.md) | [涂](涂.md) |  | tú | [名]
1.道路。通「塗」、「途」。《戰國策．趙策三》：「魯人投其籥，不果納，不得入於魯，將之薛，假涂於鄒。」《漢書．卷二二．禮樂志》：「大朱涂廣，夷石為堂。」
2.姓。如宋代有涂天明、涂正勝。 |</v>
      </c>
    </row>
    <row r="4387" spans="1:44" hidden="1">
      <c r="A4387" s="1" t="s">
        <v>6757</v>
      </c>
      <c r="C4387" s="1">
        <v>1</v>
      </c>
      <c r="D4387" s="1" t="str">
        <f>"02770"</f>
        <v>02770</v>
      </c>
      <c r="E4387" s="1" t="s">
        <v>250</v>
      </c>
      <c r="F4387" s="1">
        <v>10</v>
      </c>
      <c r="G4387" s="1">
        <v>7</v>
      </c>
      <c r="H4387" s="1">
        <v>0</v>
      </c>
      <c r="I4387" s="1" t="s">
        <v>6743</v>
      </c>
      <c r="K4387" s="1" t="str">
        <f t="shared" si="273"/>
        <v>ㄊ</v>
      </c>
      <c r="L4387" s="1" t="str">
        <f t="shared" si="274"/>
        <v>ㄨ</v>
      </c>
      <c r="N4387" s="3" t="s">
        <v>30575</v>
      </c>
      <c r="O4387" s="3"/>
      <c r="P4387" s="1" t="s">
        <v>20</v>
      </c>
      <c r="R4387" s="1" t="s">
        <v>6744</v>
      </c>
      <c r="V4387" s="1" t="s">
        <v>6758</v>
      </c>
      <c r="AR4387" s="1" t="str">
        <f t="shared" si="272"/>
        <v>| [ㄊㄨˊ](ㄊㄨˊ.md) | [悇](悇.md) |  | tú | [動]
憂愁。《玉篇．心部》：「悇，憂也。」《集韻．平聲．模韻》：「悇，苦憂也。」 |</v>
      </c>
    </row>
    <row r="4388" spans="1:44" hidden="1">
      <c r="A4388" s="1" t="s">
        <v>6759</v>
      </c>
      <c r="C4388" s="1">
        <v>1</v>
      </c>
      <c r="D4388" s="1" t="str">
        <f>"02771"</f>
        <v>02771</v>
      </c>
      <c r="E4388" s="1" t="s">
        <v>37</v>
      </c>
      <c r="F4388" s="1">
        <v>11</v>
      </c>
      <c r="G4388" s="1">
        <v>7</v>
      </c>
      <c r="H4388" s="1">
        <v>1</v>
      </c>
      <c r="I4388" s="1" t="s">
        <v>6743</v>
      </c>
      <c r="K4388" s="1" t="str">
        <f t="shared" si="273"/>
        <v>ㄊ</v>
      </c>
      <c r="L4388" s="1" t="str">
        <f t="shared" si="274"/>
        <v>ㄨ</v>
      </c>
      <c r="N4388" s="3" t="s">
        <v>30575</v>
      </c>
      <c r="O4388" s="3"/>
      <c r="P4388" s="1" t="s">
        <v>20</v>
      </c>
      <c r="R4388" s="1" t="s">
        <v>6744</v>
      </c>
      <c r="V4388" s="1" t="s">
        <v>6760</v>
      </c>
      <c r="W4388" s="1" t="s">
        <v>6761</v>
      </c>
      <c r="AR4388" s="1" t="str">
        <f t="shared" si="272"/>
        <v>| [ㄊㄨˊ](ㄊㄨˊ.md) | [荼](荼.md) |  | tú | [名]
1.植物名。即苦菜。菊科苦菜苣屬，「苦菜」之古稱，參見「苦菜」條。
2.茅、蘆的白花。《詩經．鄭風．出其東門》：「出其闉闍，有女如荼。」漢．鄭玄．箋：「荼，茅秀，物之輕者，飛行無常。」 |</v>
      </c>
    </row>
    <row r="4389" spans="1:44" hidden="1">
      <c r="A4389" s="1" t="s">
        <v>6762</v>
      </c>
      <c r="C4389" s="1">
        <v>1</v>
      </c>
      <c r="D4389" s="1" t="str">
        <f>"02772"</f>
        <v>02772</v>
      </c>
      <c r="E4389" s="1" t="s">
        <v>558</v>
      </c>
      <c r="F4389" s="1">
        <v>11</v>
      </c>
      <c r="G4389" s="1">
        <v>7</v>
      </c>
      <c r="H4389" s="1">
        <v>0</v>
      </c>
      <c r="I4389" s="1" t="s">
        <v>6743</v>
      </c>
      <c r="K4389" s="1" t="str">
        <f t="shared" si="273"/>
        <v>ㄊ</v>
      </c>
      <c r="L4389" s="1" t="str">
        <f t="shared" si="274"/>
        <v>ㄨ</v>
      </c>
      <c r="N4389" s="3" t="s">
        <v>30575</v>
      </c>
      <c r="O4389" s="3"/>
      <c r="P4389" s="1" t="s">
        <v>20</v>
      </c>
      <c r="R4389" s="1" t="s">
        <v>6744</v>
      </c>
      <c r="V4389" s="1" t="s">
        <v>6763</v>
      </c>
      <c r="AR4389" s="1" t="str">
        <f t="shared" si="272"/>
        <v>| [ㄊㄨˊ](ㄊㄨˊ.md) | [途](途.md) |  | tú | [名]
1.道路。如：「旅途」、「半途而廢」。《文選．陶淵明．歸去來辭》：「寔迷途其未遠，覺今是而昨非。」
2.方面、範圍。如：「用途」。 |</v>
      </c>
    </row>
    <row r="4390" spans="1:44" hidden="1">
      <c r="A4390" s="1" t="s">
        <v>6764</v>
      </c>
      <c r="C4390" s="1">
        <v>1</v>
      </c>
      <c r="D4390" s="1" t="str">
        <f>"02773"</f>
        <v>02773</v>
      </c>
      <c r="E4390" s="1" t="s">
        <v>429</v>
      </c>
      <c r="F4390" s="1">
        <v>12</v>
      </c>
      <c r="G4390" s="1">
        <v>7</v>
      </c>
      <c r="H4390" s="1">
        <v>0</v>
      </c>
      <c r="I4390" s="1" t="s">
        <v>6743</v>
      </c>
      <c r="K4390" s="1" t="str">
        <f t="shared" si="273"/>
        <v>ㄊ</v>
      </c>
      <c r="L4390" s="1" t="str">
        <f t="shared" si="274"/>
        <v>ㄨ</v>
      </c>
      <c r="N4390" s="3" t="s">
        <v>30575</v>
      </c>
      <c r="O4390" s="3"/>
      <c r="P4390" s="1" t="s">
        <v>20</v>
      </c>
      <c r="R4390" s="1" t="s">
        <v>6744</v>
      </c>
      <c r="V4390" s="1" t="s">
        <v>6765</v>
      </c>
      <c r="AR4390" s="1" t="str">
        <f t="shared" si="272"/>
        <v>| [ㄊㄨˊ](ㄊㄨˊ.md) | [稌](稌.md) |  | tú | [名]
植物名。即糯。禾木科稻屬，為稻之栽培品種之一，一年生草本。莖高約一尺，中空有節。葉細長而尖，有平行脈，互生。秋月開花，穗狀花序。米富黏性，供食用、製糕及釀酒用。也稱為「糯稻」。參見「稻」條。 |</v>
      </c>
    </row>
    <row r="4391" spans="1:44" hidden="1">
      <c r="A4391" s="1" t="s">
        <v>6766</v>
      </c>
      <c r="C4391" s="1">
        <v>1</v>
      </c>
      <c r="D4391" s="1" t="str">
        <f>"02774"</f>
        <v>02774</v>
      </c>
      <c r="E4391" s="1" t="s">
        <v>132</v>
      </c>
      <c r="F4391" s="1">
        <v>13</v>
      </c>
      <c r="G4391" s="1">
        <v>10</v>
      </c>
      <c r="H4391" s="1">
        <v>0</v>
      </c>
      <c r="I4391" s="1" t="s">
        <v>6743</v>
      </c>
      <c r="K4391" s="1" t="str">
        <f t="shared" si="273"/>
        <v>ㄊ</v>
      </c>
      <c r="L4391" s="1" t="str">
        <f t="shared" si="274"/>
        <v>ㄨ</v>
      </c>
      <c r="N4391" s="3" t="s">
        <v>30575</v>
      </c>
      <c r="O4391" s="3"/>
      <c r="P4391" s="1" t="s">
        <v>20</v>
      </c>
      <c r="R4391" s="1" t="s">
        <v>6744</v>
      </c>
      <c r="V4391" s="1" t="s">
        <v>6767</v>
      </c>
      <c r="AR4391" s="1" t="str">
        <f t="shared" si="272"/>
        <v>| [ㄊㄨˊ](ㄊㄨˊ.md) | [塗](塗.md) |  | tú | [名]
1.泥。清．王念孫《廣雅疏證．卷三下．釋詁》：「塗，泥也。」如：「泥塗」。《莊子．秋水》：「此龜者，寧其死為留骨而貴乎？寧其生而曳尾於塗中乎？」
2.道路。通「途」。《論語．陽貨》：「孔子時其亡也，而往拜之，遇諸塗。」《孟子．梁惠王上》：「塗有餓莩而不知發。」
3.姓。如漢代有塗禪。
[動]
1.粉刷、敷抹。如：「塗飾」。《史記．卷八六．刺客列傳．豫讓》：「乃變名姓為刑人，入宮塗廁，中挾匕首，欲以刺襄子。」宋．陸游〈阿姥〉詩：「猶有塵埃嫁時鏡，東塗西抹不成妝。」
2.擦去、抹去。如：「塗改」、「這幾個字一塗掉，整篇文章便顯得乾淨俐落。」
3.隨意畫、寫。如：「塗鴉」。
4.沾汙、汙染。《莊子．讓王》：「其並乎周以塗吾身也，不如避之以絜吾行。」 |</v>
      </c>
    </row>
    <row r="4392" spans="1:44" hidden="1">
      <c r="A4392" s="1" t="s">
        <v>6768</v>
      </c>
      <c r="C4392" s="1">
        <v>1</v>
      </c>
      <c r="D4392" s="1" t="str">
        <f>"02775"</f>
        <v>02775</v>
      </c>
      <c r="E4392" s="1" t="s">
        <v>190</v>
      </c>
      <c r="F4392" s="1">
        <v>13</v>
      </c>
      <c r="G4392" s="1">
        <v>10</v>
      </c>
      <c r="H4392" s="1">
        <v>0</v>
      </c>
      <c r="I4392" s="1" t="s">
        <v>6743</v>
      </c>
      <c r="K4392" s="1" t="str">
        <f t="shared" si="273"/>
        <v>ㄊ</v>
      </c>
      <c r="L4392" s="1" t="str">
        <f t="shared" si="274"/>
        <v>ㄨ</v>
      </c>
      <c r="N4392" s="3" t="s">
        <v>30575</v>
      </c>
      <c r="O4392" s="3"/>
      <c r="P4392" s="1" t="s">
        <v>20</v>
      </c>
      <c r="R4392" s="1" t="s">
        <v>6744</v>
      </c>
      <c r="V4392" s="1" t="s">
        <v>6769</v>
      </c>
      <c r="AR4392" s="1" t="str">
        <f t="shared" si="272"/>
        <v>| [ㄊㄨˊ](ㄊㄨˊ.md) | [嵞](嵞.md) |  | tú | [名]
嵞山：(1)今會稽山。位在大陸地區浙江省中部一帶，相傳夏禹大會諸侯於此，故改名為「會稽山」。《說文解字．屾部》：「嵞，會稽山也。」清．段玉裁．注：「蓋大禹以前名嵞山，大禹以後則名會稽山，故許以今名釋古名也。」(2)國名。古塗山國，故址約在今大陸地區安徽省懷遠縣東南，相傳大禹娶嵞山國女，會諸侯於此。《說文解字．屾部》：「嵞，一曰：『九江當涂也。民俗以辛、壬、癸、甲之日嫁娶。』」 |</v>
      </c>
    </row>
    <row r="4393" spans="1:44" hidden="1">
      <c r="A4393" s="1" t="s">
        <v>6770</v>
      </c>
      <c r="C4393" s="1">
        <v>1</v>
      </c>
      <c r="D4393" s="1" t="str">
        <f>"02776"</f>
        <v>02776</v>
      </c>
      <c r="E4393" s="1" t="s">
        <v>1462</v>
      </c>
      <c r="F4393" s="1">
        <v>14</v>
      </c>
      <c r="G4393" s="1">
        <v>7</v>
      </c>
      <c r="H4393" s="1">
        <v>0</v>
      </c>
      <c r="I4393" s="1" t="s">
        <v>6743</v>
      </c>
      <c r="K4393" s="1" t="str">
        <f t="shared" si="273"/>
        <v>ㄊ</v>
      </c>
      <c r="L4393" s="1" t="str">
        <f t="shared" si="274"/>
        <v>ㄨ</v>
      </c>
      <c r="N4393" s="3" t="s">
        <v>30575</v>
      </c>
      <c r="O4393" s="3"/>
      <c r="P4393" s="1" t="s">
        <v>20</v>
      </c>
      <c r="R4393" s="1" t="s">
        <v>6744</v>
      </c>
      <c r="V4393" s="1" t="s">
        <v>6771</v>
      </c>
      <c r="AR4393" s="1" t="str">
        <f t="shared" si="272"/>
        <v>| [ㄊㄨˊ](ㄊㄨˊ.md) | [酴](酴.md) |  | tú | [名]
1.酒麴。《說文解字．酉部》：「酴，酒母也。」清．段玉裁．注：「今之酵也。」今稱為「酵母」。
2.參見「酴醾」條。 |</v>
      </c>
    </row>
    <row r="4394" spans="1:44" hidden="1">
      <c r="A4394" s="1" t="s">
        <v>6772</v>
      </c>
      <c r="C4394" s="1">
        <v>1</v>
      </c>
      <c r="D4394" s="1" t="str">
        <f>"02777"</f>
        <v>02777</v>
      </c>
      <c r="E4394" s="1" t="s">
        <v>319</v>
      </c>
      <c r="F4394" s="1">
        <v>17</v>
      </c>
      <c r="G4394" s="1">
        <v>7</v>
      </c>
      <c r="H4394" s="1">
        <v>0</v>
      </c>
      <c r="I4394" s="1" t="s">
        <v>6743</v>
      </c>
      <c r="K4394" s="1" t="str">
        <f t="shared" si="273"/>
        <v>ㄊ</v>
      </c>
      <c r="L4394" s="1" t="str">
        <f t="shared" si="274"/>
        <v>ㄨ</v>
      </c>
      <c r="N4394" s="3" t="s">
        <v>30575</v>
      </c>
      <c r="O4394" s="3"/>
      <c r="P4394" s="1" t="s">
        <v>20</v>
      </c>
      <c r="R4394" s="1" t="s">
        <v>6744</v>
      </c>
      <c r="V4394" s="1" t="s">
        <v>6773</v>
      </c>
      <c r="AR4394" s="1" t="str">
        <f t="shared" si="272"/>
        <v>| [ㄊㄨˊ](ㄊㄨˊ.md) | [駼](駼.md) |  | tú | 參見「騊駼」、「騉駼」等條。 |</v>
      </c>
    </row>
    <row r="4395" spans="1:44" hidden="1">
      <c r="A4395" s="1" t="s">
        <v>6774</v>
      </c>
      <c r="C4395" s="1">
        <v>1</v>
      </c>
      <c r="D4395" s="1" t="str">
        <f>"02778"</f>
        <v>02778</v>
      </c>
      <c r="E4395" s="1" t="s">
        <v>272</v>
      </c>
      <c r="F4395" s="1">
        <v>18</v>
      </c>
      <c r="G4395" s="1">
        <v>7</v>
      </c>
      <c r="H4395" s="1">
        <v>0</v>
      </c>
      <c r="I4395" s="1" t="s">
        <v>6743</v>
      </c>
      <c r="K4395" s="1" t="str">
        <f t="shared" si="273"/>
        <v>ㄊ</v>
      </c>
      <c r="L4395" s="1" t="str">
        <f t="shared" si="274"/>
        <v>ㄨ</v>
      </c>
      <c r="N4395" s="3" t="s">
        <v>30575</v>
      </c>
      <c r="O4395" s="3"/>
      <c r="P4395" s="1" t="s">
        <v>20</v>
      </c>
      <c r="R4395" s="1" t="s">
        <v>6744</v>
      </c>
      <c r="V4395" s="1" t="s">
        <v>6775</v>
      </c>
      <c r="AR4395" s="1" t="str">
        <f t="shared" si="272"/>
        <v>| [ㄊㄨˊ](ㄊㄨˊ.md) | [鵌](鵌.md) |  | tú | [名]
一種喜與鼠同穴而居的鳥。《爾雅．釋鳥》：「鳥鼠同穴，其鳥為鵌，其鼠為鼵。」晉．郭璞．注：「鼵如人家鼠而短尾，鵌似鵽而小。黃黑色，穴入地三四尺，鼠在內，鳥在外。」 |</v>
      </c>
    </row>
    <row r="4396" spans="1:44" hidden="1">
      <c r="A4396" s="1" t="s">
        <v>6776</v>
      </c>
      <c r="C4396" s="1">
        <v>1</v>
      </c>
      <c r="D4396" s="1" t="str">
        <f>"02779"</f>
        <v>02779</v>
      </c>
      <c r="E4396" s="1" t="s">
        <v>234</v>
      </c>
      <c r="F4396" s="1">
        <v>10</v>
      </c>
      <c r="G4396" s="1">
        <v>7</v>
      </c>
      <c r="H4396" s="1">
        <v>0</v>
      </c>
      <c r="I4396" s="1" t="s">
        <v>6743</v>
      </c>
      <c r="K4396" s="1" t="str">
        <f t="shared" si="273"/>
        <v>ㄊ</v>
      </c>
      <c r="L4396" s="1" t="str">
        <f t="shared" si="274"/>
        <v>ㄨ</v>
      </c>
      <c r="N4396" s="3" t="s">
        <v>30575</v>
      </c>
      <c r="O4396" s="3"/>
      <c r="P4396" s="1" t="s">
        <v>20</v>
      </c>
      <c r="R4396" s="1" t="s">
        <v>6744</v>
      </c>
      <c r="V4396" s="1" t="s">
        <v>6777</v>
      </c>
      <c r="AR4396" s="1" t="str">
        <f t="shared" si="272"/>
        <v>| [ㄊㄨˊ](ㄊㄨˊ.md) | [徒](徒.md) |  | tú | [動]
步行。《說文解字．辵部》：「徒，步行也。」《易經．賁卦．初九》：「賁其趾，舍車而徒。」
[名]
1.步卒、兵卒。《詩經．魯頌．閟宮》：「公徒三萬。」《左傳．隱公四年》：「諸侯之師，敗鄭徒兵，取其禾而還。」
2.人，多指壞人。如：「暴徒」、「匪徒」、「不法之徒」。
3.服膺、信仰某一宗教或學說的人。如：「信徒」、「教徒」、「基督徒」、「佛教徒」。
4.門人、弟子。如：「學徒」、「門徒」、「徒弟」。《論語．先進》：「非吾徒也。小子鳴鼓而攻之，可也。」
5.一種拘禁犯人，強服勞役的刑罰。如：「無期徒刑」、「他被判有期徒刑二年，得併科罰金。」
[形]
空的，不憑藉什麼的。如：「徒手搏虎」、「徒手體操」。
[副]
1.但、僅。如：「徒增煩惱」。《孟子．公孫丑上》：「非徒無益，而又害之。」漢．曹操〈讓縣自明本志令〉：「孤非徒對諸君說此也，常以語妻妾，皆令深知此意。」
2.白白的、平白。如：「徒然」、「徒勞無功」、「徒託空言」。漢．無名氏〈長歌行〉：「少小不努力，老大徒傷悲。」
3.卻、竟然。《莊子．天地》：「吾聞之夫子，事求可，功求成，用力少，見功多者，聖人之道。今徒不然。」《荀子．子道》：「吾以夫子為無所不知，夫子徒有所不知。」 |</v>
      </c>
    </row>
    <row r="4397" spans="1:44" hidden="1">
      <c r="A4397" s="1" t="s">
        <v>6778</v>
      </c>
      <c r="C4397" s="1">
        <v>1</v>
      </c>
      <c r="D4397" s="1" t="str">
        <f>"02780"</f>
        <v>02780</v>
      </c>
      <c r="E4397" s="1" t="s">
        <v>77</v>
      </c>
      <c r="F4397" s="1">
        <v>14</v>
      </c>
      <c r="G4397" s="1">
        <v>7</v>
      </c>
      <c r="H4397" s="1">
        <v>0</v>
      </c>
      <c r="I4397" s="1" t="s">
        <v>6743</v>
      </c>
      <c r="K4397" s="1" t="str">
        <f t="shared" si="273"/>
        <v>ㄊ</v>
      </c>
      <c r="L4397" s="1" t="str">
        <f t="shared" si="274"/>
        <v>ㄨ</v>
      </c>
      <c r="N4397" s="3" t="s">
        <v>30575</v>
      </c>
      <c r="O4397" s="3"/>
      <c r="P4397" s="1" t="s">
        <v>20</v>
      </c>
      <c r="R4397" s="1" t="s">
        <v>6744</v>
      </c>
      <c r="V4397" s="1" t="s">
        <v>6779</v>
      </c>
      <c r="AR4397" s="1" t="str">
        <f t="shared" si="272"/>
        <v>| [ㄊㄨˊ](ㄊㄨˊ.md) | [跿](跿.md) |  | tú | [動]
跿䞤：光著腳。《戰國策．韓策一》：「虎摯之士，跿䞤科頭，貫頤奮戟者，至不可勝計也。」 |</v>
      </c>
    </row>
    <row r="4398" spans="1:44" hidden="1">
      <c r="A4398" s="1" t="s">
        <v>6780</v>
      </c>
      <c r="C4398" s="1">
        <v>1</v>
      </c>
      <c r="D4398" s="1" t="str">
        <f>"02781"</f>
        <v>02781</v>
      </c>
      <c r="E4398" s="1" t="s">
        <v>871</v>
      </c>
      <c r="F4398" s="1">
        <v>11</v>
      </c>
      <c r="G4398" s="1">
        <v>8</v>
      </c>
      <c r="H4398" s="1">
        <v>1</v>
      </c>
      <c r="I4398" s="1" t="s">
        <v>6743</v>
      </c>
      <c r="K4398" s="1" t="str">
        <f t="shared" si="273"/>
        <v>ㄊ</v>
      </c>
      <c r="L4398" s="1" t="str">
        <f t="shared" si="274"/>
        <v>ㄨ</v>
      </c>
      <c r="N4398" s="3" t="s">
        <v>30575</v>
      </c>
      <c r="O4398" s="3"/>
      <c r="P4398" s="1" t="s">
        <v>20</v>
      </c>
      <c r="R4398" s="1" t="s">
        <v>6744</v>
      </c>
      <c r="V4398" s="1" t="s">
        <v>6781</v>
      </c>
      <c r="W4398" s="1" t="s">
        <v>6782</v>
      </c>
      <c r="AR4398" s="1" t="str">
        <f t="shared" si="272"/>
        <v>| [ㄊㄨˊ](ㄊㄨˊ.md) | [屠](屠.md) |  | tú | [動]_x000D_
1.宰殺牲畜。如：「屠宰」。《史記．卷九五．樊酈滕灌列傳．樊噲》：「舞陽侯樊噲者，沛人也。以屠狗為事，與高祖俱隱。」_x000D_
2.殘殺、殺戮。如：「屠城」。《史記．卷七．項羽本紀》：「項羽引兵，西屠咸陽。」南朝梁．劉孝標〈辯命論〉：「楚師屠漢卒，雎河鯁其流。」_x000D_
[名]_x000D_
1.以宰殺牲畜為職業的人。《史記．卷八六．刺客列傳．荊軻》：「荊軻既至燕，愛燕之狗屠及善擊筑者高漸離。」_x000D_
2.姓。如晉代有屠蒯。 |</v>
      </c>
    </row>
    <row r="4399" spans="1:44" hidden="1">
      <c r="A4399" s="1" t="s">
        <v>6783</v>
      </c>
      <c r="C4399" s="1">
        <v>1</v>
      </c>
      <c r="D4399" s="1" t="str">
        <f>"02782"</f>
        <v>02782</v>
      </c>
      <c r="E4399" s="1" t="s">
        <v>40</v>
      </c>
      <c r="F4399" s="1">
        <v>13</v>
      </c>
      <c r="G4399" s="1">
        <v>8</v>
      </c>
      <c r="H4399" s="1">
        <v>0</v>
      </c>
      <c r="I4399" s="1" t="s">
        <v>6743</v>
      </c>
      <c r="K4399" s="1" t="str">
        <f t="shared" si="273"/>
        <v>ㄊ</v>
      </c>
      <c r="L4399" s="1" t="str">
        <f t="shared" si="274"/>
        <v>ㄨ</v>
      </c>
      <c r="N4399" s="3" t="s">
        <v>30575</v>
      </c>
      <c r="O4399" s="3"/>
      <c r="P4399" s="1" t="s">
        <v>20</v>
      </c>
      <c r="R4399" s="1" t="s">
        <v>6744</v>
      </c>
      <c r="V4399" s="1" t="s">
        <v>6784</v>
      </c>
      <c r="AR4399" s="1" t="str">
        <f t="shared" si="272"/>
        <v>| [ㄊㄨˊ](ㄊㄨˊ.md) | [瘏](瘏.md) |  | tú | [動]
生病。《詩經．周南．卷耳》：「陟彼砠矣，我馬瘏矣，我僕痡矣，云何吁矣。」漢．毛亨．傳：「瘏，病也。」 |</v>
      </c>
    </row>
    <row r="4400" spans="1:44" hidden="1">
      <c r="A4400" s="1" t="s">
        <v>6785</v>
      </c>
      <c r="C4400" s="1">
        <v>1</v>
      </c>
      <c r="D4400" s="1" t="str">
        <f>"02783"</f>
        <v>02783</v>
      </c>
      <c r="E4400" s="1" t="s">
        <v>37</v>
      </c>
      <c r="F4400" s="1">
        <v>12</v>
      </c>
      <c r="G4400" s="1">
        <v>8</v>
      </c>
      <c r="H4400" s="1">
        <v>2</v>
      </c>
      <c r="I4400" s="1" t="s">
        <v>6743</v>
      </c>
      <c r="K4400" s="1" t="str">
        <f t="shared" si="273"/>
        <v>ㄊ</v>
      </c>
      <c r="L4400" s="1" t="str">
        <f t="shared" si="274"/>
        <v>ㄨ</v>
      </c>
      <c r="N4400" s="3" t="s">
        <v>30575</v>
      </c>
      <c r="O4400" s="3"/>
      <c r="P4400" s="1" t="s">
        <v>20</v>
      </c>
      <c r="R4400" s="1" t="s">
        <v>6744</v>
      </c>
      <c r="V4400" s="1" t="s">
        <v>6786</v>
      </c>
      <c r="W4400" s="1" t="s">
        <v>6787</v>
      </c>
      <c r="AR4400" s="1" t="str">
        <f t="shared" si="272"/>
        <v>| [ㄊㄨˊ](ㄊㄨˊ.md) | [菟](菟.md) |  | tú | 參見「於菟」條。 |</v>
      </c>
    </row>
    <row r="4401" spans="1:44" hidden="1">
      <c r="A4401" s="1" t="s">
        <v>6788</v>
      </c>
      <c r="C4401" s="1">
        <v>1</v>
      </c>
      <c r="D4401" s="1" t="str">
        <f>"02784"</f>
        <v>02784</v>
      </c>
      <c r="E4401" s="1" t="s">
        <v>68</v>
      </c>
      <c r="F4401" s="1">
        <v>13</v>
      </c>
      <c r="G4401" s="1">
        <v>9</v>
      </c>
      <c r="H4401" s="1">
        <v>0</v>
      </c>
      <c r="I4401" s="1" t="s">
        <v>6743</v>
      </c>
      <c r="K4401" s="1" t="str">
        <f t="shared" si="273"/>
        <v>ㄊ</v>
      </c>
      <c r="L4401" s="1" t="str">
        <f t="shared" si="274"/>
        <v>ㄨ</v>
      </c>
      <c r="N4401" s="3" t="s">
        <v>30575</v>
      </c>
      <c r="O4401" s="3"/>
      <c r="P4401" s="1" t="s">
        <v>20</v>
      </c>
      <c r="R4401" s="1" t="s">
        <v>6744</v>
      </c>
      <c r="V4401" s="1" t="s">
        <v>6789</v>
      </c>
      <c r="AR4401" s="1" t="str">
        <f t="shared" si="272"/>
        <v>| [ㄊㄨˊ](ㄊㄨˊ.md) | [腯](腯.md) |  | tú | [形]
肥碩。本專指豬隻肥美，後泛指牲畜肥實壯碩。段注本《說文解字．肉部》：「腯，牛羊曰肥，豕曰腯。」《左傳．桓公六年》：「吾牲牷肥腯，粢盛豐備。」晉．杜預．注：「腯，亦肥也。」晉．左思〈吳都賦〉：「露往霜來，日月其除，草木節解，鳥獸腯膚。」 |</v>
      </c>
    </row>
    <row r="4402" spans="1:44" hidden="1">
      <c r="A4402" s="1" t="s">
        <v>6790</v>
      </c>
      <c r="C4402" s="1">
        <v>1</v>
      </c>
      <c r="D4402" s="1" t="str">
        <f>"02785"</f>
        <v>02785</v>
      </c>
      <c r="E4402" s="1" t="s">
        <v>2557</v>
      </c>
      <c r="F4402" s="1">
        <v>14</v>
      </c>
      <c r="G4402" s="1">
        <v>11</v>
      </c>
      <c r="H4402" s="1">
        <v>0</v>
      </c>
      <c r="I4402" s="1" t="s">
        <v>6743</v>
      </c>
      <c r="K4402" s="1" t="str">
        <f t="shared" si="273"/>
        <v>ㄊ</v>
      </c>
      <c r="L4402" s="1" t="str">
        <f t="shared" si="274"/>
        <v>ㄨ</v>
      </c>
      <c r="N4402" s="3" t="s">
        <v>30575</v>
      </c>
      <c r="O4402" s="3"/>
      <c r="P4402" s="1" t="s">
        <v>20</v>
      </c>
      <c r="R4402" s="1" t="s">
        <v>6744</v>
      </c>
      <c r="V4402" s="1" t="s">
        <v>6791</v>
      </c>
      <c r="AR4402" s="1" t="str">
        <f t="shared" si="272"/>
        <v>| [ㄊㄨˊ](ㄊㄨˊ.md) | [圖](圖.md) |  | tú | [名]_x000D_
1.由各種線條、形狀、色彩等描繪成的形象或畫面。如：「地圖」、「設計圖」、「插圖」、「草圖」。_x000D_
2.疆域。如：「版圖」。唐．杜甫〈秦州雜詩〉二〇首之三：「州圖領同谷，驛道出流沙。」_x000D_
3.欲念。晉．陸機〈五等論〉：「故彊晉收其請隧之圖，暴楚頓觀鼎之志。」唐．杜甫〈過南嶽入洞庭湖〉詩：「帝子留遺恨，曹公屈壯圖。」_x000D_
[動]_x000D_
1.繪畫、描繪。《南史．卷八．梁本紀．元帝》：「自圖宣尼像，為之贊而書之。」《西遊記》第三二回：「我記得他的模樣，曾將他師徒畫了一個影，圖了一個形，你可拿去。」_x000D_
2.策劃、考慮。如：「圖謀」。《史記．卷八六．刺客列傳．曹沬》：「今魯城壞，即壓齊境，君其圖之！」宋．曾鞏〈宜黃縣學記〉：「天子圖當世之務，而以學為先，於是天下之學乃得立。」_x000D_
3.謀取、謀求。如：「貪圖」、「唯利是圖」。《戰國策．秦策四》：「韓、魏從，而天下可圖也。」《紅樓夢》第七〇回：「放風箏圖的是這一樂，所以又說放晦氣。」 |</v>
      </c>
    </row>
    <row r="4403" spans="1:44" hidden="1">
      <c r="A4403" s="1" t="s">
        <v>6792</v>
      </c>
      <c r="C4403" s="1">
        <v>1</v>
      </c>
      <c r="D4403" s="1" t="str">
        <f>"02786"</f>
        <v>02786</v>
      </c>
      <c r="E4403" s="1" t="s">
        <v>132</v>
      </c>
      <c r="F4403" s="1">
        <v>3</v>
      </c>
      <c r="G4403" s="1">
        <v>0</v>
      </c>
      <c r="H4403" s="1">
        <v>0</v>
      </c>
      <c r="I4403" s="1" t="s">
        <v>6793</v>
      </c>
      <c r="K4403" s="1" t="str">
        <f t="shared" si="273"/>
        <v>ㄊ</v>
      </c>
      <c r="L4403" s="1" t="str">
        <f t="shared" si="274"/>
        <v>ㄨ</v>
      </c>
      <c r="N4403" s="3" t="s">
        <v>30576</v>
      </c>
      <c r="O4403" s="3"/>
      <c r="P4403" s="1" t="s">
        <v>20</v>
      </c>
      <c r="R4403" s="1" t="s">
        <v>6794</v>
      </c>
      <c r="V4403" s="1" t="s">
        <v>6795</v>
      </c>
      <c r="AR4403" s="1" t="str">
        <f t="shared" si="272"/>
        <v>| [ㄊㄨˇ](ㄊㄨˇ.md) | [土](土.md) |  | tǔ | [名]
1.地面砂泥等的混合物。如：「泥土」、「黏土」、「黑土」、「積土成山」。《書經．禹貢》：「厥貢惟土五色。」
2.地域、疆域。如：「國土」、「領土」、「疆土」。《詩經．小雅．北山》：「溥天之下，莫非王土。」《左傳．隱公十年》：「以王命討不庭，不貪其土。」
3.鄉里。如：「故土」。《後漢書．卷四七．班超傳》：「超自以久在絕域，年老思土。」唐．劉威〈旅懷〉詩：「老將何面還吾土，夢有驚魂在楚鄉。」
4.五行之一。參見「五行」條。
5.二一四部首之一。
[形]
1.本地的、地方性的、區域的。如：「土產」、「土貨」、「土話」。
2.古老傳統的。如：「土方法」、「土法煉鋼」。
3.不合潮流的。如：「土裡土氣」、「他的穿著很土。」 |</v>
      </c>
    </row>
    <row r="4404" spans="1:44" hidden="1">
      <c r="A4404" s="1" t="s">
        <v>6796</v>
      </c>
      <c r="C4404" s="1">
        <v>1</v>
      </c>
      <c r="D4404" s="1" t="str">
        <f>"02787"</f>
        <v>02787</v>
      </c>
      <c r="E4404" s="1" t="s">
        <v>28</v>
      </c>
      <c r="F4404" s="1">
        <v>6</v>
      </c>
      <c r="G4404" s="1">
        <v>3</v>
      </c>
      <c r="H4404" s="1">
        <v>1</v>
      </c>
      <c r="I4404" s="1" t="s">
        <v>6793</v>
      </c>
      <c r="K4404" s="1" t="str">
        <f t="shared" si="273"/>
        <v>ㄊ</v>
      </c>
      <c r="L4404" s="1" t="str">
        <f t="shared" si="274"/>
        <v>ㄨ</v>
      </c>
      <c r="N4404" s="3" t="s">
        <v>30576</v>
      </c>
      <c r="O4404" s="3"/>
      <c r="P4404" s="1" t="s">
        <v>20</v>
      </c>
      <c r="R4404" s="1" t="s">
        <v>6794</v>
      </c>
      <c r="V4404" s="1" t="s">
        <v>6797</v>
      </c>
      <c r="W4404" s="1" t="s">
        <v>6798</v>
      </c>
      <c r="AR4404" s="1" t="str">
        <f t="shared" si="272"/>
        <v>| [ㄊㄨˇ](ㄊㄨˇ.md) | [吐](吐.md) |  | tǔ | [動]
1.使東西從口中出來。如：「吐痰」、「吐哺」。《水滸傳》第六回：「見洒家是個和尚，他道不利市，吐一口唾走入去了。」
2.發出、說出。如：「吐露」、「堅不吐實」、「一吐為快」。唐．白居易〈慈烏夜啼〉詩：「慈烏失其母，啞啞吐哀音。」
3.釋放、放出。如：「窗外的夜來香吐放出濃郁的芳香。」
4.摒棄、拋棄。《左傳．僖公五年》：「若晉取虞，而明德以薦馨香，神其吐之乎？」
[名]
文詞、言詞。如：「吐屬典雅」。《南史．卷五二．梁宗室傳下．始興忠武王憺傳》：「暎弟曄字通明，美姿容，善談吐。」 |</v>
      </c>
    </row>
    <row r="4405" spans="1:44" hidden="1">
      <c r="A4405" s="1" t="s">
        <v>6799</v>
      </c>
      <c r="C4405" s="1">
        <v>1</v>
      </c>
      <c r="D4405" s="1" t="str">
        <f>"02788"</f>
        <v>02788</v>
      </c>
      <c r="E4405" s="1" t="s">
        <v>37</v>
      </c>
      <c r="F4405" s="1">
        <v>7</v>
      </c>
      <c r="G4405" s="1">
        <v>3</v>
      </c>
      <c r="H4405" s="1">
        <v>0</v>
      </c>
      <c r="I4405" s="1" t="s">
        <v>6793</v>
      </c>
      <c r="K4405" s="1" t="str">
        <f t="shared" si="273"/>
        <v>ㄊ</v>
      </c>
      <c r="L4405" s="1" t="str">
        <f t="shared" si="274"/>
        <v>ㄨ</v>
      </c>
      <c r="N4405" s="3" t="s">
        <v>30576</v>
      </c>
      <c r="O4405" s="3"/>
      <c r="P4405" s="1" t="s">
        <v>20</v>
      </c>
      <c r="R4405" s="1" t="s">
        <v>6794</v>
      </c>
      <c r="V4405" s="1" t="s">
        <v>6800</v>
      </c>
      <c r="AR4405" s="1" t="str">
        <f t="shared" si="272"/>
        <v>| [ㄊㄨˇ](ㄊㄨˇ.md) | [芏](芏.md) |  | tǔ | [名]
植物名。即江芏。莎草科，多年生草本。分布於亞、非、大洋洲的熱帶地區，及大陸地區南部沿海各省。葉片短少，葉鞘長。生於海邊或沼澤低窪地，是改良鹽鹼地的優良品種。其莖的纖維可製紙、織蓆。也稱為「芏草」、「鹹水草」。 |</v>
      </c>
    </row>
    <row r="4406" spans="1:44" hidden="1">
      <c r="A4406" s="1" t="s">
        <v>6801</v>
      </c>
      <c r="C4406" s="1">
        <v>1</v>
      </c>
      <c r="D4406" s="1" t="str">
        <f>"02789"</f>
        <v>02789</v>
      </c>
      <c r="E4406" s="1" t="s">
        <v>55</v>
      </c>
      <c r="F4406" s="1">
        <v>11</v>
      </c>
      <c r="G4406" s="1">
        <v>3</v>
      </c>
      <c r="H4406" s="1">
        <v>0</v>
      </c>
      <c r="I4406" s="1" t="s">
        <v>6793</v>
      </c>
      <c r="K4406" s="1" t="str">
        <f t="shared" si="273"/>
        <v>ㄊ</v>
      </c>
      <c r="L4406" s="1" t="str">
        <f t="shared" si="274"/>
        <v>ㄨ</v>
      </c>
      <c r="N4406" s="3" t="s">
        <v>30576</v>
      </c>
      <c r="O4406" s="3"/>
      <c r="P4406" s="1" t="s">
        <v>20</v>
      </c>
      <c r="R4406" s="1" t="s">
        <v>6794</v>
      </c>
      <c r="V4406" s="1" t="s">
        <v>6802</v>
      </c>
      <c r="AR4406" s="1" t="str">
        <f t="shared" si="272"/>
        <v>| [ㄊㄨˇ](ㄊㄨˇ.md) | [釷](釷.md) |  | tǔ | [名]
（thorium，Th）化學元素。原子序90。屬於錒系的金屬元素，存在於釷石礦中。還原氟化釷、二氧化釷，電解氯化釷，亦可得金屬釷。具延展性、放射性，不溶於水和鹼，但溶於酸。空氣中由銀白色變成暗灰色或黑色，為核能原料。在高溫的空氣中會發光，可用於製造太陽燈。 |</v>
      </c>
    </row>
    <row r="4407" spans="1:44" hidden="1">
      <c r="A4407" s="1" t="s">
        <v>7111</v>
      </c>
      <c r="C4407" s="1">
        <v>1</v>
      </c>
      <c r="D4407" s="1" t="str">
        <f>"02916"</f>
        <v>02916</v>
      </c>
      <c r="E4407" s="1" t="s">
        <v>256</v>
      </c>
      <c r="F4407" s="1">
        <v>7</v>
      </c>
      <c r="G4407" s="1">
        <v>4</v>
      </c>
      <c r="H4407" s="1">
        <v>5</v>
      </c>
      <c r="I4407" s="1" t="s">
        <v>7112</v>
      </c>
      <c r="K4407" s="1" t="str">
        <f t="shared" si="273"/>
        <v>ㄋ</v>
      </c>
      <c r="L4407" s="1" t="str">
        <f t="shared" si="274"/>
        <v>ㄚ</v>
      </c>
      <c r="M4407" s="1" t="str">
        <f t="shared" ref="M4407:M4438" si="275">MID(I4407, 3, 1)</f>
        <v/>
      </c>
      <c r="P4407" s="1" t="s">
        <v>20</v>
      </c>
      <c r="R4407" s="1" t="s">
        <v>7113</v>
      </c>
      <c r="V4407" s="1" t="s">
        <v>7114</v>
      </c>
      <c r="W4407" s="1" t="s">
        <v>7115</v>
      </c>
      <c r="AR4407" s="1" t="str">
        <f t="shared" si="272"/>
        <v>| [ㄋㄚ](ㄋㄚ.md) | [那](那.md) |  | nā | [名]
姓。如明代有那鑒。 |</v>
      </c>
    </row>
    <row r="4408" spans="1:44" hidden="1">
      <c r="A4408" s="1" t="s">
        <v>7216</v>
      </c>
      <c r="C4408" s="1">
        <v>1</v>
      </c>
      <c r="D4408" s="1" t="str">
        <f>"02954"</f>
        <v>02954</v>
      </c>
      <c r="E4408" s="1" t="s">
        <v>241</v>
      </c>
      <c r="F4408" s="1">
        <v>10</v>
      </c>
      <c r="G4408" s="1">
        <v>7</v>
      </c>
      <c r="H4408" s="1">
        <v>0</v>
      </c>
      <c r="I4408" s="1" t="s">
        <v>7217</v>
      </c>
      <c r="K4408" s="1" t="str">
        <f t="shared" si="273"/>
        <v>ㄋ</v>
      </c>
      <c r="L4408" s="1" t="str">
        <f t="shared" si="274"/>
        <v>ㄠ</v>
      </c>
      <c r="M4408" s="1" t="str">
        <f t="shared" si="275"/>
        <v/>
      </c>
      <c r="P4408" s="1" t="s">
        <v>20</v>
      </c>
      <c r="R4408" s="1" t="s">
        <v>7218</v>
      </c>
      <c r="V4408" s="1" t="s">
        <v>7219</v>
      </c>
      <c r="AR4408" s="1" t="str">
        <f t="shared" si="272"/>
        <v>| [ㄋㄠ](ㄋㄠ.md) | [孬](孬.md) |  | nāo | [形]
1.不好、壞。《字彙．子部》：「孬，不好也。」如：「孬運」。
2.懦弱、無膽識。如：「孬種」。 |</v>
      </c>
    </row>
    <row r="4409" spans="1:44" hidden="1">
      <c r="A4409" s="1" t="s">
        <v>7272</v>
      </c>
      <c r="C4409" s="1">
        <v>1</v>
      </c>
      <c r="D4409" s="1" t="str">
        <f>"02976"</f>
        <v>02976</v>
      </c>
      <c r="E4409" s="1" t="s">
        <v>2557</v>
      </c>
      <c r="F4409" s="1">
        <v>6</v>
      </c>
      <c r="G4409" s="1">
        <v>3</v>
      </c>
      <c r="H4409" s="1">
        <v>0</v>
      </c>
      <c r="I4409" s="1" t="s">
        <v>7273</v>
      </c>
      <c r="K4409" s="1" t="str">
        <f t="shared" si="273"/>
        <v>ㄋ</v>
      </c>
      <c r="L4409" s="1" t="str">
        <f t="shared" si="274"/>
        <v>ㄢ</v>
      </c>
      <c r="M4409" s="1" t="str">
        <f t="shared" si="275"/>
        <v/>
      </c>
      <c r="P4409" s="1" t="s">
        <v>20</v>
      </c>
      <c r="R4409" s="1" t="s">
        <v>7274</v>
      </c>
      <c r="V4409" s="1" t="s">
        <v>7275</v>
      </c>
      <c r="AR4409" s="1" t="str">
        <f t="shared" si="272"/>
        <v>| [ㄋㄢ](ㄋㄢ.md) | [囡](囡.md) |  | nān | [名]
吳語。指小女孩，或泛指小孩子。如：「小囡囡」。清．王應奎《柳南隨筆》卷三：「漁家日住湖中，自無不肌粗面黑。間有生女瑩白者，名曰白囡。」 |</v>
      </c>
    </row>
    <row r="4410" spans="1:44" hidden="1">
      <c r="A4410" s="1" t="s">
        <v>7111</v>
      </c>
      <c r="C4410" s="1">
        <v>1</v>
      </c>
      <c r="D4410" s="1" t="str">
        <f>"03131"</f>
        <v>03131</v>
      </c>
      <c r="E4410" s="1" t="s">
        <v>256</v>
      </c>
      <c r="F4410" s="1">
        <v>7</v>
      </c>
      <c r="G4410" s="1">
        <v>4</v>
      </c>
      <c r="H4410" s="1">
        <v>6</v>
      </c>
      <c r="I4410" s="1" t="s">
        <v>7670</v>
      </c>
      <c r="K4410" s="1" t="str">
        <f t="shared" si="273"/>
        <v>ㄋ</v>
      </c>
      <c r="L4410" s="1" t="str">
        <f t="shared" si="274"/>
        <v>ㄨ</v>
      </c>
      <c r="M4410" s="1" t="str">
        <f t="shared" si="275"/>
        <v>ㄛ</v>
      </c>
      <c r="P4410" s="1" t="s">
        <v>20</v>
      </c>
      <c r="R4410" s="1" t="s">
        <v>7671</v>
      </c>
      <c r="V4410" s="1" t="s">
        <v>7672</v>
      </c>
      <c r="W4410" s="1" t="s">
        <v>7673</v>
      </c>
      <c r="AR4410" s="1" t="str">
        <f t="shared" si="272"/>
        <v>| [ㄋㄨㄛˊ](ㄋㄨㄛˊ.md) | [那](那.md) |  | nuó | [動]
移動。同「挪」。《清平山堂話本．快嘴李翠蓮記》：「新人那步過高堂。」
[形]
1.多。《詩經．小雅．桑扈》：「受福不那。」漢．鄭玄．箋：「那，多也。」
2.安定。《詩經．小雅．魚藻》：「有那其居。」漢．鄭玄．箋：「那，安貌。」
[代]
如何、奈何。《左傳．宣公二年》：「棄甲則那？」晉．杜預．注：「那猶何也。」唐．杜甫〈夜歸〉詩：「白頭老罷舞復歌，杖藜不睡誰能那？」
[名]
《詩經．商頌》的篇名。共一章。根據〈詩序〉：「〈那〉，祀成湯也。」指頌揚祭祀湯王典禮的音樂和諧美盛之詩。本章二句為：「猗與那與，置我鞀鼓。」 |</v>
      </c>
    </row>
    <row r="4411" spans="1:44" hidden="1">
      <c r="A4411" s="1" t="s">
        <v>7674</v>
      </c>
      <c r="C4411" s="1">
        <v>1</v>
      </c>
      <c r="D4411" s="1" t="str">
        <f>"03132"</f>
        <v>03132</v>
      </c>
      <c r="E4411" s="1" t="s">
        <v>24</v>
      </c>
      <c r="F4411" s="1">
        <v>10</v>
      </c>
      <c r="G4411" s="1">
        <v>7</v>
      </c>
      <c r="H4411" s="1">
        <v>0</v>
      </c>
      <c r="I4411" s="1" t="s">
        <v>7670</v>
      </c>
      <c r="K4411" s="1" t="str">
        <f t="shared" si="273"/>
        <v>ㄋ</v>
      </c>
      <c r="L4411" s="1" t="str">
        <f t="shared" si="274"/>
        <v>ㄨ</v>
      </c>
      <c r="M4411" s="1" t="str">
        <f t="shared" si="275"/>
        <v>ㄛ</v>
      </c>
      <c r="P4411" s="1" t="s">
        <v>20</v>
      </c>
      <c r="R4411" s="1" t="s">
        <v>7671</v>
      </c>
      <c r="V4411" s="1" t="s">
        <v>7675</v>
      </c>
      <c r="AR4411" s="1" t="str">
        <f t="shared" si="272"/>
        <v>| [ㄋㄨㄛˊ](ㄋㄨㄛˊ.md) | [挪](挪.md) |  | nuó | [動]
1.推移、移動。如：「挪開」、「挪一下位置好嗎？」元．王實甫《西廂記．第一本．第一折》：「慢俄延，投至到櫳門兒前面，剛挪了一步遠。」《紅樓夢》第一三回：「邢夫人等忙叫寶玉攙住，命人挪椅子來與他坐。」
2.借貸、移用。如：「挪借」、「挪用公款」。《儒林外史》第五二回：「他向日挪我的五十兩銀子，得便叫他算還給我。」
3.兩手互相搓摩。如：「搓挪」。 |</v>
      </c>
    </row>
    <row r="4412" spans="1:44" hidden="1">
      <c r="A4412" s="1" t="s">
        <v>7128</v>
      </c>
      <c r="C4412" s="1">
        <v>1</v>
      </c>
      <c r="D4412" s="1" t="str">
        <f>"03133"</f>
        <v>03133</v>
      </c>
      <c r="E4412" s="1" t="s">
        <v>28</v>
      </c>
      <c r="F4412" s="1">
        <v>10</v>
      </c>
      <c r="G4412" s="1">
        <v>7</v>
      </c>
      <c r="H4412" s="1">
        <v>3</v>
      </c>
      <c r="I4412" s="1" t="s">
        <v>7670</v>
      </c>
      <c r="K4412" s="1" t="str">
        <f t="shared" si="273"/>
        <v>ㄋ</v>
      </c>
      <c r="L4412" s="1" t="str">
        <f t="shared" si="274"/>
        <v>ㄨ</v>
      </c>
      <c r="M4412" s="1" t="str">
        <f t="shared" si="275"/>
        <v>ㄛ</v>
      </c>
      <c r="P4412" s="1" t="s">
        <v>20</v>
      </c>
      <c r="R4412" s="1" t="s">
        <v>7671</v>
      </c>
      <c r="V4412" s="1" t="s">
        <v>7676</v>
      </c>
      <c r="W4412" s="1" t="s">
        <v>7677</v>
      </c>
      <c r="AR4412" s="1" t="str">
        <f t="shared" si="272"/>
        <v>| [ㄋㄨㄛˊ](ㄋㄨㄛˊ.md) | [哪](哪.md) |  | nuó | 參見「哪吒」條。 |</v>
      </c>
    </row>
    <row r="4413" spans="1:44" hidden="1">
      <c r="A4413" s="1" t="s">
        <v>7153</v>
      </c>
      <c r="C4413" s="1">
        <v>1</v>
      </c>
      <c r="D4413" s="1" t="str">
        <f>"03134"</f>
        <v>03134</v>
      </c>
      <c r="E4413" s="1" t="s">
        <v>534</v>
      </c>
      <c r="F4413" s="1">
        <v>10</v>
      </c>
      <c r="G4413" s="1">
        <v>7</v>
      </c>
      <c r="H4413" s="1">
        <v>1</v>
      </c>
      <c r="I4413" s="1" t="s">
        <v>7670</v>
      </c>
      <c r="K4413" s="1" t="str">
        <f t="shared" si="273"/>
        <v>ㄋ</v>
      </c>
      <c r="L4413" s="1" t="str">
        <f t="shared" si="274"/>
        <v>ㄨ</v>
      </c>
      <c r="M4413" s="1" t="str">
        <f t="shared" si="275"/>
        <v>ㄛ</v>
      </c>
      <c r="P4413" s="1" t="s">
        <v>20</v>
      </c>
      <c r="R4413" s="1" t="s">
        <v>7671</v>
      </c>
      <c r="V4413" s="1" t="s">
        <v>7678</v>
      </c>
      <c r="W4413" s="1" t="s">
        <v>7679</v>
      </c>
      <c r="AR4413" s="1" t="str">
        <f t="shared" si="272"/>
        <v>| [ㄋㄨㄛˊ](ㄋㄨㄛˊ.md) | [娜](娜.md) |  | nuó | [形]
纖細柔美。如：「嫋娜」、「婀娜」。 |</v>
      </c>
    </row>
    <row r="4414" spans="1:44" hidden="1">
      <c r="A4414" s="1" t="s">
        <v>7680</v>
      </c>
      <c r="C4414" s="1">
        <v>1</v>
      </c>
      <c r="D4414" s="1" t="str">
        <f>"03135"</f>
        <v>03135</v>
      </c>
      <c r="E4414" s="1" t="s">
        <v>24</v>
      </c>
      <c r="F4414" s="1">
        <v>10</v>
      </c>
      <c r="G4414" s="1">
        <v>7</v>
      </c>
      <c r="H4414" s="1">
        <v>1</v>
      </c>
      <c r="I4414" s="1" t="s">
        <v>7670</v>
      </c>
      <c r="K4414" s="1" t="str">
        <f t="shared" si="273"/>
        <v>ㄋ</v>
      </c>
      <c r="L4414" s="1" t="str">
        <f t="shared" si="274"/>
        <v>ㄨ</v>
      </c>
      <c r="M4414" s="1" t="str">
        <f t="shared" si="275"/>
        <v>ㄛ</v>
      </c>
      <c r="P4414" s="1" t="s">
        <v>20</v>
      </c>
      <c r="R4414" s="1" t="s">
        <v>7671</v>
      </c>
      <c r="V4414" s="1" t="s">
        <v>7681</v>
      </c>
      <c r="W4414" s="1" t="s">
        <v>7682</v>
      </c>
      <c r="AR4414" s="1" t="str">
        <f t="shared" si="272"/>
        <v>| [ㄋㄨㄛˊ](ㄋㄨㄛˊ.md) | [挼](挼.md) |  | nuó | [動]
1.搓揉、摩擦。如：「挼搓」。唐．韓愈〈讀東方朔雜事〉詩：「瞻相北斗柄，兩手自相挼。」清．洪昇《長生殿》第四齣：「驀然揭起鴛幃，星眼倦還挼。」
2.撫玩、玩弄。五代唐．薛昭蘊〈小重山．春到長門春草青〉詞：「不勝情，手挼裙帶遶花行。」 |</v>
      </c>
    </row>
    <row r="4415" spans="1:44" hidden="1">
      <c r="A4415" s="1" t="s">
        <v>7683</v>
      </c>
      <c r="C4415" s="1">
        <v>1</v>
      </c>
      <c r="D4415" s="1" t="str">
        <f>"03136"</f>
        <v>03136</v>
      </c>
      <c r="E4415" s="1" t="s">
        <v>114</v>
      </c>
      <c r="F4415" s="1">
        <v>21</v>
      </c>
      <c r="G4415" s="1">
        <v>19</v>
      </c>
      <c r="H4415" s="1">
        <v>0</v>
      </c>
      <c r="I4415" s="1" t="s">
        <v>7670</v>
      </c>
      <c r="K4415" s="1" t="str">
        <f t="shared" si="273"/>
        <v>ㄋ</v>
      </c>
      <c r="L4415" s="1" t="str">
        <f t="shared" si="274"/>
        <v>ㄨ</v>
      </c>
      <c r="M4415" s="1" t="str">
        <f t="shared" si="275"/>
        <v>ㄛ</v>
      </c>
      <c r="P4415" s="1" t="s">
        <v>20</v>
      </c>
      <c r="R4415" s="1" t="s">
        <v>7671</v>
      </c>
      <c r="V4415" s="1" t="s">
        <v>7684</v>
      </c>
      <c r="AR4415" s="1" t="str">
        <f t="shared" si="272"/>
        <v>| [ㄋㄨㄛˊ](ㄋㄨㄛˊ.md) | [儺](儺.md) |  | nuó | [動]
迎神賽會以樂舞驅逐疫鬼。《論語．鄉黨》：「鄉人儺，朝服而立于阼階。」
[形]
柔美的樣子。參見「猗儺」條。 |</v>
      </c>
    </row>
    <row r="4416" spans="1:44" hidden="1">
      <c r="A4416" s="1" t="s">
        <v>7685</v>
      </c>
      <c r="C4416" s="1">
        <v>1</v>
      </c>
      <c r="D4416" s="1" t="str">
        <f>"03137"</f>
        <v>03137</v>
      </c>
      <c r="E4416" s="1" t="s">
        <v>534</v>
      </c>
      <c r="F4416" s="1">
        <v>9</v>
      </c>
      <c r="G4416" s="1">
        <v>6</v>
      </c>
      <c r="H4416" s="1">
        <v>0</v>
      </c>
      <c r="I4416" s="1" t="s">
        <v>7686</v>
      </c>
      <c r="K4416" s="1" t="str">
        <f t="shared" si="273"/>
        <v>ㄋ</v>
      </c>
      <c r="L4416" s="1" t="str">
        <f t="shared" si="274"/>
        <v>ㄨ</v>
      </c>
      <c r="M4416" s="1" t="str">
        <f t="shared" si="275"/>
        <v>ㄛ</v>
      </c>
      <c r="P4416" s="1" t="s">
        <v>20</v>
      </c>
      <c r="R4416" s="1" t="s">
        <v>7687</v>
      </c>
      <c r="V4416" s="1" t="s">
        <v>7688</v>
      </c>
      <c r="AR4416" s="1" t="str">
        <f t="shared" si="272"/>
        <v>| [ㄋㄨㄛˇ](ㄋㄨㄛˇ.md) | [㛂](㛂.md) |  | nuǒ | 參見「婐㛂」條。 |</v>
      </c>
    </row>
    <row r="4417" spans="1:44" hidden="1">
      <c r="A4417" s="1" t="s">
        <v>7689</v>
      </c>
      <c r="C4417" s="1">
        <v>1</v>
      </c>
      <c r="D4417" s="1" t="str">
        <f>"03138"</f>
        <v>03138</v>
      </c>
      <c r="E4417" s="1" t="s">
        <v>24</v>
      </c>
      <c r="F4417" s="1">
        <v>12</v>
      </c>
      <c r="G4417" s="1">
        <v>9</v>
      </c>
      <c r="H4417" s="1">
        <v>0</v>
      </c>
      <c r="I4417" s="1" t="s">
        <v>7690</v>
      </c>
      <c r="K4417" s="1" t="str">
        <f t="shared" si="273"/>
        <v>ㄋ</v>
      </c>
      <c r="L4417" s="1" t="str">
        <f t="shared" si="274"/>
        <v>ㄨ</v>
      </c>
      <c r="M4417" s="1" t="str">
        <f t="shared" si="275"/>
        <v>ㄛ</v>
      </c>
      <c r="P4417" s="1" t="s">
        <v>20</v>
      </c>
      <c r="R4417" s="1" t="s">
        <v>7691</v>
      </c>
      <c r="V4417" s="1" t="s">
        <v>7692</v>
      </c>
      <c r="AR4417" s="1" t="str">
        <f t="shared" si="272"/>
        <v>| [ㄋㄨㄛˋ](ㄋㄨㄛˋ.md) | [掿](掿.md) |  | nuò | [動]
1.握、持拿。《七國春秋平話．卷上》：「手掿宣花月斧，腰懸打將鐵鞭。」《水滸傳》第四回：「把兩隻袖子掿在手裡，上下左右，使了一回。」
2.捏、揉。元．關漢卿《調風月》第一折：「便似一團兒掿成官定粉。」元．趙善慶〈寨兒令．舞態輕〉曲：「舞態輕，曲聲清，生香玉骨粉掿成。」
3.挑戰。如：「掿戰」。《水滸傳》第一一四回：「王仁卻掿花榮出戰。」 |</v>
      </c>
    </row>
    <row r="4418" spans="1:44" hidden="1">
      <c r="A4418" s="1" t="s">
        <v>7693</v>
      </c>
      <c r="C4418" s="1">
        <v>1</v>
      </c>
      <c r="D4418" s="1" t="str">
        <f>"03139"</f>
        <v>03139</v>
      </c>
      <c r="E4418" s="1" t="s">
        <v>28</v>
      </c>
      <c r="F4418" s="1">
        <v>12</v>
      </c>
      <c r="G4418" s="1">
        <v>9</v>
      </c>
      <c r="H4418" s="1">
        <v>2</v>
      </c>
      <c r="I4418" s="1" t="s">
        <v>7690</v>
      </c>
      <c r="K4418" s="1" t="str">
        <f t="shared" si="273"/>
        <v>ㄋ</v>
      </c>
      <c r="L4418" s="1" t="str">
        <f t="shared" si="274"/>
        <v>ㄨ</v>
      </c>
      <c r="M4418" s="1" t="str">
        <f t="shared" si="275"/>
        <v>ㄛ</v>
      </c>
      <c r="P4418" s="1" t="s">
        <v>20</v>
      </c>
      <c r="R4418" s="1" t="s">
        <v>7691</v>
      </c>
      <c r="V4418" s="1" t="s">
        <v>7694</v>
      </c>
      <c r="W4418" s="1" t="s">
        <v>7695</v>
      </c>
      <c r="AR4418" s="1" t="str">
        <f t="shared" si="272"/>
        <v>| [ㄋㄨㄛˋ](ㄋㄨㄛˋ.md) | [喏](喏.md) |  | nuò | [名]
應答聲。同「諾」。晉．干寶《搜神記》卷一九：「二更中，有來至廟門者，呼曰：『何銅！』銅應喏。」
[歎]
含有指示意思的語氣。如：「喏！那不是你的衣服嗎？」 |</v>
      </c>
    </row>
    <row r="4419" spans="1:44" hidden="1">
      <c r="A4419" s="1" t="s">
        <v>7696</v>
      </c>
      <c r="C4419" s="1">
        <v>1</v>
      </c>
      <c r="D4419" s="1" t="str">
        <f>"03140"</f>
        <v>03140</v>
      </c>
      <c r="E4419" s="1" t="s">
        <v>331</v>
      </c>
      <c r="F4419" s="1">
        <v>16</v>
      </c>
      <c r="G4419" s="1">
        <v>9</v>
      </c>
      <c r="H4419" s="1">
        <v>0</v>
      </c>
      <c r="I4419" s="1" t="s">
        <v>7690</v>
      </c>
      <c r="K4419" s="1" t="str">
        <f t="shared" si="273"/>
        <v>ㄋ</v>
      </c>
      <c r="L4419" s="1" t="str">
        <f t="shared" si="274"/>
        <v>ㄨ</v>
      </c>
      <c r="M4419" s="1" t="str">
        <f t="shared" si="275"/>
        <v>ㄛ</v>
      </c>
      <c r="P4419" s="1" t="s">
        <v>20</v>
      </c>
      <c r="R4419" s="1" t="s">
        <v>7691</v>
      </c>
      <c r="V4419" s="1" t="s">
        <v>7697</v>
      </c>
      <c r="AR4419" s="1" t="str">
        <f t="shared" ref="AR4419:AR4482" si="276">"| ["&amp;I4419&amp;"]("&amp;I4419&amp;".md) | ["&amp;A4419&amp;"]("&amp;A4419&amp;".md) | "&amp;" | "&amp;R4419&amp;" | "&amp;V4419&amp;" |"</f>
        <v>| [ㄋㄨㄛˋ](ㄋㄨㄛˋ.md) | [諾](諾.md) |  | nuò | [動]
答應、允許。如：「一呼百諾」。《詩經．魯頌．閟宮》：「莫敢不諾。」《荀子．王霸》：「刑賞已諾，信乎天下矣。」
[名]
1.允諾的話。如：「一諾千金」、「輕諾寡信」。《論語．顏淵》：「子路無宿諾。」唐．杜甫〈敬贈鄭諫議十韻〉：「將期一諾重，欻使寸心傾。」
2.古代批字或簽字於文書後面，表示許可。《後漢書．卷六七．黨錮傳．序》：「汝南太守范孟博、南陽宗資主畫諾。」《南史．卷四三．齊高帝諸子傳下．江夏王鋒傳》：「五歲，高帝使學鳳尾諾，一學即工。」
3.表示同意的應答聲。如：「連連稱諾」。《論語．陽貨》：「諾，吾將仕矣。」《史記．卷七．項羽本紀》：「謂沛公曰：『旦日不可不蚤自來謝項王。』沛公曰：『諾。』」 |</v>
      </c>
    </row>
    <row r="4420" spans="1:44" hidden="1">
      <c r="A4420" s="1" t="s">
        <v>7698</v>
      </c>
      <c r="C4420" s="1">
        <v>1</v>
      </c>
      <c r="D4420" s="1" t="str">
        <f>"03141"</f>
        <v>03141</v>
      </c>
      <c r="E4420" s="1" t="s">
        <v>55</v>
      </c>
      <c r="F4420" s="1">
        <v>17</v>
      </c>
      <c r="G4420" s="1">
        <v>9</v>
      </c>
      <c r="H4420" s="1">
        <v>0</v>
      </c>
      <c r="I4420" s="1" t="s">
        <v>7690</v>
      </c>
      <c r="K4420" s="1" t="str">
        <f t="shared" si="273"/>
        <v>ㄋ</v>
      </c>
      <c r="L4420" s="1" t="str">
        <f t="shared" si="274"/>
        <v>ㄨ</v>
      </c>
      <c r="M4420" s="1" t="str">
        <f t="shared" si="275"/>
        <v>ㄛ</v>
      </c>
      <c r="P4420" s="1" t="s">
        <v>20</v>
      </c>
      <c r="R4420" s="1" t="s">
        <v>7691</v>
      </c>
      <c r="V4420" s="1" t="s">
        <v>7699</v>
      </c>
      <c r="AR4420" s="1" t="str">
        <f t="shared" si="276"/>
        <v>| [ㄋㄨㄛˋ](ㄋㄨㄛˋ.md) | [鍩](鍩.md) |  | nuò | [名]
（nobelium，No)化學元素。原子序102。錒系元素之一，是以重離子加速器加速碳核以撞擊鋦，而產生的人工合成化學元素。因半衰期極短，無法確知其性質及用途。 |</v>
      </c>
    </row>
    <row r="4421" spans="1:44" hidden="1">
      <c r="A4421" s="1" t="s">
        <v>7700</v>
      </c>
      <c r="C4421" s="1">
        <v>1</v>
      </c>
      <c r="D4421" s="1" t="str">
        <f>"03142"</f>
        <v>03142</v>
      </c>
      <c r="E4421" s="1" t="s">
        <v>24</v>
      </c>
      <c r="F4421" s="1">
        <v>13</v>
      </c>
      <c r="G4421" s="1">
        <v>10</v>
      </c>
      <c r="H4421" s="1">
        <v>0</v>
      </c>
      <c r="I4421" s="1" t="s">
        <v>7690</v>
      </c>
      <c r="K4421" s="1" t="str">
        <f t="shared" si="273"/>
        <v>ㄋ</v>
      </c>
      <c r="L4421" s="1" t="str">
        <f t="shared" si="274"/>
        <v>ㄨ</v>
      </c>
      <c r="M4421" s="1" t="str">
        <f t="shared" si="275"/>
        <v>ㄛ</v>
      </c>
      <c r="P4421" s="1" t="s">
        <v>20</v>
      </c>
      <c r="R4421" s="1" t="s">
        <v>7691</v>
      </c>
      <c r="V4421" s="1" t="s">
        <v>7701</v>
      </c>
      <c r="AR4421" s="1" t="str">
        <f t="shared" si="276"/>
        <v>| [ㄋㄨㄛˋ](ㄋㄨㄛˋ.md) | [搦](搦.md) |  | nuò | [動]
1.壓抑。《文選．左思．魏都賦》：「搦秦起魏，威振八蕃。」
2.握、持。如：「搦管」。《三國魏．曹植．幽思賦》：「搦素筆而慷慨，揚大雅之哀吟。」《董西廂》卷二：「緊搦著鐵棒。」
3.撫、摩。《文選．班固．答賓戲》：「當此之時，搦朽磨鈍，鈆刀皆能一斷。」唐．段成式《酉陽雜俎．卷九．盜俠》：「乃舉手搦腦後，五丸墜地焉。」
4.挑惹、挑釁。如：「搦戰」、「單搦」。《薛仁貴征遼事略》：「躍馬橫鎗搦眾官百姓。」元．陳以仁《存孝打虎》第三折：「不索你搦咱，更怕你會征伐。」
5.捕捉。《北齊書．卷一五．厙狄干傳》：「士文聞之，令人捕搦，捶楚盈前，而哭者彌甚。」《敦煌變文集新書．卷五．李陵變文》：「四面圍之，一時搦取。」 |</v>
      </c>
    </row>
    <row r="4422" spans="1:44" hidden="1">
      <c r="A4422" s="1" t="s">
        <v>7702</v>
      </c>
      <c r="C4422" s="1">
        <v>1</v>
      </c>
      <c r="D4422" s="1" t="str">
        <f>"03143"</f>
        <v>03143</v>
      </c>
      <c r="E4422" s="1" t="s">
        <v>250</v>
      </c>
      <c r="F4422" s="1">
        <v>17</v>
      </c>
      <c r="G4422" s="1">
        <v>14</v>
      </c>
      <c r="H4422" s="1">
        <v>0</v>
      </c>
      <c r="I4422" s="1" t="s">
        <v>7690</v>
      </c>
      <c r="K4422" s="1" t="str">
        <f t="shared" si="273"/>
        <v>ㄋ</v>
      </c>
      <c r="L4422" s="1" t="str">
        <f t="shared" si="274"/>
        <v>ㄨ</v>
      </c>
      <c r="M4422" s="1" t="str">
        <f t="shared" si="275"/>
        <v>ㄛ</v>
      </c>
      <c r="P4422" s="1" t="s">
        <v>20</v>
      </c>
      <c r="R4422" s="1" t="s">
        <v>7691</v>
      </c>
      <c r="V4422" s="1" t="s">
        <v>7703</v>
      </c>
      <c r="AR4422" s="1" t="str">
        <f t="shared" si="276"/>
        <v>| [ㄋㄨㄛˋ](ㄋㄨㄛˋ.md) | [懦](懦.md) |  | nuò | [形]
1.軟弱、怯弱。如：「柔懦」、「懦夫」、「膽小懦弱」。《左傳．僖公二年》：「宮之奇之為人也，懦而不能強諫。」
2.柔軟。《韓非子．內儲說上》：「水形懦，故人多溺。」晉．夏侯湛〈玄鳥賦〉：「拾柔草以自藉，採懦毛以為蓐。」
[動]
拙、不擅。《漢書．卷五八．兒寬傳》：「善屬文，懦於武。」 |</v>
      </c>
    </row>
    <row r="4423" spans="1:44" hidden="1">
      <c r="A4423" s="1" t="s">
        <v>7704</v>
      </c>
      <c r="C4423" s="1">
        <v>1</v>
      </c>
      <c r="D4423" s="1" t="str">
        <f>"03144"</f>
        <v>03144</v>
      </c>
      <c r="E4423" s="1" t="s">
        <v>46</v>
      </c>
      <c r="F4423" s="1">
        <v>20</v>
      </c>
      <c r="G4423" s="1">
        <v>14</v>
      </c>
      <c r="H4423" s="1">
        <v>0</v>
      </c>
      <c r="I4423" s="1" t="s">
        <v>7690</v>
      </c>
      <c r="K4423" s="1" t="str">
        <f t="shared" si="273"/>
        <v>ㄋ</v>
      </c>
      <c r="L4423" s="1" t="str">
        <f t="shared" si="274"/>
        <v>ㄨ</v>
      </c>
      <c r="M4423" s="1" t="str">
        <f t="shared" si="275"/>
        <v>ㄛ</v>
      </c>
      <c r="P4423" s="1" t="s">
        <v>20</v>
      </c>
      <c r="R4423" s="1" t="s">
        <v>7691</v>
      </c>
      <c r="V4423" s="1" t="s">
        <v>7705</v>
      </c>
      <c r="AR4423" s="1" t="str">
        <f t="shared" si="276"/>
        <v>| [ㄋㄨㄛˋ](ㄋㄨㄛˋ.md) | [糯](糯.md) |  | nuò | [名]
一種稻米。糯稻的米粒稱糯米，可分為圓粒形的「圓糯」和長粒形的「長糯」（或稱「尖糯」）。黏性大，多用來製成年糕、麻糬、湯圓、油飯、八寶飯、粽子等，亦可釀酒。 |</v>
      </c>
    </row>
    <row r="4424" spans="1:44" hidden="1">
      <c r="A4424" s="1" t="s">
        <v>7418</v>
      </c>
      <c r="C4424" s="1">
        <v>1</v>
      </c>
      <c r="D4424" s="1" t="str">
        <f>"03034"</f>
        <v>03034</v>
      </c>
      <c r="E4424" s="1" t="s">
        <v>24</v>
      </c>
      <c r="F4424" s="1">
        <v>10</v>
      </c>
      <c r="G4424" s="1">
        <v>7</v>
      </c>
      <c r="H4424" s="1">
        <v>0</v>
      </c>
      <c r="I4424" s="1" t="s">
        <v>7419</v>
      </c>
      <c r="K4424" s="1" t="str">
        <f t="shared" si="273"/>
        <v>ㄋ</v>
      </c>
      <c r="L4424" s="1" t="str">
        <f t="shared" si="274"/>
        <v>ㄧ</v>
      </c>
      <c r="M4424" s="1" t="str">
        <f t="shared" si="275"/>
        <v>ㄝ</v>
      </c>
      <c r="P4424" s="1" t="s">
        <v>20</v>
      </c>
      <c r="R4424" s="1" t="s">
        <v>7420</v>
      </c>
      <c r="V4424" s="1" t="s">
        <v>7421</v>
      </c>
      <c r="AR4424" s="1" t="str">
        <f t="shared" si="276"/>
        <v>| [ㄋㄧㄝ](ㄋㄧㄝ.md) | [捏](捏.md) |  | niē | [動]
1.用手指將軟東西搓捻成某種形狀。如：「捏麵人」、「捏餃子」、「捏泥人兒」。元．王實甫《西廂記．第一本．第二折》：「頭直上只少個圓光，卻便似捏塑來的僧伽像。」
2.用拇指與其餘手指夾住。如：「捏鼻子」、「捏緊線頭」、「捏一把冷汗」。
3.握住。元．鄭光祖《㑳梅香》第一折：「俺捏住這玉佩，慢慢的行將去。」
4.虛構、牽強附會。如：「捏造事實」。《紅樓夢》第八六回：「今爾遠來，並非目睹，何得捏詞妄控。」 |</v>
      </c>
    </row>
    <row r="4425" spans="1:44" hidden="1">
      <c r="A4425" s="1" t="s">
        <v>7422</v>
      </c>
      <c r="C4425" s="1">
        <v>1</v>
      </c>
      <c r="D4425" s="1" t="str">
        <f>"03035"</f>
        <v>03035</v>
      </c>
      <c r="E4425" s="1" t="s">
        <v>24</v>
      </c>
      <c r="F4425" s="1">
        <v>11</v>
      </c>
      <c r="G4425" s="1">
        <v>8</v>
      </c>
      <c r="H4425" s="1">
        <v>2</v>
      </c>
      <c r="I4425" s="1" t="s">
        <v>7419</v>
      </c>
      <c r="K4425" s="1" t="str">
        <f t="shared" si="273"/>
        <v>ㄋ</v>
      </c>
      <c r="L4425" s="1" t="str">
        <f t="shared" si="274"/>
        <v>ㄧ</v>
      </c>
      <c r="M4425" s="1" t="str">
        <f t="shared" si="275"/>
        <v>ㄝ</v>
      </c>
      <c r="P4425" s="1" t="s">
        <v>20</v>
      </c>
      <c r="R4425" s="1" t="s">
        <v>7420</v>
      </c>
      <c r="V4425" s="1" t="s">
        <v>7423</v>
      </c>
      <c r="W4425" s="1" t="s">
        <v>7424</v>
      </c>
      <c r="AR4425" s="1" t="str">
        <f t="shared" si="276"/>
        <v>| [ㄋㄧㄝ](ㄋㄧㄝ.md) | [捻](捻.md) |  | niē | [動]
捏，用拇指與其餘手指夾住。唐．裴說〈聞砧〉詩：「愁捻銀針信手縫，惆悵無人試寬窄。」《紅樓夢》第六回：「寶玉紅漲了臉，把他的手一捻。」 |</v>
      </c>
    </row>
    <row r="4426" spans="1:44" hidden="1">
      <c r="A4426" s="1" t="s">
        <v>7425</v>
      </c>
      <c r="C4426" s="1">
        <v>1</v>
      </c>
      <c r="D4426" s="1" t="str">
        <f>"03036"</f>
        <v>03036</v>
      </c>
      <c r="E4426" s="1" t="s">
        <v>37</v>
      </c>
      <c r="F4426" s="1">
        <v>9</v>
      </c>
      <c r="G4426" s="1">
        <v>5</v>
      </c>
      <c r="H4426" s="1">
        <v>0</v>
      </c>
      <c r="I4426" s="1" t="s">
        <v>7426</v>
      </c>
      <c r="K4426" s="1" t="str">
        <f t="shared" si="273"/>
        <v>ㄋ</v>
      </c>
      <c r="L4426" s="1" t="str">
        <f t="shared" si="274"/>
        <v>ㄧ</v>
      </c>
      <c r="M4426" s="1" t="str">
        <f t="shared" si="275"/>
        <v>ㄝ</v>
      </c>
      <c r="P4426" s="1" t="s">
        <v>20</v>
      </c>
      <c r="R4426" s="1" t="s">
        <v>7427</v>
      </c>
      <c r="V4426" s="1" t="s">
        <v>7428</v>
      </c>
      <c r="AR4426" s="1" t="str">
        <f t="shared" si="276"/>
        <v>| [ㄋㄧㄝˊ](ㄋㄧㄝˊ.md) | [苶](苶.md) |  | nié | [形]
疲倦、疲累。唐．杜甫〈詠懷詩〉二首之一：「疲苶苟懷策，棲屑無所施。」 |</v>
      </c>
    </row>
    <row r="4427" spans="1:44" hidden="1">
      <c r="A4427" s="1" t="s">
        <v>3479</v>
      </c>
      <c r="C4427" s="1">
        <v>1</v>
      </c>
      <c r="D4427" s="1" t="str">
        <f>"03037"</f>
        <v>03037</v>
      </c>
      <c r="E4427" s="1" t="s">
        <v>3480</v>
      </c>
      <c r="F4427" s="1">
        <v>2</v>
      </c>
      <c r="G4427" s="1">
        <v>1</v>
      </c>
      <c r="H4427" s="1">
        <v>2</v>
      </c>
      <c r="I4427" s="1" t="s">
        <v>7429</v>
      </c>
      <c r="K4427" s="1" t="str">
        <f t="shared" si="273"/>
        <v>ㄋ</v>
      </c>
      <c r="L4427" s="1" t="str">
        <f t="shared" si="274"/>
        <v>ㄧ</v>
      </c>
      <c r="M4427" s="1" t="str">
        <f t="shared" si="275"/>
        <v>ㄝ</v>
      </c>
      <c r="P4427" s="1" t="s">
        <v>20</v>
      </c>
      <c r="R4427" s="1" t="s">
        <v>7430</v>
      </c>
      <c r="V4427" s="1" t="s">
        <v>7431</v>
      </c>
      <c r="W4427" s="1" t="s">
        <v>7432</v>
      </c>
      <c r="AR4427" s="1" t="str">
        <f t="shared" si="276"/>
        <v>| [ㄋㄧㄝˋ](ㄋㄧㄝˋ.md) | [乜](乜.md) |  | niè | [名]
姓。如明代有蒙古酋長乜先。 |</v>
      </c>
    </row>
    <row r="4428" spans="1:44" hidden="1">
      <c r="A4428" s="1" t="s">
        <v>7433</v>
      </c>
      <c r="C4428" s="1">
        <v>1</v>
      </c>
      <c r="D4428" s="1" t="str">
        <f>"03038"</f>
        <v>03038</v>
      </c>
      <c r="E4428" s="1" t="s">
        <v>40</v>
      </c>
      <c r="F4428" s="1">
        <v>10</v>
      </c>
      <c r="G4428" s="1">
        <v>5</v>
      </c>
      <c r="H4428" s="1">
        <v>0</v>
      </c>
      <c r="I4428" s="1" t="s">
        <v>7429</v>
      </c>
      <c r="K4428" s="1" t="str">
        <f t="shared" si="273"/>
        <v>ㄋ</v>
      </c>
      <c r="L4428" s="1" t="str">
        <f t="shared" si="274"/>
        <v>ㄧ</v>
      </c>
      <c r="M4428" s="1" t="str">
        <f t="shared" si="275"/>
        <v>ㄝ</v>
      </c>
      <c r="P4428" s="1" t="s">
        <v>20</v>
      </c>
      <c r="R4428" s="1" t="s">
        <v>7430</v>
      </c>
      <c r="V4428" s="1" t="s">
        <v>7434</v>
      </c>
      <c r="AR4428" s="1" t="str">
        <f t="shared" si="276"/>
        <v>| [ㄋㄧㄝˋ](ㄋㄧㄝˋ.md) | [痆](痆.md) |  | niè | [名]
瘡痕、傷疤。唐．韓愈、孟郊〈征蜀聯句〉：「念齒慰黴黧，視傷悼瘢痆。」明．湯顯祖《牡丹亭》第七齣：「比似你懸了梁，損頭髮；刺了股，添疤痆。有甚光華？」 |</v>
      </c>
    </row>
    <row r="4429" spans="1:44" hidden="1">
      <c r="A4429" s="1" t="s">
        <v>7435</v>
      </c>
      <c r="C4429" s="1">
        <v>1</v>
      </c>
      <c r="D4429" s="1" t="str">
        <f>"03039"</f>
        <v>03039</v>
      </c>
      <c r="E4429" s="1" t="s">
        <v>129</v>
      </c>
      <c r="F4429" s="1">
        <v>10</v>
      </c>
      <c r="G4429" s="1">
        <v>7</v>
      </c>
      <c r="H4429" s="1">
        <v>0</v>
      </c>
      <c r="I4429" s="1" t="s">
        <v>7429</v>
      </c>
      <c r="K4429" s="1" t="str">
        <f t="shared" si="273"/>
        <v>ㄋ</v>
      </c>
      <c r="L4429" s="1" t="str">
        <f t="shared" si="274"/>
        <v>ㄧ</v>
      </c>
      <c r="M4429" s="1" t="str">
        <f t="shared" si="275"/>
        <v>ㄝ</v>
      </c>
      <c r="P4429" s="1" t="s">
        <v>20</v>
      </c>
      <c r="R4429" s="1" t="s">
        <v>7430</v>
      </c>
      <c r="V4429" s="1" t="s">
        <v>7436</v>
      </c>
      <c r="AR4429" s="1" t="str">
        <f t="shared" si="276"/>
        <v>| [ㄋㄧㄝˋ](ㄋㄧㄝˋ.md) | [涅](涅.md) |  | niè | [名]
可用作黑色染料的礦物，即礬石。《荀子．勸學》：「白沙在涅，與之俱黑。」《淮南子．俶真》：「今涅染緇，則黑於涅；以藍染青，則青於藍。」
[動]
用黑色染、染黑。如：「涅面」、「涅字」。《論語．陽貨》：「不曰白乎，涅而不緇。」晉．陶淵明〈自祭文〉：「寵非己榮，涅豈吾緇。」 |</v>
      </c>
    </row>
    <row r="4430" spans="1:44" hidden="1">
      <c r="A4430" s="1" t="s">
        <v>7437</v>
      </c>
      <c r="C4430" s="1">
        <v>1</v>
      </c>
      <c r="D4430" s="1" t="str">
        <f>"03040"</f>
        <v>03040</v>
      </c>
      <c r="E4430" s="1" t="s">
        <v>7438</v>
      </c>
      <c r="F4430" s="1">
        <v>10</v>
      </c>
      <c r="G4430" s="1">
        <v>4</v>
      </c>
      <c r="H4430" s="1">
        <v>0</v>
      </c>
      <c r="I4430" s="1" t="s">
        <v>7429</v>
      </c>
      <c r="K4430" s="1" t="str">
        <f t="shared" si="273"/>
        <v>ㄋ</v>
      </c>
      <c r="L4430" s="1" t="str">
        <f t="shared" si="274"/>
        <v>ㄧ</v>
      </c>
      <c r="M4430" s="1" t="str">
        <f t="shared" si="275"/>
        <v>ㄝ</v>
      </c>
      <c r="P4430" s="1" t="s">
        <v>20</v>
      </c>
      <c r="R4430" s="1" t="s">
        <v>7430</v>
      </c>
      <c r="V4430" s="1" t="s">
        <v>7439</v>
      </c>
      <c r="AR4430" s="1" t="str">
        <f t="shared" si="276"/>
        <v>| [ㄋㄧㄝˋ](ㄋㄧㄝˋ.md) | [臬](臬.md) |  | niè | [名]
1.箭靶子。如：「射臬」。《文選．張衡．東京賦》：「桃弧棘矢，所發無臬。」
2.古代測量日影方位的桿柱，用以計算時間。《文選．陸倕．石闕銘》：「陳圭置臬，瞻星揆地。」《明史．卷二五．天文志一》：「若表臬者，即考工匠人置槷之法，識日出入之影，參諸日中之影，以正方位。」
3.標準、法度。如：「奉為圭臬」。《書經．康誥》：「汝陳時臬，司師茲殷罰有倫。」
[形]
終、極限。三國魏．王粲〈游海賦〉：「其深不測，其廣無臬。」 |</v>
      </c>
    </row>
    <row r="4431" spans="1:44" hidden="1">
      <c r="A4431" s="1" t="s">
        <v>7440</v>
      </c>
      <c r="C4431" s="1">
        <v>1</v>
      </c>
      <c r="D4431" s="1" t="str">
        <f>"03041"</f>
        <v>03041</v>
      </c>
      <c r="E4431" s="1" t="s">
        <v>190</v>
      </c>
      <c r="F4431" s="1">
        <v>13</v>
      </c>
      <c r="G4431" s="1">
        <v>10</v>
      </c>
      <c r="H4431" s="1">
        <v>0</v>
      </c>
      <c r="I4431" s="1" t="s">
        <v>7429</v>
      </c>
      <c r="K4431" s="1" t="str">
        <f t="shared" si="273"/>
        <v>ㄋ</v>
      </c>
      <c r="L4431" s="1" t="str">
        <f t="shared" si="274"/>
        <v>ㄧ</v>
      </c>
      <c r="M4431" s="1" t="str">
        <f t="shared" si="275"/>
        <v>ㄝ</v>
      </c>
      <c r="P4431" s="1" t="s">
        <v>20</v>
      </c>
      <c r="R4431" s="1" t="s">
        <v>7430</v>
      </c>
      <c r="V4431" s="1" t="s">
        <v>5360</v>
      </c>
      <c r="AR4431" s="1" t="str">
        <f t="shared" si="276"/>
        <v>| [ㄋㄧㄝˋ](ㄋㄧㄝˋ.md) | [嵲](嵲.md) |  | niè | 參見「嵽嵲」條。 |</v>
      </c>
    </row>
    <row r="4432" spans="1:44" hidden="1">
      <c r="A4432" s="1" t="s">
        <v>7441</v>
      </c>
      <c r="C4432" s="1">
        <v>1</v>
      </c>
      <c r="D4432" s="1" t="str">
        <f>"03042"</f>
        <v>03042</v>
      </c>
      <c r="E4432" s="1" t="s">
        <v>7438</v>
      </c>
      <c r="F4432" s="1">
        <v>16</v>
      </c>
      <c r="G4432" s="1">
        <v>10</v>
      </c>
      <c r="H4432" s="1">
        <v>0</v>
      </c>
      <c r="I4432" s="1" t="s">
        <v>7429</v>
      </c>
      <c r="K4432" s="1" t="str">
        <f t="shared" si="273"/>
        <v>ㄋ</v>
      </c>
      <c r="L4432" s="1" t="str">
        <f t="shared" si="274"/>
        <v>ㄧ</v>
      </c>
      <c r="M4432" s="1" t="str">
        <f t="shared" si="275"/>
        <v>ㄝ</v>
      </c>
      <c r="P4432" s="1" t="s">
        <v>20</v>
      </c>
      <c r="R4432" s="1" t="s">
        <v>7430</v>
      </c>
      <c r="V4432" s="1" t="s">
        <v>7442</v>
      </c>
      <c r="AR4432" s="1" t="str">
        <f t="shared" si="276"/>
        <v>| [ㄋㄧㄝˋ](ㄋㄧㄝˋ.md) | [臲](臲.md) |  | niè | 參見「臲卼」條。 |</v>
      </c>
    </row>
    <row r="4433" spans="1:44" hidden="1">
      <c r="A4433" s="1" t="s">
        <v>7443</v>
      </c>
      <c r="C4433" s="1">
        <v>1</v>
      </c>
      <c r="D4433" s="1" t="str">
        <f>"03043"</f>
        <v>03043</v>
      </c>
      <c r="E4433" s="1" t="s">
        <v>709</v>
      </c>
      <c r="F4433" s="1">
        <v>18</v>
      </c>
      <c r="G4433" s="1">
        <v>10</v>
      </c>
      <c r="H4433" s="1">
        <v>0</v>
      </c>
      <c r="I4433" s="1" t="s">
        <v>7429</v>
      </c>
      <c r="K4433" s="1" t="str">
        <f t="shared" si="273"/>
        <v>ㄋ</v>
      </c>
      <c r="L4433" s="1" t="str">
        <f t="shared" si="274"/>
        <v>ㄧ</v>
      </c>
      <c r="M4433" s="1" t="str">
        <f t="shared" si="275"/>
        <v>ㄝ</v>
      </c>
      <c r="P4433" s="1" t="s">
        <v>20</v>
      </c>
      <c r="R4433" s="1" t="s">
        <v>7430</v>
      </c>
      <c r="V4433" s="1" t="s">
        <v>7444</v>
      </c>
      <c r="AR4433" s="1" t="str">
        <f t="shared" si="276"/>
        <v>| [ㄋㄧㄝˋ](ㄋㄧㄝˋ.md) | [闑](闑.md) |  | niè | [名]
古代門中央所豎的短木。《禮記．玉藻》：「君入門，介拂闑。」唐．韓愈〈進學解〉：「欂櫨侏儒，椳闑扂楔，各得其宜。」 |</v>
      </c>
    </row>
    <row r="4434" spans="1:44" hidden="1">
      <c r="A4434" s="1" t="s">
        <v>7445</v>
      </c>
      <c r="C4434" s="1">
        <v>1</v>
      </c>
      <c r="D4434" s="1" t="str">
        <f>"03044"</f>
        <v>03044</v>
      </c>
      <c r="E4434" s="1" t="s">
        <v>55</v>
      </c>
      <c r="F4434" s="1">
        <v>18</v>
      </c>
      <c r="G4434" s="1">
        <v>10</v>
      </c>
      <c r="H4434" s="1">
        <v>0</v>
      </c>
      <c r="I4434" s="1" t="s">
        <v>7429</v>
      </c>
      <c r="K4434" s="1" t="str">
        <f t="shared" si="273"/>
        <v>ㄋ</v>
      </c>
      <c r="L4434" s="1" t="str">
        <f t="shared" si="274"/>
        <v>ㄧ</v>
      </c>
      <c r="M4434" s="1" t="str">
        <f t="shared" si="275"/>
        <v>ㄝ</v>
      </c>
      <c r="P4434" s="1" t="s">
        <v>20</v>
      </c>
      <c r="R4434" s="1" t="s">
        <v>7430</v>
      </c>
      <c r="V4434" s="1" t="s">
        <v>7446</v>
      </c>
      <c r="AR4434" s="1" t="str">
        <f t="shared" si="276"/>
        <v>| [ㄋㄧㄝˋ](ㄋㄧㄝˋ.md) | [鎳](鎳.md) |  | niè | [名]
（nickel，Ni）化學元素。原子序28。呈銀白色，質地堅硬，有磁性與延展性，可塑性高。在空氣中形成鎳的氧化物保護層，難溶於鹽酸、硫酸，易溶於硝酸，具有良好抗強鹼、抗氧化與抗腐蝕等特性。主要存於鎳黃鐵礦與含鎳的紅土礦中。多用於合金、電鍍、硬幣、陶瓷、電子線路與催化劑。 |</v>
      </c>
    </row>
    <row r="4435" spans="1:44" hidden="1">
      <c r="A4435" s="1" t="s">
        <v>7447</v>
      </c>
      <c r="C4435" s="1">
        <v>1</v>
      </c>
      <c r="D4435" s="1" t="str">
        <f>"03045"</f>
        <v>03045</v>
      </c>
      <c r="E4435" s="1" t="s">
        <v>28</v>
      </c>
      <c r="F4435" s="1">
        <v>12</v>
      </c>
      <c r="G4435" s="1">
        <v>9</v>
      </c>
      <c r="H4435" s="1">
        <v>1</v>
      </c>
      <c r="I4435" s="1" t="s">
        <v>7429</v>
      </c>
      <c r="K4435" s="1" t="str">
        <f t="shared" si="273"/>
        <v>ㄋ</v>
      </c>
      <c r="L4435" s="1" t="str">
        <f t="shared" si="274"/>
        <v>ㄧ</v>
      </c>
      <c r="M4435" s="1" t="str">
        <f t="shared" si="275"/>
        <v>ㄝ</v>
      </c>
      <c r="P4435" s="1" t="s">
        <v>20</v>
      </c>
      <c r="R4435" s="1" t="s">
        <v>7430</v>
      </c>
      <c r="V4435" s="1" t="s">
        <v>7448</v>
      </c>
      <c r="W4435" s="1" t="s">
        <v>7449</v>
      </c>
      <c r="AR4435" s="1" t="str">
        <f t="shared" si="276"/>
        <v>| [ㄋㄧㄝˋ](ㄋㄧㄝˋ.md) | [喦](喦.md) |  | niè | [動]
多話。通「讘」。《說文解字．品部》：「喦，多言也。」清．段玉裁．注：「此與言部讘音義皆同。」《玉篇．品部》：「喦，曳喦，爭言也。」 |</v>
      </c>
    </row>
    <row r="4436" spans="1:44" hidden="1">
      <c r="A4436" s="1" t="s">
        <v>7450</v>
      </c>
      <c r="C4436" s="1">
        <v>1</v>
      </c>
      <c r="D4436" s="1" t="str">
        <f>"03046"</f>
        <v>03046</v>
      </c>
      <c r="E4436" s="1" t="s">
        <v>426</v>
      </c>
      <c r="F4436" s="1">
        <v>12</v>
      </c>
      <c r="G4436" s="1">
        <v>8</v>
      </c>
      <c r="H4436" s="1">
        <v>0</v>
      </c>
      <c r="I4436" s="1" t="s">
        <v>7429</v>
      </c>
      <c r="K4436" s="1" t="str">
        <f t="shared" si="273"/>
        <v>ㄋ</v>
      </c>
      <c r="L4436" s="1" t="str">
        <f t="shared" si="274"/>
        <v>ㄧ</v>
      </c>
      <c r="M4436" s="1" t="str">
        <f t="shared" si="275"/>
        <v>ㄝ</v>
      </c>
      <c r="P4436" s="1" t="s">
        <v>20</v>
      </c>
      <c r="R4436" s="1" t="s">
        <v>7430</v>
      </c>
      <c r="V4436" s="1" t="s">
        <v>7451</v>
      </c>
      <c r="AR4436" s="1" t="str">
        <f t="shared" si="276"/>
        <v>| [ㄋㄧㄝˋ](ㄋㄧㄝˋ.md) | [敜](敜.md) |  | niè | [動]
閉塞、封閉。《說文解字．攴部》：「敜，塞也。」《書經．費誓》：「敜乃阱，無敢傷牿。」漢．孔安國．傳：「阱，穿地陷獸，當以土室敜之。」 |</v>
      </c>
    </row>
    <row r="4437" spans="1:44" hidden="1">
      <c r="A4437" s="1" t="s">
        <v>7452</v>
      </c>
      <c r="C4437" s="1">
        <v>1</v>
      </c>
      <c r="D4437" s="1" t="str">
        <f>"03047"</f>
        <v>03047</v>
      </c>
      <c r="E4437" s="1" t="s">
        <v>691</v>
      </c>
      <c r="F4437" s="1">
        <v>12</v>
      </c>
      <c r="G4437" s="1">
        <v>9</v>
      </c>
      <c r="H4437" s="1">
        <v>0</v>
      </c>
      <c r="I4437" s="1" t="s">
        <v>7429</v>
      </c>
      <c r="K4437" s="1" t="str">
        <f t="shared" si="273"/>
        <v>ㄋ</v>
      </c>
      <c r="L4437" s="1" t="str">
        <f t="shared" si="274"/>
        <v>ㄧ</v>
      </c>
      <c r="M4437" s="1" t="str">
        <f t="shared" si="275"/>
        <v>ㄝ</v>
      </c>
      <c r="P4437" s="1" t="s">
        <v>20</v>
      </c>
      <c r="R4437" s="1" t="s">
        <v>7430</v>
      </c>
      <c r="V4437" s="1" t="s">
        <v>7453</v>
      </c>
      <c r="AR4437" s="1" t="str">
        <f t="shared" si="276"/>
        <v>| [ㄋㄧㄝˋ](ㄋㄧㄝˋ.md) | [隉](隉.md) |  | niè | 參見「阢隉」條。 |</v>
      </c>
    </row>
    <row r="4438" spans="1:44" hidden="1">
      <c r="A4438" s="1" t="s">
        <v>7454</v>
      </c>
      <c r="C4438" s="1">
        <v>1</v>
      </c>
      <c r="D4438" s="1" t="str">
        <f>"03048"</f>
        <v>03048</v>
      </c>
      <c r="E4438" s="1" t="s">
        <v>139</v>
      </c>
      <c r="F4438" s="1">
        <v>13</v>
      </c>
      <c r="G4438" s="1">
        <v>9</v>
      </c>
      <c r="H4438" s="1">
        <v>2</v>
      </c>
      <c r="I4438" s="1" t="s">
        <v>7429</v>
      </c>
      <c r="K4438" s="1" t="str">
        <f t="shared" si="273"/>
        <v>ㄋ</v>
      </c>
      <c r="L4438" s="1" t="str">
        <f t="shared" si="274"/>
        <v>ㄧ</v>
      </c>
      <c r="M4438" s="1" t="str">
        <f t="shared" si="275"/>
        <v>ㄝ</v>
      </c>
      <c r="P4438" s="1" t="s">
        <v>110</v>
      </c>
      <c r="R4438" s="1" t="s">
        <v>7430</v>
      </c>
      <c r="V4438" s="1" t="s">
        <v>7455</v>
      </c>
      <c r="W4438" s="1" t="s">
        <v>7456</v>
      </c>
      <c r="AR4438" s="1" t="str">
        <f t="shared" si="276"/>
        <v>| [ㄋㄧㄝˋ](ㄋㄧㄝˋ.md) | [業](業.md) |  | niè | (一)[名]6.之又音。 |</v>
      </c>
    </row>
    <row r="4439" spans="1:44" hidden="1">
      <c r="A4439" s="1" t="s">
        <v>7457</v>
      </c>
      <c r="C4439" s="1">
        <v>1</v>
      </c>
      <c r="D4439" s="1" t="str">
        <f>"03049"</f>
        <v>03049</v>
      </c>
      <c r="E4439" s="1" t="s">
        <v>77</v>
      </c>
      <c r="F4439" s="1">
        <v>14</v>
      </c>
      <c r="G4439" s="1">
        <v>7</v>
      </c>
      <c r="H4439" s="1">
        <v>0</v>
      </c>
      <c r="I4439" s="1" t="s">
        <v>7429</v>
      </c>
      <c r="K4439" s="1" t="str">
        <f t="shared" si="273"/>
        <v>ㄋ</v>
      </c>
      <c r="L4439" s="1" t="str">
        <f t="shared" si="274"/>
        <v>ㄧ</v>
      </c>
      <c r="M4439" s="1" t="str">
        <f t="shared" ref="M4439:M4470" si="277">MID(I4439, 3, 1)</f>
        <v>ㄝ</v>
      </c>
      <c r="P4439" s="1" t="s">
        <v>20</v>
      </c>
      <c r="R4439" s="1" t="s">
        <v>7430</v>
      </c>
      <c r="V4439" s="1" t="s">
        <v>7458</v>
      </c>
      <c r="AR4439" s="1" t="str">
        <f t="shared" si="276"/>
        <v>| [ㄋㄧㄝˋ](ㄋㄧㄝˋ.md) | [踂](踂.md) |  | niè | [名]
兩腳相併攏而不能交錯的疾病。《字彙．足部》：「踂，足不相過，一云聚合不解。」《穀梁傳．昭公二十年》：「兩足不能相過，齊謂之綦，楚謂之踂，衛謂之輒。」 |</v>
      </c>
    </row>
    <row r="4440" spans="1:44" hidden="1">
      <c r="A4440" s="1" t="s">
        <v>7459</v>
      </c>
      <c r="C4440" s="1">
        <v>1</v>
      </c>
      <c r="D4440" s="1" t="str">
        <f>"03050"</f>
        <v>03050</v>
      </c>
      <c r="E4440" s="1" t="s">
        <v>24</v>
      </c>
      <c r="F4440" s="1">
        <v>15</v>
      </c>
      <c r="G4440" s="1">
        <v>11</v>
      </c>
      <c r="H4440" s="1">
        <v>0</v>
      </c>
      <c r="I4440" s="1" t="s">
        <v>7429</v>
      </c>
      <c r="K4440" s="1" t="str">
        <f t="shared" si="273"/>
        <v>ㄋ</v>
      </c>
      <c r="L4440" s="1" t="str">
        <f t="shared" si="274"/>
        <v>ㄧ</v>
      </c>
      <c r="M4440" s="1" t="str">
        <f t="shared" si="277"/>
        <v>ㄝ</v>
      </c>
      <c r="P4440" s="1" t="s">
        <v>20</v>
      </c>
      <c r="R4440" s="1" t="s">
        <v>7430</v>
      </c>
      <c r="V4440" s="1" t="s">
        <v>7460</v>
      </c>
      <c r="AR4440" s="1" t="str">
        <f t="shared" si="276"/>
        <v>| [ㄋㄧㄝˋ](ㄋㄧㄝˋ.md) | [摰](摰.md) |  | niè | [形]
危險、不安。《周禮．冬官考工記．輪人》：「轂小而長則柞，大而短則摰。」漢．鄭玄．注：「鄭司農云：『摰讀為槷，謂輻危槷也。』玄謂小而長則菑中弱，大而短則轂末不堅。」 |</v>
      </c>
    </row>
    <row r="4441" spans="1:44" hidden="1">
      <c r="A4441" s="1" t="s">
        <v>7461</v>
      </c>
      <c r="C4441" s="1">
        <v>1</v>
      </c>
      <c r="D4441" s="1" t="str">
        <f>"03051"</f>
        <v>03051</v>
      </c>
      <c r="E4441" s="1" t="s">
        <v>2419</v>
      </c>
      <c r="F4441" s="1">
        <v>18</v>
      </c>
      <c r="G4441" s="1">
        <v>12</v>
      </c>
      <c r="H4441" s="1">
        <v>0</v>
      </c>
      <c r="I4441" s="1" t="s">
        <v>7429</v>
      </c>
      <c r="K4441" s="1" t="str">
        <f t="shared" si="273"/>
        <v>ㄋ</v>
      </c>
      <c r="L4441" s="1" t="str">
        <f t="shared" si="274"/>
        <v>ㄧ</v>
      </c>
      <c r="M4441" s="1" t="str">
        <f t="shared" si="277"/>
        <v>ㄝ</v>
      </c>
      <c r="P4441" s="1" t="s">
        <v>20</v>
      </c>
      <c r="R4441" s="1" t="s">
        <v>7430</v>
      </c>
      <c r="V4441" s="1" t="s">
        <v>7462</v>
      </c>
      <c r="AR4441" s="1" t="str">
        <f t="shared" si="276"/>
        <v>| [ㄋㄧㄝˋ](ㄋㄧㄝˋ.md) | [聶](聶.md) |  | niè | [動]_x000D_
附在耳邊小聲說話。《說文解字．耳部》：「聶，附耳私小語也。」《莊子．大宗師》：「瞻明聞之聶許。」唐．成玄英．疏：「聶，附耳私語也。」_x000D_
[名]_x000D_
姓。如戰國時代韓國有聶政。 |</v>
      </c>
    </row>
    <row r="4442" spans="1:44" hidden="1">
      <c r="A4442" s="1" t="s">
        <v>7463</v>
      </c>
      <c r="C4442" s="1">
        <v>1</v>
      </c>
      <c r="D4442" s="1" t="str">
        <f>"03052"</f>
        <v>03052</v>
      </c>
      <c r="E4442" s="1" t="s">
        <v>24</v>
      </c>
      <c r="F4442" s="1">
        <v>21</v>
      </c>
      <c r="G4442" s="1">
        <v>18</v>
      </c>
      <c r="H4442" s="1">
        <v>2</v>
      </c>
      <c r="I4442" s="1" t="s">
        <v>7429</v>
      </c>
      <c r="K4442" s="1" t="str">
        <f t="shared" si="273"/>
        <v>ㄋ</v>
      </c>
      <c r="L4442" s="1" t="str">
        <f t="shared" si="274"/>
        <v>ㄧ</v>
      </c>
      <c r="M4442" s="1" t="str">
        <f t="shared" si="277"/>
        <v>ㄝ</v>
      </c>
      <c r="P4442" s="1" t="s">
        <v>20</v>
      </c>
      <c r="R4442" s="1" t="s">
        <v>7430</v>
      </c>
      <c r="V4442" s="1" t="s">
        <v>7464</v>
      </c>
      <c r="W4442" s="1" t="s">
        <v>7465</v>
      </c>
      <c r="AR4442" s="1" t="str">
        <f t="shared" si="276"/>
        <v>| [ㄋㄧㄝˋ](ㄋㄧㄝˋ.md) | [攝](攝.md) |  | niè | [形]
安定的。《集韻．入聲．帖韻》：「攝，攝然，安也。」《漢書．卷六四上．嚴助傳》：「天下攝然，人安其生。」 |</v>
      </c>
    </row>
    <row r="4443" spans="1:44" hidden="1">
      <c r="A4443" s="1" t="s">
        <v>7466</v>
      </c>
      <c r="C4443" s="1">
        <v>1</v>
      </c>
      <c r="D4443" s="1" t="str">
        <f>"03053"</f>
        <v>03053</v>
      </c>
      <c r="E4443" s="1" t="s">
        <v>28</v>
      </c>
      <c r="F4443" s="1">
        <v>21</v>
      </c>
      <c r="G4443" s="1">
        <v>18</v>
      </c>
      <c r="H4443" s="1">
        <v>1</v>
      </c>
      <c r="I4443" s="1" t="s">
        <v>7429</v>
      </c>
      <c r="K4443" s="1" t="str">
        <f t="shared" si="273"/>
        <v>ㄋ</v>
      </c>
      <c r="L4443" s="1" t="str">
        <f t="shared" si="274"/>
        <v>ㄧ</v>
      </c>
      <c r="M4443" s="1" t="str">
        <f t="shared" si="277"/>
        <v>ㄝ</v>
      </c>
      <c r="P4443" s="1" t="s">
        <v>20</v>
      </c>
      <c r="R4443" s="1" t="s">
        <v>7430</v>
      </c>
      <c r="V4443" s="1" t="s">
        <v>7467</v>
      </c>
      <c r="W4443" s="1" t="s">
        <v>7468</v>
      </c>
      <c r="AR4443" s="1" t="str">
        <f t="shared" si="276"/>
        <v>| [ㄋㄧㄝˋ](ㄋㄧㄝˋ.md) | [囁](囁.md) |  | niè | 參見「呫囁」、「囁嚅」等條。 |</v>
      </c>
    </row>
    <row r="4444" spans="1:44" hidden="1">
      <c r="A4444" s="1" t="s">
        <v>7469</v>
      </c>
      <c r="C4444" s="1">
        <v>1</v>
      </c>
      <c r="D4444" s="1" t="str">
        <f>"03054"</f>
        <v>03054</v>
      </c>
      <c r="E4444" s="1" t="s">
        <v>77</v>
      </c>
      <c r="F4444" s="1">
        <v>25</v>
      </c>
      <c r="G4444" s="1">
        <v>18</v>
      </c>
      <c r="H4444" s="1">
        <v>0</v>
      </c>
      <c r="I4444" s="1" t="s">
        <v>7429</v>
      </c>
      <c r="K4444" s="1" t="str">
        <f t="shared" si="273"/>
        <v>ㄋ</v>
      </c>
      <c r="L4444" s="1" t="str">
        <f t="shared" si="274"/>
        <v>ㄧ</v>
      </c>
      <c r="M4444" s="1" t="str">
        <f t="shared" si="277"/>
        <v>ㄝ</v>
      </c>
      <c r="P4444" s="1" t="s">
        <v>20</v>
      </c>
      <c r="R4444" s="1" t="s">
        <v>7430</v>
      </c>
      <c r="V4444" s="1" t="s">
        <v>7470</v>
      </c>
      <c r="AR4444" s="1" t="str">
        <f t="shared" si="276"/>
        <v>| [ㄋㄧㄝˋ](ㄋㄧㄝˋ.md) | [躡](躡.md) |  | niè | [動]
1.踩踏。《史記．卷九二．淮陰侯傳》：「張良、陳平躡漢王足。」《聊齋志異．卷一．青鳳》：「生隱躡蓮鉤，女急斂足，亦無慍怒。」
2.登上。《文選．左思．詠史詩八首之二》：「世胄躡高位，英俊沉下僚。」《漢書．卷八七．揚雄傳上》：「梁弱水之濎濴兮，躡不周之逶蛇。」
3.放輕腳步行走。如：「躡手躡腳」。《程乙本紅樓夢》第四四回：「打的那丫頭一個趔趄，便躡腳兒走了。」
4.追隨、跟蹤。如：「躡蹤」。《三國志．卷五八．吳書．陸遜傳》：「抗使輕兵躡之。」《聊齋志異．卷四．胡四相公》：「忽一少年騎青駒，躡其後。」
5.穿著。宋．司馬光〈訓儉示康〉：「走卒類士服，農夫躡絲屨。」
[名]
古代織布機的踏板。晉．傅玄〈馬先生傳〉：「舊綾機五十綜者五十躡，六十綜者六十躡，先生患其喪功費日，乃皆易以十二躡。」 |</v>
      </c>
    </row>
    <row r="4445" spans="1:44" hidden="1">
      <c r="A4445" s="1" t="s">
        <v>7471</v>
      </c>
      <c r="C4445" s="1">
        <v>1</v>
      </c>
      <c r="D4445" s="1" t="str">
        <f>"03055"</f>
        <v>03055</v>
      </c>
      <c r="E4445" s="1" t="s">
        <v>55</v>
      </c>
      <c r="F4445" s="1">
        <v>26</v>
      </c>
      <c r="G4445" s="1">
        <v>18</v>
      </c>
      <c r="H4445" s="1">
        <v>0</v>
      </c>
      <c r="I4445" s="1" t="s">
        <v>7429</v>
      </c>
      <c r="K4445" s="1" t="str">
        <f t="shared" si="273"/>
        <v>ㄋ</v>
      </c>
      <c r="L4445" s="1" t="str">
        <f t="shared" si="274"/>
        <v>ㄧ</v>
      </c>
      <c r="M4445" s="1" t="str">
        <f t="shared" si="277"/>
        <v>ㄝ</v>
      </c>
      <c r="P4445" s="1" t="s">
        <v>20</v>
      </c>
      <c r="R4445" s="1" t="s">
        <v>7430</v>
      </c>
      <c r="V4445" s="1" t="s">
        <v>7472</v>
      </c>
      <c r="AR4445" s="1" t="str">
        <f t="shared" si="276"/>
        <v>| [ㄋㄧㄝˋ](ㄋㄧㄝˋ.md) | [鑷](鑷.md) |  | niè | [名]
1.拔除毛髮或夾取細小東西的鉗子。晉．左思〈白髮賦〉：「願戢子之手，攝子之鑷。」也稱為「鑷子」。
2.古代婦女修容的工具，亦用為首飾或髮夾。如：「花鑷」、「金鑷」。《南齊書．卷二〇．皇后傳．文安王皇后傳》：「而后床帷陳設故舊，釵鑷十餘枚。」南朝梁．江洪〈詠歌姬〉詩：「寶鑷間珠花，分明靚妝點。」
[動]
用鑷子夾取東西或拔取毛髮。如：「將砝碼鑷到天秤上。」晉．左思〈白髮賦〉：「以此見疵，將拔將鑷。」唐．韋莊〈鑷白〉詩：「白髮太無情，朝朝鑷又生。」 |</v>
      </c>
    </row>
    <row r="4446" spans="1:44" hidden="1">
      <c r="A4446" s="1" t="s">
        <v>7473</v>
      </c>
      <c r="C4446" s="1">
        <v>1</v>
      </c>
      <c r="D4446" s="1" t="str">
        <f>"03056"</f>
        <v>03056</v>
      </c>
      <c r="E4446" s="1" t="s">
        <v>684</v>
      </c>
      <c r="F4446" s="1">
        <v>27</v>
      </c>
      <c r="G4446" s="1">
        <v>18</v>
      </c>
      <c r="H4446" s="1">
        <v>0</v>
      </c>
      <c r="I4446" s="1" t="s">
        <v>7429</v>
      </c>
      <c r="K4446" s="1" t="str">
        <f t="shared" si="273"/>
        <v>ㄋ</v>
      </c>
      <c r="L4446" s="1" t="str">
        <f t="shared" si="274"/>
        <v>ㄧ</v>
      </c>
      <c r="M4446" s="1" t="str">
        <f t="shared" si="277"/>
        <v>ㄝ</v>
      </c>
      <c r="P4446" s="1" t="s">
        <v>20</v>
      </c>
      <c r="R4446" s="1" t="s">
        <v>7430</v>
      </c>
      <c r="V4446" s="1" t="s">
        <v>7474</v>
      </c>
      <c r="AR4446" s="1" t="str">
        <f t="shared" si="276"/>
        <v>| [ㄋㄧㄝˋ](ㄋㄧㄝˋ.md) | [顳](顳.md) |  | niè | [名]
顳顬：顳骨，頭骨之一。在頂骨下方位於兩耳上前方的部位，形狀扁平。《廣韻．入聲．葉韻》：「顳，顳顬，鬢骨。」 |</v>
      </c>
    </row>
    <row r="4447" spans="1:44" hidden="1">
      <c r="A4447" s="1" t="s">
        <v>7475</v>
      </c>
      <c r="C4447" s="1">
        <v>1</v>
      </c>
      <c r="D4447" s="1" t="str">
        <f>"03057"</f>
        <v>03057</v>
      </c>
      <c r="E4447" s="1" t="s">
        <v>241</v>
      </c>
      <c r="F4447" s="1">
        <v>20</v>
      </c>
      <c r="G4447" s="1">
        <v>17</v>
      </c>
      <c r="H4447" s="1">
        <v>0</v>
      </c>
      <c r="I4447" s="1" t="s">
        <v>7429</v>
      </c>
      <c r="K4447" s="1" t="str">
        <f t="shared" si="273"/>
        <v>ㄋ</v>
      </c>
      <c r="L4447" s="1" t="str">
        <f t="shared" si="274"/>
        <v>ㄧ</v>
      </c>
      <c r="M4447" s="1" t="str">
        <f t="shared" si="277"/>
        <v>ㄝ</v>
      </c>
      <c r="P4447" s="1" t="s">
        <v>20</v>
      </c>
      <c r="R4447" s="1" t="s">
        <v>7430</v>
      </c>
      <c r="V4447" s="1" t="s">
        <v>7476</v>
      </c>
      <c r="AR4447" s="1" t="str">
        <f t="shared" si="276"/>
        <v>| [ㄋㄧㄝˋ](ㄋㄧㄝˋ.md) | [孽](孽.md) |  | niè | [名]_x000D_
1.非正室所生的兒子。如：「孤臣孽子」。《公羊傳．襄公二十七年》：「夫負羈縶，執鈇鑕，從君東西南北，則是臣僕庶孽之事也。」漢．何休．解詁：「庶孽，眾賤子，猶樹之有孽生。」《史記．卷六八．商君列傳》：「商君者，衛之諸庶孽公子也。」_x000D_
2.災禍。如：「災孽」。《左傳．昭公十年》：「蘊利生孽，姑使無蘊乎。」《新唐書．卷九七．列傳．魏徵》：「今旱熯之災，遠被郡國；凶醜之孽，起於轂下。」_x000D_
3.惡因、罪過。如：「孽障」、「造孽」、「罪孽深重」。《董西廂》卷三：「多情彼此難割捨，都緣只是自家孽。」《紅樓夢》第三一回：「少作些孽罷！」_x000D_
4.亂黨、禍害。如：「餘孽」、「妖孽」。唐．韓愈〈與鄂州柳中丞書〉：「淮右殘孽，尚守巢窟。」_x000D_
[形]_x000D_
壞、禍。如：「孽種」、「孽根禍胎」。 |</v>
      </c>
    </row>
    <row r="4448" spans="1:44" hidden="1">
      <c r="A4448" s="1" t="s">
        <v>7477</v>
      </c>
      <c r="C4448" s="1">
        <v>1</v>
      </c>
      <c r="D4448" s="1" t="str">
        <f>"03058"</f>
        <v>03058</v>
      </c>
      <c r="E4448" s="1" t="s">
        <v>139</v>
      </c>
      <c r="F4448" s="1">
        <v>20</v>
      </c>
      <c r="G4448" s="1">
        <v>16</v>
      </c>
      <c r="H4448" s="1">
        <v>0</v>
      </c>
      <c r="I4448" s="1" t="s">
        <v>7429</v>
      </c>
      <c r="K4448" s="1" t="str">
        <f t="shared" ref="K4448:K4511" si="278">LEFT(I4448, 1)</f>
        <v>ㄋ</v>
      </c>
      <c r="L4448" s="1" t="str">
        <f t="shared" ref="L4448:L4511" si="279">MID(I4448, 2, 1)</f>
        <v>ㄧ</v>
      </c>
      <c r="M4448" s="1" t="str">
        <f t="shared" si="277"/>
        <v>ㄝ</v>
      </c>
      <c r="P4448" s="1" t="s">
        <v>20</v>
      </c>
      <c r="R4448" s="1" t="s">
        <v>7430</v>
      </c>
      <c r="V4448" s="1" t="s">
        <v>7478</v>
      </c>
      <c r="AR4448" s="1" t="str">
        <f t="shared" si="276"/>
        <v>| [ㄋㄧㄝˋ](ㄋㄧㄝˋ.md) | [櫱](櫱.md) |  | niè | [名]
1.樹木砍伐後長出的新芽。《書經．盤庚上》：「若顛木之有由櫱。」《國語．魯語上》：「山不槎櫱，澤不伐夭。」
2.泛指枝幹新長的枝芽。《孟子．告子上》：「是其日夜之所息，雨露之所潤，非無萌櫱之生焉。」 |</v>
      </c>
    </row>
    <row r="4449" spans="1:44" hidden="1">
      <c r="A4449" s="1" t="s">
        <v>7479</v>
      </c>
      <c r="C4449" s="1">
        <v>1</v>
      </c>
      <c r="D4449" s="1" t="str">
        <f>"03059"</f>
        <v>03059</v>
      </c>
      <c r="E4449" s="1" t="s">
        <v>46</v>
      </c>
      <c r="F4449" s="1">
        <v>22</v>
      </c>
      <c r="G4449" s="1">
        <v>16</v>
      </c>
      <c r="H4449" s="1">
        <v>0</v>
      </c>
      <c r="I4449" s="1" t="s">
        <v>7429</v>
      </c>
      <c r="K4449" s="1" t="str">
        <f t="shared" si="278"/>
        <v>ㄋ</v>
      </c>
      <c r="L4449" s="1" t="str">
        <f t="shared" si="279"/>
        <v>ㄧ</v>
      </c>
      <c r="M4449" s="1" t="str">
        <f t="shared" si="277"/>
        <v>ㄝ</v>
      </c>
      <c r="P4449" s="1" t="s">
        <v>20</v>
      </c>
      <c r="R4449" s="1" t="s">
        <v>7430</v>
      </c>
      <c r="V4449" s="1" t="s">
        <v>7480</v>
      </c>
      <c r="AR4449" s="1" t="str">
        <f t="shared" si="276"/>
        <v>| [ㄋㄧㄝˋ](ㄋㄧㄝˋ.md) | [糱](糱.md) |  | niè | [名]
釀酒的酵母。《禮記．禮運》：「故禮之於人也，猶酒之有糱也。」唐．杜甫〈歸來〉詩：「憑誰給麴糱，細酌老江干。」
[動]
釀成、造成。《漢書．卷五四．李廣傳》：「今舉事一不幸，全軀保妻子之臣隨而媒糱其短，誠可痛也！」 |</v>
      </c>
    </row>
    <row r="4450" spans="1:44" hidden="1">
      <c r="A4450" s="1" t="s">
        <v>7481</v>
      </c>
      <c r="C4450" s="1">
        <v>1</v>
      </c>
      <c r="D4450" s="1" t="str">
        <f>"03060"</f>
        <v>03060</v>
      </c>
      <c r="E4450" s="1" t="s">
        <v>49</v>
      </c>
      <c r="F4450" s="1">
        <v>20</v>
      </c>
      <c r="G4450" s="1">
        <v>14</v>
      </c>
      <c r="H4450" s="1">
        <v>0</v>
      </c>
      <c r="I4450" s="1" t="s">
        <v>7429</v>
      </c>
      <c r="K4450" s="1" t="str">
        <f t="shared" si="278"/>
        <v>ㄋ</v>
      </c>
      <c r="L4450" s="1" t="str">
        <f t="shared" si="279"/>
        <v>ㄧ</v>
      </c>
      <c r="M4450" s="1" t="str">
        <f t="shared" si="277"/>
        <v>ㄝ</v>
      </c>
      <c r="P4450" s="1" t="s">
        <v>20</v>
      </c>
      <c r="R4450" s="1" t="s">
        <v>7430</v>
      </c>
      <c r="V4450" s="1" t="s">
        <v>7482</v>
      </c>
      <c r="AR4450" s="1" t="str">
        <f t="shared" si="276"/>
        <v>| [ㄋㄧㄝˋ](ㄋㄧㄝˋ.md) | [籋](籋.md) |  | niè | [名]
用於夾取或拔除事物的器具，即鑷子。《說文解字．竹部》：「籋，箝也。」清．段玉裁．注：「夾取之器曰籋，今人以銅作之，謂之鑷子。」宋．陳瓘〈蝶戀花．有個胡兒模樣別〉詞：「籋子鑷來，須有千堆雪。」
[動]
1.用籋拔除或夾取。宋．蘇軾〈和孫叔靜兄弟李端叔唱和〉詩：「病骨瘦欲折，霜髯籋更疏。」
2.輕踏。通「躡」。《漢書．卷二二．禮樂志》：「籋浮雲，晻上馳。」顏師古注引蘇林曰：「籋音躡。言天馬上躡浮雲也。」 |</v>
      </c>
    </row>
    <row r="4451" spans="1:44" hidden="1">
      <c r="A4451" s="1" t="s">
        <v>7483</v>
      </c>
      <c r="C4451" s="1">
        <v>1</v>
      </c>
      <c r="D4451" s="1" t="str">
        <f>"03061"</f>
        <v>03061</v>
      </c>
      <c r="E4451" s="1" t="s">
        <v>592</v>
      </c>
      <c r="F4451" s="1">
        <v>21</v>
      </c>
      <c r="G4451" s="1">
        <v>6</v>
      </c>
      <c r="H4451" s="1">
        <v>0</v>
      </c>
      <c r="I4451" s="1" t="s">
        <v>7429</v>
      </c>
      <c r="K4451" s="1" t="str">
        <f t="shared" si="278"/>
        <v>ㄋ</v>
      </c>
      <c r="L4451" s="1" t="str">
        <f t="shared" si="279"/>
        <v>ㄧ</v>
      </c>
      <c r="M4451" s="1" t="str">
        <f t="shared" si="277"/>
        <v>ㄝ</v>
      </c>
      <c r="P4451" s="1" t="s">
        <v>20</v>
      </c>
      <c r="R4451" s="1" t="s">
        <v>7430</v>
      </c>
      <c r="V4451" s="1" t="s">
        <v>7484</v>
      </c>
      <c r="AR4451" s="1" t="str">
        <f t="shared" si="276"/>
        <v>| [ㄋㄧㄝˋ](ㄋㄧㄝˋ.md) | [齧](齧.md) |  | niè | [動]
1.啃、咬。《漢書．卷五四．蘇建傳》：「天雨雪，武臥齧雪與旃毛並咽之，數日不死。」唐．杜甫〈哀江頭〉詩：「輦前才人帶弓箭，白馬嚼齧黃金勒。」
2.侵蝕。《戰國策．魏策二》：「昔王季歷葬於楚山之尾，戀水齧其墓。」宋．陸游〈秋日出遊戲作〉詩二首之二：「薄雲韜日未成雨，野水齧沙爭赴溪。」
[名]
1.缺口。《淮南子．人間》：「夫牆之壞也於隙，劍之折必有齧。」
2.姓。如唐堯時代有賢人齧缺。 |</v>
      </c>
    </row>
    <row r="4452" spans="1:44" hidden="1">
      <c r="A4452" s="1" t="s">
        <v>7765</v>
      </c>
      <c r="C4452" s="1">
        <v>1</v>
      </c>
      <c r="D4452" s="1" t="str">
        <f>"03166"</f>
        <v>03166</v>
      </c>
      <c r="E4452" s="1" t="s">
        <v>660</v>
      </c>
      <c r="F4452" s="1">
        <v>9</v>
      </c>
      <c r="G4452" s="1">
        <v>3</v>
      </c>
      <c r="H4452" s="1">
        <v>0</v>
      </c>
      <c r="I4452" s="1" t="s">
        <v>7766</v>
      </c>
      <c r="K4452" s="1" t="str">
        <f t="shared" si="278"/>
        <v>ㄋ</v>
      </c>
      <c r="L4452" s="1" t="str">
        <f t="shared" si="279"/>
        <v>ㄩ</v>
      </c>
      <c r="M4452" s="1" t="str">
        <f t="shared" si="277"/>
        <v>ㄝ</v>
      </c>
      <c r="P4452" s="1" t="s">
        <v>20</v>
      </c>
      <c r="R4452" s="1" t="s">
        <v>7767</v>
      </c>
      <c r="V4452" s="1" t="s">
        <v>7768</v>
      </c>
      <c r="AR4452" s="1" t="str">
        <f t="shared" si="276"/>
        <v>| [ㄋㄩㄝˋ](ㄋㄩㄝˋ.md) | [虐](虐.md) |  | nüè | [動]
1.殘害。《孟子．梁惠王下》：「今燕虐其民，王往而征之。」
2.輕視。唐．柳宗元〈與友人論為文書〉：「而又榮古虐今者，比肩疊跡，大抵生則不遇，死而垂聲者眾焉。」
[形]
1.殘忍。如：「虐政」、「虐吏」。北齊．顏之推《顏氏家訓．後娶》：「繼親虐則兄弟為讎。」
2.猛烈。《文選．陸機．演連珠五〇首之四七》：「臣聞虐暑薰天，不減堅冰之寒。」宋．陸游〈雪中尋梅〉詩二首之二：「幽香淡淡影疏疏，雪虐風饕亦自如。」
3.過分。如：「謔而不虐」。《遼史．卷九〇．蕭塔剌葛傳》：「何戲之虐也！」
[名]
1.殘暴。如：「助紂為虐」。《晉書．卷四二．王渾傳》：「刑獄得無冤濫，守長得無侵虐。」
2.災禍、災害。《書經．盤庚中》：「殷降大虐。」南朝齊．蕭子良〈密啟武帝〉：「播植既周，繼以旱虐。」
[副]
苛刻、嚴苛。如：「虐待」。《史記．卷六．秦始皇本紀》：「貪戾無厭，虐殺不已。」 |</v>
      </c>
    </row>
    <row r="4453" spans="1:44" hidden="1">
      <c r="A4453" s="1" t="s">
        <v>7769</v>
      </c>
      <c r="C4453" s="1">
        <v>1</v>
      </c>
      <c r="D4453" s="1" t="str">
        <f>"03167"</f>
        <v>03167</v>
      </c>
      <c r="E4453" s="1" t="s">
        <v>40</v>
      </c>
      <c r="F4453" s="1">
        <v>14</v>
      </c>
      <c r="G4453" s="1">
        <v>9</v>
      </c>
      <c r="H4453" s="1">
        <v>0</v>
      </c>
      <c r="I4453" s="1" t="s">
        <v>7766</v>
      </c>
      <c r="K4453" s="1" t="str">
        <f t="shared" si="278"/>
        <v>ㄋ</v>
      </c>
      <c r="L4453" s="1" t="str">
        <f t="shared" si="279"/>
        <v>ㄩ</v>
      </c>
      <c r="M4453" s="1" t="str">
        <f t="shared" si="277"/>
        <v>ㄝ</v>
      </c>
      <c r="P4453" s="1" t="s">
        <v>20</v>
      </c>
      <c r="R4453" s="1" t="s">
        <v>7767</v>
      </c>
      <c r="V4453" s="1" t="s">
        <v>7770</v>
      </c>
      <c r="AR4453" s="1" t="str">
        <f t="shared" si="276"/>
        <v>| [ㄋㄩㄝˋ](ㄋㄩㄝˋ.md) | [瘧](瘧.md) |  | nüè | 參見「瘧疾」條。 |</v>
      </c>
    </row>
    <row r="4454" spans="1:44" hidden="1">
      <c r="A4454" s="1" t="s">
        <v>7771</v>
      </c>
      <c r="C4454" s="1">
        <v>1</v>
      </c>
      <c r="D4454" s="1" t="str">
        <f>"03168"</f>
        <v>03168</v>
      </c>
      <c r="E4454" s="1" t="s">
        <v>331</v>
      </c>
      <c r="F4454" s="1">
        <v>16</v>
      </c>
      <c r="G4454" s="1">
        <v>9</v>
      </c>
      <c r="H4454" s="1">
        <v>0</v>
      </c>
      <c r="I4454" s="1" t="s">
        <v>7766</v>
      </c>
      <c r="K4454" s="1" t="str">
        <f t="shared" si="278"/>
        <v>ㄋ</v>
      </c>
      <c r="L4454" s="1" t="str">
        <f t="shared" si="279"/>
        <v>ㄩ</v>
      </c>
      <c r="M4454" s="1" t="str">
        <f t="shared" si="277"/>
        <v>ㄝ</v>
      </c>
      <c r="P4454" s="1" t="s">
        <v>20</v>
      </c>
      <c r="R4454" s="1" t="s">
        <v>7767</v>
      </c>
      <c r="V4454" s="1" t="s">
        <v>7772</v>
      </c>
      <c r="AR4454" s="1" t="str">
        <f t="shared" si="276"/>
        <v>| [ㄋㄩㄝˋ](ㄋㄩㄝˋ.md) | [謔](謔.md) |  | nüè | [動]
開玩笑、戲弄調笑。如：「戲謔」、「嘲謔」、「謔而不虐」。《詩經．鄭風．溱洧》：「伊其相謔，贈之以勺藥。」唐．李白〈將進酒〉：「陳王昔時宴平樂，斗酒十千恣歡謔。」 |</v>
      </c>
    </row>
    <row r="4455" spans="1:44" hidden="1">
      <c r="A4455" s="1" t="s">
        <v>5397</v>
      </c>
      <c r="C4455" s="1">
        <v>1</v>
      </c>
      <c r="D4455" s="1" t="str">
        <f>"03062"</f>
        <v>03062</v>
      </c>
      <c r="E4455" s="1" t="s">
        <v>272</v>
      </c>
      <c r="F4455" s="1">
        <v>11</v>
      </c>
      <c r="G4455" s="1">
        <v>0</v>
      </c>
      <c r="H4455" s="1">
        <v>1</v>
      </c>
      <c r="I4455" s="1" t="s">
        <v>7485</v>
      </c>
      <c r="K4455" s="1" t="str">
        <f t="shared" si="278"/>
        <v>ㄋ</v>
      </c>
      <c r="L4455" s="1" t="str">
        <f t="shared" si="279"/>
        <v>ㄧ</v>
      </c>
      <c r="M4455" s="1" t="str">
        <f t="shared" si="277"/>
        <v>ㄠ</v>
      </c>
      <c r="P4455" s="1" t="s">
        <v>20</v>
      </c>
      <c r="R4455" s="1" t="s">
        <v>7486</v>
      </c>
      <c r="V4455" s="1" t="s">
        <v>7487</v>
      </c>
      <c r="W4455" s="1" t="s">
        <v>7488</v>
      </c>
      <c r="AR4455" s="1" t="str">
        <f t="shared" si="276"/>
        <v>| [ㄋㄧㄠˇ](ㄋㄧㄠˇ.md) | [鳥](鳥.md) |  | niǎo | [名]
1.脊椎動物門的一個大類。卵生，體溫恆定，全身被羽毛。嘴內無齒，用肺呼吸。前肢變化為翅膀，能飛行，後肢為腳，用以行走或站立。一般鳥類均會飛翔，但亦有雙翼退化不能飛的，如雞、鴨、鵝、駝鳥等。種類繁多，遍布世界各地。
2.二一四部首之一。 |</v>
      </c>
    </row>
    <row r="4456" spans="1:44" hidden="1">
      <c r="A4456" s="1" t="s">
        <v>7489</v>
      </c>
      <c r="C4456" s="1">
        <v>1</v>
      </c>
      <c r="D4456" s="1" t="str">
        <f>"03063"</f>
        <v>03063</v>
      </c>
      <c r="E4456" s="1" t="s">
        <v>37</v>
      </c>
      <c r="F4456" s="1">
        <v>15</v>
      </c>
      <c r="G4456" s="1">
        <v>11</v>
      </c>
      <c r="H4456" s="1">
        <v>0</v>
      </c>
      <c r="I4456" s="1" t="s">
        <v>7485</v>
      </c>
      <c r="K4456" s="1" t="str">
        <f t="shared" si="278"/>
        <v>ㄋ</v>
      </c>
      <c r="L4456" s="1" t="str">
        <f t="shared" si="279"/>
        <v>ㄧ</v>
      </c>
      <c r="M4456" s="1" t="str">
        <f t="shared" si="277"/>
        <v>ㄠ</v>
      </c>
      <c r="P4456" s="1" t="s">
        <v>20</v>
      </c>
      <c r="R4456" s="1" t="s">
        <v>7486</v>
      </c>
      <c r="V4456" s="1" t="s">
        <v>7490</v>
      </c>
      <c r="AR4456" s="1" t="str">
        <f t="shared" si="276"/>
        <v>| [ㄋㄧㄠˇ](ㄋㄧㄠˇ.md) | [蔦](蔦.md) |  | niǎo | [名]_x000D_
植物名。桑寄生科槲寄生屬及梨果寄生屬，寄生性小灌木。包括「槲寄生」、「華南桑寄生」、「桑寄生」等多種植物，寄生於桑、榆等樹上；直立，下部有時橫臥，高約六十公分。葉長橢圓狀披針形、卵形至卵圓形。花單性，雌雄異株，綠白色（槲寄生屬）或兩性，紫紅色（梨果寄生屬）。果實球形。全株入藥，補肝腎，強筋骨。也稱為「桑寄生」。 |</v>
      </c>
    </row>
    <row r="4457" spans="1:44" hidden="1">
      <c r="A4457" s="1" t="s">
        <v>7491</v>
      </c>
      <c r="C4457" s="1">
        <v>1</v>
      </c>
      <c r="D4457" s="1" t="str">
        <f>"03064"</f>
        <v>03064</v>
      </c>
      <c r="E4457" s="1" t="s">
        <v>340</v>
      </c>
      <c r="F4457" s="1">
        <v>13</v>
      </c>
      <c r="G4457" s="1">
        <v>7</v>
      </c>
      <c r="H4457" s="1">
        <v>0</v>
      </c>
      <c r="I4457" s="1" t="s">
        <v>7485</v>
      </c>
      <c r="K4457" s="1" t="str">
        <f t="shared" si="278"/>
        <v>ㄋ</v>
      </c>
      <c r="L4457" s="1" t="str">
        <f t="shared" si="279"/>
        <v>ㄧ</v>
      </c>
      <c r="M4457" s="1" t="str">
        <f t="shared" si="277"/>
        <v>ㄠ</v>
      </c>
      <c r="P4457" s="1" t="s">
        <v>20</v>
      </c>
      <c r="R4457" s="1" t="s">
        <v>7486</v>
      </c>
      <c r="V4457" s="1" t="s">
        <v>7492</v>
      </c>
      <c r="AR4457" s="1" t="str">
        <f t="shared" si="276"/>
        <v>| [ㄋㄧㄠˇ](ㄋㄧㄠˇ.md) | [裊](裊.md) |  | niǎo | [形]
柔軟美好。如：「裊娜」、「裊裊婷婷」。漢．王延壽〈王孫賦〉：「緣百仞之高木，攀窈裊之長枝。」
[動]
1.搖曳、擺動。元．王實甫《西廂記．第二本．第一折》：「風裊篆煙不捲簾，雨打梨花深閉門。」明．陳子龍〈訴衷情．小桃枝下試羅裳〉詞：「風乍暖，日初長，裊垂楊。」
2.繚繞。如：「裊繞」。宋．柳永〈雪梅香．景蕭索〉詞：「漁市孤煙裊寒碧，水村殘葉舞愁紅。」 |</v>
      </c>
    </row>
    <row r="4458" spans="1:44" hidden="1">
      <c r="A4458" s="1" t="s">
        <v>7493</v>
      </c>
      <c r="C4458" s="1">
        <v>1</v>
      </c>
      <c r="D4458" s="1" t="str">
        <f>"03065"</f>
        <v>03065</v>
      </c>
      <c r="E4458" s="1" t="s">
        <v>534</v>
      </c>
      <c r="F4458" s="1">
        <v>16</v>
      </c>
      <c r="G4458" s="1">
        <v>13</v>
      </c>
      <c r="H4458" s="1">
        <v>0</v>
      </c>
      <c r="I4458" s="1" t="s">
        <v>7485</v>
      </c>
      <c r="K4458" s="1" t="str">
        <f t="shared" si="278"/>
        <v>ㄋ</v>
      </c>
      <c r="L4458" s="1" t="str">
        <f t="shared" si="279"/>
        <v>ㄧ</v>
      </c>
      <c r="M4458" s="1" t="str">
        <f t="shared" si="277"/>
        <v>ㄠ</v>
      </c>
      <c r="P4458" s="1" t="s">
        <v>20</v>
      </c>
      <c r="R4458" s="1" t="s">
        <v>7486</v>
      </c>
      <c r="V4458" s="1" t="s">
        <v>7494</v>
      </c>
      <c r="AR4458" s="1" t="str">
        <f t="shared" si="276"/>
        <v>| [ㄋㄧㄠˇ](ㄋㄧㄠˇ.md) | [嬝](嬝.md) |  | niǎo | [形]
細長柔軟。通「裊」。如：「嬝娜」。
[動]
搖曳。通「裊」。明．高濂《玉簪記》第一六齣：「抱琴彈向月明中，香嬝金猊動，人在蓬萊第幾宮？」 |</v>
      </c>
    </row>
    <row r="4459" spans="1:44" hidden="1">
      <c r="A4459" s="1" t="s">
        <v>7495</v>
      </c>
      <c r="C4459" s="1">
        <v>1</v>
      </c>
      <c r="D4459" s="1" t="str">
        <f>"03066"</f>
        <v>03066</v>
      </c>
      <c r="E4459" s="1" t="s">
        <v>534</v>
      </c>
      <c r="F4459" s="1">
        <v>13</v>
      </c>
      <c r="G4459" s="1">
        <v>10</v>
      </c>
      <c r="H4459" s="1">
        <v>0</v>
      </c>
      <c r="I4459" s="1" t="s">
        <v>7485</v>
      </c>
      <c r="K4459" s="1" t="str">
        <f t="shared" si="278"/>
        <v>ㄋ</v>
      </c>
      <c r="L4459" s="1" t="str">
        <f t="shared" si="279"/>
        <v>ㄧ</v>
      </c>
      <c r="M4459" s="1" t="str">
        <f t="shared" si="277"/>
        <v>ㄠ</v>
      </c>
      <c r="P4459" s="1" t="s">
        <v>20</v>
      </c>
      <c r="R4459" s="1" t="s">
        <v>7486</v>
      </c>
      <c r="V4459" s="1" t="s">
        <v>7496</v>
      </c>
      <c r="AR4459" s="1" t="str">
        <f t="shared" si="276"/>
        <v>| [ㄋㄧㄠˇ](ㄋㄧㄠˇ.md) | [嫋](嫋.md) |  | niǎo | [形]
1.嬌柔美好。通「裊」。如：「嫋娜」。《史記．卷一一七．司馬相如傳》：「柔橈嬛嬛，嫵媚姌嫋。」
2.音調悠揚婉轉。如：「餘音嫋嫋」。宋．蘇軾〈觀臺詩〉：「殘磬風中嫋，孤燈雪後青。」
[動]
搖擺、擺動。通「裊」。晉．陸雲〈為顧彥先贈婦往返〉詩四首之二：「雅步嫋纖腰，巧笑發皓齒。」唐．白居易〈答元八宗簡同遊曲江後明日見贈〉詩：「水禽翻白羽，風荷嫋翠莖。」 |</v>
      </c>
    </row>
    <row r="4460" spans="1:44" hidden="1">
      <c r="A4460" s="1" t="s">
        <v>7497</v>
      </c>
      <c r="C4460" s="1">
        <v>1</v>
      </c>
      <c r="D4460" s="1" t="str">
        <f>"03067"</f>
        <v>03067</v>
      </c>
      <c r="E4460" s="1" t="s">
        <v>340</v>
      </c>
      <c r="F4460" s="1">
        <v>16</v>
      </c>
      <c r="G4460" s="1">
        <v>10</v>
      </c>
      <c r="H4460" s="1">
        <v>0</v>
      </c>
      <c r="I4460" s="1" t="s">
        <v>7485</v>
      </c>
      <c r="K4460" s="1" t="str">
        <f t="shared" si="278"/>
        <v>ㄋ</v>
      </c>
      <c r="L4460" s="1" t="str">
        <f t="shared" si="279"/>
        <v>ㄧ</v>
      </c>
      <c r="M4460" s="1" t="str">
        <f t="shared" si="277"/>
        <v>ㄠ</v>
      </c>
      <c r="P4460" s="1" t="s">
        <v>20</v>
      </c>
      <c r="R4460" s="1" t="s">
        <v>7486</v>
      </c>
      <c r="V4460" s="1" t="s">
        <v>7498</v>
      </c>
      <c r="AR4460" s="1" t="str">
        <f t="shared" si="276"/>
        <v>| [ㄋㄧㄠˇ](ㄋㄧㄠˇ.md) | [褭](褭.md) |  | niǎo | [動]
1.以繩索控馬。《說文解字．衣部》：「褭，以組帶馬也。」
2.繚繞。通「裊」。唐．羅鄴〈鶯〉詩：「何事離人不堪聽，灞橋斜日褭垂楊。」
3.搖曳、搖擺。通「裊」。宋．陳深〈西江月．龍沫流芳旎旎〉詞：「銀葉初溫火緩，金猊靜褭煙微。」
4.吹拂。清．譚獻〈桂枝香．瑤流自碧〉詞：「簾波澹處留人景，褭西風數聲長笛。」
[形]
柔軟美好。通「裊」、「嫋」。唐．元稹〈春餘遣興〉詩：「簾開斜照入，樹褭游絲上。」 |</v>
      </c>
    </row>
    <row r="4461" spans="1:44" hidden="1">
      <c r="A4461" s="1" t="s">
        <v>7499</v>
      </c>
      <c r="C4461" s="1">
        <v>1</v>
      </c>
      <c r="D4461" s="1" t="str">
        <f>"03068"</f>
        <v>03068</v>
      </c>
      <c r="E4461" s="1" t="s">
        <v>534</v>
      </c>
      <c r="F4461" s="1">
        <v>17</v>
      </c>
      <c r="G4461" s="1">
        <v>14</v>
      </c>
      <c r="H4461" s="1">
        <v>0</v>
      </c>
      <c r="I4461" s="1" t="s">
        <v>7485</v>
      </c>
      <c r="K4461" s="1" t="str">
        <f t="shared" si="278"/>
        <v>ㄋ</v>
      </c>
      <c r="L4461" s="1" t="str">
        <f t="shared" si="279"/>
        <v>ㄧ</v>
      </c>
      <c r="M4461" s="1" t="str">
        <f t="shared" si="277"/>
        <v>ㄠ</v>
      </c>
      <c r="P4461" s="1" t="s">
        <v>20</v>
      </c>
      <c r="R4461" s="1" t="s">
        <v>7486</v>
      </c>
      <c r="V4461" s="1" t="s">
        <v>7500</v>
      </c>
      <c r="AR4461" s="1" t="str">
        <f t="shared" si="276"/>
        <v>| [ㄋㄧㄠˇ](ㄋㄧㄠˇ.md) | [嬲](嬲.md) |  | niǎo | [動]
1.戲弄。宋．韓駒〈送子飛弟歸荊南〉詩：「弟妹乘羊車，堂前走相嬲。」
2.擾亂、糾纏。《文選．嵇康．與山巨源絕交書》：「足下若嬲之不置，不過欲為官得人，以益時用耳。」《二十年目睹之怪現狀》第二六回：「我也聽見繼之、述農都說你，喜歡嬲人家說新聞故事。」 |</v>
      </c>
    </row>
    <row r="4462" spans="1:44" hidden="1">
      <c r="A4462" s="1" t="s">
        <v>7501</v>
      </c>
      <c r="C4462" s="1">
        <v>1</v>
      </c>
      <c r="D4462" s="1" t="str">
        <f>"03069"</f>
        <v>03069</v>
      </c>
      <c r="E4462" s="1" t="s">
        <v>871</v>
      </c>
      <c r="F4462" s="1">
        <v>7</v>
      </c>
      <c r="G4462" s="1">
        <v>4</v>
      </c>
      <c r="H4462" s="1">
        <v>0</v>
      </c>
      <c r="I4462" s="1" t="s">
        <v>7502</v>
      </c>
      <c r="K4462" s="1" t="str">
        <f t="shared" si="278"/>
        <v>ㄋ</v>
      </c>
      <c r="L4462" s="1" t="str">
        <f t="shared" si="279"/>
        <v>ㄧ</v>
      </c>
      <c r="M4462" s="1" t="str">
        <f t="shared" si="277"/>
        <v>ㄠ</v>
      </c>
      <c r="P4462" s="1" t="s">
        <v>20</v>
      </c>
      <c r="R4462" s="1" t="s">
        <v>7503</v>
      </c>
      <c r="V4462" s="1" t="s">
        <v>7504</v>
      </c>
      <c r="AR4462" s="1" t="str">
        <f t="shared" si="276"/>
        <v>| [ㄋㄧㄠˋ](ㄋㄧㄠˋ.md) | [尿](尿.md) |  | niào | [名]
人或動物經腎臟過濾分泌，由尿道排泄的液體。即小便。如：「溺尿」、「撒尿」、「他們嚇得屁滾尿流，落荒而逃。」
[動]
排尿。如：「尿床」、「嬰兒沒生病卻哭鬧得厲害時，通常不是肚子餓，就是把尿布尿溼了。」 |</v>
      </c>
    </row>
    <row r="4463" spans="1:44" hidden="1">
      <c r="A4463" s="1" t="s">
        <v>7408</v>
      </c>
      <c r="C4463" s="1">
        <v>1</v>
      </c>
      <c r="D4463" s="1" t="str">
        <f>"03070"</f>
        <v>03070</v>
      </c>
      <c r="E4463" s="1" t="s">
        <v>129</v>
      </c>
      <c r="F4463" s="1">
        <v>13</v>
      </c>
      <c r="G4463" s="1">
        <v>10</v>
      </c>
      <c r="H4463" s="1">
        <v>2</v>
      </c>
      <c r="I4463" s="1" t="s">
        <v>7502</v>
      </c>
      <c r="K4463" s="1" t="str">
        <f t="shared" si="278"/>
        <v>ㄋ</v>
      </c>
      <c r="L4463" s="1" t="str">
        <f t="shared" si="279"/>
        <v>ㄧ</v>
      </c>
      <c r="M4463" s="1" t="str">
        <f t="shared" si="277"/>
        <v>ㄠ</v>
      </c>
      <c r="P4463" s="1" t="s">
        <v>20</v>
      </c>
      <c r="R4463" s="1" t="s">
        <v>7503</v>
      </c>
      <c r="V4463" s="1" t="s">
        <v>7505</v>
      </c>
      <c r="W4463" s="1" t="s">
        <v>7506</v>
      </c>
      <c r="AR4463" s="1" t="str">
        <f t="shared" si="276"/>
        <v>| [ㄋㄧㄠˋ](ㄋㄧㄠˋ.md) | [溺](溺.md) |  | niào | [名]
小便。通「尿」。如：「便溺」、「尿溺」、「撒一泡溺」。《莊子．人間世》：「夫愛馬者，以筐盛矢，以蜄盛溺。」《紅樓夢》第七回：「兩日沒得水，得了半碗水給主子喝，他自己喝馬溺。」
[動]
撒溺。通「尿」。《史記．卷七九．范雎蔡澤傳》：「賓客醉者醉，更溺雎，故僇辱以懲後，令無妄言者。」《西遊記》第四五回：「那獃子揭衣服，忽喇喇，就似呂梁洪倒下坂來，沙沙的溺了一砂盆。」 |</v>
      </c>
    </row>
    <row r="4464" spans="1:44" hidden="1">
      <c r="A4464" s="1" t="s">
        <v>7507</v>
      </c>
      <c r="C4464" s="1">
        <v>1</v>
      </c>
      <c r="D4464" s="1" t="str">
        <f>"03071"</f>
        <v>03071</v>
      </c>
      <c r="E4464" s="1" t="s">
        <v>534</v>
      </c>
      <c r="F4464" s="1">
        <v>7</v>
      </c>
      <c r="G4464" s="1">
        <v>4</v>
      </c>
      <c r="H4464" s="1">
        <v>0</v>
      </c>
      <c r="I4464" s="1" t="s">
        <v>7508</v>
      </c>
      <c r="K4464" s="1" t="str">
        <f t="shared" si="278"/>
        <v>ㄋ</v>
      </c>
      <c r="L4464" s="1" t="str">
        <f t="shared" si="279"/>
        <v>ㄧ</v>
      </c>
      <c r="M4464" s="1" t="str">
        <f t="shared" si="277"/>
        <v>ㄡ</v>
      </c>
      <c r="P4464" s="1" t="s">
        <v>20</v>
      </c>
      <c r="R4464" s="1" t="s">
        <v>7509</v>
      </c>
      <c r="V4464" s="1" t="s">
        <v>7510</v>
      </c>
      <c r="AR4464" s="1" t="str">
        <f t="shared" si="276"/>
        <v>| [ㄋㄧㄡ](ㄋㄧㄡ.md) | [妞](妞.md) |  | niū | [名]_x000D_
用以稱呼女孩或指女孩。《兒女英雄傳》第二八回：「舅太太也笑道：『妞妞手兒拙，也不會作個好活計，親家太太慢慢兒的調理他罷。』」《孽海花》第二六回：「宮裡喚金妃做大妞兒，寶妃做二妞兒，都生得清麗文秀。」 |</v>
      </c>
    </row>
    <row r="4465" spans="1:44" hidden="1">
      <c r="A4465" s="1" t="s">
        <v>7511</v>
      </c>
      <c r="C4465" s="1">
        <v>1</v>
      </c>
      <c r="D4465" s="1" t="str">
        <f>"03072"</f>
        <v>03072</v>
      </c>
      <c r="E4465" s="1" t="s">
        <v>518</v>
      </c>
      <c r="F4465" s="1">
        <v>4</v>
      </c>
      <c r="G4465" s="1">
        <v>0</v>
      </c>
      <c r="H4465" s="1">
        <v>0</v>
      </c>
      <c r="I4465" s="1" t="s">
        <v>7512</v>
      </c>
      <c r="K4465" s="1" t="str">
        <f t="shared" si="278"/>
        <v>ㄋ</v>
      </c>
      <c r="L4465" s="1" t="str">
        <f t="shared" si="279"/>
        <v>ㄧ</v>
      </c>
      <c r="M4465" s="1" t="str">
        <f t="shared" si="277"/>
        <v>ㄡ</v>
      </c>
      <c r="P4465" s="1" t="s">
        <v>20</v>
      </c>
      <c r="R4465" s="1" t="s">
        <v>7513</v>
      </c>
      <c r="V4465" s="1" t="s">
        <v>7514</v>
      </c>
      <c r="AR4465" s="1" t="str">
        <f t="shared" si="276"/>
        <v>| [ㄋㄧㄡˊ](ㄋㄧㄡˊ.md) | [牛](牛.md) |  | niú | [名]_x000D_
1.動物名。脊椎動物哺乳綱偶蹄目。體形碩大，性情溫馴而力氣大，尾巴尖端有長毛，為草食性反芻類家畜。能供拉車、耕田，肉與乳皆可食用，而骨、皮、角等可做器具使用。_x000D_
2.星宿名。二十八星宿之一，北方玄武七宿的第二宿。_x000D_
3.星官名。牛宿之首，共有六顆星，在西方屬摩羯座。《晉書．卷一一．天文志上》：「牽牛六星，天之關梁，主犧牲事。」也稱為「牽牛」。但與俗稱「牽牛星」的河鼓二為不相干的星名。_x000D_
4.二一四部首之一。_x000D_
5.姓。如唐代有牛僧孺。_x000D_
[形]_x000D_
固執、倔強。如：「牛脾氣」、「牛性子」。《紅樓夢》第一七回：「眾人見寶玉牛心，都怪他獃痴不改。」 |</v>
      </c>
    </row>
    <row r="4466" spans="1:44" hidden="1">
      <c r="A4466" s="1" t="s">
        <v>7515</v>
      </c>
      <c r="C4466" s="1">
        <v>1</v>
      </c>
      <c r="D4466" s="1" t="str">
        <f>"03073"</f>
        <v>03073</v>
      </c>
      <c r="E4466" s="1" t="s">
        <v>250</v>
      </c>
      <c r="F4466" s="1">
        <v>7</v>
      </c>
      <c r="G4466" s="1">
        <v>4</v>
      </c>
      <c r="H4466" s="1">
        <v>0</v>
      </c>
      <c r="I4466" s="1" t="s">
        <v>7516</v>
      </c>
      <c r="K4466" s="1" t="str">
        <f t="shared" si="278"/>
        <v>ㄋ</v>
      </c>
      <c r="L4466" s="1" t="str">
        <f t="shared" si="279"/>
        <v>ㄧ</v>
      </c>
      <c r="M4466" s="1" t="str">
        <f t="shared" si="277"/>
        <v>ㄡ</v>
      </c>
      <c r="P4466" s="1" t="s">
        <v>20</v>
      </c>
      <c r="R4466" s="1" t="s">
        <v>7517</v>
      </c>
      <c r="V4466" s="1" t="s">
        <v>7518</v>
      </c>
      <c r="AR4466" s="1" t="str">
        <f t="shared" si="276"/>
        <v>| [ㄋㄧㄡˇ](ㄋㄧㄡˇ.md) | [忸](忸.md) |  | niǔ | [動]
習慣、熟習。《新唐書．卷一一九．白居易傳》：「又神策雜募市人，不忸于役，脫奔逃相動，諸軍必搖。」
[形]
參見「忸怩」條。 |</v>
      </c>
    </row>
    <row r="4467" spans="1:44" hidden="1">
      <c r="A4467" s="1" t="s">
        <v>7519</v>
      </c>
      <c r="C4467" s="1">
        <v>1</v>
      </c>
      <c r="D4467" s="1" t="str">
        <f>"03074"</f>
        <v>03074</v>
      </c>
      <c r="E4467" s="1" t="s">
        <v>24</v>
      </c>
      <c r="F4467" s="1">
        <v>7</v>
      </c>
      <c r="G4467" s="1">
        <v>4</v>
      </c>
      <c r="H4467" s="1">
        <v>0</v>
      </c>
      <c r="I4467" s="1" t="s">
        <v>7516</v>
      </c>
      <c r="K4467" s="1" t="str">
        <f t="shared" si="278"/>
        <v>ㄋ</v>
      </c>
      <c r="L4467" s="1" t="str">
        <f t="shared" si="279"/>
        <v>ㄧ</v>
      </c>
      <c r="M4467" s="1" t="str">
        <f t="shared" si="277"/>
        <v>ㄡ</v>
      </c>
      <c r="P4467" s="1" t="s">
        <v>20</v>
      </c>
      <c r="R4467" s="1" t="s">
        <v>7517</v>
      </c>
      <c r="V4467" s="1" t="s">
        <v>7520</v>
      </c>
      <c r="AR4467" s="1" t="str">
        <f t="shared" si="276"/>
        <v>| [ㄋㄧㄡˇ](ㄋㄧㄡˇ.md) | [扭](扭.md) |  | niǔ | [動]
1.手握緊東西而旋轉。如：「扭乾衣服」、「扭開門把」。元．無名氏《硃砂擔》第二折：「我這領布衫著雨淋溼了也，你與我扭一扭。」
2.回轉、掉轉。如：「扭頭就走」、「扭過臉來」。《水滸傳》第一三回：「周謹在馬上聽得腦後弓弦響，扭轉身來，便把傍牌來迎，卻早接個空。」
3.抓、揪住。如：「扭打在一起」、「警察扭住小偷不放」。《官場現形記》第三一回：「大眾見他二人扭在一處，只得一齊住手，過來相勸。」
4.身體左右搖擺。如：「小孩學步時還不會控制力道，走起路來總是扭來扭去的。」《西遊記》第二二回：「這條河若論老孫去時，只消把腰兒扭一扭，就過去了。」
5.用力過猛使筋骨或肌肉折轉而受傷。如：「小心別扭了腰。」、「扭傷腳踝」。
6.違逆、不順從。《紅樓夢》第四回：「薛蟠見母親如此說，情知扭不過，只得吩咐人夫，一路奔榮國府而來。」 |</v>
      </c>
    </row>
    <row r="4468" spans="1:44" hidden="1">
      <c r="A4468" s="1" t="s">
        <v>7521</v>
      </c>
      <c r="C4468" s="1">
        <v>1</v>
      </c>
      <c r="D4468" s="1" t="str">
        <f>"03075"</f>
        <v>03075</v>
      </c>
      <c r="E4468" s="1" t="s">
        <v>198</v>
      </c>
      <c r="F4468" s="1">
        <v>7</v>
      </c>
      <c r="G4468" s="1">
        <v>4</v>
      </c>
      <c r="H4468" s="1">
        <v>0</v>
      </c>
      <c r="I4468" s="1" t="s">
        <v>7516</v>
      </c>
      <c r="K4468" s="1" t="str">
        <f t="shared" si="278"/>
        <v>ㄋ</v>
      </c>
      <c r="L4468" s="1" t="str">
        <f t="shared" si="279"/>
        <v>ㄧ</v>
      </c>
      <c r="M4468" s="1" t="str">
        <f t="shared" si="277"/>
        <v>ㄡ</v>
      </c>
      <c r="P4468" s="1" t="s">
        <v>20</v>
      </c>
      <c r="R4468" s="1" t="s">
        <v>7517</v>
      </c>
      <c r="V4468" s="1" t="s">
        <v>7522</v>
      </c>
      <c r="AR4468" s="1" t="str">
        <f t="shared" si="276"/>
        <v>| [ㄋㄧㄡˇ](ㄋㄧㄡˇ.md) | [狃](狃.md) |  | niǔ | [動]
1.習慣、安於。唐．劉禹錫〈答饒州元使君書〉：「其民牟利鬥力，狃於輕悍，故用暴虐聞。」宋．蘇軾〈教戰守策〉：「步趨動作，使其四體狃於寒暑之變。」
2.拘泥、因襲。如：「狃於成見」、「狃於積習」。《水滸後傳》三七回：「陛下當枕戈達旦，以報父兄之仇，不可聽信庸人，狃於和議。」
3.貪、貪圖。如：「勿狃於急效」。宋．蘇軾〈代張方平諫用兵書〉：「故使狃於功利，慮患不深。」 |</v>
      </c>
    </row>
    <row r="4469" spans="1:44" hidden="1">
      <c r="A4469" s="1" t="s">
        <v>7523</v>
      </c>
      <c r="C4469" s="1">
        <v>1</v>
      </c>
      <c r="D4469" s="1" t="str">
        <f>"03076"</f>
        <v>03076</v>
      </c>
      <c r="E4469" s="1" t="s">
        <v>139</v>
      </c>
      <c r="F4469" s="1">
        <v>8</v>
      </c>
      <c r="G4469" s="1">
        <v>4</v>
      </c>
      <c r="H4469" s="1">
        <v>2</v>
      </c>
      <c r="I4469" s="1" t="s">
        <v>7516</v>
      </c>
      <c r="K4469" s="1" t="str">
        <f t="shared" si="278"/>
        <v>ㄋ</v>
      </c>
      <c r="L4469" s="1" t="str">
        <f t="shared" si="279"/>
        <v>ㄧ</v>
      </c>
      <c r="M4469" s="1" t="str">
        <f t="shared" si="277"/>
        <v>ㄡ</v>
      </c>
      <c r="P4469" s="1" t="s">
        <v>20</v>
      </c>
      <c r="R4469" s="1" t="s">
        <v>7517</v>
      </c>
      <c r="V4469" s="1" t="s">
        <v>7524</v>
      </c>
      <c r="W4469" s="1" t="s">
        <v>7525</v>
      </c>
      <c r="AR4469" s="1" t="str">
        <f t="shared" si="276"/>
        <v>| [ㄋㄧㄡˇ](ㄋㄧㄡˇ.md) | [杻](杻.md) |  | niǔ | [名]
植物名。冬青科冬青屬。常綠小喬木。葉互生，卵形，近全緣或先端具不明鋸齒。聚繖花序單生葉腋，花白色。果球形，紅熟。木質堅硬，可作車與弓幹。《詩經．唐風．山有樞》：「山有栲，隰有杻。」唐．孔穎達．正義引晉．陸機．疏：「杻，檍也。葉似杏而尖，白色，皮正赤，為木多曲少直，枝葉茂好，二月中葉疏，華如練而細蕊正白。……人或謂之牛筋，或謂之檍，材可為弓弩幹也。」也稱為「長梗冬青」、「刻脈冬青」。 |</v>
      </c>
    </row>
    <row r="4470" spans="1:44" hidden="1">
      <c r="A4470" s="1" t="s">
        <v>7526</v>
      </c>
      <c r="C4470" s="1">
        <v>1</v>
      </c>
      <c r="D4470" s="1" t="str">
        <f>"03077"</f>
        <v>03077</v>
      </c>
      <c r="E4470" s="1" t="s">
        <v>725</v>
      </c>
      <c r="F4470" s="1">
        <v>10</v>
      </c>
      <c r="G4470" s="1">
        <v>4</v>
      </c>
      <c r="H4470" s="1">
        <v>0</v>
      </c>
      <c r="I4470" s="1" t="s">
        <v>7516</v>
      </c>
      <c r="K4470" s="1" t="str">
        <f t="shared" si="278"/>
        <v>ㄋ</v>
      </c>
      <c r="L4470" s="1" t="str">
        <f t="shared" si="279"/>
        <v>ㄧ</v>
      </c>
      <c r="M4470" s="1" t="str">
        <f t="shared" si="277"/>
        <v>ㄡ</v>
      </c>
      <c r="P4470" s="1" t="s">
        <v>20</v>
      </c>
      <c r="R4470" s="1" t="s">
        <v>7517</v>
      </c>
      <c r="V4470" s="1" t="s">
        <v>7527</v>
      </c>
      <c r="AR4470" s="1" t="str">
        <f t="shared" si="276"/>
        <v>| [ㄋㄧㄡˇ](ㄋㄧㄡˇ.md) | [紐](紐.md) |  | niǔ | [名]_x000D_
1.器物可抓住的部位。如：「印紐」、「秤紐」、「門紐」。《淮南子．說林》：「龜紐之璽，賢者以為佩。」《晉書．卷二五．輿服志》：「又有秦始皇藍田玉璽，螭獸紐，在六璽之外，文曰『受天之命，皇帝壽昌』。」_x000D_
2.衣服的扣子。如：「紐扣」。《禮記．玉藻》：「居士錦帶，弟子縞帶，并紐約用組。」唐．孔穎達．正義：「紐謂帶之交結之處，以屬其紐；約者謂以物穿紐，約結其帶。」《土風錄．卷三．紐襻》：「衣紐之牝者曰紐襻。」_x000D_
3.控制事物的關鍵或機鍵。《莊子．人間世》：「是萬物之化也，禹舜之所紐也。」唐．李嶠〈攀龍臺碑〉：「若乃提六合之樞紐，扣二儀之鐍鑰。」_x000D_
4.聲韻學上指「聲紐」。如：「幫紐」、「滂紐」、「非紐」。清．梁國治《欽定音韻述微．凡例》：「字紐以三十六母為序。」_x000D_
5.量詞。《晉書．卷六．元帝紀》：「三月，慕容廆奉送玉璽三紐。」《說郛．卷七八．硯譜》：「黃帝得玉一紐，治為墨海，其上篆文曰：『帝鴻氏之硯。』」_x000D_
6.姓。如隋代有紐士雄。_x000D_
[動]_x000D_
1.綁、繫結。南朝齊．孔稚珪〈北山移文〉：「至其紐金章，綰墨綬，跨屬城之雄，冠百里之首。」明．李昌祺《剪燈餘話．卷四．江廟泥神記》：「有淑人兮邦之媛，珮明月兮紐蘭荃。」_x000D_
2.旋轉、回轉。通「扭」。《北史．卷七．齊本紀．顯祖文宣帝》：「或聚棘為馬，紐草為索，逼遣乘騎，牽引來去，流血灑地，以為娛樂。」《水滸傳》第四回：「話說當下魯提轄紐過身來看時，拖扯的不是別人，卻是渭州酒樓上救了的金老。」_x000D_
3.更改、改變。宋．司馬光〈奏為乞不將米折青苗錢狀〉：「若不能如此，須欲作青苗錢俵散之時，即乞不以元糶價貴賤，更不紐作見錢，只據所散與人戶石斗。」明．王行〈送李玄修詩序〉：「茍有別也，雖不能無惘然於分手之時，然終不紐其相聚之懽而為無益之戚矣！」_x000D_
4.補充、輔助。宋．朱長文《墨池編．卷一．唐林罕小説序》：「其篆文下及注中易字，便以隸書為音；如稍難者，則紐以四聲；四聲不足，乃加切韻。使學者簡而易從，渙然冰釋。」元．劉仁本〈慶元路玄妙觀重修道藏記〉：「中函靈祕洞玄之章，金科玉字之典，挾以天龍威勇之神，紐以尻輪環轉之柱，金碧焜燿，驚心駭睫。」 |</v>
      </c>
    </row>
    <row r="4471" spans="1:44" hidden="1">
      <c r="A4471" s="1" t="s">
        <v>7528</v>
      </c>
      <c r="C4471" s="1">
        <v>1</v>
      </c>
      <c r="D4471" s="1" t="str">
        <f>"03078"</f>
        <v>03078</v>
      </c>
      <c r="E4471" s="1" t="s">
        <v>55</v>
      </c>
      <c r="F4471" s="1">
        <v>12</v>
      </c>
      <c r="G4471" s="1">
        <v>4</v>
      </c>
      <c r="H4471" s="1">
        <v>0</v>
      </c>
      <c r="I4471" s="1" t="s">
        <v>7516</v>
      </c>
      <c r="K4471" s="1" t="str">
        <f t="shared" si="278"/>
        <v>ㄋ</v>
      </c>
      <c r="L4471" s="1" t="str">
        <f t="shared" si="279"/>
        <v>ㄧ</v>
      </c>
      <c r="M4471" s="1" t="str">
        <f t="shared" ref="M4471:M4502" si="280">MID(I4471, 3, 1)</f>
        <v>ㄡ</v>
      </c>
      <c r="P4471" s="1" t="s">
        <v>20</v>
      </c>
      <c r="R4471" s="1" t="s">
        <v>7517</v>
      </c>
      <c r="V4471" s="1" t="s">
        <v>7529</v>
      </c>
      <c r="AR4471" s="1" t="str">
        <f t="shared" si="276"/>
        <v>| [ㄋㄧㄡˇ](ㄋㄧㄡˇ.md) | [鈕](鈕.md) |  | niǔ | [名]_x000D_
1.器物抓提的部位。如：「印鈕」、「鎖鈕」。《晉書．卷二五．輿服志》：「皇太子金璽龜鈕，朱黃綬。」《二刻拍案驚奇》卷三九：「細看那鏡小小只有四五寸，面上精光閃爍，背上鼻鈕四傍，隱起窮奇饕餮魚龍波浪之形。」_x000D_
2.扣繫衣物的東西。通「紐」。如：「鈕釦」。《水滸傳》第二七回：「敞開胸脯，露出桃紅紗主腰，上面一色金鈕。」《紅樓夢》第二一回：「剛解開了鈕子，被襲人將手推開，又自扣了。」_x000D_
3.控制器物的關鍵。如：「電鈕」、「旋鈕」、「按鈕」。_x000D_
4.量詞。《南齊書．卷一八．祥瑞志》：「十年，蘭陵民齊伯生於六合山獲金璽一鈕，文曰『年予主』。」《宋史．卷一五四．輿服志六》：「至和二年，初，太宗以玉寶二鈕賜太祖之子德芳。」_x000D_
5.姓。如東晉時有鈕滔。_x000D_
[動]_x000D_
繫、扣上。《官場現形記》第五五回：「把長衣披在身上，來不及鈕扣子，拿扎腰攔腰一捆，拖了一雙鞋。」清．徐珂《清稗類鈔．風俗類．北人毀身求財》：「又一日，五道廟三岔路口，有黑衣快靴之群惡少洶洶自北來，中有衵服而外衣不鈕者一人，面血淋漓。」 |</v>
      </c>
    </row>
    <row r="4472" spans="1:44" hidden="1">
      <c r="A4472" s="1" t="s">
        <v>7530</v>
      </c>
      <c r="C4472" s="1">
        <v>1</v>
      </c>
      <c r="D4472" s="1" t="str">
        <f>"03079"</f>
        <v>03079</v>
      </c>
      <c r="E4472" s="1" t="s">
        <v>24</v>
      </c>
      <c r="F4472" s="1">
        <v>8</v>
      </c>
      <c r="G4472" s="1">
        <v>5</v>
      </c>
      <c r="H4472" s="1">
        <v>3</v>
      </c>
      <c r="I4472" s="1" t="s">
        <v>7531</v>
      </c>
      <c r="K4472" s="1" t="str">
        <f t="shared" si="278"/>
        <v>ㄋ</v>
      </c>
      <c r="L4472" s="1" t="str">
        <f t="shared" si="279"/>
        <v>ㄧ</v>
      </c>
      <c r="M4472" s="1" t="str">
        <f t="shared" si="280"/>
        <v>ㄡ</v>
      </c>
      <c r="P4472" s="1" t="s">
        <v>20</v>
      </c>
      <c r="R4472" s="1" t="s">
        <v>7532</v>
      </c>
      <c r="V4472" s="1" t="s">
        <v>7533</v>
      </c>
      <c r="W4472" s="1" t="s">
        <v>7534</v>
      </c>
      <c r="AR4472" s="1" t="str">
        <f t="shared" si="276"/>
        <v>| [ㄋㄧㄡˋ](ㄋㄧㄡˋ.md) | [拗](拗.md) |  | niù | [形]
固執、倔強。如：「他的脾氣真拗。」《警世通言．卷四．拗相公飲恨半山堂》：「因他性子執拗，主意一定，佛菩薩也勸他不轉，人皆呼為拗相公。」 |</v>
      </c>
    </row>
    <row r="4473" spans="1:44" hidden="1">
      <c r="A4473" s="1" t="s">
        <v>7535</v>
      </c>
      <c r="C4473" s="1">
        <v>1</v>
      </c>
      <c r="D4473" s="1" t="str">
        <f>"03080"</f>
        <v>03080</v>
      </c>
      <c r="E4473" s="1" t="s">
        <v>37</v>
      </c>
      <c r="F4473" s="1">
        <v>15</v>
      </c>
      <c r="G4473" s="1">
        <v>11</v>
      </c>
      <c r="H4473" s="1">
        <v>2</v>
      </c>
      <c r="I4473" s="1" t="s">
        <v>7536</v>
      </c>
      <c r="K4473" s="1" t="str">
        <f t="shared" si="278"/>
        <v>ㄋ</v>
      </c>
      <c r="L4473" s="1" t="str">
        <f t="shared" si="279"/>
        <v>ㄧ</v>
      </c>
      <c r="M4473" s="1" t="str">
        <f t="shared" si="280"/>
        <v>ㄢ</v>
      </c>
      <c r="P4473" s="1" t="s">
        <v>20</v>
      </c>
      <c r="R4473" s="1" t="s">
        <v>7537</v>
      </c>
      <c r="V4473" s="1" t="s">
        <v>7538</v>
      </c>
      <c r="W4473" s="1" t="s">
        <v>7539</v>
      </c>
      <c r="AR4473" s="1" t="str">
        <f t="shared" si="276"/>
        <v>| [ㄋㄧㄢ](ㄋㄧㄢ.md) | [蔫](蔫.md) |  | niān | [形]
精神委靡不振。如：「蔫溜溜」、「蔫不悄聲」、「氣索神蔫」、「他病了，氣色顯得有點蔫。」 |</v>
      </c>
    </row>
    <row r="4474" spans="1:44" hidden="1">
      <c r="A4474" s="1" t="s">
        <v>7540</v>
      </c>
      <c r="C4474" s="1">
        <v>1</v>
      </c>
      <c r="D4474" s="1" t="str">
        <f>"03081"</f>
        <v>03081</v>
      </c>
      <c r="E4474" s="1" t="s">
        <v>1386</v>
      </c>
      <c r="F4474" s="1">
        <v>6</v>
      </c>
      <c r="G4474" s="1">
        <v>3</v>
      </c>
      <c r="H4474" s="1">
        <v>0</v>
      </c>
      <c r="I4474" s="1" t="s">
        <v>7541</v>
      </c>
      <c r="K4474" s="1" t="str">
        <f t="shared" si="278"/>
        <v>ㄋ</v>
      </c>
      <c r="L4474" s="1" t="str">
        <f t="shared" si="279"/>
        <v>ㄧ</v>
      </c>
      <c r="M4474" s="1" t="str">
        <f t="shared" si="280"/>
        <v>ㄢ</v>
      </c>
      <c r="P4474" s="1" t="s">
        <v>20</v>
      </c>
      <c r="R4474" s="1" t="s">
        <v>7542</v>
      </c>
      <c r="V4474" s="1" t="s">
        <v>7543</v>
      </c>
      <c r="AR4474" s="1" t="str">
        <f t="shared" si="276"/>
        <v>| [ㄋㄧㄢˊ](ㄋㄧㄢˊ.md) | [年](年.md) |  | nián | [名]
1.相當於地球環繞太陽一周所需的時間。參見「太陽年」條。
2.收成、年成。如：「豐年」、「歉年」、「年景」。《新唐書．卷九九．列傳．戴冑》：「七月以來，霖潦未止，濱河南北，田正洿下，年之有亡未可知。」
3.年節。如：「過年」。宋．陳師道〈早春〉詩：「度臘不成雪，迎年遽得春。」《儒林外史》第一一回：「新年正月，公子回家拜祖父、母親的年回來。」
4.歲數、年齡。如：「盛年」、「延年益壽」、「年輕力壯」。唐．杜甫〈暮歸〉詩：「年過半百不稱意，明日看雲還杖藜。」
5.時代、時期。如：「八十年代」、「康熙年間」。唐．杜甫〈寄題江外草堂〉詩：「經營上元始，斷手寶應年。」
6.人生中的某時期。如：「童年」、「青少年」、「壯年」、「老年」。
7.量詞。計算時間的單位。一年有十二個月。如：「這件事要花四年才能完成。」
8.姓。如清代有年羹堯。
[形]
1.每年。如：「年鑑」、「年表」、「年刊」、「年產量」。
2.年節的。如：「年糕」、「年畫」、「辦年貨」。 |</v>
      </c>
    </row>
    <row r="4475" spans="1:44" hidden="1">
      <c r="A4475" s="1" t="s">
        <v>7544</v>
      </c>
      <c r="C4475" s="1">
        <v>1</v>
      </c>
      <c r="D4475" s="1" t="str">
        <f>"03082"</f>
        <v>03082</v>
      </c>
      <c r="E4475" s="1" t="s">
        <v>28</v>
      </c>
      <c r="F4475" s="1">
        <v>9</v>
      </c>
      <c r="G4475" s="1">
        <v>6</v>
      </c>
      <c r="H4475" s="1">
        <v>0</v>
      </c>
      <c r="I4475" s="1" t="s">
        <v>7541</v>
      </c>
      <c r="K4475" s="1" t="str">
        <f t="shared" si="278"/>
        <v>ㄋ</v>
      </c>
      <c r="L4475" s="1" t="str">
        <f t="shared" si="279"/>
        <v>ㄧ</v>
      </c>
      <c r="M4475" s="1" t="str">
        <f t="shared" si="280"/>
        <v>ㄢ</v>
      </c>
      <c r="P4475" s="1" t="s">
        <v>20</v>
      </c>
      <c r="R4475" s="1" t="s">
        <v>7542</v>
      </c>
      <c r="V4475" s="1" t="s">
        <v>7545</v>
      </c>
      <c r="AR4475" s="1" t="str">
        <f t="shared" si="276"/>
        <v>| [ㄋㄧㄢˊ](ㄋㄧㄢˊ.md) | [哖](哖.md) |  | nián | 參見「噍吧哖事件」條。 |</v>
      </c>
    </row>
    <row r="4476" spans="1:44" hidden="1">
      <c r="A4476" s="1" t="s">
        <v>5437</v>
      </c>
      <c r="C4476" s="1">
        <v>1</v>
      </c>
      <c r="D4476" s="1" t="str">
        <f>"03083"</f>
        <v>03083</v>
      </c>
      <c r="E4476" s="1" t="s">
        <v>24</v>
      </c>
      <c r="F4476" s="1">
        <v>8</v>
      </c>
      <c r="G4476" s="1">
        <v>5</v>
      </c>
      <c r="H4476" s="1">
        <v>1</v>
      </c>
      <c r="I4476" s="1" t="s">
        <v>7541</v>
      </c>
      <c r="K4476" s="1" t="str">
        <f t="shared" si="278"/>
        <v>ㄋ</v>
      </c>
      <c r="L4476" s="1" t="str">
        <f t="shared" si="279"/>
        <v>ㄧ</v>
      </c>
      <c r="M4476" s="1" t="str">
        <f t="shared" si="280"/>
        <v>ㄢ</v>
      </c>
      <c r="P4476" s="1" t="s">
        <v>20</v>
      </c>
      <c r="R4476" s="1" t="s">
        <v>7542</v>
      </c>
      <c r="V4476" s="1" t="s">
        <v>7546</v>
      </c>
      <c r="W4476" s="1" t="s">
        <v>7547</v>
      </c>
      <c r="AR4476" s="1" t="str">
        <f t="shared" si="276"/>
        <v>| [ㄋㄧㄢˊ](ㄋㄧㄢˊ.md) | [拈](拈.md) |  | nián | [動]
1.用手指夾取、捏取。如：「拈鬮」、「拈香」、「拈花微笑」。唐．杜甫〈絕句漫興〉詩九首之七：「舍西柔桑葉可拈，江畔細麥復纖纖。」《紅樓夢》第四〇回：「裡面盛著一排十根玉簪花棒，拈了一根，遞與平兒。」
2.耍弄、習弄。元．張國賓《合汗衫》第三折：「自家陳豹，年長一十八歲，膂力過人，十八般武藝，無有不拈，無有不會。」 |</v>
      </c>
    </row>
    <row r="4477" spans="1:44" hidden="1">
      <c r="A4477" s="1" t="s">
        <v>7548</v>
      </c>
      <c r="C4477" s="1">
        <v>1</v>
      </c>
      <c r="D4477" s="1" t="str">
        <f>"03084"</f>
        <v>03084</v>
      </c>
      <c r="E4477" s="1" t="s">
        <v>46</v>
      </c>
      <c r="F4477" s="1">
        <v>11</v>
      </c>
      <c r="G4477" s="1">
        <v>5</v>
      </c>
      <c r="H4477" s="1">
        <v>0</v>
      </c>
      <c r="I4477" s="1" t="s">
        <v>7541</v>
      </c>
      <c r="K4477" s="1" t="str">
        <f t="shared" si="278"/>
        <v>ㄋ</v>
      </c>
      <c r="L4477" s="1" t="str">
        <f t="shared" si="279"/>
        <v>ㄧ</v>
      </c>
      <c r="M4477" s="1" t="str">
        <f t="shared" si="280"/>
        <v>ㄢ</v>
      </c>
      <c r="P4477" s="1" t="s">
        <v>20</v>
      </c>
      <c r="R4477" s="1" t="s">
        <v>7542</v>
      </c>
      <c r="V4477" s="1" t="s">
        <v>7549</v>
      </c>
      <c r="AR4477" s="1" t="str">
        <f t="shared" si="276"/>
        <v>| [ㄋㄧㄢˊ](ㄋㄧㄢˊ.md) | [粘](粘.md) |  | nián | [動]_x000D_
1.附著。同「黏」。如：「麥芽糖粘得她衣服都是。」唐．杜甫〈贈王二十四侍御契四十韻〉：「稍稍息勞筋，網聚粘圓鯽。」宋．王禹偁〈杏花〉詩七首之一：「紅芳紫萼怯春寒，蓓蕾粘枝密作團。」_x000D_
2.糊貼。同「黏」。如：「粘海報」、「粘郵票」。《喻世明言．卷二．陳御史巧勘金釵鈿》：「有些磨壞的去處，再把些飯兒粘得硬硬的，墨兒塗得黑黑的。」《初刻拍案驚奇》卷二一：「恐店主人忘了，遂於沿路上令王吉于牆壁粘手榜。」_x000D_
[名]_x000D_
姓。如明代有粘鵬。 |</v>
      </c>
    </row>
    <row r="4478" spans="1:44" hidden="1">
      <c r="A4478" s="1" t="s">
        <v>7550</v>
      </c>
      <c r="C4478" s="1">
        <v>1</v>
      </c>
      <c r="D4478" s="1" t="str">
        <f>"03085"</f>
        <v>03085</v>
      </c>
      <c r="E4478" s="1" t="s">
        <v>156</v>
      </c>
      <c r="F4478" s="1">
        <v>16</v>
      </c>
      <c r="G4478" s="1">
        <v>5</v>
      </c>
      <c r="H4478" s="1">
        <v>0</v>
      </c>
      <c r="I4478" s="1" t="s">
        <v>7541</v>
      </c>
      <c r="K4478" s="1" t="str">
        <f t="shared" si="278"/>
        <v>ㄋ</v>
      </c>
      <c r="L4478" s="1" t="str">
        <f t="shared" si="279"/>
        <v>ㄧ</v>
      </c>
      <c r="M4478" s="1" t="str">
        <f t="shared" si="280"/>
        <v>ㄢ</v>
      </c>
      <c r="P4478" s="1" t="s">
        <v>20</v>
      </c>
      <c r="R4478" s="1" t="s">
        <v>7542</v>
      </c>
      <c r="V4478" s="1" t="s">
        <v>7551</v>
      </c>
      <c r="AR4478" s="1" t="str">
        <f t="shared" si="276"/>
        <v>| [ㄋㄧㄢˊ](ㄋㄧㄢˊ.md) | [鮎](鮎.md) |  | nián | 同「鯰」。 |</v>
      </c>
    </row>
    <row r="4479" spans="1:44" hidden="1">
      <c r="A4479" s="1" t="s">
        <v>7552</v>
      </c>
      <c r="C4479" s="1">
        <v>1</v>
      </c>
      <c r="D4479" s="1" t="str">
        <f>"03086"</f>
        <v>03086</v>
      </c>
      <c r="E4479" s="1" t="s">
        <v>7553</v>
      </c>
      <c r="F4479" s="1">
        <v>17</v>
      </c>
      <c r="G4479" s="1">
        <v>5</v>
      </c>
      <c r="H4479" s="1">
        <v>0</v>
      </c>
      <c r="I4479" s="1" t="s">
        <v>7541</v>
      </c>
      <c r="K4479" s="1" t="str">
        <f t="shared" si="278"/>
        <v>ㄋ</v>
      </c>
      <c r="L4479" s="1" t="str">
        <f t="shared" si="279"/>
        <v>ㄧ</v>
      </c>
      <c r="M4479" s="1" t="str">
        <f t="shared" si="280"/>
        <v>ㄢ</v>
      </c>
      <c r="P4479" s="1" t="s">
        <v>20</v>
      </c>
      <c r="R4479" s="1" t="s">
        <v>7542</v>
      </c>
      <c r="V4479" s="1" t="s">
        <v>7554</v>
      </c>
      <c r="AR4479" s="1" t="str">
        <f t="shared" si="276"/>
        <v>| [ㄋㄧㄢˊ](ㄋㄧㄢˊ.md) | [黏](黏.md) |  | nián | [動]
1.膠附、黏住。如：「黏貼」、「黏照片」、「黏郵票」。漢．王褒〈僮約〉：「黏雀張烏，結網捕魚。」
2.糾纏。如：「這小孩子很黏人。」
[形]
有黏性的。如：「黏液」、「黏土」。唐．白居易〈三謠．朱藤謠〉：「泥黏雪滑，足力不堪。」
[名]
1.一種圍棋下法。將兩顆棋子相連接，以鞏固陣地與解除對方威脅或進攻。
2.詩句平仄協調稱為「黏」，失調稱為「失黏」。 |</v>
      </c>
    </row>
    <row r="4480" spans="1:44" hidden="1">
      <c r="A4480" s="1" t="s">
        <v>7555</v>
      </c>
      <c r="C4480" s="1">
        <v>1</v>
      </c>
      <c r="D4480" s="1" t="str">
        <f>"03087"</f>
        <v>03087</v>
      </c>
      <c r="E4480" s="1" t="s">
        <v>156</v>
      </c>
      <c r="F4480" s="1">
        <v>19</v>
      </c>
      <c r="G4480" s="1">
        <v>8</v>
      </c>
      <c r="H4480" s="1">
        <v>0</v>
      </c>
      <c r="I4480" s="1" t="s">
        <v>7541</v>
      </c>
      <c r="K4480" s="1" t="str">
        <f t="shared" si="278"/>
        <v>ㄋ</v>
      </c>
      <c r="L4480" s="1" t="str">
        <f t="shared" si="279"/>
        <v>ㄧ</v>
      </c>
      <c r="M4480" s="1" t="str">
        <f t="shared" si="280"/>
        <v>ㄢ</v>
      </c>
      <c r="P4480" s="1" t="s">
        <v>20</v>
      </c>
      <c r="R4480" s="1" t="s">
        <v>7542</v>
      </c>
      <c r="V4480" s="1" t="s">
        <v>7556</v>
      </c>
      <c r="AR4480" s="1" t="str">
        <f t="shared" si="276"/>
        <v>| [ㄋㄧㄢˊ](ㄋㄧㄢˊ.md) | [鯰](鯰.md) |  | nián | [名]
鯰目鯰科魚類的統稱。頭大而扁，嘴闊，上下頜有四根長鬚，無鱗，皮膚多黏液。背蒼黑色，腹白，背鰭、胸鰭上棘刺有毒。約有二千五百多種，分布於世界各地。生長於河湖池沼中，白晝棲伏水底泥中，夜晚出來活動，以小魚、貝類、蛙類等維生。 |</v>
      </c>
    </row>
    <row r="4481" spans="1:44" hidden="1">
      <c r="A4481" s="1" t="s">
        <v>5437</v>
      </c>
      <c r="C4481" s="1">
        <v>1</v>
      </c>
      <c r="D4481" s="1" t="str">
        <f>"03088"</f>
        <v>03088</v>
      </c>
      <c r="E4481" s="1" t="s">
        <v>24</v>
      </c>
      <c r="F4481" s="1">
        <v>8</v>
      </c>
      <c r="G4481" s="1">
        <v>5</v>
      </c>
      <c r="H4481" s="1">
        <v>2</v>
      </c>
      <c r="I4481" s="1" t="s">
        <v>7557</v>
      </c>
      <c r="K4481" s="1" t="str">
        <f t="shared" si="278"/>
        <v>ㄋ</v>
      </c>
      <c r="L4481" s="1" t="str">
        <f t="shared" si="279"/>
        <v>ㄧ</v>
      </c>
      <c r="M4481" s="1" t="str">
        <f t="shared" si="280"/>
        <v>ㄢ</v>
      </c>
      <c r="P4481" s="1" t="s">
        <v>20</v>
      </c>
      <c r="R4481" s="1" t="s">
        <v>7558</v>
      </c>
      <c r="V4481" s="1" t="s">
        <v>7559</v>
      </c>
      <c r="W4481" s="1" t="s">
        <v>7560</v>
      </c>
      <c r="AR4481" s="1" t="str">
        <f t="shared" si="276"/>
        <v>| [ㄋㄧㄢˇ](ㄋㄧㄢˇ.md) | [拈](拈.md) |  | niǎn | [動]
用手指搓揉。通「捻」。如：「拈線」、「拈燈心」。《紅樓夢》第一〇五回：「賈政在外，心驚肉跳，拈鬚搓手的等候旨意。」 |</v>
      </c>
    </row>
    <row r="4482" spans="1:44" hidden="1">
      <c r="A4482" s="1" t="s">
        <v>7561</v>
      </c>
      <c r="C4482" s="1">
        <v>1</v>
      </c>
      <c r="D4482" s="1" t="str">
        <f>"03089"</f>
        <v>03089</v>
      </c>
      <c r="E4482" s="1" t="s">
        <v>129</v>
      </c>
      <c r="F4482" s="1">
        <v>11</v>
      </c>
      <c r="G4482" s="1">
        <v>8</v>
      </c>
      <c r="H4482" s="1">
        <v>1</v>
      </c>
      <c r="I4482" s="1" t="s">
        <v>7557</v>
      </c>
      <c r="K4482" s="1" t="str">
        <f t="shared" si="278"/>
        <v>ㄋ</v>
      </c>
      <c r="L4482" s="1" t="str">
        <f t="shared" si="279"/>
        <v>ㄧ</v>
      </c>
      <c r="M4482" s="1" t="str">
        <f t="shared" si="280"/>
        <v>ㄢ</v>
      </c>
      <c r="P4482" s="1" t="s">
        <v>20</v>
      </c>
      <c r="R4482" s="1" t="s">
        <v>7558</v>
      </c>
      <c r="V4482" s="1" t="s">
        <v>7562</v>
      </c>
      <c r="W4482" s="1" t="s">
        <v>7563</v>
      </c>
      <c r="AR4482" s="1" t="str">
        <f t="shared" si="276"/>
        <v>| [ㄋㄧㄢˇ](ㄋㄧㄢˇ.md) | [淰](淰.md) |  | niǎn | [形]
水面無波的樣子。《廣韻．上聲．豏韻》：「淰，水無波也。」
[名]
一種用以撈取水底淤泥的農具。明．張自烈《正字通．水部》：「淰，農具，取水底淤泥曰淰。」 |</v>
      </c>
    </row>
    <row r="4483" spans="1:44" hidden="1">
      <c r="A4483" s="1" t="s">
        <v>7422</v>
      </c>
      <c r="C4483" s="1">
        <v>1</v>
      </c>
      <c r="D4483" s="1" t="str">
        <f>"03090"</f>
        <v>03090</v>
      </c>
      <c r="E4483" s="1" t="s">
        <v>24</v>
      </c>
      <c r="F4483" s="1">
        <v>11</v>
      </c>
      <c r="G4483" s="1">
        <v>8</v>
      </c>
      <c r="H4483" s="1">
        <v>1</v>
      </c>
      <c r="I4483" s="1" t="s">
        <v>7557</v>
      </c>
      <c r="K4483" s="1" t="str">
        <f t="shared" si="278"/>
        <v>ㄋ</v>
      </c>
      <c r="L4483" s="1" t="str">
        <f t="shared" si="279"/>
        <v>ㄧ</v>
      </c>
      <c r="M4483" s="1" t="str">
        <f t="shared" si="280"/>
        <v>ㄢ</v>
      </c>
      <c r="P4483" s="1" t="s">
        <v>20</v>
      </c>
      <c r="R4483" s="1" t="s">
        <v>7558</v>
      </c>
      <c r="V4483" s="1" t="s">
        <v>7564</v>
      </c>
      <c r="W4483" s="1" t="s">
        <v>7565</v>
      </c>
      <c r="AR4483" s="1" t="str">
        <f t="shared" ref="AR4483:AR4546" si="281">"| ["&amp;I4483&amp;"]("&amp;I4483&amp;".md) | ["&amp;A4483&amp;"]("&amp;A4483&amp;".md) | "&amp;" | "&amp;R4483&amp;" | "&amp;V4483&amp;" |"</f>
        <v>| [ㄋㄧㄢˇ](ㄋㄧㄢˇ.md) | [捻](捻.md) |  | niǎn | [動]
1.用手指搓揉。如：「捻繩」、「捻鬍子」。《西遊記》第三八回：「你可把他都捻就了觔，單擺在那四十里路上兩旁，教那些人不放鷹犬，拿回城去。」
2.驅趕。如：「將那條狗捻走。」《醒世姻緣傳》第七八回：「再要扯謊，伊老哥你打了他不算，我捻了他不給他房住。」
[名]
1.用手指將紙、線搓揉成條狀物。如：「燈捻」、「麻捻」、「藥捻子」。《兒女英雄傳》第四回：「右手拿著一個火紙捻兒。」
2.參見「捻匪」條。 |</v>
      </c>
    </row>
    <row r="4484" spans="1:44" hidden="1">
      <c r="A4484" s="1" t="s">
        <v>7566</v>
      </c>
      <c r="C4484" s="1">
        <v>1</v>
      </c>
      <c r="D4484" s="1" t="str">
        <f>"03091"</f>
        <v>03091</v>
      </c>
      <c r="E4484" s="1" t="s">
        <v>71</v>
      </c>
      <c r="F4484" s="1">
        <v>15</v>
      </c>
      <c r="G4484" s="1">
        <v>8</v>
      </c>
      <c r="H4484" s="1">
        <v>0</v>
      </c>
      <c r="I4484" s="1" t="s">
        <v>7557</v>
      </c>
      <c r="K4484" s="1" t="str">
        <f t="shared" si="278"/>
        <v>ㄋ</v>
      </c>
      <c r="L4484" s="1" t="str">
        <f t="shared" si="279"/>
        <v>ㄧ</v>
      </c>
      <c r="M4484" s="1" t="str">
        <f t="shared" si="280"/>
        <v>ㄢ</v>
      </c>
      <c r="P4484" s="1" t="s">
        <v>20</v>
      </c>
      <c r="R4484" s="1" t="s">
        <v>7558</v>
      </c>
      <c r="V4484" s="1" t="s">
        <v>7567</v>
      </c>
      <c r="AR4484" s="1" t="str">
        <f t="shared" si="281"/>
        <v>| [ㄋㄧㄢˇ](ㄋㄧㄢˇ.md) | [輦](輦.md) |  | niǎn | [名]
1.以人力挽行、推拉的車。《史記．卷一二九．貨殖傳》：「卓氏見虜略，獨夫妻推輦，行詣遷處。」
2.古代皇帝的坐車，亦指貴族富豪的車子。唐．杜甫〈哀江頭〉詩：「昭陽殿裡第一人，同輦隨君侍君側。」《初刻拍案驚奇》卷二五：「長安中富貴之家，豪傑之士，輦輸金帛求聘他為偶的，不知其數。」
3.借指京城、京都。如：「輦轂之下」。《文選．左思．吳都賦》：「都輦殷而四奧來暨。」《京本通俗小說．錯斬崔寧》：「帝輦之下，怎容你這胡行！」
[動]
1.搭乘、乘坐。《荀子．大略》：「天子召諸侯，諸侯輦輿就馬，禮也。」
2.運載。《左傳．莊公十二年》：「以車輦其母。」唐．李商隱〈井泥四十韻〉：「工人三五輩，輦出土與泥。」 |</v>
      </c>
    </row>
    <row r="4485" spans="1:44" hidden="1">
      <c r="A4485" s="1" t="s">
        <v>7568</v>
      </c>
      <c r="C4485" s="1">
        <v>1</v>
      </c>
      <c r="D4485" s="1" t="str">
        <f>"03092"</f>
        <v>03092</v>
      </c>
      <c r="E4485" s="1" t="s">
        <v>24</v>
      </c>
      <c r="F4485" s="1">
        <v>18</v>
      </c>
      <c r="G4485" s="1">
        <v>15</v>
      </c>
      <c r="H4485" s="1">
        <v>0</v>
      </c>
      <c r="I4485" s="1" t="s">
        <v>7557</v>
      </c>
      <c r="K4485" s="1" t="str">
        <f t="shared" si="278"/>
        <v>ㄋ</v>
      </c>
      <c r="L4485" s="1" t="str">
        <f t="shared" si="279"/>
        <v>ㄧ</v>
      </c>
      <c r="M4485" s="1" t="str">
        <f t="shared" si="280"/>
        <v>ㄢ</v>
      </c>
      <c r="P4485" s="1" t="s">
        <v>20</v>
      </c>
      <c r="R4485" s="1" t="s">
        <v>7558</v>
      </c>
      <c r="V4485" s="1" t="s">
        <v>7569</v>
      </c>
      <c r="AR4485" s="1" t="str">
        <f t="shared" si="281"/>
        <v>| [ㄋㄧㄢˇ](ㄋㄧㄢˇ.md) | [攆](攆.md) |  | niǎn | [動]
1.驅逐、趕走。如：「把這隻狗攆走。」《紅樓夢》第五八回：「我們攆他，他不出去。」
2.追趕。如：「攆得上」、「攆不上」、「他攆上前，幫她提東西。」 |</v>
      </c>
    </row>
    <row r="4486" spans="1:44" hidden="1">
      <c r="A4486" s="1" t="s">
        <v>7570</v>
      </c>
      <c r="C4486" s="1">
        <v>1</v>
      </c>
      <c r="D4486" s="1" t="str">
        <f>"03093"</f>
        <v>03093</v>
      </c>
      <c r="E4486" s="1" t="s">
        <v>24</v>
      </c>
      <c r="F4486" s="1">
        <v>15</v>
      </c>
      <c r="G4486" s="1">
        <v>12</v>
      </c>
      <c r="H4486" s="1">
        <v>0</v>
      </c>
      <c r="I4486" s="1" t="s">
        <v>7557</v>
      </c>
      <c r="K4486" s="1" t="str">
        <f t="shared" si="278"/>
        <v>ㄋ</v>
      </c>
      <c r="L4486" s="1" t="str">
        <f t="shared" si="279"/>
        <v>ㄧ</v>
      </c>
      <c r="M4486" s="1" t="str">
        <f t="shared" si="280"/>
        <v>ㄢ</v>
      </c>
      <c r="P4486" s="1" t="s">
        <v>20</v>
      </c>
      <c r="R4486" s="1" t="s">
        <v>7558</v>
      </c>
      <c r="V4486" s="1" t="s">
        <v>7571</v>
      </c>
      <c r="AR4486" s="1" t="str">
        <f t="shared" si="281"/>
        <v>| [ㄋㄧㄢˇ](ㄋㄧㄢˇ.md) | [撚](撚.md) |  | niǎn | [動]
1.用手指捏取、夾取。如：「撚花」、「撚香」。《聊齋志異．卷二．嬰寧》：「有女郎攜婢，撚梅花一枝。」
2.握、拿。唐．杜牧〈重送〉詩：「手撚金僕姑，腰懸玉轆轤。」《水滸傳》第六回：「那漢撚著朴刀來鬥和尚。」
3.用手指揉搓。唐．韓偓〈詠手〉詩：「背人細撚垂臙鬢，向鏡輕勻襯臉霞。」
4.蹈蹂、踐踏。《淮南子．兵略》：「前後不相撚，左右不相干。」
5.驅逐、驅趕。《喻世明言．卷二．陳御史巧勘金釵鈿》：「魯公子聽小姐縊死，還道是做成的圈套，撚他出門。」
6.一種彈奏琵琶的手法。揉弄、撥弄。唐．白居易〈琵琶行〉：「輕攏慢撚抹復挑，初為霓裳後六么。」清．孔尚任《桃花扇》第二八齣：「舊桃花劉郎又撚，料得新吳宮西施不願。」 |</v>
      </c>
    </row>
    <row r="4487" spans="1:44" hidden="1">
      <c r="A4487" s="1" t="s">
        <v>7572</v>
      </c>
      <c r="C4487" s="1">
        <v>1</v>
      </c>
      <c r="D4487" s="1" t="str">
        <f>"03094"</f>
        <v>03094</v>
      </c>
      <c r="E4487" s="1" t="s">
        <v>169</v>
      </c>
      <c r="F4487" s="1">
        <v>15</v>
      </c>
      <c r="G4487" s="1">
        <v>10</v>
      </c>
      <c r="H4487" s="1">
        <v>0</v>
      </c>
      <c r="I4487" s="1" t="s">
        <v>7557</v>
      </c>
      <c r="K4487" s="1" t="str">
        <f t="shared" si="278"/>
        <v>ㄋ</v>
      </c>
      <c r="L4487" s="1" t="str">
        <f t="shared" si="279"/>
        <v>ㄧ</v>
      </c>
      <c r="M4487" s="1" t="str">
        <f t="shared" si="280"/>
        <v>ㄢ</v>
      </c>
      <c r="P4487" s="1" t="s">
        <v>20</v>
      </c>
      <c r="R4487" s="1" t="s">
        <v>7558</v>
      </c>
      <c r="V4487" s="1" t="s">
        <v>7573</v>
      </c>
      <c r="AR4487" s="1" t="str">
        <f t="shared" si="281"/>
        <v>| [ㄋㄧㄢˇ](ㄋㄧㄢˇ.md) | [碾](碾.md) |  | niǎn | [名]
用來滾壓、研磨或去除稻殼的器具。如：「石碾」、「藥碾」。宋．陸游〈十一月上七日蔬飯騾嶺小店〉詩：「建谿小春初出碾，一碗細乳浮銀粟。」
[動]
1.滾壓、軋碎。如：「碾米」、「碾茶」。唐．秦韜玉〈天街〉詩：「寶馬競隨朝暮客，香車爭碾古今塵。」宋．陸游〈卜算子．驛外斷橋邊〉詞：「零落成泥碾作塵，只有香如故。」
2.雕琢、琢磨。唐．李賀〈春懷引〉：「蟾蜍碾玉挂明弓，捍撥裝金打仙鳳。」《京本通俗小說．碾玉觀音》：「就叫崔寧下手，不過兩個月，碾成了這個玉觀音。」 |</v>
      </c>
    </row>
    <row r="4488" spans="1:44" hidden="1">
      <c r="A4488" s="1" t="s">
        <v>7574</v>
      </c>
      <c r="C4488" s="1">
        <v>1</v>
      </c>
      <c r="D4488" s="1" t="str">
        <f>"03095"</f>
        <v>03095</v>
      </c>
      <c r="E4488" s="1" t="s">
        <v>71</v>
      </c>
      <c r="F4488" s="1">
        <v>17</v>
      </c>
      <c r="G4488" s="1">
        <v>10</v>
      </c>
      <c r="H4488" s="1">
        <v>2</v>
      </c>
      <c r="I4488" s="1" t="s">
        <v>7557</v>
      </c>
      <c r="K4488" s="1" t="str">
        <f t="shared" si="278"/>
        <v>ㄋ</v>
      </c>
      <c r="L4488" s="1" t="str">
        <f t="shared" si="279"/>
        <v>ㄧ</v>
      </c>
      <c r="M4488" s="1" t="str">
        <f t="shared" si="280"/>
        <v>ㄢ</v>
      </c>
      <c r="P4488" s="1" t="s">
        <v>20</v>
      </c>
      <c r="R4488" s="1" t="s">
        <v>7558</v>
      </c>
      <c r="V4488" s="1" t="s">
        <v>7575</v>
      </c>
      <c r="W4488" s="1" t="s">
        <v>7576</v>
      </c>
      <c r="AR4488" s="1" t="str">
        <f t="shared" si="281"/>
        <v>| [ㄋㄧㄢˇ](ㄋㄧㄢˇ.md) | [輾](輾.md) |  | niǎn | [動]
1.以旋轉輪子軋碎、壓平。通「碾」。如：「輾穀」。
2.專指車輪的軋壓。如：「輾斃」、「輾傷」。唐．趙嘏〈哭李進士〉詩：「牽馬街中哭送君，靈車輾雪隔城聞。」 |</v>
      </c>
    </row>
    <row r="4489" spans="1:44" hidden="1">
      <c r="A4489" s="1" t="s">
        <v>7577</v>
      </c>
      <c r="C4489" s="1">
        <v>1</v>
      </c>
      <c r="D4489" s="1" t="str">
        <f>"03096"</f>
        <v>03096</v>
      </c>
      <c r="E4489" s="1" t="s">
        <v>1027</v>
      </c>
      <c r="F4489" s="1">
        <v>4</v>
      </c>
      <c r="G4489" s="1">
        <v>1</v>
      </c>
      <c r="H4489" s="1">
        <v>0</v>
      </c>
      <c r="I4489" s="1" t="s">
        <v>7578</v>
      </c>
      <c r="K4489" s="1" t="str">
        <f t="shared" si="278"/>
        <v>ㄋ</v>
      </c>
      <c r="L4489" s="1" t="str">
        <f t="shared" si="279"/>
        <v>ㄧ</v>
      </c>
      <c r="M4489" s="1" t="str">
        <f t="shared" si="280"/>
        <v>ㄢ</v>
      </c>
      <c r="P4489" s="1" t="s">
        <v>20</v>
      </c>
      <c r="R4489" s="1" t="s">
        <v>7579</v>
      </c>
      <c r="V4489" s="1" t="s">
        <v>7580</v>
      </c>
      <c r="AR4489" s="1" t="str">
        <f t="shared" si="281"/>
        <v>| [ㄋㄧㄢˋ](ㄋㄧㄢˋ.md) | [廿](廿.md) |  | niàn | [名]
二十。秦．李斯〈泰山刻石〉：「皇帝臨立，作制明法，臣下脩飭，廿有六年。」唐．杜甫〈客堂〉詩：「舊疾廿載來，衰年得無足。」 |</v>
      </c>
    </row>
    <row r="4490" spans="1:44" hidden="1">
      <c r="A4490" s="1" t="s">
        <v>7581</v>
      </c>
      <c r="C4490" s="1">
        <v>1</v>
      </c>
      <c r="D4490" s="1" t="str">
        <f>"03097"</f>
        <v>03097</v>
      </c>
      <c r="E4490" s="1" t="s">
        <v>250</v>
      </c>
      <c r="F4490" s="1">
        <v>8</v>
      </c>
      <c r="G4490" s="1">
        <v>4</v>
      </c>
      <c r="H4490" s="1">
        <v>0</v>
      </c>
      <c r="I4490" s="1" t="s">
        <v>7578</v>
      </c>
      <c r="K4490" s="1" t="str">
        <f t="shared" si="278"/>
        <v>ㄋ</v>
      </c>
      <c r="L4490" s="1" t="str">
        <f t="shared" si="279"/>
        <v>ㄧ</v>
      </c>
      <c r="M4490" s="1" t="str">
        <f t="shared" si="280"/>
        <v>ㄢ</v>
      </c>
      <c r="P4490" s="1" t="s">
        <v>20</v>
      </c>
      <c r="R4490" s="1" t="s">
        <v>7579</v>
      </c>
      <c r="V4490" s="1" t="s">
        <v>7582</v>
      </c>
      <c r="AR4490" s="1" t="str">
        <f t="shared" si="281"/>
        <v>| [ㄋㄧㄢˋ](ㄋㄧㄢˋ.md) | [念](念.md) |  | niàn | [動]
1.惦記。如：「思念」、「掛念」、「想念」。唐．白居易〈傷遠行賦〉：「但母念子之心，心可測而可量。」
2.憶念。佛教指將心清楚放在對象上而不忘失。如：「念佛」、「念施」。《大安般守意經．卷下》：「念出入息。」
3.吟誦、誦讀。通「唸」。如：「念書」、「念經」、「念咒」。《紅樓夢》第一四回：「說著，便吩咐彩明念花名冊，按名一個一個喚進來看視。」
4.讀、研習。如：「你現在念幾年級？」「他一念完中學，就開始工作了。」
5.反反覆覆述說著。如：「念叨」、「念念有詞」、「她嘴巴一直念個不停。」
6.記住。《論語．公冶長》：「伯夷、叔齊，不念舊惡，怨是用希。」
7.憐愛。唐．李賀〈勉愛行二首送小季之盧山〉詩二首之二：「江干幼客真可念，郊原晚吹悲號號。」宋．李清照〈鳳凰臺上憶吹簫．香冷金猊〉詞：「記取樓前綠水，應念我終日凝眸。」
[名]
1.極短的時間。如：「一念頃」、「念念分明」。《阿毘達磨俱舍釋論》卷一六：「偈曰：『一念。』釋曰：『此上品忍但一剎那，無長時。』」
2.念頭、想法。如：「雜念」、「一念之仁」。《紅樓夢》第四回：「這馮公子，空喜一場，一念未遂，反花了錢，送了命。」
3.二十。通「廿」。明．湯顯祖《牡丹亭》第三九齣：「湊著個韶陽小道姑，年方念八，頗有風情。」
4.姓。如北周有念賢。 |</v>
      </c>
    </row>
    <row r="4491" spans="1:44" hidden="1">
      <c r="A4491" s="1" t="s">
        <v>7583</v>
      </c>
      <c r="C4491" s="1">
        <v>1</v>
      </c>
      <c r="D4491" s="1" t="str">
        <f>"03098"</f>
        <v>03098</v>
      </c>
      <c r="E4491" s="1" t="s">
        <v>132</v>
      </c>
      <c r="F4491" s="1">
        <v>11</v>
      </c>
      <c r="G4491" s="1">
        <v>8</v>
      </c>
      <c r="H4491" s="1">
        <v>0</v>
      </c>
      <c r="I4491" s="1" t="s">
        <v>7578</v>
      </c>
      <c r="K4491" s="1" t="str">
        <f t="shared" si="278"/>
        <v>ㄋ</v>
      </c>
      <c r="L4491" s="1" t="str">
        <f t="shared" si="279"/>
        <v>ㄧ</v>
      </c>
      <c r="M4491" s="1" t="str">
        <f t="shared" si="280"/>
        <v>ㄢ</v>
      </c>
      <c r="P4491" s="1" t="s">
        <v>20</v>
      </c>
      <c r="R4491" s="1" t="s">
        <v>7579</v>
      </c>
      <c r="V4491" s="1" t="s">
        <v>7584</v>
      </c>
      <c r="AR4491" s="1" t="str">
        <f t="shared" si="281"/>
        <v>| [ㄋㄧㄢˋ](ㄋㄧㄢˋ.md) | [埝](埝.md) |  | niàn | [名]
防水而築的小土堤。《老殘遊記》第一三回：「這個河的毛病是太窄了，非放寬了不能安靜，必得廢了民埝，退守大堤。」 |</v>
      </c>
    </row>
    <row r="4492" spans="1:44" hidden="1">
      <c r="A4492" s="1" t="s">
        <v>7585</v>
      </c>
      <c r="C4492" s="1">
        <v>1</v>
      </c>
      <c r="D4492" s="1" t="str">
        <f>"03099"</f>
        <v>03099</v>
      </c>
      <c r="E4492" s="1" t="s">
        <v>28</v>
      </c>
      <c r="F4492" s="1">
        <v>11</v>
      </c>
      <c r="G4492" s="1">
        <v>8</v>
      </c>
      <c r="H4492" s="1">
        <v>0</v>
      </c>
      <c r="I4492" s="1" t="s">
        <v>7578</v>
      </c>
      <c r="K4492" s="1" t="str">
        <f t="shared" si="278"/>
        <v>ㄋ</v>
      </c>
      <c r="L4492" s="1" t="str">
        <f t="shared" si="279"/>
        <v>ㄧ</v>
      </c>
      <c r="M4492" s="1" t="str">
        <f t="shared" si="280"/>
        <v>ㄢ</v>
      </c>
      <c r="P4492" s="1" t="s">
        <v>20</v>
      </c>
      <c r="R4492" s="1" t="s">
        <v>7579</v>
      </c>
      <c r="V4492" s="1" t="s">
        <v>7586</v>
      </c>
      <c r="AR4492" s="1" t="str">
        <f t="shared" si="281"/>
        <v>| [ㄋㄧㄢˋ](ㄋㄧㄢˋ.md) | [唸](唸.md) |  | niàn | [動]
吟誦、誦讀。如：「唸書」、「唸經」、「唸咒」。《文明小史》第二八回：「我天天唸佛，又念救苦救難的高王觀世音經。」 |</v>
      </c>
    </row>
    <row r="4493" spans="1:44" hidden="1">
      <c r="A4493" s="1" t="s">
        <v>7706</v>
      </c>
      <c r="C4493" s="1">
        <v>1</v>
      </c>
      <c r="D4493" s="1" t="str">
        <f>"03145"</f>
        <v>03145</v>
      </c>
      <c r="E4493" s="1" t="s">
        <v>129</v>
      </c>
      <c r="F4493" s="1">
        <v>12</v>
      </c>
      <c r="G4493" s="1">
        <v>9</v>
      </c>
      <c r="H4493" s="1">
        <v>0</v>
      </c>
      <c r="I4493" s="1" t="s">
        <v>7707</v>
      </c>
      <c r="K4493" s="1" t="str">
        <f t="shared" si="278"/>
        <v>ㄋ</v>
      </c>
      <c r="L4493" s="1" t="str">
        <f t="shared" si="279"/>
        <v>ㄨ</v>
      </c>
      <c r="M4493" s="1" t="str">
        <f t="shared" si="280"/>
        <v>ㄢ</v>
      </c>
      <c r="P4493" s="1" t="s">
        <v>20</v>
      </c>
      <c r="R4493" s="1" t="s">
        <v>7708</v>
      </c>
      <c r="V4493" s="1" t="s">
        <v>7709</v>
      </c>
      <c r="AR4493" s="1" t="str">
        <f t="shared" si="281"/>
        <v>| [ㄋㄨㄢˇ](ㄋㄨㄢˇ.md) | [渜](渜.md) |  | nuǎn | [名]
溫水。《儀禮．士喪禮》：「浴用巾，挋用浴衣，渜濯棄于坎。」唐．賈公彥．疏：「潘水既經溫煮，名之為渜；已將沐浴，謂之為濯。」 |</v>
      </c>
    </row>
    <row r="4494" spans="1:44" hidden="1">
      <c r="A4494" s="1" t="s">
        <v>7710</v>
      </c>
      <c r="C4494" s="1">
        <v>1</v>
      </c>
      <c r="D4494" s="1" t="str">
        <f>"03146"</f>
        <v>03146</v>
      </c>
      <c r="E4494" s="1" t="s">
        <v>193</v>
      </c>
      <c r="F4494" s="1">
        <v>17</v>
      </c>
      <c r="G4494" s="1">
        <v>9</v>
      </c>
      <c r="H4494" s="1">
        <v>0</v>
      </c>
      <c r="I4494" s="1" t="s">
        <v>7707</v>
      </c>
      <c r="K4494" s="1" t="str">
        <f t="shared" si="278"/>
        <v>ㄋ</v>
      </c>
      <c r="L4494" s="1" t="str">
        <f t="shared" si="279"/>
        <v>ㄨ</v>
      </c>
      <c r="M4494" s="1" t="str">
        <f t="shared" si="280"/>
        <v>ㄢ</v>
      </c>
      <c r="P4494" s="1" t="s">
        <v>20</v>
      </c>
      <c r="R4494" s="1" t="s">
        <v>7708</v>
      </c>
      <c r="V4494" s="1" t="s">
        <v>7711</v>
      </c>
      <c r="AR4494" s="1" t="str">
        <f t="shared" si="281"/>
        <v>| [ㄋㄨㄢˇ](ㄋㄨㄢˇ.md) | [餪](餪.md) |  | nuǎn | [動]
親友餽贈食物給初嫁女。《廣韻．上聲．緩韻》：「餪，女嫁三日送食曰餪。」 |</v>
      </c>
    </row>
    <row r="4495" spans="1:44" hidden="1">
      <c r="A4495" s="1" t="s">
        <v>7712</v>
      </c>
      <c r="C4495" s="1">
        <v>1</v>
      </c>
      <c r="D4495" s="1" t="str">
        <f>"03147"</f>
        <v>03147</v>
      </c>
      <c r="E4495" s="1" t="s">
        <v>646</v>
      </c>
      <c r="F4495" s="1">
        <v>13</v>
      </c>
      <c r="G4495" s="1">
        <v>9</v>
      </c>
      <c r="H4495" s="1">
        <v>1</v>
      </c>
      <c r="I4495" s="1" t="s">
        <v>7707</v>
      </c>
      <c r="K4495" s="1" t="str">
        <f t="shared" si="278"/>
        <v>ㄋ</v>
      </c>
      <c r="L4495" s="1" t="str">
        <f t="shared" si="279"/>
        <v>ㄨ</v>
      </c>
      <c r="M4495" s="1" t="str">
        <f t="shared" si="280"/>
        <v>ㄢ</v>
      </c>
      <c r="P4495" s="1" t="s">
        <v>20</v>
      </c>
      <c r="R4495" s="1" t="s">
        <v>7708</v>
      </c>
      <c r="V4495" s="1" t="s">
        <v>7713</v>
      </c>
      <c r="W4495" s="1" t="s">
        <v>7714</v>
      </c>
      <c r="AR4495" s="1" t="str">
        <f t="shared" si="281"/>
        <v>| [ㄋㄨㄢˇ](ㄋㄨㄢˇ.md) | [暖](暖.md) |  | nuǎn | [形]
溫和、溫暖。如：「春暖花開」。《墨子．節用中》：「冬服紺緅之衣，輕且暖。」宋．歐陽修〈采桑子．春深雨過西湖好〉詞：「蝶亂蜂喧，晴日催花暖欲然。」
[動]
使冷的變溫熱。如：「暖酒」、「把手伸過來暖一下。」 |</v>
      </c>
    </row>
    <row r="4496" spans="1:44" hidden="1">
      <c r="A4496" s="1" t="s">
        <v>7587</v>
      </c>
      <c r="C4496" s="1">
        <v>1</v>
      </c>
      <c r="D4496" s="1" t="str">
        <f>"03100"</f>
        <v>03100</v>
      </c>
      <c r="E4496" s="1" t="s">
        <v>250</v>
      </c>
      <c r="F4496" s="1">
        <v>10</v>
      </c>
      <c r="G4496" s="1">
        <v>6</v>
      </c>
      <c r="H4496" s="1">
        <v>2</v>
      </c>
      <c r="I4496" s="1" t="s">
        <v>7588</v>
      </c>
      <c r="K4496" s="1" t="str">
        <f t="shared" si="278"/>
        <v>ㄋ</v>
      </c>
      <c r="L4496" s="1" t="str">
        <f t="shared" si="279"/>
        <v>ㄧ</v>
      </c>
      <c r="M4496" s="1" t="str">
        <f t="shared" si="280"/>
        <v>ㄣ</v>
      </c>
      <c r="P4496" s="1" t="s">
        <v>20</v>
      </c>
      <c r="R4496" s="1" t="s">
        <v>7589</v>
      </c>
      <c r="V4496" s="1" t="s">
        <v>7590</v>
      </c>
      <c r="W4496" s="1" t="s">
        <v>7591</v>
      </c>
      <c r="AR4496" s="1" t="str">
        <f t="shared" si="281"/>
        <v>| [ㄋㄧㄣˊ](ㄋㄧㄣˊ.md) | [恁](恁.md) |  | nín | [代]
第二人稱。通「你」、「您」。《董西廂》卷四：「說恁心聰，算來有分咱家共。」明．王世貞《鳴鳳記》第一四齣：「縱然恁哀鳴千狀，我此心斷易不轉。」 |</v>
      </c>
    </row>
    <row r="4497" spans="1:44" hidden="1">
      <c r="A4497" s="1" t="s">
        <v>7592</v>
      </c>
      <c r="C4497" s="1">
        <v>1</v>
      </c>
      <c r="D4497" s="1" t="str">
        <f>"03101"</f>
        <v>03101</v>
      </c>
      <c r="E4497" s="1" t="s">
        <v>250</v>
      </c>
      <c r="F4497" s="1">
        <v>11</v>
      </c>
      <c r="G4497" s="1">
        <v>7</v>
      </c>
      <c r="H4497" s="1">
        <v>0</v>
      </c>
      <c r="I4497" s="1" t="s">
        <v>7588</v>
      </c>
      <c r="K4497" s="1" t="str">
        <f t="shared" si="278"/>
        <v>ㄋ</v>
      </c>
      <c r="L4497" s="1" t="str">
        <f t="shared" si="279"/>
        <v>ㄧ</v>
      </c>
      <c r="M4497" s="1" t="str">
        <f t="shared" si="280"/>
        <v>ㄣ</v>
      </c>
      <c r="P4497" s="1" t="s">
        <v>20</v>
      </c>
      <c r="R4497" s="1" t="s">
        <v>7589</v>
      </c>
      <c r="V4497" s="1" t="s">
        <v>7593</v>
      </c>
      <c r="AR4497" s="1" t="str">
        <f t="shared" si="281"/>
        <v>| [ㄋㄧㄣˊ](ㄋㄧㄣˊ.md) | [您](您.md) |  | nín | [代]
第二人稱。你的敬稱。多用於長輩。亦泛指你們。如：「您好？」、「您老人家要保重身體。」元．張國賓《合汗衫》第一折：「您言冬至我言春。」 |</v>
      </c>
    </row>
    <row r="4498" spans="1:44" hidden="1">
      <c r="A4498" s="1" t="s">
        <v>7715</v>
      </c>
      <c r="C4498" s="1">
        <v>1</v>
      </c>
      <c r="D4498" s="1" t="str">
        <f>"03148"</f>
        <v>03148</v>
      </c>
      <c r="E4498" s="1" t="s">
        <v>2591</v>
      </c>
      <c r="F4498" s="1">
        <v>20</v>
      </c>
      <c r="G4498" s="1">
        <v>9</v>
      </c>
      <c r="H4498" s="1">
        <v>0</v>
      </c>
      <c r="I4498" s="1" t="s">
        <v>7716</v>
      </c>
      <c r="K4498" s="1" t="str">
        <f t="shared" si="278"/>
        <v>ㄋ</v>
      </c>
      <c r="L4498" s="1" t="str">
        <f t="shared" si="279"/>
        <v>ㄨ</v>
      </c>
      <c r="M4498" s="1" t="str">
        <f t="shared" si="280"/>
        <v>ㄣ</v>
      </c>
      <c r="P4498" s="1" t="s">
        <v>20</v>
      </c>
      <c r="R4498" s="1" t="s">
        <v>7717</v>
      </c>
      <c r="V4498" s="1" t="s">
        <v>7718</v>
      </c>
      <c r="AR4498" s="1" t="str">
        <f t="shared" si="281"/>
        <v>| [ㄋㄨㄣˊ](ㄋㄨㄣˊ.md) | [黁](黁.md) |  | nún | [名]
芳香之氣。唐．皮日休〈奉和魯望玩金鸂鶒戲贈〉詩：「鏤羽彫毛迥出群，溫黁飄出麝臍熏。」 |</v>
      </c>
    </row>
    <row r="4499" spans="1:44" hidden="1">
      <c r="A4499" s="1" t="s">
        <v>7594</v>
      </c>
      <c r="C4499" s="1">
        <v>1</v>
      </c>
      <c r="D4499" s="1" t="str">
        <f>"03102"</f>
        <v>03102</v>
      </c>
      <c r="E4499" s="1" t="s">
        <v>534</v>
      </c>
      <c r="F4499" s="1">
        <v>10</v>
      </c>
      <c r="G4499" s="1">
        <v>7</v>
      </c>
      <c r="H4499" s="1">
        <v>0</v>
      </c>
      <c r="I4499" s="1" t="s">
        <v>7595</v>
      </c>
      <c r="K4499" s="1" t="str">
        <f t="shared" si="278"/>
        <v>ㄋ</v>
      </c>
      <c r="L4499" s="1" t="str">
        <f t="shared" si="279"/>
        <v>ㄧ</v>
      </c>
      <c r="M4499" s="1" t="str">
        <f t="shared" si="280"/>
        <v>ㄤ</v>
      </c>
      <c r="P4499" s="1" t="s">
        <v>20</v>
      </c>
      <c r="R4499" s="1" t="s">
        <v>7596</v>
      </c>
      <c r="V4499" s="1" t="s">
        <v>7597</v>
      </c>
      <c r="AR4499" s="1" t="str">
        <f t="shared" si="281"/>
        <v>| [ㄋㄧㄤˊ](ㄋㄧㄤˊ.md) | [娘](娘.md) |  | niáng | [名]_x000D_
1.少女。如：「姑娘」。《玉篇．女部》：「娘，少女之號。」《樂府詩集．卷四四．清商曲辭一．晉宋齊辭．子夜歌四二首之六》：「見娘善容媚，願得結金蘭。」_x000D_
2.稱謂。稱母親。通「孃」。如：「爹娘」。《水滸傳》第四二回：「我的哥哥又在別人家做長工，如何養得我娘快樂？」_x000D_
3.妻子。如：「娘子」、「老闆娘」。《警世通言．卷一三．三現身包龍圖斷冤》：「我教押司娘嫁這小孫押司，是肯也不？」_x000D_
4.對長輩或已婚婦女的通稱。如：「大娘」、「婆娘」、「姨娘」。唐．蔣防《霍小玉傳》：「長安有媒鮑十一娘者，故薛駙馬家青衣也。」_x000D_
5.舊時奴僕對女主人的敬稱。《金瓶梅》第二三回：「娘是小的一個主兒，娘不高抬貴手，小的一時兒存站不的。」_x000D_
6.罵人的話。語句中插入「娘」字，表示憎惡或怨恨。元．石君寶《紫雲庭》第二折：「俺兩處各心碎，是有遭間阻的也不似俺不吉利，兀的是甚末娘別離！」《水滸傳》第五回：「那大王卻待掙扎，魯智深把右手捏起拳頭，駡一聲『直娘賊』！」 |</v>
      </c>
    </row>
    <row r="4500" spans="1:44" hidden="1">
      <c r="A4500" s="1" t="s">
        <v>7598</v>
      </c>
      <c r="C4500" s="1">
        <v>1</v>
      </c>
      <c r="D4500" s="1" t="str">
        <f>"03103"</f>
        <v>03103</v>
      </c>
      <c r="E4500" s="1" t="s">
        <v>534</v>
      </c>
      <c r="F4500" s="1">
        <v>20</v>
      </c>
      <c r="G4500" s="1">
        <v>17</v>
      </c>
      <c r="H4500" s="1">
        <v>0</v>
      </c>
      <c r="I4500" s="1" t="s">
        <v>7595</v>
      </c>
      <c r="K4500" s="1" t="str">
        <f t="shared" si="278"/>
        <v>ㄋ</v>
      </c>
      <c r="L4500" s="1" t="str">
        <f t="shared" si="279"/>
        <v>ㄧ</v>
      </c>
      <c r="M4500" s="1" t="str">
        <f t="shared" si="280"/>
        <v>ㄤ</v>
      </c>
      <c r="P4500" s="1" t="s">
        <v>20</v>
      </c>
      <c r="R4500" s="1" t="s">
        <v>7596</v>
      </c>
      <c r="V4500" s="1" t="s">
        <v>7599</v>
      </c>
      <c r="AR4500" s="1" t="str">
        <f t="shared" si="281"/>
        <v>| [ㄋㄧㄤˊ](ㄋㄧㄤˊ.md) | [孃](孃.md) |  | niáng | [名]
母親。《玉篇．女部》：「孃，母也。」如：「爹孃」。唐．杜甫〈兵車行〉：「耶孃妻子走相送，塵埃不見咸陽橋。」 |</v>
      </c>
    </row>
    <row r="4501" spans="1:44" hidden="1">
      <c r="A4501" s="1" t="s">
        <v>7600</v>
      </c>
      <c r="C4501" s="1">
        <v>1</v>
      </c>
      <c r="D4501" s="1" t="str">
        <f>"03104"</f>
        <v>03104</v>
      </c>
      <c r="E4501" s="1" t="s">
        <v>1462</v>
      </c>
      <c r="F4501" s="1">
        <v>24</v>
      </c>
      <c r="G4501" s="1">
        <v>17</v>
      </c>
      <c r="H4501" s="1">
        <v>0</v>
      </c>
      <c r="I4501" s="1" t="s">
        <v>7601</v>
      </c>
      <c r="K4501" s="1" t="str">
        <f t="shared" si="278"/>
        <v>ㄋ</v>
      </c>
      <c r="L4501" s="1" t="str">
        <f t="shared" si="279"/>
        <v>ㄧ</v>
      </c>
      <c r="M4501" s="1" t="str">
        <f t="shared" si="280"/>
        <v>ㄤ</v>
      </c>
      <c r="P4501" s="1" t="s">
        <v>20</v>
      </c>
      <c r="R4501" s="1" t="s">
        <v>7602</v>
      </c>
      <c r="V4501" s="1" t="s">
        <v>7603</v>
      </c>
      <c r="AR4501" s="1" t="str">
        <f t="shared" si="281"/>
        <v>| [ㄋㄧㄤˋ](ㄋㄧㄤˋ.md) | [釀](釀.md) |  | niàng | [動]
1.利用發酵方法製造。如：「釀造」、「釀蜜」、「自釀」。《史記．卷七五．孟嘗君傳》：「迺多釀酒，買肥牛。」唐．杜甫〈遣意〉詩二首之一：「衰年催釀黍，細雨更移橙。」
2.逐漸孕育而成。如：「醞釀」、「釀成大禍」。《紅樓夢》第三三回：「明日釀到他弒君弒父，你們纔不勸不成！」
[名]
酒。如：「佳釀」、「陳釀」。《晉書．卷七七．何充傳》：「令人欲傾家釀。」《宋史．卷四四二．文苑傳四．蘇舜欽傳》：「渚茶野釀，足以銷憂。」 |</v>
      </c>
    </row>
    <row r="4502" spans="1:44" hidden="1">
      <c r="A4502" s="1" t="s">
        <v>7604</v>
      </c>
      <c r="C4502" s="1">
        <v>1</v>
      </c>
      <c r="D4502" s="1" t="str">
        <f>"03105"</f>
        <v>03105</v>
      </c>
      <c r="E4502" s="1" t="s">
        <v>839</v>
      </c>
      <c r="F4502" s="1">
        <v>12</v>
      </c>
      <c r="G4502" s="1">
        <v>7</v>
      </c>
      <c r="H4502" s="1">
        <v>2</v>
      </c>
      <c r="I4502" s="1" t="s">
        <v>7605</v>
      </c>
      <c r="K4502" s="1" t="str">
        <f t="shared" si="278"/>
        <v>ㄋ</v>
      </c>
      <c r="L4502" s="1" t="str">
        <f t="shared" si="279"/>
        <v>ㄧ</v>
      </c>
      <c r="M4502" s="1" t="str">
        <f t="shared" si="280"/>
        <v>ㄥ</v>
      </c>
      <c r="P4502" s="1" t="s">
        <v>20</v>
      </c>
      <c r="R4502" s="1" t="s">
        <v>7606</v>
      </c>
      <c r="V4502" s="1" t="s">
        <v>7607</v>
      </c>
      <c r="W4502" s="1" t="s">
        <v>7608</v>
      </c>
      <c r="AR4502" s="1" t="str">
        <f t="shared" si="281"/>
        <v>| [ㄋㄧㄥˊ](ㄋㄧㄥˊ.md) | [甯](甯.md) |  | níng | [動]
願、盼望。通「寧」。《說文解字．用部》：「甯，所願也。」如：「甯可」、「甯願」。《漢書．卷二二．禮樂志》：「穰穰復正直往甯。」唐．顏師古．注：「甯，願也。言獲福既多，歸於正道，克當往日所願也。」 |</v>
      </c>
    </row>
    <row r="4503" spans="1:44" hidden="1">
      <c r="A4503" s="1" t="s">
        <v>7609</v>
      </c>
      <c r="C4503" s="1">
        <v>1</v>
      </c>
      <c r="D4503" s="1" t="str">
        <f>"03106"</f>
        <v>03106</v>
      </c>
      <c r="E4503" s="1" t="s">
        <v>679</v>
      </c>
      <c r="F4503" s="1">
        <v>18</v>
      </c>
      <c r="G4503" s="1">
        <v>12</v>
      </c>
      <c r="H4503" s="1">
        <v>0</v>
      </c>
      <c r="I4503" s="1" t="s">
        <v>7605</v>
      </c>
      <c r="K4503" s="1" t="str">
        <f t="shared" si="278"/>
        <v>ㄋ</v>
      </c>
      <c r="L4503" s="1" t="str">
        <f t="shared" si="279"/>
        <v>ㄧ</v>
      </c>
      <c r="M4503" s="1" t="str">
        <f t="shared" ref="M4503:M4527" si="282">MID(I4503, 3, 1)</f>
        <v>ㄥ</v>
      </c>
      <c r="P4503" s="1" t="s">
        <v>20</v>
      </c>
      <c r="R4503" s="1" t="s">
        <v>7606</v>
      </c>
      <c r="V4503" s="1" t="s">
        <v>7610</v>
      </c>
      <c r="AR4503" s="1" t="str">
        <f t="shared" si="281"/>
        <v>| [ㄋㄧㄥˊ](ㄋㄧㄥˊ.md) | [𧑗](𧑗.md) |  | níng | 參見「𧑗蝦」條。 |</v>
      </c>
    </row>
    <row r="4504" spans="1:44" hidden="1">
      <c r="A4504" s="1" t="s">
        <v>7611</v>
      </c>
      <c r="C4504" s="1">
        <v>1</v>
      </c>
      <c r="D4504" s="1" t="str">
        <f>"03107"</f>
        <v>03107</v>
      </c>
      <c r="E4504" s="1" t="s">
        <v>624</v>
      </c>
      <c r="F4504" s="1">
        <v>14</v>
      </c>
      <c r="G4504" s="1">
        <v>11</v>
      </c>
      <c r="H4504" s="1">
        <v>1</v>
      </c>
      <c r="I4504" s="1" t="s">
        <v>7605</v>
      </c>
      <c r="K4504" s="1" t="str">
        <f t="shared" si="278"/>
        <v>ㄋ</v>
      </c>
      <c r="L4504" s="1" t="str">
        <f t="shared" si="279"/>
        <v>ㄧ</v>
      </c>
      <c r="M4504" s="1" t="str">
        <f t="shared" si="282"/>
        <v>ㄥ</v>
      </c>
      <c r="P4504" s="1" t="s">
        <v>20</v>
      </c>
      <c r="R4504" s="1" t="s">
        <v>7606</v>
      </c>
      <c r="V4504" s="1" t="s">
        <v>7612</v>
      </c>
      <c r="W4504" s="1" t="s">
        <v>7613</v>
      </c>
      <c r="AR4504" s="1" t="str">
        <f t="shared" si="281"/>
        <v>| [ㄋㄧㄥˊ](ㄋㄧㄥˊ.md) | [寧](寧.md) |  | níng | [形]_x000D_
安定。如：「安寧」。《詩經．小雅．常棣》：「喪亂既平，既安且寧。」《遼史．卷三一．營衛志上》：「隨陽遷徙，歲無寧居。」_x000D_
[動]_x000D_
1.省視、問安。如：「歸寧」。唐．韓愈〈贈張童子序〉：「童子請於其官之長，隨父而寧母。」_x000D_
2.回家。《喻世明言．卷二六．沈小官一鳥害七命》：「沈昱并原告人，寧家聽候。」_x000D_
3.平息。唐．李嶠〈為水潦災異陳情表〉：「以寧眾口之囂謗，以答三靈之譴咎。」_x000D_
[副]_x000D_
1.情願、寧願。表示選擇後的結果。如：「寧可」、「寧死不屈」、「寧缺毋濫」。《論語．八佾》：「禮與其奢也，寧儉。」《史記．卷七．項羽本紀》：「吾寧鬥智，不能鬥力。」_x000D_
2.豈、難道。《戰國策．趙策三》：「十人而從一人者，寧力不勝，智不若耶？」唐．王勃〈滕王閣序〉：「老當益壯，寧移白首之心？」_x000D_
3.乃、竟然。《詩經．大雅．瞻卬》：「心之憂矣，寧自今矣。」《三國志．卷二七．魏書．徐胡二王傳．胡質》：「胡通達，長者也，寧有子孫不？」_x000D_
[名]_x000D_
清朝以南京為江寧府治，故簡稱為「寧」。如：「寧漢分裂」。_x000D_
[助]_x000D_
語氣助詞，無義。如：「寧耐」。《左傳．襄公三十一年》：「賓至如歸，無寧菑害。」 |</v>
      </c>
    </row>
    <row r="4505" spans="1:44" hidden="1">
      <c r="A4505" s="1" t="s">
        <v>7614</v>
      </c>
      <c r="C4505" s="1">
        <v>1</v>
      </c>
      <c r="D4505" s="1" t="str">
        <f>"03108"</f>
        <v>03108</v>
      </c>
      <c r="E4505" s="1" t="s">
        <v>24</v>
      </c>
      <c r="F4505" s="1">
        <v>17</v>
      </c>
      <c r="G4505" s="1">
        <v>14</v>
      </c>
      <c r="H4505" s="1">
        <v>1</v>
      </c>
      <c r="I4505" s="1" t="s">
        <v>7605</v>
      </c>
      <c r="K4505" s="1" t="str">
        <f t="shared" si="278"/>
        <v>ㄋ</v>
      </c>
      <c r="L4505" s="1" t="str">
        <f t="shared" si="279"/>
        <v>ㄧ</v>
      </c>
      <c r="M4505" s="1" t="str">
        <f t="shared" si="282"/>
        <v>ㄥ</v>
      </c>
      <c r="P4505" s="1" t="s">
        <v>20</v>
      </c>
      <c r="R4505" s="1" t="s">
        <v>7606</v>
      </c>
      <c r="V4505" s="1" t="s">
        <v>7615</v>
      </c>
      <c r="W4505" s="1" t="s">
        <v>7616</v>
      </c>
      <c r="AR4505" s="1" t="str">
        <f t="shared" si="281"/>
        <v>| [ㄋㄧㄥˊ](ㄋㄧㄥˊ.md) | [擰](擰.md) |  | níng | [動]
1.絞、扭轉。如：「把毛巾擰乾才可掛起來。」《兒女英雄傳》第三五回：「忙叫柳條兒擰了個熱手巾來擦了擦臉。」
2.用手指夾住皮肉旋轉。如：「擰耳朵」、「再調皮搗蛋就擰你嘴巴！」《紅樓夢》第八回：「寶釵也忍不住，笑著把黛玉腮上一擰。」 |</v>
      </c>
    </row>
    <row r="4506" spans="1:44" hidden="1">
      <c r="A4506" s="1" t="s">
        <v>7617</v>
      </c>
      <c r="C4506" s="1">
        <v>1</v>
      </c>
      <c r="D4506" s="1" t="str">
        <f>"03109"</f>
        <v>03109</v>
      </c>
      <c r="E4506" s="1" t="s">
        <v>28</v>
      </c>
      <c r="F4506" s="1">
        <v>17</v>
      </c>
      <c r="G4506" s="1">
        <v>14</v>
      </c>
      <c r="H4506" s="1">
        <v>0</v>
      </c>
      <c r="I4506" s="1" t="s">
        <v>7605</v>
      </c>
      <c r="K4506" s="1" t="str">
        <f t="shared" si="278"/>
        <v>ㄋ</v>
      </c>
      <c r="L4506" s="1" t="str">
        <f t="shared" si="279"/>
        <v>ㄧ</v>
      </c>
      <c r="M4506" s="1" t="str">
        <f t="shared" si="282"/>
        <v>ㄥ</v>
      </c>
      <c r="P4506" s="1" t="s">
        <v>20</v>
      </c>
      <c r="R4506" s="1" t="s">
        <v>7606</v>
      </c>
      <c r="V4506" s="1" t="s">
        <v>7618</v>
      </c>
      <c r="AR4506" s="1" t="str">
        <f t="shared" si="281"/>
        <v>| [ㄋㄧㄥˊ](ㄋㄧㄥˊ.md) | [嚀](嚀.md) |  | níng | 參見「叮嚀」條。 |</v>
      </c>
    </row>
    <row r="4507" spans="1:44" hidden="1">
      <c r="A4507" s="1" t="s">
        <v>7619</v>
      </c>
      <c r="C4507" s="1">
        <v>1</v>
      </c>
      <c r="D4507" s="1" t="str">
        <f>"03110"</f>
        <v>03110</v>
      </c>
      <c r="E4507" s="1" t="s">
        <v>198</v>
      </c>
      <c r="F4507" s="1">
        <v>17</v>
      </c>
      <c r="G4507" s="1">
        <v>14</v>
      </c>
      <c r="H4507" s="1">
        <v>0</v>
      </c>
      <c r="I4507" s="1" t="s">
        <v>7605</v>
      </c>
      <c r="K4507" s="1" t="str">
        <f t="shared" si="278"/>
        <v>ㄋ</v>
      </c>
      <c r="L4507" s="1" t="str">
        <f t="shared" si="279"/>
        <v>ㄧ</v>
      </c>
      <c r="M4507" s="1" t="str">
        <f t="shared" si="282"/>
        <v>ㄥ</v>
      </c>
      <c r="P4507" s="1" t="s">
        <v>20</v>
      </c>
      <c r="R4507" s="1" t="s">
        <v>7606</v>
      </c>
      <c r="V4507" s="1" t="s">
        <v>7620</v>
      </c>
      <c r="AR4507" s="1" t="str">
        <f t="shared" si="281"/>
        <v>| [ㄋㄧㄥˊ](ㄋㄧㄥˊ.md) | [獰](獰.md) |  | níng | [形]
1.凶惡、凶暴。如：「獰笑」、「面目猙獰」。唐．韓愈〈初南食貽元十八協律〉：「惟蛇舊所識，實憚口眼獰。」
2.凶猛。唐．貫休〈觀懷素草書歌〉：「醉來把筆獰如虎，粉壁素屏不問主。」宋．蘇軾〈書韓幹牧馬圖〉詩：「龍顱鳳頸獰且妍，奇姿逸德隱駑頑。」
[動]
怒吼、咆哮。唐．韋莊〈觀浙西相府畋遊〉詩：「紫袍日照金鵝鬥，紅旆風吹畫虎獰。」 |</v>
      </c>
    </row>
    <row r="4508" spans="1:44" hidden="1">
      <c r="A4508" s="1" t="s">
        <v>7621</v>
      </c>
      <c r="C4508" s="1">
        <v>1</v>
      </c>
      <c r="D4508" s="1" t="str">
        <f>"03111"</f>
        <v>03111</v>
      </c>
      <c r="E4508" s="1" t="s">
        <v>139</v>
      </c>
      <c r="F4508" s="1">
        <v>18</v>
      </c>
      <c r="G4508" s="1">
        <v>14</v>
      </c>
      <c r="H4508" s="1">
        <v>0</v>
      </c>
      <c r="I4508" s="1" t="s">
        <v>7605</v>
      </c>
      <c r="K4508" s="1" t="str">
        <f t="shared" si="278"/>
        <v>ㄋ</v>
      </c>
      <c r="L4508" s="1" t="str">
        <f t="shared" si="279"/>
        <v>ㄧ</v>
      </c>
      <c r="M4508" s="1" t="str">
        <f t="shared" si="282"/>
        <v>ㄥ</v>
      </c>
      <c r="P4508" s="1" t="s">
        <v>20</v>
      </c>
      <c r="R4508" s="1" t="s">
        <v>7606</v>
      </c>
      <c r="V4508" s="1" t="s">
        <v>7622</v>
      </c>
      <c r="AR4508" s="1" t="str">
        <f t="shared" si="281"/>
        <v>| [ㄋㄧㄥˊ](ㄋㄧㄥˊ.md) | [檸](檸.md) |  | níng | 參見「檸檬」條。 |</v>
      </c>
    </row>
    <row r="4509" spans="1:44" hidden="1">
      <c r="A4509" s="1" t="s">
        <v>7623</v>
      </c>
      <c r="C4509" s="1">
        <v>1</v>
      </c>
      <c r="D4509" s="1" t="str">
        <f>"03112"</f>
        <v>03112</v>
      </c>
      <c r="E4509" s="1" t="s">
        <v>2419</v>
      </c>
      <c r="F4509" s="1">
        <v>20</v>
      </c>
      <c r="G4509" s="1">
        <v>14</v>
      </c>
      <c r="H4509" s="1">
        <v>0</v>
      </c>
      <c r="I4509" s="1" t="s">
        <v>7605</v>
      </c>
      <c r="K4509" s="1" t="str">
        <f t="shared" si="278"/>
        <v>ㄋ</v>
      </c>
      <c r="L4509" s="1" t="str">
        <f t="shared" si="279"/>
        <v>ㄧ</v>
      </c>
      <c r="M4509" s="1" t="str">
        <f t="shared" si="282"/>
        <v>ㄥ</v>
      </c>
      <c r="P4509" s="1" t="s">
        <v>20</v>
      </c>
      <c r="R4509" s="1" t="s">
        <v>7606</v>
      </c>
      <c r="V4509" s="1" t="s">
        <v>5544</v>
      </c>
      <c r="AR4509" s="1" t="str">
        <f t="shared" si="281"/>
        <v>| [ㄋㄧㄥˊ](ㄋㄧㄥˊ.md) | [聹](聹.md) |  | níng | 參見「耵聹」條。 |</v>
      </c>
    </row>
    <row r="4510" spans="1:44" hidden="1">
      <c r="A4510" s="1" t="s">
        <v>7624</v>
      </c>
      <c r="C4510" s="1">
        <v>1</v>
      </c>
      <c r="D4510" s="1" t="str">
        <f>"03113"</f>
        <v>03113</v>
      </c>
      <c r="E4510" s="1" t="s">
        <v>1078</v>
      </c>
      <c r="F4510" s="1">
        <v>24</v>
      </c>
      <c r="G4510" s="1">
        <v>14</v>
      </c>
      <c r="H4510" s="1">
        <v>0</v>
      </c>
      <c r="I4510" s="1" t="s">
        <v>7605</v>
      </c>
      <c r="K4510" s="1" t="str">
        <f t="shared" si="278"/>
        <v>ㄋ</v>
      </c>
      <c r="L4510" s="1" t="str">
        <f t="shared" si="279"/>
        <v>ㄧ</v>
      </c>
      <c r="M4510" s="1" t="str">
        <f t="shared" si="282"/>
        <v>ㄥ</v>
      </c>
      <c r="P4510" s="1" t="s">
        <v>20</v>
      </c>
      <c r="R4510" s="1" t="s">
        <v>7606</v>
      </c>
      <c r="V4510" s="1" t="s">
        <v>7625</v>
      </c>
      <c r="AR4510" s="1" t="str">
        <f t="shared" si="281"/>
        <v>| [ㄋㄧㄥˊ](ㄋㄧㄥˊ.md) | [鬡](鬡.md) |  | níng | 參見「鬇鬡」條。 |</v>
      </c>
    </row>
    <row r="4511" spans="1:44" hidden="1">
      <c r="A4511" s="1" t="s">
        <v>7626</v>
      </c>
      <c r="C4511" s="1">
        <v>1</v>
      </c>
      <c r="D4511" s="1" t="str">
        <f>"03114"</f>
        <v>03114</v>
      </c>
      <c r="E4511" s="1" t="s">
        <v>1381</v>
      </c>
      <c r="F4511" s="1">
        <v>16</v>
      </c>
      <c r="G4511" s="1">
        <v>14</v>
      </c>
      <c r="H4511" s="1">
        <v>0</v>
      </c>
      <c r="I4511" s="1" t="s">
        <v>7605</v>
      </c>
      <c r="K4511" s="1" t="str">
        <f t="shared" si="278"/>
        <v>ㄋ</v>
      </c>
      <c r="L4511" s="1" t="str">
        <f t="shared" si="279"/>
        <v>ㄧ</v>
      </c>
      <c r="M4511" s="1" t="str">
        <f t="shared" si="282"/>
        <v>ㄥ</v>
      </c>
      <c r="P4511" s="1" t="s">
        <v>20</v>
      </c>
      <c r="R4511" s="1" t="s">
        <v>7606</v>
      </c>
      <c r="V4511" s="1" t="s">
        <v>7627</v>
      </c>
      <c r="AR4511" s="1" t="str">
        <f t="shared" si="281"/>
        <v>| [ㄋㄧㄥˊ](ㄋㄧㄥˊ.md) | [凝](凝.md) |  | níng | [動]
1.液體結成固體或氣體變成液體。如：「凝結」。《易經．坤卦．象曰》：「履霜堅冰，陰始凝也。」唐．岑參〈走馬川行奉送出師西征〉詩：「幕中草檄硯水凝。」
2.聚集、凝集。如：「凝聚」。唐．王勃〈滕王閣序〉：「潦水盡而寒潭清，煙光凝而暮山紫。」宋．歐陽修〈漁家傲．九月霜秋秋已盡〉詞：「雲欲凝，雁來應有吾鄉信。」
3.成、形成。《書經．皋陶謨》：「撫于五辰，庶幾其凝。」漢．孔安國．傳：「凝，成也。」南朝梁．劉勰《文心雕龍．原道》：「龍鳳以藻繪呈瑞，虎豹以炳蔚凝姿。」
4.鞏固。《荀子．議兵》：「兼并易能也，唯堅凝之難焉。」
5.止、停。唐．孫處玄〈句〉詩：「日側南澗幽，風凝北林暮。」宋．盧祖皋〈望江南．疏雨過〉詞：「因看胡蝶著雙飛，凝扇立多時。」
[副]
1.注意力專注或集中。如：「凝思」、「凝望」。唐．白居易〈霓裳羽衣歌〉：「當時乍見驚心目，凝視諦聽殊未足。」
2.徐緩。《文選．謝朓．鼓吹曲》：「凝笳翼高蓋，疊鼓送華輈。」唐．白居易〈長恨歌〉：「緩歌謾舞凝絲竹，盡日君王看不足。」
[形]
1.盛美、華麗。唐．韓愈〈幽懷〉詩：「凝妝耀洲渚，繁吹蕩人心。」
2.肅重、莊嚴。《淮南子．兵略》：「湫漻如秋，典凝如冬。」《新唐書．卷一二四．宋璟傳》：「璟風度凝遠，人莫涯其量。」 |</v>
      </c>
    </row>
    <row r="4512" spans="1:44" hidden="1">
      <c r="A4512" s="1" t="s">
        <v>7614</v>
      </c>
      <c r="C4512" s="1">
        <v>1</v>
      </c>
      <c r="D4512" s="1" t="str">
        <f>"03115"</f>
        <v>03115</v>
      </c>
      <c r="E4512" s="1" t="s">
        <v>24</v>
      </c>
      <c r="F4512" s="1">
        <v>17</v>
      </c>
      <c r="G4512" s="1">
        <v>14</v>
      </c>
      <c r="H4512" s="1">
        <v>2</v>
      </c>
      <c r="I4512" s="1" t="s">
        <v>7628</v>
      </c>
      <c r="K4512" s="1" t="str">
        <f t="shared" ref="K4512:K4543" si="283">LEFT(I4512, 1)</f>
        <v>ㄋ</v>
      </c>
      <c r="L4512" s="1" t="str">
        <f t="shared" ref="L4512:L4543" si="284">MID(I4512, 2, 1)</f>
        <v>ㄧ</v>
      </c>
      <c r="M4512" s="1" t="str">
        <f t="shared" si="282"/>
        <v>ㄥ</v>
      </c>
      <c r="P4512" s="1" t="s">
        <v>20</v>
      </c>
      <c r="R4512" s="1" t="s">
        <v>7629</v>
      </c>
      <c r="V4512" s="1" t="s">
        <v>7630</v>
      </c>
      <c r="W4512" s="1" t="s">
        <v>7631</v>
      </c>
      <c r="AR4512" s="1" t="str">
        <f t="shared" si="281"/>
        <v>| [ㄋㄧㄥˇ](ㄋㄧㄥˇ.md) | [擰](擰.md) |  | nǐng | [動]
用力扭轉。如：「擰緊螺絲。」「把水龍頭擰開。」
[副]
弄錯、弄僵。多表示在某種情境下，想法、做法與願望或實際情況相悖。如：「說擰了」、「鬧擰了」。《兒女英雄傳》第三八回：「我是把兩樣東西的名兒記擰了。」《二十年目睹之怪現狀》第六三回：「左弄右弄，不知怎樣弄擰了，就撤了任，鬧了一身的虧空。」 |</v>
      </c>
    </row>
    <row r="4513" spans="1:44" hidden="1">
      <c r="A4513" s="1" t="s">
        <v>7632</v>
      </c>
      <c r="C4513" s="1">
        <v>1</v>
      </c>
      <c r="D4513" s="1" t="str">
        <f>"03116"</f>
        <v>03116</v>
      </c>
      <c r="E4513" s="1" t="s">
        <v>114</v>
      </c>
      <c r="F4513" s="1">
        <v>7</v>
      </c>
      <c r="G4513" s="1">
        <v>5</v>
      </c>
      <c r="H4513" s="1">
        <v>0</v>
      </c>
      <c r="I4513" s="1" t="s">
        <v>7633</v>
      </c>
      <c r="K4513" s="1" t="str">
        <f t="shared" si="283"/>
        <v>ㄋ</v>
      </c>
      <c r="L4513" s="1" t="str">
        <f t="shared" si="284"/>
        <v>ㄧ</v>
      </c>
      <c r="M4513" s="1" t="str">
        <f t="shared" si="282"/>
        <v>ㄥ</v>
      </c>
      <c r="P4513" s="1" t="s">
        <v>20</v>
      </c>
      <c r="R4513" s="1" t="s">
        <v>7634</v>
      </c>
      <c r="V4513" s="1" t="s">
        <v>7635</v>
      </c>
      <c r="AR4513" s="1" t="str">
        <f t="shared" si="281"/>
        <v>| [ㄋㄧㄥˋ](ㄋㄧㄥˋ.md) | [佞](佞.md) |  | nìng | [名]_x000D_
1.才、才能。常為自謙之詞。《左傳．僖公十五年》：「寡人不佞，能合其眾而不能離也。」宋．陳亮〈上孝宗皇帝第一書〉：「臣不佞，自少有驅馳四方之志。」_x000D_
2.善於花言巧語巴結的人。如：「奸佞」、「邪佞」。《喻世明言．卷四〇．沈小霞相會出師表》：「詩中有借虜除佞之語，意在不軌。」_x000D_
[動]_x000D_
1.巧言善辯、諂媚。如：「佞諂」。《史記．卷一二五．佞幸列傳．韓嫣》：「嫣善騎射，善佞。」_x000D_
2.迷惑、困惑。唐．元稹〈和李校書新題樂府．立部伎〉：「奸聲入耳佞人心，侏儒飽飯夷齊餓。」_x000D_
3.沉迷於、迷戀。如：「佞佛」。《晉書．卷七七．列傳．何充》：「二郗諂於道，二何佞於佛。」清．葉德輝《書林清話．卷一〇．藏書偏好宋元刻之癖》：「此則佞宋之癖，入於膏肓。」_x000D_
[形]_x000D_
善於巧辯奉承的。如：「佞人」、「佞臣」。《史記．卷四．周本紀》：「石父為人佞巧，善諛好利，王用之。」 |</v>
      </c>
    </row>
    <row r="4514" spans="1:44" hidden="1">
      <c r="A4514" s="1" t="s">
        <v>7604</v>
      </c>
      <c r="C4514" s="1">
        <v>1</v>
      </c>
      <c r="D4514" s="1" t="str">
        <f>"03117"</f>
        <v>03117</v>
      </c>
      <c r="E4514" s="1" t="s">
        <v>839</v>
      </c>
      <c r="F4514" s="1">
        <v>12</v>
      </c>
      <c r="G4514" s="1">
        <v>7</v>
      </c>
      <c r="H4514" s="1">
        <v>1</v>
      </c>
      <c r="I4514" s="1" t="s">
        <v>7633</v>
      </c>
      <c r="K4514" s="1" t="str">
        <f t="shared" si="283"/>
        <v>ㄋ</v>
      </c>
      <c r="L4514" s="1" t="str">
        <f t="shared" si="284"/>
        <v>ㄧ</v>
      </c>
      <c r="M4514" s="1" t="str">
        <f t="shared" si="282"/>
        <v>ㄥ</v>
      </c>
      <c r="P4514" s="1" t="s">
        <v>20</v>
      </c>
      <c r="R4514" s="1" t="s">
        <v>7634</v>
      </c>
      <c r="V4514" s="1" t="s">
        <v>7636</v>
      </c>
      <c r="W4514" s="1" t="s">
        <v>7637</v>
      </c>
      <c r="AR4514" s="1" t="str">
        <f t="shared" si="281"/>
        <v>| [ㄋㄧㄥˋ](ㄋㄧㄥˋ.md) | [甯](甯.md) |  | nìng | [名]
姓。如周代有甯越。 |</v>
      </c>
    </row>
    <row r="4515" spans="1:44" hidden="1">
      <c r="A4515" s="1" t="s">
        <v>7611</v>
      </c>
      <c r="C4515" s="1">
        <v>1</v>
      </c>
      <c r="D4515" s="1" t="str">
        <f>"03118"</f>
        <v>03118</v>
      </c>
      <c r="E4515" s="1" t="s">
        <v>624</v>
      </c>
      <c r="F4515" s="1">
        <v>14</v>
      </c>
      <c r="G4515" s="1">
        <v>11</v>
      </c>
      <c r="H4515" s="1">
        <v>2</v>
      </c>
      <c r="I4515" s="1" t="s">
        <v>7633</v>
      </c>
      <c r="K4515" s="1" t="str">
        <f t="shared" si="283"/>
        <v>ㄋ</v>
      </c>
      <c r="L4515" s="1" t="str">
        <f t="shared" si="284"/>
        <v>ㄧ</v>
      </c>
      <c r="M4515" s="1" t="str">
        <f t="shared" si="282"/>
        <v>ㄥ</v>
      </c>
      <c r="P4515" s="1" t="s">
        <v>20</v>
      </c>
      <c r="R4515" s="1" t="s">
        <v>7634</v>
      </c>
      <c r="V4515" s="1" t="s">
        <v>7638</v>
      </c>
      <c r="W4515" s="1" t="s">
        <v>7639</v>
      </c>
      <c r="AR4515" s="1" t="str">
        <f t="shared" si="281"/>
        <v>| [ㄋㄧㄥˋ](ㄋㄧㄥˋ.md) | [寧](寧.md) |  | nìng | [名]
姓。如漢代有寧成。 |</v>
      </c>
    </row>
    <row r="4516" spans="1:44" hidden="1">
      <c r="A4516" s="1" t="s">
        <v>7640</v>
      </c>
      <c r="C4516" s="1">
        <v>1</v>
      </c>
      <c r="D4516" s="1" t="str">
        <f>"03119"</f>
        <v>03119</v>
      </c>
      <c r="E4516" s="1" t="s">
        <v>129</v>
      </c>
      <c r="F4516" s="1">
        <v>17</v>
      </c>
      <c r="G4516" s="1">
        <v>14</v>
      </c>
      <c r="H4516" s="1">
        <v>0</v>
      </c>
      <c r="I4516" s="1" t="s">
        <v>7633</v>
      </c>
      <c r="K4516" s="1" t="str">
        <f t="shared" si="283"/>
        <v>ㄋ</v>
      </c>
      <c r="L4516" s="1" t="str">
        <f t="shared" si="284"/>
        <v>ㄧ</v>
      </c>
      <c r="M4516" s="1" t="str">
        <f t="shared" si="282"/>
        <v>ㄥ</v>
      </c>
      <c r="P4516" s="1" t="s">
        <v>20</v>
      </c>
      <c r="R4516" s="1" t="s">
        <v>7634</v>
      </c>
      <c r="V4516" s="1" t="s">
        <v>7641</v>
      </c>
      <c r="AR4516" s="1" t="str">
        <f t="shared" si="281"/>
        <v>| [ㄋㄧㄥˋ](ㄋㄧㄥˋ.md) | [濘](濘.md) |  | nìng | [名]
路上淤積的汙水和爛泥。如：「泥濘」。《左傳．僖公十五年》：「戰于韓原，晉戎馬還濘而止。」晉．杜預．注：「濘，泥也。」《新唐書．卷一〇九．楊再思傳》：「再思入朝，有車陷于濘，叱牛不前。」
[動]
滯泥、困陷。《管子．地員》：「不濘車輪，不汙手足。」 |</v>
      </c>
    </row>
    <row r="4517" spans="1:44" hidden="1">
      <c r="A4517" s="1" t="s">
        <v>7614</v>
      </c>
      <c r="C4517" s="1">
        <v>1</v>
      </c>
      <c r="D4517" s="1" t="str">
        <f>"03120"</f>
        <v>03120</v>
      </c>
      <c r="E4517" s="1" t="s">
        <v>24</v>
      </c>
      <c r="F4517" s="1">
        <v>17</v>
      </c>
      <c r="G4517" s="1">
        <v>14</v>
      </c>
      <c r="H4517" s="1">
        <v>3</v>
      </c>
      <c r="I4517" s="1" t="s">
        <v>7633</v>
      </c>
      <c r="K4517" s="1" t="str">
        <f t="shared" si="283"/>
        <v>ㄋ</v>
      </c>
      <c r="L4517" s="1" t="str">
        <f t="shared" si="284"/>
        <v>ㄧ</v>
      </c>
      <c r="M4517" s="1" t="str">
        <f t="shared" si="282"/>
        <v>ㄥ</v>
      </c>
      <c r="P4517" s="1" t="s">
        <v>20</v>
      </c>
      <c r="R4517" s="1" t="s">
        <v>7634</v>
      </c>
      <c r="V4517" s="1" t="s">
        <v>7642</v>
      </c>
      <c r="W4517" s="1" t="s">
        <v>7643</v>
      </c>
      <c r="AR4517" s="1" t="str">
        <f t="shared" si="281"/>
        <v>| [ㄋㄧㄥˋ](ㄋㄧㄥˋ.md) | [擰](擰.md) |  | nìng | [形]
倔強、固執。如：「擰性」、「這小孩子脾氣真擰。」《兒女英雄傳》第四〇回：「玉格這孩子，真個的，這怎麼擰啊！」 |</v>
      </c>
    </row>
    <row r="4518" spans="1:44" hidden="1">
      <c r="A4518" s="1" t="s">
        <v>7719</v>
      </c>
      <c r="C4518" s="1">
        <v>1</v>
      </c>
      <c r="D4518" s="1" t="str">
        <f>"03149"</f>
        <v>03149</v>
      </c>
      <c r="E4518" s="1" t="s">
        <v>7720</v>
      </c>
      <c r="F4518" s="1">
        <v>13</v>
      </c>
      <c r="G4518" s="1">
        <v>6</v>
      </c>
      <c r="H4518" s="1">
        <v>0</v>
      </c>
      <c r="I4518" s="1" t="s">
        <v>7721</v>
      </c>
      <c r="K4518" s="1" t="str">
        <f t="shared" si="283"/>
        <v>ㄋ</v>
      </c>
      <c r="L4518" s="1" t="str">
        <f t="shared" si="284"/>
        <v>ㄨ</v>
      </c>
      <c r="M4518" s="1" t="str">
        <f t="shared" si="282"/>
        <v>ㄥ</v>
      </c>
      <c r="P4518" s="1" t="s">
        <v>20</v>
      </c>
      <c r="R4518" s="1" t="s">
        <v>7722</v>
      </c>
      <c r="V4518" s="1" t="s">
        <v>7723</v>
      </c>
      <c r="AR4518" s="1" t="str">
        <f t="shared" si="281"/>
        <v>| [ㄋㄨㄥˊ](ㄋㄨㄥˊ.md) | [農](農.md) |  | nóng | [動]
1.種植、耕種。漢．鼂錯〈論貴粟疏〉：「貧生於不足，不足生於不農。」
2.努力、勤勉。《左傳．襄公十三年》：「小人農力以事其上，是以上下有禮。」三國魏．嵇康〈答難養生論〉：「五穀易殖，農而可久。」
[名]
1.耕種事業。如：「士、農、工、商」。漢．鼂錯〈論貴粟疏〉：「方今之務，莫若使民務農而已矣。」
2.耕種的人。如：「花農」、「菜農」、「果農」。《論語．子路》：「吾不如老農。」
[形]
耕種的、農作的。如：「農具」、「農舍」、「不失農時」。 |</v>
      </c>
    </row>
    <row r="4519" spans="1:44" hidden="1">
      <c r="A4519" s="1" t="s">
        <v>7724</v>
      </c>
      <c r="C4519" s="1">
        <v>1</v>
      </c>
      <c r="D4519" s="1" t="str">
        <f>"03150"</f>
        <v>03150</v>
      </c>
      <c r="E4519" s="1" t="s">
        <v>114</v>
      </c>
      <c r="F4519" s="1">
        <v>15</v>
      </c>
      <c r="G4519" s="1">
        <v>13</v>
      </c>
      <c r="H4519" s="1">
        <v>0</v>
      </c>
      <c r="I4519" s="1" t="s">
        <v>7721</v>
      </c>
      <c r="K4519" s="1" t="str">
        <f t="shared" si="283"/>
        <v>ㄋ</v>
      </c>
      <c r="L4519" s="1" t="str">
        <f t="shared" si="284"/>
        <v>ㄨ</v>
      </c>
      <c r="M4519" s="1" t="str">
        <f t="shared" si="282"/>
        <v>ㄥ</v>
      </c>
      <c r="P4519" s="1" t="s">
        <v>20</v>
      </c>
      <c r="R4519" s="1" t="s">
        <v>7722</v>
      </c>
      <c r="V4519" s="1" t="s">
        <v>7725</v>
      </c>
      <c r="AR4519" s="1" t="str">
        <f t="shared" si="281"/>
        <v>| [ㄋㄨㄥˊ](ㄋㄨㄥˊ.md) | [儂](儂.md) |  | nóng | [代]
1.吳語。我，表第一人稱。如：「儂家」。《樂府詩集．卷四四．清商曲辭一．晉宋齊辭．子夜歌四二首之一九》：「歡愁儂亦慘，郎笑我便喜。」《紅樓夢》第二七回：「儂今葬花人笑痴，他年葬儂知是誰？」
2.稱他人。《南史．卷四五．王敬則傳》：「常歎負情儂，郎今果行許。」唐．韓愈〈瀧吏〉詩：「比聞此州囚，亦在生還儂。」
[名]
姓。如宋代有儂智高。 |</v>
      </c>
    </row>
    <row r="4520" spans="1:44" hidden="1">
      <c r="A4520" s="1" t="s">
        <v>7726</v>
      </c>
      <c r="C4520" s="1">
        <v>1</v>
      </c>
      <c r="D4520" s="1" t="str">
        <f>"03151"</f>
        <v>03151</v>
      </c>
      <c r="E4520" s="1" t="s">
        <v>129</v>
      </c>
      <c r="F4520" s="1">
        <v>16</v>
      </c>
      <c r="G4520" s="1">
        <v>13</v>
      </c>
      <c r="H4520" s="1">
        <v>0</v>
      </c>
      <c r="I4520" s="1" t="s">
        <v>7721</v>
      </c>
      <c r="K4520" s="1" t="str">
        <f t="shared" si="283"/>
        <v>ㄋ</v>
      </c>
      <c r="L4520" s="1" t="str">
        <f t="shared" si="284"/>
        <v>ㄨ</v>
      </c>
      <c r="M4520" s="1" t="str">
        <f t="shared" si="282"/>
        <v>ㄥ</v>
      </c>
      <c r="P4520" s="1" t="s">
        <v>20</v>
      </c>
      <c r="R4520" s="1" t="s">
        <v>7722</v>
      </c>
      <c r="V4520" s="1" t="s">
        <v>7727</v>
      </c>
      <c r="AR4520" s="1" t="str">
        <f t="shared" si="281"/>
        <v>| [ㄋㄨㄥˊ](ㄋㄨㄥˊ.md) | [濃](濃.md) |  | nóng | [形]
1.多、盛、密。如：「濃厚」、「濃雲密布」。南朝梁．簡文帝〈奉答南平康王賚朱櫻〉詩：「花茂蝶爭飛，枝濃鳥相失。」唐．李白〈清平調〉三首之一：「雲想衣裳花想容，春風拂檻露華濃。」
2.味道、顏色、感情等深厚的。如：「濃郁」、「濃茶」、「濃妝豔抹」、「濃情密意」。南朝宋．鮑照〈代陳思王京洛篇〉：「古來共歇薄，君意豈獨濃？」唐．李賀〈昌谷讀書示巴童〉詩：「蟲響燈光薄，宵寒藥氣濃。」
3.酣暢、程度深的。如：「遊興正濃」。宋．陸游〈凌雲醉歸作〉詩：「玻璃春滿琉璃鍾，宦情苦薄酒興濃。」 |</v>
      </c>
    </row>
    <row r="4521" spans="1:44" hidden="1">
      <c r="A4521" s="1" t="s">
        <v>7240</v>
      </c>
      <c r="C4521" s="1">
        <v>1</v>
      </c>
      <c r="D4521" s="1" t="str">
        <f>"03152"</f>
        <v>03152</v>
      </c>
      <c r="E4521" s="1" t="s">
        <v>250</v>
      </c>
      <c r="F4521" s="1">
        <v>16</v>
      </c>
      <c r="G4521" s="1">
        <v>13</v>
      </c>
      <c r="H4521" s="1">
        <v>2</v>
      </c>
      <c r="I4521" s="1" t="s">
        <v>7721</v>
      </c>
      <c r="K4521" s="1" t="str">
        <f t="shared" si="283"/>
        <v>ㄋ</v>
      </c>
      <c r="L4521" s="1" t="str">
        <f t="shared" si="284"/>
        <v>ㄨ</v>
      </c>
      <c r="M4521" s="1" t="str">
        <f t="shared" si="282"/>
        <v>ㄥ</v>
      </c>
      <c r="P4521" s="1" t="s">
        <v>20</v>
      </c>
      <c r="R4521" s="1" t="s">
        <v>7722</v>
      </c>
      <c r="V4521" s="1" t="s">
        <v>7728</v>
      </c>
      <c r="W4521" s="1" t="s">
        <v>7729</v>
      </c>
      <c r="AR4521" s="1" t="str">
        <f t="shared" si="281"/>
        <v>| [ㄋㄨㄥˊ](ㄋㄨㄥˊ.md) | [憹](憹.md) |  | nóng | [形]
心亂煩悶的樣子。《集韻．平聲．江韻》：「憹，心亂也。」 |</v>
      </c>
    </row>
    <row r="4522" spans="1:44" hidden="1">
      <c r="A4522" s="1" t="s">
        <v>7730</v>
      </c>
      <c r="C4522" s="1">
        <v>1</v>
      </c>
      <c r="D4522" s="1" t="str">
        <f>"03153"</f>
        <v>03153</v>
      </c>
      <c r="E4522" s="1" t="s">
        <v>28</v>
      </c>
      <c r="F4522" s="1">
        <v>16</v>
      </c>
      <c r="G4522" s="1">
        <v>13</v>
      </c>
      <c r="H4522" s="1">
        <v>0</v>
      </c>
      <c r="I4522" s="1" t="s">
        <v>7721</v>
      </c>
      <c r="K4522" s="1" t="str">
        <f t="shared" si="283"/>
        <v>ㄋ</v>
      </c>
      <c r="L4522" s="1" t="str">
        <f t="shared" si="284"/>
        <v>ㄨ</v>
      </c>
      <c r="M4522" s="1" t="str">
        <f t="shared" si="282"/>
        <v>ㄥ</v>
      </c>
      <c r="P4522" s="1" t="s">
        <v>20</v>
      </c>
      <c r="R4522" s="1" t="s">
        <v>7722</v>
      </c>
      <c r="V4522" s="1" t="s">
        <v>7731</v>
      </c>
      <c r="AR4522" s="1" t="str">
        <f t="shared" si="281"/>
        <v>| [ㄋㄨㄥˊ](ㄋㄨㄥˊ.md) | [噥](噥.md) |  | nóng | [動]
小聲說話。如：「咕噥」、「唧噥」。《老殘遊記》第一〇回：「聽他們又喁喁噥噥了好久，璵姑方回。」 |</v>
      </c>
    </row>
    <row r="4523" spans="1:44" hidden="1">
      <c r="A4523" s="1" t="s">
        <v>7732</v>
      </c>
      <c r="C4523" s="1">
        <v>1</v>
      </c>
      <c r="D4523" s="1" t="str">
        <f>"03154"</f>
        <v>03154</v>
      </c>
      <c r="E4523" s="1" t="s">
        <v>68</v>
      </c>
      <c r="F4523" s="1">
        <v>17</v>
      </c>
      <c r="G4523" s="1">
        <v>13</v>
      </c>
      <c r="H4523" s="1">
        <v>0</v>
      </c>
      <c r="I4523" s="1" t="s">
        <v>7721</v>
      </c>
      <c r="K4523" s="1" t="str">
        <f t="shared" si="283"/>
        <v>ㄋ</v>
      </c>
      <c r="L4523" s="1" t="str">
        <f t="shared" si="284"/>
        <v>ㄨ</v>
      </c>
      <c r="M4523" s="1" t="str">
        <f t="shared" si="282"/>
        <v>ㄥ</v>
      </c>
      <c r="P4523" s="1" t="s">
        <v>20</v>
      </c>
      <c r="R4523" s="1" t="s">
        <v>7722</v>
      </c>
      <c r="V4523" s="1" t="s">
        <v>7733</v>
      </c>
      <c r="AR4523" s="1" t="str">
        <f t="shared" si="281"/>
        <v>| [ㄋㄨㄥˊ](ㄋㄨㄥˊ.md) | [膿](膿.md) |  | nóng | [名]
傷口因細菌感染，組織遭其腐敗分解而成的黃白色汁液。如：「化膿」、「流膿」。《史記．卷一〇五．扁鵲倉公列傳》：「此病疽也，內發於腸胃之間，後五日當臃腫，後八日嘔膿死。」
[副]
腐爛。《齊民要術．卷二．水稻》：「稻曲長七八寸，陳草復起，以鎌侵水芟之，草悉膿死。」
[形]
肥厚。《文選．曹植．七啟》：「玄熊素膚，肥豢膿肌。」 |</v>
      </c>
    </row>
    <row r="4524" spans="1:44" hidden="1">
      <c r="A4524" s="1" t="s">
        <v>7734</v>
      </c>
      <c r="C4524" s="1">
        <v>1</v>
      </c>
      <c r="D4524" s="1" t="str">
        <f>"03155"</f>
        <v>03155</v>
      </c>
      <c r="E4524" s="1" t="s">
        <v>429</v>
      </c>
      <c r="F4524" s="1">
        <v>18</v>
      </c>
      <c r="G4524" s="1">
        <v>13</v>
      </c>
      <c r="H4524" s="1">
        <v>0</v>
      </c>
      <c r="I4524" s="1" t="s">
        <v>7721</v>
      </c>
      <c r="K4524" s="1" t="str">
        <f t="shared" si="283"/>
        <v>ㄋ</v>
      </c>
      <c r="L4524" s="1" t="str">
        <f t="shared" si="284"/>
        <v>ㄨ</v>
      </c>
      <c r="M4524" s="1" t="str">
        <f t="shared" si="282"/>
        <v>ㄥ</v>
      </c>
      <c r="P4524" s="1" t="s">
        <v>20</v>
      </c>
      <c r="R4524" s="1" t="s">
        <v>7722</v>
      </c>
      <c r="V4524" s="1" t="s">
        <v>7735</v>
      </c>
      <c r="AR4524" s="1" t="str">
        <f t="shared" si="281"/>
        <v>| [ㄋㄨㄥˊ](ㄋㄨㄥˊ.md) | [穠](穠.md) |  | nóng | [形]
1.花木繁盛。如：「穠華」。宋．陸游〈湖上今歲遊人頗盛戲作〉詩四首之一：「龍船看罷日平西，柳闇花穠步步迷。」《西遊記》第八〇回：「削壁懸崖峻，薜蘿草木穠。」
2.豔麗、華麗。唐．元稹〈山枇杷〉詩：「穠姿秀色人皆愛，怨媚羞容我偏別。」《紅樓夢》第七八回：「穠歌豔舞不成歡，列陣挽戈為自得。」
3.肥美、豐滿。如：「穠纖合度」。唐．陳鴻《長恨傳》：「鬢髮膩理，纖穠中度，舉止閑冶，如漢武帝李夫人。」 |</v>
      </c>
    </row>
    <row r="4525" spans="1:44" hidden="1">
      <c r="A4525" s="1" t="s">
        <v>7736</v>
      </c>
      <c r="C4525" s="1">
        <v>1</v>
      </c>
      <c r="D4525" s="1" t="str">
        <f>"03156"</f>
        <v>03156</v>
      </c>
      <c r="E4525" s="1" t="s">
        <v>340</v>
      </c>
      <c r="F4525" s="1">
        <v>19</v>
      </c>
      <c r="G4525" s="1">
        <v>13</v>
      </c>
      <c r="H4525" s="1">
        <v>0</v>
      </c>
      <c r="I4525" s="1" t="s">
        <v>7721</v>
      </c>
      <c r="K4525" s="1" t="str">
        <f t="shared" si="283"/>
        <v>ㄋ</v>
      </c>
      <c r="L4525" s="1" t="str">
        <f t="shared" si="284"/>
        <v>ㄨ</v>
      </c>
      <c r="M4525" s="1" t="str">
        <f t="shared" si="282"/>
        <v>ㄥ</v>
      </c>
      <c r="P4525" s="1" t="s">
        <v>20</v>
      </c>
      <c r="R4525" s="1" t="s">
        <v>7722</v>
      </c>
      <c r="V4525" s="1" t="s">
        <v>7737</v>
      </c>
      <c r="AR4525" s="1" t="str">
        <f t="shared" si="281"/>
        <v>| [ㄋㄨㄥˊ](ㄋㄨㄥˊ.md) | [襛](襛.md) |  | nóng | [形]
1.衣服厚重的樣子。《說文解字．衣部》：「襛，衣厚貌。」
2.美盛。如：「襛華」。《詩經．召南．何彼襛矣》：「何彼襛矣，唐棣之華。」
3.肥胖、豐滿。《文選．曹植．洛神賦》：「襛纖得衷，脩短合度。」 |</v>
      </c>
    </row>
    <row r="4526" spans="1:44" hidden="1">
      <c r="A4526" s="1" t="s">
        <v>7738</v>
      </c>
      <c r="C4526" s="1">
        <v>1</v>
      </c>
      <c r="D4526" s="1" t="str">
        <f>"03157"</f>
        <v>03157</v>
      </c>
      <c r="E4526" s="1" t="s">
        <v>1462</v>
      </c>
      <c r="F4526" s="1">
        <v>20</v>
      </c>
      <c r="G4526" s="1">
        <v>13</v>
      </c>
      <c r="H4526" s="1">
        <v>0</v>
      </c>
      <c r="I4526" s="1" t="s">
        <v>7721</v>
      </c>
      <c r="K4526" s="1" t="str">
        <f t="shared" si="283"/>
        <v>ㄋ</v>
      </c>
      <c r="L4526" s="1" t="str">
        <f t="shared" si="284"/>
        <v>ㄨ</v>
      </c>
      <c r="M4526" s="1" t="str">
        <f t="shared" si="282"/>
        <v>ㄥ</v>
      </c>
      <c r="P4526" s="1" t="s">
        <v>20</v>
      </c>
      <c r="R4526" s="1" t="s">
        <v>7722</v>
      </c>
      <c r="V4526" s="1" t="s">
        <v>7739</v>
      </c>
      <c r="AR4526" s="1" t="str">
        <f t="shared" si="281"/>
        <v>| [ㄋㄨㄥˊ](ㄋㄨㄥˊ.md) | [醲](醲.md) |  | nóng | [形]
1.酒味醇厚。《鏡花緣》第二三回：「是酒也，非一類也，……上等者，其味醲。」
2.厚、重。《韓非子．難勢》：「夫有盛雲醲霧之勢而不能乘遊者，螾螘之材薄也。」 |</v>
      </c>
    </row>
    <row r="4527" spans="1:44" hidden="1">
      <c r="A4527" s="1" t="s">
        <v>7740</v>
      </c>
      <c r="C4527" s="1">
        <v>1</v>
      </c>
      <c r="D4527" s="1" t="str">
        <f>"03158"</f>
        <v>03158</v>
      </c>
      <c r="E4527" s="1" t="s">
        <v>1027</v>
      </c>
      <c r="F4527" s="1">
        <v>7</v>
      </c>
      <c r="G4527" s="1">
        <v>4</v>
      </c>
      <c r="H4527" s="1">
        <v>1</v>
      </c>
      <c r="I4527" s="1" t="s">
        <v>7741</v>
      </c>
      <c r="K4527" s="1" t="str">
        <f t="shared" si="283"/>
        <v>ㄋ</v>
      </c>
      <c r="L4527" s="1" t="str">
        <f t="shared" si="284"/>
        <v>ㄨ</v>
      </c>
      <c r="M4527" s="1" t="str">
        <f t="shared" si="282"/>
        <v>ㄥ</v>
      </c>
      <c r="P4527" s="1" t="s">
        <v>388</v>
      </c>
      <c r="R4527" s="1" t="s">
        <v>7742</v>
      </c>
      <c r="V4527" s="1" t="s">
        <v>7743</v>
      </c>
      <c r="W4527" s="1" t="s">
        <v>7744</v>
      </c>
      <c r="AR4527" s="1" t="str">
        <f t="shared" si="281"/>
        <v>| [ㄋㄨㄥˋ](ㄋㄨㄥˋ.md) | [弄](弄.md) |  | nòng | [動]_x000D_
1.把玩、玩賞。《詩經．小雅．斯干》：「乃生男子，載寢之床，載衣之裳，載弄之璋。」唐．李白〈別山僧〉詩：「何處名僧到水西？乘舟弄月宿涇溪。」_x000D_
2.遊戲、耍弄。《左傳．定公三年》：「君以弄馬之故，隱君身，棄國家。」唐．李白〈長干行〉二首之一：「郎騎竹馬來，遶床弄青梅。」宋．上官融《友會談叢》卷上：「京師貨藥者多假弄獅子、猢孫為戲，聚集市人。」_x000D_
3.做、從事。《官話指南．卷二．官商吐屬》：「然後就叫店家打洗臉水、沏茶、弄飯吃。」《兒女英雄傳》第一四回：「你莫管，照我的話弄去就是了。」_x000D_
4.處理、探察、追究。如：「這件事一定要弄清楚才行！」《紅樓夢》第九九回：「不知道怎麼部裡沒有弄明白。如今就是鬧破了，也是官官相護的。」《文明小史》第一二回：「總是你們沒有弄清，快去查明了來。」_x000D_
5.尋求、取得。《兒女英雄傳》第四〇回：「我因為今年是你師母正壽，所以又弄了倆人，合上個八旬慶壽的意思。」《紅樓夢》第五九回：「只是要你們齊心打夥兒弄幾個錢回家受用，若不隨我，我也不管了。」《文明小史》第四八回：「其時已在上燈時分，房間都被人家佔了去了，好容易等了一會，才弄到一個小房間。」_x000D_
6.搖動、攪動。如：「這消息把大家弄得人心惶惶。」元．白樸《牆頭馬上》第二折：「怕露驚宿鳥，風弄庭槐。」《官場現形記》第五回：「不該應要錢的心太狠了，直弄得民怨沸騰，有無數商人，來省上控。」_x000D_
7.與人淫亂、姦汙。晉．干寶《搜神記》卷七：「元康中，貴游子弟相與為散髮裸身之飲，對弄婢妾。」《南史．卷五五．列傳．曹景宗》：「本以為戲，而部下多剽輕，因弄人婦女，奪人財貨。帝頗知之，景宗懼乃止。」《紅樓夢》第六七回：「鳳姐兒道：『你二爺在外頭弄了人，你知道不知道？』」_x000D_
8.演奏樂器。如：「弄笛」、「弄簫」。唐．李白〈邯鄲南亭觀妓〉詩：「歌鼓燕趙兒，魏姝弄鳴絲。」唐．王涯〈秋夜曲〉：「銀箏夜久殷勤弄，心怯空房不忍歸。」_x000D_
9.妝飾、修飾。晉．趙至〈與嵇茂齊書〉：「翱翔倫黨之間，弄姿帷房之裡。」唐．溫庭筠〈菩薩蠻．小山重疊金明滅〉詞：「懶起畫娥眉，弄妝梳洗遲。」_x000D_
[名]_x000D_
樂曲。如：「江南弄」、「梅花三弄」。《韓非子．難三》：「且中期之所官，琴瑟也。絃不調，弄不明，中期之任也。」三國魏．嵇康〈琴賦〉：「改韻易調，奇弄乃發。」_x000D_
[量]_x000D_
計算樂曲或演奏次數的單位。《晉書．卷八一．列傳．桓宣》：「帝命伊吹笛。伊神色無迕，即吹為一弄。」元．戴表元〈次韻和蔚師鑑師春懷〉：「愁是雲陰喜是晴，春遊何處不關情？黃雞亭館琴三弄，青果杯盤酒數行。」明．何景明〈岳陽城中聞笛〉詩：「何處笛聲三四弄，坐聽疑隔楚江濆。」 |</v>
      </c>
    </row>
    <row r="4528" spans="1:44" hidden="1">
      <c r="A4528" s="1" t="s">
        <v>7131</v>
      </c>
      <c r="C4528" s="1">
        <v>1</v>
      </c>
      <c r="D4528" s="1" t="str">
        <f>"02922"</f>
        <v>02922</v>
      </c>
      <c r="E4528" s="1" t="s">
        <v>7132</v>
      </c>
      <c r="F4528" s="1">
        <v>4</v>
      </c>
      <c r="G4528" s="1">
        <v>2</v>
      </c>
      <c r="H4528" s="1">
        <v>2</v>
      </c>
      <c r="I4528" s="1" t="s">
        <v>7133</v>
      </c>
      <c r="K4528" s="1" t="str">
        <f t="shared" si="283"/>
        <v>ㄋ</v>
      </c>
      <c r="L4528" s="1" t="str">
        <f t="shared" si="284"/>
        <v>ㄚ</v>
      </c>
      <c r="N4528" s="3" t="s">
        <v>30574</v>
      </c>
      <c r="O4528" s="3"/>
      <c r="P4528" s="1" t="s">
        <v>20</v>
      </c>
      <c r="R4528" s="1" t="s">
        <v>7134</v>
      </c>
      <c r="V4528" s="1" t="s">
        <v>7135</v>
      </c>
      <c r="W4528" s="1" t="s">
        <v>7136</v>
      </c>
      <c r="AR4528" s="1" t="str">
        <f t="shared" si="281"/>
        <v>| [ㄋㄚˋ](ㄋㄚˋ.md) | [內](內.md) |  | nà | [動]_x000D_
接納、收容。通「納」。《孟子．公孫丑上》：「非所以內交於孺子之父母也，非所以要譽於鄉黨朋友也。」《荀子．富國》：「婚姻娉內，送逆無禮。」《史記．卷八四．屈原賈生列傳．屈原》：「懷王怒，不聽，亡走趙，趙不內，復之秦，竟死於秦而歸葬。」 |</v>
      </c>
    </row>
    <row r="4529" spans="1:44" hidden="1">
      <c r="A4529" s="1" t="s">
        <v>7137</v>
      </c>
      <c r="C4529" s="1">
        <v>1</v>
      </c>
      <c r="D4529" s="1" t="str">
        <f>"02923"</f>
        <v>02923</v>
      </c>
      <c r="E4529" s="1" t="s">
        <v>28</v>
      </c>
      <c r="F4529" s="1">
        <v>7</v>
      </c>
      <c r="G4529" s="1">
        <v>4</v>
      </c>
      <c r="H4529" s="1">
        <v>0</v>
      </c>
      <c r="I4529" s="1" t="s">
        <v>7133</v>
      </c>
      <c r="K4529" s="1" t="str">
        <f t="shared" si="283"/>
        <v>ㄋ</v>
      </c>
      <c r="L4529" s="1" t="str">
        <f t="shared" si="284"/>
        <v>ㄚ</v>
      </c>
      <c r="N4529" s="3" t="s">
        <v>30574</v>
      </c>
      <c r="O4529" s="3"/>
      <c r="P4529" s="1" t="s">
        <v>20</v>
      </c>
      <c r="R4529" s="1" t="s">
        <v>7134</v>
      </c>
      <c r="V4529" s="1" t="s">
        <v>7138</v>
      </c>
      <c r="AR4529" s="1" t="str">
        <f t="shared" si="281"/>
        <v>| [ㄋㄚˋ](ㄋㄚˋ.md) | [吶](吶.md) |  | nà | [動]
大聲喊叫。《三國演義》第四五回：「鳴鼓吶喊而進。」
[形]
說話遲鈍、不流利。《漢書．卷七二．鮑宣傳》：「臣宣吶鈍於辭。」唐．顏師古．注：「吶亦訥字也。」唐．柳宗元〈與李睦州論服氣書〉：「今愚甚吶，不能多言。」 |</v>
      </c>
    </row>
    <row r="4530" spans="1:44" hidden="1">
      <c r="A4530" s="1" t="s">
        <v>7139</v>
      </c>
      <c r="C4530" s="1">
        <v>1</v>
      </c>
      <c r="D4530" s="1" t="str">
        <f>"02924"</f>
        <v>02924</v>
      </c>
      <c r="E4530" s="1" t="s">
        <v>340</v>
      </c>
      <c r="F4530" s="1">
        <v>10</v>
      </c>
      <c r="G4530" s="1">
        <v>4</v>
      </c>
      <c r="H4530" s="1">
        <v>0</v>
      </c>
      <c r="I4530" s="1" t="s">
        <v>7133</v>
      </c>
      <c r="K4530" s="1" t="str">
        <f t="shared" si="283"/>
        <v>ㄋ</v>
      </c>
      <c r="L4530" s="1" t="str">
        <f t="shared" si="284"/>
        <v>ㄚ</v>
      </c>
      <c r="N4530" s="3" t="s">
        <v>30574</v>
      </c>
      <c r="O4530" s="3"/>
      <c r="P4530" s="1" t="s">
        <v>20</v>
      </c>
      <c r="R4530" s="1" t="s">
        <v>7134</v>
      </c>
      <c r="V4530" s="1" t="s">
        <v>7140</v>
      </c>
      <c r="AR4530" s="1" t="str">
        <f t="shared" si="281"/>
        <v>| [ㄋㄚˋ](ㄋㄚˋ.md) | [衲](衲.md) |  | nà | [名]
1.僧、和尚。唐．戴叔倫〈題橫山寺〉詩：「老衲供茶碗，斜陽送客舟。」
2.僧衣。唐．戴叔倫〈寄贈翠巖奉上人〉詩：「挂衲雲林淨，翻經石榻涼。」《紅樓夢．第二五》：「破衲芒鞋無住跡，腌臢更有滿頭瘡。」
[動]
縫補、縫織。宋．劉克莊〈同孫季蕃遊淨居諸庵〉詩：「戒衣皆自衲，因講始停針。」 |</v>
      </c>
    </row>
    <row r="4531" spans="1:44" hidden="1">
      <c r="A4531" s="1" t="s">
        <v>7141</v>
      </c>
      <c r="C4531" s="1">
        <v>1</v>
      </c>
      <c r="D4531" s="1" t="str">
        <f>"02925"</f>
        <v>02925</v>
      </c>
      <c r="E4531" s="1" t="s">
        <v>725</v>
      </c>
      <c r="F4531" s="1">
        <v>10</v>
      </c>
      <c r="G4531" s="1">
        <v>4</v>
      </c>
      <c r="H4531" s="1">
        <v>0</v>
      </c>
      <c r="I4531" s="1" t="s">
        <v>7133</v>
      </c>
      <c r="K4531" s="1" t="str">
        <f t="shared" si="283"/>
        <v>ㄋ</v>
      </c>
      <c r="L4531" s="1" t="str">
        <f t="shared" si="284"/>
        <v>ㄚ</v>
      </c>
      <c r="N4531" s="3" t="s">
        <v>30574</v>
      </c>
      <c r="O4531" s="3"/>
      <c r="P4531" s="1" t="s">
        <v>20</v>
      </c>
      <c r="R4531" s="1" t="s">
        <v>7134</v>
      </c>
      <c r="V4531" s="1" t="s">
        <v>7142</v>
      </c>
      <c r="AR4531" s="1" t="str">
        <f t="shared" si="281"/>
        <v>| [ㄋㄚˋ](ㄋㄚˋ.md) | [納](納.md) |  | nà | [動]_x000D_
1.收。《詩經．豳風．七月》：「九月築場圃，十月納禾稼。」《史記．卷八六．刺客列傳．荊軻》：「今秦已虜韓王，盡納其地。」_x000D_
2.交、獻。如：「納稅」、「繳納」。《春秋．莊公二十二年》：「東，公如齊納幣。」漢．桓寬《鹽鐵論．本議》：「農人納其獲，女工效其功。」_x000D_
3.容、受。如：「笑納」、「接納」。《左傳．文公十六年》：「諸侯誰納我？」《南史．卷四二．齊高帝諸子列傳上．豫章文獻王嶷》：「坦懷納善，側席思政。」_x000D_
4.引入。《儀禮．燕禮》：「小臣納卿大夫，卿大夫皆入門右北面東上。」漢．鄭玄．注：「納者，以公命引而入也。」_x000D_
5.娶。如：「納妾」。《易經．蒙卦．九二》：「包蒙吉，納婦吉，子克家。」《後漢書．卷一〇．皇后紀上．光烈陰皇后紀》：「更始元年六月，遂納后於宛當成里，時年十九。」_x000D_
6.穿、著。《禮記．曲禮上》：「跪而遷屨，俯而納屨。」_x000D_
7.縫補。漢．王充《論衡．程材》：「刺繡之師能縫帷裳，納縷之工不能織錦。」《水滸傳》第二三回：「武松穿了一領納紅紬襖，戴著個白范陽氈笠兒。」 |</v>
      </c>
    </row>
    <row r="4532" spans="1:44" hidden="1">
      <c r="A4532" s="1" t="s">
        <v>7143</v>
      </c>
      <c r="C4532" s="1">
        <v>1</v>
      </c>
      <c r="D4532" s="1" t="str">
        <f>"02926"</f>
        <v>02926</v>
      </c>
      <c r="E4532" s="1" t="s">
        <v>331</v>
      </c>
      <c r="F4532" s="1">
        <v>11</v>
      </c>
      <c r="G4532" s="1">
        <v>4</v>
      </c>
      <c r="H4532" s="1">
        <v>2</v>
      </c>
      <c r="I4532" s="1" t="s">
        <v>7133</v>
      </c>
      <c r="K4532" s="1" t="str">
        <f t="shared" si="283"/>
        <v>ㄋ</v>
      </c>
      <c r="L4532" s="1" t="str">
        <f t="shared" si="284"/>
        <v>ㄚ</v>
      </c>
      <c r="N4532" s="3" t="s">
        <v>30574</v>
      </c>
      <c r="O4532" s="3"/>
      <c r="P4532" s="1" t="s">
        <v>110</v>
      </c>
      <c r="R4532" s="1" t="s">
        <v>7134</v>
      </c>
      <c r="V4532" s="1" t="s">
        <v>111</v>
      </c>
      <c r="W4532" s="1" t="s">
        <v>7144</v>
      </c>
      <c r="AR4532" s="1" t="str">
        <f t="shared" si="281"/>
        <v>| [ㄋㄚˋ](ㄋㄚˋ.md) | [訥](訥.md) |  | nà | (一)之又音。 |</v>
      </c>
    </row>
    <row r="4533" spans="1:44" hidden="1">
      <c r="A4533" s="1" t="s">
        <v>7145</v>
      </c>
      <c r="C4533" s="1">
        <v>1</v>
      </c>
      <c r="D4533" s="1" t="str">
        <f>"02927"</f>
        <v>02927</v>
      </c>
      <c r="E4533" s="1" t="s">
        <v>71</v>
      </c>
      <c r="F4533" s="1">
        <v>11</v>
      </c>
      <c r="G4533" s="1">
        <v>4</v>
      </c>
      <c r="H4533" s="1">
        <v>0</v>
      </c>
      <c r="I4533" s="1" t="s">
        <v>7133</v>
      </c>
      <c r="K4533" s="1" t="str">
        <f t="shared" si="283"/>
        <v>ㄋ</v>
      </c>
      <c r="L4533" s="1" t="str">
        <f t="shared" si="284"/>
        <v>ㄚ</v>
      </c>
      <c r="N4533" s="3" t="s">
        <v>30574</v>
      </c>
      <c r="O4533" s="3"/>
      <c r="P4533" s="1" t="s">
        <v>20</v>
      </c>
      <c r="R4533" s="1" t="s">
        <v>7134</v>
      </c>
      <c r="V4533" s="1" t="s">
        <v>7146</v>
      </c>
      <c r="AR4533" s="1" t="str">
        <f t="shared" si="281"/>
        <v>| [ㄋㄚˋ](ㄋㄚˋ.md) | [軜](軜.md) |  | nà | [名]
兩驂馬內側繫貫於軾前繫環的韁繩。《說文解字．車部》：「軜，驂馬內轡繫軾前者。」《詩經．秦風．小戎》：「龍盾之合，鋈以觼軜。」漢．毛亨．傳：「軜，驂內轡也。」 |</v>
      </c>
    </row>
    <row r="4534" spans="1:44" hidden="1">
      <c r="A4534" s="1" t="s">
        <v>7147</v>
      </c>
      <c r="C4534" s="1">
        <v>1</v>
      </c>
      <c r="D4534" s="1" t="str">
        <f>"02928"</f>
        <v>02928</v>
      </c>
      <c r="E4534" s="1" t="s">
        <v>55</v>
      </c>
      <c r="F4534" s="1">
        <v>12</v>
      </c>
      <c r="G4534" s="1">
        <v>4</v>
      </c>
      <c r="H4534" s="1">
        <v>0</v>
      </c>
      <c r="I4534" s="1" t="s">
        <v>7133</v>
      </c>
      <c r="K4534" s="1" t="str">
        <f t="shared" si="283"/>
        <v>ㄋ</v>
      </c>
      <c r="L4534" s="1" t="str">
        <f t="shared" si="284"/>
        <v>ㄚ</v>
      </c>
      <c r="N4534" s="3" t="s">
        <v>30574</v>
      </c>
      <c r="O4534" s="3"/>
      <c r="P4534" s="1" t="s">
        <v>20</v>
      </c>
      <c r="R4534" s="1" t="s">
        <v>7134</v>
      </c>
      <c r="V4534" s="1" t="s">
        <v>7148</v>
      </c>
      <c r="AR4534" s="1" t="str">
        <f t="shared" si="281"/>
        <v>| [ㄋㄚˋ](ㄋㄚˋ.md) | [鈉](鈉.md) |  | nà | [名]
（sodium，Na）化學元素。原子序11。鹼金屬元素之一。銀白色，質軟具延展性。在空氣中極易氧化，遇水則劇烈反應產生氫氣，需貯存於石油中。主要以化合物型態存在，如食鹽。亦可做還原劑及熱交換劑，用途甚廣。 |</v>
      </c>
    </row>
    <row r="4535" spans="1:44" hidden="1">
      <c r="A4535" s="1" t="s">
        <v>7149</v>
      </c>
      <c r="C4535" s="1">
        <v>1</v>
      </c>
      <c r="D4535" s="1" t="str">
        <f>"02929"</f>
        <v>02929</v>
      </c>
      <c r="E4535" s="1" t="s">
        <v>156</v>
      </c>
      <c r="F4535" s="1">
        <v>15</v>
      </c>
      <c r="G4535" s="1">
        <v>4</v>
      </c>
      <c r="H4535" s="1">
        <v>0</v>
      </c>
      <c r="I4535" s="1" t="s">
        <v>7133</v>
      </c>
      <c r="K4535" s="1" t="str">
        <f t="shared" si="283"/>
        <v>ㄋ</v>
      </c>
      <c r="L4535" s="1" t="str">
        <f t="shared" si="284"/>
        <v>ㄚ</v>
      </c>
      <c r="N4535" s="3" t="s">
        <v>30574</v>
      </c>
      <c r="O4535" s="3"/>
      <c r="P4535" s="1" t="s">
        <v>20</v>
      </c>
      <c r="R4535" s="1" t="s">
        <v>7134</v>
      </c>
      <c r="V4535" s="1" t="s">
        <v>7150</v>
      </c>
      <c r="AR4535" s="1" t="str">
        <f t="shared" si="281"/>
        <v>| [ㄋㄚˋ](ㄋㄚˋ.md) | [魶](魶.md) |  | nà | [名]
1.一種似鱉無甲的魚。《廣韻．入聲．合韻》：「魶，魚名。似鱉無甲，有尾，口在腹下。」
2.即鯢。形似鮎，聲音如嬰兒。《集韻．入聲．盍韻》：「魶，鯢也，似鮎，四足，聲如嬰兒。」明．李時珍《本草綱目．卷四四．鱗部．鯢魚》：「《釋名》：『人魚、魶魚。時珍曰：如小兒，故名。』」 |</v>
      </c>
    </row>
    <row r="4536" spans="1:44" hidden="1">
      <c r="A4536" s="1" t="s">
        <v>7111</v>
      </c>
      <c r="C4536" s="1">
        <v>1</v>
      </c>
      <c r="D4536" s="1" t="str">
        <f>"02930"</f>
        <v>02930</v>
      </c>
      <c r="E4536" s="1" t="s">
        <v>256</v>
      </c>
      <c r="F4536" s="1">
        <v>7</v>
      </c>
      <c r="G4536" s="1">
        <v>4</v>
      </c>
      <c r="H4536" s="1">
        <v>1</v>
      </c>
      <c r="I4536" s="1" t="s">
        <v>7133</v>
      </c>
      <c r="K4536" s="1" t="str">
        <f t="shared" si="283"/>
        <v>ㄋ</v>
      </c>
      <c r="L4536" s="1" t="str">
        <f t="shared" si="284"/>
        <v>ㄚ</v>
      </c>
      <c r="N4536" s="3" t="s">
        <v>30574</v>
      </c>
      <c r="O4536" s="3"/>
      <c r="P4536" s="1" t="s">
        <v>20</v>
      </c>
      <c r="R4536" s="1" t="s">
        <v>7134</v>
      </c>
      <c r="V4536" s="1" t="s">
        <v>7151</v>
      </c>
      <c r="W4536" s="1" t="s">
        <v>7152</v>
      </c>
      <c r="AR4536" s="1" t="str">
        <f t="shared" si="281"/>
        <v>| [ㄋㄚˋ](ㄋㄚˋ.md) | [那](那.md) |  | nà | [形]
指示詞。指比較遠的人、事、物。相對於「這」。如：「我很喜歡那個人。」、「那件東西你要不要？」宋．辛棄疾〈醜奴兒．千峰雲起〉詞：「山那畔，別有人間。」
[連]
表承接、轉折的語氣。如：「你要是沒空，那我找別人陪我去。」 |</v>
      </c>
    </row>
    <row r="4537" spans="1:44" hidden="1">
      <c r="A4537" s="1" t="s">
        <v>7153</v>
      </c>
      <c r="C4537" s="1">
        <v>1</v>
      </c>
      <c r="D4537" s="1" t="str">
        <f>"02931"</f>
        <v>02931</v>
      </c>
      <c r="E4537" s="1" t="s">
        <v>534</v>
      </c>
      <c r="F4537" s="1">
        <v>10</v>
      </c>
      <c r="G4537" s="1">
        <v>7</v>
      </c>
      <c r="H4537" s="1">
        <v>2</v>
      </c>
      <c r="I4537" s="1" t="s">
        <v>7133</v>
      </c>
      <c r="K4537" s="1" t="str">
        <f t="shared" si="283"/>
        <v>ㄋ</v>
      </c>
      <c r="L4537" s="1" t="str">
        <f t="shared" si="284"/>
        <v>ㄚ</v>
      </c>
      <c r="N4537" s="3" t="s">
        <v>30574</v>
      </c>
      <c r="O4537" s="3"/>
      <c r="P4537" s="1" t="s">
        <v>20</v>
      </c>
      <c r="R4537" s="1" t="s">
        <v>7134</v>
      </c>
      <c r="V4537" s="1" t="s">
        <v>7154</v>
      </c>
      <c r="W4537" s="1" t="s">
        <v>7155</v>
      </c>
      <c r="AR4537" s="1" t="str">
        <f t="shared" si="281"/>
        <v>| [ㄋㄚˋ](ㄋㄚˋ.md) | [娜](娜.md) |  | nà | [名]
女子名字的用字。如：「麗娜」、「安娜」。 |</v>
      </c>
    </row>
    <row r="4538" spans="1:44" hidden="1">
      <c r="A4538" s="1" t="s">
        <v>7156</v>
      </c>
      <c r="C4538" s="1">
        <v>1</v>
      </c>
      <c r="D4538" s="1" t="str">
        <f>"02932"</f>
        <v>02932</v>
      </c>
      <c r="E4538" s="1" t="s">
        <v>24</v>
      </c>
      <c r="F4538" s="1">
        <v>11</v>
      </c>
      <c r="G4538" s="1">
        <v>8</v>
      </c>
      <c r="H4538" s="1">
        <v>0</v>
      </c>
      <c r="I4538" s="1" t="s">
        <v>7133</v>
      </c>
      <c r="K4538" s="1" t="str">
        <f t="shared" si="283"/>
        <v>ㄋ</v>
      </c>
      <c r="L4538" s="1" t="str">
        <f t="shared" si="284"/>
        <v>ㄚ</v>
      </c>
      <c r="N4538" s="3" t="s">
        <v>30574</v>
      </c>
      <c r="O4538" s="3"/>
      <c r="P4538" s="1" t="s">
        <v>20</v>
      </c>
      <c r="R4538" s="1" t="s">
        <v>7134</v>
      </c>
      <c r="V4538" s="1" t="s">
        <v>7157</v>
      </c>
      <c r="AR4538" s="1" t="str">
        <f t="shared" si="281"/>
        <v>| [ㄋㄚˋ](ㄋㄚˋ.md) | [捺](捺.md) |  | nà | [動]
1.用手重按。如：「捺手印」。《儒林外史》第三九回：「將隻手捺著左眼，飛跑出來。」
2.壓抑。如：「按捺不住」。《儒林外史》第二回：「周進只得捺定性子，坐著教導。」
3.截留、擱置。《二十年目睹之怪現狀》第四八回：「於是又在臬司和撫臺那裡，設法耽擱，這裡面已經不知捺了多少日子了。」
[名]
一種書法筆法。筆畫向右斜下，近末端處微有波折。永字八法稱為「磔」。《老殘遊記》第一一回：「一撇一捺。」 |</v>
      </c>
    </row>
    <row r="4539" spans="1:44" hidden="1">
      <c r="A4539" s="1" t="s">
        <v>7116</v>
      </c>
      <c r="C4539" s="1">
        <v>1</v>
      </c>
      <c r="D4539" s="1" t="str">
        <f>"02917"</f>
        <v>02917</v>
      </c>
      <c r="E4539" s="1" t="s">
        <v>286</v>
      </c>
      <c r="F4539" s="1">
        <v>9</v>
      </c>
      <c r="G4539" s="1">
        <v>7</v>
      </c>
      <c r="H4539" s="1">
        <v>2</v>
      </c>
      <c r="I4539" s="1" t="s">
        <v>7117</v>
      </c>
      <c r="K4539" s="1" t="str">
        <f t="shared" si="283"/>
        <v>ㄋ</v>
      </c>
      <c r="L4539" s="1" t="str">
        <f t="shared" si="284"/>
        <v>ㄚ</v>
      </c>
      <c r="N4539" s="3" t="s">
        <v>30575</v>
      </c>
      <c r="O4539" s="3"/>
      <c r="P4539" s="1" t="s">
        <v>20</v>
      </c>
      <c r="R4539" s="1" t="s">
        <v>7118</v>
      </c>
      <c r="V4539" s="1" t="s">
        <v>2653</v>
      </c>
      <c r="W4539" s="1" t="s">
        <v>7119</v>
      </c>
      <c r="AR4539" s="1" t="str">
        <f t="shared" si="281"/>
        <v>| [ㄋㄚˊ](ㄋㄚˊ.md) | [南](南.md) |  | ná | 參見「南無」條。 |</v>
      </c>
    </row>
    <row r="4540" spans="1:44" hidden="1">
      <c r="A4540" s="1" t="s">
        <v>7120</v>
      </c>
      <c r="C4540" s="1">
        <v>1</v>
      </c>
      <c r="D4540" s="1" t="str">
        <f>"02918"</f>
        <v>02918</v>
      </c>
      <c r="E4540" s="1" t="s">
        <v>24</v>
      </c>
      <c r="F4540" s="1">
        <v>9</v>
      </c>
      <c r="G4540" s="1">
        <v>5</v>
      </c>
      <c r="H4540" s="1">
        <v>0</v>
      </c>
      <c r="I4540" s="1" t="s">
        <v>7117</v>
      </c>
      <c r="K4540" s="1" t="str">
        <f t="shared" si="283"/>
        <v>ㄋ</v>
      </c>
      <c r="L4540" s="1" t="str">
        <f t="shared" si="284"/>
        <v>ㄚ</v>
      </c>
      <c r="N4540" s="3" t="s">
        <v>30575</v>
      </c>
      <c r="O4540" s="3"/>
      <c r="P4540" s="1" t="s">
        <v>20</v>
      </c>
      <c r="R4540" s="1" t="s">
        <v>7118</v>
      </c>
      <c r="V4540" s="1" t="s">
        <v>7121</v>
      </c>
      <c r="AR4540" s="1" t="str">
        <f t="shared" si="281"/>
        <v>| [ㄋㄚˊ](ㄋㄚˊ.md) | [拏](拏.md) |  | ná | [動]
1.執持。《說文解字．手部》：「拏，持也。」《警世通言．卷三七．萬秀娘仇報山亭兒》：「拏起一條柱杖，看著尹宗落夾背便打。」
2.拘捕。通「拿」。《太平廣記．卷三〇三．鄭仁鈞》：「且拏我入城，投楊氏姐。」 |</v>
      </c>
    </row>
    <row r="4541" spans="1:44" hidden="1">
      <c r="A4541" s="1" t="s">
        <v>7122</v>
      </c>
      <c r="C4541" s="1">
        <v>1</v>
      </c>
      <c r="D4541" s="1" t="str">
        <f>"02919"</f>
        <v>02919</v>
      </c>
      <c r="E4541" s="1" t="s">
        <v>24</v>
      </c>
      <c r="F4541" s="1">
        <v>10</v>
      </c>
      <c r="G4541" s="1">
        <v>6</v>
      </c>
      <c r="H4541" s="1">
        <v>0</v>
      </c>
      <c r="I4541" s="1" t="s">
        <v>7117</v>
      </c>
      <c r="K4541" s="1" t="str">
        <f t="shared" si="283"/>
        <v>ㄋ</v>
      </c>
      <c r="L4541" s="1" t="str">
        <f t="shared" si="284"/>
        <v>ㄚ</v>
      </c>
      <c r="N4541" s="3" t="s">
        <v>30575</v>
      </c>
      <c r="O4541" s="3"/>
      <c r="P4541" s="1" t="s">
        <v>20</v>
      </c>
      <c r="R4541" s="1" t="s">
        <v>7118</v>
      </c>
      <c r="V4541" s="1" t="s">
        <v>7123</v>
      </c>
      <c r="AR4541" s="1" t="str">
        <f t="shared" si="281"/>
        <v>| [ㄋㄚˊ](ㄋㄚˊ.md) | [拿](拿.md) |  | ná | [動]
1.用手取物或持物。《老殘遊記》第四回：「一手提著燈籠，一手拿著個雙紅名帖。」
2.捕捉。如：「緝拿」、「捉拿人犯」。《兒女英雄傳》第三四回：「你這孩子，纔叫狗拿耗子呢！」
3.用。《儒林外史》第一回：「老爺拿帖子請你，自然是好意。」
4.要挾、為難。《紅樓夢》第九一回：「因怕金桂拿他，所以不敢透漏。」
5.掌握、主持。如：「拿權」、「拿主意」。
6.裝模作樣。如：「拿翹」、「拿架子」。《鏡花緣》第二回：「一味花言巧語，這樣拿腔作勢未免太過分了。」
[介]
把。《文明小史》第二四回：「他幸而聲名不大，外國人不拿他放在心上。」 |</v>
      </c>
    </row>
    <row r="4542" spans="1:44" hidden="1">
      <c r="A4542" s="1" t="s">
        <v>7111</v>
      </c>
      <c r="C4542" s="1">
        <v>1</v>
      </c>
      <c r="D4542" s="1" t="str">
        <f>"02920"</f>
        <v>02920</v>
      </c>
      <c r="E4542" s="1" t="s">
        <v>256</v>
      </c>
      <c r="F4542" s="1">
        <v>7</v>
      </c>
      <c r="G4542" s="1">
        <v>4</v>
      </c>
      <c r="H4542" s="1">
        <v>3</v>
      </c>
      <c r="I4542" s="1" t="s">
        <v>7124</v>
      </c>
      <c r="K4542" s="1" t="str">
        <f t="shared" si="283"/>
        <v>ㄋ</v>
      </c>
      <c r="L4542" s="1" t="str">
        <f t="shared" si="284"/>
        <v>ㄚ</v>
      </c>
      <c r="N4542" s="3" t="s">
        <v>30576</v>
      </c>
      <c r="O4542" s="3"/>
      <c r="P4542" s="1" t="s">
        <v>20</v>
      </c>
      <c r="R4542" s="1" t="s">
        <v>7125</v>
      </c>
      <c r="V4542" s="1" t="s">
        <v>7126</v>
      </c>
      <c r="W4542" s="1" t="s">
        <v>7127</v>
      </c>
      <c r="AR4542" s="1" t="str">
        <f t="shared" si="281"/>
        <v>| [ㄋㄚˇ](ㄋㄚˇ.md) | [那](那.md) |  | nǎ | [代]
表示疑問。如：「他去那裡了？」唐．王建〈寒食行〉：「紙錢那得到黃泉？」
[副]
怎。宋．辛棄疾〈瑞鷓鴣．膠膠擾擾幾時休〉詞：「那堪愁上更添愁。」 |</v>
      </c>
    </row>
    <row r="4543" spans="1:44" hidden="1">
      <c r="A4543" s="1" t="s">
        <v>7128</v>
      </c>
      <c r="C4543" s="1">
        <v>1</v>
      </c>
      <c r="D4543" s="1" t="str">
        <f>"02921"</f>
        <v>02921</v>
      </c>
      <c r="E4543" s="1" t="s">
        <v>28</v>
      </c>
      <c r="F4543" s="1">
        <v>10</v>
      </c>
      <c r="G4543" s="1">
        <v>7</v>
      </c>
      <c r="H4543" s="1">
        <v>1</v>
      </c>
      <c r="I4543" s="1" t="s">
        <v>7124</v>
      </c>
      <c r="K4543" s="1" t="str">
        <f t="shared" si="283"/>
        <v>ㄋ</v>
      </c>
      <c r="L4543" s="1" t="str">
        <f t="shared" si="284"/>
        <v>ㄚ</v>
      </c>
      <c r="N4543" s="3" t="s">
        <v>30576</v>
      </c>
      <c r="O4543" s="3"/>
      <c r="P4543" s="1" t="s">
        <v>20</v>
      </c>
      <c r="R4543" s="1" t="s">
        <v>7125</v>
      </c>
      <c r="V4543" s="1" t="s">
        <v>7129</v>
      </c>
      <c r="W4543" s="1" t="s">
        <v>7130</v>
      </c>
      <c r="AR4543" s="1" t="str">
        <f t="shared" si="281"/>
        <v>| [ㄋㄚˇ](ㄋㄚˇ.md) | [哪](哪.md) |  | nǎ | [代]
表示疑問。如：「哪天？」、「哪裡人？」
[副]
怎，表示反問。如：「哪知」、「哪能」。 |</v>
      </c>
    </row>
    <row r="4544" spans="1:44" hidden="1">
      <c r="A4544" s="1" t="s">
        <v>7128</v>
      </c>
      <c r="C4544" s="1">
        <v>1</v>
      </c>
      <c r="D4544" s="1" t="str">
        <f>"02932A"</f>
        <v>02932A</v>
      </c>
      <c r="E4544" s="1" t="s">
        <v>28</v>
      </c>
      <c r="F4544" s="1">
        <v>10</v>
      </c>
      <c r="G4544" s="1">
        <v>7</v>
      </c>
      <c r="H4544" s="1">
        <v>4</v>
      </c>
      <c r="I4544" s="1" t="s">
        <v>7158</v>
      </c>
      <c r="J4544" s="2" t="s">
        <v>30559</v>
      </c>
      <c r="K4544" s="1" t="s">
        <v>30566</v>
      </c>
      <c r="L4544" s="1" t="s">
        <v>24143</v>
      </c>
      <c r="P4544" s="1" t="s">
        <v>20</v>
      </c>
      <c r="R4544" s="1" t="s">
        <v>7159</v>
      </c>
      <c r="V4544" s="1" t="s">
        <v>7160</v>
      </c>
      <c r="W4544" s="1" t="s">
        <v>7161</v>
      </c>
      <c r="AR4544" s="1" t="str">
        <f t="shared" si="281"/>
        <v>| [˙ㄋㄚ](˙ㄋㄚ.md) | [哪](哪.md) |  | na | [助]
表疑問。《兒女英雄傳》第七回：「人家大師傅叫我住這兒勸你，可沒說准你出這個門兒，你那兒走哇？守著錢糧兒過去，你又走哪？」 |</v>
      </c>
    </row>
    <row r="4545" spans="1:44" hidden="1">
      <c r="A4545" s="1" t="s">
        <v>7143</v>
      </c>
      <c r="C4545" s="1">
        <v>1</v>
      </c>
      <c r="D4545" s="1" t="str">
        <f>"02933"</f>
        <v>02933</v>
      </c>
      <c r="E4545" s="1" t="s">
        <v>331</v>
      </c>
      <c r="F4545" s="1">
        <v>11</v>
      </c>
      <c r="G4545" s="1">
        <v>4</v>
      </c>
      <c r="H4545" s="1">
        <v>1</v>
      </c>
      <c r="I4545" s="1" t="s">
        <v>7162</v>
      </c>
      <c r="K4545" s="1" t="str">
        <f>LEFT(I4545, 1)</f>
        <v>ㄋ</v>
      </c>
      <c r="L4545" s="1" t="str">
        <f>MID(I4545, 2, 1)</f>
        <v>ㄜ</v>
      </c>
      <c r="N4545" s="3" t="s">
        <v>30574</v>
      </c>
      <c r="O4545" s="3"/>
      <c r="P4545" s="1" t="s">
        <v>20</v>
      </c>
      <c r="R4545" s="1" t="s">
        <v>7163</v>
      </c>
      <c r="V4545" s="1" t="s">
        <v>7164</v>
      </c>
      <c r="W4545" s="1" t="s">
        <v>7165</v>
      </c>
      <c r="AR4545" s="1" t="str">
        <f t="shared" si="281"/>
        <v>| [ㄋㄜˋ](ㄋㄜˋ.md) | [訥](訥.md) |  | nè | [形]
1.話少而謹慎。《論語．里仁》：「君子欲訥於言，而敏於行。」
2.言語遲鈍、不善言辭。如：「木訥」。《老子》第四五章：「大直若屈，大巧若拙，大辯若訥。」《晉書．卷九二．文苑列傳．左思》：「貌寢，口訥，而辭藻壯麗。」 |</v>
      </c>
    </row>
    <row r="4546" spans="1:44" hidden="1">
      <c r="A4546" s="1" t="s">
        <v>7166</v>
      </c>
      <c r="C4546" s="1">
        <v>1</v>
      </c>
      <c r="D4546" s="1" t="str">
        <f>"02934"</f>
        <v>02934</v>
      </c>
      <c r="E4546" s="1" t="s">
        <v>1015</v>
      </c>
      <c r="F4546" s="1">
        <v>11</v>
      </c>
      <c r="G4546" s="1">
        <v>6</v>
      </c>
      <c r="H4546" s="1">
        <v>0</v>
      </c>
      <c r="I4546" s="1" t="s">
        <v>7162</v>
      </c>
      <c r="K4546" s="1" t="str">
        <f>LEFT(I4546, 1)</f>
        <v>ㄋ</v>
      </c>
      <c r="L4546" s="1" t="str">
        <f>MID(I4546, 2, 1)</f>
        <v>ㄜ</v>
      </c>
      <c r="N4546" s="3" t="s">
        <v>30574</v>
      </c>
      <c r="O4546" s="3"/>
      <c r="P4546" s="1" t="s">
        <v>20</v>
      </c>
      <c r="R4546" s="1" t="s">
        <v>7163</v>
      </c>
      <c r="V4546" s="1" t="s">
        <v>7167</v>
      </c>
      <c r="AR4546" s="1" t="str">
        <f t="shared" si="281"/>
        <v>| [ㄋㄜˋ](ㄋㄜˋ.md) | [眲](眲.md) |  | nè | [動]
鄙視。《集韻．入聲．陌韻》：「眲，輕視也。」《列子．黃帝》：「顧見商丘開年老力弱，面目黎黑，衣冠不檢，莫不眲之。」 |</v>
      </c>
    </row>
    <row r="4547" spans="1:44" hidden="1">
      <c r="A4547" s="1" t="s">
        <v>7168</v>
      </c>
      <c r="C4547" s="1">
        <v>1</v>
      </c>
      <c r="D4547" s="1" t="str">
        <f>"02935"</f>
        <v>02935</v>
      </c>
      <c r="E4547" s="1" t="s">
        <v>28</v>
      </c>
      <c r="F4547" s="1">
        <v>8</v>
      </c>
      <c r="G4547" s="1">
        <v>5</v>
      </c>
      <c r="H4547" s="1">
        <v>2</v>
      </c>
      <c r="I4547" s="1" t="s">
        <v>7169</v>
      </c>
      <c r="J4547" s="2" t="s">
        <v>30559</v>
      </c>
      <c r="K4547" s="1" t="s">
        <v>30566</v>
      </c>
      <c r="L4547" s="1" t="s">
        <v>24183</v>
      </c>
      <c r="P4547" s="1" t="s">
        <v>20</v>
      </c>
      <c r="R4547" s="1" t="s">
        <v>7170</v>
      </c>
      <c r="V4547" s="1" t="s">
        <v>7171</v>
      </c>
      <c r="W4547" s="1" t="s">
        <v>7172</v>
      </c>
      <c r="AR4547" s="1" t="str">
        <f t="shared" ref="AR4547:AR4610" si="285">"| ["&amp;I4547&amp;"]("&amp;I4547&amp;".md) | ["&amp;A4547&amp;"]("&amp;A4547&amp;".md) | "&amp;" | "&amp;R4547&amp;" | "&amp;V4547&amp;" |"</f>
        <v>| [˙ㄋㄜ](˙ㄋㄜ.md) | [呢](呢.md) |  | ne | [助]
1.表示疑問的語氣。如：「怎麼辦呢？」《兒女英雄傳》第三二回：「那狀元夫人又是怎麼件事呢？」《老殘遊記》第一一回：「何以還有人信服他呢？」
2.表示加強、確定的語氣。如：「撐把傘，外面正下著雨呢！」 |</v>
      </c>
    </row>
    <row r="4548" spans="1:44" hidden="1">
      <c r="A4548" s="1" t="s">
        <v>7187</v>
      </c>
      <c r="C4548" s="1">
        <v>1</v>
      </c>
      <c r="D4548" s="1" t="str">
        <f>"02942"</f>
        <v>02942</v>
      </c>
      <c r="E4548" s="1" t="s">
        <v>563</v>
      </c>
      <c r="F4548" s="1">
        <v>8</v>
      </c>
      <c r="G4548" s="1">
        <v>5</v>
      </c>
      <c r="H4548" s="1">
        <v>0</v>
      </c>
      <c r="I4548" s="1" t="s">
        <v>7188</v>
      </c>
      <c r="K4548" s="1" t="str">
        <f t="shared" ref="K4548:K4579" si="286">LEFT(I4548, 1)</f>
        <v>ㄋ</v>
      </c>
      <c r="L4548" s="1" t="str">
        <f t="shared" ref="L4548:L4579" si="287">MID(I4548, 2, 1)</f>
        <v>ㄞ</v>
      </c>
      <c r="N4548" s="3" t="s">
        <v>30574</v>
      </c>
      <c r="O4548" s="3"/>
      <c r="P4548" s="1" t="s">
        <v>20</v>
      </c>
      <c r="R4548" s="1" t="s">
        <v>7189</v>
      </c>
      <c r="V4548" s="1" t="s">
        <v>7190</v>
      </c>
      <c r="AR4548" s="1" t="str">
        <f t="shared" si="285"/>
        <v>| [ㄋㄞˋ](ㄋㄞˋ.md) | [奈](奈.md) |  | nài | [動]
1.堪、經得起。通「耐」。《太平廣記．卷二三七．同昌公主》：「稍過度，則熇蒸之氣不可奈。」
2.對付、安頓、處置。通常與「何」連用。《國語．晉語二》：「吾君老矣，國家多難，伯氏不出，奈吾君何？」
[連]
表示意外轉折的語氣。如：「怎奈計畫不周，以致發生困難。」、「他本性不壞，無奈交友不慎，而誤入歧途。」 |</v>
      </c>
    </row>
    <row r="4549" spans="1:44" hidden="1">
      <c r="A4549" s="1" t="s">
        <v>7191</v>
      </c>
      <c r="C4549" s="1">
        <v>1</v>
      </c>
      <c r="D4549" s="1" t="str">
        <f>"02943"</f>
        <v>02943</v>
      </c>
      <c r="E4549" s="1" t="s">
        <v>139</v>
      </c>
      <c r="F4549" s="1">
        <v>9</v>
      </c>
      <c r="G4549" s="1">
        <v>5</v>
      </c>
      <c r="H4549" s="1">
        <v>0</v>
      </c>
      <c r="I4549" s="1" t="s">
        <v>7188</v>
      </c>
      <c r="K4549" s="1" t="str">
        <f t="shared" si="286"/>
        <v>ㄋ</v>
      </c>
      <c r="L4549" s="1" t="str">
        <f t="shared" si="287"/>
        <v>ㄞ</v>
      </c>
      <c r="N4549" s="3" t="s">
        <v>30574</v>
      </c>
      <c r="O4549" s="3"/>
      <c r="P4549" s="1" t="s">
        <v>20</v>
      </c>
      <c r="R4549" s="1" t="s">
        <v>7189</v>
      </c>
      <c r="V4549" s="1" t="s">
        <v>7192</v>
      </c>
      <c r="AR4549" s="1" t="str">
        <f t="shared" si="285"/>
        <v>| [ㄋㄞˋ](ㄋㄞˋ.md) | [柰](柰.md) |  | nài | [名]
植物名。薔薇科蘋果屬，「蘋果」之古稱。參見「蘋果」條。
[動]
通「奈」。參見「柰何」條。 |</v>
      </c>
    </row>
    <row r="4550" spans="1:44" hidden="1">
      <c r="A4550" s="1" t="s">
        <v>7193</v>
      </c>
      <c r="C4550" s="1">
        <v>1</v>
      </c>
      <c r="D4550" s="1" t="str">
        <f>"02944"</f>
        <v>02944</v>
      </c>
      <c r="E4550" s="1" t="s">
        <v>37</v>
      </c>
      <c r="F4550" s="1">
        <v>12</v>
      </c>
      <c r="G4550" s="1">
        <v>8</v>
      </c>
      <c r="H4550" s="1">
        <v>0</v>
      </c>
      <c r="I4550" s="1" t="s">
        <v>7188</v>
      </c>
      <c r="K4550" s="1" t="str">
        <f t="shared" si="286"/>
        <v>ㄋ</v>
      </c>
      <c r="L4550" s="1" t="str">
        <f t="shared" si="287"/>
        <v>ㄞ</v>
      </c>
      <c r="N4550" s="3" t="s">
        <v>30574</v>
      </c>
      <c r="O4550" s="3"/>
      <c r="P4550" s="1" t="s">
        <v>20</v>
      </c>
      <c r="R4550" s="1" t="s">
        <v>7189</v>
      </c>
      <c r="V4550" s="1" t="s">
        <v>7194</v>
      </c>
      <c r="AR4550" s="1" t="str">
        <f t="shared" si="285"/>
        <v>| [ㄋㄞˋ](ㄋㄞˋ.md) | [萘](萘.md) |  | nài | [名]
(Naphthalene）為揮發性的白色結晶片。有煤焦油臭味。不溶於水，易發揮昇華，可自煤黑油蒸餾而得。常用來製造樟腦丸等防腐劑、染料、樹脂等。 |</v>
      </c>
    </row>
    <row r="4551" spans="1:44" hidden="1">
      <c r="A4551" s="1" t="s">
        <v>7195</v>
      </c>
      <c r="C4551" s="1">
        <v>1</v>
      </c>
      <c r="D4551" s="1" t="str">
        <f>"02945"</f>
        <v>02945</v>
      </c>
      <c r="E4551" s="1" t="s">
        <v>55</v>
      </c>
      <c r="F4551" s="1">
        <v>16</v>
      </c>
      <c r="G4551" s="1">
        <v>8</v>
      </c>
      <c r="H4551" s="1">
        <v>0</v>
      </c>
      <c r="I4551" s="1" t="s">
        <v>7188</v>
      </c>
      <c r="K4551" s="1" t="str">
        <f t="shared" si="286"/>
        <v>ㄋ</v>
      </c>
      <c r="L4551" s="1" t="str">
        <f t="shared" si="287"/>
        <v>ㄞ</v>
      </c>
      <c r="N4551" s="3" t="s">
        <v>30574</v>
      </c>
      <c r="O4551" s="3"/>
      <c r="P4551" s="1" t="s">
        <v>20</v>
      </c>
      <c r="R4551" s="1" t="s">
        <v>7189</v>
      </c>
      <c r="V4551" s="1" t="s">
        <v>7196</v>
      </c>
      <c r="AR4551" s="1" t="str">
        <f t="shared" si="285"/>
        <v>| [ㄋㄞˋ](ㄋㄞˋ.md) | [錼](錼.md) |  | nài | [名]
（neptunium，Np）化學元素。原子序93。金屬元素之一。銀白色，溶於鹽酸，為強還原劑，是第一個人造超鈾元素。主要使用於中子探測儀器中。大陸地區譯為鎿。 |</v>
      </c>
    </row>
    <row r="4552" spans="1:44" hidden="1">
      <c r="A4552" s="1" t="s">
        <v>7197</v>
      </c>
      <c r="C4552" s="1">
        <v>1</v>
      </c>
      <c r="D4552" s="1" t="str">
        <f>"02946"</f>
        <v>02946</v>
      </c>
      <c r="E4552" s="1" t="s">
        <v>5778</v>
      </c>
      <c r="F4552" s="1">
        <v>9</v>
      </c>
      <c r="G4552" s="1">
        <v>3</v>
      </c>
      <c r="H4552" s="1">
        <v>0</v>
      </c>
      <c r="I4552" s="1" t="s">
        <v>7188</v>
      </c>
      <c r="K4552" s="1" t="str">
        <f t="shared" si="286"/>
        <v>ㄋ</v>
      </c>
      <c r="L4552" s="1" t="str">
        <f t="shared" si="287"/>
        <v>ㄞ</v>
      </c>
      <c r="N4552" s="3" t="s">
        <v>30574</v>
      </c>
      <c r="O4552" s="3"/>
      <c r="P4552" s="1" t="s">
        <v>20</v>
      </c>
      <c r="R4552" s="1" t="s">
        <v>7189</v>
      </c>
      <c r="V4552" s="1" t="s">
        <v>7198</v>
      </c>
      <c r="AR4552" s="1" t="str">
        <f t="shared" si="285"/>
        <v>| [ㄋㄞˋ](ㄋㄞˋ.md) | [耐](耐.md) |  | nài | [動]
忍受、承受。如：「忍耐」、「吃苦耐勞」。南唐．李煜〈浪淘沙．簾外雨潺潺〉詞：「簾外雨潺潺，春意闌珊，羅衾不耐五更寒。」
[副]
經久、持久。如：「耐穿」、「耐用」。
[名]
1.古代的一種刑罰。只剃去鬢鬚而不剃髮的輕刑。《漢書．卷一．高帝紀下》：「春，令郎中有罪耐以上，請之。」
2.本事。如：「能耐」。 |</v>
      </c>
    </row>
    <row r="4553" spans="1:44" hidden="1">
      <c r="A4553" s="1" t="s">
        <v>7199</v>
      </c>
      <c r="C4553" s="1">
        <v>1</v>
      </c>
      <c r="D4553" s="1" t="str">
        <f>"02947"</f>
        <v>02947</v>
      </c>
      <c r="E4553" s="1" t="s">
        <v>3437</v>
      </c>
      <c r="F4553" s="1">
        <v>15</v>
      </c>
      <c r="G4553" s="1">
        <v>2</v>
      </c>
      <c r="H4553" s="1">
        <v>0</v>
      </c>
      <c r="I4553" s="1" t="s">
        <v>7188</v>
      </c>
      <c r="K4553" s="1" t="str">
        <f t="shared" si="286"/>
        <v>ㄋ</v>
      </c>
      <c r="L4553" s="1" t="str">
        <f t="shared" si="287"/>
        <v>ㄞ</v>
      </c>
      <c r="N4553" s="3" t="s">
        <v>30574</v>
      </c>
      <c r="O4553" s="3"/>
      <c r="P4553" s="1" t="s">
        <v>20</v>
      </c>
      <c r="R4553" s="1" t="s">
        <v>7189</v>
      </c>
      <c r="V4553" s="1" t="s">
        <v>7200</v>
      </c>
      <c r="AR4553" s="1" t="str">
        <f t="shared" si="285"/>
        <v>| [ㄋㄞˋ](ㄋㄞˋ.md) | [鼐](鼐.md) |  | nài | [名]_x000D_
大鼎。《爾雅．釋器》：「鼎絕大謂之鼐。」《詩經．周頌．絲衣》：「鼐鼎及鼒。」漢．毛亨．傳：「大鼎謂之鼐。」《宋史．卷一〇四．禮志七》：「八年，用方士言，鑄神霄九鼎成，曰太極飛雲洞劫之鼐、蒼壺祀天貯醇酒之鼎。」 |</v>
      </c>
    </row>
    <row r="4554" spans="1:44" hidden="1">
      <c r="A4554" s="1" t="s">
        <v>7201</v>
      </c>
      <c r="C4554" s="1">
        <v>1</v>
      </c>
      <c r="D4554" s="1" t="str">
        <f>"02948"</f>
        <v>02948</v>
      </c>
      <c r="E4554" s="1" t="s">
        <v>340</v>
      </c>
      <c r="F4554" s="1">
        <v>16</v>
      </c>
      <c r="G4554" s="1">
        <v>10</v>
      </c>
      <c r="H4554" s="1">
        <v>0</v>
      </c>
      <c r="I4554" s="1" t="s">
        <v>7188</v>
      </c>
      <c r="K4554" s="1" t="str">
        <f t="shared" si="286"/>
        <v>ㄋ</v>
      </c>
      <c r="L4554" s="1" t="str">
        <f t="shared" si="287"/>
        <v>ㄞ</v>
      </c>
      <c r="N4554" s="3" t="s">
        <v>30574</v>
      </c>
      <c r="O4554" s="3"/>
      <c r="P4554" s="1" t="s">
        <v>20</v>
      </c>
      <c r="R4554" s="1" t="s">
        <v>7189</v>
      </c>
      <c r="V4554" s="1" t="s">
        <v>4788</v>
      </c>
      <c r="AR4554" s="1" t="str">
        <f t="shared" si="285"/>
        <v>| [ㄋㄞˋ](ㄋㄞˋ.md) | [褦](褦.md) |  | nài | 參見「褦襶」條。 |</v>
      </c>
    </row>
    <row r="4555" spans="1:44" hidden="1">
      <c r="A4555" s="1" t="s">
        <v>7173</v>
      </c>
      <c r="C4555" s="1">
        <v>1</v>
      </c>
      <c r="D4555" s="1" t="str">
        <f>"02936"</f>
        <v>02936</v>
      </c>
      <c r="E4555" s="1" t="s">
        <v>1663</v>
      </c>
      <c r="F4555" s="1">
        <v>2</v>
      </c>
      <c r="G4555" s="1">
        <v>1</v>
      </c>
      <c r="H4555" s="1">
        <v>0</v>
      </c>
      <c r="I4555" s="1" t="s">
        <v>7174</v>
      </c>
      <c r="K4555" s="1" t="str">
        <f t="shared" si="286"/>
        <v>ㄋ</v>
      </c>
      <c r="L4555" s="1" t="str">
        <f t="shared" si="287"/>
        <v>ㄞ</v>
      </c>
      <c r="N4555" s="3" t="s">
        <v>30576</v>
      </c>
      <c r="O4555" s="3"/>
      <c r="P4555" s="1" t="s">
        <v>20</v>
      </c>
      <c r="R4555" s="1" t="s">
        <v>7175</v>
      </c>
      <c r="V4555" s="1" t="s">
        <v>7176</v>
      </c>
      <c r="AR4555" s="1" t="str">
        <f t="shared" si="285"/>
        <v>| [ㄋㄞˇ](ㄋㄞˇ.md) | [乃](乃.md) |  | nǎi | [代]
1.你、你的。如：「乃母」、「乃兄」。宋．陸游〈示兒〉詩：「王師北定中原日，家祭無忘告乃翁。」
2.他、他的。《周禮．天官．小宰》：「各脩乃職。」
[動]
是。如：「失敗乃成功之母。」《史記．卷八．高祖本紀》：「呂公女乃呂后也，生孝惠帝。」《水滸傳》第二三回：「眾上戶道：『真乃英雄好漢！』」
[連]
1.然後、於是。《史記．卷七七．魏公子傳》：「侯生視公子色終不變，乃謝客就車。」
2.卻。《漢書．卷三五．吳王劉濞傳》：「不改過自新，乃益驕恣。」
3.而。《荀子．正論》：「然則鬥與不鬥邪，亡於辱之與不辱也，乃在於惡之與不惡也。」
4.若、如果。《孟子．公孫丑上》：「乃所願，則學孔子也。」
[副]
1.竟、居然。《列子．湯問》：「人之巧乃可與造化者同功乎？」《史記．卷一〇二．張釋之傳》：「而廷尉乃當之罰金！」
2.才、始。《禮記．月令》：「是月也，日夜分，雷乃發聲。」《文選．楊惲．報孫會宗書》：「於今乃睹子之志矣。」
[助]
語助詞。用於發語或轉折。《書經．大禹謨》：「帝德廣運，乃聖乃神，乃武乃文。」 |</v>
      </c>
    </row>
    <row r="4556" spans="1:44" hidden="1">
      <c r="A4556" s="1" t="s">
        <v>7177</v>
      </c>
      <c r="C4556" s="1">
        <v>1</v>
      </c>
      <c r="D4556" s="1" t="str">
        <f>"02937"</f>
        <v>02937</v>
      </c>
      <c r="E4556" s="1" t="s">
        <v>534</v>
      </c>
      <c r="F4556" s="1">
        <v>5</v>
      </c>
      <c r="G4556" s="1">
        <v>2</v>
      </c>
      <c r="H4556" s="1">
        <v>0</v>
      </c>
      <c r="I4556" s="1" t="s">
        <v>7174</v>
      </c>
      <c r="K4556" s="1" t="str">
        <f t="shared" si="286"/>
        <v>ㄋ</v>
      </c>
      <c r="L4556" s="1" t="str">
        <f t="shared" si="287"/>
        <v>ㄞ</v>
      </c>
      <c r="N4556" s="3" t="s">
        <v>30576</v>
      </c>
      <c r="O4556" s="3"/>
      <c r="P4556" s="1" t="s">
        <v>20</v>
      </c>
      <c r="R4556" s="1" t="s">
        <v>7175</v>
      </c>
      <c r="V4556" s="1" t="s">
        <v>7178</v>
      </c>
      <c r="AR4556" s="1" t="str">
        <f t="shared" si="285"/>
        <v>| [ㄋㄞˇ](ㄋㄞˇ.md) | [奶](奶.md) |  | nǎi | [名]
1.乳房的俗稱。
2.乳汁。如：「牛奶」、「餵奶」、「吃母奶的孩子免疫力較強。」
[動]
哺乳，引申為撫養。《紅樓夢》第二〇回：「把你奶了這麼大，到如今吃不著奶了，把我丟在一旁。」
[形]
嬰兒階段的。如：「奶名」、「奶娃兒」。 |</v>
      </c>
    </row>
    <row r="4557" spans="1:44" hidden="1">
      <c r="A4557" s="1" t="s">
        <v>7179</v>
      </c>
      <c r="C4557" s="1">
        <v>1</v>
      </c>
      <c r="D4557" s="1" t="str">
        <f>"02938"</f>
        <v>02938</v>
      </c>
      <c r="E4557" s="1" t="s">
        <v>2228</v>
      </c>
      <c r="F4557" s="1">
        <v>6</v>
      </c>
      <c r="G4557" s="1">
        <v>2</v>
      </c>
      <c r="H4557" s="1">
        <v>0</v>
      </c>
      <c r="I4557" s="1" t="s">
        <v>7174</v>
      </c>
      <c r="K4557" s="1" t="str">
        <f t="shared" si="286"/>
        <v>ㄋ</v>
      </c>
      <c r="L4557" s="1" t="str">
        <f t="shared" si="287"/>
        <v>ㄞ</v>
      </c>
      <c r="N4557" s="3" t="s">
        <v>30576</v>
      </c>
      <c r="O4557" s="3"/>
      <c r="P4557" s="1" t="s">
        <v>20</v>
      </c>
      <c r="R4557" s="1" t="s">
        <v>7175</v>
      </c>
      <c r="V4557" s="1" t="s">
        <v>7180</v>
      </c>
      <c r="AR4557" s="1" t="str">
        <f t="shared" si="285"/>
        <v>| [ㄋㄞˇ](ㄋㄞˇ.md) | [氖](氖.md) |  | nǎi | [名]
（neon，Ne）化學元素。原子序10。非金屬元素之一。無色無臭，無刺激性。大氣中含量極少，不易與其他元素化合。可用以製造霓虹燈。 |</v>
      </c>
    </row>
    <row r="4558" spans="1:44" hidden="1">
      <c r="A4558" s="1" t="s">
        <v>7181</v>
      </c>
      <c r="C4558" s="1">
        <v>1</v>
      </c>
      <c r="D4558" s="1" t="str">
        <f>"02939"</f>
        <v>02939</v>
      </c>
      <c r="E4558" s="1" t="s">
        <v>55</v>
      </c>
      <c r="F4558" s="1">
        <v>10</v>
      </c>
      <c r="G4558" s="1">
        <v>2</v>
      </c>
      <c r="H4558" s="1">
        <v>0</v>
      </c>
      <c r="I4558" s="1" t="s">
        <v>7174</v>
      </c>
      <c r="K4558" s="1" t="str">
        <f t="shared" si="286"/>
        <v>ㄋ</v>
      </c>
      <c r="L4558" s="1" t="str">
        <f t="shared" si="287"/>
        <v>ㄞ</v>
      </c>
      <c r="N4558" s="3" t="s">
        <v>30576</v>
      </c>
      <c r="O4558" s="3"/>
      <c r="P4558" s="1" t="s">
        <v>20</v>
      </c>
      <c r="R4558" s="1" t="s">
        <v>7175</v>
      </c>
      <c r="V4558" s="1" t="s">
        <v>7182</v>
      </c>
      <c r="AR4558" s="1" t="str">
        <f t="shared" si="285"/>
        <v>| [ㄋㄞˇ](ㄋㄞˇ.md) | [釢](釢.md) |  | nǎi | [名]
化學元素。釹的舊譯。 |</v>
      </c>
    </row>
    <row r="4559" spans="1:44" hidden="1">
      <c r="A4559" s="1" t="s">
        <v>7183</v>
      </c>
      <c r="C4559" s="1">
        <v>1</v>
      </c>
      <c r="D4559" s="1" t="str">
        <f>"02940"</f>
        <v>02940</v>
      </c>
      <c r="E4559" s="1" t="s">
        <v>558</v>
      </c>
      <c r="F4559" s="1">
        <v>10</v>
      </c>
      <c r="G4559" s="1">
        <v>6</v>
      </c>
      <c r="H4559" s="1">
        <v>0</v>
      </c>
      <c r="I4559" s="1" t="s">
        <v>7174</v>
      </c>
      <c r="K4559" s="1" t="str">
        <f t="shared" si="286"/>
        <v>ㄋ</v>
      </c>
      <c r="L4559" s="1" t="str">
        <f t="shared" si="287"/>
        <v>ㄞ</v>
      </c>
      <c r="N4559" s="3" t="s">
        <v>30576</v>
      </c>
      <c r="O4559" s="3"/>
      <c r="P4559" s="1" t="s">
        <v>20</v>
      </c>
      <c r="R4559" s="1" t="s">
        <v>7175</v>
      </c>
      <c r="V4559" s="1" t="s">
        <v>7184</v>
      </c>
      <c r="AR4559" s="1" t="str">
        <f t="shared" si="285"/>
        <v>| [ㄋㄞˇ](ㄋㄞˇ.md) | [迺](迺.md) |  | nǎi | [代]
1.你。《史記．卷九七．陸賈傳》：「迺公居馬上而得之，安事詩書。」
2.此、這。《晏子春秋．外篇．重而異者》：「五子不滿隅，一子可滿朝，非迺子耶？」
[連]
於是。同「乃」。《後漢書．卷八九．南匈奴傳》：「時單于與中郎將杜崇不相平，迺上書告崇。」
[副]
竟然、居然。同「乃」。《宋史．卷四一六．余玠傳》：「儒者中迺有此人！」
[名]
姓。如元代有迺穆泰。 |</v>
      </c>
    </row>
    <row r="4560" spans="1:44" hidden="1">
      <c r="A4560" s="1" t="s">
        <v>7185</v>
      </c>
      <c r="C4560" s="1">
        <v>1</v>
      </c>
      <c r="D4560" s="1" t="str">
        <f>"02941"</f>
        <v>02941</v>
      </c>
      <c r="E4560" s="1" t="s">
        <v>534</v>
      </c>
      <c r="F4560" s="1">
        <v>17</v>
      </c>
      <c r="G4560" s="1">
        <v>14</v>
      </c>
      <c r="H4560" s="1">
        <v>0</v>
      </c>
      <c r="I4560" s="1" t="s">
        <v>7174</v>
      </c>
      <c r="K4560" s="1" t="str">
        <f t="shared" si="286"/>
        <v>ㄋ</v>
      </c>
      <c r="L4560" s="1" t="str">
        <f t="shared" si="287"/>
        <v>ㄞ</v>
      </c>
      <c r="N4560" s="3" t="s">
        <v>30576</v>
      </c>
      <c r="O4560" s="3"/>
      <c r="P4560" s="1" t="s">
        <v>20</v>
      </c>
      <c r="R4560" s="1" t="s">
        <v>7175</v>
      </c>
      <c r="V4560" s="1" t="s">
        <v>7186</v>
      </c>
      <c r="AR4560" s="1" t="str">
        <f t="shared" si="285"/>
        <v>| [ㄋㄞˇ](ㄋㄞˇ.md) | [嬭](嬭.md) |  | nǎi | [名]
1.乳房。通「奶」。《玉篇．女部》：「嬭，乳也。」
2.母親。清．王念孫《廣雅疏證．卷六下．釋親》：「嬭，母也。」 |</v>
      </c>
    </row>
    <row r="4561" spans="1:44" hidden="1">
      <c r="A4561" s="1" t="s">
        <v>7131</v>
      </c>
      <c r="C4561" s="1">
        <v>1</v>
      </c>
      <c r="D4561" s="1" t="str">
        <f>"02952"</f>
        <v>02952</v>
      </c>
      <c r="E4561" s="1" t="s">
        <v>7132</v>
      </c>
      <c r="F4561" s="1">
        <v>4</v>
      </c>
      <c r="G4561" s="1">
        <v>2</v>
      </c>
      <c r="H4561" s="1">
        <v>1</v>
      </c>
      <c r="I4561" s="1" t="s">
        <v>7210</v>
      </c>
      <c r="K4561" s="1" t="str">
        <f t="shared" si="286"/>
        <v>ㄋ</v>
      </c>
      <c r="L4561" s="1" t="str">
        <f t="shared" si="287"/>
        <v>ㄟ</v>
      </c>
      <c r="N4561" s="3" t="s">
        <v>30574</v>
      </c>
      <c r="O4561" s="3"/>
      <c r="P4561" s="1" t="s">
        <v>20</v>
      </c>
      <c r="R4561" s="1" t="s">
        <v>7211</v>
      </c>
      <c r="V4561" s="1" t="s">
        <v>7212</v>
      </c>
      <c r="W4561" s="1" t="s">
        <v>7213</v>
      </c>
      <c r="AR4561" s="1" t="str">
        <f t="shared" si="285"/>
        <v>| [ㄋㄟˋ](ㄋㄟˋ.md) | [內](內.md) |  | nèi | [名]
1.裡，相對於「外」。如：「室內」、「國內」。唐．韓愈〈祭鱷魚文〉：「四海之外，六合之內，皆撫而有之。」
2.心裡、心意。如：「內咎」、「內省」。唐．白居易〈六年春贈分司東都諸公〉詩：「我為同州牧，內愧無才術。」
3.妻妾。如：「內人」、「內子」。《西遊記》第六〇回：「江湖中說你是條好漢，原來是個懼內的庸夫。」
4.婦女、女色。《南史．卷五十五．曹景宗傳》：「景宗好內，妓妾至數百。」
5.宮廷、朝廷。如：「宮廷大內」。《史記．卷一二〇．汲黯傳》：「以數切諫，不得久留內，遷為東海太守。」
6.寢室、房間。《漢書．卷四九．鼂錯傳》：「先為築室，家有一堂二內。」
7.臟腑。如：「內臟」。《紅樓夢》第七三回：「登時四肢五內，一齊皆不自在起來。」
8.姓。如漢代有內宣之。
[動]
親近。《易經．泰卦》：「內君子而外小人，君子道長，小人道消也。」 |</v>
      </c>
    </row>
    <row r="4562" spans="1:44" hidden="1">
      <c r="A4562" s="1" t="s">
        <v>7111</v>
      </c>
      <c r="C4562" s="1">
        <v>1</v>
      </c>
      <c r="D4562" s="1" t="str">
        <f>"02953"</f>
        <v>02953</v>
      </c>
      <c r="E4562" s="1" t="s">
        <v>256</v>
      </c>
      <c r="F4562" s="1">
        <v>7</v>
      </c>
      <c r="G4562" s="1">
        <v>4</v>
      </c>
      <c r="H4562" s="1">
        <v>2</v>
      </c>
      <c r="I4562" s="1" t="s">
        <v>7210</v>
      </c>
      <c r="K4562" s="1" t="str">
        <f t="shared" si="286"/>
        <v>ㄋ</v>
      </c>
      <c r="L4562" s="1" t="str">
        <f t="shared" si="287"/>
        <v>ㄟ</v>
      </c>
      <c r="N4562" s="3" t="s">
        <v>30574</v>
      </c>
      <c r="O4562" s="3"/>
      <c r="P4562" s="1" t="s">
        <v>20</v>
      </c>
      <c r="R4562" s="1" t="s">
        <v>7211</v>
      </c>
      <c r="V4562" s="1" t="s">
        <v>7214</v>
      </c>
      <c r="W4562" s="1" t="s">
        <v>7215</v>
      </c>
      <c r="AR4562" s="1" t="str">
        <f t="shared" si="285"/>
        <v>| [ㄋㄟˋ](ㄋㄟˋ.md) | [那](那.md) |  | nèi | [代]
指示詞。單數用法，指比較遠的人、事、物。為「那（ㄋㄚˋ）一」合音成ㄋㄞˋ，再轉成ㄋㄟˋ。如：「我很欣賞那個人。」 |</v>
      </c>
    </row>
    <row r="4563" spans="1:44" hidden="1">
      <c r="A4563" s="1" t="s">
        <v>7111</v>
      </c>
      <c r="C4563" s="1">
        <v>1</v>
      </c>
      <c r="D4563" s="1" t="str">
        <f>"02949"</f>
        <v>02949</v>
      </c>
      <c r="E4563" s="1" t="s">
        <v>256</v>
      </c>
      <c r="F4563" s="1">
        <v>7</v>
      </c>
      <c r="G4563" s="1">
        <v>4</v>
      </c>
      <c r="H4563" s="1">
        <v>4</v>
      </c>
      <c r="I4563" s="1" t="s">
        <v>7202</v>
      </c>
      <c r="K4563" s="1" t="str">
        <f t="shared" si="286"/>
        <v>ㄋ</v>
      </c>
      <c r="L4563" s="1" t="str">
        <f t="shared" si="287"/>
        <v>ㄟ</v>
      </c>
      <c r="N4563" s="3" t="s">
        <v>30576</v>
      </c>
      <c r="O4563" s="3"/>
      <c r="P4563" s="1" t="s">
        <v>20</v>
      </c>
      <c r="R4563" s="1" t="s">
        <v>7203</v>
      </c>
      <c r="V4563" s="1" t="s">
        <v>7204</v>
      </c>
      <c r="W4563" s="1" t="s">
        <v>7205</v>
      </c>
      <c r="AR4563" s="1" t="str">
        <f t="shared" si="285"/>
        <v>| [ㄋㄟˇ](ㄋㄟˇ.md) | [那](那.md) |  | něi | [代]
表示疑問。通「哪」。為「那（ㄋㄚˇ）一」合音成ㄋㄞˇ，再轉成ㄋㄟˇ。如：「王維是那朝代的人？」《儒林外史》第一回：「縣裡人那個不曉得？」 |</v>
      </c>
    </row>
    <row r="4564" spans="1:44" hidden="1">
      <c r="A4564" s="1" t="s">
        <v>7128</v>
      </c>
      <c r="C4564" s="1">
        <v>1</v>
      </c>
      <c r="D4564" s="1" t="str">
        <f>"02950"</f>
        <v>02950</v>
      </c>
      <c r="E4564" s="1" t="s">
        <v>28</v>
      </c>
      <c r="F4564" s="1">
        <v>10</v>
      </c>
      <c r="G4564" s="1">
        <v>7</v>
      </c>
      <c r="H4564" s="1">
        <v>2</v>
      </c>
      <c r="I4564" s="1" t="s">
        <v>7202</v>
      </c>
      <c r="K4564" s="1" t="str">
        <f t="shared" si="286"/>
        <v>ㄋ</v>
      </c>
      <c r="L4564" s="1" t="str">
        <f t="shared" si="287"/>
        <v>ㄟ</v>
      </c>
      <c r="N4564" s="3" t="s">
        <v>30576</v>
      </c>
      <c r="O4564" s="3"/>
      <c r="P4564" s="1" t="s">
        <v>20</v>
      </c>
      <c r="R4564" s="1" t="s">
        <v>7203</v>
      </c>
      <c r="V4564" s="1" t="s">
        <v>7206</v>
      </c>
      <c r="W4564" s="1" t="s">
        <v>7207</v>
      </c>
      <c r="AR4564" s="1" t="str">
        <f t="shared" si="285"/>
        <v>| [ㄋㄟˇ](ㄋㄟˇ.md) | [哪](哪.md) |  | něi | [代]
表示疑問。為「哪（ㄋㄚˇ）一」合音成ㄋㄞˇ，再轉成ㄋㄟˇ。如：「哪天我們去看場電影？」 |</v>
      </c>
    </row>
    <row r="4565" spans="1:44" hidden="1">
      <c r="A4565" s="1" t="s">
        <v>7208</v>
      </c>
      <c r="C4565" s="1">
        <v>1</v>
      </c>
      <c r="D4565" s="1" t="str">
        <f>"02951"</f>
        <v>02951</v>
      </c>
      <c r="E4565" s="1" t="s">
        <v>193</v>
      </c>
      <c r="F4565" s="1">
        <v>15</v>
      </c>
      <c r="G4565" s="1">
        <v>7</v>
      </c>
      <c r="H4565" s="1">
        <v>0</v>
      </c>
      <c r="I4565" s="1" t="s">
        <v>7202</v>
      </c>
      <c r="K4565" s="1" t="str">
        <f t="shared" si="286"/>
        <v>ㄋ</v>
      </c>
      <c r="L4565" s="1" t="str">
        <f t="shared" si="287"/>
        <v>ㄟ</v>
      </c>
      <c r="N4565" s="3" t="s">
        <v>30576</v>
      </c>
      <c r="O4565" s="3"/>
      <c r="P4565" s="1" t="s">
        <v>20</v>
      </c>
      <c r="R4565" s="1" t="s">
        <v>7203</v>
      </c>
      <c r="V4565" s="1" t="s">
        <v>7209</v>
      </c>
      <c r="AR4565" s="1" t="str">
        <f t="shared" si="285"/>
        <v>| [ㄋㄟˇ](ㄋㄟˇ.md) | [餒](餒.md) |  | něi | [名]
1.飢餓。如：「飢餒」。《太平廣記．卷八二．呂翁》：「吾家本山東，良田數頃，足以禦寒餒，何苦求祿。」
2.受飢餓的人。《後漢書．卷三四．梁統傳》：「每有飢饉，輒載租穀於城門，賑與貧餒，不宣己惠。」
[動]
1.使受餓。《孟子．梁惠王下》：「比其反也，則凍餒其妻子。」
2.沮喪、失去勇氣。如：「勝不驕，敗不餒。」
3.腐爛。《論語．鄉黨》：「魚餒而肉敗，不食。」三國魏．何晏．集解：「魚敗曰餒。」
[形]
空、乏。南朝梁．劉勰《文心雕龍．事類》：「有學飽而才餒，有才富而學貧。」 |</v>
      </c>
    </row>
    <row r="4566" spans="1:44" hidden="1">
      <c r="A4566" s="1" t="s">
        <v>7252</v>
      </c>
      <c r="C4566" s="1">
        <v>1</v>
      </c>
      <c r="D4566" s="1" t="str">
        <f>"02969"</f>
        <v>02969</v>
      </c>
      <c r="E4566" s="1" t="s">
        <v>129</v>
      </c>
      <c r="F4566" s="1">
        <v>11</v>
      </c>
      <c r="G4566" s="1">
        <v>8</v>
      </c>
      <c r="H4566" s="1">
        <v>0</v>
      </c>
      <c r="I4566" s="1" t="s">
        <v>7253</v>
      </c>
      <c r="K4566" s="1" t="str">
        <f t="shared" si="286"/>
        <v>ㄋ</v>
      </c>
      <c r="L4566" s="1" t="str">
        <f t="shared" si="287"/>
        <v>ㄠ</v>
      </c>
      <c r="N4566" s="3" t="s">
        <v>30574</v>
      </c>
      <c r="O4566" s="3"/>
      <c r="P4566" s="1" t="s">
        <v>20</v>
      </c>
      <c r="R4566" s="1" t="s">
        <v>7254</v>
      </c>
      <c r="V4566" s="1" t="s">
        <v>7255</v>
      </c>
      <c r="AR4566" s="1" t="str">
        <f t="shared" si="285"/>
        <v>| [ㄋㄠˋ](ㄋㄠˋ.md) | [淖](淖.md) |  | nào | [名]
爛泥。如：「泥淖」。《左傳．成公十六年》：「欒、范以其族夾公行，陷于淖。」《聊齋志異．卷一．王成》：「見往來行人，踐淖沒脛，心畏苦之。」
[形]
溼潤。《管子．地員》：「五粟之狀，淖而不肕。」 |</v>
      </c>
    </row>
    <row r="4567" spans="1:44" hidden="1">
      <c r="A4567" s="1" t="s">
        <v>7256</v>
      </c>
      <c r="C4567" s="1">
        <v>1</v>
      </c>
      <c r="D4567" s="1" t="str">
        <f>"02970"</f>
        <v>02970</v>
      </c>
      <c r="E4567" s="1" t="s">
        <v>4894</v>
      </c>
      <c r="F4567" s="1">
        <v>15</v>
      </c>
      <c r="G4567" s="1">
        <v>5</v>
      </c>
      <c r="H4567" s="1">
        <v>0</v>
      </c>
      <c r="I4567" s="1" t="s">
        <v>7253</v>
      </c>
      <c r="K4567" s="1" t="str">
        <f t="shared" si="286"/>
        <v>ㄋ</v>
      </c>
      <c r="L4567" s="1" t="str">
        <f t="shared" si="287"/>
        <v>ㄠ</v>
      </c>
      <c r="N4567" s="3" t="s">
        <v>30574</v>
      </c>
      <c r="O4567" s="3"/>
      <c r="P4567" s="1" t="s">
        <v>20</v>
      </c>
      <c r="R4567" s="1" t="s">
        <v>7254</v>
      </c>
      <c r="V4567" s="1" t="s">
        <v>7257</v>
      </c>
      <c r="AR4567" s="1" t="str">
        <f t="shared" si="285"/>
        <v>| [ㄋㄠˋ](ㄋㄠˋ.md) | [鬧](鬧.md) |  | nào | [動]
1.喧嚷、嘈雜。如：「喧鬧」、「吵鬧」、「當年的餿水油事件著實鬧了好一陣子。」
2.生、發生。如：「鬧饑荒」、「鬧水災」、「鬧瘟疫」、「這屋子鬧鬼。」
3.發洩、發作。如：「鬧彆扭」、「鬧情緒」。《紅樓夢》第五七回：「寶玉聽了一個『林』字，便滿床鬧起來。」
4.擾亂。如：「鬧場」、「鬧事」。《紅樓夢》第六〇回：「偏那趙不死的又和我鬧了一場。」
5.戲耍、開玩笑。如：「胡鬧」、「鬧洞房」、「別鬧了」。
6.弄、搞。如：「鬧革命」、「鬧得大家不歡而散。」《紅樓夢》第五七回：「都是你鬧的，還得你來治。」《兒女英雄傳》第一〇回：「如今事情鬧這麼田地。」
[形]
1.擾嚷不安靜。如：「鬧市」、「鬧區」、「鬧哄哄」。
2.濃盛。宋．宋祁〈玉樓春．東城漸覺風光好〉詞：「綠楊煙外曉寒輕，紅杏枝頭春意鬧。」 |</v>
      </c>
    </row>
    <row r="4568" spans="1:44" hidden="1">
      <c r="A4568" s="1" t="s">
        <v>7258</v>
      </c>
      <c r="C4568" s="1">
        <v>1</v>
      </c>
      <c r="D4568" s="1" t="str">
        <f>"02971"</f>
        <v>02971</v>
      </c>
      <c r="E4568" s="1" t="s">
        <v>68</v>
      </c>
      <c r="F4568" s="1">
        <v>18</v>
      </c>
      <c r="G4568" s="1">
        <v>14</v>
      </c>
      <c r="H4568" s="1">
        <v>2</v>
      </c>
      <c r="I4568" s="1" t="s">
        <v>7253</v>
      </c>
      <c r="K4568" s="1" t="str">
        <f t="shared" si="286"/>
        <v>ㄋ</v>
      </c>
      <c r="L4568" s="1" t="str">
        <f t="shared" si="287"/>
        <v>ㄠ</v>
      </c>
      <c r="N4568" s="3" t="s">
        <v>30574</v>
      </c>
      <c r="O4568" s="3"/>
      <c r="P4568" s="1" t="s">
        <v>110</v>
      </c>
      <c r="R4568" s="1" t="s">
        <v>7254</v>
      </c>
      <c r="V4568" s="1" t="s">
        <v>111</v>
      </c>
      <c r="W4568" s="1" t="s">
        <v>7259</v>
      </c>
      <c r="AR4568" s="1" t="str">
        <f t="shared" si="285"/>
        <v>| [ㄋㄠˋ](ㄋㄠˋ.md) | [臑](臑.md) |  | nào | (一)之又音。 |</v>
      </c>
    </row>
    <row r="4569" spans="1:44" hidden="1">
      <c r="A4569" s="1" t="s">
        <v>7220</v>
      </c>
      <c r="C4569" s="1">
        <v>1</v>
      </c>
      <c r="D4569" s="1" t="str">
        <f>"02955"</f>
        <v>02955</v>
      </c>
      <c r="E4569" s="1" t="s">
        <v>250</v>
      </c>
      <c r="F4569" s="1">
        <v>8</v>
      </c>
      <c r="G4569" s="1">
        <v>5</v>
      </c>
      <c r="H4569" s="1">
        <v>0</v>
      </c>
      <c r="I4569" s="1" t="s">
        <v>7221</v>
      </c>
      <c r="K4569" s="1" t="str">
        <f t="shared" si="286"/>
        <v>ㄋ</v>
      </c>
      <c r="L4569" s="1" t="str">
        <f t="shared" si="287"/>
        <v>ㄠ</v>
      </c>
      <c r="N4569" s="3" t="s">
        <v>30575</v>
      </c>
      <c r="O4569" s="3"/>
      <c r="P4569" s="1" t="s">
        <v>20</v>
      </c>
      <c r="R4569" s="1" t="s">
        <v>7222</v>
      </c>
      <c r="V4569" s="1" t="s">
        <v>7223</v>
      </c>
      <c r="AR4569" s="1" t="str">
        <f t="shared" si="285"/>
        <v>| [ㄋㄠˊ](ㄋㄠˊ.md) | [怓](怓.md) |  | náo | [形]
亂。《詩經．大雅．民勞》：「無縱詭隋，以謹惽怓。」漢．毛亨．傳：「惽怓，大亂也。」 |</v>
      </c>
    </row>
    <row r="4570" spans="1:44" hidden="1">
      <c r="A4570" s="1" t="s">
        <v>7224</v>
      </c>
      <c r="C4570" s="1">
        <v>1</v>
      </c>
      <c r="D4570" s="1" t="str">
        <f>"02956"</f>
        <v>02956</v>
      </c>
      <c r="E4570" s="1" t="s">
        <v>28</v>
      </c>
      <c r="F4570" s="1">
        <v>8</v>
      </c>
      <c r="G4570" s="1">
        <v>5</v>
      </c>
      <c r="H4570" s="1">
        <v>0</v>
      </c>
      <c r="I4570" s="1" t="s">
        <v>7221</v>
      </c>
      <c r="K4570" s="1" t="str">
        <f t="shared" si="286"/>
        <v>ㄋ</v>
      </c>
      <c r="L4570" s="1" t="str">
        <f t="shared" si="287"/>
        <v>ㄠ</v>
      </c>
      <c r="N4570" s="3" t="s">
        <v>30575</v>
      </c>
      <c r="O4570" s="3"/>
      <c r="P4570" s="1" t="s">
        <v>20</v>
      </c>
      <c r="R4570" s="1" t="s">
        <v>7222</v>
      </c>
      <c r="V4570" s="1" t="s">
        <v>7225</v>
      </c>
      <c r="AR4570" s="1" t="str">
        <f t="shared" si="285"/>
        <v>| [ㄋㄠˊ](ㄋㄠˊ.md) | [呶](呶.md) |  | náo | [動]
大聲喧鬧。《說文解字．口部》：「呶，讙聲也。」《詩經．小雅．賓之初筵》：「賓既醉止，載號載呶。」 |</v>
      </c>
    </row>
    <row r="4571" spans="1:44" hidden="1">
      <c r="A4571" s="1" t="s">
        <v>7226</v>
      </c>
      <c r="C4571" s="1">
        <v>1</v>
      </c>
      <c r="D4571" s="1" t="str">
        <f>"02957"</f>
        <v>02957</v>
      </c>
      <c r="E4571" s="1" t="s">
        <v>190</v>
      </c>
      <c r="F4571" s="1">
        <v>10</v>
      </c>
      <c r="G4571" s="1">
        <v>7</v>
      </c>
      <c r="H4571" s="1">
        <v>0</v>
      </c>
      <c r="I4571" s="1" t="s">
        <v>7221</v>
      </c>
      <c r="K4571" s="1" t="str">
        <f t="shared" si="286"/>
        <v>ㄋ</v>
      </c>
      <c r="L4571" s="1" t="str">
        <f t="shared" si="287"/>
        <v>ㄠ</v>
      </c>
      <c r="N4571" s="3" t="s">
        <v>30575</v>
      </c>
      <c r="O4571" s="3"/>
      <c r="P4571" s="1" t="s">
        <v>20</v>
      </c>
      <c r="R4571" s="1" t="s">
        <v>7222</v>
      </c>
      <c r="V4571" s="1" t="s">
        <v>7227</v>
      </c>
      <c r="AR4571" s="1" t="str">
        <f t="shared" si="285"/>
        <v>| [ㄋㄠˊ](ㄋㄠˊ.md) | [峱](峱.md) |  | náo | [名]
山名。約在山東省淄博市臨淄區南。 |</v>
      </c>
    </row>
    <row r="4572" spans="1:44" hidden="1">
      <c r="A4572" s="1" t="s">
        <v>7228</v>
      </c>
      <c r="C4572" s="1">
        <v>1</v>
      </c>
      <c r="D4572" s="1" t="str">
        <f>"02958"</f>
        <v>02958</v>
      </c>
      <c r="E4572" s="1" t="s">
        <v>169</v>
      </c>
      <c r="F4572" s="1">
        <v>11</v>
      </c>
      <c r="G4572" s="1">
        <v>6</v>
      </c>
      <c r="H4572" s="1">
        <v>0</v>
      </c>
      <c r="I4572" s="1" t="s">
        <v>7221</v>
      </c>
      <c r="K4572" s="1" t="str">
        <f t="shared" si="286"/>
        <v>ㄋ</v>
      </c>
      <c r="L4572" s="1" t="str">
        <f t="shared" si="287"/>
        <v>ㄠ</v>
      </c>
      <c r="N4572" s="3" t="s">
        <v>30575</v>
      </c>
      <c r="O4572" s="3"/>
      <c r="P4572" s="1" t="s">
        <v>20</v>
      </c>
      <c r="R4572" s="1" t="s">
        <v>7222</v>
      </c>
      <c r="V4572" s="1" t="s">
        <v>7229</v>
      </c>
      <c r="AR4572" s="1" t="str">
        <f t="shared" si="285"/>
        <v>| [ㄋㄠˊ](ㄋㄠˊ.md) | [硇](硇.md) |  | náo | [名]
硇砂：一種礦物。呈皮殼狀或粉塊狀。無色或白色，間帶紅褐色。具貝殼狀斷口。通常出現在火山作用中。可供中藥使用，在工業及農業上亦有廣泛用途。 |</v>
      </c>
    </row>
    <row r="4573" spans="1:44" hidden="1">
      <c r="A4573" s="1" t="s">
        <v>7230</v>
      </c>
      <c r="C4573" s="1">
        <v>1</v>
      </c>
      <c r="D4573" s="1" t="str">
        <f>"02959"</f>
        <v>02959</v>
      </c>
      <c r="E4573" s="1" t="s">
        <v>198</v>
      </c>
      <c r="F4573" s="1">
        <v>12</v>
      </c>
      <c r="G4573" s="1">
        <v>9</v>
      </c>
      <c r="H4573" s="1">
        <v>0</v>
      </c>
      <c r="I4573" s="1" t="s">
        <v>7221</v>
      </c>
      <c r="K4573" s="1" t="str">
        <f t="shared" si="286"/>
        <v>ㄋ</v>
      </c>
      <c r="L4573" s="1" t="str">
        <f t="shared" si="287"/>
        <v>ㄠ</v>
      </c>
      <c r="N4573" s="3" t="s">
        <v>30575</v>
      </c>
      <c r="O4573" s="3"/>
      <c r="P4573" s="1" t="s">
        <v>20</v>
      </c>
      <c r="R4573" s="1" t="s">
        <v>7222</v>
      </c>
      <c r="V4573" s="1" t="s">
        <v>7231</v>
      </c>
      <c r="AR4573" s="1" t="str">
        <f t="shared" si="285"/>
        <v>| [ㄋㄠˊ](ㄋㄠˊ.md) | [猱](猱.md) |  | náo | [名]
1.動物名。猿屬。體矮小，尾金色，臂長柔軟，善攀緣而輕捷，上下如飛。楚人稱為「沐猴」。也稱為「獶」、「狨」。
2.一種彈琴指法。彈琴時為使左手按音圓潤富有韻味，按指在弦上往復移動，使琴聲微顫。移動較小則顫音微細，稱為「吟」，移動較大則顫音顯著，稱為「猱」。這種指法多用於節奏徐緩之處，有飛猱、退猱、撞猱、長猱、細猱等。 |</v>
      </c>
    </row>
    <row r="4574" spans="1:44" hidden="1">
      <c r="A4574" s="1" t="s">
        <v>7232</v>
      </c>
      <c r="C4574" s="1">
        <v>1</v>
      </c>
      <c r="D4574" s="1" t="str">
        <f>"02960"</f>
        <v>02960</v>
      </c>
      <c r="E4574" s="1" t="s">
        <v>24</v>
      </c>
      <c r="F4574" s="1">
        <v>15</v>
      </c>
      <c r="G4574" s="1">
        <v>12</v>
      </c>
      <c r="H4574" s="1">
        <v>0</v>
      </c>
      <c r="I4574" s="1" t="s">
        <v>7221</v>
      </c>
      <c r="K4574" s="1" t="str">
        <f t="shared" si="286"/>
        <v>ㄋ</v>
      </c>
      <c r="L4574" s="1" t="str">
        <f t="shared" si="287"/>
        <v>ㄠ</v>
      </c>
      <c r="N4574" s="3" t="s">
        <v>30575</v>
      </c>
      <c r="O4574" s="3"/>
      <c r="P4574" s="1" t="s">
        <v>20</v>
      </c>
      <c r="R4574" s="1" t="s">
        <v>7222</v>
      </c>
      <c r="V4574" s="1" t="s">
        <v>7233</v>
      </c>
      <c r="AR4574" s="1" t="str">
        <f t="shared" si="285"/>
        <v>| [ㄋㄠˊ](ㄋㄠˊ.md) | [撓](撓.md) |  | náo | [動]
1.攪擾、阻擾。如：「阻撓」。《左傳．成公十三年》：「離散我兄弟，撓亂我同盟。」《莊子．駢拇》：「自虞氏招仁義以撓天下也，天下莫不奔命於仁義。」
2.屈服、屈曲。如：「屈撓」、「百折不撓」。《國語．晉語二》：「抑撓志以從君，為廢人以自利也。」
3.抓、搔。如：「撓癢」、「抓耳撓腮」。《水滸傳》第三一回：「我的本事不要箱兒裡去取，正是撓著我的癢處。」 |</v>
      </c>
    </row>
    <row r="4575" spans="1:44" hidden="1">
      <c r="A4575" s="1" t="s">
        <v>7234</v>
      </c>
      <c r="C4575" s="1">
        <v>1</v>
      </c>
      <c r="D4575" s="1" t="str">
        <f>"02961"</f>
        <v>02961</v>
      </c>
      <c r="E4575" s="1" t="s">
        <v>139</v>
      </c>
      <c r="F4575" s="1">
        <v>16</v>
      </c>
      <c r="G4575" s="1">
        <v>12</v>
      </c>
      <c r="H4575" s="1">
        <v>0</v>
      </c>
      <c r="I4575" s="1" t="s">
        <v>7221</v>
      </c>
      <c r="K4575" s="1" t="str">
        <f t="shared" si="286"/>
        <v>ㄋ</v>
      </c>
      <c r="L4575" s="1" t="str">
        <f t="shared" si="287"/>
        <v>ㄠ</v>
      </c>
      <c r="N4575" s="3" t="s">
        <v>30575</v>
      </c>
      <c r="O4575" s="3"/>
      <c r="P4575" s="1" t="s">
        <v>20</v>
      </c>
      <c r="R4575" s="1" t="s">
        <v>7222</v>
      </c>
      <c r="V4575" s="1" t="s">
        <v>7235</v>
      </c>
      <c r="AR4575" s="1" t="str">
        <f t="shared" si="285"/>
        <v>| [ㄋㄠˊ](ㄋㄠˊ.md) | [橈](橈.md) |  | náo | [名]
船槳。五代十國後蜀．歐陽炯〈南鄉子．畫舸停橈〉詞：「畫舸停橈，槿花林外竹橫橋。」
[動]
1.彎曲。《列子．湯問》：「汨流之中，綸不絕，鉤不伸，竿不橈。」《新唐書．卷一三二．吳兢傳》：「橈直就曲，斲方為刓。」
2.曲解、歪曲。《漢書．卷九〇．酷吏傳．周陽由傳》：「所愛者，橈法活之，所憎者，曲法滅之。」
3.冤屈。《禮記．月令》：「斬殺必當，毋或枉橈。」《史記．卷五三．蕭相國世家》：「上已橈功臣。」
4.擾亂。《易經．說卦》：「動萬物者莫疾乎雷，橈萬物者莫疾乎風。」
5.削弱。《漢書．卷一．高帝紀》：「項羽數侵奪漢甬道，漢軍乏食，與酈食其謀橈楚權。」 |</v>
      </c>
    </row>
    <row r="4576" spans="1:44" hidden="1">
      <c r="A4576" s="1" t="s">
        <v>7236</v>
      </c>
      <c r="C4576" s="1">
        <v>1</v>
      </c>
      <c r="D4576" s="1" t="str">
        <f>"02962"</f>
        <v>02962</v>
      </c>
      <c r="E4576" s="1" t="s">
        <v>331</v>
      </c>
      <c r="F4576" s="1">
        <v>19</v>
      </c>
      <c r="G4576" s="1">
        <v>12</v>
      </c>
      <c r="H4576" s="1">
        <v>0</v>
      </c>
      <c r="I4576" s="1" t="s">
        <v>7221</v>
      </c>
      <c r="K4576" s="1" t="str">
        <f t="shared" si="286"/>
        <v>ㄋ</v>
      </c>
      <c r="L4576" s="1" t="str">
        <f t="shared" si="287"/>
        <v>ㄠ</v>
      </c>
      <c r="N4576" s="3" t="s">
        <v>30575</v>
      </c>
      <c r="O4576" s="3"/>
      <c r="P4576" s="1" t="s">
        <v>20</v>
      </c>
      <c r="R4576" s="1" t="s">
        <v>7222</v>
      </c>
      <c r="V4576" s="1" t="s">
        <v>7237</v>
      </c>
      <c r="AR4576" s="1" t="str">
        <f t="shared" si="285"/>
        <v>| [ㄋㄠˊ](ㄋㄠˊ.md) | [譊](譊.md) |  | náo | [動]_x000D_
喧譁、呼叫。《說文解字．言部》：「恚嘑也。」五代十國．徐鍇．繫傳：「聲高噪獰也。」《晉書．卷五〇．列傳．庾純》：「臨時諠譊，遂至荒越。」 |</v>
      </c>
    </row>
    <row r="4577" spans="1:44" hidden="1">
      <c r="A4577" s="1" t="s">
        <v>7238</v>
      </c>
      <c r="C4577" s="1">
        <v>1</v>
      </c>
      <c r="D4577" s="1" t="str">
        <f>"02963"</f>
        <v>02963</v>
      </c>
      <c r="E4577" s="1" t="s">
        <v>55</v>
      </c>
      <c r="F4577" s="1">
        <v>20</v>
      </c>
      <c r="G4577" s="1">
        <v>12</v>
      </c>
      <c r="H4577" s="1">
        <v>0</v>
      </c>
      <c r="I4577" s="1" t="s">
        <v>7221</v>
      </c>
      <c r="K4577" s="1" t="str">
        <f t="shared" si="286"/>
        <v>ㄋ</v>
      </c>
      <c r="L4577" s="1" t="str">
        <f t="shared" si="287"/>
        <v>ㄠ</v>
      </c>
      <c r="N4577" s="3" t="s">
        <v>30575</v>
      </c>
      <c r="O4577" s="3"/>
      <c r="P4577" s="1" t="s">
        <v>20</v>
      </c>
      <c r="R4577" s="1" t="s">
        <v>7222</v>
      </c>
      <c r="V4577" s="1" t="s">
        <v>7239</v>
      </c>
      <c r="AR4577" s="1" t="str">
        <f t="shared" si="285"/>
        <v>| [ㄋㄠˊ](ㄋㄠˊ.md) | [鐃](鐃.md) |  | náo | [名]
樂器名，古代金屬擊樂器：(1)青銅製，形似鈴無舌，體短而闊，有中空的短柄可安木把。一般以大、中、小三件為一組，用以止息擊鼓。《周禮．地官司徒．鼓人》：「以金鐃止鼓，以金鐸通鼓。」漢．鄭玄．注：「鐃如鈴無舌，有秉，執而鳴之，以止擊鼓。」(2)銅製擊樂器。一副兩片，形狀像鈸，但中間隆起部分較小。《清史稿．卷一〇一．樂志八》：「鐃，笵銅為之，面徑一尺二寸。中隆起，穿孔貫紃，左右合擊。」
[動]
攪擾。通「撓」。《莊子．天道》：「萬物無足以鐃心者，故靜也。」 |</v>
      </c>
    </row>
    <row r="4578" spans="1:44" hidden="1">
      <c r="A4578" s="1" t="s">
        <v>7240</v>
      </c>
      <c r="C4578" s="1">
        <v>1</v>
      </c>
      <c r="D4578" s="1" t="str">
        <f>"02964"</f>
        <v>02964</v>
      </c>
      <c r="E4578" s="1" t="s">
        <v>250</v>
      </c>
      <c r="F4578" s="1">
        <v>16</v>
      </c>
      <c r="G4578" s="1">
        <v>13</v>
      </c>
      <c r="H4578" s="1">
        <v>1</v>
      </c>
      <c r="I4578" s="1" t="s">
        <v>7221</v>
      </c>
      <c r="K4578" s="1" t="str">
        <f t="shared" si="286"/>
        <v>ㄋ</v>
      </c>
      <c r="L4578" s="1" t="str">
        <f t="shared" si="287"/>
        <v>ㄠ</v>
      </c>
      <c r="N4578" s="3" t="s">
        <v>30575</v>
      </c>
      <c r="O4578" s="3"/>
      <c r="P4578" s="1" t="s">
        <v>20</v>
      </c>
      <c r="R4578" s="1" t="s">
        <v>7222</v>
      </c>
      <c r="V4578" s="1" t="s">
        <v>7241</v>
      </c>
      <c r="W4578" s="1" t="s">
        <v>7242</v>
      </c>
      <c r="AR4578" s="1" t="str">
        <f t="shared" si="285"/>
        <v>| [ㄋㄠˊ](ㄋㄠˊ.md) | [憹](憹.md) |  | náo | 見「懊憹」條。 |</v>
      </c>
    </row>
    <row r="4579" spans="1:44" hidden="1">
      <c r="A4579" s="1" t="s">
        <v>7243</v>
      </c>
      <c r="C4579" s="1">
        <v>1</v>
      </c>
      <c r="D4579" s="1" t="str">
        <f>"02965"</f>
        <v>02965</v>
      </c>
      <c r="E4579" s="1" t="s">
        <v>198</v>
      </c>
      <c r="F4579" s="1">
        <v>18</v>
      </c>
      <c r="G4579" s="1">
        <v>15</v>
      </c>
      <c r="H4579" s="1">
        <v>0</v>
      </c>
      <c r="I4579" s="1" t="s">
        <v>7221</v>
      </c>
      <c r="K4579" s="1" t="str">
        <f t="shared" si="286"/>
        <v>ㄋ</v>
      </c>
      <c r="L4579" s="1" t="str">
        <f t="shared" si="287"/>
        <v>ㄠ</v>
      </c>
      <c r="N4579" s="3" t="s">
        <v>30575</v>
      </c>
      <c r="O4579" s="3"/>
      <c r="P4579" s="1" t="s">
        <v>20</v>
      </c>
      <c r="R4579" s="1" t="s">
        <v>7222</v>
      </c>
      <c r="V4579" s="1" t="s">
        <v>7244</v>
      </c>
      <c r="AR4579" s="1" t="str">
        <f t="shared" si="285"/>
        <v>| [ㄋㄠˊ](ㄋㄠˊ.md) | [獶](獶.md) |  | náo | [名]
動物名。即獼猴。猿屬。體矮小，尾金色，臂長，善攀爬。《禮記．樂記》：「獶雜子女，不知父子。」漢．鄭玄．注：「獶，獮猴也。」也稱為「猱」、「狨」。 |</v>
      </c>
    </row>
    <row r="4580" spans="1:44" hidden="1">
      <c r="A4580" s="1" t="s">
        <v>7245</v>
      </c>
      <c r="C4580" s="1">
        <v>1</v>
      </c>
      <c r="D4580" s="1" t="str">
        <f>"02966"</f>
        <v>02966</v>
      </c>
      <c r="E4580" s="1" t="s">
        <v>250</v>
      </c>
      <c r="F4580" s="1">
        <v>12</v>
      </c>
      <c r="G4580" s="1">
        <v>9</v>
      </c>
      <c r="H4580" s="1">
        <v>0</v>
      </c>
      <c r="I4580" s="1" t="s">
        <v>7246</v>
      </c>
      <c r="K4580" s="1" t="str">
        <f t="shared" ref="K4580:K4604" si="288">LEFT(I4580, 1)</f>
        <v>ㄋ</v>
      </c>
      <c r="L4580" s="1" t="str">
        <f t="shared" ref="L4580:L4604" si="289">MID(I4580, 2, 1)</f>
        <v>ㄠ</v>
      </c>
      <c r="N4580" s="3" t="s">
        <v>30576</v>
      </c>
      <c r="O4580" s="3"/>
      <c r="P4580" s="1" t="s">
        <v>20</v>
      </c>
      <c r="R4580" s="1" t="s">
        <v>7247</v>
      </c>
      <c r="V4580" s="1" t="s">
        <v>7248</v>
      </c>
      <c r="AR4580" s="1" t="str">
        <f t="shared" si="285"/>
        <v>| [ㄋㄠˇ](ㄋㄠˇ.md) | [惱](惱.md) |  | nǎo | [動]
1.氣恨、發怒。如：「惱恨」、「氣惱」。《儒林外史》第六回：「嚴貢生越發惱得暴躁如雷。」
2.撩撥、逗弄。宋．蘇軾〈蝶戀花．花褪殘紅青杏小〉詞：「笑漸不聞聲漸悄，多情卻被無情惱。」宋．楊萬里〈釣雪舟倦睡〉詩：「無端卻被梅花惱，特地吹香破夢魂。」
[形]
煩憂、苦悶。如：「煩惱」、「苦惱」。 |</v>
      </c>
    </row>
    <row r="4581" spans="1:44" hidden="1">
      <c r="A4581" s="1" t="s">
        <v>7249</v>
      </c>
      <c r="C4581" s="1">
        <v>1</v>
      </c>
      <c r="D4581" s="1" t="str">
        <f>"02967"</f>
        <v>02967</v>
      </c>
      <c r="E4581" s="1" t="s">
        <v>142</v>
      </c>
      <c r="F4581" s="1">
        <v>13</v>
      </c>
      <c r="G4581" s="1">
        <v>9</v>
      </c>
      <c r="H4581" s="1">
        <v>0</v>
      </c>
      <c r="I4581" s="1" t="s">
        <v>7246</v>
      </c>
      <c r="K4581" s="1" t="str">
        <f t="shared" si="288"/>
        <v>ㄋ</v>
      </c>
      <c r="L4581" s="1" t="str">
        <f t="shared" si="289"/>
        <v>ㄠ</v>
      </c>
      <c r="N4581" s="3" t="s">
        <v>30576</v>
      </c>
      <c r="O4581" s="3"/>
      <c r="P4581" s="1" t="s">
        <v>20</v>
      </c>
      <c r="R4581" s="1" t="s">
        <v>7247</v>
      </c>
      <c r="V4581" s="1" t="s">
        <v>2619</v>
      </c>
      <c r="AR4581" s="1" t="str">
        <f t="shared" si="285"/>
        <v>| [ㄋㄠˇ](ㄋㄠˇ.md) | [瑙](瑙.md) |  | nǎo | 參見「瑪瑙」條。 |</v>
      </c>
    </row>
    <row r="4582" spans="1:44" hidden="1">
      <c r="A4582" s="1" t="s">
        <v>7250</v>
      </c>
      <c r="C4582" s="1">
        <v>1</v>
      </c>
      <c r="D4582" s="1" t="str">
        <f>"02968"</f>
        <v>02968</v>
      </c>
      <c r="E4582" s="1" t="s">
        <v>68</v>
      </c>
      <c r="F4582" s="1">
        <v>13</v>
      </c>
      <c r="G4582" s="1">
        <v>9</v>
      </c>
      <c r="H4582" s="1">
        <v>0</v>
      </c>
      <c r="I4582" s="1" t="s">
        <v>7246</v>
      </c>
      <c r="K4582" s="1" t="str">
        <f t="shared" si="288"/>
        <v>ㄋ</v>
      </c>
      <c r="L4582" s="1" t="str">
        <f t="shared" si="289"/>
        <v>ㄠ</v>
      </c>
      <c r="N4582" s="3" t="s">
        <v>30576</v>
      </c>
      <c r="O4582" s="3"/>
      <c r="P4582" s="1" t="s">
        <v>20</v>
      </c>
      <c r="R4582" s="1" t="s">
        <v>7247</v>
      </c>
      <c r="V4582" s="1" t="s">
        <v>7251</v>
      </c>
      <c r="AR4582" s="1" t="str">
        <f t="shared" si="285"/>
        <v>| [ㄋㄠˇ](ㄋㄠˇ.md) | [腦](腦.md) |  | nǎo | [名]
1.頭髓，為高等動物神經系統的主要部分，掌管知覺、運動、思維、判斷、記憶等的器官。
2.人的頭部。如：「腦袋」、「搖頭晃腦」。《淮南子．俶真》：「雲臺之高，墮者折脊碎腦。」唐．杜甫〈畫鶻行〉：「側腦看青霄，寧為眾禽沒。」
3.物體的中心部分。宋．道潛〈次韻子瞻飯別〉詩：「鈴閣追隨半月強，葵心菊腦厭甘涼。」
4.形狀或顏色像腦髓的東西。如：「樟腦」、「豆腐腦」。 |</v>
      </c>
    </row>
    <row r="4583" spans="1:44" hidden="1">
      <c r="A4583" s="1" t="s">
        <v>7266</v>
      </c>
      <c r="C4583" s="1">
        <v>1</v>
      </c>
      <c r="D4583" s="1" t="str">
        <f>"02974"</f>
        <v>02974</v>
      </c>
      <c r="E4583" s="1" t="s">
        <v>109</v>
      </c>
      <c r="F4583" s="1">
        <v>16</v>
      </c>
      <c r="G4583" s="1">
        <v>10</v>
      </c>
      <c r="H4583" s="1">
        <v>0</v>
      </c>
      <c r="I4583" s="1" t="s">
        <v>7267</v>
      </c>
      <c r="K4583" s="1" t="str">
        <f t="shared" si="288"/>
        <v>ㄋ</v>
      </c>
      <c r="L4583" s="1" t="str">
        <f t="shared" si="289"/>
        <v>ㄡ</v>
      </c>
      <c r="N4583" s="3" t="s">
        <v>30574</v>
      </c>
      <c r="O4583" s="3"/>
      <c r="P4583" s="1" t="s">
        <v>20</v>
      </c>
      <c r="R4583" s="1" t="s">
        <v>7268</v>
      </c>
      <c r="V4583" s="1" t="s">
        <v>7269</v>
      </c>
      <c r="AR4583" s="1" t="str">
        <f t="shared" si="285"/>
        <v>| [ㄋㄡˋ](ㄋㄡˋ.md) | [耨](耨.md) |  | nòu | [名]
除草的農具。《漢書．卷九九．王莽傳》：「予之南巡，必躬載耨，每縣則媷，以勸南偽。」
[動]
除草。如：「深耕易耨」。《孟子．梁惠王上》：「彼奪其民時，使不得耕耨，以養其父母。」 |</v>
      </c>
    </row>
    <row r="4584" spans="1:44" hidden="1">
      <c r="A4584" s="1" t="s">
        <v>7270</v>
      </c>
      <c r="C4584" s="1">
        <v>1</v>
      </c>
      <c r="D4584" s="1" t="str">
        <f>"02975"</f>
        <v>02975</v>
      </c>
      <c r="E4584" s="1" t="s">
        <v>139</v>
      </c>
      <c r="F4584" s="1">
        <v>18</v>
      </c>
      <c r="G4584" s="1">
        <v>14</v>
      </c>
      <c r="H4584" s="1">
        <v>0</v>
      </c>
      <c r="I4584" s="1" t="s">
        <v>7267</v>
      </c>
      <c r="K4584" s="1" t="str">
        <f t="shared" si="288"/>
        <v>ㄋ</v>
      </c>
      <c r="L4584" s="1" t="str">
        <f t="shared" si="289"/>
        <v>ㄡ</v>
      </c>
      <c r="N4584" s="3" t="s">
        <v>30574</v>
      </c>
      <c r="O4584" s="3"/>
      <c r="P4584" s="1" t="s">
        <v>20</v>
      </c>
      <c r="R4584" s="1" t="s">
        <v>7268</v>
      </c>
      <c r="V4584" s="1" t="s">
        <v>7271</v>
      </c>
      <c r="AR4584" s="1" t="str">
        <f t="shared" si="285"/>
        <v>| [ㄋㄡˋ](ㄋㄡˋ.md) | [檽](檽.md) |  | nòu | [名]
一種樹木。外形似槲樕但較小，皮可用作染料。《玉篇．木部》：「檽，木名，皮可染。」 |</v>
      </c>
    </row>
    <row r="4585" spans="1:44" hidden="1">
      <c r="A4585" s="1" t="s">
        <v>7260</v>
      </c>
      <c r="C4585" s="1">
        <v>1</v>
      </c>
      <c r="D4585" s="1" t="str">
        <f>"02972"</f>
        <v>02972</v>
      </c>
      <c r="E4585" s="1" t="s">
        <v>331</v>
      </c>
      <c r="F4585" s="1">
        <v>20</v>
      </c>
      <c r="G4585" s="1">
        <v>13</v>
      </c>
      <c r="H4585" s="1">
        <v>0</v>
      </c>
      <c r="I4585" s="1" t="s">
        <v>7261</v>
      </c>
      <c r="K4585" s="1" t="str">
        <f t="shared" si="288"/>
        <v>ㄋ</v>
      </c>
      <c r="L4585" s="1" t="str">
        <f t="shared" si="289"/>
        <v>ㄡ</v>
      </c>
      <c r="N4585" s="3" t="s">
        <v>30575</v>
      </c>
      <c r="O4585" s="3"/>
      <c r="P4585" s="1" t="s">
        <v>20</v>
      </c>
      <c r="R4585" s="1" t="s">
        <v>7262</v>
      </c>
      <c r="V4585" s="1" t="s">
        <v>7263</v>
      </c>
      <c r="AR4585" s="1" t="str">
        <f t="shared" si="285"/>
        <v>| [ㄋㄡˊ](ㄋㄡˊ.md) | [譨](譨.md) |  | nóu | 參見「譨譨」條。 |</v>
      </c>
    </row>
    <row r="4586" spans="1:44" hidden="1">
      <c r="A4586" s="1" t="s">
        <v>7264</v>
      </c>
      <c r="C4586" s="1">
        <v>1</v>
      </c>
      <c r="D4586" s="1" t="str">
        <f>"02973"</f>
        <v>02973</v>
      </c>
      <c r="E4586" s="1" t="s">
        <v>125</v>
      </c>
      <c r="F4586" s="1">
        <v>22</v>
      </c>
      <c r="G4586" s="1">
        <v>14</v>
      </c>
      <c r="H4586" s="1">
        <v>0</v>
      </c>
      <c r="I4586" s="1" t="s">
        <v>7261</v>
      </c>
      <c r="K4586" s="1" t="str">
        <f t="shared" si="288"/>
        <v>ㄋ</v>
      </c>
      <c r="L4586" s="1" t="str">
        <f t="shared" si="289"/>
        <v>ㄡ</v>
      </c>
      <c r="N4586" s="3" t="s">
        <v>30575</v>
      </c>
      <c r="O4586" s="3"/>
      <c r="P4586" s="1" t="s">
        <v>20</v>
      </c>
      <c r="R4586" s="1" t="s">
        <v>7262</v>
      </c>
      <c r="V4586" s="1" t="s">
        <v>7265</v>
      </c>
      <c r="AR4586" s="1" t="str">
        <f t="shared" si="285"/>
        <v>| [ㄋㄡˊ](ㄋㄡˊ.md) | [䨲](䨲.md) |  | nóu | [名]
幼兔。《魏書．卷九一．術藝傳．江式傳》：「小兔為䨲，神虫為蠶。」 |</v>
      </c>
    </row>
    <row r="4587" spans="1:44" hidden="1">
      <c r="A4587" s="1" t="s">
        <v>7293</v>
      </c>
      <c r="C4587" s="1">
        <v>1</v>
      </c>
      <c r="D4587" s="1" t="str">
        <f>"02989"</f>
        <v>02989</v>
      </c>
      <c r="E4587" s="1" t="s">
        <v>5383</v>
      </c>
      <c r="F4587" s="1">
        <v>19</v>
      </c>
      <c r="G4587" s="1">
        <v>11</v>
      </c>
      <c r="H4587" s="1">
        <v>2</v>
      </c>
      <c r="I4587" s="1" t="s">
        <v>7305</v>
      </c>
      <c r="K4587" s="1" t="str">
        <f t="shared" si="288"/>
        <v>ㄋ</v>
      </c>
      <c r="L4587" s="1" t="str">
        <f t="shared" si="289"/>
        <v>ㄢ</v>
      </c>
      <c r="N4587" s="3" t="s">
        <v>30574</v>
      </c>
      <c r="O4587" s="3"/>
      <c r="P4587" s="1" t="s">
        <v>20</v>
      </c>
      <c r="R4587" s="1" t="s">
        <v>7306</v>
      </c>
      <c r="V4587" s="1" t="s">
        <v>7307</v>
      </c>
      <c r="W4587" s="1" t="s">
        <v>7308</v>
      </c>
      <c r="AR4587" s="1" t="str">
        <f t="shared" si="285"/>
        <v>| [ㄋㄢˋ](ㄋㄢˋ.md) | [難](難.md) |  | nàn | [名]
1.災禍。如：「災難」、「海難」、「多災多難」、「大難臨頭」。《左傳．桓公六年》：「君姑脩政，而親兄弟之國，庶免於難。」
2.仇敵。《戰國策．秦策一》：「臣聞天下，陰燕陽魏，連荊固齊，收餘韓成，從將西南，以與秦為難。」《史記．卷七〇．張儀傳》：「楚嘗與秦構難，戰於漢中。」
3.叛亂。如：「發難」、「兵難」。《公羊傳．隱公四年》：「請作難。」
[形]
遭遇災難的。如：「難民」、「難胞」。
[動]
1.質問、責備。如：「非難」、「問難」、「責難」。《左傳．隱公元年》：「不言出奔，難之也。」
2.辯駁、辯論。《史記．卷八一．廉頗藺相如傳》：「嘗與其父奢言兵事，奢不能難也，然不謂善。」 |</v>
      </c>
    </row>
    <row r="4588" spans="1:44" hidden="1">
      <c r="A4588" s="1" t="s">
        <v>7276</v>
      </c>
      <c r="C4588" s="1">
        <v>1</v>
      </c>
      <c r="D4588" s="1" t="str">
        <f>"02977"</f>
        <v>02977</v>
      </c>
      <c r="E4588" s="1" t="s">
        <v>753</v>
      </c>
      <c r="F4588" s="1">
        <v>7</v>
      </c>
      <c r="G4588" s="1">
        <v>2</v>
      </c>
      <c r="H4588" s="1">
        <v>0</v>
      </c>
      <c r="I4588" s="1" t="s">
        <v>7277</v>
      </c>
      <c r="K4588" s="1" t="str">
        <f t="shared" si="288"/>
        <v>ㄋ</v>
      </c>
      <c r="L4588" s="1" t="str">
        <f t="shared" si="289"/>
        <v>ㄢ</v>
      </c>
      <c r="N4588" s="3" t="s">
        <v>30575</v>
      </c>
      <c r="O4588" s="3"/>
      <c r="P4588" s="1" t="s">
        <v>20</v>
      </c>
      <c r="R4588" s="1" t="s">
        <v>7278</v>
      </c>
      <c r="V4588" s="1" t="s">
        <v>7279</v>
      </c>
      <c r="AR4588" s="1" t="str">
        <f t="shared" si="285"/>
        <v>| [ㄋㄢˊ](ㄋㄢˊ.md) | [男](男.md) |  | nán | [名]
1.男人，與「女」相對。《禮記．禮運》：「男有分，女有歸。」
2.兒子。如：「長男」。《左傳．哀公三年》：「南氏生男，則以告於君與大夫而立之。」唐．杜甫〈石壕吏〉詩：「一男附書至，二男新戰死。」
3.兒子在父母前的自稱。宋．歐陽修〈瀧岡阡表〉：「十有五日乙亥，男推誠保德崇仁翊戴功臣，觀文殿學士，特進行兵部尚書。」
4.古代封建制度五等爵的最末一等，即男爵。《禮記．王制》：「王者之制祿爵，公、侯、伯、子、男凡五等。」
5.姓。如明代有男斌。 |</v>
      </c>
    </row>
    <row r="4589" spans="1:44" hidden="1">
      <c r="A4589" s="1" t="s">
        <v>7280</v>
      </c>
      <c r="C4589" s="1">
        <v>1</v>
      </c>
      <c r="D4589" s="1" t="str">
        <f>"02978"</f>
        <v>02978</v>
      </c>
      <c r="E4589" s="1" t="s">
        <v>139</v>
      </c>
      <c r="F4589" s="1">
        <v>9</v>
      </c>
      <c r="G4589" s="1">
        <v>5</v>
      </c>
      <c r="H4589" s="1">
        <v>0</v>
      </c>
      <c r="I4589" s="1" t="s">
        <v>7277</v>
      </c>
      <c r="K4589" s="1" t="str">
        <f t="shared" si="288"/>
        <v>ㄋ</v>
      </c>
      <c r="L4589" s="1" t="str">
        <f t="shared" si="289"/>
        <v>ㄢ</v>
      </c>
      <c r="N4589" s="3" t="s">
        <v>30575</v>
      </c>
      <c r="O4589" s="3"/>
      <c r="P4589" s="1" t="s">
        <v>20</v>
      </c>
      <c r="R4589" s="1" t="s">
        <v>7278</v>
      </c>
      <c r="V4589" s="1" t="s">
        <v>7281</v>
      </c>
      <c r="AR4589" s="1" t="str">
        <f t="shared" si="285"/>
        <v>| [ㄋㄢˊ](ㄋㄢˊ.md) | [柟](柟.md) |  | nán | [名]
植物名。即楠木。樟科雅楠或楨楠屬，「楠木」之古稱，參見「楠木」條。 |</v>
      </c>
    </row>
    <row r="4590" spans="1:44" hidden="1">
      <c r="A4590" s="1" t="s">
        <v>7116</v>
      </c>
      <c r="C4590" s="1">
        <v>1</v>
      </c>
      <c r="D4590" s="1" t="str">
        <f>"02979"</f>
        <v>02979</v>
      </c>
      <c r="E4590" s="1" t="s">
        <v>286</v>
      </c>
      <c r="F4590" s="1">
        <v>9</v>
      </c>
      <c r="G4590" s="1">
        <v>7</v>
      </c>
      <c r="H4590" s="1">
        <v>1</v>
      </c>
      <c r="I4590" s="1" t="s">
        <v>7277</v>
      </c>
      <c r="K4590" s="1" t="str">
        <f t="shared" si="288"/>
        <v>ㄋ</v>
      </c>
      <c r="L4590" s="1" t="str">
        <f t="shared" si="289"/>
        <v>ㄢ</v>
      </c>
      <c r="N4590" s="3" t="s">
        <v>30575</v>
      </c>
      <c r="O4590" s="3"/>
      <c r="P4590" s="1" t="s">
        <v>20</v>
      </c>
      <c r="R4590" s="1" t="s">
        <v>7278</v>
      </c>
      <c r="V4590" s="1" t="s">
        <v>7282</v>
      </c>
      <c r="W4590" s="1" t="s">
        <v>7283</v>
      </c>
      <c r="AR4590" s="1" t="str">
        <f t="shared" si="285"/>
        <v>| [ㄋㄢˊ](ㄋㄢˊ.md) | [南](南.md) |  | nán | [名]
1.方位名。與「北」相對。如：「坐北朝南」、「大江南北」。《詩經．小雅．何人斯》：「胡不自南？」
2.南方的樂曲。《禮記．文王世子》：「胥鼓南。」漢．鄭玄．注：「南，南夷之樂也。」
3.姓。如唐代有南霽雲。
[動]
向南行、向南移動。《周禮．地官．大司徒》：「日南則景短，多暑。」《宋史．卷四二八．道學傳二．楊時傳》：「其歸也，顥目送之曰：『吾道南矣！』」
[形]
南邊的。如：「南岸」、「南極」。《陳書．卷二一．王固傳》：「魏人以南人嗜魚，大設罟網。」 |</v>
      </c>
    </row>
    <row r="4591" spans="1:44" hidden="1">
      <c r="A4591" s="1" t="s">
        <v>7284</v>
      </c>
      <c r="C4591" s="1">
        <v>1</v>
      </c>
      <c r="D4591" s="1" t="str">
        <f>"02980"</f>
        <v>02980</v>
      </c>
      <c r="E4591" s="1" t="s">
        <v>28</v>
      </c>
      <c r="F4591" s="1">
        <v>12</v>
      </c>
      <c r="G4591" s="1">
        <v>9</v>
      </c>
      <c r="H4591" s="1">
        <v>0</v>
      </c>
      <c r="I4591" s="1" t="s">
        <v>7277</v>
      </c>
      <c r="K4591" s="1" t="str">
        <f t="shared" si="288"/>
        <v>ㄋ</v>
      </c>
      <c r="L4591" s="1" t="str">
        <f t="shared" si="289"/>
        <v>ㄢ</v>
      </c>
      <c r="N4591" s="3" t="s">
        <v>30575</v>
      </c>
      <c r="O4591" s="3"/>
      <c r="P4591" s="1" t="s">
        <v>20</v>
      </c>
      <c r="R4591" s="1" t="s">
        <v>7278</v>
      </c>
      <c r="V4591" s="1" t="s">
        <v>7285</v>
      </c>
      <c r="AR4591" s="1" t="str">
        <f t="shared" si="285"/>
        <v>| [ㄋㄢˊ](ㄋㄢˊ.md) | [喃](喃.md) |  | nán | 參見「喃喃」、「呢喃」等條。 |</v>
      </c>
    </row>
    <row r="4592" spans="1:44" hidden="1">
      <c r="A4592" s="1" t="s">
        <v>7286</v>
      </c>
      <c r="C4592" s="1">
        <v>1</v>
      </c>
      <c r="D4592" s="1" t="str">
        <f>"02981"</f>
        <v>02981</v>
      </c>
      <c r="E4592" s="1" t="s">
        <v>139</v>
      </c>
      <c r="F4592" s="1">
        <v>13</v>
      </c>
      <c r="G4592" s="1">
        <v>9</v>
      </c>
      <c r="H4592" s="1">
        <v>0</v>
      </c>
      <c r="I4592" s="1" t="s">
        <v>7277</v>
      </c>
      <c r="K4592" s="1" t="str">
        <f t="shared" si="288"/>
        <v>ㄋ</v>
      </c>
      <c r="L4592" s="1" t="str">
        <f t="shared" si="289"/>
        <v>ㄢ</v>
      </c>
      <c r="N4592" s="3" t="s">
        <v>30575</v>
      </c>
      <c r="O4592" s="3"/>
      <c r="P4592" s="1" t="s">
        <v>20</v>
      </c>
      <c r="R4592" s="1" t="s">
        <v>7278</v>
      </c>
      <c r="V4592" s="1" t="s">
        <v>7287</v>
      </c>
      <c r="AR4592" s="1" t="str">
        <f t="shared" si="285"/>
        <v>| [ㄋㄢˊ](ㄋㄢˊ.md) | [楠](楠.md) |  | nán | [名]
植物名。「柟」、「楠木」之古稱，參見「楠木」條。 |</v>
      </c>
    </row>
    <row r="4593" spans="1:44" hidden="1">
      <c r="A4593" s="1" t="s">
        <v>7288</v>
      </c>
      <c r="C4593" s="1">
        <v>1</v>
      </c>
      <c r="D4593" s="1" t="str">
        <f>"02982"</f>
        <v>02982</v>
      </c>
      <c r="E4593" s="1" t="s">
        <v>679</v>
      </c>
      <c r="F4593" s="1">
        <v>15</v>
      </c>
      <c r="G4593" s="1">
        <v>9</v>
      </c>
      <c r="H4593" s="1">
        <v>1</v>
      </c>
      <c r="I4593" s="1" t="s">
        <v>7277</v>
      </c>
      <c r="K4593" s="1" t="str">
        <f t="shared" si="288"/>
        <v>ㄋ</v>
      </c>
      <c r="L4593" s="1" t="str">
        <f t="shared" si="289"/>
        <v>ㄢ</v>
      </c>
      <c r="N4593" s="3" t="s">
        <v>30575</v>
      </c>
      <c r="O4593" s="3"/>
      <c r="P4593" s="1" t="s">
        <v>20</v>
      </c>
      <c r="R4593" s="1" t="s">
        <v>7278</v>
      </c>
      <c r="V4593" s="1" t="s">
        <v>7289</v>
      </c>
      <c r="W4593" s="1" t="s">
        <v>7290</v>
      </c>
      <c r="AR4593" s="1" t="str">
        <f t="shared" si="285"/>
        <v>| [ㄋㄢˊ](ㄋㄢˊ.md) | [蝻](蝻.md) |  | nán | [名]
蝗的幼蟲。形體似成蟲而略小，頭大，有翅芽，經五、六次蛻皮，發育為成蟲。常成群吃稻、麥、玉米等禾本科作物。 |</v>
      </c>
    </row>
    <row r="4594" spans="1:44" hidden="1">
      <c r="A4594" s="1" t="s">
        <v>7291</v>
      </c>
      <c r="C4594" s="1">
        <v>1</v>
      </c>
      <c r="D4594" s="1" t="str">
        <f>"02983"</f>
        <v>02983</v>
      </c>
      <c r="E4594" s="1" t="s">
        <v>331</v>
      </c>
      <c r="F4594" s="1">
        <v>16</v>
      </c>
      <c r="G4594" s="1">
        <v>9</v>
      </c>
      <c r="H4594" s="1">
        <v>0</v>
      </c>
      <c r="I4594" s="1" t="s">
        <v>7277</v>
      </c>
      <c r="K4594" s="1" t="str">
        <f t="shared" si="288"/>
        <v>ㄋ</v>
      </c>
      <c r="L4594" s="1" t="str">
        <f t="shared" si="289"/>
        <v>ㄢ</v>
      </c>
      <c r="N4594" s="3" t="s">
        <v>30575</v>
      </c>
      <c r="O4594" s="3"/>
      <c r="P4594" s="1" t="s">
        <v>20</v>
      </c>
      <c r="R4594" s="1" t="s">
        <v>7278</v>
      </c>
      <c r="V4594" s="1" t="s">
        <v>7292</v>
      </c>
      <c r="AR4594" s="1" t="str">
        <f t="shared" si="285"/>
        <v>| [ㄋㄢˊ](ㄋㄢˊ.md) | [諵](諵.md) |  | nán | 參見「諵諵」條。 |</v>
      </c>
    </row>
    <row r="4595" spans="1:44" hidden="1">
      <c r="A4595" s="1" t="s">
        <v>7293</v>
      </c>
      <c r="C4595" s="1">
        <v>1</v>
      </c>
      <c r="D4595" s="1" t="str">
        <f>"02984"</f>
        <v>02984</v>
      </c>
      <c r="E4595" s="1" t="s">
        <v>5383</v>
      </c>
      <c r="F4595" s="1">
        <v>19</v>
      </c>
      <c r="G4595" s="1">
        <v>11</v>
      </c>
      <c r="H4595" s="1">
        <v>1</v>
      </c>
      <c r="I4595" s="1" t="s">
        <v>7277</v>
      </c>
      <c r="K4595" s="1" t="str">
        <f t="shared" si="288"/>
        <v>ㄋ</v>
      </c>
      <c r="L4595" s="1" t="str">
        <f t="shared" si="289"/>
        <v>ㄢ</v>
      </c>
      <c r="N4595" s="3" t="s">
        <v>30575</v>
      </c>
      <c r="O4595" s="3"/>
      <c r="P4595" s="1" t="s">
        <v>20</v>
      </c>
      <c r="R4595" s="1" t="s">
        <v>7278</v>
      </c>
      <c r="V4595" s="1" t="s">
        <v>7294</v>
      </c>
      <c r="W4595" s="1" t="s">
        <v>7295</v>
      </c>
      <c r="AR4595" s="1" t="str">
        <f t="shared" si="285"/>
        <v>| [ㄋㄢˊ](ㄋㄢˊ.md) | [難](難.md) |  | nán | [形]_x000D_
不容易、艱困。如：「難關」、「這個問題很難。」《論語．子路》：「為君難，為臣亦不易。」_x000D_
[副]_x000D_
1.不容易、艱難。如：「難辦」、「難處」、「難學」。晉．干寶〈晉紀總論〉：「基廣則難傾，根深則難拔。」_x000D_
2.不好、不可、不能。如：「難看」、「難吃」、「難聞」、「難聽」、「難言之隱」、「難保無事」。《戰國策．中山策》：「且張登之為人也，善以微計薦中山之君久矣，難信以為利。」漢．高誘．注：「不可信其言以為己利也。」_x000D_
[動]_x000D_
陷滯、困住。如：「他們用計難住他，讓他走不開。」《左傳．哀公十二年》：「今吳不行禮於衛，而藩其君舍以難之。」_x000D_
[名]_x000D_
不容易的事。《玉篇．隹部》：「難，不易之稱。」《後漢書．卷二六．伏侯宋蔡馮趙牟韋列傳．伏湛》：「陛下捨近務遠，棄易求難，四方疑怪，百姓恐懼，誠臣之所惑也。」《元史．卷三五．文宗本紀四》：「及遷同知儲政院事，即就職，僥倖巧宦，避難就易。」 |</v>
      </c>
    </row>
    <row r="4596" spans="1:44" hidden="1">
      <c r="A4596" s="1" t="s">
        <v>7296</v>
      </c>
      <c r="C4596" s="1">
        <v>1</v>
      </c>
      <c r="D4596" s="1" t="str">
        <f>"02985"</f>
        <v>02985</v>
      </c>
      <c r="E4596" s="1" t="s">
        <v>6340</v>
      </c>
      <c r="F4596" s="1">
        <v>11</v>
      </c>
      <c r="G4596" s="1">
        <v>4</v>
      </c>
      <c r="H4596" s="1">
        <v>0</v>
      </c>
      <c r="I4596" s="1" t="s">
        <v>7297</v>
      </c>
      <c r="K4596" s="1" t="str">
        <f t="shared" si="288"/>
        <v>ㄋ</v>
      </c>
      <c r="L4596" s="1" t="str">
        <f t="shared" si="289"/>
        <v>ㄢ</v>
      </c>
      <c r="N4596" s="3" t="s">
        <v>30576</v>
      </c>
      <c r="O4596" s="3"/>
      <c r="P4596" s="1" t="s">
        <v>20</v>
      </c>
      <c r="R4596" s="1" t="s">
        <v>7298</v>
      </c>
      <c r="V4596" s="1" t="s">
        <v>7299</v>
      </c>
      <c r="AR4596" s="1" t="str">
        <f t="shared" si="285"/>
        <v>| [ㄋㄢˇ](ㄋㄢˇ.md) | [赧](赧.md) |  | nǎn | [形]
害羞慚愧而臉紅。如：「赧顏」、「羞赧」。《孟子．滕文公下》：「觀其色赧赧然，非由之所知也。」唐．沈既濟《任氏傳》：「鄭子赧而隱。」 |</v>
      </c>
    </row>
    <row r="4597" spans="1:44" hidden="1">
      <c r="A4597" s="1" t="s">
        <v>7300</v>
      </c>
      <c r="C4597" s="1">
        <v>1</v>
      </c>
      <c r="D4597" s="1" t="str">
        <f>"02986"</f>
        <v>02986</v>
      </c>
      <c r="E4597" s="1" t="s">
        <v>68</v>
      </c>
      <c r="F4597" s="1">
        <v>13</v>
      </c>
      <c r="G4597" s="1">
        <v>9</v>
      </c>
      <c r="H4597" s="1">
        <v>0</v>
      </c>
      <c r="I4597" s="1" t="s">
        <v>7297</v>
      </c>
      <c r="K4597" s="1" t="str">
        <f t="shared" si="288"/>
        <v>ㄋ</v>
      </c>
      <c r="L4597" s="1" t="str">
        <f t="shared" si="289"/>
        <v>ㄢ</v>
      </c>
      <c r="N4597" s="3" t="s">
        <v>30576</v>
      </c>
      <c r="O4597" s="3"/>
      <c r="P4597" s="1" t="s">
        <v>20</v>
      </c>
      <c r="R4597" s="1" t="s">
        <v>7298</v>
      </c>
      <c r="V4597" s="1" t="s">
        <v>7301</v>
      </c>
      <c r="AR4597" s="1" t="str">
        <f t="shared" si="285"/>
        <v>| [ㄋㄢˇ](ㄋㄢˇ.md) | [腩](腩.md) |  | nǎn | [名]
1.牛肚子上或肋骨附近柔軟的嫩肉。如：「牛腩」。
2.以調味品浸漬的肉。《齊民要術．卷九．炙法》：「腩炙：羊、牛、獐、鹿肉皆得，方寸臠切，蔥白研令碎，和鹽豉汁，僅令相淹，少時便炙。」 |</v>
      </c>
    </row>
    <row r="4598" spans="1:44" hidden="1">
      <c r="A4598" s="1" t="s">
        <v>7288</v>
      </c>
      <c r="C4598" s="1">
        <v>1</v>
      </c>
      <c r="D4598" s="1" t="str">
        <f>"02987"</f>
        <v>02987</v>
      </c>
      <c r="E4598" s="1" t="s">
        <v>679</v>
      </c>
      <c r="F4598" s="1">
        <v>15</v>
      </c>
      <c r="G4598" s="1">
        <v>9</v>
      </c>
      <c r="H4598" s="1">
        <v>2</v>
      </c>
      <c r="I4598" s="1" t="s">
        <v>7297</v>
      </c>
      <c r="K4598" s="1" t="str">
        <f t="shared" si="288"/>
        <v>ㄋ</v>
      </c>
      <c r="L4598" s="1" t="str">
        <f t="shared" si="289"/>
        <v>ㄢ</v>
      </c>
      <c r="N4598" s="3" t="s">
        <v>30576</v>
      </c>
      <c r="O4598" s="3"/>
      <c r="P4598" s="1" t="s">
        <v>110</v>
      </c>
      <c r="R4598" s="1" t="s">
        <v>7298</v>
      </c>
      <c r="V4598" s="1" t="s">
        <v>111</v>
      </c>
      <c r="W4598" s="1" t="s">
        <v>7302</v>
      </c>
      <c r="AR4598" s="1" t="str">
        <f t="shared" si="285"/>
        <v>| [ㄋㄢˇ](ㄋㄢˇ.md) | [蝻](蝻.md) |  | nǎn | (一)之又音。 |</v>
      </c>
    </row>
    <row r="4599" spans="1:44" hidden="1">
      <c r="A4599" s="1" t="s">
        <v>7303</v>
      </c>
      <c r="C4599" s="1">
        <v>1</v>
      </c>
      <c r="D4599" s="1" t="str">
        <f>"02988"</f>
        <v>02988</v>
      </c>
      <c r="E4599" s="1" t="s">
        <v>250</v>
      </c>
      <c r="F4599" s="1">
        <v>23</v>
      </c>
      <c r="G4599" s="1">
        <v>19</v>
      </c>
      <c r="H4599" s="1">
        <v>0</v>
      </c>
      <c r="I4599" s="1" t="s">
        <v>7297</v>
      </c>
      <c r="K4599" s="1" t="str">
        <f t="shared" si="288"/>
        <v>ㄋ</v>
      </c>
      <c r="L4599" s="1" t="str">
        <f t="shared" si="289"/>
        <v>ㄢ</v>
      </c>
      <c r="N4599" s="3" t="s">
        <v>30576</v>
      </c>
      <c r="O4599" s="3"/>
      <c r="P4599" s="1" t="s">
        <v>20</v>
      </c>
      <c r="R4599" s="1" t="s">
        <v>7298</v>
      </c>
      <c r="V4599" s="1" t="s">
        <v>7304</v>
      </c>
      <c r="AR4599" s="1" t="str">
        <f t="shared" si="285"/>
        <v>| [ㄋㄢˇ](ㄋㄢˇ.md) | [戁](戁.md) |  | nǎn | [形]
敬畏、恐懼。《詩經．商頌．長發》：「敷奏其勇，不震不動；不戁不竦，百祿是總。」 |</v>
      </c>
    </row>
    <row r="4600" spans="1:44" hidden="1">
      <c r="A4600" s="1" t="s">
        <v>7309</v>
      </c>
      <c r="C4600" s="1">
        <v>1</v>
      </c>
      <c r="D4600" s="1" t="str">
        <f>"02990"</f>
        <v>02990</v>
      </c>
      <c r="E4600" s="1" t="s">
        <v>534</v>
      </c>
      <c r="F4600" s="1">
        <v>14</v>
      </c>
      <c r="G4600" s="1">
        <v>11</v>
      </c>
      <c r="H4600" s="1">
        <v>0</v>
      </c>
      <c r="I4600" s="1" t="s">
        <v>7310</v>
      </c>
      <c r="K4600" s="1" t="str">
        <f t="shared" si="288"/>
        <v>ㄋ</v>
      </c>
      <c r="L4600" s="1" t="str">
        <f t="shared" si="289"/>
        <v>ㄣ</v>
      </c>
      <c r="N4600" s="3" t="s">
        <v>30574</v>
      </c>
      <c r="O4600" s="3"/>
      <c r="P4600" s="1" t="s">
        <v>20</v>
      </c>
      <c r="R4600" s="1" t="s">
        <v>7311</v>
      </c>
      <c r="V4600" s="1" t="s">
        <v>7312</v>
      </c>
      <c r="AR4600" s="1" t="str">
        <f t="shared" si="285"/>
        <v>| [ㄋㄣˋ](ㄋㄣˋ.md) | [嫩](嫩.md) |  | nèn | [形]
1.初生柔弱的樣子。如：「嫩芽」、「嬌嫩」。唐．杜甫〈奉酬李都督表丈早春作〉詩：「紅入桃花嫩，青歸柳葉新。」《紅樓夢》第七七回：「就如同一盆纔抽出嫩箭來的蘭花，一送到豬窩裡去一般。」
2.柔軟。如：「細皮嫩肉」、「杏仁上面包著一層嫩皮兒。」
3.經驗少、不老練。如：「他太嫩了。」、「她臉皮嫩，不敢上場。」《醒世恆言．卷三．賣油郎獨占花魁》：「做小娘的不是個軟殼雞蛋，怎的這般嫩得緊？」
4.指食物烹調時間短暫，易於咀嚼的。如：「青椒牛肉要炒得嫩才好吃。」
[副]
1.顏色輕淡。如：「嫩黃」、「嫩綠」。唐．白居易〈山石榴寄元九〉詩：「千房萬葉一時新，嫩紫殷紅鮮麴塵。」
2.輕微、微薄。如：「嫩涼」。宋．辛棄疾〈念奴嬌．江南盡處〉詞：「還似籬落孤山，嫩寒清曉。」 |</v>
      </c>
    </row>
    <row r="4601" spans="1:44" hidden="1">
      <c r="A4601" s="1" t="s">
        <v>7323</v>
      </c>
      <c r="C4601" s="1">
        <v>1</v>
      </c>
      <c r="D4601" s="1" t="str">
        <f>"02994"</f>
        <v>02994</v>
      </c>
      <c r="E4601" s="1" t="s">
        <v>889</v>
      </c>
      <c r="F4601" s="1">
        <v>36</v>
      </c>
      <c r="G4601" s="1">
        <v>22</v>
      </c>
      <c r="H4601" s="1">
        <v>0</v>
      </c>
      <c r="I4601" s="1" t="s">
        <v>7324</v>
      </c>
      <c r="K4601" s="1" t="str">
        <f t="shared" si="288"/>
        <v>ㄋ</v>
      </c>
      <c r="L4601" s="1" t="str">
        <f t="shared" si="289"/>
        <v>ㄤ</v>
      </c>
      <c r="N4601" s="3" t="s">
        <v>30574</v>
      </c>
      <c r="O4601" s="3"/>
      <c r="P4601" s="1" t="s">
        <v>20</v>
      </c>
      <c r="R4601" s="1" t="s">
        <v>7325</v>
      </c>
      <c r="V4601" s="1" t="s">
        <v>7326</v>
      </c>
      <c r="AR4601" s="1" t="str">
        <f t="shared" si="285"/>
        <v>| [ㄋㄤˋ](ㄋㄤˋ.md) | [齉](齉.md) |  | nàng | [形]
鼻子阻塞，發音不清楚。如：「齉鼻子」、「感冒流鼻水，鼻子發齉。」 |</v>
      </c>
    </row>
    <row r="4602" spans="1:44" hidden="1">
      <c r="A4602" s="1" t="s">
        <v>7313</v>
      </c>
      <c r="C4602" s="1">
        <v>1</v>
      </c>
      <c r="D4602" s="1" t="str">
        <f>"02991"</f>
        <v>02991</v>
      </c>
      <c r="E4602" s="1" t="s">
        <v>28</v>
      </c>
      <c r="F4602" s="1">
        <v>22</v>
      </c>
      <c r="G4602" s="1">
        <v>19</v>
      </c>
      <c r="H4602" s="1">
        <v>0</v>
      </c>
      <c r="I4602" s="1" t="s">
        <v>7314</v>
      </c>
      <c r="K4602" s="1" t="str">
        <f t="shared" si="288"/>
        <v>ㄋ</v>
      </c>
      <c r="L4602" s="1" t="str">
        <f t="shared" si="289"/>
        <v>ㄤ</v>
      </c>
      <c r="N4602" s="3" t="s">
        <v>30575</v>
      </c>
      <c r="O4602" s="3"/>
      <c r="P4602" s="1" t="s">
        <v>20</v>
      </c>
      <c r="R4602" s="1" t="s">
        <v>7315</v>
      </c>
      <c r="V4602" s="1" t="s">
        <v>7316</v>
      </c>
      <c r="AR4602" s="1" t="str">
        <f t="shared" si="285"/>
        <v>| [ㄋㄤˊ](ㄋㄤˊ.md) | [囊](囊.md) |  | náng | [名]
1.口袋、袋子。如：「行囊」、「香囊」、「錦囊」、「探囊取物」。唐．杜甫〈重贈鄭鍊〉詩：「鄭子將行罷使臣，囊無一物獻尊親。」
2.似袋子的東西。如：「膽囊」、「毛囊」、「氣囊」。《紅樓夢》第三回：「縱然生得好皮囊，腹內原來草莽。」
3.姓。如春秋時楚國有囊瓦。
[動]
用袋子盛裝物品。《聊齋志異．卷一．王成》：「囊貨就路，中途遇雨，衣履浸濡。」
[副]
如囊包物般的。如：「囊括四海」。 |</v>
      </c>
    </row>
    <row r="4603" spans="1:44" hidden="1">
      <c r="A4603" s="1" t="s">
        <v>7317</v>
      </c>
      <c r="C4603" s="1">
        <v>1</v>
      </c>
      <c r="D4603" s="1" t="str">
        <f>"02992"</f>
        <v>02992</v>
      </c>
      <c r="E4603" s="1" t="s">
        <v>646</v>
      </c>
      <c r="F4603" s="1">
        <v>21</v>
      </c>
      <c r="G4603" s="1">
        <v>17</v>
      </c>
      <c r="H4603" s="1">
        <v>0</v>
      </c>
      <c r="I4603" s="1" t="s">
        <v>7318</v>
      </c>
      <c r="K4603" s="1" t="str">
        <f t="shared" si="288"/>
        <v>ㄋ</v>
      </c>
      <c r="L4603" s="1" t="str">
        <f t="shared" si="289"/>
        <v>ㄤ</v>
      </c>
      <c r="N4603" s="3" t="s">
        <v>30576</v>
      </c>
      <c r="O4603" s="3"/>
      <c r="P4603" s="1" t="s">
        <v>20</v>
      </c>
      <c r="R4603" s="1" t="s">
        <v>7319</v>
      </c>
      <c r="V4603" s="1" t="s">
        <v>7320</v>
      </c>
      <c r="AR4603" s="1" t="str">
        <f t="shared" si="285"/>
        <v>| [ㄋㄤˇ](ㄋㄤˇ.md) | [曩](曩.md) |  | nǎng | [名]
從前、往日。如：「曩昔」、「曩者」。《韓非子．外儲說左下》：「寡人曩不知子，今知矣。」 |</v>
      </c>
    </row>
    <row r="4604" spans="1:44" hidden="1">
      <c r="A4604" s="1" t="s">
        <v>7321</v>
      </c>
      <c r="C4604" s="1">
        <v>1</v>
      </c>
      <c r="D4604" s="1" t="str">
        <f>"02993"</f>
        <v>02993</v>
      </c>
      <c r="E4604" s="1" t="s">
        <v>24</v>
      </c>
      <c r="F4604" s="1">
        <v>25</v>
      </c>
      <c r="G4604" s="1">
        <v>22</v>
      </c>
      <c r="H4604" s="1">
        <v>0</v>
      </c>
      <c r="I4604" s="1" t="s">
        <v>7318</v>
      </c>
      <c r="K4604" s="1" t="str">
        <f t="shared" si="288"/>
        <v>ㄋ</v>
      </c>
      <c r="L4604" s="1" t="str">
        <f t="shared" si="289"/>
        <v>ㄤ</v>
      </c>
      <c r="N4604" s="3" t="s">
        <v>30576</v>
      </c>
      <c r="O4604" s="3"/>
      <c r="P4604" s="1" t="s">
        <v>20</v>
      </c>
      <c r="R4604" s="1" t="s">
        <v>7319</v>
      </c>
      <c r="V4604" s="1" t="s">
        <v>7322</v>
      </c>
      <c r="AR4604" s="1" t="str">
        <f t="shared" si="285"/>
        <v>| [ㄋㄤˇ](ㄋㄤˇ.md) | [攮](攮.md) |  | nǎng | [動]
1.推。《醒世姻緣傳》第一回：「計氏趕將來要打，或將計氏乘機推一交，攮兩步。」
2.刺、戳。如：「他被攮了一刀。」《儒林外史》第六回：「半夜裡不見了鎗頭子，攮到賊肚裡。」
[形]
罵人糊塗愚笨。《儒林外史》第九回：「狗攮的奴才！你睜開驢眼看看燈籠上的字！船是那家的船！」《紅樓夢》第九六回：「糊塗狗攮的，還不給爺和賴大爺磕頭呢！」 |</v>
      </c>
    </row>
    <row r="4605" spans="1:44" hidden="1">
      <c r="A4605" s="1" t="s">
        <v>7327</v>
      </c>
      <c r="C4605" s="1">
        <v>1</v>
      </c>
      <c r="D4605" s="1" t="str">
        <f>"02995"</f>
        <v>02995</v>
      </c>
      <c r="E4605" s="1" t="s">
        <v>28</v>
      </c>
      <c r="F4605" s="1">
        <v>25</v>
      </c>
      <c r="G4605" s="1">
        <v>22</v>
      </c>
      <c r="H4605" s="1">
        <v>0</v>
      </c>
      <c r="I4605" s="1" t="s">
        <v>7328</v>
      </c>
      <c r="J4605" s="2" t="s">
        <v>30559</v>
      </c>
      <c r="K4605" s="1" t="s">
        <v>30566</v>
      </c>
      <c r="L4605" s="1" t="s">
        <v>24690</v>
      </c>
      <c r="P4605" s="1" t="s">
        <v>20</v>
      </c>
      <c r="R4605" s="1" t="s">
        <v>7329</v>
      </c>
      <c r="V4605" s="1" t="s">
        <v>7330</v>
      </c>
      <c r="AR4605" s="1" t="str">
        <f t="shared" si="285"/>
        <v>| [˙ㄋㄤ](˙ㄋㄤ.md) | [囔](囔.md) |  | nang | 參見「嘟囔」條。 |</v>
      </c>
    </row>
    <row r="4606" spans="1:44" hidden="1">
      <c r="A4606" s="1" t="s">
        <v>7331</v>
      </c>
      <c r="C4606" s="1">
        <v>1</v>
      </c>
      <c r="D4606" s="1" t="str">
        <f>"02996"</f>
        <v>02996</v>
      </c>
      <c r="E4606" s="1" t="s">
        <v>68</v>
      </c>
      <c r="F4606" s="1">
        <v>10</v>
      </c>
      <c r="G4606" s="1">
        <v>6</v>
      </c>
      <c r="H4606" s="1">
        <v>0</v>
      </c>
      <c r="I4606" s="1" t="s">
        <v>7332</v>
      </c>
      <c r="K4606" s="1" t="str">
        <f t="shared" ref="K4606:K4669" si="290">LEFT(I4606, 1)</f>
        <v>ㄋ</v>
      </c>
      <c r="L4606" s="1" t="str">
        <f t="shared" ref="L4606:L4669" si="291">MID(I4606, 2, 1)</f>
        <v>ㄥ</v>
      </c>
      <c r="N4606" s="3" t="s">
        <v>30575</v>
      </c>
      <c r="O4606" s="3"/>
      <c r="P4606" s="1" t="s">
        <v>20</v>
      </c>
      <c r="R4606" s="1" t="s">
        <v>7333</v>
      </c>
      <c r="V4606" s="1" t="s">
        <v>7334</v>
      </c>
      <c r="AR4606" s="1" t="str">
        <f t="shared" si="285"/>
        <v>| [ㄋㄥˊ](ㄋㄥˊ.md) | [能](能.md) |  | néng | [名]_x000D_
1.傳說中的動物。如熊，足似鹿。《說文解字．能部》：「能，熊屬，足似鹿。」唐．韓愈〈憶昨行和張十一〉詩：「近者三姦悉破碎，羽窟無底幽黃能。」_x000D_
2.能力、才幹。如：「逞能」、「智能」。《論語．子罕》：「夫子聖者與？何其多能也。」《文選．沈約．宋書謝靈運傳論》：「並摽能擅美，獨映當時。」_x000D_
3.人才、有才能的人。《禮記．禮運》：「選賢與能，講信脩睦。」《文選．司馬遷．報任少卿書》：「招賢進能，顯巖穴之士。」_x000D_
4.用途、功用。唐．柳宗元〈愚溪詩序〉：「可以染也，名之以其能，故謂之染溪。」_x000D_
5.一種日本古典戲劇。由猿樂發展的歌舞劇，以動作、表情和音樂表現。如：「夢幻能」、「修羅能」。_x000D_
6.物質運動的能量。因運動形式不同而有電能、熱能、機械能、化學能、原子能等。能量間可互相轉換，以功率為計算單位。也稱為「能量」。_x000D_
[形]_x000D_
有才幹的。如：「能人」、「能者多勞」。《孟子．公孫丑上》：「賢者在位，能者在職。」_x000D_
[動]_x000D_
1.可以做、有才幹。《論語．先進》：「非曰能之，願學焉。」《荀子．勸學》：「假舟楫者，非能水也，而絕江河。」_x000D_
2.投契、睦。《詩經．大雅．民勞》：「柔遠能邇，以定我王。」《史記．卷五三．蕭相國世家》：「何素不與曹參相能。」_x000D_
3.及、到。《戰國策．趙策一》：「韓與秦接境壤界，其地不能千里。」_x000D_
[副]_x000D_
1.可以、能夠。如：「你現在能不能去？」《論語．述而》：「聞義不能徙，不善不能改，是吾憂也。」唐．杜甫〈贈衛八處士〉詩：「少壯能幾時？鬢髮各已蒼。」_x000D_
2.只、僅僅。唐．杜甫〈月〉詩：「只益丹心苦，能添白髮明。」宋．蘇軾〈舟中夜起〉詩：「此生忽忽憂患裡，清境過眼能須臾。」_x000D_
3.寧、寧可。宋．蘇軾〈六和寺沖師閘山溪為水軒〉詩：「出山定被江潮涴，能為山僧更少留。」元．喬吉《金錢記》第一折：「能為君子儒，莫為小人儒。」 |</v>
      </c>
    </row>
    <row r="4607" spans="1:44" hidden="1">
      <c r="A4607" s="1" t="s">
        <v>7335</v>
      </c>
      <c r="C4607" s="1">
        <v>1</v>
      </c>
      <c r="D4607" s="1" t="str">
        <f>"02997"</f>
        <v>02997</v>
      </c>
      <c r="E4607" s="1" t="s">
        <v>114</v>
      </c>
      <c r="F4607" s="1">
        <v>16</v>
      </c>
      <c r="G4607" s="1">
        <v>14</v>
      </c>
      <c r="H4607" s="1">
        <v>0</v>
      </c>
      <c r="I4607" s="1" t="s">
        <v>7332</v>
      </c>
      <c r="K4607" s="1" t="str">
        <f t="shared" si="290"/>
        <v>ㄋ</v>
      </c>
      <c r="L4607" s="1" t="str">
        <f t="shared" si="291"/>
        <v>ㄥ</v>
      </c>
      <c r="N4607" s="3" t="s">
        <v>30575</v>
      </c>
      <c r="O4607" s="3"/>
      <c r="P4607" s="1" t="s">
        <v>20</v>
      </c>
      <c r="R4607" s="1" t="s">
        <v>7333</v>
      </c>
      <c r="V4607" s="1" t="s">
        <v>7336</v>
      </c>
      <c r="AR4607" s="1" t="str">
        <f t="shared" si="285"/>
        <v>| [ㄋㄥˊ](ㄋㄥˊ.md) | [儜](儜.md) |  | néng | [形]
弱小、軟弱。《宋書．卷六二．王微傳》：「吾本儜人，加疹意惛，一旦聞此，便惶怖矣。」
[代]
用於尊稱他人。通「您」。《老殘遊記》第一二回：「今日總算他鄉遇故知，儜也該做首詩，我們拜讀拜讀。」 |</v>
      </c>
    </row>
    <row r="4608" spans="1:44" hidden="1">
      <c r="A4608" s="1" t="s">
        <v>7341</v>
      </c>
      <c r="C4608" s="1">
        <v>1</v>
      </c>
      <c r="D4608" s="1" t="str">
        <f>"03024"</f>
        <v>03024</v>
      </c>
      <c r="E4608" s="1" t="s">
        <v>129</v>
      </c>
      <c r="F4608" s="1">
        <v>8</v>
      </c>
      <c r="G4608" s="1">
        <v>5</v>
      </c>
      <c r="H4608" s="1">
        <v>2</v>
      </c>
      <c r="I4608" s="1" t="s">
        <v>7394</v>
      </c>
      <c r="K4608" s="1" t="str">
        <f t="shared" si="290"/>
        <v>ㄋ</v>
      </c>
      <c r="L4608" s="1" t="str">
        <f t="shared" si="291"/>
        <v>ㄧ</v>
      </c>
      <c r="N4608" s="3" t="s">
        <v>30574</v>
      </c>
      <c r="O4608" s="3"/>
      <c r="P4608" s="1" t="s">
        <v>20</v>
      </c>
      <c r="R4608" s="1" t="s">
        <v>7395</v>
      </c>
      <c r="V4608" s="1" t="s">
        <v>7396</v>
      </c>
      <c r="W4608" s="1" t="s">
        <v>7397</v>
      </c>
      <c r="AR4608" s="1" t="str">
        <f t="shared" si="285"/>
        <v>| [ㄋㄧˋ](ㄋㄧˋ.md) | [泥](泥.md) |  | nì | [動]
1.固執、拘泥。如：「泥古不化」。《荀子．君道》：「知明制度權物稱用之為不泥也。」
2.留滯。《論語．子張》：「雖小道必有可觀者焉，致遠恐泥，是以君子不為也。」《老殘遊記》第一七回：「翠環仍泥著不肯去，眼看著人瑞，有求救的意思。」
3.用軟言柔語相求。唐．元稹〈遣悲懷〉詩三首之一：「顧我無衣搜畫篋，泥他沽酒拔金釵。」唐．皇甫枚《飛煙傳》：「郎心應似琴心怨，脈脈春情更泥誰。」 |</v>
      </c>
    </row>
    <row r="4609" spans="1:44" hidden="1">
      <c r="A4609" s="1" t="s">
        <v>7398</v>
      </c>
      <c r="C4609" s="1">
        <v>1</v>
      </c>
      <c r="D4609" s="1" t="str">
        <f>"03025"</f>
        <v>03025</v>
      </c>
      <c r="E4609" s="1" t="s">
        <v>646</v>
      </c>
      <c r="F4609" s="1">
        <v>9</v>
      </c>
      <c r="G4609" s="1">
        <v>5</v>
      </c>
      <c r="H4609" s="1">
        <v>0</v>
      </c>
      <c r="I4609" s="1" t="s">
        <v>7394</v>
      </c>
      <c r="K4609" s="1" t="str">
        <f t="shared" si="290"/>
        <v>ㄋ</v>
      </c>
      <c r="L4609" s="1" t="str">
        <f t="shared" si="291"/>
        <v>ㄧ</v>
      </c>
      <c r="N4609" s="3" t="s">
        <v>30574</v>
      </c>
      <c r="O4609" s="3"/>
      <c r="P4609" s="1" t="s">
        <v>20</v>
      </c>
      <c r="R4609" s="1" t="s">
        <v>7395</v>
      </c>
      <c r="V4609" s="1" t="s">
        <v>7399</v>
      </c>
      <c r="AR4609" s="1" t="str">
        <f t="shared" si="285"/>
        <v>| [ㄋㄧˋ](ㄋㄧˋ.md) | [昵](昵.md) |  | nì | [動]_x000D_
親近。通「暱」。如：「親昵」。《晉書．卷四五．任愷傳》：「（愷）性忠正，以社稷為己任，帝器而昵之，政事多諮焉。」明．徐弘祖《徐霞客遊記．卷五上．滇遊日記二》：「其人不習漢語，而素昵彞風，故勾引為易。」 |</v>
      </c>
    </row>
    <row r="4610" spans="1:44" hidden="1">
      <c r="A4610" s="1" t="s">
        <v>7400</v>
      </c>
      <c r="C4610" s="1">
        <v>1</v>
      </c>
      <c r="D4610" s="1" t="str">
        <f>"03026"</f>
        <v>03026</v>
      </c>
      <c r="E4610" s="1" t="s">
        <v>558</v>
      </c>
      <c r="F4610" s="1">
        <v>10</v>
      </c>
      <c r="G4610" s="1">
        <v>6</v>
      </c>
      <c r="H4610" s="1">
        <v>0</v>
      </c>
      <c r="I4610" s="1" t="s">
        <v>7394</v>
      </c>
      <c r="K4610" s="1" t="str">
        <f t="shared" si="290"/>
        <v>ㄋ</v>
      </c>
      <c r="L4610" s="1" t="str">
        <f t="shared" si="291"/>
        <v>ㄧ</v>
      </c>
      <c r="N4610" s="3" t="s">
        <v>30574</v>
      </c>
      <c r="O4610" s="3"/>
      <c r="P4610" s="1" t="s">
        <v>20</v>
      </c>
      <c r="R4610" s="1" t="s">
        <v>7395</v>
      </c>
      <c r="V4610" s="1" t="s">
        <v>7401</v>
      </c>
      <c r="AR4610" s="1" t="str">
        <f t="shared" si="285"/>
        <v>| [ㄋㄧˋ](ㄋㄧˋ.md) | [逆](逆.md) |  | nì | [動]
1.迎接。《書經．顧命》：「以二干戈，虎賁百人，逆子釗於南門之外。」宋．蘇軾〈留侯論〉：「楚莊王伐鄭，鄭伯肉袒牽羊以逆。」
2.接受。《左傳．昭公二十五年》：「有司逆命，公之使速殺之。」
3.違背、不順從。如：「忤逆」、「忠言逆耳」。《孟子．離婁上》：「順天者存，逆天者亡。」宋．歐陽修〈縱囚論〉：「不立異以為高，不逆情以干譽。」
4.抗拒、抵抗。《戰國策．齊策三》：「恐秦兼天下而臣其君，故專兵一志於逆秦。」
[形]
1.不順的。如：「逆境」。
2.倒出的。如：「批其逆鱗」。
[副]
1.反、倒。如：「倒行逆施」、「反向逆行」。唐．杜甫〈復愁〉詩一二首之一：「野鶻翻窺草，村船逆上溪。」
2.預先。如：「逆料」。三國蜀．諸葛亮〈聞孫權破曹休魏兵東下關中虛弱上言〉：「凡事如是，難可逆見。」
[名]
背叛者。如：「討逆」。晉．劉琨〈與石勒書〉：「得主則為義兵，附逆則為賊眾。」 |</v>
      </c>
    </row>
    <row r="4611" spans="1:44" hidden="1">
      <c r="A4611" s="1" t="s">
        <v>7402</v>
      </c>
      <c r="C4611" s="1">
        <v>1</v>
      </c>
      <c r="D4611" s="1" t="str">
        <f>"03027"</f>
        <v>03027</v>
      </c>
      <c r="E4611" s="1" t="s">
        <v>1258</v>
      </c>
      <c r="F4611" s="1">
        <v>11</v>
      </c>
      <c r="G4611" s="1">
        <v>9</v>
      </c>
      <c r="H4611" s="1">
        <v>0</v>
      </c>
      <c r="I4611" s="1" t="s">
        <v>7394</v>
      </c>
      <c r="K4611" s="1" t="str">
        <f t="shared" si="290"/>
        <v>ㄋ</v>
      </c>
      <c r="L4611" s="1" t="str">
        <f t="shared" si="291"/>
        <v>ㄧ</v>
      </c>
      <c r="N4611" s="3" t="s">
        <v>30574</v>
      </c>
      <c r="O4611" s="3"/>
      <c r="P4611" s="1" t="s">
        <v>20</v>
      </c>
      <c r="R4611" s="1" t="s">
        <v>7395</v>
      </c>
      <c r="V4611" s="1" t="s">
        <v>7403</v>
      </c>
      <c r="AR4611" s="1" t="str">
        <f t="shared" ref="AR4611:AR4674" si="292">"| ["&amp;I4611&amp;"]("&amp;I4611&amp;".md) | ["&amp;A4611&amp;"]("&amp;A4611&amp;".md) | "&amp;" | "&amp;R4611&amp;" | "&amp;V4611&amp;" |"</f>
        <v>| [ㄋㄧˋ](ㄋㄧˋ.md) | [匿](匿.md) |  | nì | [動]
1.隱瞞。《書經．盤庚上》：「王播告之修，不匿厥指。」《三國志．卷一五．魏書．司馬朗傳》：「監試者以其身體壯大，疑朗匿年。」
2.隱藏、躲避。如：「逃匿」、「銷聲匿跡」。《呂氏春秋．審應覽．重言》：「桓公、管仲雖善匿，弗能隱矣。」《漢書．卷五二．灌夫傳》：「乃匿其家，竊出上書。」 |</v>
      </c>
    </row>
    <row r="4612" spans="1:44" hidden="1">
      <c r="A4612" s="1" t="s">
        <v>7404</v>
      </c>
      <c r="C4612" s="1">
        <v>1</v>
      </c>
      <c r="D4612" s="1" t="str">
        <f>"03028"</f>
        <v>03028</v>
      </c>
      <c r="E4612" s="1" t="s">
        <v>646</v>
      </c>
      <c r="F4612" s="1">
        <v>15</v>
      </c>
      <c r="G4612" s="1">
        <v>11</v>
      </c>
      <c r="H4612" s="1">
        <v>0</v>
      </c>
      <c r="I4612" s="1" t="s">
        <v>7394</v>
      </c>
      <c r="K4612" s="1" t="str">
        <f t="shared" si="290"/>
        <v>ㄋ</v>
      </c>
      <c r="L4612" s="1" t="str">
        <f t="shared" si="291"/>
        <v>ㄧ</v>
      </c>
      <c r="N4612" s="3" t="s">
        <v>30574</v>
      </c>
      <c r="O4612" s="3"/>
      <c r="P4612" s="1" t="s">
        <v>20</v>
      </c>
      <c r="R4612" s="1" t="s">
        <v>7395</v>
      </c>
      <c r="V4612" s="1" t="s">
        <v>7405</v>
      </c>
      <c r="AR4612" s="1" t="str">
        <f t="shared" si="292"/>
        <v>| [ㄋㄧˋ](ㄋㄧˋ.md) | [暱](暱.md) |  | nì | [動]
親近。如：「親暱」。《左傳．隱公元年》：「不義不暱，厚將崩。」《文選．李康．運命論》：「叔孫豹之暱豎牛也，禍成於庚宗。」 |</v>
      </c>
    </row>
    <row r="4613" spans="1:44" hidden="1">
      <c r="A4613" s="1" t="s">
        <v>7406</v>
      </c>
      <c r="C4613" s="1">
        <v>1</v>
      </c>
      <c r="D4613" s="1" t="str">
        <f>"03029"</f>
        <v>03029</v>
      </c>
      <c r="E4613" s="1" t="s">
        <v>250</v>
      </c>
      <c r="F4613" s="1">
        <v>12</v>
      </c>
      <c r="G4613" s="1">
        <v>8</v>
      </c>
      <c r="H4613" s="1">
        <v>0</v>
      </c>
      <c r="I4613" s="1" t="s">
        <v>7394</v>
      </c>
      <c r="K4613" s="1" t="str">
        <f t="shared" si="290"/>
        <v>ㄋ</v>
      </c>
      <c r="L4613" s="1" t="str">
        <f t="shared" si="291"/>
        <v>ㄧ</v>
      </c>
      <c r="N4613" s="3" t="s">
        <v>30574</v>
      </c>
      <c r="O4613" s="3"/>
      <c r="P4613" s="1" t="s">
        <v>20</v>
      </c>
      <c r="R4613" s="1" t="s">
        <v>7395</v>
      </c>
      <c r="V4613" s="1" t="s">
        <v>7407</v>
      </c>
      <c r="AR4613" s="1" t="str">
        <f t="shared" si="292"/>
        <v>| [ㄋㄧˋ](ㄋㄧˋ.md) | [惄](惄.md) |  | nì | [形]
憂思。《詩經．小雅．小弁》：「我心憂傷，惄焉如擣。」《文選．張衡．思玄賦》：「溫風翕其增熱兮，惄鬱悒其難聊。」 |</v>
      </c>
    </row>
    <row r="4614" spans="1:44" hidden="1">
      <c r="A4614" s="1" t="s">
        <v>7408</v>
      </c>
      <c r="C4614" s="1">
        <v>1</v>
      </c>
      <c r="D4614" s="1" t="str">
        <f>"03030"</f>
        <v>03030</v>
      </c>
      <c r="E4614" s="1" t="s">
        <v>129</v>
      </c>
      <c r="F4614" s="1">
        <v>13</v>
      </c>
      <c r="G4614" s="1">
        <v>10</v>
      </c>
      <c r="H4614" s="1">
        <v>1</v>
      </c>
      <c r="I4614" s="1" t="s">
        <v>7394</v>
      </c>
      <c r="K4614" s="1" t="str">
        <f t="shared" si="290"/>
        <v>ㄋ</v>
      </c>
      <c r="L4614" s="1" t="str">
        <f t="shared" si="291"/>
        <v>ㄧ</v>
      </c>
      <c r="N4614" s="3" t="s">
        <v>30574</v>
      </c>
      <c r="O4614" s="3"/>
      <c r="P4614" s="1" t="s">
        <v>20</v>
      </c>
      <c r="R4614" s="1" t="s">
        <v>7395</v>
      </c>
      <c r="V4614" s="1" t="s">
        <v>7409</v>
      </c>
      <c r="W4614" s="1" t="s">
        <v>7410</v>
      </c>
      <c r="AR4614" s="1" t="str">
        <f t="shared" si="292"/>
        <v>| [ㄋㄧˋ](ㄋㄧˋ.md) | [溺](溺.md) |  | nì | [動]
1.淹沒、沒於水中。如：「溺斃」、「人溺己溺」。《孟子．離婁上》：「嫂溺不援，是豺狼也。」
2.陷於危境中。如：「陷溺」。《孟子．離婁上》：「天下溺，援之以道。」《文選．司馬相如．難蜀父老》：「夫拯民於沉溺，奉至尊之休德。」
3.沉迷無節制。如：「溺於酒色」。南朝梁．劉勰《文心雕龍．神思》：「理鬱者苦貧，辭溺者傷亂。」《新五代史．卷三七．伶官傳．序》：「夫禍患常積於忽微，而智勇多困於所溺，豈獨伶人也哉？」
[副]
過分不當。如：「溺愛」。 |</v>
      </c>
    </row>
    <row r="4615" spans="1:44" hidden="1">
      <c r="A4615" s="1" t="s">
        <v>7411</v>
      </c>
      <c r="C4615" s="1">
        <v>1</v>
      </c>
      <c r="D4615" s="1" t="str">
        <f>"03031"</f>
        <v>03031</v>
      </c>
      <c r="E4615" s="1" t="s">
        <v>1015</v>
      </c>
      <c r="F4615" s="1">
        <v>13</v>
      </c>
      <c r="G4615" s="1">
        <v>8</v>
      </c>
      <c r="H4615" s="1">
        <v>0</v>
      </c>
      <c r="I4615" s="1" t="s">
        <v>7394</v>
      </c>
      <c r="K4615" s="1" t="str">
        <f t="shared" si="290"/>
        <v>ㄋ</v>
      </c>
      <c r="L4615" s="1" t="str">
        <f t="shared" si="291"/>
        <v>ㄧ</v>
      </c>
      <c r="N4615" s="3" t="s">
        <v>30574</v>
      </c>
      <c r="O4615" s="3"/>
      <c r="P4615" s="1" t="s">
        <v>20</v>
      </c>
      <c r="R4615" s="1" t="s">
        <v>7395</v>
      </c>
      <c r="V4615" s="1" t="s">
        <v>7412</v>
      </c>
      <c r="AR4615" s="1" t="str">
        <f t="shared" si="292"/>
        <v>| [ㄋㄧˋ](ㄋㄧˋ.md) | [睨](睨.md) |  | nì | [動]
斜著眼睛看。如：「睥睨」、「睨視」。《史記．卷一〇九．李將軍傳》：「廣佯死，睨其旁有一胡兒騎善馬。」宋．文天祥〈酹江月．水天空闊〉詞：「睨柱吞嬴，回旗走懿，千古衝冠髮。」 |</v>
      </c>
    </row>
    <row r="4616" spans="1:44" hidden="1">
      <c r="A4616" s="1" t="s">
        <v>7413</v>
      </c>
      <c r="C4616" s="1">
        <v>1</v>
      </c>
      <c r="D4616" s="1" t="str">
        <f>"03032"</f>
        <v>03032</v>
      </c>
      <c r="E4616" s="1" t="s">
        <v>68</v>
      </c>
      <c r="F4616" s="1">
        <v>16</v>
      </c>
      <c r="G4616" s="1">
        <v>12</v>
      </c>
      <c r="H4616" s="1">
        <v>0</v>
      </c>
      <c r="I4616" s="1" t="s">
        <v>7394</v>
      </c>
      <c r="K4616" s="1" t="str">
        <f t="shared" si="290"/>
        <v>ㄋ</v>
      </c>
      <c r="L4616" s="1" t="str">
        <f t="shared" si="291"/>
        <v>ㄧ</v>
      </c>
      <c r="N4616" s="3" t="s">
        <v>30574</v>
      </c>
      <c r="O4616" s="3"/>
      <c r="P4616" s="1" t="s">
        <v>20</v>
      </c>
      <c r="R4616" s="1" t="s">
        <v>7395</v>
      </c>
      <c r="V4616" s="1" t="s">
        <v>7414</v>
      </c>
      <c r="AR4616" s="1" t="str">
        <f t="shared" si="292"/>
        <v>| [ㄋㄧˋ](ㄋㄧˋ.md) | [膩](膩.md) |  | nì | [形]
1.食物中油脂多。如：「油膩」、「肥膩」、「這鍋豬腳膩的很。」
2.細緻、滑潤。如：「細膩」、「滑膩」。《楚辭．宋玉．招魂》：「靡顏膩理，遺視矊些。」唐．吳融〈木筆花〉詩：「嫩如新竹管初齊，粉膩紅輕樣可攜。」
3.親近。如：「膩友」。
[名]
汙垢、汙穢。如：「垢膩」。晉．潘岳〈皇女誄〉：「手澤未改，領膩如初。」
[動]
1.黏著、糾纏。如：「小孩子病了，一直膩著媽媽。」
2.因食物中油脂多，使人不想吃。如：「肥肉膩人。」
[副]
厭煩。如：「那些話聽都聽膩了。」、「天天吃肉，你不膩哦！」《紅樓夢》第一九回：「我那裡去呢？見了別人就怪膩的。」 |</v>
      </c>
    </row>
    <row r="4617" spans="1:44" hidden="1">
      <c r="A4617" s="1" t="s">
        <v>7415</v>
      </c>
      <c r="C4617" s="1">
        <v>1</v>
      </c>
      <c r="D4617" s="1" t="str">
        <f>"03033"</f>
        <v>03033</v>
      </c>
      <c r="E4617" s="1" t="s">
        <v>190</v>
      </c>
      <c r="F4617" s="1">
        <v>17</v>
      </c>
      <c r="G4617" s="1">
        <v>14</v>
      </c>
      <c r="H4617" s="1">
        <v>2</v>
      </c>
      <c r="I4617" s="1" t="s">
        <v>7394</v>
      </c>
      <c r="K4617" s="1" t="str">
        <f t="shared" si="290"/>
        <v>ㄋ</v>
      </c>
      <c r="L4617" s="1" t="str">
        <f t="shared" si="291"/>
        <v>ㄧ</v>
      </c>
      <c r="N4617" s="3" t="s">
        <v>30574</v>
      </c>
      <c r="O4617" s="3"/>
      <c r="P4617" s="1" t="s">
        <v>20</v>
      </c>
      <c r="R4617" s="1" t="s">
        <v>7395</v>
      </c>
      <c r="V4617" s="1" t="s">
        <v>7416</v>
      </c>
      <c r="W4617" s="1" t="s">
        <v>7417</v>
      </c>
      <c r="AR4617" s="1" t="str">
        <f t="shared" si="292"/>
        <v>| [ㄋㄧˋ](ㄋㄧˋ.md) | [嶷](嶷.md) |  | nì | 參見「嶷嶷」、「嶷岌」等條。 |</v>
      </c>
    </row>
    <row r="4618" spans="1:44" hidden="1">
      <c r="A4618" s="1" t="s">
        <v>7337</v>
      </c>
      <c r="C4618" s="1">
        <v>1</v>
      </c>
      <c r="D4618" s="1" t="str">
        <f>"02998"</f>
        <v>02998</v>
      </c>
      <c r="E4618" s="1" t="s">
        <v>871</v>
      </c>
      <c r="F4618" s="1">
        <v>5</v>
      </c>
      <c r="G4618" s="1">
        <v>2</v>
      </c>
      <c r="H4618" s="1">
        <v>0</v>
      </c>
      <c r="I4618" s="1" t="s">
        <v>7338</v>
      </c>
      <c r="K4618" s="1" t="str">
        <f t="shared" si="290"/>
        <v>ㄋ</v>
      </c>
      <c r="L4618" s="1" t="str">
        <f t="shared" si="291"/>
        <v>ㄧ</v>
      </c>
      <c r="N4618" s="3" t="s">
        <v>30575</v>
      </c>
      <c r="O4618" s="3"/>
      <c r="P4618" s="1" t="s">
        <v>20</v>
      </c>
      <c r="R4618" s="1" t="s">
        <v>7339</v>
      </c>
      <c r="V4618" s="1" t="s">
        <v>7340</v>
      </c>
      <c r="AR4618" s="1" t="str">
        <f t="shared" si="292"/>
        <v>| [ㄋㄧˊ](ㄋㄧˊ.md) | [尼](尼.md) |  | ní | [名]
1.本是梵語陰性語尾。如比丘尼、沙彌尼。漢語用來泛稱出家女眾。如：「僧尼」、「削髮為尼」。《聊齋志異．卷五．武技》：「纔一交手，尼便呵止。」
2.姓。如明代有尼養德。 |</v>
      </c>
    </row>
    <row r="4619" spans="1:44" hidden="1">
      <c r="A4619" s="1" t="s">
        <v>7341</v>
      </c>
      <c r="C4619" s="1">
        <v>1</v>
      </c>
      <c r="D4619" s="1" t="str">
        <f>"02999"</f>
        <v>02999</v>
      </c>
      <c r="E4619" s="1" t="s">
        <v>129</v>
      </c>
      <c r="F4619" s="1">
        <v>8</v>
      </c>
      <c r="G4619" s="1">
        <v>5</v>
      </c>
      <c r="H4619" s="1">
        <v>1</v>
      </c>
      <c r="I4619" s="1" t="s">
        <v>7338</v>
      </c>
      <c r="K4619" s="1" t="str">
        <f t="shared" si="290"/>
        <v>ㄋ</v>
      </c>
      <c r="L4619" s="1" t="str">
        <f t="shared" si="291"/>
        <v>ㄧ</v>
      </c>
      <c r="N4619" s="3" t="s">
        <v>30575</v>
      </c>
      <c r="O4619" s="3"/>
      <c r="P4619" s="1" t="s">
        <v>20</v>
      </c>
      <c r="R4619" s="1" t="s">
        <v>7339</v>
      </c>
      <c r="V4619" s="1" t="s">
        <v>7342</v>
      </c>
      <c r="W4619" s="1" t="s">
        <v>7343</v>
      </c>
      <c r="AR4619" s="1" t="str">
        <f t="shared" si="292"/>
        <v>| [ㄋㄧˊ](ㄋㄧˊ.md) | [泥](泥.md) |  | ní | [名]
1.水和土的混合物。如：「泥巴」、「汙泥」。《文選．古詩十九首．東城高且長》：「思為雙飛燕，銜泥巢君屋。」《老殘遊記》第一四回：「這裡許多人用蒲包裝泥，預備堵城門。」
2.搗碎、壓碎調勻像泥狀的東西。如：「棗泥」、「印泥」、「芋泥」、「蒜泥」。
[動]
1.沾汙、弄髒。如：「衣服泥了要換掉。」明．湯顯祖《牡丹亭》第一〇齣：「踏草怕泥新繡襪，惜花疼煞小金鈴。」
2.塗飾、塗抹。南朝宋．劉義慶《世說新語．汰侈》：「王以赤石脂泥壁。」宋．范成大〈四時田園雜興〉詩六〇首之五一：「屋上添高一把茅，密泥房壁似僧寮。」 |</v>
      </c>
    </row>
    <row r="4620" spans="1:44" hidden="1">
      <c r="A4620" s="1" t="s">
        <v>7344</v>
      </c>
      <c r="C4620" s="1">
        <v>1</v>
      </c>
      <c r="D4620" s="1" t="str">
        <f>"03000"</f>
        <v>03000</v>
      </c>
      <c r="E4620" s="1" t="s">
        <v>250</v>
      </c>
      <c r="F4620" s="1">
        <v>8</v>
      </c>
      <c r="G4620" s="1">
        <v>5</v>
      </c>
      <c r="H4620" s="1">
        <v>0</v>
      </c>
      <c r="I4620" s="1" t="s">
        <v>7338</v>
      </c>
      <c r="K4620" s="1" t="str">
        <f t="shared" si="290"/>
        <v>ㄋ</v>
      </c>
      <c r="L4620" s="1" t="str">
        <f t="shared" si="291"/>
        <v>ㄧ</v>
      </c>
      <c r="N4620" s="3" t="s">
        <v>30575</v>
      </c>
      <c r="O4620" s="3"/>
      <c r="P4620" s="1" t="s">
        <v>20</v>
      </c>
      <c r="R4620" s="1" t="s">
        <v>7339</v>
      </c>
      <c r="V4620" s="1" t="s">
        <v>7345</v>
      </c>
      <c r="AR4620" s="1" t="str">
        <f t="shared" si="292"/>
        <v>| [ㄋㄧˊ](ㄋㄧˊ.md) | [怩](怩.md) |  | ní | 參見「忸怩」條。 |</v>
      </c>
    </row>
    <row r="4621" spans="1:44" hidden="1">
      <c r="A4621" s="1" t="s">
        <v>7168</v>
      </c>
      <c r="C4621" s="1">
        <v>1</v>
      </c>
      <c r="D4621" s="1" t="str">
        <f>"03001"</f>
        <v>03001</v>
      </c>
      <c r="E4621" s="1" t="s">
        <v>28</v>
      </c>
      <c r="F4621" s="1">
        <v>8</v>
      </c>
      <c r="G4621" s="1">
        <v>5</v>
      </c>
      <c r="H4621" s="1">
        <v>1</v>
      </c>
      <c r="I4621" s="1" t="s">
        <v>7338</v>
      </c>
      <c r="K4621" s="1" t="str">
        <f t="shared" si="290"/>
        <v>ㄋ</v>
      </c>
      <c r="L4621" s="1" t="str">
        <f t="shared" si="291"/>
        <v>ㄧ</v>
      </c>
      <c r="N4621" s="3" t="s">
        <v>30575</v>
      </c>
      <c r="O4621" s="3"/>
      <c r="P4621" s="1" t="s">
        <v>20</v>
      </c>
      <c r="R4621" s="1" t="s">
        <v>7339</v>
      </c>
      <c r="V4621" s="1" t="s">
        <v>7346</v>
      </c>
      <c r="W4621" s="1" t="s">
        <v>7347</v>
      </c>
      <c r="AR4621" s="1" t="str">
        <f t="shared" si="292"/>
        <v>| [ㄋㄧˊ](ㄋㄧˊ.md) | [呢](呢.md) |  | ní | [名]
一種毛織物。如：「呢絨」、「呢料」。也稱為「呢子」。
[形]
參見「呢喃」條。 |</v>
      </c>
    </row>
    <row r="4622" spans="1:44" hidden="1">
      <c r="A4622" s="1" t="s">
        <v>7348</v>
      </c>
      <c r="C4622" s="1">
        <v>1</v>
      </c>
      <c r="D4622" s="1" t="str">
        <f>"03002"</f>
        <v>03002</v>
      </c>
      <c r="E4622" s="1" t="s">
        <v>534</v>
      </c>
      <c r="F4622" s="1">
        <v>8</v>
      </c>
      <c r="G4622" s="1">
        <v>5</v>
      </c>
      <c r="H4622" s="1">
        <v>0</v>
      </c>
      <c r="I4622" s="1" t="s">
        <v>7338</v>
      </c>
      <c r="K4622" s="1" t="str">
        <f t="shared" si="290"/>
        <v>ㄋ</v>
      </c>
      <c r="L4622" s="1" t="str">
        <f t="shared" si="291"/>
        <v>ㄧ</v>
      </c>
      <c r="N4622" s="3" t="s">
        <v>30575</v>
      </c>
      <c r="O4622" s="3"/>
      <c r="P4622" s="1" t="s">
        <v>20</v>
      </c>
      <c r="R4622" s="1" t="s">
        <v>7339</v>
      </c>
      <c r="V4622" s="1" t="s">
        <v>7349</v>
      </c>
      <c r="AR4622" s="1" t="str">
        <f t="shared" si="292"/>
        <v>| [ㄋㄧˊ](ㄋㄧˊ.md) | [妮](妮.md) |  | ní | [名]
1.婢女。如：「婢妮」。《大宋宣和遺事．利集》：「帝觀翫，忽有一妮婢，衣褐衣，口稱韋夫人遣來。」
2.小女孩，有愛憐或鄙視的意思。如：「小妮子」。 |</v>
      </c>
    </row>
    <row r="4623" spans="1:44" hidden="1">
      <c r="A4623" s="1" t="s">
        <v>7350</v>
      </c>
      <c r="C4623" s="1">
        <v>1</v>
      </c>
      <c r="D4623" s="1" t="str">
        <f>"03003"</f>
        <v>03003</v>
      </c>
      <c r="E4623" s="1" t="s">
        <v>55</v>
      </c>
      <c r="F4623" s="1">
        <v>13</v>
      </c>
      <c r="G4623" s="1">
        <v>5</v>
      </c>
      <c r="H4623" s="1">
        <v>0</v>
      </c>
      <c r="I4623" s="1" t="s">
        <v>7338</v>
      </c>
      <c r="K4623" s="1" t="str">
        <f t="shared" si="290"/>
        <v>ㄋ</v>
      </c>
      <c r="L4623" s="1" t="str">
        <f t="shared" si="291"/>
        <v>ㄧ</v>
      </c>
      <c r="N4623" s="3" t="s">
        <v>30575</v>
      </c>
      <c r="O4623" s="3"/>
      <c r="P4623" s="1" t="s">
        <v>20</v>
      </c>
      <c r="R4623" s="1" t="s">
        <v>7339</v>
      </c>
      <c r="V4623" s="1" t="s">
        <v>7351</v>
      </c>
      <c r="AR4623" s="1" t="str">
        <f t="shared" si="292"/>
        <v>| [ㄋㄧˊ](ㄋㄧˊ.md) | [鈮](鈮.md) |  | ní | [名]
（niobium，Nb）化學元素。原子序41。金屬元素之一。銀白色，存於鈮鉭鐵礦，有延展性和良好的超導性。室溫下相當穩定，高溫中能與氧、氫和鹵素反應，可用作除氣劑。主要用於製造耐高溫的合金鋼及真空管，也可用於增加鋼的強度。因可與鈾調和，且能耐鹼金屬腐蝕、不易與熱中子作用，故用於核子反應器的外殼。 |</v>
      </c>
    </row>
    <row r="4624" spans="1:44" hidden="1">
      <c r="A4624" s="1" t="s">
        <v>7352</v>
      </c>
      <c r="C4624" s="1">
        <v>1</v>
      </c>
      <c r="D4624" s="1" t="str">
        <f>"03004"</f>
        <v>03004</v>
      </c>
      <c r="E4624" s="1" t="s">
        <v>3581</v>
      </c>
      <c r="F4624" s="1">
        <v>8</v>
      </c>
      <c r="G4624" s="1">
        <v>6</v>
      </c>
      <c r="H4624" s="1">
        <v>2</v>
      </c>
      <c r="I4624" s="1" t="s">
        <v>7338</v>
      </c>
      <c r="K4624" s="1" t="str">
        <f t="shared" si="290"/>
        <v>ㄋ</v>
      </c>
      <c r="L4624" s="1" t="str">
        <f t="shared" si="291"/>
        <v>ㄧ</v>
      </c>
      <c r="N4624" s="3" t="s">
        <v>30575</v>
      </c>
      <c r="O4624" s="3"/>
      <c r="P4624" s="1" t="s">
        <v>20</v>
      </c>
      <c r="R4624" s="1" t="s">
        <v>7339</v>
      </c>
      <c r="V4624" s="1" t="s">
        <v>7353</v>
      </c>
      <c r="W4624" s="1" t="s">
        <v>7354</v>
      </c>
      <c r="AR4624" s="1" t="str">
        <f t="shared" si="292"/>
        <v>| [ㄋㄧˊ](ㄋㄧˊ.md) | [兒](兒.md) |  | ní | [名]
姓。通「倪」。如漢代有兒寬。 |</v>
      </c>
    </row>
    <row r="4625" spans="1:44" hidden="1">
      <c r="A4625" s="1" t="s">
        <v>7355</v>
      </c>
      <c r="C4625" s="1">
        <v>1</v>
      </c>
      <c r="D4625" s="1" t="str">
        <f>"03005"</f>
        <v>03005</v>
      </c>
      <c r="E4625" s="1" t="s">
        <v>114</v>
      </c>
      <c r="F4625" s="1">
        <v>10</v>
      </c>
      <c r="G4625" s="1">
        <v>8</v>
      </c>
      <c r="H4625" s="1">
        <v>0</v>
      </c>
      <c r="I4625" s="1" t="s">
        <v>7338</v>
      </c>
      <c r="K4625" s="1" t="str">
        <f t="shared" si="290"/>
        <v>ㄋ</v>
      </c>
      <c r="L4625" s="1" t="str">
        <f t="shared" si="291"/>
        <v>ㄧ</v>
      </c>
      <c r="N4625" s="3" t="s">
        <v>30575</v>
      </c>
      <c r="O4625" s="3"/>
      <c r="P4625" s="1" t="s">
        <v>20</v>
      </c>
      <c r="R4625" s="1" t="s">
        <v>7339</v>
      </c>
      <c r="V4625" s="1" t="s">
        <v>7356</v>
      </c>
      <c r="AR4625" s="1" t="str">
        <f t="shared" si="292"/>
        <v>| [ㄋㄧˊ](ㄋㄧˊ.md) | [倪](倪.md) |  | ní | [形]
弱小。《孟子．梁惠王下》：「王速出今，反其旄倪。」
[名]
1.孩童。《舊唐書．卷九．玄宗本紀下》：「於時垂髫之倪，皆知禮讓。」
2.頭緒、際崖。如：「端倪」。《莊子．秋水》：「又何以知毫末之足以定至細之倪。」唐．韓愈〈南海神廟碑〉：「乾端坤倪，軒豁呈露。」
3.姓。如元代有倪瓚。
[代]
吳語。指我、我們。《海上花列傳》第一回：「照應倪妹子，阿有倽勿好。」
[動]
區分。《莊子．秋水》：「惡至而倪貴賤，惡至而倪小大。」 |</v>
      </c>
    </row>
    <row r="4626" spans="1:44" hidden="1">
      <c r="A4626" s="1" t="s">
        <v>7357</v>
      </c>
      <c r="C4626" s="1">
        <v>1</v>
      </c>
      <c r="D4626" s="1" t="str">
        <f>"03006"</f>
        <v>03006</v>
      </c>
      <c r="E4626" s="1" t="s">
        <v>132</v>
      </c>
      <c r="F4626" s="1">
        <v>11</v>
      </c>
      <c r="G4626" s="1">
        <v>8</v>
      </c>
      <c r="H4626" s="1">
        <v>0</v>
      </c>
      <c r="I4626" s="1" t="s">
        <v>7338</v>
      </c>
      <c r="K4626" s="1" t="str">
        <f t="shared" si="290"/>
        <v>ㄋ</v>
      </c>
      <c r="L4626" s="1" t="str">
        <f t="shared" si="291"/>
        <v>ㄧ</v>
      </c>
      <c r="N4626" s="3" t="s">
        <v>30575</v>
      </c>
      <c r="O4626" s="3"/>
      <c r="P4626" s="1" t="s">
        <v>20</v>
      </c>
      <c r="R4626" s="1" t="s">
        <v>7339</v>
      </c>
      <c r="V4626" s="1" t="s">
        <v>2200</v>
      </c>
      <c r="AR4626" s="1" t="str">
        <f t="shared" si="292"/>
        <v>| [ㄋㄧˊ](ㄋㄧˊ.md) | [堄](堄.md) |  | ní | 參見「埤堄」條。 |</v>
      </c>
    </row>
    <row r="4627" spans="1:44" hidden="1">
      <c r="A4627" s="1" t="s">
        <v>7358</v>
      </c>
      <c r="C4627" s="1">
        <v>1</v>
      </c>
      <c r="D4627" s="1" t="str">
        <f>"03007"</f>
        <v>03007</v>
      </c>
      <c r="E4627" s="1" t="s">
        <v>256</v>
      </c>
      <c r="F4627" s="1">
        <v>11</v>
      </c>
      <c r="G4627" s="1">
        <v>8</v>
      </c>
      <c r="H4627" s="1">
        <v>0</v>
      </c>
      <c r="I4627" s="1" t="s">
        <v>7338</v>
      </c>
      <c r="K4627" s="1" t="str">
        <f t="shared" si="290"/>
        <v>ㄋ</v>
      </c>
      <c r="L4627" s="1" t="str">
        <f t="shared" si="291"/>
        <v>ㄧ</v>
      </c>
      <c r="N4627" s="3" t="s">
        <v>30575</v>
      </c>
      <c r="O4627" s="3"/>
      <c r="P4627" s="1" t="s">
        <v>20</v>
      </c>
      <c r="R4627" s="1" t="s">
        <v>7339</v>
      </c>
      <c r="V4627" s="1" t="s">
        <v>7359</v>
      </c>
      <c r="AR4627" s="1" t="str">
        <f t="shared" si="292"/>
        <v>| [ㄋㄧˊ](ㄋㄧˊ.md) | [郳](郳.md) |  | ní | [名]
國名。曹姓，周時邾顏封肥於郳，始建國，為周的附庸，後為楚所滅。故城約在今山東省滕縣，一說在山東省嶧城鎮。也稱為「小邾子」、「小邾婁」。 |</v>
      </c>
    </row>
    <row r="4628" spans="1:44" hidden="1">
      <c r="A4628" s="1" t="s">
        <v>7360</v>
      </c>
      <c r="C4628" s="1">
        <v>1</v>
      </c>
      <c r="D4628" s="1" t="str">
        <f>"03008"</f>
        <v>03008</v>
      </c>
      <c r="E4628" s="1" t="s">
        <v>198</v>
      </c>
      <c r="F4628" s="1">
        <v>11</v>
      </c>
      <c r="G4628" s="1">
        <v>8</v>
      </c>
      <c r="H4628" s="1">
        <v>0</v>
      </c>
      <c r="I4628" s="1" t="s">
        <v>7338</v>
      </c>
      <c r="K4628" s="1" t="str">
        <f t="shared" si="290"/>
        <v>ㄋ</v>
      </c>
      <c r="L4628" s="1" t="str">
        <f t="shared" si="291"/>
        <v>ㄧ</v>
      </c>
      <c r="N4628" s="3" t="s">
        <v>30575</v>
      </c>
      <c r="O4628" s="3"/>
      <c r="P4628" s="1" t="s">
        <v>20</v>
      </c>
      <c r="R4628" s="1" t="s">
        <v>7339</v>
      </c>
      <c r="V4628" s="1" t="s">
        <v>7361</v>
      </c>
      <c r="AR4628" s="1" t="str">
        <f t="shared" si="292"/>
        <v>| [ㄋㄧˊ](ㄋㄧˊ.md) | [猊](猊.md) |  | ní | 參見「狻猊」條。 |</v>
      </c>
    </row>
    <row r="4629" spans="1:44" hidden="1">
      <c r="A4629" s="1" t="s">
        <v>7362</v>
      </c>
      <c r="C4629" s="1">
        <v>1</v>
      </c>
      <c r="D4629" s="1" t="str">
        <f>"03009"</f>
        <v>03009</v>
      </c>
      <c r="E4629" s="1" t="s">
        <v>534</v>
      </c>
      <c r="F4629" s="1">
        <v>11</v>
      </c>
      <c r="G4629" s="1">
        <v>8</v>
      </c>
      <c r="H4629" s="1">
        <v>0</v>
      </c>
      <c r="I4629" s="1" t="s">
        <v>7338</v>
      </c>
      <c r="K4629" s="1" t="str">
        <f t="shared" si="290"/>
        <v>ㄋ</v>
      </c>
      <c r="L4629" s="1" t="str">
        <f t="shared" si="291"/>
        <v>ㄧ</v>
      </c>
      <c r="N4629" s="3" t="s">
        <v>30575</v>
      </c>
      <c r="O4629" s="3"/>
      <c r="P4629" s="1" t="s">
        <v>20</v>
      </c>
      <c r="R4629" s="1" t="s">
        <v>7339</v>
      </c>
      <c r="V4629" s="1" t="s">
        <v>7363</v>
      </c>
      <c r="AR4629" s="1" t="str">
        <f t="shared" si="292"/>
        <v>| [ㄋㄧˊ](ㄋㄧˊ.md) | [婗](婗.md) |  | ní | 參見「嫛婗」條。 |</v>
      </c>
    </row>
    <row r="4630" spans="1:44" hidden="1">
      <c r="A4630" s="1" t="s">
        <v>7364</v>
      </c>
      <c r="C4630" s="1">
        <v>1</v>
      </c>
      <c r="D4630" s="1" t="str">
        <f>"03010"</f>
        <v>03010</v>
      </c>
      <c r="E4630" s="1" t="s">
        <v>71</v>
      </c>
      <c r="F4630" s="1">
        <v>15</v>
      </c>
      <c r="G4630" s="1">
        <v>8</v>
      </c>
      <c r="H4630" s="1">
        <v>0</v>
      </c>
      <c r="I4630" s="1" t="s">
        <v>7338</v>
      </c>
      <c r="K4630" s="1" t="str">
        <f t="shared" si="290"/>
        <v>ㄋ</v>
      </c>
      <c r="L4630" s="1" t="str">
        <f t="shared" si="291"/>
        <v>ㄧ</v>
      </c>
      <c r="N4630" s="3" t="s">
        <v>30575</v>
      </c>
      <c r="O4630" s="3"/>
      <c r="P4630" s="1" t="s">
        <v>20</v>
      </c>
      <c r="R4630" s="1" t="s">
        <v>7339</v>
      </c>
      <c r="V4630" s="1" t="s">
        <v>7365</v>
      </c>
      <c r="AR4630" s="1" t="str">
        <f t="shared" si="292"/>
        <v>| [ㄋㄧˊ](ㄋㄧˊ.md) | [輗](輗.md) |  | ní | [名]
古代大車車轅與橫木相連接的插銷。《說文解字．車部》：「輗，大車轅耑持衡者也。」清．段玉裁．注：「轅與衡相接之關鍵也。」《論語．為政》：「大車無輗，小車無軏，其何以行之哉？」《文選．王襃．四子講德論》：「乘輅而歌，倚輗而聽之。」 |</v>
      </c>
    </row>
    <row r="4631" spans="1:44" hidden="1">
      <c r="A4631" s="1" t="s">
        <v>7366</v>
      </c>
      <c r="C4631" s="1">
        <v>1</v>
      </c>
      <c r="D4631" s="1" t="str">
        <f>"03011"</f>
        <v>03011</v>
      </c>
      <c r="E4631" s="1" t="s">
        <v>125</v>
      </c>
      <c r="F4631" s="1">
        <v>16</v>
      </c>
      <c r="G4631" s="1">
        <v>8</v>
      </c>
      <c r="H4631" s="1">
        <v>0</v>
      </c>
      <c r="I4631" s="1" t="s">
        <v>7338</v>
      </c>
      <c r="K4631" s="1" t="str">
        <f t="shared" si="290"/>
        <v>ㄋ</v>
      </c>
      <c r="L4631" s="1" t="str">
        <f t="shared" si="291"/>
        <v>ㄧ</v>
      </c>
      <c r="N4631" s="3" t="s">
        <v>30575</v>
      </c>
      <c r="O4631" s="3"/>
      <c r="P4631" s="1" t="s">
        <v>20</v>
      </c>
      <c r="R4631" s="1" t="s">
        <v>7339</v>
      </c>
      <c r="V4631" s="1" t="s">
        <v>7367</v>
      </c>
      <c r="AR4631" s="1" t="str">
        <f t="shared" si="292"/>
        <v>| [ㄋㄧˊ](ㄋㄧˊ.md) | [霓](霓.md) |  | ní | [名]
1.與虹同時出現的彩色圓弧外圈。《楚辭．王襃．九懷．蓄英》：「修余兮袿衣，騎霓兮南上。」唐．杜甫〈泛溪〉詩：「練練峰上雪，纖纖雲表霓。」也稱為「副虹」。
2.姓。如明代有霓濟。 |</v>
      </c>
    </row>
    <row r="4632" spans="1:44" hidden="1">
      <c r="A4632" s="1" t="s">
        <v>7368</v>
      </c>
      <c r="C4632" s="1">
        <v>1</v>
      </c>
      <c r="D4632" s="1" t="str">
        <f>"03012"</f>
        <v>03012</v>
      </c>
      <c r="E4632" s="1" t="s">
        <v>1190</v>
      </c>
      <c r="F4632" s="1">
        <v>19</v>
      </c>
      <c r="G4632" s="1">
        <v>8</v>
      </c>
      <c r="H4632" s="1">
        <v>0</v>
      </c>
      <c r="I4632" s="1" t="s">
        <v>7338</v>
      </c>
      <c r="K4632" s="1" t="str">
        <f t="shared" si="290"/>
        <v>ㄋ</v>
      </c>
      <c r="L4632" s="1" t="str">
        <f t="shared" si="291"/>
        <v>ㄧ</v>
      </c>
      <c r="N4632" s="3" t="s">
        <v>30575</v>
      </c>
      <c r="O4632" s="3"/>
      <c r="P4632" s="1" t="s">
        <v>20</v>
      </c>
      <c r="R4632" s="1" t="s">
        <v>7339</v>
      </c>
      <c r="V4632" s="1" t="s">
        <v>7369</v>
      </c>
      <c r="AR4632" s="1" t="str">
        <f t="shared" si="292"/>
        <v>| [ㄋㄧˊ](ㄋㄧˊ.md) | [麑](麑.md) |  | ní | [名]
1.狻麑：即獅子。也作「狻猊」。
2.小鹿。通「麛」。唐．柳宗元〈三戒．臨江之麑〉：「麋麑稍大，忘己之麋也。」 |</v>
      </c>
    </row>
    <row r="4633" spans="1:44" hidden="1">
      <c r="A4633" s="1" t="s">
        <v>7370</v>
      </c>
      <c r="C4633" s="1">
        <v>1</v>
      </c>
      <c r="D4633" s="1" t="str">
        <f>"03013"</f>
        <v>03013</v>
      </c>
      <c r="E4633" s="1" t="s">
        <v>156</v>
      </c>
      <c r="F4633" s="1">
        <v>19</v>
      </c>
      <c r="G4633" s="1">
        <v>8</v>
      </c>
      <c r="H4633" s="1">
        <v>0</v>
      </c>
      <c r="I4633" s="1" t="s">
        <v>7338</v>
      </c>
      <c r="K4633" s="1" t="str">
        <f t="shared" si="290"/>
        <v>ㄋ</v>
      </c>
      <c r="L4633" s="1" t="str">
        <f t="shared" si="291"/>
        <v>ㄧ</v>
      </c>
      <c r="N4633" s="3" t="s">
        <v>30575</v>
      </c>
      <c r="O4633" s="3"/>
      <c r="P4633" s="1" t="s">
        <v>20</v>
      </c>
      <c r="R4633" s="1" t="s">
        <v>7339</v>
      </c>
      <c r="V4633" s="1" t="s">
        <v>7371</v>
      </c>
      <c r="AR4633" s="1" t="str">
        <f t="shared" si="292"/>
        <v>| [ㄋㄧˊ](ㄋㄧˊ.md) | [鯢](鯢.md) |  | ní | 參見「鯢魚」條。 |</v>
      </c>
    </row>
    <row r="4634" spans="1:44" hidden="1">
      <c r="A4634" s="1" t="s">
        <v>7372</v>
      </c>
      <c r="C4634" s="1">
        <v>1</v>
      </c>
      <c r="D4634" s="1" t="str">
        <f>"03014"</f>
        <v>03014</v>
      </c>
      <c r="E4634" s="1" t="s">
        <v>592</v>
      </c>
      <c r="F4634" s="1">
        <v>23</v>
      </c>
      <c r="G4634" s="1">
        <v>8</v>
      </c>
      <c r="H4634" s="1">
        <v>0</v>
      </c>
      <c r="I4634" s="1" t="s">
        <v>7338</v>
      </c>
      <c r="K4634" s="1" t="str">
        <f t="shared" si="290"/>
        <v>ㄋ</v>
      </c>
      <c r="L4634" s="1" t="str">
        <f t="shared" si="291"/>
        <v>ㄧ</v>
      </c>
      <c r="N4634" s="3" t="s">
        <v>30575</v>
      </c>
      <c r="O4634" s="3"/>
      <c r="P4634" s="1" t="s">
        <v>20</v>
      </c>
      <c r="R4634" s="1" t="s">
        <v>7339</v>
      </c>
      <c r="V4634" s="1" t="s">
        <v>7373</v>
      </c>
      <c r="AR4634" s="1" t="str">
        <f t="shared" si="292"/>
        <v>| [ㄋㄧˊ](ㄋㄧˊ.md) | [齯](齯.md) |  | ní | [名]
老人齒落後再生的新牙，為長壽的象徵。宋．蘇軾〈青溪〉詞：「朝市合兮雜耄齯，挾簞瓢兮佩鋤犁。」也稱為「齯齒」。 |</v>
      </c>
    </row>
    <row r="4635" spans="1:44" hidden="1">
      <c r="A4635" s="1" t="s">
        <v>7374</v>
      </c>
      <c r="C4635" s="1">
        <v>1</v>
      </c>
      <c r="D4635" s="1" t="str">
        <f>"03015"</f>
        <v>03015</v>
      </c>
      <c r="E4635" s="1" t="s">
        <v>114</v>
      </c>
      <c r="F4635" s="1">
        <v>7</v>
      </c>
      <c r="G4635" s="1">
        <v>5</v>
      </c>
      <c r="H4635" s="1">
        <v>0</v>
      </c>
      <c r="I4635" s="1" t="s">
        <v>7375</v>
      </c>
      <c r="K4635" s="1" t="str">
        <f t="shared" si="290"/>
        <v>ㄋ</v>
      </c>
      <c r="L4635" s="1" t="str">
        <f t="shared" si="291"/>
        <v>ㄧ</v>
      </c>
      <c r="N4635" s="3" t="s">
        <v>30576</v>
      </c>
      <c r="O4635" s="3"/>
      <c r="P4635" s="1" t="s">
        <v>20</v>
      </c>
      <c r="R4635" s="1" t="s">
        <v>7376</v>
      </c>
      <c r="V4635" s="1" t="s">
        <v>7377</v>
      </c>
      <c r="AR4635" s="1" t="str">
        <f t="shared" si="292"/>
        <v>| [ㄋㄧˇ](ㄋㄧˇ.md) | [你](你.md) |  | nǐ | [代]
第二人稱，亦指對方。如：「你好嗎」、「你死我活」。《周書．卷五〇．異域傳下．突厥傳》：「你能作幾年可汗？」《老殘遊記》第一三回：「你瞧！這孩子傻不傻？」 |</v>
      </c>
    </row>
    <row r="4636" spans="1:44" hidden="1">
      <c r="A4636" s="1" t="s">
        <v>7378</v>
      </c>
      <c r="C4636" s="1">
        <v>1</v>
      </c>
      <c r="D4636" s="1" t="str">
        <f>"03016"</f>
        <v>03016</v>
      </c>
      <c r="E4636" s="1" t="s">
        <v>534</v>
      </c>
      <c r="F4636" s="1">
        <v>8</v>
      </c>
      <c r="G4636" s="1">
        <v>5</v>
      </c>
      <c r="H4636" s="1">
        <v>0</v>
      </c>
      <c r="I4636" s="1" t="s">
        <v>7375</v>
      </c>
      <c r="K4636" s="1" t="str">
        <f t="shared" si="290"/>
        <v>ㄋ</v>
      </c>
      <c r="L4636" s="1" t="str">
        <f t="shared" si="291"/>
        <v>ㄧ</v>
      </c>
      <c r="N4636" s="3" t="s">
        <v>30576</v>
      </c>
      <c r="O4636" s="3"/>
      <c r="P4636" s="1" t="s">
        <v>20</v>
      </c>
      <c r="R4636" s="1" t="s">
        <v>7376</v>
      </c>
      <c r="V4636" s="1" t="s">
        <v>7379</v>
      </c>
      <c r="AR4636" s="1" t="str">
        <f t="shared" si="292"/>
        <v>| [ㄋㄧˇ](ㄋㄧˇ.md) | [妳](妳.md) |  | nǐ | [名]_x000D_
母。宋．梁克家《淳熙三山志．卷四〇．土俗類二．&amp;f2f82_.png;時．元日》：「序拜：……農、販下戶：『罷』呼父，『妳』呼母，其黨類及在巳下，呼之曰『叔』、『伯』，曰『嫂』。」元． 蕭德祥《殺狗勸夫》第一折：「現如今爹爹、妳妳都亡盡，但願哥哥、嫂嫂休嗔忿。」_x000D_
[代]_x000D_
用於女性的第二人稱。 |</v>
      </c>
    </row>
    <row r="4637" spans="1:44" hidden="1">
      <c r="A4637" s="1" t="s">
        <v>7380</v>
      </c>
      <c r="C4637" s="1">
        <v>1</v>
      </c>
      <c r="D4637" s="1" t="str">
        <f>"03017"</f>
        <v>03017</v>
      </c>
      <c r="E4637" s="1" t="s">
        <v>139</v>
      </c>
      <c r="F4637" s="1">
        <v>9</v>
      </c>
      <c r="G4637" s="1">
        <v>5</v>
      </c>
      <c r="H4637" s="1">
        <v>0</v>
      </c>
      <c r="I4637" s="1" t="s">
        <v>7375</v>
      </c>
      <c r="K4637" s="1" t="str">
        <f t="shared" si="290"/>
        <v>ㄋ</v>
      </c>
      <c r="L4637" s="1" t="str">
        <f t="shared" si="291"/>
        <v>ㄧ</v>
      </c>
      <c r="N4637" s="3" t="s">
        <v>30576</v>
      </c>
      <c r="O4637" s="3"/>
      <c r="P4637" s="1" t="s">
        <v>20</v>
      </c>
      <c r="R4637" s="1" t="s">
        <v>7376</v>
      </c>
      <c r="V4637" s="1" t="s">
        <v>7381</v>
      </c>
      <c r="AR4637" s="1" t="str">
        <f t="shared" si="292"/>
        <v>| [ㄋㄧˇ](ㄋㄧˇ.md) | [柅](柅.md) |  | nǐ | [名]
置於車下阻止車子行進的木頭。《易經．姤卦．初六》：「繫于金柅。」唐．劉禹錫〈絕編生墓表〉：「制動也有柅，變道也亡方。」金．劉迎〈晚到八達嶺下達旦乃止〉詩：「行行非我令，柅亦豈吾使。」
[動]
阻止、遏止。唐．白居易〈不能忘情吟．序〉：「事來攪情，情動不可柅。」《舊五代史．卷九三．晉書．盧質等傳．史臣曰》：「唯玉羽之貞退，雲叟之肥遯，足可以柅奔競之風，激高尚之節也。」 |</v>
      </c>
    </row>
    <row r="4638" spans="1:44" hidden="1">
      <c r="A4638" s="1" t="s">
        <v>7382</v>
      </c>
      <c r="C4638" s="1">
        <v>1</v>
      </c>
      <c r="D4638" s="1" t="str">
        <f>"03018"</f>
        <v>03018</v>
      </c>
      <c r="E4638" s="1" t="s">
        <v>800</v>
      </c>
      <c r="F4638" s="1">
        <v>11</v>
      </c>
      <c r="G4638" s="1">
        <v>7</v>
      </c>
      <c r="H4638" s="1">
        <v>0</v>
      </c>
      <c r="I4638" s="1" t="s">
        <v>7375</v>
      </c>
      <c r="K4638" s="1" t="str">
        <f t="shared" si="290"/>
        <v>ㄋ</v>
      </c>
      <c r="L4638" s="1" t="str">
        <f t="shared" si="291"/>
        <v>ㄧ</v>
      </c>
      <c r="N4638" s="3" t="s">
        <v>30576</v>
      </c>
      <c r="O4638" s="3"/>
      <c r="P4638" s="1" t="s">
        <v>20</v>
      </c>
      <c r="R4638" s="1" t="s">
        <v>7376</v>
      </c>
      <c r="V4638" s="1" t="s">
        <v>7383</v>
      </c>
      <c r="AR4638" s="1" t="str">
        <f t="shared" si="292"/>
        <v>| [ㄋㄧˇ](ㄋㄧˇ.md) | [旎](旎.md) |  | nǐ | 參見「旎旎」、「旖旎」等條。 |</v>
      </c>
    </row>
    <row r="4639" spans="1:44" hidden="1">
      <c r="A4639" s="1" t="s">
        <v>7384</v>
      </c>
      <c r="C4639" s="1">
        <v>1</v>
      </c>
      <c r="D4639" s="1" t="str">
        <f>"03019"</f>
        <v>03019</v>
      </c>
      <c r="E4639" s="1" t="s">
        <v>241</v>
      </c>
      <c r="F4639" s="1">
        <v>13</v>
      </c>
      <c r="G4639" s="1">
        <v>10</v>
      </c>
      <c r="H4639" s="1">
        <v>0</v>
      </c>
      <c r="I4639" s="1" t="s">
        <v>7375</v>
      </c>
      <c r="K4639" s="1" t="str">
        <f t="shared" si="290"/>
        <v>ㄋ</v>
      </c>
      <c r="L4639" s="1" t="str">
        <f t="shared" si="291"/>
        <v>ㄧ</v>
      </c>
      <c r="N4639" s="3" t="s">
        <v>30576</v>
      </c>
      <c r="O4639" s="3"/>
      <c r="P4639" s="1" t="s">
        <v>20</v>
      </c>
      <c r="R4639" s="1" t="s">
        <v>7376</v>
      </c>
      <c r="V4639" s="1" t="s">
        <v>7385</v>
      </c>
      <c r="AR4639" s="1" t="str">
        <f t="shared" si="292"/>
        <v>| [ㄋㄧˇ](ㄋㄧˇ.md) | [孴](孴.md) |  | nǐ | [形]
眾多。《文選．王延壽．魯靈光殿賦》：「芝栭羅以戢孴，枝牚杈枒而斜據。」 |</v>
      </c>
    </row>
    <row r="4640" spans="1:44" hidden="1">
      <c r="A4640" s="1" t="s">
        <v>7386</v>
      </c>
      <c r="C4640" s="1">
        <v>1</v>
      </c>
      <c r="D4640" s="1" t="str">
        <f>"03020"</f>
        <v>03020</v>
      </c>
      <c r="E4640" s="1" t="s">
        <v>114</v>
      </c>
      <c r="F4640" s="1">
        <v>16</v>
      </c>
      <c r="G4640" s="1">
        <v>14</v>
      </c>
      <c r="H4640" s="1">
        <v>0</v>
      </c>
      <c r="I4640" s="1" t="s">
        <v>7375</v>
      </c>
      <c r="K4640" s="1" t="str">
        <f t="shared" si="290"/>
        <v>ㄋ</v>
      </c>
      <c r="L4640" s="1" t="str">
        <f t="shared" si="291"/>
        <v>ㄧ</v>
      </c>
      <c r="N4640" s="3" t="s">
        <v>30576</v>
      </c>
      <c r="O4640" s="3"/>
      <c r="P4640" s="1" t="s">
        <v>20</v>
      </c>
      <c r="R4640" s="1" t="s">
        <v>7376</v>
      </c>
      <c r="V4640" s="1" t="s">
        <v>7387</v>
      </c>
      <c r="AR4640" s="1" t="str">
        <f t="shared" si="292"/>
        <v>| [ㄋㄧˇ](ㄋㄧˇ.md) | [儗](儗.md) |  | nǐ | [動]
1.僭越、超過。如：「僭儗」。《漢書．卷四七．文三王傳．梁孝王劉武傳》：「出稱警，入言蹕，儗於天子。」《新唐書．卷二四．車服志》：「武德四年，始著車輿、衣服之令，上得兼下，下不得儗上。」
2.比擬。通「擬」。《禮記．曲禮下》：「儗人必於其倫。」《漢書．卷二九．溝洫志》：「且褒斜材木竹箭之饒，儗於巴蜀。」
3.摹仿、仿照。《新唐書．卷二二四．叛臣傳下．高駢傳》：「新聲度曲，以儗鈞天。」宋．陸游〈秋晚歲登戲作〉詩：「菊花香滿把，聊得儗陶潛。」 |</v>
      </c>
    </row>
    <row r="4641" spans="1:44" hidden="1">
      <c r="A4641" s="1" t="s">
        <v>7388</v>
      </c>
      <c r="C4641" s="1">
        <v>1</v>
      </c>
      <c r="D4641" s="1" t="str">
        <f>"03021"</f>
        <v>03021</v>
      </c>
      <c r="E4641" s="1" t="s">
        <v>24</v>
      </c>
      <c r="F4641" s="1">
        <v>17</v>
      </c>
      <c r="G4641" s="1">
        <v>14</v>
      </c>
      <c r="H4641" s="1">
        <v>0</v>
      </c>
      <c r="I4641" s="1" t="s">
        <v>7375</v>
      </c>
      <c r="K4641" s="1" t="str">
        <f t="shared" si="290"/>
        <v>ㄋ</v>
      </c>
      <c r="L4641" s="1" t="str">
        <f t="shared" si="291"/>
        <v>ㄧ</v>
      </c>
      <c r="N4641" s="3" t="s">
        <v>30576</v>
      </c>
      <c r="O4641" s="3"/>
      <c r="P4641" s="1" t="s">
        <v>20</v>
      </c>
      <c r="R4641" s="1" t="s">
        <v>7376</v>
      </c>
      <c r="V4641" s="1" t="s">
        <v>7389</v>
      </c>
      <c r="AR4641" s="1" t="str">
        <f t="shared" si="292"/>
        <v>| [ㄋㄧˇ](ㄋㄧˇ.md) | [擬](擬.md) |  | nǐ | [動]
1.揣度、估量。《易經．繫辭上》：「擬之而後言，議之而後動，擬議以成其變化。」《紅樓夢》第九四回：「究竟那些人能彀回家不能，未知著落，亦難虛擬。」
2.比照、相比。《荀子．不苟》：「言已之光美，擬於舜禹，參於天地，非夸誕也。」南朝梁．沈約〈長安有狹斜行〉：「咸陽不足稱，臨淄孰能擬。」
3.摹擬、仿效。南朝宋．劉義慶《世說新語．言語》：「撒鹽空中差可擬。」《紅樓夢》第四五回：「遂成『代別離』一首，擬『春江花月夜』之格，乃名其詞曰『秋窗風雨夕』。」
4.比劃。《漢書．卷五四．蘇建傳》：「復舉劍擬之，武不動。」
5.打算、想要。唐．秦韜玉〈貧女〉詩：「蓬門未識綺羅香，擬托良媒益自傷。」宋．李清照〈武陵春．風住塵香花已盡〉詞：「聞說雙溪春尚好，也擬泛輕舟。」
6.起草、編寫。如：「草擬」、「如擬」。《醒世恆言．卷二五．獨孤生歸途鬧夢》：「那白氏把心中之事，擬成歌曲。」 |</v>
      </c>
    </row>
    <row r="4642" spans="1:44" hidden="1">
      <c r="A4642" s="1" t="s">
        <v>7390</v>
      </c>
      <c r="C4642" s="1">
        <v>1</v>
      </c>
      <c r="D4642" s="1" t="str">
        <f>"03022"</f>
        <v>03022</v>
      </c>
      <c r="E4642" s="1" t="s">
        <v>37</v>
      </c>
      <c r="F4642" s="1">
        <v>18</v>
      </c>
      <c r="G4642" s="1">
        <v>14</v>
      </c>
      <c r="H4642" s="1">
        <v>0</v>
      </c>
      <c r="I4642" s="1" t="s">
        <v>7375</v>
      </c>
      <c r="K4642" s="1" t="str">
        <f t="shared" si="290"/>
        <v>ㄋ</v>
      </c>
      <c r="L4642" s="1" t="str">
        <f t="shared" si="291"/>
        <v>ㄧ</v>
      </c>
      <c r="N4642" s="3" t="s">
        <v>30576</v>
      </c>
      <c r="O4642" s="3"/>
      <c r="P4642" s="1" t="s">
        <v>20</v>
      </c>
      <c r="R4642" s="1" t="s">
        <v>7376</v>
      </c>
      <c r="V4642" s="1" t="s">
        <v>7391</v>
      </c>
      <c r="AR4642" s="1" t="str">
        <f t="shared" si="292"/>
        <v>| [ㄋㄧˇ](ㄋㄧˇ.md) | [薿](薿.md) |  | nǐ | 參見「薿薿」條。 |</v>
      </c>
    </row>
    <row r="4643" spans="1:44" hidden="1">
      <c r="A4643" s="1" t="s">
        <v>3381</v>
      </c>
      <c r="C4643" s="1">
        <v>1</v>
      </c>
      <c r="D4643" s="1" t="str">
        <f>"03023"</f>
        <v>03023</v>
      </c>
      <c r="E4643" s="1" t="s">
        <v>825</v>
      </c>
      <c r="F4643" s="1">
        <v>19</v>
      </c>
      <c r="G4643" s="1">
        <v>14</v>
      </c>
      <c r="H4643" s="1">
        <v>1</v>
      </c>
      <c r="I4643" s="1" t="s">
        <v>7375</v>
      </c>
      <c r="K4643" s="1" t="str">
        <f t="shared" si="290"/>
        <v>ㄋ</v>
      </c>
      <c r="L4643" s="1" t="str">
        <f t="shared" si="291"/>
        <v>ㄧ</v>
      </c>
      <c r="N4643" s="3" t="s">
        <v>30576</v>
      </c>
      <c r="O4643" s="3"/>
      <c r="P4643" s="1" t="s">
        <v>20</v>
      </c>
      <c r="R4643" s="1" t="s">
        <v>7376</v>
      </c>
      <c r="V4643" s="1" t="s">
        <v>7392</v>
      </c>
      <c r="W4643" s="1" t="s">
        <v>7393</v>
      </c>
      <c r="AR4643" s="1" t="str">
        <f t="shared" si="292"/>
        <v>| [ㄋㄧˇ](ㄋㄧˇ.md) | [禰](禰.md) |  | nǐ | [名]
1.先父的祠廟。《公羊傳．隱公元年》：「惠公者何，隱之考也。」漢．何休．解詁：「生稱父，死稱考，入廟稱禰。」
2.地名。春秋時鄭地。故址約在今大陸地區山東省荷澤縣西。 |</v>
      </c>
    </row>
    <row r="4644" spans="1:44" hidden="1">
      <c r="A4644" s="1" t="s">
        <v>7664</v>
      </c>
      <c r="C4644" s="1">
        <v>1</v>
      </c>
      <c r="D4644" s="1" t="str">
        <f>"03129"</f>
        <v>03129</v>
      </c>
      <c r="E4644" s="1" t="s">
        <v>250</v>
      </c>
      <c r="F4644" s="1">
        <v>9</v>
      </c>
      <c r="G4644" s="1">
        <v>5</v>
      </c>
      <c r="H4644" s="1">
        <v>0</v>
      </c>
      <c r="I4644" s="1" t="s">
        <v>7665</v>
      </c>
      <c r="K4644" s="1" t="str">
        <f t="shared" si="290"/>
        <v>ㄋ</v>
      </c>
      <c r="L4644" s="1" t="str">
        <f t="shared" si="291"/>
        <v>ㄨ</v>
      </c>
      <c r="N4644" s="3" t="s">
        <v>30574</v>
      </c>
      <c r="O4644" s="3"/>
      <c r="P4644" s="1" t="s">
        <v>20</v>
      </c>
      <c r="R4644" s="1" t="s">
        <v>7666</v>
      </c>
      <c r="V4644" s="1" t="s">
        <v>7667</v>
      </c>
      <c r="AR4644" s="1" t="str">
        <f t="shared" si="292"/>
        <v>| [ㄋㄨˋ](ㄋㄨˋ.md) | [怒](怒.md) |  | nù | [動]
1.氣憤、生氣。如：「怒嗔」、「憤怒」、「惱怒」。《淮南子．天文》：「怒而觸不周之山，天柱折，地維絕。」唐．杜甫〈石壕吏〉詩：「吏呼一何怒，婦啼一何苦！」
2.譴責。《韓非子．五蠹》：「今有不才之子，父母怒之弗為改。」《禮記．內則》：「姑教之，若不可教而後怒之。」漢．鄭玄．注：「怒，譴責也。」
[名]
憤怒的情緒。如：「惱羞成怒」。《論語．雍也》：「不遷怒，不貳過。」
[形]
1.氣憤的、憤怒的。如：「怒氣衝天」、「怒火攻心」。
2.強健、雄勁。《後漢書．卷六七．黨錮傳．賈彪傳》：「賈氏三虎，偉節最怒。」唐．段成式《酉陽雜俎續集．卷五．寺塔記》：「吳道子白晝地獄變，筆力勁怒。」
3.聲勢浩大、勁急。如：「怒濤」、「怒潮洶湧」。
[副]
1.旺盛。如：「心花怒放」。《莊子．外物》：「草木怒生。」
2.奮發。《莊子．逍遙遊》：「怒而飛，其翼若垂天之雲。」唐．韓愈〈燕河南府秀才得生字〉詩：「怒起簸羽翮，引吭吐鏗轟。」 |</v>
      </c>
    </row>
    <row r="4645" spans="1:44" hidden="1">
      <c r="A4645" s="1" t="s">
        <v>7668</v>
      </c>
      <c r="C4645" s="1">
        <v>1</v>
      </c>
      <c r="D4645" s="1" t="str">
        <f>"03130"</f>
        <v>03130</v>
      </c>
      <c r="E4645" s="1" t="s">
        <v>114</v>
      </c>
      <c r="F4645" s="1">
        <v>12</v>
      </c>
      <c r="G4645" s="1">
        <v>10</v>
      </c>
      <c r="H4645" s="1">
        <v>0</v>
      </c>
      <c r="I4645" s="1" t="s">
        <v>7665</v>
      </c>
      <c r="K4645" s="1" t="str">
        <f t="shared" si="290"/>
        <v>ㄋ</v>
      </c>
      <c r="L4645" s="1" t="str">
        <f t="shared" si="291"/>
        <v>ㄨ</v>
      </c>
      <c r="N4645" s="3" t="s">
        <v>30574</v>
      </c>
      <c r="O4645" s="3"/>
      <c r="P4645" s="1" t="s">
        <v>20</v>
      </c>
      <c r="R4645" s="1" t="s">
        <v>7666</v>
      </c>
      <c r="V4645" s="1" t="s">
        <v>7669</v>
      </c>
      <c r="AR4645" s="1" t="str">
        <f t="shared" si="292"/>
        <v>| [ㄋㄨˋ](ㄋㄨˋ.md) | [傉](傉.md) |  | nù | [名]
姓。有三字姓庫傉官，後改為庫姓。 |</v>
      </c>
    </row>
    <row r="4646" spans="1:44" hidden="1">
      <c r="A4646" s="1" t="s">
        <v>7644</v>
      </c>
      <c r="C4646" s="1">
        <v>1</v>
      </c>
      <c r="D4646" s="1" t="str">
        <f>"03121"</f>
        <v>03121</v>
      </c>
      <c r="E4646" s="1" t="s">
        <v>534</v>
      </c>
      <c r="F4646" s="1">
        <v>5</v>
      </c>
      <c r="G4646" s="1">
        <v>2</v>
      </c>
      <c r="H4646" s="1">
        <v>0</v>
      </c>
      <c r="I4646" s="1" t="s">
        <v>7645</v>
      </c>
      <c r="K4646" s="1" t="str">
        <f t="shared" si="290"/>
        <v>ㄋ</v>
      </c>
      <c r="L4646" s="1" t="str">
        <f t="shared" si="291"/>
        <v>ㄨ</v>
      </c>
      <c r="N4646" s="3" t="s">
        <v>30575</v>
      </c>
      <c r="O4646" s="3"/>
      <c r="P4646" s="1" t="s">
        <v>20</v>
      </c>
      <c r="R4646" s="1" t="s">
        <v>7646</v>
      </c>
      <c r="V4646" s="1" t="s">
        <v>7647</v>
      </c>
      <c r="AR4646" s="1" t="str">
        <f t="shared" si="292"/>
        <v>| [ㄋㄨˊ](ㄋㄨˊ.md) | [奴](奴.md) |  | nú | [名]
1.古代本指獲罪入官服雜役的人，後泛指奴僕。如：「奴隸」、「奴婢」。《論語．微子》：「箕子為之奴，比干諫而死。」唐．杜甫〈哀王孫〉詩：「問之不肯道姓名，但道困苦乞為奴。」
2.男女自稱的謙詞。如：「奴家」。《敦煌變文集新書．卷五．王昭君變文》：「遠指白雲呼且住，聽奴一曲別鄉關。」明．高明《琵琶記．五娘勸解公婆爭吵》：「奴自有些金珠，解當充糧米。」
3.對人鄙視、輕蔑的稱呼。如：「守財奴」、「賣國奴」。《晉書．卷一〇三．劉曜載記》：「叛逆胡奴！要當生縛此奴，然後斬劉貢。」
4.姓。如明代有奴管。
[動]
驅使、役使。如：「奴役」。唐．韓愈〈原道〉：「入者主之，出者奴之。」 |</v>
      </c>
    </row>
    <row r="4647" spans="1:44" hidden="1">
      <c r="A4647" s="1" t="s">
        <v>6357</v>
      </c>
      <c r="C4647" s="1">
        <v>1</v>
      </c>
      <c r="D4647" s="1" t="str">
        <f>"03122"</f>
        <v>03122</v>
      </c>
      <c r="E4647" s="1" t="s">
        <v>222</v>
      </c>
      <c r="F4647" s="1">
        <v>8</v>
      </c>
      <c r="G4647" s="1">
        <v>5</v>
      </c>
      <c r="H4647" s="1">
        <v>1</v>
      </c>
      <c r="I4647" s="1" t="s">
        <v>7645</v>
      </c>
      <c r="K4647" s="1" t="str">
        <f t="shared" si="290"/>
        <v>ㄋ</v>
      </c>
      <c r="L4647" s="1" t="str">
        <f t="shared" si="291"/>
        <v>ㄨ</v>
      </c>
      <c r="N4647" s="3" t="s">
        <v>30575</v>
      </c>
      <c r="O4647" s="3"/>
      <c r="P4647" s="1" t="s">
        <v>20</v>
      </c>
      <c r="R4647" s="1" t="s">
        <v>7646</v>
      </c>
      <c r="V4647" s="1" t="s">
        <v>7648</v>
      </c>
      <c r="W4647" s="1" t="s">
        <v>7649</v>
      </c>
      <c r="AR4647" s="1" t="str">
        <f t="shared" si="292"/>
        <v>| [ㄋㄨˊ](ㄋㄨˊ.md) | [帑](帑.md) |  | nú | [名]
1.兒子、子孫。通「孥」。《詩經．小雅．常棣》：「宜爾室家，樂爾妻帑。」漢．毛亨．傳：「帑，子也。」
2.妻與子的合稱。通「孥」。《左傳．文公六年》：「賈季奔狄，宣子使臾駢送其帑。」晉．杜預．注：「帑，妻子也。」 |</v>
      </c>
    </row>
    <row r="4648" spans="1:44" hidden="1">
      <c r="A4648" s="1" t="s">
        <v>7650</v>
      </c>
      <c r="C4648" s="1">
        <v>1</v>
      </c>
      <c r="D4648" s="1" t="str">
        <f>"03123"</f>
        <v>03123</v>
      </c>
      <c r="E4648" s="1" t="s">
        <v>241</v>
      </c>
      <c r="F4648" s="1">
        <v>8</v>
      </c>
      <c r="G4648" s="1">
        <v>5</v>
      </c>
      <c r="H4648" s="1">
        <v>0</v>
      </c>
      <c r="I4648" s="1" t="s">
        <v>7645</v>
      </c>
      <c r="K4648" s="1" t="str">
        <f t="shared" si="290"/>
        <v>ㄋ</v>
      </c>
      <c r="L4648" s="1" t="str">
        <f t="shared" si="291"/>
        <v>ㄨ</v>
      </c>
      <c r="N4648" s="3" t="s">
        <v>30575</v>
      </c>
      <c r="O4648" s="3"/>
      <c r="P4648" s="1" t="s">
        <v>20</v>
      </c>
      <c r="R4648" s="1" t="s">
        <v>7646</v>
      </c>
      <c r="V4648" s="1" t="s">
        <v>7651</v>
      </c>
      <c r="AR4648" s="1" t="str">
        <f t="shared" si="292"/>
        <v>| [ㄋㄨˊ](ㄋㄨˊ.md) | [孥](孥.md) |  | nú | [名]
1.兒女。如：「妻孥」。《國語．鄭語》：「君若以周難之故，寄孥與賄焉，不敢不許。」宋．秦觀〈贈張潛道〉詩：「獨攜三尺琴，笑別妻與孥。」
2.妻與子女的統稱。唐．韓愈〈祭十二郎文〉：「請歸取其孥。」
3.古代獲罪入官供役使的人，後泛指奴僕。通「奴」。《後漢書．卷四八．楊終傳》：「太宗至仁，除去收孥。」宋．蘇轍〈次韻子瞻遊孤山訪惠懃惠思〉詩：「肩輿山下更傳呼，翩然獨往不攜孥。」 |</v>
      </c>
    </row>
    <row r="4649" spans="1:44" hidden="1">
      <c r="A4649" s="1" t="s">
        <v>7652</v>
      </c>
      <c r="C4649" s="1">
        <v>1</v>
      </c>
      <c r="D4649" s="1" t="str">
        <f>"03124"</f>
        <v>03124</v>
      </c>
      <c r="E4649" s="1" t="s">
        <v>49</v>
      </c>
      <c r="F4649" s="1">
        <v>11</v>
      </c>
      <c r="G4649" s="1">
        <v>5</v>
      </c>
      <c r="H4649" s="1">
        <v>0</v>
      </c>
      <c r="I4649" s="1" t="s">
        <v>7645</v>
      </c>
      <c r="K4649" s="1" t="str">
        <f t="shared" si="290"/>
        <v>ㄋ</v>
      </c>
      <c r="L4649" s="1" t="str">
        <f t="shared" si="291"/>
        <v>ㄨ</v>
      </c>
      <c r="N4649" s="3" t="s">
        <v>30575</v>
      </c>
      <c r="O4649" s="3"/>
      <c r="P4649" s="1" t="s">
        <v>20</v>
      </c>
      <c r="R4649" s="1" t="s">
        <v>7646</v>
      </c>
      <c r="V4649" s="1" t="s">
        <v>7653</v>
      </c>
      <c r="AR4649" s="1" t="str">
        <f t="shared" si="292"/>
        <v>| [ㄋㄨˊ](ㄋㄨˊ.md) | [笯](笯.md) |  | nú | [名]
鳥籠。《說文解字．竹部》：「笯，鳥籠也。」《楚辭．屈原．九章．懷沙》：「鳳皇在笯兮，雞鶩翔舞。」 |</v>
      </c>
    </row>
    <row r="4650" spans="1:44" hidden="1">
      <c r="A4650" s="1" t="s">
        <v>7654</v>
      </c>
      <c r="C4650" s="1">
        <v>1</v>
      </c>
      <c r="D4650" s="1" t="str">
        <f>"03125"</f>
        <v>03125</v>
      </c>
      <c r="E4650" s="1" t="s">
        <v>319</v>
      </c>
      <c r="F4650" s="1">
        <v>15</v>
      </c>
      <c r="G4650" s="1">
        <v>5</v>
      </c>
      <c r="H4650" s="1">
        <v>0</v>
      </c>
      <c r="I4650" s="1" t="s">
        <v>7645</v>
      </c>
      <c r="K4650" s="1" t="str">
        <f t="shared" si="290"/>
        <v>ㄋ</v>
      </c>
      <c r="L4650" s="1" t="str">
        <f t="shared" si="291"/>
        <v>ㄨ</v>
      </c>
      <c r="N4650" s="3" t="s">
        <v>30575</v>
      </c>
      <c r="O4650" s="3"/>
      <c r="P4650" s="1" t="s">
        <v>20</v>
      </c>
      <c r="R4650" s="1" t="s">
        <v>7646</v>
      </c>
      <c r="V4650" s="1" t="s">
        <v>7655</v>
      </c>
      <c r="AR4650" s="1" t="str">
        <f t="shared" si="292"/>
        <v>| [ㄋㄨˊ](ㄋㄨˊ.md) | [駑](駑.md) |  | nú | [名]
劣馬、能力低劣的馬。《玉篇．馬部》：「駑，最下馬也。」《楚辭．東方朔．七諫．謬諫》：「駑駿雜而不分兮。」
[形]
1.低劣、不好的。《戰國策．秦策四》：「天下莫強於秦、楚，今聞大王欲伐楚，此猶兩虎相鬥，而駑犬受其弊。」南朝宋．劉義慶《世說新語．品藻》：「駑牛可以負重致遠。」
2.軟弱無力。《文選．嵇康．與山巨源絕交書》：「性復疏懶，筋駑肉緩。」
3.比喻才力淺薄、愚鈍無能。如：「駑才」、「駑鈍」。《史記．卷八一．廉頗藺相如傳》：「相如雖駑，獨畏廉將軍哉？」《文選．司馬遷．報任少卿書》：「僕雖罷駑，亦嘗側聞長者之遺風矣。」 |</v>
      </c>
    </row>
    <row r="4651" spans="1:44" hidden="1">
      <c r="A4651" s="1" t="s">
        <v>7656</v>
      </c>
      <c r="C4651" s="1">
        <v>1</v>
      </c>
      <c r="D4651" s="1" t="str">
        <f>"03126"</f>
        <v>03126</v>
      </c>
      <c r="E4651" s="1" t="s">
        <v>245</v>
      </c>
      <c r="F4651" s="1">
        <v>7</v>
      </c>
      <c r="G4651" s="1">
        <v>5</v>
      </c>
      <c r="H4651" s="1">
        <v>0</v>
      </c>
      <c r="I4651" s="1" t="s">
        <v>7657</v>
      </c>
      <c r="K4651" s="1" t="str">
        <f t="shared" si="290"/>
        <v>ㄋ</v>
      </c>
      <c r="L4651" s="1" t="str">
        <f t="shared" si="291"/>
        <v>ㄨ</v>
      </c>
      <c r="N4651" s="3" t="s">
        <v>30576</v>
      </c>
      <c r="O4651" s="3"/>
      <c r="P4651" s="1" t="s">
        <v>20</v>
      </c>
      <c r="R4651" s="1" t="s">
        <v>7658</v>
      </c>
      <c r="V4651" s="1" t="s">
        <v>7659</v>
      </c>
      <c r="AR4651" s="1" t="str">
        <f t="shared" si="292"/>
        <v>| [ㄋㄨˇ](ㄋㄨˇ.md) | [努](努.md) |  | nǔ | [動]
1.勤勉、盡力。如：「努力讀書」、「努力加餐飯」。
2.突起、鼓出。如：「努嘴」、「努著眼睛」。唐．彥謙〈采桑女〉詩：「春風吹蠶細如蟻，桑芽纔纔努青鴉嘴。」《紅樓夢》第六七回：「旁邊紫鵑將嘴向床後桌上一努，寶玉會意，往那裡一瞧。」
[副]
用力過猛而受傷。《水滸傳》第一〇〇回：「你眾人枉費了力，箭頭不發，努折箭桿。」《程乙本紅樓夢》第七五回：「這也彀了，且別貪力，仔細努傷著。」 |</v>
      </c>
    </row>
    <row r="4652" spans="1:44" hidden="1">
      <c r="A4652" s="1" t="s">
        <v>7660</v>
      </c>
      <c r="C4652" s="1">
        <v>1</v>
      </c>
      <c r="D4652" s="1" t="str">
        <f>"03127"</f>
        <v>03127</v>
      </c>
      <c r="E4652" s="1" t="s">
        <v>103</v>
      </c>
      <c r="F4652" s="1">
        <v>8</v>
      </c>
      <c r="G4652" s="1">
        <v>5</v>
      </c>
      <c r="H4652" s="1">
        <v>0</v>
      </c>
      <c r="I4652" s="1" t="s">
        <v>7657</v>
      </c>
      <c r="K4652" s="1" t="str">
        <f t="shared" si="290"/>
        <v>ㄋ</v>
      </c>
      <c r="L4652" s="1" t="str">
        <f t="shared" si="291"/>
        <v>ㄨ</v>
      </c>
      <c r="N4652" s="3" t="s">
        <v>30576</v>
      </c>
      <c r="O4652" s="3"/>
      <c r="P4652" s="1" t="s">
        <v>20</v>
      </c>
      <c r="R4652" s="1" t="s">
        <v>7658</v>
      </c>
      <c r="V4652" s="1" t="s">
        <v>7661</v>
      </c>
      <c r="AR4652" s="1" t="str">
        <f t="shared" si="292"/>
        <v>| [ㄋㄨˇ](ㄋㄨˇ.md) | [弩](弩.md) |  | nǔ | [名]
用機械力量發射的硬弓。如：「連弩」、「萬弩齊發」、「劍拔弩張」。《史記．卷一〇八．韓長孺傳》：「且彊弩之極，矢不能穿魯縞。」《文選．賈誼．過秦論》：「良將勁弩，守要害之處。」 |</v>
      </c>
    </row>
    <row r="4653" spans="1:44" hidden="1">
      <c r="A4653" s="1" t="s">
        <v>7662</v>
      </c>
      <c r="C4653" s="1">
        <v>1</v>
      </c>
      <c r="D4653" s="1" t="str">
        <f>"03128"</f>
        <v>03128</v>
      </c>
      <c r="E4653" s="1" t="s">
        <v>169</v>
      </c>
      <c r="F4653" s="1">
        <v>10</v>
      </c>
      <c r="G4653" s="1">
        <v>5</v>
      </c>
      <c r="H4653" s="1">
        <v>0</v>
      </c>
      <c r="I4653" s="1" t="s">
        <v>7657</v>
      </c>
      <c r="K4653" s="1" t="str">
        <f t="shared" si="290"/>
        <v>ㄋ</v>
      </c>
      <c r="L4653" s="1" t="str">
        <f t="shared" si="291"/>
        <v>ㄨ</v>
      </c>
      <c r="N4653" s="3" t="s">
        <v>30576</v>
      </c>
      <c r="O4653" s="3"/>
      <c r="P4653" s="1" t="s">
        <v>20</v>
      </c>
      <c r="R4653" s="1" t="s">
        <v>7658</v>
      </c>
      <c r="V4653" s="1" t="s">
        <v>7663</v>
      </c>
      <c r="AR4653" s="1" t="str">
        <f t="shared" si="292"/>
        <v>| [ㄋㄨˇ](ㄋㄨˇ.md) | [砮](砮.md) |  | nǔ | [名]
1.可製箭頭的石頭。《說文解字．石部》：「砮，石，可以為矢鏃。」《文選．左思．蜀都賦》：「其中則有青珠、黃環、碧砮、芒消。」唐．李善．注：「砮可作箭鏃，禹貢梁州厥貢砮石。」
2.石製的箭頭。《國語．魯語下》：「仲尼在陳，有隼集于陳侯之庭而死，楛矢貫之，石砮其長尺有咫。」三國吳．韋昭．注：「砮，鏃也，以石為之。」 |</v>
      </c>
    </row>
    <row r="4654" spans="1:44" hidden="1">
      <c r="A4654" s="1" t="s">
        <v>7745</v>
      </c>
      <c r="C4654" s="1">
        <v>1</v>
      </c>
      <c r="D4654" s="1" t="str">
        <f>"03162"</f>
        <v>03162</v>
      </c>
      <c r="E4654" s="1" t="s">
        <v>534</v>
      </c>
      <c r="F4654" s="1">
        <v>3</v>
      </c>
      <c r="G4654" s="1">
        <v>0</v>
      </c>
      <c r="H4654" s="1">
        <v>2</v>
      </c>
      <c r="I4654" s="1" t="s">
        <v>7755</v>
      </c>
      <c r="K4654" s="1" t="str">
        <f t="shared" si="290"/>
        <v>ㄋ</v>
      </c>
      <c r="L4654" s="1" t="str">
        <f t="shared" si="291"/>
        <v>ㄩ</v>
      </c>
      <c r="N4654" s="3" t="s">
        <v>30574</v>
      </c>
      <c r="O4654" s="3"/>
      <c r="P4654" s="1" t="s">
        <v>20</v>
      </c>
      <c r="R4654" s="1" t="s">
        <v>7756</v>
      </c>
      <c r="V4654" s="1" t="s">
        <v>7757</v>
      </c>
      <c r="W4654" s="1" t="s">
        <v>7758</v>
      </c>
      <c r="AR4654" s="1" t="str">
        <f t="shared" si="292"/>
        <v>| [ㄋㄩˋ](ㄋㄩˋ.md) | [女](女.md) |  | nǜ | [動]
將女兒許配給他人。《左傳．桓公十一年》：「宋雍氏女於鄭莊公，曰雍姑。」《聊齋志異．卷六．江城》：「臨江高蕃，少慧，儀容秀美。十四歲入邑庠，富室爭女之。」 |</v>
      </c>
    </row>
    <row r="4655" spans="1:44" hidden="1">
      <c r="A4655" s="1" t="s">
        <v>7759</v>
      </c>
      <c r="C4655" s="1">
        <v>1</v>
      </c>
      <c r="D4655" s="1" t="str">
        <f>"03163"</f>
        <v>03163</v>
      </c>
      <c r="E4655" s="1" t="s">
        <v>250</v>
      </c>
      <c r="F4655" s="1">
        <v>10</v>
      </c>
      <c r="G4655" s="1">
        <v>6</v>
      </c>
      <c r="H4655" s="1">
        <v>0</v>
      </c>
      <c r="I4655" s="1" t="s">
        <v>7755</v>
      </c>
      <c r="K4655" s="1" t="str">
        <f t="shared" si="290"/>
        <v>ㄋ</v>
      </c>
      <c r="L4655" s="1" t="str">
        <f t="shared" si="291"/>
        <v>ㄩ</v>
      </c>
      <c r="N4655" s="3" t="s">
        <v>30574</v>
      </c>
      <c r="O4655" s="3"/>
      <c r="P4655" s="1" t="s">
        <v>20</v>
      </c>
      <c r="R4655" s="1" t="s">
        <v>7756</v>
      </c>
      <c r="V4655" s="1" t="s">
        <v>7760</v>
      </c>
      <c r="AR4655" s="1" t="str">
        <f t="shared" si="292"/>
        <v>| [ㄋㄩˋ](ㄋㄩˋ.md) | [恧](恧.md) |  | nǜ | [動]
羞慚、慚愧。如：「慚恧」。《文選．嵇康．幽憤詩》：「內負宿心，外恧良朋。」唐．柳宗元〈乞巧文〉：「言語譎詭，令臣縮恧。」 |</v>
      </c>
    </row>
    <row r="4656" spans="1:44" hidden="1">
      <c r="A4656" s="1" t="s">
        <v>7761</v>
      </c>
      <c r="C4656" s="1">
        <v>1</v>
      </c>
      <c r="D4656" s="1" t="str">
        <f>"03164"</f>
        <v>03164</v>
      </c>
      <c r="E4656" s="1" t="s">
        <v>1681</v>
      </c>
      <c r="F4656" s="1">
        <v>10</v>
      </c>
      <c r="G4656" s="1">
        <v>4</v>
      </c>
      <c r="H4656" s="1">
        <v>0</v>
      </c>
      <c r="I4656" s="1" t="s">
        <v>7755</v>
      </c>
      <c r="K4656" s="1" t="str">
        <f t="shared" si="290"/>
        <v>ㄋ</v>
      </c>
      <c r="L4656" s="1" t="str">
        <f t="shared" si="291"/>
        <v>ㄩ</v>
      </c>
      <c r="N4656" s="3" t="s">
        <v>30574</v>
      </c>
      <c r="O4656" s="3"/>
      <c r="P4656" s="1" t="s">
        <v>20</v>
      </c>
      <c r="R4656" s="1" t="s">
        <v>7756</v>
      </c>
      <c r="V4656" s="1" t="s">
        <v>7762</v>
      </c>
      <c r="AR4656" s="1" t="str">
        <f t="shared" si="292"/>
        <v>| [ㄋㄩˋ](ㄋㄩˋ.md) | [衄](衄.md) |  | nǜ | [動]
1.鼻子出血稱為「衄」，後泛指出血。如：「鼻衄」、「耳衄」。漢．張機《傷寒論．卷一．辨脈法》：「脈浮，鼻中燥者，必衄也。」明．李時珍《本草綱目．卷三上．百病主治藥．吐血衄血》：「口鼻併出曰腦衄，九竅俱出曰大衄。」也稱為「衄血」。
2.挫敗。如：「敗衄」。《文選．曹植．求自試表》：「流聞東軍失備，師徒小衄。」《宋史．卷二五四．趙贊傳》：「贊獨持重，自秋涉冬，未嘗挫衄。」
3.畏縮。《宋史．卷二八九．高瓊傳》：「范廷召、桑贊所將邊兵臨敵退衄。」《遼史．卷七三．蕭敵魯傳》：「敵魯有膽略，聞敵所在即馳赴，親冒矢石，前後戰未嘗少衄，必勝乃止。」 |</v>
      </c>
    </row>
    <row r="4657" spans="1:44" hidden="1">
      <c r="A4657" s="1" t="s">
        <v>7763</v>
      </c>
      <c r="C4657" s="1">
        <v>1</v>
      </c>
      <c r="D4657" s="1" t="str">
        <f>"03165"</f>
        <v>03165</v>
      </c>
      <c r="E4657" s="1" t="s">
        <v>2014</v>
      </c>
      <c r="F4657" s="1">
        <v>10</v>
      </c>
      <c r="G4657" s="1">
        <v>6</v>
      </c>
      <c r="H4657" s="1">
        <v>0</v>
      </c>
      <c r="I4657" s="1" t="s">
        <v>7755</v>
      </c>
      <c r="K4657" s="1" t="str">
        <f t="shared" si="290"/>
        <v>ㄋ</v>
      </c>
      <c r="L4657" s="1" t="str">
        <f t="shared" si="291"/>
        <v>ㄩ</v>
      </c>
      <c r="N4657" s="3" t="s">
        <v>30574</v>
      </c>
      <c r="O4657" s="3"/>
      <c r="P4657" s="1" t="s">
        <v>20</v>
      </c>
      <c r="R4657" s="1" t="s">
        <v>7756</v>
      </c>
      <c r="V4657" s="1" t="s">
        <v>7764</v>
      </c>
      <c r="AR4657" s="1" t="str">
        <f t="shared" si="292"/>
        <v>| [ㄋㄩˋ](ㄋㄩˋ.md) | [朒](朒.md) |  | nǜ | [名]
農曆月初月亮在東方出現的情形。《文選．謝莊．月賦》：「朒朓警闕，朏魄示沖。」唐．盧肇〈海潮賦．序〉：「其朒其朓，則潮亦隨之。」
[形]
不足、欠缺。《九章算術》卷七「盈不足」句下晉．劉徽．注：「盈者謂之朓，不足者謂之朒。」《鏡花緣》第七六回：「此是盈朒算法，極其容易。」
[動]
1.畏縮、不伸。如：「肭縮」。《漢書．卷二七．五行志下之下》：「王侯縮朒不任事，臣下弛縱，故月行遲也。」
2.扭傷、折傷。《水滸傳》第四二回：「有幾個攧翻了的，也有閃朒腿的，扒得起來奔命。」 |</v>
      </c>
    </row>
    <row r="4658" spans="1:44" hidden="1">
      <c r="A4658" s="1" t="s">
        <v>7745</v>
      </c>
      <c r="C4658" s="1">
        <v>1</v>
      </c>
      <c r="D4658" s="1" t="str">
        <f>"03159"</f>
        <v>03159</v>
      </c>
      <c r="E4658" s="1" t="s">
        <v>534</v>
      </c>
      <c r="F4658" s="1">
        <v>3</v>
      </c>
      <c r="G4658" s="1">
        <v>0</v>
      </c>
      <c r="H4658" s="1">
        <v>1</v>
      </c>
      <c r="I4658" s="1" t="s">
        <v>7746</v>
      </c>
      <c r="K4658" s="1" t="str">
        <f t="shared" si="290"/>
        <v>ㄋ</v>
      </c>
      <c r="L4658" s="1" t="str">
        <f t="shared" si="291"/>
        <v>ㄩ</v>
      </c>
      <c r="N4658" s="3" t="s">
        <v>30576</v>
      </c>
      <c r="O4658" s="3"/>
      <c r="P4658" s="1" t="s">
        <v>20</v>
      </c>
      <c r="R4658" s="1" t="s">
        <v>7747</v>
      </c>
      <c r="V4658" s="1" t="s">
        <v>7748</v>
      </c>
      <c r="W4658" s="1" t="s">
        <v>7749</v>
      </c>
      <c r="AR4658" s="1" t="str">
        <f t="shared" si="292"/>
        <v>| [ㄋㄩˇ](ㄋㄩˇ.md) | [女](女.md) |  | nǚ | [名]
1.女子，與「男」相對。如：「才女」、「男女平等」。《詩經．周南．關雎》：「窈窕淑女，君子好逑。」《晉書．卷九七．四夷傳．南蠻傳》：「貴女賤男，同姓為婚。」
2.女兒。如：「生兒育女」。唐．杜甫〈兵車行〉：「生女猶是嫁比鄰，生男埋沒隨百草。」
3.星宿名。二十八宿之一，北方玄武七宿的第三宿。
4.星官名。女宿之首，有4正星，5增星，在西方屬寶瓶座。也稱為「寶婺」、「須女」、「婺女」。《晉書．卷一二．天文志中》：「懷帝永嘉六年七月，熒惑、歲星、太白聚牛、女之間。」
5.二一四部首之一。
[形]
1.女性的、雌性的。如：「女道士」。《太平廣記．卷三八五．崔紹》：「畜一女貓，常往來紹家捕鼠。」
2.幼小、柔弱。《詩經．豳風．七月》：「猗彼女桑。」 |</v>
      </c>
    </row>
    <row r="4659" spans="1:44" hidden="1">
      <c r="A4659" s="1" t="s">
        <v>7750</v>
      </c>
      <c r="C4659" s="1">
        <v>1</v>
      </c>
      <c r="D4659" s="1" t="str">
        <f>"03160"</f>
        <v>03160</v>
      </c>
      <c r="E4659" s="1" t="s">
        <v>46</v>
      </c>
      <c r="F4659" s="1">
        <v>9</v>
      </c>
      <c r="G4659" s="1">
        <v>3</v>
      </c>
      <c r="H4659" s="1">
        <v>1</v>
      </c>
      <c r="I4659" s="1" t="s">
        <v>7746</v>
      </c>
      <c r="K4659" s="1" t="str">
        <f t="shared" si="290"/>
        <v>ㄋ</v>
      </c>
      <c r="L4659" s="1" t="str">
        <f t="shared" si="291"/>
        <v>ㄩ</v>
      </c>
      <c r="N4659" s="3" t="s">
        <v>30576</v>
      </c>
      <c r="O4659" s="3"/>
      <c r="P4659" s="1" t="s">
        <v>20</v>
      </c>
      <c r="R4659" s="1" t="s">
        <v>7747</v>
      </c>
      <c r="V4659" s="1" t="s">
        <v>7751</v>
      </c>
      <c r="W4659" s="1" t="s">
        <v>7752</v>
      </c>
      <c r="AR4659" s="1" t="str">
        <f t="shared" si="292"/>
        <v>| [ㄋㄩˇ](ㄋㄩˇ.md) | [籹](籹.md) |  | nǚ | 參見「粔籹」條。 |</v>
      </c>
    </row>
    <row r="4660" spans="1:44" hidden="1">
      <c r="A4660" s="1" t="s">
        <v>7753</v>
      </c>
      <c r="C4660" s="1">
        <v>1</v>
      </c>
      <c r="D4660" s="1" t="str">
        <f>"03161"</f>
        <v>03161</v>
      </c>
      <c r="E4660" s="1" t="s">
        <v>55</v>
      </c>
      <c r="F4660" s="1">
        <v>11</v>
      </c>
      <c r="G4660" s="1">
        <v>3</v>
      </c>
      <c r="H4660" s="1">
        <v>0</v>
      </c>
      <c r="I4660" s="1" t="s">
        <v>7746</v>
      </c>
      <c r="K4660" s="1" t="str">
        <f t="shared" si="290"/>
        <v>ㄋ</v>
      </c>
      <c r="L4660" s="1" t="str">
        <f t="shared" si="291"/>
        <v>ㄩ</v>
      </c>
      <c r="N4660" s="3" t="s">
        <v>30576</v>
      </c>
      <c r="O4660" s="3"/>
      <c r="P4660" s="1" t="s">
        <v>20</v>
      </c>
      <c r="R4660" s="1" t="s">
        <v>7747</v>
      </c>
      <c r="V4660" s="1" t="s">
        <v>7754</v>
      </c>
      <c r="AR4660" s="1" t="str">
        <f t="shared" si="292"/>
        <v>| [ㄋㄩˇ](ㄋㄩˇ.md) | [釹](釹.md) |  | nǚ | [名]
（neodymium，Nd）化學元素。原子序60。稀土金屬元素之一。屬鑭系元素，呈銀白色，質軟具延展性，化性較活潑，可溶於稀酸中。在空氣中變灰白，形成氧化物，故須儲存於鈍氣或石油中，以防腐蝕或生鏽。遇熱水呈劇烈反應，釋放出氫。廣泛應用於雷射材料，如釹玻璃雷射。亦用於製造光學玻璃、有色陶瓷、玻璃、搪瓷及特殊合金等。 |</v>
      </c>
    </row>
    <row r="4661" spans="1:44" hidden="1">
      <c r="A4661" s="1" t="s">
        <v>7773</v>
      </c>
      <c r="C4661" s="1">
        <v>1</v>
      </c>
      <c r="D4661" s="1" t="str">
        <f>"03169"</f>
        <v>03169</v>
      </c>
      <c r="E4661" s="1" t="s">
        <v>24</v>
      </c>
      <c r="F4661" s="1">
        <v>8</v>
      </c>
      <c r="G4661" s="1">
        <v>5</v>
      </c>
      <c r="H4661" s="1">
        <v>0</v>
      </c>
      <c r="I4661" s="1" t="s">
        <v>7774</v>
      </c>
      <c r="K4661" s="1" t="str">
        <f t="shared" si="290"/>
        <v>ㄌ</v>
      </c>
      <c r="L4661" s="1" t="str">
        <f t="shared" si="291"/>
        <v>ㄚ</v>
      </c>
      <c r="M4661" s="1" t="str">
        <f t="shared" ref="M4661:M4724" si="293">MID(I4661, 3, 1)</f>
        <v/>
      </c>
      <c r="P4661" s="1" t="s">
        <v>20</v>
      </c>
      <c r="R4661" s="1" t="s">
        <v>7775</v>
      </c>
      <c r="V4661" s="1" t="s">
        <v>7776</v>
      </c>
      <c r="AR4661" s="1" t="str">
        <f t="shared" si="292"/>
        <v>| [ㄌㄚ](ㄌㄚ.md) | [拉](拉.md) |  | lā | [動]
1.摧折。如：「摧枯拉朽」。《漢書．卷五一．賈鄒枚路傳．鄒陽》：「范雎拉脅折齒於魏，卒為應侯。」
2.挽、牽引。如：「拉車」、「拉手」。
3.招、邀約。如：「拉人作伴」。三國蜀．諸葛亮〈黃陵廟記〉：「于是情好日密，相拉總師。」
4.延長、拖長。如：「拉長距離」。
5.攀交、攏絡。如：「拉交情」、「拉關係」。
6.招攬、撮合。如：「拉客」、「拉生意」、「拉廣告」。
7.演奏弦樂器的方法。如：「拉胡琴」、「拉小提琴」、「拉手風琴」。
8.排泄。如：「拉稀」、「拉屎」、「拉肚子」。 |</v>
      </c>
    </row>
    <row r="4662" spans="1:44" hidden="1">
      <c r="A4662" s="1" t="s">
        <v>7777</v>
      </c>
      <c r="C4662" s="1">
        <v>1</v>
      </c>
      <c r="D4662" s="1" t="str">
        <f>"03170"</f>
        <v>03170</v>
      </c>
      <c r="E4662" s="1" t="s">
        <v>28</v>
      </c>
      <c r="F4662" s="1">
        <v>11</v>
      </c>
      <c r="G4662" s="1">
        <v>8</v>
      </c>
      <c r="H4662" s="1">
        <v>1</v>
      </c>
      <c r="I4662" s="1" t="s">
        <v>7774</v>
      </c>
      <c r="K4662" s="1" t="str">
        <f t="shared" si="290"/>
        <v>ㄌ</v>
      </c>
      <c r="L4662" s="1" t="str">
        <f t="shared" si="291"/>
        <v>ㄚ</v>
      </c>
      <c r="M4662" s="1" t="str">
        <f t="shared" si="293"/>
        <v/>
      </c>
      <c r="P4662" s="1" t="s">
        <v>20</v>
      </c>
      <c r="R4662" s="1" t="s">
        <v>7775</v>
      </c>
      <c r="V4662" s="1" t="s">
        <v>7778</v>
      </c>
      <c r="W4662" s="1" t="s">
        <v>7779</v>
      </c>
      <c r="AR4662" s="1" t="str">
        <f t="shared" si="292"/>
        <v>| [ㄌㄚ](ㄌㄚ.md) | [啦](啦.md) |  | lā | [擬]
形容歌唱、歡呼時的聲音。如：「這首歌怎麼這麼多啦字，唱起來啦個不停。」 |</v>
      </c>
    </row>
    <row r="4663" spans="1:44" hidden="1">
      <c r="A4663" s="1" t="s">
        <v>7780</v>
      </c>
      <c r="C4663" s="1">
        <v>1</v>
      </c>
      <c r="D4663" s="1" t="str">
        <f>"03171"</f>
        <v>03171</v>
      </c>
      <c r="E4663" s="1" t="s">
        <v>28</v>
      </c>
      <c r="F4663" s="1">
        <v>12</v>
      </c>
      <c r="G4663" s="1">
        <v>9</v>
      </c>
      <c r="H4663" s="1">
        <v>2</v>
      </c>
      <c r="I4663" s="1" t="s">
        <v>7774</v>
      </c>
      <c r="K4663" s="1" t="str">
        <f t="shared" si="290"/>
        <v>ㄌ</v>
      </c>
      <c r="L4663" s="1" t="str">
        <f t="shared" si="291"/>
        <v>ㄚ</v>
      </c>
      <c r="M4663" s="1" t="str">
        <f t="shared" si="293"/>
        <v/>
      </c>
      <c r="P4663" s="1" t="s">
        <v>20</v>
      </c>
      <c r="R4663" s="1" t="s">
        <v>7775</v>
      </c>
      <c r="V4663" s="1" t="s">
        <v>7781</v>
      </c>
      <c r="W4663" s="1" t="s">
        <v>7782</v>
      </c>
      <c r="AR4663" s="1" t="str">
        <f t="shared" si="292"/>
        <v>| [ㄌㄚ](ㄌㄚ.md) | [喇](喇.md) |  | lā | [擬]
形容風、雨等的聲音。如：「嘩喇」、「呼喇喇」。明．湯顯祖《牡丹亭》第四三齣：「風喇喇，陣旗飄。」 |</v>
      </c>
    </row>
    <row r="4664" spans="1:44" hidden="1">
      <c r="A4664" s="1" t="s">
        <v>7841</v>
      </c>
      <c r="C4664" s="1">
        <v>1</v>
      </c>
      <c r="D4664" s="1" t="str">
        <f>"03223"</f>
        <v>03223</v>
      </c>
      <c r="E4664" s="1" t="s">
        <v>245</v>
      </c>
      <c r="F4664" s="1">
        <v>11</v>
      </c>
      <c r="G4664" s="1">
        <v>9</v>
      </c>
      <c r="H4664" s="1">
        <v>2</v>
      </c>
      <c r="I4664" s="1" t="s">
        <v>7917</v>
      </c>
      <c r="K4664" s="1" t="str">
        <f t="shared" si="290"/>
        <v>ㄌ</v>
      </c>
      <c r="L4664" s="1" t="str">
        <f t="shared" si="291"/>
        <v>ㄟ</v>
      </c>
      <c r="M4664" s="1" t="str">
        <f t="shared" si="293"/>
        <v/>
      </c>
      <c r="P4664" s="1" t="s">
        <v>20</v>
      </c>
      <c r="R4664" s="1" t="s">
        <v>7918</v>
      </c>
      <c r="V4664" s="1" t="s">
        <v>7919</v>
      </c>
      <c r="W4664" s="1" t="s">
        <v>7920</v>
      </c>
      <c r="AR4664" s="1" t="str">
        <f t="shared" si="292"/>
        <v>| [ㄌㄟ](ㄌㄟ.md) | [勒](勒.md) |  | lēi | [動]
1.以繩索繫緊而用力拉扯。如：「勒緊」、「勒死」。
2.使向上緊附。《儒林外史》第四二回：「自己把兩個袖子只管往上勒。」 |</v>
      </c>
    </row>
    <row r="4665" spans="1:44" hidden="1">
      <c r="A4665" s="1" t="s">
        <v>8000</v>
      </c>
      <c r="C4665" s="1">
        <v>1</v>
      </c>
      <c r="D4665" s="1" t="str">
        <f>"03258"</f>
        <v>03258</v>
      </c>
      <c r="E4665" s="1" t="s">
        <v>24</v>
      </c>
      <c r="F4665" s="1">
        <v>15</v>
      </c>
      <c r="G4665" s="1">
        <v>12</v>
      </c>
      <c r="H4665" s="1">
        <v>2</v>
      </c>
      <c r="I4665" s="1" t="s">
        <v>8001</v>
      </c>
      <c r="K4665" s="1" t="str">
        <f t="shared" si="290"/>
        <v>ㄌ</v>
      </c>
      <c r="L4665" s="1" t="str">
        <f t="shared" si="291"/>
        <v>ㄠ</v>
      </c>
      <c r="M4665" s="1" t="str">
        <f t="shared" si="293"/>
        <v/>
      </c>
      <c r="P4665" s="1" t="s">
        <v>20</v>
      </c>
      <c r="R4665" s="1" t="s">
        <v>8002</v>
      </c>
      <c r="V4665" s="1" t="s">
        <v>8003</v>
      </c>
      <c r="W4665" s="1" t="s">
        <v>8004</v>
      </c>
      <c r="AR4665" s="1" t="str">
        <f t="shared" si="292"/>
        <v>| [ㄌㄠ](ㄌㄠ.md) | [撈](撈.md) |  | lāo | [動]
1.從水中取出東西。如：「撈魚」、「撈蝦」、「打撈」。唐．舒元輿〈坊州按獄〉詩：「山禿逾高採，水窮益深撈。」
2.獲得、以不正當的手段取得。如：「撈油水」、「他趁機撈了一筆。」 |</v>
      </c>
    </row>
    <row r="4666" spans="1:44" hidden="1">
      <c r="A4666" s="1" t="s">
        <v>8075</v>
      </c>
      <c r="C4666" s="1">
        <v>1</v>
      </c>
      <c r="D4666" s="1" t="str">
        <f>"03288"</f>
        <v>03288</v>
      </c>
      <c r="E4666" s="1" t="s">
        <v>24</v>
      </c>
      <c r="F4666" s="1">
        <v>14</v>
      </c>
      <c r="G4666" s="1">
        <v>11</v>
      </c>
      <c r="H4666" s="1">
        <v>2</v>
      </c>
      <c r="I4666" s="1" t="s">
        <v>8076</v>
      </c>
      <c r="K4666" s="1" t="str">
        <f t="shared" si="290"/>
        <v>ㄌ</v>
      </c>
      <c r="L4666" s="1" t="str">
        <f t="shared" si="291"/>
        <v>ㄡ</v>
      </c>
      <c r="M4666" s="1" t="str">
        <f t="shared" si="293"/>
        <v/>
      </c>
      <c r="P4666" s="1" t="s">
        <v>20</v>
      </c>
      <c r="R4666" s="1" t="s">
        <v>8077</v>
      </c>
      <c r="V4666" s="1" t="s">
        <v>8078</v>
      </c>
      <c r="W4666" s="1" t="s">
        <v>8079</v>
      </c>
      <c r="AR4666" s="1" t="str">
        <f t="shared" si="292"/>
        <v>| [ㄌㄡ](ㄌㄡ.md) | [摟](摟.md) |  | lōu | [動]_x000D_
1.把散在面前的東西聚攏過來。如：「待我把這些穀子摟一摟。」_x000D_
2.把衣服提挽起來。如：「他把下襬一摟，擺個金雞獨立的架式。」_x000D_
3.搜刮。_x000D_
4.招徠。如：「摟攬」、「摟生意」。 |</v>
      </c>
    </row>
    <row r="4667" spans="1:44" hidden="1">
      <c r="A4667" s="1" t="s">
        <v>8217</v>
      </c>
      <c r="C4667" s="1">
        <v>1</v>
      </c>
      <c r="D4667" s="1" t="str">
        <f>"03347"</f>
        <v>03347</v>
      </c>
      <c r="E4667" s="1" t="s">
        <v>28</v>
      </c>
      <c r="F4667" s="1">
        <v>12</v>
      </c>
      <c r="G4667" s="1">
        <v>9</v>
      </c>
      <c r="H4667" s="1">
        <v>0</v>
      </c>
      <c r="I4667" s="1" t="s">
        <v>8218</v>
      </c>
      <c r="K4667" s="1" t="str">
        <f t="shared" si="290"/>
        <v>ㄌ</v>
      </c>
      <c r="L4667" s="1" t="str">
        <f t="shared" si="291"/>
        <v>ㄤ</v>
      </c>
      <c r="M4667" s="1" t="str">
        <f t="shared" si="293"/>
        <v/>
      </c>
      <c r="P4667" s="1" t="s">
        <v>20</v>
      </c>
      <c r="R4667" s="1" t="s">
        <v>8219</v>
      </c>
      <c r="V4667" s="1" t="s">
        <v>8220</v>
      </c>
      <c r="AR4667" s="1" t="str">
        <f t="shared" si="292"/>
        <v>| [ㄌㄤ](ㄌㄤ.md) | [啷](啷.md) |  | lāng | 參見「啷噹」條。 |</v>
      </c>
    </row>
    <row r="4668" spans="1:44" hidden="1">
      <c r="A4668" s="1" t="s">
        <v>8277</v>
      </c>
      <c r="C4668" s="1">
        <v>1</v>
      </c>
      <c r="D4668" s="1" t="str">
        <f>"03372"</f>
        <v>03372</v>
      </c>
      <c r="E4668" s="1" t="s">
        <v>250</v>
      </c>
      <c r="F4668" s="1">
        <v>12</v>
      </c>
      <c r="G4668" s="1">
        <v>9</v>
      </c>
      <c r="H4668" s="1">
        <v>2</v>
      </c>
      <c r="I4668" s="1" t="s">
        <v>8278</v>
      </c>
      <c r="K4668" s="1" t="str">
        <f t="shared" si="290"/>
        <v>ㄌ</v>
      </c>
      <c r="L4668" s="1" t="str">
        <f t="shared" si="291"/>
        <v>ㄥ</v>
      </c>
      <c r="M4668" s="1" t="str">
        <f t="shared" si="293"/>
        <v/>
      </c>
      <c r="P4668" s="1" t="s">
        <v>20</v>
      </c>
      <c r="R4668" s="1" t="s">
        <v>8279</v>
      </c>
      <c r="V4668" s="1" t="s">
        <v>8280</v>
      </c>
      <c r="W4668" s="1" t="s">
        <v>8281</v>
      </c>
      <c r="AR4668" s="1" t="str">
        <f t="shared" si="292"/>
        <v>| [ㄌㄥ](ㄌㄥ.md) | [愣](愣.md) |  | lēng | 參見「愣兒」條。 |</v>
      </c>
    </row>
    <row r="4669" spans="1:44" hidden="1">
      <c r="A4669" s="1" t="s">
        <v>8307</v>
      </c>
      <c r="C4669" s="1">
        <v>1</v>
      </c>
      <c r="D4669" s="1" t="str">
        <f>"03382"</f>
        <v>03382</v>
      </c>
      <c r="E4669" s="1" t="s">
        <v>28</v>
      </c>
      <c r="F4669" s="1">
        <v>10</v>
      </c>
      <c r="G4669" s="1">
        <v>7</v>
      </c>
      <c r="H4669" s="1">
        <v>1</v>
      </c>
      <c r="I4669" s="1" t="s">
        <v>8308</v>
      </c>
      <c r="K4669" s="1" t="str">
        <f t="shared" si="290"/>
        <v>ㄌ</v>
      </c>
      <c r="L4669" s="1" t="str">
        <f t="shared" si="291"/>
        <v>ㄧ</v>
      </c>
      <c r="M4669" s="1" t="str">
        <f t="shared" si="293"/>
        <v/>
      </c>
      <c r="P4669" s="1" t="s">
        <v>20</v>
      </c>
      <c r="R4669" s="1" t="s">
        <v>8309</v>
      </c>
      <c r="V4669" s="1" t="s">
        <v>8310</v>
      </c>
      <c r="W4669" s="1" t="s">
        <v>8311</v>
      </c>
      <c r="AR4669" s="1" t="str">
        <f t="shared" si="292"/>
        <v>| [ㄌㄧ](ㄌㄧ.md) | [哩](哩.md) |  | lī | 參見「哩嚕」、「哩哩囉囉」等條。 |</v>
      </c>
    </row>
    <row r="4670" spans="1:44" hidden="1">
      <c r="A4670" s="1" t="s">
        <v>9080</v>
      </c>
      <c r="C4670" s="1">
        <v>1</v>
      </c>
      <c r="D4670" s="1" t="str">
        <f>"03720"</f>
        <v>03720</v>
      </c>
      <c r="E4670" s="1" t="s">
        <v>28</v>
      </c>
      <c r="F4670" s="1">
        <v>18</v>
      </c>
      <c r="G4670" s="1">
        <v>15</v>
      </c>
      <c r="H4670" s="1">
        <v>0</v>
      </c>
      <c r="I4670" s="1" t="s">
        <v>9081</v>
      </c>
      <c r="K4670" s="1" t="str">
        <f t="shared" ref="K4670:K4733" si="294">LEFT(I4670, 1)</f>
        <v>ㄌ</v>
      </c>
      <c r="L4670" s="1" t="str">
        <f t="shared" ref="L4670:L4733" si="295">MID(I4670, 2, 1)</f>
        <v>ㄨ</v>
      </c>
      <c r="M4670" s="1" t="str">
        <f t="shared" si="293"/>
        <v/>
      </c>
      <c r="P4670" s="1" t="s">
        <v>20</v>
      </c>
      <c r="R4670" s="1" t="s">
        <v>9082</v>
      </c>
      <c r="V4670" s="1" t="s">
        <v>9083</v>
      </c>
      <c r="AR4670" s="1" t="str">
        <f t="shared" si="292"/>
        <v>| [ㄌㄨ](ㄌㄨ.md) | [嚕](嚕.md) |  | lū | 參見「嚕囌」、「哩嚕」等條。 |</v>
      </c>
    </row>
    <row r="4671" spans="1:44" hidden="1">
      <c r="A4671" s="1" t="s">
        <v>8557</v>
      </c>
      <c r="C4671" s="1">
        <v>1</v>
      </c>
      <c r="D4671" s="1" t="str">
        <f>"03497"</f>
        <v>03497</v>
      </c>
      <c r="E4671" s="1" t="s">
        <v>114</v>
      </c>
      <c r="F4671" s="1">
        <v>10</v>
      </c>
      <c r="G4671" s="1">
        <v>8</v>
      </c>
      <c r="H4671" s="1">
        <v>2</v>
      </c>
      <c r="I4671" s="1" t="s">
        <v>8558</v>
      </c>
      <c r="K4671" s="1" t="str">
        <f t="shared" si="294"/>
        <v>ㄌ</v>
      </c>
      <c r="L4671" s="1" t="str">
        <f t="shared" si="295"/>
        <v>ㄧ</v>
      </c>
      <c r="M4671" s="1" t="str">
        <f t="shared" si="293"/>
        <v>ㄚ</v>
      </c>
      <c r="P4671" s="1" t="s">
        <v>20</v>
      </c>
      <c r="R4671" s="1" t="s">
        <v>8559</v>
      </c>
      <c r="V4671" s="1" t="s">
        <v>8560</v>
      </c>
      <c r="W4671" s="1" t="s">
        <v>8561</v>
      </c>
      <c r="AR4671" s="1" t="str">
        <f t="shared" si="292"/>
        <v>| [ㄌㄧㄚˇ](ㄌㄧㄚˇ.md) | [倆](倆.md) |  | liǎ | [形]
兩個。如：「哥倆好」、「小夫妻倆」。《老殘遊記》第一五回：「叫他們姐兒倆打開蓋捲睡當中，好不好？」 |</v>
      </c>
    </row>
    <row r="4672" spans="1:44" hidden="1">
      <c r="A4672" s="1" t="s">
        <v>7848</v>
      </c>
      <c r="C4672" s="1">
        <v>1</v>
      </c>
      <c r="D4672" s="1" t="str">
        <f>"03786"</f>
        <v>03786</v>
      </c>
      <c r="E4672" s="1" t="s">
        <v>24</v>
      </c>
      <c r="F4672" s="1">
        <v>10</v>
      </c>
      <c r="G4672" s="1">
        <v>7</v>
      </c>
      <c r="H4672" s="1">
        <v>3</v>
      </c>
      <c r="I4672" s="1" t="s">
        <v>9225</v>
      </c>
      <c r="K4672" s="1" t="str">
        <f t="shared" si="294"/>
        <v>ㄌ</v>
      </c>
      <c r="L4672" s="1" t="str">
        <f t="shared" si="295"/>
        <v>ㄨ</v>
      </c>
      <c r="M4672" s="1" t="str">
        <f t="shared" si="293"/>
        <v>ㄛ</v>
      </c>
      <c r="P4672" s="1" t="s">
        <v>20</v>
      </c>
      <c r="R4672" s="1" t="s">
        <v>9226</v>
      </c>
      <c r="V4672" s="1" t="s">
        <v>9227</v>
      </c>
      <c r="W4672" s="1" t="s">
        <v>9228</v>
      </c>
      <c r="AR4672" s="1" t="str">
        <f t="shared" si="292"/>
        <v>| [ㄌㄨㄛ](ㄌㄨㄛ.md) | [捋](捋.md) |  | luō | [動]
用手抓住東西的某一部分，向別的部分移動壓取。如：「捋汗」、「捋袖子」、「捋臂捲袖」。 |</v>
      </c>
    </row>
    <row r="4673" spans="1:44" hidden="1">
      <c r="A4673" s="1" t="s">
        <v>9229</v>
      </c>
      <c r="C4673" s="1">
        <v>1</v>
      </c>
      <c r="D4673" s="1" t="str">
        <f>"03787"</f>
        <v>03787</v>
      </c>
      <c r="E4673" s="1" t="s">
        <v>24</v>
      </c>
      <c r="F4673" s="1">
        <v>22</v>
      </c>
      <c r="G4673" s="1">
        <v>19</v>
      </c>
      <c r="H4673" s="1">
        <v>0</v>
      </c>
      <c r="I4673" s="1" t="s">
        <v>9225</v>
      </c>
      <c r="K4673" s="1" t="str">
        <f t="shared" si="294"/>
        <v>ㄌ</v>
      </c>
      <c r="L4673" s="1" t="str">
        <f t="shared" si="295"/>
        <v>ㄨ</v>
      </c>
      <c r="M4673" s="1" t="str">
        <f t="shared" si="293"/>
        <v>ㄛ</v>
      </c>
      <c r="P4673" s="1" t="s">
        <v>20</v>
      </c>
      <c r="R4673" s="1" t="s">
        <v>9226</v>
      </c>
      <c r="V4673" s="1" t="s">
        <v>9230</v>
      </c>
      <c r="AR4673" s="1" t="str">
        <f t="shared" si="292"/>
        <v>| [ㄌㄨㄛ](ㄌㄨㄛ.md) | [攞](攞.md) |  | luō | [動]
1.收攏、拉攏。元．李文蔚《燕青博魚》第三折：「穿的那衣服，拖天掃地的，一腳踹著，不險些兒絆倒了？攞起衣服來，走走走。」元．無名氏《來生債．楔子》：「我攞了這文書，點個燈來燒了者。」
2.撕扯。元．無名氏《爭報恩》第一折：「等我點個燈來，攞下這窗戶上紙來，做個紙撚兒點著。」 |</v>
      </c>
    </row>
    <row r="4674" spans="1:44" hidden="1">
      <c r="A4674" s="1" t="s">
        <v>9231</v>
      </c>
      <c r="C4674" s="1">
        <v>1</v>
      </c>
      <c r="D4674" s="1" t="str">
        <f>"03788"</f>
        <v>03788</v>
      </c>
      <c r="E4674" s="1" t="s">
        <v>28</v>
      </c>
      <c r="F4674" s="1">
        <v>22</v>
      </c>
      <c r="G4674" s="1">
        <v>19</v>
      </c>
      <c r="H4674" s="1">
        <v>2</v>
      </c>
      <c r="I4674" s="1" t="s">
        <v>9225</v>
      </c>
      <c r="K4674" s="1" t="str">
        <f t="shared" si="294"/>
        <v>ㄌ</v>
      </c>
      <c r="L4674" s="1" t="str">
        <f t="shared" si="295"/>
        <v>ㄨ</v>
      </c>
      <c r="M4674" s="1" t="str">
        <f t="shared" si="293"/>
        <v>ㄛ</v>
      </c>
      <c r="P4674" s="1" t="s">
        <v>20</v>
      </c>
      <c r="R4674" s="1" t="s">
        <v>9226</v>
      </c>
      <c r="V4674" s="1" t="s">
        <v>9232</v>
      </c>
      <c r="W4674" s="1" t="s">
        <v>9233</v>
      </c>
      <c r="AR4674" s="1" t="str">
        <f t="shared" si="292"/>
        <v>| [ㄌㄨㄛ](ㄌㄨㄛ.md) | [囉](囉.md) |  | luō | 參見「囉嗦」條。 |</v>
      </c>
    </row>
    <row r="4675" spans="1:44" hidden="1">
      <c r="A4675" s="1" t="s">
        <v>9234</v>
      </c>
      <c r="C4675" s="1">
        <v>1</v>
      </c>
      <c r="D4675" s="1" t="str">
        <f>"03789"</f>
        <v>03789</v>
      </c>
      <c r="E4675" s="1" t="s">
        <v>68</v>
      </c>
      <c r="F4675" s="1">
        <v>13</v>
      </c>
      <c r="G4675" s="1">
        <v>9</v>
      </c>
      <c r="H4675" s="1">
        <v>0</v>
      </c>
      <c r="I4675" s="1" t="s">
        <v>9235</v>
      </c>
      <c r="K4675" s="1" t="str">
        <f t="shared" si="294"/>
        <v>ㄌ</v>
      </c>
      <c r="L4675" s="1" t="str">
        <f t="shared" si="295"/>
        <v>ㄨ</v>
      </c>
      <c r="M4675" s="1" t="str">
        <f t="shared" si="293"/>
        <v>ㄛ</v>
      </c>
      <c r="P4675" s="1" t="s">
        <v>20</v>
      </c>
      <c r="R4675" s="1" t="s">
        <v>9236</v>
      </c>
      <c r="V4675" s="1" t="s">
        <v>9237</v>
      </c>
      <c r="AR4675" s="1" t="str">
        <f t="shared" ref="AR4675:AR4738" si="296">"| ["&amp;I4675&amp;"]("&amp;I4675&amp;".md) | ["&amp;A4675&amp;"]("&amp;A4675&amp;".md) | "&amp;" | "&amp;R4675&amp;" | "&amp;V4675&amp;" |"</f>
        <v>| [ㄌㄨㄛˊ](ㄌㄨㄛˊ.md) | [腡](腡.md) |  | luó | [名]
指紋。《廣韻．平聲．戈韻》：「腡，手指文也。」 |</v>
      </c>
    </row>
    <row r="4676" spans="1:44" hidden="1">
      <c r="A4676" s="1" t="s">
        <v>9238</v>
      </c>
      <c r="C4676" s="1">
        <v>1</v>
      </c>
      <c r="D4676" s="1" t="str">
        <f>"03790"</f>
        <v>03790</v>
      </c>
      <c r="E4676" s="1" t="s">
        <v>679</v>
      </c>
      <c r="F4676" s="1">
        <v>17</v>
      </c>
      <c r="G4676" s="1">
        <v>11</v>
      </c>
      <c r="H4676" s="1">
        <v>0</v>
      </c>
      <c r="I4676" s="1" t="s">
        <v>9235</v>
      </c>
      <c r="K4676" s="1" t="str">
        <f t="shared" si="294"/>
        <v>ㄌ</v>
      </c>
      <c r="L4676" s="1" t="str">
        <f t="shared" si="295"/>
        <v>ㄨ</v>
      </c>
      <c r="M4676" s="1" t="str">
        <f t="shared" si="293"/>
        <v>ㄛ</v>
      </c>
      <c r="P4676" s="1" t="s">
        <v>20</v>
      </c>
      <c r="R4676" s="1" t="s">
        <v>9236</v>
      </c>
      <c r="V4676" s="1" t="s">
        <v>9239</v>
      </c>
      <c r="AR4676" s="1" t="str">
        <f t="shared" si="296"/>
        <v>| [ㄌㄨㄛˊ](ㄌㄨㄛˊ.md) | [螺](螺.md) |  | luó | [名]
1.腹足類軟體動物的通稱。藏身於錐形、紡錘形或扁橢圓形的硬殼中，殼上有迴旋紋路。如：「田螺」、「海螺」。
2.螺形的指紋。宋．蘇軾〈怪石供〉：「其文如人指上螺。」
3.螺製的器物。《南史．卷七八．夷貊傳上．海南諸國傳》：「吹螺擊鼓。」北周．庾信〈園庭詩〉：「香螺酌美酒，枯蚌藉蘭殽。」 |</v>
      </c>
    </row>
    <row r="4677" spans="1:44" hidden="1">
      <c r="A4677" s="1" t="s">
        <v>9240</v>
      </c>
      <c r="C4677" s="1">
        <v>1</v>
      </c>
      <c r="D4677" s="1" t="str">
        <f>"03791"</f>
        <v>03791</v>
      </c>
      <c r="E4677" s="1" t="s">
        <v>55</v>
      </c>
      <c r="F4677" s="1">
        <v>19</v>
      </c>
      <c r="G4677" s="1">
        <v>11</v>
      </c>
      <c r="H4677" s="1">
        <v>0</v>
      </c>
      <c r="I4677" s="1" t="s">
        <v>9235</v>
      </c>
      <c r="K4677" s="1" t="str">
        <f t="shared" si="294"/>
        <v>ㄌ</v>
      </c>
      <c r="L4677" s="1" t="str">
        <f t="shared" si="295"/>
        <v>ㄨ</v>
      </c>
      <c r="M4677" s="1" t="str">
        <f t="shared" si="293"/>
        <v>ㄛ</v>
      </c>
      <c r="P4677" s="1" t="s">
        <v>20</v>
      </c>
      <c r="R4677" s="1" t="s">
        <v>9236</v>
      </c>
      <c r="V4677" s="1" t="s">
        <v>9241</v>
      </c>
      <c r="AR4677" s="1" t="str">
        <f t="shared" si="296"/>
        <v>| [ㄌㄨㄛˊ](ㄌㄨㄛˊ.md) | [鏍](鏍.md) |  | luó | [名]
一種古代用來溫熱東西的器具。《集韻．平聲．戈韻》：「鏍，溫器。」 |</v>
      </c>
    </row>
    <row r="4678" spans="1:44" hidden="1">
      <c r="A4678" s="1" t="s">
        <v>9242</v>
      </c>
      <c r="C4678" s="1">
        <v>1</v>
      </c>
      <c r="D4678" s="1" t="str">
        <f>"03792"</f>
        <v>03792</v>
      </c>
      <c r="E4678" s="1" t="s">
        <v>319</v>
      </c>
      <c r="F4678" s="1">
        <v>21</v>
      </c>
      <c r="G4678" s="1">
        <v>11</v>
      </c>
      <c r="H4678" s="1">
        <v>0</v>
      </c>
      <c r="I4678" s="1" t="s">
        <v>9235</v>
      </c>
      <c r="K4678" s="1" t="str">
        <f t="shared" si="294"/>
        <v>ㄌ</v>
      </c>
      <c r="L4678" s="1" t="str">
        <f t="shared" si="295"/>
        <v>ㄨ</v>
      </c>
      <c r="M4678" s="1" t="str">
        <f t="shared" si="293"/>
        <v>ㄛ</v>
      </c>
      <c r="P4678" s="1" t="s">
        <v>20</v>
      </c>
      <c r="R4678" s="1" t="s">
        <v>9236</v>
      </c>
      <c r="V4678" s="1" t="s">
        <v>9243</v>
      </c>
      <c r="AR4678" s="1" t="str">
        <f t="shared" si="296"/>
        <v>| [ㄌㄨㄛˊ](ㄌㄨㄛˊ.md) | [騾](騾.md) |  | luó | [名]
動物名。為雄驢與雌馬交配所生，兼二者之長。耳長、鬃短、蹄小，尾端有一簇毛。體大、結實。耐力及抗病力皆強，力大，可負重行遠。 |</v>
      </c>
    </row>
    <row r="4679" spans="1:44" hidden="1">
      <c r="A4679" s="1" t="s">
        <v>9244</v>
      </c>
      <c r="C4679" s="1">
        <v>1</v>
      </c>
      <c r="D4679" s="1" t="str">
        <f>"03793"</f>
        <v>03793</v>
      </c>
      <c r="E4679" s="1" t="s">
        <v>118</v>
      </c>
      <c r="F4679" s="1">
        <v>19</v>
      </c>
      <c r="G4679" s="1">
        <v>14</v>
      </c>
      <c r="H4679" s="1">
        <v>0</v>
      </c>
      <c r="I4679" s="1" t="s">
        <v>9235</v>
      </c>
      <c r="K4679" s="1" t="str">
        <f t="shared" si="294"/>
        <v>ㄌ</v>
      </c>
      <c r="L4679" s="1" t="str">
        <f t="shared" si="295"/>
        <v>ㄨ</v>
      </c>
      <c r="M4679" s="1" t="str">
        <f t="shared" si="293"/>
        <v>ㄛ</v>
      </c>
      <c r="P4679" s="1" t="s">
        <v>20</v>
      </c>
      <c r="R4679" s="1" t="s">
        <v>9236</v>
      </c>
      <c r="V4679" s="1" t="s">
        <v>9245</v>
      </c>
      <c r="AR4679" s="1" t="str">
        <f t="shared" si="296"/>
        <v>| [ㄌㄨㄛˊ](ㄌㄨㄛˊ.md) | [羅](羅.md) |  | luó | [名]
1.用來捕捉的網子。如：「天羅地網」。《詩經．王風．兔爰》：「有兔爰爰，雉離于羅。」
2.質地輕軟的絲織品。如：「綾羅綢緞」。《戰國策．齊策四》：「下宮糅羅紈，曳綺縠，而士不得以為緣。」
3.一種濾東西的器具。似篩而邊較深寬，下蒙以密網，可用來播麵粉或過濾流質。
4.姓。如元代有羅貫中。
[動]
1.捕捉。如：「門可羅雀」。《詩經．小雅．鴛鴦》：「鴛鴦于飛，畢之羅之。」
2.招致、延攬。《漢書．卷九九．王莽傳上》：「網羅天下異能之士。」《三國演義》第一〇回：「公之鄉人姓郭名嘉，字奉孝，乃當今賢士，不羅而致之？」
3.囊括、涵蓋。如：「包羅萬象」。《莊子．天下》：「萬物畢羅，莫足以歸。」
4.陳列、分布。如：「羅列」、「星羅棋布」。《文選．班固．西都賦》：「列卒周匝，星羅雲布。」 |</v>
      </c>
    </row>
    <row r="4680" spans="1:44" hidden="1">
      <c r="A4680" s="1" t="s">
        <v>9246</v>
      </c>
      <c r="C4680" s="1">
        <v>1</v>
      </c>
      <c r="D4680" s="1" t="str">
        <f>"03794"</f>
        <v>03794</v>
      </c>
      <c r="E4680" s="1" t="s">
        <v>114</v>
      </c>
      <c r="F4680" s="1">
        <v>21</v>
      </c>
      <c r="G4680" s="1">
        <v>19</v>
      </c>
      <c r="H4680" s="1">
        <v>0</v>
      </c>
      <c r="I4680" s="1" t="s">
        <v>9235</v>
      </c>
      <c r="K4680" s="1" t="str">
        <f t="shared" si="294"/>
        <v>ㄌ</v>
      </c>
      <c r="L4680" s="1" t="str">
        <f t="shared" si="295"/>
        <v>ㄨ</v>
      </c>
      <c r="M4680" s="1" t="str">
        <f t="shared" si="293"/>
        <v>ㄛ</v>
      </c>
      <c r="P4680" s="1" t="s">
        <v>20</v>
      </c>
      <c r="R4680" s="1" t="s">
        <v>9236</v>
      </c>
      <c r="V4680" s="1" t="s">
        <v>9247</v>
      </c>
      <c r="AR4680" s="1" t="str">
        <f t="shared" si="296"/>
        <v>| [ㄌㄨㄛˊ](ㄌㄨㄛˊ.md) | [儸](儸.md) |  | luó | 參見「儸儸」條。 |</v>
      </c>
    </row>
    <row r="4681" spans="1:44" hidden="1">
      <c r="A4681" s="1" t="s">
        <v>9231</v>
      </c>
      <c r="C4681" s="1">
        <v>1</v>
      </c>
      <c r="D4681" s="1" t="str">
        <f>"03795"</f>
        <v>03795</v>
      </c>
      <c r="E4681" s="1" t="s">
        <v>28</v>
      </c>
      <c r="F4681" s="1">
        <v>22</v>
      </c>
      <c r="G4681" s="1">
        <v>19</v>
      </c>
      <c r="H4681" s="1">
        <v>1</v>
      </c>
      <c r="I4681" s="1" t="s">
        <v>9235</v>
      </c>
      <c r="K4681" s="1" t="str">
        <f t="shared" si="294"/>
        <v>ㄌ</v>
      </c>
      <c r="L4681" s="1" t="str">
        <f t="shared" si="295"/>
        <v>ㄨ</v>
      </c>
      <c r="M4681" s="1" t="str">
        <f t="shared" si="293"/>
        <v>ㄛ</v>
      </c>
      <c r="P4681" s="1" t="s">
        <v>20</v>
      </c>
      <c r="R4681" s="1" t="s">
        <v>9236</v>
      </c>
      <c r="V4681" s="1" t="s">
        <v>9248</v>
      </c>
      <c r="W4681" s="1" t="s">
        <v>9249</v>
      </c>
      <c r="AR4681" s="1" t="str">
        <f t="shared" si="296"/>
        <v>| [ㄌㄨㄛˊ](ㄌㄨㄛˊ.md) | [囉](囉.md) |  | luó | [名]
1.小兒語。《廣韻．平聲．歌韻》：「囉，小兒語也。」
2.參見「嘍囉」條。
[助]
歌曲中的襯字。《雍熙樂府．卷一五．黃鶯兒．唱一會囉哩囉曲》：「唱一會囉哩囉，論清閑誰似我？」 |</v>
      </c>
    </row>
    <row r="4682" spans="1:44" hidden="1">
      <c r="A4682" s="1" t="s">
        <v>9250</v>
      </c>
      <c r="C4682" s="1">
        <v>1</v>
      </c>
      <c r="D4682" s="1" t="str">
        <f>"03796"</f>
        <v>03796</v>
      </c>
      <c r="E4682" s="1" t="s">
        <v>198</v>
      </c>
      <c r="F4682" s="1">
        <v>22</v>
      </c>
      <c r="G4682" s="1">
        <v>19</v>
      </c>
      <c r="H4682" s="1">
        <v>0</v>
      </c>
      <c r="I4682" s="1" t="s">
        <v>9235</v>
      </c>
      <c r="K4682" s="1" t="str">
        <f t="shared" si="294"/>
        <v>ㄌ</v>
      </c>
      <c r="L4682" s="1" t="str">
        <f t="shared" si="295"/>
        <v>ㄨ</v>
      </c>
      <c r="M4682" s="1" t="str">
        <f t="shared" si="293"/>
        <v>ㄛ</v>
      </c>
      <c r="P4682" s="1" t="s">
        <v>20</v>
      </c>
      <c r="R4682" s="1" t="s">
        <v>9236</v>
      </c>
      <c r="V4682" s="1" t="s">
        <v>9251</v>
      </c>
      <c r="AR4682" s="1" t="str">
        <f t="shared" si="296"/>
        <v>| [ㄌㄨㄛˊ](ㄌㄨㄛˊ.md) | [玀](玀.md) |  | luó | 參見「豬玀」條。 |</v>
      </c>
    </row>
    <row r="4683" spans="1:44" hidden="1">
      <c r="A4683" s="1" t="s">
        <v>9252</v>
      </c>
      <c r="C4683" s="1">
        <v>1</v>
      </c>
      <c r="D4683" s="1" t="str">
        <f>"03797"</f>
        <v>03797</v>
      </c>
      <c r="E4683" s="1" t="s">
        <v>37</v>
      </c>
      <c r="F4683" s="1">
        <v>23</v>
      </c>
      <c r="G4683" s="1">
        <v>19</v>
      </c>
      <c r="H4683" s="1">
        <v>0</v>
      </c>
      <c r="I4683" s="1" t="s">
        <v>9235</v>
      </c>
      <c r="K4683" s="1" t="str">
        <f t="shared" si="294"/>
        <v>ㄌ</v>
      </c>
      <c r="L4683" s="1" t="str">
        <f t="shared" si="295"/>
        <v>ㄨ</v>
      </c>
      <c r="M4683" s="1" t="str">
        <f t="shared" si="293"/>
        <v>ㄛ</v>
      </c>
      <c r="P4683" s="1" t="s">
        <v>20</v>
      </c>
      <c r="R4683" s="1" t="s">
        <v>9236</v>
      </c>
      <c r="V4683" s="1" t="s">
        <v>9253</v>
      </c>
      <c r="AR4683" s="1" t="str">
        <f t="shared" si="296"/>
        <v>| [ㄌㄨㄛˊ](ㄌㄨㄛˊ.md) | [蘿](蘿.md) |  | luó | 參見「蘿蔔」、「女蘿」等條。 |</v>
      </c>
    </row>
    <row r="4684" spans="1:44" hidden="1">
      <c r="A4684" s="1" t="s">
        <v>9254</v>
      </c>
      <c r="C4684" s="1">
        <v>1</v>
      </c>
      <c r="D4684" s="1" t="str">
        <f>"03798"</f>
        <v>03798</v>
      </c>
      <c r="E4684" s="1" t="s">
        <v>558</v>
      </c>
      <c r="F4684" s="1">
        <v>23</v>
      </c>
      <c r="G4684" s="1">
        <v>19</v>
      </c>
      <c r="H4684" s="1">
        <v>0</v>
      </c>
      <c r="I4684" s="1" t="s">
        <v>9235</v>
      </c>
      <c r="K4684" s="1" t="str">
        <f t="shared" si="294"/>
        <v>ㄌ</v>
      </c>
      <c r="L4684" s="1" t="str">
        <f t="shared" si="295"/>
        <v>ㄨ</v>
      </c>
      <c r="M4684" s="1" t="str">
        <f t="shared" si="293"/>
        <v>ㄛ</v>
      </c>
      <c r="P4684" s="1" t="s">
        <v>20</v>
      </c>
      <c r="R4684" s="1" t="s">
        <v>9236</v>
      </c>
      <c r="V4684" s="1" t="s">
        <v>9255</v>
      </c>
      <c r="AR4684" s="1" t="str">
        <f t="shared" si="296"/>
        <v>| [ㄌㄨㄛˊ](ㄌㄨㄛˊ.md) | [邏](邏.md) |  | luó | [動]
巡視偵察。如：「巡邏」。《晉書．卷九五．藝術傳．戴洋傳》：「昨朝大霧晏風，當有怨賊報仇，攻圍諸侯，誠宜遠偵邏。」
[名]
1.巡邏人員、兵卒。《晉書．卷三四．羊祜傳》：「於是戍邏減半，分以墾田八百餘頃，大獲其利。」《新唐書．卷八四．李密傳》：「密羸行入關，為邏所獲，與支黨護送帝所。」
2.山或溪的邊緣。唐．杜甫〈送賈閣老出汝州〉詩：「宮殿青門隔，雲山紫邏深。」宋．范成大〈中巖〉詩：「赤巖倚彾𢓳，翠邏森戍削。」 |</v>
      </c>
    </row>
    <row r="4685" spans="1:44" hidden="1">
      <c r="A4685" s="1" t="s">
        <v>9256</v>
      </c>
      <c r="C4685" s="1">
        <v>1</v>
      </c>
      <c r="D4685" s="1" t="str">
        <f>"03799"</f>
        <v>03799</v>
      </c>
      <c r="E4685" s="1" t="s">
        <v>49</v>
      </c>
      <c r="F4685" s="1">
        <v>25</v>
      </c>
      <c r="G4685" s="1">
        <v>19</v>
      </c>
      <c r="H4685" s="1">
        <v>0</v>
      </c>
      <c r="I4685" s="1" t="s">
        <v>9235</v>
      </c>
      <c r="K4685" s="1" t="str">
        <f t="shared" si="294"/>
        <v>ㄌ</v>
      </c>
      <c r="L4685" s="1" t="str">
        <f t="shared" si="295"/>
        <v>ㄨ</v>
      </c>
      <c r="M4685" s="1" t="str">
        <f t="shared" si="293"/>
        <v>ㄛ</v>
      </c>
      <c r="P4685" s="1" t="s">
        <v>20</v>
      </c>
      <c r="R4685" s="1" t="s">
        <v>9236</v>
      </c>
      <c r="V4685" s="1" t="s">
        <v>9257</v>
      </c>
      <c r="AR4685" s="1" t="str">
        <f t="shared" si="296"/>
        <v>| [ㄌㄨㄛˊ](ㄌㄨㄛˊ.md) | [籮](籮.md) |  | luó | [名]
1.方底圓口的竹器，可用來盛物。《集韻．平聲．戈韻》：「江南謂筐底方上圜曰籮。」
2.一種過濾東西的器具。通「羅」。似篩而邊較寬深，下蒙以密網，可用來播麵粉或過濾流質。 |</v>
      </c>
    </row>
    <row r="4686" spans="1:44" hidden="1">
      <c r="A4686" s="1" t="s">
        <v>9258</v>
      </c>
      <c r="C4686" s="1">
        <v>1</v>
      </c>
      <c r="D4686" s="1" t="str">
        <f>"03800"</f>
        <v>03800</v>
      </c>
      <c r="E4686" s="1" t="s">
        <v>55</v>
      </c>
      <c r="F4686" s="1">
        <v>27</v>
      </c>
      <c r="G4686" s="1">
        <v>19</v>
      </c>
      <c r="H4686" s="1">
        <v>0</v>
      </c>
      <c r="I4686" s="1" t="s">
        <v>9235</v>
      </c>
      <c r="K4686" s="1" t="str">
        <f t="shared" si="294"/>
        <v>ㄌ</v>
      </c>
      <c r="L4686" s="1" t="str">
        <f t="shared" si="295"/>
        <v>ㄨ</v>
      </c>
      <c r="M4686" s="1" t="str">
        <f t="shared" si="293"/>
        <v>ㄛ</v>
      </c>
      <c r="P4686" s="1" t="s">
        <v>20</v>
      </c>
      <c r="R4686" s="1" t="s">
        <v>9236</v>
      </c>
      <c r="V4686" s="1" t="s">
        <v>9259</v>
      </c>
      <c r="AR4686" s="1" t="str">
        <f t="shared" si="296"/>
        <v>| [ㄌㄨㄛˊ](ㄌㄨㄛˊ.md) | [鑼](鑼.md) |  | luó | 樂器名，打擊樂器。為銅製的淺平圓盤，用槌敲擊以發聲，形制各地不同，種類繁多，用途廣泛。 |</v>
      </c>
    </row>
    <row r="4687" spans="1:44" hidden="1">
      <c r="A4687" s="1" t="s">
        <v>9260</v>
      </c>
      <c r="C4687" s="1">
        <v>1</v>
      </c>
      <c r="D4687" s="1" t="str">
        <f>"03801"</f>
        <v>03801</v>
      </c>
      <c r="E4687" s="1" t="s">
        <v>193</v>
      </c>
      <c r="F4687" s="1">
        <v>27</v>
      </c>
      <c r="G4687" s="1">
        <v>19</v>
      </c>
      <c r="H4687" s="1">
        <v>0</v>
      </c>
      <c r="I4687" s="1" t="s">
        <v>9235</v>
      </c>
      <c r="K4687" s="1" t="str">
        <f t="shared" si="294"/>
        <v>ㄌ</v>
      </c>
      <c r="L4687" s="1" t="str">
        <f t="shared" si="295"/>
        <v>ㄨ</v>
      </c>
      <c r="M4687" s="1" t="str">
        <f t="shared" si="293"/>
        <v>ㄛ</v>
      </c>
      <c r="P4687" s="1" t="s">
        <v>20</v>
      </c>
      <c r="R4687" s="1" t="s">
        <v>9236</v>
      </c>
      <c r="V4687" s="1" t="s">
        <v>1056</v>
      </c>
      <c r="AR4687" s="1" t="str">
        <f t="shared" si="296"/>
        <v>| [ㄌㄨㄛˊ](ㄌㄨㄛˊ.md) | [饠](饠.md) |  | luó | 參見「饆饠」條。 |</v>
      </c>
    </row>
    <row r="4688" spans="1:44" hidden="1">
      <c r="A4688" s="1" t="s">
        <v>9261</v>
      </c>
      <c r="C4688" s="1">
        <v>1</v>
      </c>
      <c r="D4688" s="1" t="str">
        <f>"03802"</f>
        <v>03802</v>
      </c>
      <c r="E4688" s="1" t="s">
        <v>2233</v>
      </c>
      <c r="F4688" s="1">
        <v>19</v>
      </c>
      <c r="G4688" s="1">
        <v>12</v>
      </c>
      <c r="H4688" s="1">
        <v>0</v>
      </c>
      <c r="I4688" s="1" t="s">
        <v>9235</v>
      </c>
      <c r="K4688" s="1" t="str">
        <f t="shared" si="294"/>
        <v>ㄌ</v>
      </c>
      <c r="L4688" s="1" t="str">
        <f t="shared" si="295"/>
        <v>ㄨ</v>
      </c>
      <c r="M4688" s="1" t="str">
        <f t="shared" si="293"/>
        <v>ㄛ</v>
      </c>
      <c r="P4688" s="1" t="s">
        <v>20</v>
      </c>
      <c r="R4688" s="1" t="s">
        <v>9236</v>
      </c>
      <c r="V4688" s="1" t="s">
        <v>9262</v>
      </c>
      <c r="AR4688" s="1" t="str">
        <f t="shared" si="296"/>
        <v>| [ㄌㄨㄛˊ](ㄌㄨㄛˊ.md) | [覶](覶.md) |  | luó | 參見「覶縷」條。 |</v>
      </c>
    </row>
    <row r="4689" spans="1:44" hidden="1">
      <c r="A4689" s="1" t="s">
        <v>9263</v>
      </c>
      <c r="C4689" s="1">
        <v>1</v>
      </c>
      <c r="D4689" s="1" t="str">
        <f>"03803"</f>
        <v>03803</v>
      </c>
      <c r="E4689" s="1" t="s">
        <v>169</v>
      </c>
      <c r="F4689" s="1">
        <v>10</v>
      </c>
      <c r="G4689" s="1">
        <v>5</v>
      </c>
      <c r="H4689" s="1">
        <v>1</v>
      </c>
      <c r="I4689" s="1" t="s">
        <v>9264</v>
      </c>
      <c r="K4689" s="1" t="str">
        <f t="shared" si="294"/>
        <v>ㄌ</v>
      </c>
      <c r="L4689" s="1" t="str">
        <f t="shared" si="295"/>
        <v>ㄨ</v>
      </c>
      <c r="M4689" s="1" t="str">
        <f t="shared" si="293"/>
        <v>ㄛ</v>
      </c>
      <c r="P4689" s="1" t="s">
        <v>20</v>
      </c>
      <c r="R4689" s="1" t="s">
        <v>9265</v>
      </c>
      <c r="V4689" s="1" t="s">
        <v>9266</v>
      </c>
      <c r="W4689" s="1" t="s">
        <v>9267</v>
      </c>
      <c r="AR4689" s="1" t="str">
        <f t="shared" si="296"/>
        <v>| [ㄌㄨㄛˇ](ㄌㄨㄛˇ.md) | [砢](砢.md) |  | luǒ | 參見「磊砢」條。 |</v>
      </c>
    </row>
    <row r="4690" spans="1:44" hidden="1">
      <c r="A4690" s="1" t="s">
        <v>9268</v>
      </c>
      <c r="C4690" s="1">
        <v>1</v>
      </c>
      <c r="D4690" s="1" t="str">
        <f>"03804"</f>
        <v>03804</v>
      </c>
      <c r="E4690" s="1" t="s">
        <v>114</v>
      </c>
      <c r="F4690" s="1">
        <v>10</v>
      </c>
      <c r="G4690" s="1">
        <v>8</v>
      </c>
      <c r="H4690" s="1">
        <v>0</v>
      </c>
      <c r="I4690" s="1" t="s">
        <v>9264</v>
      </c>
      <c r="K4690" s="1" t="str">
        <f t="shared" si="294"/>
        <v>ㄌ</v>
      </c>
      <c r="L4690" s="1" t="str">
        <f t="shared" si="295"/>
        <v>ㄨ</v>
      </c>
      <c r="M4690" s="1" t="str">
        <f t="shared" si="293"/>
        <v>ㄛ</v>
      </c>
      <c r="P4690" s="1" t="s">
        <v>20</v>
      </c>
      <c r="R4690" s="1" t="s">
        <v>9265</v>
      </c>
      <c r="V4690" s="1" t="s">
        <v>9269</v>
      </c>
      <c r="AR4690" s="1" t="str">
        <f t="shared" si="296"/>
        <v>| [ㄌㄨㄛˇ](ㄌㄨㄛˇ.md) | [倮](倮.md) |  | luǒ | [動]
裸露。同「裸」。《史記．卷三．殷本紀》：「以酒為池，縣肉為林，使男女倮相逐其間，為長夜之飲。」《三國志．卷五三．吳書．薛綜傳》：「日南郡男女倮體，不以為羞。」 |</v>
      </c>
    </row>
    <row r="4691" spans="1:44" hidden="1">
      <c r="A4691" s="1" t="s">
        <v>9270</v>
      </c>
      <c r="C4691" s="1">
        <v>1</v>
      </c>
      <c r="D4691" s="1" t="str">
        <f>"03805"</f>
        <v>03805</v>
      </c>
      <c r="E4691" s="1" t="s">
        <v>340</v>
      </c>
      <c r="F4691" s="1">
        <v>14</v>
      </c>
      <c r="G4691" s="1">
        <v>8</v>
      </c>
      <c r="H4691" s="1">
        <v>0</v>
      </c>
      <c r="I4691" s="1" t="s">
        <v>9264</v>
      </c>
      <c r="K4691" s="1" t="str">
        <f t="shared" si="294"/>
        <v>ㄌ</v>
      </c>
      <c r="L4691" s="1" t="str">
        <f t="shared" si="295"/>
        <v>ㄨ</v>
      </c>
      <c r="M4691" s="1" t="str">
        <f t="shared" si="293"/>
        <v>ㄛ</v>
      </c>
      <c r="P4691" s="1" t="s">
        <v>20</v>
      </c>
      <c r="R4691" s="1" t="s">
        <v>9265</v>
      </c>
      <c r="V4691" s="1" t="s">
        <v>9271</v>
      </c>
      <c r="AR4691" s="1" t="str">
        <f t="shared" si="296"/>
        <v>| [ㄌㄨㄛˇ](ㄌㄨㄛˇ.md) | [裸](裸.md) |  | luǒ | [動]
赤露身體。如：「全裸」、「裸露」。《漢書．卷八十六．王嘉傳》：「大臣括髮關械，裸躬就笞，非所以重國褒宗廟也。」
[形]
袒露的。如：「裸照」、「裸體」、「赤裸裸」。 |</v>
      </c>
    </row>
    <row r="4692" spans="1:44" hidden="1">
      <c r="A4692" s="1" t="s">
        <v>9272</v>
      </c>
      <c r="C4692" s="1">
        <v>1</v>
      </c>
      <c r="D4692" s="1" t="str">
        <f>"03806"</f>
        <v>03806</v>
      </c>
      <c r="E4692" s="1" t="s">
        <v>68</v>
      </c>
      <c r="F4692" s="1">
        <v>21</v>
      </c>
      <c r="G4692" s="1">
        <v>17</v>
      </c>
      <c r="H4692" s="1">
        <v>0</v>
      </c>
      <c r="I4692" s="1" t="s">
        <v>9264</v>
      </c>
      <c r="K4692" s="1" t="str">
        <f t="shared" si="294"/>
        <v>ㄌ</v>
      </c>
      <c r="L4692" s="1" t="str">
        <f t="shared" si="295"/>
        <v>ㄨ</v>
      </c>
      <c r="M4692" s="1" t="str">
        <f t="shared" si="293"/>
        <v>ㄛ</v>
      </c>
      <c r="P4692" s="1" t="s">
        <v>20</v>
      </c>
      <c r="R4692" s="1" t="s">
        <v>9265</v>
      </c>
      <c r="V4692" s="1" t="s">
        <v>9273</v>
      </c>
      <c r="AR4692" s="1" t="str">
        <f t="shared" si="296"/>
        <v>| [ㄌㄨㄛˇ](ㄌㄨㄛˇ.md) | [臝](臝.md) |  | luǒ | 同「裸」。 |</v>
      </c>
    </row>
    <row r="4693" spans="1:44" hidden="1">
      <c r="A4693" s="1" t="s">
        <v>9132</v>
      </c>
      <c r="C4693" s="1">
        <v>1</v>
      </c>
      <c r="D4693" s="1" t="str">
        <f>"03807"</f>
        <v>03807</v>
      </c>
      <c r="E4693" s="1" t="s">
        <v>660</v>
      </c>
      <c r="F4693" s="1">
        <v>13</v>
      </c>
      <c r="G4693" s="1">
        <v>7</v>
      </c>
      <c r="H4693" s="1">
        <v>2</v>
      </c>
      <c r="I4693" s="1" t="s">
        <v>9264</v>
      </c>
      <c r="K4693" s="1" t="str">
        <f t="shared" si="294"/>
        <v>ㄌ</v>
      </c>
      <c r="L4693" s="1" t="str">
        <f t="shared" si="295"/>
        <v>ㄨ</v>
      </c>
      <c r="M4693" s="1" t="str">
        <f t="shared" si="293"/>
        <v>ㄛ</v>
      </c>
      <c r="P4693" s="1" t="s">
        <v>110</v>
      </c>
      <c r="R4693" s="1" t="s">
        <v>9265</v>
      </c>
      <c r="V4693" s="1" t="s">
        <v>111</v>
      </c>
      <c r="W4693" s="1" t="s">
        <v>9274</v>
      </c>
      <c r="AR4693" s="1" t="str">
        <f t="shared" si="296"/>
        <v>| [ㄌㄨㄛˇ](ㄌㄨㄛˇ.md) | [虜](虜.md) |  | luǒ | (一)之又音。 |</v>
      </c>
    </row>
    <row r="4694" spans="1:44" hidden="1">
      <c r="A4694" s="1" t="s">
        <v>9135</v>
      </c>
      <c r="C4694" s="1">
        <v>1</v>
      </c>
      <c r="D4694" s="1" t="str">
        <f>"03808"</f>
        <v>03808</v>
      </c>
      <c r="E4694" s="1" t="s">
        <v>24</v>
      </c>
      <c r="F4694" s="1">
        <v>16</v>
      </c>
      <c r="G4694" s="1">
        <v>13</v>
      </c>
      <c r="H4694" s="1">
        <v>2</v>
      </c>
      <c r="I4694" s="1" t="s">
        <v>9264</v>
      </c>
      <c r="K4694" s="1" t="str">
        <f t="shared" si="294"/>
        <v>ㄌ</v>
      </c>
      <c r="L4694" s="1" t="str">
        <f t="shared" si="295"/>
        <v>ㄨ</v>
      </c>
      <c r="M4694" s="1" t="str">
        <f t="shared" si="293"/>
        <v>ㄛ</v>
      </c>
      <c r="P4694" s="1" t="s">
        <v>110</v>
      </c>
      <c r="R4694" s="1" t="s">
        <v>9265</v>
      </c>
      <c r="V4694" s="1" t="s">
        <v>111</v>
      </c>
      <c r="W4694" s="1" t="s">
        <v>9275</v>
      </c>
      <c r="AR4694" s="1" t="str">
        <f t="shared" si="296"/>
        <v>| [ㄌㄨㄛˇ](ㄌㄨㄛˇ.md) | [擄](擄.md) |  | luǒ | (一)之又音。 |</v>
      </c>
    </row>
    <row r="4695" spans="1:44" hidden="1">
      <c r="A4695" s="1" t="s">
        <v>9276</v>
      </c>
      <c r="C4695" s="1">
        <v>1</v>
      </c>
      <c r="D4695" s="1" t="str">
        <f>"03809"</f>
        <v>03809</v>
      </c>
      <c r="E4695" s="1" t="s">
        <v>37</v>
      </c>
      <c r="F4695" s="1">
        <v>14</v>
      </c>
      <c r="G4695" s="1">
        <v>10</v>
      </c>
      <c r="H4695" s="1">
        <v>0</v>
      </c>
      <c r="I4695" s="1" t="s">
        <v>9264</v>
      </c>
      <c r="K4695" s="1" t="str">
        <f t="shared" si="294"/>
        <v>ㄌ</v>
      </c>
      <c r="L4695" s="1" t="str">
        <f t="shared" si="295"/>
        <v>ㄨ</v>
      </c>
      <c r="M4695" s="1" t="str">
        <f t="shared" si="293"/>
        <v>ㄛ</v>
      </c>
      <c r="P4695" s="1" t="s">
        <v>20</v>
      </c>
      <c r="R4695" s="1" t="s">
        <v>9265</v>
      </c>
      <c r="V4695" s="1" t="s">
        <v>9277</v>
      </c>
      <c r="AR4695" s="1" t="str">
        <f t="shared" si="296"/>
        <v>| [ㄌㄨㄛˇ](ㄌㄨㄛˇ.md) | [蓏](蓏.md) |  | luǒ | [名]
草本或蔓生植物所結的果實。《說文解字．艸部》：「蓏，在木曰果，在地曰蓏。」《韓非子．外儲說右下》：「今發五苑之蓏蔬棗栗，足以活民。」 |</v>
      </c>
    </row>
    <row r="4696" spans="1:44" hidden="1">
      <c r="A4696" s="1" t="s">
        <v>9278</v>
      </c>
      <c r="C4696" s="1">
        <v>1</v>
      </c>
      <c r="D4696" s="1" t="str">
        <f>"03810"</f>
        <v>03810</v>
      </c>
      <c r="E4696" s="1" t="s">
        <v>40</v>
      </c>
      <c r="F4696" s="1">
        <v>16</v>
      </c>
      <c r="G4696" s="1">
        <v>11</v>
      </c>
      <c r="H4696" s="1">
        <v>0</v>
      </c>
      <c r="I4696" s="1" t="s">
        <v>9264</v>
      </c>
      <c r="K4696" s="1" t="str">
        <f t="shared" si="294"/>
        <v>ㄌ</v>
      </c>
      <c r="L4696" s="1" t="str">
        <f t="shared" si="295"/>
        <v>ㄨ</v>
      </c>
      <c r="M4696" s="1" t="str">
        <f t="shared" si="293"/>
        <v>ㄛ</v>
      </c>
      <c r="P4696" s="1" t="s">
        <v>20</v>
      </c>
      <c r="R4696" s="1" t="s">
        <v>9265</v>
      </c>
      <c r="V4696" s="1" t="s">
        <v>9279</v>
      </c>
      <c r="AR4696" s="1" t="str">
        <f t="shared" si="296"/>
        <v>| [ㄌㄨㄛˇ](ㄌㄨㄛˇ.md) | [瘰](瘰.md) |  | luǒ | [名]
瘰癧：病名。古代稱頸項間的淋巴結核症為「瘰癧」。患部會出現緩慢的化膿性膿疱與瘻管。《廣韻．上聲．果韻》：「瘰，瘰癧，病筋結也。」 |</v>
      </c>
    </row>
    <row r="4697" spans="1:44" hidden="1">
      <c r="A4697" s="1" t="s">
        <v>9280</v>
      </c>
      <c r="C4697" s="1">
        <v>1</v>
      </c>
      <c r="D4697" s="1" t="str">
        <f>"03811"</f>
        <v>03811</v>
      </c>
      <c r="E4697" s="1" t="s">
        <v>679</v>
      </c>
      <c r="F4697" s="1">
        <v>19</v>
      </c>
      <c r="G4697" s="1">
        <v>13</v>
      </c>
      <c r="H4697" s="1">
        <v>0</v>
      </c>
      <c r="I4697" s="1" t="s">
        <v>9264</v>
      </c>
      <c r="K4697" s="1" t="str">
        <f t="shared" si="294"/>
        <v>ㄌ</v>
      </c>
      <c r="L4697" s="1" t="str">
        <f t="shared" si="295"/>
        <v>ㄨ</v>
      </c>
      <c r="M4697" s="1" t="str">
        <f t="shared" si="293"/>
        <v>ㄛ</v>
      </c>
      <c r="P4697" s="1" t="s">
        <v>20</v>
      </c>
      <c r="R4697" s="1" t="s">
        <v>9265</v>
      </c>
      <c r="V4697" s="1" t="s">
        <v>9281</v>
      </c>
      <c r="AR4697" s="1" t="str">
        <f t="shared" si="296"/>
        <v>| [ㄌㄨㄛˇ](ㄌㄨㄛˇ.md) | [蠃](蠃.md) |  | luǒ | 參見「蜾蠃」條。 |</v>
      </c>
    </row>
    <row r="4698" spans="1:44" hidden="1">
      <c r="A4698" s="1" t="s">
        <v>8550</v>
      </c>
      <c r="C4698" s="1">
        <v>1</v>
      </c>
      <c r="D4698" s="1" t="str">
        <f>"03812"</f>
        <v>03812</v>
      </c>
      <c r="E4698" s="1" t="s">
        <v>24</v>
      </c>
      <c r="F4698" s="1">
        <v>24</v>
      </c>
      <c r="G4698" s="1">
        <v>21</v>
      </c>
      <c r="H4698" s="1">
        <v>2</v>
      </c>
      <c r="I4698" s="1" t="s">
        <v>9264</v>
      </c>
      <c r="K4698" s="1" t="str">
        <f t="shared" si="294"/>
        <v>ㄌ</v>
      </c>
      <c r="L4698" s="1" t="str">
        <f t="shared" si="295"/>
        <v>ㄨ</v>
      </c>
      <c r="M4698" s="1" t="str">
        <f t="shared" si="293"/>
        <v>ㄛ</v>
      </c>
      <c r="P4698" s="1" t="s">
        <v>20</v>
      </c>
      <c r="R4698" s="1" t="s">
        <v>9265</v>
      </c>
      <c r="V4698" s="1" t="s">
        <v>9282</v>
      </c>
      <c r="W4698" s="1" t="s">
        <v>9283</v>
      </c>
      <c r="AR4698" s="1" t="str">
        <f t="shared" si="296"/>
        <v>| [ㄌㄨㄛˇ](ㄌㄨㄛˇ.md) | [攭](攭.md) |  | luǒ | [形]
沒有羽毛。《字彙．手部》：「攭，無毛羽貌。」 |</v>
      </c>
    </row>
    <row r="4699" spans="1:44" hidden="1">
      <c r="A4699" s="1" t="s">
        <v>9284</v>
      </c>
      <c r="C4699" s="1">
        <v>1</v>
      </c>
      <c r="D4699" s="1" t="str">
        <f>"03813"</f>
        <v>03813</v>
      </c>
      <c r="E4699" s="1" t="s">
        <v>129</v>
      </c>
      <c r="F4699" s="1">
        <v>9</v>
      </c>
      <c r="G4699" s="1">
        <v>6</v>
      </c>
      <c r="H4699" s="1">
        <v>0</v>
      </c>
      <c r="I4699" s="1" t="s">
        <v>9285</v>
      </c>
      <c r="K4699" s="1" t="str">
        <f t="shared" si="294"/>
        <v>ㄌ</v>
      </c>
      <c r="L4699" s="1" t="str">
        <f t="shared" si="295"/>
        <v>ㄨ</v>
      </c>
      <c r="M4699" s="1" t="str">
        <f t="shared" si="293"/>
        <v>ㄛ</v>
      </c>
      <c r="P4699" s="1" t="s">
        <v>20</v>
      </c>
      <c r="R4699" s="1" t="s">
        <v>9286</v>
      </c>
      <c r="V4699" s="1" t="s">
        <v>9287</v>
      </c>
      <c r="AR4699" s="1" t="str">
        <f t="shared" si="296"/>
        <v>| [ㄌㄨㄛˋ](ㄌㄨㄛˋ.md) | [洛](洛.md) |  | luò | [名]
1.參見「洛水」條。
2.大陸地區洛陽的簡稱。
3.姓。如明代有洛忠。 |</v>
      </c>
    </row>
    <row r="4700" spans="1:44" hidden="1">
      <c r="A4700" s="1" t="s">
        <v>7823</v>
      </c>
      <c r="C4700" s="1">
        <v>1</v>
      </c>
      <c r="D4700" s="1" t="str">
        <f>"03814"</f>
        <v>03814</v>
      </c>
      <c r="E4700" s="1" t="s">
        <v>28</v>
      </c>
      <c r="F4700" s="1">
        <v>9</v>
      </c>
      <c r="G4700" s="1">
        <v>6</v>
      </c>
      <c r="H4700" s="1">
        <v>1</v>
      </c>
      <c r="I4700" s="1" t="s">
        <v>9285</v>
      </c>
      <c r="K4700" s="1" t="str">
        <f t="shared" si="294"/>
        <v>ㄌ</v>
      </c>
      <c r="L4700" s="1" t="str">
        <f t="shared" si="295"/>
        <v>ㄨ</v>
      </c>
      <c r="M4700" s="1" t="str">
        <f t="shared" si="293"/>
        <v>ㄛ</v>
      </c>
      <c r="P4700" s="1" t="s">
        <v>20</v>
      </c>
      <c r="R4700" s="1" t="s">
        <v>9286</v>
      </c>
      <c r="V4700" s="1" t="s">
        <v>9288</v>
      </c>
      <c r="W4700" s="1" t="s">
        <v>9289</v>
      </c>
      <c r="AR4700" s="1" t="str">
        <f t="shared" si="296"/>
        <v>| [ㄌㄨㄛˋ](ㄌㄨㄛˋ.md) | [咯](咯.md) |  | luò | [動]
由喉頭用力清出異物來。如：「咯血」。 |</v>
      </c>
    </row>
    <row r="4701" spans="1:44" hidden="1">
      <c r="A4701" s="1" t="s">
        <v>8052</v>
      </c>
      <c r="C4701" s="1">
        <v>1</v>
      </c>
      <c r="D4701" s="1" t="str">
        <f>"03815"</f>
        <v>03815</v>
      </c>
      <c r="E4701" s="1" t="s">
        <v>336</v>
      </c>
      <c r="F4701" s="1">
        <v>10</v>
      </c>
      <c r="G4701" s="1">
        <v>6</v>
      </c>
      <c r="H4701" s="1">
        <v>2</v>
      </c>
      <c r="I4701" s="1" t="s">
        <v>9285</v>
      </c>
      <c r="K4701" s="1" t="str">
        <f t="shared" si="294"/>
        <v>ㄌ</v>
      </c>
      <c r="L4701" s="1" t="str">
        <f t="shared" si="295"/>
        <v>ㄨ</v>
      </c>
      <c r="M4701" s="1" t="str">
        <f t="shared" si="293"/>
        <v>ㄛ</v>
      </c>
      <c r="P4701" s="1" t="s">
        <v>186</v>
      </c>
      <c r="R4701" s="1" t="s">
        <v>9286</v>
      </c>
      <c r="V4701" s="1" t="s">
        <v>9290</v>
      </c>
      <c r="W4701" s="1" t="s">
        <v>9291</v>
      </c>
      <c r="AR4701" s="1" t="str">
        <f t="shared" si="296"/>
        <v>| [ㄌㄨㄛˋ](ㄌㄨㄛˋ.md) | [烙](烙.md) |  | luò | 參見「炮烙」條。 |</v>
      </c>
    </row>
    <row r="4702" spans="1:44" hidden="1">
      <c r="A4702" s="1" t="s">
        <v>9292</v>
      </c>
      <c r="C4702" s="1">
        <v>1</v>
      </c>
      <c r="D4702" s="1" t="str">
        <f>"03816"</f>
        <v>03816</v>
      </c>
      <c r="E4702" s="1" t="s">
        <v>142</v>
      </c>
      <c r="F4702" s="1">
        <v>10</v>
      </c>
      <c r="G4702" s="1">
        <v>6</v>
      </c>
      <c r="H4702" s="1">
        <v>0</v>
      </c>
      <c r="I4702" s="1" t="s">
        <v>9285</v>
      </c>
      <c r="K4702" s="1" t="str">
        <f t="shared" si="294"/>
        <v>ㄌ</v>
      </c>
      <c r="L4702" s="1" t="str">
        <f t="shared" si="295"/>
        <v>ㄨ</v>
      </c>
      <c r="M4702" s="1" t="str">
        <f t="shared" si="293"/>
        <v>ㄛ</v>
      </c>
      <c r="P4702" s="1" t="s">
        <v>20</v>
      </c>
      <c r="R4702" s="1" t="s">
        <v>9286</v>
      </c>
      <c r="V4702" s="1" t="s">
        <v>9293</v>
      </c>
      <c r="AR4702" s="1" t="str">
        <f t="shared" si="296"/>
        <v>| [ㄌㄨㄛˋ](ㄌㄨㄛˋ.md) | [珞](珞.md) |  | luò | 參見「瓔珞」條。 |</v>
      </c>
    </row>
    <row r="4703" spans="1:44" hidden="1">
      <c r="A4703" s="1" t="s">
        <v>9294</v>
      </c>
      <c r="C4703" s="1">
        <v>1</v>
      </c>
      <c r="D4703" s="1" t="str">
        <f>"03817"</f>
        <v>03817</v>
      </c>
      <c r="E4703" s="1" t="s">
        <v>169</v>
      </c>
      <c r="F4703" s="1">
        <v>11</v>
      </c>
      <c r="G4703" s="1">
        <v>6</v>
      </c>
      <c r="H4703" s="1">
        <v>2</v>
      </c>
      <c r="I4703" s="1" t="s">
        <v>9285</v>
      </c>
      <c r="K4703" s="1" t="str">
        <f t="shared" si="294"/>
        <v>ㄌ</v>
      </c>
      <c r="L4703" s="1" t="str">
        <f t="shared" si="295"/>
        <v>ㄨ</v>
      </c>
      <c r="M4703" s="1" t="str">
        <f t="shared" si="293"/>
        <v>ㄛ</v>
      </c>
      <c r="P4703" s="1" t="s">
        <v>20</v>
      </c>
      <c r="R4703" s="1" t="s">
        <v>9286</v>
      </c>
      <c r="V4703" s="1" t="s">
        <v>9295</v>
      </c>
      <c r="W4703" s="1" t="s">
        <v>9296</v>
      </c>
      <c r="AR4703" s="1" t="str">
        <f t="shared" si="296"/>
        <v>| [ㄌㄨㄛˋ](ㄌㄨㄛˋ.md) | [硌](硌.md) |  | luò | [名]
山上的大石。《玉篇．石部》：「硌，山上大石。」 |</v>
      </c>
    </row>
    <row r="4704" spans="1:44" hidden="1">
      <c r="A4704" s="1" t="s">
        <v>8057</v>
      </c>
      <c r="C4704" s="1">
        <v>1</v>
      </c>
      <c r="D4704" s="1" t="str">
        <f>"03818"</f>
        <v>03818</v>
      </c>
      <c r="E4704" s="1" t="s">
        <v>725</v>
      </c>
      <c r="F4704" s="1">
        <v>12</v>
      </c>
      <c r="G4704" s="1">
        <v>6</v>
      </c>
      <c r="H4704" s="1">
        <v>1</v>
      </c>
      <c r="I4704" s="1" t="s">
        <v>9285</v>
      </c>
      <c r="K4704" s="1" t="str">
        <f t="shared" si="294"/>
        <v>ㄌ</v>
      </c>
      <c r="L4704" s="1" t="str">
        <f t="shared" si="295"/>
        <v>ㄨ</v>
      </c>
      <c r="M4704" s="1" t="str">
        <f t="shared" si="293"/>
        <v>ㄛ</v>
      </c>
      <c r="P4704" s="1" t="s">
        <v>20</v>
      </c>
      <c r="R4704" s="1" t="s">
        <v>9286</v>
      </c>
      <c r="V4704" s="1" t="s">
        <v>9297</v>
      </c>
      <c r="W4704" s="1" t="s">
        <v>9298</v>
      </c>
      <c r="AR4704" s="1" t="str">
        <f t="shared" si="296"/>
        <v>| [ㄌㄨㄛˋ](ㄌㄨㄛˋ.md) | [絡](絡.md) |  | luò | [名]
1.綿絮、粗綿。《說文解字．糸部》：「絡，絮也。」
2.網。《文選．張衡．西京賦》：「振天維，衍地絡。」李善注引薛綜曰：「絡，網也。」
3.繩索。唐．王勃〈乾元殿頌〉：「祥飛井絡，震鱗題瑞朔之元。」
4.馬籠頭。南朝梁．簡文帝〈西齋行馬詩〉：「晨風白金絡，桃花紫玉珂。」唐．李白〈陌上桑〉詩：「五馬如飛龍，青絲結金絡。」
5.瓜果內的網狀纖維。如：「橘絡」、「絲瓜絡」。
6.中醫上指人體的血管和神經系統。如：「經絡」、「脈絡」。
[動]
1.纏繞。宋．陸游〈山園書觸目〉詩：「瘦篁穿石竅，古蔓絡松身。」
2.包羅。《文選．班固．西都賦》：「罘網連紘，籠山絡野。」
3.套住。唐．李賀〈莫愁曲〉：「青絲繫五馬，黃金絡雙牛。」
4.維繫、聯繫。如：「聯絡」、「籠絡人心」。 |</v>
      </c>
    </row>
    <row r="4705" spans="1:44" hidden="1">
      <c r="A4705" s="1" t="s">
        <v>8060</v>
      </c>
      <c r="C4705" s="1">
        <v>1</v>
      </c>
      <c r="D4705" s="1" t="str">
        <f>"03819"</f>
        <v>03819</v>
      </c>
      <c r="E4705" s="1" t="s">
        <v>1462</v>
      </c>
      <c r="F4705" s="1">
        <v>13</v>
      </c>
      <c r="G4705" s="1">
        <v>6</v>
      </c>
      <c r="H4705" s="1">
        <v>1</v>
      </c>
      <c r="I4705" s="1" t="s">
        <v>9285</v>
      </c>
      <c r="K4705" s="1" t="str">
        <f t="shared" si="294"/>
        <v>ㄌ</v>
      </c>
      <c r="L4705" s="1" t="str">
        <f t="shared" si="295"/>
        <v>ㄨ</v>
      </c>
      <c r="M4705" s="1" t="str">
        <f t="shared" si="293"/>
        <v>ㄛ</v>
      </c>
      <c r="P4705" s="1" t="s">
        <v>186</v>
      </c>
      <c r="R4705" s="1" t="s">
        <v>9286</v>
      </c>
      <c r="V4705" s="1" t="s">
        <v>9299</v>
      </c>
      <c r="W4705" s="1" t="s">
        <v>9300</v>
      </c>
      <c r="AR4705" s="1" t="str">
        <f t="shared" si="296"/>
        <v>| [ㄌㄨㄛˋ](ㄌㄨㄛˋ.md) | [酪](酪.md) |  | luò | [名]
以動物乳汁所製成的半凝固食品。明．張自烈《正字通．酉部》：「酪，牛馬乳所造。」如：「乳酪」、「牛酪」。 |</v>
      </c>
    </row>
    <row r="4706" spans="1:44" hidden="1">
      <c r="A4706" s="1" t="s">
        <v>7806</v>
      </c>
      <c r="C4706" s="1">
        <v>1</v>
      </c>
      <c r="D4706" s="1" t="str">
        <f>"03820"</f>
        <v>03820</v>
      </c>
      <c r="E4706" s="1" t="s">
        <v>37</v>
      </c>
      <c r="F4706" s="1">
        <v>13</v>
      </c>
      <c r="G4706" s="1">
        <v>9</v>
      </c>
      <c r="H4706" s="1">
        <v>1</v>
      </c>
      <c r="I4706" s="1" t="s">
        <v>9285</v>
      </c>
      <c r="K4706" s="1" t="str">
        <f t="shared" si="294"/>
        <v>ㄌ</v>
      </c>
      <c r="L4706" s="1" t="str">
        <f t="shared" si="295"/>
        <v>ㄨ</v>
      </c>
      <c r="M4706" s="1" t="str">
        <f t="shared" si="293"/>
        <v>ㄛ</v>
      </c>
      <c r="P4706" s="1" t="s">
        <v>20</v>
      </c>
      <c r="R4706" s="1" t="s">
        <v>9286</v>
      </c>
      <c r="V4706" s="1" t="s">
        <v>9301</v>
      </c>
      <c r="W4706" s="1" t="s">
        <v>9302</v>
      </c>
      <c r="AR4706" s="1" t="str">
        <f t="shared" si="296"/>
        <v>| [ㄌㄨㄛˋ](ㄌㄨㄛˋ.md) | [落](落.md) |  | luò | [動]
1.脫落、凋墜。唐．李白〈古風〉詩五九首之一四：「木落秋草黃，登高望戎虜。」宋．秦觀〈一斛珠．碧雲寥廓〉詞：「江山滿眼今非昨，紛紛木葉風中落。」
2.掉下、降低。如：「落淚」、「落價」。唐．李商隱〈常娥〉詩：「雲母屏風燭影深，長河漸落曉星沉。」宋．蘇軾〈後赤壁賦〉：「山高月小，水落石出。」
3.陷入、掉入。晉．陶淵明〈歸園田居詩〉五首之一：「誤落塵網中，一去三十年。」《晉書．卷五四．陸雲傳》：「於水中顧見其影，因大笑落水，人救獲免。」
4.除去。唐．劉長卿〈戲贈干越尼子歌〉：「厭向春江空浣沙，龍宮落髮披袈裟。」《宋史．卷三〇四．劉師道傳》：「幾道既擢第，事泄，詔落其籍，永不預舉。」
5.掉在後面。唐．李白〈流夜郎贈辛判官〉詩：「氣岸遙凌豪士前，風流肯落他人後。」
6.衰敗。如：「衰落」、「家道中落」。清．蔣士銓〈鳴機夜課圖記〉：「越二載，生銓，家益落，歷困苦窮乏，人所不能堪者。」
7.停留。如：「落腳」、「話音未落」。唐．劉長卿〈入桂渚次砂牛石穴〉詩：「片帆落桂渚，獨夜依楓林。」
8.留下。如：「落款」、「不落痕跡」。
9.得到。《紅樓夢》第三四回：「伏侍一場，大家落個平安，也算是造化了。」
10.歸屬。如：「重擔落在誰身上？」唐．杜甫〈將適吳楚留別章使君〉詩：「不意青草湖，扁舟落吾手。」
[形]
1.掉下的、凋零的。如：「落英繽紛」。唐．白居易〈長恨歌〉：「西宮南苑多秋草，落葉滿階紅不掃。」
2.餘留的。《石點頭．卷四．瞿鳳奴情愆死蓋》：「我只當做個老丫頭，情愿以大作小，服事你終身。拾些殘頭落腳，量不占住你正扇差徭，一舉兩得，可好麼？」
3.稀疏、冷清的。如：「寥落」、「疏落」。《史記．卷一二〇．鄭當時傳》：「家貧，賓客益落。」
4.伶俐。如：「俐落」。
[名]
1.人所聚居的地方。如：「村落」、「部落」。唐．杜甫〈兵車行〉：「君不聞漢家山東二百州，千村萬落生荊杞。」
2.停留、停頓的地方。如：「下落」、「著落」。
3.量詞。計算成堆成疊物品的單位。如：「一落書」、「兩落碗」。
4.姓。如漢代有落閎。 |</v>
      </c>
    </row>
    <row r="4707" spans="1:44" hidden="1">
      <c r="A4707" s="1" t="s">
        <v>9303</v>
      </c>
      <c r="C4707" s="1">
        <v>1</v>
      </c>
      <c r="D4707" s="1" t="str">
        <f>"03821"</f>
        <v>03821</v>
      </c>
      <c r="E4707" s="1" t="s">
        <v>5383</v>
      </c>
      <c r="F4707" s="1">
        <v>14</v>
      </c>
      <c r="G4707" s="1">
        <v>6</v>
      </c>
      <c r="H4707" s="1">
        <v>0</v>
      </c>
      <c r="I4707" s="1" t="s">
        <v>9285</v>
      </c>
      <c r="K4707" s="1" t="str">
        <f t="shared" si="294"/>
        <v>ㄌ</v>
      </c>
      <c r="L4707" s="1" t="str">
        <f t="shared" si="295"/>
        <v>ㄨ</v>
      </c>
      <c r="M4707" s="1" t="str">
        <f t="shared" si="293"/>
        <v>ㄛ</v>
      </c>
      <c r="P4707" s="1" t="s">
        <v>20</v>
      </c>
      <c r="R4707" s="1" t="s">
        <v>9286</v>
      </c>
      <c r="V4707" s="1" t="s">
        <v>9304</v>
      </c>
      <c r="AR4707" s="1" t="str">
        <f t="shared" si="296"/>
        <v>| [ㄌㄨㄛˋ](ㄌㄨㄛˋ.md) | [雒](雒.md) |  | luò | [名]
1.河川名。即洛河。源出大陸地區陝西省雒南縣冢嶺山，流經河南省鞏縣注入黃河。
2.姓。如明代有雒僉。 |</v>
      </c>
    </row>
    <row r="4708" spans="1:44" hidden="1">
      <c r="A4708" s="1" t="s">
        <v>9305</v>
      </c>
      <c r="C4708" s="1">
        <v>1</v>
      </c>
      <c r="D4708" s="1" t="str">
        <f>"03822"</f>
        <v>03822</v>
      </c>
      <c r="E4708" s="1" t="s">
        <v>319</v>
      </c>
      <c r="F4708" s="1">
        <v>16</v>
      </c>
      <c r="G4708" s="1">
        <v>6</v>
      </c>
      <c r="H4708" s="1">
        <v>0</v>
      </c>
      <c r="I4708" s="1" t="s">
        <v>9285</v>
      </c>
      <c r="K4708" s="1" t="str">
        <f t="shared" si="294"/>
        <v>ㄌ</v>
      </c>
      <c r="L4708" s="1" t="str">
        <f t="shared" si="295"/>
        <v>ㄨ</v>
      </c>
      <c r="M4708" s="1" t="str">
        <f t="shared" si="293"/>
        <v>ㄛ</v>
      </c>
      <c r="P4708" s="1" t="s">
        <v>20</v>
      </c>
      <c r="R4708" s="1" t="s">
        <v>9286</v>
      </c>
      <c r="V4708" s="1" t="s">
        <v>9306</v>
      </c>
      <c r="AR4708" s="1" t="str">
        <f t="shared" si="296"/>
        <v>| [ㄌㄨㄛˋ](ㄌㄨㄛˋ.md) | [駱](駱.md) |  | luò | [名]
1.黑色鬃毛的白馬。《說文解字．馬部》：「駱，馬白色黑鬣尾也。」
2.姓。如唐代有駱賓王。 |</v>
      </c>
    </row>
    <row r="4709" spans="1:44" hidden="1">
      <c r="A4709" s="1" t="s">
        <v>9307</v>
      </c>
      <c r="C4709" s="1">
        <v>1</v>
      </c>
      <c r="D4709" s="1" t="str">
        <f>"03823"</f>
        <v>03823</v>
      </c>
      <c r="E4709" s="1" t="s">
        <v>319</v>
      </c>
      <c r="F4709" s="1">
        <v>13</v>
      </c>
      <c r="G4709" s="1">
        <v>3</v>
      </c>
      <c r="H4709" s="1">
        <v>2</v>
      </c>
      <c r="I4709" s="1" t="s">
        <v>9285</v>
      </c>
      <c r="K4709" s="1" t="str">
        <f t="shared" si="294"/>
        <v>ㄌ</v>
      </c>
      <c r="L4709" s="1" t="str">
        <f t="shared" si="295"/>
        <v>ㄨ</v>
      </c>
      <c r="M4709" s="1" t="str">
        <f t="shared" si="293"/>
        <v>ㄛ</v>
      </c>
      <c r="P4709" s="1" t="s">
        <v>20</v>
      </c>
      <c r="R4709" s="1" t="s">
        <v>9286</v>
      </c>
      <c r="V4709" s="1" t="s">
        <v>9308</v>
      </c>
      <c r="W4709" s="1" t="s">
        <v>9309</v>
      </c>
      <c r="AR4709" s="1" t="str">
        <f t="shared" si="296"/>
        <v>| [ㄌㄨㄛˋ](ㄌㄨㄛˋ.md) | [馲](馲.md) |  | luò | [名]
馲駝：即駱駝。漢．揚雄《方言》卷七：「凡以驢馬馲駝載物者謂之負他。」 |</v>
      </c>
    </row>
    <row r="4710" spans="1:44" hidden="1">
      <c r="A4710" s="1" t="s">
        <v>5994</v>
      </c>
      <c r="C4710" s="1">
        <v>1</v>
      </c>
      <c r="D4710" s="1" t="str">
        <f>"03824"</f>
        <v>03824</v>
      </c>
      <c r="E4710" s="1" t="s">
        <v>129</v>
      </c>
      <c r="F4710" s="1">
        <v>14</v>
      </c>
      <c r="G4710" s="1">
        <v>11</v>
      </c>
      <c r="H4710" s="1">
        <v>2</v>
      </c>
      <c r="I4710" s="1" t="s">
        <v>9285</v>
      </c>
      <c r="K4710" s="1" t="str">
        <f t="shared" si="294"/>
        <v>ㄌ</v>
      </c>
      <c r="L4710" s="1" t="str">
        <f t="shared" si="295"/>
        <v>ㄨ</v>
      </c>
      <c r="M4710" s="1" t="str">
        <f t="shared" si="293"/>
        <v>ㄛ</v>
      </c>
      <c r="P4710" s="1" t="s">
        <v>20</v>
      </c>
      <c r="R4710" s="1" t="s">
        <v>9286</v>
      </c>
      <c r="V4710" s="1" t="s">
        <v>9310</v>
      </c>
      <c r="W4710" s="1" t="s">
        <v>9311</v>
      </c>
      <c r="AR4710" s="1" t="str">
        <f t="shared" si="296"/>
        <v>| [ㄌㄨㄛˋ](ㄌㄨㄛˋ.md) | [漯](漯.md) |  | luò | [名]
漯河：城市名。位於大陸地區河南省。 |</v>
      </c>
    </row>
    <row r="4711" spans="1:44" hidden="1">
      <c r="A4711" s="1" t="s">
        <v>9312</v>
      </c>
      <c r="C4711" s="1">
        <v>1</v>
      </c>
      <c r="D4711" s="1" t="str">
        <f>"03825"</f>
        <v>03825</v>
      </c>
      <c r="E4711" s="1" t="s">
        <v>518</v>
      </c>
      <c r="F4711" s="1">
        <v>14</v>
      </c>
      <c r="G4711" s="1">
        <v>10</v>
      </c>
      <c r="H4711" s="1">
        <v>0</v>
      </c>
      <c r="I4711" s="1" t="s">
        <v>9285</v>
      </c>
      <c r="K4711" s="1" t="str">
        <f t="shared" si="294"/>
        <v>ㄌ</v>
      </c>
      <c r="L4711" s="1" t="str">
        <f t="shared" si="295"/>
        <v>ㄨ</v>
      </c>
      <c r="M4711" s="1" t="str">
        <f t="shared" si="293"/>
        <v>ㄛ</v>
      </c>
      <c r="P4711" s="1" t="s">
        <v>20</v>
      </c>
      <c r="R4711" s="1" t="s">
        <v>9286</v>
      </c>
      <c r="V4711" s="1" t="s">
        <v>9313</v>
      </c>
      <c r="AR4711" s="1" t="str">
        <f t="shared" si="296"/>
        <v>| [ㄌㄨㄛˋ](ㄌㄨㄛˋ.md) | [犖](犖.md) |  | luò | [名]
1.毛色不純的牛。《說文解字．牛部》：「犖，駁牛也。」清．段玉裁．注：「馬色不純曰駁。」唐．陸龜蒙〈雜諷〉詩九首之二：「斯為朽關鍵，怒犖抉以入。」
2.斑斕的色彩。《文選．司馬相如．上林賦》：「赤瑕駁犖，雜臿其間。」晉．郭璞．注：「駁犖，采點。」
3.地名。春秋時宋地，約在今大陸地區河南省淮陽縣西北。
[形]
分明、顯著。《史記．卷二七．天官書》：「兵征大宛，星茀招搖，此其犖犖大者。」 |</v>
      </c>
    </row>
    <row r="4712" spans="1:44" hidden="1">
      <c r="A4712" s="1" t="s">
        <v>344</v>
      </c>
      <c r="C4712" s="1">
        <v>1</v>
      </c>
      <c r="D4712" s="1" t="str">
        <f>"03826"</f>
        <v>03826</v>
      </c>
      <c r="E4712" s="1" t="s">
        <v>129</v>
      </c>
      <c r="F4712" s="1">
        <v>18</v>
      </c>
      <c r="G4712" s="1">
        <v>15</v>
      </c>
      <c r="H4712" s="1">
        <v>1</v>
      </c>
      <c r="I4712" s="1" t="s">
        <v>9285</v>
      </c>
      <c r="K4712" s="1" t="str">
        <f t="shared" si="294"/>
        <v>ㄌ</v>
      </c>
      <c r="L4712" s="1" t="str">
        <f t="shared" si="295"/>
        <v>ㄨ</v>
      </c>
      <c r="M4712" s="1" t="str">
        <f t="shared" si="293"/>
        <v>ㄛ</v>
      </c>
      <c r="P4712" s="1" t="s">
        <v>20</v>
      </c>
      <c r="R4712" s="1" t="s">
        <v>9286</v>
      </c>
      <c r="V4712" s="1" t="s">
        <v>9314</v>
      </c>
      <c r="W4712" s="1" t="s">
        <v>9315</v>
      </c>
      <c r="AR4712" s="1" t="str">
        <f t="shared" si="296"/>
        <v>| [ㄌㄨㄛˋ](ㄌㄨㄛˋ.md) | [濼](濼.md) |  | luò | [名]
河川名。發源於今大陸地區山東省濟南市，東流為小青河，北流注入濟水。 |</v>
      </c>
    </row>
    <row r="4713" spans="1:44" hidden="1">
      <c r="A4713" s="1" t="s">
        <v>8535</v>
      </c>
      <c r="C4713" s="1">
        <v>1</v>
      </c>
      <c r="D4713" s="1" t="str">
        <f>"03827"</f>
        <v>03827</v>
      </c>
      <c r="E4713" s="1" t="s">
        <v>77</v>
      </c>
      <c r="F4713" s="1">
        <v>22</v>
      </c>
      <c r="G4713" s="1">
        <v>15</v>
      </c>
      <c r="H4713" s="1">
        <v>2</v>
      </c>
      <c r="I4713" s="1" t="s">
        <v>9285</v>
      </c>
      <c r="K4713" s="1" t="str">
        <f t="shared" si="294"/>
        <v>ㄌ</v>
      </c>
      <c r="L4713" s="1" t="str">
        <f t="shared" si="295"/>
        <v>ㄨ</v>
      </c>
      <c r="M4713" s="1" t="str">
        <f t="shared" si="293"/>
        <v>ㄛ</v>
      </c>
      <c r="P4713" s="1" t="s">
        <v>20</v>
      </c>
      <c r="R4713" s="1" t="s">
        <v>9286</v>
      </c>
      <c r="V4713" s="1" t="s">
        <v>9316</v>
      </c>
      <c r="W4713" s="1" t="s">
        <v>9317</v>
      </c>
      <c r="AR4713" s="1" t="str">
        <f t="shared" si="296"/>
        <v>| [ㄌㄨㄛˋ](ㄌㄨㄛˋ.md) | [躒](躒.md) |  | luò | [動]
超絕、優越。《文選．孔融．荐禰衡表》：「淑質貞亮，英才卓躒。」唐．李善．注：「卓躒，絕異也。」 |</v>
      </c>
    </row>
    <row r="4714" spans="1:44" hidden="1">
      <c r="A4714" s="1" t="s">
        <v>8562</v>
      </c>
      <c r="C4714" s="1">
        <v>1</v>
      </c>
      <c r="D4714" s="1" t="str">
        <f>"03498"</f>
        <v>03498</v>
      </c>
      <c r="E4714" s="1" t="s">
        <v>28</v>
      </c>
      <c r="F4714" s="1">
        <v>9</v>
      </c>
      <c r="G4714" s="1">
        <v>6</v>
      </c>
      <c r="H4714" s="1">
        <v>1</v>
      </c>
      <c r="I4714" s="1" t="s">
        <v>8563</v>
      </c>
      <c r="K4714" s="1" t="str">
        <f t="shared" si="294"/>
        <v>ㄌ</v>
      </c>
      <c r="L4714" s="1" t="str">
        <f t="shared" si="295"/>
        <v>ㄧ</v>
      </c>
      <c r="M4714" s="1" t="str">
        <f t="shared" si="293"/>
        <v>ㄝ</v>
      </c>
      <c r="P4714" s="1" t="s">
        <v>20</v>
      </c>
      <c r="R4714" s="1" t="s">
        <v>8564</v>
      </c>
      <c r="V4714" s="1" t="s">
        <v>8565</v>
      </c>
      <c r="W4714" s="1" t="s">
        <v>8566</v>
      </c>
      <c r="AR4714" s="1" t="str">
        <f t="shared" si="296"/>
        <v>| [ㄌㄧㄝ](ㄌㄧㄝ.md) | [咧](咧.md) |  | liē | [助]
用於句末，相當於「哪」、「哩」、「啦」。《老殘遊記》第一三回：「那不得罪人麼，快別哭咧！」 |</v>
      </c>
    </row>
    <row r="4715" spans="1:44" hidden="1">
      <c r="A4715" s="1" t="s">
        <v>8562</v>
      </c>
      <c r="C4715" s="1">
        <v>1</v>
      </c>
      <c r="D4715" s="1" t="str">
        <f>"03499"</f>
        <v>03499</v>
      </c>
      <c r="E4715" s="1" t="s">
        <v>28</v>
      </c>
      <c r="F4715" s="1">
        <v>9</v>
      </c>
      <c r="G4715" s="1">
        <v>6</v>
      </c>
      <c r="H4715" s="1">
        <v>2</v>
      </c>
      <c r="I4715" s="1" t="s">
        <v>8567</v>
      </c>
      <c r="K4715" s="1" t="str">
        <f t="shared" si="294"/>
        <v>ㄌ</v>
      </c>
      <c r="L4715" s="1" t="str">
        <f t="shared" si="295"/>
        <v>ㄧ</v>
      </c>
      <c r="M4715" s="1" t="str">
        <f t="shared" si="293"/>
        <v>ㄝ</v>
      </c>
      <c r="P4715" s="1" t="s">
        <v>20</v>
      </c>
      <c r="R4715" s="1" t="s">
        <v>8568</v>
      </c>
      <c r="V4715" s="1" t="s">
        <v>8569</v>
      </c>
      <c r="W4715" s="1" t="s">
        <v>8570</v>
      </c>
      <c r="AR4715" s="1" t="str">
        <f t="shared" si="296"/>
        <v>| [ㄌㄧㄝˊ](ㄌㄧㄝˊ.md) | [咧](咧.md) |  | lié | 參見「咧咧」條。 |</v>
      </c>
    </row>
    <row r="4716" spans="1:44" hidden="1">
      <c r="A4716" s="1" t="s">
        <v>8562</v>
      </c>
      <c r="C4716" s="1">
        <v>1</v>
      </c>
      <c r="D4716" s="1" t="str">
        <f>"03500"</f>
        <v>03500</v>
      </c>
      <c r="E4716" s="1" t="s">
        <v>28</v>
      </c>
      <c r="F4716" s="1">
        <v>9</v>
      </c>
      <c r="G4716" s="1">
        <v>6</v>
      </c>
      <c r="H4716" s="1">
        <v>3</v>
      </c>
      <c r="I4716" s="1" t="s">
        <v>8571</v>
      </c>
      <c r="K4716" s="1" t="str">
        <f t="shared" si="294"/>
        <v>ㄌ</v>
      </c>
      <c r="L4716" s="1" t="str">
        <f t="shared" si="295"/>
        <v>ㄧ</v>
      </c>
      <c r="M4716" s="1" t="str">
        <f t="shared" si="293"/>
        <v>ㄝ</v>
      </c>
      <c r="P4716" s="1" t="s">
        <v>20</v>
      </c>
      <c r="R4716" s="1" t="s">
        <v>8572</v>
      </c>
      <c r="V4716" s="1" t="s">
        <v>8573</v>
      </c>
      <c r="W4716" s="1" t="s">
        <v>8574</v>
      </c>
      <c r="AR4716" s="1" t="str">
        <f t="shared" si="296"/>
        <v>| [ㄌㄧㄝˇ](ㄌㄧㄝˇ.md) | [咧](咧.md) |  | liě | [動]
嘴角向兩旁張開。如：「咧嘴大笑」、「齜牙咧嘴」。 |</v>
      </c>
    </row>
    <row r="4717" spans="1:44" hidden="1">
      <c r="A4717" s="1" t="s">
        <v>8575</v>
      </c>
      <c r="C4717" s="1">
        <v>1</v>
      </c>
      <c r="D4717" s="1" t="str">
        <f>"03501"</f>
        <v>03501</v>
      </c>
      <c r="E4717" s="1" t="s">
        <v>185</v>
      </c>
      <c r="F4717" s="1">
        <v>6</v>
      </c>
      <c r="G4717" s="1">
        <v>4</v>
      </c>
      <c r="H4717" s="1">
        <v>0</v>
      </c>
      <c r="I4717" s="1" t="s">
        <v>8576</v>
      </c>
      <c r="K4717" s="1" t="str">
        <f t="shared" si="294"/>
        <v>ㄌ</v>
      </c>
      <c r="L4717" s="1" t="str">
        <f t="shared" si="295"/>
        <v>ㄧ</v>
      </c>
      <c r="M4717" s="1" t="str">
        <f t="shared" si="293"/>
        <v>ㄝ</v>
      </c>
      <c r="P4717" s="1" t="s">
        <v>20</v>
      </c>
      <c r="R4717" s="1" t="s">
        <v>8577</v>
      </c>
      <c r="V4717" s="1" t="s">
        <v>8578</v>
      </c>
      <c r="AR4717" s="1" t="str">
        <f t="shared" si="296"/>
        <v>| [ㄌㄧㄝˋ](ㄌㄧㄝˋ.md) | [列](列.md) |  | liè | [名]
1.行次。《左傳．僖公二十二年》：「既濟，而未成列。」《禮記．喪大記》：「火三列，黼三列。」唐．孔穎達．正義：「列，行也。」
2.位次、職位。《論語．季氏》：「陳力就列，不能者止。」《史記．卷八四．屈原賈生傳》：「上官大夫與之同列，爭寵而心害其能。」
3.類。如：「這不在討論之列。」、「他們公司開發出新系列的產品。」
4.量詞。計算成行成列的人或物的單位。如：「一列火車」、「營房前站著一列士兵。」
5.姓。如戰國時有列禦寇。
[動]
1.分解、分開。通「裂」。《漢書．卷八五．谷永傳》：「列土封疆非為諸侯，皆以為民也。」
2.依次排比。如：「排列」、「陳列」、「列隊」。晉．陶淵明〈詠荊軻詩〉：「飲餞易水上，四座列群英。」
3.安排、放入。如：「大家的意見均列入紀錄。」
[形]
各、眾。如：「列國」、「列祖列宗」。《紅樓夢》第六二回：「我來了，全仗列位扶持。」
[副]
一一的。如：「列舉」。 |</v>
      </c>
    </row>
    <row r="4718" spans="1:44" hidden="1">
      <c r="A4718" s="1" t="s">
        <v>8579</v>
      </c>
      <c r="C4718" s="1">
        <v>1</v>
      </c>
      <c r="D4718" s="1" t="str">
        <f>"03502"</f>
        <v>03502</v>
      </c>
      <c r="E4718" s="1" t="s">
        <v>1381</v>
      </c>
      <c r="F4718" s="1">
        <v>8</v>
      </c>
      <c r="G4718" s="1">
        <v>6</v>
      </c>
      <c r="H4718" s="1">
        <v>0</v>
      </c>
      <c r="I4718" s="1" t="s">
        <v>8576</v>
      </c>
      <c r="K4718" s="1" t="str">
        <f t="shared" si="294"/>
        <v>ㄌ</v>
      </c>
      <c r="L4718" s="1" t="str">
        <f t="shared" si="295"/>
        <v>ㄧ</v>
      </c>
      <c r="M4718" s="1" t="str">
        <f t="shared" si="293"/>
        <v>ㄝ</v>
      </c>
      <c r="P4718" s="1" t="s">
        <v>20</v>
      </c>
      <c r="R4718" s="1" t="s">
        <v>8577</v>
      </c>
      <c r="V4718" s="1" t="s">
        <v>8580</v>
      </c>
      <c r="AR4718" s="1" t="str">
        <f t="shared" si="296"/>
        <v>| [ㄌㄧㄝˋ](ㄌㄧㄝˋ.md) | [冽](冽.md) |  | liè | [形]
寒冷。如：「凜冽」。唐．柳宗元〈至小邱西小石潭記〉：「伐竹取道，下見小潭，水尤清冽。」明．孫仁孺《東郭記》第二二齣：「暮光又早生新月，野曠西風冽。」 |</v>
      </c>
    </row>
    <row r="4719" spans="1:44" hidden="1">
      <c r="A4719" s="1" t="s">
        <v>8581</v>
      </c>
      <c r="C4719" s="1">
        <v>1</v>
      </c>
      <c r="D4719" s="1" t="str">
        <f>"03503"</f>
        <v>03503</v>
      </c>
      <c r="E4719" s="1" t="s">
        <v>129</v>
      </c>
      <c r="F4719" s="1">
        <v>9</v>
      </c>
      <c r="G4719" s="1">
        <v>6</v>
      </c>
      <c r="H4719" s="1">
        <v>0</v>
      </c>
      <c r="I4719" s="1" t="s">
        <v>8576</v>
      </c>
      <c r="K4719" s="1" t="str">
        <f t="shared" si="294"/>
        <v>ㄌ</v>
      </c>
      <c r="L4719" s="1" t="str">
        <f t="shared" si="295"/>
        <v>ㄧ</v>
      </c>
      <c r="M4719" s="1" t="str">
        <f t="shared" si="293"/>
        <v>ㄝ</v>
      </c>
      <c r="P4719" s="1" t="s">
        <v>20</v>
      </c>
      <c r="R4719" s="1" t="s">
        <v>8577</v>
      </c>
      <c r="V4719" s="1" t="s">
        <v>8582</v>
      </c>
      <c r="AR4719" s="1" t="str">
        <f t="shared" si="296"/>
        <v>| [ㄌㄧㄝˋ](ㄌㄧㄝˋ.md) | [洌](洌.md) |  | liè | [形]
1.清澈。宋．歐陽修〈醉翁亭記〉：「釀泉為酒，泉香而酒洌。」
2.寒冷。通「冽」。《詩經．小雅．大東》：「有洌氿泉，無浸穫薪。」漢．毛亨．傳：「洌，寒意也。」《文選．宋玉．高唐賦》：「紬大絃而雅聲流，洌風過而增悲哀。」 |</v>
      </c>
    </row>
    <row r="4720" spans="1:44" hidden="1">
      <c r="A4720" s="1" t="s">
        <v>8583</v>
      </c>
      <c r="C4720" s="1">
        <v>1</v>
      </c>
      <c r="D4720" s="1" t="str">
        <f>"03504"</f>
        <v>03504</v>
      </c>
      <c r="E4720" s="1" t="s">
        <v>336</v>
      </c>
      <c r="F4720" s="1">
        <v>10</v>
      </c>
      <c r="G4720" s="1">
        <v>6</v>
      </c>
      <c r="H4720" s="1">
        <v>0</v>
      </c>
      <c r="I4720" s="1" t="s">
        <v>8576</v>
      </c>
      <c r="K4720" s="1" t="str">
        <f t="shared" si="294"/>
        <v>ㄌ</v>
      </c>
      <c r="L4720" s="1" t="str">
        <f t="shared" si="295"/>
        <v>ㄧ</v>
      </c>
      <c r="M4720" s="1" t="str">
        <f t="shared" si="293"/>
        <v>ㄝ</v>
      </c>
      <c r="P4720" s="1" t="s">
        <v>20</v>
      </c>
      <c r="R4720" s="1" t="s">
        <v>8577</v>
      </c>
      <c r="V4720" s="1" t="s">
        <v>8584</v>
      </c>
      <c r="AR4720" s="1" t="str">
        <f t="shared" si="296"/>
        <v>| [ㄌㄧㄝˋ](ㄌㄧㄝˋ.md) | [烈](烈.md) |  | liè | [形]_x000D_
1.威猛、強勁。《左傳．昭公二十年》：「夫火烈，民望而畏之，故鮮死焉。」《後漢書．卷七〇．鄭孔荀列傳．鄭太》：「以膠固之眾，當解合之埶，猶以烈風掃彼枯葉。」_x000D_
2.剛直、正義。如：「烈士」。《史記．卷八六．刺客列傳．聶政》：「非獨政能也，乃其姊亦烈女也。」_x000D_
3.嚴厲、嚴酷。《淮南子．齊俗》：「曾參之養親也，若事嚴主烈君。」漢．高誘．注：「烈，酷也。」_x000D_
4.光明、顯赫。《詩經．周頌．雝》：「既右烈考，亦右文母。」《國語．晉語九》：「君有烈名，臣無叛質。」三國吳．韋昭．注：「烈，明也。」_x000D_
5.味道或成分很濃、很重。如：「烈酒」。唐．沈亞之〈夢遊仙賦〉：「襲烈蕙之芳風，送麗音於遼耳。」_x000D_
[名]_x000D_
1.功業。《孟子．公孫丑上》：「行乎國政如彼其久也，功烈如彼其卑也。」_x000D_
2.為正義而犧牲性命的人。如：「革命先烈」。_x000D_
3.毒、禍害。《漢書．卷五八．公孫弘卜式兒寬傳．公孫弘》：「若湯之旱，則桀之餘烈也。」_x000D_
4.姓。如秦代有烈裔。_x000D_
[動]_x000D_
燃燒。《孟子．滕文公上》：「舜使益掌火，益烈山澤而焚之。」元．李壽卿《度柳翠．楔子》：「明朝是汝父周年，自當來烈紙焚錢。」 |</v>
      </c>
    </row>
    <row r="4721" spans="1:44" hidden="1">
      <c r="A4721" s="1" t="s">
        <v>8585</v>
      </c>
      <c r="C4721" s="1">
        <v>1</v>
      </c>
      <c r="D4721" s="1" t="str">
        <f>"03505"</f>
        <v>03505</v>
      </c>
      <c r="E4721" s="1" t="s">
        <v>340</v>
      </c>
      <c r="F4721" s="1">
        <v>12</v>
      </c>
      <c r="G4721" s="1">
        <v>6</v>
      </c>
      <c r="H4721" s="1">
        <v>0</v>
      </c>
      <c r="I4721" s="1" t="s">
        <v>8576</v>
      </c>
      <c r="K4721" s="1" t="str">
        <f t="shared" si="294"/>
        <v>ㄌ</v>
      </c>
      <c r="L4721" s="1" t="str">
        <f t="shared" si="295"/>
        <v>ㄧ</v>
      </c>
      <c r="M4721" s="1" t="str">
        <f t="shared" si="293"/>
        <v>ㄝ</v>
      </c>
      <c r="P4721" s="1" t="s">
        <v>20</v>
      </c>
      <c r="R4721" s="1" t="s">
        <v>8577</v>
      </c>
      <c r="V4721" s="1" t="s">
        <v>8586</v>
      </c>
      <c r="AR4721" s="1" t="str">
        <f t="shared" si="296"/>
        <v>| [ㄌㄧㄝˋ](ㄌㄧㄝˋ.md) | [裂](裂.md) |  | liè | [名]
裁剪後剩餘的布帛。《說文解字．衣部》：「裂，繒餘也。」
[動]
1.割、撕、破。如：「破裂」、「裂開」。《禮記．內則》：「衣裳綻裂，紉咸請補綴。」《後漢書．卷八一．獨行傳．范式傳》：「乃裂素為書，以遺巨卿。」
2.分散。如：「分裂」、「四分五裂」。《莊子．天下》：「後世之學者，不幸不見天地之純，古人之大體，術道將為天下裂。」
3.分配、劃分。《墨子．尚賢中》：「般爵以貴之，裂地以封之。」《戰國策．秦策五》：「大王裂趙之半以賂秦。」 |</v>
      </c>
    </row>
    <row r="4722" spans="1:44" hidden="1">
      <c r="A4722" s="1" t="s">
        <v>8587</v>
      </c>
      <c r="C4722" s="1">
        <v>1</v>
      </c>
      <c r="D4722" s="1" t="str">
        <f>"03506"</f>
        <v>03506</v>
      </c>
      <c r="E4722" s="1" t="s">
        <v>4563</v>
      </c>
      <c r="F4722" s="1">
        <v>13</v>
      </c>
      <c r="G4722" s="1">
        <v>6</v>
      </c>
      <c r="H4722" s="1">
        <v>0</v>
      </c>
      <c r="I4722" s="1" t="s">
        <v>8576</v>
      </c>
      <c r="K4722" s="1" t="str">
        <f t="shared" si="294"/>
        <v>ㄌ</v>
      </c>
      <c r="L4722" s="1" t="str">
        <f t="shared" si="295"/>
        <v>ㄧ</v>
      </c>
      <c r="M4722" s="1" t="str">
        <f t="shared" si="293"/>
        <v>ㄝ</v>
      </c>
      <c r="P4722" s="1" t="s">
        <v>20</v>
      </c>
      <c r="R4722" s="1" t="s">
        <v>8577</v>
      </c>
      <c r="V4722" s="1" t="s">
        <v>8588</v>
      </c>
      <c r="AR4722" s="1" t="str">
        <f t="shared" si="296"/>
        <v>| [ㄌㄧㄝˋ](ㄌㄧㄝˋ.md) | [趔](趔.md) |  | liè | 參見「趔趄」條。 |</v>
      </c>
    </row>
    <row r="4723" spans="1:44" hidden="1">
      <c r="A4723" s="1" t="s">
        <v>8589</v>
      </c>
      <c r="C4723" s="1">
        <v>1</v>
      </c>
      <c r="D4723" s="1" t="str">
        <f>"03507"</f>
        <v>03507</v>
      </c>
      <c r="E4723" s="1" t="s">
        <v>1161</v>
      </c>
      <c r="F4723" s="1">
        <v>15</v>
      </c>
      <c r="G4723" s="1">
        <v>6</v>
      </c>
      <c r="H4723" s="1">
        <v>0</v>
      </c>
      <c r="I4723" s="1" t="s">
        <v>8576</v>
      </c>
      <c r="K4723" s="1" t="str">
        <f t="shared" si="294"/>
        <v>ㄌ</v>
      </c>
      <c r="L4723" s="1" t="str">
        <f t="shared" si="295"/>
        <v>ㄧ</v>
      </c>
      <c r="M4723" s="1" t="str">
        <f t="shared" si="293"/>
        <v>ㄝ</v>
      </c>
      <c r="P4723" s="1" t="s">
        <v>20</v>
      </c>
      <c r="R4723" s="1" t="s">
        <v>8577</v>
      </c>
      <c r="V4723" s="1" t="s">
        <v>8590</v>
      </c>
      <c r="AR4723" s="1" t="str">
        <f t="shared" si="296"/>
        <v>| [ㄌㄧㄝˋ](ㄌㄧㄝˋ.md) | [颲](颲.md) |  | liè | [形]
風勢強勁。南朝梁．武帝〈孝思賦〉：「旅雁鳴而哀哀，朔風鼓而颲颲。」 |</v>
      </c>
    </row>
    <row r="4724" spans="1:44" hidden="1">
      <c r="A4724" s="1" t="s">
        <v>8591</v>
      </c>
      <c r="C4724" s="1">
        <v>1</v>
      </c>
      <c r="D4724" s="1" t="str">
        <f>"03508"</f>
        <v>03508</v>
      </c>
      <c r="E4724" s="1" t="s">
        <v>272</v>
      </c>
      <c r="F4724" s="1">
        <v>17</v>
      </c>
      <c r="G4724" s="1">
        <v>6</v>
      </c>
      <c r="H4724" s="1">
        <v>0</v>
      </c>
      <c r="I4724" s="1" t="s">
        <v>8576</v>
      </c>
      <c r="K4724" s="1" t="str">
        <f t="shared" si="294"/>
        <v>ㄌ</v>
      </c>
      <c r="L4724" s="1" t="str">
        <f t="shared" si="295"/>
        <v>ㄧ</v>
      </c>
      <c r="M4724" s="1" t="str">
        <f t="shared" si="293"/>
        <v>ㄝ</v>
      </c>
      <c r="P4724" s="1" t="s">
        <v>20</v>
      </c>
      <c r="R4724" s="1" t="s">
        <v>8577</v>
      </c>
      <c r="V4724" s="1" t="s">
        <v>8592</v>
      </c>
      <c r="AR4724" s="1" t="str">
        <f t="shared" si="296"/>
        <v>| [ㄌㄧㄝˋ](ㄌㄧㄝˋ.md) | [鴷](鴷.md) |  | liè | [名]
啄木鳥。《爾雅．釋鳥》：「鴷，斲木。」晉．郭璞．注：「口如錐，長數寸，常斲樹食蟲，因名云。」 |</v>
      </c>
    </row>
    <row r="4725" spans="1:44" hidden="1">
      <c r="A4725" s="1" t="s">
        <v>8593</v>
      </c>
      <c r="C4725" s="1">
        <v>1</v>
      </c>
      <c r="D4725" s="1" t="str">
        <f>"03509"</f>
        <v>03509</v>
      </c>
      <c r="E4725" s="1" t="s">
        <v>245</v>
      </c>
      <c r="F4725" s="1">
        <v>6</v>
      </c>
      <c r="G4725" s="1">
        <v>4</v>
      </c>
      <c r="H4725" s="1">
        <v>0</v>
      </c>
      <c r="I4725" s="1" t="s">
        <v>8576</v>
      </c>
      <c r="K4725" s="1" t="str">
        <f t="shared" si="294"/>
        <v>ㄌ</v>
      </c>
      <c r="L4725" s="1" t="str">
        <f t="shared" si="295"/>
        <v>ㄧ</v>
      </c>
      <c r="M4725" s="1" t="str">
        <f t="shared" ref="M4725:M4788" si="297">MID(I4725, 3, 1)</f>
        <v>ㄝ</v>
      </c>
      <c r="P4725" s="1" t="s">
        <v>20</v>
      </c>
      <c r="R4725" s="1" t="s">
        <v>8577</v>
      </c>
      <c r="V4725" s="1" t="s">
        <v>8594</v>
      </c>
      <c r="AR4725" s="1" t="str">
        <f t="shared" si="296"/>
        <v>| [ㄌㄧㄝˋ](ㄌㄧㄝˋ.md) | [劣](劣.md) |  | liè | [形]
1.壞、不好。如：「劣等」、「劣勢」、「優劣」、「土豪劣紳」。
2.少。《三國志．卷六一．吳書．陸凱傳》：「臣闇於大理，文不及義，智慧淺劣。」
3.虛弱。三國魏．曹植〈辯道論〉：「壽命長短，骨體強劣，各有人焉。」
[副]
僅、恰好。《宋書．卷四五．劉懷慎傳》：「德願善御車，嘗立兩柱，使其中劣通車軸，……打牛奔從柱間直過。」 |</v>
      </c>
    </row>
    <row r="4726" spans="1:44" hidden="1">
      <c r="A4726" s="1" t="s">
        <v>8471</v>
      </c>
      <c r="C4726" s="1">
        <v>1</v>
      </c>
      <c r="D4726" s="1" t="str">
        <f>"03510"</f>
        <v>03510</v>
      </c>
      <c r="E4726" s="1" t="s">
        <v>24</v>
      </c>
      <c r="F4726" s="1">
        <v>11</v>
      </c>
      <c r="G4726" s="1">
        <v>8</v>
      </c>
      <c r="H4726" s="1">
        <v>1</v>
      </c>
      <c r="I4726" s="1" t="s">
        <v>8576</v>
      </c>
      <c r="K4726" s="1" t="str">
        <f t="shared" si="294"/>
        <v>ㄌ</v>
      </c>
      <c r="L4726" s="1" t="str">
        <f t="shared" si="295"/>
        <v>ㄧ</v>
      </c>
      <c r="M4726" s="1" t="str">
        <f t="shared" si="297"/>
        <v>ㄝ</v>
      </c>
      <c r="P4726" s="1" t="s">
        <v>20</v>
      </c>
      <c r="R4726" s="1" t="s">
        <v>8577</v>
      </c>
      <c r="V4726" s="1" t="s">
        <v>8595</v>
      </c>
      <c r="W4726" s="1" t="s">
        <v>8596</v>
      </c>
      <c r="AR4726" s="1" t="str">
        <f t="shared" si="296"/>
        <v>| [ㄌㄧㄝˋ](ㄌㄧㄝˋ.md) | [捩](捩.md) |  | liè | [動]
1.扭轉。唐．韓愈〈送窮文〉：「捩手覆羹，轉喉觸諱。」
2.折斷。唐．陸龜蒙〈引泉詩〉：「凌風捩桂柁，隔霧馳犀船。」
[名]
機器發動、撥轉的關鍵。如：「機捩」。《封神演義》第四七回：「撥迴關捩頭頭看，看破虛空物物明。」 |</v>
      </c>
    </row>
    <row r="4727" spans="1:44" hidden="1">
      <c r="A4727" s="1" t="s">
        <v>8597</v>
      </c>
      <c r="C4727" s="1">
        <v>1</v>
      </c>
      <c r="D4727" s="1" t="str">
        <f>"03511"</f>
        <v>03511</v>
      </c>
      <c r="E4727" s="1" t="s">
        <v>68</v>
      </c>
      <c r="F4727" s="1">
        <v>11</v>
      </c>
      <c r="G4727" s="1">
        <v>7</v>
      </c>
      <c r="H4727" s="1">
        <v>1</v>
      </c>
      <c r="I4727" s="1" t="s">
        <v>8576</v>
      </c>
      <c r="K4727" s="1" t="str">
        <f t="shared" si="294"/>
        <v>ㄌ</v>
      </c>
      <c r="L4727" s="1" t="str">
        <f t="shared" si="295"/>
        <v>ㄧ</v>
      </c>
      <c r="M4727" s="1" t="str">
        <f t="shared" si="297"/>
        <v>ㄝ</v>
      </c>
      <c r="P4727" s="1" t="s">
        <v>20</v>
      </c>
      <c r="R4727" s="1" t="s">
        <v>8577</v>
      </c>
      <c r="V4727" s="1" t="s">
        <v>8598</v>
      </c>
      <c r="W4727" s="1" t="s">
        <v>8599</v>
      </c>
      <c r="AR4727" s="1" t="str">
        <f t="shared" si="296"/>
        <v>| [ㄌㄧㄝˋ](ㄌㄧㄝˋ.md) | [脟](脟.md) |  | liè | [名]
1.肋骨部分的肌肉。《說文解字．肉部》：「脟，脅肉也。」
2.腸子上的脂肪。《說文解字．肉部》：「一曰脟，腸間肥也。」清．段玉裁．注：「腸脂謂之脟。」 |</v>
      </c>
    </row>
    <row r="4728" spans="1:44" hidden="1">
      <c r="A4728" s="1" t="s">
        <v>8600</v>
      </c>
      <c r="C4728" s="1">
        <v>1</v>
      </c>
      <c r="D4728" s="1" t="str">
        <f>"03512"</f>
        <v>03512</v>
      </c>
      <c r="E4728" s="1" t="s">
        <v>198</v>
      </c>
      <c r="F4728" s="1">
        <v>18</v>
      </c>
      <c r="G4728" s="1">
        <v>15</v>
      </c>
      <c r="H4728" s="1">
        <v>0</v>
      </c>
      <c r="I4728" s="1" t="s">
        <v>8576</v>
      </c>
      <c r="K4728" s="1" t="str">
        <f t="shared" si="294"/>
        <v>ㄌ</v>
      </c>
      <c r="L4728" s="1" t="str">
        <f t="shared" si="295"/>
        <v>ㄧ</v>
      </c>
      <c r="M4728" s="1" t="str">
        <f t="shared" si="297"/>
        <v>ㄝ</v>
      </c>
      <c r="P4728" s="1" t="s">
        <v>20</v>
      </c>
      <c r="R4728" s="1" t="s">
        <v>8577</v>
      </c>
      <c r="V4728" s="1" t="s">
        <v>8601</v>
      </c>
      <c r="AR4728" s="1" t="str">
        <f t="shared" si="296"/>
        <v>| [ㄌㄧㄝˋ](ㄌㄧㄝˋ.md) | [獵](獵.md) |  | liè | [動]_x000D_
1.追捕禽獸。《詩經．魏風．伐檀》：「不狩不獵，胡瞻爾庭有縣貆兮。」_x000D_
2.探求、尋求。南朝梁．劉勰《文心雕龍．辨騷》：「中巧者獵其豔辭，吟諷者銜其山川。」唐．李白〈大獵賦〉：「頓天網以掩之，獵賢俊以御極。」_x000D_
3.吹拂、掠過。東周戰國．宋玉〈風賦〉：「獵蕙草，離秦衡，概新夷，被荑楊。」宋．歐陽修〈漁家傲．昨日採花花欲盡〉詞：「隔花聞道潮來近，風獵紫荷聲又緊。」_x000D_
4.踐踏。通「躐」。《荀子．議兵》：「不殺老弱，不獵禾稼。」唐．楊倞．注：「獵與躐同，踐也。」_x000D_
[形]_x000D_
打獵的。如：「獵人」、「獵犬」、「獵鷹」。_x000D_
[擬]_x000D_
模擬風聲。南朝宋．鮑照〈還都道中作〉詩：「鱗鱗夕雲起，獵獵曉風遒。」 |</v>
      </c>
    </row>
    <row r="4729" spans="1:44" hidden="1">
      <c r="A4729" s="1" t="s">
        <v>7790</v>
      </c>
      <c r="C4729" s="1">
        <v>1</v>
      </c>
      <c r="D4729" s="1" t="str">
        <f>"03513"</f>
        <v>03513</v>
      </c>
      <c r="E4729" s="1" t="s">
        <v>558</v>
      </c>
      <c r="F4729" s="1">
        <v>19</v>
      </c>
      <c r="G4729" s="1">
        <v>15</v>
      </c>
      <c r="H4729" s="1">
        <v>2</v>
      </c>
      <c r="I4729" s="1" t="s">
        <v>8576</v>
      </c>
      <c r="K4729" s="1" t="str">
        <f t="shared" si="294"/>
        <v>ㄌ</v>
      </c>
      <c r="L4729" s="1" t="str">
        <f t="shared" si="295"/>
        <v>ㄧ</v>
      </c>
      <c r="M4729" s="1" t="str">
        <f t="shared" si="297"/>
        <v>ㄝ</v>
      </c>
      <c r="P4729" s="1" t="s">
        <v>20</v>
      </c>
      <c r="R4729" s="1" t="s">
        <v>8577</v>
      </c>
      <c r="V4729" s="1" t="s">
        <v>8602</v>
      </c>
      <c r="W4729" s="1" t="s">
        <v>8603</v>
      </c>
      <c r="AR4729" s="1" t="str">
        <f t="shared" si="296"/>
        <v>| [ㄌㄧㄝˋ](ㄌㄧㄝˋ.md) | [邋](邋.md) |  | liè | [形]
邋邋：旌旗搖動的樣子。《古文苑．卷一．周宣王石鼓文》：「君子員員，邋邋員斿。」
[動]
踐踏、踰越。同「躐」。清．毛奇齡〈復陸雅坪編修問降一等書〉：「夫闌階邋級與堂上通呼吸，已屬怪事，而況限之在降階一等之地。」 |</v>
      </c>
    </row>
    <row r="4730" spans="1:44" hidden="1">
      <c r="A4730" s="1" t="s">
        <v>8604</v>
      </c>
      <c r="C4730" s="1">
        <v>1</v>
      </c>
      <c r="D4730" s="1" t="str">
        <f>"03514"</f>
        <v>03514</v>
      </c>
      <c r="E4730" s="1" t="s">
        <v>77</v>
      </c>
      <c r="F4730" s="1">
        <v>22</v>
      </c>
      <c r="G4730" s="1">
        <v>15</v>
      </c>
      <c r="H4730" s="1">
        <v>0</v>
      </c>
      <c r="I4730" s="1" t="s">
        <v>8576</v>
      </c>
      <c r="K4730" s="1" t="str">
        <f t="shared" si="294"/>
        <v>ㄌ</v>
      </c>
      <c r="L4730" s="1" t="str">
        <f t="shared" si="295"/>
        <v>ㄧ</v>
      </c>
      <c r="M4730" s="1" t="str">
        <f t="shared" si="297"/>
        <v>ㄝ</v>
      </c>
      <c r="P4730" s="1" t="s">
        <v>20</v>
      </c>
      <c r="R4730" s="1" t="s">
        <v>8577</v>
      </c>
      <c r="V4730" s="1" t="s">
        <v>8605</v>
      </c>
      <c r="AR4730" s="1" t="str">
        <f t="shared" si="296"/>
        <v>| [ㄌㄧㄝˋ](ㄌㄧㄝˋ.md) | [躐](躐.md) |  | liè | [動]
1.踐踏。《楚辭．屈原．九歌．國殤》：「凌余陣兮躐余行，左驂殪兮右刃傷。」
2.踰越、超越。如：「躐等」。《新唐書．卷八三．諸帝公主傳．高宗三女傳》：「有所論薦，或自寒冗躐進至侍從，旋踵將相。」
3.持。《後漢書．卷五二．崔駰傳》：「當其無事，則躐纓整襟，規矩其步。」唐．章懷太子．注：「言持纓整襟，修其容止。」 |</v>
      </c>
    </row>
    <row r="4731" spans="1:44" hidden="1">
      <c r="A4731" s="1" t="s">
        <v>8606</v>
      </c>
      <c r="C4731" s="1">
        <v>1</v>
      </c>
      <c r="D4731" s="1" t="str">
        <f>"03515"</f>
        <v>03515</v>
      </c>
      <c r="E4731" s="1" t="s">
        <v>1078</v>
      </c>
      <c r="F4731" s="1">
        <v>25</v>
      </c>
      <c r="G4731" s="1">
        <v>15</v>
      </c>
      <c r="H4731" s="1">
        <v>0</v>
      </c>
      <c r="I4731" s="1" t="s">
        <v>8576</v>
      </c>
      <c r="K4731" s="1" t="str">
        <f t="shared" si="294"/>
        <v>ㄌ</v>
      </c>
      <c r="L4731" s="1" t="str">
        <f t="shared" si="295"/>
        <v>ㄧ</v>
      </c>
      <c r="M4731" s="1" t="str">
        <f t="shared" si="297"/>
        <v>ㄝ</v>
      </c>
      <c r="P4731" s="1" t="s">
        <v>20</v>
      </c>
      <c r="R4731" s="1" t="s">
        <v>8577</v>
      </c>
      <c r="V4731" s="1" t="s">
        <v>8607</v>
      </c>
      <c r="AR4731" s="1" t="str">
        <f t="shared" si="296"/>
        <v>| [ㄌㄧㄝˋ](ㄌㄧㄝˋ.md) | [鬣](鬣.md) |  | liè | [名]
1.鬍鬚。《左傳．昭公七年》：「楚子享公于新臺，使長鬣者相。」晉．杜預．注：「鬣，鬚也。」
2.獸頸上的長毛。《禮記．明堂位》：「夏后氏駱馬黑鬣，……周人黃馬蕃鬣。」《文選．曹植．七啟》：「哮闞之獸，張牙奮鬣。」
3.鳥頭上的毛。《文選．枚乘．七發》：「鵷鶵鳼鶄，翠鬣紫纓。」
4.魚類頷旁的小鬐。《宋史．卷六二．五行志．水志下》：「有巨魚，高數丈，……轉鬣而傍艦皆覆。」
5.松針。唐．段成式《酉陽雜俎．卷一八．木篇》：「成式修行里私第，大堂前有五鬣松兩株，大財如碗。」
6.掃帚。《禮記．少儀》：「拚席不以鬣，執箕膺擖。」唐．孔穎達．正義：「鬣謂掃地帚也。」 |</v>
      </c>
    </row>
    <row r="4732" spans="1:44" hidden="1">
      <c r="A4732" s="1" t="s">
        <v>9504</v>
      </c>
      <c r="C4732" s="1">
        <v>1</v>
      </c>
      <c r="D4732" s="1" t="str">
        <f>"03904"</f>
        <v>03904</v>
      </c>
      <c r="E4732" s="1" t="s">
        <v>24</v>
      </c>
      <c r="F4732" s="1">
        <v>11</v>
      </c>
      <c r="G4732" s="1">
        <v>8</v>
      </c>
      <c r="H4732" s="1">
        <v>0</v>
      </c>
      <c r="I4732" s="1" t="s">
        <v>9505</v>
      </c>
      <c r="K4732" s="1" t="str">
        <f t="shared" si="294"/>
        <v>ㄌ</v>
      </c>
      <c r="L4732" s="1" t="str">
        <f t="shared" si="295"/>
        <v>ㄩ</v>
      </c>
      <c r="M4732" s="1" t="str">
        <f t="shared" si="297"/>
        <v>ㄝ</v>
      </c>
      <c r="P4732" s="1" t="s">
        <v>20</v>
      </c>
      <c r="R4732" s="1" t="s">
        <v>9506</v>
      </c>
      <c r="V4732" s="1" t="s">
        <v>9507</v>
      </c>
      <c r="AR4732" s="1" t="str">
        <f t="shared" si="296"/>
        <v>| [ㄌㄩㄝˋ](ㄌㄩㄝˋ.md) | [掠](掠.md) |  | lüè | [動]
1.奪取、搶劫。《左傳．昭公二十年》：「斬刈民力，輸掠其聚。」晉．杜預．注：「掠，奪取也。」
2.輕拂、輕拭而過。唐．吳融〈燕雛〉詩：「掠水身猶重，偎風力尚微。」宋．蘇軾〈後赤壁賦〉：「有孤鶴橫江東來，……戛然長鳴，掠予舟而西也。」
[名]
書法的長撇稱為「掠」。唐．柳宗元〈永字八法頌〉：「掠，左出而鋒輕。」 |</v>
      </c>
    </row>
    <row r="4733" spans="1:44" hidden="1">
      <c r="A4733" s="1" t="s">
        <v>9508</v>
      </c>
      <c r="C4733" s="1">
        <v>1</v>
      </c>
      <c r="D4733" s="1" t="str">
        <f>"03905"</f>
        <v>03905</v>
      </c>
      <c r="E4733" s="1" t="s">
        <v>753</v>
      </c>
      <c r="F4733" s="1">
        <v>11</v>
      </c>
      <c r="G4733" s="1">
        <v>6</v>
      </c>
      <c r="H4733" s="1">
        <v>0</v>
      </c>
      <c r="I4733" s="1" t="s">
        <v>9505</v>
      </c>
      <c r="K4733" s="1" t="str">
        <f t="shared" si="294"/>
        <v>ㄌ</v>
      </c>
      <c r="L4733" s="1" t="str">
        <f t="shared" si="295"/>
        <v>ㄩ</v>
      </c>
      <c r="M4733" s="1" t="str">
        <f t="shared" si="297"/>
        <v>ㄝ</v>
      </c>
      <c r="P4733" s="1" t="s">
        <v>20</v>
      </c>
      <c r="R4733" s="1" t="s">
        <v>9506</v>
      </c>
      <c r="V4733" s="1" t="s">
        <v>9509</v>
      </c>
      <c r="AR4733" s="1" t="str">
        <f t="shared" si="296"/>
        <v>| [ㄌㄩㄝˋ](ㄌㄩㄝˋ.md) | [略](略.md) |  | lüè | [名]
1.計謀、計劃。如：「謀略」、「方略」、「戰略」、「策略」。
2.概要、重點。如：「要略」、「史略」。《孟子．滕文公上》：「此其大略也。」
3.姓。如三國時吳國有略統。
[動]
1.經營、治理。《左傳．昭公七年》：「天子經略，諸侯正封，古之制也。」
2.奪取、攻占。《淮南子．兵略》：「攻城略地，莫不降下。」
3.省去、簡化。如：「省略」、「忽略」。南朝梁．蕭統〈文選序〉：「老莊之作，管孟之流，蓋以立意為宗，不以能文為本，今之所撰，又以略諸。」
[形]
簡要的。如：「略表」、「略圖」。《荀子．非相》：「傳者久則論略，近則論詳。」
[副]
大致、稍微。如：「約略估計」、「略有所聞」、「略知一二」。《文選．司馬遷．報任少卿書》：「書不能悉意，略陳固陋。」 |</v>
      </c>
    </row>
    <row r="4734" spans="1:44" hidden="1">
      <c r="A4734" s="1" t="s">
        <v>9510</v>
      </c>
      <c r="C4734" s="1">
        <v>1</v>
      </c>
      <c r="D4734" s="1" t="str">
        <f>"03906"</f>
        <v>03906</v>
      </c>
      <c r="E4734" s="1" t="s">
        <v>55</v>
      </c>
      <c r="F4734" s="1">
        <v>15</v>
      </c>
      <c r="G4734" s="1">
        <v>7</v>
      </c>
      <c r="H4734" s="1">
        <v>0</v>
      </c>
      <c r="I4734" s="1" t="s">
        <v>9505</v>
      </c>
      <c r="K4734" s="1" t="str">
        <f t="shared" ref="K4734:K4797" si="298">LEFT(I4734, 1)</f>
        <v>ㄌ</v>
      </c>
      <c r="L4734" s="1" t="str">
        <f t="shared" ref="L4734:L4797" si="299">MID(I4734, 2, 1)</f>
        <v>ㄩ</v>
      </c>
      <c r="M4734" s="1" t="str">
        <f t="shared" si="297"/>
        <v>ㄝ</v>
      </c>
      <c r="P4734" s="1" t="s">
        <v>20</v>
      </c>
      <c r="R4734" s="1" t="s">
        <v>9506</v>
      </c>
      <c r="V4734" s="1" t="s">
        <v>9511</v>
      </c>
      <c r="AR4734" s="1" t="str">
        <f t="shared" si="296"/>
        <v>| [ㄌㄩㄝˋ](ㄌㄩㄝˋ.md) | [鋝](鋝.md) |  | lüè | [名]
量詞。古代計算重量的單位。約合六兩。《說文解字．金部》：「鋝，十一銖二十五分銖之十三也。《周禮》曰：『重三鋝。』北方以二十兩為鋝。」 |</v>
      </c>
    </row>
    <row r="4735" spans="1:44" hidden="1">
      <c r="A4735" s="1" t="s">
        <v>8608</v>
      </c>
      <c r="C4735" s="1">
        <v>1</v>
      </c>
      <c r="D4735" s="1" t="str">
        <f>"03516"</f>
        <v>03516</v>
      </c>
      <c r="E4735" s="1" t="s">
        <v>24</v>
      </c>
      <c r="F4735" s="1">
        <v>15</v>
      </c>
      <c r="G4735" s="1">
        <v>12</v>
      </c>
      <c r="H4735" s="1">
        <v>2</v>
      </c>
      <c r="I4735" s="1" t="s">
        <v>8609</v>
      </c>
      <c r="K4735" s="1" t="str">
        <f t="shared" si="298"/>
        <v>ㄌ</v>
      </c>
      <c r="L4735" s="1" t="str">
        <f t="shared" si="299"/>
        <v>ㄧ</v>
      </c>
      <c r="M4735" s="1" t="str">
        <f t="shared" si="297"/>
        <v>ㄠ</v>
      </c>
      <c r="P4735" s="1" t="s">
        <v>20</v>
      </c>
      <c r="R4735" s="1" t="s">
        <v>8610</v>
      </c>
      <c r="V4735" s="1" t="s">
        <v>8611</v>
      </c>
      <c r="W4735" s="1" t="s">
        <v>8612</v>
      </c>
      <c r="AR4735" s="1" t="str">
        <f t="shared" si="296"/>
        <v>| [ㄌㄧㄠ](ㄌㄧㄠ.md) | [撩](撩.md) |  | liāo | [動]
1.提、掀、揭。如：「撩開簾子」、「撩起裙襬」。元．石君寶《秋胡戲妻》第四折：「我這裡便破步撩衣，走向前來。」
2.用手舀水甩灑。如：「菜販往菜上撩水。」
3.北平方言。指瞥、略看。如：「朝那屋裡撩了一眼。」 |</v>
      </c>
    </row>
    <row r="4736" spans="1:44" hidden="1">
      <c r="A4736" s="1" t="s">
        <v>8613</v>
      </c>
      <c r="C4736" s="1">
        <v>1</v>
      </c>
      <c r="D4736" s="1" t="str">
        <f>"03517"</f>
        <v>03517</v>
      </c>
      <c r="E4736" s="1" t="s">
        <v>2419</v>
      </c>
      <c r="F4736" s="1">
        <v>11</v>
      </c>
      <c r="G4736" s="1">
        <v>5</v>
      </c>
      <c r="H4736" s="1">
        <v>0</v>
      </c>
      <c r="I4736" s="1" t="s">
        <v>8614</v>
      </c>
      <c r="K4736" s="1" t="str">
        <f t="shared" si="298"/>
        <v>ㄌ</v>
      </c>
      <c r="L4736" s="1" t="str">
        <f t="shared" si="299"/>
        <v>ㄧ</v>
      </c>
      <c r="M4736" s="1" t="str">
        <f t="shared" si="297"/>
        <v>ㄠ</v>
      </c>
      <c r="P4736" s="1" t="s">
        <v>20</v>
      </c>
      <c r="R4736" s="1" t="s">
        <v>8615</v>
      </c>
      <c r="V4736" s="1" t="s">
        <v>8616</v>
      </c>
      <c r="AR4736" s="1" t="str">
        <f t="shared" si="296"/>
        <v>| [ㄌㄧㄠˊ](ㄌㄧㄠˊ.md) | [聊](聊.md) |  | liáo | [名]
1.樂事、興趣。《楚辭．王逸．九思．逢尤》：「心煩憒兮意無聊，嚴載駕兮出戲遊。」漢．王延壽．注：「聊，樂也。」
2.姓。如漢代有聊倉。
[動]
1.藉、依賴。如：「民不聊生」。《文選．王粲．登樓賦》：「登茲樓以四望兮，聊暇日以銷憂。」
2.閒談。如：「聊天」、「閒聊」。
[副]
姑且、暫且。如：「聊備一格」、「聊表寸心」。宋．范成大〈四時田園雜興〉詩六〇首之三五：「無力買田聊種水，近來湖面亦收租。」 |</v>
      </c>
    </row>
    <row r="4737" spans="1:44" hidden="1">
      <c r="A4737" s="1" t="s">
        <v>8617</v>
      </c>
      <c r="C4737" s="1">
        <v>1</v>
      </c>
      <c r="D4737" s="1" t="str">
        <f>"03518"</f>
        <v>03518</v>
      </c>
      <c r="E4737" s="1" t="s">
        <v>129</v>
      </c>
      <c r="F4737" s="1">
        <v>14</v>
      </c>
      <c r="G4737" s="1">
        <v>11</v>
      </c>
      <c r="H4737" s="1">
        <v>0</v>
      </c>
      <c r="I4737" s="1" t="s">
        <v>8614</v>
      </c>
      <c r="K4737" s="1" t="str">
        <f t="shared" si="298"/>
        <v>ㄌ</v>
      </c>
      <c r="L4737" s="1" t="str">
        <f t="shared" si="299"/>
        <v>ㄧ</v>
      </c>
      <c r="M4737" s="1" t="str">
        <f t="shared" si="297"/>
        <v>ㄠ</v>
      </c>
      <c r="P4737" s="1" t="s">
        <v>20</v>
      </c>
      <c r="R4737" s="1" t="s">
        <v>8615</v>
      </c>
      <c r="V4737" s="1" t="s">
        <v>8618</v>
      </c>
      <c r="AR4737" s="1" t="str">
        <f t="shared" si="296"/>
        <v>| [ㄌㄧㄠˊ](ㄌㄧㄠˊ.md) | [漻](漻.md) |  | liáo | [形]
1.清澈幽深。《莊子．天地》：「夫道，淵乎其居也，漻乎其清也。」
2.清靜、寂靜。《韓非子．主道》：「故曰：『寂乎其無位而處，漻乎莫得其所。』」《文選．司馬相如．上林賦》：「悠遠長懷，寂漻無聲，肆乎永歸。」 |</v>
      </c>
    </row>
    <row r="4738" spans="1:44" hidden="1">
      <c r="A4738" s="1" t="s">
        <v>8619</v>
      </c>
      <c r="C4738" s="1">
        <v>1</v>
      </c>
      <c r="D4738" s="1" t="str">
        <f>"03519"</f>
        <v>03519</v>
      </c>
      <c r="E4738" s="1" t="s">
        <v>624</v>
      </c>
      <c r="F4738" s="1">
        <v>14</v>
      </c>
      <c r="G4738" s="1">
        <v>11</v>
      </c>
      <c r="H4738" s="1">
        <v>0</v>
      </c>
      <c r="I4738" s="1" t="s">
        <v>8614</v>
      </c>
      <c r="K4738" s="1" t="str">
        <f t="shared" si="298"/>
        <v>ㄌ</v>
      </c>
      <c r="L4738" s="1" t="str">
        <f t="shared" si="299"/>
        <v>ㄧ</v>
      </c>
      <c r="M4738" s="1" t="str">
        <f t="shared" si="297"/>
        <v>ㄠ</v>
      </c>
      <c r="P4738" s="1" t="s">
        <v>20</v>
      </c>
      <c r="R4738" s="1" t="s">
        <v>8615</v>
      </c>
      <c r="V4738" s="1" t="s">
        <v>8620</v>
      </c>
      <c r="AR4738" s="1" t="str">
        <f t="shared" si="296"/>
        <v>| [ㄌㄧㄠˊ](ㄌㄧㄠˊ.md) | [寥](寥.md) |  | liáo | [形]_x000D_
1.冷清、寂靜。唐．孟浩然〈夜歸鹿門山歌〉：「巖扉松徑長寂寥，惟有幽人夜來去。」_x000D_
2.稀疏。如：「寥若晨星」。晉．周祗〈枇杷賦〉：「望之冥濛，即之疏寥。」《文選．卷二七．詩．謝朓．京路夜發詩》：「曉星正寥落，晨光復泱漭。」唐．李善．注：「寥落，星稀之貌也。」_x000D_
3.高遠、空曠。《楚辭．屈原．遠遊》：「下崢嶸而無地兮，上寥廓而無天。」_x000D_
4.姓。如明代有寥貴。 |</v>
      </c>
    </row>
    <row r="4739" spans="1:44" hidden="1">
      <c r="A4739" s="1" t="s">
        <v>8621</v>
      </c>
      <c r="C4739" s="1">
        <v>1</v>
      </c>
      <c r="D4739" s="1" t="str">
        <f>"03520"</f>
        <v>03520</v>
      </c>
      <c r="E4739" s="1" t="s">
        <v>250</v>
      </c>
      <c r="F4739" s="1">
        <v>14</v>
      </c>
      <c r="G4739" s="1">
        <v>11</v>
      </c>
      <c r="H4739" s="1">
        <v>0</v>
      </c>
      <c r="I4739" s="1" t="s">
        <v>8614</v>
      </c>
      <c r="K4739" s="1" t="str">
        <f t="shared" si="298"/>
        <v>ㄌ</v>
      </c>
      <c r="L4739" s="1" t="str">
        <f t="shared" si="299"/>
        <v>ㄧ</v>
      </c>
      <c r="M4739" s="1" t="str">
        <f t="shared" si="297"/>
        <v>ㄠ</v>
      </c>
      <c r="P4739" s="1" t="s">
        <v>20</v>
      </c>
      <c r="R4739" s="1" t="s">
        <v>8615</v>
      </c>
      <c r="V4739" s="1" t="s">
        <v>8622</v>
      </c>
      <c r="AR4739" s="1" t="str">
        <f t="shared" ref="AR4739:AR4802" si="300">"| ["&amp;I4739&amp;"]("&amp;I4739&amp;".md) | ["&amp;A4739&amp;"]("&amp;A4739&amp;".md) | "&amp;" | "&amp;R4739&amp;" | "&amp;V4739&amp;" |"</f>
        <v>| [ㄌㄧㄠˊ](ㄌㄧㄠˊ.md) | [憀](憀.md) |  | liáo | [動]
依賴。《淮南子．兵略》：「上下不相寧，吏民不相憀。」漢．高誘．注：「憀，賴。」
[名]
悲恨。唐．陸龜蒙〈自遣詩〉三〇首之一四：「誰使寒鴉意緒嬌，雲晴山晚動情憀。」 |</v>
      </c>
    </row>
    <row r="4740" spans="1:44" hidden="1">
      <c r="A4740" s="1" t="s">
        <v>3035</v>
      </c>
      <c r="C4740" s="1">
        <v>1</v>
      </c>
      <c r="D4740" s="1" t="str">
        <f>"03521"</f>
        <v>03521</v>
      </c>
      <c r="E4740" s="1" t="s">
        <v>725</v>
      </c>
      <c r="F4740" s="1">
        <v>17</v>
      </c>
      <c r="G4740" s="1">
        <v>11</v>
      </c>
      <c r="H4740" s="1">
        <v>5</v>
      </c>
      <c r="I4740" s="1" t="s">
        <v>8614</v>
      </c>
      <c r="K4740" s="1" t="str">
        <f t="shared" si="298"/>
        <v>ㄌ</v>
      </c>
      <c r="L4740" s="1" t="str">
        <f t="shared" si="299"/>
        <v>ㄧ</v>
      </c>
      <c r="M4740" s="1" t="str">
        <f t="shared" si="297"/>
        <v>ㄠ</v>
      </c>
      <c r="P4740" s="1" t="s">
        <v>20</v>
      </c>
      <c r="R4740" s="1" t="s">
        <v>8615</v>
      </c>
      <c r="V4740" s="1" t="s">
        <v>8623</v>
      </c>
      <c r="W4740" s="1" t="s">
        <v>8624</v>
      </c>
      <c r="AR4740" s="1" t="str">
        <f t="shared" si="300"/>
        <v>| [ㄌㄧㄠˊ](ㄌㄧㄠˊ.md) | [繆](繆.md) |  | liáo | [動]
纏繞。通「繚」。《漢書．卷五七．司馬相如傳上》：「錯翡翠之葳蕤，繆繞玉綏。」唐．顏師古．注：「繆繞，相纏結也。」 |</v>
      </c>
    </row>
    <row r="4741" spans="1:44" hidden="1">
      <c r="A4741" s="1" t="s">
        <v>8625</v>
      </c>
      <c r="C4741" s="1">
        <v>1</v>
      </c>
      <c r="D4741" s="1" t="str">
        <f>"03522"</f>
        <v>03522</v>
      </c>
      <c r="E4741" s="1" t="s">
        <v>1161</v>
      </c>
      <c r="F4741" s="1">
        <v>20</v>
      </c>
      <c r="G4741" s="1">
        <v>11</v>
      </c>
      <c r="H4741" s="1">
        <v>0</v>
      </c>
      <c r="I4741" s="1" t="s">
        <v>8614</v>
      </c>
      <c r="K4741" s="1" t="str">
        <f t="shared" si="298"/>
        <v>ㄌ</v>
      </c>
      <c r="L4741" s="1" t="str">
        <f t="shared" si="299"/>
        <v>ㄧ</v>
      </c>
      <c r="M4741" s="1" t="str">
        <f t="shared" si="297"/>
        <v>ㄠ</v>
      </c>
      <c r="P4741" s="1" t="s">
        <v>20</v>
      </c>
      <c r="R4741" s="1" t="s">
        <v>8615</v>
      </c>
      <c r="V4741" s="1" t="s">
        <v>8626</v>
      </c>
      <c r="AR4741" s="1" t="str">
        <f t="shared" si="300"/>
        <v>| [ㄌㄧㄠˊ](ㄌㄧㄠˊ.md) | [飂](飂.md) |  | liáo | 參見「飂戾」、「飂飂」等條。 |</v>
      </c>
    </row>
    <row r="4742" spans="1:44" hidden="1">
      <c r="A4742" s="1" t="s">
        <v>8627</v>
      </c>
      <c r="C4742" s="1">
        <v>1</v>
      </c>
      <c r="D4742" s="1" t="str">
        <f>"03523"</f>
        <v>03523</v>
      </c>
      <c r="E4742" s="1" t="s">
        <v>68</v>
      </c>
      <c r="F4742" s="1">
        <v>14</v>
      </c>
      <c r="G4742" s="1">
        <v>10</v>
      </c>
      <c r="H4742" s="1">
        <v>0</v>
      </c>
      <c r="I4742" s="1" t="s">
        <v>8614</v>
      </c>
      <c r="K4742" s="1" t="str">
        <f t="shared" si="298"/>
        <v>ㄌ</v>
      </c>
      <c r="L4742" s="1" t="str">
        <f t="shared" si="299"/>
        <v>ㄧ</v>
      </c>
      <c r="M4742" s="1" t="str">
        <f t="shared" si="297"/>
        <v>ㄠ</v>
      </c>
      <c r="P4742" s="1" t="s">
        <v>20</v>
      </c>
      <c r="R4742" s="1" t="s">
        <v>8615</v>
      </c>
      <c r="V4742" s="1" t="s">
        <v>8628</v>
      </c>
      <c r="AR4742" s="1" t="str">
        <f t="shared" si="300"/>
        <v>| [ㄌㄧㄠˊ](ㄌㄧㄠˊ.md) | [膋](膋.md) |  | liáo | [名]
脂肪。《詩經．小雅．信南山》：「執其鸞刀，以啟其毛，取其血膋。」漢．鄭玄．箋：「膋，脂膏也。」 |</v>
      </c>
    </row>
    <row r="4743" spans="1:44" hidden="1">
      <c r="A4743" s="1" t="s">
        <v>8629</v>
      </c>
      <c r="C4743" s="1">
        <v>1</v>
      </c>
      <c r="D4743" s="1" t="str">
        <f>"03524"</f>
        <v>03524</v>
      </c>
      <c r="E4743" s="1" t="s">
        <v>114</v>
      </c>
      <c r="F4743" s="1">
        <v>14</v>
      </c>
      <c r="G4743" s="1">
        <v>12</v>
      </c>
      <c r="H4743" s="1">
        <v>0</v>
      </c>
      <c r="I4743" s="1" t="s">
        <v>8614</v>
      </c>
      <c r="K4743" s="1" t="str">
        <f t="shared" si="298"/>
        <v>ㄌ</v>
      </c>
      <c r="L4743" s="1" t="str">
        <f t="shared" si="299"/>
        <v>ㄧ</v>
      </c>
      <c r="M4743" s="1" t="str">
        <f t="shared" si="297"/>
        <v>ㄠ</v>
      </c>
      <c r="P4743" s="1" t="s">
        <v>20</v>
      </c>
      <c r="R4743" s="1" t="s">
        <v>8615</v>
      </c>
      <c r="V4743" s="1" t="s">
        <v>8630</v>
      </c>
      <c r="AR4743" s="1" t="str">
        <f t="shared" si="300"/>
        <v>| [ㄌㄧㄠˊ](ㄌㄧㄠˊ.md) | [僚](僚.md) |  | liáo | [名]
1.官吏。如：「官僚」。《書經．皋陶謨》：「百僚師師，百工惟時。」漢．孔安國．傳：「僚，工皆官也。」
2.一起共事的人。如：「同僚」。南朝宋．劉義慶《世說新語．雅量》：「邵在群卒，雍盛集僚屬，自圍棋。」
3.姓。如春秋時魯國有僚祖。 |</v>
      </c>
    </row>
    <row r="4744" spans="1:44" hidden="1">
      <c r="A4744" s="1" t="s">
        <v>8043</v>
      </c>
      <c r="C4744" s="1">
        <v>1</v>
      </c>
      <c r="D4744" s="1" t="str">
        <f>"03525"</f>
        <v>03525</v>
      </c>
      <c r="E4744" s="1" t="s">
        <v>129</v>
      </c>
      <c r="F4744" s="1">
        <v>15</v>
      </c>
      <c r="G4744" s="1">
        <v>12</v>
      </c>
      <c r="H4744" s="1">
        <v>3</v>
      </c>
      <c r="I4744" s="1" t="s">
        <v>8614</v>
      </c>
      <c r="K4744" s="1" t="str">
        <f t="shared" si="298"/>
        <v>ㄌ</v>
      </c>
      <c r="L4744" s="1" t="str">
        <f t="shared" si="299"/>
        <v>ㄧ</v>
      </c>
      <c r="M4744" s="1" t="str">
        <f t="shared" si="297"/>
        <v>ㄠ</v>
      </c>
      <c r="P4744" s="1" t="s">
        <v>20</v>
      </c>
      <c r="R4744" s="1" t="s">
        <v>8615</v>
      </c>
      <c r="V4744" s="1" t="s">
        <v>8631</v>
      </c>
      <c r="W4744" s="1" t="s">
        <v>8632</v>
      </c>
      <c r="AR4744" s="1" t="str">
        <f t="shared" si="300"/>
        <v>| [ㄌㄧㄠˊ](ㄌㄧㄠˊ.md) | [潦](潦.md) |  | liáo | 參見「潦倒」、「潦草」等條。 |</v>
      </c>
    </row>
    <row r="4745" spans="1:44" hidden="1">
      <c r="A4745" s="1" t="s">
        <v>8633</v>
      </c>
      <c r="C4745" s="1">
        <v>1</v>
      </c>
      <c r="D4745" s="1" t="str">
        <f>"03526"</f>
        <v>03526</v>
      </c>
      <c r="E4745" s="1" t="s">
        <v>624</v>
      </c>
      <c r="F4745" s="1">
        <v>15</v>
      </c>
      <c r="G4745" s="1">
        <v>12</v>
      </c>
      <c r="H4745" s="1">
        <v>0</v>
      </c>
      <c r="I4745" s="1" t="s">
        <v>8614</v>
      </c>
      <c r="K4745" s="1" t="str">
        <f t="shared" si="298"/>
        <v>ㄌ</v>
      </c>
      <c r="L4745" s="1" t="str">
        <f t="shared" si="299"/>
        <v>ㄧ</v>
      </c>
      <c r="M4745" s="1" t="str">
        <f t="shared" si="297"/>
        <v>ㄠ</v>
      </c>
      <c r="P4745" s="1" t="s">
        <v>20</v>
      </c>
      <c r="R4745" s="1" t="s">
        <v>8615</v>
      </c>
      <c r="V4745" s="1" t="s">
        <v>8634</v>
      </c>
      <c r="AR4745" s="1" t="str">
        <f t="shared" si="300"/>
        <v>| [ㄌㄧㄠˊ](ㄌㄧㄠˊ.md) | [寮](寮.md) |  | liáo | [名]
1.小窗。南朝梁．簡文帝〈序愁賦〉：「玩飛花之入戶，看斜暉之度寮。」清．孔尚任《桃花扇》第四〇齣：「問秦淮舊日窗寮，破紙迎風，壞檻當潮。」
2.簡陋的屋舍。如：「菜寮」、「工寮」、「菇寮」。宋．陸游〈貧居〉詩：「囊空如客路，屋窄似僧寮。」
3.官吏。通「僚」。唐．皮日休〈何武傳〉：「雖劇寮貴吏，皆得辱殺之。」 |</v>
      </c>
    </row>
    <row r="4746" spans="1:44" hidden="1">
      <c r="A4746" s="1" t="s">
        <v>8608</v>
      </c>
      <c r="C4746" s="1">
        <v>1</v>
      </c>
      <c r="D4746" s="1" t="str">
        <f>"03527"</f>
        <v>03527</v>
      </c>
      <c r="E4746" s="1" t="s">
        <v>24</v>
      </c>
      <c r="F4746" s="1">
        <v>15</v>
      </c>
      <c r="G4746" s="1">
        <v>12</v>
      </c>
      <c r="H4746" s="1">
        <v>1</v>
      </c>
      <c r="I4746" s="1" t="s">
        <v>8614</v>
      </c>
      <c r="K4746" s="1" t="str">
        <f t="shared" si="298"/>
        <v>ㄌ</v>
      </c>
      <c r="L4746" s="1" t="str">
        <f t="shared" si="299"/>
        <v>ㄧ</v>
      </c>
      <c r="M4746" s="1" t="str">
        <f t="shared" si="297"/>
        <v>ㄠ</v>
      </c>
      <c r="P4746" s="1" t="s">
        <v>20</v>
      </c>
      <c r="R4746" s="1" t="s">
        <v>8615</v>
      </c>
      <c r="V4746" s="1" t="s">
        <v>8635</v>
      </c>
      <c r="W4746" s="1" t="s">
        <v>8636</v>
      </c>
      <c r="AR4746" s="1" t="str">
        <f t="shared" si="300"/>
        <v>| [ㄌㄧㄠˊ](ㄌㄧㄠˊ.md) | [撩](撩.md) |  | liáo | [動]
1.整理。《說文解字．手部》：「撩，理之也。」如：「撩髮」、「撩理」。
2.拿取。《廣韻．平聲．蕭韻》：「撩，取物。」《北齊書．卷三二．陸法和傳》：「凡人取果，宜待熟時，不撩自落。」
3.挑弄、逗引。如：「姿態撩人」。宋．陸游〈二月三日春色粲然步至湖上〉詩：「梅花隔水香撩客，野鳥穿林語喚人。」《水滸傳》第二六回：「何九叔見他不做聲，倒捏兩把汗。卻把些話來撩他。」
[形]
紛亂。如：「眼花撩亂」。 |</v>
      </c>
    </row>
    <row r="4747" spans="1:44" hidden="1">
      <c r="A4747" s="1" t="s">
        <v>8637</v>
      </c>
      <c r="C4747" s="1">
        <v>1</v>
      </c>
      <c r="D4747" s="1" t="str">
        <f>"03528"</f>
        <v>03528</v>
      </c>
      <c r="E4747" s="1" t="s">
        <v>28</v>
      </c>
      <c r="F4747" s="1">
        <v>15</v>
      </c>
      <c r="G4747" s="1">
        <v>12</v>
      </c>
      <c r="H4747" s="1">
        <v>0</v>
      </c>
      <c r="I4747" s="1" t="s">
        <v>8614</v>
      </c>
      <c r="K4747" s="1" t="str">
        <f t="shared" si="298"/>
        <v>ㄌ</v>
      </c>
      <c r="L4747" s="1" t="str">
        <f t="shared" si="299"/>
        <v>ㄧ</v>
      </c>
      <c r="M4747" s="1" t="str">
        <f t="shared" si="297"/>
        <v>ㄠ</v>
      </c>
      <c r="P4747" s="1" t="s">
        <v>20</v>
      </c>
      <c r="R4747" s="1" t="s">
        <v>8615</v>
      </c>
      <c r="V4747" s="1" t="s">
        <v>8638</v>
      </c>
      <c r="AR4747" s="1" t="str">
        <f t="shared" si="300"/>
        <v>| [ㄌㄧㄠˊ](ㄌㄧㄠˊ.md) | [嘹](嘹.md) |  | liáo | [形]
聲音清脆悠揚。參見「嘹唳」、「嘹喨」等條。 |</v>
      </c>
    </row>
    <row r="4748" spans="1:44" hidden="1">
      <c r="A4748" s="1" t="s">
        <v>8639</v>
      </c>
      <c r="C4748" s="1">
        <v>1</v>
      </c>
      <c r="D4748" s="1" t="str">
        <f>"03529"</f>
        <v>03529</v>
      </c>
      <c r="E4748" s="1" t="s">
        <v>198</v>
      </c>
      <c r="F4748" s="1">
        <v>15</v>
      </c>
      <c r="G4748" s="1">
        <v>12</v>
      </c>
      <c r="H4748" s="1">
        <v>0</v>
      </c>
      <c r="I4748" s="1" t="s">
        <v>8614</v>
      </c>
      <c r="K4748" s="1" t="str">
        <f t="shared" si="298"/>
        <v>ㄌ</v>
      </c>
      <c r="L4748" s="1" t="str">
        <f t="shared" si="299"/>
        <v>ㄧ</v>
      </c>
      <c r="M4748" s="1" t="str">
        <f t="shared" si="297"/>
        <v>ㄠ</v>
      </c>
      <c r="P4748" s="1" t="s">
        <v>20</v>
      </c>
      <c r="R4748" s="1" t="s">
        <v>8615</v>
      </c>
      <c r="V4748" s="1" t="s">
        <v>8640</v>
      </c>
      <c r="AR4748" s="1" t="str">
        <f t="shared" si="300"/>
        <v>| [ㄌㄧㄠˊ](ㄌㄧㄠˊ.md) | [獠](獠.md) |  | liáo | [動]
夜間打獵。《廣韻．平聲．蕭韻》：「獠，夜獵也。」《文選．司馬相如．子虛賦》：「眇眇忽忽若神仙之髣髴，於是乃相與獠於蕙圃。」
[名]
罵人的話。指兇悍的人。《新唐書．卷一〇五．褚遂良傳》：「武氏從幄後呼曰：『何不撲殺此獠？』」
[形]
面貌凶惡。如：「青面獠牙」。 |</v>
      </c>
    </row>
    <row r="4749" spans="1:44" hidden="1">
      <c r="A4749" s="1" t="s">
        <v>8641</v>
      </c>
      <c r="C4749" s="1">
        <v>1</v>
      </c>
      <c r="D4749" s="1" t="str">
        <f>"03530"</f>
        <v>03530</v>
      </c>
      <c r="E4749" s="1" t="s">
        <v>534</v>
      </c>
      <c r="F4749" s="1">
        <v>15</v>
      </c>
      <c r="G4749" s="1">
        <v>12</v>
      </c>
      <c r="H4749" s="1">
        <v>0</v>
      </c>
      <c r="I4749" s="1" t="s">
        <v>8614</v>
      </c>
      <c r="K4749" s="1" t="str">
        <f t="shared" si="298"/>
        <v>ㄌ</v>
      </c>
      <c r="L4749" s="1" t="str">
        <f t="shared" si="299"/>
        <v>ㄧ</v>
      </c>
      <c r="M4749" s="1" t="str">
        <f t="shared" si="297"/>
        <v>ㄠ</v>
      </c>
      <c r="P4749" s="1" t="s">
        <v>20</v>
      </c>
      <c r="R4749" s="1" t="s">
        <v>8615</v>
      </c>
      <c r="V4749" s="1" t="s">
        <v>8642</v>
      </c>
      <c r="AR4749" s="1" t="str">
        <f t="shared" si="300"/>
        <v>| [ㄌㄧㄠˊ](ㄌㄧㄠˊ.md) | [嫽](嫽.md) |  | liáo | [動]
遊戲、逗弄。《廣韻．平聲．蕭韻》：「嫽，相嫽戲也。」
[形]
美好。如：「嫽妙」、「嫽俏」。《文選．傅毅．舞賦》：「貌嫽妙以妖蠱兮，紅顏曄其揚華。」李善注引毛萇《詩傳》曰：「嫽，好貌。」 |</v>
      </c>
    </row>
    <row r="4750" spans="1:44" hidden="1">
      <c r="A4750" s="1" t="s">
        <v>8643</v>
      </c>
      <c r="C4750" s="1">
        <v>1</v>
      </c>
      <c r="D4750" s="1" t="str">
        <f>"03531"</f>
        <v>03531</v>
      </c>
      <c r="E4750" s="1" t="s">
        <v>336</v>
      </c>
      <c r="F4750" s="1">
        <v>16</v>
      </c>
      <c r="G4750" s="1">
        <v>12</v>
      </c>
      <c r="H4750" s="1">
        <v>3</v>
      </c>
      <c r="I4750" s="1" t="s">
        <v>8614</v>
      </c>
      <c r="K4750" s="1" t="str">
        <f t="shared" si="298"/>
        <v>ㄌ</v>
      </c>
      <c r="L4750" s="1" t="str">
        <f t="shared" si="299"/>
        <v>ㄧ</v>
      </c>
      <c r="M4750" s="1" t="str">
        <f t="shared" si="297"/>
        <v>ㄠ</v>
      </c>
      <c r="P4750" s="1" t="s">
        <v>20</v>
      </c>
      <c r="R4750" s="1" t="s">
        <v>8615</v>
      </c>
      <c r="V4750" s="1" t="s">
        <v>8644</v>
      </c>
      <c r="W4750" s="1" t="s">
        <v>8645</v>
      </c>
      <c r="AR4750" s="1" t="str">
        <f t="shared" si="300"/>
        <v>| [ㄌㄧㄠˊ](ㄌㄧㄠˊ.md) | [燎](燎.md) |  | liáo | 參見「燎漿泡」條。 |</v>
      </c>
    </row>
    <row r="4751" spans="1:44" hidden="1">
      <c r="A4751" s="1" t="s">
        <v>8646</v>
      </c>
      <c r="C4751" s="1">
        <v>1</v>
      </c>
      <c r="D4751" s="1" t="str">
        <f>"03532"</f>
        <v>03532</v>
      </c>
      <c r="E4751" s="1" t="s">
        <v>558</v>
      </c>
      <c r="F4751" s="1">
        <v>16</v>
      </c>
      <c r="G4751" s="1">
        <v>12</v>
      </c>
      <c r="H4751" s="1">
        <v>0</v>
      </c>
      <c r="I4751" s="1" t="s">
        <v>8614</v>
      </c>
      <c r="K4751" s="1" t="str">
        <f t="shared" si="298"/>
        <v>ㄌ</v>
      </c>
      <c r="L4751" s="1" t="str">
        <f t="shared" si="299"/>
        <v>ㄧ</v>
      </c>
      <c r="M4751" s="1" t="str">
        <f t="shared" si="297"/>
        <v>ㄠ</v>
      </c>
      <c r="P4751" s="1" t="s">
        <v>20</v>
      </c>
      <c r="R4751" s="1" t="s">
        <v>8615</v>
      </c>
      <c r="V4751" s="1" t="s">
        <v>8647</v>
      </c>
      <c r="AR4751" s="1" t="str">
        <f t="shared" si="300"/>
        <v>| [ㄌㄧㄠˊ](ㄌㄧㄠˊ.md) | [遼](遼.md) |  | liáo | [形]
1.遙遠。如：「遼遠」。《文選．盧諶．贈劉琨詩》：「曷云塗遼，曾不咫步。」宋．陸游〈居山〉詩：「遼天渺歸鶴，千載付茫茫。」
2.久遠。三國魏．阮籍〈詠懷詩〉八二首之八一：「人生樂長久，百年自言遼。」
3.開闊。如：「遼闊」。唐．白居易〈截樹〉詩：「開懷東南望，目遠心遼然。」
[名]
1.朝代名。參見「遼朝」條。
2.河川名。參見「遼河」條。
3.遼寧省的簡稱。 |</v>
      </c>
    </row>
    <row r="4752" spans="1:44" hidden="1">
      <c r="A4752" s="1" t="s">
        <v>8648</v>
      </c>
      <c r="C4752" s="1">
        <v>1</v>
      </c>
      <c r="D4752" s="1" t="str">
        <f>"03533"</f>
        <v>03533</v>
      </c>
      <c r="E4752" s="1" t="s">
        <v>40</v>
      </c>
      <c r="F4752" s="1">
        <v>17</v>
      </c>
      <c r="G4752" s="1">
        <v>12</v>
      </c>
      <c r="H4752" s="1">
        <v>0</v>
      </c>
      <c r="I4752" s="1" t="s">
        <v>8614</v>
      </c>
      <c r="K4752" s="1" t="str">
        <f t="shared" si="298"/>
        <v>ㄌ</v>
      </c>
      <c r="L4752" s="1" t="str">
        <f t="shared" si="299"/>
        <v>ㄧ</v>
      </c>
      <c r="M4752" s="1" t="str">
        <f t="shared" si="297"/>
        <v>ㄠ</v>
      </c>
      <c r="P4752" s="1" t="s">
        <v>20</v>
      </c>
      <c r="R4752" s="1" t="s">
        <v>8615</v>
      </c>
      <c r="V4752" s="1" t="s">
        <v>8649</v>
      </c>
      <c r="AR4752" s="1" t="str">
        <f t="shared" si="300"/>
        <v>| [ㄌㄧㄠˊ](ㄌㄧㄠˊ.md) | [療](療.md) |  | liáo | [動]
1.醫治。如：「治療」、「診療」。《周禮．天官．瘍醫》：「凡療瘍，以五毒攻之，以五氣養之。」
2.解除、解救。如：「療貧」。三國魏．曹植〈遠遊篇〉：「瓊蕊可療飢，仰首吸朝霞。」 |</v>
      </c>
    </row>
    <row r="4753" spans="1:44" hidden="1">
      <c r="A4753" s="1" t="s">
        <v>8650</v>
      </c>
      <c r="C4753" s="1">
        <v>1</v>
      </c>
      <c r="D4753" s="1" t="str">
        <f>"03534"</f>
        <v>03534</v>
      </c>
      <c r="E4753" s="1" t="s">
        <v>725</v>
      </c>
      <c r="F4753" s="1">
        <v>18</v>
      </c>
      <c r="G4753" s="1">
        <v>12</v>
      </c>
      <c r="H4753" s="1">
        <v>0</v>
      </c>
      <c r="I4753" s="1" t="s">
        <v>8614</v>
      </c>
      <c r="K4753" s="1" t="str">
        <f t="shared" si="298"/>
        <v>ㄌ</v>
      </c>
      <c r="L4753" s="1" t="str">
        <f t="shared" si="299"/>
        <v>ㄧ</v>
      </c>
      <c r="M4753" s="1" t="str">
        <f t="shared" si="297"/>
        <v>ㄠ</v>
      </c>
      <c r="P4753" s="1" t="s">
        <v>20</v>
      </c>
      <c r="R4753" s="1" t="s">
        <v>8615</v>
      </c>
      <c r="V4753" s="1" t="s">
        <v>8651</v>
      </c>
      <c r="AR4753" s="1" t="str">
        <f t="shared" si="300"/>
        <v>| [ㄌㄧㄠˊ](ㄌㄧㄠˊ.md) | [繚](繚.md) |  | liáo | [動]
1.纏繞、圍繞。如：「繚繞」。《楚辭．屈原．九歌．湘夫人》：「芷葺兮荷屋，繚之兮杜衡。」《文選．班固．西都賦》：「繚以周牆，四百餘里。」
2.一種縫紉方法。用針把布邊斜著縫起來。如：「繚縫」、「繚貼邊」、「繚衣裳」。
[名]
圍牆。《聊齋志異．卷七．金和尚》：「每一門內，四繚連屋，皆此輩列而居。」 |</v>
      </c>
    </row>
    <row r="4754" spans="1:44" hidden="1">
      <c r="A4754" s="1" t="s">
        <v>8652</v>
      </c>
      <c r="C4754" s="1">
        <v>1</v>
      </c>
      <c r="D4754" s="1" t="str">
        <f>"03535"</f>
        <v>03535</v>
      </c>
      <c r="E4754" s="1" t="s">
        <v>55</v>
      </c>
      <c r="F4754" s="1">
        <v>20</v>
      </c>
      <c r="G4754" s="1">
        <v>12</v>
      </c>
      <c r="H4754" s="1">
        <v>1</v>
      </c>
      <c r="I4754" s="1" t="s">
        <v>8614</v>
      </c>
      <c r="K4754" s="1" t="str">
        <f t="shared" si="298"/>
        <v>ㄌ</v>
      </c>
      <c r="L4754" s="1" t="str">
        <f t="shared" si="299"/>
        <v>ㄧ</v>
      </c>
      <c r="M4754" s="1" t="str">
        <f t="shared" si="297"/>
        <v>ㄠ</v>
      </c>
      <c r="P4754" s="1" t="s">
        <v>20</v>
      </c>
      <c r="R4754" s="1" t="s">
        <v>8615</v>
      </c>
      <c r="V4754" s="1" t="s">
        <v>8653</v>
      </c>
      <c r="W4754" s="1" t="s">
        <v>8654</v>
      </c>
      <c r="AR4754" s="1" t="str">
        <f t="shared" si="300"/>
        <v>| [ㄌㄧㄠˊ](ㄌㄧㄠˊ.md) | [鐐](鐐.md) |  | liáo | [名]
1.純美的白銀。《爾雅．釋器》：「白金謂之銀，其美者謂之鐐。」
2.有孔的鑪。如：「茶鐐」。《廣韻．平聲．蕭韻》：「鐐，有孔鑪。」
3.繫足的刑具。《老殘遊記》第一七回：「你上他這腳鐐手銬，是什麼意思？」 |</v>
      </c>
    </row>
    <row r="4755" spans="1:44" hidden="1">
      <c r="A4755" s="1" t="s">
        <v>8655</v>
      </c>
      <c r="C4755" s="1">
        <v>1</v>
      </c>
      <c r="D4755" s="1" t="str">
        <f>"03536"</f>
        <v>03536</v>
      </c>
      <c r="E4755" s="1" t="s">
        <v>1161</v>
      </c>
      <c r="F4755" s="1">
        <v>21</v>
      </c>
      <c r="G4755" s="1">
        <v>12</v>
      </c>
      <c r="H4755" s="1">
        <v>0</v>
      </c>
      <c r="I4755" s="1" t="s">
        <v>8614</v>
      </c>
      <c r="K4755" s="1" t="str">
        <f t="shared" si="298"/>
        <v>ㄌ</v>
      </c>
      <c r="L4755" s="1" t="str">
        <f t="shared" si="299"/>
        <v>ㄧ</v>
      </c>
      <c r="M4755" s="1" t="str">
        <f t="shared" si="297"/>
        <v>ㄠ</v>
      </c>
      <c r="P4755" s="1" t="s">
        <v>20</v>
      </c>
      <c r="R4755" s="1" t="s">
        <v>8615</v>
      </c>
      <c r="V4755" s="1" t="s">
        <v>8656</v>
      </c>
      <c r="AR4755" s="1" t="str">
        <f t="shared" si="300"/>
        <v>| [ㄌㄧㄠˊ](ㄌㄧㄠˊ.md) | [飉](飉.md) |  | liáo | [形]
風勢微弱。晉．陸機〈羽扇賦〉：「翮媥媥以微振，風飉飉以垂婉。」 |</v>
      </c>
    </row>
    <row r="4756" spans="1:44" hidden="1">
      <c r="A4756" s="1" t="s">
        <v>8657</v>
      </c>
      <c r="C4756" s="1">
        <v>1</v>
      </c>
      <c r="D4756" s="1" t="str">
        <f>"03537"</f>
        <v>03537</v>
      </c>
      <c r="E4756" s="1" t="s">
        <v>272</v>
      </c>
      <c r="F4756" s="1">
        <v>23</v>
      </c>
      <c r="G4756" s="1">
        <v>12</v>
      </c>
      <c r="H4756" s="1">
        <v>0</v>
      </c>
      <c r="I4756" s="1" t="s">
        <v>8614</v>
      </c>
      <c r="K4756" s="1" t="str">
        <f t="shared" si="298"/>
        <v>ㄌ</v>
      </c>
      <c r="L4756" s="1" t="str">
        <f t="shared" si="299"/>
        <v>ㄧ</v>
      </c>
      <c r="M4756" s="1" t="str">
        <f t="shared" si="297"/>
        <v>ㄠ</v>
      </c>
      <c r="P4756" s="1" t="s">
        <v>20</v>
      </c>
      <c r="R4756" s="1" t="s">
        <v>8615</v>
      </c>
      <c r="V4756" s="1" t="s">
        <v>8658</v>
      </c>
      <c r="AR4756" s="1" t="str">
        <f t="shared" si="300"/>
        <v>| [ㄌㄧㄠˊ](ㄌㄧㄠˊ.md) | [鷯](鷯.md) |  | liáo | 參見「鷯鶉」、「鷦鷯」等條。 |</v>
      </c>
    </row>
    <row r="4757" spans="1:44" hidden="1">
      <c r="A4757" s="1" t="s">
        <v>8659</v>
      </c>
      <c r="C4757" s="1">
        <v>1</v>
      </c>
      <c r="D4757" s="1" t="str">
        <f>"03538"</f>
        <v>03538</v>
      </c>
      <c r="E4757" s="1" t="s">
        <v>426</v>
      </c>
      <c r="F4757" s="1">
        <v>15</v>
      </c>
      <c r="G4757" s="1">
        <v>11</v>
      </c>
      <c r="H4757" s="1">
        <v>0</v>
      </c>
      <c r="I4757" s="1" t="s">
        <v>8614</v>
      </c>
      <c r="K4757" s="1" t="str">
        <f t="shared" si="298"/>
        <v>ㄌ</v>
      </c>
      <c r="L4757" s="1" t="str">
        <f t="shared" si="299"/>
        <v>ㄧ</v>
      </c>
      <c r="M4757" s="1" t="str">
        <f t="shared" si="297"/>
        <v>ㄠ</v>
      </c>
      <c r="P4757" s="1" t="s">
        <v>20</v>
      </c>
      <c r="R4757" s="1" t="s">
        <v>8615</v>
      </c>
      <c r="V4757" s="1" t="s">
        <v>8660</v>
      </c>
      <c r="AR4757" s="1" t="str">
        <f t="shared" si="300"/>
        <v>| [ㄌㄧㄠˊ](ㄌㄧㄠˊ.md) | [敹](敹.md) |  | liáo | [動]
縫紉、修補。如：「敹貼邊」。《書經．費誓》：「善敹乃甲冑，敿乃干。」唐．孔穎達．正義：「敹，謂穿徹之，謂甲繩有斷絕，當使敹理穿治之。」 |</v>
      </c>
    </row>
    <row r="4758" spans="1:44" hidden="1">
      <c r="A4758" s="1" t="s">
        <v>7856</v>
      </c>
      <c r="C4758" s="1">
        <v>1</v>
      </c>
      <c r="D4758" s="1" t="str">
        <f>"03539"</f>
        <v>03539</v>
      </c>
      <c r="E4758" s="1" t="s">
        <v>7857</v>
      </c>
      <c r="F4758" s="1">
        <v>2</v>
      </c>
      <c r="G4758" s="1">
        <v>1</v>
      </c>
      <c r="H4758" s="1">
        <v>1</v>
      </c>
      <c r="I4758" s="1" t="s">
        <v>8661</v>
      </c>
      <c r="K4758" s="1" t="str">
        <f t="shared" si="298"/>
        <v>ㄌ</v>
      </c>
      <c r="L4758" s="1" t="str">
        <f t="shared" si="299"/>
        <v>ㄧ</v>
      </c>
      <c r="M4758" s="1" t="str">
        <f t="shared" si="297"/>
        <v>ㄠ</v>
      </c>
      <c r="P4758" s="1" t="s">
        <v>20</v>
      </c>
      <c r="R4758" s="1" t="s">
        <v>8662</v>
      </c>
      <c r="V4758" s="1" t="s">
        <v>8663</v>
      </c>
      <c r="W4758" s="1" t="s">
        <v>8664</v>
      </c>
      <c r="AR4758" s="1" t="str">
        <f t="shared" si="300"/>
        <v>| [ㄌㄧㄠˇ](ㄌㄧㄠˇ.md) | [了](了.md) |  | liǎo | [動]
1.明白、懂得。如：「一目了然」。宋．陸游〈醉歌〉：「心雖了是非，口不給唯諾。」
2.完畢、結束。如：「不了了之」、「責任未了」。《老殘遊記》第一九回：「今日大案已了，我明日一早進城銷差去了。」
[副]
1.完全。與否定語「不」、「無」等連用。有「一點也不……」的意思。如：「了無新意」、「了無生趣」。
2.與「得」、「不」等連用，表示可能或不可能。如：「辦得了」、「寫不了」。
[形]
聰明、慧黠。如：「小時了了，大未必佳。」 |</v>
      </c>
    </row>
    <row r="4759" spans="1:44" hidden="1">
      <c r="A4759" s="1" t="s">
        <v>8665</v>
      </c>
      <c r="C4759" s="1">
        <v>1</v>
      </c>
      <c r="D4759" s="1" t="str">
        <f>"03540"</f>
        <v>03540</v>
      </c>
      <c r="E4759" s="1" t="s">
        <v>55</v>
      </c>
      <c r="F4759" s="1">
        <v>10</v>
      </c>
      <c r="G4759" s="1">
        <v>2</v>
      </c>
      <c r="H4759" s="1">
        <v>1</v>
      </c>
      <c r="I4759" s="1" t="s">
        <v>8661</v>
      </c>
      <c r="K4759" s="1" t="str">
        <f t="shared" si="298"/>
        <v>ㄌ</v>
      </c>
      <c r="L4759" s="1" t="str">
        <f t="shared" si="299"/>
        <v>ㄧ</v>
      </c>
      <c r="M4759" s="1" t="str">
        <f t="shared" si="297"/>
        <v>ㄠ</v>
      </c>
      <c r="P4759" s="1" t="s">
        <v>20</v>
      </c>
      <c r="R4759" s="1" t="s">
        <v>8662</v>
      </c>
      <c r="V4759" s="1" t="s">
        <v>8666</v>
      </c>
      <c r="W4759" s="1" t="s">
        <v>8667</v>
      </c>
      <c r="AR4759" s="1" t="str">
        <f t="shared" si="300"/>
        <v>| [ㄌㄧㄠˇ](ㄌㄧㄠˇ.md) | [釕](釕.md) |  | liǎo | [名]
1.金飾之器。《廣韻．上聲．篠韻》：「釕，釕鈌，帶頭飾。」《新唐書．卷二二五．逆臣列傳下．黃巢》：「使沙陀以五百騎釕轡藻韉，望賊陣縱而遁，賊以為怯。」
2.（ruthenium，Ru）化學元素。原子序44。銀灰色，質堅而脆，熔點極高，多存在於鉑礦中。與鋨、銥等金屬元素製成合金。可用來作觸媒、首飾、電接觸器、合金等。 |</v>
      </c>
    </row>
    <row r="4760" spans="1:44" hidden="1">
      <c r="A4760" s="1" t="s">
        <v>8643</v>
      </c>
      <c r="C4760" s="1">
        <v>1</v>
      </c>
      <c r="D4760" s="1" t="str">
        <f>"03541"</f>
        <v>03541</v>
      </c>
      <c r="E4760" s="1" t="s">
        <v>336</v>
      </c>
      <c r="F4760" s="1">
        <v>16</v>
      </c>
      <c r="G4760" s="1">
        <v>12</v>
      </c>
      <c r="H4760" s="1">
        <v>2</v>
      </c>
      <c r="I4760" s="1" t="s">
        <v>8661</v>
      </c>
      <c r="K4760" s="1" t="str">
        <f t="shared" si="298"/>
        <v>ㄌ</v>
      </c>
      <c r="L4760" s="1" t="str">
        <f t="shared" si="299"/>
        <v>ㄧ</v>
      </c>
      <c r="M4760" s="1" t="str">
        <f t="shared" si="297"/>
        <v>ㄠ</v>
      </c>
      <c r="P4760" s="1" t="s">
        <v>20</v>
      </c>
      <c r="R4760" s="1" t="s">
        <v>8662</v>
      </c>
      <c r="V4760" s="1" t="s">
        <v>8668</v>
      </c>
      <c r="W4760" s="1" t="s">
        <v>8669</v>
      </c>
      <c r="AR4760" s="1" t="str">
        <f t="shared" si="300"/>
        <v>| [ㄌㄧㄠˇ](ㄌㄧㄠˇ.md) | [燎](燎.md) |  | liǎo | [動]
焚燒。《書經．盤庚上》：「若火之燎於原，不可嚮邇，其猶可撲滅。」唐．吳筠〈覽古〉詩一四首之一：「秦皇燎儒術，方冊靡孑遺。」 |</v>
      </c>
    </row>
    <row r="4761" spans="1:44" hidden="1">
      <c r="A4761" s="1" t="s">
        <v>8670</v>
      </c>
      <c r="C4761" s="1">
        <v>1</v>
      </c>
      <c r="D4761" s="1" t="str">
        <f>"03542"</f>
        <v>03542</v>
      </c>
      <c r="E4761" s="1" t="s">
        <v>1015</v>
      </c>
      <c r="F4761" s="1">
        <v>17</v>
      </c>
      <c r="G4761" s="1">
        <v>12</v>
      </c>
      <c r="H4761" s="1">
        <v>1</v>
      </c>
      <c r="I4761" s="1" t="s">
        <v>8661</v>
      </c>
      <c r="K4761" s="1" t="str">
        <f t="shared" si="298"/>
        <v>ㄌ</v>
      </c>
      <c r="L4761" s="1" t="str">
        <f t="shared" si="299"/>
        <v>ㄧ</v>
      </c>
      <c r="M4761" s="1" t="str">
        <f t="shared" si="297"/>
        <v>ㄠ</v>
      </c>
      <c r="P4761" s="1" t="s">
        <v>20</v>
      </c>
      <c r="R4761" s="1" t="s">
        <v>8662</v>
      </c>
      <c r="V4761" s="1" t="s">
        <v>8671</v>
      </c>
      <c r="W4761" s="1" t="s">
        <v>8672</v>
      </c>
      <c r="AR4761" s="1" t="str">
        <f t="shared" si="300"/>
        <v>| [ㄌㄧㄠˇ](ㄌㄧㄠˇ.md) | [瞭](瞭.md) |  | liǎo | [動]
明白、清楚。如：「明瞭」、「瞭解」。
[形]
眼睛明亮。《孟子．離婁上》：「胸中正，則眸子瞭焉。」漢．趙岐．注：「瞭，明也。」 |</v>
      </c>
    </row>
    <row r="4762" spans="1:44" hidden="1">
      <c r="A4762" s="1" t="s">
        <v>8673</v>
      </c>
      <c r="C4762" s="1">
        <v>1</v>
      </c>
      <c r="D4762" s="1" t="str">
        <f>"03543"</f>
        <v>03543</v>
      </c>
      <c r="E4762" s="1" t="s">
        <v>37</v>
      </c>
      <c r="F4762" s="1">
        <v>15</v>
      </c>
      <c r="G4762" s="1">
        <v>11</v>
      </c>
      <c r="H4762" s="1">
        <v>2</v>
      </c>
      <c r="I4762" s="1" t="s">
        <v>8661</v>
      </c>
      <c r="K4762" s="1" t="str">
        <f t="shared" si="298"/>
        <v>ㄌ</v>
      </c>
      <c r="L4762" s="1" t="str">
        <f t="shared" si="299"/>
        <v>ㄧ</v>
      </c>
      <c r="M4762" s="1" t="str">
        <f t="shared" si="297"/>
        <v>ㄠ</v>
      </c>
      <c r="P4762" s="1" t="s">
        <v>20</v>
      </c>
      <c r="R4762" s="1" t="s">
        <v>8662</v>
      </c>
      <c r="V4762" s="1" t="s">
        <v>8674</v>
      </c>
      <c r="W4762" s="1" t="s">
        <v>8675</v>
      </c>
      <c r="AR4762" s="1" t="str">
        <f t="shared" si="300"/>
        <v>| [ㄌㄧㄠˇ](ㄌㄧㄠˇ.md) | [蓼](蓼.md) |  | liǎo | [名]
植物名。蓼科蓼屬，「水蓼」之古稱，參見「水蓼」條。 |</v>
      </c>
    </row>
    <row r="4763" spans="1:44" hidden="1">
      <c r="A4763" s="1" t="s">
        <v>8676</v>
      </c>
      <c r="C4763" s="1">
        <v>1</v>
      </c>
      <c r="D4763" s="1" t="str">
        <f>"03544"</f>
        <v>03544</v>
      </c>
      <c r="E4763" s="1" t="s">
        <v>1935</v>
      </c>
      <c r="F4763" s="1">
        <v>6</v>
      </c>
      <c r="G4763" s="1">
        <v>3</v>
      </c>
      <c r="H4763" s="1">
        <v>0</v>
      </c>
      <c r="I4763" s="1" t="s">
        <v>8677</v>
      </c>
      <c r="K4763" s="1" t="str">
        <f t="shared" si="298"/>
        <v>ㄌ</v>
      </c>
      <c r="L4763" s="1" t="str">
        <f t="shared" si="299"/>
        <v>ㄧ</v>
      </c>
      <c r="M4763" s="1" t="str">
        <f t="shared" si="297"/>
        <v>ㄠ</v>
      </c>
      <c r="P4763" s="1" t="s">
        <v>20</v>
      </c>
      <c r="R4763" s="1" t="s">
        <v>8678</v>
      </c>
      <c r="V4763" s="1" t="s">
        <v>8679</v>
      </c>
      <c r="AR4763" s="1" t="str">
        <f t="shared" si="300"/>
        <v>| [ㄌㄧㄠˋ](ㄌㄧㄠˋ.md) | [尥](尥.md) |  | liào | [動]
1.走路時足脛相交。《說文解字．尢部》：「尥，行脛相交也。」
2.跛行。元．戴侗《六書故．卷九．人》：「今人謂筋骨弱，舉足不隨為尥掉。」
3.牲口用後腿往後踢。參見「尥蹶子」條。 |</v>
      </c>
    </row>
    <row r="4764" spans="1:44" hidden="1">
      <c r="A4764" s="1" t="s">
        <v>8680</v>
      </c>
      <c r="C4764" s="1">
        <v>1</v>
      </c>
      <c r="D4764" s="1" t="str">
        <f>"03545"</f>
        <v>03545</v>
      </c>
      <c r="E4764" s="1" t="s">
        <v>4869</v>
      </c>
      <c r="F4764" s="1">
        <v>10</v>
      </c>
      <c r="G4764" s="1">
        <v>6</v>
      </c>
      <c r="H4764" s="1">
        <v>0</v>
      </c>
      <c r="I4764" s="1" t="s">
        <v>8677</v>
      </c>
      <c r="K4764" s="1" t="str">
        <f t="shared" si="298"/>
        <v>ㄌ</v>
      </c>
      <c r="L4764" s="1" t="str">
        <f t="shared" si="299"/>
        <v>ㄧ</v>
      </c>
      <c r="M4764" s="1" t="str">
        <f t="shared" si="297"/>
        <v>ㄠ</v>
      </c>
      <c r="P4764" s="1" t="s">
        <v>20</v>
      </c>
      <c r="R4764" s="1" t="s">
        <v>8678</v>
      </c>
      <c r="V4764" s="1" t="s">
        <v>8681</v>
      </c>
      <c r="AR4764" s="1" t="str">
        <f t="shared" si="300"/>
        <v>| [ㄌㄧㄠˋ](ㄌㄧㄠˋ.md) | [料](料.md) |  | liào | [名]
1.可供製造、使用或參考的事物。如：「材料」、「原料」、「香料」、「顏料」、「史料」、「資料」。
2.詩文、講話的題材。如：「笑料」、「詩料」。
3.禽畜所食用或供給植物養分的物品。如：「肥料」、「草料」、「飼料」。
4.人的材質。如：「他不是塊讀書的料。」
5.量詞。計算中藥一定劑量的單位。《紅樓夢》第三回：「我這裡正配丸藥呢，叫他們多配一料就是了。」
[動]
1.估量、猜度。如：「預料」、「不出所料」、「料事如神」。宋．辛棄疾〈賀新郎．甚笑吾衰矣〉詞：「我見青山多嫵媚，料青山、見我應如是。」
2.稱量、計算、清點。《國語．周語上》：「宣王既喪南國之師，乃料民於太原。」三國吳．韋昭．注：「料，數也。」
3.照顧、處理。如：「照料」、「料理」。《三國志．卷三七．蜀書．龐統傳》：「使天下太平，當與卿共料四海之士。」
4.丟掉、扔下。通「撂」。元．無名氏《抱妝盒》第二折：「別人家的哇哇，料在金水橋河下便了。」《醒世恆言．卷三七．杜子春三入長安》：「我何不把這銀子料在水裡，也砰地響一聲？」 |</v>
      </c>
    </row>
    <row r="4765" spans="1:44" hidden="1">
      <c r="A4765" s="1" t="s">
        <v>8665</v>
      </c>
      <c r="C4765" s="1">
        <v>1</v>
      </c>
      <c r="D4765" s="1" t="str">
        <f>"03546"</f>
        <v>03546</v>
      </c>
      <c r="E4765" s="1" t="s">
        <v>55</v>
      </c>
      <c r="F4765" s="1">
        <v>10</v>
      </c>
      <c r="G4765" s="1">
        <v>2</v>
      </c>
      <c r="H4765" s="1">
        <v>2</v>
      </c>
      <c r="I4765" s="1" t="s">
        <v>8677</v>
      </c>
      <c r="K4765" s="1" t="str">
        <f t="shared" si="298"/>
        <v>ㄌ</v>
      </c>
      <c r="L4765" s="1" t="str">
        <f t="shared" si="299"/>
        <v>ㄧ</v>
      </c>
      <c r="M4765" s="1" t="str">
        <f t="shared" si="297"/>
        <v>ㄠ</v>
      </c>
      <c r="P4765" s="1" t="s">
        <v>20</v>
      </c>
      <c r="R4765" s="1" t="s">
        <v>8678</v>
      </c>
      <c r="V4765" s="1" t="s">
        <v>8682</v>
      </c>
      <c r="W4765" s="1" t="s">
        <v>8683</v>
      </c>
      <c r="AR4765" s="1" t="str">
        <f t="shared" si="300"/>
        <v>| [ㄌㄧㄠˋ](ㄌㄧㄠˋ.md) | [釕](釕.md) |  | liào | 參見「釕銱兒」條。 |</v>
      </c>
    </row>
    <row r="4766" spans="1:44" hidden="1">
      <c r="A4766" s="1" t="s">
        <v>8684</v>
      </c>
      <c r="C4766" s="1">
        <v>1</v>
      </c>
      <c r="D4766" s="1" t="str">
        <f>"03547"</f>
        <v>03547</v>
      </c>
      <c r="E4766" s="1" t="s">
        <v>447</v>
      </c>
      <c r="F4766" s="1">
        <v>14</v>
      </c>
      <c r="G4766" s="1">
        <v>11</v>
      </c>
      <c r="H4766" s="1">
        <v>0</v>
      </c>
      <c r="I4766" s="1" t="s">
        <v>8677</v>
      </c>
      <c r="K4766" s="1" t="str">
        <f t="shared" si="298"/>
        <v>ㄌ</v>
      </c>
      <c r="L4766" s="1" t="str">
        <f t="shared" si="299"/>
        <v>ㄧ</v>
      </c>
      <c r="M4766" s="1" t="str">
        <f t="shared" si="297"/>
        <v>ㄠ</v>
      </c>
      <c r="P4766" s="1" t="s">
        <v>20</v>
      </c>
      <c r="R4766" s="1" t="s">
        <v>8678</v>
      </c>
      <c r="V4766" s="1" t="s">
        <v>8685</v>
      </c>
      <c r="AR4766" s="1" t="str">
        <f t="shared" si="300"/>
        <v>| [ㄌㄧㄠˋ](ㄌㄧㄠˋ.md) | [廖](廖.md) |  | liào | [名]
姓。如漢代有廖顗。 |</v>
      </c>
    </row>
    <row r="4767" spans="1:44" hidden="1">
      <c r="A4767" s="1" t="s">
        <v>8686</v>
      </c>
      <c r="C4767" s="1">
        <v>1</v>
      </c>
      <c r="D4767" s="1" t="str">
        <f>"03548"</f>
        <v>03548</v>
      </c>
      <c r="E4767" s="1" t="s">
        <v>24</v>
      </c>
      <c r="F4767" s="1">
        <v>14</v>
      </c>
      <c r="G4767" s="1">
        <v>11</v>
      </c>
      <c r="H4767" s="1">
        <v>0</v>
      </c>
      <c r="I4767" s="1" t="s">
        <v>8677</v>
      </c>
      <c r="K4767" s="1" t="str">
        <f t="shared" si="298"/>
        <v>ㄌ</v>
      </c>
      <c r="L4767" s="1" t="str">
        <f t="shared" si="299"/>
        <v>ㄧ</v>
      </c>
      <c r="M4767" s="1" t="str">
        <f t="shared" si="297"/>
        <v>ㄠ</v>
      </c>
      <c r="P4767" s="1" t="s">
        <v>20</v>
      </c>
      <c r="R4767" s="1" t="s">
        <v>8678</v>
      </c>
      <c r="V4767" s="1" t="s">
        <v>8687</v>
      </c>
      <c r="AR4767" s="1" t="str">
        <f t="shared" si="300"/>
        <v>| [ㄌㄧㄠˋ](ㄌㄧㄠˋ.md) | [撂](撂.md) |  | liào | [動]
1.放、扔、撇開。《紅樓夢》第二八回：「黛玉便把剪子一撂，說道：『理他呢，過一會就好了。』」
2.弄倒、摔。如：「他兩三下就把對手撂倒。」 |</v>
      </c>
    </row>
    <row r="4768" spans="1:44" hidden="1">
      <c r="A4768" s="1" t="s">
        <v>8643</v>
      </c>
      <c r="C4768" s="1">
        <v>1</v>
      </c>
      <c r="D4768" s="1" t="str">
        <f>"03549"</f>
        <v>03549</v>
      </c>
      <c r="E4768" s="1" t="s">
        <v>336</v>
      </c>
      <c r="F4768" s="1">
        <v>16</v>
      </c>
      <c r="G4768" s="1">
        <v>12</v>
      </c>
      <c r="H4768" s="1">
        <v>1</v>
      </c>
      <c r="I4768" s="1" t="s">
        <v>8677</v>
      </c>
      <c r="K4768" s="1" t="str">
        <f t="shared" si="298"/>
        <v>ㄌ</v>
      </c>
      <c r="L4768" s="1" t="str">
        <f t="shared" si="299"/>
        <v>ㄧ</v>
      </c>
      <c r="M4768" s="1" t="str">
        <f t="shared" si="297"/>
        <v>ㄠ</v>
      </c>
      <c r="P4768" s="1" t="s">
        <v>20</v>
      </c>
      <c r="R4768" s="1" t="s">
        <v>8678</v>
      </c>
      <c r="V4768" s="1" t="s">
        <v>8688</v>
      </c>
      <c r="W4768" s="1" t="s">
        <v>8689</v>
      </c>
      <c r="AR4768" s="1" t="str">
        <f t="shared" si="300"/>
        <v>| [ㄌㄧㄠˋ](ㄌㄧㄠˋ.md) | [燎](燎.md) |  | liào | [名]
火把、火燭。《詩經．小雅．庭燎》：「夜未央，庭燎之光。」漢．毛亨．傳：「庭燎，大燭。」
[動]
烘烤。《後漢書．卷一七．馮異傳》：「異抱薪，鄧禹熱火，光武對灶燎衣。」唐．章懷太子．注：「燎，炙也。」
[形]
顯明。《詩經．陳風．月出》：「月出照兮，佼人燎兮。」 |</v>
      </c>
    </row>
    <row r="4769" spans="1:44" hidden="1">
      <c r="A4769" s="1" t="s">
        <v>8670</v>
      </c>
      <c r="C4769" s="1">
        <v>1</v>
      </c>
      <c r="D4769" s="1" t="str">
        <f>"03550"</f>
        <v>03550</v>
      </c>
      <c r="E4769" s="1" t="s">
        <v>1015</v>
      </c>
      <c r="F4769" s="1">
        <v>17</v>
      </c>
      <c r="G4769" s="1">
        <v>12</v>
      </c>
      <c r="H4769" s="1">
        <v>2</v>
      </c>
      <c r="I4769" s="1" t="s">
        <v>8677</v>
      </c>
      <c r="K4769" s="1" t="str">
        <f t="shared" si="298"/>
        <v>ㄌ</v>
      </c>
      <c r="L4769" s="1" t="str">
        <f t="shared" si="299"/>
        <v>ㄧ</v>
      </c>
      <c r="M4769" s="1" t="str">
        <f t="shared" si="297"/>
        <v>ㄠ</v>
      </c>
      <c r="P4769" s="1" t="s">
        <v>20</v>
      </c>
      <c r="R4769" s="1" t="s">
        <v>8678</v>
      </c>
      <c r="V4769" s="1" t="s">
        <v>8690</v>
      </c>
      <c r="W4769" s="1" t="s">
        <v>8691</v>
      </c>
      <c r="AR4769" s="1" t="str">
        <f t="shared" si="300"/>
        <v>| [ㄌㄧㄠˋ](ㄌㄧㄠˋ.md) | [瞭](瞭.md) |  | liào | [副]
遠看。如：「瞭望」。 |</v>
      </c>
    </row>
    <row r="4770" spans="1:44" hidden="1">
      <c r="A4770" s="1" t="s">
        <v>8652</v>
      </c>
      <c r="C4770" s="1">
        <v>1</v>
      </c>
      <c r="D4770" s="1" t="str">
        <f>"03551"</f>
        <v>03551</v>
      </c>
      <c r="E4770" s="1" t="s">
        <v>55</v>
      </c>
      <c r="F4770" s="1">
        <v>20</v>
      </c>
      <c r="G4770" s="1">
        <v>12</v>
      </c>
      <c r="H4770" s="1">
        <v>2</v>
      </c>
      <c r="I4770" s="1" t="s">
        <v>8677</v>
      </c>
      <c r="K4770" s="1" t="str">
        <f t="shared" si="298"/>
        <v>ㄌ</v>
      </c>
      <c r="L4770" s="1" t="str">
        <f t="shared" si="299"/>
        <v>ㄧ</v>
      </c>
      <c r="M4770" s="1" t="str">
        <f t="shared" si="297"/>
        <v>ㄠ</v>
      </c>
      <c r="P4770" s="1" t="s">
        <v>110</v>
      </c>
      <c r="R4770" s="1" t="s">
        <v>8678</v>
      </c>
      <c r="V4770" s="1" t="s">
        <v>111</v>
      </c>
      <c r="W4770" s="1" t="s">
        <v>8692</v>
      </c>
      <c r="AR4770" s="1" t="str">
        <f t="shared" si="300"/>
        <v>| [ㄌㄧㄠˋ](ㄌㄧㄠˋ.md) | [鐐](鐐.md) |  | liào | (一)之又音。 |</v>
      </c>
    </row>
    <row r="4771" spans="1:44" hidden="1">
      <c r="A4771" s="1" t="s">
        <v>8693</v>
      </c>
      <c r="C4771" s="1">
        <v>1</v>
      </c>
      <c r="D4771" s="1" t="str">
        <f>"03552"</f>
        <v>03552</v>
      </c>
      <c r="E4771" s="1" t="s">
        <v>129</v>
      </c>
      <c r="F4771" s="1">
        <v>13</v>
      </c>
      <c r="G4771" s="1">
        <v>10</v>
      </c>
      <c r="H4771" s="1">
        <v>2</v>
      </c>
      <c r="I4771" s="1" t="s">
        <v>8694</v>
      </c>
      <c r="K4771" s="1" t="str">
        <f t="shared" si="298"/>
        <v>ㄌ</v>
      </c>
      <c r="L4771" s="1" t="str">
        <f t="shared" si="299"/>
        <v>ㄧ</v>
      </c>
      <c r="M4771" s="1" t="str">
        <f t="shared" si="297"/>
        <v>ㄡ</v>
      </c>
      <c r="P4771" s="1" t="s">
        <v>20</v>
      </c>
      <c r="R4771" s="1" t="s">
        <v>8695</v>
      </c>
      <c r="V4771" s="1" t="s">
        <v>8696</v>
      </c>
      <c r="W4771" s="1" t="s">
        <v>8697</v>
      </c>
      <c r="AR4771" s="1" t="str">
        <f t="shared" si="300"/>
        <v>| [ㄌㄧㄡ](ㄌㄧㄡ.md) | [溜](溜.md) |  | liū | [動]
1.私自離開或進入。如：「溜課」、「溜回家」。《紅樓夢》第九七回：「一面想著，已溜到裡間屋子門口，偷偷兒的瞧。」
2.滑動、滑落。如：「溜冰」、「溜滑梯」。
3.鑽迎、賣弄、討好。《紅樓夢》第七一回：「你想想你那老子娘，在那邊管家爺們跟前比我們還更會溜呢！」
4.看、瞟。《紅樓夢》第二六回：「那賈芸一面走，一面拿眼把紅玉一溜。」
5.一種烹飪方法。用旺火沸油炒過或炸好食物，加糖或醋，勾芡後速炒成熟，汁液黏裹住食物。如：「醋溜白菜」。
[副]
形容詞詞尾，表示程度深。如：「烏溜溜」、「酸溜溜」、「光溜溜」。 |</v>
      </c>
    </row>
    <row r="4772" spans="1:44" hidden="1">
      <c r="A4772" s="1" t="s">
        <v>8698</v>
      </c>
      <c r="C4772" s="1">
        <v>1</v>
      </c>
      <c r="D4772" s="1" t="str">
        <f>"03553"</f>
        <v>03553</v>
      </c>
      <c r="E4772" s="1" t="s">
        <v>129</v>
      </c>
      <c r="F4772" s="1">
        <v>9</v>
      </c>
      <c r="G4772" s="1">
        <v>6</v>
      </c>
      <c r="H4772" s="1">
        <v>0</v>
      </c>
      <c r="I4772" s="1" t="s">
        <v>8699</v>
      </c>
      <c r="K4772" s="1" t="str">
        <f t="shared" si="298"/>
        <v>ㄌ</v>
      </c>
      <c r="L4772" s="1" t="str">
        <f t="shared" si="299"/>
        <v>ㄧ</v>
      </c>
      <c r="M4772" s="1" t="str">
        <f t="shared" si="297"/>
        <v>ㄡ</v>
      </c>
      <c r="P4772" s="1" t="s">
        <v>20</v>
      </c>
      <c r="R4772" s="1" t="s">
        <v>8700</v>
      </c>
      <c r="V4772" s="1" t="s">
        <v>8701</v>
      </c>
      <c r="AR4772" s="1" t="str">
        <f t="shared" si="300"/>
        <v>| [ㄌㄧㄡˊ](ㄌㄧㄡˊ.md) | [流](流.md) |  | liú | [名]
1.水的通稱。《史記．卷四．周本紀》：「武王渡河，中流，白魚躍入王舟中，武王俯取以祭。」唐．李白〈望廬山瀑布水〉詩二首之二：「飛流直下三千尺，疑是銀河落九天。」
2.像水流的東西。如：「氣流」、「暖流」、「電流」、「車流」。
3.派別。如：「九流十家」。《漢書．卷一〇〇．敘傳下》：「群言紛亂，諸子相騰。秦人是滅，漢修其缺，劉向司籍，九流以別。」
4.品類、等級。如：「上流」、「名流」、「第一流」。
[動]
1.移動。如：「人口外流」。《易經．乾卦．九五》：「水流溼，火就燥。」唐．李白〈黃鶴樓送孟浩然之廣陵〉詩：「孤帆遠影碧山盡，唯見長江天際流。」
2.留傳、散布。如：「流芳萬世」。《孟子．公孫丑上》：「德之流行，速於置郵而傳命。」
3.趨向。如：「流於形式」。《文選．曹丕．典論論文》：「貧賤則懾於飢寒，富貴則流於逸樂。」
4.放逐。《國語．周語上》：「王不聽，於是國莫敢出言，三年，乃流王於彘。」南朝宋．劉義慶《世說新語．任誕》：「宜流之海外，以正風教。」
5.放縱。《國語．晉語一》：「肆侈不違，流志而行，無所不疚，是以及亡而不獲追鑒。」
[形]
1.往來不定的。如：「流雲」、「流民」。
2.快速通過的、運轉不停的。如：「流星」、「流年」。宋．蔣捷〈一翦梅．一片春愁待酒澆〉詞：「流光容易把人拋，紅了櫻桃，綠了芭蕉。」
3.意外的、不明來處的。如：「流矢」、「流彈」。
4.沒有根據的。如：「流言」、「流譽」。 |</v>
      </c>
    </row>
    <row r="4773" spans="1:44" hidden="1">
      <c r="A4773" s="1" t="s">
        <v>8702</v>
      </c>
      <c r="C4773" s="1">
        <v>1</v>
      </c>
      <c r="D4773" s="1" t="str">
        <f>"03554"</f>
        <v>03554</v>
      </c>
      <c r="E4773" s="1" t="s">
        <v>142</v>
      </c>
      <c r="F4773" s="1">
        <v>10</v>
      </c>
      <c r="G4773" s="1">
        <v>6</v>
      </c>
      <c r="H4773" s="1">
        <v>0</v>
      </c>
      <c r="I4773" s="1" t="s">
        <v>8699</v>
      </c>
      <c r="K4773" s="1" t="str">
        <f t="shared" si="298"/>
        <v>ㄌ</v>
      </c>
      <c r="L4773" s="1" t="str">
        <f t="shared" si="299"/>
        <v>ㄧ</v>
      </c>
      <c r="M4773" s="1" t="str">
        <f t="shared" si="297"/>
        <v>ㄡ</v>
      </c>
      <c r="P4773" s="1" t="s">
        <v>20</v>
      </c>
      <c r="R4773" s="1" t="s">
        <v>8700</v>
      </c>
      <c r="V4773" s="1" t="s">
        <v>8703</v>
      </c>
      <c r="AR4773" s="1" t="str">
        <f t="shared" si="300"/>
        <v>| [ㄌㄧㄡˊ](ㄌㄧㄡˊ.md) | [琉](琉.md) |  | liú | 參見「琉璃」、「琉璃瓦」等條。 |</v>
      </c>
    </row>
    <row r="4774" spans="1:44" hidden="1">
      <c r="A4774" s="1" t="s">
        <v>8704</v>
      </c>
      <c r="C4774" s="1">
        <v>1</v>
      </c>
      <c r="D4774" s="1" t="str">
        <f>"03555"</f>
        <v>03555</v>
      </c>
      <c r="E4774" s="1" t="s">
        <v>169</v>
      </c>
      <c r="F4774" s="1">
        <v>11</v>
      </c>
      <c r="G4774" s="1">
        <v>6</v>
      </c>
      <c r="H4774" s="1">
        <v>0</v>
      </c>
      <c r="I4774" s="1" t="s">
        <v>8699</v>
      </c>
      <c r="K4774" s="1" t="str">
        <f t="shared" si="298"/>
        <v>ㄌ</v>
      </c>
      <c r="L4774" s="1" t="str">
        <f t="shared" si="299"/>
        <v>ㄧ</v>
      </c>
      <c r="M4774" s="1" t="str">
        <f t="shared" si="297"/>
        <v>ㄡ</v>
      </c>
      <c r="P4774" s="1" t="s">
        <v>20</v>
      </c>
      <c r="R4774" s="1" t="s">
        <v>8700</v>
      </c>
      <c r="V4774" s="1" t="s">
        <v>8705</v>
      </c>
      <c r="AR4774" s="1" t="str">
        <f t="shared" si="300"/>
        <v>| [ㄌㄧㄡˊ](ㄌㄧㄡˊ.md) | [硫](硫.md) |  | liú | [名]
（sulfur；sulphur，S）化學元素。原子序16。非金屬元素之一。為淺黃色的結晶體，不傳熱、電，易燃，能直接與大多數的金屬化合。工業上用來製硫酸、火藥、火柴、硫化橡膠、殺蟲劑等，醫學上也用來治療皮膚病。俗稱為「硫黃」。 |</v>
      </c>
    </row>
    <row r="4775" spans="1:44" hidden="1">
      <c r="A4775" s="1" t="s">
        <v>8706</v>
      </c>
      <c r="C4775" s="1">
        <v>1</v>
      </c>
      <c r="D4775" s="1" t="str">
        <f>"03556"</f>
        <v>03556</v>
      </c>
      <c r="E4775" s="1" t="s">
        <v>800</v>
      </c>
      <c r="F4775" s="1">
        <v>12</v>
      </c>
      <c r="G4775" s="1">
        <v>8</v>
      </c>
      <c r="H4775" s="1">
        <v>0</v>
      </c>
      <c r="I4775" s="1" t="s">
        <v>8699</v>
      </c>
      <c r="K4775" s="1" t="str">
        <f t="shared" si="298"/>
        <v>ㄌ</v>
      </c>
      <c r="L4775" s="1" t="str">
        <f t="shared" si="299"/>
        <v>ㄧ</v>
      </c>
      <c r="M4775" s="1" t="str">
        <f t="shared" si="297"/>
        <v>ㄡ</v>
      </c>
      <c r="P4775" s="1" t="s">
        <v>20</v>
      </c>
      <c r="R4775" s="1" t="s">
        <v>8700</v>
      </c>
      <c r="V4775" s="1" t="s">
        <v>8707</v>
      </c>
      <c r="AR4775" s="1" t="str">
        <f t="shared" si="300"/>
        <v>| [ㄌㄧㄡˊ](ㄌㄧㄡˊ.md) | [旒](旒.md) |  | liú | [名]
1.旗子上垂下來的綵帶。《玉篇．㫃部》：「旒，旌旗垂者。」《史記．卷二四．樂書》：「龍旂九旒，天子之旌也。」
2.冠冕上垂懸的珠玉。明．張自烈《正字通．方部》：「旒，以絲繩貫玉，垂冕前後也。」《後漢書．卷二六．蔡茂傳》：「賜以三公之服，黼黻冕旒。」 |</v>
      </c>
    </row>
    <row r="4776" spans="1:44" hidden="1">
      <c r="A4776" s="1" t="s">
        <v>8708</v>
      </c>
      <c r="C4776" s="1">
        <v>1</v>
      </c>
      <c r="D4776" s="1" t="str">
        <f>"03557"</f>
        <v>03557</v>
      </c>
      <c r="E4776" s="1" t="s">
        <v>55</v>
      </c>
      <c r="F4776" s="1">
        <v>17</v>
      </c>
      <c r="G4776" s="1">
        <v>9</v>
      </c>
      <c r="H4776" s="1">
        <v>0</v>
      </c>
      <c r="I4776" s="1" t="s">
        <v>8699</v>
      </c>
      <c r="K4776" s="1" t="str">
        <f t="shared" si="298"/>
        <v>ㄌ</v>
      </c>
      <c r="L4776" s="1" t="str">
        <f t="shared" si="299"/>
        <v>ㄧ</v>
      </c>
      <c r="M4776" s="1" t="str">
        <f t="shared" si="297"/>
        <v>ㄡ</v>
      </c>
      <c r="P4776" s="1" t="s">
        <v>20</v>
      </c>
      <c r="R4776" s="1" t="s">
        <v>8700</v>
      </c>
      <c r="V4776" s="1" t="s">
        <v>8709</v>
      </c>
      <c r="AR4776" s="1" t="str">
        <f t="shared" si="300"/>
        <v>| [ㄌㄧㄡˊ](ㄌㄧㄡˊ.md) | [鎏](鎏.md) |  | liú | [名]
成色佳的金子。《集韻．平聲．尤韻》：「鎏，美金謂之鎏。」 |</v>
      </c>
    </row>
    <row r="4777" spans="1:44" hidden="1">
      <c r="A4777" s="1" t="s">
        <v>8710</v>
      </c>
      <c r="C4777" s="1">
        <v>1</v>
      </c>
      <c r="D4777" s="1" t="str">
        <f>"03558"</f>
        <v>03558</v>
      </c>
      <c r="E4777" s="1" t="s">
        <v>753</v>
      </c>
      <c r="F4777" s="1">
        <v>10</v>
      </c>
      <c r="G4777" s="1">
        <v>5</v>
      </c>
      <c r="H4777" s="1">
        <v>0</v>
      </c>
      <c r="I4777" s="1" t="s">
        <v>8699</v>
      </c>
      <c r="K4777" s="1" t="str">
        <f t="shared" si="298"/>
        <v>ㄌ</v>
      </c>
      <c r="L4777" s="1" t="str">
        <f t="shared" si="299"/>
        <v>ㄧ</v>
      </c>
      <c r="M4777" s="1" t="str">
        <f t="shared" si="297"/>
        <v>ㄡ</v>
      </c>
      <c r="P4777" s="1" t="s">
        <v>20</v>
      </c>
      <c r="R4777" s="1" t="s">
        <v>8700</v>
      </c>
      <c r="V4777" s="1" t="s">
        <v>8711</v>
      </c>
      <c r="AR4777" s="1" t="str">
        <f t="shared" si="300"/>
        <v>| [ㄌㄧㄡˊ](ㄌㄧㄡˊ.md) | [留](留.md) |  | liú | [動]
1.停止。《史記．卷四一．越王句踐世家》：「可疾去矣，慎毋留！」《漢書．卷三一．陳勝項籍傳》：「北救趙，至安陽，留不進。」
2.不使離開。如：「慰留」。《孟子．公孫丑下》：「孟子去齊宿於晝，有欲為王留行者。」《三國演義》第八二回：「昔子瑜在柴桑時，孔明來吳，孤欲使子瑜留之。」
3.保存、保留。如：「留餘地」、「留鬍子」。《墨子．非儒下》：「於是厚其禮，留其封，敬見而不問其道。」
4.遺下。如：「遺留」、「祖先留下豐富的遺產。」
5.注意。如：「留心」、「留意」、「留神」。 |</v>
      </c>
    </row>
    <row r="4778" spans="1:44" hidden="1">
      <c r="A4778" s="1" t="s">
        <v>8712</v>
      </c>
      <c r="C4778" s="1">
        <v>1</v>
      </c>
      <c r="D4778" s="1" t="str">
        <f>"03559"</f>
        <v>03559</v>
      </c>
      <c r="E4778" s="1" t="s">
        <v>139</v>
      </c>
      <c r="F4778" s="1">
        <v>14</v>
      </c>
      <c r="G4778" s="1">
        <v>10</v>
      </c>
      <c r="H4778" s="1">
        <v>0</v>
      </c>
      <c r="I4778" s="1" t="s">
        <v>8699</v>
      </c>
      <c r="K4778" s="1" t="str">
        <f t="shared" si="298"/>
        <v>ㄌ</v>
      </c>
      <c r="L4778" s="1" t="str">
        <f t="shared" si="299"/>
        <v>ㄧ</v>
      </c>
      <c r="M4778" s="1" t="str">
        <f t="shared" si="297"/>
        <v>ㄡ</v>
      </c>
      <c r="P4778" s="1" t="s">
        <v>20</v>
      </c>
      <c r="R4778" s="1" t="s">
        <v>8700</v>
      </c>
      <c r="V4778" s="1" t="s">
        <v>8713</v>
      </c>
      <c r="AR4778" s="1" t="str">
        <f t="shared" si="300"/>
        <v>| [ㄌㄧㄡˊ](ㄌㄧㄡˊ.md) | [榴](榴.md) |  | liú | 參見「石榴」條。 |</v>
      </c>
    </row>
    <row r="4779" spans="1:44" hidden="1">
      <c r="A4779" s="1" t="s">
        <v>8714</v>
      </c>
      <c r="C4779" s="1">
        <v>1</v>
      </c>
      <c r="D4779" s="1" t="str">
        <f>"03560"</f>
        <v>03560</v>
      </c>
      <c r="E4779" s="1" t="s">
        <v>558</v>
      </c>
      <c r="F4779" s="1">
        <v>14</v>
      </c>
      <c r="G4779" s="1">
        <v>10</v>
      </c>
      <c r="H4779" s="1">
        <v>1</v>
      </c>
      <c r="I4779" s="1" t="s">
        <v>8699</v>
      </c>
      <c r="K4779" s="1" t="str">
        <f t="shared" si="298"/>
        <v>ㄌ</v>
      </c>
      <c r="L4779" s="1" t="str">
        <f t="shared" si="299"/>
        <v>ㄧ</v>
      </c>
      <c r="M4779" s="1" t="str">
        <f t="shared" si="297"/>
        <v>ㄡ</v>
      </c>
      <c r="P4779" s="1" t="s">
        <v>20</v>
      </c>
      <c r="R4779" s="1" t="s">
        <v>8700</v>
      </c>
      <c r="V4779" s="1" t="s">
        <v>8715</v>
      </c>
      <c r="W4779" s="1" t="s">
        <v>8716</v>
      </c>
      <c r="AR4779" s="1" t="str">
        <f t="shared" si="300"/>
        <v>| [ㄌㄧㄡˊ](ㄌㄧㄡˊ.md) | [遛](遛.md) |  | liú | [動]
停留、不前進。《漢書．卷九四．匈奴傳上》：「上以虎牙將軍不至期，詐增鹵獲，而祁連知虜在前，逗遛不進，皆下吏自殺。」 |</v>
      </c>
    </row>
    <row r="4780" spans="1:44" hidden="1">
      <c r="A4780" s="1" t="s">
        <v>8717</v>
      </c>
      <c r="C4780" s="1">
        <v>1</v>
      </c>
      <c r="D4780" s="1" t="str">
        <f>"03561"</f>
        <v>03561</v>
      </c>
      <c r="E4780" s="1" t="s">
        <v>40</v>
      </c>
      <c r="F4780" s="1">
        <v>15</v>
      </c>
      <c r="G4780" s="1">
        <v>10</v>
      </c>
      <c r="H4780" s="1">
        <v>0</v>
      </c>
      <c r="I4780" s="1" t="s">
        <v>8699</v>
      </c>
      <c r="K4780" s="1" t="str">
        <f t="shared" si="298"/>
        <v>ㄌ</v>
      </c>
      <c r="L4780" s="1" t="str">
        <f t="shared" si="299"/>
        <v>ㄧ</v>
      </c>
      <c r="M4780" s="1" t="str">
        <f t="shared" si="297"/>
        <v>ㄡ</v>
      </c>
      <c r="P4780" s="1" t="s">
        <v>20</v>
      </c>
      <c r="R4780" s="1" t="s">
        <v>8700</v>
      </c>
      <c r="V4780" s="1" t="s">
        <v>8718</v>
      </c>
      <c r="AR4780" s="1" t="str">
        <f t="shared" si="300"/>
        <v>| [ㄌㄧㄡˊ](ㄌㄧㄡˊ.md) | [瘤](瘤.md) |  | liú | [名]
身體組織或器官因細胞增生所長的贅生物。如：「肉瘤」、「腫瘤」。《晉書．卷五九．列傳．趙王倫》：「倫目上有瘤，時以為妖焉。」 |</v>
      </c>
    </row>
    <row r="4781" spans="1:44" hidden="1">
      <c r="A4781" s="1" t="s">
        <v>8719</v>
      </c>
      <c r="C4781" s="1">
        <v>1</v>
      </c>
      <c r="D4781" s="1" t="str">
        <f>"03562"</f>
        <v>03562</v>
      </c>
      <c r="E4781" s="1" t="s">
        <v>55</v>
      </c>
      <c r="F4781" s="1">
        <v>18</v>
      </c>
      <c r="G4781" s="1">
        <v>10</v>
      </c>
      <c r="H4781" s="1">
        <v>0</v>
      </c>
      <c r="I4781" s="1" t="s">
        <v>8699</v>
      </c>
      <c r="K4781" s="1" t="str">
        <f t="shared" si="298"/>
        <v>ㄌ</v>
      </c>
      <c r="L4781" s="1" t="str">
        <f t="shared" si="299"/>
        <v>ㄧ</v>
      </c>
      <c r="M4781" s="1" t="str">
        <f t="shared" si="297"/>
        <v>ㄡ</v>
      </c>
      <c r="P4781" s="1" t="s">
        <v>20</v>
      </c>
      <c r="R4781" s="1" t="s">
        <v>8700</v>
      </c>
      <c r="V4781" s="1" t="s">
        <v>8720</v>
      </c>
      <c r="AR4781" s="1" t="str">
        <f t="shared" si="300"/>
        <v>| [ㄌㄧㄡˊ](ㄌㄧㄡˊ.md) | [鎦](鎦.md) |  | liú | [名]
1.同「劉」。《玉篇．金部》：「鎦，古劉字。」
2.（lutetium，Lu）化學元素。原子序71。稀土金屬元素之一。硬度高、密度高、熔點高，存在於磷釔礦和黑稀金礦等稀土金屬礦中，可用離子交換技術分離和提純。大陸地區譯為鑥。 |</v>
      </c>
    </row>
    <row r="4782" spans="1:44" hidden="1">
      <c r="A4782" s="1" t="s">
        <v>8721</v>
      </c>
      <c r="C4782" s="1">
        <v>1</v>
      </c>
      <c r="D4782" s="1" t="str">
        <f>"03563"</f>
        <v>03563</v>
      </c>
      <c r="E4782" s="1" t="s">
        <v>193</v>
      </c>
      <c r="F4782" s="1">
        <v>18</v>
      </c>
      <c r="G4782" s="1">
        <v>10</v>
      </c>
      <c r="H4782" s="1">
        <v>1</v>
      </c>
      <c r="I4782" s="1" t="s">
        <v>8699</v>
      </c>
      <c r="K4782" s="1" t="str">
        <f t="shared" si="298"/>
        <v>ㄌ</v>
      </c>
      <c r="L4782" s="1" t="str">
        <f t="shared" si="299"/>
        <v>ㄧ</v>
      </c>
      <c r="M4782" s="1" t="str">
        <f t="shared" si="297"/>
        <v>ㄡ</v>
      </c>
      <c r="P4782" s="1" t="s">
        <v>20</v>
      </c>
      <c r="R4782" s="1" t="s">
        <v>8700</v>
      </c>
      <c r="V4782" s="1" t="s">
        <v>8722</v>
      </c>
      <c r="W4782" s="1" t="s">
        <v>8723</v>
      </c>
      <c r="AR4782" s="1" t="str">
        <f t="shared" si="300"/>
        <v>| [ㄌㄧㄡˊ](ㄌㄧㄡˊ.md) | [餾](餾.md) |  | liú | [動]
1.再次蒸煮。南朝宋．劉義慶《世說新語．夙惠》：「太丘問：『炊何不餾？』元方、季方長跪曰：『大人與客語，乃俱竊聽，炊忘箸箄，飯今成糜。』」
2.參見「蒸餾」條。 |</v>
      </c>
    </row>
    <row r="4783" spans="1:44" hidden="1">
      <c r="A4783" s="1" t="s">
        <v>8724</v>
      </c>
      <c r="C4783" s="1">
        <v>1</v>
      </c>
      <c r="D4783" s="1" t="str">
        <f>"03564"</f>
        <v>03564</v>
      </c>
      <c r="E4783" s="1" t="s">
        <v>1161</v>
      </c>
      <c r="F4783" s="1">
        <v>19</v>
      </c>
      <c r="G4783" s="1">
        <v>10</v>
      </c>
      <c r="H4783" s="1">
        <v>0</v>
      </c>
      <c r="I4783" s="1" t="s">
        <v>8699</v>
      </c>
      <c r="K4783" s="1" t="str">
        <f t="shared" si="298"/>
        <v>ㄌ</v>
      </c>
      <c r="L4783" s="1" t="str">
        <f t="shared" si="299"/>
        <v>ㄧ</v>
      </c>
      <c r="M4783" s="1" t="str">
        <f t="shared" si="297"/>
        <v>ㄡ</v>
      </c>
      <c r="P4783" s="1" t="s">
        <v>20</v>
      </c>
      <c r="R4783" s="1" t="s">
        <v>8700</v>
      </c>
      <c r="V4783" s="1" t="s">
        <v>8725</v>
      </c>
      <c r="AR4783" s="1" t="str">
        <f t="shared" si="300"/>
        <v>| [ㄌㄧㄡˊ](ㄌㄧㄡˊ.md) | [飀](飀.md) |  | liú | [名]
風吹動的聲音。《文選．左思．吳都賦》：「與風颻颺，䬀瀏颼飀。」 |</v>
      </c>
    </row>
    <row r="4784" spans="1:44" hidden="1">
      <c r="A4784" s="1" t="s">
        <v>8726</v>
      </c>
      <c r="C4784" s="1">
        <v>1</v>
      </c>
      <c r="D4784" s="1" t="str">
        <f>"03565"</f>
        <v>03565</v>
      </c>
      <c r="E4784" s="1" t="s">
        <v>319</v>
      </c>
      <c r="F4784" s="1">
        <v>20</v>
      </c>
      <c r="G4784" s="1">
        <v>10</v>
      </c>
      <c r="H4784" s="1">
        <v>0</v>
      </c>
      <c r="I4784" s="1" t="s">
        <v>8699</v>
      </c>
      <c r="K4784" s="1" t="str">
        <f t="shared" si="298"/>
        <v>ㄌ</v>
      </c>
      <c r="L4784" s="1" t="str">
        <f t="shared" si="299"/>
        <v>ㄧ</v>
      </c>
      <c r="M4784" s="1" t="str">
        <f t="shared" si="297"/>
        <v>ㄡ</v>
      </c>
      <c r="P4784" s="1" t="s">
        <v>20</v>
      </c>
      <c r="R4784" s="1" t="s">
        <v>8700</v>
      </c>
      <c r="V4784" s="1" t="s">
        <v>8727</v>
      </c>
      <c r="AR4784" s="1" t="str">
        <f t="shared" si="300"/>
        <v>| [ㄌㄧㄡˊ](ㄌㄧㄡˊ.md) | [騮](騮.md) |  | liú | 參見「驊騮」條。 |</v>
      </c>
    </row>
    <row r="4785" spans="1:44" hidden="1">
      <c r="A4785" s="1" t="s">
        <v>8728</v>
      </c>
      <c r="C4785" s="1">
        <v>1</v>
      </c>
      <c r="D4785" s="1" t="str">
        <f>"03566"</f>
        <v>03566</v>
      </c>
      <c r="E4785" s="1" t="s">
        <v>272</v>
      </c>
      <c r="F4785" s="1">
        <v>21</v>
      </c>
      <c r="G4785" s="1">
        <v>10</v>
      </c>
      <c r="H4785" s="1">
        <v>0</v>
      </c>
      <c r="I4785" s="1" t="s">
        <v>8699</v>
      </c>
      <c r="K4785" s="1" t="str">
        <f t="shared" si="298"/>
        <v>ㄌ</v>
      </c>
      <c r="L4785" s="1" t="str">
        <f t="shared" si="299"/>
        <v>ㄧ</v>
      </c>
      <c r="M4785" s="1" t="str">
        <f t="shared" si="297"/>
        <v>ㄡ</v>
      </c>
      <c r="P4785" s="1" t="s">
        <v>20</v>
      </c>
      <c r="R4785" s="1" t="s">
        <v>8700</v>
      </c>
      <c r="V4785" s="1" t="s">
        <v>8729</v>
      </c>
      <c r="AR4785" s="1" t="str">
        <f t="shared" si="300"/>
        <v>| [ㄌㄧㄡˊ](ㄌㄧㄡˊ.md) | [鶹](鶹.md) |  | liú | 參見「鶹鷅」、「鵂鶹」等條。 |</v>
      </c>
    </row>
    <row r="4786" spans="1:44" hidden="1">
      <c r="A4786" s="1" t="s">
        <v>8730</v>
      </c>
      <c r="C4786" s="1">
        <v>1</v>
      </c>
      <c r="D4786" s="1" t="str">
        <f>"03567"</f>
        <v>03567</v>
      </c>
      <c r="E4786" s="1" t="s">
        <v>185</v>
      </c>
      <c r="F4786" s="1">
        <v>15</v>
      </c>
      <c r="G4786" s="1">
        <v>13</v>
      </c>
      <c r="H4786" s="1">
        <v>0</v>
      </c>
      <c r="I4786" s="1" t="s">
        <v>8699</v>
      </c>
      <c r="K4786" s="1" t="str">
        <f t="shared" si="298"/>
        <v>ㄌ</v>
      </c>
      <c r="L4786" s="1" t="str">
        <f t="shared" si="299"/>
        <v>ㄧ</v>
      </c>
      <c r="M4786" s="1" t="str">
        <f t="shared" si="297"/>
        <v>ㄡ</v>
      </c>
      <c r="P4786" s="1" t="s">
        <v>20</v>
      </c>
      <c r="R4786" s="1" t="s">
        <v>8700</v>
      </c>
      <c r="V4786" s="1" t="s">
        <v>8731</v>
      </c>
      <c r="AR4786" s="1" t="str">
        <f t="shared" si="300"/>
        <v>| [ㄌㄧㄡˊ](ㄌㄧㄡˊ.md) | [劉](劉.md) |  | liú | [名]
1.斧、鉞一類的兵器。明．張自烈《正字通．刀部》：「劉，鉞屬。」《書經．顧命》：「一人冕執劉，立于東堂。」
2.姓。如明代有劉基。
[動]
殺戮。《書經．盤庚上》：「重我民，無盡劉。」《文選．張衡．思玄賦》：「瞰瑤谿之赤岸兮，弔祖江之見劉。」唐．李善．注：「劉，殺也。」
[形]
枝葉稀疏、零落。《詩經．大雅．桑柔》：「捋采其劉，瘼此下民。」 |</v>
      </c>
    </row>
    <row r="4787" spans="1:44" hidden="1">
      <c r="A4787" s="1" t="s">
        <v>8732</v>
      </c>
      <c r="C4787" s="1">
        <v>1</v>
      </c>
      <c r="D4787" s="1" t="str">
        <f>"03568"</f>
        <v>03568</v>
      </c>
      <c r="E4787" s="1" t="s">
        <v>129</v>
      </c>
      <c r="F4787" s="1">
        <v>18</v>
      </c>
      <c r="G4787" s="1">
        <v>15</v>
      </c>
      <c r="H4787" s="1">
        <v>0</v>
      </c>
      <c r="I4787" s="1" t="s">
        <v>8699</v>
      </c>
      <c r="K4787" s="1" t="str">
        <f t="shared" si="298"/>
        <v>ㄌ</v>
      </c>
      <c r="L4787" s="1" t="str">
        <f t="shared" si="299"/>
        <v>ㄧ</v>
      </c>
      <c r="M4787" s="1" t="str">
        <f t="shared" si="297"/>
        <v>ㄡ</v>
      </c>
      <c r="P4787" s="1" t="s">
        <v>20</v>
      </c>
      <c r="R4787" s="1" t="s">
        <v>8700</v>
      </c>
      <c r="V4787" s="1" t="s">
        <v>8733</v>
      </c>
      <c r="AR4787" s="1" t="str">
        <f t="shared" si="300"/>
        <v>| [ㄌㄧㄡˊ](ㄌㄧㄡˊ.md) | [瀏](瀏.md) |  | liú | [形]
1.水流清澈。《說文解字．水部》：「瀏，流清貌。」
2.清涼。《文選．曹植．與吳季重書》：「得所來訊，文采委曲，曄若春榮，瀏若清風。」
[副]
1.水深的樣子。《詩經．鄭風．秦洧》：「溱與洧，瀏其清矣。」
2.風勢疾速。《楚辭．劉向．九歎．逢紛》：「白露紛以塗塗兮，秋風瀏以蕭蕭。」 |</v>
      </c>
    </row>
    <row r="4788" spans="1:44" hidden="1">
      <c r="A4788" s="1" t="s">
        <v>8734</v>
      </c>
      <c r="C4788" s="1">
        <v>1</v>
      </c>
      <c r="D4788" s="1" t="str">
        <f>"03569"</f>
        <v>03569</v>
      </c>
      <c r="E4788" s="1" t="s">
        <v>250</v>
      </c>
      <c r="F4788" s="1">
        <v>18</v>
      </c>
      <c r="G4788" s="1">
        <v>15</v>
      </c>
      <c r="H4788" s="1">
        <v>0</v>
      </c>
      <c r="I4788" s="1" t="s">
        <v>8699</v>
      </c>
      <c r="K4788" s="1" t="str">
        <f t="shared" si="298"/>
        <v>ㄌ</v>
      </c>
      <c r="L4788" s="1" t="str">
        <f t="shared" si="299"/>
        <v>ㄧ</v>
      </c>
      <c r="M4788" s="1" t="str">
        <f t="shared" si="297"/>
        <v>ㄡ</v>
      </c>
      <c r="P4788" s="1" t="s">
        <v>20</v>
      </c>
      <c r="R4788" s="1" t="s">
        <v>8700</v>
      </c>
      <c r="V4788" s="1" t="s">
        <v>8735</v>
      </c>
      <c r="AR4788" s="1" t="str">
        <f t="shared" si="300"/>
        <v>| [ㄌㄧㄡˊ](ㄌㄧㄡˊ.md) | [懰](懰.md) |  | liú | [形]
1.美好。《詩經．陳風．月出》：「月出皓兮，佼人懰兮。」
2.憂怨。參見「懰慄」條。 |</v>
      </c>
    </row>
    <row r="4789" spans="1:44" hidden="1">
      <c r="A4789" s="1" t="s">
        <v>8736</v>
      </c>
      <c r="C4789" s="1">
        <v>1</v>
      </c>
      <c r="D4789" s="1" t="str">
        <f>"03570"</f>
        <v>03570</v>
      </c>
      <c r="E4789" s="1" t="s">
        <v>753</v>
      </c>
      <c r="F4789" s="1">
        <v>16</v>
      </c>
      <c r="G4789" s="1">
        <v>11</v>
      </c>
      <c r="H4789" s="1">
        <v>0</v>
      </c>
      <c r="I4789" s="1" t="s">
        <v>8699</v>
      </c>
      <c r="K4789" s="1" t="str">
        <f t="shared" si="298"/>
        <v>ㄌ</v>
      </c>
      <c r="L4789" s="1" t="str">
        <f t="shared" si="299"/>
        <v>ㄧ</v>
      </c>
      <c r="M4789" s="1" t="str">
        <f t="shared" ref="M4789:M4852" si="301">MID(I4789, 3, 1)</f>
        <v>ㄡ</v>
      </c>
      <c r="P4789" s="1" t="s">
        <v>20</v>
      </c>
      <c r="R4789" s="1" t="s">
        <v>8700</v>
      </c>
      <c r="V4789" s="1" t="s">
        <v>8737</v>
      </c>
      <c r="AR4789" s="1" t="str">
        <f t="shared" si="300"/>
        <v>| [ㄌㄧㄡˊ](ㄌㄧㄡˊ.md) | [疁](疁.md) |  | liú | [動]
焚燒田地上的草木而後播種。《說文解字．田部》：「疁，燒穜也。」清．段玉裁．注：「謂焚其草木而下種，蓋治山田之法為然。」
[名]
姓。如宋代有疁子耕。 |</v>
      </c>
    </row>
    <row r="4790" spans="1:44" hidden="1">
      <c r="A4790" s="1" t="s">
        <v>8738</v>
      </c>
      <c r="C4790" s="1">
        <v>1</v>
      </c>
      <c r="D4790" s="1" t="str">
        <f>"03571"</f>
        <v>03571</v>
      </c>
      <c r="E4790" s="1" t="s">
        <v>55</v>
      </c>
      <c r="F4790" s="1">
        <v>19</v>
      </c>
      <c r="G4790" s="1">
        <v>11</v>
      </c>
      <c r="H4790" s="1">
        <v>0</v>
      </c>
      <c r="I4790" s="1" t="s">
        <v>8699</v>
      </c>
      <c r="K4790" s="1" t="str">
        <f t="shared" si="298"/>
        <v>ㄌ</v>
      </c>
      <c r="L4790" s="1" t="str">
        <f t="shared" si="299"/>
        <v>ㄧ</v>
      </c>
      <c r="M4790" s="1" t="str">
        <f t="shared" si="301"/>
        <v>ㄡ</v>
      </c>
      <c r="P4790" s="1" t="s">
        <v>20</v>
      </c>
      <c r="R4790" s="1" t="s">
        <v>8700</v>
      </c>
      <c r="V4790" s="1" t="s">
        <v>8739</v>
      </c>
      <c r="AR4790" s="1" t="str">
        <f t="shared" si="300"/>
        <v>| [ㄌㄧㄡˊ](ㄌㄧㄡˊ.md) | [鏐](鏐.md) |  | liú | [名]
質地純美的黃金。《爾雅．釋器》：「黃金謂之璗，其美者謂之鏐。」宋．王安石〈賜衣帶等謝表〉：「出大庭之顯服，束以精鏐。」 |</v>
      </c>
    </row>
    <row r="4791" spans="1:44" hidden="1">
      <c r="A4791" s="1" t="s">
        <v>8740</v>
      </c>
      <c r="C4791" s="1">
        <v>1</v>
      </c>
      <c r="D4791" s="1" t="str">
        <f>"03572"</f>
        <v>03572</v>
      </c>
      <c r="E4791" s="1" t="s">
        <v>139</v>
      </c>
      <c r="F4791" s="1">
        <v>9</v>
      </c>
      <c r="G4791" s="1">
        <v>5</v>
      </c>
      <c r="H4791" s="1">
        <v>0</v>
      </c>
      <c r="I4791" s="1" t="s">
        <v>8741</v>
      </c>
      <c r="K4791" s="1" t="str">
        <f t="shared" si="298"/>
        <v>ㄌ</v>
      </c>
      <c r="L4791" s="1" t="str">
        <f t="shared" si="299"/>
        <v>ㄧ</v>
      </c>
      <c r="M4791" s="1" t="str">
        <f t="shared" si="301"/>
        <v>ㄡ</v>
      </c>
      <c r="P4791" s="1" t="s">
        <v>20</v>
      </c>
      <c r="R4791" s="1" t="s">
        <v>8742</v>
      </c>
      <c r="V4791" s="1" t="s">
        <v>8743</v>
      </c>
      <c r="AR4791" s="1" t="str">
        <f t="shared" si="300"/>
        <v>| [ㄌㄧㄡˇ](ㄌㄧㄡˇ.md) | [柳](柳.md) |  | liǔ | [名]
1.植物名。楊柳科柳屬，落葉喬木。樹枝細長，柔軟下垂。葉互生，線狀披針形，尾端尖銳，邊緣有細鋸齒。花密生呈穗狀，種子有毛，成熟時柳絮飛散如雪。一般供作觀賞、行道樹。
2.星座名。二十八星宿之一。為南方朱雀七宿的第三宿，共有八顆星。
3.姓。如唐代有柳宗元。 |</v>
      </c>
    </row>
    <row r="4792" spans="1:44" hidden="1">
      <c r="A4792" s="1" t="s">
        <v>8744</v>
      </c>
      <c r="C4792" s="1">
        <v>1</v>
      </c>
      <c r="D4792" s="1" t="str">
        <f>"03573"</f>
        <v>03573</v>
      </c>
      <c r="E4792" s="1" t="s">
        <v>725</v>
      </c>
      <c r="F4792" s="1">
        <v>14</v>
      </c>
      <c r="G4792" s="1">
        <v>8</v>
      </c>
      <c r="H4792" s="1">
        <v>0</v>
      </c>
      <c r="I4792" s="1" t="s">
        <v>8741</v>
      </c>
      <c r="K4792" s="1" t="str">
        <f t="shared" si="298"/>
        <v>ㄌ</v>
      </c>
      <c r="L4792" s="1" t="str">
        <f t="shared" si="299"/>
        <v>ㄧ</v>
      </c>
      <c r="M4792" s="1" t="str">
        <f t="shared" si="301"/>
        <v>ㄡ</v>
      </c>
      <c r="P4792" s="1" t="s">
        <v>20</v>
      </c>
      <c r="R4792" s="1" t="s">
        <v>8742</v>
      </c>
      <c r="V4792" s="1" t="s">
        <v>8745</v>
      </c>
      <c r="AR4792" s="1" t="str">
        <f t="shared" si="300"/>
        <v>| [ㄌㄧㄡˇ](ㄌㄧㄡˇ.md) | [綹](綹.md) |  | liǔ | [名]
1.絲縷編成的線，主要用來繫東西。唐．沈佺期〈七夕曝衣篇〉：「上有仙人長命綹，中看玉女迎歡繡。」
2.量詞。計算絲、線、髮、鬚等的單位。如：「三綹絲線」。元．秦𥳑夫《剪髮待賓》第二折：「兀那街市上一個婆婆，手裡拿著一綹兒頭髮，不知是賣的？不知是買的？」
[動]
輕拂。《兒女英雄傳》第三三回：「下巴頦兒底下，又沒甚麼，可儘著申三個指頭，在那裡綹鬍子似的不住手的綹。」 |</v>
      </c>
    </row>
    <row r="4793" spans="1:44" hidden="1">
      <c r="A4793" s="1" t="s">
        <v>8746</v>
      </c>
      <c r="C4793" s="1">
        <v>1</v>
      </c>
      <c r="D4793" s="1" t="str">
        <f>"03574"</f>
        <v>03574</v>
      </c>
      <c r="E4793" s="1" t="s">
        <v>118</v>
      </c>
      <c r="F4793" s="1">
        <v>15</v>
      </c>
      <c r="G4793" s="1">
        <v>10</v>
      </c>
      <c r="H4793" s="1">
        <v>0</v>
      </c>
      <c r="I4793" s="1" t="s">
        <v>8741</v>
      </c>
      <c r="K4793" s="1" t="str">
        <f t="shared" si="298"/>
        <v>ㄌ</v>
      </c>
      <c r="L4793" s="1" t="str">
        <f t="shared" si="299"/>
        <v>ㄧ</v>
      </c>
      <c r="M4793" s="1" t="str">
        <f t="shared" si="301"/>
        <v>ㄡ</v>
      </c>
      <c r="P4793" s="1" t="s">
        <v>20</v>
      </c>
      <c r="R4793" s="1" t="s">
        <v>8742</v>
      </c>
      <c r="V4793" s="1" t="s">
        <v>8747</v>
      </c>
      <c r="AR4793" s="1" t="str">
        <f t="shared" si="300"/>
        <v>| [ㄌㄧㄡˇ](ㄌㄧㄡˇ.md) | [罶](罶.md) |  | liǔ | [名]
捕魚的器具。《詩經．小雅．魚麗》：「魚麗于罶，鱨鯊。」 |</v>
      </c>
    </row>
    <row r="4794" spans="1:44" hidden="1">
      <c r="A4794" s="1" t="s">
        <v>8748</v>
      </c>
      <c r="C4794" s="1">
        <v>1</v>
      </c>
      <c r="D4794" s="1" t="str">
        <f>"03575"</f>
        <v>03575</v>
      </c>
      <c r="E4794" s="1" t="s">
        <v>18</v>
      </c>
      <c r="F4794" s="1">
        <v>4</v>
      </c>
      <c r="G4794" s="1">
        <v>2</v>
      </c>
      <c r="H4794" s="1">
        <v>1</v>
      </c>
      <c r="I4794" s="1" t="s">
        <v>8749</v>
      </c>
      <c r="K4794" s="1" t="str">
        <f t="shared" si="298"/>
        <v>ㄌ</v>
      </c>
      <c r="L4794" s="1" t="str">
        <f t="shared" si="299"/>
        <v>ㄧ</v>
      </c>
      <c r="M4794" s="1" t="str">
        <f t="shared" si="301"/>
        <v>ㄡ</v>
      </c>
      <c r="P4794" s="1" t="s">
        <v>20</v>
      </c>
      <c r="R4794" s="1" t="s">
        <v>8750</v>
      </c>
      <c r="V4794" s="1" t="s">
        <v>8751</v>
      </c>
      <c r="W4794" s="1" t="s">
        <v>8752</v>
      </c>
      <c r="AR4794" s="1" t="str">
        <f t="shared" si="300"/>
        <v>| [ㄌㄧㄡˋ](ㄌㄧㄡˋ.md) | [六](六.md) |  | liù | [名]
介於五與七之間的自然數。大寫作「陸」，阿拉伯數字作「6」。 |</v>
      </c>
    </row>
    <row r="4795" spans="1:44" hidden="1">
      <c r="A4795" s="1" t="s">
        <v>8753</v>
      </c>
      <c r="C4795" s="1">
        <v>1</v>
      </c>
      <c r="D4795" s="1" t="str">
        <f>"03577"</f>
        <v>03577</v>
      </c>
      <c r="E4795" s="1" t="s">
        <v>691</v>
      </c>
      <c r="F4795" s="1">
        <v>11</v>
      </c>
      <c r="G4795" s="1">
        <v>8</v>
      </c>
      <c r="H4795" s="1">
        <v>2</v>
      </c>
      <c r="I4795" s="1" t="s">
        <v>8749</v>
      </c>
      <c r="K4795" s="1" t="str">
        <f t="shared" si="298"/>
        <v>ㄌ</v>
      </c>
      <c r="L4795" s="1" t="str">
        <f t="shared" si="299"/>
        <v>ㄧ</v>
      </c>
      <c r="M4795" s="1" t="str">
        <f t="shared" si="301"/>
        <v>ㄡ</v>
      </c>
      <c r="P4795" s="1" t="s">
        <v>20</v>
      </c>
      <c r="R4795" s="1" t="s">
        <v>8750</v>
      </c>
      <c r="V4795" s="1" t="s">
        <v>8754</v>
      </c>
      <c r="W4795" s="1" t="s">
        <v>8755</v>
      </c>
      <c r="AR4795" s="1" t="str">
        <f t="shared" si="300"/>
        <v>| [ㄌㄧㄡˋ](ㄌㄧㄡˋ.md) | [陸](陸.md) |  | liù | [名]
六的大寫。 |</v>
      </c>
    </row>
    <row r="4796" spans="1:44" hidden="1">
      <c r="A4796" s="1" t="s">
        <v>8693</v>
      </c>
      <c r="C4796" s="1">
        <v>1</v>
      </c>
      <c r="D4796" s="1" t="str">
        <f>"03578"</f>
        <v>03578</v>
      </c>
      <c r="E4796" s="1" t="s">
        <v>129</v>
      </c>
      <c r="F4796" s="1">
        <v>13</v>
      </c>
      <c r="G4796" s="1">
        <v>10</v>
      </c>
      <c r="H4796" s="1">
        <v>1</v>
      </c>
      <c r="I4796" s="1" t="s">
        <v>8749</v>
      </c>
      <c r="K4796" s="1" t="str">
        <f t="shared" si="298"/>
        <v>ㄌ</v>
      </c>
      <c r="L4796" s="1" t="str">
        <f t="shared" si="299"/>
        <v>ㄧ</v>
      </c>
      <c r="M4796" s="1" t="str">
        <f t="shared" si="301"/>
        <v>ㄡ</v>
      </c>
      <c r="P4796" s="1" t="s">
        <v>20</v>
      </c>
      <c r="R4796" s="1" t="s">
        <v>8750</v>
      </c>
      <c r="V4796" s="1" t="s">
        <v>8756</v>
      </c>
      <c r="W4796" s="1" t="s">
        <v>8757</v>
      </c>
      <c r="AR4796" s="1" t="str">
        <f t="shared" si="300"/>
        <v>| [ㄌㄧㄡˋ](ㄌㄧㄡˋ.md) | [溜](溜.md) |  | liù | [名]
1.水流。漢．杜篤〈首陽山賦〉：「青羅落漠而上覆，穴溜滴瀝而下通。」唐．白居易〈溪中早春〉詩：「西澗冰已消，春溜含新碧。」
2.屋簷滴水的地方。《左傳．宣公二年》：「三進及溜，而後視之。」唐．孔穎達．正義：「溜謂簷下水溜之處。」
3.向下直瀉的水。唐．上官昭容〈遊長寧公主流杯池〉詩二五首之二〇：「瀑溜晴疑雨，叢篁晝似昏。」
4.列。如：「這一溜有五棟房子。」
[形]
流利、順暢、不結巴。如：「這名外籍生來臺灣好幾年了，國語說得很溜！」元．無名氏《百花亭》第二折：「皂頭巾裹著額顱，斑竹籃提在手，叫歌聲習演的腔兒溜。」 |</v>
      </c>
    </row>
    <row r="4797" spans="1:44" hidden="1">
      <c r="A4797" s="1" t="s">
        <v>8714</v>
      </c>
      <c r="C4797" s="1">
        <v>1</v>
      </c>
      <c r="D4797" s="1" t="str">
        <f>"03579"</f>
        <v>03579</v>
      </c>
      <c r="E4797" s="1" t="s">
        <v>558</v>
      </c>
      <c r="F4797" s="1">
        <v>14</v>
      </c>
      <c r="G4797" s="1">
        <v>10</v>
      </c>
      <c r="H4797" s="1">
        <v>2</v>
      </c>
      <c r="I4797" s="1" t="s">
        <v>8749</v>
      </c>
      <c r="K4797" s="1" t="str">
        <f t="shared" si="298"/>
        <v>ㄌ</v>
      </c>
      <c r="L4797" s="1" t="str">
        <f t="shared" si="299"/>
        <v>ㄧ</v>
      </c>
      <c r="M4797" s="1" t="str">
        <f t="shared" si="301"/>
        <v>ㄡ</v>
      </c>
      <c r="P4797" s="1" t="s">
        <v>20</v>
      </c>
      <c r="R4797" s="1" t="s">
        <v>8750</v>
      </c>
      <c r="V4797" s="1" t="s">
        <v>8758</v>
      </c>
      <c r="W4797" s="1" t="s">
        <v>8759</v>
      </c>
      <c r="AR4797" s="1" t="str">
        <f t="shared" si="300"/>
        <v>| [ㄌㄧㄡˋ](ㄌㄧㄡˋ.md) | [遛](遛.md) |  | liù | [動]
1.緩步而走、隨便走走。如：「閒時不妨到外面遛一會兒。」
2.牽著或帶著寵物慢慢走。如：「遛馬」、「遛鳥」。 |</v>
      </c>
    </row>
    <row r="4798" spans="1:44" hidden="1">
      <c r="A4798" s="1" t="s">
        <v>8760</v>
      </c>
      <c r="C4798" s="1">
        <v>1</v>
      </c>
      <c r="D4798" s="1" t="str">
        <f>"03580"</f>
        <v>03580</v>
      </c>
      <c r="E4798" s="1" t="s">
        <v>77</v>
      </c>
      <c r="F4798" s="1">
        <v>17</v>
      </c>
      <c r="G4798" s="1">
        <v>10</v>
      </c>
      <c r="H4798" s="1">
        <v>0</v>
      </c>
      <c r="I4798" s="1" t="s">
        <v>8749</v>
      </c>
      <c r="K4798" s="1" t="str">
        <f t="shared" ref="K4798:K4861" si="302">LEFT(I4798, 1)</f>
        <v>ㄌ</v>
      </c>
      <c r="L4798" s="1" t="str">
        <f t="shared" ref="L4798:L4861" si="303">MID(I4798, 2, 1)</f>
        <v>ㄧ</v>
      </c>
      <c r="M4798" s="1" t="str">
        <f t="shared" si="301"/>
        <v>ㄡ</v>
      </c>
      <c r="P4798" s="1" t="s">
        <v>20</v>
      </c>
      <c r="R4798" s="1" t="s">
        <v>8750</v>
      </c>
      <c r="V4798" s="1" t="s">
        <v>4643</v>
      </c>
      <c r="AR4798" s="1" t="str">
        <f t="shared" si="300"/>
        <v>| [ㄌㄧㄡˋ](ㄌㄧㄡˋ.md) | [蹓](蹓.md) |  | liù | 參見「蹓躂」條。 |</v>
      </c>
    </row>
    <row r="4799" spans="1:44" hidden="1">
      <c r="A4799" s="1" t="s">
        <v>8761</v>
      </c>
      <c r="C4799" s="1">
        <v>1</v>
      </c>
      <c r="D4799" s="1" t="str">
        <f>"03581"</f>
        <v>03581</v>
      </c>
      <c r="E4799" s="1" t="s">
        <v>125</v>
      </c>
      <c r="F4799" s="1">
        <v>18</v>
      </c>
      <c r="G4799" s="1">
        <v>10</v>
      </c>
      <c r="H4799" s="1">
        <v>0</v>
      </c>
      <c r="I4799" s="1" t="s">
        <v>8749</v>
      </c>
      <c r="K4799" s="1" t="str">
        <f t="shared" si="302"/>
        <v>ㄌ</v>
      </c>
      <c r="L4799" s="1" t="str">
        <f t="shared" si="303"/>
        <v>ㄧ</v>
      </c>
      <c r="M4799" s="1" t="str">
        <f t="shared" si="301"/>
        <v>ㄡ</v>
      </c>
      <c r="P4799" s="1" t="s">
        <v>20</v>
      </c>
      <c r="R4799" s="1" t="s">
        <v>8750</v>
      </c>
      <c r="V4799" s="1" t="s">
        <v>8762</v>
      </c>
      <c r="AR4799" s="1" t="str">
        <f t="shared" si="300"/>
        <v>| [ㄌㄧㄡˋ](ㄌㄧㄡˋ.md) | [霤](霤.md) |  | liù | [名]
1.屋簷上流下的水。《文選．潘岳．悼亡詩三首之一》：「春風緣隙來，晨霤承檐滴。」
2.向下流的水。《文選．枚乘．上書諫吳王》：「太山之霤穿石，殫極之綆斷幹。」
3.屋簷。《禮記．玉藻》：「頤霤垂拱，視下而聽上。」唐．孔穎達．正義：「頤霤者，霤，屋簷，身俯，故頭臨前，垂頤如屋霤。」
4.裝在屋簷下接雨水的槽管。《禮記．檀弓上》：「既葬各以其服除，池視重霤。」漢．鄭玄．注：「承霤以木為之，用行水。」 |</v>
      </c>
    </row>
    <row r="4800" spans="1:44" hidden="1">
      <c r="A4800" s="1" t="s">
        <v>8721</v>
      </c>
      <c r="C4800" s="1">
        <v>1</v>
      </c>
      <c r="D4800" s="1" t="str">
        <f>"03582"</f>
        <v>03582</v>
      </c>
      <c r="E4800" s="1" t="s">
        <v>193</v>
      </c>
      <c r="F4800" s="1">
        <v>18</v>
      </c>
      <c r="G4800" s="1">
        <v>10</v>
      </c>
      <c r="H4800" s="1">
        <v>2</v>
      </c>
      <c r="I4800" s="1" t="s">
        <v>8749</v>
      </c>
      <c r="K4800" s="1" t="str">
        <f t="shared" si="302"/>
        <v>ㄌ</v>
      </c>
      <c r="L4800" s="1" t="str">
        <f t="shared" si="303"/>
        <v>ㄧ</v>
      </c>
      <c r="M4800" s="1" t="str">
        <f t="shared" si="301"/>
        <v>ㄡ</v>
      </c>
      <c r="P4800" s="1" t="s">
        <v>110</v>
      </c>
      <c r="R4800" s="1" t="s">
        <v>8750</v>
      </c>
      <c r="V4800" s="1" t="s">
        <v>111</v>
      </c>
      <c r="W4800" s="1" t="s">
        <v>8763</v>
      </c>
      <c r="AR4800" s="1" t="str">
        <f t="shared" si="300"/>
        <v>| [ㄌㄧㄡˋ](ㄌㄧㄡˋ.md) | [餾](餾.md) |  | liù | (一)之又音。 |</v>
      </c>
    </row>
    <row r="4801" spans="1:44" hidden="1">
      <c r="A4801" s="1" t="s">
        <v>8764</v>
      </c>
      <c r="C4801" s="1">
        <v>1</v>
      </c>
      <c r="D4801" s="1" t="str">
        <f>"03583"</f>
        <v>03583</v>
      </c>
      <c r="E4801" s="1" t="s">
        <v>272</v>
      </c>
      <c r="F4801" s="1">
        <v>22</v>
      </c>
      <c r="G4801" s="1">
        <v>11</v>
      </c>
      <c r="H4801" s="1">
        <v>0</v>
      </c>
      <c r="I4801" s="1" t="s">
        <v>8749</v>
      </c>
      <c r="K4801" s="1" t="str">
        <f t="shared" si="302"/>
        <v>ㄌ</v>
      </c>
      <c r="L4801" s="1" t="str">
        <f t="shared" si="303"/>
        <v>ㄧ</v>
      </c>
      <c r="M4801" s="1" t="str">
        <f t="shared" si="301"/>
        <v>ㄡ</v>
      </c>
      <c r="P4801" s="1" t="s">
        <v>20</v>
      </c>
      <c r="R4801" s="1" t="s">
        <v>8750</v>
      </c>
      <c r="V4801" s="1" t="s">
        <v>8765</v>
      </c>
      <c r="AR4801" s="1" t="str">
        <f t="shared" si="300"/>
        <v>| [ㄌㄧㄡˋ](ㄌㄧㄡˋ.md) | [鷚](鷚.md) |  | liù | [名]
動物名。體小，嘴細長。鳴聲悅耳。善步行，亦能飛上高空。《爾雅．釋鳥》：「鷚，天鸙。」晉．郭璞．注：「大如鷃雀，色似鶉，好高飛作聲，今江東名之天鷚。」 |</v>
      </c>
    </row>
    <row r="4802" spans="1:44" hidden="1">
      <c r="A4802" s="1" t="s">
        <v>8766</v>
      </c>
      <c r="C4802" s="1">
        <v>1</v>
      </c>
      <c r="D4802" s="1" t="str">
        <f>"03584"</f>
        <v>03584</v>
      </c>
      <c r="E4802" s="1" t="s">
        <v>222</v>
      </c>
      <c r="F4802" s="1">
        <v>8</v>
      </c>
      <c r="G4802" s="1">
        <v>5</v>
      </c>
      <c r="H4802" s="1">
        <v>0</v>
      </c>
      <c r="I4802" s="1" t="s">
        <v>8767</v>
      </c>
      <c r="K4802" s="1" t="str">
        <f t="shared" si="302"/>
        <v>ㄌ</v>
      </c>
      <c r="L4802" s="1" t="str">
        <f t="shared" si="303"/>
        <v>ㄧ</v>
      </c>
      <c r="M4802" s="1" t="str">
        <f t="shared" si="301"/>
        <v>ㄢ</v>
      </c>
      <c r="P4802" s="1" t="s">
        <v>20</v>
      </c>
      <c r="R4802" s="1" t="s">
        <v>8768</v>
      </c>
      <c r="V4802" s="1" t="s">
        <v>8769</v>
      </c>
      <c r="AR4802" s="1" t="str">
        <f t="shared" si="300"/>
        <v>| [ㄌㄧㄢˊ](ㄌㄧㄢˊ.md) | [帘](帘.md) |  | lián | [名]
1.酒店門前懸掛的旗幟。《集韻．平聲．鹽韻》：「帘，酒家幟。」唐．李中〈江邊吟〉：「閃閃酒帘招醉客，深深綠樹隱啼鶯。」
2.布幔或竹片等做成遮蔽門窗的東西。同「簾」。如：「門帘」、「窗帘」、「竹帘」。 |</v>
      </c>
    </row>
    <row r="4803" spans="1:44" hidden="1">
      <c r="A4803" s="1" t="s">
        <v>8770</v>
      </c>
      <c r="C4803" s="1">
        <v>1</v>
      </c>
      <c r="D4803" s="1" t="str">
        <f>"03585"</f>
        <v>03585</v>
      </c>
      <c r="E4803" s="1" t="s">
        <v>558</v>
      </c>
      <c r="F4803" s="1">
        <v>11</v>
      </c>
      <c r="G4803" s="1">
        <v>7</v>
      </c>
      <c r="H4803" s="1">
        <v>0</v>
      </c>
      <c r="I4803" s="1" t="s">
        <v>8767</v>
      </c>
      <c r="K4803" s="1" t="str">
        <f t="shared" si="302"/>
        <v>ㄌ</v>
      </c>
      <c r="L4803" s="1" t="str">
        <f t="shared" si="303"/>
        <v>ㄧ</v>
      </c>
      <c r="M4803" s="1" t="str">
        <f t="shared" si="301"/>
        <v>ㄢ</v>
      </c>
      <c r="P4803" s="1" t="s">
        <v>20</v>
      </c>
      <c r="R4803" s="1" t="s">
        <v>8768</v>
      </c>
      <c r="V4803" s="1" t="s">
        <v>8771</v>
      </c>
      <c r="AR4803" s="1" t="str">
        <f t="shared" ref="AR4803:AR4866" si="304">"| ["&amp;I4803&amp;"]("&amp;I4803&amp;".md) | ["&amp;A4803&amp;"]("&amp;A4803&amp;".md) | "&amp;" | "&amp;R4803&amp;" | "&amp;V4803&amp;" |"</f>
        <v>| [ㄌㄧㄢˊ](ㄌㄧㄢˊ.md) | [連](連.md) |  | lián | [動]
接合、接續。如：「接二連三」、「藕斷絲連」。《莊子．讓王》：「民相連而從之，遂成國於岐山之下。」《文選．蘇武．詩四首之一》：「況我連枝樹，與子同一身。」
[介]
把、將。如：「你連那份報紙一起拿來。」、「再不安分點，連你一塊兒處罰！」
[連]
1.甚至、就是。《老殘遊記》第二回：「連一根針跌在地下都聽得見響！」
2.和、及。《兒女英雄傳》第五回：「一失手，連盅子帶酒掉在地下。」
[名]
1.軍隊的編制單位。三排為一連。
2.姓。如民國有連橫。 |</v>
      </c>
    </row>
    <row r="4804" spans="1:44" hidden="1">
      <c r="A4804" s="1" t="s">
        <v>8772</v>
      </c>
      <c r="C4804" s="1">
        <v>1</v>
      </c>
      <c r="D4804" s="1" t="str">
        <f>"03586"</f>
        <v>03586</v>
      </c>
      <c r="E4804" s="1" t="s">
        <v>129</v>
      </c>
      <c r="F4804" s="1">
        <v>14</v>
      </c>
      <c r="G4804" s="1">
        <v>11</v>
      </c>
      <c r="H4804" s="1">
        <v>0</v>
      </c>
      <c r="I4804" s="1" t="s">
        <v>8767</v>
      </c>
      <c r="K4804" s="1" t="str">
        <f t="shared" si="302"/>
        <v>ㄌ</v>
      </c>
      <c r="L4804" s="1" t="str">
        <f t="shared" si="303"/>
        <v>ㄧ</v>
      </c>
      <c r="M4804" s="1" t="str">
        <f t="shared" si="301"/>
        <v>ㄢ</v>
      </c>
      <c r="P4804" s="1" t="s">
        <v>20</v>
      </c>
      <c r="R4804" s="1" t="s">
        <v>8768</v>
      </c>
      <c r="V4804" s="1" t="s">
        <v>8773</v>
      </c>
      <c r="AR4804" s="1" t="str">
        <f t="shared" si="304"/>
        <v>| [ㄌㄧㄢˊ](ㄌㄧㄢˊ.md) | [漣](漣.md) |  | lián | [名]
水面的小波紋。如：「漣漪」。宋．周敦頤〈愛蓮說〉：「予獨愛蓮之出淤泥而不染，濯清漣而不妖。」
[形]
參見「漣漣」條。 |</v>
      </c>
    </row>
    <row r="4805" spans="1:44" hidden="1">
      <c r="A4805" s="1" t="s">
        <v>8774</v>
      </c>
      <c r="C4805" s="1">
        <v>1</v>
      </c>
      <c r="D4805" s="1" t="str">
        <f>"03587"</f>
        <v>03587</v>
      </c>
      <c r="E4805" s="1" t="s">
        <v>28</v>
      </c>
      <c r="F4805" s="1">
        <v>14</v>
      </c>
      <c r="G4805" s="1">
        <v>11</v>
      </c>
      <c r="H4805" s="1">
        <v>0</v>
      </c>
      <c r="I4805" s="1" t="s">
        <v>8767</v>
      </c>
      <c r="K4805" s="1" t="str">
        <f t="shared" si="302"/>
        <v>ㄌ</v>
      </c>
      <c r="L4805" s="1" t="str">
        <f t="shared" si="303"/>
        <v>ㄧ</v>
      </c>
      <c r="M4805" s="1" t="str">
        <f t="shared" si="301"/>
        <v>ㄢ</v>
      </c>
      <c r="P4805" s="1" t="s">
        <v>20</v>
      </c>
      <c r="R4805" s="1" t="s">
        <v>8768</v>
      </c>
      <c r="V4805" s="1" t="s">
        <v>8775</v>
      </c>
      <c r="AR4805" s="1" t="str">
        <f t="shared" si="304"/>
        <v>| [ㄌㄧㄢˊ](ㄌㄧㄢˊ.md) | [嗹](嗹.md) |  | lián | [副]
嗹嘍：言語煩絮的樣子。《廣韻．平聲．先韻》：「嗹，嗹嘍，言語繁絮貌。」
[助]
詞曲中的襯字。用法同「呀」、「呼」等字。明．湯顯祖《南柯記》第六齣：「哩嗹花囉能堪聽，孤魯子頭嗑得精。」 |</v>
      </c>
    </row>
    <row r="4806" spans="1:44" hidden="1">
      <c r="A4806" s="1" t="s">
        <v>8776</v>
      </c>
      <c r="C4806" s="1">
        <v>1</v>
      </c>
      <c r="D4806" s="1" t="str">
        <f>"03588"</f>
        <v>03588</v>
      </c>
      <c r="E4806" s="1" t="s">
        <v>142</v>
      </c>
      <c r="F4806" s="1">
        <v>15</v>
      </c>
      <c r="G4806" s="1">
        <v>11</v>
      </c>
      <c r="H4806" s="1">
        <v>1</v>
      </c>
      <c r="I4806" s="1" t="s">
        <v>8767</v>
      </c>
      <c r="K4806" s="1" t="str">
        <f t="shared" si="302"/>
        <v>ㄌ</v>
      </c>
      <c r="L4806" s="1" t="str">
        <f t="shared" si="303"/>
        <v>ㄧ</v>
      </c>
      <c r="M4806" s="1" t="str">
        <f t="shared" si="301"/>
        <v>ㄢ</v>
      </c>
      <c r="P4806" s="1" t="s">
        <v>20</v>
      </c>
      <c r="R4806" s="1" t="s">
        <v>8768</v>
      </c>
      <c r="V4806" s="1" t="s">
        <v>8777</v>
      </c>
      <c r="W4806" s="1" t="s">
        <v>8778</v>
      </c>
      <c r="AR4806" s="1" t="str">
        <f t="shared" si="304"/>
        <v>| [ㄌㄧㄢˊ](ㄌㄧㄢˊ.md) | [璉](璉.md) |  | lián | [名]
參見「瑚璉」條。
[形]
連續。通「連」。《文選．何晏．景福殿賦》：「既櫛比而欑集，又宏璉以豐敞。」 |</v>
      </c>
    </row>
    <row r="4807" spans="1:44" hidden="1">
      <c r="A4807" s="1" t="s">
        <v>8779</v>
      </c>
      <c r="C4807" s="1">
        <v>1</v>
      </c>
      <c r="D4807" s="1" t="str">
        <f>"03589"</f>
        <v>03589</v>
      </c>
      <c r="E4807" s="1" t="s">
        <v>139</v>
      </c>
      <c r="F4807" s="1">
        <v>15</v>
      </c>
      <c r="G4807" s="1">
        <v>11</v>
      </c>
      <c r="H4807" s="1">
        <v>0</v>
      </c>
      <c r="I4807" s="1" t="s">
        <v>8767</v>
      </c>
      <c r="K4807" s="1" t="str">
        <f t="shared" si="302"/>
        <v>ㄌ</v>
      </c>
      <c r="L4807" s="1" t="str">
        <f t="shared" si="303"/>
        <v>ㄧ</v>
      </c>
      <c r="M4807" s="1" t="str">
        <f t="shared" si="301"/>
        <v>ㄢ</v>
      </c>
      <c r="P4807" s="1" t="s">
        <v>20</v>
      </c>
      <c r="R4807" s="1" t="s">
        <v>8768</v>
      </c>
      <c r="V4807" s="1" t="s">
        <v>8780</v>
      </c>
      <c r="AR4807" s="1" t="str">
        <f t="shared" si="304"/>
        <v>| [ㄌㄧㄢˊ](ㄌㄧㄢˊ.md) | [槤](槤.md) |  | lián | [名]
1.古代祭祀中盛黍稷的禮器。《說文解字．木部》：「槤，胡槤也。」也作「璉」。
2.一種生於大陸地區南方，形似枇杷的樹木。《玉篇．木部》：「槤，木名。」
3.關門的橫木。即門閂。《玉篇．木部》：「槤，橫關木也。」 |</v>
      </c>
    </row>
    <row r="4808" spans="1:44" hidden="1">
      <c r="A4808" s="1" t="s">
        <v>8781</v>
      </c>
      <c r="C4808" s="1">
        <v>1</v>
      </c>
      <c r="D4808" s="1" t="str">
        <f>"03590"</f>
        <v>03590</v>
      </c>
      <c r="E4808" s="1" t="s">
        <v>37</v>
      </c>
      <c r="F4808" s="1">
        <v>15</v>
      </c>
      <c r="G4808" s="1">
        <v>11</v>
      </c>
      <c r="H4808" s="1">
        <v>0</v>
      </c>
      <c r="I4808" s="1" t="s">
        <v>8767</v>
      </c>
      <c r="K4808" s="1" t="str">
        <f t="shared" si="302"/>
        <v>ㄌ</v>
      </c>
      <c r="L4808" s="1" t="str">
        <f t="shared" si="303"/>
        <v>ㄧ</v>
      </c>
      <c r="M4808" s="1" t="str">
        <f t="shared" si="301"/>
        <v>ㄢ</v>
      </c>
      <c r="P4808" s="1" t="s">
        <v>20</v>
      </c>
      <c r="R4808" s="1" t="s">
        <v>8768</v>
      </c>
      <c r="V4808" s="1" t="s">
        <v>8782</v>
      </c>
      <c r="AR4808" s="1" t="str">
        <f t="shared" si="304"/>
        <v>| [ㄌㄧㄢˊ](ㄌㄧㄢˊ.md) | [蓮](蓮.md) |  | lián | [名]_x000D_
植物名。「荷花」之別稱。參見「荷花」條。也稱為「荷」、「芙蕖」。 |</v>
      </c>
    </row>
    <row r="4809" spans="1:44" hidden="1">
      <c r="A4809" s="1" t="s">
        <v>8783</v>
      </c>
      <c r="C4809" s="1">
        <v>1</v>
      </c>
      <c r="D4809" s="1" t="str">
        <f>"03591"</f>
        <v>03591</v>
      </c>
      <c r="E4809" s="1" t="s">
        <v>340</v>
      </c>
      <c r="F4809" s="1">
        <v>17</v>
      </c>
      <c r="G4809" s="1">
        <v>11</v>
      </c>
      <c r="H4809" s="1">
        <v>0</v>
      </c>
      <c r="I4809" s="1" t="s">
        <v>8767</v>
      </c>
      <c r="K4809" s="1" t="str">
        <f t="shared" si="302"/>
        <v>ㄌ</v>
      </c>
      <c r="L4809" s="1" t="str">
        <f t="shared" si="303"/>
        <v>ㄧ</v>
      </c>
      <c r="M4809" s="1" t="str">
        <f t="shared" si="301"/>
        <v>ㄢ</v>
      </c>
      <c r="P4809" s="1" t="s">
        <v>20</v>
      </c>
      <c r="R4809" s="1" t="s">
        <v>8768</v>
      </c>
      <c r="V4809" s="1" t="s">
        <v>8784</v>
      </c>
      <c r="AR4809" s="1" t="str">
        <f t="shared" si="304"/>
        <v>| [ㄌㄧㄢˊ](ㄌㄧㄢˊ.md) | [褳](褳.md) |  | lián | [名]
一種布製的長形袋子。參見「搭連」條。 |</v>
      </c>
    </row>
    <row r="4810" spans="1:44" hidden="1">
      <c r="A4810" s="1" t="s">
        <v>8785</v>
      </c>
      <c r="C4810" s="1">
        <v>1</v>
      </c>
      <c r="D4810" s="1" t="str">
        <f>"03592"</f>
        <v>03592</v>
      </c>
      <c r="E4810" s="1" t="s">
        <v>331</v>
      </c>
      <c r="F4810" s="1">
        <v>18</v>
      </c>
      <c r="G4810" s="1">
        <v>11</v>
      </c>
      <c r="H4810" s="1">
        <v>0</v>
      </c>
      <c r="I4810" s="1" t="s">
        <v>8767</v>
      </c>
      <c r="K4810" s="1" t="str">
        <f t="shared" si="302"/>
        <v>ㄌ</v>
      </c>
      <c r="L4810" s="1" t="str">
        <f t="shared" si="303"/>
        <v>ㄧ</v>
      </c>
      <c r="M4810" s="1" t="str">
        <f t="shared" si="301"/>
        <v>ㄢ</v>
      </c>
      <c r="P4810" s="1" t="s">
        <v>20</v>
      </c>
      <c r="R4810" s="1" t="s">
        <v>8768</v>
      </c>
      <c r="V4810" s="1" t="s">
        <v>8786</v>
      </c>
      <c r="AR4810" s="1" t="str">
        <f t="shared" si="304"/>
        <v>| [ㄌㄧㄢˊ](ㄌㄧㄢˊ.md) | [謰](謰.md) |  | lián | 參見「謰語」條。 |</v>
      </c>
    </row>
    <row r="4811" spans="1:44" hidden="1">
      <c r="A4811" s="1" t="s">
        <v>8787</v>
      </c>
      <c r="C4811" s="1">
        <v>1</v>
      </c>
      <c r="D4811" s="1" t="str">
        <f>"03593"</f>
        <v>03593</v>
      </c>
      <c r="E4811" s="1" t="s">
        <v>156</v>
      </c>
      <c r="F4811" s="1">
        <v>22</v>
      </c>
      <c r="G4811" s="1">
        <v>11</v>
      </c>
      <c r="H4811" s="1">
        <v>0</v>
      </c>
      <c r="I4811" s="1" t="s">
        <v>8767</v>
      </c>
      <c r="K4811" s="1" t="str">
        <f t="shared" si="302"/>
        <v>ㄌ</v>
      </c>
      <c r="L4811" s="1" t="str">
        <f t="shared" si="303"/>
        <v>ㄧ</v>
      </c>
      <c r="M4811" s="1" t="str">
        <f t="shared" si="301"/>
        <v>ㄢ</v>
      </c>
      <c r="P4811" s="1" t="s">
        <v>20</v>
      </c>
      <c r="R4811" s="1" t="s">
        <v>8768</v>
      </c>
      <c r="V4811" s="1" t="s">
        <v>8788</v>
      </c>
      <c r="AR4811" s="1" t="str">
        <f t="shared" si="304"/>
        <v>| [ㄌㄧㄢˊ](ㄌㄧㄢˊ.md) | [鰱](鰱.md) |  | lián | [名]
動物名。脊椎動物亞門硬骨魚綱鯉目鯉科。體側扁而較高，呈紡錘形。鱗細，色灰白，稱為「白鰱」。其性活潑，善跳躍。體色較黑者稱為「黑鰱」，因頭較大，也稱為「大頭鰱」。後者性較溫和。均以浮游生物為主食，棲息在淡水河川或湖泊中。是我國重要的淡水養殖魚類之一。 |</v>
      </c>
    </row>
    <row r="4812" spans="1:44" hidden="1">
      <c r="A4812" s="1" t="s">
        <v>8789</v>
      </c>
      <c r="C4812" s="1">
        <v>1</v>
      </c>
      <c r="D4812" s="1" t="str">
        <f>"03594"</f>
        <v>03594</v>
      </c>
      <c r="E4812" s="1" t="s">
        <v>447</v>
      </c>
      <c r="F4812" s="1">
        <v>13</v>
      </c>
      <c r="G4812" s="1">
        <v>10</v>
      </c>
      <c r="H4812" s="1">
        <v>0</v>
      </c>
      <c r="I4812" s="1" t="s">
        <v>8767</v>
      </c>
      <c r="K4812" s="1" t="str">
        <f t="shared" si="302"/>
        <v>ㄌ</v>
      </c>
      <c r="L4812" s="1" t="str">
        <f t="shared" si="303"/>
        <v>ㄧ</v>
      </c>
      <c r="M4812" s="1" t="str">
        <f t="shared" si="301"/>
        <v>ㄢ</v>
      </c>
      <c r="P4812" s="1" t="s">
        <v>20</v>
      </c>
      <c r="R4812" s="1" t="s">
        <v>8768</v>
      </c>
      <c r="V4812" s="1" t="s">
        <v>8790</v>
      </c>
      <c r="AR4812" s="1" t="str">
        <f t="shared" si="304"/>
        <v>| [ㄌㄧㄢˊ](ㄌㄧㄢˊ.md) | [廉](廉.md) |  | lián | [形]
1.正直不貪、有節操。如：「清廉」、「廉潔」。《莊子．讓王》：「人犯其難，我享其利，非廉也。」唐．姚合〈新昌里〉詩：「近貧日益廉，近富日益貪。」
2.便宜。如：「物美價廉」。宋．王禹偁〈黃州新建小竹樓記〉：「以其價廉而工省也。」
3.疏略、簡略。唐．韓愈〈原毀〉：「其責人也詳，其待己也廉。」
[名]
1.旁邊、側邊。《儀禮．鄉飲酒禮》：「設席于堂廉東上。」漢．鄭玄．注：「側邊曰廉。」宋．蘇軾〈與呂仲甫等同泛湖遊北山〉詩：「世人騖朝市，獨向溪山廉。」
2.姓。如戰國時趙國有廉頗。
[動]
考察。《管子．正世》：「人君不廉而變，則暴人不勝，邪亂不止。」 |</v>
      </c>
    </row>
    <row r="4813" spans="1:44" hidden="1">
      <c r="A4813" s="1" t="s">
        <v>8791</v>
      </c>
      <c r="C4813" s="1">
        <v>1</v>
      </c>
      <c r="D4813" s="1" t="str">
        <f>"03595"</f>
        <v>03595</v>
      </c>
      <c r="E4813" s="1" t="s">
        <v>169</v>
      </c>
      <c r="F4813" s="1">
        <v>15</v>
      </c>
      <c r="G4813" s="1">
        <v>10</v>
      </c>
      <c r="H4813" s="1">
        <v>0</v>
      </c>
      <c r="I4813" s="1" t="s">
        <v>8767</v>
      </c>
      <c r="K4813" s="1" t="str">
        <f t="shared" si="302"/>
        <v>ㄌ</v>
      </c>
      <c r="L4813" s="1" t="str">
        <f t="shared" si="303"/>
        <v>ㄧ</v>
      </c>
      <c r="M4813" s="1" t="str">
        <f t="shared" si="301"/>
        <v>ㄢ</v>
      </c>
      <c r="P4813" s="1" t="s">
        <v>20</v>
      </c>
      <c r="R4813" s="1" t="s">
        <v>8768</v>
      </c>
      <c r="V4813" s="1" t="s">
        <v>8792</v>
      </c>
      <c r="AR4813" s="1" t="str">
        <f t="shared" si="304"/>
        <v>| [ㄌㄧㄢˊ](ㄌㄧㄢˊ.md) | [磏](磏.md) |  | lián | [名]
紅色的磨刀石。《說文解字．石部》：「磏，厲石也。赤色。」 |</v>
      </c>
    </row>
    <row r="4814" spans="1:44" hidden="1">
      <c r="A4814" s="1" t="s">
        <v>8793</v>
      </c>
      <c r="C4814" s="1">
        <v>1</v>
      </c>
      <c r="D4814" s="1" t="str">
        <f>"03596"</f>
        <v>03596</v>
      </c>
      <c r="E4814" s="1" t="s">
        <v>129</v>
      </c>
      <c r="F4814" s="1">
        <v>16</v>
      </c>
      <c r="G4814" s="1">
        <v>13</v>
      </c>
      <c r="H4814" s="1">
        <v>0</v>
      </c>
      <c r="I4814" s="1" t="s">
        <v>8767</v>
      </c>
      <c r="K4814" s="1" t="str">
        <f t="shared" si="302"/>
        <v>ㄌ</v>
      </c>
      <c r="L4814" s="1" t="str">
        <f t="shared" si="303"/>
        <v>ㄧ</v>
      </c>
      <c r="M4814" s="1" t="str">
        <f t="shared" si="301"/>
        <v>ㄢ</v>
      </c>
      <c r="P4814" s="1" t="s">
        <v>20</v>
      </c>
      <c r="R4814" s="1" t="s">
        <v>8768</v>
      </c>
      <c r="V4814" s="1" t="s">
        <v>8794</v>
      </c>
      <c r="AR4814" s="1" t="str">
        <f t="shared" si="304"/>
        <v>| [ㄌㄧㄢˊ](ㄌㄧㄢˊ.md) | [濂](濂.md) |  | lián | 參見「濂溪」條。 |</v>
      </c>
    </row>
    <row r="4815" spans="1:44" hidden="1">
      <c r="A4815" s="1" t="s">
        <v>8795</v>
      </c>
      <c r="C4815" s="1">
        <v>1</v>
      </c>
      <c r="D4815" s="1" t="str">
        <f>"03597"</f>
        <v>03597</v>
      </c>
      <c r="E4815" s="1" t="s">
        <v>68</v>
      </c>
      <c r="F4815" s="1">
        <v>17</v>
      </c>
      <c r="G4815" s="1">
        <v>13</v>
      </c>
      <c r="H4815" s="1">
        <v>0</v>
      </c>
      <c r="I4815" s="1" t="s">
        <v>8767</v>
      </c>
      <c r="K4815" s="1" t="str">
        <f t="shared" si="302"/>
        <v>ㄌ</v>
      </c>
      <c r="L4815" s="1" t="str">
        <f t="shared" si="303"/>
        <v>ㄧ</v>
      </c>
      <c r="M4815" s="1" t="str">
        <f t="shared" si="301"/>
        <v>ㄢ</v>
      </c>
      <c r="P4815" s="1" t="s">
        <v>20</v>
      </c>
      <c r="R4815" s="1" t="s">
        <v>8768</v>
      </c>
      <c r="V4815" s="1" t="s">
        <v>8796</v>
      </c>
      <c r="AR4815" s="1" t="str">
        <f t="shared" si="304"/>
        <v>| [ㄌㄧㄢˊ](ㄌㄧㄢˊ.md) | [臁](臁.md) |  | lián | [名]
脛的兩旁，即小腿兩側。如：「臁瘡」、「臁骨」。 |</v>
      </c>
    </row>
    <row r="4816" spans="1:44" hidden="1">
      <c r="A4816" s="1" t="s">
        <v>8797</v>
      </c>
      <c r="C4816" s="1">
        <v>1</v>
      </c>
      <c r="D4816" s="1" t="str">
        <f>"03598"</f>
        <v>03598</v>
      </c>
      <c r="E4816" s="1" t="s">
        <v>49</v>
      </c>
      <c r="F4816" s="1">
        <v>19</v>
      </c>
      <c r="G4816" s="1">
        <v>13</v>
      </c>
      <c r="H4816" s="1">
        <v>0</v>
      </c>
      <c r="I4816" s="1" t="s">
        <v>8767</v>
      </c>
      <c r="K4816" s="1" t="str">
        <f t="shared" si="302"/>
        <v>ㄌ</v>
      </c>
      <c r="L4816" s="1" t="str">
        <f t="shared" si="303"/>
        <v>ㄧ</v>
      </c>
      <c r="M4816" s="1" t="str">
        <f t="shared" si="301"/>
        <v>ㄢ</v>
      </c>
      <c r="P4816" s="1" t="s">
        <v>20</v>
      </c>
      <c r="R4816" s="1" t="s">
        <v>8768</v>
      </c>
      <c r="V4816" s="1" t="s">
        <v>8798</v>
      </c>
      <c r="AR4816" s="1" t="str">
        <f t="shared" si="304"/>
        <v>| [ㄌㄧㄢˊ](ㄌㄧㄢˊ.md) | [簾](簾.md) |  | lián | [名]
用竹片、布帛等編製成遮蔽門窗的用具。如：「門簾」、「窗簾」、「竹簾」、「垂簾聽政」。唐．杜甫〈客夜〉詩：「入簾殘月影，高枕遠江聲。」 |</v>
      </c>
    </row>
    <row r="4817" spans="1:44" hidden="1">
      <c r="A4817" s="1" t="s">
        <v>8799</v>
      </c>
      <c r="C4817" s="1">
        <v>1</v>
      </c>
      <c r="D4817" s="1" t="str">
        <f>"03599"</f>
        <v>03599</v>
      </c>
      <c r="E4817" s="1" t="s">
        <v>1078</v>
      </c>
      <c r="F4817" s="1">
        <v>20</v>
      </c>
      <c r="G4817" s="1">
        <v>10</v>
      </c>
      <c r="H4817" s="1">
        <v>0</v>
      </c>
      <c r="I4817" s="1" t="s">
        <v>8767</v>
      </c>
      <c r="K4817" s="1" t="str">
        <f t="shared" si="302"/>
        <v>ㄌ</v>
      </c>
      <c r="L4817" s="1" t="str">
        <f t="shared" si="303"/>
        <v>ㄧ</v>
      </c>
      <c r="M4817" s="1" t="str">
        <f t="shared" si="301"/>
        <v>ㄢ</v>
      </c>
      <c r="P4817" s="1" t="s">
        <v>20</v>
      </c>
      <c r="R4817" s="1" t="s">
        <v>8768</v>
      </c>
      <c r="V4817" s="1" t="s">
        <v>8800</v>
      </c>
      <c r="AR4817" s="1" t="str">
        <f t="shared" si="304"/>
        <v>| [ㄌㄧㄢˊ](ㄌㄧㄢˊ.md) | [鬑](鬑.md) |  | lián | 參見「鬑鬑」條。 |</v>
      </c>
    </row>
    <row r="4818" spans="1:44" hidden="1">
      <c r="A4818" s="1" t="s">
        <v>8801</v>
      </c>
      <c r="C4818" s="1">
        <v>1</v>
      </c>
      <c r="D4818" s="1" t="str">
        <f>"03600"</f>
        <v>03600</v>
      </c>
      <c r="E4818" s="1" t="s">
        <v>55</v>
      </c>
      <c r="F4818" s="1">
        <v>21</v>
      </c>
      <c r="G4818" s="1">
        <v>13</v>
      </c>
      <c r="H4818" s="1">
        <v>0</v>
      </c>
      <c r="I4818" s="1" t="s">
        <v>8767</v>
      </c>
      <c r="K4818" s="1" t="str">
        <f t="shared" si="302"/>
        <v>ㄌ</v>
      </c>
      <c r="L4818" s="1" t="str">
        <f t="shared" si="303"/>
        <v>ㄧ</v>
      </c>
      <c r="M4818" s="1" t="str">
        <f t="shared" si="301"/>
        <v>ㄢ</v>
      </c>
      <c r="P4818" s="1" t="s">
        <v>20</v>
      </c>
      <c r="R4818" s="1" t="s">
        <v>8768</v>
      </c>
      <c r="V4818" s="1" t="s">
        <v>8802</v>
      </c>
      <c r="AR4818" s="1" t="str">
        <f t="shared" si="304"/>
        <v>| [ㄌㄧㄢˊ](ㄌㄧㄢˊ.md) | [鐮](鐮.md) |  | lián | [名]
收割農作物和割除雜草的工具。形狀彎曲如鉤。宋．范成大〈刈麥行〉：「腰鐮刈熟趁晴歸，明朝雨來麥帶泥。」也稱為「鐮刀」。 |</v>
      </c>
    </row>
    <row r="4819" spans="1:44" hidden="1">
      <c r="A4819" s="1" t="s">
        <v>8803</v>
      </c>
      <c r="C4819" s="1">
        <v>1</v>
      </c>
      <c r="D4819" s="1" t="str">
        <f>"03601"</f>
        <v>03601</v>
      </c>
      <c r="E4819" s="1" t="s">
        <v>125</v>
      </c>
      <c r="F4819" s="1">
        <v>13</v>
      </c>
      <c r="G4819" s="1">
        <v>5</v>
      </c>
      <c r="H4819" s="1">
        <v>2</v>
      </c>
      <c r="I4819" s="1" t="s">
        <v>8767</v>
      </c>
      <c r="K4819" s="1" t="str">
        <f t="shared" si="302"/>
        <v>ㄌ</v>
      </c>
      <c r="L4819" s="1" t="str">
        <f t="shared" si="303"/>
        <v>ㄧ</v>
      </c>
      <c r="M4819" s="1" t="str">
        <f t="shared" si="301"/>
        <v>ㄢ</v>
      </c>
      <c r="P4819" s="1" t="s">
        <v>20</v>
      </c>
      <c r="R4819" s="1" t="s">
        <v>8768</v>
      </c>
      <c r="V4819" s="1" t="s">
        <v>8804</v>
      </c>
      <c r="W4819" s="1" t="s">
        <v>8805</v>
      </c>
      <c r="AR4819" s="1" t="str">
        <f t="shared" si="304"/>
        <v>| [ㄌㄧㄢˊ](ㄌㄧㄢˊ.md) | [零](零.md) |  | lián | [名]
漢代羌族。約據有今大陸地區青海一帶。 |</v>
      </c>
    </row>
    <row r="4820" spans="1:44" hidden="1">
      <c r="A4820" s="1" t="s">
        <v>8806</v>
      </c>
      <c r="C4820" s="1">
        <v>1</v>
      </c>
      <c r="D4820" s="1" t="str">
        <f>"03602"</f>
        <v>03602</v>
      </c>
      <c r="E4820" s="1" t="s">
        <v>563</v>
      </c>
      <c r="F4820" s="1">
        <v>14</v>
      </c>
      <c r="G4820" s="1">
        <v>11</v>
      </c>
      <c r="H4820" s="1">
        <v>0</v>
      </c>
      <c r="I4820" s="1" t="s">
        <v>8767</v>
      </c>
      <c r="K4820" s="1" t="str">
        <f t="shared" si="302"/>
        <v>ㄌ</v>
      </c>
      <c r="L4820" s="1" t="str">
        <f t="shared" si="303"/>
        <v>ㄧ</v>
      </c>
      <c r="M4820" s="1" t="str">
        <f t="shared" si="301"/>
        <v>ㄢ</v>
      </c>
      <c r="P4820" s="1" t="s">
        <v>20</v>
      </c>
      <c r="R4820" s="1" t="s">
        <v>8768</v>
      </c>
      <c r="V4820" s="1" t="s">
        <v>8807</v>
      </c>
      <c r="AR4820" s="1" t="str">
        <f t="shared" si="304"/>
        <v>| [ㄌㄧㄢˊ](ㄌㄧㄢˊ.md) | [奩](奩.md) |  | lián | [名]
1.盛裝婦女梳妝用品的小匣子。如：「粉奩」。《後漢書．卷一〇．皇后紀上．光烈陰皇后紀》：「會畢，帝從席前伏御床，視太后鏡奩中物，感動悲涕。」
2.女子陪嫁的衣物。《清平山堂話本．快嘴李翠蓮記》：「今朝隨你寫休書，搬去妝奩莫要怨。」 |</v>
      </c>
    </row>
    <row r="4821" spans="1:44" hidden="1">
      <c r="A4821" s="1" t="s">
        <v>8808</v>
      </c>
      <c r="C4821" s="1">
        <v>1</v>
      </c>
      <c r="D4821" s="1" t="str">
        <f>"03603"</f>
        <v>03603</v>
      </c>
      <c r="E4821" s="1" t="s">
        <v>250</v>
      </c>
      <c r="F4821" s="1">
        <v>15</v>
      </c>
      <c r="G4821" s="1">
        <v>12</v>
      </c>
      <c r="H4821" s="1">
        <v>0</v>
      </c>
      <c r="I4821" s="1" t="s">
        <v>8767</v>
      </c>
      <c r="K4821" s="1" t="str">
        <f t="shared" si="302"/>
        <v>ㄌ</v>
      </c>
      <c r="L4821" s="1" t="str">
        <f t="shared" si="303"/>
        <v>ㄧ</v>
      </c>
      <c r="M4821" s="1" t="str">
        <f t="shared" si="301"/>
        <v>ㄢ</v>
      </c>
      <c r="P4821" s="1" t="s">
        <v>20</v>
      </c>
      <c r="R4821" s="1" t="s">
        <v>8768</v>
      </c>
      <c r="V4821" s="1" t="s">
        <v>8809</v>
      </c>
      <c r="AR4821" s="1" t="str">
        <f t="shared" si="304"/>
        <v>| [ㄌㄧㄢˊ](ㄌㄧㄢˊ.md) | [憐](憐.md) |  | lián | [動]
1.憐憫、同情。如：「可憐」、「同病相憐」。《史記．卷七．項羽本紀》：「縱江東父兄憐而王我，我何面目見之？」北周．庾信〈擬詠懷詩〉二七首之三：「自憐才智盡，空傷年鬢秋。」
2.愛、疼惜。如：「憐惜」、「我見猶憐」。唐．元稹〈遣悲懷〉詩三首之一：「謝公最小偏憐女，嫁與黔婁百事乖。」 |</v>
      </c>
    </row>
    <row r="4822" spans="1:44" hidden="1">
      <c r="A4822" s="1" t="s">
        <v>8810</v>
      </c>
      <c r="C4822" s="1">
        <v>1</v>
      </c>
      <c r="D4822" s="1" t="str">
        <f>"03604"</f>
        <v>03604</v>
      </c>
      <c r="E4822" s="1" t="s">
        <v>2419</v>
      </c>
      <c r="F4822" s="1">
        <v>17</v>
      </c>
      <c r="G4822" s="1">
        <v>11</v>
      </c>
      <c r="H4822" s="1">
        <v>0</v>
      </c>
      <c r="I4822" s="1" t="s">
        <v>8767</v>
      </c>
      <c r="K4822" s="1" t="str">
        <f t="shared" si="302"/>
        <v>ㄌ</v>
      </c>
      <c r="L4822" s="1" t="str">
        <f t="shared" si="303"/>
        <v>ㄧ</v>
      </c>
      <c r="M4822" s="1" t="str">
        <f t="shared" si="301"/>
        <v>ㄢ</v>
      </c>
      <c r="P4822" s="1" t="s">
        <v>20</v>
      </c>
      <c r="R4822" s="1" t="s">
        <v>8768</v>
      </c>
      <c r="V4822" s="1" t="s">
        <v>8811</v>
      </c>
      <c r="AR4822" s="1" t="str">
        <f t="shared" si="304"/>
        <v>| [ㄌㄧㄢˊ](ㄌㄧㄢˊ.md) | [聯](聯.md) |  | lián | [動]_x000D_
1.連接、接續。通「連」。如：「蟬聯」。漢．張衡〈西京賦〉：「繚垣綿聯，四百餘里。」_x000D_
2.結、結合。如：「聯盟」、「聯姻」、「珠聯璧合」。_x000D_
[名]_x000D_
1.詩文中每兩句成對者稱為「聯」。如：「對聯」、「門聯」。《紅樓夢》第一七回：「賈政拈髯沉吟，意欲也題一聯。」_x000D_
2.量詞。計算票券等分聯的單位。如：「開立一式三聯的統一發票。」、「我買了兩聯獎券。」_x000D_
3.姓。如晉代有聯謙。 |</v>
      </c>
    </row>
    <row r="4823" spans="1:44" hidden="1">
      <c r="A4823" s="1" t="s">
        <v>8812</v>
      </c>
      <c r="C4823" s="1">
        <v>1</v>
      </c>
      <c r="D4823" s="1" t="str">
        <f>"03605"</f>
        <v>03605</v>
      </c>
      <c r="E4823" s="1" t="s">
        <v>37</v>
      </c>
      <c r="F4823" s="1">
        <v>21</v>
      </c>
      <c r="G4823" s="1">
        <v>17</v>
      </c>
      <c r="H4823" s="1">
        <v>2</v>
      </c>
      <c r="I4823" s="1" t="s">
        <v>8767</v>
      </c>
      <c r="K4823" s="1" t="str">
        <f t="shared" si="302"/>
        <v>ㄌ</v>
      </c>
      <c r="L4823" s="1" t="str">
        <f t="shared" si="303"/>
        <v>ㄧ</v>
      </c>
      <c r="M4823" s="1" t="str">
        <f t="shared" si="301"/>
        <v>ㄢ</v>
      </c>
      <c r="P4823" s="1" t="s">
        <v>20</v>
      </c>
      <c r="R4823" s="1" t="s">
        <v>8768</v>
      </c>
      <c r="V4823" s="1" t="s">
        <v>8813</v>
      </c>
      <c r="W4823" s="1" t="s">
        <v>8814</v>
      </c>
      <c r="AR4823" s="1" t="str">
        <f t="shared" si="304"/>
        <v>| [ㄌㄧㄢˊ](ㄌㄧㄢˊ.md) | [蘞](蘞.md) |  | lián | [名]
一種枝葉繁盛細密的草。《詩經．唐風．葛生》：「葛生蒙楚，蘞蔓于野。」唐．孔穎達．正義：「陸璣．疏云：『蘞似栝樓，葉盛而細，其子正黑如燕薁，不可食也。』」 |</v>
      </c>
    </row>
    <row r="4824" spans="1:44" hidden="1">
      <c r="A4824" s="1" t="s">
        <v>8776</v>
      </c>
      <c r="C4824" s="1">
        <v>1</v>
      </c>
      <c r="D4824" s="1" t="str">
        <f>"03606"</f>
        <v>03606</v>
      </c>
      <c r="E4824" s="1" t="s">
        <v>142</v>
      </c>
      <c r="F4824" s="1">
        <v>15</v>
      </c>
      <c r="G4824" s="1">
        <v>11</v>
      </c>
      <c r="H4824" s="1">
        <v>2</v>
      </c>
      <c r="I4824" s="1" t="s">
        <v>8815</v>
      </c>
      <c r="K4824" s="1" t="str">
        <f t="shared" si="302"/>
        <v>ㄌ</v>
      </c>
      <c r="L4824" s="1" t="str">
        <f t="shared" si="303"/>
        <v>ㄧ</v>
      </c>
      <c r="M4824" s="1" t="str">
        <f t="shared" si="301"/>
        <v>ㄢ</v>
      </c>
      <c r="P4824" s="1" t="s">
        <v>20</v>
      </c>
      <c r="R4824" s="1" t="s">
        <v>8816</v>
      </c>
      <c r="V4824" s="1" t="s">
        <v>8817</v>
      </c>
      <c r="W4824" s="1" t="s">
        <v>8818</v>
      </c>
      <c r="AR4824" s="1" t="str">
        <f t="shared" si="304"/>
        <v>| [ㄌㄧㄢˇ](ㄌㄧㄢˇ.md) | [璉](璉.md) |  | liǎn | [名]
(一)[名]之又音。 |</v>
      </c>
    </row>
    <row r="4825" spans="1:44" hidden="1">
      <c r="A4825" s="1" t="s">
        <v>8819</v>
      </c>
      <c r="C4825" s="1">
        <v>1</v>
      </c>
      <c r="D4825" s="1" t="str">
        <f>"03607"</f>
        <v>03607</v>
      </c>
      <c r="E4825" s="1" t="s">
        <v>68</v>
      </c>
      <c r="F4825" s="1">
        <v>16</v>
      </c>
      <c r="G4825" s="1">
        <v>12</v>
      </c>
      <c r="H4825" s="1">
        <v>1</v>
      </c>
      <c r="I4825" s="1" t="s">
        <v>8815</v>
      </c>
      <c r="K4825" s="1" t="str">
        <f t="shared" si="302"/>
        <v>ㄌ</v>
      </c>
      <c r="L4825" s="1" t="str">
        <f t="shared" si="303"/>
        <v>ㄧ</v>
      </c>
      <c r="M4825" s="1" t="str">
        <f t="shared" si="301"/>
        <v>ㄢ</v>
      </c>
      <c r="P4825" s="1" t="s">
        <v>20</v>
      </c>
      <c r="R4825" s="1" t="s">
        <v>8816</v>
      </c>
      <c r="V4825" s="1" t="s">
        <v>8820</v>
      </c>
      <c r="W4825" s="1" t="s">
        <v>8821</v>
      </c>
      <c r="AR4825" s="1" t="str">
        <f t="shared" si="304"/>
        <v>| [ㄌㄧㄢˇ](ㄌㄧㄢˇ.md) | [膦](膦.md) |  | liǎn | [形]
膦軟：無力的樣子。《廣韻．上聲．獮韻》：「膦，膦軟，無力。」 |</v>
      </c>
    </row>
    <row r="4826" spans="1:44" hidden="1">
      <c r="A4826" s="1" t="s">
        <v>8822</v>
      </c>
      <c r="C4826" s="1">
        <v>1</v>
      </c>
      <c r="D4826" s="1" t="str">
        <f>"03608"</f>
        <v>03608</v>
      </c>
      <c r="E4826" s="1" t="s">
        <v>68</v>
      </c>
      <c r="F4826" s="1">
        <v>17</v>
      </c>
      <c r="G4826" s="1">
        <v>13</v>
      </c>
      <c r="H4826" s="1">
        <v>0</v>
      </c>
      <c r="I4826" s="1" t="s">
        <v>8815</v>
      </c>
      <c r="K4826" s="1" t="str">
        <f t="shared" si="302"/>
        <v>ㄌ</v>
      </c>
      <c r="L4826" s="1" t="str">
        <f t="shared" si="303"/>
        <v>ㄧ</v>
      </c>
      <c r="M4826" s="1" t="str">
        <f t="shared" si="301"/>
        <v>ㄢ</v>
      </c>
      <c r="P4826" s="1" t="s">
        <v>20</v>
      </c>
      <c r="R4826" s="1" t="s">
        <v>8816</v>
      </c>
      <c r="V4826" s="1" t="s">
        <v>8823</v>
      </c>
      <c r="AR4826" s="1" t="str">
        <f t="shared" si="304"/>
        <v>| [ㄌㄧㄢˇ](ㄌㄧㄢˇ.md) | [臉](臉.md) |  | liǎn | [名]
1.面部。如：「臉頰」、「洗臉」。唐．王昌齡〈采蓮曲〉二首之二：「荷葉羅裙一色裁，芙蓉向臉兩邊開。」
2.情面、面子。如：「丟臉」、「賞臉」、「無臉見人」。《儒林外史》第五二回：「設或將來虧折了，不彀還你，那時叫我拿甚麼臉來見你？」
3.面部的表情、態度。如：「變臉」、「翻臉」。 |</v>
      </c>
    </row>
    <row r="4827" spans="1:44" hidden="1">
      <c r="A4827" s="1" t="s">
        <v>8824</v>
      </c>
      <c r="C4827" s="1">
        <v>1</v>
      </c>
      <c r="D4827" s="1" t="str">
        <f>"03609"</f>
        <v>03609</v>
      </c>
      <c r="E4827" s="1" t="s">
        <v>129</v>
      </c>
      <c r="F4827" s="1">
        <v>12</v>
      </c>
      <c r="G4827" s="1">
        <v>9</v>
      </c>
      <c r="H4827" s="1">
        <v>0</v>
      </c>
      <c r="I4827" s="1" t="s">
        <v>8825</v>
      </c>
      <c r="K4827" s="1" t="str">
        <f t="shared" si="302"/>
        <v>ㄌ</v>
      </c>
      <c r="L4827" s="1" t="str">
        <f t="shared" si="303"/>
        <v>ㄧ</v>
      </c>
      <c r="M4827" s="1" t="str">
        <f t="shared" si="301"/>
        <v>ㄢ</v>
      </c>
      <c r="P4827" s="1" t="s">
        <v>20</v>
      </c>
      <c r="R4827" s="1" t="s">
        <v>8826</v>
      </c>
      <c r="V4827" s="1" t="s">
        <v>8827</v>
      </c>
      <c r="AR4827" s="1" t="str">
        <f t="shared" si="304"/>
        <v>| [ㄌㄧㄢˋ](ㄌㄧㄢˋ.md) | [湅](湅.md) |  | liàn | [動]
練絲，將生絲煮熟。通「練」。《玉篇．水部》：「湅，煮絲絹熟也。」《周禮．冬官考工記．&amp;91dd._104_0.gif;氏》：「&amp;91dd._104_0.gif;氏湅絲以涗水。」 |</v>
      </c>
    </row>
    <row r="4828" spans="1:44" hidden="1">
      <c r="A4828" s="1" t="s">
        <v>8828</v>
      </c>
      <c r="C4828" s="1">
        <v>1</v>
      </c>
      <c r="D4828" s="1" t="str">
        <f>"03610"</f>
        <v>03610</v>
      </c>
      <c r="E4828" s="1" t="s">
        <v>336</v>
      </c>
      <c r="F4828" s="1">
        <v>13</v>
      </c>
      <c r="G4828" s="1">
        <v>9</v>
      </c>
      <c r="H4828" s="1">
        <v>0</v>
      </c>
      <c r="I4828" s="1" t="s">
        <v>8825</v>
      </c>
      <c r="K4828" s="1" t="str">
        <f t="shared" si="302"/>
        <v>ㄌ</v>
      </c>
      <c r="L4828" s="1" t="str">
        <f t="shared" si="303"/>
        <v>ㄧ</v>
      </c>
      <c r="M4828" s="1" t="str">
        <f t="shared" si="301"/>
        <v>ㄢ</v>
      </c>
      <c r="P4828" s="1" t="s">
        <v>20</v>
      </c>
      <c r="R4828" s="1" t="s">
        <v>8826</v>
      </c>
      <c r="V4828" s="1" t="s">
        <v>8829</v>
      </c>
      <c r="AR4828" s="1" t="str">
        <f t="shared" si="304"/>
        <v>| [ㄌㄧㄢˋ](ㄌㄧㄢˋ.md) | [煉](煉.md) |  | liàn | [動]
1.用火燒或高溫加熱等法，使物質去掉雜質，變得精純或堅硬。如：「煉油」、「提煉」。漢．王充《論衡．談天》：「銷煉五石補蒼天。」
2.用火久熬，炮製藥石。如：「煉藥」、「煉丹」。
3.燒。如：「真金不怕火煉」。 |</v>
      </c>
    </row>
    <row r="4829" spans="1:44" hidden="1">
      <c r="A4829" s="1" t="s">
        <v>8830</v>
      </c>
      <c r="C4829" s="1">
        <v>1</v>
      </c>
      <c r="D4829" s="1" t="str">
        <f>"03611"</f>
        <v>03611</v>
      </c>
      <c r="E4829" s="1" t="s">
        <v>139</v>
      </c>
      <c r="F4829" s="1">
        <v>13</v>
      </c>
      <c r="G4829" s="1">
        <v>9</v>
      </c>
      <c r="H4829" s="1">
        <v>0</v>
      </c>
      <c r="I4829" s="1" t="s">
        <v>8825</v>
      </c>
      <c r="K4829" s="1" t="str">
        <f t="shared" si="302"/>
        <v>ㄌ</v>
      </c>
      <c r="L4829" s="1" t="str">
        <f t="shared" si="303"/>
        <v>ㄧ</v>
      </c>
      <c r="M4829" s="1" t="str">
        <f t="shared" si="301"/>
        <v>ㄢ</v>
      </c>
      <c r="P4829" s="1" t="s">
        <v>20</v>
      </c>
      <c r="R4829" s="1" t="s">
        <v>8826</v>
      </c>
      <c r="V4829" s="1" t="s">
        <v>8831</v>
      </c>
      <c r="AR4829" s="1" t="str">
        <f t="shared" si="304"/>
        <v>| [ㄌㄧㄢˋ](ㄌㄧㄢˋ.md) | [楝](楝.md) |  | liàn | [名]
植物名。楝科楝屬，「苦楝」、「苦楝子」之簡稱，參見「苦楝子」條。 |</v>
      </c>
    </row>
    <row r="4830" spans="1:44" hidden="1">
      <c r="A4830" s="1" t="s">
        <v>8832</v>
      </c>
      <c r="C4830" s="1">
        <v>1</v>
      </c>
      <c r="D4830" s="1" t="str">
        <f>"03612"</f>
        <v>03612</v>
      </c>
      <c r="E4830" s="1" t="s">
        <v>725</v>
      </c>
      <c r="F4830" s="1">
        <v>15</v>
      </c>
      <c r="G4830" s="1">
        <v>9</v>
      </c>
      <c r="H4830" s="1">
        <v>0</v>
      </c>
      <c r="I4830" s="1" t="s">
        <v>8825</v>
      </c>
      <c r="K4830" s="1" t="str">
        <f t="shared" si="302"/>
        <v>ㄌ</v>
      </c>
      <c r="L4830" s="1" t="str">
        <f t="shared" si="303"/>
        <v>ㄧ</v>
      </c>
      <c r="M4830" s="1" t="str">
        <f t="shared" si="301"/>
        <v>ㄢ</v>
      </c>
      <c r="P4830" s="1" t="s">
        <v>20</v>
      </c>
      <c r="R4830" s="1" t="s">
        <v>8826</v>
      </c>
      <c r="V4830" s="1" t="s">
        <v>8833</v>
      </c>
      <c r="AR4830" s="1" t="str">
        <f t="shared" si="304"/>
        <v>| [ㄌㄧㄢˋ](ㄌㄧㄢˋ.md) | [練](練.md) |  | liàn | [動]_x000D_
1.將生絲煮熟，使柔軟潔白。如：「練絲」。《周禮．天官冢宰．染人》：「春暴練，夏纁玄。」漢．鄭玄．注：「暴練，練其素而暴之。」宋．蘇軾〈宥老楮〉詩：「黃繒練成素，黝面沬作玉。」_x000D_
2.訓練。《史記．卷六九．蘇秦列傳》：「練士厲兵，在大王之所用之。」《北史．卷一〇．周本紀．高祖武帝》：「惡衣菲食，繕甲練兵。」_x000D_
3.反覆學習。如：「練舞」、「練球」。_x000D_
[名]_x000D_
1.柔軟潔白的絲絹。如：「江平如練」、「瀑布像條白練。」《左傳．襄公三年》：「使鄧廖帥組甲三百，被練三千，以侵吳。」_x000D_
2.姓。如唐代有練何。_x000D_
[副]_x000D_
熟悉、精熟。《南史．卷二二．列傳．王曇首》：「好學，練悉朝典。」《紅樓夢》第五回：「世事洞明皆學問，人情練達即文章。」 |</v>
      </c>
    </row>
    <row r="4831" spans="1:44" hidden="1">
      <c r="A4831" s="1" t="s">
        <v>8834</v>
      </c>
      <c r="C4831" s="1">
        <v>1</v>
      </c>
      <c r="D4831" s="1" t="str">
        <f>"03613"</f>
        <v>03613</v>
      </c>
      <c r="E4831" s="1" t="s">
        <v>55</v>
      </c>
      <c r="F4831" s="1">
        <v>17</v>
      </c>
      <c r="G4831" s="1">
        <v>9</v>
      </c>
      <c r="H4831" s="1">
        <v>0</v>
      </c>
      <c r="I4831" s="1" t="s">
        <v>8825</v>
      </c>
      <c r="K4831" s="1" t="str">
        <f t="shared" si="302"/>
        <v>ㄌ</v>
      </c>
      <c r="L4831" s="1" t="str">
        <f t="shared" si="303"/>
        <v>ㄧ</v>
      </c>
      <c r="M4831" s="1" t="str">
        <f t="shared" si="301"/>
        <v>ㄢ</v>
      </c>
      <c r="P4831" s="1" t="s">
        <v>20</v>
      </c>
      <c r="R4831" s="1" t="s">
        <v>8826</v>
      </c>
      <c r="V4831" s="1" t="s">
        <v>8835</v>
      </c>
      <c r="AR4831" s="1" t="str">
        <f t="shared" si="304"/>
        <v>| [ㄌㄧㄢˋ](ㄌㄧㄢˋ.md) | [鍊](鍊.md) |  | liàn | [動]
1.用火燒或高溫加熱等方法，使物質去除雜質，變得精純或堅硬。通「煉」。《抱朴子．內篇．金丹》：「黃金入火，百鍊不消。」《元史．卷一〇四．刑法志三》：「諸出銅之地，民間敢私鍊者禁之。」
2.用火久熬，炮製藥石。通「煉」。《文選．江淹．雜體詩．王徵君》：「鍊藥矚虛幌，汎瑟臥遙帷。」
3.斟酌字句使美好精確。如：「鍊字」。唐．杜荀鶴〈閒居書事〉詩：「鬢白祗應秋鍊句，眼昏多為夜抄書。」
4.訓練、磨練。如：「鍛鍊」。《抱朴子．內篇．金丹》：「服此二物，鍊人身體。」唐．孟郭〈小隱吟〉：「鍊性靜棲白，洗情深寄玄。」
[名]
金屬環相連而成的繩狀物。如：「鐵鍊」、「鎖鍊」。 |</v>
      </c>
    </row>
    <row r="4832" spans="1:44" hidden="1">
      <c r="A4832" s="1" t="s">
        <v>8836</v>
      </c>
      <c r="C4832" s="1">
        <v>1</v>
      </c>
      <c r="D4832" s="1" t="str">
        <f>"03614"</f>
        <v>03614</v>
      </c>
      <c r="E4832" s="1" t="s">
        <v>114</v>
      </c>
      <c r="F4832" s="1">
        <v>13</v>
      </c>
      <c r="G4832" s="1">
        <v>11</v>
      </c>
      <c r="H4832" s="1">
        <v>0</v>
      </c>
      <c r="I4832" s="1" t="s">
        <v>8825</v>
      </c>
      <c r="K4832" s="1" t="str">
        <f t="shared" si="302"/>
        <v>ㄌ</v>
      </c>
      <c r="L4832" s="1" t="str">
        <f t="shared" si="303"/>
        <v>ㄧ</v>
      </c>
      <c r="M4832" s="1" t="str">
        <f t="shared" si="301"/>
        <v>ㄢ</v>
      </c>
      <c r="P4832" s="1" t="s">
        <v>20</v>
      </c>
      <c r="R4832" s="1" t="s">
        <v>8826</v>
      </c>
      <c r="V4832" s="1" t="s">
        <v>8837</v>
      </c>
      <c r="AR4832" s="1" t="str">
        <f t="shared" si="304"/>
        <v>| [ㄌㄧㄢˋ](ㄌㄧㄢˋ.md) | [僆](僆.md) |  | liàn | [名]
1.小雞。《爾雅．釋畜》：「未成雞，僆。」晉．郭璞．注：「江東呼雞少者曰僆。」
2.雙胞胎。漢．揚雄《方言》卷三：「陳楚之間，凡人獸乳而雙產謂之釐孳，秦晉之間謂之僆子。」 |</v>
      </c>
    </row>
    <row r="4833" spans="1:44" hidden="1">
      <c r="A4833" s="1" t="s">
        <v>8838</v>
      </c>
      <c r="C4833" s="1">
        <v>1</v>
      </c>
      <c r="D4833" s="1" t="str">
        <f>"03615"</f>
        <v>03615</v>
      </c>
      <c r="E4833" s="1" t="s">
        <v>55</v>
      </c>
      <c r="F4833" s="1">
        <v>19</v>
      </c>
      <c r="G4833" s="1">
        <v>11</v>
      </c>
      <c r="H4833" s="1">
        <v>0</v>
      </c>
      <c r="I4833" s="1" t="s">
        <v>8825</v>
      </c>
      <c r="K4833" s="1" t="str">
        <f t="shared" si="302"/>
        <v>ㄌ</v>
      </c>
      <c r="L4833" s="1" t="str">
        <f t="shared" si="303"/>
        <v>ㄧ</v>
      </c>
      <c r="M4833" s="1" t="str">
        <f t="shared" si="301"/>
        <v>ㄢ</v>
      </c>
      <c r="P4833" s="1" t="s">
        <v>20</v>
      </c>
      <c r="R4833" s="1" t="s">
        <v>8826</v>
      </c>
      <c r="V4833" s="1" t="s">
        <v>8839</v>
      </c>
      <c r="AR4833" s="1" t="str">
        <f t="shared" si="304"/>
        <v>| [ㄌㄧㄢˋ](ㄌㄧㄢˋ.md) | [鏈](鏈.md) |  | liàn | [名]
金屬環相連而成的繩狀物。如：「鐵鏈」、「鎖鏈」。 |</v>
      </c>
    </row>
    <row r="4834" spans="1:44" hidden="1">
      <c r="A4834" s="1" t="s">
        <v>8840</v>
      </c>
      <c r="C4834" s="1">
        <v>1</v>
      </c>
      <c r="D4834" s="1" t="str">
        <f>"03616"</f>
        <v>03616</v>
      </c>
      <c r="E4834" s="1" t="s">
        <v>1372</v>
      </c>
      <c r="F4834" s="1">
        <v>17</v>
      </c>
      <c r="G4834" s="1">
        <v>13</v>
      </c>
      <c r="H4834" s="1">
        <v>0</v>
      </c>
      <c r="I4834" s="1" t="s">
        <v>8825</v>
      </c>
      <c r="K4834" s="1" t="str">
        <f t="shared" si="302"/>
        <v>ㄌ</v>
      </c>
      <c r="L4834" s="1" t="str">
        <f t="shared" si="303"/>
        <v>ㄧ</v>
      </c>
      <c r="M4834" s="1" t="str">
        <f t="shared" si="301"/>
        <v>ㄢ</v>
      </c>
      <c r="P4834" s="1" t="s">
        <v>20</v>
      </c>
      <c r="R4834" s="1" t="s">
        <v>8826</v>
      </c>
      <c r="V4834" s="1" t="s">
        <v>8841</v>
      </c>
      <c r="AR4834" s="1" t="str">
        <f t="shared" si="304"/>
        <v>| [ㄌㄧㄢˋ](ㄌㄧㄢˋ.md) | [殮](殮.md) |  | liàn | [動]
為死者更衣入棺。《玉篇．歹部》：「殮，殯殮也。入棺也。」如：「大殮」、「入殮」。 |</v>
      </c>
    </row>
    <row r="4835" spans="1:44" hidden="1">
      <c r="A4835" s="1" t="s">
        <v>8842</v>
      </c>
      <c r="C4835" s="1">
        <v>1</v>
      </c>
      <c r="D4835" s="1" t="str">
        <f>"03617"</f>
        <v>03617</v>
      </c>
      <c r="E4835" s="1" t="s">
        <v>426</v>
      </c>
      <c r="F4835" s="1">
        <v>17</v>
      </c>
      <c r="G4835" s="1">
        <v>13</v>
      </c>
      <c r="H4835" s="1">
        <v>0</v>
      </c>
      <c r="I4835" s="1" t="s">
        <v>8825</v>
      </c>
      <c r="K4835" s="1" t="str">
        <f t="shared" si="302"/>
        <v>ㄌ</v>
      </c>
      <c r="L4835" s="1" t="str">
        <f t="shared" si="303"/>
        <v>ㄧ</v>
      </c>
      <c r="M4835" s="1" t="str">
        <f t="shared" si="301"/>
        <v>ㄢ</v>
      </c>
      <c r="P4835" s="1" t="s">
        <v>20</v>
      </c>
      <c r="R4835" s="1" t="s">
        <v>8826</v>
      </c>
      <c r="V4835" s="1" t="s">
        <v>8843</v>
      </c>
      <c r="AR4835" s="1" t="str">
        <f t="shared" si="304"/>
        <v>| [ㄌㄧㄢˋ](ㄌㄧㄢˋ.md) | [斂](斂.md) |  | liàn | [動]
1.聚集、收集。如：「斂財」。唐．王勃〈餞韋兵曹〉詩：「川霽浮煙斂，山明落照移。」《聊齋志異．卷一一．竹青》：「訊知其由，斂貲送歸。」
2.約束、節制。如：「收斂」、「斂容」。《漢書．卷七六．張敞傳》：「此言尊貴所以自斂制，不從恣之義也。」《紅樓夢》第九七回：「寶玉見了父親，神志略斂些，片時清楚，也沒什麼大差。」
3.退縮。參見「斂手」、「斂足」等條。
4.為死者更衣入棺。通「殮」。如：「殯斂」。宋．錢公輔〈義田記〉：「歿之日，身無以為斂，子無以為喪。」
[名]
1.賦稅。《孟子．盡心上》：「易其田疇，薄其稅斂。」《資治通鑑．卷二五二．唐紀六十八．僖宗乾符二年》：「民之困於重斂者爭歸之，數月之間，眾至數萬。」
2.姓。如五代時有斂憲。 |</v>
      </c>
    </row>
    <row r="4836" spans="1:44" hidden="1">
      <c r="A4836" s="1" t="s">
        <v>8844</v>
      </c>
      <c r="C4836" s="1">
        <v>1</v>
      </c>
      <c r="D4836" s="1" t="str">
        <f>"03618"</f>
        <v>03618</v>
      </c>
      <c r="E4836" s="1" t="s">
        <v>340</v>
      </c>
      <c r="F4836" s="1">
        <v>18</v>
      </c>
      <c r="G4836" s="1">
        <v>13</v>
      </c>
      <c r="H4836" s="1">
        <v>0</v>
      </c>
      <c r="I4836" s="1" t="s">
        <v>8825</v>
      </c>
      <c r="K4836" s="1" t="str">
        <f t="shared" si="302"/>
        <v>ㄌ</v>
      </c>
      <c r="L4836" s="1" t="str">
        <f t="shared" si="303"/>
        <v>ㄧ</v>
      </c>
      <c r="M4836" s="1" t="str">
        <f t="shared" si="301"/>
        <v>ㄢ</v>
      </c>
      <c r="P4836" s="1" t="s">
        <v>20</v>
      </c>
      <c r="R4836" s="1" t="s">
        <v>8826</v>
      </c>
      <c r="V4836" s="1" t="s">
        <v>8845</v>
      </c>
      <c r="AR4836" s="1" t="str">
        <f t="shared" si="304"/>
        <v>| [ㄌㄧㄢˋ](ㄌㄧㄢˋ.md) | [襝](襝.md) |  | liàn | 參見「襝衽」條。 |</v>
      </c>
    </row>
    <row r="4837" spans="1:44" hidden="1">
      <c r="A4837" s="1" t="s">
        <v>8846</v>
      </c>
      <c r="C4837" s="1">
        <v>1</v>
      </c>
      <c r="D4837" s="1" t="str">
        <f>"03619"</f>
        <v>03619</v>
      </c>
      <c r="E4837" s="1" t="s">
        <v>129</v>
      </c>
      <c r="F4837" s="1">
        <v>20</v>
      </c>
      <c r="G4837" s="1">
        <v>17</v>
      </c>
      <c r="H4837" s="1">
        <v>0</v>
      </c>
      <c r="I4837" s="1" t="s">
        <v>8825</v>
      </c>
      <c r="K4837" s="1" t="str">
        <f t="shared" si="302"/>
        <v>ㄌ</v>
      </c>
      <c r="L4837" s="1" t="str">
        <f t="shared" si="303"/>
        <v>ㄧ</v>
      </c>
      <c r="M4837" s="1" t="str">
        <f t="shared" si="301"/>
        <v>ㄢ</v>
      </c>
      <c r="P4837" s="1" t="s">
        <v>20</v>
      </c>
      <c r="R4837" s="1" t="s">
        <v>8826</v>
      </c>
      <c r="V4837" s="1" t="s">
        <v>8847</v>
      </c>
      <c r="AR4837" s="1" t="str">
        <f t="shared" si="304"/>
        <v>| [ㄌㄧㄢˋ](ㄌㄧㄢˋ.md) | [瀲](瀲.md) |  | liàn | [名]
水邊。《文選．潘岳．西征賦》：「華蓮爛於淥沼，青蕃蔚乎翠瀲。」
[形]
水滿溢而波動的樣子。宋．蘇軾〈飲湖上初晴後雨〉詩二首之二：「水光瀲灩晴方好，山色空濛雨亦奇。」 |</v>
      </c>
    </row>
    <row r="4838" spans="1:44" hidden="1">
      <c r="A4838" s="1" t="s">
        <v>8812</v>
      </c>
      <c r="C4838" s="1">
        <v>1</v>
      </c>
      <c r="D4838" s="1" t="str">
        <f>"03620"</f>
        <v>03620</v>
      </c>
      <c r="E4838" s="1" t="s">
        <v>37</v>
      </c>
      <c r="F4838" s="1">
        <v>21</v>
      </c>
      <c r="G4838" s="1">
        <v>17</v>
      </c>
      <c r="H4838" s="1">
        <v>1</v>
      </c>
      <c r="I4838" s="1" t="s">
        <v>8825</v>
      </c>
      <c r="K4838" s="1" t="str">
        <f t="shared" si="302"/>
        <v>ㄌ</v>
      </c>
      <c r="L4838" s="1" t="str">
        <f t="shared" si="303"/>
        <v>ㄧ</v>
      </c>
      <c r="M4838" s="1" t="str">
        <f t="shared" si="301"/>
        <v>ㄢ</v>
      </c>
      <c r="P4838" s="1" t="s">
        <v>20</v>
      </c>
      <c r="R4838" s="1" t="s">
        <v>8826</v>
      </c>
      <c r="V4838" s="1" t="s">
        <v>8848</v>
      </c>
      <c r="W4838" s="1" t="s">
        <v>8849</v>
      </c>
      <c r="AR4838" s="1" t="str">
        <f t="shared" si="304"/>
        <v>| [ㄌㄧㄢˋ](ㄌㄧㄢˋ.md) | [蘞](蘞.md) |  | liàn | 參見「白蘞」條。 |</v>
      </c>
    </row>
    <row r="4839" spans="1:44" hidden="1">
      <c r="A4839" s="1" t="s">
        <v>8850</v>
      </c>
      <c r="C4839" s="1">
        <v>1</v>
      </c>
      <c r="D4839" s="1" t="str">
        <f>"03621"</f>
        <v>03621</v>
      </c>
      <c r="E4839" s="1" t="s">
        <v>250</v>
      </c>
      <c r="F4839" s="1">
        <v>23</v>
      </c>
      <c r="G4839" s="1">
        <v>19</v>
      </c>
      <c r="H4839" s="1">
        <v>0</v>
      </c>
      <c r="I4839" s="1" t="s">
        <v>8825</v>
      </c>
      <c r="K4839" s="1" t="str">
        <f t="shared" si="302"/>
        <v>ㄌ</v>
      </c>
      <c r="L4839" s="1" t="str">
        <f t="shared" si="303"/>
        <v>ㄧ</v>
      </c>
      <c r="M4839" s="1" t="str">
        <f t="shared" si="301"/>
        <v>ㄢ</v>
      </c>
      <c r="P4839" s="1" t="s">
        <v>20</v>
      </c>
      <c r="R4839" s="1" t="s">
        <v>8826</v>
      </c>
      <c r="V4839" s="1" t="s">
        <v>8851</v>
      </c>
      <c r="AR4839" s="1" t="str">
        <f t="shared" si="304"/>
        <v>| [ㄌㄧㄢˋ](ㄌㄧㄢˋ.md) | [戀](戀.md) |  | liàn | [動]
1.愛慕、思慕。如：「戀愛」、「單戀」。
2.眷念不捨。如：「留戀」、「眷戀」。《文選．蘇武．詩四首之四》：「征夫懷遠路，遊子戀故鄉。」晉．陶淵明〈歸園田居〉詩五首之一：「羈鳥戀舊林，池魚思故淵。」
[名]
姓。如漢代有戀秘。 |</v>
      </c>
    </row>
    <row r="4840" spans="1:44" hidden="1">
      <c r="A4840" s="1" t="s">
        <v>8852</v>
      </c>
      <c r="C4840" s="1">
        <v>1</v>
      </c>
      <c r="D4840" s="1" t="str">
        <f>"03622"</f>
        <v>03622</v>
      </c>
      <c r="E4840" s="1" t="s">
        <v>24</v>
      </c>
      <c r="F4840" s="1">
        <v>23</v>
      </c>
      <c r="G4840" s="1">
        <v>19</v>
      </c>
      <c r="H4840" s="1">
        <v>2</v>
      </c>
      <c r="I4840" s="1" t="s">
        <v>8825</v>
      </c>
      <c r="K4840" s="1" t="str">
        <f t="shared" si="302"/>
        <v>ㄌ</v>
      </c>
      <c r="L4840" s="1" t="str">
        <f t="shared" si="303"/>
        <v>ㄧ</v>
      </c>
      <c r="M4840" s="1" t="str">
        <f t="shared" si="301"/>
        <v>ㄢ</v>
      </c>
      <c r="P4840" s="1" t="s">
        <v>110</v>
      </c>
      <c r="R4840" s="1" t="s">
        <v>8826</v>
      </c>
      <c r="V4840" s="1" t="s">
        <v>111</v>
      </c>
      <c r="W4840" s="1" t="s">
        <v>8853</v>
      </c>
      <c r="AR4840" s="1" t="str">
        <f t="shared" si="304"/>
        <v>| [ㄌㄧㄢˋ](ㄌㄧㄢˋ.md) | [攣](攣.md) |  | liàn | (一)之又音。 |</v>
      </c>
    </row>
    <row r="4841" spans="1:44" hidden="1">
      <c r="A4841" s="1" t="s">
        <v>9318</v>
      </c>
      <c r="C4841" s="1">
        <v>1</v>
      </c>
      <c r="D4841" s="1" t="str">
        <f>"03828"</f>
        <v>03828</v>
      </c>
      <c r="E4841" s="1" t="s">
        <v>190</v>
      </c>
      <c r="F4841" s="1">
        <v>22</v>
      </c>
      <c r="G4841" s="1">
        <v>19</v>
      </c>
      <c r="H4841" s="1">
        <v>0</v>
      </c>
      <c r="I4841" s="1" t="s">
        <v>9319</v>
      </c>
      <c r="K4841" s="1" t="str">
        <f t="shared" si="302"/>
        <v>ㄌ</v>
      </c>
      <c r="L4841" s="1" t="str">
        <f t="shared" si="303"/>
        <v>ㄨ</v>
      </c>
      <c r="M4841" s="1" t="str">
        <f t="shared" si="301"/>
        <v>ㄢ</v>
      </c>
      <c r="P4841" s="1" t="s">
        <v>20</v>
      </c>
      <c r="R4841" s="1" t="s">
        <v>9320</v>
      </c>
      <c r="V4841" s="1" t="s">
        <v>9321</v>
      </c>
      <c r="AR4841" s="1" t="str">
        <f t="shared" si="304"/>
        <v>| [ㄌㄨㄢˊ](ㄌㄨㄢˊ.md) | [巒](巒.md) |  | luán | [名]
1.尖銳的小山。《說文解字．山部》：「巒，山小而銳。」《楚辭．屈原．九章．悲回風》：「登石巒以遠望兮，路眇眇之默默。」宋．洪興祖．補注：「山少而銳曰巒。」
2.連綿不斷的山群。如：「層巒」。唐．杜牧〈過華清宮〉絕句三首之三：「雲中亂拍祿山舞，風過重巒下笑聲。」 |</v>
      </c>
    </row>
    <row r="4842" spans="1:44" hidden="1">
      <c r="A4842" s="1" t="s">
        <v>9322</v>
      </c>
      <c r="C4842" s="1">
        <v>1</v>
      </c>
      <c r="D4842" s="1" t="str">
        <f>"03829"</f>
        <v>03829</v>
      </c>
      <c r="E4842" s="1" t="s">
        <v>534</v>
      </c>
      <c r="F4842" s="1">
        <v>22</v>
      </c>
      <c r="G4842" s="1">
        <v>19</v>
      </c>
      <c r="H4842" s="1">
        <v>1</v>
      </c>
      <c r="I4842" s="1" t="s">
        <v>9319</v>
      </c>
      <c r="K4842" s="1" t="str">
        <f t="shared" si="302"/>
        <v>ㄌ</v>
      </c>
      <c r="L4842" s="1" t="str">
        <f t="shared" si="303"/>
        <v>ㄨ</v>
      </c>
      <c r="M4842" s="1" t="str">
        <f t="shared" si="301"/>
        <v>ㄢ</v>
      </c>
      <c r="P4842" s="1" t="s">
        <v>20</v>
      </c>
      <c r="R4842" s="1" t="s">
        <v>9320</v>
      </c>
      <c r="V4842" s="1" t="s">
        <v>9323</v>
      </c>
      <c r="W4842" s="1" t="s">
        <v>9324</v>
      </c>
      <c r="AR4842" s="1" t="str">
        <f t="shared" si="304"/>
        <v>| [ㄌㄨㄢˊ](ㄌㄨㄢˊ.md) | [孌](孌.md) |  | luán | [形]
美好。《詩經．邶風．靜女》：「靜女其孌，貽我彤管。」 |</v>
      </c>
    </row>
    <row r="4843" spans="1:44" hidden="1">
      <c r="A4843" s="1" t="s">
        <v>9325</v>
      </c>
      <c r="C4843" s="1">
        <v>1</v>
      </c>
      <c r="D4843" s="1" t="str">
        <f>"03830"</f>
        <v>03830</v>
      </c>
      <c r="E4843" s="1" t="s">
        <v>241</v>
      </c>
      <c r="F4843" s="1">
        <v>22</v>
      </c>
      <c r="G4843" s="1">
        <v>19</v>
      </c>
      <c r="H4843" s="1">
        <v>1</v>
      </c>
      <c r="I4843" s="1" t="s">
        <v>9319</v>
      </c>
      <c r="K4843" s="1" t="str">
        <f t="shared" si="302"/>
        <v>ㄌ</v>
      </c>
      <c r="L4843" s="1" t="str">
        <f t="shared" si="303"/>
        <v>ㄨ</v>
      </c>
      <c r="M4843" s="1" t="str">
        <f t="shared" si="301"/>
        <v>ㄢ</v>
      </c>
      <c r="P4843" s="1" t="s">
        <v>20</v>
      </c>
      <c r="R4843" s="1" t="s">
        <v>9320</v>
      </c>
      <c r="V4843" s="1" t="s">
        <v>9326</v>
      </c>
      <c r="W4843" s="1" t="s">
        <v>9327</v>
      </c>
      <c r="AR4843" s="1" t="str">
        <f t="shared" si="304"/>
        <v>| [ㄌㄨㄢˊ](ㄌㄨㄢˊ.md) | [孿](孿.md) |  | luán | [名]
雙胞胎。《說文解字．子部》：「孿，一乳兩子也。」
[形]
雙生的。《戰國策．韓策三》：「夫孿子之相似者，唯其母知之而已。」 |</v>
      </c>
    </row>
    <row r="4844" spans="1:44" hidden="1">
      <c r="A4844" s="1" t="s">
        <v>9328</v>
      </c>
      <c r="C4844" s="1">
        <v>1</v>
      </c>
      <c r="D4844" s="1" t="str">
        <f>"03831"</f>
        <v>03831</v>
      </c>
      <c r="E4844" s="1" t="s">
        <v>139</v>
      </c>
      <c r="F4844" s="1">
        <v>23</v>
      </c>
      <c r="G4844" s="1">
        <v>19</v>
      </c>
      <c r="H4844" s="1">
        <v>0</v>
      </c>
      <c r="I4844" s="1" t="s">
        <v>9319</v>
      </c>
      <c r="K4844" s="1" t="str">
        <f t="shared" si="302"/>
        <v>ㄌ</v>
      </c>
      <c r="L4844" s="1" t="str">
        <f t="shared" si="303"/>
        <v>ㄨ</v>
      </c>
      <c r="M4844" s="1" t="str">
        <f t="shared" si="301"/>
        <v>ㄢ</v>
      </c>
      <c r="P4844" s="1" t="s">
        <v>20</v>
      </c>
      <c r="R4844" s="1" t="s">
        <v>9320</v>
      </c>
      <c r="V4844" s="1" t="s">
        <v>9329</v>
      </c>
      <c r="AR4844" s="1" t="str">
        <f t="shared" si="304"/>
        <v>| [ㄌㄨㄢˊ](ㄌㄨㄢˊ.md) | [欒](欒.md) |  | luán | [名]
1.植物名。無患子科欒樹屬，「欒樹」之古稱。參見「欒樹」條。
2.建築物中置於柱子上用以承載橫梁重量的弓形曲木。漢．張衡〈西京賦〉：「跱遊極於浮柱，結重欒以相承。」三國吳．薛綜．注：「欒，柱上曲木，兩頭受櫨者。」
3.鐘口的兩角。《周禮．冬官．考工記》：「鳧氏為鍾，兩欒謂之銑。」唐．賈公彥．疏：「欒、銑一物，俱謂鍾兩角。古之樂器應律之鍾，狀如今之鈴，不圜，故有兩角也。」
4.姓。如漢代有欒布。
[形]
參見「團欒」條。 |</v>
      </c>
    </row>
    <row r="4845" spans="1:44" hidden="1">
      <c r="A4845" s="1" t="s">
        <v>9330</v>
      </c>
      <c r="C4845" s="1">
        <v>1</v>
      </c>
      <c r="D4845" s="1" t="str">
        <f>"03832"</f>
        <v>03832</v>
      </c>
      <c r="E4845" s="1" t="s">
        <v>118</v>
      </c>
      <c r="F4845" s="1">
        <v>24</v>
      </c>
      <c r="G4845" s="1">
        <v>19</v>
      </c>
      <c r="H4845" s="1">
        <v>0</v>
      </c>
      <c r="I4845" s="1" t="s">
        <v>9319</v>
      </c>
      <c r="K4845" s="1" t="str">
        <f t="shared" si="302"/>
        <v>ㄌ</v>
      </c>
      <c r="L4845" s="1" t="str">
        <f t="shared" si="303"/>
        <v>ㄨ</v>
      </c>
      <c r="M4845" s="1" t="str">
        <f t="shared" si="301"/>
        <v>ㄢ</v>
      </c>
      <c r="P4845" s="1" t="s">
        <v>20</v>
      </c>
      <c r="R4845" s="1" t="s">
        <v>9320</v>
      </c>
      <c r="V4845" s="1" t="s">
        <v>9331</v>
      </c>
      <c r="AR4845" s="1" t="str">
        <f t="shared" si="304"/>
        <v>| [ㄌㄨㄢˊ](ㄌㄨㄢˊ.md) | [羉](羉.md) |  | luán | [名]
捕捉野豬的網子。《後漢書．卷六〇上．馬融傳》：「罦罝羅羉，彌綸阮澤，皋牢陵山。」唐．章懷太子．注：「羉，彘網也。」 |</v>
      </c>
    </row>
    <row r="4846" spans="1:44" hidden="1">
      <c r="A4846" s="1" t="s">
        <v>9332</v>
      </c>
      <c r="C4846" s="1">
        <v>1</v>
      </c>
      <c r="D4846" s="1" t="str">
        <f>"03833"</f>
        <v>03833</v>
      </c>
      <c r="E4846" s="1" t="s">
        <v>68</v>
      </c>
      <c r="F4846" s="1">
        <v>25</v>
      </c>
      <c r="G4846" s="1">
        <v>19</v>
      </c>
      <c r="H4846" s="1">
        <v>1</v>
      </c>
      <c r="I4846" s="1" t="s">
        <v>9319</v>
      </c>
      <c r="K4846" s="1" t="str">
        <f t="shared" si="302"/>
        <v>ㄌ</v>
      </c>
      <c r="L4846" s="1" t="str">
        <f t="shared" si="303"/>
        <v>ㄨ</v>
      </c>
      <c r="M4846" s="1" t="str">
        <f t="shared" si="301"/>
        <v>ㄢ</v>
      </c>
      <c r="P4846" s="1" t="s">
        <v>20</v>
      </c>
      <c r="R4846" s="1" t="s">
        <v>9320</v>
      </c>
      <c r="V4846" s="1" t="s">
        <v>9333</v>
      </c>
      <c r="W4846" s="1" t="s">
        <v>9334</v>
      </c>
      <c r="AR4846" s="1" t="str">
        <f t="shared" si="304"/>
        <v>| [ㄌㄨㄢˊ](ㄌㄨㄢˊ.md) | [臠](臠.md) |  | luán | [動]
把肉切割、分解成肉塊。《漢書．卷九九．王莽傳下》：「軍人分裂莽身，支節肌骨臠分，爭相殺者數十人。」
[形]
參見「臠臠」條。 |</v>
      </c>
    </row>
    <row r="4847" spans="1:44" hidden="1">
      <c r="A4847" s="1" t="s">
        <v>9335</v>
      </c>
      <c r="C4847" s="1">
        <v>1</v>
      </c>
      <c r="D4847" s="1" t="str">
        <f>"03834"</f>
        <v>03834</v>
      </c>
      <c r="E4847" s="1" t="s">
        <v>129</v>
      </c>
      <c r="F4847" s="1">
        <v>26</v>
      </c>
      <c r="G4847" s="1">
        <v>23</v>
      </c>
      <c r="H4847" s="1">
        <v>0</v>
      </c>
      <c r="I4847" s="1" t="s">
        <v>9319</v>
      </c>
      <c r="K4847" s="1" t="str">
        <f t="shared" si="302"/>
        <v>ㄌ</v>
      </c>
      <c r="L4847" s="1" t="str">
        <f t="shared" si="303"/>
        <v>ㄨ</v>
      </c>
      <c r="M4847" s="1" t="str">
        <f t="shared" si="301"/>
        <v>ㄢ</v>
      </c>
      <c r="P4847" s="1" t="s">
        <v>20</v>
      </c>
      <c r="R4847" s="1" t="s">
        <v>9320</v>
      </c>
      <c r="V4847" s="1" t="s">
        <v>9336</v>
      </c>
      <c r="AR4847" s="1" t="str">
        <f t="shared" si="304"/>
        <v>| [ㄌㄨㄢˊ](ㄌㄨㄢˊ.md) | [灤](灤.md) |  | luán | 參見「灤河」條。 |</v>
      </c>
    </row>
    <row r="4848" spans="1:44" hidden="1">
      <c r="A4848" s="1" t="s">
        <v>9337</v>
      </c>
      <c r="C4848" s="1">
        <v>1</v>
      </c>
      <c r="D4848" s="1" t="str">
        <f>"03835"</f>
        <v>03835</v>
      </c>
      <c r="E4848" s="1" t="s">
        <v>55</v>
      </c>
      <c r="F4848" s="1">
        <v>27</v>
      </c>
      <c r="G4848" s="1">
        <v>19</v>
      </c>
      <c r="H4848" s="1">
        <v>0</v>
      </c>
      <c r="I4848" s="1" t="s">
        <v>9319</v>
      </c>
      <c r="K4848" s="1" t="str">
        <f t="shared" si="302"/>
        <v>ㄌ</v>
      </c>
      <c r="L4848" s="1" t="str">
        <f t="shared" si="303"/>
        <v>ㄨ</v>
      </c>
      <c r="M4848" s="1" t="str">
        <f t="shared" si="301"/>
        <v>ㄢ</v>
      </c>
      <c r="P4848" s="1" t="s">
        <v>20</v>
      </c>
      <c r="R4848" s="1" t="s">
        <v>9320</v>
      </c>
      <c r="V4848" s="1" t="s">
        <v>9338</v>
      </c>
      <c r="AR4848" s="1" t="str">
        <f t="shared" si="304"/>
        <v>| [ㄌㄨㄢˊ](ㄌㄨㄢˊ.md) | [鑾](鑾.md) |  | luán | [名]
1.繫在君王車駕上的鈴鐺。《說文解字．金部》：「鑾，人君乘車，四馬鑣，八鑾，鈴象鸞鳥之聲，聲龢則敬也。」《南齊書．卷三．武帝本紀》：「鳴青鑾於東郊，冕朱紘而蒞事。」
2.君王的車駕，亦借指君王。清．孔尚任《桃花扇》第一五齣：「江浦迎鑾，願領貔貅，扶新主持節復讎。」 |</v>
      </c>
    </row>
    <row r="4849" spans="1:44" hidden="1">
      <c r="A4849" s="1" t="s">
        <v>9339</v>
      </c>
      <c r="C4849" s="1">
        <v>1</v>
      </c>
      <c r="D4849" s="1" t="str">
        <f>"03836"</f>
        <v>03836</v>
      </c>
      <c r="E4849" s="1" t="s">
        <v>272</v>
      </c>
      <c r="F4849" s="1">
        <v>30</v>
      </c>
      <c r="G4849" s="1">
        <v>19</v>
      </c>
      <c r="H4849" s="1">
        <v>0</v>
      </c>
      <c r="I4849" s="1" t="s">
        <v>9319</v>
      </c>
      <c r="K4849" s="1" t="str">
        <f t="shared" si="302"/>
        <v>ㄌ</v>
      </c>
      <c r="L4849" s="1" t="str">
        <f t="shared" si="303"/>
        <v>ㄨ</v>
      </c>
      <c r="M4849" s="1" t="str">
        <f t="shared" si="301"/>
        <v>ㄢ</v>
      </c>
      <c r="P4849" s="1" t="s">
        <v>20</v>
      </c>
      <c r="R4849" s="1" t="s">
        <v>9320</v>
      </c>
      <c r="V4849" s="1" t="s">
        <v>9340</v>
      </c>
      <c r="AR4849" s="1" t="str">
        <f t="shared" si="304"/>
        <v>| [ㄌㄨㄢˊ](ㄌㄨㄢˊ.md) | [鸞](鸞.md) |  | luán | [名]
1.傳說中的一種神鳥，似鳳凰。《說文解字．鳥部》：「鸞，赤神靈之精也。赤色，五采，雞形，鳴中五音，頌聲作則至。」《山海經．西山經》：「有鳥焉，其狀如翟而五采文，名曰鸞鳥，見則天下安寧。」
2.繫在馬上的鈴鐺。通「鑾」。《楚辭．屈原．離騷》：「揚雲霓之晻藹兮，鳴玉鸞之啾啾。」
3.姓。如戰國時趙國有鸞繳。 |</v>
      </c>
    </row>
    <row r="4850" spans="1:44" hidden="1">
      <c r="A4850" s="1" t="s">
        <v>9341</v>
      </c>
      <c r="C4850" s="1">
        <v>1</v>
      </c>
      <c r="D4850" s="1" t="str">
        <f>"03837"</f>
        <v>03837</v>
      </c>
      <c r="E4850" s="1" t="s">
        <v>2954</v>
      </c>
      <c r="F4850" s="1">
        <v>7</v>
      </c>
      <c r="G4850" s="1">
        <v>5</v>
      </c>
      <c r="H4850" s="1">
        <v>0</v>
      </c>
      <c r="I4850" s="1" t="s">
        <v>9342</v>
      </c>
      <c r="K4850" s="1" t="str">
        <f t="shared" si="302"/>
        <v>ㄌ</v>
      </c>
      <c r="L4850" s="1" t="str">
        <f t="shared" si="303"/>
        <v>ㄨ</v>
      </c>
      <c r="M4850" s="1" t="str">
        <f t="shared" si="301"/>
        <v>ㄢ</v>
      </c>
      <c r="P4850" s="1" t="s">
        <v>20</v>
      </c>
      <c r="R4850" s="1" t="s">
        <v>9343</v>
      </c>
      <c r="V4850" s="1" t="s">
        <v>9344</v>
      </c>
      <c r="AR4850" s="1" t="str">
        <f t="shared" si="304"/>
        <v>| [ㄌㄨㄢˇ](ㄌㄨㄢˇ.md) | [卵](卵.md) |  | luǎn | [名]_x000D_
1.卵生動物的蛋。如：「魚卵」、「蟻卵」、「殺雞取卵」。_x000D_
2.雌性生殖細胞的一種，負責與精子結合進行受精，常見於具有卵細胞的個體。如：「卵子」、「排卵」 |</v>
      </c>
    </row>
    <row r="4851" spans="1:44" hidden="1">
      <c r="A4851" s="1" t="s">
        <v>8597</v>
      </c>
      <c r="C4851" s="1">
        <v>1</v>
      </c>
      <c r="D4851" s="1" t="str">
        <f>"03838"</f>
        <v>03838</v>
      </c>
      <c r="E4851" s="1" t="s">
        <v>68</v>
      </c>
      <c r="F4851" s="1">
        <v>11</v>
      </c>
      <c r="G4851" s="1">
        <v>7</v>
      </c>
      <c r="H4851" s="1">
        <v>2</v>
      </c>
      <c r="I4851" s="1" t="s">
        <v>9342</v>
      </c>
      <c r="K4851" s="1" t="str">
        <f t="shared" si="302"/>
        <v>ㄌ</v>
      </c>
      <c r="L4851" s="1" t="str">
        <f t="shared" si="303"/>
        <v>ㄨ</v>
      </c>
      <c r="M4851" s="1" t="str">
        <f t="shared" si="301"/>
        <v>ㄢ</v>
      </c>
      <c r="P4851" s="1" t="s">
        <v>20</v>
      </c>
      <c r="R4851" s="1" t="s">
        <v>9343</v>
      </c>
      <c r="V4851" s="1" t="s">
        <v>9345</v>
      </c>
      <c r="W4851" s="1" t="s">
        <v>9346</v>
      </c>
      <c r="AR4851" s="1" t="str">
        <f t="shared" si="304"/>
        <v>| [ㄌㄨㄢˇ](ㄌㄨㄢˇ.md) | [脟](脟.md) |  | luǎn | [動]
切割。同「臠」。《廣韻．上聲．獮韻》：「脟，割也。」 |</v>
      </c>
    </row>
    <row r="4852" spans="1:44" hidden="1">
      <c r="A4852" s="1" t="s">
        <v>9347</v>
      </c>
      <c r="C4852" s="1">
        <v>1</v>
      </c>
      <c r="D4852" s="1" t="str">
        <f>"03839"</f>
        <v>03839</v>
      </c>
      <c r="E4852" s="1" t="s">
        <v>3480</v>
      </c>
      <c r="F4852" s="1">
        <v>13</v>
      </c>
      <c r="G4852" s="1">
        <v>12</v>
      </c>
      <c r="H4852" s="1">
        <v>0</v>
      </c>
      <c r="I4852" s="1" t="s">
        <v>9348</v>
      </c>
      <c r="K4852" s="1" t="str">
        <f t="shared" si="302"/>
        <v>ㄌ</v>
      </c>
      <c r="L4852" s="1" t="str">
        <f t="shared" si="303"/>
        <v>ㄨ</v>
      </c>
      <c r="M4852" s="1" t="str">
        <f t="shared" si="301"/>
        <v>ㄢ</v>
      </c>
      <c r="P4852" s="1" t="s">
        <v>20</v>
      </c>
      <c r="R4852" s="1" t="s">
        <v>9349</v>
      </c>
      <c r="V4852" s="1" t="s">
        <v>9350</v>
      </c>
      <c r="AR4852" s="1" t="str">
        <f t="shared" si="304"/>
        <v>| [ㄌㄨㄢˋ](ㄌㄨㄢˋ.md) | [亂](亂.md) |  | luàn | [形]_x000D_
1.無條理秩序的。如：「亂兵」、「混亂」、「快刀斬亂麻」。_x000D_
2.煩雜、不安寧。如：「心緒煩亂」。南朝宋．鮑照〈採菱歌〉七首之三：「愁心不可盪，春思亂如麻。」_x000D_
3.動盪、不安定。如：「亂邦」。《詩經．周南．關雎．序》：「亂世之音，怨以怒，其政乖。」_x000D_
4.有秩序、能治理的。《書經．泰誓中》：「予有亂臣十人，同心同德。」_x000D_
[名]_x000D_
1.叛變、造反的行為。如：「平亂」。《史記．卷八七．李斯列傳》：「於是楚戍卒陳勝、吳廣等乃作亂。」_x000D_
2.古代樂曲的最後一章。《論語．泰伯》：「師摯之始，關雎之亂，洋洋乎盈耳哉！」_x000D_
[動]_x000D_
1.混淆。如：「以假亂真」。《後漢書．卷一一．劉玄劉盆子列傳．劉盆子》：「恐其眾與莽兵亂，乃皆朱其眉以相識別。」_x000D_
2.破壞、改變。如：「搗亂」。《論語．衛靈公》：「小不忍則亂大謀。」唐．韓愈〈張中丞傳後敘〉：「巡就戮時，顏色不亂，陽陽如常。」_x000D_
3.發生不正常的性關係。如：「淫亂」。《史記．卷一一〇．匈奴列傳》：「義渠戎王與宣太后亂，有二子。」_x000D_
[副]_x000D_
1.任意、隨便。如：「亂來」、「亂跑」、「亂說話」。_x000D_
2.很、非常。如：「亂沒原則」、「亂有意思的」。 |</v>
      </c>
    </row>
    <row r="4853" spans="1:44" hidden="1">
      <c r="A4853" s="1" t="s">
        <v>9325</v>
      </c>
      <c r="C4853" s="1">
        <v>1</v>
      </c>
      <c r="D4853" s="1" t="str">
        <f>"03907"</f>
        <v>03907</v>
      </c>
      <c r="E4853" s="1" t="s">
        <v>241</v>
      </c>
      <c r="F4853" s="1">
        <v>22</v>
      </c>
      <c r="G4853" s="1">
        <v>19</v>
      </c>
      <c r="H4853" s="1">
        <v>2</v>
      </c>
      <c r="I4853" s="1" t="s">
        <v>9512</v>
      </c>
      <c r="K4853" s="1" t="str">
        <f t="shared" si="302"/>
        <v>ㄌ</v>
      </c>
      <c r="L4853" s="1" t="str">
        <f t="shared" si="303"/>
        <v>ㄩ</v>
      </c>
      <c r="M4853" s="1" t="str">
        <f t="shared" ref="M4853:M4916" si="305">MID(I4853, 3, 1)</f>
        <v>ㄢ</v>
      </c>
      <c r="P4853" s="1" t="s">
        <v>110</v>
      </c>
      <c r="R4853" s="1" t="s">
        <v>9513</v>
      </c>
      <c r="V4853" s="1" t="s">
        <v>111</v>
      </c>
      <c r="W4853" s="1" t="s">
        <v>9514</v>
      </c>
      <c r="AR4853" s="1" t="str">
        <f t="shared" si="304"/>
        <v>| [ㄌㄩㄢˊ](ㄌㄩㄢˊ.md) | [孿](孿.md) |  | lüán | (一)之又音。 |</v>
      </c>
    </row>
    <row r="4854" spans="1:44" hidden="1">
      <c r="A4854" s="1" t="s">
        <v>8852</v>
      </c>
      <c r="C4854" s="1">
        <v>1</v>
      </c>
      <c r="D4854" s="1" t="str">
        <f>"03908"</f>
        <v>03908</v>
      </c>
      <c r="E4854" s="1" t="s">
        <v>24</v>
      </c>
      <c r="F4854" s="1">
        <v>23</v>
      </c>
      <c r="G4854" s="1">
        <v>19</v>
      </c>
      <c r="H4854" s="1">
        <v>1</v>
      </c>
      <c r="I4854" s="1" t="s">
        <v>9512</v>
      </c>
      <c r="K4854" s="1" t="str">
        <f t="shared" si="302"/>
        <v>ㄌ</v>
      </c>
      <c r="L4854" s="1" t="str">
        <f t="shared" si="303"/>
        <v>ㄩ</v>
      </c>
      <c r="M4854" s="1" t="str">
        <f t="shared" si="305"/>
        <v>ㄢ</v>
      </c>
      <c r="P4854" s="1" t="s">
        <v>20</v>
      </c>
      <c r="R4854" s="1" t="s">
        <v>9513</v>
      </c>
      <c r="V4854" s="1" t="s">
        <v>9515</v>
      </c>
      <c r="W4854" s="1" t="s">
        <v>9516</v>
      </c>
      <c r="AR4854" s="1" t="str">
        <f t="shared" si="304"/>
        <v>| [ㄌㄩㄢˊ](ㄌㄩㄢˊ.md) | [攣](攣.md) |  | lüán | [動]
1.牽繫、連繫。《說文解字．手部》：「攣，係也。」《易經．中孚．九五》：「有孚攣如，無咎。」唐．孔穎達．正義：「攣如者，相牽繫不絕之名也。」明．陸采《懷香記》第四〇齣：「赤繩早攣雙踵，並締茲蘿。」或讀為ㄌㄨㄢˊ luán。
2.手、足因抽搐而彎曲不能伸直。《集韻．去聲．線韻》：「攣，手足曲病。」如：「痙攣」。《三國志．卷二．魏書．文帝紀》「冬十月，授楊彪光祿大夫」句下裴松之注引《續漢書》曰：「彪見漢祚將終，自以累世為三公，恥為魏臣，遂稱足攣，不復行。」或讀為ㄌㄨㄢˊ luán。 |</v>
      </c>
    </row>
    <row r="4855" spans="1:44" hidden="1">
      <c r="A4855" s="1" t="s">
        <v>9322</v>
      </c>
      <c r="C4855" s="1">
        <v>1</v>
      </c>
      <c r="D4855" s="1" t="str">
        <f>"03909"</f>
        <v>03909</v>
      </c>
      <c r="E4855" s="1" t="s">
        <v>534</v>
      </c>
      <c r="F4855" s="1">
        <v>22</v>
      </c>
      <c r="G4855" s="1">
        <v>19</v>
      </c>
      <c r="H4855" s="1">
        <v>2</v>
      </c>
      <c r="I4855" s="1" t="s">
        <v>9517</v>
      </c>
      <c r="K4855" s="1" t="str">
        <f t="shared" si="302"/>
        <v>ㄌ</v>
      </c>
      <c r="L4855" s="1" t="str">
        <f t="shared" si="303"/>
        <v>ㄩ</v>
      </c>
      <c r="M4855" s="1" t="str">
        <f t="shared" si="305"/>
        <v>ㄢ</v>
      </c>
      <c r="P4855" s="1" t="s">
        <v>110</v>
      </c>
      <c r="R4855" s="1" t="s">
        <v>9518</v>
      </c>
      <c r="V4855" s="1" t="s">
        <v>111</v>
      </c>
      <c r="W4855" s="1" t="s">
        <v>9519</v>
      </c>
      <c r="AR4855" s="1" t="str">
        <f t="shared" si="304"/>
        <v>| [ㄌㄩㄢˇ](ㄌㄩㄢˇ.md) | [孌](孌.md) |  | lüǎn | (一)之又音。 |</v>
      </c>
    </row>
    <row r="4856" spans="1:44" hidden="1">
      <c r="A4856" s="1" t="s">
        <v>9332</v>
      </c>
      <c r="C4856" s="1">
        <v>1</v>
      </c>
      <c r="D4856" s="1" t="str">
        <f>"03910"</f>
        <v>03910</v>
      </c>
      <c r="E4856" s="1" t="s">
        <v>68</v>
      </c>
      <c r="F4856" s="1">
        <v>25</v>
      </c>
      <c r="G4856" s="1">
        <v>19</v>
      </c>
      <c r="H4856" s="1">
        <v>2</v>
      </c>
      <c r="I4856" s="1" t="s">
        <v>9517</v>
      </c>
      <c r="K4856" s="1" t="str">
        <f t="shared" si="302"/>
        <v>ㄌ</v>
      </c>
      <c r="L4856" s="1" t="str">
        <f t="shared" si="303"/>
        <v>ㄩ</v>
      </c>
      <c r="M4856" s="1" t="str">
        <f t="shared" si="305"/>
        <v>ㄢ</v>
      </c>
      <c r="P4856" s="1" t="s">
        <v>110</v>
      </c>
      <c r="R4856" s="1" t="s">
        <v>9518</v>
      </c>
      <c r="V4856" s="1" t="s">
        <v>111</v>
      </c>
      <c r="W4856" s="1" t="s">
        <v>9520</v>
      </c>
      <c r="AR4856" s="1" t="str">
        <f t="shared" si="304"/>
        <v>| [ㄌㄩㄢˇ](ㄌㄩㄢˇ.md) | [臠](臠.md) |  | lüǎn | (一)之又音。 |</v>
      </c>
    </row>
    <row r="4857" spans="1:44" hidden="1">
      <c r="A4857" s="1" t="s">
        <v>8854</v>
      </c>
      <c r="C4857" s="1">
        <v>1</v>
      </c>
      <c r="D4857" s="1" t="str">
        <f>"03623"</f>
        <v>03623</v>
      </c>
      <c r="E4857" s="1" t="s">
        <v>139</v>
      </c>
      <c r="F4857" s="1">
        <v>8</v>
      </c>
      <c r="G4857" s="1">
        <v>4</v>
      </c>
      <c r="H4857" s="1">
        <v>0</v>
      </c>
      <c r="I4857" s="1" t="s">
        <v>8855</v>
      </c>
      <c r="K4857" s="1" t="str">
        <f t="shared" si="302"/>
        <v>ㄌ</v>
      </c>
      <c r="L4857" s="1" t="str">
        <f t="shared" si="303"/>
        <v>ㄧ</v>
      </c>
      <c r="M4857" s="1" t="str">
        <f t="shared" si="305"/>
        <v>ㄣ</v>
      </c>
      <c r="P4857" s="1" t="s">
        <v>20</v>
      </c>
      <c r="R4857" s="1" t="s">
        <v>8856</v>
      </c>
      <c r="V4857" s="1" t="s">
        <v>8857</v>
      </c>
      <c r="AR4857" s="1" t="str">
        <f t="shared" si="304"/>
        <v>| [ㄌㄧㄣˊ](ㄌㄧㄣˊ.md) | [林](林.md) |  | lín | [名]
1.樹木或竹子叢生之處。如：「竹林」、「山林」、「松林」、「防風林」。唐．柳宗元〈三戒．黔之驢〉：「虎見之，尨然大物也，以為神，蔽林間窺之。」
2.泛指同類的人或事物薈聚之所。如：「儒林」、「碑林」、「藝林」。漢．司馬遷〈報任少卿書〉：「士有此五者，然後可以託於世而列於君子之林矣。」
3.林業的簡稱。如：「農、林、漁、牧」。
4.姓。如清代有林則徐。
[副]
眾多。如：「工廠林立」。 |</v>
      </c>
    </row>
    <row r="4858" spans="1:44" hidden="1">
      <c r="A4858" s="1" t="s">
        <v>8858</v>
      </c>
      <c r="C4858" s="1">
        <v>1</v>
      </c>
      <c r="D4858" s="1" t="str">
        <f>"03624"</f>
        <v>03624</v>
      </c>
      <c r="E4858" s="1" t="s">
        <v>129</v>
      </c>
      <c r="F4858" s="1">
        <v>11</v>
      </c>
      <c r="G4858" s="1">
        <v>8</v>
      </c>
      <c r="H4858" s="1">
        <v>0</v>
      </c>
      <c r="I4858" s="1" t="s">
        <v>8855</v>
      </c>
      <c r="K4858" s="1" t="str">
        <f t="shared" si="302"/>
        <v>ㄌ</v>
      </c>
      <c r="L4858" s="1" t="str">
        <f t="shared" si="303"/>
        <v>ㄧ</v>
      </c>
      <c r="M4858" s="1" t="str">
        <f t="shared" si="305"/>
        <v>ㄣ</v>
      </c>
      <c r="P4858" s="1" t="s">
        <v>20</v>
      </c>
      <c r="R4858" s="1" t="s">
        <v>8856</v>
      </c>
      <c r="V4858" s="1" t="s">
        <v>8859</v>
      </c>
      <c r="AR4858" s="1" t="str">
        <f t="shared" si="304"/>
        <v>| [ㄌㄧㄣˊ](ㄌㄧㄣˊ.md) | [淋](淋.md) |  | lín | [動]
澆。如：「淋溼」、「淋雨」。唐．韓愈〈石鼓歌〉：「雨淋日炙野火燎，鬼物守護煩撝呵。」《紅樓夢》第三〇回：「讓我隔著門縫兒瞧瞧，可開就開，要不可開，叫他淋著去。」 |</v>
      </c>
    </row>
    <row r="4859" spans="1:44" hidden="1">
      <c r="A4859" s="1" t="s">
        <v>8145</v>
      </c>
      <c r="C4859" s="1">
        <v>1</v>
      </c>
      <c r="D4859" s="1" t="str">
        <f>"03625"</f>
        <v>03625</v>
      </c>
      <c r="E4859" s="1" t="s">
        <v>250</v>
      </c>
      <c r="F4859" s="1">
        <v>11</v>
      </c>
      <c r="G4859" s="1">
        <v>8</v>
      </c>
      <c r="H4859" s="1">
        <v>2</v>
      </c>
      <c r="I4859" s="1" t="s">
        <v>8855</v>
      </c>
      <c r="K4859" s="1" t="str">
        <f t="shared" si="302"/>
        <v>ㄌ</v>
      </c>
      <c r="L4859" s="1" t="str">
        <f t="shared" si="303"/>
        <v>ㄧ</v>
      </c>
      <c r="M4859" s="1" t="str">
        <f t="shared" si="305"/>
        <v>ㄣ</v>
      </c>
      <c r="P4859" s="1" t="s">
        <v>20</v>
      </c>
      <c r="R4859" s="1" t="s">
        <v>8856</v>
      </c>
      <c r="V4859" s="1" t="s">
        <v>8860</v>
      </c>
      <c r="W4859" s="1" t="s">
        <v>8861</v>
      </c>
      <c r="AR4859" s="1" t="str">
        <f t="shared" si="304"/>
        <v>| [ㄌㄧㄣˊ](ㄌㄧㄣˊ.md) | [惏](惏.md) |  | lín | 參見「惏悷」條。 |</v>
      </c>
    </row>
    <row r="4860" spans="1:44" hidden="1">
      <c r="A4860" s="1" t="s">
        <v>8862</v>
      </c>
      <c r="C4860" s="1">
        <v>1</v>
      </c>
      <c r="D4860" s="1" t="str">
        <f>"03626"</f>
        <v>03626</v>
      </c>
      <c r="E4860" s="1" t="s">
        <v>142</v>
      </c>
      <c r="F4860" s="1">
        <v>12</v>
      </c>
      <c r="G4860" s="1">
        <v>8</v>
      </c>
      <c r="H4860" s="1">
        <v>0</v>
      </c>
      <c r="I4860" s="1" t="s">
        <v>8855</v>
      </c>
      <c r="K4860" s="1" t="str">
        <f t="shared" si="302"/>
        <v>ㄌ</v>
      </c>
      <c r="L4860" s="1" t="str">
        <f t="shared" si="303"/>
        <v>ㄧ</v>
      </c>
      <c r="M4860" s="1" t="str">
        <f t="shared" si="305"/>
        <v>ㄣ</v>
      </c>
      <c r="P4860" s="1" t="s">
        <v>20</v>
      </c>
      <c r="R4860" s="1" t="s">
        <v>8856</v>
      </c>
      <c r="V4860" s="1" t="s">
        <v>8863</v>
      </c>
      <c r="AR4860" s="1" t="str">
        <f t="shared" si="304"/>
        <v>| [ㄌㄧㄣˊ](ㄌㄧㄣˊ.md) | [琳](琳.md) |  | lín | [名]
美玉。《說文解字．玉部》：「琳，美玉也。」《文選．司馬相如．上林賦》：「玫瑰碧琳，珊瑚叢生。」 |</v>
      </c>
    </row>
    <row r="4861" spans="1:44" hidden="1">
      <c r="A4861" s="1" t="s">
        <v>8864</v>
      </c>
      <c r="C4861" s="1">
        <v>1</v>
      </c>
      <c r="D4861" s="1" t="str">
        <f>"03627"</f>
        <v>03627</v>
      </c>
      <c r="E4861" s="1" t="s">
        <v>40</v>
      </c>
      <c r="F4861" s="1">
        <v>13</v>
      </c>
      <c r="G4861" s="1">
        <v>8</v>
      </c>
      <c r="H4861" s="1">
        <v>0</v>
      </c>
      <c r="I4861" s="1" t="s">
        <v>8855</v>
      </c>
      <c r="K4861" s="1" t="str">
        <f t="shared" si="302"/>
        <v>ㄌ</v>
      </c>
      <c r="L4861" s="1" t="str">
        <f t="shared" si="303"/>
        <v>ㄧ</v>
      </c>
      <c r="M4861" s="1" t="str">
        <f t="shared" si="305"/>
        <v>ㄣ</v>
      </c>
      <c r="P4861" s="1" t="s">
        <v>20</v>
      </c>
      <c r="R4861" s="1" t="s">
        <v>8856</v>
      </c>
      <c r="V4861" s="1" t="s">
        <v>8865</v>
      </c>
      <c r="AR4861" s="1" t="str">
        <f t="shared" si="304"/>
        <v>| [ㄌㄧㄣˊ](ㄌㄧㄣˊ.md) | [痳](痳.md) |  | lín | [名]
1.疝病。《說文解字．疒部》：「痳，疝病也。」
2.淋症，一種小便困難的症狀。《玉篇．疒部》：「痳，小便難也。」 |</v>
      </c>
    </row>
    <row r="4862" spans="1:44" hidden="1">
      <c r="A4862" s="1" t="s">
        <v>8866</v>
      </c>
      <c r="C4862" s="1">
        <v>1</v>
      </c>
      <c r="D4862" s="1" t="str">
        <f>"03628"</f>
        <v>03628</v>
      </c>
      <c r="E4862" s="1" t="s">
        <v>725</v>
      </c>
      <c r="F4862" s="1">
        <v>14</v>
      </c>
      <c r="G4862" s="1">
        <v>8</v>
      </c>
      <c r="H4862" s="1">
        <v>2</v>
      </c>
      <c r="I4862" s="1" t="s">
        <v>8855</v>
      </c>
      <c r="K4862" s="1" t="str">
        <f t="shared" ref="K4862:K4925" si="306">LEFT(I4862, 1)</f>
        <v>ㄌ</v>
      </c>
      <c r="L4862" s="1" t="str">
        <f t="shared" ref="L4862:L4925" si="307">MID(I4862, 2, 1)</f>
        <v>ㄧ</v>
      </c>
      <c r="M4862" s="1" t="str">
        <f t="shared" si="305"/>
        <v>ㄣ</v>
      </c>
      <c r="P4862" s="1" t="s">
        <v>20</v>
      </c>
      <c r="R4862" s="1" t="s">
        <v>8856</v>
      </c>
      <c r="V4862" s="1" t="s">
        <v>8867</v>
      </c>
      <c r="W4862" s="1" t="s">
        <v>8868</v>
      </c>
      <c r="AR4862" s="1" t="str">
        <f t="shared" si="304"/>
        <v>| [ㄌㄧㄣˊ](ㄌㄧㄣˊ.md) | [綝](綝.md) |  | lín | 參見「綝纚」條。 |</v>
      </c>
    </row>
    <row r="4863" spans="1:44" hidden="1">
      <c r="A4863" s="1" t="s">
        <v>8869</v>
      </c>
      <c r="C4863" s="1">
        <v>1</v>
      </c>
      <c r="D4863" s="1" t="str">
        <f>"03629"</f>
        <v>03629</v>
      </c>
      <c r="E4863" s="1" t="s">
        <v>125</v>
      </c>
      <c r="F4863" s="1">
        <v>16</v>
      </c>
      <c r="G4863" s="1">
        <v>8</v>
      </c>
      <c r="H4863" s="1">
        <v>0</v>
      </c>
      <c r="I4863" s="1" t="s">
        <v>8855</v>
      </c>
      <c r="K4863" s="1" t="str">
        <f t="shared" si="306"/>
        <v>ㄌ</v>
      </c>
      <c r="L4863" s="1" t="str">
        <f t="shared" si="307"/>
        <v>ㄧ</v>
      </c>
      <c r="M4863" s="1" t="str">
        <f t="shared" si="305"/>
        <v>ㄣ</v>
      </c>
      <c r="P4863" s="1" t="s">
        <v>20</v>
      </c>
      <c r="R4863" s="1" t="s">
        <v>8856</v>
      </c>
      <c r="V4863" s="1" t="s">
        <v>8870</v>
      </c>
      <c r="AR4863" s="1" t="str">
        <f t="shared" si="304"/>
        <v>| [ㄌㄧㄣˊ](ㄌㄧㄣˊ.md) | [霖](霖.md) |  | lín | [名]
連續下三天以上的雨稱為「霖」。《說文解字．雨部》：「霖，凡雨，三日已往為霖。」如：「久旱逢甘霖」。唐．元稹〈桐花〉詩：「商弦廉以臣，臣作旱天霖。」 |</v>
      </c>
    </row>
    <row r="4864" spans="1:44" hidden="1">
      <c r="A4864" s="1" t="s">
        <v>8871</v>
      </c>
      <c r="C4864" s="1">
        <v>1</v>
      </c>
      <c r="D4864" s="1" t="str">
        <f>"03630"</f>
        <v>03630</v>
      </c>
      <c r="E4864" s="1" t="s">
        <v>46</v>
      </c>
      <c r="F4864" s="1">
        <v>14</v>
      </c>
      <c r="G4864" s="1">
        <v>8</v>
      </c>
      <c r="H4864" s="1">
        <v>0</v>
      </c>
      <c r="I4864" s="1" t="s">
        <v>8855</v>
      </c>
      <c r="K4864" s="1" t="str">
        <f t="shared" si="306"/>
        <v>ㄌ</v>
      </c>
      <c r="L4864" s="1" t="str">
        <f t="shared" si="307"/>
        <v>ㄧ</v>
      </c>
      <c r="M4864" s="1" t="str">
        <f t="shared" si="305"/>
        <v>ㄣ</v>
      </c>
      <c r="P4864" s="1" t="s">
        <v>20</v>
      </c>
      <c r="R4864" s="1" t="s">
        <v>8856</v>
      </c>
      <c r="V4864" s="1" t="s">
        <v>8872</v>
      </c>
      <c r="AR4864" s="1" t="str">
        <f t="shared" si="304"/>
        <v>| [ㄌㄧㄣˊ](ㄌㄧㄣˊ.md) | [粼](粼.md) |  | lín | 參見「粼粼」條。 |</v>
      </c>
    </row>
    <row r="4865" spans="1:44" hidden="1">
      <c r="A4865" s="1" t="s">
        <v>8873</v>
      </c>
      <c r="C4865" s="1">
        <v>1</v>
      </c>
      <c r="D4865" s="1" t="str">
        <f>"03631"</f>
        <v>03631</v>
      </c>
      <c r="E4865" s="1" t="s">
        <v>129</v>
      </c>
      <c r="F4865" s="1">
        <v>15</v>
      </c>
      <c r="G4865" s="1">
        <v>12</v>
      </c>
      <c r="H4865" s="1">
        <v>0</v>
      </c>
      <c r="I4865" s="1" t="s">
        <v>8855</v>
      </c>
      <c r="K4865" s="1" t="str">
        <f t="shared" si="306"/>
        <v>ㄌ</v>
      </c>
      <c r="L4865" s="1" t="str">
        <f t="shared" si="307"/>
        <v>ㄧ</v>
      </c>
      <c r="M4865" s="1" t="str">
        <f t="shared" si="305"/>
        <v>ㄣ</v>
      </c>
      <c r="P4865" s="1" t="s">
        <v>20</v>
      </c>
      <c r="R4865" s="1" t="s">
        <v>8856</v>
      </c>
      <c r="V4865" s="1" t="s">
        <v>8874</v>
      </c>
      <c r="AR4865" s="1" t="str">
        <f t="shared" si="304"/>
        <v>| [ㄌㄧㄣˊ](ㄌㄧㄣˊ.md) | [潾](潾.md) |  | lín | [形]
水清澈的樣子。唐．杜甫〈雜述〉：「泰山冥冥崒以高，泗水潾潾瀰以清。」 |</v>
      </c>
    </row>
    <row r="4866" spans="1:44" hidden="1">
      <c r="A4866" s="1" t="s">
        <v>8875</v>
      </c>
      <c r="C4866" s="1">
        <v>1</v>
      </c>
      <c r="D4866" s="1" t="str">
        <f>"03632"</f>
        <v>03632</v>
      </c>
      <c r="E4866" s="1" t="s">
        <v>256</v>
      </c>
      <c r="F4866" s="1">
        <v>15</v>
      </c>
      <c r="G4866" s="1">
        <v>12</v>
      </c>
      <c r="H4866" s="1">
        <v>0</v>
      </c>
      <c r="I4866" s="1" t="s">
        <v>8855</v>
      </c>
      <c r="K4866" s="1" t="str">
        <f t="shared" si="306"/>
        <v>ㄌ</v>
      </c>
      <c r="L4866" s="1" t="str">
        <f t="shared" si="307"/>
        <v>ㄧ</v>
      </c>
      <c r="M4866" s="1" t="str">
        <f t="shared" si="305"/>
        <v>ㄣ</v>
      </c>
      <c r="P4866" s="1" t="s">
        <v>20</v>
      </c>
      <c r="R4866" s="1" t="s">
        <v>8856</v>
      </c>
      <c r="V4866" s="1" t="s">
        <v>8876</v>
      </c>
      <c r="AR4866" s="1" t="str">
        <f t="shared" si="304"/>
        <v>| [ㄌㄧㄣˊ](ㄌㄧㄣˊ.md) | [鄰](鄰.md) |  | lín | [名]
1.戶籍編制單位。古代多以五家為一鄰，現則為里以下的單位。《說文解字．邑部》：「鄰，五家為鄰。」《周禮．地官．遂人》：「五家為鄰，五鄰為里。」
2.住處相近的人家。如：「左鄰右舍」、「敦親睦鄰」。唐．王勃〈杜少府之任蜀州〉詩：「海內存知己，天涯若比鄰。」
3.親近的人。《書經．益稷》：「欽四鄰，庶頑讒說若不在時，侯以明之，撻以記之。」漢．孔安國．傳：「四近，前後左右之臣。」《論語．里仁》：「子曰：『德不孤，必有鄰。』」
[動]
接近。《後漢書．卷二五．卓茂傳．論曰》：「夫厚性寬中近於仁，犯而不校鄰於恕。」《清史稿．卷三三五．富僧阿傳》：「黑龍江北鄰俄羅斯，康熙二十九年與定界。」
[形]
附近的、接壤的。如：「鄰國」、「鄰居」、「鄰座」、「鄰村」。 |</v>
      </c>
    </row>
    <row r="4867" spans="1:44" hidden="1">
      <c r="A4867" s="1" t="s">
        <v>8877</v>
      </c>
      <c r="C4867" s="1">
        <v>1</v>
      </c>
      <c r="D4867" s="1" t="str">
        <f>"03633"</f>
        <v>03633</v>
      </c>
      <c r="E4867" s="1" t="s">
        <v>190</v>
      </c>
      <c r="F4867" s="1">
        <v>15</v>
      </c>
      <c r="G4867" s="1">
        <v>12</v>
      </c>
      <c r="H4867" s="1">
        <v>0</v>
      </c>
      <c r="I4867" s="1" t="s">
        <v>8855</v>
      </c>
      <c r="K4867" s="1" t="str">
        <f t="shared" si="306"/>
        <v>ㄌ</v>
      </c>
      <c r="L4867" s="1" t="str">
        <f t="shared" si="307"/>
        <v>ㄧ</v>
      </c>
      <c r="M4867" s="1" t="str">
        <f t="shared" si="305"/>
        <v>ㄣ</v>
      </c>
      <c r="P4867" s="1" t="s">
        <v>20</v>
      </c>
      <c r="R4867" s="1" t="s">
        <v>8856</v>
      </c>
      <c r="V4867" s="1" t="s">
        <v>8878</v>
      </c>
      <c r="AR4867" s="1" t="str">
        <f t="shared" ref="AR4867:AR4930" si="308">"| ["&amp;I4867&amp;"]("&amp;I4867&amp;".md) | ["&amp;A4867&amp;"]("&amp;A4867&amp;".md) | "&amp;" | "&amp;R4867&amp;" | "&amp;V4867&amp;" |"</f>
        <v>| [ㄌㄧㄣˊ](ㄌㄧㄣˊ.md) | [嶙](嶙.md) |  | lín | 參見「嶙峋」條。 |</v>
      </c>
    </row>
    <row r="4868" spans="1:44" hidden="1">
      <c r="A4868" s="1" t="s">
        <v>8879</v>
      </c>
      <c r="C4868" s="1">
        <v>1</v>
      </c>
      <c r="D4868" s="1" t="str">
        <f>"03634"</f>
        <v>03634</v>
      </c>
      <c r="E4868" s="1" t="s">
        <v>558</v>
      </c>
      <c r="F4868" s="1">
        <v>16</v>
      </c>
      <c r="G4868" s="1">
        <v>12</v>
      </c>
      <c r="H4868" s="1">
        <v>1</v>
      </c>
      <c r="I4868" s="1" t="s">
        <v>8855</v>
      </c>
      <c r="K4868" s="1" t="str">
        <f t="shared" si="306"/>
        <v>ㄌ</v>
      </c>
      <c r="L4868" s="1" t="str">
        <f t="shared" si="307"/>
        <v>ㄧ</v>
      </c>
      <c r="M4868" s="1" t="str">
        <f t="shared" si="305"/>
        <v>ㄣ</v>
      </c>
      <c r="P4868" s="1" t="s">
        <v>20</v>
      </c>
      <c r="R4868" s="1" t="s">
        <v>8856</v>
      </c>
      <c r="V4868" s="1" t="s">
        <v>8880</v>
      </c>
      <c r="W4868" s="1" t="s">
        <v>8881</v>
      </c>
      <c r="AR4868" s="1" t="str">
        <f t="shared" si="308"/>
        <v>| [ㄌㄧㄣˊ](ㄌㄧㄣˊ.md) | [遴](遴.md) |  | lín | [動]
謹慎選擇。如：「遴選」。《新唐書．卷一一七．魏玄同傳》：「太平多士，則遴柬髦俊而使之。」 |</v>
      </c>
    </row>
    <row r="4869" spans="1:44" hidden="1">
      <c r="A4869" s="1" t="s">
        <v>8882</v>
      </c>
      <c r="C4869" s="1">
        <v>1</v>
      </c>
      <c r="D4869" s="1" t="str">
        <f>"03635"</f>
        <v>03635</v>
      </c>
      <c r="E4869" s="1" t="s">
        <v>336</v>
      </c>
      <c r="F4869" s="1">
        <v>16</v>
      </c>
      <c r="G4869" s="1">
        <v>12</v>
      </c>
      <c r="H4869" s="1">
        <v>0</v>
      </c>
      <c r="I4869" s="1" t="s">
        <v>8855</v>
      </c>
      <c r="K4869" s="1" t="str">
        <f t="shared" si="306"/>
        <v>ㄌ</v>
      </c>
      <c r="L4869" s="1" t="str">
        <f t="shared" si="307"/>
        <v>ㄧ</v>
      </c>
      <c r="M4869" s="1" t="str">
        <f t="shared" si="305"/>
        <v>ㄣ</v>
      </c>
      <c r="P4869" s="1" t="s">
        <v>20</v>
      </c>
      <c r="R4869" s="1" t="s">
        <v>8856</v>
      </c>
      <c r="V4869" s="1" t="s">
        <v>8883</v>
      </c>
      <c r="AR4869" s="1" t="str">
        <f t="shared" si="308"/>
        <v>| [ㄌㄧㄣˊ](ㄌㄧㄣˊ.md) | [燐](燐.md) |  | lín | [名]
1.夜晚在野地裡常見的忽隱忽現的青色火光，是燐化氫遇到空氣燃燒所產生。《封神演義》第五六回：「孰知天意歸周主，十萬貔貅化鬼燐。」俗稱為「鬼火」。
2.化學元素。同「磷」。 |</v>
      </c>
    </row>
    <row r="4870" spans="1:44" hidden="1">
      <c r="A4870" s="1" t="s">
        <v>8884</v>
      </c>
      <c r="C4870" s="1">
        <v>1</v>
      </c>
      <c r="D4870" s="1" t="str">
        <f>"03636"</f>
        <v>03636</v>
      </c>
      <c r="E4870" s="1" t="s">
        <v>142</v>
      </c>
      <c r="F4870" s="1">
        <v>16</v>
      </c>
      <c r="G4870" s="1">
        <v>12</v>
      </c>
      <c r="H4870" s="1">
        <v>0</v>
      </c>
      <c r="I4870" s="1" t="s">
        <v>8855</v>
      </c>
      <c r="K4870" s="1" t="str">
        <f t="shared" si="306"/>
        <v>ㄌ</v>
      </c>
      <c r="L4870" s="1" t="str">
        <f t="shared" si="307"/>
        <v>ㄧ</v>
      </c>
      <c r="M4870" s="1" t="str">
        <f t="shared" si="305"/>
        <v>ㄣ</v>
      </c>
      <c r="P4870" s="1" t="s">
        <v>20</v>
      </c>
      <c r="R4870" s="1" t="s">
        <v>8856</v>
      </c>
      <c r="V4870" s="1" t="s">
        <v>8885</v>
      </c>
      <c r="AR4870" s="1" t="str">
        <f t="shared" si="308"/>
        <v>| [ㄌㄧㄣˊ](ㄌㄧㄣˊ.md) | [璘](璘.md) |  | lín | [名]
玉的色澤、光彩。《玉篇．玉部》：「璘，玉色、光彩。」 |</v>
      </c>
    </row>
    <row r="4871" spans="1:44" hidden="1">
      <c r="A4871" s="1" t="s">
        <v>8819</v>
      </c>
      <c r="C4871" s="1">
        <v>1</v>
      </c>
      <c r="D4871" s="1" t="str">
        <f>"03637"</f>
        <v>03637</v>
      </c>
      <c r="E4871" s="1" t="s">
        <v>68</v>
      </c>
      <c r="F4871" s="1">
        <v>16</v>
      </c>
      <c r="G4871" s="1">
        <v>12</v>
      </c>
      <c r="H4871" s="1">
        <v>2</v>
      </c>
      <c r="I4871" s="1" t="s">
        <v>8855</v>
      </c>
      <c r="K4871" s="1" t="str">
        <f t="shared" si="306"/>
        <v>ㄌ</v>
      </c>
      <c r="L4871" s="1" t="str">
        <f t="shared" si="307"/>
        <v>ㄧ</v>
      </c>
      <c r="M4871" s="1" t="str">
        <f t="shared" si="305"/>
        <v>ㄣ</v>
      </c>
      <c r="P4871" s="1" t="s">
        <v>20</v>
      </c>
      <c r="R4871" s="1" t="s">
        <v>8856</v>
      </c>
      <c r="V4871" s="1" t="s">
        <v>8886</v>
      </c>
      <c r="W4871" s="1" t="s">
        <v>8887</v>
      </c>
      <c r="AR4871" s="1" t="str">
        <f t="shared" si="308"/>
        <v>| [ㄌㄧㄣˊ](ㄌㄧㄣˊ.md) | [膦](膦.md) |  | lín | [名]
一種無色氣體。易燃（自燃點攝氏38度），有刺鼻味，劇毒。也稱為「磷化氫」。 |</v>
      </c>
    </row>
    <row r="4872" spans="1:44" hidden="1">
      <c r="A4872" s="1" t="s">
        <v>8888</v>
      </c>
      <c r="C4872" s="1">
        <v>1</v>
      </c>
      <c r="D4872" s="1" t="str">
        <f>"03638"</f>
        <v>03638</v>
      </c>
      <c r="E4872" s="1" t="s">
        <v>169</v>
      </c>
      <c r="F4872" s="1">
        <v>17</v>
      </c>
      <c r="G4872" s="1">
        <v>12</v>
      </c>
      <c r="H4872" s="1">
        <v>0</v>
      </c>
      <c r="I4872" s="1" t="s">
        <v>8855</v>
      </c>
      <c r="K4872" s="1" t="str">
        <f t="shared" si="306"/>
        <v>ㄌ</v>
      </c>
      <c r="L4872" s="1" t="str">
        <f t="shared" si="307"/>
        <v>ㄧ</v>
      </c>
      <c r="M4872" s="1" t="str">
        <f t="shared" si="305"/>
        <v>ㄣ</v>
      </c>
      <c r="P4872" s="1" t="s">
        <v>20</v>
      </c>
      <c r="R4872" s="1" t="s">
        <v>8856</v>
      </c>
      <c r="V4872" s="1" t="s">
        <v>8889</v>
      </c>
      <c r="AR4872" s="1" t="str">
        <f t="shared" si="308"/>
        <v>| [ㄌㄧㄣˊ](ㄌㄧㄣˊ.md) | [磷](磷.md) |  | lín | [名]
（phosphorus，P）化學元素。原子序15。為非金屬元素之一。能自己發光，遇空氣即自燃。常見的同素異形體有白磷（黃磷）及紅磷（赤磷）二種。動物的神經、腦及骨骼組織中均含有此一成分，亦是植物營養的重要成分之一。磷的化合物可用來治療佝僂症、軟骨病等。 |</v>
      </c>
    </row>
    <row r="4873" spans="1:44" hidden="1">
      <c r="A4873" s="1" t="s">
        <v>8890</v>
      </c>
      <c r="C4873" s="1">
        <v>1</v>
      </c>
      <c r="D4873" s="1" t="str">
        <f>"03639"</f>
        <v>03639</v>
      </c>
      <c r="E4873" s="1" t="s">
        <v>1015</v>
      </c>
      <c r="F4873" s="1">
        <v>17</v>
      </c>
      <c r="G4873" s="1">
        <v>12</v>
      </c>
      <c r="H4873" s="1">
        <v>0</v>
      </c>
      <c r="I4873" s="1" t="s">
        <v>8855</v>
      </c>
      <c r="K4873" s="1" t="str">
        <f t="shared" si="306"/>
        <v>ㄌ</v>
      </c>
      <c r="L4873" s="1" t="str">
        <f t="shared" si="307"/>
        <v>ㄧ</v>
      </c>
      <c r="M4873" s="1" t="str">
        <f t="shared" si="305"/>
        <v>ㄣ</v>
      </c>
      <c r="P4873" s="1" t="s">
        <v>20</v>
      </c>
      <c r="R4873" s="1" t="s">
        <v>8856</v>
      </c>
      <c r="V4873" s="1" t="s">
        <v>8891</v>
      </c>
      <c r="AR4873" s="1" t="str">
        <f t="shared" si="308"/>
        <v>| [ㄌㄧㄣˊ](ㄌㄧㄣˊ.md) | [瞵](瞵.md) |  | lín | [動]
注視。如：「瞵盼」、「虎視鷹瞵」。《文選．左思．吳都賦》：「鷹瞵鶚視。」 |</v>
      </c>
    </row>
    <row r="4874" spans="1:44" hidden="1">
      <c r="A4874" s="1" t="s">
        <v>8892</v>
      </c>
      <c r="C4874" s="1">
        <v>1</v>
      </c>
      <c r="D4874" s="1" t="str">
        <f>"03640"</f>
        <v>03640</v>
      </c>
      <c r="E4874" s="1" t="s">
        <v>71</v>
      </c>
      <c r="F4874" s="1">
        <v>19</v>
      </c>
      <c r="G4874" s="1">
        <v>12</v>
      </c>
      <c r="H4874" s="1">
        <v>0</v>
      </c>
      <c r="I4874" s="1" t="s">
        <v>8855</v>
      </c>
      <c r="K4874" s="1" t="str">
        <f t="shared" si="306"/>
        <v>ㄌ</v>
      </c>
      <c r="L4874" s="1" t="str">
        <f t="shared" si="307"/>
        <v>ㄧ</v>
      </c>
      <c r="M4874" s="1" t="str">
        <f t="shared" si="305"/>
        <v>ㄣ</v>
      </c>
      <c r="P4874" s="1" t="s">
        <v>20</v>
      </c>
      <c r="R4874" s="1" t="s">
        <v>8856</v>
      </c>
      <c r="V4874" s="1" t="s">
        <v>8893</v>
      </c>
      <c r="AR4874" s="1" t="str">
        <f t="shared" si="308"/>
        <v>| [ㄌㄧㄣˊ](ㄌㄧㄣˊ.md) | [轔](轔.md) |  | lín | [名]
1.車輪。《儀禮．既夕禮》「遷于袒用軸」句下漢．鄭玄．注：「軸，狀如轉轔。」唐．賈公彥．疏：「漢時名轉軸為轉轔。轔，輪也。」
2.門檻。《淮南子．說山》：「牛車絕轔。」漢．高誘．注：「楚人謂門切為轔。」
[擬]
形容車子行走時的聲音。《楚辭．屈原．九歌．大司命》：「乘龍兮轔轔，高駝兮沖天。」漢．王逸．注：「轔轔，車聲。」唐．杜甫〈兵車行〉詩：「車轔轔，馬簫簫，行人弓箭各在腰。」 |</v>
      </c>
    </row>
    <row r="4875" spans="1:44" hidden="1">
      <c r="A4875" s="1" t="s">
        <v>8894</v>
      </c>
      <c r="C4875" s="1">
        <v>1</v>
      </c>
      <c r="D4875" s="1" t="str">
        <f>"03641"</f>
        <v>03641</v>
      </c>
      <c r="E4875" s="1" t="s">
        <v>1190</v>
      </c>
      <c r="F4875" s="1">
        <v>23</v>
      </c>
      <c r="G4875" s="1">
        <v>12</v>
      </c>
      <c r="H4875" s="1">
        <v>0</v>
      </c>
      <c r="I4875" s="1" t="s">
        <v>8855</v>
      </c>
      <c r="K4875" s="1" t="str">
        <f t="shared" si="306"/>
        <v>ㄌ</v>
      </c>
      <c r="L4875" s="1" t="str">
        <f t="shared" si="307"/>
        <v>ㄧ</v>
      </c>
      <c r="M4875" s="1" t="str">
        <f t="shared" si="305"/>
        <v>ㄣ</v>
      </c>
      <c r="P4875" s="1" t="s">
        <v>20</v>
      </c>
      <c r="R4875" s="1" t="s">
        <v>8856</v>
      </c>
      <c r="V4875" s="1" t="s">
        <v>8895</v>
      </c>
      <c r="AR4875" s="1" t="str">
        <f t="shared" si="308"/>
        <v>| [ㄌㄧㄣˊ](ㄌㄧㄣˊ.md) | [麟](麟.md) |  | lín | [名]
1.大公鹿。《說文解字．鹿部》：「麟，大牡鹿也。」《文選．張衡．東京賦》：「解罘放麟。」三國吳．薛綜．注：「大鹿曰麟。」
2.參見「麒麟」條。
3.《詩經．周南》的篇名。亦作〈麟之趾〉。共三章。根據〈詩序〉：「〈麟之趾〉，〈關雎〉之應也。」或亦指頌美公侯子孫盛多之詩。首章三句為：「〈麟之趾〉，振振公子，于嗟麟兮。」
4.姓。如清代有麟慶。 |</v>
      </c>
    </row>
    <row r="4876" spans="1:44" hidden="1">
      <c r="A4876" s="1" t="s">
        <v>8896</v>
      </c>
      <c r="C4876" s="1">
        <v>1</v>
      </c>
      <c r="D4876" s="1" t="str">
        <f>"03642"</f>
        <v>03642</v>
      </c>
      <c r="E4876" s="1" t="s">
        <v>156</v>
      </c>
      <c r="F4876" s="1">
        <v>23</v>
      </c>
      <c r="G4876" s="1">
        <v>12</v>
      </c>
      <c r="H4876" s="1">
        <v>0</v>
      </c>
      <c r="I4876" s="1" t="s">
        <v>8855</v>
      </c>
      <c r="K4876" s="1" t="str">
        <f t="shared" si="306"/>
        <v>ㄌ</v>
      </c>
      <c r="L4876" s="1" t="str">
        <f t="shared" si="307"/>
        <v>ㄧ</v>
      </c>
      <c r="M4876" s="1" t="str">
        <f t="shared" si="305"/>
        <v>ㄣ</v>
      </c>
      <c r="P4876" s="1" t="s">
        <v>20</v>
      </c>
      <c r="R4876" s="1" t="s">
        <v>8856</v>
      </c>
      <c r="V4876" s="1" t="s">
        <v>8897</v>
      </c>
      <c r="AR4876" s="1" t="str">
        <f t="shared" si="308"/>
        <v>| [ㄌㄧㄣˊ](ㄌㄧㄣˊ.md) | [鱗](鱗.md) |  | lín | [名]
1.魚類或爬蟲類等身體表面所密覆的角質或骨質的薄片組織，具有保護身體的作用。如：「魚鱗」、「蛇鱗」。
2.魚類的總稱。《史記．卷一一七．司馬相如傳》：「四面風德，二方之君，鱗集仰流，願得受號者，以億計。」南朝梁．陶弘景〈答謝中書書〉：「夕日欲穨，沉鱗競躍。」
3.姓。如春秋時宋國有鱗朱。
[形]
鱗狀的。如：「鱗莖」、「魚鱗癬」。 |</v>
      </c>
    </row>
    <row r="4877" spans="1:44" hidden="1">
      <c r="A4877" s="1" t="s">
        <v>8898</v>
      </c>
      <c r="C4877" s="1">
        <v>1</v>
      </c>
      <c r="D4877" s="1" t="str">
        <f>"03643"</f>
        <v>03643</v>
      </c>
      <c r="E4877" s="1" t="s">
        <v>8899</v>
      </c>
      <c r="F4877" s="1">
        <v>17</v>
      </c>
      <c r="G4877" s="1">
        <v>11</v>
      </c>
      <c r="H4877" s="1">
        <v>1</v>
      </c>
      <c r="I4877" s="1" t="s">
        <v>8855</v>
      </c>
      <c r="K4877" s="1" t="str">
        <f t="shared" si="306"/>
        <v>ㄌ</v>
      </c>
      <c r="L4877" s="1" t="str">
        <f t="shared" si="307"/>
        <v>ㄧ</v>
      </c>
      <c r="M4877" s="1" t="str">
        <f t="shared" si="305"/>
        <v>ㄣ</v>
      </c>
      <c r="P4877" s="1" t="s">
        <v>20</v>
      </c>
      <c r="R4877" s="1" t="s">
        <v>8856</v>
      </c>
      <c r="V4877" s="1" t="s">
        <v>8900</v>
      </c>
      <c r="W4877" s="1" t="s">
        <v>8901</v>
      </c>
      <c r="AR4877" s="1" t="str">
        <f t="shared" si="308"/>
        <v>| [ㄌㄧㄣˊ](ㄌㄧㄣˊ.md) | [臨](臨.md) |  | lín | [動]_x000D_
1.從高處往下看。如：「居高臨下」。《詩經．大雅．大明》：「上帝臨女，無貳爾心。」漢．鄭玄．箋：「臨，視也。」三國魏．阮籍〈詠懷〉詩一七首之六：「登高臨四野，北望青山阿。」_x000D_
2.來到。如：「光臨」、「蒞臨」、「親臨」、「雙喜臨門」。《楚辭．屈原．遠遊》：「朝發軔於太儀兮，夕始臨乎於微閭。」_x000D_
3.靠近、依傍。如：「臨窗而坐」、「臨門一腳」。《漢書．卷二七．五行志下之上》：「先是文惠王初都咸陽，廣大宮室，南臨渭，北臨涇。」_x000D_
4.面對、遇到。如：「臨陣磨槍」、「臨危不亂」。《論語．述而》：「必也臨事而懼，好謀而成者也。」三國蜀．諸葛亮〈出師表〉：「臨表涕泣，不知所云。」《儒林外史》第三〇回：「只為緣慳分淺，遇不著一個知己，所以對月傷懷，臨風灑淚！」_x000D_
5.依著書畫範本摹仿。如：「臨碑」、「臨帖」。明．湯顯祖《牡丹亭》第七齣：「學生自會臨書，春香還勞把筆。」_x000D_
6.統治。《書經．大禹謨》：「臨下以簡，御眾以寬。」《管子．八觀》：「置法出令，臨眾用民。」_x000D_
7.照、照耀。《尸子．卷上．明堂》：「天高明，然後能燭臨萬物。」唐．杜甫〈春宿左省〉詩：「星臨萬戶動，月傍九霄多。」_x000D_
8.給、加。唐．魏元同〈請吏部各擇寮屬疏〉：「臨之以利，以察其廉。」宋．歐陽修〈縱囚論〉：「及施恩德以臨之，可使變而為君子。」_x000D_
[副]_x000D_
將、正、當。如：「臨行」、「臨終」、「臨時抱佛腳」。《史記．卷一二三．大宛列傳》：「臨死謂其父昆莫曰：『必以岑娶為太子，無令他人代之。』」唐．白居易〈長恨歌〉：「臨別殷勤重寄詞，詞中有誓兩心知。」_x000D_
[名]_x000D_
1.《易經》卦名。六十四卦之一。兌（☱）下坤（☷）上，表在上臨下之義。_x000D_
2.姓。如漢代有臨孝存。 |</v>
      </c>
    </row>
    <row r="4878" spans="1:44" hidden="1">
      <c r="A4878" s="1" t="s">
        <v>8902</v>
      </c>
      <c r="C4878" s="1">
        <v>1</v>
      </c>
      <c r="D4878" s="1" t="str">
        <f>"03644"</f>
        <v>03644</v>
      </c>
      <c r="E4878" s="1" t="s">
        <v>37</v>
      </c>
      <c r="F4878" s="1">
        <v>12</v>
      </c>
      <c r="G4878" s="1">
        <v>8</v>
      </c>
      <c r="H4878" s="1">
        <v>0</v>
      </c>
      <c r="I4878" s="1" t="s">
        <v>8903</v>
      </c>
      <c r="K4878" s="1" t="str">
        <f t="shared" si="306"/>
        <v>ㄌ</v>
      </c>
      <c r="L4878" s="1" t="str">
        <f t="shared" si="307"/>
        <v>ㄧ</v>
      </c>
      <c r="M4878" s="1" t="str">
        <f t="shared" si="305"/>
        <v>ㄣ</v>
      </c>
      <c r="P4878" s="1" t="s">
        <v>20</v>
      </c>
      <c r="R4878" s="1" t="s">
        <v>8904</v>
      </c>
      <c r="V4878" s="1" t="s">
        <v>8905</v>
      </c>
      <c r="AR4878" s="1" t="str">
        <f t="shared" si="308"/>
        <v>| [ㄌㄧㄣˇ](ㄌㄧㄣˇ.md) | [菻](菻.md) |  | lǐn | [名]
蒿類植物的總稱。《說文解字．艸部》：「菻，蒿屬。」 |</v>
      </c>
    </row>
    <row r="4879" spans="1:44" hidden="1">
      <c r="A4879" s="1" t="s">
        <v>1339</v>
      </c>
      <c r="C4879" s="1">
        <v>1</v>
      </c>
      <c r="D4879" s="1" t="str">
        <f>"03645"</f>
        <v>03645</v>
      </c>
      <c r="E4879" s="1" t="s">
        <v>429</v>
      </c>
      <c r="F4879" s="1">
        <v>13</v>
      </c>
      <c r="G4879" s="1">
        <v>8</v>
      </c>
      <c r="H4879" s="1">
        <v>3</v>
      </c>
      <c r="I4879" s="1" t="s">
        <v>8903</v>
      </c>
      <c r="K4879" s="1" t="str">
        <f t="shared" si="306"/>
        <v>ㄌ</v>
      </c>
      <c r="L4879" s="1" t="str">
        <f t="shared" si="307"/>
        <v>ㄧ</v>
      </c>
      <c r="M4879" s="1" t="str">
        <f t="shared" si="305"/>
        <v>ㄣ</v>
      </c>
      <c r="P4879" s="1" t="s">
        <v>20</v>
      </c>
      <c r="R4879" s="1" t="s">
        <v>8904</v>
      </c>
      <c r="V4879" s="1" t="s">
        <v>8906</v>
      </c>
      <c r="W4879" s="1" t="s">
        <v>8907</v>
      </c>
      <c r="AR4879" s="1" t="str">
        <f t="shared" si="308"/>
        <v>| [ㄌㄧㄣˇ](ㄌㄧㄣˇ.md) | [稟](稟.md) |  | lǐn | [名]
穀倉。通「廩」。《新唐書．卷八四．李密傳》：「今稟無見糧，難以持久。」 |</v>
      </c>
    </row>
    <row r="4880" spans="1:44" hidden="1">
      <c r="A4880" s="1" t="s">
        <v>8908</v>
      </c>
      <c r="C4880" s="1">
        <v>1</v>
      </c>
      <c r="D4880" s="1" t="str">
        <f>"03646"</f>
        <v>03646</v>
      </c>
      <c r="E4880" s="1" t="s">
        <v>1381</v>
      </c>
      <c r="F4880" s="1">
        <v>15</v>
      </c>
      <c r="G4880" s="1">
        <v>13</v>
      </c>
      <c r="H4880" s="1">
        <v>0</v>
      </c>
      <c r="I4880" s="1" t="s">
        <v>8903</v>
      </c>
      <c r="K4880" s="1" t="str">
        <f t="shared" si="306"/>
        <v>ㄌ</v>
      </c>
      <c r="L4880" s="1" t="str">
        <f t="shared" si="307"/>
        <v>ㄧ</v>
      </c>
      <c r="M4880" s="1" t="str">
        <f t="shared" si="305"/>
        <v>ㄣ</v>
      </c>
      <c r="P4880" s="1" t="s">
        <v>20</v>
      </c>
      <c r="R4880" s="1" t="s">
        <v>8904</v>
      </c>
      <c r="V4880" s="1" t="s">
        <v>8909</v>
      </c>
      <c r="AR4880" s="1" t="str">
        <f t="shared" si="308"/>
        <v>| [ㄌㄧㄣˇ](ㄌㄧㄣˇ.md) | [凜](凜.md) |  | lǐn | [形]
1.寒冷。如：「凜冽」、「凜凜」。《文選．潘岳．閑居賦》：「凜秋暑退，熙春寒往。」唐．韓琮〈秋晚信州推院親友或責無書即事寄答〉詩：「月寒深夜桂，霜凜近秋松。」
2.嚴肅、令人敬畏的樣子。通「懍」。如：「大義凜然」、「凜不可犯」。《宋史．卷四〇一．辛棄疾傳》：「孰謂公死？凜凜猶生。」唐．孟郊〈送韓愈從軍〉詩：「淒淒天地秋，凜凜軍馬令。」 |</v>
      </c>
    </row>
    <row r="4881" spans="1:44" hidden="1">
      <c r="A4881" s="1" t="s">
        <v>8910</v>
      </c>
      <c r="C4881" s="1">
        <v>1</v>
      </c>
      <c r="D4881" s="1" t="str">
        <f>"03647"</f>
        <v>03647</v>
      </c>
      <c r="E4881" s="1" t="s">
        <v>447</v>
      </c>
      <c r="F4881" s="1">
        <v>16</v>
      </c>
      <c r="G4881" s="1">
        <v>13</v>
      </c>
      <c r="H4881" s="1">
        <v>0</v>
      </c>
      <c r="I4881" s="1" t="s">
        <v>8903</v>
      </c>
      <c r="K4881" s="1" t="str">
        <f t="shared" si="306"/>
        <v>ㄌ</v>
      </c>
      <c r="L4881" s="1" t="str">
        <f t="shared" si="307"/>
        <v>ㄧ</v>
      </c>
      <c r="M4881" s="1" t="str">
        <f t="shared" si="305"/>
        <v>ㄣ</v>
      </c>
      <c r="P4881" s="1" t="s">
        <v>20</v>
      </c>
      <c r="R4881" s="1" t="s">
        <v>8904</v>
      </c>
      <c r="V4881" s="1" t="s">
        <v>8911</v>
      </c>
      <c r="AR4881" s="1" t="str">
        <f t="shared" si="308"/>
        <v>| [ㄌㄧㄣˇ](ㄌㄧㄣˇ.md) | [廩](廩.md) |  | lǐn | [名]
1.糧倉。如：「倉廩」、「義廩」。唐．皮日休〈貧居秋日〉詩：「門小愧車馬，廩空慚雀鼠。」
2.糧食。《管子．問》：「問死事之寡其餼廩何如。」唐．尹知章．注：「廩，米粟之屬。」宋．蘇軾〈和公濟飲湖上〉詩：「與君歌舞樂豐年，喚取千夫食陳廩。」
3.俸祿。如：「廩粟」、「廩稍」。宋．蘇軾〈答楊君素〉：「奉別忽四年，薄廩維絆，歸計未成。」
[動]
儲藏、積聚。《管子．山國軌》：「泰春，民之且所用者，君已廩之矣。」唐．尹知章．注：「廩，藏也。」 |</v>
      </c>
    </row>
    <row r="4882" spans="1:44" hidden="1">
      <c r="A4882" s="1" t="s">
        <v>8912</v>
      </c>
      <c r="C4882" s="1">
        <v>1</v>
      </c>
      <c r="D4882" s="1" t="str">
        <f>"03648"</f>
        <v>03648</v>
      </c>
      <c r="E4882" s="1" t="s">
        <v>250</v>
      </c>
      <c r="F4882" s="1">
        <v>16</v>
      </c>
      <c r="G4882" s="1">
        <v>13</v>
      </c>
      <c r="H4882" s="1">
        <v>0</v>
      </c>
      <c r="I4882" s="1" t="s">
        <v>8903</v>
      </c>
      <c r="K4882" s="1" t="str">
        <f t="shared" si="306"/>
        <v>ㄌ</v>
      </c>
      <c r="L4882" s="1" t="str">
        <f t="shared" si="307"/>
        <v>ㄧ</v>
      </c>
      <c r="M4882" s="1" t="str">
        <f t="shared" si="305"/>
        <v>ㄣ</v>
      </c>
      <c r="P4882" s="1" t="s">
        <v>20</v>
      </c>
      <c r="R4882" s="1" t="s">
        <v>8904</v>
      </c>
      <c r="V4882" s="1" t="s">
        <v>8913</v>
      </c>
      <c r="AR4882" s="1" t="str">
        <f t="shared" si="308"/>
        <v>| [ㄌㄧㄣˇ](ㄌㄧㄣˇ.md) | [懍](懍.md) |  | lǐn | [動]
敬、畏。《文選．潘岳．關中詩》：「主憂臣勞，孰不祗懍？」
[形]
危懼。《書經．五子之歌》：「予臨兆民，懍乎若朽索之馭六馬。」漢．孔安國．傳：「懍，危貌。」 |</v>
      </c>
    </row>
    <row r="4883" spans="1:44" hidden="1">
      <c r="A4883" s="1" t="s">
        <v>8914</v>
      </c>
      <c r="C4883" s="1">
        <v>1</v>
      </c>
      <c r="D4883" s="1" t="str">
        <f>"03649"</f>
        <v>03649</v>
      </c>
      <c r="E4883" s="1" t="s">
        <v>28</v>
      </c>
      <c r="F4883" s="1">
        <v>7</v>
      </c>
      <c r="G4883" s="1">
        <v>4</v>
      </c>
      <c r="H4883" s="1">
        <v>0</v>
      </c>
      <c r="I4883" s="1" t="s">
        <v>8915</v>
      </c>
      <c r="K4883" s="1" t="str">
        <f t="shared" si="306"/>
        <v>ㄌ</v>
      </c>
      <c r="L4883" s="1" t="str">
        <f t="shared" si="307"/>
        <v>ㄧ</v>
      </c>
      <c r="M4883" s="1" t="str">
        <f t="shared" si="305"/>
        <v>ㄣ</v>
      </c>
      <c r="P4883" s="1" t="s">
        <v>20</v>
      </c>
      <c r="R4883" s="1" t="s">
        <v>8916</v>
      </c>
      <c r="V4883" s="1" t="s">
        <v>8917</v>
      </c>
      <c r="AR4883" s="1" t="str">
        <f t="shared" si="308"/>
        <v>| [ㄌㄧㄣˋ](ㄌㄧㄣˋ.md) | [吝](吝.md) |  | lìn | [動]
1.憾恨。《說文解字．口部》：「吝，恨惜也。」《後漢書．卷二四．馬援傳》：「援與妻子生訣，無悔吝之心。」
2.貪戀。《新唐書．卷九六．杜如晦傳》：「玄齡身處要地，不吝權，善始以終，此其成令名者。」
[形]
捨不得、小器。如：「吝嗇」、「吝惜」。《書經．仲虺之誥》：「用人惟己，改過不吝。」《論語．泰伯》：「如有周公之才之美，使驕且吝，其餘不足觀也已。」 |</v>
      </c>
    </row>
    <row r="4884" spans="1:44" hidden="1">
      <c r="A4884" s="1" t="s">
        <v>8918</v>
      </c>
      <c r="C4884" s="1">
        <v>1</v>
      </c>
      <c r="D4884" s="1" t="str">
        <f>"03650"</f>
        <v>03650</v>
      </c>
      <c r="E4884" s="1" t="s">
        <v>505</v>
      </c>
      <c r="F4884" s="1">
        <v>13</v>
      </c>
      <c r="G4884" s="1">
        <v>6</v>
      </c>
      <c r="H4884" s="1">
        <v>1</v>
      </c>
      <c r="I4884" s="1" t="s">
        <v>8915</v>
      </c>
      <c r="K4884" s="1" t="str">
        <f t="shared" si="306"/>
        <v>ㄌ</v>
      </c>
      <c r="L4884" s="1" t="str">
        <f t="shared" si="307"/>
        <v>ㄧ</v>
      </c>
      <c r="M4884" s="1" t="str">
        <f t="shared" si="305"/>
        <v>ㄣ</v>
      </c>
      <c r="P4884" s="1" t="s">
        <v>388</v>
      </c>
      <c r="R4884" s="1" t="s">
        <v>8916</v>
      </c>
      <c r="V4884" s="1" t="s">
        <v>8919</v>
      </c>
      <c r="W4884" s="1" t="s">
        <v>8920</v>
      </c>
      <c r="AR4884" s="1" t="str">
        <f t="shared" si="308"/>
        <v>| [ㄌㄧㄣˋ](ㄌㄧㄣˋ.md) | [賃](賃.md) |  | lìn | [動]
1.僱用。《左傳．襄公二十七年》：「崔氏之亂，申鮮虞來奔，僕賃於野。」唐．韓愈〈與于襄陽書〉：「愈今者惟朝夕芻米僕賃之資是急，不過費閤下一朝之享而足也。」
2.租借。如：「租賃」。唐．張籍〈贈令狐博士〉詩：「久為博士誰能識，自到長安賃舍居。」《文明小史》第七回：「自己只住得一進廳房，其餘的賃與兩家親戚同住。」 |</v>
      </c>
    </row>
    <row r="4885" spans="1:44" hidden="1">
      <c r="A4885" s="1" t="s">
        <v>8879</v>
      </c>
      <c r="C4885" s="1">
        <v>1</v>
      </c>
      <c r="D4885" s="1" t="str">
        <f>"03651"</f>
        <v>03651</v>
      </c>
      <c r="E4885" s="1" t="s">
        <v>558</v>
      </c>
      <c r="F4885" s="1">
        <v>16</v>
      </c>
      <c r="G4885" s="1">
        <v>12</v>
      </c>
      <c r="H4885" s="1">
        <v>2</v>
      </c>
      <c r="I4885" s="1" t="s">
        <v>8915</v>
      </c>
      <c r="K4885" s="1" t="str">
        <f t="shared" si="306"/>
        <v>ㄌ</v>
      </c>
      <c r="L4885" s="1" t="str">
        <f t="shared" si="307"/>
        <v>ㄧ</v>
      </c>
      <c r="M4885" s="1" t="str">
        <f t="shared" si="305"/>
        <v>ㄣ</v>
      </c>
      <c r="P4885" s="1" t="s">
        <v>20</v>
      </c>
      <c r="R4885" s="1" t="s">
        <v>8916</v>
      </c>
      <c r="V4885" s="1" t="s">
        <v>8921</v>
      </c>
      <c r="W4885" s="1" t="s">
        <v>8922</v>
      </c>
      <c r="AR4885" s="1" t="str">
        <f t="shared" si="308"/>
        <v>| [ㄌㄧㄣˋ](ㄌㄧㄣˋ.md) | [遴](遴.md) |  | lìn | [形]
貪吝。通「吝」。《漢書．卷五三．景十三王傳．魯恭王劉餘傳》：「子安王光嗣，初好音樂輿馬，晚節遴，唯恐不足於財。」唐．顏師古．注：「遴，與吝同，猶言貪嗇也。」 |</v>
      </c>
    </row>
    <row r="4886" spans="1:44" hidden="1">
      <c r="A4886" s="1" t="s">
        <v>8923</v>
      </c>
      <c r="C4886" s="1">
        <v>1</v>
      </c>
      <c r="D4886" s="1" t="str">
        <f>"03652"</f>
        <v>03652</v>
      </c>
      <c r="E4886" s="1" t="s">
        <v>37</v>
      </c>
      <c r="F4886" s="1">
        <v>20</v>
      </c>
      <c r="G4886" s="1">
        <v>16</v>
      </c>
      <c r="H4886" s="1">
        <v>0</v>
      </c>
      <c r="I4886" s="1" t="s">
        <v>8915</v>
      </c>
      <c r="K4886" s="1" t="str">
        <f t="shared" si="306"/>
        <v>ㄌ</v>
      </c>
      <c r="L4886" s="1" t="str">
        <f t="shared" si="307"/>
        <v>ㄧ</v>
      </c>
      <c r="M4886" s="1" t="str">
        <f t="shared" si="305"/>
        <v>ㄣ</v>
      </c>
      <c r="P4886" s="1" t="s">
        <v>20</v>
      </c>
      <c r="R4886" s="1" t="s">
        <v>8916</v>
      </c>
      <c r="V4886" s="1" t="s">
        <v>8924</v>
      </c>
      <c r="AR4886" s="1" t="str">
        <f t="shared" si="308"/>
        <v>| [ㄌㄧㄣˋ](ㄌㄧㄣˋ.md) | [藺](藺.md) |  | lìn | [名]
1.植物名。燈心科燈心草屬，「燈心草」之古稱。參見「燈心草」條。
2.姓。如戰國時趙國有藺相如。 |</v>
      </c>
    </row>
    <row r="4887" spans="1:44" hidden="1">
      <c r="A4887" s="1" t="s">
        <v>8925</v>
      </c>
      <c r="C4887" s="1">
        <v>1</v>
      </c>
      <c r="D4887" s="1" t="str">
        <f>"03653"</f>
        <v>03653</v>
      </c>
      <c r="E4887" s="1" t="s">
        <v>77</v>
      </c>
      <c r="F4887" s="1">
        <v>27</v>
      </c>
      <c r="G4887" s="1">
        <v>20</v>
      </c>
      <c r="H4887" s="1">
        <v>0</v>
      </c>
      <c r="I4887" s="1" t="s">
        <v>8915</v>
      </c>
      <c r="K4887" s="1" t="str">
        <f t="shared" si="306"/>
        <v>ㄌ</v>
      </c>
      <c r="L4887" s="1" t="str">
        <f t="shared" si="307"/>
        <v>ㄧ</v>
      </c>
      <c r="M4887" s="1" t="str">
        <f t="shared" si="305"/>
        <v>ㄣ</v>
      </c>
      <c r="P4887" s="1" t="s">
        <v>20</v>
      </c>
      <c r="R4887" s="1" t="s">
        <v>8916</v>
      </c>
      <c r="V4887" s="1" t="s">
        <v>8926</v>
      </c>
      <c r="AR4887" s="1" t="str">
        <f t="shared" si="308"/>
        <v>| [ㄌㄧㄣˋ](ㄌㄧㄣˋ.md) | [躪](躪.md) |  | lìn | [動]
踐踏。如：「蹂躪」。《文選．司馬相如．上林賦》：「躪玄鶴，亂昆雞。」李善注引郭璞曰：「躪，踐也。」 |</v>
      </c>
    </row>
    <row r="4888" spans="1:44" hidden="1">
      <c r="A4888" s="1" t="s">
        <v>8898</v>
      </c>
      <c r="C4888" s="1">
        <v>1</v>
      </c>
      <c r="D4888" s="1" t="str">
        <f>"036431"</f>
        <v>036431</v>
      </c>
      <c r="E4888" s="1" t="s">
        <v>8899</v>
      </c>
      <c r="F4888" s="1">
        <v>17</v>
      </c>
      <c r="G4888" s="1">
        <v>11</v>
      </c>
      <c r="H4888" s="1">
        <v>2</v>
      </c>
      <c r="I4888" s="1" t="s">
        <v>8915</v>
      </c>
      <c r="K4888" s="1" t="str">
        <f t="shared" si="306"/>
        <v>ㄌ</v>
      </c>
      <c r="L4888" s="1" t="str">
        <f t="shared" si="307"/>
        <v>ㄧ</v>
      </c>
      <c r="M4888" s="1" t="str">
        <f t="shared" si="305"/>
        <v>ㄣ</v>
      </c>
      <c r="P4888" s="1" t="s">
        <v>20</v>
      </c>
      <c r="R4888" s="1" t="s">
        <v>8916</v>
      </c>
      <c r="V4888" s="1" t="s">
        <v>30549</v>
      </c>
      <c r="AR4888" s="1" t="str">
        <f t="shared" si="308"/>
        <v>| [ㄌㄧㄣˋ](ㄌㄧㄣˋ.md) | [臨](臨.md) |  | lìn | [動]_x000D_
至靈前弔唁。《左傳．宣公十二年》：「鄭人卜行成，不吉。卜臨于大宮，且巷出車，吉。」晉．杜預．注：「臨，哭也。」《史記．卷八．高祖本紀》：「漢王聞之，袒而大哭。遂為義帝發喪，臨三日。」後泛指哀悼。漢．文帝〈遺詔〉：「今乃幸以天年，得復供養于高廟。朕之不明與，嘉之，其奚哀念之有？其令天下吏民，令到，出臨三日，皆釋服。」 |</v>
      </c>
    </row>
    <row r="4889" spans="1:44" hidden="1">
      <c r="A4889" s="1" t="s">
        <v>9351</v>
      </c>
      <c r="C4889" s="1">
        <v>1</v>
      </c>
      <c r="D4889" s="1" t="str">
        <f>"03840"</f>
        <v>03840</v>
      </c>
      <c r="E4889" s="1" t="s">
        <v>24</v>
      </c>
      <c r="F4889" s="1">
        <v>11</v>
      </c>
      <c r="G4889" s="1">
        <v>8</v>
      </c>
      <c r="H4889" s="1">
        <v>2</v>
      </c>
      <c r="I4889" s="1" t="s">
        <v>9352</v>
      </c>
      <c r="K4889" s="1" t="str">
        <f t="shared" si="306"/>
        <v>ㄌ</v>
      </c>
      <c r="L4889" s="1" t="str">
        <f t="shared" si="307"/>
        <v>ㄨ</v>
      </c>
      <c r="M4889" s="1" t="str">
        <f t="shared" si="305"/>
        <v>ㄣ</v>
      </c>
      <c r="P4889" s="1" t="s">
        <v>20</v>
      </c>
      <c r="R4889" s="1" t="s">
        <v>9353</v>
      </c>
      <c r="V4889" s="1" t="s">
        <v>9354</v>
      </c>
      <c r="W4889" s="1" t="s">
        <v>9355</v>
      </c>
      <c r="AR4889" s="1" t="str">
        <f t="shared" si="308"/>
        <v>| [ㄌㄨㄣ](ㄌㄨㄣ.md) | [掄](掄.md) |  | lūn | [動]
揮動、旋動。如：「掄刀」、「掄拳」。《兒女英雄傳》第十六回：「鄧九公聽了，掄起大巴掌來，把桌子拍的山響。」 |</v>
      </c>
    </row>
    <row r="4890" spans="1:44" hidden="1">
      <c r="A4890" s="1" t="s">
        <v>9356</v>
      </c>
      <c r="C4890" s="1">
        <v>1</v>
      </c>
      <c r="D4890" s="1" t="str">
        <f>"03841"</f>
        <v>03841</v>
      </c>
      <c r="E4890" s="1" t="s">
        <v>114</v>
      </c>
      <c r="F4890" s="1">
        <v>8</v>
      </c>
      <c r="G4890" s="1">
        <v>6</v>
      </c>
      <c r="H4890" s="1">
        <v>0</v>
      </c>
      <c r="I4890" s="1" t="s">
        <v>9357</v>
      </c>
      <c r="K4890" s="1" t="str">
        <f t="shared" si="306"/>
        <v>ㄌ</v>
      </c>
      <c r="L4890" s="1" t="str">
        <f t="shared" si="307"/>
        <v>ㄨ</v>
      </c>
      <c r="M4890" s="1" t="str">
        <f t="shared" si="305"/>
        <v>ㄣ</v>
      </c>
      <c r="P4890" s="1" t="s">
        <v>20</v>
      </c>
      <c r="R4890" s="1" t="s">
        <v>9358</v>
      </c>
      <c r="V4890" s="1" t="s">
        <v>9359</v>
      </c>
      <c r="AR4890" s="1" t="str">
        <f t="shared" si="308"/>
        <v>| [ㄌㄨㄣˊ](ㄌㄨㄣˊ.md) | [侖](侖.md) |  | lún | [名]
條理。 |</v>
      </c>
    </row>
    <row r="4891" spans="1:44" hidden="1">
      <c r="A4891" s="1" t="s">
        <v>9360</v>
      </c>
      <c r="C4891" s="1">
        <v>1</v>
      </c>
      <c r="D4891" s="1" t="str">
        <f>"03842"</f>
        <v>03842</v>
      </c>
      <c r="E4891" s="1" t="s">
        <v>114</v>
      </c>
      <c r="F4891" s="1">
        <v>10</v>
      </c>
      <c r="G4891" s="1">
        <v>8</v>
      </c>
      <c r="H4891" s="1">
        <v>0</v>
      </c>
      <c r="I4891" s="1" t="s">
        <v>9357</v>
      </c>
      <c r="K4891" s="1" t="str">
        <f t="shared" si="306"/>
        <v>ㄌ</v>
      </c>
      <c r="L4891" s="1" t="str">
        <f t="shared" si="307"/>
        <v>ㄨ</v>
      </c>
      <c r="M4891" s="1" t="str">
        <f t="shared" si="305"/>
        <v>ㄣ</v>
      </c>
      <c r="P4891" s="1" t="s">
        <v>20</v>
      </c>
      <c r="R4891" s="1" t="s">
        <v>9358</v>
      </c>
      <c r="V4891" s="1" t="s">
        <v>9361</v>
      </c>
      <c r="AR4891" s="1" t="str">
        <f t="shared" si="308"/>
        <v>| [ㄌㄨㄣˊ](ㄌㄨㄣˊ.md) | [倫](倫.md) |  | lún | [名]
1.常理，人與人之間的正常關係。《說文解字．人部》：「倫，道也。」如：「五倫」、「天倫之樂」。《孟子．滕文公上》：「人倫明於上，小民親於下。」
2.條理、順序。如：「語無倫次」。《書經．舜典》：「八音克諧，無相奪倫。」
3.輩、類。《文選．賈誼．過秦論》：「吳起、孫臏、帶佗、兒良、王廖、田忌、廉頗、趙奢之倫制其兵。」
4.姓。如唐代有倫元慶。
[動]
比較、匹敵。唐．陳子昂〈堂弟孜墓志銘〉：「實為時輩所高，而莫敢與倫也。」 |</v>
      </c>
    </row>
    <row r="4892" spans="1:44" hidden="1">
      <c r="A4892" s="1" t="s">
        <v>9362</v>
      </c>
      <c r="C4892" s="1">
        <v>1</v>
      </c>
      <c r="D4892" s="1" t="str">
        <f>"03843"</f>
        <v>03843</v>
      </c>
      <c r="E4892" s="1" t="s">
        <v>129</v>
      </c>
      <c r="F4892" s="1">
        <v>11</v>
      </c>
      <c r="G4892" s="1">
        <v>8</v>
      </c>
      <c r="H4892" s="1">
        <v>0</v>
      </c>
      <c r="I4892" s="1" t="s">
        <v>9357</v>
      </c>
      <c r="K4892" s="1" t="str">
        <f t="shared" si="306"/>
        <v>ㄌ</v>
      </c>
      <c r="L4892" s="1" t="str">
        <f t="shared" si="307"/>
        <v>ㄨ</v>
      </c>
      <c r="M4892" s="1" t="str">
        <f t="shared" si="305"/>
        <v>ㄣ</v>
      </c>
      <c r="P4892" s="1" t="s">
        <v>20</v>
      </c>
      <c r="R4892" s="1" t="s">
        <v>9358</v>
      </c>
      <c r="V4892" s="1" t="s">
        <v>9363</v>
      </c>
      <c r="AR4892" s="1" t="str">
        <f t="shared" si="308"/>
        <v>| [ㄌㄨㄣˊ](ㄌㄨㄣˊ.md) | [淪](淪.md) |  | lún | [名]
水面上的小波紋。《說文解字．水部》：「淪，小波為淪。」唐．韓愈〈送惠師〉詩：「崔崒沒雲表，陂陀浸湖淪。」
[動]
1.沉沒、隱沒。如：「沉淪」。《史記．卷一二．孝武本紀》：「周德衰，宋之社亡，鼎乃淪伏而不見。」
2.陷入、流落。如：「淪陷」、「淪落」。《淮南子．精神》：「淪於不測，入於無閒，以不同形相嬗也。」《文選．江淹．雜體詩．左記室》：「韓公淪賣藥，梅生隱市門。」
3.滅亡、喪失。如：「淪亡」、「淪喪」。唐．白居易〈贈樊著作〉詩：「每惜若人輩，身死名亦淪。」 |</v>
      </c>
    </row>
    <row r="4893" spans="1:44" hidden="1">
      <c r="A4893" s="1" t="s">
        <v>9351</v>
      </c>
      <c r="C4893" s="1">
        <v>1</v>
      </c>
      <c r="D4893" s="1" t="str">
        <f>"03844"</f>
        <v>03844</v>
      </c>
      <c r="E4893" s="1" t="s">
        <v>24</v>
      </c>
      <c r="F4893" s="1">
        <v>11</v>
      </c>
      <c r="G4893" s="1">
        <v>8</v>
      </c>
      <c r="H4893" s="1">
        <v>1</v>
      </c>
      <c r="I4893" s="1" t="s">
        <v>9357</v>
      </c>
      <c r="K4893" s="1" t="str">
        <f t="shared" si="306"/>
        <v>ㄌ</v>
      </c>
      <c r="L4893" s="1" t="str">
        <f t="shared" si="307"/>
        <v>ㄨ</v>
      </c>
      <c r="M4893" s="1" t="str">
        <f t="shared" si="305"/>
        <v>ㄣ</v>
      </c>
      <c r="P4893" s="1" t="s">
        <v>20</v>
      </c>
      <c r="R4893" s="1" t="s">
        <v>9358</v>
      </c>
      <c r="V4893" s="1" t="s">
        <v>9364</v>
      </c>
      <c r="W4893" s="1" t="s">
        <v>9365</v>
      </c>
      <c r="AR4893" s="1" t="str">
        <f t="shared" si="308"/>
        <v>| [ㄌㄨㄣˊ](ㄌㄨㄣˊ.md) | [掄](掄.md) |  | lún | [動]
選擇。《說文解字．手部》：「掄，擇也。」《國語．晉語八》：「君掄賢人之後，有常位於國者而立之。」 |</v>
      </c>
    </row>
    <row r="4894" spans="1:44" hidden="1">
      <c r="A4894" s="1" t="s">
        <v>9366</v>
      </c>
      <c r="C4894" s="1">
        <v>1</v>
      </c>
      <c r="D4894" s="1" t="str">
        <f>"03845"</f>
        <v>03845</v>
      </c>
      <c r="E4894" s="1" t="s">
        <v>190</v>
      </c>
      <c r="F4894" s="1">
        <v>11</v>
      </c>
      <c r="G4894" s="1">
        <v>8</v>
      </c>
      <c r="H4894" s="1">
        <v>0</v>
      </c>
      <c r="I4894" s="1" t="s">
        <v>9357</v>
      </c>
      <c r="K4894" s="1" t="str">
        <f t="shared" si="306"/>
        <v>ㄌ</v>
      </c>
      <c r="L4894" s="1" t="str">
        <f t="shared" si="307"/>
        <v>ㄨ</v>
      </c>
      <c r="M4894" s="1" t="str">
        <f t="shared" si="305"/>
        <v>ㄣ</v>
      </c>
      <c r="P4894" s="1" t="s">
        <v>20</v>
      </c>
      <c r="R4894" s="1" t="s">
        <v>9358</v>
      </c>
      <c r="V4894" s="1" t="s">
        <v>9367</v>
      </c>
      <c r="AR4894" s="1" t="str">
        <f t="shared" si="308"/>
        <v>| [ㄌㄨㄣˊ](ㄌㄨㄣˊ.md) | [崙](崙.md) |  | lún | 參見「崑崙」條。 |</v>
      </c>
    </row>
    <row r="4895" spans="1:44" hidden="1">
      <c r="A4895" s="1" t="s">
        <v>9368</v>
      </c>
      <c r="C4895" s="1">
        <v>1</v>
      </c>
      <c r="D4895" s="1" t="str">
        <f>"03846"</f>
        <v>03846</v>
      </c>
      <c r="E4895" s="1" t="s">
        <v>2557</v>
      </c>
      <c r="F4895" s="1">
        <v>11</v>
      </c>
      <c r="G4895" s="1">
        <v>8</v>
      </c>
      <c r="H4895" s="1">
        <v>0</v>
      </c>
      <c r="I4895" s="1" t="s">
        <v>9357</v>
      </c>
      <c r="K4895" s="1" t="str">
        <f t="shared" si="306"/>
        <v>ㄌ</v>
      </c>
      <c r="L4895" s="1" t="str">
        <f t="shared" si="307"/>
        <v>ㄨ</v>
      </c>
      <c r="M4895" s="1" t="str">
        <f t="shared" si="305"/>
        <v>ㄣ</v>
      </c>
      <c r="P4895" s="1" t="s">
        <v>20</v>
      </c>
      <c r="R4895" s="1" t="s">
        <v>9358</v>
      </c>
      <c r="V4895" s="1" t="s">
        <v>9369</v>
      </c>
      <c r="AR4895" s="1" t="str">
        <f t="shared" si="308"/>
        <v>| [ㄌㄨㄣˊ](ㄌㄨㄣˊ.md) | [圇](圇.md) |  | lún | 參見「囫圇」條。 |</v>
      </c>
    </row>
    <row r="4896" spans="1:44" hidden="1">
      <c r="A4896" s="1" t="s">
        <v>9370</v>
      </c>
      <c r="C4896" s="1">
        <v>1</v>
      </c>
      <c r="D4896" s="1" t="str">
        <f>"03847"</f>
        <v>03847</v>
      </c>
      <c r="E4896" s="1" t="s">
        <v>336</v>
      </c>
      <c r="F4896" s="1">
        <v>12</v>
      </c>
      <c r="G4896" s="1">
        <v>8</v>
      </c>
      <c r="H4896" s="1">
        <v>0</v>
      </c>
      <c r="I4896" s="1" t="s">
        <v>9357</v>
      </c>
      <c r="K4896" s="1" t="str">
        <f t="shared" si="306"/>
        <v>ㄌ</v>
      </c>
      <c r="L4896" s="1" t="str">
        <f t="shared" si="307"/>
        <v>ㄨ</v>
      </c>
      <c r="M4896" s="1" t="str">
        <f t="shared" si="305"/>
        <v>ㄣ</v>
      </c>
      <c r="P4896" s="1" t="s">
        <v>20</v>
      </c>
      <c r="R4896" s="1" t="s">
        <v>9358</v>
      </c>
      <c r="V4896" s="1" t="s">
        <v>9371</v>
      </c>
      <c r="AR4896" s="1" t="str">
        <f t="shared" si="308"/>
        <v>| [ㄌㄨㄣˊ](ㄌㄨㄣˊ.md) | [㷍](㷍.md) |  | lún | [名]
有機化合物「苯」的舊稱。 |</v>
      </c>
    </row>
    <row r="4897" spans="1:44" hidden="1">
      <c r="A4897" s="1" t="s">
        <v>9372</v>
      </c>
      <c r="C4897" s="1">
        <v>1</v>
      </c>
      <c r="D4897" s="1" t="str">
        <f>"03848"</f>
        <v>03848</v>
      </c>
      <c r="E4897" s="1" t="s">
        <v>725</v>
      </c>
      <c r="F4897" s="1">
        <v>14</v>
      </c>
      <c r="G4897" s="1">
        <v>8</v>
      </c>
      <c r="H4897" s="1">
        <v>1</v>
      </c>
      <c r="I4897" s="1" t="s">
        <v>9357</v>
      </c>
      <c r="K4897" s="1" t="str">
        <f t="shared" si="306"/>
        <v>ㄌ</v>
      </c>
      <c r="L4897" s="1" t="str">
        <f t="shared" si="307"/>
        <v>ㄨ</v>
      </c>
      <c r="M4897" s="1" t="str">
        <f t="shared" si="305"/>
        <v>ㄣ</v>
      </c>
      <c r="P4897" s="1" t="s">
        <v>20</v>
      </c>
      <c r="R4897" s="1" t="s">
        <v>9358</v>
      </c>
      <c r="V4897" s="1" t="s">
        <v>9373</v>
      </c>
      <c r="W4897" s="1" t="s">
        <v>9374</v>
      </c>
      <c r="AR4897" s="1" t="str">
        <f t="shared" si="308"/>
        <v>| [ㄌㄨㄣˊ](ㄌㄨㄣˊ.md) | [綸](綸.md) |  | lún | [名]
1.青色的絲帶。《說文解字．糸部》：「綸，糾青絲綬也。」《後漢書．卷四九．仲長統傳》：「身無半通青綸之命，而竊三辰龍章之服。」
2.釣魚用的絲線。戰國楚．宋玉〈釣賦〉：「所謂善釣者，其竿非竹，其綸非絲。」南朝陳．陰鏗〈江津送劉光祿不及〉詩：「林寒正下葉，釣晚欲收綸。」
3.皇帝的旨意。唐．王勃〈春思賦〉：「朝昇玉署調天紀，夕憩金閨奉帝綸。」
4.姓。如三國時魏國有綸直。 |</v>
      </c>
    </row>
    <row r="4898" spans="1:44" hidden="1">
      <c r="A4898" s="1" t="s">
        <v>9375</v>
      </c>
      <c r="C4898" s="1">
        <v>1</v>
      </c>
      <c r="D4898" s="1" t="str">
        <f>"03849"</f>
        <v>03849</v>
      </c>
      <c r="E4898" s="1" t="s">
        <v>331</v>
      </c>
      <c r="F4898" s="1">
        <v>15</v>
      </c>
      <c r="G4898" s="1">
        <v>8</v>
      </c>
      <c r="H4898" s="1">
        <v>2</v>
      </c>
      <c r="I4898" s="1" t="s">
        <v>9357</v>
      </c>
      <c r="K4898" s="1" t="str">
        <f t="shared" si="306"/>
        <v>ㄌ</v>
      </c>
      <c r="L4898" s="1" t="str">
        <f t="shared" si="307"/>
        <v>ㄨ</v>
      </c>
      <c r="M4898" s="1" t="str">
        <f t="shared" si="305"/>
        <v>ㄣ</v>
      </c>
      <c r="P4898" s="1" t="s">
        <v>20</v>
      </c>
      <c r="R4898" s="1" t="s">
        <v>9358</v>
      </c>
      <c r="V4898" s="1" t="s">
        <v>9376</v>
      </c>
      <c r="W4898" s="1" t="s">
        <v>9377</v>
      </c>
      <c r="AR4898" s="1" t="str">
        <f t="shared" si="308"/>
        <v>| [ㄌㄨㄣˊ](ㄌㄨㄣˊ.md) | [論](論.md) |  | lún | [名]
1.《論語》的簡稱。如：「論孟導讀」。
2.姓。如唐代有論惟明。 |</v>
      </c>
    </row>
    <row r="4899" spans="1:44" hidden="1">
      <c r="A4899" s="1" t="s">
        <v>9378</v>
      </c>
      <c r="C4899" s="1">
        <v>1</v>
      </c>
      <c r="D4899" s="1" t="str">
        <f>"03850"</f>
        <v>03850</v>
      </c>
      <c r="E4899" s="1" t="s">
        <v>71</v>
      </c>
      <c r="F4899" s="1">
        <v>15</v>
      </c>
      <c r="G4899" s="1">
        <v>8</v>
      </c>
      <c r="H4899" s="1">
        <v>0</v>
      </c>
      <c r="I4899" s="1" t="s">
        <v>9357</v>
      </c>
      <c r="K4899" s="1" t="str">
        <f t="shared" si="306"/>
        <v>ㄌ</v>
      </c>
      <c r="L4899" s="1" t="str">
        <f t="shared" si="307"/>
        <v>ㄨ</v>
      </c>
      <c r="M4899" s="1" t="str">
        <f t="shared" si="305"/>
        <v>ㄣ</v>
      </c>
      <c r="P4899" s="1" t="s">
        <v>20</v>
      </c>
      <c r="R4899" s="1" t="s">
        <v>9358</v>
      </c>
      <c r="V4899" s="1" t="s">
        <v>9379</v>
      </c>
      <c r="AR4899" s="1" t="str">
        <f t="shared" si="308"/>
        <v>| [ㄌㄨㄣˊ](ㄌㄨㄣˊ.md) | [輪](輪.md) |  | lún | [名]_x000D_
1.裝在車、船或機器上可供旋轉運作的圓形物體。如：「車輪」、「齒輪」、「滑輪」、「滾輪」。_x000D_
2.輪船的簡稱。如：「渡輪」、「客輪」、「貨輪」、「油輪」。_x000D_
3.周圍、邊緣。如：「耳輪」、「輪廓」。《南史．卷四六．列傳．曹武》：「晚節在雍州，致見錢七千萬，皆厚輪大郭。」_x000D_
4.電影排演的次序。如：「首輪電影」。_x000D_
5.量詞：(1)計算時間的單位。十二年為一輪。如：「他倆的年紀差了一輪。」(2)計算圓形物體的單位，如日、月。《封神演義》第六三回：「門依雙輪日月，照耀一望山川。」《儒林外史》第四一回：「過了一回，回頭看，見一輪明月升上來，照得滿船雪亮。」_x000D_
6.姓。如春秋時齊國有輪扁。_x000D_
[動]_x000D_
依次更替轉換。如：「輪班」。《紅樓夢》第七七回：「這會子輪到自己用，反倒各處求人去了。」_x000D_
[形]_x000D_
高大。如：「美輪美奐」。 |</v>
      </c>
    </row>
    <row r="4900" spans="1:44" hidden="1">
      <c r="A4900" s="1" t="s">
        <v>9375</v>
      </c>
      <c r="C4900" s="1">
        <v>1</v>
      </c>
      <c r="D4900" s="1" t="str">
        <f>"03851"</f>
        <v>03851</v>
      </c>
      <c r="E4900" s="1" t="s">
        <v>331</v>
      </c>
      <c r="F4900" s="1">
        <v>15</v>
      </c>
      <c r="G4900" s="1">
        <v>8</v>
      </c>
      <c r="H4900" s="1">
        <v>1</v>
      </c>
      <c r="I4900" s="1" t="s">
        <v>9380</v>
      </c>
      <c r="K4900" s="1" t="str">
        <f t="shared" si="306"/>
        <v>ㄌ</v>
      </c>
      <c r="L4900" s="1" t="str">
        <f t="shared" si="307"/>
        <v>ㄨ</v>
      </c>
      <c r="M4900" s="1" t="str">
        <f t="shared" si="305"/>
        <v>ㄣ</v>
      </c>
      <c r="P4900" s="1" t="s">
        <v>20</v>
      </c>
      <c r="R4900" s="1" t="s">
        <v>9381</v>
      </c>
      <c r="V4900" s="1" t="s">
        <v>9382</v>
      </c>
      <c r="W4900" s="1" t="s">
        <v>9383</v>
      </c>
      <c r="AR4900" s="1" t="str">
        <f t="shared" si="308"/>
        <v>| [ㄌㄨㄣˋ](ㄌㄨㄣˋ.md) | [論](論.md) |  | lùn | [動]_x000D_
1.分析、研議。如：「談論」、「議論」、「討論」。三國蜀．諸葛亮〈出師表〉：「先帝在時，每與臣論此事，未嘗不歎息痛恨於桓靈也。」_x000D_
2.評定、推斷。如：「論罪」、「以小論大」。《史記．卷七．項羽本紀》：「宋義論武信君之軍必敗，居數日，軍果敗。」_x000D_
3.敘述、陳述。如：「一概而論」、「相提並論」。《淮南子．脩務》：「書傳之微者，唯聖人能論之。」_x000D_
4.依據、按照。如：「論理」、「論件計酬」。《史記．卷五三．蕭相國世家》：「漢五年，既殺項羽定天下，論功行封。」_x000D_
5.比作、視同、處理。如：「以棄權論」、「以作廢論」、「告訴乃論」。_x000D_
6.顧及、考慮。如：「不論是非」、「無論如何」。唐．李賀〈公莫舞歌〉：「漢王今日頒秦印，絕臏刳腸臣不論。」_x000D_
[名]_x000D_
1.主張、學說。如：「相對論」。宋．沈括《夢溪筆談．卷二六．藥議》：「世俗似此之論甚多，皆謬說。」_x000D_
2.文體名。主要以對人或事的議論為內容。南朝梁．劉勰《文心雕龍．論說》：「論也者，彌綸群言，而精研一理者也。」 |</v>
      </c>
    </row>
    <row r="4901" spans="1:44" hidden="1">
      <c r="A4901" s="1" t="s">
        <v>8927</v>
      </c>
      <c r="C4901" s="1">
        <v>1</v>
      </c>
      <c r="D4901" s="1" t="str">
        <f>"03654"</f>
        <v>03654</v>
      </c>
      <c r="E4901" s="1" t="s">
        <v>8928</v>
      </c>
      <c r="F4901" s="1">
        <v>7</v>
      </c>
      <c r="G4901" s="1">
        <v>1</v>
      </c>
      <c r="H4901" s="1">
        <v>0</v>
      </c>
      <c r="I4901" s="1" t="s">
        <v>8929</v>
      </c>
      <c r="K4901" s="1" t="str">
        <f t="shared" si="306"/>
        <v>ㄌ</v>
      </c>
      <c r="L4901" s="1" t="str">
        <f t="shared" si="307"/>
        <v>ㄧ</v>
      </c>
      <c r="M4901" s="1" t="str">
        <f t="shared" si="305"/>
        <v>ㄤ</v>
      </c>
      <c r="P4901" s="1" t="s">
        <v>20</v>
      </c>
      <c r="R4901" s="1" t="s">
        <v>8930</v>
      </c>
      <c r="V4901" s="1" t="s">
        <v>8931</v>
      </c>
      <c r="AR4901" s="1" t="str">
        <f t="shared" si="308"/>
        <v>| [ㄌㄧㄤˊ](ㄌㄧㄤˊ.md) | [良](良.md) |  | liáng | [形]
1.善、美好。如：「良師」、「優良」、「良宵」。《楚辭．屈原．九歌．東皇太一》：「吉日兮辰良，穆將愉兮上皇。」
2.賢明。如：「賢良」。唐．韓愈〈原毀〉：「嘗試語於眾曰：『某良士，某良士。』其應者必其人之與也。」
3.天生的、本能的。如：「良知」、「良能」。
[名]
1.善良的人。如：「除暴安良」。《史記．卷一〇六．吳王濞傳》：「誅罰良善，日以益甚。」
2.姓。如春秋時鄭國有良霄。
[副]
1.確實、果然，表示肯定。《史記．卷四三．趙世家》：「諸將以為趙氏孤兒良已死，皆喜。」《文選．曹丕．與吳質書》：「古人思炳燭夜遊，良有以也。」
2.很、甚。如：「良久」、「感觸良多」。《警世通言．卷三二．杜十娘怒沉百寶箱》：「仁兄所見良是。」 |</v>
      </c>
    </row>
    <row r="4902" spans="1:44" hidden="1">
      <c r="A4902" s="1" t="s">
        <v>8932</v>
      </c>
      <c r="C4902" s="1">
        <v>1</v>
      </c>
      <c r="D4902" s="1" t="str">
        <f>"03655"</f>
        <v>03655</v>
      </c>
      <c r="E4902" s="1" t="s">
        <v>114</v>
      </c>
      <c r="F4902" s="1">
        <v>9</v>
      </c>
      <c r="G4902" s="1">
        <v>7</v>
      </c>
      <c r="H4902" s="1">
        <v>0</v>
      </c>
      <c r="I4902" s="1" t="s">
        <v>8929</v>
      </c>
      <c r="K4902" s="1" t="str">
        <f t="shared" si="306"/>
        <v>ㄌ</v>
      </c>
      <c r="L4902" s="1" t="str">
        <f t="shared" si="307"/>
        <v>ㄧ</v>
      </c>
      <c r="M4902" s="1" t="str">
        <f t="shared" si="305"/>
        <v>ㄤ</v>
      </c>
      <c r="P4902" s="1" t="s">
        <v>20</v>
      </c>
      <c r="R4902" s="1" t="s">
        <v>8930</v>
      </c>
      <c r="V4902" s="1" t="s">
        <v>8933</v>
      </c>
      <c r="AR4902" s="1" t="str">
        <f t="shared" si="308"/>
        <v>| [ㄌㄧㄤˊ](ㄌㄧㄤˊ.md) | [俍](俍.md) |  | liáng | [名]
良工。《集韻．平聲．陽韻》：「俍，良工也。」
[形]
好、善。《莊子．庚桑楚》：「夫工乎天而俍乎人者，唯全人能之。」 |</v>
      </c>
    </row>
    <row r="4903" spans="1:44" hidden="1">
      <c r="A4903" s="1" t="s">
        <v>8234</v>
      </c>
      <c r="C4903" s="1">
        <v>1</v>
      </c>
      <c r="D4903" s="1" t="str">
        <f>"03656"</f>
        <v>03656</v>
      </c>
      <c r="E4903" s="1" t="s">
        <v>37</v>
      </c>
      <c r="F4903" s="1">
        <v>11</v>
      </c>
      <c r="G4903" s="1">
        <v>7</v>
      </c>
      <c r="H4903" s="1">
        <v>2</v>
      </c>
      <c r="I4903" s="1" t="s">
        <v>8929</v>
      </c>
      <c r="K4903" s="1" t="str">
        <f t="shared" si="306"/>
        <v>ㄌ</v>
      </c>
      <c r="L4903" s="1" t="str">
        <f t="shared" si="307"/>
        <v>ㄧ</v>
      </c>
      <c r="M4903" s="1" t="str">
        <f t="shared" si="305"/>
        <v>ㄤ</v>
      </c>
      <c r="P4903" s="1" t="s">
        <v>20</v>
      </c>
      <c r="R4903" s="1" t="s">
        <v>8930</v>
      </c>
      <c r="V4903" s="1" t="s">
        <v>8934</v>
      </c>
      <c r="W4903" s="1" t="s">
        <v>8935</v>
      </c>
      <c r="AR4903" s="1" t="str">
        <f t="shared" si="308"/>
        <v>| [ㄌㄧㄤˊ](ㄌㄧㄤˊ.md) | [莨](莨.md) |  | liáng | 參見「薯莨」條。 |</v>
      </c>
    </row>
    <row r="4904" spans="1:44" hidden="1">
      <c r="A4904" s="1" t="s">
        <v>8936</v>
      </c>
      <c r="C4904" s="1">
        <v>1</v>
      </c>
      <c r="D4904" s="1" t="str">
        <f>"03657"</f>
        <v>03657</v>
      </c>
      <c r="E4904" s="1" t="s">
        <v>77</v>
      </c>
      <c r="F4904" s="1">
        <v>14</v>
      </c>
      <c r="G4904" s="1">
        <v>7</v>
      </c>
      <c r="H4904" s="1">
        <v>1</v>
      </c>
      <c r="I4904" s="1" t="s">
        <v>8929</v>
      </c>
      <c r="K4904" s="1" t="str">
        <f t="shared" si="306"/>
        <v>ㄌ</v>
      </c>
      <c r="L4904" s="1" t="str">
        <f t="shared" si="307"/>
        <v>ㄧ</v>
      </c>
      <c r="M4904" s="1" t="str">
        <f t="shared" si="305"/>
        <v>ㄤ</v>
      </c>
      <c r="P4904" s="1" t="s">
        <v>20</v>
      </c>
      <c r="R4904" s="1" t="s">
        <v>8930</v>
      </c>
      <c r="V4904" s="1" t="s">
        <v>8937</v>
      </c>
      <c r="W4904" s="1" t="s">
        <v>8938</v>
      </c>
      <c r="AR4904" s="1" t="str">
        <f t="shared" si="308"/>
        <v>| [ㄌㄧㄤˊ](ㄌㄧㄤˊ.md) | [踉](踉.md) |  | liáng | 參見「跳踉」條。 |</v>
      </c>
    </row>
    <row r="4905" spans="1:44" hidden="1">
      <c r="A4905" s="1" t="s">
        <v>8939</v>
      </c>
      <c r="C4905" s="1">
        <v>1</v>
      </c>
      <c r="D4905" s="1" t="str">
        <f>"03658"</f>
        <v>03658</v>
      </c>
      <c r="E4905" s="1" t="s">
        <v>367</v>
      </c>
      <c r="F4905" s="1">
        <v>9</v>
      </c>
      <c r="G4905" s="1">
        <v>7</v>
      </c>
      <c r="H4905" s="1">
        <v>2</v>
      </c>
      <c r="I4905" s="1" t="s">
        <v>8929</v>
      </c>
      <c r="K4905" s="1" t="str">
        <f t="shared" si="306"/>
        <v>ㄌ</v>
      </c>
      <c r="L4905" s="1" t="str">
        <f t="shared" si="307"/>
        <v>ㄧ</v>
      </c>
      <c r="M4905" s="1" t="str">
        <f t="shared" si="305"/>
        <v>ㄤ</v>
      </c>
      <c r="P4905" s="1" t="s">
        <v>20</v>
      </c>
      <c r="R4905" s="1" t="s">
        <v>8930</v>
      </c>
      <c r="V4905" s="1" t="s">
        <v>8940</v>
      </c>
      <c r="W4905" s="1" t="s">
        <v>8941</v>
      </c>
      <c r="AR4905" s="1" t="str">
        <f t="shared" si="308"/>
        <v>| [ㄌㄧㄤˊ](ㄌㄧㄤˊ.md) | [亮](亮.md) |  | liáng | 參見「亮陰」條。 |</v>
      </c>
    </row>
    <row r="4906" spans="1:44" hidden="1">
      <c r="A4906" s="1" t="s">
        <v>8942</v>
      </c>
      <c r="C4906" s="1">
        <v>1</v>
      </c>
      <c r="D4906" s="1" t="str">
        <f>"03659"</f>
        <v>03659</v>
      </c>
      <c r="E4906" s="1" t="s">
        <v>129</v>
      </c>
      <c r="F4906" s="1">
        <v>11</v>
      </c>
      <c r="G4906" s="1">
        <v>8</v>
      </c>
      <c r="H4906" s="1">
        <v>1</v>
      </c>
      <c r="I4906" s="1" t="s">
        <v>8929</v>
      </c>
      <c r="K4906" s="1" t="str">
        <f t="shared" si="306"/>
        <v>ㄌ</v>
      </c>
      <c r="L4906" s="1" t="str">
        <f t="shared" si="307"/>
        <v>ㄧ</v>
      </c>
      <c r="M4906" s="1" t="str">
        <f t="shared" si="305"/>
        <v>ㄤ</v>
      </c>
      <c r="P4906" s="1" t="s">
        <v>20</v>
      </c>
      <c r="R4906" s="1" t="s">
        <v>8930</v>
      </c>
      <c r="V4906" s="1" t="s">
        <v>8943</v>
      </c>
      <c r="W4906" s="1" t="s">
        <v>8944</v>
      </c>
      <c r="AR4906" s="1" t="str">
        <f t="shared" si="308"/>
        <v>| [ㄌㄧㄤˊ](ㄌㄧㄤˊ.md) | [涼](涼.md) |  | liáng | [形]
1.冷、微寒。如：「涼水」、「涼風」。《詩經．邶風．北風》：「北風其涼，雨雪其雱。」三國魏．曹丕〈燕歌行〉：「秋風蕭瑟天氣涼，草木搖落露為霜。」
2.冷清、不熱鬧。如：「荒涼」。《金史．卷八八．列傳．移剌道》：「咸平卿故鄉，地涼事少，老者所宜。」
3.惆悵、悲苦。如：「淒涼」。南朝梁．江淹〈別賦〉：「巡曾楹而空揜，撫錦幕而虛涼。」
4.淡薄、不善。如：「世態炎涼」。《左傳．莊公三十二年》：「虢多涼德，其何土之能得。」
[動]
失望、灰心。《兒女英雄傳》第一回：「登時倒抽了一口氣，涼了半截。」
[名]
1.感冒、風寒。如：「受涼」。《紅樓夢》第一〇九回：「就怕他也像晴雯著了涼。」
2.朝代名。東晉十六國中，先後據有今大陸地區甘肅之地者，國號皆稱為「涼」，有前涼、後涼等。
3.姓。如三國時魏國有涼茂。 |</v>
      </c>
    </row>
    <row r="4907" spans="1:44" hidden="1">
      <c r="A4907" s="1" t="s">
        <v>8945</v>
      </c>
      <c r="C4907" s="1">
        <v>1</v>
      </c>
      <c r="D4907" s="1" t="str">
        <f>"03660"</f>
        <v>03660</v>
      </c>
      <c r="E4907" s="1" t="s">
        <v>331</v>
      </c>
      <c r="F4907" s="1">
        <v>15</v>
      </c>
      <c r="G4907" s="1">
        <v>8</v>
      </c>
      <c r="H4907" s="1">
        <v>2</v>
      </c>
      <c r="I4907" s="1" t="s">
        <v>8929</v>
      </c>
      <c r="K4907" s="1" t="str">
        <f t="shared" si="306"/>
        <v>ㄌ</v>
      </c>
      <c r="L4907" s="1" t="str">
        <f t="shared" si="307"/>
        <v>ㄧ</v>
      </c>
      <c r="M4907" s="1" t="str">
        <f t="shared" si="305"/>
        <v>ㄤ</v>
      </c>
      <c r="P4907" s="1" t="s">
        <v>20</v>
      </c>
      <c r="R4907" s="1" t="s">
        <v>8930</v>
      </c>
      <c r="V4907" s="1" t="s">
        <v>8946</v>
      </c>
      <c r="W4907" s="1" t="s">
        <v>8947</v>
      </c>
      <c r="AR4907" s="1" t="str">
        <f t="shared" si="308"/>
        <v>| [ㄌㄧㄤˊ](ㄌㄧㄤˊ.md) | [諒](諒.md) |  | liáng | 參見「諒陰」條。 |</v>
      </c>
    </row>
    <row r="4908" spans="1:44" hidden="1">
      <c r="A4908" s="1" t="s">
        <v>8948</v>
      </c>
      <c r="C4908" s="1">
        <v>1</v>
      </c>
      <c r="D4908" s="1" t="str">
        <f>"03661"</f>
        <v>03661</v>
      </c>
      <c r="E4908" s="1" t="s">
        <v>71</v>
      </c>
      <c r="F4908" s="1">
        <v>15</v>
      </c>
      <c r="G4908" s="1">
        <v>8</v>
      </c>
      <c r="H4908" s="1">
        <v>0</v>
      </c>
      <c r="I4908" s="1" t="s">
        <v>8929</v>
      </c>
      <c r="K4908" s="1" t="str">
        <f t="shared" si="306"/>
        <v>ㄌ</v>
      </c>
      <c r="L4908" s="1" t="str">
        <f t="shared" si="307"/>
        <v>ㄧ</v>
      </c>
      <c r="M4908" s="1" t="str">
        <f t="shared" si="305"/>
        <v>ㄤ</v>
      </c>
      <c r="P4908" s="1" t="s">
        <v>20</v>
      </c>
      <c r="R4908" s="1" t="s">
        <v>8930</v>
      </c>
      <c r="V4908" s="1" t="s">
        <v>8949</v>
      </c>
      <c r="AR4908" s="1" t="str">
        <f t="shared" si="308"/>
        <v>| [ㄌㄧㄤˊ](ㄌㄧㄤˊ.md) | [輬](輬.md) |  | liáng | 參見「轀輬」條。 |</v>
      </c>
    </row>
    <row r="4909" spans="1:44" hidden="1">
      <c r="A4909" s="1" t="s">
        <v>8950</v>
      </c>
      <c r="C4909" s="1">
        <v>1</v>
      </c>
      <c r="D4909" s="1" t="str">
        <f>"03662"</f>
        <v>03662</v>
      </c>
      <c r="E4909" s="1" t="s">
        <v>139</v>
      </c>
      <c r="F4909" s="1">
        <v>11</v>
      </c>
      <c r="G4909" s="1">
        <v>7</v>
      </c>
      <c r="H4909" s="1">
        <v>0</v>
      </c>
      <c r="I4909" s="1" t="s">
        <v>8929</v>
      </c>
      <c r="K4909" s="1" t="str">
        <f t="shared" si="306"/>
        <v>ㄌ</v>
      </c>
      <c r="L4909" s="1" t="str">
        <f t="shared" si="307"/>
        <v>ㄧ</v>
      </c>
      <c r="M4909" s="1" t="str">
        <f t="shared" si="305"/>
        <v>ㄤ</v>
      </c>
      <c r="P4909" s="1" t="s">
        <v>20</v>
      </c>
      <c r="R4909" s="1" t="s">
        <v>8930</v>
      </c>
      <c r="V4909" s="1" t="s">
        <v>8951</v>
      </c>
      <c r="AR4909" s="1" t="str">
        <f t="shared" si="308"/>
        <v>| [ㄌㄧㄤˊ](ㄌㄧㄤˊ.md) | [梁](梁.md) |  | liáng | [名]
1.橋。如：「橋梁」。唐．杜甫〈自京赴奉先縣詠懷五百字〉詩：「河梁幸未拆，枝撐聲窸窣。」
2.架在柱上，用來支撐屋頂的橫木。如：「棟梁」、「餘音繞梁」。《後漢書．卷六二．陳寔傳》：「時歲荒民儉，有盜夜入其室，止於梁上。」
3.物體隆起的部分。如：「脊梁」、「鼻梁」、「山梁」。《文明小史》第九回：「（傅知府）穿了一件家人們的長褂子，一雙雙梁的鞋子，不坐轎子。」
4.朝代名：(1)南朝蕭衍所建（西元502～556）。建都建康。參見「南朝」條。(2)見「後梁」條。
5.姓。如春秋時晉國有梁益。 |</v>
      </c>
    </row>
    <row r="4910" spans="1:44" hidden="1">
      <c r="A4910" s="1" t="s">
        <v>8952</v>
      </c>
      <c r="C4910" s="1">
        <v>1</v>
      </c>
      <c r="D4910" s="1" t="str">
        <f>"03663"</f>
        <v>03663</v>
      </c>
      <c r="E4910" s="1" t="s">
        <v>46</v>
      </c>
      <c r="F4910" s="1">
        <v>13</v>
      </c>
      <c r="G4910" s="1">
        <v>7</v>
      </c>
      <c r="H4910" s="1">
        <v>0</v>
      </c>
      <c r="I4910" s="1" t="s">
        <v>8929</v>
      </c>
      <c r="K4910" s="1" t="str">
        <f t="shared" si="306"/>
        <v>ㄌ</v>
      </c>
      <c r="L4910" s="1" t="str">
        <f t="shared" si="307"/>
        <v>ㄧ</v>
      </c>
      <c r="M4910" s="1" t="str">
        <f t="shared" si="305"/>
        <v>ㄤ</v>
      </c>
      <c r="P4910" s="1" t="s">
        <v>20</v>
      </c>
      <c r="R4910" s="1" t="s">
        <v>8930</v>
      </c>
      <c r="V4910" s="1" t="s">
        <v>8953</v>
      </c>
      <c r="AR4910" s="1" t="str">
        <f t="shared" si="308"/>
        <v>| [ㄌㄧㄤˊ](ㄌㄧㄤˊ.md) | [粱](粱.md) |  | liáng | [名]
1.精美的食物。《左傳．哀公十三年》：「粱則無矣，麤則有之。」唐．孔穎達．正義：「食以稻粱為貴，故以粱表精。」唐．杜甫〈醉時歌〉：「甲第紛紛厭粱肉，廣文先生飯不足。」
2.植物名。禾本科狗尾草屬，「小米」、「穀子」之古稱，參見「小米」、「穀子」條。 |</v>
      </c>
    </row>
    <row r="4911" spans="1:44" hidden="1">
      <c r="A4911" s="1" t="s">
        <v>8954</v>
      </c>
      <c r="C4911" s="1">
        <v>1</v>
      </c>
      <c r="D4911" s="1" t="str">
        <f>"03664"</f>
        <v>03664</v>
      </c>
      <c r="E4911" s="1" t="s">
        <v>8366</v>
      </c>
      <c r="F4911" s="1">
        <v>12</v>
      </c>
      <c r="G4911" s="1">
        <v>5</v>
      </c>
      <c r="H4911" s="1">
        <v>1</v>
      </c>
      <c r="I4911" s="1" t="s">
        <v>8929</v>
      </c>
      <c r="K4911" s="1" t="str">
        <f t="shared" si="306"/>
        <v>ㄌ</v>
      </c>
      <c r="L4911" s="1" t="str">
        <f t="shared" si="307"/>
        <v>ㄧ</v>
      </c>
      <c r="M4911" s="1" t="str">
        <f t="shared" si="305"/>
        <v>ㄤ</v>
      </c>
      <c r="P4911" s="1" t="s">
        <v>20</v>
      </c>
      <c r="R4911" s="1" t="s">
        <v>8930</v>
      </c>
      <c r="V4911" s="1" t="s">
        <v>8955</v>
      </c>
      <c r="W4911" s="1" t="s">
        <v>8956</v>
      </c>
      <c r="AR4911" s="1" t="str">
        <f t="shared" si="308"/>
        <v>| [ㄌㄧㄤˊ](ㄌㄧㄤˊ.md) | [量](量.md) |  | liáng | [動]
1.以工具來計算物體的長短、大小或其他性質。如：「量身高」、「量溫度」、「量體重」。《莊子．胠篋》：「為之斗斛以量之，則並與斗斛而竊之。」
2.商酌、考慮。如：「考量」。《後漢書．卷六八．許劭傳》：「其多所裁量若此。」宋．朱熹〈有懷南軒老兄呈伯崇擇之二友〉詩二首之一：「惟應微密處，猶欲細商量。」 |</v>
      </c>
    </row>
    <row r="4912" spans="1:44" hidden="1">
      <c r="A4912" s="1" t="s">
        <v>8957</v>
      </c>
      <c r="C4912" s="1">
        <v>1</v>
      </c>
      <c r="D4912" s="1" t="str">
        <f>"03665"</f>
        <v>03665</v>
      </c>
      <c r="E4912" s="1" t="s">
        <v>46</v>
      </c>
      <c r="F4912" s="1">
        <v>18</v>
      </c>
      <c r="G4912" s="1">
        <v>12</v>
      </c>
      <c r="H4912" s="1">
        <v>0</v>
      </c>
      <c r="I4912" s="1" t="s">
        <v>8929</v>
      </c>
      <c r="K4912" s="1" t="str">
        <f t="shared" si="306"/>
        <v>ㄌ</v>
      </c>
      <c r="L4912" s="1" t="str">
        <f t="shared" si="307"/>
        <v>ㄧ</v>
      </c>
      <c r="M4912" s="1" t="str">
        <f t="shared" si="305"/>
        <v>ㄤ</v>
      </c>
      <c r="P4912" s="1" t="s">
        <v>20</v>
      </c>
      <c r="R4912" s="1" t="s">
        <v>8930</v>
      </c>
      <c r="V4912" s="1" t="s">
        <v>8958</v>
      </c>
      <c r="AR4912" s="1" t="str">
        <f t="shared" si="308"/>
        <v>| [ㄌㄧㄤˊ](ㄌㄧㄤˊ.md) | [糧](糧.md) |  | liáng | [名]
1.穀類食物。如：「乾糧」、「雜糧」。《周禮．地官．廩人》：「凡邦有會同師役之事，則治其糧與其食。」《新唐書．卷一．高祖本紀》：「煬帝征遼東，遣高祖督運糧於懷遠鎮。」
2.賦稅、田賦。如：「納糧」。《明史．卷七八．食貨志二》：「瀅對以太祖嘗折納稅糧於陝西、浙江，民以為便。」 |</v>
      </c>
    </row>
    <row r="4913" spans="1:44" hidden="1">
      <c r="A4913" s="1" t="s">
        <v>8959</v>
      </c>
      <c r="C4913" s="1">
        <v>1</v>
      </c>
      <c r="D4913" s="1" t="str">
        <f>"03666"</f>
        <v>03666</v>
      </c>
      <c r="E4913" s="1" t="s">
        <v>7132</v>
      </c>
      <c r="F4913" s="1">
        <v>8</v>
      </c>
      <c r="G4913" s="1">
        <v>6</v>
      </c>
      <c r="H4913" s="1">
        <v>0</v>
      </c>
      <c r="I4913" s="1" t="s">
        <v>8960</v>
      </c>
      <c r="K4913" s="1" t="str">
        <f t="shared" si="306"/>
        <v>ㄌ</v>
      </c>
      <c r="L4913" s="1" t="str">
        <f t="shared" si="307"/>
        <v>ㄧ</v>
      </c>
      <c r="M4913" s="1" t="str">
        <f t="shared" si="305"/>
        <v>ㄤ</v>
      </c>
      <c r="P4913" s="1" t="s">
        <v>20</v>
      </c>
      <c r="R4913" s="1" t="s">
        <v>8961</v>
      </c>
      <c r="V4913" s="1" t="s">
        <v>8962</v>
      </c>
      <c r="AR4913" s="1" t="str">
        <f t="shared" si="308"/>
        <v>| [ㄌㄧㄤˇ](ㄌㄧㄤˇ.md) | [兩](兩.md) |  | liǎng | [名]
1.量詞：(1)計算重量的單位。公制一兩等於十分之一公斤；一臺兩等於十六分之一臺斤。(2)計算車輛的單位。通「輛」。《書經．牧誓．序》：「戎車三百兩。」
2.數目字，表一對、一雙之意。如：「兩本書」、「兩姊妹」。唐．李白〈長干行〉二首之一：「同居長干里，兩小無嫌猜。」
[副]
雙方、彼此。如：「兩敗俱傷」、「模棱兩可」。《三國志．卷一〇．魏書．荀攸傳》：「今兄弟遘惡，此勢不兩全。」
[形]
幾、若干，表約略之詞。如：「兩下子」、「過兩天再看看！」 |</v>
      </c>
    </row>
    <row r="4914" spans="1:44" hidden="1">
      <c r="A4914" s="1" t="s">
        <v>8557</v>
      </c>
      <c r="C4914" s="1">
        <v>1</v>
      </c>
      <c r="D4914" s="1" t="str">
        <f>"03667"</f>
        <v>03667</v>
      </c>
      <c r="E4914" s="1" t="s">
        <v>114</v>
      </c>
      <c r="F4914" s="1">
        <v>10</v>
      </c>
      <c r="G4914" s="1">
        <v>8</v>
      </c>
      <c r="H4914" s="1">
        <v>1</v>
      </c>
      <c r="I4914" s="1" t="s">
        <v>8960</v>
      </c>
      <c r="K4914" s="1" t="str">
        <f t="shared" si="306"/>
        <v>ㄌ</v>
      </c>
      <c r="L4914" s="1" t="str">
        <f t="shared" si="307"/>
        <v>ㄧ</v>
      </c>
      <c r="M4914" s="1" t="str">
        <f t="shared" si="305"/>
        <v>ㄤ</v>
      </c>
      <c r="P4914" s="1" t="s">
        <v>20</v>
      </c>
      <c r="R4914" s="1" t="s">
        <v>8961</v>
      </c>
      <c r="V4914" s="1" t="s">
        <v>8963</v>
      </c>
      <c r="W4914" s="1" t="s">
        <v>8964</v>
      </c>
      <c r="AR4914" s="1" t="str">
        <f t="shared" si="308"/>
        <v>| [ㄌㄧㄤˇ](ㄌㄧㄤˇ.md) | [倆](倆.md) |  | liǎng | 參見「伎倆」條。 |</v>
      </c>
    </row>
    <row r="4915" spans="1:44" hidden="1">
      <c r="A4915" s="1" t="s">
        <v>8965</v>
      </c>
      <c r="C4915" s="1">
        <v>1</v>
      </c>
      <c r="D4915" s="1" t="str">
        <f>"03668"</f>
        <v>03668</v>
      </c>
      <c r="E4915" s="1" t="s">
        <v>28</v>
      </c>
      <c r="F4915" s="1">
        <v>11</v>
      </c>
      <c r="G4915" s="1">
        <v>8</v>
      </c>
      <c r="H4915" s="1">
        <v>0</v>
      </c>
      <c r="I4915" s="1" t="s">
        <v>8960</v>
      </c>
      <c r="K4915" s="1" t="str">
        <f t="shared" si="306"/>
        <v>ㄌ</v>
      </c>
      <c r="L4915" s="1" t="str">
        <f t="shared" si="307"/>
        <v>ㄧ</v>
      </c>
      <c r="M4915" s="1" t="str">
        <f t="shared" si="305"/>
        <v>ㄤ</v>
      </c>
      <c r="P4915" s="1" t="s">
        <v>20</v>
      </c>
      <c r="R4915" s="1" t="s">
        <v>8961</v>
      </c>
      <c r="V4915" s="1" t="s">
        <v>8966</v>
      </c>
      <c r="AR4915" s="1" t="str">
        <f t="shared" si="308"/>
        <v>| [ㄌㄧㄤˇ](ㄌㄧㄤˇ.md) | [啢](啢.md) |  | liǎng | [名]
量詞。英美計算重量的單位。即盎司。是英文ounce的舊譯。 |</v>
      </c>
    </row>
    <row r="4916" spans="1:44" hidden="1">
      <c r="A4916" s="1" t="s">
        <v>8967</v>
      </c>
      <c r="C4916" s="1">
        <v>1</v>
      </c>
      <c r="D4916" s="1" t="str">
        <f>"03669"</f>
        <v>03669</v>
      </c>
      <c r="E4916" s="1" t="s">
        <v>340</v>
      </c>
      <c r="F4916" s="1">
        <v>14</v>
      </c>
      <c r="G4916" s="1">
        <v>8</v>
      </c>
      <c r="H4916" s="1">
        <v>0</v>
      </c>
      <c r="I4916" s="1" t="s">
        <v>8960</v>
      </c>
      <c r="K4916" s="1" t="str">
        <f t="shared" si="306"/>
        <v>ㄌ</v>
      </c>
      <c r="L4916" s="1" t="str">
        <f t="shared" si="307"/>
        <v>ㄧ</v>
      </c>
      <c r="M4916" s="1" t="str">
        <f t="shared" si="305"/>
        <v>ㄤ</v>
      </c>
      <c r="P4916" s="1" t="s">
        <v>20</v>
      </c>
      <c r="R4916" s="1" t="s">
        <v>8961</v>
      </c>
      <c r="V4916" s="1" t="s">
        <v>8968</v>
      </c>
      <c r="AR4916" s="1" t="str">
        <f t="shared" si="308"/>
        <v>| [ㄌㄧㄤˇ](ㄌㄧㄤˇ.md) | [裲](裲.md) |  | liǎng | 參見「裲襠」條。 |</v>
      </c>
    </row>
    <row r="4917" spans="1:44" hidden="1">
      <c r="A4917" s="1" t="s">
        <v>8969</v>
      </c>
      <c r="C4917" s="1">
        <v>1</v>
      </c>
      <c r="D4917" s="1" t="str">
        <f>"03670"</f>
        <v>03670</v>
      </c>
      <c r="E4917" s="1" t="s">
        <v>725</v>
      </c>
      <c r="F4917" s="1">
        <v>14</v>
      </c>
      <c r="G4917" s="1">
        <v>8</v>
      </c>
      <c r="H4917" s="1">
        <v>0</v>
      </c>
      <c r="I4917" s="1" t="s">
        <v>8960</v>
      </c>
      <c r="K4917" s="1" t="str">
        <f t="shared" si="306"/>
        <v>ㄌ</v>
      </c>
      <c r="L4917" s="1" t="str">
        <f t="shared" si="307"/>
        <v>ㄧ</v>
      </c>
      <c r="M4917" s="1" t="str">
        <f t="shared" ref="M4917:M4980" si="309">MID(I4917, 3, 1)</f>
        <v>ㄤ</v>
      </c>
      <c r="P4917" s="1" t="s">
        <v>20</v>
      </c>
      <c r="R4917" s="1" t="s">
        <v>8961</v>
      </c>
      <c r="V4917" s="1" t="s">
        <v>8970</v>
      </c>
      <c r="AR4917" s="1" t="str">
        <f t="shared" si="308"/>
        <v>| [ㄌㄧㄤˇ](ㄌㄧㄤˇ.md) | [緉](緉.md) |  | liǎng | [名]
1.相交的兩股繩子。清．朱駿聲《說文通訓定聲．壯部》：「緉，絞也，……繩單曰紉，兩股曰纆，亦曰緉。」
2.量詞。古代計算成雙鞋子的單位。三國魏．曹植〈冬至獻履襪頌表〉：「並獻文履七緉，襪百副。」宋．陸游〈廣慧法師贊〉：「一緉草鞋，到處行腳。」 |</v>
      </c>
    </row>
    <row r="4918" spans="1:44" hidden="1">
      <c r="A4918" s="1" t="s">
        <v>8971</v>
      </c>
      <c r="C4918" s="1">
        <v>1</v>
      </c>
      <c r="D4918" s="1" t="str">
        <f>"03671"</f>
        <v>03671</v>
      </c>
      <c r="E4918" s="1" t="s">
        <v>83</v>
      </c>
      <c r="F4918" s="1">
        <v>18</v>
      </c>
      <c r="G4918" s="1">
        <v>8</v>
      </c>
      <c r="H4918" s="1">
        <v>0</v>
      </c>
      <c r="I4918" s="1" t="s">
        <v>8960</v>
      </c>
      <c r="K4918" s="1" t="str">
        <f t="shared" si="306"/>
        <v>ㄌ</v>
      </c>
      <c r="L4918" s="1" t="str">
        <f t="shared" si="307"/>
        <v>ㄧ</v>
      </c>
      <c r="M4918" s="1" t="str">
        <f t="shared" si="309"/>
        <v>ㄤ</v>
      </c>
      <c r="P4918" s="1" t="s">
        <v>20</v>
      </c>
      <c r="R4918" s="1" t="s">
        <v>8961</v>
      </c>
      <c r="V4918" s="1" t="s">
        <v>8972</v>
      </c>
      <c r="AR4918" s="1" t="str">
        <f t="shared" si="308"/>
        <v>| [ㄌㄧㄤˇ](ㄌㄧㄤˇ.md) | [魎](魎.md) |  | liǎng | 參見「魍魎」條。 |</v>
      </c>
    </row>
    <row r="4919" spans="1:44" hidden="1">
      <c r="A4919" s="1" t="s">
        <v>8939</v>
      </c>
      <c r="C4919" s="1">
        <v>1</v>
      </c>
      <c r="D4919" s="1" t="str">
        <f>"03672"</f>
        <v>03672</v>
      </c>
      <c r="E4919" s="1" t="s">
        <v>367</v>
      </c>
      <c r="F4919" s="1">
        <v>9</v>
      </c>
      <c r="G4919" s="1">
        <v>7</v>
      </c>
      <c r="H4919" s="1">
        <v>1</v>
      </c>
      <c r="I4919" s="1" t="s">
        <v>8973</v>
      </c>
      <c r="K4919" s="1" t="str">
        <f t="shared" si="306"/>
        <v>ㄌ</v>
      </c>
      <c r="L4919" s="1" t="str">
        <f t="shared" si="307"/>
        <v>ㄧ</v>
      </c>
      <c r="M4919" s="1" t="str">
        <f t="shared" si="309"/>
        <v>ㄤ</v>
      </c>
      <c r="P4919" s="1" t="s">
        <v>20</v>
      </c>
      <c r="R4919" s="1" t="s">
        <v>8974</v>
      </c>
      <c r="V4919" s="1" t="s">
        <v>8975</v>
      </c>
      <c r="W4919" s="1" t="s">
        <v>8976</v>
      </c>
      <c r="AR4919" s="1" t="str">
        <f t="shared" si="308"/>
        <v>| [ㄌㄧㄤˋ](ㄌㄧㄤˋ.md) | [亮](亮.md) |  | liàng | [形]
1.明朗、光亮。如：「晶亮」、「明亮」、「烏黑亮麗」。《文選．嵇康．雜詩》：「皎皎亮月，麗于高隅。」
2.聲音響亮清澈。如：「宏亮」、「嘹亮」。元．尚仲賢《單鞭奪槊》第三折：「則聽的語如鐘，喝一聲響亮春雷動。」
3.忠貞正直。如：「高風亮節」。《文選．諸葛亮．出師表》：「此悉貞亮死節之臣也。」
[動]
顯露、展示。如：「亮牌」、「亮相」。《兒女英雄傳》第一五回：「亮了兵器，就交起手來。」 |</v>
      </c>
    </row>
    <row r="4920" spans="1:44" hidden="1">
      <c r="A4920" s="1" t="s">
        <v>8977</v>
      </c>
      <c r="C4920" s="1">
        <v>1</v>
      </c>
      <c r="D4920" s="1" t="str">
        <f>"03673"</f>
        <v>03673</v>
      </c>
      <c r="E4920" s="1" t="s">
        <v>28</v>
      </c>
      <c r="F4920" s="1">
        <v>12</v>
      </c>
      <c r="G4920" s="1">
        <v>9</v>
      </c>
      <c r="H4920" s="1">
        <v>0</v>
      </c>
      <c r="I4920" s="1" t="s">
        <v>8973</v>
      </c>
      <c r="K4920" s="1" t="str">
        <f t="shared" si="306"/>
        <v>ㄌ</v>
      </c>
      <c r="L4920" s="1" t="str">
        <f t="shared" si="307"/>
        <v>ㄧ</v>
      </c>
      <c r="M4920" s="1" t="str">
        <f t="shared" si="309"/>
        <v>ㄤ</v>
      </c>
      <c r="P4920" s="1" t="s">
        <v>20</v>
      </c>
      <c r="R4920" s="1" t="s">
        <v>8974</v>
      </c>
      <c r="V4920" s="1" t="s">
        <v>8978</v>
      </c>
      <c r="AR4920" s="1" t="str">
        <f t="shared" si="308"/>
        <v>| [ㄌㄧㄤˋ](ㄌㄧㄤˋ.md) | [喨](喨.md) |  | liàng | 參見「嘹喨」條。 |</v>
      </c>
    </row>
    <row r="4921" spans="1:44" hidden="1">
      <c r="A4921" s="1" t="s">
        <v>8979</v>
      </c>
      <c r="C4921" s="1">
        <v>1</v>
      </c>
      <c r="D4921" s="1" t="str">
        <f>"03674"</f>
        <v>03674</v>
      </c>
      <c r="E4921" s="1" t="s">
        <v>250</v>
      </c>
      <c r="F4921" s="1">
        <v>10</v>
      </c>
      <c r="G4921" s="1">
        <v>7</v>
      </c>
      <c r="H4921" s="1">
        <v>0</v>
      </c>
      <c r="I4921" s="1" t="s">
        <v>8973</v>
      </c>
      <c r="K4921" s="1" t="str">
        <f t="shared" si="306"/>
        <v>ㄌ</v>
      </c>
      <c r="L4921" s="1" t="str">
        <f t="shared" si="307"/>
        <v>ㄧ</v>
      </c>
      <c r="M4921" s="1" t="str">
        <f t="shared" si="309"/>
        <v>ㄤ</v>
      </c>
      <c r="P4921" s="1" t="s">
        <v>20</v>
      </c>
      <c r="R4921" s="1" t="s">
        <v>8974</v>
      </c>
      <c r="V4921" s="1" t="s">
        <v>8980</v>
      </c>
      <c r="AR4921" s="1" t="str">
        <f t="shared" si="308"/>
        <v>| [ㄌㄧㄤˋ](ㄌㄧㄤˋ.md) | [悢](悢.md) |  | liàng | [形]
悲傷、惆悵。《文選．李陵．與蘇武詩三首之三》：「徘徊蹊路側，悢悢不得辭。」《文選．趙至．與稽茂齊書》：「臨書悢然，知復何云。」 |</v>
      </c>
    </row>
    <row r="4922" spans="1:44" hidden="1">
      <c r="A4922" s="1" t="s">
        <v>8936</v>
      </c>
      <c r="C4922" s="1">
        <v>1</v>
      </c>
      <c r="D4922" s="1" t="str">
        <f>"03675"</f>
        <v>03675</v>
      </c>
      <c r="E4922" s="1" t="s">
        <v>77</v>
      </c>
      <c r="F4922" s="1">
        <v>14</v>
      </c>
      <c r="G4922" s="1">
        <v>7</v>
      </c>
      <c r="H4922" s="1">
        <v>2</v>
      </c>
      <c r="I4922" s="1" t="s">
        <v>8973</v>
      </c>
      <c r="K4922" s="1" t="str">
        <f t="shared" si="306"/>
        <v>ㄌ</v>
      </c>
      <c r="L4922" s="1" t="str">
        <f t="shared" si="307"/>
        <v>ㄧ</v>
      </c>
      <c r="M4922" s="1" t="str">
        <f t="shared" si="309"/>
        <v>ㄤ</v>
      </c>
      <c r="P4922" s="1" t="s">
        <v>20</v>
      </c>
      <c r="R4922" s="1" t="s">
        <v>8974</v>
      </c>
      <c r="V4922" s="1" t="s">
        <v>8981</v>
      </c>
      <c r="W4922" s="1" t="s">
        <v>8982</v>
      </c>
      <c r="AR4922" s="1" t="str">
        <f t="shared" si="308"/>
        <v>| [ㄌㄧㄤˋ](ㄌㄧㄤˋ.md) | [踉](踉.md) |  | liàng | 參見「踉蹌」條。 |</v>
      </c>
    </row>
    <row r="4923" spans="1:44" hidden="1">
      <c r="A4923" s="1" t="s">
        <v>8983</v>
      </c>
      <c r="C4923" s="1">
        <v>1</v>
      </c>
      <c r="D4923" s="1" t="str">
        <f>"03676"</f>
        <v>03676</v>
      </c>
      <c r="E4923" s="1" t="s">
        <v>114</v>
      </c>
      <c r="F4923" s="1">
        <v>10</v>
      </c>
      <c r="G4923" s="1">
        <v>8</v>
      </c>
      <c r="H4923" s="1">
        <v>1</v>
      </c>
      <c r="I4923" s="1" t="s">
        <v>8973</v>
      </c>
      <c r="K4923" s="1" t="str">
        <f t="shared" si="306"/>
        <v>ㄌ</v>
      </c>
      <c r="L4923" s="1" t="str">
        <f t="shared" si="307"/>
        <v>ㄧ</v>
      </c>
      <c r="M4923" s="1" t="str">
        <f t="shared" si="309"/>
        <v>ㄤ</v>
      </c>
      <c r="P4923" s="1" t="s">
        <v>20</v>
      </c>
      <c r="R4923" s="1" t="s">
        <v>8974</v>
      </c>
      <c r="V4923" s="1" t="s">
        <v>8984</v>
      </c>
      <c r="W4923" s="1" t="s">
        <v>8985</v>
      </c>
      <c r="AR4923" s="1" t="str">
        <f t="shared" si="308"/>
        <v>| [ㄌㄧㄤˋ](ㄌㄧㄤˋ.md) | [倞](倞.md) |  | liàng | [形]
1.遙遠。《集韻．去聲．漾韻》：「倞，遠也。」
2.明亮。清．朱駿聲《說文通訓定聲．壯部》：「倞，明也。字亦作亮。」
[動]
索求。《禮記．郊特牲》：「祊之為言倞也。」漢．鄭玄．注：「倞，猶索也。」 |</v>
      </c>
    </row>
    <row r="4924" spans="1:44" hidden="1">
      <c r="A4924" s="1" t="s">
        <v>8942</v>
      </c>
      <c r="C4924" s="1">
        <v>1</v>
      </c>
      <c r="D4924" s="1" t="str">
        <f>"03677"</f>
        <v>03677</v>
      </c>
      <c r="E4924" s="1" t="s">
        <v>129</v>
      </c>
      <c r="F4924" s="1">
        <v>11</v>
      </c>
      <c r="G4924" s="1">
        <v>8</v>
      </c>
      <c r="H4924" s="1">
        <v>2</v>
      </c>
      <c r="I4924" s="1" t="s">
        <v>8973</v>
      </c>
      <c r="K4924" s="1" t="str">
        <f t="shared" si="306"/>
        <v>ㄌ</v>
      </c>
      <c r="L4924" s="1" t="str">
        <f t="shared" si="307"/>
        <v>ㄧ</v>
      </c>
      <c r="M4924" s="1" t="str">
        <f t="shared" si="309"/>
        <v>ㄤ</v>
      </c>
      <c r="P4924" s="1" t="s">
        <v>20</v>
      </c>
      <c r="R4924" s="1" t="s">
        <v>8974</v>
      </c>
      <c r="V4924" s="1" t="s">
        <v>8986</v>
      </c>
      <c r="W4924" s="1" t="s">
        <v>8987</v>
      </c>
      <c r="AR4924" s="1" t="str">
        <f t="shared" si="308"/>
        <v>| [ㄌㄧㄤˋ](ㄌㄧㄤˋ.md) | [涼](涼.md) |  | liàng | [動]
1.置物於通風處，以降低熱度。如：「把茶涼一下。」《新唐書．卷四六．百官志一》：「凡戎器，色別而異處，以衛尉幕士暴涼之。」
2.輔助、輔佐。《詩經．大雅．大明》：「維師尚父，時維鷹揚，涼彼武王。」 |</v>
      </c>
    </row>
    <row r="4925" spans="1:44" hidden="1">
      <c r="A4925" s="1" t="s">
        <v>8988</v>
      </c>
      <c r="C4925" s="1">
        <v>1</v>
      </c>
      <c r="D4925" s="1" t="str">
        <f>"03678"</f>
        <v>03678</v>
      </c>
      <c r="E4925" s="1" t="s">
        <v>646</v>
      </c>
      <c r="F4925" s="1">
        <v>12</v>
      </c>
      <c r="G4925" s="1">
        <v>8</v>
      </c>
      <c r="H4925" s="1">
        <v>0</v>
      </c>
      <c r="I4925" s="1" t="s">
        <v>8973</v>
      </c>
      <c r="K4925" s="1" t="str">
        <f t="shared" si="306"/>
        <v>ㄌ</v>
      </c>
      <c r="L4925" s="1" t="str">
        <f t="shared" si="307"/>
        <v>ㄧ</v>
      </c>
      <c r="M4925" s="1" t="str">
        <f t="shared" si="309"/>
        <v>ㄤ</v>
      </c>
      <c r="P4925" s="1" t="s">
        <v>20</v>
      </c>
      <c r="R4925" s="1" t="s">
        <v>8974</v>
      </c>
      <c r="V4925" s="1" t="s">
        <v>8989</v>
      </c>
      <c r="AR4925" s="1" t="str">
        <f t="shared" si="308"/>
        <v>| [ㄌㄧㄤˋ](ㄌㄧㄤˋ.md) | [晾](晾.md) |  | liàng | [動]
把東西曝晒或置於通風處使其乾燥。元．石君寶《秋胡戲妻》第三折：「我這一會兒熱了也，脫下我這衣服來，我試晾一晾咱。」元．谷子敬《城南柳》第一折：「似這等風吹日晾，雪壓霜欺。」 |</v>
      </c>
    </row>
    <row r="4926" spans="1:44" hidden="1">
      <c r="A4926" s="1" t="s">
        <v>8945</v>
      </c>
      <c r="C4926" s="1">
        <v>1</v>
      </c>
      <c r="D4926" s="1" t="str">
        <f>"03679"</f>
        <v>03679</v>
      </c>
      <c r="E4926" s="1" t="s">
        <v>331</v>
      </c>
      <c r="F4926" s="1">
        <v>15</v>
      </c>
      <c r="G4926" s="1">
        <v>8</v>
      </c>
      <c r="H4926" s="1">
        <v>1</v>
      </c>
      <c r="I4926" s="1" t="s">
        <v>8973</v>
      </c>
      <c r="K4926" s="1" t="str">
        <f t="shared" ref="K4926:K4989" si="310">LEFT(I4926, 1)</f>
        <v>ㄌ</v>
      </c>
      <c r="L4926" s="1" t="str">
        <f t="shared" ref="L4926:L4989" si="311">MID(I4926, 2, 1)</f>
        <v>ㄧ</v>
      </c>
      <c r="M4926" s="1" t="str">
        <f t="shared" si="309"/>
        <v>ㄤ</v>
      </c>
      <c r="P4926" s="1" t="s">
        <v>20</v>
      </c>
      <c r="R4926" s="1" t="s">
        <v>8974</v>
      </c>
      <c r="V4926" s="1" t="s">
        <v>8990</v>
      </c>
      <c r="W4926" s="1" t="s">
        <v>8991</v>
      </c>
      <c r="AR4926" s="1" t="str">
        <f t="shared" si="308"/>
        <v>| [ㄌㄧㄤˋ](ㄌㄧㄤˋ.md) | [諒](諒.md) |  | liàng | [動]
1.相信。《詩經．鄘風．柏舟》：「母也天只，不諒人只。」《喻世明言．卷一九．楊謙之客舫遇俠僧》：「雖然如此，卻也諒得過這個和尚是個有信行的好漢，決無誑言之事。」
2.寬恕、體察。如：「原諒」、「見諒」、「體諒」。宋．陳亮〈酌古論三．諸葛孔明下〉：「孔明距今且千載矣，未有能諒其心者。」
[形]
信實、誠信。《論語．季氏》：「友直、友諒、友多聞，益矣。」宋．王安石〈懷張唐公〉詩：「直諒多為世所排，有懷長向我前開。」
[副]
推想、料想之意。如：「諒必」、「諒可」。《喻世明言．卷四〇．沈小霞相會出師表》：「你是書禮之家，諒無再醮之事。」
[名]
姓。如戰國時趙國有諒毅。 |</v>
      </c>
    </row>
    <row r="4927" spans="1:44" hidden="1">
      <c r="A4927" s="1" t="s">
        <v>8954</v>
      </c>
      <c r="C4927" s="1">
        <v>1</v>
      </c>
      <c r="D4927" s="1" t="str">
        <f>"03680"</f>
        <v>03680</v>
      </c>
      <c r="E4927" s="1" t="s">
        <v>8366</v>
      </c>
      <c r="F4927" s="1">
        <v>12</v>
      </c>
      <c r="G4927" s="1">
        <v>5</v>
      </c>
      <c r="H4927" s="1">
        <v>2</v>
      </c>
      <c r="I4927" s="1" t="s">
        <v>8973</v>
      </c>
      <c r="K4927" s="1" t="str">
        <f t="shared" si="310"/>
        <v>ㄌ</v>
      </c>
      <c r="L4927" s="1" t="str">
        <f t="shared" si="311"/>
        <v>ㄧ</v>
      </c>
      <c r="M4927" s="1" t="str">
        <f t="shared" si="309"/>
        <v>ㄤ</v>
      </c>
      <c r="P4927" s="1" t="s">
        <v>20</v>
      </c>
      <c r="R4927" s="1" t="s">
        <v>8974</v>
      </c>
      <c r="V4927" s="1" t="s">
        <v>8992</v>
      </c>
      <c r="W4927" s="1" t="s">
        <v>8993</v>
      </c>
      <c r="AR4927" s="1" t="str">
        <f t="shared" si="308"/>
        <v>| [ㄌㄧㄤˋ](ㄌㄧㄤˋ.md) | [量](量.md) |  | liàng | [名]
1.計算物體數量的器具。如斗、斛等。《廣韻．去聲．漾韻》：「量，合、斗、斛。」《漢書．卷二一．律歷志上》：「量者，龠、合、升、斗、斛也，所以量多少也。」
2.能容納事物的限度。如：「容量」、「器量」。《三國志．卷三五．蜀書．諸葛亮傳》：「時左將軍劉備以亮有殊量，乃三顧亮於草廬之中。」宋．劉子翬〈夜飲〉詩：「沉沉玉巵酒，量淺難負荷。」
3.數量、數目。如：「含量」、「流量」、「重量」、「降雨量」。
[動]
估計、審度。如：「不自量力」、「量入為出」。《孟子．公孫丑上》：「量敵而後進，慮勝而後會。」 |</v>
      </c>
    </row>
    <row r="4928" spans="1:44" hidden="1">
      <c r="A4928" s="1" t="s">
        <v>8994</v>
      </c>
      <c r="C4928" s="1">
        <v>1</v>
      </c>
      <c r="D4928" s="1" t="str">
        <f>"03681"</f>
        <v>03681</v>
      </c>
      <c r="E4928" s="1" t="s">
        <v>71</v>
      </c>
      <c r="F4928" s="1">
        <v>15</v>
      </c>
      <c r="G4928" s="1">
        <v>8</v>
      </c>
      <c r="H4928" s="1">
        <v>0</v>
      </c>
      <c r="I4928" s="1" t="s">
        <v>8973</v>
      </c>
      <c r="K4928" s="1" t="str">
        <f t="shared" si="310"/>
        <v>ㄌ</v>
      </c>
      <c r="L4928" s="1" t="str">
        <f t="shared" si="311"/>
        <v>ㄧ</v>
      </c>
      <c r="M4928" s="1" t="str">
        <f t="shared" si="309"/>
        <v>ㄤ</v>
      </c>
      <c r="P4928" s="1" t="s">
        <v>20</v>
      </c>
      <c r="R4928" s="1" t="s">
        <v>8974</v>
      </c>
      <c r="V4928" s="1" t="s">
        <v>8995</v>
      </c>
      <c r="AR4928" s="1" t="str">
        <f t="shared" si="308"/>
        <v>| [ㄌㄧㄤˋ](ㄌㄧㄤˋ.md) | [輛](輛.md) |  | liàng | [名]
量詞。計算車子的單位。如：「一輛車」、「六輛馬車」。《水滸傳》第一六回：「只見松林裡一字兒擺著七輛江州車兒。」 |</v>
      </c>
    </row>
    <row r="4929" spans="1:44" hidden="1">
      <c r="A4929" s="1" t="s">
        <v>8996</v>
      </c>
      <c r="C4929" s="1">
        <v>1</v>
      </c>
      <c r="D4929" s="1" t="str">
        <f>"03682"</f>
        <v>03682</v>
      </c>
      <c r="E4929" s="1" t="s">
        <v>24</v>
      </c>
      <c r="F4929" s="1">
        <v>8</v>
      </c>
      <c r="G4929" s="1">
        <v>5</v>
      </c>
      <c r="H4929" s="1">
        <v>0</v>
      </c>
      <c r="I4929" s="1" t="s">
        <v>8997</v>
      </c>
      <c r="K4929" s="1" t="str">
        <f t="shared" si="310"/>
        <v>ㄌ</v>
      </c>
      <c r="L4929" s="1" t="str">
        <f t="shared" si="311"/>
        <v>ㄧ</v>
      </c>
      <c r="M4929" s="1" t="str">
        <f t="shared" si="309"/>
        <v>ㄥ</v>
      </c>
      <c r="P4929" s="1" t="s">
        <v>20</v>
      </c>
      <c r="R4929" s="1" t="s">
        <v>8998</v>
      </c>
      <c r="V4929" s="1" t="s">
        <v>8999</v>
      </c>
      <c r="AR4929" s="1" t="str">
        <f t="shared" si="308"/>
        <v>| [ㄌㄧㄥ](ㄌㄧㄥ.md) | [拎](拎.md) |  | līng | [動]
提。如：「他手上拎著一籃水果。」《廣韻．平聲．青韻》：「拎，手懸捻物。」 |</v>
      </c>
    </row>
    <row r="4930" spans="1:44" hidden="1">
      <c r="A4930" s="1" t="s">
        <v>9000</v>
      </c>
      <c r="C4930" s="1">
        <v>1</v>
      </c>
      <c r="D4930" s="1" t="str">
        <f>"03683"</f>
        <v>03683</v>
      </c>
      <c r="E4930" s="1" t="s">
        <v>114</v>
      </c>
      <c r="F4930" s="1">
        <v>7</v>
      </c>
      <c r="G4930" s="1">
        <v>5</v>
      </c>
      <c r="H4930" s="1">
        <v>0</v>
      </c>
      <c r="I4930" s="1" t="s">
        <v>9001</v>
      </c>
      <c r="K4930" s="1" t="str">
        <f t="shared" si="310"/>
        <v>ㄌ</v>
      </c>
      <c r="L4930" s="1" t="str">
        <f t="shared" si="311"/>
        <v>ㄧ</v>
      </c>
      <c r="M4930" s="1" t="str">
        <f t="shared" si="309"/>
        <v>ㄥ</v>
      </c>
      <c r="P4930" s="1" t="s">
        <v>20</v>
      </c>
      <c r="R4930" s="1" t="s">
        <v>9002</v>
      </c>
      <c r="V4930" s="1" t="s">
        <v>9003</v>
      </c>
      <c r="AR4930" s="1" t="str">
        <f t="shared" si="308"/>
        <v>| [ㄌㄧㄥˊ](ㄌㄧㄥˊ.md) | [伶](伶.md) |  | líng | [名]
1.舊稱表演歌舞、戲劇的人。如：「紅伶」、「女伶」、「名伶」。
2.中國少數民族之一。屬西南僰撣族系，散布於大陸地區廣西北部山區深處，以種山、狩獵為生。
3.姓。如黃帝時有伶倫。
[形]
1.靈巧、聰慧。如：「伶牙俐齒」。《紅樓夢》第六八回：「妹妹這樣伶透人，要肯真心幫助我，我也得個膀臂。」
2.參見「伶仃」條。 |</v>
      </c>
    </row>
    <row r="4931" spans="1:44" hidden="1">
      <c r="A4931" s="1" t="s">
        <v>9004</v>
      </c>
      <c r="C4931" s="1">
        <v>1</v>
      </c>
      <c r="D4931" s="1" t="str">
        <f>"03684"</f>
        <v>03684</v>
      </c>
      <c r="E4931" s="1" t="s">
        <v>129</v>
      </c>
      <c r="F4931" s="1">
        <v>8</v>
      </c>
      <c r="G4931" s="1">
        <v>5</v>
      </c>
      <c r="H4931" s="1">
        <v>0</v>
      </c>
      <c r="I4931" s="1" t="s">
        <v>9001</v>
      </c>
      <c r="K4931" s="1" t="str">
        <f t="shared" si="310"/>
        <v>ㄌ</v>
      </c>
      <c r="L4931" s="1" t="str">
        <f t="shared" si="311"/>
        <v>ㄧ</v>
      </c>
      <c r="M4931" s="1" t="str">
        <f t="shared" si="309"/>
        <v>ㄥ</v>
      </c>
      <c r="P4931" s="1" t="s">
        <v>20</v>
      </c>
      <c r="R4931" s="1" t="s">
        <v>9002</v>
      </c>
      <c r="V4931" s="1" t="s">
        <v>9005</v>
      </c>
      <c r="AR4931" s="1" t="str">
        <f t="shared" ref="AR4931:AR4994" si="312">"| ["&amp;I4931&amp;"]("&amp;I4931&amp;".md) | ["&amp;A4931&amp;"]("&amp;A4931&amp;".md) | "&amp;" | "&amp;R4931&amp;" | "&amp;V4931&amp;" |"</f>
        <v>| [ㄌㄧㄥˊ](ㄌㄧㄥˊ.md) | [泠](泠.md) |  | líng | [形]
1.清澈、明淨。唐．韓愈〈和崔舍人詠月二十韻〉：「浩蕩英華溢，蕭疏物象泠。」
2.聲音清越。《文選．陸機．文賦》：「文徽徽以溢目，音泠泠而盈耳。」唐．李郢〈江亭春霽〉詩：「金磬泠泠水南寺，上方僧室翠微連。」
3.清和、柔和。《呂氏春秋．士容論．任地》：「子能使子之野盡為泠風乎？」
[名]
1.以演戲為職業的人。通「伶」。如：「泠人」。
2.姓。如周代有泠州鳩。
[動]
了然悟解。《淮南子．脩務》：「受教一言，精神曉泠。」漢．高誘．注：「曉，明；泠，猶了也。」 |</v>
      </c>
    </row>
    <row r="4932" spans="1:44" hidden="1">
      <c r="A4932" s="1" t="s">
        <v>9006</v>
      </c>
      <c r="C4932" s="1">
        <v>1</v>
      </c>
      <c r="D4932" s="1" t="str">
        <f>"03685"</f>
        <v>03685</v>
      </c>
      <c r="E4932" s="1" t="s">
        <v>2557</v>
      </c>
      <c r="F4932" s="1">
        <v>8</v>
      </c>
      <c r="G4932" s="1">
        <v>5</v>
      </c>
      <c r="H4932" s="1">
        <v>0</v>
      </c>
      <c r="I4932" s="1" t="s">
        <v>9001</v>
      </c>
      <c r="K4932" s="1" t="str">
        <f t="shared" si="310"/>
        <v>ㄌ</v>
      </c>
      <c r="L4932" s="1" t="str">
        <f t="shared" si="311"/>
        <v>ㄧ</v>
      </c>
      <c r="M4932" s="1" t="str">
        <f t="shared" si="309"/>
        <v>ㄥ</v>
      </c>
      <c r="P4932" s="1" t="s">
        <v>20</v>
      </c>
      <c r="R4932" s="1" t="s">
        <v>9002</v>
      </c>
      <c r="V4932" s="1" t="s">
        <v>9007</v>
      </c>
      <c r="AR4932" s="1" t="str">
        <f t="shared" si="312"/>
        <v>| [ㄌㄧㄥˊ](ㄌㄧㄥˊ.md) | [囹](囹.md) |  | líng | 參見「囹圄」條。 |</v>
      </c>
    </row>
    <row r="4933" spans="1:44" hidden="1">
      <c r="A4933" s="1" t="s">
        <v>9008</v>
      </c>
      <c r="C4933" s="1">
        <v>1</v>
      </c>
      <c r="D4933" s="1" t="str">
        <f>"03686"</f>
        <v>03686</v>
      </c>
      <c r="E4933" s="1" t="s">
        <v>142</v>
      </c>
      <c r="F4933" s="1">
        <v>9</v>
      </c>
      <c r="G4933" s="1">
        <v>5</v>
      </c>
      <c r="H4933" s="1">
        <v>0</v>
      </c>
      <c r="I4933" s="1" t="s">
        <v>9001</v>
      </c>
      <c r="K4933" s="1" t="str">
        <f t="shared" si="310"/>
        <v>ㄌ</v>
      </c>
      <c r="L4933" s="1" t="str">
        <f t="shared" si="311"/>
        <v>ㄧ</v>
      </c>
      <c r="M4933" s="1" t="str">
        <f t="shared" si="309"/>
        <v>ㄥ</v>
      </c>
      <c r="P4933" s="1" t="s">
        <v>20</v>
      </c>
      <c r="R4933" s="1" t="s">
        <v>9002</v>
      </c>
      <c r="V4933" s="1" t="s">
        <v>9009</v>
      </c>
      <c r="AR4933" s="1" t="str">
        <f t="shared" si="312"/>
        <v>| [ㄌㄧㄥˊ](ㄌㄧㄥˊ.md) | [玲](玲.md) |  | líng | 參見「玲瓏」條。 |</v>
      </c>
    </row>
    <row r="4934" spans="1:44" hidden="1">
      <c r="A4934" s="1" t="s">
        <v>9010</v>
      </c>
      <c r="C4934" s="1">
        <v>1</v>
      </c>
      <c r="D4934" s="1" t="str">
        <f>"03687"</f>
        <v>03687</v>
      </c>
      <c r="E4934" s="1" t="s">
        <v>37</v>
      </c>
      <c r="F4934" s="1">
        <v>9</v>
      </c>
      <c r="G4934" s="1">
        <v>5</v>
      </c>
      <c r="H4934" s="1">
        <v>0</v>
      </c>
      <c r="I4934" s="1" t="s">
        <v>9001</v>
      </c>
      <c r="K4934" s="1" t="str">
        <f t="shared" si="310"/>
        <v>ㄌ</v>
      </c>
      <c r="L4934" s="1" t="str">
        <f t="shared" si="311"/>
        <v>ㄧ</v>
      </c>
      <c r="M4934" s="1" t="str">
        <f t="shared" si="309"/>
        <v>ㄥ</v>
      </c>
      <c r="P4934" s="1" t="s">
        <v>20</v>
      </c>
      <c r="R4934" s="1" t="s">
        <v>9002</v>
      </c>
      <c r="V4934" s="1" t="s">
        <v>9011</v>
      </c>
      <c r="AR4934" s="1" t="str">
        <f t="shared" si="312"/>
        <v>| [ㄌㄧㄥˊ](ㄌㄧㄥˊ.md) | [苓](苓.md) |  | líng | [名]
參見「茯苓」、「豬苓」等條。
[動]
散落。通「零」。《漢書．卷一〇〇．敘傳上》：「得氣者蕃滋，失時者苓落。」唐．顏師古．注：「苓與零同。」 |</v>
      </c>
    </row>
    <row r="4935" spans="1:44" hidden="1">
      <c r="A4935" s="1" t="s">
        <v>9012</v>
      </c>
      <c r="C4935" s="1">
        <v>1</v>
      </c>
      <c r="D4935" s="1" t="str">
        <f>"03688"</f>
        <v>03688</v>
      </c>
      <c r="E4935" s="1" t="s">
        <v>1824</v>
      </c>
      <c r="F4935" s="1">
        <v>10</v>
      </c>
      <c r="G4935" s="1">
        <v>5</v>
      </c>
      <c r="H4935" s="1">
        <v>0</v>
      </c>
      <c r="I4935" s="1" t="s">
        <v>9001</v>
      </c>
      <c r="K4935" s="1" t="str">
        <f t="shared" si="310"/>
        <v>ㄌ</v>
      </c>
      <c r="L4935" s="1" t="str">
        <f t="shared" si="311"/>
        <v>ㄧ</v>
      </c>
      <c r="M4935" s="1" t="str">
        <f t="shared" si="309"/>
        <v>ㄥ</v>
      </c>
      <c r="P4935" s="1" t="s">
        <v>20</v>
      </c>
      <c r="R4935" s="1" t="s">
        <v>9002</v>
      </c>
      <c r="V4935" s="1" t="s">
        <v>9013</v>
      </c>
      <c r="AR4935" s="1" t="str">
        <f t="shared" si="312"/>
        <v>| [ㄌㄧㄥˊ](ㄌㄧㄥˊ.md) | [瓴](瓴.md) |  | líng | [名]
1.盛水的瓦器。《淮南子．脩務》：「今夫救火者，汲水而趍之，或以甕瓴，或以盆盂。」
2.屋頂上仰鋪的瓦，形狀像溝，可導水。元．戴侗《六書故．卷二八．工事》：「瓴，牝瓦仰蓋者，仰瓦受覆瓦之流，所謂瓦溝也。」也稱為「瓦溝」。 |</v>
      </c>
    </row>
    <row r="4936" spans="1:44" hidden="1">
      <c r="A4936" s="1" t="s">
        <v>9014</v>
      </c>
      <c r="C4936" s="1">
        <v>1</v>
      </c>
      <c r="D4936" s="1" t="str">
        <f>"03689"</f>
        <v>03689</v>
      </c>
      <c r="E4936" s="1" t="s">
        <v>43</v>
      </c>
      <c r="F4936" s="1">
        <v>11</v>
      </c>
      <c r="G4936" s="1">
        <v>5</v>
      </c>
      <c r="H4936" s="1">
        <v>0</v>
      </c>
      <c r="I4936" s="1" t="s">
        <v>9001</v>
      </c>
      <c r="K4936" s="1" t="str">
        <f t="shared" si="310"/>
        <v>ㄌ</v>
      </c>
      <c r="L4936" s="1" t="str">
        <f t="shared" si="311"/>
        <v>ㄧ</v>
      </c>
      <c r="M4936" s="1" t="str">
        <f t="shared" si="309"/>
        <v>ㄥ</v>
      </c>
      <c r="P4936" s="1" t="s">
        <v>20</v>
      </c>
      <c r="R4936" s="1" t="s">
        <v>9002</v>
      </c>
      <c r="V4936" s="1" t="s">
        <v>9015</v>
      </c>
      <c r="AR4936" s="1" t="str">
        <f t="shared" si="312"/>
        <v>| [ㄌㄧㄥˊ](ㄌㄧㄥˊ.md) | [羚](羚.md) |  | líng | 參見「羚羊」條。 |</v>
      </c>
    </row>
    <row r="4937" spans="1:44" hidden="1">
      <c r="A4937" s="1" t="s">
        <v>9016</v>
      </c>
      <c r="C4937" s="1">
        <v>1</v>
      </c>
      <c r="D4937" s="1" t="str">
        <f>"03690"</f>
        <v>03690</v>
      </c>
      <c r="E4937" s="1" t="s">
        <v>2419</v>
      </c>
      <c r="F4937" s="1">
        <v>11</v>
      </c>
      <c r="G4937" s="1">
        <v>5</v>
      </c>
      <c r="H4937" s="1">
        <v>0</v>
      </c>
      <c r="I4937" s="1" t="s">
        <v>9001</v>
      </c>
      <c r="K4937" s="1" t="str">
        <f t="shared" si="310"/>
        <v>ㄌ</v>
      </c>
      <c r="L4937" s="1" t="str">
        <f t="shared" si="311"/>
        <v>ㄧ</v>
      </c>
      <c r="M4937" s="1" t="str">
        <f t="shared" si="309"/>
        <v>ㄥ</v>
      </c>
      <c r="P4937" s="1" t="s">
        <v>20</v>
      </c>
      <c r="R4937" s="1" t="s">
        <v>9002</v>
      </c>
      <c r="V4937" s="1" t="s">
        <v>9017</v>
      </c>
      <c r="AR4937" s="1" t="str">
        <f t="shared" si="312"/>
        <v>| [ㄌㄧㄥˊ](ㄌㄧㄥˊ.md) | [聆](聆.md) |  | líng | [動]
傾耳細聽。如：「聆聽」。《文選．張衡．思玄賦》：「聆廣樂之九奏兮，展洩洩以肜肜。」唐．李善．注：「聆，聽也。」《文選．謝靈運．登池上樓詩》：「傾耳聆波瀾，舉目眺嶇嶔。」 |</v>
      </c>
    </row>
    <row r="4938" spans="1:44" hidden="1">
      <c r="A4938" s="1" t="s">
        <v>9018</v>
      </c>
      <c r="C4938" s="1">
        <v>1</v>
      </c>
      <c r="D4938" s="1" t="str">
        <f>"03691"</f>
        <v>03691</v>
      </c>
      <c r="E4938" s="1" t="s">
        <v>679</v>
      </c>
      <c r="F4938" s="1">
        <v>11</v>
      </c>
      <c r="G4938" s="1">
        <v>5</v>
      </c>
      <c r="H4938" s="1">
        <v>0</v>
      </c>
      <c r="I4938" s="1" t="s">
        <v>9001</v>
      </c>
      <c r="K4938" s="1" t="str">
        <f t="shared" si="310"/>
        <v>ㄌ</v>
      </c>
      <c r="L4938" s="1" t="str">
        <f t="shared" si="311"/>
        <v>ㄧ</v>
      </c>
      <c r="M4938" s="1" t="str">
        <f t="shared" si="309"/>
        <v>ㄥ</v>
      </c>
      <c r="P4938" s="1" t="s">
        <v>20</v>
      </c>
      <c r="R4938" s="1" t="s">
        <v>9002</v>
      </c>
      <c r="V4938" s="1" t="s">
        <v>9019</v>
      </c>
      <c r="AR4938" s="1" t="str">
        <f t="shared" si="312"/>
        <v>| [ㄌㄧㄥˊ](ㄌㄧㄥˊ.md) | [蛉](蛉.md) |  | líng | 參見「螟蛉」、「蜻蛉」等條。 |</v>
      </c>
    </row>
    <row r="4939" spans="1:44" hidden="1">
      <c r="A4939" s="1" t="s">
        <v>9020</v>
      </c>
      <c r="C4939" s="1">
        <v>1</v>
      </c>
      <c r="D4939" s="1" t="str">
        <f>"03692"</f>
        <v>03692</v>
      </c>
      <c r="E4939" s="1" t="s">
        <v>49</v>
      </c>
      <c r="F4939" s="1">
        <v>11</v>
      </c>
      <c r="G4939" s="1">
        <v>5</v>
      </c>
      <c r="H4939" s="1">
        <v>0</v>
      </c>
      <c r="I4939" s="1" t="s">
        <v>9001</v>
      </c>
      <c r="K4939" s="1" t="str">
        <f t="shared" si="310"/>
        <v>ㄌ</v>
      </c>
      <c r="L4939" s="1" t="str">
        <f t="shared" si="311"/>
        <v>ㄧ</v>
      </c>
      <c r="M4939" s="1" t="str">
        <f t="shared" si="309"/>
        <v>ㄥ</v>
      </c>
      <c r="P4939" s="1" t="s">
        <v>20</v>
      </c>
      <c r="R4939" s="1" t="s">
        <v>9002</v>
      </c>
      <c r="V4939" s="1" t="s">
        <v>9021</v>
      </c>
      <c r="AR4939" s="1" t="str">
        <f t="shared" si="312"/>
        <v>| [ㄌㄧㄥˊ](ㄌㄧㄥˊ.md) | [笭](笭.md) |  | líng | [名]
1.橫在車前後兩旁，用來禦風塵的車闌。通「軨」。《說文解字．竹部》：「笭，車笭也。」清．朱駿聲《說文通訓定聲．坤部》：「笭，車笭也。按車前後兩旁，禦風塵者。」
2.竹籠。清．王念孫《廣雅疏證．卷八上．釋器》：「笭，籠也。」 |</v>
      </c>
    </row>
    <row r="4940" spans="1:44" hidden="1">
      <c r="A4940" s="1" t="s">
        <v>9022</v>
      </c>
      <c r="C4940" s="1">
        <v>1</v>
      </c>
      <c r="D4940" s="1" t="str">
        <f>"03693"</f>
        <v>03693</v>
      </c>
      <c r="E4940" s="1" t="s">
        <v>2271</v>
      </c>
      <c r="F4940" s="1">
        <v>11</v>
      </c>
      <c r="G4940" s="1">
        <v>5</v>
      </c>
      <c r="H4940" s="1">
        <v>0</v>
      </c>
      <c r="I4940" s="1" t="s">
        <v>9001</v>
      </c>
      <c r="K4940" s="1" t="str">
        <f t="shared" si="310"/>
        <v>ㄌ</v>
      </c>
      <c r="L4940" s="1" t="str">
        <f t="shared" si="311"/>
        <v>ㄧ</v>
      </c>
      <c r="M4940" s="1" t="str">
        <f t="shared" si="309"/>
        <v>ㄥ</v>
      </c>
      <c r="P4940" s="1" t="s">
        <v>20</v>
      </c>
      <c r="R4940" s="1" t="s">
        <v>9002</v>
      </c>
      <c r="V4940" s="1" t="s">
        <v>9023</v>
      </c>
      <c r="AR4940" s="1" t="str">
        <f t="shared" si="312"/>
        <v>| [ㄌㄧㄥˊ](ㄌㄧㄥˊ.md) | [翎](翎.md) |  | líng | [名]
1.箭尾的羽飾。《玉篇．羽部》：「翎，箭羽也。」
2.鳥類的羽毛。唐．褚載〈鶴〉詩：「欲洗霜翎下澗邊，卻嫌菱刺汙香泉。」
3.昆蟲的翅膀。唐．溫庭筠〈春日野行〉詩：「蝶翎朝粉盡，鴉背夕陽多。」
4.清代官員禮冠上用來區別品級的羽飾。如：「藍翎」、「花翎」。也稱為「翎子」。 |</v>
      </c>
    </row>
    <row r="4941" spans="1:44" hidden="1">
      <c r="A4941" s="1" t="s">
        <v>9024</v>
      </c>
      <c r="C4941" s="1">
        <v>1</v>
      </c>
      <c r="D4941" s="1" t="str">
        <f>"03694"</f>
        <v>03694</v>
      </c>
      <c r="E4941" s="1" t="s">
        <v>181</v>
      </c>
      <c r="F4941" s="1">
        <v>11</v>
      </c>
      <c r="G4941" s="1">
        <v>5</v>
      </c>
      <c r="H4941" s="1">
        <v>0</v>
      </c>
      <c r="I4941" s="1" t="s">
        <v>9001</v>
      </c>
      <c r="K4941" s="1" t="str">
        <f t="shared" si="310"/>
        <v>ㄌ</v>
      </c>
      <c r="L4941" s="1" t="str">
        <f t="shared" si="311"/>
        <v>ㄧ</v>
      </c>
      <c r="M4941" s="1" t="str">
        <f t="shared" si="309"/>
        <v>ㄥ</v>
      </c>
      <c r="P4941" s="1" t="s">
        <v>20</v>
      </c>
      <c r="R4941" s="1" t="s">
        <v>9002</v>
      </c>
      <c r="V4941" s="1" t="s">
        <v>9025</v>
      </c>
      <c r="AR4941" s="1" t="str">
        <f t="shared" si="312"/>
        <v>| [ㄌㄧㄥˊ](ㄌㄧㄥˊ.md) | [舲](舲.md) |  | líng | [名]
有窗牖的小船。《楚辭．屈原．九章．涉江》：「乘舲船余上沅兮，齊吳榜以擊汰。」漢．王逸．注：「舲船，船有窗牖者。」 |</v>
      </c>
    </row>
    <row r="4942" spans="1:44" hidden="1">
      <c r="A4942" s="1" t="s">
        <v>9026</v>
      </c>
      <c r="C4942" s="1">
        <v>1</v>
      </c>
      <c r="D4942" s="1" t="str">
        <f>"03695"</f>
        <v>03695</v>
      </c>
      <c r="E4942" s="1" t="s">
        <v>331</v>
      </c>
      <c r="F4942" s="1">
        <v>12</v>
      </c>
      <c r="G4942" s="1">
        <v>5</v>
      </c>
      <c r="H4942" s="1">
        <v>0</v>
      </c>
      <c r="I4942" s="1" t="s">
        <v>9001</v>
      </c>
      <c r="K4942" s="1" t="str">
        <f t="shared" si="310"/>
        <v>ㄌ</v>
      </c>
      <c r="L4942" s="1" t="str">
        <f t="shared" si="311"/>
        <v>ㄧ</v>
      </c>
      <c r="M4942" s="1" t="str">
        <f t="shared" si="309"/>
        <v>ㄥ</v>
      </c>
      <c r="P4942" s="1" t="s">
        <v>20</v>
      </c>
      <c r="R4942" s="1" t="s">
        <v>9002</v>
      </c>
      <c r="V4942" s="1" t="s">
        <v>9027</v>
      </c>
      <c r="AR4942" s="1" t="str">
        <f t="shared" si="312"/>
        <v>| [ㄌㄧㄥˊ](ㄌㄧㄥˊ.md) | [詅](詅.md) |  | líng | [動]
1.賣。清．王念孫《廣雅疏證．卷三上．釋詁》：「詅，賣也。」北齊．顏之推《顏氏家訓．文章》：「吾見世人，至無才思，自謂清華，流布醜拙，亦以眾矣，江南號為詅痴符。」王利器．集解：「詅痴符，猶後人之言賣痴騃。」
2.巧言吹噓。明．張自烈《正字通．言部》：「詅，蓋市人鬻物于市誇號之曰詅。」 |</v>
      </c>
    </row>
    <row r="4943" spans="1:44" hidden="1">
      <c r="A4943" s="1" t="s">
        <v>9028</v>
      </c>
      <c r="C4943" s="1">
        <v>1</v>
      </c>
      <c r="D4943" s="1" t="str">
        <f>"03696"</f>
        <v>03696</v>
      </c>
      <c r="E4943" s="1" t="s">
        <v>71</v>
      </c>
      <c r="F4943" s="1">
        <v>12</v>
      </c>
      <c r="G4943" s="1">
        <v>5</v>
      </c>
      <c r="H4943" s="1">
        <v>0</v>
      </c>
      <c r="I4943" s="1" t="s">
        <v>9001</v>
      </c>
      <c r="K4943" s="1" t="str">
        <f t="shared" si="310"/>
        <v>ㄌ</v>
      </c>
      <c r="L4943" s="1" t="str">
        <f t="shared" si="311"/>
        <v>ㄧ</v>
      </c>
      <c r="M4943" s="1" t="str">
        <f t="shared" si="309"/>
        <v>ㄥ</v>
      </c>
      <c r="P4943" s="1" t="s">
        <v>20</v>
      </c>
      <c r="R4943" s="1" t="s">
        <v>9002</v>
      </c>
      <c r="V4943" s="1" t="s">
        <v>9029</v>
      </c>
      <c r="AR4943" s="1" t="str">
        <f t="shared" si="312"/>
        <v>| [ㄌㄧㄥˊ](ㄌㄧㄥˊ.md) | [軨](軨.md) |  | líng | [名]
1.橫在車前後兩旁，用來禦風塵的車闌。《楚辭．宋玉．九辯》：「倚結軨兮長太息，涕潺湲兮下霑軾。」
2.車輪。《禮記．曲禮上》：「君車將駕，則僕執策立於馬前。已駕，僕展軨效駕。」
3.車軸上的裝飾。《文選．張衡．東京賦》：「重輪貳轄，疏轂飛軨。」李善注引薛綜曰：「飛軨，以緹紬廣八尺，長柱地．畫左青龍、右白虎，繫軸頭，取兩邊飾。」
4.車子。《文選．揚雄．劇秦美新》：「式軨軒旂旗以示之，揚和鷥肆夏以節之。」唐．李善．注：「軨、軒皆車也。」 |</v>
      </c>
    </row>
    <row r="4944" spans="1:44" hidden="1">
      <c r="A4944" s="1" t="s">
        <v>8803</v>
      </c>
      <c r="C4944" s="1">
        <v>1</v>
      </c>
      <c r="D4944" s="1" t="str">
        <f>"03697"</f>
        <v>03697</v>
      </c>
      <c r="E4944" s="1" t="s">
        <v>125</v>
      </c>
      <c r="F4944" s="1">
        <v>13</v>
      </c>
      <c r="G4944" s="1">
        <v>5</v>
      </c>
      <c r="H4944" s="1">
        <v>1</v>
      </c>
      <c r="I4944" s="1" t="s">
        <v>9001</v>
      </c>
      <c r="K4944" s="1" t="str">
        <f t="shared" si="310"/>
        <v>ㄌ</v>
      </c>
      <c r="L4944" s="1" t="str">
        <f t="shared" si="311"/>
        <v>ㄧ</v>
      </c>
      <c r="M4944" s="1" t="str">
        <f t="shared" si="309"/>
        <v>ㄥ</v>
      </c>
      <c r="P4944" s="1" t="s">
        <v>20</v>
      </c>
      <c r="R4944" s="1" t="s">
        <v>9002</v>
      </c>
      <c r="V4944" s="1" t="s">
        <v>9030</v>
      </c>
      <c r="W4944" s="1" t="s">
        <v>9031</v>
      </c>
      <c r="AR4944" s="1" t="str">
        <f t="shared" si="312"/>
        <v>| [ㄌㄧㄥˊ](ㄌㄧㄥˊ.md) | [零](零.md) |  | líng | [名]
1.數的空位，亦指小於所有正數，大於所有負數的數。阿拉伯數字作「0」。
2.不成整數、餘數。如：「零頭」、「零存整付」。
3.姓。如明代有零混。
[動]
降下、落下。如：「凋零」、「飄零」、「感激涕零」。《文選．古詩十九首．迢迢牽牛星》：「終日不成章，泣涕零如雨。」《儒林外史》第三五回：「兼之蒲柳之姿，望秋先零。」
[形]
1.緩緩落下的樣子。《詩經．豳風．東山》：「我來自東，零雨其濛。」
2.零碎、零散。如：「零錢」。《紅樓夢》第六九回：「何必受這些零氣，不如一死，倒還乾淨。」 |</v>
      </c>
    </row>
    <row r="4945" spans="1:44" hidden="1">
      <c r="A4945" s="1" t="s">
        <v>9032</v>
      </c>
      <c r="C4945" s="1">
        <v>1</v>
      </c>
      <c r="D4945" s="1" t="str">
        <f>"03698"</f>
        <v>03698</v>
      </c>
      <c r="E4945" s="1" t="s">
        <v>55</v>
      </c>
      <c r="F4945" s="1">
        <v>13</v>
      </c>
      <c r="G4945" s="1">
        <v>5</v>
      </c>
      <c r="H4945" s="1">
        <v>0</v>
      </c>
      <c r="I4945" s="1" t="s">
        <v>9001</v>
      </c>
      <c r="K4945" s="1" t="str">
        <f t="shared" si="310"/>
        <v>ㄌ</v>
      </c>
      <c r="L4945" s="1" t="str">
        <f t="shared" si="311"/>
        <v>ㄧ</v>
      </c>
      <c r="M4945" s="1" t="str">
        <f t="shared" si="309"/>
        <v>ㄥ</v>
      </c>
      <c r="P4945" s="1" t="s">
        <v>20</v>
      </c>
      <c r="R4945" s="1" t="s">
        <v>9002</v>
      </c>
      <c r="V4945" s="1" t="s">
        <v>9033</v>
      </c>
      <c r="AR4945" s="1" t="str">
        <f t="shared" si="312"/>
        <v>| [ㄌㄧㄥˊ](ㄌㄧㄥˊ.md) | [鈴](鈴.md) |  | líng | [名]
1.一種金屬製的中空器具。內置鐵舌或鐵丸，搖動時因相互撞擊而發出清脆的響聲。如：「鈴鐺」、「手搖鈴」。
2.叫喚人的音響器具。如：「電鈴」、「門鈴」、「鬧鈴」。 |</v>
      </c>
    </row>
    <row r="4946" spans="1:44" hidden="1">
      <c r="A4946" s="1" t="s">
        <v>9034</v>
      </c>
      <c r="C4946" s="1">
        <v>1</v>
      </c>
      <c r="D4946" s="1" t="str">
        <f>"03699"</f>
        <v>03699</v>
      </c>
      <c r="E4946" s="1" t="s">
        <v>272</v>
      </c>
      <c r="F4946" s="1">
        <v>16</v>
      </c>
      <c r="G4946" s="1">
        <v>5</v>
      </c>
      <c r="H4946" s="1">
        <v>0</v>
      </c>
      <c r="I4946" s="1" t="s">
        <v>9001</v>
      </c>
      <c r="K4946" s="1" t="str">
        <f t="shared" si="310"/>
        <v>ㄌ</v>
      </c>
      <c r="L4946" s="1" t="str">
        <f t="shared" si="311"/>
        <v>ㄧ</v>
      </c>
      <c r="M4946" s="1" t="str">
        <f t="shared" si="309"/>
        <v>ㄥ</v>
      </c>
      <c r="P4946" s="1" t="s">
        <v>20</v>
      </c>
      <c r="R4946" s="1" t="s">
        <v>9002</v>
      </c>
      <c r="V4946" s="1" t="s">
        <v>9035</v>
      </c>
      <c r="AR4946" s="1" t="str">
        <f t="shared" si="312"/>
        <v>| [ㄌㄧㄥˊ](ㄌㄧㄥˊ.md) | [鴒](鴒.md) |  | líng | 參見「鶺鴒」條。 |</v>
      </c>
    </row>
    <row r="4947" spans="1:44" hidden="1">
      <c r="A4947" s="1" t="s">
        <v>9036</v>
      </c>
      <c r="C4947" s="1">
        <v>1</v>
      </c>
      <c r="D4947" s="1" t="str">
        <f>"03700"</f>
        <v>03700</v>
      </c>
      <c r="E4947" s="1" t="s">
        <v>592</v>
      </c>
      <c r="F4947" s="1">
        <v>20</v>
      </c>
      <c r="G4947" s="1">
        <v>5</v>
      </c>
      <c r="H4947" s="1">
        <v>0</v>
      </c>
      <c r="I4947" s="1" t="s">
        <v>9001</v>
      </c>
      <c r="K4947" s="1" t="str">
        <f t="shared" si="310"/>
        <v>ㄌ</v>
      </c>
      <c r="L4947" s="1" t="str">
        <f t="shared" si="311"/>
        <v>ㄧ</v>
      </c>
      <c r="M4947" s="1" t="str">
        <f t="shared" si="309"/>
        <v>ㄥ</v>
      </c>
      <c r="P4947" s="1" t="s">
        <v>20</v>
      </c>
      <c r="R4947" s="1" t="s">
        <v>9002</v>
      </c>
      <c r="V4947" s="1" t="s">
        <v>9037</v>
      </c>
      <c r="AR4947" s="1" t="str">
        <f t="shared" si="312"/>
        <v>| [ㄌㄧㄥˊ](ㄌㄧㄥˊ.md) | [齡](齡.md) |  | líng | [名]
歲數、年數。如：「年齡」、「高齡」、「婚齡」、「學齡」。晉．左思〈悼離贈妹〉詩二首之一：「自我不見，於今二齡。」唐．楊烱〈王勃集序〉：「嗟乎促齡，材氣未盡，歿而不朽，君子貴焉。」 |</v>
      </c>
    </row>
    <row r="4948" spans="1:44" hidden="1">
      <c r="A4948" s="1" t="s">
        <v>9038</v>
      </c>
      <c r="C4948" s="1">
        <v>1</v>
      </c>
      <c r="D4948" s="1" t="str">
        <f>"03701"</f>
        <v>03701</v>
      </c>
      <c r="E4948" s="1" t="s">
        <v>1381</v>
      </c>
      <c r="F4948" s="1">
        <v>10</v>
      </c>
      <c r="G4948" s="1">
        <v>8</v>
      </c>
      <c r="H4948" s="1">
        <v>0</v>
      </c>
      <c r="I4948" s="1" t="s">
        <v>9001</v>
      </c>
      <c r="K4948" s="1" t="str">
        <f t="shared" si="310"/>
        <v>ㄌ</v>
      </c>
      <c r="L4948" s="1" t="str">
        <f t="shared" si="311"/>
        <v>ㄧ</v>
      </c>
      <c r="M4948" s="1" t="str">
        <f t="shared" si="309"/>
        <v>ㄥ</v>
      </c>
      <c r="P4948" s="1" t="s">
        <v>20</v>
      </c>
      <c r="R4948" s="1" t="s">
        <v>9002</v>
      </c>
      <c r="V4948" s="1" t="s">
        <v>9039</v>
      </c>
      <c r="AR4948" s="1" t="str">
        <f t="shared" si="312"/>
        <v>| [ㄌㄧㄥˊ](ㄌㄧㄥˊ.md) | [凌](凌.md) |  | líng | [名]
1.積冰。《文選．張衡．思玄賦》：「魚矜鱗而并凌兮，鳥登木而失條。」唐．李善．注：「凌，冰也。」
2.姓。如唐代有凌準。
[動]
1.登、升。唐．李白〈書情題蔡舍人雄〉詩：「凌山採芳蓀，愧無橫草功。」
2.駕、乘。《文選．張衡．思玄賦》：「凌驚雷之砊礚兮，弄狂電之淫裔。」唐．李善．注：「凌，乘也。」宋．蘇軾〈赤壁賦〉：「縱一葦之所如，凌萬頃之茫然。」
3.踰越、超過。通「陵」。《呂氏春秋．仲秋紀．論威》：「雖有江河之險則凌之，雖有大山之塞則陷之。」北齊．顏之推〈古意〉詩二首之一：「作賦凌屈原，讀書誇左史。」
4.逼近、壓倒。《文選．曹植．白馬篇》：「長驅蹈匈奴，左顧凌鮮卑。」
5.欺侮、侵犯。《楚辭．屈原．九歌．國殤》：「凌余陣兮躐余行，左驂殪兮右刃傷。」漢．王逸．注：「凌，犯也。」唐．柳宗元〈駁復仇議〉：「讎天子之法，而戕奉法之吏，是悖驁而凌上也。」 |</v>
      </c>
    </row>
    <row r="4949" spans="1:44" hidden="1">
      <c r="A4949" s="1" t="s">
        <v>9040</v>
      </c>
      <c r="C4949" s="1">
        <v>1</v>
      </c>
      <c r="D4949" s="1" t="str">
        <f>"03702"</f>
        <v>03702</v>
      </c>
      <c r="E4949" s="1" t="s">
        <v>129</v>
      </c>
      <c r="F4949" s="1">
        <v>11</v>
      </c>
      <c r="G4949" s="1">
        <v>8</v>
      </c>
      <c r="H4949" s="1">
        <v>0</v>
      </c>
      <c r="I4949" s="1" t="s">
        <v>9001</v>
      </c>
      <c r="K4949" s="1" t="str">
        <f t="shared" si="310"/>
        <v>ㄌ</v>
      </c>
      <c r="L4949" s="1" t="str">
        <f t="shared" si="311"/>
        <v>ㄧ</v>
      </c>
      <c r="M4949" s="1" t="str">
        <f t="shared" si="309"/>
        <v>ㄥ</v>
      </c>
      <c r="P4949" s="1" t="s">
        <v>20</v>
      </c>
      <c r="R4949" s="1" t="s">
        <v>9002</v>
      </c>
      <c r="V4949" s="1" t="s">
        <v>9041</v>
      </c>
      <c r="AR4949" s="1" t="str">
        <f t="shared" si="312"/>
        <v>| [ㄌㄧㄥˊ](ㄌㄧㄥˊ.md) | [淩](淩.md) |  | líng | [動]
1.乘。通「凌」。《楚辭．屈原．九章．哀郢》：「淩陽侯之汎濫兮，忽翱翔之焉薄。」漢．王逸．注：「淩，乘也。」
2.跨越。通「凌」。漢．蔡邕〈述行賦〉：「登長坂以淩高兮，陟蔥山之嶢陘。」
3.侵逼、欺侮。通「凌」。《管子．權修》：「上下淩節，而求百姓之尊主政令，不可得也。」《史記．卷一二四．游俠傳．序》：「豪暴侵淩孤弱，恣欲自快，游俠亦醜之。」
[名]
姓。如三國時吳國有淩統。 |</v>
      </c>
    </row>
    <row r="4950" spans="1:44" hidden="1">
      <c r="A4950" s="1" t="s">
        <v>9042</v>
      </c>
      <c r="C4950" s="1">
        <v>1</v>
      </c>
      <c r="D4950" s="1" t="str">
        <f>"03703"</f>
        <v>03703</v>
      </c>
      <c r="E4950" s="1" t="s">
        <v>250</v>
      </c>
      <c r="F4950" s="1">
        <v>11</v>
      </c>
      <c r="G4950" s="1">
        <v>8</v>
      </c>
      <c r="H4950" s="1">
        <v>0</v>
      </c>
      <c r="I4950" s="1" t="s">
        <v>9001</v>
      </c>
      <c r="K4950" s="1" t="str">
        <f t="shared" si="310"/>
        <v>ㄌ</v>
      </c>
      <c r="L4950" s="1" t="str">
        <f t="shared" si="311"/>
        <v>ㄧ</v>
      </c>
      <c r="M4950" s="1" t="str">
        <f t="shared" si="309"/>
        <v>ㄥ</v>
      </c>
      <c r="P4950" s="1" t="s">
        <v>20</v>
      </c>
      <c r="R4950" s="1" t="s">
        <v>9002</v>
      </c>
      <c r="V4950" s="1" t="s">
        <v>9043</v>
      </c>
      <c r="AR4950" s="1" t="str">
        <f t="shared" si="312"/>
        <v>| [ㄌㄧㄥˊ](ㄌㄧㄥˊ.md) | [㥄](㥄.md) |  | líng | [動]
1.哀憐。唐．元結〈演興．閔岭中〉詩：「久懹懹以㥄惋，卻遲迴而永歎。」
2.驚恐。《淮南子．兵略》：「建鼓不出庫，諸侯莫不慴㥄沮膽其處。」《文選．張衡．西京賦》：「百禽㥄遽，騤瞿奔觸。」唐．李善．注：「㥄，猶怖也。」 |</v>
      </c>
    </row>
    <row r="4951" spans="1:44" hidden="1">
      <c r="A4951" s="1" t="s">
        <v>9044</v>
      </c>
      <c r="C4951" s="1">
        <v>1</v>
      </c>
      <c r="D4951" s="1" t="str">
        <f>"03704"</f>
        <v>03704</v>
      </c>
      <c r="E4951" s="1" t="s">
        <v>691</v>
      </c>
      <c r="F4951" s="1">
        <v>11</v>
      </c>
      <c r="G4951" s="1">
        <v>8</v>
      </c>
      <c r="H4951" s="1">
        <v>0</v>
      </c>
      <c r="I4951" s="1" t="s">
        <v>9001</v>
      </c>
      <c r="K4951" s="1" t="str">
        <f t="shared" si="310"/>
        <v>ㄌ</v>
      </c>
      <c r="L4951" s="1" t="str">
        <f t="shared" si="311"/>
        <v>ㄧ</v>
      </c>
      <c r="M4951" s="1" t="str">
        <f t="shared" si="309"/>
        <v>ㄥ</v>
      </c>
      <c r="P4951" s="1" t="s">
        <v>20</v>
      </c>
      <c r="R4951" s="1" t="s">
        <v>9002</v>
      </c>
      <c r="V4951" s="1" t="s">
        <v>9045</v>
      </c>
      <c r="AR4951" s="1" t="str">
        <f t="shared" si="312"/>
        <v>| [ㄌㄧㄥˊ](ㄌㄧㄥˊ.md) | [陵](陵.md) |  | líng | [名]
1.大土山。如：「丘陵」、「山陵」。《左傳．僖公三十二年》：「殽有二陵焉。」三國魏．曹植〈鰕䱇篇〉：「駕言登五嶽，然後小陵丘。」
2.帝王的墳墓。如：「陵寢」、「十三陵」。唐．杜牧〈登樂遊原〉詩：「看取漢家何事業，五陵無樹起秋風。」《儒林外史》第三〇回：「中間坐一個看陵的太監，穿著蟒袍。」
3.姓。如明代有陵茂。
[動]
1.登、升。《左傳．成公二年》：「齊侯親鼓，士陵城。三日，取龍。」北魏．溫子昇〈為西河王謝太尉表〉：「將短翮難以陵高，駑乘無由致遠。」
2.超越、踰越。如：「陵駕」。《禮記．學記》：「不陵節而施之謂孫。」《文選．陳琳．檄吳將校部曲文》：「自以兵強國富，勢陵京城。」
3.欺侮、侵犯。通「凌」。如：「陵辱」。《左傳．隱公三年》：「且夫賤妨貴，少陵長，遠間親，新間舊。」漢．王符《潛夫論．忠貴》：「而乃欲任其私知，竊君威德，以陵下民。」
4.淬礪。《荀子．君道》：「兵刃不待陵而勵。」王先謙．集解：「陵謂厲兵刃也。」 |</v>
      </c>
    </row>
    <row r="4952" spans="1:44" hidden="1">
      <c r="A4952" s="1" t="s">
        <v>9046</v>
      </c>
      <c r="C4952" s="1">
        <v>1</v>
      </c>
      <c r="D4952" s="1" t="str">
        <f>"03705"</f>
        <v>03705</v>
      </c>
      <c r="E4952" s="1" t="s">
        <v>37</v>
      </c>
      <c r="F4952" s="1">
        <v>12</v>
      </c>
      <c r="G4952" s="1">
        <v>8</v>
      </c>
      <c r="H4952" s="1">
        <v>0</v>
      </c>
      <c r="I4952" s="1" t="s">
        <v>9001</v>
      </c>
      <c r="K4952" s="1" t="str">
        <f t="shared" si="310"/>
        <v>ㄌ</v>
      </c>
      <c r="L4952" s="1" t="str">
        <f t="shared" si="311"/>
        <v>ㄧ</v>
      </c>
      <c r="M4952" s="1" t="str">
        <f t="shared" si="309"/>
        <v>ㄥ</v>
      </c>
      <c r="P4952" s="1" t="s">
        <v>20</v>
      </c>
      <c r="R4952" s="1" t="s">
        <v>9002</v>
      </c>
      <c r="V4952" s="1" t="s">
        <v>9047</v>
      </c>
      <c r="AR4952" s="1" t="str">
        <f t="shared" si="312"/>
        <v>| [ㄌㄧㄥˊ](ㄌㄧㄥˊ.md) | [菱](菱.md) |  | líng | [名]
植物名。菱科菱屬，「菱角」、「薢茩」之古稱或簡稱。參見「薢茩」條。 |</v>
      </c>
    </row>
    <row r="4953" spans="1:44" hidden="1">
      <c r="A4953" s="1" t="s">
        <v>9048</v>
      </c>
      <c r="C4953" s="1">
        <v>1</v>
      </c>
      <c r="D4953" s="1" t="str">
        <f>"03706"</f>
        <v>03706</v>
      </c>
      <c r="E4953" s="1" t="s">
        <v>725</v>
      </c>
      <c r="F4953" s="1">
        <v>14</v>
      </c>
      <c r="G4953" s="1">
        <v>8</v>
      </c>
      <c r="H4953" s="1">
        <v>0</v>
      </c>
      <c r="I4953" s="1" t="s">
        <v>9001</v>
      </c>
      <c r="K4953" s="1" t="str">
        <f t="shared" si="310"/>
        <v>ㄌ</v>
      </c>
      <c r="L4953" s="1" t="str">
        <f t="shared" si="311"/>
        <v>ㄧ</v>
      </c>
      <c r="M4953" s="1" t="str">
        <f t="shared" si="309"/>
        <v>ㄥ</v>
      </c>
      <c r="P4953" s="1" t="s">
        <v>20</v>
      </c>
      <c r="R4953" s="1" t="s">
        <v>9002</v>
      </c>
      <c r="V4953" s="1" t="s">
        <v>9049</v>
      </c>
      <c r="AR4953" s="1" t="str">
        <f t="shared" si="312"/>
        <v>| [ㄌㄧㄥˊ](ㄌㄧㄥˊ.md) | [綾](綾.md) |  | líng | [名]
比緞細薄，有花紋的絲織品。如：「紅綾」、「綾羅綢緞」。 |</v>
      </c>
    </row>
    <row r="4954" spans="1:44" hidden="1">
      <c r="A4954" s="1" t="s">
        <v>9050</v>
      </c>
      <c r="C4954" s="1">
        <v>1</v>
      </c>
      <c r="D4954" s="1" t="str">
        <f>"03707"</f>
        <v>03707</v>
      </c>
      <c r="E4954" s="1" t="s">
        <v>71</v>
      </c>
      <c r="F4954" s="1">
        <v>15</v>
      </c>
      <c r="G4954" s="1">
        <v>8</v>
      </c>
      <c r="H4954" s="1">
        <v>0</v>
      </c>
      <c r="I4954" s="1" t="s">
        <v>9001</v>
      </c>
      <c r="K4954" s="1" t="str">
        <f t="shared" si="310"/>
        <v>ㄌ</v>
      </c>
      <c r="L4954" s="1" t="str">
        <f t="shared" si="311"/>
        <v>ㄧ</v>
      </c>
      <c r="M4954" s="1" t="str">
        <f t="shared" si="309"/>
        <v>ㄥ</v>
      </c>
      <c r="P4954" s="1" t="s">
        <v>20</v>
      </c>
      <c r="R4954" s="1" t="s">
        <v>9002</v>
      </c>
      <c r="V4954" s="1" t="s">
        <v>9051</v>
      </c>
      <c r="AR4954" s="1" t="str">
        <f t="shared" si="312"/>
        <v>| [ㄌㄧㄥˊ](ㄌㄧㄥˊ.md) | [輘](輘.md) |  | líng | [動]
車輪輾過。《集韻．平聲．蒸韻》：「輘，車轢也。」 |</v>
      </c>
    </row>
    <row r="4955" spans="1:44" hidden="1">
      <c r="A4955" s="1" t="s">
        <v>9052</v>
      </c>
      <c r="C4955" s="1">
        <v>1</v>
      </c>
      <c r="D4955" s="1" t="str">
        <f>"03708"</f>
        <v>03708</v>
      </c>
      <c r="E4955" s="1" t="s">
        <v>156</v>
      </c>
      <c r="F4955" s="1">
        <v>19</v>
      </c>
      <c r="G4955" s="1">
        <v>8</v>
      </c>
      <c r="H4955" s="1">
        <v>0</v>
      </c>
      <c r="I4955" s="1" t="s">
        <v>9001</v>
      </c>
      <c r="K4955" s="1" t="str">
        <f t="shared" si="310"/>
        <v>ㄌ</v>
      </c>
      <c r="L4955" s="1" t="str">
        <f t="shared" si="311"/>
        <v>ㄧ</v>
      </c>
      <c r="M4955" s="1" t="str">
        <f t="shared" si="309"/>
        <v>ㄥ</v>
      </c>
      <c r="P4955" s="1" t="s">
        <v>20</v>
      </c>
      <c r="R4955" s="1" t="s">
        <v>9002</v>
      </c>
      <c r="V4955" s="1" t="s">
        <v>9053</v>
      </c>
      <c r="AR4955" s="1" t="str">
        <f t="shared" si="312"/>
        <v>| [ㄌㄧㄥˊ](ㄌㄧㄥˊ.md) | [鯪](鯪.md) |  | líng | [名]
古代傳說中的大怪魚。背腹有刺，其大可吞舟。《楚辭．屈原．天問》：「鯪魚何所？」宋．洪興祖．補注：「鯪，音陵。《山海經》：『西海中近列姑射山有陵魚，人面人手，魚身，見則風濤起。』」 |</v>
      </c>
    </row>
    <row r="4956" spans="1:44" hidden="1">
      <c r="A4956" s="1" t="s">
        <v>9054</v>
      </c>
      <c r="C4956" s="1">
        <v>1</v>
      </c>
      <c r="D4956" s="1" t="str">
        <f>"03709"</f>
        <v>03709</v>
      </c>
      <c r="E4956" s="1" t="s">
        <v>125</v>
      </c>
      <c r="F4956" s="1">
        <v>17</v>
      </c>
      <c r="G4956" s="1">
        <v>9</v>
      </c>
      <c r="H4956" s="1">
        <v>0</v>
      </c>
      <c r="I4956" s="1" t="s">
        <v>9001</v>
      </c>
      <c r="K4956" s="1" t="str">
        <f t="shared" si="310"/>
        <v>ㄌ</v>
      </c>
      <c r="L4956" s="1" t="str">
        <f t="shared" si="311"/>
        <v>ㄧ</v>
      </c>
      <c r="M4956" s="1" t="str">
        <f t="shared" si="309"/>
        <v>ㄥ</v>
      </c>
      <c r="P4956" s="1" t="s">
        <v>20</v>
      </c>
      <c r="R4956" s="1" t="s">
        <v>9002</v>
      </c>
      <c r="V4956" s="1" t="s">
        <v>9055</v>
      </c>
      <c r="AR4956" s="1" t="str">
        <f t="shared" si="312"/>
        <v>| [ㄌㄧㄥˊ](ㄌㄧㄥˊ.md) | [霝](霝.md) |  | líng | [動]
1.降雨。《說文解字．雨部》：「霝，雨𩂣也。」清．段玉裁．注：「霝落，雨曰霝𩂣。」
2.落、墮。《廣韻．平聲．青韻》：「霝，落也、墮也。」
[形]
1.空。清．王念孫《廣雅疏證．卷三下．釋詁》：「霝，空也。」疏證：「凡言霝者，皆中空之義。」
2.好的、善的。通「靈」、「令」。明．張自烈《正字通．雨部》：「霝，與令通。霝始霝終，即令始令終。」 |</v>
      </c>
    </row>
    <row r="4957" spans="1:44" hidden="1">
      <c r="A4957" s="1" t="s">
        <v>9056</v>
      </c>
      <c r="C4957" s="1">
        <v>1</v>
      </c>
      <c r="D4957" s="1" t="str">
        <f>"03710"</f>
        <v>03710</v>
      </c>
      <c r="E4957" s="1" t="s">
        <v>256</v>
      </c>
      <c r="F4957" s="1">
        <v>20</v>
      </c>
      <c r="G4957" s="1">
        <v>17</v>
      </c>
      <c r="H4957" s="1">
        <v>0</v>
      </c>
      <c r="I4957" s="1" t="s">
        <v>9001</v>
      </c>
      <c r="K4957" s="1" t="str">
        <f t="shared" si="310"/>
        <v>ㄌ</v>
      </c>
      <c r="L4957" s="1" t="str">
        <f t="shared" si="311"/>
        <v>ㄧ</v>
      </c>
      <c r="M4957" s="1" t="str">
        <f t="shared" si="309"/>
        <v>ㄥ</v>
      </c>
      <c r="P4957" s="1" t="s">
        <v>20</v>
      </c>
      <c r="R4957" s="1" t="s">
        <v>9002</v>
      </c>
      <c r="V4957" s="1" t="s">
        <v>9057</v>
      </c>
      <c r="AR4957" s="1" t="str">
        <f t="shared" si="312"/>
        <v>| [ㄌㄧㄥˊ](ㄌㄧㄥˊ.md) | [酃](酃.md) |  | líng | 參見「酃淥」、「酃湖」、「酃縣」等條。 |</v>
      </c>
    </row>
    <row r="4958" spans="1:44" hidden="1">
      <c r="A4958" s="1" t="s">
        <v>9058</v>
      </c>
      <c r="C4958" s="1">
        <v>1</v>
      </c>
      <c r="D4958" s="1" t="str">
        <f>"03711"</f>
        <v>03711</v>
      </c>
      <c r="E4958" s="1" t="s">
        <v>139</v>
      </c>
      <c r="F4958" s="1">
        <v>21</v>
      </c>
      <c r="G4958" s="1">
        <v>17</v>
      </c>
      <c r="H4958" s="1">
        <v>0</v>
      </c>
      <c r="I4958" s="1" t="s">
        <v>9001</v>
      </c>
      <c r="K4958" s="1" t="str">
        <f t="shared" si="310"/>
        <v>ㄌ</v>
      </c>
      <c r="L4958" s="1" t="str">
        <f t="shared" si="311"/>
        <v>ㄧ</v>
      </c>
      <c r="M4958" s="1" t="str">
        <f t="shared" si="309"/>
        <v>ㄥ</v>
      </c>
      <c r="P4958" s="1" t="s">
        <v>20</v>
      </c>
      <c r="R4958" s="1" t="s">
        <v>9002</v>
      </c>
      <c r="V4958" s="1" t="s">
        <v>9059</v>
      </c>
      <c r="AR4958" s="1" t="str">
        <f t="shared" si="312"/>
        <v>| [ㄌㄧㄥˊ](ㄌㄧㄥˊ.md) | [櫺](櫺.md) |  | líng | [名]
1.門或窗檻、欄杆上雕花的格子。《文選．班固．西都賦》：「舍櫺檻而卻倚，若顛墜而復稽。」
2.屋檐。南朝宋．謝靈運〈山居賦〉：「夏涼寒燠，隨時取適，階基回互，橑櫺乘隔。」 |</v>
      </c>
    </row>
    <row r="4959" spans="1:44" hidden="1">
      <c r="A4959" s="1" t="s">
        <v>9060</v>
      </c>
      <c r="C4959" s="1">
        <v>1</v>
      </c>
      <c r="D4959" s="1" t="str">
        <f>"03712"</f>
        <v>03712</v>
      </c>
      <c r="E4959" s="1" t="s">
        <v>37</v>
      </c>
      <c r="F4959" s="1">
        <v>21</v>
      </c>
      <c r="G4959" s="1">
        <v>17</v>
      </c>
      <c r="H4959" s="1">
        <v>0</v>
      </c>
      <c r="I4959" s="1" t="s">
        <v>9001</v>
      </c>
      <c r="K4959" s="1" t="str">
        <f t="shared" si="310"/>
        <v>ㄌ</v>
      </c>
      <c r="L4959" s="1" t="str">
        <f t="shared" si="311"/>
        <v>ㄧ</v>
      </c>
      <c r="M4959" s="1" t="str">
        <f t="shared" si="309"/>
        <v>ㄥ</v>
      </c>
      <c r="P4959" s="1" t="s">
        <v>20</v>
      </c>
      <c r="R4959" s="1" t="s">
        <v>9002</v>
      </c>
      <c r="V4959" s="1" t="s">
        <v>9061</v>
      </c>
      <c r="AR4959" s="1" t="str">
        <f t="shared" si="312"/>
        <v>| [ㄌㄧㄥˊ](ㄌㄧㄥˊ.md) | [蘦](蘦.md) |  | líng | [名]
植物名。薯蕷科薯蕷屬，多年生纏繞藤本。塊莖單生，球形或圓錐形。莖左旋，光滑。葉寬卵形或心狀卵形，葉腋常具珠芽。花單性，穗狀花序。蒴果長橢圓形，具三翅。塊莖外側褐色，內黃赤色，入藥，主治惡腫瘡毒等症狀。《說文解字．艸部》：「蘦，大苦也。」現稱「黃獨」、「黃藥子」。 |</v>
      </c>
    </row>
    <row r="4960" spans="1:44" hidden="1">
      <c r="A4960" s="1" t="s">
        <v>9062</v>
      </c>
      <c r="C4960" s="1">
        <v>1</v>
      </c>
      <c r="D4960" s="1" t="str">
        <f>"03713"</f>
        <v>03713</v>
      </c>
      <c r="E4960" s="1" t="s">
        <v>125</v>
      </c>
      <c r="F4960" s="1">
        <v>24</v>
      </c>
      <c r="G4960" s="1">
        <v>16</v>
      </c>
      <c r="H4960" s="1">
        <v>0</v>
      </c>
      <c r="I4960" s="1" t="s">
        <v>9001</v>
      </c>
      <c r="K4960" s="1" t="str">
        <f t="shared" si="310"/>
        <v>ㄌ</v>
      </c>
      <c r="L4960" s="1" t="str">
        <f t="shared" si="311"/>
        <v>ㄧ</v>
      </c>
      <c r="M4960" s="1" t="str">
        <f t="shared" si="309"/>
        <v>ㄥ</v>
      </c>
      <c r="P4960" s="1" t="s">
        <v>20</v>
      </c>
      <c r="R4960" s="1" t="s">
        <v>9002</v>
      </c>
      <c r="V4960" s="1" t="s">
        <v>9063</v>
      </c>
      <c r="AR4960" s="1" t="str">
        <f t="shared" si="312"/>
        <v>| [ㄌㄧㄥˊ](ㄌㄧㄥˊ.md) | [靈](靈.md) |  | líng | [名]
1.事神的女巫。《楚辭．屈原．九歌．東皇太一》：「靈偃蹇兮姣服，芳菲菲兮滿堂。」漢．王逸．注：「靈，謂巫也。」
2.鬼神。《詩經．商頌．殷武》：「赫赫厥聲，濯濯厥靈。」唐．孔穎達．正義：「其見尊敬如神靈也。」明．徐弘祖《徐霞客遊記．卷四下．黔遊日記二》：「此山靈招我，不可失也。」
3.魂魄。如：「靈魂」。南朝梁．江淹〈待罪江南思北歸賦〉：「願歸靈於上國，雖坎軻而不惜身。」清．林覺民〈與妻訣別書〉：「則吾之死，吾靈尚依依汝旁也，汝不必以無侶悲。」
4.人的精神。南朝梁．劉勰《文心雕龍．情采》：「若乃綜述性靈，敷寫器象。」
5.最精明能幹者。《書經．泰誓上》：「惟人，萬物之靈。」
6.靈柩的簡稱。如：「停靈」、「守靈」。《兒女英雄傳》第一七回：「那口靈就拱在堂屋正中，姑娘跪在靈右，候著還禮。」
7.姓。如戰國時晉國有靈輒。
[動]
1.明曉事理。《莊子．天地》：「大惑者終身不解，大愚者終身不靈。」
2.保佑。《國語．吳語》：「孤豈敢自多，先王之鍾鼓，寔式靈之。」
[形]
1.神妙、奇異。《文選．謝靈運．登江中孤嶼詩》：「表靈物莫賞，蘊真誰為傳。」
2.應驗。《老殘遊記》第四回：「你老不信，試試我的話，看靈不靈？」
3.機敏、不呆滯。如：「機靈」、「心靈手巧」。明．徐弘祖《徐霞客遊記．卷一〇上．滇遊日記十三》：「無霓裳而骨節皆靈，掩鮫綃而丰神獨迥。」
4.美好、善。《文選．潘岳．閑居賦》：「竹木蓊藹，靈果參差。」唐．白居易〈修香山寺記〉：「靈跡勝概，靡不周覽。」 |</v>
      </c>
    </row>
    <row r="4961" spans="1:44" hidden="1">
      <c r="A4961" s="1" t="s">
        <v>9064</v>
      </c>
      <c r="C4961" s="1">
        <v>1</v>
      </c>
      <c r="D4961" s="1" t="str">
        <f>"03714"</f>
        <v>03714</v>
      </c>
      <c r="E4961" s="1" t="s">
        <v>1462</v>
      </c>
      <c r="F4961" s="1">
        <v>24</v>
      </c>
      <c r="G4961" s="1">
        <v>17</v>
      </c>
      <c r="H4961" s="1">
        <v>0</v>
      </c>
      <c r="I4961" s="1" t="s">
        <v>9001</v>
      </c>
      <c r="K4961" s="1" t="str">
        <f t="shared" si="310"/>
        <v>ㄌ</v>
      </c>
      <c r="L4961" s="1" t="str">
        <f t="shared" si="311"/>
        <v>ㄧ</v>
      </c>
      <c r="M4961" s="1" t="str">
        <f t="shared" si="309"/>
        <v>ㄥ</v>
      </c>
      <c r="P4961" s="1" t="s">
        <v>20</v>
      </c>
      <c r="R4961" s="1" t="s">
        <v>9002</v>
      </c>
      <c r="V4961" s="1" t="s">
        <v>9065</v>
      </c>
      <c r="AR4961" s="1" t="str">
        <f t="shared" si="312"/>
        <v>| [ㄌㄧㄥˊ](ㄌㄧㄥˊ.md) | [醽](醽.md) |  | líng | 參見「醽醁」條。 |</v>
      </c>
    </row>
    <row r="4962" spans="1:44" hidden="1">
      <c r="A4962" s="1" t="s">
        <v>9066</v>
      </c>
      <c r="C4962" s="1">
        <v>1</v>
      </c>
      <c r="D4962" s="1" t="str">
        <f>"03715"</f>
        <v>03715</v>
      </c>
      <c r="E4962" s="1" t="s">
        <v>139</v>
      </c>
      <c r="F4962" s="1">
        <v>28</v>
      </c>
      <c r="G4962" s="1">
        <v>24</v>
      </c>
      <c r="H4962" s="1">
        <v>0</v>
      </c>
      <c r="I4962" s="1" t="s">
        <v>9001</v>
      </c>
      <c r="K4962" s="1" t="str">
        <f t="shared" si="310"/>
        <v>ㄌ</v>
      </c>
      <c r="L4962" s="1" t="str">
        <f t="shared" si="311"/>
        <v>ㄧ</v>
      </c>
      <c r="M4962" s="1" t="str">
        <f t="shared" si="309"/>
        <v>ㄥ</v>
      </c>
      <c r="P4962" s="1" t="s">
        <v>20</v>
      </c>
      <c r="R4962" s="1" t="s">
        <v>9002</v>
      </c>
      <c r="V4962" s="1" t="s">
        <v>9067</v>
      </c>
      <c r="AR4962" s="1" t="str">
        <f t="shared" si="312"/>
        <v>| [ㄌㄧㄥˊ](ㄌㄧㄥˊ.md) | [欞](欞.md) |  | líng | [名]
1.長木。《玉篇．木部》：「欞，長木也。」
2.門或窗檻、欄杆上雕花的方格子。同「櫺」。元．熊忠《古今韻會舉要．平聲．青韻》：「櫺，通作欞。」唐．常袞〈貞懿皇后哀冊文〉：「輅升玉綴，軒𡙇珠欞。」 |</v>
      </c>
    </row>
    <row r="4963" spans="1:44" hidden="1">
      <c r="A4963" s="1" t="s">
        <v>9068</v>
      </c>
      <c r="C4963" s="1">
        <v>1</v>
      </c>
      <c r="D4963" s="1" t="str">
        <f>"03716"</f>
        <v>03716</v>
      </c>
      <c r="E4963" s="1" t="s">
        <v>684</v>
      </c>
      <c r="F4963" s="1">
        <v>14</v>
      </c>
      <c r="G4963" s="1">
        <v>5</v>
      </c>
      <c r="H4963" s="1">
        <v>0</v>
      </c>
      <c r="I4963" s="1" t="s">
        <v>9069</v>
      </c>
      <c r="K4963" s="1" t="str">
        <f t="shared" si="310"/>
        <v>ㄌ</v>
      </c>
      <c r="L4963" s="1" t="str">
        <f t="shared" si="311"/>
        <v>ㄧ</v>
      </c>
      <c r="M4963" s="1" t="str">
        <f t="shared" si="309"/>
        <v>ㄥ</v>
      </c>
      <c r="P4963" s="1" t="s">
        <v>20</v>
      </c>
      <c r="R4963" s="1" t="s">
        <v>9070</v>
      </c>
      <c r="V4963" s="1" t="s">
        <v>9071</v>
      </c>
      <c r="AR4963" s="1" t="str">
        <f t="shared" si="312"/>
        <v>| [ㄌㄧㄥˇ](ㄌㄧㄥˇ.md) | [領](領.md) |  | lǐng | [名]
1.頸部。《孟子．梁惠王上》：「如有不嗜殺人者，則天下之民皆引領而望之矣。」
2.衣服圍護頸部的部分。如：「領子」、「衣領」。《荀子．勸學》：「若挈裘領，詘五指而頓之，順者不可勝數也。」
3.大綱、要點。如：「提綱挈領」、「要領」。
4.量詞。古代計算上衣、袍子或被子等的單位。《漢書．卷六八．霍光傳》：「賜金錢、繒絮，繡被百領，衣五十篋。」
[動]
1.統率。如：「率領」。《漢書．卷六六．楊敞傳》：「爵為通侯，總領從官。」
2.受取。如：「領情」、「領餉」、「失物招領」。宋．蘇軾〈與楊濟甫〉二首之二：「遠蒙厚惠蜀紙藥物等，一一如數領訖。」
3.曉悟、了解。如：「領會」、「領悟」。晉．陶淵明〈飲酒詩〉二〇首之一三：「醒醉還相笑，發言各不領。」
4.引導。如：「帶領」、「引領」。唐．元結〈宿洄溪翁宅〉詩：「老翁八十猶能行，將領兒孫行拾稼。」
[形]
所管轄的。如：「領土」、「領空」、「領海」。 |</v>
      </c>
    </row>
    <row r="4964" spans="1:44" hidden="1">
      <c r="A4964" s="1" t="s">
        <v>9072</v>
      </c>
      <c r="C4964" s="1">
        <v>1</v>
      </c>
      <c r="D4964" s="1" t="str">
        <f>"03717"</f>
        <v>03717</v>
      </c>
      <c r="E4964" s="1" t="s">
        <v>190</v>
      </c>
      <c r="F4964" s="1">
        <v>17</v>
      </c>
      <c r="G4964" s="1">
        <v>14</v>
      </c>
      <c r="H4964" s="1">
        <v>0</v>
      </c>
      <c r="I4964" s="1" t="s">
        <v>9069</v>
      </c>
      <c r="K4964" s="1" t="str">
        <f t="shared" si="310"/>
        <v>ㄌ</v>
      </c>
      <c r="L4964" s="1" t="str">
        <f t="shared" si="311"/>
        <v>ㄧ</v>
      </c>
      <c r="M4964" s="1" t="str">
        <f t="shared" si="309"/>
        <v>ㄥ</v>
      </c>
      <c r="P4964" s="1" t="s">
        <v>20</v>
      </c>
      <c r="R4964" s="1" t="s">
        <v>9070</v>
      </c>
      <c r="V4964" s="1" t="s">
        <v>9073</v>
      </c>
      <c r="AR4964" s="1" t="str">
        <f t="shared" si="312"/>
        <v>| [ㄌㄧㄥˇ](ㄌㄧㄥˇ.md) | [嶺](嶺.md) |  | lǐng | [名]
1.有道路可通的山頂。晉．王羲之〈三月三日蘭亭詩序〉：「此地有崇山峻嶺，茂林修竹。」
2.連綿不斷的山。如：「北嶺」、「大興安嶺」、「南嶺」、「秦嶺」。宋．蘇軾〈題西林壁〉詩：「橫看成嶺側成峰，遠近高低無一同。」
3.大陸地區五嶺的簡稱。《漢書．卷九五．南粵傳》：「士卒大疫，兵不能隃嶺。」《晉書．卷九〇．良吏傳．吳隱之傳》：「朝廷欲革嶺南之弊，隆安中，以隱之為龍驤將軍。」 |</v>
      </c>
    </row>
    <row r="4965" spans="1:44" hidden="1">
      <c r="A4965" s="1" t="s">
        <v>9074</v>
      </c>
      <c r="C4965" s="1">
        <v>1</v>
      </c>
      <c r="D4965" s="1" t="str">
        <f>"03718"</f>
        <v>03718</v>
      </c>
      <c r="E4965" s="1" t="s">
        <v>28</v>
      </c>
      <c r="F4965" s="1">
        <v>5</v>
      </c>
      <c r="G4965" s="1">
        <v>2</v>
      </c>
      <c r="H4965" s="1">
        <v>0</v>
      </c>
      <c r="I4965" s="1" t="s">
        <v>9075</v>
      </c>
      <c r="K4965" s="1" t="str">
        <f t="shared" si="310"/>
        <v>ㄌ</v>
      </c>
      <c r="L4965" s="1" t="str">
        <f t="shared" si="311"/>
        <v>ㄧ</v>
      </c>
      <c r="M4965" s="1" t="str">
        <f t="shared" si="309"/>
        <v>ㄥ</v>
      </c>
      <c r="P4965" s="1" t="s">
        <v>20</v>
      </c>
      <c r="R4965" s="1" t="s">
        <v>9076</v>
      </c>
      <c r="V4965" s="1" t="s">
        <v>9077</v>
      </c>
      <c r="AR4965" s="1" t="str">
        <f t="shared" si="312"/>
        <v>| [ㄌㄧㄥˋ](ㄌㄧㄥˋ.md) | [另](另.md) |  | lìng | [副]
再、分別。如：「另有他用」、「另行通知」、「另請高明」、「另當別論」。 |</v>
      </c>
    </row>
    <row r="4966" spans="1:44" hidden="1">
      <c r="A4966" s="1" t="s">
        <v>9078</v>
      </c>
      <c r="C4966" s="1">
        <v>1</v>
      </c>
      <c r="D4966" s="1" t="str">
        <f>"03719"</f>
        <v>03719</v>
      </c>
      <c r="E4966" s="1" t="s">
        <v>114</v>
      </c>
      <c r="F4966" s="1">
        <v>5</v>
      </c>
      <c r="G4966" s="1">
        <v>3</v>
      </c>
      <c r="H4966" s="1">
        <v>0</v>
      </c>
      <c r="I4966" s="1" t="s">
        <v>9075</v>
      </c>
      <c r="K4966" s="1" t="str">
        <f t="shared" si="310"/>
        <v>ㄌ</v>
      </c>
      <c r="L4966" s="1" t="str">
        <f t="shared" si="311"/>
        <v>ㄧ</v>
      </c>
      <c r="M4966" s="1" t="str">
        <f t="shared" si="309"/>
        <v>ㄥ</v>
      </c>
      <c r="P4966" s="1" t="s">
        <v>20</v>
      </c>
      <c r="R4966" s="1" t="s">
        <v>9076</v>
      </c>
      <c r="V4966" s="1" t="s">
        <v>9079</v>
      </c>
      <c r="AR4966" s="1" t="str">
        <f t="shared" si="312"/>
        <v>| [ㄌㄧㄥˋ](ㄌㄧㄥˋ.md) | [令](令.md) |  | lìng | [名]
1.命令、法令。如：「軍令」、「人事命令」。《孟子．梁惠王下》：「王速出令，反其旄倪。」
2.時節。如：「節令」、「夏令」。《鏡花緣》第三九回：「喜得正是小陽春當令，還不甚冷。」
3.職官名。古代稱某些中央機關的長官為令，如尚書令、中書令；也指地方行政首長為令，如縣令；某些下屬機關的主官也稱令，如太子家令、掖庭令、太樂令等。
4.詞、曲中小令的簡稱。
5.姓。如漢代有令勉。
[動]
1.發布命令。《論語．子路》：「其身正，不令而行，其身不正，雖令不從。」
2.使、讓。《戰國策．趙策四》：「有復言令長安君為質者，老婦必唾其面。」漢．李陵〈答蘇武書〉：「令先君之嗣，更成戎狄之族，又自悲矣。」
[形]
1.好的、善的。如：「令德」、「令譽」。《詩經．大雅．卷阿》：「如圭如璋，令聞令望。」漢．鄭玄．箋：「令，善也。」
2.敬辭。用以尊稱他人的親屬或有關係的人，今人都只限用於尊稱對方之親屬或有關係的人。如：「令尊」、「令郎」、「令堂」、「令婿」。 |</v>
      </c>
    </row>
    <row r="4967" spans="1:44" hidden="1">
      <c r="A4967" s="1" t="s">
        <v>9384</v>
      </c>
      <c r="C4967" s="1">
        <v>1</v>
      </c>
      <c r="D4967" s="1" t="str">
        <f>"03852"</f>
        <v>03852</v>
      </c>
      <c r="E4967" s="1" t="s">
        <v>691</v>
      </c>
      <c r="F4967" s="1">
        <v>12</v>
      </c>
      <c r="G4967" s="1">
        <v>9</v>
      </c>
      <c r="H4967" s="1">
        <v>0</v>
      </c>
      <c r="I4967" s="1" t="s">
        <v>9385</v>
      </c>
      <c r="K4967" s="1" t="str">
        <f t="shared" si="310"/>
        <v>ㄌ</v>
      </c>
      <c r="L4967" s="1" t="str">
        <f t="shared" si="311"/>
        <v>ㄨ</v>
      </c>
      <c r="M4967" s="1" t="str">
        <f t="shared" si="309"/>
        <v>ㄥ</v>
      </c>
      <c r="P4967" s="1" t="s">
        <v>20</v>
      </c>
      <c r="R4967" s="1" t="s">
        <v>9386</v>
      </c>
      <c r="V4967" s="1" t="s">
        <v>9387</v>
      </c>
      <c r="AR4967" s="1" t="str">
        <f t="shared" si="312"/>
        <v>| [ㄌㄨㄥˊ](ㄌㄨㄥˊ.md) | [隆](隆.md) |  | lóng | [形]
1.豐富、盛大。如：「隆重」。《淮南子．繆稱》：「趙宣孟以束脯免其軀，禮不隆而德有餘。」
2.深厚。如：「隆冬」、「隆恩」、「隆情厚誼」。
3.興起、興盛。如：「興隆」、「隆盛」。
4.高起的。如：「隆起」。《史記．卷八．高祖本紀》：「高祖為人，隆準而龍顏，美須髯。」
[動]
1.增高。如：「隆鼻」。《戰國策．齊策一》：「雖隆薛之城到於天，猶之無益也。」
2.崇尚、尊崇。《荀子．勸學》：「學之經莫速乎好其人，隆禮次之。」宋．王之道〈漁家傲．老老恩波今及老〉詞：「隆孝道，慕踰五十前王少。」
[擬]
形容雷聲或爆炸聲。如：「只聽到轟隆一聲巨響，整排房子夷為平地。」漢．王充《論衡．雷虛》：「隆隆之聲，天怒之音，若人之呴吁矣！」 |</v>
      </c>
    </row>
    <row r="4968" spans="1:44" hidden="1">
      <c r="A4968" s="1" t="s">
        <v>9388</v>
      </c>
      <c r="C4968" s="1">
        <v>1</v>
      </c>
      <c r="D4968" s="1" t="str">
        <f>"03853"</f>
        <v>03853</v>
      </c>
      <c r="E4968" s="1" t="s">
        <v>40</v>
      </c>
      <c r="F4968" s="1">
        <v>17</v>
      </c>
      <c r="G4968" s="1">
        <v>12</v>
      </c>
      <c r="H4968" s="1">
        <v>0</v>
      </c>
      <c r="I4968" s="1" t="s">
        <v>9385</v>
      </c>
      <c r="K4968" s="1" t="str">
        <f t="shared" si="310"/>
        <v>ㄌ</v>
      </c>
      <c r="L4968" s="1" t="str">
        <f t="shared" si="311"/>
        <v>ㄨ</v>
      </c>
      <c r="M4968" s="1" t="str">
        <f t="shared" si="309"/>
        <v>ㄥ</v>
      </c>
      <c r="P4968" s="1" t="s">
        <v>20</v>
      </c>
      <c r="R4968" s="1" t="s">
        <v>9386</v>
      </c>
      <c r="V4968" s="1" t="s">
        <v>9389</v>
      </c>
      <c r="AR4968" s="1" t="str">
        <f t="shared" si="312"/>
        <v>| [ㄌㄨㄥˊ](ㄌㄨㄥˊ.md) | [癃](癃.md) |  | lóng | [名]
小便不通暢的症狀。《黃帝內經素問．卷七．宣明五氣篇》：「膀胱不利為癃。」
[形]
彎腰駝背、老態龍鍾的樣子。《晏子春秋．內篇．問下》：「公所見癃老者七十人。」 |</v>
      </c>
    </row>
    <row r="4969" spans="1:44" hidden="1">
      <c r="A4969" s="1" t="s">
        <v>9390</v>
      </c>
      <c r="C4969" s="1">
        <v>1</v>
      </c>
      <c r="D4969" s="1" t="str">
        <f>"03854"</f>
        <v>03854</v>
      </c>
      <c r="E4969" s="1" t="s">
        <v>1274</v>
      </c>
      <c r="F4969" s="1">
        <v>17</v>
      </c>
      <c r="G4969" s="1">
        <v>12</v>
      </c>
      <c r="H4969" s="1">
        <v>0</v>
      </c>
      <c r="I4969" s="1" t="s">
        <v>9385</v>
      </c>
      <c r="K4969" s="1" t="str">
        <f t="shared" si="310"/>
        <v>ㄌ</v>
      </c>
      <c r="L4969" s="1" t="str">
        <f t="shared" si="311"/>
        <v>ㄨ</v>
      </c>
      <c r="M4969" s="1" t="str">
        <f t="shared" si="309"/>
        <v>ㄥ</v>
      </c>
      <c r="P4969" s="1" t="s">
        <v>20</v>
      </c>
      <c r="R4969" s="1" t="s">
        <v>9386</v>
      </c>
      <c r="V4969" s="1" t="s">
        <v>9391</v>
      </c>
      <c r="AR4969" s="1" t="str">
        <f t="shared" si="312"/>
        <v>| [ㄌㄨㄥˊ](ㄌㄨㄥˊ.md) | [窿](窿.md) |  | lóng | 參見「窟窿」條。 |</v>
      </c>
    </row>
    <row r="4970" spans="1:44" hidden="1">
      <c r="A4970" s="1" t="s">
        <v>9392</v>
      </c>
      <c r="C4970" s="1">
        <v>1</v>
      </c>
      <c r="D4970" s="1" t="str">
        <f>"03855"</f>
        <v>03855</v>
      </c>
      <c r="E4970" s="1" t="s">
        <v>9393</v>
      </c>
      <c r="F4970" s="1">
        <v>16</v>
      </c>
      <c r="G4970" s="1">
        <v>0</v>
      </c>
      <c r="H4970" s="1">
        <v>0</v>
      </c>
      <c r="I4970" s="1" t="s">
        <v>9385</v>
      </c>
      <c r="K4970" s="1" t="str">
        <f t="shared" si="310"/>
        <v>ㄌ</v>
      </c>
      <c r="L4970" s="1" t="str">
        <f t="shared" si="311"/>
        <v>ㄨ</v>
      </c>
      <c r="M4970" s="1" t="str">
        <f t="shared" si="309"/>
        <v>ㄥ</v>
      </c>
      <c r="P4970" s="1" t="s">
        <v>20</v>
      </c>
      <c r="R4970" s="1" t="s">
        <v>9386</v>
      </c>
      <c r="V4970" s="1" t="s">
        <v>9394</v>
      </c>
      <c r="AR4970" s="1" t="str">
        <f t="shared" si="312"/>
        <v>| [ㄌㄨㄥˊ](ㄌㄨㄥˊ.md) | [龍](龍.md) |  | lóng | [名]
1.傳說中一種極具靈性的動物。頭生角、鬚，身長，有鱗、爪。《說文解字．龍部》：「龍，鱗蟲之長，能幽能明，能細能巨，能短能長，春分而登天，秋分而潛淵。」
2.古代帝王的象徵。漢．王充《論衡．紀妖》：「祖龍死，謂始皇也。祖，人之本；龍，人君之象也。」
3.比喻首領或豪傑才俊。如：「人中之龍」。《史記．卷六三．老子韓非傳》：「吾今日見老子，其猶龍邪！」
4.古生物學上指有腳、尾的巨大爬蟲類。如：「恐龍」、「雷龍」、「暴龍」、「翼手龍」。
5.像龍形的長條物。如：「水龍」、「車水馬龍」。
6.人造化學纖維紡織品的簡稱。如：「尼龍」、「達克龍」。
7.姓。如秦代有龍且。
8.二一四部首之一。
[形]
皇帝的。如：「龍床」、「龍袍」、「龍顏」、「龍心大悅」。 |</v>
      </c>
    </row>
    <row r="4971" spans="1:44" hidden="1">
      <c r="A4971" s="1" t="s">
        <v>9395</v>
      </c>
      <c r="C4971" s="1">
        <v>1</v>
      </c>
      <c r="D4971" s="1" t="str">
        <f>"03856"</f>
        <v>03856</v>
      </c>
      <c r="E4971" s="1" t="s">
        <v>129</v>
      </c>
      <c r="F4971" s="1">
        <v>19</v>
      </c>
      <c r="G4971" s="1">
        <v>16</v>
      </c>
      <c r="H4971" s="1">
        <v>1</v>
      </c>
      <c r="I4971" s="1" t="s">
        <v>9385</v>
      </c>
      <c r="K4971" s="1" t="str">
        <f t="shared" si="310"/>
        <v>ㄌ</v>
      </c>
      <c r="L4971" s="1" t="str">
        <f t="shared" si="311"/>
        <v>ㄨ</v>
      </c>
      <c r="M4971" s="1" t="str">
        <f t="shared" si="309"/>
        <v>ㄥ</v>
      </c>
      <c r="P4971" s="1" t="s">
        <v>20</v>
      </c>
      <c r="R4971" s="1" t="s">
        <v>9386</v>
      </c>
      <c r="V4971" s="1" t="s">
        <v>9396</v>
      </c>
      <c r="W4971" s="1" t="s">
        <v>9397</v>
      </c>
      <c r="AR4971" s="1" t="str">
        <f t="shared" si="312"/>
        <v>| [ㄌㄨㄥˊ](ㄌㄨㄥˊ.md) | [瀧](瀧.md) |  | lóng | [形]
1.下雨的樣子。《說文解字．水部》：「瀧，雨瀧瀧貌。」清．段玉裁．注：「瀧瀧，雨滴貌也。」
2.湍急。唐．賈島〈寄韓潮州愈〉詩：「隔嶺篇章來華岳，出關書信過瀧流。」
[名]
湍急的水流。如：「奔瀧」、「飛瀧」。
[動]
浸漬、浸溼。漢．王充《論衡．自紀》：「筆瀧漉而雨集，言溶㵠而泉出。」 |</v>
      </c>
    </row>
    <row r="4972" spans="1:44" hidden="1">
      <c r="A4972" s="1" t="s">
        <v>9398</v>
      </c>
      <c r="C4972" s="1">
        <v>1</v>
      </c>
      <c r="D4972" s="1" t="str">
        <f>"03857"</f>
        <v>03857</v>
      </c>
      <c r="E4972" s="1" t="s">
        <v>28</v>
      </c>
      <c r="F4972" s="1">
        <v>19</v>
      </c>
      <c r="G4972" s="1">
        <v>16</v>
      </c>
      <c r="H4972" s="1">
        <v>0</v>
      </c>
      <c r="I4972" s="1" t="s">
        <v>9385</v>
      </c>
      <c r="K4972" s="1" t="str">
        <f t="shared" si="310"/>
        <v>ㄌ</v>
      </c>
      <c r="L4972" s="1" t="str">
        <f t="shared" si="311"/>
        <v>ㄨ</v>
      </c>
      <c r="M4972" s="1" t="str">
        <f t="shared" si="309"/>
        <v>ㄥ</v>
      </c>
      <c r="P4972" s="1" t="s">
        <v>20</v>
      </c>
      <c r="R4972" s="1" t="s">
        <v>9386</v>
      </c>
      <c r="V4972" s="1" t="s">
        <v>9399</v>
      </c>
      <c r="AR4972" s="1" t="str">
        <f t="shared" si="312"/>
        <v>| [ㄌㄨㄥˊ](ㄌㄨㄥˊ.md) | [嚨](嚨.md) |  | lóng | 參見「喉嚨」條。 |</v>
      </c>
    </row>
    <row r="4973" spans="1:44" hidden="1">
      <c r="A4973" s="1" t="s">
        <v>9400</v>
      </c>
      <c r="C4973" s="1">
        <v>1</v>
      </c>
      <c r="D4973" s="1" t="str">
        <f>"03858"</f>
        <v>03858</v>
      </c>
      <c r="E4973" s="1" t="s">
        <v>190</v>
      </c>
      <c r="F4973" s="1">
        <v>19</v>
      </c>
      <c r="G4973" s="1">
        <v>16</v>
      </c>
      <c r="H4973" s="1">
        <v>0</v>
      </c>
      <c r="I4973" s="1" t="s">
        <v>9385</v>
      </c>
      <c r="K4973" s="1" t="str">
        <f t="shared" si="310"/>
        <v>ㄌ</v>
      </c>
      <c r="L4973" s="1" t="str">
        <f t="shared" si="311"/>
        <v>ㄨ</v>
      </c>
      <c r="M4973" s="1" t="str">
        <f t="shared" si="309"/>
        <v>ㄥ</v>
      </c>
      <c r="P4973" s="1" t="s">
        <v>20</v>
      </c>
      <c r="R4973" s="1" t="s">
        <v>9386</v>
      </c>
      <c r="V4973" s="1" t="s">
        <v>9401</v>
      </c>
      <c r="AR4973" s="1" t="str">
        <f t="shared" si="312"/>
        <v>| [ㄌㄨㄥˊ](ㄌㄨㄥˊ.md) | [巃](巃.md) |  | lóng | 參見「巃嵷」條。 |</v>
      </c>
    </row>
    <row r="4974" spans="1:44" hidden="1">
      <c r="A4974" s="1" t="s">
        <v>9402</v>
      </c>
      <c r="C4974" s="1">
        <v>1</v>
      </c>
      <c r="D4974" s="1" t="str">
        <f>"03859"</f>
        <v>03859</v>
      </c>
      <c r="E4974" s="1" t="s">
        <v>142</v>
      </c>
      <c r="F4974" s="1">
        <v>20</v>
      </c>
      <c r="G4974" s="1">
        <v>16</v>
      </c>
      <c r="H4974" s="1">
        <v>0</v>
      </c>
      <c r="I4974" s="1" t="s">
        <v>9385</v>
      </c>
      <c r="K4974" s="1" t="str">
        <f t="shared" si="310"/>
        <v>ㄌ</v>
      </c>
      <c r="L4974" s="1" t="str">
        <f t="shared" si="311"/>
        <v>ㄨ</v>
      </c>
      <c r="M4974" s="1" t="str">
        <f t="shared" si="309"/>
        <v>ㄥ</v>
      </c>
      <c r="P4974" s="1" t="s">
        <v>20</v>
      </c>
      <c r="R4974" s="1" t="s">
        <v>9386</v>
      </c>
      <c r="V4974" s="1" t="s">
        <v>9403</v>
      </c>
      <c r="AR4974" s="1" t="str">
        <f t="shared" si="312"/>
        <v>| [ㄌㄨㄥˊ](ㄌㄨㄥˊ.md) | [瓏](瓏.md) |  | lóng | 參見「瓏玲」、「瓏瓏」等條。 |</v>
      </c>
    </row>
    <row r="4975" spans="1:44" hidden="1">
      <c r="A4975" s="1" t="s">
        <v>9404</v>
      </c>
      <c r="C4975" s="1">
        <v>1</v>
      </c>
      <c r="D4975" s="1" t="str">
        <f>"03860"</f>
        <v>03860</v>
      </c>
      <c r="E4975" s="1" t="s">
        <v>139</v>
      </c>
      <c r="F4975" s="1">
        <v>20</v>
      </c>
      <c r="G4975" s="1">
        <v>16</v>
      </c>
      <c r="H4975" s="1">
        <v>0</v>
      </c>
      <c r="I4975" s="1" t="s">
        <v>9385</v>
      </c>
      <c r="K4975" s="1" t="str">
        <f t="shared" si="310"/>
        <v>ㄌ</v>
      </c>
      <c r="L4975" s="1" t="str">
        <f t="shared" si="311"/>
        <v>ㄨ</v>
      </c>
      <c r="M4975" s="1" t="str">
        <f t="shared" si="309"/>
        <v>ㄥ</v>
      </c>
      <c r="P4975" s="1" t="s">
        <v>20</v>
      </c>
      <c r="R4975" s="1" t="s">
        <v>9386</v>
      </c>
      <c r="V4975" s="1" t="s">
        <v>9405</v>
      </c>
      <c r="AR4975" s="1" t="str">
        <f t="shared" si="312"/>
        <v>| [ㄌㄨㄥˊ](ㄌㄨㄥˊ.md) | [櫳](櫳.md) |  | lóng | [名]
1.畜養禽獸的籠子。《廣韻．平聲．東韻》：「櫳，檻也，養獸所也。」
2.窗戶、窗牖。《文選．謝惠連．七月七日夜詠牛女詩》：「落日隱檐楹，升月照簾櫳。」
3.房舍。唐．韋莊〈荷葉杯．絕代佳人難得〉詞：「碧天無路信難通，惆悵舊房櫳。」 |</v>
      </c>
    </row>
    <row r="4976" spans="1:44" hidden="1">
      <c r="A4976" s="1" t="s">
        <v>9406</v>
      </c>
      <c r="C4976" s="1">
        <v>1</v>
      </c>
      <c r="D4976" s="1" t="str">
        <f>"03861"</f>
        <v>03861</v>
      </c>
      <c r="E4976" s="1" t="s">
        <v>37</v>
      </c>
      <c r="F4976" s="1">
        <v>20</v>
      </c>
      <c r="G4976" s="1">
        <v>16</v>
      </c>
      <c r="H4976" s="1">
        <v>0</v>
      </c>
      <c r="I4976" s="1" t="s">
        <v>9385</v>
      </c>
      <c r="K4976" s="1" t="str">
        <f t="shared" si="310"/>
        <v>ㄌ</v>
      </c>
      <c r="L4976" s="1" t="str">
        <f t="shared" si="311"/>
        <v>ㄨ</v>
      </c>
      <c r="M4976" s="1" t="str">
        <f t="shared" si="309"/>
        <v>ㄥ</v>
      </c>
      <c r="P4976" s="1" t="s">
        <v>20</v>
      </c>
      <c r="R4976" s="1" t="s">
        <v>9386</v>
      </c>
      <c r="V4976" s="1" t="s">
        <v>9407</v>
      </c>
      <c r="AR4976" s="1" t="str">
        <f t="shared" si="312"/>
        <v>| [ㄌㄨㄥˊ](ㄌㄨㄥˊ.md) | [蘢](蘢.md) |  | lóng | [名]
植物名。蓼科蓼屬，一年生草本。莖高六十至七十公分。葉互生，呈披針形或長橢圓形。夏秋之間開紅紫色或白色的花。也稱為「馬蓼」。 |</v>
      </c>
    </row>
    <row r="4977" spans="1:44" hidden="1">
      <c r="A4977" s="1" t="s">
        <v>9408</v>
      </c>
      <c r="C4977" s="1">
        <v>1</v>
      </c>
      <c r="D4977" s="1" t="str">
        <f>"03862"</f>
        <v>03862</v>
      </c>
      <c r="E4977" s="1" t="s">
        <v>646</v>
      </c>
      <c r="F4977" s="1">
        <v>20</v>
      </c>
      <c r="G4977" s="1">
        <v>16</v>
      </c>
      <c r="H4977" s="1">
        <v>0</v>
      </c>
      <c r="I4977" s="1" t="s">
        <v>9385</v>
      </c>
      <c r="K4977" s="1" t="str">
        <f t="shared" si="310"/>
        <v>ㄌ</v>
      </c>
      <c r="L4977" s="1" t="str">
        <f t="shared" si="311"/>
        <v>ㄨ</v>
      </c>
      <c r="M4977" s="1" t="str">
        <f t="shared" si="309"/>
        <v>ㄥ</v>
      </c>
      <c r="P4977" s="1" t="s">
        <v>20</v>
      </c>
      <c r="R4977" s="1" t="s">
        <v>9386</v>
      </c>
      <c r="V4977" s="1" t="s">
        <v>9409</v>
      </c>
      <c r="AR4977" s="1" t="str">
        <f t="shared" si="312"/>
        <v>| [ㄌㄨㄥˊ](ㄌㄨㄥˊ.md) | [曨](曨.md) |  | lóng | 參見「曨曨」、「曚曨」等條。 |</v>
      </c>
    </row>
    <row r="4978" spans="1:44" hidden="1">
      <c r="A4978" s="1" t="s">
        <v>9410</v>
      </c>
      <c r="C4978" s="1">
        <v>1</v>
      </c>
      <c r="D4978" s="1" t="str">
        <f>"03863"</f>
        <v>03863</v>
      </c>
      <c r="E4978" s="1" t="s">
        <v>2014</v>
      </c>
      <c r="F4978" s="1">
        <v>20</v>
      </c>
      <c r="G4978" s="1">
        <v>16</v>
      </c>
      <c r="H4978" s="1">
        <v>0</v>
      </c>
      <c r="I4978" s="1" t="s">
        <v>9385</v>
      </c>
      <c r="K4978" s="1" t="str">
        <f t="shared" si="310"/>
        <v>ㄌ</v>
      </c>
      <c r="L4978" s="1" t="str">
        <f t="shared" si="311"/>
        <v>ㄨ</v>
      </c>
      <c r="M4978" s="1" t="str">
        <f t="shared" si="309"/>
        <v>ㄥ</v>
      </c>
      <c r="P4978" s="1" t="s">
        <v>20</v>
      </c>
      <c r="R4978" s="1" t="s">
        <v>9386</v>
      </c>
      <c r="V4978" s="1" t="s">
        <v>9411</v>
      </c>
      <c r="AR4978" s="1" t="str">
        <f t="shared" si="312"/>
        <v>| [ㄌㄨㄥˊ](ㄌㄨㄥˊ.md) | [朧](朧.md) |  | lóng | 參見「朧明」、「朦朧」等條。 |</v>
      </c>
    </row>
    <row r="4979" spans="1:44" hidden="1">
      <c r="A4979" s="1" t="s">
        <v>9412</v>
      </c>
      <c r="C4979" s="1">
        <v>1</v>
      </c>
      <c r="D4979" s="1" t="str">
        <f>"03864"</f>
        <v>03864</v>
      </c>
      <c r="E4979" s="1" t="s">
        <v>169</v>
      </c>
      <c r="F4979" s="1">
        <v>21</v>
      </c>
      <c r="G4979" s="1">
        <v>16</v>
      </c>
      <c r="H4979" s="1">
        <v>0</v>
      </c>
      <c r="I4979" s="1" t="s">
        <v>9385</v>
      </c>
      <c r="K4979" s="1" t="str">
        <f t="shared" si="310"/>
        <v>ㄌ</v>
      </c>
      <c r="L4979" s="1" t="str">
        <f t="shared" si="311"/>
        <v>ㄨ</v>
      </c>
      <c r="M4979" s="1" t="str">
        <f t="shared" si="309"/>
        <v>ㄥ</v>
      </c>
      <c r="P4979" s="1" t="s">
        <v>20</v>
      </c>
      <c r="R4979" s="1" t="s">
        <v>9386</v>
      </c>
      <c r="V4979" s="1" t="s">
        <v>9413</v>
      </c>
      <c r="AR4979" s="1" t="str">
        <f t="shared" si="312"/>
        <v>| [ㄌㄨㄥˊ](ㄌㄨㄥˊ.md) | [礱](礱.md) |  | lóng | [名]
一種用來磨去穀殼的器具。形狀似磨，具有齒痕，多以木料製成。
[動]
1.磨。《荀子．性惡》：「鈍金必將待礱厲然後利。」宋．陸游〈夜投山家〉詩四首之四：「房櫳深深績火明，垣屋蕭蕭礱穀聲。」
2.切磋、砥礪。唐．韓愈、孟郊〈納涼聯句〉：「殷勤相勸勉，左右加礱斲。」 |</v>
      </c>
    </row>
    <row r="4980" spans="1:44" hidden="1">
      <c r="A4980" s="1" t="s">
        <v>9414</v>
      </c>
      <c r="C4980" s="1">
        <v>1</v>
      </c>
      <c r="D4980" s="1" t="str">
        <f>"03865"</f>
        <v>03865</v>
      </c>
      <c r="E4980" s="1" t="s">
        <v>1015</v>
      </c>
      <c r="F4980" s="1">
        <v>21</v>
      </c>
      <c r="G4980" s="1">
        <v>16</v>
      </c>
      <c r="H4980" s="1">
        <v>0</v>
      </c>
      <c r="I4980" s="1" t="s">
        <v>9385</v>
      </c>
      <c r="K4980" s="1" t="str">
        <f t="shared" si="310"/>
        <v>ㄌ</v>
      </c>
      <c r="L4980" s="1" t="str">
        <f t="shared" si="311"/>
        <v>ㄨ</v>
      </c>
      <c r="M4980" s="1" t="str">
        <f t="shared" si="309"/>
        <v>ㄥ</v>
      </c>
      <c r="P4980" s="1" t="s">
        <v>20</v>
      </c>
      <c r="R4980" s="1" t="s">
        <v>9386</v>
      </c>
      <c r="V4980" s="1" t="s">
        <v>9415</v>
      </c>
      <c r="AR4980" s="1" t="str">
        <f t="shared" si="312"/>
        <v>| [ㄌㄨㄥˊ](ㄌㄨㄥˊ.md) | [矓](矓.md) |  | lóng | 參見「矇矓」條。 |</v>
      </c>
    </row>
    <row r="4981" spans="1:44" hidden="1">
      <c r="A4981" s="1" t="s">
        <v>9416</v>
      </c>
      <c r="C4981" s="1">
        <v>1</v>
      </c>
      <c r="D4981" s="1" t="str">
        <f>"03866"</f>
        <v>03866</v>
      </c>
      <c r="E4981" s="1" t="s">
        <v>2419</v>
      </c>
      <c r="F4981" s="1">
        <v>22</v>
      </c>
      <c r="G4981" s="1">
        <v>16</v>
      </c>
      <c r="H4981" s="1">
        <v>0</v>
      </c>
      <c r="I4981" s="1" t="s">
        <v>9385</v>
      </c>
      <c r="K4981" s="1" t="str">
        <f t="shared" si="310"/>
        <v>ㄌ</v>
      </c>
      <c r="L4981" s="1" t="str">
        <f t="shared" si="311"/>
        <v>ㄨ</v>
      </c>
      <c r="M4981" s="1" t="str">
        <f t="shared" ref="M4981:M4988" si="313">MID(I4981, 3, 1)</f>
        <v>ㄥ</v>
      </c>
      <c r="P4981" s="1" t="s">
        <v>20</v>
      </c>
      <c r="R4981" s="1" t="s">
        <v>9386</v>
      </c>
      <c r="V4981" s="1" t="s">
        <v>9417</v>
      </c>
      <c r="AR4981" s="1" t="str">
        <f t="shared" si="312"/>
        <v>| [ㄌㄨㄥˊ](ㄌㄨㄥˊ.md) | [聾](聾.md) |  | lóng | [名]
聽覺遲鈍或無法聽到聲音的症狀。《說文解字．耳部》：「聾，無聞也。」《左傳．僖公二十四年》：「耳不聽五聲之和為聾。」
[形]
1.聽覺遲鈍或聽不到聲音。如：「耳聾」。《宋書．卷五三．庾登之傳》：「不痴不聾，不為姑公。」
2.昏昧不明。《左傳．宣公十四年》：「鄭昭、宋聾，晉使不害，我則必死。」晉．杜預．注：「聾，闇也。」 |</v>
      </c>
    </row>
    <row r="4982" spans="1:44" hidden="1">
      <c r="A4982" s="1" t="s">
        <v>9418</v>
      </c>
      <c r="C4982" s="1">
        <v>1</v>
      </c>
      <c r="D4982" s="1" t="str">
        <f>"03867"</f>
        <v>03867</v>
      </c>
      <c r="E4982" s="1" t="s">
        <v>49</v>
      </c>
      <c r="F4982" s="1">
        <v>22</v>
      </c>
      <c r="G4982" s="1">
        <v>16</v>
      </c>
      <c r="H4982" s="1">
        <v>1</v>
      </c>
      <c r="I4982" s="1" t="s">
        <v>9385</v>
      </c>
      <c r="K4982" s="1" t="str">
        <f t="shared" si="310"/>
        <v>ㄌ</v>
      </c>
      <c r="L4982" s="1" t="str">
        <f t="shared" si="311"/>
        <v>ㄨ</v>
      </c>
      <c r="M4982" s="1" t="str">
        <f t="shared" si="313"/>
        <v>ㄥ</v>
      </c>
      <c r="P4982" s="1" t="s">
        <v>20</v>
      </c>
      <c r="R4982" s="1" t="s">
        <v>9386</v>
      </c>
      <c r="V4982" s="1" t="s">
        <v>9419</v>
      </c>
      <c r="W4982" s="1" t="s">
        <v>9420</v>
      </c>
      <c r="AR4982" s="1" t="str">
        <f t="shared" si="312"/>
        <v>| [ㄌㄨㄥˊ](ㄌㄨㄥˊ.md) | [籠](籠.md) |  | lóng | [名]
1.用來盛裝或覆蓋東西的竹編器具。如：「茶籠」、「蒸籠」、「燈籠」。
2.關住鳥獸或拘禁人犯的器物。如：「鳥籠」、「兔籠」、「牢籠」、「囚籠」、「鴿子籠」。
[動]
1.包羅、囊括。《史記．卷三〇．平準書》：「大農之諸官盡籠天下之貨物，貴即賣之，賤則買之。」
2.遮住、覆蓋。如：「籠罩」。唐．杜牧〈泊秦淮〉詩：「煙籠寒水月籠沙，夜泊秦淮近酒家。」
3.以權術駕馭人。《列子．黃帝》：「聖人以智籠群愚，亦猶狙公之以智籠眾狙也。」 |</v>
      </c>
    </row>
    <row r="4983" spans="1:44" hidden="1">
      <c r="A4983" s="1" t="s">
        <v>9421</v>
      </c>
      <c r="C4983" s="1">
        <v>1</v>
      </c>
      <c r="D4983" s="1" t="str">
        <f>"03868"</f>
        <v>03868</v>
      </c>
      <c r="E4983" s="1" t="s">
        <v>114</v>
      </c>
      <c r="F4983" s="1">
        <v>18</v>
      </c>
      <c r="G4983" s="1">
        <v>16</v>
      </c>
      <c r="H4983" s="1">
        <v>0</v>
      </c>
      <c r="I4983" s="1" t="s">
        <v>9422</v>
      </c>
      <c r="K4983" s="1" t="str">
        <f t="shared" si="310"/>
        <v>ㄌ</v>
      </c>
      <c r="L4983" s="1" t="str">
        <f t="shared" si="311"/>
        <v>ㄨ</v>
      </c>
      <c r="M4983" s="1" t="str">
        <f t="shared" si="313"/>
        <v>ㄥ</v>
      </c>
      <c r="P4983" s="1" t="s">
        <v>20</v>
      </c>
      <c r="R4983" s="1" t="s">
        <v>9423</v>
      </c>
      <c r="V4983" s="1" t="s">
        <v>9424</v>
      </c>
      <c r="AR4983" s="1" t="str">
        <f t="shared" si="312"/>
        <v>| [ㄌㄨㄥˇ](ㄌㄨㄥˇ.md) | [儱](儱.md) |  | lǒng | 參見「儱侗」條。 |</v>
      </c>
    </row>
    <row r="4984" spans="1:44" hidden="1">
      <c r="A4984" s="1" t="s">
        <v>9425</v>
      </c>
      <c r="C4984" s="1">
        <v>1</v>
      </c>
      <c r="D4984" s="1" t="str">
        <f>"03869"</f>
        <v>03869</v>
      </c>
      <c r="E4984" s="1" t="s">
        <v>132</v>
      </c>
      <c r="F4984" s="1">
        <v>19</v>
      </c>
      <c r="G4984" s="1">
        <v>16</v>
      </c>
      <c r="H4984" s="1">
        <v>0</v>
      </c>
      <c r="I4984" s="1" t="s">
        <v>9422</v>
      </c>
      <c r="K4984" s="1" t="str">
        <f t="shared" si="310"/>
        <v>ㄌ</v>
      </c>
      <c r="L4984" s="1" t="str">
        <f t="shared" si="311"/>
        <v>ㄨ</v>
      </c>
      <c r="M4984" s="1" t="str">
        <f t="shared" si="313"/>
        <v>ㄥ</v>
      </c>
      <c r="P4984" s="1" t="s">
        <v>20</v>
      </c>
      <c r="R4984" s="1" t="s">
        <v>9423</v>
      </c>
      <c r="V4984" s="1" t="s">
        <v>9426</v>
      </c>
      <c r="AR4984" s="1" t="str">
        <f t="shared" si="312"/>
        <v>| [ㄌㄨㄥˇ](ㄌㄨㄥˇ.md) | [壟](壟.md) |  | lǒng | [名]
1.墳墓。《戰國策．齊策四》：「昔者秦攻齊，令曰：『有敢去柳下季壟五十步而樵采者，死不赦。』」《禮記．曲禮上》：「適墓不登壟，助葬必執紼。」漢．鄭玄．注：「壟，冢也。」
2.田埂、田界。《史記．卷四八．陳涉世家》：「輟耕之壟上，悵恨久之。」
3.田中種植作物的條形土堆。如：「寬壟密植」。唐．王建〈雉將雛〉詩：「麥壟淺淺難蔽身，遠去戀雛低怕人。」 |</v>
      </c>
    </row>
    <row r="4985" spans="1:44" hidden="1">
      <c r="A4985" s="1" t="s">
        <v>9427</v>
      </c>
      <c r="C4985" s="1">
        <v>1</v>
      </c>
      <c r="D4985" s="1" t="str">
        <f>"03870"</f>
        <v>03870</v>
      </c>
      <c r="E4985" s="1" t="s">
        <v>24</v>
      </c>
      <c r="F4985" s="1">
        <v>19</v>
      </c>
      <c r="G4985" s="1">
        <v>16</v>
      </c>
      <c r="H4985" s="1">
        <v>0</v>
      </c>
      <c r="I4985" s="1" t="s">
        <v>9422</v>
      </c>
      <c r="K4985" s="1" t="str">
        <f t="shared" si="310"/>
        <v>ㄌ</v>
      </c>
      <c r="L4985" s="1" t="str">
        <f t="shared" si="311"/>
        <v>ㄨ</v>
      </c>
      <c r="M4985" s="1" t="str">
        <f t="shared" si="313"/>
        <v>ㄥ</v>
      </c>
      <c r="P4985" s="1" t="s">
        <v>20</v>
      </c>
      <c r="R4985" s="1" t="s">
        <v>9423</v>
      </c>
      <c r="V4985" s="1" t="s">
        <v>9428</v>
      </c>
      <c r="AR4985" s="1" t="str">
        <f t="shared" si="312"/>
        <v>| [ㄌㄨㄥˇ](ㄌㄨㄥˇ.md) | [攏](攏.md) |  | lǒng | [動]
1.聚集、靠近。如：「圍攏」、「靠攏」、「拉攏」、「他笑得嘴都合不攏了。」
2.整理、梳理。唐．韓偓〈信筆〉詩：「睡髻休頻攏，春眉忍更長。」
3.一種弦樂器彈奏指法。用手將弦撫按住。唐．白居易〈琵琶行〉：「輕攏慢撚抹復挑，初為霓裳後六么。」 |</v>
      </c>
    </row>
    <row r="4986" spans="1:44" hidden="1">
      <c r="A4986" s="1" t="s">
        <v>9429</v>
      </c>
      <c r="C4986" s="1">
        <v>1</v>
      </c>
      <c r="D4986" s="1" t="str">
        <f>"03871"</f>
        <v>03871</v>
      </c>
      <c r="E4986" s="1" t="s">
        <v>691</v>
      </c>
      <c r="F4986" s="1">
        <v>19</v>
      </c>
      <c r="G4986" s="1">
        <v>16</v>
      </c>
      <c r="H4986" s="1">
        <v>0</v>
      </c>
      <c r="I4986" s="1" t="s">
        <v>9422</v>
      </c>
      <c r="K4986" s="1" t="str">
        <f t="shared" si="310"/>
        <v>ㄌ</v>
      </c>
      <c r="L4986" s="1" t="str">
        <f t="shared" si="311"/>
        <v>ㄨ</v>
      </c>
      <c r="M4986" s="1" t="str">
        <f t="shared" si="313"/>
        <v>ㄥ</v>
      </c>
      <c r="P4986" s="1" t="s">
        <v>20</v>
      </c>
      <c r="R4986" s="1" t="s">
        <v>9423</v>
      </c>
      <c r="V4986" s="1" t="s">
        <v>9430</v>
      </c>
      <c r="AR4986" s="1" t="str">
        <f t="shared" si="312"/>
        <v>| [ㄌㄨㄥˇ](ㄌㄨㄥˇ.md) | [隴](隴.md) |  | lǒng | [名]
1.田埂、田間高地。通「壟」。《史記．卷七．項羽本紀．太史公曰》：「羽非有尺寸乘埶，起隴畝之中，三年，遂將五諸侯滅秦。」唐．白居易〈觀刈麥〉詩：「夜來南風起，小麥覆隴黃。」
2.大陸地區甘肅省的簡稱。 |</v>
      </c>
    </row>
    <row r="4987" spans="1:44" hidden="1">
      <c r="A4987" s="1" t="s">
        <v>9418</v>
      </c>
      <c r="C4987" s="1">
        <v>1</v>
      </c>
      <c r="D4987" s="1" t="str">
        <f>"03872"</f>
        <v>03872</v>
      </c>
      <c r="E4987" s="1" t="s">
        <v>49</v>
      </c>
      <c r="F4987" s="1">
        <v>22</v>
      </c>
      <c r="G4987" s="1">
        <v>16</v>
      </c>
      <c r="H4987" s="1">
        <v>2</v>
      </c>
      <c r="I4987" s="1" t="s">
        <v>9422</v>
      </c>
      <c r="K4987" s="1" t="str">
        <f t="shared" si="310"/>
        <v>ㄌ</v>
      </c>
      <c r="L4987" s="1" t="str">
        <f t="shared" si="311"/>
        <v>ㄨ</v>
      </c>
      <c r="M4987" s="1" t="str">
        <f t="shared" si="313"/>
        <v>ㄥ</v>
      </c>
      <c r="P4987" s="1" t="s">
        <v>20</v>
      </c>
      <c r="R4987" s="1" t="s">
        <v>9423</v>
      </c>
      <c r="V4987" s="1" t="s">
        <v>9431</v>
      </c>
      <c r="W4987" s="1" t="s">
        <v>9432</v>
      </c>
      <c r="AR4987" s="1" t="str">
        <f t="shared" si="312"/>
        <v>| [ㄌㄨㄥˇ](ㄌㄨㄥˇ.md) | [籠](籠.md) |  | lǒng | [名]
舊稱淺底的竹器為「箱」，深而有蓋的為「籠」。如：「藥籠」。
[動]
(一)[動]之又音。 |</v>
      </c>
    </row>
    <row r="4988" spans="1:44" hidden="1">
      <c r="A4988" s="1" t="s">
        <v>7740</v>
      </c>
      <c r="C4988" s="1">
        <v>1</v>
      </c>
      <c r="D4988" s="1" t="str">
        <f>"03873"</f>
        <v>03873</v>
      </c>
      <c r="E4988" s="1" t="s">
        <v>1027</v>
      </c>
      <c r="F4988" s="1">
        <v>7</v>
      </c>
      <c r="G4988" s="1">
        <v>4</v>
      </c>
      <c r="H4988" s="1">
        <v>2</v>
      </c>
      <c r="I4988" s="1" t="s">
        <v>9433</v>
      </c>
      <c r="K4988" s="1" t="str">
        <f t="shared" si="310"/>
        <v>ㄌ</v>
      </c>
      <c r="L4988" s="1" t="str">
        <f t="shared" si="311"/>
        <v>ㄨ</v>
      </c>
      <c r="M4988" s="1" t="str">
        <f t="shared" si="313"/>
        <v>ㄥ</v>
      </c>
      <c r="P4988" s="1" t="s">
        <v>186</v>
      </c>
      <c r="R4988" s="1" t="s">
        <v>9434</v>
      </c>
      <c r="V4988" s="1" t="s">
        <v>9435</v>
      </c>
      <c r="W4988" s="1" t="s">
        <v>9436</v>
      </c>
      <c r="AR4988" s="1" t="str">
        <f t="shared" si="312"/>
        <v>| [ㄌㄨㄥˋ](ㄌㄨㄥˋ.md) | [弄](弄.md) |  | lòng | [名]
小巷。如：「巷弄」。《南史．卷五．齊廢帝鬱林王本紀》：「出西弄，遇弒。」 |</v>
      </c>
    </row>
    <row r="4989" spans="1:44" hidden="1">
      <c r="A4989" s="1" t="s">
        <v>7787</v>
      </c>
      <c r="C4989" s="1">
        <v>1</v>
      </c>
      <c r="D4989" s="1" t="str">
        <f>"03176"</f>
        <v>03176</v>
      </c>
      <c r="E4989" s="1" t="s">
        <v>185</v>
      </c>
      <c r="F4989" s="1">
        <v>9</v>
      </c>
      <c r="G4989" s="1">
        <v>7</v>
      </c>
      <c r="H4989" s="1">
        <v>1</v>
      </c>
      <c r="I4989" s="1" t="s">
        <v>7797</v>
      </c>
      <c r="K4989" s="1" t="str">
        <f t="shared" si="310"/>
        <v>ㄌ</v>
      </c>
      <c r="L4989" s="1" t="str">
        <f t="shared" si="311"/>
        <v>ㄚ</v>
      </c>
      <c r="N4989" s="3" t="s">
        <v>30574</v>
      </c>
      <c r="O4989" s="3"/>
      <c r="P4989" s="1" t="s">
        <v>20</v>
      </c>
      <c r="R4989" s="1" t="s">
        <v>7798</v>
      </c>
      <c r="V4989" s="1" t="s">
        <v>7799</v>
      </c>
      <c r="W4989" s="1" t="s">
        <v>7800</v>
      </c>
      <c r="AR4989" s="1" t="str">
        <f t="shared" si="312"/>
        <v>| [ㄌㄚˋ](ㄌㄚˋ.md) | [剌](剌.md) |  | là | [動]
違戾、乖張。《漢書．卷六〇．杜周傳》：「外戚親屬無乖剌之心，關東諸侯無強大之國。」 |</v>
      </c>
    </row>
    <row r="4990" spans="1:44" hidden="1">
      <c r="A4990" s="1" t="s">
        <v>7801</v>
      </c>
      <c r="C4990" s="1">
        <v>1</v>
      </c>
      <c r="D4990" s="1" t="str">
        <f>"03177"</f>
        <v>03177</v>
      </c>
      <c r="E4990" s="1" t="s">
        <v>40</v>
      </c>
      <c r="F4990" s="1">
        <v>14</v>
      </c>
      <c r="G4990" s="1">
        <v>9</v>
      </c>
      <c r="H4990" s="1">
        <v>1</v>
      </c>
      <c r="I4990" s="1" t="s">
        <v>7797</v>
      </c>
      <c r="K4990" s="1" t="str">
        <f t="shared" ref="K4990:K5001" si="314">LEFT(I4990, 1)</f>
        <v>ㄌ</v>
      </c>
      <c r="L4990" s="1" t="str">
        <f t="shared" ref="L4990:L5001" si="315">MID(I4990, 2, 1)</f>
        <v>ㄚ</v>
      </c>
      <c r="N4990" s="3" t="s">
        <v>30574</v>
      </c>
      <c r="O4990" s="3"/>
      <c r="P4990" s="1" t="s">
        <v>20</v>
      </c>
      <c r="R4990" s="1" t="s">
        <v>7798</v>
      </c>
      <c r="V4990" s="1" t="s">
        <v>7802</v>
      </c>
      <c r="W4990" s="1" t="s">
        <v>7803</v>
      </c>
      <c r="AR4990" s="1" t="str">
        <f t="shared" si="312"/>
        <v>| [ㄌㄚˋ](ㄌㄚˋ.md) | [瘌](瘌.md) |  | là | 參見「瘌痢」條。 |</v>
      </c>
    </row>
    <row r="4991" spans="1:44" hidden="1">
      <c r="A4991" s="1" t="s">
        <v>7804</v>
      </c>
      <c r="C4991" s="1">
        <v>1</v>
      </c>
      <c r="D4991" s="1" t="str">
        <f>"03178"</f>
        <v>03178</v>
      </c>
      <c r="E4991" s="1" t="s">
        <v>679</v>
      </c>
      <c r="F4991" s="1">
        <v>15</v>
      </c>
      <c r="G4991" s="1">
        <v>9</v>
      </c>
      <c r="H4991" s="1">
        <v>0</v>
      </c>
      <c r="I4991" s="1" t="s">
        <v>7797</v>
      </c>
      <c r="K4991" s="1" t="str">
        <f t="shared" si="314"/>
        <v>ㄌ</v>
      </c>
      <c r="L4991" s="1" t="str">
        <f t="shared" si="315"/>
        <v>ㄚ</v>
      </c>
      <c r="N4991" s="3" t="s">
        <v>30574</v>
      </c>
      <c r="O4991" s="3"/>
      <c r="P4991" s="1" t="s">
        <v>20</v>
      </c>
      <c r="R4991" s="1" t="s">
        <v>7798</v>
      </c>
      <c r="V4991" s="1" t="s">
        <v>7805</v>
      </c>
      <c r="AR4991" s="1" t="str">
        <f t="shared" si="312"/>
        <v>| [ㄌㄚˋ](ㄌㄚˋ.md) | [蝲](蝲.md) |  | là | 參見「蝲蛄」條。 |</v>
      </c>
    </row>
    <row r="4992" spans="1:44" hidden="1">
      <c r="A4992" s="1" t="s">
        <v>7806</v>
      </c>
      <c r="C4992" s="1">
        <v>1</v>
      </c>
      <c r="D4992" s="1" t="str">
        <f>"03179"</f>
        <v>03179</v>
      </c>
      <c r="E4992" s="1" t="s">
        <v>37</v>
      </c>
      <c r="F4992" s="1">
        <v>13</v>
      </c>
      <c r="G4992" s="1">
        <v>9</v>
      </c>
      <c r="H4992" s="1">
        <v>3</v>
      </c>
      <c r="I4992" s="1" t="s">
        <v>7797</v>
      </c>
      <c r="K4992" s="1" t="str">
        <f t="shared" si="314"/>
        <v>ㄌ</v>
      </c>
      <c r="L4992" s="1" t="str">
        <f t="shared" si="315"/>
        <v>ㄚ</v>
      </c>
      <c r="N4992" s="3" t="s">
        <v>30574</v>
      </c>
      <c r="O4992" s="3"/>
      <c r="P4992" s="1" t="s">
        <v>20</v>
      </c>
      <c r="R4992" s="1" t="s">
        <v>7798</v>
      </c>
      <c r="V4992" s="1" t="s">
        <v>7807</v>
      </c>
      <c r="W4992" s="1" t="s">
        <v>7808</v>
      </c>
      <c r="AR4992" s="1" t="str">
        <f t="shared" si="312"/>
        <v>| [ㄌㄚˋ](ㄌㄚˋ.md) | [落](落.md) |  | là | [動]
1.遺漏、忘記。如：「丟三落四」、「我的皮匣子落在家裡了。」
2.掉在後面、跟不上。如：「我們一夥人登山，他總是落在後頭。」 |</v>
      </c>
    </row>
    <row r="4993" spans="1:44" hidden="1">
      <c r="A4993" s="1" t="s">
        <v>7809</v>
      </c>
      <c r="C4993" s="1">
        <v>1</v>
      </c>
      <c r="D4993" s="1" t="str">
        <f>"03180"</f>
        <v>03180</v>
      </c>
      <c r="E4993" s="1" t="s">
        <v>732</v>
      </c>
      <c r="F4993" s="1">
        <v>14</v>
      </c>
      <c r="G4993" s="1">
        <v>7</v>
      </c>
      <c r="H4993" s="1">
        <v>0</v>
      </c>
      <c r="I4993" s="1" t="s">
        <v>7797</v>
      </c>
      <c r="K4993" s="1" t="str">
        <f t="shared" si="314"/>
        <v>ㄌ</v>
      </c>
      <c r="L4993" s="1" t="str">
        <f t="shared" si="315"/>
        <v>ㄚ</v>
      </c>
      <c r="N4993" s="3" t="s">
        <v>30574</v>
      </c>
      <c r="O4993" s="3"/>
      <c r="P4993" s="1" t="s">
        <v>20</v>
      </c>
      <c r="R4993" s="1" t="s">
        <v>7798</v>
      </c>
      <c r="V4993" s="1" t="s">
        <v>7810</v>
      </c>
      <c r="AR4993" s="1" t="str">
        <f t="shared" si="312"/>
        <v>| [ㄌㄚˋ](ㄌㄚˋ.md) | [辣](辣.md) |  | là | [名]_x000D_
像薑、胡椒、辣椒等所帶有的刺激性味道。如：「酸甜苦辣」。_x000D_
[形]_x000D_
1.辛辣。如：「朝天椒很辣。」_x000D_
2.高溫、熱烈。如：「火辣辣」、「盛夏的烈日辣得令人難以消受。」_x000D_
3.狠毒。如：「心狠手辣」。《京本通俗小說．錯斬崔寧》：「欲待信來，他平白與我沒半句言語，大娘子又過得好，怎麼便下得這等狠心辣手？」《老殘遊記》第四回：「玉大人官卻是個清官，辦案也實在盡力，只是手段太辣些。」 |</v>
      </c>
    </row>
    <row r="4994" spans="1:44" hidden="1">
      <c r="A4994" s="1" t="s">
        <v>7811</v>
      </c>
      <c r="C4994" s="1">
        <v>1</v>
      </c>
      <c r="D4994" s="1" t="str">
        <f>"03181"</f>
        <v>03181</v>
      </c>
      <c r="E4994" s="1" t="s">
        <v>68</v>
      </c>
      <c r="F4994" s="1">
        <v>19</v>
      </c>
      <c r="G4994" s="1">
        <v>15</v>
      </c>
      <c r="H4994" s="1">
        <v>0</v>
      </c>
      <c r="I4994" s="1" t="s">
        <v>7797</v>
      </c>
      <c r="K4994" s="1" t="str">
        <f t="shared" si="314"/>
        <v>ㄌ</v>
      </c>
      <c r="L4994" s="1" t="str">
        <f t="shared" si="315"/>
        <v>ㄚ</v>
      </c>
      <c r="N4994" s="3" t="s">
        <v>30574</v>
      </c>
      <c r="O4994" s="3"/>
      <c r="P4994" s="1" t="s">
        <v>20</v>
      </c>
      <c r="R4994" s="1" t="s">
        <v>7798</v>
      </c>
      <c r="V4994" s="1" t="s">
        <v>7812</v>
      </c>
      <c r="AR4994" s="1" t="str">
        <f t="shared" si="312"/>
        <v>| [ㄌㄚˋ](ㄌㄚˋ.md) | [臘](臘.md) |  | là | [名]
1.歲終時合祭眾神的祭祀。《說文解字．肉部》：「臘，冬至後三戌，臘祭百神。」《後漢書．卷四六．陳寵傳》：「閉門不出入，猶用漢家祖臘。」
2.陰曆十二月稱為「臘月」。唐．李頻〈湘口送友人〉詩：「零落梅花過殘臘，故園歸醉及新年。」《鏡花緣》第七回：「遊來遊去，業已半載，轉瞬臘盡春初。」
3.僧受戒得度的年歲。唐．劉禹錫〈唐故衡嶽律大師湘潭唐興寺儼公碑〉：「問年八十二，問臘六十一。」《景德傳燈錄．卷四．第一世法融禪師》：「壽六十四，臘四十一。」
4.醃製的肉類。如：「燒臘」。 |</v>
      </c>
    </row>
    <row r="4995" spans="1:44" hidden="1">
      <c r="A4995" s="1" t="s">
        <v>7813</v>
      </c>
      <c r="C4995" s="1">
        <v>1</v>
      </c>
      <c r="D4995" s="1" t="str">
        <f>"03182"</f>
        <v>03182</v>
      </c>
      <c r="E4995" s="1" t="s">
        <v>679</v>
      </c>
      <c r="F4995" s="1">
        <v>21</v>
      </c>
      <c r="G4995" s="1">
        <v>15</v>
      </c>
      <c r="H4995" s="1">
        <v>0</v>
      </c>
      <c r="I4995" s="1" t="s">
        <v>7797</v>
      </c>
      <c r="K4995" s="1" t="str">
        <f t="shared" si="314"/>
        <v>ㄌ</v>
      </c>
      <c r="L4995" s="1" t="str">
        <f t="shared" si="315"/>
        <v>ㄚ</v>
      </c>
      <c r="N4995" s="3" t="s">
        <v>30574</v>
      </c>
      <c r="O4995" s="3"/>
      <c r="P4995" s="1" t="s">
        <v>20</v>
      </c>
      <c r="R4995" s="1" t="s">
        <v>7798</v>
      </c>
      <c r="V4995" s="1" t="s">
        <v>7814</v>
      </c>
      <c r="AR4995" s="1" t="str">
        <f t="shared" ref="AR4995:AR5058" si="316">"| ["&amp;I4995&amp;"]("&amp;I4995&amp;".md) | ["&amp;A4995&amp;"]("&amp;A4995&amp;".md) | "&amp;" | "&amp;R4995&amp;" | "&amp;V4995&amp;" |"</f>
        <v>| [ㄌㄚˋ](ㄌㄚˋ.md) | [蠟](蠟.md) |  | là | [名]
1.動、植物或礦物所分泌的油質，不溶於水，易熔化，具可塑性，可用來防水或製作蠟燭。如：「蜂蠟」、「石蠟」。
2.蠟燭。唐．皮日休〈春夕酒醒〉詩：「夜半醒來紅蠟短，一枝寒淚作珊瑚。」
[動]
以蠟塗抹。《晉書．卷四九．阮籍傳》：「或有詣阮，正見自蠟屐，因自歎曰：『未知一生當著幾量屐！』」唐．劉禹錫〈送僧仲剬東遊兼寄呈靈澈上人〉詩：「講罷同尋相鶴經，閒來共蠟登山屐。」
[形]
淡黃似蠟的顏色。如：「蠟梅」、「蠟櫻」。 |</v>
      </c>
    </row>
    <row r="4996" spans="1:44" hidden="1">
      <c r="A4996" s="1" t="s">
        <v>7815</v>
      </c>
      <c r="C4996" s="1">
        <v>1</v>
      </c>
      <c r="D4996" s="1" t="str">
        <f>"03183"</f>
        <v>03183</v>
      </c>
      <c r="E4996" s="1" t="s">
        <v>55</v>
      </c>
      <c r="F4996" s="1">
        <v>23</v>
      </c>
      <c r="G4996" s="1">
        <v>15</v>
      </c>
      <c r="H4996" s="1">
        <v>0</v>
      </c>
      <c r="I4996" s="1" t="s">
        <v>7797</v>
      </c>
      <c r="K4996" s="1" t="str">
        <f t="shared" si="314"/>
        <v>ㄌ</v>
      </c>
      <c r="L4996" s="1" t="str">
        <f t="shared" si="315"/>
        <v>ㄚ</v>
      </c>
      <c r="N4996" s="3" t="s">
        <v>30574</v>
      </c>
      <c r="O4996" s="3"/>
      <c r="P4996" s="1" t="s">
        <v>20</v>
      </c>
      <c r="R4996" s="1" t="s">
        <v>7798</v>
      </c>
      <c r="V4996" s="1" t="s">
        <v>7816</v>
      </c>
      <c r="AR4996" s="1" t="str">
        <f t="shared" si="316"/>
        <v>| [ㄌㄚˋ](ㄌㄚˋ.md) | [鑞](鑞.md) |  | là | [名]
錫與鉛的合金，用來焊接金屬或製作器物。也稱為「焊錫」、「白鑞」。 |</v>
      </c>
    </row>
    <row r="4997" spans="1:44" hidden="1">
      <c r="A4997" s="1" t="s">
        <v>22024</v>
      </c>
      <c r="C4997" s="1">
        <v>1</v>
      </c>
      <c r="D4997" s="1" t="str">
        <f>"093271"</f>
        <v>093271</v>
      </c>
      <c r="E4997" s="1" t="s">
        <v>679</v>
      </c>
      <c r="F4997" s="1">
        <v>10</v>
      </c>
      <c r="G4997" s="1">
        <v>4</v>
      </c>
      <c r="H4997" s="1">
        <v>2</v>
      </c>
      <c r="I4997" s="1" t="s">
        <v>7797</v>
      </c>
      <c r="K4997" s="1" t="str">
        <f t="shared" si="314"/>
        <v>ㄌ</v>
      </c>
      <c r="L4997" s="1" t="str">
        <f t="shared" si="315"/>
        <v>ㄚ</v>
      </c>
      <c r="N4997" s="3" t="s">
        <v>30574</v>
      </c>
      <c r="O4997" s="3"/>
      <c r="P4997" s="1" t="s">
        <v>20</v>
      </c>
      <c r="R4997" s="1" t="s">
        <v>7798</v>
      </c>
      <c r="V4997" s="1" t="s">
        <v>30553</v>
      </c>
      <c r="AR4997" s="1" t="str">
        <f t="shared" si="316"/>
        <v>| [ㄌㄚˋ](ㄌㄚˋ.md) | [蚋](蚋.md) |  | là | [名]_x000D_
地名用字。如臺北市萬華區有加蚋。 |</v>
      </c>
    </row>
    <row r="4998" spans="1:44" hidden="1">
      <c r="A4998" s="1" t="s">
        <v>7783</v>
      </c>
      <c r="C4998" s="1">
        <v>1</v>
      </c>
      <c r="D4998" s="1" t="str">
        <f>"03172"</f>
        <v>03172</v>
      </c>
      <c r="E4998" s="1" t="s">
        <v>646</v>
      </c>
      <c r="F4998" s="1">
        <v>6</v>
      </c>
      <c r="G4998" s="1">
        <v>2</v>
      </c>
      <c r="H4998" s="1">
        <v>0</v>
      </c>
      <c r="I4998" s="1" t="s">
        <v>7784</v>
      </c>
      <c r="K4998" s="1" t="str">
        <f t="shared" si="314"/>
        <v>ㄌ</v>
      </c>
      <c r="L4998" s="1" t="str">
        <f t="shared" si="315"/>
        <v>ㄚ</v>
      </c>
      <c r="N4998" s="3" t="s">
        <v>30575</v>
      </c>
      <c r="O4998" s="3"/>
      <c r="P4998" s="1" t="s">
        <v>20</v>
      </c>
      <c r="R4998" s="1" t="s">
        <v>7785</v>
      </c>
      <c r="V4998" s="1" t="s">
        <v>7786</v>
      </c>
      <c r="AR4998" s="1" t="str">
        <f t="shared" si="316"/>
        <v>| [ㄌㄚˊ](ㄌㄚˊ.md) | [旯](旯.md) |  | lá | 參見「旮旯」條。 |</v>
      </c>
    </row>
    <row r="4999" spans="1:44" hidden="1">
      <c r="A4999" s="1" t="s">
        <v>7787</v>
      </c>
      <c r="C4999" s="1">
        <v>1</v>
      </c>
      <c r="D4999" s="1" t="str">
        <f>"03173"</f>
        <v>03173</v>
      </c>
      <c r="E4999" s="1" t="s">
        <v>185</v>
      </c>
      <c r="F4999" s="1">
        <v>9</v>
      </c>
      <c r="G4999" s="1">
        <v>7</v>
      </c>
      <c r="H4999" s="1">
        <v>2</v>
      </c>
      <c r="I4999" s="1" t="s">
        <v>7784</v>
      </c>
      <c r="K4999" s="1" t="str">
        <f t="shared" si="314"/>
        <v>ㄌ</v>
      </c>
      <c r="L4999" s="1" t="str">
        <f t="shared" si="315"/>
        <v>ㄚ</v>
      </c>
      <c r="N4999" s="3" t="s">
        <v>30575</v>
      </c>
      <c r="O4999" s="3"/>
      <c r="P4999" s="1" t="s">
        <v>20</v>
      </c>
      <c r="R4999" s="1" t="s">
        <v>7785</v>
      </c>
      <c r="V4999" s="1" t="s">
        <v>7788</v>
      </c>
      <c r="W4999" s="1" t="s">
        <v>7789</v>
      </c>
      <c r="AR4999" s="1" t="str">
        <f t="shared" si="316"/>
        <v>| [ㄌㄚˊ](ㄌㄚˊ.md) | [剌](剌.md) |  | lá | [動]
劃開、割開。如：「剌劃」、「剌開」、「他一不小心，手被剌了一道口子。」 |</v>
      </c>
    </row>
    <row r="5000" spans="1:44" hidden="1">
      <c r="A5000" s="1" t="s">
        <v>7790</v>
      </c>
      <c r="C5000" s="1">
        <v>1</v>
      </c>
      <c r="D5000" s="1" t="str">
        <f>"03174"</f>
        <v>03174</v>
      </c>
      <c r="E5000" s="1" t="s">
        <v>558</v>
      </c>
      <c r="F5000" s="1">
        <v>19</v>
      </c>
      <c r="G5000" s="1">
        <v>15</v>
      </c>
      <c r="H5000" s="1">
        <v>1</v>
      </c>
      <c r="I5000" s="1" t="s">
        <v>7784</v>
      </c>
      <c r="K5000" s="1" t="str">
        <f t="shared" si="314"/>
        <v>ㄌ</v>
      </c>
      <c r="L5000" s="1" t="str">
        <f t="shared" si="315"/>
        <v>ㄚ</v>
      </c>
      <c r="N5000" s="3" t="s">
        <v>30575</v>
      </c>
      <c r="O5000" s="3"/>
      <c r="P5000" s="1" t="s">
        <v>20</v>
      </c>
      <c r="R5000" s="1" t="s">
        <v>7785</v>
      </c>
      <c r="V5000" s="1" t="s">
        <v>7791</v>
      </c>
      <c r="W5000" s="1" t="s">
        <v>7792</v>
      </c>
      <c r="AR5000" s="1" t="str">
        <f t="shared" si="316"/>
        <v>| [ㄌㄚˊ](ㄌㄚˊ.md) | [邋](邋.md) |  | lá | 參見「邋遢」條。或讀為ㄌㄚ lā。 |</v>
      </c>
    </row>
    <row r="5001" spans="1:44" hidden="1">
      <c r="A5001" s="1" t="s">
        <v>7780</v>
      </c>
      <c r="C5001" s="1">
        <v>1</v>
      </c>
      <c r="D5001" s="1" t="str">
        <f>"03175"</f>
        <v>03175</v>
      </c>
      <c r="E5001" s="1" t="s">
        <v>28</v>
      </c>
      <c r="F5001" s="1">
        <v>12</v>
      </c>
      <c r="G5001" s="1">
        <v>9</v>
      </c>
      <c r="H5001" s="1">
        <v>1</v>
      </c>
      <c r="I5001" s="1" t="s">
        <v>7793</v>
      </c>
      <c r="K5001" s="1" t="str">
        <f t="shared" si="314"/>
        <v>ㄌ</v>
      </c>
      <c r="L5001" s="1" t="str">
        <f t="shared" si="315"/>
        <v>ㄚ</v>
      </c>
      <c r="N5001" s="3" t="s">
        <v>30576</v>
      </c>
      <c r="O5001" s="3"/>
      <c r="P5001" s="1" t="s">
        <v>20</v>
      </c>
      <c r="R5001" s="1" t="s">
        <v>7794</v>
      </c>
      <c r="V5001" s="1" t="s">
        <v>7795</v>
      </c>
      <c r="W5001" s="1" t="s">
        <v>7796</v>
      </c>
      <c r="AR5001" s="1" t="str">
        <f t="shared" si="316"/>
        <v>| [ㄌㄚˇ](ㄌㄚˇ.md) | [喇](喇.md) |  | lǎ | 參見「喇叭」、「喇嘛」等條。 |</v>
      </c>
    </row>
    <row r="5002" spans="1:44" hidden="1">
      <c r="A5002" s="1" t="s">
        <v>7777</v>
      </c>
      <c r="C5002" s="1">
        <v>1</v>
      </c>
      <c r="D5002" s="1" t="str">
        <f>"03184"</f>
        <v>03184</v>
      </c>
      <c r="E5002" s="1" t="s">
        <v>28</v>
      </c>
      <c r="F5002" s="1">
        <v>11</v>
      </c>
      <c r="G5002" s="1">
        <v>8</v>
      </c>
      <c r="H5002" s="1">
        <v>2</v>
      </c>
      <c r="I5002" s="1" t="s">
        <v>7817</v>
      </c>
      <c r="J5002" s="2" t="s">
        <v>30559</v>
      </c>
      <c r="K5002" s="1" t="s">
        <v>30567</v>
      </c>
      <c r="L5002" s="1" t="s">
        <v>24143</v>
      </c>
      <c r="P5002" s="1" t="s">
        <v>20</v>
      </c>
      <c r="R5002" s="1" t="s">
        <v>7818</v>
      </c>
      <c r="V5002" s="1" t="s">
        <v>7819</v>
      </c>
      <c r="W5002" s="1" t="s">
        <v>7820</v>
      </c>
      <c r="AR5002" s="1" t="str">
        <f t="shared" si="316"/>
        <v>| [˙ㄌㄚ](˙ㄌㄚ.md) | [啦](啦.md) |  | la | [助]_x000D_
了（˙ㄌㄜ）、啊（˙ㄚ）二字的合音，作用同「了」（˙ㄌㄜ），但語氣較重。如：「好啦！」、「他來啦！」、「別作夢啦！」《老殘遊記二編》第三回：「心肝寶貝，你別跑，你的話我知道一半啦！這有什麼害臊呢？」《負曝閑談》第二八回：「尹仁便呲牙裂嘴的說道：『汪老爺，您別鬧啦！』」 |</v>
      </c>
    </row>
    <row r="5003" spans="1:44" hidden="1">
      <c r="A5003" s="1" t="s">
        <v>7801</v>
      </c>
      <c r="C5003" s="1">
        <v>1</v>
      </c>
      <c r="D5003" s="1" t="str">
        <f>"03185"</f>
        <v>03185</v>
      </c>
      <c r="E5003" s="1" t="s">
        <v>40</v>
      </c>
      <c r="F5003" s="1">
        <v>14</v>
      </c>
      <c r="G5003" s="1">
        <v>9</v>
      </c>
      <c r="H5003" s="1">
        <v>2</v>
      </c>
      <c r="I5003" s="1" t="s">
        <v>7817</v>
      </c>
      <c r="J5003" s="2" t="s">
        <v>30559</v>
      </c>
      <c r="K5003" s="1" t="s">
        <v>30567</v>
      </c>
      <c r="L5003" s="1" t="s">
        <v>24143</v>
      </c>
      <c r="P5003" s="1" t="s">
        <v>20</v>
      </c>
      <c r="R5003" s="1" t="s">
        <v>7818</v>
      </c>
      <c r="V5003" s="1" t="s">
        <v>7821</v>
      </c>
      <c r="W5003" s="1" t="s">
        <v>7822</v>
      </c>
      <c r="AR5003" s="1" t="str">
        <f t="shared" si="316"/>
        <v>| [˙ㄌㄚ](˙ㄌㄚ.md) | [瘌](瘌.md) |  | la | [名]
疤瘌：疤、瘡痕。如：「那道舊疤瘌，依稀可見。」 |</v>
      </c>
    </row>
    <row r="5004" spans="1:44" hidden="1">
      <c r="A5004" s="1" t="s">
        <v>7823</v>
      </c>
      <c r="C5004" s="1">
        <v>1</v>
      </c>
      <c r="D5004" s="1" t="str">
        <f>"03186"</f>
        <v>03186</v>
      </c>
      <c r="E5004" s="1" t="s">
        <v>28</v>
      </c>
      <c r="F5004" s="1">
        <v>9</v>
      </c>
      <c r="G5004" s="1">
        <v>6</v>
      </c>
      <c r="H5004" s="1">
        <v>2</v>
      </c>
      <c r="I5004" s="1" t="s">
        <v>7824</v>
      </c>
      <c r="J5004" s="2" t="s">
        <v>30559</v>
      </c>
      <c r="K5004" s="1" t="s">
        <v>30567</v>
      </c>
      <c r="L5004" s="1" t="s">
        <v>24165</v>
      </c>
      <c r="P5004" s="1" t="s">
        <v>20</v>
      </c>
      <c r="R5004" s="1" t="s">
        <v>7825</v>
      </c>
      <c r="V5004" s="1" t="s">
        <v>7826</v>
      </c>
      <c r="W5004" s="1" t="s">
        <v>7827</v>
      </c>
      <c r="AR5004" s="1" t="str">
        <f t="shared" si="316"/>
        <v>| [˙ㄌㄛ](˙ㄌㄛ.md) | [咯](咯.md) |  | lo | [助]
語末助詞。如：「來咯！」、「當然咯！」 |</v>
      </c>
    </row>
    <row r="5005" spans="1:44" hidden="1">
      <c r="A5005" s="1" t="s">
        <v>7828</v>
      </c>
      <c r="C5005" s="1">
        <v>1</v>
      </c>
      <c r="D5005" s="1" t="str">
        <f>"03187"</f>
        <v>03187</v>
      </c>
      <c r="E5005" s="1" t="s">
        <v>114</v>
      </c>
      <c r="F5005" s="1">
        <v>4</v>
      </c>
      <c r="G5005" s="1">
        <v>2</v>
      </c>
      <c r="H5005" s="1">
        <v>0</v>
      </c>
      <c r="I5005" s="1" t="s">
        <v>7829</v>
      </c>
      <c r="K5005" s="1" t="str">
        <f t="shared" ref="K5005:K5015" si="317">LEFT(I5005, 1)</f>
        <v>ㄌ</v>
      </c>
      <c r="L5005" s="1" t="str">
        <f t="shared" ref="L5005:L5015" si="318">MID(I5005, 2, 1)</f>
        <v>ㄜ</v>
      </c>
      <c r="N5005" s="3" t="s">
        <v>30574</v>
      </c>
      <c r="O5005" s="3"/>
      <c r="P5005" s="1" t="s">
        <v>20</v>
      </c>
      <c r="R5005" s="1" t="s">
        <v>7830</v>
      </c>
      <c r="V5005" s="1" t="s">
        <v>7831</v>
      </c>
      <c r="AR5005" s="1" t="str">
        <f t="shared" si="316"/>
        <v>| [ㄌㄜˋ](ㄌㄜˋ.md) | [仂](仂.md) |  | lè | [名]
零餘的數目。《禮記．王制》：「祭用數之仂。」 |</v>
      </c>
    </row>
    <row r="5006" spans="1:44" hidden="1">
      <c r="A5006" s="1" t="s">
        <v>7832</v>
      </c>
      <c r="C5006" s="1">
        <v>1</v>
      </c>
      <c r="D5006" s="1" t="str">
        <f>"03188"</f>
        <v>03188</v>
      </c>
      <c r="E5006" s="1" t="s">
        <v>24</v>
      </c>
      <c r="F5006" s="1">
        <v>5</v>
      </c>
      <c r="G5006" s="1">
        <v>2</v>
      </c>
      <c r="H5006" s="1">
        <v>0</v>
      </c>
      <c r="I5006" s="1" t="s">
        <v>7829</v>
      </c>
      <c r="K5006" s="1" t="str">
        <f t="shared" si="317"/>
        <v>ㄌ</v>
      </c>
      <c r="L5006" s="1" t="str">
        <f t="shared" si="318"/>
        <v>ㄜ</v>
      </c>
      <c r="N5006" s="3" t="s">
        <v>30574</v>
      </c>
      <c r="O5006" s="3"/>
      <c r="P5006" s="1" t="s">
        <v>20</v>
      </c>
      <c r="R5006" s="1" t="s">
        <v>7830</v>
      </c>
      <c r="V5006" s="1" t="s">
        <v>7833</v>
      </c>
      <c r="AR5006" s="1" t="str">
        <f t="shared" si="316"/>
        <v>| [ㄌㄜˋ](ㄌㄜˋ.md) | [扐](扐.md) |  | lè | [名]
兩指之間。《說文解字．手部》：「扐，易筮，再扐而後卦。」《易經．繫辭上》：「歸奇於扐以象閏。五歲再閏，故再扐而後卦。」 |</v>
      </c>
    </row>
    <row r="5007" spans="1:44" hidden="1">
      <c r="A5007" s="1" t="s">
        <v>7834</v>
      </c>
      <c r="C5007" s="1">
        <v>1</v>
      </c>
      <c r="D5007" s="1" t="str">
        <f>"03189"</f>
        <v>03189</v>
      </c>
      <c r="E5007" s="1" t="s">
        <v>691</v>
      </c>
      <c r="F5007" s="1">
        <v>5</v>
      </c>
      <c r="G5007" s="1">
        <v>2</v>
      </c>
      <c r="H5007" s="1">
        <v>0</v>
      </c>
      <c r="I5007" s="1" t="s">
        <v>7829</v>
      </c>
      <c r="K5007" s="1" t="str">
        <f t="shared" si="317"/>
        <v>ㄌ</v>
      </c>
      <c r="L5007" s="1" t="str">
        <f t="shared" si="318"/>
        <v>ㄜ</v>
      </c>
      <c r="N5007" s="3" t="s">
        <v>30574</v>
      </c>
      <c r="O5007" s="3"/>
      <c r="P5007" s="1" t="s">
        <v>20</v>
      </c>
      <c r="R5007" s="1" t="s">
        <v>7830</v>
      </c>
      <c r="V5007" s="1" t="s">
        <v>7835</v>
      </c>
      <c r="AR5007" s="1" t="str">
        <f t="shared" si="316"/>
        <v>| [ㄌㄜˋ](ㄌㄜˋ.md) | [阞](阞.md) |  | lè | [名]
地的脈理。《說文解字．阜部》：「阞，地理也。」《周禮．冬官考工記．匠人》：「凡溝逆地阞謂之不行。」 |</v>
      </c>
    </row>
    <row r="5008" spans="1:44" hidden="1">
      <c r="A5008" s="1" t="s">
        <v>7836</v>
      </c>
      <c r="C5008" s="1">
        <v>1</v>
      </c>
      <c r="D5008" s="1" t="str">
        <f>"03190"</f>
        <v>03190</v>
      </c>
      <c r="E5008" s="1" t="s">
        <v>68</v>
      </c>
      <c r="F5008" s="1">
        <v>6</v>
      </c>
      <c r="G5008" s="1">
        <v>2</v>
      </c>
      <c r="H5008" s="1">
        <v>1</v>
      </c>
      <c r="I5008" s="1" t="s">
        <v>7829</v>
      </c>
      <c r="K5008" s="1" t="str">
        <f t="shared" si="317"/>
        <v>ㄌ</v>
      </c>
      <c r="L5008" s="1" t="str">
        <f t="shared" si="318"/>
        <v>ㄜ</v>
      </c>
      <c r="N5008" s="3" t="s">
        <v>30574</v>
      </c>
      <c r="O5008" s="3"/>
      <c r="P5008" s="1" t="s">
        <v>186</v>
      </c>
      <c r="R5008" s="1" t="s">
        <v>7830</v>
      </c>
      <c r="V5008" s="1" t="s">
        <v>7837</v>
      </c>
      <c r="W5008" s="1" t="s">
        <v>7838</v>
      </c>
      <c r="AR5008" s="1" t="str">
        <f t="shared" si="316"/>
        <v>| [ㄌㄜˋ](ㄌㄜˋ.md) | [肋](肋.md) |  | lè | [名]
肋骨的簡稱。如：「左肋」、「右肋」、「雞肋」。 |</v>
      </c>
    </row>
    <row r="5009" spans="1:44" hidden="1">
      <c r="A5009" s="1" t="s">
        <v>7839</v>
      </c>
      <c r="C5009" s="1">
        <v>1</v>
      </c>
      <c r="D5009" s="1" t="str">
        <f>"03191"</f>
        <v>03191</v>
      </c>
      <c r="E5009" s="1" t="s">
        <v>129</v>
      </c>
      <c r="F5009" s="1">
        <v>8</v>
      </c>
      <c r="G5009" s="1">
        <v>5</v>
      </c>
      <c r="H5009" s="1">
        <v>0</v>
      </c>
      <c r="I5009" s="1" t="s">
        <v>7829</v>
      </c>
      <c r="K5009" s="1" t="str">
        <f t="shared" si="317"/>
        <v>ㄌ</v>
      </c>
      <c r="L5009" s="1" t="str">
        <f t="shared" si="318"/>
        <v>ㄜ</v>
      </c>
      <c r="N5009" s="3" t="s">
        <v>30574</v>
      </c>
      <c r="O5009" s="3"/>
      <c r="P5009" s="1" t="s">
        <v>20</v>
      </c>
      <c r="R5009" s="1" t="s">
        <v>7830</v>
      </c>
      <c r="V5009" s="1" t="s">
        <v>7840</v>
      </c>
      <c r="AR5009" s="1" t="str">
        <f t="shared" si="316"/>
        <v>| [ㄌㄜˋ](ㄌㄜˋ.md) | [泐](泐.md) |  | lè | [名]
水石的紋理。《說文解字．水部》：「泐，水之理也。」
[動]
1.石頭依其脈理而散裂。《周禮．冬官．考工記》：「石有時以泐，水有時以凝。」
2.雕刻、銘刻。如：「泐石」、「泐碑」。
3.書寫。常用於信函中。清．袁枚〈答長州明府楊鏡村書〉：「特泐數行，上塵清聽。」 |</v>
      </c>
    </row>
    <row r="5010" spans="1:44" hidden="1">
      <c r="A5010" s="1" t="s">
        <v>7841</v>
      </c>
      <c r="C5010" s="1">
        <v>1</v>
      </c>
      <c r="D5010" s="1" t="str">
        <f>"03192"</f>
        <v>03192</v>
      </c>
      <c r="E5010" s="1" t="s">
        <v>245</v>
      </c>
      <c r="F5010" s="1">
        <v>11</v>
      </c>
      <c r="G5010" s="1">
        <v>9</v>
      </c>
      <c r="H5010" s="1">
        <v>1</v>
      </c>
      <c r="I5010" s="1" t="s">
        <v>7829</v>
      </c>
      <c r="K5010" s="1" t="str">
        <f t="shared" si="317"/>
        <v>ㄌ</v>
      </c>
      <c r="L5010" s="1" t="str">
        <f t="shared" si="318"/>
        <v>ㄜ</v>
      </c>
      <c r="N5010" s="3" t="s">
        <v>30574</v>
      </c>
      <c r="O5010" s="3"/>
      <c r="P5010" s="1" t="s">
        <v>20</v>
      </c>
      <c r="R5010" s="1" t="s">
        <v>7830</v>
      </c>
      <c r="V5010" s="1" t="s">
        <v>7842</v>
      </c>
      <c r="W5010" s="1" t="s">
        <v>7843</v>
      </c>
      <c r="AR5010" s="1" t="str">
        <f t="shared" si="316"/>
        <v>| [ㄌㄜˋ](ㄌㄜˋ.md) | [勒](勒.md) |  | lè | [名]_x000D_
1.有嚼口的馬絡頭。《漢書．卷九四．匈奴傳下》：「鞍勒一具，馬十五匹。」唐．杜甫〈哀江頭〉詩：「輦前才人帶弓箭，白馬嚼齧黃金勒。」_x000D_
2.書法中橫畫的筆法。宋．陳思《書苑菁華．卷二．書法下．永字八法》：「橫為勒。」_x000D_
3.姓。如漢代有勒尊。_x000D_
[動]_x000D_
1.駕御。如：「勒馬長城」。_x000D_
2.約束、限制。《後漢書．卷二四．馬援列傳》：「廖性寬緩，不能教勒子孫。」明．徐弘祖《徐霞客遊記．卷五下．滇遊日記三》：「而盤江自橋頭南下，為越州後橫亙山所勒，轉而東流。」_x000D_
3.統率、率領。《後漢書．卷一．光武帝紀上》：「親勒六軍，大陳戎馬。」《三國演義》第二回：「可召四方英雄之士，勒兵來京。」_x000D_
4.強制、強迫。《隋書．卷二四．食貨志》：「開皇三年，……，又於河西勒百姓立堡，營田積穀。」元．無名氏《鴛鴦被》第四折：「只為那舉債文書，我畫的有親筆跡，因此上被強勒為妻室。」_x000D_
5.刻、寫。如：「勒石」、「勒碑」。宋．陸游〈夜泊水村〉詩：「腰間羽箭久凋零，太息燕然未勒銘。」《京本通俗小說．碾玉觀音》：「真個在時，你勒軍令狀來。」 |</v>
      </c>
    </row>
    <row r="5011" spans="1:44" hidden="1">
      <c r="A5011" s="1" t="s">
        <v>7844</v>
      </c>
      <c r="C5011" s="1">
        <v>1</v>
      </c>
      <c r="D5011" s="1" t="str">
        <f>"03193"</f>
        <v>03193</v>
      </c>
      <c r="E5011" s="1" t="s">
        <v>132</v>
      </c>
      <c r="F5011" s="1">
        <v>8</v>
      </c>
      <c r="G5011" s="1">
        <v>5</v>
      </c>
      <c r="H5011" s="1">
        <v>0</v>
      </c>
      <c r="I5011" s="1" t="s">
        <v>7829</v>
      </c>
      <c r="K5011" s="1" t="str">
        <f t="shared" si="317"/>
        <v>ㄌ</v>
      </c>
      <c r="L5011" s="1" t="str">
        <f t="shared" si="318"/>
        <v>ㄜ</v>
      </c>
      <c r="N5011" s="3" t="s">
        <v>30574</v>
      </c>
      <c r="O5011" s="3"/>
      <c r="P5011" s="1" t="s">
        <v>20</v>
      </c>
      <c r="R5011" s="1" t="s">
        <v>7830</v>
      </c>
      <c r="V5011" s="1" t="s">
        <v>7845</v>
      </c>
      <c r="AR5011" s="1" t="str">
        <f t="shared" si="316"/>
        <v>| [ㄌㄜˋ](ㄌㄜˋ.md) | [垃](垃.md) |  | lè | 參見「垃圾」條。 |</v>
      </c>
    </row>
    <row r="5012" spans="1:44" hidden="1">
      <c r="A5012" s="1" t="s">
        <v>7846</v>
      </c>
      <c r="C5012" s="1">
        <v>1</v>
      </c>
      <c r="D5012" s="1" t="str">
        <f>"03194"</f>
        <v>03194</v>
      </c>
      <c r="E5012" s="1" t="s">
        <v>132</v>
      </c>
      <c r="F5012" s="1">
        <v>10</v>
      </c>
      <c r="G5012" s="1">
        <v>7</v>
      </c>
      <c r="H5012" s="1">
        <v>0</v>
      </c>
      <c r="I5012" s="1" t="s">
        <v>7829</v>
      </c>
      <c r="K5012" s="1" t="str">
        <f t="shared" si="317"/>
        <v>ㄌ</v>
      </c>
      <c r="L5012" s="1" t="str">
        <f t="shared" si="318"/>
        <v>ㄜ</v>
      </c>
      <c r="N5012" s="3" t="s">
        <v>30574</v>
      </c>
      <c r="O5012" s="3"/>
      <c r="P5012" s="1" t="s">
        <v>20</v>
      </c>
      <c r="R5012" s="1" t="s">
        <v>7830</v>
      </c>
      <c r="V5012" s="1" t="s">
        <v>7847</v>
      </c>
      <c r="AR5012" s="1" t="str">
        <f t="shared" si="316"/>
        <v>| [ㄌㄜˋ](ㄌㄜˋ.md) | [埒](埒.md) |  | lè | [名]
1.矮牆、短牆。《說文解字．土部》：「埒，庳垣也。」如：「埒垣」。
2.界線、界限。如：「界埒」、「埒內」、「埒外」。《淮南子．精神》：「休息于無委曲之隅，而游敖于無形埒之野。」
3.山間水流。《列子．湯問》：「一源分為四埒，注於山下。」
[動]
相等、均等。《史記．卷三〇．平準書》：「富埒天子。」唐．陳鴻《長恨傳》：「姊妹封國夫人，富埒王室。」 |</v>
      </c>
    </row>
    <row r="5013" spans="1:44" hidden="1">
      <c r="A5013" s="1" t="s">
        <v>7848</v>
      </c>
      <c r="C5013" s="1">
        <v>1</v>
      </c>
      <c r="D5013" s="1" t="str">
        <f>"03195"</f>
        <v>03195</v>
      </c>
      <c r="E5013" s="1" t="s">
        <v>24</v>
      </c>
      <c r="F5013" s="1">
        <v>10</v>
      </c>
      <c r="G5013" s="1">
        <v>7</v>
      </c>
      <c r="H5013" s="1">
        <v>1</v>
      </c>
      <c r="I5013" s="1" t="s">
        <v>7829</v>
      </c>
      <c r="K5013" s="1" t="str">
        <f t="shared" si="317"/>
        <v>ㄌ</v>
      </c>
      <c r="L5013" s="1" t="str">
        <f t="shared" si="318"/>
        <v>ㄜ</v>
      </c>
      <c r="N5013" s="3" t="s">
        <v>30574</v>
      </c>
      <c r="O5013" s="3"/>
      <c r="P5013" s="1" t="s">
        <v>20</v>
      </c>
      <c r="R5013" s="1" t="s">
        <v>7830</v>
      </c>
      <c r="V5013" s="1" t="s">
        <v>7849</v>
      </c>
      <c r="W5013" s="1" t="s">
        <v>7850</v>
      </c>
      <c r="AR5013" s="1" t="str">
        <f t="shared" si="316"/>
        <v>| [ㄌㄜˋ](ㄌㄜˋ.md) | [捋](捋.md) |  | lè | [動]
拔除。如：「捋虎鬚」。 |</v>
      </c>
    </row>
    <row r="5014" spans="1:44" hidden="1">
      <c r="A5014" s="1" t="s">
        <v>7851</v>
      </c>
      <c r="C5014" s="1">
        <v>1</v>
      </c>
      <c r="D5014" s="1" t="str">
        <f>"03196"</f>
        <v>03196</v>
      </c>
      <c r="E5014" s="1" t="s">
        <v>28</v>
      </c>
      <c r="F5014" s="1">
        <v>10</v>
      </c>
      <c r="G5014" s="1">
        <v>7</v>
      </c>
      <c r="H5014" s="1">
        <v>0</v>
      </c>
      <c r="I5014" s="1" t="s">
        <v>7829</v>
      </c>
      <c r="K5014" s="1" t="str">
        <f t="shared" si="317"/>
        <v>ㄌ</v>
      </c>
      <c r="L5014" s="1" t="str">
        <f t="shared" si="318"/>
        <v>ㄜ</v>
      </c>
      <c r="N5014" s="3" t="s">
        <v>30574</v>
      </c>
      <c r="O5014" s="3"/>
      <c r="P5014" s="1" t="s">
        <v>20</v>
      </c>
      <c r="R5014" s="1" t="s">
        <v>7830</v>
      </c>
      <c r="V5014" s="1" t="s">
        <v>7852</v>
      </c>
      <c r="AR5014" s="1" t="str">
        <f t="shared" si="316"/>
        <v>| [ㄌㄜˋ](ㄌㄜˋ.md) | [哷](哷.md) |  | lè | [動]
雞鳴。《集韻．入聲．薛韻》：「哷，雞鳴也。」 |</v>
      </c>
    </row>
    <row r="5015" spans="1:44" hidden="1">
      <c r="A5015" s="1" t="s">
        <v>7853</v>
      </c>
      <c r="C5015" s="1">
        <v>1</v>
      </c>
      <c r="D5015" s="1" t="str">
        <f>"03197"</f>
        <v>03197</v>
      </c>
      <c r="E5015" s="1" t="s">
        <v>139</v>
      </c>
      <c r="F5015" s="1">
        <v>15</v>
      </c>
      <c r="G5015" s="1">
        <v>11</v>
      </c>
      <c r="H5015" s="1">
        <v>2</v>
      </c>
      <c r="I5015" s="1" t="s">
        <v>7829</v>
      </c>
      <c r="K5015" s="1" t="str">
        <f t="shared" si="317"/>
        <v>ㄌ</v>
      </c>
      <c r="L5015" s="1" t="str">
        <f t="shared" si="318"/>
        <v>ㄜ</v>
      </c>
      <c r="N5015" s="3" t="s">
        <v>30574</v>
      </c>
      <c r="O5015" s="3"/>
      <c r="P5015" s="1" t="s">
        <v>20</v>
      </c>
      <c r="R5015" s="1" t="s">
        <v>7830</v>
      </c>
      <c r="V5015" s="1" t="s">
        <v>7854</v>
      </c>
      <c r="W5015" s="1" t="s">
        <v>7855</v>
      </c>
      <c r="AR5015" s="1" t="str">
        <f t="shared" si="316"/>
        <v>| [ㄌㄜˋ](ㄌㄜˋ.md) | [樂](樂.md) |  | lè | [形]_x000D_
歡喜、愉悅。如：「快樂」、「歡樂」、「樂事」。《論語．學而》：「有朋自遠方來，不亦樂乎！」_x000D_
[名]_x000D_
1.快樂的事或態度。如：「人生一大樂」。《左傳．隱公元年》：「其樂也融融。」《論語．雍也》：「回也不改其樂。」_x000D_
2.泛指聲色情事。《國語．越語下》：「今吳王淫於樂而忘其百姓。」_x000D_
[動]_x000D_
1.笑。如：「把一屋子的人都逗樂了！」_x000D_
2.喜愛。如：「樂於助人」、「樂於行善」。 |</v>
      </c>
    </row>
    <row r="5016" spans="1:44" hidden="1">
      <c r="A5016" s="1" t="s">
        <v>7856</v>
      </c>
      <c r="C5016" s="1">
        <v>1</v>
      </c>
      <c r="D5016" s="1" t="str">
        <f>"03198"</f>
        <v>03198</v>
      </c>
      <c r="E5016" s="1" t="s">
        <v>7857</v>
      </c>
      <c r="F5016" s="1">
        <v>2</v>
      </c>
      <c r="G5016" s="1">
        <v>1</v>
      </c>
      <c r="H5016" s="1">
        <v>2</v>
      </c>
      <c r="I5016" s="1" t="s">
        <v>7858</v>
      </c>
      <c r="J5016" s="2" t="s">
        <v>30559</v>
      </c>
      <c r="K5016" s="1" t="s">
        <v>30567</v>
      </c>
      <c r="L5016" s="1" t="s">
        <v>24183</v>
      </c>
      <c r="P5016" s="1" t="s">
        <v>20</v>
      </c>
      <c r="R5016" s="1" t="s">
        <v>7859</v>
      </c>
      <c r="V5016" s="1" t="s">
        <v>7860</v>
      </c>
      <c r="W5016" s="1" t="s">
        <v>7861</v>
      </c>
      <c r="AR5016" s="1" t="str">
        <f t="shared" si="316"/>
        <v>| [˙ㄌㄜ](˙ㄌㄜ.md) | [了](了.md) |  | le | [助]
1.置於動詞後，表示動作的結束。如：「到了」、「天黑了」、「吃了再走」。宋．蘇軾〈念奴嬌．大江東去〉詞：「遙想公瑾當年，小喬初嫁了，雄姿英發。」
2.置於句末或句中停頓處。表示不耐煩、勸止等意思。如：「走了，還談這些幹什麼？」、「別哭了，事情會好轉的。」、「好了，吵了一天還不夠！」 |</v>
      </c>
    </row>
    <row r="5017" spans="1:44" hidden="1">
      <c r="A5017" s="1" t="s">
        <v>7862</v>
      </c>
      <c r="C5017" s="1">
        <v>1</v>
      </c>
      <c r="D5017" s="1" t="str">
        <f>"03212"</f>
        <v>03212</v>
      </c>
      <c r="E5017" s="1" t="s">
        <v>114</v>
      </c>
      <c r="F5017" s="1">
        <v>8</v>
      </c>
      <c r="G5017" s="1">
        <v>6</v>
      </c>
      <c r="H5017" s="1">
        <v>2</v>
      </c>
      <c r="I5017" s="1" t="s">
        <v>7892</v>
      </c>
      <c r="K5017" s="1" t="str">
        <f t="shared" ref="K5017:K5048" si="319">LEFT(I5017, 1)</f>
        <v>ㄌ</v>
      </c>
      <c r="L5017" s="1" t="str">
        <f t="shared" ref="L5017:L5048" si="320">MID(I5017, 2, 1)</f>
        <v>ㄞ</v>
      </c>
      <c r="N5017" s="3" t="s">
        <v>30574</v>
      </c>
      <c r="O5017" s="3"/>
      <c r="P5017" s="1" t="s">
        <v>20</v>
      </c>
      <c r="R5017" s="1" t="s">
        <v>7893</v>
      </c>
      <c r="V5017" s="1" t="s">
        <v>7894</v>
      </c>
      <c r="W5017" s="1" t="s">
        <v>7895</v>
      </c>
      <c r="AR5017" s="1" t="str">
        <f t="shared" si="316"/>
        <v>| [ㄌㄞˋ](ㄌㄞˋ.md) | [來](來.md) |  | lài | 同「徠」(二)。 |</v>
      </c>
    </row>
    <row r="5018" spans="1:44" hidden="1">
      <c r="A5018" s="1" t="s">
        <v>7896</v>
      </c>
      <c r="C5018" s="1">
        <v>1</v>
      </c>
      <c r="D5018" s="1" t="str">
        <f>"03213"</f>
        <v>03213</v>
      </c>
      <c r="E5018" s="1" t="s">
        <v>245</v>
      </c>
      <c r="F5018" s="1">
        <v>10</v>
      </c>
      <c r="G5018" s="1">
        <v>8</v>
      </c>
      <c r="H5018" s="1">
        <v>1</v>
      </c>
      <c r="I5018" s="1" t="s">
        <v>7892</v>
      </c>
      <c r="K5018" s="1" t="str">
        <f t="shared" si="319"/>
        <v>ㄌ</v>
      </c>
      <c r="L5018" s="1" t="str">
        <f t="shared" si="320"/>
        <v>ㄞ</v>
      </c>
      <c r="N5018" s="3" t="s">
        <v>30574</v>
      </c>
      <c r="O5018" s="3"/>
      <c r="P5018" s="1" t="s">
        <v>20</v>
      </c>
      <c r="R5018" s="1" t="s">
        <v>7893</v>
      </c>
      <c r="V5018" s="1" t="s">
        <v>7894</v>
      </c>
      <c r="W5018" s="1" t="s">
        <v>7897</v>
      </c>
      <c r="AR5018" s="1" t="str">
        <f t="shared" si="316"/>
        <v>| [ㄌㄞˋ](ㄌㄞˋ.md) | [勑](勑.md) |  | lài | 同「徠」(二)。 |</v>
      </c>
    </row>
    <row r="5019" spans="1:44" hidden="1">
      <c r="A5019" s="1" t="s">
        <v>7875</v>
      </c>
      <c r="C5019" s="1">
        <v>1</v>
      </c>
      <c r="D5019" s="1" t="str">
        <f>"03214"</f>
        <v>03214</v>
      </c>
      <c r="E5019" s="1" t="s">
        <v>234</v>
      </c>
      <c r="F5019" s="1">
        <v>11</v>
      </c>
      <c r="G5019" s="1">
        <v>8</v>
      </c>
      <c r="H5019" s="1">
        <v>2</v>
      </c>
      <c r="I5019" s="1" t="s">
        <v>7892</v>
      </c>
      <c r="K5019" s="1" t="str">
        <f t="shared" si="319"/>
        <v>ㄌ</v>
      </c>
      <c r="L5019" s="1" t="str">
        <f t="shared" si="320"/>
        <v>ㄞ</v>
      </c>
      <c r="N5019" s="3" t="s">
        <v>30574</v>
      </c>
      <c r="O5019" s="3"/>
      <c r="P5019" s="1" t="s">
        <v>20</v>
      </c>
      <c r="R5019" s="1" t="s">
        <v>7893</v>
      </c>
      <c r="V5019" s="1" t="s">
        <v>7898</v>
      </c>
      <c r="W5019" s="1" t="s">
        <v>7899</v>
      </c>
      <c r="AR5019" s="1" t="str">
        <f t="shared" si="316"/>
        <v>| [ㄌㄞˋ](ㄌㄞˋ.md) | [徠](徠.md) |  | lài | [動]
慰勞、安撫。《晉書．卷六二．劉琨傳》：「琨撫循勞徠，甚得物情。」 |</v>
      </c>
    </row>
    <row r="5020" spans="1:44" hidden="1">
      <c r="A5020" s="1" t="s">
        <v>7900</v>
      </c>
      <c r="C5020" s="1">
        <v>1</v>
      </c>
      <c r="D5020" s="1" t="str">
        <f>"03215"</f>
        <v>03215</v>
      </c>
      <c r="E5020" s="1" t="s">
        <v>1015</v>
      </c>
      <c r="F5020" s="1">
        <v>13</v>
      </c>
      <c r="G5020" s="1">
        <v>8</v>
      </c>
      <c r="H5020" s="1">
        <v>0</v>
      </c>
      <c r="I5020" s="1" t="s">
        <v>7892</v>
      </c>
      <c r="K5020" s="1" t="str">
        <f t="shared" si="319"/>
        <v>ㄌ</v>
      </c>
      <c r="L5020" s="1" t="str">
        <f t="shared" si="320"/>
        <v>ㄞ</v>
      </c>
      <c r="N5020" s="3" t="s">
        <v>30574</v>
      </c>
      <c r="O5020" s="3"/>
      <c r="P5020" s="1" t="s">
        <v>20</v>
      </c>
      <c r="R5020" s="1" t="s">
        <v>7893</v>
      </c>
      <c r="V5020" s="1" t="s">
        <v>7901</v>
      </c>
      <c r="AR5020" s="1" t="str">
        <f t="shared" si="316"/>
        <v>| [ㄌㄞˋ](ㄌㄞˋ.md) | [睞](睞.md) |  | lài | [形]_x000D_
目中瞳仁不正。《說文解字．目部》：「睞，目童子不正也。」_x000D_
[動]_x000D_
1.看。南朝宋．謝靈運〈登上戍石鼓山〉詩：「極目睞左闊，迴顧眺右狹。」唐．劉禹錫〈昏鏡詞并引〉：「今來市者，必歷鑒周睞，求與己宜。」_x000D_
2.旁視，斜眼看。《文選．卷一九．賦．曹植．洛神賦》：「明眸善睞，靨輔承權。」唐．李善．注：「睞，旁視也。」 |</v>
      </c>
    </row>
    <row r="5021" spans="1:44" hidden="1">
      <c r="A5021" s="1" t="s">
        <v>7902</v>
      </c>
      <c r="C5021" s="1">
        <v>1</v>
      </c>
      <c r="D5021" s="1" t="str">
        <f>"03216"</f>
        <v>03216</v>
      </c>
      <c r="E5021" s="1" t="s">
        <v>505</v>
      </c>
      <c r="F5021" s="1">
        <v>15</v>
      </c>
      <c r="G5021" s="1">
        <v>8</v>
      </c>
      <c r="H5021" s="1">
        <v>0</v>
      </c>
      <c r="I5021" s="1" t="s">
        <v>7892</v>
      </c>
      <c r="K5021" s="1" t="str">
        <f t="shared" si="319"/>
        <v>ㄌ</v>
      </c>
      <c r="L5021" s="1" t="str">
        <f t="shared" si="320"/>
        <v>ㄞ</v>
      </c>
      <c r="N5021" s="3" t="s">
        <v>30574</v>
      </c>
      <c r="O5021" s="3"/>
      <c r="P5021" s="1" t="s">
        <v>20</v>
      </c>
      <c r="R5021" s="1" t="s">
        <v>7893</v>
      </c>
      <c r="V5021" s="1" t="s">
        <v>7903</v>
      </c>
      <c r="AR5021" s="1" t="str">
        <f t="shared" si="316"/>
        <v>| [ㄌㄞˋ](ㄌㄞˋ.md) | [賚](賚.md) |  | lài | [動]
賞賜、賜予。《書經．湯誓》：「予其大賚汝。」《聊齋志異．卷四．促織》：「撫軍亦厚賚成。」
[名]
《詩經．周頌》的篇名。共一章。根據〈詩序〉：「〈賚〉，大封於廟也。〈賚〉，予也。言所以錫予善人也。」指武王克殷，歸告文王之廟之詩。本章二句為：「文王既勤止，我應受之。」 |</v>
      </c>
    </row>
    <row r="5022" spans="1:44" hidden="1">
      <c r="A5022" s="1" t="s">
        <v>7904</v>
      </c>
      <c r="C5022" s="1">
        <v>1</v>
      </c>
      <c r="D5022" s="1" t="str">
        <f>"03217"</f>
        <v>03217</v>
      </c>
      <c r="E5022" s="1" t="s">
        <v>1941</v>
      </c>
      <c r="F5022" s="1">
        <v>15</v>
      </c>
      <c r="G5022" s="1">
        <v>13</v>
      </c>
      <c r="H5022" s="1">
        <v>2</v>
      </c>
      <c r="I5022" s="1" t="s">
        <v>7892</v>
      </c>
      <c r="K5022" s="1" t="str">
        <f t="shared" si="319"/>
        <v>ㄌ</v>
      </c>
      <c r="L5022" s="1" t="str">
        <f t="shared" si="320"/>
        <v>ㄞ</v>
      </c>
      <c r="N5022" s="3" t="s">
        <v>30574</v>
      </c>
      <c r="O5022" s="3"/>
      <c r="P5022" s="1" t="s">
        <v>20</v>
      </c>
      <c r="R5022" s="1" t="s">
        <v>7893</v>
      </c>
      <c r="V5022" s="1" t="s">
        <v>7905</v>
      </c>
      <c r="W5022" s="1" t="s">
        <v>7906</v>
      </c>
      <c r="AR5022" s="1" t="str">
        <f t="shared" si="316"/>
        <v>| [ㄌㄞˋ](ㄌㄞˋ.md) | [厲](厲.md) |  | lài | [名]_x000D_
痲瘋病。同「癩」。《戰國策．秦策三》：「漆身而為厲，被髮而為狂。」《史記．卷八六．刺客列傳．豫讓》：「豫讓又漆身為厲，吞炭為啞，使形狀不可知。」 |</v>
      </c>
    </row>
    <row r="5023" spans="1:44" hidden="1">
      <c r="A5023" s="1" t="s">
        <v>7907</v>
      </c>
      <c r="C5023" s="1">
        <v>1</v>
      </c>
      <c r="D5023" s="1" t="str">
        <f>"03218"</f>
        <v>03218</v>
      </c>
      <c r="E5023" s="1" t="s">
        <v>505</v>
      </c>
      <c r="F5023" s="1">
        <v>16</v>
      </c>
      <c r="G5023" s="1">
        <v>9</v>
      </c>
      <c r="H5023" s="1">
        <v>0</v>
      </c>
      <c r="I5023" s="1" t="s">
        <v>7892</v>
      </c>
      <c r="K5023" s="1" t="str">
        <f t="shared" si="319"/>
        <v>ㄌ</v>
      </c>
      <c r="L5023" s="1" t="str">
        <f t="shared" si="320"/>
        <v>ㄞ</v>
      </c>
      <c r="N5023" s="3" t="s">
        <v>30574</v>
      </c>
      <c r="O5023" s="3"/>
      <c r="P5023" s="1" t="s">
        <v>20</v>
      </c>
      <c r="R5023" s="1" t="s">
        <v>7893</v>
      </c>
      <c r="V5023" s="1" t="s">
        <v>7908</v>
      </c>
      <c r="AR5023" s="1" t="str">
        <f t="shared" si="316"/>
        <v>| [ㄌㄞˋ](ㄌㄞˋ.md) | [賴](賴.md) |  | lài | [動]
1.依靠。如：「依賴」、「仰賴」、「信賴」。《孝經．開宗明義章》：「一人有慶，兆民賴之。」
2.留在某處不動。如：「賴床」、「自己走！別賴在媽媽身上。」
3.不承認錯誤或推卸責任。如：「天理昭彰！你賴不掉的。」《水滸傳》第二九回：「贓物正在你箱子內搜出來，如何賴得過？」
4.拖欠。《老殘遊記》第一九回：「我家有的是錢，從來沒賴過人的帳。」
5.訛指、誣認。如：「誣賴」。《紅樓夢》第八六回：「實是誤傷，怎麼賴人？」
[形]
不好、壞。如：「這部影集播出後，風評還真不賴。」
[副]
幸虧、幸而。唐．韋應物〈溫泉行〉：「弊裘羸馬凍欲死，賴遇主人杯酒多。」唐．錢起〈罷章陵令山居過中峰道者〉詩二首之二：「賴遇無心雲，不笑歸來晚。」
[名]
1.餘利、利潤。《國語．齊語》：「相語以利，相示以賴。」
2.姓。漢代有賴先，清代有賴文光。 |</v>
      </c>
    </row>
    <row r="5024" spans="1:44" hidden="1">
      <c r="A5024" s="1" t="s">
        <v>7909</v>
      </c>
      <c r="C5024" s="1">
        <v>1</v>
      </c>
      <c r="D5024" s="1" t="str">
        <f>"03219"</f>
        <v>03219</v>
      </c>
      <c r="E5024" s="1" t="s">
        <v>129</v>
      </c>
      <c r="F5024" s="1">
        <v>19</v>
      </c>
      <c r="G5024" s="1">
        <v>16</v>
      </c>
      <c r="H5024" s="1">
        <v>0</v>
      </c>
      <c r="I5024" s="1" t="s">
        <v>7892</v>
      </c>
      <c r="K5024" s="1" t="str">
        <f t="shared" si="319"/>
        <v>ㄌ</v>
      </c>
      <c r="L5024" s="1" t="str">
        <f t="shared" si="320"/>
        <v>ㄞ</v>
      </c>
      <c r="N5024" s="3" t="s">
        <v>30574</v>
      </c>
      <c r="O5024" s="3"/>
      <c r="P5024" s="1" t="s">
        <v>20</v>
      </c>
      <c r="R5024" s="1" t="s">
        <v>7893</v>
      </c>
      <c r="V5024" s="1" t="s">
        <v>7910</v>
      </c>
      <c r="AR5024" s="1" t="str">
        <f t="shared" si="316"/>
        <v>| [ㄌㄞˋ](ㄌㄞˋ.md) | [瀨](瀨.md) |  | lài | [名]
沙或石上淺而急的流水。《楚辭．屈原．九歌．湘君》：「石瀨兮淺淺，飛龍兮翩翩。」唐．柳宗元〈袁家渴記〉：「衝濤旋瀨，退貯谿谷。」 |</v>
      </c>
    </row>
    <row r="5025" spans="1:44" hidden="1">
      <c r="A5025" s="1" t="s">
        <v>7911</v>
      </c>
      <c r="C5025" s="1">
        <v>1</v>
      </c>
      <c r="D5025" s="1" t="str">
        <f>"03220"</f>
        <v>03220</v>
      </c>
      <c r="E5025" s="1" t="s">
        <v>37</v>
      </c>
      <c r="F5025" s="1">
        <v>20</v>
      </c>
      <c r="G5025" s="1">
        <v>16</v>
      </c>
      <c r="H5025" s="1">
        <v>0</v>
      </c>
      <c r="I5025" s="1" t="s">
        <v>7892</v>
      </c>
      <c r="K5025" s="1" t="str">
        <f t="shared" si="319"/>
        <v>ㄌ</v>
      </c>
      <c r="L5025" s="1" t="str">
        <f t="shared" si="320"/>
        <v>ㄞ</v>
      </c>
      <c r="N5025" s="3" t="s">
        <v>30574</v>
      </c>
      <c r="O5025" s="3"/>
      <c r="P5025" s="1" t="s">
        <v>20</v>
      </c>
      <c r="R5025" s="1" t="s">
        <v>7893</v>
      </c>
      <c r="V5025" s="1" t="s">
        <v>7912</v>
      </c>
      <c r="AR5025" s="1" t="str">
        <f t="shared" si="316"/>
        <v>| [ㄌㄞˋ](ㄌㄞˋ.md) | [藾](藾.md) |  | lài | [名]
1.一種草。《爾雅．釋草》：「苹，藾蕭。」晉．郭璞．注：「今藾蒿也。初生亦可食。」
2.蔭。《莊子．人間世》：「南伯子綦游乎商之丘，見大木焉，有異，結駟千乘，隱將芘其所藾。」唐．陸德明《經典釋文．卷二六．莊子音義上》：「向云：『藾，蔭也』，可以蔭芘千乘也。」 |</v>
      </c>
    </row>
    <row r="5026" spans="1:44" hidden="1">
      <c r="A5026" s="1" t="s">
        <v>7913</v>
      </c>
      <c r="C5026" s="1">
        <v>1</v>
      </c>
      <c r="D5026" s="1" t="str">
        <f>"03221"</f>
        <v>03221</v>
      </c>
      <c r="E5026" s="1" t="s">
        <v>40</v>
      </c>
      <c r="F5026" s="1">
        <v>21</v>
      </c>
      <c r="G5026" s="1">
        <v>16</v>
      </c>
      <c r="H5026" s="1">
        <v>0</v>
      </c>
      <c r="I5026" s="1" t="s">
        <v>7892</v>
      </c>
      <c r="K5026" s="1" t="str">
        <f t="shared" si="319"/>
        <v>ㄌ</v>
      </c>
      <c r="L5026" s="1" t="str">
        <f t="shared" si="320"/>
        <v>ㄞ</v>
      </c>
      <c r="N5026" s="3" t="s">
        <v>30574</v>
      </c>
      <c r="O5026" s="3"/>
      <c r="P5026" s="1" t="s">
        <v>20</v>
      </c>
      <c r="R5026" s="1" t="s">
        <v>7893</v>
      </c>
      <c r="V5026" s="1" t="s">
        <v>7914</v>
      </c>
      <c r="AR5026" s="1" t="str">
        <f t="shared" si="316"/>
        <v>| [ㄌㄞˋ](ㄌㄞˋ.md) | [癩](癩.md) |  | lài | [名]_x000D_
1.病名。即麻瘋。參見「麻瘋」條。《二刻拍案驚奇》卷三一：「不想自此之後，喇虎渾身生起癩來，起床不得。」清．徐珂《清稗類鈔．譏諷類．大瘋歌》：「粵南為瘴癘之鄉，有大麻瘋，一名癩，到處流行。」_x000D_
2.生癬或疥瘡而使毛髮脫落的狀況。如：「他因頭上長癬，毛髮脫落成了癩子。」_x000D_
[形]_x000D_
不好。通「賴」。如：「東西有好有癩。」 |</v>
      </c>
    </row>
    <row r="5027" spans="1:44" hidden="1">
      <c r="A5027" s="1" t="s">
        <v>7915</v>
      </c>
      <c r="C5027" s="1">
        <v>1</v>
      </c>
      <c r="D5027" s="1" t="str">
        <f>"03222"</f>
        <v>03222</v>
      </c>
      <c r="E5027" s="1" t="s">
        <v>49</v>
      </c>
      <c r="F5027" s="1">
        <v>22</v>
      </c>
      <c r="G5027" s="1">
        <v>16</v>
      </c>
      <c r="H5027" s="1">
        <v>0</v>
      </c>
      <c r="I5027" s="1" t="s">
        <v>7892</v>
      </c>
      <c r="K5027" s="1" t="str">
        <f t="shared" si="319"/>
        <v>ㄌ</v>
      </c>
      <c r="L5027" s="1" t="str">
        <f t="shared" si="320"/>
        <v>ㄞ</v>
      </c>
      <c r="N5027" s="3" t="s">
        <v>30574</v>
      </c>
      <c r="O5027" s="3"/>
      <c r="P5027" s="1" t="s">
        <v>20</v>
      </c>
      <c r="R5027" s="1" t="s">
        <v>7893</v>
      </c>
      <c r="V5027" s="1" t="s">
        <v>7916</v>
      </c>
      <c r="AR5027" s="1" t="str">
        <f t="shared" si="316"/>
        <v>| [ㄌㄞˋ](ㄌㄞˋ.md) | [籟](籟.md) |  | lài | [名]
1.樂器名，吹管樂器：(1)古代的一種管樂器。三孔。《說文解字．竹部》：「籟，三孔龠也。大者謂之笙，其中謂之籟，小者謂之箹。」(2)簫。《史記．卷一一七．司馬相如列傳》：「吹鳴籟。」裴駰集解引《漢書音義》：「籟，簫也。」
2.本指從孔竅中所發出的聲音，後泛指一切的聲音。如：「天籟」、「人籟」、「萬籟俱寂」。南朝梁．劉勰《文心雕龍．原道》：「至於林籟結響，調如竽瑟。」晉．王羲之〈蘭亭〉詩二首之一：「群籟雖參差，適我無非新。」 |</v>
      </c>
    </row>
    <row r="5028" spans="1:44" hidden="1">
      <c r="A5028" s="1" t="s">
        <v>7862</v>
      </c>
      <c r="C5028" s="1">
        <v>1</v>
      </c>
      <c r="D5028" s="1" t="str">
        <f>"03199"</f>
        <v>03199</v>
      </c>
      <c r="E5028" s="1" t="s">
        <v>114</v>
      </c>
      <c r="F5028" s="1">
        <v>8</v>
      </c>
      <c r="G5028" s="1">
        <v>6</v>
      </c>
      <c r="H5028" s="1">
        <v>1</v>
      </c>
      <c r="I5028" s="1" t="s">
        <v>7863</v>
      </c>
      <c r="K5028" s="1" t="str">
        <f t="shared" si="319"/>
        <v>ㄌ</v>
      </c>
      <c r="L5028" s="1" t="str">
        <f t="shared" si="320"/>
        <v>ㄞ</v>
      </c>
      <c r="N5028" s="3" t="s">
        <v>30575</v>
      </c>
      <c r="O5028" s="3"/>
      <c r="P5028" s="1" t="s">
        <v>20</v>
      </c>
      <c r="R5028" s="1" t="s">
        <v>7864</v>
      </c>
      <c r="V5028" s="1" t="s">
        <v>7865</v>
      </c>
      <c r="W5028" s="1" t="s">
        <v>7866</v>
      </c>
      <c r="AR5028" s="1" t="str">
        <f t="shared" si="316"/>
        <v>| [ㄌㄞˊ](ㄌㄞˊ.md) | [來](來.md) |  | lái | [動]_x000D_
1.從別處移動至此處。與「去」、「往」相對而言。《論語．學而》：「有朋自遠方來，不亦樂乎？」《鏡花緣》第一回：「只見魁星後面又來了四位仙長，形容相貌，與眾不同。」_x000D_
2.臨到、發生。如：「這下問題來了！」「事情一來，忙昏頭了！」南朝梁．江淹〈恨賦〉：「置酒欲飲，悲來填膺。」唐．韋莊〈湘中作〉詩：「否去泰來終可待，夜寒休唱飯牛歌。」《舊五代史．卷九八．晉書．列傳．安重榮》：「仰認睿旨，深惟匿瑕，其如天道人心，至務勝殘去虐，須知機不可失，時不再來。」_x000D_
3.表示從過去某個時間點持續到現在。《太平廣記．卷三三三．崔咸》引《通幽記》：「吾舍小娘子，亡來三日，昨夜方歛。」《三國演義》第三回：「肅見布曰：『賢弟別來無恙！』」清．紀昀《閱微草堂筆記．卷四．灤陽消夏錄四》：「古來祈夢斷獄之事，余謂皆事後之附會也述之。」_x000D_
4.替代某個動詞，表示做某種動作。如：「亂來」、「來杯咖啡」、「我報告完了，換你來。」「你拿茶具，桌墊我自己來。」《董西廂》卷一：「教惺惺浪兒每都伏咱，不曾胡來，俏倬是生涯。」《二十年目睹之怪現狀》第七〇回：「聽說那一位小姐，雅的是琴棋書畫，俗的是寫算操作，沒有一件不來的。」_x000D_
5.置於動詞後，表示動作趨向說話者所在之處。如：「捷報傳來，舉國歡騰。」《平妖傳》第一回：「直待南林菴老僧請出一位揭諦尊神，布了天羅地網，遣神將擒來。」《醒世姻緣傳》第一回：「今日將銀錢自己上門送來，連文約也不敢收領。」_x000D_
[形]_x000D_
1.未來的、下一次的。如：「來年」、「來生」。《三國演義》第一回：「來日收拾軍器，但恨無馬匹可乘。」《警世通言．卷六．俞仲舉題詩遇上皇》：「今科不中來科中。」《鏡花緣》第五回：「曾降敕旨，令百花於來晨黎明齊放，以供玩賞。」_x000D_
2.用於數詞或量詞之間，表約略的意思。如：「三十來歲」、「二十來斤」。《祖堂集．卷八．青林和尚》：「五百來人在這裡，莫是不為向上事？」《醒世姻緣傳》第二二回：「利上加利，待到了十來個月，連本錢三、四倍的算將出來。」_x000D_
[助]_x000D_
1.接於形容詞、時間詞等之後，表示某個時候。唐．杜甫〈送李校書二十六韻〉：「小來習性懶，晚節慵轉劇。」《三國演義》第七七回：「適來所言，皆傳聞之事，未足深信。」明．高明《琵琶記》第二一齣：「適來聽得他公婆知道，卻又痛心都害了病。」_x000D_
2.接於動詞之前，表示要做某事。如：「我來唱首歌。」「你來看店。」《金史．卷七七．列傳．宗弼》：「臣構言，今來畫疆，合以淮水中流為界，西有唐、鄧州割屬上國。」《鏡花緣》第一三回：「青天白日，你們這些強盜敢來打劫！」清．孔尚任《桃花扇》第一六齣：「你來幫一幫，也不妨事，只要小心著。」_x000D_
3.接於動詞或動詞詞組之後，表示來的目的。如：「我探望你來了。」「我上課來了。」清．孔尚任《桃花扇》第二九齣：「你就是阮鬍子，今日報讎來了。」_x000D_
4.與「得」或「不」連用，表是否有能力。如：「這事我做得來。」《醒世姻緣傳》第一六回：「況且錢財都有個分定，怎強求得來！」《鏡花緣》第三六回：「這國王恁般狠毒，明是冤家對頭，躲還躲不來，怎敢親近？」_x000D_
5.用於數詞之後，表列舉。如：「一來念他初犯，二來念他年輕，此次暫且饒了他。」《平妖傳》第一三回：「我等一來不可逆天，二來不可忘了指點之恩。」《醒世姻緣傳》第六回：「你可拘束了他同到任去，一來遠避了他，二來帝都所在，那妖魂也不敢隨去。」_x000D_
6.當口語中的襯字，以補足語氣或描摹情態。如：「正月裡來，迎春花兒開。」「不愁吃來，不愁穿。」_x000D_
[名]_x000D_
姓。如周代有來章，唐代有來俊臣。 |</v>
      </c>
    </row>
    <row r="5029" spans="1:44" hidden="1">
      <c r="A5029" s="1" t="s">
        <v>7867</v>
      </c>
      <c r="C5029" s="1">
        <v>1</v>
      </c>
      <c r="D5029" s="1" t="str">
        <f>"03200"</f>
        <v>03200</v>
      </c>
      <c r="E5029" s="1" t="s">
        <v>114</v>
      </c>
      <c r="F5029" s="1">
        <v>10</v>
      </c>
      <c r="G5029" s="1">
        <v>8</v>
      </c>
      <c r="H5029" s="1">
        <v>0</v>
      </c>
      <c r="I5029" s="1" t="s">
        <v>7863</v>
      </c>
      <c r="K5029" s="1" t="str">
        <f t="shared" si="319"/>
        <v>ㄌ</v>
      </c>
      <c r="L5029" s="1" t="str">
        <f t="shared" si="320"/>
        <v>ㄞ</v>
      </c>
      <c r="N5029" s="3" t="s">
        <v>30575</v>
      </c>
      <c r="O5029" s="3"/>
      <c r="P5029" s="1" t="s">
        <v>20</v>
      </c>
      <c r="R5029" s="1" t="s">
        <v>7864</v>
      </c>
      <c r="V5029" s="1" t="s">
        <v>7868</v>
      </c>
      <c r="AR5029" s="1" t="str">
        <f t="shared" si="316"/>
        <v>| [ㄌㄞˊ](ㄌㄞˊ.md) | [倈](倈.md) |  | lái | [名]
1.對人的泛稱。有賤視的意思。元．戴善甫《風光好》第二折：「梅香！兀那月下閒行的，正是那倈！」
2.戲曲中扮演小孩的角色。元．王實甫《西廂記．第四本．第二折》：「倈云：『奶奶知道你和姐姐去花園裡去，如今要打。』」元．孟漢卿《魔合羅．楔子》：「正末扮李德昌同旦、倈上云：『自家李德昌是也。』」 |</v>
      </c>
    </row>
    <row r="5030" spans="1:44" hidden="1">
      <c r="A5030" s="1" t="s">
        <v>7869</v>
      </c>
      <c r="C5030" s="1">
        <v>1</v>
      </c>
      <c r="D5030" s="1" t="str">
        <f>"03201"</f>
        <v>03201</v>
      </c>
      <c r="E5030" s="1" t="s">
        <v>129</v>
      </c>
      <c r="F5030" s="1">
        <v>11</v>
      </c>
      <c r="G5030" s="1">
        <v>8</v>
      </c>
      <c r="H5030" s="1">
        <v>0</v>
      </c>
      <c r="I5030" s="1" t="s">
        <v>7863</v>
      </c>
      <c r="K5030" s="1" t="str">
        <f t="shared" si="319"/>
        <v>ㄌ</v>
      </c>
      <c r="L5030" s="1" t="str">
        <f t="shared" si="320"/>
        <v>ㄞ</v>
      </c>
      <c r="N5030" s="3" t="s">
        <v>30575</v>
      </c>
      <c r="O5030" s="3"/>
      <c r="P5030" s="1" t="s">
        <v>20</v>
      </c>
      <c r="R5030" s="1" t="s">
        <v>7864</v>
      </c>
      <c r="V5030" s="1" t="s">
        <v>7870</v>
      </c>
      <c r="AR5030" s="1" t="str">
        <f t="shared" si="316"/>
        <v>| [ㄌㄞˊ](ㄌㄞˊ.md) | [淶](淶.md) |  | lái | [名]
淶水：河川名。源於大陸地區河北省淶陽縣西境，東流至易縣注入易水。 |</v>
      </c>
    </row>
    <row r="5031" spans="1:44" hidden="1">
      <c r="A5031" s="1" t="s">
        <v>7871</v>
      </c>
      <c r="C5031" s="1">
        <v>1</v>
      </c>
      <c r="D5031" s="1" t="str">
        <f>"03202"</f>
        <v>03202</v>
      </c>
      <c r="E5031" s="1" t="s">
        <v>256</v>
      </c>
      <c r="F5031" s="1">
        <v>11</v>
      </c>
      <c r="G5031" s="1">
        <v>8</v>
      </c>
      <c r="H5031" s="1">
        <v>0</v>
      </c>
      <c r="I5031" s="1" t="s">
        <v>7863</v>
      </c>
      <c r="K5031" s="1" t="str">
        <f t="shared" si="319"/>
        <v>ㄌ</v>
      </c>
      <c r="L5031" s="1" t="str">
        <f t="shared" si="320"/>
        <v>ㄞ</v>
      </c>
      <c r="N5031" s="3" t="s">
        <v>30575</v>
      </c>
      <c r="O5031" s="3"/>
      <c r="P5031" s="1" t="s">
        <v>20</v>
      </c>
      <c r="R5031" s="1" t="s">
        <v>7864</v>
      </c>
      <c r="V5031" s="1" t="s">
        <v>7872</v>
      </c>
      <c r="AR5031" s="1" t="str">
        <f t="shared" si="316"/>
        <v>| [ㄌㄞˊ](ㄌㄞˊ.md) | [郲](郲.md) |  | lái | [名]
地名。春秋時鄭屬地，故址約在今大陸地區河南省滎陽縣境。 |</v>
      </c>
    </row>
    <row r="5032" spans="1:44" hidden="1">
      <c r="A5032" s="1" t="s">
        <v>7873</v>
      </c>
      <c r="C5032" s="1">
        <v>1</v>
      </c>
      <c r="D5032" s="1" t="str">
        <f>"03203"</f>
        <v>03203</v>
      </c>
      <c r="E5032" s="1" t="s">
        <v>190</v>
      </c>
      <c r="F5032" s="1">
        <v>11</v>
      </c>
      <c r="G5032" s="1">
        <v>8</v>
      </c>
      <c r="H5032" s="1">
        <v>0</v>
      </c>
      <c r="I5032" s="1" t="s">
        <v>7863</v>
      </c>
      <c r="K5032" s="1" t="str">
        <f t="shared" si="319"/>
        <v>ㄌ</v>
      </c>
      <c r="L5032" s="1" t="str">
        <f t="shared" si="320"/>
        <v>ㄞ</v>
      </c>
      <c r="N5032" s="3" t="s">
        <v>30575</v>
      </c>
      <c r="O5032" s="3"/>
      <c r="P5032" s="1" t="s">
        <v>20</v>
      </c>
      <c r="R5032" s="1" t="s">
        <v>7864</v>
      </c>
      <c r="V5032" s="1" t="s">
        <v>7874</v>
      </c>
      <c r="AR5032" s="1" t="str">
        <f t="shared" si="316"/>
        <v>| [ㄌㄞˊ](ㄌㄞˊ.md) | [崍](崍.md) |  | lái | [名]
崍山：山名。在大陸地區四川省灌縣西，邛水發源處。也稱為「邛崍山」。 |</v>
      </c>
    </row>
    <row r="5033" spans="1:44" hidden="1">
      <c r="A5033" s="1" t="s">
        <v>7875</v>
      </c>
      <c r="C5033" s="1">
        <v>1</v>
      </c>
      <c r="D5033" s="1" t="str">
        <f>"03204"</f>
        <v>03204</v>
      </c>
      <c r="E5033" s="1" t="s">
        <v>234</v>
      </c>
      <c r="F5033" s="1">
        <v>11</v>
      </c>
      <c r="G5033" s="1">
        <v>8</v>
      </c>
      <c r="H5033" s="1">
        <v>1</v>
      </c>
      <c r="I5033" s="1" t="s">
        <v>7863</v>
      </c>
      <c r="K5033" s="1" t="str">
        <f t="shared" si="319"/>
        <v>ㄌ</v>
      </c>
      <c r="L5033" s="1" t="str">
        <f t="shared" si="320"/>
        <v>ㄞ</v>
      </c>
      <c r="N5033" s="3" t="s">
        <v>30575</v>
      </c>
      <c r="O5033" s="3"/>
      <c r="P5033" s="1" t="s">
        <v>20</v>
      </c>
      <c r="R5033" s="1" t="s">
        <v>7864</v>
      </c>
      <c r="V5033" s="1" t="s">
        <v>7876</v>
      </c>
      <c r="W5033" s="1" t="s">
        <v>7877</v>
      </c>
      <c r="AR5033" s="1" t="str">
        <f t="shared" si="316"/>
        <v>| [ㄌㄞˊ](ㄌㄞˊ.md) | [徠](徠.md) |  | lái | [動]
從某處到此處。同「來」(一)。如：「招徠」。 |</v>
      </c>
    </row>
    <row r="5034" spans="1:44" hidden="1">
      <c r="A5034" s="1" t="s">
        <v>7878</v>
      </c>
      <c r="C5034" s="1">
        <v>1</v>
      </c>
      <c r="D5034" s="1" t="str">
        <f>"03205"</f>
        <v>03205</v>
      </c>
      <c r="E5034" s="1" t="s">
        <v>198</v>
      </c>
      <c r="F5034" s="1">
        <v>11</v>
      </c>
      <c r="G5034" s="1">
        <v>8</v>
      </c>
      <c r="H5034" s="1">
        <v>0</v>
      </c>
      <c r="I5034" s="1" t="s">
        <v>7863</v>
      </c>
      <c r="K5034" s="1" t="str">
        <f t="shared" si="319"/>
        <v>ㄌ</v>
      </c>
      <c r="L5034" s="1" t="str">
        <f t="shared" si="320"/>
        <v>ㄞ</v>
      </c>
      <c r="N5034" s="3" t="s">
        <v>30575</v>
      </c>
      <c r="O5034" s="3"/>
      <c r="P5034" s="1" t="s">
        <v>20</v>
      </c>
      <c r="R5034" s="1" t="s">
        <v>7864</v>
      </c>
      <c r="V5034" s="1" t="s">
        <v>7879</v>
      </c>
      <c r="AR5034" s="1" t="str">
        <f t="shared" si="316"/>
        <v>| [ㄌㄞˊ](ㄌㄞˊ.md) | [猍](猍.md) |  | lái | [名]
中國少數民族之一，散布於大陸地區廣西。 |</v>
      </c>
    </row>
    <row r="5035" spans="1:44" hidden="1">
      <c r="A5035" s="1" t="s">
        <v>7880</v>
      </c>
      <c r="C5035" s="1">
        <v>1</v>
      </c>
      <c r="D5035" s="1" t="str">
        <f>"03206"</f>
        <v>03206</v>
      </c>
      <c r="E5035" s="1" t="s">
        <v>139</v>
      </c>
      <c r="F5035" s="1">
        <v>12</v>
      </c>
      <c r="G5035" s="1">
        <v>8</v>
      </c>
      <c r="H5035" s="1">
        <v>0</v>
      </c>
      <c r="I5035" s="1" t="s">
        <v>7863</v>
      </c>
      <c r="K5035" s="1" t="str">
        <f t="shared" si="319"/>
        <v>ㄌ</v>
      </c>
      <c r="L5035" s="1" t="str">
        <f t="shared" si="320"/>
        <v>ㄞ</v>
      </c>
      <c r="N5035" s="3" t="s">
        <v>30575</v>
      </c>
      <c r="O5035" s="3"/>
      <c r="P5035" s="1" t="s">
        <v>20</v>
      </c>
      <c r="R5035" s="1" t="s">
        <v>7864</v>
      </c>
      <c r="V5035" s="1" t="s">
        <v>7881</v>
      </c>
      <c r="AR5035" s="1" t="str">
        <f t="shared" si="316"/>
        <v>| [ㄌㄞˊ](ㄌㄞˊ.md) | [棶](棶.md) |  | lái | [名]
棶木：植物名。四照花科棶木屬，落葉喬木。葉對生，橢圓形卵狀，全緣或有不整齊之波狀細齒。繖房狀聚繖花序頂生，被柔毛，花白色。核果球形，暗紫色，內藏兩枚種子。種子供作榨油之用。樹皮可入藥，材質細緻、堅硬，是優良的建築材料。也稱為「椋子木」。 |</v>
      </c>
    </row>
    <row r="5036" spans="1:44" hidden="1">
      <c r="A5036" s="1" t="s">
        <v>7882</v>
      </c>
      <c r="C5036" s="1">
        <v>1</v>
      </c>
      <c r="D5036" s="1" t="str">
        <f>"03207"</f>
        <v>03207</v>
      </c>
      <c r="E5036" s="1" t="s">
        <v>37</v>
      </c>
      <c r="F5036" s="1">
        <v>12</v>
      </c>
      <c r="G5036" s="1">
        <v>8</v>
      </c>
      <c r="H5036" s="1">
        <v>0</v>
      </c>
      <c r="I5036" s="1" t="s">
        <v>7863</v>
      </c>
      <c r="K5036" s="1" t="str">
        <f t="shared" si="319"/>
        <v>ㄌ</v>
      </c>
      <c r="L5036" s="1" t="str">
        <f t="shared" si="320"/>
        <v>ㄞ</v>
      </c>
      <c r="N5036" s="3" t="s">
        <v>30575</v>
      </c>
      <c r="O5036" s="3"/>
      <c r="P5036" s="1" t="s">
        <v>20</v>
      </c>
      <c r="R5036" s="1" t="s">
        <v>7864</v>
      </c>
      <c r="V5036" s="1" t="s">
        <v>7883</v>
      </c>
      <c r="AR5036" s="1" t="str">
        <f t="shared" si="316"/>
        <v>| [ㄌㄞˊ](ㄌㄞˊ.md) | [萊](萊.md) |  | lái | [名]
1.植物名。藜科藜屬，一年生草本。葉卵形，質柔形闊，邊緣呈鋸齒狀。有香氣，嫩葉可食。也稱為「藜」。
2.不耕種而蔓草叢生的田地。《周禮．地官．縣師》：「而辨其夫家人民田萊之數。」
3.雜草、穢草。《詩經．小雅．十月之交》：「徹我牆屋，田卒汙萊。」唐．孔穎達．正義：「萊者，草穢之名。」
4.國名。春秋時為齊靈公所滅。故址約在今大陸地區山東省黃縣東南。
5.姓。如春秋時晉國有萊駒。
[動]
除草。《周禮．地官．山虞》：「若大田獵，則萊山田之野。」 |</v>
      </c>
    </row>
    <row r="5037" spans="1:44" hidden="1">
      <c r="A5037" s="1" t="s">
        <v>7884</v>
      </c>
      <c r="C5037" s="1">
        <v>1</v>
      </c>
      <c r="D5037" s="1" t="str">
        <f>"03208"</f>
        <v>03208</v>
      </c>
      <c r="E5037" s="1" t="s">
        <v>55</v>
      </c>
      <c r="F5037" s="1">
        <v>16</v>
      </c>
      <c r="G5037" s="1">
        <v>8</v>
      </c>
      <c r="H5037" s="1">
        <v>0</v>
      </c>
      <c r="I5037" s="1" t="s">
        <v>7863</v>
      </c>
      <c r="K5037" s="1" t="str">
        <f t="shared" si="319"/>
        <v>ㄌ</v>
      </c>
      <c r="L5037" s="1" t="str">
        <f t="shared" si="320"/>
        <v>ㄞ</v>
      </c>
      <c r="N5037" s="3" t="s">
        <v>30575</v>
      </c>
      <c r="O5037" s="3"/>
      <c r="P5037" s="1" t="s">
        <v>20</v>
      </c>
      <c r="R5037" s="1" t="s">
        <v>7864</v>
      </c>
      <c r="V5037" s="1" t="s">
        <v>7885</v>
      </c>
      <c r="AR5037" s="1" t="str">
        <f t="shared" si="316"/>
        <v>| [ㄌㄞˊ](ㄌㄞˊ.md) | [錸](錸.md) |  | lái | [名]
（rhenium，Re）化學元素。原子序75。是一種過渡金屬元素，在自然界含量少，分散於輝鉬礦中。熔點高達攝氏三千一百八十度。耐高溫、耐腐蝕，具良好機械性能，電阻高。常用來製造電燈燈絲，人造衛星及火箭的外殼等。 |</v>
      </c>
    </row>
    <row r="5038" spans="1:44" hidden="1">
      <c r="A5038" s="1" t="s">
        <v>7886</v>
      </c>
      <c r="C5038" s="1">
        <v>1</v>
      </c>
      <c r="D5038" s="1" t="str">
        <f>"03209"</f>
        <v>03209</v>
      </c>
      <c r="E5038" s="1" t="s">
        <v>319</v>
      </c>
      <c r="F5038" s="1">
        <v>18</v>
      </c>
      <c r="G5038" s="1">
        <v>8</v>
      </c>
      <c r="H5038" s="1">
        <v>0</v>
      </c>
      <c r="I5038" s="1" t="s">
        <v>7863</v>
      </c>
      <c r="K5038" s="1" t="str">
        <f t="shared" si="319"/>
        <v>ㄌ</v>
      </c>
      <c r="L5038" s="1" t="str">
        <f t="shared" si="320"/>
        <v>ㄞ</v>
      </c>
      <c r="N5038" s="3" t="s">
        <v>30575</v>
      </c>
      <c r="O5038" s="3"/>
      <c r="P5038" s="1" t="s">
        <v>20</v>
      </c>
      <c r="R5038" s="1" t="s">
        <v>7864</v>
      </c>
      <c r="V5038" s="1" t="s">
        <v>7887</v>
      </c>
      <c r="AR5038" s="1" t="str">
        <f t="shared" si="316"/>
        <v>| [ㄌㄞˊ](ㄌㄞˊ.md) | [騋](騋.md) |  | lái | [名]
高七尺以上的馬。《說文解字．馬部》：「騋，馬七尺為騋。」 |</v>
      </c>
    </row>
    <row r="5039" spans="1:44" hidden="1">
      <c r="A5039" s="1" t="s">
        <v>7888</v>
      </c>
      <c r="C5039" s="1">
        <v>1</v>
      </c>
      <c r="D5039" s="1" t="str">
        <f>"03210"</f>
        <v>03210</v>
      </c>
      <c r="E5039" s="1" t="s">
        <v>272</v>
      </c>
      <c r="F5039" s="1">
        <v>19</v>
      </c>
      <c r="G5039" s="1">
        <v>8</v>
      </c>
      <c r="H5039" s="1">
        <v>0</v>
      </c>
      <c r="I5039" s="1" t="s">
        <v>7863</v>
      </c>
      <c r="K5039" s="1" t="str">
        <f t="shared" si="319"/>
        <v>ㄌ</v>
      </c>
      <c r="L5039" s="1" t="str">
        <f t="shared" si="320"/>
        <v>ㄞ</v>
      </c>
      <c r="N5039" s="3" t="s">
        <v>30575</v>
      </c>
      <c r="O5039" s="3"/>
      <c r="P5039" s="1" t="s">
        <v>20</v>
      </c>
      <c r="R5039" s="1" t="s">
        <v>7864</v>
      </c>
      <c r="V5039" s="1" t="s">
        <v>7889</v>
      </c>
      <c r="AR5039" s="1" t="str">
        <f t="shared" si="316"/>
        <v>| [ㄌㄞˊ](ㄌㄞˊ.md) | [鶆](鶆.md) |  | lái | [名]
鶆䴈：動物名。鶆䴈目鶆䴈科。似鴕鳥，但較小，不會飛。有三支腳趾。善游泳。為一夫多妻制。以植物、軟體動物、蜥蜴等為食。產於南美洲。 |</v>
      </c>
    </row>
    <row r="5040" spans="1:44" hidden="1">
      <c r="A5040" s="1" t="s">
        <v>7890</v>
      </c>
      <c r="C5040" s="1">
        <v>1</v>
      </c>
      <c r="D5040" s="1" t="str">
        <f>"03211"</f>
        <v>03211</v>
      </c>
      <c r="E5040" s="1" t="s">
        <v>156</v>
      </c>
      <c r="F5040" s="1">
        <v>19</v>
      </c>
      <c r="G5040" s="1">
        <v>8</v>
      </c>
      <c r="H5040" s="1">
        <v>0</v>
      </c>
      <c r="I5040" s="1" t="s">
        <v>7863</v>
      </c>
      <c r="K5040" s="1" t="str">
        <f t="shared" si="319"/>
        <v>ㄌ</v>
      </c>
      <c r="L5040" s="1" t="str">
        <f t="shared" si="320"/>
        <v>ㄞ</v>
      </c>
      <c r="N5040" s="3" t="s">
        <v>30575</v>
      </c>
      <c r="O5040" s="3"/>
      <c r="P5040" s="1" t="s">
        <v>20</v>
      </c>
      <c r="R5040" s="1" t="s">
        <v>7864</v>
      </c>
      <c r="V5040" s="1" t="s">
        <v>7891</v>
      </c>
      <c r="AR5040" s="1" t="str">
        <f t="shared" si="316"/>
        <v>| [ㄌㄞˊ](ㄌㄞˊ.md) | [鯠](鯠.md) |  | lái | [名]
鰣魚的別名。明．張自烈《正字通．魚部》：「鯠，鰣魚別名。」 |</v>
      </c>
    </row>
    <row r="5041" spans="1:44" hidden="1">
      <c r="A5041" s="1" t="s">
        <v>7836</v>
      </c>
      <c r="C5041" s="1">
        <v>1</v>
      </c>
      <c r="D5041" s="1" t="str">
        <f>"03249"</f>
        <v>03249</v>
      </c>
      <c r="E5041" s="1" t="s">
        <v>68</v>
      </c>
      <c r="F5041" s="1">
        <v>6</v>
      </c>
      <c r="G5041" s="1">
        <v>2</v>
      </c>
      <c r="H5041" s="1">
        <v>2</v>
      </c>
      <c r="I5041" s="1" t="s">
        <v>7980</v>
      </c>
      <c r="K5041" s="1" t="str">
        <f t="shared" si="319"/>
        <v>ㄌ</v>
      </c>
      <c r="L5041" s="1" t="str">
        <f t="shared" si="320"/>
        <v>ㄟ</v>
      </c>
      <c r="N5041" s="3" t="s">
        <v>30574</v>
      </c>
      <c r="O5041" s="3"/>
      <c r="P5041" s="1" t="s">
        <v>388</v>
      </c>
      <c r="R5041" s="1" t="s">
        <v>7981</v>
      </c>
      <c r="V5041" s="1" t="s">
        <v>7982</v>
      </c>
      <c r="W5041" s="1" t="s">
        <v>7983</v>
      </c>
      <c r="AR5041" s="1" t="str">
        <f t="shared" si="316"/>
        <v>| [ㄌㄟˋ](ㄌㄟˋ.md) | [肋](肋.md) |  | lèi | 參見「肋條」、「肋巴扇兒」等條。 |</v>
      </c>
    </row>
    <row r="5042" spans="1:44" hidden="1">
      <c r="A5042" s="1" t="s">
        <v>7984</v>
      </c>
      <c r="C5042" s="1">
        <v>1</v>
      </c>
      <c r="D5042" s="1" t="str">
        <f>"03250"</f>
        <v>03250</v>
      </c>
      <c r="E5042" s="1" t="s">
        <v>129</v>
      </c>
      <c r="F5042" s="1">
        <v>11</v>
      </c>
      <c r="G5042" s="1">
        <v>8</v>
      </c>
      <c r="H5042" s="1">
        <v>0</v>
      </c>
      <c r="I5042" s="1" t="s">
        <v>7980</v>
      </c>
      <c r="K5042" s="1" t="str">
        <f t="shared" si="319"/>
        <v>ㄌ</v>
      </c>
      <c r="L5042" s="1" t="str">
        <f t="shared" si="320"/>
        <v>ㄟ</v>
      </c>
      <c r="N5042" s="3" t="s">
        <v>30574</v>
      </c>
      <c r="O5042" s="3"/>
      <c r="P5042" s="1" t="s">
        <v>20</v>
      </c>
      <c r="R5042" s="1" t="s">
        <v>7981</v>
      </c>
      <c r="V5042" s="1" t="s">
        <v>7985</v>
      </c>
      <c r="AR5042" s="1" t="str">
        <f t="shared" si="316"/>
        <v>| [ㄌㄟˋ](ㄌㄟˋ.md) | [淚](淚.md) |  | lèi | [名]
從眼睛流出來的液體。如：「流淚」、「落淚」。俗稱為「眼淚」、「淚水」。 |</v>
      </c>
    </row>
    <row r="5043" spans="1:44" hidden="1">
      <c r="A5043" s="1" t="s">
        <v>7921</v>
      </c>
      <c r="C5043" s="1">
        <v>1</v>
      </c>
      <c r="D5043" s="1" t="str">
        <f>"03251"</f>
        <v>03251</v>
      </c>
      <c r="E5043" s="1" t="s">
        <v>725</v>
      </c>
      <c r="F5043" s="1">
        <v>11</v>
      </c>
      <c r="G5043" s="1">
        <v>5</v>
      </c>
      <c r="H5043" s="1">
        <v>2</v>
      </c>
      <c r="I5043" s="1" t="s">
        <v>7980</v>
      </c>
      <c r="K5043" s="1" t="str">
        <f t="shared" si="319"/>
        <v>ㄌ</v>
      </c>
      <c r="L5043" s="1" t="str">
        <f t="shared" si="320"/>
        <v>ㄟ</v>
      </c>
      <c r="N5043" s="3" t="s">
        <v>30574</v>
      </c>
      <c r="O5043" s="3"/>
      <c r="P5043" s="1" t="s">
        <v>20</v>
      </c>
      <c r="R5043" s="1" t="s">
        <v>7981</v>
      </c>
      <c r="V5043" s="1" t="s">
        <v>7986</v>
      </c>
      <c r="W5043" s="1" t="s">
        <v>7987</v>
      </c>
      <c r="AR5043" s="1" t="str">
        <f t="shared" si="316"/>
        <v>| [ㄌㄟˋ](ㄌㄟˋ.md) | [累](累.md) |  | lèi | [動]
1.操勞、使疲勞。如：「累得直不起腰來。」、「別累著了老人家！」
2.牽涉、牽連。如：「拖累」、「連累」、「受累」、「累及他人」。《左傳．隱公十一年》：「相時而動，無累後人。」《新唐書．卷九六．房玄齡傳》：「漢王諒反，坐累，徙上郡。」
3.耗損、虧欠。如：「虧累」。《聊齋志異．卷四．促織》：「不終歲，薄產累盡。」
4.傷害。《書經．旅獒》：「不矜細行，終累大德。」唐．韓愈〈上張僕射第二書〉：「小何傷於面目，大何累於形軀者哉。」
5.託咐。《韓非子．外儲說右上》：「吾欲以國累子，子必勿泄也。」《漢書．卷八四．翟方進傳》：「天其累我以民。」唐．顏師古．注：「累，託也。」
[形]
疲勞。如：「勞累」、「疲累」、「我好累！」
[名]
1.負擔。如：「家累」。《呂氏春秋．審分覽．審分》：「主無所避其累矣。」漢．高誘．注：「累，猶負也。」唐．皮日休〈鹿門隱書六十篇〉：「古之官人也，以天下為己累，故己憂之。」
2.憂患、禍害。《戰國策．秦策一》：「本漢中南邊為楚利，此國累也。」漢．高誘．注：「累，憂。」
3.弊病、過失。《文選．曹丕．典論論文》：「蓋君子審己以度人，故能免于斯累而作論文。」南朝宋．劉義慶《世說新語．雅量》：「同是一累，而未判其得失。」 |</v>
      </c>
    </row>
    <row r="5044" spans="1:44" hidden="1">
      <c r="A5044" s="1" t="s">
        <v>7988</v>
      </c>
      <c r="C5044" s="1">
        <v>1</v>
      </c>
      <c r="D5044" s="1" t="str">
        <f>"03252"</f>
        <v>03252</v>
      </c>
      <c r="E5044" s="1" t="s">
        <v>1462</v>
      </c>
      <c r="F5044" s="1">
        <v>14</v>
      </c>
      <c r="G5044" s="1">
        <v>7</v>
      </c>
      <c r="H5044" s="1">
        <v>0</v>
      </c>
      <c r="I5044" s="1" t="s">
        <v>7980</v>
      </c>
      <c r="K5044" s="1" t="str">
        <f t="shared" si="319"/>
        <v>ㄌ</v>
      </c>
      <c r="L5044" s="1" t="str">
        <f t="shared" si="320"/>
        <v>ㄟ</v>
      </c>
      <c r="N5044" s="3" t="s">
        <v>30574</v>
      </c>
      <c r="O5044" s="3"/>
      <c r="P5044" s="1" t="s">
        <v>20</v>
      </c>
      <c r="R5044" s="1" t="s">
        <v>7981</v>
      </c>
      <c r="V5044" s="1" t="s">
        <v>7989</v>
      </c>
      <c r="AR5044" s="1" t="str">
        <f t="shared" si="316"/>
        <v>| [ㄌㄟˋ](ㄌㄟˋ.md) | [酹](酹.md) |  | lèi | [動]
以酒灑地而祭。唐．李白〈山人勸酒〉詩：「舉觴酹巢由，洗耳何獨清。」宋．蘇軾〈念奴嬌．大江東去〉詞：「人間如夢，一尊還酹江月。」 |</v>
      </c>
    </row>
    <row r="5045" spans="1:44" hidden="1">
      <c r="A5045" s="1" t="s">
        <v>7934</v>
      </c>
      <c r="C5045" s="1">
        <v>1</v>
      </c>
      <c r="D5045" s="1" t="str">
        <f>"03253"</f>
        <v>03253</v>
      </c>
      <c r="E5045" s="1" t="s">
        <v>24</v>
      </c>
      <c r="F5045" s="1">
        <v>16</v>
      </c>
      <c r="G5045" s="1">
        <v>13</v>
      </c>
      <c r="H5045" s="1">
        <v>2</v>
      </c>
      <c r="I5045" s="1" t="s">
        <v>7980</v>
      </c>
      <c r="K5045" s="1" t="str">
        <f t="shared" si="319"/>
        <v>ㄌ</v>
      </c>
      <c r="L5045" s="1" t="str">
        <f t="shared" si="320"/>
        <v>ㄟ</v>
      </c>
      <c r="N5045" s="3" t="s">
        <v>30574</v>
      </c>
      <c r="O5045" s="3"/>
      <c r="P5045" s="1" t="s">
        <v>20</v>
      </c>
      <c r="R5045" s="1" t="s">
        <v>7981</v>
      </c>
      <c r="V5045" s="1" t="s">
        <v>7990</v>
      </c>
      <c r="W5045" s="1" t="s">
        <v>7991</v>
      </c>
      <c r="AR5045" s="1" t="str">
        <f t="shared" si="316"/>
        <v>| [ㄌㄟˋ](ㄌㄟˋ.md) | [擂](擂.md) |  | lèi | 參見「擂臺」條。 |</v>
      </c>
    </row>
    <row r="5046" spans="1:44" hidden="1">
      <c r="A5046" s="1" t="s">
        <v>7992</v>
      </c>
      <c r="C5046" s="1">
        <v>1</v>
      </c>
      <c r="D5046" s="1" t="str">
        <f>"03254"</f>
        <v>03254</v>
      </c>
      <c r="E5046" s="1" t="s">
        <v>169</v>
      </c>
      <c r="F5046" s="1">
        <v>18</v>
      </c>
      <c r="G5046" s="1">
        <v>13</v>
      </c>
      <c r="H5046" s="1">
        <v>0</v>
      </c>
      <c r="I5046" s="1" t="s">
        <v>7980</v>
      </c>
      <c r="K5046" s="1" t="str">
        <f t="shared" si="319"/>
        <v>ㄌ</v>
      </c>
      <c r="L5046" s="1" t="str">
        <f t="shared" si="320"/>
        <v>ㄟ</v>
      </c>
      <c r="N5046" s="3" t="s">
        <v>30574</v>
      </c>
      <c r="O5046" s="3"/>
      <c r="P5046" s="1" t="s">
        <v>20</v>
      </c>
      <c r="R5046" s="1" t="s">
        <v>7981</v>
      </c>
      <c r="V5046" s="1" t="s">
        <v>7993</v>
      </c>
      <c r="AR5046" s="1" t="str">
        <f t="shared" si="316"/>
        <v>| [ㄌㄟˋ](ㄌㄟˋ.md) | [礌](礌.md) |  | lèi | 參見「礌石」條。 |</v>
      </c>
    </row>
    <row r="5047" spans="1:44" hidden="1">
      <c r="A5047" s="1" t="s">
        <v>7994</v>
      </c>
      <c r="C5047" s="1">
        <v>1</v>
      </c>
      <c r="D5047" s="1" t="str">
        <f>"03255"</f>
        <v>03255</v>
      </c>
      <c r="E5047" s="1" t="s">
        <v>684</v>
      </c>
      <c r="F5047" s="1">
        <v>19</v>
      </c>
      <c r="G5047" s="1">
        <v>10</v>
      </c>
      <c r="H5047" s="1">
        <v>0</v>
      </c>
      <c r="I5047" s="1" t="s">
        <v>7980</v>
      </c>
      <c r="K5047" s="1" t="str">
        <f t="shared" si="319"/>
        <v>ㄌ</v>
      </c>
      <c r="L5047" s="1" t="str">
        <f t="shared" si="320"/>
        <v>ㄟ</v>
      </c>
      <c r="N5047" s="3" t="s">
        <v>30574</v>
      </c>
      <c r="O5047" s="3"/>
      <c r="P5047" s="1" t="s">
        <v>20</v>
      </c>
      <c r="R5047" s="1" t="s">
        <v>7981</v>
      </c>
      <c r="V5047" s="1" t="s">
        <v>7995</v>
      </c>
      <c r="AR5047" s="1" t="str">
        <f t="shared" si="316"/>
        <v>| [ㄌㄟˋ](ㄌㄟˋ.md) | [類](類.md) |  | lèi | [名]
1.由許多相同或相似的人事物綜合而歸屬成的種別。如：「人類」、「菌類」、「敗類」、「非我族類」。
2.事理。《孟子．告子上》：「心不若人，則不知惡，此之謂不知類也。」
3.法則、榜樣。《楚辭．屈原．九章．懷沙》：「明告君子，吾將以為類兮。」《禮記．緇衣》：「下之事上也，身不正，言不信，則義不壹，行無類也。」
4.量詞。計算事物類別的單位。如：「兩類情況」、「三類貨物」。
5.姓。如宋代有類演。
[動]
相似。如：「相類」、「畫虎類犬」。
[副]
大概、大抵。如：「類皆如此」。《漢書．卷七六．尹翁歸傳》：「類常如翁歸言，無有遺脫緩於小弱，急於豪彊。」 |</v>
      </c>
    </row>
    <row r="5048" spans="1:44" hidden="1">
      <c r="A5048" s="1" t="s">
        <v>7996</v>
      </c>
      <c r="C5048" s="1">
        <v>1</v>
      </c>
      <c r="D5048" s="1" t="str">
        <f>"03256"</f>
        <v>03256</v>
      </c>
      <c r="E5048" s="1" t="s">
        <v>725</v>
      </c>
      <c r="F5048" s="1">
        <v>21</v>
      </c>
      <c r="G5048" s="1">
        <v>15</v>
      </c>
      <c r="H5048" s="1">
        <v>0</v>
      </c>
      <c r="I5048" s="1" t="s">
        <v>7980</v>
      </c>
      <c r="K5048" s="1" t="str">
        <f t="shared" si="319"/>
        <v>ㄌ</v>
      </c>
      <c r="L5048" s="1" t="str">
        <f t="shared" si="320"/>
        <v>ㄟ</v>
      </c>
      <c r="N5048" s="3" t="s">
        <v>30574</v>
      </c>
      <c r="O5048" s="3"/>
      <c r="P5048" s="1" t="s">
        <v>20</v>
      </c>
      <c r="R5048" s="1" t="s">
        <v>7981</v>
      </c>
      <c r="V5048" s="1" t="s">
        <v>7997</v>
      </c>
      <c r="AR5048" s="1" t="str">
        <f t="shared" si="316"/>
        <v>| [ㄌㄟˋ](ㄌㄟˋ.md) | [纇](纇.md) |  | lèi | [名]
1.絲的纏結。唐．白居易〈和微之春日投簡陽明洞天五十韻〉：「柳眼黃絲纇，花房絳蠟珠。」
2.瑕疵、缺點。《淮南子．氾論》：「明月之珠，不能無纇。」
3.花苞、蓓蕾。宋．梅堯臣〈湖州寒食陪太守南園宴〉詩：「寒食二月三月交，紅桃破纇柳染梢。」宋．晏殊〈鳳銜盃．柳條花纇惱青春〉詞：「柳條花纇惱青春，更那堪、飛絮紛紛。」
[形]
乖戾。《左傳．昭公二十八年》：「貪惏無饜，忿纇無期。」 |</v>
      </c>
    </row>
    <row r="5049" spans="1:44" hidden="1">
      <c r="A5049" s="1" t="s">
        <v>7998</v>
      </c>
      <c r="C5049" s="1">
        <v>1</v>
      </c>
      <c r="D5049" s="1" t="str">
        <f>"03257"</f>
        <v>03257</v>
      </c>
      <c r="E5049" s="1" t="s">
        <v>825</v>
      </c>
      <c r="F5049" s="1">
        <v>24</v>
      </c>
      <c r="G5049" s="1">
        <v>19</v>
      </c>
      <c r="H5049" s="1">
        <v>0</v>
      </c>
      <c r="I5049" s="1" t="s">
        <v>7980</v>
      </c>
      <c r="K5049" s="1" t="str">
        <f t="shared" ref="K5049:K5080" si="321">LEFT(I5049, 1)</f>
        <v>ㄌ</v>
      </c>
      <c r="L5049" s="1" t="str">
        <f t="shared" ref="L5049:L5080" si="322">MID(I5049, 2, 1)</f>
        <v>ㄟ</v>
      </c>
      <c r="N5049" s="3" t="s">
        <v>30574</v>
      </c>
      <c r="O5049" s="3"/>
      <c r="P5049" s="1" t="s">
        <v>20</v>
      </c>
      <c r="R5049" s="1" t="s">
        <v>7981</v>
      </c>
      <c r="V5049" s="1" t="s">
        <v>7999</v>
      </c>
      <c r="AR5049" s="1" t="str">
        <f t="shared" si="316"/>
        <v>| [ㄌㄟˋ](ㄌㄟˋ.md) | [禷](禷.md) |  | lèi | [動]
因特別事故祭祀天神。《新唐書．卷一六．禮樂志六》：「乃禷于昊天上帝。」 |</v>
      </c>
    </row>
    <row r="5050" spans="1:44" hidden="1">
      <c r="A5050" s="1" t="s">
        <v>7921</v>
      </c>
      <c r="C5050" s="1">
        <v>1</v>
      </c>
      <c r="D5050" s="1" t="str">
        <f>"03224"</f>
        <v>03224</v>
      </c>
      <c r="E5050" s="1" t="s">
        <v>725</v>
      </c>
      <c r="F5050" s="1">
        <v>11</v>
      </c>
      <c r="G5050" s="1">
        <v>5</v>
      </c>
      <c r="H5050" s="1">
        <v>3</v>
      </c>
      <c r="I5050" s="1" t="s">
        <v>7922</v>
      </c>
      <c r="K5050" s="1" t="str">
        <f t="shared" si="321"/>
        <v>ㄌ</v>
      </c>
      <c r="L5050" s="1" t="str">
        <f t="shared" si="322"/>
        <v>ㄟ</v>
      </c>
      <c r="N5050" s="3" t="s">
        <v>30575</v>
      </c>
      <c r="O5050" s="3"/>
      <c r="P5050" s="1" t="s">
        <v>20</v>
      </c>
      <c r="R5050" s="1" t="s">
        <v>7923</v>
      </c>
      <c r="V5050" s="1" t="s">
        <v>7924</v>
      </c>
      <c r="W5050" s="1" t="s">
        <v>7925</v>
      </c>
      <c r="AR5050" s="1" t="str">
        <f t="shared" si="316"/>
        <v>| [ㄌㄟˊ](ㄌㄟˊ.md) | [累](累.md) |  | léi | [名]
繩索。通「縲」。《莊子．外物》：「夫揭竿累，趣灌瀆，守鯢鮒，其於得大魚難矣。」唐．成玄英．疏：「累，細繩也。」
[動]
綑綁。《孟子．梁惠王下》：「若殺其父兄，係累其子弟。」
[形]
參見「累贅」條。 |</v>
      </c>
    </row>
    <row r="5051" spans="1:44" hidden="1">
      <c r="A5051" s="1" t="s">
        <v>7926</v>
      </c>
      <c r="C5051" s="1">
        <v>1</v>
      </c>
      <c r="D5051" s="1" t="str">
        <f>"03225"</f>
        <v>03225</v>
      </c>
      <c r="E5051" s="1" t="s">
        <v>534</v>
      </c>
      <c r="F5051" s="1">
        <v>14</v>
      </c>
      <c r="G5051" s="1">
        <v>11</v>
      </c>
      <c r="H5051" s="1">
        <v>0</v>
      </c>
      <c r="I5051" s="1" t="s">
        <v>7922</v>
      </c>
      <c r="K5051" s="1" t="str">
        <f t="shared" si="321"/>
        <v>ㄌ</v>
      </c>
      <c r="L5051" s="1" t="str">
        <f t="shared" si="322"/>
        <v>ㄟ</v>
      </c>
      <c r="N5051" s="3" t="s">
        <v>30575</v>
      </c>
      <c r="O5051" s="3"/>
      <c r="P5051" s="1" t="s">
        <v>20</v>
      </c>
      <c r="R5051" s="1" t="s">
        <v>7923</v>
      </c>
      <c r="V5051" s="1" t="s">
        <v>7927</v>
      </c>
      <c r="AR5051" s="1" t="str">
        <f t="shared" si="316"/>
        <v>| [ㄌㄟˊ](ㄌㄟˊ.md) | [嫘](嫘.md) |  | léi | [名]
姓。西陵氏女嫘祖，為黃帝正妃，後世以嫘為氏。 |</v>
      </c>
    </row>
    <row r="5052" spans="1:44" hidden="1">
      <c r="A5052" s="1" t="s">
        <v>7928</v>
      </c>
      <c r="C5052" s="1">
        <v>1</v>
      </c>
      <c r="D5052" s="1" t="str">
        <f>"03226"</f>
        <v>03226</v>
      </c>
      <c r="E5052" s="1" t="s">
        <v>37</v>
      </c>
      <c r="F5052" s="1">
        <v>15</v>
      </c>
      <c r="G5052" s="1">
        <v>11</v>
      </c>
      <c r="H5052" s="1">
        <v>0</v>
      </c>
      <c r="I5052" s="1" t="s">
        <v>7922</v>
      </c>
      <c r="K5052" s="1" t="str">
        <f t="shared" si="321"/>
        <v>ㄌ</v>
      </c>
      <c r="L5052" s="1" t="str">
        <f t="shared" si="322"/>
        <v>ㄟ</v>
      </c>
      <c r="N5052" s="3" t="s">
        <v>30575</v>
      </c>
      <c r="O5052" s="3"/>
      <c r="P5052" s="1" t="s">
        <v>20</v>
      </c>
      <c r="R5052" s="1" t="s">
        <v>7923</v>
      </c>
      <c r="V5052" s="1" t="s">
        <v>7929</v>
      </c>
      <c r="AR5052" s="1" t="str">
        <f t="shared" si="316"/>
        <v>| [ㄌㄟˊ](ㄌㄟˊ.md) | [蔂](蔂.md) |  | léi | [名]
1.古人用來盛土的一種竹器，底深而有蓋。漢．桓寬《鹽鐵論．詔聖》：「劓鼻盈蔂，斷足盈車。」
2.一種登山用具。通「欙」。《淮南子．脩務》：「水之用舟，沙之用鳩，泥之用輴，山之用蔂。」 |</v>
      </c>
    </row>
    <row r="5053" spans="1:44" hidden="1">
      <c r="A5053" s="1" t="s">
        <v>7930</v>
      </c>
      <c r="C5053" s="1">
        <v>1</v>
      </c>
      <c r="D5053" s="1" t="str">
        <f>"03227"</f>
        <v>03227</v>
      </c>
      <c r="E5053" s="1" t="s">
        <v>725</v>
      </c>
      <c r="F5053" s="1">
        <v>17</v>
      </c>
      <c r="G5053" s="1">
        <v>11</v>
      </c>
      <c r="H5053" s="1">
        <v>0</v>
      </c>
      <c r="I5053" s="1" t="s">
        <v>7922</v>
      </c>
      <c r="K5053" s="1" t="str">
        <f t="shared" si="321"/>
        <v>ㄌ</v>
      </c>
      <c r="L5053" s="1" t="str">
        <f t="shared" si="322"/>
        <v>ㄟ</v>
      </c>
      <c r="N5053" s="3" t="s">
        <v>30575</v>
      </c>
      <c r="O5053" s="3"/>
      <c r="P5053" s="1" t="s">
        <v>20</v>
      </c>
      <c r="R5053" s="1" t="s">
        <v>7923</v>
      </c>
      <c r="V5053" s="1" t="s">
        <v>7931</v>
      </c>
      <c r="AR5053" s="1" t="str">
        <f t="shared" si="316"/>
        <v>| [ㄌㄟˊ](ㄌㄟˊ.md) | [縲](縲.md) |  | léi | [名]
繫綁人犯或物品的大繩。《集韻．平聲．脂韻》：「縲，大索。」 |</v>
      </c>
    </row>
    <row r="5054" spans="1:44" hidden="1">
      <c r="A5054" s="1" t="s">
        <v>7932</v>
      </c>
      <c r="C5054" s="1">
        <v>1</v>
      </c>
      <c r="D5054" s="1" t="str">
        <f>"03228"</f>
        <v>03228</v>
      </c>
      <c r="E5054" s="1" t="s">
        <v>125</v>
      </c>
      <c r="F5054" s="1">
        <v>13</v>
      </c>
      <c r="G5054" s="1">
        <v>5</v>
      </c>
      <c r="H5054" s="1">
        <v>0</v>
      </c>
      <c r="I5054" s="1" t="s">
        <v>7922</v>
      </c>
      <c r="K5054" s="1" t="str">
        <f t="shared" si="321"/>
        <v>ㄌ</v>
      </c>
      <c r="L5054" s="1" t="str">
        <f t="shared" si="322"/>
        <v>ㄟ</v>
      </c>
      <c r="N5054" s="3" t="s">
        <v>30575</v>
      </c>
      <c r="O5054" s="3"/>
      <c r="P5054" s="1" t="s">
        <v>20</v>
      </c>
      <c r="R5054" s="1" t="s">
        <v>7923</v>
      </c>
      <c r="V5054" s="1" t="s">
        <v>7933</v>
      </c>
      <c r="AR5054" s="1" t="str">
        <f t="shared" si="316"/>
        <v>| [ㄌㄟˊ](ㄌㄟˊ.md) | [雷](雷.md) |  | léi | [名]
1.大氣放電時，激盪空氣所發出的巨響。如：「春雷」、「打雷」。
2.武器名。一種爆炸性的火器。如：「水雷」、「地雷」、「魚雷」、「掃雷」。
3.姓。如漢代有雷義。
[副]
1.比喻聲音很大。《楚辭．屈原．卜居》：「黃鐘毀棄，瓦釜雷鳴。」
2.比喻迅捷。唐．柳宗元〈晉問〉：「千里雷馳，重馬輕車。」 |</v>
      </c>
    </row>
    <row r="5055" spans="1:44" hidden="1">
      <c r="A5055" s="1" t="s">
        <v>7934</v>
      </c>
      <c r="C5055" s="1">
        <v>1</v>
      </c>
      <c r="D5055" s="1" t="str">
        <f>"03229"</f>
        <v>03229</v>
      </c>
      <c r="E5055" s="1" t="s">
        <v>24</v>
      </c>
      <c r="F5055" s="1">
        <v>16</v>
      </c>
      <c r="G5055" s="1">
        <v>13</v>
      </c>
      <c r="H5055" s="1">
        <v>1</v>
      </c>
      <c r="I5055" s="1" t="s">
        <v>7922</v>
      </c>
      <c r="K5055" s="1" t="str">
        <f t="shared" si="321"/>
        <v>ㄌ</v>
      </c>
      <c r="L5055" s="1" t="str">
        <f t="shared" si="322"/>
        <v>ㄟ</v>
      </c>
      <c r="N5055" s="3" t="s">
        <v>30575</v>
      </c>
      <c r="O5055" s="3"/>
      <c r="P5055" s="1" t="s">
        <v>20</v>
      </c>
      <c r="R5055" s="1" t="s">
        <v>7923</v>
      </c>
      <c r="V5055" s="1" t="s">
        <v>7935</v>
      </c>
      <c r="W5055" s="1" t="s">
        <v>7936</v>
      </c>
      <c r="AR5055" s="1" t="str">
        <f t="shared" si="316"/>
        <v>| [ㄌㄟˊ](ㄌㄟˊ.md) | [擂](擂.md) |  | léi | [動]
1.研磨。如：「擂沙」、「擂藥」。
2.搥打、敲擊。如：「擂鼓」、「擂胸」。 |</v>
      </c>
    </row>
    <row r="5056" spans="1:44" hidden="1">
      <c r="A5056" s="1" t="s">
        <v>7937</v>
      </c>
      <c r="C5056" s="1">
        <v>1</v>
      </c>
      <c r="D5056" s="1" t="str">
        <f>"03230"</f>
        <v>03230</v>
      </c>
      <c r="E5056" s="1" t="s">
        <v>139</v>
      </c>
      <c r="F5056" s="1">
        <v>17</v>
      </c>
      <c r="G5056" s="1">
        <v>13</v>
      </c>
      <c r="H5056" s="1">
        <v>0</v>
      </c>
      <c r="I5056" s="1" t="s">
        <v>7922</v>
      </c>
      <c r="K5056" s="1" t="str">
        <f t="shared" si="321"/>
        <v>ㄌ</v>
      </c>
      <c r="L5056" s="1" t="str">
        <f t="shared" si="322"/>
        <v>ㄟ</v>
      </c>
      <c r="N5056" s="3" t="s">
        <v>30575</v>
      </c>
      <c r="O5056" s="3"/>
      <c r="P5056" s="1" t="s">
        <v>20</v>
      </c>
      <c r="R5056" s="1" t="s">
        <v>7923</v>
      </c>
      <c r="V5056" s="1" t="s">
        <v>7938</v>
      </c>
      <c r="AR5056" s="1" t="str">
        <f t="shared" si="316"/>
        <v>| [ㄌㄟˊ](ㄌㄟˊ.md) | [檑](檑.md) |  | léi | [名]
古代用於防衛的一種圓柱形大木頭，作戰時從高處推下攻擊敵人，俗稱為「滾木」。《資治通鑑．卷二五二．唐紀六十八．懿宗咸通十一年》：「立戰棚，具砲檑，造器備。」元．胡三省．注：「檑，檑木也。自城上下之以壓敵。」 |</v>
      </c>
    </row>
    <row r="5057" spans="1:44" hidden="1">
      <c r="A5057" s="1" t="s">
        <v>7939</v>
      </c>
      <c r="C5057" s="1">
        <v>1</v>
      </c>
      <c r="D5057" s="1" t="str">
        <f>"03231"</f>
        <v>03231</v>
      </c>
      <c r="E5057" s="1" t="s">
        <v>55</v>
      </c>
      <c r="F5057" s="1">
        <v>21</v>
      </c>
      <c r="G5057" s="1">
        <v>13</v>
      </c>
      <c r="H5057" s="1">
        <v>0</v>
      </c>
      <c r="I5057" s="1" t="s">
        <v>7922</v>
      </c>
      <c r="K5057" s="1" t="str">
        <f t="shared" si="321"/>
        <v>ㄌ</v>
      </c>
      <c r="L5057" s="1" t="str">
        <f t="shared" si="322"/>
        <v>ㄟ</v>
      </c>
      <c r="N5057" s="3" t="s">
        <v>30575</v>
      </c>
      <c r="O5057" s="3"/>
      <c r="P5057" s="1" t="s">
        <v>20</v>
      </c>
      <c r="R5057" s="1" t="s">
        <v>7923</v>
      </c>
      <c r="V5057" s="1" t="s">
        <v>7940</v>
      </c>
      <c r="AR5057" s="1" t="str">
        <f t="shared" si="316"/>
        <v>| [ㄌㄟˊ](ㄌㄟˊ.md) | [鐳](鐳.md) |  | léi | [名]
1.（radium，Ra）化學元素。原子序88。鹼土金屬元素之一，西元一八九八年由居禮夫婦從瀝青礦中分離而得。銀白色，有光澤，具很強的放射性，能不斷放出大量的熱。鐳及其鹽類在學術及醫療上極為重要，放射線可破壞動物體的組織，並能殺死細菌，是治療癌症的重要物質。
2.瓶、壺之類的器具。晉．潘岳〈馬汧督誄〉：「寘壺鐳瓶甒以偵之。」 |</v>
      </c>
    </row>
    <row r="5058" spans="1:44" hidden="1">
      <c r="A5058" s="1" t="s">
        <v>7941</v>
      </c>
      <c r="C5058" s="1">
        <v>1</v>
      </c>
      <c r="D5058" s="1" t="str">
        <f>"03232"</f>
        <v>03232</v>
      </c>
      <c r="E5058" s="1" t="s">
        <v>43</v>
      </c>
      <c r="F5058" s="1">
        <v>19</v>
      </c>
      <c r="G5058" s="1">
        <v>13</v>
      </c>
      <c r="H5058" s="1">
        <v>0</v>
      </c>
      <c r="I5058" s="1" t="s">
        <v>7922</v>
      </c>
      <c r="K5058" s="1" t="str">
        <f t="shared" si="321"/>
        <v>ㄌ</v>
      </c>
      <c r="L5058" s="1" t="str">
        <f t="shared" si="322"/>
        <v>ㄟ</v>
      </c>
      <c r="N5058" s="3" t="s">
        <v>30575</v>
      </c>
      <c r="O5058" s="3"/>
      <c r="P5058" s="1" t="s">
        <v>20</v>
      </c>
      <c r="R5058" s="1" t="s">
        <v>7923</v>
      </c>
      <c r="V5058" s="1" t="s">
        <v>7942</v>
      </c>
      <c r="AR5058" s="1" t="str">
        <f t="shared" si="316"/>
        <v>| [ㄌㄟˊ](ㄌㄟˊ.md) | [羸](羸.md) |  | léi | [形]
1.瘦弱。如：「羸馬」。《南史．卷四六．周盤龍傳》：「形甚羸而臨軍勇果，諸將莫逮。」唐．司空圖〈商山〉詩二首之一：「清溪一路照羸身，不似雲臺畫像人。」
2.疲憊。如：「羸兵」、「羸憊」。《三國志．卷五八．吳書．陸遜傳》：「羸弊日久，難以待變。」
3.破舊。《漢書．卷九二．游俠傳．陳遵傳》：「公府掾史率皆羸車小馬，不上鮮明，而遵獨極輿馬衣服之好。」
[動]
以繩索鉤取、纏繞。《易經．大壯卦．九三》：「羝羊觸藩，羸其角。」唐．孔穎達．正義：「羸，拘羸纏繞也。」 |</v>
      </c>
    </row>
    <row r="5059" spans="1:44" hidden="1">
      <c r="A5059" s="1" t="s">
        <v>7943</v>
      </c>
      <c r="C5059" s="1">
        <v>1</v>
      </c>
      <c r="D5059" s="1" t="str">
        <f>"03233"</f>
        <v>03233</v>
      </c>
      <c r="E5059" s="1" t="s">
        <v>175</v>
      </c>
      <c r="F5059" s="1">
        <v>21</v>
      </c>
      <c r="G5059" s="1">
        <v>15</v>
      </c>
      <c r="H5059" s="1">
        <v>0</v>
      </c>
      <c r="I5059" s="1" t="s">
        <v>7922</v>
      </c>
      <c r="K5059" s="1" t="str">
        <f t="shared" si="321"/>
        <v>ㄌ</v>
      </c>
      <c r="L5059" s="1" t="str">
        <f t="shared" si="322"/>
        <v>ㄟ</v>
      </c>
      <c r="N5059" s="3" t="s">
        <v>30575</v>
      </c>
      <c r="O5059" s="3"/>
      <c r="P5059" s="1" t="s">
        <v>20</v>
      </c>
      <c r="R5059" s="1" t="s">
        <v>7923</v>
      </c>
      <c r="V5059" s="1" t="s">
        <v>7944</v>
      </c>
      <c r="AR5059" s="1" t="str">
        <f t="shared" ref="AR5059:AR5122" si="323">"| ["&amp;I5059&amp;"]("&amp;I5059&amp;".md) | ["&amp;A5059&amp;"]("&amp;A5059&amp;".md) | "&amp;" | "&amp;R5059&amp;" | "&amp;V5059&amp;" |"</f>
        <v>| [ㄌㄟˊ](ㄌㄟˊ.md) | [罍](罍.md) |  | léi | [名]
古代一種盛酒或水的容器。外形像壺，小口、兩耳、深腹、有蓋，表面並刻有雲雷紋形為飾。《詩經．周南．卷耳》：「我姑酌彼金罍，維以不永懷。」清．蔣士銓〈鳴機夜課圖記〉：「吾母脫簪珥，治酒漿，盤罍間未嘗有儉色。」 |</v>
      </c>
    </row>
    <row r="5060" spans="1:44" hidden="1">
      <c r="A5060" s="1" t="s">
        <v>7945</v>
      </c>
      <c r="C5060" s="1">
        <v>1</v>
      </c>
      <c r="D5060" s="1" t="str">
        <f>"03234"</f>
        <v>03234</v>
      </c>
      <c r="E5060" s="1" t="s">
        <v>725</v>
      </c>
      <c r="F5060" s="1">
        <v>21</v>
      </c>
      <c r="G5060" s="1">
        <v>15</v>
      </c>
      <c r="H5060" s="1">
        <v>0</v>
      </c>
      <c r="I5060" s="1" t="s">
        <v>7922</v>
      </c>
      <c r="K5060" s="1" t="str">
        <f t="shared" si="321"/>
        <v>ㄌ</v>
      </c>
      <c r="L5060" s="1" t="str">
        <f t="shared" si="322"/>
        <v>ㄟ</v>
      </c>
      <c r="N5060" s="3" t="s">
        <v>30575</v>
      </c>
      <c r="O5060" s="3"/>
      <c r="P5060" s="1" t="s">
        <v>20</v>
      </c>
      <c r="R5060" s="1" t="s">
        <v>7923</v>
      </c>
      <c r="V5060" s="1" t="s">
        <v>7946</v>
      </c>
      <c r="AR5060" s="1" t="str">
        <f t="shared" si="323"/>
        <v>| [ㄌㄟˊ](ㄌㄟˊ.md) | [纍](纍.md) |  | léi | [名]
1.大繩索。《漢書．卷五四．李廣傳》：「以劍斫絕纍，欲刺虎。」
2.姓。如春秋時晉國有纍彪。
[動]
1.綑綁、囚繫。唐．李翶〈楊烈婦傳〉：「蓋將掠其玉帛，俘纍其男女。」
2.纏繞。《詩經．周南．樛木》：「南有樛木，葛藟纍之。」
[形]
參見「纍纍」條。 |</v>
      </c>
    </row>
    <row r="5061" spans="1:44" hidden="1">
      <c r="A5061" s="1" t="s">
        <v>7947</v>
      </c>
      <c r="C5061" s="1">
        <v>1</v>
      </c>
      <c r="D5061" s="1" t="str">
        <f>"03235"</f>
        <v>03235</v>
      </c>
      <c r="E5061" s="1" t="s">
        <v>71</v>
      </c>
      <c r="F5061" s="1">
        <v>22</v>
      </c>
      <c r="G5061" s="1">
        <v>15</v>
      </c>
      <c r="H5061" s="1">
        <v>0</v>
      </c>
      <c r="I5061" s="1" t="s">
        <v>7922</v>
      </c>
      <c r="K5061" s="1" t="str">
        <f t="shared" si="321"/>
        <v>ㄌ</v>
      </c>
      <c r="L5061" s="1" t="str">
        <f t="shared" si="322"/>
        <v>ㄟ</v>
      </c>
      <c r="N5061" s="3" t="s">
        <v>30575</v>
      </c>
      <c r="O5061" s="3"/>
      <c r="P5061" s="1" t="s">
        <v>20</v>
      </c>
      <c r="R5061" s="1" t="s">
        <v>7923</v>
      </c>
      <c r="V5061" s="1" t="s">
        <v>7948</v>
      </c>
      <c r="AR5061" s="1" t="str">
        <f t="shared" si="323"/>
        <v>| [ㄌㄟˊ](ㄌㄟˊ.md) | [轠](轠.md) |  | léi | [名]
車。《集韻．上聲．旨韻》：「轠，轤車。」
[動]
碰擊。《漢書．卷九二．游俠傳．陳遵傳》：「一旦叀礙，為瓽所轠。」唐．顏師古．注：「轠，擊也。言瓶忽縣礙不得下，而為井瓽所擊，則破碎也。」
[形]
連續不絕。元．熊忠《古今韻會舉要．平聲．灰韻》：「轠，不絕也。」《文選．揚雄．羽獵賦》：「繽紛往來，轠轤不絕。」李善注引孟康曰：「轠轤，連屬貌。」 |</v>
      </c>
    </row>
    <row r="5062" spans="1:44" hidden="1">
      <c r="A5062" s="1" t="s">
        <v>7949</v>
      </c>
      <c r="C5062" s="1">
        <v>1</v>
      </c>
      <c r="D5062" s="1" t="str">
        <f>"11909"</f>
        <v>11909</v>
      </c>
      <c r="E5062" s="1" t="s">
        <v>129</v>
      </c>
      <c r="F5062" s="1">
        <v>24</v>
      </c>
      <c r="G5062" s="1">
        <v>21</v>
      </c>
      <c r="H5062" s="1">
        <v>2</v>
      </c>
      <c r="I5062" s="1" t="s">
        <v>7922</v>
      </c>
      <c r="K5062" s="1" t="str">
        <f t="shared" si="321"/>
        <v>ㄌ</v>
      </c>
      <c r="L5062" s="1" t="str">
        <f t="shared" si="322"/>
        <v>ㄟ</v>
      </c>
      <c r="N5062" s="3" t="s">
        <v>30575</v>
      </c>
      <c r="O5062" s="3"/>
      <c r="P5062" s="1" t="s">
        <v>110</v>
      </c>
      <c r="R5062" s="1" t="s">
        <v>7923</v>
      </c>
      <c r="V5062" s="1" t="s">
        <v>111</v>
      </c>
      <c r="W5062" s="1" t="s">
        <v>30530</v>
      </c>
      <c r="AR5062" s="1" t="str">
        <f t="shared" si="323"/>
        <v>| [ㄌㄟˊ](ㄌㄟˊ.md) | [㶟](㶟.md) |  | léi | (一)之又音。 |</v>
      </c>
    </row>
    <row r="5063" spans="1:44" hidden="1">
      <c r="A5063" s="1" t="s">
        <v>7949</v>
      </c>
      <c r="C5063" s="1">
        <v>1</v>
      </c>
      <c r="D5063" s="1" t="str">
        <f>"03236"</f>
        <v>03236</v>
      </c>
      <c r="E5063" s="1" t="s">
        <v>129</v>
      </c>
      <c r="F5063" s="1">
        <v>24</v>
      </c>
      <c r="G5063" s="1">
        <v>21</v>
      </c>
      <c r="H5063" s="1">
        <v>1</v>
      </c>
      <c r="I5063" s="1" t="s">
        <v>7950</v>
      </c>
      <c r="K5063" s="1" t="str">
        <f t="shared" si="321"/>
        <v>ㄌ</v>
      </c>
      <c r="L5063" s="1" t="str">
        <f t="shared" si="322"/>
        <v>ㄟ</v>
      </c>
      <c r="N5063" s="3" t="s">
        <v>30576</v>
      </c>
      <c r="O5063" s="3"/>
      <c r="P5063" s="1" t="s">
        <v>20</v>
      </c>
      <c r="R5063" s="1" t="s">
        <v>7951</v>
      </c>
      <c r="V5063" s="1" t="s">
        <v>7952</v>
      </c>
      <c r="W5063" s="1" t="s">
        <v>7953</v>
      </c>
      <c r="AR5063" s="1" t="str">
        <f t="shared" si="323"/>
        <v>| [ㄌㄟˇ](ㄌㄟˇ.md) | [㶟](㶟.md) |  | lěi | 參見「㶟水」條。 |</v>
      </c>
    </row>
    <row r="5064" spans="1:44" hidden="1">
      <c r="A5064" s="1" t="s">
        <v>7954</v>
      </c>
      <c r="C5064" s="1">
        <v>1</v>
      </c>
      <c r="D5064" s="1" t="str">
        <f>"03237"</f>
        <v>03237</v>
      </c>
      <c r="E5064" s="1" t="s">
        <v>109</v>
      </c>
      <c r="F5064" s="1">
        <v>6</v>
      </c>
      <c r="G5064" s="1">
        <v>0</v>
      </c>
      <c r="H5064" s="1">
        <v>0</v>
      </c>
      <c r="I5064" s="1" t="s">
        <v>7950</v>
      </c>
      <c r="K5064" s="1" t="str">
        <f t="shared" si="321"/>
        <v>ㄌ</v>
      </c>
      <c r="L5064" s="1" t="str">
        <f t="shared" si="322"/>
        <v>ㄟ</v>
      </c>
      <c r="N5064" s="3" t="s">
        <v>30576</v>
      </c>
      <c r="O5064" s="3"/>
      <c r="P5064" s="1" t="s">
        <v>20</v>
      </c>
      <c r="R5064" s="1" t="s">
        <v>7951</v>
      </c>
      <c r="V5064" s="1" t="s">
        <v>7955</v>
      </c>
      <c r="AR5064" s="1" t="str">
        <f t="shared" si="323"/>
        <v>| [ㄌㄟˇ](ㄌㄟˇ.md) | [耒](耒.md) |  | lěi | [名]
1.古代木製耕具上的曲柄。《易經．繫辭下》：「斲木為耜，楺木為耒。」
2.需用手推耕的犁。《韓非子．五蠹》：「因釋其耒而守株，冀復得兔。」《文選．沈約．齊故安陸昭王碑文》：「耕夫釋耒，桑婦下機。」
3.二一四部首之一。 |</v>
      </c>
    </row>
    <row r="5065" spans="1:44" hidden="1">
      <c r="A5065" s="1" t="s">
        <v>7956</v>
      </c>
      <c r="C5065" s="1">
        <v>1</v>
      </c>
      <c r="D5065" s="1" t="str">
        <f>"03238"</f>
        <v>03238</v>
      </c>
      <c r="E5065" s="1" t="s">
        <v>331</v>
      </c>
      <c r="F5065" s="1">
        <v>13</v>
      </c>
      <c r="G5065" s="1">
        <v>6</v>
      </c>
      <c r="H5065" s="1">
        <v>0</v>
      </c>
      <c r="I5065" s="1" t="s">
        <v>7950</v>
      </c>
      <c r="K5065" s="1" t="str">
        <f t="shared" si="321"/>
        <v>ㄌ</v>
      </c>
      <c r="L5065" s="1" t="str">
        <f t="shared" si="322"/>
        <v>ㄟ</v>
      </c>
      <c r="N5065" s="3" t="s">
        <v>30576</v>
      </c>
      <c r="O5065" s="3"/>
      <c r="P5065" s="1" t="s">
        <v>20</v>
      </c>
      <c r="R5065" s="1" t="s">
        <v>7951</v>
      </c>
      <c r="V5065" s="1" t="s">
        <v>7957</v>
      </c>
      <c r="AR5065" s="1" t="str">
        <f t="shared" si="323"/>
        <v>| [ㄌㄟˇ](ㄌㄟˇ.md) | [誄](誄.md) |  | lěi | [動]
1.累述死者生前的功德以示哀悼並封以稱號。《禮記．檀弓上》：「魯哀公誄孔丘曰：『天不遣耆老，莫相予位焉。嗚呼哀哉，尼父！』」
2.禱述功德以求福。《論語．述而》：「誄曰：『禱爾于上下神祇。』」
[名]
文體名。一種哀祭文，是敘述死者生前德行、功業的韻文。如：「哀誄」、「銘誄」。 |</v>
      </c>
    </row>
    <row r="5066" spans="1:44" hidden="1">
      <c r="A5066" s="1" t="s">
        <v>7921</v>
      </c>
      <c r="C5066" s="1">
        <v>1</v>
      </c>
      <c r="D5066" s="1" t="str">
        <f>"03239"</f>
        <v>03239</v>
      </c>
      <c r="E5066" s="1" t="s">
        <v>725</v>
      </c>
      <c r="F5066" s="1">
        <v>11</v>
      </c>
      <c r="G5066" s="1">
        <v>5</v>
      </c>
      <c r="H5066" s="1">
        <v>1</v>
      </c>
      <c r="I5066" s="1" t="s">
        <v>7950</v>
      </c>
      <c r="K5066" s="1" t="str">
        <f t="shared" si="321"/>
        <v>ㄌ</v>
      </c>
      <c r="L5066" s="1" t="str">
        <f t="shared" si="322"/>
        <v>ㄟ</v>
      </c>
      <c r="N5066" s="3" t="s">
        <v>30576</v>
      </c>
      <c r="O5066" s="3"/>
      <c r="P5066" s="1" t="s">
        <v>20</v>
      </c>
      <c r="R5066" s="1" t="s">
        <v>7951</v>
      </c>
      <c r="V5066" s="1" t="s">
        <v>7958</v>
      </c>
      <c r="W5066" s="1" t="s">
        <v>7959</v>
      </c>
      <c r="AR5066" s="1" t="str">
        <f t="shared" si="323"/>
        <v>| [ㄌㄟˇ](ㄌㄟˇ.md) | [累](累.md) |  | lěi | [動]
1.堆積、集聚。如：「累積」、「日積月累」。《史記．卷四．周本紀》：「西伯積善累德，諸侯皆嚮之。」
2.增加。《韓非子．五蠹》：「雖倍賞累罰而不免於亂。」
[形]
1.屢次、連續。如：「累次」、「經年累月」。《史記．卷四七．孔子世家》：「累世不能殫其學，當年不能究其禮。」唐．杜甫〈贈衛八處士〉詩：「主稱會面難，一舉累十觴。」
2.重疊的。《楚辭．宋玉．招魂》：「層臺累榭，臨高山些。」《史記．卷七九．范雎傳》：「秦王之國，危於累卵。」
[副]
頻頻。《後漢書．卷六五．段熲傳》：「久亂并涼，累侵三輔。」《晉書．卷八四．楊佺期傳》：「累戰皆捷，斬獲千計。」 |</v>
      </c>
    </row>
    <row r="5067" spans="1:44" hidden="1">
      <c r="A5067" s="1" t="s">
        <v>7960</v>
      </c>
      <c r="C5067" s="1">
        <v>1</v>
      </c>
      <c r="D5067" s="1" t="str">
        <f>"03240"</f>
        <v>03240</v>
      </c>
      <c r="E5067" s="1" t="s">
        <v>679</v>
      </c>
      <c r="F5067" s="1">
        <v>14</v>
      </c>
      <c r="G5067" s="1">
        <v>8</v>
      </c>
      <c r="H5067" s="1">
        <v>0</v>
      </c>
      <c r="I5067" s="1" t="s">
        <v>7950</v>
      </c>
      <c r="K5067" s="1" t="str">
        <f t="shared" si="321"/>
        <v>ㄌ</v>
      </c>
      <c r="L5067" s="1" t="str">
        <f t="shared" si="322"/>
        <v>ㄟ</v>
      </c>
      <c r="N5067" s="3" t="s">
        <v>30576</v>
      </c>
      <c r="O5067" s="3"/>
      <c r="P5067" s="1" t="s">
        <v>20</v>
      </c>
      <c r="R5067" s="1" t="s">
        <v>7951</v>
      </c>
      <c r="V5067" s="1" t="s">
        <v>7961</v>
      </c>
      <c r="AR5067" s="1" t="str">
        <f t="shared" si="323"/>
        <v>| [ㄌㄟˇ](ㄌㄟˇ.md) | [蜼](蜼.md) |  | lěi | 參見「蜼彞」條。 |</v>
      </c>
    </row>
    <row r="5068" spans="1:44" hidden="1">
      <c r="A5068" s="1" t="s">
        <v>7962</v>
      </c>
      <c r="C5068" s="1">
        <v>1</v>
      </c>
      <c r="D5068" s="1" t="str">
        <f>"03241"</f>
        <v>03241</v>
      </c>
      <c r="E5068" s="1" t="s">
        <v>169</v>
      </c>
      <c r="F5068" s="1">
        <v>15</v>
      </c>
      <c r="G5068" s="1">
        <v>10</v>
      </c>
      <c r="H5068" s="1">
        <v>0</v>
      </c>
      <c r="I5068" s="1" t="s">
        <v>7950</v>
      </c>
      <c r="K5068" s="1" t="str">
        <f t="shared" si="321"/>
        <v>ㄌ</v>
      </c>
      <c r="L5068" s="1" t="str">
        <f t="shared" si="322"/>
        <v>ㄟ</v>
      </c>
      <c r="N5068" s="3" t="s">
        <v>30576</v>
      </c>
      <c r="O5068" s="3"/>
      <c r="P5068" s="1" t="s">
        <v>20</v>
      </c>
      <c r="R5068" s="1" t="s">
        <v>7951</v>
      </c>
      <c r="V5068" s="1" t="s">
        <v>7963</v>
      </c>
      <c r="AR5068" s="1" t="str">
        <f t="shared" si="323"/>
        <v>| [ㄌㄟˇ](ㄌㄟˇ.md) | [磊](磊.md) |  | lěi | [形]
1.眾多石塊累積在一起。《楚辭．屈原．九歌．山鬼》：「采三秀兮於山間，石磊磊兮葛蔓蔓。」《文選．古詩十九首．青青陵上栢》：「青青陵上栢，磊磊澗中石。」
2.高大。唐．韓愈〈記夢〉詩：「隆樓傑閣磊嵬高，天風飄飄吹我過。」 |</v>
      </c>
    </row>
    <row r="5069" spans="1:44" hidden="1">
      <c r="A5069" s="1" t="s">
        <v>7964</v>
      </c>
      <c r="C5069" s="1">
        <v>1</v>
      </c>
      <c r="D5069" s="1" t="str">
        <f>"03242"</f>
        <v>03242</v>
      </c>
      <c r="E5069" s="1" t="s">
        <v>37</v>
      </c>
      <c r="F5069" s="1">
        <v>17</v>
      </c>
      <c r="G5069" s="1">
        <v>13</v>
      </c>
      <c r="H5069" s="1">
        <v>0</v>
      </c>
      <c r="I5069" s="1" t="s">
        <v>7950</v>
      </c>
      <c r="K5069" s="1" t="str">
        <f t="shared" si="321"/>
        <v>ㄌ</v>
      </c>
      <c r="L5069" s="1" t="str">
        <f t="shared" si="322"/>
        <v>ㄟ</v>
      </c>
      <c r="N5069" s="3" t="s">
        <v>30576</v>
      </c>
      <c r="O5069" s="3"/>
      <c r="P5069" s="1" t="s">
        <v>20</v>
      </c>
      <c r="R5069" s="1" t="s">
        <v>7951</v>
      </c>
      <c r="V5069" s="1" t="s">
        <v>7965</v>
      </c>
      <c r="AR5069" s="1" t="str">
        <f t="shared" si="323"/>
        <v>| [ㄌㄟˇ](ㄌㄟˇ.md) | [蕾](蕾.md) |  | lěi | [名]
含苞未開的花。如：「花蕾」、「蓓蕾」。 |</v>
      </c>
    </row>
    <row r="5070" spans="1:44" hidden="1">
      <c r="A5070" s="1" t="s">
        <v>7966</v>
      </c>
      <c r="C5070" s="1">
        <v>1</v>
      </c>
      <c r="D5070" s="1" t="str">
        <f>"03243"</f>
        <v>03243</v>
      </c>
      <c r="E5070" s="1" t="s">
        <v>114</v>
      </c>
      <c r="F5070" s="1">
        <v>17</v>
      </c>
      <c r="G5070" s="1">
        <v>15</v>
      </c>
      <c r="H5070" s="1">
        <v>0</v>
      </c>
      <c r="I5070" s="1" t="s">
        <v>7950</v>
      </c>
      <c r="K5070" s="1" t="str">
        <f t="shared" si="321"/>
        <v>ㄌ</v>
      </c>
      <c r="L5070" s="1" t="str">
        <f t="shared" si="322"/>
        <v>ㄟ</v>
      </c>
      <c r="N5070" s="3" t="s">
        <v>30576</v>
      </c>
      <c r="O5070" s="3"/>
      <c r="P5070" s="1" t="s">
        <v>20</v>
      </c>
      <c r="R5070" s="1" t="s">
        <v>7951</v>
      </c>
      <c r="V5070" s="1" t="s">
        <v>7967</v>
      </c>
      <c r="AR5070" s="1" t="str">
        <f t="shared" si="323"/>
        <v>| [ㄌㄟˇ](ㄌㄟˇ.md) | [儡](儡.md) |  | lěi | [形]_x000D_
1.敗壞、損毀。唐．劉禹錫〈猶子蔚適越誡〉：「若知彞器乎！……苟措非其所，一有毫髮之傷，儡然與破甑為伍矣。」_x000D_
2.清瘦、憔悴。《文選．潘岳．寡婦賦》：「容貌儡以頓悴兮，左右悽其相慜。」_x000D_
[名]_x000D_
參見「傀儡」條。 |</v>
      </c>
    </row>
    <row r="5071" spans="1:44" hidden="1">
      <c r="A5071" s="1" t="s">
        <v>7968</v>
      </c>
      <c r="C5071" s="1">
        <v>1</v>
      </c>
      <c r="D5071" s="1" t="str">
        <f>"03244"</f>
        <v>03244</v>
      </c>
      <c r="E5071" s="1" t="s">
        <v>132</v>
      </c>
      <c r="F5071" s="1">
        <v>18</v>
      </c>
      <c r="G5071" s="1">
        <v>15</v>
      </c>
      <c r="H5071" s="1">
        <v>1</v>
      </c>
      <c r="I5071" s="1" t="s">
        <v>7950</v>
      </c>
      <c r="K5071" s="1" t="str">
        <f t="shared" si="321"/>
        <v>ㄌ</v>
      </c>
      <c r="L5071" s="1" t="str">
        <f t="shared" si="322"/>
        <v>ㄟ</v>
      </c>
      <c r="N5071" s="3" t="s">
        <v>30576</v>
      </c>
      <c r="O5071" s="3"/>
      <c r="P5071" s="1" t="s">
        <v>20</v>
      </c>
      <c r="R5071" s="1" t="s">
        <v>7951</v>
      </c>
      <c r="V5071" s="1" t="s">
        <v>7969</v>
      </c>
      <c r="W5071" s="1" t="s">
        <v>7970</v>
      </c>
      <c r="AR5071" s="1" t="str">
        <f t="shared" si="323"/>
        <v>| [ㄌㄟˇ](ㄌㄟˇ.md) | [壘](壘.md) |  | lěi | [名]
1.軍營中防守的掩蔽體或城堡。如：「壁壘」、「堡壘」。
2.棒、壘球比賽中，提示選手跑步得分的標示物。如：「一、二壘有人。」
3.姓。如晉代有壘錫。
[動]
用土、石或磚等堆砌起來。通「累」。如：「壘牆」。唐．姚合〈武功縣中作〉詩三〇首之二八：「壘階溪石淨，燒竹灶煙輕。」 |</v>
      </c>
    </row>
    <row r="5072" spans="1:44" hidden="1">
      <c r="A5072" s="1" t="s">
        <v>7971</v>
      </c>
      <c r="C5072" s="1">
        <v>1</v>
      </c>
      <c r="D5072" s="1" t="str">
        <f>"03245"</f>
        <v>03245</v>
      </c>
      <c r="E5072" s="1" t="s">
        <v>37</v>
      </c>
      <c r="F5072" s="1">
        <v>19</v>
      </c>
      <c r="G5072" s="1">
        <v>15</v>
      </c>
      <c r="H5072" s="1">
        <v>0</v>
      </c>
      <c r="I5072" s="1" t="s">
        <v>7950</v>
      </c>
      <c r="K5072" s="1" t="str">
        <f t="shared" si="321"/>
        <v>ㄌ</v>
      </c>
      <c r="L5072" s="1" t="str">
        <f t="shared" si="322"/>
        <v>ㄟ</v>
      </c>
      <c r="N5072" s="3" t="s">
        <v>30576</v>
      </c>
      <c r="O5072" s="3"/>
      <c r="P5072" s="1" t="s">
        <v>20</v>
      </c>
      <c r="R5072" s="1" t="s">
        <v>7951</v>
      </c>
      <c r="V5072" s="1" t="s">
        <v>7972</v>
      </c>
      <c r="AR5072" s="1" t="str">
        <f t="shared" si="323"/>
        <v>| [ㄌㄟˇ](ㄌㄟˇ.md) | [藟](藟.md) |  | lěi | [名]
1.藤葛類蔓生的草。《詩經．周南．樛木》：「南有樛木，葛藟纍之。」
2.含苞未開的花。同「蕾」。宋．范成大〈丙午新正書懷〉詩一〇首之七：「蕉心翠展一冬在，梅藟粉融連夜開。」宋．陸游〈小園〉詩：「晨露每看花藟坼，夕陽頻見樹陰移。」
[動]
纏繞。唐．王績〈古意〉詩六首之三：「漁人遞往還，網罟相縈藟。」 |</v>
      </c>
    </row>
    <row r="5073" spans="1:44" hidden="1">
      <c r="A5073" s="1" t="s">
        <v>7973</v>
      </c>
      <c r="C5073" s="1">
        <v>1</v>
      </c>
      <c r="D5073" s="1" t="str">
        <f>"03246"</f>
        <v>03246</v>
      </c>
      <c r="E5073" s="1" t="s">
        <v>169</v>
      </c>
      <c r="F5073" s="1">
        <v>20</v>
      </c>
      <c r="G5073" s="1">
        <v>15</v>
      </c>
      <c r="H5073" s="1">
        <v>1</v>
      </c>
      <c r="I5073" s="1" t="s">
        <v>7950</v>
      </c>
      <c r="K5073" s="1" t="str">
        <f t="shared" si="321"/>
        <v>ㄌ</v>
      </c>
      <c r="L5073" s="1" t="str">
        <f t="shared" si="322"/>
        <v>ㄟ</v>
      </c>
      <c r="N5073" s="3" t="s">
        <v>30576</v>
      </c>
      <c r="O5073" s="3"/>
      <c r="P5073" s="1" t="s">
        <v>20</v>
      </c>
      <c r="R5073" s="1" t="s">
        <v>7951</v>
      </c>
      <c r="V5073" s="1" t="s">
        <v>7974</v>
      </c>
      <c r="W5073" s="1" t="s">
        <v>7975</v>
      </c>
      <c r="AR5073" s="1" t="str">
        <f t="shared" si="323"/>
        <v>| [ㄌㄟˇ](ㄌㄟˇ.md) | [礧](礧.md) |  | lěi | [名]
大石。《文選．王延壽．魯靈光殿賦》：「蔥翠紫蔚，礧碨瑰瑋。」 |</v>
      </c>
    </row>
    <row r="5074" spans="1:44" hidden="1">
      <c r="A5074" s="1" t="s">
        <v>7976</v>
      </c>
      <c r="C5074" s="1">
        <v>1</v>
      </c>
      <c r="D5074" s="1" t="str">
        <f>"03247"</f>
        <v>03247</v>
      </c>
      <c r="E5074" s="1" t="s">
        <v>169</v>
      </c>
      <c r="F5074" s="1">
        <v>20</v>
      </c>
      <c r="G5074" s="1">
        <v>15</v>
      </c>
      <c r="H5074" s="1">
        <v>0</v>
      </c>
      <c r="I5074" s="1" t="s">
        <v>7950</v>
      </c>
      <c r="K5074" s="1" t="str">
        <f t="shared" si="321"/>
        <v>ㄌ</v>
      </c>
      <c r="L5074" s="1" t="str">
        <f t="shared" si="322"/>
        <v>ㄟ</v>
      </c>
      <c r="N5074" s="3" t="s">
        <v>30576</v>
      </c>
      <c r="O5074" s="3"/>
      <c r="P5074" s="1" t="s">
        <v>20</v>
      </c>
      <c r="R5074" s="1" t="s">
        <v>7951</v>
      </c>
      <c r="V5074" s="1" t="s">
        <v>7977</v>
      </c>
      <c r="AR5074" s="1" t="str">
        <f t="shared" si="323"/>
        <v>| [ㄌㄟˇ](ㄌㄟˇ.md) | [礨](礨.md) |  | lěi | [名]
礨空：小洞穴。《莊子．秋水》：「計四海之在天地之間也，不似礨空之在大澤乎？」 |</v>
      </c>
    </row>
    <row r="5075" spans="1:44" hidden="1">
      <c r="A5075" s="1" t="s">
        <v>7978</v>
      </c>
      <c r="C5075" s="1">
        <v>1</v>
      </c>
      <c r="D5075" s="1" t="str">
        <f>"03248"</f>
        <v>03248</v>
      </c>
      <c r="E5075" s="1" t="s">
        <v>139</v>
      </c>
      <c r="F5075" s="1">
        <v>25</v>
      </c>
      <c r="G5075" s="1">
        <v>21</v>
      </c>
      <c r="H5075" s="1">
        <v>0</v>
      </c>
      <c r="I5075" s="1" t="s">
        <v>7950</v>
      </c>
      <c r="K5075" s="1" t="str">
        <f t="shared" si="321"/>
        <v>ㄌ</v>
      </c>
      <c r="L5075" s="1" t="str">
        <f t="shared" si="322"/>
        <v>ㄟ</v>
      </c>
      <c r="N5075" s="3" t="s">
        <v>30576</v>
      </c>
      <c r="O5075" s="3"/>
      <c r="P5075" s="1" t="s">
        <v>20</v>
      </c>
      <c r="R5075" s="1" t="s">
        <v>7951</v>
      </c>
      <c r="V5075" s="1" t="s">
        <v>7979</v>
      </c>
      <c r="AR5075" s="1" t="str">
        <f t="shared" si="323"/>
        <v>| [ㄌㄟˇ](ㄌㄟˇ.md) | [欙](欙.md) |  | lěi | [名]
古代走山路所乘坐的交通工具。《說文解字．木部》：「欙，山行所乘者。……陸行乘車，山行乘欙。」 |</v>
      </c>
    </row>
    <row r="5076" spans="1:44" hidden="1">
      <c r="A5076" s="1" t="s">
        <v>8052</v>
      </c>
      <c r="C5076" s="1">
        <v>1</v>
      </c>
      <c r="D5076" s="1" t="str">
        <f>"03279"</f>
        <v>03279</v>
      </c>
      <c r="E5076" s="1" t="s">
        <v>336</v>
      </c>
      <c r="F5076" s="1">
        <v>10</v>
      </c>
      <c r="G5076" s="1">
        <v>6</v>
      </c>
      <c r="H5076" s="1">
        <v>1</v>
      </c>
      <c r="I5076" s="1" t="s">
        <v>8053</v>
      </c>
      <c r="K5076" s="1" t="str">
        <f t="shared" si="321"/>
        <v>ㄌ</v>
      </c>
      <c r="L5076" s="1" t="str">
        <f t="shared" si="322"/>
        <v>ㄠ</v>
      </c>
      <c r="N5076" s="3" t="s">
        <v>30574</v>
      </c>
      <c r="O5076" s="3"/>
      <c r="P5076" s="1" t="s">
        <v>388</v>
      </c>
      <c r="R5076" s="1" t="s">
        <v>8054</v>
      </c>
      <c r="V5076" s="1" t="s">
        <v>8055</v>
      </c>
      <c r="W5076" s="1" t="s">
        <v>8056</v>
      </c>
      <c r="AR5076" s="1" t="str">
        <f t="shared" si="323"/>
        <v>| [ㄌㄠˋ](ㄌㄠˋ.md) | [烙](烙.md) |  | lào | [動]
1.用燒熱的金屬在牛馬或物體上留下標誌。如：「烙印」。
2.熨、燙。如：「烙衣服」。
3.將食物放在燒熱的鍋上烤熟。如：「烙餅」。《儒林外史》第一回：「王冕自到廚下烙了一斤麵餅，炒了一盤韭菜，自捧出來陪著。」 |</v>
      </c>
    </row>
    <row r="5077" spans="1:44" hidden="1">
      <c r="A5077" s="1" t="s">
        <v>8057</v>
      </c>
      <c r="C5077" s="1">
        <v>1</v>
      </c>
      <c r="D5077" s="1" t="str">
        <f>"03280"</f>
        <v>03280</v>
      </c>
      <c r="E5077" s="1" t="s">
        <v>725</v>
      </c>
      <c r="F5077" s="1">
        <v>12</v>
      </c>
      <c r="G5077" s="1">
        <v>6</v>
      </c>
      <c r="H5077" s="1">
        <v>2</v>
      </c>
      <c r="I5077" s="1" t="s">
        <v>8053</v>
      </c>
      <c r="K5077" s="1" t="str">
        <f t="shared" si="321"/>
        <v>ㄌ</v>
      </c>
      <c r="L5077" s="1" t="str">
        <f t="shared" si="322"/>
        <v>ㄠ</v>
      </c>
      <c r="N5077" s="3" t="s">
        <v>30574</v>
      </c>
      <c r="O5077" s="3"/>
      <c r="P5077" s="1" t="s">
        <v>20</v>
      </c>
      <c r="R5077" s="1" t="s">
        <v>8054</v>
      </c>
      <c r="V5077" s="1" t="s">
        <v>8058</v>
      </c>
      <c r="W5077" s="1" t="s">
        <v>8059</v>
      </c>
      <c r="AR5077" s="1" t="str">
        <f t="shared" si="323"/>
        <v>| [ㄌㄠˋ](ㄌㄠˋ.md) | [絡](絡.md) |  | lào | 參見「絡子」條。 |</v>
      </c>
    </row>
    <row r="5078" spans="1:44" hidden="1">
      <c r="A5078" s="1" t="s">
        <v>8060</v>
      </c>
      <c r="C5078" s="1">
        <v>1</v>
      </c>
      <c r="D5078" s="1" t="str">
        <f>"03281"</f>
        <v>03281</v>
      </c>
      <c r="E5078" s="1" t="s">
        <v>1462</v>
      </c>
      <c r="F5078" s="1">
        <v>13</v>
      </c>
      <c r="G5078" s="1">
        <v>6</v>
      </c>
      <c r="H5078" s="1">
        <v>2</v>
      </c>
      <c r="I5078" s="1" t="s">
        <v>8053</v>
      </c>
      <c r="K5078" s="1" t="str">
        <f t="shared" si="321"/>
        <v>ㄌ</v>
      </c>
      <c r="L5078" s="1" t="str">
        <f t="shared" si="322"/>
        <v>ㄠ</v>
      </c>
      <c r="N5078" s="3" t="s">
        <v>30574</v>
      </c>
      <c r="O5078" s="3"/>
      <c r="P5078" s="1" t="s">
        <v>388</v>
      </c>
      <c r="R5078" s="1" t="s">
        <v>8054</v>
      </c>
      <c r="V5078" s="1" t="s">
        <v>8061</v>
      </c>
      <c r="W5078" s="1" t="s">
        <v>8062</v>
      </c>
      <c r="AR5078" s="1" t="str">
        <f t="shared" si="323"/>
        <v>| [ㄌㄠˋ](ㄌㄠˋ.md) | [酪](酪.md) |  | lào | [名]
1.以動物乳汁所製成的半凝固食品。如：「乳酪」、「牛酪」。
2.以果實熬煮而成的糊狀物。如：「杏仁酪」、「核桃酪」。 |</v>
      </c>
    </row>
    <row r="5079" spans="1:44" hidden="1">
      <c r="A5079" s="1" t="s">
        <v>7806</v>
      </c>
      <c r="C5079" s="1">
        <v>1</v>
      </c>
      <c r="D5079" s="1" t="str">
        <f>"03282"</f>
        <v>03282</v>
      </c>
      <c r="E5079" s="1" t="s">
        <v>37</v>
      </c>
      <c r="F5079" s="1">
        <v>13</v>
      </c>
      <c r="G5079" s="1">
        <v>9</v>
      </c>
      <c r="H5079" s="1">
        <v>2</v>
      </c>
      <c r="I5079" s="1" t="s">
        <v>8053</v>
      </c>
      <c r="K5079" s="1" t="str">
        <f t="shared" si="321"/>
        <v>ㄌ</v>
      </c>
      <c r="L5079" s="1" t="str">
        <f t="shared" si="322"/>
        <v>ㄠ</v>
      </c>
      <c r="N5079" s="3" t="s">
        <v>30574</v>
      </c>
      <c r="O5079" s="3"/>
      <c r="P5079" s="1" t="s">
        <v>20</v>
      </c>
      <c r="R5079" s="1" t="s">
        <v>8054</v>
      </c>
      <c r="V5079" s="1" t="s">
        <v>8063</v>
      </c>
      <c r="W5079" s="1" t="s">
        <v>8064</v>
      </c>
      <c r="AR5079" s="1" t="str">
        <f t="shared" si="323"/>
        <v>| [ㄌㄠˋ](ㄌㄠˋ.md) | [落](落.md) |  | lào | [名]
參見「落子」、「蓮花落」等條。
[動]
1.降落。如：「鳥兒落在樹上。」
2.(一)[動]之又音。 |</v>
      </c>
    </row>
    <row r="5080" spans="1:44" hidden="1">
      <c r="A5080" s="1" t="s">
        <v>8011</v>
      </c>
      <c r="C5080" s="1">
        <v>1</v>
      </c>
      <c r="D5080" s="1" t="str">
        <f>"03283"</f>
        <v>03283</v>
      </c>
      <c r="E5080" s="1" t="s">
        <v>245</v>
      </c>
      <c r="F5080" s="1">
        <v>12</v>
      </c>
      <c r="G5080" s="1">
        <v>10</v>
      </c>
      <c r="H5080" s="1">
        <v>2</v>
      </c>
      <c r="I5080" s="1" t="s">
        <v>8053</v>
      </c>
      <c r="K5080" s="1" t="str">
        <f t="shared" si="321"/>
        <v>ㄌ</v>
      </c>
      <c r="L5080" s="1" t="str">
        <f t="shared" si="322"/>
        <v>ㄠ</v>
      </c>
      <c r="N5080" s="3" t="s">
        <v>30574</v>
      </c>
      <c r="O5080" s="3"/>
      <c r="P5080" s="1" t="s">
        <v>20</v>
      </c>
      <c r="R5080" s="1" t="s">
        <v>8054</v>
      </c>
      <c r="V5080" s="1" t="s">
        <v>8065</v>
      </c>
      <c r="W5080" s="1" t="s">
        <v>8066</v>
      </c>
      <c r="AR5080" s="1" t="str">
        <f t="shared" si="323"/>
        <v>| [ㄌㄠˋ](ㄌㄠˋ.md) | [勞](勞.md) |  | lào | [動]
慰問。如：「慰勞」、「勞軍」。《儀禮．覲禮》：「北面立，王勞之，再拜稽首。」宋．張舜民〈打麥〉詩：「曲終厭飫勞童僕，豈信田家未入脣。」 |</v>
      </c>
    </row>
    <row r="5081" spans="1:44" hidden="1">
      <c r="A5081" s="1" t="s">
        <v>8067</v>
      </c>
      <c r="C5081" s="1">
        <v>1</v>
      </c>
      <c r="D5081" s="1" t="str">
        <f>"03284"</f>
        <v>03284</v>
      </c>
      <c r="E5081" s="1" t="s">
        <v>129</v>
      </c>
      <c r="F5081" s="1">
        <v>15</v>
      </c>
      <c r="G5081" s="1">
        <v>12</v>
      </c>
      <c r="H5081" s="1">
        <v>0</v>
      </c>
      <c r="I5081" s="1" t="s">
        <v>8053</v>
      </c>
      <c r="K5081" s="1" t="str">
        <f t="shared" ref="K5081:K5112" si="324">LEFT(I5081, 1)</f>
        <v>ㄌ</v>
      </c>
      <c r="L5081" s="1" t="str">
        <f t="shared" ref="L5081:L5112" si="325">MID(I5081, 2, 1)</f>
        <v>ㄠ</v>
      </c>
      <c r="N5081" s="3" t="s">
        <v>30574</v>
      </c>
      <c r="O5081" s="3"/>
      <c r="P5081" s="1" t="s">
        <v>20</v>
      </c>
      <c r="R5081" s="1" t="s">
        <v>8054</v>
      </c>
      <c r="V5081" s="1" t="s">
        <v>8068</v>
      </c>
      <c r="AR5081" s="1" t="str">
        <f t="shared" si="323"/>
        <v>| [ㄌㄠˋ](ㄌㄠˋ.md) | [澇](澇.md) |  | lào | [名]
1.水災。如：「防旱防澇」。《三國志．卷一六．魏書．任蘇杜鄭倉傳．鄭渾》：「郡界下溼，患水澇，百姓飢乏。」唐．丁仙芝〈贈朱中書〉詩：「十年種田濱五湖，十年遭澇盡為蕪。」
2.波濤。《文選．卷一二．賦．木華．海賦》：「飛澇相磢，激勢相沏。」唐．李善．注：「澇，大波也。」唐．宋昱〈樟亭觀濤〉詩：「激流起平地，吹澇上侵空。」 |</v>
      </c>
    </row>
    <row r="5082" spans="1:44" hidden="1">
      <c r="A5082" s="1" t="s">
        <v>8069</v>
      </c>
      <c r="C5082" s="1">
        <v>1</v>
      </c>
      <c r="D5082" s="1" t="str">
        <f>"03285"</f>
        <v>03285</v>
      </c>
      <c r="E5082" s="1" t="s">
        <v>534</v>
      </c>
      <c r="F5082" s="1">
        <v>14</v>
      </c>
      <c r="G5082" s="1">
        <v>11</v>
      </c>
      <c r="H5082" s="1">
        <v>0</v>
      </c>
      <c r="I5082" s="1" t="s">
        <v>8053</v>
      </c>
      <c r="K5082" s="1" t="str">
        <f t="shared" si="324"/>
        <v>ㄌ</v>
      </c>
      <c r="L5082" s="1" t="str">
        <f t="shared" si="325"/>
        <v>ㄠ</v>
      </c>
      <c r="N5082" s="3" t="s">
        <v>30574</v>
      </c>
      <c r="O5082" s="3"/>
      <c r="P5082" s="1" t="s">
        <v>20</v>
      </c>
      <c r="R5082" s="1" t="s">
        <v>8054</v>
      </c>
      <c r="V5082" s="1" t="s">
        <v>8070</v>
      </c>
      <c r="AR5082" s="1" t="str">
        <f t="shared" si="323"/>
        <v>| [ㄌㄠˋ](ㄌㄠˋ.md) | [嫪](嫪.md) |  | lào | [動]
愛惜、眷戀。唐．釋玄應《一切經音義．卷二八．正法花經》：「嫪，婟也。謂戀不能去也。」唐．韓愈〈薦士〉詩：「念將決焉去，感物增戀嫪。」
[名]
姓。如戰國時秦國有嫪毐。 |</v>
      </c>
    </row>
    <row r="5083" spans="1:44" hidden="1">
      <c r="A5083" s="1" t="s">
        <v>8043</v>
      </c>
      <c r="C5083" s="1">
        <v>1</v>
      </c>
      <c r="D5083" s="1" t="str">
        <f>"03286"</f>
        <v>03286</v>
      </c>
      <c r="E5083" s="1" t="s">
        <v>129</v>
      </c>
      <c r="F5083" s="1">
        <v>15</v>
      </c>
      <c r="G5083" s="1">
        <v>12</v>
      </c>
      <c r="H5083" s="1">
        <v>1</v>
      </c>
      <c r="I5083" s="1" t="s">
        <v>8053</v>
      </c>
      <c r="K5083" s="1" t="str">
        <f t="shared" si="324"/>
        <v>ㄌ</v>
      </c>
      <c r="L5083" s="1" t="str">
        <f t="shared" si="325"/>
        <v>ㄠ</v>
      </c>
      <c r="N5083" s="3" t="s">
        <v>30574</v>
      </c>
      <c r="O5083" s="3"/>
      <c r="P5083" s="1" t="s">
        <v>20</v>
      </c>
      <c r="R5083" s="1" t="s">
        <v>8054</v>
      </c>
      <c r="V5083" s="1" t="s">
        <v>8071</v>
      </c>
      <c r="W5083" s="1" t="s">
        <v>8072</v>
      </c>
      <c r="AR5083" s="1" t="str">
        <f t="shared" si="323"/>
        <v>| [ㄌㄠˋ](ㄌㄠˋ.md) | [潦](潦.md) |  | lào | [動]
淹水，雨多成災。通「澇」。《莊子．秋水》：「禹之時十年九潦，而水弗為加益。」《後漢書．卷六．孝順帝紀》：「比年水潦，民食不贍。」 |</v>
      </c>
    </row>
    <row r="5084" spans="1:44" hidden="1">
      <c r="A5084" s="1" t="s">
        <v>7853</v>
      </c>
      <c r="C5084" s="1">
        <v>1</v>
      </c>
      <c r="D5084" s="1" t="str">
        <f>"03287"</f>
        <v>03287</v>
      </c>
      <c r="E5084" s="1" t="s">
        <v>139</v>
      </c>
      <c r="F5084" s="1">
        <v>15</v>
      </c>
      <c r="G5084" s="1">
        <v>11</v>
      </c>
      <c r="H5084" s="1">
        <v>3</v>
      </c>
      <c r="I5084" s="1" t="s">
        <v>8053</v>
      </c>
      <c r="K5084" s="1" t="str">
        <f t="shared" si="324"/>
        <v>ㄌ</v>
      </c>
      <c r="L5084" s="1" t="str">
        <f t="shared" si="325"/>
        <v>ㄠ</v>
      </c>
      <c r="N5084" s="3" t="s">
        <v>30574</v>
      </c>
      <c r="O5084" s="3"/>
      <c r="P5084" s="1" t="s">
        <v>20</v>
      </c>
      <c r="R5084" s="1" t="s">
        <v>8054</v>
      </c>
      <c r="V5084" s="1" t="s">
        <v>8073</v>
      </c>
      <c r="W5084" s="1" t="s">
        <v>8074</v>
      </c>
      <c r="AR5084" s="1" t="str">
        <f t="shared" si="323"/>
        <v>| [ㄌㄠˋ](ㄌㄠˋ.md) | [樂](樂.md) |  | lào | [名]
地名用字。如大陸地區河北省有樂亭、山東省有樂陵。 |</v>
      </c>
    </row>
    <row r="5085" spans="1:44" hidden="1">
      <c r="A5085" s="1" t="s">
        <v>8005</v>
      </c>
      <c r="C5085" s="1">
        <v>1</v>
      </c>
      <c r="D5085" s="1" t="str">
        <f>"03259"</f>
        <v>03259</v>
      </c>
      <c r="E5085" s="1" t="s">
        <v>518</v>
      </c>
      <c r="F5085" s="1">
        <v>7</v>
      </c>
      <c r="G5085" s="1">
        <v>3</v>
      </c>
      <c r="H5085" s="1">
        <v>0</v>
      </c>
      <c r="I5085" s="1" t="s">
        <v>8006</v>
      </c>
      <c r="K5085" s="1" t="str">
        <f t="shared" si="324"/>
        <v>ㄌ</v>
      </c>
      <c r="L5085" s="1" t="str">
        <f t="shared" si="325"/>
        <v>ㄠ</v>
      </c>
      <c r="N5085" s="3" t="s">
        <v>30575</v>
      </c>
      <c r="O5085" s="3"/>
      <c r="P5085" s="1" t="s">
        <v>20</v>
      </c>
      <c r="R5085" s="1" t="s">
        <v>8007</v>
      </c>
      <c r="V5085" s="1" t="s">
        <v>8008</v>
      </c>
      <c r="AR5085" s="1" t="str">
        <f t="shared" si="323"/>
        <v>| [ㄌㄠˊ](ㄌㄠˊ.md) | [牢](牢.md) |  | láo | [名]
1.飼養牲畜的圈欄。《說文解字．牛部》：「牢，閑，養牛馬圈也。」如：「亡羊補牢」。《詩經．大雅．公劉》：「執豕于牢，酌之用匏。」
2.監獄。如：「坐牢」、「監牢」、「牢獄之災」。《文選．司馬遷．報任少卿書》：「故有畫地為牢，勢不可入。」
3.古代祭祀用的牲畜。如：「太牢」、「少牢」。《漢書．卷二五．郊祀志上》：「雍之諸祠自此興。用三百牢於鄜畤。」
4.姓。如漢代有牢梁。
[形]
堅固。如：「牢固」、「牢不可破」。唐．韓愈〈贈劉師服〉詩：「羨君齒牙牢且潔，大肉硬餅如刀截。」 |</v>
      </c>
    </row>
    <row r="5086" spans="1:44" hidden="1">
      <c r="A5086" s="1" t="s">
        <v>8009</v>
      </c>
      <c r="C5086" s="1">
        <v>1</v>
      </c>
      <c r="D5086" s="1" t="str">
        <f>"03260"</f>
        <v>03260</v>
      </c>
      <c r="E5086" s="1" t="s">
        <v>28</v>
      </c>
      <c r="F5086" s="1">
        <v>10</v>
      </c>
      <c r="G5086" s="1">
        <v>7</v>
      </c>
      <c r="H5086" s="1">
        <v>0</v>
      </c>
      <c r="I5086" s="1" t="s">
        <v>8006</v>
      </c>
      <c r="K5086" s="1" t="str">
        <f t="shared" si="324"/>
        <v>ㄌ</v>
      </c>
      <c r="L5086" s="1" t="str">
        <f t="shared" si="325"/>
        <v>ㄠ</v>
      </c>
      <c r="N5086" s="3" t="s">
        <v>30575</v>
      </c>
      <c r="O5086" s="3"/>
      <c r="P5086" s="1" t="s">
        <v>20</v>
      </c>
      <c r="R5086" s="1" t="s">
        <v>8007</v>
      </c>
      <c r="V5086" s="1" t="s">
        <v>8010</v>
      </c>
      <c r="AR5086" s="1" t="str">
        <f t="shared" si="323"/>
        <v>| [ㄌㄠˊ](ㄌㄠˊ.md) | [哰](哰.md) |  | láo | 參見「哰哰」條。 |</v>
      </c>
    </row>
    <row r="5087" spans="1:44" hidden="1">
      <c r="A5087" s="1" t="s">
        <v>8011</v>
      </c>
      <c r="C5087" s="1">
        <v>1</v>
      </c>
      <c r="D5087" s="1" t="str">
        <f>"03261"</f>
        <v>03261</v>
      </c>
      <c r="E5087" s="1" t="s">
        <v>245</v>
      </c>
      <c r="F5087" s="1">
        <v>12</v>
      </c>
      <c r="G5087" s="1">
        <v>10</v>
      </c>
      <c r="H5087" s="1">
        <v>1</v>
      </c>
      <c r="I5087" s="1" t="s">
        <v>8006</v>
      </c>
      <c r="K5087" s="1" t="str">
        <f t="shared" si="324"/>
        <v>ㄌ</v>
      </c>
      <c r="L5087" s="1" t="str">
        <f t="shared" si="325"/>
        <v>ㄠ</v>
      </c>
      <c r="N5087" s="3" t="s">
        <v>30575</v>
      </c>
      <c r="O5087" s="3"/>
      <c r="P5087" s="1" t="s">
        <v>20</v>
      </c>
      <c r="R5087" s="1" t="s">
        <v>8007</v>
      </c>
      <c r="V5087" s="1" t="s">
        <v>8012</v>
      </c>
      <c r="W5087" s="1" t="s">
        <v>8013</v>
      </c>
      <c r="AR5087" s="1" t="str">
        <f t="shared" si="323"/>
        <v>| [ㄌㄠˊ](ㄌㄠˊ.md) | [勞](勞.md) |  | láo | [動]
1.辛勤、努力做事。如：「勞動」、「操勞」、「不勞而獲」。《國語．越語下》：「未盛而驕，不勞而矜其功。」
2.煩擾，為請人幫忙的客套話。如：「勞煩」、「勞駕」、「偏勞」。
[名]
1.成績、功勛。如：「功勞」、「汗馬之勞」。《史記．卷八一．廉頗藺相如傳》：「我為趙將，有攻城野戰之大功，而藺相如徒以口舌為勞，而位居我上。」
2.辛苦、疲累。如：「積勞成疾」、「吃苦耐勞」。《漢書．卷六九．趙充國傳》：「以逸擊勞，取勝之道也。」
3.勞動者的簡稱。如：「勞資關係」、「勞資雙方」、「勞資糾紛」。
4.姓。如漢代有勞丙。
[形]
辛勤、疲倦。如：「勤勞」、「疲勞」。 |</v>
      </c>
    </row>
    <row r="5088" spans="1:44" hidden="1">
      <c r="A5088" s="1" t="s">
        <v>8014</v>
      </c>
      <c r="C5088" s="1">
        <v>1</v>
      </c>
      <c r="D5088" s="1" t="str">
        <f>"03262"</f>
        <v>03262</v>
      </c>
      <c r="E5088" s="1" t="s">
        <v>114</v>
      </c>
      <c r="F5088" s="1">
        <v>14</v>
      </c>
      <c r="G5088" s="1">
        <v>12</v>
      </c>
      <c r="H5088" s="1">
        <v>0</v>
      </c>
      <c r="I5088" s="1" t="s">
        <v>8006</v>
      </c>
      <c r="K5088" s="1" t="str">
        <f t="shared" si="324"/>
        <v>ㄌ</v>
      </c>
      <c r="L5088" s="1" t="str">
        <f t="shared" si="325"/>
        <v>ㄠ</v>
      </c>
      <c r="N5088" s="3" t="s">
        <v>30575</v>
      </c>
      <c r="O5088" s="3"/>
      <c r="P5088" s="1" t="s">
        <v>20</v>
      </c>
      <c r="R5088" s="1" t="s">
        <v>8007</v>
      </c>
      <c r="V5088" s="1" t="s">
        <v>8015</v>
      </c>
      <c r="AR5088" s="1" t="str">
        <f t="shared" si="323"/>
        <v>| [ㄌㄠˊ](ㄌㄠˊ.md) | [僗](僗.md) |  | láo | [助]
北方罵人常用的語詞，無義。如：「僗什子」。元．王實甫《西廂記．第一本．第四折》：「舉名的班首真呆僗，覷著法聰頭做金磬敲。」 |</v>
      </c>
    </row>
    <row r="5089" spans="1:44" hidden="1">
      <c r="A5089" s="1" t="s">
        <v>8000</v>
      </c>
      <c r="C5089" s="1">
        <v>1</v>
      </c>
      <c r="D5089" s="1" t="str">
        <f>"03263"</f>
        <v>03263</v>
      </c>
      <c r="E5089" s="1" t="s">
        <v>24</v>
      </c>
      <c r="F5089" s="1">
        <v>15</v>
      </c>
      <c r="G5089" s="1">
        <v>12</v>
      </c>
      <c r="H5089" s="1">
        <v>1</v>
      </c>
      <c r="I5089" s="1" t="s">
        <v>8006</v>
      </c>
      <c r="K5089" s="1" t="str">
        <f t="shared" si="324"/>
        <v>ㄌ</v>
      </c>
      <c r="L5089" s="1" t="str">
        <f t="shared" si="325"/>
        <v>ㄠ</v>
      </c>
      <c r="N5089" s="3" t="s">
        <v>30575</v>
      </c>
      <c r="O5089" s="3"/>
      <c r="P5089" s="1" t="s">
        <v>20</v>
      </c>
      <c r="R5089" s="1" t="s">
        <v>8007</v>
      </c>
      <c r="V5089" s="1" t="s">
        <v>8016</v>
      </c>
      <c r="W5089" s="1" t="s">
        <v>8017</v>
      </c>
      <c r="AR5089" s="1" t="str">
        <f t="shared" si="323"/>
        <v>| [ㄌㄠˊ](ㄌㄠˊ.md) | [撈](撈.md) |  | láo | 參見「撈什子」條。 |</v>
      </c>
    </row>
    <row r="5090" spans="1:44" hidden="1">
      <c r="A5090" s="1" t="s">
        <v>8018</v>
      </c>
      <c r="C5090" s="1">
        <v>1</v>
      </c>
      <c r="D5090" s="1" t="str">
        <f>"03264"</f>
        <v>03264</v>
      </c>
      <c r="E5090" s="1" t="s">
        <v>28</v>
      </c>
      <c r="F5090" s="1">
        <v>15</v>
      </c>
      <c r="G5090" s="1">
        <v>12</v>
      </c>
      <c r="H5090" s="1">
        <v>0</v>
      </c>
      <c r="I5090" s="1" t="s">
        <v>8006</v>
      </c>
      <c r="K5090" s="1" t="str">
        <f t="shared" si="324"/>
        <v>ㄌ</v>
      </c>
      <c r="L5090" s="1" t="str">
        <f t="shared" si="325"/>
        <v>ㄠ</v>
      </c>
      <c r="N5090" s="3" t="s">
        <v>30575</v>
      </c>
      <c r="O5090" s="3"/>
      <c r="P5090" s="1" t="s">
        <v>20</v>
      </c>
      <c r="R5090" s="1" t="s">
        <v>8007</v>
      </c>
      <c r="V5090" s="1" t="s">
        <v>8019</v>
      </c>
      <c r="AR5090" s="1" t="str">
        <f t="shared" si="323"/>
        <v>| [ㄌㄠˊ](ㄌㄠˊ.md) | [嘮](嘮.md) |  | láo | 參見「嘮叨」、「嘮嘮」等條。 |</v>
      </c>
    </row>
    <row r="5091" spans="1:44" hidden="1">
      <c r="A5091" s="1" t="s">
        <v>8020</v>
      </c>
      <c r="C5091" s="1">
        <v>1</v>
      </c>
      <c r="D5091" s="1" t="str">
        <f>"03265"</f>
        <v>03265</v>
      </c>
      <c r="E5091" s="1" t="s">
        <v>190</v>
      </c>
      <c r="F5091" s="1">
        <v>15</v>
      </c>
      <c r="G5091" s="1">
        <v>12</v>
      </c>
      <c r="H5091" s="1">
        <v>0</v>
      </c>
      <c r="I5091" s="1" t="s">
        <v>8006</v>
      </c>
      <c r="K5091" s="1" t="str">
        <f t="shared" si="324"/>
        <v>ㄌ</v>
      </c>
      <c r="L5091" s="1" t="str">
        <f t="shared" si="325"/>
        <v>ㄠ</v>
      </c>
      <c r="N5091" s="3" t="s">
        <v>30575</v>
      </c>
      <c r="O5091" s="3"/>
      <c r="P5091" s="1" t="s">
        <v>20</v>
      </c>
      <c r="R5091" s="1" t="s">
        <v>8007</v>
      </c>
      <c r="V5091" s="1" t="s">
        <v>8021</v>
      </c>
      <c r="AR5091" s="1" t="str">
        <f t="shared" si="323"/>
        <v>| [ㄌㄠˊ](ㄌㄠˊ.md) | [嶗](嶗.md) |  | láo | [名]
山名。位於山東省青島市嶗山區境內。 |</v>
      </c>
    </row>
    <row r="5092" spans="1:44" hidden="1">
      <c r="A5092" s="1" t="s">
        <v>8022</v>
      </c>
      <c r="C5092" s="1">
        <v>1</v>
      </c>
      <c r="D5092" s="1" t="str">
        <f>"03266"</f>
        <v>03266</v>
      </c>
      <c r="E5092" s="1" t="s">
        <v>40</v>
      </c>
      <c r="F5092" s="1">
        <v>17</v>
      </c>
      <c r="G5092" s="1">
        <v>12</v>
      </c>
      <c r="H5092" s="1">
        <v>0</v>
      </c>
      <c r="I5092" s="1" t="s">
        <v>8006</v>
      </c>
      <c r="K5092" s="1" t="str">
        <f t="shared" si="324"/>
        <v>ㄌ</v>
      </c>
      <c r="L5092" s="1" t="str">
        <f t="shared" si="325"/>
        <v>ㄠ</v>
      </c>
      <c r="N5092" s="3" t="s">
        <v>30575</v>
      </c>
      <c r="O5092" s="3"/>
      <c r="P5092" s="1" t="s">
        <v>20</v>
      </c>
      <c r="R5092" s="1" t="s">
        <v>8007</v>
      </c>
      <c r="V5092" s="1" t="s">
        <v>8023</v>
      </c>
      <c r="AR5092" s="1" t="str">
        <f t="shared" si="323"/>
        <v>| [ㄌㄠˊ](ㄌㄠˊ.md) | [癆](癆.md) |  | láo | [名]
因結核菌所引起的傳染病。如：「肺癆」、「腸癆」。《紅樓夢》第七八回：「寶玉屋裡有個晴雯，……前日又病倒了十幾天，叫大夫瞧，說是女兒癆。」 |</v>
      </c>
    </row>
    <row r="5093" spans="1:44" hidden="1">
      <c r="A5093" s="1" t="s">
        <v>8024</v>
      </c>
      <c r="C5093" s="1">
        <v>1</v>
      </c>
      <c r="D5093" s="1" t="str">
        <f>"03267"</f>
        <v>03267</v>
      </c>
      <c r="E5093" s="1" t="s">
        <v>71</v>
      </c>
      <c r="F5093" s="1">
        <v>19</v>
      </c>
      <c r="G5093" s="1">
        <v>12</v>
      </c>
      <c r="H5093" s="1">
        <v>2</v>
      </c>
      <c r="I5093" s="1" t="s">
        <v>8006</v>
      </c>
      <c r="K5093" s="1" t="str">
        <f t="shared" si="324"/>
        <v>ㄌ</v>
      </c>
      <c r="L5093" s="1" t="str">
        <f t="shared" si="325"/>
        <v>ㄠ</v>
      </c>
      <c r="N5093" s="3" t="s">
        <v>30575</v>
      </c>
      <c r="O5093" s="3"/>
      <c r="P5093" s="1" t="s">
        <v>20</v>
      </c>
      <c r="R5093" s="1" t="s">
        <v>8007</v>
      </c>
      <c r="V5093" s="1" t="s">
        <v>8025</v>
      </c>
      <c r="W5093" s="1" t="s">
        <v>8026</v>
      </c>
      <c r="AR5093" s="1" t="str">
        <f t="shared" si="323"/>
        <v>| [ㄌㄠˊ](ㄌㄠˊ.md) | [轑](轑.md) |  | láo | [動]
用器具刮物，使其有聲。《漢書．卷三六．楚元王劉交傳》：「嫂厭叔與客來，陽為羹盡，轑釜，客以故去。」唐．顏師古．注：「以勺轢釜，令為聲也。」 |</v>
      </c>
    </row>
    <row r="5094" spans="1:44" hidden="1">
      <c r="A5094" s="1" t="s">
        <v>8027</v>
      </c>
      <c r="C5094" s="1">
        <v>1</v>
      </c>
      <c r="D5094" s="1" t="str">
        <f>"03268"</f>
        <v>03268</v>
      </c>
      <c r="E5094" s="1" t="s">
        <v>1462</v>
      </c>
      <c r="F5094" s="1">
        <v>18</v>
      </c>
      <c r="G5094" s="1">
        <v>11</v>
      </c>
      <c r="H5094" s="1">
        <v>0</v>
      </c>
      <c r="I5094" s="1" t="s">
        <v>8006</v>
      </c>
      <c r="K5094" s="1" t="str">
        <f t="shared" si="324"/>
        <v>ㄌ</v>
      </c>
      <c r="L5094" s="1" t="str">
        <f t="shared" si="325"/>
        <v>ㄠ</v>
      </c>
      <c r="N5094" s="3" t="s">
        <v>30575</v>
      </c>
      <c r="O5094" s="3"/>
      <c r="P5094" s="1" t="s">
        <v>20</v>
      </c>
      <c r="R5094" s="1" t="s">
        <v>8007</v>
      </c>
      <c r="V5094" s="1" t="s">
        <v>8028</v>
      </c>
      <c r="AR5094" s="1" t="str">
        <f t="shared" si="323"/>
        <v>| [ㄌㄠˊ](ㄌㄠˊ.md) | [醪](醪.md) |  | láo | [名]
混含渣滓的濁酒。《說文解字．酉部》：「醪，汁滓酒也。」《文選．劉伶．酒德頌》：「先生於是方捧甖承槽，銜杯漱醪。」 |</v>
      </c>
    </row>
    <row r="5095" spans="1:44" hidden="1">
      <c r="A5095" s="1" t="s">
        <v>8050</v>
      </c>
      <c r="C5095" s="1">
        <v>1</v>
      </c>
      <c r="D5095" s="1" t="str">
        <f>"03278"</f>
        <v>03278</v>
      </c>
      <c r="E5095" s="1" t="s">
        <v>55</v>
      </c>
      <c r="F5095" s="1">
        <v>20</v>
      </c>
      <c r="G5095" s="1">
        <v>12</v>
      </c>
      <c r="H5095" s="1">
        <v>0</v>
      </c>
      <c r="I5095" s="1" t="s">
        <v>8006</v>
      </c>
      <c r="K5095" s="1" t="str">
        <f t="shared" si="324"/>
        <v>ㄌ</v>
      </c>
      <c r="L5095" s="1" t="str">
        <f t="shared" si="325"/>
        <v>ㄠ</v>
      </c>
      <c r="N5095" s="3" t="s">
        <v>30575</v>
      </c>
      <c r="O5095" s="3"/>
      <c r="P5095" s="1" t="s">
        <v>20</v>
      </c>
      <c r="R5095" s="1" t="s">
        <v>8007</v>
      </c>
      <c r="V5095" s="1" t="s">
        <v>8051</v>
      </c>
      <c r="AR5095" s="1" t="str">
        <f t="shared" si="323"/>
        <v>| [ㄌㄠˊ](ㄌㄠˊ.md) | [鐒](鐒.md) |  | láo | [名]_x000D_
（lawrencium，Lr）化學元素。原子序103。是人工合成的放射性元素。 |</v>
      </c>
    </row>
    <row r="5096" spans="1:44" hidden="1">
      <c r="A5096" s="1" t="s">
        <v>8029</v>
      </c>
      <c r="C5096" s="1">
        <v>1</v>
      </c>
      <c r="D5096" s="1" t="str">
        <f>"03269"</f>
        <v>03269</v>
      </c>
      <c r="E5096" s="1" t="s">
        <v>2975</v>
      </c>
      <c r="F5096" s="1">
        <v>6</v>
      </c>
      <c r="G5096" s="1">
        <v>0</v>
      </c>
      <c r="H5096" s="1">
        <v>0</v>
      </c>
      <c r="I5096" s="1" t="s">
        <v>8030</v>
      </c>
      <c r="K5096" s="1" t="str">
        <f t="shared" si="324"/>
        <v>ㄌ</v>
      </c>
      <c r="L5096" s="1" t="str">
        <f t="shared" si="325"/>
        <v>ㄠ</v>
      </c>
      <c r="N5096" s="3" t="s">
        <v>30576</v>
      </c>
      <c r="O5096" s="3"/>
      <c r="P5096" s="1" t="s">
        <v>20</v>
      </c>
      <c r="R5096" s="1" t="s">
        <v>8031</v>
      </c>
      <c r="V5096" s="1" t="s">
        <v>8032</v>
      </c>
      <c r="AR5096" s="1" t="str">
        <f t="shared" si="323"/>
        <v>| [ㄌㄠˇ](ㄌㄠˇ.md) | [老](老.md) |  | lǎo | [名]
1.年長的人。如：「扶老攜幼」、「敬老尊賢」。
2.對長輩的尊稱。如：「劉老」、「于老」。
3.老子及其哲學的簡稱。如：「老莊」、「佛老」。《史記．卷六三．老子韓非傳》：「申子之學本於黃老而主刑名，著書二篇，號曰申子。」
4.姓。如宋代有老佐、老麻。
5.二一四部首之一。
[動]
1.尊敬。《孟子．梁惠王上》：「老吾老以及人之老，幼吾幼以及人之幼。」
2.退休。《左傳．隱公三年》：「桓公立，（石碏）乃老。」晉．杜預．注：「老，致仕也。」《金史．卷六六．始祖以下諸子傳》：「勗髭鬢頓白，因上表請老。」
[形]
1.年紀大。如：「老兵」、「老人」。宋．蘇軾〈吉祥寺賞牡丹〉詩：「人老簪花不自羞，花應羞上老人頭。」
2.熟練、經驗豐富。如：「老手」、「老練」、「老江湖」。
3.陳舊、過時。如：「老米」、「老式」、「老套」。
4.年久的。如：「老交情」、「老主顧」、「老字號」。
5.原來的。如：「老地方」、「老規矩」、「老話題」。
6.加在稱呼、姓氏上，表示尊敬或親暱。如：「老師」、「老闆」、「老李」、「老王」。
[副]
1.總是、常常。如：「老是頭痛。」、「你老是挑我的毛病。」
2.很、極。如：「老遠」、「老早」。
[綴]
1.加在兄弟姊妹排行的次序上。如：「老大」、「老二」、「老么」。
2.加在動物名稱上。如：「老鷹」、「老虎」、「老鼠」。 |</v>
      </c>
    </row>
    <row r="5097" spans="1:44" hidden="1">
      <c r="A5097" s="1" t="s">
        <v>8033</v>
      </c>
      <c r="C5097" s="1">
        <v>1</v>
      </c>
      <c r="D5097" s="1" t="str">
        <f>"03270"</f>
        <v>03270</v>
      </c>
      <c r="E5097" s="1" t="s">
        <v>114</v>
      </c>
      <c r="F5097" s="1">
        <v>8</v>
      </c>
      <c r="G5097" s="1">
        <v>6</v>
      </c>
      <c r="H5097" s="1">
        <v>0</v>
      </c>
      <c r="I5097" s="1" t="s">
        <v>8030</v>
      </c>
      <c r="K5097" s="1" t="str">
        <f t="shared" si="324"/>
        <v>ㄌ</v>
      </c>
      <c r="L5097" s="1" t="str">
        <f t="shared" si="325"/>
        <v>ㄠ</v>
      </c>
      <c r="N5097" s="3" t="s">
        <v>30576</v>
      </c>
      <c r="O5097" s="3"/>
      <c r="P5097" s="1" t="s">
        <v>20</v>
      </c>
      <c r="R5097" s="1" t="s">
        <v>8031</v>
      </c>
      <c r="V5097" s="1" t="s">
        <v>8034</v>
      </c>
      <c r="AR5097" s="1" t="str">
        <f t="shared" si="323"/>
        <v>| [ㄌㄠˇ](ㄌㄠˇ.md) | [佬](佬.md) |  | lǎo | [名]_x000D_
廣東人對成年男子的稱呼，如：「大佬」。《清稗類鈔．方言類．廣州方言》：「村佬，性情言語舉止衣服帶有土氣者也。」後引申為對某種人粗俗的稱呼。如：「和事佬」、「北方佬」、「南方佬」。有時作為對人語帶譏諷或輕視的稱呼，如：「闊佬」、「鄉巴佬」。 |</v>
      </c>
    </row>
    <row r="5098" spans="1:44" hidden="1">
      <c r="A5098" s="1" t="s">
        <v>8035</v>
      </c>
      <c r="C5098" s="1">
        <v>1</v>
      </c>
      <c r="D5098" s="1" t="str">
        <f>"03271"</f>
        <v>03271</v>
      </c>
      <c r="E5098" s="1" t="s">
        <v>198</v>
      </c>
      <c r="F5098" s="1">
        <v>9</v>
      </c>
      <c r="G5098" s="1">
        <v>6</v>
      </c>
      <c r="H5098" s="1">
        <v>0</v>
      </c>
      <c r="I5098" s="1" t="s">
        <v>8030</v>
      </c>
      <c r="K5098" s="1" t="str">
        <f t="shared" si="324"/>
        <v>ㄌ</v>
      </c>
      <c r="L5098" s="1" t="str">
        <f t="shared" si="325"/>
        <v>ㄠ</v>
      </c>
      <c r="N5098" s="3" t="s">
        <v>30576</v>
      </c>
      <c r="O5098" s="3"/>
      <c r="P5098" s="1" t="s">
        <v>20</v>
      </c>
      <c r="R5098" s="1" t="s">
        <v>8031</v>
      </c>
      <c r="V5098" s="1" t="s">
        <v>8036</v>
      </c>
      <c r="AR5098" s="1" t="str">
        <f t="shared" si="323"/>
        <v>| [ㄌㄠˇ](ㄌㄠˇ.md) | [狫](狫.md) |  | lǎo | 參見「犵狫族」條。 |</v>
      </c>
    </row>
    <row r="5099" spans="1:44" hidden="1">
      <c r="A5099" s="1" t="s">
        <v>3752</v>
      </c>
      <c r="C5099" s="1">
        <v>1</v>
      </c>
      <c r="D5099" s="1" t="str">
        <f>"03272"</f>
        <v>03272</v>
      </c>
      <c r="E5099" s="1" t="s">
        <v>534</v>
      </c>
      <c r="F5099" s="1">
        <v>9</v>
      </c>
      <c r="G5099" s="1">
        <v>6</v>
      </c>
      <c r="H5099" s="1">
        <v>2</v>
      </c>
      <c r="I5099" s="1" t="s">
        <v>8030</v>
      </c>
      <c r="K5099" s="1" t="str">
        <f t="shared" si="324"/>
        <v>ㄌ</v>
      </c>
      <c r="L5099" s="1" t="str">
        <f t="shared" si="325"/>
        <v>ㄠ</v>
      </c>
      <c r="N5099" s="3" t="s">
        <v>30576</v>
      </c>
      <c r="O5099" s="3"/>
      <c r="P5099" s="1" t="s">
        <v>20</v>
      </c>
      <c r="R5099" s="1" t="s">
        <v>8031</v>
      </c>
      <c r="V5099" s="1" t="s">
        <v>8037</v>
      </c>
      <c r="W5099" s="1" t="s">
        <v>8038</v>
      </c>
      <c r="AR5099" s="1" t="str">
        <f t="shared" si="323"/>
        <v>| [ㄌㄠˇ](ㄌㄠˇ.md) | [姥](姥.md) |  | lǎo | 參見「姥姥」條。 |</v>
      </c>
    </row>
    <row r="5100" spans="1:44" hidden="1">
      <c r="A5100" s="1" t="s">
        <v>8039</v>
      </c>
      <c r="C5100" s="1">
        <v>1</v>
      </c>
      <c r="D5100" s="1" t="str">
        <f>"03273"</f>
        <v>03273</v>
      </c>
      <c r="E5100" s="1" t="s">
        <v>139</v>
      </c>
      <c r="F5100" s="1">
        <v>10</v>
      </c>
      <c r="G5100" s="1">
        <v>6</v>
      </c>
      <c r="H5100" s="1">
        <v>0</v>
      </c>
      <c r="I5100" s="1" t="s">
        <v>8030</v>
      </c>
      <c r="K5100" s="1" t="str">
        <f t="shared" si="324"/>
        <v>ㄌ</v>
      </c>
      <c r="L5100" s="1" t="str">
        <f t="shared" si="325"/>
        <v>ㄠ</v>
      </c>
      <c r="N5100" s="3" t="s">
        <v>30576</v>
      </c>
      <c r="O5100" s="3"/>
      <c r="P5100" s="1" t="s">
        <v>20</v>
      </c>
      <c r="R5100" s="1" t="s">
        <v>8031</v>
      </c>
      <c r="V5100" s="1" t="s">
        <v>8040</v>
      </c>
      <c r="AR5100" s="1" t="str">
        <f t="shared" si="323"/>
        <v>| [ㄌㄠˇ](ㄌㄠˇ.md) | [栳](栳.md) |  | lǎo | 參見「栲栳」、「栳栳」、「栳樟」等條。 |</v>
      </c>
    </row>
    <row r="5101" spans="1:44" hidden="1">
      <c r="A5101" s="1" t="s">
        <v>8041</v>
      </c>
      <c r="C5101" s="1">
        <v>1</v>
      </c>
      <c r="D5101" s="1" t="str">
        <f>"03274"</f>
        <v>03274</v>
      </c>
      <c r="E5101" s="1" t="s">
        <v>55</v>
      </c>
      <c r="F5101" s="1">
        <v>14</v>
      </c>
      <c r="G5101" s="1">
        <v>6</v>
      </c>
      <c r="H5101" s="1">
        <v>0</v>
      </c>
      <c r="I5101" s="1" t="s">
        <v>8030</v>
      </c>
      <c r="K5101" s="1" t="str">
        <f t="shared" si="324"/>
        <v>ㄌ</v>
      </c>
      <c r="L5101" s="1" t="str">
        <f t="shared" si="325"/>
        <v>ㄠ</v>
      </c>
      <c r="N5101" s="3" t="s">
        <v>30576</v>
      </c>
      <c r="O5101" s="3"/>
      <c r="P5101" s="1" t="s">
        <v>20</v>
      </c>
      <c r="R5101" s="1" t="s">
        <v>8031</v>
      </c>
      <c r="V5101" s="1" t="s">
        <v>8042</v>
      </c>
      <c r="AR5101" s="1" t="str">
        <f t="shared" si="323"/>
        <v>| [ㄌㄠˇ](ㄌㄠˇ.md) | [銠](銠.md) |  | lǎo | [名]
（rhodium，Rh）化學元素。原子序45。過渡金屬元素之一，存於鋨銥礦和鉑礦中。銀白色金屬，性硬、耐磨，通常鍍在探照燈及反射鏡上，並且可用來製造熱電偶及鉑銠合金等。化學上常用作觸媒。 |</v>
      </c>
    </row>
    <row r="5102" spans="1:44" hidden="1">
      <c r="A5102" s="1" t="s">
        <v>8043</v>
      </c>
      <c r="C5102" s="1">
        <v>1</v>
      </c>
      <c r="D5102" s="1" t="str">
        <f>"03275"</f>
        <v>03275</v>
      </c>
      <c r="E5102" s="1" t="s">
        <v>129</v>
      </c>
      <c r="F5102" s="1">
        <v>15</v>
      </c>
      <c r="G5102" s="1">
        <v>12</v>
      </c>
      <c r="H5102" s="1">
        <v>2</v>
      </c>
      <c r="I5102" s="1" t="s">
        <v>8030</v>
      </c>
      <c r="K5102" s="1" t="str">
        <f t="shared" si="324"/>
        <v>ㄌ</v>
      </c>
      <c r="L5102" s="1" t="str">
        <f t="shared" si="325"/>
        <v>ㄠ</v>
      </c>
      <c r="N5102" s="3" t="s">
        <v>30576</v>
      </c>
      <c r="O5102" s="3"/>
      <c r="P5102" s="1" t="s">
        <v>20</v>
      </c>
      <c r="R5102" s="1" t="s">
        <v>8031</v>
      </c>
      <c r="V5102" s="1" t="s">
        <v>8044</v>
      </c>
      <c r="W5102" s="1" t="s">
        <v>8045</v>
      </c>
      <c r="AR5102" s="1" t="str">
        <f t="shared" si="323"/>
        <v>| [ㄌㄠˇ](ㄌㄠˇ.md) | [潦](潦.md) |  | lǎo | [形]
雨下很大的樣子。《禮記．曲禮上》：「水潦降，不獻魚鱉。」
[名]
積水。《禮記．曲禮上》：「送葬不避塗潦。」《韓非子．外儲說右上》：「天雨，廷中有潦，太子遂驅車至於茆門。」 |</v>
      </c>
    </row>
    <row r="5103" spans="1:44" hidden="1">
      <c r="A5103" s="1" t="s">
        <v>8046</v>
      </c>
      <c r="C5103" s="1">
        <v>1</v>
      </c>
      <c r="D5103" s="1" t="str">
        <f>"03276"</f>
        <v>03276</v>
      </c>
      <c r="E5103" s="1" t="s">
        <v>139</v>
      </c>
      <c r="F5103" s="1">
        <v>16</v>
      </c>
      <c r="G5103" s="1">
        <v>12</v>
      </c>
      <c r="H5103" s="1">
        <v>0</v>
      </c>
      <c r="I5103" s="1" t="s">
        <v>8030</v>
      </c>
      <c r="K5103" s="1" t="str">
        <f t="shared" si="324"/>
        <v>ㄌ</v>
      </c>
      <c r="L5103" s="1" t="str">
        <f t="shared" si="325"/>
        <v>ㄠ</v>
      </c>
      <c r="N5103" s="3" t="s">
        <v>30576</v>
      </c>
      <c r="O5103" s="3"/>
      <c r="P5103" s="1" t="s">
        <v>20</v>
      </c>
      <c r="R5103" s="1" t="s">
        <v>8031</v>
      </c>
      <c r="V5103" s="1" t="s">
        <v>8047</v>
      </c>
      <c r="AR5103" s="1" t="str">
        <f t="shared" si="323"/>
        <v>| [ㄌㄠˇ](ㄌㄠˇ.md) | [橑](橑.md) |  | lǎo | [名]
1.屋椽。《廣韻．上聲．皓韻》：「橑，簷前木。」《楚辭．屈原．九歌．湘夫人》：「桂棟兮蘭橑，辛夷楣兮藥房。」
2.傘蓋的弓形骨架。《廣韻．平聲．蕭韻》：「橑，蓋骨也。」《淮南子．說林》：「蓋非橑不能蔽日，輪非輻不能追疾。」
3.薪火、柴火。《管子．侈靡》：「雕卵然後瀹之，雕橑然後爨之。」漢．王充《論衡．書虛》：「析橑，斧斬其足，卒為守者。」 |</v>
      </c>
    </row>
    <row r="5104" spans="1:44" hidden="1">
      <c r="A5104" s="1" t="s">
        <v>8024</v>
      </c>
      <c r="C5104" s="1">
        <v>1</v>
      </c>
      <c r="D5104" s="1" t="str">
        <f>"03277"</f>
        <v>03277</v>
      </c>
      <c r="E5104" s="1" t="s">
        <v>71</v>
      </c>
      <c r="F5104" s="1">
        <v>19</v>
      </c>
      <c r="G5104" s="1">
        <v>12</v>
      </c>
      <c r="H5104" s="1">
        <v>1</v>
      </c>
      <c r="I5104" s="1" t="s">
        <v>8030</v>
      </c>
      <c r="K5104" s="1" t="str">
        <f t="shared" si="324"/>
        <v>ㄌ</v>
      </c>
      <c r="L5104" s="1" t="str">
        <f t="shared" si="325"/>
        <v>ㄠ</v>
      </c>
      <c r="N5104" s="3" t="s">
        <v>30576</v>
      </c>
      <c r="O5104" s="3"/>
      <c r="P5104" s="1" t="s">
        <v>20</v>
      </c>
      <c r="R5104" s="1" t="s">
        <v>8031</v>
      </c>
      <c r="V5104" s="1" t="s">
        <v>8048</v>
      </c>
      <c r="W5104" s="1" t="s">
        <v>8049</v>
      </c>
      <c r="AR5104" s="1" t="str">
        <f t="shared" si="323"/>
        <v>| [ㄌㄠˇ](ㄌㄠˇ.md) | [轑](轑.md) |  | lǎo | [名]
車篷的骨架。《說文解字．車部》：「轑，車蓋弓也。」漢．劉熙《釋名．釋車》：「轑，蓋叉也，如屋構橑也。」 |</v>
      </c>
    </row>
    <row r="5105" spans="1:44" hidden="1">
      <c r="A5105" s="1" t="s">
        <v>8125</v>
      </c>
      <c r="C5105" s="1">
        <v>1</v>
      </c>
      <c r="D5105" s="1" t="str">
        <f>"03308"</f>
        <v>03308</v>
      </c>
      <c r="E5105" s="1" t="s">
        <v>691</v>
      </c>
      <c r="F5105" s="1">
        <v>9</v>
      </c>
      <c r="G5105" s="1">
        <v>6</v>
      </c>
      <c r="H5105" s="1">
        <v>0</v>
      </c>
      <c r="I5105" s="1" t="s">
        <v>8126</v>
      </c>
      <c r="K5105" s="1" t="str">
        <f t="shared" si="324"/>
        <v>ㄌ</v>
      </c>
      <c r="L5105" s="1" t="str">
        <f t="shared" si="325"/>
        <v>ㄡ</v>
      </c>
      <c r="N5105" s="3" t="s">
        <v>30574</v>
      </c>
      <c r="O5105" s="3"/>
      <c r="P5105" s="1" t="s">
        <v>20</v>
      </c>
      <c r="R5105" s="1" t="s">
        <v>8127</v>
      </c>
      <c r="V5105" s="1" t="s">
        <v>8128</v>
      </c>
      <c r="AR5105" s="1" t="str">
        <f t="shared" si="323"/>
        <v>| [ㄌㄡˋ](ㄌㄡˋ.md) | [陋](陋.md) |  | lòu | [形]
1.容貌醜。《玉篇．阜部》：「陋，醜猥也。」如：「醜陋」。《舊唐書．卷一三五．盧杞傳》：「杞貌陋而色如藍。」
2.狹隘、狹窄。《論語．雍也》：「一簞食，一瓢飲，在陋巷，人不堪其憂。」唐．劉禹錫〈陋室銘〉：「斯是陋室，惟吾德馨。」
3.粗劣、不好的。如：「陋規」、「陋習」、「陋俗」。
4.學識淺薄。如：「孤陋寡聞」。《荀子．勸學》：「則末世窮年，不免為陋儒而已。」
5.卑賤、微賤。《管子．牧民》：「不明鬼神，則陋民不悟。」《北齊書．卷四十五．文苑傳．樊遜傳》：「門族寒陋，訪第必不成，乞補員外司馬督。」
6.吝嗇。《漢書．卷二八．地理志下》：「其民有先王遺教，君子深思，小人儉陋。」
[動]
輕視。《史記．卷三八．宋微子世家》：「今殷民乃陋淫神祇之祀。」文選．張衡〈東京賦〉：「苟有胸而無心，不能節之以禮，宜其陋今而榮古矣。」 |</v>
      </c>
    </row>
    <row r="5106" spans="1:44" hidden="1">
      <c r="A5106" s="1" t="s">
        <v>8129</v>
      </c>
      <c r="C5106" s="1">
        <v>1</v>
      </c>
      <c r="D5106" s="1" t="str">
        <f>"03309"</f>
        <v>03309</v>
      </c>
      <c r="E5106" s="1" t="s">
        <v>129</v>
      </c>
      <c r="F5106" s="1">
        <v>14</v>
      </c>
      <c r="G5106" s="1">
        <v>11</v>
      </c>
      <c r="H5106" s="1">
        <v>0</v>
      </c>
      <c r="I5106" s="1" t="s">
        <v>8126</v>
      </c>
      <c r="K5106" s="1" t="str">
        <f t="shared" si="324"/>
        <v>ㄌ</v>
      </c>
      <c r="L5106" s="1" t="str">
        <f t="shared" si="325"/>
        <v>ㄡ</v>
      </c>
      <c r="N5106" s="3" t="s">
        <v>30574</v>
      </c>
      <c r="O5106" s="3"/>
      <c r="P5106" s="1" t="s">
        <v>20</v>
      </c>
      <c r="R5106" s="1" t="s">
        <v>8127</v>
      </c>
      <c r="V5106" s="1" t="s">
        <v>8130</v>
      </c>
      <c r="AR5106" s="1" t="str">
        <f t="shared" si="323"/>
        <v>| [ㄌㄡˋ](ㄌㄡˋ.md) | [漏](漏.md) |  | lòu | [名]
1.古代的一種計時器。《說文解字．水部》：「漏，以銅受水刻節，晝夜百節。」《紅樓夢》第五四回：「或緊或慢，或如殘漏之滴，或如迸豆之疾。」
2.空孔、隙縫。《淮南子．脩務》：「禹耳參漏，是謂大通。」漢．高誘．注：「漏，穴也。」
3.常流膿水、不能收口的膿瘍。如：「痔漏」。《太平廣記．卷二六六．崔祕》：「醫療至經年，其鏃自出，其瘡成漏，終身不痊。」
4.姓。如明代有漏瑜。
[動]
1.液體自縫中流出或滲入。如：「漏雨」、「漏油」。唐．杜甫〈茅屋為秋風所破歌〉：「床頭屋漏無乾處，雨腳如麻未斷絕。」
2.洩露。如：「走漏消息」。《左傳．僖公二年》：「齊寺人貂始漏師于多魚。」晉．杜預．注：「傳言貂於此始擅貴寵，漏洩桓公軍事，為齊亂張本。」
3.遺忘、疏略。如：「遺漏」。《隋書．卷二五．刑法志》：「彪約所製，無刑法篇；臧、蕭之書，又多漏略。」
4.逃避。如：「漏稅」。
5.誘引。《水滸傳》第八八回：「原來番將不輸，特地耍賣個破綻，漏他來趕。」
[形]
破爛、簡陋。《荀子．儒效》：「雖隱於窮閻漏屋，人莫不貴之，道誠存也。」宋．陸游〈夢中作詩〉：「斷碑零落苔俱遍，漏壁微茫字半存。」 |</v>
      </c>
    </row>
    <row r="5107" spans="1:44" hidden="1">
      <c r="A5107" s="1" t="s">
        <v>8131</v>
      </c>
      <c r="C5107" s="1">
        <v>1</v>
      </c>
      <c r="D5107" s="1" t="str">
        <f>"03310"</f>
        <v>03310</v>
      </c>
      <c r="E5107" s="1" t="s">
        <v>40</v>
      </c>
      <c r="F5107" s="1">
        <v>16</v>
      </c>
      <c r="G5107" s="1">
        <v>11</v>
      </c>
      <c r="H5107" s="1">
        <v>0</v>
      </c>
      <c r="I5107" s="1" t="s">
        <v>8126</v>
      </c>
      <c r="K5107" s="1" t="str">
        <f t="shared" si="324"/>
        <v>ㄌ</v>
      </c>
      <c r="L5107" s="1" t="str">
        <f t="shared" si="325"/>
        <v>ㄡ</v>
      </c>
      <c r="N5107" s="3" t="s">
        <v>30574</v>
      </c>
      <c r="O5107" s="3"/>
      <c r="P5107" s="1" t="s">
        <v>20</v>
      </c>
      <c r="R5107" s="1" t="s">
        <v>8127</v>
      </c>
      <c r="V5107" s="1" t="s">
        <v>8132</v>
      </c>
      <c r="AR5107" s="1" t="str">
        <f t="shared" si="323"/>
        <v>| [ㄌㄡˋ](ㄌㄡˋ.md) | [瘺](瘺.md) |  | lòu | 同「瘻」。 |</v>
      </c>
    </row>
    <row r="5108" spans="1:44" hidden="1">
      <c r="A5108" s="1" t="s">
        <v>8133</v>
      </c>
      <c r="C5108" s="1">
        <v>1</v>
      </c>
      <c r="D5108" s="1" t="str">
        <f>"03311"</f>
        <v>03311</v>
      </c>
      <c r="E5108" s="1" t="s">
        <v>40</v>
      </c>
      <c r="F5108" s="1">
        <v>16</v>
      </c>
      <c r="G5108" s="1">
        <v>11</v>
      </c>
      <c r="H5108" s="1">
        <v>1</v>
      </c>
      <c r="I5108" s="1" t="s">
        <v>8126</v>
      </c>
      <c r="K5108" s="1" t="str">
        <f t="shared" si="324"/>
        <v>ㄌ</v>
      </c>
      <c r="L5108" s="1" t="str">
        <f t="shared" si="325"/>
        <v>ㄡ</v>
      </c>
      <c r="N5108" s="3" t="s">
        <v>30574</v>
      </c>
      <c r="O5108" s="3"/>
      <c r="P5108" s="1" t="s">
        <v>20</v>
      </c>
      <c r="R5108" s="1" t="s">
        <v>8127</v>
      </c>
      <c r="V5108" s="1" t="s">
        <v>8134</v>
      </c>
      <c r="W5108" s="1" t="s">
        <v>8135</v>
      </c>
      <c r="AR5108" s="1" t="str">
        <f t="shared" si="323"/>
        <v>| [ㄌㄡˋ](ㄌㄡˋ.md) | [瘻](瘻.md) |  | lòu | [名]
1.一種脖子腫大的症狀。《說文解字．疒部》：「瘻，頸腫也。」唐．柳宗元〈捕蛇者說〉：「可以已大風、攣踠、瘻、癘，去死肌，殺三蟲。」
2.常流膿水、不能收口的膿瘍。如：「肛瘻」、「痔瘻」。
[動]
膨脹、腫脹。《淮南子．說山》：「貍頭愈鼠，雞頭已瘻。」 |</v>
      </c>
    </row>
    <row r="5109" spans="1:44" hidden="1">
      <c r="A5109" s="1" t="s">
        <v>8136</v>
      </c>
      <c r="C5109" s="1">
        <v>1</v>
      </c>
      <c r="D5109" s="1" t="str">
        <f>"03312"</f>
        <v>03312</v>
      </c>
      <c r="E5109" s="1" t="s">
        <v>55</v>
      </c>
      <c r="F5109" s="1">
        <v>19</v>
      </c>
      <c r="G5109" s="1">
        <v>11</v>
      </c>
      <c r="H5109" s="1">
        <v>0</v>
      </c>
      <c r="I5109" s="1" t="s">
        <v>8126</v>
      </c>
      <c r="K5109" s="1" t="str">
        <f t="shared" si="324"/>
        <v>ㄌ</v>
      </c>
      <c r="L5109" s="1" t="str">
        <f t="shared" si="325"/>
        <v>ㄡ</v>
      </c>
      <c r="N5109" s="3" t="s">
        <v>30574</v>
      </c>
      <c r="O5109" s="3"/>
      <c r="P5109" s="1" t="s">
        <v>20</v>
      </c>
      <c r="R5109" s="1" t="s">
        <v>8127</v>
      </c>
      <c r="V5109" s="1" t="s">
        <v>8137</v>
      </c>
      <c r="AR5109" s="1" t="str">
        <f t="shared" si="323"/>
        <v>| [ㄌㄡˋ](ㄌㄡˋ.md) | [鏤](鏤.md) |  | lòu | [動]_x000D_
1.雕刻。《爾雅．釋器》：「金謂之鏤，木謂之刻。」如：「鏤金刻玉」。《左傳．哀公元年》：「器不彤鏤，宮室不觀。」_x000D_
2.疏通。《漢書．卷五七．司馬相如傳下》：「徼牂牁，鏤靈山。」唐．顏師古．注：「鏤，謂疏通之以開道也。」_x000D_
[名]_x000D_
1.可供刻鏤的硬鐵。《書經．禹貢》：「厥貢璆、鐵、銀、鏤、砮磬。」漢．孔安國．傳：「鏤，剛鐵。」_x000D_
2.釜的別名。漢．揚雄《方言》卷五：「鍑，……江、淮、陳、楚之間謂之錡，或謂之鏤，吳、揚之間謂之鬲。」_x000D_
3.孔穴、隙縫。《宋書．卷二七．符瑞志上》：「生禹於石紐，虎鼻大口，兩耳參鏤。」 |</v>
      </c>
    </row>
    <row r="5110" spans="1:44" hidden="1">
      <c r="A5110" s="1" t="s">
        <v>8138</v>
      </c>
      <c r="C5110" s="1">
        <v>1</v>
      </c>
      <c r="D5110" s="1" t="str">
        <f>"03313"</f>
        <v>03313</v>
      </c>
      <c r="E5110" s="1" t="s">
        <v>125</v>
      </c>
      <c r="F5110" s="1">
        <v>21</v>
      </c>
      <c r="G5110" s="1">
        <v>13</v>
      </c>
      <c r="H5110" s="1">
        <v>2</v>
      </c>
      <c r="I5110" s="1" t="s">
        <v>8126</v>
      </c>
      <c r="K5110" s="1" t="str">
        <f t="shared" si="324"/>
        <v>ㄌ</v>
      </c>
      <c r="L5110" s="1" t="str">
        <f t="shared" si="325"/>
        <v>ㄡ</v>
      </c>
      <c r="N5110" s="3" t="s">
        <v>30574</v>
      </c>
      <c r="O5110" s="3"/>
      <c r="P5110" s="1" t="s">
        <v>20</v>
      </c>
      <c r="R5110" s="1" t="s">
        <v>8127</v>
      </c>
      <c r="V5110" s="1" t="s">
        <v>8139</v>
      </c>
      <c r="W5110" s="1" t="s">
        <v>8140</v>
      </c>
      <c r="AR5110" s="1" t="str">
        <f t="shared" si="323"/>
        <v>| [ㄌㄡˋ](ㄌㄡˋ.md) | [露](露.md) |  | lòu | [動]
1.顯現。如：「露出馬腳」、「衣角外露」。
2.洩漏。如：「露了口風」。《後漢書．卷七一．皇甫嵩傳》：「角等知事已露，晨夜馳敕諸方，一時俱起。」 |</v>
      </c>
    </row>
    <row r="5111" spans="1:44" hidden="1">
      <c r="A5111" s="1" t="s">
        <v>8080</v>
      </c>
      <c r="C5111" s="1">
        <v>1</v>
      </c>
      <c r="D5111" s="1" t="str">
        <f>"03289"</f>
        <v>03289</v>
      </c>
      <c r="E5111" s="1" t="s">
        <v>534</v>
      </c>
      <c r="F5111" s="1">
        <v>11</v>
      </c>
      <c r="G5111" s="1">
        <v>8</v>
      </c>
      <c r="H5111" s="1">
        <v>1</v>
      </c>
      <c r="I5111" s="1" t="s">
        <v>8081</v>
      </c>
      <c r="K5111" s="1" t="str">
        <f t="shared" si="324"/>
        <v>ㄌ</v>
      </c>
      <c r="L5111" s="1" t="str">
        <f t="shared" si="325"/>
        <v>ㄡ</v>
      </c>
      <c r="N5111" s="3" t="s">
        <v>30575</v>
      </c>
      <c r="O5111" s="3"/>
      <c r="P5111" s="1" t="s">
        <v>20</v>
      </c>
      <c r="R5111" s="1" t="s">
        <v>8082</v>
      </c>
      <c r="V5111" s="1" t="s">
        <v>8083</v>
      </c>
      <c r="W5111" s="1" t="s">
        <v>8084</v>
      </c>
      <c r="AR5111" s="1" t="str">
        <f t="shared" si="323"/>
        <v>| [ㄌㄡˊ](ㄌㄡˊ.md) | [婁](婁.md) |  | lóu | [形]
空、中空。《說文解字．女部》：「婁，空也。」如：「婁空」。
[動]
收斂。《詩經．小雅．角弓》：「莫肯下遺，式居婁驕。」漢．鄭玄．箋：「婁，斂也。」
[名]
1.星宿名。二十八宿之一。西方白虎七宿的第二宿，有三顆星。
2.姓。如西漢有婁壽，唐代有婁師德。 |</v>
      </c>
    </row>
    <row r="5112" spans="1:44" hidden="1">
      <c r="A5112" s="1" t="s">
        <v>8085</v>
      </c>
      <c r="C5112" s="1">
        <v>1</v>
      </c>
      <c r="D5112" s="1" t="str">
        <f>"03290"</f>
        <v>03290</v>
      </c>
      <c r="E5112" s="1" t="s">
        <v>114</v>
      </c>
      <c r="F5112" s="1">
        <v>13</v>
      </c>
      <c r="G5112" s="1">
        <v>11</v>
      </c>
      <c r="H5112" s="1">
        <v>0</v>
      </c>
      <c r="I5112" s="1" t="s">
        <v>8081</v>
      </c>
      <c r="K5112" s="1" t="str">
        <f t="shared" si="324"/>
        <v>ㄌ</v>
      </c>
      <c r="L5112" s="1" t="str">
        <f t="shared" si="325"/>
        <v>ㄡ</v>
      </c>
      <c r="N5112" s="3" t="s">
        <v>30575</v>
      </c>
      <c r="O5112" s="3"/>
      <c r="P5112" s="1" t="s">
        <v>20</v>
      </c>
      <c r="R5112" s="1" t="s">
        <v>8082</v>
      </c>
      <c r="V5112" s="1" t="s">
        <v>8086</v>
      </c>
      <c r="AR5112" s="1" t="str">
        <f t="shared" si="323"/>
        <v>| [ㄌㄡˊ](ㄌㄡˊ.md) | [僂](僂.md) |  | lóu | [名]
1.彎曲的背部。如：「佝僂」。唐．柳宗元〈種樹郭橐駝傳〉：「病僂，隆然伏行。」
2.姓。如春秋時齊國有僂堙。
[動]
背向前微傾，以示恭敬。《左傳．昭公七年》：「一命而僂，再命而傴，三命而俯。」晉．杜預．注：「俯共於傴，傴共於僂。」 |</v>
      </c>
    </row>
    <row r="5113" spans="1:44" hidden="1">
      <c r="A5113" s="1" t="s">
        <v>8087</v>
      </c>
      <c r="C5113" s="1">
        <v>1</v>
      </c>
      <c r="D5113" s="1" t="str">
        <f>"03291"</f>
        <v>03291</v>
      </c>
      <c r="E5113" s="1" t="s">
        <v>129</v>
      </c>
      <c r="F5113" s="1">
        <v>14</v>
      </c>
      <c r="G5113" s="1">
        <v>11</v>
      </c>
      <c r="H5113" s="1">
        <v>0</v>
      </c>
      <c r="I5113" s="1" t="s">
        <v>8081</v>
      </c>
      <c r="K5113" s="1" t="str">
        <f t="shared" ref="K5113:K5129" si="326">LEFT(I5113, 1)</f>
        <v>ㄌ</v>
      </c>
      <c r="L5113" s="1" t="str">
        <f t="shared" ref="L5113:L5129" si="327">MID(I5113, 2, 1)</f>
        <v>ㄡ</v>
      </c>
      <c r="N5113" s="3" t="s">
        <v>30575</v>
      </c>
      <c r="O5113" s="3"/>
      <c r="P5113" s="1" t="s">
        <v>20</v>
      </c>
      <c r="R5113" s="1" t="s">
        <v>8082</v>
      </c>
      <c r="V5113" s="1" t="s">
        <v>8088</v>
      </c>
      <c r="AR5113" s="1" t="str">
        <f t="shared" si="323"/>
        <v>| [ㄌㄡˊ](ㄌㄡˊ.md) | [漊](漊.md) |  | lóu | [名]
河川名。即漊水。源出於湖北省恩施土家族苗族自治州鶴峰縣，東南流經湖南省張家界市慈利縣，注入澧水。 |</v>
      </c>
    </row>
    <row r="5114" spans="1:44" hidden="1">
      <c r="A5114" s="1" t="s">
        <v>8089</v>
      </c>
      <c r="C5114" s="1">
        <v>1</v>
      </c>
      <c r="D5114" s="1" t="str">
        <f>"03292"</f>
        <v>03292</v>
      </c>
      <c r="E5114" s="1" t="s">
        <v>447</v>
      </c>
      <c r="F5114" s="1">
        <v>14</v>
      </c>
      <c r="G5114" s="1">
        <v>11</v>
      </c>
      <c r="H5114" s="1">
        <v>0</v>
      </c>
      <c r="I5114" s="1" t="s">
        <v>8081</v>
      </c>
      <c r="K5114" s="1" t="str">
        <f t="shared" si="326"/>
        <v>ㄌ</v>
      </c>
      <c r="L5114" s="1" t="str">
        <f t="shared" si="327"/>
        <v>ㄡ</v>
      </c>
      <c r="N5114" s="3" t="s">
        <v>30575</v>
      </c>
      <c r="O5114" s="3"/>
      <c r="P5114" s="1" t="s">
        <v>20</v>
      </c>
      <c r="R5114" s="1" t="s">
        <v>8082</v>
      </c>
      <c r="V5114" s="1" t="s">
        <v>8090</v>
      </c>
      <c r="AR5114" s="1" t="str">
        <f t="shared" si="323"/>
        <v>| [ㄌㄡˊ](ㄌㄡˊ.md) | [廔](廔.md) |  | lóu | [形]
屋中窗牖通明的樣子。《說文解字．广部》：「廔，屋麗廔也。」清．段玉裁．注：「謂在屋在牆囪牖穿通之貌。」 |</v>
      </c>
    </row>
    <row r="5115" spans="1:44" hidden="1">
      <c r="A5115" s="1" t="s">
        <v>8091</v>
      </c>
      <c r="C5115" s="1">
        <v>1</v>
      </c>
      <c r="D5115" s="1" t="str">
        <f>"03293"</f>
        <v>03293</v>
      </c>
      <c r="E5115" s="1" t="s">
        <v>250</v>
      </c>
      <c r="F5115" s="1">
        <v>14</v>
      </c>
      <c r="G5115" s="1">
        <v>11</v>
      </c>
      <c r="H5115" s="1">
        <v>1</v>
      </c>
      <c r="I5115" s="1" t="s">
        <v>8081</v>
      </c>
      <c r="K5115" s="1" t="str">
        <f t="shared" si="326"/>
        <v>ㄌ</v>
      </c>
      <c r="L5115" s="1" t="str">
        <f t="shared" si="327"/>
        <v>ㄡ</v>
      </c>
      <c r="N5115" s="3" t="s">
        <v>30575</v>
      </c>
      <c r="O5115" s="3"/>
      <c r="P5115" s="1" t="s">
        <v>20</v>
      </c>
      <c r="R5115" s="1" t="s">
        <v>8082</v>
      </c>
      <c r="V5115" s="1" t="s">
        <v>8092</v>
      </c>
      <c r="W5115" s="1" t="s">
        <v>8093</v>
      </c>
      <c r="AR5115" s="1" t="str">
        <f t="shared" si="323"/>
        <v>| [ㄌㄡˊ](ㄌㄡˊ.md) | [慺](慺.md) |  | lóu | [形]
1.歡悅、高興。《廣韻．平聲．虞韻》：「慺，悅也。」
2.恭敬、謹慎。《玉篇．心部》：「慺，謹敬也。」《抱朴子．外篇．尚博》：「於是以其所不解者為虛誕，慺誠以為爾，未必違情以傷物也。」 |</v>
      </c>
    </row>
    <row r="5116" spans="1:44" hidden="1">
      <c r="A5116" s="1" t="s">
        <v>8075</v>
      </c>
      <c r="C5116" s="1">
        <v>1</v>
      </c>
      <c r="D5116" s="1" t="str">
        <f>"03294"</f>
        <v>03294</v>
      </c>
      <c r="E5116" s="1" t="s">
        <v>24</v>
      </c>
      <c r="F5116" s="1">
        <v>14</v>
      </c>
      <c r="G5116" s="1">
        <v>11</v>
      </c>
      <c r="H5116" s="1">
        <v>1</v>
      </c>
      <c r="I5116" s="1" t="s">
        <v>8081</v>
      </c>
      <c r="K5116" s="1" t="str">
        <f t="shared" si="326"/>
        <v>ㄌ</v>
      </c>
      <c r="L5116" s="1" t="str">
        <f t="shared" si="327"/>
        <v>ㄡ</v>
      </c>
      <c r="N5116" s="3" t="s">
        <v>30575</v>
      </c>
      <c r="O5116" s="3"/>
      <c r="P5116" s="1" t="s">
        <v>20</v>
      </c>
      <c r="R5116" s="1" t="s">
        <v>8082</v>
      </c>
      <c r="V5116" s="1" t="s">
        <v>8094</v>
      </c>
      <c r="W5116" s="1" t="s">
        <v>8095</v>
      </c>
      <c r="AR5116" s="1" t="str">
        <f t="shared" si="323"/>
        <v>| [ㄌㄡˊ](ㄌㄡˊ.md) | [摟](摟.md) |  | lóu | [動]
攏合、牽聚。《說文解字．手部》：「摟，曳聚也。」《孟子．告子下》：「五霸者，摟諸侯以伐諸侯者也。」 |</v>
      </c>
    </row>
    <row r="5117" spans="1:44" hidden="1">
      <c r="A5117" s="1" t="s">
        <v>8096</v>
      </c>
      <c r="C5117" s="1">
        <v>1</v>
      </c>
      <c r="D5117" s="1" t="str">
        <f>"03295"</f>
        <v>03295</v>
      </c>
      <c r="E5117" s="1" t="s">
        <v>28</v>
      </c>
      <c r="F5117" s="1">
        <v>14</v>
      </c>
      <c r="G5117" s="1">
        <v>11</v>
      </c>
      <c r="H5117" s="1">
        <v>1</v>
      </c>
      <c r="I5117" s="1" t="s">
        <v>8081</v>
      </c>
      <c r="K5117" s="1" t="str">
        <f t="shared" si="326"/>
        <v>ㄌ</v>
      </c>
      <c r="L5117" s="1" t="str">
        <f t="shared" si="327"/>
        <v>ㄡ</v>
      </c>
      <c r="N5117" s="3" t="s">
        <v>30575</v>
      </c>
      <c r="O5117" s="3"/>
      <c r="P5117" s="1" t="s">
        <v>20</v>
      </c>
      <c r="R5117" s="1" t="s">
        <v>8082</v>
      </c>
      <c r="V5117" s="1" t="s">
        <v>8097</v>
      </c>
      <c r="W5117" s="1" t="s">
        <v>8098</v>
      </c>
      <c r="AR5117" s="1" t="str">
        <f t="shared" si="323"/>
        <v>| [ㄌㄡˊ](ㄌㄡˊ.md) | [嘍](嘍.md) |  | lóu | 參見「嘍囉」條。 |</v>
      </c>
    </row>
    <row r="5118" spans="1:44" hidden="1">
      <c r="A5118" s="1" t="s">
        <v>8099</v>
      </c>
      <c r="C5118" s="1">
        <v>1</v>
      </c>
      <c r="D5118" s="1" t="str">
        <f>"03296"</f>
        <v>03296</v>
      </c>
      <c r="E5118" s="1" t="s">
        <v>139</v>
      </c>
      <c r="F5118" s="1">
        <v>15</v>
      </c>
      <c r="G5118" s="1">
        <v>11</v>
      </c>
      <c r="H5118" s="1">
        <v>0</v>
      </c>
      <c r="I5118" s="1" t="s">
        <v>8081</v>
      </c>
      <c r="K5118" s="1" t="str">
        <f t="shared" si="326"/>
        <v>ㄌ</v>
      </c>
      <c r="L5118" s="1" t="str">
        <f t="shared" si="327"/>
        <v>ㄡ</v>
      </c>
      <c r="N5118" s="3" t="s">
        <v>30575</v>
      </c>
      <c r="O5118" s="3"/>
      <c r="P5118" s="1" t="s">
        <v>20</v>
      </c>
      <c r="R5118" s="1" t="s">
        <v>8082</v>
      </c>
      <c r="V5118" s="1" t="s">
        <v>8100</v>
      </c>
      <c r="AR5118" s="1" t="str">
        <f t="shared" si="323"/>
        <v>| [ㄌㄡˊ](ㄌㄡˊ.md) | [樓](樓.md) |  | lóu | [名]
1.兩層以上的房屋。如：「樓房」、「高樓大廈」。唐．韋莊〈菩薩蠻．如今卻憶江南樂〉詞：「騎馬倚斜橋，滿樓紅袖招。」宋．林升〈題臨安邸〉詩：「山外青山樓外樓，西湖歌舞幾時休？」
2.樓房的一層。如：「地下樓」、「第五樓」。
3.在樓房中的辦公室。如：「律師樓」、「寫字樓」。
4.姓。如秦代有樓緩，漢代有樓堭。 |</v>
      </c>
    </row>
    <row r="5119" spans="1:44" hidden="1">
      <c r="A5119" s="1" t="s">
        <v>8101</v>
      </c>
      <c r="C5119" s="1">
        <v>1</v>
      </c>
      <c r="D5119" s="1" t="str">
        <f>"03297"</f>
        <v>03297</v>
      </c>
      <c r="E5119" s="1" t="s">
        <v>37</v>
      </c>
      <c r="F5119" s="1">
        <v>15</v>
      </c>
      <c r="G5119" s="1">
        <v>11</v>
      </c>
      <c r="H5119" s="1">
        <v>0</v>
      </c>
      <c r="I5119" s="1" t="s">
        <v>8081</v>
      </c>
      <c r="K5119" s="1" t="str">
        <f t="shared" si="326"/>
        <v>ㄌ</v>
      </c>
      <c r="L5119" s="1" t="str">
        <f t="shared" si="327"/>
        <v>ㄡ</v>
      </c>
      <c r="N5119" s="3" t="s">
        <v>30575</v>
      </c>
      <c r="O5119" s="3"/>
      <c r="P5119" s="1" t="s">
        <v>20</v>
      </c>
      <c r="R5119" s="1" t="s">
        <v>8082</v>
      </c>
      <c r="V5119" s="1" t="s">
        <v>8102</v>
      </c>
      <c r="AR5119" s="1" t="str">
        <f t="shared" si="323"/>
        <v>| [ㄌㄡˊ](ㄌㄡˊ.md) | [蔞](蔞.md) |  | lóu | 參見「蔞蒿」、「蔞鵝」、「蔞葉」等條。 |</v>
      </c>
    </row>
    <row r="5120" spans="1:44" hidden="1">
      <c r="A5120" s="1" t="s">
        <v>8103</v>
      </c>
      <c r="C5120" s="1">
        <v>1</v>
      </c>
      <c r="D5120" s="1" t="str">
        <f>"03298"</f>
        <v>03298</v>
      </c>
      <c r="E5120" s="1" t="s">
        <v>1274</v>
      </c>
      <c r="F5120" s="1">
        <v>16</v>
      </c>
      <c r="G5120" s="1">
        <v>11</v>
      </c>
      <c r="H5120" s="1">
        <v>2</v>
      </c>
      <c r="I5120" s="1" t="s">
        <v>8081</v>
      </c>
      <c r="K5120" s="1" t="str">
        <f t="shared" si="326"/>
        <v>ㄌ</v>
      </c>
      <c r="L5120" s="1" t="str">
        <f t="shared" si="327"/>
        <v>ㄡ</v>
      </c>
      <c r="N5120" s="3" t="s">
        <v>30575</v>
      </c>
      <c r="O5120" s="3"/>
      <c r="P5120" s="1" t="s">
        <v>20</v>
      </c>
      <c r="R5120" s="1" t="s">
        <v>8082</v>
      </c>
      <c r="V5120" s="1" t="s">
        <v>8104</v>
      </c>
      <c r="W5120" s="1" t="s">
        <v>8105</v>
      </c>
      <c r="AR5120" s="1" t="str">
        <f t="shared" si="323"/>
        <v>| [ㄌㄡˊ](ㄌㄡˊ.md) | [窶](窶.md) |  | lóu | 參見「甌窶」條。 |</v>
      </c>
    </row>
    <row r="5121" spans="1:44" hidden="1">
      <c r="A5121" s="1" t="s">
        <v>8106</v>
      </c>
      <c r="C5121" s="1">
        <v>1</v>
      </c>
      <c r="D5121" s="1" t="str">
        <f>"03299"</f>
        <v>03299</v>
      </c>
      <c r="E5121" s="1" t="s">
        <v>679</v>
      </c>
      <c r="F5121" s="1">
        <v>17</v>
      </c>
      <c r="G5121" s="1">
        <v>11</v>
      </c>
      <c r="H5121" s="1">
        <v>0</v>
      </c>
      <c r="I5121" s="1" t="s">
        <v>8081</v>
      </c>
      <c r="K5121" s="1" t="str">
        <f t="shared" si="326"/>
        <v>ㄌ</v>
      </c>
      <c r="L5121" s="1" t="str">
        <f t="shared" si="327"/>
        <v>ㄡ</v>
      </c>
      <c r="N5121" s="3" t="s">
        <v>30575</v>
      </c>
      <c r="O5121" s="3"/>
      <c r="P5121" s="1" t="s">
        <v>20</v>
      </c>
      <c r="R5121" s="1" t="s">
        <v>8082</v>
      </c>
      <c r="V5121" s="1" t="s">
        <v>8107</v>
      </c>
      <c r="AR5121" s="1" t="str">
        <f t="shared" si="323"/>
        <v>| [ㄌㄡˊ](ㄌㄡˊ.md) | [螻](螻.md) |  | lóu | 參見「螻蛄」、「螻蟈」等條。 |</v>
      </c>
    </row>
    <row r="5122" spans="1:44" hidden="1">
      <c r="A5122" s="1" t="s">
        <v>8108</v>
      </c>
      <c r="C5122" s="1">
        <v>1</v>
      </c>
      <c r="D5122" s="1" t="str">
        <f>"03300"</f>
        <v>03300</v>
      </c>
      <c r="E5122" s="1" t="s">
        <v>109</v>
      </c>
      <c r="F5122" s="1">
        <v>17</v>
      </c>
      <c r="G5122" s="1">
        <v>11</v>
      </c>
      <c r="H5122" s="1">
        <v>0</v>
      </c>
      <c r="I5122" s="1" t="s">
        <v>8081</v>
      </c>
      <c r="K5122" s="1" t="str">
        <f t="shared" si="326"/>
        <v>ㄌ</v>
      </c>
      <c r="L5122" s="1" t="str">
        <f t="shared" si="327"/>
        <v>ㄡ</v>
      </c>
      <c r="N5122" s="3" t="s">
        <v>30575</v>
      </c>
      <c r="O5122" s="3"/>
      <c r="P5122" s="1" t="s">
        <v>20</v>
      </c>
      <c r="R5122" s="1" t="s">
        <v>8082</v>
      </c>
      <c r="V5122" s="1" t="s">
        <v>8109</v>
      </c>
      <c r="AR5122" s="1" t="str">
        <f t="shared" si="323"/>
        <v>| [ㄌㄡˊ](ㄌㄡˊ.md) | [耬](耬.md) |  | lóu | [名]
一種農具。《廣韻．平聲．侯韻》：「耬，種具。」參見「耬車」條。 |</v>
      </c>
    </row>
    <row r="5123" spans="1:44" hidden="1">
      <c r="A5123" s="1" t="s">
        <v>8110</v>
      </c>
      <c r="C5123" s="1">
        <v>1</v>
      </c>
      <c r="D5123" s="1" t="str">
        <f>"03301"</f>
        <v>03301</v>
      </c>
      <c r="E5123" s="1" t="s">
        <v>181</v>
      </c>
      <c r="F5123" s="1">
        <v>17</v>
      </c>
      <c r="G5123" s="1">
        <v>11</v>
      </c>
      <c r="H5123" s="1">
        <v>0</v>
      </c>
      <c r="I5123" s="1" t="s">
        <v>8081</v>
      </c>
      <c r="K5123" s="1" t="str">
        <f t="shared" si="326"/>
        <v>ㄌ</v>
      </c>
      <c r="L5123" s="1" t="str">
        <f t="shared" si="327"/>
        <v>ㄡ</v>
      </c>
      <c r="N5123" s="3" t="s">
        <v>30575</v>
      </c>
      <c r="O5123" s="3"/>
      <c r="P5123" s="1" t="s">
        <v>20</v>
      </c>
      <c r="R5123" s="1" t="s">
        <v>8082</v>
      </c>
      <c r="V5123" s="1" t="s">
        <v>8111</v>
      </c>
      <c r="AR5123" s="1" t="str">
        <f t="shared" ref="AR5123:AR5186" si="328">"| ["&amp;I5123&amp;"]("&amp;I5123&amp;".md) | ["&amp;A5123&amp;"]("&amp;A5123&amp;".md) | "&amp;" | "&amp;R5123&amp;" | "&amp;V5123&amp;" |"</f>
        <v>| [ㄌㄡˊ](ㄌㄡˊ.md) | [艛](艛.md) |  | lóu | [名]
甲板上建有樓室的船隻。《梁書．卷一一．呂僧珍傳》：「悉取檀溪材竹，裝為艛艦，葺之以茅。」《新五代史．卷七三．四夷附錄》：「世宗自乾寧軍御龍舟，艛船戰艦，首尾數十里，至益津關，降其守將。」 |</v>
      </c>
    </row>
    <row r="5124" spans="1:44" hidden="1">
      <c r="A5124" s="1" t="s">
        <v>8112</v>
      </c>
      <c r="C5124" s="1">
        <v>1</v>
      </c>
      <c r="D5124" s="1" t="str">
        <f>"03302"</f>
        <v>03302</v>
      </c>
      <c r="E5124" s="1" t="s">
        <v>96</v>
      </c>
      <c r="F5124" s="1">
        <v>20</v>
      </c>
      <c r="G5124" s="1">
        <v>11</v>
      </c>
      <c r="H5124" s="1">
        <v>0</v>
      </c>
      <c r="I5124" s="1" t="s">
        <v>8081</v>
      </c>
      <c r="K5124" s="1" t="str">
        <f t="shared" si="326"/>
        <v>ㄌ</v>
      </c>
      <c r="L5124" s="1" t="str">
        <f t="shared" si="327"/>
        <v>ㄡ</v>
      </c>
      <c r="N5124" s="3" t="s">
        <v>30575</v>
      </c>
      <c r="O5124" s="3"/>
      <c r="P5124" s="1" t="s">
        <v>20</v>
      </c>
      <c r="R5124" s="1" t="s">
        <v>8082</v>
      </c>
      <c r="V5124" s="1" t="s">
        <v>8113</v>
      </c>
      <c r="AR5124" s="1" t="str">
        <f t="shared" si="328"/>
        <v>| [ㄌㄡˊ](ㄌㄡˊ.md) | [鞻](鞻.md) |  | lóu | 參見「鞮鞻」條。 |</v>
      </c>
    </row>
    <row r="5125" spans="1:44" hidden="1">
      <c r="A5125" s="1" t="s">
        <v>8114</v>
      </c>
      <c r="C5125" s="1">
        <v>1</v>
      </c>
      <c r="D5125" s="1" t="str">
        <f>"03303"</f>
        <v>03303</v>
      </c>
      <c r="E5125" s="1" t="s">
        <v>283</v>
      </c>
      <c r="F5125" s="1">
        <v>21</v>
      </c>
      <c r="G5125" s="1">
        <v>11</v>
      </c>
      <c r="H5125" s="1">
        <v>0</v>
      </c>
      <c r="I5125" s="1" t="s">
        <v>8081</v>
      </c>
      <c r="K5125" s="1" t="str">
        <f t="shared" si="326"/>
        <v>ㄌ</v>
      </c>
      <c r="L5125" s="1" t="str">
        <f t="shared" si="327"/>
        <v>ㄡ</v>
      </c>
      <c r="N5125" s="3" t="s">
        <v>30575</v>
      </c>
      <c r="O5125" s="3"/>
      <c r="P5125" s="1" t="s">
        <v>20</v>
      </c>
      <c r="R5125" s="1" t="s">
        <v>8082</v>
      </c>
      <c r="V5125" s="1" t="s">
        <v>5595</v>
      </c>
      <c r="AR5125" s="1" t="str">
        <f t="shared" si="328"/>
        <v>| [ㄌㄡˊ](ㄌㄡˊ.md) | [髏](髏.md) |  | lóu | 參見「髑髏」條。 |</v>
      </c>
    </row>
    <row r="5126" spans="1:44" hidden="1">
      <c r="A5126" s="1" t="s">
        <v>8115</v>
      </c>
      <c r="C5126" s="1">
        <v>1</v>
      </c>
      <c r="D5126" s="1" t="str">
        <f>"03304"</f>
        <v>03304</v>
      </c>
      <c r="E5126" s="1" t="s">
        <v>132</v>
      </c>
      <c r="F5126" s="1">
        <v>14</v>
      </c>
      <c r="G5126" s="1">
        <v>11</v>
      </c>
      <c r="H5126" s="1">
        <v>0</v>
      </c>
      <c r="I5126" s="1" t="s">
        <v>8116</v>
      </c>
      <c r="K5126" s="1" t="str">
        <f t="shared" si="326"/>
        <v>ㄌ</v>
      </c>
      <c r="L5126" s="1" t="str">
        <f t="shared" si="327"/>
        <v>ㄡ</v>
      </c>
      <c r="N5126" s="3" t="s">
        <v>30576</v>
      </c>
      <c r="O5126" s="3"/>
      <c r="P5126" s="1" t="s">
        <v>20</v>
      </c>
      <c r="R5126" s="1" t="s">
        <v>8117</v>
      </c>
      <c r="V5126" s="1" t="s">
        <v>8118</v>
      </c>
      <c r="AR5126" s="1" t="str">
        <f t="shared" si="328"/>
        <v>| [ㄌㄡˇ](ㄌㄡˇ.md) | [塿](塿.md) |  | lǒu | [名]
1.塵土。清．王念孫《廣雅疏證．卷九下．釋地》：「塿，土也。」
2.小土丘。漢．揚雄《方言》卷一三：「冢，……自關而東謂之丘，小者謂之塿。」 |</v>
      </c>
    </row>
    <row r="5127" spans="1:44" hidden="1">
      <c r="A5127" s="1" t="s">
        <v>8075</v>
      </c>
      <c r="C5127" s="1">
        <v>1</v>
      </c>
      <c r="D5127" s="1" t="str">
        <f>"03305"</f>
        <v>03305</v>
      </c>
      <c r="E5127" s="1" t="s">
        <v>24</v>
      </c>
      <c r="F5127" s="1">
        <v>14</v>
      </c>
      <c r="G5127" s="1">
        <v>11</v>
      </c>
      <c r="H5127" s="1">
        <v>3</v>
      </c>
      <c r="I5127" s="1" t="s">
        <v>8116</v>
      </c>
      <c r="K5127" s="1" t="str">
        <f t="shared" si="326"/>
        <v>ㄌ</v>
      </c>
      <c r="L5127" s="1" t="str">
        <f t="shared" si="327"/>
        <v>ㄡ</v>
      </c>
      <c r="N5127" s="3" t="s">
        <v>30576</v>
      </c>
      <c r="O5127" s="3"/>
      <c r="P5127" s="1" t="s">
        <v>20</v>
      </c>
      <c r="R5127" s="1" t="s">
        <v>8117</v>
      </c>
      <c r="V5127" s="1" t="s">
        <v>8119</v>
      </c>
      <c r="W5127" s="1" t="s">
        <v>8120</v>
      </c>
      <c r="AR5127" s="1" t="str">
        <f t="shared" si="328"/>
        <v>| [ㄌㄡˇ](ㄌㄡˇ.md) | [摟](摟.md) |  | lǒu | [動]
用手臂攏抱著。《孟子．告子下》：「踰東家牆而摟其處子。」《紅樓夢》第四〇回：「寶玉早滾到賈母懷裡，賈母笑的摟著寶玉叫『心肝』。」 |</v>
      </c>
    </row>
    <row r="5128" spans="1:44" hidden="1">
      <c r="A5128" s="1" t="s">
        <v>8121</v>
      </c>
      <c r="C5128" s="1">
        <v>1</v>
      </c>
      <c r="D5128" s="1" t="str">
        <f>"03306"</f>
        <v>03306</v>
      </c>
      <c r="E5128" s="1" t="s">
        <v>190</v>
      </c>
      <c r="F5128" s="1">
        <v>14</v>
      </c>
      <c r="G5128" s="1">
        <v>11</v>
      </c>
      <c r="H5128" s="1">
        <v>0</v>
      </c>
      <c r="I5128" s="1" t="s">
        <v>8116</v>
      </c>
      <c r="K5128" s="1" t="str">
        <f t="shared" si="326"/>
        <v>ㄌ</v>
      </c>
      <c r="L5128" s="1" t="str">
        <f t="shared" si="327"/>
        <v>ㄡ</v>
      </c>
      <c r="N5128" s="3" t="s">
        <v>30576</v>
      </c>
      <c r="O5128" s="3"/>
      <c r="P5128" s="1" t="s">
        <v>20</v>
      </c>
      <c r="R5128" s="1" t="s">
        <v>8117</v>
      </c>
      <c r="V5128" s="1" t="s">
        <v>8122</v>
      </c>
      <c r="AR5128" s="1" t="str">
        <f t="shared" si="328"/>
        <v>| [ㄌㄡˇ](ㄌㄡˇ.md) | [嶁](嶁.md) |  | lǒu | [名]
山峰。《後漢書．卷六〇上．馬融傳》：「輕訬趬悍，廋疏嶁領，犯歷嵩巒。」章懷太子注引《字林》曰：「嶁，山顛也。」 |</v>
      </c>
    </row>
    <row r="5129" spans="1:44" hidden="1">
      <c r="A5129" s="1" t="s">
        <v>8123</v>
      </c>
      <c r="C5129" s="1">
        <v>1</v>
      </c>
      <c r="D5129" s="1" t="str">
        <f>"03307"</f>
        <v>03307</v>
      </c>
      <c r="E5129" s="1" t="s">
        <v>49</v>
      </c>
      <c r="F5129" s="1">
        <v>17</v>
      </c>
      <c r="G5129" s="1">
        <v>11</v>
      </c>
      <c r="H5129" s="1">
        <v>0</v>
      </c>
      <c r="I5129" s="1" t="s">
        <v>8116</v>
      </c>
      <c r="K5129" s="1" t="str">
        <f t="shared" si="326"/>
        <v>ㄌ</v>
      </c>
      <c r="L5129" s="1" t="str">
        <f t="shared" si="327"/>
        <v>ㄡ</v>
      </c>
      <c r="N5129" s="3" t="s">
        <v>30576</v>
      </c>
      <c r="O5129" s="3"/>
      <c r="P5129" s="1" t="s">
        <v>20</v>
      </c>
      <c r="R5129" s="1" t="s">
        <v>8117</v>
      </c>
      <c r="V5129" s="1" t="s">
        <v>8124</v>
      </c>
      <c r="AR5129" s="1" t="str">
        <f t="shared" si="328"/>
        <v>| [ㄌㄡˇ](ㄌㄡˇ.md) | [簍](簍.md) |  | lǒu | [名]
1.用竹或荊條等編成有孔的盛物器具。如：「魚簍」、「字紙簍」。唐．唐彥謙〈蟹〉詩：「扳拖網取賽多，篾簍挑將水邊貨。」
2.量詞。計算簍裝物的單位。如：「一簍香蕉」、「兩簍橘子」。 |</v>
      </c>
    </row>
    <row r="5130" spans="1:44" hidden="1">
      <c r="A5130" s="1" t="s">
        <v>8096</v>
      </c>
      <c r="C5130" s="1">
        <v>1</v>
      </c>
      <c r="D5130" s="1" t="str">
        <f>"03314"</f>
        <v>03314</v>
      </c>
      <c r="E5130" s="1" t="s">
        <v>28</v>
      </c>
      <c r="F5130" s="1">
        <v>14</v>
      </c>
      <c r="G5130" s="1">
        <v>11</v>
      </c>
      <c r="H5130" s="1">
        <v>2</v>
      </c>
      <c r="I5130" s="1" t="s">
        <v>8141</v>
      </c>
      <c r="J5130" s="2" t="s">
        <v>30559</v>
      </c>
      <c r="K5130" s="1" t="s">
        <v>30567</v>
      </c>
      <c r="L5130" s="1" t="s">
        <v>24547</v>
      </c>
      <c r="P5130" s="1" t="s">
        <v>20</v>
      </c>
      <c r="R5130" s="1" t="s">
        <v>8142</v>
      </c>
      <c r="V5130" s="1" t="s">
        <v>8143</v>
      </c>
      <c r="W5130" s="1" t="s">
        <v>8144</v>
      </c>
      <c r="AR5130" s="1" t="str">
        <f t="shared" si="328"/>
        <v>| [˙ㄌㄡ](˙ㄌㄡ.md) | [嘍](嘍.md) |  | lou | [助]
用於句尾，表示提醒注意或語氣完結。如：「下雨嘍！」、「放學嘍！」、「下班嘍！」、「散會嘍！」、「吃飯嘍！」 |</v>
      </c>
    </row>
    <row r="5131" spans="1:44" hidden="1">
      <c r="A5131" s="1" t="s">
        <v>8207</v>
      </c>
      <c r="C5131" s="1">
        <v>1</v>
      </c>
      <c r="D5131" s="1" t="str">
        <f>"03343"</f>
        <v>03343</v>
      </c>
      <c r="E5131" s="1" t="s">
        <v>129</v>
      </c>
      <c r="F5131" s="1">
        <v>17</v>
      </c>
      <c r="G5131" s="1">
        <v>14</v>
      </c>
      <c r="H5131" s="1">
        <v>0</v>
      </c>
      <c r="I5131" s="1" t="s">
        <v>8208</v>
      </c>
      <c r="K5131" s="1" t="str">
        <f t="shared" ref="K5131:K5162" si="329">LEFT(I5131, 1)</f>
        <v>ㄌ</v>
      </c>
      <c r="L5131" s="1" t="str">
        <f t="shared" ref="L5131:L5162" si="330">MID(I5131, 2, 1)</f>
        <v>ㄢ</v>
      </c>
      <c r="N5131" s="3" t="s">
        <v>30574</v>
      </c>
      <c r="O5131" s="3"/>
      <c r="P5131" s="1" t="s">
        <v>20</v>
      </c>
      <c r="R5131" s="1" t="s">
        <v>8209</v>
      </c>
      <c r="V5131" s="1" t="s">
        <v>8210</v>
      </c>
      <c r="AR5131" s="1" t="str">
        <f t="shared" si="328"/>
        <v>| [ㄌㄢˋ](ㄌㄢˋ.md) | [濫](濫.md) |  | làn | [動]
1.水漫溢。《孟子．滕文公下》：「水逆行，氾濫於中國。」
2.過度、失當。如：「寧缺勿濫」。《左傳．僖公二十三年》：「刑之不濫，君之明也。」《論語．衛靈公》：「君子固窮，小人窮斯濫矣。」
[副]
輕率、隨意。如：「濫罰」、「濫賞」、「濫用職權」。《紅樓夢》第二八回：「這麼濫飲，易醉而無味。」
[名]
誇大不實的辭句。《文選．陸機．文賦》：「或清虛以婉約，每除煩而去濫。」 |</v>
      </c>
    </row>
    <row r="5132" spans="1:44" hidden="1">
      <c r="A5132" s="1" t="s">
        <v>8195</v>
      </c>
      <c r="C5132" s="1">
        <v>1</v>
      </c>
      <c r="D5132" s="1" t="str">
        <f>"03344"</f>
        <v>03344</v>
      </c>
      <c r="E5132" s="1" t="s">
        <v>336</v>
      </c>
      <c r="F5132" s="1">
        <v>18</v>
      </c>
      <c r="G5132" s="1">
        <v>14</v>
      </c>
      <c r="H5132" s="1">
        <v>1</v>
      </c>
      <c r="I5132" s="1" t="s">
        <v>8208</v>
      </c>
      <c r="K5132" s="1" t="str">
        <f t="shared" si="329"/>
        <v>ㄌ</v>
      </c>
      <c r="L5132" s="1" t="str">
        <f t="shared" si="330"/>
        <v>ㄢ</v>
      </c>
      <c r="N5132" s="3" t="s">
        <v>30574</v>
      </c>
      <c r="O5132" s="3"/>
      <c r="P5132" s="1" t="s">
        <v>20</v>
      </c>
      <c r="R5132" s="1" t="s">
        <v>8209</v>
      </c>
      <c r="V5132" s="1" t="s">
        <v>8211</v>
      </c>
      <c r="W5132" s="1" t="s">
        <v>8212</v>
      </c>
      <c r="AR5132" s="1" t="str">
        <f t="shared" si="328"/>
        <v>| [ㄌㄢˋ](ㄌㄢˋ.md) | [爁](爁.md) |  | làn | [動]
1.焚燒。《集韻．上聲．敢韻》：「爁，火焚也。」明．賈仲名《蕭淑蘭》第二折：「將韓王殿忽然火爁，藍橋驛平空水渰。」
2.燒烤。元．王實甫《西廂記．第二本．楔子》：「這些時吃菜饅頭委實口淡，五千人也不索炙𤍿煎爁。」 |</v>
      </c>
    </row>
    <row r="5133" spans="1:44" hidden="1">
      <c r="A5133" s="1" t="s">
        <v>8156</v>
      </c>
      <c r="C5133" s="1">
        <v>1</v>
      </c>
      <c r="D5133" s="1" t="str">
        <f>"03345"</f>
        <v>03345</v>
      </c>
      <c r="E5133" s="1" t="s">
        <v>129</v>
      </c>
      <c r="F5133" s="1">
        <v>20</v>
      </c>
      <c r="G5133" s="1">
        <v>17</v>
      </c>
      <c r="H5133" s="1">
        <v>2</v>
      </c>
      <c r="I5133" s="1" t="s">
        <v>8208</v>
      </c>
      <c r="K5133" s="1" t="str">
        <f t="shared" si="329"/>
        <v>ㄌ</v>
      </c>
      <c r="L5133" s="1" t="str">
        <f t="shared" si="330"/>
        <v>ㄢ</v>
      </c>
      <c r="N5133" s="3" t="s">
        <v>30574</v>
      </c>
      <c r="O5133" s="3"/>
      <c r="P5133" s="1" t="s">
        <v>20</v>
      </c>
      <c r="R5133" s="1" t="s">
        <v>8209</v>
      </c>
      <c r="V5133" s="1" t="s">
        <v>8213</v>
      </c>
      <c r="W5133" s="1" t="s">
        <v>8214</v>
      </c>
      <c r="AR5133" s="1" t="str">
        <f t="shared" si="328"/>
        <v>| [ㄌㄢˋ](ㄌㄢˋ.md) | [瀾](瀾.md) |  | làn | [名]_x000D_
洗米水。清．王念孫《廣雅疏證．卷八上．釋器》：「泔、潘，瀾也。」疏證：「淅米汁也。」_x000D_
[形]_x000D_
參見「瀾漫」、「瀾汗」條。 |</v>
      </c>
    </row>
    <row r="5134" spans="1:44" hidden="1">
      <c r="A5134" s="1" t="s">
        <v>8215</v>
      </c>
      <c r="C5134" s="1">
        <v>1</v>
      </c>
      <c r="D5134" s="1" t="str">
        <f>"03346"</f>
        <v>03346</v>
      </c>
      <c r="E5134" s="1" t="s">
        <v>336</v>
      </c>
      <c r="F5134" s="1">
        <v>21</v>
      </c>
      <c r="G5134" s="1">
        <v>17</v>
      </c>
      <c r="H5134" s="1">
        <v>0</v>
      </c>
      <c r="I5134" s="1" t="s">
        <v>8208</v>
      </c>
      <c r="K5134" s="1" t="str">
        <f t="shared" si="329"/>
        <v>ㄌ</v>
      </c>
      <c r="L5134" s="1" t="str">
        <f t="shared" si="330"/>
        <v>ㄢ</v>
      </c>
      <c r="N5134" s="3" t="s">
        <v>30574</v>
      </c>
      <c r="O5134" s="3"/>
      <c r="P5134" s="1" t="s">
        <v>20</v>
      </c>
      <c r="R5134" s="1" t="s">
        <v>8209</v>
      </c>
      <c r="V5134" s="1" t="s">
        <v>8216</v>
      </c>
      <c r="AR5134" s="1" t="str">
        <f t="shared" si="328"/>
        <v>| [ㄌㄢˋ](ㄌㄢˋ.md) | [爛](爛.md) |  | làn | [形]
1.食物熟透而鬆軟。《呂氏春秋．孝行覽．本味》：「故久而不弊，熟而不爛，甘而不噥。」《紅樓夢》第一一回：「說有好吃的要幾樣，還要很爛的。」
2.腐敗的、破舊的。如：「爛蘋果」、「破銅爛鐵」。
3.光明、顯著。如：「燦爛」、「絢爛」。《詩經．鄭風．女曰雞鳴》：「子興視夜，明星有爛。」《漢書．卷九九．王莽傳上》：「四年于茲，功德爛然。」
4.紊亂沒頭緒。如：「爛攤子」、「一本爛帳」。
5.形容人不好、差勁。如：「你這個人太爛了！」
[副]
極、過分。如：「爛熟」、「爛醉」。《儒林外史》第三回：「你是個爛忠厚沒用的人，所以這些話我不得不教導你。」
[動]
1.腐敗。如：「潰爛」、「海枯石爛」。《文選．陳琳．檄吳將校部曲文》：「十萬之師，土崩魚爛。」
2.燒灼。《漢書．卷六八．霍光傳》：「曲突徙薪亡恩澤，燋頭爛額為上客耶？」 |</v>
      </c>
    </row>
    <row r="5135" spans="1:44" hidden="1">
      <c r="A5135" s="1" t="s">
        <v>8145</v>
      </c>
      <c r="C5135" s="1">
        <v>1</v>
      </c>
      <c r="D5135" s="1" t="str">
        <f>"03315"</f>
        <v>03315</v>
      </c>
      <c r="E5135" s="1" t="s">
        <v>250</v>
      </c>
      <c r="F5135" s="1">
        <v>11</v>
      </c>
      <c r="G5135" s="1">
        <v>8</v>
      </c>
      <c r="H5135" s="1">
        <v>1</v>
      </c>
      <c r="I5135" s="1" t="s">
        <v>8146</v>
      </c>
      <c r="K5135" s="1" t="str">
        <f t="shared" si="329"/>
        <v>ㄌ</v>
      </c>
      <c r="L5135" s="1" t="str">
        <f t="shared" si="330"/>
        <v>ㄢ</v>
      </c>
      <c r="N5135" s="3" t="s">
        <v>30575</v>
      </c>
      <c r="O5135" s="3"/>
      <c r="P5135" s="1" t="s">
        <v>20</v>
      </c>
      <c r="R5135" s="1" t="s">
        <v>8147</v>
      </c>
      <c r="V5135" s="1" t="s">
        <v>8148</v>
      </c>
      <c r="W5135" s="1" t="s">
        <v>8149</v>
      </c>
      <c r="AR5135" s="1" t="str">
        <f t="shared" si="328"/>
        <v>| [ㄌㄢˊ](ㄌㄢˊ.md) | [惏](惏.md) |  | lán | 同「婪」。 |</v>
      </c>
    </row>
    <row r="5136" spans="1:44" hidden="1">
      <c r="A5136" s="1" t="s">
        <v>8150</v>
      </c>
      <c r="C5136" s="1">
        <v>1</v>
      </c>
      <c r="D5136" s="1" t="str">
        <f>"03316"</f>
        <v>03316</v>
      </c>
      <c r="E5136" s="1" t="s">
        <v>534</v>
      </c>
      <c r="F5136" s="1">
        <v>11</v>
      </c>
      <c r="G5136" s="1">
        <v>8</v>
      </c>
      <c r="H5136" s="1">
        <v>0</v>
      </c>
      <c r="I5136" s="1" t="s">
        <v>8146</v>
      </c>
      <c r="K5136" s="1" t="str">
        <f t="shared" si="329"/>
        <v>ㄌ</v>
      </c>
      <c r="L5136" s="1" t="str">
        <f t="shared" si="330"/>
        <v>ㄢ</v>
      </c>
      <c r="N5136" s="3" t="s">
        <v>30575</v>
      </c>
      <c r="O5136" s="3"/>
      <c r="P5136" s="1" t="s">
        <v>20</v>
      </c>
      <c r="R5136" s="1" t="s">
        <v>8147</v>
      </c>
      <c r="V5136" s="1" t="s">
        <v>8151</v>
      </c>
      <c r="AR5136" s="1" t="str">
        <f t="shared" si="328"/>
        <v>| [ㄌㄢˊ](ㄌㄢˊ.md) | [婪](婪.md) |  | lán | [動]
貪愛。《說文解字．女部》：「婪，貪也。」如：「貪婪」。唐．韓愈〈月蝕〉詩：「婪酣大肚遭一飽，飢腸徹死無由鳴。」 |</v>
      </c>
    </row>
    <row r="5137" spans="1:44" hidden="1">
      <c r="A5137" s="1" t="s">
        <v>8152</v>
      </c>
      <c r="C5137" s="1">
        <v>1</v>
      </c>
      <c r="D5137" s="1" t="str">
        <f>"03317"</f>
        <v>03317</v>
      </c>
      <c r="E5137" s="1" t="s">
        <v>190</v>
      </c>
      <c r="F5137" s="1">
        <v>12</v>
      </c>
      <c r="G5137" s="1">
        <v>9</v>
      </c>
      <c r="H5137" s="1">
        <v>0</v>
      </c>
      <c r="I5137" s="1" t="s">
        <v>8146</v>
      </c>
      <c r="K5137" s="1" t="str">
        <f t="shared" si="329"/>
        <v>ㄌ</v>
      </c>
      <c r="L5137" s="1" t="str">
        <f t="shared" si="330"/>
        <v>ㄢ</v>
      </c>
      <c r="N5137" s="3" t="s">
        <v>30575</v>
      </c>
      <c r="O5137" s="3"/>
      <c r="P5137" s="1" t="s">
        <v>20</v>
      </c>
      <c r="R5137" s="1" t="s">
        <v>8147</v>
      </c>
      <c r="V5137" s="1" t="s">
        <v>8153</v>
      </c>
      <c r="AR5137" s="1" t="str">
        <f t="shared" si="328"/>
        <v>| [ㄌㄢˊ](ㄌㄢˊ.md) | [嵐](嵐.md) |  | lán | [名]
山中的霧氣。如：「山嵐」、「曉嵐」。元．張養浩〈水仙子．一江煙水照晴嵐〉曲：「一江煙水照晴嵐，兩岸人家接畫簷。」 |</v>
      </c>
    </row>
    <row r="5138" spans="1:44" hidden="1">
      <c r="A5138" s="1" t="s">
        <v>8154</v>
      </c>
      <c r="C5138" s="1">
        <v>1</v>
      </c>
      <c r="D5138" s="1" t="str">
        <f>"03318"</f>
        <v>03318</v>
      </c>
      <c r="E5138" s="1" t="s">
        <v>709</v>
      </c>
      <c r="F5138" s="1">
        <v>17</v>
      </c>
      <c r="G5138" s="1">
        <v>9</v>
      </c>
      <c r="H5138" s="1">
        <v>0</v>
      </c>
      <c r="I5138" s="1" t="s">
        <v>8146</v>
      </c>
      <c r="K5138" s="1" t="str">
        <f t="shared" si="329"/>
        <v>ㄌ</v>
      </c>
      <c r="L5138" s="1" t="str">
        <f t="shared" si="330"/>
        <v>ㄢ</v>
      </c>
      <c r="N5138" s="3" t="s">
        <v>30575</v>
      </c>
      <c r="O5138" s="3"/>
      <c r="P5138" s="1" t="s">
        <v>20</v>
      </c>
      <c r="R5138" s="1" t="s">
        <v>8147</v>
      </c>
      <c r="V5138" s="1" t="s">
        <v>8155</v>
      </c>
      <c r="AR5138" s="1" t="str">
        <f t="shared" si="328"/>
        <v>| [ㄌㄢˊ](ㄌㄢˊ.md) | [闌](闌.md) |  | lán | [名]_x000D_
1.門前的遮欄。《說文解字．門部》：「闌，門遮也。」漢．王充《論衡．謝短》：「挂蘆索於戶上，畫虎於門闌。」_x000D_
2.欄杆。五代十國．李煜〈浪淘沙．簾外雨潺潺〉詞：「獨自暮憑闌，無限江山，別時容易見時難。」_x000D_
3.手鐲類的飾品。明．陶宗儀《元氏掖庭侈政》：「一人獻柳金簡、翠腕闌。」_x000D_
4.姓。如隋代有闌榮。_x000D_
[動]_x000D_
遮止、阻隔。《馬王堆漢墓帛書．戰國縱橫家書．朱己謂魏王章》：「晉國去梁千里，有河山以闌之。」_x000D_
[形]_x000D_
1.將盡、晚。常用於酒和時間。如：「酒闌」、「歲闌」。唐．杜甫〈羌村〉詩三首之一：「夜闌更秉燭，相對如夢寐。」_x000D_
2.衰落。南朝宋．鮑照〈園中秋散〉詩：「流枕商聲苦，騷殺年志闌。」唐．白居易〈詠懷詩〉：「白髮滿頭歸得也，詩情酒興漸闌珊。」_x000D_
[副]_x000D_
擅自、妄。《漢書．卷一〇．成帝紀》：「走入橫城門，闌入尚方掖門。」顏師古注引應劭曰：「無符籍妄入宮曰闌。」 |</v>
      </c>
    </row>
    <row r="5139" spans="1:44" hidden="1">
      <c r="A5139" s="1" t="s">
        <v>8156</v>
      </c>
      <c r="C5139" s="1">
        <v>1</v>
      </c>
      <c r="D5139" s="1" t="str">
        <f>"03319"</f>
        <v>03319</v>
      </c>
      <c r="E5139" s="1" t="s">
        <v>129</v>
      </c>
      <c r="F5139" s="1">
        <v>20</v>
      </c>
      <c r="G5139" s="1">
        <v>17</v>
      </c>
      <c r="H5139" s="1">
        <v>1</v>
      </c>
      <c r="I5139" s="1" t="s">
        <v>8146</v>
      </c>
      <c r="K5139" s="1" t="str">
        <f t="shared" si="329"/>
        <v>ㄌ</v>
      </c>
      <c r="L5139" s="1" t="str">
        <f t="shared" si="330"/>
        <v>ㄢ</v>
      </c>
      <c r="N5139" s="3" t="s">
        <v>30575</v>
      </c>
      <c r="O5139" s="3"/>
      <c r="P5139" s="1" t="s">
        <v>20</v>
      </c>
      <c r="R5139" s="1" t="s">
        <v>8147</v>
      </c>
      <c r="V5139" s="1" t="s">
        <v>8157</v>
      </c>
      <c r="W5139" s="1" t="s">
        <v>8158</v>
      </c>
      <c r="AR5139" s="1" t="str">
        <f t="shared" si="328"/>
        <v>| [ㄌㄢˊ](ㄌㄢˊ.md) | [瀾](瀾.md) |  | lán | [名]
大波浪。《說文解字．水部》：「瀾，大波為瀾。」如：「力挽狂瀾」、「波瀾壯闊」。《孟子．盡心上》：「觀水有術，必觀其瀾。」漢．趙岐．注：「瀾，水中大波也。」 |</v>
      </c>
    </row>
    <row r="5140" spans="1:44" hidden="1">
      <c r="A5140" s="1" t="s">
        <v>8159</v>
      </c>
      <c r="C5140" s="1">
        <v>1</v>
      </c>
      <c r="D5140" s="1" t="str">
        <f>"03320"</f>
        <v>03320</v>
      </c>
      <c r="E5140" s="1" t="s">
        <v>24</v>
      </c>
      <c r="F5140" s="1">
        <v>20</v>
      </c>
      <c r="G5140" s="1">
        <v>17</v>
      </c>
      <c r="H5140" s="1">
        <v>0</v>
      </c>
      <c r="I5140" s="1" t="s">
        <v>8146</v>
      </c>
      <c r="K5140" s="1" t="str">
        <f t="shared" si="329"/>
        <v>ㄌ</v>
      </c>
      <c r="L5140" s="1" t="str">
        <f t="shared" si="330"/>
        <v>ㄢ</v>
      </c>
      <c r="N5140" s="3" t="s">
        <v>30575</v>
      </c>
      <c r="O5140" s="3"/>
      <c r="P5140" s="1" t="s">
        <v>20</v>
      </c>
      <c r="R5140" s="1" t="s">
        <v>8147</v>
      </c>
      <c r="V5140" s="1" t="s">
        <v>8160</v>
      </c>
      <c r="AR5140" s="1" t="str">
        <f t="shared" si="328"/>
        <v>| [ㄌㄢˊ](ㄌㄢˊ.md) | [攔](攔.md) |  | lán | [動]
阻擋。如：「攔阻」、「攔截」。《水滸傳》第三回：「店主人那裡敢出來攔他。」
[介]
當、對著。如：「攔腰一抱」。《紅樓夢》第八一回：「倒像背地裡有人把我攔頭一棍，疼的眼睛前頭漆黑。」 |</v>
      </c>
    </row>
    <row r="5141" spans="1:44" hidden="1">
      <c r="A5141" s="1" t="s">
        <v>8161</v>
      </c>
      <c r="C5141" s="1">
        <v>1</v>
      </c>
      <c r="D5141" s="1" t="str">
        <f>"03321"</f>
        <v>03321</v>
      </c>
      <c r="E5141" s="1" t="s">
        <v>670</v>
      </c>
      <c r="F5141" s="1">
        <v>21</v>
      </c>
      <c r="G5141" s="1">
        <v>17</v>
      </c>
      <c r="H5141" s="1">
        <v>0</v>
      </c>
      <c r="I5141" s="1" t="s">
        <v>8146</v>
      </c>
      <c r="K5141" s="1" t="str">
        <f t="shared" si="329"/>
        <v>ㄌ</v>
      </c>
      <c r="L5141" s="1" t="str">
        <f t="shared" si="330"/>
        <v>ㄢ</v>
      </c>
      <c r="N5141" s="3" t="s">
        <v>30575</v>
      </c>
      <c r="O5141" s="3"/>
      <c r="P5141" s="1" t="s">
        <v>20</v>
      </c>
      <c r="R5141" s="1" t="s">
        <v>8147</v>
      </c>
      <c r="V5141" s="1" t="s">
        <v>8162</v>
      </c>
      <c r="AR5141" s="1" t="str">
        <f t="shared" si="328"/>
        <v>| [ㄌㄢˊ](ㄌㄢˊ.md) | [斕](斕.md) |  | lán | [形]
顏色多彩、錯雜。《集韻．平聲．山韻》：「斕，斒斕，色不純。」如：「斑斕」。 |</v>
      </c>
    </row>
    <row r="5142" spans="1:44" hidden="1">
      <c r="A5142" s="1" t="s">
        <v>8163</v>
      </c>
      <c r="C5142" s="1">
        <v>1</v>
      </c>
      <c r="D5142" s="1" t="str">
        <f>"03322"</f>
        <v>03322</v>
      </c>
      <c r="E5142" s="1" t="s">
        <v>142</v>
      </c>
      <c r="F5142" s="1">
        <v>21</v>
      </c>
      <c r="G5142" s="1">
        <v>17</v>
      </c>
      <c r="H5142" s="1">
        <v>0</v>
      </c>
      <c r="I5142" s="1" t="s">
        <v>8146</v>
      </c>
      <c r="K5142" s="1" t="str">
        <f t="shared" si="329"/>
        <v>ㄌ</v>
      </c>
      <c r="L5142" s="1" t="str">
        <f t="shared" si="330"/>
        <v>ㄢ</v>
      </c>
      <c r="N5142" s="3" t="s">
        <v>30575</v>
      </c>
      <c r="O5142" s="3"/>
      <c r="P5142" s="1" t="s">
        <v>20</v>
      </c>
      <c r="R5142" s="1" t="s">
        <v>8147</v>
      </c>
      <c r="V5142" s="1" t="s">
        <v>8164</v>
      </c>
      <c r="AR5142" s="1" t="str">
        <f t="shared" si="328"/>
        <v>| [ㄌㄢˊ](ㄌㄢˊ.md) | [瓓](瓓.md) |  | lán | 參見「瓓玕」條。 |</v>
      </c>
    </row>
    <row r="5143" spans="1:44" hidden="1">
      <c r="A5143" s="1" t="s">
        <v>8165</v>
      </c>
      <c r="C5143" s="1">
        <v>1</v>
      </c>
      <c r="D5143" s="1" t="str">
        <f>"03323"</f>
        <v>03323</v>
      </c>
      <c r="E5143" s="1" t="s">
        <v>139</v>
      </c>
      <c r="F5143" s="1">
        <v>21</v>
      </c>
      <c r="G5143" s="1">
        <v>17</v>
      </c>
      <c r="H5143" s="1">
        <v>0</v>
      </c>
      <c r="I5143" s="1" t="s">
        <v>8146</v>
      </c>
      <c r="K5143" s="1" t="str">
        <f t="shared" si="329"/>
        <v>ㄌ</v>
      </c>
      <c r="L5143" s="1" t="str">
        <f t="shared" si="330"/>
        <v>ㄢ</v>
      </c>
      <c r="N5143" s="3" t="s">
        <v>30575</v>
      </c>
      <c r="O5143" s="3"/>
      <c r="P5143" s="1" t="s">
        <v>20</v>
      </c>
      <c r="R5143" s="1" t="s">
        <v>8147</v>
      </c>
      <c r="V5143" s="1" t="s">
        <v>8166</v>
      </c>
      <c r="AR5143" s="1" t="str">
        <f t="shared" si="328"/>
        <v>| [ㄌㄢˊ](ㄌㄢˊ.md) | [欄](欄.md) |  | lán | [名]
1.豢養家畜所圍的圈牢。如：「牛欄」、「羊欄」。《晉書．卷九四．隱逸傳．董京傳》：「魚懸獸欄，鄙夫知之。」
2.闌干。五代十國南唐．李煜〈虞美人．春花秋月何時了〉詞：「雕欄玉砌應猶在，只是朱顏改。」
3.表格中區分項目的格子。如：「備註欄」、「性別欄」、「薪資欄」。
4.書刊報章依內容、性質區分的版面。如：「廣告欄」、「專欄」。 |</v>
      </c>
    </row>
    <row r="5144" spans="1:44" hidden="1">
      <c r="A5144" s="1" t="s">
        <v>8167</v>
      </c>
      <c r="C5144" s="1">
        <v>1</v>
      </c>
      <c r="D5144" s="1" t="str">
        <f>"03324"</f>
        <v>03324</v>
      </c>
      <c r="E5144" s="1" t="s">
        <v>37</v>
      </c>
      <c r="F5144" s="1">
        <v>21</v>
      </c>
      <c r="G5144" s="1">
        <v>17</v>
      </c>
      <c r="H5144" s="1">
        <v>0</v>
      </c>
      <c r="I5144" s="1" t="s">
        <v>8146</v>
      </c>
      <c r="K5144" s="1" t="str">
        <f t="shared" si="329"/>
        <v>ㄌ</v>
      </c>
      <c r="L5144" s="1" t="str">
        <f t="shared" si="330"/>
        <v>ㄢ</v>
      </c>
      <c r="N5144" s="3" t="s">
        <v>30575</v>
      </c>
      <c r="O5144" s="3"/>
      <c r="P5144" s="1" t="s">
        <v>20</v>
      </c>
      <c r="R5144" s="1" t="s">
        <v>8147</v>
      </c>
      <c r="V5144" s="1" t="s">
        <v>8168</v>
      </c>
      <c r="AR5144" s="1" t="str">
        <f t="shared" si="328"/>
        <v>| [ㄌㄢˊ](ㄌㄢˊ.md) | [蘭](蘭.md) |  | lán | [名]
1.植物名：(1)蘭科蕙蘭屬，「建蘭」之古稱。參見「建蘭」條。(2)菊科蘭澤屬，「澤蘭」、「蘭草」之古稱。參見「澤蘭」條。《漢書．卷五七．司馬相如傳上》：「其東則有蕙圃，衡蘭芷若。」唐．顏師古．注：「蘭，即今所澤蘭也。」
2.姓。如漢代有蘭廣。 |</v>
      </c>
    </row>
    <row r="5145" spans="1:44" hidden="1">
      <c r="A5145" s="1" t="s">
        <v>8169</v>
      </c>
      <c r="C5145" s="1">
        <v>1</v>
      </c>
      <c r="D5145" s="1" t="str">
        <f>"03325"</f>
        <v>03325</v>
      </c>
      <c r="E5145" s="1" t="s">
        <v>340</v>
      </c>
      <c r="F5145" s="1">
        <v>23</v>
      </c>
      <c r="G5145" s="1">
        <v>17</v>
      </c>
      <c r="H5145" s="1">
        <v>0</v>
      </c>
      <c r="I5145" s="1" t="s">
        <v>8146</v>
      </c>
      <c r="K5145" s="1" t="str">
        <f t="shared" si="329"/>
        <v>ㄌ</v>
      </c>
      <c r="L5145" s="1" t="str">
        <f t="shared" si="330"/>
        <v>ㄢ</v>
      </c>
      <c r="N5145" s="3" t="s">
        <v>30575</v>
      </c>
      <c r="O5145" s="3"/>
      <c r="P5145" s="1" t="s">
        <v>20</v>
      </c>
      <c r="R5145" s="1" t="s">
        <v>8147</v>
      </c>
      <c r="V5145" s="1" t="s">
        <v>8170</v>
      </c>
      <c r="AR5145" s="1" t="str">
        <f t="shared" si="328"/>
        <v>| [ㄌㄢˊ](ㄌㄢˊ.md) | [襴](襴.md) |  | lán | [名]
舊時上衣和下裳相連的衣服。《集韻．平聲．寒韻》：「襴，衣與裳連。」元．王實甫《西廂記．第二本．第二折》：「烏紗小帽耀人明，白襴淨，角帶傲黃鞓。」 |</v>
      </c>
    </row>
    <row r="5146" spans="1:44" hidden="1">
      <c r="A5146" s="1" t="s">
        <v>8171</v>
      </c>
      <c r="C5146" s="1">
        <v>1</v>
      </c>
      <c r="D5146" s="1" t="str">
        <f>"03326"</f>
        <v>03326</v>
      </c>
      <c r="E5146" s="1" t="s">
        <v>49</v>
      </c>
      <c r="F5146" s="1">
        <v>23</v>
      </c>
      <c r="G5146" s="1">
        <v>17</v>
      </c>
      <c r="H5146" s="1">
        <v>0</v>
      </c>
      <c r="I5146" s="1" t="s">
        <v>8146</v>
      </c>
      <c r="K5146" s="1" t="str">
        <f t="shared" si="329"/>
        <v>ㄌ</v>
      </c>
      <c r="L5146" s="1" t="str">
        <f t="shared" si="330"/>
        <v>ㄢ</v>
      </c>
      <c r="N5146" s="3" t="s">
        <v>30575</v>
      </c>
      <c r="O5146" s="3"/>
      <c r="P5146" s="1" t="s">
        <v>20</v>
      </c>
      <c r="R5146" s="1" t="s">
        <v>8147</v>
      </c>
      <c r="V5146" s="1" t="s">
        <v>8172</v>
      </c>
      <c r="AR5146" s="1" t="str">
        <f t="shared" si="328"/>
        <v>| [ㄌㄢˊ](ㄌㄢˊ.md) | [籣](籣.md) |  | lán | [名]
裝弓箭的袋子。《說文解字．竹部》：「籣，所以盛弩矢，人所負也。」《漢書．卷七六．韓延壽傳》：「被甲鞮鞪，抱弩負籣。」唐．顏師古．注：「籣，盛弩矢者也，其形如木桶。」 |</v>
      </c>
    </row>
    <row r="5147" spans="1:44" hidden="1">
      <c r="A5147" s="1" t="s">
        <v>8173</v>
      </c>
      <c r="C5147" s="1">
        <v>1</v>
      </c>
      <c r="D5147" s="1" t="str">
        <f>"03327"</f>
        <v>03327</v>
      </c>
      <c r="E5147" s="1" t="s">
        <v>331</v>
      </c>
      <c r="F5147" s="1">
        <v>24</v>
      </c>
      <c r="G5147" s="1">
        <v>17</v>
      </c>
      <c r="H5147" s="1">
        <v>0</v>
      </c>
      <c r="I5147" s="1" t="s">
        <v>8146</v>
      </c>
      <c r="K5147" s="1" t="str">
        <f t="shared" si="329"/>
        <v>ㄌ</v>
      </c>
      <c r="L5147" s="1" t="str">
        <f t="shared" si="330"/>
        <v>ㄢ</v>
      </c>
      <c r="N5147" s="3" t="s">
        <v>30575</v>
      </c>
      <c r="O5147" s="3"/>
      <c r="P5147" s="1" t="s">
        <v>20</v>
      </c>
      <c r="R5147" s="1" t="s">
        <v>8147</v>
      </c>
      <c r="V5147" s="1" t="s">
        <v>8174</v>
      </c>
      <c r="AR5147" s="1" t="str">
        <f t="shared" si="328"/>
        <v>| [ㄌㄢˊ](ㄌㄢˊ.md) | [讕](讕.md) |  | lán | [動]
1.抵賴、不承認。《說文解字．言部》：「讕，抵讕也。」清．段玉裁．注：「今俗語云抵賴也。」《漢書．卷四七．文三王傳．梁懷王劉揖傳》：「王陽病抵讕，置辭驕嫚。」《新唐書．卷九四．張亮傳》：「亮讕辭曰：『囚等畏死見誣耳。』」
2.誣陷。《玉篇．言部》：「讕，誣言相加被也。」漢．董仲舒《春秋繁露．深察名號》：「則是非之情，不可以相讕已。」王福清．注：「讕，誣言相加。」 |</v>
      </c>
    </row>
    <row r="5148" spans="1:44" hidden="1">
      <c r="A5148" s="1" t="s">
        <v>8175</v>
      </c>
      <c r="C5148" s="1">
        <v>1</v>
      </c>
      <c r="D5148" s="1" t="str">
        <f>"03328"</f>
        <v>03328</v>
      </c>
      <c r="E5148" s="1" t="s">
        <v>55</v>
      </c>
      <c r="F5148" s="1">
        <v>25</v>
      </c>
      <c r="G5148" s="1">
        <v>17</v>
      </c>
      <c r="H5148" s="1">
        <v>0</v>
      </c>
      <c r="I5148" s="1" t="s">
        <v>8146</v>
      </c>
      <c r="K5148" s="1" t="str">
        <f t="shared" si="329"/>
        <v>ㄌ</v>
      </c>
      <c r="L5148" s="1" t="str">
        <f t="shared" si="330"/>
        <v>ㄢ</v>
      </c>
      <c r="N5148" s="3" t="s">
        <v>30575</v>
      </c>
      <c r="O5148" s="3"/>
      <c r="P5148" s="1" t="s">
        <v>20</v>
      </c>
      <c r="R5148" s="1" t="s">
        <v>8147</v>
      </c>
      <c r="V5148" s="1" t="s">
        <v>8176</v>
      </c>
      <c r="AR5148" s="1" t="str">
        <f t="shared" si="328"/>
        <v>| [ㄌㄢˊ](ㄌㄢˊ.md) | [鑭](鑭.md) |  | lán | [名]
（lanthanum，La）化學元素。原子序57。稀土金屬元素之一。為銀白色的軟金屬，在空氣中氧化極快，與鐵的合金可製造火石，其化合物亦具利用價值，可為火箭推進劑及還原劑使用。 |</v>
      </c>
    </row>
    <row r="5149" spans="1:44" hidden="1">
      <c r="A5149" s="1" t="s">
        <v>8177</v>
      </c>
      <c r="C5149" s="1">
        <v>1</v>
      </c>
      <c r="D5149" s="1" t="str">
        <f>"03329"</f>
        <v>03329</v>
      </c>
      <c r="E5149" s="1" t="s">
        <v>1703</v>
      </c>
      <c r="F5149" s="1">
        <v>18</v>
      </c>
      <c r="G5149" s="1">
        <v>14</v>
      </c>
      <c r="H5149" s="1">
        <v>0</v>
      </c>
      <c r="I5149" s="1" t="s">
        <v>8146</v>
      </c>
      <c r="K5149" s="1" t="str">
        <f t="shared" si="329"/>
        <v>ㄌ</v>
      </c>
      <c r="L5149" s="1" t="str">
        <f t="shared" si="330"/>
        <v>ㄢ</v>
      </c>
      <c r="N5149" s="3" t="s">
        <v>30575</v>
      </c>
      <c r="O5149" s="3"/>
      <c r="P5149" s="1" t="s">
        <v>20</v>
      </c>
      <c r="R5149" s="1" t="s">
        <v>8147</v>
      </c>
      <c r="V5149" s="1" t="s">
        <v>8178</v>
      </c>
      <c r="AR5149" s="1" t="str">
        <f t="shared" si="328"/>
        <v>| [ㄌㄢˊ](ㄌㄢˊ.md) | [㲯](㲯.md) |  | lán | 參見「㲯毿」條。 |</v>
      </c>
    </row>
    <row r="5150" spans="1:44" hidden="1">
      <c r="A5150" s="1" t="s">
        <v>8179</v>
      </c>
      <c r="C5150" s="1">
        <v>1</v>
      </c>
      <c r="D5150" s="1" t="str">
        <f>"03330"</f>
        <v>03330</v>
      </c>
      <c r="E5150" s="1" t="s">
        <v>37</v>
      </c>
      <c r="F5150" s="1">
        <v>18</v>
      </c>
      <c r="G5150" s="1">
        <v>14</v>
      </c>
      <c r="H5150" s="1">
        <v>0</v>
      </c>
      <c r="I5150" s="1" t="s">
        <v>8146</v>
      </c>
      <c r="K5150" s="1" t="str">
        <f t="shared" si="329"/>
        <v>ㄌ</v>
      </c>
      <c r="L5150" s="1" t="str">
        <f t="shared" si="330"/>
        <v>ㄢ</v>
      </c>
      <c r="N5150" s="3" t="s">
        <v>30575</v>
      </c>
      <c r="O5150" s="3"/>
      <c r="P5150" s="1" t="s">
        <v>20</v>
      </c>
      <c r="R5150" s="1" t="s">
        <v>8147</v>
      </c>
      <c r="V5150" s="1" t="s">
        <v>8180</v>
      </c>
      <c r="AR5150" s="1" t="str">
        <f t="shared" si="328"/>
        <v>| [ㄌㄢˊ](ㄌㄢˊ.md) | [藍](藍.md) |  | lán | [名]
1.深青色。像晴空般的顏色。如：「蔚藍」、「湛藍」。唐．白居易〈憶江南詞〉三首之一：「日出江花紅勝火，春來江水綠如藍。」
2.植物名：(1)馬鞭草科海州常山屬，「大青」之古稱，參見「大青」條。(2)十字花科菘藍屬。一至二年生草本，基生葉蓮座狀，長橢圓形，花序圓錐狀，花黃色。短角果扁橢圓形。全草入藥，亦供提取藍色染料。(3)蓼科蓼屬，一年生草本。葉互生，卵形或橢圓形，穗狀花序長二至五公分，花被五深裂，淡紅色。瘦果寬卵形。可作染料。也稱為「蓼藍」。
3.姓。如戰國時有藍諸。
[形]
1.藍色的。如：「藍天白雲」。唐．李嘉祐〈登秦嶺〉詩：「漢闕青門遠，高山藍水流。」
2.參見「藍縷」條。 |</v>
      </c>
    </row>
    <row r="5151" spans="1:44" hidden="1">
      <c r="A5151" s="1" t="s">
        <v>8181</v>
      </c>
      <c r="C5151" s="1">
        <v>1</v>
      </c>
      <c r="D5151" s="1" t="str">
        <f>"03331"</f>
        <v>03331</v>
      </c>
      <c r="E5151" s="1" t="s">
        <v>169</v>
      </c>
      <c r="F5151" s="1">
        <v>19</v>
      </c>
      <c r="G5151" s="1">
        <v>14</v>
      </c>
      <c r="H5151" s="1">
        <v>2</v>
      </c>
      <c r="I5151" s="1" t="s">
        <v>8146</v>
      </c>
      <c r="K5151" s="1" t="str">
        <f t="shared" si="329"/>
        <v>ㄌ</v>
      </c>
      <c r="L5151" s="1" t="str">
        <f t="shared" si="330"/>
        <v>ㄢ</v>
      </c>
      <c r="N5151" s="3" t="s">
        <v>30575</v>
      </c>
      <c r="O5151" s="3"/>
      <c r="P5151" s="1" t="s">
        <v>110</v>
      </c>
      <c r="R5151" s="1" t="s">
        <v>8147</v>
      </c>
      <c r="V5151" s="1" t="s">
        <v>111</v>
      </c>
      <c r="W5151" s="1" t="s">
        <v>8182</v>
      </c>
      <c r="AR5151" s="1" t="str">
        <f t="shared" si="328"/>
        <v>| [ㄌㄢˊ](ㄌㄢˊ.md) | [礛](礛.md) |  | lán | (一)之又音。 |</v>
      </c>
    </row>
    <row r="5152" spans="1:44" hidden="1">
      <c r="A5152" s="1" t="s">
        <v>8183</v>
      </c>
      <c r="C5152" s="1">
        <v>1</v>
      </c>
      <c r="D5152" s="1" t="str">
        <f>"03332"</f>
        <v>03332</v>
      </c>
      <c r="E5152" s="1" t="s">
        <v>340</v>
      </c>
      <c r="F5152" s="1">
        <v>20</v>
      </c>
      <c r="G5152" s="1">
        <v>14</v>
      </c>
      <c r="H5152" s="1">
        <v>0</v>
      </c>
      <c r="I5152" s="1" t="s">
        <v>8146</v>
      </c>
      <c r="K5152" s="1" t="str">
        <f t="shared" si="329"/>
        <v>ㄌ</v>
      </c>
      <c r="L5152" s="1" t="str">
        <f t="shared" si="330"/>
        <v>ㄢ</v>
      </c>
      <c r="N5152" s="3" t="s">
        <v>30575</v>
      </c>
      <c r="O5152" s="3"/>
      <c r="P5152" s="1" t="s">
        <v>20</v>
      </c>
      <c r="R5152" s="1" t="s">
        <v>8147</v>
      </c>
      <c r="V5152" s="1" t="s">
        <v>8184</v>
      </c>
      <c r="AR5152" s="1" t="str">
        <f t="shared" si="328"/>
        <v>| [ㄌㄢˊ](ㄌㄢˊ.md) | [襤](襤.md) |  | lán | [名]
沒有邊飾的衣服。《說文解字．衣部》：「襤，無緣衣也。」
[形]
破舊不堪的。參見「襤褸」條。 |</v>
      </c>
    </row>
    <row r="5153" spans="1:44" hidden="1">
      <c r="A5153" s="1" t="s">
        <v>8185</v>
      </c>
      <c r="C5153" s="1">
        <v>1</v>
      </c>
      <c r="D5153" s="1" t="str">
        <f>"03333"</f>
        <v>03333</v>
      </c>
      <c r="E5153" s="1" t="s">
        <v>49</v>
      </c>
      <c r="F5153" s="1">
        <v>20</v>
      </c>
      <c r="G5153" s="1">
        <v>14</v>
      </c>
      <c r="H5153" s="1">
        <v>0</v>
      </c>
      <c r="I5153" s="1" t="s">
        <v>8146</v>
      </c>
      <c r="K5153" s="1" t="str">
        <f t="shared" si="329"/>
        <v>ㄌ</v>
      </c>
      <c r="L5153" s="1" t="str">
        <f t="shared" si="330"/>
        <v>ㄢ</v>
      </c>
      <c r="N5153" s="3" t="s">
        <v>30575</v>
      </c>
      <c r="O5153" s="3"/>
      <c r="P5153" s="1" t="s">
        <v>20</v>
      </c>
      <c r="R5153" s="1" t="s">
        <v>8147</v>
      </c>
      <c r="V5153" s="1" t="s">
        <v>8186</v>
      </c>
      <c r="AR5153" s="1" t="str">
        <f t="shared" si="328"/>
        <v>| [ㄌㄢˊ](ㄌㄢˊ.md) | [籃](籃.md) |  | lán | [名]
1.藤、竹等物所編成的盛物器。如：「竹籃」、「菜籃」。《紅樓夢》第五九回：「他卻一行走，一行編花籃。」
2.裝置在籃球架上供作投球目標的帶網鐵圈。如：「籃圈」、「投籃」、「進籃」。
3.量詞。計算籃裝物的單位。如：「一籃水果」。 |</v>
      </c>
    </row>
    <row r="5154" spans="1:44" hidden="1">
      <c r="A5154" s="1" t="s">
        <v>8187</v>
      </c>
      <c r="C5154" s="1">
        <v>1</v>
      </c>
      <c r="D5154" s="1" t="str">
        <f>"03334"</f>
        <v>03334</v>
      </c>
      <c r="E5154" s="1" t="s">
        <v>1078</v>
      </c>
      <c r="F5154" s="1">
        <v>24</v>
      </c>
      <c r="G5154" s="1">
        <v>14</v>
      </c>
      <c r="H5154" s="1">
        <v>0</v>
      </c>
      <c r="I5154" s="1" t="s">
        <v>8146</v>
      </c>
      <c r="K5154" s="1" t="str">
        <f t="shared" si="329"/>
        <v>ㄌ</v>
      </c>
      <c r="L5154" s="1" t="str">
        <f t="shared" si="330"/>
        <v>ㄢ</v>
      </c>
      <c r="N5154" s="3" t="s">
        <v>30575</v>
      </c>
      <c r="O5154" s="3"/>
      <c r="P5154" s="1" t="s">
        <v>20</v>
      </c>
      <c r="R5154" s="1" t="s">
        <v>8147</v>
      </c>
      <c r="V5154" s="1" t="s">
        <v>8188</v>
      </c>
      <c r="AR5154" s="1" t="str">
        <f t="shared" si="328"/>
        <v>| [ㄌㄢˊ](ㄌㄢˊ.md) | [䰐](䰐.md) |  | lán | 參見「䰐鬖」條。 |</v>
      </c>
    </row>
    <row r="5155" spans="1:44" hidden="1">
      <c r="A5155" s="1" t="s">
        <v>8189</v>
      </c>
      <c r="C5155" s="1">
        <v>1</v>
      </c>
      <c r="D5155" s="1" t="str">
        <f>"03335"</f>
        <v>03335</v>
      </c>
      <c r="E5155" s="1" t="s">
        <v>118</v>
      </c>
      <c r="F5155" s="1">
        <v>14</v>
      </c>
      <c r="G5155" s="1">
        <v>9</v>
      </c>
      <c r="H5155" s="1">
        <v>0</v>
      </c>
      <c r="I5155" s="1" t="s">
        <v>8190</v>
      </c>
      <c r="K5155" s="1" t="str">
        <f t="shared" si="329"/>
        <v>ㄌ</v>
      </c>
      <c r="L5155" s="1" t="str">
        <f t="shared" si="330"/>
        <v>ㄢ</v>
      </c>
      <c r="N5155" s="3" t="s">
        <v>30576</v>
      </c>
      <c r="O5155" s="3"/>
      <c r="P5155" s="1" t="s">
        <v>20</v>
      </c>
      <c r="R5155" s="1" t="s">
        <v>8191</v>
      </c>
      <c r="V5155" s="1" t="s">
        <v>8192</v>
      </c>
      <c r="AR5155" s="1" t="str">
        <f t="shared" si="328"/>
        <v>| [ㄌㄢˇ](ㄌㄢˇ.md) | [罱](罱.md) |  | lǎn | [名]
一種捕魚的網狀器具。《玉篇．网部》：「罱，夾魚具。」《集韻．上聲．感韻》：「罱，取魚具。」
[動]
撈取。如：「農夫罱河泥來肥田。」 |</v>
      </c>
    </row>
    <row r="5156" spans="1:44" hidden="1">
      <c r="A5156" s="1" t="s">
        <v>8193</v>
      </c>
      <c r="C5156" s="1">
        <v>1</v>
      </c>
      <c r="D5156" s="1" t="str">
        <f>"03336"</f>
        <v>03336</v>
      </c>
      <c r="E5156" s="1" t="s">
        <v>132</v>
      </c>
      <c r="F5156" s="1">
        <v>16</v>
      </c>
      <c r="G5156" s="1">
        <v>13</v>
      </c>
      <c r="H5156" s="1">
        <v>0</v>
      </c>
      <c r="I5156" s="1" t="s">
        <v>8190</v>
      </c>
      <c r="K5156" s="1" t="str">
        <f t="shared" si="329"/>
        <v>ㄌ</v>
      </c>
      <c r="L5156" s="1" t="str">
        <f t="shared" si="330"/>
        <v>ㄢ</v>
      </c>
      <c r="N5156" s="3" t="s">
        <v>30576</v>
      </c>
      <c r="O5156" s="3"/>
      <c r="P5156" s="1" t="s">
        <v>20</v>
      </c>
      <c r="R5156" s="1" t="s">
        <v>8191</v>
      </c>
      <c r="V5156" s="1" t="s">
        <v>8194</v>
      </c>
      <c r="AR5156" s="1" t="str">
        <f t="shared" si="328"/>
        <v>| [ㄌㄢˇ](ㄌㄢˇ.md) | [壈](壈.md) |  | lǎn | [形]
坎壈：不平、不順利。《集韻．上聲．感韻》：「壈，坎壈，不平。一曰失志也。」《楚辭．劉向．九歎．怨思》：「惟鬱鬱之憂毒兮，志坎壈而不違。」漢．王逸．注：「坎壈，不遇貌。」 |</v>
      </c>
    </row>
    <row r="5157" spans="1:44" hidden="1">
      <c r="A5157" s="1" t="s">
        <v>8195</v>
      </c>
      <c r="C5157" s="1">
        <v>1</v>
      </c>
      <c r="D5157" s="1" t="str">
        <f>"03337"</f>
        <v>03337</v>
      </c>
      <c r="E5157" s="1" t="s">
        <v>336</v>
      </c>
      <c r="F5157" s="1">
        <v>18</v>
      </c>
      <c r="G5157" s="1">
        <v>14</v>
      </c>
      <c r="H5157" s="1">
        <v>2</v>
      </c>
      <c r="I5157" s="1" t="s">
        <v>8190</v>
      </c>
      <c r="K5157" s="1" t="str">
        <f t="shared" si="329"/>
        <v>ㄌ</v>
      </c>
      <c r="L5157" s="1" t="str">
        <f t="shared" si="330"/>
        <v>ㄢ</v>
      </c>
      <c r="N5157" s="3" t="s">
        <v>30576</v>
      </c>
      <c r="O5157" s="3"/>
      <c r="P5157" s="1" t="s">
        <v>110</v>
      </c>
      <c r="R5157" s="1" t="s">
        <v>8191</v>
      </c>
      <c r="V5157" s="1" t="s">
        <v>111</v>
      </c>
      <c r="W5157" s="1" t="s">
        <v>8196</v>
      </c>
      <c r="AR5157" s="1" t="str">
        <f t="shared" si="328"/>
        <v>| [ㄌㄢˇ](ㄌㄢˇ.md) | [爁](爁.md) |  | lǎn | (一)之又音。 |</v>
      </c>
    </row>
    <row r="5158" spans="1:44" hidden="1">
      <c r="A5158" s="1" t="s">
        <v>8197</v>
      </c>
      <c r="C5158" s="1">
        <v>1</v>
      </c>
      <c r="D5158" s="1" t="str">
        <f>"03338"</f>
        <v>03338</v>
      </c>
      <c r="E5158" s="1" t="s">
        <v>2233</v>
      </c>
      <c r="F5158" s="1">
        <v>21</v>
      </c>
      <c r="G5158" s="1">
        <v>14</v>
      </c>
      <c r="H5158" s="1">
        <v>0</v>
      </c>
      <c r="I5158" s="1" t="s">
        <v>8190</v>
      </c>
      <c r="K5158" s="1" t="str">
        <f t="shared" si="329"/>
        <v>ㄌ</v>
      </c>
      <c r="L5158" s="1" t="str">
        <f t="shared" si="330"/>
        <v>ㄢ</v>
      </c>
      <c r="N5158" s="3" t="s">
        <v>30576</v>
      </c>
      <c r="O5158" s="3"/>
      <c r="P5158" s="1" t="s">
        <v>20</v>
      </c>
      <c r="R5158" s="1" t="s">
        <v>8191</v>
      </c>
      <c r="V5158" s="1" t="s">
        <v>8198</v>
      </c>
      <c r="AR5158" s="1" t="str">
        <f t="shared" si="328"/>
        <v>| [ㄌㄢˇ](ㄌㄢˇ.md) | [覽](覽.md) |  | lǎn | [動]
1.觀看、眺望。如：「觀覽」、「遊覽」、「一覽無遺」。《楚辭．屈原．離騷》：「覽椒蘭其若茲兮，又況揭車與江離。」
2.閱讀。如：「閱覽」、「瀏覽」、「博覽群書」。《韓非子．外儲說左上》：「人主覽其文而忘有用。」
3.接受、採取。《戰國策．齊策一》：「大王覽其說，而不察其至實。」漢．高誘．注：「覽，受。」 |</v>
      </c>
    </row>
    <row r="5159" spans="1:44" hidden="1">
      <c r="A5159" s="1" t="s">
        <v>8199</v>
      </c>
      <c r="C5159" s="1">
        <v>1</v>
      </c>
      <c r="D5159" s="1" t="str">
        <f>"03339"</f>
        <v>03339</v>
      </c>
      <c r="E5159" s="1" t="s">
        <v>24</v>
      </c>
      <c r="F5159" s="1">
        <v>24</v>
      </c>
      <c r="G5159" s="1">
        <v>21</v>
      </c>
      <c r="H5159" s="1">
        <v>0</v>
      </c>
      <c r="I5159" s="1" t="s">
        <v>8190</v>
      </c>
      <c r="K5159" s="1" t="str">
        <f t="shared" si="329"/>
        <v>ㄌ</v>
      </c>
      <c r="L5159" s="1" t="str">
        <f t="shared" si="330"/>
        <v>ㄢ</v>
      </c>
      <c r="N5159" s="3" t="s">
        <v>30576</v>
      </c>
      <c r="O5159" s="3"/>
      <c r="P5159" s="1" t="s">
        <v>20</v>
      </c>
      <c r="R5159" s="1" t="s">
        <v>8191</v>
      </c>
      <c r="V5159" s="1" t="s">
        <v>8200</v>
      </c>
      <c r="AR5159" s="1" t="str">
        <f t="shared" si="328"/>
        <v>| [ㄌㄢˇ](ㄌㄢˇ.md) | [攬](攬.md) |  | lǎn | [動]_x000D_
1.把持。如：「獨攬」、「包攬」。唐．李白〈愁陽春賦〉：「若使春光可攬而不滅兮，吾欲贈天涯之佳人。」_x000D_
2.引進、招徠。如：「延攬人才」、「招攬生意」。_x000D_
3.採摘、採取。《楚辭．屈原．離騷》：「朝搴阰之木蘭兮，夕攬洲之宿莽。」漢．王逸．注：「攬，采也。」_x000D_
4.提、牽。如：「攬裙」、「攬轡」。《文選．古詩十九首．明月何皎皎》：「憂愁不能寐，攬衣起徘徊。」 |</v>
      </c>
    </row>
    <row r="5160" spans="1:44" hidden="1">
      <c r="A5160" s="1" t="s">
        <v>8201</v>
      </c>
      <c r="C5160" s="1">
        <v>1</v>
      </c>
      <c r="D5160" s="1" t="str">
        <f>"03340"</f>
        <v>03340</v>
      </c>
      <c r="E5160" s="1" t="s">
        <v>139</v>
      </c>
      <c r="F5160" s="1">
        <v>25</v>
      </c>
      <c r="G5160" s="1">
        <v>21</v>
      </c>
      <c r="H5160" s="1">
        <v>0</v>
      </c>
      <c r="I5160" s="1" t="s">
        <v>8190</v>
      </c>
      <c r="K5160" s="1" t="str">
        <f t="shared" si="329"/>
        <v>ㄌ</v>
      </c>
      <c r="L5160" s="1" t="str">
        <f t="shared" si="330"/>
        <v>ㄢ</v>
      </c>
      <c r="N5160" s="3" t="s">
        <v>30576</v>
      </c>
      <c r="O5160" s="3"/>
      <c r="P5160" s="1" t="s">
        <v>20</v>
      </c>
      <c r="R5160" s="1" t="s">
        <v>8191</v>
      </c>
      <c r="V5160" s="1" t="s">
        <v>8202</v>
      </c>
      <c r="AR5160" s="1" t="str">
        <f t="shared" si="328"/>
        <v>| [ㄌㄢˇ](ㄌㄢˇ.md) | [欖](欖.md) |  | lǎn | 參見「橄欖」條。 |</v>
      </c>
    </row>
    <row r="5161" spans="1:44" hidden="1">
      <c r="A5161" s="1" t="s">
        <v>8203</v>
      </c>
      <c r="C5161" s="1">
        <v>1</v>
      </c>
      <c r="D5161" s="1" t="str">
        <f>"03341"</f>
        <v>03341</v>
      </c>
      <c r="E5161" s="1" t="s">
        <v>725</v>
      </c>
      <c r="F5161" s="1">
        <v>27</v>
      </c>
      <c r="G5161" s="1">
        <v>21</v>
      </c>
      <c r="H5161" s="1">
        <v>0</v>
      </c>
      <c r="I5161" s="1" t="s">
        <v>8190</v>
      </c>
      <c r="K5161" s="1" t="str">
        <f t="shared" si="329"/>
        <v>ㄌ</v>
      </c>
      <c r="L5161" s="1" t="str">
        <f t="shared" si="330"/>
        <v>ㄢ</v>
      </c>
      <c r="N5161" s="3" t="s">
        <v>30576</v>
      </c>
      <c r="O5161" s="3"/>
      <c r="P5161" s="1" t="s">
        <v>20</v>
      </c>
      <c r="R5161" s="1" t="s">
        <v>8191</v>
      </c>
      <c r="V5161" s="1" t="s">
        <v>8204</v>
      </c>
      <c r="AR5161" s="1" t="str">
        <f t="shared" si="328"/>
        <v>| [ㄌㄢˇ](ㄌㄢˇ.md) | [纜](纜.md) |  | lǎn | [名]
1.繫船用的繩索。《文選．謝靈運．鄰里相送方山詩》：「解纜及流潮，懷舊不能發。」唐．李善．注：「纜，維船索也。」
2.由許多細股絞扭而成的粗繩或繩狀物。如：「纜繩」、「電纜」、「鋼纜」。
[動]
繫、綁。元．王實甫《西廂記．第一本．第一折》：「竹索纜浮橋，水上蒼龍偃。」《水滸傳》第一五回：「籬外高懸沽酒旆，柳陰閑纜釣魚船。」 |</v>
      </c>
    </row>
    <row r="5162" spans="1:44" hidden="1">
      <c r="A5162" s="1" t="s">
        <v>8205</v>
      </c>
      <c r="C5162" s="1">
        <v>1</v>
      </c>
      <c r="D5162" s="1" t="str">
        <f>"03342"</f>
        <v>03342</v>
      </c>
      <c r="E5162" s="1" t="s">
        <v>250</v>
      </c>
      <c r="F5162" s="1">
        <v>19</v>
      </c>
      <c r="G5162" s="1">
        <v>16</v>
      </c>
      <c r="H5162" s="1">
        <v>0</v>
      </c>
      <c r="I5162" s="1" t="s">
        <v>8190</v>
      </c>
      <c r="K5162" s="1" t="str">
        <f t="shared" si="329"/>
        <v>ㄌ</v>
      </c>
      <c r="L5162" s="1" t="str">
        <f t="shared" si="330"/>
        <v>ㄢ</v>
      </c>
      <c r="N5162" s="3" t="s">
        <v>30576</v>
      </c>
      <c r="O5162" s="3"/>
      <c r="P5162" s="1" t="s">
        <v>20</v>
      </c>
      <c r="R5162" s="1" t="s">
        <v>8191</v>
      </c>
      <c r="V5162" s="1" t="s">
        <v>8206</v>
      </c>
      <c r="AR5162" s="1" t="str">
        <f t="shared" si="328"/>
        <v>| [ㄌㄢˇ](ㄌㄢˇ.md) | [懶](懶.md) |  | lǎn | [形]
1.怠惰、不勤勉。如：「懶人」、「懶惰」。
2.淡薄。宋．袁去華〈雨中花．江上西風晚〉詞：「向老來，功名心事懶，客裡愁難遣。」
[動]
懈怠。《南史．卷三三．范泰傳》：「吾少懶學問，年三十許，始有尚耳。」
[副]
不想、不願意。如：「好吃懶做」、「懶得跟你一般見識。」 |</v>
      </c>
    </row>
    <row r="5163" spans="1:44" hidden="1">
      <c r="A5163" s="1" t="s">
        <v>8225</v>
      </c>
      <c r="C5163" s="1">
        <v>1</v>
      </c>
      <c r="D5163" s="1" t="str">
        <f>"03368"</f>
        <v>03368</v>
      </c>
      <c r="E5163" s="1" t="s">
        <v>129</v>
      </c>
      <c r="F5163" s="1">
        <v>10</v>
      </c>
      <c r="G5163" s="1">
        <v>7</v>
      </c>
      <c r="H5163" s="1">
        <v>1</v>
      </c>
      <c r="I5163" s="1" t="s">
        <v>8268</v>
      </c>
      <c r="K5163" s="1" t="str">
        <f t="shared" ref="K5163:K5194" si="331">LEFT(I5163, 1)</f>
        <v>ㄌ</v>
      </c>
      <c r="L5163" s="1" t="str">
        <f t="shared" ref="L5163:L5194" si="332">MID(I5163, 2, 1)</f>
        <v>ㄤ</v>
      </c>
      <c r="N5163" s="3" t="s">
        <v>30574</v>
      </c>
      <c r="O5163" s="3"/>
      <c r="P5163" s="1" t="s">
        <v>20</v>
      </c>
      <c r="R5163" s="1" t="s">
        <v>8269</v>
      </c>
      <c r="V5163" s="1" t="s">
        <v>8270</v>
      </c>
      <c r="W5163" s="1" t="s">
        <v>8271</v>
      </c>
      <c r="AR5163" s="1" t="str">
        <f t="shared" si="328"/>
        <v>| [ㄌㄤˋ](ㄌㄤˋ.md) | [浪](浪.md) |  | làng | [名]
1.大的水波。如：「海浪」、「巨浪」。唐．李白〈行路難〉三首之一：「長風破浪會有時，直挂雲帆濟滄海。」
2.凡物因振動而起伏如浪的都稱為「浪」。如：「聲浪」、「麥浪」。唐．陸龜蒙〈樵人十詠〉一〇首之五：「爭推好林浪，共約歸時節。」
3.姓。如晉代有浪逢。
[形]
放縱不拘、放蕩不正。如：「浪蕩」、「浪子」。《初刻拍案驚奇》卷一九：「此婦堅貞之性，數年以來，老僧頗識之，彼是不肯作浪語的。」《西湖佳話．雷峰怪跡》：「心猿意馬馳千里，浪蝶狂蜂鬧五更。」
[副]
1.虛妄、空。如：「浪得虛名」。唐．李白〈嘲王歷陽不肯飲酒〉詩：「浪撫一張琴，虛栽五株柳。」
2.輕率、隨意。如：「浪費」。唐．張籍〈贈王祕書〉詩：「不曾浪出謁公侯，唯向花間水畔遊。」 |</v>
      </c>
    </row>
    <row r="5164" spans="1:44" hidden="1">
      <c r="A5164" s="1" t="s">
        <v>8272</v>
      </c>
      <c r="C5164" s="1">
        <v>1</v>
      </c>
      <c r="D5164" s="1" t="str">
        <f>"03369"</f>
        <v>03369</v>
      </c>
      <c r="E5164" s="1" t="s">
        <v>132</v>
      </c>
      <c r="F5164" s="1">
        <v>10</v>
      </c>
      <c r="G5164" s="1">
        <v>7</v>
      </c>
      <c r="H5164" s="1">
        <v>0</v>
      </c>
      <c r="I5164" s="1" t="s">
        <v>8268</v>
      </c>
      <c r="K5164" s="1" t="str">
        <f t="shared" si="331"/>
        <v>ㄌ</v>
      </c>
      <c r="L5164" s="1" t="str">
        <f t="shared" si="332"/>
        <v>ㄤ</v>
      </c>
      <c r="N5164" s="3" t="s">
        <v>30574</v>
      </c>
      <c r="O5164" s="3"/>
      <c r="P5164" s="1" t="s">
        <v>20</v>
      </c>
      <c r="R5164" s="1" t="s">
        <v>8269</v>
      </c>
      <c r="V5164" s="1" t="s">
        <v>8273</v>
      </c>
      <c r="AR5164" s="1" t="str">
        <f t="shared" si="328"/>
        <v>| [ㄌㄤˋ](ㄌㄤˋ.md) | [埌](埌.md) |  | làng | 參見「壙埌」條。 |</v>
      </c>
    </row>
    <row r="5165" spans="1:44" hidden="1">
      <c r="A5165" s="1" t="s">
        <v>8274</v>
      </c>
      <c r="C5165" s="1">
        <v>1</v>
      </c>
      <c r="D5165" s="1" t="str">
        <f>"03370"</f>
        <v>03370</v>
      </c>
      <c r="E5165" s="1" t="s">
        <v>37</v>
      </c>
      <c r="F5165" s="1">
        <v>14</v>
      </c>
      <c r="G5165" s="1">
        <v>10</v>
      </c>
      <c r="H5165" s="1">
        <v>0</v>
      </c>
      <c r="I5165" s="1" t="s">
        <v>8268</v>
      </c>
      <c r="K5165" s="1" t="str">
        <f t="shared" si="331"/>
        <v>ㄌ</v>
      </c>
      <c r="L5165" s="1" t="str">
        <f t="shared" si="332"/>
        <v>ㄤ</v>
      </c>
      <c r="N5165" s="3" t="s">
        <v>30574</v>
      </c>
      <c r="O5165" s="3"/>
      <c r="P5165" s="1" t="s">
        <v>20</v>
      </c>
      <c r="R5165" s="1" t="s">
        <v>8269</v>
      </c>
      <c r="V5165" s="1" t="s">
        <v>8275</v>
      </c>
      <c r="AR5165" s="1" t="str">
        <f t="shared" si="328"/>
        <v>| [ㄌㄤˋ](ㄌㄤˋ.md) | [蒗](蒗.md) |  | làng | 參見「蒗蕖」條。 |</v>
      </c>
    </row>
    <row r="5166" spans="1:44" hidden="1">
      <c r="A5166" s="1" t="s">
        <v>8251</v>
      </c>
      <c r="C5166" s="1">
        <v>1</v>
      </c>
      <c r="D5166" s="1" t="str">
        <f>"03371"</f>
        <v>03371</v>
      </c>
      <c r="E5166" s="1" t="s">
        <v>709</v>
      </c>
      <c r="F5166" s="1">
        <v>15</v>
      </c>
      <c r="G5166" s="1">
        <v>7</v>
      </c>
      <c r="H5166" s="1">
        <v>2</v>
      </c>
      <c r="I5166" s="1" t="s">
        <v>8268</v>
      </c>
      <c r="K5166" s="1" t="str">
        <f t="shared" si="331"/>
        <v>ㄌ</v>
      </c>
      <c r="L5166" s="1" t="str">
        <f t="shared" si="332"/>
        <v>ㄤ</v>
      </c>
      <c r="N5166" s="3" t="s">
        <v>30574</v>
      </c>
      <c r="O5166" s="3"/>
      <c r="P5166" s="1" t="s">
        <v>110</v>
      </c>
      <c r="R5166" s="1" t="s">
        <v>8269</v>
      </c>
      <c r="V5166" s="1" t="s">
        <v>111</v>
      </c>
      <c r="W5166" s="1" t="s">
        <v>8276</v>
      </c>
      <c r="AR5166" s="1" t="str">
        <f t="shared" si="328"/>
        <v>| [ㄌㄤˋ](ㄌㄤˋ.md) | [閬](閬.md) |  | làng | (一)之又音。 |</v>
      </c>
    </row>
    <row r="5167" spans="1:44" hidden="1">
      <c r="A5167" s="1" t="s">
        <v>8221</v>
      </c>
      <c r="C5167" s="1">
        <v>1</v>
      </c>
      <c r="D5167" s="1" t="str">
        <f>"03348"</f>
        <v>03348</v>
      </c>
      <c r="E5167" s="1" t="s">
        <v>256</v>
      </c>
      <c r="F5167" s="1">
        <v>9</v>
      </c>
      <c r="G5167" s="1">
        <v>6</v>
      </c>
      <c r="H5167" s="1">
        <v>0</v>
      </c>
      <c r="I5167" s="1" t="s">
        <v>8222</v>
      </c>
      <c r="K5167" s="1" t="str">
        <f t="shared" si="331"/>
        <v>ㄌ</v>
      </c>
      <c r="L5167" s="1" t="str">
        <f t="shared" si="332"/>
        <v>ㄤ</v>
      </c>
      <c r="N5167" s="3" t="s">
        <v>30575</v>
      </c>
      <c r="O5167" s="3"/>
      <c r="P5167" s="1" t="s">
        <v>20</v>
      </c>
      <c r="R5167" s="1" t="s">
        <v>8223</v>
      </c>
      <c r="V5167" s="1" t="s">
        <v>8224</v>
      </c>
      <c r="AR5167" s="1" t="str">
        <f t="shared" si="328"/>
        <v>| [ㄌㄤˊ](ㄌㄤˊ.md) | [郎](郎.md) |  | láng | [名]
1.秦漢時起，官多稱為「郎」。如：「侍郎」、「尚書郎」。《漢書．卷六八．霍光傳》：「時年十餘歲，任光為郎。」
2.對男子的美稱。如：「周郎」、「少年郎」。南朝宋．劉義慶《世說新語．雅量》：「王家諸郎，亦皆可嘉。」唐．李白〈橫江詞〉六首之五：「郎今欲渡緣何事？如此風波不可行。」
3.婦女對丈夫或情人的稱呼。如：「郎有情，妹有意。」南朝宋．劉義慶《世說新語．賢媛》：「生縱不得與郗郎同室，死寧不同穴！」唐．李白〈長干行〉：「郎騎竹馬來，遶床弄青梅。」
4.僕役對主人的稱呼。《新唐書．卷一二四．宋璟傳》：「君非其家奴，何郎之云？」
5.女子也稱為「郎」。如：「女郎」。
6.姓。如漢代有郎顗。 |</v>
      </c>
    </row>
    <row r="5168" spans="1:44" hidden="1">
      <c r="A5168" s="1" t="s">
        <v>8225</v>
      </c>
      <c r="C5168" s="1">
        <v>1</v>
      </c>
      <c r="D5168" s="1" t="str">
        <f>"03349"</f>
        <v>03349</v>
      </c>
      <c r="E5168" s="1" t="s">
        <v>129</v>
      </c>
      <c r="F5168" s="1">
        <v>10</v>
      </c>
      <c r="G5168" s="1">
        <v>7</v>
      </c>
      <c r="H5168" s="1">
        <v>2</v>
      </c>
      <c r="I5168" s="1" t="s">
        <v>8222</v>
      </c>
      <c r="K5168" s="1" t="str">
        <f t="shared" si="331"/>
        <v>ㄌ</v>
      </c>
      <c r="L5168" s="1" t="str">
        <f t="shared" si="332"/>
        <v>ㄤ</v>
      </c>
      <c r="N5168" s="3" t="s">
        <v>30575</v>
      </c>
      <c r="O5168" s="3"/>
      <c r="P5168" s="1" t="s">
        <v>20</v>
      </c>
      <c r="R5168" s="1" t="s">
        <v>8223</v>
      </c>
      <c r="V5168" s="1" t="s">
        <v>8226</v>
      </c>
      <c r="W5168" s="1" t="s">
        <v>8227</v>
      </c>
      <c r="AR5168" s="1" t="str">
        <f t="shared" si="328"/>
        <v>| [ㄌㄤˊ](ㄌㄤˊ.md) | [浪](浪.md) |  | láng | 參見「浪浪」、「滄浪」等條。 |</v>
      </c>
    </row>
    <row r="5169" spans="1:44" hidden="1">
      <c r="A5169" s="1" t="s">
        <v>8228</v>
      </c>
      <c r="C5169" s="1">
        <v>1</v>
      </c>
      <c r="D5169" s="1" t="str">
        <f>"03350"</f>
        <v>03350</v>
      </c>
      <c r="E5169" s="1" t="s">
        <v>198</v>
      </c>
      <c r="F5169" s="1">
        <v>10</v>
      </c>
      <c r="G5169" s="1">
        <v>7</v>
      </c>
      <c r="H5169" s="1">
        <v>0</v>
      </c>
      <c r="I5169" s="1" t="s">
        <v>8222</v>
      </c>
      <c r="K5169" s="1" t="str">
        <f t="shared" si="331"/>
        <v>ㄌ</v>
      </c>
      <c r="L5169" s="1" t="str">
        <f t="shared" si="332"/>
        <v>ㄤ</v>
      </c>
      <c r="N5169" s="3" t="s">
        <v>30575</v>
      </c>
      <c r="O5169" s="3"/>
      <c r="P5169" s="1" t="s">
        <v>20</v>
      </c>
      <c r="R5169" s="1" t="s">
        <v>8223</v>
      </c>
      <c r="V5169" s="1" t="s">
        <v>8229</v>
      </c>
      <c r="AR5169" s="1" t="str">
        <f t="shared" si="328"/>
        <v>| [ㄌㄤˊ](ㄌㄤˊ.md) | [狼](狼.md) |  | láng | [名]
1.動物名。哺乳綱食肉目犬科。形狀似犬，毛為青灰色，頭銳喙尖，後腳稍短。嗅覺靈敏，聽覺佳。性凶狠狡猾，晝伏夜出，會襲擊人畜。
2.中國古代的少數民族之一。約聚集在大陸地區廣東、廣西兩省的交界處。
3.星名。即天狼星。《史記．卷二七．天官書》：「其東有大星曰狼。」
4.姓。如春秋時晉國有狼瞫。 |</v>
      </c>
    </row>
    <row r="5170" spans="1:44" hidden="1">
      <c r="A5170" s="1" t="s">
        <v>8230</v>
      </c>
      <c r="C5170" s="1">
        <v>1</v>
      </c>
      <c r="D5170" s="1" t="str">
        <f>"03351"</f>
        <v>03351</v>
      </c>
      <c r="E5170" s="1" t="s">
        <v>142</v>
      </c>
      <c r="F5170" s="1">
        <v>11</v>
      </c>
      <c r="G5170" s="1">
        <v>7</v>
      </c>
      <c r="H5170" s="1">
        <v>0</v>
      </c>
      <c r="I5170" s="1" t="s">
        <v>8222</v>
      </c>
      <c r="K5170" s="1" t="str">
        <f t="shared" si="331"/>
        <v>ㄌ</v>
      </c>
      <c r="L5170" s="1" t="str">
        <f t="shared" si="332"/>
        <v>ㄤ</v>
      </c>
      <c r="N5170" s="3" t="s">
        <v>30575</v>
      </c>
      <c r="O5170" s="3"/>
      <c r="P5170" s="1" t="s">
        <v>20</v>
      </c>
      <c r="R5170" s="1" t="s">
        <v>8223</v>
      </c>
      <c r="V5170" s="1" t="s">
        <v>8231</v>
      </c>
      <c r="AR5170" s="1" t="str">
        <f t="shared" si="328"/>
        <v>| [ㄌㄤˊ](ㄌㄤˊ.md) | [琅](琅.md) |  | láng | [名]
1.參見「琅玕」條。
2.姓。如春秋時齊國有琅過。
[形]
潔白的。唐．皮日休〈奉和魯望白菊〉詩：「已過重陽半月天，琅華千點照寒煙。」 |</v>
      </c>
    </row>
    <row r="5171" spans="1:44" hidden="1">
      <c r="A5171" s="1" t="s">
        <v>8232</v>
      </c>
      <c r="C5171" s="1">
        <v>1</v>
      </c>
      <c r="D5171" s="1" t="str">
        <f>"03352"</f>
        <v>03352</v>
      </c>
      <c r="E5171" s="1" t="s">
        <v>139</v>
      </c>
      <c r="F5171" s="1">
        <v>11</v>
      </c>
      <c r="G5171" s="1">
        <v>7</v>
      </c>
      <c r="H5171" s="1">
        <v>0</v>
      </c>
      <c r="I5171" s="1" t="s">
        <v>8222</v>
      </c>
      <c r="K5171" s="1" t="str">
        <f t="shared" si="331"/>
        <v>ㄌ</v>
      </c>
      <c r="L5171" s="1" t="str">
        <f t="shared" si="332"/>
        <v>ㄤ</v>
      </c>
      <c r="N5171" s="3" t="s">
        <v>30575</v>
      </c>
      <c r="O5171" s="3"/>
      <c r="P5171" s="1" t="s">
        <v>20</v>
      </c>
      <c r="R5171" s="1" t="s">
        <v>8223</v>
      </c>
      <c r="V5171" s="1" t="s">
        <v>8233</v>
      </c>
      <c r="AR5171" s="1" t="str">
        <f t="shared" si="328"/>
        <v>| [ㄌㄤˊ](ㄌㄤˊ.md) | [桹](桹.md) |  | láng | [名]
漁人用來驅魚的長木棒。通「榔」。《文選．潘岳．西征賦》：「纖經連白，鳴桹厲響。」
[擬]
參見「桹桹」條。 |</v>
      </c>
    </row>
    <row r="5172" spans="1:44" hidden="1">
      <c r="A5172" s="1" t="s">
        <v>8234</v>
      </c>
      <c r="C5172" s="1">
        <v>1</v>
      </c>
      <c r="D5172" s="1" t="str">
        <f>"03353"</f>
        <v>03353</v>
      </c>
      <c r="E5172" s="1" t="s">
        <v>37</v>
      </c>
      <c r="F5172" s="1">
        <v>11</v>
      </c>
      <c r="G5172" s="1">
        <v>7</v>
      </c>
      <c r="H5172" s="1">
        <v>1</v>
      </c>
      <c r="I5172" s="1" t="s">
        <v>8222</v>
      </c>
      <c r="K5172" s="1" t="str">
        <f t="shared" si="331"/>
        <v>ㄌ</v>
      </c>
      <c r="L5172" s="1" t="str">
        <f t="shared" si="332"/>
        <v>ㄤ</v>
      </c>
      <c r="N5172" s="3" t="s">
        <v>30575</v>
      </c>
      <c r="O5172" s="3"/>
      <c r="P5172" s="1" t="s">
        <v>20</v>
      </c>
      <c r="R5172" s="1" t="s">
        <v>8223</v>
      </c>
      <c r="V5172" s="1" t="s">
        <v>8235</v>
      </c>
      <c r="W5172" s="1" t="s">
        <v>8236</v>
      </c>
      <c r="AR5172" s="1" t="str">
        <f t="shared" si="328"/>
        <v>| [ㄌㄤˊ](ㄌㄤˊ.md) | [莨](莨.md) |  | láng | [名]
一種草。莖葉皆粗硬，穗如粟，可採食。也稱為「莨尾」。 |</v>
      </c>
    </row>
    <row r="5173" spans="1:44" hidden="1">
      <c r="A5173" s="1" t="s">
        <v>8237</v>
      </c>
      <c r="C5173" s="1">
        <v>1</v>
      </c>
      <c r="D5173" s="1" t="str">
        <f>"03354"</f>
        <v>03354</v>
      </c>
      <c r="E5173" s="1" t="s">
        <v>447</v>
      </c>
      <c r="F5173" s="1">
        <v>12</v>
      </c>
      <c r="G5173" s="1">
        <v>9</v>
      </c>
      <c r="H5173" s="1">
        <v>0</v>
      </c>
      <c r="I5173" s="1" t="s">
        <v>8222</v>
      </c>
      <c r="K5173" s="1" t="str">
        <f t="shared" si="331"/>
        <v>ㄌ</v>
      </c>
      <c r="L5173" s="1" t="str">
        <f t="shared" si="332"/>
        <v>ㄤ</v>
      </c>
      <c r="N5173" s="3" t="s">
        <v>30575</v>
      </c>
      <c r="O5173" s="3"/>
      <c r="P5173" s="1" t="s">
        <v>20</v>
      </c>
      <c r="R5173" s="1" t="s">
        <v>8223</v>
      </c>
      <c r="V5173" s="1" t="s">
        <v>8238</v>
      </c>
      <c r="AR5173" s="1" t="str">
        <f t="shared" si="328"/>
        <v>| [ㄌㄤˊ](ㄌㄤˊ.md) | [廊](廊.md) |  | láng | [名]
屋前簷下通行的走道。如：「走廊」、「長廊」。 |</v>
      </c>
    </row>
    <row r="5174" spans="1:44" hidden="1">
      <c r="A5174" s="1" t="s">
        <v>8239</v>
      </c>
      <c r="C5174" s="1">
        <v>1</v>
      </c>
      <c r="D5174" s="1" t="str">
        <f>"03355"</f>
        <v>03355</v>
      </c>
      <c r="E5174" s="1" t="s">
        <v>429</v>
      </c>
      <c r="F5174" s="1">
        <v>12</v>
      </c>
      <c r="G5174" s="1">
        <v>7</v>
      </c>
      <c r="H5174" s="1">
        <v>0</v>
      </c>
      <c r="I5174" s="1" t="s">
        <v>8222</v>
      </c>
      <c r="K5174" s="1" t="str">
        <f t="shared" si="331"/>
        <v>ㄌ</v>
      </c>
      <c r="L5174" s="1" t="str">
        <f t="shared" si="332"/>
        <v>ㄤ</v>
      </c>
      <c r="N5174" s="3" t="s">
        <v>30575</v>
      </c>
      <c r="O5174" s="3"/>
      <c r="P5174" s="1" t="s">
        <v>20</v>
      </c>
      <c r="R5174" s="1" t="s">
        <v>8223</v>
      </c>
      <c r="V5174" s="1" t="s">
        <v>8240</v>
      </c>
      <c r="AR5174" s="1" t="str">
        <f t="shared" si="328"/>
        <v>| [ㄌㄤˊ](ㄌㄤˊ.md) | [稂](稂.md) |  | láng | [名]
一種野草。其莖葉似禾而不結實，常雜生於禾粟中，損害禾苗的生長。 |</v>
      </c>
    </row>
    <row r="5175" spans="1:44" hidden="1">
      <c r="A5175" s="1" t="s">
        <v>8241</v>
      </c>
      <c r="C5175" s="1">
        <v>1</v>
      </c>
      <c r="D5175" s="1" t="str">
        <f>"03356"</f>
        <v>03356</v>
      </c>
      <c r="E5175" s="1" t="s">
        <v>534</v>
      </c>
      <c r="F5175" s="1">
        <v>12</v>
      </c>
      <c r="G5175" s="1">
        <v>9</v>
      </c>
      <c r="H5175" s="1">
        <v>0</v>
      </c>
      <c r="I5175" s="1" t="s">
        <v>8222</v>
      </c>
      <c r="K5175" s="1" t="str">
        <f t="shared" si="331"/>
        <v>ㄌ</v>
      </c>
      <c r="L5175" s="1" t="str">
        <f t="shared" si="332"/>
        <v>ㄤ</v>
      </c>
      <c r="N5175" s="3" t="s">
        <v>30575</v>
      </c>
      <c r="O5175" s="3"/>
      <c r="P5175" s="1" t="s">
        <v>20</v>
      </c>
      <c r="R5175" s="1" t="s">
        <v>8223</v>
      </c>
      <c r="V5175" s="1" t="s">
        <v>8242</v>
      </c>
      <c r="AR5175" s="1" t="str">
        <f t="shared" si="328"/>
        <v>| [ㄌㄤˊ](ㄌㄤˊ.md) | [嫏](嫏.md) |  | láng | 參見「嫏嬛」條。 |</v>
      </c>
    </row>
    <row r="5176" spans="1:44" hidden="1">
      <c r="A5176" s="1" t="s">
        <v>8243</v>
      </c>
      <c r="C5176" s="1">
        <v>1</v>
      </c>
      <c r="D5176" s="1" t="str">
        <f>"03357"</f>
        <v>03357</v>
      </c>
      <c r="E5176" s="1" t="s">
        <v>142</v>
      </c>
      <c r="F5176" s="1">
        <v>13</v>
      </c>
      <c r="G5176" s="1">
        <v>9</v>
      </c>
      <c r="H5176" s="1">
        <v>0</v>
      </c>
      <c r="I5176" s="1" t="s">
        <v>8222</v>
      </c>
      <c r="K5176" s="1" t="str">
        <f t="shared" si="331"/>
        <v>ㄌ</v>
      </c>
      <c r="L5176" s="1" t="str">
        <f t="shared" si="332"/>
        <v>ㄤ</v>
      </c>
      <c r="N5176" s="3" t="s">
        <v>30575</v>
      </c>
      <c r="O5176" s="3"/>
      <c r="P5176" s="1" t="s">
        <v>20</v>
      </c>
      <c r="R5176" s="1" t="s">
        <v>8223</v>
      </c>
      <c r="V5176" s="1" t="s">
        <v>8244</v>
      </c>
      <c r="AR5176" s="1" t="str">
        <f t="shared" si="328"/>
        <v>| [ㄌㄤˊ](ㄌㄤˊ.md) | [瑯](瑯.md) |  | láng | 同「琅」。 |</v>
      </c>
    </row>
    <row r="5177" spans="1:44" hidden="1">
      <c r="A5177" s="1" t="s">
        <v>8245</v>
      </c>
      <c r="C5177" s="1">
        <v>1</v>
      </c>
      <c r="D5177" s="1" t="str">
        <f>"03358"</f>
        <v>03358</v>
      </c>
      <c r="E5177" s="1" t="s">
        <v>139</v>
      </c>
      <c r="F5177" s="1">
        <v>13</v>
      </c>
      <c r="G5177" s="1">
        <v>9</v>
      </c>
      <c r="H5177" s="1">
        <v>0</v>
      </c>
      <c r="I5177" s="1" t="s">
        <v>8222</v>
      </c>
      <c r="K5177" s="1" t="str">
        <f t="shared" si="331"/>
        <v>ㄌ</v>
      </c>
      <c r="L5177" s="1" t="str">
        <f t="shared" si="332"/>
        <v>ㄤ</v>
      </c>
      <c r="N5177" s="3" t="s">
        <v>30575</v>
      </c>
      <c r="O5177" s="3"/>
      <c r="P5177" s="1" t="s">
        <v>20</v>
      </c>
      <c r="R5177" s="1" t="s">
        <v>8223</v>
      </c>
      <c r="V5177" s="1" t="s">
        <v>8246</v>
      </c>
      <c r="AR5177" s="1" t="str">
        <f t="shared" si="328"/>
        <v>| [ㄌㄤˊ](ㄌㄤˊ.md) | [榔](榔.md) |  | láng | [名]
1.參見「檳榔」、「榔榆」等條。
2.漁人用來驅魚的長木棍。宋．史達祖〈湘江靜．暮草堆青雲浸浦〉詞：「漁榔四起，沙鷗未落，怕愁沾詩句。」 |</v>
      </c>
    </row>
    <row r="5178" spans="1:44" hidden="1">
      <c r="A5178" s="1" t="s">
        <v>8247</v>
      </c>
      <c r="C5178" s="1">
        <v>1</v>
      </c>
      <c r="D5178" s="1" t="str">
        <f>"03359"</f>
        <v>03359</v>
      </c>
      <c r="E5178" s="1" t="s">
        <v>49</v>
      </c>
      <c r="F5178" s="1">
        <v>13</v>
      </c>
      <c r="G5178" s="1">
        <v>7</v>
      </c>
      <c r="H5178" s="1">
        <v>0</v>
      </c>
      <c r="I5178" s="1" t="s">
        <v>8222</v>
      </c>
      <c r="K5178" s="1" t="str">
        <f t="shared" si="331"/>
        <v>ㄌ</v>
      </c>
      <c r="L5178" s="1" t="str">
        <f t="shared" si="332"/>
        <v>ㄤ</v>
      </c>
      <c r="N5178" s="3" t="s">
        <v>30575</v>
      </c>
      <c r="O5178" s="3"/>
      <c r="P5178" s="1" t="s">
        <v>20</v>
      </c>
      <c r="R5178" s="1" t="s">
        <v>8223</v>
      </c>
      <c r="V5178" s="1" t="s">
        <v>8248</v>
      </c>
      <c r="AR5178" s="1" t="str">
        <f t="shared" si="328"/>
        <v>| [ㄌㄤˊ](ㄌㄤˊ.md) | [筤](筤.md) |  | láng | [名]
1.車後用竹子編成的篷蓋。《廣韻．平聲．唐韻》：「筤，車籃。」
2.初生的嫩竹。參見「蒼筤」條。 |</v>
      </c>
    </row>
    <row r="5179" spans="1:44" hidden="1">
      <c r="A5179" s="1" t="s">
        <v>8249</v>
      </c>
      <c r="C5179" s="1">
        <v>1</v>
      </c>
      <c r="D5179" s="1" t="str">
        <f>"03360"</f>
        <v>03360</v>
      </c>
      <c r="E5179" s="1" t="s">
        <v>679</v>
      </c>
      <c r="F5179" s="1">
        <v>15</v>
      </c>
      <c r="G5179" s="1">
        <v>9</v>
      </c>
      <c r="H5179" s="1">
        <v>0</v>
      </c>
      <c r="I5179" s="1" t="s">
        <v>8222</v>
      </c>
      <c r="K5179" s="1" t="str">
        <f t="shared" si="331"/>
        <v>ㄌ</v>
      </c>
      <c r="L5179" s="1" t="str">
        <f t="shared" si="332"/>
        <v>ㄤ</v>
      </c>
      <c r="N5179" s="3" t="s">
        <v>30575</v>
      </c>
      <c r="O5179" s="3"/>
      <c r="P5179" s="1" t="s">
        <v>20</v>
      </c>
      <c r="R5179" s="1" t="s">
        <v>8223</v>
      </c>
      <c r="V5179" s="1" t="s">
        <v>8250</v>
      </c>
      <c r="AR5179" s="1" t="str">
        <f t="shared" si="328"/>
        <v>| [ㄌㄤˊ](ㄌㄤˊ.md) | [螂](螂.md) |  | láng | 參見「螳螂」、「蟑螂」等條。 |</v>
      </c>
    </row>
    <row r="5180" spans="1:44" hidden="1">
      <c r="A5180" s="1" t="s">
        <v>8251</v>
      </c>
      <c r="C5180" s="1">
        <v>1</v>
      </c>
      <c r="D5180" s="1" t="str">
        <f>"03361"</f>
        <v>03361</v>
      </c>
      <c r="E5180" s="1" t="s">
        <v>709</v>
      </c>
      <c r="F5180" s="1">
        <v>15</v>
      </c>
      <c r="G5180" s="1">
        <v>7</v>
      </c>
      <c r="H5180" s="1">
        <v>3</v>
      </c>
      <c r="I5180" s="1" t="s">
        <v>8222</v>
      </c>
      <c r="K5180" s="1" t="str">
        <f t="shared" si="331"/>
        <v>ㄌ</v>
      </c>
      <c r="L5180" s="1" t="str">
        <f t="shared" si="332"/>
        <v>ㄤ</v>
      </c>
      <c r="N5180" s="3" t="s">
        <v>30575</v>
      </c>
      <c r="O5180" s="3"/>
      <c r="P5180" s="1" t="s">
        <v>110</v>
      </c>
      <c r="R5180" s="1" t="s">
        <v>8223</v>
      </c>
      <c r="V5180" s="1" t="s">
        <v>111</v>
      </c>
      <c r="W5180" s="1" t="s">
        <v>8252</v>
      </c>
      <c r="AR5180" s="1" t="str">
        <f t="shared" si="328"/>
        <v>| [ㄌㄤˊ](ㄌㄤˊ.md) | [閬](閬.md) |  | láng | (一)之又音。 |</v>
      </c>
    </row>
    <row r="5181" spans="1:44" hidden="1">
      <c r="A5181" s="1" t="s">
        <v>8253</v>
      </c>
      <c r="C5181" s="1">
        <v>1</v>
      </c>
      <c r="D5181" s="1" t="str">
        <f>"03362"</f>
        <v>03362</v>
      </c>
      <c r="E5181" s="1" t="s">
        <v>55</v>
      </c>
      <c r="F5181" s="1">
        <v>15</v>
      </c>
      <c r="G5181" s="1">
        <v>7</v>
      </c>
      <c r="H5181" s="1">
        <v>0</v>
      </c>
      <c r="I5181" s="1" t="s">
        <v>8222</v>
      </c>
      <c r="K5181" s="1" t="str">
        <f t="shared" si="331"/>
        <v>ㄌ</v>
      </c>
      <c r="L5181" s="1" t="str">
        <f t="shared" si="332"/>
        <v>ㄤ</v>
      </c>
      <c r="N5181" s="3" t="s">
        <v>30575</v>
      </c>
      <c r="O5181" s="3"/>
      <c r="P5181" s="1" t="s">
        <v>20</v>
      </c>
      <c r="R5181" s="1" t="s">
        <v>8223</v>
      </c>
      <c r="V5181" s="1" t="s">
        <v>8254</v>
      </c>
      <c r="AR5181" s="1" t="str">
        <f t="shared" si="328"/>
        <v>| [ㄌㄤˊ](ㄌㄤˊ.md) | [鋃](鋃.md) |  | láng | 參見「鋃鐺」條。 |</v>
      </c>
    </row>
    <row r="5182" spans="1:44" hidden="1">
      <c r="A5182" s="1" t="s">
        <v>8255</v>
      </c>
      <c r="C5182" s="1">
        <v>1</v>
      </c>
      <c r="D5182" s="1" t="str">
        <f>"03363"</f>
        <v>03363</v>
      </c>
      <c r="E5182" s="1" t="s">
        <v>319</v>
      </c>
      <c r="F5182" s="1">
        <v>17</v>
      </c>
      <c r="G5182" s="1">
        <v>7</v>
      </c>
      <c r="H5182" s="1">
        <v>0</v>
      </c>
      <c r="I5182" s="1" t="s">
        <v>8222</v>
      </c>
      <c r="K5182" s="1" t="str">
        <f t="shared" si="331"/>
        <v>ㄌ</v>
      </c>
      <c r="L5182" s="1" t="str">
        <f t="shared" si="332"/>
        <v>ㄤ</v>
      </c>
      <c r="N5182" s="3" t="s">
        <v>30575</v>
      </c>
      <c r="O5182" s="3"/>
      <c r="P5182" s="1" t="s">
        <v>20</v>
      </c>
      <c r="R5182" s="1" t="s">
        <v>8223</v>
      </c>
      <c r="V5182" s="1" t="s">
        <v>8256</v>
      </c>
      <c r="AR5182" s="1" t="str">
        <f t="shared" si="328"/>
        <v>| [ㄌㄤˊ](ㄌㄤˊ.md) | [駺](駺.md) |  | láng | [名]
尾毛白色的馬。《爾雅．釋畜》：「尾白，駺。」晉．郭璞．注：「但尾毛白。」 |</v>
      </c>
    </row>
    <row r="5183" spans="1:44" hidden="1">
      <c r="A5183" s="1" t="s">
        <v>8257</v>
      </c>
      <c r="C5183" s="1">
        <v>1</v>
      </c>
      <c r="D5183" s="1" t="str">
        <f>"03364"</f>
        <v>03364</v>
      </c>
      <c r="E5183" s="1" t="s">
        <v>43</v>
      </c>
      <c r="F5183" s="1">
        <v>19</v>
      </c>
      <c r="G5183" s="1">
        <v>13</v>
      </c>
      <c r="H5183" s="1">
        <v>2</v>
      </c>
      <c r="I5183" s="1" t="s">
        <v>8222</v>
      </c>
      <c r="K5183" s="1" t="str">
        <f t="shared" si="331"/>
        <v>ㄌ</v>
      </c>
      <c r="L5183" s="1" t="str">
        <f t="shared" si="332"/>
        <v>ㄤ</v>
      </c>
      <c r="N5183" s="3" t="s">
        <v>30575</v>
      </c>
      <c r="O5183" s="3"/>
      <c r="P5183" s="1" t="s">
        <v>20</v>
      </c>
      <c r="R5183" s="1" t="s">
        <v>8223</v>
      </c>
      <c r="V5183" s="1" t="s">
        <v>8258</v>
      </c>
      <c r="W5183" s="1" t="s">
        <v>8259</v>
      </c>
      <c r="AR5183" s="1" t="str">
        <f t="shared" si="328"/>
        <v>| [ㄌㄤˊ](ㄌㄤˊ.md) | [羹](羹.md) |  | láng | [名]
不羹：地名。春秋時地，故址在今大陸地區河南省襄陽縣東南。《左傳．昭公十一年》：「楚子城陳、蔡、不羹。」晉．杜預．注：「襄陽縣東南有不羹城，定陵西北有不羹亭。」 |</v>
      </c>
    </row>
    <row r="5184" spans="1:44" hidden="1">
      <c r="A5184" s="1" t="s">
        <v>8260</v>
      </c>
      <c r="C5184" s="1">
        <v>1</v>
      </c>
      <c r="D5184" s="1" t="str">
        <f>"03365"</f>
        <v>03365</v>
      </c>
      <c r="E5184" s="1" t="s">
        <v>2014</v>
      </c>
      <c r="F5184" s="1">
        <v>10</v>
      </c>
      <c r="G5184" s="1">
        <v>6</v>
      </c>
      <c r="H5184" s="1">
        <v>0</v>
      </c>
      <c r="I5184" s="1" t="s">
        <v>8261</v>
      </c>
      <c r="K5184" s="1" t="str">
        <f t="shared" si="331"/>
        <v>ㄌ</v>
      </c>
      <c r="L5184" s="1" t="str">
        <f t="shared" si="332"/>
        <v>ㄤ</v>
      </c>
      <c r="N5184" s="3" t="s">
        <v>30576</v>
      </c>
      <c r="O5184" s="3"/>
      <c r="P5184" s="1" t="s">
        <v>20</v>
      </c>
      <c r="R5184" s="1" t="s">
        <v>8262</v>
      </c>
      <c r="V5184" s="1" t="s">
        <v>8263</v>
      </c>
      <c r="AR5184" s="1" t="str">
        <f t="shared" si="328"/>
        <v>| [ㄌㄤˇ](ㄌㄤˇ.md) | [朗](朗.md) |  | lǎng | [形]
明亮。如：「明朗」、「晴朗」。晉．王羲之〈三月三日蘭亭詩序〉：「天朗氣清，惠風和暢。」
[副]
響亮。如：「朗誦」、「朗讀」。《文選．孫綽．遊天台山賦》：「凝思幽巖，朗詠長川。」 |</v>
      </c>
    </row>
    <row r="5185" spans="1:44" hidden="1">
      <c r="A5185" s="1" t="s">
        <v>8264</v>
      </c>
      <c r="C5185" s="1">
        <v>1</v>
      </c>
      <c r="D5185" s="1" t="str">
        <f>"03366"</f>
        <v>03366</v>
      </c>
      <c r="E5185" s="1" t="s">
        <v>336</v>
      </c>
      <c r="F5185" s="1">
        <v>11</v>
      </c>
      <c r="G5185" s="1">
        <v>7</v>
      </c>
      <c r="H5185" s="1">
        <v>0</v>
      </c>
      <c r="I5185" s="1" t="s">
        <v>8261</v>
      </c>
      <c r="K5185" s="1" t="str">
        <f t="shared" si="331"/>
        <v>ㄌ</v>
      </c>
      <c r="L5185" s="1" t="str">
        <f t="shared" si="332"/>
        <v>ㄤ</v>
      </c>
      <c r="N5185" s="3" t="s">
        <v>30576</v>
      </c>
      <c r="O5185" s="3"/>
      <c r="P5185" s="1" t="s">
        <v>20</v>
      </c>
      <c r="R5185" s="1" t="s">
        <v>8262</v>
      </c>
      <c r="V5185" s="1" t="s">
        <v>8265</v>
      </c>
      <c r="AR5185" s="1" t="str">
        <f t="shared" si="328"/>
        <v>| [ㄌㄤˇ](ㄌㄤˇ.md) | [烺](烺.md) |  | lǎng | [形]
明亮、明朗。通「朗」。明．張自烈《正字通．火部》：「烺，明也，與朗通。」唐．柳宗元〈答韋中立論師道書〉：「及長，乃知文者以明道，是固不苟為炳炳烺烺，務采色、夸聲音而以為能也。」 |</v>
      </c>
    </row>
    <row r="5186" spans="1:44" hidden="1">
      <c r="A5186" s="1" t="s">
        <v>8251</v>
      </c>
      <c r="C5186" s="1">
        <v>1</v>
      </c>
      <c r="D5186" s="1" t="str">
        <f>"03367"</f>
        <v>03367</v>
      </c>
      <c r="E5186" s="1" t="s">
        <v>709</v>
      </c>
      <c r="F5186" s="1">
        <v>15</v>
      </c>
      <c r="G5186" s="1">
        <v>7</v>
      </c>
      <c r="H5186" s="1">
        <v>1</v>
      </c>
      <c r="I5186" s="1" t="s">
        <v>8261</v>
      </c>
      <c r="K5186" s="1" t="str">
        <f t="shared" si="331"/>
        <v>ㄌ</v>
      </c>
      <c r="L5186" s="1" t="str">
        <f t="shared" si="332"/>
        <v>ㄤ</v>
      </c>
      <c r="N5186" s="3" t="s">
        <v>30576</v>
      </c>
      <c r="O5186" s="3"/>
      <c r="P5186" s="1" t="s">
        <v>20</v>
      </c>
      <c r="R5186" s="1" t="s">
        <v>8262</v>
      </c>
      <c r="V5186" s="1" t="s">
        <v>8266</v>
      </c>
      <c r="W5186" s="1" t="s">
        <v>8267</v>
      </c>
      <c r="AR5186" s="1" t="str">
        <f t="shared" si="328"/>
        <v>| [ㄌㄤˇ](ㄌㄤˇ.md) | [閬](閬.md) |  | lǎng | [形]
1.高大。《文選．張衡．思玄賦》：「集太微之閬閬。」李善注引《字林》：「閬，高貌。」唐．白居易〈和微之詩．和送劉道士遊天台〉詩：「閬宮縹緲間，鈞樂依稀聞。」
2.空曠。《莊子．外物》：「胞有重閬，心有天遊。」唐．成玄英．疏：「閬，空也。言人腹內空虛，故容藏胃，藏胃空虛，故通氣液。」 |</v>
      </c>
    </row>
    <row r="5187" spans="1:44" hidden="1">
      <c r="A5187" s="1" t="s">
        <v>8298</v>
      </c>
      <c r="C5187" s="1">
        <v>1</v>
      </c>
      <c r="D5187" s="1" t="str">
        <f>"03379"</f>
        <v>03379</v>
      </c>
      <c r="E5187" s="1" t="s">
        <v>250</v>
      </c>
      <c r="F5187" s="1">
        <v>8</v>
      </c>
      <c r="G5187" s="1">
        <v>5</v>
      </c>
      <c r="H5187" s="1">
        <v>2</v>
      </c>
      <c r="I5187" s="1" t="s">
        <v>8299</v>
      </c>
      <c r="K5187" s="1" t="str">
        <f t="shared" si="331"/>
        <v>ㄌ</v>
      </c>
      <c r="L5187" s="1" t="str">
        <f t="shared" si="332"/>
        <v>ㄥ</v>
      </c>
      <c r="N5187" s="3" t="s">
        <v>30574</v>
      </c>
      <c r="O5187" s="3"/>
      <c r="P5187" s="1" t="s">
        <v>20</v>
      </c>
      <c r="R5187" s="1" t="s">
        <v>8300</v>
      </c>
      <c r="V5187" s="1" t="s">
        <v>8301</v>
      </c>
      <c r="W5187" s="1" t="s">
        <v>8302</v>
      </c>
      <c r="AR5187" s="1" t="str">
        <f t="shared" ref="AR5187:AR5250" si="333">"| ["&amp;I5187&amp;"]("&amp;I5187&amp;".md) | ["&amp;A5187&amp;"]("&amp;A5187&amp;".md) | "&amp;" | "&amp;R5187&amp;" | "&amp;V5187&amp;" |"</f>
        <v>| [ㄌㄥˋ](ㄌㄥˋ.md) | [怔](怔.md) |  | lèng | [動]
發呆、發愣。通「愣」。《紅樓夢》第二六回：「寶玉怔了半天，方解過來。」《文明小史》第五二回：「見了饒鴻生的面，便問你姓饒麼？饒鴻生怔了一怔。」 |</v>
      </c>
    </row>
    <row r="5188" spans="1:44" hidden="1">
      <c r="A5188" s="1" t="s">
        <v>8277</v>
      </c>
      <c r="C5188" s="1">
        <v>1</v>
      </c>
      <c r="D5188" s="1" t="str">
        <f>"03380"</f>
        <v>03380</v>
      </c>
      <c r="E5188" s="1" t="s">
        <v>250</v>
      </c>
      <c r="F5188" s="1">
        <v>12</v>
      </c>
      <c r="G5188" s="1">
        <v>9</v>
      </c>
      <c r="H5188" s="1">
        <v>1</v>
      </c>
      <c r="I5188" s="1" t="s">
        <v>8299</v>
      </c>
      <c r="K5188" s="1" t="str">
        <f t="shared" si="331"/>
        <v>ㄌ</v>
      </c>
      <c r="L5188" s="1" t="str">
        <f t="shared" si="332"/>
        <v>ㄥ</v>
      </c>
      <c r="N5188" s="3" t="s">
        <v>30574</v>
      </c>
      <c r="O5188" s="3"/>
      <c r="P5188" s="1" t="s">
        <v>20</v>
      </c>
      <c r="R5188" s="1" t="s">
        <v>8300</v>
      </c>
      <c r="V5188" s="1" t="s">
        <v>8303</v>
      </c>
      <c r="W5188" s="1" t="s">
        <v>8304</v>
      </c>
      <c r="AR5188" s="1" t="str">
        <f t="shared" si="333"/>
        <v>| [ㄌㄥˋ](ㄌㄥˋ.md) | [愣](愣.md) |  | lèng | [形]
痴呆。如：「愣小子」、「愣頭愣腦」。
[動]
失神、發呆。如：「乍聞惡耗，他竟愣在那裡一動也不動的。」 |</v>
      </c>
    </row>
    <row r="5189" spans="1:44" hidden="1">
      <c r="A5189" s="1" t="s">
        <v>8291</v>
      </c>
      <c r="C5189" s="1">
        <v>1</v>
      </c>
      <c r="D5189" s="1" t="str">
        <f>"03381"</f>
        <v>03381</v>
      </c>
      <c r="E5189" s="1" t="s">
        <v>139</v>
      </c>
      <c r="F5189" s="1">
        <v>13</v>
      </c>
      <c r="G5189" s="1">
        <v>9</v>
      </c>
      <c r="H5189" s="1">
        <v>2</v>
      </c>
      <c r="I5189" s="1" t="s">
        <v>8299</v>
      </c>
      <c r="K5189" s="1" t="str">
        <f t="shared" si="331"/>
        <v>ㄌ</v>
      </c>
      <c r="L5189" s="1" t="str">
        <f t="shared" si="332"/>
        <v>ㄥ</v>
      </c>
      <c r="N5189" s="3" t="s">
        <v>30574</v>
      </c>
      <c r="O5189" s="3"/>
      <c r="P5189" s="1" t="s">
        <v>20</v>
      </c>
      <c r="R5189" s="1" t="s">
        <v>8300</v>
      </c>
      <c r="V5189" s="1" t="s">
        <v>8305</v>
      </c>
      <c r="W5189" s="1" t="s">
        <v>8306</v>
      </c>
      <c r="AR5189" s="1" t="str">
        <f t="shared" si="333"/>
        <v>| [ㄌㄥˋ](ㄌㄥˋ.md) | [楞](楞.md) |  | lèng | 同「愣」。 |</v>
      </c>
    </row>
    <row r="5190" spans="1:44" hidden="1">
      <c r="A5190" s="1" t="s">
        <v>8282</v>
      </c>
      <c r="C5190" s="1">
        <v>1</v>
      </c>
      <c r="D5190" s="1" t="str">
        <f>"03373"</f>
        <v>03373</v>
      </c>
      <c r="E5190" s="1" t="s">
        <v>190</v>
      </c>
      <c r="F5190" s="1">
        <v>11</v>
      </c>
      <c r="G5190" s="1">
        <v>8</v>
      </c>
      <c r="H5190" s="1">
        <v>0</v>
      </c>
      <c r="I5190" s="1" t="s">
        <v>8283</v>
      </c>
      <c r="K5190" s="1" t="str">
        <f t="shared" si="331"/>
        <v>ㄌ</v>
      </c>
      <c r="L5190" s="1" t="str">
        <f t="shared" si="332"/>
        <v>ㄥ</v>
      </c>
      <c r="N5190" s="3" t="s">
        <v>30575</v>
      </c>
      <c r="O5190" s="3"/>
      <c r="P5190" s="1" t="s">
        <v>20</v>
      </c>
      <c r="R5190" s="1" t="s">
        <v>8284</v>
      </c>
      <c r="V5190" s="1" t="s">
        <v>8285</v>
      </c>
      <c r="AR5190" s="1" t="str">
        <f t="shared" si="333"/>
        <v>| [ㄌㄥˊ](ㄌㄥˊ.md) | [崚](崚.md) |  | léng | 參見「崚峭」、「崚嶒」等條。 |</v>
      </c>
    </row>
    <row r="5191" spans="1:44" hidden="1">
      <c r="A5191" s="1" t="s">
        <v>8286</v>
      </c>
      <c r="C5191" s="1">
        <v>1</v>
      </c>
      <c r="D5191" s="1" t="str">
        <f>"03374"</f>
        <v>03374</v>
      </c>
      <c r="E5191" s="1" t="s">
        <v>139</v>
      </c>
      <c r="F5191" s="1">
        <v>12</v>
      </c>
      <c r="G5191" s="1">
        <v>8</v>
      </c>
      <c r="H5191" s="1">
        <v>0</v>
      </c>
      <c r="I5191" s="1" t="s">
        <v>8283</v>
      </c>
      <c r="K5191" s="1" t="str">
        <f t="shared" si="331"/>
        <v>ㄌ</v>
      </c>
      <c r="L5191" s="1" t="str">
        <f t="shared" si="332"/>
        <v>ㄥ</v>
      </c>
      <c r="N5191" s="3" t="s">
        <v>30575</v>
      </c>
      <c r="O5191" s="3"/>
      <c r="P5191" s="1" t="s">
        <v>20</v>
      </c>
      <c r="R5191" s="1" t="s">
        <v>8284</v>
      </c>
      <c r="V5191" s="1" t="s">
        <v>8287</v>
      </c>
      <c r="AR5191" s="1" t="str">
        <f t="shared" si="333"/>
        <v>| [ㄌㄥˊ](ㄌㄥˊ.md) | [棱](棱.md) |  | léng | [名]
木材的四角交接處稱為「棱」。《說文解字．木部》：「棱，柧也。」
[形]
威嚴。《後漢書．卷六六．王允傳》：「允性剛棱疾惡。」 |</v>
      </c>
    </row>
    <row r="5192" spans="1:44" hidden="1">
      <c r="A5192" s="1" t="s">
        <v>8288</v>
      </c>
      <c r="C5192" s="1">
        <v>1</v>
      </c>
      <c r="D5192" s="1" t="str">
        <f>"03375"</f>
        <v>03375</v>
      </c>
      <c r="E5192" s="1" t="s">
        <v>429</v>
      </c>
      <c r="F5192" s="1">
        <v>13</v>
      </c>
      <c r="G5192" s="1">
        <v>8</v>
      </c>
      <c r="H5192" s="1">
        <v>0</v>
      </c>
      <c r="I5192" s="1" t="s">
        <v>8283</v>
      </c>
      <c r="K5192" s="1" t="str">
        <f t="shared" si="331"/>
        <v>ㄌ</v>
      </c>
      <c r="L5192" s="1" t="str">
        <f t="shared" si="332"/>
        <v>ㄥ</v>
      </c>
      <c r="N5192" s="3" t="s">
        <v>30575</v>
      </c>
      <c r="O5192" s="3"/>
      <c r="P5192" s="1" t="s">
        <v>20</v>
      </c>
      <c r="R5192" s="1" t="s">
        <v>8284</v>
      </c>
      <c r="V5192" s="1" t="s">
        <v>8289</v>
      </c>
      <c r="AR5192" s="1" t="str">
        <f t="shared" si="333"/>
        <v>| [ㄌㄥˊ](ㄌㄥˊ.md) | [稜](稜.md) |  | léng | [名]
1.物體兩面相交所形成的一個頂角。如：「稜角」。
2.物體面上凸起的條紋。如：「稜角」。宋．蘇軾〈鹽官部役戲呈同事兼寄述古〉詩：「新月照水水欲冰，夜霜穿屋衣生稜。」
3.威稜：威嚴。《漢書．卷五四．李廣傳》：「是以名聲暴於夷貉，威稜憺乎鄰國。」 |</v>
      </c>
    </row>
    <row r="5193" spans="1:44" hidden="1">
      <c r="A5193" s="1" t="s">
        <v>8290</v>
      </c>
      <c r="C5193" s="1">
        <v>1</v>
      </c>
      <c r="D5193" s="1" t="str">
        <f>"03376"</f>
        <v>03376</v>
      </c>
      <c r="E5193" s="1" t="s">
        <v>37</v>
      </c>
      <c r="F5193" s="1">
        <v>17</v>
      </c>
      <c r="G5193" s="1">
        <v>13</v>
      </c>
      <c r="H5193" s="1">
        <v>0</v>
      </c>
      <c r="I5193" s="1" t="s">
        <v>8283</v>
      </c>
      <c r="K5193" s="1" t="str">
        <f t="shared" si="331"/>
        <v>ㄌ</v>
      </c>
      <c r="L5193" s="1" t="str">
        <f t="shared" si="332"/>
        <v>ㄥ</v>
      </c>
      <c r="N5193" s="3" t="s">
        <v>30575</v>
      </c>
      <c r="O5193" s="3"/>
      <c r="P5193" s="1" t="s">
        <v>20</v>
      </c>
      <c r="R5193" s="1" t="s">
        <v>8284</v>
      </c>
      <c r="V5193" s="1" t="s">
        <v>167</v>
      </c>
      <c r="AR5193" s="1" t="str">
        <f t="shared" si="333"/>
        <v>| [ㄌㄥˊ](ㄌㄥˊ.md) | [薐](薐.md) |  | léng | 參見「菠菜」條。 |</v>
      </c>
    </row>
    <row r="5194" spans="1:44" hidden="1">
      <c r="A5194" s="1" t="s">
        <v>8291</v>
      </c>
      <c r="C5194" s="1">
        <v>1</v>
      </c>
      <c r="D5194" s="1" t="str">
        <f>"03377"</f>
        <v>03377</v>
      </c>
      <c r="E5194" s="1" t="s">
        <v>139</v>
      </c>
      <c r="F5194" s="1">
        <v>13</v>
      </c>
      <c r="G5194" s="1">
        <v>9</v>
      </c>
      <c r="H5194" s="1">
        <v>1</v>
      </c>
      <c r="I5194" s="1" t="s">
        <v>8283</v>
      </c>
      <c r="K5194" s="1" t="str">
        <f t="shared" si="331"/>
        <v>ㄌ</v>
      </c>
      <c r="L5194" s="1" t="str">
        <f t="shared" si="332"/>
        <v>ㄥ</v>
      </c>
      <c r="N5194" s="3" t="s">
        <v>30575</v>
      </c>
      <c r="O5194" s="3"/>
      <c r="P5194" s="1" t="s">
        <v>20</v>
      </c>
      <c r="R5194" s="1" t="s">
        <v>8284</v>
      </c>
      <c r="V5194" s="1" t="s">
        <v>8292</v>
      </c>
      <c r="W5194" s="1" t="s">
        <v>8293</v>
      </c>
      <c r="AR5194" s="1" t="str">
        <f t="shared" si="333"/>
        <v>| [ㄌㄥˊ](ㄌㄥˊ.md) | [楞](楞.md) |  | léng | [名]
1.物體的緣角。同「稜」。如：「楞角」、「三楞鏡」。
2.佛經翻譯用字。如：《楞伽經》、《楞嚴經》。 |</v>
      </c>
    </row>
    <row r="5195" spans="1:44" hidden="1">
      <c r="A5195" s="1" t="s">
        <v>8294</v>
      </c>
      <c r="C5195" s="1">
        <v>1</v>
      </c>
      <c r="D5195" s="1" t="str">
        <f>"03378"</f>
        <v>03378</v>
      </c>
      <c r="E5195" s="1" t="s">
        <v>1381</v>
      </c>
      <c r="F5195" s="1">
        <v>7</v>
      </c>
      <c r="G5195" s="1">
        <v>5</v>
      </c>
      <c r="H5195" s="1">
        <v>0</v>
      </c>
      <c r="I5195" s="1" t="s">
        <v>8295</v>
      </c>
      <c r="K5195" s="1" t="str">
        <f t="shared" ref="K5195:K5226" si="334">LEFT(I5195, 1)</f>
        <v>ㄌ</v>
      </c>
      <c r="L5195" s="1" t="str">
        <f t="shared" ref="L5195:L5226" si="335">MID(I5195, 2, 1)</f>
        <v>ㄥ</v>
      </c>
      <c r="N5195" s="3" t="s">
        <v>30576</v>
      </c>
      <c r="O5195" s="3"/>
      <c r="P5195" s="1" t="s">
        <v>20</v>
      </c>
      <c r="R5195" s="1" t="s">
        <v>8296</v>
      </c>
      <c r="V5195" s="1" t="s">
        <v>8297</v>
      </c>
      <c r="AR5195" s="1" t="str">
        <f t="shared" si="333"/>
        <v>| [ㄌㄥˇ](ㄌㄥˇ.md) | [冷](冷.md) |  | lěng | [形]
1.寒、涼、溫度低。如：「今天天氣好冷！」《莊子．則陽》：「夫凍者假衣於春，暍者反冬乎冷風。」唐．白居易〈長恨歌〉：「鴛鴦瓦冷霜華重，翡翠衾寒誰與共？」
2.淡漠、不熱烈。南朝梁．武帝〈淨業賦〉：「心清冷其若冰，志皎潔其如雪。」
3.寂靜、寂寞。如：「冷冷清清」。唐．白居易〈晚出西郊〉詩：「散吏閒如客，貧州冷似村。」
4.閒散。唐．杜甫〈醉時歌〉：「諸公袞袞登臺省，廣文先生官獨冷。」
5.鄙視、譏刺。如：「冷言冷語」、「冷眼旁觀」。
6.不受歡迎的、無人過問的。如：「冷門」、「冷貨」。
[副]
突然。《紅樓夢》第九一回：「冷不防外面往裡一吹，把薛蝌嚇了一大跳！」
[名]
姓。如漢代有冷壽光。 |</v>
      </c>
    </row>
    <row r="5196" spans="1:44" hidden="1">
      <c r="A5196" s="1" t="s">
        <v>8428</v>
      </c>
      <c r="C5196" s="1">
        <v>1</v>
      </c>
      <c r="D5196" s="1" t="str">
        <f>"03436"</f>
        <v>03436</v>
      </c>
      <c r="E5196" s="1" t="s">
        <v>245</v>
      </c>
      <c r="F5196" s="1">
        <v>2</v>
      </c>
      <c r="G5196" s="1">
        <v>0</v>
      </c>
      <c r="H5196" s="1">
        <v>0</v>
      </c>
      <c r="I5196" s="1" t="s">
        <v>8429</v>
      </c>
      <c r="K5196" s="1" t="str">
        <f t="shared" si="334"/>
        <v>ㄌ</v>
      </c>
      <c r="L5196" s="1" t="str">
        <f t="shared" si="335"/>
        <v>ㄧ</v>
      </c>
      <c r="N5196" s="3" t="s">
        <v>30574</v>
      </c>
      <c r="O5196" s="3"/>
      <c r="P5196" s="1" t="s">
        <v>20</v>
      </c>
      <c r="R5196" s="1" t="s">
        <v>8430</v>
      </c>
      <c r="V5196" s="1" t="s">
        <v>8431</v>
      </c>
      <c r="AR5196" s="1" t="str">
        <f t="shared" si="333"/>
        <v>| [ㄌㄧˋ](ㄌㄧˋ.md) | [力](力.md) |  | lì | [名]
1.改變物體運動狀態（靜止或運行速度）的效能稱為「力」，計算單位為「牛頓」。如：「動力」、「向心力」、「離心力」、「地心引力」。
2.人和動物體內筋肉運動所產生的效能。如：「臂力」、「體力」。《詩經．邶風．簡兮》：「有力如虎，執轡如組。」
3.一切事物所具有的效能或作用。如：「火力」、「風力」、「水力」。
4.才能、能力。如：「智力」、「實力」、「理解力」、「量力而為」。
5.權勢。如：「權力」。《孟子．公孫丑上》：「以力服人者，非心服也。」
6.以力氣供人役使的僮僕。如：「苦力」。
7.姓。如宋代有力起。
8.二一四部首之一。
[副]
盡力、拚命。如：「力爭上游」。《漢書．卷九五．南粵傳》：「樓船力攻燒敵。」 |</v>
      </c>
    </row>
    <row r="5197" spans="1:44" hidden="1">
      <c r="A5197" s="1" t="s">
        <v>8432</v>
      </c>
      <c r="C5197" s="1">
        <v>1</v>
      </c>
      <c r="D5197" s="1" t="str">
        <f>"03437"</f>
        <v>03437</v>
      </c>
      <c r="E5197" s="1" t="s">
        <v>190</v>
      </c>
      <c r="F5197" s="1">
        <v>5</v>
      </c>
      <c r="G5197" s="1">
        <v>2</v>
      </c>
      <c r="H5197" s="1">
        <v>0</v>
      </c>
      <c r="I5197" s="1" t="s">
        <v>8429</v>
      </c>
      <c r="K5197" s="1" t="str">
        <f t="shared" si="334"/>
        <v>ㄌ</v>
      </c>
      <c r="L5197" s="1" t="str">
        <f t="shared" si="335"/>
        <v>ㄧ</v>
      </c>
      <c r="N5197" s="3" t="s">
        <v>30574</v>
      </c>
      <c r="O5197" s="3"/>
      <c r="P5197" s="1" t="s">
        <v>20</v>
      </c>
      <c r="R5197" s="1" t="s">
        <v>8430</v>
      </c>
      <c r="V5197" s="1" t="s">
        <v>8433</v>
      </c>
      <c r="AR5197" s="1" t="str">
        <f t="shared" si="333"/>
        <v>| [ㄌㄧˋ](ㄌㄧˋ.md) | [屴](屴.md) |  | lì | 參見「屴崱」條。 |</v>
      </c>
    </row>
    <row r="5198" spans="1:44" hidden="1">
      <c r="A5198" s="1" t="s">
        <v>8434</v>
      </c>
      <c r="C5198" s="1">
        <v>1</v>
      </c>
      <c r="D5198" s="1" t="str">
        <f>"03438"</f>
        <v>03438</v>
      </c>
      <c r="E5198" s="1" t="s">
        <v>37</v>
      </c>
      <c r="F5198" s="1">
        <v>10</v>
      </c>
      <c r="G5198" s="1">
        <v>6</v>
      </c>
      <c r="H5198" s="1">
        <v>0</v>
      </c>
      <c r="I5198" s="1" t="s">
        <v>8429</v>
      </c>
      <c r="K5198" s="1" t="str">
        <f t="shared" si="334"/>
        <v>ㄌ</v>
      </c>
      <c r="L5198" s="1" t="str">
        <f t="shared" si="335"/>
        <v>ㄧ</v>
      </c>
      <c r="N5198" s="3" t="s">
        <v>30574</v>
      </c>
      <c r="O5198" s="3"/>
      <c r="P5198" s="1" t="s">
        <v>20</v>
      </c>
      <c r="R5198" s="1" t="s">
        <v>8430</v>
      </c>
      <c r="V5198" s="1" t="s">
        <v>8435</v>
      </c>
      <c r="AR5198" s="1" t="str">
        <f t="shared" si="333"/>
        <v>| [ㄌㄧˋ](ㄌㄧˋ.md) | [荔](荔.md) |  | lì | [名]
1.植物名。即馬藺。鳶尾科鳶尾屬，多年生草本。根莖粗壯，根細長而堅韌。葉線形，質硬無劍脊，長可達四十公分。花一至三朵頂生花莖先端，具三枚葉狀苞片，花被片六枚，淡藍色，外輪三枚之中部具黃紋。蒴果紡錘形，具三稜，種子入藥。清．王念孫《廣雅疏證．卷一〇上．釋草》：「馬薤，荔也。」疏證：「蠡、藺、荔，一聲之轉，故張氏注〈子虛賦〉謂之馬荔、馬荔猶言馬藺也。荔，葉似薤而大，則馬薤之所名也。」
2.參見「荔枝」條。 |</v>
      </c>
    </row>
    <row r="5199" spans="1:44" hidden="1">
      <c r="A5199" s="1" t="s">
        <v>8436</v>
      </c>
      <c r="C5199" s="1">
        <v>1</v>
      </c>
      <c r="D5199" s="1" t="str">
        <f>"03439"</f>
        <v>03439</v>
      </c>
      <c r="E5199" s="1" t="s">
        <v>5784</v>
      </c>
      <c r="F5199" s="1">
        <v>5</v>
      </c>
      <c r="G5199" s="1">
        <v>0</v>
      </c>
      <c r="H5199" s="1">
        <v>0</v>
      </c>
      <c r="I5199" s="1" t="s">
        <v>8429</v>
      </c>
      <c r="K5199" s="1" t="str">
        <f t="shared" si="334"/>
        <v>ㄌ</v>
      </c>
      <c r="L5199" s="1" t="str">
        <f t="shared" si="335"/>
        <v>ㄧ</v>
      </c>
      <c r="N5199" s="3" t="s">
        <v>30574</v>
      </c>
      <c r="O5199" s="3"/>
      <c r="P5199" s="1" t="s">
        <v>20</v>
      </c>
      <c r="R5199" s="1" t="s">
        <v>8430</v>
      </c>
      <c r="V5199" s="1" t="s">
        <v>8437</v>
      </c>
      <c r="AR5199" s="1" t="str">
        <f t="shared" si="333"/>
        <v>| [ㄌㄧˋ](ㄌㄧˋ.md) | [立](立.md) |  | lì | [動]_x000D_
1.直身站著。如：「站立」、「立正」。《孟子．梁惠王上》：「王立於沼上。」_x000D_
2.豎起。如：「豎立」、「立竿見影」。《水滸傳》第三一回：「又將兩扇門立在牆邊，先去吹滅了燈火。」_x000D_
3.設置。如：「立廟」、「私立小學」。《書經．周官》：「立太師、太傅、太保。」_x000D_
4.制定、訂定。如：「立法」、「立案」、「立憲」。_x000D_
5.建樹、成就。如：「立威」、「三十而立」。《左傳．襄公二十四年》：「大上有立德，其次有立功，其次有立言。」_x000D_
6.存在。如：「獨立」、「誓不兩立」。_x000D_
[副]_x000D_
即刻。如：「立刻」。《史記．卷八六．刺客列傳．荊軻》：「劍堅，故不可立拔。」_x000D_
[名]_x000D_
1.姓。如春秋時魯國有立如子。_x000D_
2.二一四部首之一。 |</v>
      </c>
    </row>
    <row r="5200" spans="1:44" hidden="1">
      <c r="A5200" s="1" t="s">
        <v>8438</v>
      </c>
      <c r="C5200" s="1">
        <v>1</v>
      </c>
      <c r="D5200" s="1" t="str">
        <f>"03440"</f>
        <v>03440</v>
      </c>
      <c r="E5200" s="1" t="s">
        <v>37</v>
      </c>
      <c r="F5200" s="1">
        <v>9</v>
      </c>
      <c r="G5200" s="1">
        <v>5</v>
      </c>
      <c r="H5200" s="1">
        <v>0</v>
      </c>
      <c r="I5200" s="1" t="s">
        <v>8429</v>
      </c>
      <c r="K5200" s="1" t="str">
        <f t="shared" si="334"/>
        <v>ㄌ</v>
      </c>
      <c r="L5200" s="1" t="str">
        <f t="shared" si="335"/>
        <v>ㄧ</v>
      </c>
      <c r="N5200" s="3" t="s">
        <v>30574</v>
      </c>
      <c r="O5200" s="3"/>
      <c r="P5200" s="1" t="s">
        <v>20</v>
      </c>
      <c r="R5200" s="1" t="s">
        <v>8430</v>
      </c>
      <c r="V5200" s="1" t="s">
        <v>8439</v>
      </c>
      <c r="AR5200" s="1" t="str">
        <f t="shared" si="333"/>
        <v>| [ㄌㄧˋ](ㄌㄧˋ.md) | [苙](苙.md) |  | lì | [名]
1.植物名。繖形科當歸屬。「白芷」之古稱，參見「白芷」條。《集韻．入聲．緝韻》：「苙，藥草，白芷也。」
2.豬圈。《孟子．盡心下》：「如追放豚，既入其苙，又從而招之。」 |</v>
      </c>
    </row>
    <row r="5201" spans="1:44" hidden="1">
      <c r="A5201" s="1" t="s">
        <v>8440</v>
      </c>
      <c r="C5201" s="1">
        <v>1</v>
      </c>
      <c r="D5201" s="1" t="str">
        <f>"03441"</f>
        <v>03441</v>
      </c>
      <c r="E5201" s="1" t="s">
        <v>46</v>
      </c>
      <c r="F5201" s="1">
        <v>11</v>
      </c>
      <c r="G5201" s="1">
        <v>5</v>
      </c>
      <c r="H5201" s="1">
        <v>0</v>
      </c>
      <c r="I5201" s="1" t="s">
        <v>8429</v>
      </c>
      <c r="K5201" s="1" t="str">
        <f t="shared" si="334"/>
        <v>ㄌ</v>
      </c>
      <c r="L5201" s="1" t="str">
        <f t="shared" si="335"/>
        <v>ㄧ</v>
      </c>
      <c r="N5201" s="3" t="s">
        <v>30574</v>
      </c>
      <c r="O5201" s="3"/>
      <c r="P5201" s="1" t="s">
        <v>20</v>
      </c>
      <c r="R5201" s="1" t="s">
        <v>8430</v>
      </c>
      <c r="V5201" s="1" t="s">
        <v>8441</v>
      </c>
      <c r="AR5201" s="1" t="str">
        <f t="shared" si="333"/>
        <v>| [ㄌㄧˋ](ㄌㄧˋ.md) | [粒](粒.md) |  | lì | [名]
1.米粒。《列子．湯問》：「剖粒為餌，引盈車之魚。」漢．劉楨〈答魏太子丕借廓落帶書〉：「嘉禾始熟，而農夫先嘗其粒。」
2.顆粒狀的東西。如：「砂粒」、「鹽粒」。
3.量詞。計算顆粒狀物的單位。如：「一粒砂子」、「兩粒藥丸」。唐．李紳〈古風〉詩二首之一：「春種一粒粟，秋成萬顆子。」
[動]
進食、以米糧為食。《書經．益稷》：「暨稷播奏庶艱食鮮食，懋遷有無化居，烝民乃粒，萬邦作乂。」北齊．顏之推《顏氏家訓．涉務》：「夫食為民天，民非食不生矣，三日不粒，父子不能相存。」 |</v>
      </c>
    </row>
    <row r="5202" spans="1:44" hidden="1">
      <c r="A5202" s="1" t="s">
        <v>8442</v>
      </c>
      <c r="C5202" s="1">
        <v>1</v>
      </c>
      <c r="D5202" s="1" t="str">
        <f>"03442"</f>
        <v>03442</v>
      </c>
      <c r="E5202" s="1" t="s">
        <v>49</v>
      </c>
      <c r="F5202" s="1">
        <v>11</v>
      </c>
      <c r="G5202" s="1">
        <v>5</v>
      </c>
      <c r="H5202" s="1">
        <v>0</v>
      </c>
      <c r="I5202" s="1" t="s">
        <v>8429</v>
      </c>
      <c r="K5202" s="1" t="str">
        <f t="shared" si="334"/>
        <v>ㄌ</v>
      </c>
      <c r="L5202" s="1" t="str">
        <f t="shared" si="335"/>
        <v>ㄧ</v>
      </c>
      <c r="N5202" s="3" t="s">
        <v>30574</v>
      </c>
      <c r="O5202" s="3"/>
      <c r="P5202" s="1" t="s">
        <v>20</v>
      </c>
      <c r="R5202" s="1" t="s">
        <v>8430</v>
      </c>
      <c r="V5202" s="1" t="s">
        <v>8443</v>
      </c>
      <c r="AR5202" s="1" t="str">
        <f t="shared" si="333"/>
        <v>| [ㄌㄧˋ](ㄌㄧˋ.md) | [笠](笠.md) |  | lì | [名]
用竹皮或竹葉編成，可以擋雨遮陽的帽子。如：「斗笠」、「竹笠」。《詩經．周頌．哀耜》：「其笠伊糾，其鎛斯趙。」漢．毛亨．傳：「笠，所以禦暑雨也。」唐．柳宗元〈江雪〉詩：「孤舟蓑笠翁，獨釣寒江雪。」 |</v>
      </c>
    </row>
    <row r="5203" spans="1:44" hidden="1">
      <c r="A5203" s="1" t="s">
        <v>8444</v>
      </c>
      <c r="C5203" s="1">
        <v>1</v>
      </c>
      <c r="D5203" s="1" t="str">
        <f>"03443"</f>
        <v>03443</v>
      </c>
      <c r="E5203" s="1" t="s">
        <v>37</v>
      </c>
      <c r="F5203" s="1">
        <v>14</v>
      </c>
      <c r="G5203" s="1">
        <v>10</v>
      </c>
      <c r="H5203" s="1">
        <v>0</v>
      </c>
      <c r="I5203" s="1" t="s">
        <v>8429</v>
      </c>
      <c r="K5203" s="1" t="str">
        <f t="shared" si="334"/>
        <v>ㄌ</v>
      </c>
      <c r="L5203" s="1" t="str">
        <f t="shared" si="335"/>
        <v>ㄧ</v>
      </c>
      <c r="N5203" s="3" t="s">
        <v>30574</v>
      </c>
      <c r="O5203" s="3"/>
      <c r="P5203" s="1" t="s">
        <v>20</v>
      </c>
      <c r="R5203" s="1" t="s">
        <v>8430</v>
      </c>
      <c r="V5203" s="1" t="s">
        <v>8445</v>
      </c>
      <c r="AR5203" s="1" t="str">
        <f t="shared" si="333"/>
        <v>| [ㄌㄧˋ](ㄌㄧˋ.md) | [蒞](蒞.md) |  | lì | [動]
光臨、來到。如：「蒞臨」、「蒞會」。《國語．周語上》：「是故祓除其心，以和惠民，考中度衷以蒞之。」《孟子．梁惠王上》：「欲辟土地，朝秦、楚，蒞中國而撫四夷也。」
[形]
參見「蒞蒞」條。 |</v>
      </c>
    </row>
    <row r="5204" spans="1:44" hidden="1">
      <c r="A5204" s="1" t="s">
        <v>8446</v>
      </c>
      <c r="C5204" s="1">
        <v>1</v>
      </c>
      <c r="D5204" s="1" t="str">
        <f>"03444"</f>
        <v>03444</v>
      </c>
      <c r="E5204" s="1" t="s">
        <v>272</v>
      </c>
      <c r="F5204" s="1">
        <v>16</v>
      </c>
      <c r="G5204" s="1">
        <v>5</v>
      </c>
      <c r="H5204" s="1">
        <v>0</v>
      </c>
      <c r="I5204" s="1" t="s">
        <v>8429</v>
      </c>
      <c r="K5204" s="1" t="str">
        <f t="shared" si="334"/>
        <v>ㄌ</v>
      </c>
      <c r="L5204" s="1" t="str">
        <f t="shared" si="335"/>
        <v>ㄧ</v>
      </c>
      <c r="N5204" s="3" t="s">
        <v>30574</v>
      </c>
      <c r="O5204" s="3"/>
      <c r="P5204" s="1" t="s">
        <v>20</v>
      </c>
      <c r="R5204" s="1" t="s">
        <v>8430</v>
      </c>
      <c r="V5204" s="1" t="s">
        <v>8447</v>
      </c>
      <c r="AR5204" s="1" t="str">
        <f t="shared" si="333"/>
        <v>| [ㄌㄧˋ](ㄌㄧˋ.md) | [鴗](鴗.md) |  | lì | [名]_x000D_
動物名。即翠鳥。體小，比麻雀稍大。頭大，尾短。口喙直長，白頸紅嘴，羽多青翠。多生活於湖沼水邊的樹林，以捕食魚蝦為生。因擅捕魚，也稱為「魚狗」。《爾雅．釋鳥》：「鴗，天狗。」晉．郭璞．注：「小鳥也，青似翠，食魚，江東呼為水狗。」 |</v>
      </c>
    </row>
    <row r="5205" spans="1:44" hidden="1">
      <c r="A5205" s="1" t="s">
        <v>8448</v>
      </c>
      <c r="C5205" s="1">
        <v>1</v>
      </c>
      <c r="D5205" s="1" t="str">
        <f>"03445"</f>
        <v>03445</v>
      </c>
      <c r="E5205" s="1" t="s">
        <v>28</v>
      </c>
      <c r="F5205" s="1">
        <v>6</v>
      </c>
      <c r="G5205" s="1">
        <v>3</v>
      </c>
      <c r="H5205" s="1">
        <v>0</v>
      </c>
      <c r="I5205" s="1" t="s">
        <v>8429</v>
      </c>
      <c r="K5205" s="1" t="str">
        <f t="shared" si="334"/>
        <v>ㄌ</v>
      </c>
      <c r="L5205" s="1" t="str">
        <f t="shared" si="335"/>
        <v>ㄧ</v>
      </c>
      <c r="N5205" s="3" t="s">
        <v>30574</v>
      </c>
      <c r="O5205" s="3"/>
      <c r="P5205" s="1" t="s">
        <v>20</v>
      </c>
      <c r="R5205" s="1" t="s">
        <v>8430</v>
      </c>
      <c r="V5205" s="1" t="s">
        <v>8449</v>
      </c>
      <c r="AR5205" s="1" t="str">
        <f t="shared" si="333"/>
        <v>| [ㄌㄧˋ](ㄌㄧˋ.md) | [吏](吏.md) |  | lì | [名]
1.在政府機關中處理公務的人員。如：「官吏」、「酷吏」、「貪官汙吏」。《史記．卷一二六．滑稽傳》：「即使吏卒共抱大巫嫗投之河中。」
2.姓。如漢代有吏宗。 |</v>
      </c>
    </row>
    <row r="5206" spans="1:44" hidden="1">
      <c r="A5206" s="1" t="s">
        <v>8450</v>
      </c>
      <c r="C5206" s="1">
        <v>1</v>
      </c>
      <c r="D5206" s="1" t="str">
        <f>"03446"</f>
        <v>03446</v>
      </c>
      <c r="E5206" s="1" t="s">
        <v>185</v>
      </c>
      <c r="F5206" s="1">
        <v>7</v>
      </c>
      <c r="G5206" s="1">
        <v>5</v>
      </c>
      <c r="H5206" s="1">
        <v>0</v>
      </c>
      <c r="I5206" s="1" t="s">
        <v>8429</v>
      </c>
      <c r="K5206" s="1" t="str">
        <f t="shared" si="334"/>
        <v>ㄌ</v>
      </c>
      <c r="L5206" s="1" t="str">
        <f t="shared" si="335"/>
        <v>ㄧ</v>
      </c>
      <c r="N5206" s="3" t="s">
        <v>30574</v>
      </c>
      <c r="O5206" s="3"/>
      <c r="P5206" s="1" t="s">
        <v>20</v>
      </c>
      <c r="R5206" s="1" t="s">
        <v>8430</v>
      </c>
      <c r="V5206" s="1" t="s">
        <v>8451</v>
      </c>
      <c r="AR5206" s="1" t="str">
        <f t="shared" si="333"/>
        <v>| [ㄌㄧˋ](ㄌㄧˋ.md) | [利](利.md) |  | lì | [名]
1.好處、益處。如：「利益」、「福利」、「漁翁得利」。《論語．里仁》：「君子喻於義，小人喻於利。」
2.從本金生出的子錢。如：「利息」、「利潤」、「紅利」、「高利貸」。
3.姓。如漢代有利乾。
[動]
有益於。如：「利人利己」。
[形]
1.鋒銳。如：「銳利」、「鋒利」。《孟子．公孫丑下》：「兵革非不堅利也，米粟非不多也。」
2.祥瑞、順利。如：「大吉大利」。《史記．卷八．高祖本紀》：「東陽𡩋君、沛公引兵西，與戰蕭西，不利。」 |</v>
      </c>
    </row>
    <row r="5207" spans="1:44" hidden="1">
      <c r="A5207" s="1" t="s">
        <v>8452</v>
      </c>
      <c r="C5207" s="1">
        <v>1</v>
      </c>
      <c r="D5207" s="1" t="str">
        <f>"03447"</f>
        <v>03447</v>
      </c>
      <c r="E5207" s="1" t="s">
        <v>114</v>
      </c>
      <c r="F5207" s="1">
        <v>9</v>
      </c>
      <c r="G5207" s="1">
        <v>7</v>
      </c>
      <c r="H5207" s="1">
        <v>0</v>
      </c>
      <c r="I5207" s="1" t="s">
        <v>8429</v>
      </c>
      <c r="K5207" s="1" t="str">
        <f t="shared" si="334"/>
        <v>ㄌ</v>
      </c>
      <c r="L5207" s="1" t="str">
        <f t="shared" si="335"/>
        <v>ㄧ</v>
      </c>
      <c r="N5207" s="3" t="s">
        <v>30574</v>
      </c>
      <c r="O5207" s="3"/>
      <c r="P5207" s="1" t="s">
        <v>20</v>
      </c>
      <c r="R5207" s="1" t="s">
        <v>8430</v>
      </c>
      <c r="V5207" s="1" t="s">
        <v>8453</v>
      </c>
      <c r="AR5207" s="1" t="str">
        <f t="shared" si="333"/>
        <v>| [ㄌㄧˋ](ㄌㄧˋ.md) | [俐](俐.md) |  | lì | 參見「俐亮」、「俐落」等條。 |</v>
      </c>
    </row>
    <row r="5208" spans="1:44" hidden="1">
      <c r="A5208" s="1" t="s">
        <v>8454</v>
      </c>
      <c r="C5208" s="1">
        <v>1</v>
      </c>
      <c r="D5208" s="1" t="str">
        <f>"03448"</f>
        <v>03448</v>
      </c>
      <c r="E5208" s="1" t="s">
        <v>198</v>
      </c>
      <c r="F5208" s="1">
        <v>10</v>
      </c>
      <c r="G5208" s="1">
        <v>7</v>
      </c>
      <c r="H5208" s="1">
        <v>0</v>
      </c>
      <c r="I5208" s="1" t="s">
        <v>8429</v>
      </c>
      <c r="K5208" s="1" t="str">
        <f t="shared" si="334"/>
        <v>ㄌ</v>
      </c>
      <c r="L5208" s="1" t="str">
        <f t="shared" si="335"/>
        <v>ㄧ</v>
      </c>
      <c r="N5208" s="3" t="s">
        <v>30574</v>
      </c>
      <c r="O5208" s="3"/>
      <c r="P5208" s="1" t="s">
        <v>20</v>
      </c>
      <c r="R5208" s="1" t="s">
        <v>8430</v>
      </c>
      <c r="V5208" s="1" t="s">
        <v>8455</v>
      </c>
      <c r="AR5208" s="1" t="str">
        <f t="shared" si="333"/>
        <v>| [ㄌㄧˋ](ㄌㄧˋ.md) | [猁](猁.md) |  | lì | 參見「猞猁孫」條。 |</v>
      </c>
    </row>
    <row r="5209" spans="1:44" hidden="1">
      <c r="A5209" s="1" t="s">
        <v>8456</v>
      </c>
      <c r="C5209" s="1">
        <v>1</v>
      </c>
      <c r="D5209" s="1" t="str">
        <f>"03449"</f>
        <v>03449</v>
      </c>
      <c r="E5209" s="1" t="s">
        <v>142</v>
      </c>
      <c r="F5209" s="1">
        <v>11</v>
      </c>
      <c r="G5209" s="1">
        <v>7</v>
      </c>
      <c r="H5209" s="1">
        <v>0</v>
      </c>
      <c r="I5209" s="1" t="s">
        <v>8429</v>
      </c>
      <c r="K5209" s="1" t="str">
        <f t="shared" si="334"/>
        <v>ㄌ</v>
      </c>
      <c r="L5209" s="1" t="str">
        <f t="shared" si="335"/>
        <v>ㄧ</v>
      </c>
      <c r="N5209" s="3" t="s">
        <v>30574</v>
      </c>
      <c r="O5209" s="3"/>
      <c r="P5209" s="1" t="s">
        <v>20</v>
      </c>
      <c r="R5209" s="1" t="s">
        <v>8430</v>
      </c>
      <c r="V5209" s="1" t="s">
        <v>8457</v>
      </c>
      <c r="AR5209" s="1" t="str">
        <f t="shared" si="333"/>
        <v>| [ㄌㄧˋ](ㄌㄧˋ.md) | [琍](琍.md) |  | lì | [名]
譯音用字。常用於西洋人名的翻譯。如：「瑪琍亞」、「維多琍亞」。 |</v>
      </c>
    </row>
    <row r="5210" spans="1:44" hidden="1">
      <c r="A5210" s="1" t="s">
        <v>8458</v>
      </c>
      <c r="C5210" s="1">
        <v>1</v>
      </c>
      <c r="D5210" s="1" t="str">
        <f>"03450"</f>
        <v>03450</v>
      </c>
      <c r="E5210" s="1" t="s">
        <v>37</v>
      </c>
      <c r="F5210" s="1">
        <v>11</v>
      </c>
      <c r="G5210" s="1">
        <v>7</v>
      </c>
      <c r="H5210" s="1">
        <v>0</v>
      </c>
      <c r="I5210" s="1" t="s">
        <v>8429</v>
      </c>
      <c r="K5210" s="1" t="str">
        <f t="shared" si="334"/>
        <v>ㄌ</v>
      </c>
      <c r="L5210" s="1" t="str">
        <f t="shared" si="335"/>
        <v>ㄧ</v>
      </c>
      <c r="N5210" s="3" t="s">
        <v>30574</v>
      </c>
      <c r="O5210" s="3"/>
      <c r="P5210" s="1" t="s">
        <v>20</v>
      </c>
      <c r="R5210" s="1" t="s">
        <v>8430</v>
      </c>
      <c r="V5210" s="1" t="s">
        <v>2707</v>
      </c>
      <c r="AR5210" s="1" t="str">
        <f t="shared" si="333"/>
        <v>| [ㄌㄧˋ](ㄌㄧˋ.md) | [莉](莉.md) |  | lì | 參見「茉莉」條。 |</v>
      </c>
    </row>
    <row r="5211" spans="1:44" hidden="1">
      <c r="A5211" s="1" t="s">
        <v>8459</v>
      </c>
      <c r="C5211" s="1">
        <v>1</v>
      </c>
      <c r="D5211" s="1" t="str">
        <f>"03451"</f>
        <v>03451</v>
      </c>
      <c r="E5211" s="1" t="s">
        <v>40</v>
      </c>
      <c r="F5211" s="1">
        <v>12</v>
      </c>
      <c r="G5211" s="1">
        <v>7</v>
      </c>
      <c r="H5211" s="1">
        <v>0</v>
      </c>
      <c r="I5211" s="1" t="s">
        <v>8429</v>
      </c>
      <c r="K5211" s="1" t="str">
        <f t="shared" si="334"/>
        <v>ㄌ</v>
      </c>
      <c r="L5211" s="1" t="str">
        <f t="shared" si="335"/>
        <v>ㄧ</v>
      </c>
      <c r="N5211" s="3" t="s">
        <v>30574</v>
      </c>
      <c r="O5211" s="3"/>
      <c r="P5211" s="1" t="s">
        <v>20</v>
      </c>
      <c r="R5211" s="1" t="s">
        <v>8430</v>
      </c>
      <c r="V5211" s="1" t="s">
        <v>8460</v>
      </c>
      <c r="AR5211" s="1" t="str">
        <f t="shared" si="333"/>
        <v>| [ㄌㄧˋ](ㄌㄧˋ.md) | [痢](痢.md) |  | lì | [名]
病名。一種由細菌或阿米巴原蟲所感染的腸道炎症。患者有強烈的腹瀉及腹絞痛，解便頻繁且稀薄，嚴重時便中有血，並伴隨著電解質和水分的流失，而導致嚴重虛脫。也稱為「痢疾」。 |</v>
      </c>
    </row>
    <row r="5212" spans="1:44" hidden="1">
      <c r="A5212" s="1" t="s">
        <v>8461</v>
      </c>
      <c r="C5212" s="1">
        <v>1</v>
      </c>
      <c r="D5212" s="1" t="str">
        <f>"03452"</f>
        <v>03452</v>
      </c>
      <c r="E5212" s="1" t="s">
        <v>129</v>
      </c>
      <c r="F5212" s="1">
        <v>8</v>
      </c>
      <c r="G5212" s="1">
        <v>5</v>
      </c>
      <c r="H5212" s="1">
        <v>0</v>
      </c>
      <c r="I5212" s="1" t="s">
        <v>8429</v>
      </c>
      <c r="K5212" s="1" t="str">
        <f t="shared" si="334"/>
        <v>ㄌ</v>
      </c>
      <c r="L5212" s="1" t="str">
        <f t="shared" si="335"/>
        <v>ㄧ</v>
      </c>
      <c r="N5212" s="3" t="s">
        <v>30574</v>
      </c>
      <c r="O5212" s="3"/>
      <c r="P5212" s="1" t="s">
        <v>20</v>
      </c>
      <c r="R5212" s="1" t="s">
        <v>8430</v>
      </c>
      <c r="V5212" s="1" t="s">
        <v>8462</v>
      </c>
      <c r="AR5212" s="1" t="str">
        <f t="shared" si="333"/>
        <v>| [ㄌㄧˋ](ㄌㄧˋ.md) | [沴](沴.md) |  | lì | [形]
水流不順暢。《說文解字．水部》：「沴，水不利也。」
[名]
惡氣、災病。唐．殷堯藩〈冬至酬劉使君〉詩：「漸喜一陽從地復，卻憐群沴逐冰消。」宋．文天祥〈正氣歌〉：「如此再寒暑，百沴自辟易。」 |</v>
      </c>
    </row>
    <row r="5213" spans="1:44" hidden="1">
      <c r="A5213" s="1" t="s">
        <v>8463</v>
      </c>
      <c r="C5213" s="1">
        <v>1</v>
      </c>
      <c r="D5213" s="1" t="str">
        <f>"03453"</f>
        <v>03453</v>
      </c>
      <c r="E5213" s="1" t="s">
        <v>114</v>
      </c>
      <c r="F5213" s="1">
        <v>8</v>
      </c>
      <c r="G5213" s="1">
        <v>6</v>
      </c>
      <c r="H5213" s="1">
        <v>0</v>
      </c>
      <c r="I5213" s="1" t="s">
        <v>8429</v>
      </c>
      <c r="K5213" s="1" t="str">
        <f t="shared" si="334"/>
        <v>ㄌ</v>
      </c>
      <c r="L5213" s="1" t="str">
        <f t="shared" si="335"/>
        <v>ㄧ</v>
      </c>
      <c r="N5213" s="3" t="s">
        <v>30574</v>
      </c>
      <c r="O5213" s="3"/>
      <c r="P5213" s="1" t="s">
        <v>20</v>
      </c>
      <c r="R5213" s="1" t="s">
        <v>8430</v>
      </c>
      <c r="V5213" s="1" t="s">
        <v>8464</v>
      </c>
      <c r="AR5213" s="1" t="str">
        <f t="shared" si="333"/>
        <v>| [ㄌㄧˋ](ㄌㄧˋ.md) | [例](例.md) |  | lì | [名]
可供比照或依據的標準。如：「慣例」、「體例」、「範例」、「史無前例」。
[動]
比類、比照。如：「以古例今」、「以此例彼」。
[副]
按規定的、照常的。如：「例行公事」。 |</v>
      </c>
    </row>
    <row r="5214" spans="1:44" hidden="1">
      <c r="A5214" s="1" t="s">
        <v>8465</v>
      </c>
      <c r="C5214" s="1">
        <v>1</v>
      </c>
      <c r="D5214" s="1" t="str">
        <f>"03454"</f>
        <v>03454</v>
      </c>
      <c r="E5214" s="1" t="s">
        <v>139</v>
      </c>
      <c r="F5214" s="1">
        <v>10</v>
      </c>
      <c r="G5214" s="1">
        <v>6</v>
      </c>
      <c r="H5214" s="1">
        <v>0</v>
      </c>
      <c r="I5214" s="1" t="s">
        <v>8429</v>
      </c>
      <c r="K5214" s="1" t="str">
        <f t="shared" si="334"/>
        <v>ㄌ</v>
      </c>
      <c r="L5214" s="1" t="str">
        <f t="shared" si="335"/>
        <v>ㄧ</v>
      </c>
      <c r="N5214" s="3" t="s">
        <v>30574</v>
      </c>
      <c r="O5214" s="3"/>
      <c r="P5214" s="1" t="s">
        <v>20</v>
      </c>
      <c r="R5214" s="1" t="s">
        <v>8430</v>
      </c>
      <c r="V5214" s="1" t="s">
        <v>8466</v>
      </c>
      <c r="AR5214" s="1" t="str">
        <f t="shared" si="333"/>
        <v>| [ㄌㄧˋ](ㄌㄧˋ.md) | [栵](栵.md) |  | lì | [名]
1.植物名。即茅栗。殼斗科板栗屬，落葉小喬木。幼枝有柔毛，葉倒卵狀橢圓形至長橢圓形，粗鋸齒緣，背面被灰色腺鱗。雄花序穗狀，雌花單生或混生於雄花序基部，殼斗密生銳刺，刺上有疏毛。堅果闊卵圓形，可食，木材可供薪用。《爾雅．釋木》：「栵，栭。」晉．郭璞．注：「今江東亦呼為栭栗。」明．李時珍《本草綱目．卷二九．果部．栗》：「栗之大者為板栗，……小如指頂者為茅栗，即《爾雅》所謂栭栗也。一名栵栗。可炒食之。」也稱為「茅栗」。
2.成行而生的樹木。《詩經．大雅．皇矣》：「脩之平之，其灌其栵。」明．方以智《物理小識．卷九．草木類上．枸橘》：「枸橘穰綯間，溝泥種成栵。」 |</v>
      </c>
    </row>
    <row r="5215" spans="1:44" hidden="1">
      <c r="A5215" s="1" t="s">
        <v>8467</v>
      </c>
      <c r="C5215" s="1">
        <v>1</v>
      </c>
      <c r="D5215" s="1" t="str">
        <f>"03455"</f>
        <v>03455</v>
      </c>
      <c r="E5215" s="1" t="s">
        <v>1252</v>
      </c>
      <c r="F5215" s="1">
        <v>8</v>
      </c>
      <c r="G5215" s="1">
        <v>4</v>
      </c>
      <c r="H5215" s="1">
        <v>0</v>
      </c>
      <c r="I5215" s="1" t="s">
        <v>8429</v>
      </c>
      <c r="K5215" s="1" t="str">
        <f t="shared" si="334"/>
        <v>ㄌ</v>
      </c>
      <c r="L5215" s="1" t="str">
        <f t="shared" si="335"/>
        <v>ㄧ</v>
      </c>
      <c r="N5215" s="3" t="s">
        <v>30574</v>
      </c>
      <c r="O5215" s="3"/>
      <c r="P5215" s="1" t="s">
        <v>20</v>
      </c>
      <c r="R5215" s="1" t="s">
        <v>8430</v>
      </c>
      <c r="V5215" s="1" t="s">
        <v>8468</v>
      </c>
      <c r="AR5215" s="1" t="str">
        <f t="shared" si="333"/>
        <v>| [ㄌㄧˋ](ㄌㄧˋ.md) | [戾](戾.md) |  | lì | [形]
1.兇狠暴烈。如：「暴戾」。《北史．卷六三．蘇綽傳》：「然其性狠戾，不切世要，求名太甚。」
2.勁疾。《文選．潘岳．秋興賦》：「庭樹槭以灑落兮，勁風戾而吹帷。」唐．李善．注：「戾，勁疾之貌。」
[動]
1.到達。《詩經．大雅．旱麓》：「鳶飛戾天，魚躍于淵。」唐．劉禹錫〈飛鳶操〉詩：「鷹隼儀形螻蟻心，雖能戾天何足貴。」
2.違背。《淮南子．覽冥》：「舉事戾蒼天，發號逆四時。」
[名]
罪過。《左傳．文公四年》：「君辱貺之，其敢干大禮以自取戾。」晉．杜預．注：「戾，罪也。」 |</v>
      </c>
    </row>
    <row r="5216" spans="1:44" hidden="1">
      <c r="A5216" s="1" t="s">
        <v>8469</v>
      </c>
      <c r="C5216" s="1">
        <v>1</v>
      </c>
      <c r="D5216" s="1" t="str">
        <f>"03456"</f>
        <v>03456</v>
      </c>
      <c r="E5216" s="1" t="s">
        <v>250</v>
      </c>
      <c r="F5216" s="1">
        <v>11</v>
      </c>
      <c r="G5216" s="1">
        <v>8</v>
      </c>
      <c r="H5216" s="1">
        <v>0</v>
      </c>
      <c r="I5216" s="1" t="s">
        <v>8429</v>
      </c>
      <c r="K5216" s="1" t="str">
        <f t="shared" si="334"/>
        <v>ㄌ</v>
      </c>
      <c r="L5216" s="1" t="str">
        <f t="shared" si="335"/>
        <v>ㄧ</v>
      </c>
      <c r="N5216" s="3" t="s">
        <v>30574</v>
      </c>
      <c r="O5216" s="3"/>
      <c r="P5216" s="1" t="s">
        <v>20</v>
      </c>
      <c r="R5216" s="1" t="s">
        <v>8430</v>
      </c>
      <c r="V5216" s="1" t="s">
        <v>8470</v>
      </c>
      <c r="AR5216" s="1" t="str">
        <f t="shared" si="333"/>
        <v>| [ㄌㄧˋ](ㄌㄧˋ.md) | [悷](悷.md) |  | lì | [形]
悲傷。《集韻．去聲．霽韻》：「悷，懍悷，悲貌。」《楚辭．宋玉．九辯》：「靚杪秋之遙夜兮，心繚悷而有哀。」 |</v>
      </c>
    </row>
    <row r="5217" spans="1:44" hidden="1">
      <c r="A5217" s="1" t="s">
        <v>8471</v>
      </c>
      <c r="C5217" s="1">
        <v>1</v>
      </c>
      <c r="D5217" s="1" t="str">
        <f>"03457"</f>
        <v>03457</v>
      </c>
      <c r="E5217" s="1" t="s">
        <v>24</v>
      </c>
      <c r="F5217" s="1">
        <v>11</v>
      </c>
      <c r="G5217" s="1">
        <v>8</v>
      </c>
      <c r="H5217" s="1">
        <v>2</v>
      </c>
      <c r="I5217" s="1" t="s">
        <v>8429</v>
      </c>
      <c r="K5217" s="1" t="str">
        <f t="shared" si="334"/>
        <v>ㄌ</v>
      </c>
      <c r="L5217" s="1" t="str">
        <f t="shared" si="335"/>
        <v>ㄧ</v>
      </c>
      <c r="N5217" s="3" t="s">
        <v>30574</v>
      </c>
      <c r="O5217" s="3"/>
      <c r="P5217" s="1" t="s">
        <v>20</v>
      </c>
      <c r="R5217" s="1" t="s">
        <v>8430</v>
      </c>
      <c r="V5217" s="1" t="s">
        <v>8472</v>
      </c>
      <c r="W5217" s="1" t="s">
        <v>8473</v>
      </c>
      <c r="AR5217" s="1" t="str">
        <f t="shared" si="333"/>
        <v>| [ㄌㄧˋ](ㄌㄧˋ.md) | [捩](捩.md) |  | lì | [名]
彈琵琶所用的弦撥。《廣韻．去聲．霽韻》：「捩，琵琶撥也。」南朝梁．簡文帝〈詠內人晝眠〉詩：「攀鉤落綺障，插捩舉琵琶。」 |</v>
      </c>
    </row>
    <row r="5218" spans="1:44" hidden="1">
      <c r="A5218" s="1" t="s">
        <v>8474</v>
      </c>
      <c r="C5218" s="1">
        <v>1</v>
      </c>
      <c r="D5218" s="1" t="str">
        <f>"03458"</f>
        <v>03458</v>
      </c>
      <c r="E5218" s="1" t="s">
        <v>28</v>
      </c>
      <c r="F5218" s="1">
        <v>11</v>
      </c>
      <c r="G5218" s="1">
        <v>8</v>
      </c>
      <c r="H5218" s="1">
        <v>0</v>
      </c>
      <c r="I5218" s="1" t="s">
        <v>8429</v>
      </c>
      <c r="K5218" s="1" t="str">
        <f t="shared" si="334"/>
        <v>ㄌ</v>
      </c>
      <c r="L5218" s="1" t="str">
        <f t="shared" si="335"/>
        <v>ㄧ</v>
      </c>
      <c r="N5218" s="3" t="s">
        <v>30574</v>
      </c>
      <c r="O5218" s="3"/>
      <c r="P5218" s="1" t="s">
        <v>20</v>
      </c>
      <c r="R5218" s="1" t="s">
        <v>8430</v>
      </c>
      <c r="V5218" s="1" t="s">
        <v>8475</v>
      </c>
      <c r="AR5218" s="1" t="str">
        <f t="shared" si="333"/>
        <v>| [ㄌㄧˋ](ㄌㄧˋ.md) | [唳](唳.md) |  | lì | [動]
鳥類高聲鳴叫。如：「風聲鶴唳」。《晉書．卷五四．陸機傳》：「華亭鶴唳，豈可復聞乎！」清．黃叔璥《臺海使槎錄．卷一．風信》：「又饑鳶高唳，海雀驚飛，則踰日必風。」 |</v>
      </c>
    </row>
    <row r="5219" spans="1:44" hidden="1">
      <c r="A5219" s="1" t="s">
        <v>8476</v>
      </c>
      <c r="C5219" s="1">
        <v>1</v>
      </c>
      <c r="D5219" s="1" t="str">
        <f>"03459"</f>
        <v>03459</v>
      </c>
      <c r="E5219" s="1" t="s">
        <v>725</v>
      </c>
      <c r="F5219" s="1">
        <v>14</v>
      </c>
      <c r="G5219" s="1">
        <v>8</v>
      </c>
      <c r="H5219" s="1">
        <v>0</v>
      </c>
      <c r="I5219" s="1" t="s">
        <v>8429</v>
      </c>
      <c r="K5219" s="1" t="str">
        <f t="shared" si="334"/>
        <v>ㄌ</v>
      </c>
      <c r="L5219" s="1" t="str">
        <f t="shared" si="335"/>
        <v>ㄧ</v>
      </c>
      <c r="N5219" s="3" t="s">
        <v>30574</v>
      </c>
      <c r="O5219" s="3"/>
      <c r="P5219" s="1" t="s">
        <v>20</v>
      </c>
      <c r="R5219" s="1" t="s">
        <v>8430</v>
      </c>
      <c r="V5219" s="1" t="s">
        <v>8477</v>
      </c>
      <c r="AR5219" s="1" t="str">
        <f t="shared" si="333"/>
        <v>| [ㄌㄧˋ](ㄌㄧˋ.md) | [綟](綟.md) |  | lì | [形]
青綠色。《東觀漢記．卷四．百官表》：「印綬漢制公侯紫綬，九卿青綬。建武元年，復設諸侯王金璽綟綬，公侯金印紫綬。」 |</v>
      </c>
    </row>
    <row r="5220" spans="1:44" hidden="1">
      <c r="A5220" s="1" t="s">
        <v>8478</v>
      </c>
      <c r="C5220" s="1">
        <v>1</v>
      </c>
      <c r="D5220" s="1" t="str">
        <f>"03460"</f>
        <v>03460</v>
      </c>
      <c r="E5220" s="1" t="s">
        <v>275</v>
      </c>
      <c r="F5220" s="1">
        <v>10</v>
      </c>
      <c r="G5220" s="1">
        <v>0</v>
      </c>
      <c r="H5220" s="1">
        <v>2</v>
      </c>
      <c r="I5220" s="1" t="s">
        <v>8429</v>
      </c>
      <c r="K5220" s="1" t="str">
        <f t="shared" si="334"/>
        <v>ㄌ</v>
      </c>
      <c r="L5220" s="1" t="str">
        <f t="shared" si="335"/>
        <v>ㄧ</v>
      </c>
      <c r="N5220" s="3" t="s">
        <v>30574</v>
      </c>
      <c r="O5220" s="3"/>
      <c r="P5220" s="1" t="s">
        <v>20</v>
      </c>
      <c r="R5220" s="1" t="s">
        <v>8430</v>
      </c>
      <c r="V5220" s="1" t="s">
        <v>8479</v>
      </c>
      <c r="W5220" s="1" t="s">
        <v>8480</v>
      </c>
      <c r="AR5220" s="1" t="str">
        <f t="shared" si="333"/>
        <v>| [ㄌㄧˋ](ㄌㄧˋ.md) | [鬲](鬲.md) |  | lì | [名]
1.一種古代的炊具。圓口，似鼎有三足，足部中空，便於加熱炊煮。《說文解字．鬲部》：「鬲，鼎屬也，實五觳，斗二升曰觳。象腹交文，三足。」《漢書．卷二五．郊祀志上》：「禹收九牧之金，鑄九鼎，……，其空足曰鬲。」
2.一種古代喪葬時所用的瓦瓶。《禮記．喪大記》：「陶人出重鬲，管人受沐。」
3.二一四部首之一。 |</v>
      </c>
    </row>
    <row r="5221" spans="1:44" hidden="1">
      <c r="A5221" s="1" t="s">
        <v>8481</v>
      </c>
      <c r="C5221" s="1">
        <v>1</v>
      </c>
      <c r="D5221" s="1" t="str">
        <f>"03461"</f>
        <v>03461</v>
      </c>
      <c r="E5221" s="1" t="s">
        <v>55</v>
      </c>
      <c r="F5221" s="1">
        <v>18</v>
      </c>
      <c r="G5221" s="1">
        <v>10</v>
      </c>
      <c r="H5221" s="1">
        <v>2</v>
      </c>
      <c r="I5221" s="1" t="s">
        <v>8429</v>
      </c>
      <c r="K5221" s="1" t="str">
        <f t="shared" si="334"/>
        <v>ㄌ</v>
      </c>
      <c r="L5221" s="1" t="str">
        <f t="shared" si="335"/>
        <v>ㄧ</v>
      </c>
      <c r="N5221" s="3" t="s">
        <v>30574</v>
      </c>
      <c r="O5221" s="3"/>
      <c r="P5221" s="1" t="s">
        <v>20</v>
      </c>
      <c r="R5221" s="1" t="s">
        <v>8430</v>
      </c>
      <c r="V5221" s="1" t="s">
        <v>8482</v>
      </c>
      <c r="W5221" s="1" t="s">
        <v>8483</v>
      </c>
      <c r="AR5221" s="1" t="str">
        <f t="shared" si="333"/>
        <v>| [ㄌㄧˋ](ㄌㄧˋ.md) | [鎘](鎘.md) |  | lì | [名]
一種鼎。古代用來炊煮食物的器具。同「鬲」。唐．王維〈胡居士臥病遺米因贈〉詩：「床上無氈臥，鎘中有粥否？」 |</v>
      </c>
    </row>
    <row r="5222" spans="1:44" hidden="1">
      <c r="A5222" s="1" t="s">
        <v>8484</v>
      </c>
      <c r="C5222" s="1">
        <v>1</v>
      </c>
      <c r="D5222" s="1" t="str">
        <f>"03462"</f>
        <v>03462</v>
      </c>
      <c r="E5222" s="1" t="s">
        <v>139</v>
      </c>
      <c r="F5222" s="1">
        <v>10</v>
      </c>
      <c r="G5222" s="1">
        <v>6</v>
      </c>
      <c r="H5222" s="1">
        <v>0</v>
      </c>
      <c r="I5222" s="1" t="s">
        <v>8429</v>
      </c>
      <c r="K5222" s="1" t="str">
        <f t="shared" si="334"/>
        <v>ㄌ</v>
      </c>
      <c r="L5222" s="1" t="str">
        <f t="shared" si="335"/>
        <v>ㄧ</v>
      </c>
      <c r="N5222" s="3" t="s">
        <v>30574</v>
      </c>
      <c r="O5222" s="3"/>
      <c r="P5222" s="1" t="s">
        <v>20</v>
      </c>
      <c r="R5222" s="1" t="s">
        <v>8430</v>
      </c>
      <c r="V5222" s="1" t="s">
        <v>8485</v>
      </c>
      <c r="AR5222" s="1" t="str">
        <f t="shared" si="333"/>
        <v>| [ㄌㄧˋ](ㄌㄧˋ.md) | [栗](栗.md) |  | lì | [名]
1.植物名。殼斗科板栗屬，「板栗」及「栵」之混稱，參見「板栗」條。
2.姓。如漢代有栗融。
[動]
畏懼。通「慄」。《論語．八佾》：「哀公問社於宰我……，曰使民戰栗。」《漢書．卷六六．公孫劉田王楊蔡陳鄭傳．楊敞》：「眾毀所歸，不寒而栗。」
[形]
1.堅固。《禮記．聘義》：「夫昔者君子比德於玉焉，溫潤而澤，仁也；縝密以栗，知也。」漢．鄭玄．注：「栗，堅貌。」
2.敬謹、戒慎。《書經．舜典》：「直而溫，寬而栗。」唐．孔穎達．正義：「謂矜莊嚴。栗者，謹敬也。」
3.威嚴。《司馬法．卷四．嚴位》：「凡戰之道：位欲嚴；政欲栗。」 |</v>
      </c>
    </row>
    <row r="5223" spans="1:44" hidden="1">
      <c r="A5223" s="1" t="s">
        <v>8486</v>
      </c>
      <c r="C5223" s="1">
        <v>1</v>
      </c>
      <c r="D5223" s="1" t="str">
        <f>"03463"</f>
        <v>03463</v>
      </c>
      <c r="E5223" s="1" t="s">
        <v>114</v>
      </c>
      <c r="F5223" s="1">
        <v>12</v>
      </c>
      <c r="G5223" s="1">
        <v>10</v>
      </c>
      <c r="H5223" s="1">
        <v>0</v>
      </c>
      <c r="I5223" s="1" t="s">
        <v>8429</v>
      </c>
      <c r="K5223" s="1" t="str">
        <f t="shared" si="334"/>
        <v>ㄌ</v>
      </c>
      <c r="L5223" s="1" t="str">
        <f t="shared" si="335"/>
        <v>ㄧ</v>
      </c>
      <c r="N5223" s="3" t="s">
        <v>30574</v>
      </c>
      <c r="O5223" s="3"/>
      <c r="P5223" s="1" t="s">
        <v>20</v>
      </c>
      <c r="R5223" s="1" t="s">
        <v>8430</v>
      </c>
      <c r="V5223" s="1" t="s">
        <v>8487</v>
      </c>
      <c r="AR5223" s="1" t="str">
        <f t="shared" si="333"/>
        <v>| [ㄌㄧˋ](ㄌㄧˋ.md) | [傈](傈.md) |  | lì | [名]
中國少數民族之一。參見「傈僳族」條。 |</v>
      </c>
    </row>
    <row r="5224" spans="1:44" hidden="1">
      <c r="A5224" s="1" t="s">
        <v>8488</v>
      </c>
      <c r="C5224" s="1">
        <v>1</v>
      </c>
      <c r="D5224" s="1" t="str">
        <f>"03464"</f>
        <v>03464</v>
      </c>
      <c r="E5224" s="1" t="s">
        <v>129</v>
      </c>
      <c r="F5224" s="1">
        <v>13</v>
      </c>
      <c r="G5224" s="1">
        <v>10</v>
      </c>
      <c r="H5224" s="1">
        <v>0</v>
      </c>
      <c r="I5224" s="1" t="s">
        <v>8429</v>
      </c>
      <c r="K5224" s="1" t="str">
        <f t="shared" si="334"/>
        <v>ㄌ</v>
      </c>
      <c r="L5224" s="1" t="str">
        <f t="shared" si="335"/>
        <v>ㄧ</v>
      </c>
      <c r="N5224" s="3" t="s">
        <v>30574</v>
      </c>
      <c r="O5224" s="3"/>
      <c r="P5224" s="1" t="s">
        <v>20</v>
      </c>
      <c r="R5224" s="1" t="s">
        <v>8430</v>
      </c>
      <c r="V5224" s="1" t="s">
        <v>8489</v>
      </c>
      <c r="AR5224" s="1" t="str">
        <f t="shared" si="333"/>
        <v>| [ㄌㄧˋ](ㄌㄧˋ.md) | [溧](溧.md) |  | lì | 參見「溧水」條。 |</v>
      </c>
    </row>
    <row r="5225" spans="1:44" hidden="1">
      <c r="A5225" s="1" t="s">
        <v>8490</v>
      </c>
      <c r="C5225" s="1">
        <v>1</v>
      </c>
      <c r="D5225" s="1" t="str">
        <f>"03465"</f>
        <v>03465</v>
      </c>
      <c r="E5225" s="1" t="s">
        <v>250</v>
      </c>
      <c r="F5225" s="1">
        <v>13</v>
      </c>
      <c r="G5225" s="1">
        <v>10</v>
      </c>
      <c r="H5225" s="1">
        <v>0</v>
      </c>
      <c r="I5225" s="1" t="s">
        <v>8429</v>
      </c>
      <c r="K5225" s="1" t="str">
        <f t="shared" si="334"/>
        <v>ㄌ</v>
      </c>
      <c r="L5225" s="1" t="str">
        <f t="shared" si="335"/>
        <v>ㄧ</v>
      </c>
      <c r="N5225" s="3" t="s">
        <v>30574</v>
      </c>
      <c r="O5225" s="3"/>
      <c r="P5225" s="1" t="s">
        <v>20</v>
      </c>
      <c r="R5225" s="1" t="s">
        <v>8430</v>
      </c>
      <c r="V5225" s="1" t="s">
        <v>8491</v>
      </c>
      <c r="AR5225" s="1" t="str">
        <f t="shared" si="333"/>
        <v>| [ㄌㄧˋ](ㄌㄧˋ.md) | [慄](慄.md) |  | lì | [動]
因恐懼而發抖。如：「戰慄」、「不寒而慄」。《詩經．秦風．黃鳥》：「臨其穴，惴惴其慄。」唐．孟郊〈石淙〉詩十首之八：「古駭毛髮慄，險驚視聽乖。」 |</v>
      </c>
    </row>
    <row r="5226" spans="1:44" hidden="1">
      <c r="A5226" s="1" t="s">
        <v>8492</v>
      </c>
      <c r="C5226" s="1">
        <v>1</v>
      </c>
      <c r="D5226" s="1" t="str">
        <f>"03466"</f>
        <v>03466</v>
      </c>
      <c r="E5226" s="1" t="s">
        <v>49</v>
      </c>
      <c r="F5226" s="1">
        <v>16</v>
      </c>
      <c r="G5226" s="1">
        <v>10</v>
      </c>
      <c r="H5226" s="1">
        <v>0</v>
      </c>
      <c r="I5226" s="1" t="s">
        <v>8429</v>
      </c>
      <c r="K5226" s="1" t="str">
        <f t="shared" si="334"/>
        <v>ㄌ</v>
      </c>
      <c r="L5226" s="1" t="str">
        <f t="shared" si="335"/>
        <v>ㄧ</v>
      </c>
      <c r="N5226" s="3" t="s">
        <v>30574</v>
      </c>
      <c r="O5226" s="3"/>
      <c r="P5226" s="1" t="s">
        <v>20</v>
      </c>
      <c r="R5226" s="1" t="s">
        <v>8430</v>
      </c>
      <c r="V5226" s="1" t="s">
        <v>8493</v>
      </c>
      <c r="AR5226" s="1" t="str">
        <f t="shared" si="333"/>
        <v>| [ㄌㄧˋ](ㄌㄧˋ.md) | [篥](篥.md) |  | lì | 參見「觱篥」條。 |</v>
      </c>
    </row>
    <row r="5227" spans="1:44" hidden="1">
      <c r="A5227" s="1" t="s">
        <v>8494</v>
      </c>
      <c r="C5227" s="1">
        <v>1</v>
      </c>
      <c r="D5227" s="1" t="str">
        <f>"03467"</f>
        <v>03467</v>
      </c>
      <c r="E5227" s="1" t="s">
        <v>1941</v>
      </c>
      <c r="F5227" s="1">
        <v>12</v>
      </c>
      <c r="G5227" s="1">
        <v>10</v>
      </c>
      <c r="H5227" s="1">
        <v>0</v>
      </c>
      <c r="I5227" s="1" t="s">
        <v>8429</v>
      </c>
      <c r="K5227" s="1" t="str">
        <f t="shared" ref="K5227:K5258" si="336">LEFT(I5227, 1)</f>
        <v>ㄌ</v>
      </c>
      <c r="L5227" s="1" t="str">
        <f t="shared" ref="L5227:L5258" si="337">MID(I5227, 2, 1)</f>
        <v>ㄧ</v>
      </c>
      <c r="N5227" s="3" t="s">
        <v>30574</v>
      </c>
      <c r="O5227" s="3"/>
      <c r="P5227" s="1" t="s">
        <v>20</v>
      </c>
      <c r="R5227" s="1" t="s">
        <v>8430</v>
      </c>
      <c r="V5227" s="1" t="s">
        <v>8495</v>
      </c>
      <c r="AR5227" s="1" t="str">
        <f t="shared" si="333"/>
        <v>| [ㄌㄧˋ](ㄌㄧˋ.md) | [厤](厤.md) |  | lì | [動]
治理、研治。《說文解字．厂部》：「厤，治也。」《莊子．天下》：「厤物之意，曰：『至大無外，謂之大一；至小無內，謂之小一。』」
[名]
記載歲時的書籍。《玉篇．日部》：「曆，古本作厤。」同「曆」。南朝梁．鮑照〈河清頌〉：「素狐玄玉，聿肇符命；朴牛大螾，爰定祥厤。」 |</v>
      </c>
    </row>
    <row r="5228" spans="1:44" hidden="1">
      <c r="A5228" s="1" t="s">
        <v>8496</v>
      </c>
      <c r="C5228" s="1">
        <v>1</v>
      </c>
      <c r="D5228" s="1" t="str">
        <f>"03468"</f>
        <v>03468</v>
      </c>
      <c r="E5228" s="1" t="s">
        <v>1495</v>
      </c>
      <c r="F5228" s="1">
        <v>16</v>
      </c>
      <c r="G5228" s="1">
        <v>12</v>
      </c>
      <c r="H5228" s="1">
        <v>0</v>
      </c>
      <c r="I5228" s="1" t="s">
        <v>8429</v>
      </c>
      <c r="K5228" s="1" t="str">
        <f t="shared" si="336"/>
        <v>ㄌ</v>
      </c>
      <c r="L5228" s="1" t="str">
        <f t="shared" si="337"/>
        <v>ㄧ</v>
      </c>
      <c r="N5228" s="3" t="s">
        <v>30574</v>
      </c>
      <c r="O5228" s="3"/>
      <c r="P5228" s="1" t="s">
        <v>20</v>
      </c>
      <c r="R5228" s="1" t="s">
        <v>8430</v>
      </c>
      <c r="V5228" s="1" t="s">
        <v>8497</v>
      </c>
      <c r="AR5228" s="1" t="str">
        <f t="shared" si="333"/>
        <v>| [ㄌㄧˋ](ㄌㄧˋ.md) | [歷](歷.md) |  | lì | [動]
1.經過。如：「歷劫」、「歷險」、「歷盡滄桑」。
2.踰越。《呂氏春秋．孟冬紀．安死》：「徑庭歷級，非禮也。」明．徐弘祖《徐霞客遊記．卷一上．遊雁宕山日記》：「一步一喘，數里，始歷高巔。」
[形]
1.過去、已經過的。如：「歷代」、「歷屆」、「歷史」、「歷年」。《文選．沈約．宋書謝靈運傳論》：「至於先士茂製，諷高歷賞。」
2.分明的、清晰的。如：「歷歷在目」、「往事歷歷」。唐．崔顥〈黃鶴樓〉詩：「晴川歷歷漢陽樹，春草萋萋鸚鵡洲。」
[名]
過去的經驗。如：「學歷」、「資歷」、「履歷」。
[副]
遍、盡。《周禮．夏官．量人》：「凡宰祭與鬱人受斝，歷而皆飲之。」唐．李商隱〈詠史〉詩：「歷覽前賢國與家，成由勤儉破由奢。」 |</v>
      </c>
    </row>
    <row r="5229" spans="1:44" hidden="1">
      <c r="A5229" s="1" t="s">
        <v>8498</v>
      </c>
      <c r="C5229" s="1">
        <v>1</v>
      </c>
      <c r="D5229" s="1" t="str">
        <f>"03469"</f>
        <v>03469</v>
      </c>
      <c r="E5229" s="1" t="s">
        <v>646</v>
      </c>
      <c r="F5229" s="1">
        <v>16</v>
      </c>
      <c r="G5229" s="1">
        <v>12</v>
      </c>
      <c r="H5229" s="1">
        <v>0</v>
      </c>
      <c r="I5229" s="1" t="s">
        <v>8429</v>
      </c>
      <c r="K5229" s="1" t="str">
        <f t="shared" si="336"/>
        <v>ㄌ</v>
      </c>
      <c r="L5229" s="1" t="str">
        <f t="shared" si="337"/>
        <v>ㄧ</v>
      </c>
      <c r="N5229" s="3" t="s">
        <v>30574</v>
      </c>
      <c r="O5229" s="3"/>
      <c r="P5229" s="1" t="s">
        <v>20</v>
      </c>
      <c r="R5229" s="1" t="s">
        <v>8430</v>
      </c>
      <c r="V5229" s="1" t="s">
        <v>8499</v>
      </c>
      <c r="AR5229" s="1" t="str">
        <f t="shared" si="333"/>
        <v>| [ㄌㄧˋ](ㄌㄧˋ.md) | [曆](曆.md) |  | lì | [名]
1.推算歲時節氣的方法。如：「時憲曆」、「四分曆」、「太初曆」。《淮南子．本經》：「星月之行，可以曆推得也。」
2.記載年、月、日、節氣等的書冊。如：「日曆」、「月曆」。《樂府詩集．卷七三．雜曲歌辭十三．古辭．焦仲卿妻》：「視曆復開書，便利此月內。」《舊唐書．卷三二．曆志一》：「玄宗召見，令造新曆。」
3.年代、壽命。《漢書．卷一四．諸侯王表》：「周過其曆，秦不及期。」 |</v>
      </c>
    </row>
    <row r="5230" spans="1:44" hidden="1">
      <c r="A5230" s="1" t="s">
        <v>8500</v>
      </c>
      <c r="C5230" s="1">
        <v>1</v>
      </c>
      <c r="D5230" s="1" t="str">
        <f>"03470"</f>
        <v>03470</v>
      </c>
      <c r="E5230" s="1" t="s">
        <v>129</v>
      </c>
      <c r="F5230" s="1">
        <v>19</v>
      </c>
      <c r="G5230" s="1">
        <v>16</v>
      </c>
      <c r="H5230" s="1">
        <v>0</v>
      </c>
      <c r="I5230" s="1" t="s">
        <v>8429</v>
      </c>
      <c r="K5230" s="1" t="str">
        <f t="shared" si="336"/>
        <v>ㄌ</v>
      </c>
      <c r="L5230" s="1" t="str">
        <f t="shared" si="337"/>
        <v>ㄧ</v>
      </c>
      <c r="N5230" s="3" t="s">
        <v>30574</v>
      </c>
      <c r="O5230" s="3"/>
      <c r="P5230" s="1" t="s">
        <v>20</v>
      </c>
      <c r="R5230" s="1" t="s">
        <v>8430</v>
      </c>
      <c r="V5230" s="1" t="s">
        <v>8501</v>
      </c>
      <c r="AR5230" s="1" t="str">
        <f t="shared" si="333"/>
        <v>| [ㄌㄧˋ](ㄌㄧˋ.md) | [瀝](瀝.md) |  | lì | [動]
1.滴下、灑落。《說文解字．水部》：「瀝，水下滴瀝也。」如：「嘔心瀝血」。《文選．王延壽．魯靈光殿賦》：「動滴瀝以成響，殷雷應其若驚。」《喻世明言．卷二四．楊思溫燕山逢故人》：「思厚以酒瀝地為誓：『若負前言，在路盜賊殺戮，在水巨浪覆舟。』」
2.過濾使滲出。如：「瀝酒」。唐．段成式《酉陽雜俎．卷四．境異》：「阿薩部多獵蟲鹿，剖其肉，重疊之，以石壓瀝汁。」
[名]
水或酒的殘汁。《史記．卷一二六．滑稽傳．淳于髡傳》：「侍酒於前，時賜餘瀝。」宋．歐陽修〈憎蒼蠅賦〉：「杯盂殘瀝，砧几餘腥。」 |</v>
      </c>
    </row>
    <row r="5231" spans="1:44" hidden="1">
      <c r="A5231" s="1" t="s">
        <v>8502</v>
      </c>
      <c r="C5231" s="1">
        <v>1</v>
      </c>
      <c r="D5231" s="1" t="str">
        <f>"03471"</f>
        <v>03471</v>
      </c>
      <c r="E5231" s="1" t="s">
        <v>132</v>
      </c>
      <c r="F5231" s="1">
        <v>19</v>
      </c>
      <c r="G5231" s="1">
        <v>16</v>
      </c>
      <c r="H5231" s="1">
        <v>0</v>
      </c>
      <c r="I5231" s="1" t="s">
        <v>8429</v>
      </c>
      <c r="K5231" s="1" t="str">
        <f t="shared" si="336"/>
        <v>ㄌ</v>
      </c>
      <c r="L5231" s="1" t="str">
        <f t="shared" si="337"/>
        <v>ㄧ</v>
      </c>
      <c r="N5231" s="3" t="s">
        <v>30574</v>
      </c>
      <c r="O5231" s="3"/>
      <c r="P5231" s="1" t="s">
        <v>20</v>
      </c>
      <c r="R5231" s="1" t="s">
        <v>8430</v>
      </c>
      <c r="V5231" s="1" t="s">
        <v>8503</v>
      </c>
      <c r="AR5231" s="1" t="str">
        <f t="shared" si="333"/>
        <v>| [ㄌㄧˋ](ㄌㄧˋ.md) | [壢](壢.md) |  | lì | [名]
1.坑洞。《集韻．入聲．錫韻》：「壢，坑也。」
2.地名用字。如臺灣有中壢、內壢。 |</v>
      </c>
    </row>
    <row r="5232" spans="1:44" hidden="1">
      <c r="A5232" s="1" t="s">
        <v>8504</v>
      </c>
      <c r="C5232" s="1">
        <v>1</v>
      </c>
      <c r="D5232" s="1" t="str">
        <f>"03472"</f>
        <v>03472</v>
      </c>
      <c r="E5232" s="1" t="s">
        <v>28</v>
      </c>
      <c r="F5232" s="1">
        <v>19</v>
      </c>
      <c r="G5232" s="1">
        <v>16</v>
      </c>
      <c r="H5232" s="1">
        <v>0</v>
      </c>
      <c r="I5232" s="1" t="s">
        <v>8429</v>
      </c>
      <c r="K5232" s="1" t="str">
        <f t="shared" si="336"/>
        <v>ㄌ</v>
      </c>
      <c r="L5232" s="1" t="str">
        <f t="shared" si="337"/>
        <v>ㄧ</v>
      </c>
      <c r="N5232" s="3" t="s">
        <v>30574</v>
      </c>
      <c r="O5232" s="3"/>
      <c r="P5232" s="1" t="s">
        <v>20</v>
      </c>
      <c r="R5232" s="1" t="s">
        <v>8430</v>
      </c>
      <c r="V5232" s="1" t="s">
        <v>8505</v>
      </c>
      <c r="AR5232" s="1" t="str">
        <f t="shared" si="333"/>
        <v>| [ㄌㄧˋ](ㄌㄧˋ.md) | [嚦](嚦.md) |  | lì | [擬]
形容鳥類鳴叫的聲音。元．王實甫《西廂記．第一本．第一折》：「恰便似嚦嚦鶯聲花外囀。」明．徐弘祖《徐霞客遊記．卷一上．遊天台山日記》：「鶴巢於上，傳聲嘹嚦。」 |</v>
      </c>
    </row>
    <row r="5233" spans="1:44" hidden="1">
      <c r="A5233" s="1" t="s">
        <v>8506</v>
      </c>
      <c r="C5233" s="1">
        <v>1</v>
      </c>
      <c r="D5233" s="1" t="str">
        <f>"03473"</f>
        <v>03473</v>
      </c>
      <c r="E5233" s="1" t="s">
        <v>139</v>
      </c>
      <c r="F5233" s="1">
        <v>20</v>
      </c>
      <c r="G5233" s="1">
        <v>16</v>
      </c>
      <c r="H5233" s="1">
        <v>0</v>
      </c>
      <c r="I5233" s="1" t="s">
        <v>8429</v>
      </c>
      <c r="K5233" s="1" t="str">
        <f t="shared" si="336"/>
        <v>ㄌ</v>
      </c>
      <c r="L5233" s="1" t="str">
        <f t="shared" si="337"/>
        <v>ㄧ</v>
      </c>
      <c r="N5233" s="3" t="s">
        <v>30574</v>
      </c>
      <c r="O5233" s="3"/>
      <c r="P5233" s="1" t="s">
        <v>20</v>
      </c>
      <c r="R5233" s="1" t="s">
        <v>8430</v>
      </c>
      <c r="V5233" s="1" t="s">
        <v>8507</v>
      </c>
      <c r="AR5233" s="1" t="str">
        <f t="shared" si="333"/>
        <v>| [ㄌㄧˋ](ㄌㄧˋ.md) | [櫪](櫪.md) |  | lì | [名]
1.馬槽，泛指馬房。漢．曹操〈步出夏門行〉：「老驥伏櫪，志在千里。」唐．岑參〈玉門關蓋將軍歌〉：「櫪上昂昂皆駿駒，桃花叱撥價最殊。」
2.同「櫟」。唐．韓愈〈山石〉詩：「山紅澗碧紛爛漫，時見松櫪皆十圍。」 |</v>
      </c>
    </row>
    <row r="5234" spans="1:44" hidden="1">
      <c r="A5234" s="1" t="s">
        <v>8508</v>
      </c>
      <c r="C5234" s="1">
        <v>1</v>
      </c>
      <c r="D5234" s="1" t="str">
        <f>"03474"</f>
        <v>03474</v>
      </c>
      <c r="E5234" s="1" t="s">
        <v>71</v>
      </c>
      <c r="F5234" s="1">
        <v>23</v>
      </c>
      <c r="G5234" s="1">
        <v>16</v>
      </c>
      <c r="H5234" s="1">
        <v>0</v>
      </c>
      <c r="I5234" s="1" t="s">
        <v>8429</v>
      </c>
      <c r="K5234" s="1" t="str">
        <f t="shared" si="336"/>
        <v>ㄌ</v>
      </c>
      <c r="L5234" s="1" t="str">
        <f t="shared" si="337"/>
        <v>ㄧ</v>
      </c>
      <c r="N5234" s="3" t="s">
        <v>30574</v>
      </c>
      <c r="O5234" s="3"/>
      <c r="P5234" s="1" t="s">
        <v>20</v>
      </c>
      <c r="R5234" s="1" t="s">
        <v>8430</v>
      </c>
      <c r="V5234" s="1" t="s">
        <v>8509</v>
      </c>
      <c r="AR5234" s="1" t="str">
        <f t="shared" si="333"/>
        <v>| [ㄌㄧˋ](ㄌㄧˋ.md) | [轣](轣.md) |  | lì | 參見「轣轆」條。 |</v>
      </c>
    </row>
    <row r="5235" spans="1:44" hidden="1">
      <c r="A5235" s="1" t="s">
        <v>8510</v>
      </c>
      <c r="C5235" s="1">
        <v>1</v>
      </c>
      <c r="D5235" s="1" t="str">
        <f>"03475"</f>
        <v>03475</v>
      </c>
      <c r="E5235" s="1" t="s">
        <v>125</v>
      </c>
      <c r="F5235" s="1">
        <v>24</v>
      </c>
      <c r="G5235" s="1">
        <v>16</v>
      </c>
      <c r="H5235" s="1">
        <v>0</v>
      </c>
      <c r="I5235" s="1" t="s">
        <v>8429</v>
      </c>
      <c r="K5235" s="1" t="str">
        <f t="shared" si="336"/>
        <v>ㄌ</v>
      </c>
      <c r="L5235" s="1" t="str">
        <f t="shared" si="337"/>
        <v>ㄧ</v>
      </c>
      <c r="N5235" s="3" t="s">
        <v>30574</v>
      </c>
      <c r="O5235" s="3"/>
      <c r="P5235" s="1" t="s">
        <v>20</v>
      </c>
      <c r="R5235" s="1" t="s">
        <v>8430</v>
      </c>
      <c r="V5235" s="1" t="s">
        <v>8511</v>
      </c>
      <c r="AR5235" s="1" t="str">
        <f t="shared" si="333"/>
        <v>| [ㄌㄧˋ](ㄌㄧˋ.md) | [靂](靂.md) |  | lì | 參見「霹靂」條。 |</v>
      </c>
    </row>
    <row r="5236" spans="1:44" hidden="1">
      <c r="A5236" s="1" t="s">
        <v>8512</v>
      </c>
      <c r="C5236" s="1">
        <v>1</v>
      </c>
      <c r="D5236" s="1" t="str">
        <f>"03476"</f>
        <v>03476</v>
      </c>
      <c r="E5236" s="1" t="s">
        <v>331</v>
      </c>
      <c r="F5236" s="1">
        <v>12</v>
      </c>
      <c r="G5236" s="1">
        <v>5</v>
      </c>
      <c r="H5236" s="1">
        <v>0</v>
      </c>
      <c r="I5236" s="1" t="s">
        <v>8429</v>
      </c>
      <c r="K5236" s="1" t="str">
        <f t="shared" si="336"/>
        <v>ㄌ</v>
      </c>
      <c r="L5236" s="1" t="str">
        <f t="shared" si="337"/>
        <v>ㄧ</v>
      </c>
      <c r="N5236" s="3" t="s">
        <v>30574</v>
      </c>
      <c r="O5236" s="3"/>
      <c r="P5236" s="1" t="s">
        <v>20</v>
      </c>
      <c r="R5236" s="1" t="s">
        <v>8430</v>
      </c>
      <c r="V5236" s="1" t="s">
        <v>8513</v>
      </c>
      <c r="AR5236" s="1" t="str">
        <f t="shared" si="333"/>
        <v>| [ㄌㄧˋ](ㄌㄧˋ.md) | [詈](詈.md) |  | lì | [動]
責罵。《說文解字．网部》：「詈，罵也。」《書經．無逸》：「或告之曰，小人怨汝詈汝。」《楚辭．屈原．離騷》：「女嬃之嬋媛兮，申申其詈予。」 |</v>
      </c>
    </row>
    <row r="5237" spans="1:44" hidden="1">
      <c r="A5237" s="1" t="s">
        <v>7904</v>
      </c>
      <c r="C5237" s="1">
        <v>1</v>
      </c>
      <c r="D5237" s="1" t="str">
        <f>"03477"</f>
        <v>03477</v>
      </c>
      <c r="E5237" s="1" t="s">
        <v>1941</v>
      </c>
      <c r="F5237" s="1">
        <v>15</v>
      </c>
      <c r="G5237" s="1">
        <v>13</v>
      </c>
      <c r="H5237" s="1">
        <v>1</v>
      </c>
      <c r="I5237" s="1" t="s">
        <v>8429</v>
      </c>
      <c r="K5237" s="1" t="str">
        <f t="shared" si="336"/>
        <v>ㄌ</v>
      </c>
      <c r="L5237" s="1" t="str">
        <f t="shared" si="337"/>
        <v>ㄧ</v>
      </c>
      <c r="N5237" s="3" t="s">
        <v>30574</v>
      </c>
      <c r="O5237" s="3"/>
      <c r="P5237" s="1" t="s">
        <v>20</v>
      </c>
      <c r="R5237" s="1" t="s">
        <v>8430</v>
      </c>
      <c r="V5237" s="1" t="s">
        <v>8514</v>
      </c>
      <c r="W5237" s="1" t="s">
        <v>8515</v>
      </c>
      <c r="AR5237" s="1" t="str">
        <f t="shared" si="333"/>
        <v>| [ㄌㄧˋ](ㄌㄧˋ.md) | [厲](厲.md) |  | lì | [名]
1.粗的磨刀石。《詩經．大雅．公劉》：「取厲取鍛。」《史記．卷一八．高祖功臣侯者年表》：「使河如帶，泰山若厲。」
2.疾病、災禍。《詩經．大雅．瞻邛》：「孔填不寧，降此大厲。」
3.姓。如漢代有厲溫，清代有厲鶚。
[動]
1.磨之使利。通「礪」。《荀子．性惡》：「鈍金必將待礱厲然後利。」唐．柳宗元〈弔屈原文〉：「何先生之凜凜兮，厲鍼石而從之。」
2.勉勵、激勵。《三國志．卷三五．蜀書．諸葛亮傳》：「親秉旄鉞，以厲三軍。」
3.奮起、振奮。《文選．曹植．贈白馬王彪詩》：「歸鳥赴喬林，翩翩厲羽翼。」
[形]
1.嚴肅、嚴格。《論語．述而》：「子溫而厲。」唐．韓愈〈答尉遲生書〉：「行峻而言厲，心醇而氣和。」
2.猛烈。如：「厲害」。《莊子．齊物論》：「厲風濟，則眾竅為虛。」《文選．古詩十九首．凜凜歲云暮》：「涼風率已厲，游子寒無衣。」
3.凶惡的。如：「厲鬼」。 |</v>
      </c>
    </row>
    <row r="5238" spans="1:44" hidden="1">
      <c r="A5238" s="1" t="s">
        <v>8516</v>
      </c>
      <c r="C5238" s="1">
        <v>1</v>
      </c>
      <c r="D5238" s="1" t="str">
        <f>"03478"</f>
        <v>03478</v>
      </c>
      <c r="E5238" s="1" t="s">
        <v>245</v>
      </c>
      <c r="F5238" s="1">
        <v>17</v>
      </c>
      <c r="G5238" s="1">
        <v>15</v>
      </c>
      <c r="H5238" s="1">
        <v>0</v>
      </c>
      <c r="I5238" s="1" t="s">
        <v>8429</v>
      </c>
      <c r="K5238" s="1" t="str">
        <f t="shared" si="336"/>
        <v>ㄌ</v>
      </c>
      <c r="L5238" s="1" t="str">
        <f t="shared" si="337"/>
        <v>ㄧ</v>
      </c>
      <c r="N5238" s="3" t="s">
        <v>30574</v>
      </c>
      <c r="O5238" s="3"/>
      <c r="P5238" s="1" t="s">
        <v>20</v>
      </c>
      <c r="R5238" s="1" t="s">
        <v>8430</v>
      </c>
      <c r="V5238" s="1" t="s">
        <v>8517</v>
      </c>
      <c r="AR5238" s="1" t="str">
        <f t="shared" si="333"/>
        <v>| [ㄌㄧˋ](ㄌㄧˋ.md) | [勵](勵.md) |  | lì | [動]
1.奮發、振作。《字彙．力部》：「勵，勉力也。」《南史．卷二四．王韶之傳》：「夙夜勤勵，政績甚美。」
2.勸勉、鼓舞。如：「鼓勵」、「獎勵」。《國語．吳語》：「請王勵士，以奮其朋勢。」
[名]
姓。如清代有勵廷儀。 |</v>
      </c>
    </row>
    <row r="5239" spans="1:44" hidden="1">
      <c r="A5239" s="1" t="s">
        <v>8518</v>
      </c>
      <c r="C5239" s="1">
        <v>1</v>
      </c>
      <c r="D5239" s="1" t="str">
        <f>"03479"</f>
        <v>03479</v>
      </c>
      <c r="E5239" s="1" t="s">
        <v>40</v>
      </c>
      <c r="F5239" s="1">
        <v>18</v>
      </c>
      <c r="G5239" s="1">
        <v>13</v>
      </c>
      <c r="H5239" s="1">
        <v>0</v>
      </c>
      <c r="I5239" s="1" t="s">
        <v>8429</v>
      </c>
      <c r="K5239" s="1" t="str">
        <f t="shared" si="336"/>
        <v>ㄌ</v>
      </c>
      <c r="L5239" s="1" t="str">
        <f t="shared" si="337"/>
        <v>ㄧ</v>
      </c>
      <c r="N5239" s="3" t="s">
        <v>30574</v>
      </c>
      <c r="O5239" s="3"/>
      <c r="P5239" s="1" t="s">
        <v>20</v>
      </c>
      <c r="R5239" s="1" t="s">
        <v>8430</v>
      </c>
      <c r="V5239" s="1" t="s">
        <v>8519</v>
      </c>
      <c r="AR5239" s="1" t="str">
        <f t="shared" si="333"/>
        <v>| [ㄌㄧˋ](ㄌㄧˋ.md) | [癘](癘.md) |  | lì | [名]
1.惡瘡。《禮記．月令》：「行春令則蝗蟲為敗，水泉咸竭，民多疥癘。」
2.瘟疫。《左傳．哀公元年》：「在國，天有菑癘。」晉．杜預．注：「癘，疾疫也。」 |</v>
      </c>
    </row>
    <row r="5240" spans="1:44" hidden="1">
      <c r="A5240" s="1" t="s">
        <v>8520</v>
      </c>
      <c r="C5240" s="1">
        <v>1</v>
      </c>
      <c r="D5240" s="1" t="str">
        <f>"03480"</f>
        <v>03480</v>
      </c>
      <c r="E5240" s="1" t="s">
        <v>169</v>
      </c>
      <c r="F5240" s="1">
        <v>20</v>
      </c>
      <c r="G5240" s="1">
        <v>15</v>
      </c>
      <c r="H5240" s="1">
        <v>0</v>
      </c>
      <c r="I5240" s="1" t="s">
        <v>8429</v>
      </c>
      <c r="K5240" s="1" t="str">
        <f t="shared" si="336"/>
        <v>ㄌ</v>
      </c>
      <c r="L5240" s="1" t="str">
        <f t="shared" si="337"/>
        <v>ㄧ</v>
      </c>
      <c r="N5240" s="3" t="s">
        <v>30574</v>
      </c>
      <c r="O5240" s="3"/>
      <c r="P5240" s="1" t="s">
        <v>20</v>
      </c>
      <c r="R5240" s="1" t="s">
        <v>8430</v>
      </c>
      <c r="V5240" s="1" t="s">
        <v>8521</v>
      </c>
      <c r="AR5240" s="1" t="str">
        <f t="shared" si="333"/>
        <v>| [ㄌㄧˋ](ㄌㄧˋ.md) | [礪](礪.md) |  | lì | [名]
粗的磨刀石。《荀子．勸學》：「故木受繩則直，金就礪則利。」
[動]
1.磨利、磨治。《書經．費誓》：「礪乃鋒刃，無敢不善。」《史記．卷六六．伍子胥傳》：「勝自礪劍，人問曰：『何以為？』勝曰：『欲以殺子西。』」
2.參見「砥礪」條。 |</v>
      </c>
    </row>
    <row r="5241" spans="1:44" hidden="1">
      <c r="A5241" s="1" t="s">
        <v>8522</v>
      </c>
      <c r="C5241" s="1">
        <v>1</v>
      </c>
      <c r="D5241" s="1" t="str">
        <f>"03481"</f>
        <v>03481</v>
      </c>
      <c r="E5241" s="1" t="s">
        <v>46</v>
      </c>
      <c r="F5241" s="1">
        <v>21</v>
      </c>
      <c r="G5241" s="1">
        <v>15</v>
      </c>
      <c r="H5241" s="1">
        <v>0</v>
      </c>
      <c r="I5241" s="1" t="s">
        <v>8429</v>
      </c>
      <c r="K5241" s="1" t="str">
        <f t="shared" si="336"/>
        <v>ㄌ</v>
      </c>
      <c r="L5241" s="1" t="str">
        <f t="shared" si="337"/>
        <v>ㄧ</v>
      </c>
      <c r="N5241" s="3" t="s">
        <v>30574</v>
      </c>
      <c r="O5241" s="3"/>
      <c r="P5241" s="1" t="s">
        <v>20</v>
      </c>
      <c r="R5241" s="1" t="s">
        <v>8430</v>
      </c>
      <c r="V5241" s="1" t="s">
        <v>8523</v>
      </c>
      <c r="AR5241" s="1" t="str">
        <f t="shared" si="333"/>
        <v>| [ㄌㄧˋ](ㄌㄧˋ.md) | [糲](糲.md) |  | lì | [名]
糙米。《廣韻．去聲．泰韻》：「糲，麤米。」唐．韓愈〈山石〉詩：「鋪床拂席置羹飯，疏糲亦足飽我飢。」《明史．卷三〇九．李自成傳》：「自成不好酒色，脫粟粗糲，與其下共甘苦。」
[形]
粗糙的。如：「糲飯」、「糲糧」。明．徐弘祖《徐霞客遊記．卷八上．滇遊日記八》：「其石質粗糲，洞形亦無曲折之致。」 |</v>
      </c>
    </row>
    <row r="5242" spans="1:44" hidden="1">
      <c r="A5242" s="1" t="s">
        <v>8524</v>
      </c>
      <c r="C5242" s="1">
        <v>1</v>
      </c>
      <c r="D5242" s="1" t="str">
        <f>"03482"</f>
        <v>03482</v>
      </c>
      <c r="E5242" s="1" t="s">
        <v>679</v>
      </c>
      <c r="F5242" s="1">
        <v>21</v>
      </c>
      <c r="G5242" s="1">
        <v>15</v>
      </c>
      <c r="H5242" s="1">
        <v>0</v>
      </c>
      <c r="I5242" s="1" t="s">
        <v>8429</v>
      </c>
      <c r="K5242" s="1" t="str">
        <f t="shared" si="336"/>
        <v>ㄌ</v>
      </c>
      <c r="L5242" s="1" t="str">
        <f t="shared" si="337"/>
        <v>ㄧ</v>
      </c>
      <c r="N5242" s="3" t="s">
        <v>30574</v>
      </c>
      <c r="O5242" s="3"/>
      <c r="P5242" s="1" t="s">
        <v>20</v>
      </c>
      <c r="R5242" s="1" t="s">
        <v>8430</v>
      </c>
      <c r="V5242" s="1" t="s">
        <v>8525</v>
      </c>
      <c r="AR5242" s="1" t="str">
        <f t="shared" si="333"/>
        <v>| [ㄌㄧˋ](ㄌㄧˋ.md) | [蠣](蠣.md) |  | lì | 參見「牡蠣」條。 |</v>
      </c>
    </row>
    <row r="5243" spans="1:44" hidden="1">
      <c r="A5243" s="1" t="s">
        <v>8526</v>
      </c>
      <c r="C5243" s="1">
        <v>1</v>
      </c>
      <c r="D5243" s="1" t="str">
        <f>"03483"</f>
        <v>03483</v>
      </c>
      <c r="E5243" s="1" t="s">
        <v>4758</v>
      </c>
      <c r="F5243" s="1">
        <v>17</v>
      </c>
      <c r="G5243" s="1">
        <v>9</v>
      </c>
      <c r="H5243" s="1">
        <v>0</v>
      </c>
      <c r="I5243" s="1" t="s">
        <v>8429</v>
      </c>
      <c r="K5243" s="1" t="str">
        <f t="shared" si="336"/>
        <v>ㄌ</v>
      </c>
      <c r="L5243" s="1" t="str">
        <f t="shared" si="337"/>
        <v>ㄧ</v>
      </c>
      <c r="N5243" s="3" t="s">
        <v>30574</v>
      </c>
      <c r="O5243" s="3"/>
      <c r="P5243" s="1" t="s">
        <v>20</v>
      </c>
      <c r="R5243" s="1" t="s">
        <v>8430</v>
      </c>
      <c r="V5243" s="1" t="s">
        <v>8527</v>
      </c>
      <c r="AR5243" s="1" t="str">
        <f t="shared" si="333"/>
        <v>| [ㄌㄧˋ](ㄌㄧˋ.md) | [隸](隸.md) |  | lì | [名]
1.古代稱地位卑賤或供人役使的人。如：「奴隸」、「皁隸」。唐．釋慧琳《一切經音義．卷六．大般若波羅蜜多經》：「隸，賤屬也，僕也。」
2.一種字體。即隸書。相傳為秦代程邈所創，由小篆減省而成。
3.姓。如漢代有隸延之。
[動]
1.附屬。如：「隸屬」。唐．杜甫〈自京赴奉先縣詠懷五百字〉詩：「生常免租稅，名不隸征伐。」宋．蘇軾〈率子廉傳〉：「晚隸南嶽觀為道士。」
2.學習。明．湯顯祖《紫簫記》第六齣：「俺將此詞送到杜秋娘別院，隸習一番。」 |</v>
      </c>
    </row>
    <row r="5244" spans="1:44" hidden="1">
      <c r="A5244" s="1" t="s">
        <v>8528</v>
      </c>
      <c r="C5244" s="1">
        <v>1</v>
      </c>
      <c r="D5244" s="1" t="str">
        <f>"03484"</f>
        <v>03484</v>
      </c>
      <c r="E5244" s="1" t="s">
        <v>142</v>
      </c>
      <c r="F5244" s="1">
        <v>19</v>
      </c>
      <c r="G5244" s="1">
        <v>15</v>
      </c>
      <c r="H5244" s="1">
        <v>0</v>
      </c>
      <c r="I5244" s="1" t="s">
        <v>8429</v>
      </c>
      <c r="K5244" s="1" t="str">
        <f t="shared" si="336"/>
        <v>ㄌ</v>
      </c>
      <c r="L5244" s="1" t="str">
        <f t="shared" si="337"/>
        <v>ㄧ</v>
      </c>
      <c r="N5244" s="3" t="s">
        <v>30574</v>
      </c>
      <c r="O5244" s="3"/>
      <c r="P5244" s="1" t="s">
        <v>20</v>
      </c>
      <c r="R5244" s="1" t="s">
        <v>8430</v>
      </c>
      <c r="V5244" s="1" t="s">
        <v>5252</v>
      </c>
      <c r="AR5244" s="1" t="str">
        <f t="shared" si="333"/>
        <v>| [ㄌㄧˋ](ㄌㄧˋ.md) | [瓅](瓅.md) |  | lì | 參見「玓瓅」條。 |</v>
      </c>
    </row>
    <row r="5245" spans="1:44" hidden="1">
      <c r="A5245" s="1" t="s">
        <v>8529</v>
      </c>
      <c r="C5245" s="1">
        <v>1</v>
      </c>
      <c r="D5245" s="1" t="str">
        <f>"03485"</f>
        <v>03485</v>
      </c>
      <c r="E5245" s="1" t="s">
        <v>139</v>
      </c>
      <c r="F5245" s="1">
        <v>19</v>
      </c>
      <c r="G5245" s="1">
        <v>15</v>
      </c>
      <c r="H5245" s="1">
        <v>0</v>
      </c>
      <c r="I5245" s="1" t="s">
        <v>8429</v>
      </c>
      <c r="K5245" s="1" t="str">
        <f t="shared" si="336"/>
        <v>ㄌ</v>
      </c>
      <c r="L5245" s="1" t="str">
        <f t="shared" si="337"/>
        <v>ㄧ</v>
      </c>
      <c r="N5245" s="3" t="s">
        <v>30574</v>
      </c>
      <c r="O5245" s="3"/>
      <c r="P5245" s="1" t="s">
        <v>20</v>
      </c>
      <c r="R5245" s="1" t="s">
        <v>8430</v>
      </c>
      <c r="V5245" s="1" t="s">
        <v>8530</v>
      </c>
      <c r="AR5245" s="1" t="str">
        <f t="shared" si="333"/>
        <v>| [ㄌㄧˋ](ㄌㄧˋ.md) | [櫟](櫟.md) |  | lì | [名]
植物名，殼斗科麻櫟屬：(1)「麻櫟」、「柞樹」之古稱，參見「柞樹」條。(2)約三十種麻櫟屬樹木之混稱。也稱為「橡樹」、「橡斗」。參見「橡樹」條。 |</v>
      </c>
    </row>
    <row r="5246" spans="1:44" hidden="1">
      <c r="A5246" s="1" t="s">
        <v>8531</v>
      </c>
      <c r="C5246" s="1">
        <v>1</v>
      </c>
      <c r="D5246" s="1" t="str">
        <f>"03486"</f>
        <v>03486</v>
      </c>
      <c r="E5246" s="1" t="s">
        <v>169</v>
      </c>
      <c r="F5246" s="1">
        <v>20</v>
      </c>
      <c r="G5246" s="1">
        <v>15</v>
      </c>
      <c r="H5246" s="1">
        <v>0</v>
      </c>
      <c r="I5246" s="1" t="s">
        <v>8429</v>
      </c>
      <c r="K5246" s="1" t="str">
        <f t="shared" si="336"/>
        <v>ㄌ</v>
      </c>
      <c r="L5246" s="1" t="str">
        <f t="shared" si="337"/>
        <v>ㄧ</v>
      </c>
      <c r="N5246" s="3" t="s">
        <v>30574</v>
      </c>
      <c r="O5246" s="3"/>
      <c r="P5246" s="1" t="s">
        <v>20</v>
      </c>
      <c r="R5246" s="1" t="s">
        <v>8430</v>
      </c>
      <c r="V5246" s="1" t="s">
        <v>8532</v>
      </c>
      <c r="AR5246" s="1" t="str">
        <f t="shared" si="333"/>
        <v>| [ㄌㄧˋ](ㄌㄧˋ.md) | [礫](礫.md) |  | lì | [名]
小石頭。《說文解字．石部》：「礫，小石也。」如：「沙礫」、「瓦礫」。唐．柳宗元〈袁家渴記〉：「其旁多巖洞，其下多白礫。」 |</v>
      </c>
    </row>
    <row r="5247" spans="1:44" hidden="1">
      <c r="A5247" s="1" t="s">
        <v>8533</v>
      </c>
      <c r="C5247" s="1">
        <v>1</v>
      </c>
      <c r="D5247" s="1" t="str">
        <f>"03487"</f>
        <v>03487</v>
      </c>
      <c r="E5247" s="1" t="s">
        <v>71</v>
      </c>
      <c r="F5247" s="1">
        <v>22</v>
      </c>
      <c r="G5247" s="1">
        <v>15</v>
      </c>
      <c r="H5247" s="1">
        <v>0</v>
      </c>
      <c r="I5247" s="1" t="s">
        <v>8429</v>
      </c>
      <c r="K5247" s="1" t="str">
        <f t="shared" si="336"/>
        <v>ㄌ</v>
      </c>
      <c r="L5247" s="1" t="str">
        <f t="shared" si="337"/>
        <v>ㄧ</v>
      </c>
      <c r="N5247" s="3" t="s">
        <v>30574</v>
      </c>
      <c r="O5247" s="3"/>
      <c r="P5247" s="1" t="s">
        <v>20</v>
      </c>
      <c r="R5247" s="1" t="s">
        <v>8430</v>
      </c>
      <c r="V5247" s="1" t="s">
        <v>8534</v>
      </c>
      <c r="AR5247" s="1" t="str">
        <f t="shared" si="333"/>
        <v>| [ㄌㄧˋ](ㄌㄧˋ.md) | [轢](轢.md) |  | lì | [動]
1.車輪輾過。《說文解字．車部》：「轢，車所踐也。」《文選．張衡．西京賦》：「當足見碾，值輪被轢。」三國吳．薛綜．注：「足所蹈為碾，車所加為轢。」
2.欺凌。《呂氏春秋．慎大覽．慎大》：「干辛任威，凌轢諸侯以及兆民。」
3.用器具刮物，使其發聲。《文選．張衡．西京賦》：「轢輻輕騖，容於一扉。」三國吳．薛綜．注：「馭車欲馬疾，以箠櫟於輻，使有聲也。」 |</v>
      </c>
    </row>
    <row r="5248" spans="1:44" hidden="1">
      <c r="A5248" s="1" t="s">
        <v>8535</v>
      </c>
      <c r="C5248" s="1">
        <v>1</v>
      </c>
      <c r="D5248" s="1" t="str">
        <f>"03488"</f>
        <v>03488</v>
      </c>
      <c r="E5248" s="1" t="s">
        <v>77</v>
      </c>
      <c r="F5248" s="1">
        <v>22</v>
      </c>
      <c r="G5248" s="1">
        <v>15</v>
      </c>
      <c r="H5248" s="1">
        <v>1</v>
      </c>
      <c r="I5248" s="1" t="s">
        <v>8429</v>
      </c>
      <c r="K5248" s="1" t="str">
        <f t="shared" si="336"/>
        <v>ㄌ</v>
      </c>
      <c r="L5248" s="1" t="str">
        <f t="shared" si="337"/>
        <v>ㄧ</v>
      </c>
      <c r="N5248" s="3" t="s">
        <v>30574</v>
      </c>
      <c r="O5248" s="3"/>
      <c r="P5248" s="1" t="s">
        <v>20</v>
      </c>
      <c r="R5248" s="1" t="s">
        <v>8430</v>
      </c>
      <c r="V5248" s="1" t="s">
        <v>8536</v>
      </c>
      <c r="W5248" s="1" t="s">
        <v>8537</v>
      </c>
      <c r="AR5248" s="1" t="str">
        <f t="shared" si="333"/>
        <v>| [ㄌㄧˋ](ㄌㄧˋ.md) | [躒](躒.md) |  | lì | [動]
動、跳躍。《玉篇．足部》：「躒，動也。」唐．劉禹錫〈答柳子厚書〉：「氣為幹，文為支。跨躒古今，鼓行乘空。」 |</v>
      </c>
    </row>
    <row r="5249" spans="1:44" hidden="1">
      <c r="A5249" s="1" t="s">
        <v>8373</v>
      </c>
      <c r="C5249" s="1">
        <v>1</v>
      </c>
      <c r="D5249" s="1" t="str">
        <f>"03489"</f>
        <v>03489</v>
      </c>
      <c r="E5249" s="1" t="s">
        <v>1190</v>
      </c>
      <c r="F5249" s="1">
        <v>19</v>
      </c>
      <c r="G5249" s="1">
        <v>8</v>
      </c>
      <c r="H5249" s="1">
        <v>1</v>
      </c>
      <c r="I5249" s="1" t="s">
        <v>8429</v>
      </c>
      <c r="K5249" s="1" t="str">
        <f t="shared" si="336"/>
        <v>ㄌ</v>
      </c>
      <c r="L5249" s="1" t="str">
        <f t="shared" si="337"/>
        <v>ㄧ</v>
      </c>
      <c r="N5249" s="3" t="s">
        <v>30574</v>
      </c>
      <c r="O5249" s="3"/>
      <c r="P5249" s="1" t="s">
        <v>20</v>
      </c>
      <c r="R5249" s="1" t="s">
        <v>8430</v>
      </c>
      <c r="V5249" s="1" t="s">
        <v>8538</v>
      </c>
      <c r="W5249" s="1" t="s">
        <v>8539</v>
      </c>
      <c r="AR5249" s="1" t="str">
        <f t="shared" si="333"/>
        <v>| [ㄌㄧˋ](ㄌㄧˋ.md) | [麗](麗.md) |  | lì | [形]
1.美好、華美。如：「豔麗」、「天生麗質」。《楚辭．宋玉．招魂》：「被文服纖，麗而不奇些。」《文選．揚雄．羽獵賦》：「麗哉！神聖，處於玄宮。」
2.成雙的。通「儷」。《周禮．夏官．校人》：「麗馬一圉，八麗一師。」漢．鄭玄．注：「麗，耦也。」
[動]
附著。《易經．離卦．彖曰》：「離，麗也。日月麗乎天，百穀草木麗乎土。」《後漢書．卷五九．張衡傳》：「夫戰國交爭，戎車競驅，君若綴旒，人無所麗。」 |</v>
      </c>
    </row>
    <row r="5250" spans="1:44" hidden="1">
      <c r="A5250" s="1" t="s">
        <v>8540</v>
      </c>
      <c r="C5250" s="1">
        <v>1</v>
      </c>
      <c r="D5250" s="1" t="str">
        <f>"03490"</f>
        <v>03490</v>
      </c>
      <c r="E5250" s="1" t="s">
        <v>114</v>
      </c>
      <c r="F5250" s="1">
        <v>21</v>
      </c>
      <c r="G5250" s="1">
        <v>19</v>
      </c>
      <c r="H5250" s="1">
        <v>0</v>
      </c>
      <c r="I5250" s="1" t="s">
        <v>8429</v>
      </c>
      <c r="K5250" s="1" t="str">
        <f t="shared" si="336"/>
        <v>ㄌ</v>
      </c>
      <c r="L5250" s="1" t="str">
        <f t="shared" si="337"/>
        <v>ㄧ</v>
      </c>
      <c r="N5250" s="3" t="s">
        <v>30574</v>
      </c>
      <c r="O5250" s="3"/>
      <c r="P5250" s="1" t="s">
        <v>20</v>
      </c>
      <c r="R5250" s="1" t="s">
        <v>8430</v>
      </c>
      <c r="V5250" s="1" t="s">
        <v>8541</v>
      </c>
      <c r="AR5250" s="1" t="str">
        <f t="shared" si="333"/>
        <v>| [ㄌㄧˋ](ㄌㄧˋ.md) | [儷](儷.md) |  | lì | [名]
配偶。如：「賢伉儷」。《左傳．成公十一年》：「鳥獸猶不失儷。」
[形]
1.成雙成對的。如：「儷影」。
2.文字成對偶、對仗的。如：「儷辭」、「儷句」。 |</v>
      </c>
    </row>
    <row r="5251" spans="1:44" hidden="1">
      <c r="A5251" s="1" t="s">
        <v>8542</v>
      </c>
      <c r="C5251" s="1">
        <v>1</v>
      </c>
      <c r="D5251" s="1" t="str">
        <f>"03491"</f>
        <v>03491</v>
      </c>
      <c r="E5251" s="1" t="s">
        <v>24</v>
      </c>
      <c r="F5251" s="1">
        <v>22</v>
      </c>
      <c r="G5251" s="1">
        <v>19</v>
      </c>
      <c r="H5251" s="1">
        <v>0</v>
      </c>
      <c r="I5251" s="1" t="s">
        <v>8429</v>
      </c>
      <c r="K5251" s="1" t="str">
        <f t="shared" si="336"/>
        <v>ㄌ</v>
      </c>
      <c r="L5251" s="1" t="str">
        <f t="shared" si="337"/>
        <v>ㄧ</v>
      </c>
      <c r="N5251" s="3" t="s">
        <v>30574</v>
      </c>
      <c r="O5251" s="3"/>
      <c r="P5251" s="1" t="s">
        <v>20</v>
      </c>
      <c r="R5251" s="1" t="s">
        <v>8430</v>
      </c>
      <c r="V5251" s="1" t="s">
        <v>8543</v>
      </c>
      <c r="AR5251" s="1" t="str">
        <f t="shared" ref="AR5251:AR5314" si="338">"| ["&amp;I5251&amp;"]("&amp;I5251&amp;".md) | ["&amp;A5251&amp;"]("&amp;A5251&amp;".md) | "&amp;" | "&amp;R5251&amp;" | "&amp;V5251&amp;" |"</f>
        <v>| [ㄌㄧˋ](ㄌㄧˋ.md) | [攦](攦.md) |  | lì | [動]
1.折斷。《集韻．去聲．霽韻》：「攦，折也。」《莊子．胠篋》：「毀絕鉤繩而棄規矩，攦工倕之指，而天下始人有其巧矣。」
2.甩、搖擺。《警世通言．卷二四．玉堂春落難逢夫》：「三官茶罷，就要走。故意攦出兩定銀子來，都是五兩頭細絲。」 |</v>
      </c>
    </row>
    <row r="5252" spans="1:44" hidden="1">
      <c r="A5252" s="1" t="s">
        <v>8544</v>
      </c>
      <c r="C5252" s="1">
        <v>1</v>
      </c>
      <c r="D5252" s="1" t="str">
        <f>"03492"</f>
        <v>03492</v>
      </c>
      <c r="E5252" s="1" t="s">
        <v>256</v>
      </c>
      <c r="F5252" s="1">
        <v>22</v>
      </c>
      <c r="G5252" s="1">
        <v>19</v>
      </c>
      <c r="H5252" s="1">
        <v>0</v>
      </c>
      <c r="I5252" s="1" t="s">
        <v>8429</v>
      </c>
      <c r="K5252" s="1" t="str">
        <f t="shared" si="336"/>
        <v>ㄌ</v>
      </c>
      <c r="L5252" s="1" t="str">
        <f t="shared" si="337"/>
        <v>ㄧ</v>
      </c>
      <c r="N5252" s="3" t="s">
        <v>30574</v>
      </c>
      <c r="O5252" s="3"/>
      <c r="P5252" s="1" t="s">
        <v>20</v>
      </c>
      <c r="R5252" s="1" t="s">
        <v>8430</v>
      </c>
      <c r="V5252" s="1" t="s">
        <v>8545</v>
      </c>
      <c r="AR5252" s="1" t="str">
        <f t="shared" si="338"/>
        <v>| [ㄌㄧˋ](ㄌㄧˋ.md) | [酈](酈.md) |  | lì | [名]
1.地名。春秋時魯地。《左傳．僖公元年》：「公子友帥師敗莒師于酈。」晉．杜預．注：「酈，魯地。」
2.姓。如漢代有酈食其。 |</v>
      </c>
    </row>
    <row r="5253" spans="1:44" hidden="1">
      <c r="A5253" s="1" t="s">
        <v>8546</v>
      </c>
      <c r="C5253" s="1">
        <v>1</v>
      </c>
      <c r="D5253" s="1" t="str">
        <f>"03493"</f>
        <v>03493</v>
      </c>
      <c r="E5253" s="1" t="s">
        <v>139</v>
      </c>
      <c r="F5253" s="1">
        <v>23</v>
      </c>
      <c r="G5253" s="1">
        <v>19</v>
      </c>
      <c r="H5253" s="1">
        <v>0</v>
      </c>
      <c r="I5253" s="1" t="s">
        <v>8429</v>
      </c>
      <c r="K5253" s="1" t="str">
        <f t="shared" si="336"/>
        <v>ㄌ</v>
      </c>
      <c r="L5253" s="1" t="str">
        <f t="shared" si="337"/>
        <v>ㄧ</v>
      </c>
      <c r="N5253" s="3" t="s">
        <v>30574</v>
      </c>
      <c r="O5253" s="3"/>
      <c r="P5253" s="1" t="s">
        <v>20</v>
      </c>
      <c r="R5253" s="1" t="s">
        <v>8430</v>
      </c>
      <c r="V5253" s="1" t="s">
        <v>8547</v>
      </c>
      <c r="AR5253" s="1" t="str">
        <f t="shared" si="338"/>
        <v>| [ㄌㄧˋ](ㄌㄧˋ.md) | [欐](欐.md) |  | lì | [名]
屋梁。《玉篇．木部》：「欐，梁棟名。」《列子．湯問》：「餘音繞梁欐，三日不絕。」 |</v>
      </c>
    </row>
    <row r="5254" spans="1:44" hidden="1">
      <c r="A5254" s="1" t="s">
        <v>8548</v>
      </c>
      <c r="C5254" s="1">
        <v>1</v>
      </c>
      <c r="D5254" s="1" t="str">
        <f>"03494"</f>
        <v>03494</v>
      </c>
      <c r="E5254" s="1" t="s">
        <v>438</v>
      </c>
      <c r="F5254" s="1">
        <v>20</v>
      </c>
      <c r="G5254" s="1">
        <v>15</v>
      </c>
      <c r="H5254" s="1">
        <v>0</v>
      </c>
      <c r="I5254" s="1" t="s">
        <v>8429</v>
      </c>
      <c r="K5254" s="1" t="str">
        <f t="shared" si="336"/>
        <v>ㄌ</v>
      </c>
      <c r="L5254" s="1" t="str">
        <f t="shared" si="337"/>
        <v>ㄧ</v>
      </c>
      <c r="N5254" s="3" t="s">
        <v>30574</v>
      </c>
      <c r="O5254" s="3"/>
      <c r="P5254" s="1" t="s">
        <v>20</v>
      </c>
      <c r="R5254" s="1" t="s">
        <v>8430</v>
      </c>
      <c r="V5254" s="1" t="s">
        <v>8549</v>
      </c>
      <c r="AR5254" s="1" t="str">
        <f t="shared" si="338"/>
        <v>| [ㄌㄧˋ](ㄌㄧˋ.md) | [盭](盭.md) |  | lì | [形]
1.凶暴乖戾。《說文解字．弦部》：「盭，弼戾也。」清．段玉裁．注：「按此乖戾正字，今則戾行而盭廢矣。」《史記．卷一一七．司馬相如傳》：「舉踵思慕，若枯旱之望雨，盭夫為之垂涕，況乎上聖又惡能已？」
2.綠色的。《漢書．卷一九．百官公卿表上》：「諸侯王，高帝初置，金璽盭綬，掌治其國。」唐．顏師古．注：「如淳曰：『盭，綠也，以綠為質。』」 |</v>
      </c>
    </row>
    <row r="5255" spans="1:44" hidden="1">
      <c r="A5255" s="1" t="s">
        <v>8550</v>
      </c>
      <c r="C5255" s="1">
        <v>1</v>
      </c>
      <c r="D5255" s="1" t="str">
        <f>"03495"</f>
        <v>03495</v>
      </c>
      <c r="E5255" s="1" t="s">
        <v>24</v>
      </c>
      <c r="F5255" s="1">
        <v>24</v>
      </c>
      <c r="G5255" s="1">
        <v>21</v>
      </c>
      <c r="H5255" s="1">
        <v>1</v>
      </c>
      <c r="I5255" s="1" t="s">
        <v>8429</v>
      </c>
      <c r="K5255" s="1" t="str">
        <f t="shared" si="336"/>
        <v>ㄌ</v>
      </c>
      <c r="L5255" s="1" t="str">
        <f t="shared" si="337"/>
        <v>ㄧ</v>
      </c>
      <c r="N5255" s="3" t="s">
        <v>30574</v>
      </c>
      <c r="O5255" s="3"/>
      <c r="P5255" s="1" t="s">
        <v>20</v>
      </c>
      <c r="R5255" s="1" t="s">
        <v>8430</v>
      </c>
      <c r="V5255" s="1" t="s">
        <v>8551</v>
      </c>
      <c r="W5255" s="1" t="s">
        <v>8552</v>
      </c>
      <c r="AR5255" s="1" t="str">
        <f t="shared" si="338"/>
        <v>| [ㄌㄧˋ](ㄌㄧˋ.md) | [攭](攭.md) |  | lì | [形]
雲氣旋轉的樣子。《荀子．賦》：「忽兮其極之遠也，攭兮其相逐而反也。」 |</v>
      </c>
    </row>
    <row r="5256" spans="1:44" hidden="1">
      <c r="A5256" s="1" t="s">
        <v>8312</v>
      </c>
      <c r="C5256" s="1">
        <v>1</v>
      </c>
      <c r="D5256" s="1" t="str">
        <f>"03383"</f>
        <v>03383</v>
      </c>
      <c r="E5256" s="1" t="s">
        <v>129</v>
      </c>
      <c r="F5256" s="1">
        <v>10</v>
      </c>
      <c r="G5256" s="1">
        <v>7</v>
      </c>
      <c r="H5256" s="1">
        <v>2</v>
      </c>
      <c r="I5256" s="1" t="s">
        <v>8313</v>
      </c>
      <c r="K5256" s="1" t="str">
        <f t="shared" si="336"/>
        <v>ㄌ</v>
      </c>
      <c r="L5256" s="1" t="str">
        <f t="shared" si="337"/>
        <v>ㄧ</v>
      </c>
      <c r="N5256" s="3" t="s">
        <v>30575</v>
      </c>
      <c r="O5256" s="3"/>
      <c r="P5256" s="1" t="s">
        <v>20</v>
      </c>
      <c r="R5256" s="1" t="s">
        <v>8314</v>
      </c>
      <c r="V5256" s="1" t="s">
        <v>8315</v>
      </c>
      <c r="W5256" s="1" t="s">
        <v>8316</v>
      </c>
      <c r="AR5256" s="1" t="str">
        <f t="shared" si="338"/>
        <v>| [ㄌㄧˊ](ㄌㄧˊ.md) | [浬](浬.md) |  | lí | [名]
泥浬：古波斯人名。《集韻．平聲．之韻》：「浬，泥浬，波斯酋長名。」 |</v>
      </c>
    </row>
    <row r="5257" spans="1:44" hidden="1">
      <c r="A5257" s="1" t="s">
        <v>8317</v>
      </c>
      <c r="C5257" s="1">
        <v>1</v>
      </c>
      <c r="D5257" s="1" t="str">
        <f>"03384"</f>
        <v>03384</v>
      </c>
      <c r="E5257" s="1" t="s">
        <v>198</v>
      </c>
      <c r="F5257" s="1">
        <v>10</v>
      </c>
      <c r="G5257" s="1">
        <v>7</v>
      </c>
      <c r="H5257" s="1">
        <v>0</v>
      </c>
      <c r="I5257" s="1" t="s">
        <v>8313</v>
      </c>
      <c r="K5257" s="1" t="str">
        <f t="shared" si="336"/>
        <v>ㄌ</v>
      </c>
      <c r="L5257" s="1" t="str">
        <f t="shared" si="337"/>
        <v>ㄧ</v>
      </c>
      <c r="N5257" s="3" t="s">
        <v>30575</v>
      </c>
      <c r="O5257" s="3"/>
      <c r="P5257" s="1" t="s">
        <v>20</v>
      </c>
      <c r="R5257" s="1" t="s">
        <v>8314</v>
      </c>
      <c r="V5257" s="1" t="s">
        <v>8318</v>
      </c>
      <c r="AR5257" s="1" t="str">
        <f t="shared" si="338"/>
        <v>| [ㄌㄧˊ](ㄌㄧˊ.md) | [狸](狸.md) |  | lí | [名]
同「貍」。《廣韻．平聲．之韻》：「貍，野貓。狸，俗。」 |</v>
      </c>
    </row>
    <row r="5258" spans="1:44" hidden="1">
      <c r="A5258" s="1" t="s">
        <v>8319</v>
      </c>
      <c r="C5258" s="1">
        <v>1</v>
      </c>
      <c r="D5258" s="1" t="str">
        <f>"03385"</f>
        <v>03385</v>
      </c>
      <c r="E5258" s="1" t="s">
        <v>139</v>
      </c>
      <c r="F5258" s="1">
        <v>11</v>
      </c>
      <c r="G5258" s="1">
        <v>7</v>
      </c>
      <c r="H5258" s="1">
        <v>0</v>
      </c>
      <c r="I5258" s="1" t="s">
        <v>8313</v>
      </c>
      <c r="K5258" s="1" t="str">
        <f t="shared" si="336"/>
        <v>ㄌ</v>
      </c>
      <c r="L5258" s="1" t="str">
        <f t="shared" si="337"/>
        <v>ㄧ</v>
      </c>
      <c r="N5258" s="3" t="s">
        <v>30575</v>
      </c>
      <c r="O5258" s="3"/>
      <c r="P5258" s="1" t="s">
        <v>20</v>
      </c>
      <c r="R5258" s="1" t="s">
        <v>8314</v>
      </c>
      <c r="V5258" s="1" t="s">
        <v>8320</v>
      </c>
      <c r="AR5258" s="1" t="str">
        <f t="shared" si="338"/>
        <v>| [ㄌㄧˊ](ㄌㄧˊ.md) | [梩](梩.md) |  | lí | [名]
鍬、臿之類的挖土器具。《孟子．滕文公上》：「蓋歸反虆梩而掩之。」漢．趙岐．注：「虆、梩，籠臿之屬，可以取土者也。」 |</v>
      </c>
    </row>
    <row r="5259" spans="1:44" hidden="1">
      <c r="A5259" s="1" t="s">
        <v>8321</v>
      </c>
      <c r="C5259" s="1">
        <v>1</v>
      </c>
      <c r="D5259" s="1" t="str">
        <f>"03386"</f>
        <v>03386</v>
      </c>
      <c r="E5259" s="1" t="s">
        <v>537</v>
      </c>
      <c r="F5259" s="1">
        <v>14</v>
      </c>
      <c r="G5259" s="1">
        <v>7</v>
      </c>
      <c r="H5259" s="1">
        <v>0</v>
      </c>
      <c r="I5259" s="1" t="s">
        <v>8313</v>
      </c>
      <c r="K5259" s="1" t="str">
        <f t="shared" ref="K5259:K5290" si="339">LEFT(I5259, 1)</f>
        <v>ㄌ</v>
      </c>
      <c r="L5259" s="1" t="str">
        <f t="shared" ref="L5259:L5290" si="340">MID(I5259, 2, 1)</f>
        <v>ㄧ</v>
      </c>
      <c r="N5259" s="3" t="s">
        <v>30575</v>
      </c>
      <c r="O5259" s="3"/>
      <c r="P5259" s="1" t="s">
        <v>20</v>
      </c>
      <c r="R5259" s="1" t="s">
        <v>8314</v>
      </c>
      <c r="V5259" s="1" t="s">
        <v>8322</v>
      </c>
      <c r="AR5259" s="1" t="str">
        <f t="shared" si="338"/>
        <v>| [ㄌㄧˊ](ㄌㄧˊ.md) | [貍](貍.md) |  | lí | [名]
動物名。脊椎動物門哺乳綱食肉目犬科。形體似狐而較小，色灰褐，體毛雜黃色且有斑點。尖嘴，四肢甚短，尾粗長而蓬鬆。穴居近村野地，晝伏夜出，捕食雞、鴨等小動物。 |</v>
      </c>
    </row>
    <row r="5260" spans="1:44" hidden="1">
      <c r="A5260" s="1" t="s">
        <v>8323</v>
      </c>
      <c r="C5260" s="1">
        <v>1</v>
      </c>
      <c r="D5260" s="1" t="str">
        <f>"03387"</f>
        <v>03387</v>
      </c>
      <c r="E5260" s="1" t="s">
        <v>129</v>
      </c>
      <c r="F5260" s="1">
        <v>14</v>
      </c>
      <c r="G5260" s="1">
        <v>11</v>
      </c>
      <c r="H5260" s="1">
        <v>0</v>
      </c>
      <c r="I5260" s="1" t="s">
        <v>8313</v>
      </c>
      <c r="K5260" s="1" t="str">
        <f t="shared" si="339"/>
        <v>ㄌ</v>
      </c>
      <c r="L5260" s="1" t="str">
        <f t="shared" si="340"/>
        <v>ㄧ</v>
      </c>
      <c r="N5260" s="3" t="s">
        <v>30575</v>
      </c>
      <c r="O5260" s="3"/>
      <c r="P5260" s="1" t="s">
        <v>20</v>
      </c>
      <c r="R5260" s="1" t="s">
        <v>8314</v>
      </c>
      <c r="V5260" s="1" t="s">
        <v>8324</v>
      </c>
      <c r="AR5260" s="1" t="str">
        <f t="shared" si="338"/>
        <v>| [ㄌㄧˊ](ㄌㄧˊ.md) | [漓](漓.md) |  | lí | [形]
溼透的樣子。如：「汗水淋漓」。
[動]
淺薄、刻薄。《北史．卷八六．循吏傳．序》：「後之為吏，與世沉浮，叔季澆漓，姦巧多緒。」 |</v>
      </c>
    </row>
    <row r="5261" spans="1:44" hidden="1">
      <c r="A5261" s="1" t="s">
        <v>8325</v>
      </c>
      <c r="C5261" s="1">
        <v>1</v>
      </c>
      <c r="D5261" s="1" t="str">
        <f>"03388"</f>
        <v>03388</v>
      </c>
      <c r="E5261" s="1" t="s">
        <v>142</v>
      </c>
      <c r="F5261" s="1">
        <v>15</v>
      </c>
      <c r="G5261" s="1">
        <v>11</v>
      </c>
      <c r="H5261" s="1">
        <v>0</v>
      </c>
      <c r="I5261" s="1" t="s">
        <v>8313</v>
      </c>
      <c r="K5261" s="1" t="str">
        <f t="shared" si="339"/>
        <v>ㄌ</v>
      </c>
      <c r="L5261" s="1" t="str">
        <f t="shared" si="340"/>
        <v>ㄧ</v>
      </c>
      <c r="N5261" s="3" t="s">
        <v>30575</v>
      </c>
      <c r="O5261" s="3"/>
      <c r="P5261" s="1" t="s">
        <v>20</v>
      </c>
      <c r="R5261" s="1" t="s">
        <v>8314</v>
      </c>
      <c r="V5261" s="1" t="s">
        <v>8326</v>
      </c>
      <c r="AR5261" s="1" t="str">
        <f t="shared" si="338"/>
        <v>| [ㄌㄧˊ](ㄌㄧˊ.md) | [璃](璃.md) |  | lí | 參見「玻璃」、「琉璃」等條。 |</v>
      </c>
    </row>
    <row r="5262" spans="1:44" hidden="1">
      <c r="A5262" s="1" t="s">
        <v>8327</v>
      </c>
      <c r="C5262" s="1">
        <v>1</v>
      </c>
      <c r="D5262" s="1" t="str">
        <f>"03389"</f>
        <v>03389</v>
      </c>
      <c r="E5262" s="1" t="s">
        <v>725</v>
      </c>
      <c r="F5262" s="1">
        <v>17</v>
      </c>
      <c r="G5262" s="1">
        <v>11</v>
      </c>
      <c r="H5262" s="1">
        <v>0</v>
      </c>
      <c r="I5262" s="1" t="s">
        <v>8313</v>
      </c>
      <c r="K5262" s="1" t="str">
        <f t="shared" si="339"/>
        <v>ㄌ</v>
      </c>
      <c r="L5262" s="1" t="str">
        <f t="shared" si="340"/>
        <v>ㄧ</v>
      </c>
      <c r="N5262" s="3" t="s">
        <v>30575</v>
      </c>
      <c r="O5262" s="3"/>
      <c r="P5262" s="1" t="s">
        <v>20</v>
      </c>
      <c r="R5262" s="1" t="s">
        <v>8314</v>
      </c>
      <c r="V5262" s="1" t="s">
        <v>8328</v>
      </c>
      <c r="AR5262" s="1" t="str">
        <f t="shared" si="338"/>
        <v>| [ㄌㄧˊ](ㄌㄧˊ.md) | [縭](縭.md) |  | lí | [名]
古代女子出嫁時配帶的彩巾。《詩經．豳風．東山》：「親結其縭，九十其儀。」漢．毛亨．傳：「縭，婦人之褘也。母戒女，施衿結帨。」 |</v>
      </c>
    </row>
    <row r="5263" spans="1:44" hidden="1">
      <c r="A5263" s="1" t="s">
        <v>8329</v>
      </c>
      <c r="C5263" s="1">
        <v>1</v>
      </c>
      <c r="D5263" s="1" t="str">
        <f>"03390"</f>
        <v>03390</v>
      </c>
      <c r="E5263" s="1" t="s">
        <v>1462</v>
      </c>
      <c r="F5263" s="1">
        <v>18</v>
      </c>
      <c r="G5263" s="1">
        <v>11</v>
      </c>
      <c r="H5263" s="1">
        <v>0</v>
      </c>
      <c r="I5263" s="1" t="s">
        <v>8313</v>
      </c>
      <c r="K5263" s="1" t="str">
        <f t="shared" si="339"/>
        <v>ㄌ</v>
      </c>
      <c r="L5263" s="1" t="str">
        <f t="shared" si="340"/>
        <v>ㄧ</v>
      </c>
      <c r="N5263" s="3" t="s">
        <v>30575</v>
      </c>
      <c r="O5263" s="3"/>
      <c r="P5263" s="1" t="s">
        <v>20</v>
      </c>
      <c r="R5263" s="1" t="s">
        <v>8314</v>
      </c>
      <c r="V5263" s="1" t="s">
        <v>8330</v>
      </c>
      <c r="AR5263" s="1" t="str">
        <f t="shared" si="338"/>
        <v>| [ㄌㄧˊ](ㄌㄧˊ.md) | [醨](醨.md) |  | lí | [名]
薄酒。《說文解字．酉部》：「醨，薄酒也。」《史記．卷八四．屈原賈生傳》：「眾人皆醉，何不餔其糟而啜其醨。」清．紀昀《閱微草堂筆記．卷二三．灤陽續錄五》：「肆中村釀薄醨，殊不足辱杯斝。」
[形]
淺薄、不敦厚。《舊唐書．卷一三．德宗本紀下》：「然而王霸跡殊，淳醨代變。」唐．皮日休〈請韓文公配饗太學書〉：「文中子之末，降及貞觀、開元，其傳者醨，其繼者淺。」 |</v>
      </c>
    </row>
    <row r="5264" spans="1:44" hidden="1">
      <c r="A5264" s="1" t="s">
        <v>8331</v>
      </c>
      <c r="C5264" s="1">
        <v>1</v>
      </c>
      <c r="D5264" s="1" t="str">
        <f>"03391"</f>
        <v>03391</v>
      </c>
      <c r="E5264" s="1" t="s">
        <v>5383</v>
      </c>
      <c r="F5264" s="1">
        <v>19</v>
      </c>
      <c r="G5264" s="1">
        <v>11</v>
      </c>
      <c r="H5264" s="1">
        <v>0</v>
      </c>
      <c r="I5264" s="1" t="s">
        <v>8313</v>
      </c>
      <c r="K5264" s="1" t="str">
        <f t="shared" si="339"/>
        <v>ㄌ</v>
      </c>
      <c r="L5264" s="1" t="str">
        <f t="shared" si="340"/>
        <v>ㄧ</v>
      </c>
      <c r="N5264" s="3" t="s">
        <v>30575</v>
      </c>
      <c r="O5264" s="3"/>
      <c r="P5264" s="1" t="s">
        <v>20</v>
      </c>
      <c r="R5264" s="1" t="s">
        <v>8314</v>
      </c>
      <c r="V5264" s="1" t="s">
        <v>8332</v>
      </c>
      <c r="AR5264" s="1" t="str">
        <f t="shared" si="338"/>
        <v>| [ㄌㄧˊ](ㄌㄧˊ.md) | [離](離.md) |  | lí | [動]
1.分別、分開。如：「離群索居」。《呂氏春秋．仲夏紀．大客》：「渾渾沌沌，離則復合，合則復離，是謂天常。」唐．白居易〈琵琶行〉：「商人重利輕別離，前月浮梁買茶去。」
2.距、相隔。如：「我家離火車站很近。」《三國演義》第一六回：「轅門離中軍一百五十步。」
3.背叛。如：「背離」、「乖離」、「離經叛道」。《左傳．隱公四年》：「阻兵無眾，安忍無親，眾叛親離，難以濟矣。」
4.遭受、觸犯。《韓非子．五蠹》：「夫離法者罪，而諸先生以文學取。」《史記．卷三五．管蔡世家》：「必去曹，無離曹禍。」
5.缺少。如：「做蛋糕，離不了麵粉與蛋。」
[名]
1.《易經》卦名：(1)八卦之一。卦形為☲。其象為火、日、電。(2)六十四卦之一。離（☲）下離（☲）上。象以陰柔之質而得中正之義。
2.姓。如五胡十六國時後燕有離班。 |</v>
      </c>
    </row>
    <row r="5265" spans="1:44" hidden="1">
      <c r="A5265" s="1" t="s">
        <v>8333</v>
      </c>
      <c r="C5265" s="1">
        <v>1</v>
      </c>
      <c r="D5265" s="1" t="str">
        <f>"03392"</f>
        <v>03392</v>
      </c>
      <c r="E5265" s="1" t="s">
        <v>129</v>
      </c>
      <c r="F5265" s="1">
        <v>22</v>
      </c>
      <c r="G5265" s="1">
        <v>19</v>
      </c>
      <c r="H5265" s="1">
        <v>0</v>
      </c>
      <c r="I5265" s="1" t="s">
        <v>8313</v>
      </c>
      <c r="K5265" s="1" t="str">
        <f t="shared" si="339"/>
        <v>ㄌ</v>
      </c>
      <c r="L5265" s="1" t="str">
        <f t="shared" si="340"/>
        <v>ㄧ</v>
      </c>
      <c r="N5265" s="3" t="s">
        <v>30575</v>
      </c>
      <c r="O5265" s="3"/>
      <c r="P5265" s="1" t="s">
        <v>20</v>
      </c>
      <c r="R5265" s="1" t="s">
        <v>8314</v>
      </c>
      <c r="V5265" s="1" t="s">
        <v>8334</v>
      </c>
      <c r="AR5265" s="1" t="str">
        <f t="shared" si="338"/>
        <v>| [ㄌㄧˊ](ㄌㄧˊ.md) | [灕](灕.md) |  | lí | [動]
滲流。《漢書．卷八七．揚雄傳上》：「雲䬠䬠而來迎兮，澤滲灕而下降。」
[名]
參見「灕江」條。 |</v>
      </c>
    </row>
    <row r="5266" spans="1:44" hidden="1">
      <c r="A5266" s="1" t="s">
        <v>8335</v>
      </c>
      <c r="C5266" s="1">
        <v>1</v>
      </c>
      <c r="D5266" s="1" t="str">
        <f>"03393"</f>
        <v>03393</v>
      </c>
      <c r="E5266" s="1" t="s">
        <v>37</v>
      </c>
      <c r="F5266" s="1">
        <v>23</v>
      </c>
      <c r="G5266" s="1">
        <v>19</v>
      </c>
      <c r="H5266" s="1">
        <v>0</v>
      </c>
      <c r="I5266" s="1" t="s">
        <v>8313</v>
      </c>
      <c r="K5266" s="1" t="str">
        <f t="shared" si="339"/>
        <v>ㄌ</v>
      </c>
      <c r="L5266" s="1" t="str">
        <f t="shared" si="340"/>
        <v>ㄧ</v>
      </c>
      <c r="N5266" s="3" t="s">
        <v>30575</v>
      </c>
      <c r="O5266" s="3"/>
      <c r="P5266" s="1" t="s">
        <v>20</v>
      </c>
      <c r="R5266" s="1" t="s">
        <v>8314</v>
      </c>
      <c r="V5266" s="1" t="s">
        <v>8336</v>
      </c>
      <c r="AR5266" s="1" t="str">
        <f t="shared" si="338"/>
        <v>| [ㄌㄧˊ](ㄌㄧˊ.md) | [蘺](蘺.md) |  | lí | [名]
1.參見「江蘺」條。
2.用竹或樹枝編成的柵欄。通「籬」。《漢書．卷三一．陳勝項籍傳．贊曰》：「乃使蒙恬北築藩城而守藩蘺，卻匈奴七百餘里。」 |</v>
      </c>
    </row>
    <row r="5267" spans="1:44" hidden="1">
      <c r="A5267" s="1" t="s">
        <v>8337</v>
      </c>
      <c r="C5267" s="1">
        <v>1</v>
      </c>
      <c r="D5267" s="1" t="str">
        <f>"03394"</f>
        <v>03394</v>
      </c>
      <c r="E5267" s="1" t="s">
        <v>118</v>
      </c>
      <c r="F5267" s="1">
        <v>24</v>
      </c>
      <c r="G5267" s="1">
        <v>19</v>
      </c>
      <c r="H5267" s="1">
        <v>0</v>
      </c>
      <c r="I5267" s="1" t="s">
        <v>8313</v>
      </c>
      <c r="K5267" s="1" t="str">
        <f t="shared" si="339"/>
        <v>ㄌ</v>
      </c>
      <c r="L5267" s="1" t="str">
        <f t="shared" si="340"/>
        <v>ㄧ</v>
      </c>
      <c r="N5267" s="3" t="s">
        <v>30575</v>
      </c>
      <c r="O5267" s="3"/>
      <c r="P5267" s="1" t="s">
        <v>20</v>
      </c>
      <c r="R5267" s="1" t="s">
        <v>8314</v>
      </c>
      <c r="V5267" s="1" t="s">
        <v>8338</v>
      </c>
      <c r="AR5267" s="1" t="str">
        <f t="shared" si="338"/>
        <v>| [ㄌㄧˊ](ㄌㄧˊ.md) | [䍦](䍦.md) |  | lí | [名]
古時的一種頭巾。參見「羃䍦」條。 |</v>
      </c>
    </row>
    <row r="5268" spans="1:44" hidden="1">
      <c r="A5268" s="1" t="s">
        <v>8339</v>
      </c>
      <c r="C5268" s="1">
        <v>1</v>
      </c>
      <c r="D5268" s="1" t="str">
        <f>"03395"</f>
        <v>03395</v>
      </c>
      <c r="E5268" s="1" t="s">
        <v>49</v>
      </c>
      <c r="F5268" s="1">
        <v>25</v>
      </c>
      <c r="G5268" s="1">
        <v>19</v>
      </c>
      <c r="H5268" s="1">
        <v>0</v>
      </c>
      <c r="I5268" s="1" t="s">
        <v>8313</v>
      </c>
      <c r="K5268" s="1" t="str">
        <f t="shared" si="339"/>
        <v>ㄌ</v>
      </c>
      <c r="L5268" s="1" t="str">
        <f t="shared" si="340"/>
        <v>ㄧ</v>
      </c>
      <c r="N5268" s="3" t="s">
        <v>30575</v>
      </c>
      <c r="O5268" s="3"/>
      <c r="P5268" s="1" t="s">
        <v>20</v>
      </c>
      <c r="R5268" s="1" t="s">
        <v>8314</v>
      </c>
      <c r="V5268" s="1" t="s">
        <v>8340</v>
      </c>
      <c r="AR5268" s="1" t="str">
        <f t="shared" si="338"/>
        <v>| [ㄌㄧˊ](ㄌㄧˊ.md) | [籬](籬.md) |  | lí | [名]
以竹或樹枝編成的柵欄。如：「竹籬」。晉．陶淵明〈飲酒詩〉：「採菊東籬下，悠然見南山。」南朝宋．沈約〈宿東園詩〉：「槿籬疏復密，荊扉新且故。」 |</v>
      </c>
    </row>
    <row r="5269" spans="1:44" hidden="1">
      <c r="A5269" s="1" t="s">
        <v>8341</v>
      </c>
      <c r="C5269" s="1">
        <v>1</v>
      </c>
      <c r="D5269" s="1" t="str">
        <f>"03396"</f>
        <v>03396</v>
      </c>
      <c r="E5269" s="1" t="s">
        <v>139</v>
      </c>
      <c r="F5269" s="1">
        <v>11</v>
      </c>
      <c r="G5269" s="1">
        <v>7</v>
      </c>
      <c r="H5269" s="1">
        <v>0</v>
      </c>
      <c r="I5269" s="1" t="s">
        <v>8313</v>
      </c>
      <c r="K5269" s="1" t="str">
        <f t="shared" si="339"/>
        <v>ㄌ</v>
      </c>
      <c r="L5269" s="1" t="str">
        <f t="shared" si="340"/>
        <v>ㄧ</v>
      </c>
      <c r="N5269" s="3" t="s">
        <v>30575</v>
      </c>
      <c r="O5269" s="3"/>
      <c r="P5269" s="1" t="s">
        <v>20</v>
      </c>
      <c r="R5269" s="1" t="s">
        <v>8314</v>
      </c>
      <c r="V5269" s="1" t="s">
        <v>8342</v>
      </c>
      <c r="AR5269" s="1" t="str">
        <f t="shared" si="338"/>
        <v>| [ㄌㄧˊ](ㄌㄧˊ.md) | [梨](梨.md) |  | lí | [名]
植物名。薔薇科梨屬，「梨樹」之簡稱，參見「梨樹」條。
[動]
分離、分割。通「剺」。《漢書．卷八七．揚雄傳下》：「分梨單于，磔裂屬國。」《後漢書．卷一九．耿弇列傳》：「匈奴聞秉卒，舉國號哭，或至梨面流血。」 |</v>
      </c>
    </row>
    <row r="5270" spans="1:44" hidden="1">
      <c r="A5270" s="1" t="s">
        <v>8343</v>
      </c>
      <c r="C5270" s="1">
        <v>1</v>
      </c>
      <c r="D5270" s="1" t="str">
        <f>"03397"</f>
        <v>03397</v>
      </c>
      <c r="E5270" s="1" t="s">
        <v>518</v>
      </c>
      <c r="F5270" s="1">
        <v>11</v>
      </c>
      <c r="G5270" s="1">
        <v>7</v>
      </c>
      <c r="H5270" s="1">
        <v>0</v>
      </c>
      <c r="I5270" s="1" t="s">
        <v>8313</v>
      </c>
      <c r="K5270" s="1" t="str">
        <f t="shared" si="339"/>
        <v>ㄌ</v>
      </c>
      <c r="L5270" s="1" t="str">
        <f t="shared" si="340"/>
        <v>ㄧ</v>
      </c>
      <c r="N5270" s="3" t="s">
        <v>30575</v>
      </c>
      <c r="O5270" s="3"/>
      <c r="P5270" s="1" t="s">
        <v>20</v>
      </c>
      <c r="R5270" s="1" t="s">
        <v>8314</v>
      </c>
      <c r="V5270" s="1" t="s">
        <v>8344</v>
      </c>
      <c r="AR5270" s="1" t="str">
        <f t="shared" si="338"/>
        <v>| [ㄌㄧˊ](ㄌㄧˊ.md) | [犁](犁.md) |  | lí | [名]
1.耕翻土地所用的農具。《廣韻．平聲．齊韻》：「犁，墾田器。」
2.姓。如春秋時齊國有犁彌。
[動]
1.耕土、翻土。《文選．古詩十九首．去者日以疏》：「古墓犁為田，松柏摧為薪。」宋．蘇舜欽〈城南感懷呈永叔〉詩：「去年水後旱，田畝不及犁。」
2.摧毀。《漢書．卷九四．匈奴傳下》：「固已犁其庭，掃其閭。」《明史．卷一三五．葉兌傳》：「然後進攻平江，犁其心腹。」
[形]
黑色的。《戰國策．秦策一》：「形容枯槁，面目犁黑。」唐．李白〈魯郡堯祠送竇明府薄華還西京〉詩：「朝策犁眉騧，舉鞭力不堪。」 |</v>
      </c>
    </row>
    <row r="5271" spans="1:44" hidden="1">
      <c r="A5271" s="1" t="s">
        <v>8345</v>
      </c>
      <c r="C5271" s="1">
        <v>1</v>
      </c>
      <c r="D5271" s="1" t="str">
        <f>"03398"</f>
        <v>03398</v>
      </c>
      <c r="E5271" s="1" t="s">
        <v>679</v>
      </c>
      <c r="F5271" s="1">
        <v>13</v>
      </c>
      <c r="G5271" s="1">
        <v>7</v>
      </c>
      <c r="H5271" s="1">
        <v>0</v>
      </c>
      <c r="I5271" s="1" t="s">
        <v>8313</v>
      </c>
      <c r="K5271" s="1" t="str">
        <f t="shared" si="339"/>
        <v>ㄌ</v>
      </c>
      <c r="L5271" s="1" t="str">
        <f t="shared" si="340"/>
        <v>ㄧ</v>
      </c>
      <c r="N5271" s="3" t="s">
        <v>30575</v>
      </c>
      <c r="O5271" s="3"/>
      <c r="P5271" s="1" t="s">
        <v>20</v>
      </c>
      <c r="R5271" s="1" t="s">
        <v>8314</v>
      </c>
      <c r="V5271" s="1" t="s">
        <v>8346</v>
      </c>
      <c r="AR5271" s="1" t="str">
        <f t="shared" si="338"/>
        <v>| [ㄌㄧˊ](ㄌㄧˊ.md) | [蜊](蜊.md) |  | lí | 參見「蛤蜊」條。 |</v>
      </c>
    </row>
    <row r="5272" spans="1:44" hidden="1">
      <c r="A5272" s="1" t="s">
        <v>8347</v>
      </c>
      <c r="C5272" s="1">
        <v>1</v>
      </c>
      <c r="D5272" s="1" t="str">
        <f>"03399"</f>
        <v>03399</v>
      </c>
      <c r="E5272" s="1" t="s">
        <v>37</v>
      </c>
      <c r="F5272" s="1">
        <v>12</v>
      </c>
      <c r="G5272" s="1">
        <v>8</v>
      </c>
      <c r="H5272" s="1">
        <v>0</v>
      </c>
      <c r="I5272" s="1" t="s">
        <v>8313</v>
      </c>
      <c r="K5272" s="1" t="str">
        <f t="shared" si="339"/>
        <v>ㄌ</v>
      </c>
      <c r="L5272" s="1" t="str">
        <f t="shared" si="340"/>
        <v>ㄧ</v>
      </c>
      <c r="N5272" s="3" t="s">
        <v>30575</v>
      </c>
      <c r="O5272" s="3"/>
      <c r="P5272" s="1" t="s">
        <v>20</v>
      </c>
      <c r="R5272" s="1" t="s">
        <v>8314</v>
      </c>
      <c r="V5272" s="1" t="s">
        <v>8348</v>
      </c>
      <c r="AR5272" s="1" t="str">
        <f t="shared" si="338"/>
        <v>| [ㄌㄧˊ](ㄌㄧˊ.md) | [菞](菞.md) |  | lí | 同「黎」。 |</v>
      </c>
    </row>
    <row r="5273" spans="1:44" hidden="1">
      <c r="A5273" s="1" t="s">
        <v>8349</v>
      </c>
      <c r="C5273" s="1">
        <v>1</v>
      </c>
      <c r="D5273" s="1" t="str">
        <f>"03400"</f>
        <v>03400</v>
      </c>
      <c r="E5273" s="1" t="s">
        <v>7553</v>
      </c>
      <c r="F5273" s="1">
        <v>15</v>
      </c>
      <c r="G5273" s="1">
        <v>3</v>
      </c>
      <c r="H5273" s="1">
        <v>0</v>
      </c>
      <c r="I5273" s="1" t="s">
        <v>8313</v>
      </c>
      <c r="K5273" s="1" t="str">
        <f t="shared" si="339"/>
        <v>ㄌ</v>
      </c>
      <c r="L5273" s="1" t="str">
        <f t="shared" si="340"/>
        <v>ㄧ</v>
      </c>
      <c r="N5273" s="3" t="s">
        <v>30575</v>
      </c>
      <c r="O5273" s="3"/>
      <c r="P5273" s="1" t="s">
        <v>20</v>
      </c>
      <c r="R5273" s="1" t="s">
        <v>8314</v>
      </c>
      <c r="V5273" s="1" t="s">
        <v>8350</v>
      </c>
      <c r="AR5273" s="1" t="str">
        <f t="shared" si="338"/>
        <v>| [ㄌㄧˊ](ㄌㄧˊ.md) | [黎](黎.md) |  | lí | [形]_x000D_
1.眾多的。如：「黎庶」。《詩經．大雅．雲漢》：「周餘黎民，靡有孑遺。」_x000D_
2.黑色的。通「黧」。《荀子．堯問》：「舍佚而為勞，顏色黎黑而不失其所。」_x000D_
[副]_x000D_
及、將。參見「黎明」條。_x000D_
[名]_x000D_
1.中國少數民族之一。分布於大陸地區廣東、廣西兩省，而以海南島黎母嶺下人數最多。《國語．楚語下》：「及少皞之衰也，九黎亂德。」_x000D_
2.古國名。殷商時的諸侯國，商末為周文王所滅。故城在今大陸地區山西省長治縣西南。_x000D_
3.姓。如北周時有黎景熙。 |</v>
      </c>
    </row>
    <row r="5274" spans="1:44" hidden="1">
      <c r="A5274" s="1" t="s">
        <v>8351</v>
      </c>
      <c r="C5274" s="1">
        <v>1</v>
      </c>
      <c r="D5274" s="1" t="str">
        <f>"03401"</f>
        <v>03401</v>
      </c>
      <c r="E5274" s="1" t="s">
        <v>37</v>
      </c>
      <c r="F5274" s="1">
        <v>19</v>
      </c>
      <c r="G5274" s="1">
        <v>15</v>
      </c>
      <c r="H5274" s="1">
        <v>0</v>
      </c>
      <c r="I5274" s="1" t="s">
        <v>8313</v>
      </c>
      <c r="K5274" s="1" t="str">
        <f t="shared" si="339"/>
        <v>ㄌ</v>
      </c>
      <c r="L5274" s="1" t="str">
        <f t="shared" si="340"/>
        <v>ㄧ</v>
      </c>
      <c r="N5274" s="3" t="s">
        <v>30575</v>
      </c>
      <c r="O5274" s="3"/>
      <c r="P5274" s="1" t="s">
        <v>20</v>
      </c>
      <c r="R5274" s="1" t="s">
        <v>8314</v>
      </c>
      <c r="V5274" s="1" t="s">
        <v>8352</v>
      </c>
      <c r="AR5274" s="1" t="str">
        <f t="shared" si="338"/>
        <v>| [ㄌㄧˊ](ㄌㄧˊ.md) | [藜](藜.md) |  | lí | [名]
植物名。藜科藜屬，「蔏藋」、「白藜」之古稱。參見「蔏藋」條。 |</v>
      </c>
    </row>
    <row r="5275" spans="1:44" hidden="1">
      <c r="A5275" s="1" t="s">
        <v>8353</v>
      </c>
      <c r="C5275" s="1">
        <v>1</v>
      </c>
      <c r="D5275" s="1" t="str">
        <f>"03402"</f>
        <v>03402</v>
      </c>
      <c r="E5275" s="1" t="s">
        <v>2777</v>
      </c>
      <c r="F5275" s="1">
        <v>20</v>
      </c>
      <c r="G5275" s="1">
        <v>8</v>
      </c>
      <c r="H5275" s="1">
        <v>0</v>
      </c>
      <c r="I5275" s="1" t="s">
        <v>8313</v>
      </c>
      <c r="K5275" s="1" t="str">
        <f t="shared" si="339"/>
        <v>ㄌ</v>
      </c>
      <c r="L5275" s="1" t="str">
        <f t="shared" si="340"/>
        <v>ㄧ</v>
      </c>
      <c r="N5275" s="3" t="s">
        <v>30575</v>
      </c>
      <c r="O5275" s="3"/>
      <c r="P5275" s="1" t="s">
        <v>20</v>
      </c>
      <c r="R5275" s="1" t="s">
        <v>8314</v>
      </c>
      <c r="V5275" s="1" t="s">
        <v>8354</v>
      </c>
      <c r="AR5275" s="1" t="str">
        <f t="shared" si="338"/>
        <v>| [ㄌㄧˊ](ㄌㄧˊ.md) | [黧](黧.md) |  | lí | [名]_x000D_
黑中帶著蠟黃的顏色。《廣韻．平聲．齊韻》：「黧，黑而黃也。」《韓非子．外儲說左上》：「手足胼胝，面目黧黑，勞有功者也。」宋．沈遘〈道中見新月寄內〉詩：「朱顏最先黧，綠髮次第蒼。」 |</v>
      </c>
    </row>
    <row r="5276" spans="1:44" hidden="1">
      <c r="A5276" s="1" t="s">
        <v>8355</v>
      </c>
      <c r="C5276" s="1">
        <v>1</v>
      </c>
      <c r="D5276" s="1" t="str">
        <f>"03403"</f>
        <v>03403</v>
      </c>
      <c r="E5276" s="1" t="s">
        <v>185</v>
      </c>
      <c r="F5276" s="1">
        <v>13</v>
      </c>
      <c r="G5276" s="1">
        <v>11</v>
      </c>
      <c r="H5276" s="1">
        <v>0</v>
      </c>
      <c r="I5276" s="1" t="s">
        <v>8313</v>
      </c>
      <c r="K5276" s="1" t="str">
        <f t="shared" si="339"/>
        <v>ㄌ</v>
      </c>
      <c r="L5276" s="1" t="str">
        <f t="shared" si="340"/>
        <v>ㄧ</v>
      </c>
      <c r="N5276" s="3" t="s">
        <v>30575</v>
      </c>
      <c r="O5276" s="3"/>
      <c r="P5276" s="1" t="s">
        <v>20</v>
      </c>
      <c r="R5276" s="1" t="s">
        <v>8314</v>
      </c>
      <c r="V5276" s="1" t="s">
        <v>8356</v>
      </c>
      <c r="AR5276" s="1" t="str">
        <f t="shared" si="338"/>
        <v>| [ㄌㄧˊ](ㄌㄧˊ.md) | [剺](剺.md) |  | lí | [動]
割、劃。唐．杜甫〈哀王孫〉詩：「花門剺面請雪恥，慎勿出口他人狙。」《新唐書．卷二〇七．宦者傳上．楊思勗傳》：「所得俘，必剝面、剺腦、褫髮皮以示人。」 |</v>
      </c>
    </row>
    <row r="5277" spans="1:44" hidden="1">
      <c r="A5277" s="1" t="s">
        <v>8357</v>
      </c>
      <c r="C5277" s="1">
        <v>1</v>
      </c>
      <c r="D5277" s="1" t="str">
        <f>"03404"</f>
        <v>03404</v>
      </c>
      <c r="E5277" s="1" t="s">
        <v>534</v>
      </c>
      <c r="F5277" s="1">
        <v>14</v>
      </c>
      <c r="G5277" s="1">
        <v>11</v>
      </c>
      <c r="H5277" s="1">
        <v>0</v>
      </c>
      <c r="I5277" s="1" t="s">
        <v>8313</v>
      </c>
      <c r="K5277" s="1" t="str">
        <f t="shared" si="339"/>
        <v>ㄌ</v>
      </c>
      <c r="L5277" s="1" t="str">
        <f t="shared" si="340"/>
        <v>ㄧ</v>
      </c>
      <c r="N5277" s="3" t="s">
        <v>30575</v>
      </c>
      <c r="O5277" s="3"/>
      <c r="P5277" s="1" t="s">
        <v>20</v>
      </c>
      <c r="R5277" s="1" t="s">
        <v>8314</v>
      </c>
      <c r="V5277" s="1" t="s">
        <v>8358</v>
      </c>
      <c r="AR5277" s="1" t="str">
        <f t="shared" si="338"/>
        <v>| [ㄌㄧˊ](ㄌㄧˊ.md) | [嫠](嫠.md) |  | lí | [名]
寡婦。《左傳．昭公二十四年》：「嫠不恤其緯，而憂宗周之隕。」晉．杜預．注：「嫠，寡婦也。」《後漢書．卷八一．獨行傳．劉翊傳》：「鄉族貧者，死亡則為具殯葬，嫠獨則助營妻娶。」 |</v>
      </c>
    </row>
    <row r="5278" spans="1:44" hidden="1">
      <c r="A5278" s="1" t="s">
        <v>8359</v>
      </c>
      <c r="C5278" s="1">
        <v>1</v>
      </c>
      <c r="D5278" s="1" t="str">
        <f>"03405"</f>
        <v>03405</v>
      </c>
      <c r="E5278" s="1" t="s">
        <v>129</v>
      </c>
      <c r="F5278" s="1">
        <v>15</v>
      </c>
      <c r="G5278" s="1">
        <v>11</v>
      </c>
      <c r="H5278" s="1">
        <v>0</v>
      </c>
      <c r="I5278" s="1" t="s">
        <v>8313</v>
      </c>
      <c r="K5278" s="1" t="str">
        <f t="shared" si="339"/>
        <v>ㄌ</v>
      </c>
      <c r="L5278" s="1" t="str">
        <f t="shared" si="340"/>
        <v>ㄧ</v>
      </c>
      <c r="N5278" s="3" t="s">
        <v>30575</v>
      </c>
      <c r="O5278" s="3"/>
      <c r="P5278" s="1" t="s">
        <v>20</v>
      </c>
      <c r="R5278" s="1" t="s">
        <v>8314</v>
      </c>
      <c r="V5278" s="1" t="s">
        <v>8360</v>
      </c>
      <c r="AR5278" s="1" t="str">
        <f t="shared" si="338"/>
        <v>| [ㄌㄧˊ](ㄌㄧˊ.md) | [漦](漦.md) |  | lí | [動]
順流。《說文解字．水部》：「漦，順流也。」
[名]
龍或魚的唾液。《國語．鄭語》：「卜請其漦而藏之，吉。」三國吳．韋昭．注：「漦，龍所吐沫，龍之精氣也。」《文選．班固．幽通賦》：「震鱗漦于夏庭兮，匝三正而滅姬。」 |</v>
      </c>
    </row>
    <row r="5279" spans="1:44" hidden="1">
      <c r="A5279" s="1" t="s">
        <v>2947</v>
      </c>
      <c r="C5279" s="1">
        <v>1</v>
      </c>
      <c r="D5279" s="1" t="str">
        <f>"03406"</f>
        <v>03406</v>
      </c>
      <c r="E5279" s="1" t="s">
        <v>518</v>
      </c>
      <c r="F5279" s="1">
        <v>15</v>
      </c>
      <c r="G5279" s="1">
        <v>11</v>
      </c>
      <c r="H5279" s="1">
        <v>1</v>
      </c>
      <c r="I5279" s="1" t="s">
        <v>8313</v>
      </c>
      <c r="K5279" s="1" t="str">
        <f t="shared" si="339"/>
        <v>ㄌ</v>
      </c>
      <c r="L5279" s="1" t="str">
        <f t="shared" si="340"/>
        <v>ㄧ</v>
      </c>
      <c r="N5279" s="3" t="s">
        <v>30575</v>
      </c>
      <c r="O5279" s="3"/>
      <c r="P5279" s="1" t="s">
        <v>20</v>
      </c>
      <c r="R5279" s="1" t="s">
        <v>8314</v>
      </c>
      <c r="V5279" s="1" t="s">
        <v>8361</v>
      </c>
      <c r="W5279" s="1" t="s">
        <v>8362</v>
      </c>
      <c r="AR5279" s="1" t="str">
        <f t="shared" si="338"/>
        <v>| [ㄌㄧˊ](ㄌㄧˊ.md) | [犛](犛.md) |  | lí | 參見「犛牛」條。 |</v>
      </c>
    </row>
    <row r="5280" spans="1:44" hidden="1">
      <c r="A5280" s="1" t="s">
        <v>2949</v>
      </c>
      <c r="C5280" s="1">
        <v>1</v>
      </c>
      <c r="D5280" s="1" t="str">
        <f>"03407"</f>
        <v>03407</v>
      </c>
      <c r="E5280" s="1" t="s">
        <v>1703</v>
      </c>
      <c r="F5280" s="1">
        <v>15</v>
      </c>
      <c r="G5280" s="1">
        <v>11</v>
      </c>
      <c r="H5280" s="1">
        <v>1</v>
      </c>
      <c r="I5280" s="1" t="s">
        <v>8313</v>
      </c>
      <c r="K5280" s="1" t="str">
        <f t="shared" si="339"/>
        <v>ㄌ</v>
      </c>
      <c r="L5280" s="1" t="str">
        <f t="shared" si="340"/>
        <v>ㄧ</v>
      </c>
      <c r="N5280" s="3" t="s">
        <v>30575</v>
      </c>
      <c r="O5280" s="3"/>
      <c r="P5280" s="1" t="s">
        <v>20</v>
      </c>
      <c r="R5280" s="1" t="s">
        <v>8314</v>
      </c>
      <c r="V5280" s="1" t="s">
        <v>8363</v>
      </c>
      <c r="W5280" s="1" t="s">
        <v>8364</v>
      </c>
      <c r="AR5280" s="1" t="str">
        <f t="shared" si="338"/>
        <v>| [ㄌㄧˊ](ㄌㄧˊ.md) | [氂](氂.md) |  | lí | [名]
1.同「犛」。參見「犛牛」條。明．徐弘祖《徐霞客遊記．卷七下．滇遊日記七》：「其地多氂，尾大而有力，亦能負重。」
2.馬尾。《淮南子．說山》：「執而不釋，馬氂截玉。」漢．高誘．注：「氂，馬尾也。」
3.長毛。《列子．湯問》：「昌以氂懸蝨於牖，南面而望之，旬日之閒浸大也，三年之後如車輪焉。」《後漢書．卷一七．岑彭傳》：「狗吠不驚，足下生氂。」
4.硬而捲曲的毛。同「斄」。《漢書．卷九九．王莽傳中》：「好厚履高冠，以氂裝衣。」唐．顏師古．注：「毛之強曲者曰氂。」 |</v>
      </c>
    </row>
    <row r="5281" spans="1:44" hidden="1">
      <c r="A5281" s="1" t="s">
        <v>8365</v>
      </c>
      <c r="C5281" s="1">
        <v>1</v>
      </c>
      <c r="D5281" s="1" t="str">
        <f>"03408"</f>
        <v>03408</v>
      </c>
      <c r="E5281" s="1" t="s">
        <v>8366</v>
      </c>
      <c r="F5281" s="1">
        <v>18</v>
      </c>
      <c r="G5281" s="1">
        <v>11</v>
      </c>
      <c r="H5281" s="1">
        <v>1</v>
      </c>
      <c r="I5281" s="1" t="s">
        <v>8313</v>
      </c>
      <c r="K5281" s="1" t="str">
        <f t="shared" si="339"/>
        <v>ㄌ</v>
      </c>
      <c r="L5281" s="1" t="str">
        <f t="shared" si="340"/>
        <v>ㄧ</v>
      </c>
      <c r="N5281" s="3" t="s">
        <v>30575</v>
      </c>
      <c r="O5281" s="3"/>
      <c r="P5281" s="1" t="s">
        <v>20</v>
      </c>
      <c r="R5281" s="1" t="s">
        <v>8314</v>
      </c>
      <c r="V5281" s="1" t="s">
        <v>8367</v>
      </c>
      <c r="W5281" s="1" t="s">
        <v>8368</v>
      </c>
      <c r="AR5281" s="1" t="str">
        <f t="shared" si="338"/>
        <v>| [ㄌㄧˊ](ㄌㄧˊ.md) | [釐](釐.md) |  | lí | [名]
1.量詞：(1)度量衡計算單位。舊制中，公制一釐等於千分之一公尺的長度，或百分之一公畝的地積，或萬分之一公斤。(2)計算地積的單位。一釐等於百分之一畝。(3)計算重量的單位。一釐等於千分之一兩。(4)計算利率的單位。年利率一釐是本金的百分之一，月利率一釐是本金的千分之一。
2.寡婦。通「嫠」。《文選．張協．七命》：「煢釐為之擗摽，孀老為之嗚咽。」
3.姓。如五胡十六國時後秦有釐豔。
[動]
1.治理。《書經．堯典》：「允釐百工，庶績咸熙。」漢．孔安國．傳：「釐，治。工，官。」《資治通鑑．卷一七一．陳紀五．宣帝太建六年》：「群臣表請，累旬乃止。命太子總釐庶政。」
2.改正、改變。《後漢書．卷三四．梁統傳》：「議者以為隆刑峻法，非明王急務，施行日久，豈一朝所釐？」《梁書．卷三八．賀琛傳》：「今若釐其風而正其失，易於反掌。」
3.賜予。《詩經．大雅．既醉》：「其僕維何？釐爾女士。」漢．毛亨．傳：「釐，予也。」 |</v>
      </c>
    </row>
    <row r="5282" spans="1:44" hidden="1">
      <c r="A5282" s="1" t="s">
        <v>8369</v>
      </c>
      <c r="C5282" s="1">
        <v>1</v>
      </c>
      <c r="D5282" s="1" t="str">
        <f>"03409"</f>
        <v>03409</v>
      </c>
      <c r="E5282" s="1" t="s">
        <v>426</v>
      </c>
      <c r="F5282" s="1">
        <v>19</v>
      </c>
      <c r="G5282" s="1">
        <v>15</v>
      </c>
      <c r="H5282" s="1">
        <v>0</v>
      </c>
      <c r="I5282" s="1" t="s">
        <v>8313</v>
      </c>
      <c r="K5282" s="1" t="str">
        <f t="shared" si="339"/>
        <v>ㄌ</v>
      </c>
      <c r="L5282" s="1" t="str">
        <f t="shared" si="340"/>
        <v>ㄧ</v>
      </c>
      <c r="N5282" s="3" t="s">
        <v>30575</v>
      </c>
      <c r="O5282" s="3"/>
      <c r="P5282" s="1" t="s">
        <v>20</v>
      </c>
      <c r="R5282" s="1" t="s">
        <v>8314</v>
      </c>
      <c r="V5282" s="1" t="s">
        <v>8370</v>
      </c>
      <c r="AR5282" s="1" t="str">
        <f t="shared" si="338"/>
        <v>| [ㄌㄧˊ](ㄌㄧˊ.md) | [斄](斄.md) |  | lí | [名]
硬而捲曲的毛。《說文解字．犛部》：「斄，彊曲毛也，可以箸起衣。」 |</v>
      </c>
    </row>
    <row r="5283" spans="1:44" hidden="1">
      <c r="A5283" s="1" t="s">
        <v>8371</v>
      </c>
      <c r="C5283" s="1">
        <v>1</v>
      </c>
      <c r="D5283" s="1" t="str">
        <f>"03410"</f>
        <v>03410</v>
      </c>
      <c r="E5283" s="1" t="s">
        <v>118</v>
      </c>
      <c r="F5283" s="1">
        <v>16</v>
      </c>
      <c r="G5283" s="1">
        <v>11</v>
      </c>
      <c r="H5283" s="1">
        <v>0</v>
      </c>
      <c r="I5283" s="1" t="s">
        <v>8313</v>
      </c>
      <c r="K5283" s="1" t="str">
        <f t="shared" si="339"/>
        <v>ㄌ</v>
      </c>
      <c r="L5283" s="1" t="str">
        <f t="shared" si="340"/>
        <v>ㄧ</v>
      </c>
      <c r="N5283" s="3" t="s">
        <v>30575</v>
      </c>
      <c r="O5283" s="3"/>
      <c r="P5283" s="1" t="s">
        <v>20</v>
      </c>
      <c r="R5283" s="1" t="s">
        <v>8314</v>
      </c>
      <c r="V5283" s="1" t="s">
        <v>8372</v>
      </c>
      <c r="AR5283" s="1" t="str">
        <f t="shared" si="338"/>
        <v>| [ㄌㄧˊ](ㄌㄧˊ.md) | [罹](罹.md) |  | lí | [動]
遭遇、遭受。如：「罹禍」、「罹難」。《漢書．卷五八．公孫弘傳》：「君不幸罹霜露之疾，何恙不已。」《三國演義》第四四回：「若罹兵革之禍，必有歸怨於我，故決計請降耳。」
[名]
憂愁、憂患。《詩經．王風．兔爰》：「我生之後，逢此百罹。」唐．柳宗元〈佩韋賦〉：「苟縱直而不羈兮，乃變罹而禍仍。」 |</v>
      </c>
    </row>
    <row r="5284" spans="1:44" hidden="1">
      <c r="A5284" s="1" t="s">
        <v>8373</v>
      </c>
      <c r="C5284" s="1">
        <v>1</v>
      </c>
      <c r="D5284" s="1" t="str">
        <f>"03411"</f>
        <v>03411</v>
      </c>
      <c r="E5284" s="1" t="s">
        <v>1190</v>
      </c>
      <c r="F5284" s="1">
        <v>19</v>
      </c>
      <c r="G5284" s="1">
        <v>8</v>
      </c>
      <c r="H5284" s="1">
        <v>2</v>
      </c>
      <c r="I5284" s="1" t="s">
        <v>8313</v>
      </c>
      <c r="K5284" s="1" t="str">
        <f t="shared" si="339"/>
        <v>ㄌ</v>
      </c>
      <c r="L5284" s="1" t="str">
        <f t="shared" si="340"/>
        <v>ㄧ</v>
      </c>
      <c r="N5284" s="3" t="s">
        <v>30575</v>
      </c>
      <c r="O5284" s="3"/>
      <c r="P5284" s="1" t="s">
        <v>20</v>
      </c>
      <c r="R5284" s="1" t="s">
        <v>8314</v>
      </c>
      <c r="V5284" s="1" t="s">
        <v>8374</v>
      </c>
      <c r="W5284" s="1" t="s">
        <v>8375</v>
      </c>
      <c r="AR5284" s="1" t="str">
        <f t="shared" si="338"/>
        <v>| [ㄌㄧˊ](ㄌㄧˊ.md) | [麗](麗.md) |  | lí | 參見「高麗」條。 |</v>
      </c>
    </row>
    <row r="5285" spans="1:44" hidden="1">
      <c r="A5285" s="1" t="s">
        <v>8376</v>
      </c>
      <c r="C5285" s="1">
        <v>1</v>
      </c>
      <c r="D5285" s="1" t="str">
        <f>"03412"</f>
        <v>03412</v>
      </c>
      <c r="E5285" s="1" t="s">
        <v>1462</v>
      </c>
      <c r="F5285" s="1">
        <v>26</v>
      </c>
      <c r="G5285" s="1">
        <v>19</v>
      </c>
      <c r="H5285" s="1">
        <v>2</v>
      </c>
      <c r="I5285" s="1" t="s">
        <v>8313</v>
      </c>
      <c r="K5285" s="1" t="str">
        <f t="shared" si="339"/>
        <v>ㄌ</v>
      </c>
      <c r="L5285" s="1" t="str">
        <f t="shared" si="340"/>
        <v>ㄧ</v>
      </c>
      <c r="N5285" s="3" t="s">
        <v>30575</v>
      </c>
      <c r="O5285" s="3"/>
      <c r="P5285" s="1" t="s">
        <v>20</v>
      </c>
      <c r="R5285" s="1" t="s">
        <v>8314</v>
      </c>
      <c r="V5285" s="1" t="s">
        <v>8377</v>
      </c>
      <c r="W5285" s="1" t="s">
        <v>8378</v>
      </c>
      <c r="AR5285" s="1" t="str">
        <f t="shared" si="338"/>
        <v>| [ㄌㄧˊ](ㄌㄧˊ.md) | [釃](釃.md) |  | lí | [動]
用水清理酒渣。《集韻．平聲．支韻》：「釃，以水&amp;4364_.gif;糟。」
[名]
薄酒。通「醨」。《楚辭．屈原．漁父》：「眾人皆醉，何不餔其糟而歠其釃。」 |</v>
      </c>
    </row>
    <row r="5286" spans="1:44" hidden="1">
      <c r="A5286" s="1" t="s">
        <v>8379</v>
      </c>
      <c r="C5286" s="1">
        <v>1</v>
      </c>
      <c r="D5286" s="1" t="str">
        <f>"03413"</f>
        <v>03413</v>
      </c>
      <c r="E5286" s="1" t="s">
        <v>319</v>
      </c>
      <c r="F5286" s="1">
        <v>29</v>
      </c>
      <c r="G5286" s="1">
        <v>19</v>
      </c>
      <c r="H5286" s="1">
        <v>0</v>
      </c>
      <c r="I5286" s="1" t="s">
        <v>8313</v>
      </c>
      <c r="K5286" s="1" t="str">
        <f t="shared" si="339"/>
        <v>ㄌ</v>
      </c>
      <c r="L5286" s="1" t="str">
        <f t="shared" si="340"/>
        <v>ㄧ</v>
      </c>
      <c r="N5286" s="3" t="s">
        <v>30575</v>
      </c>
      <c r="O5286" s="3"/>
      <c r="P5286" s="1" t="s">
        <v>20</v>
      </c>
      <c r="R5286" s="1" t="s">
        <v>8314</v>
      </c>
      <c r="V5286" s="1" t="s">
        <v>8380</v>
      </c>
      <c r="AR5286" s="1" t="str">
        <f t="shared" si="338"/>
        <v>| [ㄌㄧˊ](ㄌㄧˊ.md) | [驪](驪.md) |  | lí | [名]
純黑色的馬。《說文解字．馬部》：「驪，馬深黑色。」《詩經．魯頌．駉》：「有驪有黃，以車彭彭。」
[副]
並列。《文選．張衡．西京賦》：「驪駕四鹿，芝蓋九葩。」三國吳．薛綜．注：「驪，猶羅列駢駕之也。」 |</v>
      </c>
    </row>
    <row r="5287" spans="1:44" hidden="1">
      <c r="A5287" s="1" t="s">
        <v>8381</v>
      </c>
      <c r="C5287" s="1">
        <v>1</v>
      </c>
      <c r="D5287" s="1" t="str">
        <f>"03414"</f>
        <v>03414</v>
      </c>
      <c r="E5287" s="1" t="s">
        <v>272</v>
      </c>
      <c r="F5287" s="1">
        <v>30</v>
      </c>
      <c r="G5287" s="1">
        <v>19</v>
      </c>
      <c r="H5287" s="1">
        <v>0</v>
      </c>
      <c r="I5287" s="1" t="s">
        <v>8313</v>
      </c>
      <c r="K5287" s="1" t="str">
        <f t="shared" si="339"/>
        <v>ㄌ</v>
      </c>
      <c r="L5287" s="1" t="str">
        <f t="shared" si="340"/>
        <v>ㄧ</v>
      </c>
      <c r="N5287" s="3" t="s">
        <v>30575</v>
      </c>
      <c r="O5287" s="3"/>
      <c r="P5287" s="1" t="s">
        <v>20</v>
      </c>
      <c r="R5287" s="1" t="s">
        <v>8314</v>
      </c>
      <c r="V5287" s="1" t="s">
        <v>8382</v>
      </c>
      <c r="AR5287" s="1" t="str">
        <f t="shared" si="338"/>
        <v>| [ㄌㄧˊ](ㄌㄧˊ.md) | [鸝](鸝.md) |  | lí | 參見「黃鸝」條。 |</v>
      </c>
    </row>
    <row r="5288" spans="1:44" hidden="1">
      <c r="A5288" s="1" t="s">
        <v>8383</v>
      </c>
      <c r="C5288" s="1">
        <v>1</v>
      </c>
      <c r="D5288" s="1" t="str">
        <f>"03415"</f>
        <v>03415</v>
      </c>
      <c r="E5288" s="1" t="s">
        <v>156</v>
      </c>
      <c r="F5288" s="1">
        <v>30</v>
      </c>
      <c r="G5288" s="1">
        <v>19</v>
      </c>
      <c r="H5288" s="1">
        <v>0</v>
      </c>
      <c r="I5288" s="1" t="s">
        <v>8313</v>
      </c>
      <c r="K5288" s="1" t="str">
        <f t="shared" si="339"/>
        <v>ㄌ</v>
      </c>
      <c r="L5288" s="1" t="str">
        <f t="shared" si="340"/>
        <v>ㄧ</v>
      </c>
      <c r="N5288" s="3" t="s">
        <v>30575</v>
      </c>
      <c r="O5288" s="3"/>
      <c r="P5288" s="1" t="s">
        <v>20</v>
      </c>
      <c r="R5288" s="1" t="s">
        <v>8314</v>
      </c>
      <c r="V5288" s="1" t="s">
        <v>8384</v>
      </c>
      <c r="AR5288" s="1" t="str">
        <f t="shared" si="338"/>
        <v>| [ㄌㄧˊ](ㄌㄧˊ.md) | [鱺](鱺.md) |  | lí | [名]
一種外形似蛇的魚。《玉篇．魚部》：「鱺，魚似蛇，無鱗甲，其氣辟蠹蟲也。」 |</v>
      </c>
    </row>
    <row r="5289" spans="1:44" hidden="1">
      <c r="A5289" s="1" t="s">
        <v>8385</v>
      </c>
      <c r="C5289" s="1">
        <v>1</v>
      </c>
      <c r="D5289" s="1" t="str">
        <f>"03416"</f>
        <v>03416</v>
      </c>
      <c r="E5289" s="1" t="s">
        <v>679</v>
      </c>
      <c r="F5289" s="1">
        <v>21</v>
      </c>
      <c r="G5289" s="1">
        <v>15</v>
      </c>
      <c r="H5289" s="1">
        <v>2</v>
      </c>
      <c r="I5289" s="1" t="s">
        <v>8313</v>
      </c>
      <c r="K5289" s="1" t="str">
        <f t="shared" si="339"/>
        <v>ㄌ</v>
      </c>
      <c r="L5289" s="1" t="str">
        <f t="shared" si="340"/>
        <v>ㄧ</v>
      </c>
      <c r="N5289" s="3" t="s">
        <v>30575</v>
      </c>
      <c r="O5289" s="3"/>
      <c r="P5289" s="1" t="s">
        <v>20</v>
      </c>
      <c r="R5289" s="1" t="s">
        <v>8314</v>
      </c>
      <c r="V5289" s="1" t="s">
        <v>8386</v>
      </c>
      <c r="W5289" s="1" t="s">
        <v>8387</v>
      </c>
      <c r="AR5289" s="1" t="str">
        <f t="shared" si="338"/>
        <v>| [ㄌㄧˊ](ㄌㄧˊ.md) | [蠡](蠡.md) |  | lí | [名]
用瓠瓜做成的水瓢。《廣韻．平聲．戈韻》：「蠡，瓠瓢也。」《漢書．卷六五．東方朔傳》：「語曰：『以筦闚天，以蠡測海，以莛撞鐘。』」 |</v>
      </c>
    </row>
    <row r="5290" spans="1:44" hidden="1">
      <c r="A5290" s="1" t="s">
        <v>8388</v>
      </c>
      <c r="C5290" s="1">
        <v>1</v>
      </c>
      <c r="D5290" s="1" t="str">
        <f>"03417"</f>
        <v>03417</v>
      </c>
      <c r="E5290" s="1" t="s">
        <v>185</v>
      </c>
      <c r="F5290" s="1">
        <v>23</v>
      </c>
      <c r="G5290" s="1">
        <v>21</v>
      </c>
      <c r="H5290" s="1">
        <v>0</v>
      </c>
      <c r="I5290" s="1" t="s">
        <v>8313</v>
      </c>
      <c r="K5290" s="1" t="str">
        <f t="shared" si="339"/>
        <v>ㄌ</v>
      </c>
      <c r="L5290" s="1" t="str">
        <f t="shared" si="340"/>
        <v>ㄧ</v>
      </c>
      <c r="N5290" s="3" t="s">
        <v>30575</v>
      </c>
      <c r="O5290" s="3"/>
      <c r="P5290" s="1" t="s">
        <v>20</v>
      </c>
      <c r="R5290" s="1" t="s">
        <v>8314</v>
      </c>
      <c r="V5290" s="1" t="s">
        <v>8389</v>
      </c>
      <c r="AR5290" s="1" t="str">
        <f t="shared" si="338"/>
        <v>| [ㄌㄧˊ](ㄌㄧˊ.md) | [劙](劙.md) |  | lí | [動]
割、劃。《荀子．彊國》：「剝脫之，砥厲之，則劙盤盂、刎牛馬忽然耳。」《聊齊志異．卷四．念秧》：「或有劙囊刺橐，攫貨於市，行人回首，財貨已空，此非鬼蜮之尤者耶？」 |</v>
      </c>
    </row>
    <row r="5291" spans="1:44" hidden="1">
      <c r="A5291" s="1" t="s">
        <v>30535</v>
      </c>
      <c r="C5291" s="1">
        <v>1</v>
      </c>
      <c r="D5291" s="1" t="str">
        <f>"119060017"</f>
        <v>119060017</v>
      </c>
      <c r="E5291" s="1" t="s">
        <v>1941</v>
      </c>
      <c r="F5291" s="1">
        <v>9</v>
      </c>
      <c r="G5291" s="1">
        <v>7</v>
      </c>
      <c r="H5291" s="1">
        <v>0</v>
      </c>
      <c r="I5291" s="1" t="s">
        <v>8313</v>
      </c>
      <c r="K5291" s="1" t="str">
        <f t="shared" ref="K5291:K5309" si="341">LEFT(I5291, 1)</f>
        <v>ㄌ</v>
      </c>
      <c r="L5291" s="1" t="str">
        <f t="shared" ref="L5291:L5309" si="342">MID(I5291, 2, 1)</f>
        <v>ㄧ</v>
      </c>
      <c r="N5291" s="3" t="s">
        <v>30575</v>
      </c>
      <c r="O5291" s="3"/>
      <c r="P5291" s="1" t="s">
        <v>20</v>
      </c>
      <c r="R5291" s="1" t="s">
        <v>8314</v>
      </c>
      <c r="V5291" s="1" t="s">
        <v>30536</v>
      </c>
      <c r="AR5291" s="1" t="str">
        <f t="shared" si="338"/>
        <v>| [ㄌㄧˊ](ㄌㄧˊ.md) | [厘](厘.md) |  | lí | 參見「厘米」條。 |</v>
      </c>
    </row>
    <row r="5292" spans="1:44" hidden="1">
      <c r="A5292" s="1" t="s">
        <v>8390</v>
      </c>
      <c r="C5292" s="1">
        <v>1</v>
      </c>
      <c r="D5292" s="1" t="str">
        <f>"03418"</f>
        <v>03418</v>
      </c>
      <c r="E5292" s="1" t="s">
        <v>139</v>
      </c>
      <c r="F5292" s="1">
        <v>7</v>
      </c>
      <c r="G5292" s="1">
        <v>3</v>
      </c>
      <c r="H5292" s="1">
        <v>0</v>
      </c>
      <c r="I5292" s="1" t="s">
        <v>8391</v>
      </c>
      <c r="K5292" s="1" t="str">
        <f t="shared" si="341"/>
        <v>ㄌ</v>
      </c>
      <c r="L5292" s="1" t="str">
        <f t="shared" si="342"/>
        <v>ㄧ</v>
      </c>
      <c r="N5292" s="3" t="s">
        <v>30576</v>
      </c>
      <c r="O5292" s="3"/>
      <c r="P5292" s="1" t="s">
        <v>20</v>
      </c>
      <c r="R5292" s="1" t="s">
        <v>8392</v>
      </c>
      <c r="V5292" s="1" t="s">
        <v>8393</v>
      </c>
      <c r="AR5292" s="1" t="str">
        <f t="shared" si="338"/>
        <v>| [ㄌㄧˇ](ㄌㄧˇ.md) | [李](李.md) |  | lǐ | [名]
1.植物名。薔薇科李屬，落葉喬木。葉互生，倒披針形或倒卵形，先端突尖，基部楔形，葉緣鈍鋸齒狀。春天開白花，花常三朵簇生。核果圓卵形，光滑無毛，熟時為紅紫色或黃色，味酸，可供生食或作蜜餞用。
2.姓。如唐太宗李世民。 |</v>
      </c>
    </row>
    <row r="5293" spans="1:44" hidden="1">
      <c r="A5293" s="1" t="s">
        <v>8394</v>
      </c>
      <c r="C5293" s="1">
        <v>1</v>
      </c>
      <c r="D5293" s="1" t="str">
        <f>"03419"</f>
        <v>03419</v>
      </c>
      <c r="E5293" s="1" t="s">
        <v>8366</v>
      </c>
      <c r="F5293" s="1">
        <v>7</v>
      </c>
      <c r="G5293" s="1">
        <v>0</v>
      </c>
      <c r="H5293" s="1">
        <v>0</v>
      </c>
      <c r="I5293" s="1" t="s">
        <v>8391</v>
      </c>
      <c r="K5293" s="1" t="str">
        <f t="shared" si="341"/>
        <v>ㄌ</v>
      </c>
      <c r="L5293" s="1" t="str">
        <f t="shared" si="342"/>
        <v>ㄧ</v>
      </c>
      <c r="N5293" s="3" t="s">
        <v>30576</v>
      </c>
      <c r="O5293" s="3"/>
      <c r="P5293" s="1" t="s">
        <v>20</v>
      </c>
      <c r="R5293" s="1" t="s">
        <v>8392</v>
      </c>
      <c r="V5293" s="1" t="s">
        <v>8395</v>
      </c>
      <c r="AR5293" s="1" t="str">
        <f t="shared" si="338"/>
        <v>| [ㄌㄧˇ](ㄌㄧˇ.md) | [里](里.md) |  | lǐ | [名]
1.居所、居處。《詩經．鄭風．將仲子》：「將仲子兮，無踰我里。」《孟子．離婁下》：「去三年不反，然後收其田里。」
2.街坊、巷弄。《後漢書．卷五四．楊震列傳》：「連里竟街，雕修繕飾，窮極巧技。」唐．韓愈〈柳子厚墓誌銘〉：「今夫平居里巷相慕悅，酒食游戲相徵逐。」
3.故鄉。如：「故里」。南朝梁．江淹〈別賦〉：「割慈忍愛，離邦去里。」
4.今地方政府行政區域之一。在鎮之下，鄰之上，與村平行。
5.量詞。古代用於表示長度的單位。不同年代有不同的定義方式，例如在漢代，以三百六十步為一里。
6.內部。通「裡」。元．馬致遠〈四塊玉．佐國心〉曲：「命里無時莫剛求，隨時過遣休生受。」
7.二一四部首之一。 |</v>
      </c>
    </row>
    <row r="5294" spans="1:44" hidden="1">
      <c r="A5294" s="1" t="s">
        <v>8396</v>
      </c>
      <c r="C5294" s="1">
        <v>1</v>
      </c>
      <c r="D5294" s="1" t="str">
        <f>"03420"</f>
        <v>03420</v>
      </c>
      <c r="E5294" s="1" t="s">
        <v>114</v>
      </c>
      <c r="F5294" s="1">
        <v>9</v>
      </c>
      <c r="G5294" s="1">
        <v>7</v>
      </c>
      <c r="H5294" s="1">
        <v>0</v>
      </c>
      <c r="I5294" s="1" t="s">
        <v>8391</v>
      </c>
      <c r="K5294" s="1" t="str">
        <f t="shared" si="341"/>
        <v>ㄌ</v>
      </c>
      <c r="L5294" s="1" t="str">
        <f t="shared" si="342"/>
        <v>ㄧ</v>
      </c>
      <c r="N5294" s="3" t="s">
        <v>30576</v>
      </c>
      <c r="O5294" s="3"/>
      <c r="P5294" s="1" t="s">
        <v>20</v>
      </c>
      <c r="R5294" s="1" t="s">
        <v>8392</v>
      </c>
      <c r="V5294" s="1" t="s">
        <v>8397</v>
      </c>
      <c r="AR5294" s="1" t="str">
        <f t="shared" si="338"/>
        <v>| [ㄌㄧˇ](ㄌㄧˇ.md) | [俚](俚.md) |  | lǐ | [形]
1.鄙俗。《漢書．卷六二．司馬遷傳．贊曰》：「辨而不華，質而不俚。」《文選．王襃．四子講德論》：「俚人不識，寡見尟聞。」
2.通俗的、民間流行的。如：「俚語」、「俚歌」。
[動]
依託、聊賴。《漢書．卷三七．季布等傳．贊曰》：「夫婢妾賤人，感概而自殺，非能勇也，其畫無俚之至耳。」顏師古注引晉灼曰：「此為其計畫無所聊賴，至於自殺耳。」
[名]
中國古代少數民族之一。主要分布於大陸地區廣東西南沿海及廣西東南等地。 |</v>
      </c>
    </row>
    <row r="5295" spans="1:44" hidden="1">
      <c r="A5295" s="1" t="s">
        <v>8312</v>
      </c>
      <c r="C5295" s="1">
        <v>1</v>
      </c>
      <c r="D5295" s="1" t="str">
        <f>"03421"</f>
        <v>03421</v>
      </c>
      <c r="E5295" s="1" t="s">
        <v>129</v>
      </c>
      <c r="F5295" s="1">
        <v>10</v>
      </c>
      <c r="G5295" s="1">
        <v>7</v>
      </c>
      <c r="H5295" s="1">
        <v>1</v>
      </c>
      <c r="I5295" s="1" t="s">
        <v>8391</v>
      </c>
      <c r="K5295" s="1" t="str">
        <f t="shared" si="341"/>
        <v>ㄌ</v>
      </c>
      <c r="L5295" s="1" t="str">
        <f t="shared" si="342"/>
        <v>ㄧ</v>
      </c>
      <c r="N5295" s="3" t="s">
        <v>30576</v>
      </c>
      <c r="O5295" s="3"/>
      <c r="P5295" s="1" t="s">
        <v>20</v>
      </c>
      <c r="R5295" s="1" t="s">
        <v>8392</v>
      </c>
      <c r="V5295" s="1" t="s">
        <v>8398</v>
      </c>
      <c r="W5295" s="1" t="s">
        <v>8399</v>
      </c>
      <c r="AR5295" s="1" t="str">
        <f t="shared" si="338"/>
        <v>| [ㄌㄧˇ](ㄌㄧˇ.md) | [浬](浬.md) |  | lǐ | [名]
量詞。計算海面距離的單位。一浬約為一千八百五十二公尺。也稱為「海里」。 |</v>
      </c>
    </row>
    <row r="5296" spans="1:44" hidden="1">
      <c r="A5296" s="1" t="s">
        <v>8307</v>
      </c>
      <c r="C5296" s="1">
        <v>1</v>
      </c>
      <c r="D5296" s="1" t="str">
        <f>"03422"</f>
        <v>03422</v>
      </c>
      <c r="E5296" s="1" t="s">
        <v>28</v>
      </c>
      <c r="F5296" s="1">
        <v>10</v>
      </c>
      <c r="G5296" s="1">
        <v>7</v>
      </c>
      <c r="H5296" s="1">
        <v>3</v>
      </c>
      <c r="I5296" s="1" t="s">
        <v>8391</v>
      </c>
      <c r="K5296" s="1" t="str">
        <f t="shared" si="341"/>
        <v>ㄌ</v>
      </c>
      <c r="L5296" s="1" t="str">
        <f t="shared" si="342"/>
        <v>ㄧ</v>
      </c>
      <c r="N5296" s="3" t="s">
        <v>30576</v>
      </c>
      <c r="O5296" s="3"/>
      <c r="P5296" s="1" t="s">
        <v>20</v>
      </c>
      <c r="R5296" s="1" t="s">
        <v>8392</v>
      </c>
      <c r="V5296" s="1" t="s">
        <v>8400</v>
      </c>
      <c r="W5296" s="1" t="s">
        <v>8401</v>
      </c>
      <c r="AR5296" s="1" t="str">
        <f t="shared" si="338"/>
        <v>| [ㄌㄧˇ](ㄌㄧˇ.md) | [哩](哩.md) |  | lǐ | [名]
量詞。英制計算長度的單位。一哩等於一千六百零九公尺。今作「英里」。 |</v>
      </c>
    </row>
    <row r="5297" spans="1:44" hidden="1">
      <c r="A5297" s="1" t="s">
        <v>8402</v>
      </c>
      <c r="C5297" s="1">
        <v>1</v>
      </c>
      <c r="D5297" s="1" t="str">
        <f>"03423"</f>
        <v>03423</v>
      </c>
      <c r="E5297" s="1" t="s">
        <v>534</v>
      </c>
      <c r="F5297" s="1">
        <v>10</v>
      </c>
      <c r="G5297" s="1">
        <v>7</v>
      </c>
      <c r="H5297" s="1">
        <v>0</v>
      </c>
      <c r="I5297" s="1" t="s">
        <v>8391</v>
      </c>
      <c r="K5297" s="1" t="str">
        <f t="shared" si="341"/>
        <v>ㄌ</v>
      </c>
      <c r="L5297" s="1" t="str">
        <f t="shared" si="342"/>
        <v>ㄧ</v>
      </c>
      <c r="N5297" s="3" t="s">
        <v>30576</v>
      </c>
      <c r="O5297" s="3"/>
      <c r="P5297" s="1" t="s">
        <v>20</v>
      </c>
      <c r="R5297" s="1" t="s">
        <v>8392</v>
      </c>
      <c r="V5297" s="1" t="s">
        <v>8403</v>
      </c>
      <c r="AR5297" s="1" t="str">
        <f t="shared" si="338"/>
        <v>| [ㄌㄧˇ](ㄌㄧˇ.md) | [娌](娌.md) |  | lǐ | 參見「妯娌」條。 |</v>
      </c>
    </row>
    <row r="5298" spans="1:44" hidden="1">
      <c r="A5298" s="1" t="s">
        <v>8404</v>
      </c>
      <c r="C5298" s="1">
        <v>1</v>
      </c>
      <c r="D5298" s="1" t="str">
        <f>"03424"</f>
        <v>03424</v>
      </c>
      <c r="E5298" s="1" t="s">
        <v>142</v>
      </c>
      <c r="F5298" s="1">
        <v>11</v>
      </c>
      <c r="G5298" s="1">
        <v>7</v>
      </c>
      <c r="H5298" s="1">
        <v>0</v>
      </c>
      <c r="I5298" s="1" t="s">
        <v>8391</v>
      </c>
      <c r="K5298" s="1" t="str">
        <f t="shared" si="341"/>
        <v>ㄌ</v>
      </c>
      <c r="L5298" s="1" t="str">
        <f t="shared" si="342"/>
        <v>ㄧ</v>
      </c>
      <c r="N5298" s="3" t="s">
        <v>30576</v>
      </c>
      <c r="O5298" s="3"/>
      <c r="P5298" s="1" t="s">
        <v>20</v>
      </c>
      <c r="R5298" s="1" t="s">
        <v>8392</v>
      </c>
      <c r="V5298" s="1" t="s">
        <v>8405</v>
      </c>
      <c r="AR5298" s="1" t="str">
        <f t="shared" si="338"/>
        <v>| [ㄌㄧˇ](ㄌㄧˇ.md) | [理](理.md) |  | lǐ | [動]
1.雕琢玉石。《韓非子．和氏》：「王乃使玉人理其璞而得寶焉。」《戰國策．秦策三》：「鄭人謂玉，未理者璞。」
2.修整、整治、使整齊。如：「整理」、「治理」、「理家」、「管理」。
3.辦事、處置。如：「辦理」、「處理」、「代理」。
4.對別人的言行有所反應。如：「答理」、「理會」、「不理不睬」。
5.溫習、熟習。如：「書不理不熟。」明．無名氏《鬧銅臺．楔子》：「英雄貫滿東京府，曾理兵書習六韜。」
[名]
1.條紋、紋路。如：「肌理」、「紋理」。唐．段成式《酉陽雜俎．卷一〇．物異》：「建城縣出燃石，色黃理疏，以水灌之則熱，安鼎其上，可以炊也。」
2.事物的規律、意旨。如：「天理」、「公理」、「真理」、「義理」、「定理」。
3.順序、層次。如：「有條有理」。《荀子．儒效》：「井井兮有理也。」
4.物理學科或自然學科。如：「理化」、「理工」。
5.姓。如殷商時代有理徵。 |</v>
      </c>
    </row>
    <row r="5299" spans="1:44" hidden="1">
      <c r="A5299" s="1" t="s">
        <v>8406</v>
      </c>
      <c r="C5299" s="1">
        <v>1</v>
      </c>
      <c r="D5299" s="1" t="str">
        <f>"03425"</f>
        <v>03425</v>
      </c>
      <c r="E5299" s="1" t="s">
        <v>28</v>
      </c>
      <c r="F5299" s="1">
        <v>12</v>
      </c>
      <c r="G5299" s="1">
        <v>9</v>
      </c>
      <c r="H5299" s="1">
        <v>0</v>
      </c>
      <c r="I5299" s="1" t="s">
        <v>8391</v>
      </c>
      <c r="K5299" s="1" t="str">
        <f t="shared" si="341"/>
        <v>ㄌ</v>
      </c>
      <c r="L5299" s="1" t="str">
        <f t="shared" si="342"/>
        <v>ㄧ</v>
      </c>
      <c r="N5299" s="3" t="s">
        <v>30576</v>
      </c>
      <c r="O5299" s="3"/>
      <c r="P5299" s="1" t="s">
        <v>20</v>
      </c>
      <c r="R5299" s="1" t="s">
        <v>8392</v>
      </c>
      <c r="V5299" s="1" t="s">
        <v>8407</v>
      </c>
      <c r="AR5299" s="1" t="str">
        <f t="shared" si="338"/>
        <v>| [ㄌㄧˇ](ㄌㄧˇ.md) | [喱](喱.md) |  | lǐ | [名]_x000D_
英美的重量單位。 |</v>
      </c>
    </row>
    <row r="5300" spans="1:44" hidden="1">
      <c r="A5300" s="1" t="s">
        <v>8408</v>
      </c>
      <c r="C5300" s="1">
        <v>1</v>
      </c>
      <c r="D5300" s="1" t="str">
        <f>"03426"</f>
        <v>03426</v>
      </c>
      <c r="E5300" s="1" t="s">
        <v>340</v>
      </c>
      <c r="F5300" s="1">
        <v>13</v>
      </c>
      <c r="G5300" s="1">
        <v>7</v>
      </c>
      <c r="H5300" s="1">
        <v>0</v>
      </c>
      <c r="I5300" s="1" t="s">
        <v>8391</v>
      </c>
      <c r="K5300" s="1" t="str">
        <f t="shared" si="341"/>
        <v>ㄌ</v>
      </c>
      <c r="L5300" s="1" t="str">
        <f t="shared" si="342"/>
        <v>ㄧ</v>
      </c>
      <c r="N5300" s="3" t="s">
        <v>30576</v>
      </c>
      <c r="O5300" s="3"/>
      <c r="P5300" s="1" t="s">
        <v>20</v>
      </c>
      <c r="R5300" s="1" t="s">
        <v>8392</v>
      </c>
      <c r="V5300" s="1" t="s">
        <v>8409</v>
      </c>
      <c r="AR5300" s="1" t="str">
        <f t="shared" si="338"/>
        <v>| [ㄌㄧˇ](ㄌㄧˇ.md) | [裡](裡.md) |  | lǐ | [名]
1.衣服內層的襯布。《詩經．邶風．綠衣》：「綠兮衣兮，綠衣黃裡。」《禮記．內則》：「褻衣衾不見裡。」
2.內部。如：「裡應外合」。《左傳．僖公二十八年》：「若其不捷，表裡山河，必無害也。」南朝梁．庾肩吾〈奉使北徐州參丞御〉：「雲邊開鞏樹，霧裡識嶢峰。」
3.指一定的空間範圍。如：「這裡」、「那裡」。
4.指一定的時間範圍。如：「夜裡」、「暑假裡」。
[助]
句末語氣詞，無義。同「哩」。宋．辛棄疾〈謁金門．山共水〉詞：「因甚無個阿鵲地，沒工夫說裡！」 |</v>
      </c>
    </row>
    <row r="5301" spans="1:44" hidden="1">
      <c r="A5301" s="1" t="s">
        <v>8410</v>
      </c>
      <c r="C5301" s="1">
        <v>1</v>
      </c>
      <c r="D5301" s="1" t="str">
        <f>"03427"</f>
        <v>03427</v>
      </c>
      <c r="E5301" s="1" t="s">
        <v>55</v>
      </c>
      <c r="F5301" s="1">
        <v>15</v>
      </c>
      <c r="G5301" s="1">
        <v>7</v>
      </c>
      <c r="H5301" s="1">
        <v>0</v>
      </c>
      <c r="I5301" s="1" t="s">
        <v>8391</v>
      </c>
      <c r="K5301" s="1" t="str">
        <f t="shared" si="341"/>
        <v>ㄌ</v>
      </c>
      <c r="L5301" s="1" t="str">
        <f t="shared" si="342"/>
        <v>ㄧ</v>
      </c>
      <c r="N5301" s="3" t="s">
        <v>30576</v>
      </c>
      <c r="O5301" s="3"/>
      <c r="P5301" s="1" t="s">
        <v>20</v>
      </c>
      <c r="R5301" s="1" t="s">
        <v>8392</v>
      </c>
      <c r="V5301" s="1" t="s">
        <v>8411</v>
      </c>
      <c r="AR5301" s="1" t="str">
        <f t="shared" si="338"/>
        <v>| [ㄌㄧˇ](ㄌㄧˇ.md) | [鋰](鋰.md) |  | lǐ | [名]
（lithium，Li）化學元素。原子序3。鹼金屬元素之一。銀灰色，遇水則反應產生氫氣，須儲存於石油中。用以製造鋰電池、鋰離子電池、鋰鹽，於冶金過程中有脫氧、脫硫等作用。 |</v>
      </c>
    </row>
    <row r="5302" spans="1:44" hidden="1">
      <c r="A5302" s="1" t="s">
        <v>8412</v>
      </c>
      <c r="C5302" s="1">
        <v>1</v>
      </c>
      <c r="D5302" s="1" t="str">
        <f>"03428"</f>
        <v>03428</v>
      </c>
      <c r="E5302" s="1" t="s">
        <v>156</v>
      </c>
      <c r="F5302" s="1">
        <v>18</v>
      </c>
      <c r="G5302" s="1">
        <v>7</v>
      </c>
      <c r="H5302" s="1">
        <v>0</v>
      </c>
      <c r="I5302" s="1" t="s">
        <v>8391</v>
      </c>
      <c r="K5302" s="1" t="str">
        <f t="shared" si="341"/>
        <v>ㄌ</v>
      </c>
      <c r="L5302" s="1" t="str">
        <f t="shared" si="342"/>
        <v>ㄧ</v>
      </c>
      <c r="N5302" s="3" t="s">
        <v>30576</v>
      </c>
      <c r="O5302" s="3"/>
      <c r="P5302" s="1" t="s">
        <v>20</v>
      </c>
      <c r="R5302" s="1" t="s">
        <v>8392</v>
      </c>
      <c r="V5302" s="1" t="s">
        <v>8413</v>
      </c>
      <c r="AR5302" s="1" t="str">
        <f t="shared" si="338"/>
        <v>| [ㄌㄧˇ](ㄌㄧˇ.md) | [鯉](鯉.md) |  | lǐ | [名]
1.動物名。鯉目鯉科。體長，側扁而肥，被銀鱗，體表呈網狀紋。口內無齒，前端有二對鬚。雜食性，產於淡水水域。肉質鮮美。
2.參見「鯉素」條。 |</v>
      </c>
    </row>
    <row r="5303" spans="1:44" hidden="1">
      <c r="A5303" s="1" t="s">
        <v>8414</v>
      </c>
      <c r="C5303" s="1">
        <v>1</v>
      </c>
      <c r="D5303" s="1" t="str">
        <f>"03429"</f>
        <v>03429</v>
      </c>
      <c r="E5303" s="1" t="s">
        <v>4293</v>
      </c>
      <c r="F5303" s="1">
        <v>13</v>
      </c>
      <c r="G5303" s="1">
        <v>6</v>
      </c>
      <c r="H5303" s="1">
        <v>0</v>
      </c>
      <c r="I5303" s="1" t="s">
        <v>8391</v>
      </c>
      <c r="K5303" s="1" t="str">
        <f t="shared" si="341"/>
        <v>ㄌ</v>
      </c>
      <c r="L5303" s="1" t="str">
        <f t="shared" si="342"/>
        <v>ㄧ</v>
      </c>
      <c r="N5303" s="3" t="s">
        <v>30576</v>
      </c>
      <c r="O5303" s="3"/>
      <c r="P5303" s="1" t="s">
        <v>20</v>
      </c>
      <c r="R5303" s="1" t="s">
        <v>8392</v>
      </c>
      <c r="V5303" s="1" t="s">
        <v>8415</v>
      </c>
      <c r="AR5303" s="1" t="str">
        <f t="shared" si="338"/>
        <v>| [ㄌㄧˇ](ㄌㄧˇ.md) | [豊](豊.md) |  | lǐ | [名]
古代祭祀用的禮器。《說文解字．豊部》：「豊，行禮之器也。」 |</v>
      </c>
    </row>
    <row r="5304" spans="1:44" hidden="1">
      <c r="A5304" s="1" t="s">
        <v>8416</v>
      </c>
      <c r="C5304" s="1">
        <v>1</v>
      </c>
      <c r="D5304" s="1" t="str">
        <f>"03430"</f>
        <v>03430</v>
      </c>
      <c r="E5304" s="1" t="s">
        <v>129</v>
      </c>
      <c r="F5304" s="1">
        <v>16</v>
      </c>
      <c r="G5304" s="1">
        <v>13</v>
      </c>
      <c r="H5304" s="1">
        <v>0</v>
      </c>
      <c r="I5304" s="1" t="s">
        <v>8391</v>
      </c>
      <c r="K5304" s="1" t="str">
        <f t="shared" si="341"/>
        <v>ㄌ</v>
      </c>
      <c r="L5304" s="1" t="str">
        <f t="shared" si="342"/>
        <v>ㄧ</v>
      </c>
      <c r="N5304" s="3" t="s">
        <v>30576</v>
      </c>
      <c r="O5304" s="3"/>
      <c r="P5304" s="1" t="s">
        <v>20</v>
      </c>
      <c r="R5304" s="1" t="s">
        <v>8392</v>
      </c>
      <c r="V5304" s="1" t="s">
        <v>8417</v>
      </c>
      <c r="AR5304" s="1" t="str">
        <f t="shared" si="338"/>
        <v>| [ㄌㄧˇ](ㄌㄧˇ.md) | [澧](澧.md) |  | lǐ | [名]
河川名：(1)源出大陸地區河南省桐柏縣西北的胎簪山，流經沘源縣，南流入唐河。(2)在大陸地區湖南省，分南、北、中三源：中源出自大陸地區湖南省桑植縣西北栗山綠水河；南源出自大陸地區永順縣北萬笏山上洞；北源出自大陸地區龍山縣東北，三源會合注入洞庭湖。
[形]
甘美。通「醴」。如：「澧泉」。 |</v>
      </c>
    </row>
    <row r="5305" spans="1:44" hidden="1">
      <c r="A5305" s="1" t="s">
        <v>8418</v>
      </c>
      <c r="C5305" s="1">
        <v>1</v>
      </c>
      <c r="D5305" s="1" t="str">
        <f>"03431"</f>
        <v>03431</v>
      </c>
      <c r="E5305" s="1" t="s">
        <v>825</v>
      </c>
      <c r="F5305" s="1">
        <v>18</v>
      </c>
      <c r="G5305" s="1">
        <v>13</v>
      </c>
      <c r="H5305" s="1">
        <v>0</v>
      </c>
      <c r="I5305" s="1" t="s">
        <v>8391</v>
      </c>
      <c r="K5305" s="1" t="str">
        <f t="shared" si="341"/>
        <v>ㄌ</v>
      </c>
      <c r="L5305" s="1" t="str">
        <f t="shared" si="342"/>
        <v>ㄧ</v>
      </c>
      <c r="N5305" s="3" t="s">
        <v>30576</v>
      </c>
      <c r="O5305" s="3"/>
      <c r="P5305" s="1" t="s">
        <v>20</v>
      </c>
      <c r="R5305" s="1" t="s">
        <v>8392</v>
      </c>
      <c r="V5305" s="1" t="s">
        <v>8419</v>
      </c>
      <c r="AR5305" s="1" t="str">
        <f t="shared" si="338"/>
        <v>| [ㄌㄧˇ](ㄌㄧˇ.md) | [禮](禮.md) |  | lǐ | [名]
1.人類的行為規範。《禮記．曲禮上》：「夫禮者，所以定親疏，決嫌疑，別同異，明是非也。」
2.規矩恭敬的態度或行為。如：「行禮」、「有禮」。《左傳．僖公三十年》：「以其無禮於晉，且貳於楚也。」
3.儀式。如：「典禮」、「婚禮」、「喪禮」、「成年禮」。
4.表敬意的贈品。如：「千里送鵝毛，禮輕情意重。」《晉書．卷七七．陸曄傳》：「及受禮，唯酒一斗，鹿肉一柈。」
5.儒家的經典。參見「三禮」條。
6.姓。如漢代有禮賢。
[動]
1.祭。《儀禮．覲禮》：「禮月與四瀆於北門外，禮山川丘陵於西門外。」《文選．揚雄．甘泉賦》：「集乎禮神之囿，登乎頌祇之堂。」
2.尊敬、厚待。如：「禮賢下士」。《呂氏春秋．開春論．察賢》：「魏文侯師卜子夏，友田子方，禮段干木。」 |</v>
      </c>
    </row>
    <row r="5306" spans="1:44" hidden="1">
      <c r="A5306" s="1" t="s">
        <v>8420</v>
      </c>
      <c r="C5306" s="1">
        <v>1</v>
      </c>
      <c r="D5306" s="1" t="str">
        <f>"03432"</f>
        <v>03432</v>
      </c>
      <c r="E5306" s="1" t="s">
        <v>1462</v>
      </c>
      <c r="F5306" s="1">
        <v>20</v>
      </c>
      <c r="G5306" s="1">
        <v>13</v>
      </c>
      <c r="H5306" s="1">
        <v>0</v>
      </c>
      <c r="I5306" s="1" t="s">
        <v>8391</v>
      </c>
      <c r="K5306" s="1" t="str">
        <f t="shared" si="341"/>
        <v>ㄌ</v>
      </c>
      <c r="L5306" s="1" t="str">
        <f t="shared" si="342"/>
        <v>ㄧ</v>
      </c>
      <c r="N5306" s="3" t="s">
        <v>30576</v>
      </c>
      <c r="O5306" s="3"/>
      <c r="P5306" s="1" t="s">
        <v>20</v>
      </c>
      <c r="R5306" s="1" t="s">
        <v>8392</v>
      </c>
      <c r="V5306" s="1" t="s">
        <v>8421</v>
      </c>
      <c r="AR5306" s="1" t="str">
        <f t="shared" si="338"/>
        <v>| [ㄌㄧˇ](ㄌㄧˇ.md) | [醴](醴.md) |  | lǐ | [名]
1.甜酒。《玉篇．酉部》：「醴，甜酒也。」《呂氏春秋．孟春紀．重己》：「其為飲食酏醴也，足以適味充虛而已矣。」漢．高誘．注：「醴者，以櫱與黍相體，不以麴也，濁而甜耳。」
2.甘泉。《文選．張衡．思玄賦》：「飲青岑之玉醴兮，餐沆瀣以為粻。」宋．蘇軾〈參寥上人初得智果院會者十六人分韻賦詩軾得心字〉詩：「雲崖有淺井，玉醴常半尋。」 |</v>
      </c>
    </row>
    <row r="5307" spans="1:44" hidden="1">
      <c r="A5307" s="1" t="s">
        <v>8422</v>
      </c>
      <c r="C5307" s="1">
        <v>1</v>
      </c>
      <c r="D5307" s="1" t="str">
        <f>"03433"</f>
        <v>03433</v>
      </c>
      <c r="E5307" s="1" t="s">
        <v>156</v>
      </c>
      <c r="F5307" s="1">
        <v>24</v>
      </c>
      <c r="G5307" s="1">
        <v>13</v>
      </c>
      <c r="H5307" s="1">
        <v>0</v>
      </c>
      <c r="I5307" s="1" t="s">
        <v>8391</v>
      </c>
      <c r="K5307" s="1" t="str">
        <f t="shared" si="341"/>
        <v>ㄌ</v>
      </c>
      <c r="L5307" s="1" t="str">
        <f t="shared" si="342"/>
        <v>ㄧ</v>
      </c>
      <c r="N5307" s="3" t="s">
        <v>30576</v>
      </c>
      <c r="O5307" s="3"/>
      <c r="P5307" s="1" t="s">
        <v>20</v>
      </c>
      <c r="R5307" s="1" t="s">
        <v>8392</v>
      </c>
      <c r="V5307" s="1" t="s">
        <v>8423</v>
      </c>
      <c r="AR5307" s="1" t="str">
        <f t="shared" si="338"/>
        <v>| [ㄌㄧˇ](ㄌㄧˇ.md) | [鱧](鱧.md) |  | lǐ | [名]
動物名。鱧目鱧科。體呈圓柱狀，灰棕色或深褐色。腹部白色，背部有暗褐色縱帶，側邊有大塊暗色斑紋。口大，頭部似蛇頭。肉食性。 |</v>
      </c>
    </row>
    <row r="5308" spans="1:44" hidden="1">
      <c r="A5308" s="1" t="s">
        <v>8385</v>
      </c>
      <c r="C5308" s="1">
        <v>1</v>
      </c>
      <c r="D5308" s="1" t="str">
        <f>"03434"</f>
        <v>03434</v>
      </c>
      <c r="E5308" s="1" t="s">
        <v>679</v>
      </c>
      <c r="F5308" s="1">
        <v>21</v>
      </c>
      <c r="G5308" s="1">
        <v>15</v>
      </c>
      <c r="H5308" s="1">
        <v>1</v>
      </c>
      <c r="I5308" s="1" t="s">
        <v>8391</v>
      </c>
      <c r="K5308" s="1" t="str">
        <f t="shared" si="341"/>
        <v>ㄌ</v>
      </c>
      <c r="L5308" s="1" t="str">
        <f t="shared" si="342"/>
        <v>ㄧ</v>
      </c>
      <c r="N5308" s="3" t="s">
        <v>30576</v>
      </c>
      <c r="O5308" s="3"/>
      <c r="P5308" s="1" t="s">
        <v>20</v>
      </c>
      <c r="R5308" s="1" t="s">
        <v>8392</v>
      </c>
      <c r="V5308" s="1" t="s">
        <v>8424</v>
      </c>
      <c r="W5308" s="1" t="s">
        <v>8425</v>
      </c>
      <c r="AR5308" s="1" t="str">
        <f t="shared" si="338"/>
        <v>| [ㄌㄧˇ](ㄌㄧˇ.md) | [蠡](蠡.md) |  | lǐ | [動]
蟲子蛀食木頭。《說文解字．〇部》：「蠡，蟲齧木中也。」清．段玉裁．注：「此非蟲名，乃謂蠹之食木曰蠡也。」
[形]
器物用久剝落、腐蝕的樣子。明．張自烈《正字通．虫部》：「凡器物用久剝落若蟲蝕者謂之蠡。」 |</v>
      </c>
    </row>
    <row r="5309" spans="1:44" hidden="1">
      <c r="A5309" s="1" t="s">
        <v>8426</v>
      </c>
      <c r="C5309" s="1">
        <v>1</v>
      </c>
      <c r="D5309" s="1" t="str">
        <f>"03435"</f>
        <v>03435</v>
      </c>
      <c r="E5309" s="1" t="s">
        <v>558</v>
      </c>
      <c r="F5309" s="1">
        <v>23</v>
      </c>
      <c r="G5309" s="1">
        <v>19</v>
      </c>
      <c r="H5309" s="1">
        <v>0</v>
      </c>
      <c r="I5309" s="1" t="s">
        <v>8391</v>
      </c>
      <c r="K5309" s="1" t="str">
        <f t="shared" si="341"/>
        <v>ㄌ</v>
      </c>
      <c r="L5309" s="1" t="str">
        <f t="shared" si="342"/>
        <v>ㄧ</v>
      </c>
      <c r="N5309" s="3" t="s">
        <v>30576</v>
      </c>
      <c r="O5309" s="3"/>
      <c r="P5309" s="1" t="s">
        <v>20</v>
      </c>
      <c r="R5309" s="1" t="s">
        <v>8392</v>
      </c>
      <c r="V5309" s="1" t="s">
        <v>8427</v>
      </c>
      <c r="AR5309" s="1" t="str">
        <f t="shared" si="338"/>
        <v>| [ㄌㄧˇ](ㄌㄧˇ.md) | [邐](邐.md) |  | lǐ | 參見「邐迤」條。 |</v>
      </c>
    </row>
    <row r="5310" spans="1:44" hidden="1">
      <c r="A5310" s="1" t="s">
        <v>8307</v>
      </c>
      <c r="C5310" s="1">
        <v>1</v>
      </c>
      <c r="D5310" s="1" t="str">
        <f>"03496"</f>
        <v>03496</v>
      </c>
      <c r="E5310" s="1" t="s">
        <v>28</v>
      </c>
      <c r="F5310" s="1">
        <v>10</v>
      </c>
      <c r="G5310" s="1">
        <v>7</v>
      </c>
      <c r="H5310" s="1">
        <v>2</v>
      </c>
      <c r="I5310" s="1" t="s">
        <v>8553</v>
      </c>
      <c r="J5310" s="2" t="s">
        <v>30559</v>
      </c>
      <c r="K5310" s="1" t="s">
        <v>30567</v>
      </c>
      <c r="L5310" s="1" t="s">
        <v>24771</v>
      </c>
      <c r="P5310" s="1" t="s">
        <v>20</v>
      </c>
      <c r="R5310" s="1" t="s">
        <v>8554</v>
      </c>
      <c r="V5310" s="1" t="s">
        <v>8555</v>
      </c>
      <c r="W5310" s="1" t="s">
        <v>8556</v>
      </c>
      <c r="AR5310" s="1" t="str">
        <f t="shared" si="338"/>
        <v>| [˙ㄌㄧ](˙ㄌㄧ.md) | [哩](哩.md) |  | li | [助]
置於句末，表示肯定的語氣。《京本通俗小說．西山一窟鬼》：「休取笑，若嫁得這個官人，可知好哩！」元．無名氏《衣襖車》第二折：「你見麼，兀那一個番將，敲冰飲馬哩！」 |</v>
      </c>
    </row>
    <row r="5311" spans="1:44" hidden="1">
      <c r="A5311" s="1" t="s">
        <v>8748</v>
      </c>
      <c r="C5311" s="1">
        <v>1</v>
      </c>
      <c r="D5311" s="1" t="str">
        <f>"03747"</f>
        <v>03747</v>
      </c>
      <c r="E5311" s="1" t="s">
        <v>18</v>
      </c>
      <c r="F5311" s="1">
        <v>4</v>
      </c>
      <c r="G5311" s="1">
        <v>2</v>
      </c>
      <c r="H5311" s="1">
        <v>2</v>
      </c>
      <c r="I5311" s="1" t="s">
        <v>9144</v>
      </c>
      <c r="K5311" s="1" t="str">
        <f t="shared" ref="K5311:K5374" si="343">LEFT(I5311, 1)</f>
        <v>ㄌ</v>
      </c>
      <c r="L5311" s="1" t="str">
        <f t="shared" ref="L5311:L5374" si="344">MID(I5311, 2, 1)</f>
        <v>ㄨ</v>
      </c>
      <c r="N5311" s="3" t="s">
        <v>30574</v>
      </c>
      <c r="O5311" s="3"/>
      <c r="P5311" s="1" t="s">
        <v>20</v>
      </c>
      <c r="R5311" s="1" t="s">
        <v>9145</v>
      </c>
      <c r="V5311" s="1" t="s">
        <v>9146</v>
      </c>
      <c r="W5311" s="1" t="s">
        <v>9147</v>
      </c>
      <c r="AR5311" s="1" t="str">
        <f t="shared" si="338"/>
        <v>| [ㄌㄨˋ](ㄌㄨˋ.md) | [六](六.md) |  | lù | [名]
1.國名。周代時位於今大陸地區安徽省六安縣北，一說在今大陸地區安徽舒城縣東南六十里處。
2.姓。皋陶之後，以國為氏。 |</v>
      </c>
    </row>
    <row r="5312" spans="1:44" hidden="1">
      <c r="A5312" s="1" t="s">
        <v>9148</v>
      </c>
      <c r="C5312" s="1">
        <v>1</v>
      </c>
      <c r="D5312" s="1" t="str">
        <f>"03748"</f>
        <v>03748</v>
      </c>
      <c r="E5312" s="1" t="s">
        <v>839</v>
      </c>
      <c r="F5312" s="1">
        <v>6</v>
      </c>
      <c r="G5312" s="1">
        <v>1</v>
      </c>
      <c r="H5312" s="1">
        <v>0</v>
      </c>
      <c r="I5312" s="1" t="s">
        <v>9144</v>
      </c>
      <c r="K5312" s="1" t="str">
        <f t="shared" si="343"/>
        <v>ㄌ</v>
      </c>
      <c r="L5312" s="1" t="str">
        <f t="shared" si="344"/>
        <v>ㄨ</v>
      </c>
      <c r="N5312" s="3" t="s">
        <v>30574</v>
      </c>
      <c r="O5312" s="3"/>
      <c r="P5312" s="1" t="s">
        <v>20</v>
      </c>
      <c r="R5312" s="1" t="s">
        <v>9145</v>
      </c>
      <c r="V5312" s="1" t="s">
        <v>9149</v>
      </c>
      <c r="AR5312" s="1" t="str">
        <f t="shared" si="338"/>
        <v>| [ㄌㄨˋ](ㄌㄨˋ.md) | [甪](甪.md) |  | lù | [名]
1.一種野獸。《字彙．用部》：「甪，獸名。」
2.同「角」(三)。 |</v>
      </c>
    </row>
    <row r="5313" spans="1:44" hidden="1">
      <c r="A5313" s="1" t="s">
        <v>9150</v>
      </c>
      <c r="C5313" s="1">
        <v>1</v>
      </c>
      <c r="D5313" s="1" t="str">
        <f>"03749"</f>
        <v>03749</v>
      </c>
      <c r="E5313" s="1" t="s">
        <v>1117</v>
      </c>
      <c r="F5313" s="1">
        <v>7</v>
      </c>
      <c r="G5313" s="1">
        <v>0</v>
      </c>
      <c r="H5313" s="1">
        <v>3</v>
      </c>
      <c r="I5313" s="1" t="s">
        <v>9144</v>
      </c>
      <c r="K5313" s="1" t="str">
        <f t="shared" si="343"/>
        <v>ㄌ</v>
      </c>
      <c r="L5313" s="1" t="str">
        <f t="shared" si="344"/>
        <v>ㄨ</v>
      </c>
      <c r="N5313" s="3" t="s">
        <v>30574</v>
      </c>
      <c r="O5313" s="3"/>
      <c r="P5313" s="1" t="s">
        <v>20</v>
      </c>
      <c r="R5313" s="1" t="s">
        <v>9145</v>
      </c>
      <c r="V5313" s="1" t="s">
        <v>9151</v>
      </c>
      <c r="W5313" s="1" t="s">
        <v>9152</v>
      </c>
      <c r="AR5313" s="1" t="str">
        <f t="shared" si="338"/>
        <v>| [ㄌㄨˋ](ㄌㄨˋ.md) | [角](角.md) |  | lù | 參見「角里」條。 |</v>
      </c>
    </row>
    <row r="5314" spans="1:44" hidden="1">
      <c r="A5314" s="1" t="s">
        <v>9153</v>
      </c>
      <c r="C5314" s="1">
        <v>1</v>
      </c>
      <c r="D5314" s="1" t="str">
        <f>"03750"</f>
        <v>03750</v>
      </c>
      <c r="E5314" s="1" t="s">
        <v>6976</v>
      </c>
      <c r="F5314" s="1">
        <v>8</v>
      </c>
      <c r="G5314" s="1">
        <v>5</v>
      </c>
      <c r="H5314" s="1">
        <v>0</v>
      </c>
      <c r="I5314" s="1" t="s">
        <v>9144</v>
      </c>
      <c r="K5314" s="1" t="str">
        <f t="shared" si="343"/>
        <v>ㄌ</v>
      </c>
      <c r="L5314" s="1" t="str">
        <f t="shared" si="344"/>
        <v>ㄨ</v>
      </c>
      <c r="N5314" s="3" t="s">
        <v>30574</v>
      </c>
      <c r="O5314" s="3"/>
      <c r="P5314" s="1" t="s">
        <v>20</v>
      </c>
      <c r="R5314" s="1" t="s">
        <v>9145</v>
      </c>
      <c r="V5314" s="1" t="s">
        <v>9154</v>
      </c>
      <c r="AR5314" s="1" t="str">
        <f t="shared" si="338"/>
        <v>| [ㄌㄨˋ](ㄌㄨˋ.md) | [彔](彔.md) |  | lù | [動]
雕刻木材。《廣韻．入聲．屋韻》：「彔，刻木也。」 |</v>
      </c>
    </row>
    <row r="5315" spans="1:44" hidden="1">
      <c r="A5315" s="1" t="s">
        <v>9155</v>
      </c>
      <c r="C5315" s="1">
        <v>1</v>
      </c>
      <c r="D5315" s="1" t="str">
        <f>"03751"</f>
        <v>03751</v>
      </c>
      <c r="E5315" s="1" t="s">
        <v>129</v>
      </c>
      <c r="F5315" s="1">
        <v>11</v>
      </c>
      <c r="G5315" s="1">
        <v>8</v>
      </c>
      <c r="H5315" s="1">
        <v>0</v>
      </c>
      <c r="I5315" s="1" t="s">
        <v>9144</v>
      </c>
      <c r="K5315" s="1" t="str">
        <f t="shared" si="343"/>
        <v>ㄌ</v>
      </c>
      <c r="L5315" s="1" t="str">
        <f t="shared" si="344"/>
        <v>ㄨ</v>
      </c>
      <c r="N5315" s="3" t="s">
        <v>30574</v>
      </c>
      <c r="O5315" s="3"/>
      <c r="P5315" s="1" t="s">
        <v>20</v>
      </c>
      <c r="R5315" s="1" t="s">
        <v>9145</v>
      </c>
      <c r="V5315" s="1" t="s">
        <v>9156</v>
      </c>
      <c r="AR5315" s="1" t="str">
        <f t="shared" ref="AR5315:AR5378" si="345">"| ["&amp;I5315&amp;"]("&amp;I5315&amp;".md) | ["&amp;A5315&amp;"]("&amp;A5315&amp;".md) | "&amp;" | "&amp;R5315&amp;" | "&amp;V5315&amp;" |"</f>
        <v>| [ㄌㄨˋ](ㄌㄨˋ.md) | [淥](淥.md) |  | lù | [形]
清澈。漢．張衡〈東京賦〉：「於東則洪池清篽，淥水澹澹。」
[名]
河川名，湘江的支流。發源於江西省萍鄉市蓮花縣北部，西流經湖南省醴陵市，於株洲市株洲縣城淥口鎮注入湘江。 |</v>
      </c>
    </row>
    <row r="5316" spans="1:44" hidden="1">
      <c r="A5316" s="1" t="s">
        <v>9157</v>
      </c>
      <c r="C5316" s="1">
        <v>1</v>
      </c>
      <c r="D5316" s="1" t="str">
        <f>"03752"</f>
        <v>03752</v>
      </c>
      <c r="E5316" s="1" t="s">
        <v>142</v>
      </c>
      <c r="F5316" s="1">
        <v>12</v>
      </c>
      <c r="G5316" s="1">
        <v>8</v>
      </c>
      <c r="H5316" s="1">
        <v>0</v>
      </c>
      <c r="I5316" s="1" t="s">
        <v>9144</v>
      </c>
      <c r="K5316" s="1" t="str">
        <f t="shared" si="343"/>
        <v>ㄌ</v>
      </c>
      <c r="L5316" s="1" t="str">
        <f t="shared" si="344"/>
        <v>ㄨ</v>
      </c>
      <c r="N5316" s="3" t="s">
        <v>30574</v>
      </c>
      <c r="O5316" s="3"/>
      <c r="P5316" s="1" t="s">
        <v>20</v>
      </c>
      <c r="R5316" s="1" t="s">
        <v>9145</v>
      </c>
      <c r="V5316" s="1" t="s">
        <v>9158</v>
      </c>
      <c r="AR5316" s="1" t="str">
        <f t="shared" si="345"/>
        <v>| [ㄌㄨˋ](ㄌㄨˋ.md) | [琭](琭.md) |  | lù | [名]
玉。《廣韻．入聲．屋韻》：「琭，玉名。」 |</v>
      </c>
    </row>
    <row r="5317" spans="1:44" hidden="1">
      <c r="A5317" s="1" t="s">
        <v>9159</v>
      </c>
      <c r="C5317" s="1">
        <v>1</v>
      </c>
      <c r="D5317" s="1" t="str">
        <f>"03753"</f>
        <v>03753</v>
      </c>
      <c r="E5317" s="1" t="s">
        <v>37</v>
      </c>
      <c r="F5317" s="1">
        <v>12</v>
      </c>
      <c r="G5317" s="1">
        <v>8</v>
      </c>
      <c r="H5317" s="1">
        <v>2</v>
      </c>
      <c r="I5317" s="1" t="s">
        <v>9144</v>
      </c>
      <c r="K5317" s="1" t="str">
        <f t="shared" si="343"/>
        <v>ㄌ</v>
      </c>
      <c r="L5317" s="1" t="str">
        <f t="shared" si="344"/>
        <v>ㄨ</v>
      </c>
      <c r="N5317" s="3" t="s">
        <v>30574</v>
      </c>
      <c r="O5317" s="3"/>
      <c r="P5317" s="1" t="s">
        <v>186</v>
      </c>
      <c r="R5317" s="1" t="s">
        <v>9145</v>
      </c>
      <c r="V5317" s="1" t="s">
        <v>206</v>
      </c>
      <c r="W5317" s="1" t="s">
        <v>9160</v>
      </c>
      <c r="AR5317" s="1" t="str">
        <f t="shared" si="345"/>
        <v>| [ㄌㄨˋ](ㄌㄨˋ.md) | [菉](菉.md) |  | lù | (一)之讀音。 |</v>
      </c>
    </row>
    <row r="5318" spans="1:44" hidden="1">
      <c r="A5318" s="1" t="s">
        <v>9161</v>
      </c>
      <c r="C5318" s="1">
        <v>1</v>
      </c>
      <c r="D5318" s="1" t="str">
        <f>"03754"</f>
        <v>03754</v>
      </c>
      <c r="E5318" s="1" t="s">
        <v>2228</v>
      </c>
      <c r="F5318" s="1">
        <v>12</v>
      </c>
      <c r="G5318" s="1">
        <v>8</v>
      </c>
      <c r="H5318" s="1">
        <v>2</v>
      </c>
      <c r="I5318" s="1" t="s">
        <v>9144</v>
      </c>
      <c r="K5318" s="1" t="str">
        <f t="shared" si="343"/>
        <v>ㄌ</v>
      </c>
      <c r="L5318" s="1" t="str">
        <f t="shared" si="344"/>
        <v>ㄨ</v>
      </c>
      <c r="N5318" s="3" t="s">
        <v>30574</v>
      </c>
      <c r="O5318" s="3"/>
      <c r="P5318" s="1" t="s">
        <v>110</v>
      </c>
      <c r="R5318" s="1" t="s">
        <v>9145</v>
      </c>
      <c r="V5318" s="1" t="s">
        <v>111</v>
      </c>
      <c r="W5318" s="1" t="s">
        <v>9162</v>
      </c>
      <c r="AR5318" s="1" t="str">
        <f t="shared" si="345"/>
        <v>| [ㄌㄨˋ](ㄌㄨˋ.md) | [氯](氯.md) |  | lù | (一)之又音。 |</v>
      </c>
    </row>
    <row r="5319" spans="1:44" hidden="1">
      <c r="A5319" s="1" t="s">
        <v>9163</v>
      </c>
      <c r="C5319" s="1">
        <v>1</v>
      </c>
      <c r="D5319" s="1" t="str">
        <f>"03755"</f>
        <v>03755</v>
      </c>
      <c r="E5319" s="1" t="s">
        <v>558</v>
      </c>
      <c r="F5319" s="1">
        <v>12</v>
      </c>
      <c r="G5319" s="1">
        <v>8</v>
      </c>
      <c r="H5319" s="1">
        <v>0</v>
      </c>
      <c r="I5319" s="1" t="s">
        <v>9144</v>
      </c>
      <c r="K5319" s="1" t="str">
        <f t="shared" si="343"/>
        <v>ㄌ</v>
      </c>
      <c r="L5319" s="1" t="str">
        <f t="shared" si="344"/>
        <v>ㄨ</v>
      </c>
      <c r="N5319" s="3" t="s">
        <v>30574</v>
      </c>
      <c r="O5319" s="3"/>
      <c r="P5319" s="1" t="s">
        <v>20</v>
      </c>
      <c r="R5319" s="1" t="s">
        <v>9145</v>
      </c>
      <c r="V5319" s="1" t="s">
        <v>9164</v>
      </c>
      <c r="AR5319" s="1" t="str">
        <f t="shared" si="345"/>
        <v>| [ㄌㄨˋ](ㄌㄨˋ.md) | [逯](逯.md) |  | lù | [形]
走路謹慎的樣子。《說文解字．辵部》：「逯，行謹逯逯也。」
[副]
隨意的、無目的的。《淮南子．精神》：「渾然而往，逯然而來。」漢．高誘．注：「逯，謂無所為忽然往來也。」
[名]
姓。如漢代有逯並。 |</v>
      </c>
    </row>
    <row r="5320" spans="1:44" hidden="1">
      <c r="A5320" s="1" t="s">
        <v>9165</v>
      </c>
      <c r="C5320" s="1">
        <v>1</v>
      </c>
      <c r="D5320" s="1" t="str">
        <f>"03756"</f>
        <v>03756</v>
      </c>
      <c r="E5320" s="1" t="s">
        <v>825</v>
      </c>
      <c r="F5320" s="1">
        <v>13</v>
      </c>
      <c r="G5320" s="1">
        <v>8</v>
      </c>
      <c r="H5320" s="1">
        <v>0</v>
      </c>
      <c r="I5320" s="1" t="s">
        <v>9144</v>
      </c>
      <c r="K5320" s="1" t="str">
        <f t="shared" si="343"/>
        <v>ㄌ</v>
      </c>
      <c r="L5320" s="1" t="str">
        <f t="shared" si="344"/>
        <v>ㄨ</v>
      </c>
      <c r="N5320" s="3" t="s">
        <v>30574</v>
      </c>
      <c r="O5320" s="3"/>
      <c r="P5320" s="1" t="s">
        <v>20</v>
      </c>
      <c r="R5320" s="1" t="s">
        <v>9145</v>
      </c>
      <c r="V5320" s="1" t="s">
        <v>9166</v>
      </c>
      <c r="AR5320" s="1" t="str">
        <f t="shared" si="345"/>
        <v>| [ㄌㄨˋ](ㄌㄨˋ.md) | [祿](祿.md) |  | lù | [名]
1.福、善。如：「福祿」、「嘉祿」。《晏子春秋．內篇．問上十》：「是以神民俱順，而山川納祿。」
2.俸給、官俸。如：「俸祿」、「無功不受祿」。《漢書．卷四九．鼂錯傳》：「受祿不過其量，不以亡能居尊顯之位。」 |</v>
      </c>
    </row>
    <row r="5321" spans="1:44" hidden="1">
      <c r="A5321" s="1" t="s">
        <v>9167</v>
      </c>
      <c r="C5321" s="1">
        <v>1</v>
      </c>
      <c r="D5321" s="1" t="str">
        <f>"03757"</f>
        <v>03757</v>
      </c>
      <c r="E5321" s="1" t="s">
        <v>169</v>
      </c>
      <c r="F5321" s="1">
        <v>13</v>
      </c>
      <c r="G5321" s="1">
        <v>8</v>
      </c>
      <c r="H5321" s="1">
        <v>0</v>
      </c>
      <c r="I5321" s="1" t="s">
        <v>9144</v>
      </c>
      <c r="K5321" s="1" t="str">
        <f t="shared" si="343"/>
        <v>ㄌ</v>
      </c>
      <c r="L5321" s="1" t="str">
        <f t="shared" si="344"/>
        <v>ㄨ</v>
      </c>
      <c r="N5321" s="3" t="s">
        <v>30574</v>
      </c>
      <c r="O5321" s="3"/>
      <c r="P5321" s="1" t="s">
        <v>20</v>
      </c>
      <c r="R5321" s="1" t="s">
        <v>9145</v>
      </c>
      <c r="V5321" s="1" t="s">
        <v>9168</v>
      </c>
      <c r="AR5321" s="1" t="str">
        <f t="shared" si="345"/>
        <v>| [ㄌㄨˋ](ㄌㄨˋ.md) | [碌](碌.md) |  | lù | [形]
1.小石眾多的樣子。《廣韻．入聲．屋韻》：「碌，多石貌。」
2.繁忙。如：「忙碌」、「勞碌」。《西遊記》第二二回：「這一向在途中奔碌，未及致謝。」
[副]
參見「碌碌」條。 |</v>
      </c>
    </row>
    <row r="5322" spans="1:44" hidden="1">
      <c r="A5322" s="1" t="s">
        <v>9169</v>
      </c>
      <c r="C5322" s="1">
        <v>1</v>
      </c>
      <c r="D5322" s="1" t="str">
        <f>"03758"</f>
        <v>03758</v>
      </c>
      <c r="E5322" s="1" t="s">
        <v>1015</v>
      </c>
      <c r="F5322" s="1">
        <v>13</v>
      </c>
      <c r="G5322" s="1">
        <v>8</v>
      </c>
      <c r="H5322" s="1">
        <v>0</v>
      </c>
      <c r="I5322" s="1" t="s">
        <v>9144</v>
      </c>
      <c r="K5322" s="1" t="str">
        <f t="shared" si="343"/>
        <v>ㄌ</v>
      </c>
      <c r="L5322" s="1" t="str">
        <f t="shared" si="344"/>
        <v>ㄨ</v>
      </c>
      <c r="N5322" s="3" t="s">
        <v>30574</v>
      </c>
      <c r="O5322" s="3"/>
      <c r="P5322" s="1" t="s">
        <v>20</v>
      </c>
      <c r="R5322" s="1" t="s">
        <v>9145</v>
      </c>
      <c r="V5322" s="1" t="s">
        <v>9170</v>
      </c>
      <c r="AR5322" s="1" t="str">
        <f t="shared" si="345"/>
        <v>| [ㄌㄨˋ](ㄌㄨˋ.md) | [睩](睩.md) |  | lù | [形]
敬謹注視的樣子。《楚辭．宋玉．招魂》：「蛾眉曼睩，目騰光些。」明．湯顯祖《紫釵記》第四四齣：「愁凝睩，秦雲黯待成飛絮，誰說與玉肌生粟？」 |</v>
      </c>
    </row>
    <row r="5323" spans="1:44" hidden="1">
      <c r="A5323" s="1" t="s">
        <v>9171</v>
      </c>
      <c r="C5323" s="1">
        <v>1</v>
      </c>
      <c r="D5323" s="1" t="str">
        <f>"03759"</f>
        <v>03759</v>
      </c>
      <c r="E5323" s="1" t="s">
        <v>438</v>
      </c>
      <c r="F5323" s="1">
        <v>13</v>
      </c>
      <c r="G5323" s="1">
        <v>8</v>
      </c>
      <c r="H5323" s="1">
        <v>0</v>
      </c>
      <c r="I5323" s="1" t="s">
        <v>9144</v>
      </c>
      <c r="K5323" s="1" t="str">
        <f t="shared" si="343"/>
        <v>ㄌ</v>
      </c>
      <c r="L5323" s="1" t="str">
        <f t="shared" si="344"/>
        <v>ㄨ</v>
      </c>
      <c r="N5323" s="3" t="s">
        <v>30574</v>
      </c>
      <c r="O5323" s="3"/>
      <c r="P5323" s="1" t="s">
        <v>20</v>
      </c>
      <c r="R5323" s="1" t="s">
        <v>9145</v>
      </c>
      <c r="V5323" s="1" t="s">
        <v>9172</v>
      </c>
      <c r="AR5323" s="1" t="str">
        <f t="shared" si="345"/>
        <v>| [ㄌㄨˋ](ㄌㄨˋ.md) | [盝](盝.md) |  | lù | [名]
裝脂粉等物的小盒子。唐．白居易〈宿杜曲花下〉詩：「籃輿為臥舍，漆盝是行廚。」《新唐書．卷一八〇．李德裕傳》：「敬宗立，侈用無度，詔浙西上脂盝妝具。」
[動]
下滲、過濾。《周禮．冬官考工記．&amp;91dd._104_0.gif;氏》：「清其灰而盝之，而揮之。」明．方以智《物理小識．卷七．金石類》：「日月蒸入，盝之澄之，重者在下，鉛硝煎之，白金出矣。」 |</v>
      </c>
    </row>
    <row r="5324" spans="1:44" hidden="1">
      <c r="A5324" s="1" t="s">
        <v>9173</v>
      </c>
      <c r="C5324" s="1">
        <v>1</v>
      </c>
      <c r="D5324" s="1" t="str">
        <f>"03760"</f>
        <v>03760</v>
      </c>
      <c r="E5324" s="1" t="s">
        <v>725</v>
      </c>
      <c r="F5324" s="1">
        <v>14</v>
      </c>
      <c r="G5324" s="1">
        <v>8</v>
      </c>
      <c r="H5324" s="1">
        <v>2</v>
      </c>
      <c r="I5324" s="1" t="s">
        <v>9144</v>
      </c>
      <c r="K5324" s="1" t="str">
        <f t="shared" si="343"/>
        <v>ㄌ</v>
      </c>
      <c r="L5324" s="1" t="str">
        <f t="shared" si="344"/>
        <v>ㄨ</v>
      </c>
      <c r="N5324" s="3" t="s">
        <v>30574</v>
      </c>
      <c r="O5324" s="3"/>
      <c r="P5324" s="1" t="s">
        <v>186</v>
      </c>
      <c r="R5324" s="1" t="s">
        <v>9145</v>
      </c>
      <c r="V5324" s="1" t="s">
        <v>206</v>
      </c>
      <c r="W5324" s="1" t="s">
        <v>9174</v>
      </c>
      <c r="AR5324" s="1" t="str">
        <f t="shared" si="345"/>
        <v>| [ㄌㄨˋ](ㄌㄨˋ.md) | [綠](綠.md) |  | lù | (一)之讀音。 |</v>
      </c>
    </row>
    <row r="5325" spans="1:44" hidden="1">
      <c r="A5325" s="1" t="s">
        <v>9175</v>
      </c>
      <c r="C5325" s="1">
        <v>1</v>
      </c>
      <c r="D5325" s="1" t="str">
        <f>"03761"</f>
        <v>03761</v>
      </c>
      <c r="E5325" s="1" t="s">
        <v>1462</v>
      </c>
      <c r="F5325" s="1">
        <v>15</v>
      </c>
      <c r="G5325" s="1">
        <v>8</v>
      </c>
      <c r="H5325" s="1">
        <v>0</v>
      </c>
      <c r="I5325" s="1" t="s">
        <v>9144</v>
      </c>
      <c r="K5325" s="1" t="str">
        <f t="shared" si="343"/>
        <v>ㄌ</v>
      </c>
      <c r="L5325" s="1" t="str">
        <f t="shared" si="344"/>
        <v>ㄨ</v>
      </c>
      <c r="N5325" s="3" t="s">
        <v>30574</v>
      </c>
      <c r="O5325" s="3"/>
      <c r="P5325" s="1" t="s">
        <v>20</v>
      </c>
      <c r="R5325" s="1" t="s">
        <v>9145</v>
      </c>
      <c r="V5325" s="1" t="s">
        <v>9176</v>
      </c>
      <c r="AR5325" s="1" t="str">
        <f t="shared" si="345"/>
        <v>| [ㄌㄨˋ](ㄌㄨˋ.md) | [醁](醁.md) |  | lù | [名]
美酒。唐．李白〈敘舊贈江陽宰陸調〉詩：「多沽新豐醁，滿載剡溪船。」宋．蘇軾〈寄周安孺茶〉詩：「自云葉家白，頗勝中山醁。」 |</v>
      </c>
    </row>
    <row r="5326" spans="1:44" hidden="1">
      <c r="A5326" s="1" t="s">
        <v>9177</v>
      </c>
      <c r="C5326" s="1">
        <v>1</v>
      </c>
      <c r="D5326" s="1" t="str">
        <f>"03762"</f>
        <v>03762</v>
      </c>
      <c r="E5326" s="1" t="s">
        <v>55</v>
      </c>
      <c r="F5326" s="1">
        <v>16</v>
      </c>
      <c r="G5326" s="1">
        <v>8</v>
      </c>
      <c r="H5326" s="1">
        <v>0</v>
      </c>
      <c r="I5326" s="1" t="s">
        <v>9144</v>
      </c>
      <c r="K5326" s="1" t="str">
        <f t="shared" si="343"/>
        <v>ㄌ</v>
      </c>
      <c r="L5326" s="1" t="str">
        <f t="shared" si="344"/>
        <v>ㄨ</v>
      </c>
      <c r="N5326" s="3" t="s">
        <v>30574</v>
      </c>
      <c r="O5326" s="3"/>
      <c r="P5326" s="1" t="s">
        <v>20</v>
      </c>
      <c r="R5326" s="1" t="s">
        <v>9145</v>
      </c>
      <c r="V5326" s="1" t="s">
        <v>9178</v>
      </c>
      <c r="AR5326" s="1" t="str">
        <f t="shared" si="345"/>
        <v>| [ㄌㄨˋ](ㄌㄨˋ.md) | [錄](錄.md) |  | lù | [動]
1.抄寫、謄寫。明．張自烈《正字通．金部》：「錄，謄寫曰錄。」如：「謄錄」。
2.記載。如：「記錄」、「登錄」。《三國志．卷三．魏書．明帝紀》：「遂進軍幸壽春，錄諸將功，封賞各有差。」晉．王羲之〈三月三日蘭亭詩序〉：「故列敘時人，錄其所述。」
3.採納、採取。如：「錄用」。唐．韓愈〈送諸葛覺往隨州讀書〉詩：「屢為丞相言，雖懇不見錄。」
[名]
1.記載事物的書籍、簿冊。如：「筆錄」、「言行錄」、「備忘錄」。清．黃宗羲〈陳定生先生墓誌銘〉：「是時有百官圖、邪黨錄、天鑒錄、同志錄、點將錄，依之以盡殺朝廷之士。」
2.姓。如上古時有錄圖。 |</v>
      </c>
    </row>
    <row r="5327" spans="1:44" hidden="1">
      <c r="A5327" s="1" t="s">
        <v>9179</v>
      </c>
      <c r="C5327" s="1">
        <v>1</v>
      </c>
      <c r="D5327" s="1" t="str">
        <f>"03763"</f>
        <v>03763</v>
      </c>
      <c r="E5327" s="1" t="s">
        <v>319</v>
      </c>
      <c r="F5327" s="1">
        <v>18</v>
      </c>
      <c r="G5327" s="1">
        <v>8</v>
      </c>
      <c r="H5327" s="1">
        <v>0</v>
      </c>
      <c r="I5327" s="1" t="s">
        <v>9144</v>
      </c>
      <c r="K5327" s="1" t="str">
        <f t="shared" si="343"/>
        <v>ㄌ</v>
      </c>
      <c r="L5327" s="1" t="str">
        <f t="shared" si="344"/>
        <v>ㄨ</v>
      </c>
      <c r="N5327" s="3" t="s">
        <v>30574</v>
      </c>
      <c r="O5327" s="3"/>
      <c r="P5327" s="1" t="s">
        <v>20</v>
      </c>
      <c r="R5327" s="1" t="s">
        <v>9145</v>
      </c>
      <c r="V5327" s="1" t="s">
        <v>9180</v>
      </c>
      <c r="AR5327" s="1" t="str">
        <f t="shared" si="345"/>
        <v>| [ㄌㄨˋ](ㄌㄨˋ.md) | [騄](騄.md) |  | lù | 參見「騄駬」條。 |</v>
      </c>
    </row>
    <row r="5328" spans="1:44" hidden="1">
      <c r="A5328" s="1" t="s">
        <v>9181</v>
      </c>
      <c r="C5328" s="1">
        <v>1</v>
      </c>
      <c r="D5328" s="1" t="str">
        <f>"03764"</f>
        <v>03764</v>
      </c>
      <c r="E5328" s="1" t="s">
        <v>49</v>
      </c>
      <c r="F5328" s="1">
        <v>22</v>
      </c>
      <c r="G5328" s="1">
        <v>16</v>
      </c>
      <c r="H5328" s="1">
        <v>0</v>
      </c>
      <c r="I5328" s="1" t="s">
        <v>9144</v>
      </c>
      <c r="K5328" s="1" t="str">
        <f t="shared" si="343"/>
        <v>ㄌ</v>
      </c>
      <c r="L5328" s="1" t="str">
        <f t="shared" si="344"/>
        <v>ㄨ</v>
      </c>
      <c r="N5328" s="3" t="s">
        <v>30574</v>
      </c>
      <c r="O5328" s="3"/>
      <c r="P5328" s="1" t="s">
        <v>20</v>
      </c>
      <c r="R5328" s="1" t="s">
        <v>9145</v>
      </c>
      <c r="V5328" s="1" t="s">
        <v>9182</v>
      </c>
      <c r="AR5328" s="1" t="str">
        <f t="shared" si="345"/>
        <v>| [ㄌㄨˋ](ㄌㄨˋ.md) | [籙](籙.md) |  | lù | [名]
1.圖書、冊籍。如：「圖籙」。《新唐書．卷八八．裴寂傳》：「隋政不綱，天下搖亂，公姓名已著謠籙。」
2.道家用的符咒。如：「符籙」。《新唐書．卷八．宣宗紀．贊曰》：「而躬受道家之籙，服藥以求長年。」 |</v>
      </c>
    </row>
    <row r="5329" spans="1:44" hidden="1">
      <c r="A5329" s="1" t="s">
        <v>9183</v>
      </c>
      <c r="C5329" s="1">
        <v>1</v>
      </c>
      <c r="D5329" s="1" t="str">
        <f>"03765"</f>
        <v>03765</v>
      </c>
      <c r="E5329" s="1" t="s">
        <v>1190</v>
      </c>
      <c r="F5329" s="1">
        <v>11</v>
      </c>
      <c r="G5329" s="1">
        <v>0</v>
      </c>
      <c r="H5329" s="1">
        <v>0</v>
      </c>
      <c r="I5329" s="1" t="s">
        <v>9144</v>
      </c>
      <c r="K5329" s="1" t="str">
        <f t="shared" si="343"/>
        <v>ㄌ</v>
      </c>
      <c r="L5329" s="1" t="str">
        <f t="shared" si="344"/>
        <v>ㄨ</v>
      </c>
      <c r="N5329" s="3" t="s">
        <v>30574</v>
      </c>
      <c r="O5329" s="3"/>
      <c r="P5329" s="1" t="s">
        <v>20</v>
      </c>
      <c r="R5329" s="1" t="s">
        <v>9145</v>
      </c>
      <c r="V5329" s="1" t="s">
        <v>9184</v>
      </c>
      <c r="AR5329" s="1" t="str">
        <f t="shared" si="345"/>
        <v>| [ㄌㄨˋ](ㄌㄨˋ.md) | [鹿](鹿.md) |  | lù | [名]
1.動物名。哺乳綱偶啼目鹿科。體型細長，腿長，褐色毛，性溫順，雄者有角。棲息於沙漠、凍原、沼澤和高山坡等地區。肉可食，皮可製革，角可供作裝飾品。
2.方形的糧倉。《國語．吳語》：「市無赤米，而囷鹿空虛。」三國吳．韋昭．注：「員曰囷，方曰鹿。」
3.比喻帝位、政權。《史記．卷九二．淮陰侯傳》：「秦失其鹿，天下共逐之。」唐．溫庭筠〈過五丈原〉詩：「下國臥龍空誤主，中原逐鹿不因人。」
4.姓。如漢代有鹿旗。
5.二一四部首之一。 |</v>
      </c>
    </row>
    <row r="5330" spans="1:44" hidden="1">
      <c r="A5330" s="1" t="s">
        <v>9185</v>
      </c>
      <c r="C5330" s="1">
        <v>1</v>
      </c>
      <c r="D5330" s="1" t="str">
        <f>"03766"</f>
        <v>03766</v>
      </c>
      <c r="E5330" s="1" t="s">
        <v>129</v>
      </c>
      <c r="F5330" s="1">
        <v>14</v>
      </c>
      <c r="G5330" s="1">
        <v>11</v>
      </c>
      <c r="H5330" s="1">
        <v>0</v>
      </c>
      <c r="I5330" s="1" t="s">
        <v>9144</v>
      </c>
      <c r="K5330" s="1" t="str">
        <f t="shared" si="343"/>
        <v>ㄌ</v>
      </c>
      <c r="L5330" s="1" t="str">
        <f t="shared" si="344"/>
        <v>ㄨ</v>
      </c>
      <c r="N5330" s="3" t="s">
        <v>30574</v>
      </c>
      <c r="O5330" s="3"/>
      <c r="P5330" s="1" t="s">
        <v>20</v>
      </c>
      <c r="R5330" s="1" t="s">
        <v>9145</v>
      </c>
      <c r="V5330" s="1" t="s">
        <v>9186</v>
      </c>
      <c r="AR5330" s="1" t="str">
        <f t="shared" si="345"/>
        <v>| [ㄌㄨˋ](ㄌㄨˋ.md) | [漉](漉.md) |  | lù | [動]_x000D_
1.竭盡、使乾涸。《禮記．月令》：「是月也，毋竭川澤，毋漉陂池，毋焚山林。」漢．王充《論衡．指瑞》：「巢剝卵破，屏竄不翔；林焚池漉，伏匿不遊。」_x000D_
2.水慢慢地下滲。《戰國策．楚策四》：「漉汁灑地，白汗交流。」《史記．卷一一七．司馬相如列傳》：「滋液滲漉，何生不育。」_x000D_
3.瀝出、過濾。三國魏．曹植〈七步詩〉：「煮豆持作羹，漉豉以為汁。」晉．陶淵明〈歸園田居〉詩五首之五：「漉我新熟酒，隻雞招近局。」_x000D_
4.淘取、疏浚。宋．文同〈秋日田家〉詩：「淘漉溝源築野塘，滿坡煙草臥牛羊。」《宋史．卷九七．河渠志七》：「今欲發四百九十萬工，於農隙接續開鑿，又移壯城百人，以備撩漉濬治。」 |</v>
      </c>
    </row>
    <row r="5331" spans="1:44" hidden="1">
      <c r="A5331" s="1" t="s">
        <v>9187</v>
      </c>
      <c r="C5331" s="1">
        <v>1</v>
      </c>
      <c r="D5331" s="1" t="str">
        <f>"03767"</f>
        <v>03767</v>
      </c>
      <c r="E5331" s="1" t="s">
        <v>24</v>
      </c>
      <c r="F5331" s="1">
        <v>14</v>
      </c>
      <c r="G5331" s="1">
        <v>11</v>
      </c>
      <c r="H5331" s="1">
        <v>0</v>
      </c>
      <c r="I5331" s="1" t="s">
        <v>9144</v>
      </c>
      <c r="K5331" s="1" t="str">
        <f t="shared" si="343"/>
        <v>ㄌ</v>
      </c>
      <c r="L5331" s="1" t="str">
        <f t="shared" si="344"/>
        <v>ㄨ</v>
      </c>
      <c r="N5331" s="3" t="s">
        <v>30574</v>
      </c>
      <c r="O5331" s="3"/>
      <c r="P5331" s="1" t="s">
        <v>20</v>
      </c>
      <c r="R5331" s="1" t="s">
        <v>9145</v>
      </c>
      <c r="V5331" s="1" t="s">
        <v>9188</v>
      </c>
      <c r="AR5331" s="1" t="str">
        <f t="shared" si="345"/>
        <v>| [ㄌㄨˋ](ㄌㄨˋ.md) | [摝](摝.md) |  | lù | [動]
振、搖。《周禮．夏官．大司馬》：「二鼓摝鐸。」漢．鄭玄．注：「掩上振之為摝。」 |</v>
      </c>
    </row>
    <row r="5332" spans="1:44" hidden="1">
      <c r="A5332" s="1" t="s">
        <v>9189</v>
      </c>
      <c r="C5332" s="1">
        <v>1</v>
      </c>
      <c r="D5332" s="1" t="str">
        <f>"03768"</f>
        <v>03768</v>
      </c>
      <c r="E5332" s="1" t="s">
        <v>118</v>
      </c>
      <c r="F5332" s="1">
        <v>15</v>
      </c>
      <c r="G5332" s="1">
        <v>11</v>
      </c>
      <c r="H5332" s="1">
        <v>0</v>
      </c>
      <c r="I5332" s="1" t="s">
        <v>9144</v>
      </c>
      <c r="K5332" s="1" t="str">
        <f t="shared" si="343"/>
        <v>ㄌ</v>
      </c>
      <c r="L5332" s="1" t="str">
        <f t="shared" si="344"/>
        <v>ㄨ</v>
      </c>
      <c r="N5332" s="3" t="s">
        <v>30574</v>
      </c>
      <c r="O5332" s="3"/>
      <c r="P5332" s="1" t="s">
        <v>20</v>
      </c>
      <c r="R5332" s="1" t="s">
        <v>9145</v>
      </c>
      <c r="V5332" s="1" t="s">
        <v>9190</v>
      </c>
      <c r="AR5332" s="1" t="str">
        <f t="shared" si="345"/>
        <v>| [ㄌㄨˋ](ㄌㄨˋ.md) | [䍡](䍡.md) |  | lù | 參見「䍡𦌊」條。 |</v>
      </c>
    </row>
    <row r="5333" spans="1:44" hidden="1">
      <c r="A5333" s="1" t="s">
        <v>9191</v>
      </c>
      <c r="C5333" s="1">
        <v>1</v>
      </c>
      <c r="D5333" s="1" t="str">
        <f>"03769"</f>
        <v>03769</v>
      </c>
      <c r="E5333" s="1" t="s">
        <v>49</v>
      </c>
      <c r="F5333" s="1">
        <v>17</v>
      </c>
      <c r="G5333" s="1">
        <v>11</v>
      </c>
      <c r="H5333" s="1">
        <v>0</v>
      </c>
      <c r="I5333" s="1" t="s">
        <v>9144</v>
      </c>
      <c r="K5333" s="1" t="str">
        <f t="shared" si="343"/>
        <v>ㄌ</v>
      </c>
      <c r="L5333" s="1" t="str">
        <f t="shared" si="344"/>
        <v>ㄨ</v>
      </c>
      <c r="N5333" s="3" t="s">
        <v>30574</v>
      </c>
      <c r="O5333" s="3"/>
      <c r="P5333" s="1" t="s">
        <v>20</v>
      </c>
      <c r="R5333" s="1" t="s">
        <v>9145</v>
      </c>
      <c r="V5333" s="1" t="s">
        <v>9192</v>
      </c>
      <c r="AR5333" s="1" t="str">
        <f t="shared" si="345"/>
        <v>| [ㄌㄨˋ](ㄌㄨˋ.md) | [簏](簏.md) |  | lù | [名]
竹子編成的箱子。如：「字紙簏」、「書簏」。《楚辭．劉向．九歎．愍命》：「莞芎棄於澤洲兮，瓟瓥蠹於筐簏。」漢．王逸．注：「方為筐，圓為簏。」 |</v>
      </c>
    </row>
    <row r="5334" spans="1:44" hidden="1">
      <c r="A5334" s="1" t="s">
        <v>9193</v>
      </c>
      <c r="C5334" s="1">
        <v>1</v>
      </c>
      <c r="D5334" s="1" t="str">
        <f>"03770"</f>
        <v>03770</v>
      </c>
      <c r="E5334" s="1" t="s">
        <v>71</v>
      </c>
      <c r="F5334" s="1">
        <v>18</v>
      </c>
      <c r="G5334" s="1">
        <v>11</v>
      </c>
      <c r="H5334" s="1">
        <v>0</v>
      </c>
      <c r="I5334" s="1" t="s">
        <v>9144</v>
      </c>
      <c r="K5334" s="1" t="str">
        <f t="shared" si="343"/>
        <v>ㄌ</v>
      </c>
      <c r="L5334" s="1" t="str">
        <f t="shared" si="344"/>
        <v>ㄨ</v>
      </c>
      <c r="N5334" s="3" t="s">
        <v>30574</v>
      </c>
      <c r="O5334" s="3"/>
      <c r="P5334" s="1" t="s">
        <v>20</v>
      </c>
      <c r="R5334" s="1" t="s">
        <v>9145</v>
      </c>
      <c r="V5334" s="1" t="s">
        <v>9194</v>
      </c>
      <c r="AR5334" s="1" t="str">
        <f t="shared" si="345"/>
        <v>| [ㄌㄨˋ](ㄌㄨˋ.md) | [轆](轆.md) |  | lù | 參見「轆轤」、「轆轆」等條。 |</v>
      </c>
    </row>
    <row r="5335" spans="1:44" hidden="1">
      <c r="A5335" s="1" t="s">
        <v>9195</v>
      </c>
      <c r="C5335" s="1">
        <v>1</v>
      </c>
      <c r="D5335" s="1" t="str">
        <f>"03771"</f>
        <v>03771</v>
      </c>
      <c r="E5335" s="1" t="s">
        <v>1190</v>
      </c>
      <c r="F5335" s="1">
        <v>19</v>
      </c>
      <c r="G5335" s="1">
        <v>8</v>
      </c>
      <c r="H5335" s="1">
        <v>0</v>
      </c>
      <c r="I5335" s="1" t="s">
        <v>9144</v>
      </c>
      <c r="K5335" s="1" t="str">
        <f t="shared" si="343"/>
        <v>ㄌ</v>
      </c>
      <c r="L5335" s="1" t="str">
        <f t="shared" si="344"/>
        <v>ㄨ</v>
      </c>
      <c r="N5335" s="3" t="s">
        <v>30574</v>
      </c>
      <c r="O5335" s="3"/>
      <c r="P5335" s="1" t="s">
        <v>20</v>
      </c>
      <c r="R5335" s="1" t="s">
        <v>9145</v>
      </c>
      <c r="V5335" s="1" t="s">
        <v>9196</v>
      </c>
      <c r="AR5335" s="1" t="str">
        <f t="shared" si="345"/>
        <v>| [ㄌㄨˋ](ㄌㄨˋ.md) | [麓](麓.md) |  | lù | [名]
山腳。如：「山麓」、「南麓」。元．虞集〈寄幻庵主者〉詩：「朝遊武夷麓，莫入匡廬岑。」 |</v>
      </c>
    </row>
    <row r="5336" spans="1:44" hidden="1">
      <c r="A5336" s="1" t="s">
        <v>9197</v>
      </c>
      <c r="C5336" s="1">
        <v>1</v>
      </c>
      <c r="D5336" s="1" t="str">
        <f>"03772"</f>
        <v>03772</v>
      </c>
      <c r="E5336" s="1" t="s">
        <v>169</v>
      </c>
      <c r="F5336" s="1">
        <v>11</v>
      </c>
      <c r="G5336" s="1">
        <v>6</v>
      </c>
      <c r="H5336" s="1">
        <v>0</v>
      </c>
      <c r="I5336" s="1" t="s">
        <v>9144</v>
      </c>
      <c r="K5336" s="1" t="str">
        <f t="shared" si="343"/>
        <v>ㄌ</v>
      </c>
      <c r="L5336" s="1" t="str">
        <f t="shared" si="344"/>
        <v>ㄨ</v>
      </c>
      <c r="N5336" s="3" t="s">
        <v>30574</v>
      </c>
      <c r="O5336" s="3"/>
      <c r="P5336" s="1" t="s">
        <v>20</v>
      </c>
      <c r="R5336" s="1" t="s">
        <v>9145</v>
      </c>
      <c r="V5336" s="1" t="s">
        <v>9198</v>
      </c>
      <c r="AR5336" s="1" t="str">
        <f t="shared" si="345"/>
        <v>| [ㄌㄨˋ](ㄌㄨˋ.md) | [硉](硉.md) |  | lù | 參見「硉兀」條。 |</v>
      </c>
    </row>
    <row r="5337" spans="1:44" hidden="1">
      <c r="A5337" s="1" t="s">
        <v>8753</v>
      </c>
      <c r="C5337" s="1">
        <v>1</v>
      </c>
      <c r="D5337" s="1" t="str">
        <f>"03773"</f>
        <v>03773</v>
      </c>
      <c r="E5337" s="1" t="s">
        <v>691</v>
      </c>
      <c r="F5337" s="1">
        <v>11</v>
      </c>
      <c r="G5337" s="1">
        <v>8</v>
      </c>
      <c r="H5337" s="1">
        <v>1</v>
      </c>
      <c r="I5337" s="1" t="s">
        <v>9144</v>
      </c>
      <c r="K5337" s="1" t="str">
        <f t="shared" si="343"/>
        <v>ㄌ</v>
      </c>
      <c r="L5337" s="1" t="str">
        <f t="shared" si="344"/>
        <v>ㄨ</v>
      </c>
      <c r="N5337" s="3" t="s">
        <v>30574</v>
      </c>
      <c r="O5337" s="3"/>
      <c r="P5337" s="1" t="s">
        <v>20</v>
      </c>
      <c r="R5337" s="1" t="s">
        <v>9145</v>
      </c>
      <c r="V5337" s="1" t="s">
        <v>9199</v>
      </c>
      <c r="W5337" s="1" t="s">
        <v>9200</v>
      </c>
      <c r="AR5337" s="1" t="str">
        <f t="shared" si="345"/>
        <v>| [ㄌㄨˋ](ㄌㄨˋ.md) | [陸](陸.md) |  | lù | [名]
1.高出水面的平地。如：「大陸」、「登陸」。宋．王安石〈書任村馬鋪〉詩：「投老經過身獨在，當時洲渚今平陸。」
2.旱路、陸路。如：「水陸交通」。《墨子．非樂上》：「舟用之水，車用之陸。」
3.姓。如宋代有陸九淵。
[動]
跳躍。《莊子．馬蹄》：「齕草飲水，翹足而陸，此馬之真性也。」 |</v>
      </c>
    </row>
    <row r="5338" spans="1:44" hidden="1">
      <c r="A5338" s="1" t="s">
        <v>9201</v>
      </c>
      <c r="C5338" s="1">
        <v>1</v>
      </c>
      <c r="D5338" s="1" t="str">
        <f>"03774"</f>
        <v>03774</v>
      </c>
      <c r="E5338" s="1" t="s">
        <v>429</v>
      </c>
      <c r="F5338" s="1">
        <v>13</v>
      </c>
      <c r="G5338" s="1">
        <v>8</v>
      </c>
      <c r="H5338" s="1">
        <v>0</v>
      </c>
      <c r="I5338" s="1" t="s">
        <v>9144</v>
      </c>
      <c r="K5338" s="1" t="str">
        <f t="shared" si="343"/>
        <v>ㄌ</v>
      </c>
      <c r="L5338" s="1" t="str">
        <f t="shared" si="344"/>
        <v>ㄨ</v>
      </c>
      <c r="N5338" s="3" t="s">
        <v>30574</v>
      </c>
      <c r="O5338" s="3"/>
      <c r="P5338" s="1" t="s">
        <v>20</v>
      </c>
      <c r="R5338" s="1" t="s">
        <v>9145</v>
      </c>
      <c r="V5338" s="1" t="s">
        <v>9202</v>
      </c>
      <c r="AR5338" s="1" t="str">
        <f t="shared" si="345"/>
        <v>| [ㄌㄨˋ](ㄌㄨˋ.md) | [稑](稑.md) |  | lù | [名]
後種先熟的稻穀。《廣韻．入聲．屋韻》：「稑，穜稑，先種後熟曰穜；後種先熟曰稑。」《周禮．天官．內宰》：「上春，詔王后帥六宮之人，而生穜稑之種，而獻之于王。」 |</v>
      </c>
    </row>
    <row r="5339" spans="1:44" hidden="1">
      <c r="A5339" s="1" t="s">
        <v>9203</v>
      </c>
      <c r="C5339" s="1">
        <v>1</v>
      </c>
      <c r="D5339" s="1" t="str">
        <f>"03775"</f>
        <v>03775</v>
      </c>
      <c r="E5339" s="1" t="s">
        <v>71</v>
      </c>
      <c r="F5339" s="1">
        <v>13</v>
      </c>
      <c r="G5339" s="1">
        <v>6</v>
      </c>
      <c r="H5339" s="1">
        <v>0</v>
      </c>
      <c r="I5339" s="1" t="s">
        <v>9144</v>
      </c>
      <c r="K5339" s="1" t="str">
        <f t="shared" si="343"/>
        <v>ㄌ</v>
      </c>
      <c r="L5339" s="1" t="str">
        <f t="shared" si="344"/>
        <v>ㄨ</v>
      </c>
      <c r="N5339" s="3" t="s">
        <v>30574</v>
      </c>
      <c r="O5339" s="3"/>
      <c r="P5339" s="1" t="s">
        <v>20</v>
      </c>
      <c r="R5339" s="1" t="s">
        <v>9145</v>
      </c>
      <c r="V5339" s="1" t="s">
        <v>9204</v>
      </c>
      <c r="AR5339" s="1" t="str">
        <f t="shared" si="345"/>
        <v>| [ㄌㄨˋ](ㄌㄨˋ.md) | [輅](輅.md) |  | lù | [名]
車前的橫木。《說文解字．車部》：「輅，車軨前橫木也。」《史記．卷九九．劉敬傳》：「婁敬脫輓輅，衣其羊裘。」唐．司馬貞．索隱：「輅者，鹿車前橫木，二人前輓，一人後推之。」 |</v>
      </c>
    </row>
    <row r="5340" spans="1:44" hidden="1">
      <c r="A5340" s="1" t="s">
        <v>9205</v>
      </c>
      <c r="C5340" s="1">
        <v>1</v>
      </c>
      <c r="D5340" s="1" t="str">
        <f>"03776"</f>
        <v>03776</v>
      </c>
      <c r="E5340" s="1" t="s">
        <v>505</v>
      </c>
      <c r="F5340" s="1">
        <v>13</v>
      </c>
      <c r="G5340" s="1">
        <v>6</v>
      </c>
      <c r="H5340" s="1">
        <v>0</v>
      </c>
      <c r="I5340" s="1" t="s">
        <v>9144</v>
      </c>
      <c r="K5340" s="1" t="str">
        <f t="shared" si="343"/>
        <v>ㄌ</v>
      </c>
      <c r="L5340" s="1" t="str">
        <f t="shared" si="344"/>
        <v>ㄨ</v>
      </c>
      <c r="N5340" s="3" t="s">
        <v>30574</v>
      </c>
      <c r="O5340" s="3"/>
      <c r="P5340" s="1" t="s">
        <v>20</v>
      </c>
      <c r="R5340" s="1" t="s">
        <v>9145</v>
      </c>
      <c r="V5340" s="1" t="s">
        <v>9206</v>
      </c>
      <c r="AR5340" s="1" t="str">
        <f t="shared" si="345"/>
        <v>| [ㄌㄨˋ](ㄌㄨˋ.md) | [賂](賂.md) |  | lù | [動]
1.贈送財物給人。《左傳．桓公二年》：「以郜大鼎賂公。」《北史．卷七〇．杜杲傳》：「并賂黔中數州地，仍請畫野分疆，永敦鄰好。」
2.行賄，贈送財物而有所求。如：「賄賂」。《晉書．卷七九．謝安傳》：「賊厚賂泓，使云『南軍已敗』。泓偽許之。」
[名]
財物。《左傳．莊公二十八年》：「數之以王命，取賂而還。」《文選．司馬遷．報任少卿書》：「家貧，貨賂不足以自贖。」 |</v>
      </c>
    </row>
    <row r="5341" spans="1:44" hidden="1">
      <c r="A5341" s="1" t="s">
        <v>9207</v>
      </c>
      <c r="C5341" s="1">
        <v>1</v>
      </c>
      <c r="D5341" s="1" t="str">
        <f>"03777"</f>
        <v>03777</v>
      </c>
      <c r="E5341" s="1" t="s">
        <v>77</v>
      </c>
      <c r="F5341" s="1">
        <v>13</v>
      </c>
      <c r="G5341" s="1">
        <v>6</v>
      </c>
      <c r="H5341" s="1">
        <v>0</v>
      </c>
      <c r="I5341" s="1" t="s">
        <v>9144</v>
      </c>
      <c r="K5341" s="1" t="str">
        <f t="shared" si="343"/>
        <v>ㄌ</v>
      </c>
      <c r="L5341" s="1" t="str">
        <f t="shared" si="344"/>
        <v>ㄨ</v>
      </c>
      <c r="N5341" s="3" t="s">
        <v>30574</v>
      </c>
      <c r="O5341" s="3"/>
      <c r="P5341" s="1" t="s">
        <v>20</v>
      </c>
      <c r="R5341" s="1" t="s">
        <v>9145</v>
      </c>
      <c r="V5341" s="1" t="s">
        <v>9208</v>
      </c>
      <c r="AR5341" s="1" t="str">
        <f t="shared" si="345"/>
        <v>| [ㄌㄨˋ](ㄌㄨˋ.md) | [路](路.md) |  | lù | [名]
1.道路，供人馬舟車等行走的途徑。如：「陸路」、「水路」、「高速公路」。宋．岳飛〈滿江紅．怒髮衝冠〉詞：「三十功名塵與土，八千里路雲和月。」
2.條理、紋理。如：「思路」、「紋路」。南朝梁．沈約〈瑞石像銘〉：「心路照通，有感斯順。」
3.方法、途徑。如：「生路」、「活路」。唐．王勃〈滕王閣序〉：「無路請纓，等終軍之弱冠。」
4.種類。如：「他們是那一路人？」《西遊記》第五一回：「這一路拳，走得似錦上添花。」
5.地區、區域。《三國演義》第一五回：「自是東路皆平，令叔孫靜守之。」《儒林外史》第四一回：「這一日燒香回來，人見他是下路打扮，跟了他後面走的就有百十人。」
6.路線。如：「五路公車」。《水滸傳》第五〇回：「今日宋江分兵做四路，來打本莊。」
7.姓。如漢代有路溫舒。 |</v>
      </c>
    </row>
    <row r="5342" spans="1:44" hidden="1">
      <c r="A5342" s="1" t="s">
        <v>9209</v>
      </c>
      <c r="C5342" s="1">
        <v>1</v>
      </c>
      <c r="D5342" s="1" t="str">
        <f>"03778"</f>
        <v>03778</v>
      </c>
      <c r="E5342" s="1" t="s">
        <v>129</v>
      </c>
      <c r="F5342" s="1">
        <v>16</v>
      </c>
      <c r="G5342" s="1">
        <v>13</v>
      </c>
      <c r="H5342" s="1">
        <v>0</v>
      </c>
      <c r="I5342" s="1" t="s">
        <v>9144</v>
      </c>
      <c r="K5342" s="1" t="str">
        <f t="shared" si="343"/>
        <v>ㄌ</v>
      </c>
      <c r="L5342" s="1" t="str">
        <f t="shared" si="344"/>
        <v>ㄨ</v>
      </c>
      <c r="N5342" s="3" t="s">
        <v>30574</v>
      </c>
      <c r="O5342" s="3"/>
      <c r="P5342" s="1" t="s">
        <v>20</v>
      </c>
      <c r="R5342" s="1" t="s">
        <v>9145</v>
      </c>
      <c r="V5342" s="1" t="s">
        <v>9210</v>
      </c>
      <c r="AR5342" s="1" t="str">
        <f t="shared" si="345"/>
        <v>| [ㄌㄨˋ](ㄌㄨˋ.md) | [潞](潞.md) |  | lù | [名]
河川名。即怒江。源於西藏，南流經雲南，經緬甸注入印度洋。 |</v>
      </c>
    </row>
    <row r="5343" spans="1:44" hidden="1">
      <c r="A5343" s="1" t="s">
        <v>9211</v>
      </c>
      <c r="C5343" s="1">
        <v>1</v>
      </c>
      <c r="D5343" s="1" t="str">
        <f>"03779"</f>
        <v>03779</v>
      </c>
      <c r="E5343" s="1" t="s">
        <v>142</v>
      </c>
      <c r="F5343" s="1">
        <v>17</v>
      </c>
      <c r="G5343" s="1">
        <v>13</v>
      </c>
      <c r="H5343" s="1">
        <v>0</v>
      </c>
      <c r="I5343" s="1" t="s">
        <v>9144</v>
      </c>
      <c r="K5343" s="1" t="str">
        <f t="shared" si="343"/>
        <v>ㄌ</v>
      </c>
      <c r="L5343" s="1" t="str">
        <f t="shared" si="344"/>
        <v>ㄨ</v>
      </c>
      <c r="N5343" s="3" t="s">
        <v>30574</v>
      </c>
      <c r="O5343" s="3"/>
      <c r="P5343" s="1" t="s">
        <v>20</v>
      </c>
      <c r="R5343" s="1" t="s">
        <v>9145</v>
      </c>
      <c r="V5343" s="1" t="s">
        <v>9212</v>
      </c>
      <c r="AR5343" s="1" t="str">
        <f t="shared" si="345"/>
        <v>| [ㄌㄨˋ](ㄌㄨˋ.md) | [璐](璐.md) |  | lù | [名]
美玉。《玉篇．玉部》：「璐，美玉也。」《楚辭．屈原．九章．涉江》：「冠切雲之崔嵬，被明月兮珮寶璐。」 |</v>
      </c>
    </row>
    <row r="5344" spans="1:44" hidden="1">
      <c r="A5344" s="1" t="s">
        <v>8138</v>
      </c>
      <c r="C5344" s="1">
        <v>1</v>
      </c>
      <c r="D5344" s="1" t="str">
        <f>"03780"</f>
        <v>03780</v>
      </c>
      <c r="E5344" s="1" t="s">
        <v>125</v>
      </c>
      <c r="F5344" s="1">
        <v>21</v>
      </c>
      <c r="G5344" s="1">
        <v>13</v>
      </c>
      <c r="H5344" s="1">
        <v>1</v>
      </c>
      <c r="I5344" s="1" t="s">
        <v>9144</v>
      </c>
      <c r="K5344" s="1" t="str">
        <f t="shared" si="343"/>
        <v>ㄌ</v>
      </c>
      <c r="L5344" s="1" t="str">
        <f t="shared" si="344"/>
        <v>ㄨ</v>
      </c>
      <c r="N5344" s="3" t="s">
        <v>30574</v>
      </c>
      <c r="O5344" s="3"/>
      <c r="P5344" s="1" t="s">
        <v>20</v>
      </c>
      <c r="R5344" s="1" t="s">
        <v>9145</v>
      </c>
      <c r="V5344" s="1" t="s">
        <v>9213</v>
      </c>
      <c r="W5344" s="1" t="s">
        <v>9214</v>
      </c>
      <c r="AR5344" s="1" t="str">
        <f t="shared" si="345"/>
        <v>| [ㄌㄨˋ](ㄌㄨˋ.md) | [露](露.md) |  | lù | [名]
1.靠近地面的水蒸氣，夜間遇冷而凝結成的小水珠。《楚辭．屈原．離騷》：「朝飲木蘭之墜露兮，夕餐秋菊之落英。」唐．杜甫〈月夜憶舍弟〉詩：「露從今夜白，月是故鄉明。」
2.芳香可飲的酒或液體。如：「玫瑰露」、「果子露」。
3.姓。如漢代有露平。
[動]
表現、顯現。如：「顯露」、「表露」、「暴露」、「原形畢露」。 |</v>
      </c>
    </row>
    <row r="5345" spans="1:44" hidden="1">
      <c r="A5345" s="1" t="s">
        <v>9215</v>
      </c>
      <c r="C5345" s="1">
        <v>1</v>
      </c>
      <c r="D5345" s="1" t="str">
        <f>"03781"</f>
        <v>03781</v>
      </c>
      <c r="E5345" s="1" t="s">
        <v>272</v>
      </c>
      <c r="F5345" s="1">
        <v>24</v>
      </c>
      <c r="G5345" s="1">
        <v>13</v>
      </c>
      <c r="H5345" s="1">
        <v>0</v>
      </c>
      <c r="I5345" s="1" t="s">
        <v>9144</v>
      </c>
      <c r="K5345" s="1" t="str">
        <f t="shared" si="343"/>
        <v>ㄌ</v>
      </c>
      <c r="L5345" s="1" t="str">
        <f t="shared" si="344"/>
        <v>ㄨ</v>
      </c>
      <c r="N5345" s="3" t="s">
        <v>30574</v>
      </c>
      <c r="O5345" s="3"/>
      <c r="P5345" s="1" t="s">
        <v>20</v>
      </c>
      <c r="R5345" s="1" t="s">
        <v>9145</v>
      </c>
      <c r="V5345" s="1" t="s">
        <v>9216</v>
      </c>
      <c r="AR5345" s="1" t="str">
        <f t="shared" si="345"/>
        <v>| [ㄌㄨˋ](ㄌㄨˋ.md) | [鷺](鷺.md) |  | lù | [名]
動物名。鸛形目鷺科。似鶴略小，羽白，翅寬，頸腳皆長，嘴長而直，頭頂有細長白毛。棲息於水邊，捕魚為食。 |</v>
      </c>
    </row>
    <row r="5346" spans="1:44" hidden="1">
      <c r="A5346" s="1" t="s">
        <v>9217</v>
      </c>
      <c r="C5346" s="1">
        <v>1</v>
      </c>
      <c r="D5346" s="1" t="str">
        <f>"03782"</f>
        <v>03782</v>
      </c>
      <c r="E5346" s="1" t="s">
        <v>114</v>
      </c>
      <c r="F5346" s="1">
        <v>13</v>
      </c>
      <c r="G5346" s="1">
        <v>11</v>
      </c>
      <c r="H5346" s="1">
        <v>0</v>
      </c>
      <c r="I5346" s="1" t="s">
        <v>9144</v>
      </c>
      <c r="K5346" s="1" t="str">
        <f t="shared" si="343"/>
        <v>ㄌ</v>
      </c>
      <c r="L5346" s="1" t="str">
        <f t="shared" si="344"/>
        <v>ㄨ</v>
      </c>
      <c r="N5346" s="3" t="s">
        <v>30574</v>
      </c>
      <c r="O5346" s="3"/>
      <c r="P5346" s="1" t="s">
        <v>20</v>
      </c>
      <c r="R5346" s="1" t="s">
        <v>9145</v>
      </c>
      <c r="V5346" s="1" t="s">
        <v>9218</v>
      </c>
      <c r="AR5346" s="1" t="str">
        <f t="shared" si="345"/>
        <v>| [ㄌㄨˋ](ㄌㄨˋ.md) | [僇](僇.md) |  | lù | [動]
侮辱。如：「僇辱」。《史記．卷八二．田單傳》：「吾懼燕人掘吾城外冢墓，僇先人，可為寒心。」 |</v>
      </c>
    </row>
    <row r="5347" spans="1:44" hidden="1">
      <c r="A5347" s="1" t="s">
        <v>8673</v>
      </c>
      <c r="C5347" s="1">
        <v>1</v>
      </c>
      <c r="D5347" s="1" t="str">
        <f>"03783"</f>
        <v>03783</v>
      </c>
      <c r="E5347" s="1" t="s">
        <v>37</v>
      </c>
      <c r="F5347" s="1">
        <v>15</v>
      </c>
      <c r="G5347" s="1">
        <v>11</v>
      </c>
      <c r="H5347" s="1">
        <v>1</v>
      </c>
      <c r="I5347" s="1" t="s">
        <v>9144</v>
      </c>
      <c r="K5347" s="1" t="str">
        <f t="shared" si="343"/>
        <v>ㄌ</v>
      </c>
      <c r="L5347" s="1" t="str">
        <f t="shared" si="344"/>
        <v>ㄨ</v>
      </c>
      <c r="N5347" s="3" t="s">
        <v>30574</v>
      </c>
      <c r="O5347" s="3"/>
      <c r="P5347" s="1" t="s">
        <v>20</v>
      </c>
      <c r="R5347" s="1" t="s">
        <v>9145</v>
      </c>
      <c r="V5347" s="1" t="s">
        <v>9219</v>
      </c>
      <c r="W5347" s="1" t="s">
        <v>9220</v>
      </c>
      <c r="AR5347" s="1" t="str">
        <f t="shared" si="345"/>
        <v>| [ㄌㄨˋ](ㄌㄨˋ.md) | [蓼](蓼.md) |  | lù | [形]
長大的樣子。《詩經．小雅．蓼莪》：「蓼蓼者莪，匪莪伊蒿。」漢．鄭玄．箋：「蓼蓼，長大貌。」 |</v>
      </c>
    </row>
    <row r="5348" spans="1:44" hidden="1">
      <c r="A5348" s="1" t="s">
        <v>9221</v>
      </c>
      <c r="C5348" s="1">
        <v>1</v>
      </c>
      <c r="D5348" s="1" t="str">
        <f>"03784"</f>
        <v>03784</v>
      </c>
      <c r="E5348" s="1" t="s">
        <v>4785</v>
      </c>
      <c r="F5348" s="1">
        <v>15</v>
      </c>
      <c r="G5348" s="1">
        <v>11</v>
      </c>
      <c r="H5348" s="1">
        <v>0</v>
      </c>
      <c r="I5348" s="1" t="s">
        <v>9144</v>
      </c>
      <c r="K5348" s="1" t="str">
        <f t="shared" si="343"/>
        <v>ㄌ</v>
      </c>
      <c r="L5348" s="1" t="str">
        <f t="shared" si="344"/>
        <v>ㄨ</v>
      </c>
      <c r="N5348" s="3" t="s">
        <v>30574</v>
      </c>
      <c r="O5348" s="3"/>
      <c r="P5348" s="1" t="s">
        <v>20</v>
      </c>
      <c r="R5348" s="1" t="s">
        <v>9145</v>
      </c>
      <c r="V5348" s="1" t="s">
        <v>9222</v>
      </c>
      <c r="AR5348" s="1" t="str">
        <f t="shared" si="345"/>
        <v>| [ㄌㄨˋ](ㄌㄨˋ.md) | [戮](戮.md) |  | lù | [動]
1.刑殺。如：「殺戮」。唐．李白〈擬恨賦〉：「及夫李斯受戮，神氣黯然。」
2.侮辱、羞辱。唐．杜甫〈行次昭陵〉詩：「直詞寧戮辱，賢路不崎嶇。」
3.合、併。《墨子．尚賢中》：「聿求元聖，與之戮力同心。」南朝梁．劉勰《文心雕龍．祝盟》：「共存亡，戮心力。」 |</v>
      </c>
    </row>
    <row r="5349" spans="1:44" hidden="1">
      <c r="A5349" s="1" t="s">
        <v>9223</v>
      </c>
      <c r="C5349" s="1">
        <v>1</v>
      </c>
      <c r="D5349" s="1" t="str">
        <f>"03785"</f>
        <v>03785</v>
      </c>
      <c r="E5349" s="1" t="s">
        <v>429</v>
      </c>
      <c r="F5349" s="1">
        <v>16</v>
      </c>
      <c r="G5349" s="1">
        <v>11</v>
      </c>
      <c r="H5349" s="1">
        <v>0</v>
      </c>
      <c r="I5349" s="1" t="s">
        <v>9144</v>
      </c>
      <c r="K5349" s="1" t="str">
        <f t="shared" si="343"/>
        <v>ㄌ</v>
      </c>
      <c r="L5349" s="1" t="str">
        <f t="shared" si="344"/>
        <v>ㄨ</v>
      </c>
      <c r="N5349" s="3" t="s">
        <v>30574</v>
      </c>
      <c r="O5349" s="3"/>
      <c r="P5349" s="1" t="s">
        <v>20</v>
      </c>
      <c r="R5349" s="1" t="s">
        <v>9145</v>
      </c>
      <c r="V5349" s="1" t="s">
        <v>9224</v>
      </c>
      <c r="AR5349" s="1" t="str">
        <f t="shared" si="345"/>
        <v>| [ㄌㄨˋ](ㄌㄨˋ.md) | [穋](穋.md) |  | lù | [名]
後種先熟的稻穀。《詩經．豳風．七月》：「黍稷重穋，禾麻菽麥。」漢．毛亨．傳：「後熟曰重，先熟曰穋。」 |</v>
      </c>
    </row>
    <row r="5350" spans="1:44" hidden="1">
      <c r="A5350" s="1" t="s">
        <v>9084</v>
      </c>
      <c r="C5350" s="1">
        <v>1</v>
      </c>
      <c r="D5350" s="1" t="str">
        <f>"03721"</f>
        <v>03721</v>
      </c>
      <c r="E5350" s="1" t="s">
        <v>9085</v>
      </c>
      <c r="F5350" s="1">
        <v>11</v>
      </c>
      <c r="G5350" s="1">
        <v>6</v>
      </c>
      <c r="H5350" s="1">
        <v>0</v>
      </c>
      <c r="I5350" s="1" t="s">
        <v>9086</v>
      </c>
      <c r="K5350" s="1" t="str">
        <f t="shared" si="343"/>
        <v>ㄌ</v>
      </c>
      <c r="L5350" s="1" t="str">
        <f t="shared" si="344"/>
        <v>ㄨ</v>
      </c>
      <c r="N5350" s="3" t="s">
        <v>30575</v>
      </c>
      <c r="O5350" s="3"/>
      <c r="P5350" s="1" t="s">
        <v>20</v>
      </c>
      <c r="R5350" s="1" t="s">
        <v>9087</v>
      </c>
      <c r="V5350" s="1" t="s">
        <v>9088</v>
      </c>
      <c r="AR5350" s="1" t="str">
        <f t="shared" si="345"/>
        <v>| [ㄌㄨˊ](ㄌㄨˊ.md) | [玈](玈.md) |  | lú | [形]
黑色的。《左傳．僖公二十八年》：「彤弓一，彤矢百，玈弓矢千。」 |</v>
      </c>
    </row>
    <row r="5351" spans="1:44" hidden="1">
      <c r="A5351" s="1" t="s">
        <v>9089</v>
      </c>
      <c r="C5351" s="1">
        <v>1</v>
      </c>
      <c r="D5351" s="1" t="str">
        <f>"03722"</f>
        <v>03722</v>
      </c>
      <c r="E5351" s="1" t="s">
        <v>438</v>
      </c>
      <c r="F5351" s="1">
        <v>16</v>
      </c>
      <c r="G5351" s="1">
        <v>11</v>
      </c>
      <c r="H5351" s="1">
        <v>0</v>
      </c>
      <c r="I5351" s="1" t="s">
        <v>9086</v>
      </c>
      <c r="K5351" s="1" t="str">
        <f t="shared" si="343"/>
        <v>ㄌ</v>
      </c>
      <c r="L5351" s="1" t="str">
        <f t="shared" si="344"/>
        <v>ㄨ</v>
      </c>
      <c r="N5351" s="3" t="s">
        <v>30575</v>
      </c>
      <c r="O5351" s="3"/>
      <c r="P5351" s="1" t="s">
        <v>20</v>
      </c>
      <c r="R5351" s="1" t="s">
        <v>9087</v>
      </c>
      <c r="V5351" s="1" t="s">
        <v>9090</v>
      </c>
      <c r="AR5351" s="1" t="str">
        <f t="shared" si="345"/>
        <v>| [ㄌㄨˊ](ㄌㄨˊ.md) | [盧](盧.md) |  | lú | [名]
1.盛飯的器具。《說文解字．皿部》：「盧，盧飯器也。」
2.古代摴蒲賭戲中，五子俱黑為盧，為最勝之采。《晉書．卷八五．劉毅傳》：「既而四子俱黑，其一子轉躍未定，裕厲聲喝之，即成盧焉。」
3.姓。如唐代有盧照鄰。
[形]
黑色的。《書經．文侯之命》：「盧弓一，盧矢百。」漢．孔安國．傳：「盧，黑也。」 |</v>
      </c>
    </row>
    <row r="5352" spans="1:44" hidden="1">
      <c r="A5352" s="1" t="s">
        <v>9091</v>
      </c>
      <c r="C5352" s="1">
        <v>1</v>
      </c>
      <c r="D5352" s="1" t="str">
        <f>"03723"</f>
        <v>03723</v>
      </c>
      <c r="E5352" s="1" t="s">
        <v>129</v>
      </c>
      <c r="F5352" s="1">
        <v>19</v>
      </c>
      <c r="G5352" s="1">
        <v>16</v>
      </c>
      <c r="H5352" s="1">
        <v>0</v>
      </c>
      <c r="I5352" s="1" t="s">
        <v>9086</v>
      </c>
      <c r="K5352" s="1" t="str">
        <f t="shared" si="343"/>
        <v>ㄌ</v>
      </c>
      <c r="L5352" s="1" t="str">
        <f t="shared" si="344"/>
        <v>ㄨ</v>
      </c>
      <c r="N5352" s="3" t="s">
        <v>30575</v>
      </c>
      <c r="O5352" s="3"/>
      <c r="P5352" s="1" t="s">
        <v>20</v>
      </c>
      <c r="R5352" s="1" t="s">
        <v>9087</v>
      </c>
      <c r="V5352" s="1" t="s">
        <v>9092</v>
      </c>
      <c r="AR5352" s="1" t="str">
        <f t="shared" si="345"/>
        <v>| [ㄌㄨˊ](ㄌㄨˊ.md) | [瀘](瀘.md) |  | lú | 參見「瀘水」條。 |</v>
      </c>
    </row>
    <row r="5353" spans="1:44" hidden="1">
      <c r="A5353" s="1" t="s">
        <v>9093</v>
      </c>
      <c r="C5353" s="1">
        <v>1</v>
      </c>
      <c r="D5353" s="1" t="str">
        <f>"03724"</f>
        <v>03724</v>
      </c>
      <c r="E5353" s="1" t="s">
        <v>447</v>
      </c>
      <c r="F5353" s="1">
        <v>19</v>
      </c>
      <c r="G5353" s="1">
        <v>16</v>
      </c>
      <c r="H5353" s="1">
        <v>0</v>
      </c>
      <c r="I5353" s="1" t="s">
        <v>9086</v>
      </c>
      <c r="K5353" s="1" t="str">
        <f t="shared" si="343"/>
        <v>ㄌ</v>
      </c>
      <c r="L5353" s="1" t="str">
        <f t="shared" si="344"/>
        <v>ㄨ</v>
      </c>
      <c r="N5353" s="3" t="s">
        <v>30575</v>
      </c>
      <c r="O5353" s="3"/>
      <c r="P5353" s="1" t="s">
        <v>20</v>
      </c>
      <c r="R5353" s="1" t="s">
        <v>9087</v>
      </c>
      <c r="V5353" s="1" t="s">
        <v>9094</v>
      </c>
      <c r="AR5353" s="1" t="str">
        <f t="shared" si="345"/>
        <v>| [ㄌㄨˊ](ㄌㄨˊ.md) | [廬](廬.md) |  | lú | [名]
1.簡陋的房舍。如：「茅廬」。《漢書．卷二四．食貨志上》：「餘二十畮以為廬舍。」《文選．諸葛亮．出師表》：「先帝不以臣卑鄙，猥自枉屈，三顧臣於草廬之中。」
2.姓。如明代有廬坦。 |</v>
      </c>
    </row>
    <row r="5354" spans="1:44" hidden="1">
      <c r="A5354" s="1" t="s">
        <v>9095</v>
      </c>
      <c r="C5354" s="1">
        <v>1</v>
      </c>
      <c r="D5354" s="1" t="str">
        <f>"03725"</f>
        <v>03725</v>
      </c>
      <c r="E5354" s="1" t="s">
        <v>132</v>
      </c>
      <c r="F5354" s="1">
        <v>19</v>
      </c>
      <c r="G5354" s="1">
        <v>16</v>
      </c>
      <c r="H5354" s="1">
        <v>0</v>
      </c>
      <c r="I5354" s="1" t="s">
        <v>9086</v>
      </c>
      <c r="K5354" s="1" t="str">
        <f t="shared" si="343"/>
        <v>ㄌ</v>
      </c>
      <c r="L5354" s="1" t="str">
        <f t="shared" si="344"/>
        <v>ㄨ</v>
      </c>
      <c r="N5354" s="3" t="s">
        <v>30575</v>
      </c>
      <c r="O5354" s="3"/>
      <c r="P5354" s="1" t="s">
        <v>20</v>
      </c>
      <c r="R5354" s="1" t="s">
        <v>9087</v>
      </c>
      <c r="V5354" s="1" t="s">
        <v>9096</v>
      </c>
      <c r="AR5354" s="1" t="str">
        <f t="shared" si="345"/>
        <v>| [ㄌㄨˊ](ㄌㄨˊ.md) | [壚](壚.md) |  | lú | [名]
1.黑色而質地堅實的土壤。《說文解字．土部》：「壚，黑剛土也。」《呂氏春秋．士容論．辨士》：「凡耕之道，必始於壚。」
2.酒店中置放酒罈的土臺子。如：「當壚賣酒」。南朝宋．劉義慶《世說新語．傷逝》：「乘軺車，經黃公酒壚下過。」唐．韋應物〈酒肆行〉：「繁絲急管一時合，他壚鄰肆何寂然。」
3.燃火用的器具。宋．陸游〈山行過僧菴不入〉詩：「茶壚煙起知高興，棋子聲疏識苦心。」 |</v>
      </c>
    </row>
    <row r="5355" spans="1:44" hidden="1">
      <c r="A5355" s="1" t="s">
        <v>9097</v>
      </c>
      <c r="C5355" s="1">
        <v>1</v>
      </c>
      <c r="D5355" s="1" t="str">
        <f>"03726"</f>
        <v>03726</v>
      </c>
      <c r="E5355" s="1" t="s">
        <v>28</v>
      </c>
      <c r="F5355" s="1">
        <v>19</v>
      </c>
      <c r="G5355" s="1">
        <v>16</v>
      </c>
      <c r="H5355" s="1">
        <v>0</v>
      </c>
      <c r="I5355" s="1" t="s">
        <v>9086</v>
      </c>
      <c r="K5355" s="1" t="str">
        <f t="shared" si="343"/>
        <v>ㄌ</v>
      </c>
      <c r="L5355" s="1" t="str">
        <f t="shared" si="344"/>
        <v>ㄨ</v>
      </c>
      <c r="N5355" s="3" t="s">
        <v>30575</v>
      </c>
      <c r="O5355" s="3"/>
      <c r="P5355" s="1" t="s">
        <v>20</v>
      </c>
      <c r="R5355" s="1" t="s">
        <v>9087</v>
      </c>
      <c r="V5355" s="1" t="s">
        <v>9098</v>
      </c>
      <c r="AR5355" s="1" t="str">
        <f t="shared" si="345"/>
        <v>| [ㄌㄨˊ](ㄌㄨˊ.md) | [嚧](嚧.md) |  | lú | [擬]
形容喚豬的聲音。《廣韻．平聲．模韻》：「嚧，呼豬聲也。」 |</v>
      </c>
    </row>
    <row r="5356" spans="1:44" hidden="1">
      <c r="A5356" s="1" t="s">
        <v>9099</v>
      </c>
      <c r="C5356" s="1">
        <v>1</v>
      </c>
      <c r="D5356" s="1" t="str">
        <f>"03727"</f>
        <v>03727</v>
      </c>
      <c r="E5356" s="1" t="s">
        <v>336</v>
      </c>
      <c r="F5356" s="1">
        <v>20</v>
      </c>
      <c r="G5356" s="1">
        <v>16</v>
      </c>
      <c r="H5356" s="1">
        <v>0</v>
      </c>
      <c r="I5356" s="1" t="s">
        <v>9086</v>
      </c>
      <c r="K5356" s="1" t="str">
        <f t="shared" si="343"/>
        <v>ㄌ</v>
      </c>
      <c r="L5356" s="1" t="str">
        <f t="shared" si="344"/>
        <v>ㄨ</v>
      </c>
      <c r="N5356" s="3" t="s">
        <v>30575</v>
      </c>
      <c r="O5356" s="3"/>
      <c r="P5356" s="1" t="s">
        <v>20</v>
      </c>
      <c r="R5356" s="1" t="s">
        <v>9087</v>
      </c>
      <c r="V5356" s="1" t="s">
        <v>9100</v>
      </c>
      <c r="AR5356" s="1" t="str">
        <f t="shared" si="345"/>
        <v>| [ㄌㄨˊ](ㄌㄨˊ.md) | [爐](爐.md) |  | lú | [名]
供燃燒用的設備、器具。如：「電爐」、「圍爐」、「瓦斯爐」。宋．王安石〈夜直〉詩：「金爐香燼漏聲殘，翦翦輕風陣陣寒。」也稱為「爐子」。 |</v>
      </c>
    </row>
    <row r="5357" spans="1:44" hidden="1">
      <c r="A5357" s="1" t="s">
        <v>9101</v>
      </c>
      <c r="C5357" s="1">
        <v>1</v>
      </c>
      <c r="D5357" s="1" t="str">
        <f>"03728"</f>
        <v>03728</v>
      </c>
      <c r="E5357" s="1" t="s">
        <v>139</v>
      </c>
      <c r="F5357" s="1">
        <v>20</v>
      </c>
      <c r="G5357" s="1">
        <v>16</v>
      </c>
      <c r="H5357" s="1">
        <v>0</v>
      </c>
      <c r="I5357" s="1" t="s">
        <v>9086</v>
      </c>
      <c r="K5357" s="1" t="str">
        <f t="shared" si="343"/>
        <v>ㄌ</v>
      </c>
      <c r="L5357" s="1" t="str">
        <f t="shared" si="344"/>
        <v>ㄨ</v>
      </c>
      <c r="N5357" s="3" t="s">
        <v>30575</v>
      </c>
      <c r="O5357" s="3"/>
      <c r="P5357" s="1" t="s">
        <v>20</v>
      </c>
      <c r="R5357" s="1" t="s">
        <v>9087</v>
      </c>
      <c r="V5357" s="1" t="s">
        <v>9102</v>
      </c>
      <c r="AR5357" s="1" t="str">
        <f t="shared" si="345"/>
        <v>| [ㄌㄨˊ](ㄌㄨˊ.md) | [櫨](櫨.md) |  | lú | [名]
1.斗拱，架在柱上以支撐屋梁的方木。《淮南子．本經》：「標枺欂櫨，以相支持。」漢．高誘．注：「櫨，柱上柎，即梁上短柱也。」
2.植物名。漆樹科黃櫨屬，落葉喬木。高三至七公尺。單葉互生，卵形或倒卵形，先端圓鈍，全緣，兩面被灰色柔毛。圓錐花序頂生，花雜性，花梗纖細，多數不孕花於開花後其花梗更加伸長，花瓣長二至三公厘。核果扁腎形，紅熟。木材提供黃色染料，亦入藥，味苦性寒。也稱為「黃櫨」。 |</v>
      </c>
    </row>
    <row r="5358" spans="1:44" hidden="1">
      <c r="A5358" s="1" t="s">
        <v>9103</v>
      </c>
      <c r="C5358" s="1">
        <v>1</v>
      </c>
      <c r="D5358" s="1" t="str">
        <f>"03729"</f>
        <v>03729</v>
      </c>
      <c r="E5358" s="1" t="s">
        <v>37</v>
      </c>
      <c r="F5358" s="1">
        <v>20</v>
      </c>
      <c r="G5358" s="1">
        <v>16</v>
      </c>
      <c r="H5358" s="1">
        <v>0</v>
      </c>
      <c r="I5358" s="1" t="s">
        <v>9086</v>
      </c>
      <c r="K5358" s="1" t="str">
        <f t="shared" si="343"/>
        <v>ㄌ</v>
      </c>
      <c r="L5358" s="1" t="str">
        <f t="shared" si="344"/>
        <v>ㄨ</v>
      </c>
      <c r="N5358" s="3" t="s">
        <v>30575</v>
      </c>
      <c r="O5358" s="3"/>
      <c r="P5358" s="1" t="s">
        <v>20</v>
      </c>
      <c r="R5358" s="1" t="s">
        <v>9087</v>
      </c>
      <c r="V5358" s="1" t="s">
        <v>9104</v>
      </c>
      <c r="AR5358" s="1" t="str">
        <f t="shared" si="345"/>
        <v>| [ㄌㄨˊ](ㄌㄨˊ.md) | [蘆](蘆.md) |  | lú | 參見「蘆葦」條。 |</v>
      </c>
    </row>
    <row r="5359" spans="1:44" hidden="1">
      <c r="A5359" s="1" t="s">
        <v>9105</v>
      </c>
      <c r="C5359" s="1">
        <v>1</v>
      </c>
      <c r="D5359" s="1" t="str">
        <f>"03730"</f>
        <v>03730</v>
      </c>
      <c r="E5359" s="1" t="s">
        <v>68</v>
      </c>
      <c r="F5359" s="1">
        <v>20</v>
      </c>
      <c r="G5359" s="1">
        <v>16</v>
      </c>
      <c r="H5359" s="1">
        <v>0</v>
      </c>
      <c r="I5359" s="1" t="s">
        <v>9086</v>
      </c>
      <c r="K5359" s="1" t="str">
        <f t="shared" si="343"/>
        <v>ㄌ</v>
      </c>
      <c r="L5359" s="1" t="str">
        <f t="shared" si="344"/>
        <v>ㄨ</v>
      </c>
      <c r="N5359" s="3" t="s">
        <v>30575</v>
      </c>
      <c r="O5359" s="3"/>
      <c r="P5359" s="1" t="s">
        <v>20</v>
      </c>
      <c r="R5359" s="1" t="s">
        <v>9087</v>
      </c>
      <c r="V5359" s="1" t="s">
        <v>9106</v>
      </c>
      <c r="AR5359" s="1" t="str">
        <f t="shared" si="345"/>
        <v>| [ㄌㄨˊ](ㄌㄨˊ.md) | [臚](臚.md) |  | lú | [名]
1.皮膚。《說文解字．肉部》：「臚，皮也。」
2.上腹部。《廣韻．平聲．魚韻》：「臚，腹前曰臚。」漢．史游《急就篇》卷四：「寒氣泄注腹臚脹。」唐．柳宗元〈志從父弟宗直殯〉：「得上氣病，臚脹奔逆。」
[動]
陳列。《廣韻．平聲．魚韻》：「臚，陳序也。」《史記．卷一五．六國年表》：「臚於郊祀。」
[形]
流傳的、傳述的。《國語．晉語六》：「風聽臚言於市。」 |</v>
      </c>
    </row>
    <row r="5360" spans="1:44" hidden="1">
      <c r="A5360" s="1" t="s">
        <v>9107</v>
      </c>
      <c r="C5360" s="1">
        <v>1</v>
      </c>
      <c r="D5360" s="1" t="str">
        <f>"03731"</f>
        <v>03731</v>
      </c>
      <c r="E5360" s="1" t="s">
        <v>175</v>
      </c>
      <c r="F5360" s="1">
        <v>22</v>
      </c>
      <c r="G5360" s="1">
        <v>16</v>
      </c>
      <c r="H5360" s="1">
        <v>0</v>
      </c>
      <c r="I5360" s="1" t="s">
        <v>9086</v>
      </c>
      <c r="K5360" s="1" t="str">
        <f t="shared" si="343"/>
        <v>ㄌ</v>
      </c>
      <c r="L5360" s="1" t="str">
        <f t="shared" si="344"/>
        <v>ㄨ</v>
      </c>
      <c r="N5360" s="3" t="s">
        <v>30575</v>
      </c>
      <c r="O5360" s="3"/>
      <c r="P5360" s="1" t="s">
        <v>20</v>
      </c>
      <c r="R5360" s="1" t="s">
        <v>9087</v>
      </c>
      <c r="V5360" s="1" t="s">
        <v>9108</v>
      </c>
      <c r="AR5360" s="1" t="str">
        <f t="shared" si="345"/>
        <v>| [ㄌㄨˊ](ㄌㄨˊ.md) | [罏](罏.md) |  | lú | [名]
1.一種形似瓶子的盛酒器具。《玉篇．缶部》：「罏，罍也。」明．袁宏道〈戊戌除夕〉詩：「石小聚香多，罏焦聽酒沸。」
2.爐子。通「爐」。唐．鄭谷〈題興善寺寂上人院〉詩：「臘高興故疾，罏暖發餘香。」宋．陸游〈共語〉詩：「黃金已作飛煙去，痴漢終身守藥罏。」 |</v>
      </c>
    </row>
    <row r="5361" spans="1:44" hidden="1">
      <c r="A5361" s="1" t="s">
        <v>9109</v>
      </c>
      <c r="C5361" s="1">
        <v>1</v>
      </c>
      <c r="D5361" s="1" t="str">
        <f>"03732"</f>
        <v>03732</v>
      </c>
      <c r="E5361" s="1" t="s">
        <v>181</v>
      </c>
      <c r="F5361" s="1">
        <v>22</v>
      </c>
      <c r="G5361" s="1">
        <v>16</v>
      </c>
      <c r="H5361" s="1">
        <v>0</v>
      </c>
      <c r="I5361" s="1" t="s">
        <v>9086</v>
      </c>
      <c r="K5361" s="1" t="str">
        <f t="shared" si="343"/>
        <v>ㄌ</v>
      </c>
      <c r="L5361" s="1" t="str">
        <f t="shared" si="344"/>
        <v>ㄨ</v>
      </c>
      <c r="N5361" s="3" t="s">
        <v>30575</v>
      </c>
      <c r="O5361" s="3"/>
      <c r="P5361" s="1" t="s">
        <v>20</v>
      </c>
      <c r="R5361" s="1" t="s">
        <v>9087</v>
      </c>
      <c r="V5361" s="1" t="s">
        <v>9110</v>
      </c>
      <c r="AR5361" s="1" t="str">
        <f t="shared" si="345"/>
        <v>| [ㄌㄨˊ](ㄌㄨˊ.md) | [艫](艫.md) |  | lú | [名]
船頭。《漢書．卷六．武帝紀》：「舳艫千里，薄樅陽而出。」顏師古注引李斐曰：「艫，船前頭刺櫂處也。」《文選．謝惠連．西陵遇風獻康樂詩》：「迴塘隱艫枻，遠望絕形音。」 |</v>
      </c>
    </row>
    <row r="5362" spans="1:44" hidden="1">
      <c r="A5362" s="1" t="s">
        <v>9111</v>
      </c>
      <c r="C5362" s="1">
        <v>1</v>
      </c>
      <c r="D5362" s="1" t="str">
        <f>"03733"</f>
        <v>03733</v>
      </c>
      <c r="E5362" s="1" t="s">
        <v>725</v>
      </c>
      <c r="F5362" s="1">
        <v>22</v>
      </c>
      <c r="G5362" s="1">
        <v>16</v>
      </c>
      <c r="H5362" s="1">
        <v>0</v>
      </c>
      <c r="I5362" s="1" t="s">
        <v>9086</v>
      </c>
      <c r="K5362" s="1" t="str">
        <f t="shared" si="343"/>
        <v>ㄌ</v>
      </c>
      <c r="L5362" s="1" t="str">
        <f t="shared" si="344"/>
        <v>ㄨ</v>
      </c>
      <c r="N5362" s="3" t="s">
        <v>30575</v>
      </c>
      <c r="O5362" s="3"/>
      <c r="P5362" s="1" t="s">
        <v>20</v>
      </c>
      <c r="R5362" s="1" t="s">
        <v>9087</v>
      </c>
      <c r="V5362" s="1" t="s">
        <v>9112</v>
      </c>
      <c r="AR5362" s="1" t="str">
        <f t="shared" si="345"/>
        <v>| [ㄌㄨˊ](ㄌㄨˊ.md) | [纑](纑.md) |  | lú | [名]
1.用來織布的麻線。《說文解字．糸部》：「纑，布縷也。」清．段玉裁．注：「言布縷者以別乎絲縷也。績之而成縷，可以為布，是曰纑。」元．趙孟頫《題耕織圖．織．九月》：「教女學紡纑，舉足疾且輕。」
2.紵麻類的植物，可以織成布匹。《史記．卷一二九．貨殖傳》：「夫山西饒材、竹、穀、纑、旄、玉石。」裴駰集解引徐廣曰：「纑，紵屬，可以為布。」
[動]
練麻。《孟子．滕文公下》：「彼身織屨，妻辟纑以易之也。」漢．趙岐．注：「緝績其麻曰辟，練其麻曰纑。」 |</v>
      </c>
    </row>
    <row r="5363" spans="1:44" hidden="1">
      <c r="A5363" s="1" t="s">
        <v>9113</v>
      </c>
      <c r="C5363" s="1">
        <v>1</v>
      </c>
      <c r="D5363" s="1" t="str">
        <f>"03734"</f>
        <v>03734</v>
      </c>
      <c r="E5363" s="1" t="s">
        <v>71</v>
      </c>
      <c r="F5363" s="1">
        <v>23</v>
      </c>
      <c r="G5363" s="1">
        <v>16</v>
      </c>
      <c r="H5363" s="1">
        <v>0</v>
      </c>
      <c r="I5363" s="1" t="s">
        <v>9086</v>
      </c>
      <c r="K5363" s="1" t="str">
        <f t="shared" si="343"/>
        <v>ㄌ</v>
      </c>
      <c r="L5363" s="1" t="str">
        <f t="shared" si="344"/>
        <v>ㄨ</v>
      </c>
      <c r="N5363" s="3" t="s">
        <v>30575</v>
      </c>
      <c r="O5363" s="3"/>
      <c r="P5363" s="1" t="s">
        <v>20</v>
      </c>
      <c r="R5363" s="1" t="s">
        <v>9087</v>
      </c>
      <c r="V5363" s="1" t="s">
        <v>9114</v>
      </c>
      <c r="AR5363" s="1" t="str">
        <f t="shared" si="345"/>
        <v>| [ㄌㄨˊ](ㄌㄨˊ.md) | [轤](轤.md) |  | lú | 參見「轆轤」條。 |</v>
      </c>
    </row>
    <row r="5364" spans="1:44" hidden="1">
      <c r="A5364" s="1" t="s">
        <v>9115</v>
      </c>
      <c r="C5364" s="1">
        <v>1</v>
      </c>
      <c r="D5364" s="1" t="str">
        <f>"03735"</f>
        <v>03735</v>
      </c>
      <c r="E5364" s="1" t="s">
        <v>55</v>
      </c>
      <c r="F5364" s="1">
        <v>24</v>
      </c>
      <c r="G5364" s="1">
        <v>16</v>
      </c>
      <c r="H5364" s="1">
        <v>0</v>
      </c>
      <c r="I5364" s="1" t="s">
        <v>9086</v>
      </c>
      <c r="K5364" s="1" t="str">
        <f t="shared" si="343"/>
        <v>ㄌ</v>
      </c>
      <c r="L5364" s="1" t="str">
        <f t="shared" si="344"/>
        <v>ㄨ</v>
      </c>
      <c r="N5364" s="3" t="s">
        <v>30575</v>
      </c>
      <c r="O5364" s="3"/>
      <c r="P5364" s="1" t="s">
        <v>20</v>
      </c>
      <c r="R5364" s="1" t="s">
        <v>9087</v>
      </c>
      <c r="V5364" s="1" t="s">
        <v>9116</v>
      </c>
      <c r="AR5364" s="1" t="str">
        <f t="shared" si="345"/>
        <v>| [ㄌㄨˊ](ㄌㄨˊ.md) | [鑪](鑪.md) |  | lú | [名]
1.火爐，可供燃燒以盛火的器具。通「爐」。《說文解字．金部》：「鑪，方鑪也。」清．段玉裁．注：「凡燃炭之器曰鑪。」如：「香鑪」。《漢書．卷四八．賈誼傳》：「且夫天地為鑪，造化為工，陰陽為炭，萬物為銅。」
2.酒店前，四邊隆起以放置酒罈的臺子。《史記．卷一一七．司馬相如傳》：「買一酒舍酤酒，而令文君當鑪。」裴駰集解引韋昭曰：「鑪，酒肆也。以土為墮，邊高似鑪。」 |</v>
      </c>
    </row>
    <row r="5365" spans="1:44" hidden="1">
      <c r="A5365" s="1" t="s">
        <v>9117</v>
      </c>
      <c r="C5365" s="1">
        <v>1</v>
      </c>
      <c r="D5365" s="1" t="str">
        <f>"03736"</f>
        <v>03736</v>
      </c>
      <c r="E5365" s="1" t="s">
        <v>684</v>
      </c>
      <c r="F5365" s="1">
        <v>25</v>
      </c>
      <c r="G5365" s="1">
        <v>16</v>
      </c>
      <c r="H5365" s="1">
        <v>0</v>
      </c>
      <c r="I5365" s="1" t="s">
        <v>9086</v>
      </c>
      <c r="K5365" s="1" t="str">
        <f t="shared" si="343"/>
        <v>ㄌ</v>
      </c>
      <c r="L5365" s="1" t="str">
        <f t="shared" si="344"/>
        <v>ㄨ</v>
      </c>
      <c r="N5365" s="3" t="s">
        <v>30575</v>
      </c>
      <c r="O5365" s="3"/>
      <c r="P5365" s="1" t="s">
        <v>20</v>
      </c>
      <c r="R5365" s="1" t="s">
        <v>9087</v>
      </c>
      <c r="V5365" s="1" t="s">
        <v>9118</v>
      </c>
      <c r="AR5365" s="1" t="str">
        <f t="shared" si="345"/>
        <v>| [ㄌㄨˊ](ㄌㄨˊ.md) | [顱](顱.md) |  | lú | [名]
1.頭骨。亦泛指頭部。《文選．潘岳．射雉賦》：「欣余志之精銳，擬青顱而點項。」
2.額頭。《後漢書．卷六〇上．馬融傳》：「祋殳狂擊，頭陷顱碎。」唐．章懷太子．注：「顱，額也。」 |</v>
      </c>
    </row>
    <row r="5366" spans="1:44" hidden="1">
      <c r="A5366" s="1" t="s">
        <v>9119</v>
      </c>
      <c r="C5366" s="1">
        <v>1</v>
      </c>
      <c r="D5366" s="1" t="str">
        <f>"03737"</f>
        <v>03737</v>
      </c>
      <c r="E5366" s="1" t="s">
        <v>272</v>
      </c>
      <c r="F5366" s="1">
        <v>27</v>
      </c>
      <c r="G5366" s="1">
        <v>16</v>
      </c>
      <c r="H5366" s="1">
        <v>0</v>
      </c>
      <c r="I5366" s="1" t="s">
        <v>9086</v>
      </c>
      <c r="K5366" s="1" t="str">
        <f t="shared" si="343"/>
        <v>ㄌ</v>
      </c>
      <c r="L5366" s="1" t="str">
        <f t="shared" si="344"/>
        <v>ㄨ</v>
      </c>
      <c r="N5366" s="3" t="s">
        <v>30575</v>
      </c>
      <c r="O5366" s="3"/>
      <c r="P5366" s="1" t="s">
        <v>20</v>
      </c>
      <c r="R5366" s="1" t="s">
        <v>9087</v>
      </c>
      <c r="V5366" s="1" t="s">
        <v>9120</v>
      </c>
      <c r="AR5366" s="1" t="str">
        <f t="shared" si="345"/>
        <v>| [ㄌㄨˊ](ㄌㄨˊ.md) | [鸕](鸕.md) |  | lú | 參見「鸕鶿」條。 |</v>
      </c>
    </row>
    <row r="5367" spans="1:44" hidden="1">
      <c r="A5367" s="1" t="s">
        <v>9121</v>
      </c>
      <c r="C5367" s="1">
        <v>1</v>
      </c>
      <c r="D5367" s="1" t="str">
        <f>"03738"</f>
        <v>03738</v>
      </c>
      <c r="E5367" s="1" t="s">
        <v>156</v>
      </c>
      <c r="F5367" s="1">
        <v>27</v>
      </c>
      <c r="G5367" s="1">
        <v>16</v>
      </c>
      <c r="H5367" s="1">
        <v>0</v>
      </c>
      <c r="I5367" s="1" t="s">
        <v>9086</v>
      </c>
      <c r="K5367" s="1" t="str">
        <f t="shared" si="343"/>
        <v>ㄌ</v>
      </c>
      <c r="L5367" s="1" t="str">
        <f t="shared" si="344"/>
        <v>ㄨ</v>
      </c>
      <c r="N5367" s="3" t="s">
        <v>30575</v>
      </c>
      <c r="O5367" s="3"/>
      <c r="P5367" s="1" t="s">
        <v>20</v>
      </c>
      <c r="R5367" s="1" t="s">
        <v>9087</v>
      </c>
      <c r="V5367" s="1" t="s">
        <v>9122</v>
      </c>
      <c r="AR5367" s="1" t="str">
        <f t="shared" si="345"/>
        <v>| [ㄌㄨˊ](ㄌㄨˊ.md) | [鱸](鱸.md) |  | lú | [名]
動物名。脊椎動物亞門硬骨魚綱鱸形目。頭大，體狹長。巨口細鱗，下顎稍突出。背部淡蒼色，腹部白色，體側及背鰭有黑斑。性凶猛，以魚蝦為食。常棲於近海，夏季由海溯河，冬季由河入海。可供食用。 |</v>
      </c>
    </row>
    <row r="5368" spans="1:44" hidden="1">
      <c r="A5368" s="1" t="s">
        <v>9123</v>
      </c>
      <c r="C5368" s="1">
        <v>1</v>
      </c>
      <c r="D5368" s="1" t="str">
        <f>"03739"</f>
        <v>03739</v>
      </c>
      <c r="E5368" s="1" t="s">
        <v>9124</v>
      </c>
      <c r="F5368" s="1">
        <v>11</v>
      </c>
      <c r="G5368" s="1">
        <v>0</v>
      </c>
      <c r="H5368" s="1">
        <v>0</v>
      </c>
      <c r="I5368" s="1" t="s">
        <v>9125</v>
      </c>
      <c r="K5368" s="1" t="str">
        <f t="shared" si="343"/>
        <v>ㄌ</v>
      </c>
      <c r="L5368" s="1" t="str">
        <f t="shared" si="344"/>
        <v>ㄨ</v>
      </c>
      <c r="N5368" s="3" t="s">
        <v>30576</v>
      </c>
      <c r="O5368" s="3"/>
      <c r="P5368" s="1" t="s">
        <v>20</v>
      </c>
      <c r="R5368" s="1" t="s">
        <v>9126</v>
      </c>
      <c r="V5368" s="1" t="s">
        <v>9127</v>
      </c>
      <c r="AR5368" s="1" t="str">
        <f t="shared" si="345"/>
        <v>| [ㄌㄨˇ](ㄌㄨˇ.md) | [鹵](鹵.md) |  | lǔ | [名]
1.具有鹼性，不適宜耕種的土地。《說文解字．鹵部》：「鹵，西方鹹地也。」
2.自然生成的鹽。《說文解字．鹽部》：「鹽，鹵也。天生曰鹵，人生曰鹽。」《史記．卷一二九．貨殖傳》：「山東食海鹽，山西食鹽鹵。」
3.大盾。通「櫓」。《戰國策．中山策》：「大破二國之軍，流血漂鹵。」《文選．左思．吳都賦》：「干鹵殳鋋。」李善注引劉逵曰：「干、鹵，皆楯也。」
4.姓。如漢代有鹵公孺。
5.二一四部首之一。
[形]
1.粗率、直率。如：「粗鹵」。《莊子．則陽》：「君為政焉勿鹵莽，治民焉勿滅裂。」
2.愚鈍、笨拙。通「魯」。《文選．劉楨．贈五官中郎將詩四首之四》：「小臣信頑鹵，僶俛安能追！」《抱朴子．外篇．勖學》：「經術深則高才者洞達，鹵鈍者醒悟。」
[動]
掠奪、強取。通「擄」。《史記．卷一〇六．吳王濞傳》：「今卬等又重逆無道，燒宗廟，鹵御物，朕甚痛之。」裴駰集解引如淳曰：「鹵，抄掠也。」《漢書．卷六九．趙充國傳》：「鹵馬牛羊十萬餘頭，車四千餘兩。」 |</v>
      </c>
    </row>
    <row r="5369" spans="1:44" hidden="1">
      <c r="A5369" s="1" t="s">
        <v>9128</v>
      </c>
      <c r="C5369" s="1">
        <v>1</v>
      </c>
      <c r="D5369" s="1" t="str">
        <f>"03740"</f>
        <v>03740</v>
      </c>
      <c r="E5369" s="1" t="s">
        <v>129</v>
      </c>
      <c r="F5369" s="1">
        <v>14</v>
      </c>
      <c r="G5369" s="1">
        <v>11</v>
      </c>
      <c r="H5369" s="1">
        <v>0</v>
      </c>
      <c r="I5369" s="1" t="s">
        <v>9125</v>
      </c>
      <c r="K5369" s="1" t="str">
        <f t="shared" si="343"/>
        <v>ㄌ</v>
      </c>
      <c r="L5369" s="1" t="str">
        <f t="shared" si="344"/>
        <v>ㄨ</v>
      </c>
      <c r="N5369" s="3" t="s">
        <v>30576</v>
      </c>
      <c r="O5369" s="3"/>
      <c r="P5369" s="1" t="s">
        <v>20</v>
      </c>
      <c r="R5369" s="1" t="s">
        <v>9126</v>
      </c>
      <c r="V5369" s="1" t="s">
        <v>9129</v>
      </c>
      <c r="AR5369" s="1" t="str">
        <f t="shared" si="345"/>
        <v>| [ㄌㄨˇ](ㄌㄨˇ.md) | [滷](滷.md) |  | lǔ | [動]
一種烹飪方法。用醬油、蔥、薑、酒等佐料，加水烹煮食物，使之入味。如：「滷蛋」、「滷牛肉」、「滷豆腐」。 |</v>
      </c>
    </row>
    <row r="5370" spans="1:44" hidden="1">
      <c r="A5370" s="1" t="s">
        <v>9130</v>
      </c>
      <c r="C5370" s="1">
        <v>1</v>
      </c>
      <c r="D5370" s="1" t="str">
        <f>"03741"</f>
        <v>03741</v>
      </c>
      <c r="E5370" s="1" t="s">
        <v>169</v>
      </c>
      <c r="F5370" s="1">
        <v>16</v>
      </c>
      <c r="G5370" s="1">
        <v>11</v>
      </c>
      <c r="H5370" s="1">
        <v>0</v>
      </c>
      <c r="I5370" s="1" t="s">
        <v>9125</v>
      </c>
      <c r="K5370" s="1" t="str">
        <f t="shared" si="343"/>
        <v>ㄌ</v>
      </c>
      <c r="L5370" s="1" t="str">
        <f t="shared" si="344"/>
        <v>ㄨ</v>
      </c>
      <c r="N5370" s="3" t="s">
        <v>30576</v>
      </c>
      <c r="O5370" s="3"/>
      <c r="P5370" s="1" t="s">
        <v>20</v>
      </c>
      <c r="R5370" s="1" t="s">
        <v>9126</v>
      </c>
      <c r="V5370" s="1" t="s">
        <v>9131</v>
      </c>
      <c r="AR5370" s="1" t="str">
        <f t="shared" si="345"/>
        <v>| [ㄌㄨˇ](ㄌㄨˇ.md) | [磠](磠.md) |  | lǔ | 參見「磠砂」條。 |</v>
      </c>
    </row>
    <row r="5371" spans="1:44" hidden="1">
      <c r="A5371" s="1" t="s">
        <v>9132</v>
      </c>
      <c r="C5371" s="1">
        <v>1</v>
      </c>
      <c r="D5371" s="1" t="str">
        <f>"03742"</f>
        <v>03742</v>
      </c>
      <c r="E5371" s="1" t="s">
        <v>660</v>
      </c>
      <c r="F5371" s="1">
        <v>13</v>
      </c>
      <c r="G5371" s="1">
        <v>7</v>
      </c>
      <c r="H5371" s="1">
        <v>1</v>
      </c>
      <c r="I5371" s="1" t="s">
        <v>9125</v>
      </c>
      <c r="K5371" s="1" t="str">
        <f t="shared" si="343"/>
        <v>ㄌ</v>
      </c>
      <c r="L5371" s="1" t="str">
        <f t="shared" si="344"/>
        <v>ㄨ</v>
      </c>
      <c r="N5371" s="3" t="s">
        <v>30576</v>
      </c>
      <c r="O5371" s="3"/>
      <c r="P5371" s="1" t="s">
        <v>20</v>
      </c>
      <c r="R5371" s="1" t="s">
        <v>9126</v>
      </c>
      <c r="V5371" s="1" t="s">
        <v>9133</v>
      </c>
      <c r="W5371" s="1" t="s">
        <v>9134</v>
      </c>
      <c r="AR5371" s="1" t="str">
        <f t="shared" si="345"/>
        <v>| [ㄌㄨˇ](ㄌㄨˇ.md) | [虜](虜.md) |  | lǔ | [動]
1.捉住、擒獲。《說文解字．毌部》：「虜，獲也。」《史記．卷九二．淮陰侯傳》：「於是漢兵夾擊，大破虜趙軍。」
2.搶奪、掠取。《史記．卷一〇八．韓長孺傳》：「匈奴虜略千餘人及畜產而去。」晉．張載〈七哀詩〉二首之一：「珠柙離玉體，珍寶見剽虜。」
[名]
1.爭戰中俘獲的敵人。如：「俘虜」。《詩經．大雅．常武》：「鋪敦淮濆，仍執醜虜。」
2.奴隸、僕人。《韓非子．說難》：「伊尹為宰，百里奚為虜。」《史記．卷八七．李斯傳》：「慈母有敗子而嚴家無格虜。」
3.對敵人輕蔑的稱呼。宋．蘇軾〈念奴嬌．大江東去〉詞：「羽扇綸巾談笑間，強虜灰飛煙滅。」《喻世明言．卷三十九．汪信之一死救全家》：「官府只慮我北去通虜，決不疑在近地。」 |</v>
      </c>
    </row>
    <row r="5372" spans="1:44" hidden="1">
      <c r="A5372" s="1" t="s">
        <v>9135</v>
      </c>
      <c r="C5372" s="1">
        <v>1</v>
      </c>
      <c r="D5372" s="1" t="str">
        <f>"03743"</f>
        <v>03743</v>
      </c>
      <c r="E5372" s="1" t="s">
        <v>24</v>
      </c>
      <c r="F5372" s="1">
        <v>16</v>
      </c>
      <c r="G5372" s="1">
        <v>13</v>
      </c>
      <c r="H5372" s="1">
        <v>1</v>
      </c>
      <c r="I5372" s="1" t="s">
        <v>9125</v>
      </c>
      <c r="K5372" s="1" t="str">
        <f t="shared" si="343"/>
        <v>ㄌ</v>
      </c>
      <c r="L5372" s="1" t="str">
        <f t="shared" si="344"/>
        <v>ㄨ</v>
      </c>
      <c r="N5372" s="3" t="s">
        <v>30576</v>
      </c>
      <c r="O5372" s="3"/>
      <c r="P5372" s="1" t="s">
        <v>20</v>
      </c>
      <c r="R5372" s="1" t="s">
        <v>9126</v>
      </c>
      <c r="V5372" s="1" t="s">
        <v>9136</v>
      </c>
      <c r="W5372" s="1" t="s">
        <v>9137</v>
      </c>
      <c r="AR5372" s="1" t="str">
        <f t="shared" si="345"/>
        <v>| [ㄌㄨˇ](ㄌㄨˇ.md) | [擄](擄.md) |  | lǔ | [動]
搶奪、俘虜。如：「擄人勒贖」。《東觀漢記．卷九．馮異傳》：「更始諸將，縱橫暴虐，所至擄掠，百姓失望。」《水滸傳》第三二回：「恭人被清風山強人擄去了。」 |</v>
      </c>
    </row>
    <row r="5373" spans="1:44" hidden="1">
      <c r="A5373" s="1" t="s">
        <v>9138</v>
      </c>
      <c r="C5373" s="1">
        <v>1</v>
      </c>
      <c r="D5373" s="1" t="str">
        <f>"03744"</f>
        <v>03744</v>
      </c>
      <c r="E5373" s="1" t="s">
        <v>156</v>
      </c>
      <c r="F5373" s="1">
        <v>15</v>
      </c>
      <c r="G5373" s="1">
        <v>4</v>
      </c>
      <c r="H5373" s="1">
        <v>0</v>
      </c>
      <c r="I5373" s="1" t="s">
        <v>9125</v>
      </c>
      <c r="K5373" s="1" t="str">
        <f t="shared" si="343"/>
        <v>ㄌ</v>
      </c>
      <c r="L5373" s="1" t="str">
        <f t="shared" si="344"/>
        <v>ㄨ</v>
      </c>
      <c r="N5373" s="3" t="s">
        <v>30576</v>
      </c>
      <c r="O5373" s="3"/>
      <c r="P5373" s="1" t="s">
        <v>20</v>
      </c>
      <c r="R5373" s="1" t="s">
        <v>9126</v>
      </c>
      <c r="V5373" s="1" t="s">
        <v>9139</v>
      </c>
      <c r="AR5373" s="1" t="str">
        <f t="shared" si="345"/>
        <v>| [ㄌㄨˇ](ㄌㄨˇ.md) | [魯](魯.md) |  | lǔ | [形]
愚鈍、笨拙。如：「魯鈍」。《論語．先進》：「參也魯。」三國魏．何晏．集解：「孔曰：『魯，鈍也。』」清．全祖望〈呂語集粹序〉：「言先生少時甚魯，讀書不能成誦。」
[名]
1.國名。參見「魯國」條。
2.大陸地區山東省的簡稱。
3.姓。如戰國時齊國有魯仲連，三國時吳國有魯肅。 |</v>
      </c>
    </row>
    <row r="5374" spans="1:44" hidden="1">
      <c r="A5374" s="1" t="s">
        <v>9140</v>
      </c>
      <c r="C5374" s="1">
        <v>1</v>
      </c>
      <c r="D5374" s="1" t="str">
        <f>"03745"</f>
        <v>03745</v>
      </c>
      <c r="E5374" s="1" t="s">
        <v>139</v>
      </c>
      <c r="F5374" s="1">
        <v>19</v>
      </c>
      <c r="G5374" s="1">
        <v>15</v>
      </c>
      <c r="H5374" s="1">
        <v>0</v>
      </c>
      <c r="I5374" s="1" t="s">
        <v>9125</v>
      </c>
      <c r="K5374" s="1" t="str">
        <f t="shared" si="343"/>
        <v>ㄌ</v>
      </c>
      <c r="L5374" s="1" t="str">
        <f t="shared" si="344"/>
        <v>ㄨ</v>
      </c>
      <c r="N5374" s="3" t="s">
        <v>30576</v>
      </c>
      <c r="O5374" s="3"/>
      <c r="P5374" s="1" t="s">
        <v>20</v>
      </c>
      <c r="R5374" s="1" t="s">
        <v>9126</v>
      </c>
      <c r="V5374" s="1" t="s">
        <v>9141</v>
      </c>
      <c r="AR5374" s="1" t="str">
        <f t="shared" si="345"/>
        <v>| [ㄌㄨˇ](ㄌㄨˇ.md) | [櫓](櫓.md) |  | lǔ | [名]
1.城上供防禦而無頂蓋的瞭望樓。《玉篇．木部》：「櫓，城上守禦望樓。」《晉書．卷八一．朱伺傳》：「伺又率諸軍圍守之，遂重柴繞城，作高櫓，以勁弩下射之，又斷其水道。」
2.划水使船前進的器具。明．張自烈《正字通．木部》：「槳，行舟具，長大曰櫓，短小曰槳。」《三國志．卷五四．吳書．呂蒙傳》：「使白衣搖櫓，作商賈人服，晝夜兼行。」唐．徐鉉〈過江〉詩：「登艫望城遠，搖櫓過江遲。」
3.古代的兵器。即大盾、大戟。《左傳．襄公十年》：「狄虒彌建大車之輪，而蒙之以甲，以為櫓。」晉．杜預．注：「櫓，大盾也。」《晉書．卷一．宣帝紀》：「起土山地道，楯櫓鉤橦，發矢石雨下，晝夜攻之。」 |</v>
      </c>
    </row>
    <row r="5375" spans="1:44" hidden="1">
      <c r="A5375" s="1" t="s">
        <v>9142</v>
      </c>
      <c r="C5375" s="1">
        <v>1</v>
      </c>
      <c r="D5375" s="1" t="str">
        <f>"03746"</f>
        <v>03746</v>
      </c>
      <c r="E5375" s="1" t="s">
        <v>55</v>
      </c>
      <c r="F5375" s="1">
        <v>23</v>
      </c>
      <c r="G5375" s="1">
        <v>15</v>
      </c>
      <c r="H5375" s="1">
        <v>0</v>
      </c>
      <c r="I5375" s="1" t="s">
        <v>9125</v>
      </c>
      <c r="K5375" s="1" t="str">
        <f t="shared" ref="K5375:K5438" si="346">LEFT(I5375, 1)</f>
        <v>ㄌ</v>
      </c>
      <c r="L5375" s="1" t="str">
        <f t="shared" ref="L5375:L5438" si="347">MID(I5375, 2, 1)</f>
        <v>ㄨ</v>
      </c>
      <c r="N5375" s="3" t="s">
        <v>30576</v>
      </c>
      <c r="O5375" s="3"/>
      <c r="P5375" s="1" t="s">
        <v>20</v>
      </c>
      <c r="R5375" s="1" t="s">
        <v>9126</v>
      </c>
      <c r="V5375" s="1" t="s">
        <v>9143</v>
      </c>
      <c r="AR5375" s="1" t="str">
        <f t="shared" si="345"/>
        <v>| [ㄌㄨˇ](ㄌㄨˇ.md) | [鑥](鑥.md) |  | lǔ | [名]
化學元素鎦（lutetium，Lu）的大陸地區用詞。 |</v>
      </c>
    </row>
    <row r="5376" spans="1:44" hidden="1">
      <c r="A5376" s="1" t="s">
        <v>9481</v>
      </c>
      <c r="C5376" s="1">
        <v>1</v>
      </c>
      <c r="D5376" s="1" t="str">
        <f>"03894"</f>
        <v>03894</v>
      </c>
      <c r="E5376" s="1" t="s">
        <v>234</v>
      </c>
      <c r="F5376" s="1">
        <v>9</v>
      </c>
      <c r="G5376" s="1">
        <v>6</v>
      </c>
      <c r="H5376" s="1">
        <v>0</v>
      </c>
      <c r="I5376" s="1" t="s">
        <v>9482</v>
      </c>
      <c r="K5376" s="1" t="str">
        <f t="shared" si="346"/>
        <v>ㄌ</v>
      </c>
      <c r="L5376" s="1" t="str">
        <f t="shared" si="347"/>
        <v>ㄩ</v>
      </c>
      <c r="N5376" s="3" t="s">
        <v>30574</v>
      </c>
      <c r="O5376" s="3"/>
      <c r="P5376" s="1" t="s">
        <v>20</v>
      </c>
      <c r="R5376" s="1" t="s">
        <v>9483</v>
      </c>
      <c r="V5376" s="1" t="s">
        <v>9484</v>
      </c>
      <c r="AR5376" s="1" t="str">
        <f t="shared" si="345"/>
        <v>| [ㄌㄩˋ](ㄌㄩˋ.md) | [律](律.md) |  | lǜ | [名]
1.法令、法則。如：「法律」。《易經．師卦．初六》：「師出以律，否臧凶。」南朝梁．劉勰《文心雕龍．議對》：「田穀先曉於農，斷訟務精於律。」
2.格式、規則。如：「定律」、「格律」。《淮南子．覽冥》：「以治日月之行律，治陰陽之氣。」唐．杜甫〈遣悶戲呈路十九曹長〉詩：「晚節漸於詩律細，誰家數去酒杯寬。」
3.中國古代音樂十二律中的陽律。如：「律呂」。
4.節奏。如：「旋律」、「音律」、「韻律」。
5.律詩的簡稱。如：「五律」、「七律」。
6.姓。如漢代有律子公。
[動]
1.約束。如：「嚴以律己，寬以待人。」《韓非子．難四》：「五伯兼并，而以桓律人，則是皆無貞廉也。」《金史卷一一〇．楊雲翼傳》：「自律甚嚴，其待人則寬。」
2.效法、遵守。《禮記．中庸》：「上律天時，下襲水土。」唐．劉禹錫〈和李六侍御文宣王廟釋奠作〉詩：「有心律天道，無位救陵夷。」
[形]
山勢高大險峻。參見「律律」條。 |</v>
      </c>
    </row>
    <row r="5377" spans="1:44" hidden="1">
      <c r="A5377" s="1" t="s">
        <v>9485</v>
      </c>
      <c r="C5377" s="1">
        <v>1</v>
      </c>
      <c r="D5377" s="1" t="str">
        <f>"03895"</f>
        <v>03895</v>
      </c>
      <c r="E5377" s="1" t="s">
        <v>190</v>
      </c>
      <c r="F5377" s="1">
        <v>12</v>
      </c>
      <c r="G5377" s="1">
        <v>9</v>
      </c>
      <c r="H5377" s="1">
        <v>0</v>
      </c>
      <c r="I5377" s="1" t="s">
        <v>9482</v>
      </c>
      <c r="K5377" s="1" t="str">
        <f t="shared" si="346"/>
        <v>ㄌ</v>
      </c>
      <c r="L5377" s="1" t="str">
        <f t="shared" si="347"/>
        <v>ㄩ</v>
      </c>
      <c r="N5377" s="3" t="s">
        <v>30574</v>
      </c>
      <c r="O5377" s="3"/>
      <c r="P5377" s="1" t="s">
        <v>20</v>
      </c>
      <c r="R5377" s="1" t="s">
        <v>9483</v>
      </c>
      <c r="V5377" s="1" t="s">
        <v>9486</v>
      </c>
      <c r="AR5377" s="1" t="str">
        <f t="shared" si="345"/>
        <v>| [ㄌㄩˋ](ㄌㄩˋ.md) | [嵂](嵂.md) |  | lǜ | 參見「嵂崒」條。 |</v>
      </c>
    </row>
    <row r="5378" spans="1:44" hidden="1">
      <c r="A5378" s="1" t="s">
        <v>9487</v>
      </c>
      <c r="C5378" s="1">
        <v>1</v>
      </c>
      <c r="D5378" s="1" t="str">
        <f>"03896"</f>
        <v>03896</v>
      </c>
      <c r="E5378" s="1" t="s">
        <v>9085</v>
      </c>
      <c r="F5378" s="1">
        <v>11</v>
      </c>
      <c r="G5378" s="1">
        <v>6</v>
      </c>
      <c r="H5378" s="1">
        <v>3</v>
      </c>
      <c r="I5378" s="1" t="s">
        <v>9482</v>
      </c>
      <c r="K5378" s="1" t="str">
        <f t="shared" si="346"/>
        <v>ㄌ</v>
      </c>
      <c r="L5378" s="1" t="str">
        <f t="shared" si="347"/>
        <v>ㄩ</v>
      </c>
      <c r="N5378" s="3" t="s">
        <v>30574</v>
      </c>
      <c r="O5378" s="3"/>
      <c r="P5378" s="1" t="s">
        <v>20</v>
      </c>
      <c r="R5378" s="1" t="s">
        <v>9483</v>
      </c>
      <c r="V5378" s="1" t="s">
        <v>9488</v>
      </c>
      <c r="W5378" s="1" t="s">
        <v>9489</v>
      </c>
      <c r="AR5378" s="1" t="str">
        <f t="shared" si="345"/>
        <v>| [ㄌㄩˋ](ㄌㄩˋ.md) | [率](率.md) |  | lǜ | [名]
1.比例中相比的數。如：「效率」、「速率」、「百分率」。
2.準則、法度。《南史．卷五九．列傳．王僧孺》：「竟陵王子良嘗夜集學士，刻燭為詩，四韻者則刻一寸，以此為率。」
[動]
計算。晉．江統〈徙戎論〉：「且關中之人，百餘萬口，率其少多，戎狄居半，處之與遷，必須口實。」 |</v>
      </c>
    </row>
    <row r="5379" spans="1:44" hidden="1">
      <c r="A5379" s="1" t="s">
        <v>9159</v>
      </c>
      <c r="C5379" s="1">
        <v>1</v>
      </c>
      <c r="D5379" s="1" t="str">
        <f>"03897"</f>
        <v>03897</v>
      </c>
      <c r="E5379" s="1" t="s">
        <v>37</v>
      </c>
      <c r="F5379" s="1">
        <v>12</v>
      </c>
      <c r="G5379" s="1">
        <v>8</v>
      </c>
      <c r="H5379" s="1">
        <v>1</v>
      </c>
      <c r="I5379" s="1" t="s">
        <v>9482</v>
      </c>
      <c r="K5379" s="1" t="str">
        <f t="shared" si="346"/>
        <v>ㄌ</v>
      </c>
      <c r="L5379" s="1" t="str">
        <f t="shared" si="347"/>
        <v>ㄩ</v>
      </c>
      <c r="N5379" s="3" t="s">
        <v>30574</v>
      </c>
      <c r="O5379" s="3"/>
      <c r="P5379" s="1" t="s">
        <v>388</v>
      </c>
      <c r="R5379" s="1" t="s">
        <v>9483</v>
      </c>
      <c r="V5379" s="1" t="s">
        <v>9490</v>
      </c>
      <c r="W5379" s="1" t="s">
        <v>9491</v>
      </c>
      <c r="AR5379" s="1" t="str">
        <f t="shared" ref="AR5379:AR5442" si="348">"| ["&amp;I5379&amp;"]("&amp;I5379&amp;".md) | ["&amp;A5379&amp;"]("&amp;A5379&amp;".md) | "&amp;" | "&amp;R5379&amp;" | "&amp;V5379&amp;" |"</f>
        <v>| [ㄌㄩˋ](ㄌㄩˋ.md) | [菉](菉.md) |  | lǜ | [名]
植物名。禾本科屬。「藎草」之古稱，參見「藎草」條。 |</v>
      </c>
    </row>
    <row r="5380" spans="1:44" hidden="1">
      <c r="A5380" s="1" t="s">
        <v>9161</v>
      </c>
      <c r="C5380" s="1">
        <v>1</v>
      </c>
      <c r="D5380" s="1" t="str">
        <f>"03898"</f>
        <v>03898</v>
      </c>
      <c r="E5380" s="1" t="s">
        <v>2228</v>
      </c>
      <c r="F5380" s="1">
        <v>12</v>
      </c>
      <c r="G5380" s="1">
        <v>8</v>
      </c>
      <c r="H5380" s="1">
        <v>1</v>
      </c>
      <c r="I5380" s="1" t="s">
        <v>9482</v>
      </c>
      <c r="K5380" s="1" t="str">
        <f t="shared" si="346"/>
        <v>ㄌ</v>
      </c>
      <c r="L5380" s="1" t="str">
        <f t="shared" si="347"/>
        <v>ㄩ</v>
      </c>
      <c r="N5380" s="3" t="s">
        <v>30574</v>
      </c>
      <c r="O5380" s="3"/>
      <c r="P5380" s="1" t="s">
        <v>20</v>
      </c>
      <c r="R5380" s="1" t="s">
        <v>9483</v>
      </c>
      <c r="V5380" s="1" t="s">
        <v>9492</v>
      </c>
      <c r="W5380" s="1" t="s">
        <v>9493</v>
      </c>
      <c r="AR5380" s="1" t="str">
        <f t="shared" si="348"/>
        <v>| [ㄌㄩˋ](ㄌㄩˋ.md) | [氯](氯.md) |  | lǜ | [名]
（chlorine，Cl）化學元素。原子序17。非金屬鹵族元素之一。氯氣為黃綠色腐蝕性氣體，比空氣重，有毒，具臭味。可供漂白、消毒等用途。 |</v>
      </c>
    </row>
    <row r="5381" spans="1:44" hidden="1">
      <c r="A5381" s="1" t="s">
        <v>9173</v>
      </c>
      <c r="C5381" s="1">
        <v>1</v>
      </c>
      <c r="D5381" s="1" t="str">
        <f>"03899"</f>
        <v>03899</v>
      </c>
      <c r="E5381" s="1" t="s">
        <v>725</v>
      </c>
      <c r="F5381" s="1">
        <v>14</v>
      </c>
      <c r="G5381" s="1">
        <v>8</v>
      </c>
      <c r="H5381" s="1">
        <v>1</v>
      </c>
      <c r="I5381" s="1" t="s">
        <v>9482</v>
      </c>
      <c r="K5381" s="1" t="str">
        <f t="shared" si="346"/>
        <v>ㄌ</v>
      </c>
      <c r="L5381" s="1" t="str">
        <f t="shared" si="347"/>
        <v>ㄩ</v>
      </c>
      <c r="N5381" s="3" t="s">
        <v>30574</v>
      </c>
      <c r="O5381" s="3"/>
      <c r="P5381" s="1" t="s">
        <v>388</v>
      </c>
      <c r="R5381" s="1" t="s">
        <v>9483</v>
      </c>
      <c r="V5381" s="1" t="s">
        <v>9494</v>
      </c>
      <c r="W5381" s="1" t="s">
        <v>9495</v>
      </c>
      <c r="AR5381" s="1" t="str">
        <f t="shared" si="348"/>
        <v>| [ㄌㄩˋ](ㄌㄩˋ.md) | [綠](綠.md) |  | lǜ | [名]
一種像青草、樹葉的顏色，可用藍色和黃色顏料混合而成。《說文解字．糸部》：「綠，帛青黃色也。」宋．楊萬里〈江水〉詩：「水色本正白，積深自成綠。」
[形]
1.綠色的。如：「綠苔」、「紅花綠葉」、「綠意盎然」。
2.形容因生氣、著急或驚嚇時的臉部表情。如：「看到這麼多學生不及格，老師氣得臉都綠了。」
[動]
變成綠色。唐．王維〈送別〉詩：「春草年年綠，王孫歸不歸？」宋．蔣捷〈一翦梅．一片春愁待酒澆〉詞：「紅了櫻桃，綠了芭蕉。」 |</v>
      </c>
    </row>
    <row r="5382" spans="1:44" hidden="1">
      <c r="A5382" s="1" t="s">
        <v>9496</v>
      </c>
      <c r="C5382" s="1">
        <v>1</v>
      </c>
      <c r="D5382" s="1" t="str">
        <f>"03900"</f>
        <v>03900</v>
      </c>
      <c r="E5382" s="1" t="s">
        <v>250</v>
      </c>
      <c r="F5382" s="1">
        <v>15</v>
      </c>
      <c r="G5382" s="1">
        <v>11</v>
      </c>
      <c r="H5382" s="1">
        <v>0</v>
      </c>
      <c r="I5382" s="1" t="s">
        <v>9482</v>
      </c>
      <c r="K5382" s="1" t="str">
        <f t="shared" si="346"/>
        <v>ㄌ</v>
      </c>
      <c r="L5382" s="1" t="str">
        <f t="shared" si="347"/>
        <v>ㄩ</v>
      </c>
      <c r="N5382" s="3" t="s">
        <v>30574</v>
      </c>
      <c r="O5382" s="3"/>
      <c r="P5382" s="1" t="s">
        <v>20</v>
      </c>
      <c r="R5382" s="1" t="s">
        <v>9483</v>
      </c>
      <c r="V5382" s="1" t="s">
        <v>9497</v>
      </c>
      <c r="AR5382" s="1" t="str">
        <f t="shared" si="348"/>
        <v>| [ㄌㄩˋ](ㄌㄩˋ.md) | [慮](慮.md) |  | lǜ | [名]
1.謀思、打算。《論語．衛靈公》：「人無遠慮，必有近憂。」
2.心思、意念。《孟子．告子下》：「困於心，衡於慮，而後作。」《楚辭．屈原．卜居》：「心煩慮亂，不知所從。」
3.姓。如春秋時有慮癸。
[動]
1.思考、謀算。如：「考慮」。《詩經．小雅．雨無正》：「旻天疾威，弗慮弗圖。」漢．鄭玄．注：「慮、圖，皆謀也。」《漢書．卷六〇．杜周傳》：「微詣大將軍莫府，國家政謀，鳳常與欽慮之。」
2.擔憂、憂愁。如：「顧慮」、「憂慮」。《漢書．卷二九．溝洫志》：「浩浩洋洋，慮殫為河。」唐．顏師古．注：「慮，猶恐也。」三國蜀．諸葛亮〈聞孫權破曹休魏兵東下關中虛弱上言〉：「先王慮漢賊不兩立，王業不偏安，故託臣以討賊也。」
3.審察。《聊齋志異．卷七．冤獄》：「令方慮囚，忽一人直上公堂，怒目視令而大罵。」 |</v>
      </c>
    </row>
    <row r="5383" spans="1:44" hidden="1">
      <c r="A5383" s="1" t="s">
        <v>9498</v>
      </c>
      <c r="C5383" s="1">
        <v>1</v>
      </c>
      <c r="D5383" s="1" t="str">
        <f>"03901"</f>
        <v>03901</v>
      </c>
      <c r="E5383" s="1" t="s">
        <v>129</v>
      </c>
      <c r="F5383" s="1">
        <v>18</v>
      </c>
      <c r="G5383" s="1">
        <v>15</v>
      </c>
      <c r="H5383" s="1">
        <v>0</v>
      </c>
      <c r="I5383" s="1" t="s">
        <v>9482</v>
      </c>
      <c r="K5383" s="1" t="str">
        <f t="shared" si="346"/>
        <v>ㄌ</v>
      </c>
      <c r="L5383" s="1" t="str">
        <f t="shared" si="347"/>
        <v>ㄩ</v>
      </c>
      <c r="N5383" s="3" t="s">
        <v>30574</v>
      </c>
      <c r="O5383" s="3"/>
      <c r="P5383" s="1" t="s">
        <v>20</v>
      </c>
      <c r="R5383" s="1" t="s">
        <v>9483</v>
      </c>
      <c r="V5383" s="1" t="s">
        <v>9499</v>
      </c>
      <c r="AR5383" s="1" t="str">
        <f t="shared" si="348"/>
        <v>| [ㄌㄩˋ](ㄌㄩˋ.md) | [濾](濾.md) |  | lǜ | [動]
去除雜質使之更純淨。如：「過濾」。唐．白居易〈送文暢上人東遊〉詩：「山宿馴溪虎，江行濾水蟲。」 |</v>
      </c>
    </row>
    <row r="5384" spans="1:44" hidden="1">
      <c r="A5384" s="1" t="s">
        <v>9500</v>
      </c>
      <c r="C5384" s="1">
        <v>1</v>
      </c>
      <c r="D5384" s="1" t="str">
        <f>"03902"</f>
        <v>03902</v>
      </c>
      <c r="E5384" s="1" t="s">
        <v>55</v>
      </c>
      <c r="F5384" s="1">
        <v>23</v>
      </c>
      <c r="G5384" s="1">
        <v>15</v>
      </c>
      <c r="H5384" s="1">
        <v>0</v>
      </c>
      <c r="I5384" s="1" t="s">
        <v>9482</v>
      </c>
      <c r="K5384" s="1" t="str">
        <f t="shared" si="346"/>
        <v>ㄌ</v>
      </c>
      <c r="L5384" s="1" t="str">
        <f t="shared" si="347"/>
        <v>ㄩ</v>
      </c>
      <c r="N5384" s="3" t="s">
        <v>30574</v>
      </c>
      <c r="O5384" s="3"/>
      <c r="P5384" s="1" t="s">
        <v>20</v>
      </c>
      <c r="R5384" s="1" t="s">
        <v>9483</v>
      </c>
      <c r="V5384" s="1" t="s">
        <v>9501</v>
      </c>
      <c r="AR5384" s="1" t="str">
        <f t="shared" si="348"/>
        <v>| [ㄌㄩˋ](ㄌㄩˋ.md) | [鑢](鑢.md) |  | lǜ | [動]_x000D_
1.磨治。《說文解字．金部》：「鑢，厝銅鐵也。」清．段玉裁．注：「厲銅鐵謂之鑢。」宋．王讜《唐語林．卷五．補遺》：「紹夔食訖，出懷中錯鑢磬數處，其聲遂絕。」_x000D_
2.反省。漢．揚雄《太玄經．卷四．大》：「次二，大其慮，躬自鑢。」晉．范望．注：「鑢以治邪，躬身也，自治其身。」_x000D_
[名]_x000D_
1.磋治骨角鋼鐵的器具。《禮記．大學》：「如切如磋，如琢如磨。」宋．朱熹．章句：「磋以鑢鍚，磨以沙石，皆治物使其滑澤也。」_x000D_
2.姓。如春秋時楚國有鑢金。 |</v>
      </c>
    </row>
    <row r="5385" spans="1:44" hidden="1">
      <c r="A5385" s="1" t="s">
        <v>7968</v>
      </c>
      <c r="C5385" s="1">
        <v>1</v>
      </c>
      <c r="D5385" s="1" t="str">
        <f>"03903"</f>
        <v>03903</v>
      </c>
      <c r="E5385" s="1" t="s">
        <v>132</v>
      </c>
      <c r="F5385" s="1">
        <v>18</v>
      </c>
      <c r="G5385" s="1">
        <v>15</v>
      </c>
      <c r="H5385" s="1">
        <v>2</v>
      </c>
      <c r="I5385" s="1" t="s">
        <v>9482</v>
      </c>
      <c r="K5385" s="1" t="str">
        <f t="shared" si="346"/>
        <v>ㄌ</v>
      </c>
      <c r="L5385" s="1" t="str">
        <f t="shared" si="347"/>
        <v>ㄩ</v>
      </c>
      <c r="N5385" s="3" t="s">
        <v>30574</v>
      </c>
      <c r="O5385" s="3"/>
      <c r="P5385" s="1" t="s">
        <v>20</v>
      </c>
      <c r="R5385" s="1" t="s">
        <v>9483</v>
      </c>
      <c r="V5385" s="1" t="s">
        <v>9502</v>
      </c>
      <c r="W5385" s="1" t="s">
        <v>9503</v>
      </c>
      <c r="AR5385" s="1" t="str">
        <f t="shared" si="348"/>
        <v>| [ㄌㄩˋ](ㄌㄩˋ.md) | [壘](壘.md) |  | lǜ | 參見「鬱壘」條。 |</v>
      </c>
    </row>
    <row r="5386" spans="1:44" hidden="1">
      <c r="A5386" s="1" t="s">
        <v>9437</v>
      </c>
      <c r="C5386" s="1">
        <v>1</v>
      </c>
      <c r="D5386" s="1" t="str">
        <f>"03874"</f>
        <v>03874</v>
      </c>
      <c r="E5386" s="1" t="s">
        <v>709</v>
      </c>
      <c r="F5386" s="1">
        <v>15</v>
      </c>
      <c r="G5386" s="1">
        <v>7</v>
      </c>
      <c r="H5386" s="1">
        <v>0</v>
      </c>
      <c r="I5386" s="1" t="s">
        <v>9438</v>
      </c>
      <c r="K5386" s="1" t="str">
        <f t="shared" si="346"/>
        <v>ㄌ</v>
      </c>
      <c r="L5386" s="1" t="str">
        <f t="shared" si="347"/>
        <v>ㄩ</v>
      </c>
      <c r="N5386" s="3" t="s">
        <v>30575</v>
      </c>
      <c r="O5386" s="3"/>
      <c r="P5386" s="1" t="s">
        <v>20</v>
      </c>
      <c r="R5386" s="1" t="s">
        <v>9439</v>
      </c>
      <c r="V5386" s="1" t="s">
        <v>9440</v>
      </c>
      <c r="AR5386" s="1" t="str">
        <f t="shared" si="348"/>
        <v>| [ㄌㄩˊ](ㄌㄩˊ.md) | [閭](閭.md) |  | lǘ | [名]
1.里巷的門。《周禮．地官．鄉大夫》：「國有大故，則令民各守其閭，以待政令。」
2.泛指門。如：「倚閭而望」。《荀子．大略》：「慶者在堂，弔者在閭。」唐．楊倞．注：「閭，門也。」
3.泛指鄉里。《新唐書．卷一九七．循吏傳．薛元賞傳》：「都市多俠少年，以黛墨鑱膚，夸詭力，剽奪坊閭。」
4.姓。如漢代有閭譚。 |</v>
      </c>
    </row>
    <row r="5387" spans="1:44" hidden="1">
      <c r="A5387" s="1" t="s">
        <v>9441</v>
      </c>
      <c r="C5387" s="1">
        <v>1</v>
      </c>
      <c r="D5387" s="1" t="str">
        <f>"03875"</f>
        <v>03875</v>
      </c>
      <c r="E5387" s="1" t="s">
        <v>139</v>
      </c>
      <c r="F5387" s="1">
        <v>19</v>
      </c>
      <c r="G5387" s="1">
        <v>15</v>
      </c>
      <c r="H5387" s="1">
        <v>0</v>
      </c>
      <c r="I5387" s="1" t="s">
        <v>9438</v>
      </c>
      <c r="K5387" s="1" t="str">
        <f t="shared" si="346"/>
        <v>ㄌ</v>
      </c>
      <c r="L5387" s="1" t="str">
        <f t="shared" si="347"/>
        <v>ㄩ</v>
      </c>
      <c r="N5387" s="3" t="s">
        <v>30575</v>
      </c>
      <c r="O5387" s="3"/>
      <c r="P5387" s="1" t="s">
        <v>20</v>
      </c>
      <c r="R5387" s="1" t="s">
        <v>9439</v>
      </c>
      <c r="V5387" s="1" t="s">
        <v>9442</v>
      </c>
      <c r="AR5387" s="1" t="str">
        <f t="shared" si="348"/>
        <v>| [ㄌㄩˊ](ㄌㄩˊ.md) | [櫚](櫚.md) |  | lǘ | 參見「棕櫚」條。 |</v>
      </c>
    </row>
    <row r="5388" spans="1:44" hidden="1">
      <c r="A5388" s="1" t="s">
        <v>9443</v>
      </c>
      <c r="C5388" s="1">
        <v>1</v>
      </c>
      <c r="D5388" s="1" t="str">
        <f>"03876"</f>
        <v>03876</v>
      </c>
      <c r="E5388" s="1" t="s">
        <v>1703</v>
      </c>
      <c r="F5388" s="1">
        <v>15</v>
      </c>
      <c r="G5388" s="1">
        <v>11</v>
      </c>
      <c r="H5388" s="1">
        <v>0</v>
      </c>
      <c r="I5388" s="1" t="s">
        <v>9438</v>
      </c>
      <c r="K5388" s="1" t="str">
        <f t="shared" si="346"/>
        <v>ㄌ</v>
      </c>
      <c r="L5388" s="1" t="str">
        <f t="shared" si="347"/>
        <v>ㄩ</v>
      </c>
      <c r="N5388" s="3" t="s">
        <v>30575</v>
      </c>
      <c r="O5388" s="3"/>
      <c r="P5388" s="1" t="s">
        <v>20</v>
      </c>
      <c r="R5388" s="1" t="s">
        <v>9439</v>
      </c>
      <c r="V5388" s="1" t="s">
        <v>9444</v>
      </c>
      <c r="AR5388" s="1" t="str">
        <f t="shared" si="348"/>
        <v>| [ㄌㄩˊ](ㄌㄩˊ.md) | [氀](氀.md) |  | lǘ | [名]
毛織的氈類。《後漢書．卷九〇．烏桓鮮卑傳．烏桓傳》：「婦人能刺韋作文繡，織氀毼。」 |</v>
      </c>
    </row>
    <row r="5389" spans="1:44" hidden="1">
      <c r="A5389" s="1" t="s">
        <v>8133</v>
      </c>
      <c r="C5389" s="1">
        <v>1</v>
      </c>
      <c r="D5389" s="1" t="str">
        <f>"03877"</f>
        <v>03877</v>
      </c>
      <c r="E5389" s="1" t="s">
        <v>40</v>
      </c>
      <c r="F5389" s="1">
        <v>16</v>
      </c>
      <c r="G5389" s="1">
        <v>11</v>
      </c>
      <c r="H5389" s="1">
        <v>2</v>
      </c>
      <c r="I5389" s="1" t="s">
        <v>9438</v>
      </c>
      <c r="K5389" s="1" t="str">
        <f t="shared" si="346"/>
        <v>ㄌ</v>
      </c>
      <c r="L5389" s="1" t="str">
        <f t="shared" si="347"/>
        <v>ㄩ</v>
      </c>
      <c r="N5389" s="3" t="s">
        <v>30575</v>
      </c>
      <c r="O5389" s="3"/>
      <c r="P5389" s="1" t="s">
        <v>20</v>
      </c>
      <c r="R5389" s="1" t="s">
        <v>9439</v>
      </c>
      <c r="V5389" s="1" t="s">
        <v>9445</v>
      </c>
      <c r="W5389" s="1" t="s">
        <v>9446</v>
      </c>
      <c r="AR5389" s="1" t="str">
        <f t="shared" si="348"/>
        <v>| [ㄌㄩˊ](ㄌㄩˊ.md) | [瘻](瘻.md) |  | lǘ | 參見「痀瘻」條。 |</v>
      </c>
    </row>
    <row r="5390" spans="1:44" hidden="1">
      <c r="A5390" s="1" t="s">
        <v>9447</v>
      </c>
      <c r="C5390" s="1">
        <v>1</v>
      </c>
      <c r="D5390" s="1" t="str">
        <f>"03878"</f>
        <v>03878</v>
      </c>
      <c r="E5390" s="1" t="s">
        <v>537</v>
      </c>
      <c r="F5390" s="1">
        <v>18</v>
      </c>
      <c r="G5390" s="1">
        <v>11</v>
      </c>
      <c r="H5390" s="1">
        <v>2</v>
      </c>
      <c r="I5390" s="1" t="s">
        <v>9438</v>
      </c>
      <c r="K5390" s="1" t="str">
        <f t="shared" si="346"/>
        <v>ㄌ</v>
      </c>
      <c r="L5390" s="1" t="str">
        <f t="shared" si="347"/>
        <v>ㄩ</v>
      </c>
      <c r="N5390" s="3" t="s">
        <v>30575</v>
      </c>
      <c r="O5390" s="3"/>
      <c r="P5390" s="1" t="s">
        <v>110</v>
      </c>
      <c r="R5390" s="1" t="s">
        <v>9439</v>
      </c>
      <c r="V5390" s="1" t="s">
        <v>111</v>
      </c>
      <c r="W5390" s="1" t="s">
        <v>9448</v>
      </c>
      <c r="AR5390" s="1" t="str">
        <f t="shared" si="348"/>
        <v>| [ㄌㄩˊ](ㄌㄩˊ.md) | [貗](貗.md) |  | lǘ | (一)之又音。 |</v>
      </c>
    </row>
    <row r="5391" spans="1:44" hidden="1">
      <c r="A5391" s="1" t="s">
        <v>9449</v>
      </c>
      <c r="C5391" s="1">
        <v>1</v>
      </c>
      <c r="D5391" s="1" t="str">
        <f>"03879"</f>
        <v>03879</v>
      </c>
      <c r="E5391" s="1" t="s">
        <v>319</v>
      </c>
      <c r="F5391" s="1">
        <v>26</v>
      </c>
      <c r="G5391" s="1">
        <v>16</v>
      </c>
      <c r="H5391" s="1">
        <v>0</v>
      </c>
      <c r="I5391" s="1" t="s">
        <v>9438</v>
      </c>
      <c r="K5391" s="1" t="str">
        <f t="shared" si="346"/>
        <v>ㄌ</v>
      </c>
      <c r="L5391" s="1" t="str">
        <f t="shared" si="347"/>
        <v>ㄩ</v>
      </c>
      <c r="N5391" s="3" t="s">
        <v>30575</v>
      </c>
      <c r="O5391" s="3"/>
      <c r="P5391" s="1" t="s">
        <v>20</v>
      </c>
      <c r="R5391" s="1" t="s">
        <v>9439</v>
      </c>
      <c r="V5391" s="1" t="s">
        <v>9450</v>
      </c>
      <c r="AR5391" s="1" t="str">
        <f t="shared" si="348"/>
        <v>| [ㄌㄩˊ](ㄌㄩˊ.md) | [驢](驢.md) |  | lǘ | [名]
動物名。哺乳綱奇蹄目馬科。似馬而小，耳頰較馬長，短鬣，毛多為灰褐色，尾部像牛尾。性溫馴，能負物及供坐騎。俗稱為「驢子」。
[形]
笨拙、土氣、愚蠢。如：「瞧他那副驢樣子，真好笑！」 |</v>
      </c>
    </row>
    <row r="5392" spans="1:44" hidden="1">
      <c r="A5392" s="1" t="s">
        <v>9451</v>
      </c>
      <c r="C5392" s="1">
        <v>1</v>
      </c>
      <c r="D5392" s="1" t="str">
        <f>"03880"</f>
        <v>03880</v>
      </c>
      <c r="E5392" s="1" t="s">
        <v>28</v>
      </c>
      <c r="F5392" s="1">
        <v>7</v>
      </c>
      <c r="G5392" s="1">
        <v>4</v>
      </c>
      <c r="H5392" s="1">
        <v>0</v>
      </c>
      <c r="I5392" s="1" t="s">
        <v>9452</v>
      </c>
      <c r="K5392" s="1" t="str">
        <f t="shared" si="346"/>
        <v>ㄌ</v>
      </c>
      <c r="L5392" s="1" t="str">
        <f t="shared" si="347"/>
        <v>ㄩ</v>
      </c>
      <c r="N5392" s="3" t="s">
        <v>30576</v>
      </c>
      <c r="O5392" s="3"/>
      <c r="P5392" s="1" t="s">
        <v>20</v>
      </c>
      <c r="R5392" s="1" t="s">
        <v>9453</v>
      </c>
      <c r="V5392" s="1" t="s">
        <v>9454</v>
      </c>
      <c r="AR5392" s="1" t="str">
        <f t="shared" si="348"/>
        <v>| [ㄌㄩˇ](ㄌㄩˇ.md) | [呂](呂.md) |  | lǚ | [名]
1.脊椎骨。同「膂」。《說文解字．呂部》：「呂，脊骨也。」
2.參見「律呂」條。
3.姓。如春秋時秦國有呂不韋，宋代有呂惠卿。 |</v>
      </c>
    </row>
    <row r="5393" spans="1:44" hidden="1">
      <c r="A5393" s="1" t="s">
        <v>9455</v>
      </c>
      <c r="C5393" s="1">
        <v>1</v>
      </c>
      <c r="D5393" s="1" t="str">
        <f>"03881"</f>
        <v>03881</v>
      </c>
      <c r="E5393" s="1" t="s">
        <v>114</v>
      </c>
      <c r="F5393" s="1">
        <v>9</v>
      </c>
      <c r="G5393" s="1">
        <v>7</v>
      </c>
      <c r="H5393" s="1">
        <v>0</v>
      </c>
      <c r="I5393" s="1" t="s">
        <v>9452</v>
      </c>
      <c r="K5393" s="1" t="str">
        <f t="shared" si="346"/>
        <v>ㄌ</v>
      </c>
      <c r="L5393" s="1" t="str">
        <f t="shared" si="347"/>
        <v>ㄩ</v>
      </c>
      <c r="N5393" s="3" t="s">
        <v>30576</v>
      </c>
      <c r="O5393" s="3"/>
      <c r="P5393" s="1" t="s">
        <v>20</v>
      </c>
      <c r="R5393" s="1" t="s">
        <v>9453</v>
      </c>
      <c r="V5393" s="1" t="s">
        <v>9456</v>
      </c>
      <c r="AR5393" s="1" t="str">
        <f t="shared" si="348"/>
        <v>| [ㄌㄩˇ](ㄌㄩˇ.md) | [侶](侶.md) |  | lǚ | [名]
同伴。如：「伴侶」、「情侶」。《文選．王襃．四子講德論》：「於是相與結侶，攜手俱游。」
[動]
結為同伴。宋．蘇軾〈赤壁賦〉：「況吾與子漁樵於江渚之上，侶魚蝦而友麋鹿。」 |</v>
      </c>
    </row>
    <row r="5394" spans="1:44" hidden="1">
      <c r="A5394" s="1" t="s">
        <v>9457</v>
      </c>
      <c r="C5394" s="1">
        <v>1</v>
      </c>
      <c r="D5394" s="1" t="str">
        <f>"03882"</f>
        <v>03882</v>
      </c>
      <c r="E5394" s="1" t="s">
        <v>256</v>
      </c>
      <c r="F5394" s="1">
        <v>10</v>
      </c>
      <c r="G5394" s="1">
        <v>7</v>
      </c>
      <c r="H5394" s="1">
        <v>0</v>
      </c>
      <c r="I5394" s="1" t="s">
        <v>9452</v>
      </c>
      <c r="K5394" s="1" t="str">
        <f t="shared" si="346"/>
        <v>ㄌ</v>
      </c>
      <c r="L5394" s="1" t="str">
        <f t="shared" si="347"/>
        <v>ㄩ</v>
      </c>
      <c r="N5394" s="3" t="s">
        <v>30576</v>
      </c>
      <c r="O5394" s="3"/>
      <c r="P5394" s="1" t="s">
        <v>20</v>
      </c>
      <c r="R5394" s="1" t="s">
        <v>9453</v>
      </c>
      <c r="V5394" s="1" t="s">
        <v>9458</v>
      </c>
      <c r="AR5394" s="1" t="str">
        <f t="shared" si="348"/>
        <v>| [ㄌㄩˇ](ㄌㄩˇ.md) | [郘](郘.md) |  | lǚ | [名]
古代的亭子名稱。《玉篇．邑部》：「郘，鄨縣亭名。」 |</v>
      </c>
    </row>
    <row r="5395" spans="1:44" hidden="1">
      <c r="A5395" s="1" t="s">
        <v>9459</v>
      </c>
      <c r="C5395" s="1">
        <v>1</v>
      </c>
      <c r="D5395" s="1" t="str">
        <f>"03883"</f>
        <v>03883</v>
      </c>
      <c r="E5395" s="1" t="s">
        <v>139</v>
      </c>
      <c r="F5395" s="1">
        <v>11</v>
      </c>
      <c r="G5395" s="1">
        <v>7</v>
      </c>
      <c r="H5395" s="1">
        <v>0</v>
      </c>
      <c r="I5395" s="1" t="s">
        <v>9452</v>
      </c>
      <c r="K5395" s="1" t="str">
        <f t="shared" si="346"/>
        <v>ㄌ</v>
      </c>
      <c r="L5395" s="1" t="str">
        <f t="shared" si="347"/>
        <v>ㄩ</v>
      </c>
      <c r="N5395" s="3" t="s">
        <v>30576</v>
      </c>
      <c r="O5395" s="3"/>
      <c r="P5395" s="1" t="s">
        <v>20</v>
      </c>
      <c r="R5395" s="1" t="s">
        <v>9453</v>
      </c>
      <c r="V5395" s="1" t="s">
        <v>9460</v>
      </c>
      <c r="AR5395" s="1" t="str">
        <f t="shared" si="348"/>
        <v>| [ㄌㄩˇ](ㄌㄩˇ.md) | [梠](梠.md) |  | lǚ | [名]
安裝在屋檐上的橫木，用以聯接屋椽，使之齊平。通「楣」。宋．王安石〈後元豐行〉：「水秧綿綿復多稌，龍骨長乾掛梁梠。」 |</v>
      </c>
    </row>
    <row r="5396" spans="1:44" hidden="1">
      <c r="A5396" s="1" t="s">
        <v>9461</v>
      </c>
      <c r="C5396" s="1">
        <v>1</v>
      </c>
      <c r="D5396" s="1" t="str">
        <f>"03884"</f>
        <v>03884</v>
      </c>
      <c r="E5396" s="1" t="s">
        <v>55</v>
      </c>
      <c r="F5396" s="1">
        <v>15</v>
      </c>
      <c r="G5396" s="1">
        <v>7</v>
      </c>
      <c r="H5396" s="1">
        <v>0</v>
      </c>
      <c r="I5396" s="1" t="s">
        <v>9452</v>
      </c>
      <c r="K5396" s="1" t="str">
        <f t="shared" si="346"/>
        <v>ㄌ</v>
      </c>
      <c r="L5396" s="1" t="str">
        <f t="shared" si="347"/>
        <v>ㄩ</v>
      </c>
      <c r="N5396" s="3" t="s">
        <v>30576</v>
      </c>
      <c r="O5396" s="3"/>
      <c r="P5396" s="1" t="s">
        <v>20</v>
      </c>
      <c r="R5396" s="1" t="s">
        <v>9453</v>
      </c>
      <c r="V5396" s="1" t="s">
        <v>9462</v>
      </c>
      <c r="AR5396" s="1" t="str">
        <f t="shared" si="348"/>
        <v>| [ㄌㄩˇ](ㄌㄩˇ.md) | [鋁](鋁.md) |  | lǚ | [名]
（aluminium，Al）化學元素。原子序13。金屬元素之一。其色銀白，質輕不鏽，富延展性，傳熱及導電性極佳。可加工製成電線、鋁箔、日常用器皿等，鋁合金可作為飛機、汽車、船舶等的結構材料，用途廣泛。 |</v>
      </c>
    </row>
    <row r="5397" spans="1:44" hidden="1">
      <c r="A5397" s="1" t="s">
        <v>9463</v>
      </c>
      <c r="C5397" s="1">
        <v>1</v>
      </c>
      <c r="D5397" s="1" t="str">
        <f>"03885"</f>
        <v>03885</v>
      </c>
      <c r="E5397" s="1" t="s">
        <v>800</v>
      </c>
      <c r="F5397" s="1">
        <v>10</v>
      </c>
      <c r="G5397" s="1">
        <v>6</v>
      </c>
      <c r="H5397" s="1">
        <v>0</v>
      </c>
      <c r="I5397" s="1" t="s">
        <v>9452</v>
      </c>
      <c r="K5397" s="1" t="str">
        <f t="shared" si="346"/>
        <v>ㄌ</v>
      </c>
      <c r="L5397" s="1" t="str">
        <f t="shared" si="347"/>
        <v>ㄩ</v>
      </c>
      <c r="N5397" s="3" t="s">
        <v>30576</v>
      </c>
      <c r="O5397" s="3"/>
      <c r="P5397" s="1" t="s">
        <v>20</v>
      </c>
      <c r="R5397" s="1" t="s">
        <v>9453</v>
      </c>
      <c r="V5397" s="1" t="s">
        <v>9464</v>
      </c>
      <c r="AR5397" s="1" t="str">
        <f t="shared" si="348"/>
        <v>| [ㄌㄩˇ](ㄌㄩˇ.md) | [旅](旅.md) |  | lǚ | [名]
1.軍隊的編制單位。現代陸軍編制為師轄旅，旅轄營，亦有直屬軍團的獨立旅。
2.軍隊。如：「軍旅」、「勁旅」。《書經．大禹謨》：「班師振旅。」《詩經．大雅．皇矣》：「斯怒，爰整其旅。」
3.商賈。《禮記．月令》：「易關市，來商旅。」漢．鄭玄．注：「商旅，賈客也。」
4.《易經》卦名。六十四卦之一。艮（☶）下離（☲）上，表羈旅之意。
5.姓。如漢代有旅卿。
[動]
客居、寄居。如：「旅居」。《左傳．莊公二十二年》：「羈旅之臣，幸若獲宥。」
[形]
1.客居外地的。如：「旅情」、「旅夜」。《文選．謝朓．之宣城出新林浦向版橋詩》：「旅思倦搖搖，孤遊昔已屢。」
2.供旅客所居的。如：「旅店」、「旅舍」。南朝宋．謝靈運〈遊南亭詩〉：「久痗昏墊苦，旅館眺郊歧。」 |</v>
      </c>
    </row>
    <row r="5398" spans="1:44" hidden="1">
      <c r="A5398" s="1" t="s">
        <v>9465</v>
      </c>
      <c r="C5398" s="1">
        <v>1</v>
      </c>
      <c r="D5398" s="1" t="str">
        <f>"03886"</f>
        <v>03886</v>
      </c>
      <c r="E5398" s="1" t="s">
        <v>68</v>
      </c>
      <c r="F5398" s="1">
        <v>14</v>
      </c>
      <c r="G5398" s="1">
        <v>10</v>
      </c>
      <c r="H5398" s="1">
        <v>0</v>
      </c>
      <c r="I5398" s="1" t="s">
        <v>9452</v>
      </c>
      <c r="K5398" s="1" t="str">
        <f t="shared" si="346"/>
        <v>ㄌ</v>
      </c>
      <c r="L5398" s="1" t="str">
        <f t="shared" si="347"/>
        <v>ㄩ</v>
      </c>
      <c r="N5398" s="3" t="s">
        <v>30576</v>
      </c>
      <c r="O5398" s="3"/>
      <c r="P5398" s="1" t="s">
        <v>20</v>
      </c>
      <c r="R5398" s="1" t="s">
        <v>9453</v>
      </c>
      <c r="V5398" s="1" t="s">
        <v>9466</v>
      </c>
      <c r="AR5398" s="1" t="str">
        <f t="shared" si="348"/>
        <v>| [ㄌㄩˇ](ㄌㄩˇ.md) | [膂](膂.md) |  | lǚ | [名]
1.脊椎骨。《說文解字．呂部》：「呂，脊骨也。膂，篆文呂。」明．方孝孺〈指喻〉：「近拇之指，皆為之痛，若剟刺狀，肢體心膂無不病者。」
2.比喻重要的地位。《書經．君牙》：「今命爾予翼，作股肱心膂。」晉．庾亮〈讓中書監表〉：「而使內處心膂，外總兵權，以此求治，未之聞也。」
3.比喻居中的地點。晉．常璩《華陽國志．卷一〇中．犍為士女》：「孝子隗通為母汲江膂水。」 |</v>
      </c>
    </row>
    <row r="5399" spans="1:44" hidden="1">
      <c r="A5399" s="1" t="s">
        <v>7848</v>
      </c>
      <c r="C5399" s="1">
        <v>1</v>
      </c>
      <c r="D5399" s="1" t="str">
        <f>"03887"</f>
        <v>03887</v>
      </c>
      <c r="E5399" s="1" t="s">
        <v>24</v>
      </c>
      <c r="F5399" s="1">
        <v>10</v>
      </c>
      <c r="G5399" s="1">
        <v>7</v>
      </c>
      <c r="H5399" s="1">
        <v>2</v>
      </c>
      <c r="I5399" s="1" t="s">
        <v>9452</v>
      </c>
      <c r="K5399" s="1" t="str">
        <f t="shared" si="346"/>
        <v>ㄌ</v>
      </c>
      <c r="L5399" s="1" t="str">
        <f t="shared" si="347"/>
        <v>ㄩ</v>
      </c>
      <c r="N5399" s="3" t="s">
        <v>30576</v>
      </c>
      <c r="O5399" s="3"/>
      <c r="P5399" s="1" t="s">
        <v>20</v>
      </c>
      <c r="R5399" s="1" t="s">
        <v>9453</v>
      </c>
      <c r="V5399" s="1" t="s">
        <v>9467</v>
      </c>
      <c r="W5399" s="1" t="s">
        <v>9468</v>
      </c>
      <c r="AR5399" s="1" t="str">
        <f t="shared" si="348"/>
        <v>| [ㄌㄩˇ](ㄌㄩˇ.md) | [捋](捋.md) |  | lǚ | [動]
1.採取。《詩經．周南．芣苢》：「采采芣苢，薄言捋之。」
2.用手指順著抹過去，使物體平順、光溜。如：「捋鬍鬚」。《樂府詩集．卷二八．相和歌辭三．無名氏．陌上桑》：「行者見羅敷，下擔捋髭鬚。」
3.拿取。《聊齋志異．卷二．巧娘》：「婦欲捋衣視生，一振衣，書落榻上。」 |</v>
      </c>
    </row>
    <row r="5400" spans="1:44" hidden="1">
      <c r="A5400" s="1" t="s">
        <v>8080</v>
      </c>
      <c r="C5400" s="1">
        <v>1</v>
      </c>
      <c r="D5400" s="1" t="str">
        <f>"03888"</f>
        <v>03888</v>
      </c>
      <c r="E5400" s="1" t="s">
        <v>534</v>
      </c>
      <c r="F5400" s="1">
        <v>11</v>
      </c>
      <c r="G5400" s="1">
        <v>8</v>
      </c>
      <c r="H5400" s="1">
        <v>2</v>
      </c>
      <c r="I5400" s="1" t="s">
        <v>9452</v>
      </c>
      <c r="K5400" s="1" t="str">
        <f t="shared" si="346"/>
        <v>ㄌ</v>
      </c>
      <c r="L5400" s="1" t="str">
        <f t="shared" si="347"/>
        <v>ㄩ</v>
      </c>
      <c r="N5400" s="3" t="s">
        <v>30576</v>
      </c>
      <c r="O5400" s="3"/>
      <c r="P5400" s="1" t="s">
        <v>20</v>
      </c>
      <c r="R5400" s="1" t="s">
        <v>9453</v>
      </c>
      <c r="V5400" s="1" t="s">
        <v>9469</v>
      </c>
      <c r="W5400" s="1" t="s">
        <v>9470</v>
      </c>
      <c r="AR5400" s="1" t="str">
        <f t="shared" si="348"/>
        <v>| [ㄌㄩˇ](ㄌㄩˇ.md) | [婁](婁.md) |  | lǚ | [副]
多次、屢次。《說文解字．女部》「婁」字清．段玉裁．注：「婁，婁之義又為數也。此正如窗牖、麗廔之多孔也，而轉其音為力住切。俗乃加尸旁為屢字。古有婁無屢也。」《漢書．卷六四上．嚴朱吾丘主父徐嚴終王賈傳．嚴助》：「朝廷多事，婁舉賢良文學之士。」 |</v>
      </c>
    </row>
    <row r="5401" spans="1:44" hidden="1">
      <c r="A5401" s="1" t="s">
        <v>8091</v>
      </c>
      <c r="C5401" s="1">
        <v>1</v>
      </c>
      <c r="D5401" s="1" t="str">
        <f>"03889"</f>
        <v>03889</v>
      </c>
      <c r="E5401" s="1" t="s">
        <v>250</v>
      </c>
      <c r="F5401" s="1">
        <v>14</v>
      </c>
      <c r="G5401" s="1">
        <v>11</v>
      </c>
      <c r="H5401" s="1">
        <v>2</v>
      </c>
      <c r="I5401" s="1" t="s">
        <v>9452</v>
      </c>
      <c r="K5401" s="1" t="str">
        <f t="shared" si="346"/>
        <v>ㄌ</v>
      </c>
      <c r="L5401" s="1" t="str">
        <f t="shared" si="347"/>
        <v>ㄩ</v>
      </c>
      <c r="N5401" s="3" t="s">
        <v>30576</v>
      </c>
      <c r="O5401" s="3"/>
      <c r="P5401" s="1" t="s">
        <v>20</v>
      </c>
      <c r="R5401" s="1" t="s">
        <v>9453</v>
      </c>
      <c r="V5401" s="1" t="s">
        <v>9471</v>
      </c>
      <c r="W5401" s="1" t="s">
        <v>9472</v>
      </c>
      <c r="AR5401" s="1" t="str">
        <f t="shared" si="348"/>
        <v>| [ㄌㄩˇ](ㄌㄩˇ.md) | [慺](慺.md) |  | lǚ | [名]
姓。《集韻．上聲．噳韻》：「慺，姓也。」 |</v>
      </c>
    </row>
    <row r="5402" spans="1:44" hidden="1">
      <c r="A5402" s="1" t="s">
        <v>9473</v>
      </c>
      <c r="C5402" s="1">
        <v>1</v>
      </c>
      <c r="D5402" s="1" t="str">
        <f>"03890"</f>
        <v>03890</v>
      </c>
      <c r="E5402" s="1" t="s">
        <v>871</v>
      </c>
      <c r="F5402" s="1">
        <v>14</v>
      </c>
      <c r="G5402" s="1">
        <v>11</v>
      </c>
      <c r="H5402" s="1">
        <v>0</v>
      </c>
      <c r="I5402" s="1" t="s">
        <v>9452</v>
      </c>
      <c r="K5402" s="1" t="str">
        <f t="shared" si="346"/>
        <v>ㄌ</v>
      </c>
      <c r="L5402" s="1" t="str">
        <f t="shared" si="347"/>
        <v>ㄩ</v>
      </c>
      <c r="N5402" s="3" t="s">
        <v>30576</v>
      </c>
      <c r="O5402" s="3"/>
      <c r="P5402" s="1" t="s">
        <v>20</v>
      </c>
      <c r="R5402" s="1" t="s">
        <v>9453</v>
      </c>
      <c r="V5402" s="1" t="s">
        <v>9474</v>
      </c>
      <c r="AR5402" s="1" t="str">
        <f t="shared" si="348"/>
        <v>| [ㄌㄩˇ](ㄌㄩˇ.md) | [屢](屢.md) |  | lǚ | [副]
每每、經常、數次。如：「屢試不爽」、「屢見不鮮」。《詩經．小雅．正月》：「屢顧爾僕，不輸爾載。」宋．陸游．〈送范舍人還朝〉詩：「酒醒客散獨悽然，枕上屢揮憂國淚。」 |</v>
      </c>
    </row>
    <row r="5403" spans="1:44" hidden="1">
      <c r="A5403" s="1" t="s">
        <v>9475</v>
      </c>
      <c r="C5403" s="1">
        <v>1</v>
      </c>
      <c r="D5403" s="1" t="str">
        <f>"03891"</f>
        <v>03891</v>
      </c>
      <c r="E5403" s="1" t="s">
        <v>340</v>
      </c>
      <c r="F5403" s="1">
        <v>17</v>
      </c>
      <c r="G5403" s="1">
        <v>11</v>
      </c>
      <c r="H5403" s="1">
        <v>0</v>
      </c>
      <c r="I5403" s="1" t="s">
        <v>9452</v>
      </c>
      <c r="K5403" s="1" t="str">
        <f t="shared" si="346"/>
        <v>ㄌ</v>
      </c>
      <c r="L5403" s="1" t="str">
        <f t="shared" si="347"/>
        <v>ㄩ</v>
      </c>
      <c r="N5403" s="3" t="s">
        <v>30576</v>
      </c>
      <c r="O5403" s="3"/>
      <c r="P5403" s="1" t="s">
        <v>20</v>
      </c>
      <c r="R5403" s="1" t="s">
        <v>9453</v>
      </c>
      <c r="V5403" s="1" t="s">
        <v>9476</v>
      </c>
      <c r="AR5403" s="1" t="str">
        <f t="shared" si="348"/>
        <v>| [ㄌㄩˇ](ㄌㄩˇ.md) | [褸](褸.md) |  | lǚ | [名]
衣襟。漢．揚雄《方言》卷四：「褸謂之衽。」晉．郭璞．注：「衣襟也。或曰裳際也。」
[形]
衣服破敝。《玉篇．衣部》：「褸，衣壞也。」如：「衣衫襤褸」。 |</v>
      </c>
    </row>
    <row r="5404" spans="1:44" hidden="1">
      <c r="A5404" s="1" t="s">
        <v>9477</v>
      </c>
      <c r="C5404" s="1">
        <v>1</v>
      </c>
      <c r="D5404" s="1" t="str">
        <f>"03892"</f>
        <v>03892</v>
      </c>
      <c r="E5404" s="1" t="s">
        <v>725</v>
      </c>
      <c r="F5404" s="1">
        <v>17</v>
      </c>
      <c r="G5404" s="1">
        <v>11</v>
      </c>
      <c r="H5404" s="1">
        <v>0</v>
      </c>
      <c r="I5404" s="1" t="s">
        <v>9452</v>
      </c>
      <c r="K5404" s="1" t="str">
        <f t="shared" si="346"/>
        <v>ㄌ</v>
      </c>
      <c r="L5404" s="1" t="str">
        <f t="shared" si="347"/>
        <v>ㄩ</v>
      </c>
      <c r="N5404" s="3" t="s">
        <v>30576</v>
      </c>
      <c r="O5404" s="3"/>
      <c r="P5404" s="1" t="s">
        <v>20</v>
      </c>
      <c r="R5404" s="1" t="s">
        <v>9453</v>
      </c>
      <c r="V5404" s="1" t="s">
        <v>9478</v>
      </c>
      <c r="AR5404" s="1" t="str">
        <f t="shared" si="348"/>
        <v>| [ㄌㄩˇ](ㄌㄩˇ.md) | [縷](縷.md) |  | lǚ | [名]
1.線、麻線。《說文解字．糸部》：「縷，線也。」《孟子．滕文公上》：「麻縷絲絮輕重同，則賈相若。」宋．蘇軾〈赤壁賦〉：「餘音嫋嫋，不絕如縷。」
2.量詞。計算纖細條狀物的單位。如：「一縷頭髮」、「一縷炊煙」。《紅樓夢》第一八回：「軟襯三春草，柔拖一縷香。」
[動]
刺繡。唐．白居易〈繡觀音菩薩讚．序〉：「紉針縷綵，絡金綴珠。」《水滸傳》第九六回：「星冠攢玉，鶴氅縷金。」
[副]
詳細的。如：「縷析」、「縷述」。《文選．枚乘．七發》：「雖有心略辭給，固未能縷形其所由然也。」 |</v>
      </c>
    </row>
    <row r="5405" spans="1:44" hidden="1">
      <c r="A5405" s="1" t="s">
        <v>9479</v>
      </c>
      <c r="C5405" s="1">
        <v>1</v>
      </c>
      <c r="D5405" s="1" t="str">
        <f>"03893"</f>
        <v>03893</v>
      </c>
      <c r="E5405" s="1" t="s">
        <v>871</v>
      </c>
      <c r="F5405" s="1">
        <v>15</v>
      </c>
      <c r="G5405" s="1">
        <v>12</v>
      </c>
      <c r="H5405" s="1">
        <v>0</v>
      </c>
      <c r="I5405" s="1" t="s">
        <v>9452</v>
      </c>
      <c r="K5405" s="1" t="str">
        <f t="shared" si="346"/>
        <v>ㄌ</v>
      </c>
      <c r="L5405" s="1" t="str">
        <f t="shared" si="347"/>
        <v>ㄩ</v>
      </c>
      <c r="N5405" s="3" t="s">
        <v>30576</v>
      </c>
      <c r="O5405" s="3"/>
      <c r="P5405" s="1" t="s">
        <v>20</v>
      </c>
      <c r="R5405" s="1" t="s">
        <v>9453</v>
      </c>
      <c r="V5405" s="1" t="s">
        <v>9480</v>
      </c>
      <c r="AR5405" s="1" t="str">
        <f t="shared" si="348"/>
        <v>| [ㄌㄩˇ](ㄌㄩˇ.md) | [履](履.md) |  | lǚ | [名]
1.鞋子。如：「草履」、「削足適履」。《莊子．讓王》：「原憲華冠縰履，杖藜而應門。」
2.腳步。如：「步履」。《聊齋志異．卷一．畫壁》：「回顧，則垂髫兒，囅然竟去，履即從之。」
3.個人的行為操守。《晉書．卷六七．溫嶠等傳．史臣曰》：「太真性履純深，譽流邦族。」
4.領土。《左傳．僖公四年》：「賜我先君履，東至于海，西至于河。」晉．杜預．注：「履，所踐履之界。」
5.《易經》卦名。六十四卦之一。兌（☱）下乾（☰）上。表行履的禮儀之意。
6.姓。如春秋時晉國有履鞮。
[動]
1.踐踏、踩。《詩經．小雅．小旻》：「如臨深淵，如履薄冰。」宋．蘇軾〈後赤壁賦〉：予乃攝衣而上，履巉巖，披蒙茸。」
2.實行。如：「履行」、「履約」。《禮記．表記》：「處其位而不履其事，則亂也。」
3.經歷。《後漢書．卷五九．張衡傳》：「親履艱難者知下情，備經險易者達物偽。」《南史．卷七五．隱逸傳上．宗少文傳》：「凡所游履，皆圖之于室。」
4.居、處。《莊子．天道》：「而愚知處宜，貴踐履位。」漢．劉向《新序．卷四．雜事》：「夫執國之柄，履民之上。」 |</v>
      </c>
    </row>
    <row r="5406" spans="1:44" hidden="1">
      <c r="A5406" s="1" t="s">
        <v>9521</v>
      </c>
      <c r="C5406" s="1">
        <v>1</v>
      </c>
      <c r="D5406" s="1" t="str">
        <f>"03911"</f>
        <v>03911</v>
      </c>
      <c r="E5406" s="1" t="s">
        <v>646</v>
      </c>
      <c r="F5406" s="1">
        <v>6</v>
      </c>
      <c r="G5406" s="1">
        <v>2</v>
      </c>
      <c r="H5406" s="1">
        <v>0</v>
      </c>
      <c r="I5406" s="1" t="s">
        <v>9522</v>
      </c>
      <c r="K5406" s="1" t="str">
        <f t="shared" si="346"/>
        <v>ㄍ</v>
      </c>
      <c r="L5406" s="1" t="str">
        <f t="shared" si="347"/>
        <v>ㄚ</v>
      </c>
      <c r="M5406" s="1" t="str">
        <f t="shared" ref="M5406:M5469" si="349">MID(I5406, 3, 1)</f>
        <v/>
      </c>
      <c r="P5406" s="1" t="s">
        <v>20</v>
      </c>
      <c r="R5406" s="1" t="s">
        <v>9523</v>
      </c>
      <c r="V5406" s="1" t="s">
        <v>7786</v>
      </c>
      <c r="AR5406" s="1" t="str">
        <f t="shared" si="348"/>
        <v>| [ㄍㄚ](ㄍㄚ.md) | [旮](旮.md) |  | gā | 參見「旮旯」條。 |</v>
      </c>
    </row>
    <row r="5407" spans="1:44" hidden="1">
      <c r="A5407" s="1" t="s">
        <v>9528</v>
      </c>
      <c r="C5407" s="1">
        <v>1</v>
      </c>
      <c r="D5407" s="1" t="str">
        <f>"03913"</f>
        <v>03913</v>
      </c>
      <c r="E5407" s="1" t="s">
        <v>28</v>
      </c>
      <c r="F5407" s="1">
        <v>14</v>
      </c>
      <c r="G5407" s="1">
        <v>11</v>
      </c>
      <c r="H5407" s="1">
        <v>1</v>
      </c>
      <c r="I5407" s="1" t="s">
        <v>9522</v>
      </c>
      <c r="K5407" s="1" t="str">
        <f t="shared" si="346"/>
        <v>ㄍ</v>
      </c>
      <c r="L5407" s="1" t="str">
        <f t="shared" si="347"/>
        <v>ㄚ</v>
      </c>
      <c r="M5407" s="1" t="str">
        <f t="shared" si="349"/>
        <v/>
      </c>
      <c r="P5407" s="1" t="s">
        <v>20</v>
      </c>
      <c r="R5407" s="1" t="s">
        <v>9523</v>
      </c>
      <c r="V5407" s="1" t="s">
        <v>9529</v>
      </c>
      <c r="W5407" s="1" t="s">
        <v>9530</v>
      </c>
      <c r="AR5407" s="1" t="str">
        <f t="shared" si="348"/>
        <v>| [ㄍㄚ](ㄍㄚ.md) | [嘎](嘎.md) |  | gā | [擬]
形容短促而響亮的聲音。如：「電風扇嘎的一聲停住了。」 |</v>
      </c>
    </row>
    <row r="5408" spans="1:44" hidden="1">
      <c r="A5408" s="1" t="s">
        <v>9553</v>
      </c>
      <c r="C5408" s="1">
        <v>1</v>
      </c>
      <c r="D5408" s="1" t="str">
        <f>"03920"</f>
        <v>03920</v>
      </c>
      <c r="E5408" s="1" t="s">
        <v>4785</v>
      </c>
      <c r="F5408" s="1">
        <v>4</v>
      </c>
      <c r="G5408" s="1">
        <v>0</v>
      </c>
      <c r="H5408" s="1">
        <v>0</v>
      </c>
      <c r="I5408" s="1" t="s">
        <v>9554</v>
      </c>
      <c r="K5408" s="1" t="str">
        <f t="shared" si="346"/>
        <v>ㄍ</v>
      </c>
      <c r="L5408" s="1" t="str">
        <f t="shared" si="347"/>
        <v>ㄜ</v>
      </c>
      <c r="M5408" s="1" t="str">
        <f t="shared" si="349"/>
        <v/>
      </c>
      <c r="P5408" s="1" t="s">
        <v>20</v>
      </c>
      <c r="R5408" s="1" t="s">
        <v>9555</v>
      </c>
      <c r="V5408" s="1" t="s">
        <v>9556</v>
      </c>
      <c r="AR5408" s="1" t="str">
        <f t="shared" si="348"/>
        <v>| [ㄍㄜ](ㄍㄜ.md) | [戈](戈.md) |  | gē | [名]
1.武器名。為長柄橫刃的平頭戟。如：「枕戈待旦」、「干戈」。《書經．費誓》：「備乃弓矢，鍛乃戈矛，礪乃鋒刃，無敢不善。」晉．熊遠〈因災異上疏〉：「臣子之責，宜在枕戈，為王前驅。」
2.戰爭。《後漢書．卷一三．公孫述傳》：「偃武息戈，卑辭事漢。」唐．杜甫〈秦州雜詩〉二〇首之一九：「鳳林戈未息，魚海路常難。」
3.譯音用字。為蒙古、滿洲話譯音所常用。如：「戈壁」、「戈什」。
4.姓。如宋代有戈彥，明代有戈尚友。
5.二一四部首之一。 |</v>
      </c>
    </row>
    <row r="5409" spans="1:44" hidden="1">
      <c r="A5409" s="1" t="s">
        <v>9557</v>
      </c>
      <c r="C5409" s="1">
        <v>1</v>
      </c>
      <c r="D5409" s="1" t="str">
        <f>"03921"</f>
        <v>03921</v>
      </c>
      <c r="E5409" s="1" t="s">
        <v>68</v>
      </c>
      <c r="F5409" s="1">
        <v>7</v>
      </c>
      <c r="G5409" s="1">
        <v>3</v>
      </c>
      <c r="H5409" s="1">
        <v>0</v>
      </c>
      <c r="I5409" s="1" t="s">
        <v>9554</v>
      </c>
      <c r="K5409" s="1" t="str">
        <f t="shared" si="346"/>
        <v>ㄍ</v>
      </c>
      <c r="L5409" s="1" t="str">
        <f t="shared" si="347"/>
        <v>ㄜ</v>
      </c>
      <c r="M5409" s="1" t="str">
        <f t="shared" si="349"/>
        <v/>
      </c>
      <c r="P5409" s="1" t="s">
        <v>20</v>
      </c>
      <c r="R5409" s="1" t="s">
        <v>9555</v>
      </c>
      <c r="V5409" s="1" t="s">
        <v>9558</v>
      </c>
      <c r="AR5409" s="1" t="str">
        <f t="shared" si="348"/>
        <v>| [ㄍㄜ](ㄍㄜ.md) | [肐](肐.md) |  | gē | [名]
從肩膀到手的部分。如：「肐膊」。 |</v>
      </c>
    </row>
    <row r="5410" spans="1:44" hidden="1">
      <c r="A5410" s="1" t="s">
        <v>9559</v>
      </c>
      <c r="C5410" s="1">
        <v>1</v>
      </c>
      <c r="D5410" s="1" t="str">
        <f>"03922"</f>
        <v>03922</v>
      </c>
      <c r="E5410" s="1" t="s">
        <v>40</v>
      </c>
      <c r="F5410" s="1">
        <v>8</v>
      </c>
      <c r="G5410" s="1">
        <v>3</v>
      </c>
      <c r="H5410" s="1">
        <v>0</v>
      </c>
      <c r="I5410" s="1" t="s">
        <v>9554</v>
      </c>
      <c r="K5410" s="1" t="str">
        <f t="shared" si="346"/>
        <v>ㄍ</v>
      </c>
      <c r="L5410" s="1" t="str">
        <f t="shared" si="347"/>
        <v>ㄜ</v>
      </c>
      <c r="M5410" s="1" t="str">
        <f t="shared" si="349"/>
        <v/>
      </c>
      <c r="P5410" s="1" t="s">
        <v>20</v>
      </c>
      <c r="R5410" s="1" t="s">
        <v>9555</v>
      </c>
      <c r="V5410" s="1" t="s">
        <v>9560</v>
      </c>
      <c r="AR5410" s="1" t="str">
        <f t="shared" si="348"/>
        <v>| [ㄍㄜ](ㄍㄜ.md) | [疙](疙.md) |  | gē | 參見「疙瘩」、「疙瘩湯」等條。 |</v>
      </c>
    </row>
    <row r="5411" spans="1:44" hidden="1">
      <c r="A5411" s="1" t="s">
        <v>9561</v>
      </c>
      <c r="C5411" s="1">
        <v>1</v>
      </c>
      <c r="D5411" s="1" t="str">
        <f>"03923"</f>
        <v>03923</v>
      </c>
      <c r="E5411" s="1" t="s">
        <v>725</v>
      </c>
      <c r="F5411" s="1">
        <v>9</v>
      </c>
      <c r="G5411" s="1">
        <v>3</v>
      </c>
      <c r="H5411" s="1">
        <v>2</v>
      </c>
      <c r="I5411" s="1" t="s">
        <v>9554</v>
      </c>
      <c r="K5411" s="1" t="str">
        <f t="shared" si="346"/>
        <v>ㄍ</v>
      </c>
      <c r="L5411" s="1" t="str">
        <f t="shared" si="347"/>
        <v>ㄜ</v>
      </c>
      <c r="M5411" s="1" t="str">
        <f t="shared" si="349"/>
        <v/>
      </c>
      <c r="P5411" s="1" t="s">
        <v>20</v>
      </c>
      <c r="R5411" s="1" t="s">
        <v>9555</v>
      </c>
      <c r="V5411" s="1" t="s">
        <v>9562</v>
      </c>
      <c r="W5411" s="1" t="s">
        <v>9563</v>
      </c>
      <c r="AR5411" s="1" t="str">
        <f t="shared" si="348"/>
        <v>| [ㄍㄜ](ㄍㄜ.md) | [紇](紇.md) |  | gē | 參見「紇繨」、「紇刺星」等條。 |</v>
      </c>
    </row>
    <row r="5412" spans="1:44" hidden="1">
      <c r="A5412" s="1" t="s">
        <v>7823</v>
      </c>
      <c r="C5412" s="1">
        <v>1</v>
      </c>
      <c r="D5412" s="1" t="str">
        <f>"03924"</f>
        <v>03924</v>
      </c>
      <c r="E5412" s="1" t="s">
        <v>28</v>
      </c>
      <c r="F5412" s="1">
        <v>9</v>
      </c>
      <c r="G5412" s="1">
        <v>6</v>
      </c>
      <c r="H5412" s="1">
        <v>3</v>
      </c>
      <c r="I5412" s="1" t="s">
        <v>9554</v>
      </c>
      <c r="K5412" s="1" t="str">
        <f t="shared" si="346"/>
        <v>ㄍ</v>
      </c>
      <c r="L5412" s="1" t="str">
        <f t="shared" si="347"/>
        <v>ㄜ</v>
      </c>
      <c r="M5412" s="1" t="str">
        <f t="shared" si="349"/>
        <v/>
      </c>
      <c r="P5412" s="1" t="s">
        <v>20</v>
      </c>
      <c r="R5412" s="1" t="s">
        <v>9555</v>
      </c>
      <c r="V5412" s="1" t="s">
        <v>9564</v>
      </c>
      <c r="W5412" s="1" t="s">
        <v>9565</v>
      </c>
      <c r="AR5412" s="1" t="str">
        <f t="shared" si="348"/>
        <v>| [ㄍㄜ](ㄍㄜ.md) | [咯](咯.md) |  | gē | [名]
參見「咯噠」條。
[擬]
形容喉頭聲響、雞叫聲、笑聲等。如：「只聽見他喉頭咯的一聲，把藥丸吞下去了。」 |</v>
      </c>
    </row>
    <row r="5413" spans="1:44" hidden="1">
      <c r="A5413" s="1" t="s">
        <v>9566</v>
      </c>
      <c r="C5413" s="1">
        <v>1</v>
      </c>
      <c r="D5413" s="1" t="str">
        <f>"03925"</f>
        <v>03925</v>
      </c>
      <c r="E5413" s="1" t="s">
        <v>68</v>
      </c>
      <c r="F5413" s="1">
        <v>10</v>
      </c>
      <c r="G5413" s="1">
        <v>6</v>
      </c>
      <c r="H5413" s="1">
        <v>0</v>
      </c>
      <c r="I5413" s="1" t="s">
        <v>9554</v>
      </c>
      <c r="K5413" s="1" t="str">
        <f t="shared" si="346"/>
        <v>ㄍ</v>
      </c>
      <c r="L5413" s="1" t="str">
        <f t="shared" si="347"/>
        <v>ㄜ</v>
      </c>
      <c r="M5413" s="1" t="str">
        <f t="shared" si="349"/>
        <v/>
      </c>
      <c r="P5413" s="1" t="s">
        <v>20</v>
      </c>
      <c r="R5413" s="1" t="s">
        <v>9555</v>
      </c>
      <c r="V5413" s="1" t="s">
        <v>9567</v>
      </c>
      <c r="AR5413" s="1" t="str">
        <f t="shared" si="348"/>
        <v>| [ㄍㄜ](ㄍㄜ.md) | [胳](胳.md) |  | gē | [名]
1.腋下。《說文解字．肉部》：「胳，亦下也。」清．段玉裁．注：「亦、腋，古今字。」
2.從肩膀到手的部分。通「肐」。如：「胳膊」、「胳臂」。 |</v>
      </c>
    </row>
    <row r="5414" spans="1:44" hidden="1">
      <c r="A5414" s="1" t="s">
        <v>9568</v>
      </c>
      <c r="C5414" s="1">
        <v>1</v>
      </c>
      <c r="D5414" s="1" t="str">
        <f>"03926"</f>
        <v>03926</v>
      </c>
      <c r="E5414" s="1" t="s">
        <v>24</v>
      </c>
      <c r="F5414" s="1">
        <v>17</v>
      </c>
      <c r="G5414" s="1">
        <v>14</v>
      </c>
      <c r="H5414" s="1">
        <v>0</v>
      </c>
      <c r="I5414" s="1" t="s">
        <v>9554</v>
      </c>
      <c r="K5414" s="1" t="str">
        <f t="shared" si="346"/>
        <v>ㄍ</v>
      </c>
      <c r="L5414" s="1" t="str">
        <f t="shared" si="347"/>
        <v>ㄜ</v>
      </c>
      <c r="M5414" s="1" t="str">
        <f t="shared" si="349"/>
        <v/>
      </c>
      <c r="P5414" s="1" t="s">
        <v>20</v>
      </c>
      <c r="R5414" s="1" t="s">
        <v>9555</v>
      </c>
      <c r="V5414" s="1" t="s">
        <v>9569</v>
      </c>
      <c r="AR5414" s="1" t="str">
        <f t="shared" si="348"/>
        <v>| [ㄍㄜ](ㄍㄜ.md) | [擱](擱.md) |  | gē | [動]
1.放置、安放。如：「擱置」。《紅樓夢》第五七回：「我看見你文具裡頭有兩三面鏡子，你把那面小菱花的給我留下罷。我擱在枕頭旁邊，睡著好照。」
2.停留、停滯。如：「延擱」、「耽擱」。
3.添上、加上。如：「咖啡中多擱些糖。」
4.承受。《三俠五義》第六回：「瞧你老爺們這個勁兒，立刻給我個眼裡插棒槌，也要我們擱的住呀！」 |</v>
      </c>
    </row>
    <row r="5415" spans="1:44" hidden="1">
      <c r="A5415" s="1" t="s">
        <v>9570</v>
      </c>
      <c r="C5415" s="1">
        <v>1</v>
      </c>
      <c r="D5415" s="1" t="str">
        <f>"03927"</f>
        <v>03927</v>
      </c>
      <c r="E5415" s="1" t="s">
        <v>712</v>
      </c>
      <c r="F5415" s="1">
        <v>9</v>
      </c>
      <c r="G5415" s="1">
        <v>5</v>
      </c>
      <c r="H5415" s="1">
        <v>0</v>
      </c>
      <c r="I5415" s="1" t="s">
        <v>9554</v>
      </c>
      <c r="K5415" s="1" t="str">
        <f t="shared" si="346"/>
        <v>ㄍ</v>
      </c>
      <c r="L5415" s="1" t="str">
        <f t="shared" si="347"/>
        <v>ㄜ</v>
      </c>
      <c r="M5415" s="1" t="str">
        <f t="shared" si="349"/>
        <v/>
      </c>
      <c r="P5415" s="1" t="s">
        <v>20</v>
      </c>
      <c r="R5415" s="1" t="s">
        <v>9555</v>
      </c>
      <c r="V5415" s="1" t="s">
        <v>9571</v>
      </c>
      <c r="AR5415" s="1" t="str">
        <f t="shared" si="348"/>
        <v>| [ㄍㄜ](ㄍㄜ.md) | [牁](牁.md) |  | gē | 參見「牂牁」條。 |</v>
      </c>
    </row>
    <row r="5416" spans="1:44" hidden="1">
      <c r="A5416" s="1" t="s">
        <v>9572</v>
      </c>
      <c r="C5416" s="1">
        <v>1</v>
      </c>
      <c r="D5416" s="1" t="str">
        <f>"03928"</f>
        <v>03928</v>
      </c>
      <c r="E5416" s="1" t="s">
        <v>28</v>
      </c>
      <c r="F5416" s="1">
        <v>10</v>
      </c>
      <c r="G5416" s="1">
        <v>7</v>
      </c>
      <c r="H5416" s="1">
        <v>0</v>
      </c>
      <c r="I5416" s="1" t="s">
        <v>9554</v>
      </c>
      <c r="K5416" s="1" t="str">
        <f t="shared" si="346"/>
        <v>ㄍ</v>
      </c>
      <c r="L5416" s="1" t="str">
        <f t="shared" si="347"/>
        <v>ㄜ</v>
      </c>
      <c r="M5416" s="1" t="str">
        <f t="shared" si="349"/>
        <v/>
      </c>
      <c r="P5416" s="1" t="s">
        <v>20</v>
      </c>
      <c r="R5416" s="1" t="s">
        <v>9555</v>
      </c>
      <c r="V5416" s="1" t="s">
        <v>9573</v>
      </c>
      <c r="AR5416" s="1" t="str">
        <f t="shared" si="348"/>
        <v>| [ㄍㄜ](ㄍㄜ.md) | [哥](哥.md) |  | gē | [名]
1.歌曲。《說文解字．可部》：「哥，聲也。从二可，古文以為歌字。」清．段玉裁．注：「漢書多用哥為歌。」晉．傅玄〈節賦〉：「黃鍾唱哥，九韶興舞。」
2.稱謂： (1)用以稱兄長。如：「大哥」、「哥哥」。(2)用以稱同輩的男性。如：「老哥」、「小哥」。
[助]
用於句末的語尾助詞。常出現於宋元戲曲中，相當於「啊」。元．鄧玉賓〈叨叨令．想這堆金積玉〉曲：「為家私費盡些擔山力，你省的也麼哥。」 |</v>
      </c>
    </row>
    <row r="5417" spans="1:44" hidden="1">
      <c r="A5417" s="1" t="s">
        <v>9574</v>
      </c>
      <c r="C5417" s="1">
        <v>1</v>
      </c>
      <c r="D5417" s="1" t="str">
        <f>"03929"</f>
        <v>03929</v>
      </c>
      <c r="E5417" s="1" t="s">
        <v>1908</v>
      </c>
      <c r="F5417" s="1">
        <v>14</v>
      </c>
      <c r="G5417" s="1">
        <v>10</v>
      </c>
      <c r="H5417" s="1">
        <v>0</v>
      </c>
      <c r="I5417" s="1" t="s">
        <v>9554</v>
      </c>
      <c r="K5417" s="1" t="str">
        <f t="shared" si="346"/>
        <v>ㄍ</v>
      </c>
      <c r="L5417" s="1" t="str">
        <f t="shared" si="347"/>
        <v>ㄜ</v>
      </c>
      <c r="M5417" s="1" t="str">
        <f t="shared" si="349"/>
        <v/>
      </c>
      <c r="P5417" s="1" t="s">
        <v>20</v>
      </c>
      <c r="R5417" s="1" t="s">
        <v>9555</v>
      </c>
      <c r="V5417" s="1" t="s">
        <v>9575</v>
      </c>
      <c r="AR5417" s="1" t="str">
        <f t="shared" si="348"/>
        <v>| [ㄍㄜ](ㄍㄜ.md) | [歌](歌.md) |  | gē | [動]_x000D_
1.唱。按樂曲或節拍來發聲。如：「高歌一曲」、「引吭高歌」。《詩經．魏風．園有桃》：「心之憂矣，我歌且謠。」_x000D_
2.頌揚。如：「歌功頌德」。《漢書．卷六二．司馬遷傳》：「夫天下稱周公，言其能論歌文武之德，宣周召之風。」唐．李白〈天長節度使鄂州刺史韋公德政碑〉：「噫大塊之氣，歌炎漢之風。」_x000D_
[名]_x000D_
1.合樂的曲調。如：「民歌」、「俚歌」、「漁歌」。《書經．舜典》：「詩言志，歌永言。」《後漢書．卷八三．逸民列傳．梁鴻》：「因東出關，過京師，作五噫之歌。」_x000D_
2.一種詩歌體裁。屬於能唱的韻文。如〈長恨歌〉、〈子夜歌〉等。 |</v>
      </c>
    </row>
    <row r="5418" spans="1:44" hidden="1">
      <c r="A5418" s="1" t="s">
        <v>9576</v>
      </c>
      <c r="C5418" s="1">
        <v>1</v>
      </c>
      <c r="D5418" s="1" t="str">
        <f>"03930"</f>
        <v>03930</v>
      </c>
      <c r="E5418" s="1" t="s">
        <v>185</v>
      </c>
      <c r="F5418" s="1">
        <v>12</v>
      </c>
      <c r="G5418" s="1">
        <v>10</v>
      </c>
      <c r="H5418" s="1">
        <v>0</v>
      </c>
      <c r="I5418" s="1" t="s">
        <v>9554</v>
      </c>
      <c r="K5418" s="1" t="str">
        <f t="shared" si="346"/>
        <v>ㄍ</v>
      </c>
      <c r="L5418" s="1" t="str">
        <f t="shared" si="347"/>
        <v>ㄜ</v>
      </c>
      <c r="M5418" s="1" t="str">
        <f t="shared" si="349"/>
        <v/>
      </c>
      <c r="P5418" s="1" t="s">
        <v>20</v>
      </c>
      <c r="R5418" s="1" t="s">
        <v>9555</v>
      </c>
      <c r="V5418" s="1" t="s">
        <v>9577</v>
      </c>
      <c r="AR5418" s="1" t="str">
        <f t="shared" si="348"/>
        <v>| [ㄍㄜ](ㄍㄜ.md) | [割](割.md) |  | gē | [動]
1.用刀切開。如：「割傷」、「割肉」、「任人宰割」。《莊子．盜跖》：「介子推至忠也，自割其股，以食文公。」唐．李賀〈楊生青花紫石硯歌〉：「端州石工巧如神，踏天磨刀割紫雲。」
2.分開、劃分。如：「分割」。《戰國策．秦策四》：「三國之兵深矣，寡人欲割河東而講。」唐．杜甫〈望嶽〉詩：「造化鍾神秀，陰陽割昏曉。」
3.斷絕、捨棄。如：「割愛」。漢．王充《論衡．本性》：「長大之後，禁情割欲，勉厲為善矣。」
[名]
災害。《書經．大誥》：「天降割于我家。」 |</v>
      </c>
    </row>
    <row r="5419" spans="1:44" hidden="1">
      <c r="A5419" s="1" t="s">
        <v>9578</v>
      </c>
      <c r="C5419" s="1">
        <v>1</v>
      </c>
      <c r="D5419" s="1" t="str">
        <f>"03931"</f>
        <v>03931</v>
      </c>
      <c r="E5419" s="1" t="s">
        <v>272</v>
      </c>
      <c r="F5419" s="1">
        <v>17</v>
      </c>
      <c r="G5419" s="1">
        <v>6</v>
      </c>
      <c r="H5419" s="1">
        <v>0</v>
      </c>
      <c r="I5419" s="1" t="s">
        <v>9554</v>
      </c>
      <c r="K5419" s="1" t="str">
        <f t="shared" si="346"/>
        <v>ㄍ</v>
      </c>
      <c r="L5419" s="1" t="str">
        <f t="shared" si="347"/>
        <v>ㄜ</v>
      </c>
      <c r="M5419" s="1" t="str">
        <f t="shared" si="349"/>
        <v/>
      </c>
      <c r="P5419" s="1" t="s">
        <v>20</v>
      </c>
      <c r="R5419" s="1" t="s">
        <v>9555</v>
      </c>
      <c r="V5419" s="1" t="s">
        <v>9579</v>
      </c>
      <c r="AR5419" s="1" t="str">
        <f t="shared" si="348"/>
        <v>| [ㄍㄜ](ㄍㄜ.md) | [鴿](鴿.md) |  | gē | [名]_x000D_
動物名。與鳩同類，記憶力極強，飛翔迅速，經訓諫可用以傳書信。 |</v>
      </c>
    </row>
    <row r="5420" spans="1:44" hidden="1">
      <c r="A5420" s="1" t="s">
        <v>9675</v>
      </c>
      <c r="C5420" s="1">
        <v>1</v>
      </c>
      <c r="D5420" s="1" t="str">
        <f>"03971"</f>
        <v>03971</v>
      </c>
      <c r="E5420" s="1" t="s">
        <v>132</v>
      </c>
      <c r="F5420" s="1">
        <v>9</v>
      </c>
      <c r="G5420" s="1">
        <v>6</v>
      </c>
      <c r="H5420" s="1">
        <v>0</v>
      </c>
      <c r="I5420" s="1" t="s">
        <v>9676</v>
      </c>
      <c r="K5420" s="1" t="str">
        <f t="shared" si="346"/>
        <v>ㄍ</v>
      </c>
      <c r="L5420" s="1" t="str">
        <f t="shared" si="347"/>
        <v>ㄞ</v>
      </c>
      <c r="M5420" s="1" t="str">
        <f t="shared" si="349"/>
        <v/>
      </c>
      <c r="P5420" s="1" t="s">
        <v>20</v>
      </c>
      <c r="R5420" s="1" t="s">
        <v>9677</v>
      </c>
      <c r="V5420" s="1" t="s">
        <v>9678</v>
      </c>
      <c r="AR5420" s="1" t="str">
        <f t="shared" si="348"/>
        <v>| [ㄍㄞ](ㄍㄞ.md) | [垓](垓.md) |  | gāi | [名]
1.荒遠之地。《說文解字．土部》：「垓，兼晐八極地也。」清．段玉裁．注：「兼備八極之地謂之垓。」宋．王安石〈和王微之登高齋〉詩三首之一：「書成不得斷國論，但此空語傳八垓。」
2.界限、邊際。漢．揚雄〈衛尉箴〉：「重垠累垓，以難不律。」
3.數目字。古代以十兆為經，十經為垓。見《太平御覽．卷七五〇．工藝部．數》。 |</v>
      </c>
    </row>
    <row r="5421" spans="1:44" hidden="1">
      <c r="A5421" s="1" t="s">
        <v>9679</v>
      </c>
      <c r="C5421" s="1">
        <v>1</v>
      </c>
      <c r="D5421" s="1" t="str">
        <f>"03972"</f>
        <v>03972</v>
      </c>
      <c r="E5421" s="1" t="s">
        <v>691</v>
      </c>
      <c r="F5421" s="1">
        <v>9</v>
      </c>
      <c r="G5421" s="1">
        <v>6</v>
      </c>
      <c r="H5421" s="1">
        <v>0</v>
      </c>
      <c r="I5421" s="1" t="s">
        <v>9676</v>
      </c>
      <c r="K5421" s="1" t="str">
        <f t="shared" si="346"/>
        <v>ㄍ</v>
      </c>
      <c r="L5421" s="1" t="str">
        <f t="shared" si="347"/>
        <v>ㄞ</v>
      </c>
      <c r="M5421" s="1" t="str">
        <f t="shared" si="349"/>
        <v/>
      </c>
      <c r="P5421" s="1" t="s">
        <v>20</v>
      </c>
      <c r="R5421" s="1" t="s">
        <v>9677</v>
      </c>
      <c r="V5421" s="1" t="s">
        <v>9680</v>
      </c>
      <c r="AR5421" s="1" t="str">
        <f t="shared" si="348"/>
        <v>| [ㄍㄞ](ㄍㄞ.md) | [陔](陔.md) |  | gāi | [名]
1.石階的次序。《說文解字．阜部》：「陔，階次也。」
2.重、層。如：「九陔」。《漢書．卷二五．郊祀志上》：「祠壇放亳忌泰一壇，三陔。」
3.田中高地。《文選．束晳．補亡詩六首之一》：「循彼南陔，言采其蘭。」唐．劉禹錫〈和州送錢侍御自宣州幕拜官便於華州覲省〉詩：「蘭陔行可採，蓮府猶回瞪。」 |</v>
      </c>
    </row>
    <row r="5422" spans="1:44" hidden="1">
      <c r="A5422" s="1" t="s">
        <v>9681</v>
      </c>
      <c r="C5422" s="1">
        <v>1</v>
      </c>
      <c r="D5422" s="1" t="str">
        <f>"03973"</f>
        <v>03973</v>
      </c>
      <c r="E5422" s="1" t="s">
        <v>37</v>
      </c>
      <c r="F5422" s="1">
        <v>10</v>
      </c>
      <c r="G5422" s="1">
        <v>6</v>
      </c>
      <c r="H5422" s="1">
        <v>0</v>
      </c>
      <c r="I5422" s="1" t="s">
        <v>9676</v>
      </c>
      <c r="K5422" s="1" t="str">
        <f t="shared" si="346"/>
        <v>ㄍ</v>
      </c>
      <c r="L5422" s="1" t="str">
        <f t="shared" si="347"/>
        <v>ㄞ</v>
      </c>
      <c r="M5422" s="1" t="str">
        <f t="shared" si="349"/>
        <v/>
      </c>
      <c r="P5422" s="1" t="s">
        <v>20</v>
      </c>
      <c r="R5422" s="1" t="s">
        <v>9677</v>
      </c>
      <c r="V5422" s="1" t="s">
        <v>9682</v>
      </c>
      <c r="AR5422" s="1" t="str">
        <f t="shared" si="348"/>
        <v>| [ㄍㄞ](ㄍㄞ.md) | [荄](荄.md) |  | gāi | [名]
草根。《說文解字．艸部》：「荄，草根也。」宋．蘇軾〈冬至日獨遊吉祥寺〉詩：「井底微陽回未回，蕭蕭寒雨濕枯荄。」 |</v>
      </c>
    </row>
    <row r="5423" spans="1:44" hidden="1">
      <c r="A5423" s="1" t="s">
        <v>9683</v>
      </c>
      <c r="C5423" s="1">
        <v>1</v>
      </c>
      <c r="D5423" s="1" t="str">
        <f>"03974"</f>
        <v>03974</v>
      </c>
      <c r="E5423" s="1" t="s">
        <v>331</v>
      </c>
      <c r="F5423" s="1">
        <v>13</v>
      </c>
      <c r="G5423" s="1">
        <v>6</v>
      </c>
      <c r="H5423" s="1">
        <v>0</v>
      </c>
      <c r="I5423" s="1" t="s">
        <v>9676</v>
      </c>
      <c r="K5423" s="1" t="str">
        <f t="shared" si="346"/>
        <v>ㄍ</v>
      </c>
      <c r="L5423" s="1" t="str">
        <f t="shared" si="347"/>
        <v>ㄞ</v>
      </c>
      <c r="M5423" s="1" t="str">
        <f t="shared" si="349"/>
        <v/>
      </c>
      <c r="P5423" s="1" t="s">
        <v>20</v>
      </c>
      <c r="R5423" s="1" t="s">
        <v>9677</v>
      </c>
      <c r="V5423" s="1" t="s">
        <v>9684</v>
      </c>
      <c r="AR5423" s="1" t="str">
        <f t="shared" si="348"/>
        <v>| [ㄍㄞ](ㄍㄞ.md) | [該](該.md) |  | gāi | [副]
應當。如：「應該」。《老殘遊記》第一六回：「我們這時該睡了。」
[代]
指上述提到過的人或事物。如：「該處」、「該項」。
[動]
1.具備、兼備。漢．蔡邕〈司空袁逢碑〉：「信可謂兼三才而該剛柔。」
2.囊括、網羅。《文選．曹植．與楊德祖書》：「吾王於是設天網以該之，頓八紘以掩之。」
3.欠。如：「該帳」。《儒林外史》第五三回：「他該我幾兩銀子，我要向他取討。」
4.注定。元．白樸《牆頭馬上》第二折：「合是姻緣簿上該。」 |</v>
      </c>
    </row>
    <row r="5424" spans="1:44" hidden="1">
      <c r="A5424" s="1" t="s">
        <v>9685</v>
      </c>
      <c r="C5424" s="1">
        <v>1</v>
      </c>
      <c r="D5424" s="1" t="str">
        <f>"03975"</f>
        <v>03975</v>
      </c>
      <c r="E5424" s="1" t="s">
        <v>505</v>
      </c>
      <c r="F5424" s="1">
        <v>13</v>
      </c>
      <c r="G5424" s="1">
        <v>6</v>
      </c>
      <c r="H5424" s="1">
        <v>0</v>
      </c>
      <c r="I5424" s="1" t="s">
        <v>9676</v>
      </c>
      <c r="K5424" s="1" t="str">
        <f t="shared" si="346"/>
        <v>ㄍ</v>
      </c>
      <c r="L5424" s="1" t="str">
        <f t="shared" si="347"/>
        <v>ㄞ</v>
      </c>
      <c r="M5424" s="1" t="str">
        <f t="shared" si="349"/>
        <v/>
      </c>
      <c r="P5424" s="1" t="s">
        <v>20</v>
      </c>
      <c r="R5424" s="1" t="s">
        <v>9677</v>
      </c>
      <c r="V5424" s="1" t="s">
        <v>9686</v>
      </c>
      <c r="AR5424" s="1" t="str">
        <f t="shared" si="348"/>
        <v>| [ㄍㄞ](ㄍㄞ.md) | [賅](賅.md) |  | gāi | [動]
兼備、齊全。《莊子．齊物論》：「百骸、九竅、六藏，賅而存焉。」
[形]
充足、完備的。如：「言簡意賅」。 |</v>
      </c>
    </row>
    <row r="5425" spans="1:44" hidden="1">
      <c r="A5425" s="1" t="s">
        <v>9710</v>
      </c>
      <c r="C5425" s="1">
        <v>1</v>
      </c>
      <c r="D5425" s="1" t="str">
        <f>"03984"</f>
        <v>03984</v>
      </c>
      <c r="E5425" s="1" t="s">
        <v>28</v>
      </c>
      <c r="F5425" s="1">
        <v>8</v>
      </c>
      <c r="G5425" s="1">
        <v>5</v>
      </c>
      <c r="H5425" s="1">
        <v>2</v>
      </c>
      <c r="I5425" s="1" t="s">
        <v>9711</v>
      </c>
      <c r="K5425" s="1" t="str">
        <f t="shared" si="346"/>
        <v>ㄍ</v>
      </c>
      <c r="L5425" s="1" t="str">
        <f t="shared" si="347"/>
        <v>ㄠ</v>
      </c>
      <c r="M5425" s="1" t="str">
        <f t="shared" si="349"/>
        <v/>
      </c>
      <c r="P5425" s="1" t="s">
        <v>20</v>
      </c>
      <c r="R5425" s="1" t="s">
        <v>9712</v>
      </c>
      <c r="V5425" s="1" t="s">
        <v>9713</v>
      </c>
      <c r="W5425" s="1" t="s">
        <v>9714</v>
      </c>
      <c r="AR5425" s="1" t="str">
        <f t="shared" si="348"/>
        <v>| [ㄍㄠ](ㄍㄠ.md) | [咎](咎.md) |  | gāo | [名]
1.大鼓。通「鼛」。《後漢書．卷六〇上．馬融傳》：「伐咎鼓，撞華鍾，獵徒縱，赴榛叢。」
2.姓。如虞舜時有咎繇。 |</v>
      </c>
    </row>
    <row r="5426" spans="1:44" hidden="1">
      <c r="A5426" s="1" t="s">
        <v>9715</v>
      </c>
      <c r="C5426" s="1">
        <v>1</v>
      </c>
      <c r="D5426" s="1" t="str">
        <f>"03985"</f>
        <v>03985</v>
      </c>
      <c r="E5426" s="1" t="s">
        <v>139</v>
      </c>
      <c r="F5426" s="1">
        <v>19</v>
      </c>
      <c r="G5426" s="1">
        <v>15</v>
      </c>
      <c r="H5426" s="1">
        <v>0</v>
      </c>
      <c r="I5426" s="1" t="s">
        <v>9711</v>
      </c>
      <c r="K5426" s="1" t="str">
        <f t="shared" si="346"/>
        <v>ㄍ</v>
      </c>
      <c r="L5426" s="1" t="str">
        <f t="shared" si="347"/>
        <v>ㄠ</v>
      </c>
      <c r="M5426" s="1" t="str">
        <f t="shared" si="349"/>
        <v/>
      </c>
      <c r="P5426" s="1" t="s">
        <v>20</v>
      </c>
      <c r="R5426" s="1" t="s">
        <v>9712</v>
      </c>
      <c r="V5426" s="1" t="s">
        <v>9716</v>
      </c>
      <c r="AR5426" s="1" t="str">
        <f t="shared" si="348"/>
        <v>| [ㄍㄠ](ㄍㄠ.md) | [櫜](櫜.md) |  | gāo | [名]
收藏盔甲、弓箭的囊袋。《左傳．昭公元年》：「伍舉知其有備也，請垂櫜而入。」晉．杜預．注：「垂櫜示無弓。」
[動]
收藏、儲存。《詩經．小雅．彤弓》：「彤弓弨兮，受言櫜之。」 |</v>
      </c>
    </row>
    <row r="5427" spans="1:44" hidden="1">
      <c r="A5427" s="1" t="s">
        <v>9717</v>
      </c>
      <c r="C5427" s="1">
        <v>1</v>
      </c>
      <c r="D5427" s="1" t="str">
        <f>"03986"</f>
        <v>03986</v>
      </c>
      <c r="E5427" s="1" t="s">
        <v>2154</v>
      </c>
      <c r="F5427" s="1">
        <v>21</v>
      </c>
      <c r="G5427" s="1">
        <v>8</v>
      </c>
      <c r="H5427" s="1">
        <v>0</v>
      </c>
      <c r="I5427" s="1" t="s">
        <v>9711</v>
      </c>
      <c r="K5427" s="1" t="str">
        <f t="shared" si="346"/>
        <v>ㄍ</v>
      </c>
      <c r="L5427" s="1" t="str">
        <f t="shared" si="347"/>
        <v>ㄠ</v>
      </c>
      <c r="M5427" s="1" t="str">
        <f t="shared" si="349"/>
        <v/>
      </c>
      <c r="P5427" s="1" t="s">
        <v>20</v>
      </c>
      <c r="R5427" s="1" t="s">
        <v>9712</v>
      </c>
      <c r="V5427" s="1" t="s">
        <v>9718</v>
      </c>
      <c r="AR5427" s="1" t="str">
        <f t="shared" si="348"/>
        <v>| [ㄍㄠ](ㄍㄠ.md) | [鼛](鼛.md) |  | gāo | [名]
樂器名，打擊樂器。即大鼓。為古代徵召役事或役事完畢時所打擊的樂器。《周禮．地官司徒．鼓人》：「以鼛鼓鼓役事。」 |</v>
      </c>
    </row>
    <row r="5428" spans="1:44" hidden="1">
      <c r="A5428" s="1" t="s">
        <v>9719</v>
      </c>
      <c r="C5428" s="1">
        <v>1</v>
      </c>
      <c r="D5428" s="1" t="str">
        <f>"03987"</f>
        <v>03987</v>
      </c>
      <c r="E5428" s="1" t="s">
        <v>43</v>
      </c>
      <c r="F5428" s="1">
        <v>10</v>
      </c>
      <c r="G5428" s="1">
        <v>4</v>
      </c>
      <c r="H5428" s="1">
        <v>0</v>
      </c>
      <c r="I5428" s="1" t="s">
        <v>9711</v>
      </c>
      <c r="K5428" s="1" t="str">
        <f t="shared" si="346"/>
        <v>ㄍ</v>
      </c>
      <c r="L5428" s="1" t="str">
        <f t="shared" si="347"/>
        <v>ㄠ</v>
      </c>
      <c r="M5428" s="1" t="str">
        <f t="shared" si="349"/>
        <v/>
      </c>
      <c r="P5428" s="1" t="s">
        <v>20</v>
      </c>
      <c r="R5428" s="1" t="s">
        <v>9712</v>
      </c>
      <c r="V5428" s="1" t="s">
        <v>9720</v>
      </c>
      <c r="AR5428" s="1" t="str">
        <f t="shared" si="348"/>
        <v>| [ㄍㄠ](ㄍㄠ.md) | [羔](羔.md) |  | gāo | [名]
1.小羊。《說文解字．羊部》：「羔，羊子也。」如：「羔子」。
2.幼小的生物。如：「鹿羔」。金．元好問〈種松〉詩：「百錢買松羔，植之我東牆。」
[形]
1.幼小的。如：「迷途羔羊」。
2.黑羊皮製的。《論語．鄉黨》：「緇衣羔裘。」 |</v>
      </c>
    </row>
    <row r="5429" spans="1:44" hidden="1">
      <c r="A5429" s="1" t="s">
        <v>9721</v>
      </c>
      <c r="C5429" s="1">
        <v>1</v>
      </c>
      <c r="D5429" s="1" t="str">
        <f>"03988"</f>
        <v>03988</v>
      </c>
      <c r="E5429" s="1" t="s">
        <v>46</v>
      </c>
      <c r="F5429" s="1">
        <v>16</v>
      </c>
      <c r="G5429" s="1">
        <v>10</v>
      </c>
      <c r="H5429" s="1">
        <v>0</v>
      </c>
      <c r="I5429" s="1" t="s">
        <v>9711</v>
      </c>
      <c r="K5429" s="1" t="str">
        <f t="shared" si="346"/>
        <v>ㄍ</v>
      </c>
      <c r="L5429" s="1" t="str">
        <f t="shared" si="347"/>
        <v>ㄠ</v>
      </c>
      <c r="M5429" s="1" t="str">
        <f t="shared" si="349"/>
        <v/>
      </c>
      <c r="P5429" s="1" t="s">
        <v>20</v>
      </c>
      <c r="R5429" s="1" t="s">
        <v>9712</v>
      </c>
      <c r="V5429" s="1" t="s">
        <v>9722</v>
      </c>
      <c r="AR5429" s="1" t="str">
        <f t="shared" si="348"/>
        <v>| [ㄍㄠ](ㄍㄠ.md) | [糕](糕.md) |  | gāo | [名]
用米、麥或豆類磨成的粉，加水、蛋或牛奶等調為糊狀物，蒸烤成的塊狀食品。如：「年糕」、「蛋糕」、「綠豆糕」。 |</v>
      </c>
    </row>
    <row r="5430" spans="1:44" hidden="1">
      <c r="A5430" s="1" t="s">
        <v>9723</v>
      </c>
      <c r="C5430" s="1">
        <v>1</v>
      </c>
      <c r="D5430" s="1" t="str">
        <f>"03989"</f>
        <v>03989</v>
      </c>
      <c r="E5430" s="1" t="s">
        <v>9724</v>
      </c>
      <c r="F5430" s="1">
        <v>10</v>
      </c>
      <c r="G5430" s="1">
        <v>0</v>
      </c>
      <c r="H5430" s="1">
        <v>0</v>
      </c>
      <c r="I5430" s="1" t="s">
        <v>9711</v>
      </c>
      <c r="K5430" s="1" t="str">
        <f t="shared" si="346"/>
        <v>ㄍ</v>
      </c>
      <c r="L5430" s="1" t="str">
        <f t="shared" si="347"/>
        <v>ㄠ</v>
      </c>
      <c r="M5430" s="1" t="str">
        <f t="shared" si="349"/>
        <v/>
      </c>
      <c r="P5430" s="1" t="s">
        <v>20</v>
      </c>
      <c r="R5430" s="1" t="s">
        <v>9712</v>
      </c>
      <c r="V5430" s="1" t="s">
        <v>9725</v>
      </c>
      <c r="AR5430" s="1" t="str">
        <f t="shared" si="348"/>
        <v>| [ㄍㄠ](ㄍㄠ.md) | [高](高.md) |  | gāo | [形]
1.上下距離遠的。與「低」相對。如：「山高水深」、「高樓大廈」。
2.超越一般水準的、等級在上的。如：「高等教育」、「高級」、「高手」。
3.優良。如：「高材生」。
4.價格貴的。如：「高價」。
5.年紀老的。如：「高齡」。
6.聲音尖銳激昂的。如：「高歌」。
[名]
1.物體直立時上下的長度。如：「身高」。
2.高的地方。如：「居高臨下」、「登高望遠」。
3.姓。如唐代有高適。
4.二一四部首之一。
[動]
尊崇、敬重。《韓非子．五蠹》：「以其不收也外之，而高其輕世也。」 |</v>
      </c>
    </row>
    <row r="5431" spans="1:44" hidden="1">
      <c r="A5431" s="1" t="s">
        <v>9726</v>
      </c>
      <c r="C5431" s="1">
        <v>1</v>
      </c>
      <c r="D5431" s="1" t="str">
        <f>"03990"</f>
        <v>03990</v>
      </c>
      <c r="E5431" s="1" t="s">
        <v>68</v>
      </c>
      <c r="F5431" s="1">
        <v>14</v>
      </c>
      <c r="G5431" s="1">
        <v>10</v>
      </c>
      <c r="H5431" s="1">
        <v>1</v>
      </c>
      <c r="I5431" s="1" t="s">
        <v>9711</v>
      </c>
      <c r="K5431" s="1" t="str">
        <f t="shared" si="346"/>
        <v>ㄍ</v>
      </c>
      <c r="L5431" s="1" t="str">
        <f t="shared" si="347"/>
        <v>ㄠ</v>
      </c>
      <c r="M5431" s="1" t="str">
        <f t="shared" si="349"/>
        <v/>
      </c>
      <c r="P5431" s="1" t="s">
        <v>20</v>
      </c>
      <c r="R5431" s="1" t="s">
        <v>9712</v>
      </c>
      <c r="V5431" s="1" t="s">
        <v>9727</v>
      </c>
      <c r="W5431" s="1" t="s">
        <v>9728</v>
      </c>
      <c r="AR5431" s="1" t="str">
        <f t="shared" si="348"/>
        <v>| [ㄍㄠ](ㄍㄠ.md) | [膏](膏.md) |  | gāo | [名]
1.肥肉、油脂。如：「焚膏繼晷」。《金史．卷六六．始祖以下諸子傳．宗室傳．摑保傳》：「摑保洞腹見膏，恐昭祖知之，乃然薪取膏以為炙。」
2.濃稠的糊狀物。如：「牙膏」、「藥膏」、「枇杷膏」。
3.比喻恩澤。《孟子．離婁下》：「今也為臣諫則不行，言則不聽，膏澤不下於民。」
4.古代稱心臟與橫膈膜間的部位。如：「病入膏肓」。《左傳．成公十年》：「居肓之上，膏之下。」晉．杜預．注：「心下為膏。」
[形]
美好的。如：「膏田沃野」。《禮記．禮運》：「故天降膏露，地出醴泉。」 |</v>
      </c>
    </row>
    <row r="5432" spans="1:44" hidden="1">
      <c r="A5432" s="1" t="s">
        <v>9729</v>
      </c>
      <c r="C5432" s="1">
        <v>1</v>
      </c>
      <c r="D5432" s="1" t="str">
        <f>"03991"</f>
        <v>03991</v>
      </c>
      <c r="E5432" s="1" t="s">
        <v>49</v>
      </c>
      <c r="F5432" s="1">
        <v>16</v>
      </c>
      <c r="G5432" s="1">
        <v>10</v>
      </c>
      <c r="H5432" s="1">
        <v>0</v>
      </c>
      <c r="I5432" s="1" t="s">
        <v>9711</v>
      </c>
      <c r="K5432" s="1" t="str">
        <f t="shared" si="346"/>
        <v>ㄍ</v>
      </c>
      <c r="L5432" s="1" t="str">
        <f t="shared" si="347"/>
        <v>ㄠ</v>
      </c>
      <c r="M5432" s="1" t="str">
        <f t="shared" si="349"/>
        <v/>
      </c>
      <c r="P5432" s="1" t="s">
        <v>20</v>
      </c>
      <c r="R5432" s="1" t="s">
        <v>9712</v>
      </c>
      <c r="V5432" s="1" t="s">
        <v>9730</v>
      </c>
      <c r="AR5432" s="1" t="str">
        <f t="shared" si="348"/>
        <v>| [ㄍㄠ](ㄍㄠ.md) | [篙](篙.md) |  | gāo | [名]
撐船的竹竿或木棍。如：「撐篙」。明．孫承宗〈漁家〉詩：「呵凍提篙手未蘇，滿船涼月雪模糊。」 |</v>
      </c>
    </row>
    <row r="5433" spans="1:44" hidden="1">
      <c r="A5433" s="1" t="s">
        <v>9731</v>
      </c>
      <c r="C5433" s="1">
        <v>1</v>
      </c>
      <c r="D5433" s="1" t="str">
        <f>"03992"</f>
        <v>03992</v>
      </c>
      <c r="E5433" s="1" t="s">
        <v>205</v>
      </c>
      <c r="F5433" s="1">
        <v>10</v>
      </c>
      <c r="G5433" s="1">
        <v>5</v>
      </c>
      <c r="H5433" s="1">
        <v>0</v>
      </c>
      <c r="I5433" s="1" t="s">
        <v>9711</v>
      </c>
      <c r="K5433" s="1" t="str">
        <f t="shared" si="346"/>
        <v>ㄍ</v>
      </c>
      <c r="L5433" s="1" t="str">
        <f t="shared" si="347"/>
        <v>ㄠ</v>
      </c>
      <c r="M5433" s="1" t="str">
        <f t="shared" si="349"/>
        <v/>
      </c>
      <c r="P5433" s="1" t="s">
        <v>20</v>
      </c>
      <c r="R5433" s="1" t="s">
        <v>9712</v>
      </c>
      <c r="V5433" s="1" t="s">
        <v>9732</v>
      </c>
      <c r="AR5433" s="1" t="str">
        <f t="shared" si="348"/>
        <v>| [ㄍㄠ](ㄍㄠ.md) | [皋](皋.md) |  | gāo | [名]
1.水邊的低地。《左傳．襄公二十五年》：「町原防，牧隰皋。」《漢書．卷五一．賈山傳》：「江皋河瀕，雖有惡種，無不猥大。」
2.水田。《文選．潘岳．秋興賦》：「耕東皋之沃壤兮，輸黍稷之餘稅。」唐．李善．注：「水田曰皋。」
3.高地。《楚辭．屈原．九章．涉江》：「步余馬兮山皋，邸余車兮方林。」
4.姓。如漢代有皋誨。
[形]
高大。通「高」。《禮記．明堂位》：「大廟天子明堂，庫門天子皋門。」
[助]
置於句首，表示拉長而緩慢的語氣。《禮記．禮運》：「及其死也，升屋而號，告曰：『皋！某復！』」 |</v>
      </c>
    </row>
    <row r="5434" spans="1:44" hidden="1">
      <c r="A5434" s="1" t="s">
        <v>9733</v>
      </c>
      <c r="C5434" s="1">
        <v>1</v>
      </c>
      <c r="D5434" s="1" t="str">
        <f>"03993"</f>
        <v>03993</v>
      </c>
      <c r="E5434" s="1" t="s">
        <v>139</v>
      </c>
      <c r="F5434" s="1">
        <v>14</v>
      </c>
      <c r="G5434" s="1">
        <v>10</v>
      </c>
      <c r="H5434" s="1">
        <v>0</v>
      </c>
      <c r="I5434" s="1" t="s">
        <v>9711</v>
      </c>
      <c r="K5434" s="1" t="str">
        <f t="shared" si="346"/>
        <v>ㄍ</v>
      </c>
      <c r="L5434" s="1" t="str">
        <f t="shared" si="347"/>
        <v>ㄠ</v>
      </c>
      <c r="M5434" s="1" t="str">
        <f t="shared" si="349"/>
        <v/>
      </c>
      <c r="P5434" s="1" t="s">
        <v>20</v>
      </c>
      <c r="R5434" s="1" t="s">
        <v>9712</v>
      </c>
      <c r="V5434" s="1" t="s">
        <v>9734</v>
      </c>
      <c r="AR5434" s="1" t="str">
        <f t="shared" si="348"/>
        <v>| [ㄍㄠ](ㄍㄠ.md) | [槔](槔.md) |  | gāo | 參見「桔槔」條。 |</v>
      </c>
    </row>
    <row r="5435" spans="1:44" hidden="1">
      <c r="A5435" s="1" t="s">
        <v>9735</v>
      </c>
      <c r="C5435" s="1">
        <v>1</v>
      </c>
      <c r="D5435" s="1" t="str">
        <f>"03994"</f>
        <v>03994</v>
      </c>
      <c r="E5435" s="1" t="s">
        <v>1058</v>
      </c>
      <c r="F5435" s="1">
        <v>19</v>
      </c>
      <c r="G5435" s="1">
        <v>10</v>
      </c>
      <c r="H5435" s="1">
        <v>0</v>
      </c>
      <c r="I5435" s="1" t="s">
        <v>9711</v>
      </c>
      <c r="K5435" s="1" t="str">
        <f t="shared" si="346"/>
        <v>ㄍ</v>
      </c>
      <c r="L5435" s="1" t="str">
        <f t="shared" si="347"/>
        <v>ㄠ</v>
      </c>
      <c r="M5435" s="1" t="str">
        <f t="shared" si="349"/>
        <v/>
      </c>
      <c r="P5435" s="1" t="s">
        <v>20</v>
      </c>
      <c r="R5435" s="1" t="s">
        <v>9712</v>
      </c>
      <c r="V5435" s="1" t="s">
        <v>9736</v>
      </c>
      <c r="AR5435" s="1" t="str">
        <f t="shared" si="348"/>
        <v>| [ㄍㄠ](ㄍㄠ.md) | [韟](韟.md) |  | gāo | [名]
裝弓的套子。《管子．兵法》：「九曰舉韟章，則載食而駕。」 |</v>
      </c>
    </row>
    <row r="5436" spans="1:44" hidden="1">
      <c r="A5436" s="1" t="s">
        <v>9737</v>
      </c>
      <c r="C5436" s="1">
        <v>1</v>
      </c>
      <c r="D5436" s="1" t="str">
        <f>"03995"</f>
        <v>03995</v>
      </c>
      <c r="E5436" s="1" t="s">
        <v>1015</v>
      </c>
      <c r="F5436" s="1">
        <v>13</v>
      </c>
      <c r="G5436" s="1">
        <v>8</v>
      </c>
      <c r="H5436" s="1">
        <v>2</v>
      </c>
      <c r="I5436" s="1" t="s">
        <v>9711</v>
      </c>
      <c r="K5436" s="1" t="str">
        <f t="shared" si="346"/>
        <v>ㄍ</v>
      </c>
      <c r="L5436" s="1" t="str">
        <f t="shared" si="347"/>
        <v>ㄠ</v>
      </c>
      <c r="M5436" s="1" t="str">
        <f t="shared" si="349"/>
        <v/>
      </c>
      <c r="P5436" s="1" t="s">
        <v>20</v>
      </c>
      <c r="R5436" s="1" t="s">
        <v>9712</v>
      </c>
      <c r="V5436" s="1" t="s">
        <v>9738</v>
      </c>
      <c r="W5436" s="1" t="s">
        <v>9739</v>
      </c>
      <c r="AR5436" s="1" t="str">
        <f t="shared" si="348"/>
        <v>| [ㄍㄠ](ㄍㄠ.md) | [睪](睪.md) |  | gāo | [名]
參見「睪丸」條。
[形]
高大。同「皋」。《列子．天瑞》：「望其壙，睪如也。」 |</v>
      </c>
    </row>
    <row r="5437" spans="1:44" hidden="1">
      <c r="A5437" s="1" t="s">
        <v>9740</v>
      </c>
      <c r="C5437" s="1">
        <v>1</v>
      </c>
      <c r="D5437" s="1" t="str">
        <f>"03996"</f>
        <v>03996</v>
      </c>
      <c r="E5437" s="1" t="s">
        <v>1015</v>
      </c>
      <c r="F5437" s="1">
        <v>14</v>
      </c>
      <c r="G5437" s="1">
        <v>9</v>
      </c>
      <c r="H5437" s="1">
        <v>0</v>
      </c>
      <c r="I5437" s="1" t="s">
        <v>9711</v>
      </c>
      <c r="K5437" s="1" t="str">
        <f t="shared" si="346"/>
        <v>ㄍ</v>
      </c>
      <c r="L5437" s="1" t="str">
        <f t="shared" si="347"/>
        <v>ㄠ</v>
      </c>
      <c r="M5437" s="1" t="str">
        <f t="shared" si="349"/>
        <v/>
      </c>
      <c r="P5437" s="1" t="s">
        <v>20</v>
      </c>
      <c r="R5437" s="1" t="s">
        <v>9712</v>
      </c>
      <c r="V5437" s="1" t="s">
        <v>9741</v>
      </c>
      <c r="AR5437" s="1" t="str">
        <f t="shared" si="348"/>
        <v>| [ㄍㄠ](ㄍㄠ.md) | [睾](睾.md) |  | gāo | 同「睪」。 |</v>
      </c>
    </row>
    <row r="5438" spans="1:44" hidden="1">
      <c r="A5438" s="1" t="s">
        <v>9775</v>
      </c>
      <c r="C5438" s="1">
        <v>1</v>
      </c>
      <c r="D5438" s="1" t="str">
        <f>"04010"</f>
        <v>04010</v>
      </c>
      <c r="E5438" s="1" t="s">
        <v>570</v>
      </c>
      <c r="F5438" s="1">
        <v>4</v>
      </c>
      <c r="G5438" s="1">
        <v>2</v>
      </c>
      <c r="H5438" s="1">
        <v>1</v>
      </c>
      <c r="I5438" s="1" t="s">
        <v>9776</v>
      </c>
      <c r="K5438" s="1" t="str">
        <f t="shared" si="346"/>
        <v>ㄍ</v>
      </c>
      <c r="L5438" s="1" t="str">
        <f t="shared" si="347"/>
        <v>ㄡ</v>
      </c>
      <c r="M5438" s="1" t="str">
        <f t="shared" si="349"/>
        <v/>
      </c>
      <c r="P5438" s="1" t="s">
        <v>20</v>
      </c>
      <c r="R5438" s="1" t="s">
        <v>9777</v>
      </c>
      <c r="V5438" s="1" t="s">
        <v>9778</v>
      </c>
      <c r="W5438" s="1" t="s">
        <v>9779</v>
      </c>
      <c r="AR5438" s="1" t="str">
        <f t="shared" si="348"/>
        <v>| [ㄍㄡ](ㄍㄡ.md) | [勾](勾.md) |  | gōu | [名]_x000D_
1.彎曲的器具。同「鉤」。如：「衣勾」、「魚勾」。_x000D_
2.一種書寫符號，表示刪除、截取或答案正確。如：「書寫正確的請打勾。」_x000D_
3.姓。如宋代有勾濤。_x000D_
[動]_x000D_
1.挑動、引起。元．張可久〈醉太平．金華洞冷〉曲：「數枝黃菊勾詩興，一川紅葉迷仙徑。」《紅樓夢》第九五回：「偶沾寒氣，勾起舊病。」_x000D_
2.選取、徵調。元．石君寶《秋胡戲妻》第一折：「今奉上司差遣，著我勾秋胡當軍，走一遭去。」_x000D_
3.刪掉、取消。如：「新愁舊恨，一筆勾銷。」元．關漢卿《竇娥冤》第一折：「舊恩愛一筆勾，新夫妻兩意投，枉教人笑破口。」_x000D_
4.暗地相通。如：「勾結」。《喻世明言．卷四〇．沈小霞相會出師表》：「沈鍊因失職怨望，教浩等煽妖作幻，勾虜謀逆。」_x000D_
5.描繪。如：「勾勒」、「勾出輪廓來。」_x000D_
6.一種烹飪方法。用芡粉或麵粉使菜餚、湯汁濃稠。如：「勾滷」、「勾芡」。_x000D_
7.表示身體某部位彎曲。如：「嘴角一勾」。《兒女英雄傳》第一四回：「他方纔站起來，含著煙袋，笑嘻嘻的勾了勾頭。」_x000D_
8.如鉤狀連結的動作。如：「手勾手」、「打勾勾」。_x000D_
[形]_x000D_
彎曲的。如：「鷹勾鼻」。《韓詩外傳》卷七：「鳥之美羽勾啄者，鳥畏之。」 |</v>
      </c>
    </row>
    <row r="5439" spans="1:44" hidden="1">
      <c r="A5439" s="1" t="s">
        <v>9780</v>
      </c>
      <c r="C5439" s="1">
        <v>1</v>
      </c>
      <c r="D5439" s="1" t="str">
        <f>"04011"</f>
        <v>04011</v>
      </c>
      <c r="E5439" s="1" t="s">
        <v>139</v>
      </c>
      <c r="F5439" s="1">
        <v>8</v>
      </c>
      <c r="G5439" s="1">
        <v>4</v>
      </c>
      <c r="H5439" s="1">
        <v>0</v>
      </c>
      <c r="I5439" s="1" t="s">
        <v>9776</v>
      </c>
      <c r="K5439" s="1" t="str">
        <f t="shared" ref="K5439:K5502" si="350">LEFT(I5439, 1)</f>
        <v>ㄍ</v>
      </c>
      <c r="L5439" s="1" t="str">
        <f t="shared" ref="L5439:L5502" si="351">MID(I5439, 2, 1)</f>
        <v>ㄡ</v>
      </c>
      <c r="M5439" s="1" t="str">
        <f t="shared" si="349"/>
        <v/>
      </c>
      <c r="P5439" s="1" t="s">
        <v>20</v>
      </c>
      <c r="R5439" s="1" t="s">
        <v>9777</v>
      </c>
      <c r="V5439" s="1" t="s">
        <v>9781</v>
      </c>
      <c r="AR5439" s="1" t="str">
        <f t="shared" si="348"/>
        <v>| [ㄍㄡ](ㄍㄡ.md) | [构](构.md) |  | gōu | 同「構」。明．張自烈《正字通．木部》：「构，俗構字。」 |</v>
      </c>
    </row>
    <row r="5440" spans="1:44" hidden="1">
      <c r="A5440" s="1" t="s">
        <v>9782</v>
      </c>
      <c r="C5440" s="1">
        <v>1</v>
      </c>
      <c r="D5440" s="1" t="str">
        <f>"04012"</f>
        <v>04012</v>
      </c>
      <c r="E5440" s="1" t="s">
        <v>28</v>
      </c>
      <c r="F5440" s="1">
        <v>5</v>
      </c>
      <c r="G5440" s="1">
        <v>2</v>
      </c>
      <c r="H5440" s="1">
        <v>2</v>
      </c>
      <c r="I5440" s="1" t="s">
        <v>9776</v>
      </c>
      <c r="K5440" s="1" t="str">
        <f t="shared" si="350"/>
        <v>ㄍ</v>
      </c>
      <c r="L5440" s="1" t="str">
        <f t="shared" si="351"/>
        <v>ㄡ</v>
      </c>
      <c r="M5440" s="1" t="str">
        <f t="shared" si="349"/>
        <v/>
      </c>
      <c r="P5440" s="1" t="s">
        <v>20</v>
      </c>
      <c r="R5440" s="1" t="s">
        <v>9777</v>
      </c>
      <c r="V5440" s="1" t="s">
        <v>9783</v>
      </c>
      <c r="W5440" s="1" t="s">
        <v>9784</v>
      </c>
      <c r="AR5440" s="1" t="str">
        <f t="shared" si="348"/>
        <v>| [ㄍㄡ](ㄍㄡ.md) | [句](句.md) |  | gōu | [動]
1.屈曲、彎曲。《說文解字．句部》：「句，曲也。」晉．傅玄〈鷹賦〉：「句爪縣芒，足如枯荊。」
2.謙恭。清．王念孫《廣雅疏證．卷一下．釋詁》：「句，下也。」《大戴禮記．曾子立事》：「與其倨也，寧句。」北周．盧辯．注：「句，以喻敬。」
3.搜捕、拘拿。如：「句魂」。
[名]
1.鉤子。同「鉤」。如：「釣句」。
2.姓。如春秋時越王句踐。
[副]
繫絆、停滯。唐．白居易〈春題湖上〉詩：「未能拋得杭州去，一半句留是此湖。」 |</v>
      </c>
    </row>
    <row r="5441" spans="1:44" hidden="1">
      <c r="A5441" s="1" t="s">
        <v>9785</v>
      </c>
      <c r="C5441" s="1">
        <v>1</v>
      </c>
      <c r="D5441" s="1" t="str">
        <f>"04013"</f>
        <v>04013</v>
      </c>
      <c r="E5441" s="1" t="s">
        <v>139</v>
      </c>
      <c r="F5441" s="1">
        <v>9</v>
      </c>
      <c r="G5441" s="1">
        <v>5</v>
      </c>
      <c r="H5441" s="1">
        <v>3</v>
      </c>
      <c r="I5441" s="1" t="s">
        <v>9776</v>
      </c>
      <c r="K5441" s="1" t="str">
        <f t="shared" si="350"/>
        <v>ㄍ</v>
      </c>
      <c r="L5441" s="1" t="str">
        <f t="shared" si="351"/>
        <v>ㄡ</v>
      </c>
      <c r="M5441" s="1" t="str">
        <f t="shared" si="349"/>
        <v/>
      </c>
      <c r="P5441" s="1" t="s">
        <v>20</v>
      </c>
      <c r="R5441" s="1" t="s">
        <v>9777</v>
      </c>
      <c r="V5441" s="1" t="s">
        <v>9786</v>
      </c>
      <c r="W5441" s="1" t="s">
        <v>9787</v>
      </c>
      <c r="AR5441" s="1" t="str">
        <f t="shared" si="348"/>
        <v>| [ㄍㄡ](ㄍㄡ.md) | [枸](枸.md) |  | gōu | [形]
彎曲的。《荀子．性惡》：「故枸木必將待檃栝烝矯然後直。」唐．楊倞．注：「枸，讀為鉤，曲也。」 |</v>
      </c>
    </row>
    <row r="5442" spans="1:44" hidden="1">
      <c r="A5442" s="1" t="s">
        <v>9788</v>
      </c>
      <c r="C5442" s="1">
        <v>1</v>
      </c>
      <c r="D5442" s="1" t="str">
        <f>"04014"</f>
        <v>04014</v>
      </c>
      <c r="E5442" s="1" t="s">
        <v>340</v>
      </c>
      <c r="F5442" s="1">
        <v>11</v>
      </c>
      <c r="G5442" s="1">
        <v>5</v>
      </c>
      <c r="H5442" s="1">
        <v>0</v>
      </c>
      <c r="I5442" s="1" t="s">
        <v>9776</v>
      </c>
      <c r="K5442" s="1" t="str">
        <f t="shared" si="350"/>
        <v>ㄍ</v>
      </c>
      <c r="L5442" s="1" t="str">
        <f t="shared" si="351"/>
        <v>ㄡ</v>
      </c>
      <c r="M5442" s="1" t="str">
        <f t="shared" si="349"/>
        <v/>
      </c>
      <c r="P5442" s="1" t="s">
        <v>20</v>
      </c>
      <c r="R5442" s="1" t="s">
        <v>9777</v>
      </c>
      <c r="V5442" s="1" t="s">
        <v>9789</v>
      </c>
      <c r="AR5442" s="1" t="str">
        <f t="shared" si="348"/>
        <v>| [ㄍㄡ](ㄍㄡ.md) | [袧](袧.md) |  | gōu | [名]
古代一種兩側有縐摺的喪服。《玉篇．衣部》：「袧，喪服。」《儀禮．喪服》：「凡衰，外削幅，裳，內削幅，幅三袧。」漢．鄭玄．注：「袧者，謂辟兩側，空中央也。」 |</v>
      </c>
    </row>
    <row r="5443" spans="1:44" hidden="1">
      <c r="A5443" s="1" t="s">
        <v>9790</v>
      </c>
      <c r="C5443" s="1">
        <v>1</v>
      </c>
      <c r="D5443" s="1" t="str">
        <f>"04015"</f>
        <v>04015</v>
      </c>
      <c r="E5443" s="1" t="s">
        <v>55</v>
      </c>
      <c r="F5443" s="1">
        <v>13</v>
      </c>
      <c r="G5443" s="1">
        <v>5</v>
      </c>
      <c r="H5443" s="1">
        <v>0</v>
      </c>
      <c r="I5443" s="1" t="s">
        <v>9776</v>
      </c>
      <c r="K5443" s="1" t="str">
        <f t="shared" si="350"/>
        <v>ㄍ</v>
      </c>
      <c r="L5443" s="1" t="str">
        <f t="shared" si="351"/>
        <v>ㄡ</v>
      </c>
      <c r="M5443" s="1" t="str">
        <f t="shared" si="349"/>
        <v/>
      </c>
      <c r="P5443" s="1" t="s">
        <v>20</v>
      </c>
      <c r="R5443" s="1" t="s">
        <v>9777</v>
      </c>
      <c r="V5443" s="1" t="s">
        <v>9791</v>
      </c>
      <c r="AR5443" s="1" t="str">
        <f t="shared" ref="AR5443:AR5506" si="352">"| ["&amp;I5443&amp;"]("&amp;I5443&amp;".md) | ["&amp;A5443&amp;"]("&amp;A5443&amp;".md) | "&amp;" | "&amp;R5443&amp;" | "&amp;V5443&amp;" |"</f>
        <v>| [ㄍㄡ](ㄍㄡ.md) | [鉤](鉤.md) |  | gōu | [名]_x000D_
1.形狀彎曲，具有探取、懸掛、連接等功能的器具。如：「釣鉤」、「掛鉤」。漢．劉向《新序．卷五．雜事》：「管仲射小白，中其帶鉤。」《樂府詩集．卷二八．相和歌辭三．古辭．陌上桑》：「青絲為籠係，桂枝為籠鉤。」_x000D_
2.武器名。古代一種似劍而彎曲的兵器。《漢書．卷七六．趙尹韓張兩王傳．韓延壽》：「延壽又取官銅物，侯月蝕鑄作刀劍鉤鐔。」_x000D_
3.一種末端彎曲的書寫筆法。_x000D_
4.姓。如宋代有鉤光祖。_x000D_
[動]_x000D_
1.用鉤子掛住拉起。如：「衣服不小心被鉤住了。」_x000D_
2.更改、變動。《後漢書．卷四六．郭陳列傳．陳寵》：「寵又鉤校律令條法，溢於甫刑者除之。」_x000D_
3.扣留。《後漢書．卷二七．伏侯宋蔡馮趙牟韋列傳．吳良》：「車府令徐匡鉤就車，收御者送獄。」_x000D_
4.研究探求。《易經．繫辭上》：「探賾索隱，鉤深致遠。」_x000D_
5.描繪。同「勾」。如：「鉤出輪廓來。」_x000D_
6.編織、縫紉。如：「鉤圍巾」、「鉤邊」。_x000D_
[形]_x000D_
彎曲的。如：「鉤爪」。《戰國策．西周策》：「少焉氣力倦，弓撥矢鉤，一發不中，前功盡矣。」_x000D_
[副]_x000D_
停滯、逗留。如：「鉤留」。 |</v>
      </c>
    </row>
    <row r="5444" spans="1:44" hidden="1">
      <c r="A5444" s="1" t="s">
        <v>9792</v>
      </c>
      <c r="C5444" s="1">
        <v>1</v>
      </c>
      <c r="D5444" s="1" t="str">
        <f>"04016"</f>
        <v>04016</v>
      </c>
      <c r="E5444" s="1" t="s">
        <v>1258</v>
      </c>
      <c r="F5444" s="1">
        <v>11</v>
      </c>
      <c r="G5444" s="1">
        <v>9</v>
      </c>
      <c r="H5444" s="1">
        <v>3</v>
      </c>
      <c r="I5444" s="1" t="s">
        <v>9776</v>
      </c>
      <c r="K5444" s="1" t="str">
        <f t="shared" si="350"/>
        <v>ㄍ</v>
      </c>
      <c r="L5444" s="1" t="str">
        <f t="shared" si="351"/>
        <v>ㄡ</v>
      </c>
      <c r="M5444" s="1" t="str">
        <f t="shared" si="349"/>
        <v/>
      </c>
      <c r="P5444" s="1" t="s">
        <v>20</v>
      </c>
      <c r="R5444" s="1" t="s">
        <v>9777</v>
      </c>
      <c r="V5444" s="1" t="s">
        <v>9793</v>
      </c>
      <c r="W5444" s="1" t="s">
        <v>9794</v>
      </c>
      <c r="AR5444" s="1" t="str">
        <f t="shared" si="352"/>
        <v>| [ㄍㄡ](ㄍㄡ.md) | [區](區.md) |  | gōu | [形]
彎曲的。通「句」。《禮記．樂記》：「然後草木茂，區萌達。」唐．孔穎達．正義：「屈生曰區者，謂鉤曲而生出，菽豆是也。」 |</v>
      </c>
    </row>
    <row r="5445" spans="1:44" hidden="1">
      <c r="A5445" s="1" t="s">
        <v>9795</v>
      </c>
      <c r="C5445" s="1">
        <v>1</v>
      </c>
      <c r="D5445" s="1" t="str">
        <f>"04017"</f>
        <v>04017</v>
      </c>
      <c r="E5445" s="1" t="s">
        <v>129</v>
      </c>
      <c r="F5445" s="1">
        <v>13</v>
      </c>
      <c r="G5445" s="1">
        <v>10</v>
      </c>
      <c r="H5445" s="1">
        <v>0</v>
      </c>
      <c r="I5445" s="1" t="s">
        <v>9776</v>
      </c>
      <c r="K5445" s="1" t="str">
        <f t="shared" si="350"/>
        <v>ㄍ</v>
      </c>
      <c r="L5445" s="1" t="str">
        <f t="shared" si="351"/>
        <v>ㄡ</v>
      </c>
      <c r="M5445" s="1" t="str">
        <f t="shared" si="349"/>
        <v/>
      </c>
      <c r="P5445" s="1" t="s">
        <v>20</v>
      </c>
      <c r="R5445" s="1" t="s">
        <v>9777</v>
      </c>
      <c r="V5445" s="1" t="s">
        <v>9796</v>
      </c>
      <c r="AR5445" s="1" t="str">
        <f t="shared" si="352"/>
        <v>| [ㄍㄡ](ㄍㄡ.md) | [溝](溝.md) |  | gōu | [名]
水道、凹槽。如：「田溝」、「陰溝」、「壕溝」。《周禮．冬官考工記．匠人》：「九夫為井，井間廣四尺，深四尺謂之溝。」
[動]
挖通、疏通。《管子．度地》：「地高則溝之，下則隄之，命之曰金城。」 |</v>
      </c>
    </row>
    <row r="5446" spans="1:44" hidden="1">
      <c r="A5446" s="1" t="s">
        <v>9797</v>
      </c>
      <c r="C5446" s="1">
        <v>1</v>
      </c>
      <c r="D5446" s="1" t="str">
        <f>"04018"</f>
        <v>04018</v>
      </c>
      <c r="E5446" s="1" t="s">
        <v>49</v>
      </c>
      <c r="F5446" s="1">
        <v>16</v>
      </c>
      <c r="G5446" s="1">
        <v>10</v>
      </c>
      <c r="H5446" s="1">
        <v>0</v>
      </c>
      <c r="I5446" s="1" t="s">
        <v>9776</v>
      </c>
      <c r="K5446" s="1" t="str">
        <f t="shared" si="350"/>
        <v>ㄍ</v>
      </c>
      <c r="L5446" s="1" t="str">
        <f t="shared" si="351"/>
        <v>ㄡ</v>
      </c>
      <c r="M5446" s="1" t="str">
        <f t="shared" si="349"/>
        <v/>
      </c>
      <c r="P5446" s="1" t="s">
        <v>20</v>
      </c>
      <c r="R5446" s="1" t="s">
        <v>9777</v>
      </c>
      <c r="V5446" s="1" t="s">
        <v>9798</v>
      </c>
      <c r="AR5446" s="1" t="str">
        <f t="shared" si="352"/>
        <v>| [ㄍㄡ](ㄍㄡ.md) | [篝](篝.md) |  | gōu | [名]
盛器物的竹籠。《史記．卷一二六．滑稽傳．淳于髡傳》：「甌窶滿篝，汙邪滿車，五穀蕃熟，穰穰滿家。」
[動]
罩住。《史記．卷四八．陳涉世家》：「又閒令吳廣之次所旁叢祠中，夜篝火，狐鳴呼曰：『大楚興，陳勝王。』」 |</v>
      </c>
    </row>
    <row r="5447" spans="1:44" hidden="1">
      <c r="A5447" s="1" t="s">
        <v>9799</v>
      </c>
      <c r="C5447" s="1">
        <v>1</v>
      </c>
      <c r="D5447" s="1" t="str">
        <f>"04019"</f>
        <v>04019</v>
      </c>
      <c r="E5447" s="1" t="s">
        <v>1058</v>
      </c>
      <c r="F5447" s="1">
        <v>19</v>
      </c>
      <c r="G5447" s="1">
        <v>10</v>
      </c>
      <c r="H5447" s="1">
        <v>0</v>
      </c>
      <c r="I5447" s="1" t="s">
        <v>9776</v>
      </c>
      <c r="K5447" s="1" t="str">
        <f t="shared" si="350"/>
        <v>ㄍ</v>
      </c>
      <c r="L5447" s="1" t="str">
        <f t="shared" si="351"/>
        <v>ㄡ</v>
      </c>
      <c r="M5447" s="1" t="str">
        <f t="shared" si="349"/>
        <v/>
      </c>
      <c r="P5447" s="1" t="s">
        <v>20</v>
      </c>
      <c r="R5447" s="1" t="s">
        <v>9777</v>
      </c>
      <c r="V5447" s="1" t="s">
        <v>9800</v>
      </c>
      <c r="AR5447" s="1" t="str">
        <f t="shared" si="352"/>
        <v>| [ㄍㄡ](ㄍㄡ.md) | [韝](韝.md) |  | gōu | [名]
皮製的護臂套。《說文解字．韋部》：「韝，臂衣也。」《文選．李陵．答蘇武書》：「韋韝毳幙，以禦風雨，羶肉酪漿，以充飢渴。」 |</v>
      </c>
    </row>
    <row r="5448" spans="1:44" hidden="1">
      <c r="A5448" s="1" t="s">
        <v>9801</v>
      </c>
      <c r="C5448" s="1">
        <v>1</v>
      </c>
      <c r="D5448" s="1" t="str">
        <f>"04020"</f>
        <v>04020</v>
      </c>
      <c r="E5448" s="1" t="s">
        <v>725</v>
      </c>
      <c r="F5448" s="1">
        <v>15</v>
      </c>
      <c r="G5448" s="1">
        <v>9</v>
      </c>
      <c r="H5448" s="1">
        <v>0</v>
      </c>
      <c r="I5448" s="1" t="s">
        <v>9776</v>
      </c>
      <c r="K5448" s="1" t="str">
        <f t="shared" si="350"/>
        <v>ㄍ</v>
      </c>
      <c r="L5448" s="1" t="str">
        <f t="shared" si="351"/>
        <v>ㄡ</v>
      </c>
      <c r="M5448" s="1" t="str">
        <f t="shared" si="349"/>
        <v/>
      </c>
      <c r="P5448" s="1" t="s">
        <v>20</v>
      </c>
      <c r="R5448" s="1" t="s">
        <v>9777</v>
      </c>
      <c r="V5448" s="1" t="s">
        <v>9802</v>
      </c>
      <c r="AR5448" s="1" t="str">
        <f t="shared" si="352"/>
        <v>| [ㄍㄡ](ㄍㄡ.md) | [緱](緱.md) |  | gōu | [名]
1.纏劍柄的繩索。《廣韻．平聲．侯韻》：「緱，刀劍頭纏絲為緱。」宋．蘇軾〈武昌銅劍歌〉：「蘇子得之何所為，蒯緱彈鋏詠新詩。」
2.姓。如明代有緱謙。 |</v>
      </c>
    </row>
    <row r="5449" spans="1:44" hidden="1">
      <c r="A5449" s="1" t="s">
        <v>9853</v>
      </c>
      <c r="C5449" s="1">
        <v>1</v>
      </c>
      <c r="D5449" s="1" t="str">
        <f>"04044"</f>
        <v>04044</v>
      </c>
      <c r="E5449" s="1" t="s">
        <v>1386</v>
      </c>
      <c r="F5449" s="1">
        <v>3</v>
      </c>
      <c r="G5449" s="1">
        <v>0</v>
      </c>
      <c r="H5449" s="1">
        <v>0</v>
      </c>
      <c r="I5449" s="1" t="s">
        <v>9854</v>
      </c>
      <c r="K5449" s="1" t="str">
        <f t="shared" si="350"/>
        <v>ㄍ</v>
      </c>
      <c r="L5449" s="1" t="str">
        <f t="shared" si="351"/>
        <v>ㄢ</v>
      </c>
      <c r="M5449" s="1" t="str">
        <f t="shared" si="349"/>
        <v/>
      </c>
      <c r="P5449" s="1" t="s">
        <v>20</v>
      </c>
      <c r="R5449" s="1" t="s">
        <v>9855</v>
      </c>
      <c r="V5449" s="1" t="s">
        <v>9856</v>
      </c>
      <c r="AR5449" s="1" t="str">
        <f t="shared" si="352"/>
        <v>| [ㄍㄢ](ㄍㄢ.md) | [干](干.md) |  | gān | [名]_x000D_
1.武器名。用來阻擋刀箭、護衛身軀的盾牌。《書經．牧誓》：「稱爾戈，比爾干，立爾矛，予其誓。」《韓非子．五蠹》：「乃修教三年，執干戚舞，有苗乃服。」_x000D_
2.參見「天干」條。_x000D_
3.水畔、岸邊。《詩經．魏風．伐檀》：「坎坎伐檀兮，寘之河之干兮。」唐．杜甫〈有客〉詩：「豈有文章驚海內，謾勞車馬駐江干。」_x000D_
4.經脫水加工製成的乾燥食品。通「乾」。如：「筍干」、「豆腐干」。_x000D_
5.成群有關係的人。《紅樓夢》第五九回：「那婆子深妒襲人、晴雯一干人。」《初刻拍案驚奇》卷二〇：「那一干囚犯，初時見獄中寬縱，已自起心越牢。」_x000D_
6.姓。如晉代有干寶。_x000D_
7.二一四部首之一。_x000D_
[動]_x000D_
1.冒犯、觸犯。如：「干犯」。《左傳．文公四年》：「君辱貺之，其敢干大禮以自取戾。」明．張居正〈請戒諭群臣疏〉：「以朝廷為必可背，以法紀為必可干，則我祖宗憲典甚嚴，朕不敢赦。」_x000D_
2.求取、營求。《論語．為政》：「子張學干祿。」《公羊傳．定公四年》：「伍子胥父誅乎楚，挾弓而去楚，以干闔廬。」_x000D_
3.強行參預。如：「干涉」、「干預」。《南史．卷二三．列傳．王彧》：「奐子彪凶愚，頗干時政，士人咸切齒。」清．徐珂《清稗類鈔．帝德類．咸豐季年三奸伏誅》：「三奸盤結，同干大政。」_x000D_
4.相關、有關聯。如：「相干」。《水滸傳》第五二回：「莊客李大救主，誤打死人，非干我事。」《初刻拍案驚奇》卷三三：「這不干我伯父事，是伯娘不肯認我，拿了我的合同文書，抵死賴了。」 |</v>
      </c>
    </row>
    <row r="5450" spans="1:44" hidden="1">
      <c r="A5450" s="1" t="s">
        <v>9857</v>
      </c>
      <c r="C5450" s="1">
        <v>1</v>
      </c>
      <c r="D5450" s="1" t="str">
        <f>"04045"</f>
        <v>04045</v>
      </c>
      <c r="E5450" s="1" t="s">
        <v>142</v>
      </c>
      <c r="F5450" s="1">
        <v>7</v>
      </c>
      <c r="G5450" s="1">
        <v>3</v>
      </c>
      <c r="H5450" s="1">
        <v>0</v>
      </c>
      <c r="I5450" s="1" t="s">
        <v>9854</v>
      </c>
      <c r="K5450" s="1" t="str">
        <f t="shared" si="350"/>
        <v>ㄍ</v>
      </c>
      <c r="L5450" s="1" t="str">
        <f t="shared" si="351"/>
        <v>ㄢ</v>
      </c>
      <c r="M5450" s="1" t="str">
        <f t="shared" si="349"/>
        <v/>
      </c>
      <c r="P5450" s="1" t="s">
        <v>20</v>
      </c>
      <c r="R5450" s="1" t="s">
        <v>9855</v>
      </c>
      <c r="V5450" s="1" t="s">
        <v>9858</v>
      </c>
      <c r="AR5450" s="1" t="str">
        <f t="shared" si="352"/>
        <v>| [ㄍㄢ](ㄍㄢ.md) | [玕](玕.md) |  | gān | [名]
似玉的美石。參見「琅玕」條。 |</v>
      </c>
    </row>
    <row r="5451" spans="1:44" hidden="1">
      <c r="A5451" s="1" t="s">
        <v>9859</v>
      </c>
      <c r="C5451" s="1">
        <v>1</v>
      </c>
      <c r="D5451" s="1" t="str">
        <f>"04046"</f>
        <v>04046</v>
      </c>
      <c r="E5451" s="1" t="s">
        <v>139</v>
      </c>
      <c r="F5451" s="1">
        <v>7</v>
      </c>
      <c r="G5451" s="1">
        <v>3</v>
      </c>
      <c r="H5451" s="1">
        <v>0</v>
      </c>
      <c r="I5451" s="1" t="s">
        <v>9854</v>
      </c>
      <c r="K5451" s="1" t="str">
        <f t="shared" si="350"/>
        <v>ㄍ</v>
      </c>
      <c r="L5451" s="1" t="str">
        <f t="shared" si="351"/>
        <v>ㄢ</v>
      </c>
      <c r="M5451" s="1" t="str">
        <f t="shared" si="349"/>
        <v/>
      </c>
      <c r="P5451" s="1" t="s">
        <v>20</v>
      </c>
      <c r="R5451" s="1" t="s">
        <v>9855</v>
      </c>
      <c r="V5451" s="1" t="s">
        <v>9860</v>
      </c>
      <c r="AR5451" s="1" t="str">
        <f t="shared" si="352"/>
        <v>| [ㄍㄢ](ㄍㄢ.md) | [杆](杆.md) |  | gān | [名]
1.細長形的棍狀物。如：「欄杆」、「旗杆」、「球杆」。
2.量詞。計算揮杆次數的單位。如：「共打了一百三十二杆。」 |</v>
      </c>
    </row>
    <row r="5452" spans="1:44" hidden="1">
      <c r="A5452" s="1" t="s">
        <v>9861</v>
      </c>
      <c r="C5452" s="1">
        <v>1</v>
      </c>
      <c r="D5452" s="1" t="str">
        <f>"04047"</f>
        <v>04047</v>
      </c>
      <c r="E5452" s="1" t="s">
        <v>68</v>
      </c>
      <c r="F5452" s="1">
        <v>7</v>
      </c>
      <c r="G5452" s="1">
        <v>3</v>
      </c>
      <c r="H5452" s="1">
        <v>0</v>
      </c>
      <c r="I5452" s="1" t="s">
        <v>9854</v>
      </c>
      <c r="K5452" s="1" t="str">
        <f t="shared" si="350"/>
        <v>ㄍ</v>
      </c>
      <c r="L5452" s="1" t="str">
        <f t="shared" si="351"/>
        <v>ㄢ</v>
      </c>
      <c r="M5452" s="1" t="str">
        <f t="shared" si="349"/>
        <v/>
      </c>
      <c r="P5452" s="1" t="s">
        <v>20</v>
      </c>
      <c r="R5452" s="1" t="s">
        <v>9855</v>
      </c>
      <c r="V5452" s="1" t="s">
        <v>9862</v>
      </c>
      <c r="AR5452" s="1" t="str">
        <f t="shared" si="352"/>
        <v>| [ㄍㄢ](ㄍㄢ.md) | [肝](肝.md) |  | gān | [名]
高等動物的消化器官之一。參見「肝臟」條。 |</v>
      </c>
    </row>
    <row r="5453" spans="1:44" hidden="1">
      <c r="A5453" s="1" t="s">
        <v>9863</v>
      </c>
      <c r="C5453" s="1">
        <v>1</v>
      </c>
      <c r="D5453" s="1" t="str">
        <f>"04048"</f>
        <v>04048</v>
      </c>
      <c r="E5453" s="1" t="s">
        <v>169</v>
      </c>
      <c r="F5453" s="1">
        <v>8</v>
      </c>
      <c r="G5453" s="1">
        <v>3</v>
      </c>
      <c r="H5453" s="1">
        <v>0</v>
      </c>
      <c r="I5453" s="1" t="s">
        <v>9854</v>
      </c>
      <c r="K5453" s="1" t="str">
        <f t="shared" si="350"/>
        <v>ㄍ</v>
      </c>
      <c r="L5453" s="1" t="str">
        <f t="shared" si="351"/>
        <v>ㄢ</v>
      </c>
      <c r="M5453" s="1" t="str">
        <f t="shared" si="349"/>
        <v/>
      </c>
      <c r="P5453" s="1" t="s">
        <v>20</v>
      </c>
      <c r="R5453" s="1" t="s">
        <v>9855</v>
      </c>
      <c r="V5453" s="1" t="s">
        <v>9864</v>
      </c>
      <c r="AR5453" s="1" t="str">
        <f t="shared" si="352"/>
        <v>| [ㄍㄢ](ㄍㄢ.md) | [矸](矸.md) |  | gān | [名]
丹矸：硫和汞的化合物。《荀子．正論》：「加之以丹矸，重之以曾青。」唐．楊倞．注：「丹矸，丹砂也。」 |</v>
      </c>
    </row>
    <row r="5454" spans="1:44" hidden="1">
      <c r="A5454" s="1" t="s">
        <v>9865</v>
      </c>
      <c r="C5454" s="1">
        <v>1</v>
      </c>
      <c r="D5454" s="1" t="str">
        <f>"04049"</f>
        <v>04049</v>
      </c>
      <c r="E5454" s="1" t="s">
        <v>679</v>
      </c>
      <c r="F5454" s="1">
        <v>9</v>
      </c>
      <c r="G5454" s="1">
        <v>3</v>
      </c>
      <c r="H5454" s="1">
        <v>2</v>
      </c>
      <c r="I5454" s="1" t="s">
        <v>9854</v>
      </c>
      <c r="K5454" s="1" t="str">
        <f t="shared" si="350"/>
        <v>ㄍ</v>
      </c>
      <c r="L5454" s="1" t="str">
        <f t="shared" si="351"/>
        <v>ㄢ</v>
      </c>
      <c r="M5454" s="1" t="str">
        <f t="shared" si="349"/>
        <v/>
      </c>
      <c r="P5454" s="1" t="s">
        <v>20</v>
      </c>
      <c r="R5454" s="1" t="s">
        <v>9855</v>
      </c>
      <c r="V5454" s="1" t="s">
        <v>9866</v>
      </c>
      <c r="W5454" s="1" t="s">
        <v>9867</v>
      </c>
      <c r="AR5454" s="1" t="str">
        <f t="shared" si="352"/>
        <v>| [ㄍㄢ](ㄍㄢ.md) | [虷](虷.md) |  | gān | [動]
侵犯。《漢書．卷七二．鮑宣傳》：「白虹虷日，連陰不雨。」 |</v>
      </c>
    </row>
    <row r="5455" spans="1:44" hidden="1">
      <c r="A5455" s="1" t="s">
        <v>9868</v>
      </c>
      <c r="C5455" s="1">
        <v>1</v>
      </c>
      <c r="D5455" s="1" t="str">
        <f>"04050"</f>
        <v>04050</v>
      </c>
      <c r="E5455" s="1" t="s">
        <v>49</v>
      </c>
      <c r="F5455" s="1">
        <v>9</v>
      </c>
      <c r="G5455" s="1">
        <v>3</v>
      </c>
      <c r="H5455" s="1">
        <v>0</v>
      </c>
      <c r="I5455" s="1" t="s">
        <v>9854</v>
      </c>
      <c r="K5455" s="1" t="str">
        <f t="shared" si="350"/>
        <v>ㄍ</v>
      </c>
      <c r="L5455" s="1" t="str">
        <f t="shared" si="351"/>
        <v>ㄢ</v>
      </c>
      <c r="M5455" s="1" t="str">
        <f t="shared" si="349"/>
        <v/>
      </c>
      <c r="P5455" s="1" t="s">
        <v>20</v>
      </c>
      <c r="R5455" s="1" t="s">
        <v>9855</v>
      </c>
      <c r="V5455" s="1" t="s">
        <v>9869</v>
      </c>
      <c r="AR5455" s="1" t="str">
        <f t="shared" si="352"/>
        <v>| [ㄍㄢ](ㄍㄢ.md) | [竿](竿.md) |  | gān | [名]
1.竹幹、竹莖。可截取供使用。如：「竹竿」。《詩經．衛風．竹竿》：「籊籊竹竿，以釣于淇。」《文選．賈誼．過秦論》：「斬木為兵，揭竿為旗。」
2.量詞。計算竹子的單位。宋．蘇軾〈贈惠山僧惠表〉詩：「敧枕落花餘幾片，閉門新竹自千竿。」《西遊記》第一三回：「一徑野花香襲體，數竿幽竹綠依依。」 |</v>
      </c>
    </row>
    <row r="5456" spans="1:44" hidden="1">
      <c r="A5456" s="1" t="s">
        <v>9870</v>
      </c>
      <c r="C5456" s="1">
        <v>1</v>
      </c>
      <c r="D5456" s="1" t="str">
        <f>"04051"</f>
        <v>04051</v>
      </c>
      <c r="E5456" s="1" t="s">
        <v>1462</v>
      </c>
      <c r="F5456" s="1">
        <v>10</v>
      </c>
      <c r="G5456" s="1">
        <v>3</v>
      </c>
      <c r="H5456" s="1">
        <v>0</v>
      </c>
      <c r="I5456" s="1" t="s">
        <v>9854</v>
      </c>
      <c r="K5456" s="1" t="str">
        <f t="shared" si="350"/>
        <v>ㄍ</v>
      </c>
      <c r="L5456" s="1" t="str">
        <f t="shared" si="351"/>
        <v>ㄢ</v>
      </c>
      <c r="M5456" s="1" t="str">
        <f t="shared" si="349"/>
        <v/>
      </c>
      <c r="P5456" s="1" t="s">
        <v>20</v>
      </c>
      <c r="R5456" s="1" t="s">
        <v>9855</v>
      </c>
      <c r="V5456" s="1" t="s">
        <v>9871</v>
      </c>
      <c r="AR5456" s="1" t="str">
        <f t="shared" si="352"/>
        <v>| [ㄍㄢ](ㄍㄢ.md) | [酐](酐.md) |  | gān | [名]
化學上稱能與水化合成酸或鹼的氧化物。如：「酸酐」。 |</v>
      </c>
    </row>
    <row r="5457" spans="1:44" hidden="1">
      <c r="A5457" s="1" t="s">
        <v>9872</v>
      </c>
      <c r="C5457" s="1">
        <v>1</v>
      </c>
      <c r="D5457" s="1" t="str">
        <f>"04052"</f>
        <v>04052</v>
      </c>
      <c r="E5457" s="1" t="s">
        <v>6621</v>
      </c>
      <c r="F5457" s="1">
        <v>5</v>
      </c>
      <c r="G5457" s="1">
        <v>0</v>
      </c>
      <c r="H5457" s="1">
        <v>0</v>
      </c>
      <c r="I5457" s="1" t="s">
        <v>9854</v>
      </c>
      <c r="K5457" s="1" t="str">
        <f t="shared" si="350"/>
        <v>ㄍ</v>
      </c>
      <c r="L5457" s="1" t="str">
        <f t="shared" si="351"/>
        <v>ㄢ</v>
      </c>
      <c r="M5457" s="1" t="str">
        <f t="shared" si="349"/>
        <v/>
      </c>
      <c r="P5457" s="1" t="s">
        <v>20</v>
      </c>
      <c r="R5457" s="1" t="s">
        <v>9855</v>
      </c>
      <c r="V5457" s="1" t="s">
        <v>9873</v>
      </c>
      <c r="AR5457" s="1" t="str">
        <f t="shared" si="352"/>
        <v>| [ㄍㄢ](ㄍㄢ.md) | [甘](甘.md) |  | gān | [形]
1.甜美的。如：「味香甘甜」。《莊子．山木》：「直木先伐，甘井先竭。」清．洪昇《長生殿》第一五齣：「海南荔子味尤甘，楊娘娘偏喜啖。」
2.美好。《詩經．小雅．甫田》：「以祁甘雨，以介我稷黍，以穀我士女。」《左傳．昭公十一年》：「幣重而言甘，誘我也。」
[名]
1.美味的食物。《孟子．梁惠王上》：「為肥甘不足於口與？」晉．陶淵明〈有會而作詩〉：「菽麥實所羨，孰敢慕甘肥？」
2.姓。如秦代有甘茂。
3.二一四部首之一。
[動]
順遂。《左傳．莊公九年》：「管召讎也，請受而甘心焉。」
[副]
樂意、情願、自願。如：「甘願」、「甘拜下風」、「自甘墮落」。《詩經．齊風．雞鳴》：「蟲飛薨薨，甘與子同夢。」 |</v>
      </c>
    </row>
    <row r="5458" spans="1:44" hidden="1">
      <c r="A5458" s="1" t="s">
        <v>9874</v>
      </c>
      <c r="C5458" s="1">
        <v>1</v>
      </c>
      <c r="D5458" s="1" t="str">
        <f>"04053"</f>
        <v>04053</v>
      </c>
      <c r="E5458" s="1" t="s">
        <v>129</v>
      </c>
      <c r="F5458" s="1">
        <v>8</v>
      </c>
      <c r="G5458" s="1">
        <v>5</v>
      </c>
      <c r="H5458" s="1">
        <v>0</v>
      </c>
      <c r="I5458" s="1" t="s">
        <v>9854</v>
      </c>
      <c r="K5458" s="1" t="str">
        <f t="shared" si="350"/>
        <v>ㄍ</v>
      </c>
      <c r="L5458" s="1" t="str">
        <f t="shared" si="351"/>
        <v>ㄢ</v>
      </c>
      <c r="M5458" s="1" t="str">
        <f t="shared" si="349"/>
        <v/>
      </c>
      <c r="P5458" s="1" t="s">
        <v>20</v>
      </c>
      <c r="R5458" s="1" t="s">
        <v>9855</v>
      </c>
      <c r="V5458" s="1" t="s">
        <v>9875</v>
      </c>
      <c r="AR5458" s="1" t="str">
        <f t="shared" si="352"/>
        <v>| [ㄍㄢ](ㄍㄢ.md) | [泔](泔.md) |  | gān | [名]
淘米的水。宋．蘇軾〈鳳翔八觀詩．東湖〉：「有山禿如赭，有水濁如泔。」
[動]
一種調理食物的方法。用米汁浸漬食品。《荀子．大略》：「曾子食魚有餘，曰：『泔之。』門人曰：『泔之傷人，不若奧之。』」
[形]
參見「泔淡」條。 |</v>
      </c>
    </row>
    <row r="5459" spans="1:44" hidden="1">
      <c r="A5459" s="1" t="s">
        <v>9876</v>
      </c>
      <c r="C5459" s="1">
        <v>1</v>
      </c>
      <c r="D5459" s="1" t="str">
        <f>"04054"</f>
        <v>04054</v>
      </c>
      <c r="E5459" s="1" t="s">
        <v>132</v>
      </c>
      <c r="F5459" s="1">
        <v>8</v>
      </c>
      <c r="G5459" s="1">
        <v>5</v>
      </c>
      <c r="H5459" s="1">
        <v>0</v>
      </c>
      <c r="I5459" s="1" t="s">
        <v>9854</v>
      </c>
      <c r="K5459" s="1" t="str">
        <f t="shared" si="350"/>
        <v>ㄍ</v>
      </c>
      <c r="L5459" s="1" t="str">
        <f t="shared" si="351"/>
        <v>ㄢ</v>
      </c>
      <c r="M5459" s="1" t="str">
        <f t="shared" si="349"/>
        <v/>
      </c>
      <c r="P5459" s="1" t="s">
        <v>20</v>
      </c>
      <c r="R5459" s="1" t="s">
        <v>9855</v>
      </c>
      <c r="V5459" s="1" t="s">
        <v>9877</v>
      </c>
      <c r="AR5459" s="1" t="str">
        <f t="shared" si="352"/>
        <v>| [ㄍㄢ](ㄍㄢ.md) | [坩](坩.md) |  | gān | [名]
1.罐甕之類盛食物的陶土器。唐．陸龜蒙〈京口與友生話別〉詩：「蜀酒時傾瓿，吳蝦遍發坩。」
2.參見「坩堝」條。 |</v>
      </c>
    </row>
    <row r="5460" spans="1:44" hidden="1">
      <c r="A5460" s="1" t="s">
        <v>9878</v>
      </c>
      <c r="C5460" s="1">
        <v>1</v>
      </c>
      <c r="D5460" s="1" t="str">
        <f>"04055"</f>
        <v>04055</v>
      </c>
      <c r="E5460" s="1" t="s">
        <v>139</v>
      </c>
      <c r="F5460" s="1">
        <v>9</v>
      </c>
      <c r="G5460" s="1">
        <v>5</v>
      </c>
      <c r="H5460" s="1">
        <v>1</v>
      </c>
      <c r="I5460" s="1" t="s">
        <v>9854</v>
      </c>
      <c r="K5460" s="1" t="str">
        <f t="shared" si="350"/>
        <v>ㄍ</v>
      </c>
      <c r="L5460" s="1" t="str">
        <f t="shared" si="351"/>
        <v>ㄢ</v>
      </c>
      <c r="M5460" s="1" t="str">
        <f t="shared" si="349"/>
        <v/>
      </c>
      <c r="P5460" s="1" t="s">
        <v>20</v>
      </c>
      <c r="R5460" s="1" t="s">
        <v>9855</v>
      </c>
      <c r="V5460" s="1" t="s">
        <v>9879</v>
      </c>
      <c r="W5460" s="1" t="s">
        <v>9880</v>
      </c>
      <c r="AR5460" s="1" t="str">
        <f t="shared" si="352"/>
        <v>| [ㄍㄢ](ㄍㄢ.md) | [柑](柑.md) |  | gān | [名]
植物名。芸香科柑桔屬，一群「柑果」供食用之柑桔屬果樹之混稱，包括「蜜柑」、「椪柑」、「橘」等。常綠灌木或小喬木。莖高約四至五公尺。葉互生，橢圓或長橢圓形，鋸齒緣狀。果扁球形，果皮粗糙，成熟後呈金黃色，味甘美。樹皮、葉子、花、果皮、種子等都可入藥。此類植物的果實也稱為「柑」。如：「椪柑」、「金柑」。 |</v>
      </c>
    </row>
    <row r="5461" spans="1:44" hidden="1">
      <c r="A5461" s="1" t="s">
        <v>9881</v>
      </c>
      <c r="C5461" s="1">
        <v>1</v>
      </c>
      <c r="D5461" s="1" t="str">
        <f>"04056"</f>
        <v>04056</v>
      </c>
      <c r="E5461" s="1" t="s">
        <v>37</v>
      </c>
      <c r="F5461" s="1">
        <v>9</v>
      </c>
      <c r="G5461" s="1">
        <v>5</v>
      </c>
      <c r="H5461" s="1">
        <v>0</v>
      </c>
      <c r="I5461" s="1" t="s">
        <v>9854</v>
      </c>
      <c r="K5461" s="1" t="str">
        <f t="shared" si="350"/>
        <v>ㄍ</v>
      </c>
      <c r="L5461" s="1" t="str">
        <f t="shared" si="351"/>
        <v>ㄢ</v>
      </c>
      <c r="M5461" s="1" t="str">
        <f t="shared" si="349"/>
        <v/>
      </c>
      <c r="P5461" s="1" t="s">
        <v>20</v>
      </c>
      <c r="R5461" s="1" t="s">
        <v>9855</v>
      </c>
      <c r="V5461" s="1" t="s">
        <v>9882</v>
      </c>
      <c r="AR5461" s="1" t="str">
        <f t="shared" si="352"/>
        <v>| [ㄍㄢ](ㄍㄢ.md) | [苷](苷.md) |  | gān | [名]
1.甘草。《說文解字．艸部》：「苷，甘草也。」
2.參見「糖苷類」、「核苷」、「核苷酸」等條。 |</v>
      </c>
    </row>
    <row r="5462" spans="1:44" hidden="1">
      <c r="A5462" s="1" t="s">
        <v>9883</v>
      </c>
      <c r="C5462" s="1">
        <v>1</v>
      </c>
      <c r="D5462" s="1" t="str">
        <f>"04057"</f>
        <v>04057</v>
      </c>
      <c r="E5462" s="1" t="s">
        <v>40</v>
      </c>
      <c r="F5462" s="1">
        <v>10</v>
      </c>
      <c r="G5462" s="1">
        <v>5</v>
      </c>
      <c r="H5462" s="1">
        <v>0</v>
      </c>
      <c r="I5462" s="1" t="s">
        <v>9854</v>
      </c>
      <c r="K5462" s="1" t="str">
        <f t="shared" si="350"/>
        <v>ㄍ</v>
      </c>
      <c r="L5462" s="1" t="str">
        <f t="shared" si="351"/>
        <v>ㄢ</v>
      </c>
      <c r="M5462" s="1" t="str">
        <f t="shared" si="349"/>
        <v/>
      </c>
      <c r="P5462" s="1" t="s">
        <v>20</v>
      </c>
      <c r="R5462" s="1" t="s">
        <v>9855</v>
      </c>
      <c r="V5462" s="1" t="s">
        <v>9884</v>
      </c>
      <c r="AR5462" s="1" t="str">
        <f t="shared" si="352"/>
        <v>| [ㄍㄢ](ㄍㄢ.md) | [疳](疳.md) |  | gān | [名]
中醫上指局部潰爛、化膿的症狀。如：「牙疳」、「下疳」。 |</v>
      </c>
    </row>
    <row r="5463" spans="1:44" hidden="1">
      <c r="A5463" s="1" t="s">
        <v>9885</v>
      </c>
      <c r="C5463" s="1">
        <v>1</v>
      </c>
      <c r="D5463" s="1" t="str">
        <f>"04058"</f>
        <v>04058</v>
      </c>
      <c r="E5463" s="1" t="s">
        <v>3480</v>
      </c>
      <c r="F5463" s="1">
        <v>11</v>
      </c>
      <c r="G5463" s="1">
        <v>10</v>
      </c>
      <c r="H5463" s="1">
        <v>2</v>
      </c>
      <c r="I5463" s="1" t="s">
        <v>9854</v>
      </c>
      <c r="K5463" s="1" t="str">
        <f t="shared" si="350"/>
        <v>ㄍ</v>
      </c>
      <c r="L5463" s="1" t="str">
        <f t="shared" si="351"/>
        <v>ㄢ</v>
      </c>
      <c r="M5463" s="1" t="str">
        <f t="shared" si="349"/>
        <v/>
      </c>
      <c r="P5463" s="1" t="s">
        <v>20</v>
      </c>
      <c r="R5463" s="1" t="s">
        <v>9855</v>
      </c>
      <c r="V5463" s="1" t="s">
        <v>9886</v>
      </c>
      <c r="W5463" s="1" t="s">
        <v>9887</v>
      </c>
      <c r="AR5463" s="1" t="str">
        <f t="shared" si="352"/>
        <v>| [ㄍㄢ](ㄍㄢ.md) | [乾](乾.md) |  | gān | [形]
1.沒有水分或缺乏水分的。與「溼」相對。如：「乾柴」、「乾毛巾」。
2.枯竭。如：「外強中乾」。
3.聲音清脆響亮。唐．岑參〈虢州西亭陪端公宴集〉詩：「開瓶酒色嫩，踏地葉聲乾。」
4.結拜認來的親屬關係。如：「乾媽」、「乾爹」。
[名]
經脫水加工製成的乾燥食品。如：「餅乾」、「牛肉乾」、「鹹菜乾」。
[動]
1.變乾燥。如：「油漆未乾」。
2.竭盡、乾涸。如：「乾杯」。《山海經．北山經》：「教水出焉，西流注于河，是水冬乾而夏流。」
3.怠慢、置之不理。《兒女英雄傳》第三〇回：「從今日起，且乾著他，不理他，他兩個自然該有些著慌。」
[副]
1.沒有剩餘。如：「他把人家的積蓄都榨乾了。」
2.徒然、白白的。如：「乾等」、「乾瞪眼」。《紅樓夢》第一二回：「熱鍋上螞蟻一般，只是乾轉。」
3.表面的、形式的。如：「乾笑」。《水滸傳》第二五回：「當下那婦人乾號了半夜。」 |</v>
      </c>
    </row>
    <row r="5464" spans="1:44" hidden="1">
      <c r="A5464" s="1" t="s">
        <v>9888</v>
      </c>
      <c r="C5464" s="1">
        <v>1</v>
      </c>
      <c r="D5464" s="1" t="str">
        <f>"04059"</f>
        <v>04059</v>
      </c>
      <c r="E5464" s="1" t="s">
        <v>1935</v>
      </c>
      <c r="F5464" s="1">
        <v>17</v>
      </c>
      <c r="G5464" s="1">
        <v>14</v>
      </c>
      <c r="H5464" s="1">
        <v>1</v>
      </c>
      <c r="I5464" s="1" t="s">
        <v>9854</v>
      </c>
      <c r="K5464" s="1" t="str">
        <f t="shared" si="350"/>
        <v>ㄍ</v>
      </c>
      <c r="L5464" s="1" t="str">
        <f t="shared" si="351"/>
        <v>ㄢ</v>
      </c>
      <c r="M5464" s="1" t="str">
        <f t="shared" si="349"/>
        <v/>
      </c>
      <c r="P5464" s="1" t="s">
        <v>20</v>
      </c>
      <c r="R5464" s="1" t="s">
        <v>9855</v>
      </c>
      <c r="V5464" s="1" t="s">
        <v>9546</v>
      </c>
      <c r="W5464" s="1" t="s">
        <v>9889</v>
      </c>
      <c r="AR5464" s="1" t="str">
        <f t="shared" si="352"/>
        <v>| [ㄍㄢ](ㄍㄢ.md) | [尷](尷.md) |  | gān | 參見「尷尬」條。 |</v>
      </c>
    </row>
    <row r="5465" spans="1:44" hidden="1">
      <c r="A5465" s="1" t="s">
        <v>9937</v>
      </c>
      <c r="C5465" s="1">
        <v>1</v>
      </c>
      <c r="D5465" s="1" t="str">
        <f>"04080"</f>
        <v>04080</v>
      </c>
      <c r="E5465" s="1" t="s">
        <v>139</v>
      </c>
      <c r="F5465" s="1">
        <v>10</v>
      </c>
      <c r="G5465" s="1">
        <v>6</v>
      </c>
      <c r="H5465" s="1">
        <v>0</v>
      </c>
      <c r="I5465" s="1" t="s">
        <v>9938</v>
      </c>
      <c r="K5465" s="1" t="str">
        <f t="shared" si="350"/>
        <v>ㄍ</v>
      </c>
      <c r="L5465" s="1" t="str">
        <f t="shared" si="351"/>
        <v>ㄣ</v>
      </c>
      <c r="M5465" s="1" t="str">
        <f t="shared" si="349"/>
        <v/>
      </c>
      <c r="P5465" s="1" t="s">
        <v>20</v>
      </c>
      <c r="R5465" s="1" t="s">
        <v>9939</v>
      </c>
      <c r="V5465" s="1" t="s">
        <v>9940</v>
      </c>
      <c r="AR5465" s="1" t="str">
        <f t="shared" si="352"/>
        <v>| [ㄍㄣ](ㄍㄣ.md) | [根](根.md) |  | gēn | [名]_x000D_
1.植物的器官，大多向地下生長，具有固定、吸收水分及無機鹽的功能，某些種類，亦有貯藏養分的功能。如：「落葉歸根」。三國魏．曹植〈七步詩〉：「本自同根生，相煎何太急。」唐．李白〈為吳王謝責赴行在遲滯表〉：「流波思其舊浦，落葉墜於本根。」_x000D_
2.物體的基部、下部。如：「耳根」、「牙根」。唐．白居易〈早春〉詩：「滿庭田地溼，薺葉生牆根。」_x000D_
3.事物的本源。如：「禍根」、「病根」、「追根究底」。唐．獨孤及〈夢遠遊賦〉：「止水不波，浮雲無根。」宋．蘇軾〈李氏山房藏書記〉：「而後生科舉之士，皆束書不觀，遊談無根，此又何也。」_x000D_
4.事物的存底。如：「票根」、「存根」。_x000D_
5.姓。如周代有根牟子。_x000D_
[量]_x000D_
計算細長形物體的單位。如：「一根棍子」、「三根筷子」。_x000D_
[動]_x000D_
深植。《孟子．盡心上》：「君子所性，仁義禮智根於心。」_x000D_
[副]_x000D_
澈底的。如：「根絕」、「根除」。 |</v>
      </c>
    </row>
    <row r="5466" spans="1:44" hidden="1">
      <c r="A5466" s="1" t="s">
        <v>9941</v>
      </c>
      <c r="C5466" s="1">
        <v>1</v>
      </c>
      <c r="D5466" s="1" t="str">
        <f>"04081"</f>
        <v>04081</v>
      </c>
      <c r="E5466" s="1" t="s">
        <v>77</v>
      </c>
      <c r="F5466" s="1">
        <v>13</v>
      </c>
      <c r="G5466" s="1">
        <v>6</v>
      </c>
      <c r="H5466" s="1">
        <v>0</v>
      </c>
      <c r="I5466" s="1" t="s">
        <v>9938</v>
      </c>
      <c r="K5466" s="1" t="str">
        <f t="shared" si="350"/>
        <v>ㄍ</v>
      </c>
      <c r="L5466" s="1" t="str">
        <f t="shared" si="351"/>
        <v>ㄣ</v>
      </c>
      <c r="M5466" s="1" t="str">
        <f t="shared" si="349"/>
        <v/>
      </c>
      <c r="P5466" s="1" t="s">
        <v>20</v>
      </c>
      <c r="R5466" s="1" t="s">
        <v>9939</v>
      </c>
      <c r="V5466" s="1" t="s">
        <v>9942</v>
      </c>
      <c r="AR5466" s="1" t="str">
        <f t="shared" si="352"/>
        <v>| [ㄍㄣ](ㄍㄣ.md) | [跟](跟.md) |  | gēn | [名]
1.腳的後部。《說文解字．足部》：「跟，足踵也。」如：「腳後跟」。
2.鞋子的後部。如：「鞋跟」。
[動]
隨行、隨侍。《儒林外史》第三回：「范舉人先走，胡屠戶和鄰居跟在後面。」《紅樓夢》第四三回：「我茗烟跟二爺這幾年，二爺的心事我沒有不知道的。」
[介]
1.和、與。如：「我跟他一道去。」、「班長有事要跟大家商量。」
2.對、向。如：「我跟他說過了。」 |</v>
      </c>
    </row>
    <row r="5467" spans="1:44" hidden="1">
      <c r="A5467" s="1" t="s">
        <v>9963</v>
      </c>
      <c r="C5467" s="1">
        <v>1</v>
      </c>
      <c r="D5467" s="1" t="str">
        <f>"04087"</f>
        <v>04087</v>
      </c>
      <c r="E5467" s="1" t="s">
        <v>367</v>
      </c>
      <c r="F5467" s="1">
        <v>4</v>
      </c>
      <c r="G5467" s="1">
        <v>2</v>
      </c>
      <c r="H5467" s="1">
        <v>2</v>
      </c>
      <c r="I5467" s="1" t="s">
        <v>9964</v>
      </c>
      <c r="K5467" s="1" t="str">
        <f t="shared" si="350"/>
        <v>ㄍ</v>
      </c>
      <c r="L5467" s="1" t="str">
        <f t="shared" si="351"/>
        <v>ㄤ</v>
      </c>
      <c r="M5467" s="1" t="str">
        <f t="shared" si="349"/>
        <v/>
      </c>
      <c r="P5467" s="1" t="s">
        <v>20</v>
      </c>
      <c r="R5467" s="1" t="s">
        <v>9965</v>
      </c>
      <c r="V5467" s="1" t="s">
        <v>9966</v>
      </c>
      <c r="W5467" s="1" t="s">
        <v>9967</v>
      </c>
      <c r="AR5467" s="1" t="str">
        <f t="shared" si="352"/>
        <v>| [ㄍㄤ](ㄍㄤ.md) | [亢](亢.md) |  | gāng | [名]
脖子、咽喉。《說文解字．亢部》：「亢，人頸也。」《漢書．卷三二．張耳陳餘傳》：「乃仰絕亢而死。」唐．顏師古．注：「亢者，總謂頸耳。」 |</v>
      </c>
    </row>
    <row r="5468" spans="1:44" hidden="1">
      <c r="A5468" s="1" t="s">
        <v>9968</v>
      </c>
      <c r="C5468" s="1">
        <v>1</v>
      </c>
      <c r="D5468" s="1" t="str">
        <f>"04088"</f>
        <v>04088</v>
      </c>
      <c r="E5468" s="1" t="s">
        <v>49</v>
      </c>
      <c r="F5468" s="1">
        <v>10</v>
      </c>
      <c r="G5468" s="1">
        <v>4</v>
      </c>
      <c r="H5468" s="1">
        <v>0</v>
      </c>
      <c r="I5468" s="1" t="s">
        <v>9964</v>
      </c>
      <c r="K5468" s="1" t="str">
        <f t="shared" si="350"/>
        <v>ㄍ</v>
      </c>
      <c r="L5468" s="1" t="str">
        <f t="shared" si="351"/>
        <v>ㄤ</v>
      </c>
      <c r="M5468" s="1" t="str">
        <f t="shared" si="349"/>
        <v/>
      </c>
      <c r="P5468" s="1" t="s">
        <v>20</v>
      </c>
      <c r="R5468" s="1" t="s">
        <v>9965</v>
      </c>
      <c r="V5468" s="1" t="s">
        <v>9969</v>
      </c>
      <c r="AR5468" s="1" t="str">
        <f t="shared" si="352"/>
        <v>| [ㄍㄤ](ㄍㄤ.md) | [笐](笐.md) |  | gāng | [名]
1.竹列。《說文解字．竹部》：「笐，竹列也。」
2.一種竹製的弦樂器。《集韻．平聲．唐韻》：「笐，樂器，有弦。」 |</v>
      </c>
    </row>
    <row r="5469" spans="1:44" hidden="1">
      <c r="A5469" s="1" t="s">
        <v>9970</v>
      </c>
      <c r="C5469" s="1">
        <v>1</v>
      </c>
      <c r="D5469" s="1" t="str">
        <f>"04089"</f>
        <v>04089</v>
      </c>
      <c r="E5469" s="1" t="s">
        <v>24</v>
      </c>
      <c r="F5469" s="1">
        <v>6</v>
      </c>
      <c r="G5469" s="1">
        <v>3</v>
      </c>
      <c r="H5469" s="1">
        <v>1</v>
      </c>
      <c r="I5469" s="1" t="s">
        <v>9964</v>
      </c>
      <c r="K5469" s="1" t="str">
        <f t="shared" si="350"/>
        <v>ㄍ</v>
      </c>
      <c r="L5469" s="1" t="str">
        <f t="shared" si="351"/>
        <v>ㄤ</v>
      </c>
      <c r="M5469" s="1" t="str">
        <f t="shared" si="349"/>
        <v/>
      </c>
      <c r="P5469" s="1" t="s">
        <v>20</v>
      </c>
      <c r="R5469" s="1" t="s">
        <v>9965</v>
      </c>
      <c r="V5469" s="1" t="s">
        <v>9971</v>
      </c>
      <c r="W5469" s="1" t="s">
        <v>9972</v>
      </c>
      <c r="AR5469" s="1" t="str">
        <f t="shared" si="352"/>
        <v>| [ㄍㄤ](ㄍㄤ.md) | [扛](扛.md) |  | gāng | [動]_x000D_
用兩手舉起重物。《後漢書．卷八二．方術列傳下．費長房》：「長房使人取之，不能勝，又令十人扛之，猶不舉。」唐．韓愈〈病中贈張十八〉詩：「龍文百斛鼎，筆力可獨扛。」 |</v>
      </c>
    </row>
    <row r="5470" spans="1:44" hidden="1">
      <c r="A5470" s="1" t="s">
        <v>9973</v>
      </c>
      <c r="C5470" s="1">
        <v>1</v>
      </c>
      <c r="D5470" s="1" t="str">
        <f>"04090"</f>
        <v>04090</v>
      </c>
      <c r="E5470" s="1" t="s">
        <v>139</v>
      </c>
      <c r="F5470" s="1">
        <v>7</v>
      </c>
      <c r="G5470" s="1">
        <v>3</v>
      </c>
      <c r="H5470" s="1">
        <v>1</v>
      </c>
      <c r="I5470" s="1" t="s">
        <v>9964</v>
      </c>
      <c r="K5470" s="1" t="str">
        <f t="shared" si="350"/>
        <v>ㄍ</v>
      </c>
      <c r="L5470" s="1" t="str">
        <f t="shared" si="351"/>
        <v>ㄤ</v>
      </c>
      <c r="M5470" s="1" t="str">
        <f t="shared" ref="M5470:M5533" si="353">MID(I5470, 3, 1)</f>
        <v/>
      </c>
      <c r="P5470" s="1" t="s">
        <v>20</v>
      </c>
      <c r="R5470" s="1" t="s">
        <v>9965</v>
      </c>
      <c r="V5470" s="1" t="s">
        <v>9974</v>
      </c>
      <c r="W5470" s="1" t="s">
        <v>9975</v>
      </c>
      <c r="AR5470" s="1" t="str">
        <f t="shared" si="352"/>
        <v>| [ㄍㄤ](ㄍㄤ.md) | [杠](杠.md) |  | gāng | [名]
1.旗竿。《集韻．平聲．江韻》：「杠，旌旗干。」《儀禮．士喪禮》：「竹杠長三尺，置于宇西階上。」唐．韓愈〈病中贈張十八〉詩：「牛羊滿田野，解旆束空杠。」
2.小橋。《文選．左思．魏都賦》：「石杠飛梁，出控漳渠。」李善注引郭璞曰：「石杠謂石橋。」 |</v>
      </c>
    </row>
    <row r="5471" spans="1:44" hidden="1">
      <c r="A5471" s="1" t="s">
        <v>9976</v>
      </c>
      <c r="C5471" s="1">
        <v>1</v>
      </c>
      <c r="D5471" s="1" t="str">
        <f>"04091"</f>
        <v>04091</v>
      </c>
      <c r="E5471" s="1" t="s">
        <v>68</v>
      </c>
      <c r="F5471" s="1">
        <v>7</v>
      </c>
      <c r="G5471" s="1">
        <v>3</v>
      </c>
      <c r="H5471" s="1">
        <v>0</v>
      </c>
      <c r="I5471" s="1" t="s">
        <v>9964</v>
      </c>
      <c r="K5471" s="1" t="str">
        <f t="shared" si="350"/>
        <v>ㄍ</v>
      </c>
      <c r="L5471" s="1" t="str">
        <f t="shared" si="351"/>
        <v>ㄤ</v>
      </c>
      <c r="M5471" s="1" t="str">
        <f t="shared" si="353"/>
        <v/>
      </c>
      <c r="P5471" s="1" t="s">
        <v>20</v>
      </c>
      <c r="R5471" s="1" t="s">
        <v>9965</v>
      </c>
      <c r="V5471" s="1" t="s">
        <v>9977</v>
      </c>
      <c r="AR5471" s="1" t="str">
        <f t="shared" si="352"/>
        <v>| [ㄍㄤ](ㄍㄤ.md) | [肛](肛.md) |  | gāng | 參見「肛門」條。 |</v>
      </c>
    </row>
    <row r="5472" spans="1:44" hidden="1">
      <c r="A5472" s="1" t="s">
        <v>9978</v>
      </c>
      <c r="C5472" s="1">
        <v>1</v>
      </c>
      <c r="D5472" s="1" t="str">
        <f>"04092"</f>
        <v>04092</v>
      </c>
      <c r="E5472" s="1" t="s">
        <v>175</v>
      </c>
      <c r="F5472" s="1">
        <v>9</v>
      </c>
      <c r="G5472" s="1">
        <v>3</v>
      </c>
      <c r="H5472" s="1">
        <v>0</v>
      </c>
      <c r="I5472" s="1" t="s">
        <v>9964</v>
      </c>
      <c r="K5472" s="1" t="str">
        <f t="shared" si="350"/>
        <v>ㄍ</v>
      </c>
      <c r="L5472" s="1" t="str">
        <f t="shared" si="351"/>
        <v>ㄤ</v>
      </c>
      <c r="M5472" s="1" t="str">
        <f t="shared" si="353"/>
        <v/>
      </c>
      <c r="P5472" s="1" t="s">
        <v>20</v>
      </c>
      <c r="R5472" s="1" t="s">
        <v>9965</v>
      </c>
      <c r="V5472" s="1" t="s">
        <v>9979</v>
      </c>
      <c r="AR5472" s="1" t="str">
        <f t="shared" si="352"/>
        <v>| [ㄍㄤ](ㄍㄤ.md) | [缸](缸.md) |  | gāng | [名]
1.一種盛裝、儲藏東西的容器。圓形、寬口、腹大、底小。舊時用陶、瓷、玻璃等製成，現代亦有塑膠製成。如：「醬缸」、「水缸」、「魚缸」。
2.像缸一樣的器物。如：「汽缸」、「茶缸」、「菸灰缸」。 |</v>
      </c>
    </row>
    <row r="5473" spans="1:44" hidden="1">
      <c r="A5473" s="1" t="s">
        <v>9980</v>
      </c>
      <c r="C5473" s="1">
        <v>1</v>
      </c>
      <c r="D5473" s="1" t="str">
        <f>"04093"</f>
        <v>04093</v>
      </c>
      <c r="E5473" s="1" t="s">
        <v>55</v>
      </c>
      <c r="F5473" s="1">
        <v>11</v>
      </c>
      <c r="G5473" s="1">
        <v>3</v>
      </c>
      <c r="H5473" s="1">
        <v>0</v>
      </c>
      <c r="I5473" s="1" t="s">
        <v>9964</v>
      </c>
      <c r="K5473" s="1" t="str">
        <f t="shared" si="350"/>
        <v>ㄍ</v>
      </c>
      <c r="L5473" s="1" t="str">
        <f t="shared" si="351"/>
        <v>ㄤ</v>
      </c>
      <c r="M5473" s="1" t="str">
        <f t="shared" si="353"/>
        <v/>
      </c>
      <c r="P5473" s="1" t="s">
        <v>20</v>
      </c>
      <c r="R5473" s="1" t="s">
        <v>9965</v>
      </c>
      <c r="V5473" s="1" t="s">
        <v>9981</v>
      </c>
      <c r="AR5473" s="1" t="str">
        <f t="shared" si="352"/>
        <v>| [ㄍㄤ](ㄍㄤ.md) | [釭](釭.md) |  | gāng | [名]
1.車轂口穿軸用的金屬圈。《說文解字．金部》：「釭，車轂中鐵也。」
2.燈。《文選．江淹．別賦》：「夏簟清兮晝不暮，冬釭凝兮夜何長。」元．王實甫《西廂記．第三本．第二折》：「絳臺高，金荷小，銀釭猶燦。」 |</v>
      </c>
    </row>
    <row r="5474" spans="1:44" hidden="1">
      <c r="A5474" s="1" t="s">
        <v>9982</v>
      </c>
      <c r="C5474" s="1">
        <v>1</v>
      </c>
      <c r="D5474" s="1" t="str">
        <f>"04094"</f>
        <v>04094</v>
      </c>
      <c r="E5474" s="1" t="s">
        <v>190</v>
      </c>
      <c r="F5474" s="1">
        <v>8</v>
      </c>
      <c r="G5474" s="1">
        <v>5</v>
      </c>
      <c r="H5474" s="1">
        <v>1</v>
      </c>
      <c r="I5474" s="1" t="s">
        <v>9964</v>
      </c>
      <c r="K5474" s="1" t="str">
        <f t="shared" si="350"/>
        <v>ㄍ</v>
      </c>
      <c r="L5474" s="1" t="str">
        <f t="shared" si="351"/>
        <v>ㄤ</v>
      </c>
      <c r="M5474" s="1" t="str">
        <f t="shared" si="353"/>
        <v/>
      </c>
      <c r="P5474" s="1" t="s">
        <v>20</v>
      </c>
      <c r="R5474" s="1" t="s">
        <v>9965</v>
      </c>
      <c r="V5474" s="1" t="s">
        <v>9983</v>
      </c>
      <c r="W5474" s="1" t="s">
        <v>9984</v>
      </c>
      <c r="AR5474" s="1" t="str">
        <f t="shared" si="352"/>
        <v>| [ㄍㄤ](ㄍㄤ.md) | [岡](岡.md) |  | gāng | [名]
山脊、山嶺。如：「山岡」。《書經．胤征》：「火炎崑岡，玉石俱焚。」《楚辭．王逸．九思．守志》：「陟玉巒兮逍遙，覽高岡兮嶢嶢。」 |</v>
      </c>
    </row>
    <row r="5475" spans="1:44" hidden="1">
      <c r="A5475" s="1" t="s">
        <v>9985</v>
      </c>
      <c r="C5475" s="1">
        <v>1</v>
      </c>
      <c r="D5475" s="1" t="str">
        <f>"04095"</f>
        <v>04095</v>
      </c>
      <c r="E5475" s="1" t="s">
        <v>185</v>
      </c>
      <c r="F5475" s="1">
        <v>10</v>
      </c>
      <c r="G5475" s="1">
        <v>8</v>
      </c>
      <c r="H5475" s="1">
        <v>0</v>
      </c>
      <c r="I5475" s="1" t="s">
        <v>9964</v>
      </c>
      <c r="K5475" s="1" t="str">
        <f t="shared" si="350"/>
        <v>ㄍ</v>
      </c>
      <c r="L5475" s="1" t="str">
        <f t="shared" si="351"/>
        <v>ㄤ</v>
      </c>
      <c r="M5475" s="1" t="str">
        <f t="shared" si="353"/>
        <v/>
      </c>
      <c r="P5475" s="1" t="s">
        <v>20</v>
      </c>
      <c r="R5475" s="1" t="s">
        <v>9965</v>
      </c>
      <c r="V5475" s="1" t="s">
        <v>9986</v>
      </c>
      <c r="AR5475" s="1" t="str">
        <f t="shared" si="352"/>
        <v>| [ㄍㄤ](ㄍㄤ.md) | [剛](剛.md) |  | gāng | [形]
1.堅硬的。《齊民要術．卷一〇．梓棪》：「《異物志》曰：『梓棪大十圍，材貞勁，非利剛截不能剋。』」唐．柳宗元〈貞符詩．序〉：「齒利者齧，爪剛者決。」
2.強勁的。如：「剛強」。《論語．季氏》：「及其壯也，血氣方剛，戒之在鬥。」
3.正直無私。如：「剛正不阿」。
[副]
1.表示時間，指情況或行動不久前才發生過，相當於「才」、「方才」。如：「天剛亮，媽媽就起床幹活了。」
2.恰好。如：「剛好」。
[名]
姓。如清代有剛林。 |</v>
      </c>
    </row>
    <row r="5476" spans="1:44" hidden="1">
      <c r="A5476" s="1" t="s">
        <v>9987</v>
      </c>
      <c r="C5476" s="1">
        <v>1</v>
      </c>
      <c r="D5476" s="1" t="str">
        <f>"04096"</f>
        <v>04096</v>
      </c>
      <c r="E5476" s="1" t="s">
        <v>24</v>
      </c>
      <c r="F5476" s="1">
        <v>11</v>
      </c>
      <c r="G5476" s="1">
        <v>8</v>
      </c>
      <c r="H5476" s="1">
        <v>0</v>
      </c>
      <c r="I5476" s="1" t="s">
        <v>9964</v>
      </c>
      <c r="K5476" s="1" t="str">
        <f t="shared" si="350"/>
        <v>ㄍ</v>
      </c>
      <c r="L5476" s="1" t="str">
        <f t="shared" si="351"/>
        <v>ㄤ</v>
      </c>
      <c r="M5476" s="1" t="str">
        <f t="shared" si="353"/>
        <v/>
      </c>
      <c r="P5476" s="1" t="s">
        <v>20</v>
      </c>
      <c r="R5476" s="1" t="s">
        <v>9965</v>
      </c>
      <c r="V5476" s="1" t="s">
        <v>9988</v>
      </c>
      <c r="AR5476" s="1" t="str">
        <f t="shared" si="352"/>
        <v>| [ㄍㄤ](ㄍㄤ.md) | [掆](掆.md) |  | gāng | [動]
舉。同「扛」。玉篇．手部：「掆，舉。」 |</v>
      </c>
    </row>
    <row r="5477" spans="1:44" hidden="1">
      <c r="A5477" s="1" t="s">
        <v>9989</v>
      </c>
      <c r="C5477" s="1">
        <v>1</v>
      </c>
      <c r="D5477" s="1" t="str">
        <f>"04097"</f>
        <v>04097</v>
      </c>
      <c r="E5477" s="1" t="s">
        <v>190</v>
      </c>
      <c r="F5477" s="1">
        <v>11</v>
      </c>
      <c r="G5477" s="1">
        <v>8</v>
      </c>
      <c r="H5477" s="1">
        <v>1</v>
      </c>
      <c r="I5477" s="1" t="s">
        <v>9964</v>
      </c>
      <c r="K5477" s="1" t="str">
        <f t="shared" si="350"/>
        <v>ㄍ</v>
      </c>
      <c r="L5477" s="1" t="str">
        <f t="shared" si="351"/>
        <v>ㄤ</v>
      </c>
      <c r="M5477" s="1" t="str">
        <f t="shared" si="353"/>
        <v/>
      </c>
      <c r="P5477" s="1" t="s">
        <v>20</v>
      </c>
      <c r="R5477" s="1" t="s">
        <v>9965</v>
      </c>
      <c r="V5477" s="1" t="s">
        <v>9990</v>
      </c>
      <c r="W5477" s="1" t="s">
        <v>9991</v>
      </c>
      <c r="AR5477" s="1" t="str">
        <f t="shared" si="352"/>
        <v>| [ㄍㄤ](ㄍㄤ.md) | [崗](崗.md) |  | gāng | 同「岡」。 |</v>
      </c>
    </row>
    <row r="5478" spans="1:44" hidden="1">
      <c r="A5478" s="1" t="s">
        <v>9992</v>
      </c>
      <c r="C5478" s="1">
        <v>1</v>
      </c>
      <c r="D5478" s="1" t="str">
        <f>"04098"</f>
        <v>04098</v>
      </c>
      <c r="E5478" s="1" t="s">
        <v>518</v>
      </c>
      <c r="F5478" s="1">
        <v>12</v>
      </c>
      <c r="G5478" s="1">
        <v>8</v>
      </c>
      <c r="H5478" s="1">
        <v>0</v>
      </c>
      <c r="I5478" s="1" t="s">
        <v>9964</v>
      </c>
      <c r="K5478" s="1" t="str">
        <f t="shared" si="350"/>
        <v>ㄍ</v>
      </c>
      <c r="L5478" s="1" t="str">
        <f t="shared" si="351"/>
        <v>ㄤ</v>
      </c>
      <c r="M5478" s="1" t="str">
        <f t="shared" si="353"/>
        <v/>
      </c>
      <c r="P5478" s="1" t="s">
        <v>20</v>
      </c>
      <c r="R5478" s="1" t="s">
        <v>9965</v>
      </c>
      <c r="V5478" s="1" t="s">
        <v>9993</v>
      </c>
      <c r="AR5478" s="1" t="str">
        <f t="shared" si="352"/>
        <v>| [ㄍㄤ](ㄍㄤ.md) | [犅](犅.md) |  | gāng | [名]
公牛。明．李時珍《本草綱目．卷五〇．獸部．牛》：「《釋名》：牛之牡者曰牯、曰特、曰犅。」 |</v>
      </c>
    </row>
    <row r="5479" spans="1:44" hidden="1">
      <c r="A5479" s="1" t="s">
        <v>9994</v>
      </c>
      <c r="C5479" s="1">
        <v>1</v>
      </c>
      <c r="D5479" s="1" t="str">
        <f>"04099"</f>
        <v>04099</v>
      </c>
      <c r="E5479" s="1" t="s">
        <v>725</v>
      </c>
      <c r="F5479" s="1">
        <v>14</v>
      </c>
      <c r="G5479" s="1">
        <v>8</v>
      </c>
      <c r="H5479" s="1">
        <v>0</v>
      </c>
      <c r="I5479" s="1" t="s">
        <v>9964</v>
      </c>
      <c r="K5479" s="1" t="str">
        <f t="shared" si="350"/>
        <v>ㄍ</v>
      </c>
      <c r="L5479" s="1" t="str">
        <f t="shared" si="351"/>
        <v>ㄤ</v>
      </c>
      <c r="M5479" s="1" t="str">
        <f t="shared" si="353"/>
        <v/>
      </c>
      <c r="P5479" s="1" t="s">
        <v>20</v>
      </c>
      <c r="R5479" s="1" t="s">
        <v>9965</v>
      </c>
      <c r="V5479" s="1" t="s">
        <v>9995</v>
      </c>
      <c r="AR5479" s="1" t="str">
        <f t="shared" si="352"/>
        <v>| [ㄍㄤ](ㄍㄤ.md) | [綱](綱.md) |  | gāng | [名]
1.維繫網的粗繩。《說文解字．糸部》：「綱，網紘也。」《書經．盤庚上》：「若網在綱，有條而不紊。」唐．杜甫〈又觀打魚〉詩：「蒼江魚子清晨集，設網提綱取魚急。」
2.文章、言論或事物的主要部分。如：「大綱」、「總綱」、「提綱挈領」。《詩經．大雅．卷阿》：「豈弟君子，四方為綱。」《紅樓夢》第五六回：「自家雖是興利節用為綱，然亦不可太過。」
3.秩序、法紀。如：「綱紀」、「綱常」。《史記．卷九二．淮陰侯列傳》：「秦之綱絕而維弛，山東大擾，異姓并起，英俊烏集。」《晉書．卷二九．五行志下》：「近習用事，漸亂國綱。」
4.舊時成批運送貨物的組織。如：「鹽綱」、「茶綱」、「生辰綱」。《新唐書．卷五三．食貨志三》：「（何）晏為歇艎支江船二千艘，每船受千斛，十船為綱，每綱三百人，篙工五十。」
5.生物學上分類系統所用的階級之一，分階於門之下，由一群親緣關係相近之「目」所組成。如：「哺乳綱」、「界、門、綱、目、科、屬、種。」 |</v>
      </c>
    </row>
    <row r="5480" spans="1:44" hidden="1">
      <c r="A5480" s="1" t="s">
        <v>9996</v>
      </c>
      <c r="C5480" s="1">
        <v>1</v>
      </c>
      <c r="D5480" s="1" t="str">
        <f>"04100"</f>
        <v>04100</v>
      </c>
      <c r="E5480" s="1" t="s">
        <v>55</v>
      </c>
      <c r="F5480" s="1">
        <v>16</v>
      </c>
      <c r="G5480" s="1">
        <v>8</v>
      </c>
      <c r="H5480" s="1">
        <v>1</v>
      </c>
      <c r="I5480" s="1" t="s">
        <v>9964</v>
      </c>
      <c r="K5480" s="1" t="str">
        <f t="shared" si="350"/>
        <v>ㄍ</v>
      </c>
      <c r="L5480" s="1" t="str">
        <f t="shared" si="351"/>
        <v>ㄤ</v>
      </c>
      <c r="M5480" s="1" t="str">
        <f t="shared" si="353"/>
        <v/>
      </c>
      <c r="P5480" s="1" t="s">
        <v>20</v>
      </c>
      <c r="R5480" s="1" t="s">
        <v>9965</v>
      </c>
      <c r="V5480" s="1" t="s">
        <v>9997</v>
      </c>
      <c r="W5480" s="1" t="s">
        <v>9998</v>
      </c>
      <c r="AR5480" s="1" t="str">
        <f t="shared" si="352"/>
        <v>| [ㄍㄤ](ㄍㄤ.md) | [鋼](鋼.md) |  | gāng | [名]
鐵和碳的合金。比生鐵堅韌，比熟鐵質硬。依含碳量可分為柔鋼、建築用鋼及硬鋼等，是工業上極重要的材料。 |</v>
      </c>
    </row>
    <row r="5481" spans="1:44" hidden="1">
      <c r="A5481" s="1" t="s">
        <v>9999</v>
      </c>
      <c r="C5481" s="1">
        <v>1</v>
      </c>
      <c r="D5481" s="1" t="str">
        <f>"04101"</f>
        <v>04101</v>
      </c>
      <c r="E5481" s="1" t="s">
        <v>118</v>
      </c>
      <c r="F5481" s="1">
        <v>10</v>
      </c>
      <c r="G5481" s="1">
        <v>5</v>
      </c>
      <c r="H5481" s="1">
        <v>0</v>
      </c>
      <c r="I5481" s="1" t="s">
        <v>9964</v>
      </c>
      <c r="K5481" s="1" t="str">
        <f t="shared" si="350"/>
        <v>ㄍ</v>
      </c>
      <c r="L5481" s="1" t="str">
        <f t="shared" si="351"/>
        <v>ㄤ</v>
      </c>
      <c r="M5481" s="1" t="str">
        <f t="shared" si="353"/>
        <v/>
      </c>
      <c r="P5481" s="1" t="s">
        <v>20</v>
      </c>
      <c r="R5481" s="1" t="s">
        <v>9965</v>
      </c>
      <c r="V5481" s="1" t="s">
        <v>10000</v>
      </c>
      <c r="AR5481" s="1" t="str">
        <f t="shared" si="352"/>
        <v>| [ㄍㄤ](ㄍㄤ.md) | [罡](罡.md) |  | gāng | 參見「罡風」、「天罡」等條。 |</v>
      </c>
    </row>
    <row r="5482" spans="1:44" hidden="1">
      <c r="A5482" s="1" t="s">
        <v>10001</v>
      </c>
      <c r="C5482" s="1">
        <v>1</v>
      </c>
      <c r="D5482" s="1" t="str">
        <f>"04102"</f>
        <v>04102</v>
      </c>
      <c r="E5482" s="1" t="s">
        <v>132</v>
      </c>
      <c r="F5482" s="1">
        <v>13</v>
      </c>
      <c r="G5482" s="1">
        <v>10</v>
      </c>
      <c r="H5482" s="1">
        <v>0</v>
      </c>
      <c r="I5482" s="1" t="s">
        <v>9964</v>
      </c>
      <c r="K5482" s="1" t="str">
        <f t="shared" si="350"/>
        <v>ㄍ</v>
      </c>
      <c r="L5482" s="1" t="str">
        <f t="shared" si="351"/>
        <v>ㄤ</v>
      </c>
      <c r="M5482" s="1" t="str">
        <f t="shared" si="353"/>
        <v/>
      </c>
      <c r="P5482" s="1" t="s">
        <v>20</v>
      </c>
      <c r="R5482" s="1" t="s">
        <v>9965</v>
      </c>
      <c r="V5482" s="1" t="s">
        <v>10002</v>
      </c>
      <c r="AR5482" s="1" t="str">
        <f t="shared" si="352"/>
        <v>| [ㄍㄤ](ㄍㄤ.md) | [堽](堽.md) |  | gāng | [名]
1.山脊、山嶺。同「岡」。《廣韻．平聲．唐韻》：「崗，又作堽，並俗。」《五代史平話．梁史．卷上》：「那樹林深處見一個小小地莊舍，僻靜田地裡，前臨剪徑道，背靠殺人堽。」
2.參見「堽頭」條。 |</v>
      </c>
    </row>
    <row r="5483" spans="1:44" hidden="1">
      <c r="A5483" s="1" t="s">
        <v>10003</v>
      </c>
      <c r="C5483" s="1">
        <v>1</v>
      </c>
      <c r="D5483" s="1" t="str">
        <f>"04103"</f>
        <v>04103</v>
      </c>
      <c r="E5483" s="1" t="s">
        <v>96</v>
      </c>
      <c r="F5483" s="1">
        <v>22</v>
      </c>
      <c r="G5483" s="1">
        <v>13</v>
      </c>
      <c r="H5483" s="1">
        <v>2</v>
      </c>
      <c r="I5483" s="1" t="s">
        <v>9964</v>
      </c>
      <c r="K5483" s="1" t="str">
        <f t="shared" si="350"/>
        <v>ㄍ</v>
      </c>
      <c r="L5483" s="1" t="str">
        <f t="shared" si="351"/>
        <v>ㄤ</v>
      </c>
      <c r="M5483" s="1" t="str">
        <f t="shared" si="353"/>
        <v/>
      </c>
      <c r="P5483" s="1" t="s">
        <v>110</v>
      </c>
      <c r="R5483" s="1" t="s">
        <v>9965</v>
      </c>
      <c r="V5483" s="1" t="s">
        <v>111</v>
      </c>
      <c r="W5483" s="1" t="s">
        <v>10004</v>
      </c>
      <c r="AR5483" s="1" t="str">
        <f t="shared" si="352"/>
        <v>| [ㄍㄤ](ㄍㄤ.md) | [韁](韁.md) |  | gāng | (一)之又音。 |</v>
      </c>
    </row>
    <row r="5484" spans="1:44" hidden="1">
      <c r="A5484" s="1" t="s">
        <v>10022</v>
      </c>
      <c r="C5484" s="1">
        <v>1</v>
      </c>
      <c r="D5484" s="1" t="str">
        <f>"04111"</f>
        <v>04111</v>
      </c>
      <c r="E5484" s="1" t="s">
        <v>6488</v>
      </c>
      <c r="F5484" s="1">
        <v>7</v>
      </c>
      <c r="G5484" s="1">
        <v>3</v>
      </c>
      <c r="H5484" s="1">
        <v>1</v>
      </c>
      <c r="I5484" s="1" t="s">
        <v>10023</v>
      </c>
      <c r="K5484" s="1" t="str">
        <f t="shared" si="350"/>
        <v>ㄍ</v>
      </c>
      <c r="L5484" s="1" t="str">
        <f t="shared" si="351"/>
        <v>ㄥ</v>
      </c>
      <c r="M5484" s="1" t="str">
        <f t="shared" si="353"/>
        <v/>
      </c>
      <c r="P5484" s="1" t="s">
        <v>20</v>
      </c>
      <c r="R5484" s="1" t="s">
        <v>10024</v>
      </c>
      <c r="V5484" s="1" t="s">
        <v>10025</v>
      </c>
      <c r="W5484" s="1" t="s">
        <v>10026</v>
      </c>
      <c r="AR5484" s="1" t="str">
        <f t="shared" si="352"/>
        <v>| [ㄍㄥ](ㄍㄥ.md) | [更](更.md) |  | gēng | [動]
1.改換、改變。如：「更改」、「變更」。唐．王維〈秋夜曲〉：「桂魄初生秋露微，輕羅已薄未更衣。」唐．元稹〈估客樂〉詩：「自茲相將去，誓死意不更。」
2.調換、交替。如：「更代」、「交更」。《左傳．昭公三年》：「景公欲更晏子之宅。」《浮生六記．卷二．閒情記趣》：「多編數屏，隨意遮攔，恍如綠陰滿窗，透風蔽日，紆迴曲折，隨時可更，故曰活花屏。」
3.經歷、經過。如：「少不更事」。《漢書．卷六一．張騫李廣利傳．張騫》：「漢方欲事滅胡，聞此言，欲通使，道必更匈奴中，乃募能使者。」唐．柳宗元〈小石城山記〉：「更千百年，不得一售其伎，是固勞而無用，神者倘不宜如是，則其果無乎？」宋．陸游〈春夜讀書感懷〉詩：「悲哉白髮翁，世事已飽更。」
4.抵償、償還。《史記．卷三〇．平準書》：「悉巴、蜀租賦不足以更之，乃募豪民田南夷，入粟縣官，而內受錢於都內。」《淮南子．詮言訓》：「功之成也不足以更責，事之敗也不足以敝身。」
[名]
1.古代表示夜間計時的單位。一夜分為五更，每更約兩小時。如：「更深半夜」、「三更燈火五更雞」。五代十國．李煜〈浪淘沙．簾外雨潺潺〉詞：「簾外雨潺潺，春意闌珊，羅衾不耐五更寒。」
2.指更鼓聲。唐．王維〈冬晚對雪憶胡居士家〉詩：「寒更傳曉箭，清鏡覽衰顏。」宋．孫光憲〈更漏子．聽寒更〉詞：「聽寒更，聞遠雁，半夜蕭娘深院。」
3.古代年長致仕而經驗豐富的長老。如：「三老五更」。
4.古代一種替代徭役的名稱。如：「更賦」。
5.姓。如戰國時魏國有更羸。 |</v>
      </c>
    </row>
    <row r="5485" spans="1:44" hidden="1">
      <c r="A5485" s="1" t="s">
        <v>10027</v>
      </c>
      <c r="C5485" s="1">
        <v>1</v>
      </c>
      <c r="D5485" s="1" t="str">
        <f>"04112"</f>
        <v>04112</v>
      </c>
      <c r="E5485" s="1" t="s">
        <v>46</v>
      </c>
      <c r="F5485" s="1">
        <v>13</v>
      </c>
      <c r="G5485" s="1">
        <v>7</v>
      </c>
      <c r="H5485" s="1">
        <v>1</v>
      </c>
      <c r="I5485" s="1" t="s">
        <v>10023</v>
      </c>
      <c r="K5485" s="1" t="str">
        <f t="shared" si="350"/>
        <v>ㄍ</v>
      </c>
      <c r="L5485" s="1" t="str">
        <f t="shared" si="351"/>
        <v>ㄥ</v>
      </c>
      <c r="M5485" s="1" t="str">
        <f t="shared" si="353"/>
        <v/>
      </c>
      <c r="P5485" s="1" t="s">
        <v>186</v>
      </c>
      <c r="R5485" s="1" t="s">
        <v>10024</v>
      </c>
      <c r="V5485" s="1" t="s">
        <v>10028</v>
      </c>
      <c r="W5485" s="1" t="s">
        <v>10029</v>
      </c>
      <c r="AR5485" s="1" t="str">
        <f t="shared" si="352"/>
        <v>| [ㄍㄥ](ㄍㄥ.md) | [粳](粳.md) |  | gēng | [名]
一種稻米類型。葉片較狹而短，色深綠，莖稈較矮、較堅硬。穀粒呈短圓形，內外穎上細毛多而長，米飯煮起來較軟。粳稻一般學術上稱為「日本型稻」或「中國型稻」，其米粒直鏈性澱粉含量為百分之十八至二十五。俗稱的「蓬萊米」，即屬於粳稻類型。 |</v>
      </c>
    </row>
    <row r="5486" spans="1:44" hidden="1">
      <c r="A5486" s="1" t="s">
        <v>10030</v>
      </c>
      <c r="C5486" s="1">
        <v>1</v>
      </c>
      <c r="D5486" s="1" t="str">
        <f>"04113"</f>
        <v>04113</v>
      </c>
      <c r="E5486" s="1" t="s">
        <v>447</v>
      </c>
      <c r="F5486" s="1">
        <v>8</v>
      </c>
      <c r="G5486" s="1">
        <v>5</v>
      </c>
      <c r="H5486" s="1">
        <v>0</v>
      </c>
      <c r="I5486" s="1" t="s">
        <v>10023</v>
      </c>
      <c r="K5486" s="1" t="str">
        <f t="shared" si="350"/>
        <v>ㄍ</v>
      </c>
      <c r="L5486" s="1" t="str">
        <f t="shared" si="351"/>
        <v>ㄥ</v>
      </c>
      <c r="M5486" s="1" t="str">
        <f t="shared" si="353"/>
        <v/>
      </c>
      <c r="P5486" s="1" t="s">
        <v>20</v>
      </c>
      <c r="R5486" s="1" t="s">
        <v>10024</v>
      </c>
      <c r="V5486" s="1" t="s">
        <v>10031</v>
      </c>
      <c r="AR5486" s="1" t="str">
        <f t="shared" si="352"/>
        <v>| [ㄍㄥ](ㄍㄥ.md) | [庚](庚.md) |  | gēng | [名]_x000D_
1.天干的第七位。_x000D_
2.年齡、年歲。如：「同庚」、「貴庚」。_x000D_
3.姓。如唐代有庚季良。_x000D_
[動]_x000D_
償付。《禮記．檀弓下》：「季子皐葬其妻，犯人之禾。申祥以告曰：『請庚之。』」漢．鄭玄．注：「庚，償也。」 |</v>
      </c>
    </row>
    <row r="5487" spans="1:44" hidden="1">
      <c r="A5487" s="1" t="s">
        <v>10032</v>
      </c>
      <c r="C5487" s="1">
        <v>1</v>
      </c>
      <c r="D5487" s="1" t="str">
        <f>"04114"</f>
        <v>04114</v>
      </c>
      <c r="E5487" s="1" t="s">
        <v>336</v>
      </c>
      <c r="F5487" s="1">
        <v>12</v>
      </c>
      <c r="G5487" s="1">
        <v>8</v>
      </c>
      <c r="H5487" s="1">
        <v>0</v>
      </c>
      <c r="I5487" s="1" t="s">
        <v>10023</v>
      </c>
      <c r="K5487" s="1" t="str">
        <f t="shared" si="350"/>
        <v>ㄍ</v>
      </c>
      <c r="L5487" s="1" t="str">
        <f t="shared" si="351"/>
        <v>ㄥ</v>
      </c>
      <c r="M5487" s="1" t="str">
        <f t="shared" si="353"/>
        <v/>
      </c>
      <c r="P5487" s="1" t="s">
        <v>20</v>
      </c>
      <c r="R5487" s="1" t="s">
        <v>10024</v>
      </c>
      <c r="V5487" s="1" t="s">
        <v>10033</v>
      </c>
      <c r="AR5487" s="1" t="str">
        <f t="shared" si="352"/>
        <v>| [ㄍㄥ](ㄍㄥ.md) | [焿](焿.md) |  | gēng | [名]
常見的臺灣民俗食品：(1)一種需經勾芡、加料的濃稠羹湯。作法雖似傳統的羹，但在「魷魚焿」、「肉焿」上多用此字。吳瀛濤《臺灣民俗．第九章．食住．飲食攤》：「焿類：魷魚焿、肉焿、蠔仔焿。」(2)指用來煮成焿的魚或肉的材料。外表需裹以魚漿，事先煮熟待用。 |</v>
      </c>
    </row>
    <row r="5488" spans="1:44" hidden="1">
      <c r="A5488" s="1" t="s">
        <v>10034</v>
      </c>
      <c r="C5488" s="1">
        <v>1</v>
      </c>
      <c r="D5488" s="1" t="str">
        <f>"04115"</f>
        <v>04115</v>
      </c>
      <c r="E5488" s="1" t="s">
        <v>505</v>
      </c>
      <c r="F5488" s="1">
        <v>15</v>
      </c>
      <c r="G5488" s="1">
        <v>8</v>
      </c>
      <c r="H5488" s="1">
        <v>0</v>
      </c>
      <c r="I5488" s="1" t="s">
        <v>10023</v>
      </c>
      <c r="K5488" s="1" t="str">
        <f t="shared" si="350"/>
        <v>ㄍ</v>
      </c>
      <c r="L5488" s="1" t="str">
        <f t="shared" si="351"/>
        <v>ㄥ</v>
      </c>
      <c r="M5488" s="1" t="str">
        <f t="shared" si="353"/>
        <v/>
      </c>
      <c r="P5488" s="1" t="s">
        <v>20</v>
      </c>
      <c r="R5488" s="1" t="s">
        <v>10024</v>
      </c>
      <c r="V5488" s="1" t="s">
        <v>10035</v>
      </c>
      <c r="AR5488" s="1" t="str">
        <f t="shared" si="352"/>
        <v>| [ㄍㄥ](ㄍㄥ.md) | [賡](賡.md) |  | gēng | [動]_x000D_
抵償。《管子．國蓄》：「智者有什倍人之功，愚者有不賡本之事。」唐．尹知章．注：「賡，猶償也。」_x000D_
[副]_x000D_
連續、繼續。《書經．益稷》：「乃賡載歌曰：『元首明哉，股肱良哉。』」漢．孔安國．傳：「賡，續。」唐．李白〈明堂賦〉：「千里鼓舞，百寮賡歌。」 |</v>
      </c>
    </row>
    <row r="5489" spans="1:44" hidden="1">
      <c r="A5489" s="1" t="s">
        <v>10036</v>
      </c>
      <c r="C5489" s="1">
        <v>1</v>
      </c>
      <c r="D5489" s="1" t="str">
        <f>"04116"</f>
        <v>04116</v>
      </c>
      <c r="E5489" s="1" t="s">
        <v>272</v>
      </c>
      <c r="F5489" s="1">
        <v>19</v>
      </c>
      <c r="G5489" s="1">
        <v>8</v>
      </c>
      <c r="H5489" s="1">
        <v>0</v>
      </c>
      <c r="I5489" s="1" t="s">
        <v>10023</v>
      </c>
      <c r="K5489" s="1" t="str">
        <f t="shared" si="350"/>
        <v>ㄍ</v>
      </c>
      <c r="L5489" s="1" t="str">
        <f t="shared" si="351"/>
        <v>ㄥ</v>
      </c>
      <c r="M5489" s="1" t="str">
        <f t="shared" si="353"/>
        <v/>
      </c>
      <c r="P5489" s="1" t="s">
        <v>20</v>
      </c>
      <c r="R5489" s="1" t="s">
        <v>10024</v>
      </c>
      <c r="V5489" s="1" t="s">
        <v>10037</v>
      </c>
      <c r="AR5489" s="1" t="str">
        <f t="shared" si="352"/>
        <v>| [ㄍㄥ](ㄍㄥ.md) | [鶊](鶊.md) |  | gēng | 參見「鶬鶊」條。 |</v>
      </c>
    </row>
    <row r="5490" spans="1:44" hidden="1">
      <c r="A5490" s="1" t="s">
        <v>10038</v>
      </c>
      <c r="C5490" s="1">
        <v>1</v>
      </c>
      <c r="D5490" s="1" t="str">
        <f>"04117"</f>
        <v>04117</v>
      </c>
      <c r="E5490" s="1" t="s">
        <v>109</v>
      </c>
      <c r="F5490" s="1">
        <v>10</v>
      </c>
      <c r="G5490" s="1">
        <v>4</v>
      </c>
      <c r="H5490" s="1">
        <v>1</v>
      </c>
      <c r="I5490" s="1" t="s">
        <v>10023</v>
      </c>
      <c r="K5490" s="1" t="str">
        <f t="shared" si="350"/>
        <v>ㄍ</v>
      </c>
      <c r="L5490" s="1" t="str">
        <f t="shared" si="351"/>
        <v>ㄥ</v>
      </c>
      <c r="M5490" s="1" t="str">
        <f t="shared" si="353"/>
        <v/>
      </c>
      <c r="P5490" s="1" t="s">
        <v>186</v>
      </c>
      <c r="R5490" s="1" t="s">
        <v>10024</v>
      </c>
      <c r="V5490" s="1" t="s">
        <v>10039</v>
      </c>
      <c r="W5490" s="1" t="s">
        <v>10040</v>
      </c>
      <c r="AR5490" s="1" t="str">
        <f t="shared" si="352"/>
        <v>| [ㄍㄥ](ㄍㄥ.md) | [耕](耕.md) |  | gēng | [動]
1.犁田、種植。如：「耕田」、「耕地」。《論語．微子》：「長沮、桀溺耦而耕，孔子過之。」
2.比喻謀生。如：「舌耕」、「筆耕」。《文選．任昉．為蕭揚州薦士表》：「既筆耕為養，亦傭書成學。」
[形]
從事耕種的。如：「耕叟」。南朝梁．沈約〈齊故安陸昭王碑〉：「耕夫釋耒，桑婦下機。」 |</v>
      </c>
    </row>
    <row r="5491" spans="1:44" hidden="1">
      <c r="A5491" s="1" t="s">
        <v>10041</v>
      </c>
      <c r="C5491" s="1">
        <v>1</v>
      </c>
      <c r="D5491" s="1" t="str">
        <f>"04118"</f>
        <v>04118</v>
      </c>
      <c r="E5491" s="1" t="s">
        <v>725</v>
      </c>
      <c r="F5491" s="1">
        <v>15</v>
      </c>
      <c r="G5491" s="1">
        <v>9</v>
      </c>
      <c r="H5491" s="1">
        <v>0</v>
      </c>
      <c r="I5491" s="1" t="s">
        <v>10023</v>
      </c>
      <c r="K5491" s="1" t="str">
        <f t="shared" si="350"/>
        <v>ㄍ</v>
      </c>
      <c r="L5491" s="1" t="str">
        <f t="shared" si="351"/>
        <v>ㄥ</v>
      </c>
      <c r="M5491" s="1" t="str">
        <f t="shared" si="353"/>
        <v/>
      </c>
      <c r="P5491" s="1" t="s">
        <v>20</v>
      </c>
      <c r="R5491" s="1" t="s">
        <v>10024</v>
      </c>
      <c r="V5491" s="1" t="s">
        <v>10042</v>
      </c>
      <c r="AR5491" s="1" t="str">
        <f t="shared" si="352"/>
        <v>| [ㄍㄥ](ㄍㄥ.md) | [緪](緪.md) |  | gēng | [名]
粗大的繩索。《說文解字．糸部》：「緪，大索也。」清．王士禎〈愁霖行〉：「涒灘之歲陰氣凝，愁霖不絕如貫緪。」
[動]
繃急琴弦。《楚辭．屈原．九歌．東君》：「緪瑟兮交鼓，簫鍾兮瑤虡。」漢．王逸．注：「緪，急張絃也。」 |</v>
      </c>
    </row>
    <row r="5492" spans="1:44" hidden="1">
      <c r="A5492" s="1" t="s">
        <v>8257</v>
      </c>
      <c r="C5492" s="1">
        <v>1</v>
      </c>
      <c r="D5492" s="1" t="str">
        <f>"04119"</f>
        <v>04119</v>
      </c>
      <c r="E5492" s="1" t="s">
        <v>43</v>
      </c>
      <c r="F5492" s="1">
        <v>19</v>
      </c>
      <c r="G5492" s="1">
        <v>13</v>
      </c>
      <c r="H5492" s="1">
        <v>1</v>
      </c>
      <c r="I5492" s="1" t="s">
        <v>10023</v>
      </c>
      <c r="K5492" s="1" t="str">
        <f t="shared" si="350"/>
        <v>ㄍ</v>
      </c>
      <c r="L5492" s="1" t="str">
        <f t="shared" si="351"/>
        <v>ㄥ</v>
      </c>
      <c r="M5492" s="1" t="str">
        <f t="shared" si="353"/>
        <v/>
      </c>
      <c r="P5492" s="1" t="s">
        <v>20</v>
      </c>
      <c r="R5492" s="1" t="s">
        <v>10024</v>
      </c>
      <c r="V5492" s="1" t="s">
        <v>10043</v>
      </c>
      <c r="W5492" s="1" t="s">
        <v>10044</v>
      </c>
      <c r="AR5492" s="1" t="str">
        <f t="shared" si="352"/>
        <v>| [ㄍㄥ](ㄍㄥ.md) | [羹](羹.md) |  | gēng | [名]_x000D_
用肉、菜等勾芡煮成的濃湯。《左傳．隱公元年》：「未嘗君之羹，請以遺之。」三國魏．曹植〈七步詩〉：「煮豆持作羹，漉鼓以為汁。」_x000D_
[動]_x000D_
一種烹飪方法。材料加水或高湯煮滾，用芡粉勾芡成薄糊狀。 |</v>
      </c>
    </row>
    <row r="5493" spans="1:44" hidden="1">
      <c r="A5493" s="1" t="s">
        <v>10073</v>
      </c>
      <c r="C5493" s="1">
        <v>1</v>
      </c>
      <c r="D5493" s="1" t="str">
        <f>"04132"</f>
        <v>04132</v>
      </c>
      <c r="E5493" s="1" t="s">
        <v>10074</v>
      </c>
      <c r="F5493" s="1">
        <v>4</v>
      </c>
      <c r="G5493" s="1">
        <v>1</v>
      </c>
      <c r="H5493" s="1">
        <v>0</v>
      </c>
      <c r="I5493" s="1" t="s">
        <v>10075</v>
      </c>
      <c r="K5493" s="1" t="str">
        <f t="shared" si="350"/>
        <v>ㄍ</v>
      </c>
      <c r="L5493" s="1" t="str">
        <f t="shared" si="351"/>
        <v>ㄨ</v>
      </c>
      <c r="M5493" s="1" t="str">
        <f t="shared" si="353"/>
        <v/>
      </c>
      <c r="P5493" s="1" t="s">
        <v>20</v>
      </c>
      <c r="R5493" s="1" t="s">
        <v>10076</v>
      </c>
      <c r="V5493" s="1" t="s">
        <v>10077</v>
      </c>
      <c r="AR5493" s="1" t="str">
        <f t="shared" si="352"/>
        <v>| [ㄍㄨ](ㄍㄨ.md) | [夃](夃.md) |  | gū | [名]
購買物品時多得的東西。《說文解字．夂部》：「夃，秦人市買多得為夃。」 |</v>
      </c>
    </row>
    <row r="5494" spans="1:44" hidden="1">
      <c r="A5494" s="1" t="s">
        <v>10078</v>
      </c>
      <c r="C5494" s="1">
        <v>1</v>
      </c>
      <c r="D5494" s="1" t="str">
        <f>"04133"</f>
        <v>04133</v>
      </c>
      <c r="E5494" s="1" t="s">
        <v>114</v>
      </c>
      <c r="F5494" s="1">
        <v>7</v>
      </c>
      <c r="G5494" s="1">
        <v>5</v>
      </c>
      <c r="H5494" s="1">
        <v>1</v>
      </c>
      <c r="I5494" s="1" t="s">
        <v>10075</v>
      </c>
      <c r="K5494" s="1" t="str">
        <f t="shared" si="350"/>
        <v>ㄍ</v>
      </c>
      <c r="L5494" s="1" t="str">
        <f t="shared" si="351"/>
        <v>ㄨ</v>
      </c>
      <c r="M5494" s="1" t="str">
        <f t="shared" si="353"/>
        <v/>
      </c>
      <c r="P5494" s="1" t="s">
        <v>20</v>
      </c>
      <c r="R5494" s="1" t="s">
        <v>10076</v>
      </c>
      <c r="V5494" s="1" t="s">
        <v>10079</v>
      </c>
      <c r="W5494" s="1" t="s">
        <v>10080</v>
      </c>
      <c r="AR5494" s="1" t="str">
        <f t="shared" si="352"/>
        <v>| [ㄍㄨ](ㄍㄨ.md) | [估](估.md) |  | gū | [動]
評定、推算。如：「估價」、「估計」、「評估」。《儒林外史》第五二回：「我前日新買了一匹馬，身材倒也還好，你估一估，值個甚麼價？」《兒女英雄傳》第一〇回：「那金銀的數目多少，都料估得出來。」 |</v>
      </c>
    </row>
    <row r="5495" spans="1:44" hidden="1">
      <c r="A5495" s="1" t="s">
        <v>10081</v>
      </c>
      <c r="C5495" s="1">
        <v>1</v>
      </c>
      <c r="D5495" s="1" t="str">
        <f>"04134"</f>
        <v>04134</v>
      </c>
      <c r="E5495" s="1" t="s">
        <v>129</v>
      </c>
      <c r="F5495" s="1">
        <v>8</v>
      </c>
      <c r="G5495" s="1">
        <v>5</v>
      </c>
      <c r="H5495" s="1">
        <v>0</v>
      </c>
      <c r="I5495" s="1" t="s">
        <v>10075</v>
      </c>
      <c r="K5495" s="1" t="str">
        <f t="shared" si="350"/>
        <v>ㄍ</v>
      </c>
      <c r="L5495" s="1" t="str">
        <f t="shared" si="351"/>
        <v>ㄨ</v>
      </c>
      <c r="M5495" s="1" t="str">
        <f t="shared" si="353"/>
        <v/>
      </c>
      <c r="P5495" s="1" t="s">
        <v>20</v>
      </c>
      <c r="R5495" s="1" t="s">
        <v>10076</v>
      </c>
      <c r="V5495" s="1" t="s">
        <v>10082</v>
      </c>
      <c r="AR5495" s="1" t="str">
        <f t="shared" si="352"/>
        <v>| [ㄍㄨ](ㄍㄨ.md) | [沽](沽.md) |  | gū | [動]
1.買。如：「沽酒」。《紅樓夢》第二回：「意欲到那村肆中沽飲三杯，以助野趣。」
2.賣。如：「待價而沽」。《論語．子罕》：「有美玉於斯，韞櫝而藏諸？求善賈而沽諸？」
3.釣取、謀取。如：「沽名釣譽」。《文選．范曄．逸民傳論》：「彼雖硜硜有類沽名者，然而蟬蛻囂埃之中，自致寰區之外，異夫飾智巧以逐浮利者乎？」
[名]
參見「沽河」條。
[形]
粗略、簡略。《禮記．檀弓上》：「杜橋之母喪，宮中無相，以為沽也。」 |</v>
      </c>
    </row>
    <row r="5496" spans="1:44" hidden="1">
      <c r="A5496" s="1" t="s">
        <v>10083</v>
      </c>
      <c r="C5496" s="1">
        <v>1</v>
      </c>
      <c r="D5496" s="1" t="str">
        <f>"04135"</f>
        <v>04135</v>
      </c>
      <c r="E5496" s="1" t="s">
        <v>28</v>
      </c>
      <c r="F5496" s="1">
        <v>8</v>
      </c>
      <c r="G5496" s="1">
        <v>5</v>
      </c>
      <c r="H5496" s="1">
        <v>0</v>
      </c>
      <c r="I5496" s="1" t="s">
        <v>10075</v>
      </c>
      <c r="K5496" s="1" t="str">
        <f t="shared" si="350"/>
        <v>ㄍ</v>
      </c>
      <c r="L5496" s="1" t="str">
        <f t="shared" si="351"/>
        <v>ㄨ</v>
      </c>
      <c r="M5496" s="1" t="str">
        <f t="shared" si="353"/>
        <v/>
      </c>
      <c r="P5496" s="1" t="s">
        <v>20</v>
      </c>
      <c r="R5496" s="1" t="s">
        <v>10076</v>
      </c>
      <c r="V5496" s="1" t="s">
        <v>10084</v>
      </c>
      <c r="AR5496" s="1" t="str">
        <f t="shared" si="352"/>
        <v>| [ㄍㄨ](ㄍㄨ.md) | [咕](咕.md) |  | gū | 參見「咕嘟」、「咕咚」、「咕嚕」等條。 |</v>
      </c>
    </row>
    <row r="5497" spans="1:44" hidden="1">
      <c r="A5497" s="1" t="s">
        <v>10085</v>
      </c>
      <c r="C5497" s="1">
        <v>1</v>
      </c>
      <c r="D5497" s="1" t="str">
        <f>"04136"</f>
        <v>04136</v>
      </c>
      <c r="E5497" s="1" t="s">
        <v>534</v>
      </c>
      <c r="F5497" s="1">
        <v>8</v>
      </c>
      <c r="G5497" s="1">
        <v>5</v>
      </c>
      <c r="H5497" s="1">
        <v>0</v>
      </c>
      <c r="I5497" s="1" t="s">
        <v>10075</v>
      </c>
      <c r="K5497" s="1" t="str">
        <f t="shared" si="350"/>
        <v>ㄍ</v>
      </c>
      <c r="L5497" s="1" t="str">
        <f t="shared" si="351"/>
        <v>ㄨ</v>
      </c>
      <c r="M5497" s="1" t="str">
        <f t="shared" si="353"/>
        <v/>
      </c>
      <c r="P5497" s="1" t="s">
        <v>20</v>
      </c>
      <c r="R5497" s="1" t="s">
        <v>10076</v>
      </c>
      <c r="V5497" s="1" t="s">
        <v>10086</v>
      </c>
      <c r="AR5497" s="1" t="str">
        <f t="shared" si="352"/>
        <v>| [ㄍㄨ](ㄍㄨ.md) | [姑](姑.md) |  | gū | [名]
1.稱謂：(1)婦女對丈夫母親的稱呼。如：「舅姑」、「翁姑」。《左傳．昭公二十八年》：「伯石始生，子容之母走謁諸姑。」漢．王充《論衡．偶會》：「父歿而子嗣，姑死而婦代。」(2)婦女對丈夫姐妹的稱呼。如：「姑嫂」、「大姑」、「小姑」。《樂府詩集．卷七三．雜曲歌辭十三．古辭．焦仲卿妻》：「卻與小姑別，淚落連珠子。」唐．李白〈去婦詞〉：「回頭語小姑，莫嫁如兄夫。」(3)子女對父親姐妹的稱呼。如：「姑媽」。《新唐書．卷一一五．狄仁傑傳》：「且姑姪與母子孰親？」
2.泛稱婦女。如：「小姑獨處」。《呂氏春秋．先識覽．先識》：「商王大亂，沉于酒德，辟遠箕子，爰近姑與息。」
3.出家修行的女子。如：「尼姑」、「道姑」。元．關漢卿《望江亭》第一折：「逐朝每日到俺這觀裡來，與貧姑攀話。」
4.姓。如春秋時越國有姑浮。
[副]
暫且。如：「姑且一試」。《左傳．隱公元年》：「多行不義必自斃，子姑待之。」 |</v>
      </c>
    </row>
    <row r="5498" spans="1:44" hidden="1">
      <c r="A5498" s="1" t="s">
        <v>10087</v>
      </c>
      <c r="C5498" s="1">
        <v>1</v>
      </c>
      <c r="D5498" s="1" t="str">
        <f>"04137"</f>
        <v>04137</v>
      </c>
      <c r="E5498" s="1" t="s">
        <v>679</v>
      </c>
      <c r="F5498" s="1">
        <v>11</v>
      </c>
      <c r="G5498" s="1">
        <v>5</v>
      </c>
      <c r="H5498" s="1">
        <v>0</v>
      </c>
      <c r="I5498" s="1" t="s">
        <v>10075</v>
      </c>
      <c r="K5498" s="1" t="str">
        <f t="shared" si="350"/>
        <v>ㄍ</v>
      </c>
      <c r="L5498" s="1" t="str">
        <f t="shared" si="351"/>
        <v>ㄨ</v>
      </c>
      <c r="M5498" s="1" t="str">
        <f t="shared" si="353"/>
        <v/>
      </c>
      <c r="P5498" s="1" t="s">
        <v>20</v>
      </c>
      <c r="R5498" s="1" t="s">
        <v>10076</v>
      </c>
      <c r="V5498" s="1" t="s">
        <v>10088</v>
      </c>
      <c r="AR5498" s="1" t="str">
        <f t="shared" si="352"/>
        <v>| [ㄍㄨ](ㄍㄨ.md) | [蛄](蛄.md) |  | gū | 參見「螻蛄」、「蟪蛄」等條。 |</v>
      </c>
    </row>
    <row r="5499" spans="1:44" hidden="1">
      <c r="A5499" s="1" t="s">
        <v>10089</v>
      </c>
      <c r="C5499" s="1">
        <v>1</v>
      </c>
      <c r="D5499" s="1" t="str">
        <f>"04138"</f>
        <v>04138</v>
      </c>
      <c r="E5499" s="1" t="s">
        <v>1462</v>
      </c>
      <c r="F5499" s="1">
        <v>12</v>
      </c>
      <c r="G5499" s="1">
        <v>5</v>
      </c>
      <c r="H5499" s="1">
        <v>0</v>
      </c>
      <c r="I5499" s="1" t="s">
        <v>10075</v>
      </c>
      <c r="K5499" s="1" t="str">
        <f t="shared" si="350"/>
        <v>ㄍ</v>
      </c>
      <c r="L5499" s="1" t="str">
        <f t="shared" si="351"/>
        <v>ㄨ</v>
      </c>
      <c r="M5499" s="1" t="str">
        <f t="shared" si="353"/>
        <v/>
      </c>
      <c r="P5499" s="1" t="s">
        <v>20</v>
      </c>
      <c r="R5499" s="1" t="s">
        <v>10076</v>
      </c>
      <c r="V5499" s="1" t="s">
        <v>10090</v>
      </c>
      <c r="AR5499" s="1" t="str">
        <f t="shared" si="352"/>
        <v>| [ㄍㄨ](ㄍㄨ.md) | [酤](酤.md) |  | gū | [名]
酒。《詩經．商頌．烈祖》：「既載清酤，賚我思成。」《文選．左思．蜀都賦》：「酌清酤，割芳鮮，飲御酣，賓旅旋。」
[動]
1.買酒。《韓非子．外儲說右上》：「或令孺子懷錢挈壺罋而往酤。」唐．李頎〈送陳章甫〉詩：「東門酤酒飲我曹，心輕萬事如鴻毛。」
2.賣酒。《史記．卷一一七．司馬相如傳》：「盡賣其車騎，買一酒舍酤酒，而令文君當鑪。」《資治通鑑．卷一六．漢紀八．景帝中二年》：「夏，四月，地震。旱，禁酤酒。」元．胡三省．注：「酤，謂賣酒也。」 |</v>
      </c>
    </row>
    <row r="5500" spans="1:44" hidden="1">
      <c r="A5500" s="1" t="s">
        <v>10091</v>
      </c>
      <c r="C5500" s="1">
        <v>1</v>
      </c>
      <c r="D5500" s="1" t="str">
        <f>"04139"</f>
        <v>04139</v>
      </c>
      <c r="E5500" s="1" t="s">
        <v>37</v>
      </c>
      <c r="F5500" s="1">
        <v>12</v>
      </c>
      <c r="G5500" s="1">
        <v>8</v>
      </c>
      <c r="H5500" s="1">
        <v>0</v>
      </c>
      <c r="I5500" s="1" t="s">
        <v>10075</v>
      </c>
      <c r="K5500" s="1" t="str">
        <f t="shared" si="350"/>
        <v>ㄍ</v>
      </c>
      <c r="L5500" s="1" t="str">
        <f t="shared" si="351"/>
        <v>ㄨ</v>
      </c>
      <c r="M5500" s="1" t="str">
        <f t="shared" si="353"/>
        <v/>
      </c>
      <c r="P5500" s="1" t="s">
        <v>20</v>
      </c>
      <c r="R5500" s="1" t="s">
        <v>10076</v>
      </c>
      <c r="V5500" s="1" t="s">
        <v>10092</v>
      </c>
      <c r="AR5500" s="1" t="str">
        <f t="shared" si="352"/>
        <v>| [ㄍㄨ](ㄍㄨ.md) | [菇](菇.md) |  | gū | [名]
菌類。如：「香菇」、「草菇」、「蘑菇」。 |</v>
      </c>
    </row>
    <row r="5501" spans="1:44" hidden="1">
      <c r="A5501" s="1" t="s">
        <v>10093</v>
      </c>
      <c r="C5501" s="1">
        <v>1</v>
      </c>
      <c r="D5501" s="1" t="str">
        <f>"04140"</f>
        <v>04140</v>
      </c>
      <c r="E5501" s="1" t="s">
        <v>55</v>
      </c>
      <c r="F5501" s="1">
        <v>13</v>
      </c>
      <c r="G5501" s="1">
        <v>5</v>
      </c>
      <c r="H5501" s="1">
        <v>2</v>
      </c>
      <c r="I5501" s="1" t="s">
        <v>10075</v>
      </c>
      <c r="K5501" s="1" t="str">
        <f t="shared" si="350"/>
        <v>ㄍ</v>
      </c>
      <c r="L5501" s="1" t="str">
        <f t="shared" si="351"/>
        <v>ㄨ</v>
      </c>
      <c r="M5501" s="1" t="str">
        <f t="shared" si="353"/>
        <v/>
      </c>
      <c r="P5501" s="1" t="s">
        <v>20</v>
      </c>
      <c r="R5501" s="1" t="s">
        <v>10076</v>
      </c>
      <c r="V5501" s="1" t="s">
        <v>10094</v>
      </c>
      <c r="W5501" s="1" t="s">
        <v>10095</v>
      </c>
      <c r="AR5501" s="1" t="str">
        <f t="shared" si="352"/>
        <v>| [ㄍㄨ](ㄍㄨ.md) | [鈷](鈷.md) |  | gū | [名]
（cobalt，Co）化學元素。原子序27。過渡金屬元素之一。堅如鎳，色白而微紅，有延展性。可用於製造特種鋼和超耐熱合金，也可作玻璃和瓷器的藍色顏料。放射性鈷能代替鐳治療惡性腫瘤。 |</v>
      </c>
    </row>
    <row r="5502" spans="1:44" hidden="1">
      <c r="A5502" s="1" t="s">
        <v>10096</v>
      </c>
      <c r="C5502" s="1">
        <v>1</v>
      </c>
      <c r="D5502" s="1" t="str">
        <f>"04141"</f>
        <v>04141</v>
      </c>
      <c r="E5502" s="1" t="s">
        <v>272</v>
      </c>
      <c r="F5502" s="1">
        <v>16</v>
      </c>
      <c r="G5502" s="1">
        <v>5</v>
      </c>
      <c r="H5502" s="1">
        <v>0</v>
      </c>
      <c r="I5502" s="1" t="s">
        <v>10075</v>
      </c>
      <c r="K5502" s="1" t="str">
        <f t="shared" si="350"/>
        <v>ㄍ</v>
      </c>
      <c r="L5502" s="1" t="str">
        <f t="shared" si="351"/>
        <v>ㄨ</v>
      </c>
      <c r="M5502" s="1" t="str">
        <f t="shared" si="353"/>
        <v/>
      </c>
      <c r="P5502" s="1" t="s">
        <v>20</v>
      </c>
      <c r="R5502" s="1" t="s">
        <v>10076</v>
      </c>
      <c r="V5502" s="1" t="s">
        <v>10097</v>
      </c>
      <c r="AR5502" s="1" t="str">
        <f t="shared" si="352"/>
        <v>| [ㄍㄨ](ㄍㄨ.md) | [鴣](鴣.md) |  | gū | 參見「鷓鴣」、「鵓鴣」等條。 |</v>
      </c>
    </row>
    <row r="5503" spans="1:44" hidden="1">
      <c r="A5503" s="1" t="s">
        <v>10098</v>
      </c>
      <c r="C5503" s="1">
        <v>1</v>
      </c>
      <c r="D5503" s="1" t="str">
        <f>"04142"</f>
        <v>04142</v>
      </c>
      <c r="E5503" s="1" t="s">
        <v>28</v>
      </c>
      <c r="F5503" s="1">
        <v>8</v>
      </c>
      <c r="G5503" s="1">
        <v>5</v>
      </c>
      <c r="H5503" s="1">
        <v>2</v>
      </c>
      <c r="I5503" s="1" t="s">
        <v>10075</v>
      </c>
      <c r="K5503" s="1" t="str">
        <f t="shared" ref="K5503:K5566" si="354">LEFT(I5503, 1)</f>
        <v>ㄍ</v>
      </c>
      <c r="L5503" s="1" t="str">
        <f t="shared" ref="L5503:L5566" si="355">MID(I5503, 2, 1)</f>
        <v>ㄨ</v>
      </c>
      <c r="M5503" s="1" t="str">
        <f t="shared" si="353"/>
        <v/>
      </c>
      <c r="P5503" s="1" t="s">
        <v>186</v>
      </c>
      <c r="R5503" s="1" t="s">
        <v>10076</v>
      </c>
      <c r="V5503" s="1" t="s">
        <v>206</v>
      </c>
      <c r="W5503" s="1" t="s">
        <v>10099</v>
      </c>
      <c r="AR5503" s="1" t="str">
        <f t="shared" si="352"/>
        <v>| [ㄍㄨ](ㄍㄨ.md) | [呱](呱.md) |  | gū | (一)之讀音。 |</v>
      </c>
    </row>
    <row r="5504" spans="1:44" hidden="1">
      <c r="A5504" s="1" t="s">
        <v>10100</v>
      </c>
      <c r="C5504" s="1">
        <v>1</v>
      </c>
      <c r="D5504" s="1" t="str">
        <f>"04143"</f>
        <v>04143</v>
      </c>
      <c r="E5504" s="1" t="s">
        <v>241</v>
      </c>
      <c r="F5504" s="1">
        <v>8</v>
      </c>
      <c r="G5504" s="1">
        <v>5</v>
      </c>
      <c r="H5504" s="1">
        <v>0</v>
      </c>
      <c r="I5504" s="1" t="s">
        <v>10075</v>
      </c>
      <c r="K5504" s="1" t="str">
        <f t="shared" si="354"/>
        <v>ㄍ</v>
      </c>
      <c r="L5504" s="1" t="str">
        <f t="shared" si="355"/>
        <v>ㄨ</v>
      </c>
      <c r="M5504" s="1" t="str">
        <f t="shared" si="353"/>
        <v/>
      </c>
      <c r="P5504" s="1" t="s">
        <v>20</v>
      </c>
      <c r="R5504" s="1" t="s">
        <v>10076</v>
      </c>
      <c r="V5504" s="1" t="s">
        <v>10101</v>
      </c>
      <c r="AR5504" s="1" t="str">
        <f t="shared" si="352"/>
        <v>| [ㄍㄨ](ㄍㄨ.md) | [孤](孤.md) |  | gū | [形]
1.幼年喪父或無父母。如：「孤兒」。《管子．輕重》：「民生而無父母，謂之孤子。」《禮記．王制》：「少而無父者謂之孤。」
2.單獨。如：「孤雁」、「孤身前往」。唐．王維〈使至塞上〉詩：「大漠孤煙直，長河落日圓。」
3.特出、怪異。如：「孤僻」。《樂府詩集．卷四一．相和歌辭十六．南朝宋．鮑照．東武吟行》：「時事一朝異，孤績誰復論。」
[名]
1.戲劇中扮演官吏的角色。如：「淨扮孤」。宋．吳自牧《夢粱錄．卷二〇．妓樂》：「副淨色發喬，副末色打諢。或添一人，名曰『裝孤』。」
2.姓。如明代有孤啟。
[代]
古代王侯的自稱。《左傳．僖公三十三年》：「秦伯……曰：『孤違蹇叔，以辱二三子，孤之罪也。』」《禮記．曲禮下》：「庶方小侯，入天子之國曰某人，於外曰子，自稱曰孤。」
[動]
背棄、辜負。同「辜」。《文選．李陵．答蘇武書》：「陵雖孤恩，漢亦負德。」《三國演義》第三〇回：「一則不孤他仰望之心，二來也不負我遠來之意。」 |</v>
      </c>
    </row>
    <row r="5505" spans="1:44" hidden="1">
      <c r="A5505" s="1" t="s">
        <v>10102</v>
      </c>
      <c r="C5505" s="1">
        <v>1</v>
      </c>
      <c r="D5505" s="1" t="str">
        <f>"04144"</f>
        <v>04144</v>
      </c>
      <c r="E5505" s="1" t="s">
        <v>139</v>
      </c>
      <c r="F5505" s="1">
        <v>9</v>
      </c>
      <c r="G5505" s="1">
        <v>5</v>
      </c>
      <c r="H5505" s="1">
        <v>0</v>
      </c>
      <c r="I5505" s="1" t="s">
        <v>10075</v>
      </c>
      <c r="K5505" s="1" t="str">
        <f t="shared" si="354"/>
        <v>ㄍ</v>
      </c>
      <c r="L5505" s="1" t="str">
        <f t="shared" si="355"/>
        <v>ㄨ</v>
      </c>
      <c r="M5505" s="1" t="str">
        <f t="shared" si="353"/>
        <v/>
      </c>
      <c r="P5505" s="1" t="s">
        <v>20</v>
      </c>
      <c r="R5505" s="1" t="s">
        <v>10076</v>
      </c>
      <c r="V5505" s="1" t="s">
        <v>10103</v>
      </c>
      <c r="AR5505" s="1" t="str">
        <f t="shared" si="352"/>
        <v>| [ㄍㄨ](ㄍㄨ.md) | [柧](柧.md) |  | gū | [名]
棱角。《說文解字．木部》：「柧，棱也。」清．段玉裁．注：「柧與棱二字互訓，……《通俗文》曰：『木四方為棱，八棱為柧。』」 |</v>
      </c>
    </row>
    <row r="5506" spans="1:44" hidden="1">
      <c r="A5506" s="1" t="s">
        <v>10104</v>
      </c>
      <c r="C5506" s="1">
        <v>1</v>
      </c>
      <c r="D5506" s="1" t="str">
        <f>"04145"</f>
        <v>04145</v>
      </c>
      <c r="E5506" s="1" t="s">
        <v>118</v>
      </c>
      <c r="F5506" s="1">
        <v>10</v>
      </c>
      <c r="G5506" s="1">
        <v>5</v>
      </c>
      <c r="H5506" s="1">
        <v>0</v>
      </c>
      <c r="I5506" s="1" t="s">
        <v>10075</v>
      </c>
      <c r="K5506" s="1" t="str">
        <f t="shared" si="354"/>
        <v>ㄍ</v>
      </c>
      <c r="L5506" s="1" t="str">
        <f t="shared" si="355"/>
        <v>ㄨ</v>
      </c>
      <c r="M5506" s="1" t="str">
        <f t="shared" si="353"/>
        <v/>
      </c>
      <c r="P5506" s="1" t="s">
        <v>20</v>
      </c>
      <c r="R5506" s="1" t="s">
        <v>10076</v>
      </c>
      <c r="V5506" s="1" t="s">
        <v>10105</v>
      </c>
      <c r="AR5506" s="1" t="str">
        <f t="shared" si="352"/>
        <v>| [ㄍㄨ](ㄍㄨ.md) | [罛](罛.md) |  | gū | [名]
大漁網。《詩經．衛風．碩人》：「北流活活，施罛濊濊。」 |</v>
      </c>
    </row>
    <row r="5507" spans="1:44" hidden="1">
      <c r="A5507" s="1" t="s">
        <v>10106</v>
      </c>
      <c r="C5507" s="1">
        <v>1</v>
      </c>
      <c r="D5507" s="1" t="str">
        <f>"04146"</f>
        <v>04146</v>
      </c>
      <c r="E5507" s="1" t="s">
        <v>71</v>
      </c>
      <c r="F5507" s="1">
        <v>12</v>
      </c>
      <c r="G5507" s="1">
        <v>5</v>
      </c>
      <c r="H5507" s="1">
        <v>0</v>
      </c>
      <c r="I5507" s="1" t="s">
        <v>10075</v>
      </c>
      <c r="K5507" s="1" t="str">
        <f t="shared" si="354"/>
        <v>ㄍ</v>
      </c>
      <c r="L5507" s="1" t="str">
        <f t="shared" si="355"/>
        <v>ㄨ</v>
      </c>
      <c r="M5507" s="1" t="str">
        <f t="shared" si="353"/>
        <v/>
      </c>
      <c r="P5507" s="1" t="s">
        <v>20</v>
      </c>
      <c r="R5507" s="1" t="s">
        <v>10076</v>
      </c>
      <c r="V5507" s="1" t="s">
        <v>10107</v>
      </c>
      <c r="AR5507" s="1" t="str">
        <f t="shared" ref="AR5507:AR5570" si="356">"| ["&amp;I5507&amp;"]("&amp;I5507&amp;".md) | ["&amp;A5507&amp;"]("&amp;A5507&amp;".md) | "&amp;" | "&amp;R5507&amp;" | "&amp;V5507&amp;" |"</f>
        <v>| [ㄍㄨ](ㄍㄨ.md) | [軱](軱.md) |  | gū | [名]
大骨。《莊子．養生主》：「技經肯綮之未嘗，而況大軱乎？」唐．成玄英．疏：「軱，大骨也。」 |</v>
      </c>
    </row>
    <row r="5508" spans="1:44" hidden="1">
      <c r="A5508" s="1" t="s">
        <v>10108</v>
      </c>
      <c r="C5508" s="1">
        <v>1</v>
      </c>
      <c r="D5508" s="1" t="str">
        <f>"04147"</f>
        <v>04147</v>
      </c>
      <c r="E5508" s="1" t="s">
        <v>37</v>
      </c>
      <c r="F5508" s="1">
        <v>12</v>
      </c>
      <c r="G5508" s="1">
        <v>8</v>
      </c>
      <c r="H5508" s="1">
        <v>0</v>
      </c>
      <c r="I5508" s="1" t="s">
        <v>10075</v>
      </c>
      <c r="K5508" s="1" t="str">
        <f t="shared" si="354"/>
        <v>ㄍ</v>
      </c>
      <c r="L5508" s="1" t="str">
        <f t="shared" si="355"/>
        <v>ㄨ</v>
      </c>
      <c r="M5508" s="1" t="str">
        <f t="shared" si="353"/>
        <v/>
      </c>
      <c r="P5508" s="1" t="s">
        <v>20</v>
      </c>
      <c r="R5508" s="1" t="s">
        <v>10076</v>
      </c>
      <c r="V5508" s="1" t="s">
        <v>10109</v>
      </c>
      <c r="AR5508" s="1" t="str">
        <f t="shared" si="356"/>
        <v>| [ㄍㄨ](ㄍㄨ.md) | [菰](菰.md) |  | gū | [名]
1.植物名。禾本科菰屬，「菰菜」、「茭白筍」之古稱，參見「菰菜」條。
2.中國大陸江南地區稱菌類植物為「菰」。同「菇」。 |</v>
      </c>
    </row>
    <row r="5509" spans="1:44" hidden="1">
      <c r="A5509" s="1" t="s">
        <v>10110</v>
      </c>
      <c r="C5509" s="1">
        <v>1</v>
      </c>
      <c r="D5509" s="1" t="str">
        <f>"04148"</f>
        <v>04148</v>
      </c>
      <c r="E5509" s="1" t="s">
        <v>1117</v>
      </c>
      <c r="F5509" s="1">
        <v>12</v>
      </c>
      <c r="G5509" s="1">
        <v>5</v>
      </c>
      <c r="H5509" s="1">
        <v>0</v>
      </c>
      <c r="I5509" s="1" t="s">
        <v>10075</v>
      </c>
      <c r="K5509" s="1" t="str">
        <f t="shared" si="354"/>
        <v>ㄍ</v>
      </c>
      <c r="L5509" s="1" t="str">
        <f t="shared" si="355"/>
        <v>ㄨ</v>
      </c>
      <c r="M5509" s="1" t="str">
        <f t="shared" si="353"/>
        <v/>
      </c>
      <c r="P5509" s="1" t="s">
        <v>20</v>
      </c>
      <c r="R5509" s="1" t="s">
        <v>10076</v>
      </c>
      <c r="V5509" s="1" t="s">
        <v>10111</v>
      </c>
      <c r="AR5509" s="1" t="str">
        <f t="shared" si="356"/>
        <v>| [ㄍㄨ](ㄍㄨ.md) | [觚](觚.md) |  | gū | [名]
1.古代盛酒的器具，具有八個稜角。《說文解字．角部》：「觚，鄉飲酒之爵也。」《文選．劉伶．酒德頌》：「止則操卮執觚。」
2.稜角。《漢書．卷二五．郊祀志下》：「甘泉泰畤紫壇，八觚宣通象八法。」《新唐書．卷八〇．太宗諸子傳．曹王明傳》：「皋嘗自創意為欹器，以髤木上出五觚，下銳圓，為盂形。」
3.古代書寫的木簡。《文選．陸機．文賦》：「或操觚以率爾，或含毫而邈然。」唐．李善．注：「觚，木之方者，古人用之以書，猶今之簡也。」唐．劉禹錫〈劉氏集略說〉：「居江湖間，喜與屬詞者游，謬以為可教，視長者所行止，必操觚從之。」 |</v>
      </c>
    </row>
    <row r="5510" spans="1:44" hidden="1">
      <c r="A5510" s="1" t="s">
        <v>10112</v>
      </c>
      <c r="C5510" s="1">
        <v>1</v>
      </c>
      <c r="D5510" s="1" t="str">
        <f>"04149"</f>
        <v>04149</v>
      </c>
      <c r="E5510" s="1" t="s">
        <v>624</v>
      </c>
      <c r="F5510" s="1">
        <v>10</v>
      </c>
      <c r="G5510" s="1">
        <v>7</v>
      </c>
      <c r="H5510" s="1">
        <v>2</v>
      </c>
      <c r="I5510" s="1" t="s">
        <v>10075</v>
      </c>
      <c r="K5510" s="1" t="str">
        <f t="shared" si="354"/>
        <v>ㄍ</v>
      </c>
      <c r="L5510" s="1" t="str">
        <f t="shared" si="355"/>
        <v>ㄨ</v>
      </c>
      <c r="M5510" s="1" t="str">
        <f t="shared" si="353"/>
        <v/>
      </c>
      <c r="P5510" s="1" t="s">
        <v>20</v>
      </c>
      <c r="R5510" s="1" t="s">
        <v>10076</v>
      </c>
      <c r="V5510" s="1" t="s">
        <v>10113</v>
      </c>
      <c r="W5510" s="1" t="s">
        <v>10114</v>
      </c>
      <c r="AR5510" s="1" t="str">
        <f t="shared" si="356"/>
        <v>| [ㄍㄨ](ㄍㄨ.md) | [家](家.md) |  | gū | [名]
對女子的尊稱。同「姑」。《後漢書．卷八四．列女傳．曹世叔妻傳》：「扶風曹世叔妻者，同郡班彪之女也，名昭……。帝數召入宮，令皇后諸貴人師事焉，號曰大家。」 |</v>
      </c>
    </row>
    <row r="5511" spans="1:44" hidden="1">
      <c r="A5511" s="1" t="s">
        <v>10115</v>
      </c>
      <c r="C5511" s="1">
        <v>1</v>
      </c>
      <c r="D5511" s="1" t="str">
        <f>"04150"</f>
        <v>04150</v>
      </c>
      <c r="E5511" s="1" t="s">
        <v>283</v>
      </c>
      <c r="F5511" s="1">
        <v>10</v>
      </c>
      <c r="G5511" s="1">
        <v>0</v>
      </c>
      <c r="H5511" s="1">
        <v>2</v>
      </c>
      <c r="I5511" s="1" t="s">
        <v>10075</v>
      </c>
      <c r="K5511" s="1" t="str">
        <f t="shared" si="354"/>
        <v>ㄍ</v>
      </c>
      <c r="L5511" s="1" t="str">
        <f t="shared" si="355"/>
        <v>ㄨ</v>
      </c>
      <c r="M5511" s="1" t="str">
        <f t="shared" si="353"/>
        <v/>
      </c>
      <c r="P5511" s="1" t="s">
        <v>20</v>
      </c>
      <c r="R5511" s="1" t="s">
        <v>10076</v>
      </c>
      <c r="V5511" s="1" t="s">
        <v>10116</v>
      </c>
      <c r="W5511" s="1" t="s">
        <v>10117</v>
      </c>
      <c r="AR5511" s="1" t="str">
        <f t="shared" si="356"/>
        <v>| [ㄍㄨ](ㄍㄨ.md) | [骨](骨.md) |  | gū | 參見「骨朵兒」條。 |</v>
      </c>
    </row>
    <row r="5512" spans="1:44" hidden="1">
      <c r="A5512" s="1" t="s">
        <v>10118</v>
      </c>
      <c r="C5512" s="1">
        <v>1</v>
      </c>
      <c r="D5512" s="1" t="str">
        <f>"04151"</f>
        <v>04151</v>
      </c>
      <c r="E5512" s="1" t="s">
        <v>732</v>
      </c>
      <c r="F5512" s="1">
        <v>12</v>
      </c>
      <c r="G5512" s="1">
        <v>5</v>
      </c>
      <c r="H5512" s="1">
        <v>0</v>
      </c>
      <c r="I5512" s="1" t="s">
        <v>10075</v>
      </c>
      <c r="K5512" s="1" t="str">
        <f t="shared" si="354"/>
        <v>ㄍ</v>
      </c>
      <c r="L5512" s="1" t="str">
        <f t="shared" si="355"/>
        <v>ㄨ</v>
      </c>
      <c r="M5512" s="1" t="str">
        <f t="shared" si="353"/>
        <v/>
      </c>
      <c r="P5512" s="1" t="s">
        <v>20</v>
      </c>
      <c r="R5512" s="1" t="s">
        <v>10076</v>
      </c>
      <c r="V5512" s="1" t="s">
        <v>10119</v>
      </c>
      <c r="AR5512" s="1" t="str">
        <f t="shared" si="356"/>
        <v>| [ㄍㄨ](ㄍㄨ.md) | [辜](辜.md) |  | gū | [名]
1.罪、過錯。如：「無辜」、「死有餘辜」。《書經．大禹謨》：「與其殺不辜，寧失不經。」《明史．卷二．太祖本紀二》：「君則有罪，民復何辜？」
2.姓。如宋代有辜甫。
[動]
背負、虧欠。如：「辜負」。宋．周邦彥〈一寸金．州夾倉崖〉詞：「風輪雨橶，終辜前約。」 |</v>
      </c>
    </row>
    <row r="5513" spans="1:44" hidden="1">
      <c r="A5513" s="1" t="s">
        <v>10120</v>
      </c>
      <c r="C5513" s="1">
        <v>1</v>
      </c>
      <c r="D5513" s="1" t="str">
        <f>"04152"</f>
        <v>04152</v>
      </c>
      <c r="E5513" s="1" t="s">
        <v>49</v>
      </c>
      <c r="F5513" s="1">
        <v>14</v>
      </c>
      <c r="G5513" s="1">
        <v>8</v>
      </c>
      <c r="H5513" s="1">
        <v>0</v>
      </c>
      <c r="I5513" s="1" t="s">
        <v>10075</v>
      </c>
      <c r="K5513" s="1" t="str">
        <f t="shared" si="354"/>
        <v>ㄍ</v>
      </c>
      <c r="L5513" s="1" t="str">
        <f t="shared" si="355"/>
        <v>ㄨ</v>
      </c>
      <c r="M5513" s="1" t="str">
        <f t="shared" si="353"/>
        <v/>
      </c>
      <c r="P5513" s="1" t="s">
        <v>20</v>
      </c>
      <c r="R5513" s="1" t="s">
        <v>10076</v>
      </c>
      <c r="V5513" s="1" t="s">
        <v>10121</v>
      </c>
      <c r="AR5513" s="1" t="str">
        <f t="shared" si="356"/>
        <v>| [ㄍㄨ](ㄍㄨ.md) | [箍](箍.md) |  | gū | [名]
束緊物體的環狀物。如：「頭箍」、「鐵箍」。《二十年目睹之怪現狀》第五六回：「夏作人沒法，又不曾裝好假辮子，只得把老婆的髭子，打了一條假辮，裝在涼帽箍裡面。」
[動]
束緊、勒緊。《儒林外史》第四回：「把那五十斤牛肉都堆在枷上，臉和頸子箍的緊緊的，只剩得兩個眼睛，在縣前示眾。」 |</v>
      </c>
    </row>
    <row r="5514" spans="1:44" hidden="1">
      <c r="A5514" s="1" t="s">
        <v>10122</v>
      </c>
      <c r="C5514" s="1">
        <v>1</v>
      </c>
      <c r="D5514" s="1" t="str">
        <f>"04153"</f>
        <v>04153</v>
      </c>
      <c r="E5514" s="1" t="s">
        <v>71</v>
      </c>
      <c r="F5514" s="1">
        <v>17</v>
      </c>
      <c r="G5514" s="1">
        <v>10</v>
      </c>
      <c r="H5514" s="1">
        <v>2</v>
      </c>
      <c r="I5514" s="1" t="s">
        <v>10075</v>
      </c>
      <c r="K5514" s="1" t="str">
        <f t="shared" si="354"/>
        <v>ㄍ</v>
      </c>
      <c r="L5514" s="1" t="str">
        <f t="shared" si="355"/>
        <v>ㄨ</v>
      </c>
      <c r="M5514" s="1" t="str">
        <f t="shared" si="353"/>
        <v/>
      </c>
      <c r="P5514" s="1" t="s">
        <v>20</v>
      </c>
      <c r="R5514" s="1" t="s">
        <v>10076</v>
      </c>
      <c r="V5514" s="1" t="s">
        <v>10123</v>
      </c>
      <c r="W5514" s="1" t="s">
        <v>10124</v>
      </c>
      <c r="AR5514" s="1" t="str">
        <f t="shared" si="356"/>
        <v>| [ㄍㄨ](ㄍㄨ.md) | [轂](轂.md) |  | gū | 參見「轂轆」條。 |</v>
      </c>
    </row>
    <row r="5515" spans="1:44" hidden="1">
      <c r="A5515" s="1" t="s">
        <v>10221</v>
      </c>
      <c r="C5515" s="1">
        <v>1</v>
      </c>
      <c r="D5515" s="1" t="str">
        <f>"04197"</f>
        <v>04197</v>
      </c>
      <c r="E5515" s="1" t="s">
        <v>238</v>
      </c>
      <c r="F5515" s="1">
        <v>5</v>
      </c>
      <c r="G5515" s="1">
        <v>0</v>
      </c>
      <c r="H5515" s="1">
        <v>0</v>
      </c>
      <c r="I5515" s="1" t="s">
        <v>10222</v>
      </c>
      <c r="K5515" s="1" t="str">
        <f t="shared" si="354"/>
        <v>ㄍ</v>
      </c>
      <c r="L5515" s="1" t="str">
        <f t="shared" si="355"/>
        <v>ㄨ</v>
      </c>
      <c r="M5515" s="1" t="str">
        <f t="shared" si="353"/>
        <v>ㄚ</v>
      </c>
      <c r="P5515" s="1" t="s">
        <v>20</v>
      </c>
      <c r="R5515" s="1" t="s">
        <v>10223</v>
      </c>
      <c r="V5515" s="1" t="s">
        <v>10224</v>
      </c>
      <c r="AR5515" s="1" t="str">
        <f t="shared" si="356"/>
        <v>| [ㄍㄨㄚ](ㄍㄨㄚ.md) | [瓜](瓜.md) |  | guā | [名]
1.葫蘆科植物的總稱。種類很多，葉掌狀，莖末端卷曲，可攀爬蔓生。多開黃色花，果實可食用。如黃瓜、西瓜、冬瓜等。
2.二一四部首之一。 |</v>
      </c>
    </row>
    <row r="5516" spans="1:44" hidden="1">
      <c r="A5516" s="1" t="s">
        <v>10098</v>
      </c>
      <c r="C5516" s="1">
        <v>1</v>
      </c>
      <c r="D5516" s="1" t="str">
        <f>"04198"</f>
        <v>04198</v>
      </c>
      <c r="E5516" s="1" t="s">
        <v>28</v>
      </c>
      <c r="F5516" s="1">
        <v>8</v>
      </c>
      <c r="G5516" s="1">
        <v>5</v>
      </c>
      <c r="H5516" s="1">
        <v>3</v>
      </c>
      <c r="I5516" s="1" t="s">
        <v>10222</v>
      </c>
      <c r="K5516" s="1" t="str">
        <f t="shared" si="354"/>
        <v>ㄍ</v>
      </c>
      <c r="L5516" s="1" t="str">
        <f t="shared" si="355"/>
        <v>ㄨ</v>
      </c>
      <c r="M5516" s="1" t="str">
        <f t="shared" si="353"/>
        <v>ㄚ</v>
      </c>
      <c r="P5516" s="1" t="s">
        <v>20</v>
      </c>
      <c r="R5516" s="1" t="s">
        <v>10223</v>
      </c>
      <c r="V5516" s="1" t="s">
        <v>10225</v>
      </c>
      <c r="W5516" s="1" t="s">
        <v>10226</v>
      </c>
      <c r="AR5516" s="1" t="str">
        <f t="shared" si="356"/>
        <v>| [ㄍㄨㄚ](ㄍㄨㄚ.md) | [呱](呱.md) |  | guā | 參見「咭咭呱呱」條。 |</v>
      </c>
    </row>
    <row r="5517" spans="1:44" hidden="1">
      <c r="A5517" s="1" t="s">
        <v>10227</v>
      </c>
      <c r="C5517" s="1">
        <v>1</v>
      </c>
      <c r="D5517" s="1" t="str">
        <f>"04199"</f>
        <v>04199</v>
      </c>
      <c r="E5517" s="1" t="s">
        <v>185</v>
      </c>
      <c r="F5517" s="1">
        <v>8</v>
      </c>
      <c r="G5517" s="1">
        <v>6</v>
      </c>
      <c r="H5517" s="1">
        <v>0</v>
      </c>
      <c r="I5517" s="1" t="s">
        <v>10222</v>
      </c>
      <c r="K5517" s="1" t="str">
        <f t="shared" si="354"/>
        <v>ㄍ</v>
      </c>
      <c r="L5517" s="1" t="str">
        <f t="shared" si="355"/>
        <v>ㄨ</v>
      </c>
      <c r="M5517" s="1" t="str">
        <f t="shared" si="353"/>
        <v>ㄚ</v>
      </c>
      <c r="P5517" s="1" t="s">
        <v>20</v>
      </c>
      <c r="R5517" s="1" t="s">
        <v>10223</v>
      </c>
      <c r="V5517" s="1" t="s">
        <v>10228</v>
      </c>
      <c r="AR5517" s="1" t="str">
        <f t="shared" si="356"/>
        <v>| [ㄍㄨㄚ](ㄍㄨㄚ.md) | [刮](刮.md) |  | guā | [動]
1.用刀削去物體表面的東西。如：「刮鬍子」、「刮魚鱗」。唐．韓愈〈進學解〉：「刮垢磨光，蓋有幸而獲選。」
2.擦拭。如：「刮目相看」。《資治通鑑．卷三九．漢紀三十一．淮陽王更始元年》：「更始羞怍，俛首刮席，不敢視。」
3.比喻剝削、聚斂。如：「搜刮財物」。《新唐書．卷二一三．藩鎮淄青橫海傳．程日華傳》：「馬瘠，士飢死，刺史不棄豪髮卹吾急，今刮地以去，吾等何望？」
4.吹襲。同「颳」。唐．無名氏〈冬〉詩：「浩汗霜風刮天地，溫泉火井無生意。」
5.比喻訓斥、責罵。如：「他被上司刮了一頓。」 |</v>
      </c>
    </row>
    <row r="5518" spans="1:44" hidden="1">
      <c r="A5518" s="1" t="s">
        <v>10229</v>
      </c>
      <c r="C5518" s="1">
        <v>1</v>
      </c>
      <c r="D5518" s="1" t="str">
        <f>"04200"</f>
        <v>04200</v>
      </c>
      <c r="E5518" s="1" t="s">
        <v>24</v>
      </c>
      <c r="F5518" s="1">
        <v>9</v>
      </c>
      <c r="G5518" s="1">
        <v>6</v>
      </c>
      <c r="H5518" s="1">
        <v>1</v>
      </c>
      <c r="I5518" s="1" t="s">
        <v>10222</v>
      </c>
      <c r="K5518" s="1" t="str">
        <f t="shared" si="354"/>
        <v>ㄍ</v>
      </c>
      <c r="L5518" s="1" t="str">
        <f t="shared" si="355"/>
        <v>ㄨ</v>
      </c>
      <c r="M5518" s="1" t="str">
        <f t="shared" si="353"/>
        <v>ㄚ</v>
      </c>
      <c r="P5518" s="1" t="s">
        <v>20</v>
      </c>
      <c r="R5518" s="1" t="s">
        <v>10223</v>
      </c>
      <c r="V5518" s="1" t="s">
        <v>10230</v>
      </c>
      <c r="W5518" s="1" t="s">
        <v>10231</v>
      </c>
      <c r="AR5518" s="1" t="str">
        <f t="shared" si="356"/>
        <v>| [ㄍㄨㄚ](ㄍㄨㄚ.md) | [括](括.md) |  | guā | [動]
1.捆束、收攏。《禮記．喪大記》：「括髮以麻，婦人髽帶麻于房中。」明．謝良《中山狼傳》：「入狼於囊，遂括囊口，肩舉驢上。」
2.包含。如：「總括」、「概括」。《文選．揚雄．羽獵賦》：「野盡山窮，囊括其雌雄。」唐．白居易〈初授拾遺〉詩：「杜甫陳子昂，才名括天地。」
3.搜尋、搜求。如：「搜括」。《新唐書．卷二〇二．文藝傳中．蕭穎士傳》：「奉使括遺書趙、衛間。」
[名]
箭末端搭扣弦的部分。同「栝」。《書經．太甲上》：「若虞機張，往省括於度，則釋。」唐．孔穎達．正義：「括，謂矢末。」《孔子家語．卷五．子路初見》：「括而羽之，鏃而礪之，其入之不亦深乎？」 |</v>
      </c>
    </row>
    <row r="5519" spans="1:44" hidden="1">
      <c r="A5519" s="1" t="s">
        <v>10232</v>
      </c>
      <c r="C5519" s="1">
        <v>1</v>
      </c>
      <c r="D5519" s="1" t="str">
        <f>"04201"</f>
        <v>04201</v>
      </c>
      <c r="E5519" s="1" t="s">
        <v>139</v>
      </c>
      <c r="F5519" s="1">
        <v>10</v>
      </c>
      <c r="G5519" s="1">
        <v>6</v>
      </c>
      <c r="H5519" s="1">
        <v>0</v>
      </c>
      <c r="I5519" s="1" t="s">
        <v>10222</v>
      </c>
      <c r="K5519" s="1" t="str">
        <f t="shared" si="354"/>
        <v>ㄍ</v>
      </c>
      <c r="L5519" s="1" t="str">
        <f t="shared" si="355"/>
        <v>ㄨ</v>
      </c>
      <c r="M5519" s="1" t="str">
        <f t="shared" si="353"/>
        <v>ㄚ</v>
      </c>
      <c r="P5519" s="1" t="s">
        <v>20</v>
      </c>
      <c r="R5519" s="1" t="s">
        <v>10223</v>
      </c>
      <c r="V5519" s="1" t="s">
        <v>10233</v>
      </c>
      <c r="AR5519" s="1" t="str">
        <f t="shared" si="356"/>
        <v>| [ㄍㄨㄚ](ㄍㄨㄚ.md) | [栝](栝.md) |  | guā | [名]
1.箭末端搭扣弦的部分。《集韻．入聲．末韻》：「栝，矢栝築弦處。」《淮南子．兵略》：「夫栝，淇衛箘簬，載以銀錫，雖有薄縞之幨，腐荷之矰，然猶不能獨射也。」漢．高誘．注：「栝，箭栝也。」
2.即檜。清．王念孫《廣雅疏證．卷一〇上．釋木》：「栝，柏也。」疏證：「栝，與檜同。《爾雅》云：『檜，柏葉松身。』是栝即柏之別種，故以栝為柏也。」唐．杜甫〈別張十三建封〉詩：「雖當霰雪嚴，未覺栝柏枯。」
3.參見「檃栝」條。 |</v>
      </c>
    </row>
    <row r="5520" spans="1:44" hidden="1">
      <c r="A5520" s="1" t="s">
        <v>10234</v>
      </c>
      <c r="C5520" s="1">
        <v>1</v>
      </c>
      <c r="D5520" s="1" t="str">
        <f>"04202"</f>
        <v>04202</v>
      </c>
      <c r="E5520" s="1" t="s">
        <v>37</v>
      </c>
      <c r="F5520" s="1">
        <v>10</v>
      </c>
      <c r="G5520" s="1">
        <v>6</v>
      </c>
      <c r="H5520" s="1">
        <v>0</v>
      </c>
      <c r="I5520" s="1" t="s">
        <v>10222</v>
      </c>
      <c r="K5520" s="1" t="str">
        <f t="shared" si="354"/>
        <v>ㄍ</v>
      </c>
      <c r="L5520" s="1" t="str">
        <f t="shared" si="355"/>
        <v>ㄨ</v>
      </c>
      <c r="M5520" s="1" t="str">
        <f t="shared" si="353"/>
        <v>ㄚ</v>
      </c>
      <c r="P5520" s="1" t="s">
        <v>20</v>
      </c>
      <c r="R5520" s="1" t="s">
        <v>10223</v>
      </c>
      <c r="V5520" s="1" t="s">
        <v>10235</v>
      </c>
      <c r="AR5520" s="1" t="str">
        <f t="shared" si="356"/>
        <v>| [ㄍㄨㄚ](ㄍㄨㄚ.md) | [䒷](䒷.md) |  | guā | 參見「䒷蔞」條。 |</v>
      </c>
    </row>
    <row r="5521" spans="1:44" hidden="1">
      <c r="A5521" s="1" t="s">
        <v>10236</v>
      </c>
      <c r="C5521" s="1">
        <v>1</v>
      </c>
      <c r="D5521" s="1" t="str">
        <f>"04203"</f>
        <v>04203</v>
      </c>
      <c r="E5521" s="1" t="s">
        <v>558</v>
      </c>
      <c r="F5521" s="1">
        <v>10</v>
      </c>
      <c r="G5521" s="1">
        <v>6</v>
      </c>
      <c r="H5521" s="1">
        <v>1</v>
      </c>
      <c r="I5521" s="1" t="s">
        <v>10222</v>
      </c>
      <c r="K5521" s="1" t="str">
        <f t="shared" si="354"/>
        <v>ㄍ</v>
      </c>
      <c r="L5521" s="1" t="str">
        <f t="shared" si="355"/>
        <v>ㄨ</v>
      </c>
      <c r="M5521" s="1" t="str">
        <f t="shared" si="353"/>
        <v>ㄚ</v>
      </c>
      <c r="P5521" s="1" t="s">
        <v>20</v>
      </c>
      <c r="R5521" s="1" t="s">
        <v>10223</v>
      </c>
      <c r="V5521" s="1" t="s">
        <v>10237</v>
      </c>
      <c r="W5521" s="1" t="s">
        <v>10238</v>
      </c>
      <c r="AR5521" s="1" t="str">
        <f t="shared" si="356"/>
        <v>| [ㄍㄨㄚ](ㄍㄨㄚ.md) | [适](适.md) |  | guā | [形]
迅速。《說文解字．辵部》：「适，疾也。」 |</v>
      </c>
    </row>
    <row r="5522" spans="1:44" hidden="1">
      <c r="A5522" s="1" t="s">
        <v>10239</v>
      </c>
      <c r="C5522" s="1">
        <v>1</v>
      </c>
      <c r="D5522" s="1" t="str">
        <f>"04204"</f>
        <v>04204</v>
      </c>
      <c r="E5522" s="1" t="s">
        <v>2419</v>
      </c>
      <c r="F5522" s="1">
        <v>12</v>
      </c>
      <c r="G5522" s="1">
        <v>6</v>
      </c>
      <c r="H5522" s="1">
        <v>0</v>
      </c>
      <c r="I5522" s="1" t="s">
        <v>10222</v>
      </c>
      <c r="K5522" s="1" t="str">
        <f t="shared" si="354"/>
        <v>ㄍ</v>
      </c>
      <c r="L5522" s="1" t="str">
        <f t="shared" si="355"/>
        <v>ㄨ</v>
      </c>
      <c r="M5522" s="1" t="str">
        <f t="shared" si="353"/>
        <v>ㄚ</v>
      </c>
      <c r="P5522" s="1" t="s">
        <v>20</v>
      </c>
      <c r="R5522" s="1" t="s">
        <v>10223</v>
      </c>
      <c r="V5522" s="1" t="s">
        <v>10240</v>
      </c>
      <c r="AR5522" s="1" t="str">
        <f t="shared" si="356"/>
        <v>| [ㄍㄨㄚ](ㄍㄨㄚ.md) | [聒](聒.md) |  | guā | [動]
喧譁、吵耳。《文選．嵇康．與山巨源絕交書》：「或賓客盈座，鳴聲聒耳。」宋．王安石〈和惠思歲二日二絕〉之一：「為嫌歸舍兒童聒，故就僧房借榻眠。」 |</v>
      </c>
    </row>
    <row r="5523" spans="1:44" hidden="1">
      <c r="A5523" s="1" t="s">
        <v>10241</v>
      </c>
      <c r="C5523" s="1">
        <v>1</v>
      </c>
      <c r="D5523" s="1" t="str">
        <f>"04205"</f>
        <v>04205</v>
      </c>
      <c r="E5523" s="1" t="s">
        <v>49</v>
      </c>
      <c r="F5523" s="1">
        <v>12</v>
      </c>
      <c r="G5523" s="1">
        <v>6</v>
      </c>
      <c r="H5523" s="1">
        <v>0</v>
      </c>
      <c r="I5523" s="1" t="s">
        <v>10222</v>
      </c>
      <c r="K5523" s="1" t="str">
        <f t="shared" si="354"/>
        <v>ㄍ</v>
      </c>
      <c r="L5523" s="1" t="str">
        <f t="shared" si="355"/>
        <v>ㄨ</v>
      </c>
      <c r="M5523" s="1" t="str">
        <f t="shared" si="353"/>
        <v>ㄚ</v>
      </c>
      <c r="P5523" s="1" t="s">
        <v>20</v>
      </c>
      <c r="R5523" s="1" t="s">
        <v>10223</v>
      </c>
      <c r="V5523" s="1" t="s">
        <v>10242</v>
      </c>
      <c r="AR5523" s="1" t="str">
        <f t="shared" si="356"/>
        <v>| [ㄍㄨㄚ](ㄍㄨㄚ.md) | [筈](筈.md) |  | guā | [名]
箭的末端搭扣弦的部分。同「栝」。唐．陸龜蒙〈奉酬襲美先輩吳中苦雨一百韻〉：「譬如飾箭材，尚欠鏃與筈。」 |</v>
      </c>
    </row>
    <row r="5524" spans="1:44" hidden="1">
      <c r="A5524" s="1" t="s">
        <v>10243</v>
      </c>
      <c r="C5524" s="1">
        <v>1</v>
      </c>
      <c r="D5524" s="1" t="str">
        <f>"04206"</f>
        <v>04206</v>
      </c>
      <c r="E5524" s="1" t="s">
        <v>1161</v>
      </c>
      <c r="F5524" s="1">
        <v>15</v>
      </c>
      <c r="G5524" s="1">
        <v>6</v>
      </c>
      <c r="H5524" s="1">
        <v>0</v>
      </c>
      <c r="I5524" s="1" t="s">
        <v>10222</v>
      </c>
      <c r="K5524" s="1" t="str">
        <f t="shared" si="354"/>
        <v>ㄍ</v>
      </c>
      <c r="L5524" s="1" t="str">
        <f t="shared" si="355"/>
        <v>ㄨ</v>
      </c>
      <c r="M5524" s="1" t="str">
        <f t="shared" si="353"/>
        <v>ㄚ</v>
      </c>
      <c r="P5524" s="1" t="s">
        <v>20</v>
      </c>
      <c r="R5524" s="1" t="s">
        <v>10223</v>
      </c>
      <c r="V5524" s="1" t="s">
        <v>10244</v>
      </c>
      <c r="AR5524" s="1" t="str">
        <f t="shared" si="356"/>
        <v>| [ㄍㄨㄚ](ㄍㄨㄚ.md) | [颳](颳.md) |  | guā | [動]
吹襲。如：「颳風」、「颱風把樹颳倒了。」 |</v>
      </c>
    </row>
    <row r="5525" spans="1:44" hidden="1">
      <c r="A5525" s="1" t="s">
        <v>10245</v>
      </c>
      <c r="C5525" s="1">
        <v>1</v>
      </c>
      <c r="D5525" s="1" t="str">
        <f>"04207"</f>
        <v>04207</v>
      </c>
      <c r="E5525" s="1" t="s">
        <v>272</v>
      </c>
      <c r="F5525" s="1">
        <v>17</v>
      </c>
      <c r="G5525" s="1">
        <v>6</v>
      </c>
      <c r="H5525" s="1">
        <v>0</v>
      </c>
      <c r="I5525" s="1" t="s">
        <v>10222</v>
      </c>
      <c r="K5525" s="1" t="str">
        <f t="shared" si="354"/>
        <v>ㄍ</v>
      </c>
      <c r="L5525" s="1" t="str">
        <f t="shared" si="355"/>
        <v>ㄨ</v>
      </c>
      <c r="M5525" s="1" t="str">
        <f t="shared" si="353"/>
        <v>ㄚ</v>
      </c>
      <c r="P5525" s="1" t="s">
        <v>20</v>
      </c>
      <c r="R5525" s="1" t="s">
        <v>10223</v>
      </c>
      <c r="V5525" s="1" t="s">
        <v>10246</v>
      </c>
      <c r="AR5525" s="1" t="str">
        <f t="shared" si="356"/>
        <v>| [ㄍㄨㄚ](ㄍㄨㄚ.md) | [鴰](鴰.md) |  | guā | 參見「鶬鴰」、「老鴰」等條。 |</v>
      </c>
    </row>
    <row r="5526" spans="1:44" hidden="1">
      <c r="A5526" s="1" t="s">
        <v>10247</v>
      </c>
      <c r="C5526" s="1">
        <v>1</v>
      </c>
      <c r="D5526" s="1" t="str">
        <f>"04208"</f>
        <v>04208</v>
      </c>
      <c r="E5526" s="1" t="s">
        <v>679</v>
      </c>
      <c r="F5526" s="1">
        <v>15</v>
      </c>
      <c r="G5526" s="1">
        <v>9</v>
      </c>
      <c r="H5526" s="1">
        <v>0</v>
      </c>
      <c r="I5526" s="1" t="s">
        <v>10222</v>
      </c>
      <c r="K5526" s="1" t="str">
        <f t="shared" si="354"/>
        <v>ㄍ</v>
      </c>
      <c r="L5526" s="1" t="str">
        <f t="shared" si="355"/>
        <v>ㄨ</v>
      </c>
      <c r="M5526" s="1" t="str">
        <f t="shared" si="353"/>
        <v>ㄚ</v>
      </c>
      <c r="P5526" s="1" t="s">
        <v>20</v>
      </c>
      <c r="R5526" s="1" t="s">
        <v>10223</v>
      </c>
      <c r="V5526" s="1" t="s">
        <v>10248</v>
      </c>
      <c r="AR5526" s="1" t="str">
        <f t="shared" si="356"/>
        <v>| [ㄍㄨㄚ](ㄍㄨㄚ.md) | [蝸](蝸.md) |  | guā | 參見「蝸牛」條。 |</v>
      </c>
    </row>
    <row r="5527" spans="1:44" hidden="1">
      <c r="A5527" s="1" t="s">
        <v>10249</v>
      </c>
      <c r="C5527" s="1">
        <v>1</v>
      </c>
      <c r="D5527" s="1" t="str">
        <f>"04209"</f>
        <v>04209</v>
      </c>
      <c r="E5527" s="1" t="s">
        <v>725</v>
      </c>
      <c r="F5527" s="1">
        <v>15</v>
      </c>
      <c r="G5527" s="1">
        <v>9</v>
      </c>
      <c r="H5527" s="1">
        <v>0</v>
      </c>
      <c r="I5527" s="1" t="s">
        <v>10222</v>
      </c>
      <c r="K5527" s="1" t="str">
        <f t="shared" si="354"/>
        <v>ㄍ</v>
      </c>
      <c r="L5527" s="1" t="str">
        <f t="shared" si="355"/>
        <v>ㄨ</v>
      </c>
      <c r="M5527" s="1" t="str">
        <f t="shared" si="353"/>
        <v>ㄚ</v>
      </c>
      <c r="P5527" s="1" t="s">
        <v>20</v>
      </c>
      <c r="R5527" s="1" t="s">
        <v>10223</v>
      </c>
      <c r="V5527" s="1" t="s">
        <v>10250</v>
      </c>
      <c r="AR5527" s="1" t="str">
        <f t="shared" si="356"/>
        <v>| [ㄍㄨㄚ](ㄍㄨㄚ.md) | [緺](緺.md) |  | guā | [名]
1.繫印環的紫青色絲繩。《說文解字．糸部》：「緺，綬紫青色也。」《史記．卷一二六．滑稽傳．褚少孫補衛青傳》：「及其拜為二千石，佩青緺出宮門，行謝主人。」
2.量詞。計算髮髻的單位。五代十國南唐．李煜〈長相思．雲一緺〉詞：「雲一緺，玉一梭，澹澹衫兒薄薄羅，輕顰雙黛螺。」宋．張樞〈清平樂．鳳樓人獨〉詞：「曉奩懶試脂鉛，一緺鸞髻微偏。」 |</v>
      </c>
    </row>
    <row r="5528" spans="1:44" hidden="1">
      <c r="A5528" s="1" t="s">
        <v>10251</v>
      </c>
      <c r="C5528" s="1">
        <v>1</v>
      </c>
      <c r="D5528" s="1" t="str">
        <f>"04210"</f>
        <v>04210</v>
      </c>
      <c r="E5528" s="1" t="s">
        <v>319</v>
      </c>
      <c r="F5528" s="1">
        <v>19</v>
      </c>
      <c r="G5528" s="1">
        <v>9</v>
      </c>
      <c r="H5528" s="1">
        <v>0</v>
      </c>
      <c r="I5528" s="1" t="s">
        <v>10222</v>
      </c>
      <c r="K5528" s="1" t="str">
        <f t="shared" si="354"/>
        <v>ㄍ</v>
      </c>
      <c r="L5528" s="1" t="str">
        <f t="shared" si="355"/>
        <v>ㄨ</v>
      </c>
      <c r="M5528" s="1" t="str">
        <f t="shared" si="353"/>
        <v>ㄚ</v>
      </c>
      <c r="P5528" s="1" t="s">
        <v>20</v>
      </c>
      <c r="R5528" s="1" t="s">
        <v>10223</v>
      </c>
      <c r="V5528" s="1" t="s">
        <v>10252</v>
      </c>
      <c r="AR5528" s="1" t="str">
        <f t="shared" si="356"/>
        <v>| [ㄍㄨㄚ](ㄍㄨㄚ.md) | [騧](騧.md) |  | guā | [名]
黑嘴的黃馬。《說文解字．馬部》：「騧，黃馬黑喙。」《詩經．秦風．小戎》：「四牡孔阜，六轡在手，騏騮是中，騧驪是驂。」 |</v>
      </c>
    </row>
    <row r="5529" spans="1:44" hidden="1">
      <c r="A5529" s="1" t="s">
        <v>10253</v>
      </c>
      <c r="C5529" s="1">
        <v>1</v>
      </c>
      <c r="D5529" s="1" t="str">
        <f>"04211"</f>
        <v>04211</v>
      </c>
      <c r="E5529" s="1" t="s">
        <v>185</v>
      </c>
      <c r="F5529" s="1">
        <v>14</v>
      </c>
      <c r="G5529" s="1">
        <v>12</v>
      </c>
      <c r="H5529" s="1">
        <v>0</v>
      </c>
      <c r="I5529" s="1" t="s">
        <v>10222</v>
      </c>
      <c r="K5529" s="1" t="str">
        <f t="shared" si="354"/>
        <v>ㄍ</v>
      </c>
      <c r="L5529" s="1" t="str">
        <f t="shared" si="355"/>
        <v>ㄨ</v>
      </c>
      <c r="M5529" s="1" t="str">
        <f t="shared" si="353"/>
        <v>ㄚ</v>
      </c>
      <c r="P5529" s="1" t="s">
        <v>20</v>
      </c>
      <c r="R5529" s="1" t="s">
        <v>10223</v>
      </c>
      <c r="V5529" s="1" t="s">
        <v>10254</v>
      </c>
      <c r="AR5529" s="1" t="str">
        <f t="shared" si="356"/>
        <v>| [ㄍㄨㄚ](ㄍㄨㄚ.md) | [劀](劀.md) |  | guā | [動]
刮掉爛肉膿血。《說文解字．刀部》：「劀，刮去惡創肉也。」《周禮．天官．瘍醫》：「瘍醫掌腫瘍、潰瘍、金瘍、折瘍之祝藥劀殺之齊。」漢．鄭玄．注：「劀，刮去膿血。」 |</v>
      </c>
    </row>
    <row r="5530" spans="1:44" hidden="1">
      <c r="A5530" s="1" t="s">
        <v>10255</v>
      </c>
      <c r="C5530" s="1">
        <v>1</v>
      </c>
      <c r="D5530" s="1" t="str">
        <f>"04212"</f>
        <v>04212</v>
      </c>
      <c r="E5530" s="1" t="s">
        <v>185</v>
      </c>
      <c r="F5530" s="1">
        <v>11</v>
      </c>
      <c r="G5530" s="1">
        <v>9</v>
      </c>
      <c r="H5530" s="1">
        <v>0</v>
      </c>
      <c r="I5530" s="1" t="s">
        <v>10256</v>
      </c>
      <c r="K5530" s="1" t="str">
        <f t="shared" si="354"/>
        <v>ㄍ</v>
      </c>
      <c r="L5530" s="1" t="str">
        <f t="shared" si="355"/>
        <v>ㄨ</v>
      </c>
      <c r="M5530" s="1" t="str">
        <f t="shared" si="353"/>
        <v>ㄚ</v>
      </c>
      <c r="P5530" s="1" t="s">
        <v>20</v>
      </c>
      <c r="R5530" s="1" t="s">
        <v>10257</v>
      </c>
      <c r="V5530" s="1" t="s">
        <v>10258</v>
      </c>
      <c r="AR5530" s="1" t="str">
        <f t="shared" si="356"/>
        <v>| [ㄍㄨㄚˇ](ㄍㄨㄚˇ.md) | [剮](剮.md) |  | guǎ | [動]
一種古代的刑罰。將人體慢慢削割至死。如：「千刀萬剮」。《喻世明言．卷二六．沈小官一鳥害七命》：「黃大保、小保，貪財殺父，不分首從，俱各淩遲處死，剮二百四十刀，分屍五段，梟首示眾。」也稱為「凌遲」。 |</v>
      </c>
    </row>
    <row r="5531" spans="1:44" hidden="1">
      <c r="A5531" s="1" t="s">
        <v>10259</v>
      </c>
      <c r="C5531" s="1">
        <v>1</v>
      </c>
      <c r="D5531" s="1" t="str">
        <f>"04213"</f>
        <v>04213</v>
      </c>
      <c r="E5531" s="1" t="s">
        <v>624</v>
      </c>
      <c r="F5531" s="1">
        <v>14</v>
      </c>
      <c r="G5531" s="1">
        <v>11</v>
      </c>
      <c r="H5531" s="1">
        <v>0</v>
      </c>
      <c r="I5531" s="1" t="s">
        <v>10256</v>
      </c>
      <c r="K5531" s="1" t="str">
        <f t="shared" si="354"/>
        <v>ㄍ</v>
      </c>
      <c r="L5531" s="1" t="str">
        <f t="shared" si="355"/>
        <v>ㄨ</v>
      </c>
      <c r="M5531" s="1" t="str">
        <f t="shared" si="353"/>
        <v>ㄚ</v>
      </c>
      <c r="P5531" s="1" t="s">
        <v>20</v>
      </c>
      <c r="R5531" s="1" t="s">
        <v>10257</v>
      </c>
      <c r="V5531" s="1" t="s">
        <v>10260</v>
      </c>
      <c r="AR5531" s="1" t="str">
        <f t="shared" si="356"/>
        <v>| [ㄍㄨㄚˇ](ㄍㄨㄚˇ.md) | [寡](寡.md) |  | guǎ | [形]
少。《說文解字．宀部》：「寡，少也。」如：「沉默寡言」、「寡不敵眾」。《易經．繫辭下》：「吉人之辭寡，躁人之辭多。」
[名]
丈夫已死的婦女。《詩經．小雅．鴻鴈》：「爰及矜人，哀此鰥寡。」《禮記．禮運》：「矜寡孤獨廢疾者，皆有所養。」
[代]
古代王侯的自稱。《孟子．梁惠王上》：「寡人之於國也，盡心焉耳矣。」漢．趙岐．注：「王侯自稱孤寡。」元．關漢卿《單刀會》第三折：「俺哥哥稱孤道寡世無雙。」 |</v>
      </c>
    </row>
    <row r="5532" spans="1:44" hidden="1">
      <c r="A5532" s="1" t="s">
        <v>10261</v>
      </c>
      <c r="C5532" s="1">
        <v>1</v>
      </c>
      <c r="D5532" s="1" t="str">
        <f>"04214"</f>
        <v>04214</v>
      </c>
      <c r="E5532" s="1" t="s">
        <v>1279</v>
      </c>
      <c r="F5532" s="1">
        <v>8</v>
      </c>
      <c r="G5532" s="1">
        <v>6</v>
      </c>
      <c r="H5532" s="1">
        <v>0</v>
      </c>
      <c r="I5532" s="1" t="s">
        <v>10262</v>
      </c>
      <c r="K5532" s="1" t="str">
        <f t="shared" si="354"/>
        <v>ㄍ</v>
      </c>
      <c r="L5532" s="1" t="str">
        <f t="shared" si="355"/>
        <v>ㄨ</v>
      </c>
      <c r="M5532" s="1" t="str">
        <f t="shared" si="353"/>
        <v>ㄚ</v>
      </c>
      <c r="P5532" s="1" t="s">
        <v>20</v>
      </c>
      <c r="R5532" s="1" t="s">
        <v>10263</v>
      </c>
      <c r="V5532" s="1" t="s">
        <v>10264</v>
      </c>
      <c r="AR5532" s="1" t="str">
        <f t="shared" si="356"/>
        <v>| [ㄍㄨㄚˋ](ㄍㄨㄚˋ.md) | [卦](卦.md) |  | guà | [名]
古代卜筮所用的符號。相傳為伏羲氏所創，以陰爻（⚋）陽爻（⚊）相配合，每卦三爻，形成八卦，八卦互相搭配，演為六十四卦。古人觀卦象以定吉凶。 |</v>
      </c>
    </row>
    <row r="5533" spans="1:44" hidden="1">
      <c r="A5533" s="1" t="s">
        <v>10265</v>
      </c>
      <c r="C5533" s="1">
        <v>1</v>
      </c>
      <c r="D5533" s="1" t="str">
        <f>"04215"</f>
        <v>04215</v>
      </c>
      <c r="E5533" s="1" t="s">
        <v>24</v>
      </c>
      <c r="F5533" s="1">
        <v>9</v>
      </c>
      <c r="G5533" s="1">
        <v>6</v>
      </c>
      <c r="H5533" s="1">
        <v>0</v>
      </c>
      <c r="I5533" s="1" t="s">
        <v>10262</v>
      </c>
      <c r="K5533" s="1" t="str">
        <f t="shared" si="354"/>
        <v>ㄍ</v>
      </c>
      <c r="L5533" s="1" t="str">
        <f t="shared" si="355"/>
        <v>ㄨ</v>
      </c>
      <c r="M5533" s="1" t="str">
        <f t="shared" si="353"/>
        <v>ㄚ</v>
      </c>
      <c r="P5533" s="1" t="s">
        <v>20</v>
      </c>
      <c r="R5533" s="1" t="s">
        <v>10263</v>
      </c>
      <c r="V5533" s="1" t="s">
        <v>10266</v>
      </c>
      <c r="AR5533" s="1" t="str">
        <f t="shared" si="356"/>
        <v>| [ㄍㄨㄚˋ](ㄍㄨㄚˋ.md) | [挂](挂.md) |  | guà | [動]_x000D_
1.區別、劃分。《說文解字．手部》：「挂，畫也。」清．段玉裁．注：「古本多作畫者，此等皆有分別畫出之意。」《淮南子．氾論》：「伯余之初作衣也，緂麻索縷，手經指挂，其成猶網羅。」_x000D_
2.謀求。《莊子．漁父》：「好經大事，變更易常，以挂功名，謂之叨。」_x000D_
3.懸吊。通「掛」。《文選．木華．海賦》：「於是候勁風揭百尺，維長綃，挂帆席，望濤遠決，冏然鳥逝。」唐．李白〈行路難〉三首之一：「長風破浪會有時，直挂雲帆濟滄海。」_x000D_
4.登記。宋．蘇軾〈次韻范純父涵星硯月石風林屏詩〉：「上書挂名豈待我，獨立自可當雷霆。」_x000D_
5.觸犯、違背。《文選．曹植．責躬詩》：「舉挂時網，動亂國經。」清．袁枚《隨園詩話》卷九：「青樓金蕊先以事挂法，一時交好，無能為之道地。」 |</v>
      </c>
    </row>
    <row r="5534" spans="1:44" hidden="1">
      <c r="A5534" s="1" t="s">
        <v>10267</v>
      </c>
      <c r="C5534" s="1">
        <v>1</v>
      </c>
      <c r="D5534" s="1" t="str">
        <f>"04216"</f>
        <v>04216</v>
      </c>
      <c r="E5534" s="1" t="s">
        <v>24</v>
      </c>
      <c r="F5534" s="1">
        <v>11</v>
      </c>
      <c r="G5534" s="1">
        <v>8</v>
      </c>
      <c r="H5534" s="1">
        <v>0</v>
      </c>
      <c r="I5534" s="1" t="s">
        <v>10262</v>
      </c>
      <c r="K5534" s="1" t="str">
        <f t="shared" si="354"/>
        <v>ㄍ</v>
      </c>
      <c r="L5534" s="1" t="str">
        <f t="shared" si="355"/>
        <v>ㄨ</v>
      </c>
      <c r="M5534" s="1" t="str">
        <f t="shared" ref="M5534:M5597" si="357">MID(I5534, 3, 1)</f>
        <v>ㄚ</v>
      </c>
      <c r="P5534" s="1" t="s">
        <v>20</v>
      </c>
      <c r="R5534" s="1" t="s">
        <v>10263</v>
      </c>
      <c r="V5534" s="1" t="s">
        <v>10268</v>
      </c>
      <c r="AR5534" s="1" t="str">
        <f t="shared" si="356"/>
        <v>| [ㄍㄨㄚˋ](ㄍㄨㄚˋ.md) | [掛](掛.md) |  | guà | [動]
1.懸吊。如：「牆上掛了一幅水墨畫。」、「掛羊頭，賣狗肉」。
2.牽念、懸念。如：「掛心」、「牽腸掛肚」。《紅樓夢》第二八回：「幸虧寶玉被一個林黛玉纏綿住了，心心念念只掛著林黛玉。」
3.佩戴、穿戴。如：「掛孝」。《薛仁貴征遼事略》：「其人年少，虎體人形，腕懸鐵簡身掛綠袍。」
4.登記。如：「掛失」、「掛號」。
5.將話筒放回電話機上切斷通訊。如：「她一氣之下掛了電話，讓對方沒有解釋的機會。」、「電話請暫時不要掛，我找專家來回答你！」
6.打電話。如：「請記得掛電話回家，你家人有事找你！」
7.帶著。如：「臉上掛著笑容。」
8.死、完蛋。如：「他出車禍掛了」、「他一上場就掛了，使比賽提前結束。」
[名]
量詞。計算成套或成串物品的單位。如：「一掛念珠」。《老殘遊記》第四回：「選了一掛雙套飛車，趕進城去。」
[形]
用來懸吊的。如：「掛鉤」、「掛鐘」、「掛圖」。 |</v>
      </c>
    </row>
    <row r="5535" spans="1:44" hidden="1">
      <c r="A5535" s="1" t="s">
        <v>10269</v>
      </c>
      <c r="C5535" s="1">
        <v>1</v>
      </c>
      <c r="D5535" s="1" t="str">
        <f>"04217"</f>
        <v>04217</v>
      </c>
      <c r="E5535" s="1" t="s">
        <v>118</v>
      </c>
      <c r="F5535" s="1">
        <v>11</v>
      </c>
      <c r="G5535" s="1">
        <v>6</v>
      </c>
      <c r="H5535" s="1">
        <v>0</v>
      </c>
      <c r="I5535" s="1" t="s">
        <v>10262</v>
      </c>
      <c r="K5535" s="1" t="str">
        <f t="shared" si="354"/>
        <v>ㄍ</v>
      </c>
      <c r="L5535" s="1" t="str">
        <f t="shared" si="355"/>
        <v>ㄨ</v>
      </c>
      <c r="M5535" s="1" t="str">
        <f t="shared" si="357"/>
        <v>ㄚ</v>
      </c>
      <c r="P5535" s="1" t="s">
        <v>20</v>
      </c>
      <c r="R5535" s="1" t="s">
        <v>10263</v>
      </c>
      <c r="V5535" s="1" t="s">
        <v>10270</v>
      </c>
      <c r="AR5535" s="1" t="str">
        <f t="shared" si="356"/>
        <v>| [ㄍㄨㄚˋ](ㄍㄨㄚˋ.md) | [罣](罣.md) |  | guà | [動]
1.牽絆、阻礙。《玉篇．网部》：「罣，罣礙也。」元．馬致遠〈青杏子．世事飽諳多套．賺煞〉：「兀的不快活煞，喬公事心頭再不罣。」
2.懸掛。《廣韻．去聲．霽韻》：「罣，挂也。」宋．姜夔〈好事近．涼夜摘花鈿〉詞：「朝來碧縷放長穿，釵頭罣層玉。」 |</v>
      </c>
    </row>
    <row r="5536" spans="1:44" hidden="1">
      <c r="A5536" s="1" t="s">
        <v>10271</v>
      </c>
      <c r="C5536" s="1">
        <v>1</v>
      </c>
      <c r="D5536" s="1" t="str">
        <f>"04218"</f>
        <v>04218</v>
      </c>
      <c r="E5536" s="1" t="s">
        <v>725</v>
      </c>
      <c r="F5536" s="1">
        <v>12</v>
      </c>
      <c r="G5536" s="1">
        <v>6</v>
      </c>
      <c r="H5536" s="1">
        <v>0</v>
      </c>
      <c r="I5536" s="1" t="s">
        <v>10262</v>
      </c>
      <c r="K5536" s="1" t="str">
        <f t="shared" si="354"/>
        <v>ㄍ</v>
      </c>
      <c r="L5536" s="1" t="str">
        <f t="shared" si="355"/>
        <v>ㄨ</v>
      </c>
      <c r="M5536" s="1" t="str">
        <f t="shared" si="357"/>
        <v>ㄚ</v>
      </c>
      <c r="P5536" s="1" t="s">
        <v>20</v>
      </c>
      <c r="R5536" s="1" t="s">
        <v>10263</v>
      </c>
      <c r="V5536" s="1" t="s">
        <v>10272</v>
      </c>
      <c r="AR5536" s="1" t="str">
        <f t="shared" si="356"/>
        <v>| [ㄍㄨㄚˋ](ㄍㄨㄚˋ.md) | [絓](絓.md) |  | guà | [動]
受阻礙、牽絆。《玉篇．糸部》：「絓，止也，有行礙也。」《淮南子．兵略》：「飛鳥不動，不絓網羅。」 |</v>
      </c>
    </row>
    <row r="5537" spans="1:44" hidden="1">
      <c r="A5537" s="1" t="s">
        <v>10273</v>
      </c>
      <c r="C5537" s="1">
        <v>1</v>
      </c>
      <c r="D5537" s="1" t="str">
        <f>"04219"</f>
        <v>04219</v>
      </c>
      <c r="E5537" s="1" t="s">
        <v>331</v>
      </c>
      <c r="F5537" s="1">
        <v>13</v>
      </c>
      <c r="G5537" s="1">
        <v>6</v>
      </c>
      <c r="H5537" s="1">
        <v>0</v>
      </c>
      <c r="I5537" s="1" t="s">
        <v>10262</v>
      </c>
      <c r="K5537" s="1" t="str">
        <f t="shared" si="354"/>
        <v>ㄍ</v>
      </c>
      <c r="L5537" s="1" t="str">
        <f t="shared" si="355"/>
        <v>ㄨ</v>
      </c>
      <c r="M5537" s="1" t="str">
        <f t="shared" si="357"/>
        <v>ㄚ</v>
      </c>
      <c r="P5537" s="1" t="s">
        <v>20</v>
      </c>
      <c r="R5537" s="1" t="s">
        <v>10263</v>
      </c>
      <c r="V5537" s="1" t="s">
        <v>10274</v>
      </c>
      <c r="AR5537" s="1" t="str">
        <f t="shared" si="356"/>
        <v>| [ㄍㄨㄚˋ](ㄍㄨㄚˋ.md) | [詿](詿.md) |  | guà | [動]
1.擾亂、貽誤。《說文解字．言部》：「詿，誤也。」《史記．卷一〇六．吳王濞傳》：「漢有賊臣……絕先帝功臣，進任姦宄，詿亂天下，欲危社稷。」《漢書．卷四．文帝紀》：「濟北王背德反上，詿誤吏民，為大逆。」
2.欺騙。《漢書．卷九九．王莽傳上》：「即有所間非，則臣莽當被詿上誤朝之罪。」 |</v>
      </c>
    </row>
    <row r="5538" spans="1:44" hidden="1">
      <c r="A5538" s="1" t="s">
        <v>10275</v>
      </c>
      <c r="C5538" s="1">
        <v>1</v>
      </c>
      <c r="D5538" s="1" t="str">
        <f>"04220"</f>
        <v>04220</v>
      </c>
      <c r="E5538" s="1" t="s">
        <v>118</v>
      </c>
      <c r="F5538" s="1">
        <v>13</v>
      </c>
      <c r="G5538" s="1">
        <v>8</v>
      </c>
      <c r="H5538" s="1">
        <v>2</v>
      </c>
      <c r="I5538" s="1" t="s">
        <v>10262</v>
      </c>
      <c r="K5538" s="1" t="str">
        <f t="shared" si="354"/>
        <v>ㄍ</v>
      </c>
      <c r="L5538" s="1" t="str">
        <f t="shared" si="355"/>
        <v>ㄨ</v>
      </c>
      <c r="M5538" s="1" t="str">
        <f t="shared" si="357"/>
        <v>ㄚ</v>
      </c>
      <c r="P5538" s="1" t="s">
        <v>20</v>
      </c>
      <c r="R5538" s="1" t="s">
        <v>10263</v>
      </c>
      <c r="V5538" s="1" t="s">
        <v>10276</v>
      </c>
      <c r="W5538" s="1" t="s">
        <v>10277</v>
      </c>
      <c r="AR5538" s="1" t="str">
        <f t="shared" si="356"/>
        <v>| [ㄍㄨㄚˋ](ㄍㄨㄚˋ.md) | [罫](罫.md) |  | guà | [名]
棋盤上的方格子。清．徐珂《清稗類鈔．藝術類．蒙古棋》：「蒙古棋者，局縱橫八線，為六十四罫。」 |</v>
      </c>
    </row>
    <row r="5539" spans="1:44" hidden="1">
      <c r="A5539" s="1" t="s">
        <v>10278</v>
      </c>
      <c r="C5539" s="1">
        <v>1</v>
      </c>
      <c r="D5539" s="1" t="str">
        <f>"04221"</f>
        <v>04221</v>
      </c>
      <c r="E5539" s="1" t="s">
        <v>340</v>
      </c>
      <c r="F5539" s="1">
        <v>14</v>
      </c>
      <c r="G5539" s="1">
        <v>8</v>
      </c>
      <c r="H5539" s="1">
        <v>0</v>
      </c>
      <c r="I5539" s="1" t="s">
        <v>10262</v>
      </c>
      <c r="K5539" s="1" t="str">
        <f t="shared" si="354"/>
        <v>ㄍ</v>
      </c>
      <c r="L5539" s="1" t="str">
        <f t="shared" si="355"/>
        <v>ㄨ</v>
      </c>
      <c r="M5539" s="1" t="str">
        <f t="shared" si="357"/>
        <v>ㄚ</v>
      </c>
      <c r="P5539" s="1" t="s">
        <v>20</v>
      </c>
      <c r="R5539" s="1" t="s">
        <v>10263</v>
      </c>
      <c r="V5539" s="1" t="s">
        <v>10279</v>
      </c>
      <c r="AR5539" s="1" t="str">
        <f t="shared" si="356"/>
        <v>| [ㄍㄨㄚˋ](ㄍㄨㄚˋ.md) | [褂](褂.md) |  | guà | [名]
外衣。如：「短褂」、「長袍馬褂」。《清會典．卷八〇．禮部．儀制清吏司三》：「服有袍，有褂。朝服蟒袍外，皆加補褂，冬則應服端罩者加端罩。」《老殘遊記》第三回：「本日在大街上買了一疋繭綢，又買了一件大呢馬褂面子，拿回寓去叫個成衣匠做一身棉袍子馬褂。」 |</v>
      </c>
    </row>
    <row r="5540" spans="1:44" hidden="1">
      <c r="A5540" s="1" t="s">
        <v>10280</v>
      </c>
      <c r="C5540" s="1">
        <v>1</v>
      </c>
      <c r="D5540" s="1" t="str">
        <f>"04222"</f>
        <v>04222</v>
      </c>
      <c r="E5540" s="1" t="s">
        <v>256</v>
      </c>
      <c r="F5540" s="1">
        <v>11</v>
      </c>
      <c r="G5540" s="1">
        <v>8</v>
      </c>
      <c r="H5540" s="1">
        <v>0</v>
      </c>
      <c r="I5540" s="1" t="s">
        <v>10281</v>
      </c>
      <c r="K5540" s="1" t="str">
        <f t="shared" si="354"/>
        <v>ㄍ</v>
      </c>
      <c r="L5540" s="1" t="str">
        <f t="shared" si="355"/>
        <v>ㄨ</v>
      </c>
      <c r="M5540" s="1" t="str">
        <f t="shared" si="357"/>
        <v>ㄛ</v>
      </c>
      <c r="P5540" s="1" t="s">
        <v>20</v>
      </c>
      <c r="R5540" s="1" t="s">
        <v>10282</v>
      </c>
      <c r="V5540" s="1" t="s">
        <v>10283</v>
      </c>
      <c r="AR5540" s="1" t="str">
        <f t="shared" si="356"/>
        <v>| [ㄍㄨㄛ](ㄍㄨㄛ.md) | [郭](郭.md) |  | guō | [名]
1.城牆外再築的一道城牆。即外城。唐．孟浩然〈過故人莊〉詩：「綠樹村邊合，青山郭外斜。」《三國演義》第二回：「適督郵行部至縣，玄德出郭迎接。」
2.物體的外部。通「廓」。《宋書．卷七五．顏竣傳》：「元嘉中鑄四銖錢，輪郭形制，與五銖同。」
3.姓。如唐代有郭子儀。 |</v>
      </c>
    </row>
    <row r="5541" spans="1:44" hidden="1">
      <c r="A5541" s="1" t="s">
        <v>10284</v>
      </c>
      <c r="C5541" s="1">
        <v>1</v>
      </c>
      <c r="D5541" s="1" t="str">
        <f>"04223"</f>
        <v>04223</v>
      </c>
      <c r="E5541" s="1" t="s">
        <v>190</v>
      </c>
      <c r="F5541" s="1">
        <v>11</v>
      </c>
      <c r="G5541" s="1">
        <v>8</v>
      </c>
      <c r="H5541" s="1">
        <v>0</v>
      </c>
      <c r="I5541" s="1" t="s">
        <v>10281</v>
      </c>
      <c r="K5541" s="1" t="str">
        <f t="shared" si="354"/>
        <v>ㄍ</v>
      </c>
      <c r="L5541" s="1" t="str">
        <f t="shared" si="355"/>
        <v>ㄨ</v>
      </c>
      <c r="M5541" s="1" t="str">
        <f t="shared" si="357"/>
        <v>ㄛ</v>
      </c>
      <c r="P5541" s="1" t="s">
        <v>20</v>
      </c>
      <c r="R5541" s="1" t="s">
        <v>10282</v>
      </c>
      <c r="V5541" s="1" t="s">
        <v>10285</v>
      </c>
      <c r="AR5541" s="1" t="str">
        <f t="shared" si="356"/>
        <v>| [ㄍㄨㄛ](ㄍㄨㄛ.md) | [崞](崞.md) |  | guō | 參見「崞山」、「崞縣」等條。 |</v>
      </c>
    </row>
    <row r="5542" spans="1:44" hidden="1">
      <c r="A5542" s="1" t="s">
        <v>10286</v>
      </c>
      <c r="C5542" s="1">
        <v>1</v>
      </c>
      <c r="D5542" s="1" t="str">
        <f>"04224"</f>
        <v>04224</v>
      </c>
      <c r="E5542" s="1" t="s">
        <v>129</v>
      </c>
      <c r="F5542" s="1">
        <v>12</v>
      </c>
      <c r="G5542" s="1">
        <v>9</v>
      </c>
      <c r="H5542" s="1">
        <v>2</v>
      </c>
      <c r="I5542" s="1" t="s">
        <v>10281</v>
      </c>
      <c r="K5542" s="1" t="str">
        <f t="shared" si="354"/>
        <v>ㄍ</v>
      </c>
      <c r="L5542" s="1" t="str">
        <f t="shared" si="355"/>
        <v>ㄨ</v>
      </c>
      <c r="M5542" s="1" t="str">
        <f t="shared" si="357"/>
        <v>ㄛ</v>
      </c>
      <c r="P5542" s="1" t="s">
        <v>20</v>
      </c>
      <c r="R5542" s="1" t="s">
        <v>10282</v>
      </c>
      <c r="V5542" s="1" t="s">
        <v>10287</v>
      </c>
      <c r="W5542" s="1" t="s">
        <v>10288</v>
      </c>
      <c r="AR5542" s="1" t="str">
        <f t="shared" si="356"/>
        <v>| [ㄍㄨㄛ](ㄍㄨㄛ.md) | [渦](渦.md) |  | guō | 參見「渦河」條。 |</v>
      </c>
    </row>
    <row r="5543" spans="1:44" hidden="1">
      <c r="A5543" s="1" t="s">
        <v>10289</v>
      </c>
      <c r="C5543" s="1">
        <v>1</v>
      </c>
      <c r="D5543" s="1" t="str">
        <f>"04225"</f>
        <v>04225</v>
      </c>
      <c r="E5543" s="1" t="s">
        <v>132</v>
      </c>
      <c r="F5543" s="1">
        <v>12</v>
      </c>
      <c r="G5543" s="1">
        <v>9</v>
      </c>
      <c r="H5543" s="1">
        <v>0</v>
      </c>
      <c r="I5543" s="1" t="s">
        <v>10281</v>
      </c>
      <c r="K5543" s="1" t="str">
        <f t="shared" si="354"/>
        <v>ㄍ</v>
      </c>
      <c r="L5543" s="1" t="str">
        <f t="shared" si="355"/>
        <v>ㄨ</v>
      </c>
      <c r="M5543" s="1" t="str">
        <f t="shared" si="357"/>
        <v>ㄛ</v>
      </c>
      <c r="P5543" s="1" t="s">
        <v>20</v>
      </c>
      <c r="R5543" s="1" t="s">
        <v>10282</v>
      </c>
      <c r="V5543" s="1" t="s">
        <v>10290</v>
      </c>
      <c r="AR5543" s="1" t="str">
        <f t="shared" si="356"/>
        <v>| [ㄍㄨㄛ](ㄍㄨㄛ.md) | [堝](堝.md) |  | guō | 參見「坩堝」條。 |</v>
      </c>
    </row>
    <row r="5544" spans="1:44" hidden="1">
      <c r="A5544" s="1" t="s">
        <v>10291</v>
      </c>
      <c r="C5544" s="1">
        <v>1</v>
      </c>
      <c r="D5544" s="1" t="str">
        <f>"04226"</f>
        <v>04226</v>
      </c>
      <c r="E5544" s="1" t="s">
        <v>558</v>
      </c>
      <c r="F5544" s="1">
        <v>13</v>
      </c>
      <c r="G5544" s="1">
        <v>9</v>
      </c>
      <c r="H5544" s="1">
        <v>2</v>
      </c>
      <c r="I5544" s="1" t="s">
        <v>10281</v>
      </c>
      <c r="K5544" s="1" t="str">
        <f t="shared" si="354"/>
        <v>ㄍ</v>
      </c>
      <c r="L5544" s="1" t="str">
        <f t="shared" si="355"/>
        <v>ㄨ</v>
      </c>
      <c r="M5544" s="1" t="str">
        <f t="shared" si="357"/>
        <v>ㄛ</v>
      </c>
      <c r="P5544" s="1" t="s">
        <v>20</v>
      </c>
      <c r="R5544" s="1" t="s">
        <v>10282</v>
      </c>
      <c r="V5544" s="1" t="s">
        <v>10292</v>
      </c>
      <c r="W5544" s="1" t="s">
        <v>10293</v>
      </c>
      <c r="AR5544" s="1" t="str">
        <f t="shared" si="356"/>
        <v>| [ㄍㄨㄛ](ㄍㄨㄛ.md) | [過](過.md) |  | guō | [名]
1.(一)之又音。
2.姓。如漢代有過晏。 |</v>
      </c>
    </row>
    <row r="5545" spans="1:44" hidden="1">
      <c r="A5545" s="1" t="s">
        <v>10294</v>
      </c>
      <c r="C5545" s="1">
        <v>1</v>
      </c>
      <c r="D5545" s="1" t="str">
        <f>"04227"</f>
        <v>04227</v>
      </c>
      <c r="E5545" s="1" t="s">
        <v>55</v>
      </c>
      <c r="F5545" s="1">
        <v>17</v>
      </c>
      <c r="G5545" s="1">
        <v>9</v>
      </c>
      <c r="H5545" s="1">
        <v>0</v>
      </c>
      <c r="I5545" s="1" t="s">
        <v>10281</v>
      </c>
      <c r="K5545" s="1" t="str">
        <f t="shared" si="354"/>
        <v>ㄍ</v>
      </c>
      <c r="L5545" s="1" t="str">
        <f t="shared" si="355"/>
        <v>ㄨ</v>
      </c>
      <c r="M5545" s="1" t="str">
        <f t="shared" si="357"/>
        <v>ㄛ</v>
      </c>
      <c r="P5545" s="1" t="s">
        <v>20</v>
      </c>
      <c r="R5545" s="1" t="s">
        <v>10282</v>
      </c>
      <c r="V5545" s="1" t="s">
        <v>10295</v>
      </c>
      <c r="AR5545" s="1" t="str">
        <f t="shared" si="356"/>
        <v>| [ㄍㄨㄛ](ㄍㄨㄛ.md) | [鍋](鍋.md) |  | guō | [名]
烹煮食物或加熱用的器具。如：「飯鍋」、「鍋爐」、「砂鍋」、「快鍋」。
[形]
屬於鍋子的。如：「鍋蓋」。 |</v>
      </c>
    </row>
    <row r="5546" spans="1:44" hidden="1">
      <c r="A5546" s="1" t="s">
        <v>10296</v>
      </c>
      <c r="C5546" s="1">
        <v>1</v>
      </c>
      <c r="D5546" s="1" t="str">
        <f>"04228"</f>
        <v>04228</v>
      </c>
      <c r="E5546" s="1" t="s">
        <v>28</v>
      </c>
      <c r="F5546" s="1">
        <v>14</v>
      </c>
      <c r="G5546" s="1">
        <v>11</v>
      </c>
      <c r="H5546" s="1">
        <v>0</v>
      </c>
      <c r="I5546" s="1" t="s">
        <v>10281</v>
      </c>
      <c r="K5546" s="1" t="str">
        <f t="shared" si="354"/>
        <v>ㄍ</v>
      </c>
      <c r="L5546" s="1" t="str">
        <f t="shared" si="355"/>
        <v>ㄨ</v>
      </c>
      <c r="M5546" s="1" t="str">
        <f t="shared" si="357"/>
        <v>ㄛ</v>
      </c>
      <c r="P5546" s="1" t="s">
        <v>20</v>
      </c>
      <c r="R5546" s="1" t="s">
        <v>10282</v>
      </c>
      <c r="V5546" s="1" t="s">
        <v>10297</v>
      </c>
      <c r="AR5546" s="1" t="str">
        <f t="shared" si="356"/>
        <v>| [ㄍㄨㄛ](ㄍㄨㄛ.md) | [嘓](嘓.md) |  | guō | 參見「嘓都嘓都」、「嘓嘓」等條。 |</v>
      </c>
    </row>
    <row r="5547" spans="1:44" hidden="1">
      <c r="A5547" s="1" t="s">
        <v>10298</v>
      </c>
      <c r="C5547" s="1">
        <v>1</v>
      </c>
      <c r="D5547" s="1" t="str">
        <f>"04229"</f>
        <v>04229</v>
      </c>
      <c r="E5547" s="1" t="s">
        <v>679</v>
      </c>
      <c r="F5547" s="1">
        <v>17</v>
      </c>
      <c r="G5547" s="1">
        <v>11</v>
      </c>
      <c r="H5547" s="1">
        <v>0</v>
      </c>
      <c r="I5547" s="1" t="s">
        <v>10281</v>
      </c>
      <c r="K5547" s="1" t="str">
        <f t="shared" si="354"/>
        <v>ㄍ</v>
      </c>
      <c r="L5547" s="1" t="str">
        <f t="shared" si="355"/>
        <v>ㄨ</v>
      </c>
      <c r="M5547" s="1" t="str">
        <f t="shared" si="357"/>
        <v>ㄛ</v>
      </c>
      <c r="P5547" s="1" t="s">
        <v>20</v>
      </c>
      <c r="R5547" s="1" t="s">
        <v>10282</v>
      </c>
      <c r="V5547" s="1" t="s">
        <v>10299</v>
      </c>
      <c r="AR5547" s="1" t="str">
        <f t="shared" si="356"/>
        <v>| [ㄍㄨㄛ](ㄍㄨㄛ.md) | [蟈](蟈.md) |  | guō | 參見「蟈蟈兒」、「螻蟈」等條。 |</v>
      </c>
    </row>
    <row r="5548" spans="1:44" hidden="1">
      <c r="A5548" s="1" t="s">
        <v>10300</v>
      </c>
      <c r="C5548" s="1">
        <v>1</v>
      </c>
      <c r="D5548" s="1" t="str">
        <f>"04230"</f>
        <v>04230</v>
      </c>
      <c r="E5548" s="1" t="s">
        <v>2557</v>
      </c>
      <c r="F5548" s="1">
        <v>11</v>
      </c>
      <c r="G5548" s="1">
        <v>8</v>
      </c>
      <c r="H5548" s="1">
        <v>0</v>
      </c>
      <c r="I5548" s="1" t="s">
        <v>10301</v>
      </c>
      <c r="K5548" s="1" t="str">
        <f t="shared" si="354"/>
        <v>ㄍ</v>
      </c>
      <c r="L5548" s="1" t="str">
        <f t="shared" si="355"/>
        <v>ㄨ</v>
      </c>
      <c r="M5548" s="1" t="str">
        <f t="shared" si="357"/>
        <v>ㄛ</v>
      </c>
      <c r="P5548" s="1" t="s">
        <v>20</v>
      </c>
      <c r="R5548" s="1" t="s">
        <v>10302</v>
      </c>
      <c r="V5548" s="1" t="s">
        <v>10303</v>
      </c>
      <c r="AR5548" s="1" t="str">
        <f t="shared" si="356"/>
        <v>| [ㄍㄨㄛˊ](ㄍㄨㄛˊ.md) | [國](國.md) |  | guó | [名]
1.古代稱諸侯或君王的封地為「國」。如：「魯國」、「齊國」。《易經．師卦．上六》：「大君有命，開國承家，小人勿用。」唐．柳宗元〈封建論〉：「漢興，天子之政行於郡，不行於國，制其守宰，不制其侯王。」
2.有土地、人民、主權的團體。如：「中國」、「美國」。
3.城市。《孟子．離婁下》：「遍國中無與立談者。」
4.地方。如：「水鄉澤國」。唐．王維〈相思〉詩：「紅豆生南國，秋來發故枝。」
5.姓。如春秋時齊國有國佐。
[形]
1.代表國家的。如：「國旗」、「國歌」。
2.本國的。如：「國人」、「國土」、「愛用國貨」。 |</v>
      </c>
    </row>
    <row r="5549" spans="1:44" hidden="1">
      <c r="A5549" s="1" t="s">
        <v>10304</v>
      </c>
      <c r="C5549" s="1">
        <v>1</v>
      </c>
      <c r="D5549" s="1" t="str">
        <f>"04231"</f>
        <v>04231</v>
      </c>
      <c r="E5549" s="1" t="s">
        <v>2419</v>
      </c>
      <c r="F5549" s="1">
        <v>14</v>
      </c>
      <c r="G5549" s="1">
        <v>8</v>
      </c>
      <c r="H5549" s="1">
        <v>0</v>
      </c>
      <c r="I5549" s="1" t="s">
        <v>10301</v>
      </c>
      <c r="K5549" s="1" t="str">
        <f t="shared" si="354"/>
        <v>ㄍ</v>
      </c>
      <c r="L5549" s="1" t="str">
        <f t="shared" si="355"/>
        <v>ㄨ</v>
      </c>
      <c r="M5549" s="1" t="str">
        <f t="shared" si="357"/>
        <v>ㄛ</v>
      </c>
      <c r="P5549" s="1" t="s">
        <v>20</v>
      </c>
      <c r="R5549" s="1" t="s">
        <v>10302</v>
      </c>
      <c r="V5549" s="1" t="s">
        <v>10305</v>
      </c>
      <c r="AR5549" s="1" t="str">
        <f t="shared" si="356"/>
        <v>| [ㄍㄨㄛˊ](ㄍㄨㄛˊ.md) | [聝](聝.md) |  | guó | 同「馘」。 |</v>
      </c>
    </row>
    <row r="5550" spans="1:44" hidden="1">
      <c r="A5550" s="1" t="s">
        <v>10306</v>
      </c>
      <c r="C5550" s="1">
        <v>1</v>
      </c>
      <c r="D5550" s="1" t="str">
        <f>"04232"</f>
        <v>04232</v>
      </c>
      <c r="E5550" s="1" t="s">
        <v>24</v>
      </c>
      <c r="F5550" s="1">
        <v>14</v>
      </c>
      <c r="G5550" s="1">
        <v>11</v>
      </c>
      <c r="H5550" s="1">
        <v>0</v>
      </c>
      <c r="I5550" s="1" t="s">
        <v>10301</v>
      </c>
      <c r="K5550" s="1" t="str">
        <f t="shared" si="354"/>
        <v>ㄍ</v>
      </c>
      <c r="L5550" s="1" t="str">
        <f t="shared" si="355"/>
        <v>ㄨ</v>
      </c>
      <c r="M5550" s="1" t="str">
        <f t="shared" si="357"/>
        <v>ㄛ</v>
      </c>
      <c r="P5550" s="1" t="s">
        <v>20</v>
      </c>
      <c r="R5550" s="1" t="s">
        <v>10302</v>
      </c>
      <c r="V5550" s="1" t="s">
        <v>10307</v>
      </c>
      <c r="AR5550" s="1" t="str">
        <f t="shared" si="356"/>
        <v>| [ㄍㄨㄛˊ](ㄍㄨㄛˊ.md) | [摑](摑.md) |  | guó | [動]
用手掌打人的臉。如：「摑了他一巴掌。」 |</v>
      </c>
    </row>
    <row r="5551" spans="1:44" hidden="1">
      <c r="A5551" s="1" t="s">
        <v>10308</v>
      </c>
      <c r="C5551" s="1">
        <v>1</v>
      </c>
      <c r="D5551" s="1" t="str">
        <f>"04233"</f>
        <v>04233</v>
      </c>
      <c r="E5551" s="1" t="s">
        <v>222</v>
      </c>
      <c r="F5551" s="1">
        <v>14</v>
      </c>
      <c r="G5551" s="1">
        <v>11</v>
      </c>
      <c r="H5551" s="1">
        <v>0</v>
      </c>
      <c r="I5551" s="1" t="s">
        <v>10301</v>
      </c>
      <c r="K5551" s="1" t="str">
        <f t="shared" si="354"/>
        <v>ㄍ</v>
      </c>
      <c r="L5551" s="1" t="str">
        <f t="shared" si="355"/>
        <v>ㄨ</v>
      </c>
      <c r="M5551" s="1" t="str">
        <f t="shared" si="357"/>
        <v>ㄛ</v>
      </c>
      <c r="P5551" s="1" t="s">
        <v>20</v>
      </c>
      <c r="R5551" s="1" t="s">
        <v>10302</v>
      </c>
      <c r="V5551" s="1" t="s">
        <v>10309</v>
      </c>
      <c r="AR5551" s="1" t="str">
        <f t="shared" si="356"/>
        <v>| [ㄍㄨㄛˊ](ㄍㄨㄛˊ.md) | [幗](幗.md) |  | guó | [名]
1.古代婦女頭上的巾帕、髮飾。清．鄭珍《說文新附考》卷三：「幗，婦人首飾。」《晉書．卷二五．輿服志》：「公特進侯卿校世婦、中二千石二千石夫人紺繒幗。」唐．李白〈贈張相鎬〉詩二首之一：「醜虜安足紀，可貽幗與巾。」
2.參見「巾幗」條。 |</v>
      </c>
    </row>
    <row r="5552" spans="1:44" hidden="1">
      <c r="A5552" s="1" t="s">
        <v>10310</v>
      </c>
      <c r="C5552" s="1">
        <v>1</v>
      </c>
      <c r="D5552" s="1" t="str">
        <f>"04234"</f>
        <v>04234</v>
      </c>
      <c r="E5552" s="1" t="s">
        <v>10311</v>
      </c>
      <c r="F5552" s="1">
        <v>17</v>
      </c>
      <c r="G5552" s="1">
        <v>8</v>
      </c>
      <c r="H5552" s="1">
        <v>1</v>
      </c>
      <c r="I5552" s="1" t="s">
        <v>10301</v>
      </c>
      <c r="K5552" s="1" t="str">
        <f t="shared" si="354"/>
        <v>ㄍ</v>
      </c>
      <c r="L5552" s="1" t="str">
        <f t="shared" si="355"/>
        <v>ㄨ</v>
      </c>
      <c r="M5552" s="1" t="str">
        <f t="shared" si="357"/>
        <v>ㄛ</v>
      </c>
      <c r="P5552" s="1" t="s">
        <v>20</v>
      </c>
      <c r="R5552" s="1" t="s">
        <v>10302</v>
      </c>
      <c r="V5552" s="1" t="s">
        <v>10312</v>
      </c>
      <c r="W5552" s="1" t="s">
        <v>10313</v>
      </c>
      <c r="AR5552" s="1" t="str">
        <f t="shared" si="356"/>
        <v>| [ㄍㄨㄛˊ](ㄍㄨㄛˊ.md) | [馘](馘.md) |  | guó | [動]
古代戰爭時割取敵人左耳以獻功。《左傳．宣公二年》：「俘二百五十人，馘百人。」唐．太宗〈令諸州剗削京觀詔〉：「鋒刃之下，恣情翦馘。」
[名]
被割下的左耳。《詩經．魯頌．泮水》：「矯矯虎臣，在泮獻馘。」《左傳．僖公二十八年》：「獻俘授馘，飲至大賞。」 |</v>
      </c>
    </row>
    <row r="5553" spans="1:44" hidden="1">
      <c r="A5553" s="1" t="s">
        <v>10314</v>
      </c>
      <c r="C5553" s="1">
        <v>1</v>
      </c>
      <c r="D5553" s="1" t="str">
        <f>"04235"</f>
        <v>04235</v>
      </c>
      <c r="E5553" s="1" t="s">
        <v>660</v>
      </c>
      <c r="F5553" s="1">
        <v>15</v>
      </c>
      <c r="G5553" s="1">
        <v>9</v>
      </c>
      <c r="H5553" s="1">
        <v>0</v>
      </c>
      <c r="I5553" s="1" t="s">
        <v>10301</v>
      </c>
      <c r="K5553" s="1" t="str">
        <f t="shared" si="354"/>
        <v>ㄍ</v>
      </c>
      <c r="L5553" s="1" t="str">
        <f t="shared" si="355"/>
        <v>ㄨ</v>
      </c>
      <c r="M5553" s="1" t="str">
        <f t="shared" si="357"/>
        <v>ㄛ</v>
      </c>
      <c r="P5553" s="1" t="s">
        <v>20</v>
      </c>
      <c r="R5553" s="1" t="s">
        <v>10302</v>
      </c>
      <c r="V5553" s="1" t="s">
        <v>10315</v>
      </c>
      <c r="AR5553" s="1" t="str">
        <f t="shared" si="356"/>
        <v>| [ㄍㄨㄛˊ](ㄍㄨㄛˊ.md) | [虢](虢.md) |  | guó | [名]
1.國名。周代所建：(1)西虢。周文王之弟虢仲的封地，故址約在今大陸地區陝西省寶雞縣。平王東遷，西虢徙至上陽，稱為「南虢」，故址在今大陸地區河南省陝縣東南。(2)東虢。周文王之弟虢叔的封地，故址在今河南省滎陽縣。(3)北虢。虢仲後裔的封地，故址在今大陸地區山西省平陸縣。
2.姓。如春秋時晉國有虢射。 |</v>
      </c>
    </row>
    <row r="5554" spans="1:44" hidden="1">
      <c r="A5554" s="1" t="s">
        <v>10316</v>
      </c>
      <c r="C5554" s="1">
        <v>1</v>
      </c>
      <c r="D5554" s="1" t="str">
        <f>"04236"</f>
        <v>04236</v>
      </c>
      <c r="E5554" s="1" t="s">
        <v>129</v>
      </c>
      <c r="F5554" s="1">
        <v>18</v>
      </c>
      <c r="G5554" s="1">
        <v>15</v>
      </c>
      <c r="H5554" s="1">
        <v>0</v>
      </c>
      <c r="I5554" s="1" t="s">
        <v>10301</v>
      </c>
      <c r="K5554" s="1" t="str">
        <f t="shared" si="354"/>
        <v>ㄍ</v>
      </c>
      <c r="L5554" s="1" t="str">
        <f t="shared" si="355"/>
        <v>ㄨ</v>
      </c>
      <c r="M5554" s="1" t="str">
        <f t="shared" si="357"/>
        <v>ㄛ</v>
      </c>
      <c r="P5554" s="1" t="s">
        <v>20</v>
      </c>
      <c r="R5554" s="1" t="s">
        <v>10302</v>
      </c>
      <c r="V5554" s="1" t="s">
        <v>10317</v>
      </c>
      <c r="AR5554" s="1" t="str">
        <f t="shared" si="356"/>
        <v>| [ㄍㄨㄛˊ](ㄍㄨㄛˊ.md) | [㶁](㶁.md) |  | guó | 參見「㶁㶁」條。 |</v>
      </c>
    </row>
    <row r="5555" spans="1:44" hidden="1">
      <c r="A5555" s="1" t="s">
        <v>10318</v>
      </c>
      <c r="C5555" s="1">
        <v>1</v>
      </c>
      <c r="D5555" s="1" t="str">
        <f>"04237"</f>
        <v>04237</v>
      </c>
      <c r="E5555" s="1" t="s">
        <v>139</v>
      </c>
      <c r="F5555" s="1">
        <v>8</v>
      </c>
      <c r="G5555" s="1">
        <v>4</v>
      </c>
      <c r="H5555" s="1">
        <v>0</v>
      </c>
      <c r="I5555" s="1" t="s">
        <v>10319</v>
      </c>
      <c r="K5555" s="1" t="str">
        <f t="shared" si="354"/>
        <v>ㄍ</v>
      </c>
      <c r="L5555" s="1" t="str">
        <f t="shared" si="355"/>
        <v>ㄨ</v>
      </c>
      <c r="M5555" s="1" t="str">
        <f t="shared" si="357"/>
        <v>ㄛ</v>
      </c>
      <c r="P5555" s="1" t="s">
        <v>20</v>
      </c>
      <c r="R5555" s="1" t="s">
        <v>10320</v>
      </c>
      <c r="V5555" s="1" t="s">
        <v>10321</v>
      </c>
      <c r="AR5555" s="1" t="str">
        <f t="shared" si="356"/>
        <v>| [ㄍㄨㄛˇ](ㄍㄨㄛˇ.md) | [果](果.md) |  | guǒ | [名]
1.植物所結的實。如：「水果」、「乾果」。《韓非子．五蠹》：「民食果、蓏、蚌、蛤，腥、臊、惡、臭，而傷害腹胃，民多疾病。」
2.事情的成效或結局。如：「成果」、「惡果」、「自食其果」、「前因後果」。
3.姓。如明代有果琳。
[動]
1.飽、充實。如：「果腹」。
2.實現。晉．陶淵明〈桃花源記〉：「南陽劉子驥，高尚士也，聞之欣然，親往。未果，尋病終。」《聊齋志異．卷一．嬌娜》：「又慮翁媼不肯離幼子，終日言義不果。」
[形]
堅決。《論語．子路》：「言必信，行必果。」《三國志．卷一〇．魏書．荀彧傳》：「審配專而無謀，逢紀果而自用。」
[副]
確實、的確。《戰國策．楚策一》：「齊之反趙、魏之後，而楚果弗與地，則五國之事困也。」《禮記．中庸》：「果能此道矣，雖愚必明，雖柔必強。」
[連]
假若、若是。《史記．卷四三．趙世家》：「是以聖人果可以利其國，不一其用。」 |</v>
      </c>
    </row>
    <row r="5556" spans="1:44" hidden="1">
      <c r="A5556" s="1" t="s">
        <v>10322</v>
      </c>
      <c r="C5556" s="1">
        <v>1</v>
      </c>
      <c r="D5556" s="1" t="str">
        <f>"04238"</f>
        <v>04238</v>
      </c>
      <c r="E5556" s="1" t="s">
        <v>198</v>
      </c>
      <c r="F5556" s="1">
        <v>11</v>
      </c>
      <c r="G5556" s="1">
        <v>8</v>
      </c>
      <c r="H5556" s="1">
        <v>0</v>
      </c>
      <c r="I5556" s="1" t="s">
        <v>10319</v>
      </c>
      <c r="K5556" s="1" t="str">
        <f t="shared" si="354"/>
        <v>ㄍ</v>
      </c>
      <c r="L5556" s="1" t="str">
        <f t="shared" si="355"/>
        <v>ㄨ</v>
      </c>
      <c r="M5556" s="1" t="str">
        <f t="shared" si="357"/>
        <v>ㄛ</v>
      </c>
      <c r="P5556" s="1" t="s">
        <v>20</v>
      </c>
      <c r="R5556" s="1" t="s">
        <v>10320</v>
      </c>
      <c r="V5556" s="1" t="s">
        <v>10323</v>
      </c>
      <c r="AR5556" s="1" t="str">
        <f t="shared" si="356"/>
        <v>| [ㄍㄨㄛˇ](ㄍㄨㄛˇ.md) | [猓](猓.md) |  | guǒ | 參見「猓玀」、「猓猓」等條。 |</v>
      </c>
    </row>
    <row r="5557" spans="1:44" hidden="1">
      <c r="A5557" s="1" t="s">
        <v>10324</v>
      </c>
      <c r="C5557" s="1">
        <v>1</v>
      </c>
      <c r="D5557" s="1" t="str">
        <f>"04239"</f>
        <v>04239</v>
      </c>
      <c r="E5557" s="1" t="s">
        <v>46</v>
      </c>
      <c r="F5557" s="1">
        <v>14</v>
      </c>
      <c r="G5557" s="1">
        <v>8</v>
      </c>
      <c r="H5557" s="1">
        <v>0</v>
      </c>
      <c r="I5557" s="1" t="s">
        <v>10319</v>
      </c>
      <c r="K5557" s="1" t="str">
        <f t="shared" si="354"/>
        <v>ㄍ</v>
      </c>
      <c r="L5557" s="1" t="str">
        <f t="shared" si="355"/>
        <v>ㄨ</v>
      </c>
      <c r="M5557" s="1" t="str">
        <f t="shared" si="357"/>
        <v>ㄛ</v>
      </c>
      <c r="P5557" s="1" t="s">
        <v>20</v>
      </c>
      <c r="R5557" s="1" t="s">
        <v>10320</v>
      </c>
      <c r="V5557" s="1" t="s">
        <v>10325</v>
      </c>
      <c r="AR5557" s="1" t="str">
        <f t="shared" si="356"/>
        <v>| [ㄍㄨㄛˇ](ㄍㄨㄛˇ.md) | [粿](粿.md) |  | guǒ | [名]_x000D_
1.用米製成的食品或糕點。元．王禎《農書．穀譜．集八．果屬．銀杏》：「惟炮煮作粿食為美。」明．陳嘉謨《本草蒙筌．卷三．草部下．佛耳草》：「夏開花黃色，葉與馬齒莧類，細小微有白毛，俗呼黃蒿。人每收採搗爛，和米粉作粿，柔韌而香美可嘗。」_x000D_
2.民間常見的食品。用米或其他食材製成，口味多種。如：「芋粿」、「粉粿」、「碗粿」、「油蔥粿」。 |</v>
      </c>
    </row>
    <row r="5558" spans="1:44" hidden="1">
      <c r="A5558" s="1" t="s">
        <v>10326</v>
      </c>
      <c r="C5558" s="1">
        <v>1</v>
      </c>
      <c r="D5558" s="1" t="str">
        <f>"04240"</f>
        <v>04240</v>
      </c>
      <c r="E5558" s="1" t="s">
        <v>340</v>
      </c>
      <c r="F5558" s="1">
        <v>14</v>
      </c>
      <c r="G5558" s="1">
        <v>8</v>
      </c>
      <c r="H5558" s="1">
        <v>0</v>
      </c>
      <c r="I5558" s="1" t="s">
        <v>10319</v>
      </c>
      <c r="K5558" s="1" t="str">
        <f t="shared" si="354"/>
        <v>ㄍ</v>
      </c>
      <c r="L5558" s="1" t="str">
        <f t="shared" si="355"/>
        <v>ㄨ</v>
      </c>
      <c r="M5558" s="1" t="str">
        <f t="shared" si="357"/>
        <v>ㄛ</v>
      </c>
      <c r="P5558" s="1" t="s">
        <v>20</v>
      </c>
      <c r="R5558" s="1" t="s">
        <v>10320</v>
      </c>
      <c r="V5558" s="1" t="s">
        <v>10327</v>
      </c>
      <c r="AR5558" s="1" t="str">
        <f t="shared" si="356"/>
        <v>| [ㄍㄨㄛˇ](ㄍㄨㄛˇ.md) | [裹](裹.md) |  | guǒ | [動]
1.纏繞、包紮。如：「裹傷口」。《兒女英雄傳》第二八回：「一手把著新郎的手，用一根紅紙裹的新秤桿兒，把那塊蓋頭往下一挑。」
2.包羅、囊括。《呂氏春秋．孟春紀．本生》：「其於物無不受也，無不裹也，若天地然。」
[名]
包封的物品。如：「今天郵差送來一件包裹。」 |</v>
      </c>
    </row>
    <row r="5559" spans="1:44" hidden="1">
      <c r="A5559" s="1" t="s">
        <v>10328</v>
      </c>
      <c r="C5559" s="1">
        <v>1</v>
      </c>
      <c r="D5559" s="1" t="str">
        <f>"04241"</f>
        <v>04241</v>
      </c>
      <c r="E5559" s="1" t="s">
        <v>679</v>
      </c>
      <c r="F5559" s="1">
        <v>14</v>
      </c>
      <c r="G5559" s="1">
        <v>8</v>
      </c>
      <c r="H5559" s="1">
        <v>0</v>
      </c>
      <c r="I5559" s="1" t="s">
        <v>10319</v>
      </c>
      <c r="K5559" s="1" t="str">
        <f t="shared" si="354"/>
        <v>ㄍ</v>
      </c>
      <c r="L5559" s="1" t="str">
        <f t="shared" si="355"/>
        <v>ㄨ</v>
      </c>
      <c r="M5559" s="1" t="str">
        <f t="shared" si="357"/>
        <v>ㄛ</v>
      </c>
      <c r="P5559" s="1" t="s">
        <v>20</v>
      </c>
      <c r="R5559" s="1" t="s">
        <v>10320</v>
      </c>
      <c r="V5559" s="1" t="s">
        <v>9281</v>
      </c>
      <c r="AR5559" s="1" t="str">
        <f t="shared" si="356"/>
        <v>| [ㄍㄨㄛˇ](ㄍㄨㄛˇ.md) | [蜾](蜾.md) |  | guǒ | 參見「蜾蠃」條。 |</v>
      </c>
    </row>
    <row r="5560" spans="1:44" hidden="1">
      <c r="A5560" s="1" t="s">
        <v>10329</v>
      </c>
      <c r="C5560" s="1">
        <v>1</v>
      </c>
      <c r="D5560" s="1" t="str">
        <f>"04242"</f>
        <v>04242</v>
      </c>
      <c r="E5560" s="1" t="s">
        <v>71</v>
      </c>
      <c r="F5560" s="1">
        <v>15</v>
      </c>
      <c r="G5560" s="1">
        <v>8</v>
      </c>
      <c r="H5560" s="1">
        <v>0</v>
      </c>
      <c r="I5560" s="1" t="s">
        <v>10319</v>
      </c>
      <c r="K5560" s="1" t="str">
        <f t="shared" si="354"/>
        <v>ㄍ</v>
      </c>
      <c r="L5560" s="1" t="str">
        <f t="shared" si="355"/>
        <v>ㄨ</v>
      </c>
      <c r="M5560" s="1" t="str">
        <f t="shared" si="357"/>
        <v>ㄛ</v>
      </c>
      <c r="P5560" s="1" t="s">
        <v>20</v>
      </c>
      <c r="R5560" s="1" t="s">
        <v>10320</v>
      </c>
      <c r="V5560" s="1" t="s">
        <v>10330</v>
      </c>
      <c r="AR5560" s="1" t="str">
        <f t="shared" si="356"/>
        <v>| [ㄍㄨㄛˇ](ㄍㄨㄛˇ.md) | [輠](輠.md) |  | guǒ | [名]
車上的盛油器，用來塗軸，可使車軸潤滑容易運轉。《集韻．上聲．果韻》：「輠，筩也，車盛膏器。」 |</v>
      </c>
    </row>
    <row r="5561" spans="1:44" hidden="1">
      <c r="A5561" s="1" t="s">
        <v>10331</v>
      </c>
      <c r="C5561" s="1">
        <v>1</v>
      </c>
      <c r="D5561" s="1" t="str">
        <f>"04243"</f>
        <v>04243</v>
      </c>
      <c r="E5561" s="1" t="s">
        <v>193</v>
      </c>
      <c r="F5561" s="1">
        <v>16</v>
      </c>
      <c r="G5561" s="1">
        <v>8</v>
      </c>
      <c r="H5561" s="1">
        <v>0</v>
      </c>
      <c r="I5561" s="1" t="s">
        <v>10319</v>
      </c>
      <c r="K5561" s="1" t="str">
        <f t="shared" si="354"/>
        <v>ㄍ</v>
      </c>
      <c r="L5561" s="1" t="str">
        <f t="shared" si="355"/>
        <v>ㄨ</v>
      </c>
      <c r="M5561" s="1" t="str">
        <f t="shared" si="357"/>
        <v>ㄛ</v>
      </c>
      <c r="P5561" s="1" t="s">
        <v>20</v>
      </c>
      <c r="R5561" s="1" t="s">
        <v>10320</v>
      </c>
      <c r="V5561" s="1" t="s">
        <v>10332</v>
      </c>
      <c r="AR5561" s="1" t="str">
        <f t="shared" si="356"/>
        <v>| [ㄍㄨㄛˇ](ㄍㄨㄛˇ.md) | [餜](餜.md) |  | guǒ | [名]
米麵製成的食品。如：「清明餜」、「蠶繭餜」、「油炸餜」。 |</v>
      </c>
    </row>
    <row r="5562" spans="1:44" hidden="1">
      <c r="A5562" s="1" t="s">
        <v>10333</v>
      </c>
      <c r="C5562" s="1">
        <v>1</v>
      </c>
      <c r="D5562" s="1" t="str">
        <f>"04244"</f>
        <v>04244</v>
      </c>
      <c r="E5562" s="1" t="s">
        <v>139</v>
      </c>
      <c r="F5562" s="1">
        <v>15</v>
      </c>
      <c r="G5562" s="1">
        <v>11</v>
      </c>
      <c r="H5562" s="1">
        <v>0</v>
      </c>
      <c r="I5562" s="1" t="s">
        <v>10319</v>
      </c>
      <c r="K5562" s="1" t="str">
        <f t="shared" si="354"/>
        <v>ㄍ</v>
      </c>
      <c r="L5562" s="1" t="str">
        <f t="shared" si="355"/>
        <v>ㄨ</v>
      </c>
      <c r="M5562" s="1" t="str">
        <f t="shared" si="357"/>
        <v>ㄛ</v>
      </c>
      <c r="P5562" s="1" t="s">
        <v>20</v>
      </c>
      <c r="R5562" s="1" t="s">
        <v>10320</v>
      </c>
      <c r="V5562" s="1" t="s">
        <v>10334</v>
      </c>
      <c r="AR5562" s="1" t="str">
        <f t="shared" si="356"/>
        <v>| [ㄍㄨㄛˇ](ㄍㄨㄛˇ.md) | [槨](槨.md) |  | guǒ | [名]
棺材外面的套棺。如：「棺槨」。《西京雜記》卷六：「魏襄王冢，皆以文石為槨，高八尺許，廣狹容四十人。」 |</v>
      </c>
    </row>
    <row r="5563" spans="1:44" hidden="1">
      <c r="A5563" s="1" t="s">
        <v>10291</v>
      </c>
      <c r="C5563" s="1">
        <v>1</v>
      </c>
      <c r="D5563" s="1" t="str">
        <f>"04245"</f>
        <v>04245</v>
      </c>
      <c r="E5563" s="1" t="s">
        <v>558</v>
      </c>
      <c r="F5563" s="1">
        <v>13</v>
      </c>
      <c r="G5563" s="1">
        <v>9</v>
      </c>
      <c r="H5563" s="1">
        <v>1</v>
      </c>
      <c r="I5563" s="1" t="s">
        <v>10335</v>
      </c>
      <c r="K5563" s="1" t="str">
        <f t="shared" si="354"/>
        <v>ㄍ</v>
      </c>
      <c r="L5563" s="1" t="str">
        <f t="shared" si="355"/>
        <v>ㄨ</v>
      </c>
      <c r="M5563" s="1" t="str">
        <f t="shared" si="357"/>
        <v>ㄛ</v>
      </c>
      <c r="P5563" s="1" t="s">
        <v>20</v>
      </c>
      <c r="R5563" s="1" t="s">
        <v>10336</v>
      </c>
      <c r="V5563" s="1" t="s">
        <v>10337</v>
      </c>
      <c r="W5563" s="1" t="s">
        <v>10338</v>
      </c>
      <c r="AR5563" s="1" t="str">
        <f t="shared" si="356"/>
        <v>| [ㄍㄨㄛˋ](ㄍㄨㄛˋ.md) | [過](過.md) |  | guò | [動]
1.經、歷。《論語．憲問》：「子擊磬於衛，有荷蕢而過孔氏之門者。」唐．劉禹錫〈酬樂天揚州初逢席上見贈〉詩：「沉舟側畔千帆過，病樹前頭萬木春。」
2.度。如：「過節」、「過生日」。唐．杜荀鶴〈亂後宿南陵廢寺寄沈明府〉詩：「男兒仗劍酬恩在，未肯徒然過一生。」
3.超出、超越。如：「過分」、「過期」。《論語．公冶長》：「由也好勇過我，無所取材。」《文選．曹植．白馬篇》：「狡捷過猴猿，勇剽若豹螭。」
4.去。漢．曹操〈精列〉詩：「年之暮，奈何時過，時來微。」唐．杜甫〈阻雨不得歸瀼西甘林〉詩：「三伏適已過，驕陽化為霖。」
5.死亡、逝世。如：「過世」。《文選．曹植．贈白馬王彪詩》：「存者忽復過，亡沒身自衰。」《二十年目睹之怪現狀》第五回：「說是劉老爺子接了家報，老太太過了。」
6.轉移。如：「過戶」、「過帳」。
7.忍受、領受。如：「難過」、「心裡不好過。」
8.拜訪。《史記．卷七七．魏公子傳》：「臣有客在市屠中，願枉車騎過之。」清．魏禧〈大鐵椎傳〉：「(高信之)長子燦七歲，少同學，故嘗與過宋將軍。」
[副]
太、甚。如：「過獎」。唐．韓愈〈圬者王承福傳〉：「然吾有饑焉，謂其自為也過多，其為人也過少。」《紅樓夢》第五六回：「這是老太太過謙了！」
[名]
1.錯誤。如：「不貳過」、「知過能改」、「勇於改過」。《商君書．開塞》：「夫過有厚薄，則刑有輕重。」《孟子．公孫丑下》：「然則盛人且有過與？」
2.量詞。計算動作次數的單位。晉．陸雲〈與兄平原書〉：「前後讀兄文，一再過，便上口語。」《清史稿．卷四八六．文苑傳三．何紹基傳》：「初學顏真卿，遍臨漢、魏各碑至千百過。」
[助]
1.與「來」、「去」等連用，表示動作的趨向。如：「走過來」、「跳過去」。
2.用於動詞後，表示曾經或已經的意思。如：「看過」、「聽過」、「付過帳」、「吃過晚餐」。 |</v>
      </c>
    </row>
    <row r="5564" spans="1:44" hidden="1">
      <c r="A5564" s="1" t="s">
        <v>10339</v>
      </c>
      <c r="C5564" s="1">
        <v>1</v>
      </c>
      <c r="D5564" s="1" t="str">
        <f>"04246"</f>
        <v>04246</v>
      </c>
      <c r="E5564" s="1" t="s">
        <v>1663</v>
      </c>
      <c r="F5564" s="1">
        <v>8</v>
      </c>
      <c r="G5564" s="1">
        <v>7</v>
      </c>
      <c r="H5564" s="1">
        <v>0</v>
      </c>
      <c r="I5564" s="1" t="s">
        <v>10340</v>
      </c>
      <c r="K5564" s="1" t="str">
        <f t="shared" si="354"/>
        <v>ㄍ</v>
      </c>
      <c r="L5564" s="1" t="str">
        <f t="shared" si="355"/>
        <v>ㄨ</v>
      </c>
      <c r="M5564" s="1" t="str">
        <f t="shared" si="357"/>
        <v>ㄞ</v>
      </c>
      <c r="P5564" s="1" t="s">
        <v>20</v>
      </c>
      <c r="R5564" s="1" t="s">
        <v>10341</v>
      </c>
      <c r="V5564" s="1" t="s">
        <v>10342</v>
      </c>
      <c r="AR5564" s="1" t="str">
        <f t="shared" si="356"/>
        <v>| [ㄍㄨㄞ](ㄍㄨㄞ.md) | [乖](乖.md) |  | guāi | [形]
1.彆扭、性情怪異。如：「乖僻」、「乖戾」。
2.形容懂事、聽話。如：「乖巧」、「這孩子真乖！」
[動]
1.違背、不合。如：「名實相乖」。唐．韓愈〈五箴．行箴〉：「行與義乖，言與法違。」
2.分離。《史記．卷一一〇．匈奴傳》：「漢使兩使者，一弔單于，一弔右賢王，欲以乖國。」《聊齋志異．卷二．鳳陽士人》：「鸞鳳久乖，圓在今夕。」
[名]
聰明、機伶。如：「賣乖」、「上一次當，學一次乖。」《文明小史》第二九回：「原來如此！這樣辦法，俺也學著個乖了。」 |</v>
      </c>
    </row>
    <row r="5565" spans="1:44" hidden="1">
      <c r="A5565" s="1" t="s">
        <v>10343</v>
      </c>
      <c r="C5565" s="1">
        <v>1</v>
      </c>
      <c r="D5565" s="1" t="str">
        <f>"04247"</f>
        <v>04247</v>
      </c>
      <c r="E5565" s="1" t="s">
        <v>286</v>
      </c>
      <c r="F5565" s="1">
        <v>11</v>
      </c>
      <c r="G5565" s="1">
        <v>9</v>
      </c>
      <c r="H5565" s="1">
        <v>0</v>
      </c>
      <c r="I5565" s="1" t="s">
        <v>10340</v>
      </c>
      <c r="K5565" s="1" t="str">
        <f t="shared" si="354"/>
        <v>ㄍ</v>
      </c>
      <c r="L5565" s="1" t="str">
        <f t="shared" si="355"/>
        <v>ㄨ</v>
      </c>
      <c r="M5565" s="1" t="str">
        <f t="shared" si="357"/>
        <v>ㄞ</v>
      </c>
      <c r="P5565" s="1" t="s">
        <v>20</v>
      </c>
      <c r="R5565" s="1" t="s">
        <v>10341</v>
      </c>
      <c r="V5565" s="1" t="s">
        <v>10344</v>
      </c>
      <c r="AR5565" s="1" t="str">
        <f t="shared" si="356"/>
        <v>| [ㄍㄨㄞ](ㄍㄨㄞ.md) | [𠦬](𠦬.md) |  | guāi | [名]
背脊。《說文解字．垂部》：「𠦬，背呂也。」清．段玉裁．注：「猶俗云背脊也。」 |</v>
      </c>
    </row>
    <row r="5566" spans="1:44" hidden="1">
      <c r="A5566" s="1" t="s">
        <v>10345</v>
      </c>
      <c r="C5566" s="1">
        <v>1</v>
      </c>
      <c r="D5566" s="1" t="str">
        <f>"04248"</f>
        <v>04248</v>
      </c>
      <c r="E5566" s="1" t="s">
        <v>4265</v>
      </c>
      <c r="F5566" s="1">
        <v>5</v>
      </c>
      <c r="G5566" s="1">
        <v>4</v>
      </c>
      <c r="H5566" s="1">
        <v>0</v>
      </c>
      <c r="I5566" s="1" t="s">
        <v>10346</v>
      </c>
      <c r="K5566" s="1" t="str">
        <f t="shared" si="354"/>
        <v>ㄍ</v>
      </c>
      <c r="L5566" s="1" t="str">
        <f t="shared" si="355"/>
        <v>ㄨ</v>
      </c>
      <c r="M5566" s="1" t="str">
        <f t="shared" si="357"/>
        <v>ㄞ</v>
      </c>
      <c r="P5566" s="1" t="s">
        <v>20</v>
      </c>
      <c r="R5566" s="1" t="s">
        <v>10347</v>
      </c>
      <c r="V5566" s="1" t="s">
        <v>10348</v>
      </c>
      <c r="AR5566" s="1" t="str">
        <f t="shared" si="356"/>
        <v>| [ㄍㄨㄞˇ](ㄍㄨㄞˇ.md) | [𠁥](𠁥.md) |  | guǎi | [名]
羊角。《說文解字．𠁥部》：「𠁥，羊角也。」 |</v>
      </c>
    </row>
    <row r="5567" spans="1:44" hidden="1">
      <c r="A5567" s="1" t="s">
        <v>10349</v>
      </c>
      <c r="C5567" s="1">
        <v>1</v>
      </c>
      <c r="D5567" s="1" t="str">
        <f>"04249"</f>
        <v>04249</v>
      </c>
      <c r="E5567" s="1" t="s">
        <v>24</v>
      </c>
      <c r="F5567" s="1">
        <v>8</v>
      </c>
      <c r="G5567" s="1">
        <v>5</v>
      </c>
      <c r="H5567" s="1">
        <v>0</v>
      </c>
      <c r="I5567" s="1" t="s">
        <v>10346</v>
      </c>
      <c r="K5567" s="1" t="str">
        <f t="shared" ref="K5567:K5630" si="358">LEFT(I5567, 1)</f>
        <v>ㄍ</v>
      </c>
      <c r="L5567" s="1" t="str">
        <f t="shared" ref="L5567:L5630" si="359">MID(I5567, 2, 1)</f>
        <v>ㄨ</v>
      </c>
      <c r="M5567" s="1" t="str">
        <f t="shared" si="357"/>
        <v>ㄞ</v>
      </c>
      <c r="P5567" s="1" t="s">
        <v>20</v>
      </c>
      <c r="R5567" s="1" t="s">
        <v>10347</v>
      </c>
      <c r="V5567" s="1" t="s">
        <v>10350</v>
      </c>
      <c r="AR5567" s="1" t="str">
        <f t="shared" si="356"/>
        <v>| [ㄍㄨㄞˇ](ㄍㄨㄞˇ.md) | [拐](拐.md) |  | guǎi | [動]
1.用詐術騙走人或財物。如：「誘拐」。《儒林外史》第四一回：「沈瓊枝便把鹽商騙他做妾，他拐了東西逃走的話，說了一遍。」
2.轉彎。如：「拐彎抹角」。《老殘遊記》第三回：「進了大門，望西一拐便是三間客廳。」
[副]
瘸腿走路。如：「他形容憔悴，一拐一拐的走在路上。」《西遊記》第一回：「猴王縱身跳起，拐呀拐的走了兩遍。」
[名]
手杖。通「枴」。《紅樓夢》第一三回：「賈珍此時也有些病症在身，二則過於悲痛了，因拄個拐，踱了進來。」 |</v>
      </c>
    </row>
    <row r="5568" spans="1:44" hidden="1">
      <c r="A5568" s="1" t="s">
        <v>10351</v>
      </c>
      <c r="C5568" s="1">
        <v>1</v>
      </c>
      <c r="D5568" s="1" t="str">
        <f>"04250"</f>
        <v>04250</v>
      </c>
      <c r="E5568" s="1" t="s">
        <v>139</v>
      </c>
      <c r="F5568" s="1">
        <v>9</v>
      </c>
      <c r="G5568" s="1">
        <v>5</v>
      </c>
      <c r="H5568" s="1">
        <v>0</v>
      </c>
      <c r="I5568" s="1" t="s">
        <v>10346</v>
      </c>
      <c r="K5568" s="1" t="str">
        <f t="shared" si="358"/>
        <v>ㄍ</v>
      </c>
      <c r="L5568" s="1" t="str">
        <f t="shared" si="359"/>
        <v>ㄨ</v>
      </c>
      <c r="M5568" s="1" t="str">
        <f t="shared" si="357"/>
        <v>ㄞ</v>
      </c>
      <c r="P5568" s="1" t="s">
        <v>20</v>
      </c>
      <c r="R5568" s="1" t="s">
        <v>10347</v>
      </c>
      <c r="V5568" s="1" t="s">
        <v>10352</v>
      </c>
      <c r="AR5568" s="1" t="str">
        <f t="shared" si="356"/>
        <v>| [ㄍㄨㄞˇ](ㄍㄨㄞˇ.md) | [枴](枴.md) |  | guǎi | [名]
用來支撐身體，幫助行走的手杖。如：「鐵枴」、「枴杖」。 |</v>
      </c>
    </row>
    <row r="5569" spans="1:44" hidden="1">
      <c r="A5569" s="1" t="s">
        <v>10353</v>
      </c>
      <c r="C5569" s="1">
        <v>1</v>
      </c>
      <c r="D5569" s="1" t="str">
        <f>"04251"</f>
        <v>04251</v>
      </c>
      <c r="E5569" s="1" t="s">
        <v>10354</v>
      </c>
      <c r="F5569" s="1">
        <v>2</v>
      </c>
      <c r="G5569" s="1">
        <v>0</v>
      </c>
      <c r="H5569" s="1">
        <v>1</v>
      </c>
      <c r="I5569" s="1" t="s">
        <v>10355</v>
      </c>
      <c r="K5569" s="1" t="str">
        <f t="shared" si="358"/>
        <v>ㄍ</v>
      </c>
      <c r="L5569" s="1" t="str">
        <f t="shared" si="359"/>
        <v>ㄨ</v>
      </c>
      <c r="M5569" s="1" t="str">
        <f t="shared" si="357"/>
        <v>ㄞ</v>
      </c>
      <c r="P5569" s="1" t="s">
        <v>20</v>
      </c>
      <c r="R5569" s="1" t="s">
        <v>10356</v>
      </c>
      <c r="V5569" s="1" t="s">
        <v>10357</v>
      </c>
      <c r="W5569" s="1" t="s">
        <v>10358</v>
      </c>
      <c r="AR5569" s="1" t="str">
        <f t="shared" si="356"/>
        <v>| [ㄍㄨㄞˋ](ㄍㄨㄞˋ.md) | [巜](巜.md) |  | guài | [名]
田間的水道。《說文解字．巛部》：「巜，水流澮澮也。方百里為巜，廣二尋深二仞。」 |</v>
      </c>
    </row>
    <row r="5570" spans="1:44" hidden="1">
      <c r="A5570" s="1" t="s">
        <v>10359</v>
      </c>
      <c r="C5570" s="1">
        <v>1</v>
      </c>
      <c r="D5570" s="1" t="str">
        <f>"04252"</f>
        <v>04252</v>
      </c>
      <c r="E5570" s="1" t="s">
        <v>563</v>
      </c>
      <c r="F5570" s="1">
        <v>4</v>
      </c>
      <c r="G5570" s="1">
        <v>1</v>
      </c>
      <c r="H5570" s="1">
        <v>0</v>
      </c>
      <c r="I5570" s="1" t="s">
        <v>10355</v>
      </c>
      <c r="K5570" s="1" t="str">
        <f t="shared" si="358"/>
        <v>ㄍ</v>
      </c>
      <c r="L5570" s="1" t="str">
        <f t="shared" si="359"/>
        <v>ㄨ</v>
      </c>
      <c r="M5570" s="1" t="str">
        <f t="shared" si="357"/>
        <v>ㄞ</v>
      </c>
      <c r="P5570" s="1" t="s">
        <v>20</v>
      </c>
      <c r="R5570" s="1" t="s">
        <v>10356</v>
      </c>
      <c r="V5570" s="1" t="s">
        <v>10360</v>
      </c>
      <c r="AR5570" s="1" t="str">
        <f t="shared" si="356"/>
        <v>| [ㄍㄨㄞˋ](ㄍㄨㄞˋ.md) | [夬](夬.md) |  | guài | [名]
《易經》卦名。六十四卦之一。乾（☰）下兌（☱）上。象決斷之義。 |</v>
      </c>
    </row>
    <row r="5571" spans="1:44" hidden="1">
      <c r="A5571" s="1" t="s">
        <v>10361</v>
      </c>
      <c r="C5571" s="1">
        <v>1</v>
      </c>
      <c r="D5571" s="1" t="str">
        <f>"04253"</f>
        <v>04253</v>
      </c>
      <c r="E5571" s="1" t="s">
        <v>250</v>
      </c>
      <c r="F5571" s="1">
        <v>8</v>
      </c>
      <c r="G5571" s="1">
        <v>5</v>
      </c>
      <c r="H5571" s="1">
        <v>0</v>
      </c>
      <c r="I5571" s="1" t="s">
        <v>10355</v>
      </c>
      <c r="K5571" s="1" t="str">
        <f t="shared" si="358"/>
        <v>ㄍ</v>
      </c>
      <c r="L5571" s="1" t="str">
        <f t="shared" si="359"/>
        <v>ㄨ</v>
      </c>
      <c r="M5571" s="1" t="str">
        <f t="shared" si="357"/>
        <v>ㄞ</v>
      </c>
      <c r="P5571" s="1" t="s">
        <v>20</v>
      </c>
      <c r="R5571" s="1" t="s">
        <v>10356</v>
      </c>
      <c r="V5571" s="1" t="s">
        <v>10362</v>
      </c>
      <c r="AR5571" s="1" t="str">
        <f t="shared" ref="AR5571:AR5634" si="360">"| ["&amp;I5571&amp;"]("&amp;I5571&amp;".md) | ["&amp;A5571&amp;"]("&amp;A5571&amp;".md) | "&amp;" | "&amp;R5571&amp;" | "&amp;V5571&amp;" |"</f>
        <v>| [ㄍㄨㄞˋ](ㄍㄨㄞˋ.md) | [怪](怪.md) |  | guài | [形]
奇異的。如：「怪模怪樣」、「奇形怪狀」。唐．賈島〈暮過山村〉詩：「怪禽啼曠野，落日恐行人。」
[名]
1.奇異、不尋常的事物。《論語．述而》：「子不語：怪、力、亂、神。」
2.神話傳說中的妖魔之類。如：「鬼怪」、「妖怪」。《文選．班彪．王命論》：「震電晦冥，有龍蛇之怪。」
3.姓。如黃帝時有怪義。
[動]
1.驚訝、疑忌。《墨子．貴義》：「子墨子南遊使衛，關中載書甚多，弦唐子見而怪之。」《文選．東方朔．答客難》：「海內定國家安是遇其時者也，子又何怪之邪？」
2.責備、埋怨。如：「責怪」、「怪罪」。《荀子．正論》：「今世俗之為說者，不怪朱、象，而非堯、舜，豈不過甚矣哉？」《儒林外史》第三回：「論這事，只該怪我們金老爺。」
[副]
很、甚。如：「這娃兒怪討人喜歡的！」《紅樓夢》第四二回：「眾人愛你伶俐，今兒我也怪疼你的了。」 |</v>
      </c>
    </row>
    <row r="5572" spans="1:44" hidden="1">
      <c r="A5572" s="1" t="s">
        <v>10363</v>
      </c>
      <c r="C5572" s="1">
        <v>1</v>
      </c>
      <c r="D5572" s="1" t="str">
        <f>"04254"</f>
        <v>04254</v>
      </c>
      <c r="E5572" s="1" t="s">
        <v>132</v>
      </c>
      <c r="F5572" s="1">
        <v>19</v>
      </c>
      <c r="G5572" s="1">
        <v>16</v>
      </c>
      <c r="H5572" s="1">
        <v>2</v>
      </c>
      <c r="I5572" s="1" t="s">
        <v>10355</v>
      </c>
      <c r="K5572" s="1" t="str">
        <f t="shared" si="358"/>
        <v>ㄍ</v>
      </c>
      <c r="L5572" s="1" t="str">
        <f t="shared" si="359"/>
        <v>ㄨ</v>
      </c>
      <c r="M5572" s="1" t="str">
        <f t="shared" si="357"/>
        <v>ㄞ</v>
      </c>
      <c r="P5572" s="1" t="s">
        <v>20</v>
      </c>
      <c r="R5572" s="1" t="s">
        <v>10356</v>
      </c>
      <c r="V5572" s="1" t="s">
        <v>10364</v>
      </c>
      <c r="W5572" s="1" t="s">
        <v>10365</v>
      </c>
      <c r="AR5572" s="1" t="str">
        <f t="shared" si="360"/>
        <v>| [ㄍㄨㄞˋ](ㄍㄨㄞˋ.md) | [壞](壞.md) |  | guài | [動]
毀。《漢書．卷三〇．藝文志》：「武帝末，魯共王壞孔子宅，欲以廣其宮。」 |</v>
      </c>
    </row>
    <row r="5573" spans="1:44" hidden="1">
      <c r="A5573" s="1" t="s">
        <v>10366</v>
      </c>
      <c r="C5573" s="1">
        <v>1</v>
      </c>
      <c r="D5573" s="1" t="str">
        <f>"04255"</f>
        <v>04255</v>
      </c>
      <c r="E5573" s="1" t="s">
        <v>132</v>
      </c>
      <c r="F5573" s="1">
        <v>6</v>
      </c>
      <c r="G5573" s="1">
        <v>3</v>
      </c>
      <c r="H5573" s="1">
        <v>0</v>
      </c>
      <c r="I5573" s="1" t="s">
        <v>10367</v>
      </c>
      <c r="K5573" s="1" t="str">
        <f t="shared" si="358"/>
        <v>ㄍ</v>
      </c>
      <c r="L5573" s="1" t="str">
        <f t="shared" si="359"/>
        <v>ㄨ</v>
      </c>
      <c r="M5573" s="1" t="str">
        <f t="shared" si="357"/>
        <v>ㄟ</v>
      </c>
      <c r="P5573" s="1" t="s">
        <v>20</v>
      </c>
      <c r="R5573" s="1" t="s">
        <v>10368</v>
      </c>
      <c r="V5573" s="1" t="s">
        <v>10369</v>
      </c>
      <c r="AR5573" s="1" t="str">
        <f t="shared" si="360"/>
        <v>| [ㄍㄨㄟ](ㄍㄨㄟ.md) | [圭](圭.md) |  | guī | [名]
1.古代諸侯在大典時所持的一種玉器。《說文解字．土部》：「圭，瑞玉也，上圜下方。」清．段玉裁．注：「圭之制，上不正圜。以對下方言之，故曰上圜。」《史記．卷三三．魯周公世家》：「周公北面立，戴璧秉圭，告于太王、王季、文王。」
2.古代測日影的器具。如：「日圭」、「圭表」、「圭臬」。
3.姓。如春秋時鄭國有圭媯。 |</v>
      </c>
    </row>
    <row r="5574" spans="1:44" hidden="1">
      <c r="A5574" s="1" t="s">
        <v>10370</v>
      </c>
      <c r="C5574" s="1">
        <v>1</v>
      </c>
      <c r="D5574" s="1" t="str">
        <f>"04256"</f>
        <v>04256</v>
      </c>
      <c r="E5574" s="1" t="s">
        <v>129</v>
      </c>
      <c r="F5574" s="1">
        <v>9</v>
      </c>
      <c r="G5574" s="1">
        <v>6</v>
      </c>
      <c r="H5574" s="1">
        <v>2</v>
      </c>
      <c r="I5574" s="1" t="s">
        <v>10367</v>
      </c>
      <c r="K5574" s="1" t="str">
        <f t="shared" si="358"/>
        <v>ㄍ</v>
      </c>
      <c r="L5574" s="1" t="str">
        <f t="shared" si="359"/>
        <v>ㄨ</v>
      </c>
      <c r="M5574" s="1" t="str">
        <f t="shared" si="357"/>
        <v>ㄟ</v>
      </c>
      <c r="P5574" s="1" t="s">
        <v>20</v>
      </c>
      <c r="R5574" s="1" t="s">
        <v>10368</v>
      </c>
      <c r="V5574" s="1" t="s">
        <v>10371</v>
      </c>
      <c r="W5574" s="1" t="s">
        <v>10372</v>
      </c>
      <c r="AR5574" s="1" t="str">
        <f t="shared" si="360"/>
        <v>| [ㄍㄨㄟ](ㄍㄨㄟ.md) | [洼](洼.md) |  | guī | [名]
姓。如漢代有洼丹。 |</v>
      </c>
    </row>
    <row r="5575" spans="1:44" hidden="1">
      <c r="A5575" s="1" t="s">
        <v>10373</v>
      </c>
      <c r="C5575" s="1">
        <v>1</v>
      </c>
      <c r="D5575" s="1" t="str">
        <f>"04257"</f>
        <v>04257</v>
      </c>
      <c r="E5575" s="1" t="s">
        <v>256</v>
      </c>
      <c r="F5575" s="1">
        <v>9</v>
      </c>
      <c r="G5575" s="1">
        <v>6</v>
      </c>
      <c r="H5575" s="1">
        <v>0</v>
      </c>
      <c r="I5575" s="1" t="s">
        <v>10367</v>
      </c>
      <c r="K5575" s="1" t="str">
        <f t="shared" si="358"/>
        <v>ㄍ</v>
      </c>
      <c r="L5575" s="1" t="str">
        <f t="shared" si="359"/>
        <v>ㄨ</v>
      </c>
      <c r="M5575" s="1" t="str">
        <f t="shared" si="357"/>
        <v>ㄟ</v>
      </c>
      <c r="P5575" s="1" t="s">
        <v>20</v>
      </c>
      <c r="R5575" s="1" t="s">
        <v>10368</v>
      </c>
      <c r="V5575" s="1" t="s">
        <v>10374</v>
      </c>
      <c r="AR5575" s="1" t="str">
        <f t="shared" si="360"/>
        <v>| [ㄍㄨㄟ](ㄍㄨㄟ.md) | [邽](邽.md) |  | guī | [名]
1.縣名。漢代所置：(1)隴西有上邽，在今大陸地區甘肅省天水縣境。(2)宏農有下邽，在今大陸地區陝西省渭南縣境。
2.姓。如春秋時魯國有邽巽。 |</v>
      </c>
    </row>
    <row r="5576" spans="1:44" hidden="1">
      <c r="A5576" s="1" t="s">
        <v>10375</v>
      </c>
      <c r="C5576" s="1">
        <v>1</v>
      </c>
      <c r="D5576" s="1" t="str">
        <f>"04258"</f>
        <v>04258</v>
      </c>
      <c r="E5576" s="1" t="s">
        <v>142</v>
      </c>
      <c r="F5576" s="1">
        <v>10</v>
      </c>
      <c r="G5576" s="1">
        <v>6</v>
      </c>
      <c r="H5576" s="1">
        <v>0</v>
      </c>
      <c r="I5576" s="1" t="s">
        <v>10367</v>
      </c>
      <c r="K5576" s="1" t="str">
        <f t="shared" si="358"/>
        <v>ㄍ</v>
      </c>
      <c r="L5576" s="1" t="str">
        <f t="shared" si="359"/>
        <v>ㄨ</v>
      </c>
      <c r="M5576" s="1" t="str">
        <f t="shared" si="357"/>
        <v>ㄟ</v>
      </c>
      <c r="P5576" s="1" t="s">
        <v>20</v>
      </c>
      <c r="R5576" s="1" t="s">
        <v>10368</v>
      </c>
      <c r="V5576" s="1" t="s">
        <v>10376</v>
      </c>
      <c r="AR5576" s="1" t="str">
        <f t="shared" si="360"/>
        <v>| [ㄍㄨㄟ](ㄍㄨㄟ.md) | [珪](珪.md) |  | guī | 玉圭。同「圭」。 |</v>
      </c>
    </row>
    <row r="5577" spans="1:44" hidden="1">
      <c r="A5577" s="1" t="s">
        <v>10377</v>
      </c>
      <c r="C5577" s="1">
        <v>1</v>
      </c>
      <c r="D5577" s="1" t="str">
        <f>"04259"</f>
        <v>04259</v>
      </c>
      <c r="E5577" s="1" t="s">
        <v>1274</v>
      </c>
      <c r="F5577" s="1">
        <v>11</v>
      </c>
      <c r="G5577" s="1">
        <v>6</v>
      </c>
      <c r="H5577" s="1">
        <v>1</v>
      </c>
      <c r="I5577" s="1" t="s">
        <v>10367</v>
      </c>
      <c r="K5577" s="1" t="str">
        <f t="shared" si="358"/>
        <v>ㄍ</v>
      </c>
      <c r="L5577" s="1" t="str">
        <f t="shared" si="359"/>
        <v>ㄨ</v>
      </c>
      <c r="M5577" s="1" t="str">
        <f t="shared" si="357"/>
        <v>ㄟ</v>
      </c>
      <c r="P5577" s="1" t="s">
        <v>20</v>
      </c>
      <c r="R5577" s="1" t="s">
        <v>10368</v>
      </c>
      <c r="V5577" s="1" t="s">
        <v>10378</v>
      </c>
      <c r="W5577" s="1" t="s">
        <v>10379</v>
      </c>
      <c r="AR5577" s="1" t="str">
        <f t="shared" si="360"/>
        <v>| [ㄍㄨㄟ](ㄍㄨㄟ.md) | [窐](窐.md) |  | guī | [名]
1.古時蒸飯用的瓦器底下的小孔穴。《楚辭．嚴忌．哀時命》：「璋珪雜於甑窐兮，隴廉與孟娵同宮。」漢．王逸．注：「窐，甑土孔。」
2.古代位於門旁的圭形小洞。《南史．卷四．齊高帝本紀》：「（王）敬則自窐中以（蒼梧王）首見帝，帝猶不信，乃於牆上投進其首。」 |</v>
      </c>
    </row>
    <row r="5578" spans="1:44" hidden="1">
      <c r="A5578" s="1" t="s">
        <v>10380</v>
      </c>
      <c r="C5578" s="1">
        <v>1</v>
      </c>
      <c r="D5578" s="1" t="str">
        <f>"04260"</f>
        <v>04260</v>
      </c>
      <c r="E5578" s="1" t="s">
        <v>169</v>
      </c>
      <c r="F5578" s="1">
        <v>11</v>
      </c>
      <c r="G5578" s="1">
        <v>6</v>
      </c>
      <c r="H5578" s="1">
        <v>0</v>
      </c>
      <c r="I5578" s="1" t="s">
        <v>10367</v>
      </c>
      <c r="K5578" s="1" t="str">
        <f t="shared" si="358"/>
        <v>ㄍ</v>
      </c>
      <c r="L5578" s="1" t="str">
        <f t="shared" si="359"/>
        <v>ㄨ</v>
      </c>
      <c r="M5578" s="1" t="str">
        <f t="shared" si="357"/>
        <v>ㄟ</v>
      </c>
      <c r="P5578" s="1" t="s">
        <v>20</v>
      </c>
      <c r="R5578" s="1" t="s">
        <v>10368</v>
      </c>
      <c r="V5578" s="1" t="s">
        <v>10381</v>
      </c>
      <c r="AR5578" s="1" t="str">
        <f t="shared" si="360"/>
        <v>| [ㄍㄨㄟ](ㄍㄨㄟ.md) | [硅](硅.md) |  | guī | [名]
化學元素。矽的舊譯。 |</v>
      </c>
    </row>
    <row r="5579" spans="1:44" hidden="1">
      <c r="A5579" s="1" t="s">
        <v>10382</v>
      </c>
      <c r="C5579" s="1">
        <v>1</v>
      </c>
      <c r="D5579" s="1" t="str">
        <f>"04261"</f>
        <v>04261</v>
      </c>
      <c r="E5579" s="1" t="s">
        <v>709</v>
      </c>
      <c r="F5579" s="1">
        <v>14</v>
      </c>
      <c r="G5579" s="1">
        <v>6</v>
      </c>
      <c r="H5579" s="1">
        <v>0</v>
      </c>
      <c r="I5579" s="1" t="s">
        <v>10367</v>
      </c>
      <c r="K5579" s="1" t="str">
        <f t="shared" si="358"/>
        <v>ㄍ</v>
      </c>
      <c r="L5579" s="1" t="str">
        <f t="shared" si="359"/>
        <v>ㄨ</v>
      </c>
      <c r="M5579" s="1" t="str">
        <f t="shared" si="357"/>
        <v>ㄟ</v>
      </c>
      <c r="P5579" s="1" t="s">
        <v>20</v>
      </c>
      <c r="R5579" s="1" t="s">
        <v>10368</v>
      </c>
      <c r="V5579" s="1" t="s">
        <v>10383</v>
      </c>
      <c r="AR5579" s="1" t="str">
        <f t="shared" si="360"/>
        <v>| [ㄍㄨㄟ](ㄍㄨㄟ.md) | [閨](閨.md) |  | guī | [名]
1.上圓下方的小門。《說文解字．門部》：「閨，特立之戶，上圜下方，有似圭。」《荀子．解蔽》：「俯而出城門，以為小之閨也，酒亂其神也。」
2.宮中的小門。《爾雅．釋宮》：「宮中之門謂之闈，其小者謂之閨。」
3.女子所住的內室。如：「香閨」、「獨守空閨」。唐．白居易〈長恨歌〉：「楊家有女初長成，養在深閨人未識。」
[形]
婦女的。如：「閨房」、「閨友」。 |</v>
      </c>
    </row>
    <row r="5580" spans="1:44" hidden="1">
      <c r="A5580" s="1" t="s">
        <v>10384</v>
      </c>
      <c r="C5580" s="1">
        <v>1</v>
      </c>
      <c r="D5580" s="1" t="str">
        <f>"04262"</f>
        <v>04262</v>
      </c>
      <c r="E5580" s="1" t="s">
        <v>156</v>
      </c>
      <c r="F5580" s="1">
        <v>17</v>
      </c>
      <c r="G5580" s="1">
        <v>6</v>
      </c>
      <c r="H5580" s="1">
        <v>1</v>
      </c>
      <c r="I5580" s="1" t="s">
        <v>10367</v>
      </c>
      <c r="K5580" s="1" t="str">
        <f t="shared" si="358"/>
        <v>ㄍ</v>
      </c>
      <c r="L5580" s="1" t="str">
        <f t="shared" si="359"/>
        <v>ㄨ</v>
      </c>
      <c r="M5580" s="1" t="str">
        <f t="shared" si="357"/>
        <v>ㄟ</v>
      </c>
      <c r="P5580" s="1" t="s">
        <v>20</v>
      </c>
      <c r="R5580" s="1" t="s">
        <v>10368</v>
      </c>
      <c r="V5580" s="1" t="s">
        <v>10385</v>
      </c>
      <c r="W5580" s="1" t="s">
        <v>10386</v>
      </c>
      <c r="AR5580" s="1" t="str">
        <f t="shared" si="360"/>
        <v>| [ㄍㄨㄟ](ㄍㄨㄟ.md) | [鮭](鮭.md) |  | guī | [名]
鮭目鮭科中某些魚類的泛稱。具洄游性，產於北方水域。成熟時自海洋返回淡水河川生殖，幼魚孵化後，再進入海洋。在海洋中時，體呈銀白色或銀灰色，返回淡水河口後，體色變紅。太平洋鮭屬產卵後隨即死亡，大西洋鮭則部分可重回海洋。產量以美、加、日、俄最多，是重要的食用魚。 |</v>
      </c>
    </row>
    <row r="5581" spans="1:44" hidden="1">
      <c r="A5581" s="1" t="s">
        <v>10387</v>
      </c>
      <c r="C5581" s="1">
        <v>1</v>
      </c>
      <c r="D5581" s="1" t="str">
        <f>"04263"</f>
        <v>04263</v>
      </c>
      <c r="E5581" s="1" t="s">
        <v>205</v>
      </c>
      <c r="F5581" s="1">
        <v>9</v>
      </c>
      <c r="G5581" s="1">
        <v>4</v>
      </c>
      <c r="H5581" s="1">
        <v>0</v>
      </c>
      <c r="I5581" s="1" t="s">
        <v>10367</v>
      </c>
      <c r="K5581" s="1" t="str">
        <f t="shared" si="358"/>
        <v>ㄍ</v>
      </c>
      <c r="L5581" s="1" t="str">
        <f t="shared" si="359"/>
        <v>ㄨ</v>
      </c>
      <c r="M5581" s="1" t="str">
        <f t="shared" si="357"/>
        <v>ㄟ</v>
      </c>
      <c r="P5581" s="1" t="s">
        <v>20</v>
      </c>
      <c r="R5581" s="1" t="s">
        <v>10368</v>
      </c>
      <c r="V5581" s="1" t="s">
        <v>10388</v>
      </c>
      <c r="AR5581" s="1" t="str">
        <f t="shared" si="360"/>
        <v>| [ㄍㄨㄟ](ㄍㄨㄟ.md) | [皈](皈.md) |  | guī | 參見「皈依」條。 |</v>
      </c>
    </row>
    <row r="5582" spans="1:44" hidden="1">
      <c r="A5582" s="1" t="s">
        <v>10389</v>
      </c>
      <c r="C5582" s="1">
        <v>1</v>
      </c>
      <c r="D5582" s="1" t="str">
        <f>"04264"</f>
        <v>04264</v>
      </c>
      <c r="E5582" s="1" t="s">
        <v>2233</v>
      </c>
      <c r="F5582" s="1">
        <v>11</v>
      </c>
      <c r="G5582" s="1">
        <v>4</v>
      </c>
      <c r="H5582" s="1">
        <v>0</v>
      </c>
      <c r="I5582" s="1" t="s">
        <v>10367</v>
      </c>
      <c r="K5582" s="1" t="str">
        <f t="shared" si="358"/>
        <v>ㄍ</v>
      </c>
      <c r="L5582" s="1" t="str">
        <f t="shared" si="359"/>
        <v>ㄨ</v>
      </c>
      <c r="M5582" s="1" t="str">
        <f t="shared" si="357"/>
        <v>ㄟ</v>
      </c>
      <c r="P5582" s="1" t="s">
        <v>20</v>
      </c>
      <c r="R5582" s="1" t="s">
        <v>10368</v>
      </c>
      <c r="V5582" s="1" t="s">
        <v>10390</v>
      </c>
      <c r="AR5582" s="1" t="str">
        <f t="shared" si="360"/>
        <v>| [ㄍㄨㄟ](ㄍㄨㄟ.md) | [規](規.md) |  | guī | [名]
1.畫圓的器具。《玉篇．夫部》：「規，正圜之器也。」如：「圓規」、「兩腳規」。
2.法度、條文。如：「條規」、「校規」、「法規」、「教規」。
3.成例。如：「墨守成規」、「革除陋規」。
4.姓。如明代有規恂。
[動]
1.謀劃、謀求。《商君書．錯法》：「是以明君之使其民也，使必盡力以規其功。」宋．蘇軾〈相度準備賑濟第三狀〉：「各欲廣行收糴，以規厚利。」
2.矯正、勸勉。如：「規過勸善」。《左傳．昭公十六年》：「是先無刑罰也，子寧以他規我。」
3.效法。唐．韓愈〈進學解〉：「上規姚姒，渾渾無涯。」 |</v>
      </c>
    </row>
    <row r="5583" spans="1:44" hidden="1">
      <c r="A5583" s="1" t="s">
        <v>10391</v>
      </c>
      <c r="C5583" s="1">
        <v>1</v>
      </c>
      <c r="D5583" s="1" t="str">
        <f>"04265"</f>
        <v>04265</v>
      </c>
      <c r="E5583" s="1" t="s">
        <v>139</v>
      </c>
      <c r="F5583" s="1">
        <v>15</v>
      </c>
      <c r="G5583" s="1">
        <v>11</v>
      </c>
      <c r="H5583" s="1">
        <v>0</v>
      </c>
      <c r="I5583" s="1" t="s">
        <v>10367</v>
      </c>
      <c r="K5583" s="1" t="str">
        <f t="shared" si="358"/>
        <v>ㄍ</v>
      </c>
      <c r="L5583" s="1" t="str">
        <f t="shared" si="359"/>
        <v>ㄨ</v>
      </c>
      <c r="M5583" s="1" t="str">
        <f t="shared" si="357"/>
        <v>ㄟ</v>
      </c>
      <c r="P5583" s="1" t="s">
        <v>20</v>
      </c>
      <c r="R5583" s="1" t="s">
        <v>10368</v>
      </c>
      <c r="V5583" s="1" t="s">
        <v>10392</v>
      </c>
      <c r="AR5583" s="1" t="str">
        <f t="shared" si="360"/>
        <v>| [ㄍㄨㄟ](ㄍㄨㄟ.md) | [槻](槻.md) |  | guī | [名]
植物名。即梣。木犀科白蠟樹屬，「白蠟樹」之古稱，參見「白蠟樹」條。 |</v>
      </c>
    </row>
    <row r="5584" spans="1:44" hidden="1">
      <c r="A5584" s="1" t="s">
        <v>10393</v>
      </c>
      <c r="C5584" s="1">
        <v>1</v>
      </c>
      <c r="D5584" s="1" t="str">
        <f>"04266"</f>
        <v>04266</v>
      </c>
      <c r="E5584" s="1" t="s">
        <v>129</v>
      </c>
      <c r="F5584" s="1">
        <v>12</v>
      </c>
      <c r="G5584" s="1">
        <v>9</v>
      </c>
      <c r="H5584" s="1">
        <v>0</v>
      </c>
      <c r="I5584" s="1" t="s">
        <v>10367</v>
      </c>
      <c r="K5584" s="1" t="str">
        <f t="shared" si="358"/>
        <v>ㄍ</v>
      </c>
      <c r="L5584" s="1" t="str">
        <f t="shared" si="359"/>
        <v>ㄨ</v>
      </c>
      <c r="M5584" s="1" t="str">
        <f t="shared" si="357"/>
        <v>ㄟ</v>
      </c>
      <c r="P5584" s="1" t="s">
        <v>20</v>
      </c>
      <c r="R5584" s="1" t="s">
        <v>10368</v>
      </c>
      <c r="V5584" s="1" t="s">
        <v>10394</v>
      </c>
      <c r="AR5584" s="1" t="str">
        <f t="shared" si="360"/>
        <v>| [ㄍㄨㄟ](ㄍㄨㄟ.md) | [溈](溈.md) |  | guī | 同「媯」。 |</v>
      </c>
    </row>
    <row r="5585" spans="1:44" hidden="1">
      <c r="A5585" s="1" t="s">
        <v>10395</v>
      </c>
      <c r="C5585" s="1">
        <v>1</v>
      </c>
      <c r="D5585" s="1" t="str">
        <f>"04267"</f>
        <v>04267</v>
      </c>
      <c r="E5585" s="1" t="s">
        <v>534</v>
      </c>
      <c r="F5585" s="1">
        <v>12</v>
      </c>
      <c r="G5585" s="1">
        <v>9</v>
      </c>
      <c r="H5585" s="1">
        <v>0</v>
      </c>
      <c r="I5585" s="1" t="s">
        <v>10367</v>
      </c>
      <c r="K5585" s="1" t="str">
        <f t="shared" si="358"/>
        <v>ㄍ</v>
      </c>
      <c r="L5585" s="1" t="str">
        <f t="shared" si="359"/>
        <v>ㄨ</v>
      </c>
      <c r="M5585" s="1" t="str">
        <f t="shared" si="357"/>
        <v>ㄟ</v>
      </c>
      <c r="P5585" s="1" t="s">
        <v>20</v>
      </c>
      <c r="R5585" s="1" t="s">
        <v>10368</v>
      </c>
      <c r="V5585" s="1" t="s">
        <v>10396</v>
      </c>
      <c r="AR5585" s="1" t="str">
        <f t="shared" si="360"/>
        <v>| [ㄍㄨㄟ](ㄍㄨㄟ.md) | [媯](媯.md) |  | guī | [名]
1.參見「媯河」、「媯汭」等條。
2.姓。如漢代有媯昌。 |</v>
      </c>
    </row>
    <row r="5586" spans="1:44" hidden="1">
      <c r="A5586" s="1" t="s">
        <v>10397</v>
      </c>
      <c r="C5586" s="1">
        <v>1</v>
      </c>
      <c r="D5586" s="1" t="str">
        <f>"04268"</f>
        <v>04268</v>
      </c>
      <c r="E5586" s="1" t="s">
        <v>114</v>
      </c>
      <c r="F5586" s="1">
        <v>12</v>
      </c>
      <c r="G5586" s="1">
        <v>10</v>
      </c>
      <c r="H5586" s="1">
        <v>2</v>
      </c>
      <c r="I5586" s="1" t="s">
        <v>10367</v>
      </c>
      <c r="K5586" s="1" t="str">
        <f t="shared" si="358"/>
        <v>ㄍ</v>
      </c>
      <c r="L5586" s="1" t="str">
        <f t="shared" si="359"/>
        <v>ㄨ</v>
      </c>
      <c r="M5586" s="1" t="str">
        <f t="shared" si="357"/>
        <v>ㄟ</v>
      </c>
      <c r="P5586" s="1" t="s">
        <v>20</v>
      </c>
      <c r="R5586" s="1" t="s">
        <v>10368</v>
      </c>
      <c r="V5586" s="1" t="s">
        <v>10398</v>
      </c>
      <c r="W5586" s="1" t="s">
        <v>10399</v>
      </c>
      <c r="AR5586" s="1" t="str">
        <f t="shared" si="360"/>
        <v>| [ㄍㄨㄟ](ㄍㄨㄟ.md) | [傀](傀.md) |  | guī | [形]
1.高大。《說文解字．人部》：「傀，偉也。」《聊齋志異．卷八．司文郎》：「有少年遊寺中，白服裙帽，望之傀然。」
2.怪異。《廣韻．平聲．灰韻》：「傀，怪異。」《文選．郭璞．江賦》：「珍怪之所化產，傀奇之所窟宅。」 |</v>
      </c>
    </row>
    <row r="5587" spans="1:44" hidden="1">
      <c r="A5587" s="1" t="s">
        <v>10400</v>
      </c>
      <c r="C5587" s="1">
        <v>1</v>
      </c>
      <c r="D5587" s="1" t="str">
        <f>"04269"</f>
        <v>04269</v>
      </c>
      <c r="E5587" s="1" t="s">
        <v>142</v>
      </c>
      <c r="F5587" s="1">
        <v>14</v>
      </c>
      <c r="G5587" s="1">
        <v>10</v>
      </c>
      <c r="H5587" s="1">
        <v>0</v>
      </c>
      <c r="I5587" s="1" t="s">
        <v>10367</v>
      </c>
      <c r="K5587" s="1" t="str">
        <f t="shared" si="358"/>
        <v>ㄍ</v>
      </c>
      <c r="L5587" s="1" t="str">
        <f t="shared" si="359"/>
        <v>ㄨ</v>
      </c>
      <c r="M5587" s="1" t="str">
        <f t="shared" si="357"/>
        <v>ㄟ</v>
      </c>
      <c r="P5587" s="1" t="s">
        <v>20</v>
      </c>
      <c r="R5587" s="1" t="s">
        <v>10368</v>
      </c>
      <c r="V5587" s="1" t="s">
        <v>10401</v>
      </c>
      <c r="AR5587" s="1" t="str">
        <f t="shared" si="360"/>
        <v>| [ㄍㄨㄟ](ㄍㄨㄟ.md) | [瑰](瑰.md) |  | guī | [名]
1.質地僅次於玉的美石。如：「瓊瑰」。
2.參見「玫瑰」條。
[形]
1.奇偉的、珍奇的。如：「瑰材」、「瑰奇」、「瑰寶」。
2.美好的。《文選．傅毅．舞賦》：「軼態橫出，瑰姿譎起。」 |</v>
      </c>
    </row>
    <row r="5588" spans="1:44" hidden="1">
      <c r="A5588" s="1" t="s">
        <v>10402</v>
      </c>
      <c r="C5588" s="1">
        <v>1</v>
      </c>
      <c r="D5588" s="1" t="str">
        <f>"04270"</f>
        <v>04270</v>
      </c>
      <c r="E5588" s="1" t="s">
        <v>10403</v>
      </c>
      <c r="F5588" s="1">
        <v>16</v>
      </c>
      <c r="G5588" s="1">
        <v>0</v>
      </c>
      <c r="H5588" s="1">
        <v>1</v>
      </c>
      <c r="I5588" s="1" t="s">
        <v>10367</v>
      </c>
      <c r="K5588" s="1" t="str">
        <f t="shared" si="358"/>
        <v>ㄍ</v>
      </c>
      <c r="L5588" s="1" t="str">
        <f t="shared" si="359"/>
        <v>ㄨ</v>
      </c>
      <c r="M5588" s="1" t="str">
        <f t="shared" si="357"/>
        <v>ㄟ</v>
      </c>
      <c r="P5588" s="1" t="s">
        <v>20</v>
      </c>
      <c r="R5588" s="1" t="s">
        <v>10368</v>
      </c>
      <c r="V5588" s="1" t="s">
        <v>10404</v>
      </c>
      <c r="W5588" s="1" t="s">
        <v>10405</v>
      </c>
      <c r="AR5588" s="1" t="str">
        <f t="shared" si="360"/>
        <v>| [ㄍㄨㄟ](ㄍㄨㄟ.md) | [龜](龜.md) |  | guī | [名]
1.動物名。爬行綱龜鱉目龜科。身體橢圓而扁，腹、背皆有硬殼。頭似蛇，四肢短，頭、尾和腳都可縮入甲殼內。行動遲緩，性耐飢渴，壽命長達百年之上。其肉可食，殼可入藥。古時常灼龜甲以占卜，故稱為「靈物」。
2.罵人的話。唐朝樂戶戴綠頭巾，後因龜的頭部亦為綠色，故用以比喻開設妓院的男子，及妻子不貞的人為「龜」。元．陶宗儀《南村輟耕錄．卷二八．廢家子孫詩》：「宅眷皆為撐目兔，舍人總作縮頭龜。……夫兔撐目望月而孕，則婦女之不夫而妊也。」清．徐珂《清稗類鈔．娼妓類．天津之妓》：「北幫女閭自稱曰店，其龜、鴇曰掌櫃。」
3.二一四部首之一。 |</v>
      </c>
    </row>
    <row r="5589" spans="1:44" hidden="1">
      <c r="A5589" s="1" t="s">
        <v>10406</v>
      </c>
      <c r="C5589" s="1">
        <v>1</v>
      </c>
      <c r="D5589" s="1" t="str">
        <f>"04271"</f>
        <v>04271</v>
      </c>
      <c r="E5589" s="1" t="s">
        <v>1495</v>
      </c>
      <c r="F5589" s="1">
        <v>18</v>
      </c>
      <c r="G5589" s="1">
        <v>14</v>
      </c>
      <c r="H5589" s="1">
        <v>1</v>
      </c>
      <c r="I5589" s="1" t="s">
        <v>10367</v>
      </c>
      <c r="K5589" s="1" t="str">
        <f t="shared" si="358"/>
        <v>ㄍ</v>
      </c>
      <c r="L5589" s="1" t="str">
        <f t="shared" si="359"/>
        <v>ㄨ</v>
      </c>
      <c r="M5589" s="1" t="str">
        <f t="shared" si="357"/>
        <v>ㄟ</v>
      </c>
      <c r="P5589" s="1" t="s">
        <v>20</v>
      </c>
      <c r="R5589" s="1" t="s">
        <v>10368</v>
      </c>
      <c r="V5589" s="1" t="s">
        <v>10407</v>
      </c>
      <c r="W5589" s="1" t="s">
        <v>10408</v>
      </c>
      <c r="AR5589" s="1" t="str">
        <f t="shared" si="360"/>
        <v>| [ㄍㄨㄟ](ㄍㄨㄟ.md) | [歸](歸.md) |  | guī | [動]
1.女子出嫁稱為「歸」。《詩經．周南．桃夭》：「之子于歸，宜其室家。」宋．辛棄疾〈鵲橋仙．松岡避暑〉詞：「東家娶婦，西家歸女。」
2.返回。如：「歸國」、「歸家」。
3.還給。如：「完璧歸趙」、「物歸原主」。
4.依附、趨向。如：「眾望所歸」、「殊途同歸」。《史記．卷五六．陳丞相世家》：「聞漢王之能用人，故歸大王。」
5.屬於、由。如：「這事不歸我管。」
6.聚、合併。如：「歸併」、「總歸一句話」、「把這類書歸在一起。」
7.置於兩個相同詞的中間，表示語義的歸類。如：「橋歸橋，路歸路，不可把兩件事混為一談。」
[名]
姓。如明代有歸有光。 |</v>
      </c>
    </row>
    <row r="5590" spans="1:44" hidden="1">
      <c r="A5590" s="1" t="s">
        <v>10409</v>
      </c>
      <c r="C5590" s="1">
        <v>1</v>
      </c>
      <c r="D5590" s="1" t="str">
        <f>"04272"</f>
        <v>04272</v>
      </c>
      <c r="E5590" s="1" t="s">
        <v>129</v>
      </c>
      <c r="F5590" s="1">
        <v>5</v>
      </c>
      <c r="G5590" s="1">
        <v>2</v>
      </c>
      <c r="H5590" s="1">
        <v>0</v>
      </c>
      <c r="I5590" s="1" t="s">
        <v>10410</v>
      </c>
      <c r="K5590" s="1" t="str">
        <f t="shared" si="358"/>
        <v>ㄍ</v>
      </c>
      <c r="L5590" s="1" t="str">
        <f t="shared" si="359"/>
        <v>ㄨ</v>
      </c>
      <c r="M5590" s="1" t="str">
        <f t="shared" si="357"/>
        <v>ㄟ</v>
      </c>
      <c r="P5590" s="1" t="s">
        <v>20</v>
      </c>
      <c r="R5590" s="1" t="s">
        <v>10411</v>
      </c>
      <c r="V5590" s="1" t="s">
        <v>10412</v>
      </c>
      <c r="AR5590" s="1" t="str">
        <f t="shared" si="360"/>
        <v>| [ㄍㄨㄟˇ](ㄍㄨㄟˇ.md) | [氿](氿.md) |  | guǐ | [名]
水邊乾枯的土。《說文解字．水部》：「氿，水厓枯土也。」
[形]
由旁側流出的。《詩經．小雅．大東》：「有冽氿泉，無浸穫薪。」漢．毛亨．傳：「側出曰氿泉。」 |</v>
      </c>
    </row>
    <row r="5591" spans="1:44" hidden="1">
      <c r="A5591" s="1" t="s">
        <v>10413</v>
      </c>
      <c r="C5591" s="1">
        <v>1</v>
      </c>
      <c r="D5591" s="1" t="str">
        <f>"04273"</f>
        <v>04273</v>
      </c>
      <c r="E5591" s="1" t="s">
        <v>624</v>
      </c>
      <c r="F5591" s="1">
        <v>5</v>
      </c>
      <c r="G5591" s="1">
        <v>2</v>
      </c>
      <c r="H5591" s="1">
        <v>0</v>
      </c>
      <c r="I5591" s="1" t="s">
        <v>10410</v>
      </c>
      <c r="K5591" s="1" t="str">
        <f t="shared" si="358"/>
        <v>ㄍ</v>
      </c>
      <c r="L5591" s="1" t="str">
        <f t="shared" si="359"/>
        <v>ㄨ</v>
      </c>
      <c r="M5591" s="1" t="str">
        <f t="shared" si="357"/>
        <v>ㄟ</v>
      </c>
      <c r="P5591" s="1" t="s">
        <v>20</v>
      </c>
      <c r="R5591" s="1" t="s">
        <v>10411</v>
      </c>
      <c r="V5591" s="1" t="s">
        <v>10414</v>
      </c>
      <c r="AR5591" s="1" t="str">
        <f t="shared" si="360"/>
        <v>| [ㄍㄨㄟˇ](ㄍㄨㄟˇ.md) | [宄](宄.md) |  | guǐ | [動]
姦邪、作亂。《說文解字．宀部》：「宄，姦也。外為盜，內為宄。」清．段玉裁．注：「姦宄者通偁，內外者析言之也。凡盜起外為姦，中出為宄。」明．余繼登《典故紀聞》卷七：「毋習賭博，毋奸宄竊盜。」
[名]
泛指壞人、歹徒。《三國志．卷四七．吳書．吳主權傳》：「況今姦宄競逐，豺狼滿道。」 |</v>
      </c>
    </row>
    <row r="5592" spans="1:44" hidden="1">
      <c r="A5592" s="1" t="s">
        <v>10415</v>
      </c>
      <c r="C5592" s="1">
        <v>1</v>
      </c>
      <c r="D5592" s="1" t="str">
        <f>"04274"</f>
        <v>04274</v>
      </c>
      <c r="E5592" s="1" t="s">
        <v>71</v>
      </c>
      <c r="F5592" s="1">
        <v>9</v>
      </c>
      <c r="G5592" s="1">
        <v>2</v>
      </c>
      <c r="H5592" s="1">
        <v>0</v>
      </c>
      <c r="I5592" s="1" t="s">
        <v>10410</v>
      </c>
      <c r="K5592" s="1" t="str">
        <f t="shared" si="358"/>
        <v>ㄍ</v>
      </c>
      <c r="L5592" s="1" t="str">
        <f t="shared" si="359"/>
        <v>ㄨ</v>
      </c>
      <c r="M5592" s="1" t="str">
        <f t="shared" si="357"/>
        <v>ㄟ</v>
      </c>
      <c r="P5592" s="1" t="s">
        <v>20</v>
      </c>
      <c r="R5592" s="1" t="s">
        <v>10411</v>
      </c>
      <c r="V5592" s="1" t="s">
        <v>10416</v>
      </c>
      <c r="AR5592" s="1" t="str">
        <f t="shared" si="360"/>
        <v>| [ㄍㄨㄟˇ](ㄍㄨㄟˇ.md) | [軌](軌.md) |  | guǐ | [名]
1.車行的痕跡。《廣韻．上聲．旨韻》：「軌，車跡也。」唐．柳宗元〈辯侵伐論〉：「周道既壞，兵車之軌交於天下，而罕知侵伐之端焉。」
2.車子兩輪間的距離。《禮記．中庸》：「今天下車同軌，書同文，行同倫。」
3.火車、星體等運行的路線。如：「鐵軌」。《淮南子．本經》：「五星循軌而不失其行。」
4.法度、常規。如：「常軌」、「步入正軌」。《淮南子．原道》：「是故聖人一度循軌，不變其宜，不易其常。」
5.姓。如周代有軌革。
[動]
遵照、依循。《尹文子．大道下》：「心不畏時之禁，行不軌時之法，此大亂之道也。」《後漢書．卷三〇下．襄楷傳》：「臣竊見去歲五月，熒惑入太微，犯帝坐，出端門，不軌常道。」 |</v>
      </c>
    </row>
    <row r="5593" spans="1:44" hidden="1">
      <c r="A5593" s="1" t="s">
        <v>10417</v>
      </c>
      <c r="C5593" s="1">
        <v>1</v>
      </c>
      <c r="D5593" s="1" t="str">
        <f>"04275"</f>
        <v>04275</v>
      </c>
      <c r="E5593" s="1" t="s">
        <v>3892</v>
      </c>
      <c r="F5593" s="1">
        <v>11</v>
      </c>
      <c r="G5593" s="1">
        <v>9</v>
      </c>
      <c r="H5593" s="1">
        <v>0</v>
      </c>
      <c r="I5593" s="1" t="s">
        <v>10410</v>
      </c>
      <c r="K5593" s="1" t="str">
        <f t="shared" si="358"/>
        <v>ㄍ</v>
      </c>
      <c r="L5593" s="1" t="str">
        <f t="shared" si="359"/>
        <v>ㄨ</v>
      </c>
      <c r="M5593" s="1" t="str">
        <f t="shared" si="357"/>
        <v>ㄟ</v>
      </c>
      <c r="P5593" s="1" t="s">
        <v>20</v>
      </c>
      <c r="R5593" s="1" t="s">
        <v>10411</v>
      </c>
      <c r="V5593" s="1" t="s">
        <v>10418</v>
      </c>
      <c r="AR5593" s="1" t="str">
        <f t="shared" si="360"/>
        <v>| [ㄍㄨㄟˇ](ㄍㄨㄟˇ.md) | [匭](匭.md) |  | guǐ | [名]
小匣子、小箱子。如：「票匭」、「投匭」。《新唐書．卷一一八．李中敏傳》：「上書者將納於匭，有司先審其副，有不可，輒卻之。」 |</v>
      </c>
    </row>
    <row r="5594" spans="1:44" hidden="1">
      <c r="A5594" s="1" t="s">
        <v>10419</v>
      </c>
      <c r="C5594" s="1">
        <v>1</v>
      </c>
      <c r="D5594" s="1" t="str">
        <f>"04276"</f>
        <v>04276</v>
      </c>
      <c r="E5594" s="1" t="s">
        <v>447</v>
      </c>
      <c r="F5594" s="1">
        <v>7</v>
      </c>
      <c r="G5594" s="1">
        <v>4</v>
      </c>
      <c r="H5594" s="1">
        <v>2</v>
      </c>
      <c r="I5594" s="1" t="s">
        <v>10410</v>
      </c>
      <c r="K5594" s="1" t="str">
        <f t="shared" si="358"/>
        <v>ㄍ</v>
      </c>
      <c r="L5594" s="1" t="str">
        <f t="shared" si="359"/>
        <v>ㄨ</v>
      </c>
      <c r="M5594" s="1" t="str">
        <f t="shared" si="357"/>
        <v>ㄟ</v>
      </c>
      <c r="P5594" s="1" t="s">
        <v>110</v>
      </c>
      <c r="R5594" s="1" t="s">
        <v>10411</v>
      </c>
      <c r="V5594" s="1" t="s">
        <v>111</v>
      </c>
      <c r="W5594" s="1" t="s">
        <v>10420</v>
      </c>
      <c r="AR5594" s="1" t="str">
        <f t="shared" si="360"/>
        <v>| [ㄍㄨㄟˇ](ㄍㄨㄟˇ.md) | [庋](庋.md) |  | guǐ | (一)之又音。 |</v>
      </c>
    </row>
    <row r="5595" spans="1:44" hidden="1">
      <c r="A5595" s="1" t="s">
        <v>10421</v>
      </c>
      <c r="C5595" s="1">
        <v>1</v>
      </c>
      <c r="D5595" s="1" t="str">
        <f>"04277"</f>
        <v>04277</v>
      </c>
      <c r="E5595" s="1" t="s">
        <v>447</v>
      </c>
      <c r="F5595" s="1">
        <v>10</v>
      </c>
      <c r="G5595" s="1">
        <v>7</v>
      </c>
      <c r="H5595" s="1">
        <v>0</v>
      </c>
      <c r="I5595" s="1" t="s">
        <v>10410</v>
      </c>
      <c r="K5595" s="1" t="str">
        <f t="shared" si="358"/>
        <v>ㄍ</v>
      </c>
      <c r="L5595" s="1" t="str">
        <f t="shared" si="359"/>
        <v>ㄨ</v>
      </c>
      <c r="M5595" s="1" t="str">
        <f t="shared" si="357"/>
        <v>ㄟ</v>
      </c>
      <c r="P5595" s="1" t="s">
        <v>20</v>
      </c>
      <c r="R5595" s="1" t="s">
        <v>10411</v>
      </c>
      <c r="V5595" s="1" t="s">
        <v>10422</v>
      </c>
      <c r="AR5595" s="1" t="str">
        <f t="shared" si="360"/>
        <v>| [ㄍㄨㄟˇ](ㄍㄨㄟˇ.md) | [庪](庪.md) |  | guǐ | [動]
收藏、埋藏。清．姚鼐〈寶扇樓後記〉：「朱子潁家有聖祖仁皇帝之賜扇，作寶扇之樓，庪焉。」 |</v>
      </c>
    </row>
    <row r="5596" spans="1:44" hidden="1">
      <c r="A5596" s="1" t="s">
        <v>10423</v>
      </c>
      <c r="C5596" s="1">
        <v>1</v>
      </c>
      <c r="D5596" s="1" t="str">
        <f>"04278"</f>
        <v>04278</v>
      </c>
      <c r="E5596" s="1" t="s">
        <v>114</v>
      </c>
      <c r="F5596" s="1">
        <v>8</v>
      </c>
      <c r="G5596" s="1">
        <v>6</v>
      </c>
      <c r="H5596" s="1">
        <v>0</v>
      </c>
      <c r="I5596" s="1" t="s">
        <v>10410</v>
      </c>
      <c r="K5596" s="1" t="str">
        <f t="shared" si="358"/>
        <v>ㄍ</v>
      </c>
      <c r="L5596" s="1" t="str">
        <f t="shared" si="359"/>
        <v>ㄨ</v>
      </c>
      <c r="M5596" s="1" t="str">
        <f t="shared" si="357"/>
        <v>ㄟ</v>
      </c>
      <c r="P5596" s="1" t="s">
        <v>20</v>
      </c>
      <c r="R5596" s="1" t="s">
        <v>10411</v>
      </c>
      <c r="V5596" s="1" t="s">
        <v>10424</v>
      </c>
      <c r="AR5596" s="1" t="str">
        <f t="shared" si="360"/>
        <v>| [ㄍㄨㄟˇ](ㄍㄨㄟˇ.md) | [佹](佹.md) |  | guǐ | [動]
重疊、累積。《文選．司馬相如．上林賦》：「攢立叢倚，連卷欐佹。」
[形]
奇異的。如：「佹詞」。《荀子．賦》：「天下不治，請陳佹詩。」《文選．王延壽．魯靈光殿賦》：「倔佹雲起，嶔崟離摟。」
[副]
偶然、忽然。如：「佹得佹失」。明．徐弘祖《徐霞客遊記．卷四上．粵西遊日記三》：「於是平疇曲塍間，怪石森森，佹離佹合，高下不一。」 |</v>
      </c>
    </row>
    <row r="5597" spans="1:44" hidden="1">
      <c r="A5597" s="1" t="s">
        <v>10425</v>
      </c>
      <c r="C5597" s="1">
        <v>1</v>
      </c>
      <c r="D5597" s="1" t="str">
        <f>"04279"</f>
        <v>04279</v>
      </c>
      <c r="E5597" s="1" t="s">
        <v>250</v>
      </c>
      <c r="F5597" s="1">
        <v>9</v>
      </c>
      <c r="G5597" s="1">
        <v>6</v>
      </c>
      <c r="H5597" s="1">
        <v>0</v>
      </c>
      <c r="I5597" s="1" t="s">
        <v>10410</v>
      </c>
      <c r="K5597" s="1" t="str">
        <f t="shared" si="358"/>
        <v>ㄍ</v>
      </c>
      <c r="L5597" s="1" t="str">
        <f t="shared" si="359"/>
        <v>ㄨ</v>
      </c>
      <c r="M5597" s="1" t="str">
        <f t="shared" si="357"/>
        <v>ㄟ</v>
      </c>
      <c r="P5597" s="1" t="s">
        <v>20</v>
      </c>
      <c r="R5597" s="1" t="s">
        <v>10411</v>
      </c>
      <c r="V5597" s="1" t="s">
        <v>10426</v>
      </c>
      <c r="AR5597" s="1" t="str">
        <f t="shared" si="360"/>
        <v>| [ㄍㄨㄟˇ](ㄍㄨㄟˇ.md) | [恑](恑.md) |  | guǐ | [副]
變異、詐詭。《莊子．齊物論》：「恢恑憰怪，道通為一。」唐．成玄英．疏：「恑者，奇變之稱。」 |</v>
      </c>
    </row>
    <row r="5598" spans="1:44" hidden="1">
      <c r="A5598" s="1" t="s">
        <v>10427</v>
      </c>
      <c r="C5598" s="1">
        <v>1</v>
      </c>
      <c r="D5598" s="1" t="str">
        <f>"04280"</f>
        <v>04280</v>
      </c>
      <c r="E5598" s="1" t="s">
        <v>132</v>
      </c>
      <c r="F5598" s="1">
        <v>9</v>
      </c>
      <c r="G5598" s="1">
        <v>6</v>
      </c>
      <c r="H5598" s="1">
        <v>0</v>
      </c>
      <c r="I5598" s="1" t="s">
        <v>10410</v>
      </c>
      <c r="K5598" s="1" t="str">
        <f t="shared" si="358"/>
        <v>ㄍ</v>
      </c>
      <c r="L5598" s="1" t="str">
        <f t="shared" si="359"/>
        <v>ㄨ</v>
      </c>
      <c r="M5598" s="1" t="str">
        <f t="shared" ref="M5598:M5661" si="361">MID(I5598, 3, 1)</f>
        <v>ㄟ</v>
      </c>
      <c r="P5598" s="1" t="s">
        <v>20</v>
      </c>
      <c r="R5598" s="1" t="s">
        <v>10411</v>
      </c>
      <c r="V5598" s="1" t="s">
        <v>10428</v>
      </c>
      <c r="AR5598" s="1" t="str">
        <f t="shared" si="360"/>
        <v>| [ㄍㄨㄟˇ](ㄍㄨㄟˇ.md) | [垝](垝.md) |  | guǐ | [形]
毀壞的、坍塌的。如：「垝牆」。《聊齋志異．卷一．畫皮》：「心疑所作，乃踰垝垣，則室門亦閉。」 |</v>
      </c>
    </row>
    <row r="5599" spans="1:44" hidden="1">
      <c r="A5599" s="1" t="s">
        <v>10429</v>
      </c>
      <c r="C5599" s="1">
        <v>1</v>
      </c>
      <c r="D5599" s="1" t="str">
        <f>"04281"</f>
        <v>04281</v>
      </c>
      <c r="E5599" s="1" t="s">
        <v>534</v>
      </c>
      <c r="F5599" s="1">
        <v>9</v>
      </c>
      <c r="G5599" s="1">
        <v>6</v>
      </c>
      <c r="H5599" s="1">
        <v>0</v>
      </c>
      <c r="I5599" s="1" t="s">
        <v>10410</v>
      </c>
      <c r="K5599" s="1" t="str">
        <f t="shared" si="358"/>
        <v>ㄍ</v>
      </c>
      <c r="L5599" s="1" t="str">
        <f t="shared" si="359"/>
        <v>ㄨ</v>
      </c>
      <c r="M5599" s="1" t="str">
        <f t="shared" si="361"/>
        <v>ㄟ</v>
      </c>
      <c r="P5599" s="1" t="s">
        <v>20</v>
      </c>
      <c r="R5599" s="1" t="s">
        <v>10411</v>
      </c>
      <c r="V5599" s="1" t="s">
        <v>10430</v>
      </c>
      <c r="AR5599" s="1" t="str">
        <f t="shared" si="360"/>
        <v>| [ㄍㄨㄟˇ](ㄍㄨㄟˇ.md) | [姽](姽.md) |  | guǐ | [形]
優雅美好。《文選．宋玉．神女賦》：「既姽嫿於幽靜兮，又婆娑乎人間。」 |</v>
      </c>
    </row>
    <row r="5600" spans="1:44" hidden="1">
      <c r="A5600" s="1" t="s">
        <v>10431</v>
      </c>
      <c r="C5600" s="1">
        <v>1</v>
      </c>
      <c r="D5600" s="1" t="str">
        <f>"04282"</f>
        <v>04282</v>
      </c>
      <c r="E5600" s="1" t="s">
        <v>331</v>
      </c>
      <c r="F5600" s="1">
        <v>13</v>
      </c>
      <c r="G5600" s="1">
        <v>6</v>
      </c>
      <c r="H5600" s="1">
        <v>0</v>
      </c>
      <c r="I5600" s="1" t="s">
        <v>10410</v>
      </c>
      <c r="K5600" s="1" t="str">
        <f t="shared" si="358"/>
        <v>ㄍ</v>
      </c>
      <c r="L5600" s="1" t="str">
        <f t="shared" si="359"/>
        <v>ㄨ</v>
      </c>
      <c r="M5600" s="1" t="str">
        <f t="shared" si="361"/>
        <v>ㄟ</v>
      </c>
      <c r="P5600" s="1" t="s">
        <v>20</v>
      </c>
      <c r="R5600" s="1" t="s">
        <v>10411</v>
      </c>
      <c r="V5600" s="1" t="s">
        <v>10432</v>
      </c>
      <c r="AR5600" s="1" t="str">
        <f t="shared" si="360"/>
        <v>| [ㄍㄨㄟˇ](ㄍㄨㄟˇ.md) | [詭](詭.md) |  | guǐ | [動]
1.責求、要求。《說文解字．言部》：「詭，責也。」《後漢書．卷七六．循吏傳．孟嘗傳》：「先時宰守並多貪穢，詭人採求，不知紀極，珠遂漸徙於交阯郡界。」
2.違反、違背。如：「言行相詭」。《文選．班固．幽通賦》：「變化故而相詭兮，孰云預其終始。」
[形]
1.欺詐、狡猾。如：「詭計」、「詭策」。《孫子．計》：「兵者，詭道也，故能而示之不能。」
2.奇異、特殊。如：「詭異」、「詭譎」。《管子．法禁》：「詭俗異禮，大言法行。」《南史．卷五五．康絢傳》：「水中怪物，隨流而下，或人頭魚身，或龍形馬首，殊類詭狀，不可勝名。」 |</v>
      </c>
    </row>
    <row r="5601" spans="1:44" hidden="1">
      <c r="A5601" s="1" t="s">
        <v>10433</v>
      </c>
      <c r="C5601" s="1">
        <v>1</v>
      </c>
      <c r="D5601" s="1" t="str">
        <f>"04283"</f>
        <v>04283</v>
      </c>
      <c r="E5601" s="1" t="s">
        <v>1117</v>
      </c>
      <c r="F5601" s="1">
        <v>13</v>
      </c>
      <c r="G5601" s="1">
        <v>6</v>
      </c>
      <c r="H5601" s="1">
        <v>0</v>
      </c>
      <c r="I5601" s="1" t="s">
        <v>10410</v>
      </c>
      <c r="K5601" s="1" t="str">
        <f t="shared" si="358"/>
        <v>ㄍ</v>
      </c>
      <c r="L5601" s="1" t="str">
        <f t="shared" si="359"/>
        <v>ㄨ</v>
      </c>
      <c r="M5601" s="1" t="str">
        <f t="shared" si="361"/>
        <v>ㄟ</v>
      </c>
      <c r="P5601" s="1" t="s">
        <v>20</v>
      </c>
      <c r="R5601" s="1" t="s">
        <v>10411</v>
      </c>
      <c r="V5601" s="1" t="s">
        <v>10434</v>
      </c>
      <c r="AR5601" s="1" t="str">
        <f t="shared" si="360"/>
        <v>| [ㄍㄨㄟˇ](ㄍㄨㄟˇ.md) | [觤](觤.md) |  | guǐ | [形]
羊角不齊，一長一短的稱為「觤」。《說文解字．角部》：「觤，羊角不齊也。」《爾雅．釋畜》：「角不齊，觤。」 |</v>
      </c>
    </row>
    <row r="5602" spans="1:44" hidden="1">
      <c r="A5602" s="1" t="s">
        <v>10435</v>
      </c>
      <c r="C5602" s="1">
        <v>1</v>
      </c>
      <c r="D5602" s="1" t="str">
        <f>"04284"</f>
        <v>04284</v>
      </c>
      <c r="E5602" s="1" t="s">
        <v>147</v>
      </c>
      <c r="F5602" s="1">
        <v>9</v>
      </c>
      <c r="G5602" s="1">
        <v>4</v>
      </c>
      <c r="H5602" s="1">
        <v>0</v>
      </c>
      <c r="I5602" s="1" t="s">
        <v>10410</v>
      </c>
      <c r="K5602" s="1" t="str">
        <f t="shared" si="358"/>
        <v>ㄍ</v>
      </c>
      <c r="L5602" s="1" t="str">
        <f t="shared" si="359"/>
        <v>ㄨ</v>
      </c>
      <c r="M5602" s="1" t="str">
        <f t="shared" si="361"/>
        <v>ㄟ</v>
      </c>
      <c r="P5602" s="1" t="s">
        <v>20</v>
      </c>
      <c r="R5602" s="1" t="s">
        <v>10411</v>
      </c>
      <c r="V5602" s="1" t="s">
        <v>10436</v>
      </c>
      <c r="AR5602" s="1" t="str">
        <f t="shared" si="360"/>
        <v>| [ㄍㄨㄟˇ](ㄍㄨㄟˇ.md) | [癸](癸.md) |  | guǐ | [名]
1.天干的末位。
2.婦女的月經。參見「癸水」條。
3.姓。如宋代有癸仲。 |</v>
      </c>
    </row>
    <row r="5603" spans="1:44" hidden="1">
      <c r="A5603" s="1" t="s">
        <v>10437</v>
      </c>
      <c r="C5603" s="1">
        <v>1</v>
      </c>
      <c r="D5603" s="1" t="str">
        <f>"04285"</f>
        <v>04285</v>
      </c>
      <c r="E5603" s="1" t="s">
        <v>129</v>
      </c>
      <c r="F5603" s="1">
        <v>12</v>
      </c>
      <c r="G5603" s="1">
        <v>9</v>
      </c>
      <c r="H5603" s="1">
        <v>0</v>
      </c>
      <c r="I5603" s="1" t="s">
        <v>10410</v>
      </c>
      <c r="K5603" s="1" t="str">
        <f t="shared" si="358"/>
        <v>ㄍ</v>
      </c>
      <c r="L5603" s="1" t="str">
        <f t="shared" si="359"/>
        <v>ㄨ</v>
      </c>
      <c r="M5603" s="1" t="str">
        <f t="shared" si="361"/>
        <v>ㄟ</v>
      </c>
      <c r="P5603" s="1" t="s">
        <v>20</v>
      </c>
      <c r="R5603" s="1" t="s">
        <v>10411</v>
      </c>
      <c r="V5603" s="1" t="s">
        <v>10438</v>
      </c>
      <c r="AR5603" s="1" t="str">
        <f t="shared" si="360"/>
        <v>| [ㄍㄨㄟˇ](ㄍㄨㄟˇ.md) | [湀](湀.md) |  | guǐ | [名]
湀闢：通流的大河。亦泛指流水。清．張惠言〈黃山賦〉：「然後湀闢會流，交注群輸。」 |</v>
      </c>
    </row>
    <row r="5604" spans="1:44" hidden="1">
      <c r="A5604" s="1" t="s">
        <v>10439</v>
      </c>
      <c r="C5604" s="1">
        <v>1</v>
      </c>
      <c r="D5604" s="1" t="str">
        <f>"04286"</f>
        <v>04286</v>
      </c>
      <c r="E5604" s="1" t="s">
        <v>83</v>
      </c>
      <c r="F5604" s="1">
        <v>10</v>
      </c>
      <c r="G5604" s="1">
        <v>0</v>
      </c>
      <c r="H5604" s="1">
        <v>0</v>
      </c>
      <c r="I5604" s="1" t="s">
        <v>10410</v>
      </c>
      <c r="K5604" s="1" t="str">
        <f t="shared" si="358"/>
        <v>ㄍ</v>
      </c>
      <c r="L5604" s="1" t="str">
        <f t="shared" si="359"/>
        <v>ㄨ</v>
      </c>
      <c r="M5604" s="1" t="str">
        <f t="shared" si="361"/>
        <v>ㄟ</v>
      </c>
      <c r="P5604" s="1" t="s">
        <v>20</v>
      </c>
      <c r="R5604" s="1" t="s">
        <v>10411</v>
      </c>
      <c r="V5604" s="1" t="s">
        <v>10440</v>
      </c>
      <c r="AR5604" s="1" t="str">
        <f t="shared" si="360"/>
        <v>| [ㄍㄨㄟˇ](ㄍㄨㄟˇ.md) | [鬼](鬼.md) |  | guǐ | [名]
1.人死後的靈魂。如：「鬼魂」、「鬼怪」、「鬼使神差」、「有錢能使鬼推磨」。
2.有某種嗜好、行為或癖性不好的人。如：「酒鬼」、「賭鬼」、「小氣鬼」、「冒失鬼」。
3.詭計、噱頭。如：「搞鬼」、「搗鬼」。《紅樓夢》第五三回：「那又是你鳳姑娘的鬼，那裡就窮到如此。」
4.星宿名。二十八星宿之一，為南方朱雀七宿的第二宿。
5.星官名，鬼宿之首，由四顆星與M44星團組成，在西方屬巨蟹座。《晉書．卷一一．天文志上》：「輿鬼五星，天目也，主視，明察姦謀。」也稱為「輿鬼」。
6.姓。如黃帝時有鬼臾區。
7.二一四部首之一。
[形]
1.狡詐的、陰險的、不光明的。如：「鬼主意」、「鬼計多端」。
2.機靈的、靈巧的。如：「鬼靈精」。
3.惡劣的、糟糕的。如：「鬼天氣」、「這是什麼鬼地方啊？」
[副]
胡亂的、隨便的。如：「鬼混」、「鬼畫符」。 |</v>
      </c>
    </row>
    <row r="5605" spans="1:44" hidden="1">
      <c r="A5605" s="1" t="s">
        <v>10441</v>
      </c>
      <c r="C5605" s="1">
        <v>1</v>
      </c>
      <c r="D5605" s="1" t="str">
        <f>"04287"</f>
        <v>04287</v>
      </c>
      <c r="E5605" s="1" t="s">
        <v>646</v>
      </c>
      <c r="F5605" s="1">
        <v>12</v>
      </c>
      <c r="G5605" s="1">
        <v>8</v>
      </c>
      <c r="H5605" s="1">
        <v>0</v>
      </c>
      <c r="I5605" s="1" t="s">
        <v>10410</v>
      </c>
      <c r="K5605" s="1" t="str">
        <f t="shared" si="358"/>
        <v>ㄍ</v>
      </c>
      <c r="L5605" s="1" t="str">
        <f t="shared" si="359"/>
        <v>ㄨ</v>
      </c>
      <c r="M5605" s="1" t="str">
        <f t="shared" si="361"/>
        <v>ㄟ</v>
      </c>
      <c r="P5605" s="1" t="s">
        <v>20</v>
      </c>
      <c r="R5605" s="1" t="s">
        <v>10411</v>
      </c>
      <c r="V5605" s="1" t="s">
        <v>10442</v>
      </c>
      <c r="AR5605" s="1" t="str">
        <f t="shared" si="360"/>
        <v>| [ㄍㄨㄟˇ](ㄍㄨㄟˇ.md) | [晷](晷.md) |  | guǐ | [名]
1.日光、日影。《說文解字．日部》：「晷，日景也。」《漢書．卷一〇〇．敘傳下》：「應天順民，五星同晷。」唐．韓愈〈進學解〉：「焚膏油以繼晷，恆兀兀以窮年。」
2.利用日影來測定時刻的儀器。如：「立晷測影」。也稱為「日規」。
3.時光、時間。如：「日無暇晷」。晉．潘尼〈贈陸機出為吳王郎中令詩〉六首之六：「寸晷惟寶，豈無璵璠。」 |</v>
      </c>
    </row>
    <row r="5606" spans="1:44" hidden="1">
      <c r="A5606" s="1" t="s">
        <v>10443</v>
      </c>
      <c r="C5606" s="1">
        <v>1</v>
      </c>
      <c r="D5606" s="1" t="str">
        <f>"04288"</f>
        <v>04288</v>
      </c>
      <c r="E5606" s="1" t="s">
        <v>49</v>
      </c>
      <c r="F5606" s="1">
        <v>17</v>
      </c>
      <c r="G5606" s="1">
        <v>11</v>
      </c>
      <c r="H5606" s="1">
        <v>0</v>
      </c>
      <c r="I5606" s="1" t="s">
        <v>10410</v>
      </c>
      <c r="K5606" s="1" t="str">
        <f t="shared" si="358"/>
        <v>ㄍ</v>
      </c>
      <c r="L5606" s="1" t="str">
        <f t="shared" si="359"/>
        <v>ㄨ</v>
      </c>
      <c r="M5606" s="1" t="str">
        <f t="shared" si="361"/>
        <v>ㄟ</v>
      </c>
      <c r="P5606" s="1" t="s">
        <v>20</v>
      </c>
      <c r="R5606" s="1" t="s">
        <v>10411</v>
      </c>
      <c r="V5606" s="1" t="s">
        <v>10444</v>
      </c>
      <c r="AR5606" s="1" t="str">
        <f t="shared" si="360"/>
        <v>| [ㄍㄨㄟˇ](ㄍㄨㄟˇ.md) | [簋](簋.md) |  | guǐ | [名]
古代祭祀時盛黍稷的圓形器皿。《周禮．地官．舍人》：「凡祭祀，共簠簋，實之陳之。」漢．鄭玄．注：「方曰簠，圓曰簋，盛黍稷稻粱器。」漢．王符《潛夫論．讚學》：「夫瑚簋之器，朝祭之服，其始也，乃山野之木，蠶繭之絲耳。」 |</v>
      </c>
    </row>
    <row r="5607" spans="1:44" hidden="1">
      <c r="A5607" s="1" t="s">
        <v>10445</v>
      </c>
      <c r="C5607" s="1">
        <v>1</v>
      </c>
      <c r="D5607" s="1" t="str">
        <f>"04289"</f>
        <v>04289</v>
      </c>
      <c r="E5607" s="1" t="s">
        <v>336</v>
      </c>
      <c r="F5607" s="1">
        <v>8</v>
      </c>
      <c r="G5607" s="1">
        <v>4</v>
      </c>
      <c r="H5607" s="1">
        <v>1</v>
      </c>
      <c r="I5607" s="1" t="s">
        <v>10446</v>
      </c>
      <c r="K5607" s="1" t="str">
        <f t="shared" si="358"/>
        <v>ㄍ</v>
      </c>
      <c r="L5607" s="1" t="str">
        <f t="shared" si="359"/>
        <v>ㄨ</v>
      </c>
      <c r="M5607" s="1" t="str">
        <f t="shared" si="361"/>
        <v>ㄟ</v>
      </c>
      <c r="P5607" s="1" t="s">
        <v>20</v>
      </c>
      <c r="R5607" s="1" t="s">
        <v>10447</v>
      </c>
      <c r="V5607" s="1" t="s">
        <v>10448</v>
      </c>
      <c r="W5607" s="1" t="s">
        <v>10449</v>
      </c>
      <c r="AR5607" s="1" t="str">
        <f t="shared" si="360"/>
        <v>| [ㄍㄨㄟˋ](ㄍㄨㄟˋ.md) | [炔](炔.md) |  | guì | [形]
冒煙的樣子。《集韻．入聲．屑韻》：「炔，煙貌。」
[名]
姓。如春秋時齊國有炔欽。 |</v>
      </c>
    </row>
    <row r="5608" spans="1:44" hidden="1">
      <c r="A5608" s="1" t="s">
        <v>10450</v>
      </c>
      <c r="C5608" s="1">
        <v>1</v>
      </c>
      <c r="D5608" s="1" t="str">
        <f>"04290"</f>
        <v>04290</v>
      </c>
      <c r="E5608" s="1" t="s">
        <v>336</v>
      </c>
      <c r="F5608" s="1">
        <v>8</v>
      </c>
      <c r="G5608" s="1">
        <v>4</v>
      </c>
      <c r="H5608" s="1">
        <v>2</v>
      </c>
      <c r="I5608" s="1" t="s">
        <v>10446</v>
      </c>
      <c r="K5608" s="1" t="str">
        <f t="shared" si="358"/>
        <v>ㄍ</v>
      </c>
      <c r="L5608" s="1" t="str">
        <f t="shared" si="359"/>
        <v>ㄨ</v>
      </c>
      <c r="M5608" s="1" t="str">
        <f t="shared" si="361"/>
        <v>ㄟ</v>
      </c>
      <c r="P5608" s="1" t="s">
        <v>20</v>
      </c>
      <c r="R5608" s="1" t="s">
        <v>10447</v>
      </c>
      <c r="V5608" s="1" t="s">
        <v>10451</v>
      </c>
      <c r="W5608" s="1" t="s">
        <v>10452</v>
      </c>
      <c r="AR5608" s="1" t="str">
        <f t="shared" si="360"/>
        <v>| [ㄍㄨㄟˋ](ㄍㄨㄟˋ.md) | [炅](炅.md) |  | guì | [名]
姓。如漢代有炅橫。 |</v>
      </c>
    </row>
    <row r="5609" spans="1:44" hidden="1">
      <c r="A5609" s="1" t="s">
        <v>10453</v>
      </c>
      <c r="C5609" s="1">
        <v>1</v>
      </c>
      <c r="D5609" s="1" t="str">
        <f>"04291"</f>
        <v>04291</v>
      </c>
      <c r="E5609" s="1" t="s">
        <v>139</v>
      </c>
      <c r="F5609" s="1">
        <v>10</v>
      </c>
      <c r="G5609" s="1">
        <v>6</v>
      </c>
      <c r="H5609" s="1">
        <v>0</v>
      </c>
      <c r="I5609" s="1" t="s">
        <v>10446</v>
      </c>
      <c r="K5609" s="1" t="str">
        <f t="shared" si="358"/>
        <v>ㄍ</v>
      </c>
      <c r="L5609" s="1" t="str">
        <f t="shared" si="359"/>
        <v>ㄨ</v>
      </c>
      <c r="M5609" s="1" t="str">
        <f t="shared" si="361"/>
        <v>ㄟ</v>
      </c>
      <c r="P5609" s="1" t="s">
        <v>20</v>
      </c>
      <c r="R5609" s="1" t="s">
        <v>10447</v>
      </c>
      <c r="V5609" s="1" t="s">
        <v>10454</v>
      </c>
      <c r="AR5609" s="1" t="str">
        <f t="shared" si="360"/>
        <v>| [ㄍㄨㄟˋ](ㄍㄨㄟˋ.md) | [桂](桂.md) |  | guì | [名]
1.參見「肉桂」、「桂樹」等條。
2.傳說月中有桂樹，故以桂借指月亮。唐．李嶠〈人日侍宴大明宮恩賜綵縷人勝應制〉詩：「桂吐半輪迎此夜，蓂開七葉應今朝。」
3.姓。如漢代有桂褒。 |</v>
      </c>
    </row>
    <row r="5610" spans="1:44" hidden="1">
      <c r="A5610" s="1" t="s">
        <v>10455</v>
      </c>
      <c r="C5610" s="1">
        <v>1</v>
      </c>
      <c r="D5610" s="1" t="str">
        <f>"04292"</f>
        <v>04292</v>
      </c>
      <c r="E5610" s="1" t="s">
        <v>505</v>
      </c>
      <c r="F5610" s="1">
        <v>12</v>
      </c>
      <c r="G5610" s="1">
        <v>5</v>
      </c>
      <c r="H5610" s="1">
        <v>0</v>
      </c>
      <c r="I5610" s="1" t="s">
        <v>10446</v>
      </c>
      <c r="K5610" s="1" t="str">
        <f t="shared" si="358"/>
        <v>ㄍ</v>
      </c>
      <c r="L5610" s="1" t="str">
        <f t="shared" si="359"/>
        <v>ㄨ</v>
      </c>
      <c r="M5610" s="1" t="str">
        <f t="shared" si="361"/>
        <v>ㄟ</v>
      </c>
      <c r="P5610" s="1" t="s">
        <v>20</v>
      </c>
      <c r="R5610" s="1" t="s">
        <v>10447</v>
      </c>
      <c r="V5610" s="1" t="s">
        <v>10456</v>
      </c>
      <c r="AR5610" s="1" t="str">
        <f t="shared" si="360"/>
        <v>| [ㄍㄨㄟˋ](ㄍㄨㄟˋ.md) | [貴](貴.md) |  | guì | [形]
1.價錢高。如：「昂貴」。唐．杜甫〈歲晏行〉：「去年米貴闕軍食，今年米賤太傷農。」
2.地位崇高、優越。如：「貴族」。《聊齋志異．卷二．張誠》：「納以其貴公子，未敢仰視。」
3.品質高。如：「高貴」、「華貴」。
4.敬辭。如：「貴姓」、「貴國」、「貴寶地」。《水滸傳》第三回：「望乞恕罪，高抬貴手。」
[動]
注重、重視。如：「學貴有恆」、「人貴自立」。漢．鼂錯〈論貴粟疏〉：「是故明君貴五穀而賤金玉。」
[名]
1.尊顯的人或地位。如：「權貴」。《論語．里仁》：「富與貴，是人之所欲也；不以其道得之，不處也。」
2.大陸地區貴州省的簡稱。
3.姓。如漢代有貴遷。 |</v>
      </c>
    </row>
    <row r="5611" spans="1:44" hidden="1">
      <c r="A5611" s="1" t="s">
        <v>10457</v>
      </c>
      <c r="C5611" s="1">
        <v>1</v>
      </c>
      <c r="D5611" s="1" t="str">
        <f>"04293"</f>
        <v>04293</v>
      </c>
      <c r="E5611" s="1" t="s">
        <v>3892</v>
      </c>
      <c r="F5611" s="1">
        <v>14</v>
      </c>
      <c r="G5611" s="1">
        <v>12</v>
      </c>
      <c r="H5611" s="1">
        <v>2</v>
      </c>
      <c r="I5611" s="1" t="s">
        <v>10446</v>
      </c>
      <c r="K5611" s="1" t="str">
        <f t="shared" si="358"/>
        <v>ㄍ</v>
      </c>
      <c r="L5611" s="1" t="str">
        <f t="shared" si="359"/>
        <v>ㄨ</v>
      </c>
      <c r="M5611" s="1" t="str">
        <f t="shared" si="361"/>
        <v>ㄟ</v>
      </c>
      <c r="P5611" s="1" t="s">
        <v>20</v>
      </c>
      <c r="R5611" s="1" t="s">
        <v>10447</v>
      </c>
      <c r="V5611" s="1" t="s">
        <v>10458</v>
      </c>
      <c r="W5611" s="1" t="s">
        <v>10459</v>
      </c>
      <c r="AR5611" s="1" t="str">
        <f t="shared" si="360"/>
        <v>| [ㄍㄨㄟˋ](ㄍㄨㄟˋ.md) | [匱](匱.md) |  | guì | [名]
儲放東西的箱子。同「櫃」。《書經．金縢》：「公歸，乃納冊于金縢之匱中。」唐．韓愈〈送權秀才序〉：「伯樂之廄多良馬，卞和之匱多美玉。」 |</v>
      </c>
    </row>
    <row r="5612" spans="1:44" hidden="1">
      <c r="A5612" s="1" t="s">
        <v>10460</v>
      </c>
      <c r="C5612" s="1">
        <v>1</v>
      </c>
      <c r="D5612" s="1" t="str">
        <f>"04294"</f>
        <v>04294</v>
      </c>
      <c r="E5612" s="1" t="s">
        <v>139</v>
      </c>
      <c r="F5612" s="1">
        <v>18</v>
      </c>
      <c r="G5612" s="1">
        <v>14</v>
      </c>
      <c r="H5612" s="1">
        <v>0</v>
      </c>
      <c r="I5612" s="1" t="s">
        <v>10446</v>
      </c>
      <c r="K5612" s="1" t="str">
        <f t="shared" si="358"/>
        <v>ㄍ</v>
      </c>
      <c r="L5612" s="1" t="str">
        <f t="shared" si="359"/>
        <v>ㄨ</v>
      </c>
      <c r="M5612" s="1" t="str">
        <f t="shared" si="361"/>
        <v>ㄟ</v>
      </c>
      <c r="P5612" s="1" t="s">
        <v>20</v>
      </c>
      <c r="R5612" s="1" t="s">
        <v>10447</v>
      </c>
      <c r="V5612" s="1" t="s">
        <v>10461</v>
      </c>
      <c r="AR5612" s="1" t="str">
        <f t="shared" si="360"/>
        <v>| [ㄍㄨㄟˋ](ㄍㄨㄟˋ.md) | [櫃](櫃.md) |  | guì | [名]
收藏東西的箱櫥。如：「衣櫃」、「錢櫃」、「櫥櫃」。唐．白居易〈題文集櫃〉詩：「破柏作書櫃，櫃牢柏復堅。」也稱為「櫃子」、「櫃兒」。 |</v>
      </c>
    </row>
    <row r="5613" spans="1:44" hidden="1">
      <c r="A5613" s="1" t="s">
        <v>10462</v>
      </c>
      <c r="C5613" s="1">
        <v>1</v>
      </c>
      <c r="D5613" s="1" t="str">
        <f>"04295"</f>
        <v>04295</v>
      </c>
      <c r="E5613" s="1" t="s">
        <v>1015</v>
      </c>
      <c r="F5613" s="1">
        <v>17</v>
      </c>
      <c r="G5613" s="1">
        <v>12</v>
      </c>
      <c r="H5613" s="1">
        <v>1</v>
      </c>
      <c r="I5613" s="1" t="s">
        <v>10446</v>
      </c>
      <c r="K5613" s="1" t="str">
        <f t="shared" si="358"/>
        <v>ㄍ</v>
      </c>
      <c r="L5613" s="1" t="str">
        <f t="shared" si="359"/>
        <v>ㄨ</v>
      </c>
      <c r="M5613" s="1" t="str">
        <f t="shared" si="361"/>
        <v>ㄟ</v>
      </c>
      <c r="P5613" s="1" t="s">
        <v>20</v>
      </c>
      <c r="R5613" s="1" t="s">
        <v>10447</v>
      </c>
      <c r="V5613" s="1" t="s">
        <v>10463</v>
      </c>
      <c r="W5613" s="1" t="s">
        <v>10464</v>
      </c>
      <c r="AR5613" s="1" t="str">
        <f t="shared" si="360"/>
        <v>| [ㄍㄨㄟˋ](ㄍㄨㄟˋ.md) | [瞶](瞶.md) |  | guì | [名]
盲人、瞎子。三國魏．阮籍〈詠懷詩〉八二首之五七：「世有此聾瞶，芒芒將焉如。」
[形]
愚昧、糊塗。如：「昏瞶」。 |</v>
      </c>
    </row>
    <row r="5614" spans="1:44" hidden="1">
      <c r="A5614" s="1" t="s">
        <v>10465</v>
      </c>
      <c r="C5614" s="1">
        <v>1</v>
      </c>
      <c r="D5614" s="1" t="str">
        <f>"04296"</f>
        <v>04296</v>
      </c>
      <c r="E5614" s="1" t="s">
        <v>96</v>
      </c>
      <c r="F5614" s="1">
        <v>21</v>
      </c>
      <c r="G5614" s="1">
        <v>12</v>
      </c>
      <c r="H5614" s="1">
        <v>0</v>
      </c>
      <c r="I5614" s="1" t="s">
        <v>10446</v>
      </c>
      <c r="K5614" s="1" t="str">
        <f t="shared" si="358"/>
        <v>ㄍ</v>
      </c>
      <c r="L5614" s="1" t="str">
        <f t="shared" si="359"/>
        <v>ㄨ</v>
      </c>
      <c r="M5614" s="1" t="str">
        <f t="shared" si="361"/>
        <v>ㄟ</v>
      </c>
      <c r="P5614" s="1" t="s">
        <v>20</v>
      </c>
      <c r="R5614" s="1" t="s">
        <v>10447</v>
      </c>
      <c r="V5614" s="1" t="s">
        <v>10466</v>
      </c>
      <c r="AR5614" s="1" t="str">
        <f t="shared" si="360"/>
        <v>| [ㄍㄨㄟˋ](ㄍㄨㄟˋ.md) | [鞼](鞼.md) |  | guì | [名]
有紋彩的皮革。《說文解字．革部》：「鞼，革繡也。」《墨子．節用中》：「凡天下群百工，輪車鞼匏，陶冶梓匠，使各從事其所能。」
[動]
折斷。《淮南子．原道》：「疏達而不悖，堅強而不鞼。」 |</v>
      </c>
    </row>
    <row r="5615" spans="1:44" hidden="1">
      <c r="A5615" s="1" t="s">
        <v>10467</v>
      </c>
      <c r="C5615" s="1">
        <v>1</v>
      </c>
      <c r="D5615" s="1" t="str">
        <f>"04297"</f>
        <v>04297</v>
      </c>
      <c r="E5615" s="1" t="s">
        <v>77</v>
      </c>
      <c r="F5615" s="1">
        <v>13</v>
      </c>
      <c r="G5615" s="1">
        <v>6</v>
      </c>
      <c r="H5615" s="1">
        <v>0</v>
      </c>
      <c r="I5615" s="1" t="s">
        <v>10446</v>
      </c>
      <c r="K5615" s="1" t="str">
        <f t="shared" si="358"/>
        <v>ㄍ</v>
      </c>
      <c r="L5615" s="1" t="str">
        <f t="shared" si="359"/>
        <v>ㄨ</v>
      </c>
      <c r="M5615" s="1" t="str">
        <f t="shared" si="361"/>
        <v>ㄟ</v>
      </c>
      <c r="P5615" s="1" t="s">
        <v>20</v>
      </c>
      <c r="R5615" s="1" t="s">
        <v>10447</v>
      </c>
      <c r="V5615" s="1" t="s">
        <v>10468</v>
      </c>
      <c r="AR5615" s="1" t="str">
        <f t="shared" si="360"/>
        <v>| [ㄍㄨㄟˋ](ㄍㄨㄟˋ.md) | [跪](跪.md) |  | guì | [動]
屈膝著地。如：「下跪」、「跪坐」、「跪拜」、「跪地求饒」。《史記．卷六五．孫子吳起傳》：「婦人左右前後跪起，皆中規矩繩墨，無敢出聲。」
[名]
腳。《荀子．勸學》：「蟹六跪而二螯。」《韓非子．內儲說下》：「門者刖跪請曰：『足下無意賜之餘隸乎？』」 |</v>
      </c>
    </row>
    <row r="5616" spans="1:44" hidden="1">
      <c r="A5616" s="1" t="s">
        <v>10469</v>
      </c>
      <c r="C5616" s="1">
        <v>1</v>
      </c>
      <c r="D5616" s="1" t="str">
        <f>"04298"</f>
        <v>04298</v>
      </c>
      <c r="E5616" s="1" t="s">
        <v>6488</v>
      </c>
      <c r="F5616" s="1">
        <v>13</v>
      </c>
      <c r="G5616" s="1">
        <v>9</v>
      </c>
      <c r="H5616" s="1">
        <v>4</v>
      </c>
      <c r="I5616" s="1" t="s">
        <v>10446</v>
      </c>
      <c r="K5616" s="1" t="str">
        <f t="shared" si="358"/>
        <v>ㄍ</v>
      </c>
      <c r="L5616" s="1" t="str">
        <f t="shared" si="359"/>
        <v>ㄨ</v>
      </c>
      <c r="M5616" s="1" t="str">
        <f t="shared" si="361"/>
        <v>ㄟ</v>
      </c>
      <c r="P5616" s="1" t="s">
        <v>20</v>
      </c>
      <c r="R5616" s="1" t="s">
        <v>10447</v>
      </c>
      <c r="V5616" s="1" t="s">
        <v>10470</v>
      </c>
      <c r="W5616" s="1" t="s">
        <v>10471</v>
      </c>
      <c r="AR5616" s="1" t="str">
        <f t="shared" si="360"/>
        <v>| [ㄍㄨㄟˋ](ㄍㄨㄟˋ.md) | [會](會.md) |  | guì | 參見「會稽」條。 |</v>
      </c>
    </row>
    <row r="5617" spans="1:44" hidden="1">
      <c r="A5617" s="1" t="s">
        <v>10472</v>
      </c>
      <c r="C5617" s="1">
        <v>1</v>
      </c>
      <c r="D5617" s="1" t="str">
        <f>"04299"</f>
        <v>04299</v>
      </c>
      <c r="E5617" s="1" t="s">
        <v>185</v>
      </c>
      <c r="F5617" s="1">
        <v>15</v>
      </c>
      <c r="G5617" s="1">
        <v>13</v>
      </c>
      <c r="H5617" s="1">
        <v>2</v>
      </c>
      <c r="I5617" s="1" t="s">
        <v>10446</v>
      </c>
      <c r="K5617" s="1" t="str">
        <f t="shared" si="358"/>
        <v>ㄍ</v>
      </c>
      <c r="L5617" s="1" t="str">
        <f t="shared" si="359"/>
        <v>ㄨ</v>
      </c>
      <c r="M5617" s="1" t="str">
        <f t="shared" si="361"/>
        <v>ㄟ</v>
      </c>
      <c r="P5617" s="1" t="s">
        <v>110</v>
      </c>
      <c r="R5617" s="1" t="s">
        <v>10447</v>
      </c>
      <c r="V5617" s="1" t="s">
        <v>111</v>
      </c>
      <c r="W5617" s="1" t="s">
        <v>10473</v>
      </c>
      <c r="AR5617" s="1" t="str">
        <f t="shared" si="360"/>
        <v>| [ㄍㄨㄟˋ](ㄍㄨㄟˋ.md) | [劊](劊.md) |  | guì | (一)之又音。 |</v>
      </c>
    </row>
    <row r="5618" spans="1:44" hidden="1">
      <c r="A5618" s="1" t="s">
        <v>10474</v>
      </c>
      <c r="C5618" s="1">
        <v>1</v>
      </c>
      <c r="D5618" s="1" t="str">
        <f>"04300"</f>
        <v>04300</v>
      </c>
      <c r="E5618" s="1" t="s">
        <v>139</v>
      </c>
      <c r="F5618" s="1">
        <v>17</v>
      </c>
      <c r="G5618" s="1">
        <v>13</v>
      </c>
      <c r="H5618" s="1">
        <v>2</v>
      </c>
      <c r="I5618" s="1" t="s">
        <v>10446</v>
      </c>
      <c r="K5618" s="1" t="str">
        <f t="shared" si="358"/>
        <v>ㄍ</v>
      </c>
      <c r="L5618" s="1" t="str">
        <f t="shared" si="359"/>
        <v>ㄨ</v>
      </c>
      <c r="M5618" s="1" t="str">
        <f t="shared" si="361"/>
        <v>ㄟ</v>
      </c>
      <c r="P5618" s="1" t="s">
        <v>110</v>
      </c>
      <c r="R5618" s="1" t="s">
        <v>10447</v>
      </c>
      <c r="V5618" s="1" t="s">
        <v>111</v>
      </c>
      <c r="W5618" s="1" t="s">
        <v>10475</v>
      </c>
      <c r="AR5618" s="1" t="str">
        <f t="shared" si="360"/>
        <v>| [ㄍㄨㄟˋ](ㄍㄨㄟˋ.md) | [檜](檜.md) |  | guì | (一)之又音。 |</v>
      </c>
    </row>
    <row r="5619" spans="1:44" hidden="1">
      <c r="A5619" s="1" t="s">
        <v>10476</v>
      </c>
      <c r="C5619" s="1">
        <v>1</v>
      </c>
      <c r="D5619" s="1" t="str">
        <f>"04301"</f>
        <v>04301</v>
      </c>
      <c r="E5619" s="1" t="s">
        <v>825</v>
      </c>
      <c r="F5619" s="1">
        <v>18</v>
      </c>
      <c r="G5619" s="1">
        <v>13</v>
      </c>
      <c r="H5619" s="1">
        <v>0</v>
      </c>
      <c r="I5619" s="1" t="s">
        <v>10446</v>
      </c>
      <c r="K5619" s="1" t="str">
        <f t="shared" si="358"/>
        <v>ㄍ</v>
      </c>
      <c r="L5619" s="1" t="str">
        <f t="shared" si="359"/>
        <v>ㄨ</v>
      </c>
      <c r="M5619" s="1" t="str">
        <f t="shared" si="361"/>
        <v>ㄟ</v>
      </c>
      <c r="P5619" s="1" t="s">
        <v>20</v>
      </c>
      <c r="R5619" s="1" t="s">
        <v>10447</v>
      </c>
      <c r="V5619" s="1" t="s">
        <v>10477</v>
      </c>
      <c r="AR5619" s="1" t="str">
        <f t="shared" si="360"/>
        <v>| [ㄍㄨㄟˋ](ㄍㄨㄟˋ.md) | [禬](禬.md) |  | guì | [名]
1.去除疾病災禍的祭祀。《周禮．天官．女祝》：「掌以時招梗禬之事，以除疾殃。」
2.古代諸侯聚合財貨以相救濟之禮。《周禮．秋官．大行人》：「賀慶以贊諸侯之喜，致禬以補諸侯之災。」 |</v>
      </c>
    </row>
    <row r="5620" spans="1:44" hidden="1">
      <c r="A5620" s="1" t="s">
        <v>10478</v>
      </c>
      <c r="C5620" s="1">
        <v>1</v>
      </c>
      <c r="D5620" s="1" t="str">
        <f>"04302"</f>
        <v>04302</v>
      </c>
      <c r="E5620" s="1" t="s">
        <v>340</v>
      </c>
      <c r="F5620" s="1">
        <v>19</v>
      </c>
      <c r="G5620" s="1">
        <v>13</v>
      </c>
      <c r="H5620" s="1">
        <v>0</v>
      </c>
      <c r="I5620" s="1" t="s">
        <v>10446</v>
      </c>
      <c r="K5620" s="1" t="str">
        <f t="shared" si="358"/>
        <v>ㄍ</v>
      </c>
      <c r="L5620" s="1" t="str">
        <f t="shared" si="359"/>
        <v>ㄨ</v>
      </c>
      <c r="M5620" s="1" t="str">
        <f t="shared" si="361"/>
        <v>ㄟ</v>
      </c>
      <c r="P5620" s="1" t="s">
        <v>20</v>
      </c>
      <c r="R5620" s="1" t="s">
        <v>10447</v>
      </c>
      <c r="V5620" s="1" t="s">
        <v>10479</v>
      </c>
      <c r="AR5620" s="1" t="str">
        <f t="shared" si="360"/>
        <v>| [ㄍㄨㄟˋ](ㄍㄨㄟˋ.md) | [襘](襘.md) |  | guì | [名]
衣領交叉的地方。《左傳．昭公十一年》：「衣有襘，帶有結。」晉．杜預．注：「襘，領會。」 |</v>
      </c>
    </row>
    <row r="5621" spans="1:44" hidden="1">
      <c r="A5621" s="1" t="s">
        <v>10480</v>
      </c>
      <c r="C5621" s="1">
        <v>1</v>
      </c>
      <c r="D5621" s="1" t="str">
        <f>"04303"</f>
        <v>04303</v>
      </c>
      <c r="E5621" s="1" t="s">
        <v>185</v>
      </c>
      <c r="F5621" s="1">
        <v>15</v>
      </c>
      <c r="G5621" s="1">
        <v>13</v>
      </c>
      <c r="H5621" s="1">
        <v>0</v>
      </c>
      <c r="I5621" s="1" t="s">
        <v>10446</v>
      </c>
      <c r="K5621" s="1" t="str">
        <f t="shared" si="358"/>
        <v>ㄍ</v>
      </c>
      <c r="L5621" s="1" t="str">
        <f t="shared" si="359"/>
        <v>ㄨ</v>
      </c>
      <c r="M5621" s="1" t="str">
        <f t="shared" si="361"/>
        <v>ㄟ</v>
      </c>
      <c r="P5621" s="1" t="s">
        <v>20</v>
      </c>
      <c r="R5621" s="1" t="s">
        <v>10447</v>
      </c>
      <c r="V5621" s="1" t="s">
        <v>10481</v>
      </c>
      <c r="AR5621" s="1" t="str">
        <f t="shared" si="360"/>
        <v>| [ㄍㄨㄟˋ](ㄍㄨㄟˋ.md) | [劌](劌.md) |  | guì | [動]
傷、割。《禮記．聘義》：「廉而不劌，義也。」元．虞集〈悅生堂記〉：「內劌其心，外伐其形。」 |</v>
      </c>
    </row>
    <row r="5622" spans="1:44" hidden="1">
      <c r="A5622" s="1" t="s">
        <v>10482</v>
      </c>
      <c r="C5622" s="1">
        <v>1</v>
      </c>
      <c r="D5622" s="1" t="str">
        <f>"04304"</f>
        <v>04304</v>
      </c>
      <c r="E5622" s="1" t="s">
        <v>190</v>
      </c>
      <c r="F5622" s="1">
        <v>15</v>
      </c>
      <c r="G5622" s="1">
        <v>12</v>
      </c>
      <c r="H5622" s="1">
        <v>1</v>
      </c>
      <c r="I5622" s="1" t="s">
        <v>10446</v>
      </c>
      <c r="K5622" s="1" t="str">
        <f t="shared" si="358"/>
        <v>ㄍ</v>
      </c>
      <c r="L5622" s="1" t="str">
        <f t="shared" si="359"/>
        <v>ㄨ</v>
      </c>
      <c r="M5622" s="1" t="str">
        <f t="shared" si="361"/>
        <v>ㄟ</v>
      </c>
      <c r="P5622" s="1" t="s">
        <v>20</v>
      </c>
      <c r="R5622" s="1" t="s">
        <v>10447</v>
      </c>
      <c r="V5622" s="1" t="s">
        <v>10483</v>
      </c>
      <c r="W5622" s="1" t="s">
        <v>10484</v>
      </c>
      <c r="AR5622" s="1" t="str">
        <f t="shared" si="360"/>
        <v>| [ㄍㄨㄟˋ](ㄍㄨㄟˋ.md) | [嶡](嶡.md) |  | guì | [形]
山崛起的樣子。《字彙．山部》：「嶡，山嶡起貌。」 |</v>
      </c>
    </row>
    <row r="5623" spans="1:44" hidden="1">
      <c r="A5623" s="1" t="s">
        <v>10485</v>
      </c>
      <c r="C5623" s="1">
        <v>1</v>
      </c>
      <c r="D5623" s="1" t="str">
        <f>"04305"</f>
        <v>04305</v>
      </c>
      <c r="E5623" s="1" t="s">
        <v>156</v>
      </c>
      <c r="F5623" s="1">
        <v>23</v>
      </c>
      <c r="G5623" s="1">
        <v>12</v>
      </c>
      <c r="H5623" s="1">
        <v>1</v>
      </c>
      <c r="I5623" s="1" t="s">
        <v>10446</v>
      </c>
      <c r="K5623" s="1" t="str">
        <f t="shared" si="358"/>
        <v>ㄍ</v>
      </c>
      <c r="L5623" s="1" t="str">
        <f t="shared" si="359"/>
        <v>ㄨ</v>
      </c>
      <c r="M5623" s="1" t="str">
        <f t="shared" si="361"/>
        <v>ㄟ</v>
      </c>
      <c r="P5623" s="1" t="s">
        <v>20</v>
      </c>
      <c r="R5623" s="1" t="s">
        <v>10447</v>
      </c>
      <c r="V5623" s="1" t="s">
        <v>10486</v>
      </c>
      <c r="W5623" s="1" t="s">
        <v>10487</v>
      </c>
      <c r="AR5623" s="1" t="str">
        <f t="shared" si="360"/>
        <v>| [ㄍㄨㄟˋ](ㄍㄨㄟˋ.md) | [鱖](鱖.md) |  | guì | [名]
動物名。魚綱鱸科。體側扁，顏色淡黃帶褐，具不規則的黑色斑紋。口大有細鱗，背鰭具硬棘，為凶猛的魚類。喜食魚蝦，大陸地區各大河流、湖泊均產。肉質鮮嫩美味，為淡水食用魚類之一。也稱為「花鯽」、「桂魚」。 |</v>
      </c>
    </row>
    <row r="5624" spans="1:44" hidden="1">
      <c r="A5624" s="1" t="s">
        <v>10488</v>
      </c>
      <c r="C5624" s="1">
        <v>1</v>
      </c>
      <c r="D5624" s="1" t="str">
        <f>"04306"</f>
        <v>04306</v>
      </c>
      <c r="E5624" s="1" t="s">
        <v>624</v>
      </c>
      <c r="F5624" s="1">
        <v>8</v>
      </c>
      <c r="G5624" s="1">
        <v>5</v>
      </c>
      <c r="H5624" s="1">
        <v>0</v>
      </c>
      <c r="I5624" s="1" t="s">
        <v>10489</v>
      </c>
      <c r="K5624" s="1" t="str">
        <f t="shared" si="358"/>
        <v>ㄍ</v>
      </c>
      <c r="L5624" s="1" t="str">
        <f t="shared" si="359"/>
        <v>ㄨ</v>
      </c>
      <c r="M5624" s="1" t="str">
        <f t="shared" si="361"/>
        <v>ㄢ</v>
      </c>
      <c r="P5624" s="1" t="s">
        <v>20</v>
      </c>
      <c r="R5624" s="1" t="s">
        <v>10490</v>
      </c>
      <c r="V5624" s="1" t="s">
        <v>10491</v>
      </c>
      <c r="AR5624" s="1" t="str">
        <f t="shared" si="360"/>
        <v>| [ㄍㄨㄢ](ㄍㄨㄢ.md) | [官](官.md) |  | guān | [名]
1.在政府機關擔任公職的人。《字彙．宀部》：「官，宦也。」如：「縣官」、「法官」、「貪官汙吏」。《書經．咸有一德》：「任官惟賢材，左右惟其人。」
2.宦吏的居處。《論語．子張》：「不見宗廟之美，百官之富。」
3.職位、官職。如：「辭官歸隱」。漢．王充《論衡．命祿》：「智慮深而無財，才能高而無官。」
4.對人的尊稱。如：「看官」、「客官」。
5.生物體中負責某種獨立機能的組織。如：「器官」、「感官」、「五官」。《孟子．告子上》：「耳目之官不思而蔽於物，物交物則引之而已矣。」
6.姓。如宋代有官熙。
[動]
1.任命、授職。《禮記．學記》：「君子大德不官，大道不器。」漢．曹操〈論吏士行能令〉：「故明君不官無功之臣，不賞不戰之士。」
2.任職。《禮記．雜記下》：「管仲死，桓公使為之服。官於大夫者之為之服也，自管仲始也。」
[形]
國家的、政府的。如：「官費」、「官倉」、「官方說法」。《文選．任昉．王文憲集序》：「春秋三十有八七年五月三日，薨於建康官舍。」 |</v>
      </c>
    </row>
    <row r="5625" spans="1:44" hidden="1">
      <c r="A5625" s="1" t="s">
        <v>10492</v>
      </c>
      <c r="C5625" s="1">
        <v>1</v>
      </c>
      <c r="D5625" s="1" t="str">
        <f>"04307"</f>
        <v>04307</v>
      </c>
      <c r="E5625" s="1" t="s">
        <v>114</v>
      </c>
      <c r="F5625" s="1">
        <v>10</v>
      </c>
      <c r="G5625" s="1">
        <v>8</v>
      </c>
      <c r="H5625" s="1">
        <v>0</v>
      </c>
      <c r="I5625" s="1" t="s">
        <v>10489</v>
      </c>
      <c r="K5625" s="1" t="str">
        <f t="shared" si="358"/>
        <v>ㄍ</v>
      </c>
      <c r="L5625" s="1" t="str">
        <f t="shared" si="359"/>
        <v>ㄨ</v>
      </c>
      <c r="M5625" s="1" t="str">
        <f t="shared" si="361"/>
        <v>ㄢ</v>
      </c>
      <c r="P5625" s="1" t="s">
        <v>20</v>
      </c>
      <c r="R5625" s="1" t="s">
        <v>10490</v>
      </c>
      <c r="V5625" s="1" t="s">
        <v>10493</v>
      </c>
      <c r="AR5625" s="1" t="str">
        <f t="shared" si="360"/>
        <v>| [ㄍㄨㄢ](ㄍㄨㄢ.md) | [倌](倌.md) |  | guān | [名]
1.古代稱執役的小臣。《說文解字．人部》：「倌，小臣也。」《詩經．鄘風．定之方中》：「命彼倌人，星言夙駕，說于桑田。」
2.以前稱在茶坊、飯館等服雜役的人。如：「堂倌」。
3.舊時農村中飼養牲畜的人。如：「羊倌」、「牛倌」、「豬倌」。 |</v>
      </c>
    </row>
    <row r="5626" spans="1:44" hidden="1">
      <c r="A5626" s="1" t="s">
        <v>10494</v>
      </c>
      <c r="C5626" s="1">
        <v>1</v>
      </c>
      <c r="D5626" s="1" t="str">
        <f>"04308"</f>
        <v>04308</v>
      </c>
      <c r="E5626" s="1" t="s">
        <v>139</v>
      </c>
      <c r="F5626" s="1">
        <v>12</v>
      </c>
      <c r="G5626" s="1">
        <v>8</v>
      </c>
      <c r="H5626" s="1">
        <v>0</v>
      </c>
      <c r="I5626" s="1" t="s">
        <v>10489</v>
      </c>
      <c r="K5626" s="1" t="str">
        <f t="shared" si="358"/>
        <v>ㄍ</v>
      </c>
      <c r="L5626" s="1" t="str">
        <f t="shared" si="359"/>
        <v>ㄨ</v>
      </c>
      <c r="M5626" s="1" t="str">
        <f t="shared" si="361"/>
        <v>ㄢ</v>
      </c>
      <c r="P5626" s="1" t="s">
        <v>20</v>
      </c>
      <c r="R5626" s="1" t="s">
        <v>10490</v>
      </c>
      <c r="V5626" s="1" t="s">
        <v>10495</v>
      </c>
      <c r="AR5626" s="1" t="str">
        <f t="shared" si="360"/>
        <v>| [ㄍㄨㄢ](ㄍㄨㄢ.md) | [棺](棺.md) |  | guān | [名]
裝斂屍體的器具。如：「棺材」、「蓋棺論定」。《論語．先進》：「鯉也死，有棺而無椁，吾不徒行以為之椁。」 |</v>
      </c>
    </row>
    <row r="5627" spans="1:44" hidden="1">
      <c r="A5627" s="1" t="s">
        <v>10496</v>
      </c>
      <c r="C5627" s="1">
        <v>1</v>
      </c>
      <c r="D5627" s="1" t="str">
        <f>"04309"</f>
        <v>04309</v>
      </c>
      <c r="E5627" s="1" t="s">
        <v>3359</v>
      </c>
      <c r="F5627" s="1">
        <v>9</v>
      </c>
      <c r="G5627" s="1">
        <v>7</v>
      </c>
      <c r="H5627" s="1">
        <v>1</v>
      </c>
      <c r="I5627" s="1" t="s">
        <v>10489</v>
      </c>
      <c r="K5627" s="1" t="str">
        <f t="shared" si="358"/>
        <v>ㄍ</v>
      </c>
      <c r="L5627" s="1" t="str">
        <f t="shared" si="359"/>
        <v>ㄨ</v>
      </c>
      <c r="M5627" s="1" t="str">
        <f t="shared" si="361"/>
        <v>ㄢ</v>
      </c>
      <c r="P5627" s="1" t="s">
        <v>20</v>
      </c>
      <c r="R5627" s="1" t="s">
        <v>10490</v>
      </c>
      <c r="V5627" s="1" t="s">
        <v>10497</v>
      </c>
      <c r="W5627" s="1" t="s">
        <v>10498</v>
      </c>
      <c r="AR5627" s="1" t="str">
        <f t="shared" si="360"/>
        <v>| [ㄍㄨㄢ](ㄍㄨㄢ.md) | [冠](冠.md) |  | guān | [名]
1.帽子。如：「皇冠」、「鳳冠」、「桂冠」、「怒髮衝冠」。《左傳．哀公十五年》：「君子死，冠不免。」
2.位於頂端像帽子的東西。如：「雞冠」、「花冠」。南朝陳．徐陵〈鬥雞〉詩：「花冠已衝力，芥爪復驚媒。」 |</v>
      </c>
    </row>
    <row r="5628" spans="1:44" hidden="1">
      <c r="A5628" s="1" t="s">
        <v>10499</v>
      </c>
      <c r="C5628" s="1">
        <v>1</v>
      </c>
      <c r="D5628" s="1" t="str">
        <f>"04310"</f>
        <v>04310</v>
      </c>
      <c r="E5628" s="1" t="s">
        <v>2930</v>
      </c>
      <c r="F5628" s="1">
        <v>9</v>
      </c>
      <c r="G5628" s="1">
        <v>4</v>
      </c>
      <c r="H5628" s="1">
        <v>2</v>
      </c>
      <c r="I5628" s="1" t="s">
        <v>10489</v>
      </c>
      <c r="K5628" s="1" t="str">
        <f t="shared" si="358"/>
        <v>ㄍ</v>
      </c>
      <c r="L5628" s="1" t="str">
        <f t="shared" si="359"/>
        <v>ㄨ</v>
      </c>
      <c r="M5628" s="1" t="str">
        <f t="shared" si="361"/>
        <v>ㄢ</v>
      </c>
      <c r="P5628" s="1" t="s">
        <v>20</v>
      </c>
      <c r="R5628" s="1" t="s">
        <v>10490</v>
      </c>
      <c r="V5628" s="1" t="s">
        <v>10500</v>
      </c>
      <c r="W5628" s="1" t="s">
        <v>10501</v>
      </c>
      <c r="AR5628" s="1" t="str">
        <f t="shared" si="360"/>
        <v>| [ㄍㄨㄢ](ㄍㄨㄢ.md) | [矜](矜.md) |  | guān | [名]
老而無妻的人。通「鰥」。《詩經．大雅．烝民》：「不侮矜寡，不畏彊禦。」《禮記．禮運》：「矜、寡、孤、獨、廢、疾者，皆有所養。」
[動]
生病、患病。通「瘝」。《詩經．小雅．何草不黃》：「何草不玄，何人不矜。」《後漢書．卷四．孝和帝紀》：「朕寤寐恫矜，思弭憂釁。」 |</v>
      </c>
    </row>
    <row r="5629" spans="1:44" hidden="1">
      <c r="A5629" s="1" t="s">
        <v>10502</v>
      </c>
      <c r="C5629" s="1">
        <v>1</v>
      </c>
      <c r="D5629" s="1" t="str">
        <f>"04311"</f>
        <v>04311</v>
      </c>
      <c r="E5629" s="1" t="s">
        <v>37</v>
      </c>
      <c r="F5629" s="1">
        <v>11</v>
      </c>
      <c r="G5629" s="1">
        <v>7</v>
      </c>
      <c r="H5629" s="1">
        <v>3</v>
      </c>
      <c r="I5629" s="1" t="s">
        <v>10489</v>
      </c>
      <c r="K5629" s="1" t="str">
        <f t="shared" si="358"/>
        <v>ㄍ</v>
      </c>
      <c r="L5629" s="1" t="str">
        <f t="shared" si="359"/>
        <v>ㄨ</v>
      </c>
      <c r="M5629" s="1" t="str">
        <f t="shared" si="361"/>
        <v>ㄢ</v>
      </c>
      <c r="P5629" s="1" t="s">
        <v>20</v>
      </c>
      <c r="R5629" s="1" t="s">
        <v>10490</v>
      </c>
      <c r="V5629" s="1" t="s">
        <v>10503</v>
      </c>
      <c r="W5629" s="1" t="s">
        <v>10504</v>
      </c>
      <c r="AR5629" s="1" t="str">
        <f t="shared" si="360"/>
        <v>| [ㄍㄨㄢ](ㄍㄨㄢ.md) | [莞](莞.md) |  | guān | [名]
1.植物名：(1)莎草科藨草屬，多年生草本，根莖粗壯。生於池沼、澤畔。莖圓柱形，高五十至八十公分，下部具三、四片葉鞘，最上方葉鞘著有葉片。長側枝聚繖花序側生，輻射枝多枚，小穗單生或二至三枚簇生，褐色。莖可用來編織器物。也稱為「水蔥」。(2)繖形科當歸屬，「白芷」之古稱。參見「白芷」條。
2.用莞織成的蓆子。《詩經．小雅．斯干》：「下莞上簟，乃安斯寢。」漢．鄭玄．箋：「莞，小蒲之蓆也。」
3.姓。如三國時吳國有莞恭。 |</v>
      </c>
    </row>
    <row r="5630" spans="1:44" hidden="1">
      <c r="A5630" s="1" t="s">
        <v>9372</v>
      </c>
      <c r="C5630" s="1">
        <v>1</v>
      </c>
      <c r="D5630" s="1" t="str">
        <f>"04312"</f>
        <v>04312</v>
      </c>
      <c r="E5630" s="1" t="s">
        <v>725</v>
      </c>
      <c r="F5630" s="1">
        <v>14</v>
      </c>
      <c r="G5630" s="1">
        <v>8</v>
      </c>
      <c r="H5630" s="1">
        <v>2</v>
      </c>
      <c r="I5630" s="1" t="s">
        <v>10489</v>
      </c>
      <c r="K5630" s="1" t="str">
        <f t="shared" si="358"/>
        <v>ㄍ</v>
      </c>
      <c r="L5630" s="1" t="str">
        <f t="shared" si="359"/>
        <v>ㄨ</v>
      </c>
      <c r="M5630" s="1" t="str">
        <f t="shared" si="361"/>
        <v>ㄢ</v>
      </c>
      <c r="P5630" s="1" t="s">
        <v>20</v>
      </c>
      <c r="R5630" s="1" t="s">
        <v>10490</v>
      </c>
      <c r="V5630" s="1" t="s">
        <v>10505</v>
      </c>
      <c r="W5630" s="1" t="s">
        <v>10506</v>
      </c>
      <c r="AR5630" s="1" t="str">
        <f t="shared" si="360"/>
        <v>| [ㄍㄨㄢ](ㄍㄨㄢ.md) | [綸](綸.md) |  | guān | 參見「綸巾」條。 |</v>
      </c>
    </row>
    <row r="5631" spans="1:44" hidden="1">
      <c r="A5631" s="1" t="s">
        <v>10507</v>
      </c>
      <c r="C5631" s="1">
        <v>1</v>
      </c>
      <c r="D5631" s="1" t="str">
        <f>"04313"</f>
        <v>04313</v>
      </c>
      <c r="E5631" s="1" t="s">
        <v>40</v>
      </c>
      <c r="F5631" s="1">
        <v>15</v>
      </c>
      <c r="G5631" s="1">
        <v>10</v>
      </c>
      <c r="H5631" s="1">
        <v>0</v>
      </c>
      <c r="I5631" s="1" t="s">
        <v>10489</v>
      </c>
      <c r="K5631" s="1" t="str">
        <f t="shared" ref="K5631:K5694" si="362">LEFT(I5631, 1)</f>
        <v>ㄍ</v>
      </c>
      <c r="L5631" s="1" t="str">
        <f t="shared" ref="L5631:L5694" si="363">MID(I5631, 2, 1)</f>
        <v>ㄨ</v>
      </c>
      <c r="M5631" s="1" t="str">
        <f t="shared" si="361"/>
        <v>ㄢ</v>
      </c>
      <c r="P5631" s="1" t="s">
        <v>20</v>
      </c>
      <c r="R5631" s="1" t="s">
        <v>10490</v>
      </c>
      <c r="V5631" s="1" t="s">
        <v>10508</v>
      </c>
      <c r="AR5631" s="1" t="str">
        <f t="shared" si="360"/>
        <v>| [ㄍㄨㄢ](ㄍㄨㄢ.md) | [瘝](瘝.md) |  | guān | [動]
1.患病。通「矜」。《書經．康誥》：「嗚呼！小子封，恫瘝乃身。敬哉！」
2.曠廢。《書經．冏命》：「非人其吉，惟貨其吉，若時瘝厥官。」
[名]
疾苦。明．徐光啟《農政全書．卷三．農本．國朝重農考》：「民瘝不上聞，至此乎！召父老問所苦，賜以尚食。」 |</v>
      </c>
    </row>
    <row r="5632" spans="1:44" hidden="1">
      <c r="A5632" s="1" t="s">
        <v>10509</v>
      </c>
      <c r="C5632" s="1">
        <v>1</v>
      </c>
      <c r="D5632" s="1" t="str">
        <f>"04314"</f>
        <v>04314</v>
      </c>
      <c r="E5632" s="1" t="s">
        <v>156</v>
      </c>
      <c r="F5632" s="1">
        <v>21</v>
      </c>
      <c r="G5632" s="1">
        <v>10</v>
      </c>
      <c r="H5632" s="1">
        <v>0</v>
      </c>
      <c r="I5632" s="1" t="s">
        <v>10489</v>
      </c>
      <c r="K5632" s="1" t="str">
        <f t="shared" si="362"/>
        <v>ㄍ</v>
      </c>
      <c r="L5632" s="1" t="str">
        <f t="shared" si="363"/>
        <v>ㄨ</v>
      </c>
      <c r="M5632" s="1" t="str">
        <f t="shared" si="361"/>
        <v>ㄢ</v>
      </c>
      <c r="P5632" s="1" t="s">
        <v>20</v>
      </c>
      <c r="R5632" s="1" t="s">
        <v>10490</v>
      </c>
      <c r="V5632" s="1" t="s">
        <v>10510</v>
      </c>
      <c r="AR5632" s="1" t="str">
        <f t="shared" si="360"/>
        <v>| [ㄍㄨㄢ](ㄍㄨㄢ.md) | [鰥](鰥.md) |  | guān | [名]
年老無妻或喪妻的人。《詩經．小雅．鴻鴈》：「爰及矜人，哀此鰥寡。」 |</v>
      </c>
    </row>
    <row r="5633" spans="1:44" hidden="1">
      <c r="A5633" s="1" t="s">
        <v>10511</v>
      </c>
      <c r="C5633" s="1">
        <v>1</v>
      </c>
      <c r="D5633" s="1" t="str">
        <f>"04315"</f>
        <v>04315</v>
      </c>
      <c r="E5633" s="1" t="s">
        <v>709</v>
      </c>
      <c r="F5633" s="1">
        <v>19</v>
      </c>
      <c r="G5633" s="1">
        <v>11</v>
      </c>
      <c r="H5633" s="1">
        <v>0</v>
      </c>
      <c r="I5633" s="1" t="s">
        <v>10489</v>
      </c>
      <c r="K5633" s="1" t="str">
        <f t="shared" si="362"/>
        <v>ㄍ</v>
      </c>
      <c r="L5633" s="1" t="str">
        <f t="shared" si="363"/>
        <v>ㄨ</v>
      </c>
      <c r="M5633" s="1" t="str">
        <f t="shared" si="361"/>
        <v>ㄢ</v>
      </c>
      <c r="P5633" s="1" t="s">
        <v>20</v>
      </c>
      <c r="R5633" s="1" t="s">
        <v>10490</v>
      </c>
      <c r="V5633" s="1" t="s">
        <v>10512</v>
      </c>
      <c r="AR5633" s="1" t="str">
        <f t="shared" si="360"/>
        <v>| [ㄍㄨㄢ](ㄍㄨㄢ.md) | [關](關.md) |  | guān | [動]
1.掩閉、閉合。與「開」相對。如：「關門」。《文選．陶淵明．歸去來辭》：「園日涉以成趣，門雖設而常關。」
2.拘禁。如：「鳥被關在籠中。」、「他被關在牢裡。」
3.息，使作用或功能停止。如：「關機」、「關燈」。
4.牽涉、連繫。如：「事關緊要」。宋．歐陽修〈玉樓春．尊前擬把歸期說〉詞：「人生自是有情痴，此恨不關風與月。」
5.領取。如：「關餉」。《紅樓夢》第五三回：「賈珍因問尤氏：『咱們春祭的恩賞可領了不曾？』尤氏道：『今兒我打發蓉兒關去了。』」
[名]
1.門閂。《漢書．卷六六．楊敞傳》：「聞前曾有奔車抵殿門，門關折。」《聊齋志異．卷五．荷花三娘子》：「一夜，閉戶獨酌，忽聞彈指敲窗，拔關出視，則狐女也。」
2.國境或邊險要塞的出入口。如：「海關」、「山海關」、「嘉峪關」。《孟子．盡心下》：「古之為關也，將以禦暴。」
3.事物或時間演進過程中的重要時刻、階段。如：「難關」、「過此一關，必無大礙。」、「百歲大關」。唐．韓愈〈題炭谷湫祠堂〉詩：「不知誰為助，若執造化關。」
4.控制機器開啟或停止的機件。如：「開關」。《後漢書．卷五九．張衡傳》：「中有都柱，傍行八道，施關發機。」
5.姓。如三國時蜀國有關羽。 |</v>
      </c>
    </row>
    <row r="5634" spans="1:44" hidden="1">
      <c r="A5634" s="1" t="s">
        <v>10513</v>
      </c>
      <c r="C5634" s="1">
        <v>1</v>
      </c>
      <c r="D5634" s="1" t="str">
        <f>"04316"</f>
        <v>04316</v>
      </c>
      <c r="E5634" s="1" t="s">
        <v>2233</v>
      </c>
      <c r="F5634" s="1">
        <v>25</v>
      </c>
      <c r="G5634" s="1">
        <v>18</v>
      </c>
      <c r="H5634" s="1">
        <v>1</v>
      </c>
      <c r="I5634" s="1" t="s">
        <v>10489</v>
      </c>
      <c r="K5634" s="1" t="str">
        <f t="shared" si="362"/>
        <v>ㄍ</v>
      </c>
      <c r="L5634" s="1" t="str">
        <f t="shared" si="363"/>
        <v>ㄨ</v>
      </c>
      <c r="M5634" s="1" t="str">
        <f t="shared" si="361"/>
        <v>ㄢ</v>
      </c>
      <c r="P5634" s="1" t="s">
        <v>20</v>
      </c>
      <c r="R5634" s="1" t="s">
        <v>10490</v>
      </c>
      <c r="V5634" s="1" t="s">
        <v>10514</v>
      </c>
      <c r="W5634" s="1" t="s">
        <v>10515</v>
      </c>
      <c r="AR5634" s="1" t="str">
        <f t="shared" si="360"/>
        <v>| [ㄍㄨㄢ](ㄍㄨㄢ.md) | [觀](觀.md) |  | guān | [動]
1.察看、審視。如：「察言觀色」、「坐井觀天」、「當局者迷，旁觀者清。」《易經．繫辭下》：「仰則觀象於天，俯則觀法於地。」宋．程顥〈秋日偶成〉詩：「萬物靜觀皆自得，四時佳興與人同。」
2.欣賞。如：「觀賞」、「參觀」。《左傳．襄公二十九年》：「請觀於周樂。」宋．辛棄疾〈沁園春．三徑初成〉詞：「要小舟行釣，先應種柳；疏籬護竹，莫礙觀梅。」
3.顯示。《左傳．僖公四年》：「觀兵於東夷。」晉．杜預．注：「觀兵示威。」《呂氏春秋．不苟論．博志》：「上二士者可謂能學矣，可謂無害之矣，此其所以觀後世已。」
[名]
1.景象、情景。如：「奇觀」、「外觀」、「恢復舊觀」。《文選．司馬相如．封禪文》：「皇皇哉此，天下之壯觀。」
2.看法。如：「人生觀」、「世界觀」。《後漢書．卷八十．文苑傳上．黃香傳》：「帝會中山邸，乃詔香殿下，顧謂諸王曰：『此天下無雙，江夏黃童者也。』左右莫不改觀。」
3.姓。如春秋時楚國有觀起。 |</v>
      </c>
    </row>
    <row r="5635" spans="1:44" hidden="1">
      <c r="A5635" s="1" t="s">
        <v>10516</v>
      </c>
      <c r="C5635" s="1">
        <v>1</v>
      </c>
      <c r="D5635" s="1" t="str">
        <f>"04317"</f>
        <v>04317</v>
      </c>
      <c r="E5635" s="1" t="s">
        <v>156</v>
      </c>
      <c r="F5635" s="1">
        <v>24</v>
      </c>
      <c r="G5635" s="1">
        <v>13</v>
      </c>
      <c r="H5635" s="1">
        <v>0</v>
      </c>
      <c r="I5635" s="1" t="s">
        <v>10489</v>
      </c>
      <c r="K5635" s="1" t="str">
        <f t="shared" si="362"/>
        <v>ㄍ</v>
      </c>
      <c r="L5635" s="1" t="str">
        <f t="shared" si="363"/>
        <v>ㄨ</v>
      </c>
      <c r="M5635" s="1" t="str">
        <f t="shared" si="361"/>
        <v>ㄢ</v>
      </c>
      <c r="P5635" s="1" t="s">
        <v>20</v>
      </c>
      <c r="R5635" s="1" t="s">
        <v>10490</v>
      </c>
      <c r="V5635" s="1" t="s">
        <v>10517</v>
      </c>
      <c r="AR5635" s="1" t="str">
        <f t="shared" ref="AR5635:AR5698" si="364">"| ["&amp;I5635&amp;"]("&amp;I5635&amp;".md) | ["&amp;A5635&amp;"]("&amp;A5635&amp;".md) | "&amp;" | "&amp;R5635&amp;" | "&amp;V5635&amp;" |"</f>
        <v>| [ㄍㄨㄢ](ㄍㄨㄢ.md) | [鱞](鱞.md) |  | guān | [名]
一種魚。《古今圖書集成．卷一四八．雜魚部》：「鱞魚大者如指，長八寸，有鋒刺，脊骨美滑，宜羹。」
[形]
男子年老無妻或喪偶。《楚辭．屈原．天問》：「舜閔在家，父何以鱞」漢．王逸．注：「無妻曰鱞。」 |</v>
      </c>
    </row>
    <row r="5636" spans="1:44" hidden="1">
      <c r="A5636" s="1" t="s">
        <v>10502</v>
      </c>
      <c r="C5636" s="1">
        <v>1</v>
      </c>
      <c r="D5636" s="1" t="str">
        <f>"04318"</f>
        <v>04318</v>
      </c>
      <c r="E5636" s="1" t="s">
        <v>37</v>
      </c>
      <c r="F5636" s="1">
        <v>11</v>
      </c>
      <c r="G5636" s="1">
        <v>7</v>
      </c>
      <c r="H5636" s="1">
        <v>2</v>
      </c>
      <c r="I5636" s="1" t="s">
        <v>10518</v>
      </c>
      <c r="K5636" s="1" t="str">
        <f t="shared" si="362"/>
        <v>ㄍ</v>
      </c>
      <c r="L5636" s="1" t="str">
        <f t="shared" si="363"/>
        <v>ㄨ</v>
      </c>
      <c r="M5636" s="1" t="str">
        <f t="shared" si="361"/>
        <v>ㄢ</v>
      </c>
      <c r="P5636" s="1" t="s">
        <v>20</v>
      </c>
      <c r="R5636" s="1" t="s">
        <v>10519</v>
      </c>
      <c r="V5636" s="1" t="s">
        <v>10520</v>
      </c>
      <c r="W5636" s="1" t="s">
        <v>10521</v>
      </c>
      <c r="AR5636" s="1" t="str">
        <f t="shared" si="364"/>
        <v>| [ㄍㄨㄢˇ](ㄍㄨㄢˇ.md) | [莞](莞.md) |  | guǎn | [名]
東莞：縣名。位於大陸地區廣東省廣州市東南，東江下游。 |</v>
      </c>
    </row>
    <row r="5637" spans="1:44" hidden="1">
      <c r="A5637" s="1" t="s">
        <v>10522</v>
      </c>
      <c r="C5637" s="1">
        <v>1</v>
      </c>
      <c r="D5637" s="1" t="str">
        <f>"04319"</f>
        <v>04319</v>
      </c>
      <c r="E5637" s="1" t="s">
        <v>68</v>
      </c>
      <c r="F5637" s="1">
        <v>11</v>
      </c>
      <c r="G5637" s="1">
        <v>7</v>
      </c>
      <c r="H5637" s="1">
        <v>2</v>
      </c>
      <c r="I5637" s="1" t="s">
        <v>10518</v>
      </c>
      <c r="K5637" s="1" t="str">
        <f t="shared" si="362"/>
        <v>ㄍ</v>
      </c>
      <c r="L5637" s="1" t="str">
        <f t="shared" si="363"/>
        <v>ㄨ</v>
      </c>
      <c r="M5637" s="1" t="str">
        <f t="shared" si="361"/>
        <v>ㄢ</v>
      </c>
      <c r="P5637" s="1" t="s">
        <v>186</v>
      </c>
      <c r="R5637" s="1" t="s">
        <v>10519</v>
      </c>
      <c r="V5637" s="1" t="s">
        <v>206</v>
      </c>
      <c r="W5637" s="1" t="s">
        <v>10523</v>
      </c>
      <c r="AR5637" s="1" t="str">
        <f t="shared" si="364"/>
        <v>| [ㄍㄨㄢˇ](ㄍㄨㄢˇ.md) | [脘](脘.md) |  | guǎn | (一)之讀音。 |</v>
      </c>
    </row>
    <row r="5638" spans="1:44" hidden="1">
      <c r="A5638" s="1" t="s">
        <v>10524</v>
      </c>
      <c r="C5638" s="1">
        <v>1</v>
      </c>
      <c r="D5638" s="1" t="str">
        <f>"04320"</f>
        <v>04320</v>
      </c>
      <c r="E5638" s="1" t="s">
        <v>49</v>
      </c>
      <c r="F5638" s="1">
        <v>13</v>
      </c>
      <c r="G5638" s="1">
        <v>7</v>
      </c>
      <c r="H5638" s="1">
        <v>0</v>
      </c>
      <c r="I5638" s="1" t="s">
        <v>10518</v>
      </c>
      <c r="K5638" s="1" t="str">
        <f t="shared" si="362"/>
        <v>ㄍ</v>
      </c>
      <c r="L5638" s="1" t="str">
        <f t="shared" si="363"/>
        <v>ㄨ</v>
      </c>
      <c r="M5638" s="1" t="str">
        <f t="shared" si="361"/>
        <v>ㄢ</v>
      </c>
      <c r="P5638" s="1" t="s">
        <v>20</v>
      </c>
      <c r="R5638" s="1" t="s">
        <v>10519</v>
      </c>
      <c r="V5638" s="1" t="s">
        <v>10525</v>
      </c>
      <c r="AR5638" s="1" t="str">
        <f t="shared" si="364"/>
        <v>| [ㄍㄨㄢˇ](ㄍㄨㄢˇ.md) | [筦](筦.md) |  | guǎn | [名]
1.同「管」。
2.姓。如漢代有筦路。 |</v>
      </c>
    </row>
    <row r="5639" spans="1:44" hidden="1">
      <c r="A5639" s="1" t="s">
        <v>10526</v>
      </c>
      <c r="C5639" s="1">
        <v>1</v>
      </c>
      <c r="D5639" s="1" t="str">
        <f>"04321"</f>
        <v>04321</v>
      </c>
      <c r="E5639" s="1" t="s">
        <v>142</v>
      </c>
      <c r="F5639" s="1">
        <v>12</v>
      </c>
      <c r="G5639" s="1">
        <v>8</v>
      </c>
      <c r="H5639" s="1">
        <v>0</v>
      </c>
      <c r="I5639" s="1" t="s">
        <v>10518</v>
      </c>
      <c r="K5639" s="1" t="str">
        <f t="shared" si="362"/>
        <v>ㄍ</v>
      </c>
      <c r="L5639" s="1" t="str">
        <f t="shared" si="363"/>
        <v>ㄨ</v>
      </c>
      <c r="M5639" s="1" t="str">
        <f t="shared" si="361"/>
        <v>ㄢ</v>
      </c>
      <c r="P5639" s="1" t="s">
        <v>20</v>
      </c>
      <c r="R5639" s="1" t="s">
        <v>10519</v>
      </c>
      <c r="V5639" s="1" t="s">
        <v>10527</v>
      </c>
      <c r="AR5639" s="1" t="str">
        <f t="shared" si="364"/>
        <v>| [ㄍㄨㄢˇ](ㄍㄨㄢˇ.md) | [琯](琯.md) |  | guǎn | [名]
以玉製成的管樂器。《說文解字．竹部》：「琯，古者管以玉。」南朝梁．武帝〈白紵辭〉二首之一：「朱絲玉柱羅象筵，飛琯促節舞少年。」
[動]
磨治金玉，使其光滑潤澤。《集韻．去聲．圂韻》：「琯，治金玉使瑩曰琯。」 |</v>
      </c>
    </row>
    <row r="5640" spans="1:44" hidden="1">
      <c r="A5640" s="1" t="s">
        <v>10528</v>
      </c>
      <c r="C5640" s="1">
        <v>1</v>
      </c>
      <c r="D5640" s="1" t="str">
        <f>"04322"</f>
        <v>04322</v>
      </c>
      <c r="E5640" s="1" t="s">
        <v>40</v>
      </c>
      <c r="F5640" s="1">
        <v>13</v>
      </c>
      <c r="G5640" s="1">
        <v>8</v>
      </c>
      <c r="H5640" s="1">
        <v>0</v>
      </c>
      <c r="I5640" s="1" t="s">
        <v>10518</v>
      </c>
      <c r="K5640" s="1" t="str">
        <f t="shared" si="362"/>
        <v>ㄍ</v>
      </c>
      <c r="L5640" s="1" t="str">
        <f t="shared" si="363"/>
        <v>ㄨ</v>
      </c>
      <c r="M5640" s="1" t="str">
        <f t="shared" si="361"/>
        <v>ㄢ</v>
      </c>
      <c r="P5640" s="1" t="s">
        <v>20</v>
      </c>
      <c r="R5640" s="1" t="s">
        <v>10519</v>
      </c>
      <c r="V5640" s="1" t="s">
        <v>10529</v>
      </c>
      <c r="AR5640" s="1" t="str">
        <f t="shared" si="364"/>
        <v>| [ㄍㄨㄢˇ](ㄍㄨㄢˇ.md) | [痯](痯.md) |  | guǎn | [形]
疲憊沒有精神的樣子。《詩經．小雅．杕杜》：「檀車幝幝，四牡痯痯。」漢．毛亨．傳：「痯痯，罷貌。」 |</v>
      </c>
    </row>
    <row r="5641" spans="1:44" hidden="1">
      <c r="A5641" s="1" t="s">
        <v>10530</v>
      </c>
      <c r="C5641" s="1">
        <v>1</v>
      </c>
      <c r="D5641" s="1" t="str">
        <f>"04323"</f>
        <v>04323</v>
      </c>
      <c r="E5641" s="1" t="s">
        <v>49</v>
      </c>
      <c r="F5641" s="1">
        <v>14</v>
      </c>
      <c r="G5641" s="1">
        <v>8</v>
      </c>
      <c r="H5641" s="1">
        <v>0</v>
      </c>
      <c r="I5641" s="1" t="s">
        <v>10518</v>
      </c>
      <c r="K5641" s="1" t="str">
        <f t="shared" si="362"/>
        <v>ㄍ</v>
      </c>
      <c r="L5641" s="1" t="str">
        <f t="shared" si="363"/>
        <v>ㄨ</v>
      </c>
      <c r="M5641" s="1" t="str">
        <f t="shared" si="361"/>
        <v>ㄢ</v>
      </c>
      <c r="P5641" s="1" t="s">
        <v>20</v>
      </c>
      <c r="R5641" s="1" t="s">
        <v>10519</v>
      </c>
      <c r="V5641" s="1" t="s">
        <v>10531</v>
      </c>
      <c r="AR5641" s="1" t="str">
        <f t="shared" si="364"/>
        <v>| [ㄍㄨㄢˇ](ㄍㄨㄢˇ.md) | [管](管.md) |  | guǎn | [名]_x000D_
1.樂器名，吹管樂器。以竹製成，上有六孔，可吹氣發聲。《說文解字．竹部》：「管，如篪，六孔，十二月之音，物開地牙，故謂之管。」近代使用的管多為木製，分大、中、小三種形制，上開八孔，前七後一，使用蘆葦製哨子吹奏。_x000D_
2.管樂器的通稱。《孟子．梁惠王下》：「百姓聞王鐘鼓之聲，管籥之音，舉疾首蹙頞而相告。」晉．陸機〈文賦〉：「被金石而德廣，流管弦而日新。」_x000D_
3.中空的圓柱形物體。如：「水管」、「燈管」、「橡皮管」。_x000D_
4.借指筆。南朝梁．劉孝標〈答劉之遴借類苑書〉：「搦管聯冊，纂茲奇英。」_x000D_
5.鑰匙。《左傳．僖公三十二年》：「鄭人使我掌其北門之管。」《北史．卷三三．列傳．李靈》：「元等入城，收管籥。」_x000D_
6.姓。如春秋時齊國有管仲。_x000D_
[動]_x000D_
1.主持、辦理。如：「管理」、「管轄」。《史記．卷八七．李斯列傳》：「管事二十餘年。」_x000D_
2.約束、教導。如：「管教」、「看管」。《紅樓夢》第五九回：「乾的我管不得，你是我肚裡掉出來的，難道也不敢管你不成？」_x000D_
3.理會、顧慮。如：「別管他，我們先走。」《紅樓夢》第五九回：「姑娘你不知道，別管我們閒事。」_x000D_
4.關係、干涉。《紅樓夢》第二〇回：「去不去，管我什麼事？」_x000D_
5.擔任、負責。如：「我管招呼，你管收禮。」_x000D_
6.負責供給。如：「管吃管住」。_x000D_
[副]_x000D_
保證、鐵定。如：「包管你會滿意。」《西遊記》第一一回：「陛下寬心，微臣管送陛下還陽，重登玉關。」_x000D_
[介]_x000D_
將、把，與「叫」合用。如：「我管祖母叫奶奶。」、「大家都管他叫大哥。」 |</v>
      </c>
    </row>
    <row r="5642" spans="1:44" hidden="1">
      <c r="A5642" s="1" t="s">
        <v>10532</v>
      </c>
      <c r="C5642" s="1">
        <v>1</v>
      </c>
      <c r="D5642" s="1" t="str">
        <f>"04324"</f>
        <v>04324</v>
      </c>
      <c r="E5642" s="1" t="s">
        <v>55</v>
      </c>
      <c r="F5642" s="1">
        <v>16</v>
      </c>
      <c r="G5642" s="1">
        <v>8</v>
      </c>
      <c r="H5642" s="1">
        <v>0</v>
      </c>
      <c r="I5642" s="1" t="s">
        <v>10518</v>
      </c>
      <c r="K5642" s="1" t="str">
        <f t="shared" si="362"/>
        <v>ㄍ</v>
      </c>
      <c r="L5642" s="1" t="str">
        <f t="shared" si="363"/>
        <v>ㄨ</v>
      </c>
      <c r="M5642" s="1" t="str">
        <f t="shared" si="361"/>
        <v>ㄢ</v>
      </c>
      <c r="P5642" s="1" t="s">
        <v>20</v>
      </c>
      <c r="R5642" s="1" t="s">
        <v>10519</v>
      </c>
      <c r="V5642" s="1" t="s">
        <v>10533</v>
      </c>
      <c r="AR5642" s="1" t="str">
        <f t="shared" si="364"/>
        <v>| [ㄍㄨㄢˇ](ㄍㄨㄢˇ.md) | [錧](錧.md) |  | guǎn | [名]
1.包在車轂前端的蓋套，用鐵或木製成。《玉篇．金部》：「錧，車具也。」《儀禮．既夕禮》：「木錧，約緩約轡。」唐．賈公彥．疏：「其車錧常用金，喪用木，是取少聲也。」
2.犁田的農具。《集韻．上聲．緩韻》：「錧，田器。」 |</v>
      </c>
    </row>
    <row r="5643" spans="1:44" hidden="1">
      <c r="A5643" s="1" t="s">
        <v>10534</v>
      </c>
      <c r="C5643" s="1">
        <v>1</v>
      </c>
      <c r="D5643" s="1" t="str">
        <f>"04325"</f>
        <v>04325</v>
      </c>
      <c r="E5643" s="1" t="s">
        <v>193</v>
      </c>
      <c r="F5643" s="1">
        <v>16</v>
      </c>
      <c r="G5643" s="1">
        <v>8</v>
      </c>
      <c r="H5643" s="1">
        <v>0</v>
      </c>
      <c r="I5643" s="1" t="s">
        <v>10518</v>
      </c>
      <c r="K5643" s="1" t="str">
        <f t="shared" si="362"/>
        <v>ㄍ</v>
      </c>
      <c r="L5643" s="1" t="str">
        <f t="shared" si="363"/>
        <v>ㄨ</v>
      </c>
      <c r="M5643" s="1" t="str">
        <f t="shared" si="361"/>
        <v>ㄢ</v>
      </c>
      <c r="P5643" s="1" t="s">
        <v>20</v>
      </c>
      <c r="R5643" s="1" t="s">
        <v>10519</v>
      </c>
      <c r="V5643" s="1" t="s">
        <v>10535</v>
      </c>
      <c r="AR5643" s="1" t="str">
        <f t="shared" si="364"/>
        <v>| [ㄍㄨㄢˇ](ㄍㄨㄢˇ.md) | [館](館.md) |  | guǎn | [名]
1.供賓客住宿的地方。如：「旅館」、「賓館」。
2.房舍、住所。如：「公館」、「別館」、「行館」。《文選．潘岳．懷舊賦》：「今九載而一來，空館閴其無人。」
3.供人進行文化活動的公共場所。如：「圖書館」、「博物館」、「美術館」。
4.供客人飲食娛樂或從事某些工作的場所、商店。如：「餐館」、「酒館」、「茶館」、「照相館」。
5.官署。如：「大使館」、「領事館」。
6.舊時授徒教學的場所。如：「蒙館」。《醒世恆言．卷七．錢秀才錯占鳳凰儔》：「錢青雖知不是同調，卻也藉他館地，為讀書之資，每事左湊著他。」
[動]
安頓、接待。《左傳．僖公五年》：「冬，十二月，丙子朔，晉滅虢，虢公醜奔京師，師還，館于虞。」唐．韓愈〈柳州羅池廟碑〉：「其夕，夢翼而告之曰：『館我於羅池。』」 |</v>
      </c>
    </row>
    <row r="5644" spans="1:44" hidden="1">
      <c r="A5644" s="1" t="s">
        <v>10536</v>
      </c>
      <c r="C5644" s="1">
        <v>1</v>
      </c>
      <c r="D5644" s="1" t="str">
        <f>"04326"</f>
        <v>04326</v>
      </c>
      <c r="E5644" s="1" t="s">
        <v>4869</v>
      </c>
      <c r="F5644" s="1">
        <v>14</v>
      </c>
      <c r="G5644" s="1">
        <v>10</v>
      </c>
      <c r="H5644" s="1">
        <v>2</v>
      </c>
      <c r="I5644" s="1" t="s">
        <v>10518</v>
      </c>
      <c r="K5644" s="1" t="str">
        <f t="shared" si="362"/>
        <v>ㄍ</v>
      </c>
      <c r="L5644" s="1" t="str">
        <f t="shared" si="363"/>
        <v>ㄨ</v>
      </c>
      <c r="M5644" s="1" t="str">
        <f t="shared" si="361"/>
        <v>ㄢ</v>
      </c>
      <c r="P5644" s="1" t="s">
        <v>20</v>
      </c>
      <c r="R5644" s="1" t="s">
        <v>10519</v>
      </c>
      <c r="V5644" s="1" t="s">
        <v>10537</v>
      </c>
      <c r="W5644" s="1" t="s">
        <v>10538</v>
      </c>
      <c r="AR5644" s="1" t="str">
        <f t="shared" si="364"/>
        <v>| [ㄍㄨㄢˇ](ㄍㄨㄢˇ.md) | [斡](斡.md) |  | guǎn | [動]
主管。《漢書．卷二四．食貨志下》：「浮食奇民欲擅斡山海之貨，以致富羨。」《新唐書．卷一六六．杜佑傳》：「天性精於吏職，為治不皦察，數斡計賦，相民利病而上下之。」 |</v>
      </c>
    </row>
    <row r="5645" spans="1:44" hidden="1">
      <c r="A5645" s="1" t="s">
        <v>10539</v>
      </c>
      <c r="C5645" s="1">
        <v>1</v>
      </c>
      <c r="D5645" s="1" t="str">
        <f>"04327"</f>
        <v>04327</v>
      </c>
      <c r="E5645" s="1" t="s">
        <v>2870</v>
      </c>
      <c r="F5645" s="1">
        <v>4</v>
      </c>
      <c r="G5645" s="1">
        <v>0</v>
      </c>
      <c r="H5645" s="1">
        <v>0</v>
      </c>
      <c r="I5645" s="1" t="s">
        <v>10540</v>
      </c>
      <c r="K5645" s="1" t="str">
        <f t="shared" si="362"/>
        <v>ㄍ</v>
      </c>
      <c r="L5645" s="1" t="str">
        <f t="shared" si="363"/>
        <v>ㄨ</v>
      </c>
      <c r="M5645" s="1" t="str">
        <f t="shared" si="361"/>
        <v>ㄢ</v>
      </c>
      <c r="P5645" s="1" t="s">
        <v>20</v>
      </c>
      <c r="R5645" s="1" t="s">
        <v>10541</v>
      </c>
      <c r="V5645" s="1" t="s">
        <v>10542</v>
      </c>
      <c r="AR5645" s="1" t="str">
        <f t="shared" si="364"/>
        <v>| [ㄍㄨㄢˋ](ㄍㄨㄢˋ.md) | [毌](毌.md) |  | guàn | [動]
貫穿、貫通。通「貫」。《說文解字．毋部》：「毌，穿物持之也。」 |</v>
      </c>
    </row>
    <row r="5646" spans="1:44" hidden="1">
      <c r="A5646" s="1" t="s">
        <v>10543</v>
      </c>
      <c r="C5646" s="1">
        <v>1</v>
      </c>
      <c r="D5646" s="1" t="str">
        <f>"04328"</f>
        <v>04328</v>
      </c>
      <c r="E5646" s="1" t="s">
        <v>505</v>
      </c>
      <c r="F5646" s="1">
        <v>11</v>
      </c>
      <c r="G5646" s="1">
        <v>4</v>
      </c>
      <c r="H5646" s="1">
        <v>0</v>
      </c>
      <c r="I5646" s="1" t="s">
        <v>10540</v>
      </c>
      <c r="K5646" s="1" t="str">
        <f t="shared" si="362"/>
        <v>ㄍ</v>
      </c>
      <c r="L5646" s="1" t="str">
        <f t="shared" si="363"/>
        <v>ㄨ</v>
      </c>
      <c r="M5646" s="1" t="str">
        <f t="shared" si="361"/>
        <v>ㄢ</v>
      </c>
      <c r="P5646" s="1" t="s">
        <v>20</v>
      </c>
      <c r="R5646" s="1" t="s">
        <v>10541</v>
      </c>
      <c r="V5646" s="1" t="s">
        <v>10544</v>
      </c>
      <c r="AR5646" s="1" t="str">
        <f t="shared" si="364"/>
        <v>| [ㄍㄨㄢˋ](ㄍㄨㄢˋ.md) | [貫](貫.md) |  | guàn | [名]
1.古時穿錢的繩索。《說文解字．毋部》：「貫，錢貝之毌。」《史記．卷三〇．平準書》：「京師之錢累巨萬，貫朽而不可校。」
2.量詞。古代計算錢幣的單位。一千錢為一貫。如：「萬貫家財」。《京本通俗小說．錯斬崔寧》：「當下吃了午飯，丈人取出十五貫錢來。」
3.原籍、世居的地方。如：「籍貫」。《漢書．卷九．元帝紀》：「惟德淺薄，不足以充入舊貫之居。」元．喬吉《金錢記》第一折：「老夫姓王名輔，字公弼，祖貫在京人氏。」
4.姓。如戰國時齊有貫珠。
[動]
1.穿通、通達。如：「貫穿」、「貫通」。《左傳．成公二年》：「矢貫余手及肘。」《論語．里仁》：「吾道一以貫之。」
2.連接、連續。如：「連貫」、「魚貫而入」。《荀子．王霸》：「若夫貫日而治詳。」
3.灌注。如：「如雷貫耳」。《警世通言．卷三一．趙春兒重旺曹家莊》：「照樣做成貫鉛的假元寶，一個換一個。」
4.穿戴。漢．王充《論衡．祀義》：「以所見長大之神貫一尺之衣，其肯喜而加福於人乎？」《西遊記》第四回：「戴上紫金冠，貫上黃金甲，登上步雲鞋。」
5.張、拉。《後漢書．卷二〇．祭遵傳》：「肜有勇力，能貫三百斤弓。」
[副]
習慣。通「慣」。《左傳．襄公三十一年》：「譬如田獵，射御貫則能獲禽。」《孟子．滕文公下》：「我不貫與小人乘，請辭。」 |</v>
      </c>
    </row>
    <row r="5647" spans="1:44" hidden="1">
      <c r="A5647" s="1" t="s">
        <v>10545</v>
      </c>
      <c r="C5647" s="1">
        <v>1</v>
      </c>
      <c r="D5647" s="1" t="str">
        <f>"04329"</f>
        <v>04329</v>
      </c>
      <c r="E5647" s="1" t="s">
        <v>250</v>
      </c>
      <c r="F5647" s="1">
        <v>14</v>
      </c>
      <c r="G5647" s="1">
        <v>11</v>
      </c>
      <c r="H5647" s="1">
        <v>0</v>
      </c>
      <c r="I5647" s="1" t="s">
        <v>10540</v>
      </c>
      <c r="K5647" s="1" t="str">
        <f t="shared" si="362"/>
        <v>ㄍ</v>
      </c>
      <c r="L5647" s="1" t="str">
        <f t="shared" si="363"/>
        <v>ㄨ</v>
      </c>
      <c r="M5647" s="1" t="str">
        <f t="shared" si="361"/>
        <v>ㄢ</v>
      </c>
      <c r="P5647" s="1" t="s">
        <v>20</v>
      </c>
      <c r="R5647" s="1" t="s">
        <v>10541</v>
      </c>
      <c r="V5647" s="1" t="s">
        <v>10546</v>
      </c>
      <c r="AR5647" s="1" t="str">
        <f t="shared" si="364"/>
        <v>| [ㄍㄨㄢˋ](ㄍㄨㄢˋ.md) | [慣](慣.md) |  | guàn | [名]
經久養成的習性。如：「抽菸是個壞習慣。」
[動]
1.嬌寵、縱容。如：「他從小被父親慣壞了。」《紅樓夢》第三八回：「老太太因為喜歡他，纔慣的他這樣。」
2.穿通、通透。同「貫」。《薛仁貴征遼事略》：「臣當一臂慣之，使陛下知臣不老。」《水滸傳》第五九回：「學成武藝慣心胸。」
[副]
習以為常。如：「做慣了就不覺得累了。」唐．白居易〈新樂府．新豐折臂翁〉：「慣聽梨園歌管聲，不識旗槍與弓箭。」 |</v>
      </c>
    </row>
    <row r="5648" spans="1:44" hidden="1">
      <c r="A5648" s="1" t="s">
        <v>10547</v>
      </c>
      <c r="C5648" s="1">
        <v>1</v>
      </c>
      <c r="D5648" s="1" t="str">
        <f>"04330"</f>
        <v>04330</v>
      </c>
      <c r="E5648" s="1" t="s">
        <v>24</v>
      </c>
      <c r="F5648" s="1">
        <v>14</v>
      </c>
      <c r="G5648" s="1">
        <v>11</v>
      </c>
      <c r="H5648" s="1">
        <v>0</v>
      </c>
      <c r="I5648" s="1" t="s">
        <v>10540</v>
      </c>
      <c r="K5648" s="1" t="str">
        <f t="shared" si="362"/>
        <v>ㄍ</v>
      </c>
      <c r="L5648" s="1" t="str">
        <f t="shared" si="363"/>
        <v>ㄨ</v>
      </c>
      <c r="M5648" s="1" t="str">
        <f t="shared" si="361"/>
        <v>ㄢ</v>
      </c>
      <c r="P5648" s="1" t="s">
        <v>20</v>
      </c>
      <c r="R5648" s="1" t="s">
        <v>10541</v>
      </c>
      <c r="V5648" s="1" t="s">
        <v>10548</v>
      </c>
      <c r="AR5648" s="1" t="str">
        <f t="shared" si="364"/>
        <v>| [ㄍㄨㄢˋ](ㄍㄨㄢˋ.md) | [摜](摜.md) |  | guàn | [動]
摔、扔。《水滸傳》第二六回：「把那婦人頭望西門慶臉上摜將來。」《西遊記》第三一回：「只見行者提著兩孩子，站在那高崖之上，意欲往下摜。」 |</v>
      </c>
    </row>
    <row r="5649" spans="1:44" hidden="1">
      <c r="A5649" s="1" t="s">
        <v>10549</v>
      </c>
      <c r="C5649" s="1">
        <v>1</v>
      </c>
      <c r="D5649" s="1" t="str">
        <f>"04331"</f>
        <v>04331</v>
      </c>
      <c r="E5649" s="1" t="s">
        <v>4265</v>
      </c>
      <c r="F5649" s="1">
        <v>5</v>
      </c>
      <c r="G5649" s="1">
        <v>4</v>
      </c>
      <c r="H5649" s="1">
        <v>0</v>
      </c>
      <c r="I5649" s="1" t="s">
        <v>10540</v>
      </c>
      <c r="K5649" s="1" t="str">
        <f t="shared" si="362"/>
        <v>ㄍ</v>
      </c>
      <c r="L5649" s="1" t="str">
        <f t="shared" si="363"/>
        <v>ㄨ</v>
      </c>
      <c r="M5649" s="1" t="str">
        <f t="shared" si="361"/>
        <v>ㄢ</v>
      </c>
      <c r="P5649" s="1" t="s">
        <v>20</v>
      </c>
      <c r="R5649" s="1" t="s">
        <v>10541</v>
      </c>
      <c r="V5649" s="1" t="s">
        <v>10550</v>
      </c>
      <c r="AR5649" s="1" t="str">
        <f t="shared" si="364"/>
        <v>| [ㄍㄨㄢˋ](ㄍㄨㄢˋ.md) | [丱](丱.md) |  | guàn | [形]
小孩頭髮分束成兩角突出的樣子。《詩經．齊風．甫田》：「婉兮孌兮，總角丱兮。」 |</v>
      </c>
    </row>
    <row r="5650" spans="1:44" hidden="1">
      <c r="A5650" s="1" t="s">
        <v>10496</v>
      </c>
      <c r="C5650" s="1">
        <v>1</v>
      </c>
      <c r="D5650" s="1" t="str">
        <f>"04332"</f>
        <v>04332</v>
      </c>
      <c r="E5650" s="1" t="s">
        <v>3359</v>
      </c>
      <c r="F5650" s="1">
        <v>9</v>
      </c>
      <c r="G5650" s="1">
        <v>7</v>
      </c>
      <c r="H5650" s="1">
        <v>2</v>
      </c>
      <c r="I5650" s="1" t="s">
        <v>10540</v>
      </c>
      <c r="K5650" s="1" t="str">
        <f t="shared" si="362"/>
        <v>ㄍ</v>
      </c>
      <c r="L5650" s="1" t="str">
        <f t="shared" si="363"/>
        <v>ㄨ</v>
      </c>
      <c r="M5650" s="1" t="str">
        <f t="shared" si="361"/>
        <v>ㄢ</v>
      </c>
      <c r="P5650" s="1" t="s">
        <v>20</v>
      </c>
      <c r="R5650" s="1" t="s">
        <v>10541</v>
      </c>
      <c r="V5650" s="1" t="s">
        <v>10551</v>
      </c>
      <c r="W5650" s="1" t="s">
        <v>10552</v>
      </c>
      <c r="AR5650" s="1" t="str">
        <f t="shared" si="364"/>
        <v>| [ㄍㄨㄢˋ](ㄍㄨㄢˋ.md) | [冠](冠.md) |  | guàn | [動]
1.戴帽子。《漢書．卷四三．酈食其傳》：「諸客冠儒冠來者，沛公輒解其冠。」
2.男子已成年。唐．劉禹錫〈子劉子自傳〉：「初，禹錫既冠，舉進士，一幸而中試。」《醒世恆言．卷三．賣油郎獨占花魁》：「朱重長成一十七歲，生得一表人才，須然已冠，尚未娶妻。」
3.覆蓋。《文選．江淹．雜體詩．謝僕射》：「時菊耀巖阿，雲霞冠秋嶺。」
4.超越、領先。如：「獨冠群芳」。《史記．卷五三．蕭相國世家．太史公曰》：「位冠群臣，聲施後世。」
5.加上。如：「冠夫姓」、「冠罪名」。
[名]
一種古代的儀式。為年滿二十歲的男子戴上帽子的成年禮。後亦稱成年男子為「冠」。《論語．先進》：「冠者五六人，童子六七人，浴乎沂。」
[形]
第一的、最優秀的。如：「冠軍」。 |</v>
      </c>
    </row>
    <row r="5651" spans="1:44" hidden="1">
      <c r="A5651" s="1" t="s">
        <v>10553</v>
      </c>
      <c r="C5651" s="1">
        <v>1</v>
      </c>
      <c r="D5651" s="1" t="str">
        <f>"04333"</f>
        <v>04333</v>
      </c>
      <c r="E5651" s="1" t="s">
        <v>129</v>
      </c>
      <c r="F5651" s="1">
        <v>11</v>
      </c>
      <c r="G5651" s="1">
        <v>8</v>
      </c>
      <c r="H5651" s="1">
        <v>0</v>
      </c>
      <c r="I5651" s="1" t="s">
        <v>10540</v>
      </c>
      <c r="K5651" s="1" t="str">
        <f t="shared" si="362"/>
        <v>ㄍ</v>
      </c>
      <c r="L5651" s="1" t="str">
        <f t="shared" si="363"/>
        <v>ㄨ</v>
      </c>
      <c r="M5651" s="1" t="str">
        <f t="shared" si="361"/>
        <v>ㄢ</v>
      </c>
      <c r="P5651" s="1" t="s">
        <v>20</v>
      </c>
      <c r="R5651" s="1" t="s">
        <v>10541</v>
      </c>
      <c r="V5651" s="1" t="s">
        <v>10554</v>
      </c>
      <c r="AR5651" s="1" t="str">
        <f t="shared" si="364"/>
        <v>| [ㄍㄨㄢˋ](ㄍㄨㄢˋ.md) | [涫](涫.md) |  | guàn | [形]
滾沸的。《楚辭．嚴忌．哀時命》：「愁脩夜而宛轉兮，氣涫沸其若波。」《史記．卷一二八．褚少孫補．龜策傳》：「寡人念其如此，腸如涫湯。」 |</v>
      </c>
    </row>
    <row r="5652" spans="1:44" hidden="1">
      <c r="A5652" s="1" t="s">
        <v>10555</v>
      </c>
      <c r="C5652" s="1">
        <v>1</v>
      </c>
      <c r="D5652" s="1" t="str">
        <f>"04334"</f>
        <v>04334</v>
      </c>
      <c r="E5652" s="1" t="s">
        <v>825</v>
      </c>
      <c r="F5652" s="1">
        <v>13</v>
      </c>
      <c r="G5652" s="1">
        <v>8</v>
      </c>
      <c r="H5652" s="1">
        <v>0</v>
      </c>
      <c r="I5652" s="1" t="s">
        <v>10540</v>
      </c>
      <c r="K5652" s="1" t="str">
        <f t="shared" si="362"/>
        <v>ㄍ</v>
      </c>
      <c r="L5652" s="1" t="str">
        <f t="shared" si="363"/>
        <v>ㄨ</v>
      </c>
      <c r="M5652" s="1" t="str">
        <f t="shared" si="361"/>
        <v>ㄢ</v>
      </c>
      <c r="P5652" s="1" t="s">
        <v>20</v>
      </c>
      <c r="R5652" s="1" t="s">
        <v>10541</v>
      </c>
      <c r="V5652" s="1" t="s">
        <v>10556</v>
      </c>
      <c r="AR5652" s="1" t="str">
        <f t="shared" si="364"/>
        <v>| [ㄍㄨㄢˋ](ㄍㄨㄢˋ.md) | [祼](祼.md) |  | guàn | [名]
古代一種祭祀的儀式，將酒灑在地上以告神。《說文解字．示部》：「祼，灌祭也。」《書經．洛誥》：「王入太室祼。」唐．孔穎達．正義：「王以圭瓚酌鬱鬯之酒以獻尸，尸受祭而灌於地，因奠不飲，謂之祼。」 |</v>
      </c>
    </row>
    <row r="5653" spans="1:44" hidden="1">
      <c r="A5653" s="1" t="s">
        <v>10557</v>
      </c>
      <c r="C5653" s="1">
        <v>1</v>
      </c>
      <c r="D5653" s="1" t="str">
        <f>"04335"</f>
        <v>04335</v>
      </c>
      <c r="E5653" s="1" t="s">
        <v>438</v>
      </c>
      <c r="F5653" s="1">
        <v>16</v>
      </c>
      <c r="G5653" s="1">
        <v>11</v>
      </c>
      <c r="H5653" s="1">
        <v>0</v>
      </c>
      <c r="I5653" s="1" t="s">
        <v>10540</v>
      </c>
      <c r="K5653" s="1" t="str">
        <f t="shared" si="362"/>
        <v>ㄍ</v>
      </c>
      <c r="L5653" s="1" t="str">
        <f t="shared" si="363"/>
        <v>ㄨ</v>
      </c>
      <c r="M5653" s="1" t="str">
        <f t="shared" si="361"/>
        <v>ㄢ</v>
      </c>
      <c r="P5653" s="1" t="s">
        <v>20</v>
      </c>
      <c r="R5653" s="1" t="s">
        <v>10541</v>
      </c>
      <c r="V5653" s="1" t="s">
        <v>10558</v>
      </c>
      <c r="AR5653" s="1" t="str">
        <f t="shared" si="364"/>
        <v>| [ㄍㄨㄢˋ](ㄍㄨㄢˋ.md) | [盥](盥.md) |  | guàn | [動]
1.洗手。《說文解字．皿部》：「盥，澡手也。」漢．王充《論衡．譏日》：「且沐者，去首垢也；洗，去足垢；盥，去手垢；浴，去身垢，皆去一形之垢，其實等也。」
2.洗滌。唐．白居易〈冷泉亭記〉：「眼耳之塵，心舌之垢，不待盥滌，見輒除去。」
[名]
洗滌用的盛水器皿。北周．庾信〈周安昌公夫人鄭氏墓志銘〉：「承姑奉盥，訓子停機。」 |</v>
      </c>
    </row>
    <row r="5654" spans="1:44" hidden="1">
      <c r="A5654" s="1" t="s">
        <v>10559</v>
      </c>
      <c r="C5654" s="1">
        <v>1</v>
      </c>
      <c r="D5654" s="1" t="str">
        <f>"04336"</f>
        <v>04336</v>
      </c>
      <c r="E5654" s="1" t="s">
        <v>129</v>
      </c>
      <c r="F5654" s="1">
        <v>21</v>
      </c>
      <c r="G5654" s="1">
        <v>18</v>
      </c>
      <c r="H5654" s="1">
        <v>0</v>
      </c>
      <c r="I5654" s="1" t="s">
        <v>10540</v>
      </c>
      <c r="K5654" s="1" t="str">
        <f t="shared" si="362"/>
        <v>ㄍ</v>
      </c>
      <c r="L5654" s="1" t="str">
        <f t="shared" si="363"/>
        <v>ㄨ</v>
      </c>
      <c r="M5654" s="1" t="str">
        <f t="shared" si="361"/>
        <v>ㄢ</v>
      </c>
      <c r="P5654" s="1" t="s">
        <v>20</v>
      </c>
      <c r="R5654" s="1" t="s">
        <v>10541</v>
      </c>
      <c r="V5654" s="1" t="s">
        <v>10560</v>
      </c>
      <c r="AR5654" s="1" t="str">
        <f t="shared" si="364"/>
        <v>| [ㄍㄨㄢˋ](ㄍㄨㄢˋ.md) | [灌](灌.md) |  | guàn | [動]
1.注入、倒進。如：「灌水」、「灌酒」、「灌風」、「他不肯吃藥，媽媽只好硬灌。」《莊子．秋水》：「秋水時至，百川灌河。」
2.澆水。如：「灌溉」。《莊子．逍遙遊》：「時雨降矣，而猶浸灌，其於澤也，不亦勞乎。」
3.錄製。如：「灌唱片」。
[名]
1.一種古代祭祀的儀式，酌酒灑地以告神。《禮記．明堂位》：「季夏六月，以禘禮祀周公於大廟，牲用白牡，尊用犧象山罍，鬱尊用黃目，灌用玉瓚大圭。」
2.姓。如漢代有灌嬰。
[形]
叢聚的。如：「灌莽」。《詩經．周南．葛蕈》：「黃鳥于飛，集於灌木。」 |</v>
      </c>
    </row>
    <row r="5655" spans="1:44" hidden="1">
      <c r="A5655" s="1" t="s">
        <v>10561</v>
      </c>
      <c r="C5655" s="1">
        <v>1</v>
      </c>
      <c r="D5655" s="1" t="str">
        <f>"04337"</f>
        <v>04337</v>
      </c>
      <c r="E5655" s="1" t="s">
        <v>336</v>
      </c>
      <c r="F5655" s="1">
        <v>22</v>
      </c>
      <c r="G5655" s="1">
        <v>18</v>
      </c>
      <c r="H5655" s="1">
        <v>0</v>
      </c>
      <c r="I5655" s="1" t="s">
        <v>10540</v>
      </c>
      <c r="K5655" s="1" t="str">
        <f t="shared" si="362"/>
        <v>ㄍ</v>
      </c>
      <c r="L5655" s="1" t="str">
        <f t="shared" si="363"/>
        <v>ㄨ</v>
      </c>
      <c r="M5655" s="1" t="str">
        <f t="shared" si="361"/>
        <v>ㄢ</v>
      </c>
      <c r="P5655" s="1" t="s">
        <v>20</v>
      </c>
      <c r="R5655" s="1" t="s">
        <v>10541</v>
      </c>
      <c r="V5655" s="1" t="s">
        <v>10562</v>
      </c>
      <c r="AR5655" s="1" t="str">
        <f t="shared" si="364"/>
        <v>| [ㄍㄨㄢˋ](ㄍㄨㄢˋ.md) | [爟](爟.md) |  | guàn | [動]
舉火。《說文解字．火部》：「爟，舉火曰爟。」
[名]
用以示警的烽火。《廣韻．去聲．換韻》：「爟，烽火。」 |</v>
      </c>
    </row>
    <row r="5656" spans="1:44" hidden="1">
      <c r="A5656" s="1" t="s">
        <v>10563</v>
      </c>
      <c r="C5656" s="1">
        <v>1</v>
      </c>
      <c r="D5656" s="1" t="str">
        <f>"04338"</f>
        <v>04338</v>
      </c>
      <c r="E5656" s="1" t="s">
        <v>142</v>
      </c>
      <c r="F5656" s="1">
        <v>22</v>
      </c>
      <c r="G5656" s="1">
        <v>18</v>
      </c>
      <c r="H5656" s="1">
        <v>0</v>
      </c>
      <c r="I5656" s="1" t="s">
        <v>10540</v>
      </c>
      <c r="K5656" s="1" t="str">
        <f t="shared" si="362"/>
        <v>ㄍ</v>
      </c>
      <c r="L5656" s="1" t="str">
        <f t="shared" si="363"/>
        <v>ㄨ</v>
      </c>
      <c r="M5656" s="1" t="str">
        <f t="shared" si="361"/>
        <v>ㄢ</v>
      </c>
      <c r="P5656" s="1" t="s">
        <v>20</v>
      </c>
      <c r="R5656" s="1" t="s">
        <v>10541</v>
      </c>
      <c r="V5656" s="1" t="s">
        <v>10564</v>
      </c>
      <c r="AR5656" s="1" t="str">
        <f t="shared" si="364"/>
        <v>| [ㄍㄨㄢˋ](ㄍㄨㄢˋ.md) | [瓘](瓘.md) |  | guàn | [名]
一種玉石。《說文解字．玉部》：「瓘，玉也。」《左傳．昭公十七年》：「若我用瓘斝、玉瓚，鄭必不火。」漢．鄭玄．注：「瓘，珪也。」 |</v>
      </c>
    </row>
    <row r="5657" spans="1:44" hidden="1">
      <c r="A5657" s="1" t="s">
        <v>10565</v>
      </c>
      <c r="C5657" s="1">
        <v>1</v>
      </c>
      <c r="D5657" s="1" t="str">
        <f>"04339"</f>
        <v>04339</v>
      </c>
      <c r="E5657" s="1" t="s">
        <v>1015</v>
      </c>
      <c r="F5657" s="1">
        <v>23</v>
      </c>
      <c r="G5657" s="1">
        <v>18</v>
      </c>
      <c r="H5657" s="1">
        <v>0</v>
      </c>
      <c r="I5657" s="1" t="s">
        <v>10540</v>
      </c>
      <c r="K5657" s="1" t="str">
        <f t="shared" si="362"/>
        <v>ㄍ</v>
      </c>
      <c r="L5657" s="1" t="str">
        <f t="shared" si="363"/>
        <v>ㄨ</v>
      </c>
      <c r="M5657" s="1" t="str">
        <f t="shared" si="361"/>
        <v>ㄢ</v>
      </c>
      <c r="P5657" s="1" t="s">
        <v>20</v>
      </c>
      <c r="R5657" s="1" t="s">
        <v>10541</v>
      </c>
      <c r="V5657" s="1" t="s">
        <v>10566</v>
      </c>
      <c r="AR5657" s="1" t="str">
        <f t="shared" si="364"/>
        <v>| [ㄍㄨㄢˋ](ㄍㄨㄢˋ.md) | [矔](矔.md) |  | guàn | [形]
眼神貫注。《說文解字．目部》：「矔，目多精也。」清．段玉裁．注：「矔之言灌注也。」
[動]
怒目而視。《廣韻．去聲．換韻》：「矔，張目。」《漢書．卷八七．揚雄傳下》「羌戎睚眥」句下唐．顏師古．注：「睚字或作矔。矔者，怒其目眥也。」 |</v>
      </c>
    </row>
    <row r="5658" spans="1:44" hidden="1">
      <c r="A5658" s="1" t="s">
        <v>10567</v>
      </c>
      <c r="C5658" s="1">
        <v>1</v>
      </c>
      <c r="D5658" s="1" t="str">
        <f>"04340"</f>
        <v>04340</v>
      </c>
      <c r="E5658" s="1" t="s">
        <v>175</v>
      </c>
      <c r="F5658" s="1">
        <v>24</v>
      </c>
      <c r="G5658" s="1">
        <v>18</v>
      </c>
      <c r="H5658" s="1">
        <v>0</v>
      </c>
      <c r="I5658" s="1" t="s">
        <v>10540</v>
      </c>
      <c r="K5658" s="1" t="str">
        <f t="shared" si="362"/>
        <v>ㄍ</v>
      </c>
      <c r="L5658" s="1" t="str">
        <f t="shared" si="363"/>
        <v>ㄨ</v>
      </c>
      <c r="M5658" s="1" t="str">
        <f t="shared" si="361"/>
        <v>ㄢ</v>
      </c>
      <c r="P5658" s="1" t="s">
        <v>20</v>
      </c>
      <c r="R5658" s="1" t="s">
        <v>10541</v>
      </c>
      <c r="V5658" s="1" t="s">
        <v>10568</v>
      </c>
      <c r="AR5658" s="1" t="str">
        <f t="shared" si="364"/>
        <v>| [ㄍㄨㄢˋ](ㄍㄨㄢˋ.md) | [罐](罐.md) |  | guàn | [名]
1.用陶或金屬製成可供盛物、汲水或烹煮用的容器。如：「茶罐」、「藥罐」、「醋罐」。南朝宋．劉義慶《世說新語．尤悔》：「帝預敕左右毀缾罐，太后徒跣趨井，無以汲。」
2.量詞。計算罐裝物品的單位。如：「五罐罐頭」、「三罐奶粉」。 |</v>
      </c>
    </row>
    <row r="5659" spans="1:44" hidden="1">
      <c r="A5659" s="1" t="s">
        <v>10513</v>
      </c>
      <c r="C5659" s="1">
        <v>1</v>
      </c>
      <c r="D5659" s="1" t="str">
        <f>"04341"</f>
        <v>04341</v>
      </c>
      <c r="E5659" s="1" t="s">
        <v>2233</v>
      </c>
      <c r="F5659" s="1">
        <v>25</v>
      </c>
      <c r="G5659" s="1">
        <v>18</v>
      </c>
      <c r="H5659" s="1">
        <v>2</v>
      </c>
      <c r="I5659" s="1" t="s">
        <v>10540</v>
      </c>
      <c r="K5659" s="1" t="str">
        <f t="shared" si="362"/>
        <v>ㄍ</v>
      </c>
      <c r="L5659" s="1" t="str">
        <f t="shared" si="363"/>
        <v>ㄨ</v>
      </c>
      <c r="M5659" s="1" t="str">
        <f t="shared" si="361"/>
        <v>ㄢ</v>
      </c>
      <c r="P5659" s="1" t="s">
        <v>20</v>
      </c>
      <c r="R5659" s="1" t="s">
        <v>10541</v>
      </c>
      <c r="V5659" s="1" t="s">
        <v>10569</v>
      </c>
      <c r="W5659" s="1" t="s">
        <v>10570</v>
      </c>
      <c r="AR5659" s="1" t="str">
        <f t="shared" si="364"/>
        <v>| [ㄍㄨㄢˋ](ㄍㄨㄢˋ.md) | [觀](觀.md) |  | guàn | [名]
1.古代宮門外懸掛告示的地方。《禮記．禮運》：「昔者仲尼與於蜡賓，事，畢出遊于觀之上，喟然而歎。」《新唐書．卷四八．百官志三》：「朝會，則率其屬正百官之班序，遲明列於兩觀。」
2.高的樓臺。《左傳．宣公十二年》：「君盍築武軍而收晉尸以為京觀？」《史記．卷八七．李斯傳》：「二世上觀而見之，恐懼，高即因劫令自殺。」
3.道教的廟宇。如：「道觀」。《西遊記》第二十四回：「卻說這座山名喚萬壽山，山中有一座觀，名喚五莊觀。」
4.《易經》卦名。六十四卦之一。坤（☷）下巽（☴）上。象先王教化風行於世之義。
5.姓。如春秋時楚國有觀射父。 |</v>
      </c>
    </row>
    <row r="5660" spans="1:44" hidden="1">
      <c r="A5660" s="1" t="s">
        <v>10571</v>
      </c>
      <c r="C5660" s="1">
        <v>1</v>
      </c>
      <c r="D5660" s="1" t="str">
        <f>"04342"</f>
        <v>04342</v>
      </c>
      <c r="E5660" s="1" t="s">
        <v>55</v>
      </c>
      <c r="F5660" s="1">
        <v>26</v>
      </c>
      <c r="G5660" s="1">
        <v>18</v>
      </c>
      <c r="H5660" s="1">
        <v>0</v>
      </c>
      <c r="I5660" s="1" t="s">
        <v>10540</v>
      </c>
      <c r="K5660" s="1" t="str">
        <f t="shared" si="362"/>
        <v>ㄍ</v>
      </c>
      <c r="L5660" s="1" t="str">
        <f t="shared" si="363"/>
        <v>ㄨ</v>
      </c>
      <c r="M5660" s="1" t="str">
        <f t="shared" si="361"/>
        <v>ㄢ</v>
      </c>
      <c r="P5660" s="1" t="s">
        <v>20</v>
      </c>
      <c r="R5660" s="1" t="s">
        <v>10541</v>
      </c>
      <c r="V5660" s="1" t="s">
        <v>10572</v>
      </c>
      <c r="AR5660" s="1" t="str">
        <f t="shared" si="364"/>
        <v>| [ㄍㄨㄢˋ](ㄍㄨㄢˋ.md) | [鑵](鑵.md) |  | guàn | [名]
汲水或盛物的器具。同「罐」。《集韻．去聲．換韻》：「罐，汲器。或從金。」明．李時珍《本草綱目．卷一六．草部．紫花地丁》：「附方：紫花地丁根日乾，以鑵盛，燒煙對瘡熏之。」 |</v>
      </c>
    </row>
    <row r="5661" spans="1:44" hidden="1">
      <c r="A5661" s="1" t="s">
        <v>10573</v>
      </c>
      <c r="C5661" s="1">
        <v>1</v>
      </c>
      <c r="D5661" s="1" t="str">
        <f>"04343"</f>
        <v>04343</v>
      </c>
      <c r="E5661" s="1" t="s">
        <v>272</v>
      </c>
      <c r="F5661" s="1">
        <v>29</v>
      </c>
      <c r="G5661" s="1">
        <v>18</v>
      </c>
      <c r="H5661" s="1">
        <v>0</v>
      </c>
      <c r="I5661" s="1" t="s">
        <v>10540</v>
      </c>
      <c r="K5661" s="1" t="str">
        <f t="shared" si="362"/>
        <v>ㄍ</v>
      </c>
      <c r="L5661" s="1" t="str">
        <f t="shared" si="363"/>
        <v>ㄨ</v>
      </c>
      <c r="M5661" s="1" t="str">
        <f t="shared" si="361"/>
        <v>ㄢ</v>
      </c>
      <c r="P5661" s="1" t="s">
        <v>20</v>
      </c>
      <c r="R5661" s="1" t="s">
        <v>10541</v>
      </c>
      <c r="V5661" s="1" t="s">
        <v>10574</v>
      </c>
      <c r="AR5661" s="1" t="str">
        <f t="shared" si="364"/>
        <v>| [ㄍㄨㄢˋ](ㄍㄨㄢˋ.md) | [鸛](鸛.md) |  | guàn | [名]
1.鸛形目鸛科鳥類的泛稱。主要分布於熱帶和溫帶地區。嘴頸皆長，以蛇、蛙、魚類、昆蟲等小動物為食，常棲息於水澤邊。善於飛行，因不具鳴管而無法發聲，僅能碰撞兩嘴表示情感。
2.參見「鵝鸛」條。 |</v>
      </c>
    </row>
    <row r="5662" spans="1:44" hidden="1">
      <c r="A5662" s="1" t="s">
        <v>10575</v>
      </c>
      <c r="C5662" s="1">
        <v>1</v>
      </c>
      <c r="D5662" s="1" t="str">
        <f>"04344"</f>
        <v>04344</v>
      </c>
      <c r="E5662" s="1" t="s">
        <v>4265</v>
      </c>
      <c r="F5662" s="1">
        <v>1</v>
      </c>
      <c r="G5662" s="1">
        <v>0</v>
      </c>
      <c r="H5662" s="1">
        <v>0</v>
      </c>
      <c r="I5662" s="1" t="s">
        <v>10576</v>
      </c>
      <c r="K5662" s="1" t="str">
        <f t="shared" si="362"/>
        <v>ㄍ</v>
      </c>
      <c r="L5662" s="1" t="str">
        <f t="shared" si="363"/>
        <v>ㄨ</v>
      </c>
      <c r="M5662" s="1" t="str">
        <f t="shared" ref="M5662:M5714" si="365">MID(I5662, 3, 1)</f>
        <v>ㄣ</v>
      </c>
      <c r="P5662" s="1" t="s">
        <v>20</v>
      </c>
      <c r="R5662" s="1" t="s">
        <v>10577</v>
      </c>
      <c r="V5662" s="1" t="s">
        <v>10578</v>
      </c>
      <c r="AR5662" s="1" t="str">
        <f t="shared" si="364"/>
        <v>| [ㄍㄨㄣˇ](ㄍㄨㄣˇ.md) | [丨](丨.md) |  | gǔn | [形]
上下貫通的樣子。《說文解字．丨部》：「丨，下上通也。」
[名]
二一四部首之一。 |</v>
      </c>
    </row>
    <row r="5663" spans="1:44" hidden="1">
      <c r="A5663" s="1" t="s">
        <v>10579</v>
      </c>
      <c r="C5663" s="1">
        <v>1</v>
      </c>
      <c r="D5663" s="1" t="str">
        <f>"04345"</f>
        <v>04345</v>
      </c>
      <c r="E5663" s="1" t="s">
        <v>129</v>
      </c>
      <c r="F5663" s="1">
        <v>11</v>
      </c>
      <c r="G5663" s="1">
        <v>8</v>
      </c>
      <c r="H5663" s="1">
        <v>2</v>
      </c>
      <c r="I5663" s="1" t="s">
        <v>10576</v>
      </c>
      <c r="K5663" s="1" t="str">
        <f t="shared" si="362"/>
        <v>ㄍ</v>
      </c>
      <c r="L5663" s="1" t="str">
        <f t="shared" si="363"/>
        <v>ㄨ</v>
      </c>
      <c r="M5663" s="1" t="str">
        <f t="shared" si="365"/>
        <v>ㄣ</v>
      </c>
      <c r="P5663" s="1" t="s">
        <v>20</v>
      </c>
      <c r="R5663" s="1" t="s">
        <v>10577</v>
      </c>
      <c r="V5663" s="1" t="s">
        <v>10580</v>
      </c>
      <c r="W5663" s="1" t="s">
        <v>10581</v>
      </c>
      <c r="AR5663" s="1" t="str">
        <f t="shared" si="364"/>
        <v>| [ㄍㄨㄣˇ](ㄍㄨㄣˇ.md) | [混](混.md) |  | gǔn | 參見「混混」條。 |</v>
      </c>
    </row>
    <row r="5664" spans="1:44" hidden="1">
      <c r="A5664" s="1" t="s">
        <v>10582</v>
      </c>
      <c r="C5664" s="1">
        <v>1</v>
      </c>
      <c r="D5664" s="1" t="str">
        <f>"04346"</f>
        <v>04346</v>
      </c>
      <c r="E5664" s="1" t="s">
        <v>725</v>
      </c>
      <c r="F5664" s="1">
        <v>14</v>
      </c>
      <c r="G5664" s="1">
        <v>8</v>
      </c>
      <c r="H5664" s="1">
        <v>0</v>
      </c>
      <c r="I5664" s="1" t="s">
        <v>10576</v>
      </c>
      <c r="K5664" s="1" t="str">
        <f t="shared" si="362"/>
        <v>ㄍ</v>
      </c>
      <c r="L5664" s="1" t="str">
        <f t="shared" si="363"/>
        <v>ㄨ</v>
      </c>
      <c r="M5664" s="1" t="str">
        <f t="shared" si="365"/>
        <v>ㄣ</v>
      </c>
      <c r="P5664" s="1" t="s">
        <v>20</v>
      </c>
      <c r="R5664" s="1" t="s">
        <v>10577</v>
      </c>
      <c r="V5664" s="1" t="s">
        <v>10583</v>
      </c>
      <c r="AR5664" s="1" t="str">
        <f t="shared" si="364"/>
        <v>| [ㄍㄨㄣˇ](ㄍㄨㄣˇ.md) | [緄](緄.md) |  | gǔn | [名]
繩、帶子。《詩經．秦風．小戎》：「交韔二弓，竹閉緄縢。」漢．毛亨．傳：「緄，繩。」《晉書．卷二五．輿服志》：「自公主、封君以上皆帶，以綵組為緄帶。」
[動]
一種縫紉的方法，沿著衣服的邊縫上布條、蕾絲等做裝飾。如：「緄一道邊」。 |</v>
      </c>
    </row>
    <row r="5665" spans="1:44" hidden="1">
      <c r="A5665" s="1" t="s">
        <v>10584</v>
      </c>
      <c r="C5665" s="1">
        <v>1</v>
      </c>
      <c r="D5665" s="1" t="str">
        <f>"04347"</f>
        <v>04347</v>
      </c>
      <c r="E5665" s="1" t="s">
        <v>71</v>
      </c>
      <c r="F5665" s="1">
        <v>15</v>
      </c>
      <c r="G5665" s="1">
        <v>8</v>
      </c>
      <c r="H5665" s="1">
        <v>0</v>
      </c>
      <c r="I5665" s="1" t="s">
        <v>10576</v>
      </c>
      <c r="K5665" s="1" t="str">
        <f t="shared" si="362"/>
        <v>ㄍ</v>
      </c>
      <c r="L5665" s="1" t="str">
        <f t="shared" si="363"/>
        <v>ㄨ</v>
      </c>
      <c r="M5665" s="1" t="str">
        <f t="shared" si="365"/>
        <v>ㄣ</v>
      </c>
      <c r="P5665" s="1" t="s">
        <v>20</v>
      </c>
      <c r="R5665" s="1" t="s">
        <v>10577</v>
      </c>
      <c r="V5665" s="1" t="s">
        <v>10585</v>
      </c>
      <c r="AR5665" s="1" t="str">
        <f t="shared" si="364"/>
        <v>| [ㄍㄨㄣˇ](ㄍㄨㄣˇ.md) | [輥](輥.md) |  | gǔn | [形]
車轂勻整的樣子。《說文解字．車部》：「輥，轂齊等貌。」
[名]
能滾動的圓柱形機件。如：「軋輥」。
[動]
翻轉、滾動。宋．陸游〈夢中作〉詩：「春風又作無情計，滿路楊花輥雪球。」 |</v>
      </c>
    </row>
    <row r="5666" spans="1:44" hidden="1">
      <c r="A5666" s="1" t="s">
        <v>10586</v>
      </c>
      <c r="C5666" s="1">
        <v>1</v>
      </c>
      <c r="D5666" s="1" t="str">
        <f>"04348"</f>
        <v>04348</v>
      </c>
      <c r="E5666" s="1" t="s">
        <v>340</v>
      </c>
      <c r="F5666" s="1">
        <v>11</v>
      </c>
      <c r="G5666" s="1">
        <v>5</v>
      </c>
      <c r="H5666" s="1">
        <v>0</v>
      </c>
      <c r="I5666" s="1" t="s">
        <v>10576</v>
      </c>
      <c r="K5666" s="1" t="str">
        <f t="shared" si="362"/>
        <v>ㄍ</v>
      </c>
      <c r="L5666" s="1" t="str">
        <f t="shared" si="363"/>
        <v>ㄨ</v>
      </c>
      <c r="M5666" s="1" t="str">
        <f t="shared" si="365"/>
        <v>ㄣ</v>
      </c>
      <c r="P5666" s="1" t="s">
        <v>20</v>
      </c>
      <c r="R5666" s="1" t="s">
        <v>10577</v>
      </c>
      <c r="V5666" s="1" t="s">
        <v>10587</v>
      </c>
      <c r="AR5666" s="1" t="str">
        <f t="shared" si="364"/>
        <v>| [ㄍㄨㄣˇ](ㄍㄨㄣˇ.md) | [袞](袞.md) |  | gǔn | [名]
1.古代天子祭祀時所穿的禮服。《說文解字．衣部》：「袞，天子享先王，卷龍繡於下常，幅一龍蟠阿上鄉。」
2.古代上公所穿的禮服。《詩經．豳風．九罭》：「我覯之子，袞衣繡裳。」漢．鄭玄．箋：「王迎周公，當以上公之服往見之。」
3.借指天子。
4.借指三公。《北史．卷六〇．李弼等傳．論曰》：「茂績元勛，位居上袞。」 |</v>
      </c>
    </row>
    <row r="5667" spans="1:44" hidden="1">
      <c r="A5667" s="1" t="s">
        <v>10588</v>
      </c>
      <c r="C5667" s="1">
        <v>1</v>
      </c>
      <c r="D5667" s="1" t="str">
        <f>"04349"</f>
        <v>04349</v>
      </c>
      <c r="E5667" s="1" t="s">
        <v>129</v>
      </c>
      <c r="F5667" s="1">
        <v>14</v>
      </c>
      <c r="G5667" s="1">
        <v>11</v>
      </c>
      <c r="H5667" s="1">
        <v>0</v>
      </c>
      <c r="I5667" s="1" t="s">
        <v>10576</v>
      </c>
      <c r="K5667" s="1" t="str">
        <f t="shared" si="362"/>
        <v>ㄍ</v>
      </c>
      <c r="L5667" s="1" t="str">
        <f t="shared" si="363"/>
        <v>ㄨ</v>
      </c>
      <c r="M5667" s="1" t="str">
        <f t="shared" si="365"/>
        <v>ㄣ</v>
      </c>
      <c r="P5667" s="1" t="s">
        <v>20</v>
      </c>
      <c r="R5667" s="1" t="s">
        <v>10577</v>
      </c>
      <c r="V5667" s="1" t="s">
        <v>10589</v>
      </c>
      <c r="AR5667" s="1" t="str">
        <f t="shared" si="364"/>
        <v>| [ㄍㄨㄣˇ](ㄍㄨㄣˇ.md) | [滾](滾.md) |  | gǔn | [形]
大水奔湧翻騰的樣子。常用疊詞「滾滾」。《集韻．上聲．混韻》：「滾，大水流貌。」如：「白浪翻滾」、「滾滾黃河」。
[動]
1.翻轉。如：「打滾」、「滾雪球」、「連爬帶滾」。
2.離開、走開，多表示呵斥。如：「滾出去」。《紅樓夢》第九六回：「快快的滾罷，還等窩心腳呢！」
3.液體沸騰。如：「水滾了。」
4.沿著衣服的邊緣上做裝飾。如：「在衣襬上滾一道紅邊。」
[副]
很、非常。如：「滾燙」、「滾圓」。《紅樓夢》第二〇回：「我家裡燒的滾熱的野雞，快來跟我吃酒去。」 |</v>
      </c>
    </row>
    <row r="5668" spans="1:44" hidden="1">
      <c r="A5668" s="1" t="s">
        <v>10590</v>
      </c>
      <c r="C5668" s="1">
        <v>1</v>
      </c>
      <c r="D5668" s="1" t="str">
        <f>"04350"</f>
        <v>04350</v>
      </c>
      <c r="E5668" s="1" t="s">
        <v>37</v>
      </c>
      <c r="F5668" s="1">
        <v>15</v>
      </c>
      <c r="G5668" s="1">
        <v>11</v>
      </c>
      <c r="H5668" s="1">
        <v>0</v>
      </c>
      <c r="I5668" s="1" t="s">
        <v>10576</v>
      </c>
      <c r="K5668" s="1" t="str">
        <f t="shared" si="362"/>
        <v>ㄍ</v>
      </c>
      <c r="L5668" s="1" t="str">
        <f t="shared" si="363"/>
        <v>ㄨ</v>
      </c>
      <c r="M5668" s="1" t="str">
        <f t="shared" si="365"/>
        <v>ㄣ</v>
      </c>
      <c r="P5668" s="1" t="s">
        <v>20</v>
      </c>
      <c r="R5668" s="1" t="s">
        <v>10577</v>
      </c>
      <c r="V5668" s="1" t="s">
        <v>10591</v>
      </c>
      <c r="AR5668" s="1" t="str">
        <f t="shared" si="364"/>
        <v>| [ㄍㄨㄣˇ](ㄍㄨㄣˇ.md) | [蔉](蔉.md) |  | gǔn | [動]
以土培育苗根。《左傳．昭公元年》：「譬如農夫，是穮是蔉，雖有饑饉，必有豐年。」晉．杜預．注：「壅苗為蔉。」 |</v>
      </c>
    </row>
    <row r="5669" spans="1:44" hidden="1">
      <c r="A5669" s="1" t="s">
        <v>10592</v>
      </c>
      <c r="C5669" s="1">
        <v>1</v>
      </c>
      <c r="D5669" s="1" t="str">
        <f>"04351"</f>
        <v>04351</v>
      </c>
      <c r="E5669" s="1" t="s">
        <v>129</v>
      </c>
      <c r="F5669" s="1">
        <v>12</v>
      </c>
      <c r="G5669" s="1">
        <v>9</v>
      </c>
      <c r="H5669" s="1">
        <v>3</v>
      </c>
      <c r="I5669" s="1" t="s">
        <v>10576</v>
      </c>
      <c r="K5669" s="1" t="str">
        <f t="shared" si="362"/>
        <v>ㄍ</v>
      </c>
      <c r="L5669" s="1" t="str">
        <f t="shared" si="363"/>
        <v>ㄨ</v>
      </c>
      <c r="M5669" s="1" t="str">
        <f t="shared" si="365"/>
        <v>ㄣ</v>
      </c>
      <c r="P5669" s="1" t="s">
        <v>20</v>
      </c>
      <c r="R5669" s="1" t="s">
        <v>10577</v>
      </c>
      <c r="V5669" s="1" t="s">
        <v>10593</v>
      </c>
      <c r="W5669" s="1" t="s">
        <v>10594</v>
      </c>
      <c r="AR5669" s="1" t="str">
        <f t="shared" si="364"/>
        <v>| [ㄍㄨㄣˇ](ㄍㄨㄣˇ.md) | [渾](渾.md) |  | gǔn | 參見「渾渾」條。 |</v>
      </c>
    </row>
    <row r="5670" spans="1:44" hidden="1">
      <c r="A5670" s="1" t="s">
        <v>10595</v>
      </c>
      <c r="C5670" s="1">
        <v>1</v>
      </c>
      <c r="D5670" s="1" t="str">
        <f>"04352"</f>
        <v>04352</v>
      </c>
      <c r="E5670" s="1" t="s">
        <v>156</v>
      </c>
      <c r="F5670" s="1">
        <v>18</v>
      </c>
      <c r="G5670" s="1">
        <v>7</v>
      </c>
      <c r="H5670" s="1">
        <v>0</v>
      </c>
      <c r="I5670" s="1" t="s">
        <v>10576</v>
      </c>
      <c r="K5670" s="1" t="str">
        <f t="shared" si="362"/>
        <v>ㄍ</v>
      </c>
      <c r="L5670" s="1" t="str">
        <f t="shared" si="363"/>
        <v>ㄨ</v>
      </c>
      <c r="M5670" s="1" t="str">
        <f t="shared" si="365"/>
        <v>ㄣ</v>
      </c>
      <c r="P5670" s="1" t="s">
        <v>20</v>
      </c>
      <c r="R5670" s="1" t="s">
        <v>10577</v>
      </c>
      <c r="V5670" s="1" t="s">
        <v>10596</v>
      </c>
      <c r="AR5670" s="1" t="str">
        <f t="shared" si="364"/>
        <v>| [ㄍㄨㄣˇ](ㄍㄨㄣˇ.md) | [鯀](鯀.md) |  | gǔn | [名]
1.大魚。《玉篇．魚部》：「鯀，大魚也。」
2.人名。夏禹的父親，堯封於崇伯，因治水無功，被舜殺於羽山。 |</v>
      </c>
    </row>
    <row r="5671" spans="1:44" hidden="1">
      <c r="A5671" s="1" t="s">
        <v>10597</v>
      </c>
      <c r="C5671" s="1">
        <v>1</v>
      </c>
      <c r="D5671" s="1" t="str">
        <f>"04353"</f>
        <v>04353</v>
      </c>
      <c r="E5671" s="1" t="s">
        <v>139</v>
      </c>
      <c r="F5671" s="1">
        <v>12</v>
      </c>
      <c r="G5671" s="1">
        <v>8</v>
      </c>
      <c r="H5671" s="1">
        <v>0</v>
      </c>
      <c r="I5671" s="1" t="s">
        <v>10598</v>
      </c>
      <c r="K5671" s="1" t="str">
        <f t="shared" si="362"/>
        <v>ㄍ</v>
      </c>
      <c r="L5671" s="1" t="str">
        <f t="shared" si="363"/>
        <v>ㄨ</v>
      </c>
      <c r="M5671" s="1" t="str">
        <f t="shared" si="365"/>
        <v>ㄣ</v>
      </c>
      <c r="P5671" s="1" t="s">
        <v>20</v>
      </c>
      <c r="R5671" s="1" t="s">
        <v>10599</v>
      </c>
      <c r="V5671" s="1" t="s">
        <v>10600</v>
      </c>
      <c r="AR5671" s="1" t="str">
        <f t="shared" si="364"/>
        <v>| [ㄍㄨㄣˋ](ㄍㄨㄣˋ.md) | [棍](棍.md) |  | gùn | [名]
1.棒子。如：「木棍」、「鐵棍」、「警棍」。
2.無賴、不正派的人。如：「惡棍」、「賭棍」、「神棍」。 |</v>
      </c>
    </row>
    <row r="5672" spans="1:44" hidden="1">
      <c r="A5672" s="1" t="s">
        <v>10601</v>
      </c>
      <c r="C5672" s="1">
        <v>1</v>
      </c>
      <c r="D5672" s="1" t="str">
        <f>"04354"</f>
        <v>04354</v>
      </c>
      <c r="E5672" s="1" t="s">
        <v>3581</v>
      </c>
      <c r="F5672" s="1">
        <v>6</v>
      </c>
      <c r="G5672" s="1">
        <v>4</v>
      </c>
      <c r="H5672" s="1">
        <v>0</v>
      </c>
      <c r="I5672" s="1" t="s">
        <v>10602</v>
      </c>
      <c r="K5672" s="1" t="str">
        <f t="shared" si="362"/>
        <v>ㄍ</v>
      </c>
      <c r="L5672" s="1" t="str">
        <f t="shared" si="363"/>
        <v>ㄨ</v>
      </c>
      <c r="M5672" s="1" t="str">
        <f t="shared" si="365"/>
        <v>ㄤ</v>
      </c>
      <c r="P5672" s="1" t="s">
        <v>20</v>
      </c>
      <c r="R5672" s="1" t="s">
        <v>10603</v>
      </c>
      <c r="V5672" s="1" t="s">
        <v>10604</v>
      </c>
      <c r="AR5672" s="1" t="str">
        <f t="shared" si="364"/>
        <v>| [ㄍㄨㄤ](ㄍㄨㄤ.md) | [光](光.md) |  | guāng | [名]
1.能由視覺器官接收，使人察覺物體存在的電磁輻射。如：「日光」、「燈光」。
2.榮耀、名譽。如：「為國爭光」。《詩經．小雅．南山有臺》：「樂只君子，邦家之光。」
3.景色。如：「風光」、「觀光」、「春光明媚」。
4.時間。如：「光陰」、「時光」。唐．李白〈前有一樽酒行〉二首之一：「青軒桃李能幾何？流光欺人忽蹉跎。」
5.恩惠、好處。常用在客套話。如：「沾光」、「叨光」。《紅樓夢》第二二回：「明兒就這樣行，也叫他們借咱們的光兒。」
6.姓。如晉代有光逸。
[動]
1.彰顯、發揚。《文選．諸葛亮．出師表》：「誠宜開張聖聽，以光先帝遺德。」
2.裸露。如：「光著腳丫子」、「光著身子」。
[形]
1.明亮。如：「光天化日」。《文選．揚雄．羽獵賦》：「若光若滅者，布乎青林之下。」
2.平滑。如：「光滑」。唐．韓愈〈進學解〉：「爬羅剔抉，刮垢磨光。」
[副]
1.完、盡。如：「吃光」、「用光」、「花光」。
2.僅、只。如：「光說不做」。《紅樓夢》第一〇一回：「也不光為我，就是太太聽見也喜歡。」
3.對人說的客套話。如：「歡迎光臨」。 |</v>
      </c>
    </row>
    <row r="5673" spans="1:44" hidden="1">
      <c r="A5673" s="1" t="s">
        <v>10605</v>
      </c>
      <c r="C5673" s="1">
        <v>1</v>
      </c>
      <c r="D5673" s="1" t="str">
        <f>"04355"</f>
        <v>04355</v>
      </c>
      <c r="E5673" s="1" t="s">
        <v>114</v>
      </c>
      <c r="F5673" s="1">
        <v>8</v>
      </c>
      <c r="G5673" s="1">
        <v>6</v>
      </c>
      <c r="H5673" s="1">
        <v>0</v>
      </c>
      <c r="I5673" s="1" t="s">
        <v>10602</v>
      </c>
      <c r="K5673" s="1" t="str">
        <f t="shared" si="362"/>
        <v>ㄍ</v>
      </c>
      <c r="L5673" s="1" t="str">
        <f t="shared" si="363"/>
        <v>ㄨ</v>
      </c>
      <c r="M5673" s="1" t="str">
        <f t="shared" si="365"/>
        <v>ㄤ</v>
      </c>
      <c r="P5673" s="1" t="s">
        <v>20</v>
      </c>
      <c r="R5673" s="1" t="s">
        <v>10603</v>
      </c>
      <c r="V5673" s="1" t="s">
        <v>10606</v>
      </c>
      <c r="AR5673" s="1" t="str">
        <f t="shared" si="364"/>
        <v>| [ㄍㄨㄤ](ㄍㄨㄤ.md) | [侊](侊.md) |  | guāng | [形]
盛大。《廣韻．平聲．唐韻》：「侊，盛貌。」 |</v>
      </c>
    </row>
    <row r="5674" spans="1:44" hidden="1">
      <c r="A5674" s="1" t="s">
        <v>10607</v>
      </c>
      <c r="C5674" s="1">
        <v>1</v>
      </c>
      <c r="D5674" s="1" t="str">
        <f>"04356"</f>
        <v>04356</v>
      </c>
      <c r="E5674" s="1" t="s">
        <v>129</v>
      </c>
      <c r="F5674" s="1">
        <v>9</v>
      </c>
      <c r="G5674" s="1">
        <v>6</v>
      </c>
      <c r="H5674" s="1">
        <v>1</v>
      </c>
      <c r="I5674" s="1" t="s">
        <v>10602</v>
      </c>
      <c r="K5674" s="1" t="str">
        <f t="shared" si="362"/>
        <v>ㄍ</v>
      </c>
      <c r="L5674" s="1" t="str">
        <f t="shared" si="363"/>
        <v>ㄨ</v>
      </c>
      <c r="M5674" s="1" t="str">
        <f t="shared" si="365"/>
        <v>ㄤ</v>
      </c>
      <c r="P5674" s="1" t="s">
        <v>20</v>
      </c>
      <c r="R5674" s="1" t="s">
        <v>10603</v>
      </c>
      <c r="V5674" s="1" t="s">
        <v>10608</v>
      </c>
      <c r="W5674" s="1" t="s">
        <v>10609</v>
      </c>
      <c r="AR5674" s="1" t="str">
        <f t="shared" si="364"/>
        <v>| [ㄍㄨㄤ](ㄍㄨㄤ.md) | [洸](洸.md) |  | guāng | [形]
1.波光耀動的樣子。《說文解字．水部》：「洸，水涌光也。」《文選．郭璞．江賦》：「若乃曾潭之府，靈湖之淵，澄澹汪洸，瀇滉淵泫。」
2.威武的樣子。《詩經．邶風．谷風》：「有洸有潰，既詒我肄。」 |</v>
      </c>
    </row>
    <row r="5675" spans="1:44" hidden="1">
      <c r="A5675" s="1" t="s">
        <v>10610</v>
      </c>
      <c r="C5675" s="1">
        <v>1</v>
      </c>
      <c r="D5675" s="1" t="str">
        <f>"04357"</f>
        <v>04357</v>
      </c>
      <c r="E5675" s="1" t="s">
        <v>139</v>
      </c>
      <c r="F5675" s="1">
        <v>10</v>
      </c>
      <c r="G5675" s="1">
        <v>6</v>
      </c>
      <c r="H5675" s="1">
        <v>1</v>
      </c>
      <c r="I5675" s="1" t="s">
        <v>10602</v>
      </c>
      <c r="K5675" s="1" t="str">
        <f t="shared" si="362"/>
        <v>ㄍ</v>
      </c>
      <c r="L5675" s="1" t="str">
        <f t="shared" si="363"/>
        <v>ㄨ</v>
      </c>
      <c r="M5675" s="1" t="str">
        <f t="shared" si="365"/>
        <v>ㄤ</v>
      </c>
      <c r="P5675" s="1" t="s">
        <v>20</v>
      </c>
      <c r="R5675" s="1" t="s">
        <v>10603</v>
      </c>
      <c r="V5675" s="1" t="s">
        <v>10611</v>
      </c>
      <c r="W5675" s="1" t="s">
        <v>10612</v>
      </c>
      <c r="AR5675" s="1" t="str">
        <f t="shared" si="364"/>
        <v>| [ㄍㄨㄤ](ㄍㄨㄤ.md) | [桄](桄.md) |  | guāng | 參見「桄榔」條。 |</v>
      </c>
    </row>
    <row r="5676" spans="1:44" hidden="1">
      <c r="A5676" s="1" t="s">
        <v>10613</v>
      </c>
      <c r="C5676" s="1">
        <v>1</v>
      </c>
      <c r="D5676" s="1" t="str">
        <f>"04358"</f>
        <v>04358</v>
      </c>
      <c r="E5676" s="1" t="s">
        <v>37</v>
      </c>
      <c r="F5676" s="1">
        <v>10</v>
      </c>
      <c r="G5676" s="1">
        <v>6</v>
      </c>
      <c r="H5676" s="1">
        <v>0</v>
      </c>
      <c r="I5676" s="1" t="s">
        <v>10602</v>
      </c>
      <c r="K5676" s="1" t="str">
        <f t="shared" si="362"/>
        <v>ㄍ</v>
      </c>
      <c r="L5676" s="1" t="str">
        <f t="shared" si="363"/>
        <v>ㄨ</v>
      </c>
      <c r="M5676" s="1" t="str">
        <f t="shared" si="365"/>
        <v>ㄤ</v>
      </c>
      <c r="P5676" s="1" t="s">
        <v>20</v>
      </c>
      <c r="R5676" s="1" t="s">
        <v>10603</v>
      </c>
      <c r="V5676" s="1" t="s">
        <v>10614</v>
      </c>
      <c r="AR5676" s="1" t="str">
        <f t="shared" si="364"/>
        <v>| [ㄍㄨㄤ](ㄍㄨㄤ.md) | [茪](茪.md) |  | guāng | [名]
植物名。豆科決明屬，「決明子」之古稱。參見「決明子」、「芵明」條。 |</v>
      </c>
    </row>
    <row r="5677" spans="1:44" hidden="1">
      <c r="A5677" s="1" t="s">
        <v>10615</v>
      </c>
      <c r="C5677" s="1">
        <v>1</v>
      </c>
      <c r="D5677" s="1" t="str">
        <f>"04359"</f>
        <v>04359</v>
      </c>
      <c r="E5677" s="1" t="s">
        <v>68</v>
      </c>
      <c r="F5677" s="1">
        <v>10</v>
      </c>
      <c r="G5677" s="1">
        <v>6</v>
      </c>
      <c r="H5677" s="1">
        <v>0</v>
      </c>
      <c r="I5677" s="1" t="s">
        <v>10602</v>
      </c>
      <c r="K5677" s="1" t="str">
        <f t="shared" si="362"/>
        <v>ㄍ</v>
      </c>
      <c r="L5677" s="1" t="str">
        <f t="shared" si="363"/>
        <v>ㄨ</v>
      </c>
      <c r="M5677" s="1" t="str">
        <f t="shared" si="365"/>
        <v>ㄤ</v>
      </c>
      <c r="P5677" s="1" t="s">
        <v>20</v>
      </c>
      <c r="R5677" s="1" t="s">
        <v>10603</v>
      </c>
      <c r="V5677" s="1" t="s">
        <v>1958</v>
      </c>
      <c r="AR5677" s="1" t="str">
        <f t="shared" si="364"/>
        <v>| [ㄍㄨㄤ](ㄍㄨㄤ.md) | [胱](胱.md) |  | guāng | 參見「膀胱」條。 |</v>
      </c>
    </row>
    <row r="5678" spans="1:44" hidden="1">
      <c r="A5678" s="1" t="s">
        <v>10616</v>
      </c>
      <c r="C5678" s="1">
        <v>1</v>
      </c>
      <c r="D5678" s="1" t="str">
        <f>"04360"</f>
        <v>04360</v>
      </c>
      <c r="E5678" s="1" t="s">
        <v>55</v>
      </c>
      <c r="F5678" s="1">
        <v>14</v>
      </c>
      <c r="G5678" s="1">
        <v>6</v>
      </c>
      <c r="H5678" s="1">
        <v>0</v>
      </c>
      <c r="I5678" s="1" t="s">
        <v>10602</v>
      </c>
      <c r="K5678" s="1" t="str">
        <f t="shared" si="362"/>
        <v>ㄍ</v>
      </c>
      <c r="L5678" s="1" t="str">
        <f t="shared" si="363"/>
        <v>ㄨ</v>
      </c>
      <c r="M5678" s="1" t="str">
        <f t="shared" si="365"/>
        <v>ㄤ</v>
      </c>
      <c r="P5678" s="1" t="s">
        <v>20</v>
      </c>
      <c r="R5678" s="1" t="s">
        <v>10603</v>
      </c>
      <c r="V5678" s="1" t="s">
        <v>10617</v>
      </c>
      <c r="AR5678" s="1" t="str">
        <f t="shared" si="364"/>
        <v>| [ㄍㄨㄤ](ㄍㄨㄤ.md) | [銧](銧.md) |  | guāng | [名]
化學元素。鐳的舊譯。 |</v>
      </c>
    </row>
    <row r="5679" spans="1:44" hidden="1">
      <c r="A5679" s="1" t="s">
        <v>10618</v>
      </c>
      <c r="C5679" s="1">
        <v>1</v>
      </c>
      <c r="D5679" s="1" t="str">
        <f>"04361"</f>
        <v>04361</v>
      </c>
      <c r="E5679" s="1" t="s">
        <v>558</v>
      </c>
      <c r="F5679" s="1">
        <v>8</v>
      </c>
      <c r="G5679" s="1">
        <v>4</v>
      </c>
      <c r="H5679" s="1">
        <v>2</v>
      </c>
      <c r="I5679" s="1" t="s">
        <v>10619</v>
      </c>
      <c r="K5679" s="1" t="str">
        <f t="shared" si="362"/>
        <v>ㄍ</v>
      </c>
      <c r="L5679" s="1" t="str">
        <f t="shared" si="363"/>
        <v>ㄨ</v>
      </c>
      <c r="M5679" s="1" t="str">
        <f t="shared" si="365"/>
        <v>ㄤ</v>
      </c>
      <c r="P5679" s="1" t="s">
        <v>20</v>
      </c>
      <c r="R5679" s="1" t="s">
        <v>10620</v>
      </c>
      <c r="V5679" s="1" t="s">
        <v>10621</v>
      </c>
      <c r="W5679" s="1" t="s">
        <v>10622</v>
      </c>
      <c r="AR5679" s="1" t="str">
        <f t="shared" si="364"/>
        <v>| [ㄍㄨㄤˇ](ㄍㄨㄤˇ.md) | [迋](迋.md) |  | guǎng | [動]
1.欺騙。《詩經．鄭風．揚之水》：「無信人之言，人實迋女。」《左傳．定公十年》：「是我迋吾兄也。」
2.恐懼。《左傳．昭公二十一年》：「子無我迋，不幸而後亡。」 |</v>
      </c>
    </row>
    <row r="5680" spans="1:44" hidden="1">
      <c r="A5680" s="1" t="s">
        <v>10623</v>
      </c>
      <c r="C5680" s="1">
        <v>1</v>
      </c>
      <c r="D5680" s="1" t="str">
        <f>"04362"</f>
        <v>04362</v>
      </c>
      <c r="E5680" s="1" t="s">
        <v>447</v>
      </c>
      <c r="F5680" s="1">
        <v>15</v>
      </c>
      <c r="G5680" s="1">
        <v>12</v>
      </c>
      <c r="H5680" s="1">
        <v>0</v>
      </c>
      <c r="I5680" s="1" t="s">
        <v>10619</v>
      </c>
      <c r="K5680" s="1" t="str">
        <f t="shared" si="362"/>
        <v>ㄍ</v>
      </c>
      <c r="L5680" s="1" t="str">
        <f t="shared" si="363"/>
        <v>ㄨ</v>
      </c>
      <c r="M5680" s="1" t="str">
        <f t="shared" si="365"/>
        <v>ㄤ</v>
      </c>
      <c r="P5680" s="1" t="s">
        <v>20</v>
      </c>
      <c r="R5680" s="1" t="s">
        <v>10620</v>
      </c>
      <c r="V5680" s="1" t="s">
        <v>10624</v>
      </c>
      <c r="AR5680" s="1" t="str">
        <f t="shared" si="364"/>
        <v>| [ㄍㄨㄤˇ](ㄍㄨㄤˇ.md) | [廣](廣.md) |  | guǎng | [名]
1.沒有四壁的大屋。《說文解字．广部》：「廣，殿之大屋也。」
2.寬度。《墨子．備城門》：「沉機長二丈，廣八尺。」
3.大陸地區廣東、廣西兩省與廣州的簡稱。如：「兩廣」、「京廣鐵路」、「湖廣總督」。
4.姓。如宋代有廣漢。
[動]
1.擴大、增加。如：「增廣見聞」。《易經．繫辭上》：「夫易，聖人所以崇德而廣業也。」《呂氏春秋．恃君覽．長利》：「是故地日廣，子孫彌隆。」
2.傳播、散布。宋．王灼《碧雞漫志》卷三：「曲罷，無不感泣，因廣其曲，傳于人間。」
3.寬慰。《史記．卷八十四．屈原賈生傳》：「自以壽不得長，傷悼之，乃為賦以自廣。」
[形]
1.寬大、寬闊。如：「廣場」、「地廣人稀」。《詩經．周南．漢廣》：「漢之廣矣，不可泳思。」
2.高遠。《荀子．修身》：「君子貧窮而志廣。」
3.眾多。如：「大庭廣眾」。《戰國策．趙策三》：「自是以後，眾人廣坐之中，未嘗不言趙人之長者也。」 |</v>
      </c>
    </row>
    <row r="5681" spans="1:44" hidden="1">
      <c r="A5681" s="1" t="s">
        <v>10625</v>
      </c>
      <c r="C5681" s="1">
        <v>1</v>
      </c>
      <c r="D5681" s="1" t="str">
        <f>"04363"</f>
        <v>04363</v>
      </c>
      <c r="E5681" s="1" t="s">
        <v>256</v>
      </c>
      <c r="F5681" s="1">
        <v>18</v>
      </c>
      <c r="G5681" s="1">
        <v>15</v>
      </c>
      <c r="H5681" s="1">
        <v>2</v>
      </c>
      <c r="I5681" s="1" t="s">
        <v>10619</v>
      </c>
      <c r="K5681" s="1" t="str">
        <f t="shared" si="362"/>
        <v>ㄍ</v>
      </c>
      <c r="L5681" s="1" t="str">
        <f t="shared" si="363"/>
        <v>ㄨ</v>
      </c>
      <c r="M5681" s="1" t="str">
        <f t="shared" si="365"/>
        <v>ㄤ</v>
      </c>
      <c r="P5681" s="1" t="s">
        <v>110</v>
      </c>
      <c r="R5681" s="1" t="s">
        <v>10620</v>
      </c>
      <c r="V5681" s="1" t="s">
        <v>111</v>
      </c>
      <c r="W5681" s="1" t="s">
        <v>10626</v>
      </c>
      <c r="AR5681" s="1" t="str">
        <f t="shared" si="364"/>
        <v>| [ㄍㄨㄤˇ](ㄍㄨㄤˇ.md) | [鄺](鄺.md) |  | guǎng | (一)之又音。 |</v>
      </c>
    </row>
    <row r="5682" spans="1:44" hidden="1">
      <c r="A5682" s="1" t="s">
        <v>10627</v>
      </c>
      <c r="C5682" s="1">
        <v>1</v>
      </c>
      <c r="D5682" s="1" t="str">
        <f>"04364"</f>
        <v>04364</v>
      </c>
      <c r="E5682" s="1" t="s">
        <v>198</v>
      </c>
      <c r="F5682" s="1">
        <v>18</v>
      </c>
      <c r="G5682" s="1">
        <v>15</v>
      </c>
      <c r="H5682" s="1">
        <v>0</v>
      </c>
      <c r="I5682" s="1" t="s">
        <v>10619</v>
      </c>
      <c r="K5682" s="1" t="str">
        <f t="shared" si="362"/>
        <v>ㄍ</v>
      </c>
      <c r="L5682" s="1" t="str">
        <f t="shared" si="363"/>
        <v>ㄨ</v>
      </c>
      <c r="M5682" s="1" t="str">
        <f t="shared" si="365"/>
        <v>ㄤ</v>
      </c>
      <c r="P5682" s="1" t="s">
        <v>20</v>
      </c>
      <c r="R5682" s="1" t="s">
        <v>10620</v>
      </c>
      <c r="V5682" s="1" t="s">
        <v>10628</v>
      </c>
      <c r="AR5682" s="1" t="str">
        <f t="shared" si="364"/>
        <v>| [ㄍㄨㄤˇ](ㄍㄨㄤˇ.md) | [獷](獷.md) |  | guǎng | [形]
強悍、不馴服。如：「獷悍」。《後漢書．卷六五．段熲傳》：「虛欲修文戢戈，招降獷敵。」 |</v>
      </c>
    </row>
    <row r="5683" spans="1:44" hidden="1">
      <c r="A5683" s="1" t="s">
        <v>10610</v>
      </c>
      <c r="C5683" s="1">
        <v>1</v>
      </c>
      <c r="D5683" s="1" t="str">
        <f>"04365"</f>
        <v>04365</v>
      </c>
      <c r="E5683" s="1" t="s">
        <v>139</v>
      </c>
      <c r="F5683" s="1">
        <v>10</v>
      </c>
      <c r="G5683" s="1">
        <v>6</v>
      </c>
      <c r="H5683" s="1">
        <v>2</v>
      </c>
      <c r="I5683" s="1" t="s">
        <v>10629</v>
      </c>
      <c r="K5683" s="1" t="str">
        <f t="shared" si="362"/>
        <v>ㄍ</v>
      </c>
      <c r="L5683" s="1" t="str">
        <f t="shared" si="363"/>
        <v>ㄨ</v>
      </c>
      <c r="M5683" s="1" t="str">
        <f t="shared" si="365"/>
        <v>ㄤ</v>
      </c>
      <c r="P5683" s="1" t="s">
        <v>20</v>
      </c>
      <c r="R5683" s="1" t="s">
        <v>10630</v>
      </c>
      <c r="V5683" s="1" t="s">
        <v>10631</v>
      </c>
      <c r="W5683" s="1" t="s">
        <v>10632</v>
      </c>
      <c r="AR5683" s="1" t="str">
        <f t="shared" si="364"/>
        <v>| [ㄍㄨㄤˋ](ㄍㄨㄤˋ.md) | [桄](桄.md) |  | guàng | [名]
1.器物上的橫木。如：「門桄」、「織機桄」。明．徐光啟《農政全書．卷三四．蠶桑．桑事圖譜》：「狀如高凳，平穿二桄，就作登級。」
2.量詞。計算以桄子繞好的線團的單位。如：「一桄毛線」。 |</v>
      </c>
    </row>
    <row r="5684" spans="1:44" hidden="1">
      <c r="A5684" s="1" t="s">
        <v>10633</v>
      </c>
      <c r="C5684" s="1">
        <v>1</v>
      </c>
      <c r="D5684" s="1" t="str">
        <f>"04366"</f>
        <v>04366</v>
      </c>
      <c r="E5684" s="1" t="s">
        <v>558</v>
      </c>
      <c r="F5684" s="1">
        <v>11</v>
      </c>
      <c r="G5684" s="1">
        <v>7</v>
      </c>
      <c r="H5684" s="1">
        <v>0</v>
      </c>
      <c r="I5684" s="1" t="s">
        <v>10629</v>
      </c>
      <c r="K5684" s="1" t="str">
        <f t="shared" si="362"/>
        <v>ㄍ</v>
      </c>
      <c r="L5684" s="1" t="str">
        <f t="shared" si="363"/>
        <v>ㄨ</v>
      </c>
      <c r="M5684" s="1" t="str">
        <f t="shared" si="365"/>
        <v>ㄤ</v>
      </c>
      <c r="P5684" s="1" t="s">
        <v>20</v>
      </c>
      <c r="R5684" s="1" t="s">
        <v>10630</v>
      </c>
      <c r="V5684" s="1" t="s">
        <v>10634</v>
      </c>
      <c r="AR5684" s="1" t="str">
        <f t="shared" si="364"/>
        <v>| [ㄍㄨㄤˋ](ㄍㄨㄤˋ.md) | [逛](逛.md) |  | guàng | [動]
遊覽、閒步。如：「逛街」、「逛夜市」。《老殘遊記》第五回：「老殘無事，便向街道閒逛。」 |</v>
      </c>
    </row>
    <row r="5685" spans="1:44" hidden="1">
      <c r="A5685" s="1" t="s">
        <v>10635</v>
      </c>
      <c r="C5685" s="1">
        <v>1</v>
      </c>
      <c r="D5685" s="1" t="str">
        <f>"04367"</f>
        <v>04367</v>
      </c>
      <c r="E5685" s="1" t="s">
        <v>10636</v>
      </c>
      <c r="F5685" s="1">
        <v>3</v>
      </c>
      <c r="G5685" s="1">
        <v>0</v>
      </c>
      <c r="H5685" s="1">
        <v>0</v>
      </c>
      <c r="I5685" s="1" t="s">
        <v>10637</v>
      </c>
      <c r="K5685" s="1" t="str">
        <f t="shared" si="362"/>
        <v>ㄍ</v>
      </c>
      <c r="L5685" s="1" t="str">
        <f t="shared" si="363"/>
        <v>ㄨ</v>
      </c>
      <c r="M5685" s="1" t="str">
        <f t="shared" si="365"/>
        <v>ㄥ</v>
      </c>
      <c r="P5685" s="1" t="s">
        <v>20</v>
      </c>
      <c r="R5685" s="1" t="s">
        <v>10638</v>
      </c>
      <c r="V5685" s="1" t="s">
        <v>10639</v>
      </c>
      <c r="AR5685" s="1" t="str">
        <f t="shared" si="364"/>
        <v>| [ㄍㄨㄥ](ㄍㄨㄥ.md) | [工](工.md) |  | gōng | [名]
1.有專門技術或從事勞動生產的人。如：「木工」、「礦工」、「水電工」。《論語．衛靈公》：「工欲善其事，必先利其器。」
2.技巧。如：「唱工」、「雕工」、「巧奪天工」。唐．李白〈訪道安陵遇蓋還為余造真籙臨別留贈〉詩：「為我草真籙，天人慚妙工。」
3.勞動生產的作業。如：「上工」、「加工」、「怠工」。
4.大規模、有計畫的建設。如：「施工」、「竣工」。
5.工業的簡稱。如：「化工」。
6.一種古代樂譜上的音階符號。參見「工尺」條。
7.二一四部首之一。
[動]
擅長。如：「工於心計」。《韓非子．五蠹》：「工文學者非所用，用之則亂法。」
[形]
精緻、巧妙。如：「工整」。《紅樓夢》第四八回：「怪道我常弄本舊詩，偷空兒看一兩首，又有對的極工的，又有不對的。」 |</v>
      </c>
    </row>
    <row r="5686" spans="1:44" hidden="1">
      <c r="A5686" s="1" t="s">
        <v>10640</v>
      </c>
      <c r="C5686" s="1">
        <v>1</v>
      </c>
      <c r="D5686" s="1" t="str">
        <f>"04368"</f>
        <v>04368</v>
      </c>
      <c r="E5686" s="1" t="s">
        <v>245</v>
      </c>
      <c r="F5686" s="1">
        <v>5</v>
      </c>
      <c r="G5686" s="1">
        <v>3</v>
      </c>
      <c r="H5686" s="1">
        <v>0</v>
      </c>
      <c r="I5686" s="1" t="s">
        <v>10637</v>
      </c>
      <c r="K5686" s="1" t="str">
        <f t="shared" si="362"/>
        <v>ㄍ</v>
      </c>
      <c r="L5686" s="1" t="str">
        <f t="shared" si="363"/>
        <v>ㄨ</v>
      </c>
      <c r="M5686" s="1" t="str">
        <f t="shared" si="365"/>
        <v>ㄥ</v>
      </c>
      <c r="P5686" s="1" t="s">
        <v>20</v>
      </c>
      <c r="R5686" s="1" t="s">
        <v>10638</v>
      </c>
      <c r="V5686" s="1" t="s">
        <v>10641</v>
      </c>
      <c r="AR5686" s="1" t="str">
        <f t="shared" si="364"/>
        <v>| [ㄍㄨㄥ](ㄍㄨㄥ.md) | [功](功.md) |  | gōng | [名]
1.勛勞。如：「立功」、「歌功頌德」。《史記．卷七．項羽本紀》：「勞苦而功高如此，未有封侯之賞。」
2.事情、工作。如：「功虧一簣」。《史記．卷八二．田單列傳》：「乃身操版插，與士卒分功。」《北史．卷一一．隋本紀．高祖文帝》：「始令人以二十一成丁，歲役功不過二十日，不役者收庸。」
3.成效。如：「事半功倍」、「徒勞無功」。《荀子．勸學》：「駑馬十駕，功在不舍。」
4.成就、事業。如：「豐功偉業」。《孟子．公孫丑上》：「管仲晏子之功，可復許乎？」
5.工夫。如：「用功」、「練功」。唐．韓愈〈答殷侍御書〉：「一來應舉，事隨日生，雖欲加功，竟無其暇。」
6.一種喪服。參見「功服」條。
7.物理名詞，定義為施於物體上的力與物體沿施力方向所移動距離的乘積。 |</v>
      </c>
    </row>
    <row r="5687" spans="1:44" hidden="1">
      <c r="A5687" s="1" t="s">
        <v>10642</v>
      </c>
      <c r="C5687" s="1">
        <v>1</v>
      </c>
      <c r="D5687" s="1" t="str">
        <f>"04369"</f>
        <v>04369</v>
      </c>
      <c r="E5687" s="1" t="s">
        <v>426</v>
      </c>
      <c r="F5687" s="1">
        <v>7</v>
      </c>
      <c r="G5687" s="1">
        <v>3</v>
      </c>
      <c r="H5687" s="1">
        <v>0</v>
      </c>
      <c r="I5687" s="1" t="s">
        <v>10637</v>
      </c>
      <c r="K5687" s="1" t="str">
        <f t="shared" si="362"/>
        <v>ㄍ</v>
      </c>
      <c r="L5687" s="1" t="str">
        <f t="shared" si="363"/>
        <v>ㄨ</v>
      </c>
      <c r="M5687" s="1" t="str">
        <f t="shared" si="365"/>
        <v>ㄥ</v>
      </c>
      <c r="P5687" s="1" t="s">
        <v>20</v>
      </c>
      <c r="R5687" s="1" t="s">
        <v>10638</v>
      </c>
      <c r="V5687" s="1" t="s">
        <v>10643</v>
      </c>
      <c r="AR5687" s="1" t="str">
        <f t="shared" si="364"/>
        <v>| [ㄍㄨㄥ](ㄍㄨㄥ.md) | [攻](攻.md) |  | gōng | [動]
1.出擊。《說文解字．攴部》：「攻，擊也。」如：「圍攻」、「猛攻」、「反攻」。《左傳．僖公四年》：「以此攻城，何城不克。」
2.治療。《周禮．天官．瘍醫》：「凡療瘍，以五毒攻之。」《墨子．兼愛上》：「必知疾之所自起，焉能攻之。」
3.指責。如：「攻訐」、「群起攻之」。《論語．先進》：「非吾徒也，小子鳴鼓而攻之可也。」
4.治理、整治。《詩經．小雅．鶴鳴》：「它山之石，可以攻玉。」
5.從事、鑽研。如：「他專攻應用數學。」《論語．為政》：「攻乎異端，斯害也已。」
[名]
姓。如漢代有攻生單。 |</v>
      </c>
    </row>
    <row r="5688" spans="1:44" hidden="1">
      <c r="A5688" s="1" t="s">
        <v>10644</v>
      </c>
      <c r="C5688" s="1">
        <v>1</v>
      </c>
      <c r="D5688" s="1" t="str">
        <f>"04370"</f>
        <v>04370</v>
      </c>
      <c r="E5688" s="1" t="s">
        <v>725</v>
      </c>
      <c r="F5688" s="1">
        <v>9</v>
      </c>
      <c r="G5688" s="1">
        <v>3</v>
      </c>
      <c r="H5688" s="1">
        <v>2</v>
      </c>
      <c r="I5688" s="1" t="s">
        <v>10637</v>
      </c>
      <c r="K5688" s="1" t="str">
        <f t="shared" si="362"/>
        <v>ㄍ</v>
      </c>
      <c r="L5688" s="1" t="str">
        <f t="shared" si="363"/>
        <v>ㄨ</v>
      </c>
      <c r="M5688" s="1" t="str">
        <f t="shared" si="365"/>
        <v>ㄥ</v>
      </c>
      <c r="P5688" s="1" t="s">
        <v>20</v>
      </c>
      <c r="R5688" s="1" t="s">
        <v>10638</v>
      </c>
      <c r="V5688" s="1" t="s">
        <v>10645</v>
      </c>
      <c r="W5688" s="1" t="s">
        <v>10646</v>
      </c>
      <c r="AR5688" s="1" t="str">
        <f t="shared" si="364"/>
        <v>| [ㄍㄨㄥ](ㄍㄨㄥ.md) | [紅](紅.md) |  | gōng | [名]_x000D_
工作。通「工」。多指女子所做的織布、縫紉、刺繡等工作。如：「女紅」。 |</v>
      </c>
    </row>
    <row r="5689" spans="1:44" hidden="1">
      <c r="A5689" s="1" t="s">
        <v>10647</v>
      </c>
      <c r="C5689" s="1">
        <v>1</v>
      </c>
      <c r="D5689" s="1" t="str">
        <f>"04371"</f>
        <v>04371</v>
      </c>
      <c r="E5689" s="1" t="s">
        <v>103</v>
      </c>
      <c r="F5689" s="1">
        <v>3</v>
      </c>
      <c r="G5689" s="1">
        <v>0</v>
      </c>
      <c r="H5689" s="1">
        <v>0</v>
      </c>
      <c r="I5689" s="1" t="s">
        <v>10637</v>
      </c>
      <c r="K5689" s="1" t="str">
        <f t="shared" si="362"/>
        <v>ㄍ</v>
      </c>
      <c r="L5689" s="1" t="str">
        <f t="shared" si="363"/>
        <v>ㄨ</v>
      </c>
      <c r="M5689" s="1" t="str">
        <f t="shared" si="365"/>
        <v>ㄥ</v>
      </c>
      <c r="P5689" s="1" t="s">
        <v>20</v>
      </c>
      <c r="R5689" s="1" t="s">
        <v>10638</v>
      </c>
      <c r="V5689" s="1" t="s">
        <v>10648</v>
      </c>
      <c r="AR5689" s="1" t="str">
        <f t="shared" si="364"/>
        <v>| [ㄍㄨㄥ](ㄍㄨㄥ.md) | [弓](弓.md) |  | gōng | [名]_x000D_
1.武器名。由彎成弧形的木條繫上絲繩製成用以發射箭矢或彈丸的器具。如：「弓箭」、「彈弓」。《三國演義》第六五回：「張飛帶住馬，拈弓搭箭，回射馬超。」_x000D_
2.量詞。古代計算長度的單位。六尺為一弓。《儀禮．鄉射禮》：「侯道五十弓。」唐．賈公彥．疏：「六尺為步，弓之下制六尺，與步相應。」_x000D_
3.姓。如前秦有弓蚝。_x000D_
4.二一四部首之一。_x000D_
[動]_x000D_
彎曲。如：「弓腰」、「弓著背」。 |</v>
      </c>
    </row>
    <row r="5690" spans="1:44" hidden="1">
      <c r="A5690" s="1" t="s">
        <v>10649</v>
      </c>
      <c r="C5690" s="1">
        <v>1</v>
      </c>
      <c r="D5690" s="1" t="str">
        <f>"04372"</f>
        <v>04372</v>
      </c>
      <c r="E5690" s="1" t="s">
        <v>5692</v>
      </c>
      <c r="F5690" s="1">
        <v>10</v>
      </c>
      <c r="G5690" s="1">
        <v>3</v>
      </c>
      <c r="H5690" s="1">
        <v>0</v>
      </c>
      <c r="I5690" s="1" t="s">
        <v>10637</v>
      </c>
      <c r="K5690" s="1" t="str">
        <f t="shared" si="362"/>
        <v>ㄍ</v>
      </c>
      <c r="L5690" s="1" t="str">
        <f t="shared" si="363"/>
        <v>ㄨ</v>
      </c>
      <c r="M5690" s="1" t="str">
        <f t="shared" si="365"/>
        <v>ㄥ</v>
      </c>
      <c r="P5690" s="1" t="s">
        <v>20</v>
      </c>
      <c r="R5690" s="1" t="s">
        <v>10638</v>
      </c>
      <c r="V5690" s="1" t="s">
        <v>10650</v>
      </c>
      <c r="AR5690" s="1" t="str">
        <f t="shared" si="364"/>
        <v>| [ㄍㄨㄥ](ㄍㄨㄥ.md) | [躬](躬.md) |  | gōng | [名]
身體。《爾雅．釋詁下》：「躬，身也。」如：「鞠躬」、「政躬康泰」。《詩經．大雅．生民》：「纘戎祖考，王躬是保。」
[副]
親身、親自。如：「事必躬親」。晉．杜預〈春秋左氏傳序〉：「身為國史，躬覽載籍。」唐．王勃〈滕王閣序〉：「童子何知，躬逢勝餞。」
[動]
彎曲。如：「躬身為禮」。 |</v>
      </c>
    </row>
    <row r="5691" spans="1:44" hidden="1">
      <c r="A5691" s="1" t="s">
        <v>10651</v>
      </c>
      <c r="C5691" s="1">
        <v>1</v>
      </c>
      <c r="D5691" s="1" t="str">
        <f>"04373"</f>
        <v>04373</v>
      </c>
      <c r="E5691" s="1" t="s">
        <v>18</v>
      </c>
      <c r="F5691" s="1">
        <v>4</v>
      </c>
      <c r="G5691" s="1">
        <v>2</v>
      </c>
      <c r="H5691" s="1">
        <v>0</v>
      </c>
      <c r="I5691" s="1" t="s">
        <v>10637</v>
      </c>
      <c r="K5691" s="1" t="str">
        <f t="shared" si="362"/>
        <v>ㄍ</v>
      </c>
      <c r="L5691" s="1" t="str">
        <f t="shared" si="363"/>
        <v>ㄨ</v>
      </c>
      <c r="M5691" s="1" t="str">
        <f t="shared" si="365"/>
        <v>ㄥ</v>
      </c>
      <c r="P5691" s="1" t="s">
        <v>20</v>
      </c>
      <c r="R5691" s="1" t="s">
        <v>10638</v>
      </c>
      <c r="V5691" s="1" t="s">
        <v>10652</v>
      </c>
      <c r="AR5691" s="1" t="str">
        <f t="shared" si="364"/>
        <v>| [ㄍㄨㄥ](ㄍㄨㄥ.md) | [公](公.md) |  | gōng | [動]
1.平分。《說文解字．八部》：「公，平分也。」
2.使多數人得知或分享。如：「公諸世人」、「公諸同好」。
[名]
1.一種古代的爵位，位居五等之首。《禮記．王制》：「王者之制祿爵，公、侯、伯、子、男凡五等。」
2.稱謂：(1)對祖父的稱呼。如：「外公」。(2)對年長或有地位者的尊稱。如：「主公」、「老公公」。(3)婦人稱丈夫的父親為「公」。如：「公公」、「公婆」。
3.對同輩的敬稱。《史記．卷七六．平原君傳》：「公等錄錄，所謂因人成事者也。」
4.平正無私。如：「因公忘私」。《書經．周官》：「以公滅私，民其允懷。」《韓非子．五蠹》：「自環者謂之私，背私者謂之公。」
5.有關眾人的事物。如：「辦公」。
6.姓。如漢代有公儉。
[形]
1.屬於大眾的。如：「公費」、「公物」、「公筷」、「公海」。
2.雄性的。如：「公雞」。
[副]
1.不掩飾、不隱藏的。如：「公然」。《隋書．卷七〇．楊玄感傳》：「朋黨相扇，貨賄公行。」
2.國家負責的。如：「公營」、「公告地價」。 |</v>
      </c>
    </row>
    <row r="5692" spans="1:44" hidden="1">
      <c r="A5692" s="1" t="s">
        <v>10653</v>
      </c>
      <c r="C5692" s="1">
        <v>1</v>
      </c>
      <c r="D5692" s="1" t="str">
        <f>"04374"</f>
        <v>04374</v>
      </c>
      <c r="E5692" s="1" t="s">
        <v>679</v>
      </c>
      <c r="F5692" s="1">
        <v>10</v>
      </c>
      <c r="G5692" s="1">
        <v>4</v>
      </c>
      <c r="H5692" s="1">
        <v>0</v>
      </c>
      <c r="I5692" s="1" t="s">
        <v>10637</v>
      </c>
      <c r="K5692" s="1" t="str">
        <f t="shared" si="362"/>
        <v>ㄍ</v>
      </c>
      <c r="L5692" s="1" t="str">
        <f t="shared" si="363"/>
        <v>ㄨ</v>
      </c>
      <c r="M5692" s="1" t="str">
        <f t="shared" si="365"/>
        <v>ㄥ</v>
      </c>
      <c r="P5692" s="1" t="s">
        <v>20</v>
      </c>
      <c r="R5692" s="1" t="s">
        <v>10638</v>
      </c>
      <c r="V5692" s="1" t="s">
        <v>10654</v>
      </c>
      <c r="AR5692" s="1" t="str">
        <f t="shared" si="364"/>
        <v>| [ㄍㄨㄥ](ㄍㄨㄥ.md) | [蚣](蚣.md) |  | gōng | 參見「蜈蚣」條。 |</v>
      </c>
    </row>
    <row r="5693" spans="1:44" hidden="1">
      <c r="A5693" s="1" t="s">
        <v>10655</v>
      </c>
      <c r="C5693" s="1">
        <v>1</v>
      </c>
      <c r="D5693" s="1" t="str">
        <f>"04375"</f>
        <v>04375</v>
      </c>
      <c r="E5693" s="1" t="s">
        <v>18</v>
      </c>
      <c r="F5693" s="1">
        <v>6</v>
      </c>
      <c r="G5693" s="1">
        <v>4</v>
      </c>
      <c r="H5693" s="1">
        <v>2</v>
      </c>
      <c r="I5693" s="1" t="s">
        <v>10637</v>
      </c>
      <c r="K5693" s="1" t="str">
        <f t="shared" si="362"/>
        <v>ㄍ</v>
      </c>
      <c r="L5693" s="1" t="str">
        <f t="shared" si="363"/>
        <v>ㄨ</v>
      </c>
      <c r="M5693" s="1" t="str">
        <f t="shared" si="365"/>
        <v>ㄥ</v>
      </c>
      <c r="P5693" s="1" t="s">
        <v>20</v>
      </c>
      <c r="R5693" s="1" t="s">
        <v>10638</v>
      </c>
      <c r="V5693" s="1" t="s">
        <v>10656</v>
      </c>
      <c r="W5693" s="1" t="s">
        <v>10657</v>
      </c>
      <c r="AR5693" s="1" t="str">
        <f t="shared" si="364"/>
        <v>| [ㄍㄨㄥ](ㄍㄨㄥ.md) | [共](共.md) |  | gōng | [動]
供給。通「供」。《左傳．僖公三十年》：「行李之往來，共其乏困，君亦無所害。」
[形]
恭敬。通「恭」。《左傳．文公十八年》：「父義，母慈，兄友，弟共，子孝。」
[名]
姓。如黃帝時有共鼓。 |</v>
      </c>
    </row>
    <row r="5694" spans="1:44" hidden="1">
      <c r="A5694" s="1" t="s">
        <v>10658</v>
      </c>
      <c r="C5694" s="1">
        <v>1</v>
      </c>
      <c r="D5694" s="1" t="str">
        <f>"04376"</f>
        <v>04376</v>
      </c>
      <c r="E5694" s="1" t="s">
        <v>114</v>
      </c>
      <c r="F5694" s="1">
        <v>8</v>
      </c>
      <c r="G5694" s="1">
        <v>6</v>
      </c>
      <c r="H5694" s="1">
        <v>1</v>
      </c>
      <c r="I5694" s="1" t="s">
        <v>10637</v>
      </c>
      <c r="K5694" s="1" t="str">
        <f t="shared" si="362"/>
        <v>ㄍ</v>
      </c>
      <c r="L5694" s="1" t="str">
        <f t="shared" si="363"/>
        <v>ㄨ</v>
      </c>
      <c r="M5694" s="1" t="str">
        <f t="shared" si="365"/>
        <v>ㄥ</v>
      </c>
      <c r="P5694" s="1" t="s">
        <v>20</v>
      </c>
      <c r="R5694" s="1" t="s">
        <v>10638</v>
      </c>
      <c r="V5694" s="1" t="s">
        <v>10659</v>
      </c>
      <c r="W5694" s="1" t="s">
        <v>10660</v>
      </c>
      <c r="AR5694" s="1" t="str">
        <f t="shared" si="364"/>
        <v>| [ㄍㄨㄥ](ㄍㄨㄥ.md) | [供](供.md) |  | gōng | [動]
1.給予。如：「提供」、「供應」、「供給」。《文選．潘岳．藉田賦》：「故躬稼以供粢盛，所以致孝也。」《二刻拍案驚奇》卷一四：「主人辭不得，一日供他兩番，而今多了，也供不起了。」
2.受審者陳述案情。如：「供認」、「供出」。《聊齋志異．卷八．局詐》：「司馬怒，執下廷尉。始供其引見者之姓名。」
[名]
受審者所陳說的案情紀錄。如：「口供」、「筆供」、「招供」。《紅樓夢》第八四回：「你說你親眼見的，怎麼今日的供不對？」 |</v>
      </c>
    </row>
    <row r="5695" spans="1:44" hidden="1">
      <c r="A5695" s="1" t="s">
        <v>10661</v>
      </c>
      <c r="C5695" s="1">
        <v>1</v>
      </c>
      <c r="D5695" s="1" t="str">
        <f>"04377"</f>
        <v>04377</v>
      </c>
      <c r="E5695" s="1" t="s">
        <v>9393</v>
      </c>
      <c r="F5695" s="1">
        <v>22</v>
      </c>
      <c r="G5695" s="1">
        <v>6</v>
      </c>
      <c r="H5695" s="1">
        <v>0</v>
      </c>
      <c r="I5695" s="1" t="s">
        <v>10637</v>
      </c>
      <c r="K5695" s="1" t="str">
        <f t="shared" ref="K5695:K5720" si="366">LEFT(I5695, 1)</f>
        <v>ㄍ</v>
      </c>
      <c r="L5695" s="1" t="str">
        <f t="shared" ref="L5695:L5720" si="367">MID(I5695, 2, 1)</f>
        <v>ㄨ</v>
      </c>
      <c r="M5695" s="1" t="str">
        <f t="shared" si="365"/>
        <v>ㄥ</v>
      </c>
      <c r="P5695" s="1" t="s">
        <v>20</v>
      </c>
      <c r="R5695" s="1" t="s">
        <v>10638</v>
      </c>
      <c r="V5695" s="1" t="s">
        <v>10662</v>
      </c>
      <c r="AR5695" s="1" t="str">
        <f t="shared" si="364"/>
        <v>| [ㄍㄨㄥ](ㄍㄨㄥ.md) | [龔](龔.md) |  | gōng | [動]
供給。通「供」。《說文解字．共部》：「龔，給也。」唐．柳宗元〈武岡銘〉：「奉職輸賦，進比華人，無敢不龔。」
[副]
恭敬。通「恭」。《文選．范曄．宦者傳論》：「雖袁紹龔行，芟夷無餘，然以暴易亂，亦何云及。」
[名]
姓。如晉代有龔堅。 |</v>
      </c>
    </row>
    <row r="5696" spans="1:44" hidden="1">
      <c r="A5696" s="1" t="s">
        <v>10663</v>
      </c>
      <c r="C5696" s="1">
        <v>1</v>
      </c>
      <c r="D5696" s="1" t="str">
        <f>"04378"</f>
        <v>04378</v>
      </c>
      <c r="E5696" s="1" t="s">
        <v>68</v>
      </c>
      <c r="F5696" s="1">
        <v>8</v>
      </c>
      <c r="G5696" s="1">
        <v>4</v>
      </c>
      <c r="H5696" s="1">
        <v>0</v>
      </c>
      <c r="I5696" s="1" t="s">
        <v>10637</v>
      </c>
      <c r="K5696" s="1" t="str">
        <f t="shared" si="366"/>
        <v>ㄍ</v>
      </c>
      <c r="L5696" s="1" t="str">
        <f t="shared" si="367"/>
        <v>ㄨ</v>
      </c>
      <c r="M5696" s="1" t="str">
        <f t="shared" si="365"/>
        <v>ㄥ</v>
      </c>
      <c r="P5696" s="1" t="s">
        <v>20</v>
      </c>
      <c r="R5696" s="1" t="s">
        <v>10638</v>
      </c>
      <c r="V5696" s="1" t="s">
        <v>10664</v>
      </c>
      <c r="AR5696" s="1" t="str">
        <f t="shared" si="364"/>
        <v>| [ㄍㄨㄥ](ㄍㄨㄥ.md) | [肱](肱.md) |  | gōng | [名]
胳膊。或單指肩臂相連處至腕的部分。《左傳．定公十三年》：「三折肱知為良醫。」《論語．述而》：「飯疏食飲水，曲肱而枕之，樂亦在其中矣！」 |</v>
      </c>
    </row>
    <row r="5697" spans="1:44" hidden="1">
      <c r="A5697" s="1" t="s">
        <v>10665</v>
      </c>
      <c r="C5697" s="1">
        <v>1</v>
      </c>
      <c r="D5697" s="1" t="str">
        <f>"04379"</f>
        <v>04379</v>
      </c>
      <c r="E5697" s="1" t="s">
        <v>624</v>
      </c>
      <c r="F5697" s="1">
        <v>10</v>
      </c>
      <c r="G5697" s="1">
        <v>7</v>
      </c>
      <c r="H5697" s="1">
        <v>0</v>
      </c>
      <c r="I5697" s="1" t="s">
        <v>10637</v>
      </c>
      <c r="K5697" s="1" t="str">
        <f t="shared" si="366"/>
        <v>ㄍ</v>
      </c>
      <c r="L5697" s="1" t="str">
        <f t="shared" si="367"/>
        <v>ㄨ</v>
      </c>
      <c r="M5697" s="1" t="str">
        <f t="shared" si="365"/>
        <v>ㄥ</v>
      </c>
      <c r="P5697" s="1" t="s">
        <v>20</v>
      </c>
      <c r="R5697" s="1" t="s">
        <v>10638</v>
      </c>
      <c r="V5697" s="1" t="s">
        <v>10666</v>
      </c>
      <c r="AR5697" s="1" t="str">
        <f t="shared" si="364"/>
        <v>| [ㄍㄨㄥ](ㄍㄨㄥ.md) | [宮](宮.md) |  | gōng | [名]
1.房屋、住宅。《說文解字．宮部》：「宮，室也。」《易經．困卦．象曰》：「入于其宮不見其妻，不祥也。」《韓非子．難二》：「子宮小，近市，請徙子家豫章之圃。」
2.帝王的住所。如：「皇宮」。唐．陸德明《經典釋文．卷二九．爾雅音義中》：「宮，古者貴賤同稱宮，秦漢以來惟王者所居稱宮焉。」唐．李白〈古風〉詩五九首之二：「蕭蕭長門宮，昔是今已非。」
3.祭祀神明或祖先的地方。如：「天后宮」、「朝天宮」。《詩經．大雅．雲漢》：「不殄禋祀，自郊徂宮。」漢．鄭玄．箋：「宮，宗廟也。」唐．韓愈〈謁衡嶽廟遂宿嶽寺題門樓〉詩：「森然魄動下馬拜，松柏一逕趨靈宮。」
4.五音之一，與商、角、徵、羽合稱為「五音」。以宮聲為主的調式也稱為「宮」。如元代北曲用樂分六宮十一調。
5.古代一種閹割男性的生殖器官或將女性幽閉起來的刑罰。《書經．呂刑》：「宮辟疑赦，其罰六百鍰。」漢．孔安國．傳：「宮，淫刑也。男子割勢，婦人幽閉，次死之刑。」
6.姓。如春秋時虞國有宮之奇。 |</v>
      </c>
    </row>
    <row r="5698" spans="1:44" hidden="1">
      <c r="A5698" s="1" t="s">
        <v>10667</v>
      </c>
      <c r="C5698" s="1">
        <v>1</v>
      </c>
      <c r="D5698" s="1" t="str">
        <f>"04380"</f>
        <v>04380</v>
      </c>
      <c r="E5698" s="1" t="s">
        <v>250</v>
      </c>
      <c r="F5698" s="1">
        <v>10</v>
      </c>
      <c r="G5698" s="1">
        <v>6</v>
      </c>
      <c r="H5698" s="1">
        <v>0</v>
      </c>
      <c r="I5698" s="1" t="s">
        <v>10637</v>
      </c>
      <c r="K5698" s="1" t="str">
        <f t="shared" si="366"/>
        <v>ㄍ</v>
      </c>
      <c r="L5698" s="1" t="str">
        <f t="shared" si="367"/>
        <v>ㄨ</v>
      </c>
      <c r="M5698" s="1" t="str">
        <f t="shared" si="365"/>
        <v>ㄥ</v>
      </c>
      <c r="P5698" s="1" t="s">
        <v>20</v>
      </c>
      <c r="R5698" s="1" t="s">
        <v>10638</v>
      </c>
      <c r="V5698" s="1" t="s">
        <v>10668</v>
      </c>
      <c r="AR5698" s="1" t="str">
        <f t="shared" si="364"/>
        <v>| [ㄍㄨㄥ](ㄍㄨㄥ.md) | [恭](恭.md) |  | gōng | [動]
1.尊敬。《說文解字．心部》：「恭，肅也。」《孔子家語．卷三．弟子行》：「恭老卹幼，不忘賓旅。」
2.遵行、奉行。《三國志．卷五五．吳書．黃蓋傳》：「初皆怖威，夙夜恭職。」
3.稱讚。如：「恭維」。
[名]
1.一種拱手致意的禮節。如：「打恭作揖」。《儒林外史》第四二回：「請過了文昌，大人朝上又打三恭。」
2.姓。如晉代有恭播。
[形]
謙和。如：「恭敬」、「謙恭有禮」。
[副]
敬肅。如：「恭送」、「洗耳恭聽」、「恭候大駕」。 |</v>
      </c>
    </row>
    <row r="5699" spans="1:44" hidden="1">
      <c r="A5699" s="1" t="s">
        <v>10669</v>
      </c>
      <c r="C5699" s="1">
        <v>1</v>
      </c>
      <c r="D5699" s="1" t="str">
        <f>"04381"</f>
        <v>04381</v>
      </c>
      <c r="E5699" s="1" t="s">
        <v>132</v>
      </c>
      <c r="F5699" s="1">
        <v>13</v>
      </c>
      <c r="G5699" s="1">
        <v>10</v>
      </c>
      <c r="H5699" s="1">
        <v>0</v>
      </c>
      <c r="I5699" s="1" t="s">
        <v>10637</v>
      </c>
      <c r="K5699" s="1" t="str">
        <f t="shared" si="366"/>
        <v>ㄍ</v>
      </c>
      <c r="L5699" s="1" t="str">
        <f t="shared" si="367"/>
        <v>ㄨ</v>
      </c>
      <c r="M5699" s="1" t="str">
        <f t="shared" si="365"/>
        <v>ㄥ</v>
      </c>
      <c r="P5699" s="1" t="s">
        <v>20</v>
      </c>
      <c r="R5699" s="1" t="s">
        <v>10638</v>
      </c>
      <c r="V5699" s="1" t="s">
        <v>10670</v>
      </c>
      <c r="AR5699" s="1" t="str">
        <f t="shared" ref="AR5699:AR5762" si="368">"| ["&amp;I5699&amp;"]("&amp;I5699&amp;".md) | ["&amp;A5699&amp;"]("&amp;A5699&amp;".md) | "&amp;" | "&amp;R5699&amp;" | "&amp;V5699&amp;" |"</f>
        <v>| [ㄍㄨㄥ](ㄍㄨㄥ.md) | [塨](塨.md) |  | gōng | [名]
人名用字。如清代有李塨。 |</v>
      </c>
    </row>
    <row r="5700" spans="1:44" hidden="1">
      <c r="A5700" s="1" t="s">
        <v>10671</v>
      </c>
      <c r="C5700" s="1">
        <v>1</v>
      </c>
      <c r="D5700" s="1" t="str">
        <f>"04382"</f>
        <v>04382</v>
      </c>
      <c r="E5700" s="1" t="s">
        <v>1117</v>
      </c>
      <c r="F5700" s="1">
        <v>13</v>
      </c>
      <c r="G5700" s="1">
        <v>6</v>
      </c>
      <c r="H5700" s="1">
        <v>0</v>
      </c>
      <c r="I5700" s="1" t="s">
        <v>10637</v>
      </c>
      <c r="K5700" s="1" t="str">
        <f t="shared" si="366"/>
        <v>ㄍ</v>
      </c>
      <c r="L5700" s="1" t="str">
        <f t="shared" si="367"/>
        <v>ㄨ</v>
      </c>
      <c r="M5700" s="1" t="str">
        <f t="shared" si="365"/>
        <v>ㄥ</v>
      </c>
      <c r="P5700" s="1" t="s">
        <v>20</v>
      </c>
      <c r="R5700" s="1" t="s">
        <v>10638</v>
      </c>
      <c r="V5700" s="1" t="s">
        <v>10672</v>
      </c>
      <c r="AR5700" s="1" t="str">
        <f t="shared" si="368"/>
        <v>| [ㄍㄨㄥ](ㄍㄨㄥ.md) | [觥](觥.md) |  | gōng | [名]
用兕牛角製成的飲酒器物。如：「杯觥交錯」。《詩經．周南．卷耳》：「我姑酌兕觥，維以不永傷。」
[形]
豐盛。《國語．越語下》：「諺有之曰：『觥飯不及壺飧。』」三國吳．韋昭．注：「觥，大也。」 |</v>
      </c>
    </row>
    <row r="5701" spans="1:44" hidden="1">
      <c r="A5701" s="1" t="s">
        <v>10673</v>
      </c>
      <c r="C5701" s="1">
        <v>1</v>
      </c>
      <c r="D5701" s="1" t="str">
        <f>"04383"</f>
        <v>04383</v>
      </c>
      <c r="E5701" s="1" t="s">
        <v>1027</v>
      </c>
      <c r="F5701" s="1">
        <v>3</v>
      </c>
      <c r="G5701" s="1">
        <v>0</v>
      </c>
      <c r="H5701" s="1">
        <v>0</v>
      </c>
      <c r="I5701" s="1" t="s">
        <v>10674</v>
      </c>
      <c r="K5701" s="1" t="str">
        <f t="shared" si="366"/>
        <v>ㄍ</v>
      </c>
      <c r="L5701" s="1" t="str">
        <f t="shared" si="367"/>
        <v>ㄨ</v>
      </c>
      <c r="M5701" s="1" t="str">
        <f t="shared" si="365"/>
        <v>ㄥ</v>
      </c>
      <c r="P5701" s="1" t="s">
        <v>20</v>
      </c>
      <c r="R5701" s="1" t="s">
        <v>10675</v>
      </c>
      <c r="V5701" s="1" t="s">
        <v>10676</v>
      </c>
      <c r="AR5701" s="1" t="str">
        <f t="shared" si="368"/>
        <v>| [ㄍㄨㄥˇ](ㄍㄨㄥˇ.md) | [廾](廾.md) |  | gǒng | [動]
並攏兩手以捧物。《說文解字．廾部》：「廾，竦手也。」
[名]
1.二十。同「廿」。
2.二一四部首之一。 |</v>
      </c>
    </row>
    <row r="5702" spans="1:44" hidden="1">
      <c r="A5702" s="1" t="s">
        <v>10655</v>
      </c>
      <c r="C5702" s="1">
        <v>1</v>
      </c>
      <c r="D5702" s="1" t="str">
        <f>"04384"</f>
        <v>04384</v>
      </c>
      <c r="E5702" s="1" t="s">
        <v>18</v>
      </c>
      <c r="F5702" s="1">
        <v>6</v>
      </c>
      <c r="G5702" s="1">
        <v>4</v>
      </c>
      <c r="H5702" s="1">
        <v>3</v>
      </c>
      <c r="I5702" s="1" t="s">
        <v>10674</v>
      </c>
      <c r="K5702" s="1" t="str">
        <f t="shared" si="366"/>
        <v>ㄍ</v>
      </c>
      <c r="L5702" s="1" t="str">
        <f t="shared" si="367"/>
        <v>ㄨ</v>
      </c>
      <c r="M5702" s="1" t="str">
        <f t="shared" si="365"/>
        <v>ㄥ</v>
      </c>
      <c r="P5702" s="1" t="s">
        <v>20</v>
      </c>
      <c r="R5702" s="1" t="s">
        <v>10675</v>
      </c>
      <c r="V5702" s="1" t="s">
        <v>10677</v>
      </c>
      <c r="W5702" s="1" t="s">
        <v>10678</v>
      </c>
      <c r="AR5702" s="1" t="str">
        <f t="shared" si="368"/>
        <v>| [ㄍㄨㄥˇ](ㄍㄨㄥˇ.md) | [共](共.md) |  | gǒng | [動]
1.雙手抱拳。通「拱」。《荀子．賦》：「聖人共手，時幾將矣。」
2.環繞、護衛。通「拱」。《論語．為政》：「為政以德，譬如北辰，居其所而眾星共之。」 |</v>
      </c>
    </row>
    <row r="5703" spans="1:44" hidden="1">
      <c r="A5703" s="1" t="s">
        <v>10679</v>
      </c>
      <c r="C5703" s="1">
        <v>1</v>
      </c>
      <c r="D5703" s="1" t="str">
        <f>"04385"</f>
        <v>04385</v>
      </c>
      <c r="E5703" s="1" t="s">
        <v>24</v>
      </c>
      <c r="F5703" s="1">
        <v>9</v>
      </c>
      <c r="G5703" s="1">
        <v>6</v>
      </c>
      <c r="H5703" s="1">
        <v>0</v>
      </c>
      <c r="I5703" s="1" t="s">
        <v>10674</v>
      </c>
      <c r="K5703" s="1" t="str">
        <f t="shared" si="366"/>
        <v>ㄍ</v>
      </c>
      <c r="L5703" s="1" t="str">
        <f t="shared" si="367"/>
        <v>ㄨ</v>
      </c>
      <c r="M5703" s="1" t="str">
        <f t="shared" si="365"/>
        <v>ㄥ</v>
      </c>
      <c r="P5703" s="1" t="s">
        <v>20</v>
      </c>
      <c r="R5703" s="1" t="s">
        <v>10675</v>
      </c>
      <c r="V5703" s="1" t="s">
        <v>10680</v>
      </c>
      <c r="AR5703" s="1" t="str">
        <f t="shared" si="368"/>
        <v>| [ㄍㄨㄥˇ](ㄍㄨㄥˇ.md) | [拱](拱.md) |  | gǒng | [動]
1.雙手相合，臂的前部上舉，以示恭敬。《說文解字．手部》：「拱，斂手也。」《論語．微子》：「植其杖而芸，子路拱而立。」
2.圍繞。如：「群山環拱」、「眾星拱月」。
3.肢體上聳彎曲而成弧形。如：「拱肩縮背」、「貓兒拱起身體。」《西遊記》第六〇回：「座上眾精聞言，都拱身對老龍作禮。」
4.向上或向外頂掀。如：「新長出的芽兒把土拱起來了。」唐．杜甫〈北征〉詩：「鴟鳥鳴黃桑，野鼠拱亂穴。」
5.強迫推舉。如：「他被大家拱出來當代表。」
[形]
1.可用兩手合抱的。《左傳．僖公三十二年》：「爾何知！中壽，爾墓之木拱矣。」
2.圓弧形的。如：「拱橋」、「拱門」。 |</v>
      </c>
    </row>
    <row r="5704" spans="1:44" hidden="1">
      <c r="A5704" s="1" t="s">
        <v>10681</v>
      </c>
      <c r="C5704" s="1">
        <v>1</v>
      </c>
      <c r="D5704" s="1" t="str">
        <f>"04386"</f>
        <v>04386</v>
      </c>
      <c r="E5704" s="1" t="s">
        <v>142</v>
      </c>
      <c r="F5704" s="1">
        <v>10</v>
      </c>
      <c r="G5704" s="1">
        <v>6</v>
      </c>
      <c r="H5704" s="1">
        <v>0</v>
      </c>
      <c r="I5704" s="1" t="s">
        <v>10674</v>
      </c>
      <c r="K5704" s="1" t="str">
        <f t="shared" si="366"/>
        <v>ㄍ</v>
      </c>
      <c r="L5704" s="1" t="str">
        <f t="shared" si="367"/>
        <v>ㄨ</v>
      </c>
      <c r="M5704" s="1" t="str">
        <f t="shared" si="365"/>
        <v>ㄥ</v>
      </c>
      <c r="P5704" s="1" t="s">
        <v>20</v>
      </c>
      <c r="R5704" s="1" t="s">
        <v>10675</v>
      </c>
      <c r="V5704" s="1" t="s">
        <v>10682</v>
      </c>
      <c r="AR5704" s="1" t="str">
        <f t="shared" si="368"/>
        <v>| [ㄍㄨㄥˇ](ㄍㄨㄥˇ.md) | [珙](珙.md) |  | gǒng | [名]
大的璧玉。《玉篇．玉部》：「珙，大璧也。」唐．韓愈、張籍、孟郊、張徹〈會合聯句〉：「朝紳鬱青綠，馬飾曜珪珙。」 |</v>
      </c>
    </row>
    <row r="5705" spans="1:44" hidden="1">
      <c r="A5705" s="1" t="s">
        <v>10683</v>
      </c>
      <c r="C5705" s="1">
        <v>1</v>
      </c>
      <c r="D5705" s="1" t="str">
        <f>"04387"</f>
        <v>04387</v>
      </c>
      <c r="E5705" s="1" t="s">
        <v>24</v>
      </c>
      <c r="F5705" s="1">
        <v>10</v>
      </c>
      <c r="G5705" s="1">
        <v>6</v>
      </c>
      <c r="H5705" s="1">
        <v>0</v>
      </c>
      <c r="I5705" s="1" t="s">
        <v>10674</v>
      </c>
      <c r="K5705" s="1" t="str">
        <f t="shared" si="366"/>
        <v>ㄍ</v>
      </c>
      <c r="L5705" s="1" t="str">
        <f t="shared" si="367"/>
        <v>ㄨ</v>
      </c>
      <c r="M5705" s="1" t="str">
        <f t="shared" si="365"/>
        <v>ㄥ</v>
      </c>
      <c r="P5705" s="1" t="s">
        <v>20</v>
      </c>
      <c r="R5705" s="1" t="s">
        <v>10675</v>
      </c>
      <c r="V5705" s="1" t="s">
        <v>10684</v>
      </c>
      <c r="AR5705" s="1" t="str">
        <f t="shared" si="368"/>
        <v>| [ㄍㄨㄥˇ](ㄍㄨㄥˇ.md) | [拲](拲.md) |  | gǒng | [動]
把雙手銬在一起。《說文解字．手部》：「拲，兩手共同械也。」《周禮．秋官．掌囚》：「凡囚者，上罪梏拲而桎。」鄭玄注引鄭司農云：「拲者，兩手共一木也。」 |</v>
      </c>
    </row>
    <row r="5706" spans="1:44" hidden="1">
      <c r="A5706" s="1" t="s">
        <v>10685</v>
      </c>
      <c r="C5706" s="1">
        <v>1</v>
      </c>
      <c r="D5706" s="1" t="str">
        <f>"04388"</f>
        <v>04388</v>
      </c>
      <c r="E5706" s="1" t="s">
        <v>139</v>
      </c>
      <c r="F5706" s="1">
        <v>10</v>
      </c>
      <c r="G5706" s="1">
        <v>6</v>
      </c>
      <c r="H5706" s="1">
        <v>0</v>
      </c>
      <c r="I5706" s="1" t="s">
        <v>10674</v>
      </c>
      <c r="K5706" s="1" t="str">
        <f t="shared" si="366"/>
        <v>ㄍ</v>
      </c>
      <c r="L5706" s="1" t="str">
        <f t="shared" si="367"/>
        <v>ㄨ</v>
      </c>
      <c r="M5706" s="1" t="str">
        <f t="shared" si="365"/>
        <v>ㄥ</v>
      </c>
      <c r="P5706" s="1" t="s">
        <v>20</v>
      </c>
      <c r="R5706" s="1" t="s">
        <v>10675</v>
      </c>
      <c r="V5706" s="1" t="s">
        <v>10686</v>
      </c>
      <c r="AR5706" s="1" t="str">
        <f t="shared" si="368"/>
        <v>| [ㄍㄨㄥˇ](ㄍㄨㄥˇ.md) | [栱](栱.md) |  | gǒng | 參見「斗栱」條。 |</v>
      </c>
    </row>
    <row r="5707" spans="1:44" hidden="1">
      <c r="A5707" s="1" t="s">
        <v>10687</v>
      </c>
      <c r="C5707" s="1">
        <v>1</v>
      </c>
      <c r="D5707" s="1" t="str">
        <f>"04389"</f>
        <v>04389</v>
      </c>
      <c r="E5707" s="1" t="s">
        <v>679</v>
      </c>
      <c r="F5707" s="1">
        <v>12</v>
      </c>
      <c r="G5707" s="1">
        <v>6</v>
      </c>
      <c r="H5707" s="1">
        <v>0</v>
      </c>
      <c r="I5707" s="1" t="s">
        <v>10674</v>
      </c>
      <c r="K5707" s="1" t="str">
        <f t="shared" si="366"/>
        <v>ㄍ</v>
      </c>
      <c r="L5707" s="1" t="str">
        <f t="shared" si="367"/>
        <v>ㄨ</v>
      </c>
      <c r="M5707" s="1" t="str">
        <f t="shared" si="365"/>
        <v>ㄥ</v>
      </c>
      <c r="P5707" s="1" t="s">
        <v>20</v>
      </c>
      <c r="R5707" s="1" t="s">
        <v>10675</v>
      </c>
      <c r="V5707" s="1" t="s">
        <v>10688</v>
      </c>
      <c r="AR5707" s="1" t="str">
        <f t="shared" si="368"/>
        <v>| [ㄍㄨㄥˇ](ㄍㄨㄥˇ.md) | [蛬](蛬.md) |  | gǒng | [名]
動物名。即蟋蟀。觸鬚細長，後腿長而善跳。前翅堅硬，後翅長而呈膜狀，用於飛翔。雄蟲可摩翅發出鳴聲，用來吸引異性或打鬥時助威。喜食蔬菜，好鬥，常被養作玩物。《爾雅．釋蟲》：「蟋蟀，蛬。」 |</v>
      </c>
    </row>
    <row r="5708" spans="1:44" hidden="1">
      <c r="A5708" s="1" t="s">
        <v>10689</v>
      </c>
      <c r="C5708" s="1">
        <v>1</v>
      </c>
      <c r="D5708" s="1" t="str">
        <f>"04390"</f>
        <v>04390</v>
      </c>
      <c r="E5708" s="1" t="s">
        <v>129</v>
      </c>
      <c r="F5708" s="1">
        <v>7</v>
      </c>
      <c r="G5708" s="1">
        <v>3</v>
      </c>
      <c r="H5708" s="1">
        <v>0</v>
      </c>
      <c r="I5708" s="1" t="s">
        <v>10674</v>
      </c>
      <c r="K5708" s="1" t="str">
        <f t="shared" si="366"/>
        <v>ㄍ</v>
      </c>
      <c r="L5708" s="1" t="str">
        <f t="shared" si="367"/>
        <v>ㄨ</v>
      </c>
      <c r="M5708" s="1" t="str">
        <f t="shared" si="365"/>
        <v>ㄥ</v>
      </c>
      <c r="P5708" s="1" t="s">
        <v>20</v>
      </c>
      <c r="R5708" s="1" t="s">
        <v>10675</v>
      </c>
      <c r="V5708" s="1" t="s">
        <v>10690</v>
      </c>
      <c r="AR5708" s="1" t="str">
        <f t="shared" si="368"/>
        <v>| [ㄍㄨㄥˇ](ㄍㄨㄥˇ.md) | [汞](汞.md) |  | gǒng | [名]
（mercury，Hg）化學元素。原子序80。金屬元素之一，在常溫下呈銀白色液態，有毒性。內聚力很強，化學性質不活潑。可用來製鏡子、溫度計、血壓計、水銀燈等，或用於工業、醫藥方面。也稱為「水銀」。 |</v>
      </c>
    </row>
    <row r="5709" spans="1:44" hidden="1">
      <c r="A5709" s="1" t="s">
        <v>10691</v>
      </c>
      <c r="C5709" s="1">
        <v>1</v>
      </c>
      <c r="D5709" s="1" t="str">
        <f>"04391"</f>
        <v>04391</v>
      </c>
      <c r="E5709" s="1" t="s">
        <v>96</v>
      </c>
      <c r="F5709" s="1">
        <v>15</v>
      </c>
      <c r="G5709" s="1">
        <v>6</v>
      </c>
      <c r="H5709" s="1">
        <v>0</v>
      </c>
      <c r="I5709" s="1" t="s">
        <v>10674</v>
      </c>
      <c r="K5709" s="1" t="str">
        <f t="shared" si="366"/>
        <v>ㄍ</v>
      </c>
      <c r="L5709" s="1" t="str">
        <f t="shared" si="367"/>
        <v>ㄨ</v>
      </c>
      <c r="M5709" s="1" t="str">
        <f t="shared" si="365"/>
        <v>ㄥ</v>
      </c>
      <c r="P5709" s="1" t="s">
        <v>20</v>
      </c>
      <c r="R5709" s="1" t="s">
        <v>10675</v>
      </c>
      <c r="V5709" s="1" t="s">
        <v>10692</v>
      </c>
      <c r="AR5709" s="1" t="str">
        <f t="shared" si="368"/>
        <v>| [ㄍㄨㄥˇ](ㄍㄨㄥˇ.md) | [鞏](鞏.md) |  | gǒng | [動]
1.以皮革綑束東西。《說文解字．革部》：「鞏，以韋束也。」
2.牢固。如：「鞏固國防」。《詩經．大雅．瞻卬》：「藐藐昊天，無不克鞏。」
[名]
姓。如漢代有鞏攸。 |</v>
      </c>
    </row>
    <row r="5710" spans="1:44" hidden="1">
      <c r="A5710" s="1" t="s">
        <v>10693</v>
      </c>
      <c r="C5710" s="1">
        <v>1</v>
      </c>
      <c r="D5710" s="1" t="str">
        <f>"04392"</f>
        <v>04392</v>
      </c>
      <c r="E5710" s="1" t="s">
        <v>169</v>
      </c>
      <c r="F5710" s="1">
        <v>20</v>
      </c>
      <c r="G5710" s="1">
        <v>15</v>
      </c>
      <c r="H5710" s="1">
        <v>2</v>
      </c>
      <c r="I5710" s="1" t="s">
        <v>10674</v>
      </c>
      <c r="K5710" s="1" t="str">
        <f t="shared" si="366"/>
        <v>ㄍ</v>
      </c>
      <c r="L5710" s="1" t="str">
        <f t="shared" si="367"/>
        <v>ㄨ</v>
      </c>
      <c r="M5710" s="1" t="str">
        <f t="shared" si="365"/>
        <v>ㄥ</v>
      </c>
      <c r="P5710" s="1" t="s">
        <v>110</v>
      </c>
      <c r="R5710" s="1" t="s">
        <v>10675</v>
      </c>
      <c r="V5710" s="1" t="s">
        <v>111</v>
      </c>
      <c r="W5710" s="1" t="s">
        <v>10694</v>
      </c>
      <c r="AR5710" s="1" t="str">
        <f t="shared" si="368"/>
        <v>| [ㄍㄨㄥˇ](ㄍㄨㄥˇ.md) | [礦](礦.md) |  | gǒng | (一)之又音。 |</v>
      </c>
    </row>
    <row r="5711" spans="1:44" hidden="1">
      <c r="A5711" s="1" t="s">
        <v>10655</v>
      </c>
      <c r="C5711" s="1">
        <v>1</v>
      </c>
      <c r="D5711" s="1" t="str">
        <f>"04393"</f>
        <v>04393</v>
      </c>
      <c r="E5711" s="1" t="s">
        <v>18</v>
      </c>
      <c r="F5711" s="1">
        <v>6</v>
      </c>
      <c r="G5711" s="1">
        <v>4</v>
      </c>
      <c r="H5711" s="1">
        <v>1</v>
      </c>
      <c r="I5711" s="1" t="s">
        <v>10695</v>
      </c>
      <c r="K5711" s="1" t="str">
        <f t="shared" si="366"/>
        <v>ㄍ</v>
      </c>
      <c r="L5711" s="1" t="str">
        <f t="shared" si="367"/>
        <v>ㄨ</v>
      </c>
      <c r="M5711" s="1" t="str">
        <f t="shared" si="365"/>
        <v>ㄥ</v>
      </c>
      <c r="P5711" s="1" t="s">
        <v>20</v>
      </c>
      <c r="R5711" s="1" t="s">
        <v>10696</v>
      </c>
      <c r="V5711" s="1" t="s">
        <v>10697</v>
      </c>
      <c r="W5711" s="1" t="s">
        <v>10698</v>
      </c>
      <c r="AR5711" s="1" t="str">
        <f t="shared" si="368"/>
        <v>| [ㄍㄨㄥˋ](ㄍㄨㄥˋ.md) | [共](共.md) |  | gòng | [副]
1.一起、一同。如：「共鳴」、「共存」、「和平共處」。《史記．卷八．高祖本紀》：「天下共立義帝，北面事之。」
2.合、總計。如：「共計」、「籃子裡共有十顆蘋果。」
[動]
分享、合用。《論語．公冶長》：「願車馬衣輕裘與朋友共，敝之而無憾。」
[形]
相同的。如：「共識」、「共相」。
[連]
跟、和。唐．王勃〈滕王閣序〉：「落霞與孤鶩齊飛，秋水共長天一色。」元．關漢卿《救風塵》第一折：「姻緣簿全憑我共你，誰不待揀個稱意的？」 |</v>
      </c>
    </row>
    <row r="5712" spans="1:44" hidden="1">
      <c r="A5712" s="1" t="s">
        <v>10658</v>
      </c>
      <c r="C5712" s="1">
        <v>1</v>
      </c>
      <c r="D5712" s="1" t="str">
        <f>"04394"</f>
        <v>04394</v>
      </c>
      <c r="E5712" s="1" t="s">
        <v>114</v>
      </c>
      <c r="F5712" s="1">
        <v>8</v>
      </c>
      <c r="G5712" s="1">
        <v>6</v>
      </c>
      <c r="H5712" s="1">
        <v>2</v>
      </c>
      <c r="I5712" s="1" t="s">
        <v>10695</v>
      </c>
      <c r="K5712" s="1" t="str">
        <f t="shared" si="366"/>
        <v>ㄍ</v>
      </c>
      <c r="L5712" s="1" t="str">
        <f t="shared" si="367"/>
        <v>ㄨ</v>
      </c>
      <c r="M5712" s="1" t="str">
        <f t="shared" si="365"/>
        <v>ㄥ</v>
      </c>
      <c r="P5712" s="1" t="s">
        <v>20</v>
      </c>
      <c r="R5712" s="1" t="s">
        <v>10696</v>
      </c>
      <c r="V5712" s="1" t="s">
        <v>10699</v>
      </c>
      <c r="W5712" s="1" t="s">
        <v>10700</v>
      </c>
      <c r="AR5712" s="1" t="str">
        <f t="shared" si="368"/>
        <v>| [ㄍㄨㄥˋ](ㄍㄨㄥˋ.md) | [供](供.md) |  | gòng | [動]
1.陳設、放置。《說文解字．人部》：「供，設也。」《漢書．卷七一．疏廣傳》：「公卿大夫故人邑子設祖道，供張東都門外，送者車數百兩，辭決而去。」《警世通言．卷九．李謫仙醉草嚇蠻書》：「桌上花瓶內供一枝碧桃花。」
2.貢獻、奉祀。如：「供佛」。《紅樓夢》第五三回：「咱們哪怕用一萬兩銀子供祖宗，到底不如這個有體面。」
3.從事、操持。如：「供職」。宋．陸游〈浣花女〉詩：「江頭女兒雙髻丫，常隨阿母供桑麻。」
[名]
祭品或供奉別人食用的菜餚。如：「果供」、「蜜供」。《晉書．卷三三．何曾傳》：「食必盡四方珍異，一日之供以錢二萬為限。」《西遊記》第一六回：「那院主獻了茶，又安排齋供。」 |</v>
      </c>
    </row>
    <row r="5713" spans="1:44" hidden="1">
      <c r="A5713" s="1" t="s">
        <v>10701</v>
      </c>
      <c r="C5713" s="1">
        <v>1</v>
      </c>
      <c r="D5713" s="1" t="str">
        <f>"04395"</f>
        <v>04395</v>
      </c>
      <c r="E5713" s="1" t="s">
        <v>505</v>
      </c>
      <c r="F5713" s="1">
        <v>10</v>
      </c>
      <c r="G5713" s="1">
        <v>3</v>
      </c>
      <c r="H5713" s="1">
        <v>0</v>
      </c>
      <c r="I5713" s="1" t="s">
        <v>10695</v>
      </c>
      <c r="K5713" s="1" t="str">
        <f t="shared" si="366"/>
        <v>ㄍ</v>
      </c>
      <c r="L5713" s="1" t="str">
        <f t="shared" si="367"/>
        <v>ㄨ</v>
      </c>
      <c r="M5713" s="1" t="str">
        <f t="shared" si="365"/>
        <v>ㄥ</v>
      </c>
      <c r="P5713" s="1" t="s">
        <v>20</v>
      </c>
      <c r="R5713" s="1" t="s">
        <v>10696</v>
      </c>
      <c r="V5713" s="1" t="s">
        <v>10702</v>
      </c>
      <c r="AR5713" s="1" t="str">
        <f t="shared" si="368"/>
        <v>| [ㄍㄨㄥˋ](ㄍㄨㄥˋ.md) | [貢](貢.md) |  | gòng | [動]
1.古代向帝王進獻。《史記．卷一．五帝本紀》：「各以其職來貢，不失厥宜。」
2.古代向朝廷荐舉、推舉人才。《禮記．射義》：「是故古者天子之制，諸侯歲獻，貢士於天子。」《儒林外史》第一九回：「又把他題了優行，貢入太學肄業。」
3.賜予。通「贛」。《爾雅．釋詁上》：「賚、貢、錫、畀、予、貺，賜也。」
[名]
1.進獻的物品。如：「進貢」、「納貢」。唐．陳子昂〈送著作佐郎崔融等從梁王東征序〉：「匈奴舍蒲萄之宮，越裳重翡翠之貢。」
2.姓。如漢代有貢禹。 |</v>
      </c>
    </row>
    <row r="5714" spans="1:44" hidden="1">
      <c r="A5714" s="1" t="s">
        <v>9932</v>
      </c>
      <c r="C5714" s="1">
        <v>1</v>
      </c>
      <c r="D5714" s="1" t="str">
        <f>"04396"</f>
        <v>04396</v>
      </c>
      <c r="E5714" s="1" t="s">
        <v>505</v>
      </c>
      <c r="F5714" s="1">
        <v>24</v>
      </c>
      <c r="G5714" s="1">
        <v>17</v>
      </c>
      <c r="H5714" s="1">
        <v>2</v>
      </c>
      <c r="I5714" s="1" t="s">
        <v>10695</v>
      </c>
      <c r="K5714" s="1" t="str">
        <f t="shared" si="366"/>
        <v>ㄍ</v>
      </c>
      <c r="L5714" s="1" t="str">
        <f t="shared" si="367"/>
        <v>ㄨ</v>
      </c>
      <c r="M5714" s="1" t="str">
        <f t="shared" si="365"/>
        <v>ㄥ</v>
      </c>
      <c r="P5714" s="1" t="s">
        <v>20</v>
      </c>
      <c r="R5714" s="1" t="s">
        <v>10696</v>
      </c>
      <c r="V5714" s="1" t="s">
        <v>10703</v>
      </c>
      <c r="W5714" s="1" t="s">
        <v>10704</v>
      </c>
      <c r="AR5714" s="1" t="str">
        <f t="shared" si="368"/>
        <v>| [ㄍㄨㄥˋ](ㄍㄨㄥˋ.md) | [贛](贛.md) |  | gòng | [動]
賜給。《說文解字．貝部》：「贛，賜也。」《淮南子．精神》：「今贛人敖倉，予人河水。」 |</v>
      </c>
    </row>
    <row r="5715" spans="1:44" hidden="1">
      <c r="A5715" s="1" t="s">
        <v>9543</v>
      </c>
      <c r="C5715" s="1">
        <v>1</v>
      </c>
      <c r="D5715" s="1" t="str">
        <f>"03918"</f>
        <v>03918</v>
      </c>
      <c r="E5715" s="1" t="s">
        <v>1935</v>
      </c>
      <c r="F5715" s="1">
        <v>7</v>
      </c>
      <c r="G5715" s="1">
        <v>4</v>
      </c>
      <c r="H5715" s="1">
        <v>1</v>
      </c>
      <c r="I5715" s="1" t="s">
        <v>9544</v>
      </c>
      <c r="K5715" s="1" t="str">
        <f t="shared" si="366"/>
        <v>ㄍ</v>
      </c>
      <c r="L5715" s="1" t="str">
        <f t="shared" si="367"/>
        <v>ㄚ</v>
      </c>
      <c r="N5715" s="3" t="s">
        <v>30574</v>
      </c>
      <c r="O5715" s="3"/>
      <c r="P5715" s="1" t="s">
        <v>20</v>
      </c>
      <c r="R5715" s="1" t="s">
        <v>9545</v>
      </c>
      <c r="V5715" s="1" t="s">
        <v>9546</v>
      </c>
      <c r="W5715" s="1" t="s">
        <v>9547</v>
      </c>
      <c r="AR5715" s="1" t="str">
        <f t="shared" si="368"/>
        <v>| [ㄍㄚˋ](ㄍㄚˋ.md) | [尬](尬.md) |  | gà | 參見「尷尬」條。 |</v>
      </c>
    </row>
    <row r="5716" spans="1:44" hidden="1">
      <c r="A5716" s="1" t="s">
        <v>9524</v>
      </c>
      <c r="C5716" s="1">
        <v>1</v>
      </c>
      <c r="D5716" s="1" t="str">
        <f>"03912"</f>
        <v>03912</v>
      </c>
      <c r="E5716" s="1" t="s">
        <v>55</v>
      </c>
      <c r="F5716" s="1">
        <v>9</v>
      </c>
      <c r="G5716" s="1">
        <v>1</v>
      </c>
      <c r="H5716" s="1">
        <v>0</v>
      </c>
      <c r="I5716" s="1" t="s">
        <v>9525</v>
      </c>
      <c r="K5716" s="1" t="str">
        <f t="shared" si="366"/>
        <v>ㄍ</v>
      </c>
      <c r="L5716" s="1" t="str">
        <f t="shared" si="367"/>
        <v>ㄚ</v>
      </c>
      <c r="N5716" s="3" t="s">
        <v>30575</v>
      </c>
      <c r="O5716" s="3"/>
      <c r="P5716" s="1" t="s">
        <v>20</v>
      </c>
      <c r="R5716" s="1" t="s">
        <v>9526</v>
      </c>
      <c r="V5716" s="1" t="s">
        <v>9527</v>
      </c>
      <c r="AR5716" s="1" t="str">
        <f t="shared" si="368"/>
        <v>| [ㄍㄚˊ](ㄍㄚˊ.md) | [釓](釓.md) |  | gá | [名]_x000D_
（gadolinium，Gd）化學元素。原子序64。稀土金屬元素之一。銀白色。在潮溼空氣中會與水起作用，產生氧化膜。能溶於稀酸中，具鐵磁性及延展性。其氧化物與硫化物都呈淡紅色。可用於微波技術、彩色顯示器螢光料、核能工業及配製特種合金等。 |</v>
      </c>
    </row>
    <row r="5717" spans="1:44" hidden="1">
      <c r="A5717" s="1" t="s">
        <v>9531</v>
      </c>
      <c r="C5717" s="1">
        <v>1</v>
      </c>
      <c r="D5717" s="1" t="str">
        <f>"03914"</f>
        <v>03914</v>
      </c>
      <c r="E5717" s="1" t="s">
        <v>71</v>
      </c>
      <c r="F5717" s="1">
        <v>8</v>
      </c>
      <c r="G5717" s="1">
        <v>1</v>
      </c>
      <c r="H5717" s="1">
        <v>2</v>
      </c>
      <c r="I5717" s="1" t="s">
        <v>9525</v>
      </c>
      <c r="K5717" s="1" t="str">
        <f t="shared" si="366"/>
        <v>ㄍ</v>
      </c>
      <c r="L5717" s="1" t="str">
        <f t="shared" si="367"/>
        <v>ㄚ</v>
      </c>
      <c r="N5717" s="3" t="s">
        <v>30575</v>
      </c>
      <c r="O5717" s="3"/>
      <c r="P5717" s="1" t="s">
        <v>20</v>
      </c>
      <c r="R5717" s="1" t="s">
        <v>9526</v>
      </c>
      <c r="V5717" s="1" t="s">
        <v>9532</v>
      </c>
      <c r="W5717" s="1" t="s">
        <v>9533</v>
      </c>
      <c r="AR5717" s="1" t="str">
        <f t="shared" si="368"/>
        <v>| [ㄍㄚˊ](ㄍㄚˊ.md) | [軋](軋.md) |  | gá | [動]_x000D_
1.擁擠。如：「不要一堆人軋在門口。」_x000D_
2.結交。如：「軋朋友」。_x000D_
3.舊時指發生不正當性關係的同居。《文明小史》第一六回：「剛才這個女人，名字叫做廣東阿二，十三、四歲上，曾在學堂裡讀過一年的外國書，不曉得怎麼到了十七、八歲上，竟而改變了脾氣，專門軋姘頭、弔膀子。」_x000D_
4.同時進行多種工作。如：「軋戲」、「事情這麼多，我們要先安排好時間，不然會軋不過來。」_x000D_
5.使用支票周轉現金。如：「軋頭寸」、「軋支票」。_x000D_
[擬]_x000D_
形容物體因轉動碾壓所發出的聲音。元．劉秉忠〈駞車行〉：「駞頂丁當響巨鈴，萬車軋軋一齊鳴。」《警世通言．卷一三．三現身包龍圖斷冤》：「說言未了，見大江中畫船一隻，櫓聲咿軋，自上流而下。」 |</v>
      </c>
    </row>
    <row r="5718" spans="1:44" hidden="1">
      <c r="A5718" s="1" t="s">
        <v>9528</v>
      </c>
      <c r="C5718" s="1">
        <v>1</v>
      </c>
      <c r="D5718" s="1" t="str">
        <f>"03915"</f>
        <v>03915</v>
      </c>
      <c r="E5718" s="1" t="s">
        <v>28</v>
      </c>
      <c r="F5718" s="1">
        <v>14</v>
      </c>
      <c r="G5718" s="1">
        <v>11</v>
      </c>
      <c r="H5718" s="1">
        <v>2</v>
      </c>
      <c r="I5718" s="1" t="s">
        <v>9525</v>
      </c>
      <c r="K5718" s="1" t="str">
        <f t="shared" si="366"/>
        <v>ㄍ</v>
      </c>
      <c r="L5718" s="1" t="str">
        <f t="shared" si="367"/>
        <v>ㄚ</v>
      </c>
      <c r="N5718" s="3" t="s">
        <v>30575</v>
      </c>
      <c r="O5718" s="3"/>
      <c r="P5718" s="1" t="s">
        <v>20</v>
      </c>
      <c r="R5718" s="1" t="s">
        <v>9526</v>
      </c>
      <c r="V5718" s="1" t="s">
        <v>9534</v>
      </c>
      <c r="W5718" s="1" t="s">
        <v>9535</v>
      </c>
      <c r="AR5718" s="1" t="str">
        <f t="shared" si="368"/>
        <v>| [ㄍㄚˊ](ㄍㄚˊ.md) | [嘎](嘎.md) |  | gá | 參見「嘎調」、「嘎嘎兒」等條。 |</v>
      </c>
    </row>
    <row r="5719" spans="1:44" hidden="1">
      <c r="A5719" s="1" t="s">
        <v>9536</v>
      </c>
      <c r="C5719" s="1">
        <v>1</v>
      </c>
      <c r="D5719" s="1" t="str">
        <f>"03916"</f>
        <v>03916</v>
      </c>
      <c r="E5719" s="1" t="s">
        <v>28</v>
      </c>
      <c r="F5719" s="1">
        <v>16</v>
      </c>
      <c r="G5719" s="1">
        <v>13</v>
      </c>
      <c r="H5719" s="1">
        <v>1</v>
      </c>
      <c r="I5719" s="1" t="s">
        <v>9525</v>
      </c>
      <c r="K5719" s="1" t="str">
        <f t="shared" si="366"/>
        <v>ㄍ</v>
      </c>
      <c r="L5719" s="1" t="str">
        <f t="shared" si="367"/>
        <v>ㄚ</v>
      </c>
      <c r="N5719" s="3" t="s">
        <v>30575</v>
      </c>
      <c r="O5719" s="3"/>
      <c r="P5719" s="1" t="s">
        <v>20</v>
      </c>
      <c r="R5719" s="1" t="s">
        <v>9526</v>
      </c>
      <c r="V5719" s="1" t="s">
        <v>9537</v>
      </c>
      <c r="W5719" s="1" t="s">
        <v>9538</v>
      </c>
      <c r="AR5719" s="1" t="str">
        <f t="shared" si="368"/>
        <v>| [ㄍㄚˊ](ㄍㄚˊ.md) | [噶](噶.md) |  | gá | [名]
譯音用字。為藏文譯音所常用。如：「噶當派」、「噶廈」。 |</v>
      </c>
    </row>
    <row r="5720" spans="1:44" hidden="1">
      <c r="A5720" s="1" t="s">
        <v>9539</v>
      </c>
      <c r="C5720" s="1">
        <v>1</v>
      </c>
      <c r="D5720" s="1" t="str">
        <f>"03917"</f>
        <v>03917</v>
      </c>
      <c r="E5720" s="1" t="s">
        <v>1663</v>
      </c>
      <c r="F5720" s="1">
        <v>5</v>
      </c>
      <c r="G5720" s="1">
        <v>4</v>
      </c>
      <c r="H5720" s="1">
        <v>0</v>
      </c>
      <c r="I5720" s="1" t="s">
        <v>9540</v>
      </c>
      <c r="K5720" s="1" t="str">
        <f t="shared" si="366"/>
        <v>ㄍ</v>
      </c>
      <c r="L5720" s="1" t="str">
        <f t="shared" si="367"/>
        <v>ㄚ</v>
      </c>
      <c r="N5720" s="3" t="s">
        <v>30576</v>
      </c>
      <c r="O5720" s="3"/>
      <c r="P5720" s="1" t="s">
        <v>20</v>
      </c>
      <c r="R5720" s="1" t="s">
        <v>9541</v>
      </c>
      <c r="V5720" s="1" t="s">
        <v>9542</v>
      </c>
      <c r="AR5720" s="1" t="str">
        <f t="shared" si="368"/>
        <v>| [ㄍㄚˇ](ㄍㄚˇ.md) | [玍](玍.md) |  | gǎ | [形]
1.性情乖僻。如：「這人脾氣玍得很，說也說不聽。」
2.調皮。如：「這小孩子很玍。」 |</v>
      </c>
    </row>
    <row r="5721" spans="1:44" hidden="1">
      <c r="A5721" s="1" t="s">
        <v>9548</v>
      </c>
      <c r="C5721" s="1">
        <v>1</v>
      </c>
      <c r="D5721" s="1" t="str">
        <f>"03919"</f>
        <v>03919</v>
      </c>
      <c r="E5721" s="1" t="s">
        <v>114</v>
      </c>
      <c r="F5721" s="1">
        <v>15</v>
      </c>
      <c r="G5721" s="1">
        <v>13</v>
      </c>
      <c r="H5721" s="1">
        <v>2</v>
      </c>
      <c r="I5721" s="1" t="s">
        <v>9549</v>
      </c>
      <c r="J5721" s="2" t="s">
        <v>30559</v>
      </c>
      <c r="K5721" s="1" t="s">
        <v>30568</v>
      </c>
      <c r="L5721" s="1" t="s">
        <v>24143</v>
      </c>
      <c r="P5721" s="1" t="s">
        <v>20</v>
      </c>
      <c r="R5721" s="1" t="s">
        <v>9550</v>
      </c>
      <c r="V5721" s="1" t="s">
        <v>9551</v>
      </c>
      <c r="W5721" s="1" t="s">
        <v>9552</v>
      </c>
      <c r="AR5721" s="1" t="str">
        <f t="shared" si="368"/>
        <v>| [˙ㄍㄚ](˙ㄍㄚ.md) | [價](價.md) |  | ga | [助]_x000D_
結構助詞。相當於「地」。《朱子語類．卷ㄧ〇四．學四．自論為學功夫》：「某而今看聖人說話，見聖人之心，成片價從面前過。」《老殘遊記》第二回：「那荷葉初枯，擠的船嗤嗤價響。」 |</v>
      </c>
    </row>
    <row r="5722" spans="1:44" hidden="1">
      <c r="A5722" s="1" t="s">
        <v>9657</v>
      </c>
      <c r="C5722" s="1">
        <v>1</v>
      </c>
      <c r="D5722" s="1" t="str">
        <f>"03964"</f>
        <v>03964</v>
      </c>
      <c r="E5722" s="1" t="s">
        <v>28</v>
      </c>
      <c r="F5722" s="1">
        <v>6</v>
      </c>
      <c r="G5722" s="1">
        <v>3</v>
      </c>
      <c r="H5722" s="1">
        <v>0</v>
      </c>
      <c r="I5722" s="1" t="s">
        <v>9658</v>
      </c>
      <c r="K5722" s="1" t="str">
        <f t="shared" ref="K5722:K5759" si="369">LEFT(I5722, 1)</f>
        <v>ㄍ</v>
      </c>
      <c r="L5722" s="1" t="str">
        <f t="shared" ref="L5722:L5759" si="370">MID(I5722, 2, 1)</f>
        <v>ㄜ</v>
      </c>
      <c r="N5722" s="3" t="s">
        <v>30574</v>
      </c>
      <c r="O5722" s="3"/>
      <c r="P5722" s="1" t="s">
        <v>20</v>
      </c>
      <c r="R5722" s="1" t="s">
        <v>9659</v>
      </c>
      <c r="V5722" s="1" t="s">
        <v>9660</v>
      </c>
      <c r="AR5722" s="1" t="str">
        <f t="shared" si="368"/>
        <v>| [ㄍㄜˋ](ㄍㄜˋ.md) | [各](各.md) |  | gè | [代]
指代一定群體中的不同個體本身。如：「各自」。《論語．公冶長》：「盍各言爾志？」
[形]
每。如：「各個」。《史記．卷一二三．大宛傳》：「令外國客遍觀各倉庫府藏之積。」 |</v>
      </c>
    </row>
    <row r="5723" spans="1:44" hidden="1">
      <c r="A5723" s="1" t="s">
        <v>9294</v>
      </c>
      <c r="C5723" s="1">
        <v>1</v>
      </c>
      <c r="D5723" s="1" t="str">
        <f>"03965"</f>
        <v>03965</v>
      </c>
      <c r="E5723" s="1" t="s">
        <v>169</v>
      </c>
      <c r="F5723" s="1">
        <v>11</v>
      </c>
      <c r="G5723" s="1">
        <v>6</v>
      </c>
      <c r="H5723" s="1">
        <v>1</v>
      </c>
      <c r="I5723" s="1" t="s">
        <v>9658</v>
      </c>
      <c r="K5723" s="1" t="str">
        <f t="shared" si="369"/>
        <v>ㄍ</v>
      </c>
      <c r="L5723" s="1" t="str">
        <f t="shared" si="370"/>
        <v>ㄜ</v>
      </c>
      <c r="N5723" s="3" t="s">
        <v>30574</v>
      </c>
      <c r="O5723" s="3"/>
      <c r="P5723" s="1" t="s">
        <v>20</v>
      </c>
      <c r="R5723" s="1" t="s">
        <v>9659</v>
      </c>
      <c r="V5723" s="1" t="s">
        <v>9661</v>
      </c>
      <c r="W5723" s="1" t="s">
        <v>9662</v>
      </c>
      <c r="AR5723" s="1" t="str">
        <f t="shared" si="368"/>
        <v>| [ㄍㄜˋ](ㄍㄜˋ.md) | [硌](硌.md) |  | gè | [動]
碰到堅硬不平的東西而引起損傷或痛苦。清．蒲松齡《富貴神仙》第三回：「自己鋪下草，找了一塊半頭磚，嫌硌頭，又使衣服墊。」 |</v>
      </c>
    </row>
    <row r="5724" spans="1:44" hidden="1">
      <c r="A5724" s="1" t="s">
        <v>9663</v>
      </c>
      <c r="C5724" s="1">
        <v>1</v>
      </c>
      <c r="D5724" s="1" t="str">
        <f>"03966"</f>
        <v>03966</v>
      </c>
      <c r="E5724" s="1" t="s">
        <v>55</v>
      </c>
      <c r="F5724" s="1">
        <v>14</v>
      </c>
      <c r="G5724" s="1">
        <v>6</v>
      </c>
      <c r="H5724" s="1">
        <v>0</v>
      </c>
      <c r="I5724" s="1" t="s">
        <v>9658</v>
      </c>
      <c r="K5724" s="1" t="str">
        <f t="shared" si="369"/>
        <v>ㄍ</v>
      </c>
      <c r="L5724" s="1" t="str">
        <f t="shared" si="370"/>
        <v>ㄜ</v>
      </c>
      <c r="N5724" s="3" t="s">
        <v>30574</v>
      </c>
      <c r="O5724" s="3"/>
      <c r="P5724" s="1" t="s">
        <v>20</v>
      </c>
      <c r="R5724" s="1" t="s">
        <v>9659</v>
      </c>
      <c r="V5724" s="1" t="s">
        <v>9664</v>
      </c>
      <c r="AR5724" s="1" t="str">
        <f t="shared" si="368"/>
        <v>| [ㄍㄜˋ](ㄍㄜˋ.md) | [鉻](鉻.md) |  | gè | [名]
1.鉤子。《玉篇．金部》：「鉻，鉤。」《抱朴子．外篇．君道》：「文則琳琅墮於筆端，武則鉤鉻摧於指掌。」
2.（chromium，Cr）化學元素。原子序24。過渡金屬元素之一，色灰黑如鋼，質堅，鎔點頗高，接觸空氣不起氧化，其化合物可作顏料。 |</v>
      </c>
    </row>
    <row r="5725" spans="1:44" hidden="1">
      <c r="A5725" s="1" t="s">
        <v>9665</v>
      </c>
      <c r="C5725" s="1">
        <v>1</v>
      </c>
      <c r="D5725" s="1" t="str">
        <f>"03967"</f>
        <v>03967</v>
      </c>
      <c r="E5725" s="1" t="s">
        <v>679</v>
      </c>
      <c r="F5725" s="1">
        <v>9</v>
      </c>
      <c r="G5725" s="1">
        <v>3</v>
      </c>
      <c r="H5725" s="1">
        <v>0</v>
      </c>
      <c r="I5725" s="1" t="s">
        <v>9658</v>
      </c>
      <c r="K5725" s="1" t="str">
        <f t="shared" si="369"/>
        <v>ㄍ</v>
      </c>
      <c r="L5725" s="1" t="str">
        <f t="shared" si="370"/>
        <v>ㄜ</v>
      </c>
      <c r="N5725" s="3" t="s">
        <v>30574</v>
      </c>
      <c r="O5725" s="3"/>
      <c r="P5725" s="1" t="s">
        <v>20</v>
      </c>
      <c r="R5725" s="1" t="s">
        <v>9659</v>
      </c>
      <c r="V5725" s="1" t="s">
        <v>9666</v>
      </c>
      <c r="AR5725" s="1" t="str">
        <f t="shared" si="368"/>
        <v>| [ㄍㄜˋ](ㄍㄜˋ.md) | [虼](虼.md) |  | gè | 參見「虼蚤」條。 |</v>
      </c>
    </row>
    <row r="5726" spans="1:44" hidden="1">
      <c r="A5726" s="1" t="s">
        <v>9643</v>
      </c>
      <c r="C5726" s="1">
        <v>1</v>
      </c>
      <c r="D5726" s="1" t="str">
        <f>"03968"</f>
        <v>03968</v>
      </c>
      <c r="E5726" s="1" t="s">
        <v>114</v>
      </c>
      <c r="F5726" s="1">
        <v>10</v>
      </c>
      <c r="G5726" s="1">
        <v>8</v>
      </c>
      <c r="H5726" s="1">
        <v>1</v>
      </c>
      <c r="I5726" s="1" t="s">
        <v>9658</v>
      </c>
      <c r="K5726" s="1" t="str">
        <f t="shared" si="369"/>
        <v>ㄍ</v>
      </c>
      <c r="L5726" s="1" t="str">
        <f t="shared" si="370"/>
        <v>ㄜ</v>
      </c>
      <c r="N5726" s="3" t="s">
        <v>30574</v>
      </c>
      <c r="O5726" s="3"/>
      <c r="P5726" s="1" t="s">
        <v>20</v>
      </c>
      <c r="R5726" s="1" t="s">
        <v>9659</v>
      </c>
      <c r="V5726" s="1" t="s">
        <v>9667</v>
      </c>
      <c r="W5726" s="1" t="s">
        <v>9668</v>
      </c>
      <c r="AR5726" s="1" t="str">
        <f t="shared" si="368"/>
        <v>| [ㄍㄜˋ](ㄍㄜˋ.md) | [個](個.md) |  | gè | [名]
1.量詞。計算單獨的人或物的單位。如：「二個饅頭」、「一個理想」。
2.參見「個子」、「個兒」等條。
[形]
單獨的。如：「個人」、「個性」。
[代]
此、這。如：「個中滋味」、「個中好手」。
[助]
用於動詞與補語之間，以加強語氣，無義。如：「見個面」、「哭個不停」。 |</v>
      </c>
    </row>
    <row r="5727" spans="1:44" hidden="1">
      <c r="A5727" s="1" t="s">
        <v>9669</v>
      </c>
      <c r="C5727" s="1">
        <v>1</v>
      </c>
      <c r="D5727" s="1" t="str">
        <f>"03969"</f>
        <v>03969</v>
      </c>
      <c r="E5727" s="1" t="s">
        <v>49</v>
      </c>
      <c r="F5727" s="1">
        <v>14</v>
      </c>
      <c r="G5727" s="1">
        <v>8</v>
      </c>
      <c r="H5727" s="1">
        <v>0</v>
      </c>
      <c r="I5727" s="1" t="s">
        <v>9658</v>
      </c>
      <c r="K5727" s="1" t="str">
        <f t="shared" si="369"/>
        <v>ㄍ</v>
      </c>
      <c r="L5727" s="1" t="str">
        <f t="shared" si="370"/>
        <v>ㄜ</v>
      </c>
      <c r="N5727" s="3" t="s">
        <v>30574</v>
      </c>
      <c r="O5727" s="3"/>
      <c r="P5727" s="1" t="s">
        <v>20</v>
      </c>
      <c r="R5727" s="1" t="s">
        <v>9659</v>
      </c>
      <c r="V5727" s="1" t="s">
        <v>9670</v>
      </c>
      <c r="AR5727" s="1" t="str">
        <f t="shared" si="368"/>
        <v>| [ㄍㄜˋ](ㄍㄜˋ.md) | [箇](箇.md) |  | gè | 參見「箇舊縣」條。 |</v>
      </c>
    </row>
    <row r="5728" spans="1:44" hidden="1">
      <c r="A5728" s="1" t="s">
        <v>9580</v>
      </c>
      <c r="C5728" s="1">
        <v>1</v>
      </c>
      <c r="D5728" s="1" t="str">
        <f>"03932"</f>
        <v>03932</v>
      </c>
      <c r="E5728" s="1" t="s">
        <v>96</v>
      </c>
      <c r="F5728" s="1">
        <v>9</v>
      </c>
      <c r="G5728" s="1">
        <v>0</v>
      </c>
      <c r="H5728" s="1">
        <v>1</v>
      </c>
      <c r="I5728" s="1" t="s">
        <v>9581</v>
      </c>
      <c r="K5728" s="1" t="str">
        <f t="shared" si="369"/>
        <v>ㄍ</v>
      </c>
      <c r="L5728" s="1" t="str">
        <f t="shared" si="370"/>
        <v>ㄜ</v>
      </c>
      <c r="N5728" s="3" t="s">
        <v>30575</v>
      </c>
      <c r="O5728" s="3"/>
      <c r="P5728" s="1" t="s">
        <v>20</v>
      </c>
      <c r="R5728" s="1" t="s">
        <v>9582</v>
      </c>
      <c r="V5728" s="1" t="s">
        <v>9583</v>
      </c>
      <c r="W5728" s="1" t="s">
        <v>9584</v>
      </c>
      <c r="AR5728" s="1" t="str">
        <f t="shared" si="368"/>
        <v>| [ㄍㄜˊ](ㄍㄜˊ.md) | [革](革.md) |  | gé | [名]
1.去毛且經過加工處理的獸皮。《說文解字．革部》：「獸皮治去其毛曰革。」如：「皮革」。《詩經．召南．羔羊》：「羔羊之革，素絲五緎。」
2.人體肌膚上的厚皮。《禮記．禮運》：「四體既正，膚革充盈，人之肥也。」
3.古代軍人所穿的甲冑。如：「金革」、「兵革」。《史記．卷二三．禮書》：「故堅革利兵不足以為勝，高城深池不足以為固，嚴令繁刑不足以為威。」
4.《易經》卦名。六十四卦之一。離（☲）下兌（☱）上，表去故、變革之象。
5.姓。如漢代有革鑒，明代有革從時。
6.二一四部首之一。
7.中國古代樂器「八音」分類法之一，通常以製作材質來分，此處泛指皮革類樂器，如鼓之屬一類的敲擊樂器。《周禮．春官．大師》：「皆播之以八音：金、石、土、革、絲、木、匏、竹。」
[動]
1.變更、改換。如：「改革」、「洗心革面」。晉．桓玄〈鸚鵡賦〉：「革好音以遷善，效言語以自騁。」
2.除去。如：「革職」。北齊．劉晝《劉子．卷九．風俗》：「立禮教以革其弊性，風移俗易而天下正矣。」 |</v>
      </c>
    </row>
    <row r="5729" spans="1:44" hidden="1">
      <c r="A5729" s="1" t="s">
        <v>9585</v>
      </c>
      <c r="C5729" s="1">
        <v>1</v>
      </c>
      <c r="D5729" s="1" t="str">
        <f>"03933"</f>
        <v>03933</v>
      </c>
      <c r="E5729" s="1" t="s">
        <v>24</v>
      </c>
      <c r="F5729" s="1">
        <v>9</v>
      </c>
      <c r="G5729" s="1">
        <v>6</v>
      </c>
      <c r="H5729" s="1">
        <v>0</v>
      </c>
      <c r="I5729" s="1" t="s">
        <v>9581</v>
      </c>
      <c r="K5729" s="1" t="str">
        <f t="shared" si="369"/>
        <v>ㄍ</v>
      </c>
      <c r="L5729" s="1" t="str">
        <f t="shared" si="370"/>
        <v>ㄜ</v>
      </c>
      <c r="N5729" s="3" t="s">
        <v>30575</v>
      </c>
      <c r="O5729" s="3"/>
      <c r="P5729" s="1" t="s">
        <v>20</v>
      </c>
      <c r="R5729" s="1" t="s">
        <v>9582</v>
      </c>
      <c r="V5729" s="1" t="s">
        <v>9586</v>
      </c>
      <c r="AR5729" s="1" t="str">
        <f t="shared" si="368"/>
        <v>| [ㄍㄜˊ](ㄍㄜˊ.md) | [挌](挌.md) |  | gé | [動]
擊。《說文解字．手部》：「挌，擊也。」如：「挌殺猛獸」。 |</v>
      </c>
    </row>
    <row r="5730" spans="1:44" hidden="1">
      <c r="A5730" s="1" t="s">
        <v>7823</v>
      </c>
      <c r="C5730" s="1">
        <v>1</v>
      </c>
      <c r="D5730" s="1" t="str">
        <f>"03934"</f>
        <v>03934</v>
      </c>
      <c r="E5730" s="1" t="s">
        <v>28</v>
      </c>
      <c r="F5730" s="1">
        <v>9</v>
      </c>
      <c r="G5730" s="1">
        <v>6</v>
      </c>
      <c r="H5730" s="1">
        <v>4</v>
      </c>
      <c r="I5730" s="1" t="s">
        <v>9581</v>
      </c>
      <c r="K5730" s="1" t="str">
        <f t="shared" si="369"/>
        <v>ㄍ</v>
      </c>
      <c r="L5730" s="1" t="str">
        <f t="shared" si="370"/>
        <v>ㄜ</v>
      </c>
      <c r="N5730" s="3" t="s">
        <v>30575</v>
      </c>
      <c r="O5730" s="3"/>
      <c r="P5730" s="1" t="s">
        <v>110</v>
      </c>
      <c r="R5730" s="1" t="s">
        <v>9582</v>
      </c>
      <c r="V5730" s="1" t="s">
        <v>9587</v>
      </c>
      <c r="W5730" s="1" t="s">
        <v>9588</v>
      </c>
      <c r="AR5730" s="1" t="str">
        <f t="shared" si="368"/>
        <v>| [ㄍㄜˊ](ㄍㄜˊ.md) | [咯](咯.md) |  | gé | 1.因噎氣或吃得太飽，胃中氣體從口中逆出所發出的聲音。通「嗝」。如：「打飽咯」。
2.(三)之又音。 |</v>
      </c>
    </row>
    <row r="5731" spans="1:44" hidden="1">
      <c r="A5731" s="1" t="s">
        <v>9589</v>
      </c>
      <c r="C5731" s="1">
        <v>1</v>
      </c>
      <c r="D5731" s="1" t="str">
        <f>"03935"</f>
        <v>03935</v>
      </c>
      <c r="E5731" s="1" t="s">
        <v>139</v>
      </c>
      <c r="F5731" s="1">
        <v>10</v>
      </c>
      <c r="G5731" s="1">
        <v>6</v>
      </c>
      <c r="H5731" s="1">
        <v>0</v>
      </c>
      <c r="I5731" s="1" t="s">
        <v>9581</v>
      </c>
      <c r="K5731" s="1" t="str">
        <f t="shared" si="369"/>
        <v>ㄍ</v>
      </c>
      <c r="L5731" s="1" t="str">
        <f t="shared" si="370"/>
        <v>ㄜ</v>
      </c>
      <c r="N5731" s="3" t="s">
        <v>30575</v>
      </c>
      <c r="O5731" s="3"/>
      <c r="P5731" s="1" t="s">
        <v>20</v>
      </c>
      <c r="R5731" s="1" t="s">
        <v>9582</v>
      </c>
      <c r="V5731" s="1" t="s">
        <v>9590</v>
      </c>
      <c r="AR5731" s="1" t="str">
        <f t="shared" si="368"/>
        <v>| [ㄍㄜˊ](ㄍㄜˊ.md) | [格](格.md) |  | gé | [名]
1.長枝條。北周．庾信〈小園賦〉：「草樹溷淆，枝格相交。」
2.方形的空框或用線條組成的四方形。如：「窗格」、「方格」。
3.架子的分層。如：「這期的雜誌，就放在書架的第三格。」
4.量詞。計算容器刻度的單位。如：「這感冒藥水每次喝一格的量，三餐飯後服用。」
5.標準、法式。如：「資格」、「規格」、「合格」、「破格」。
6.人品、氣量、風度、情操的泛稱。如：「人格」、「品格」。宋．蘇軾〈答陳履常〉二首之二：「不獨以見作者之格，且足以知風政之多瑕，而高躅之難繼也。」
7.修辭的方法稱為「格」。如：「譬喻格」、「誇張格」。
8.姓。如漢代有格班，隋代有格處仁。
[動]
1.匡正、改正。《書經．冏命》：「繩愆糾謬，格其非心。」《孟子．離婁上》：「惟大人能格君心之非。」
2.匹敵、抵抗。《史記．卷七十．張儀傳》：「無以異於驅群羊而攻猛虎，虎之與羊不格明矣。」
3.阻礙、阻止。《史記．卷六五．孫子吳起傳》：「批亢擣虛，形格勢禁，則自為解耳。」
4.打鬥、擊殺。如：「格鬥」、「格殺」。《三國志．卷一九．魏書．任城威王彰傳》：「膂力過人，手格猛獸，不避險阻。」
5.窮究。《禮記．大學》：「致知在格物，物格而后知至。」
6.至、來。《書經．堯典》：「光被四表，格於上下。」宋．蘇軾〈賀時宰啟〉：「歡聲格於九天，乖氣消於萬彙。」
7.感通。《書經．說命下》：「佑我烈祖，格於皇天。」南朝梁．裴子野．宋略樂志敘：「先王作樂崇德，以格神人。」 |</v>
      </c>
    </row>
    <row r="5732" spans="1:44" hidden="1">
      <c r="A5732" s="1" t="s">
        <v>9591</v>
      </c>
      <c r="C5732" s="1">
        <v>1</v>
      </c>
      <c r="D5732" s="1" t="str">
        <f>"03936"</f>
        <v>03936</v>
      </c>
      <c r="E5732" s="1" t="s">
        <v>37</v>
      </c>
      <c r="F5732" s="1">
        <v>10</v>
      </c>
      <c r="G5732" s="1">
        <v>6</v>
      </c>
      <c r="H5732" s="1">
        <v>0</v>
      </c>
      <c r="I5732" s="1" t="s">
        <v>9581</v>
      </c>
      <c r="K5732" s="1" t="str">
        <f t="shared" si="369"/>
        <v>ㄍ</v>
      </c>
      <c r="L5732" s="1" t="str">
        <f t="shared" si="370"/>
        <v>ㄜ</v>
      </c>
      <c r="N5732" s="3" t="s">
        <v>30575</v>
      </c>
      <c r="O5732" s="3"/>
      <c r="P5732" s="1" t="s">
        <v>20</v>
      </c>
      <c r="R5732" s="1" t="s">
        <v>9582</v>
      </c>
      <c r="V5732" s="1" t="s">
        <v>9592</v>
      </c>
      <c r="AR5732" s="1" t="str">
        <f t="shared" si="368"/>
        <v>| [ㄍㄜˊ](ㄍㄜˊ.md) | [茖](茖.md) |  | gé | 參見「茖蔥」條。 |</v>
      </c>
    </row>
    <row r="5733" spans="1:44" hidden="1">
      <c r="A5733" s="1" t="s">
        <v>9593</v>
      </c>
      <c r="C5733" s="1">
        <v>1</v>
      </c>
      <c r="D5733" s="1" t="str">
        <f>"03937"</f>
        <v>03937</v>
      </c>
      <c r="E5733" s="1" t="s">
        <v>1117</v>
      </c>
      <c r="F5733" s="1">
        <v>13</v>
      </c>
      <c r="G5733" s="1">
        <v>6</v>
      </c>
      <c r="H5733" s="1">
        <v>0</v>
      </c>
      <c r="I5733" s="1" t="s">
        <v>9581</v>
      </c>
      <c r="K5733" s="1" t="str">
        <f t="shared" si="369"/>
        <v>ㄍ</v>
      </c>
      <c r="L5733" s="1" t="str">
        <f t="shared" si="370"/>
        <v>ㄜ</v>
      </c>
      <c r="N5733" s="3" t="s">
        <v>30575</v>
      </c>
      <c r="O5733" s="3"/>
      <c r="P5733" s="1" t="s">
        <v>20</v>
      </c>
      <c r="R5733" s="1" t="s">
        <v>9582</v>
      </c>
      <c r="V5733" s="1" t="s">
        <v>9594</v>
      </c>
      <c r="AR5733" s="1" t="str">
        <f t="shared" si="368"/>
        <v>| [ㄍㄜˊ](ㄍㄜˊ.md) | [觡](觡.md) |  | gé | [名]
有分枝的鹿角。《玉篇．角部》：「觡，麋角有枝曰觡，無枝曰角。」《文選．郭璞．江賦》：「或鹿觡象鼻，或虎狀龍顏。」 |</v>
      </c>
    </row>
    <row r="5734" spans="1:44" hidden="1">
      <c r="A5734" s="1" t="s">
        <v>9595</v>
      </c>
      <c r="C5734" s="1">
        <v>1</v>
      </c>
      <c r="D5734" s="1" t="str">
        <f>"03938"</f>
        <v>03938</v>
      </c>
      <c r="E5734" s="1" t="s">
        <v>709</v>
      </c>
      <c r="F5734" s="1">
        <v>14</v>
      </c>
      <c r="G5734" s="1">
        <v>6</v>
      </c>
      <c r="H5734" s="1">
        <v>0</v>
      </c>
      <c r="I5734" s="1" t="s">
        <v>9581</v>
      </c>
      <c r="K5734" s="1" t="str">
        <f t="shared" si="369"/>
        <v>ㄍ</v>
      </c>
      <c r="L5734" s="1" t="str">
        <f t="shared" si="370"/>
        <v>ㄜ</v>
      </c>
      <c r="N5734" s="3" t="s">
        <v>30575</v>
      </c>
      <c r="O5734" s="3"/>
      <c r="P5734" s="1" t="s">
        <v>20</v>
      </c>
      <c r="R5734" s="1" t="s">
        <v>9582</v>
      </c>
      <c r="V5734" s="1" t="s">
        <v>9596</v>
      </c>
      <c r="AR5734" s="1" t="str">
        <f t="shared" si="368"/>
        <v>| [ㄍㄜˊ](ㄍㄜˊ.md) | [閣](閣.md) |  | gé | [名]
1.古代一種類似樓的建築物。屋分兩層，底層為支撐層，上層立於支撐平座上，四周圍起，有窗，視野高闊，通風良好。常建於園林中以供休憩。亦供置物藏書用。如：「樓閣」。唐．杜牧〈阿房宮賦〉：「五步一樓，十步一閣。」
2.古代一種在住宅屋內所隔出的夾室或夾層。夾室指東西廂房後所隔出之空間，夾層指主屋內以樓板隔出的上層部分。如：「閣樓」。
3.特指古代國立的藏書樓。如：「文淵閣」、「天祿閣」、「文瀾閣」。
4.女子的房間。如：「出閣」、「閨閣」。
5.內閣的簡稱。如：「閣揆」、「組閣」。
6.姓。如唐代有閣輔。 |</v>
      </c>
    </row>
    <row r="5735" spans="1:44" hidden="1">
      <c r="A5735" s="1" t="s">
        <v>9597</v>
      </c>
      <c r="C5735" s="1">
        <v>1</v>
      </c>
      <c r="D5735" s="1" t="str">
        <f>"03939"</f>
        <v>03939</v>
      </c>
      <c r="E5735" s="1" t="s">
        <v>283</v>
      </c>
      <c r="F5735" s="1">
        <v>16</v>
      </c>
      <c r="G5735" s="1">
        <v>6</v>
      </c>
      <c r="H5735" s="1">
        <v>0</v>
      </c>
      <c r="I5735" s="1" t="s">
        <v>9581</v>
      </c>
      <c r="K5735" s="1" t="str">
        <f t="shared" si="369"/>
        <v>ㄍ</v>
      </c>
      <c r="L5735" s="1" t="str">
        <f t="shared" si="370"/>
        <v>ㄜ</v>
      </c>
      <c r="N5735" s="3" t="s">
        <v>30575</v>
      </c>
      <c r="O5735" s="3"/>
      <c r="P5735" s="1" t="s">
        <v>20</v>
      </c>
      <c r="R5735" s="1" t="s">
        <v>9582</v>
      </c>
      <c r="V5735" s="1" t="s">
        <v>9598</v>
      </c>
      <c r="AR5735" s="1" t="str">
        <f t="shared" si="368"/>
        <v>| [ㄍㄜˊ](ㄍㄜˊ.md) | [骼](骼.md) |  | gé | [名]
骨頭的通稱。如：「骨骼」。《禮記．月令》：「掩骼埋胔。」 |</v>
      </c>
    </row>
    <row r="5736" spans="1:44" hidden="1">
      <c r="A5736" s="1" t="s">
        <v>9599</v>
      </c>
      <c r="C5736" s="1">
        <v>1</v>
      </c>
      <c r="D5736" s="1" t="str">
        <f>"03940"</f>
        <v>03940</v>
      </c>
      <c r="E5736" s="1" t="s">
        <v>256</v>
      </c>
      <c r="F5736" s="1">
        <v>9</v>
      </c>
      <c r="G5736" s="1">
        <v>6</v>
      </c>
      <c r="H5736" s="1">
        <v>2</v>
      </c>
      <c r="I5736" s="1" t="s">
        <v>9581</v>
      </c>
      <c r="K5736" s="1" t="str">
        <f t="shared" si="369"/>
        <v>ㄍ</v>
      </c>
      <c r="L5736" s="1" t="str">
        <f t="shared" si="370"/>
        <v>ㄜ</v>
      </c>
      <c r="N5736" s="3" t="s">
        <v>30575</v>
      </c>
      <c r="O5736" s="3"/>
      <c r="P5736" s="1" t="s">
        <v>20</v>
      </c>
      <c r="R5736" s="1" t="s">
        <v>9582</v>
      </c>
      <c r="V5736" s="1" t="s">
        <v>9600</v>
      </c>
      <c r="W5736" s="1" t="s">
        <v>9601</v>
      </c>
      <c r="AR5736" s="1" t="str">
        <f t="shared" si="368"/>
        <v>| [ㄍㄜˊ](ㄍㄜˊ.md) | [郃](郃.md) |  | gé | 參見「郃陽縣」條。 |</v>
      </c>
    </row>
    <row r="5737" spans="1:44" hidden="1">
      <c r="A5737" s="1" t="s">
        <v>9602</v>
      </c>
      <c r="C5737" s="1">
        <v>1</v>
      </c>
      <c r="D5737" s="1" t="str">
        <f>"03941"</f>
        <v>03941</v>
      </c>
      <c r="E5737" s="1" t="s">
        <v>679</v>
      </c>
      <c r="F5737" s="1">
        <v>12</v>
      </c>
      <c r="G5737" s="1">
        <v>6</v>
      </c>
      <c r="H5737" s="1">
        <v>1</v>
      </c>
      <c r="I5737" s="1" t="s">
        <v>9581</v>
      </c>
      <c r="K5737" s="1" t="str">
        <f t="shared" si="369"/>
        <v>ㄍ</v>
      </c>
      <c r="L5737" s="1" t="str">
        <f t="shared" si="370"/>
        <v>ㄜ</v>
      </c>
      <c r="N5737" s="3" t="s">
        <v>30575</v>
      </c>
      <c r="O5737" s="3"/>
      <c r="P5737" s="1" t="s">
        <v>20</v>
      </c>
      <c r="R5737" s="1" t="s">
        <v>9582</v>
      </c>
      <c r="V5737" s="1" t="s">
        <v>9603</v>
      </c>
      <c r="W5737" s="1" t="s">
        <v>9604</v>
      </c>
      <c r="AR5737" s="1" t="str">
        <f t="shared" si="368"/>
        <v>| [ㄍㄜˊ](ㄍㄜˊ.md) | [蛤](蛤.md) |  | gé | 參見「蛤蜊」、「文蛤」等條。 |</v>
      </c>
    </row>
    <row r="5738" spans="1:44" hidden="1">
      <c r="A5738" s="1" t="s">
        <v>9605</v>
      </c>
      <c r="C5738" s="1">
        <v>1</v>
      </c>
      <c r="D5738" s="1" t="str">
        <f>"03942"</f>
        <v>03942</v>
      </c>
      <c r="E5738" s="1" t="s">
        <v>709</v>
      </c>
      <c r="F5738" s="1">
        <v>14</v>
      </c>
      <c r="G5738" s="1">
        <v>6</v>
      </c>
      <c r="H5738" s="1">
        <v>1</v>
      </c>
      <c r="I5738" s="1" t="s">
        <v>9581</v>
      </c>
      <c r="K5738" s="1" t="str">
        <f t="shared" si="369"/>
        <v>ㄍ</v>
      </c>
      <c r="L5738" s="1" t="str">
        <f t="shared" si="370"/>
        <v>ㄜ</v>
      </c>
      <c r="N5738" s="3" t="s">
        <v>30575</v>
      </c>
      <c r="O5738" s="3"/>
      <c r="P5738" s="1" t="s">
        <v>20</v>
      </c>
      <c r="R5738" s="1" t="s">
        <v>9582</v>
      </c>
      <c r="V5738" s="1" t="s">
        <v>9606</v>
      </c>
      <c r="W5738" s="1" t="s">
        <v>9607</v>
      </c>
      <c r="AR5738" s="1" t="str">
        <f t="shared" si="368"/>
        <v>| [ㄍㄜˊ](ㄍㄜˊ.md) | [閤](閤.md) |  | gé | [名]
1.邊門，大門旁的小門。《說文解字．門部》：「閤，門旁戶也。」漢．無名氏〈古詩〉五首之一：「新人從門入，故人從閤去。」《漢書．卷七六．韓延壽傳》：「是日移病不聽事，因入臥傳舍，閉閤思過。」
2.樓房。通「閣」。唐．白行簡《李娃傳》：「娃自閤中聞之，謂侍兒曰。」
3.指女子的寢室。通「閣」。如：「閨閤」、「蘭房椒閤」。
4.宮室、宮殿。《三國志．卷五四．吳書．魯肅傳》：「肅將入閤拜，權起禮之。」 |</v>
      </c>
    </row>
    <row r="5739" spans="1:44" hidden="1">
      <c r="A5739" s="1" t="s">
        <v>9608</v>
      </c>
      <c r="C5739" s="1">
        <v>1</v>
      </c>
      <c r="D5739" s="1" t="str">
        <f>"03943"</f>
        <v>03943</v>
      </c>
      <c r="E5739" s="1" t="s">
        <v>24</v>
      </c>
      <c r="F5739" s="1">
        <v>14</v>
      </c>
      <c r="G5739" s="1">
        <v>10</v>
      </c>
      <c r="H5739" s="1">
        <v>0</v>
      </c>
      <c r="I5739" s="1" t="s">
        <v>9581</v>
      </c>
      <c r="K5739" s="1" t="str">
        <f t="shared" si="369"/>
        <v>ㄍ</v>
      </c>
      <c r="L5739" s="1" t="str">
        <f t="shared" si="370"/>
        <v>ㄜ</v>
      </c>
      <c r="N5739" s="3" t="s">
        <v>30575</v>
      </c>
      <c r="O5739" s="3"/>
      <c r="P5739" s="1" t="s">
        <v>20</v>
      </c>
      <c r="R5739" s="1" t="s">
        <v>9582</v>
      </c>
      <c r="V5739" s="1" t="s">
        <v>9609</v>
      </c>
      <c r="AR5739" s="1" t="str">
        <f t="shared" si="368"/>
        <v>| [ㄍㄜˊ](ㄍㄜˊ.md) | [搿](搿.md) |  | gé | [動]
兩手合抱。如：「那人被搿住了，動彈不得。」 |</v>
      </c>
    </row>
    <row r="5740" spans="1:44" hidden="1">
      <c r="A5740" s="1" t="s">
        <v>9610</v>
      </c>
      <c r="C5740" s="1">
        <v>1</v>
      </c>
      <c r="D5740" s="1" t="str">
        <f>"03944"</f>
        <v>03944</v>
      </c>
      <c r="E5740" s="1" t="s">
        <v>684</v>
      </c>
      <c r="F5740" s="1">
        <v>15</v>
      </c>
      <c r="G5740" s="1">
        <v>6</v>
      </c>
      <c r="H5740" s="1">
        <v>1</v>
      </c>
      <c r="I5740" s="1" t="s">
        <v>9581</v>
      </c>
      <c r="K5740" s="1" t="str">
        <f t="shared" si="369"/>
        <v>ㄍ</v>
      </c>
      <c r="L5740" s="1" t="str">
        <f t="shared" si="370"/>
        <v>ㄜ</v>
      </c>
      <c r="N5740" s="3" t="s">
        <v>30575</v>
      </c>
      <c r="O5740" s="3"/>
      <c r="P5740" s="1" t="s">
        <v>20</v>
      </c>
      <c r="R5740" s="1" t="s">
        <v>9582</v>
      </c>
      <c r="V5740" s="1" t="s">
        <v>9611</v>
      </c>
      <c r="W5740" s="1" t="s">
        <v>9612</v>
      </c>
      <c r="AR5740" s="1" t="str">
        <f t="shared" si="368"/>
        <v>| [ㄍㄜˊ](ㄍㄜˊ.md) | [頜](頜.md) |  | gé | [名]
構成口腔上下部位的骨骼、肌肉組織稱為「頜」，分為上頜、下頜。 |</v>
      </c>
    </row>
    <row r="5741" spans="1:44" hidden="1">
      <c r="A5741" s="1" t="s">
        <v>9613</v>
      </c>
      <c r="C5741" s="1">
        <v>1</v>
      </c>
      <c r="D5741" s="1" t="str">
        <f>"03945"</f>
        <v>03945</v>
      </c>
      <c r="E5741" s="1" t="s">
        <v>1058</v>
      </c>
      <c r="F5741" s="1">
        <v>15</v>
      </c>
      <c r="G5741" s="1">
        <v>6</v>
      </c>
      <c r="H5741" s="1">
        <v>0</v>
      </c>
      <c r="I5741" s="1" t="s">
        <v>9581</v>
      </c>
      <c r="K5741" s="1" t="str">
        <f t="shared" si="369"/>
        <v>ㄍ</v>
      </c>
      <c r="L5741" s="1" t="str">
        <f t="shared" si="370"/>
        <v>ㄜ</v>
      </c>
      <c r="N5741" s="3" t="s">
        <v>30575</v>
      </c>
      <c r="O5741" s="3"/>
      <c r="P5741" s="1" t="s">
        <v>20</v>
      </c>
      <c r="R5741" s="1" t="s">
        <v>9582</v>
      </c>
      <c r="V5741" s="1" t="s">
        <v>9614</v>
      </c>
      <c r="AR5741" s="1" t="str">
        <f t="shared" si="368"/>
        <v>| [ㄍㄜˊ](ㄍㄜˊ.md) | [韐](韐.md) |  | gé | 參見「韎韐」條。 |</v>
      </c>
    </row>
    <row r="5742" spans="1:44" hidden="1">
      <c r="A5742" s="1" t="s">
        <v>8478</v>
      </c>
      <c r="C5742" s="1">
        <v>1</v>
      </c>
      <c r="D5742" s="1" t="str">
        <f>"03946"</f>
        <v>03946</v>
      </c>
      <c r="E5742" s="1" t="s">
        <v>275</v>
      </c>
      <c r="F5742" s="1">
        <v>10</v>
      </c>
      <c r="G5742" s="1">
        <v>0</v>
      </c>
      <c r="H5742" s="1">
        <v>1</v>
      </c>
      <c r="I5742" s="1" t="s">
        <v>9581</v>
      </c>
      <c r="K5742" s="1" t="str">
        <f t="shared" si="369"/>
        <v>ㄍ</v>
      </c>
      <c r="L5742" s="1" t="str">
        <f t="shared" si="370"/>
        <v>ㄜ</v>
      </c>
      <c r="N5742" s="3" t="s">
        <v>30575</v>
      </c>
      <c r="O5742" s="3"/>
      <c r="P5742" s="1" t="s">
        <v>20</v>
      </c>
      <c r="R5742" s="1" t="s">
        <v>9582</v>
      </c>
      <c r="V5742" s="1" t="s">
        <v>9615</v>
      </c>
      <c r="W5742" s="1" t="s">
        <v>9616</v>
      </c>
      <c r="AR5742" s="1" t="str">
        <f t="shared" si="368"/>
        <v>| [ㄍㄜˊ](ㄍㄜˊ.md) | [鬲](鬲.md) |  | gé | [名]
1.人體的經穴。位於脊骨第七椎下兩旁各一寸五分處的經穴。《三國志．卷二九．魏書．方技傳．華佗傳》：「太祖苦頭風，每發，心亂目眩，佗針鬲，隨手而差。」
2.人名用字。如殷末有賢人膠鬲。 |</v>
      </c>
    </row>
    <row r="5743" spans="1:44" hidden="1">
      <c r="A5743" s="1" t="s">
        <v>9617</v>
      </c>
      <c r="C5743" s="1">
        <v>1</v>
      </c>
      <c r="D5743" s="1" t="str">
        <f>"03947"</f>
        <v>03947</v>
      </c>
      <c r="E5743" s="1" t="s">
        <v>28</v>
      </c>
      <c r="F5743" s="1">
        <v>13</v>
      </c>
      <c r="G5743" s="1">
        <v>10</v>
      </c>
      <c r="H5743" s="1">
        <v>0</v>
      </c>
      <c r="I5743" s="1" t="s">
        <v>9581</v>
      </c>
      <c r="K5743" s="1" t="str">
        <f t="shared" si="369"/>
        <v>ㄍ</v>
      </c>
      <c r="L5743" s="1" t="str">
        <f t="shared" si="370"/>
        <v>ㄜ</v>
      </c>
      <c r="N5743" s="3" t="s">
        <v>30575</v>
      </c>
      <c r="O5743" s="3"/>
      <c r="P5743" s="1" t="s">
        <v>20</v>
      </c>
      <c r="R5743" s="1" t="s">
        <v>9582</v>
      </c>
      <c r="V5743" s="1" t="s">
        <v>9618</v>
      </c>
      <c r="AR5743" s="1" t="str">
        <f t="shared" si="368"/>
        <v>| [ㄍㄜˊ](ㄍㄜˊ.md) | [嗝](嗝.md) |  | gé | [名]
因噎氣或吃得太飽，胃中氣體從口中逆出所發出的聲音。如：「打嗝」、「打飽嗝」。 |</v>
      </c>
    </row>
    <row r="5744" spans="1:44" hidden="1">
      <c r="A5744" s="1" t="s">
        <v>9619</v>
      </c>
      <c r="C5744" s="1">
        <v>1</v>
      </c>
      <c r="D5744" s="1" t="str">
        <f>"03948"</f>
        <v>03948</v>
      </c>
      <c r="E5744" s="1" t="s">
        <v>691</v>
      </c>
      <c r="F5744" s="1">
        <v>13</v>
      </c>
      <c r="G5744" s="1">
        <v>10</v>
      </c>
      <c r="H5744" s="1">
        <v>0</v>
      </c>
      <c r="I5744" s="1" t="s">
        <v>9581</v>
      </c>
      <c r="K5744" s="1" t="str">
        <f t="shared" si="369"/>
        <v>ㄍ</v>
      </c>
      <c r="L5744" s="1" t="str">
        <f t="shared" si="370"/>
        <v>ㄜ</v>
      </c>
      <c r="N5744" s="3" t="s">
        <v>30575</v>
      </c>
      <c r="O5744" s="3"/>
      <c r="P5744" s="1" t="s">
        <v>20</v>
      </c>
      <c r="R5744" s="1" t="s">
        <v>9582</v>
      </c>
      <c r="V5744" s="1" t="s">
        <v>9620</v>
      </c>
      <c r="AR5744" s="1" t="str">
        <f t="shared" si="368"/>
        <v>| [ㄍㄜˊ](ㄍㄜˊ.md) | [隔](隔.md) |  | gé | [動]
1.遮斷、阻塞。《說文解字．阜部》：「隔，塞也。」如：「阻隔」、「分隔」。《後漢書．卷三三．鄭弘傳》：「帝問知其故，遂聽置雲母屏風，分隔其閒。」
2.距離、間隔。如：「相隔千里」、「隔兩天再說吧！」。《新唐書．卷一．高祖本紀》：「今江都隔遠，後期奈何？」唐．李商隱〈無題〉詩：「劉郎已恨蓬山遠，更隔蓬山一萬重。」
3.改變、變異。《續漢書志．第二三．郡國志五》贊曰：「稱號遷隔，封割糾紛。」 |</v>
      </c>
    </row>
    <row r="5745" spans="1:44" hidden="1">
      <c r="A5745" s="1" t="s">
        <v>9621</v>
      </c>
      <c r="C5745" s="1">
        <v>1</v>
      </c>
      <c r="D5745" s="1" t="str">
        <f>"03949"</f>
        <v>03949</v>
      </c>
      <c r="E5745" s="1" t="s">
        <v>139</v>
      </c>
      <c r="F5745" s="1">
        <v>14</v>
      </c>
      <c r="G5745" s="1">
        <v>10</v>
      </c>
      <c r="H5745" s="1">
        <v>0</v>
      </c>
      <c r="I5745" s="1" t="s">
        <v>9581</v>
      </c>
      <c r="K5745" s="1" t="str">
        <f t="shared" si="369"/>
        <v>ㄍ</v>
      </c>
      <c r="L5745" s="1" t="str">
        <f t="shared" si="370"/>
        <v>ㄜ</v>
      </c>
      <c r="N5745" s="3" t="s">
        <v>30575</v>
      </c>
      <c r="O5745" s="3"/>
      <c r="P5745" s="1" t="s">
        <v>20</v>
      </c>
      <c r="R5745" s="1" t="s">
        <v>9582</v>
      </c>
      <c r="V5745" s="1" t="s">
        <v>9622</v>
      </c>
      <c r="AR5745" s="1" t="str">
        <f t="shared" si="368"/>
        <v>| [ㄍㄜˊ](ㄍㄜˊ.md) | [槅](槅.md) |  | gé | [名]
1.大車的軛。《說文解字．木部》：「槅，大車枙。」《文選．張衡．西京賦》：「商旅聯槅，隱隱展展。」
2.物架的分層。《紅樓夢》第一七回：「一槅一槅，或有貯書處，或有設鼎處，或安置筆硯處，或供設瓶花、或安放盆景處。」 |</v>
      </c>
    </row>
    <row r="5746" spans="1:44" hidden="1">
      <c r="A5746" s="1" t="s">
        <v>9623</v>
      </c>
      <c r="C5746" s="1">
        <v>1</v>
      </c>
      <c r="D5746" s="1" t="str">
        <f>"03950"</f>
        <v>03950</v>
      </c>
      <c r="E5746" s="1" t="s">
        <v>68</v>
      </c>
      <c r="F5746" s="1">
        <v>14</v>
      </c>
      <c r="G5746" s="1">
        <v>10</v>
      </c>
      <c r="H5746" s="1">
        <v>0</v>
      </c>
      <c r="I5746" s="1" t="s">
        <v>9581</v>
      </c>
      <c r="K5746" s="1" t="str">
        <f t="shared" si="369"/>
        <v>ㄍ</v>
      </c>
      <c r="L5746" s="1" t="str">
        <f t="shared" si="370"/>
        <v>ㄜ</v>
      </c>
      <c r="N5746" s="3" t="s">
        <v>30575</v>
      </c>
      <c r="O5746" s="3"/>
      <c r="P5746" s="1" t="s">
        <v>20</v>
      </c>
      <c r="R5746" s="1" t="s">
        <v>9582</v>
      </c>
      <c r="V5746" s="1" t="s">
        <v>9624</v>
      </c>
      <c r="AR5746" s="1" t="str">
        <f t="shared" si="368"/>
        <v>| [ㄍㄜˊ](ㄍㄜˊ.md) | [膈](膈.md) |  | gé | [名]
分隔動物體腔的膜狀組織。例如分隔胸腔與腹腔的膜狀肌肉，稱為「膈膜」、「橫膈膜」。 |</v>
      </c>
    </row>
    <row r="5747" spans="1:44" hidden="1">
      <c r="A5747" s="1" t="s">
        <v>9625</v>
      </c>
      <c r="C5747" s="1">
        <v>1</v>
      </c>
      <c r="D5747" s="1" t="str">
        <f>"03951"</f>
        <v>03951</v>
      </c>
      <c r="E5747" s="1" t="s">
        <v>2271</v>
      </c>
      <c r="F5747" s="1">
        <v>16</v>
      </c>
      <c r="G5747" s="1">
        <v>10</v>
      </c>
      <c r="H5747" s="1">
        <v>2</v>
      </c>
      <c r="I5747" s="1" t="s">
        <v>9581</v>
      </c>
      <c r="K5747" s="1" t="str">
        <f t="shared" si="369"/>
        <v>ㄍ</v>
      </c>
      <c r="L5747" s="1" t="str">
        <f t="shared" si="370"/>
        <v>ㄜ</v>
      </c>
      <c r="N5747" s="3" t="s">
        <v>30575</v>
      </c>
      <c r="O5747" s="3"/>
      <c r="P5747" s="1" t="s">
        <v>110</v>
      </c>
      <c r="R5747" s="1" t="s">
        <v>9582</v>
      </c>
      <c r="V5747" s="1" t="s">
        <v>111</v>
      </c>
      <c r="W5747" s="1" t="s">
        <v>9626</v>
      </c>
      <c r="AR5747" s="1" t="str">
        <f t="shared" si="368"/>
        <v>| [ㄍㄜˊ](ㄍㄜˊ.md) | [翮](翮.md) |  | gé | (一)之又音。 |</v>
      </c>
    </row>
    <row r="5748" spans="1:44" hidden="1">
      <c r="A5748" s="1" t="s">
        <v>8481</v>
      </c>
      <c r="C5748" s="1">
        <v>1</v>
      </c>
      <c r="D5748" s="1" t="str">
        <f>"03952"</f>
        <v>03952</v>
      </c>
      <c r="E5748" s="1" t="s">
        <v>55</v>
      </c>
      <c r="F5748" s="1">
        <v>18</v>
      </c>
      <c r="G5748" s="1">
        <v>10</v>
      </c>
      <c r="H5748" s="1">
        <v>1</v>
      </c>
      <c r="I5748" s="1" t="s">
        <v>9581</v>
      </c>
      <c r="K5748" s="1" t="str">
        <f t="shared" si="369"/>
        <v>ㄍ</v>
      </c>
      <c r="L5748" s="1" t="str">
        <f t="shared" si="370"/>
        <v>ㄜ</v>
      </c>
      <c r="N5748" s="3" t="s">
        <v>30575</v>
      </c>
      <c r="O5748" s="3"/>
      <c r="P5748" s="1" t="s">
        <v>20</v>
      </c>
      <c r="R5748" s="1" t="s">
        <v>9582</v>
      </c>
      <c r="V5748" s="1" t="s">
        <v>9627</v>
      </c>
      <c r="W5748" s="1" t="s">
        <v>9628</v>
      </c>
      <c r="AR5748" s="1" t="str">
        <f t="shared" si="368"/>
        <v>| [ㄍㄜˊ](ㄍㄜˊ.md) | [鎘](鎘.md) |  | gé | [名]
（cadmium，Cd）化學元素。原子序48。過渡金屬元素之一。鎘常雜於鋅礦中，故製鋅時兼可得鎘。鎘比鋅先析出，經收集、溶解、沉澱、鍛燒、還原、蒸餾等過程，可得純鎘。色銀白，富延展性。供金屬工業之用，亦用作保險絲、燈絲、顏料及充填蛀齒之物等。鎘中毒會引起痛痛病。 |</v>
      </c>
    </row>
    <row r="5749" spans="1:44" hidden="1">
      <c r="A5749" s="1" t="s">
        <v>9629</v>
      </c>
      <c r="C5749" s="1">
        <v>1</v>
      </c>
      <c r="D5749" s="1" t="str">
        <f>"03953"</f>
        <v>03953</v>
      </c>
      <c r="E5749" s="1" t="s">
        <v>340</v>
      </c>
      <c r="F5749" s="1">
        <v>13</v>
      </c>
      <c r="G5749" s="1">
        <v>7</v>
      </c>
      <c r="H5749" s="1">
        <v>0</v>
      </c>
      <c r="I5749" s="1" t="s">
        <v>9581</v>
      </c>
      <c r="K5749" s="1" t="str">
        <f t="shared" si="369"/>
        <v>ㄍ</v>
      </c>
      <c r="L5749" s="1" t="str">
        <f t="shared" si="370"/>
        <v>ㄜ</v>
      </c>
      <c r="N5749" s="3" t="s">
        <v>30575</v>
      </c>
      <c r="O5749" s="3"/>
      <c r="P5749" s="1" t="s">
        <v>20</v>
      </c>
      <c r="R5749" s="1" t="s">
        <v>9582</v>
      </c>
      <c r="V5749" s="1" t="s">
        <v>9630</v>
      </c>
      <c r="AR5749" s="1" t="str">
        <f t="shared" si="368"/>
        <v>| [ㄍㄜˊ](ㄍㄜˊ.md) | [裓](裓.md) |  | gé | [名]
衣服的前襟。唐．柳宗元〈送文暢上人登五臺遂遊河朔序〉：「然後蔑衣裓之贈，委財施之會不顧矣。」 |</v>
      </c>
    </row>
    <row r="5750" spans="1:44" hidden="1">
      <c r="A5750" s="1" t="s">
        <v>9631</v>
      </c>
      <c r="C5750" s="1">
        <v>1</v>
      </c>
      <c r="D5750" s="1" t="str">
        <f>"03954"</f>
        <v>03954</v>
      </c>
      <c r="E5750" s="1" t="s">
        <v>37</v>
      </c>
      <c r="F5750" s="1">
        <v>13</v>
      </c>
      <c r="G5750" s="1">
        <v>9</v>
      </c>
      <c r="H5750" s="1">
        <v>1</v>
      </c>
      <c r="I5750" s="1" t="s">
        <v>9581</v>
      </c>
      <c r="K5750" s="1" t="str">
        <f t="shared" si="369"/>
        <v>ㄍ</v>
      </c>
      <c r="L5750" s="1" t="str">
        <f t="shared" si="370"/>
        <v>ㄜ</v>
      </c>
      <c r="N5750" s="3" t="s">
        <v>30575</v>
      </c>
      <c r="O5750" s="3"/>
      <c r="P5750" s="1" t="s">
        <v>20</v>
      </c>
      <c r="R5750" s="1" t="s">
        <v>9582</v>
      </c>
      <c r="V5750" s="1" t="s">
        <v>9632</v>
      </c>
      <c r="W5750" s="1" t="s">
        <v>9633</v>
      </c>
      <c r="AR5750" s="1" t="str">
        <f t="shared" si="368"/>
        <v>| [ㄍㄜˊ](ㄍㄜˊ.md) | [葛](葛.md) |  | gé | [名]
1.植物名。豆科葛屬，多年生蔓草。莖細長，複葉闊大，花紫赤色，結實成莢。根可入藥，亦可取出澱粉，供食用及製糊用。纖維可織布及作造紙原料。
2.夏天所穿的衣服。宋．辛棄疾〈水調歌頭．萬事幾時足〉詞：「一葛一裘經歲，一缽一瓶終日。」
3.國名。夏朝所封的諸侯國。嬴姓。故城在今大陸地區河南省葵兵縣東北。 |</v>
      </c>
    </row>
    <row r="5751" spans="1:44" hidden="1">
      <c r="A5751" s="1" t="s">
        <v>9536</v>
      </c>
      <c r="C5751" s="1">
        <v>1</v>
      </c>
      <c r="D5751" s="1" t="str">
        <f>"03955"</f>
        <v>03955</v>
      </c>
      <c r="E5751" s="1" t="s">
        <v>28</v>
      </c>
      <c r="F5751" s="1">
        <v>16</v>
      </c>
      <c r="G5751" s="1">
        <v>13</v>
      </c>
      <c r="H5751" s="1">
        <v>2</v>
      </c>
      <c r="I5751" s="1" t="s">
        <v>9581</v>
      </c>
      <c r="K5751" s="1" t="str">
        <f t="shared" si="369"/>
        <v>ㄍ</v>
      </c>
      <c r="L5751" s="1" t="str">
        <f t="shared" si="370"/>
        <v>ㄜ</v>
      </c>
      <c r="N5751" s="3" t="s">
        <v>30575</v>
      </c>
      <c r="O5751" s="3"/>
      <c r="P5751" s="1" t="s">
        <v>20</v>
      </c>
      <c r="R5751" s="1" t="s">
        <v>9582</v>
      </c>
      <c r="V5751" s="1" t="s">
        <v>9634</v>
      </c>
      <c r="W5751" s="1" t="s">
        <v>9635</v>
      </c>
      <c r="AR5751" s="1" t="str">
        <f t="shared" si="368"/>
        <v>| [ㄍㄜˊ](ㄍㄜˊ.md) | [噶](噶.md) |  | gé | [名]
譯音用字。為藏文譯音所常用。如：「噶大克」、「噶倫」。 |</v>
      </c>
    </row>
    <row r="5752" spans="1:44" hidden="1">
      <c r="A5752" s="1" t="s">
        <v>9636</v>
      </c>
      <c r="C5752" s="1">
        <v>1</v>
      </c>
      <c r="D5752" s="1" t="str">
        <f>"03956"</f>
        <v>03956</v>
      </c>
      <c r="E5752" s="1" t="s">
        <v>71</v>
      </c>
      <c r="F5752" s="1">
        <v>20</v>
      </c>
      <c r="G5752" s="1">
        <v>13</v>
      </c>
      <c r="H5752" s="1">
        <v>0</v>
      </c>
      <c r="I5752" s="1" t="s">
        <v>9581</v>
      </c>
      <c r="K5752" s="1" t="str">
        <f t="shared" si="369"/>
        <v>ㄍ</v>
      </c>
      <c r="L5752" s="1" t="str">
        <f t="shared" si="370"/>
        <v>ㄜ</v>
      </c>
      <c r="N5752" s="3" t="s">
        <v>30575</v>
      </c>
      <c r="O5752" s="3"/>
      <c r="P5752" s="1" t="s">
        <v>20</v>
      </c>
      <c r="R5752" s="1" t="s">
        <v>9582</v>
      </c>
      <c r="V5752" s="1" t="s">
        <v>9637</v>
      </c>
      <c r="AR5752" s="1" t="str">
        <f t="shared" si="368"/>
        <v>| [ㄍㄜˊ](ㄍㄜˊ.md) | [轕](轕.md) |  | gé | 參見「轇轕」條。 |</v>
      </c>
    </row>
    <row r="5753" spans="1:44" hidden="1">
      <c r="A5753" s="1" t="s">
        <v>9638</v>
      </c>
      <c r="C5753" s="1">
        <v>1</v>
      </c>
      <c r="D5753" s="1" t="str">
        <f>"03957"</f>
        <v>03957</v>
      </c>
      <c r="E5753" s="1" t="s">
        <v>28</v>
      </c>
      <c r="F5753" s="1">
        <v>6</v>
      </c>
      <c r="G5753" s="1">
        <v>3</v>
      </c>
      <c r="H5753" s="1">
        <v>2</v>
      </c>
      <c r="I5753" s="1" t="s">
        <v>9639</v>
      </c>
      <c r="K5753" s="1" t="str">
        <f t="shared" si="369"/>
        <v>ㄍ</v>
      </c>
      <c r="L5753" s="1" t="str">
        <f t="shared" si="370"/>
        <v>ㄜ</v>
      </c>
      <c r="N5753" s="3" t="s">
        <v>30576</v>
      </c>
      <c r="O5753" s="3"/>
      <c r="P5753" s="1" t="s">
        <v>20</v>
      </c>
      <c r="R5753" s="1" t="s">
        <v>9640</v>
      </c>
      <c r="V5753" s="1" t="s">
        <v>9641</v>
      </c>
      <c r="W5753" s="1" t="s">
        <v>9642</v>
      </c>
      <c r="AR5753" s="1" t="str">
        <f t="shared" si="368"/>
        <v>| [ㄍㄜˇ](ㄍㄜˇ.md) | [合](合.md) |  | gě | 參見「公合」條。 |</v>
      </c>
    </row>
    <row r="5754" spans="1:44" hidden="1">
      <c r="A5754" s="1" t="s">
        <v>9643</v>
      </c>
      <c r="C5754" s="1">
        <v>1</v>
      </c>
      <c r="D5754" s="1" t="str">
        <f>"03958"</f>
        <v>03958</v>
      </c>
      <c r="E5754" s="1" t="s">
        <v>114</v>
      </c>
      <c r="F5754" s="1">
        <v>10</v>
      </c>
      <c r="G5754" s="1">
        <v>8</v>
      </c>
      <c r="H5754" s="1">
        <v>3</v>
      </c>
      <c r="I5754" s="1" t="s">
        <v>9639</v>
      </c>
      <c r="K5754" s="1" t="str">
        <f t="shared" si="369"/>
        <v>ㄍ</v>
      </c>
      <c r="L5754" s="1" t="str">
        <f t="shared" si="370"/>
        <v>ㄜ</v>
      </c>
      <c r="N5754" s="3" t="s">
        <v>30576</v>
      </c>
      <c r="O5754" s="3"/>
      <c r="P5754" s="1" t="s">
        <v>20</v>
      </c>
      <c r="R5754" s="1" t="s">
        <v>9640</v>
      </c>
      <c r="V5754" s="1" t="s">
        <v>9644</v>
      </c>
      <c r="W5754" s="1" t="s">
        <v>9645</v>
      </c>
      <c r="AR5754" s="1" t="str">
        <f t="shared" si="368"/>
        <v>| [ㄍㄜˇ](ㄍㄜˇ.md) | [個](個.md) |  | gě | 參見「自個兒」條。 |</v>
      </c>
    </row>
    <row r="5755" spans="1:44" hidden="1">
      <c r="A5755" s="1" t="s">
        <v>9646</v>
      </c>
      <c r="C5755" s="1">
        <v>1</v>
      </c>
      <c r="D5755" s="1" t="str">
        <f>"03959"</f>
        <v>03959</v>
      </c>
      <c r="E5755" s="1" t="s">
        <v>28</v>
      </c>
      <c r="F5755" s="1">
        <v>10</v>
      </c>
      <c r="G5755" s="1">
        <v>7</v>
      </c>
      <c r="H5755" s="1">
        <v>2</v>
      </c>
      <c r="I5755" s="1" t="s">
        <v>9639</v>
      </c>
      <c r="K5755" s="1" t="str">
        <f t="shared" si="369"/>
        <v>ㄍ</v>
      </c>
      <c r="L5755" s="1" t="str">
        <f t="shared" si="370"/>
        <v>ㄜ</v>
      </c>
      <c r="N5755" s="3" t="s">
        <v>30576</v>
      </c>
      <c r="O5755" s="3"/>
      <c r="P5755" s="1" t="s">
        <v>110</v>
      </c>
      <c r="R5755" s="1" t="s">
        <v>9640</v>
      </c>
      <c r="V5755" s="1" t="s">
        <v>111</v>
      </c>
      <c r="W5755" s="1" t="s">
        <v>9647</v>
      </c>
      <c r="AR5755" s="1" t="str">
        <f t="shared" si="368"/>
        <v>| [ㄍㄜˇ](ㄍㄜˇ.md) | [哿](哿.md) |  | gě | (一)之又音。 |</v>
      </c>
    </row>
    <row r="5756" spans="1:44" hidden="1">
      <c r="A5756" s="1" t="s">
        <v>9648</v>
      </c>
      <c r="C5756" s="1">
        <v>1</v>
      </c>
      <c r="D5756" s="1" t="str">
        <f>"03960"</f>
        <v>03960</v>
      </c>
      <c r="E5756" s="1" t="s">
        <v>49</v>
      </c>
      <c r="F5756" s="1">
        <v>11</v>
      </c>
      <c r="G5756" s="1">
        <v>5</v>
      </c>
      <c r="H5756" s="1">
        <v>0</v>
      </c>
      <c r="I5756" s="1" t="s">
        <v>9639</v>
      </c>
      <c r="K5756" s="1" t="str">
        <f t="shared" si="369"/>
        <v>ㄍ</v>
      </c>
      <c r="L5756" s="1" t="str">
        <f t="shared" si="370"/>
        <v>ㄜ</v>
      </c>
      <c r="N5756" s="3" t="s">
        <v>30576</v>
      </c>
      <c r="O5756" s="3"/>
      <c r="P5756" s="1" t="s">
        <v>20</v>
      </c>
      <c r="R5756" s="1" t="s">
        <v>9640</v>
      </c>
      <c r="V5756" s="1" t="s">
        <v>9649</v>
      </c>
      <c r="AR5756" s="1" t="str">
        <f t="shared" si="368"/>
        <v>| [ㄍㄜˇ](ㄍㄜˇ.md) | [笴](笴.md) |  | gě | [名]
1.箭桿。《廣韻．上聲．哿韻》：「笴，箭莖也。」唐．段成式《酉陽雜俎．卷一．忠志》：「太宗虯鬚，嘗戲張弓挂矢，好用四羽大笴，長常箭一膚，射洞門闔。」
2.借指箭。宋．陸游〈萬里橋江上習射〉詩：「丈夫未死誰能料？一笴他年下百城。」 |</v>
      </c>
    </row>
    <row r="5757" spans="1:44" hidden="1">
      <c r="A5757" s="1" t="s">
        <v>9650</v>
      </c>
      <c r="C5757" s="1">
        <v>1</v>
      </c>
      <c r="D5757" s="1" t="str">
        <f>"03961"</f>
        <v>03961</v>
      </c>
      <c r="E5757" s="1" t="s">
        <v>181</v>
      </c>
      <c r="F5757" s="1">
        <v>11</v>
      </c>
      <c r="G5757" s="1">
        <v>5</v>
      </c>
      <c r="H5757" s="1">
        <v>0</v>
      </c>
      <c r="I5757" s="1" t="s">
        <v>9639</v>
      </c>
      <c r="K5757" s="1" t="str">
        <f t="shared" si="369"/>
        <v>ㄍ</v>
      </c>
      <c r="L5757" s="1" t="str">
        <f t="shared" si="370"/>
        <v>ㄜ</v>
      </c>
      <c r="N5757" s="3" t="s">
        <v>30576</v>
      </c>
      <c r="O5757" s="3"/>
      <c r="P5757" s="1" t="s">
        <v>20</v>
      </c>
      <c r="R5757" s="1" t="s">
        <v>9640</v>
      </c>
      <c r="V5757" s="1" t="s">
        <v>9651</v>
      </c>
      <c r="AR5757" s="1" t="str">
        <f t="shared" si="368"/>
        <v>| [ㄍㄜˇ](ㄍㄜˇ.md) | [舸](舸.md) |  | gě | [名]
大船。唐．王勃〈滕王閣序〉：「舸艦彌津，青雀黃龍之軸。」宋．歐陽修〈採桑子．春深雨過西湖好〉詞：「蘭橈畫舸悠悠去，疑是神仙。」 |</v>
      </c>
    </row>
    <row r="5758" spans="1:44" hidden="1">
      <c r="A5758" s="1" t="s">
        <v>9631</v>
      </c>
      <c r="C5758" s="1">
        <v>1</v>
      </c>
      <c r="D5758" s="1" t="str">
        <f>"03962"</f>
        <v>03962</v>
      </c>
      <c r="E5758" s="1" t="s">
        <v>37</v>
      </c>
      <c r="F5758" s="1">
        <v>13</v>
      </c>
      <c r="G5758" s="1">
        <v>9</v>
      </c>
      <c r="H5758" s="1">
        <v>2</v>
      </c>
      <c r="I5758" s="1" t="s">
        <v>9639</v>
      </c>
      <c r="K5758" s="1" t="str">
        <f t="shared" si="369"/>
        <v>ㄍ</v>
      </c>
      <c r="L5758" s="1" t="str">
        <f t="shared" si="370"/>
        <v>ㄜ</v>
      </c>
      <c r="N5758" s="3" t="s">
        <v>30576</v>
      </c>
      <c r="O5758" s="3"/>
      <c r="P5758" s="1" t="s">
        <v>20</v>
      </c>
      <c r="R5758" s="1" t="s">
        <v>9640</v>
      </c>
      <c r="V5758" s="1" t="s">
        <v>9652</v>
      </c>
      <c r="W5758" s="1" t="s">
        <v>9653</v>
      </c>
      <c r="AR5758" s="1" t="str">
        <f t="shared" si="368"/>
        <v>| [ㄍㄜˇ](ㄍㄜˇ.md) | [葛](葛.md) |  | gě | [名]
姓。如晉代有葛洪。 |</v>
      </c>
    </row>
    <row r="5759" spans="1:44" hidden="1">
      <c r="A5759" s="1" t="s">
        <v>9654</v>
      </c>
      <c r="C5759" s="1">
        <v>1</v>
      </c>
      <c r="D5759" s="1" t="str">
        <f>"03963"</f>
        <v>03963</v>
      </c>
      <c r="E5759" s="1" t="s">
        <v>37</v>
      </c>
      <c r="F5759" s="1">
        <v>14</v>
      </c>
      <c r="G5759" s="1">
        <v>10</v>
      </c>
      <c r="H5759" s="1">
        <v>2</v>
      </c>
      <c r="I5759" s="1" t="s">
        <v>9639</v>
      </c>
      <c r="K5759" s="1" t="str">
        <f t="shared" si="369"/>
        <v>ㄍ</v>
      </c>
      <c r="L5759" s="1" t="str">
        <f t="shared" si="370"/>
        <v>ㄜ</v>
      </c>
      <c r="N5759" s="3" t="s">
        <v>30576</v>
      </c>
      <c r="O5759" s="3"/>
      <c r="P5759" s="1" t="s">
        <v>20</v>
      </c>
      <c r="R5759" s="1" t="s">
        <v>9640</v>
      </c>
      <c r="V5759" s="1" t="s">
        <v>9655</v>
      </c>
      <c r="W5759" s="1" t="s">
        <v>9656</v>
      </c>
      <c r="AR5759" s="1" t="str">
        <f t="shared" si="368"/>
        <v>| [ㄍㄜˇ](ㄍㄜˇ.md) | [蓋](蓋.md) |  | gě | [名]
1.地名。戰國時齊邑，漢置蓋縣，北齊廢。故城約位於今大陸地區山東省沂水縣西北。
2.姓。如漢代有蓋寬饒。 |</v>
      </c>
    </row>
    <row r="5760" spans="1:44" hidden="1">
      <c r="A5760" s="1" t="s">
        <v>9643</v>
      </c>
      <c r="C5760" s="1">
        <v>1</v>
      </c>
      <c r="D5760" s="1" t="str">
        <f>"03970"</f>
        <v>03970</v>
      </c>
      <c r="E5760" s="1" t="s">
        <v>114</v>
      </c>
      <c r="F5760" s="1">
        <v>10</v>
      </c>
      <c r="G5760" s="1">
        <v>8</v>
      </c>
      <c r="H5760" s="1">
        <v>2</v>
      </c>
      <c r="I5760" s="1" t="s">
        <v>9671</v>
      </c>
      <c r="J5760" s="2" t="s">
        <v>30559</v>
      </c>
      <c r="K5760" s="1" t="s">
        <v>30568</v>
      </c>
      <c r="L5760" s="1" t="s">
        <v>24183</v>
      </c>
      <c r="P5760" s="1" t="s">
        <v>20</v>
      </c>
      <c r="R5760" s="1" t="s">
        <v>9672</v>
      </c>
      <c r="V5760" s="1" t="s">
        <v>9673</v>
      </c>
      <c r="W5760" s="1" t="s">
        <v>9674</v>
      </c>
      <c r="AR5760" s="1" t="str">
        <f t="shared" si="368"/>
        <v>| [˙ㄍㄜ](˙ㄍㄜ.md) | [個](個.md) |  | ge | 量詞及助詞「個」的輕讀。如：「這個人」、「那個地方」、「家中添個小孩就熱鬧多了！」 |</v>
      </c>
    </row>
    <row r="5761" spans="1:44" hidden="1">
      <c r="A5761" s="1" t="s">
        <v>9691</v>
      </c>
      <c r="C5761" s="1">
        <v>1</v>
      </c>
      <c r="D5761" s="1" t="str">
        <f>"03977"</f>
        <v>03977</v>
      </c>
      <c r="E5761" s="1" t="s">
        <v>789</v>
      </c>
      <c r="F5761" s="1">
        <v>4</v>
      </c>
      <c r="G5761" s="1">
        <v>3</v>
      </c>
      <c r="H5761" s="1">
        <v>0</v>
      </c>
      <c r="I5761" s="1" t="s">
        <v>9692</v>
      </c>
      <c r="K5761" s="1" t="str">
        <f t="shared" ref="K5761:K5824" si="371">LEFT(I5761, 1)</f>
        <v>ㄍ</v>
      </c>
      <c r="L5761" s="1" t="str">
        <f t="shared" ref="L5761:L5824" si="372">MID(I5761, 2, 1)</f>
        <v>ㄞ</v>
      </c>
      <c r="N5761" s="3" t="s">
        <v>30574</v>
      </c>
      <c r="O5761" s="3"/>
      <c r="P5761" s="1" t="s">
        <v>20</v>
      </c>
      <c r="R5761" s="1" t="s">
        <v>9693</v>
      </c>
      <c r="V5761" s="1" t="s">
        <v>9694</v>
      </c>
      <c r="AR5761" s="1" t="str">
        <f t="shared" si="368"/>
        <v>| [ㄍㄞˋ](ㄍㄞˋ.md) | [丐](丐.md) |  | gài | [動]
1.乞求。《字彙．一部》：「丐，乞也。」《史記．卷四九．外戚世家》：「丐沐沐我，請食飯我。」
2.給予。唐．韓愈〈江南西道觀察史贈左散騎常侍太原王公墓誌銘〉：「又出庫錢二千萬，以丐貧民遭旱不能供稅者。」
[名]
乞食的人。如：「乞丐」。唐．柳宗元〈寄許京兆孟容書〉：「皁隸傭丐，皆得上父母邱墓。」 |</v>
      </c>
    </row>
    <row r="5762" spans="1:44" hidden="1">
      <c r="A5762" s="1" t="s">
        <v>9695</v>
      </c>
      <c r="C5762" s="1">
        <v>1</v>
      </c>
      <c r="D5762" s="1" t="str">
        <f>"03978"</f>
        <v>03978</v>
      </c>
      <c r="E5762" s="1" t="s">
        <v>55</v>
      </c>
      <c r="F5762" s="1">
        <v>12</v>
      </c>
      <c r="G5762" s="1">
        <v>4</v>
      </c>
      <c r="H5762" s="1">
        <v>0</v>
      </c>
      <c r="I5762" s="1" t="s">
        <v>9692</v>
      </c>
      <c r="K5762" s="1" t="str">
        <f t="shared" si="371"/>
        <v>ㄍ</v>
      </c>
      <c r="L5762" s="1" t="str">
        <f t="shared" si="372"/>
        <v>ㄞ</v>
      </c>
      <c r="N5762" s="3" t="s">
        <v>30574</v>
      </c>
      <c r="O5762" s="3"/>
      <c r="P5762" s="1" t="s">
        <v>20</v>
      </c>
      <c r="R5762" s="1" t="s">
        <v>9693</v>
      </c>
      <c r="V5762" s="1" t="s">
        <v>9696</v>
      </c>
      <c r="AR5762" s="1" t="str">
        <f t="shared" si="368"/>
        <v>| [ㄍㄞˋ](ㄍㄞˋ.md) | [鈣](鈣.md) |  | gài | [名]
（calcium，Ca）化學元素。原子序20。鹼土金屬元素之一，銀白色，有光澤，稍硬於鉛，有延展性，潮溼空氣中氧化甚速。化學性質活潑，在自然界中以化合物存在。人體內存在於血漿和骨骼中。在煉鋼時可作為脫氧劑。 |</v>
      </c>
    </row>
    <row r="5763" spans="1:44" hidden="1">
      <c r="A5763" s="1" t="s">
        <v>9697</v>
      </c>
      <c r="C5763" s="1">
        <v>1</v>
      </c>
      <c r="D5763" s="1" t="str">
        <f>"03979"</f>
        <v>03979</v>
      </c>
      <c r="E5763" s="1" t="s">
        <v>129</v>
      </c>
      <c r="F5763" s="1">
        <v>12</v>
      </c>
      <c r="G5763" s="1">
        <v>9</v>
      </c>
      <c r="H5763" s="1">
        <v>0</v>
      </c>
      <c r="I5763" s="1" t="s">
        <v>9692</v>
      </c>
      <c r="K5763" s="1" t="str">
        <f t="shared" si="371"/>
        <v>ㄍ</v>
      </c>
      <c r="L5763" s="1" t="str">
        <f t="shared" si="372"/>
        <v>ㄞ</v>
      </c>
      <c r="N5763" s="3" t="s">
        <v>30574</v>
      </c>
      <c r="O5763" s="3"/>
      <c r="P5763" s="1" t="s">
        <v>20</v>
      </c>
      <c r="R5763" s="1" t="s">
        <v>9693</v>
      </c>
      <c r="V5763" s="1" t="s">
        <v>9698</v>
      </c>
      <c r="AR5763" s="1" t="str">
        <f t="shared" ref="AR5763:AR5826" si="373">"| ["&amp;I5763&amp;"]("&amp;I5763&amp;".md) | ["&amp;A5763&amp;"]("&amp;A5763&amp;".md) | "&amp;" | "&amp;R5763&amp;" | "&amp;V5763&amp;" |"</f>
        <v>| [ㄍㄞˋ](ㄍㄞˋ.md) | [溉](溉.md) |  | gài | [動]
1.灌注。《說文解字．水部》：「溉，灌注也。」如：「灌溉」。《史記．卷二十九．河渠書》：「其後漕稍多，而渠下之民頗得以溉田矣。」
2.洗滌。漢．王充《論衡．幸偶》：「皆之水也，或溉鼎釜，或澡腐臭。」 |</v>
      </c>
    </row>
    <row r="5764" spans="1:44" hidden="1">
      <c r="A5764" s="1" t="s">
        <v>9699</v>
      </c>
      <c r="C5764" s="1">
        <v>1</v>
      </c>
      <c r="D5764" s="1" t="str">
        <f>"03980"</f>
        <v>03980</v>
      </c>
      <c r="E5764" s="1" t="s">
        <v>139</v>
      </c>
      <c r="F5764" s="1">
        <v>13</v>
      </c>
      <c r="G5764" s="1">
        <v>9</v>
      </c>
      <c r="H5764" s="1">
        <v>0</v>
      </c>
      <c r="I5764" s="1" t="s">
        <v>9692</v>
      </c>
      <c r="K5764" s="1" t="str">
        <f t="shared" si="371"/>
        <v>ㄍ</v>
      </c>
      <c r="L5764" s="1" t="str">
        <f t="shared" si="372"/>
        <v>ㄞ</v>
      </c>
      <c r="N5764" s="3" t="s">
        <v>30574</v>
      </c>
      <c r="O5764" s="3"/>
      <c r="P5764" s="1" t="s">
        <v>20</v>
      </c>
      <c r="R5764" s="1" t="s">
        <v>9693</v>
      </c>
      <c r="V5764" s="1" t="s">
        <v>9700</v>
      </c>
      <c r="AR5764" s="1" t="str">
        <f t="shared" si="373"/>
        <v>| [ㄍㄞˋ](ㄍㄞˋ.md) | [概](概.md) |  | gài | [名]
1.古代量穀物時，刮平斗斛的器具。《新唐書．卷二二四．叛臣傳上．梁崇義傳》：「以概量業於市，力能舒鉤。」
2.度量、品格。如：「氣概」。《三國演義》第三八回：「飄飄然有神仙之概。」
3.大略的情況。如：「梗概」。
[動]
1.刮平。《北史．卷二一．燕鳳等傳．論曰》：「將器盈必概，陰害貽禍，何斯人而遭斯酷乎？」
2.總括。如：「以此一端，可概其餘。」
[形]
約略。如：「概況」、「概念」。
[副]
1.大略。如：「整件事情的經過，大概就是這樣了。」
2.一律。如：「貨物出門，概不退換。」 |</v>
      </c>
    </row>
    <row r="5765" spans="1:44" hidden="1">
      <c r="A5765" s="1" t="s">
        <v>9654</v>
      </c>
      <c r="C5765" s="1">
        <v>1</v>
      </c>
      <c r="D5765" s="1" t="str">
        <f>"03981"</f>
        <v>03981</v>
      </c>
      <c r="E5765" s="1" t="s">
        <v>37</v>
      </c>
      <c r="F5765" s="1">
        <v>14</v>
      </c>
      <c r="G5765" s="1">
        <v>10</v>
      </c>
      <c r="H5765" s="1">
        <v>1</v>
      </c>
      <c r="I5765" s="1" t="s">
        <v>9692</v>
      </c>
      <c r="K5765" s="1" t="str">
        <f t="shared" si="371"/>
        <v>ㄍ</v>
      </c>
      <c r="L5765" s="1" t="str">
        <f t="shared" si="372"/>
        <v>ㄞ</v>
      </c>
      <c r="N5765" s="3" t="s">
        <v>30574</v>
      </c>
      <c r="O5765" s="3"/>
      <c r="P5765" s="1" t="s">
        <v>20</v>
      </c>
      <c r="R5765" s="1" t="s">
        <v>9693</v>
      </c>
      <c r="V5765" s="1" t="s">
        <v>9701</v>
      </c>
      <c r="W5765" s="1" t="s">
        <v>9702</v>
      </c>
      <c r="AR5765" s="1" t="str">
        <f t="shared" si="373"/>
        <v>| [ㄍㄞˋ](ㄍㄞˋ.md) | [蓋](蓋.md) |  | gài | [名]
1.茅草。《說文解字．艸部》：「蓋，苫也。」《左傳．襄公十四年》：「乃祖吾離被苫蓋，蒙荊棘，以來歸我先君。」
2.有覆蓋功能的東西。如：「鍋蓋」、「鋪蓋」、「冠蓋相望」。《孔子家語．卷二．致思》：「孔子將行，雨而無蓋。」
[動]
1.覆蓋、遮蔽。如：「蓋被子」。《淮南子．說林》：「日月欲明，而浮雲蓋之。」
2.加上去、加在上面。如：「蓋章」、「蓋手印」、「蓋郵戳」。
3.超越。如：「英雄蓋世」。《史記．卷六．秦始皇本紀》：「功蓋五帝，澤及牛馬。」
4.搭建、構築。如：「蓋房子」、「蓋停車場」。
5.吹牛、胡扯。如：「少蓋了！」《朱子語類．卷三九．論語．先進篇上》：「這是大賢以上，聖人之事，他便把來蓋人，其疏曠多如此。」
[副]
大概。《論語．里仁》：「蓋有之矣，我未之見也。」
[連]
1.發語詞，提起下文，無義。《史記．卷一〇．孝文本紀》：「蓋天下萬物之萌生，靡不有死。」
2.乃是、實在是。《孝經．天子章》：「蓋天子之孝也。」《史記．卷四七．孔子世家》：「孔子母死，乃殯五父之衢，蓋其慎也。」 |</v>
      </c>
    </row>
    <row r="5766" spans="1:44" hidden="1">
      <c r="A5766" s="1" t="s">
        <v>9703</v>
      </c>
      <c r="C5766" s="1">
        <v>1</v>
      </c>
      <c r="D5766" s="1" t="str">
        <f>"03982"</f>
        <v>03982</v>
      </c>
      <c r="E5766" s="1" t="s">
        <v>4785</v>
      </c>
      <c r="F5766" s="1">
        <v>13</v>
      </c>
      <c r="G5766" s="1">
        <v>9</v>
      </c>
      <c r="H5766" s="1">
        <v>0</v>
      </c>
      <c r="I5766" s="1" t="s">
        <v>9692</v>
      </c>
      <c r="K5766" s="1" t="str">
        <f t="shared" si="371"/>
        <v>ㄍ</v>
      </c>
      <c r="L5766" s="1" t="str">
        <f t="shared" si="372"/>
        <v>ㄞ</v>
      </c>
      <c r="N5766" s="3" t="s">
        <v>30574</v>
      </c>
      <c r="O5766" s="3"/>
      <c r="P5766" s="1" t="s">
        <v>20</v>
      </c>
      <c r="R5766" s="1" t="s">
        <v>9693</v>
      </c>
      <c r="V5766" s="1" t="s">
        <v>9704</v>
      </c>
      <c r="AR5766" s="1" t="str">
        <f t="shared" si="373"/>
        <v>| [ㄍㄞˋ](ㄍㄞˋ.md) | [戤](戤.md) |  | gài | [動]
1.典押物品借貸錢財。《初刻拍案驚奇》卷三一：「不若將前面房子再去戤典他幾兩銀子來殯葬大郎。」
2.冒牌圖利。參見「影戤」條。
3.倚靠。《二刻拍案驚奇》卷一：「相傳此經值價不少。徒然守著他，救不得飢餓，真是戤米囤餓殺了。把他去當米，誠是算計。」《負曝閑談》第四回：「趕忙把手裡的雨傘往紅木炕床旁邊牆角上一戤。」 |</v>
      </c>
    </row>
    <row r="5767" spans="1:44" hidden="1">
      <c r="A5767" s="1" t="s">
        <v>9687</v>
      </c>
      <c r="C5767" s="1">
        <v>1</v>
      </c>
      <c r="D5767" s="1" t="str">
        <f>"03976"</f>
        <v>03976</v>
      </c>
      <c r="E5767" s="1" t="s">
        <v>426</v>
      </c>
      <c r="F5767" s="1">
        <v>7</v>
      </c>
      <c r="G5767" s="1">
        <v>3</v>
      </c>
      <c r="H5767" s="1">
        <v>0</v>
      </c>
      <c r="I5767" s="1" t="s">
        <v>9688</v>
      </c>
      <c r="K5767" s="1" t="str">
        <f t="shared" si="371"/>
        <v>ㄍ</v>
      </c>
      <c r="L5767" s="1" t="str">
        <f t="shared" si="372"/>
        <v>ㄞ</v>
      </c>
      <c r="N5767" s="3" t="s">
        <v>30576</v>
      </c>
      <c r="O5767" s="3"/>
      <c r="P5767" s="1" t="s">
        <v>20</v>
      </c>
      <c r="R5767" s="1" t="s">
        <v>9689</v>
      </c>
      <c r="V5767" s="1" t="s">
        <v>9690</v>
      </c>
      <c r="AR5767" s="1" t="str">
        <f t="shared" si="373"/>
        <v>| [ㄍㄞˇ](ㄍㄞˇ.md) | [改](改.md) |  | gǎi | [動]
修改、修正錯誤。如：「批改」、「改衣服」、「朝令夕改」、「知錯能改，善莫大焉。」
[名]
姓。如秦代有改產。 |</v>
      </c>
    </row>
    <row r="5768" spans="1:44" hidden="1">
      <c r="A5768" s="1" t="s">
        <v>9705</v>
      </c>
      <c r="C5768" s="1">
        <v>1</v>
      </c>
      <c r="D5768" s="1" t="str">
        <f>"03983"</f>
        <v>03983</v>
      </c>
      <c r="E5768" s="1" t="s">
        <v>725</v>
      </c>
      <c r="F5768" s="1">
        <v>12</v>
      </c>
      <c r="G5768" s="1">
        <v>6</v>
      </c>
      <c r="H5768" s="1">
        <v>2</v>
      </c>
      <c r="I5768" s="1" t="s">
        <v>9706</v>
      </c>
      <c r="K5768" s="1" t="str">
        <f t="shared" si="371"/>
        <v>ㄍ</v>
      </c>
      <c r="L5768" s="1" t="str">
        <f t="shared" si="372"/>
        <v>ㄟ</v>
      </c>
      <c r="N5768" s="3" t="s">
        <v>30576</v>
      </c>
      <c r="O5768" s="3"/>
      <c r="P5768" s="1" t="s">
        <v>20</v>
      </c>
      <c r="R5768" s="1" t="s">
        <v>9707</v>
      </c>
      <c r="V5768" s="1" t="s">
        <v>9708</v>
      </c>
      <c r="W5768" s="1" t="s">
        <v>9709</v>
      </c>
      <c r="AR5768" s="1" t="str">
        <f t="shared" si="373"/>
        <v>| [ㄍㄟˇ](ㄍㄟˇ.md) | [給](給.md) |  | gěi | [動]
1.交付。如：「我給他一本書。」
2.用某種動作對待別人。如：「給他一個教訓。」、「再給他一次機會吧！」
[介]
1.與。如：「送給」、「借給」、「留給」。
2.替、為。如：「你給我拿些吃的！」
3.向。如：「快給他道謝。」
4.被。如：「大家都給他騙了。」
[助]
加強語氣。如：「你給我閉嘴！」 |</v>
      </c>
    </row>
    <row r="5769" spans="1:44" hidden="1">
      <c r="A5769" s="1" t="s">
        <v>9762</v>
      </c>
      <c r="C5769" s="1">
        <v>1</v>
      </c>
      <c r="D5769" s="1" t="str">
        <f>"04005"</f>
        <v>04005</v>
      </c>
      <c r="E5769" s="1" t="s">
        <v>28</v>
      </c>
      <c r="F5769" s="1">
        <v>7</v>
      </c>
      <c r="G5769" s="1">
        <v>4</v>
      </c>
      <c r="H5769" s="1">
        <v>1</v>
      </c>
      <c r="I5769" s="1" t="s">
        <v>9763</v>
      </c>
      <c r="K5769" s="1" t="str">
        <f t="shared" si="371"/>
        <v>ㄍ</v>
      </c>
      <c r="L5769" s="1" t="str">
        <f t="shared" si="372"/>
        <v>ㄠ</v>
      </c>
      <c r="N5769" s="3" t="s">
        <v>30574</v>
      </c>
      <c r="O5769" s="3"/>
      <c r="P5769" s="1" t="s">
        <v>20</v>
      </c>
      <c r="R5769" s="1" t="s">
        <v>9764</v>
      </c>
      <c r="V5769" s="1" t="s">
        <v>9765</v>
      </c>
      <c r="W5769" s="1" t="s">
        <v>9766</v>
      </c>
      <c r="AR5769" s="1" t="str">
        <f t="shared" si="373"/>
        <v>| [ㄍㄠˋ](ㄍㄠˋ.md) | [告](告.md) |  | gào | [動]
1.訴說、報告。如：「告訴」、「告退」。《詩經．大雅．江漢》：「經營四方，告成于王。」
2.請求。如：「告饒」、「告假」、「告貸」。《國語．魯語上》：「國有饑饉，卿出告糴，古之制也。」
3.揭發、提出訴訟。如：「告狀」、「控告」。《韓非子．姦劫弒臣》：「商君說秦孝公以變法易俗，而明公道，賞告姦，困末作而利本事。」
[名]
1.對大眾宣布的語言或文字。如：「公告」、「廣告」、「文告」。
2.訴訟的兩方。如：「原告」、「被告」。
3.休假。宋．蘇軾〈乞郡劄子〉：「遣使存問，賜告養疾。」
4.姓。如戰國時有告不害。 |</v>
      </c>
    </row>
    <row r="5770" spans="1:44" hidden="1">
      <c r="A5770" s="1" t="s">
        <v>9767</v>
      </c>
      <c r="C5770" s="1">
        <v>1</v>
      </c>
      <c r="D5770" s="1" t="str">
        <f>"04006"</f>
        <v>04006</v>
      </c>
      <c r="E5770" s="1" t="s">
        <v>256</v>
      </c>
      <c r="F5770" s="1">
        <v>10</v>
      </c>
      <c r="G5770" s="1">
        <v>7</v>
      </c>
      <c r="H5770" s="1">
        <v>0</v>
      </c>
      <c r="I5770" s="1" t="s">
        <v>9763</v>
      </c>
      <c r="K5770" s="1" t="str">
        <f t="shared" si="371"/>
        <v>ㄍ</v>
      </c>
      <c r="L5770" s="1" t="str">
        <f t="shared" si="372"/>
        <v>ㄠ</v>
      </c>
      <c r="N5770" s="3" t="s">
        <v>30574</v>
      </c>
      <c r="O5770" s="3"/>
      <c r="P5770" s="1" t="s">
        <v>20</v>
      </c>
      <c r="R5770" s="1" t="s">
        <v>9764</v>
      </c>
      <c r="V5770" s="1" t="s">
        <v>9768</v>
      </c>
      <c r="AR5770" s="1" t="str">
        <f t="shared" si="373"/>
        <v>| [ㄍㄠˋ](ㄍㄠˋ.md) | [郜](郜.md) |  | gào | [名]
1.國名。周的姬姓諸侯之一，春秋時為宋所滅。故址位於今山東省城武縣東南。
2.地名。春秋時晉邑。約位於今大陸地區山西省祁縣西方。
3.姓。如清代有郜璉。 |</v>
      </c>
    </row>
    <row r="5771" spans="1:44" hidden="1">
      <c r="A5771" s="1" t="s">
        <v>9769</v>
      </c>
      <c r="C5771" s="1">
        <v>1</v>
      </c>
      <c r="D5771" s="1" t="str">
        <f>"04007"</f>
        <v>04007</v>
      </c>
      <c r="E5771" s="1" t="s">
        <v>331</v>
      </c>
      <c r="F5771" s="1">
        <v>14</v>
      </c>
      <c r="G5771" s="1">
        <v>7</v>
      </c>
      <c r="H5771" s="1">
        <v>0</v>
      </c>
      <c r="I5771" s="1" t="s">
        <v>9763</v>
      </c>
      <c r="K5771" s="1" t="str">
        <f t="shared" si="371"/>
        <v>ㄍ</v>
      </c>
      <c r="L5771" s="1" t="str">
        <f t="shared" si="372"/>
        <v>ㄠ</v>
      </c>
      <c r="N5771" s="3" t="s">
        <v>30574</v>
      </c>
      <c r="O5771" s="3"/>
      <c r="P5771" s="1" t="s">
        <v>20</v>
      </c>
      <c r="R5771" s="1" t="s">
        <v>9764</v>
      </c>
      <c r="V5771" s="1" t="s">
        <v>9770</v>
      </c>
      <c r="AR5771" s="1" t="str">
        <f t="shared" si="373"/>
        <v>| [ㄍㄠˋ](ㄍㄠˋ.md) | [誥](誥.md) |  | gào | [動]
上位者告諭下位者。《易經．姤卦．象曰》：「天下有風，姤，后以施命誥四方。」
[名]
文體名。古代用來告誡他人的文字，後成為君王諭令臣下的專用文體。如：「康誥」、「洛誥」、「酒誥」。 |</v>
      </c>
    </row>
    <row r="5772" spans="1:44" hidden="1">
      <c r="A5772" s="1" t="s">
        <v>9771</v>
      </c>
      <c r="C5772" s="1">
        <v>1</v>
      </c>
      <c r="D5772" s="1" t="str">
        <f>"04008"</f>
        <v>04008</v>
      </c>
      <c r="E5772" s="1" t="s">
        <v>55</v>
      </c>
      <c r="F5772" s="1">
        <v>15</v>
      </c>
      <c r="G5772" s="1">
        <v>7</v>
      </c>
      <c r="H5772" s="1">
        <v>0</v>
      </c>
      <c r="I5772" s="1" t="s">
        <v>9763</v>
      </c>
      <c r="K5772" s="1" t="str">
        <f t="shared" si="371"/>
        <v>ㄍ</v>
      </c>
      <c r="L5772" s="1" t="str">
        <f t="shared" si="372"/>
        <v>ㄠ</v>
      </c>
      <c r="N5772" s="3" t="s">
        <v>30574</v>
      </c>
      <c r="O5772" s="3"/>
      <c r="P5772" s="1" t="s">
        <v>20</v>
      </c>
      <c r="R5772" s="1" t="s">
        <v>9764</v>
      </c>
      <c r="V5772" s="1" t="s">
        <v>9772</v>
      </c>
      <c r="AR5772" s="1" t="str">
        <f t="shared" si="373"/>
        <v>| [ㄍㄠˋ](ㄍㄠˋ.md) | [鋯](鋯.md) |  | gào | [名]
（zirconium，Zr）化學元素。原子序40。過渡金屬元素之一。銀灰色有光澤，質地堅硬，具延展性。抗酸、鹼性強，耐腐蝕。可作為抗腐蝕性結構材料或製造外科器材。 |</v>
      </c>
    </row>
    <row r="5773" spans="1:44" hidden="1">
      <c r="A5773" s="1" t="s">
        <v>9726</v>
      </c>
      <c r="C5773" s="1">
        <v>1</v>
      </c>
      <c r="D5773" s="1" t="str">
        <f>"04009"</f>
        <v>04009</v>
      </c>
      <c r="E5773" s="1" t="s">
        <v>68</v>
      </c>
      <c r="F5773" s="1">
        <v>14</v>
      </c>
      <c r="G5773" s="1">
        <v>10</v>
      </c>
      <c r="H5773" s="1">
        <v>2</v>
      </c>
      <c r="I5773" s="1" t="s">
        <v>9763</v>
      </c>
      <c r="K5773" s="1" t="str">
        <f t="shared" si="371"/>
        <v>ㄍ</v>
      </c>
      <c r="L5773" s="1" t="str">
        <f t="shared" si="372"/>
        <v>ㄠ</v>
      </c>
      <c r="N5773" s="3" t="s">
        <v>30574</v>
      </c>
      <c r="O5773" s="3"/>
      <c r="P5773" s="1" t="s">
        <v>20</v>
      </c>
      <c r="R5773" s="1" t="s">
        <v>9764</v>
      </c>
      <c r="V5773" s="1" t="s">
        <v>9773</v>
      </c>
      <c r="W5773" s="1" t="s">
        <v>9774</v>
      </c>
      <c r="AR5773" s="1" t="str">
        <f t="shared" si="373"/>
        <v>| [ㄍㄠˋ](ㄍㄠˋ.md) | [膏](膏.md) |  | gào | [動]
1.潤滑、潤澤。《詩經．曹風．下泉》：「芃芃黍苗，陰雨膏之。」唐．韓愈〈送李愿歸盤谷序〉：「膏吾車兮秣吾馬，從子於盤兮終吾身以徜徉。」
2.蘸、沾。如：「膏筆」、「膏墨」。元．馮惟敏《不伏老》第一折：「題紙散下來了，俺子索磨的墨濃，膏的筆飽。」 |</v>
      </c>
    </row>
    <row r="5774" spans="1:44" hidden="1">
      <c r="A5774" s="1" t="s">
        <v>9742</v>
      </c>
      <c r="C5774" s="1">
        <v>1</v>
      </c>
      <c r="D5774" s="1" t="str">
        <f>"03997"</f>
        <v>03997</v>
      </c>
      <c r="E5774" s="1" t="s">
        <v>139</v>
      </c>
      <c r="F5774" s="1">
        <v>8</v>
      </c>
      <c r="G5774" s="1">
        <v>4</v>
      </c>
      <c r="H5774" s="1">
        <v>0</v>
      </c>
      <c r="I5774" s="1" t="s">
        <v>9743</v>
      </c>
      <c r="K5774" s="1" t="str">
        <f t="shared" si="371"/>
        <v>ㄍ</v>
      </c>
      <c r="L5774" s="1" t="str">
        <f t="shared" si="372"/>
        <v>ㄠ</v>
      </c>
      <c r="N5774" s="3" t="s">
        <v>30576</v>
      </c>
      <c r="O5774" s="3"/>
      <c r="P5774" s="1" t="s">
        <v>20</v>
      </c>
      <c r="R5774" s="1" t="s">
        <v>9744</v>
      </c>
      <c r="V5774" s="1" t="s">
        <v>9745</v>
      </c>
      <c r="AR5774" s="1" t="str">
        <f t="shared" si="373"/>
        <v>| [ㄍㄠˇ](ㄍㄠˇ.md) | [杲](杲.md) |  | gǎo | [形]
明亮的樣子。《說文解字．木部》：「杲，明也。」《詩經．衛風．伯兮》：「其雨其雨，杲杲出日。」
[名]
姓。如元代有杲元啟。 |</v>
      </c>
    </row>
    <row r="5775" spans="1:44" hidden="1">
      <c r="A5775" s="1" t="s">
        <v>9746</v>
      </c>
      <c r="C5775" s="1">
        <v>1</v>
      </c>
      <c r="D5775" s="1" t="str">
        <f>"03998"</f>
        <v>03998</v>
      </c>
      <c r="E5775" s="1" t="s">
        <v>24</v>
      </c>
      <c r="F5775" s="1">
        <v>13</v>
      </c>
      <c r="G5775" s="1">
        <v>10</v>
      </c>
      <c r="H5775" s="1">
        <v>0</v>
      </c>
      <c r="I5775" s="1" t="s">
        <v>9743</v>
      </c>
      <c r="K5775" s="1" t="str">
        <f t="shared" si="371"/>
        <v>ㄍ</v>
      </c>
      <c r="L5775" s="1" t="str">
        <f t="shared" si="372"/>
        <v>ㄠ</v>
      </c>
      <c r="N5775" s="3" t="s">
        <v>30576</v>
      </c>
      <c r="O5775" s="3"/>
      <c r="P5775" s="1" t="s">
        <v>20</v>
      </c>
      <c r="R5775" s="1" t="s">
        <v>9744</v>
      </c>
      <c r="V5775" s="1" t="s">
        <v>9747</v>
      </c>
      <c r="AR5775" s="1" t="str">
        <f t="shared" si="373"/>
        <v>| [ㄍㄠˇ](ㄍㄠˇ.md) | [搞](搞.md) |  | gǎo | [動]
做、從事。如：「搞砸」、「搞好」、「搞社團」。 |</v>
      </c>
    </row>
    <row r="5776" spans="1:44" hidden="1">
      <c r="A5776" s="1" t="s">
        <v>9748</v>
      </c>
      <c r="C5776" s="1">
        <v>1</v>
      </c>
      <c r="D5776" s="1" t="str">
        <f>"03999"</f>
        <v>03999</v>
      </c>
      <c r="E5776" s="1" t="s">
        <v>139</v>
      </c>
      <c r="F5776" s="1">
        <v>14</v>
      </c>
      <c r="G5776" s="1">
        <v>10</v>
      </c>
      <c r="H5776" s="1">
        <v>0</v>
      </c>
      <c r="I5776" s="1" t="s">
        <v>9743</v>
      </c>
      <c r="K5776" s="1" t="str">
        <f t="shared" si="371"/>
        <v>ㄍ</v>
      </c>
      <c r="L5776" s="1" t="str">
        <f t="shared" si="372"/>
        <v>ㄠ</v>
      </c>
      <c r="N5776" s="3" t="s">
        <v>30576</v>
      </c>
      <c r="O5776" s="3"/>
      <c r="P5776" s="1" t="s">
        <v>20</v>
      </c>
      <c r="R5776" s="1" t="s">
        <v>9744</v>
      </c>
      <c r="V5776" s="1" t="s">
        <v>9749</v>
      </c>
      <c r="AR5776" s="1" t="str">
        <f t="shared" si="373"/>
        <v>| [ㄍㄠˇ](ㄍㄠˇ.md) | [槁](槁.md) |  | gǎo | [形]
乾癟枯瘦的。如：「枯槁」、「槁木死灰」。《墨子．耕柱》：「舍今之人而譽先王，是譽槁骨也」。
[名]
枯木。《商君書．弱民》：「秦師至鄢郢，舉若振槁。」 |</v>
      </c>
    </row>
    <row r="5777" spans="1:44" hidden="1">
      <c r="A5777" s="1" t="s">
        <v>9750</v>
      </c>
      <c r="C5777" s="1">
        <v>1</v>
      </c>
      <c r="D5777" s="1" t="str">
        <f>"04000"</f>
        <v>04000</v>
      </c>
      <c r="E5777" s="1" t="s">
        <v>646</v>
      </c>
      <c r="F5777" s="1">
        <v>14</v>
      </c>
      <c r="G5777" s="1">
        <v>10</v>
      </c>
      <c r="H5777" s="1">
        <v>0</v>
      </c>
      <c r="I5777" s="1" t="s">
        <v>9743</v>
      </c>
      <c r="K5777" s="1" t="str">
        <f t="shared" si="371"/>
        <v>ㄍ</v>
      </c>
      <c r="L5777" s="1" t="str">
        <f t="shared" si="372"/>
        <v>ㄠ</v>
      </c>
      <c r="N5777" s="3" t="s">
        <v>30576</v>
      </c>
      <c r="O5777" s="3"/>
      <c r="P5777" s="1" t="s">
        <v>20</v>
      </c>
      <c r="R5777" s="1" t="s">
        <v>9744</v>
      </c>
      <c r="V5777" s="1" t="s">
        <v>9751</v>
      </c>
      <c r="AR5777" s="1" t="str">
        <f t="shared" si="373"/>
        <v>| [ㄍㄠˇ](ㄍㄠˇ.md) | [暠](暠.md) |  | gǎo | [副]
明亮潔白。《廣韻．上聲．皓韻》：「暠，明白也。」《漢書．卷五七．司馬相如傳下》：「暠然白首戴勝而穴處兮，亦幸有三足烏為之使。」 |</v>
      </c>
    </row>
    <row r="5778" spans="1:44" hidden="1">
      <c r="A5778" s="1" t="s">
        <v>9752</v>
      </c>
      <c r="C5778" s="1">
        <v>1</v>
      </c>
      <c r="D5778" s="1" t="str">
        <f>"04001"</f>
        <v>04001</v>
      </c>
      <c r="E5778" s="1" t="s">
        <v>429</v>
      </c>
      <c r="F5778" s="1">
        <v>15</v>
      </c>
      <c r="G5778" s="1">
        <v>10</v>
      </c>
      <c r="H5778" s="1">
        <v>0</v>
      </c>
      <c r="I5778" s="1" t="s">
        <v>9743</v>
      </c>
      <c r="K5778" s="1" t="str">
        <f t="shared" si="371"/>
        <v>ㄍ</v>
      </c>
      <c r="L5778" s="1" t="str">
        <f t="shared" si="372"/>
        <v>ㄠ</v>
      </c>
      <c r="N5778" s="3" t="s">
        <v>30576</v>
      </c>
      <c r="O5778" s="3"/>
      <c r="P5778" s="1" t="s">
        <v>20</v>
      </c>
      <c r="R5778" s="1" t="s">
        <v>9744</v>
      </c>
      <c r="V5778" s="1" t="s">
        <v>9753</v>
      </c>
      <c r="AR5778" s="1" t="str">
        <f t="shared" si="373"/>
        <v>| [ㄍㄠˇ](ㄍㄠˇ.md) | [稿](稿.md) |  | gǎo | [名]
1.稻草等植物的莖稈。《廣韻．上聲．皓韻》：「稿，禾稈。」《史記．卷五三．蕭相國世家》：「願令民得入田，毋收稿為禽獸食。」
2.未完成或已完成的文字、圖畫等。如：「草稿」、「畫稿」、「定稿」、「投稿」。
3.模樣。《紅樓夢》第二九回：「我看哥兒的這個形容身段，言談舉動，怎麼就同當日國公爺一個稿子。」 |</v>
      </c>
    </row>
    <row r="5779" spans="1:44" hidden="1">
      <c r="A5779" s="1" t="s">
        <v>9754</v>
      </c>
      <c r="C5779" s="1">
        <v>1</v>
      </c>
      <c r="D5779" s="1" t="str">
        <f>"04002"</f>
        <v>04002</v>
      </c>
      <c r="E5779" s="1" t="s">
        <v>725</v>
      </c>
      <c r="F5779" s="1">
        <v>16</v>
      </c>
      <c r="G5779" s="1">
        <v>10</v>
      </c>
      <c r="H5779" s="1">
        <v>0</v>
      </c>
      <c r="I5779" s="1" t="s">
        <v>9743</v>
      </c>
      <c r="K5779" s="1" t="str">
        <f t="shared" si="371"/>
        <v>ㄍ</v>
      </c>
      <c r="L5779" s="1" t="str">
        <f t="shared" si="372"/>
        <v>ㄠ</v>
      </c>
      <c r="N5779" s="3" t="s">
        <v>30576</v>
      </c>
      <c r="O5779" s="3"/>
      <c r="P5779" s="1" t="s">
        <v>20</v>
      </c>
      <c r="R5779" s="1" t="s">
        <v>9744</v>
      </c>
      <c r="V5779" s="1" t="s">
        <v>9755</v>
      </c>
      <c r="AR5779" s="1" t="str">
        <f t="shared" si="373"/>
        <v>| [ㄍㄠˇ](ㄍㄠˇ.md) | [縞](縞.md) |  | gǎo | [名]
白色的絲織品。漢．鼂錯〈論貴粟疏〉：「乘堅策肥，履絲曳縞。」
[形]
白色的。如：「縞素」。《詩經．鄭風．出其東門》：「縞衣綦巾，聊樂我員。」 |</v>
      </c>
    </row>
    <row r="5780" spans="1:44" hidden="1">
      <c r="A5780" s="1" t="s">
        <v>9756</v>
      </c>
      <c r="C5780" s="1">
        <v>1</v>
      </c>
      <c r="D5780" s="1" t="str">
        <f>"04003"</f>
        <v>04003</v>
      </c>
      <c r="E5780" s="1" t="s">
        <v>55</v>
      </c>
      <c r="F5780" s="1">
        <v>18</v>
      </c>
      <c r="G5780" s="1">
        <v>10</v>
      </c>
      <c r="H5780" s="1">
        <v>2</v>
      </c>
      <c r="I5780" s="1" t="s">
        <v>9743</v>
      </c>
      <c r="K5780" s="1" t="str">
        <f t="shared" si="371"/>
        <v>ㄍ</v>
      </c>
      <c r="L5780" s="1" t="str">
        <f t="shared" si="372"/>
        <v>ㄠ</v>
      </c>
      <c r="N5780" s="3" t="s">
        <v>30576</v>
      </c>
      <c r="O5780" s="3"/>
      <c r="P5780" s="1" t="s">
        <v>20</v>
      </c>
      <c r="R5780" s="1" t="s">
        <v>9744</v>
      </c>
      <c r="V5780" s="1" t="s">
        <v>9757</v>
      </c>
      <c r="W5780" s="1" t="s">
        <v>9758</v>
      </c>
      <c r="AR5780" s="1" t="str">
        <f t="shared" si="373"/>
        <v>| [ㄍㄠˇ](ㄍㄠˇ.md) | [鎬](鎬.md) |  | gǎo | [名]
類似鋤頭的農具，用來掘土。也稱為「十字鎬」。 |</v>
      </c>
    </row>
    <row r="5781" spans="1:44" hidden="1">
      <c r="A5781" s="1" t="s">
        <v>9759</v>
      </c>
      <c r="C5781" s="1">
        <v>1</v>
      </c>
      <c r="D5781" s="1" t="str">
        <f>"04004"</f>
        <v>04004</v>
      </c>
      <c r="E5781" s="1" t="s">
        <v>24</v>
      </c>
      <c r="F5781" s="1">
        <v>23</v>
      </c>
      <c r="G5781" s="1">
        <v>20</v>
      </c>
      <c r="H5781" s="1">
        <v>2</v>
      </c>
      <c r="I5781" s="1" t="s">
        <v>9743</v>
      </c>
      <c r="K5781" s="1" t="str">
        <f t="shared" si="371"/>
        <v>ㄍ</v>
      </c>
      <c r="L5781" s="1" t="str">
        <f t="shared" si="372"/>
        <v>ㄠ</v>
      </c>
      <c r="N5781" s="3" t="s">
        <v>30576</v>
      </c>
      <c r="O5781" s="3"/>
      <c r="P5781" s="1" t="s">
        <v>20</v>
      </c>
      <c r="R5781" s="1" t="s">
        <v>9744</v>
      </c>
      <c r="V5781" s="1" t="s">
        <v>9760</v>
      </c>
      <c r="W5781" s="1" t="s">
        <v>9761</v>
      </c>
      <c r="AR5781" s="1" t="str">
        <f t="shared" si="373"/>
        <v>| [ㄍㄠˇ](ㄍㄠˇ.md) | [攪](攪.md) |  | gǎo | [動]
1.作、弄。通「搞」。《文明小史》第四〇回：「你們終身的事，我也管不得許多，隨你攪去便了。」
2.造成、促成。如：「你攪了這爛攤子，看你怎麼收拾！」 |</v>
      </c>
    </row>
    <row r="5782" spans="1:44" hidden="1">
      <c r="A5782" s="1" t="s">
        <v>9775</v>
      </c>
      <c r="C5782" s="1">
        <v>1</v>
      </c>
      <c r="D5782" s="1" t="str">
        <f>"04028"</f>
        <v>04028</v>
      </c>
      <c r="E5782" s="1" t="s">
        <v>570</v>
      </c>
      <c r="F5782" s="1">
        <v>4</v>
      </c>
      <c r="G5782" s="1">
        <v>2</v>
      </c>
      <c r="H5782" s="1">
        <v>2</v>
      </c>
      <c r="I5782" s="1" t="s">
        <v>9819</v>
      </c>
      <c r="K5782" s="1" t="str">
        <f t="shared" si="371"/>
        <v>ㄍ</v>
      </c>
      <c r="L5782" s="1" t="str">
        <f t="shared" si="372"/>
        <v>ㄡ</v>
      </c>
      <c r="N5782" s="3" t="s">
        <v>30574</v>
      </c>
      <c r="O5782" s="3"/>
      <c r="P5782" s="1" t="s">
        <v>20</v>
      </c>
      <c r="R5782" s="1" t="s">
        <v>9820</v>
      </c>
      <c r="V5782" s="1" t="s">
        <v>9821</v>
      </c>
      <c r="W5782" s="1" t="s">
        <v>9822</v>
      </c>
      <c r="AR5782" s="1" t="str">
        <f t="shared" si="373"/>
        <v>| [ㄍㄡˋ](ㄍㄡˋ.md) | [勾](勾.md) |  | gòu | [動]
探取。如：「他伸長了手去勾架上的書。」
[副]
足夠。同「夠」。元．馬致遠《漢宮秋》第一折：「刷選室女，已選勾九十九名。」 |</v>
      </c>
    </row>
    <row r="5783" spans="1:44" hidden="1">
      <c r="A5783" s="1" t="s">
        <v>9782</v>
      </c>
      <c r="C5783" s="1">
        <v>1</v>
      </c>
      <c r="D5783" s="1" t="str">
        <f>"04029"</f>
        <v>04029</v>
      </c>
      <c r="E5783" s="1" t="s">
        <v>28</v>
      </c>
      <c r="F5783" s="1">
        <v>5</v>
      </c>
      <c r="G5783" s="1">
        <v>2</v>
      </c>
      <c r="H5783" s="1">
        <v>3</v>
      </c>
      <c r="I5783" s="1" t="s">
        <v>9819</v>
      </c>
      <c r="K5783" s="1" t="str">
        <f t="shared" si="371"/>
        <v>ㄍ</v>
      </c>
      <c r="L5783" s="1" t="str">
        <f t="shared" si="372"/>
        <v>ㄡ</v>
      </c>
      <c r="N5783" s="3" t="s">
        <v>30574</v>
      </c>
      <c r="O5783" s="3"/>
      <c r="P5783" s="1" t="s">
        <v>20</v>
      </c>
      <c r="R5783" s="1" t="s">
        <v>9820</v>
      </c>
      <c r="V5783" s="1" t="s">
        <v>9823</v>
      </c>
      <c r="W5783" s="1" t="s">
        <v>9824</v>
      </c>
      <c r="AR5783" s="1" t="str">
        <f t="shared" si="373"/>
        <v>| [ㄍㄡˋ](ㄍㄡˋ.md) | [句](句.md) |  | gòu | 同「勾」(二)。 |</v>
      </c>
    </row>
    <row r="5784" spans="1:44" hidden="1">
      <c r="A5784" s="1" t="s">
        <v>9825</v>
      </c>
      <c r="C5784" s="1">
        <v>1</v>
      </c>
      <c r="D5784" s="1" t="str">
        <f>"04030"</f>
        <v>04030</v>
      </c>
      <c r="E5784" s="1" t="s">
        <v>3347</v>
      </c>
      <c r="F5784" s="1">
        <v>11</v>
      </c>
      <c r="G5784" s="1">
        <v>8</v>
      </c>
      <c r="H5784" s="1">
        <v>0</v>
      </c>
      <c r="I5784" s="1" t="s">
        <v>9819</v>
      </c>
      <c r="K5784" s="1" t="str">
        <f t="shared" si="371"/>
        <v>ㄍ</v>
      </c>
      <c r="L5784" s="1" t="str">
        <f t="shared" si="372"/>
        <v>ㄡ</v>
      </c>
      <c r="N5784" s="3" t="s">
        <v>30574</v>
      </c>
      <c r="O5784" s="3"/>
      <c r="P5784" s="1" t="s">
        <v>20</v>
      </c>
      <c r="R5784" s="1" t="s">
        <v>9820</v>
      </c>
      <c r="V5784" s="1" t="s">
        <v>9826</v>
      </c>
      <c r="AR5784" s="1" t="str">
        <f t="shared" si="373"/>
        <v>| [ㄍㄡˋ](ㄍㄡˋ.md) | [夠](夠.md) |  | gòu | [副]
1.表示達到一定的數目。如：「這點錢不夠買件衣服。」、「這瓶飲料只夠一個人喝。」
2.表示達到適當程度。如：「夠快」、「夠好」、「菜夠不夠鹹？」、「戲演得夠不夠棒？」
3.膩、厭煩。如：「受夠」、「大魚大肉我已經吃夠了。」、「這種話我聽夠了。」 |</v>
      </c>
    </row>
    <row r="5785" spans="1:44" hidden="1">
      <c r="A5785" s="1" t="s">
        <v>9827</v>
      </c>
      <c r="C5785" s="1">
        <v>1</v>
      </c>
      <c r="D5785" s="1" t="str">
        <f>"04031"</f>
        <v>04031</v>
      </c>
      <c r="E5785" s="1" t="s">
        <v>5383</v>
      </c>
      <c r="F5785" s="1">
        <v>13</v>
      </c>
      <c r="G5785" s="1">
        <v>5</v>
      </c>
      <c r="H5785" s="1">
        <v>0</v>
      </c>
      <c r="I5785" s="1" t="s">
        <v>9819</v>
      </c>
      <c r="K5785" s="1" t="str">
        <f t="shared" si="371"/>
        <v>ㄍ</v>
      </c>
      <c r="L5785" s="1" t="str">
        <f t="shared" si="372"/>
        <v>ㄡ</v>
      </c>
      <c r="N5785" s="3" t="s">
        <v>30574</v>
      </c>
      <c r="O5785" s="3"/>
      <c r="P5785" s="1" t="s">
        <v>20</v>
      </c>
      <c r="R5785" s="1" t="s">
        <v>9820</v>
      </c>
      <c r="V5785" s="1" t="s">
        <v>9828</v>
      </c>
      <c r="AR5785" s="1" t="str">
        <f t="shared" si="373"/>
        <v>| [ㄍㄡˋ](ㄍㄡˋ.md) | [雊](雊.md) |  | gòu | [動]
雄雉鳴叫。《說文解字．隹部》：「雊，雄雉鳴也。」《詩經．小雅．小弁》：「雉之朝雊，尚求其雌。」 |</v>
      </c>
    </row>
    <row r="5786" spans="1:44" hidden="1">
      <c r="A5786" s="1" t="s">
        <v>9829</v>
      </c>
      <c r="C5786" s="1">
        <v>1</v>
      </c>
      <c r="D5786" s="1" t="str">
        <f>"04032"</f>
        <v>04032</v>
      </c>
      <c r="E5786" s="1" t="s">
        <v>132</v>
      </c>
      <c r="F5786" s="1">
        <v>9</v>
      </c>
      <c r="G5786" s="1">
        <v>6</v>
      </c>
      <c r="H5786" s="1">
        <v>0</v>
      </c>
      <c r="I5786" s="1" t="s">
        <v>9819</v>
      </c>
      <c r="K5786" s="1" t="str">
        <f t="shared" si="371"/>
        <v>ㄍ</v>
      </c>
      <c r="L5786" s="1" t="str">
        <f t="shared" si="372"/>
        <v>ㄡ</v>
      </c>
      <c r="N5786" s="3" t="s">
        <v>30574</v>
      </c>
      <c r="O5786" s="3"/>
      <c r="P5786" s="1" t="s">
        <v>20</v>
      </c>
      <c r="R5786" s="1" t="s">
        <v>9820</v>
      </c>
      <c r="V5786" s="1" t="s">
        <v>9830</v>
      </c>
      <c r="AR5786" s="1" t="str">
        <f t="shared" si="373"/>
        <v>| [ㄍㄡˋ](ㄍㄡˋ.md) | [垢](垢.md) |  | gòu | [名]
1.骯髒的東西。如：「汙垢」、「牙垢」、「油垢」。《文選．陸機．演連珠五〇首之一三》：「朗璞蒙垢，不能吐輝。」
2.瑕疵、缺點。唐．韓愈〈進學解〉：「爬羅剔抉，刮垢磨光。」
3.恥辱。《文選．曹植．上責躬應詔詩表》：「忍垢苟全，則犯詩人胡顏之譏。」
[形]
不清潔的。如：「蓬頭垢面」。 |</v>
      </c>
    </row>
    <row r="5787" spans="1:44" hidden="1">
      <c r="A5787" s="1" t="s">
        <v>9831</v>
      </c>
      <c r="C5787" s="1">
        <v>1</v>
      </c>
      <c r="D5787" s="1" t="str">
        <f>"04033"</f>
        <v>04033</v>
      </c>
      <c r="E5787" s="1" t="s">
        <v>534</v>
      </c>
      <c r="F5787" s="1">
        <v>9</v>
      </c>
      <c r="G5787" s="1">
        <v>6</v>
      </c>
      <c r="H5787" s="1">
        <v>0</v>
      </c>
      <c r="I5787" s="1" t="s">
        <v>9819</v>
      </c>
      <c r="K5787" s="1" t="str">
        <f t="shared" si="371"/>
        <v>ㄍ</v>
      </c>
      <c r="L5787" s="1" t="str">
        <f t="shared" si="372"/>
        <v>ㄡ</v>
      </c>
      <c r="N5787" s="3" t="s">
        <v>30574</v>
      </c>
      <c r="O5787" s="3"/>
      <c r="P5787" s="1" t="s">
        <v>20</v>
      </c>
      <c r="R5787" s="1" t="s">
        <v>9820</v>
      </c>
      <c r="V5787" s="1" t="s">
        <v>9832</v>
      </c>
      <c r="AR5787" s="1" t="str">
        <f t="shared" si="373"/>
        <v>| [ㄍㄡˋ](ㄍㄡˋ.md) | [姤](姤.md) |  | gòu | [形]
1.美好的。《管子．地員》：「士女皆好，其民工巧，其泉黃白，其人夷姤。」
2.邪惡的。《文選．張衡．思玄賦》：「咨姤嫮之難並兮，想依韓以流亡。」唐．李善．注：「姤，惡也。」
[名]
《易經》卦名。六十四卦之一。卦形為巽（☴）下乾（☰）上，象柔、剛相遇之義。 |</v>
      </c>
    </row>
    <row r="5788" spans="1:44" hidden="1">
      <c r="A5788" s="1" t="s">
        <v>9833</v>
      </c>
      <c r="C5788" s="1">
        <v>1</v>
      </c>
      <c r="D5788" s="1" t="str">
        <f>"04034"</f>
        <v>04034</v>
      </c>
      <c r="E5788" s="1" t="s">
        <v>558</v>
      </c>
      <c r="F5788" s="1">
        <v>10</v>
      </c>
      <c r="G5788" s="1">
        <v>6</v>
      </c>
      <c r="H5788" s="1">
        <v>2</v>
      </c>
      <c r="I5788" s="1" t="s">
        <v>9819</v>
      </c>
      <c r="K5788" s="1" t="str">
        <f t="shared" si="371"/>
        <v>ㄍ</v>
      </c>
      <c r="L5788" s="1" t="str">
        <f t="shared" si="372"/>
        <v>ㄡ</v>
      </c>
      <c r="N5788" s="3" t="s">
        <v>30574</v>
      </c>
      <c r="O5788" s="3"/>
      <c r="P5788" s="1" t="s">
        <v>110</v>
      </c>
      <c r="R5788" s="1" t="s">
        <v>9820</v>
      </c>
      <c r="V5788" s="1" t="s">
        <v>111</v>
      </c>
      <c r="W5788" s="1" t="s">
        <v>9834</v>
      </c>
      <c r="AR5788" s="1" t="str">
        <f t="shared" si="373"/>
        <v>| [ㄍㄡˋ](ㄍㄡˋ.md) | [逅](逅.md) |  | gòu | (一)之又音。 |</v>
      </c>
    </row>
    <row r="5789" spans="1:44" hidden="1">
      <c r="A5789" s="1" t="s">
        <v>9835</v>
      </c>
      <c r="C5789" s="1">
        <v>1</v>
      </c>
      <c r="D5789" s="1" t="str">
        <f>"04035"</f>
        <v>04035</v>
      </c>
      <c r="E5789" s="1" t="s">
        <v>331</v>
      </c>
      <c r="F5789" s="1">
        <v>13</v>
      </c>
      <c r="G5789" s="1">
        <v>6</v>
      </c>
      <c r="H5789" s="1">
        <v>0</v>
      </c>
      <c r="I5789" s="1" t="s">
        <v>9819</v>
      </c>
      <c r="K5789" s="1" t="str">
        <f t="shared" si="371"/>
        <v>ㄍ</v>
      </c>
      <c r="L5789" s="1" t="str">
        <f t="shared" si="372"/>
        <v>ㄡ</v>
      </c>
      <c r="N5789" s="3" t="s">
        <v>30574</v>
      </c>
      <c r="O5789" s="3"/>
      <c r="P5789" s="1" t="s">
        <v>20</v>
      </c>
      <c r="R5789" s="1" t="s">
        <v>9820</v>
      </c>
      <c r="V5789" s="1" t="s">
        <v>9836</v>
      </c>
      <c r="AR5789" s="1" t="str">
        <f t="shared" si="373"/>
        <v>| [ㄍㄡˋ](ㄍㄡˋ.md) | [詬](詬.md) |  | gòu | [名]
恥辱。《說文解字．言部》：「詬，謑詬，恥也。」《楚辭．屈原．離騷》：「屈心而抑志兮，忍尤而攘詬。」《史記．卷六六．伍子胥傳》：「員為人剛戾忍詬，能成大事。」
[動]
指責、責罵。如：「詬罵」、「為人所詬病。」《左傳．哀公八年》：「曹人詬之，不行。」 |</v>
      </c>
    </row>
    <row r="5790" spans="1:44" hidden="1">
      <c r="A5790" s="1" t="s">
        <v>9837</v>
      </c>
      <c r="C5790" s="1">
        <v>1</v>
      </c>
      <c r="D5790" s="1" t="str">
        <f>"04036"</f>
        <v>04036</v>
      </c>
      <c r="E5790" s="1" t="s">
        <v>2729</v>
      </c>
      <c r="F5790" s="1">
        <v>10</v>
      </c>
      <c r="G5790" s="1">
        <v>8</v>
      </c>
      <c r="H5790" s="1">
        <v>0</v>
      </c>
      <c r="I5790" s="1" t="s">
        <v>9819</v>
      </c>
      <c r="K5790" s="1" t="str">
        <f t="shared" si="371"/>
        <v>ㄍ</v>
      </c>
      <c r="L5790" s="1" t="str">
        <f t="shared" si="372"/>
        <v>ㄡ</v>
      </c>
      <c r="N5790" s="3" t="s">
        <v>30574</v>
      </c>
      <c r="O5790" s="3"/>
      <c r="P5790" s="1" t="s">
        <v>20</v>
      </c>
      <c r="R5790" s="1" t="s">
        <v>9820</v>
      </c>
      <c r="V5790" s="1" t="s">
        <v>9838</v>
      </c>
      <c r="AR5790" s="1" t="str">
        <f t="shared" si="373"/>
        <v>| [ㄍㄡˋ](ㄍㄡˋ.md) | [冓](冓.md) |  | gòu | [動]
架積木材。《說文解字．冓部》：「冓，交積材也。」清．段玉裁．注：「高注《淮南》曰：『構，架也，木材相乘也。』……今字構行而冓癈矣。」
[名]
內室，宮室的深密處。《詩經．鄘風．牆有茨》：「中冓之言，不可道也。」《漢書．卷四七．文三王傳．梁懷王劉揖傳》：「是故帝王之意，不窺人閨門之私，聽聞中冓之言。」 |</v>
      </c>
    </row>
    <row r="5791" spans="1:44" hidden="1">
      <c r="A5791" s="1" t="s">
        <v>9839</v>
      </c>
      <c r="C5791" s="1">
        <v>1</v>
      </c>
      <c r="D5791" s="1" t="str">
        <f>"04037"</f>
        <v>04037</v>
      </c>
      <c r="E5791" s="1" t="s">
        <v>24</v>
      </c>
      <c r="F5791" s="1">
        <v>13</v>
      </c>
      <c r="G5791" s="1">
        <v>10</v>
      </c>
      <c r="H5791" s="1">
        <v>0</v>
      </c>
      <c r="I5791" s="1" t="s">
        <v>9819</v>
      </c>
      <c r="K5791" s="1" t="str">
        <f t="shared" si="371"/>
        <v>ㄍ</v>
      </c>
      <c r="L5791" s="1" t="str">
        <f t="shared" si="372"/>
        <v>ㄡ</v>
      </c>
      <c r="N5791" s="3" t="s">
        <v>30574</v>
      </c>
      <c r="O5791" s="3"/>
      <c r="P5791" s="1" t="s">
        <v>20</v>
      </c>
      <c r="R5791" s="1" t="s">
        <v>9820</v>
      </c>
      <c r="V5791" s="1" t="s">
        <v>9840</v>
      </c>
      <c r="AR5791" s="1" t="str">
        <f t="shared" si="373"/>
        <v>| [ㄍㄡˋ](ㄍㄡˋ.md) | [搆](搆.md) |  | gòu | [動]
1.引起、造成。同「構」。如：「搆疾」、「搆怨」。《孟子．告子下》：「吾聞秦楚搆兵，我將見楚王說而罷之。」
2.搭建。如：「搆木為巢」。
3.觸及。如：「藥品應放在小孩搆不著的地方才安全。」 |</v>
      </c>
    </row>
    <row r="5792" spans="1:44" hidden="1">
      <c r="A5792" s="1" t="s">
        <v>9841</v>
      </c>
      <c r="C5792" s="1">
        <v>1</v>
      </c>
      <c r="D5792" s="1" t="str">
        <f>"04038"</f>
        <v>04038</v>
      </c>
      <c r="E5792" s="1" t="s">
        <v>534</v>
      </c>
      <c r="F5792" s="1">
        <v>13</v>
      </c>
      <c r="G5792" s="1">
        <v>10</v>
      </c>
      <c r="H5792" s="1">
        <v>0</v>
      </c>
      <c r="I5792" s="1" t="s">
        <v>9819</v>
      </c>
      <c r="K5792" s="1" t="str">
        <f t="shared" si="371"/>
        <v>ㄍ</v>
      </c>
      <c r="L5792" s="1" t="str">
        <f t="shared" si="372"/>
        <v>ㄡ</v>
      </c>
      <c r="N5792" s="3" t="s">
        <v>30574</v>
      </c>
      <c r="O5792" s="3"/>
      <c r="P5792" s="1" t="s">
        <v>20</v>
      </c>
      <c r="R5792" s="1" t="s">
        <v>9820</v>
      </c>
      <c r="V5792" s="1" t="s">
        <v>9842</v>
      </c>
      <c r="AR5792" s="1" t="str">
        <f t="shared" si="373"/>
        <v>| [ㄍㄡˋ](ㄍㄡˋ.md) | [媾](媾.md) |  | gòu | [名]
原指表親相互締結為婚，後泛指婚姻。《易經．屯卦．象曰》：「乘馬斑如，匪寇婚媾。」
[動]
1.交配、交合。如：「交媾」。
2.議和、講和。如：「媾和」。《史記．卷七六．平原君虞卿傳》：「秦既解邯鄲圍，而趙王入朝，使趙郝約事於秦，割六縣而媾。」 |</v>
      </c>
    </row>
    <row r="5793" spans="1:44" hidden="1">
      <c r="A5793" s="1" t="s">
        <v>9843</v>
      </c>
      <c r="C5793" s="1">
        <v>1</v>
      </c>
      <c r="D5793" s="1" t="str">
        <f>"04039"</f>
        <v>04039</v>
      </c>
      <c r="E5793" s="1" t="s">
        <v>558</v>
      </c>
      <c r="F5793" s="1">
        <v>14</v>
      </c>
      <c r="G5793" s="1">
        <v>10</v>
      </c>
      <c r="H5793" s="1">
        <v>0</v>
      </c>
      <c r="I5793" s="1" t="s">
        <v>9819</v>
      </c>
      <c r="K5793" s="1" t="str">
        <f t="shared" si="371"/>
        <v>ㄍ</v>
      </c>
      <c r="L5793" s="1" t="str">
        <f t="shared" si="372"/>
        <v>ㄡ</v>
      </c>
      <c r="N5793" s="3" t="s">
        <v>30574</v>
      </c>
      <c r="O5793" s="3"/>
      <c r="P5793" s="1" t="s">
        <v>20</v>
      </c>
      <c r="R5793" s="1" t="s">
        <v>9820</v>
      </c>
      <c r="V5793" s="1" t="s">
        <v>9844</v>
      </c>
      <c r="AR5793" s="1" t="str">
        <f t="shared" si="373"/>
        <v>| [ㄍㄡˋ](ㄍㄡˋ.md) | [遘](遘.md) |  | gòu | [動]
1.遇見、遭遇。《說文解字．辵部》：「遘，遇也。」《聊齋志異．卷一．青鳳》：「適與婢子戲，遘此大厄。」
2.製造、造成。同「構」。《文選．王粲．七哀詩二首之一》：「西京亂無象，豺虎方遘患。」 |</v>
      </c>
    </row>
    <row r="5794" spans="1:44" hidden="1">
      <c r="A5794" s="1" t="s">
        <v>9845</v>
      </c>
      <c r="C5794" s="1">
        <v>1</v>
      </c>
      <c r="D5794" s="1" t="str">
        <f>"04040"</f>
        <v>04040</v>
      </c>
      <c r="E5794" s="1" t="s">
        <v>139</v>
      </c>
      <c r="F5794" s="1">
        <v>14</v>
      </c>
      <c r="G5794" s="1">
        <v>10</v>
      </c>
      <c r="H5794" s="1">
        <v>0</v>
      </c>
      <c r="I5794" s="1" t="s">
        <v>9819</v>
      </c>
      <c r="K5794" s="1" t="str">
        <f t="shared" si="371"/>
        <v>ㄍ</v>
      </c>
      <c r="L5794" s="1" t="str">
        <f t="shared" si="372"/>
        <v>ㄡ</v>
      </c>
      <c r="N5794" s="3" t="s">
        <v>30574</v>
      </c>
      <c r="O5794" s="3"/>
      <c r="P5794" s="1" t="s">
        <v>20</v>
      </c>
      <c r="R5794" s="1" t="s">
        <v>9820</v>
      </c>
      <c r="V5794" s="1" t="s">
        <v>9846</v>
      </c>
      <c r="AR5794" s="1" t="str">
        <f t="shared" si="373"/>
        <v>| [ㄍㄡˋ](ㄍㄡˋ.md) | [構](構.md) |  | gòu | [動]
1.搭蓋、建築。如：「構築」、「構屋結舍」。《淮南子．氾論》：「築土構木，以為宮室」。
2.結集、造成。如：「構怨」。《詩經．小雅．四月》：「我日構禍，曷云能穀！」《荀子．勸學》：「邪穢在身，怨之所構。」
3.策畫、運用。如：「構思」。
4.設計陷害。如：「構陷」。《淮南子．說林》：「紂醢梅伯，文王與諸侯構之。」
5.挑撥離間。《左傳．僖公三十三年》：「彼實構吾二君，寡君若得而食之，不厭。」《文選．李康．運命論》：「得失不能疑其志，讒構不能離其交。」
[名]
1.建築物。晉．陸雲〈歲暮賦〉：「悲山林之杳藹兮，痛華構之丘荒。」明．徐弘祖《徐霞客遊記．卷六下．滇遊日記五》：「此古迦葉殿近因頂有新構，遂稱此為寺云。」
2.組織。如：「結構」、「架構」、「機構」。 |</v>
      </c>
    </row>
    <row r="5795" spans="1:44" hidden="1">
      <c r="A5795" s="1" t="s">
        <v>9847</v>
      </c>
      <c r="C5795" s="1">
        <v>1</v>
      </c>
      <c r="D5795" s="1" t="str">
        <f>"04041"</f>
        <v>04041</v>
      </c>
      <c r="E5795" s="1" t="s">
        <v>2233</v>
      </c>
      <c r="F5795" s="1">
        <v>17</v>
      </c>
      <c r="G5795" s="1">
        <v>10</v>
      </c>
      <c r="H5795" s="1">
        <v>0</v>
      </c>
      <c r="I5795" s="1" t="s">
        <v>9819</v>
      </c>
      <c r="K5795" s="1" t="str">
        <f t="shared" si="371"/>
        <v>ㄍ</v>
      </c>
      <c r="L5795" s="1" t="str">
        <f t="shared" si="372"/>
        <v>ㄡ</v>
      </c>
      <c r="N5795" s="3" t="s">
        <v>30574</v>
      </c>
      <c r="O5795" s="3"/>
      <c r="P5795" s="1" t="s">
        <v>20</v>
      </c>
      <c r="R5795" s="1" t="s">
        <v>9820</v>
      </c>
      <c r="V5795" s="1" t="s">
        <v>9848</v>
      </c>
      <c r="AR5795" s="1" t="str">
        <f t="shared" si="373"/>
        <v>| [ㄍㄡˋ](ㄍㄡˋ.md) | [覯](覯.md) |  | gòu | [動]
1.遇見、遭遇。通「遘」、「逅」。《說文解字．見部》：「覯，遇見也。」《詩經．大雅．公劉》：「迺陟南岡，乃覯于京。」晉．陶淵明〈答龐參軍詩〉：「我求良友，實覯懷人。」
2.造成、構成。同「構」。《左傳．成公六年》：「郇瑕氏土薄水淺，其惡易覯。」 |</v>
      </c>
    </row>
    <row r="5796" spans="1:44" hidden="1">
      <c r="A5796" s="1" t="s">
        <v>9849</v>
      </c>
      <c r="C5796" s="1">
        <v>1</v>
      </c>
      <c r="D5796" s="1" t="str">
        <f>"04042"</f>
        <v>04042</v>
      </c>
      <c r="E5796" s="1" t="s">
        <v>505</v>
      </c>
      <c r="F5796" s="1">
        <v>17</v>
      </c>
      <c r="G5796" s="1">
        <v>10</v>
      </c>
      <c r="H5796" s="1">
        <v>0</v>
      </c>
      <c r="I5796" s="1" t="s">
        <v>9819</v>
      </c>
      <c r="K5796" s="1" t="str">
        <f t="shared" si="371"/>
        <v>ㄍ</v>
      </c>
      <c r="L5796" s="1" t="str">
        <f t="shared" si="372"/>
        <v>ㄡ</v>
      </c>
      <c r="N5796" s="3" t="s">
        <v>30574</v>
      </c>
      <c r="O5796" s="3"/>
      <c r="P5796" s="1" t="s">
        <v>20</v>
      </c>
      <c r="R5796" s="1" t="s">
        <v>9820</v>
      </c>
      <c r="V5796" s="1" t="s">
        <v>9850</v>
      </c>
      <c r="AR5796" s="1" t="str">
        <f t="shared" si="373"/>
        <v>| [ㄍㄡˋ](ㄍㄡˋ.md) | [購](購.md) |  | gòu | [動]_x000D_
1.懸賞。《說文解字．貝部》：「購，以財有所求也。」《史記．卷九二．淮陰侯列傳》：「信乃令軍中勿殺廣武君，有能生得者購千金。」_x000D_
2.買。如：「採購」、「郵購」。清．龔自珍〈病梅館記〉：「予購三百盆，皆病者，無一完者。」_x000D_
3.交好、聯合。通「媾」。《史記．卷八六．刺客列傳．荊軻》：「請西約三晉，南連齊、楚，北購於單于。」 |</v>
      </c>
    </row>
    <row r="5797" spans="1:44" hidden="1">
      <c r="A5797" s="1" t="s">
        <v>9851</v>
      </c>
      <c r="C5797" s="1">
        <v>1</v>
      </c>
      <c r="D5797" s="1" t="str">
        <f>"04043"</f>
        <v>04043</v>
      </c>
      <c r="E5797" s="1" t="s">
        <v>103</v>
      </c>
      <c r="F5797" s="1">
        <v>13</v>
      </c>
      <c r="G5797" s="1">
        <v>10</v>
      </c>
      <c r="H5797" s="1">
        <v>0</v>
      </c>
      <c r="I5797" s="1" t="s">
        <v>9819</v>
      </c>
      <c r="K5797" s="1" t="str">
        <f t="shared" si="371"/>
        <v>ㄍ</v>
      </c>
      <c r="L5797" s="1" t="str">
        <f t="shared" si="372"/>
        <v>ㄡ</v>
      </c>
      <c r="N5797" s="3" t="s">
        <v>30574</v>
      </c>
      <c r="O5797" s="3"/>
      <c r="P5797" s="1" t="s">
        <v>20</v>
      </c>
      <c r="R5797" s="1" t="s">
        <v>9820</v>
      </c>
      <c r="V5797" s="1" t="s">
        <v>9852</v>
      </c>
      <c r="AR5797" s="1" t="str">
        <f t="shared" si="373"/>
        <v>| [ㄍㄡˋ](ㄍㄡˋ.md) | [彀](彀.md) |  | gòu | [動]
拉滿弓，準備射箭。《說文解字．弓部》：「彀，張弩也。」《列子．湯問》：「甘繩，古之善射者，彀弓而獸伏鳥下。」
[名]
1.箭所能及的範圍。《莊子．德充符》：「遊於羿之彀中，中央者中地也。」
2.比喻勢力範圍。五代漢．王定保《唐摭言．卷一．述進士上篇》：「嘗私幸端門，見新進士綴行而出，喜曰：『天下英雄入吾彀中矣。』」
[形]
善射的。《漢書．卷五〇．馮唐傳》：「選車千三百乘，彀騎萬三千匹。」《宋史．卷四五一．忠義傳六．張世傑傳》：「元帥阿朮載彀士以火矢攻之，世傑兵亂，無敢發碇。」
[副]
足夠。同「夠」。《儒林外史》第二回：「合攏了不彀一個月飯食。」 |</v>
      </c>
    </row>
    <row r="5798" spans="1:44" hidden="1">
      <c r="A5798" s="1" t="s">
        <v>9803</v>
      </c>
      <c r="C5798" s="1">
        <v>1</v>
      </c>
      <c r="D5798" s="1" t="str">
        <f>"04021"</f>
        <v>04021</v>
      </c>
      <c r="E5798" s="1" t="s">
        <v>190</v>
      </c>
      <c r="F5798" s="1">
        <v>8</v>
      </c>
      <c r="G5798" s="1">
        <v>5</v>
      </c>
      <c r="H5798" s="1">
        <v>0</v>
      </c>
      <c r="I5798" s="1" t="s">
        <v>9804</v>
      </c>
      <c r="K5798" s="1" t="str">
        <f t="shared" si="371"/>
        <v>ㄍ</v>
      </c>
      <c r="L5798" s="1" t="str">
        <f t="shared" si="372"/>
        <v>ㄡ</v>
      </c>
      <c r="N5798" s="3" t="s">
        <v>30576</v>
      </c>
      <c r="O5798" s="3"/>
      <c r="P5798" s="1" t="s">
        <v>20</v>
      </c>
      <c r="R5798" s="1" t="s">
        <v>9805</v>
      </c>
      <c r="V5798" s="1" t="s">
        <v>9806</v>
      </c>
      <c r="AR5798" s="1" t="str">
        <f t="shared" si="373"/>
        <v>| [ㄍㄡˇ](ㄍㄡˇ.md) | [岣](岣.md) |  | gǒu | 參見「岣嶁」、「岣嶁碑」等條。 |</v>
      </c>
    </row>
    <row r="5799" spans="1:44" hidden="1">
      <c r="A5799" s="1" t="s">
        <v>9807</v>
      </c>
      <c r="C5799" s="1">
        <v>1</v>
      </c>
      <c r="D5799" s="1" t="str">
        <f>"04022"</f>
        <v>04022</v>
      </c>
      <c r="E5799" s="1" t="s">
        <v>198</v>
      </c>
      <c r="F5799" s="1">
        <v>8</v>
      </c>
      <c r="G5799" s="1">
        <v>5</v>
      </c>
      <c r="H5799" s="1">
        <v>0</v>
      </c>
      <c r="I5799" s="1" t="s">
        <v>9804</v>
      </c>
      <c r="K5799" s="1" t="str">
        <f t="shared" si="371"/>
        <v>ㄍ</v>
      </c>
      <c r="L5799" s="1" t="str">
        <f t="shared" si="372"/>
        <v>ㄡ</v>
      </c>
      <c r="N5799" s="3" t="s">
        <v>30576</v>
      </c>
      <c r="O5799" s="3"/>
      <c r="P5799" s="1" t="s">
        <v>20</v>
      </c>
      <c r="R5799" s="1" t="s">
        <v>9805</v>
      </c>
      <c r="V5799" s="1" t="s">
        <v>9808</v>
      </c>
      <c r="AR5799" s="1" t="str">
        <f t="shared" si="373"/>
        <v>| [ㄍㄡˇ](ㄍㄡˇ.md) | [狗](狗.md) |  | gǒu | [名]
1.食肉犬科動物的通稱。種類很多，嗅覺和聽覺都很靈敏，可訓練來追蹤、守衛、導盲、救生或飼為寵物，且性忠誠，為人類之友。
2.姓。如漢代有狗未央。
[動]
諂媚奉承。如：「底下的人專會狗著他。」 |</v>
      </c>
    </row>
    <row r="5800" spans="1:44" hidden="1">
      <c r="A5800" s="1" t="s">
        <v>9809</v>
      </c>
      <c r="C5800" s="1">
        <v>1</v>
      </c>
      <c r="D5800" s="1" t="str">
        <f>"04023"</f>
        <v>04023</v>
      </c>
      <c r="E5800" s="1" t="s">
        <v>2975</v>
      </c>
      <c r="F5800" s="1">
        <v>9</v>
      </c>
      <c r="G5800" s="1">
        <v>5</v>
      </c>
      <c r="H5800" s="1">
        <v>0</v>
      </c>
      <c r="I5800" s="1" t="s">
        <v>9804</v>
      </c>
      <c r="K5800" s="1" t="str">
        <f t="shared" si="371"/>
        <v>ㄍ</v>
      </c>
      <c r="L5800" s="1" t="str">
        <f t="shared" si="372"/>
        <v>ㄡ</v>
      </c>
      <c r="N5800" s="3" t="s">
        <v>30576</v>
      </c>
      <c r="O5800" s="3"/>
      <c r="P5800" s="1" t="s">
        <v>20</v>
      </c>
      <c r="R5800" s="1" t="s">
        <v>9805</v>
      </c>
      <c r="V5800" s="1" t="s">
        <v>9810</v>
      </c>
      <c r="AR5800" s="1" t="str">
        <f t="shared" si="373"/>
        <v>| [ㄍㄡˇ](ㄍㄡˇ.md) | [耇](耇.md) |  | gǒu | [名]
背彎曲，面有壽斑的高壽老人。《文選．于令升．晉紀總論》：「內睦九族，外尊事黃耇。」 |</v>
      </c>
    </row>
    <row r="5801" spans="1:44" hidden="1">
      <c r="A5801" s="1" t="s">
        <v>9785</v>
      </c>
      <c r="C5801" s="1">
        <v>1</v>
      </c>
      <c r="D5801" s="1" t="str">
        <f>"04024"</f>
        <v>04024</v>
      </c>
      <c r="E5801" s="1" t="s">
        <v>139</v>
      </c>
      <c r="F5801" s="1">
        <v>9</v>
      </c>
      <c r="G5801" s="1">
        <v>5</v>
      </c>
      <c r="H5801" s="1">
        <v>1</v>
      </c>
      <c r="I5801" s="1" t="s">
        <v>9804</v>
      </c>
      <c r="K5801" s="1" t="str">
        <f t="shared" si="371"/>
        <v>ㄍ</v>
      </c>
      <c r="L5801" s="1" t="str">
        <f t="shared" si="372"/>
        <v>ㄡ</v>
      </c>
      <c r="N5801" s="3" t="s">
        <v>30576</v>
      </c>
      <c r="O5801" s="3"/>
      <c r="P5801" s="1" t="s">
        <v>20</v>
      </c>
      <c r="R5801" s="1" t="s">
        <v>9805</v>
      </c>
      <c r="V5801" s="1" t="s">
        <v>9811</v>
      </c>
      <c r="W5801" s="1" t="s">
        <v>9812</v>
      </c>
      <c r="AR5801" s="1" t="str">
        <f t="shared" si="373"/>
        <v>| [ㄍㄡˇ](ㄍㄡˇ.md) | [枸](枸.md) |  | gǒu | 參見「枸杞」、「枸骨」等條。 |</v>
      </c>
    </row>
    <row r="5802" spans="1:44" hidden="1">
      <c r="A5802" s="1" t="s">
        <v>9813</v>
      </c>
      <c r="C5802" s="1">
        <v>1</v>
      </c>
      <c r="D5802" s="1" t="str">
        <f>"04025"</f>
        <v>04025</v>
      </c>
      <c r="E5802" s="1" t="s">
        <v>37</v>
      </c>
      <c r="F5802" s="1">
        <v>9</v>
      </c>
      <c r="G5802" s="1">
        <v>5</v>
      </c>
      <c r="H5802" s="1">
        <v>0</v>
      </c>
      <c r="I5802" s="1" t="s">
        <v>9804</v>
      </c>
      <c r="K5802" s="1" t="str">
        <f t="shared" si="371"/>
        <v>ㄍ</v>
      </c>
      <c r="L5802" s="1" t="str">
        <f t="shared" si="372"/>
        <v>ㄡ</v>
      </c>
      <c r="N5802" s="3" t="s">
        <v>30576</v>
      </c>
      <c r="O5802" s="3"/>
      <c r="P5802" s="1" t="s">
        <v>20</v>
      </c>
      <c r="R5802" s="1" t="s">
        <v>9805</v>
      </c>
      <c r="V5802" s="1" t="s">
        <v>9814</v>
      </c>
      <c r="AR5802" s="1" t="str">
        <f t="shared" si="373"/>
        <v>| [ㄍㄡˇ](ㄍㄡˇ.md) | [苟](苟.md) |  | gǒu | [副]
姑且、暫且。如：「苟同」、「苟安」、「苟延殘喘」。《禮記．曲禮上》：「臨財毋苟得，臨難毋苟免。」唐．柳宗元〈哭連州凌員外司馬〉詩：「恬死百憂盡，苟生萬慮滋。」
[形]
隨便、草率。如：「一絲不苟」。
[連]
1.如果、假設。《論語．里仁》：「苟志於仁矣，無惡也。」唐．柳宗元〈與韓愈論史官書〉：「道苟直，雖死不可回也。」
2.乃、才。《楚辭．屈原．離騷》：「夫惟聖哲以茂行兮，苟得用此下土。」
[名]
姓。如漢代有苟參。 |</v>
      </c>
    </row>
    <row r="5803" spans="1:44" hidden="1">
      <c r="A5803" s="1" t="s">
        <v>9815</v>
      </c>
      <c r="C5803" s="1">
        <v>1</v>
      </c>
      <c r="D5803" s="1" t="str">
        <f>"04026"</f>
        <v>04026</v>
      </c>
      <c r="E5803" s="1" t="s">
        <v>49</v>
      </c>
      <c r="F5803" s="1">
        <v>11</v>
      </c>
      <c r="G5803" s="1">
        <v>5</v>
      </c>
      <c r="H5803" s="1">
        <v>0</v>
      </c>
      <c r="I5803" s="1" t="s">
        <v>9804</v>
      </c>
      <c r="K5803" s="1" t="str">
        <f t="shared" si="371"/>
        <v>ㄍ</v>
      </c>
      <c r="L5803" s="1" t="str">
        <f t="shared" si="372"/>
        <v>ㄡ</v>
      </c>
      <c r="N5803" s="3" t="s">
        <v>30576</v>
      </c>
      <c r="O5803" s="3"/>
      <c r="P5803" s="1" t="s">
        <v>20</v>
      </c>
      <c r="R5803" s="1" t="s">
        <v>9805</v>
      </c>
      <c r="V5803" s="1" t="s">
        <v>9816</v>
      </c>
      <c r="AR5803" s="1" t="str">
        <f t="shared" si="373"/>
        <v>| [ㄍㄡˇ](ㄍㄡˇ.md) | [笱](笱.md) |  | gǒu | [名]
竹製的捕魚器具。《說文解字．句部》：「笱，曲竹捕魚笱也。」《詩經．邶風．谷風》：「毋逝我梁，毋發我笱。」 |</v>
      </c>
    </row>
    <row r="5804" spans="1:44" hidden="1">
      <c r="A5804" s="1" t="s">
        <v>9817</v>
      </c>
      <c r="C5804" s="1">
        <v>1</v>
      </c>
      <c r="D5804" s="1" t="str">
        <f>"04027"</f>
        <v>04027</v>
      </c>
      <c r="E5804" s="1" t="s">
        <v>37</v>
      </c>
      <c r="F5804" s="1">
        <v>10</v>
      </c>
      <c r="G5804" s="1">
        <v>6</v>
      </c>
      <c r="H5804" s="1">
        <v>0</v>
      </c>
      <c r="I5804" s="1" t="s">
        <v>9804</v>
      </c>
      <c r="K5804" s="1" t="str">
        <f t="shared" si="371"/>
        <v>ㄍ</v>
      </c>
      <c r="L5804" s="1" t="str">
        <f t="shared" si="372"/>
        <v>ㄡ</v>
      </c>
      <c r="N5804" s="3" t="s">
        <v>30576</v>
      </c>
      <c r="O5804" s="3"/>
      <c r="P5804" s="1" t="s">
        <v>20</v>
      </c>
      <c r="R5804" s="1" t="s">
        <v>9805</v>
      </c>
      <c r="V5804" s="1" t="s">
        <v>9818</v>
      </c>
      <c r="AR5804" s="1" t="str">
        <f t="shared" si="373"/>
        <v>| [ㄍㄡˇ](ㄍㄡˇ.md) | [茩](茩.md) |  | gǒu | 參見「薢茩」條。 |</v>
      </c>
    </row>
    <row r="5805" spans="1:44" hidden="1">
      <c r="A5805" s="1" t="s">
        <v>9914</v>
      </c>
      <c r="C5805" s="1">
        <v>1</v>
      </c>
      <c r="D5805" s="1" t="str">
        <f>"04071"</f>
        <v>04071</v>
      </c>
      <c r="E5805" s="1" t="s">
        <v>646</v>
      </c>
      <c r="F5805" s="1">
        <v>7</v>
      </c>
      <c r="G5805" s="1">
        <v>3</v>
      </c>
      <c r="H5805" s="1">
        <v>0</v>
      </c>
      <c r="I5805" s="1" t="s">
        <v>9915</v>
      </c>
      <c r="K5805" s="1" t="str">
        <f t="shared" si="371"/>
        <v>ㄍ</v>
      </c>
      <c r="L5805" s="1" t="str">
        <f t="shared" si="372"/>
        <v>ㄢ</v>
      </c>
      <c r="N5805" s="3" t="s">
        <v>30574</v>
      </c>
      <c r="O5805" s="3"/>
      <c r="P5805" s="1" t="s">
        <v>20</v>
      </c>
      <c r="R5805" s="1" t="s">
        <v>9916</v>
      </c>
      <c r="V5805" s="1" t="s">
        <v>9917</v>
      </c>
      <c r="AR5805" s="1" t="str">
        <f t="shared" si="373"/>
        <v>| [ㄍㄢˋ](ㄍㄢˋ.md) | [旰](旰.md) |  | gàn | [名]
晚上，日落的時候。《說文解字．日部》：「旰，晚也。」《後漢書．卷七九．儒林傳上．尹敏傳》：「與班彪親善，每相遇，輒日旰忘食，夜分不寢。」《文選．謝朓．詶王晉安詩》：「拂霧朝青閣，日旰坐彤闈。」 |</v>
      </c>
    </row>
    <row r="5806" spans="1:44" hidden="1">
      <c r="A5806" s="1" t="s">
        <v>9918</v>
      </c>
      <c r="C5806" s="1">
        <v>1</v>
      </c>
      <c r="D5806" s="1" t="str">
        <f>"04072"</f>
        <v>04072</v>
      </c>
      <c r="E5806" s="1" t="s">
        <v>283</v>
      </c>
      <c r="F5806" s="1">
        <v>13</v>
      </c>
      <c r="G5806" s="1">
        <v>3</v>
      </c>
      <c r="H5806" s="1">
        <v>0</v>
      </c>
      <c r="I5806" s="1" t="s">
        <v>9915</v>
      </c>
      <c r="K5806" s="1" t="str">
        <f t="shared" si="371"/>
        <v>ㄍ</v>
      </c>
      <c r="L5806" s="1" t="str">
        <f t="shared" si="372"/>
        <v>ㄢ</v>
      </c>
      <c r="N5806" s="3" t="s">
        <v>30574</v>
      </c>
      <c r="O5806" s="3"/>
      <c r="P5806" s="1" t="s">
        <v>20</v>
      </c>
      <c r="R5806" s="1" t="s">
        <v>9916</v>
      </c>
      <c r="V5806" s="1" t="s">
        <v>9919</v>
      </c>
      <c r="AR5806" s="1" t="str">
        <f t="shared" si="373"/>
        <v>| [ㄍㄢˋ](ㄍㄢˋ.md) | [骭](骭.md) |  | gàn | [名]
小腿骨。《廣韻．去聲．諫韻》：「骭，脛骨。」《新唐書．卷二二二．南蠻傳上．南詔傳上》：「衣青布短褲，露骭。」 |</v>
      </c>
    </row>
    <row r="5807" spans="1:44" hidden="1">
      <c r="A5807" s="1" t="s">
        <v>9920</v>
      </c>
      <c r="C5807" s="1">
        <v>1</v>
      </c>
      <c r="D5807" s="1" t="str">
        <f>"04073"</f>
        <v>04073</v>
      </c>
      <c r="E5807" s="1" t="s">
        <v>114</v>
      </c>
      <c r="F5807" s="1">
        <v>10</v>
      </c>
      <c r="G5807" s="1">
        <v>8</v>
      </c>
      <c r="H5807" s="1">
        <v>0</v>
      </c>
      <c r="I5807" s="1" t="s">
        <v>9915</v>
      </c>
      <c r="K5807" s="1" t="str">
        <f t="shared" si="371"/>
        <v>ㄍ</v>
      </c>
      <c r="L5807" s="1" t="str">
        <f t="shared" si="372"/>
        <v>ㄢ</v>
      </c>
      <c r="N5807" s="3" t="s">
        <v>30574</v>
      </c>
      <c r="O5807" s="3"/>
      <c r="P5807" s="1" t="s">
        <v>20</v>
      </c>
      <c r="R5807" s="1" t="s">
        <v>9916</v>
      </c>
      <c r="V5807" s="1" t="s">
        <v>9921</v>
      </c>
      <c r="AR5807" s="1" t="str">
        <f t="shared" si="373"/>
        <v>| [ㄍㄢˋ](ㄍㄢˋ.md) | [倝](倝.md) |  | gàn | [形]
日出時光芒四射的樣子。《說文解字．倝部》：「倝，日始出，光倝倝也。」 |</v>
      </c>
    </row>
    <row r="5808" spans="1:44" hidden="1">
      <c r="A5808" s="1" t="s">
        <v>9922</v>
      </c>
      <c r="C5808" s="1">
        <v>1</v>
      </c>
      <c r="D5808" s="1" t="str">
        <f>"04074"</f>
        <v>04074</v>
      </c>
      <c r="E5808" s="1" t="s">
        <v>1386</v>
      </c>
      <c r="F5808" s="1">
        <v>13</v>
      </c>
      <c r="G5808" s="1">
        <v>10</v>
      </c>
      <c r="H5808" s="1">
        <v>1</v>
      </c>
      <c r="I5808" s="1" t="s">
        <v>9915</v>
      </c>
      <c r="K5808" s="1" t="str">
        <f t="shared" si="371"/>
        <v>ㄍ</v>
      </c>
      <c r="L5808" s="1" t="str">
        <f t="shared" si="372"/>
        <v>ㄢ</v>
      </c>
      <c r="N5808" s="3" t="s">
        <v>30574</v>
      </c>
      <c r="O5808" s="3"/>
      <c r="P5808" s="1" t="s">
        <v>20</v>
      </c>
      <c r="R5808" s="1" t="s">
        <v>9916</v>
      </c>
      <c r="V5808" s="1" t="s">
        <v>9923</v>
      </c>
      <c r="W5808" s="1" t="s">
        <v>9924</v>
      </c>
      <c r="AR5808" s="1" t="str">
        <f t="shared" si="373"/>
        <v>| [ㄍㄢˋ](ㄍㄢˋ.md) | [幹](幹.md) |  | gàn | [名]
1.築牆時支撐在牆兩端的木材。同「榦」。《說文解字．木部》：「榦，築牆耑木也。」清．段玉裁．注：「榦，俗作幹。」漢．揚雄《法言．五百》：「經營，然後之幹楨之克立也。」
2.事物的主體部分。如：「軀幹」、「樹幹」、「骨幹」。
3.事情。如：「有何貴幹？」《水滸傳》第一四回：「都頭有甚公幹到這里？」
4.才能。《三國志．卷六二．吳書．胡綜傳》：「沖平和有文幹，天紀中為中書令。」
5.姓。如宋代有幹沖。
[形]
主要的。如：「幹道」、「幹線」、「幹部」。
[動]
從事、營求。如：「他是幹那一行的？」《三國演義》第九二回：「他兩個是吾子姪輩，尚且爭先幹功。」 |</v>
      </c>
    </row>
    <row r="5809" spans="1:44" hidden="1">
      <c r="A5809" s="1" t="s">
        <v>9925</v>
      </c>
      <c r="C5809" s="1">
        <v>1</v>
      </c>
      <c r="D5809" s="1" t="str">
        <f>"04075"</f>
        <v>04075</v>
      </c>
      <c r="E5809" s="1" t="s">
        <v>139</v>
      </c>
      <c r="F5809" s="1">
        <v>14</v>
      </c>
      <c r="G5809" s="1">
        <v>10</v>
      </c>
      <c r="H5809" s="1">
        <v>1</v>
      </c>
      <c r="I5809" s="1" t="s">
        <v>9915</v>
      </c>
      <c r="K5809" s="1" t="str">
        <f t="shared" si="371"/>
        <v>ㄍ</v>
      </c>
      <c r="L5809" s="1" t="str">
        <f t="shared" si="372"/>
        <v>ㄢ</v>
      </c>
      <c r="N5809" s="3" t="s">
        <v>30574</v>
      </c>
      <c r="O5809" s="3"/>
      <c r="P5809" s="1" t="s">
        <v>20</v>
      </c>
      <c r="R5809" s="1" t="s">
        <v>9916</v>
      </c>
      <c r="V5809" s="1" t="s">
        <v>9926</v>
      </c>
      <c r="W5809" s="1" t="s">
        <v>9927</v>
      </c>
      <c r="AR5809" s="1" t="str">
        <f t="shared" si="373"/>
        <v>| [ㄍㄢˋ](ㄍㄢˋ.md) | [榦](榦.md) |  | gàn | [名]
1.築牆時支撐在牆兩側的柱子。《說文解字．木部》：「榦，築牆耑木也。」《資治通鑑．卷二一三．唐紀二十九．玄宗開元十五年》：「板榦裁立，吐蕃猝至，城中相顧失色，莫有鬥志。」
2.事物的主體部分。《淮南子．主術》：「枝不得大於榦，末不得強於本。」 |</v>
      </c>
    </row>
    <row r="5810" spans="1:44" hidden="1">
      <c r="A5810" s="1" t="s">
        <v>9928</v>
      </c>
      <c r="C5810" s="1">
        <v>1</v>
      </c>
      <c r="D5810" s="1" t="str">
        <f>"04076"</f>
        <v>04076</v>
      </c>
      <c r="E5810" s="1" t="s">
        <v>129</v>
      </c>
      <c r="F5810" s="1">
        <v>11</v>
      </c>
      <c r="G5810" s="1">
        <v>8</v>
      </c>
      <c r="H5810" s="1">
        <v>0</v>
      </c>
      <c r="I5810" s="1" t="s">
        <v>9915</v>
      </c>
      <c r="K5810" s="1" t="str">
        <f t="shared" si="371"/>
        <v>ㄍ</v>
      </c>
      <c r="L5810" s="1" t="str">
        <f t="shared" si="372"/>
        <v>ㄢ</v>
      </c>
      <c r="N5810" s="3" t="s">
        <v>30574</v>
      </c>
      <c r="O5810" s="3"/>
      <c r="P5810" s="1" t="s">
        <v>20</v>
      </c>
      <c r="R5810" s="1" t="s">
        <v>9916</v>
      </c>
      <c r="V5810" s="1" t="s">
        <v>9929</v>
      </c>
      <c r="AR5810" s="1" t="str">
        <f t="shared" si="373"/>
        <v>| [ㄍㄢˋ](ㄍㄢˋ.md) | [淦](淦.md) |  | gàn | [動]
水滲入船中。《說文解字．水部》：「淦，水入船中也。」
[名]
1.河川名。發源於大陸地區江西省清江縣東南離嶺，北流經紫淦山入贛江。
2.姓。如明代有淦君鼎。 |</v>
      </c>
    </row>
    <row r="5811" spans="1:44" hidden="1">
      <c r="A5811" s="1" t="s">
        <v>9930</v>
      </c>
      <c r="C5811" s="1">
        <v>1</v>
      </c>
      <c r="D5811" s="1" t="str">
        <f>"04077"</f>
        <v>04077</v>
      </c>
      <c r="E5811" s="1" t="s">
        <v>725</v>
      </c>
      <c r="F5811" s="1">
        <v>11</v>
      </c>
      <c r="G5811" s="1">
        <v>5</v>
      </c>
      <c r="H5811" s="1">
        <v>0</v>
      </c>
      <c r="I5811" s="1" t="s">
        <v>9915</v>
      </c>
      <c r="K5811" s="1" t="str">
        <f t="shared" si="371"/>
        <v>ㄍ</v>
      </c>
      <c r="L5811" s="1" t="str">
        <f t="shared" si="372"/>
        <v>ㄢ</v>
      </c>
      <c r="N5811" s="3" t="s">
        <v>30574</v>
      </c>
      <c r="O5811" s="3"/>
      <c r="P5811" s="1" t="s">
        <v>20</v>
      </c>
      <c r="R5811" s="1" t="s">
        <v>9916</v>
      </c>
      <c r="V5811" s="1" t="s">
        <v>9931</v>
      </c>
      <c r="AR5811" s="1" t="str">
        <f t="shared" si="373"/>
        <v>| [ㄍㄢˋ](ㄍㄢˋ.md) | [紺](紺.md) |  | gàn | [形]
微紅帶深青的。《說文解字．糸部》：「紺，帛深青而揚赤色也。」《文選．禰衡．鸚鵡賦》：「紺趾丹觜，綠衣翠衿。」 |</v>
      </c>
    </row>
    <row r="5812" spans="1:44" hidden="1">
      <c r="A5812" s="1" t="s">
        <v>9932</v>
      </c>
      <c r="C5812" s="1">
        <v>1</v>
      </c>
      <c r="D5812" s="1" t="str">
        <f>"04078"</f>
        <v>04078</v>
      </c>
      <c r="E5812" s="1" t="s">
        <v>505</v>
      </c>
      <c r="F5812" s="1">
        <v>24</v>
      </c>
      <c r="G5812" s="1">
        <v>17</v>
      </c>
      <c r="H5812" s="1">
        <v>1</v>
      </c>
      <c r="I5812" s="1" t="s">
        <v>9915</v>
      </c>
      <c r="K5812" s="1" t="str">
        <f t="shared" si="371"/>
        <v>ㄍ</v>
      </c>
      <c r="L5812" s="1" t="str">
        <f t="shared" si="372"/>
        <v>ㄢ</v>
      </c>
      <c r="N5812" s="3" t="s">
        <v>30574</v>
      </c>
      <c r="O5812" s="3"/>
      <c r="P5812" s="1" t="s">
        <v>20</v>
      </c>
      <c r="R5812" s="1" t="s">
        <v>9916</v>
      </c>
      <c r="V5812" s="1" t="s">
        <v>9933</v>
      </c>
      <c r="W5812" s="1" t="s">
        <v>9934</v>
      </c>
      <c r="AR5812" s="1" t="str">
        <f t="shared" si="373"/>
        <v>| [ㄍㄢˋ](ㄍㄢˋ.md) | [贛](贛.md) |  | gàn | [名]
1.大陸地區江西省的簡稱。
2.贛江：河川名。位於大陸地區江西省境內，有二源：西源為章水，源出江西省崇義縣聶都山；東源為貢水，源出福建省長汀縣。二水在贛縣北會合，乃稱贛江，北流注入鄱陽湖。
3.贛縣：縣名。位於大陸地區江西省南部。貢水、章水在此匯流，為贛南水陸交通中心，商業繁榮。 |</v>
      </c>
    </row>
    <row r="5813" spans="1:44" hidden="1">
      <c r="A5813" s="1" t="s">
        <v>9935</v>
      </c>
      <c r="C5813" s="1">
        <v>1</v>
      </c>
      <c r="D5813" s="1" t="str">
        <f>"04079"</f>
        <v>04079</v>
      </c>
      <c r="E5813" s="1" t="s">
        <v>129</v>
      </c>
      <c r="F5813" s="1">
        <v>27</v>
      </c>
      <c r="G5813" s="1">
        <v>24</v>
      </c>
      <c r="H5813" s="1">
        <v>0</v>
      </c>
      <c r="I5813" s="1" t="s">
        <v>9915</v>
      </c>
      <c r="K5813" s="1" t="str">
        <f t="shared" si="371"/>
        <v>ㄍ</v>
      </c>
      <c r="L5813" s="1" t="str">
        <f t="shared" si="372"/>
        <v>ㄢ</v>
      </c>
      <c r="N5813" s="3" t="s">
        <v>30574</v>
      </c>
      <c r="O5813" s="3"/>
      <c r="P5813" s="1" t="s">
        <v>20</v>
      </c>
      <c r="R5813" s="1" t="s">
        <v>9916</v>
      </c>
      <c r="V5813" s="1" t="s">
        <v>9936</v>
      </c>
      <c r="AR5813" s="1" t="str">
        <f t="shared" si="373"/>
        <v>| [ㄍㄢˋ](ㄍㄢˋ.md) | [灨](灨.md) |  | gàn | 同「贛」。 |</v>
      </c>
    </row>
    <row r="5814" spans="1:44" hidden="1">
      <c r="A5814" s="1" t="s">
        <v>9890</v>
      </c>
      <c r="C5814" s="1">
        <v>1</v>
      </c>
      <c r="D5814" s="1" t="str">
        <f>"04060"</f>
        <v>04060</v>
      </c>
      <c r="E5814" s="1" t="s">
        <v>1792</v>
      </c>
      <c r="F5814" s="1">
        <v>8</v>
      </c>
      <c r="G5814" s="1">
        <v>3</v>
      </c>
      <c r="H5814" s="1">
        <v>0</v>
      </c>
      <c r="I5814" s="1" t="s">
        <v>9891</v>
      </c>
      <c r="K5814" s="1" t="str">
        <f t="shared" si="371"/>
        <v>ㄍ</v>
      </c>
      <c r="L5814" s="1" t="str">
        <f t="shared" si="372"/>
        <v>ㄢ</v>
      </c>
      <c r="N5814" s="3" t="s">
        <v>30576</v>
      </c>
      <c r="O5814" s="3"/>
      <c r="P5814" s="1" t="s">
        <v>20</v>
      </c>
      <c r="R5814" s="1" t="s">
        <v>9892</v>
      </c>
      <c r="V5814" s="1" t="s">
        <v>9893</v>
      </c>
      <c r="AR5814" s="1" t="str">
        <f t="shared" si="373"/>
        <v>| [ㄍㄢˇ](ㄍㄢˇ.md) | [皯](皯.md) |  | gǎn | [形]
皮膚黝黑粗糙。《列子．黃帝》：「焦然肌色皯黣，昏然五情爽惑。」 |</v>
      </c>
    </row>
    <row r="5815" spans="1:44" hidden="1">
      <c r="A5815" s="1" t="s">
        <v>9894</v>
      </c>
      <c r="C5815" s="1">
        <v>1</v>
      </c>
      <c r="D5815" s="1" t="str">
        <f>"04061"</f>
        <v>04061</v>
      </c>
      <c r="E5815" s="1" t="s">
        <v>139</v>
      </c>
      <c r="F5815" s="1">
        <v>11</v>
      </c>
      <c r="G5815" s="1">
        <v>7</v>
      </c>
      <c r="H5815" s="1">
        <v>0</v>
      </c>
      <c r="I5815" s="1" t="s">
        <v>9891</v>
      </c>
      <c r="K5815" s="1" t="str">
        <f t="shared" si="371"/>
        <v>ㄍ</v>
      </c>
      <c r="L5815" s="1" t="str">
        <f t="shared" si="372"/>
        <v>ㄢ</v>
      </c>
      <c r="N5815" s="3" t="s">
        <v>30576</v>
      </c>
      <c r="O5815" s="3"/>
      <c r="P5815" s="1" t="s">
        <v>20</v>
      </c>
      <c r="R5815" s="1" t="s">
        <v>9892</v>
      </c>
      <c r="V5815" s="1" t="s">
        <v>9895</v>
      </c>
      <c r="AR5815" s="1" t="str">
        <f t="shared" si="373"/>
        <v>| [ㄍㄢˇ](ㄍㄢˇ.md) | [桿](桿.md) |  | gǎn | [名]
1.細長形的棍狀物。如：「筆桿」、「槍桿」。
2.量詞。計算細長物的單位。如：「兩桿槍」、「一桿秤」。 |</v>
      </c>
    </row>
    <row r="5816" spans="1:44" hidden="1">
      <c r="A5816" s="1" t="s">
        <v>9896</v>
      </c>
      <c r="C5816" s="1">
        <v>1</v>
      </c>
      <c r="D5816" s="1" t="str">
        <f>"04062"</f>
        <v>04062</v>
      </c>
      <c r="E5816" s="1" t="s">
        <v>429</v>
      </c>
      <c r="F5816" s="1">
        <v>12</v>
      </c>
      <c r="G5816" s="1">
        <v>7</v>
      </c>
      <c r="H5816" s="1">
        <v>0</v>
      </c>
      <c r="I5816" s="1" t="s">
        <v>9891</v>
      </c>
      <c r="K5816" s="1" t="str">
        <f t="shared" si="371"/>
        <v>ㄍ</v>
      </c>
      <c r="L5816" s="1" t="str">
        <f t="shared" si="372"/>
        <v>ㄢ</v>
      </c>
      <c r="N5816" s="3" t="s">
        <v>30576</v>
      </c>
      <c r="O5816" s="3"/>
      <c r="P5816" s="1" t="s">
        <v>20</v>
      </c>
      <c r="R5816" s="1" t="s">
        <v>9892</v>
      </c>
      <c r="V5816" s="1" t="s">
        <v>9897</v>
      </c>
      <c r="AR5816" s="1" t="str">
        <f t="shared" si="373"/>
        <v>| [ㄍㄢˇ](ㄍㄢˇ.md) | [稈](稈.md) |  | gǎn | [名]
禾本科植物的莖，常中空有節。《說文解字．禾部》：「稈，禾莖也。」如：「稻稈」、「麥稈」、「高粱稈」。也稱為「稈子」。 |</v>
      </c>
    </row>
    <row r="5817" spans="1:44" hidden="1">
      <c r="A5817" s="1" t="s">
        <v>9898</v>
      </c>
      <c r="C5817" s="1">
        <v>1</v>
      </c>
      <c r="D5817" s="1" t="str">
        <f>"04063"</f>
        <v>04063</v>
      </c>
      <c r="E5817" s="1" t="s">
        <v>4563</v>
      </c>
      <c r="F5817" s="1">
        <v>14</v>
      </c>
      <c r="G5817" s="1">
        <v>7</v>
      </c>
      <c r="H5817" s="1">
        <v>0</v>
      </c>
      <c r="I5817" s="1" t="s">
        <v>9891</v>
      </c>
      <c r="K5817" s="1" t="str">
        <f t="shared" si="371"/>
        <v>ㄍ</v>
      </c>
      <c r="L5817" s="1" t="str">
        <f t="shared" si="372"/>
        <v>ㄢ</v>
      </c>
      <c r="N5817" s="3" t="s">
        <v>30576</v>
      </c>
      <c r="O5817" s="3"/>
      <c r="P5817" s="1" t="s">
        <v>20</v>
      </c>
      <c r="R5817" s="1" t="s">
        <v>9892</v>
      </c>
      <c r="V5817" s="1" t="s">
        <v>9899</v>
      </c>
      <c r="AR5817" s="1" t="str">
        <f t="shared" si="373"/>
        <v>| [ㄍㄢˇ](ㄍㄢˇ.md) | [趕](趕.md) |  | gǎn | [動]
1.加速行動。如：「趕路」、「趕夜工」。
2.在後面驅策。如：「趕牛」、「趕鴨子」。《恨海》第五回：「車夫趕著牲口，逕投南道上去了。」
3.從後面追。如：「追趕」、「迎頭趕上」。
4.趁著。《金瓶梅》第二二回：「今日趕娘不在家，要和你會會兒。」《儒林外史》第三九回：「趕熱好吃。」
5.恰好遇到、碰上。如：「整修房屋偏趕上颳颱風，真是天公不作美。」
[形]
急促。如：「這次行程安排的太趕了。」
[介]
等到。如：「現在時間太晚了，趕明兒個我再去替你辦這件事。」《紅樓夢》第七七回：「已遣人去，趕晚就有回信的。」 |</v>
      </c>
    </row>
    <row r="5818" spans="1:44" hidden="1">
      <c r="A5818" s="1" t="s">
        <v>9900</v>
      </c>
      <c r="C5818" s="1">
        <v>1</v>
      </c>
      <c r="D5818" s="1" t="str">
        <f>"04064"</f>
        <v>04064</v>
      </c>
      <c r="E5818" s="1" t="s">
        <v>426</v>
      </c>
      <c r="F5818" s="1">
        <v>12</v>
      </c>
      <c r="G5818" s="1">
        <v>8</v>
      </c>
      <c r="H5818" s="1">
        <v>0</v>
      </c>
      <c r="I5818" s="1" t="s">
        <v>9891</v>
      </c>
      <c r="K5818" s="1" t="str">
        <f t="shared" si="371"/>
        <v>ㄍ</v>
      </c>
      <c r="L5818" s="1" t="str">
        <f t="shared" si="372"/>
        <v>ㄢ</v>
      </c>
      <c r="N5818" s="3" t="s">
        <v>30576</v>
      </c>
      <c r="O5818" s="3"/>
      <c r="P5818" s="1" t="s">
        <v>20</v>
      </c>
      <c r="R5818" s="1" t="s">
        <v>9892</v>
      </c>
      <c r="V5818" s="1" t="s">
        <v>9901</v>
      </c>
      <c r="AR5818" s="1" t="str">
        <f t="shared" si="373"/>
        <v>| [ㄍㄢˇ](ㄍㄢˇ.md) | [敢](敢.md) |  | gǎn | [形]_x000D_
有膽識、毫不畏懼人的。如：「果敢」。《荀子．非十二子》：「齊給速通，不爭先人，剛毅勇敢，不以傷人。」_x000D_
[副]_x000D_
1.有膽量、不畏懼。如：「敢作敢當」。《史記．卷七七．魏公子列傳》：「吾攻趙旦暮且下，而諸侯敢救者，已拔趙，必移兵先擊之。」_x000D_
2.表示冒昧。如：「敢請」。唐．李白〈為宋中丞自薦表〉：「不勝慺慺之至，敢陳薦以聞。」《水滸傳》第一六回：「敢問軍師用甚計策，賺得本人上山？」_x000D_
3.豈。《左傳．昭公三十一年》：「若得從君而歸，則固臣之願也，敢有異心！」_x000D_
4.莫非、大概。元．關漢卿《竇娥冤》第一折：「你敢是不肯，故意將錢鈔哄我？」《水滸傳》第五三回：「不是我，你敢錯認了！」 |</v>
      </c>
    </row>
    <row r="5819" spans="1:44" hidden="1">
      <c r="A5819" s="1" t="s">
        <v>9902</v>
      </c>
      <c r="C5819" s="1">
        <v>1</v>
      </c>
      <c r="D5819" s="1" t="str">
        <f>"04065"</f>
        <v>04065</v>
      </c>
      <c r="E5819" s="1" t="s">
        <v>129</v>
      </c>
      <c r="F5819" s="1">
        <v>15</v>
      </c>
      <c r="G5819" s="1">
        <v>12</v>
      </c>
      <c r="H5819" s="1">
        <v>0</v>
      </c>
      <c r="I5819" s="1" t="s">
        <v>9891</v>
      </c>
      <c r="K5819" s="1" t="str">
        <f t="shared" si="371"/>
        <v>ㄍ</v>
      </c>
      <c r="L5819" s="1" t="str">
        <f t="shared" si="372"/>
        <v>ㄢ</v>
      </c>
      <c r="N5819" s="3" t="s">
        <v>30576</v>
      </c>
      <c r="O5819" s="3"/>
      <c r="P5819" s="1" t="s">
        <v>20</v>
      </c>
      <c r="R5819" s="1" t="s">
        <v>9892</v>
      </c>
      <c r="V5819" s="1" t="s">
        <v>9903</v>
      </c>
      <c r="AR5819" s="1" t="str">
        <f t="shared" si="373"/>
        <v>| [ㄍㄢˇ](ㄍㄢˇ.md) | [澉](澉.md) |  | gǎn | [名]
1.參見「澉浦」條。
2.姓。如明代有澉仁亮。 |</v>
      </c>
    </row>
    <row r="5820" spans="1:44" hidden="1">
      <c r="A5820" s="1" t="s">
        <v>9904</v>
      </c>
      <c r="C5820" s="1">
        <v>1</v>
      </c>
      <c r="D5820" s="1" t="str">
        <f>"04066"</f>
        <v>04066</v>
      </c>
      <c r="E5820" s="1" t="s">
        <v>24</v>
      </c>
      <c r="F5820" s="1">
        <v>15</v>
      </c>
      <c r="G5820" s="1">
        <v>12</v>
      </c>
      <c r="H5820" s="1">
        <v>0</v>
      </c>
      <c r="I5820" s="1" t="s">
        <v>9891</v>
      </c>
      <c r="K5820" s="1" t="str">
        <f t="shared" si="371"/>
        <v>ㄍ</v>
      </c>
      <c r="L5820" s="1" t="str">
        <f t="shared" si="372"/>
        <v>ㄢ</v>
      </c>
      <c r="N5820" s="3" t="s">
        <v>30576</v>
      </c>
      <c r="O5820" s="3"/>
      <c r="P5820" s="1" t="s">
        <v>20</v>
      </c>
      <c r="R5820" s="1" t="s">
        <v>9892</v>
      </c>
      <c r="V5820" s="1" t="s">
        <v>9905</v>
      </c>
      <c r="AR5820" s="1" t="str">
        <f t="shared" si="373"/>
        <v>| [ㄍㄢˇ](ㄍㄢˇ.md) | [撖](撖.md) |  | gǎn | [名]
姓。如明代有撖大經。 |</v>
      </c>
    </row>
    <row r="5821" spans="1:44" hidden="1">
      <c r="A5821" s="1" t="s">
        <v>9906</v>
      </c>
      <c r="C5821" s="1">
        <v>1</v>
      </c>
      <c r="D5821" s="1" t="str">
        <f>"04067"</f>
        <v>04067</v>
      </c>
      <c r="E5821" s="1" t="s">
        <v>139</v>
      </c>
      <c r="F5821" s="1">
        <v>16</v>
      </c>
      <c r="G5821" s="1">
        <v>12</v>
      </c>
      <c r="H5821" s="1">
        <v>0</v>
      </c>
      <c r="I5821" s="1" t="s">
        <v>9891</v>
      </c>
      <c r="K5821" s="1" t="str">
        <f t="shared" si="371"/>
        <v>ㄍ</v>
      </c>
      <c r="L5821" s="1" t="str">
        <f t="shared" si="372"/>
        <v>ㄢ</v>
      </c>
      <c r="N5821" s="3" t="s">
        <v>30576</v>
      </c>
      <c r="O5821" s="3"/>
      <c r="P5821" s="1" t="s">
        <v>20</v>
      </c>
      <c r="R5821" s="1" t="s">
        <v>9892</v>
      </c>
      <c r="V5821" s="1" t="s">
        <v>8202</v>
      </c>
      <c r="AR5821" s="1" t="str">
        <f t="shared" si="373"/>
        <v>| [ㄍㄢˇ](ㄍㄢˇ.md) | [橄](橄.md) |  | gǎn | 參見「橄欖」條。 |</v>
      </c>
    </row>
    <row r="5822" spans="1:44" hidden="1">
      <c r="A5822" s="1" t="s">
        <v>9907</v>
      </c>
      <c r="C5822" s="1">
        <v>1</v>
      </c>
      <c r="D5822" s="1" t="str">
        <f>"04068"</f>
        <v>04068</v>
      </c>
      <c r="E5822" s="1" t="s">
        <v>250</v>
      </c>
      <c r="F5822" s="1">
        <v>13</v>
      </c>
      <c r="G5822" s="1">
        <v>9</v>
      </c>
      <c r="H5822" s="1">
        <v>1</v>
      </c>
      <c r="I5822" s="1" t="s">
        <v>9891</v>
      </c>
      <c r="K5822" s="1" t="str">
        <f t="shared" si="371"/>
        <v>ㄍ</v>
      </c>
      <c r="L5822" s="1" t="str">
        <f t="shared" si="372"/>
        <v>ㄢ</v>
      </c>
      <c r="N5822" s="3" t="s">
        <v>30576</v>
      </c>
      <c r="O5822" s="3"/>
      <c r="P5822" s="1" t="s">
        <v>20</v>
      </c>
      <c r="R5822" s="1" t="s">
        <v>9892</v>
      </c>
      <c r="V5822" s="1" t="s">
        <v>9908</v>
      </c>
      <c r="W5822" s="1" t="s">
        <v>9909</v>
      </c>
      <c r="AR5822" s="1" t="str">
        <f t="shared" si="373"/>
        <v>| [ㄍㄢˇ](ㄍㄢˇ.md) | [感](感.md) |  | gǎn | [動]
1.震撼。《說文解字．心部》：「感，動人心也。」如：「感動」。《易經．咸卦．彖曰》：「聖人感人心而天下和平。」
2.接觸、引起。如：「感染」。《紅樓夢》第四二回：「太夫人並無別症，不過偶感一點風涼。」
3.覺得。如：「頗感意外」、「深感不安」。
4.互相影響、應和。《易經．咸卦．彖曰》：「天地感而萬物化生。」
5.傷嘆。如：「感嘆」。《文選．陶淵明．歸去來辭》：「善萬物之得時，感吾生之行休。」唐．杜甫〈春望〉詩：「感時花濺淚，恨別鳥驚心。」
6.對別人所給的好處表示謝意。如：「感恩」、「感激」、「銘感五內」。《文選．張華．答何劭詩二首之二》：「是用感嘉貺，寫心出中誠。」宋．歐陽修〈代贈田文初〉詩：「感君一顧重千金，贈君白璧為妾心。」
[名]
1.受到外來刺激所引起的情緒反應。如：「快感」、「好感」、「百感交集」。晉．陸機〈愍思賦．序〉：「故作此賦，以紓慘惻之感。」
2.某種自我認知的看法或想法。如：「幽默感」、「責任感」、「自卑感」、「成就感」。 |</v>
      </c>
    </row>
    <row r="5823" spans="1:44" hidden="1">
      <c r="A5823" s="1" t="s">
        <v>9910</v>
      </c>
      <c r="C5823" s="1">
        <v>1</v>
      </c>
      <c r="D5823" s="1" t="str">
        <f>"04069"</f>
        <v>04069</v>
      </c>
      <c r="E5823" s="1" t="s">
        <v>24</v>
      </c>
      <c r="F5823" s="1">
        <v>16</v>
      </c>
      <c r="G5823" s="1">
        <v>13</v>
      </c>
      <c r="H5823" s="1">
        <v>0</v>
      </c>
      <c r="I5823" s="1" t="s">
        <v>9891</v>
      </c>
      <c r="K5823" s="1" t="str">
        <f t="shared" si="371"/>
        <v>ㄍ</v>
      </c>
      <c r="L5823" s="1" t="str">
        <f t="shared" si="372"/>
        <v>ㄢ</v>
      </c>
      <c r="N5823" s="3" t="s">
        <v>30576</v>
      </c>
      <c r="O5823" s="3"/>
      <c r="P5823" s="1" t="s">
        <v>20</v>
      </c>
      <c r="R5823" s="1" t="s">
        <v>9892</v>
      </c>
      <c r="V5823" s="1" t="s">
        <v>9911</v>
      </c>
      <c r="AR5823" s="1" t="str">
        <f t="shared" si="373"/>
        <v>| [ㄍㄢˇ](ㄍㄢˇ.md) | [擀](擀.md) |  | gǎn | [動]
用棍棒來回輾平、壓薄。如：「擀麵」、「擀餃子皮」。 |</v>
      </c>
    </row>
    <row r="5824" spans="1:44" hidden="1">
      <c r="A5824" s="1" t="s">
        <v>9912</v>
      </c>
      <c r="C5824" s="1">
        <v>1</v>
      </c>
      <c r="D5824" s="1" t="str">
        <f>"04070"</f>
        <v>04070</v>
      </c>
      <c r="E5824" s="1" t="s">
        <v>49</v>
      </c>
      <c r="F5824" s="1">
        <v>19</v>
      </c>
      <c r="G5824" s="1">
        <v>13</v>
      </c>
      <c r="H5824" s="1">
        <v>0</v>
      </c>
      <c r="I5824" s="1" t="s">
        <v>9891</v>
      </c>
      <c r="K5824" s="1" t="str">
        <f t="shared" si="371"/>
        <v>ㄍ</v>
      </c>
      <c r="L5824" s="1" t="str">
        <f t="shared" si="372"/>
        <v>ㄢ</v>
      </c>
      <c r="N5824" s="3" t="s">
        <v>30576</v>
      </c>
      <c r="O5824" s="3"/>
      <c r="P5824" s="1" t="s">
        <v>20</v>
      </c>
      <c r="R5824" s="1" t="s">
        <v>9892</v>
      </c>
      <c r="V5824" s="1" t="s">
        <v>9913</v>
      </c>
      <c r="AR5824" s="1" t="str">
        <f t="shared" si="373"/>
        <v>| [ㄍㄢˇ](ㄍㄢˇ.md) | [簳](簳.md) |  | gǎn | [名]
一種細竹子。可製為箭桿。唐．李賀〈長平箭頭歌〉：「白翎金簳雨中盡，直餘三脊殘狼牙。」 |</v>
      </c>
    </row>
    <row r="5825" spans="1:44" hidden="1">
      <c r="A5825" s="1" t="s">
        <v>9953</v>
      </c>
      <c r="C5825" s="1">
        <v>1</v>
      </c>
      <c r="D5825" s="1" t="str">
        <f>"04084"</f>
        <v>04084</v>
      </c>
      <c r="E5825" s="1" t="s">
        <v>9954</v>
      </c>
      <c r="F5825" s="1">
        <v>6</v>
      </c>
      <c r="G5825" s="1">
        <v>4</v>
      </c>
      <c r="H5825" s="1">
        <v>1</v>
      </c>
      <c r="I5825" s="1" t="s">
        <v>9955</v>
      </c>
      <c r="K5825" s="1" t="str">
        <f t="shared" ref="K5825:K5888" si="374">LEFT(I5825, 1)</f>
        <v>ㄍ</v>
      </c>
      <c r="L5825" s="1" t="str">
        <f t="shared" ref="L5825:L5888" si="375">MID(I5825, 2, 1)</f>
        <v>ㄣ</v>
      </c>
      <c r="N5825" s="3" t="s">
        <v>30574</v>
      </c>
      <c r="O5825" s="3"/>
      <c r="P5825" s="1" t="s">
        <v>20</v>
      </c>
      <c r="R5825" s="1" t="s">
        <v>9956</v>
      </c>
      <c r="V5825" s="1" t="s">
        <v>9957</v>
      </c>
      <c r="W5825" s="1" t="s">
        <v>9958</v>
      </c>
      <c r="AR5825" s="1" t="str">
        <f t="shared" si="373"/>
        <v>| [ㄍㄣˋ](ㄍㄣˋ.md) | [亙](亙.md) |  | gèn | [動]
時間或空間延續不斷。如：「亙古」、「橫亙」、「綿亙數里」。《樂府詩集．卷四一．相和歌辭十六．南朝宋．鮑照．東武吟行》：「密途亙萬里，寧歲猶七奔。」
[副]
窮盡。《文選．張衡．南都賦》：「貯水渟洿，亙望無涯。」唐．李善．注：「亙，竟也。」
[名]
姓。如漢代有亙寬。 |</v>
      </c>
    </row>
    <row r="5826" spans="1:44" hidden="1">
      <c r="A5826" s="1" t="s">
        <v>9948</v>
      </c>
      <c r="C5826" s="1">
        <v>1</v>
      </c>
      <c r="D5826" s="1" t="str">
        <f>"04085"</f>
        <v>04085</v>
      </c>
      <c r="E5826" s="1" t="s">
        <v>8928</v>
      </c>
      <c r="F5826" s="1">
        <v>6</v>
      </c>
      <c r="G5826" s="1">
        <v>0</v>
      </c>
      <c r="H5826" s="1">
        <v>1</v>
      </c>
      <c r="I5826" s="1" t="s">
        <v>9955</v>
      </c>
      <c r="K5826" s="1" t="str">
        <f t="shared" si="374"/>
        <v>ㄍ</v>
      </c>
      <c r="L5826" s="1" t="str">
        <f t="shared" si="375"/>
        <v>ㄣ</v>
      </c>
      <c r="N5826" s="3" t="s">
        <v>30574</v>
      </c>
      <c r="O5826" s="3"/>
      <c r="P5826" s="1" t="s">
        <v>20</v>
      </c>
      <c r="R5826" s="1" t="s">
        <v>9956</v>
      </c>
      <c r="V5826" s="1" t="s">
        <v>9959</v>
      </c>
      <c r="W5826" s="1" t="s">
        <v>9960</v>
      </c>
      <c r="AR5826" s="1" t="str">
        <f t="shared" si="373"/>
        <v>| [ㄍㄣˋ](ㄍㄣˋ.md) | [艮](艮.md) |  | gèn | [名]
1.《易經》卦名：(1)八卦之一。卦形為☶。象徵山。(2)六十四卦之一。艮（☶）下艮（☶）上。象動靜不失其時，則其道光明。
2.方位名。指東北方。《後漢書．卷五二．崔駰傳》：「遂翕翼以委命兮，受符守乎艮維。」唐．章懷太子．注：「艮，東北之位。」唐．歐陽詹〈棧道銘〉：「秦之坤，蜀之艮，連高夾深，九州之險也。」
3.姓。如漢代有艮當。
4.二一四部首之一。
[動]
靜止。《易經．艮卦．彖曰》：「艮，止也。」
[形]
堅固、堅硬。清．王念孫《廣雅疏證．卷一下．釋詁》：「艮，堅也。」疏證：「說卦傳云：『艮為山，為小石，皆堅之義也。』今俗語猶謂物堅不可拔曰艮。」 |</v>
      </c>
    </row>
    <row r="5827" spans="1:44" hidden="1">
      <c r="A5827" s="1" t="s">
        <v>9961</v>
      </c>
      <c r="C5827" s="1">
        <v>1</v>
      </c>
      <c r="D5827" s="1" t="str">
        <f>"04086"</f>
        <v>04086</v>
      </c>
      <c r="E5827" s="1" t="s">
        <v>37</v>
      </c>
      <c r="F5827" s="1">
        <v>10</v>
      </c>
      <c r="G5827" s="1">
        <v>6</v>
      </c>
      <c r="H5827" s="1">
        <v>0</v>
      </c>
      <c r="I5827" s="1" t="s">
        <v>9955</v>
      </c>
      <c r="K5827" s="1" t="str">
        <f t="shared" si="374"/>
        <v>ㄍ</v>
      </c>
      <c r="L5827" s="1" t="str">
        <f t="shared" si="375"/>
        <v>ㄣ</v>
      </c>
      <c r="N5827" s="3" t="s">
        <v>30574</v>
      </c>
      <c r="O5827" s="3"/>
      <c r="P5827" s="1" t="s">
        <v>20</v>
      </c>
      <c r="R5827" s="1" t="s">
        <v>9956</v>
      </c>
      <c r="V5827" s="1" t="s">
        <v>9962</v>
      </c>
      <c r="AR5827" s="1" t="str">
        <f t="shared" ref="AR5827:AR5890" si="376">"| ["&amp;I5827&amp;"]("&amp;I5827&amp;".md) | ["&amp;A5827&amp;"]("&amp;A5827&amp;".md) | "&amp;" | "&amp;R5827&amp;" | "&amp;V5827&amp;" |"</f>
        <v>| [ㄍㄣˋ](ㄍㄣˋ.md) | [茛](茛.md) |  | gèn | [名]
植物名。毛茛科毛茛屬，多年生草本。全草被白色粗毛，多生於溼地、畦畔、路旁。莖直立，圓筒狀，中空。葉互生，圓心形，三深裂或中裂不達基部，表面光滑，葉背多毛。夏季開黃花，花瓣五枚。聚合果近球形，瘦果扁平。全株有毒，葉及種子主治惡瘡癰腫。也稱為「毛茛」、「毛建」、「水茛」。 |</v>
      </c>
    </row>
    <row r="5828" spans="1:44" hidden="1">
      <c r="A5828" s="1" t="s">
        <v>9943</v>
      </c>
      <c r="C5828" s="1">
        <v>1</v>
      </c>
      <c r="D5828" s="1" t="str">
        <f>"04082"</f>
        <v>04082</v>
      </c>
      <c r="E5828" s="1" t="s">
        <v>28</v>
      </c>
      <c r="F5828" s="1">
        <v>9</v>
      </c>
      <c r="G5828" s="1">
        <v>6</v>
      </c>
      <c r="H5828" s="1">
        <v>1</v>
      </c>
      <c r="I5828" s="1" t="s">
        <v>9944</v>
      </c>
      <c r="K5828" s="1" t="str">
        <f t="shared" si="374"/>
        <v>ㄍ</v>
      </c>
      <c r="L5828" s="1" t="str">
        <f t="shared" si="375"/>
        <v>ㄣ</v>
      </c>
      <c r="N5828" s="3" t="s">
        <v>30575</v>
      </c>
      <c r="O5828" s="3"/>
      <c r="P5828" s="1" t="s">
        <v>20</v>
      </c>
      <c r="R5828" s="1" t="s">
        <v>9945</v>
      </c>
      <c r="V5828" s="1" t="s">
        <v>9946</v>
      </c>
      <c r="W5828" s="1" t="s">
        <v>9947</v>
      </c>
      <c r="AR5828" s="1" t="str">
        <f t="shared" si="376"/>
        <v>| [ㄍㄣˊ](ㄍㄣˊ.md) | [哏](哏.md) |  | gén | [名]
滑稽的言詞或動作。如：「逗哏」、「抓哏」。
[形]
可笑有趣。如：「你瞧，那個小丑的樣子多哏哪！」 |</v>
      </c>
    </row>
    <row r="5829" spans="1:44" hidden="1">
      <c r="A5829" s="1" t="s">
        <v>9948</v>
      </c>
      <c r="C5829" s="1">
        <v>1</v>
      </c>
      <c r="D5829" s="1" t="str">
        <f>"04083"</f>
        <v>04083</v>
      </c>
      <c r="E5829" s="1" t="s">
        <v>8928</v>
      </c>
      <c r="F5829" s="1">
        <v>6</v>
      </c>
      <c r="G5829" s="1">
        <v>0</v>
      </c>
      <c r="H5829" s="1">
        <v>2</v>
      </c>
      <c r="I5829" s="1" t="s">
        <v>9949</v>
      </c>
      <c r="K5829" s="1" t="str">
        <f t="shared" si="374"/>
        <v>ㄍ</v>
      </c>
      <c r="L5829" s="1" t="str">
        <f t="shared" si="375"/>
        <v>ㄣ</v>
      </c>
      <c r="N5829" s="3" t="s">
        <v>30576</v>
      </c>
      <c r="O5829" s="3"/>
      <c r="P5829" s="1" t="s">
        <v>20</v>
      </c>
      <c r="R5829" s="1" t="s">
        <v>9950</v>
      </c>
      <c r="V5829" s="1" t="s">
        <v>9951</v>
      </c>
      <c r="W5829" s="1" t="s">
        <v>9952</v>
      </c>
      <c r="AR5829" s="1" t="str">
        <f t="shared" si="376"/>
        <v>| [ㄍㄣˇ](ㄍㄣˇ.md) | [艮](艮.md) |  | gěn | [形]
1.食物堅韌不脆。如：「艮蘿蔔不好吃。」
2.耿直的。如：「這個人真艮！」
3.衣飾簡略無華彩。如：「他的衣物一向都是這麼艮的。」
4.語言粗率、不婉轉。如：「他的話太艮了。」 |</v>
      </c>
    </row>
    <row r="5830" spans="1:44" hidden="1">
      <c r="A5830" s="1" t="s">
        <v>9973</v>
      </c>
      <c r="C5830" s="1">
        <v>1</v>
      </c>
      <c r="D5830" s="1" t="str">
        <f>"04107"</f>
        <v>04107</v>
      </c>
      <c r="E5830" s="1" t="s">
        <v>139</v>
      </c>
      <c r="F5830" s="1">
        <v>7</v>
      </c>
      <c r="G5830" s="1">
        <v>3</v>
      </c>
      <c r="H5830" s="1">
        <v>2</v>
      </c>
      <c r="I5830" s="1" t="s">
        <v>10012</v>
      </c>
      <c r="K5830" s="1" t="str">
        <f t="shared" si="374"/>
        <v>ㄍ</v>
      </c>
      <c r="L5830" s="1" t="str">
        <f t="shared" si="375"/>
        <v>ㄤ</v>
      </c>
      <c r="N5830" s="3" t="s">
        <v>30574</v>
      </c>
      <c r="O5830" s="3"/>
      <c r="P5830" s="1" t="s">
        <v>20</v>
      </c>
      <c r="R5830" s="1" t="s">
        <v>10013</v>
      </c>
      <c r="V5830" s="1" t="s">
        <v>10014</v>
      </c>
      <c r="W5830" s="1" t="s">
        <v>10015</v>
      </c>
      <c r="AR5830" s="1" t="str">
        <f t="shared" si="376"/>
        <v>| [ㄍㄤˋ](ㄍㄤˋ.md) | [杠](杠.md) |  | gàng | 同「槓」。 |</v>
      </c>
    </row>
    <row r="5831" spans="1:44" hidden="1">
      <c r="A5831" s="1" t="s">
        <v>10016</v>
      </c>
      <c r="C5831" s="1">
        <v>1</v>
      </c>
      <c r="D5831" s="1" t="str">
        <f>"04108"</f>
        <v>04108</v>
      </c>
      <c r="E5831" s="1" t="s">
        <v>139</v>
      </c>
      <c r="F5831" s="1">
        <v>14</v>
      </c>
      <c r="G5831" s="1">
        <v>10</v>
      </c>
      <c r="H5831" s="1">
        <v>0</v>
      </c>
      <c r="I5831" s="1" t="s">
        <v>10012</v>
      </c>
      <c r="K5831" s="1" t="str">
        <f t="shared" si="374"/>
        <v>ㄍ</v>
      </c>
      <c r="L5831" s="1" t="str">
        <f t="shared" si="375"/>
        <v>ㄤ</v>
      </c>
      <c r="N5831" s="3" t="s">
        <v>30574</v>
      </c>
      <c r="O5831" s="3"/>
      <c r="P5831" s="1" t="s">
        <v>20</v>
      </c>
      <c r="R5831" s="1" t="s">
        <v>10013</v>
      </c>
      <c r="V5831" s="1" t="s">
        <v>10017</v>
      </c>
      <c r="AR5831" s="1" t="str">
        <f t="shared" si="376"/>
        <v>| [ㄍㄤˋ](ㄍㄤˋ.md) | [槓](槓.md) |  | gàng | [名]
1.較粗的棍子。如：「木槓」、「鐵槓」。
2.一種體操器材。如：「單槓」、「雙槓」、「高低槓」。
3.作為標記或刪除的線條。如：「槓子」、「老師批改作文十分用心，凡是有錯誤的地方，都會畫紅槓。」
[動]
1.把刀等有刃器具，在皮、布、石磨擦，使刃鋒利。如：「槓刀」。
2.劃線條以示標記或刪除。如：「他把文意不通的句子槓掉了。」
3.吵嘴，自以為是而好與人爭辯。如：「他今天和我槓上了。」《文明小史》第一七回：「如今久別相逢，難為情見面就抬槓，只得趁勢打住話頭，另談別事。」 |</v>
      </c>
    </row>
    <row r="5832" spans="1:44" hidden="1">
      <c r="A5832" s="1" t="s">
        <v>9996</v>
      </c>
      <c r="C5832" s="1">
        <v>1</v>
      </c>
      <c r="D5832" s="1" t="str">
        <f>"04109"</f>
        <v>04109</v>
      </c>
      <c r="E5832" s="1" t="s">
        <v>55</v>
      </c>
      <c r="F5832" s="1">
        <v>16</v>
      </c>
      <c r="G5832" s="1">
        <v>8</v>
      </c>
      <c r="H5832" s="1">
        <v>2</v>
      </c>
      <c r="I5832" s="1" t="s">
        <v>10012</v>
      </c>
      <c r="K5832" s="1" t="str">
        <f t="shared" si="374"/>
        <v>ㄍ</v>
      </c>
      <c r="L5832" s="1" t="str">
        <f t="shared" si="375"/>
        <v>ㄤ</v>
      </c>
      <c r="N5832" s="3" t="s">
        <v>30574</v>
      </c>
      <c r="O5832" s="3"/>
      <c r="P5832" s="1" t="s">
        <v>20</v>
      </c>
      <c r="R5832" s="1" t="s">
        <v>10013</v>
      </c>
      <c r="V5832" s="1" t="s">
        <v>10018</v>
      </c>
      <c r="W5832" s="1" t="s">
        <v>10019</v>
      </c>
      <c r="AR5832" s="1" t="str">
        <f t="shared" si="376"/>
        <v>| [ㄍㄤˋ](ㄍㄤˋ.md) | [鋼](鋼.md) |  | gàng | [動]
把刀在皮、布、磨刀石等上磨或重新打造，使刀變利。如：「你把刀子拿去鋼一鋼。」 |</v>
      </c>
    </row>
    <row r="5833" spans="1:44" hidden="1">
      <c r="A5833" s="1" t="s">
        <v>10020</v>
      </c>
      <c r="C5833" s="1">
        <v>1</v>
      </c>
      <c r="D5833" s="1" t="str">
        <f>"04110"</f>
        <v>04110</v>
      </c>
      <c r="E5833" s="1" t="s">
        <v>250</v>
      </c>
      <c r="F5833" s="1">
        <v>28</v>
      </c>
      <c r="G5833" s="1">
        <v>24</v>
      </c>
      <c r="H5833" s="1">
        <v>2</v>
      </c>
      <c r="I5833" s="1" t="s">
        <v>10012</v>
      </c>
      <c r="K5833" s="1" t="str">
        <f t="shared" si="374"/>
        <v>ㄍ</v>
      </c>
      <c r="L5833" s="1" t="str">
        <f t="shared" si="375"/>
        <v>ㄤ</v>
      </c>
      <c r="N5833" s="3" t="s">
        <v>30574</v>
      </c>
      <c r="O5833" s="3"/>
      <c r="P5833" s="1" t="s">
        <v>110</v>
      </c>
      <c r="R5833" s="1" t="s">
        <v>10013</v>
      </c>
      <c r="V5833" s="1" t="s">
        <v>111</v>
      </c>
      <c r="W5833" s="1" t="s">
        <v>10021</v>
      </c>
      <c r="AR5833" s="1" t="str">
        <f t="shared" si="376"/>
        <v>| [ㄍㄤˋ](ㄍㄤˋ.md) | [戇](戇.md) |  | gàng | (一)之又音。 |</v>
      </c>
    </row>
    <row r="5834" spans="1:44" hidden="1">
      <c r="A5834" s="1" t="s">
        <v>9982</v>
      </c>
      <c r="C5834" s="1">
        <v>1</v>
      </c>
      <c r="D5834" s="1" t="str">
        <f>"04104"</f>
        <v>04104</v>
      </c>
      <c r="E5834" s="1" t="s">
        <v>190</v>
      </c>
      <c r="F5834" s="1">
        <v>8</v>
      </c>
      <c r="G5834" s="1">
        <v>5</v>
      </c>
      <c r="H5834" s="1">
        <v>2</v>
      </c>
      <c r="I5834" s="1" t="s">
        <v>10005</v>
      </c>
      <c r="K5834" s="1" t="str">
        <f t="shared" si="374"/>
        <v>ㄍ</v>
      </c>
      <c r="L5834" s="1" t="str">
        <f t="shared" si="375"/>
        <v>ㄤ</v>
      </c>
      <c r="N5834" s="3" t="s">
        <v>30576</v>
      </c>
      <c r="O5834" s="3"/>
      <c r="P5834" s="1" t="s">
        <v>110</v>
      </c>
      <c r="R5834" s="1" t="s">
        <v>10006</v>
      </c>
      <c r="V5834" s="1" t="s">
        <v>111</v>
      </c>
      <c r="W5834" s="1" t="s">
        <v>10007</v>
      </c>
      <c r="AR5834" s="1" t="str">
        <f t="shared" si="376"/>
        <v>| [ㄍㄤˇ](ㄍㄤˇ.md) | [岡](岡.md) |  | gǎng | (一)之又音。 |</v>
      </c>
    </row>
    <row r="5835" spans="1:44" hidden="1">
      <c r="A5835" s="1" t="s">
        <v>9989</v>
      </c>
      <c r="C5835" s="1">
        <v>1</v>
      </c>
      <c r="D5835" s="1" t="str">
        <f>"04105"</f>
        <v>04105</v>
      </c>
      <c r="E5835" s="1" t="s">
        <v>190</v>
      </c>
      <c r="F5835" s="1">
        <v>11</v>
      </c>
      <c r="G5835" s="1">
        <v>8</v>
      </c>
      <c r="H5835" s="1">
        <v>2</v>
      </c>
      <c r="I5835" s="1" t="s">
        <v>10005</v>
      </c>
      <c r="K5835" s="1" t="str">
        <f t="shared" si="374"/>
        <v>ㄍ</v>
      </c>
      <c r="L5835" s="1" t="str">
        <f t="shared" si="375"/>
        <v>ㄤ</v>
      </c>
      <c r="N5835" s="3" t="s">
        <v>30576</v>
      </c>
      <c r="O5835" s="3"/>
      <c r="P5835" s="1" t="s">
        <v>20</v>
      </c>
      <c r="R5835" s="1" t="s">
        <v>10006</v>
      </c>
      <c r="V5835" s="1" t="s">
        <v>10008</v>
      </c>
      <c r="W5835" s="1" t="s">
        <v>10009</v>
      </c>
      <c r="AR5835" s="1" t="str">
        <f t="shared" si="376"/>
        <v>| [ㄍㄤˇ](ㄍㄤˇ.md) | [崗](崗.md) |  | gǎng | [名]
1.(一)之又音。
2.高起如小山的土坡。如：「黃土崗」。
3.守衛、值勤時的處所。如：「崗哨」、「站崗」。
4.比喻職責、本分。如：「每個人都應堅守自己的工作崗位。」 |</v>
      </c>
    </row>
    <row r="5836" spans="1:44" hidden="1">
      <c r="A5836" s="1" t="s">
        <v>10010</v>
      </c>
      <c r="C5836" s="1">
        <v>1</v>
      </c>
      <c r="D5836" s="1" t="str">
        <f>"04106"</f>
        <v>04106</v>
      </c>
      <c r="E5836" s="1" t="s">
        <v>129</v>
      </c>
      <c r="F5836" s="1">
        <v>12</v>
      </c>
      <c r="G5836" s="1">
        <v>9</v>
      </c>
      <c r="H5836" s="1">
        <v>0</v>
      </c>
      <c r="I5836" s="1" t="s">
        <v>10005</v>
      </c>
      <c r="K5836" s="1" t="str">
        <f t="shared" si="374"/>
        <v>ㄍ</v>
      </c>
      <c r="L5836" s="1" t="str">
        <f t="shared" si="375"/>
        <v>ㄤ</v>
      </c>
      <c r="N5836" s="3" t="s">
        <v>30576</v>
      </c>
      <c r="O5836" s="3"/>
      <c r="P5836" s="1" t="s">
        <v>20</v>
      </c>
      <c r="R5836" s="1" t="s">
        <v>10006</v>
      </c>
      <c r="V5836" s="1" t="s">
        <v>10011</v>
      </c>
      <c r="AR5836" s="1" t="str">
        <f t="shared" si="376"/>
        <v>| [ㄍㄤˇ](ㄍㄤˇ.md) | [港](港.md) |  | gǎng | [名]
1.河流或海灣深曲處，可以停泊船隻的口岸。如：「海港」、「商港」、「軍港」。
2.大陸地區香港的簡稱。如：「港九」、「港澳」。 |</v>
      </c>
    </row>
    <row r="5837" spans="1:44" hidden="1">
      <c r="A5837" s="1" t="s">
        <v>9953</v>
      </c>
      <c r="C5837" s="1">
        <v>1</v>
      </c>
      <c r="D5837" s="1" t="str">
        <f>"04129"</f>
        <v>04129</v>
      </c>
      <c r="E5837" s="1" t="s">
        <v>9954</v>
      </c>
      <c r="F5837" s="1">
        <v>6</v>
      </c>
      <c r="G5837" s="1">
        <v>4</v>
      </c>
      <c r="H5837" s="1">
        <v>2</v>
      </c>
      <c r="I5837" s="1" t="s">
        <v>10066</v>
      </c>
      <c r="K5837" s="1" t="str">
        <f t="shared" si="374"/>
        <v>ㄍ</v>
      </c>
      <c r="L5837" s="1" t="str">
        <f t="shared" si="375"/>
        <v>ㄥ</v>
      </c>
      <c r="N5837" s="3" t="s">
        <v>30574</v>
      </c>
      <c r="O5837" s="3"/>
      <c r="P5837" s="1" t="s">
        <v>110</v>
      </c>
      <c r="R5837" s="1" t="s">
        <v>10067</v>
      </c>
      <c r="V5837" s="1" t="s">
        <v>111</v>
      </c>
      <c r="W5837" s="1" t="s">
        <v>10068</v>
      </c>
      <c r="AR5837" s="1" t="str">
        <f t="shared" si="376"/>
        <v>| [ㄍㄥˋ](ㄍㄥˋ.md) | [亙](亙.md) |  | gèng | (一)之又音。 |</v>
      </c>
    </row>
    <row r="5838" spans="1:44" hidden="1">
      <c r="A5838" s="1" t="s">
        <v>10069</v>
      </c>
      <c r="C5838" s="1">
        <v>1</v>
      </c>
      <c r="D5838" s="1" t="str">
        <f>"04130"</f>
        <v>04130</v>
      </c>
      <c r="E5838" s="1" t="s">
        <v>132</v>
      </c>
      <c r="F5838" s="1">
        <v>12</v>
      </c>
      <c r="G5838" s="1">
        <v>9</v>
      </c>
      <c r="H5838" s="1">
        <v>0</v>
      </c>
      <c r="I5838" s="1" t="s">
        <v>10066</v>
      </c>
      <c r="K5838" s="1" t="str">
        <f t="shared" si="374"/>
        <v>ㄍ</v>
      </c>
      <c r="L5838" s="1" t="str">
        <f t="shared" si="375"/>
        <v>ㄥ</v>
      </c>
      <c r="N5838" s="3" t="s">
        <v>30574</v>
      </c>
      <c r="O5838" s="3"/>
      <c r="P5838" s="1" t="s">
        <v>20</v>
      </c>
      <c r="R5838" s="1" t="s">
        <v>10067</v>
      </c>
      <c r="V5838" s="1" t="s">
        <v>10070</v>
      </c>
      <c r="AR5838" s="1" t="str">
        <f t="shared" si="376"/>
        <v>| [ㄍㄥˋ](ㄍㄥˋ.md) | [堩](堩.md) |  | gèng | [名]
道路。《儀禮．既夕禮》：「唯君命止柩於堩，其餘則否。」《禮記．雜記下》：「非從柩與反哭，無免於堩。」漢．鄭玄．注：「堩，道路也。」 |</v>
      </c>
    </row>
    <row r="5839" spans="1:44" hidden="1">
      <c r="A5839" s="1" t="s">
        <v>10022</v>
      </c>
      <c r="C5839" s="1">
        <v>1</v>
      </c>
      <c r="D5839" s="1" t="str">
        <f>"04131"</f>
        <v>04131</v>
      </c>
      <c r="E5839" s="1" t="s">
        <v>6488</v>
      </c>
      <c r="F5839" s="1">
        <v>7</v>
      </c>
      <c r="G5839" s="1">
        <v>3</v>
      </c>
      <c r="H5839" s="1">
        <v>3</v>
      </c>
      <c r="I5839" s="1" t="s">
        <v>10066</v>
      </c>
      <c r="K5839" s="1" t="str">
        <f t="shared" si="374"/>
        <v>ㄍ</v>
      </c>
      <c r="L5839" s="1" t="str">
        <f t="shared" si="375"/>
        <v>ㄥ</v>
      </c>
      <c r="N5839" s="3" t="s">
        <v>30574</v>
      </c>
      <c r="O5839" s="3"/>
      <c r="P5839" s="1" t="s">
        <v>20</v>
      </c>
      <c r="R5839" s="1" t="s">
        <v>10067</v>
      </c>
      <c r="V5839" s="1" t="s">
        <v>10071</v>
      </c>
      <c r="W5839" s="1" t="s">
        <v>10072</v>
      </c>
      <c r="AR5839" s="1" t="str">
        <f t="shared" si="376"/>
        <v>| [ㄍㄥˋ](ㄍㄥˋ.md) | [更](更.md) |  | gèng | [副]_x000D_
1.愈甚、越發。表示加重一層的語氣。如：「更好」、「更加努力」。唐．李白〈宣州謝朓樓餞別校書叔雲〉詩：「抽刀斷水水更流，舉杯銷愁愁更愁。」清．龔自珍〈己亥雜詩〉三一五首之五：「落紅不是無情物，化作春泥更護花。」_x000D_
2.再、復。唐．王之渙〈登鸛雀樓〉詩：「欲窮千里目，更上一層樓。」《紅樓夢》第一二〇回：「雨村聽著卻不明白，知仙機也不便更問。」_x000D_
3.竟然、終於。《全唐詩．卷七九八．花蕊夫人．述國亡詩》：「十四萬人齊解甲，更無一個是男兒。」_x000D_
4.豈、難道、那裡。唐．杜甫〈春日梓州登樓〉詩二首之二：「戰場今始定，移柳更能存。」《水滸傳》第一一〇回：「此是人之常情，更待多說？」_x000D_
5.縱使、即使、不論怎樣。五代十國．李煜〈清平樂．別來春半〉詞：「離恨恰如春草，更行更遠還生。」宋．柳永〈如魚水．輕靄浮空〉詞：「更歸去，偏歷鑾坡鳳沼，此景也難忘。」_x000D_
6.反而。漢．王充《論衡．奇怪》：「儒者稱聖人之生，不因人氣，更稟精於天。」 |</v>
      </c>
    </row>
    <row r="5840" spans="1:44" hidden="1">
      <c r="A5840" s="1" t="s">
        <v>10045</v>
      </c>
      <c r="C5840" s="1">
        <v>1</v>
      </c>
      <c r="D5840" s="1" t="str">
        <f>"04120"</f>
        <v>04120</v>
      </c>
      <c r="E5840" s="1" t="s">
        <v>132</v>
      </c>
      <c r="F5840" s="1">
        <v>10</v>
      </c>
      <c r="G5840" s="1">
        <v>7</v>
      </c>
      <c r="H5840" s="1">
        <v>0</v>
      </c>
      <c r="I5840" s="1" t="s">
        <v>10046</v>
      </c>
      <c r="K5840" s="1" t="str">
        <f t="shared" si="374"/>
        <v>ㄍ</v>
      </c>
      <c r="L5840" s="1" t="str">
        <f t="shared" si="375"/>
        <v>ㄥ</v>
      </c>
      <c r="N5840" s="3" t="s">
        <v>30576</v>
      </c>
      <c r="O5840" s="3"/>
      <c r="P5840" s="1" t="s">
        <v>20</v>
      </c>
      <c r="R5840" s="1" t="s">
        <v>10047</v>
      </c>
      <c r="V5840" s="1" t="s">
        <v>10048</v>
      </c>
      <c r="AR5840" s="1" t="str">
        <f t="shared" si="376"/>
        <v>| [ㄍㄥˇ](ㄍㄥˇ.md) | [埂](埂.md) |  | gěng | [名]
1.小坑。《玉篇．土部》：「埂，小坑也。」
2.田地裡可供行走及區劃田界的小土堤或小路。如：「田埂」、「土埂」。 |</v>
      </c>
    </row>
    <row r="5841" spans="1:44" hidden="1">
      <c r="A5841" s="1" t="s">
        <v>10049</v>
      </c>
      <c r="C5841" s="1">
        <v>1</v>
      </c>
      <c r="D5841" s="1" t="str">
        <f>"04121"</f>
        <v>04121</v>
      </c>
      <c r="E5841" s="1" t="s">
        <v>256</v>
      </c>
      <c r="F5841" s="1">
        <v>10</v>
      </c>
      <c r="G5841" s="1">
        <v>7</v>
      </c>
      <c r="H5841" s="1">
        <v>0</v>
      </c>
      <c r="I5841" s="1" t="s">
        <v>10046</v>
      </c>
      <c r="K5841" s="1" t="str">
        <f t="shared" si="374"/>
        <v>ㄍ</v>
      </c>
      <c r="L5841" s="1" t="str">
        <f t="shared" si="375"/>
        <v>ㄥ</v>
      </c>
      <c r="N5841" s="3" t="s">
        <v>30576</v>
      </c>
      <c r="O5841" s="3"/>
      <c r="P5841" s="1" t="s">
        <v>20</v>
      </c>
      <c r="R5841" s="1" t="s">
        <v>10047</v>
      </c>
      <c r="V5841" s="1" t="s">
        <v>10050</v>
      </c>
      <c r="AR5841" s="1" t="str">
        <f t="shared" si="376"/>
        <v>| [ㄍㄥˇ](ㄍㄥˇ.md) | [郠](郠.md) |  | gěng | [名]
地名。春秋時莒邑。約在今大陸地區山東省沂水縣境。 |</v>
      </c>
    </row>
    <row r="5842" spans="1:44" hidden="1">
      <c r="A5842" s="1" t="s">
        <v>10051</v>
      </c>
      <c r="C5842" s="1">
        <v>1</v>
      </c>
      <c r="D5842" s="1" t="str">
        <f>"04122"</f>
        <v>04122</v>
      </c>
      <c r="E5842" s="1" t="s">
        <v>28</v>
      </c>
      <c r="F5842" s="1">
        <v>10</v>
      </c>
      <c r="G5842" s="1">
        <v>7</v>
      </c>
      <c r="H5842" s="1">
        <v>0</v>
      </c>
      <c r="I5842" s="1" t="s">
        <v>10046</v>
      </c>
      <c r="K5842" s="1" t="str">
        <f t="shared" si="374"/>
        <v>ㄍ</v>
      </c>
      <c r="L5842" s="1" t="str">
        <f t="shared" si="375"/>
        <v>ㄥ</v>
      </c>
      <c r="N5842" s="3" t="s">
        <v>30576</v>
      </c>
      <c r="O5842" s="3"/>
      <c r="P5842" s="1" t="s">
        <v>20</v>
      </c>
      <c r="R5842" s="1" t="s">
        <v>10047</v>
      </c>
      <c r="V5842" s="1" t="s">
        <v>10052</v>
      </c>
      <c r="AR5842" s="1" t="str">
        <f t="shared" si="376"/>
        <v>| [ㄍㄥˇ](ㄍㄥˇ.md) | [哽](哽.md) |  | gěng | [動]
1.因情緒激動，而發不出聲音來。如：「哽咽」。《南史．卷一四．宋宗室及諸王傳下．文帝諸子傳》：「因把姬手南望慟哭，左右莫不哀哽。」
2.噎住、無法下嚥。《抱朴子．外篇．任能》：「故口不容而強吞之者必哽。」 |</v>
      </c>
    </row>
    <row r="5843" spans="1:44" hidden="1">
      <c r="A5843" s="1" t="s">
        <v>10053</v>
      </c>
      <c r="C5843" s="1">
        <v>1</v>
      </c>
      <c r="D5843" s="1" t="str">
        <f>"04123"</f>
        <v>04123</v>
      </c>
      <c r="E5843" s="1" t="s">
        <v>139</v>
      </c>
      <c r="F5843" s="1">
        <v>11</v>
      </c>
      <c r="G5843" s="1">
        <v>7</v>
      </c>
      <c r="H5843" s="1">
        <v>0</v>
      </c>
      <c r="I5843" s="1" t="s">
        <v>10046</v>
      </c>
      <c r="K5843" s="1" t="str">
        <f t="shared" si="374"/>
        <v>ㄍ</v>
      </c>
      <c r="L5843" s="1" t="str">
        <f t="shared" si="375"/>
        <v>ㄥ</v>
      </c>
      <c r="N5843" s="3" t="s">
        <v>30576</v>
      </c>
      <c r="O5843" s="3"/>
      <c r="P5843" s="1" t="s">
        <v>20</v>
      </c>
      <c r="R5843" s="1" t="s">
        <v>10047</v>
      </c>
      <c r="V5843" s="1" t="s">
        <v>10054</v>
      </c>
      <c r="AR5843" s="1" t="str">
        <f t="shared" si="376"/>
        <v>| [ㄍㄥˇ](ㄍㄥˇ.md) | [梗](梗.md) |  | gěng | [名]
1.植物的枝莖。如：「花梗」、「菜梗」。《戰國策．齊策三》：「吾西岸之土也，土則復西岸耳，今子東國之桃梗也。」唐．杜甫〈舟中出江陵南浦奉寄鄭少尹審〉詩：「鳴螿隨汎梗，別燕起秋菰。」
2.大概。如：「梗概」。《文選．張衡．東京賦》：「故粗為賓言其梗概如此。」
[動]
1.阻塞。如：「從中作梗」。《北史．卷六七．令狐整傳》：「先是州縣生梗，長吏多不得之官，寄政於總管府。」《聊齋志異．卷一一．陳雲棲》：「音耗遂梗，久不如黃省問。」
2.向上挺直。《紅樓夢》第二三回：「鳳姐聽了，把頭一梗。」
[形]
剛正直爽。如：「梗直」、「風骨梗正」。 |</v>
      </c>
    </row>
    <row r="5844" spans="1:44" hidden="1">
      <c r="A5844" s="1" t="s">
        <v>10055</v>
      </c>
      <c r="C5844" s="1">
        <v>1</v>
      </c>
      <c r="D5844" s="1" t="str">
        <f>"04124"</f>
        <v>04124</v>
      </c>
      <c r="E5844" s="1" t="s">
        <v>725</v>
      </c>
      <c r="F5844" s="1">
        <v>13</v>
      </c>
      <c r="G5844" s="1">
        <v>7</v>
      </c>
      <c r="H5844" s="1">
        <v>0</v>
      </c>
      <c r="I5844" s="1" t="s">
        <v>10046</v>
      </c>
      <c r="K5844" s="1" t="str">
        <f t="shared" si="374"/>
        <v>ㄍ</v>
      </c>
      <c r="L5844" s="1" t="str">
        <f t="shared" si="375"/>
        <v>ㄥ</v>
      </c>
      <c r="N5844" s="3" t="s">
        <v>30576</v>
      </c>
      <c r="O5844" s="3"/>
      <c r="P5844" s="1" t="s">
        <v>20</v>
      </c>
      <c r="R5844" s="1" t="s">
        <v>10047</v>
      </c>
      <c r="V5844" s="1" t="s">
        <v>10056</v>
      </c>
      <c r="AR5844" s="1" t="str">
        <f t="shared" si="376"/>
        <v>| [ㄍㄥˇ](ㄍㄥˇ.md) | [綆](綆.md) |  | gěng | [名]
汲水所用的繩子。《左傳．襄公九年》：「具綆缶，備水器。」晉．杜預．注：「綆，汲索。」唐．劉禹錫〈武陵觀火詩〉：「操綆不暇汲，循牆還避踰。」 |</v>
      </c>
    </row>
    <row r="5845" spans="1:44" hidden="1">
      <c r="A5845" s="1" t="s">
        <v>10057</v>
      </c>
      <c r="C5845" s="1">
        <v>1</v>
      </c>
      <c r="D5845" s="1" t="str">
        <f>"04125"</f>
        <v>04125</v>
      </c>
      <c r="E5845" s="1" t="s">
        <v>283</v>
      </c>
      <c r="F5845" s="1">
        <v>17</v>
      </c>
      <c r="G5845" s="1">
        <v>7</v>
      </c>
      <c r="H5845" s="1">
        <v>0</v>
      </c>
      <c r="I5845" s="1" t="s">
        <v>10046</v>
      </c>
      <c r="K5845" s="1" t="str">
        <f t="shared" si="374"/>
        <v>ㄍ</v>
      </c>
      <c r="L5845" s="1" t="str">
        <f t="shared" si="375"/>
        <v>ㄥ</v>
      </c>
      <c r="N5845" s="3" t="s">
        <v>30576</v>
      </c>
      <c r="O5845" s="3"/>
      <c r="P5845" s="1" t="s">
        <v>20</v>
      </c>
      <c r="R5845" s="1" t="s">
        <v>10047</v>
      </c>
      <c r="V5845" s="1" t="s">
        <v>10058</v>
      </c>
      <c r="AR5845" s="1" t="str">
        <f t="shared" si="376"/>
        <v>| [ㄍㄥˇ](ㄍㄥˇ.md) | [骾](骾.md) |  | gěng | [動]
骨頭卡在喉嚨裡。《說文解字．骨部》：「骾，食骨留咽中也。」如：「如骾在喉」。
[形]
耿直。《漢書．卷六〇．杜周傳》：「王氏世權日久，朝無骨骾之臣。」明．陸采《懷香記》第一四齣：「明為軍機，豈容暫停。既承君命，若抗辭推避非忠骾。」 |</v>
      </c>
    </row>
    <row r="5846" spans="1:44" hidden="1">
      <c r="A5846" s="1" t="s">
        <v>10059</v>
      </c>
      <c r="C5846" s="1">
        <v>1</v>
      </c>
      <c r="D5846" s="1" t="str">
        <f>"04126"</f>
        <v>04126</v>
      </c>
      <c r="E5846" s="1" t="s">
        <v>156</v>
      </c>
      <c r="F5846" s="1">
        <v>18</v>
      </c>
      <c r="G5846" s="1">
        <v>7</v>
      </c>
      <c r="H5846" s="1">
        <v>0</v>
      </c>
      <c r="I5846" s="1" t="s">
        <v>10046</v>
      </c>
      <c r="K5846" s="1" t="str">
        <f t="shared" si="374"/>
        <v>ㄍ</v>
      </c>
      <c r="L5846" s="1" t="str">
        <f t="shared" si="375"/>
        <v>ㄥ</v>
      </c>
      <c r="N5846" s="3" t="s">
        <v>30576</v>
      </c>
      <c r="O5846" s="3"/>
      <c r="P5846" s="1" t="s">
        <v>20</v>
      </c>
      <c r="R5846" s="1" t="s">
        <v>10047</v>
      </c>
      <c r="V5846" s="1" t="s">
        <v>10060</v>
      </c>
      <c r="AR5846" s="1" t="str">
        <f t="shared" si="376"/>
        <v>| [ㄍㄥˇ](ㄍㄥˇ.md) | [鯁](鯁.md) |  | gěng | [名]_x000D_
1.魚骨、魚刺。《說文解字．魚部》：「鯁，魚骨也。」_x000D_
2.禍害。《國語．晉語六》：「今治政而內亂，不可謂德；除鯁而避彊，不可謂刑。」《後漢書．卷六五．皇甫張段列傳．段熲》：「昔先零作寇，……始服終叛，至今為鯁。」_x000D_
[動]_x000D_
1.魚骨刺在喉嚨中。《廣韻．上聲．梗韻》：「鯁，刺在喉。」如：「骨鯁在喉，不吐不快。」《禮記．內則》：「魚去乙。」漢．鄭玄．注：「今東海容魚有骨名乙，在目旁，狀如篆乙，食之鯁人不可出。」_x000D_
2.阻塞不通。南朝梁．庾肩吾〈亂後行經吳郵亭詩〉：「獯戎鯁伊洛，雜種亂轘轅。」宋．蘇軾〈張文定公墓誌銘〉：「餉道一鯁，兵安所仰食？」_x000D_
[形]_x000D_
正直、耿直。《史記．卷八六．刺客列傳．專諸》：「方今吳外困于楚，而內空無骨鯁之臣，是無如我何。」《隋書．卷三九．列傳．陰壽》：「性剛鯁，有不可奪之志。」 |</v>
      </c>
    </row>
    <row r="5847" spans="1:44" hidden="1">
      <c r="A5847" s="1" t="s">
        <v>10061</v>
      </c>
      <c r="C5847" s="1">
        <v>1</v>
      </c>
      <c r="D5847" s="1" t="str">
        <f>"04127"</f>
        <v>04127</v>
      </c>
      <c r="E5847" s="1" t="s">
        <v>2419</v>
      </c>
      <c r="F5847" s="1">
        <v>10</v>
      </c>
      <c r="G5847" s="1">
        <v>4</v>
      </c>
      <c r="H5847" s="1">
        <v>0</v>
      </c>
      <c r="I5847" s="1" t="s">
        <v>10046</v>
      </c>
      <c r="K5847" s="1" t="str">
        <f t="shared" si="374"/>
        <v>ㄍ</v>
      </c>
      <c r="L5847" s="1" t="str">
        <f t="shared" si="375"/>
        <v>ㄥ</v>
      </c>
      <c r="N5847" s="3" t="s">
        <v>30576</v>
      </c>
      <c r="O5847" s="3"/>
      <c r="P5847" s="1" t="s">
        <v>20</v>
      </c>
      <c r="R5847" s="1" t="s">
        <v>10047</v>
      </c>
      <c r="V5847" s="1" t="s">
        <v>10062</v>
      </c>
      <c r="AR5847" s="1" t="str">
        <f t="shared" si="376"/>
        <v>| [ㄍㄥˇ](ㄍㄥˇ.md) | [耿](耿.md) |  | gěng | [形]
1.明亮的、光大的。如：「耿月」。《書經．立政》：「以覲文王之耿光，以揚武王之大烈。」
2.正直不阿的。如：「耿介」、「耿直」。唐．韓愈〈南山詩〉：「參差相疊重，剛耿陵宇宙。」
3.悲傷、悲痛。《梁書．卷二七．殷鈞傳》：「知比諸德，哀頓為過，又所進殆無一溢，甚以酸耿。」
[動]
照耀。《國語．晉語三》：「若入，必伯諸侯以見天子，其光耿於民矣。」宋．陸游〈西村〉詩：「一首清詩記今夕，細雲新月耿黃昏。」
[名]
姓。如漢代有耿壽昌。 |</v>
      </c>
    </row>
    <row r="5848" spans="1:44" hidden="1">
      <c r="A5848" s="1" t="s">
        <v>10063</v>
      </c>
      <c r="C5848" s="1">
        <v>1</v>
      </c>
      <c r="D5848" s="1" t="str">
        <f>"04128"</f>
        <v>04128</v>
      </c>
      <c r="E5848" s="1" t="s">
        <v>684</v>
      </c>
      <c r="F5848" s="1">
        <v>16</v>
      </c>
      <c r="G5848" s="1">
        <v>7</v>
      </c>
      <c r="H5848" s="1">
        <v>2</v>
      </c>
      <c r="I5848" s="1" t="s">
        <v>10046</v>
      </c>
      <c r="K5848" s="1" t="str">
        <f t="shared" si="374"/>
        <v>ㄍ</v>
      </c>
      <c r="L5848" s="1" t="str">
        <f t="shared" si="375"/>
        <v>ㄥ</v>
      </c>
      <c r="N5848" s="3" t="s">
        <v>30576</v>
      </c>
      <c r="O5848" s="3"/>
      <c r="P5848" s="1" t="s">
        <v>20</v>
      </c>
      <c r="R5848" s="1" t="s">
        <v>10047</v>
      </c>
      <c r="V5848" s="1" t="s">
        <v>10064</v>
      </c>
      <c r="W5848" s="1" t="s">
        <v>10065</v>
      </c>
      <c r="AR5848" s="1" t="str">
        <f t="shared" si="376"/>
        <v>| [ㄍㄥˇ](ㄍㄥˇ.md) | [頸](頸.md) |  | gěng | [名]
脖子的後面部分。如：「脖頸兒」。 |</v>
      </c>
    </row>
    <row r="5849" spans="1:44" hidden="1">
      <c r="A5849" s="1" t="s">
        <v>9762</v>
      </c>
      <c r="C5849" s="1">
        <v>1</v>
      </c>
      <c r="D5849" s="1" t="str">
        <f>"04185"</f>
        <v>04185</v>
      </c>
      <c r="E5849" s="1" t="s">
        <v>28</v>
      </c>
      <c r="F5849" s="1">
        <v>7</v>
      </c>
      <c r="G5849" s="1">
        <v>4</v>
      </c>
      <c r="H5849" s="1">
        <v>2</v>
      </c>
      <c r="I5849" s="1" t="s">
        <v>10195</v>
      </c>
      <c r="K5849" s="1" t="str">
        <f t="shared" si="374"/>
        <v>ㄍ</v>
      </c>
      <c r="L5849" s="1" t="str">
        <f t="shared" si="375"/>
        <v>ㄨ</v>
      </c>
      <c r="N5849" s="3" t="s">
        <v>30574</v>
      </c>
      <c r="O5849" s="3"/>
      <c r="P5849" s="1" t="s">
        <v>20</v>
      </c>
      <c r="R5849" s="1" t="s">
        <v>10196</v>
      </c>
      <c r="V5849" s="1" t="s">
        <v>10197</v>
      </c>
      <c r="W5849" s="1" t="s">
        <v>10198</v>
      </c>
      <c r="AR5849" s="1" t="str">
        <f t="shared" si="376"/>
        <v>| [ㄍㄨˋ](ㄍㄨˋ.md) | [告](告.md) |  | gù | [動]
規勸。參見「忠告」條。
[名]
參見「告朔」條。 |</v>
      </c>
    </row>
    <row r="5850" spans="1:44" hidden="1">
      <c r="A5850" s="1" t="s">
        <v>10199</v>
      </c>
      <c r="C5850" s="1">
        <v>1</v>
      </c>
      <c r="D5850" s="1" t="str">
        <f>"04186"</f>
        <v>04186</v>
      </c>
      <c r="E5850" s="1" t="s">
        <v>139</v>
      </c>
      <c r="F5850" s="1">
        <v>11</v>
      </c>
      <c r="G5850" s="1">
        <v>7</v>
      </c>
      <c r="H5850" s="1">
        <v>0</v>
      </c>
      <c r="I5850" s="1" t="s">
        <v>10195</v>
      </c>
      <c r="K5850" s="1" t="str">
        <f t="shared" si="374"/>
        <v>ㄍ</v>
      </c>
      <c r="L5850" s="1" t="str">
        <f t="shared" si="375"/>
        <v>ㄨ</v>
      </c>
      <c r="N5850" s="3" t="s">
        <v>30574</v>
      </c>
      <c r="O5850" s="3"/>
      <c r="P5850" s="1" t="s">
        <v>20</v>
      </c>
      <c r="R5850" s="1" t="s">
        <v>10196</v>
      </c>
      <c r="V5850" s="1" t="s">
        <v>10200</v>
      </c>
      <c r="AR5850" s="1" t="str">
        <f t="shared" si="376"/>
        <v>| [ㄍㄨˋ](ㄍㄨˋ.md) | [梏](梏.md) |  | gù | [名]
一種古代的刑具。套在人犯的手上限制其行動。《說文解字．木部》：「梏，手械也。」如：「桎梏」。清．徐珂《清稗類鈔．武略類．轉菴和尚說韓大任就撫》：「置之獄，乃夜毀梏踰垣出，亡走滇南。」
[動]
套上、銬住、拘禁。《左傳．襄公六年》：「子蕩怒，以弓梏華弱于朝。」晉．杜預．注：「張弓以貫其頸，若械之在手，故曰梏。」 |</v>
      </c>
    </row>
    <row r="5851" spans="1:44" hidden="1">
      <c r="A5851" s="1" t="s">
        <v>10201</v>
      </c>
      <c r="C5851" s="1">
        <v>1</v>
      </c>
      <c r="D5851" s="1" t="str">
        <f>"04187"</f>
        <v>04187</v>
      </c>
      <c r="E5851" s="1" t="s">
        <v>518</v>
      </c>
      <c r="F5851" s="1">
        <v>11</v>
      </c>
      <c r="G5851" s="1">
        <v>7</v>
      </c>
      <c r="H5851" s="1">
        <v>0</v>
      </c>
      <c r="I5851" s="1" t="s">
        <v>10195</v>
      </c>
      <c r="K5851" s="1" t="str">
        <f t="shared" si="374"/>
        <v>ㄍ</v>
      </c>
      <c r="L5851" s="1" t="str">
        <f t="shared" si="375"/>
        <v>ㄨ</v>
      </c>
      <c r="N5851" s="3" t="s">
        <v>30574</v>
      </c>
      <c r="O5851" s="3"/>
      <c r="P5851" s="1" t="s">
        <v>20</v>
      </c>
      <c r="R5851" s="1" t="s">
        <v>10196</v>
      </c>
      <c r="V5851" s="1" t="s">
        <v>10202</v>
      </c>
      <c r="AR5851" s="1" t="str">
        <f t="shared" si="376"/>
        <v>| [ㄍㄨˋ](ㄍㄨˋ.md) | [牿](牿.md) |  | gù | [名]
圈養牛馬的地方。《說文解字．牛部》：「牿，牛馬牢也。」 |</v>
      </c>
    </row>
    <row r="5852" spans="1:44" hidden="1">
      <c r="A5852" s="1" t="s">
        <v>10078</v>
      </c>
      <c r="C5852" s="1">
        <v>1</v>
      </c>
      <c r="D5852" s="1" t="str">
        <f>"04188"</f>
        <v>04188</v>
      </c>
      <c r="E5852" s="1" t="s">
        <v>114</v>
      </c>
      <c r="F5852" s="1">
        <v>7</v>
      </c>
      <c r="G5852" s="1">
        <v>5</v>
      </c>
      <c r="H5852" s="1">
        <v>3</v>
      </c>
      <c r="I5852" s="1" t="s">
        <v>10195</v>
      </c>
      <c r="K5852" s="1" t="str">
        <f t="shared" si="374"/>
        <v>ㄍ</v>
      </c>
      <c r="L5852" s="1" t="str">
        <f t="shared" si="375"/>
        <v>ㄨ</v>
      </c>
      <c r="N5852" s="3" t="s">
        <v>30574</v>
      </c>
      <c r="O5852" s="3"/>
      <c r="P5852" s="1" t="s">
        <v>20</v>
      </c>
      <c r="R5852" s="1" t="s">
        <v>10196</v>
      </c>
      <c r="V5852" s="1" t="s">
        <v>10203</v>
      </c>
      <c r="W5852" s="1" t="s">
        <v>10204</v>
      </c>
      <c r="AR5852" s="1" t="str">
        <f t="shared" si="376"/>
        <v>| [ㄍㄨˋ](ㄍㄨˋ.md) | [估](估.md) |  | gù | 參見「估衣」條。 |</v>
      </c>
    </row>
    <row r="5853" spans="1:44" hidden="1">
      <c r="A5853" s="1" t="s">
        <v>10205</v>
      </c>
      <c r="C5853" s="1">
        <v>1</v>
      </c>
      <c r="D5853" s="1" t="str">
        <f>"04189"</f>
        <v>04189</v>
      </c>
      <c r="E5853" s="1" t="s">
        <v>2557</v>
      </c>
      <c r="F5853" s="1">
        <v>8</v>
      </c>
      <c r="G5853" s="1">
        <v>5</v>
      </c>
      <c r="H5853" s="1">
        <v>0</v>
      </c>
      <c r="I5853" s="1" t="s">
        <v>10195</v>
      </c>
      <c r="K5853" s="1" t="str">
        <f t="shared" si="374"/>
        <v>ㄍ</v>
      </c>
      <c r="L5853" s="1" t="str">
        <f t="shared" si="375"/>
        <v>ㄨ</v>
      </c>
      <c r="N5853" s="3" t="s">
        <v>30574</v>
      </c>
      <c r="O5853" s="3"/>
      <c r="P5853" s="1" t="s">
        <v>20</v>
      </c>
      <c r="R5853" s="1" t="s">
        <v>10196</v>
      </c>
      <c r="V5853" s="1" t="s">
        <v>10206</v>
      </c>
      <c r="AR5853" s="1" t="str">
        <f t="shared" si="376"/>
        <v>| [ㄍㄨˋ](ㄍㄨˋ.md) | [固](固.md) |  | gù | [形]_x000D_
1.結實、堅硬。如：「牢固」、「穩固」、「堅固」。《文選．古詩十九首．明月皎夜光》：「良無磐石固，虛名復何益？」_x000D_
2.堅定、確定。《韓非子．五蠹》：「罰莫如重而必，使民畏之；法莫如一而固，使民知之。」_x000D_
[動]_x000D_
1.安定。如：「鞏固國防」。《國語．魯語上》：「晉始伯而欲固諸侯，故解有罪之地以分諸侯。」《史記．卷五五．留侯世家》：「王何不燒絕所過棧道，示天下無還心，以固項王意？」_x000D_
2.禁閉。《漢書．卷八七．揚雄傳下》：「是以欲談者宛舌而固聲，欲行者擬足而投跡。」《三國志．卷一九．魏書．任城陳蕭王傳．陳思王植》：「國之綱紀，本無禁固諸國通問之詔也。」_x000D_
[副]_x000D_
1.堅決、堅持、極力。如：「固守」。《書經．大禹謨》：「禹拜稽首固辭。」《老殘遊記》第四回：「那人再三固讓。老殘仍送出大門，看那人上馬去了。」_x000D_
2.原來、一向。如：「固有道德」。《孟子．梁惠王上》：「百姓皆以王為愛也，臣固知王之不忍也。」_x000D_
3.當然、誠然。唐．柳宗元〈封建論〉：「州縣之設，固不可華也。」《聊齋志異．卷一一．王大》：「諂者固可誅，謬者亦可恨也。」_x000D_
4.姑且、暫且。《老子》第三六章：「將欲歙之，必固張之；將欲弱之，必固強之。」_x000D_
[名]_x000D_
姓。如春秋時晉國有固來。 |</v>
      </c>
    </row>
    <row r="5854" spans="1:44" hidden="1">
      <c r="A5854" s="1" t="s">
        <v>10207</v>
      </c>
      <c r="C5854" s="1">
        <v>1</v>
      </c>
      <c r="D5854" s="1" t="str">
        <f>"04190"</f>
        <v>04190</v>
      </c>
      <c r="E5854" s="1" t="s">
        <v>426</v>
      </c>
      <c r="F5854" s="1">
        <v>9</v>
      </c>
      <c r="G5854" s="1">
        <v>5</v>
      </c>
      <c r="H5854" s="1">
        <v>0</v>
      </c>
      <c r="I5854" s="1" t="s">
        <v>10195</v>
      </c>
      <c r="K5854" s="1" t="str">
        <f t="shared" si="374"/>
        <v>ㄍ</v>
      </c>
      <c r="L5854" s="1" t="str">
        <f t="shared" si="375"/>
        <v>ㄨ</v>
      </c>
      <c r="N5854" s="3" t="s">
        <v>30574</v>
      </c>
      <c r="O5854" s="3"/>
      <c r="P5854" s="1" t="s">
        <v>20</v>
      </c>
      <c r="R5854" s="1" t="s">
        <v>10196</v>
      </c>
      <c r="V5854" s="1" t="s">
        <v>10208</v>
      </c>
      <c r="AR5854" s="1" t="str">
        <f t="shared" si="376"/>
        <v>| [ㄍㄨˋ](ㄍㄨˋ.md) | [故](故.md) |  | gù | [名]
1.原因、根由。如：「托故」、「無緣無故」、「不知何故」。《左傳．隱公元年》：「公語之故，且告之悔。」
2.意外的事情、事件。如：「變故」、「事故」、「家庭多故」。《左傳．昭公二十五年》：「昭伯問家故，盡對。」晉．杜預．注：「故，事也。」
3.好友、舊識。如：「沾親帶故」、「一見如故」。《隋書．卷七〇．李密傳》：「乃散家產，賙贍親故。」
4.過去的事物。如：「溫故知新」。《文選．班昭．東征賦》：「遂去故而就新兮，志愴悢而懷悲。」
[動]
死亡。如：「病故」、「身故」、「已故」、「父母早故」。
[形]
1.原來的、以前的。如：「故鄉」、「故國」、「故交」。《楚辭．宋玉．招魂》：「魂兮歸來，反故居些。」唐．王維〈春中田園作〉詩：「歸燕識故巢，舊人看新曆。」
2.死去的。如：「故總統」。
[副]
1.本來、從前。《左傳．昭公十三年》：「又奪成然邑而使為郊尹，蔓成然故事蔡公。」《荀子．性惡》：「凡禮義者，是生於聖人之偽，非故生於人之性也。」
2.有意、存心。如：「明知故犯」、「故弄玄虛」。南朝宋．劉義慶《世說新語．政事》：「我今故與林公來相看，望卿擺撥常物，應對玄言。」元．無名氏《陳州糶米》第一折：「他也故違了皇宣命，都是些吃倉廒的鼠耗，咂膿血的蒼蠅。」
3.仍舊、依然。《史記．卷四．周本紀》：「褒姒不好笑，幽王欲其笑萬方，故不笑。」唐．杜甫〈絕句漫興〉九首之三：「熟知茅齋絕低小，江上燕子故來頻。」
[連]
因此、所以。《論語．先進》：「求也退，故進之；由也兼人，故退之。」《史記．卷一．五帝本紀》：「余并論次，擇其言尤雅者，故著為本紀書首。」 |</v>
      </c>
    </row>
    <row r="5855" spans="1:44" hidden="1">
      <c r="A5855" s="1" t="s">
        <v>10209</v>
      </c>
      <c r="C5855" s="1">
        <v>1</v>
      </c>
      <c r="D5855" s="1" t="str">
        <f>"04191"</f>
        <v>04191</v>
      </c>
      <c r="E5855" s="1" t="s">
        <v>190</v>
      </c>
      <c r="F5855" s="1">
        <v>11</v>
      </c>
      <c r="G5855" s="1">
        <v>8</v>
      </c>
      <c r="H5855" s="1">
        <v>0</v>
      </c>
      <c r="I5855" s="1" t="s">
        <v>10195</v>
      </c>
      <c r="K5855" s="1" t="str">
        <f t="shared" si="374"/>
        <v>ㄍ</v>
      </c>
      <c r="L5855" s="1" t="str">
        <f t="shared" si="375"/>
        <v>ㄨ</v>
      </c>
      <c r="N5855" s="3" t="s">
        <v>30574</v>
      </c>
      <c r="O5855" s="3"/>
      <c r="P5855" s="1" t="s">
        <v>20</v>
      </c>
      <c r="R5855" s="1" t="s">
        <v>10196</v>
      </c>
      <c r="V5855" s="1" t="s">
        <v>10210</v>
      </c>
      <c r="AR5855" s="1" t="str">
        <f t="shared" si="376"/>
        <v>| [ㄍㄨˋ](ㄍㄨˋ.md) | [崮](崮.md) |  | gù | [名]
四周陡峭，頂端較平坦的山。如大陸地區山東省有抱犢崮、晏崮。 |</v>
      </c>
    </row>
    <row r="5856" spans="1:44" hidden="1">
      <c r="A5856" s="1" t="s">
        <v>10211</v>
      </c>
      <c r="C5856" s="1">
        <v>1</v>
      </c>
      <c r="D5856" s="1" t="str">
        <f>"04192"</f>
        <v>04192</v>
      </c>
      <c r="E5856" s="1" t="s">
        <v>40</v>
      </c>
      <c r="F5856" s="1">
        <v>13</v>
      </c>
      <c r="G5856" s="1">
        <v>8</v>
      </c>
      <c r="H5856" s="1">
        <v>0</v>
      </c>
      <c r="I5856" s="1" t="s">
        <v>10195</v>
      </c>
      <c r="K5856" s="1" t="str">
        <f t="shared" si="374"/>
        <v>ㄍ</v>
      </c>
      <c r="L5856" s="1" t="str">
        <f t="shared" si="375"/>
        <v>ㄨ</v>
      </c>
      <c r="N5856" s="3" t="s">
        <v>30574</v>
      </c>
      <c r="O5856" s="3"/>
      <c r="P5856" s="1" t="s">
        <v>20</v>
      </c>
      <c r="R5856" s="1" t="s">
        <v>10196</v>
      </c>
      <c r="V5856" s="1" t="s">
        <v>10212</v>
      </c>
      <c r="AR5856" s="1" t="str">
        <f t="shared" si="376"/>
        <v>| [ㄍㄨˋ](ㄍㄨˋ.md) | [痼](痼.md) |  | gù | [形]
根深蒂固，難以治療矯正的。如：「痼疾」、「痼習」、「痼癖」。 |</v>
      </c>
    </row>
    <row r="5857" spans="1:44" hidden="1">
      <c r="A5857" s="1" t="s">
        <v>10213</v>
      </c>
      <c r="C5857" s="1">
        <v>1</v>
      </c>
      <c r="D5857" s="1" t="str">
        <f>"04193"</f>
        <v>04193</v>
      </c>
      <c r="E5857" s="1" t="s">
        <v>55</v>
      </c>
      <c r="F5857" s="1">
        <v>16</v>
      </c>
      <c r="G5857" s="1">
        <v>8</v>
      </c>
      <c r="H5857" s="1">
        <v>0</v>
      </c>
      <c r="I5857" s="1" t="s">
        <v>10195</v>
      </c>
      <c r="K5857" s="1" t="str">
        <f t="shared" si="374"/>
        <v>ㄍ</v>
      </c>
      <c r="L5857" s="1" t="str">
        <f t="shared" si="375"/>
        <v>ㄨ</v>
      </c>
      <c r="N5857" s="3" t="s">
        <v>30574</v>
      </c>
      <c r="O5857" s="3"/>
      <c r="P5857" s="1" t="s">
        <v>20</v>
      </c>
      <c r="R5857" s="1" t="s">
        <v>10196</v>
      </c>
      <c r="V5857" s="1" t="s">
        <v>10214</v>
      </c>
      <c r="AR5857" s="1" t="str">
        <f t="shared" si="376"/>
        <v>| [ㄍㄨˋ](ㄍㄨˋ.md) | [錮](錮.md) |  | gù | [動]
1.熔鑄銅鐵來填塞孔隙。《說文解字．金部》：「錮，鑄塞也。」《漢書．卷三六．楚元王劉交傳》：「使其中有可欲，雖錮南山猶有隙，使其無可欲，雖無石椁，又何慼焉？」
2.禁止。《後漢書．卷二八上．桓譚傳》：「是以先帝禁人二業，錮商賈不得宦為吏。」
3.囚禁、監禁。《後漢書．卷五二．崔駰傳》：「董卓以是收烈付郿獄，錮之，鋃鐺鐵鎖。」
4.關、閉。《聊齋志異．卷一．嬌娜》：「宅何久錮？」 |</v>
      </c>
    </row>
    <row r="5858" spans="1:44" hidden="1">
      <c r="A5858" s="1" t="s">
        <v>10215</v>
      </c>
      <c r="C5858" s="1">
        <v>1</v>
      </c>
      <c r="D5858" s="1" t="str">
        <f>"04194"</f>
        <v>04194</v>
      </c>
      <c r="E5858" s="1" t="s">
        <v>5383</v>
      </c>
      <c r="F5858" s="1">
        <v>12</v>
      </c>
      <c r="G5858" s="1">
        <v>4</v>
      </c>
      <c r="H5858" s="1">
        <v>0</v>
      </c>
      <c r="I5858" s="1" t="s">
        <v>10195</v>
      </c>
      <c r="K5858" s="1" t="str">
        <f t="shared" si="374"/>
        <v>ㄍ</v>
      </c>
      <c r="L5858" s="1" t="str">
        <f t="shared" si="375"/>
        <v>ㄨ</v>
      </c>
      <c r="N5858" s="3" t="s">
        <v>30574</v>
      </c>
      <c r="O5858" s="3"/>
      <c r="P5858" s="1" t="s">
        <v>20</v>
      </c>
      <c r="R5858" s="1" t="s">
        <v>10196</v>
      </c>
      <c r="V5858" s="1" t="s">
        <v>10216</v>
      </c>
      <c r="AR5858" s="1" t="str">
        <f t="shared" si="376"/>
        <v>| [ㄍㄨˋ](ㄍㄨˋ.md) | [雇](雇.md) |  | gù | [動]
1.出錢請人做事。如：「約雇」、「聘雇」。《京本通俗小說．菩薩蠻》：「忿一口氣，回店歇了一夜，早起算還了房宿錢，雇人挑了行李。」
2.租。如：「雇車」、「雇船」。《儒林外史》第四一回：「吵的船家同那戴破氈帽的漢子做好做歹，雇了一乘轎子。」《老殘遊記》第二〇回：「卻說老殘次日雇了一匹驢，馱了一個被搭子，吃了早飯，就往泰山東路行去。」
[形]
受雇的。如：「雇員」。宋．蘇軾〈乞罷宿州修城狀〉：「召募雇夫及物料，合用錢一萬九千餘貫。」 |</v>
      </c>
    </row>
    <row r="5859" spans="1:44" hidden="1">
      <c r="A5859" s="1" t="s">
        <v>10217</v>
      </c>
      <c r="C5859" s="1">
        <v>1</v>
      </c>
      <c r="D5859" s="1" t="str">
        <f>"04195"</f>
        <v>04195</v>
      </c>
      <c r="E5859" s="1" t="s">
        <v>114</v>
      </c>
      <c r="F5859" s="1">
        <v>14</v>
      </c>
      <c r="G5859" s="1">
        <v>12</v>
      </c>
      <c r="H5859" s="1">
        <v>0</v>
      </c>
      <c r="I5859" s="1" t="s">
        <v>10195</v>
      </c>
      <c r="K5859" s="1" t="str">
        <f t="shared" si="374"/>
        <v>ㄍ</v>
      </c>
      <c r="L5859" s="1" t="str">
        <f t="shared" si="375"/>
        <v>ㄨ</v>
      </c>
      <c r="N5859" s="3" t="s">
        <v>30574</v>
      </c>
      <c r="O5859" s="3"/>
      <c r="P5859" s="1" t="s">
        <v>20</v>
      </c>
      <c r="R5859" s="1" t="s">
        <v>10196</v>
      </c>
      <c r="V5859" s="1" t="s">
        <v>10218</v>
      </c>
      <c r="AR5859" s="1" t="str">
        <f t="shared" si="376"/>
        <v>| [ㄍㄨˋ](ㄍㄨˋ.md) | [僱](僱.md) |  | gù | [動]
1.出錢請人做事。如：「僱佣人」、「他僱人整修房子。」《警世通言．卷二四．玉堂春落難逢夫》：「把磚頭瓦片用布包裹，假充銀兩，放在皮箱裡面，收拾打扮停當，僱了兩個小廝跟隨，就要起身。」《彭公案》第一四回：「爹爹，你花錢僱了一箇教習，竟敢打我兒，今日在明化鎮被他欺我太甚，我是要報仇的。」
2.租。如：「僱車」、「僱船」。《初刻拍案驚奇》卷二一：「即忙收拾行李，僱了兩個牲口，做一路回來。」《紅樓夢》第一九回：「又命他哥哥去，或僱一乘小轎，或僱一輛小車，送寶玉回去。」 |</v>
      </c>
    </row>
    <row r="5860" spans="1:44" hidden="1">
      <c r="A5860" s="1" t="s">
        <v>10219</v>
      </c>
      <c r="C5860" s="1">
        <v>1</v>
      </c>
      <c r="D5860" s="1" t="str">
        <f>"04196"</f>
        <v>04196</v>
      </c>
      <c r="E5860" s="1" t="s">
        <v>684</v>
      </c>
      <c r="F5860" s="1">
        <v>21</v>
      </c>
      <c r="G5860" s="1">
        <v>12</v>
      </c>
      <c r="H5860" s="1">
        <v>0</v>
      </c>
      <c r="I5860" s="1" t="s">
        <v>10195</v>
      </c>
      <c r="K5860" s="1" t="str">
        <f t="shared" si="374"/>
        <v>ㄍ</v>
      </c>
      <c r="L5860" s="1" t="str">
        <f t="shared" si="375"/>
        <v>ㄨ</v>
      </c>
      <c r="N5860" s="3" t="s">
        <v>30574</v>
      </c>
      <c r="O5860" s="3"/>
      <c r="P5860" s="1" t="s">
        <v>20</v>
      </c>
      <c r="R5860" s="1" t="s">
        <v>10196</v>
      </c>
      <c r="V5860" s="1" t="s">
        <v>10220</v>
      </c>
      <c r="AR5860" s="1" t="str">
        <f t="shared" si="376"/>
        <v>| [ㄍㄨˋ](ㄍㄨˋ.md) | [顧](顧.md) |  | gù | [動]
1.回首、回頭看。《說文解字．頁部》：「顧，還視也。」《史記．卷八一．廉頗藺相如傳》：「相如顧召趙御史書曰：『某年月日，秦王為趙王擊缶。』」
2.看、張望。如：「環顧」、「相顧一笑」、「左顧右盼」。《孟子．離婁下》：「乞其餘，不足，又顧而之他。」
3.拜訪、探望。如：「三顧茅廬」。宋．王安石〈示耿天騭〉詩：「望公時顧我，於此暢幽悁。」
4.關注、照應。如：「顧此失彼」、「奮不顧身」。《詩經．魏風．碩鼠》：「三歲貫女，莫我肯顧。」《紅樓夢》第一〇八回：「為著我們家連連的出些不好事，所以我也顧不來。」
[副]
1.反而。《戰國策．秦策一》：「今三川周室，天下之市朝也，而王不爭焉，顧爭於戎狄，去王業遠矣。」清．彭端淑〈為學一首示子姪〉：「人之立志，顧不如蜀鄙之僧哉？」
2.豈、難道。《漢書．卷三七．季布傳》：「且僕與足下俱楚人，使僕游揚足下名於天下，顧不美乎？」宋．陸游〈邵武縣興造記〉：「非君之才有餘，顧能若是哉？」
[連]
1.不過、但是。《戰國策．燕策三》：「吾每念，常痛於骨髓，顧計不知所出耳。」《史記．卷九二．淮陰侯傳》：「此在兵法，顧諸君不察耳。」
2.乃。表示轉折以承上文的關係。《戰國策．趙策一》：「雖強大不能得之於小弱，而小弱顧能得之強大乎？」《後漢書．卷二四．馬援傳》：「帝復笑曰：『卿非刺客，顧說客耳。』」
[名]
姓。如清代有顧炎武。 |</v>
      </c>
    </row>
    <row r="5861" spans="1:44" hidden="1">
      <c r="A5861" s="1" t="s">
        <v>10115</v>
      </c>
      <c r="C5861" s="1">
        <v>1</v>
      </c>
      <c r="D5861" s="1" t="str">
        <f>"04154"</f>
        <v>04154</v>
      </c>
      <c r="E5861" s="1" t="s">
        <v>283</v>
      </c>
      <c r="F5861" s="1">
        <v>10</v>
      </c>
      <c r="G5861" s="1">
        <v>0</v>
      </c>
      <c r="H5861" s="1">
        <v>3</v>
      </c>
      <c r="I5861" s="1" t="s">
        <v>10125</v>
      </c>
      <c r="K5861" s="1" t="str">
        <f t="shared" si="374"/>
        <v>ㄍ</v>
      </c>
      <c r="L5861" s="1" t="str">
        <f t="shared" si="375"/>
        <v>ㄨ</v>
      </c>
      <c r="N5861" s="3" t="s">
        <v>30575</v>
      </c>
      <c r="O5861" s="3"/>
      <c r="P5861" s="1" t="s">
        <v>20</v>
      </c>
      <c r="R5861" s="1" t="s">
        <v>10126</v>
      </c>
      <c r="V5861" s="1" t="s">
        <v>10127</v>
      </c>
      <c r="W5861" s="1" t="s">
        <v>10128</v>
      </c>
      <c r="AR5861" s="1" t="str">
        <f t="shared" si="376"/>
        <v>| [ㄍㄨˊ](ㄍㄨˊ.md) | [骨](骨.md) |  | gú | 參見「骨頭」、「骨碌」等條。 |</v>
      </c>
    </row>
    <row r="5862" spans="1:44" hidden="1">
      <c r="A5862" s="1" t="s">
        <v>10129</v>
      </c>
      <c r="C5862" s="1">
        <v>1</v>
      </c>
      <c r="D5862" s="1" t="str">
        <f>"04155"</f>
        <v>04155</v>
      </c>
      <c r="E5862" s="1" t="s">
        <v>28</v>
      </c>
      <c r="F5862" s="1">
        <v>5</v>
      </c>
      <c r="G5862" s="1">
        <v>2</v>
      </c>
      <c r="H5862" s="1">
        <v>0</v>
      </c>
      <c r="I5862" s="1" t="s">
        <v>10130</v>
      </c>
      <c r="K5862" s="1" t="str">
        <f t="shared" si="374"/>
        <v>ㄍ</v>
      </c>
      <c r="L5862" s="1" t="str">
        <f t="shared" si="375"/>
        <v>ㄨ</v>
      </c>
      <c r="N5862" s="3" t="s">
        <v>30576</v>
      </c>
      <c r="O5862" s="3"/>
      <c r="P5862" s="1" t="s">
        <v>20</v>
      </c>
      <c r="R5862" s="1" t="s">
        <v>10131</v>
      </c>
      <c r="V5862" s="1" t="s">
        <v>10132</v>
      </c>
      <c r="AR5862" s="1" t="str">
        <f t="shared" si="376"/>
        <v>| [ㄍㄨˇ](ㄍㄨˇ.md) | [古](古.md) |  | gǔ | [名]
1.過去久遠的時代。與「今」相對。如：「古今中外」、「自古以來」。《呂氏春秋．仲冬季．長見》：「故審知今則可知古，知古則可知後。」唐．李賀〈古悠悠行〉：「今古何處盡，千歲隨風飄。」
2.過去的事物。如：「貴古賤今」、「信而好古」。《宋史．卷二六二．劉溫叟傳》：「儒者泥古，致詳於形名度數間，而不知清濁輕重之用。」
3.古體詩。如：「五古」、「七古」。
4.姓。如漢代有古霸。
[形]
1.過去的、舊的。如：「古人」、「古事」。元．馬致遠〈天淨沙．枯藤老樹昏鴉〉曲：「古道西風瘦馬，夕陽西下，斷腸人在天涯。」
2.質樸。如：「古樸」、「人心不古」。宋．蘇軾〈書黃子思詩集後〉：「獨韋應物、柳宗元發纖穠於簡古，寄至味於澹泊，非餘子所及也。」 |</v>
      </c>
    </row>
    <row r="5863" spans="1:44" hidden="1">
      <c r="A5863" s="1" t="s">
        <v>10078</v>
      </c>
      <c r="C5863" s="1">
        <v>1</v>
      </c>
      <c r="D5863" s="1" t="str">
        <f>"04156"</f>
        <v>04156</v>
      </c>
      <c r="E5863" s="1" t="s">
        <v>114</v>
      </c>
      <c r="F5863" s="1">
        <v>7</v>
      </c>
      <c r="G5863" s="1">
        <v>5</v>
      </c>
      <c r="H5863" s="1">
        <v>2</v>
      </c>
      <c r="I5863" s="1" t="s">
        <v>10130</v>
      </c>
      <c r="K5863" s="1" t="str">
        <f t="shared" si="374"/>
        <v>ㄍ</v>
      </c>
      <c r="L5863" s="1" t="str">
        <f t="shared" si="375"/>
        <v>ㄨ</v>
      </c>
      <c r="N5863" s="3" t="s">
        <v>30576</v>
      </c>
      <c r="O5863" s="3"/>
      <c r="P5863" s="1" t="s">
        <v>110</v>
      </c>
      <c r="R5863" s="1" t="s">
        <v>10131</v>
      </c>
      <c r="V5863" s="1" t="s">
        <v>111</v>
      </c>
      <c r="W5863" s="1" t="s">
        <v>10133</v>
      </c>
      <c r="AR5863" s="1" t="str">
        <f t="shared" si="376"/>
        <v>| [ㄍㄨˇ](ㄍㄨˇ.md) | [估](估.md) |  | gǔ | (一)之又音。 |</v>
      </c>
    </row>
    <row r="5864" spans="1:44" hidden="1">
      <c r="A5864" s="1" t="s">
        <v>10134</v>
      </c>
      <c r="C5864" s="1">
        <v>1</v>
      </c>
      <c r="D5864" s="1" t="str">
        <f>"04157"</f>
        <v>04157</v>
      </c>
      <c r="E5864" s="1" t="s">
        <v>518</v>
      </c>
      <c r="F5864" s="1">
        <v>9</v>
      </c>
      <c r="G5864" s="1">
        <v>5</v>
      </c>
      <c r="H5864" s="1">
        <v>0</v>
      </c>
      <c r="I5864" s="1" t="s">
        <v>10130</v>
      </c>
      <c r="K5864" s="1" t="str">
        <f t="shared" si="374"/>
        <v>ㄍ</v>
      </c>
      <c r="L5864" s="1" t="str">
        <f t="shared" si="375"/>
        <v>ㄨ</v>
      </c>
      <c r="N5864" s="3" t="s">
        <v>30576</v>
      </c>
      <c r="O5864" s="3"/>
      <c r="P5864" s="1" t="s">
        <v>20</v>
      </c>
      <c r="R5864" s="1" t="s">
        <v>10131</v>
      </c>
      <c r="V5864" s="1" t="s">
        <v>10135</v>
      </c>
      <c r="AR5864" s="1" t="str">
        <f t="shared" si="376"/>
        <v>| [ㄍㄨˇ](ㄍㄨˇ.md) | [牯](牯.md) |  | gǔ | [名]
1.母牛。《玉篇．牛部》：「牯，牝牛。」
2.割去生殖器的公牛。明．張自烈《正字通．牛部》：「牯，俗呼牡牛曰牯。」 |</v>
      </c>
    </row>
    <row r="5865" spans="1:44" hidden="1">
      <c r="A5865" s="1" t="s">
        <v>10136</v>
      </c>
      <c r="C5865" s="1">
        <v>1</v>
      </c>
      <c r="D5865" s="1" t="str">
        <f>"04158"</f>
        <v>04158</v>
      </c>
      <c r="E5865" s="1" t="s">
        <v>118</v>
      </c>
      <c r="F5865" s="1">
        <v>10</v>
      </c>
      <c r="G5865" s="1">
        <v>5</v>
      </c>
      <c r="H5865" s="1">
        <v>0</v>
      </c>
      <c r="I5865" s="1" t="s">
        <v>10130</v>
      </c>
      <c r="K5865" s="1" t="str">
        <f t="shared" si="374"/>
        <v>ㄍ</v>
      </c>
      <c r="L5865" s="1" t="str">
        <f t="shared" si="375"/>
        <v>ㄨ</v>
      </c>
      <c r="N5865" s="3" t="s">
        <v>30576</v>
      </c>
      <c r="O5865" s="3"/>
      <c r="P5865" s="1" t="s">
        <v>20</v>
      </c>
      <c r="R5865" s="1" t="s">
        <v>10131</v>
      </c>
      <c r="V5865" s="1" t="s">
        <v>10137</v>
      </c>
      <c r="AR5865" s="1" t="str">
        <f t="shared" si="376"/>
        <v>| [ㄍㄨˇ](ㄍㄨˇ.md) | [罟](罟.md) |  | gǔ | [名]
網的總稱。清．王念孫《廣雅疏證．卷七下．釋器》：「罔謂之罟。」疏證：「此罔魚及鳥獸之通名。」《孟子．梁惠王上》：「數罟不入洿池，魚鱉不可勝食也。」
[動]
用網捕捉魚或鳥獸。晉．傅玄〈羽籥舞歌〉：「羲皇之初，天地開元。罔罟禽獸，群黎以安。」 |</v>
      </c>
    </row>
    <row r="5866" spans="1:44" hidden="1">
      <c r="A5866" s="1" t="s">
        <v>10138</v>
      </c>
      <c r="C5866" s="1">
        <v>1</v>
      </c>
      <c r="D5866" s="1" t="str">
        <f>"04159"</f>
        <v>04159</v>
      </c>
      <c r="E5866" s="1" t="s">
        <v>331</v>
      </c>
      <c r="F5866" s="1">
        <v>12</v>
      </c>
      <c r="G5866" s="1">
        <v>5</v>
      </c>
      <c r="H5866" s="1">
        <v>0</v>
      </c>
      <c r="I5866" s="1" t="s">
        <v>10130</v>
      </c>
      <c r="K5866" s="1" t="str">
        <f t="shared" si="374"/>
        <v>ㄍ</v>
      </c>
      <c r="L5866" s="1" t="str">
        <f t="shared" si="375"/>
        <v>ㄨ</v>
      </c>
      <c r="N5866" s="3" t="s">
        <v>30576</v>
      </c>
      <c r="O5866" s="3"/>
      <c r="P5866" s="1" t="s">
        <v>20</v>
      </c>
      <c r="R5866" s="1" t="s">
        <v>10131</v>
      </c>
      <c r="V5866" s="1" t="s">
        <v>10139</v>
      </c>
      <c r="AR5866" s="1" t="str">
        <f t="shared" si="376"/>
        <v>| [ㄍㄨˇ](ㄍㄨˇ.md) | [詁](詁.md) |  | gǔ | [動]
用現代的語言解釋古語或方言。《說文解字．言部》：「詁，訓故言也。」
[名]
字詞的解釋。宋．陸游〈萬卷樓記〉：「同字而異詁，同辭而異義。」 |</v>
      </c>
    </row>
    <row r="5867" spans="1:44" hidden="1">
      <c r="A5867" s="1" t="s">
        <v>10093</v>
      </c>
      <c r="C5867" s="1">
        <v>1</v>
      </c>
      <c r="D5867" s="1" t="str">
        <f>"04160"</f>
        <v>04160</v>
      </c>
      <c r="E5867" s="1" t="s">
        <v>55</v>
      </c>
      <c r="F5867" s="1">
        <v>13</v>
      </c>
      <c r="G5867" s="1">
        <v>5</v>
      </c>
      <c r="H5867" s="1">
        <v>1</v>
      </c>
      <c r="I5867" s="1" t="s">
        <v>10130</v>
      </c>
      <c r="K5867" s="1" t="str">
        <f t="shared" si="374"/>
        <v>ㄍ</v>
      </c>
      <c r="L5867" s="1" t="str">
        <f t="shared" si="375"/>
        <v>ㄨ</v>
      </c>
      <c r="N5867" s="3" t="s">
        <v>30576</v>
      </c>
      <c r="O5867" s="3"/>
      <c r="P5867" s="1" t="s">
        <v>20</v>
      </c>
      <c r="R5867" s="1" t="s">
        <v>10131</v>
      </c>
      <c r="V5867" s="1" t="s">
        <v>3749</v>
      </c>
      <c r="W5867" s="1" t="s">
        <v>10140</v>
      </c>
      <c r="AR5867" s="1" t="str">
        <f t="shared" si="376"/>
        <v>| [ㄍㄨˇ](ㄍㄨˇ.md) | [鈷](鈷.md) |  | gǔ | 參見「鈷鉧」條。 |</v>
      </c>
    </row>
    <row r="5868" spans="1:44" hidden="1">
      <c r="A5868" s="1" t="s">
        <v>10141</v>
      </c>
      <c r="C5868" s="1">
        <v>1</v>
      </c>
      <c r="D5868" s="1" t="str">
        <f>"04161"</f>
        <v>04161</v>
      </c>
      <c r="E5868" s="1" t="s">
        <v>28</v>
      </c>
      <c r="F5868" s="1">
        <v>14</v>
      </c>
      <c r="G5868" s="1">
        <v>11</v>
      </c>
      <c r="H5868" s="1">
        <v>1</v>
      </c>
      <c r="I5868" s="1" t="s">
        <v>10130</v>
      </c>
      <c r="K5868" s="1" t="str">
        <f t="shared" si="374"/>
        <v>ㄍ</v>
      </c>
      <c r="L5868" s="1" t="str">
        <f t="shared" si="375"/>
        <v>ㄨ</v>
      </c>
      <c r="N5868" s="3" t="s">
        <v>30576</v>
      </c>
      <c r="O5868" s="3"/>
      <c r="P5868" s="1" t="s">
        <v>20</v>
      </c>
      <c r="R5868" s="1" t="s">
        <v>10131</v>
      </c>
      <c r="V5868" s="1" t="s">
        <v>10142</v>
      </c>
      <c r="W5868" s="1" t="s">
        <v>10143</v>
      </c>
      <c r="AR5868" s="1" t="str">
        <f t="shared" si="376"/>
        <v>| [ㄍㄨˇ](ㄍㄨˇ.md) | [嘏](嘏.md) |  | gǔ | [名]
1.福祉。《詩經．魯頌．閟宮》：「天錫公純嘏，眉壽保魯。」《清史稿．卷九七．樂志四》：「如南山壽，集嘏斯純。」
2.對主人祝福的言詞。如：「嘏辭」。《禮記．禮運》：「脩其祝嘏，以降上神與其先祖。」 |</v>
      </c>
    </row>
    <row r="5869" spans="1:44" hidden="1">
      <c r="A5869" s="1" t="s">
        <v>10144</v>
      </c>
      <c r="C5869" s="1">
        <v>1</v>
      </c>
      <c r="D5869" s="1" t="str">
        <f>"04162"</f>
        <v>04162</v>
      </c>
      <c r="E5869" s="1" t="s">
        <v>438</v>
      </c>
      <c r="F5869" s="1">
        <v>16</v>
      </c>
      <c r="G5869" s="1">
        <v>11</v>
      </c>
      <c r="H5869" s="1">
        <v>0</v>
      </c>
      <c r="I5869" s="1" t="s">
        <v>10130</v>
      </c>
      <c r="K5869" s="1" t="str">
        <f t="shared" si="374"/>
        <v>ㄍ</v>
      </c>
      <c r="L5869" s="1" t="str">
        <f t="shared" si="375"/>
        <v>ㄨ</v>
      </c>
      <c r="N5869" s="3" t="s">
        <v>30576</v>
      </c>
      <c r="O5869" s="3"/>
      <c r="P5869" s="1" t="s">
        <v>20</v>
      </c>
      <c r="R5869" s="1" t="s">
        <v>10131</v>
      </c>
      <c r="V5869" s="1" t="s">
        <v>10145</v>
      </c>
      <c r="AR5869" s="1" t="str">
        <f t="shared" si="376"/>
        <v>| [ㄍㄨˇ](ㄍㄨˇ.md) | [䀇](䀇.md) |  | gǔ | [名]
古代一種烹飪的器具。《說文解字．皿部》：「䀇，器也。」 |</v>
      </c>
    </row>
    <row r="5870" spans="1:44" hidden="1">
      <c r="A5870" s="1" t="s">
        <v>10146</v>
      </c>
      <c r="C5870" s="1">
        <v>1</v>
      </c>
      <c r="D5870" s="1" t="str">
        <f>"04163"</f>
        <v>04163</v>
      </c>
      <c r="E5870" s="1" t="s">
        <v>438</v>
      </c>
      <c r="F5870" s="1">
        <v>18</v>
      </c>
      <c r="G5870" s="1">
        <v>13</v>
      </c>
      <c r="H5870" s="1">
        <v>0</v>
      </c>
      <c r="I5870" s="1" t="s">
        <v>10130</v>
      </c>
      <c r="K5870" s="1" t="str">
        <f t="shared" si="374"/>
        <v>ㄍ</v>
      </c>
      <c r="L5870" s="1" t="str">
        <f t="shared" si="375"/>
        <v>ㄨ</v>
      </c>
      <c r="N5870" s="3" t="s">
        <v>30576</v>
      </c>
      <c r="O5870" s="3"/>
      <c r="P5870" s="1" t="s">
        <v>20</v>
      </c>
      <c r="R5870" s="1" t="s">
        <v>10131</v>
      </c>
      <c r="V5870" s="1" t="s">
        <v>10147</v>
      </c>
      <c r="AR5870" s="1" t="str">
        <f t="shared" si="376"/>
        <v>| [ㄍㄨˇ](ㄍㄨˇ.md) | [盬](盬.md) |  | gǔ | [名]
鹽池。《廣韻．上聲．姥韻》：「盬，鹽池。」
[動]
1.吸食。《左傳．僖公二十八年》：「晉侯夢與楚子搏，楚子伏己而盬其腦。」
2.停止。《詩經．唐風．鴇羽》：「王事靡盬，不能蓺稷黍。」
[形]
不堅固。《漢書．卷四五．息夫躬傳》：「簡練戎士，繕修干戈，器用盬惡，孰當督之！」 |</v>
      </c>
    </row>
    <row r="5871" spans="1:44" hidden="1">
      <c r="A5871" s="1" t="s">
        <v>5292</v>
      </c>
      <c r="C5871" s="1">
        <v>1</v>
      </c>
      <c r="D5871" s="1" t="str">
        <f>"04164"</f>
        <v>04164</v>
      </c>
      <c r="E5871" s="1" t="s">
        <v>5293</v>
      </c>
      <c r="F5871" s="1">
        <v>5</v>
      </c>
      <c r="G5871" s="1">
        <v>3</v>
      </c>
      <c r="H5871" s="1">
        <v>4</v>
      </c>
      <c r="I5871" s="1" t="s">
        <v>10130</v>
      </c>
      <c r="K5871" s="1" t="str">
        <f t="shared" si="374"/>
        <v>ㄍ</v>
      </c>
      <c r="L5871" s="1" t="str">
        <f t="shared" si="375"/>
        <v>ㄨ</v>
      </c>
      <c r="N5871" s="3" t="s">
        <v>30576</v>
      </c>
      <c r="O5871" s="3"/>
      <c r="P5871" s="1" t="s">
        <v>20</v>
      </c>
      <c r="R5871" s="1" t="s">
        <v>10131</v>
      </c>
      <c r="V5871" s="1" t="s">
        <v>10148</v>
      </c>
      <c r="W5871" s="1" t="s">
        <v>10149</v>
      </c>
      <c r="AR5871" s="1" t="str">
        <f t="shared" si="376"/>
        <v>| [ㄍㄨˇ](ㄍㄨˇ.md) | [凸](凸.md) |  | gǔ | [動]
突出、鼓起。通「鼓」。如：「凸著肚子」。 |</v>
      </c>
    </row>
    <row r="5872" spans="1:44" hidden="1">
      <c r="A5872" s="1" t="s">
        <v>10150</v>
      </c>
      <c r="C5872" s="1">
        <v>1</v>
      </c>
      <c r="D5872" s="1" t="str">
        <f>"04165"</f>
        <v>04165</v>
      </c>
      <c r="E5872" s="1" t="s">
        <v>3581</v>
      </c>
      <c r="F5872" s="1">
        <v>6</v>
      </c>
      <c r="G5872" s="1">
        <v>4</v>
      </c>
      <c r="H5872" s="1">
        <v>0</v>
      </c>
      <c r="I5872" s="1" t="s">
        <v>10130</v>
      </c>
      <c r="K5872" s="1" t="str">
        <f t="shared" si="374"/>
        <v>ㄍ</v>
      </c>
      <c r="L5872" s="1" t="str">
        <f t="shared" si="375"/>
        <v>ㄨ</v>
      </c>
      <c r="N5872" s="3" t="s">
        <v>30576</v>
      </c>
      <c r="O5872" s="3"/>
      <c r="P5872" s="1" t="s">
        <v>20</v>
      </c>
      <c r="R5872" s="1" t="s">
        <v>10131</v>
      </c>
      <c r="V5872" s="1" t="s">
        <v>10151</v>
      </c>
      <c r="AR5872" s="1" t="str">
        <f t="shared" si="376"/>
        <v>| [ㄍㄨˇ](ㄍㄨˇ.md) | [𠑹](𠑹.md) |  | gǔ | [形]
壅蔽。《說文解字．𠑹部》：「𠑹，廱蔽也。」 |</v>
      </c>
    </row>
    <row r="5873" spans="1:44" hidden="1">
      <c r="A5873" s="1" t="s">
        <v>10152</v>
      </c>
      <c r="C5873" s="1">
        <v>1</v>
      </c>
      <c r="D5873" s="1" t="str">
        <f>"04166"</f>
        <v>04166</v>
      </c>
      <c r="E5873" s="1" t="s">
        <v>129</v>
      </c>
      <c r="F5873" s="1">
        <v>7</v>
      </c>
      <c r="G5873" s="1">
        <v>4</v>
      </c>
      <c r="H5873" s="1">
        <v>1</v>
      </c>
      <c r="I5873" s="1" t="s">
        <v>10130</v>
      </c>
      <c r="K5873" s="1" t="str">
        <f t="shared" si="374"/>
        <v>ㄍ</v>
      </c>
      <c r="L5873" s="1" t="str">
        <f t="shared" si="375"/>
        <v>ㄨ</v>
      </c>
      <c r="N5873" s="3" t="s">
        <v>30576</v>
      </c>
      <c r="O5873" s="3"/>
      <c r="P5873" s="1" t="s">
        <v>20</v>
      </c>
      <c r="R5873" s="1" t="s">
        <v>10131</v>
      </c>
      <c r="V5873" s="1" t="s">
        <v>10153</v>
      </c>
      <c r="W5873" s="1" t="s">
        <v>10154</v>
      </c>
      <c r="AR5873" s="1" t="str">
        <f t="shared" si="376"/>
        <v>| [ㄍㄨˇ](ㄍㄨˇ.md) | [汩](汩.md) |  | gǔ | [動]_x000D_
1.亂。《抱朴子．外篇．用刑》：「夫法不立，則庶事汩矣。」宋．王安石〈送潮州呂使君〉詩：「有若大顛者，高材能動人。亦勿與為禮，聽之汩彞倫。」_x000D_
2.埋沒、消滅。唐．韓愈〈雜說〉：「感震電，神變化，水下土，汩陵谷。」明．徐弘祖《徐霞客遊記．卷一〇上．滇遊日記十二》：「自橋為水汩，乃取道翁溪。」_x000D_
[副]_x000D_
水急流的樣子。《楚辭．屈原．九章．懷沙》：「浩浩沅湘，分流汩兮。」 |</v>
      </c>
    </row>
    <row r="5874" spans="1:44" hidden="1">
      <c r="A5874" s="1" t="s">
        <v>10155</v>
      </c>
      <c r="C5874" s="1">
        <v>1</v>
      </c>
      <c r="D5874" s="1" t="str">
        <f>"04167"</f>
        <v>04167</v>
      </c>
      <c r="E5874" s="1" t="s">
        <v>10156</v>
      </c>
      <c r="F5874" s="1">
        <v>7</v>
      </c>
      <c r="G5874" s="1">
        <v>0</v>
      </c>
      <c r="H5874" s="1">
        <v>1</v>
      </c>
      <c r="I5874" s="1" t="s">
        <v>10130</v>
      </c>
      <c r="K5874" s="1" t="str">
        <f t="shared" si="374"/>
        <v>ㄍ</v>
      </c>
      <c r="L5874" s="1" t="str">
        <f t="shared" si="375"/>
        <v>ㄨ</v>
      </c>
      <c r="N5874" s="3" t="s">
        <v>30576</v>
      </c>
      <c r="O5874" s="3"/>
      <c r="P5874" s="1" t="s">
        <v>20</v>
      </c>
      <c r="R5874" s="1" t="s">
        <v>10131</v>
      </c>
      <c r="V5874" s="1" t="s">
        <v>10157</v>
      </c>
      <c r="W5874" s="1" t="s">
        <v>10158</v>
      </c>
      <c r="AR5874" s="1" t="str">
        <f t="shared" si="376"/>
        <v>| [ㄍㄨˇ](ㄍㄨˇ.md) | [谷](谷.md) |  | gǔ | [名]
1.兩山間的水道或低地。如：「山谷」、「河谷」。《墨子．節用中》：「為大川廣谷之不可濟，於是利為舟楫。」《三國演義》第九〇回：「孔明棄車步行。忽到一山，望見一谷，形如長蛇，皆危峭石壁，並無樹木。」
2.窮困。《詩經．大雅．桑柔》：「人亦有言，進退維谷。」
3.姓。如漢代有谷吉。
4.二一四部首之一。 |</v>
      </c>
    </row>
    <row r="5875" spans="1:44" hidden="1">
      <c r="A5875" s="1" t="s">
        <v>10159</v>
      </c>
      <c r="C5875" s="1">
        <v>1</v>
      </c>
      <c r="D5875" s="1" t="str">
        <f>"04168"</f>
        <v>04168</v>
      </c>
      <c r="E5875" s="1" t="s">
        <v>68</v>
      </c>
      <c r="F5875" s="1">
        <v>8</v>
      </c>
      <c r="G5875" s="1">
        <v>4</v>
      </c>
      <c r="H5875" s="1">
        <v>0</v>
      </c>
      <c r="I5875" s="1" t="s">
        <v>10130</v>
      </c>
      <c r="K5875" s="1" t="str">
        <f t="shared" si="374"/>
        <v>ㄍ</v>
      </c>
      <c r="L5875" s="1" t="str">
        <f t="shared" si="375"/>
        <v>ㄨ</v>
      </c>
      <c r="N5875" s="3" t="s">
        <v>30576</v>
      </c>
      <c r="O5875" s="3"/>
      <c r="P5875" s="1" t="s">
        <v>20</v>
      </c>
      <c r="R5875" s="1" t="s">
        <v>10131</v>
      </c>
      <c r="V5875" s="1" t="s">
        <v>10160</v>
      </c>
      <c r="AR5875" s="1" t="str">
        <f t="shared" si="376"/>
        <v>| [ㄍㄨˇ](ㄍㄨˇ.md) | [股](股.md) |  | gǔ | [名]
1.大腿。《左傳．僖公二十二年》：「公傷股，門官殲焉。」
2.事物的一部分，或指集合資金的一份。如：「合股」、「拆股」、「持股」。
3.機關或社團中的單位名稱。如：「文書股」、「總務股」。
4.與股票有關的。如：「股市」、「股友」。
5.直角三角形中較長的直角邊。
6.量詞：(1)計算力氣或氣體等的單位。如：「一股勁」、「一股幽香」。(2)計算條狀物的單位。如：「這條繩子是用三股粗麻編成的。」(3)計算成批人群的單位。如：「一股殘匪」。(4)計算股份的單位。如：「他擁有一千股。」 |</v>
      </c>
    </row>
    <row r="5876" spans="1:44" hidden="1">
      <c r="A5876" s="1" t="s">
        <v>10161</v>
      </c>
      <c r="C5876" s="1">
        <v>1</v>
      </c>
      <c r="D5876" s="1" t="str">
        <f>"04169"</f>
        <v>04169</v>
      </c>
      <c r="E5876" s="1" t="s">
        <v>43</v>
      </c>
      <c r="F5876" s="1">
        <v>10</v>
      </c>
      <c r="G5876" s="1">
        <v>4</v>
      </c>
      <c r="H5876" s="1">
        <v>0</v>
      </c>
      <c r="I5876" s="1" t="s">
        <v>10130</v>
      </c>
      <c r="K5876" s="1" t="str">
        <f t="shared" si="374"/>
        <v>ㄍ</v>
      </c>
      <c r="L5876" s="1" t="str">
        <f t="shared" si="375"/>
        <v>ㄨ</v>
      </c>
      <c r="N5876" s="3" t="s">
        <v>30576</v>
      </c>
      <c r="O5876" s="3"/>
      <c r="P5876" s="1" t="s">
        <v>20</v>
      </c>
      <c r="R5876" s="1" t="s">
        <v>10131</v>
      </c>
      <c r="V5876" s="1" t="s">
        <v>10162</v>
      </c>
      <c r="AR5876" s="1" t="str">
        <f t="shared" si="376"/>
        <v>| [ㄍㄨˇ](ㄍㄨˇ.md) | [羖](羖.md) |  | gǔ | [名]
黑色的公羊。《說文解字．羊部》：「羖，夏羊牡曰羖。」《爾雅．釋畜》：「牝羖。」晉．郭璞．注：「今人便以牂羖為白黑羊。」 |</v>
      </c>
    </row>
    <row r="5877" spans="1:44" hidden="1">
      <c r="A5877" s="1" t="s">
        <v>10115</v>
      </c>
      <c r="C5877" s="1">
        <v>1</v>
      </c>
      <c r="D5877" s="1" t="str">
        <f>"04170"</f>
        <v>04170</v>
      </c>
      <c r="E5877" s="1" t="s">
        <v>283</v>
      </c>
      <c r="F5877" s="1">
        <v>10</v>
      </c>
      <c r="G5877" s="1">
        <v>0</v>
      </c>
      <c r="H5877" s="1">
        <v>1</v>
      </c>
      <c r="I5877" s="1" t="s">
        <v>10130</v>
      </c>
      <c r="K5877" s="1" t="str">
        <f t="shared" si="374"/>
        <v>ㄍ</v>
      </c>
      <c r="L5877" s="1" t="str">
        <f t="shared" si="375"/>
        <v>ㄨ</v>
      </c>
      <c r="N5877" s="3" t="s">
        <v>30576</v>
      </c>
      <c r="O5877" s="3"/>
      <c r="P5877" s="1" t="s">
        <v>20</v>
      </c>
      <c r="R5877" s="1" t="s">
        <v>10131</v>
      </c>
      <c r="V5877" s="1" t="s">
        <v>10163</v>
      </c>
      <c r="W5877" s="1" t="s">
        <v>10164</v>
      </c>
      <c r="AR5877" s="1" t="str">
        <f t="shared" si="376"/>
        <v>| [ㄍㄨˇ](ㄍㄨˇ.md) | [骨](骨.md) |  | gǔ | [名]
1.動物體內支持身體的支架組織。如：「筋骨」、「接骨」、「脊椎骨」、「脫胎換骨」。
2.支撐物體的架子。如：「龍骨」、「鋼骨」、「傘骨」。
3.氣概、風格。如：「傲骨」、「風骨」。唐．王維〈少年行〉四首之二：「孰知不向邊庭苦，縱死猶聞俠骨香。」
4.姓。如隋代有骨儀。
5.二一四部首之一。 |</v>
      </c>
    </row>
    <row r="5878" spans="1:44" hidden="1">
      <c r="A5878" s="1" t="s">
        <v>10165</v>
      </c>
      <c r="C5878" s="1">
        <v>1</v>
      </c>
      <c r="D5878" s="1" t="str">
        <f>"04171"</f>
        <v>04171</v>
      </c>
      <c r="E5878" s="1" t="s">
        <v>129</v>
      </c>
      <c r="F5878" s="1">
        <v>13</v>
      </c>
      <c r="G5878" s="1">
        <v>10</v>
      </c>
      <c r="H5878" s="1">
        <v>2</v>
      </c>
      <c r="I5878" s="1" t="s">
        <v>10130</v>
      </c>
      <c r="K5878" s="1" t="str">
        <f t="shared" si="374"/>
        <v>ㄍ</v>
      </c>
      <c r="L5878" s="1" t="str">
        <f t="shared" si="375"/>
        <v>ㄨ</v>
      </c>
      <c r="N5878" s="3" t="s">
        <v>30576</v>
      </c>
      <c r="O5878" s="3"/>
      <c r="P5878" s="1" t="s">
        <v>20</v>
      </c>
      <c r="R5878" s="1" t="s">
        <v>10131</v>
      </c>
      <c r="V5878" s="1" t="s">
        <v>10166</v>
      </c>
      <c r="W5878" s="1" t="s">
        <v>10167</v>
      </c>
      <c r="AR5878" s="1" t="str">
        <f t="shared" si="376"/>
        <v>| [ㄍㄨˇ](ㄍㄨˇ.md) | [滑](滑.md) |  | gǔ | 參見「滑稽」條。 |</v>
      </c>
    </row>
    <row r="5879" spans="1:44" hidden="1">
      <c r="A5879" s="1" t="s">
        <v>10168</v>
      </c>
      <c r="C5879" s="1">
        <v>1</v>
      </c>
      <c r="D5879" s="1" t="str">
        <f>"04172"</f>
        <v>04172</v>
      </c>
      <c r="E5879" s="1" t="s">
        <v>139</v>
      </c>
      <c r="F5879" s="1">
        <v>14</v>
      </c>
      <c r="G5879" s="1">
        <v>10</v>
      </c>
      <c r="H5879" s="1">
        <v>0</v>
      </c>
      <c r="I5879" s="1" t="s">
        <v>10130</v>
      </c>
      <c r="K5879" s="1" t="str">
        <f t="shared" si="374"/>
        <v>ㄍ</v>
      </c>
      <c r="L5879" s="1" t="str">
        <f t="shared" si="375"/>
        <v>ㄨ</v>
      </c>
      <c r="N5879" s="3" t="s">
        <v>30576</v>
      </c>
      <c r="O5879" s="3"/>
      <c r="P5879" s="1" t="s">
        <v>20</v>
      </c>
      <c r="R5879" s="1" t="s">
        <v>10131</v>
      </c>
      <c r="V5879" s="1" t="s">
        <v>5715</v>
      </c>
      <c r="AR5879" s="1" t="str">
        <f t="shared" si="376"/>
        <v>| [ㄍㄨˇ](ㄍㄨˇ.md) | [榾](榾.md) |  | gǔ | 參見「榾柮」條。 |</v>
      </c>
    </row>
    <row r="5880" spans="1:44" hidden="1">
      <c r="A5880" s="1" t="s">
        <v>10169</v>
      </c>
      <c r="C5880" s="1">
        <v>1</v>
      </c>
      <c r="D5880" s="1" t="str">
        <f>"04173"</f>
        <v>04173</v>
      </c>
      <c r="E5880" s="1" t="s">
        <v>193</v>
      </c>
      <c r="F5880" s="1">
        <v>18</v>
      </c>
      <c r="G5880" s="1">
        <v>10</v>
      </c>
      <c r="H5880" s="1">
        <v>0</v>
      </c>
      <c r="I5880" s="1" t="s">
        <v>10130</v>
      </c>
      <c r="K5880" s="1" t="str">
        <f t="shared" si="374"/>
        <v>ㄍ</v>
      </c>
      <c r="L5880" s="1" t="str">
        <f t="shared" si="375"/>
        <v>ㄨ</v>
      </c>
      <c r="N5880" s="3" t="s">
        <v>30576</v>
      </c>
      <c r="O5880" s="3"/>
      <c r="P5880" s="1" t="s">
        <v>20</v>
      </c>
      <c r="R5880" s="1" t="s">
        <v>10131</v>
      </c>
      <c r="V5880" s="1" t="s">
        <v>5717</v>
      </c>
      <c r="AR5880" s="1" t="str">
        <f t="shared" si="376"/>
        <v>| [ㄍㄨˇ](ㄍㄨˇ.md) | [餶](餶.md) |  | gǔ | 參見「餶飿」條。 |</v>
      </c>
    </row>
    <row r="5881" spans="1:44" hidden="1">
      <c r="A5881" s="1" t="s">
        <v>10170</v>
      </c>
      <c r="C5881" s="1">
        <v>1</v>
      </c>
      <c r="D5881" s="1" t="str">
        <f>"04174"</f>
        <v>04174</v>
      </c>
      <c r="E5881" s="1" t="s">
        <v>272</v>
      </c>
      <c r="F5881" s="1">
        <v>21</v>
      </c>
      <c r="G5881" s="1">
        <v>10</v>
      </c>
      <c r="H5881" s="1">
        <v>1</v>
      </c>
      <c r="I5881" s="1" t="s">
        <v>10130</v>
      </c>
      <c r="K5881" s="1" t="str">
        <f t="shared" si="374"/>
        <v>ㄍ</v>
      </c>
      <c r="L5881" s="1" t="str">
        <f t="shared" si="375"/>
        <v>ㄨ</v>
      </c>
      <c r="N5881" s="3" t="s">
        <v>30576</v>
      </c>
      <c r="O5881" s="3"/>
      <c r="P5881" s="1" t="s">
        <v>20</v>
      </c>
      <c r="R5881" s="1" t="s">
        <v>10131</v>
      </c>
      <c r="V5881" s="1" t="s">
        <v>10171</v>
      </c>
      <c r="W5881" s="1" t="s">
        <v>10172</v>
      </c>
      <c r="AR5881" s="1" t="str">
        <f t="shared" si="376"/>
        <v>| [ㄍㄨˇ](ㄍㄨˇ.md) | [鶻](鶻.md) |  | gǔ | 參見「鶻鵃」、「鶻鳩」等條。 |</v>
      </c>
    </row>
    <row r="5882" spans="1:44" hidden="1">
      <c r="A5882" s="1" t="s">
        <v>10173</v>
      </c>
      <c r="C5882" s="1">
        <v>1</v>
      </c>
      <c r="D5882" s="1" t="str">
        <f>"04175"</f>
        <v>04175</v>
      </c>
      <c r="E5882" s="1" t="s">
        <v>129</v>
      </c>
      <c r="F5882" s="1">
        <v>11</v>
      </c>
      <c r="G5882" s="1">
        <v>8</v>
      </c>
      <c r="H5882" s="1">
        <v>0</v>
      </c>
      <c r="I5882" s="1" t="s">
        <v>10130</v>
      </c>
      <c r="K5882" s="1" t="str">
        <f t="shared" si="374"/>
        <v>ㄍ</v>
      </c>
      <c r="L5882" s="1" t="str">
        <f t="shared" si="375"/>
        <v>ㄨ</v>
      </c>
      <c r="N5882" s="3" t="s">
        <v>30576</v>
      </c>
      <c r="O5882" s="3"/>
      <c r="P5882" s="1" t="s">
        <v>20</v>
      </c>
      <c r="R5882" s="1" t="s">
        <v>10131</v>
      </c>
      <c r="V5882" s="1" t="s">
        <v>10174</v>
      </c>
      <c r="AR5882" s="1" t="str">
        <f t="shared" si="376"/>
        <v>| [ㄍㄨˇ](ㄍㄨˇ.md) | [淈](淈.md) |  | gǔ | [動]
攪亂使其混濁。《楚辭．屈原．漁父》：「世人皆濁，何不淈其泥而揚其波？」漢．揚雄《法言．吾子》：「女惡華丹之亂窈窕也，書惡淫辭之淈法度也。」 |</v>
      </c>
    </row>
    <row r="5883" spans="1:44" hidden="1">
      <c r="A5883" s="1" t="s">
        <v>10175</v>
      </c>
      <c r="C5883" s="1">
        <v>1</v>
      </c>
      <c r="D5883" s="1" t="str">
        <f>"04176"</f>
        <v>04176</v>
      </c>
      <c r="E5883" s="1" t="s">
        <v>2154</v>
      </c>
      <c r="F5883" s="1">
        <v>13</v>
      </c>
      <c r="G5883" s="1">
        <v>0</v>
      </c>
      <c r="H5883" s="1">
        <v>0</v>
      </c>
      <c r="I5883" s="1" t="s">
        <v>10130</v>
      </c>
      <c r="K5883" s="1" t="str">
        <f t="shared" si="374"/>
        <v>ㄍ</v>
      </c>
      <c r="L5883" s="1" t="str">
        <f t="shared" si="375"/>
        <v>ㄨ</v>
      </c>
      <c r="N5883" s="3" t="s">
        <v>30576</v>
      </c>
      <c r="O5883" s="3"/>
      <c r="P5883" s="1" t="s">
        <v>20</v>
      </c>
      <c r="R5883" s="1" t="s">
        <v>10131</v>
      </c>
      <c r="V5883" s="1" t="s">
        <v>10176</v>
      </c>
      <c r="AR5883" s="1" t="str">
        <f t="shared" si="376"/>
        <v>| [ㄍㄨˇ](ㄍㄨˇ.md) | [鼓](鼓.md) |  | gǔ | [名]
1.樂器名，打擊樂器。用皮革蒙在中空木桶上所製成的樂器之泛稱，常以手、木棒或鼓槌擊奏。其形狀大小不一，聲音因其大小、深淺各有不同音量與音色。
2.二一四部首之一。
[動]
1.敲擊、拍擊、彈奏。如：「鼓掌」、「鼓琴」、「鼓瑟」。《詩經．小雅．白華》：「鼓鐘于宮，聲聞于外。」唐．孟郊〈上張徐州〉詩：「願鼓空桑弦，永使萬物和。」
2.振動。如：「鼓動風潮」。《易經．繫辭上》：「鼓之以雷霆，潤之以風雨。」晉．潘尼〈後園頌〉：「翔鳥鼓翼，游魚載浮。」
3.激勵、使振作。如：「鼓勵」、「鼓舞士氣」。 |</v>
      </c>
    </row>
    <row r="5884" spans="1:44" hidden="1">
      <c r="A5884" s="1" t="s">
        <v>10177</v>
      </c>
      <c r="C5884" s="1">
        <v>1</v>
      </c>
      <c r="D5884" s="1" t="str">
        <f>"04177"</f>
        <v>04177</v>
      </c>
      <c r="E5884" s="1" t="s">
        <v>68</v>
      </c>
      <c r="F5884" s="1">
        <v>17</v>
      </c>
      <c r="G5884" s="1">
        <v>13</v>
      </c>
      <c r="H5884" s="1">
        <v>0</v>
      </c>
      <c r="I5884" s="1" t="s">
        <v>10130</v>
      </c>
      <c r="K5884" s="1" t="str">
        <f t="shared" si="374"/>
        <v>ㄍ</v>
      </c>
      <c r="L5884" s="1" t="str">
        <f t="shared" si="375"/>
        <v>ㄨ</v>
      </c>
      <c r="N5884" s="3" t="s">
        <v>30576</v>
      </c>
      <c r="O5884" s="3"/>
      <c r="P5884" s="1" t="s">
        <v>20</v>
      </c>
      <c r="R5884" s="1" t="s">
        <v>10131</v>
      </c>
      <c r="V5884" s="1" t="s">
        <v>10178</v>
      </c>
      <c r="AR5884" s="1" t="str">
        <f t="shared" si="376"/>
        <v>| [ㄍㄨˇ](ㄍㄨˇ.md) | [臌](臌.md) |  | gǔ | [動]
膨脹。如：「臌脹」。
[名]
一種腸內發酵、蓄積氣體使腹部脹起如鼓的病。有氣臌、水臌兩種。 |</v>
      </c>
    </row>
    <row r="5885" spans="1:44" hidden="1">
      <c r="A5885" s="1" t="s">
        <v>10179</v>
      </c>
      <c r="C5885" s="1">
        <v>1</v>
      </c>
      <c r="D5885" s="1" t="str">
        <f>"04178"</f>
        <v>04178</v>
      </c>
      <c r="E5885" s="1" t="s">
        <v>1015</v>
      </c>
      <c r="F5885" s="1">
        <v>18</v>
      </c>
      <c r="G5885" s="1">
        <v>13</v>
      </c>
      <c r="H5885" s="1">
        <v>0</v>
      </c>
      <c r="I5885" s="1" t="s">
        <v>10130</v>
      </c>
      <c r="K5885" s="1" t="str">
        <f t="shared" si="374"/>
        <v>ㄍ</v>
      </c>
      <c r="L5885" s="1" t="str">
        <f t="shared" si="375"/>
        <v>ㄨ</v>
      </c>
      <c r="N5885" s="3" t="s">
        <v>30576</v>
      </c>
      <c r="O5885" s="3"/>
      <c r="P5885" s="1" t="s">
        <v>20</v>
      </c>
      <c r="R5885" s="1" t="s">
        <v>10131</v>
      </c>
      <c r="V5885" s="1" t="s">
        <v>10180</v>
      </c>
      <c r="AR5885" s="1" t="str">
        <f t="shared" si="376"/>
        <v>| [ㄍㄨˇ](ㄍㄨˇ.md) | [瞽](瞽.md) |  | gǔ | [名]
1.瞎眼的人。《莊子．逍遙遊》：「瞽者無以與乎文章之觀。」《元史．卷一〇五．刑法志四》：「諸瞽者毆人，因傷致死，杖一百七，徵燒埋銀給苦主。」
2.古代的樂官。《書經．胤征》：「瞽奏鼓，嗇夫馳，庶人走。」
3.沒有見識、無觀察力的人。《荀子．勸學》：「故未可與言而言謂之傲，可與言而不言謂之隱，不觀氣色而言謂之瞽。」 |</v>
      </c>
    </row>
    <row r="5886" spans="1:44" hidden="1">
      <c r="A5886" s="1" t="s">
        <v>10181</v>
      </c>
      <c r="C5886" s="1">
        <v>1</v>
      </c>
      <c r="D5886" s="1" t="str">
        <f>"04179"</f>
        <v>04179</v>
      </c>
      <c r="E5886" s="1" t="s">
        <v>505</v>
      </c>
      <c r="F5886" s="1">
        <v>13</v>
      </c>
      <c r="G5886" s="1">
        <v>6</v>
      </c>
      <c r="H5886" s="1">
        <v>2</v>
      </c>
      <c r="I5886" s="1" t="s">
        <v>10130</v>
      </c>
      <c r="K5886" s="1" t="str">
        <f t="shared" si="374"/>
        <v>ㄍ</v>
      </c>
      <c r="L5886" s="1" t="str">
        <f t="shared" si="375"/>
        <v>ㄨ</v>
      </c>
      <c r="N5886" s="3" t="s">
        <v>30576</v>
      </c>
      <c r="O5886" s="3"/>
      <c r="P5886" s="1" t="s">
        <v>20</v>
      </c>
      <c r="R5886" s="1" t="s">
        <v>10131</v>
      </c>
      <c r="V5886" s="1" t="s">
        <v>10182</v>
      </c>
      <c r="W5886" s="1" t="s">
        <v>10183</v>
      </c>
      <c r="AR5886" s="1" t="str">
        <f t="shared" si="376"/>
        <v>| [ㄍㄨˇ](ㄍㄨˇ.md) | [賈](賈.md) |  | gǔ | [名]
做生意的人、商人。如：「書賈」、「商賈」、「行商坐賈」。《論語．子罕》：「韞匱而藏諸，求善賈而沽諸。」唐．李益〈江南曲〉：「嫁得瞿塘賈，朝朝誤妾期。」
[動]
1.買入。《左傳．昭公二十九年》：「平子每歲賈馬。」
2.賣出。如：「餘勇可賈」。
3.招致。如：「賈禍」、「賈怨」。 |</v>
      </c>
    </row>
    <row r="5887" spans="1:44" hidden="1">
      <c r="A5887" s="1" t="s">
        <v>10184</v>
      </c>
      <c r="C5887" s="1">
        <v>1</v>
      </c>
      <c r="D5887" s="1" t="str">
        <f>"04180"</f>
        <v>04180</v>
      </c>
      <c r="E5887" s="1" t="s">
        <v>139</v>
      </c>
      <c r="F5887" s="1">
        <v>14</v>
      </c>
      <c r="G5887" s="1">
        <v>10</v>
      </c>
      <c r="H5887" s="1">
        <v>0</v>
      </c>
      <c r="I5887" s="1" t="s">
        <v>10130</v>
      </c>
      <c r="K5887" s="1" t="str">
        <f t="shared" si="374"/>
        <v>ㄍ</v>
      </c>
      <c r="L5887" s="1" t="str">
        <f t="shared" si="375"/>
        <v>ㄨ</v>
      </c>
      <c r="N5887" s="3" t="s">
        <v>30576</v>
      </c>
      <c r="O5887" s="3"/>
      <c r="P5887" s="1" t="s">
        <v>20</v>
      </c>
      <c r="R5887" s="1" t="s">
        <v>10131</v>
      </c>
      <c r="V5887" s="1" t="s">
        <v>10185</v>
      </c>
      <c r="AR5887" s="1" t="str">
        <f t="shared" si="376"/>
        <v>| [ㄍㄨˇ](ㄍㄨˇ.md) | [榖](榖.md) |  | gǔ | [名]
植物名。桑科構樹屬。「楮」、「構樹」之古稱，參見「楮」條。 |</v>
      </c>
    </row>
    <row r="5888" spans="1:44" hidden="1">
      <c r="A5888" s="1" t="s">
        <v>10186</v>
      </c>
      <c r="C5888" s="1">
        <v>1</v>
      </c>
      <c r="D5888" s="1" t="str">
        <f>"04181"</f>
        <v>04181</v>
      </c>
      <c r="E5888" s="1" t="s">
        <v>429</v>
      </c>
      <c r="F5888" s="1">
        <v>15</v>
      </c>
      <c r="G5888" s="1">
        <v>10</v>
      </c>
      <c r="H5888" s="1">
        <v>0</v>
      </c>
      <c r="I5888" s="1" t="s">
        <v>10130</v>
      </c>
      <c r="K5888" s="1" t="str">
        <f t="shared" si="374"/>
        <v>ㄍ</v>
      </c>
      <c r="L5888" s="1" t="str">
        <f t="shared" si="375"/>
        <v>ㄨ</v>
      </c>
      <c r="N5888" s="3" t="s">
        <v>30576</v>
      </c>
      <c r="O5888" s="3"/>
      <c r="P5888" s="1" t="s">
        <v>20</v>
      </c>
      <c r="R5888" s="1" t="s">
        <v>10131</v>
      </c>
      <c r="V5888" s="1" t="s">
        <v>10187</v>
      </c>
      <c r="AR5888" s="1" t="str">
        <f t="shared" si="376"/>
        <v>| [ㄍㄨˇ](ㄍㄨˇ.md) | [穀](穀.md) |  | gǔ | [名]
1.糧食作物的總稱。如：「百穀」、「五穀」。《史記．卷五十五．留侯世家》：「留侯性多病，即道引不食穀。」唐．顏仁郁〈農家〉詩：「時人不識農家苦，將謂田中穀自生。」
2.俸祿。《詩經．小雅．天保》：「天保定爾，俾爾戩穀。」漢．毛亨．傳：「戩，福也。穀，祿也。」《孟子．滕文公上》：「經界不正，井地不鈞，穀祿不平。」
3.姓。如漢代有穀思。
[動]
1.養育。《戰國策．齊策六》：「乃布令求百姓之饑寒者收穀之。」三國魏．曹植〈賞罰令〉：「穀千駑馬，不如養一驥。」
2.生存、生長。《詩經．王風．大車》：「穀則異室，死則同穴。」《後漢書．卷五九．張衡傳》：「發昔夢於木禾兮，穀崑崙之高岡。」
[形]
美善的。《詩經．陳風．東門之枌》：「穀旦于差，南方之原。」《管子．禁藏》：「氣情不營，則耳目穀，衣食足。」 |</v>
      </c>
    </row>
    <row r="5889" spans="1:44" hidden="1">
      <c r="A5889" s="1" t="s">
        <v>10122</v>
      </c>
      <c r="C5889" s="1">
        <v>1</v>
      </c>
      <c r="D5889" s="1" t="str">
        <f>"04182"</f>
        <v>04182</v>
      </c>
      <c r="E5889" s="1" t="s">
        <v>71</v>
      </c>
      <c r="F5889" s="1">
        <v>17</v>
      </c>
      <c r="G5889" s="1">
        <v>10</v>
      </c>
      <c r="H5889" s="1">
        <v>1</v>
      </c>
      <c r="I5889" s="1" t="s">
        <v>10130</v>
      </c>
      <c r="K5889" s="1" t="str">
        <f t="shared" ref="K5889:K5952" si="377">LEFT(I5889, 1)</f>
        <v>ㄍ</v>
      </c>
      <c r="L5889" s="1" t="str">
        <f t="shared" ref="L5889:L5952" si="378">MID(I5889, 2, 1)</f>
        <v>ㄨ</v>
      </c>
      <c r="N5889" s="3" t="s">
        <v>30576</v>
      </c>
      <c r="O5889" s="3"/>
      <c r="P5889" s="1" t="s">
        <v>20</v>
      </c>
      <c r="R5889" s="1" t="s">
        <v>10131</v>
      </c>
      <c r="V5889" s="1" t="s">
        <v>10188</v>
      </c>
      <c r="W5889" s="1" t="s">
        <v>10189</v>
      </c>
      <c r="AR5889" s="1" t="str">
        <f t="shared" si="376"/>
        <v>| [ㄍㄨˇ](ㄍㄨˇ.md) | [轂](轂.md) |  | gǔ | [名]
1.車輪中心的圓木。《老子》第一一章：「三十輻共一轂，當其無，有車之用。」《楚辭．屈原．九歌．國殤》：「操吳戈兮被犀甲，車錯轂兮短兵接。」
2.借指車。《文選．丘遲．與陳伯之書》：「朱輪華轂，擁旄萬里，何其壯也！」 |</v>
      </c>
    </row>
    <row r="5890" spans="1:44" hidden="1">
      <c r="A5890" s="1" t="s">
        <v>10190</v>
      </c>
      <c r="C5890" s="1">
        <v>1</v>
      </c>
      <c r="D5890" s="1" t="str">
        <f>"04183"</f>
        <v>04183</v>
      </c>
      <c r="E5890" s="1" t="s">
        <v>272</v>
      </c>
      <c r="F5890" s="1">
        <v>18</v>
      </c>
      <c r="G5890" s="1">
        <v>7</v>
      </c>
      <c r="H5890" s="1">
        <v>2</v>
      </c>
      <c r="I5890" s="1" t="s">
        <v>10130</v>
      </c>
      <c r="K5890" s="1" t="str">
        <f t="shared" si="377"/>
        <v>ㄍ</v>
      </c>
      <c r="L5890" s="1" t="str">
        <f t="shared" si="378"/>
        <v>ㄨ</v>
      </c>
      <c r="N5890" s="3" t="s">
        <v>30576</v>
      </c>
      <c r="O5890" s="3"/>
      <c r="P5890" s="1" t="s">
        <v>20</v>
      </c>
      <c r="R5890" s="1" t="s">
        <v>10131</v>
      </c>
      <c r="V5890" s="1" t="s">
        <v>10191</v>
      </c>
      <c r="W5890" s="1" t="s">
        <v>10192</v>
      </c>
      <c r="AR5890" s="1" t="str">
        <f t="shared" si="376"/>
        <v>| [ㄍㄨˇ](ㄍㄨˇ.md) | [鵠](鵠.md) |  | gǔ | [名]
箭靶的中心目標。如：「鵠的」、「中鵠」。《禮記．射義》：「故射者各射己之鵠。」 |</v>
      </c>
    </row>
    <row r="5891" spans="1:44" hidden="1">
      <c r="A5891" s="1" t="s">
        <v>10193</v>
      </c>
      <c r="C5891" s="1">
        <v>1</v>
      </c>
      <c r="D5891" s="1" t="str">
        <f>"04184"</f>
        <v>04184</v>
      </c>
      <c r="E5891" s="1" t="s">
        <v>679</v>
      </c>
      <c r="F5891" s="1">
        <v>23</v>
      </c>
      <c r="G5891" s="1">
        <v>17</v>
      </c>
      <c r="H5891" s="1">
        <v>0</v>
      </c>
      <c r="I5891" s="1" t="s">
        <v>10130</v>
      </c>
      <c r="K5891" s="1" t="str">
        <f t="shared" si="377"/>
        <v>ㄍ</v>
      </c>
      <c r="L5891" s="1" t="str">
        <f t="shared" si="378"/>
        <v>ㄨ</v>
      </c>
      <c r="N5891" s="3" t="s">
        <v>30576</v>
      </c>
      <c r="O5891" s="3"/>
      <c r="P5891" s="1" t="s">
        <v>20</v>
      </c>
      <c r="R5891" s="1" t="s">
        <v>10131</v>
      </c>
      <c r="V5891" s="1" t="s">
        <v>10194</v>
      </c>
      <c r="AR5891" s="1" t="str">
        <f t="shared" ref="AR5891:AR5954" si="379">"| ["&amp;I5891&amp;"]("&amp;I5891&amp;".md) | ["&amp;A5891&amp;"]("&amp;A5891&amp;".md) | "&amp;" | "&amp;R5891&amp;" | "&amp;V5891&amp;" |"</f>
        <v>| [ㄍㄨˇ](ㄍㄨˇ.md) | [蠱](蠱.md) |  | gǔ | [名]
1.毒害人的小蟲。《新唐書．卷二〇四．方技傳．甄權傳》：「腹有蠱，誤食髮而然。」
2.以符咒等詛咒、害人的邪術。《漢書．卷四五．江充傳》：「是時，上春秋高，疑左右皆為蠱祝詛，有與亡，莫敢訟其冤者。」
3.《易經》卦名。六十四卦之一。巽（☴）下艮（☶）上。象上下不交之象。
[動]
迷惑。如：「蠱惑人心」。《左傳．莊公二十八年》：「楚令尹子元欲蠱文夫人，為館於其宮側而振萬焉」。《墨子．非儒下》：「孔某盛容脩飾以蠱世，弦歌鼓舞以聚徒。」 |</v>
      </c>
    </row>
    <row r="5892" spans="1:44" hidden="1">
      <c r="A5892" s="1" t="s">
        <v>10705</v>
      </c>
      <c r="C5892" s="1">
        <v>1</v>
      </c>
      <c r="D5892" s="1" t="str">
        <f>"04397"</f>
        <v>04397</v>
      </c>
      <c r="E5892" s="1" t="s">
        <v>28</v>
      </c>
      <c r="F5892" s="1">
        <v>8</v>
      </c>
      <c r="G5892" s="1">
        <v>5</v>
      </c>
      <c r="H5892" s="1">
        <v>0</v>
      </c>
      <c r="I5892" s="1" t="s">
        <v>10706</v>
      </c>
      <c r="K5892" s="1" t="str">
        <f t="shared" si="377"/>
        <v>ㄎ</v>
      </c>
      <c r="L5892" s="1" t="str">
        <f t="shared" si="378"/>
        <v>ㄚ</v>
      </c>
      <c r="M5892" s="1" t="str">
        <f t="shared" ref="M5892:M5923" si="380">MID(I5892, 3, 1)</f>
        <v/>
      </c>
      <c r="P5892" s="1" t="s">
        <v>20</v>
      </c>
      <c r="R5892" s="1" t="s">
        <v>10707</v>
      </c>
      <c r="V5892" s="1" t="s">
        <v>10708</v>
      </c>
      <c r="AR5892" s="1" t="str">
        <f t="shared" si="379"/>
        <v>| [ㄎㄚ](ㄎㄚ.md) | [咖](咖.md) |  | kā | [名]
譯音用字。如：「咖啡」、「咖哩」。 |</v>
      </c>
    </row>
    <row r="5893" spans="1:44" hidden="1">
      <c r="A5893" s="1" t="s">
        <v>10709</v>
      </c>
      <c r="C5893" s="1">
        <v>1</v>
      </c>
      <c r="D5893" s="1" t="str">
        <f>"04398"</f>
        <v>04398</v>
      </c>
      <c r="E5893" s="1" t="s">
        <v>28</v>
      </c>
      <c r="F5893" s="1">
        <v>9</v>
      </c>
      <c r="G5893" s="1">
        <v>6</v>
      </c>
      <c r="H5893" s="1">
        <v>3</v>
      </c>
      <c r="I5893" s="1" t="s">
        <v>10706</v>
      </c>
      <c r="K5893" s="1" t="str">
        <f t="shared" si="377"/>
        <v>ㄎ</v>
      </c>
      <c r="L5893" s="1" t="str">
        <f t="shared" si="378"/>
        <v>ㄚ</v>
      </c>
      <c r="M5893" s="1" t="str">
        <f t="shared" si="380"/>
        <v/>
      </c>
      <c r="P5893" s="1" t="s">
        <v>20</v>
      </c>
      <c r="R5893" s="1" t="s">
        <v>10707</v>
      </c>
      <c r="V5893" s="1" t="s">
        <v>10710</v>
      </c>
      <c r="W5893" s="1" t="s">
        <v>10711</v>
      </c>
      <c r="AR5893" s="1" t="str">
        <f t="shared" si="379"/>
        <v>| [ㄎㄚ](ㄎㄚ.md) | [哈](哈.md) |  | kā | 參見「哈喇」條。 |</v>
      </c>
    </row>
    <row r="5894" spans="1:44" hidden="1">
      <c r="A5894" s="1" t="s">
        <v>10712</v>
      </c>
      <c r="C5894" s="1">
        <v>1</v>
      </c>
      <c r="D5894" s="1" t="str">
        <f>"04399"</f>
        <v>04399</v>
      </c>
      <c r="E5894" s="1" t="s">
        <v>28</v>
      </c>
      <c r="F5894" s="1">
        <v>12</v>
      </c>
      <c r="G5894" s="1">
        <v>9</v>
      </c>
      <c r="H5894" s="1">
        <v>2</v>
      </c>
      <c r="I5894" s="1" t="s">
        <v>10706</v>
      </c>
      <c r="K5894" s="1" t="str">
        <f t="shared" si="377"/>
        <v>ㄎ</v>
      </c>
      <c r="L5894" s="1" t="str">
        <f t="shared" si="378"/>
        <v>ㄚ</v>
      </c>
      <c r="M5894" s="1" t="str">
        <f t="shared" si="380"/>
        <v/>
      </c>
      <c r="P5894" s="1" t="s">
        <v>20</v>
      </c>
      <c r="R5894" s="1" t="s">
        <v>10707</v>
      </c>
      <c r="V5894" s="1" t="s">
        <v>10713</v>
      </c>
      <c r="W5894" s="1" t="s">
        <v>10714</v>
      </c>
      <c r="AR5894" s="1" t="str">
        <f t="shared" si="379"/>
        <v>| [ㄎㄚ](ㄎㄚ.md) | [喀](喀.md) |  | kā | [擬]
形容咳嗽、嘔吐的聲音。《列子．說符》：「兩手據地而歐之，不出，喀喀然遂伏而死。」 |</v>
      </c>
    </row>
    <row r="5895" spans="1:44" hidden="1">
      <c r="A5895" s="1" t="s">
        <v>10734</v>
      </c>
      <c r="C5895" s="1">
        <v>1</v>
      </c>
      <c r="D5895" s="1" t="str">
        <f>"04407"</f>
        <v>04407</v>
      </c>
      <c r="E5895" s="1" t="s">
        <v>185</v>
      </c>
      <c r="F5895" s="1">
        <v>8</v>
      </c>
      <c r="G5895" s="1">
        <v>6</v>
      </c>
      <c r="H5895" s="1">
        <v>2</v>
      </c>
      <c r="I5895" s="1" t="s">
        <v>10735</v>
      </c>
      <c r="K5895" s="1" t="str">
        <f t="shared" si="377"/>
        <v>ㄎ</v>
      </c>
      <c r="L5895" s="1" t="str">
        <f t="shared" si="378"/>
        <v>ㄜ</v>
      </c>
      <c r="M5895" s="1" t="str">
        <f t="shared" si="380"/>
        <v/>
      </c>
      <c r="P5895" s="1" t="s">
        <v>20</v>
      </c>
      <c r="R5895" s="1" t="s">
        <v>10736</v>
      </c>
      <c r="V5895" s="1" t="s">
        <v>10737</v>
      </c>
      <c r="W5895" s="1" t="s">
        <v>10738</v>
      </c>
      <c r="AR5895" s="1" t="str">
        <f t="shared" si="379"/>
        <v>| [ㄎㄜ](ㄎㄜ.md) | [刻](刻.md) |  | kē | (一)[動]1.2.之又音。 |</v>
      </c>
    </row>
    <row r="5896" spans="1:44" hidden="1">
      <c r="A5896" s="1" t="s">
        <v>10739</v>
      </c>
      <c r="C5896" s="1">
        <v>1</v>
      </c>
      <c r="D5896" s="1" t="str">
        <f>"04408"</f>
        <v>04408</v>
      </c>
      <c r="E5896" s="1" t="s">
        <v>684</v>
      </c>
      <c r="F5896" s="1">
        <v>15</v>
      </c>
      <c r="G5896" s="1">
        <v>6</v>
      </c>
      <c r="H5896" s="1">
        <v>2</v>
      </c>
      <c r="I5896" s="1" t="s">
        <v>10735</v>
      </c>
      <c r="K5896" s="1" t="str">
        <f t="shared" si="377"/>
        <v>ㄎ</v>
      </c>
      <c r="L5896" s="1" t="str">
        <f t="shared" si="378"/>
        <v>ㄜ</v>
      </c>
      <c r="M5896" s="1" t="str">
        <f t="shared" si="380"/>
        <v/>
      </c>
      <c r="P5896" s="1" t="s">
        <v>388</v>
      </c>
      <c r="R5896" s="1" t="s">
        <v>10736</v>
      </c>
      <c r="V5896" s="1" t="s">
        <v>10740</v>
      </c>
      <c r="W5896" s="1" t="s">
        <v>10741</v>
      </c>
      <c r="AR5896" s="1" t="str">
        <f t="shared" si="379"/>
        <v>| [ㄎㄜ](ㄎㄜ.md) | [頦](頦.md) |  | kē | 參見「下巴頦」條。 |</v>
      </c>
    </row>
    <row r="5897" spans="1:44" hidden="1">
      <c r="A5897" s="1" t="s">
        <v>10742</v>
      </c>
      <c r="C5897" s="1">
        <v>1</v>
      </c>
      <c r="D5897" s="1" t="str">
        <f>"04409"</f>
        <v>04409</v>
      </c>
      <c r="E5897" s="1" t="s">
        <v>142</v>
      </c>
      <c r="F5897" s="1">
        <v>9</v>
      </c>
      <c r="G5897" s="1">
        <v>5</v>
      </c>
      <c r="H5897" s="1">
        <v>0</v>
      </c>
      <c r="I5897" s="1" t="s">
        <v>10735</v>
      </c>
      <c r="K5897" s="1" t="str">
        <f t="shared" si="377"/>
        <v>ㄎ</v>
      </c>
      <c r="L5897" s="1" t="str">
        <f t="shared" si="378"/>
        <v>ㄜ</v>
      </c>
      <c r="M5897" s="1" t="str">
        <f t="shared" si="380"/>
        <v/>
      </c>
      <c r="P5897" s="1" t="s">
        <v>20</v>
      </c>
      <c r="R5897" s="1" t="s">
        <v>10736</v>
      </c>
      <c r="V5897" s="1" t="s">
        <v>10743</v>
      </c>
      <c r="AR5897" s="1" t="str">
        <f t="shared" si="379"/>
        <v>| [ㄎㄜ](ㄎㄜ.md) | [珂](珂.md) |  | kē | [名]
1.一種次於玉的美石。清．王念孫《廣雅疏證．卷九下．釋地》：「珂，石之次玉。」
2.馬勒上的飾物。唐．李賀〈馬詩〉二三首之二二：「汗血到王家，隨鸞撼玉珂。」
3.借指馬。南朝梁．簡文帝〈採桑〉詩：「連珂往淇上，接幰至叢臺。」 |</v>
      </c>
    </row>
    <row r="5898" spans="1:44" hidden="1">
      <c r="A5898" s="1" t="s">
        <v>10744</v>
      </c>
      <c r="C5898" s="1">
        <v>1</v>
      </c>
      <c r="D5898" s="1" t="str">
        <f>"04410"</f>
        <v>04410</v>
      </c>
      <c r="E5898" s="1" t="s">
        <v>139</v>
      </c>
      <c r="F5898" s="1">
        <v>9</v>
      </c>
      <c r="G5898" s="1">
        <v>5</v>
      </c>
      <c r="H5898" s="1">
        <v>0</v>
      </c>
      <c r="I5898" s="1" t="s">
        <v>10735</v>
      </c>
      <c r="K5898" s="1" t="str">
        <f t="shared" si="377"/>
        <v>ㄎ</v>
      </c>
      <c r="L5898" s="1" t="str">
        <f t="shared" si="378"/>
        <v>ㄜ</v>
      </c>
      <c r="M5898" s="1" t="str">
        <f t="shared" si="380"/>
        <v/>
      </c>
      <c r="P5898" s="1" t="s">
        <v>20</v>
      </c>
      <c r="R5898" s="1" t="s">
        <v>10736</v>
      </c>
      <c r="V5898" s="1" t="s">
        <v>10745</v>
      </c>
      <c r="AR5898" s="1" t="str">
        <f t="shared" si="379"/>
        <v>| [ㄎㄜ](ㄎㄜ.md) | [柯](柯.md) |  | kē | [名]
1.斧柄。《說文解字．木部》：「柯，斧柄。」《國語．晉語八》：「今若大其柯，去其枝葉，絕其本根，可以少聞。」三國吳．韋昭．注：「柯，斧柄，所操以伐木。」
2.樹枝。南朝宋．劉義慶《世說新語．汰侈》：「枝柯扶疏，世罕其比。」唐．李白〈南軒松〉詩：「南軒有孤松，柯葉自綿冪。」
3.殼斗科石櫟屬植物的通稱。常綠喬木，葉橢圓形有鋸齒狀。夏季開花，單性，雌雄同株。果實為堅果，隔年成熟，可供熟食。木材堅實，為建築、造船等的優良用材。
4.姓。如宋代有柯夢得。 |</v>
      </c>
    </row>
    <row r="5899" spans="1:44" hidden="1">
      <c r="A5899" s="1" t="s">
        <v>10746</v>
      </c>
      <c r="C5899" s="1">
        <v>1</v>
      </c>
      <c r="D5899" s="1" t="str">
        <f>"04411"</f>
        <v>04411</v>
      </c>
      <c r="E5899" s="1" t="s">
        <v>37</v>
      </c>
      <c r="F5899" s="1">
        <v>9</v>
      </c>
      <c r="G5899" s="1">
        <v>5</v>
      </c>
      <c r="H5899" s="1">
        <v>1</v>
      </c>
      <c r="I5899" s="1" t="s">
        <v>10735</v>
      </c>
      <c r="K5899" s="1" t="str">
        <f t="shared" si="377"/>
        <v>ㄎ</v>
      </c>
      <c r="L5899" s="1" t="str">
        <f t="shared" si="378"/>
        <v>ㄜ</v>
      </c>
      <c r="M5899" s="1" t="str">
        <f t="shared" si="380"/>
        <v/>
      </c>
      <c r="P5899" s="1" t="s">
        <v>20</v>
      </c>
      <c r="R5899" s="1" t="s">
        <v>10736</v>
      </c>
      <c r="V5899" s="1" t="s">
        <v>10747</v>
      </c>
      <c r="W5899" s="1" t="s">
        <v>10748</v>
      </c>
      <c r="AR5899" s="1" t="str">
        <f t="shared" si="379"/>
        <v>| [ㄎㄜ](ㄎㄜ.md) | [苛](苛.md) |  | kē | [形]
1.嚴厲、暴虐。如：「苛刻」。《禮記．檀弓下》：「苛政猛於虎也。」唐．李白〈溧陽瀨水貞義女碑銘〉：「王虐忠助讒，苛虐厥政。」
2.煩瑣。《史記．卷一〇八．韓長孺傳》：「今太后以小節苛禮責望梁王。」《後漢書．卷二七．宣秉傳》：「務舉大綱，簡略苛細，百僚敬之。」
3.急切。晉．陸機〈從軍行〉：「隆暑固已慘，涼風嚴且苛。」
[動]
1.譴責。如：「苛責」。《周禮．夏官．射人》：「不敬者苛罰之。」《漢書．卷九九．王莽傳中》：「大司空士夜過奉常亭，亭長苛之。」
2.侵擾。《國語．晉語一》：「以皋落狄之，朝夕苛我邊鄙，使無日以牧田野。」三國吳．韋昭．注：「苛，擾也。」
[名]
1.疾病。通「疴」。《呂氏春秋．士容論．審時》：「凶氣不入，身無苛殃。」《禮記．內則》：「疾痛苛癢，而敬抑搔之。」 |</v>
      </c>
    </row>
    <row r="5900" spans="1:44" hidden="1">
      <c r="A5900" s="1" t="s">
        <v>9263</v>
      </c>
      <c r="C5900" s="1">
        <v>1</v>
      </c>
      <c r="D5900" s="1" t="str">
        <f>"04412"</f>
        <v>04412</v>
      </c>
      <c r="E5900" s="1" t="s">
        <v>169</v>
      </c>
      <c r="F5900" s="1">
        <v>10</v>
      </c>
      <c r="G5900" s="1">
        <v>5</v>
      </c>
      <c r="H5900" s="1">
        <v>2</v>
      </c>
      <c r="I5900" s="1" t="s">
        <v>10735</v>
      </c>
      <c r="K5900" s="1" t="str">
        <f t="shared" si="377"/>
        <v>ㄎ</v>
      </c>
      <c r="L5900" s="1" t="str">
        <f t="shared" si="378"/>
        <v>ㄜ</v>
      </c>
      <c r="M5900" s="1" t="str">
        <f t="shared" si="380"/>
        <v/>
      </c>
      <c r="P5900" s="1" t="s">
        <v>20</v>
      </c>
      <c r="R5900" s="1" t="s">
        <v>10736</v>
      </c>
      <c r="V5900" s="1" t="s">
        <v>10749</v>
      </c>
      <c r="W5900" s="1" t="s">
        <v>10750</v>
      </c>
      <c r="AR5900" s="1" t="str">
        <f t="shared" si="379"/>
        <v>| [ㄎㄜ](ㄎㄜ.md) | [砢](砢.md) |  | kē | 參見「砢磣」條。 |</v>
      </c>
    </row>
    <row r="5901" spans="1:44" hidden="1">
      <c r="A5901" s="1" t="s">
        <v>10751</v>
      </c>
      <c r="C5901" s="1">
        <v>1</v>
      </c>
      <c r="D5901" s="1" t="str">
        <f>"04413"</f>
        <v>04413</v>
      </c>
      <c r="E5901" s="1" t="s">
        <v>679</v>
      </c>
      <c r="F5901" s="1">
        <v>11</v>
      </c>
      <c r="G5901" s="1">
        <v>5</v>
      </c>
      <c r="H5901" s="1">
        <v>1</v>
      </c>
      <c r="I5901" s="1" t="s">
        <v>10735</v>
      </c>
      <c r="K5901" s="1" t="str">
        <f t="shared" si="377"/>
        <v>ㄎ</v>
      </c>
      <c r="L5901" s="1" t="str">
        <f t="shared" si="378"/>
        <v>ㄜ</v>
      </c>
      <c r="M5901" s="1" t="str">
        <f t="shared" si="380"/>
        <v/>
      </c>
      <c r="P5901" s="1" t="s">
        <v>20</v>
      </c>
      <c r="R5901" s="1" t="s">
        <v>10736</v>
      </c>
      <c r="V5901" s="1" t="s">
        <v>10752</v>
      </c>
      <c r="W5901" s="1" t="s">
        <v>10753</v>
      </c>
      <c r="AR5901" s="1" t="str">
        <f t="shared" si="379"/>
        <v>| [ㄎㄜ](ㄎㄜ.md) | [蚵](蚵.md) |  | kē | [名]
參見「屎蚵蜋」條。 |</v>
      </c>
    </row>
    <row r="5902" spans="1:44" hidden="1">
      <c r="A5902" s="1" t="s">
        <v>10754</v>
      </c>
      <c r="C5902" s="1">
        <v>1</v>
      </c>
      <c r="D5902" s="1" t="str">
        <f>"04414"</f>
        <v>04414</v>
      </c>
      <c r="E5902" s="1" t="s">
        <v>71</v>
      </c>
      <c r="F5902" s="1">
        <v>12</v>
      </c>
      <c r="G5902" s="1">
        <v>5</v>
      </c>
      <c r="H5902" s="1">
        <v>0</v>
      </c>
      <c r="I5902" s="1" t="s">
        <v>10735</v>
      </c>
      <c r="K5902" s="1" t="str">
        <f t="shared" si="377"/>
        <v>ㄎ</v>
      </c>
      <c r="L5902" s="1" t="str">
        <f t="shared" si="378"/>
        <v>ㄜ</v>
      </c>
      <c r="M5902" s="1" t="str">
        <f t="shared" si="380"/>
        <v/>
      </c>
      <c r="P5902" s="1" t="s">
        <v>20</v>
      </c>
      <c r="R5902" s="1" t="s">
        <v>10736</v>
      </c>
      <c r="V5902" s="1" t="s">
        <v>10755</v>
      </c>
      <c r="AR5902" s="1" t="str">
        <f t="shared" si="379"/>
        <v>| [ㄎㄜ](ㄎㄜ.md) | [軻](軻.md) |  | kē | [形]
參見「轗軻」條。
[名]
人名用字。如戰國時鄒人孟軻（孟子），燕國有荊軻。 |</v>
      </c>
    </row>
    <row r="5903" spans="1:44" hidden="1">
      <c r="A5903" s="1" t="s">
        <v>10756</v>
      </c>
      <c r="C5903" s="1">
        <v>1</v>
      </c>
      <c r="D5903" s="1" t="str">
        <f>"04415"</f>
        <v>04415</v>
      </c>
      <c r="E5903" s="1" t="s">
        <v>40</v>
      </c>
      <c r="F5903" s="1">
        <v>13</v>
      </c>
      <c r="G5903" s="1">
        <v>8</v>
      </c>
      <c r="H5903" s="1">
        <v>2</v>
      </c>
      <c r="I5903" s="1" t="s">
        <v>10735</v>
      </c>
      <c r="K5903" s="1" t="str">
        <f t="shared" si="377"/>
        <v>ㄎ</v>
      </c>
      <c r="L5903" s="1" t="str">
        <f t="shared" si="378"/>
        <v>ㄜ</v>
      </c>
      <c r="M5903" s="1" t="str">
        <f t="shared" si="380"/>
        <v/>
      </c>
      <c r="P5903" s="1" t="s">
        <v>110</v>
      </c>
      <c r="R5903" s="1" t="s">
        <v>10736</v>
      </c>
      <c r="V5903" s="1" t="s">
        <v>111</v>
      </c>
      <c r="W5903" s="1" t="s">
        <v>10757</v>
      </c>
      <c r="AR5903" s="1" t="str">
        <f t="shared" si="379"/>
        <v>| [ㄎㄜ](ㄎㄜ.md) | [痾](痾.md) |  | kē | (一)之又音。 |</v>
      </c>
    </row>
    <row r="5904" spans="1:44" hidden="1">
      <c r="A5904" s="1" t="s">
        <v>10758</v>
      </c>
      <c r="C5904" s="1">
        <v>1</v>
      </c>
      <c r="D5904" s="1" t="str">
        <f>"04416"</f>
        <v>04416</v>
      </c>
      <c r="E5904" s="1" t="s">
        <v>55</v>
      </c>
      <c r="F5904" s="1">
        <v>13</v>
      </c>
      <c r="G5904" s="1">
        <v>5</v>
      </c>
      <c r="H5904" s="1">
        <v>0</v>
      </c>
      <c r="I5904" s="1" t="s">
        <v>10735</v>
      </c>
      <c r="K5904" s="1" t="str">
        <f t="shared" si="377"/>
        <v>ㄎ</v>
      </c>
      <c r="L5904" s="1" t="str">
        <f t="shared" si="378"/>
        <v>ㄜ</v>
      </c>
      <c r="M5904" s="1" t="str">
        <f t="shared" si="380"/>
        <v/>
      </c>
      <c r="P5904" s="1" t="s">
        <v>20</v>
      </c>
      <c r="R5904" s="1" t="s">
        <v>10736</v>
      </c>
      <c r="V5904" s="1" t="s">
        <v>10759</v>
      </c>
      <c r="AR5904" s="1" t="str">
        <f t="shared" si="379"/>
        <v>| [ㄎㄜ](ㄎㄜ.md) | [鈳](鈳.md) |  | kē | [名]
化學元素。鈮的舊譯。 |</v>
      </c>
    </row>
    <row r="5905" spans="1:44" hidden="1">
      <c r="A5905" s="1" t="s">
        <v>10760</v>
      </c>
      <c r="C5905" s="1">
        <v>1</v>
      </c>
      <c r="D5905" s="1" t="str">
        <f>"04417"</f>
        <v>04417</v>
      </c>
      <c r="E5905" s="1" t="s">
        <v>429</v>
      </c>
      <c r="F5905" s="1">
        <v>9</v>
      </c>
      <c r="G5905" s="1">
        <v>4</v>
      </c>
      <c r="H5905" s="1">
        <v>0</v>
      </c>
      <c r="I5905" s="1" t="s">
        <v>10735</v>
      </c>
      <c r="K5905" s="1" t="str">
        <f t="shared" si="377"/>
        <v>ㄎ</v>
      </c>
      <c r="L5905" s="1" t="str">
        <f t="shared" si="378"/>
        <v>ㄜ</v>
      </c>
      <c r="M5905" s="1" t="str">
        <f t="shared" si="380"/>
        <v/>
      </c>
      <c r="P5905" s="1" t="s">
        <v>20</v>
      </c>
      <c r="R5905" s="1" t="s">
        <v>10736</v>
      </c>
      <c r="V5905" s="1" t="s">
        <v>10761</v>
      </c>
      <c r="AR5905" s="1" t="str">
        <f t="shared" si="379"/>
        <v>| [ㄎㄜ](ㄎㄜ.md) | [科](科.md) |  | kē | [名]
1.等級、品級。《論語．八佾》：「射不主皮，為力不同科，古之道也。」南朝梁．皇侃．疏：「科，品也。」唐．柳宗元〈上大理崔大卿應制舉不敏啟〉：「古之知己者，不待來求而後施德者也。然則亟來而求者，誠下科也。」
2.類別、項目。如：「學科」、「術科」、「內科」、「外科」、「文科」、「理科」。
3.機關內分別辦事的單位。如：「兵役科」、「文書科」、「人事科」。
4.生物學中分類的階層名稱。分階於「目」之下，指同一目的生物按相似特徵分為若干科，由一群親緣關係相近之屬所組成。如：「貓科」、「桑科」、「禾本科」。
5.法律、條目。如：「作奸犯科」、「金科玉律」。
6.國劇中的動作、舉止稱為「科」。如：「科白」、「插科打諢」。
7.量詞。計算植物的單位。同「棵」。宋．陳與義〈秋雨〉詩：「是事且置當務本，菜圃已添三萬科。」
[動]
處斷、處罰。如：「論罪科刑」。《資治通鑑．卷八一．晉紀三．武帝太康元年》：「有司奏『濬違詔，大不敬，請付廷尉科罪。』」 |</v>
      </c>
    </row>
    <row r="5906" spans="1:44" hidden="1">
      <c r="A5906" s="1" t="s">
        <v>10762</v>
      </c>
      <c r="C5906" s="1">
        <v>1</v>
      </c>
      <c r="D5906" s="1" t="str">
        <f>"04418"</f>
        <v>04418</v>
      </c>
      <c r="E5906" s="1" t="s">
        <v>679</v>
      </c>
      <c r="F5906" s="1">
        <v>15</v>
      </c>
      <c r="G5906" s="1">
        <v>9</v>
      </c>
      <c r="H5906" s="1">
        <v>0</v>
      </c>
      <c r="I5906" s="1" t="s">
        <v>10735</v>
      </c>
      <c r="K5906" s="1" t="str">
        <f t="shared" si="377"/>
        <v>ㄎ</v>
      </c>
      <c r="L5906" s="1" t="str">
        <f t="shared" si="378"/>
        <v>ㄜ</v>
      </c>
      <c r="M5906" s="1" t="str">
        <f t="shared" si="380"/>
        <v/>
      </c>
      <c r="P5906" s="1" t="s">
        <v>20</v>
      </c>
      <c r="R5906" s="1" t="s">
        <v>10736</v>
      </c>
      <c r="V5906" s="1" t="s">
        <v>4876</v>
      </c>
      <c r="AR5906" s="1" t="str">
        <f t="shared" si="379"/>
        <v>| [ㄎㄜ](ㄎㄜ.md) | [蝌](蝌.md) |  | kē | 參見「蝌蚪」條。 |</v>
      </c>
    </row>
    <row r="5907" spans="1:44" hidden="1">
      <c r="A5907" s="1" t="s">
        <v>10763</v>
      </c>
      <c r="C5907" s="1">
        <v>1</v>
      </c>
      <c r="D5907" s="1" t="str">
        <f>"04419"</f>
        <v>04419</v>
      </c>
      <c r="E5907" s="1" t="s">
        <v>77</v>
      </c>
      <c r="F5907" s="1">
        <v>10</v>
      </c>
      <c r="G5907" s="1">
        <v>3</v>
      </c>
      <c r="H5907" s="1">
        <v>1</v>
      </c>
      <c r="I5907" s="1" t="s">
        <v>10735</v>
      </c>
      <c r="K5907" s="1" t="str">
        <f t="shared" si="377"/>
        <v>ㄎ</v>
      </c>
      <c r="L5907" s="1" t="str">
        <f t="shared" si="378"/>
        <v>ㄜ</v>
      </c>
      <c r="M5907" s="1" t="str">
        <f t="shared" si="380"/>
        <v/>
      </c>
      <c r="P5907" s="1" t="s">
        <v>20</v>
      </c>
      <c r="R5907" s="1" t="s">
        <v>10736</v>
      </c>
      <c r="V5907" s="1" t="s">
        <v>10764</v>
      </c>
      <c r="W5907" s="1" t="s">
        <v>10765</v>
      </c>
      <c r="AR5907" s="1" t="str">
        <f t="shared" si="379"/>
        <v>| [ㄎㄜ](ㄎㄜ.md) | [趷](趷.md) |  | kē | [擬]
趷蹬：形容物體相撞擊的聲音。如：「只聽得趷蹬一聲，花瓶應聲而碎。」 |</v>
      </c>
    </row>
    <row r="5908" spans="1:44" hidden="1">
      <c r="A5908" s="1" t="s">
        <v>10766</v>
      </c>
      <c r="C5908" s="1">
        <v>1</v>
      </c>
      <c r="D5908" s="1" t="str">
        <f>"04420"</f>
        <v>04420</v>
      </c>
      <c r="E5908" s="1" t="s">
        <v>139</v>
      </c>
      <c r="F5908" s="1">
        <v>12</v>
      </c>
      <c r="G5908" s="1">
        <v>8</v>
      </c>
      <c r="H5908" s="1">
        <v>0</v>
      </c>
      <c r="I5908" s="1" t="s">
        <v>10735</v>
      </c>
      <c r="K5908" s="1" t="str">
        <f t="shared" si="377"/>
        <v>ㄎ</v>
      </c>
      <c r="L5908" s="1" t="str">
        <f t="shared" si="378"/>
        <v>ㄜ</v>
      </c>
      <c r="M5908" s="1" t="str">
        <f t="shared" si="380"/>
        <v/>
      </c>
      <c r="P5908" s="1" t="s">
        <v>20</v>
      </c>
      <c r="R5908" s="1" t="s">
        <v>10736</v>
      </c>
      <c r="V5908" s="1" t="s">
        <v>10767</v>
      </c>
      <c r="AR5908" s="1" t="str">
        <f t="shared" si="379"/>
        <v>| [ㄎㄜ](ㄎㄜ.md) | [棵](棵.md) |  | kē | [名]
量詞。計算植物的單位。如：「一棵樹」。《紅樓夢》第九四回：「怡紅院裡的海棠本來萎了幾棵，也沒人去澆灌他。」 |</v>
      </c>
    </row>
    <row r="5909" spans="1:44" hidden="1">
      <c r="A5909" s="1" t="s">
        <v>10768</v>
      </c>
      <c r="C5909" s="1">
        <v>1</v>
      </c>
      <c r="D5909" s="1" t="str">
        <f>"04421"</f>
        <v>04421</v>
      </c>
      <c r="E5909" s="1" t="s">
        <v>1274</v>
      </c>
      <c r="F5909" s="1">
        <v>13</v>
      </c>
      <c r="G5909" s="1">
        <v>8</v>
      </c>
      <c r="H5909" s="1">
        <v>0</v>
      </c>
      <c r="I5909" s="1" t="s">
        <v>10735</v>
      </c>
      <c r="K5909" s="1" t="str">
        <f t="shared" si="377"/>
        <v>ㄎ</v>
      </c>
      <c r="L5909" s="1" t="str">
        <f t="shared" si="378"/>
        <v>ㄜ</v>
      </c>
      <c r="M5909" s="1" t="str">
        <f t="shared" si="380"/>
        <v/>
      </c>
      <c r="P5909" s="1" t="s">
        <v>20</v>
      </c>
      <c r="R5909" s="1" t="s">
        <v>10736</v>
      </c>
      <c r="V5909" s="1" t="s">
        <v>10769</v>
      </c>
      <c r="AR5909" s="1" t="str">
        <f t="shared" si="379"/>
        <v>| [ㄎㄜ](ㄎㄜ.md) | [窠](窠.md) |  | kē | [名]_x000D_
1.鳥、獸、蟲類等棲息的巢穴。漢．王充《論衡．辨祟》：「能行之物，死傷病困，小大相害，或人捕取，以給口腹，非作窠穿穴有所觸，東西行徙有所犯也。」晉．左思〈蜀都賦〉：「穴宅奇獸，窠宿異禽。」_x000D_
2.人的居室。宋．辛棄疾〈鷓鴣天．拋卻山中詩酒窠〉詞：「拋卻山中詩酒窠，卻來官府聽笙歌。」元．秦𥳑夫《東堂老》第一折：「原是祖父的窠巢，誰承望子孫不肖，剔騰了。」_x000D_
[量]_x000D_
計算植物的單位。通「棵」。五代十國．李煜〈長相思．雲一緺〉詞：「簾外芭蕉三兩窠，夜長人奈何。」宋．蘇軾〈答子勉〉詩三首之三：「欲舞腰身柳一窠，小梅摧拍大梅歌。」 |</v>
      </c>
    </row>
    <row r="5910" spans="1:44" hidden="1">
      <c r="A5910" s="1" t="s">
        <v>10770</v>
      </c>
      <c r="C5910" s="1">
        <v>1</v>
      </c>
      <c r="D5910" s="1" t="str">
        <f>"04422"</f>
        <v>04422</v>
      </c>
      <c r="E5910" s="1" t="s">
        <v>429</v>
      </c>
      <c r="F5910" s="1">
        <v>13</v>
      </c>
      <c r="G5910" s="1">
        <v>8</v>
      </c>
      <c r="H5910" s="1">
        <v>0</v>
      </c>
      <c r="I5910" s="1" t="s">
        <v>10735</v>
      </c>
      <c r="K5910" s="1" t="str">
        <f t="shared" si="377"/>
        <v>ㄎ</v>
      </c>
      <c r="L5910" s="1" t="str">
        <f t="shared" si="378"/>
        <v>ㄜ</v>
      </c>
      <c r="M5910" s="1" t="str">
        <f t="shared" si="380"/>
        <v/>
      </c>
      <c r="P5910" s="1" t="s">
        <v>20</v>
      </c>
      <c r="R5910" s="1" t="s">
        <v>10736</v>
      </c>
      <c r="V5910" s="1" t="s">
        <v>10771</v>
      </c>
      <c r="AR5910" s="1" t="str">
        <f t="shared" si="379"/>
        <v>| [ㄎㄜ](ㄎㄜ.md) | [稞](稞.md) |  | kē | 參見「青稞」條。 |</v>
      </c>
    </row>
    <row r="5911" spans="1:44" hidden="1">
      <c r="A5911" s="1" t="s">
        <v>10772</v>
      </c>
      <c r="C5911" s="1">
        <v>1</v>
      </c>
      <c r="D5911" s="1" t="str">
        <f>"04423"</f>
        <v>04423</v>
      </c>
      <c r="E5911" s="1" t="s">
        <v>684</v>
      </c>
      <c r="F5911" s="1">
        <v>17</v>
      </c>
      <c r="G5911" s="1">
        <v>8</v>
      </c>
      <c r="H5911" s="1">
        <v>1</v>
      </c>
      <c r="I5911" s="1" t="s">
        <v>10735</v>
      </c>
      <c r="K5911" s="1" t="str">
        <f t="shared" si="377"/>
        <v>ㄎ</v>
      </c>
      <c r="L5911" s="1" t="str">
        <f t="shared" si="378"/>
        <v>ㄜ</v>
      </c>
      <c r="M5911" s="1" t="str">
        <f t="shared" si="380"/>
        <v/>
      </c>
      <c r="P5911" s="1" t="s">
        <v>20</v>
      </c>
      <c r="R5911" s="1" t="s">
        <v>10736</v>
      </c>
      <c r="V5911" s="1" t="s">
        <v>10773</v>
      </c>
      <c r="W5911" s="1" t="s">
        <v>10774</v>
      </c>
      <c r="AR5911" s="1" t="str">
        <f t="shared" si="379"/>
        <v>| [ㄎㄜ](ㄎㄜ.md) | [顆](顆.md) |  | kē | [名]
量詞。計算粒狀或圓形物體的單位。如：「一顆糖果」、「三顆花生米」、「五顆子彈」。宋．蘇軾〈食荔支〉詩二首之二：「日啖荔支三百顆，不妨長作嶺南人。」 |</v>
      </c>
    </row>
    <row r="5912" spans="1:44" hidden="1">
      <c r="A5912" s="1" t="s">
        <v>10775</v>
      </c>
      <c r="C5912" s="1">
        <v>1</v>
      </c>
      <c r="D5912" s="1" t="str">
        <f>"04424"</f>
        <v>04424</v>
      </c>
      <c r="E5912" s="1" t="s">
        <v>283</v>
      </c>
      <c r="F5912" s="1">
        <v>18</v>
      </c>
      <c r="G5912" s="1">
        <v>8</v>
      </c>
      <c r="H5912" s="1">
        <v>0</v>
      </c>
      <c r="I5912" s="1" t="s">
        <v>10735</v>
      </c>
      <c r="K5912" s="1" t="str">
        <f t="shared" si="377"/>
        <v>ㄎ</v>
      </c>
      <c r="L5912" s="1" t="str">
        <f t="shared" si="378"/>
        <v>ㄜ</v>
      </c>
      <c r="M5912" s="1" t="str">
        <f t="shared" si="380"/>
        <v/>
      </c>
      <c r="P5912" s="1" t="s">
        <v>20</v>
      </c>
      <c r="R5912" s="1" t="s">
        <v>10736</v>
      </c>
      <c r="V5912" s="1" t="s">
        <v>10776</v>
      </c>
      <c r="AR5912" s="1" t="str">
        <f t="shared" si="379"/>
        <v>| [ㄎㄜ](ㄎㄜ.md) | [髁](髁.md) |  | kē | [名]
1.大腿骨。《說文解字．骨部》：「髁，髀骨也。」清．段玉裁．注：「髀骨，猶言股骨也。」
2.膝蓋骨。《廣韻．平聲．戈韻》：「髁，膝骨。」 |</v>
      </c>
    </row>
    <row r="5913" spans="1:44" hidden="1">
      <c r="A5913" s="1" t="s">
        <v>10777</v>
      </c>
      <c r="C5913" s="1">
        <v>1</v>
      </c>
      <c r="D5913" s="1" t="str">
        <f>"04425"</f>
        <v>04425</v>
      </c>
      <c r="E5913" s="1" t="s">
        <v>24</v>
      </c>
      <c r="F5913" s="1">
        <v>13</v>
      </c>
      <c r="G5913" s="1">
        <v>10</v>
      </c>
      <c r="H5913" s="1">
        <v>0</v>
      </c>
      <c r="I5913" s="1" t="s">
        <v>10735</v>
      </c>
      <c r="K5913" s="1" t="str">
        <f t="shared" si="377"/>
        <v>ㄎ</v>
      </c>
      <c r="L5913" s="1" t="str">
        <f t="shared" si="378"/>
        <v>ㄜ</v>
      </c>
      <c r="M5913" s="1" t="str">
        <f t="shared" si="380"/>
        <v/>
      </c>
      <c r="P5913" s="1" t="s">
        <v>20</v>
      </c>
      <c r="R5913" s="1" t="s">
        <v>10736</v>
      </c>
      <c r="V5913" s="1" t="s">
        <v>10778</v>
      </c>
      <c r="AR5913" s="1" t="str">
        <f t="shared" si="379"/>
        <v>| [ㄎㄜ](ㄎㄜ.md) | [搕](搕.md) |  | kē | [動]
1.取。《集韻．入聲．盍韻》：「搕，取也。」
2.敲擊、打擊。《字彙．手部》：「搕，擊也。」 |</v>
      </c>
    </row>
    <row r="5914" spans="1:44" hidden="1">
      <c r="A5914" s="1" t="s">
        <v>10779</v>
      </c>
      <c r="C5914" s="1">
        <v>1</v>
      </c>
      <c r="D5914" s="1" t="str">
        <f>"04426"</f>
        <v>04426</v>
      </c>
      <c r="E5914" s="1" t="s">
        <v>169</v>
      </c>
      <c r="F5914" s="1">
        <v>15</v>
      </c>
      <c r="G5914" s="1">
        <v>10</v>
      </c>
      <c r="H5914" s="1">
        <v>0</v>
      </c>
      <c r="I5914" s="1" t="s">
        <v>10735</v>
      </c>
      <c r="K5914" s="1" t="str">
        <f t="shared" si="377"/>
        <v>ㄎ</v>
      </c>
      <c r="L5914" s="1" t="str">
        <f t="shared" si="378"/>
        <v>ㄜ</v>
      </c>
      <c r="M5914" s="1" t="str">
        <f t="shared" si="380"/>
        <v/>
      </c>
      <c r="P5914" s="1" t="s">
        <v>20</v>
      </c>
      <c r="R5914" s="1" t="s">
        <v>10736</v>
      </c>
      <c r="V5914" s="1" t="s">
        <v>10780</v>
      </c>
      <c r="AR5914" s="1" t="str">
        <f t="shared" si="379"/>
        <v>| [ㄎㄜ](ㄎㄜ.md) | [磕](磕.md) |  | kē | [擬]
形容石頭相撞擊的聲音。明．張自烈《正字通．石部》：「磕，兩石相擊聲。」《文選．司馬相如．子虛賦》：「礧石相擊，硍硍磕磕。」
[動]
1.撞擊、敲擊。唐．杜牧〈大雨行〉：「雲纏風束亂敲磕，黃帝未勝蚩尤強。」
2.叩頭、頓首。如：「磕頭」。《老殘遊記》第一四回：「翠環聽罷，趕緊忍住淚，骨鼕骨鼕替他們每人磕了幾個響頭。」 |</v>
      </c>
    </row>
    <row r="5915" spans="1:44" hidden="1">
      <c r="A5915" s="1" t="s">
        <v>10781</v>
      </c>
      <c r="C5915" s="1">
        <v>1</v>
      </c>
      <c r="D5915" s="1" t="str">
        <f>"04427"</f>
        <v>04427</v>
      </c>
      <c r="E5915" s="1" t="s">
        <v>1015</v>
      </c>
      <c r="F5915" s="1">
        <v>15</v>
      </c>
      <c r="G5915" s="1">
        <v>10</v>
      </c>
      <c r="H5915" s="1">
        <v>0</v>
      </c>
      <c r="I5915" s="1" t="s">
        <v>10735</v>
      </c>
      <c r="K5915" s="1" t="str">
        <f t="shared" si="377"/>
        <v>ㄎ</v>
      </c>
      <c r="L5915" s="1" t="str">
        <f t="shared" si="378"/>
        <v>ㄜ</v>
      </c>
      <c r="M5915" s="1" t="str">
        <f t="shared" si="380"/>
        <v/>
      </c>
      <c r="P5915" s="1" t="s">
        <v>20</v>
      </c>
      <c r="R5915" s="1" t="s">
        <v>10736</v>
      </c>
      <c r="V5915" s="1" t="s">
        <v>10782</v>
      </c>
      <c r="AR5915" s="1" t="str">
        <f t="shared" si="379"/>
        <v>| [ㄎㄜ](ㄎㄜ.md) | [瞌](瞌.md) |  | kē | 參見「瞌睡」條。 |</v>
      </c>
    </row>
    <row r="5916" spans="1:44" hidden="1">
      <c r="A5916" s="1" t="s">
        <v>10783</v>
      </c>
      <c r="C5916" s="1">
        <v>1</v>
      </c>
      <c r="D5916" s="1" t="str">
        <f>"04428"</f>
        <v>04428</v>
      </c>
      <c r="E5916" s="1" t="s">
        <v>37</v>
      </c>
      <c r="F5916" s="1">
        <v>17</v>
      </c>
      <c r="G5916" s="1">
        <v>13</v>
      </c>
      <c r="H5916" s="1">
        <v>0</v>
      </c>
      <c r="I5916" s="1" t="s">
        <v>10735</v>
      </c>
      <c r="K5916" s="1" t="str">
        <f t="shared" si="377"/>
        <v>ㄎ</v>
      </c>
      <c r="L5916" s="1" t="str">
        <f t="shared" si="378"/>
        <v>ㄜ</v>
      </c>
      <c r="M5916" s="1" t="str">
        <f t="shared" si="380"/>
        <v/>
      </c>
      <c r="P5916" s="1" t="s">
        <v>20</v>
      </c>
      <c r="R5916" s="1" t="s">
        <v>10736</v>
      </c>
      <c r="V5916" s="1" t="s">
        <v>10784</v>
      </c>
      <c r="AR5916" s="1" t="str">
        <f t="shared" si="379"/>
        <v>| [ㄎㄜ](ㄎㄜ.md) | [薖](薖.md) |  | kē | [形]
寬大的樣子。《詩經．衛風．考槃》：「考槃在阿，碩人之薖。」漢．毛亨．傳：「薖，寬大貌。」 |</v>
      </c>
    </row>
    <row r="5917" spans="1:44" hidden="1">
      <c r="A5917" s="1" t="s">
        <v>10850</v>
      </c>
      <c r="C5917" s="1">
        <v>1</v>
      </c>
      <c r="D5917" s="1" t="str">
        <f>"04456"</f>
        <v>04456</v>
      </c>
      <c r="E5917" s="1" t="s">
        <v>24</v>
      </c>
      <c r="F5917" s="1">
        <v>12</v>
      </c>
      <c r="G5917" s="1">
        <v>9</v>
      </c>
      <c r="H5917" s="1">
        <v>0</v>
      </c>
      <c r="I5917" s="1" t="s">
        <v>10851</v>
      </c>
      <c r="K5917" s="1" t="str">
        <f t="shared" si="377"/>
        <v>ㄎ</v>
      </c>
      <c r="L5917" s="1" t="str">
        <f t="shared" si="378"/>
        <v>ㄞ</v>
      </c>
      <c r="M5917" s="1" t="str">
        <f t="shared" si="380"/>
        <v/>
      </c>
      <c r="P5917" s="1" t="s">
        <v>20</v>
      </c>
      <c r="R5917" s="1" t="s">
        <v>10852</v>
      </c>
      <c r="V5917" s="1" t="s">
        <v>10853</v>
      </c>
      <c r="AR5917" s="1" t="str">
        <f t="shared" si="379"/>
        <v>| [ㄎㄞ](ㄎㄞ.md) | [揩](揩.md) |  | kāi | [動]
1.擦、抹。如：「揩汗」、「揩桌椅」。《五燈會元．卷一二．興化仁岳禪師》：「癩馬揩枯柳。」
2.撈取、榨取。如：「揩油」。 |</v>
      </c>
    </row>
    <row r="5918" spans="1:44" hidden="1">
      <c r="A5918" s="1" t="s">
        <v>10854</v>
      </c>
      <c r="C5918" s="1">
        <v>1</v>
      </c>
      <c r="D5918" s="1" t="str">
        <f>"04457"</f>
        <v>04457</v>
      </c>
      <c r="E5918" s="1" t="s">
        <v>709</v>
      </c>
      <c r="F5918" s="1">
        <v>12</v>
      </c>
      <c r="G5918" s="1">
        <v>4</v>
      </c>
      <c r="H5918" s="1">
        <v>0</v>
      </c>
      <c r="I5918" s="1" t="s">
        <v>10851</v>
      </c>
      <c r="K5918" s="1" t="str">
        <f t="shared" si="377"/>
        <v>ㄎ</v>
      </c>
      <c r="L5918" s="1" t="str">
        <f t="shared" si="378"/>
        <v>ㄞ</v>
      </c>
      <c r="M5918" s="1" t="str">
        <f t="shared" si="380"/>
        <v/>
      </c>
      <c r="P5918" s="1" t="s">
        <v>20</v>
      </c>
      <c r="R5918" s="1" t="s">
        <v>10852</v>
      </c>
      <c r="V5918" s="1" t="s">
        <v>10855</v>
      </c>
      <c r="AR5918" s="1" t="str">
        <f t="shared" si="379"/>
        <v>| [ㄎㄞ](ㄎㄞ.md) | [開](開.md) |  | kāi | [動]
1.啟、張。《說文解字．門部》：「開，張也。」如：「開門」、「開口」、「開箱」。唐．孟浩然〈過故人莊〉詩：「開軒面場圃，把酒話桑麻。」
2.舒張、綻放。如：「開顏」、「開懷」、「開花」、「花朵盛開」。《莊子．齊物論》：「其寐也魂交，其覺也形開。」
3.發動、啟行、駕駛。如：「開車」、「開船」。唐．杜甫〈登白馬潭〉詩：「水生春纜沒，日出野船開。」
4.發射。如：「開槍」、「開砲」。
5.發掘、拓展。如：「開礦」、「開荒」、「開源節流」、「開疆闢土」。《韓非子．初見秦》：「開地數千里，此其大功也。」
6.引導、啟發。如：「開導」。《禮記．學記》：「故君子之教喻也，道而弗牽，強而弗抑，開而弗達。」
7.創辦、設立。如：「開店」、「開工廠」、「別開生面」。《易經．師卦．上六》：「大君有命，開國承家，小人勿用。」《鏡花緣》第五二回：「如今天朝雖開女科，無如遠隔重洋，何能前去？」
8.始做某種行為、動作。如：「開學」、「開工」、「開飯」。
9.舉行。如：「開會」。
10.免除、取消。如：「開戒」、「開禁」、「開除」。《書經．多方》：「開釋無辜，亦克用勸。」
11.條列、列敘。如：「開藥方」、「開發票」、「開書單」。
12.揭曉。如：「開獎」、「開標」。
13.分離。如：「離開」。三國魏．阮籍〈大人先生歌〉：「天地解兮六合開，星辰隕兮日月頹。」
14.割、剖。如：「開膛破肚」、「開了一個西瓜」。
15.消散。如：「雲開霧散」。唐．杜甫〈梅雨〉詩：「茅茨疏易溼，雲霧密難開。」
16.支付。如：「開支」、「開銷」、「開工錢」。
17.沸騰。如：「水開了」。
[名]
1.量詞。計算紙張大小尺寸的單位。切割一大張紙為若干分之一稱為「開」。如：「對開」、「四開」、「十六開」。
2.黃金的純度單位。以二十四開為純金。
3.姓。如漢代有開章。
[副]
放在動詞後：(1)表示通透、豁達。如：「想開」、「看開」。(2)表示擴張、擴大。如：「傳開」、「散開」。 |</v>
      </c>
    </row>
    <row r="5919" spans="1:44" hidden="1">
      <c r="A5919" s="1" t="s">
        <v>10856</v>
      </c>
      <c r="C5919" s="1">
        <v>1</v>
      </c>
      <c r="D5919" s="1" t="str">
        <f>"04458"</f>
        <v>04458</v>
      </c>
      <c r="E5919" s="1" t="s">
        <v>55</v>
      </c>
      <c r="F5919" s="1">
        <v>20</v>
      </c>
      <c r="G5919" s="1">
        <v>12</v>
      </c>
      <c r="H5919" s="1">
        <v>0</v>
      </c>
      <c r="I5919" s="1" t="s">
        <v>10851</v>
      </c>
      <c r="K5919" s="1" t="str">
        <f t="shared" si="377"/>
        <v>ㄎ</v>
      </c>
      <c r="L5919" s="1" t="str">
        <f t="shared" si="378"/>
        <v>ㄞ</v>
      </c>
      <c r="M5919" s="1" t="str">
        <f t="shared" si="380"/>
        <v/>
      </c>
      <c r="P5919" s="1" t="s">
        <v>20</v>
      </c>
      <c r="R5919" s="1" t="s">
        <v>10852</v>
      </c>
      <c r="V5919" s="1" t="s">
        <v>10857</v>
      </c>
      <c r="AR5919" s="1" t="str">
        <f t="shared" si="379"/>
        <v>| [ㄎㄞ](ㄎㄞ.md) | [鐦](鐦.md) |  | kāi | [名]
化學元素。銫的舊譯。 |</v>
      </c>
    </row>
    <row r="5920" spans="1:44" hidden="1">
      <c r="A5920" s="1" t="s">
        <v>10897</v>
      </c>
      <c r="C5920" s="1">
        <v>1</v>
      </c>
      <c r="D5920" s="1" t="str">
        <f>"04475"</f>
        <v>04475</v>
      </c>
      <c r="E5920" s="1" t="s">
        <v>871</v>
      </c>
      <c r="F5920" s="1">
        <v>5</v>
      </c>
      <c r="G5920" s="1">
        <v>2</v>
      </c>
      <c r="H5920" s="1">
        <v>0</v>
      </c>
      <c r="I5920" s="1" t="s">
        <v>10898</v>
      </c>
      <c r="K5920" s="1" t="str">
        <f t="shared" si="377"/>
        <v>ㄎ</v>
      </c>
      <c r="L5920" s="1" t="str">
        <f t="shared" si="378"/>
        <v>ㄠ</v>
      </c>
      <c r="M5920" s="1" t="str">
        <f t="shared" si="380"/>
        <v/>
      </c>
      <c r="P5920" s="1" t="s">
        <v>20</v>
      </c>
      <c r="R5920" s="1" t="s">
        <v>10899</v>
      </c>
      <c r="V5920" s="1" t="s">
        <v>10900</v>
      </c>
      <c r="AR5920" s="1" t="str">
        <f t="shared" si="379"/>
        <v>| [ㄎㄠ](ㄎㄠ.md) | [尻](尻.md) |  | kāo | [名]
臀部。《說文解字．尸部》：「尻，臀也。」清．段玉裁．注：「臀，今俗云屁股是也。」元．吳澄〈題牧牛圖〉詩：「一牛兩腳初下水，尻高未舉後兩蹄。」《西遊記》第三回：「兩個是赤尻馬猴。」 |</v>
      </c>
    </row>
    <row r="5921" spans="1:44" hidden="1">
      <c r="A5921" s="1" t="s">
        <v>10901</v>
      </c>
      <c r="C5921" s="1">
        <v>1</v>
      </c>
      <c r="D5921" s="1" t="str">
        <f>"04476"</f>
        <v>04476</v>
      </c>
      <c r="E5921" s="1" t="s">
        <v>331</v>
      </c>
      <c r="F5921" s="1">
        <v>9</v>
      </c>
      <c r="G5921" s="1">
        <v>2</v>
      </c>
      <c r="H5921" s="1">
        <v>2</v>
      </c>
      <c r="I5921" s="1" t="s">
        <v>10898</v>
      </c>
      <c r="K5921" s="1" t="str">
        <f t="shared" si="377"/>
        <v>ㄎ</v>
      </c>
      <c r="L5921" s="1" t="str">
        <f t="shared" si="378"/>
        <v>ㄠ</v>
      </c>
      <c r="M5921" s="1" t="str">
        <f t="shared" si="380"/>
        <v/>
      </c>
      <c r="P5921" s="1" t="s">
        <v>20</v>
      </c>
      <c r="R5921" s="1" t="s">
        <v>10899</v>
      </c>
      <c r="V5921" s="1" t="s">
        <v>10902</v>
      </c>
      <c r="W5921" s="1" t="s">
        <v>10903</v>
      </c>
      <c r="AR5921" s="1" t="str">
        <f t="shared" si="379"/>
        <v>| [ㄎㄠ](ㄎㄠ.md) | [訄](訄.md) |  | kāo | [名]
玩笑話。《廣韻．平聲．豪韻》：「訄，戲言。」 |</v>
      </c>
    </row>
    <row r="5922" spans="1:44" hidden="1">
      <c r="A5922" s="1" t="s">
        <v>10929</v>
      </c>
      <c r="C5922" s="1">
        <v>1</v>
      </c>
      <c r="D5922" s="1" t="str">
        <f>"04487"</f>
        <v>04487</v>
      </c>
      <c r="E5922" s="1" t="s">
        <v>24</v>
      </c>
      <c r="F5922" s="1">
        <v>14</v>
      </c>
      <c r="G5922" s="1">
        <v>11</v>
      </c>
      <c r="H5922" s="1">
        <v>0</v>
      </c>
      <c r="I5922" s="1" t="s">
        <v>10930</v>
      </c>
      <c r="K5922" s="1" t="str">
        <f t="shared" si="377"/>
        <v>ㄎ</v>
      </c>
      <c r="L5922" s="1" t="str">
        <f t="shared" si="378"/>
        <v>ㄡ</v>
      </c>
      <c r="M5922" s="1" t="str">
        <f t="shared" si="380"/>
        <v/>
      </c>
      <c r="P5922" s="1" t="s">
        <v>20</v>
      </c>
      <c r="R5922" s="1" t="s">
        <v>10931</v>
      </c>
      <c r="V5922" s="1" t="s">
        <v>10932</v>
      </c>
      <c r="AR5922" s="1" t="str">
        <f t="shared" si="379"/>
        <v>| [ㄎㄡ](ㄎㄡ.md) | [摳](摳.md) |  | kōu | [動]
1.提挈、撩起。《廣韻．平聲．虞韻》：「摳，褰裳也。」《禮記．曲禮上》：「毋踐屨，毋踖席，摳衣趨隅，必慎唯諾。」
2.探取。《列子．黃帝》：「以瓦摳者巧，以鉤摳者憚，以黃金摳者惛。」晉．張湛．注：「互有所投者，摳。」
3.捉拿、拘留。《警世通言．卷六．俞仲舉題詩遇上皇》：「差官教放了孫婆，將孫小二摳住問俞良安在？」
4.用手指或指甲挖取。如：「不要摳鼻子！」《西遊記》第二回：「摳眼睛，捻鼻子。」
5.北平方言。指追究、深究。如：「他遇著問題，總喜好死摳！」
[形]
北平方言。指吝嗇。如：「他這人摳得很，一毛錢也不肯拿出來。」 |</v>
      </c>
    </row>
    <row r="5923" spans="1:44" hidden="1">
      <c r="A5923" s="1" t="s">
        <v>10933</v>
      </c>
      <c r="C5923" s="1">
        <v>1</v>
      </c>
      <c r="D5923" s="1" t="str">
        <f>"04488"</f>
        <v>04488</v>
      </c>
      <c r="E5923" s="1" t="s">
        <v>103</v>
      </c>
      <c r="F5923" s="1">
        <v>14</v>
      </c>
      <c r="G5923" s="1">
        <v>11</v>
      </c>
      <c r="H5923" s="1">
        <v>0</v>
      </c>
      <c r="I5923" s="1" t="s">
        <v>10930</v>
      </c>
      <c r="K5923" s="1" t="str">
        <f t="shared" si="377"/>
        <v>ㄎ</v>
      </c>
      <c r="L5923" s="1" t="str">
        <f t="shared" si="378"/>
        <v>ㄡ</v>
      </c>
      <c r="M5923" s="1" t="str">
        <f t="shared" si="380"/>
        <v/>
      </c>
      <c r="P5923" s="1" t="s">
        <v>20</v>
      </c>
      <c r="R5923" s="1" t="s">
        <v>10931</v>
      </c>
      <c r="V5923" s="1" t="s">
        <v>10934</v>
      </c>
      <c r="AR5923" s="1" t="str">
        <f t="shared" si="379"/>
        <v>| [ㄎㄡ](ㄎㄡ.md) | [彄](彄.md) |  | kōu | [名]
1.弓弩兩端繫弦的部分。《說文解字．弓部》：「彄，弓弩耑弦所居也。」清．段玉裁．注：「耑者，頭也，兩頭隱弦處曰彄。」漢．蔡邕〈黃鉞銘〉：「馬不帶鉂，弓不受彄。」
2.環類的東西。《西京雜記》卷一：「戚姬以百鍊金為彄環，照見指骨。」《資治通鑑．卷一二六．宋紀八．文帝元嘉二十八年》：「魏人以鉤車鉤城樓，城內繫以彄緪。」 |</v>
      </c>
    </row>
    <row r="5924" spans="1:44" hidden="1">
      <c r="A5924" s="1" t="s">
        <v>10935</v>
      </c>
      <c r="C5924" s="1">
        <v>1</v>
      </c>
      <c r="D5924" s="1" t="str">
        <f>"04489"</f>
        <v>04489</v>
      </c>
      <c r="E5924" s="1" t="s">
        <v>1015</v>
      </c>
      <c r="F5924" s="1">
        <v>16</v>
      </c>
      <c r="G5924" s="1">
        <v>11</v>
      </c>
      <c r="H5924" s="1">
        <v>0</v>
      </c>
      <c r="I5924" s="1" t="s">
        <v>10930</v>
      </c>
      <c r="K5924" s="1" t="str">
        <f t="shared" si="377"/>
        <v>ㄎ</v>
      </c>
      <c r="L5924" s="1" t="str">
        <f t="shared" si="378"/>
        <v>ㄡ</v>
      </c>
      <c r="M5924" s="1" t="str">
        <f t="shared" ref="M5924:M5955" si="381">MID(I5924, 3, 1)</f>
        <v/>
      </c>
      <c r="P5924" s="1" t="s">
        <v>20</v>
      </c>
      <c r="R5924" s="1" t="s">
        <v>10931</v>
      </c>
      <c r="V5924" s="1" t="s">
        <v>10936</v>
      </c>
      <c r="AR5924" s="1" t="str">
        <f t="shared" si="379"/>
        <v>| [ㄎㄡ](ㄎㄡ.md) | [瞘](瞘.md) |  | kōu | [形]
眼珠子深陷。《廣韻．平聲．侯韻》：「瞘，深目貌。」《醒世恆言．卷一．兩縣令競義婚孤女》：「蕭雅一臉麻子，眼瞘齒䶕，好似飛天夜叉模樣。」 |</v>
      </c>
    </row>
    <row r="5925" spans="1:44" hidden="1">
      <c r="A5925" s="1" t="s">
        <v>10961</v>
      </c>
      <c r="C5925" s="1">
        <v>1</v>
      </c>
      <c r="D5925" s="1" t="str">
        <f>"04500"</f>
        <v>04500</v>
      </c>
      <c r="E5925" s="1" t="s">
        <v>185</v>
      </c>
      <c r="F5925" s="1">
        <v>5</v>
      </c>
      <c r="G5925" s="1">
        <v>3</v>
      </c>
      <c r="H5925" s="1">
        <v>0</v>
      </c>
      <c r="I5925" s="1" t="s">
        <v>10962</v>
      </c>
      <c r="K5925" s="1" t="str">
        <f t="shared" si="377"/>
        <v>ㄎ</v>
      </c>
      <c r="L5925" s="1" t="str">
        <f t="shared" si="378"/>
        <v>ㄢ</v>
      </c>
      <c r="M5925" s="1" t="str">
        <f t="shared" si="381"/>
        <v/>
      </c>
      <c r="P5925" s="1" t="s">
        <v>20</v>
      </c>
      <c r="R5925" s="1" t="s">
        <v>10963</v>
      </c>
      <c r="V5925" s="1" t="s">
        <v>10964</v>
      </c>
      <c r="AR5925" s="1" t="str">
        <f t="shared" si="379"/>
        <v>| [ㄎㄢ](ㄎㄢ.md) | [刊](刊.md) |  | kān | [動]
1.削去、砍除。《說文解字．木部》「刊」字．清．段玉裁．注：「凡有所削去謂之刊。」《書經．禹貢》：「隨山刊木，奠高山大川。」《禮記．雜記上》：「畢用桑長三尺，刊其柄與末。」
2.修正、改正。如：「刊誤」、「刊定」。《晉書．卷三八．文六王傳．齊王攸傳》：「就人借書，必手刊其謬，然後反之。」
3.雕刻。《文選．班固．封燕然山銘》：「乃遂封山刊石，昭銘盛德。」
4.發表、登載。如：「刊登」、「刊載」。
[名]
定期出版的讀物，或定期發表的專欄。如：「副刊」、「期刊」、「週刊」、「月刊」、「專刊」、「叢刊」。 |</v>
      </c>
    </row>
    <row r="5926" spans="1:44" hidden="1">
      <c r="A5926" s="1" t="s">
        <v>10965</v>
      </c>
      <c r="C5926" s="1">
        <v>1</v>
      </c>
      <c r="D5926" s="1" t="str">
        <f>"04501"</f>
        <v>04501</v>
      </c>
      <c r="E5926" s="1" t="s">
        <v>1015</v>
      </c>
      <c r="F5926" s="1">
        <v>9</v>
      </c>
      <c r="G5926" s="1">
        <v>4</v>
      </c>
      <c r="H5926" s="1">
        <v>2</v>
      </c>
      <c r="I5926" s="1" t="s">
        <v>10962</v>
      </c>
      <c r="K5926" s="1" t="str">
        <f t="shared" si="377"/>
        <v>ㄎ</v>
      </c>
      <c r="L5926" s="1" t="str">
        <f t="shared" si="378"/>
        <v>ㄢ</v>
      </c>
      <c r="M5926" s="1" t="str">
        <f t="shared" si="381"/>
        <v/>
      </c>
      <c r="P5926" s="1" t="s">
        <v>20</v>
      </c>
      <c r="R5926" s="1" t="s">
        <v>10963</v>
      </c>
      <c r="V5926" s="1" t="s">
        <v>10966</v>
      </c>
      <c r="W5926" s="1" t="s">
        <v>10967</v>
      </c>
      <c r="AR5926" s="1" t="str">
        <f t="shared" si="379"/>
        <v>| [ㄎㄢ](ㄎㄢ.md) | [看](看.md) |  | kān | [動]
1.(一)[動]2.4.之讀音。
2.看守。如：「看門」、「看護」、「看守」。 |</v>
      </c>
    </row>
    <row r="5927" spans="1:44" hidden="1">
      <c r="A5927" s="1" t="s">
        <v>10968</v>
      </c>
      <c r="C5927" s="1">
        <v>1</v>
      </c>
      <c r="D5927" s="1" t="str">
        <f>"04502"</f>
        <v>04502</v>
      </c>
      <c r="E5927" s="1" t="s">
        <v>245</v>
      </c>
      <c r="F5927" s="1">
        <v>11</v>
      </c>
      <c r="G5927" s="1">
        <v>9</v>
      </c>
      <c r="H5927" s="1">
        <v>1</v>
      </c>
      <c r="I5927" s="1" t="s">
        <v>10962</v>
      </c>
      <c r="K5927" s="1" t="str">
        <f t="shared" si="377"/>
        <v>ㄎ</v>
      </c>
      <c r="L5927" s="1" t="str">
        <f t="shared" si="378"/>
        <v>ㄢ</v>
      </c>
      <c r="M5927" s="1" t="str">
        <f t="shared" si="381"/>
        <v/>
      </c>
      <c r="P5927" s="1" t="s">
        <v>20</v>
      </c>
      <c r="R5927" s="1" t="s">
        <v>10963</v>
      </c>
      <c r="V5927" s="1" t="s">
        <v>10969</v>
      </c>
      <c r="W5927" s="1" t="s">
        <v>10970</v>
      </c>
      <c r="AR5927" s="1" t="str">
        <f t="shared" si="379"/>
        <v>| [ㄎㄢ](ㄎㄢ.md) | [勘](勘.md) |  | kān | [動]
1.校正、核對。如：「校勘」、「勘誤」。《南史．卷五九．任昉傳》：「武帝使學士賀縱共沈約勘書目，官無者就其家取之。」唐．韓愈〈秋懷〉詩一一首之七：「不如覷文字，丹鉛事點勘。」
2.審問。《宋史．卷二〇〇．刑法志二》：「紹興法，鞫獄官推勘不實，故有不當者，一案坐之。」元．關漢卿《蝴蝶夢》第二折：「有什麼合審的罪囚，押上勘問。」
3.察看、考核。如：「勘查」、「勘驗」、「探勘」、「勘測地形」。唐．司空圖〈上譙公書〉：「某跡拘世累而業久於山，援古勘今，思有所發者。」 |</v>
      </c>
    </row>
    <row r="5928" spans="1:44" hidden="1">
      <c r="A5928" s="1" t="s">
        <v>10971</v>
      </c>
      <c r="C5928" s="1">
        <v>1</v>
      </c>
      <c r="D5928" s="1" t="str">
        <f>"04503"</f>
        <v>04503</v>
      </c>
      <c r="E5928" s="1" t="s">
        <v>132</v>
      </c>
      <c r="F5928" s="1">
        <v>12</v>
      </c>
      <c r="G5928" s="1">
        <v>9</v>
      </c>
      <c r="H5928" s="1">
        <v>0</v>
      </c>
      <c r="I5928" s="1" t="s">
        <v>10962</v>
      </c>
      <c r="K5928" s="1" t="str">
        <f t="shared" si="377"/>
        <v>ㄎ</v>
      </c>
      <c r="L5928" s="1" t="str">
        <f t="shared" si="378"/>
        <v>ㄢ</v>
      </c>
      <c r="M5928" s="1" t="str">
        <f t="shared" si="381"/>
        <v/>
      </c>
      <c r="P5928" s="1" t="s">
        <v>20</v>
      </c>
      <c r="R5928" s="1" t="s">
        <v>10963</v>
      </c>
      <c r="V5928" s="1" t="s">
        <v>10972</v>
      </c>
      <c r="AR5928" s="1" t="str">
        <f t="shared" si="379"/>
        <v>| [ㄎㄢ](ㄎㄢ.md) | [堪](堪.md) |  | kān | [動]
勝任、承受。如：「難堪」、「足堪重任」、「不堪一擊」、「情何以堪」。《論語．雍也》：「人不堪其憂，回也不改其樂。」宋．柳永〈雨霖鈴．寒蟬淒切〉詞：「多情自古傷離別，更那堪、冷落清秋節？」
[副]
可以、能夠。如：「堪稱大將」、「不堪設想」。唐．杜秋娘〈金縷衣〉詩：「花開堪折直須折，莫待無花空折枝。」五代十國南唐．李煜〈浪淘沙．往事只堪哀〉詞：「往事只堪哀，對景難排。」 |</v>
      </c>
    </row>
    <row r="5929" spans="1:44" hidden="1">
      <c r="A5929" s="1" t="s">
        <v>10973</v>
      </c>
      <c r="C5929" s="1">
        <v>1</v>
      </c>
      <c r="D5929" s="1" t="str">
        <f>"04504"</f>
        <v>04504</v>
      </c>
      <c r="E5929" s="1" t="s">
        <v>190</v>
      </c>
      <c r="F5929" s="1">
        <v>12</v>
      </c>
      <c r="G5929" s="1">
        <v>9</v>
      </c>
      <c r="H5929" s="1">
        <v>0</v>
      </c>
      <c r="I5929" s="1" t="s">
        <v>10962</v>
      </c>
      <c r="K5929" s="1" t="str">
        <f t="shared" si="377"/>
        <v>ㄎ</v>
      </c>
      <c r="L5929" s="1" t="str">
        <f t="shared" si="378"/>
        <v>ㄢ</v>
      </c>
      <c r="M5929" s="1" t="str">
        <f t="shared" si="381"/>
        <v/>
      </c>
      <c r="P5929" s="1" t="s">
        <v>20</v>
      </c>
      <c r="R5929" s="1" t="s">
        <v>10963</v>
      </c>
      <c r="V5929" s="1" t="s">
        <v>10974</v>
      </c>
      <c r="AR5929" s="1" t="str">
        <f t="shared" si="379"/>
        <v>| [ㄎㄢ](ㄎㄢ.md) | [嵁](嵁.md) |  | kān | [名]
高低不平的山巖。《莊子．在宥》：「故賢者伏處大山嵁巖之下，而萬乘之君憂慄乎廟堂之上。」唐．柳宗元〈至小邱西小石潭記〉：「全石以為底，近岸卷石底以出，為坻為嶼，為嵁為巖。」 |</v>
      </c>
    </row>
    <row r="5930" spans="1:44" hidden="1">
      <c r="A5930" s="1" t="s">
        <v>10975</v>
      </c>
      <c r="C5930" s="1">
        <v>1</v>
      </c>
      <c r="D5930" s="1" t="str">
        <f>"04505"</f>
        <v>04505</v>
      </c>
      <c r="E5930" s="1" t="s">
        <v>4785</v>
      </c>
      <c r="F5930" s="1">
        <v>13</v>
      </c>
      <c r="G5930" s="1">
        <v>9</v>
      </c>
      <c r="H5930" s="1">
        <v>0</v>
      </c>
      <c r="I5930" s="1" t="s">
        <v>10962</v>
      </c>
      <c r="K5930" s="1" t="str">
        <f t="shared" si="377"/>
        <v>ㄎ</v>
      </c>
      <c r="L5930" s="1" t="str">
        <f t="shared" si="378"/>
        <v>ㄢ</v>
      </c>
      <c r="M5930" s="1" t="str">
        <f t="shared" si="381"/>
        <v/>
      </c>
      <c r="P5930" s="1" t="s">
        <v>20</v>
      </c>
      <c r="R5930" s="1" t="s">
        <v>10963</v>
      </c>
      <c r="V5930" s="1" t="s">
        <v>10976</v>
      </c>
      <c r="AR5930" s="1" t="str">
        <f t="shared" si="379"/>
        <v>| [ㄎㄢ](ㄎㄢ.md) | [戡](戡.md) |  | kān | [動]
克、平定。如：「戡亂」、「戡平」。《書經．西伯戡黎》：「西伯既戡黎，祖伊恐，奔告于王。」《新唐書．卷一三七．郭子儀傳》：「昔回紇涉萬里，戡大憝，助復二京，我與若等休戚同之。」 |</v>
      </c>
    </row>
    <row r="5931" spans="1:44" hidden="1">
      <c r="A5931" s="1" t="s">
        <v>10977</v>
      </c>
      <c r="C5931" s="1">
        <v>1</v>
      </c>
      <c r="D5931" s="1" t="str">
        <f>"04506"</f>
        <v>04506</v>
      </c>
      <c r="E5931" s="1" t="s">
        <v>9393</v>
      </c>
      <c r="F5931" s="1">
        <v>22</v>
      </c>
      <c r="G5931" s="1">
        <v>6</v>
      </c>
      <c r="H5931" s="1">
        <v>0</v>
      </c>
      <c r="I5931" s="1" t="s">
        <v>10962</v>
      </c>
      <c r="K5931" s="1" t="str">
        <f t="shared" si="377"/>
        <v>ㄎ</v>
      </c>
      <c r="L5931" s="1" t="str">
        <f t="shared" si="378"/>
        <v>ㄢ</v>
      </c>
      <c r="M5931" s="1" t="str">
        <f t="shared" si="381"/>
        <v/>
      </c>
      <c r="P5931" s="1" t="s">
        <v>20</v>
      </c>
      <c r="R5931" s="1" t="s">
        <v>10963</v>
      </c>
      <c r="V5931" s="1" t="s">
        <v>10978</v>
      </c>
      <c r="AR5931" s="1" t="str">
        <f t="shared" si="379"/>
        <v>| [ㄎㄢ](ㄎㄢ.md) | [龕](龕.md) |  | kān | [名]
1.供奉神、佛像或祖先牌位的石室或櫥櫃。如：「神龕」、「佛龕」。唐．杜甫〈山寺〉詩：「野寺根石壁，諸龕遍崔嵬。」《朱子語類．卷九〇．禮七》：「西壁如今之牆上為龕，太祖居之，東向。」
2.置放僧人遺體的棺木。《警世通言．卷二八．白娘子永鎮雷峰塔》：「眾僧買龕燒化，造一座骨塔，千年不朽。」
[動]
克服、平定。通「戡」。漢．揚雄《法言．重黎》：「劉龕南陽，項救河北。」晉．李軌．注：「龕，取也。」《文選．謝朓．和伏武昌登孫權故城》：「北拒溺驂鑣，西龕收組練。」 |</v>
      </c>
    </row>
    <row r="5932" spans="1:44" hidden="1">
      <c r="A5932" s="1" t="s">
        <v>11047</v>
      </c>
      <c r="C5932" s="1">
        <v>1</v>
      </c>
      <c r="D5932" s="1" t="str">
        <f>"04533"</f>
        <v>04533</v>
      </c>
      <c r="E5932" s="1" t="s">
        <v>447</v>
      </c>
      <c r="F5932" s="1">
        <v>11</v>
      </c>
      <c r="G5932" s="1">
        <v>8</v>
      </c>
      <c r="H5932" s="1">
        <v>0</v>
      </c>
      <c r="I5932" s="1" t="s">
        <v>11048</v>
      </c>
      <c r="K5932" s="1" t="str">
        <f t="shared" si="377"/>
        <v>ㄎ</v>
      </c>
      <c r="L5932" s="1" t="str">
        <f t="shared" si="378"/>
        <v>ㄤ</v>
      </c>
      <c r="M5932" s="1" t="str">
        <f t="shared" si="381"/>
        <v/>
      </c>
      <c r="P5932" s="1" t="s">
        <v>20</v>
      </c>
      <c r="R5932" s="1" t="s">
        <v>11049</v>
      </c>
      <c r="V5932" s="1" t="s">
        <v>11050</v>
      </c>
      <c r="AR5932" s="1" t="str">
        <f t="shared" si="379"/>
        <v>| [ㄎㄤ](ㄎㄤ.md) | [康](康.md) |  | kāng | [形]
1.平安、安定。如：「安康」、「康樂」。《書經．益稷》：「股肱良哉，庶事康哉！」
2.豐足、富裕。如：「小康」、「康年」。唐．白居易〈和微之詩．和三月三十日四十韻〉：「杭土麗且康，蘇民富而庶。」
3.身體強健。如：「健康」、「康強」。《樂府詩集．卷七三．雜曲歌辭十三．古辭．焦仲卿妻》：「命如南山石，四體康且直。」唐．韓愈〈送李愿歸盤谷序〉：「飲且食兮壽而康，無不足兮奚所望？」
4.通達、平坦。《史記．卷七四．孟子荀卿傳》：「為開第康莊之衢，高門大屋，尊寵之。」
[名]
姓。如元代有康進之，清代有康有為。 |</v>
      </c>
    </row>
    <row r="5933" spans="1:44" hidden="1">
      <c r="A5933" s="1" t="s">
        <v>11051</v>
      </c>
      <c r="C5933" s="1">
        <v>1</v>
      </c>
      <c r="D5933" s="1" t="str">
        <f>"04534"</f>
        <v>04534</v>
      </c>
      <c r="E5933" s="1" t="s">
        <v>250</v>
      </c>
      <c r="F5933" s="1">
        <v>14</v>
      </c>
      <c r="G5933" s="1">
        <v>11</v>
      </c>
      <c r="H5933" s="1">
        <v>1</v>
      </c>
      <c r="I5933" s="1" t="s">
        <v>11048</v>
      </c>
      <c r="K5933" s="1" t="str">
        <f t="shared" si="377"/>
        <v>ㄎ</v>
      </c>
      <c r="L5933" s="1" t="str">
        <f t="shared" si="378"/>
        <v>ㄤ</v>
      </c>
      <c r="M5933" s="1" t="str">
        <f t="shared" si="381"/>
        <v/>
      </c>
      <c r="P5933" s="1" t="s">
        <v>20</v>
      </c>
      <c r="R5933" s="1" t="s">
        <v>11049</v>
      </c>
      <c r="V5933" s="1" t="s">
        <v>11052</v>
      </c>
      <c r="W5933" s="1" t="s">
        <v>11053</v>
      </c>
      <c r="AR5933" s="1" t="str">
        <f t="shared" si="379"/>
        <v>| [ㄎㄤ](ㄎㄤ.md) | [慷](慷.md) |  | kāng | 參見「慷慨」條。 |</v>
      </c>
    </row>
    <row r="5934" spans="1:44" hidden="1">
      <c r="A5934" s="1" t="s">
        <v>11054</v>
      </c>
      <c r="C5934" s="1">
        <v>1</v>
      </c>
      <c r="D5934" s="1" t="str">
        <f>"04535"</f>
        <v>04535</v>
      </c>
      <c r="E5934" s="1" t="s">
        <v>46</v>
      </c>
      <c r="F5934" s="1">
        <v>17</v>
      </c>
      <c r="G5934" s="1">
        <v>11</v>
      </c>
      <c r="H5934" s="1">
        <v>0</v>
      </c>
      <c r="I5934" s="1" t="s">
        <v>11048</v>
      </c>
      <c r="K5934" s="1" t="str">
        <f t="shared" si="377"/>
        <v>ㄎ</v>
      </c>
      <c r="L5934" s="1" t="str">
        <f t="shared" si="378"/>
        <v>ㄤ</v>
      </c>
      <c r="M5934" s="1" t="str">
        <f t="shared" si="381"/>
        <v/>
      </c>
      <c r="P5934" s="1" t="s">
        <v>20</v>
      </c>
      <c r="R5934" s="1" t="s">
        <v>11049</v>
      </c>
      <c r="V5934" s="1" t="s">
        <v>11055</v>
      </c>
      <c r="AR5934" s="1" t="str">
        <f t="shared" si="379"/>
        <v>| [ㄎㄤ](ㄎㄤ.md) | [糠](糠.md) |  | kāng | [名]
穀粒上剝落下的外皮。如：「米糠」、「麥糠」。《莊子．達生》：「不如食以糠糟，而錯之牢筴之中。」
[形]
蘿蔔肉質不結實、不細緻。如：「糠蘿蔔」。 |</v>
      </c>
    </row>
    <row r="5935" spans="1:44" hidden="1">
      <c r="A5935" s="1" t="s">
        <v>11056</v>
      </c>
      <c r="C5935" s="1">
        <v>1</v>
      </c>
      <c r="D5935" s="1" t="str">
        <f>"04536"</f>
        <v>04536</v>
      </c>
      <c r="E5935" s="1" t="s">
        <v>55</v>
      </c>
      <c r="F5935" s="1">
        <v>19</v>
      </c>
      <c r="G5935" s="1">
        <v>11</v>
      </c>
      <c r="H5935" s="1">
        <v>0</v>
      </c>
      <c r="I5935" s="1" t="s">
        <v>11048</v>
      </c>
      <c r="K5935" s="1" t="str">
        <f t="shared" si="377"/>
        <v>ㄎ</v>
      </c>
      <c r="L5935" s="1" t="str">
        <f t="shared" si="378"/>
        <v>ㄤ</v>
      </c>
      <c r="M5935" s="1" t="str">
        <f t="shared" si="381"/>
        <v/>
      </c>
      <c r="P5935" s="1" t="s">
        <v>20</v>
      </c>
      <c r="R5935" s="1" t="s">
        <v>11049</v>
      </c>
      <c r="V5935" s="1" t="s">
        <v>11057</v>
      </c>
      <c r="AR5935" s="1" t="str">
        <f t="shared" si="379"/>
        <v>| [ㄎㄤ](ㄎㄤ.md) | [鏮](鏮.md) |  | kāng | [名]
化學元素。鈧的舊譯。 |</v>
      </c>
    </row>
    <row r="5936" spans="1:44" hidden="1">
      <c r="A5936" s="1" t="s">
        <v>11058</v>
      </c>
      <c r="C5936" s="1">
        <v>1</v>
      </c>
      <c r="D5936" s="1" t="str">
        <f>"04537"</f>
        <v>04537</v>
      </c>
      <c r="E5936" s="1" t="s">
        <v>156</v>
      </c>
      <c r="F5936" s="1">
        <v>22</v>
      </c>
      <c r="G5936" s="1">
        <v>11</v>
      </c>
      <c r="H5936" s="1">
        <v>0</v>
      </c>
      <c r="I5936" s="1" t="s">
        <v>11048</v>
      </c>
      <c r="K5936" s="1" t="str">
        <f t="shared" si="377"/>
        <v>ㄎ</v>
      </c>
      <c r="L5936" s="1" t="str">
        <f t="shared" si="378"/>
        <v>ㄤ</v>
      </c>
      <c r="M5936" s="1" t="str">
        <f t="shared" si="381"/>
        <v/>
      </c>
      <c r="P5936" s="1" t="s">
        <v>20</v>
      </c>
      <c r="R5936" s="1" t="s">
        <v>11049</v>
      </c>
      <c r="V5936" s="1" t="s">
        <v>11059</v>
      </c>
      <c r="AR5936" s="1" t="str">
        <f t="shared" si="379"/>
        <v>| [ㄎㄤ](ㄎㄤ.md) | [鱇](鱇.md) |  | kāng | 參見「鮟鱇」條。 |</v>
      </c>
    </row>
    <row r="5937" spans="1:44" hidden="1">
      <c r="A5937" s="1" t="s">
        <v>11088</v>
      </c>
      <c r="C5937" s="1">
        <v>1</v>
      </c>
      <c r="D5937" s="1" t="str">
        <f>"04549"</f>
        <v>04549</v>
      </c>
      <c r="E5937" s="1" t="s">
        <v>132</v>
      </c>
      <c r="F5937" s="1">
        <v>7</v>
      </c>
      <c r="G5937" s="1">
        <v>4</v>
      </c>
      <c r="H5937" s="1">
        <v>0</v>
      </c>
      <c r="I5937" s="1" t="s">
        <v>11089</v>
      </c>
      <c r="K5937" s="1" t="str">
        <f t="shared" si="377"/>
        <v>ㄎ</v>
      </c>
      <c r="L5937" s="1" t="str">
        <f t="shared" si="378"/>
        <v>ㄥ</v>
      </c>
      <c r="M5937" s="1" t="str">
        <f t="shared" si="381"/>
        <v/>
      </c>
      <c r="P5937" s="1" t="s">
        <v>20</v>
      </c>
      <c r="R5937" s="1" t="s">
        <v>11090</v>
      </c>
      <c r="V5937" s="1" t="s">
        <v>11091</v>
      </c>
      <c r="AR5937" s="1" t="str">
        <f t="shared" si="379"/>
        <v>| [ㄎㄥ](ㄎㄥ.md) | [坑](坑.md) |  | kēng | [名]
1.地面凹陷的地方。如：「泥坑」、「彈坑」、「沙坑」、「坑坑洞洞」。
2.地洞、地道。如：「礦坑」、「坑道」。《舊唐書．卷四八．食貨志上》：「其天下自五嶺以北，見採銀坑，並宜禁斷。」
3.俗稱廁所。如：「茅坑」、「糞坑」、「登坑」。
[動]
1.活埋。如：「坑殺」、「焚書坑儒」。
2.陷害、欺騙。如：「坑人」、「坑害」。《紅樓夢》第九三回：「我並沒得罪人，為什麼這麼坑我？」 |</v>
      </c>
    </row>
    <row r="5938" spans="1:44" hidden="1">
      <c r="A5938" s="1" t="s">
        <v>11092</v>
      </c>
      <c r="C5938" s="1">
        <v>1</v>
      </c>
      <c r="D5938" s="1" t="str">
        <f>"04550"</f>
        <v>04550</v>
      </c>
      <c r="E5938" s="1" t="s">
        <v>28</v>
      </c>
      <c r="F5938" s="1">
        <v>7</v>
      </c>
      <c r="G5938" s="1">
        <v>4</v>
      </c>
      <c r="H5938" s="1">
        <v>2</v>
      </c>
      <c r="I5938" s="1" t="s">
        <v>11089</v>
      </c>
      <c r="K5938" s="1" t="str">
        <f t="shared" si="377"/>
        <v>ㄎ</v>
      </c>
      <c r="L5938" s="1" t="str">
        <f t="shared" si="378"/>
        <v>ㄥ</v>
      </c>
      <c r="M5938" s="1" t="str">
        <f t="shared" si="381"/>
        <v/>
      </c>
      <c r="P5938" s="1" t="s">
        <v>20</v>
      </c>
      <c r="R5938" s="1" t="s">
        <v>11090</v>
      </c>
      <c r="V5938" s="1" t="s">
        <v>11093</v>
      </c>
      <c r="W5938" s="1" t="s">
        <v>11094</v>
      </c>
      <c r="AR5938" s="1" t="str">
        <f t="shared" si="379"/>
        <v>| [ㄎㄥ](ㄎㄥ.md) | [吭](吭.md) |  | kēng | [動]
發出聲音。如：「吭氣」、「悶不吭聲」。 |</v>
      </c>
    </row>
    <row r="5939" spans="1:44" hidden="1">
      <c r="A5939" s="1" t="s">
        <v>11095</v>
      </c>
      <c r="C5939" s="1">
        <v>1</v>
      </c>
      <c r="D5939" s="1" t="str">
        <f>"04551"</f>
        <v>04551</v>
      </c>
      <c r="E5939" s="1" t="s">
        <v>691</v>
      </c>
      <c r="F5939" s="1">
        <v>7</v>
      </c>
      <c r="G5939" s="1">
        <v>4</v>
      </c>
      <c r="H5939" s="1">
        <v>0</v>
      </c>
      <c r="I5939" s="1" t="s">
        <v>11089</v>
      </c>
      <c r="K5939" s="1" t="str">
        <f t="shared" si="377"/>
        <v>ㄎ</v>
      </c>
      <c r="L5939" s="1" t="str">
        <f t="shared" si="378"/>
        <v>ㄥ</v>
      </c>
      <c r="M5939" s="1" t="str">
        <f t="shared" si="381"/>
        <v/>
      </c>
      <c r="P5939" s="1" t="s">
        <v>20</v>
      </c>
      <c r="R5939" s="1" t="s">
        <v>11090</v>
      </c>
      <c r="V5939" s="1" t="s">
        <v>11096</v>
      </c>
      <c r="AR5939" s="1" t="str">
        <f t="shared" si="379"/>
        <v>| [ㄎㄥ](ㄎㄥ.md) | [阬](阬.md) |  | kēng | 同「坑」。 |</v>
      </c>
    </row>
    <row r="5940" spans="1:44" hidden="1">
      <c r="A5940" s="1" t="s">
        <v>11097</v>
      </c>
      <c r="C5940" s="1">
        <v>1</v>
      </c>
      <c r="D5940" s="1" t="str">
        <f>"04552"</f>
        <v>04552</v>
      </c>
      <c r="E5940" s="1" t="s">
        <v>518</v>
      </c>
      <c r="F5940" s="1">
        <v>11</v>
      </c>
      <c r="G5940" s="1">
        <v>7</v>
      </c>
      <c r="H5940" s="1">
        <v>0</v>
      </c>
      <c r="I5940" s="1" t="s">
        <v>11089</v>
      </c>
      <c r="K5940" s="1" t="str">
        <f t="shared" si="377"/>
        <v>ㄎ</v>
      </c>
      <c r="L5940" s="1" t="str">
        <f t="shared" si="378"/>
        <v>ㄥ</v>
      </c>
      <c r="M5940" s="1" t="str">
        <f t="shared" si="381"/>
        <v/>
      </c>
      <c r="P5940" s="1" t="s">
        <v>20</v>
      </c>
      <c r="R5940" s="1" t="s">
        <v>11090</v>
      </c>
      <c r="V5940" s="1" t="s">
        <v>11098</v>
      </c>
      <c r="AR5940" s="1" t="str">
        <f t="shared" si="379"/>
        <v>| [ㄎㄥ](ㄎㄥ.md) | [牼](牼.md) |  | kēng | [名]
牛脛骨，即牛膝下的骨頭。《說文解字．牛部》：「牼，牛膝下骨也。」清．黃景仁〈平定兩金川大功告成恭紀〉：「斜攻閒開窮支撐，迎刃桀解無堅牼。」 |</v>
      </c>
    </row>
    <row r="5941" spans="1:44" hidden="1">
      <c r="A5941" s="1" t="s">
        <v>11099</v>
      </c>
      <c r="C5941" s="1">
        <v>1</v>
      </c>
      <c r="D5941" s="1" t="str">
        <f>"04553"</f>
        <v>04553</v>
      </c>
      <c r="E5941" s="1" t="s">
        <v>169</v>
      </c>
      <c r="F5941" s="1">
        <v>12</v>
      </c>
      <c r="G5941" s="1">
        <v>7</v>
      </c>
      <c r="H5941" s="1">
        <v>0</v>
      </c>
      <c r="I5941" s="1" t="s">
        <v>11089</v>
      </c>
      <c r="K5941" s="1" t="str">
        <f t="shared" si="377"/>
        <v>ㄎ</v>
      </c>
      <c r="L5941" s="1" t="str">
        <f t="shared" si="378"/>
        <v>ㄥ</v>
      </c>
      <c r="M5941" s="1" t="str">
        <f t="shared" si="381"/>
        <v/>
      </c>
      <c r="P5941" s="1" t="s">
        <v>20</v>
      </c>
      <c r="R5941" s="1" t="s">
        <v>11090</v>
      </c>
      <c r="V5941" s="1" t="s">
        <v>11100</v>
      </c>
      <c r="AR5941" s="1" t="str">
        <f t="shared" si="379"/>
        <v>| [ㄎㄥ](ㄎㄥ.md) | [硜](硜.md) |  | kēng | 參見「硜硜」條。 |</v>
      </c>
    </row>
    <row r="5942" spans="1:44" hidden="1">
      <c r="A5942" s="1" t="s">
        <v>11101</v>
      </c>
      <c r="C5942" s="1">
        <v>1</v>
      </c>
      <c r="D5942" s="1" t="str">
        <f>"04553A"</f>
        <v>04553A</v>
      </c>
      <c r="E5942" s="1" t="s">
        <v>43</v>
      </c>
      <c r="F5942" s="1">
        <v>13</v>
      </c>
      <c r="G5942" s="1">
        <v>7</v>
      </c>
      <c r="H5942" s="1">
        <v>2</v>
      </c>
      <c r="I5942" s="1" t="s">
        <v>11089</v>
      </c>
      <c r="K5942" s="1" t="str">
        <f t="shared" si="377"/>
        <v>ㄎ</v>
      </c>
      <c r="L5942" s="1" t="str">
        <f t="shared" si="378"/>
        <v>ㄥ</v>
      </c>
      <c r="M5942" s="1" t="str">
        <f t="shared" si="381"/>
        <v/>
      </c>
      <c r="P5942" s="1" t="s">
        <v>20</v>
      </c>
      <c r="R5942" s="1" t="s">
        <v>11090</v>
      </c>
      <c r="V5942" s="1" t="s">
        <v>11102</v>
      </c>
      <c r="W5942" s="1" t="s">
        <v>11103</v>
      </c>
      <c r="AR5942" s="1" t="str">
        <f t="shared" si="379"/>
        <v>| [ㄎㄥ](ㄎㄥ.md) | [羥](羥.md) |  | kēng | [名]
一種羊。《說文解字．羊部》：「羊名也，从羊巠聲。」 |</v>
      </c>
    </row>
    <row r="5943" spans="1:44" hidden="1">
      <c r="A5943" s="1" t="s">
        <v>11104</v>
      </c>
      <c r="C5943" s="1">
        <v>1</v>
      </c>
      <c r="D5943" s="1" t="str">
        <f>"04554"</f>
        <v>04554</v>
      </c>
      <c r="E5943" s="1" t="s">
        <v>331</v>
      </c>
      <c r="F5943" s="1">
        <v>14</v>
      </c>
      <c r="G5943" s="1">
        <v>7</v>
      </c>
      <c r="H5943" s="1">
        <v>0</v>
      </c>
      <c r="I5943" s="1" t="s">
        <v>11089</v>
      </c>
      <c r="K5943" s="1" t="str">
        <f t="shared" si="377"/>
        <v>ㄎ</v>
      </c>
      <c r="L5943" s="1" t="str">
        <f t="shared" si="378"/>
        <v>ㄥ</v>
      </c>
      <c r="M5943" s="1" t="str">
        <f t="shared" si="381"/>
        <v/>
      </c>
      <c r="P5943" s="1" t="s">
        <v>20</v>
      </c>
      <c r="R5943" s="1" t="s">
        <v>11090</v>
      </c>
      <c r="V5943" s="1" t="s">
        <v>11105</v>
      </c>
      <c r="AR5943" s="1" t="str">
        <f t="shared" si="379"/>
        <v>| [ㄎㄥ](ㄎㄥ.md) | [誙](誙.md) |  | kēng | [副]
誙誙：競相奔走的樣子。《莊子．至樂》：「吾觀夫俗之所樂舉群趨者，誙誙然如將不得已。」唐．成玄英．疏：「誙誙，趨死貌也。」 |</v>
      </c>
    </row>
    <row r="5944" spans="1:44" hidden="1">
      <c r="A5944" s="1" t="s">
        <v>11106</v>
      </c>
      <c r="C5944" s="1">
        <v>1</v>
      </c>
      <c r="D5944" s="1" t="str">
        <f>"04555"</f>
        <v>04555</v>
      </c>
      <c r="E5944" s="1" t="s">
        <v>114</v>
      </c>
      <c r="F5944" s="1">
        <v>13</v>
      </c>
      <c r="G5944" s="1">
        <v>11</v>
      </c>
      <c r="H5944" s="1">
        <v>2</v>
      </c>
      <c r="I5944" s="1" t="s">
        <v>11089</v>
      </c>
      <c r="K5944" s="1" t="str">
        <f t="shared" si="377"/>
        <v>ㄎ</v>
      </c>
      <c r="L5944" s="1" t="str">
        <f t="shared" si="378"/>
        <v>ㄥ</v>
      </c>
      <c r="M5944" s="1" t="str">
        <f t="shared" si="381"/>
        <v/>
      </c>
      <c r="P5944" s="1" t="s">
        <v>20</v>
      </c>
      <c r="R5944" s="1" t="s">
        <v>11090</v>
      </c>
      <c r="V5944" s="1" t="s">
        <v>11107</v>
      </c>
      <c r="W5944" s="1" t="s">
        <v>11108</v>
      </c>
      <c r="AR5944" s="1" t="str">
        <f t="shared" si="379"/>
        <v>| [ㄎㄥ](ㄎㄥ.md) | [傾](傾.md) |  | kēng | 參見「傾家」(二)條。 |</v>
      </c>
    </row>
    <row r="5945" spans="1:44" hidden="1">
      <c r="A5945" s="1" t="s">
        <v>11109</v>
      </c>
      <c r="C5945" s="1">
        <v>1</v>
      </c>
      <c r="D5945" s="1" t="str">
        <f>"04556"</f>
        <v>04556</v>
      </c>
      <c r="E5945" s="1" t="s">
        <v>55</v>
      </c>
      <c r="F5945" s="1">
        <v>19</v>
      </c>
      <c r="G5945" s="1">
        <v>11</v>
      </c>
      <c r="H5945" s="1">
        <v>0</v>
      </c>
      <c r="I5945" s="1" t="s">
        <v>11089</v>
      </c>
      <c r="K5945" s="1" t="str">
        <f t="shared" si="377"/>
        <v>ㄎ</v>
      </c>
      <c r="L5945" s="1" t="str">
        <f t="shared" si="378"/>
        <v>ㄥ</v>
      </c>
      <c r="M5945" s="1" t="str">
        <f t="shared" si="381"/>
        <v/>
      </c>
      <c r="P5945" s="1" t="s">
        <v>20</v>
      </c>
      <c r="R5945" s="1" t="s">
        <v>11090</v>
      </c>
      <c r="V5945" s="1" t="s">
        <v>11110</v>
      </c>
      <c r="AR5945" s="1" t="str">
        <f t="shared" si="379"/>
        <v>| [ㄎㄥ](ㄎㄥ.md) | [鏗](鏗.md) |  | kēng | [擬]
1.形容彈擊金屬瓦石的聲音。《禮記．樂記》：「鍾聲鏗，鏗以立號。」唐．孔穎達．正義：「鍾聲鏗者，言金鍾之聲鏗鏗然矣。」宋．陸游〈贈宋道人〉詩：「鳥道懸崖忽飛騫，戲擲短劍聲鏗然。」
2.形容琴瑟聲。《論語．先進》：「鼓瑟希，鏗爾。」三國魏．何晏．集解：「鏗者，投瑟之聲也。」
[動]
撞擊。《楚辭．宋玉．招魂》：「鏗鐘搖虡，揳梓瑟些。」漢．王逸．注：「鏗，撞也。」《文選．班固．東都賦》：「發鯨魚，鏗華鐘。」 |</v>
      </c>
    </row>
    <row r="5946" spans="1:44" hidden="1">
      <c r="A5946" s="1" t="s">
        <v>11114</v>
      </c>
      <c r="C5946" s="1">
        <v>1</v>
      </c>
      <c r="D5946" s="1" t="str">
        <f>"04558"</f>
        <v>04558</v>
      </c>
      <c r="E5946" s="1" t="s">
        <v>185</v>
      </c>
      <c r="F5946" s="1">
        <v>8</v>
      </c>
      <c r="G5946" s="1">
        <v>6</v>
      </c>
      <c r="H5946" s="1">
        <v>0</v>
      </c>
      <c r="I5946" s="1" t="s">
        <v>11115</v>
      </c>
      <c r="K5946" s="1" t="str">
        <f t="shared" si="377"/>
        <v>ㄎ</v>
      </c>
      <c r="L5946" s="1" t="str">
        <f t="shared" si="378"/>
        <v>ㄨ</v>
      </c>
      <c r="M5946" s="1" t="str">
        <f t="shared" si="381"/>
        <v/>
      </c>
      <c r="P5946" s="1" t="s">
        <v>20</v>
      </c>
      <c r="R5946" s="1" t="s">
        <v>11116</v>
      </c>
      <c r="V5946" s="1" t="s">
        <v>11117</v>
      </c>
      <c r="AR5946" s="1" t="str">
        <f t="shared" si="379"/>
        <v>| [ㄎㄨ](ㄎㄨ.md) | [刳](刳.md) |  | kū | [動]
1.剖開。《莊子．山木》：「吾願君刳形去皮，灑心去欲，而遊於無人之野。」《後漢書．卷八二．方術傳下．華佗傳》：「因刳破腹背，抽割積聚。」
2.挖空。《易經．繫辭下》：「刳木為舟，剡木為楫。」 |</v>
      </c>
    </row>
    <row r="5947" spans="1:44" hidden="1">
      <c r="A5947" s="1" t="s">
        <v>11118</v>
      </c>
      <c r="C5947" s="1">
        <v>1</v>
      </c>
      <c r="D5947" s="1" t="str">
        <f>"04559"</f>
        <v>04559</v>
      </c>
      <c r="E5947" s="1" t="s">
        <v>139</v>
      </c>
      <c r="F5947" s="1">
        <v>9</v>
      </c>
      <c r="G5947" s="1">
        <v>5</v>
      </c>
      <c r="H5947" s="1">
        <v>0</v>
      </c>
      <c r="I5947" s="1" t="s">
        <v>11115</v>
      </c>
      <c r="K5947" s="1" t="str">
        <f t="shared" si="377"/>
        <v>ㄎ</v>
      </c>
      <c r="L5947" s="1" t="str">
        <f t="shared" si="378"/>
        <v>ㄨ</v>
      </c>
      <c r="M5947" s="1" t="str">
        <f t="shared" si="381"/>
        <v/>
      </c>
      <c r="P5947" s="1" t="s">
        <v>20</v>
      </c>
      <c r="R5947" s="1" t="s">
        <v>11116</v>
      </c>
      <c r="V5947" s="1" t="s">
        <v>11119</v>
      </c>
      <c r="AR5947" s="1" t="str">
        <f t="shared" si="379"/>
        <v>| [ㄎㄨ](ㄎㄨ.md) | [枯](枯.md) |  | kū | [形]
1.草木失去生機。如：「枯木逢春」。唐．李白〈蜀道難〉：「連峰去天不盈尺，枯松倒挂倚絕壁。」元．馬致遠〈天淨沙．枯藤老樹昏鴉〉曲：「枯藤老樹昏鴉，小橋流水人家。」
2.乾、乾涸。如：「枯井」、「海枯石爛」、「枯魚之肆」。唐．李白〈古風〉詩五九首之五九：「眾鳥集榮柯，窮魚守枯池。」
3.憔悴、瘦瘠。《荀子．修身》：「安燕而血氣不惰，勞倦而容貌不枯。」《後漢書．卷四五．袁安傳》：「魂魄飛揚，形容已枯。」
[名]
1.油料作物經榨油後剩餘的渣滓，多製成餅狀，供飼料、肥料之用。如：「茶枯」、「油枯」。
2.中醫上稱半身不遂的病為「枯」。 |</v>
      </c>
    </row>
    <row r="5948" spans="1:44" hidden="1">
      <c r="A5948" s="1" t="s">
        <v>11120</v>
      </c>
      <c r="C5948" s="1">
        <v>1</v>
      </c>
      <c r="D5948" s="1" t="str">
        <f>"04560"</f>
        <v>04560</v>
      </c>
      <c r="E5948" s="1" t="s">
        <v>283</v>
      </c>
      <c r="F5948" s="1">
        <v>15</v>
      </c>
      <c r="G5948" s="1">
        <v>5</v>
      </c>
      <c r="H5948" s="1">
        <v>0</v>
      </c>
      <c r="I5948" s="1" t="s">
        <v>11115</v>
      </c>
      <c r="K5948" s="1" t="str">
        <f t="shared" si="377"/>
        <v>ㄎ</v>
      </c>
      <c r="L5948" s="1" t="str">
        <f t="shared" si="378"/>
        <v>ㄨ</v>
      </c>
      <c r="M5948" s="1" t="str">
        <f t="shared" si="381"/>
        <v/>
      </c>
      <c r="P5948" s="1" t="s">
        <v>20</v>
      </c>
      <c r="R5948" s="1" t="s">
        <v>11116</v>
      </c>
      <c r="V5948" s="1" t="s">
        <v>11121</v>
      </c>
      <c r="AR5948" s="1" t="str">
        <f t="shared" si="379"/>
        <v>| [ㄎㄨ](ㄎㄨ.md) | [骷](骷.md) |  | kū | 參見「骷髏」條。 |</v>
      </c>
    </row>
    <row r="5949" spans="1:44" hidden="1">
      <c r="A5949" s="1" t="s">
        <v>11122</v>
      </c>
      <c r="C5949" s="1">
        <v>1</v>
      </c>
      <c r="D5949" s="1" t="str">
        <f>"04561"</f>
        <v>04561</v>
      </c>
      <c r="E5949" s="1" t="s">
        <v>28</v>
      </c>
      <c r="F5949" s="1">
        <v>10</v>
      </c>
      <c r="G5949" s="1">
        <v>7</v>
      </c>
      <c r="H5949" s="1">
        <v>0</v>
      </c>
      <c r="I5949" s="1" t="s">
        <v>11115</v>
      </c>
      <c r="K5949" s="1" t="str">
        <f t="shared" si="377"/>
        <v>ㄎ</v>
      </c>
      <c r="L5949" s="1" t="str">
        <f t="shared" si="378"/>
        <v>ㄨ</v>
      </c>
      <c r="M5949" s="1" t="str">
        <f t="shared" si="381"/>
        <v/>
      </c>
      <c r="P5949" s="1" t="s">
        <v>20</v>
      </c>
      <c r="R5949" s="1" t="s">
        <v>11116</v>
      </c>
      <c r="V5949" s="1" t="s">
        <v>11123</v>
      </c>
      <c r="AR5949" s="1" t="str">
        <f t="shared" si="379"/>
        <v>| [ㄎㄨ](ㄎㄨ.md) | [哭](哭.md) |  | kū | [動]
1.因傷心或激動而流淚，甚至發出悲聲。如：「嚎啕大哭」、「痛哭失聲」。《論語．先進》：「顏淵死，子哭之慟。」唐．杜甫〈佳人〉詩：「但見新人笑，那聞舊人哭。」
2.弔唁。《淮南子．說林》：「桀辜諫者，湯使人哭之。」漢．高誘．注：「哭，猶弔也。」
3.傷心的向人訴說。如：「你的存款比我多，別老在我面前哭窮。」 |</v>
      </c>
    </row>
    <row r="5950" spans="1:44" hidden="1">
      <c r="A5950" s="1" t="s">
        <v>11124</v>
      </c>
      <c r="C5950" s="1">
        <v>1</v>
      </c>
      <c r="D5950" s="1" t="str">
        <f>"04562"</f>
        <v>04562</v>
      </c>
      <c r="E5950" s="1" t="s">
        <v>132</v>
      </c>
      <c r="F5950" s="1">
        <v>11</v>
      </c>
      <c r="G5950" s="1">
        <v>8</v>
      </c>
      <c r="H5950" s="1">
        <v>0</v>
      </c>
      <c r="I5950" s="1" t="s">
        <v>11115</v>
      </c>
      <c r="K5950" s="1" t="str">
        <f t="shared" si="377"/>
        <v>ㄎ</v>
      </c>
      <c r="L5950" s="1" t="str">
        <f t="shared" si="378"/>
        <v>ㄨ</v>
      </c>
      <c r="M5950" s="1" t="str">
        <f t="shared" si="381"/>
        <v/>
      </c>
      <c r="P5950" s="1" t="s">
        <v>20</v>
      </c>
      <c r="R5950" s="1" t="s">
        <v>11116</v>
      </c>
      <c r="V5950" s="1" t="s">
        <v>11125</v>
      </c>
      <c r="AR5950" s="1" t="str">
        <f t="shared" si="379"/>
        <v>| [ㄎㄨ](ㄎㄨ.md) | [堀](堀.md) |  | kū | [名]
洞穴。同「窟」。《說文解字．土部》：「堀，突也。」清．段玉裁．注：「突為犬從穴中暫出，因謂穴中可居曰突，亦曰堀，俗字作窟。」《漢書．卷五一．鄒陽傳》：「則士有伏死堀穴巖藪之中耳，安有盡忠信而趨闕下者哉！」 |</v>
      </c>
    </row>
    <row r="5951" spans="1:44" hidden="1">
      <c r="A5951" s="1" t="s">
        <v>11126</v>
      </c>
      <c r="C5951" s="1">
        <v>1</v>
      </c>
      <c r="D5951" s="1" t="str">
        <f>"04563"</f>
        <v>04563</v>
      </c>
      <c r="E5951" s="1" t="s">
        <v>1274</v>
      </c>
      <c r="F5951" s="1">
        <v>13</v>
      </c>
      <c r="G5951" s="1">
        <v>8</v>
      </c>
      <c r="H5951" s="1">
        <v>0</v>
      </c>
      <c r="I5951" s="1" t="s">
        <v>11115</v>
      </c>
      <c r="K5951" s="1" t="str">
        <f t="shared" si="377"/>
        <v>ㄎ</v>
      </c>
      <c r="L5951" s="1" t="str">
        <f t="shared" si="378"/>
        <v>ㄨ</v>
      </c>
      <c r="M5951" s="1" t="str">
        <f t="shared" si="381"/>
        <v/>
      </c>
      <c r="P5951" s="1" t="s">
        <v>20</v>
      </c>
      <c r="R5951" s="1" t="s">
        <v>11116</v>
      </c>
      <c r="V5951" s="1" t="s">
        <v>11127</v>
      </c>
      <c r="AR5951" s="1" t="str">
        <f t="shared" si="379"/>
        <v>| [ㄎㄨ](ㄎㄨ.md) | [窟](窟.md) |  | kū | [名]
1.洞穴。《玉篇．穴部》：「窟，穴也。」如：「土窟」、「窟窿」、「蛇窟」、「蟻窟」。《戰國策．齊策四》：「狡兔有三窟，僅得免其死耳。」北周．庾信〈小園賦〉：「藏貍並窟，乳鵲重巢。」
2.人所居住的土室。《禮記．禮運》：「昔者先王未有宮室，冬則居營窟，夏則居橧巢。」唐．孔穎達．正義：「謂於地上累土而為窟。」《晉書．卷九四．隱逸傳．郭瑀傳》：「鑿石窟而居，服柏實以輕身。」
3.比喻人、事、物聚集、雜處的地方。如：「匪窟」、「賭窟」、「賊窟」、「貧民窟」、「銷金窟」。《文選．郭璞．遊仙詩七首之一》：「京華遊俠窟，山林隱遯棲。」宋．張耒〈潘郎以予生日見過致酒出兩詩〉二首之二：「淮陽牡丹窟，盛不數伊洛。」 |</v>
      </c>
    </row>
    <row r="5952" spans="1:44" hidden="1">
      <c r="A5952" s="1" t="s">
        <v>11148</v>
      </c>
      <c r="C5952" s="1">
        <v>1</v>
      </c>
      <c r="D5952" s="1" t="str">
        <f>"04571"</f>
        <v>04571</v>
      </c>
      <c r="E5952" s="1" t="s">
        <v>563</v>
      </c>
      <c r="F5952" s="1">
        <v>6</v>
      </c>
      <c r="G5952" s="1">
        <v>3</v>
      </c>
      <c r="H5952" s="1">
        <v>0</v>
      </c>
      <c r="I5952" s="1" t="s">
        <v>11149</v>
      </c>
      <c r="K5952" s="1" t="str">
        <f t="shared" si="377"/>
        <v>ㄎ</v>
      </c>
      <c r="L5952" s="1" t="str">
        <f t="shared" si="378"/>
        <v>ㄨ</v>
      </c>
      <c r="M5952" s="1" t="str">
        <f t="shared" si="381"/>
        <v>ㄚ</v>
      </c>
      <c r="P5952" s="1" t="s">
        <v>20</v>
      </c>
      <c r="R5952" s="1" t="s">
        <v>11150</v>
      </c>
      <c r="V5952" s="1" t="s">
        <v>11151</v>
      </c>
      <c r="AR5952" s="1" t="str">
        <f t="shared" si="379"/>
        <v>| [ㄎㄨㄚ](ㄎㄨㄚ.md) | [夸](夸.md) |  | kuā | [名]
1.奢侈。《荀子．仲尼》：「貴而不為夸，信而不處謙。」唐．楊倞．注：「夸，奢侈也。」
2.姓。如戰國時有仙人夸蛾。
[動]
1.炫耀。《列子．楊朱》：「而欲尊禮義以夸人，矯情性以招名。」《史記．卷一〇八．韓長孺傳》：「即欲以侘鄙縣，驅馳國中，以夸諸侯。」
2.稱讚、讚美。唐．皮日休〈惜義鳥〉詩：「吾聞鳳之貴，仁義亦足夸。」
[形]
1.驕矜自大。唐．韓愈〈烏氏廟碑銘〉：「盧從史始立議用師於桓。乃陰與寇連，夸謾兇驕，出不遜言。」
2.美好的。《淮南子．脩務》：「曼頰皓齒，形夸骨佳，不待脂粉芳澤而性可說者，西施、陽文也。」
3.大。《文選．左思．吳都賦》：「橫塘查下，邑屋隆夸。」 |</v>
      </c>
    </row>
    <row r="5953" spans="1:44" hidden="1">
      <c r="A5953" s="1" t="s">
        <v>11152</v>
      </c>
      <c r="C5953" s="1">
        <v>1</v>
      </c>
      <c r="D5953" s="1" t="str">
        <f>"04572"</f>
        <v>04572</v>
      </c>
      <c r="E5953" s="1" t="s">
        <v>534</v>
      </c>
      <c r="F5953" s="1">
        <v>9</v>
      </c>
      <c r="G5953" s="1">
        <v>6</v>
      </c>
      <c r="H5953" s="1">
        <v>0</v>
      </c>
      <c r="I5953" s="1" t="s">
        <v>11149</v>
      </c>
      <c r="K5953" s="1" t="str">
        <f t="shared" ref="K5953:K6016" si="382">LEFT(I5953, 1)</f>
        <v>ㄎ</v>
      </c>
      <c r="L5953" s="1" t="str">
        <f t="shared" ref="L5953:L6016" si="383">MID(I5953, 2, 1)</f>
        <v>ㄨ</v>
      </c>
      <c r="M5953" s="1" t="str">
        <f t="shared" si="381"/>
        <v>ㄚ</v>
      </c>
      <c r="P5953" s="1" t="s">
        <v>20</v>
      </c>
      <c r="R5953" s="1" t="s">
        <v>11150</v>
      </c>
      <c r="V5953" s="1" t="s">
        <v>11153</v>
      </c>
      <c r="AR5953" s="1" t="str">
        <f t="shared" si="379"/>
        <v>| [ㄎㄨㄚ](ㄎㄨㄚ.md) | [姱](姱.md) |  | kuā | [形]
美好。《楚辭．屈原．九章．橘頌》：「紛縕宜脩，姱而不醜兮。」 |</v>
      </c>
    </row>
    <row r="5954" spans="1:44" hidden="1">
      <c r="A5954" s="1" t="s">
        <v>11154</v>
      </c>
      <c r="C5954" s="1">
        <v>1</v>
      </c>
      <c r="D5954" s="1" t="str">
        <f>"04573"</f>
        <v>04573</v>
      </c>
      <c r="E5954" s="1" t="s">
        <v>331</v>
      </c>
      <c r="F5954" s="1">
        <v>13</v>
      </c>
      <c r="G5954" s="1">
        <v>6</v>
      </c>
      <c r="H5954" s="1">
        <v>0</v>
      </c>
      <c r="I5954" s="1" t="s">
        <v>11149</v>
      </c>
      <c r="K5954" s="1" t="str">
        <f t="shared" si="382"/>
        <v>ㄎ</v>
      </c>
      <c r="L5954" s="1" t="str">
        <f t="shared" si="383"/>
        <v>ㄨ</v>
      </c>
      <c r="M5954" s="1" t="str">
        <f t="shared" si="381"/>
        <v>ㄚ</v>
      </c>
      <c r="P5954" s="1" t="s">
        <v>20</v>
      </c>
      <c r="R5954" s="1" t="s">
        <v>11150</v>
      </c>
      <c r="V5954" s="1" t="s">
        <v>11155</v>
      </c>
      <c r="AR5954" s="1" t="str">
        <f t="shared" si="379"/>
        <v>| [ㄎㄨㄚ](ㄎㄨㄚ.md) | [誇](誇.md) |  | kuā | [動]
1.說大話、炫耀。如：「誇大」、「誇耀」。宋．曾鞏〈寄歐陽舍人書〉：「故雖惡人，皆務勒銘，以誇後世。」
2.讚美。如：「誇獎」。宋．蘇軾〈寄題興州晁太守新開古東池〉詩：「百畝新池傍郭斜，居人行樂路人誇。」
[形]
大、粗大。《漢書．卷九七．外戚傳下．孝成許皇后傳》：「妾誇布服，糲食。」顏師古注引孟康曰：「誇，大也。大布之衣也。」 |</v>
      </c>
    </row>
    <row r="5955" spans="1:44" hidden="1">
      <c r="A5955" s="1" t="s">
        <v>11156</v>
      </c>
      <c r="C5955" s="1">
        <v>1</v>
      </c>
      <c r="D5955" s="1" t="str">
        <f>"04574"</f>
        <v>04574</v>
      </c>
      <c r="E5955" s="1" t="s">
        <v>114</v>
      </c>
      <c r="F5955" s="1">
        <v>8</v>
      </c>
      <c r="G5955" s="1">
        <v>6</v>
      </c>
      <c r="H5955" s="1">
        <v>0</v>
      </c>
      <c r="I5955" s="1" t="s">
        <v>11157</v>
      </c>
      <c r="K5955" s="1" t="str">
        <f t="shared" si="382"/>
        <v>ㄎ</v>
      </c>
      <c r="L5955" s="1" t="str">
        <f t="shared" si="383"/>
        <v>ㄨ</v>
      </c>
      <c r="M5955" s="1" t="str">
        <f t="shared" si="381"/>
        <v>ㄚ</v>
      </c>
      <c r="P5955" s="1" t="s">
        <v>20</v>
      </c>
      <c r="R5955" s="1" t="s">
        <v>11158</v>
      </c>
      <c r="V5955" s="1" t="s">
        <v>11159</v>
      </c>
      <c r="AR5955" s="1" t="str">
        <f t="shared" ref="AR5955:AR6018" si="384">"| ["&amp;I5955&amp;"]("&amp;I5955&amp;".md) | ["&amp;A5955&amp;"]("&amp;A5955&amp;".md) | "&amp;" | "&amp;R5955&amp;" | "&amp;V5955&amp;" |"</f>
        <v>| [ㄎㄨㄚˇ](ㄎㄨㄚˇ.md) | [侉](侉.md) |  | kuǎ | [形]
誇大、不實際。《書經．畢命》：「驕淫矜侉，將由惡終。」漢．孔安國．傳：「言殷眾士驕恣過制，矜其所能，以自侉大。」 |</v>
      </c>
    </row>
    <row r="5956" spans="1:44" hidden="1">
      <c r="A5956" s="1" t="s">
        <v>11160</v>
      </c>
      <c r="C5956" s="1">
        <v>1</v>
      </c>
      <c r="D5956" s="1" t="str">
        <f>"04575"</f>
        <v>04575</v>
      </c>
      <c r="E5956" s="1" t="s">
        <v>132</v>
      </c>
      <c r="F5956" s="1">
        <v>9</v>
      </c>
      <c r="G5956" s="1">
        <v>6</v>
      </c>
      <c r="H5956" s="1">
        <v>0</v>
      </c>
      <c r="I5956" s="1" t="s">
        <v>11157</v>
      </c>
      <c r="K5956" s="1" t="str">
        <f t="shared" si="382"/>
        <v>ㄎ</v>
      </c>
      <c r="L5956" s="1" t="str">
        <f t="shared" si="383"/>
        <v>ㄨ</v>
      </c>
      <c r="M5956" s="1" t="str">
        <f t="shared" ref="M5956:M5987" si="385">MID(I5956, 3, 1)</f>
        <v>ㄚ</v>
      </c>
      <c r="P5956" s="1" t="s">
        <v>20</v>
      </c>
      <c r="R5956" s="1" t="s">
        <v>11158</v>
      </c>
      <c r="V5956" s="1" t="s">
        <v>11161</v>
      </c>
      <c r="AR5956" s="1" t="str">
        <f t="shared" si="384"/>
        <v>| [ㄎㄨㄚˇ](ㄎㄨㄚˇ.md) | [垮](垮.md) |  | kuǎ | [動]
1.坍塌、倒塌。如：「牆垮了。」、「房子垮了。」
2.比喻失敗。如：「垮臺」、「他把父親畢生的事業搞垮了。」 |</v>
      </c>
    </row>
    <row r="5957" spans="1:44" hidden="1">
      <c r="A5957" s="1" t="s">
        <v>11162</v>
      </c>
      <c r="C5957" s="1">
        <v>1</v>
      </c>
      <c r="D5957" s="1" t="str">
        <f>"04576"</f>
        <v>04576</v>
      </c>
      <c r="E5957" s="1" t="s">
        <v>28</v>
      </c>
      <c r="F5957" s="1">
        <v>9</v>
      </c>
      <c r="G5957" s="1">
        <v>6</v>
      </c>
      <c r="H5957" s="1">
        <v>0</v>
      </c>
      <c r="I5957" s="1" t="s">
        <v>11157</v>
      </c>
      <c r="K5957" s="1" t="str">
        <f t="shared" si="382"/>
        <v>ㄎ</v>
      </c>
      <c r="L5957" s="1" t="str">
        <f t="shared" si="383"/>
        <v>ㄨ</v>
      </c>
      <c r="M5957" s="1" t="str">
        <f t="shared" si="385"/>
        <v>ㄚ</v>
      </c>
      <c r="P5957" s="1" t="s">
        <v>20</v>
      </c>
      <c r="R5957" s="1" t="s">
        <v>11158</v>
      </c>
      <c r="V5957" s="1" t="s">
        <v>11163</v>
      </c>
      <c r="AR5957" s="1" t="str">
        <f t="shared" si="384"/>
        <v>| [ㄎㄨㄚˇ](ㄎㄨㄚˇ.md) | [咵](咵.md) |  | kuǎ | [形]
1.大陸北方地區稱外地人語音不正為「咵」，特指口音與本地人語音不同而言。如：「他人長得倒體面，可惜話說得有些咵。」
2.比喻說話粗俗。如：「俺是大老粗，您別笑我咵。」 |</v>
      </c>
    </row>
    <row r="5958" spans="1:44" hidden="1">
      <c r="A5958" s="1" t="s">
        <v>11164</v>
      </c>
      <c r="C5958" s="1">
        <v>1</v>
      </c>
      <c r="D5958" s="1" t="str">
        <f>"04577"</f>
        <v>04577</v>
      </c>
      <c r="E5958" s="1" t="s">
        <v>68</v>
      </c>
      <c r="F5958" s="1">
        <v>10</v>
      </c>
      <c r="G5958" s="1">
        <v>6</v>
      </c>
      <c r="H5958" s="1">
        <v>0</v>
      </c>
      <c r="I5958" s="1" t="s">
        <v>11165</v>
      </c>
      <c r="K5958" s="1" t="str">
        <f t="shared" si="382"/>
        <v>ㄎ</v>
      </c>
      <c r="L5958" s="1" t="str">
        <f t="shared" si="383"/>
        <v>ㄨ</v>
      </c>
      <c r="M5958" s="1" t="str">
        <f t="shared" si="385"/>
        <v>ㄚ</v>
      </c>
      <c r="P5958" s="1" t="s">
        <v>20</v>
      </c>
      <c r="R5958" s="1" t="s">
        <v>11166</v>
      </c>
      <c r="V5958" s="1" t="s">
        <v>11167</v>
      </c>
      <c r="AR5958" s="1" t="str">
        <f t="shared" si="384"/>
        <v>| [ㄎㄨㄚˋ](ㄎㄨㄚˋ.md) | [胯](胯.md) |  | kuà | [名]
1.腰側與大腿之間的部分。《說文解字．肉部》：「胯，股也。」清．段玉裁．注：「合兩股言曰胯。」如：「胯下之恥」。
2.古代腰帶上的飾物。《新唐書．卷九三．李靖傳》：「靖破蕭銑時，所賜于闐玉帶十三胯，七方六刓，胯各附環，以金固之，所以佩物者。」 |</v>
      </c>
    </row>
    <row r="5959" spans="1:44" hidden="1">
      <c r="A5959" s="1" t="s">
        <v>11168</v>
      </c>
      <c r="C5959" s="1">
        <v>1</v>
      </c>
      <c r="D5959" s="1" t="str">
        <f>"04578"</f>
        <v>04578</v>
      </c>
      <c r="E5959" s="1" t="s">
        <v>77</v>
      </c>
      <c r="F5959" s="1">
        <v>13</v>
      </c>
      <c r="G5959" s="1">
        <v>6</v>
      </c>
      <c r="H5959" s="1">
        <v>0</v>
      </c>
      <c r="I5959" s="1" t="s">
        <v>11165</v>
      </c>
      <c r="K5959" s="1" t="str">
        <f t="shared" si="382"/>
        <v>ㄎ</v>
      </c>
      <c r="L5959" s="1" t="str">
        <f t="shared" si="383"/>
        <v>ㄨ</v>
      </c>
      <c r="M5959" s="1" t="str">
        <f t="shared" si="385"/>
        <v>ㄚ</v>
      </c>
      <c r="P5959" s="1" t="s">
        <v>20</v>
      </c>
      <c r="R5959" s="1" t="s">
        <v>11166</v>
      </c>
      <c r="V5959" s="1" t="s">
        <v>11169</v>
      </c>
      <c r="AR5959" s="1" t="str">
        <f t="shared" si="384"/>
        <v>| [ㄎㄨㄚˋ](ㄎㄨㄚˋ.md) | [跨](跨.md) |  | kuà | [動]
1.舉步移動。如：「向右橫跨一步。」
2.乘、騎。《史記．卷一一七．司馬相如傳》：「褲白虎，被豳文，跨野馬。」宋．陸游〈謁石犀廟〉詩：「興亡俱昨夢，惆悵跨驢歸。」
3.越過。《左傳．昭公十三年》：「既乃與巴姬密埋璧於大室之庭。使五人齊，而長入拜，康王跨之。」晉．杜預．注：「跨，過其上也。」
4.超出、勝過。唐．杜甫．戲為六絕句六首之四：「才力應難跨數公，凡今誰是出群雄。」
5.兼及。如：「跨組」、「跨行」。《三國志．卷三五．蜀書．諸葛亮傳》：「自董卓已來，豪傑並起，跨州連郡者不可勝數。」
6.統馭、占有。《國語．晉語一》：「不跨其國，可謂挾乎？」三國吳．韋昭．注：「跨，猶據也。」《史記．卷八七．李斯傳》：「此非所以跨海內制諸侯之術也。」
7.橫架其上。明．徐弘祖《徐霞客遊記．卷三上．粵西遊記》：「二水合而西南，則又觀音橋跨之。」
8.懸掛、佩戴。《水滸傳》第四五回：「石秀捉了包裹，跨了解腕尖刀，來辭潘公。」
[名]
兩腿之間。通「胯」。《漢書．卷三四．韓信傳》：「眾辱信曰：『能死，刺我；不能，出跨下。』」 |</v>
      </c>
    </row>
    <row r="5960" spans="1:44" hidden="1">
      <c r="A5960" s="1" t="s">
        <v>11170</v>
      </c>
      <c r="C5960" s="1">
        <v>1</v>
      </c>
      <c r="D5960" s="1" t="str">
        <f>"04579"</f>
        <v>04579</v>
      </c>
      <c r="E5960" s="1" t="s">
        <v>283</v>
      </c>
      <c r="F5960" s="1">
        <v>16</v>
      </c>
      <c r="G5960" s="1">
        <v>6</v>
      </c>
      <c r="H5960" s="1">
        <v>0</v>
      </c>
      <c r="I5960" s="1" t="s">
        <v>11165</v>
      </c>
      <c r="K5960" s="1" t="str">
        <f t="shared" si="382"/>
        <v>ㄎ</v>
      </c>
      <c r="L5960" s="1" t="str">
        <f t="shared" si="383"/>
        <v>ㄨ</v>
      </c>
      <c r="M5960" s="1" t="str">
        <f t="shared" si="385"/>
        <v>ㄚ</v>
      </c>
      <c r="P5960" s="1" t="s">
        <v>20</v>
      </c>
      <c r="R5960" s="1" t="s">
        <v>11166</v>
      </c>
      <c r="V5960" s="1" t="s">
        <v>11171</v>
      </c>
      <c r="AR5960" s="1" t="str">
        <f t="shared" si="384"/>
        <v>| [ㄎㄨㄚˋ](ㄎㄨㄚˋ.md) | [骻](骻.md) |  | kuà | [名]
1.腰骨。《玉篇．骨部》：「骻，腰骻。」
2.兩腿之間。同「胯」。《集韻．去聲．禡韻》：「骻，股閒也。或作胯。」 |</v>
      </c>
    </row>
    <row r="5961" spans="1:44" hidden="1">
      <c r="A5961" s="1" t="s">
        <v>10229</v>
      </c>
      <c r="C5961" s="1">
        <v>1</v>
      </c>
      <c r="D5961" s="1" t="str">
        <f>"04580"</f>
        <v>04580</v>
      </c>
      <c r="E5961" s="1" t="s">
        <v>24</v>
      </c>
      <c r="F5961" s="1">
        <v>9</v>
      </c>
      <c r="G5961" s="1">
        <v>6</v>
      </c>
      <c r="H5961" s="1">
        <v>2</v>
      </c>
      <c r="I5961" s="1" t="s">
        <v>11172</v>
      </c>
      <c r="K5961" s="1" t="str">
        <f t="shared" si="382"/>
        <v>ㄎ</v>
      </c>
      <c r="L5961" s="1" t="str">
        <f t="shared" si="383"/>
        <v>ㄨ</v>
      </c>
      <c r="M5961" s="1" t="str">
        <f t="shared" si="385"/>
        <v>ㄛ</v>
      </c>
      <c r="P5961" s="1" t="s">
        <v>110</v>
      </c>
      <c r="R5961" s="1" t="s">
        <v>11173</v>
      </c>
      <c r="V5961" s="1" t="s">
        <v>11174</v>
      </c>
      <c r="W5961" s="1" t="s">
        <v>11175</v>
      </c>
      <c r="AR5961" s="1" t="str">
        <f t="shared" si="384"/>
        <v>| [ㄎㄨㄛˋ](ㄎㄨㄛˋ.md) | [括](括.md) |  | kuò | 1.(一)之又音。
2.參見「括約肌」條。 |</v>
      </c>
    </row>
    <row r="5962" spans="1:44" hidden="1">
      <c r="A5962" s="1" t="s">
        <v>10236</v>
      </c>
      <c r="C5962" s="1">
        <v>1</v>
      </c>
      <c r="D5962" s="1" t="str">
        <f>"04581"</f>
        <v>04581</v>
      </c>
      <c r="E5962" s="1" t="s">
        <v>558</v>
      </c>
      <c r="F5962" s="1">
        <v>10</v>
      </c>
      <c r="G5962" s="1">
        <v>6</v>
      </c>
      <c r="H5962" s="1">
        <v>2</v>
      </c>
      <c r="I5962" s="1" t="s">
        <v>11172</v>
      </c>
      <c r="K5962" s="1" t="str">
        <f t="shared" si="382"/>
        <v>ㄎ</v>
      </c>
      <c r="L5962" s="1" t="str">
        <f t="shared" si="383"/>
        <v>ㄨ</v>
      </c>
      <c r="M5962" s="1" t="str">
        <f t="shared" si="385"/>
        <v>ㄛ</v>
      </c>
      <c r="P5962" s="1" t="s">
        <v>110</v>
      </c>
      <c r="R5962" s="1" t="s">
        <v>11173</v>
      </c>
      <c r="V5962" s="1" t="s">
        <v>111</v>
      </c>
      <c r="W5962" s="1" t="s">
        <v>11176</v>
      </c>
      <c r="AR5962" s="1" t="str">
        <f t="shared" si="384"/>
        <v>| [ㄎㄨㄛˋ](ㄎㄨㄛˋ.md) | [适](适.md) |  | kuò | (一)之又音。 |</v>
      </c>
    </row>
    <row r="5963" spans="1:44" hidden="1">
      <c r="A5963" s="1" t="s">
        <v>11177</v>
      </c>
      <c r="C5963" s="1">
        <v>1</v>
      </c>
      <c r="D5963" s="1" t="str">
        <f>"04582"</f>
        <v>04582</v>
      </c>
      <c r="E5963" s="1" t="s">
        <v>679</v>
      </c>
      <c r="F5963" s="1">
        <v>12</v>
      </c>
      <c r="G5963" s="1">
        <v>6</v>
      </c>
      <c r="H5963" s="1">
        <v>0</v>
      </c>
      <c r="I5963" s="1" t="s">
        <v>11172</v>
      </c>
      <c r="K5963" s="1" t="str">
        <f t="shared" si="382"/>
        <v>ㄎ</v>
      </c>
      <c r="L5963" s="1" t="str">
        <f t="shared" si="383"/>
        <v>ㄨ</v>
      </c>
      <c r="M5963" s="1" t="str">
        <f t="shared" si="385"/>
        <v>ㄛ</v>
      </c>
      <c r="P5963" s="1" t="s">
        <v>20</v>
      </c>
      <c r="R5963" s="1" t="s">
        <v>11173</v>
      </c>
      <c r="V5963" s="1" t="s">
        <v>11178</v>
      </c>
      <c r="AR5963" s="1" t="str">
        <f t="shared" si="384"/>
        <v>| [ㄎㄨㄛˋ](ㄎㄨㄛˋ.md) | [蛞](蛞.md) |  | kuò | 參見「蛞蝓」條。 |</v>
      </c>
    </row>
    <row r="5964" spans="1:44" hidden="1">
      <c r="A5964" s="1" t="s">
        <v>11179</v>
      </c>
      <c r="C5964" s="1">
        <v>1</v>
      </c>
      <c r="D5964" s="1" t="str">
        <f>"04583"</f>
        <v>04583</v>
      </c>
      <c r="E5964" s="1" t="s">
        <v>709</v>
      </c>
      <c r="F5964" s="1">
        <v>17</v>
      </c>
      <c r="G5964" s="1">
        <v>9</v>
      </c>
      <c r="H5964" s="1">
        <v>0</v>
      </c>
      <c r="I5964" s="1" t="s">
        <v>11172</v>
      </c>
      <c r="K5964" s="1" t="str">
        <f t="shared" si="382"/>
        <v>ㄎ</v>
      </c>
      <c r="L5964" s="1" t="str">
        <f t="shared" si="383"/>
        <v>ㄨ</v>
      </c>
      <c r="M5964" s="1" t="str">
        <f t="shared" si="385"/>
        <v>ㄛ</v>
      </c>
      <c r="P5964" s="1" t="s">
        <v>20</v>
      </c>
      <c r="R5964" s="1" t="s">
        <v>11173</v>
      </c>
      <c r="V5964" s="1" t="s">
        <v>11180</v>
      </c>
      <c r="AR5964" s="1" t="str">
        <f t="shared" si="384"/>
        <v>| [ㄎㄨㄛˋ](ㄎㄨㄛˋ.md) | [闊](闊.md) |  | kuò | [形]
1.廣、大。如：「寬闊」、「遼闊」。唐．李華〈弔古戰場文〉：「地闊天長，不知歸路。」
2.胸襟寬大、才思廣博。《後漢書．卷二二．馬武傳》：「武為人嗜酒，闊達敢言。」
3.不切實際。如：「迂闊」。唐．盧仝〈冬行〉三首之三：「此言雖太闊，且是臣心腸。」
4.富有、豪侈、榮顯。如：「闊佬」、「闊綽」、「闊氣」。
5.稀少。如：「疏闊」。《漢書．卷二九．溝洫志》：「頃所以闊無大害者，以屯氏河通，兩川分流也。」唐．顏師古．注：「闊，稀也。」
[名]
1.寬度。《史記．卷二七．天官書》：「大小有差，闊狹有常。」
2.奢豪的行為。如：「擺闊」、「裝闊」。
[動]
1.寬緩。《漢書．卷九九．王莽傳下》：「假貸犁牛種食，闊其租賦。」
2.離別。如：「闊別」。《紅樓夢》第一一四回：「至親久闊，爺們都不認得了。」 |</v>
      </c>
    </row>
    <row r="5965" spans="1:44" hidden="1">
      <c r="A5965" s="1" t="s">
        <v>11181</v>
      </c>
      <c r="C5965" s="1">
        <v>1</v>
      </c>
      <c r="D5965" s="1" t="str">
        <f>"04584"</f>
        <v>04584</v>
      </c>
      <c r="E5965" s="1" t="s">
        <v>129</v>
      </c>
      <c r="F5965" s="1">
        <v>14</v>
      </c>
      <c r="G5965" s="1">
        <v>11</v>
      </c>
      <c r="H5965" s="1">
        <v>0</v>
      </c>
      <c r="I5965" s="1" t="s">
        <v>11172</v>
      </c>
      <c r="K5965" s="1" t="str">
        <f t="shared" si="382"/>
        <v>ㄎ</v>
      </c>
      <c r="L5965" s="1" t="str">
        <f t="shared" si="383"/>
        <v>ㄨ</v>
      </c>
      <c r="M5965" s="1" t="str">
        <f t="shared" si="385"/>
        <v>ㄛ</v>
      </c>
      <c r="P5965" s="1" t="s">
        <v>20</v>
      </c>
      <c r="R5965" s="1" t="s">
        <v>11173</v>
      </c>
      <c r="V5965" s="1" t="s">
        <v>11182</v>
      </c>
      <c r="AR5965" s="1" t="str">
        <f t="shared" si="384"/>
        <v>| [ㄎㄨㄛˋ](ㄎㄨㄛˋ.md) | [漷](漷.md) |  | kuò | [名]
1.河川名：(1)漷水。源出大陸地區山東省滕縣東北一百里述山西南麓，西南流經江蘇省沛縣入運河。今稱為「南沙河」。(2)漷河。在大陸地區河北省通縣，自盧溝流至縣西，折而為三，正流為漷河。
2.漷縣鎮：鄉鎮名。在大陸地區河北省通縣南。 |</v>
      </c>
    </row>
    <row r="5966" spans="1:44" hidden="1">
      <c r="A5966" s="1" t="s">
        <v>11183</v>
      </c>
      <c r="C5966" s="1">
        <v>1</v>
      </c>
      <c r="D5966" s="1" t="str">
        <f>"04585"</f>
        <v>04585</v>
      </c>
      <c r="E5966" s="1" t="s">
        <v>447</v>
      </c>
      <c r="F5966" s="1">
        <v>14</v>
      </c>
      <c r="G5966" s="1">
        <v>11</v>
      </c>
      <c r="H5966" s="1">
        <v>0</v>
      </c>
      <c r="I5966" s="1" t="s">
        <v>11172</v>
      </c>
      <c r="K5966" s="1" t="str">
        <f t="shared" si="382"/>
        <v>ㄎ</v>
      </c>
      <c r="L5966" s="1" t="str">
        <f t="shared" si="383"/>
        <v>ㄨ</v>
      </c>
      <c r="M5966" s="1" t="str">
        <f t="shared" si="385"/>
        <v>ㄛ</v>
      </c>
      <c r="P5966" s="1" t="s">
        <v>20</v>
      </c>
      <c r="R5966" s="1" t="s">
        <v>11173</v>
      </c>
      <c r="V5966" s="1" t="s">
        <v>11184</v>
      </c>
      <c r="AR5966" s="1" t="str">
        <f t="shared" si="384"/>
        <v>| [ㄎㄨㄛˋ](ㄎㄨㄛˋ.md) | [廓](廓.md) |  | kuò | [形]
1.廣闊、寬大。如：「寬廓」、「宏廓」。《史記．卷六十四．司馬穰苴傳．太史公曰》：「余讀司馬兵法，閎廓深遠。」《三國志．卷五十四．吳書．周瑜傳》：「性度恢廓，大率為得人，惟與程普不睦。」
2.空虛。《淮南子．精神》：「處大廓之宇，游無極之野。」漢．高誘．注：「廓，虛也。」
[名]
物體的外緣周圍。如：「輪廓」、「耳廓」。
[動]
1.開拓、擴張。如：「開廓」、「廓大」。《荀子．修身》：「狹隘褊小，則廓之以廣大。」
2.掃蕩、清除。如：「廓清陋習」。唐．許敬宗〈奉和執契靜三邊應詔〉詩：「日羽廓遊氣，天陣清華野。」 |</v>
      </c>
    </row>
    <row r="5967" spans="1:44" hidden="1">
      <c r="A5967" s="1" t="s">
        <v>11185</v>
      </c>
      <c r="C5967" s="1">
        <v>1</v>
      </c>
      <c r="D5967" s="1" t="str">
        <f>"04586"</f>
        <v>04586</v>
      </c>
      <c r="E5967" s="1" t="s">
        <v>96</v>
      </c>
      <c r="F5967" s="1">
        <v>20</v>
      </c>
      <c r="G5967" s="1">
        <v>11</v>
      </c>
      <c r="H5967" s="1">
        <v>0</v>
      </c>
      <c r="I5967" s="1" t="s">
        <v>11172</v>
      </c>
      <c r="K5967" s="1" t="str">
        <f t="shared" si="382"/>
        <v>ㄎ</v>
      </c>
      <c r="L5967" s="1" t="str">
        <f t="shared" si="383"/>
        <v>ㄨ</v>
      </c>
      <c r="M5967" s="1" t="str">
        <f t="shared" si="385"/>
        <v>ㄛ</v>
      </c>
      <c r="P5967" s="1" t="s">
        <v>20</v>
      </c>
      <c r="R5967" s="1" t="s">
        <v>11173</v>
      </c>
      <c r="V5967" s="1" t="s">
        <v>11186</v>
      </c>
      <c r="AR5967" s="1" t="str">
        <f t="shared" si="384"/>
        <v>| [ㄎㄨㄛˋ](ㄎㄨㄛˋ.md) | [鞹](鞹.md) |  | kuò | [名]
1.去毛的皮革。《廣韻．入聲．鐸韻》：「鞹，皮去毛。」南朝梁．劉勰《文心雕龍．情采》：「虎豹無文，則鞹同犬羊。」
2.晒乾不去毛的整張獸皮。元．戴侗《六書故．卷一八．動物》：「凡革不去其光，張而完暴之謂之鞹。」 |</v>
      </c>
    </row>
    <row r="5968" spans="1:44" hidden="1">
      <c r="A5968" s="1" t="s">
        <v>11187</v>
      </c>
      <c r="C5968" s="1">
        <v>1</v>
      </c>
      <c r="D5968" s="1" t="str">
        <f>"04587"</f>
        <v>04587</v>
      </c>
      <c r="E5968" s="1" t="s">
        <v>103</v>
      </c>
      <c r="F5968" s="1">
        <v>15</v>
      </c>
      <c r="G5968" s="1">
        <v>12</v>
      </c>
      <c r="H5968" s="1">
        <v>0</v>
      </c>
      <c r="I5968" s="1" t="s">
        <v>11172</v>
      </c>
      <c r="K5968" s="1" t="str">
        <f t="shared" si="382"/>
        <v>ㄎ</v>
      </c>
      <c r="L5968" s="1" t="str">
        <f t="shared" si="383"/>
        <v>ㄨ</v>
      </c>
      <c r="M5968" s="1" t="str">
        <f t="shared" si="385"/>
        <v>ㄛ</v>
      </c>
      <c r="P5968" s="1" t="s">
        <v>20</v>
      </c>
      <c r="R5968" s="1" t="s">
        <v>11173</v>
      </c>
      <c r="V5968" s="1" t="s">
        <v>11188</v>
      </c>
      <c r="AR5968" s="1" t="str">
        <f t="shared" si="384"/>
        <v>| [ㄎㄨㄛˋ](ㄎㄨㄛˋ.md) | [彉](彉.md) |  | kuò | [動]
拉滿弓弩。《說文解字．弓部》：「彉，滿弩也。」清．段玉裁．注：「滿弩者，張而滿之。」《漢書．卷六四上．吾丘壽王傳》：「十賊彉弩，百吏不敢前。」 |</v>
      </c>
    </row>
    <row r="5969" spans="1:44" hidden="1">
      <c r="A5969" s="1" t="s">
        <v>11189</v>
      </c>
      <c r="C5969" s="1">
        <v>1</v>
      </c>
      <c r="D5969" s="1" t="str">
        <f>"04588"</f>
        <v>04588</v>
      </c>
      <c r="E5969" s="1" t="s">
        <v>24</v>
      </c>
      <c r="F5969" s="1">
        <v>18</v>
      </c>
      <c r="G5969" s="1">
        <v>15</v>
      </c>
      <c r="H5969" s="1">
        <v>0</v>
      </c>
      <c r="I5969" s="1" t="s">
        <v>11172</v>
      </c>
      <c r="K5969" s="1" t="str">
        <f t="shared" si="382"/>
        <v>ㄎ</v>
      </c>
      <c r="L5969" s="1" t="str">
        <f t="shared" si="383"/>
        <v>ㄨ</v>
      </c>
      <c r="M5969" s="1" t="str">
        <f t="shared" si="385"/>
        <v>ㄛ</v>
      </c>
      <c r="P5969" s="1" t="s">
        <v>20</v>
      </c>
      <c r="R5969" s="1" t="s">
        <v>11173</v>
      </c>
      <c r="V5969" s="1" t="s">
        <v>11190</v>
      </c>
      <c r="AR5969" s="1" t="str">
        <f t="shared" si="384"/>
        <v>| [ㄎㄨㄛˋ](ㄎㄨㄛˋ.md) | [擴](擴.md) |  | kuò | [動]
張大、放大、開拓。如：「擴展」、「擴張」、「擴音器」。《孟子．公孫丑上》：「凡有四端於我者，知皆擴而充之矣。」 |</v>
      </c>
    </row>
    <row r="5970" spans="1:44" hidden="1">
      <c r="A5970" s="1" t="s">
        <v>11191</v>
      </c>
      <c r="C5970" s="1">
        <v>1</v>
      </c>
      <c r="D5970" s="1" t="str">
        <f>"04589"</f>
        <v>04589</v>
      </c>
      <c r="E5970" s="1" t="s">
        <v>28</v>
      </c>
      <c r="F5970" s="1">
        <v>9</v>
      </c>
      <c r="G5970" s="1">
        <v>6</v>
      </c>
      <c r="H5970" s="1">
        <v>0</v>
      </c>
      <c r="I5970" s="1" t="s">
        <v>11192</v>
      </c>
      <c r="K5970" s="1" t="str">
        <f t="shared" si="382"/>
        <v>ㄎ</v>
      </c>
      <c r="L5970" s="1" t="str">
        <f t="shared" si="383"/>
        <v>ㄨ</v>
      </c>
      <c r="M5970" s="1" t="str">
        <f t="shared" si="385"/>
        <v>ㄞ</v>
      </c>
      <c r="P5970" s="1" t="s">
        <v>20</v>
      </c>
      <c r="R5970" s="1" t="s">
        <v>11193</v>
      </c>
      <c r="V5970" s="1" t="s">
        <v>11194</v>
      </c>
      <c r="AR5970" s="1" t="str">
        <f t="shared" si="384"/>
        <v>| [ㄎㄨㄞ](ㄎㄨㄞ.md) | [咼](咼.md) |  | kuāi | [形]
嘴歪斜不正。《說文解字．口部》：「咼，口戾不正也。」宋．陳善《捫蝨新話．上集．卷三．讀法華經得相法》：「脣不下垂，亦不褰縮，不麤澀，大瘡疹，亦不缺壞，亦不咼斜。」 |</v>
      </c>
    </row>
    <row r="5971" spans="1:44" hidden="1">
      <c r="A5971" s="1" t="s">
        <v>11195</v>
      </c>
      <c r="C5971" s="1">
        <v>1</v>
      </c>
      <c r="D5971" s="1" t="str">
        <f>"04590"</f>
        <v>04590</v>
      </c>
      <c r="E5971" s="1" t="s">
        <v>28</v>
      </c>
      <c r="F5971" s="1">
        <v>12</v>
      </c>
      <c r="G5971" s="1">
        <v>9</v>
      </c>
      <c r="H5971" s="1">
        <v>0</v>
      </c>
      <c r="I5971" s="1" t="s">
        <v>11192</v>
      </c>
      <c r="K5971" s="1" t="str">
        <f t="shared" si="382"/>
        <v>ㄎ</v>
      </c>
      <c r="L5971" s="1" t="str">
        <f t="shared" si="383"/>
        <v>ㄨ</v>
      </c>
      <c r="M5971" s="1" t="str">
        <f t="shared" si="385"/>
        <v>ㄞ</v>
      </c>
      <c r="P5971" s="1" t="s">
        <v>20</v>
      </c>
      <c r="R5971" s="1" t="s">
        <v>11193</v>
      </c>
      <c r="V5971" s="1" t="s">
        <v>11196</v>
      </c>
      <c r="AR5971" s="1" t="str">
        <f t="shared" si="384"/>
        <v>| [ㄎㄨㄞ](ㄎㄨㄞ.md) | [喎](喎.md) |  | kuāi | [形]
1.口歪不正，由於臉部神經麻痹，導致嘴角向一側歪斜的樣子。《玉篇．口部》：「喎，同咼，口戾也。」
2.歪斜。宋．梅堯臣〈依韻和許發運游泗州草堂寺之什〉詩：「醒論時事正，醉戴野巾喎。」 |</v>
      </c>
    </row>
    <row r="5972" spans="1:44" hidden="1">
      <c r="A5972" s="1" t="s">
        <v>11197</v>
      </c>
      <c r="C5972" s="1">
        <v>1</v>
      </c>
      <c r="D5972" s="1" t="str">
        <f>"04591"</f>
        <v>04591</v>
      </c>
      <c r="E5972" s="1" t="s">
        <v>37</v>
      </c>
      <c r="F5972" s="1">
        <v>14</v>
      </c>
      <c r="G5972" s="1">
        <v>10</v>
      </c>
      <c r="H5972" s="1">
        <v>1</v>
      </c>
      <c r="I5972" s="1" t="s">
        <v>11198</v>
      </c>
      <c r="K5972" s="1" t="str">
        <f t="shared" si="382"/>
        <v>ㄎ</v>
      </c>
      <c r="L5972" s="1" t="str">
        <f t="shared" si="383"/>
        <v>ㄨ</v>
      </c>
      <c r="M5972" s="1" t="str">
        <f t="shared" si="385"/>
        <v>ㄞ</v>
      </c>
      <c r="P5972" s="1" t="s">
        <v>20</v>
      </c>
      <c r="R5972" s="1" t="s">
        <v>11199</v>
      </c>
      <c r="V5972" s="1" t="s">
        <v>11200</v>
      </c>
      <c r="W5972" s="1" t="s">
        <v>11201</v>
      </c>
      <c r="AR5972" s="1" t="str">
        <f t="shared" si="384"/>
        <v>| [ㄎㄨㄞˇ](ㄎㄨㄞˇ.md) | [蒯](蒯.md) |  | kuǎi | [名]
1.植物名。莎草科藨草屬，多年生草本。根莖細長，莖三稜形，高四十至九十公分，基部具二至三枚葉鞘，最上方葉鞘著有葉片。長側枝聚繖花序近側生，輻射枝二至八根，小穗一至八枚簇生，褐色。叢生水邊或溼地，莖可製索、編蓆、造紙。也稱為「藨草」。
2.地名。春秋時周畿內地。故址在大陸地區河南洛陽縣西南。
3.姓。如漢代有蒯徹。
[動]
抓、搔。《西遊記》第六六回：「抓腸蒯腹，翻跟頭，豎蜻蜓，任他在裡面擺佈。」 |</v>
      </c>
    </row>
    <row r="5973" spans="1:44" hidden="1">
      <c r="A5973" s="1" t="s">
        <v>10353</v>
      </c>
      <c r="C5973" s="1">
        <v>1</v>
      </c>
      <c r="D5973" s="1" t="str">
        <f>"04592"</f>
        <v>04592</v>
      </c>
      <c r="E5973" s="1" t="s">
        <v>10354</v>
      </c>
      <c r="F5973" s="1">
        <v>2</v>
      </c>
      <c r="G5973" s="1">
        <v>0</v>
      </c>
      <c r="H5973" s="1">
        <v>2</v>
      </c>
      <c r="I5973" s="1" t="s">
        <v>11202</v>
      </c>
      <c r="K5973" s="1" t="str">
        <f t="shared" si="382"/>
        <v>ㄎ</v>
      </c>
      <c r="L5973" s="1" t="str">
        <f t="shared" si="383"/>
        <v>ㄨ</v>
      </c>
      <c r="M5973" s="1" t="str">
        <f t="shared" si="385"/>
        <v>ㄞ</v>
      </c>
      <c r="P5973" s="1" t="s">
        <v>110</v>
      </c>
      <c r="R5973" s="1" t="s">
        <v>11203</v>
      </c>
      <c r="V5973" s="1" t="s">
        <v>111</v>
      </c>
      <c r="W5973" s="1" t="s">
        <v>11204</v>
      </c>
      <c r="AR5973" s="1" t="str">
        <f t="shared" si="384"/>
        <v>| [ㄎㄨㄞˋ](ㄎㄨㄞˋ.md) | [巜](巜.md) |  | kuài | (一)之又音。 |</v>
      </c>
    </row>
    <row r="5974" spans="1:44" hidden="1">
      <c r="A5974" s="1" t="s">
        <v>11205</v>
      </c>
      <c r="C5974" s="1">
        <v>1</v>
      </c>
      <c r="D5974" s="1" t="str">
        <f>"04593"</f>
        <v>04593</v>
      </c>
      <c r="E5974" s="1" t="s">
        <v>250</v>
      </c>
      <c r="F5974" s="1">
        <v>7</v>
      </c>
      <c r="G5974" s="1">
        <v>4</v>
      </c>
      <c r="H5974" s="1">
        <v>0</v>
      </c>
      <c r="I5974" s="1" t="s">
        <v>11202</v>
      </c>
      <c r="K5974" s="1" t="str">
        <f t="shared" si="382"/>
        <v>ㄎ</v>
      </c>
      <c r="L5974" s="1" t="str">
        <f t="shared" si="383"/>
        <v>ㄨ</v>
      </c>
      <c r="M5974" s="1" t="str">
        <f t="shared" si="385"/>
        <v>ㄞ</v>
      </c>
      <c r="P5974" s="1" t="s">
        <v>20</v>
      </c>
      <c r="R5974" s="1" t="s">
        <v>11203</v>
      </c>
      <c r="V5974" s="1" t="s">
        <v>11206</v>
      </c>
      <c r="AR5974" s="1" t="str">
        <f t="shared" si="384"/>
        <v>| [ㄎㄨㄞˋ](ㄎㄨㄞˋ.md) | [快](快.md) |  | kuài | [形]
1.高興、歡喜、舒暢。如：「愉快」、「快樂」、「痛快」、「快感」。《戰國策．秦策五》：「文信侯去而不快。」
2.爽直。如：「快人快語」、「心直口快」。《儒林外史》第三三回：「是少卿先生？是海內英豪，千秋快士！」
3.迅速、靈敏。如：「快速」、「眼明手快」。《晉書．卷七五．王湛傳》：「此馬雖快，然力薄不堪苦行。」
4.鋒利、銳利。如：「快斧」、「快劍」、「快刀」。
[動]
順遂、舒服。如：「大快人心」。《孟子．梁惠王上》：「抑王興甲兵，危士臣，搆怨於諸侯，然後快於心與？」
[副]
1.將要。如：「天快放晴了。」、「我快畢業了！」
2.趕緊。如：「您快別這麼說。」、「這裡很危險，你快離開吧！」
[名]
1.速度。如：「這匹馬能跑多快？」
2.舊指衙門中掌管緝捕的差役。如：「捕快」。
3.姓。如漢代有快欽。 |</v>
      </c>
    </row>
    <row r="5975" spans="1:44" hidden="1">
      <c r="A5975" s="1" t="s">
        <v>11207</v>
      </c>
      <c r="C5975" s="1">
        <v>1</v>
      </c>
      <c r="D5975" s="1" t="str">
        <f>"04594"</f>
        <v>04594</v>
      </c>
      <c r="E5975" s="1" t="s">
        <v>49</v>
      </c>
      <c r="F5975" s="1">
        <v>13</v>
      </c>
      <c r="G5975" s="1">
        <v>7</v>
      </c>
      <c r="H5975" s="1">
        <v>0</v>
      </c>
      <c r="I5975" s="1" t="s">
        <v>11202</v>
      </c>
      <c r="K5975" s="1" t="str">
        <f t="shared" si="382"/>
        <v>ㄎ</v>
      </c>
      <c r="L5975" s="1" t="str">
        <f t="shared" si="383"/>
        <v>ㄨ</v>
      </c>
      <c r="M5975" s="1" t="str">
        <f t="shared" si="385"/>
        <v>ㄞ</v>
      </c>
      <c r="P5975" s="1" t="s">
        <v>20</v>
      </c>
      <c r="R5975" s="1" t="s">
        <v>11203</v>
      </c>
      <c r="V5975" s="1" t="s">
        <v>11208</v>
      </c>
      <c r="AR5975" s="1" t="str">
        <f t="shared" si="384"/>
        <v>| [ㄎㄨㄞˋ](ㄎㄨㄞˋ.md) | [筷](筷.md) |  | kuài | [名]
夾取食物或其他東西的用具。如：「竹筷」、「銀筷」、「象牙筷」。 |</v>
      </c>
    </row>
    <row r="5976" spans="1:44" hidden="1">
      <c r="A5976" s="1" t="s">
        <v>11209</v>
      </c>
      <c r="C5976" s="1">
        <v>1</v>
      </c>
      <c r="D5976" s="1" t="str">
        <f>"04595"</f>
        <v>04595</v>
      </c>
      <c r="E5976" s="1" t="s">
        <v>319</v>
      </c>
      <c r="F5976" s="1">
        <v>14</v>
      </c>
      <c r="G5976" s="1">
        <v>4</v>
      </c>
      <c r="H5976" s="1">
        <v>2</v>
      </c>
      <c r="I5976" s="1" t="s">
        <v>11202</v>
      </c>
      <c r="K5976" s="1" t="str">
        <f t="shared" si="382"/>
        <v>ㄎ</v>
      </c>
      <c r="L5976" s="1" t="str">
        <f t="shared" si="383"/>
        <v>ㄨ</v>
      </c>
      <c r="M5976" s="1" t="str">
        <f t="shared" si="385"/>
        <v>ㄞ</v>
      </c>
      <c r="P5976" s="1" t="s">
        <v>20</v>
      </c>
      <c r="R5976" s="1" t="s">
        <v>11203</v>
      </c>
      <c r="V5976" s="1" t="s">
        <v>11210</v>
      </c>
      <c r="W5976" s="1" t="s">
        <v>11211</v>
      </c>
      <c r="AR5976" s="1" t="str">
        <f t="shared" si="384"/>
        <v>| [ㄎㄨㄞˋ](ㄎㄨㄞˋ.md) | [駃](駃.md) |  | kuài | [名]
快馬。《廣韻．去聲．夬韻》：「駃，駃馬，日行千里。」
[形]
疾速、迅速。通「快」。元．元好問〈乙酉六月十一日雨〉詩：「今日復何日，駃雨東南來。」 |</v>
      </c>
    </row>
    <row r="5977" spans="1:44" hidden="1">
      <c r="A5977" s="1" t="s">
        <v>11212</v>
      </c>
      <c r="C5977" s="1">
        <v>1</v>
      </c>
      <c r="D5977" s="1" t="str">
        <f>"04596"</f>
        <v>04596</v>
      </c>
      <c r="E5977" s="1" t="s">
        <v>132</v>
      </c>
      <c r="F5977" s="1">
        <v>13</v>
      </c>
      <c r="G5977" s="1">
        <v>10</v>
      </c>
      <c r="H5977" s="1">
        <v>0</v>
      </c>
      <c r="I5977" s="1" t="s">
        <v>11202</v>
      </c>
      <c r="K5977" s="1" t="str">
        <f t="shared" si="382"/>
        <v>ㄎ</v>
      </c>
      <c r="L5977" s="1" t="str">
        <f t="shared" si="383"/>
        <v>ㄨ</v>
      </c>
      <c r="M5977" s="1" t="str">
        <f t="shared" si="385"/>
        <v>ㄞ</v>
      </c>
      <c r="P5977" s="1" t="s">
        <v>20</v>
      </c>
      <c r="R5977" s="1" t="s">
        <v>11203</v>
      </c>
      <c r="V5977" s="1" t="s">
        <v>11213</v>
      </c>
      <c r="AR5977" s="1" t="str">
        <f t="shared" si="384"/>
        <v>| [ㄎㄨㄞˋ](ㄎㄨㄞˋ.md) | [塊](塊.md) |  | kuài | [名]
1.成團的泥土。《左傳．僖公二十三年》：「乞食於野人，野人予之塊。」清．紀昀《閱微草堂筆記．卷五．濼陽消夏錄五》：「里人王驢，耕於野，倦而枕塊以臥。」
2.團狀的東西。如：「肉塊」、「糖塊」、「冰塊」。
3.量詞：(1)計算塊狀或片狀東西的單位。如：「一塊地」、「三塊糖」。(2)計算錢幣的單位。相當於「元」。如：「十塊錢」。
[副]
一起、一同。如：「大家一塊兒來。」 |</v>
      </c>
    </row>
    <row r="5978" spans="1:44" hidden="1">
      <c r="A5978" s="1" t="s">
        <v>10469</v>
      </c>
      <c r="C5978" s="1">
        <v>1</v>
      </c>
      <c r="D5978" s="1" t="str">
        <f>"04597"</f>
        <v>04597</v>
      </c>
      <c r="E5978" s="1" t="s">
        <v>6488</v>
      </c>
      <c r="F5978" s="1">
        <v>13</v>
      </c>
      <c r="G5978" s="1">
        <v>9</v>
      </c>
      <c r="H5978" s="1">
        <v>3</v>
      </c>
      <c r="I5978" s="1" t="s">
        <v>11202</v>
      </c>
      <c r="K5978" s="1" t="str">
        <f t="shared" si="382"/>
        <v>ㄎ</v>
      </c>
      <c r="L5978" s="1" t="str">
        <f t="shared" si="383"/>
        <v>ㄨ</v>
      </c>
      <c r="M5978" s="1" t="str">
        <f t="shared" si="385"/>
        <v>ㄞ</v>
      </c>
      <c r="P5978" s="1" t="s">
        <v>20</v>
      </c>
      <c r="R5978" s="1" t="s">
        <v>11203</v>
      </c>
      <c r="V5978" s="1" t="s">
        <v>11214</v>
      </c>
      <c r="W5978" s="1" t="s">
        <v>11215</v>
      </c>
      <c r="AR5978" s="1" t="str">
        <f t="shared" si="384"/>
        <v>| [ㄎㄨㄞˋ](ㄎㄨㄞˋ.md) | [會](會.md) |  | kuài | [名]
姓。如漢代有會栩。
[動]
統計、計算。如：「會計」。 |</v>
      </c>
    </row>
    <row r="5979" spans="1:44" hidden="1">
      <c r="A5979" s="1" t="s">
        <v>11216</v>
      </c>
      <c r="C5979" s="1">
        <v>1</v>
      </c>
      <c r="D5979" s="1" t="str">
        <f>"04598"</f>
        <v>04598</v>
      </c>
      <c r="E5979" s="1" t="s">
        <v>114</v>
      </c>
      <c r="F5979" s="1">
        <v>15</v>
      </c>
      <c r="G5979" s="1">
        <v>13</v>
      </c>
      <c r="H5979" s="1">
        <v>0</v>
      </c>
      <c r="I5979" s="1" t="s">
        <v>11202</v>
      </c>
      <c r="K5979" s="1" t="str">
        <f t="shared" si="382"/>
        <v>ㄎ</v>
      </c>
      <c r="L5979" s="1" t="str">
        <f t="shared" si="383"/>
        <v>ㄨ</v>
      </c>
      <c r="M5979" s="1" t="str">
        <f t="shared" si="385"/>
        <v>ㄞ</v>
      </c>
      <c r="P5979" s="1" t="s">
        <v>20</v>
      </c>
      <c r="R5979" s="1" t="s">
        <v>11203</v>
      </c>
      <c r="V5979" s="1" t="s">
        <v>11217</v>
      </c>
      <c r="AR5979" s="1" t="str">
        <f t="shared" si="384"/>
        <v>| [ㄎㄨㄞˋ](ㄎㄨㄞˋ.md) | [儈](儈.md) |  | kuài | [名]
1.介紹買賣以從中取利的人。《漢書．卷九一．貨殖傳．巴寡婦清傳》：「子貸金錢千貫，節駔儈。」唐．顏師古．注：「儈者，合會二家交易者也。」
2.借指商人。《新唐書．卷二二四．叛臣傳下．高駢傳》：「用之者，鄱陽人，世為商儈，往來廣陵。」
[動]
撮合買賣。《後漢書．卷八三．逸民傳．逢萌傳》：「君公遭亂獨不去，儈牛自隱。」唐．章懷太子．注：「儈，謂平會兩家賣買之價。」 |</v>
      </c>
    </row>
    <row r="5980" spans="1:44" hidden="1">
      <c r="A5980" s="1" t="s">
        <v>10472</v>
      </c>
      <c r="C5980" s="1">
        <v>1</v>
      </c>
      <c r="D5980" s="1" t="str">
        <f>"04599"</f>
        <v>04599</v>
      </c>
      <c r="E5980" s="1" t="s">
        <v>185</v>
      </c>
      <c r="F5980" s="1">
        <v>15</v>
      </c>
      <c r="G5980" s="1">
        <v>13</v>
      </c>
      <c r="H5980" s="1">
        <v>1</v>
      </c>
      <c r="I5980" s="1" t="s">
        <v>11202</v>
      </c>
      <c r="K5980" s="1" t="str">
        <f t="shared" si="382"/>
        <v>ㄎ</v>
      </c>
      <c r="L5980" s="1" t="str">
        <f t="shared" si="383"/>
        <v>ㄨ</v>
      </c>
      <c r="M5980" s="1" t="str">
        <f t="shared" si="385"/>
        <v>ㄞ</v>
      </c>
      <c r="P5980" s="1" t="s">
        <v>20</v>
      </c>
      <c r="R5980" s="1" t="s">
        <v>11203</v>
      </c>
      <c r="V5980" s="1" t="s">
        <v>11218</v>
      </c>
      <c r="W5980" s="1" t="s">
        <v>11219</v>
      </c>
      <c r="AR5980" s="1" t="str">
        <f t="shared" si="384"/>
        <v>| [ㄎㄨㄞˋ](ㄎㄨㄞˋ.md) | [劊](劊.md) |  | kuài | [動]
斬斷、砍斷。《說文解字．刀部》：「劊，斷也。」 |</v>
      </c>
    </row>
    <row r="5981" spans="1:44" hidden="1">
      <c r="A5981" s="1" t="s">
        <v>11220</v>
      </c>
      <c r="C5981" s="1">
        <v>1</v>
      </c>
      <c r="D5981" s="1" t="str">
        <f>"04600"</f>
        <v>04600</v>
      </c>
      <c r="E5981" s="1" t="s">
        <v>129</v>
      </c>
      <c r="F5981" s="1">
        <v>16</v>
      </c>
      <c r="G5981" s="1">
        <v>13</v>
      </c>
      <c r="H5981" s="1">
        <v>0</v>
      </c>
      <c r="I5981" s="1" t="s">
        <v>11202</v>
      </c>
      <c r="K5981" s="1" t="str">
        <f t="shared" si="382"/>
        <v>ㄎ</v>
      </c>
      <c r="L5981" s="1" t="str">
        <f t="shared" si="383"/>
        <v>ㄨ</v>
      </c>
      <c r="M5981" s="1" t="str">
        <f t="shared" si="385"/>
        <v>ㄞ</v>
      </c>
      <c r="P5981" s="1" t="s">
        <v>20</v>
      </c>
      <c r="R5981" s="1" t="s">
        <v>11203</v>
      </c>
      <c r="V5981" s="1" t="s">
        <v>11221</v>
      </c>
      <c r="AR5981" s="1" t="str">
        <f t="shared" si="384"/>
        <v>| [ㄎㄨㄞˋ](ㄎㄨㄞˋ.md) | [澮](澮.md) |  | kuài | [名]
1.細小的水流。《文選．郭璞．江賦》：「綱絡群流，商搉涓澮。」唐．李善．注：「涓澮，小流也。」
2.河川名：(1)澮水。源出大陸地區山西省翼城縣東北澮山下，西南流至新絳縣注入汾河。(2)澮河。源出大陸地區河南省永城縣西北，流經安徽省宿縣，注入淮水。 |</v>
      </c>
    </row>
    <row r="5982" spans="1:44" hidden="1">
      <c r="A5982" s="1" t="s">
        <v>11222</v>
      </c>
      <c r="C5982" s="1">
        <v>1</v>
      </c>
      <c r="D5982" s="1" t="str">
        <f>"04601"</f>
        <v>04601</v>
      </c>
      <c r="E5982" s="1" t="s">
        <v>447</v>
      </c>
      <c r="F5982" s="1">
        <v>16</v>
      </c>
      <c r="G5982" s="1">
        <v>13</v>
      </c>
      <c r="H5982" s="1">
        <v>0</v>
      </c>
      <c r="I5982" s="1" t="s">
        <v>11202</v>
      </c>
      <c r="K5982" s="1" t="str">
        <f t="shared" si="382"/>
        <v>ㄎ</v>
      </c>
      <c r="L5982" s="1" t="str">
        <f t="shared" si="383"/>
        <v>ㄨ</v>
      </c>
      <c r="M5982" s="1" t="str">
        <f t="shared" si="385"/>
        <v>ㄞ</v>
      </c>
      <c r="P5982" s="1" t="s">
        <v>20</v>
      </c>
      <c r="R5982" s="1" t="s">
        <v>11203</v>
      </c>
      <c r="V5982" s="1" t="s">
        <v>11223</v>
      </c>
      <c r="AR5982" s="1" t="str">
        <f t="shared" si="384"/>
        <v>| [ㄎㄨㄞˋ](ㄎㄨㄞˋ.md) | [廥](廥.md) |  | kuài | [名]
積存木柴、乾草或糧食等的地方。《史記．卷四三．趙世家》：「十二年，邯鄲廥燒。」《新唐書．卷二〇三．文藝傳下．李頻傳》：「方歲饑，頻發官廥庸民浚渠。」
[動]
儲藏。《新唐書．卷九八．韋挺傳》：「挺以方苦寒，未可進，遂下米臺側，廥之，待凍泮乃運以為解。」 |</v>
      </c>
    </row>
    <row r="5983" spans="1:44" hidden="1">
      <c r="A5983" s="1" t="s">
        <v>11224</v>
      </c>
      <c r="C5983" s="1">
        <v>1</v>
      </c>
      <c r="D5983" s="1" t="str">
        <f>"04602"</f>
        <v>04602</v>
      </c>
      <c r="E5983" s="1" t="s">
        <v>28</v>
      </c>
      <c r="F5983" s="1">
        <v>16</v>
      </c>
      <c r="G5983" s="1">
        <v>13</v>
      </c>
      <c r="H5983" s="1">
        <v>0</v>
      </c>
      <c r="I5983" s="1" t="s">
        <v>11202</v>
      </c>
      <c r="K5983" s="1" t="str">
        <f t="shared" si="382"/>
        <v>ㄎ</v>
      </c>
      <c r="L5983" s="1" t="str">
        <f t="shared" si="383"/>
        <v>ㄨ</v>
      </c>
      <c r="M5983" s="1" t="str">
        <f t="shared" si="385"/>
        <v>ㄞ</v>
      </c>
      <c r="P5983" s="1" t="s">
        <v>20</v>
      </c>
      <c r="R5983" s="1" t="s">
        <v>11203</v>
      </c>
      <c r="V5983" s="1" t="s">
        <v>11225</v>
      </c>
      <c r="AR5983" s="1" t="str">
        <f t="shared" si="384"/>
        <v>| [ㄎㄨㄞˋ](ㄎㄨㄞˋ.md) | [噲](噲.md) |  | kuài | [名]
咽喉。《說文解字．口部》：「噲，咽也。」清．段玉裁．注：「噲者，會也，聲氣所會也。」
[副]
稱心、暢快。通「快」。《淮南子．精神》：「當此之時，噲然得臥，則親戚兄弟歡然而喜。」 |</v>
      </c>
    </row>
    <row r="5984" spans="1:44" hidden="1">
      <c r="A5984" s="1" t="s">
        <v>11226</v>
      </c>
      <c r="C5984" s="1">
        <v>1</v>
      </c>
      <c r="D5984" s="1" t="str">
        <f>"04603"</f>
        <v>04603</v>
      </c>
      <c r="E5984" s="1" t="s">
        <v>256</v>
      </c>
      <c r="F5984" s="1">
        <v>16</v>
      </c>
      <c r="G5984" s="1">
        <v>13</v>
      </c>
      <c r="H5984" s="1">
        <v>0</v>
      </c>
      <c r="I5984" s="1" t="s">
        <v>11202</v>
      </c>
      <c r="K5984" s="1" t="str">
        <f t="shared" si="382"/>
        <v>ㄎ</v>
      </c>
      <c r="L5984" s="1" t="str">
        <f t="shared" si="383"/>
        <v>ㄨ</v>
      </c>
      <c r="M5984" s="1" t="str">
        <f t="shared" si="385"/>
        <v>ㄞ</v>
      </c>
      <c r="P5984" s="1" t="s">
        <v>20</v>
      </c>
      <c r="R5984" s="1" t="s">
        <v>11203</v>
      </c>
      <c r="V5984" s="1" t="s">
        <v>11227</v>
      </c>
      <c r="AR5984" s="1" t="str">
        <f t="shared" si="384"/>
        <v>| [ㄎㄨㄞˋ](ㄎㄨㄞˋ.md) | [鄶](鄶.md) |  | kuài | [名]
國名。周初所分封的諸侯國，後被鄭國所滅。故址在今河南省密縣東南。 |</v>
      </c>
    </row>
    <row r="5985" spans="1:44" hidden="1">
      <c r="A5985" s="1" t="s">
        <v>11228</v>
      </c>
      <c r="C5985" s="1">
        <v>1</v>
      </c>
      <c r="D5985" s="1" t="str">
        <f>"04604"</f>
        <v>04604</v>
      </c>
      <c r="E5985" s="1" t="s">
        <v>198</v>
      </c>
      <c r="F5985" s="1">
        <v>16</v>
      </c>
      <c r="G5985" s="1">
        <v>13</v>
      </c>
      <c r="H5985" s="1">
        <v>0</v>
      </c>
      <c r="I5985" s="1" t="s">
        <v>11202</v>
      </c>
      <c r="K5985" s="1" t="str">
        <f t="shared" si="382"/>
        <v>ㄎ</v>
      </c>
      <c r="L5985" s="1" t="str">
        <f t="shared" si="383"/>
        <v>ㄨ</v>
      </c>
      <c r="M5985" s="1" t="str">
        <f t="shared" si="385"/>
        <v>ㄞ</v>
      </c>
      <c r="P5985" s="1" t="s">
        <v>20</v>
      </c>
      <c r="R5985" s="1" t="s">
        <v>11203</v>
      </c>
      <c r="V5985" s="1" t="s">
        <v>11229</v>
      </c>
      <c r="AR5985" s="1" t="str">
        <f t="shared" si="384"/>
        <v>| [ㄎㄨㄞˋ](ㄎㄨㄞˋ.md) | [獪](獪.md) |  | kuài | [形]
奸詐狡猾。如：「黠獪」、「狡獪」。《新唐書．卷八八．裴寂傳》：「馬三寶，性敏獪。」 |</v>
      </c>
    </row>
    <row r="5986" spans="1:44" hidden="1">
      <c r="A5986" s="1" t="s">
        <v>10474</v>
      </c>
      <c r="C5986" s="1">
        <v>1</v>
      </c>
      <c r="D5986" s="1" t="str">
        <f>"04605"</f>
        <v>04605</v>
      </c>
      <c r="E5986" s="1" t="s">
        <v>139</v>
      </c>
      <c r="F5986" s="1">
        <v>17</v>
      </c>
      <c r="G5986" s="1">
        <v>13</v>
      </c>
      <c r="H5986" s="1">
        <v>1</v>
      </c>
      <c r="I5986" s="1" t="s">
        <v>11202</v>
      </c>
      <c r="K5986" s="1" t="str">
        <f t="shared" si="382"/>
        <v>ㄎ</v>
      </c>
      <c r="L5986" s="1" t="str">
        <f t="shared" si="383"/>
        <v>ㄨ</v>
      </c>
      <c r="M5986" s="1" t="str">
        <f t="shared" si="385"/>
        <v>ㄞ</v>
      </c>
      <c r="P5986" s="1" t="s">
        <v>20</v>
      </c>
      <c r="R5986" s="1" t="s">
        <v>11203</v>
      </c>
      <c r="V5986" s="1" t="s">
        <v>11230</v>
      </c>
      <c r="W5986" s="1" t="s">
        <v>11231</v>
      </c>
      <c r="AR5986" s="1" t="str">
        <f t="shared" si="384"/>
        <v>| [ㄎㄨㄞˋ](ㄎㄨㄞˋ.md) | [檜](檜.md) |  | kuài | [名]
柏木科圓柏屬。「檜柏」或「真柏」之簡稱，參見「檜柏」條。 |</v>
      </c>
    </row>
    <row r="5987" spans="1:44" hidden="1">
      <c r="A5987" s="1" t="s">
        <v>11232</v>
      </c>
      <c r="C5987" s="1">
        <v>1</v>
      </c>
      <c r="D5987" s="1" t="str">
        <f>"04606"</f>
        <v>04606</v>
      </c>
      <c r="E5987" s="1" t="s">
        <v>68</v>
      </c>
      <c r="F5987" s="1">
        <v>17</v>
      </c>
      <c r="G5987" s="1">
        <v>13</v>
      </c>
      <c r="H5987" s="1">
        <v>0</v>
      </c>
      <c r="I5987" s="1" t="s">
        <v>11202</v>
      </c>
      <c r="K5987" s="1" t="str">
        <f t="shared" si="382"/>
        <v>ㄎ</v>
      </c>
      <c r="L5987" s="1" t="str">
        <f t="shared" si="383"/>
        <v>ㄨ</v>
      </c>
      <c r="M5987" s="1" t="str">
        <f t="shared" si="385"/>
        <v>ㄞ</v>
      </c>
      <c r="P5987" s="1" t="s">
        <v>20</v>
      </c>
      <c r="R5987" s="1" t="s">
        <v>11203</v>
      </c>
      <c r="V5987" s="1" t="s">
        <v>11233</v>
      </c>
      <c r="AR5987" s="1" t="str">
        <f t="shared" si="384"/>
        <v>| [ㄎㄨㄞˋ](ㄎㄨㄞˋ.md) | [膾](膾.md) |  | kuài | [名]
切細的肉絲。《論語．鄉黨》：「食不厭精，膾不厭細。」唐．韓愈〈與崔群書〉：「至於稻也，粱也，膾也，炙也，豈聞有不嗜者哉！」
[動]
切割。《詩經．小雅．六月》：「飲御諸友，炰鱉膾鯉。」《莊子．盜跖》：「盜跖乃方休卒徒大山之陽，膾人肝而餔之。」 |</v>
      </c>
    </row>
    <row r="5988" spans="1:44" hidden="1">
      <c r="A5988" s="1" t="s">
        <v>11234</v>
      </c>
      <c r="C5988" s="1">
        <v>1</v>
      </c>
      <c r="D5988" s="1" t="str">
        <f>"04607"</f>
        <v>04607</v>
      </c>
      <c r="E5988" s="1" t="s">
        <v>800</v>
      </c>
      <c r="F5988" s="1">
        <v>19</v>
      </c>
      <c r="G5988" s="1">
        <v>15</v>
      </c>
      <c r="H5988" s="1">
        <v>0</v>
      </c>
      <c r="I5988" s="1" t="s">
        <v>11202</v>
      </c>
      <c r="K5988" s="1" t="str">
        <f t="shared" si="382"/>
        <v>ㄎ</v>
      </c>
      <c r="L5988" s="1" t="str">
        <f t="shared" si="383"/>
        <v>ㄨ</v>
      </c>
      <c r="M5988" s="1" t="str">
        <f t="shared" ref="M5988:M6019" si="386">MID(I5988, 3, 1)</f>
        <v>ㄞ</v>
      </c>
      <c r="P5988" s="1" t="s">
        <v>20</v>
      </c>
      <c r="R5988" s="1" t="s">
        <v>11203</v>
      </c>
      <c r="V5988" s="1" t="s">
        <v>11235</v>
      </c>
      <c r="AR5988" s="1" t="str">
        <f t="shared" si="384"/>
        <v>| [ㄎㄨㄞˋ](ㄎㄨㄞˋ.md) | [旝](旝.md) |  | kuài | [名]
1.古代戰爭時用來發號施令的旌旗。《左傳．桓公五年》：「命二拒曰：『旝動而鼓。』」晉．杜預．注：「旝，旃也，通帛為之，蓋今大將之麾也，執以為號令。」
2.古代打仗用的發石車。《新唐書．卷八四．列傳．李密》：「命護軍將軍田茂廣造雲旝三百具，以機發石，為攻城械，號將軍砲。」 |</v>
      </c>
    </row>
    <row r="5989" spans="1:44" hidden="1">
      <c r="A5989" s="1" t="s">
        <v>11236</v>
      </c>
      <c r="C5989" s="1">
        <v>1</v>
      </c>
      <c r="D5989" s="1" t="str">
        <f>"04608"</f>
        <v>04608</v>
      </c>
      <c r="E5989" s="1" t="s">
        <v>156</v>
      </c>
      <c r="F5989" s="1">
        <v>24</v>
      </c>
      <c r="G5989" s="1">
        <v>13</v>
      </c>
      <c r="H5989" s="1">
        <v>0</v>
      </c>
      <c r="I5989" s="1" t="s">
        <v>11202</v>
      </c>
      <c r="K5989" s="1" t="str">
        <f t="shared" si="382"/>
        <v>ㄎ</v>
      </c>
      <c r="L5989" s="1" t="str">
        <f t="shared" si="383"/>
        <v>ㄨ</v>
      </c>
      <c r="M5989" s="1" t="str">
        <f t="shared" si="386"/>
        <v>ㄞ</v>
      </c>
      <c r="P5989" s="1" t="s">
        <v>20</v>
      </c>
      <c r="R5989" s="1" t="s">
        <v>11203</v>
      </c>
      <c r="V5989" s="1" t="s">
        <v>11237</v>
      </c>
      <c r="AR5989" s="1" t="str">
        <f t="shared" si="384"/>
        <v>| [ㄎㄨㄞˋ](ㄎㄨㄞˋ.md) | [鱠](鱠.md) |  | kuài | [名]
細切的魚肉。同「膾」。《集韻．去聲．太韻》：「膾，《說文》：『細切肉也。』或從魚。」如：「鮮鱠」、「蓴羹鱸鱠」。宋．陸游〈雙頭蓮．華鬢星星〉詞：「空悵望，鱠美菰香，秋風又起。」
[動]
細切魚肉烹調成餚饌。宋．辛棄疾〈水龍吟．楚天千里清秋〉詞：「休說鱸魚堪鱠，儘西風、季鷹歸未？」 |</v>
      </c>
    </row>
    <row r="5990" spans="1:44" hidden="1">
      <c r="A5990" s="1" t="s">
        <v>11197</v>
      </c>
      <c r="C5990" s="1">
        <v>1</v>
      </c>
      <c r="D5990" s="1" t="str">
        <f>"04609"</f>
        <v>04609</v>
      </c>
      <c r="E5990" s="1" t="s">
        <v>37</v>
      </c>
      <c r="F5990" s="1">
        <v>14</v>
      </c>
      <c r="G5990" s="1">
        <v>10</v>
      </c>
      <c r="H5990" s="1">
        <v>2</v>
      </c>
      <c r="I5990" s="1" t="s">
        <v>11202</v>
      </c>
      <c r="K5990" s="1" t="str">
        <f t="shared" si="382"/>
        <v>ㄎ</v>
      </c>
      <c r="L5990" s="1" t="str">
        <f t="shared" si="383"/>
        <v>ㄨ</v>
      </c>
      <c r="M5990" s="1" t="str">
        <f t="shared" si="386"/>
        <v>ㄞ</v>
      </c>
      <c r="P5990" s="1" t="s">
        <v>110</v>
      </c>
      <c r="R5990" s="1" t="s">
        <v>11203</v>
      </c>
      <c r="V5990" s="1" t="s">
        <v>111</v>
      </c>
      <c r="W5990" s="1" t="s">
        <v>11238</v>
      </c>
      <c r="AR5990" s="1" t="str">
        <f t="shared" si="384"/>
        <v>| [ㄎㄨㄞˋ](ㄎㄨㄞˋ.md) | [蒯](蒯.md) |  | kuài | (一)之又音。 |</v>
      </c>
    </row>
    <row r="5991" spans="1:44" hidden="1">
      <c r="A5991" s="1" t="s">
        <v>11239</v>
      </c>
      <c r="C5991" s="1">
        <v>1</v>
      </c>
      <c r="D5991" s="1" t="str">
        <f>"04610"</f>
        <v>04610</v>
      </c>
      <c r="E5991" s="1" t="s">
        <v>185</v>
      </c>
      <c r="F5991" s="1">
        <v>8</v>
      </c>
      <c r="G5991" s="1">
        <v>6</v>
      </c>
      <c r="H5991" s="1">
        <v>0</v>
      </c>
      <c r="I5991" s="1" t="s">
        <v>11240</v>
      </c>
      <c r="K5991" s="1" t="str">
        <f t="shared" si="382"/>
        <v>ㄎ</v>
      </c>
      <c r="L5991" s="1" t="str">
        <f t="shared" si="383"/>
        <v>ㄨ</v>
      </c>
      <c r="M5991" s="1" t="str">
        <f t="shared" si="386"/>
        <v>ㄟ</v>
      </c>
      <c r="P5991" s="1" t="s">
        <v>20</v>
      </c>
      <c r="R5991" s="1" t="s">
        <v>11241</v>
      </c>
      <c r="V5991" s="1" t="s">
        <v>11242</v>
      </c>
      <c r="AR5991" s="1" t="str">
        <f t="shared" si="384"/>
        <v>| [ㄎㄨㄟ](ㄎㄨㄟ.md) | [刲](刲.md) |  | kuī | [動]
刺割、宰殺。《說文解字．刀部》：「刲，刺也。」《左傳．僖公十五年》：「士刲羊，亦無衁也。」《資治通鑑．卷二七七．後唐紀六．明宗長興元年》：「令壯士十人刲其肉自啗之，洪至死罵不絕聲。」元．胡三省．注：「刲，割也。」 |</v>
      </c>
    </row>
    <row r="5992" spans="1:44" hidden="1">
      <c r="A5992" s="1" t="s">
        <v>11243</v>
      </c>
      <c r="C5992" s="1">
        <v>1</v>
      </c>
      <c r="D5992" s="1" t="str">
        <f>"04611"</f>
        <v>04611</v>
      </c>
      <c r="E5992" s="1" t="s">
        <v>250</v>
      </c>
      <c r="F5992" s="1">
        <v>10</v>
      </c>
      <c r="G5992" s="1">
        <v>7</v>
      </c>
      <c r="H5992" s="1">
        <v>0</v>
      </c>
      <c r="I5992" s="1" t="s">
        <v>11240</v>
      </c>
      <c r="K5992" s="1" t="str">
        <f t="shared" si="382"/>
        <v>ㄎ</v>
      </c>
      <c r="L5992" s="1" t="str">
        <f t="shared" si="383"/>
        <v>ㄨ</v>
      </c>
      <c r="M5992" s="1" t="str">
        <f t="shared" si="386"/>
        <v>ㄟ</v>
      </c>
      <c r="P5992" s="1" t="s">
        <v>20</v>
      </c>
      <c r="R5992" s="1" t="s">
        <v>11241</v>
      </c>
      <c r="V5992" s="1" t="s">
        <v>11244</v>
      </c>
      <c r="AR5992" s="1" t="str">
        <f t="shared" si="384"/>
        <v>| [ㄎㄨㄟ](ㄎㄨㄟ.md) | [悝](悝.md) |  | kuī | [動]
嘲笑。《文選．張衡．東京賦》：「由余以西戎孤臣而悝繆公於宮室。」唐．李善．注：「悝，猶嘲也。」
[名]
人名用字。如戰國時有李悝。 |</v>
      </c>
    </row>
    <row r="5993" spans="1:44" hidden="1">
      <c r="A5993" s="1" t="s">
        <v>11245</v>
      </c>
      <c r="C5993" s="1">
        <v>1</v>
      </c>
      <c r="D5993" s="1" t="str">
        <f>"04612"</f>
        <v>04612</v>
      </c>
      <c r="E5993" s="1" t="s">
        <v>438</v>
      </c>
      <c r="F5993" s="1">
        <v>11</v>
      </c>
      <c r="G5993" s="1">
        <v>6</v>
      </c>
      <c r="H5993" s="1">
        <v>0</v>
      </c>
      <c r="I5993" s="1" t="s">
        <v>11240</v>
      </c>
      <c r="K5993" s="1" t="str">
        <f t="shared" si="382"/>
        <v>ㄎ</v>
      </c>
      <c r="L5993" s="1" t="str">
        <f t="shared" si="383"/>
        <v>ㄨ</v>
      </c>
      <c r="M5993" s="1" t="str">
        <f t="shared" si="386"/>
        <v>ㄟ</v>
      </c>
      <c r="P5993" s="1" t="s">
        <v>20</v>
      </c>
      <c r="R5993" s="1" t="s">
        <v>11241</v>
      </c>
      <c r="V5993" s="1" t="s">
        <v>11246</v>
      </c>
      <c r="AR5993" s="1" t="str">
        <f t="shared" si="384"/>
        <v>| [ㄎㄨㄟ](ㄎㄨㄟ.md) | [盔](盔.md) |  | kuī | [名]
1.用來保護頭部，使免於受傷的帽子。通常用金屬或塑膠製成。如：「頭盔」。《三國演義》第三〇回：「三通鼓罷，袁紹金盔金甲，錦袍玉帶，立馬陣前。」
2.缽、盆子一類的器皿。如：「瓦盔」、「陶盔」。 |</v>
      </c>
    </row>
    <row r="5994" spans="1:44" hidden="1">
      <c r="A5994" s="1" t="s">
        <v>11247</v>
      </c>
      <c r="C5994" s="1">
        <v>1</v>
      </c>
      <c r="D5994" s="1" t="str">
        <f>"04613"</f>
        <v>04613</v>
      </c>
      <c r="E5994" s="1" t="s">
        <v>1274</v>
      </c>
      <c r="F5994" s="1">
        <v>16</v>
      </c>
      <c r="G5994" s="1">
        <v>11</v>
      </c>
      <c r="H5994" s="1">
        <v>0</v>
      </c>
      <c r="I5994" s="1" t="s">
        <v>11240</v>
      </c>
      <c r="K5994" s="1" t="str">
        <f t="shared" si="382"/>
        <v>ㄎ</v>
      </c>
      <c r="L5994" s="1" t="str">
        <f t="shared" si="383"/>
        <v>ㄨ</v>
      </c>
      <c r="M5994" s="1" t="str">
        <f t="shared" si="386"/>
        <v>ㄟ</v>
      </c>
      <c r="P5994" s="1" t="s">
        <v>20</v>
      </c>
      <c r="R5994" s="1" t="s">
        <v>11241</v>
      </c>
      <c r="V5994" s="1" t="s">
        <v>11248</v>
      </c>
      <c r="AR5994" s="1" t="str">
        <f t="shared" si="384"/>
        <v>| [ㄎㄨㄟ](ㄎㄨㄟ.md) | [窺](窺.md) |  | kuī | [動]
1.從隱密處或孔隙中偷看。《說文解字．穴部》：「窺，小視也。」如：「偷窺」、「以管窺天」。《孟子．滕文公下》：「鑽穴隙相窺。」唐．柳宗元〈三戒．黔之驢〉：「虎見之，龐然大物也，以為神，蔽林間窺之。」
2.泛指見、觀看。《呂氏春秋．審應覽．精諭》：「目視於無形，耳聽於無聲，商聞雖眾，弗能窺矣。」《明史．卷一二八．劉基傳》：「基博通經史，於書無不窺。」
3.偵視、探測。唐．李白〈關山月〉詩：「漢下白登道，胡窺青海灣。」宋．蘇轍〈六國論〉：「秦人不敢逾韓、魏以窺齊、楚、燕、趙之國，而齊、楚、燕、趙之國，因得以自完於其間矣。」 |</v>
      </c>
    </row>
    <row r="5995" spans="1:44" hidden="1">
      <c r="A5995" s="1" t="s">
        <v>11249</v>
      </c>
      <c r="C5995" s="1">
        <v>1</v>
      </c>
      <c r="D5995" s="1" t="str">
        <f>"04614"</f>
        <v>04614</v>
      </c>
      <c r="E5995" s="1" t="s">
        <v>709</v>
      </c>
      <c r="F5995" s="1">
        <v>19</v>
      </c>
      <c r="G5995" s="1">
        <v>11</v>
      </c>
      <c r="H5995" s="1">
        <v>0</v>
      </c>
      <c r="I5995" s="1" t="s">
        <v>11240</v>
      </c>
      <c r="K5995" s="1" t="str">
        <f t="shared" si="382"/>
        <v>ㄎ</v>
      </c>
      <c r="L5995" s="1" t="str">
        <f t="shared" si="383"/>
        <v>ㄨ</v>
      </c>
      <c r="M5995" s="1" t="str">
        <f t="shared" si="386"/>
        <v>ㄟ</v>
      </c>
      <c r="P5995" s="1" t="s">
        <v>20</v>
      </c>
      <c r="R5995" s="1" t="s">
        <v>11241</v>
      </c>
      <c r="V5995" s="1" t="s">
        <v>11250</v>
      </c>
      <c r="AR5995" s="1" t="str">
        <f t="shared" si="384"/>
        <v>| [ㄎㄨㄟ](ㄎㄨㄟ.md) | [闚](闚.md) |  | kuī | [動]
1.偷看。同「窺」。《公羊傳．宣公六年》：「俯而闚其戶，方食魚飧。」《史記．卷六二．管晏傳》：「晏子為齊相，出，其御之妻從門閒而闚其夫。」
2.望、看。《楚辭．劉向．九歎．憂苦》：「登巑岏以長企兮，望南郢而闚之。」
3.觀察、探索。《史記．卷六三．老子韓非傳》：「其學無所不窺，然其要本歸於老子之言。」《文選．潘岳．閑居賦》：「闚天文之祕奧，究人事之終始。」
[名]
姓。如黃帝時有闚紀。 |</v>
      </c>
    </row>
    <row r="5996" spans="1:44" hidden="1">
      <c r="A5996" s="1" t="s">
        <v>11251</v>
      </c>
      <c r="C5996" s="1">
        <v>1</v>
      </c>
      <c r="D5996" s="1" t="str">
        <f>"04615"</f>
        <v>04615</v>
      </c>
      <c r="E5996" s="1" t="s">
        <v>660</v>
      </c>
      <c r="F5996" s="1">
        <v>17</v>
      </c>
      <c r="G5996" s="1">
        <v>11</v>
      </c>
      <c r="H5996" s="1">
        <v>0</v>
      </c>
      <c r="I5996" s="1" t="s">
        <v>11240</v>
      </c>
      <c r="K5996" s="1" t="str">
        <f t="shared" si="382"/>
        <v>ㄎ</v>
      </c>
      <c r="L5996" s="1" t="str">
        <f t="shared" si="383"/>
        <v>ㄨ</v>
      </c>
      <c r="M5996" s="1" t="str">
        <f t="shared" si="386"/>
        <v>ㄟ</v>
      </c>
      <c r="P5996" s="1" t="s">
        <v>20</v>
      </c>
      <c r="R5996" s="1" t="s">
        <v>11241</v>
      </c>
      <c r="V5996" s="1" t="s">
        <v>11252</v>
      </c>
      <c r="AR5996" s="1" t="str">
        <f t="shared" si="384"/>
        <v>| [ㄎㄨㄟ](ㄎㄨㄟ.md) | [虧](虧.md) |  | kuī | [名]
1.缺陷、不完滿。如：「月有盈虧」。《列子．天瑞》：「損盈成虧，隨世隨死。」宋．王沂孫〈眉嫵．漸新痕懸柳〉詞：「千古盈虧休問，歎慢磨玉斧，難補金鏡。」
2.損失、損害。《紅樓夢》第五七回：「叫我吃了虧，又有何好處？」
[動]
1.耗損、減少。如：「虧本」。《易經．謙卦．彖曰》：「天道虧盈而益謙。」唐．孔穎達．正義：「虧，謂減損，減損盈滿，而增益謙退。」宋．蘇洵〈六國論〉：「賂秦而力虧，破滅之道也。」
2.欠缺、缺少。如：「自知理虧」。《書經．旅獒》：「為山九仞，功虧一簣。」《韓非子．五蠹》：「雖監門之服養，不虧於此矣。」
3.辜負、對不起。如：「虧待」。《董西廂》卷一：「我幾曾夢見人傳示，我虧你，你虧人。」
4.毀壞。《詩經．魯頌．閟宮》：「不虧不崩，不震不騰。」漢．鄭玄．注：「虧、崩皆謂毀壞也。」《韓非子．孤憤》：「重人也者，無令而擅為，虧法以利私。」
[形]
虛弱。如：「體虧」、「腎虧」、「氣衰血虧」。
[副]
1.難為、僥倖之詞。如：「幸虧」、「多虧」。《紅樓夢》第九七回：「虧了還同著秋紋兩個人挽扶著黛玉到屋裡來。」
2.斥責或譏諷之詞。《紅樓夢》第二〇回：「鳳姐道：『虧你還是爺，輸了一二百錢就這樣！』」 |</v>
      </c>
    </row>
    <row r="5997" spans="1:44" hidden="1">
      <c r="A5997" s="1" t="s">
        <v>11253</v>
      </c>
      <c r="C5997" s="1">
        <v>1</v>
      </c>
      <c r="D5997" s="1" t="str">
        <f>"04616"</f>
        <v>04616</v>
      </c>
      <c r="E5997" s="1" t="s">
        <v>190</v>
      </c>
      <c r="F5997" s="1">
        <v>21</v>
      </c>
      <c r="G5997" s="1">
        <v>18</v>
      </c>
      <c r="H5997" s="1">
        <v>0</v>
      </c>
      <c r="I5997" s="1" t="s">
        <v>11240</v>
      </c>
      <c r="K5997" s="1" t="str">
        <f t="shared" si="382"/>
        <v>ㄎ</v>
      </c>
      <c r="L5997" s="1" t="str">
        <f t="shared" si="383"/>
        <v>ㄨ</v>
      </c>
      <c r="M5997" s="1" t="str">
        <f t="shared" si="386"/>
        <v>ㄟ</v>
      </c>
      <c r="P5997" s="1" t="s">
        <v>20</v>
      </c>
      <c r="R5997" s="1" t="s">
        <v>11241</v>
      </c>
      <c r="V5997" s="1" t="s">
        <v>11254</v>
      </c>
      <c r="AR5997" s="1" t="str">
        <f t="shared" si="384"/>
        <v>| [ㄎㄨㄟ](ㄎㄨㄟ.md) | [巋](巋.md) |  | kuī | [形]
小山羅列。《爾雅．釋山》：「小而眾，巋。」宋．邢昺．疏：「言山小而眾，叢萃羅列者名巋。」
[副]
高大堅固的樣子。《文選．王延壽．魯靈光殿賦．序》：「自西京未央建章之殿，皆見隳壞，而靈光巋然獨存。」宋．張載．注：「巋然，高大堅固貌也。」 |</v>
      </c>
    </row>
    <row r="5998" spans="1:44" hidden="1">
      <c r="A5998" s="1" t="s">
        <v>11255</v>
      </c>
      <c r="C5998" s="1">
        <v>1</v>
      </c>
      <c r="D5998" s="1" t="str">
        <f>"04617"</f>
        <v>04617</v>
      </c>
      <c r="E5998" s="1" t="s">
        <v>563</v>
      </c>
      <c r="F5998" s="1">
        <v>9</v>
      </c>
      <c r="G5998" s="1">
        <v>6</v>
      </c>
      <c r="H5998" s="1">
        <v>0</v>
      </c>
      <c r="I5998" s="1" t="s">
        <v>11256</v>
      </c>
      <c r="K5998" s="1" t="str">
        <f t="shared" si="382"/>
        <v>ㄎ</v>
      </c>
      <c r="L5998" s="1" t="str">
        <f t="shared" si="383"/>
        <v>ㄨ</v>
      </c>
      <c r="M5998" s="1" t="str">
        <f t="shared" si="386"/>
        <v>ㄟ</v>
      </c>
      <c r="P5998" s="1" t="s">
        <v>20</v>
      </c>
      <c r="R5998" s="1" t="s">
        <v>11257</v>
      </c>
      <c r="V5998" s="1" t="s">
        <v>11258</v>
      </c>
      <c r="AR5998" s="1" t="str">
        <f t="shared" si="384"/>
        <v>| [ㄎㄨㄟˊ](ㄎㄨㄟˊ.md) | [奎](奎.md) |  | kuí | [名]
1.兩條大腿之間。《說文解字．大部》：「奎，兩髀之閒。」《莊子．徐无鬼》：「奎蹄曲隈，乳閒股腳，自以為安室利處。」
2.星宿名。二十八星宿之一，為西方白虎七宿的第一宿。
3.星官名，奎宿之首，有星十六顆，在西方分屬雙魚與仙女座。《晉書．卷一一．天文志上》：「奎十六星，天之武庫也。一曰天豕，亦曰封豕。主以兵禁暴，又主溝瀆。」古人以為奎宿主文章，即文曲星，專司人間的文運。
[形]
關於文事的。如：「奎運」、「奎星高照」。 |</v>
      </c>
    </row>
    <row r="5999" spans="1:44" hidden="1">
      <c r="A5999" s="1" t="s">
        <v>11259</v>
      </c>
      <c r="C5999" s="1">
        <v>1</v>
      </c>
      <c r="D5999" s="1" t="str">
        <f>"04618"</f>
        <v>04618</v>
      </c>
      <c r="E5999" s="1" t="s">
        <v>10311</v>
      </c>
      <c r="F5999" s="1">
        <v>11</v>
      </c>
      <c r="G5999" s="1">
        <v>2</v>
      </c>
      <c r="H5999" s="1">
        <v>0</v>
      </c>
      <c r="I5999" s="1" t="s">
        <v>11256</v>
      </c>
      <c r="K5999" s="1" t="str">
        <f t="shared" si="382"/>
        <v>ㄎ</v>
      </c>
      <c r="L5999" s="1" t="str">
        <f t="shared" si="383"/>
        <v>ㄨ</v>
      </c>
      <c r="M5999" s="1" t="str">
        <f t="shared" si="386"/>
        <v>ㄟ</v>
      </c>
      <c r="P5999" s="1" t="s">
        <v>20</v>
      </c>
      <c r="R5999" s="1" t="s">
        <v>11257</v>
      </c>
      <c r="V5999" s="1" t="s">
        <v>11260</v>
      </c>
      <c r="AR5999" s="1" t="str">
        <f t="shared" si="384"/>
        <v>| [ㄎㄨㄟˊ](ㄎㄨㄟˊ.md) | [馗](馗.md) |  | kuí | [名]
1.四通八達的道路。同「逵」。《說文解字．九部》：「馗，九達道也。」《文選．鮑照．蕪城賦》：「崩榛塞路，崢嶸古馗。」
2.人名用字。如唐玄宗時有鍾馗。 |</v>
      </c>
    </row>
    <row r="6000" spans="1:44" hidden="1">
      <c r="A6000" s="1" t="s">
        <v>11261</v>
      </c>
      <c r="C6000" s="1">
        <v>1</v>
      </c>
      <c r="D6000" s="1" t="str">
        <f>"04619"</f>
        <v>04619</v>
      </c>
      <c r="E6000" s="1" t="s">
        <v>684</v>
      </c>
      <c r="F6000" s="1">
        <v>11</v>
      </c>
      <c r="G6000" s="1">
        <v>2</v>
      </c>
      <c r="H6000" s="1">
        <v>1</v>
      </c>
      <c r="I6000" s="1" t="s">
        <v>11256</v>
      </c>
      <c r="K6000" s="1" t="str">
        <f t="shared" si="382"/>
        <v>ㄎ</v>
      </c>
      <c r="L6000" s="1" t="str">
        <f t="shared" si="383"/>
        <v>ㄨ</v>
      </c>
      <c r="M6000" s="1" t="str">
        <f t="shared" si="386"/>
        <v>ㄟ</v>
      </c>
      <c r="P6000" s="1" t="s">
        <v>20</v>
      </c>
      <c r="R6000" s="1" t="s">
        <v>11257</v>
      </c>
      <c r="V6000" s="1" t="s">
        <v>11262</v>
      </c>
      <c r="W6000" s="1" t="s">
        <v>11263</v>
      </c>
      <c r="AR6000" s="1" t="str">
        <f t="shared" si="384"/>
        <v>| [ㄎㄨㄟˊ](ㄎㄨㄟˊ.md) | [頄](頄.md) |  | kuí | [名]
顴骨。《易經．夬卦．九三》：「壯于頄，有凶。」三國魏．王弼．注：「頄，面權也。」 |</v>
      </c>
    </row>
    <row r="6001" spans="1:44" hidden="1">
      <c r="A6001" s="1" t="s">
        <v>11264</v>
      </c>
      <c r="C6001" s="1">
        <v>1</v>
      </c>
      <c r="D6001" s="1" t="str">
        <f>"04620"</f>
        <v>04620</v>
      </c>
      <c r="E6001" s="1" t="s">
        <v>558</v>
      </c>
      <c r="F6001" s="1">
        <v>12</v>
      </c>
      <c r="G6001" s="1">
        <v>8</v>
      </c>
      <c r="H6001" s="1">
        <v>0</v>
      </c>
      <c r="I6001" s="1" t="s">
        <v>11256</v>
      </c>
      <c r="K6001" s="1" t="str">
        <f t="shared" si="382"/>
        <v>ㄎ</v>
      </c>
      <c r="L6001" s="1" t="str">
        <f t="shared" si="383"/>
        <v>ㄨ</v>
      </c>
      <c r="M6001" s="1" t="str">
        <f t="shared" si="386"/>
        <v>ㄟ</v>
      </c>
      <c r="P6001" s="1" t="s">
        <v>20</v>
      </c>
      <c r="R6001" s="1" t="s">
        <v>11257</v>
      </c>
      <c r="V6001" s="1" t="s">
        <v>11265</v>
      </c>
      <c r="AR6001" s="1" t="str">
        <f t="shared" si="384"/>
        <v>| [ㄎㄨㄟˊ](ㄎㄨㄟˊ.md) | [逵](逵.md) |  | kuí | [名]
1.四通八達的大道。《爾雅．釋宮》：「九達謂之逵。」晉．郭璞．注：「四道交出，復有旁通。」《詩經．周南．兔罝》：「肅肅兔罝，施于中逵。」漢．毛亨．傳：「逵，九達之道。」
2.水中可供交通的穴道。《山海經．中山經》：「（合水）多鰧魚，狀如鱖，居逵。」晉．郭璞．注：「逵，水中之穴道交通者。」《文選．郭璞．江賦》：「爰有包山洞庭，巴陵地道，潛逵傍通，幽岫窈窕。」 |</v>
      </c>
    </row>
    <row r="6002" spans="1:44" hidden="1">
      <c r="A6002" s="1" t="s">
        <v>11266</v>
      </c>
      <c r="C6002" s="1">
        <v>1</v>
      </c>
      <c r="D6002" s="1" t="str">
        <f>"04621"</f>
        <v>04621</v>
      </c>
      <c r="E6002" s="1" t="s">
        <v>24</v>
      </c>
      <c r="F6002" s="1">
        <v>12</v>
      </c>
      <c r="G6002" s="1">
        <v>9</v>
      </c>
      <c r="H6002" s="1">
        <v>1</v>
      </c>
      <c r="I6002" s="1" t="s">
        <v>11256</v>
      </c>
      <c r="K6002" s="1" t="str">
        <f t="shared" si="382"/>
        <v>ㄎ</v>
      </c>
      <c r="L6002" s="1" t="str">
        <f t="shared" si="383"/>
        <v>ㄨ</v>
      </c>
      <c r="M6002" s="1" t="str">
        <f t="shared" si="386"/>
        <v>ㄟ</v>
      </c>
      <c r="P6002" s="1" t="s">
        <v>20</v>
      </c>
      <c r="R6002" s="1" t="s">
        <v>11257</v>
      </c>
      <c r="V6002" s="1" t="s">
        <v>11267</v>
      </c>
      <c r="W6002" s="1" t="s">
        <v>11268</v>
      </c>
      <c r="AR6002" s="1" t="str">
        <f t="shared" si="384"/>
        <v>| [ㄎㄨㄟˊ](ㄎㄨㄟˊ.md) | [揆](揆.md) |  | kuí | [動]
1.揣測、審度。《說文解字．手部》：「揆，度也。」如：「揆其用心」、「揆情度理」。宋．歐陽修〈江鄰幾文集序〉：「余竊不自揆，少習為銘章，因得論次當世賢大夫功行。」清．多爾袞〈致史可法書〉：「揆諸情理，豈可謂平！」
2.掌管。《左傳．文公十八年》：「堯舉八愷使主后土，以揆百事，莫不時序，地平天成。」《遼史．卷三一．營衛志．序》：「其人土著而居綏服之中，外奮武衛，內揆文教，守在四邊。」
[名]
1.道理。《孟子．離婁下》：「先聖後聖，其揆一也。」唐．李白〈比干碑〉：「殊塗而一揆，異行而齊致。」
2.政事、事務。《書經．舜典》：「納于百揆，百揆時敘。」《後漢書．卷五九．張衡傳》：「百揆允當，庶績咸熙。」
3.統理國政的官員、職位。如古代稱宰相為「首揆」，近代則稱內閣總理或相當內閣總理的官職為「閣揆」。《晉書．卷一九．禮志上》：「桓溫居揆，政由己出。」 |</v>
      </c>
    </row>
    <row r="6003" spans="1:44" hidden="1">
      <c r="A6003" s="1" t="s">
        <v>11269</v>
      </c>
      <c r="C6003" s="1">
        <v>1</v>
      </c>
      <c r="D6003" s="1" t="str">
        <f>"04622"</f>
        <v>04622</v>
      </c>
      <c r="E6003" s="1" t="s">
        <v>37</v>
      </c>
      <c r="F6003" s="1">
        <v>13</v>
      </c>
      <c r="G6003" s="1">
        <v>9</v>
      </c>
      <c r="H6003" s="1">
        <v>0</v>
      </c>
      <c r="I6003" s="1" t="s">
        <v>11256</v>
      </c>
      <c r="K6003" s="1" t="str">
        <f t="shared" si="382"/>
        <v>ㄎ</v>
      </c>
      <c r="L6003" s="1" t="str">
        <f t="shared" si="383"/>
        <v>ㄨ</v>
      </c>
      <c r="M6003" s="1" t="str">
        <f t="shared" si="386"/>
        <v>ㄟ</v>
      </c>
      <c r="P6003" s="1" t="s">
        <v>20</v>
      </c>
      <c r="R6003" s="1" t="s">
        <v>11257</v>
      </c>
      <c r="V6003" s="1" t="s">
        <v>11270</v>
      </c>
      <c r="AR6003" s="1" t="str">
        <f t="shared" si="384"/>
        <v>| [ㄎㄨㄟˊ](ㄎㄨㄟˊ.md) | [葵](葵.md) |  | kuí | [名]
1.參見「向日葵」、「蒲葵」、「菟葵」等條。
2.姓。如宋代有葵方，明代有葵弘宇。
[動]
揣測、測度。通「揆」。《詩經．小雅．采菽》：「樂只君子，天子葵之。」唐．孔穎達．正義：「諸侯天子於揆度其功德之多少而命賜之以禮樂。」 |</v>
      </c>
    </row>
    <row r="6004" spans="1:44" hidden="1">
      <c r="A6004" s="1" t="s">
        <v>11271</v>
      </c>
      <c r="C6004" s="1">
        <v>1</v>
      </c>
      <c r="D6004" s="1" t="str">
        <f>"04623"</f>
        <v>04623</v>
      </c>
      <c r="E6004" s="1" t="s">
        <v>646</v>
      </c>
      <c r="F6004" s="1">
        <v>13</v>
      </c>
      <c r="G6004" s="1">
        <v>9</v>
      </c>
      <c r="H6004" s="1">
        <v>0</v>
      </c>
      <c r="I6004" s="1" t="s">
        <v>11256</v>
      </c>
      <c r="K6004" s="1" t="str">
        <f t="shared" si="382"/>
        <v>ㄎ</v>
      </c>
      <c r="L6004" s="1" t="str">
        <f t="shared" si="383"/>
        <v>ㄨ</v>
      </c>
      <c r="M6004" s="1" t="str">
        <f t="shared" si="386"/>
        <v>ㄟ</v>
      </c>
      <c r="P6004" s="1" t="s">
        <v>20</v>
      </c>
      <c r="R6004" s="1" t="s">
        <v>11257</v>
      </c>
      <c r="V6004" s="1" t="s">
        <v>11272</v>
      </c>
      <c r="AR6004" s="1" t="str">
        <f t="shared" si="384"/>
        <v>| [ㄎㄨㄟˊ](ㄎㄨㄟˊ.md) | [暌](暌.md) |  | kuí | [動]
分開、離別。如：「日月相暌」、「暌違已久」。宋．蘇軾〈續歐陽子朋黨論〉：「疏者易間，而親者難暌也。」 |</v>
      </c>
    </row>
    <row r="6005" spans="1:44" hidden="1">
      <c r="A6005" s="1" t="s">
        <v>11273</v>
      </c>
      <c r="C6005" s="1">
        <v>1</v>
      </c>
      <c r="D6005" s="1" t="str">
        <f>"04624"</f>
        <v>04624</v>
      </c>
      <c r="E6005" s="1" t="s">
        <v>4785</v>
      </c>
      <c r="F6005" s="1">
        <v>13</v>
      </c>
      <c r="G6005" s="1">
        <v>9</v>
      </c>
      <c r="H6005" s="1">
        <v>0</v>
      </c>
      <c r="I6005" s="1" t="s">
        <v>11256</v>
      </c>
      <c r="K6005" s="1" t="str">
        <f t="shared" si="382"/>
        <v>ㄎ</v>
      </c>
      <c r="L6005" s="1" t="str">
        <f t="shared" si="383"/>
        <v>ㄨ</v>
      </c>
      <c r="M6005" s="1" t="str">
        <f t="shared" si="386"/>
        <v>ㄟ</v>
      </c>
      <c r="P6005" s="1" t="s">
        <v>20</v>
      </c>
      <c r="R6005" s="1" t="s">
        <v>11257</v>
      </c>
      <c r="V6005" s="1" t="s">
        <v>11274</v>
      </c>
      <c r="AR6005" s="1" t="str">
        <f t="shared" si="384"/>
        <v>| [ㄎㄨㄟˊ](ㄎㄨㄟˊ.md) | [戣](戣.md) |  | kuí | [名]
武器名。古代形狀像戟的兵器。《廣韻．平聲．脂韻》：「戣，兵器，戟屬。」《書經．顧命》：「一人冕，執戣，立于東垂；一人冕，執瞿，立于西垂。」唐．孔穎達．正義：「戣、瞿，皆戟屬。」 |</v>
      </c>
    </row>
    <row r="6006" spans="1:44" hidden="1">
      <c r="A6006" s="1" t="s">
        <v>11275</v>
      </c>
      <c r="C6006" s="1">
        <v>1</v>
      </c>
      <c r="D6006" s="1" t="str">
        <f>"04625"</f>
        <v>04625</v>
      </c>
      <c r="E6006" s="1" t="s">
        <v>1015</v>
      </c>
      <c r="F6006" s="1">
        <v>14</v>
      </c>
      <c r="G6006" s="1">
        <v>9</v>
      </c>
      <c r="H6006" s="1">
        <v>0</v>
      </c>
      <c r="I6006" s="1" t="s">
        <v>11256</v>
      </c>
      <c r="K6006" s="1" t="str">
        <f t="shared" si="382"/>
        <v>ㄎ</v>
      </c>
      <c r="L6006" s="1" t="str">
        <f t="shared" si="383"/>
        <v>ㄨ</v>
      </c>
      <c r="M6006" s="1" t="str">
        <f t="shared" si="386"/>
        <v>ㄟ</v>
      </c>
      <c r="P6006" s="1" t="s">
        <v>20</v>
      </c>
      <c r="R6006" s="1" t="s">
        <v>11257</v>
      </c>
      <c r="V6006" s="1" t="s">
        <v>11276</v>
      </c>
      <c r="AR6006" s="1" t="str">
        <f t="shared" si="384"/>
        <v>| [ㄎㄨㄟˊ](ㄎㄨㄟˊ.md) | [睽](睽.md) |  | kuí | [動]
乖違、別離、分開。同「暌」。《玉篇．目部》：「睽，乖也。」《莊子．天運》：「三皇之知，上悖日月之明，下睽山川之精，中墮四時之施。」唐．成玄英．疏：「睽，離也。」
[形]
張目注視的樣子。參見「睽睽」條。
[名]
《易經》卦名。六十四卦之一。兌（☱）下離（☲）上。象睽違乖異之義。 |</v>
      </c>
    </row>
    <row r="6007" spans="1:44" hidden="1">
      <c r="A6007" s="1" t="s">
        <v>11277</v>
      </c>
      <c r="C6007" s="1">
        <v>1</v>
      </c>
      <c r="D6007" s="1" t="str">
        <f>"04626"</f>
        <v>04626</v>
      </c>
      <c r="E6007" s="1" t="s">
        <v>319</v>
      </c>
      <c r="F6007" s="1">
        <v>19</v>
      </c>
      <c r="G6007" s="1">
        <v>9</v>
      </c>
      <c r="H6007" s="1">
        <v>0</v>
      </c>
      <c r="I6007" s="1" t="s">
        <v>11256</v>
      </c>
      <c r="K6007" s="1" t="str">
        <f t="shared" si="382"/>
        <v>ㄎ</v>
      </c>
      <c r="L6007" s="1" t="str">
        <f t="shared" si="383"/>
        <v>ㄨ</v>
      </c>
      <c r="M6007" s="1" t="str">
        <f t="shared" si="386"/>
        <v>ㄟ</v>
      </c>
      <c r="P6007" s="1" t="s">
        <v>20</v>
      </c>
      <c r="R6007" s="1" t="s">
        <v>11257</v>
      </c>
      <c r="V6007" s="1" t="s">
        <v>11278</v>
      </c>
      <c r="AR6007" s="1" t="str">
        <f t="shared" si="384"/>
        <v>| [ㄎㄨㄟˊ](ㄎㄨㄟˊ.md) | [騤](騤.md) |  | kuí | 參見「騤騤」條。 |</v>
      </c>
    </row>
    <row r="6008" spans="1:44" hidden="1">
      <c r="A6008" s="1" t="s">
        <v>11279</v>
      </c>
      <c r="C6008" s="1">
        <v>1</v>
      </c>
      <c r="D6008" s="1" t="str">
        <f>"04627"</f>
        <v>04627</v>
      </c>
      <c r="E6008" s="1" t="s">
        <v>83</v>
      </c>
      <c r="F6008" s="1">
        <v>14</v>
      </c>
      <c r="G6008" s="1">
        <v>4</v>
      </c>
      <c r="H6008" s="1">
        <v>0</v>
      </c>
      <c r="I6008" s="1" t="s">
        <v>11256</v>
      </c>
      <c r="K6008" s="1" t="str">
        <f t="shared" si="382"/>
        <v>ㄎ</v>
      </c>
      <c r="L6008" s="1" t="str">
        <f t="shared" si="383"/>
        <v>ㄨ</v>
      </c>
      <c r="M6008" s="1" t="str">
        <f t="shared" si="386"/>
        <v>ㄟ</v>
      </c>
      <c r="P6008" s="1" t="s">
        <v>20</v>
      </c>
      <c r="R6008" s="1" t="s">
        <v>11257</v>
      </c>
      <c r="V6008" s="1" t="s">
        <v>11280</v>
      </c>
      <c r="AR6008" s="1" t="str">
        <f t="shared" si="384"/>
        <v>| [ㄎㄨㄟˊ](ㄎㄨㄟˊ.md) | [魁](魁.md) |  | kuí | [名]
1.湯勺，舀湯的器具。《說文解字．斗部》：「魁，羹斗也。」晉．郭璞〈易洞林〉：「太子洗馬荀子驥家中以龍銅魁作食欻鳴。」
2.為首、帶頭的人。如：「文魁」、「花魁」、「罪魁禍首」。《漢書．卷九二．游俠傳．序》：「及王莽時，諸公之間陳遵為雄，閭里之俠原涉為魁。」清．魏禧〈大鐵椎傳〉：「眾魁請長其群，吾又不許，是以讎我。」
3.明代科舉分五經取士，每一經的首選人稱為「經魁」，五位經魁簡稱為「五魁」，後稱考試或比賽得到第一名為「奪魁」。
4.姓。如明代有魁倫。
[形]
高大強壯。如：「魁偉」、「魁岸」、「魁梧」。唐．柳宗元〈牛賦〉：「牛之為物，魁形巨首。」 |</v>
      </c>
    </row>
    <row r="6009" spans="1:44" hidden="1">
      <c r="A6009" s="1" t="s">
        <v>11281</v>
      </c>
      <c r="C6009" s="1">
        <v>1</v>
      </c>
      <c r="D6009" s="1" t="str">
        <f>"04628"</f>
        <v>04628</v>
      </c>
      <c r="E6009" s="1" t="s">
        <v>139</v>
      </c>
      <c r="F6009" s="1">
        <v>18</v>
      </c>
      <c r="G6009" s="1">
        <v>14</v>
      </c>
      <c r="H6009" s="1">
        <v>0</v>
      </c>
      <c r="I6009" s="1" t="s">
        <v>11256</v>
      </c>
      <c r="K6009" s="1" t="str">
        <f t="shared" si="382"/>
        <v>ㄎ</v>
      </c>
      <c r="L6009" s="1" t="str">
        <f t="shared" si="383"/>
        <v>ㄨ</v>
      </c>
      <c r="M6009" s="1" t="str">
        <f t="shared" si="386"/>
        <v>ㄟ</v>
      </c>
      <c r="P6009" s="1" t="s">
        <v>20</v>
      </c>
      <c r="R6009" s="1" t="s">
        <v>11257</v>
      </c>
      <c r="V6009" s="1" t="s">
        <v>11282</v>
      </c>
      <c r="AR6009" s="1" t="str">
        <f t="shared" si="384"/>
        <v>| [ㄎㄨㄟˊ](ㄎㄨㄟˊ.md) | [櫆](櫆.md) |  | kuí | [名]
湯匙。同「魁」。《集韻．平聲．灰韻》：「魁，《說文》：『羹斗也。』或從木。」 |</v>
      </c>
    </row>
    <row r="6010" spans="1:44" hidden="1">
      <c r="A6010" s="1" t="s">
        <v>11283</v>
      </c>
      <c r="C6010" s="1">
        <v>1</v>
      </c>
      <c r="D6010" s="1" t="str">
        <f>"04629"</f>
        <v>04629</v>
      </c>
      <c r="E6010" s="1" t="s">
        <v>684</v>
      </c>
      <c r="F6010" s="1">
        <v>16</v>
      </c>
      <c r="G6010" s="1">
        <v>7</v>
      </c>
      <c r="H6010" s="1">
        <v>0</v>
      </c>
      <c r="I6010" s="1" t="s">
        <v>11256</v>
      </c>
      <c r="K6010" s="1" t="str">
        <f t="shared" si="382"/>
        <v>ㄎ</v>
      </c>
      <c r="L6010" s="1" t="str">
        <f t="shared" si="383"/>
        <v>ㄨ</v>
      </c>
      <c r="M6010" s="1" t="str">
        <f t="shared" si="386"/>
        <v>ㄟ</v>
      </c>
      <c r="P6010" s="1" t="s">
        <v>20</v>
      </c>
      <c r="R6010" s="1" t="s">
        <v>11257</v>
      </c>
      <c r="V6010" s="1" t="s">
        <v>11284</v>
      </c>
      <c r="AR6010" s="1" t="str">
        <f t="shared" si="384"/>
        <v>| [ㄎㄨㄟˊ](ㄎㄨㄟˊ.md) | [頯](頯.md) |  | kuí | [名]
顴骨、面骨。《說文解字．頁部》：「頯，權也。」清．段玉裁．注：「權者，今之顴字。」
[形]
額頭高露。《莊子．天道》：「而目衝然，而顙頯然，而口闞然，而狀義然，似繫馬而止也。」唐．成玄英．疏：「顙額高亢，顯露華飾。」 |</v>
      </c>
    </row>
    <row r="6011" spans="1:44" hidden="1">
      <c r="A6011" s="1" t="s">
        <v>11285</v>
      </c>
      <c r="C6011" s="1">
        <v>1</v>
      </c>
      <c r="D6011" s="1" t="str">
        <f>"04630"</f>
        <v>04630</v>
      </c>
      <c r="E6011" s="1" t="s">
        <v>3981</v>
      </c>
      <c r="F6011" s="1">
        <v>21</v>
      </c>
      <c r="G6011" s="1">
        <v>18</v>
      </c>
      <c r="H6011" s="1">
        <v>0</v>
      </c>
      <c r="I6011" s="1" t="s">
        <v>11256</v>
      </c>
      <c r="K6011" s="1" t="str">
        <f t="shared" si="382"/>
        <v>ㄎ</v>
      </c>
      <c r="L6011" s="1" t="str">
        <f t="shared" si="383"/>
        <v>ㄨ</v>
      </c>
      <c r="M6011" s="1" t="str">
        <f t="shared" si="386"/>
        <v>ㄟ</v>
      </c>
      <c r="P6011" s="1" t="s">
        <v>20</v>
      </c>
      <c r="R6011" s="1" t="s">
        <v>11257</v>
      </c>
      <c r="V6011" s="1" t="s">
        <v>11286</v>
      </c>
      <c r="AR6011" s="1" t="str">
        <f t="shared" si="384"/>
        <v>| [ㄎㄨㄟˊ](ㄎㄨㄟˊ.md) | [夔](夔.md) |  | kuí | [名]
1.一種傳說中的怪獸。外形像龍，僅有一足。見《山海經．大荒東經》。《莊子．達生》：「山有夔，野有彷徨，澤有委蛇。」《文選．張衡．東京賦》：「殘夔魖與罔像。」三國吳．薛綜．注：「夔，木石之怪，如龍，有角，鱗甲光如日月，見則其邑大旱。」
2.人名。堯、舜時的樂官。《書經．舜典》：「帝曰：『夔，命汝典樂，教胄子。』」《禮記．樂記》：「昔者，舜作五弦之琴，以歌南風，夔始制樂，以賞諸侯。」漢．鄭玄．注：「夔，舜時典樂者也。」
3.國名。周代時所建，後為楚所滅。故址在今大陸地區湖北省秭歸縣東。也稱為「隗國」、「歸國」。
4.地名。唐武德二年改信州為夔州，故城在今大陸地區四川省奉節縣。宋代改為路，明初改為府，轄境在今大陸地區四川、湖北省一帶。
5.姓。周代楚君熊摯自棄於夔，其後子孫以地為氏。 |</v>
      </c>
    </row>
    <row r="6012" spans="1:44" hidden="1">
      <c r="A6012" s="1" t="s">
        <v>11266</v>
      </c>
      <c r="C6012" s="1">
        <v>1</v>
      </c>
      <c r="D6012" s="1" t="str">
        <f>"04631"</f>
        <v>04631</v>
      </c>
      <c r="E6012" s="1" t="s">
        <v>24</v>
      </c>
      <c r="F6012" s="1">
        <v>12</v>
      </c>
      <c r="G6012" s="1">
        <v>9</v>
      </c>
      <c r="H6012" s="1">
        <v>2</v>
      </c>
      <c r="I6012" s="1" t="s">
        <v>11287</v>
      </c>
      <c r="K6012" s="1" t="str">
        <f t="shared" si="382"/>
        <v>ㄎ</v>
      </c>
      <c r="L6012" s="1" t="str">
        <f t="shared" si="383"/>
        <v>ㄨ</v>
      </c>
      <c r="M6012" s="1" t="str">
        <f t="shared" si="386"/>
        <v>ㄟ</v>
      </c>
      <c r="P6012" s="1" t="s">
        <v>110</v>
      </c>
      <c r="R6012" s="1" t="s">
        <v>11288</v>
      </c>
      <c r="V6012" s="1" t="s">
        <v>111</v>
      </c>
      <c r="W6012" s="1" t="s">
        <v>11289</v>
      </c>
      <c r="AR6012" s="1" t="str">
        <f t="shared" si="384"/>
        <v>| [ㄎㄨㄟˇ](ㄎㄨㄟˇ.md) | [揆](揆.md) |  | kuǐ | (一)之又音。 |</v>
      </c>
    </row>
    <row r="6013" spans="1:44" hidden="1">
      <c r="A6013" s="1" t="s">
        <v>10397</v>
      </c>
      <c r="C6013" s="1">
        <v>1</v>
      </c>
      <c r="D6013" s="1" t="str">
        <f>"04632"</f>
        <v>04632</v>
      </c>
      <c r="E6013" s="1" t="s">
        <v>114</v>
      </c>
      <c r="F6013" s="1">
        <v>12</v>
      </c>
      <c r="G6013" s="1">
        <v>10</v>
      </c>
      <c r="H6013" s="1">
        <v>1</v>
      </c>
      <c r="I6013" s="1" t="s">
        <v>11287</v>
      </c>
      <c r="K6013" s="1" t="str">
        <f t="shared" si="382"/>
        <v>ㄎ</v>
      </c>
      <c r="L6013" s="1" t="str">
        <f t="shared" si="383"/>
        <v>ㄨ</v>
      </c>
      <c r="M6013" s="1" t="str">
        <f t="shared" si="386"/>
        <v>ㄟ</v>
      </c>
      <c r="P6013" s="1" t="s">
        <v>20</v>
      </c>
      <c r="R6013" s="1" t="s">
        <v>11288</v>
      </c>
      <c r="V6013" s="1" t="s">
        <v>11290</v>
      </c>
      <c r="W6013" s="1" t="s">
        <v>11291</v>
      </c>
      <c r="AR6013" s="1" t="str">
        <f t="shared" si="384"/>
        <v>| [ㄎㄨㄟˇ](ㄎㄨㄟˇ.md) | [傀](傀.md) |  | kuǐ | 參見「傀儡」條。 |</v>
      </c>
    </row>
    <row r="6014" spans="1:44" hidden="1">
      <c r="A6014" s="1" t="s">
        <v>11292</v>
      </c>
      <c r="C6014" s="1">
        <v>1</v>
      </c>
      <c r="D6014" s="1" t="str">
        <f>"04633"</f>
        <v>04633</v>
      </c>
      <c r="E6014" s="1" t="s">
        <v>169</v>
      </c>
      <c r="F6014" s="1">
        <v>15</v>
      </c>
      <c r="G6014" s="1">
        <v>10</v>
      </c>
      <c r="H6014" s="1">
        <v>0</v>
      </c>
      <c r="I6014" s="1" t="s">
        <v>11287</v>
      </c>
      <c r="K6014" s="1" t="str">
        <f t="shared" si="382"/>
        <v>ㄎ</v>
      </c>
      <c r="L6014" s="1" t="str">
        <f t="shared" si="383"/>
        <v>ㄨ</v>
      </c>
      <c r="M6014" s="1" t="str">
        <f t="shared" si="386"/>
        <v>ㄟ</v>
      </c>
      <c r="P6014" s="1" t="s">
        <v>20</v>
      </c>
      <c r="R6014" s="1" t="s">
        <v>11288</v>
      </c>
      <c r="V6014" s="1" t="s">
        <v>11293</v>
      </c>
      <c r="AR6014" s="1" t="str">
        <f t="shared" si="384"/>
        <v>| [ㄎㄨㄟˇ](ㄎㄨㄟˇ.md) | [磈](磈.md) |  | kuǐ | 參見「磈磊」條。 |</v>
      </c>
    </row>
    <row r="6015" spans="1:44" hidden="1">
      <c r="A6015" s="1" t="s">
        <v>11294</v>
      </c>
      <c r="C6015" s="1">
        <v>1</v>
      </c>
      <c r="D6015" s="1" t="str">
        <f>"04634"</f>
        <v>04634</v>
      </c>
      <c r="E6015" s="1" t="s">
        <v>684</v>
      </c>
      <c r="F6015" s="1">
        <v>13</v>
      </c>
      <c r="G6015" s="1">
        <v>4</v>
      </c>
      <c r="H6015" s="1">
        <v>0</v>
      </c>
      <c r="I6015" s="1" t="s">
        <v>11287</v>
      </c>
      <c r="K6015" s="1" t="str">
        <f t="shared" si="382"/>
        <v>ㄎ</v>
      </c>
      <c r="L6015" s="1" t="str">
        <f t="shared" si="383"/>
        <v>ㄨ</v>
      </c>
      <c r="M6015" s="1" t="str">
        <f t="shared" si="386"/>
        <v>ㄟ</v>
      </c>
      <c r="P6015" s="1" t="s">
        <v>20</v>
      </c>
      <c r="R6015" s="1" t="s">
        <v>11288</v>
      </c>
      <c r="V6015" s="1" t="s">
        <v>11295</v>
      </c>
      <c r="AR6015" s="1" t="str">
        <f t="shared" si="384"/>
        <v>| [ㄎㄨㄟˇ](ㄎㄨㄟˇ.md) | [頍](頍.md) |  | kuǐ | [動]
抬起頭來。《說文解字．頁部》：「頍，舉頭也。」
[名]
古代用來束髮，固定頭冠的髮飾。《續漢書志．第三〇．輿服志下》：「古者有冠無幘，其戴也，加首有頍，所以安物。」 |</v>
      </c>
    </row>
    <row r="6016" spans="1:44" hidden="1">
      <c r="A6016" s="1" t="s">
        <v>11296</v>
      </c>
      <c r="C6016" s="1">
        <v>1</v>
      </c>
      <c r="D6016" s="1" t="str">
        <f>"04635"</f>
        <v>04635</v>
      </c>
      <c r="E6016" s="1" t="s">
        <v>77</v>
      </c>
      <c r="F6016" s="1">
        <v>18</v>
      </c>
      <c r="G6016" s="1">
        <v>11</v>
      </c>
      <c r="H6016" s="1">
        <v>0</v>
      </c>
      <c r="I6016" s="1" t="s">
        <v>11287</v>
      </c>
      <c r="K6016" s="1" t="str">
        <f t="shared" si="382"/>
        <v>ㄎ</v>
      </c>
      <c r="L6016" s="1" t="str">
        <f t="shared" si="383"/>
        <v>ㄨ</v>
      </c>
      <c r="M6016" s="1" t="str">
        <f t="shared" si="386"/>
        <v>ㄟ</v>
      </c>
      <c r="P6016" s="1" t="s">
        <v>20</v>
      </c>
      <c r="R6016" s="1" t="s">
        <v>11288</v>
      </c>
      <c r="V6016" s="1" t="s">
        <v>11297</v>
      </c>
      <c r="AR6016" s="1" t="str">
        <f t="shared" si="384"/>
        <v>| [ㄎㄨㄟˇ](ㄎㄨㄟˇ.md) | [蹞](蹞.md) |  | kuǐ | [名]
半步。同「跬」。《荀子．勸學》：「故不積蹞步，無以至千里。」唐．楊倞．注：「半步曰蹞，蹞與跬同。」 |</v>
      </c>
    </row>
    <row r="6017" spans="1:44" hidden="1">
      <c r="A6017" s="1" t="s">
        <v>11298</v>
      </c>
      <c r="C6017" s="1">
        <v>1</v>
      </c>
      <c r="D6017" s="1" t="str">
        <f>"04636"</f>
        <v>04636</v>
      </c>
      <c r="E6017" s="1" t="s">
        <v>77</v>
      </c>
      <c r="F6017" s="1">
        <v>13</v>
      </c>
      <c r="G6017" s="1">
        <v>6</v>
      </c>
      <c r="H6017" s="1">
        <v>0</v>
      </c>
      <c r="I6017" s="1" t="s">
        <v>11287</v>
      </c>
      <c r="K6017" s="1" t="str">
        <f t="shared" ref="K6017:K6080" si="387">LEFT(I6017, 1)</f>
        <v>ㄎ</v>
      </c>
      <c r="L6017" s="1" t="str">
        <f t="shared" ref="L6017:L6080" si="388">MID(I6017, 2, 1)</f>
        <v>ㄨ</v>
      </c>
      <c r="M6017" s="1" t="str">
        <f t="shared" si="386"/>
        <v>ㄟ</v>
      </c>
      <c r="P6017" s="1" t="s">
        <v>20</v>
      </c>
      <c r="R6017" s="1" t="s">
        <v>11288</v>
      </c>
      <c r="V6017" s="1" t="s">
        <v>11299</v>
      </c>
      <c r="AR6017" s="1" t="str">
        <f t="shared" si="384"/>
        <v>| [ㄎㄨㄟˇ](ㄎㄨㄟˇ.md) | [跬](跬.md) |  | kuǐ | [名]
半步，一舉足的距離。走路時一腳向前踏下稱為「跬」，另一腳再向前踏稱為「步」。《小爾雅．廣度》：「跬，一舉足也；倍跬謂之步。」漢．賈誼《新書．卷二．審微》：「故墨子見衢路而哭之，悲一跬而繆千里也。」《新唐書．卷八五．竇建德傳》：「會大霧晝冥，跬不可視。」 |</v>
      </c>
    </row>
    <row r="6018" spans="1:44" hidden="1">
      <c r="A6018" s="1" t="s">
        <v>11300</v>
      </c>
      <c r="C6018" s="1">
        <v>1</v>
      </c>
      <c r="D6018" s="1" t="str">
        <f>"04637"</f>
        <v>04637</v>
      </c>
      <c r="E6018" s="1" t="s">
        <v>28</v>
      </c>
      <c r="F6018" s="1">
        <v>12</v>
      </c>
      <c r="G6018" s="1">
        <v>9</v>
      </c>
      <c r="H6018" s="1">
        <v>0</v>
      </c>
      <c r="I6018" s="1" t="s">
        <v>11301</v>
      </c>
      <c r="K6018" s="1" t="str">
        <f t="shared" si="387"/>
        <v>ㄎ</v>
      </c>
      <c r="L6018" s="1" t="str">
        <f t="shared" si="388"/>
        <v>ㄨ</v>
      </c>
      <c r="M6018" s="1" t="str">
        <f t="shared" si="386"/>
        <v>ㄟ</v>
      </c>
      <c r="P6018" s="1" t="s">
        <v>20</v>
      </c>
      <c r="R6018" s="1" t="s">
        <v>11302</v>
      </c>
      <c r="V6018" s="1" t="s">
        <v>11303</v>
      </c>
      <c r="AR6018" s="1" t="str">
        <f t="shared" si="384"/>
        <v>| [ㄎㄨㄟˋ](ㄎㄨㄟˋ.md) | [喟](喟.md) |  | kuì | [副]
嘆息、嘆氣的樣子。《論語．先進》：「夫子喟然歎曰：『吾與點也！』」 |</v>
      </c>
    </row>
    <row r="6019" spans="1:44" hidden="1">
      <c r="A6019" s="1" t="s">
        <v>11304</v>
      </c>
      <c r="C6019" s="1">
        <v>1</v>
      </c>
      <c r="D6019" s="1" t="str">
        <f>"04638"</f>
        <v>04638</v>
      </c>
      <c r="E6019" s="1" t="s">
        <v>250</v>
      </c>
      <c r="F6019" s="1">
        <v>13</v>
      </c>
      <c r="G6019" s="1">
        <v>10</v>
      </c>
      <c r="H6019" s="1">
        <v>0</v>
      </c>
      <c r="I6019" s="1" t="s">
        <v>11301</v>
      </c>
      <c r="K6019" s="1" t="str">
        <f t="shared" si="387"/>
        <v>ㄎ</v>
      </c>
      <c r="L6019" s="1" t="str">
        <f t="shared" si="388"/>
        <v>ㄨ</v>
      </c>
      <c r="M6019" s="1" t="str">
        <f t="shared" si="386"/>
        <v>ㄟ</v>
      </c>
      <c r="P6019" s="1" t="s">
        <v>20</v>
      </c>
      <c r="R6019" s="1" t="s">
        <v>11302</v>
      </c>
      <c r="V6019" s="1" t="s">
        <v>11305</v>
      </c>
      <c r="AR6019" s="1" t="str">
        <f t="shared" ref="AR6019:AR6082" si="389">"| ["&amp;I6019&amp;"]("&amp;I6019&amp;".md) | ["&amp;A6019&amp;"]("&amp;A6019&amp;".md) | "&amp;" | "&amp;R6019&amp;" | "&amp;V6019&amp;" |"</f>
        <v>| [ㄎㄨㄟˋ](ㄎㄨㄟˋ.md) | [愧](愧.md) |  | kuì | [動]
1.因理虧或做錯事，而感到難為情。如：「慚愧」、「愧不敢當」。唐．杜甫〈自京赴奉先縣詠懷五百字〉詩：「所愧為人父，無食致夭折。」明．宋濂〈秦士錄〉：「兩生素負多才藝，聞弼言，大愧，下樓足不得成步。」
2.辱人而使之感到羞慚。《禮記．表記》：「是故君子不以其所能者病人，不以人之所不能者愧人。」《後漢書．卷二四．馬援傳》：「季孟嘗折愧子陽而不受其爵。」
3.辜負、對不起。清．方苞〈左忠毅公軼事〉：「吾上恐負朝廷，下恐愧吾師也。」
[形]
羞慚。如：「面有愧色」。 |</v>
      </c>
    </row>
    <row r="6020" spans="1:44" hidden="1">
      <c r="A6020" s="1" t="s">
        <v>11306</v>
      </c>
      <c r="C6020" s="1">
        <v>1</v>
      </c>
      <c r="D6020" s="1" t="str">
        <f>"04639"</f>
        <v>04639</v>
      </c>
      <c r="E6020" s="1" t="s">
        <v>193</v>
      </c>
      <c r="F6020" s="1">
        <v>18</v>
      </c>
      <c r="G6020" s="1">
        <v>10</v>
      </c>
      <c r="H6020" s="1">
        <v>0</v>
      </c>
      <c r="I6020" s="1" t="s">
        <v>11301</v>
      </c>
      <c r="K6020" s="1" t="str">
        <f t="shared" si="387"/>
        <v>ㄎ</v>
      </c>
      <c r="L6020" s="1" t="str">
        <f t="shared" si="388"/>
        <v>ㄨ</v>
      </c>
      <c r="M6020" s="1" t="str">
        <f t="shared" ref="M6020:M6051" si="390">MID(I6020, 3, 1)</f>
        <v>ㄟ</v>
      </c>
      <c r="P6020" s="1" t="s">
        <v>20</v>
      </c>
      <c r="R6020" s="1" t="s">
        <v>11302</v>
      </c>
      <c r="V6020" s="1" t="s">
        <v>11307</v>
      </c>
      <c r="AR6020" s="1" t="str">
        <f t="shared" si="389"/>
        <v>| [ㄎㄨㄟˋ](ㄎㄨㄟˋ.md) | [餽](餽.md) |  | kuì | [名]
1.古代對鬼神的祭祀稱為「餽」。《說文解字．食部》：「餽，吳人謂祭曰餽。」
2.姓。如春秋時晉國有餽閒倫。
[動]
贈送。通「饋」。如：「餽贈」。《孟子．公孫丑下》：「前日於齊，王餽兼金一百而不受。」漢．賈誼〈說積貯〉：「卒然邊境有急，數千百萬之眾，國胡以餽之。」 |</v>
      </c>
    </row>
    <row r="6021" spans="1:44" hidden="1">
      <c r="A6021" s="1" t="s">
        <v>10457</v>
      </c>
      <c r="C6021" s="1">
        <v>1</v>
      </c>
      <c r="D6021" s="1" t="str">
        <f>"04640"</f>
        <v>04640</v>
      </c>
      <c r="E6021" s="1" t="s">
        <v>3892</v>
      </c>
      <c r="F6021" s="1">
        <v>14</v>
      </c>
      <c r="G6021" s="1">
        <v>12</v>
      </c>
      <c r="H6021" s="1">
        <v>1</v>
      </c>
      <c r="I6021" s="1" t="s">
        <v>11301</v>
      </c>
      <c r="K6021" s="1" t="str">
        <f t="shared" si="387"/>
        <v>ㄎ</v>
      </c>
      <c r="L6021" s="1" t="str">
        <f t="shared" si="388"/>
        <v>ㄨ</v>
      </c>
      <c r="M6021" s="1" t="str">
        <f t="shared" si="390"/>
        <v>ㄟ</v>
      </c>
      <c r="P6021" s="1" t="s">
        <v>20</v>
      </c>
      <c r="R6021" s="1" t="s">
        <v>11302</v>
      </c>
      <c r="V6021" s="1" t="s">
        <v>11308</v>
      </c>
      <c r="W6021" s="1" t="s">
        <v>11309</v>
      </c>
      <c r="AR6021" s="1" t="str">
        <f t="shared" si="389"/>
        <v>| [ㄎㄨㄟˋ](ㄎㄨㄟˋ.md) | [匱](匱.md) |  | kuì | [動]
缺乏、竭盡。如：「匱乏」。《詩經．大雅．既醉》：「孝子不匱，永錫爾類。」《呂氏春秋．孝行覽．長攻》：「財匱而民恐，悔無及也。」 |</v>
      </c>
    </row>
    <row r="6022" spans="1:44" hidden="1">
      <c r="A6022" s="1" t="s">
        <v>11310</v>
      </c>
      <c r="C6022" s="1">
        <v>1</v>
      </c>
      <c r="D6022" s="1" t="str">
        <f>"04641"</f>
        <v>04641</v>
      </c>
      <c r="E6022" s="1" t="s">
        <v>129</v>
      </c>
      <c r="F6022" s="1">
        <v>15</v>
      </c>
      <c r="G6022" s="1">
        <v>12</v>
      </c>
      <c r="H6022" s="1">
        <v>1</v>
      </c>
      <c r="I6022" s="1" t="s">
        <v>11301</v>
      </c>
      <c r="K6022" s="1" t="str">
        <f t="shared" si="387"/>
        <v>ㄎ</v>
      </c>
      <c r="L6022" s="1" t="str">
        <f t="shared" si="388"/>
        <v>ㄨ</v>
      </c>
      <c r="M6022" s="1" t="str">
        <f t="shared" si="390"/>
        <v>ㄟ</v>
      </c>
      <c r="P6022" s="1" t="s">
        <v>20</v>
      </c>
      <c r="R6022" s="1" t="s">
        <v>11302</v>
      </c>
      <c r="V6022" s="1" t="s">
        <v>11311</v>
      </c>
      <c r="W6022" s="1" t="s">
        <v>11312</v>
      </c>
      <c r="AR6022" s="1" t="str">
        <f t="shared" si="389"/>
        <v>| [ㄎㄨㄟˋ](ㄎㄨㄟˋ.md) | [潰](潰.md) |  | kuì | [動]
1.大水沖破堤岸，四處奔流。如：「潰決」、「潰堤」。《國語．周語上》：「川壅而潰傷人必多，民亦如之。」《韓非子．喻老》：「千丈之隄，以螻蟻之穴潰。」
2.突破。如：「潰陷」、「潰圍而奔」。明．宋濂〈秦士錄〉：「突圍潰陣，得保首領乎？」
3.敗逃、逃散。如：「潰敗」、「崩潰」、「潰不成軍」。《後漢書．卷二四．馬援傳》：「乘夜放火，擊鼓叫譟，虜遂大潰，凡斬首千餘級。」
4.腐爛。如：「潰爛」、「潰瘍」。明．劉基〈賣柑者言〉：「杭有賣果者，善藏柑，涉寒暑不潰。」 |</v>
      </c>
    </row>
    <row r="6023" spans="1:44" hidden="1">
      <c r="A6023" s="1" t="s">
        <v>11313</v>
      </c>
      <c r="C6023" s="1">
        <v>1</v>
      </c>
      <c r="D6023" s="1" t="str">
        <f>"04642"</f>
        <v>04642</v>
      </c>
      <c r="E6023" s="1" t="s">
        <v>250</v>
      </c>
      <c r="F6023" s="1">
        <v>15</v>
      </c>
      <c r="G6023" s="1">
        <v>12</v>
      </c>
      <c r="H6023" s="1">
        <v>0</v>
      </c>
      <c r="I6023" s="1" t="s">
        <v>11301</v>
      </c>
      <c r="K6023" s="1" t="str">
        <f t="shared" si="387"/>
        <v>ㄎ</v>
      </c>
      <c r="L6023" s="1" t="str">
        <f t="shared" si="388"/>
        <v>ㄨ</v>
      </c>
      <c r="M6023" s="1" t="str">
        <f t="shared" si="390"/>
        <v>ㄟ</v>
      </c>
      <c r="P6023" s="1" t="s">
        <v>20</v>
      </c>
      <c r="R6023" s="1" t="s">
        <v>11302</v>
      </c>
      <c r="V6023" s="1" t="s">
        <v>11314</v>
      </c>
      <c r="AR6023" s="1" t="str">
        <f t="shared" si="389"/>
        <v>| [ㄎㄨㄟˋ](ㄎㄨㄟˋ.md) | [憒](憒.md) |  | kuì | [形]
心智昏亂不明。《廣韻．去聲．隊韻》：「憒，心亂也。」《楚辭．王逸．九思．逢尤》：「心煩憒兮意無聊，嚴載駕兮出戲遊。」《紅樓夢》第九六回：「又知寶玉失玉以後，神志惛憒，醫藥無效。」 |</v>
      </c>
    </row>
    <row r="6024" spans="1:44" hidden="1">
      <c r="A6024" s="1" t="s">
        <v>11315</v>
      </c>
      <c r="C6024" s="1">
        <v>1</v>
      </c>
      <c r="D6024" s="1" t="str">
        <f>"04643"</f>
        <v>04643</v>
      </c>
      <c r="E6024" s="1" t="s">
        <v>37</v>
      </c>
      <c r="F6024" s="1">
        <v>16</v>
      </c>
      <c r="G6024" s="1">
        <v>12</v>
      </c>
      <c r="H6024" s="1">
        <v>0</v>
      </c>
      <c r="I6024" s="1" t="s">
        <v>11301</v>
      </c>
      <c r="K6024" s="1" t="str">
        <f t="shared" si="387"/>
        <v>ㄎ</v>
      </c>
      <c r="L6024" s="1" t="str">
        <f t="shared" si="388"/>
        <v>ㄨ</v>
      </c>
      <c r="M6024" s="1" t="str">
        <f t="shared" si="390"/>
        <v>ㄟ</v>
      </c>
      <c r="P6024" s="1" t="s">
        <v>20</v>
      </c>
      <c r="R6024" s="1" t="s">
        <v>11302</v>
      </c>
      <c r="V6024" s="1" t="s">
        <v>11316</v>
      </c>
      <c r="AR6024" s="1" t="str">
        <f t="shared" si="389"/>
        <v>| [ㄎㄨㄟˋ](ㄎㄨㄟˋ.md) | [蕢](蕢.md) |  | kuì | [名]
1.用草繩或竹片編成的盛土器具。似今日的簸箕。《說文解字．艸部》：「蕢，艸器也。」《論語．憲問》：「有荷蕢而過孔氏之門者。」
2.姓。如春秋時魯國有蕢尚。 |</v>
      </c>
    </row>
    <row r="6025" spans="1:44" hidden="1">
      <c r="A6025" s="1" t="s">
        <v>10462</v>
      </c>
      <c r="C6025" s="1">
        <v>1</v>
      </c>
      <c r="D6025" s="1" t="str">
        <f>"04644"</f>
        <v>04644</v>
      </c>
      <c r="E6025" s="1" t="s">
        <v>1015</v>
      </c>
      <c r="F6025" s="1">
        <v>17</v>
      </c>
      <c r="G6025" s="1">
        <v>12</v>
      </c>
      <c r="H6025" s="1">
        <v>2</v>
      </c>
      <c r="I6025" s="1" t="s">
        <v>11301</v>
      </c>
      <c r="K6025" s="1" t="str">
        <f t="shared" si="387"/>
        <v>ㄎ</v>
      </c>
      <c r="L6025" s="1" t="str">
        <f t="shared" si="388"/>
        <v>ㄨ</v>
      </c>
      <c r="M6025" s="1" t="str">
        <f t="shared" si="390"/>
        <v>ㄟ</v>
      </c>
      <c r="P6025" s="1" t="s">
        <v>110</v>
      </c>
      <c r="R6025" s="1" t="s">
        <v>11302</v>
      </c>
      <c r="V6025" s="1" t="s">
        <v>111</v>
      </c>
      <c r="W6025" s="1" t="s">
        <v>11317</v>
      </c>
      <c r="AR6025" s="1" t="str">
        <f t="shared" si="389"/>
        <v>| [ㄎㄨㄟˋ](ㄎㄨㄟˋ.md) | [瞶](瞶.md) |  | kuì | (一)之又音。 |</v>
      </c>
    </row>
    <row r="6026" spans="1:44" hidden="1">
      <c r="A6026" s="1" t="s">
        <v>11318</v>
      </c>
      <c r="C6026" s="1">
        <v>1</v>
      </c>
      <c r="D6026" s="1" t="str">
        <f>"04645"</f>
        <v>04645</v>
      </c>
      <c r="E6026" s="1" t="s">
        <v>2419</v>
      </c>
      <c r="F6026" s="1">
        <v>18</v>
      </c>
      <c r="G6026" s="1">
        <v>12</v>
      </c>
      <c r="H6026" s="1">
        <v>0</v>
      </c>
      <c r="I6026" s="1" t="s">
        <v>11301</v>
      </c>
      <c r="K6026" s="1" t="str">
        <f t="shared" si="387"/>
        <v>ㄎ</v>
      </c>
      <c r="L6026" s="1" t="str">
        <f t="shared" si="388"/>
        <v>ㄨ</v>
      </c>
      <c r="M6026" s="1" t="str">
        <f t="shared" si="390"/>
        <v>ㄟ</v>
      </c>
      <c r="P6026" s="1" t="s">
        <v>20</v>
      </c>
      <c r="R6026" s="1" t="s">
        <v>11302</v>
      </c>
      <c r="V6026" s="1" t="s">
        <v>11319</v>
      </c>
      <c r="AR6026" s="1" t="str">
        <f t="shared" si="389"/>
        <v>| [ㄎㄨㄟˋ](ㄎㄨㄟˋ.md) | [聵](聵.md) |  | kuì | [形]
1.耳聾、聽不見。宋．范成大〈大暑舟行含山道中雨驟至霆奔龍挂可駭〉詩：「盆傾耳雙聵，斗暗目四眩。」
2.糊塗不明事理。如：「昏聵」。唐．皮日休〈耳箴〉：「近賢則聰，近愚則聵。」
[名]
耳朵聽不見的人。如：「振聾發聵」。《國語．晉語四》：「嚚瘖不可使言，聾聵不可使聽。」 |</v>
      </c>
    </row>
    <row r="6027" spans="1:44" hidden="1">
      <c r="A6027" s="1" t="s">
        <v>11320</v>
      </c>
      <c r="C6027" s="1">
        <v>1</v>
      </c>
      <c r="D6027" s="1" t="str">
        <f>"04646"</f>
        <v>04646</v>
      </c>
      <c r="E6027" s="1" t="s">
        <v>49</v>
      </c>
      <c r="F6027" s="1">
        <v>18</v>
      </c>
      <c r="G6027" s="1">
        <v>12</v>
      </c>
      <c r="H6027" s="1">
        <v>0</v>
      </c>
      <c r="I6027" s="1" t="s">
        <v>11301</v>
      </c>
      <c r="K6027" s="1" t="str">
        <f t="shared" si="387"/>
        <v>ㄎ</v>
      </c>
      <c r="L6027" s="1" t="str">
        <f t="shared" si="388"/>
        <v>ㄨ</v>
      </c>
      <c r="M6027" s="1" t="str">
        <f t="shared" si="390"/>
        <v>ㄟ</v>
      </c>
      <c r="P6027" s="1" t="s">
        <v>20</v>
      </c>
      <c r="R6027" s="1" t="s">
        <v>11302</v>
      </c>
      <c r="V6027" s="1" t="s">
        <v>11321</v>
      </c>
      <c r="AR6027" s="1" t="str">
        <f t="shared" si="389"/>
        <v>| [ㄎㄨㄟˋ](ㄎㄨㄟˋ.md) | [簣](簣.md) |  | kuì | [名]
盛土的竹器。似畚箕之類。《書經．旅獒》：「為山九仞，功虧一簣。」《論語．子罕》：「譬如為山，未成一簣，止吾止也。」何晏集解引包咸曰：「簣，土籠也。」 |</v>
      </c>
    </row>
    <row r="6028" spans="1:44" hidden="1">
      <c r="A6028" s="1" t="s">
        <v>11322</v>
      </c>
      <c r="C6028" s="1">
        <v>1</v>
      </c>
      <c r="D6028" s="1" t="str">
        <f>"04647"</f>
        <v>04647</v>
      </c>
      <c r="E6028" s="1" t="s">
        <v>193</v>
      </c>
      <c r="F6028" s="1">
        <v>20</v>
      </c>
      <c r="G6028" s="1">
        <v>12</v>
      </c>
      <c r="H6028" s="1">
        <v>0</v>
      </c>
      <c r="I6028" s="1" t="s">
        <v>11301</v>
      </c>
      <c r="K6028" s="1" t="str">
        <f t="shared" si="387"/>
        <v>ㄎ</v>
      </c>
      <c r="L6028" s="1" t="str">
        <f t="shared" si="388"/>
        <v>ㄨ</v>
      </c>
      <c r="M6028" s="1" t="str">
        <f t="shared" si="390"/>
        <v>ㄟ</v>
      </c>
      <c r="P6028" s="1" t="s">
        <v>20</v>
      </c>
      <c r="R6028" s="1" t="s">
        <v>11302</v>
      </c>
      <c r="V6028" s="1" t="s">
        <v>11323</v>
      </c>
      <c r="AR6028" s="1" t="str">
        <f t="shared" si="389"/>
        <v>| [ㄎㄨㄟˋ](ㄎㄨㄟˋ.md) | [饋](饋.md) |  | kuì | [動]
1.致贈、贈送。《左傳．桓公六年》：「齊人饋之餼。」唐．李白〈感時留別從兄徐王延年從弟延陵〉詩：「藥物多見饋，珍羞亦兼之。」
2.輸送、運送。《孫子．作戰》：「帶甲十萬，千里饋糧。」
3.進食。《淮南子．詮言》：「滌杯而食，洗爵而飲，浣而後饋。」漢．高誘．注：「饋，進食也。」
[名]
1.飲食方面的事情。《周禮．天官．膳夫》：「凡王之饋，食用六穀，膳用六牲。」《儀禮．既夕禮》：「燕養饋羞，湯沐之饌，如他日。」
2.禮物。《論語．鄉黨》：「朋友之饋，雖車馬，非祭肉不拜。」 |</v>
      </c>
    </row>
    <row r="6029" spans="1:44" hidden="1">
      <c r="A6029" s="1" t="s">
        <v>10406</v>
      </c>
      <c r="C6029" s="1">
        <v>1</v>
      </c>
      <c r="D6029" s="1" t="str">
        <f>"04648"</f>
        <v>04648</v>
      </c>
      <c r="E6029" s="1" t="s">
        <v>1495</v>
      </c>
      <c r="F6029" s="1">
        <v>18</v>
      </c>
      <c r="G6029" s="1">
        <v>14</v>
      </c>
      <c r="H6029" s="1">
        <v>2</v>
      </c>
      <c r="I6029" s="1" t="s">
        <v>11301</v>
      </c>
      <c r="K6029" s="1" t="str">
        <f t="shared" si="387"/>
        <v>ㄎ</v>
      </c>
      <c r="L6029" s="1" t="str">
        <f t="shared" si="388"/>
        <v>ㄨ</v>
      </c>
      <c r="M6029" s="1" t="str">
        <f t="shared" si="390"/>
        <v>ㄟ</v>
      </c>
      <c r="P6029" s="1" t="s">
        <v>20</v>
      </c>
      <c r="R6029" s="1" t="s">
        <v>11302</v>
      </c>
      <c r="V6029" s="1" t="s">
        <v>11324</v>
      </c>
      <c r="W6029" s="1" t="s">
        <v>11325</v>
      </c>
      <c r="AR6029" s="1" t="str">
        <f t="shared" si="389"/>
        <v>| [ㄎㄨㄟˋ](ㄎㄨㄟˋ.md) | [歸](歸.md) |  | kuì | [動]
贈送。通「饋」。《論語．陽貨》：「陽貨欲見孔子，孔子不見，歸孔子豚。」
[形]
羞慚。通「愧」。《戰國策．秦策一》：「面目犁黑，狀有歸色。」 |</v>
      </c>
    </row>
    <row r="6030" spans="1:44" hidden="1">
      <c r="A6030" s="1" t="s">
        <v>11326</v>
      </c>
      <c r="C6030" s="1">
        <v>1</v>
      </c>
      <c r="D6030" s="1" t="str">
        <f>"04649"</f>
        <v>04649</v>
      </c>
      <c r="E6030" s="1" t="s">
        <v>624</v>
      </c>
      <c r="F6030" s="1">
        <v>15</v>
      </c>
      <c r="G6030" s="1">
        <v>12</v>
      </c>
      <c r="H6030" s="1">
        <v>0</v>
      </c>
      <c r="I6030" s="1" t="s">
        <v>11327</v>
      </c>
      <c r="K6030" s="1" t="str">
        <f t="shared" si="387"/>
        <v>ㄎ</v>
      </c>
      <c r="L6030" s="1" t="str">
        <f t="shared" si="388"/>
        <v>ㄨ</v>
      </c>
      <c r="M6030" s="1" t="str">
        <f t="shared" si="390"/>
        <v>ㄢ</v>
      </c>
      <c r="P6030" s="1" t="s">
        <v>20</v>
      </c>
      <c r="R6030" s="1" t="s">
        <v>11328</v>
      </c>
      <c r="V6030" s="1" t="s">
        <v>11329</v>
      </c>
      <c r="AR6030" s="1" t="str">
        <f t="shared" si="389"/>
        <v>| [ㄎㄨㄢ](ㄎㄨㄢ.md) | [寬](寬.md) |  | kuān | [形]
1.大、廣闊。與「狹」、「窄」相對。《字彙．宀部》：「寬，廣也。」如：「寬肩膀」、「寬袍大袖」。唐．宋之問〈奉和九日幸臨渭亭登高應制得歡字〉詩：「御氣雲霄近，乘高宇宙寬。」唐．孟郊〈贈別崔純亮〉詩：「出門即有礙，誰謂天地寬！」
2.鬆、不緊。如：「寬鬆」。宋．柳永〈蝶戀花．獨倚危樓風細細〉詞：「衣帶漸寬終不悔，為伊消得人憔悴。」
3.不嚴苛、度量大。如：「寬厚」、「寬大為懷」。《論語．陽貨》：「寬則得眾，信則人任焉。」宋．蘇軾〈省試刑賞忠厚之至論〉：「故天下畏皋陶執法之堅，而樂堯用刑之寬。」
4.闊綽、富裕。如：「他最近手頭較寬。」、「日子愈來愈寬。」
[名]
1.數學上指長方形物體相對兩邊的距離。如：「寬四尺六寸」。
2.姓。如明代有寬轍。
[動]
1.饒恕、原諒。如：「寬宥」。《文選．宋玉．對楚王問》：「願大王寬其罪，使得畢其辭。」《史記．卷八一．廉頗藺相如傳》：「鄙賤之人，不知將軍寬之至此也。」
2.放鬆、延緩。如：「寬心」、「寬解」、「寬限」。《列子．天瑞》：「善乎，能自寬者也。」宋．蘇軾〈和陶飲酒〉詩二〇首之一一：「詔書寬積欠，父老顏色好。」
3.解、脫。如：「寬衣解帶」。《官場現形記》第八回：「新嫂嫂竭立張羅，寬馬褂，打手巾。」 |</v>
      </c>
    </row>
    <row r="6031" spans="1:44" hidden="1">
      <c r="A6031" s="1" t="s">
        <v>11330</v>
      </c>
      <c r="C6031" s="1">
        <v>1</v>
      </c>
      <c r="D6031" s="1" t="str">
        <f>"04650"</f>
        <v>04650</v>
      </c>
      <c r="E6031" s="1" t="s">
        <v>68</v>
      </c>
      <c r="F6031" s="1">
        <v>19</v>
      </c>
      <c r="G6031" s="1">
        <v>15</v>
      </c>
      <c r="H6031" s="1">
        <v>0</v>
      </c>
      <c r="I6031" s="1" t="s">
        <v>11327</v>
      </c>
      <c r="K6031" s="1" t="str">
        <f t="shared" si="387"/>
        <v>ㄎ</v>
      </c>
      <c r="L6031" s="1" t="str">
        <f t="shared" si="388"/>
        <v>ㄨ</v>
      </c>
      <c r="M6031" s="1" t="str">
        <f t="shared" si="390"/>
        <v>ㄢ</v>
      </c>
      <c r="P6031" s="1" t="s">
        <v>20</v>
      </c>
      <c r="R6031" s="1" t="s">
        <v>11328</v>
      </c>
      <c r="V6031" s="1" t="s">
        <v>11331</v>
      </c>
      <c r="AR6031" s="1" t="str">
        <f t="shared" si="389"/>
        <v>| [ㄎㄨㄢ](ㄎㄨㄢ.md) | [臗](臗.md) |  | kuān | [名]
股骨。同「髖」。《字彙．肉部》：「臗，與髖同。股骨也。」 |</v>
      </c>
    </row>
    <row r="6032" spans="1:44" hidden="1">
      <c r="A6032" s="1" t="s">
        <v>11332</v>
      </c>
      <c r="C6032" s="1">
        <v>1</v>
      </c>
      <c r="D6032" s="1" t="str">
        <f>"04651"</f>
        <v>04651</v>
      </c>
      <c r="E6032" s="1" t="s">
        <v>283</v>
      </c>
      <c r="F6032" s="1">
        <v>25</v>
      </c>
      <c r="G6032" s="1">
        <v>15</v>
      </c>
      <c r="H6032" s="1">
        <v>0</v>
      </c>
      <c r="I6032" s="1" t="s">
        <v>11327</v>
      </c>
      <c r="K6032" s="1" t="str">
        <f t="shared" si="387"/>
        <v>ㄎ</v>
      </c>
      <c r="L6032" s="1" t="str">
        <f t="shared" si="388"/>
        <v>ㄨ</v>
      </c>
      <c r="M6032" s="1" t="str">
        <f t="shared" si="390"/>
        <v>ㄢ</v>
      </c>
      <c r="P6032" s="1" t="s">
        <v>20</v>
      </c>
      <c r="R6032" s="1" t="s">
        <v>11328</v>
      </c>
      <c r="V6032" s="1" t="s">
        <v>11333</v>
      </c>
      <c r="AR6032" s="1" t="str">
        <f t="shared" si="389"/>
        <v>| [ㄎㄨㄢ](ㄎㄨㄢ.md) | [髖](髖.md) |  | kuān | 臀部的骨頭，左右各一，由腸骨、坐骨、恥骨合成，連接薦椎組成骨盆，下接股骨形成髖關節。 |</v>
      </c>
    </row>
    <row r="6033" spans="1:44" hidden="1">
      <c r="A6033" s="1" t="s">
        <v>11334</v>
      </c>
      <c r="C6033" s="1">
        <v>1</v>
      </c>
      <c r="D6033" s="1" t="str">
        <f>"04652"</f>
        <v>04652</v>
      </c>
      <c r="E6033" s="1" t="s">
        <v>139</v>
      </c>
      <c r="F6033" s="1">
        <v>11</v>
      </c>
      <c r="G6033" s="1">
        <v>7</v>
      </c>
      <c r="H6033" s="1">
        <v>0</v>
      </c>
      <c r="I6033" s="1" t="s">
        <v>11335</v>
      </c>
      <c r="K6033" s="1" t="str">
        <f t="shared" si="387"/>
        <v>ㄎ</v>
      </c>
      <c r="L6033" s="1" t="str">
        <f t="shared" si="388"/>
        <v>ㄨ</v>
      </c>
      <c r="M6033" s="1" t="str">
        <f t="shared" si="390"/>
        <v>ㄢ</v>
      </c>
      <c r="P6033" s="1" t="s">
        <v>20</v>
      </c>
      <c r="R6033" s="1" t="s">
        <v>11336</v>
      </c>
      <c r="V6033" s="1" t="s">
        <v>11337</v>
      </c>
      <c r="AR6033" s="1" t="str">
        <f t="shared" si="389"/>
        <v>| [ㄎㄨㄢˇ](ㄎㄨㄢˇ.md) | [梡](梡.md) |  | kuǎn | [名]
虞舜時陳列祭品的禮器，形如几案。《廣韻．上聲．緩韻》：「梡，虞俎名，形有足如案。」《禮記．明堂位》：「俎，有虞氏以梡。」漢．鄭玄．注：「梡，斷木為四足而已。」 |</v>
      </c>
    </row>
    <row r="6034" spans="1:44" hidden="1">
      <c r="A6034" s="1" t="s">
        <v>11338</v>
      </c>
      <c r="C6034" s="1">
        <v>1</v>
      </c>
      <c r="D6034" s="1" t="str">
        <f>"04653"</f>
        <v>04653</v>
      </c>
      <c r="E6034" s="1" t="s">
        <v>1908</v>
      </c>
      <c r="F6034" s="1">
        <v>12</v>
      </c>
      <c r="G6034" s="1">
        <v>8</v>
      </c>
      <c r="H6034" s="1">
        <v>0</v>
      </c>
      <c r="I6034" s="1" t="s">
        <v>11335</v>
      </c>
      <c r="K6034" s="1" t="str">
        <f t="shared" si="387"/>
        <v>ㄎ</v>
      </c>
      <c r="L6034" s="1" t="str">
        <f t="shared" si="388"/>
        <v>ㄨ</v>
      </c>
      <c r="M6034" s="1" t="str">
        <f t="shared" si="390"/>
        <v>ㄢ</v>
      </c>
      <c r="P6034" s="1" t="s">
        <v>20</v>
      </c>
      <c r="R6034" s="1" t="s">
        <v>11336</v>
      </c>
      <c r="V6034" s="1" t="s">
        <v>11339</v>
      </c>
      <c r="AR6034" s="1" t="str">
        <f t="shared" si="389"/>
        <v>| [ㄎㄨㄢˇ](ㄎㄨㄢˇ.md) | [款](款.md) |  | kuǎn | [名]_x000D_
1.錢財。如：「公款」、「存款」、「提款」、「貸款」、「贓款」、「身懷巨款」。_x000D_
2.法令、條目。如：「條款」。《宋史．卷二六五．列傳．張齊賢》：「（齊賢）命具款，乃召兩吏，令甲家入乙舍，乙家入甲舍。」_x000D_
3.規格、樣式。參見「款式」條。_x000D_
4.書畫或信件上的題字。如：「上款」、「下款」、「落款」。_x000D_
5.鐘鼎彞器上所刻的文字和花紋。凹者為款，凸者為識。_x000D_
[量]_x000D_
1.計算文書分項的單位。如：「這條文分成三項四款。」_x000D_
2.計算樣式、種類的單位。相當於「種」。如：「這是今年冬天新出的兩款大衣。」_x000D_
[動]_x000D_
1.招待。如：「款待」。《警世通言．卷二．莊子休鼓盆成大道》：「當下治飯相款。」_x000D_
2.叩、敲。如：「款門」、「款關」。南朝梁．范雲〈贈張徐州謖詩〉：「還聞稚子說，有客款柴扉。」_x000D_
3.慰留、休息。《新唐書．卷九二．列傳．王君廓》：「乃獨款詵。詐曰：『有急變，當白！』」宋．楊萬里〈夜宿王才臣齋中睡覺聞風雪大作〉詩：「終年纔小款，明日又言歸。」_x000D_
[副]_x000D_
1.徐緩的、慢慢的。如：「款步」。宋．梅堯臣〈送胥裴二子迴馬上作〉詩：「豈唯遊子倦，疲馬行亦款。」_x000D_
2.誠懇的。《史記．卷一一七．司馬相如列傳》：「而修禮地祇，謁款天神。」南朝宋．裴駰．集解：「款，誠也。謁告之報誠也。」 |</v>
      </c>
    </row>
    <row r="6035" spans="1:44" hidden="1">
      <c r="A6035" s="1" t="s">
        <v>11340</v>
      </c>
      <c r="C6035" s="1">
        <v>1</v>
      </c>
      <c r="D6035" s="1" t="str">
        <f>"04654"</f>
        <v>04654</v>
      </c>
      <c r="E6035" s="1" t="s">
        <v>1274</v>
      </c>
      <c r="F6035" s="1">
        <v>17</v>
      </c>
      <c r="G6035" s="1">
        <v>12</v>
      </c>
      <c r="H6035" s="1">
        <v>0</v>
      </c>
      <c r="I6035" s="1" t="s">
        <v>11335</v>
      </c>
      <c r="K6035" s="1" t="str">
        <f t="shared" si="387"/>
        <v>ㄎ</v>
      </c>
      <c r="L6035" s="1" t="str">
        <f t="shared" si="388"/>
        <v>ㄨ</v>
      </c>
      <c r="M6035" s="1" t="str">
        <f t="shared" si="390"/>
        <v>ㄢ</v>
      </c>
      <c r="P6035" s="1" t="s">
        <v>20</v>
      </c>
      <c r="R6035" s="1" t="s">
        <v>11336</v>
      </c>
      <c r="V6035" s="1" t="s">
        <v>11341</v>
      </c>
      <c r="AR6035" s="1" t="str">
        <f t="shared" si="389"/>
        <v>| [ㄎㄨㄢˇ](ㄎㄨㄢˇ.md) | [窾](窾.md) |  | kuǎn | [名]
縫隙、孔穴。《莊子．養生主》：「依乎天理，批大卻，導大窾，因其固然。」唐．成玄英．疏：「窾，空也，骨節空處。」唐．柳宗元〈霹靂琴贊．序〉：「始枯桐生石上，說者言有蛟龍伏其窾。」
[形]
1.中空。《淮南子．說山》：「見窾木浮而知為舟，見飛蓬轉而知為車。」
2.虛假、不實。《史記．卷一三〇．太史公自序》：「窾言不聽，姦乃不生，賢不肖自分，白黑乃形。」 |</v>
      </c>
    </row>
    <row r="6036" spans="1:44" hidden="1">
      <c r="A6036" s="1" t="s">
        <v>11342</v>
      </c>
      <c r="C6036" s="1">
        <v>1</v>
      </c>
      <c r="D6036" s="1" t="str">
        <f>"04655"</f>
        <v>04655</v>
      </c>
      <c r="E6036" s="1" t="s">
        <v>132</v>
      </c>
      <c r="F6036" s="1">
        <v>8</v>
      </c>
      <c r="G6036" s="1">
        <v>5</v>
      </c>
      <c r="H6036" s="1">
        <v>0</v>
      </c>
      <c r="I6036" s="1" t="s">
        <v>11343</v>
      </c>
      <c r="K6036" s="1" t="str">
        <f t="shared" si="387"/>
        <v>ㄎ</v>
      </c>
      <c r="L6036" s="1" t="str">
        <f t="shared" si="388"/>
        <v>ㄨ</v>
      </c>
      <c r="M6036" s="1" t="str">
        <f t="shared" si="390"/>
        <v>ㄣ</v>
      </c>
      <c r="P6036" s="1" t="s">
        <v>20</v>
      </c>
      <c r="R6036" s="1" t="s">
        <v>11344</v>
      </c>
      <c r="V6036" s="1" t="s">
        <v>11345</v>
      </c>
      <c r="AR6036" s="1" t="str">
        <f t="shared" si="389"/>
        <v>| [ㄎㄨㄣ](ㄎㄨㄣ.md) | [坤](坤.md) |  | kūn | [名]
《易經》卦名：(1)八卦之一。卦形是☷。其象為地、為臣、為母、為妻。(2)六十四卦之一。坤（☷）下坤（☷）上。象女德之義。
[形]
女性的、女方的。如：「坤伶」、「坤宅」、「坤德」。《後漢書．卷一〇．皇后紀下．順烈梁皇后紀》：「梁小貴人宜配天祚，正位坤極。」《鏡花緣》第一回：「現在魁星既現女像，其為坤兆無疑。」 |</v>
      </c>
    </row>
    <row r="6037" spans="1:44" hidden="1">
      <c r="A6037" s="1" t="s">
        <v>11346</v>
      </c>
      <c r="C6037" s="1">
        <v>1</v>
      </c>
      <c r="D6037" s="1" t="str">
        <f>"04656"</f>
        <v>04656</v>
      </c>
      <c r="E6037" s="1" t="s">
        <v>646</v>
      </c>
      <c r="F6037" s="1">
        <v>8</v>
      </c>
      <c r="G6037" s="1">
        <v>4</v>
      </c>
      <c r="H6037" s="1">
        <v>0</v>
      </c>
      <c r="I6037" s="1" t="s">
        <v>11343</v>
      </c>
      <c r="K6037" s="1" t="str">
        <f t="shared" si="387"/>
        <v>ㄎ</v>
      </c>
      <c r="L6037" s="1" t="str">
        <f t="shared" si="388"/>
        <v>ㄨ</v>
      </c>
      <c r="M6037" s="1" t="str">
        <f t="shared" si="390"/>
        <v>ㄣ</v>
      </c>
      <c r="P6037" s="1" t="s">
        <v>20</v>
      </c>
      <c r="R6037" s="1" t="s">
        <v>11344</v>
      </c>
      <c r="V6037" s="1" t="s">
        <v>11347</v>
      </c>
      <c r="AR6037" s="1" t="str">
        <f t="shared" si="389"/>
        <v>| [ㄎㄨㄣ](ㄎㄨㄣ.md) | [昆](昆.md) |  | kūn | [名]
1.兄。《詩經．王風．葛藟》：「終遠兄弟，謂他人昆。」漢．毛亨．傳：「昆，兄也。」唐．杜甫〈彭衙行〉：「誓將與夫子，永結為弟昆。」
2.後嗣、子孫。《書經．仲虺之誥》：「垂裕後昆。」漢．孔安國．傳：「垂優足之道示後世。」
[形]
群、眾多。《漢書．卷一〇．成帝紀》：「君道得，則草木昆蟲咸得其所。」唐．顏師古．注：「昆，眾也。昆蟲，言眾蟲也。」
[副]
同。《文選．揚雄．羽獵賦》：「群娭乎其中，噍噍昆鳴。」 |</v>
      </c>
    </row>
    <row r="6038" spans="1:44" hidden="1">
      <c r="A6038" s="1" t="s">
        <v>10579</v>
      </c>
      <c r="C6038" s="1">
        <v>1</v>
      </c>
      <c r="D6038" s="1" t="str">
        <f>"04657"</f>
        <v>04657</v>
      </c>
      <c r="E6038" s="1" t="s">
        <v>129</v>
      </c>
      <c r="F6038" s="1">
        <v>11</v>
      </c>
      <c r="G6038" s="1">
        <v>8</v>
      </c>
      <c r="H6038" s="1">
        <v>3</v>
      </c>
      <c r="I6038" s="1" t="s">
        <v>11343</v>
      </c>
      <c r="K6038" s="1" t="str">
        <f t="shared" si="387"/>
        <v>ㄎ</v>
      </c>
      <c r="L6038" s="1" t="str">
        <f t="shared" si="388"/>
        <v>ㄨ</v>
      </c>
      <c r="M6038" s="1" t="str">
        <f t="shared" si="390"/>
        <v>ㄣ</v>
      </c>
      <c r="P6038" s="1" t="s">
        <v>20</v>
      </c>
      <c r="R6038" s="1" t="s">
        <v>11344</v>
      </c>
      <c r="V6038" s="1" t="s">
        <v>11348</v>
      </c>
      <c r="W6038" s="1" t="s">
        <v>11349</v>
      </c>
      <c r="AR6038" s="1" t="str">
        <f t="shared" si="389"/>
        <v>| [ㄎㄨㄣ](ㄎㄨㄣ.md) | [混](混.md) |  | kūn | 參見「混夷」條。 |</v>
      </c>
    </row>
    <row r="6039" spans="1:44" hidden="1">
      <c r="A6039" s="1" t="s">
        <v>11350</v>
      </c>
      <c r="C6039" s="1">
        <v>1</v>
      </c>
      <c r="D6039" s="1" t="str">
        <f>"04658"</f>
        <v>04658</v>
      </c>
      <c r="E6039" s="1" t="s">
        <v>190</v>
      </c>
      <c r="F6039" s="1">
        <v>11</v>
      </c>
      <c r="G6039" s="1">
        <v>8</v>
      </c>
      <c r="H6039" s="1">
        <v>0</v>
      </c>
      <c r="I6039" s="1" t="s">
        <v>11343</v>
      </c>
      <c r="K6039" s="1" t="str">
        <f t="shared" si="387"/>
        <v>ㄎ</v>
      </c>
      <c r="L6039" s="1" t="str">
        <f t="shared" si="388"/>
        <v>ㄨ</v>
      </c>
      <c r="M6039" s="1" t="str">
        <f t="shared" si="390"/>
        <v>ㄣ</v>
      </c>
      <c r="P6039" s="1" t="s">
        <v>20</v>
      </c>
      <c r="R6039" s="1" t="s">
        <v>11344</v>
      </c>
      <c r="V6039" s="1" t="s">
        <v>11351</v>
      </c>
      <c r="AR6039" s="1" t="str">
        <f t="shared" si="389"/>
        <v>| [ㄎㄨㄣ](ㄎㄨㄣ.md) | [崑](崑.md) |  | kūn | 參見「崑崙」、「崑崙奴」等條。 |</v>
      </c>
    </row>
    <row r="6040" spans="1:44" hidden="1">
      <c r="A6040" s="1" t="s">
        <v>11352</v>
      </c>
      <c r="C6040" s="1">
        <v>1</v>
      </c>
      <c r="D6040" s="1" t="str">
        <f>"04659"</f>
        <v>04659</v>
      </c>
      <c r="E6040" s="1" t="s">
        <v>336</v>
      </c>
      <c r="F6040" s="1">
        <v>12</v>
      </c>
      <c r="G6040" s="1">
        <v>8</v>
      </c>
      <c r="H6040" s="1">
        <v>0</v>
      </c>
      <c r="I6040" s="1" t="s">
        <v>11343</v>
      </c>
      <c r="K6040" s="1" t="str">
        <f t="shared" si="387"/>
        <v>ㄎ</v>
      </c>
      <c r="L6040" s="1" t="str">
        <f t="shared" si="388"/>
        <v>ㄨ</v>
      </c>
      <c r="M6040" s="1" t="str">
        <f t="shared" si="390"/>
        <v>ㄣ</v>
      </c>
      <c r="P6040" s="1" t="s">
        <v>20</v>
      </c>
      <c r="R6040" s="1" t="s">
        <v>11344</v>
      </c>
      <c r="V6040" s="1" t="s">
        <v>11353</v>
      </c>
      <c r="AR6040" s="1" t="str">
        <f t="shared" si="389"/>
        <v>| [ㄎㄨㄣ](ㄎㄨㄣ.md) | [焜](焜.md) |  | kūn | 參見「焜燿」條。 |</v>
      </c>
    </row>
    <row r="6041" spans="1:44" hidden="1">
      <c r="A6041" s="1" t="s">
        <v>11354</v>
      </c>
      <c r="C6041" s="1">
        <v>1</v>
      </c>
      <c r="D6041" s="1" t="str">
        <f>"04660"</f>
        <v>04660</v>
      </c>
      <c r="E6041" s="1" t="s">
        <v>142</v>
      </c>
      <c r="F6041" s="1">
        <v>12</v>
      </c>
      <c r="G6041" s="1">
        <v>8</v>
      </c>
      <c r="H6041" s="1">
        <v>0</v>
      </c>
      <c r="I6041" s="1" t="s">
        <v>11343</v>
      </c>
      <c r="K6041" s="1" t="str">
        <f t="shared" si="387"/>
        <v>ㄎ</v>
      </c>
      <c r="L6041" s="1" t="str">
        <f t="shared" si="388"/>
        <v>ㄨ</v>
      </c>
      <c r="M6041" s="1" t="str">
        <f t="shared" si="390"/>
        <v>ㄣ</v>
      </c>
      <c r="P6041" s="1" t="s">
        <v>20</v>
      </c>
      <c r="R6041" s="1" t="s">
        <v>11344</v>
      </c>
      <c r="V6041" s="1" t="s">
        <v>11355</v>
      </c>
      <c r="AR6041" s="1" t="str">
        <f t="shared" si="389"/>
        <v>| [ㄎㄨㄣ](ㄎㄨㄣ.md) | [琨](琨.md) |  | kūn | [名]
1.似玉的美石。《說文解字．玉部》：「琨，石之美者。」《書經．禹貢》：「瑤、琨、篠、簜。」漢．孔安國．傳：「瑤、琨皆美玉。」唐．孔穎達．正義：「美石似玉者也。玉、石，其質相類，美惡別名也。」
2.玉佩。《文選．張衡．思玄賦》：「獻環琨與琛縭兮，申厥好以玄黃。」唐．李善．注：「琨，璧也。」 |</v>
      </c>
    </row>
    <row r="6042" spans="1:44" hidden="1">
      <c r="A6042" s="1" t="s">
        <v>11356</v>
      </c>
      <c r="C6042" s="1">
        <v>1</v>
      </c>
      <c r="D6042" s="1" t="str">
        <f>"04661"</f>
        <v>04661</v>
      </c>
      <c r="E6042" s="1" t="s">
        <v>55</v>
      </c>
      <c r="F6042" s="1">
        <v>16</v>
      </c>
      <c r="G6042" s="1">
        <v>8</v>
      </c>
      <c r="H6042" s="1">
        <v>0</v>
      </c>
      <c r="I6042" s="1" t="s">
        <v>11343</v>
      </c>
      <c r="K6042" s="1" t="str">
        <f t="shared" si="387"/>
        <v>ㄎ</v>
      </c>
      <c r="L6042" s="1" t="str">
        <f t="shared" si="388"/>
        <v>ㄨ</v>
      </c>
      <c r="M6042" s="1" t="str">
        <f t="shared" si="390"/>
        <v>ㄣ</v>
      </c>
      <c r="P6042" s="1" t="s">
        <v>20</v>
      </c>
      <c r="R6042" s="1" t="s">
        <v>11344</v>
      </c>
      <c r="V6042" s="1" t="s">
        <v>11357</v>
      </c>
      <c r="AR6042" s="1" t="str">
        <f t="shared" si="389"/>
        <v>| [ㄎㄨㄣ](ㄎㄨㄣ.md) | [錕](錕.md) |  | kūn | 參見「錕鋙」條。 |</v>
      </c>
    </row>
    <row r="6043" spans="1:44" hidden="1">
      <c r="A6043" s="1" t="s">
        <v>11358</v>
      </c>
      <c r="C6043" s="1">
        <v>1</v>
      </c>
      <c r="D6043" s="1" t="str">
        <f>"04662"</f>
        <v>04662</v>
      </c>
      <c r="E6043" s="1" t="s">
        <v>319</v>
      </c>
      <c r="F6043" s="1">
        <v>18</v>
      </c>
      <c r="G6043" s="1">
        <v>8</v>
      </c>
      <c r="H6043" s="1">
        <v>0</v>
      </c>
      <c r="I6043" s="1" t="s">
        <v>11343</v>
      </c>
      <c r="K6043" s="1" t="str">
        <f t="shared" si="387"/>
        <v>ㄎ</v>
      </c>
      <c r="L6043" s="1" t="str">
        <f t="shared" si="388"/>
        <v>ㄨ</v>
      </c>
      <c r="M6043" s="1" t="str">
        <f t="shared" si="390"/>
        <v>ㄣ</v>
      </c>
      <c r="P6043" s="1" t="s">
        <v>20</v>
      </c>
      <c r="R6043" s="1" t="s">
        <v>11344</v>
      </c>
      <c r="V6043" s="1" t="s">
        <v>11359</v>
      </c>
      <c r="AR6043" s="1" t="str">
        <f t="shared" si="389"/>
        <v>| [ㄎㄨㄣ](ㄎㄨㄣ.md) | [騉](騉.md) |  | kūn | 參見「騉蹄」、「騉駼」等條。 |</v>
      </c>
    </row>
    <row r="6044" spans="1:44" hidden="1">
      <c r="A6044" s="1" t="s">
        <v>11360</v>
      </c>
      <c r="C6044" s="1">
        <v>1</v>
      </c>
      <c r="D6044" s="1" t="str">
        <f>"04663"</f>
        <v>04663</v>
      </c>
      <c r="E6044" s="1" t="s">
        <v>156</v>
      </c>
      <c r="F6044" s="1">
        <v>19</v>
      </c>
      <c r="G6044" s="1">
        <v>8</v>
      </c>
      <c r="H6044" s="1">
        <v>0</v>
      </c>
      <c r="I6044" s="1" t="s">
        <v>11343</v>
      </c>
      <c r="K6044" s="1" t="str">
        <f t="shared" si="387"/>
        <v>ㄎ</v>
      </c>
      <c r="L6044" s="1" t="str">
        <f t="shared" si="388"/>
        <v>ㄨ</v>
      </c>
      <c r="M6044" s="1" t="str">
        <f t="shared" si="390"/>
        <v>ㄣ</v>
      </c>
      <c r="P6044" s="1" t="s">
        <v>20</v>
      </c>
      <c r="R6044" s="1" t="s">
        <v>11344</v>
      </c>
      <c r="V6044" s="1" t="s">
        <v>11361</v>
      </c>
      <c r="AR6044" s="1" t="str">
        <f t="shared" si="389"/>
        <v>| [ㄎㄨㄣ](ㄎㄨㄣ.md) | [鯤](鯤.md) |  | kūn | [名]
1.魚苗。《爾雅．釋魚》：「鯤，魚子。」晉．郭璞．注：「凡魚之子，總名鯤。」《國語．魯語上》：「澤不伐夭，魚禁鯤鮞。」三國吳．韋昭．注：「鯤，魚子也。鮞，未成魚也。」
2.古代傳說中的大魚。《莊子．逍遙遊》：「北冥有魚，其名為鯤；鯤之大，不知其幾千里也！」 |</v>
      </c>
    </row>
    <row r="6045" spans="1:44" hidden="1">
      <c r="A6045" s="1" t="s">
        <v>11362</v>
      </c>
      <c r="C6045" s="1">
        <v>1</v>
      </c>
      <c r="D6045" s="1" t="str">
        <f>"04664"</f>
        <v>04664</v>
      </c>
      <c r="E6045" s="1" t="s">
        <v>646</v>
      </c>
      <c r="F6045" s="1">
        <v>11</v>
      </c>
      <c r="G6045" s="1">
        <v>7</v>
      </c>
      <c r="H6045" s="1">
        <v>0</v>
      </c>
      <c r="I6045" s="1" t="s">
        <v>11343</v>
      </c>
      <c r="K6045" s="1" t="str">
        <f t="shared" si="387"/>
        <v>ㄎ</v>
      </c>
      <c r="L6045" s="1" t="str">
        <f t="shared" si="388"/>
        <v>ㄨ</v>
      </c>
      <c r="M6045" s="1" t="str">
        <f t="shared" si="390"/>
        <v>ㄣ</v>
      </c>
      <c r="P6045" s="1" t="s">
        <v>20</v>
      </c>
      <c r="R6045" s="1" t="s">
        <v>11344</v>
      </c>
      <c r="V6045" s="1" t="s">
        <v>11363</v>
      </c>
      <c r="AR6045" s="1" t="str">
        <f t="shared" si="389"/>
        <v>| [ㄎㄨㄣ](ㄎㄨㄣ.md) | [晜](晜.md) |  | kūn | [名]
兄。同「昆」。《爾雅．釋親》：「晜，兄也。」宋．陸游〈幽居即事〉詩九首之五：「野人求其類，金墺實弟晜。」 |</v>
      </c>
    </row>
    <row r="6046" spans="1:44" hidden="1">
      <c r="A6046" s="1" t="s">
        <v>11364</v>
      </c>
      <c r="C6046" s="1">
        <v>1</v>
      </c>
      <c r="D6046" s="1" t="str">
        <f>"04665"</f>
        <v>04665</v>
      </c>
      <c r="E6046" s="1" t="s">
        <v>679</v>
      </c>
      <c r="F6046" s="1">
        <v>12</v>
      </c>
      <c r="G6046" s="1">
        <v>6</v>
      </c>
      <c r="H6046" s="1">
        <v>0</v>
      </c>
      <c r="I6046" s="1" t="s">
        <v>11343</v>
      </c>
      <c r="K6046" s="1" t="str">
        <f t="shared" si="387"/>
        <v>ㄎ</v>
      </c>
      <c r="L6046" s="1" t="str">
        <f t="shared" si="388"/>
        <v>ㄨ</v>
      </c>
      <c r="M6046" s="1" t="str">
        <f t="shared" si="390"/>
        <v>ㄣ</v>
      </c>
      <c r="P6046" s="1" t="s">
        <v>20</v>
      </c>
      <c r="R6046" s="1" t="s">
        <v>11344</v>
      </c>
      <c r="V6046" s="1" t="s">
        <v>11365</v>
      </c>
      <c r="AR6046" s="1" t="str">
        <f t="shared" si="389"/>
        <v>| [ㄎㄨㄣ](ㄎㄨㄣ.md) | [䖵](䖵.md) |  | kūn | [名]
蟲類的總稱。《說文解字．䖵部》：「䖵，蟲之總名也。」清．段玉裁．注：「蟲之總名稱䖵，凡經傳言昆蟲即䖵蟲也。」 |</v>
      </c>
    </row>
    <row r="6047" spans="1:44" hidden="1">
      <c r="A6047" s="1" t="s">
        <v>11366</v>
      </c>
      <c r="C6047" s="1">
        <v>1</v>
      </c>
      <c r="D6047" s="1" t="str">
        <f>"04666"</f>
        <v>04666</v>
      </c>
      <c r="E6047" s="1" t="s">
        <v>1078</v>
      </c>
      <c r="F6047" s="1">
        <v>13</v>
      </c>
      <c r="G6047" s="1">
        <v>3</v>
      </c>
      <c r="H6047" s="1">
        <v>0</v>
      </c>
      <c r="I6047" s="1" t="s">
        <v>11343</v>
      </c>
      <c r="K6047" s="1" t="str">
        <f t="shared" si="387"/>
        <v>ㄎ</v>
      </c>
      <c r="L6047" s="1" t="str">
        <f t="shared" si="388"/>
        <v>ㄨ</v>
      </c>
      <c r="M6047" s="1" t="str">
        <f t="shared" si="390"/>
        <v>ㄣ</v>
      </c>
      <c r="P6047" s="1" t="s">
        <v>20</v>
      </c>
      <c r="R6047" s="1" t="s">
        <v>11344</v>
      </c>
      <c r="V6047" s="1" t="s">
        <v>11367</v>
      </c>
      <c r="AR6047" s="1" t="str">
        <f t="shared" si="389"/>
        <v>| [ㄎㄨㄣ](ㄎㄨㄣ.md) | [髡](髡.md) |  | kūn | [動]
1.剃髮。多用於刑罰。《說文解字．髟部》：「髡，𩮜髮也。」《三國演義》第六三回：「因直言觸忤劉璋，被璋髡鉗為徒隸，因此短髮。」
2.剪去樹木的枝葉，使之光禿。《齊民要術．卷五．種槐柳楸梓梧柞》：「十年之後，髡一樹，得一載，歲髡二百樹，五年一周。」
[名]
古代剃去男子頭髮的刑罰。始於秦代，隋唐後漸廢。 |</v>
      </c>
    </row>
    <row r="6048" spans="1:44" hidden="1">
      <c r="A6048" s="1" t="s">
        <v>11368</v>
      </c>
      <c r="C6048" s="1">
        <v>1</v>
      </c>
      <c r="D6048" s="1" t="str">
        <f>"04667"</f>
        <v>04667</v>
      </c>
      <c r="E6048" s="1" t="s">
        <v>340</v>
      </c>
      <c r="F6048" s="1">
        <v>15</v>
      </c>
      <c r="G6048" s="1">
        <v>9</v>
      </c>
      <c r="H6048" s="1">
        <v>0</v>
      </c>
      <c r="I6048" s="1" t="s">
        <v>11343</v>
      </c>
      <c r="K6048" s="1" t="str">
        <f t="shared" si="387"/>
        <v>ㄎ</v>
      </c>
      <c r="L6048" s="1" t="str">
        <f t="shared" si="388"/>
        <v>ㄨ</v>
      </c>
      <c r="M6048" s="1" t="str">
        <f t="shared" si="390"/>
        <v>ㄣ</v>
      </c>
      <c r="P6048" s="1" t="s">
        <v>20</v>
      </c>
      <c r="R6048" s="1" t="s">
        <v>11344</v>
      </c>
      <c r="V6048" s="1" t="s">
        <v>11369</v>
      </c>
      <c r="AR6048" s="1" t="str">
        <f t="shared" si="389"/>
        <v>| [ㄎㄨㄣ](ㄎㄨㄣ.md) | [褌](褌.md) |  | kūn | [名]
舊稱褲子為「褌」。如：「紅褌」、「青布褌」。《史記．卷一一七．司馬相如傳》：「相如身自著犢鼻褌，與保庸雜作，滌器於市中。」《晉書．卷四九．阮籍傳》：「君子之處域內，何異夫蝨之處褌中乎？」 |</v>
      </c>
    </row>
    <row r="6049" spans="1:44" hidden="1">
      <c r="A6049" s="1" t="s">
        <v>11370</v>
      </c>
      <c r="C6049" s="1">
        <v>1</v>
      </c>
      <c r="D6049" s="1" t="str">
        <f>"04668"</f>
        <v>04668</v>
      </c>
      <c r="E6049" s="1" t="s">
        <v>250</v>
      </c>
      <c r="F6049" s="1">
        <v>10</v>
      </c>
      <c r="G6049" s="1">
        <v>7</v>
      </c>
      <c r="H6049" s="1">
        <v>0</v>
      </c>
      <c r="I6049" s="1" t="s">
        <v>11371</v>
      </c>
      <c r="K6049" s="1" t="str">
        <f t="shared" si="387"/>
        <v>ㄎ</v>
      </c>
      <c r="L6049" s="1" t="str">
        <f t="shared" si="388"/>
        <v>ㄨ</v>
      </c>
      <c r="M6049" s="1" t="str">
        <f t="shared" si="390"/>
        <v>ㄣ</v>
      </c>
      <c r="P6049" s="1" t="s">
        <v>20</v>
      </c>
      <c r="R6049" s="1" t="s">
        <v>11372</v>
      </c>
      <c r="V6049" s="1" t="s">
        <v>11373</v>
      </c>
      <c r="AR6049" s="1" t="str">
        <f t="shared" si="389"/>
        <v>| [ㄎㄨㄣˇ](ㄎㄨㄣˇ.md) | [悃](悃.md) |  | kǔn | [名]
至誠的心意。《廣韻．上聲．混韻》：「悃，至誠。」如：「聊表謝悃」。《三國演義》第三七回：「特拜尊顏，面傾鄙悃。」
[形]
真誠。《文選．王襃．聖主得賢臣頌》：「陳見悃誠，則上不然其信。」 |</v>
      </c>
    </row>
    <row r="6050" spans="1:44" hidden="1">
      <c r="A6050" s="1" t="s">
        <v>11374</v>
      </c>
      <c r="C6050" s="1">
        <v>1</v>
      </c>
      <c r="D6050" s="1" t="str">
        <f>"04669"</f>
        <v>04669</v>
      </c>
      <c r="E6050" s="1" t="s">
        <v>24</v>
      </c>
      <c r="F6050" s="1">
        <v>10</v>
      </c>
      <c r="G6050" s="1">
        <v>7</v>
      </c>
      <c r="H6050" s="1">
        <v>0</v>
      </c>
      <c r="I6050" s="1" t="s">
        <v>11371</v>
      </c>
      <c r="K6050" s="1" t="str">
        <f t="shared" si="387"/>
        <v>ㄎ</v>
      </c>
      <c r="L6050" s="1" t="str">
        <f t="shared" si="388"/>
        <v>ㄨ</v>
      </c>
      <c r="M6050" s="1" t="str">
        <f t="shared" si="390"/>
        <v>ㄣ</v>
      </c>
      <c r="P6050" s="1" t="s">
        <v>20</v>
      </c>
      <c r="R6050" s="1" t="s">
        <v>11372</v>
      </c>
      <c r="V6050" s="1" t="s">
        <v>11375</v>
      </c>
      <c r="AR6050" s="1" t="str">
        <f t="shared" si="389"/>
        <v>| [ㄎㄨㄣˇ](ㄎㄨㄣˇ.md) | [捆](捆.md) |  | kǔn | [動]
1.用繩子拴綁。如：「捆柴」、「捆行李」。
2.編織時擊打使堅固結實稱為「捆」。《孟子．滕文公上》：「其徒數十人，皆衣褐，捆屨織席以為食。」漢．趙岐．注：「捆，猶叩椓也，織履欲使堅，故叩之也。」宋．蘇軾〈僧清順新作垂雲亭〉詩：「空齋臥蒲褐，芒屨每自捆。」
[名]
量詞。計算成束物件的單位。如：「一捆木柴」、「兩捆報紙」。 |</v>
      </c>
    </row>
    <row r="6051" spans="1:44" hidden="1">
      <c r="A6051" s="1" t="s">
        <v>11376</v>
      </c>
      <c r="C6051" s="1">
        <v>1</v>
      </c>
      <c r="D6051" s="1" t="str">
        <f>"04670"</f>
        <v>04670</v>
      </c>
      <c r="E6051" s="1" t="s">
        <v>139</v>
      </c>
      <c r="F6051" s="1">
        <v>11</v>
      </c>
      <c r="G6051" s="1">
        <v>7</v>
      </c>
      <c r="H6051" s="1">
        <v>0</v>
      </c>
      <c r="I6051" s="1" t="s">
        <v>11371</v>
      </c>
      <c r="K6051" s="1" t="str">
        <f t="shared" si="387"/>
        <v>ㄎ</v>
      </c>
      <c r="L6051" s="1" t="str">
        <f t="shared" si="388"/>
        <v>ㄨ</v>
      </c>
      <c r="M6051" s="1" t="str">
        <f t="shared" si="390"/>
        <v>ㄣ</v>
      </c>
      <c r="P6051" s="1" t="s">
        <v>20</v>
      </c>
      <c r="R6051" s="1" t="s">
        <v>11372</v>
      </c>
      <c r="V6051" s="1" t="s">
        <v>11377</v>
      </c>
      <c r="AR6051" s="1" t="str">
        <f t="shared" si="389"/>
        <v>| [ㄎㄨㄣˇ](ㄎㄨㄣˇ.md) | [梱](梱.md) |  | kǔn | [名]
門限、門檻。《說文解字．木部》：「梱，門橛也。」清．段玉裁．注：「謂當門中設木也。」《禮記．曲禮上》：「外言不入於梱，內言不出於梱。」《史記．卷一一九．循吏傳．孫叔敖傳》：「王必欲高車，臣請教閭里使高其梱。」 |</v>
      </c>
    </row>
    <row r="6052" spans="1:44" hidden="1">
      <c r="A6052" s="1" t="s">
        <v>11378</v>
      </c>
      <c r="C6052" s="1">
        <v>1</v>
      </c>
      <c r="D6052" s="1" t="str">
        <f>"04671"</f>
        <v>04671</v>
      </c>
      <c r="E6052" s="1" t="s">
        <v>429</v>
      </c>
      <c r="F6052" s="1">
        <v>13</v>
      </c>
      <c r="G6052" s="1">
        <v>8</v>
      </c>
      <c r="H6052" s="1">
        <v>0</v>
      </c>
      <c r="I6052" s="1" t="s">
        <v>11371</v>
      </c>
      <c r="K6052" s="1" t="str">
        <f t="shared" si="387"/>
        <v>ㄎ</v>
      </c>
      <c r="L6052" s="1" t="str">
        <f t="shared" si="388"/>
        <v>ㄨ</v>
      </c>
      <c r="M6052" s="1" t="str">
        <f t="shared" ref="M6052:M6083" si="391">MID(I6052, 3, 1)</f>
        <v>ㄣ</v>
      </c>
      <c r="P6052" s="1" t="s">
        <v>20</v>
      </c>
      <c r="R6052" s="1" t="s">
        <v>11372</v>
      </c>
      <c r="V6052" s="1" t="s">
        <v>11379</v>
      </c>
      <c r="AR6052" s="1" t="str">
        <f t="shared" si="389"/>
        <v>| [ㄎㄨㄣˇ](ㄎㄨㄣˇ.md) | [稛](稛.md) |  | kǔn | [動]
用繩子捆綁。參見「稛載」條。 |</v>
      </c>
    </row>
    <row r="6053" spans="1:44" hidden="1">
      <c r="A6053" s="1" t="s">
        <v>11380</v>
      </c>
      <c r="C6053" s="1">
        <v>1</v>
      </c>
      <c r="D6053" s="1" t="str">
        <f>"04672"</f>
        <v>04672</v>
      </c>
      <c r="E6053" s="1" t="s">
        <v>725</v>
      </c>
      <c r="F6053" s="1">
        <v>13</v>
      </c>
      <c r="G6053" s="1">
        <v>7</v>
      </c>
      <c r="H6053" s="1">
        <v>0</v>
      </c>
      <c r="I6053" s="1" t="s">
        <v>11371</v>
      </c>
      <c r="K6053" s="1" t="str">
        <f t="shared" si="387"/>
        <v>ㄎ</v>
      </c>
      <c r="L6053" s="1" t="str">
        <f t="shared" si="388"/>
        <v>ㄨ</v>
      </c>
      <c r="M6053" s="1" t="str">
        <f t="shared" si="391"/>
        <v>ㄣ</v>
      </c>
      <c r="P6053" s="1" t="s">
        <v>20</v>
      </c>
      <c r="R6053" s="1" t="s">
        <v>11372</v>
      </c>
      <c r="V6053" s="1" t="s">
        <v>11381</v>
      </c>
      <c r="AR6053" s="1" t="str">
        <f t="shared" si="389"/>
        <v>| [ㄎㄨㄣˇ](ㄎㄨㄣˇ.md) | [綑](綑.md) |  | kǔn | [動]
1.織。《集韻．上聲．混韻》：「綑，織也。」《墨子．非樂上》：「多治麻絲葛緒綑布縿。」
2.用繩子拴綁。《紅樓夢》第七一回：「等過了這幾日，綑了送到那府裡憑大嫂子開發。」 |</v>
      </c>
    </row>
    <row r="6054" spans="1:44" hidden="1">
      <c r="A6054" s="1" t="s">
        <v>11382</v>
      </c>
      <c r="C6054" s="1">
        <v>1</v>
      </c>
      <c r="D6054" s="1" t="str">
        <f>"04673"</f>
        <v>04673</v>
      </c>
      <c r="E6054" s="1" t="s">
        <v>709</v>
      </c>
      <c r="F6054" s="1">
        <v>15</v>
      </c>
      <c r="G6054" s="1">
        <v>7</v>
      </c>
      <c r="H6054" s="1">
        <v>0</v>
      </c>
      <c r="I6054" s="1" t="s">
        <v>11371</v>
      </c>
      <c r="K6054" s="1" t="str">
        <f t="shared" si="387"/>
        <v>ㄎ</v>
      </c>
      <c r="L6054" s="1" t="str">
        <f t="shared" si="388"/>
        <v>ㄨ</v>
      </c>
      <c r="M6054" s="1" t="str">
        <f t="shared" si="391"/>
        <v>ㄣ</v>
      </c>
      <c r="P6054" s="1" t="s">
        <v>20</v>
      </c>
      <c r="R6054" s="1" t="s">
        <v>11372</v>
      </c>
      <c r="V6054" s="1" t="s">
        <v>11383</v>
      </c>
      <c r="AR6054" s="1" t="str">
        <f t="shared" si="389"/>
        <v>| [ㄎㄨㄣˇ](ㄎㄨㄣˇ.md) | [閫](閫.md) |  | kǔn | [名]
1.門檻、門限。《史記．卷一〇二．馮唐傳》：「曰閫以內者，寡人制之；閫以外者，將軍制之。」《南史．卷三六．沈演之傳》：「勃就之，顗送迎不越閫。」
2.舊稱婦女居住的內室。明．王世貞《鳴鳳記》第一四齣：「清夜謾勞神，幽閫添悲愴。」《紅樓夢》第八三回：「省宮闈賈元妃染恙，鬧閨閫薛寶釵吞聲。」
3.對他人妻子的敬稱。《警世通言．卷一二．范鰍兒雙鏡重圓》：「足下既然別娶，可攜新閫同來。」《初刻拍案驚奇》卷二七：「尊閫夫人幾時亡故？」
4.古代指統兵在外的統帥或軍事機構。唐．白居易〈祭張敬則文〉：「自膺閫職，益茂勛猷。」宋．文天祥〈指南錄後序〉：「至京口，得間奔真州，即具以北虛實告東西二閫，約以連兵大舉。」
5.姓。如明代有閫立道。 |</v>
      </c>
    </row>
    <row r="6055" spans="1:44" hidden="1">
      <c r="A6055" s="1" t="s">
        <v>11384</v>
      </c>
      <c r="C6055" s="1">
        <v>1</v>
      </c>
      <c r="D6055" s="1" t="str">
        <f>"04674"</f>
        <v>04674</v>
      </c>
      <c r="E6055" s="1" t="s">
        <v>11385</v>
      </c>
      <c r="F6055" s="1">
        <v>13</v>
      </c>
      <c r="G6055" s="1">
        <v>10</v>
      </c>
      <c r="H6055" s="1">
        <v>0</v>
      </c>
      <c r="I6055" s="1" t="s">
        <v>11371</v>
      </c>
      <c r="K6055" s="1" t="str">
        <f t="shared" si="387"/>
        <v>ㄎ</v>
      </c>
      <c r="L6055" s="1" t="str">
        <f t="shared" si="388"/>
        <v>ㄨ</v>
      </c>
      <c r="M6055" s="1" t="str">
        <f t="shared" si="391"/>
        <v>ㄣ</v>
      </c>
      <c r="P6055" s="1" t="s">
        <v>20</v>
      </c>
      <c r="R6055" s="1" t="s">
        <v>11372</v>
      </c>
      <c r="V6055" s="1" t="s">
        <v>11386</v>
      </c>
      <c r="AR6055" s="1" t="str">
        <f t="shared" si="389"/>
        <v>| [ㄎㄨㄣˇ](ㄎㄨㄣˇ.md) | [壼](壼.md) |  | kǔn | [名]
宮廷中的巷道。《爾雅．釋宮》：「宮中衖謂之壼。」晉．郭璞．注：「巷閤間道。」
[形]
1.屬於婦女的。如：「壼範」、「壼室」、「壼則」。唐．陳子昂〈祭外姑宇文夫人文〉：「崇嚴壼訓，芬郁母儀。」
2.寬廣。《詩經．大雅．既醉》：「其類維何？室家之壼。」漢．毛亨．傳：「壼，廣也。」 |</v>
      </c>
    </row>
    <row r="6056" spans="1:44" hidden="1">
      <c r="A6056" s="1" t="s">
        <v>11387</v>
      </c>
      <c r="C6056" s="1">
        <v>1</v>
      </c>
      <c r="D6056" s="1" t="str">
        <f>"04675"</f>
        <v>04675</v>
      </c>
      <c r="E6056" s="1" t="s">
        <v>2557</v>
      </c>
      <c r="F6056" s="1">
        <v>7</v>
      </c>
      <c r="G6056" s="1">
        <v>4</v>
      </c>
      <c r="H6056" s="1">
        <v>0</v>
      </c>
      <c r="I6056" s="1" t="s">
        <v>11388</v>
      </c>
      <c r="K6056" s="1" t="str">
        <f t="shared" si="387"/>
        <v>ㄎ</v>
      </c>
      <c r="L6056" s="1" t="str">
        <f t="shared" si="388"/>
        <v>ㄨ</v>
      </c>
      <c r="M6056" s="1" t="str">
        <f t="shared" si="391"/>
        <v>ㄣ</v>
      </c>
      <c r="P6056" s="1" t="s">
        <v>20</v>
      </c>
      <c r="R6056" s="1" t="s">
        <v>11389</v>
      </c>
      <c r="V6056" s="1" t="s">
        <v>11390</v>
      </c>
      <c r="AR6056" s="1" t="str">
        <f t="shared" si="389"/>
        <v>| [ㄎㄨㄣˋ](ㄎㄨㄣˋ.md) | [困](困.md) |  | kùn | [形]
1.艱難痛苦。如：「艱困」、「窘困」、「困境」。《史記．卷八四．屈原賈生傳》：「而齊竟怒不救楚，楚大困。」
2.窮苦。如：「貧困」、「窮困」。《史記．卷六二．管晏傳》：「吾始困時，嘗與鮑叔賈，分財利，多自與。」
3.疲倦、疲乏。如：「困倦」、「困頓」、「形疲神困」。宋．蘇軾．〈和子由澠池懷舊〉詩：「往日崎嶇還記否？路長人困蹇驢嘶。」
[動]
1.陷在艱難困苦裡，或受環境、條件等因素限制住。如：「為病所困」、「被這個問題困住了！」宋．曹勛〈望太行〉詩：「一生困塵土，半世走阡陌。」
2.包圍、圍住。如：「圍困」。漢．李陵〈重報蘇武書〉：「昔高皇帝以三十萬眾，困于平城。」
[名]
《易經》卦名。六十四卦之一。坎（☵）下兌（☱）上。《易經．困卦．象曰》：「澤無水，困。君子以致命遂志。」 |</v>
      </c>
    </row>
    <row r="6057" spans="1:44" hidden="1">
      <c r="A6057" s="1" t="s">
        <v>11391</v>
      </c>
      <c r="C6057" s="1">
        <v>1</v>
      </c>
      <c r="D6057" s="1" t="str">
        <f>"04676"</f>
        <v>04676</v>
      </c>
      <c r="E6057" s="1" t="s">
        <v>1015</v>
      </c>
      <c r="F6057" s="1">
        <v>12</v>
      </c>
      <c r="G6057" s="1">
        <v>7</v>
      </c>
      <c r="H6057" s="1">
        <v>0</v>
      </c>
      <c r="I6057" s="1" t="s">
        <v>11388</v>
      </c>
      <c r="K6057" s="1" t="str">
        <f t="shared" si="387"/>
        <v>ㄎ</v>
      </c>
      <c r="L6057" s="1" t="str">
        <f t="shared" si="388"/>
        <v>ㄨ</v>
      </c>
      <c r="M6057" s="1" t="str">
        <f t="shared" si="391"/>
        <v>ㄣ</v>
      </c>
      <c r="P6057" s="1" t="s">
        <v>20</v>
      </c>
      <c r="R6057" s="1" t="s">
        <v>11389</v>
      </c>
      <c r="V6057" s="1" t="s">
        <v>11392</v>
      </c>
      <c r="AR6057" s="1" t="str">
        <f t="shared" si="389"/>
        <v>| [ㄎㄨㄣˋ](ㄎㄨㄣˋ.md) | [睏](睏.md) |  | kùn | [動]
1.睡。如：「睏覺」、「睏一會兒」。《老殘遊記》第五回：「我睏在大門旁邊南屋裡，你老有事，來招呼我罷！」
2.倦而欲睡。如：「我太累了，睏得睜不開眼來。」、「你若睏了，就先上床睡吧！」 |</v>
      </c>
    </row>
    <row r="6058" spans="1:44" hidden="1">
      <c r="A6058" s="1" t="s">
        <v>11393</v>
      </c>
      <c r="C6058" s="1">
        <v>1</v>
      </c>
      <c r="D6058" s="1" t="str">
        <f>"04677"</f>
        <v>04677</v>
      </c>
      <c r="E6058" s="1" t="s">
        <v>3892</v>
      </c>
      <c r="F6058" s="1">
        <v>6</v>
      </c>
      <c r="G6058" s="1">
        <v>4</v>
      </c>
      <c r="H6058" s="1">
        <v>0</v>
      </c>
      <c r="I6058" s="1" t="s">
        <v>11394</v>
      </c>
      <c r="K6058" s="1" t="str">
        <f t="shared" si="387"/>
        <v>ㄎ</v>
      </c>
      <c r="L6058" s="1" t="str">
        <f t="shared" si="388"/>
        <v>ㄨ</v>
      </c>
      <c r="M6058" s="1" t="str">
        <f t="shared" si="391"/>
        <v>ㄤ</v>
      </c>
      <c r="P6058" s="1" t="s">
        <v>20</v>
      </c>
      <c r="R6058" s="1" t="s">
        <v>11395</v>
      </c>
      <c r="V6058" s="1" t="s">
        <v>11396</v>
      </c>
      <c r="AR6058" s="1" t="str">
        <f t="shared" si="389"/>
        <v>| [ㄎㄨㄤ](ㄎㄨㄤ.md) | [匡](匡.md) |  | kuāng | [動]
1.改正、扶正。如：「匡正」、「匡謬」。《左傳．襄公十四年》：「過則匡之。」《史記．卷六二．管晏傳》：「九合諸侯，一匡天下，管仲之謀也。」
2.救濟。如：「匡救」。《左傳．成公十八年》：「匡乏困，救災患。」《管子．五輔》：「養長老，……弔禍喪，此謂匡其急。」
3.輔佐、幫助。《漢書．卷八．宣帝紀》：「有能箴朕過失，及賢良方正直言極諫之士，以匡朕之不逮，毋諱有司。」《三國志．卷八．魏書．張魯傳》：「上匡天子，則為桓文。」
4.料想。《醒世恆言．卷三．賣油郎獨占花魁》：「你是個做經紀本分人兒，那匡你會溫存，能軟款，知心知意。」《二刻拍案驚奇》卷一〇：「方氏大怒道：『你就匡我養不出，生起外心來了！』」
[名]
1.眼眶。通「眶」。《史記．卷一一八．淮南王傳》：「於是氣怨結而不揚，涕滿匡而橫流。」
2.姓。如漢代有匡衡，清代有匡輔之。 |</v>
      </c>
    </row>
    <row r="6059" spans="1:44" hidden="1">
      <c r="A6059" s="1" t="s">
        <v>11397</v>
      </c>
      <c r="C6059" s="1">
        <v>1</v>
      </c>
      <c r="D6059" s="1" t="str">
        <f>"04678"</f>
        <v>04678</v>
      </c>
      <c r="E6059" s="1" t="s">
        <v>245</v>
      </c>
      <c r="F6059" s="1">
        <v>8</v>
      </c>
      <c r="G6059" s="1">
        <v>6</v>
      </c>
      <c r="H6059" s="1">
        <v>0</v>
      </c>
      <c r="I6059" s="1" t="s">
        <v>11394</v>
      </c>
      <c r="K6059" s="1" t="str">
        <f t="shared" si="387"/>
        <v>ㄎ</v>
      </c>
      <c r="L6059" s="1" t="str">
        <f t="shared" si="388"/>
        <v>ㄨ</v>
      </c>
      <c r="M6059" s="1" t="str">
        <f t="shared" si="391"/>
        <v>ㄤ</v>
      </c>
      <c r="P6059" s="1" t="s">
        <v>20</v>
      </c>
      <c r="R6059" s="1" t="s">
        <v>11395</v>
      </c>
      <c r="V6059" s="1" t="s">
        <v>11398</v>
      </c>
      <c r="AR6059" s="1" t="str">
        <f t="shared" si="389"/>
        <v>| [ㄎㄨㄤ](ㄎㄨㄤ.md) | [劻](劻.md) |  | kuāng | 參見「劻勷」條。 |</v>
      </c>
    </row>
    <row r="6060" spans="1:44" hidden="1">
      <c r="A6060" s="1" t="s">
        <v>11399</v>
      </c>
      <c r="C6060" s="1">
        <v>1</v>
      </c>
      <c r="D6060" s="1" t="str">
        <f>"04679"</f>
        <v>04679</v>
      </c>
      <c r="E6060" s="1" t="s">
        <v>129</v>
      </c>
      <c r="F6060" s="1">
        <v>9</v>
      </c>
      <c r="G6060" s="1">
        <v>6</v>
      </c>
      <c r="H6060" s="1">
        <v>0</v>
      </c>
      <c r="I6060" s="1" t="s">
        <v>11394</v>
      </c>
      <c r="K6060" s="1" t="str">
        <f t="shared" si="387"/>
        <v>ㄎ</v>
      </c>
      <c r="L6060" s="1" t="str">
        <f t="shared" si="388"/>
        <v>ㄨ</v>
      </c>
      <c r="M6060" s="1" t="str">
        <f t="shared" si="391"/>
        <v>ㄤ</v>
      </c>
      <c r="P6060" s="1" t="s">
        <v>20</v>
      </c>
      <c r="R6060" s="1" t="s">
        <v>11395</v>
      </c>
      <c r="V6060" s="1" t="s">
        <v>11400</v>
      </c>
      <c r="AR6060" s="1" t="str">
        <f t="shared" si="389"/>
        <v>| [ㄎㄨㄤ](ㄎㄨㄤ.md) | [洭](洭.md) |  | kuāng | 參見「洭水」條。 |</v>
      </c>
    </row>
    <row r="6061" spans="1:44" hidden="1">
      <c r="A6061" s="1" t="s">
        <v>11401</v>
      </c>
      <c r="C6061" s="1">
        <v>1</v>
      </c>
      <c r="D6061" s="1" t="str">
        <f>"04680"</f>
        <v>04680</v>
      </c>
      <c r="E6061" s="1" t="s">
        <v>250</v>
      </c>
      <c r="F6061" s="1">
        <v>9</v>
      </c>
      <c r="G6061" s="1">
        <v>6</v>
      </c>
      <c r="H6061" s="1">
        <v>0</v>
      </c>
      <c r="I6061" s="1" t="s">
        <v>11394</v>
      </c>
      <c r="K6061" s="1" t="str">
        <f t="shared" si="387"/>
        <v>ㄎ</v>
      </c>
      <c r="L6061" s="1" t="str">
        <f t="shared" si="388"/>
        <v>ㄨ</v>
      </c>
      <c r="M6061" s="1" t="str">
        <f t="shared" si="391"/>
        <v>ㄤ</v>
      </c>
      <c r="P6061" s="1" t="s">
        <v>20</v>
      </c>
      <c r="R6061" s="1" t="s">
        <v>11395</v>
      </c>
      <c r="V6061" s="1" t="s">
        <v>11402</v>
      </c>
      <c r="AR6061" s="1" t="str">
        <f t="shared" si="389"/>
        <v>| [ㄎㄨㄤ](ㄎㄨㄤ.md) | [恇](恇.md) |  | kuāng | [動]
1.膽怯、害怕。《說文解字．心部》：「恇，怯也。」《後漢書．卷一二．張步傳》：「時國無嗣主，內外恇懼。」
2.料到、料想。元．張國賓《合汗衫》第一折：「則打的一拳，不恇就打殺了。」元．武漢臣《生金閣》第一折：「我那裡恇郭成的渾家，這等生的風流，長的可喜。」
[形]
虛弱、衰敗。《黃帝素問靈樞經．卷五．寒熱病》：「精泄則病甚而恇，致氣則生為癰疽也。」 |</v>
      </c>
    </row>
    <row r="6062" spans="1:44" hidden="1">
      <c r="A6062" s="1" t="s">
        <v>11403</v>
      </c>
      <c r="C6062" s="1">
        <v>1</v>
      </c>
      <c r="D6062" s="1" t="str">
        <f>"04680A"</f>
        <v>04680A</v>
      </c>
      <c r="E6062" s="1" t="s">
        <v>139</v>
      </c>
      <c r="F6062" s="1">
        <v>10</v>
      </c>
      <c r="G6062" s="1">
        <v>6</v>
      </c>
      <c r="H6062" s="1">
        <v>0</v>
      </c>
      <c r="I6062" s="1" t="s">
        <v>11394</v>
      </c>
      <c r="K6062" s="1" t="str">
        <f t="shared" si="387"/>
        <v>ㄎ</v>
      </c>
      <c r="L6062" s="1" t="str">
        <f t="shared" si="388"/>
        <v>ㄨ</v>
      </c>
      <c r="M6062" s="1" t="str">
        <f t="shared" si="391"/>
        <v>ㄤ</v>
      </c>
      <c r="P6062" s="1" t="s">
        <v>20</v>
      </c>
      <c r="R6062" s="1" t="s">
        <v>11395</v>
      </c>
      <c r="V6062" s="1" t="s">
        <v>11404</v>
      </c>
      <c r="AR6062" s="1" t="str">
        <f t="shared" si="389"/>
        <v>| [ㄎㄨㄤ](ㄎㄨㄤ.md) | [框](框.md) |  | kuāng | [名]
1.安裝在門窗上，具有固定作用的架子。明．張自烈《正字通．木部》：「框，門檔。」如：「窗框」、「門框」。
2.器物周圍可以嵌住東西的部分。如：「鏡框」、「相框」。也稱為「框子」、「框兒」。 |</v>
      </c>
    </row>
    <row r="6063" spans="1:44" hidden="1">
      <c r="A6063" s="1" t="s">
        <v>11405</v>
      </c>
      <c r="C6063" s="1">
        <v>1</v>
      </c>
      <c r="D6063" s="1" t="str">
        <f>"04681"</f>
        <v>04681</v>
      </c>
      <c r="E6063" s="1" t="s">
        <v>1015</v>
      </c>
      <c r="F6063" s="1">
        <v>11</v>
      </c>
      <c r="G6063" s="1">
        <v>6</v>
      </c>
      <c r="H6063" s="1">
        <v>0</v>
      </c>
      <c r="I6063" s="1" t="s">
        <v>11394</v>
      </c>
      <c r="K6063" s="1" t="str">
        <f t="shared" si="387"/>
        <v>ㄎ</v>
      </c>
      <c r="L6063" s="1" t="str">
        <f t="shared" si="388"/>
        <v>ㄨ</v>
      </c>
      <c r="M6063" s="1" t="str">
        <f t="shared" si="391"/>
        <v>ㄤ</v>
      </c>
      <c r="P6063" s="1" t="s">
        <v>20</v>
      </c>
      <c r="R6063" s="1" t="s">
        <v>11395</v>
      </c>
      <c r="V6063" s="1" t="s">
        <v>11406</v>
      </c>
      <c r="AR6063" s="1" t="str">
        <f t="shared" si="389"/>
        <v>| [ㄎㄨㄤ](ㄎㄨㄤ.md) | [眶](眶.md) |  | kuāng | [名]
眼窩、眼睛的四周。如：「眼眶」、「熱淚盈眶」、「奪眶而出」。《列子．仲尼》：「矢注眸子而眶不睫。」 |</v>
      </c>
    </row>
    <row r="6064" spans="1:44" hidden="1">
      <c r="A6064" s="1" t="s">
        <v>11407</v>
      </c>
      <c r="C6064" s="1">
        <v>1</v>
      </c>
      <c r="D6064" s="1" t="str">
        <f>"04682"</f>
        <v>04682</v>
      </c>
      <c r="E6064" s="1" t="s">
        <v>49</v>
      </c>
      <c r="F6064" s="1">
        <v>12</v>
      </c>
      <c r="G6064" s="1">
        <v>6</v>
      </c>
      <c r="H6064" s="1">
        <v>0</v>
      </c>
      <c r="I6064" s="1" t="s">
        <v>11394</v>
      </c>
      <c r="K6064" s="1" t="str">
        <f t="shared" si="387"/>
        <v>ㄎ</v>
      </c>
      <c r="L6064" s="1" t="str">
        <f t="shared" si="388"/>
        <v>ㄨ</v>
      </c>
      <c r="M6064" s="1" t="str">
        <f t="shared" si="391"/>
        <v>ㄤ</v>
      </c>
      <c r="P6064" s="1" t="s">
        <v>20</v>
      </c>
      <c r="R6064" s="1" t="s">
        <v>11395</v>
      </c>
      <c r="V6064" s="1" t="s">
        <v>11408</v>
      </c>
      <c r="AR6064" s="1" t="str">
        <f t="shared" si="389"/>
        <v>| [ㄎㄨㄤ](ㄎㄨㄤ.md) | [筐](筐.md) |  | kuāng | [名]
盛物的方形竹器。今稱用竹篾或柳條等所編成的盛物器。如：「竹筐」、「籮筐」。《詩經．召南．采蘋》：「于以盛之，維筐及筥。」漢．毛亨．傳：「方曰筐，圓曰筥。」 |</v>
      </c>
    </row>
    <row r="6065" spans="1:44" hidden="1">
      <c r="A6065" s="1" t="s">
        <v>11409</v>
      </c>
      <c r="C6065" s="1">
        <v>1</v>
      </c>
      <c r="D6065" s="1" t="str">
        <f>"04683"</f>
        <v>04683</v>
      </c>
      <c r="E6065" s="1" t="s">
        <v>331</v>
      </c>
      <c r="F6065" s="1">
        <v>13</v>
      </c>
      <c r="G6065" s="1">
        <v>6</v>
      </c>
      <c r="H6065" s="1">
        <v>0</v>
      </c>
      <c r="I6065" s="1" t="s">
        <v>11394</v>
      </c>
      <c r="K6065" s="1" t="str">
        <f t="shared" si="387"/>
        <v>ㄎ</v>
      </c>
      <c r="L6065" s="1" t="str">
        <f t="shared" si="388"/>
        <v>ㄨ</v>
      </c>
      <c r="M6065" s="1" t="str">
        <f t="shared" si="391"/>
        <v>ㄤ</v>
      </c>
      <c r="P6065" s="1" t="s">
        <v>20</v>
      </c>
      <c r="R6065" s="1" t="s">
        <v>11395</v>
      </c>
      <c r="V6065" s="1" t="s">
        <v>11410</v>
      </c>
      <c r="AR6065" s="1" t="str">
        <f t="shared" si="389"/>
        <v>| [ㄎㄨㄤ](ㄎㄨㄤ.md) | [誆](誆.md) |  | kuāng | [動]
欺騙、哄騙。如：「誆人」。《二刻拍案驚奇》卷二〇：「果然府中來借，怎好不借？只怕被別人狐假虎威的誆的去，這個卻保不得他。」 |</v>
      </c>
    </row>
    <row r="6066" spans="1:44" hidden="1">
      <c r="A6066" s="1" t="s">
        <v>11411</v>
      </c>
      <c r="C6066" s="1">
        <v>1</v>
      </c>
      <c r="D6066" s="1" t="str">
        <f>"04684"</f>
        <v>04684</v>
      </c>
      <c r="E6066" s="1" t="s">
        <v>198</v>
      </c>
      <c r="F6066" s="1">
        <v>7</v>
      </c>
      <c r="G6066" s="1">
        <v>4</v>
      </c>
      <c r="H6066" s="1">
        <v>0</v>
      </c>
      <c r="I6066" s="1" t="s">
        <v>11412</v>
      </c>
      <c r="K6066" s="1" t="str">
        <f t="shared" si="387"/>
        <v>ㄎ</v>
      </c>
      <c r="L6066" s="1" t="str">
        <f t="shared" si="388"/>
        <v>ㄨ</v>
      </c>
      <c r="M6066" s="1" t="str">
        <f t="shared" si="391"/>
        <v>ㄤ</v>
      </c>
      <c r="P6066" s="1" t="s">
        <v>20</v>
      </c>
      <c r="R6066" s="1" t="s">
        <v>11413</v>
      </c>
      <c r="V6066" s="1" t="s">
        <v>11414</v>
      </c>
      <c r="AR6066" s="1" t="str">
        <f t="shared" si="389"/>
        <v>| [ㄎㄨㄤˊ](ㄎㄨㄤˊ.md) | [狂](狂.md) |  | kuáng | [形]
1.誇大的、傲慢自大。如：「狂妄」、「口出狂言」。《左傳．昭公二十三年》：「胡、沈之君幼而狂，陳大夫齧壯而頑。」三國蜀．諸葛亮〈罷來敏教〉：「敏年老狂悖，生此怨言。」
2.放縱、放蕩。如：「狂放不羈」。《漢書．卷四三．酈食其傳》：「然吏縣中賢豪不敢役，皆謂之狂生。」唐．李白〈廬山謠寄盧侍御虛舟〉詩：「我本楚狂人，鳳歌笑孔丘。」
3.強烈、猛烈。如：「力挽狂瀾」、「狂風驟雨」。宋．賀鑄〈宿芥塘佛祠〉詩：「青青穬麥欲抽芒，浩蕩東風晚更狂。」
[名]
1.瘋癲。如：「發狂」、「喪心病狂」。《書經．微子》：「我其發出狂，吾家耄，遜于荒。」漢．孔安國．傳：「發疾生狂。」宋．蘇軾〈方山子傳〉：「余聞光黃間多異人，往往陽狂垢汙，不可得而見。」
2.姓。如黃帝時有狂屈豎，春秋時宋國有狂狡。
[副]
1.任情恣意、不受拘束。如：「狂歡」、「狂笑不已」。唐．王維〈輞川閒居贈裴秀才迪〉詩：「復值接輿醉，狂歌五柳前。」宋．蘇舜欽〈依韻和伯鎮中秋見月九日遇雨之作〉詩：「放歌狂飲不知曉，爛熳酌客山嶽頹。」
2.急速、快促。如：「狂奔」。《楚辭．屈原．九章．抽思》：「狂顧南行，聊以娛心兮。」《文選．嵇康．琴賦》：「爾乃顛波奔突，狂赴爭流。」 |</v>
      </c>
    </row>
    <row r="6067" spans="1:44" hidden="1">
      <c r="A6067" s="1" t="s">
        <v>11415</v>
      </c>
      <c r="C6067" s="1">
        <v>1</v>
      </c>
      <c r="D6067" s="1" t="str">
        <f>"04685"</f>
        <v>04685</v>
      </c>
      <c r="E6067" s="1" t="s">
        <v>331</v>
      </c>
      <c r="F6067" s="1">
        <v>14</v>
      </c>
      <c r="G6067" s="1">
        <v>7</v>
      </c>
      <c r="H6067" s="1">
        <v>0</v>
      </c>
      <c r="I6067" s="1" t="s">
        <v>11412</v>
      </c>
      <c r="K6067" s="1" t="str">
        <f t="shared" si="387"/>
        <v>ㄎ</v>
      </c>
      <c r="L6067" s="1" t="str">
        <f t="shared" si="388"/>
        <v>ㄨ</v>
      </c>
      <c r="M6067" s="1" t="str">
        <f t="shared" si="391"/>
        <v>ㄤ</v>
      </c>
      <c r="P6067" s="1" t="s">
        <v>20</v>
      </c>
      <c r="R6067" s="1" t="s">
        <v>11413</v>
      </c>
      <c r="V6067" s="1" t="s">
        <v>11416</v>
      </c>
      <c r="AR6067" s="1" t="str">
        <f t="shared" si="389"/>
        <v>| [ㄎㄨㄤˊ](ㄎㄨㄤˊ.md) | [誑](誑.md) |  | kuáng | [動]
說謊、欺騙。《韓非子．和氏》：「王以和為誑，而刖其左足。」《聊齋志異．卷一一．書痴》：「心竊怨古人之誑己也。」 |</v>
      </c>
    </row>
    <row r="6068" spans="1:44" hidden="1">
      <c r="A6068" s="1" t="s">
        <v>11417</v>
      </c>
      <c r="C6068" s="1">
        <v>1</v>
      </c>
      <c r="D6068" s="1" t="str">
        <f>"04686"</f>
        <v>04686</v>
      </c>
      <c r="E6068" s="1" t="s">
        <v>272</v>
      </c>
      <c r="F6068" s="1">
        <v>18</v>
      </c>
      <c r="G6068" s="1">
        <v>7</v>
      </c>
      <c r="H6068" s="1">
        <v>0</v>
      </c>
      <c r="I6068" s="1" t="s">
        <v>11412</v>
      </c>
      <c r="K6068" s="1" t="str">
        <f t="shared" si="387"/>
        <v>ㄎ</v>
      </c>
      <c r="L6068" s="1" t="str">
        <f t="shared" si="388"/>
        <v>ㄨ</v>
      </c>
      <c r="M6068" s="1" t="str">
        <f t="shared" si="391"/>
        <v>ㄤ</v>
      </c>
      <c r="P6068" s="1" t="s">
        <v>20</v>
      </c>
      <c r="R6068" s="1" t="s">
        <v>11413</v>
      </c>
      <c r="V6068" s="1" t="s">
        <v>11418</v>
      </c>
      <c r="AR6068" s="1" t="str">
        <f t="shared" si="389"/>
        <v>| [ㄎㄨㄤˊ](ㄎㄨㄤˊ.md) | [鵟](鵟.md) |  | kuáng | [名]
動物名：(1)夢鳥。鳳屬。具五彩羽毛，頭有冠。《玉篇．鳥部》：「鵟，鳥，有冠。」《爾雅．釋鳥》：「狂，夢鳥。」唐．陸德明《經典釋文．卷三〇．爾雅音義下》：「鵟，本今作狂。」(2)貓頭鷹。《廣韻．平聲．陽韻》：「鵟，鴟屬。」《爾雅．釋鳥》：「狂，茅鴟。」清．郝懿行．義疏：「茅鴟，即今貓兒頭，其頭似貓，大目，有毛角。……，揚州謂之夜貓。善笑，俗人聞其笑聲，云有凶禍也。」(3)一種狀似老鷹的鳥。羽毛褐色，尾部稍淡。常在高空飛翔。以鼠類為食，是田間的益鳥。俗稱為「土豹」。 |</v>
      </c>
    </row>
    <row r="6069" spans="1:44" hidden="1">
      <c r="A6069" s="1" t="s">
        <v>11419</v>
      </c>
      <c r="C6069" s="1">
        <v>1</v>
      </c>
      <c r="D6069" s="1" t="str">
        <f>"04687"</f>
        <v>04687</v>
      </c>
      <c r="E6069" s="1" t="s">
        <v>250</v>
      </c>
      <c r="F6069" s="1">
        <v>18</v>
      </c>
      <c r="G6069" s="1">
        <v>15</v>
      </c>
      <c r="H6069" s="1">
        <v>0</v>
      </c>
      <c r="I6069" s="1" t="s">
        <v>11420</v>
      </c>
      <c r="K6069" s="1" t="str">
        <f t="shared" si="387"/>
        <v>ㄎ</v>
      </c>
      <c r="L6069" s="1" t="str">
        <f t="shared" si="388"/>
        <v>ㄨ</v>
      </c>
      <c r="M6069" s="1" t="str">
        <f t="shared" si="391"/>
        <v>ㄤ</v>
      </c>
      <c r="P6069" s="1" t="s">
        <v>20</v>
      </c>
      <c r="R6069" s="1" t="s">
        <v>11421</v>
      </c>
      <c r="V6069" s="1" t="s">
        <v>11422</v>
      </c>
      <c r="AR6069" s="1" t="str">
        <f t="shared" si="389"/>
        <v>| [ㄎㄨㄤˇ](ㄎㄨㄤˇ.md) | [懭](懭.md) |  | kuǎng | [形]
懭悢：失意不得志。《集韻．上聲．蕩韻》：「懭，懭悢，意不得也。」《楚辭．宋玉．九辯》：「愴怳懭悢兮，去故而就新。」漢．王逸．注：「中情悵惘，意不得也。」 |</v>
      </c>
    </row>
    <row r="6070" spans="1:44" hidden="1">
      <c r="A6070" s="1" t="s">
        <v>11423</v>
      </c>
      <c r="C6070" s="1">
        <v>1</v>
      </c>
      <c r="D6070" s="1" t="str">
        <f>"04688"</f>
        <v>04688</v>
      </c>
      <c r="E6070" s="1" t="s">
        <v>129</v>
      </c>
      <c r="F6070" s="1">
        <v>8</v>
      </c>
      <c r="G6070" s="1">
        <v>5</v>
      </c>
      <c r="H6070" s="1">
        <v>0</v>
      </c>
      <c r="I6070" s="1" t="s">
        <v>11424</v>
      </c>
      <c r="K6070" s="1" t="str">
        <f t="shared" si="387"/>
        <v>ㄎ</v>
      </c>
      <c r="L6070" s="1" t="str">
        <f t="shared" si="388"/>
        <v>ㄨ</v>
      </c>
      <c r="M6070" s="1" t="str">
        <f t="shared" si="391"/>
        <v>ㄤ</v>
      </c>
      <c r="P6070" s="1" t="s">
        <v>20</v>
      </c>
      <c r="R6070" s="1" t="s">
        <v>11425</v>
      </c>
      <c r="V6070" s="1" t="s">
        <v>11426</v>
      </c>
      <c r="AR6070" s="1" t="str">
        <f t="shared" si="389"/>
        <v>| [ㄎㄨㄤˋ](ㄎㄨㄤˋ.md) | [況](況.md) |  | kuàng | [名]_x000D_
1.情形、狀態。如：「近況」、「概況」、「實況」、「窘況」。《詩．大雅．桑柔》：「為謀為毖，亂況斯削。」唐．杜荀鶴〈贈秋浦張明府〉詩：「他日親知問官況，但教吟取杜家詩。」_x000D_
2.恩惠。通「貺」。《漢書．卷四六．萬石衞直周張傳．萬石君石奮》：「皇天嘉況，神物並見。」_x000D_
3.姓。如三國時蜀國有況長寧，元代有況逵。_x000D_
[動]_x000D_
1.比擬、譬喻。《漢書．卷一六．高惠高后文功臣表》：「以往況今，甚可悲傷。」_x000D_
2.拜訪、惠顧。《史記．卷一一七．司馬相如列傳》：「足下不遠千里，來況齊國。」《漢書．卷五二．竇田灌韓傳．灌夫》：「將軍肯幸臨況魏其侯，夫安敢以服為解！」_x000D_
[副]_x000D_
1.益、更加。《詩經．小雅．出車》：「憂心悄悄，僕夫況瘁。」漢．鄭玄．箋：「況，茲也。」《國語．晉語一》：「以眾故不敢愛親，眾況厚之。」三國吳．韋昭．注：「況，益也。言以眾故殺君，除民害，眾益以為厚。」_x000D_
2.正、恰好。《董西廂》卷三：「生不勝怏怏，況是無聊，又聞夜雨。」_x000D_
[連]_x000D_
表示更進一層的語氣。相當於「何況」、「況且」。《孟子．萬章下》：「則天子不召師，而況諸侯乎？」唐．韓愈〈與崔群書〉：「況天之與人，當必異其所好惡無疑也。」 |</v>
      </c>
    </row>
    <row r="6071" spans="1:44" hidden="1">
      <c r="A6071" s="1" t="s">
        <v>11427</v>
      </c>
      <c r="C6071" s="1">
        <v>1</v>
      </c>
      <c r="D6071" s="1" t="str">
        <f>"04689"</f>
        <v>04689</v>
      </c>
      <c r="E6071" s="1" t="s">
        <v>505</v>
      </c>
      <c r="F6071" s="1">
        <v>12</v>
      </c>
      <c r="G6071" s="1">
        <v>5</v>
      </c>
      <c r="H6071" s="1">
        <v>0</v>
      </c>
      <c r="I6071" s="1" t="s">
        <v>11424</v>
      </c>
      <c r="K6071" s="1" t="str">
        <f t="shared" si="387"/>
        <v>ㄎ</v>
      </c>
      <c r="L6071" s="1" t="str">
        <f t="shared" si="388"/>
        <v>ㄨ</v>
      </c>
      <c r="M6071" s="1" t="str">
        <f t="shared" si="391"/>
        <v>ㄤ</v>
      </c>
      <c r="P6071" s="1" t="s">
        <v>20</v>
      </c>
      <c r="R6071" s="1" t="s">
        <v>11425</v>
      </c>
      <c r="V6071" s="1" t="s">
        <v>11428</v>
      </c>
      <c r="AR6071" s="1" t="str">
        <f t="shared" si="389"/>
        <v>| [ㄎㄨㄤˋ](ㄎㄨㄤˋ.md) | [貺](貺.md) |  | kuàng | [動]
贈、賜與。《儀禮．燕禮》：「君貺寡君多矣。」漢．鄭玄．注：「貺，賜也。」
[名]
敬詞。稱別人所贈的東西或恩惠。《左傳．昭公三年》：「豈惟寡君，舉群臣實受其貺。」《晏子春秋．內篇．問下》：「寡人受貺矣。」 |</v>
      </c>
    </row>
    <row r="6072" spans="1:44" hidden="1">
      <c r="A6072" s="1" t="s">
        <v>11429</v>
      </c>
      <c r="C6072" s="1">
        <v>1</v>
      </c>
      <c r="D6072" s="1" t="str">
        <f>"04692"</f>
        <v>04692</v>
      </c>
      <c r="E6072" s="1" t="s">
        <v>725</v>
      </c>
      <c r="F6072" s="1">
        <v>12</v>
      </c>
      <c r="G6072" s="1">
        <v>6</v>
      </c>
      <c r="H6072" s="1">
        <v>0</v>
      </c>
      <c r="I6072" s="1" t="s">
        <v>11424</v>
      </c>
      <c r="K6072" s="1" t="str">
        <f t="shared" si="387"/>
        <v>ㄎ</v>
      </c>
      <c r="L6072" s="1" t="str">
        <f t="shared" si="388"/>
        <v>ㄨ</v>
      </c>
      <c r="M6072" s="1" t="str">
        <f t="shared" si="391"/>
        <v>ㄤ</v>
      </c>
      <c r="P6072" s="1" t="s">
        <v>20</v>
      </c>
      <c r="R6072" s="1" t="s">
        <v>11425</v>
      </c>
      <c r="V6072" s="1" t="s">
        <v>11430</v>
      </c>
      <c r="AR6072" s="1" t="str">
        <f t="shared" si="389"/>
        <v>| [ㄎㄨㄤˋ](ㄎㄨㄤˋ.md) | [絖](絖.md) |  | kuàng | [名]
棉絮。同「纊」。《莊子．逍遙遊》：「宋人有善為不龜手之藥者，世世以洴澼絖為事。」 |</v>
      </c>
    </row>
    <row r="6073" spans="1:44" hidden="1">
      <c r="A6073" s="1" t="s">
        <v>10625</v>
      </c>
      <c r="C6073" s="1">
        <v>1</v>
      </c>
      <c r="D6073" s="1" t="str">
        <f>"04693"</f>
        <v>04693</v>
      </c>
      <c r="E6073" s="1" t="s">
        <v>256</v>
      </c>
      <c r="F6073" s="1">
        <v>18</v>
      </c>
      <c r="G6073" s="1">
        <v>15</v>
      </c>
      <c r="H6073" s="1">
        <v>1</v>
      </c>
      <c r="I6073" s="1" t="s">
        <v>11424</v>
      </c>
      <c r="K6073" s="1" t="str">
        <f t="shared" si="387"/>
        <v>ㄎ</v>
      </c>
      <c r="L6073" s="1" t="str">
        <f t="shared" si="388"/>
        <v>ㄨ</v>
      </c>
      <c r="M6073" s="1" t="str">
        <f t="shared" si="391"/>
        <v>ㄤ</v>
      </c>
      <c r="P6073" s="1" t="s">
        <v>20</v>
      </c>
      <c r="R6073" s="1" t="s">
        <v>11425</v>
      </c>
      <c r="V6073" s="1" t="s">
        <v>11431</v>
      </c>
      <c r="W6073" s="1" t="s">
        <v>11432</v>
      </c>
      <c r="AR6073" s="1" t="str">
        <f t="shared" si="389"/>
        <v>| [ㄎㄨㄤˋ](ㄎㄨㄤˋ.md) | [鄺](鄺.md) |  | kuàng | [名]
姓。如明代有鄺埜。 |</v>
      </c>
    </row>
    <row r="6074" spans="1:44" hidden="1">
      <c r="A6074" s="1" t="s">
        <v>11433</v>
      </c>
      <c r="C6074" s="1">
        <v>1</v>
      </c>
      <c r="D6074" s="1" t="str">
        <f>"04694"</f>
        <v>04694</v>
      </c>
      <c r="E6074" s="1" t="s">
        <v>132</v>
      </c>
      <c r="F6074" s="1">
        <v>18</v>
      </c>
      <c r="G6074" s="1">
        <v>15</v>
      </c>
      <c r="H6074" s="1">
        <v>0</v>
      </c>
      <c r="I6074" s="1" t="s">
        <v>11424</v>
      </c>
      <c r="K6074" s="1" t="str">
        <f t="shared" si="387"/>
        <v>ㄎ</v>
      </c>
      <c r="L6074" s="1" t="str">
        <f t="shared" si="388"/>
        <v>ㄨ</v>
      </c>
      <c r="M6074" s="1" t="str">
        <f t="shared" si="391"/>
        <v>ㄤ</v>
      </c>
      <c r="P6074" s="1" t="s">
        <v>20</v>
      </c>
      <c r="R6074" s="1" t="s">
        <v>11425</v>
      </c>
      <c r="V6074" s="1" t="s">
        <v>11434</v>
      </c>
      <c r="AR6074" s="1" t="str">
        <f t="shared" si="389"/>
        <v>| [ㄎㄨㄤˋ](ㄎㄨㄤˋ.md) | [壙](壙.md) |  | kuàng | [名]
1.墓穴。《周禮．夏官．方相氏》：「及墓，入壙，以戈擊四隅。」宋．歐陽修〈江鄰幾文集序〉：「故余於聖俞，子美之歿，既已銘其壙，又類集其文而序之。」
2.原野，郊外空闊處。《孟子．離婁上》：「民之歸仁也，猶水之就下，獸之走壙也。」
[形]
空。同「曠」。如：「空壙」。
[動]
空缺、荒廢。《管子．七法》：「若夫曲制時舉，不失天時，毋壙地利。」 |</v>
      </c>
    </row>
    <row r="6075" spans="1:44" hidden="1">
      <c r="A6075" s="1" t="s">
        <v>11435</v>
      </c>
      <c r="C6075" s="1">
        <v>1</v>
      </c>
      <c r="D6075" s="1" t="str">
        <f>"04695"</f>
        <v>04695</v>
      </c>
      <c r="E6075" s="1" t="s">
        <v>646</v>
      </c>
      <c r="F6075" s="1">
        <v>19</v>
      </c>
      <c r="G6075" s="1">
        <v>15</v>
      </c>
      <c r="H6075" s="1">
        <v>0</v>
      </c>
      <c r="I6075" s="1" t="s">
        <v>11424</v>
      </c>
      <c r="K6075" s="1" t="str">
        <f t="shared" si="387"/>
        <v>ㄎ</v>
      </c>
      <c r="L6075" s="1" t="str">
        <f t="shared" si="388"/>
        <v>ㄨ</v>
      </c>
      <c r="M6075" s="1" t="str">
        <f t="shared" si="391"/>
        <v>ㄤ</v>
      </c>
      <c r="P6075" s="1" t="s">
        <v>20</v>
      </c>
      <c r="R6075" s="1" t="s">
        <v>11425</v>
      </c>
      <c r="V6075" s="1" t="s">
        <v>11436</v>
      </c>
      <c r="AR6075" s="1" t="str">
        <f t="shared" si="389"/>
        <v>| [ㄎㄨㄤˋ](ㄎㄨㄤˋ.md) | [曠](曠.md) |  | kuàng | [形]_x000D_
1.寬廣、空闊。如：「曠野」。唐．孟浩然〈宿建德江〉詩：「野曠天低樹，江清月近人。」唐．杜甫〈除草〉詩：「自茲藩籬曠，更覺松竹幽。」_x000D_
2.開朗、豁達。如：「心曠神怡」。《後漢書．卷二三．竇融列傳》：「忠臣則酸鼻流涕，義士則曠若發矇。」唐．元稹〈春晚寄楊十二兼呈趙八〉詩：「獨此愛時景，曠懷雲外心。」_x000D_
3.適婚而無配偶的。如：「曠男怨女」。《孟子．梁惠王下》：「內無怨女，外無曠夫。」_x000D_
[動]_x000D_
1.空缺、荒廢。如：「曠課」、「曠職」、「曠日廢時」。《孟子．離婁上》：「曠安宅而弗居，舍正路而不由，哀哉！」唐．韓愈〈爭臣論〉：「蓋孔子嘗為委吏矣，嘗為乘田矣，亦不敢曠其職。」_x000D_
2.隔。《孔子家語．卷四．六本》：「庭不曠山，不直地。」漢．劉楨〈贈五官中郎將〉詩四首之二：「自夏涉玄冬，彌曠十餘旬。」_x000D_
[名]_x000D_
無配偶的成年人。漢．劉向《說苑．卷九．正諫》：「其妻怒而去之，臣笑其曠也。」 |</v>
      </c>
    </row>
    <row r="6076" spans="1:44" hidden="1">
      <c r="A6076" s="1" t="s">
        <v>10693</v>
      </c>
      <c r="C6076" s="1">
        <v>1</v>
      </c>
      <c r="D6076" s="1" t="str">
        <f>"04696"</f>
        <v>04696</v>
      </c>
      <c r="E6076" s="1" t="s">
        <v>169</v>
      </c>
      <c r="F6076" s="1">
        <v>20</v>
      </c>
      <c r="G6076" s="1">
        <v>15</v>
      </c>
      <c r="H6076" s="1">
        <v>1</v>
      </c>
      <c r="I6076" s="1" t="s">
        <v>11424</v>
      </c>
      <c r="K6076" s="1" t="str">
        <f t="shared" si="387"/>
        <v>ㄎ</v>
      </c>
      <c r="L6076" s="1" t="str">
        <f t="shared" si="388"/>
        <v>ㄨ</v>
      </c>
      <c r="M6076" s="1" t="str">
        <f t="shared" si="391"/>
        <v>ㄤ</v>
      </c>
      <c r="P6076" s="1" t="s">
        <v>20</v>
      </c>
      <c r="R6076" s="1" t="s">
        <v>11425</v>
      </c>
      <c r="V6076" s="1" t="s">
        <v>11437</v>
      </c>
      <c r="W6076" s="1" t="s">
        <v>11438</v>
      </c>
      <c r="AR6076" s="1" t="str">
        <f t="shared" si="389"/>
        <v>| [ㄎㄨㄤˋ](ㄎㄨㄤˋ.md) | [礦](礦.md) |  | kuàng | [名]
1.儲藏於地層中，具有經濟價值的礦物或岩石。如：「煤礦」、「鐵礦」。 |</v>
      </c>
    </row>
    <row r="6077" spans="1:44" hidden="1">
      <c r="A6077" s="1" t="s">
        <v>11439</v>
      </c>
      <c r="C6077" s="1">
        <v>1</v>
      </c>
      <c r="D6077" s="1" t="str">
        <f>"04697"</f>
        <v>04697</v>
      </c>
      <c r="E6077" s="1" t="s">
        <v>725</v>
      </c>
      <c r="F6077" s="1">
        <v>21</v>
      </c>
      <c r="G6077" s="1">
        <v>15</v>
      </c>
      <c r="H6077" s="1">
        <v>0</v>
      </c>
      <c r="I6077" s="1" t="s">
        <v>11424</v>
      </c>
      <c r="K6077" s="1" t="str">
        <f t="shared" si="387"/>
        <v>ㄎ</v>
      </c>
      <c r="L6077" s="1" t="str">
        <f t="shared" si="388"/>
        <v>ㄨ</v>
      </c>
      <c r="M6077" s="1" t="str">
        <f t="shared" si="391"/>
        <v>ㄤ</v>
      </c>
      <c r="P6077" s="1" t="s">
        <v>20</v>
      </c>
      <c r="R6077" s="1" t="s">
        <v>11425</v>
      </c>
      <c r="V6077" s="1" t="s">
        <v>11440</v>
      </c>
      <c r="AR6077" s="1" t="str">
        <f t="shared" si="389"/>
        <v>| [ㄎㄨㄤˋ](ㄎㄨㄤˋ.md) | [纊](纊.md) |  | kuàng | [名]
棉絮。《小爾雅．廣服》：「纊，綿也。絮之細者曰纊。」《南史．卷七三．孝義傳上．庾道愍傳》：「冬日不衣綿纊，夏日不解衰絰。」宋．陸游〈九月十六日夜夢駐軍河外遣使招降諸城覺而有作〉詩：「誰言鐵衣冷徹骨，感義懷恩如挾纊。」 |</v>
      </c>
    </row>
    <row r="6078" spans="1:44" hidden="1">
      <c r="A6078" s="1" t="s">
        <v>11441</v>
      </c>
      <c r="C6078" s="1">
        <v>1</v>
      </c>
      <c r="D6078" s="1" t="str">
        <f>"04698"</f>
        <v>04698</v>
      </c>
      <c r="E6078" s="1" t="s">
        <v>1274</v>
      </c>
      <c r="F6078" s="1">
        <v>8</v>
      </c>
      <c r="G6078" s="1">
        <v>3</v>
      </c>
      <c r="H6078" s="1">
        <v>1</v>
      </c>
      <c r="I6078" s="1" t="s">
        <v>11442</v>
      </c>
      <c r="K6078" s="1" t="str">
        <f t="shared" si="387"/>
        <v>ㄎ</v>
      </c>
      <c r="L6078" s="1" t="str">
        <f t="shared" si="388"/>
        <v>ㄨ</v>
      </c>
      <c r="M6078" s="1" t="str">
        <f t="shared" si="391"/>
        <v>ㄥ</v>
      </c>
      <c r="P6078" s="1" t="s">
        <v>20</v>
      </c>
      <c r="R6078" s="1" t="s">
        <v>11443</v>
      </c>
      <c r="V6078" s="1" t="s">
        <v>11444</v>
      </c>
      <c r="W6078" s="1" t="s">
        <v>11445</v>
      </c>
      <c r="AR6078" s="1" t="str">
        <f t="shared" si="389"/>
        <v>| [ㄎㄨㄥ](ㄎㄨㄥ.md) | [空](空.md) |  | kōng | [形]
1.沒有東西的。如：「空屋」、「空手而回」、「赤手空拳」。
2.不切實際的。如：「空言」、「空論」。《史記．卷六三．老子韓非傳》：「畏累虛、亢桑子之屬，皆空語無事實。」
3.廣闊、高曠。如：「海闊天空」。《詩經．小雅．白駒》：「皎皎白駒，在彼空谷。」漢．毛亨．傳：「空，大也。」
[副]
1.徒然、白白的。如：「空想」、「空歡喜一場」。唐．王勃〈滕王閣序〉：「孟嘗高潔，空懷報國之情。」宋．岳飛〈滿江紅．怒髮衝冠〉詞：「莫等閒，白了少年頭，空悲切。」
2.只、僅僅。唐．李頎〈古從軍行〉：「年年戰骨埋荒外，空見蒲桃入漢家。」
[名]
1.天、天際。如：「高空」、「晴空」、「星空」、「領空」、「皓月當空」。宋．蘇軾〈赤壁賦〉：「舳艫千里，旌旗蔽空。」
2.虛無所有。如：「撲空」、「買空」、「賣空」。唐．白居易〈廬山草堂記〉：「堂西倚北崖右趾，以剖竹架空，引崖上泉。」
3.佛教認為一切事物的現象都有各自的因緣，並無實體的概念。如：「空門」、「色即是空，空即是色。」 |</v>
      </c>
    </row>
    <row r="6079" spans="1:44" hidden="1">
      <c r="A6079" s="1" t="s">
        <v>11446</v>
      </c>
      <c r="C6079" s="1">
        <v>1</v>
      </c>
      <c r="D6079" s="1" t="str">
        <f>"04699"</f>
        <v>04699</v>
      </c>
      <c r="E6079" s="1" t="s">
        <v>114</v>
      </c>
      <c r="F6079" s="1">
        <v>10</v>
      </c>
      <c r="G6079" s="1">
        <v>8</v>
      </c>
      <c r="H6079" s="1">
        <v>1</v>
      </c>
      <c r="I6079" s="1" t="s">
        <v>11442</v>
      </c>
      <c r="K6079" s="1" t="str">
        <f t="shared" si="387"/>
        <v>ㄎ</v>
      </c>
      <c r="L6079" s="1" t="str">
        <f t="shared" si="388"/>
        <v>ㄨ</v>
      </c>
      <c r="M6079" s="1" t="str">
        <f t="shared" si="391"/>
        <v>ㄥ</v>
      </c>
      <c r="P6079" s="1" t="s">
        <v>20</v>
      </c>
      <c r="R6079" s="1" t="s">
        <v>11443</v>
      </c>
      <c r="V6079" s="1" t="s">
        <v>7040</v>
      </c>
      <c r="W6079" s="1" t="s">
        <v>11447</v>
      </c>
      <c r="AR6079" s="1" t="str">
        <f t="shared" si="389"/>
        <v>| [ㄎㄨㄥ](ㄎㄨㄥ.md) | [倥](倥.md) |  | kōng | 參見「倥侗」條。 |</v>
      </c>
    </row>
    <row r="6080" spans="1:44" hidden="1">
      <c r="A6080" s="1" t="s">
        <v>11448</v>
      </c>
      <c r="C6080" s="1">
        <v>1</v>
      </c>
      <c r="D6080" s="1" t="str">
        <f>"04700"</f>
        <v>04700</v>
      </c>
      <c r="E6080" s="1" t="s">
        <v>129</v>
      </c>
      <c r="F6080" s="1">
        <v>11</v>
      </c>
      <c r="G6080" s="1">
        <v>8</v>
      </c>
      <c r="H6080" s="1">
        <v>0</v>
      </c>
      <c r="I6080" s="1" t="s">
        <v>11442</v>
      </c>
      <c r="K6080" s="1" t="str">
        <f t="shared" si="387"/>
        <v>ㄎ</v>
      </c>
      <c r="L6080" s="1" t="str">
        <f t="shared" si="388"/>
        <v>ㄨ</v>
      </c>
      <c r="M6080" s="1" t="str">
        <f t="shared" si="391"/>
        <v>ㄥ</v>
      </c>
      <c r="P6080" s="1" t="s">
        <v>20</v>
      </c>
      <c r="R6080" s="1" t="s">
        <v>11443</v>
      </c>
      <c r="V6080" s="1" t="s">
        <v>11449</v>
      </c>
      <c r="AR6080" s="1" t="str">
        <f t="shared" si="389"/>
        <v>| [ㄎㄨㄥ](ㄎㄨㄥ.md) | [涳](涳.md) |  | kōng | 參見「涳濛」條。 |</v>
      </c>
    </row>
    <row r="6081" spans="1:44" hidden="1">
      <c r="A6081" s="1" t="s">
        <v>11450</v>
      </c>
      <c r="C6081" s="1">
        <v>1</v>
      </c>
      <c r="D6081" s="1" t="str">
        <f>"04701"</f>
        <v>04701</v>
      </c>
      <c r="E6081" s="1" t="s">
        <v>250</v>
      </c>
      <c r="F6081" s="1">
        <v>11</v>
      </c>
      <c r="G6081" s="1">
        <v>8</v>
      </c>
      <c r="H6081" s="1">
        <v>1</v>
      </c>
      <c r="I6081" s="1" t="s">
        <v>11442</v>
      </c>
      <c r="K6081" s="1" t="str">
        <f t="shared" ref="K6081:K6144" si="392">LEFT(I6081, 1)</f>
        <v>ㄎ</v>
      </c>
      <c r="L6081" s="1" t="str">
        <f t="shared" ref="L6081:L6144" si="393">MID(I6081, 2, 1)</f>
        <v>ㄨ</v>
      </c>
      <c r="M6081" s="1" t="str">
        <f t="shared" si="391"/>
        <v>ㄥ</v>
      </c>
      <c r="P6081" s="1" t="s">
        <v>20</v>
      </c>
      <c r="R6081" s="1" t="s">
        <v>11443</v>
      </c>
      <c r="V6081" s="1" t="s">
        <v>11451</v>
      </c>
      <c r="W6081" s="1" t="s">
        <v>11452</v>
      </c>
      <c r="AR6081" s="1" t="str">
        <f t="shared" si="389"/>
        <v>| [ㄎㄨㄥ](ㄎㄨㄥ.md) | [悾](悾.md) |  | kōng | 參見「悾款」、「悾悾」等條。 |</v>
      </c>
    </row>
    <row r="6082" spans="1:44" hidden="1">
      <c r="A6082" s="1" t="s">
        <v>11453</v>
      </c>
      <c r="C6082" s="1">
        <v>1</v>
      </c>
      <c r="D6082" s="1" t="str">
        <f>"04702"</f>
        <v>04702</v>
      </c>
      <c r="E6082" s="1" t="s">
        <v>190</v>
      </c>
      <c r="F6082" s="1">
        <v>11</v>
      </c>
      <c r="G6082" s="1">
        <v>8</v>
      </c>
      <c r="H6082" s="1">
        <v>0</v>
      </c>
      <c r="I6082" s="1" t="s">
        <v>11442</v>
      </c>
      <c r="K6082" s="1" t="str">
        <f t="shared" si="392"/>
        <v>ㄎ</v>
      </c>
      <c r="L6082" s="1" t="str">
        <f t="shared" si="393"/>
        <v>ㄨ</v>
      </c>
      <c r="M6082" s="1" t="str">
        <f t="shared" si="391"/>
        <v>ㄥ</v>
      </c>
      <c r="P6082" s="1" t="s">
        <v>20</v>
      </c>
      <c r="R6082" s="1" t="s">
        <v>11443</v>
      </c>
      <c r="V6082" s="1" t="s">
        <v>7048</v>
      </c>
      <c r="AR6082" s="1" t="str">
        <f t="shared" si="389"/>
        <v>| [ㄎㄨㄥ](ㄎㄨㄥ.md) | [崆](崆.md) |  | kōng | 參見「崆峒山」條。 |</v>
      </c>
    </row>
    <row r="6083" spans="1:44" hidden="1">
      <c r="A6083" s="1" t="s">
        <v>11454</v>
      </c>
      <c r="C6083" s="1">
        <v>1</v>
      </c>
      <c r="D6083" s="1" t="str">
        <f>"04703"</f>
        <v>04703</v>
      </c>
      <c r="E6083" s="1" t="s">
        <v>49</v>
      </c>
      <c r="F6083" s="1">
        <v>14</v>
      </c>
      <c r="G6083" s="1">
        <v>8</v>
      </c>
      <c r="H6083" s="1">
        <v>0</v>
      </c>
      <c r="I6083" s="1" t="s">
        <v>11442</v>
      </c>
      <c r="K6083" s="1" t="str">
        <f t="shared" si="392"/>
        <v>ㄎ</v>
      </c>
      <c r="L6083" s="1" t="str">
        <f t="shared" si="393"/>
        <v>ㄨ</v>
      </c>
      <c r="M6083" s="1" t="str">
        <f t="shared" si="391"/>
        <v>ㄥ</v>
      </c>
      <c r="P6083" s="1" t="s">
        <v>20</v>
      </c>
      <c r="R6083" s="1" t="s">
        <v>11443</v>
      </c>
      <c r="V6083" s="1" t="s">
        <v>11455</v>
      </c>
      <c r="AR6083" s="1" t="str">
        <f t="shared" ref="AR6083:AR6146" si="394">"| ["&amp;I6083&amp;"]("&amp;I6083&amp;".md) | ["&amp;A6083&amp;"]("&amp;A6083&amp;".md) | "&amp;" | "&amp;R6083&amp;" | "&amp;V6083&amp;" |"</f>
        <v>| [ㄎㄨㄥ](ㄎㄨㄥ.md) | [箜](箜.md) |  | kōng | 參見「箜篌」條。 |</v>
      </c>
    </row>
    <row r="6084" spans="1:44" hidden="1">
      <c r="A6084" s="1" t="s">
        <v>11456</v>
      </c>
      <c r="C6084" s="1">
        <v>1</v>
      </c>
      <c r="D6084" s="1" t="str">
        <f>"04704"</f>
        <v>04704</v>
      </c>
      <c r="E6084" s="1" t="s">
        <v>241</v>
      </c>
      <c r="F6084" s="1">
        <v>4</v>
      </c>
      <c r="G6084" s="1">
        <v>1</v>
      </c>
      <c r="H6084" s="1">
        <v>0</v>
      </c>
      <c r="I6084" s="1" t="s">
        <v>11457</v>
      </c>
      <c r="K6084" s="1" t="str">
        <f t="shared" si="392"/>
        <v>ㄎ</v>
      </c>
      <c r="L6084" s="1" t="str">
        <f t="shared" si="393"/>
        <v>ㄨ</v>
      </c>
      <c r="M6084" s="1" t="str">
        <f t="shared" ref="M6084:M6090" si="395">MID(I6084, 3, 1)</f>
        <v>ㄥ</v>
      </c>
      <c r="P6084" s="1" t="s">
        <v>20</v>
      </c>
      <c r="R6084" s="1" t="s">
        <v>11458</v>
      </c>
      <c r="V6084" s="1" t="s">
        <v>11459</v>
      </c>
      <c r="AR6084" s="1" t="str">
        <f t="shared" si="394"/>
        <v>| [ㄎㄨㄥˇ](ㄎㄨㄥˇ.md) | [孔](孔.md) |  | kǒng | [名]
1.窟窿、洞穴。如：「穿孔」、「針孔」、「毛細孔」、「千瘡百孔」、「無孔不入」。《列子．仲尼》：「子心六孔流通，一孔不達。」
2.孔子的簡稱。如：「孔廟」、「孔孟學說」。《淮南子．俶真》：「孔墨之弟子皆以仁義之術教導於世。」
3.姓。如漢代有孔融，唐代有孔穎達。
[形]
1.通達的。《漢書．卷九六．西域傳上．婼羌傳》：「去長安六千三百里，辟在西南，不當孔道。」
2.大。《老子》第二一章：「孔德之容，惟道是從。」
[副]
甚、很、非常。如：「需款孔急」。《文選．枚乘．七發》：「毅武孔猛，袒裼身薄。」《清史稿．卷二〇．文宗本紀》：「甲子，詔軍務未竣，需材孔亟，其有知兵之人，所在保舉錄用。」 |</v>
      </c>
    </row>
    <row r="6085" spans="1:44" hidden="1">
      <c r="A6085" s="1" t="s">
        <v>11460</v>
      </c>
      <c r="C6085" s="1">
        <v>1</v>
      </c>
      <c r="D6085" s="1" t="str">
        <f>"04705"</f>
        <v>04705</v>
      </c>
      <c r="E6085" s="1" t="s">
        <v>250</v>
      </c>
      <c r="F6085" s="1">
        <v>10</v>
      </c>
      <c r="G6085" s="1">
        <v>6</v>
      </c>
      <c r="H6085" s="1">
        <v>0</v>
      </c>
      <c r="I6085" s="1" t="s">
        <v>11457</v>
      </c>
      <c r="K6085" s="1" t="str">
        <f t="shared" si="392"/>
        <v>ㄎ</v>
      </c>
      <c r="L6085" s="1" t="str">
        <f t="shared" si="393"/>
        <v>ㄨ</v>
      </c>
      <c r="M6085" s="1" t="str">
        <f t="shared" si="395"/>
        <v>ㄥ</v>
      </c>
      <c r="P6085" s="1" t="s">
        <v>20</v>
      </c>
      <c r="R6085" s="1" t="s">
        <v>11458</v>
      </c>
      <c r="V6085" s="1" t="s">
        <v>11461</v>
      </c>
      <c r="AR6085" s="1" t="str">
        <f t="shared" si="394"/>
        <v>| [ㄎㄨㄥˇ](ㄎㄨㄥˇ.md) | [恐](恐.md) |  | kǒng | [動]
1.害怕、畏懼。如：「驚恐」、「惶恐」、「爭先恐後」、「有恃無恐」。《史記．卷七七．魏公子傳》：「魏王恐，使人止晉鄙，留軍壁鄴。」唐．柳宗元〈三戒．黔之驢〉：「驢一鳴，虎大駭遠遁，以為且噬己也，甚恐。」
2.威脅、使害怕。如：「恐嚇」。《漢書．卷八〇．宣元六王傳．淮陽憲王劉欽傳》：「王不許，博辭去，令弟光恐云王遇大人益解，博欲上書為大人乞骸骨去。」唐．賈島〈暮過山村〉詩：「怪禽啼曠野，落日恐行人。」
[副]
大概、或者。表疑慮不定的語氣。如：「恐怕」、「恐未必如此」。唐．崔顥〈長干曲〉四首之一：「停船暫借問，或恐是同鄉。」 |</v>
      </c>
    </row>
    <row r="6086" spans="1:44" hidden="1">
      <c r="A6086" s="1" t="s">
        <v>11446</v>
      </c>
      <c r="C6086" s="1">
        <v>1</v>
      </c>
      <c r="D6086" s="1" t="str">
        <f>"04706"</f>
        <v>04706</v>
      </c>
      <c r="E6086" s="1" t="s">
        <v>114</v>
      </c>
      <c r="F6086" s="1">
        <v>10</v>
      </c>
      <c r="G6086" s="1">
        <v>8</v>
      </c>
      <c r="H6086" s="1">
        <v>2</v>
      </c>
      <c r="I6086" s="1" t="s">
        <v>11457</v>
      </c>
      <c r="K6086" s="1" t="str">
        <f t="shared" si="392"/>
        <v>ㄎ</v>
      </c>
      <c r="L6086" s="1" t="str">
        <f t="shared" si="393"/>
        <v>ㄨ</v>
      </c>
      <c r="M6086" s="1" t="str">
        <f t="shared" si="395"/>
        <v>ㄥ</v>
      </c>
      <c r="P6086" s="1" t="s">
        <v>20</v>
      </c>
      <c r="R6086" s="1" t="s">
        <v>11458</v>
      </c>
      <c r="V6086" s="1" t="s">
        <v>11462</v>
      </c>
      <c r="W6086" s="1" t="s">
        <v>11463</v>
      </c>
      <c r="AR6086" s="1" t="str">
        <f t="shared" si="394"/>
        <v>| [ㄎㄨㄥˇ](ㄎㄨㄥˇ.md) | [倥](倥.md) |  | kǒng | 參見「倥傯」條。 |</v>
      </c>
    </row>
    <row r="6087" spans="1:44" hidden="1">
      <c r="A6087" s="1" t="s">
        <v>11450</v>
      </c>
      <c r="C6087" s="1">
        <v>1</v>
      </c>
      <c r="D6087" s="1" t="str">
        <f>"04707"</f>
        <v>04707</v>
      </c>
      <c r="E6087" s="1" t="s">
        <v>250</v>
      </c>
      <c r="F6087" s="1">
        <v>11</v>
      </c>
      <c r="G6087" s="1">
        <v>8</v>
      </c>
      <c r="H6087" s="1">
        <v>2</v>
      </c>
      <c r="I6087" s="1" t="s">
        <v>11457</v>
      </c>
      <c r="K6087" s="1" t="str">
        <f t="shared" si="392"/>
        <v>ㄎ</v>
      </c>
      <c r="L6087" s="1" t="str">
        <f t="shared" si="393"/>
        <v>ㄨ</v>
      </c>
      <c r="M6087" s="1" t="str">
        <f t="shared" si="395"/>
        <v>ㄥ</v>
      </c>
      <c r="P6087" s="1" t="s">
        <v>20</v>
      </c>
      <c r="R6087" s="1" t="s">
        <v>11458</v>
      </c>
      <c r="V6087" s="1" t="s">
        <v>11464</v>
      </c>
      <c r="W6087" s="1" t="s">
        <v>11465</v>
      </c>
      <c r="AR6087" s="1" t="str">
        <f t="shared" si="394"/>
        <v>| [ㄎㄨㄥˇ](ㄎㄨㄥˇ.md) | [悾](悾.md) |  | kǒng | 參見「悾憁」條。 |</v>
      </c>
    </row>
    <row r="6088" spans="1:44" hidden="1">
      <c r="A6088" s="1" t="s">
        <v>11441</v>
      </c>
      <c r="C6088" s="1">
        <v>1</v>
      </c>
      <c r="D6088" s="1" t="str">
        <f>"04708"</f>
        <v>04708</v>
      </c>
      <c r="E6088" s="1" t="s">
        <v>1274</v>
      </c>
      <c r="F6088" s="1">
        <v>8</v>
      </c>
      <c r="G6088" s="1">
        <v>3</v>
      </c>
      <c r="H6088" s="1">
        <v>2</v>
      </c>
      <c r="I6088" s="1" t="s">
        <v>11466</v>
      </c>
      <c r="K6088" s="1" t="str">
        <f t="shared" si="392"/>
        <v>ㄎ</v>
      </c>
      <c r="L6088" s="1" t="str">
        <f t="shared" si="393"/>
        <v>ㄨ</v>
      </c>
      <c r="M6088" s="1" t="str">
        <f t="shared" si="395"/>
        <v>ㄥ</v>
      </c>
      <c r="P6088" s="1" t="s">
        <v>20</v>
      </c>
      <c r="R6088" s="1" t="s">
        <v>11467</v>
      </c>
      <c r="V6088" s="1" t="s">
        <v>11468</v>
      </c>
      <c r="W6088" s="1" t="s">
        <v>11469</v>
      </c>
      <c r="AR6088" s="1" t="str">
        <f t="shared" si="394"/>
        <v>| [ㄎㄨㄥˋ](ㄎㄨㄥˋ.md) | [空](空.md) |  | kòng | [名]_x000D_
1.閒暇的時間或閒置的空間。如：「撥空」、「沒空」、「填空」。宋．孟元老《東京夢華錄．卷三．諸色雜賣》：「或軍營放停，樂人動鼓樂於空閑，就坊巷引小兒婦女觀看，散糖果子之類，謂之『賣梅子』，又謂之『把街』。」《醒世恆言．卷三．賣油郎獨占花魁》：「因你不得工夫，擔閣他一月有餘了。你今日幸而得空，做娘的留他在此伴你。」_x000D_
2.間隙、可乘之機。元．馬致遠《漢宮秋》第二折：「不想皇帝親幸，問出端的，要將我加刑，我得空逃走了。」《喻世明言．卷一．蔣興哥重會珍珠衫》：「這里婆子捉個空，招著陳大郎一溜溜進門來。」_x000D_
[動]_x000D_
1.騰出、讓出時間或空間。如：「空出一點時間。」「文章開頭須空兩格。」三國魏．王粲〈從軍〉詩五首之一：「軍人多飫饒，人馬皆溢肥，徒行兼乘還，空出有餘資，拓地三千里，往返速若飛。」《醒世恆言．卷三〇．李汧公窮邸遇俠客》：「不瞞客官說，小店房頭，沒有個不潔淨的。如今也止空得一間在此。」_x000D_
2.缺乏、短少。如：「虧空」。晉．陶淵明〈五柳先生傳〉：「環堵蕭然，不蔽風日，短褐穿結，簞瓢屢空，晏如也。」唐．白居易〈春憶二林寺舊遊因寄朗滿晦三上人〉詩：「最慚僧社題橋處，十八人名空一人。」_x000D_
[形]_x000D_
尚未利用的，或缺少東西的。如：「空位」。《儒林外史》第二〇回：「請幾眾師父替我念一卷經，超度我生天。棺柩便尋那裡一塊空地把我寄放著。」 |</v>
      </c>
    </row>
    <row r="6089" spans="1:44" hidden="1">
      <c r="A6089" s="1" t="s">
        <v>11470</v>
      </c>
      <c r="C6089" s="1">
        <v>1</v>
      </c>
      <c r="D6089" s="1" t="str">
        <f>"04709"</f>
        <v>04709</v>
      </c>
      <c r="E6089" s="1" t="s">
        <v>24</v>
      </c>
      <c r="F6089" s="1">
        <v>11</v>
      </c>
      <c r="G6089" s="1">
        <v>8</v>
      </c>
      <c r="H6089" s="1">
        <v>0</v>
      </c>
      <c r="I6089" s="1" t="s">
        <v>11466</v>
      </c>
      <c r="K6089" s="1" t="str">
        <f t="shared" si="392"/>
        <v>ㄎ</v>
      </c>
      <c r="L6089" s="1" t="str">
        <f t="shared" si="393"/>
        <v>ㄨ</v>
      </c>
      <c r="M6089" s="1" t="str">
        <f t="shared" si="395"/>
        <v>ㄥ</v>
      </c>
      <c r="P6089" s="1" t="s">
        <v>20</v>
      </c>
      <c r="R6089" s="1" t="s">
        <v>11467</v>
      </c>
      <c r="V6089" s="1" t="s">
        <v>11471</v>
      </c>
      <c r="AR6089" s="1" t="str">
        <f t="shared" si="394"/>
        <v>| [ㄎㄨㄥˋ](ㄎㄨㄥˋ.md) | [控](控.md) |  | kòng | [動]
1.拉弓。《說文解字．手部》：「控，引也。」清．段玉裁．注：「引者，開弓也。」文選．班固〈西都賦〉：「弦不再控，矢不單殺。」明．宋濂〈秦士錄〉：「諸將軍控弦引矢，追至大洋，且戰且卻。」
2.操縱、支配。如：「控制」、「遙控」。唐．王勃〈滕王閣序〉：「襟三江而帶五湖，控蠻荊而引甌越。」《董西廂》卷七：「沉醉東風裡，控驕馬，鞭裊蘆花。」
3.投、擲。《莊子．逍遙遊》：「我決起而飛，搶榆枋時則不至，則控於地而已矣。」
4.投訴、告發。如：「指控」、「誣控」、「控訴」。《二十年目睹之怪現狀》第二四回：「斷不得公，自然上控。」
5.北平方言。指倒懸容器口，使裡面的液體流淨。如：「將沙拉油瓶控一控，還足夠炒一次菜。」 |</v>
      </c>
    </row>
    <row r="6090" spans="1:44" hidden="1">
      <c r="A6090" s="1" t="s">
        <v>11472</v>
      </c>
      <c r="C6090" s="1">
        <v>1</v>
      </c>
      <c r="D6090" s="1" t="str">
        <f>"04710"</f>
        <v>04710</v>
      </c>
      <c r="E6090" s="1" t="s">
        <v>96</v>
      </c>
      <c r="F6090" s="1">
        <v>17</v>
      </c>
      <c r="G6090" s="1">
        <v>8</v>
      </c>
      <c r="H6090" s="1">
        <v>0</v>
      </c>
      <c r="I6090" s="1" t="s">
        <v>11466</v>
      </c>
      <c r="K6090" s="1" t="str">
        <f t="shared" si="392"/>
        <v>ㄎ</v>
      </c>
      <c r="L6090" s="1" t="str">
        <f t="shared" si="393"/>
        <v>ㄨ</v>
      </c>
      <c r="M6090" s="1" t="str">
        <f t="shared" si="395"/>
        <v>ㄥ</v>
      </c>
      <c r="P6090" s="1" t="s">
        <v>20</v>
      </c>
      <c r="R6090" s="1" t="s">
        <v>11467</v>
      </c>
      <c r="V6090" s="1" t="s">
        <v>11473</v>
      </c>
      <c r="AR6090" s="1" t="str">
        <f t="shared" si="394"/>
        <v>| [ㄎㄨㄥˋ](ㄎㄨㄥˋ.md) | [鞚](鞚.md) |  | kòng | [名]
1.拴在馬脖子上，用以控制馬的皮帶或繩索。晉．傅玄〈良馬賦〉：「縱鞍則行，攬鞚則止。」唐．李白〈走筆贈獨孤駙馬〉詩：「銀鞍紫鞚照雲日，左顧右盼生光輝。」
2.比喻馬。唐．杜甫〈麗人行〉：「黃門飛鞚不動塵，御廚絲絡送八珍。」宋．蘇軾〈次韻李公擇梅花〉詩：「杯傾笛中吟，帽拂果下鞚。」
[動]
操縱、駕馭。宋．蘇軾〈虢國夫人夜遊圖〉詩：「佳人自鞚玉花驄，翩如驚燕踏飛龍。」《聊齋志異．卷九．鳳仙》：「遇女郎騎款段馬，老僕鞚之，摩肩過。」 |</v>
      </c>
    </row>
    <row r="6091" spans="1:44" hidden="1">
      <c r="A6091" s="1" t="s">
        <v>10712</v>
      </c>
      <c r="C6091" s="1">
        <v>1</v>
      </c>
      <c r="D6091" s="1" t="str">
        <f>"04405"</f>
        <v>04405</v>
      </c>
      <c r="E6091" s="1" t="s">
        <v>28</v>
      </c>
      <c r="F6091" s="1">
        <v>12</v>
      </c>
      <c r="G6091" s="1">
        <v>9</v>
      </c>
      <c r="H6091" s="1">
        <v>1</v>
      </c>
      <c r="I6091" s="1" t="s">
        <v>10728</v>
      </c>
      <c r="K6091" s="1" t="str">
        <f t="shared" si="392"/>
        <v>ㄎ</v>
      </c>
      <c r="L6091" s="1" t="str">
        <f t="shared" si="393"/>
        <v>ㄚ</v>
      </c>
      <c r="N6091" s="3" t="s">
        <v>30574</v>
      </c>
      <c r="O6091" s="3"/>
      <c r="P6091" s="1" t="s">
        <v>20</v>
      </c>
      <c r="R6091" s="1" t="s">
        <v>10729</v>
      </c>
      <c r="V6091" s="1" t="s">
        <v>10730</v>
      </c>
      <c r="W6091" s="1" t="s">
        <v>10731</v>
      </c>
      <c r="AR6091" s="1" t="str">
        <f t="shared" si="394"/>
        <v>| [ㄎㄚˋ](ㄎㄚˋ.md) | [喀](喀.md) |  | kà | [名]
譯音用字。常用於地名、山名等的翻譯。如：「喀麥隆」、「巴顏喀喇山」。 |</v>
      </c>
    </row>
    <row r="6092" spans="1:44" hidden="1">
      <c r="A6092" s="1" t="s">
        <v>10732</v>
      </c>
      <c r="C6092" s="1">
        <v>1</v>
      </c>
      <c r="D6092" s="1" t="str">
        <f>"04406"</f>
        <v>04406</v>
      </c>
      <c r="E6092" s="1" t="s">
        <v>283</v>
      </c>
      <c r="F6092" s="1">
        <v>19</v>
      </c>
      <c r="G6092" s="1">
        <v>9</v>
      </c>
      <c r="H6092" s="1">
        <v>0</v>
      </c>
      <c r="I6092" s="1" t="s">
        <v>10728</v>
      </c>
      <c r="K6092" s="1" t="str">
        <f t="shared" si="392"/>
        <v>ㄎ</v>
      </c>
      <c r="L6092" s="1" t="str">
        <f t="shared" si="393"/>
        <v>ㄚ</v>
      </c>
      <c r="N6092" s="3" t="s">
        <v>30574</v>
      </c>
      <c r="O6092" s="3"/>
      <c r="P6092" s="1" t="s">
        <v>20</v>
      </c>
      <c r="R6092" s="1" t="s">
        <v>10729</v>
      </c>
      <c r="V6092" s="1" t="s">
        <v>10733</v>
      </c>
      <c r="AR6092" s="1" t="str">
        <f t="shared" si="394"/>
        <v>| [ㄎㄚˋ](ㄎㄚˋ.md) | [髂](髂.md) |  | kà | [名]
腰骨。《漢書．卷八七．揚雄傳下》：「折脅拉髂，免於徽索。」 |</v>
      </c>
    </row>
    <row r="6093" spans="1:44" hidden="1">
      <c r="A6093" s="1" t="s">
        <v>10715</v>
      </c>
      <c r="C6093" s="1">
        <v>1</v>
      </c>
      <c r="D6093" s="1" t="str">
        <f>"04400"</f>
        <v>04400</v>
      </c>
      <c r="E6093" s="1" t="s">
        <v>1279</v>
      </c>
      <c r="F6093" s="1">
        <v>5</v>
      </c>
      <c r="G6093" s="1">
        <v>3</v>
      </c>
      <c r="H6093" s="1">
        <v>1</v>
      </c>
      <c r="I6093" s="1" t="s">
        <v>10716</v>
      </c>
      <c r="K6093" s="1" t="str">
        <f t="shared" si="392"/>
        <v>ㄎ</v>
      </c>
      <c r="L6093" s="1" t="str">
        <f t="shared" si="393"/>
        <v>ㄚ</v>
      </c>
      <c r="N6093" s="3" t="s">
        <v>30576</v>
      </c>
      <c r="O6093" s="3"/>
      <c r="P6093" s="1" t="s">
        <v>20</v>
      </c>
      <c r="R6093" s="1" t="s">
        <v>10717</v>
      </c>
      <c r="V6093" s="1" t="s">
        <v>10718</v>
      </c>
      <c r="W6093" s="1" t="s">
        <v>10719</v>
      </c>
      <c r="AR6093" s="1" t="str">
        <f t="shared" si="394"/>
        <v>| [ㄎㄚˇ](ㄎㄚˇ.md) | [卡](卡.md) |  | kǎ | [名]
1.政府派兵駐守的關口或收稅的地方。如：「關卡」、「兵卡」、「釐卡」。
2.硬紙片。為英語card的音譯。如：「聖誕卡」、「生日卡」、「賀年卡」。
3.卡路里的簡稱。如：「十卡熱量」。
[動]
被夾住或堵塞而不能活動。如：「他被卡在兩部車中間，動彈不得。」 |</v>
      </c>
    </row>
    <row r="6094" spans="1:44" hidden="1">
      <c r="A6094" s="1" t="s">
        <v>10720</v>
      </c>
      <c r="C6094" s="1">
        <v>1</v>
      </c>
      <c r="D6094" s="1" t="str">
        <f>"04401"</f>
        <v>04401</v>
      </c>
      <c r="E6094" s="1" t="s">
        <v>114</v>
      </c>
      <c r="F6094" s="1">
        <v>7</v>
      </c>
      <c r="G6094" s="1">
        <v>5</v>
      </c>
      <c r="H6094" s="1">
        <v>0</v>
      </c>
      <c r="I6094" s="1" t="s">
        <v>10716</v>
      </c>
      <c r="K6094" s="1" t="str">
        <f t="shared" si="392"/>
        <v>ㄎ</v>
      </c>
      <c r="L6094" s="1" t="str">
        <f t="shared" si="393"/>
        <v>ㄚ</v>
      </c>
      <c r="N6094" s="3" t="s">
        <v>30576</v>
      </c>
      <c r="O6094" s="3"/>
      <c r="P6094" s="1" t="s">
        <v>20</v>
      </c>
      <c r="R6094" s="1" t="s">
        <v>10717</v>
      </c>
      <c r="V6094" s="1" t="s">
        <v>10721</v>
      </c>
      <c r="AR6094" s="1" t="str">
        <f t="shared" si="394"/>
        <v>| [ㄎㄚˇ](ㄎㄚˇ.md) | [佧](佧.md) |  | kǎ | 參見「佧喇」、「佧佤」等條。 |</v>
      </c>
    </row>
    <row r="6095" spans="1:44" hidden="1">
      <c r="A6095" s="1" t="s">
        <v>10722</v>
      </c>
      <c r="C6095" s="1">
        <v>1</v>
      </c>
      <c r="D6095" s="1" t="str">
        <f>"04402"</f>
        <v>04402</v>
      </c>
      <c r="E6095" s="1" t="s">
        <v>55</v>
      </c>
      <c r="F6095" s="1">
        <v>13</v>
      </c>
      <c r="G6095" s="1">
        <v>5</v>
      </c>
      <c r="H6095" s="1">
        <v>0</v>
      </c>
      <c r="I6095" s="1" t="s">
        <v>10716</v>
      </c>
      <c r="K6095" s="1" t="str">
        <f t="shared" si="392"/>
        <v>ㄎ</v>
      </c>
      <c r="L6095" s="1" t="str">
        <f t="shared" si="393"/>
        <v>ㄚ</v>
      </c>
      <c r="N6095" s="3" t="s">
        <v>30576</v>
      </c>
      <c r="O6095" s="3"/>
      <c r="P6095" s="1" t="s">
        <v>20</v>
      </c>
      <c r="R6095" s="1" t="s">
        <v>10717</v>
      </c>
      <c r="V6095" s="1" t="s">
        <v>10723</v>
      </c>
      <c r="AR6095" s="1" t="str">
        <f t="shared" si="394"/>
        <v>| [ㄎㄚˇ](ㄎㄚˇ.md) | [鉲](鉲.md) |  | kǎ | [名]
（californium，Cf）化學元素。原子序98。錒系元素之一。全部同位素都具放射性，自行分裂產生中子，做為高通量中子源。可用於礦物的探勘和醫藥的應用。大陸地區譯為鐦。 |</v>
      </c>
    </row>
    <row r="6096" spans="1:44" hidden="1">
      <c r="A6096" s="1" t="s">
        <v>10724</v>
      </c>
      <c r="C6096" s="1">
        <v>1</v>
      </c>
      <c r="D6096" s="1" t="str">
        <f>"04403"</f>
        <v>04403</v>
      </c>
      <c r="E6096" s="1" t="s">
        <v>28</v>
      </c>
      <c r="F6096" s="1">
        <v>9</v>
      </c>
      <c r="G6096" s="1">
        <v>6</v>
      </c>
      <c r="H6096" s="1">
        <v>2</v>
      </c>
      <c r="I6096" s="1" t="s">
        <v>10716</v>
      </c>
      <c r="K6096" s="1" t="str">
        <f t="shared" si="392"/>
        <v>ㄎ</v>
      </c>
      <c r="L6096" s="1" t="str">
        <f t="shared" si="393"/>
        <v>ㄚ</v>
      </c>
      <c r="N6096" s="3" t="s">
        <v>30576</v>
      </c>
      <c r="O6096" s="3"/>
      <c r="P6096" s="1" t="s">
        <v>20</v>
      </c>
      <c r="R6096" s="1" t="s">
        <v>10717</v>
      </c>
      <c r="V6096" s="1" t="s">
        <v>10725</v>
      </c>
      <c r="W6096" s="1" t="s">
        <v>10726</v>
      </c>
      <c r="AR6096" s="1" t="str">
        <f t="shared" si="394"/>
        <v>| [ㄎㄚˇ](ㄎㄚˇ.md) | [咳](咳.md) |  | kǎ | [動]
用力咳嗽，迫使喉間的梗塞物自口中排出。如：「咳痰」、「咳血」、「將小魚刺咳出來。」 |</v>
      </c>
    </row>
    <row r="6097" spans="1:44" hidden="1">
      <c r="A6097" s="1" t="s">
        <v>7823</v>
      </c>
      <c r="C6097" s="1">
        <v>1</v>
      </c>
      <c r="D6097" s="1" t="str">
        <f>"04404"</f>
        <v>04404</v>
      </c>
      <c r="E6097" s="1" t="s">
        <v>28</v>
      </c>
      <c r="F6097" s="1">
        <v>9</v>
      </c>
      <c r="G6097" s="1">
        <v>6</v>
      </c>
      <c r="H6097" s="1">
        <v>5</v>
      </c>
      <c r="I6097" s="1" t="s">
        <v>10716</v>
      </c>
      <c r="K6097" s="1" t="str">
        <f t="shared" si="392"/>
        <v>ㄎ</v>
      </c>
      <c r="L6097" s="1" t="str">
        <f t="shared" si="393"/>
        <v>ㄚ</v>
      </c>
      <c r="N6097" s="3" t="s">
        <v>30576</v>
      </c>
      <c r="O6097" s="3"/>
      <c r="P6097" s="1" t="s">
        <v>110</v>
      </c>
      <c r="R6097" s="1" t="s">
        <v>10717</v>
      </c>
      <c r="V6097" s="1" t="s">
        <v>111</v>
      </c>
      <c r="W6097" s="1" t="s">
        <v>10727</v>
      </c>
      <c r="AR6097" s="1" t="str">
        <f t="shared" si="394"/>
        <v>| [ㄎㄚˇ](ㄎㄚˇ.md) | [咯](咯.md) |  | kǎ | (一)之又音。 |</v>
      </c>
    </row>
    <row r="6098" spans="1:44" hidden="1">
      <c r="A6098" s="1" t="s">
        <v>10798</v>
      </c>
      <c r="C6098" s="1">
        <v>1</v>
      </c>
      <c r="D6098" s="1" t="str">
        <f>"04441"</f>
        <v>04441</v>
      </c>
      <c r="E6098" s="1" t="s">
        <v>28</v>
      </c>
      <c r="F6098" s="1">
        <v>5</v>
      </c>
      <c r="G6098" s="1">
        <v>2</v>
      </c>
      <c r="H6098" s="1">
        <v>2</v>
      </c>
      <c r="I6098" s="1" t="s">
        <v>10816</v>
      </c>
      <c r="K6098" s="1" t="str">
        <f t="shared" si="392"/>
        <v>ㄎ</v>
      </c>
      <c r="L6098" s="1" t="str">
        <f t="shared" si="393"/>
        <v>ㄜ</v>
      </c>
      <c r="N6098" s="3" t="s">
        <v>30574</v>
      </c>
      <c r="O6098" s="3"/>
      <c r="P6098" s="1" t="s">
        <v>20</v>
      </c>
      <c r="R6098" s="1" t="s">
        <v>10817</v>
      </c>
      <c r="V6098" s="1" t="s">
        <v>10818</v>
      </c>
      <c r="W6098" s="1" t="s">
        <v>10819</v>
      </c>
      <c r="AR6098" s="1" t="str">
        <f t="shared" si="394"/>
        <v>| [ㄎㄜˋ](ㄎㄜˋ.md) | [可](可.md) |  | kè | 參見「可汗」條。 |</v>
      </c>
    </row>
    <row r="6099" spans="1:44" hidden="1">
      <c r="A6099" s="1" t="s">
        <v>10820</v>
      </c>
      <c r="C6099" s="1">
        <v>1</v>
      </c>
      <c r="D6099" s="1" t="str">
        <f>"04442"</f>
        <v>04442</v>
      </c>
      <c r="E6099" s="1" t="s">
        <v>3581</v>
      </c>
      <c r="F6099" s="1">
        <v>7</v>
      </c>
      <c r="G6099" s="1">
        <v>5</v>
      </c>
      <c r="H6099" s="1">
        <v>0</v>
      </c>
      <c r="I6099" s="1" t="s">
        <v>10816</v>
      </c>
      <c r="K6099" s="1" t="str">
        <f t="shared" si="392"/>
        <v>ㄎ</v>
      </c>
      <c r="L6099" s="1" t="str">
        <f t="shared" si="393"/>
        <v>ㄜ</v>
      </c>
      <c r="N6099" s="3" t="s">
        <v>30574</v>
      </c>
      <c r="O6099" s="3"/>
      <c r="P6099" s="1" t="s">
        <v>20</v>
      </c>
      <c r="R6099" s="1" t="s">
        <v>10817</v>
      </c>
      <c r="V6099" s="1" t="s">
        <v>10821</v>
      </c>
      <c r="AR6099" s="1" t="str">
        <f t="shared" si="394"/>
        <v>| [ㄎㄜˋ](ㄎㄜˋ.md) | [克](克.md) |  | kè | [動]
1.勝任。《說文解字．克部》「克」字清．段玉裁．注：「鄭箋云：『仔肩，任也。』許云：『勝任也。』」唐．劉禹錫〈為杜司徒謝賜追贈表〉：「常懼不克負荷，以忝前人。」
2.戰勝、攻破。如：「克敵」、「攻無不克」。《左傳．莊公十年》：「彼竭我盈，故克之。」《三國志．卷三五．蜀書．諸葛亮傳》：「然操遂能克紹，非惟天時，抑亦人謀。」
3.制服、約束。如：「克服」、「以柔克剛」。《論語．顏淵》：「克己復禮為仁。」何晏集解引馬融注：「克己，約身。」
4.約定。南朝宋．劉義慶《世說新語．方正》：「淮使戒裝，克日當發。」
5.剋扣。《水滸傳》第八三回：「寡人御賜之酒，一瓶克減半瓶。」
6.消化。如：「多吃水果能克食。」
[名]
量詞。英語gram的音譯，為現行法定度量衡的質量單位，俗稱為「公克」。參見「公克」條。
[副]
能。如：「不克分身」。《書經．大禹謨》：「克勤於邦，克儉於邦。」唐．柳宗元〈封建論〉：「人不能搏噬，而且無毛羽，莫克自奉自衛。」 |</v>
      </c>
    </row>
    <row r="6100" spans="1:44" hidden="1">
      <c r="A6100" s="1" t="s">
        <v>10822</v>
      </c>
      <c r="C6100" s="1">
        <v>1</v>
      </c>
      <c r="D6100" s="1" t="str">
        <f>"04443"</f>
        <v>04443</v>
      </c>
      <c r="E6100" s="1" t="s">
        <v>185</v>
      </c>
      <c r="F6100" s="1">
        <v>9</v>
      </c>
      <c r="G6100" s="1">
        <v>7</v>
      </c>
      <c r="H6100" s="1">
        <v>0</v>
      </c>
      <c r="I6100" s="1" t="s">
        <v>10816</v>
      </c>
      <c r="K6100" s="1" t="str">
        <f t="shared" si="392"/>
        <v>ㄎ</v>
      </c>
      <c r="L6100" s="1" t="str">
        <f t="shared" si="393"/>
        <v>ㄜ</v>
      </c>
      <c r="N6100" s="3" t="s">
        <v>30574</v>
      </c>
      <c r="O6100" s="3"/>
      <c r="P6100" s="1" t="s">
        <v>20</v>
      </c>
      <c r="R6100" s="1" t="s">
        <v>10817</v>
      </c>
      <c r="V6100" s="1" t="s">
        <v>10823</v>
      </c>
      <c r="AR6100" s="1" t="str">
        <f t="shared" si="394"/>
        <v>| [ㄎㄜˋ](ㄎㄜˋ.md) | [剋](剋.md) |  | kè | [動]_x000D_
1.戰勝。通「克」。《後漢書．卷二八上．桓譚馮衍列傳．桓譚》：「何向而不開，何征而不剋。」三國魏．曹植〈求自試表〉：「今臣居外，非不厚也，而寢不安席，食不遑味者，伏以二方，未剋為念。」_x000D_
2.約束。《後漢書．卷七九．儒林列傳下．周澤》：「中元元年，遷黽池令。奉公剋己，矜恤孤羸，吏人歸愛之。」_x000D_
3.限定、約期。《後漢書．卷四一．第五鍾離宋寒列傳．鍾離意》：「意遂於道解徒桎梏，恣所欲過，與剋期俱至，無或違者。」元．王實甫《西廂記．第五本．第三折》：「准備筵席茶禮花紅，剋日過門者。」_x000D_
4.剝削。如：「剋扣」。《水滸傳》第八三回：「皇帝賜俺一瓶酒，一斤肉，你都剋減了。」元．無名氏《來生債》第二折：「博個甚睜著眼去那利面上剋了我的衣食，閒著手去那算盤裡撥了我的歲數。」《清史稿．卷二五五．列傳．趙良棟》：「良棟劾德昌剋軍糧，德昌坐罷。」_x000D_
5.妨害、傷害。《西遊記》第四四回：「皆因命犯華蓋，妨爺剋娘。」《福惠全書．卷一．筮仕部．擇到任吉期》：「干支喜與本命行年相生，忌相沖剋。」_x000D_
[形]_x000D_
嚴苛。《韓非子．外儲說左下》：「西門豹為鄴令，清剋潔愨，秋毫之端，無私利也。」《初刻拍案驚奇》卷三五：「雖有這樣大家私，生性慳吝苦剋，一文也不使，半文也不用，要他一貫鈔，就如挑他一條筋。」_x000D_
[副]_x000D_
能夠。《後漢書．卷八一．獨行列傳．序》：「或志剛金石，而剋扞於強禦。」 |</v>
      </c>
    </row>
    <row r="6101" spans="1:44" hidden="1">
      <c r="A6101" s="1" t="s">
        <v>10824</v>
      </c>
      <c r="C6101" s="1">
        <v>1</v>
      </c>
      <c r="D6101" s="1" t="str">
        <f>"04444"</f>
        <v>04444</v>
      </c>
      <c r="E6101" s="1" t="s">
        <v>2228</v>
      </c>
      <c r="F6101" s="1">
        <v>11</v>
      </c>
      <c r="G6101" s="1">
        <v>7</v>
      </c>
      <c r="H6101" s="1">
        <v>0</v>
      </c>
      <c r="I6101" s="1" t="s">
        <v>10816</v>
      </c>
      <c r="K6101" s="1" t="str">
        <f t="shared" si="392"/>
        <v>ㄎ</v>
      </c>
      <c r="L6101" s="1" t="str">
        <f t="shared" si="393"/>
        <v>ㄜ</v>
      </c>
      <c r="N6101" s="3" t="s">
        <v>30574</v>
      </c>
      <c r="O6101" s="3"/>
      <c r="P6101" s="1" t="s">
        <v>20</v>
      </c>
      <c r="R6101" s="1" t="s">
        <v>10817</v>
      </c>
      <c r="V6101" s="1" t="s">
        <v>10825</v>
      </c>
      <c r="AR6101" s="1" t="str">
        <f t="shared" si="394"/>
        <v>| [ㄎㄜˋ](ㄎㄜˋ.md) | [氪](氪.md) |  | kè | [名]
（krypton，Kr）化學元素。原子序36。鈍氣元素之一。無色，無臭。大氣中含量極少，不易與其他元素化合。為吸收X射線的遮蔽材料，也可用來填充燈泡。 |</v>
      </c>
    </row>
    <row r="6102" spans="1:44" hidden="1">
      <c r="A6102" s="1" t="s">
        <v>10734</v>
      </c>
      <c r="C6102" s="1">
        <v>1</v>
      </c>
      <c r="D6102" s="1" t="str">
        <f>"04445"</f>
        <v>04445</v>
      </c>
      <c r="E6102" s="1" t="s">
        <v>185</v>
      </c>
      <c r="F6102" s="1">
        <v>8</v>
      </c>
      <c r="G6102" s="1">
        <v>6</v>
      </c>
      <c r="H6102" s="1">
        <v>1</v>
      </c>
      <c r="I6102" s="1" t="s">
        <v>10816</v>
      </c>
      <c r="K6102" s="1" t="str">
        <f t="shared" si="392"/>
        <v>ㄎ</v>
      </c>
      <c r="L6102" s="1" t="str">
        <f t="shared" si="393"/>
        <v>ㄜ</v>
      </c>
      <c r="N6102" s="3" t="s">
        <v>30574</v>
      </c>
      <c r="O6102" s="3"/>
      <c r="P6102" s="1" t="s">
        <v>20</v>
      </c>
      <c r="R6102" s="1" t="s">
        <v>10817</v>
      </c>
      <c r="V6102" s="1" t="s">
        <v>10826</v>
      </c>
      <c r="W6102" s="1" t="s">
        <v>10827</v>
      </c>
      <c r="AR6102" s="1" t="str">
        <f t="shared" si="394"/>
        <v>| [ㄎㄜˋ](ㄎㄜˋ.md) | [刻](刻.md) |  | kè | [動]
1.雕鏤。《說文解字．刀部》：「刻，鏤也。」如：「刻字」、「雕刻」、「刻舟求劍」。宋．歐陽修〈瀧岡阡表〉：「乃列其世譜，具刻於碑。」
2.牢記。如：「那段美好的回憶，已深深的刻在我的心版上。」
3.傷害、剝削。《荀子．禮論》：「刻死而附生謂之墨，刻生而附死謂之惑。」唐．楊倞．注：「刻，損減。」唐．柳宗元〈封建論〉：「大逆未彰，姦利浚財，怙勢作威，大刻於民者，無如之何。」
4.限定。明．史可法〈復多爾袞書〉：「越數日，遂命法視師江北，刻日西征。」
[形]
程度深的。如：「嚴刑刻法」。
[名]
1.古代計時的名稱，一晝夜共分一百刻。今以十五分鐘為一刻。《周禮．夏官司馬．挈壺氏》：「縣壺」漢．鄭玄．注：「漏之箭晝夜共百刻，冬夏之間有長短焉，大史立成法，有四十八箭。」
2.時候。亦指短暫的時間。如：「刻不容緩」、「此時此刻」。《西遊記》第九二回：「這家酬，那家請，略無虛刻。」 |</v>
      </c>
    </row>
    <row r="6103" spans="1:44" hidden="1">
      <c r="A6103" s="1" t="s">
        <v>10828</v>
      </c>
      <c r="C6103" s="1">
        <v>1</v>
      </c>
      <c r="D6103" s="1" t="str">
        <f>"04446"</f>
        <v>04446</v>
      </c>
      <c r="E6103" s="1" t="s">
        <v>624</v>
      </c>
      <c r="F6103" s="1">
        <v>9</v>
      </c>
      <c r="G6103" s="1">
        <v>6</v>
      </c>
      <c r="H6103" s="1">
        <v>0</v>
      </c>
      <c r="I6103" s="1" t="s">
        <v>10816</v>
      </c>
      <c r="K6103" s="1" t="str">
        <f t="shared" si="392"/>
        <v>ㄎ</v>
      </c>
      <c r="L6103" s="1" t="str">
        <f t="shared" si="393"/>
        <v>ㄜ</v>
      </c>
      <c r="N6103" s="3" t="s">
        <v>30574</v>
      </c>
      <c r="O6103" s="3"/>
      <c r="P6103" s="1" t="s">
        <v>20</v>
      </c>
      <c r="R6103" s="1" t="s">
        <v>10817</v>
      </c>
      <c r="V6103" s="1" t="s">
        <v>10829</v>
      </c>
      <c r="AR6103" s="1" t="str">
        <f t="shared" si="394"/>
        <v>| [ㄎㄜˋ](ㄎㄜˋ.md) | [客](客.md) |  | kè | [名]
1.賓，相對於主人而言。如：「賓客」、「請客」、「寒夜客來茶當酒」。《禮記．曲禮下》：「主人敬客，則先拜客；客敬主人，則先拜主人。」《文選．古樂府．飲馬長城窟行》：「客從遠方來，遺我雙鯉魚。」
2.做生意、買賣等的人對顧主的稱呼。如：「顧客」、「乘客」、「客滿」。《韓非子．外儲說右上》：「宋人有酤酒者，升概既平，愈客甚謹。」《老殘遊記》第五回：「漸漸的打尖的客陸續都到店裡。」
3.泛稱從事某種活動或具有某類特長的人。如：「鏢客」、「掮客」、「說客」、「政客」、「珠寶客」。
4.寄食貴族豪門的人。如：「食客」、「門客」。《戰國策．齊策四》：「後孟嘗君出記，問門下諸客誰習計會。」《晉書．卷六九．刁協傳》：「刁氏素殷富，奴客縱橫。」
5.寄旅於外的人。唐．王維〈九月九日憶山東兄弟〉詩：「獨在異鄉為異客，每逢佳節倍思親。」唐．杜甫〈中夜〉詩：「長為萬里客，有愧百年身。」
6.泛稱人。如：「旅人過客」。《史記．卷七七．魏公子傳》：「然嬴欲就公子之名，故久立公子車騎市中，過客以觀公子，公子愈恭。」《儒林外史》第三四回：「一個人占了幾個婦人，天下必有幾個無妻之客。」
7.量詞。計算定量出售食品的單位。如：「他點了一客八分熟的牛排。」
8.姓。如漢代有客孫。
[動]
1.寄居、旅居。《三國志．卷一六．魏書．杜畿傳》：「會天下之亂，遂棄官客荊州，建安中乃還。」
2.以客禮相待。《史記．卷三一．吳太伯世家》：「五年，楚之亡臣伍子胥來奔，公子光客之。」唐．司馬貞．索隱：「是謂客禮以接待也。」
[形]
1.次要的。清．顧炎武《日知錄．卷一．朱子周易本義》：「傳為主，經為客。」
2.在人類意識外獨立存在的。如：「客觀」。 |</v>
      </c>
    </row>
    <row r="6104" spans="1:44" hidden="1">
      <c r="A6104" s="1" t="s">
        <v>10830</v>
      </c>
      <c r="C6104" s="1">
        <v>1</v>
      </c>
      <c r="D6104" s="1" t="str">
        <f>"04447"</f>
        <v>04447</v>
      </c>
      <c r="E6104" s="1" t="s">
        <v>250</v>
      </c>
      <c r="F6104" s="1">
        <v>9</v>
      </c>
      <c r="G6104" s="1">
        <v>6</v>
      </c>
      <c r="H6104" s="1">
        <v>1</v>
      </c>
      <c r="I6104" s="1" t="s">
        <v>10816</v>
      </c>
      <c r="K6104" s="1" t="str">
        <f t="shared" si="392"/>
        <v>ㄎ</v>
      </c>
      <c r="L6104" s="1" t="str">
        <f t="shared" si="393"/>
        <v>ㄜ</v>
      </c>
      <c r="N6104" s="3" t="s">
        <v>30574</v>
      </c>
      <c r="O6104" s="3"/>
      <c r="P6104" s="1" t="s">
        <v>20</v>
      </c>
      <c r="R6104" s="1" t="s">
        <v>10817</v>
      </c>
      <c r="V6104" s="1" t="s">
        <v>10831</v>
      </c>
      <c r="W6104" s="1" t="s">
        <v>10832</v>
      </c>
      <c r="AR6104" s="1" t="str">
        <f t="shared" si="394"/>
        <v>| [ㄎㄜˋ](ㄎㄜˋ.md) | [恪](恪.md) |  | kè | [副]
謹慎誠敬。《說文解字．心部》：「愙，敬也。」清．段玉裁．注：「今字作恪。」如：「恪守」、「恪遵」。《書經．盤庚上》：「先王有服，恪謹天命。」
[名]
姓。如晉代有恪啟。 |</v>
      </c>
    </row>
    <row r="6105" spans="1:44" hidden="1">
      <c r="A6105" s="1" t="s">
        <v>10712</v>
      </c>
      <c r="C6105" s="1">
        <v>1</v>
      </c>
      <c r="D6105" s="1" t="str">
        <f>"04448"</f>
        <v>04448</v>
      </c>
      <c r="E6105" s="1" t="s">
        <v>28</v>
      </c>
      <c r="F6105" s="1">
        <v>12</v>
      </c>
      <c r="G6105" s="1">
        <v>9</v>
      </c>
      <c r="H6105" s="1">
        <v>3</v>
      </c>
      <c r="I6105" s="1" t="s">
        <v>10816</v>
      </c>
      <c r="K6105" s="1" t="str">
        <f t="shared" si="392"/>
        <v>ㄎ</v>
      </c>
      <c r="L6105" s="1" t="str">
        <f t="shared" si="393"/>
        <v>ㄜ</v>
      </c>
      <c r="N6105" s="3" t="s">
        <v>30574</v>
      </c>
      <c r="O6105" s="3"/>
      <c r="P6105" s="1" t="s">
        <v>20</v>
      </c>
      <c r="R6105" s="1" t="s">
        <v>10817</v>
      </c>
      <c r="V6105" s="1" t="s">
        <v>10833</v>
      </c>
      <c r="W6105" s="1" t="s">
        <v>10834</v>
      </c>
      <c r="AR6105" s="1" t="str">
        <f t="shared" si="394"/>
        <v>| [ㄎㄜˋ](ㄎㄜˋ.md) | [喀](喀.md) |  | kè | 參見「喀喀」條。 |</v>
      </c>
    </row>
    <row r="6106" spans="1:44" hidden="1">
      <c r="A6106" s="1" t="s">
        <v>10835</v>
      </c>
      <c r="C6106" s="1">
        <v>1</v>
      </c>
      <c r="D6106" s="1" t="str">
        <f>"04449"</f>
        <v>04449</v>
      </c>
      <c r="E6106" s="1" t="s">
        <v>129</v>
      </c>
      <c r="F6106" s="1">
        <v>13</v>
      </c>
      <c r="G6106" s="1">
        <v>10</v>
      </c>
      <c r="H6106" s="1">
        <v>0</v>
      </c>
      <c r="I6106" s="1" t="s">
        <v>10816</v>
      </c>
      <c r="K6106" s="1" t="str">
        <f t="shared" si="392"/>
        <v>ㄎ</v>
      </c>
      <c r="L6106" s="1" t="str">
        <f t="shared" si="393"/>
        <v>ㄜ</v>
      </c>
      <c r="N6106" s="3" t="s">
        <v>30574</v>
      </c>
      <c r="O6106" s="3"/>
      <c r="P6106" s="1" t="s">
        <v>20</v>
      </c>
      <c r="R6106" s="1" t="s">
        <v>10817</v>
      </c>
      <c r="V6106" s="1" t="s">
        <v>10836</v>
      </c>
      <c r="AR6106" s="1" t="str">
        <f t="shared" si="394"/>
        <v>| [ㄎㄜˋ](ㄎㄜˋ.md) | [溘](溘.md) |  | kè | [副]
倏忽、突然。《楚辭．屈原．離騷》：「寧溘死以流亡兮，余不忍為此態也。」《文選．江淹．恨賦》：「朝露溘至，握手何言。」
[動]
掩蓋。《楚辭．屈原．離騷》：「駟玉虯以乘鷖兮，溘埃風余上征。」漢．王逸．注：「溘，猶掩也。」唐．李賀〈七月一日曉入太行山〉詩：「一夕遶山秋，香露溘蒙菉。」 |</v>
      </c>
    </row>
    <row r="6107" spans="1:44" hidden="1">
      <c r="A6107" s="1" t="s">
        <v>10837</v>
      </c>
      <c r="C6107" s="1">
        <v>1</v>
      </c>
      <c r="D6107" s="1" t="str">
        <f>"04450"</f>
        <v>04450</v>
      </c>
      <c r="E6107" s="1" t="s">
        <v>28</v>
      </c>
      <c r="F6107" s="1">
        <v>13</v>
      </c>
      <c r="G6107" s="1">
        <v>10</v>
      </c>
      <c r="H6107" s="1">
        <v>2</v>
      </c>
      <c r="I6107" s="1" t="s">
        <v>10816</v>
      </c>
      <c r="K6107" s="1" t="str">
        <f t="shared" si="392"/>
        <v>ㄎ</v>
      </c>
      <c r="L6107" s="1" t="str">
        <f t="shared" si="393"/>
        <v>ㄜ</v>
      </c>
      <c r="N6107" s="3" t="s">
        <v>30574</v>
      </c>
      <c r="O6107" s="3"/>
      <c r="P6107" s="1" t="s">
        <v>20</v>
      </c>
      <c r="R6107" s="1" t="s">
        <v>10817</v>
      </c>
      <c r="V6107" s="1" t="s">
        <v>10838</v>
      </c>
      <c r="W6107" s="1" t="s">
        <v>10839</v>
      </c>
      <c r="AR6107" s="1" t="str">
        <f t="shared" si="394"/>
        <v>| [ㄎㄜˋ](ㄎㄜˋ.md) | [嗑](嗑.md) |  | kè | [動]
1.說話。明．湯顯祖《牡丹亭》第五四齣：「小姐，俺淡口兒閒嗑，你和柳郎夢裡、陰司裡，兩下光景何如？」
2.用牙尖咬裂硬物。如：「嗑瓜子」。
3.俗稱對毒品的吸食。如：「他因年少無知，染上了毒癮，鎮日嗑藥。」 |</v>
      </c>
    </row>
    <row r="6108" spans="1:44" hidden="1">
      <c r="A6108" s="1" t="s">
        <v>10840</v>
      </c>
      <c r="C6108" s="1">
        <v>1</v>
      </c>
      <c r="D6108" s="1" t="str">
        <f>"04451"</f>
        <v>04451</v>
      </c>
      <c r="E6108" s="1" t="s">
        <v>139</v>
      </c>
      <c r="F6108" s="1">
        <v>14</v>
      </c>
      <c r="G6108" s="1">
        <v>10</v>
      </c>
      <c r="H6108" s="1">
        <v>0</v>
      </c>
      <c r="I6108" s="1" t="s">
        <v>10816</v>
      </c>
      <c r="K6108" s="1" t="str">
        <f t="shared" si="392"/>
        <v>ㄎ</v>
      </c>
      <c r="L6108" s="1" t="str">
        <f t="shared" si="393"/>
        <v>ㄜ</v>
      </c>
      <c r="N6108" s="3" t="s">
        <v>30574</v>
      </c>
      <c r="O6108" s="3"/>
      <c r="P6108" s="1" t="s">
        <v>20</v>
      </c>
      <c r="R6108" s="1" t="s">
        <v>10817</v>
      </c>
      <c r="V6108" s="1" t="s">
        <v>10841</v>
      </c>
      <c r="AR6108" s="1" t="str">
        <f t="shared" si="394"/>
        <v>| [ㄎㄜˋ](ㄎㄜˋ.md) | [榼](榼.md) |  | kè | [名]
1.古代的一種盛酒器。《文選．劉伶．酒德頌》：「止則操卮執瓢，動則挈榼提壺。」唐．白居易〈風雨中尋李十一因題船上〉詩：「小榼酤清醑，行廚煮白鱗。」
2.泛指盒類的容器。《淮南子．氾論》：「今夫霤水足以溢壺榼，而江河不能實漏卮。」《二刻拍案驚奇》卷七：「只見門外一個老姥走將進來，手中拿著一個小榼兒。」 |</v>
      </c>
    </row>
    <row r="6109" spans="1:44" hidden="1">
      <c r="A6109" s="1" t="s">
        <v>10842</v>
      </c>
      <c r="C6109" s="1">
        <v>1</v>
      </c>
      <c r="D6109" s="1" t="str">
        <f>"04452"</f>
        <v>04452</v>
      </c>
      <c r="E6109" s="1" t="s">
        <v>331</v>
      </c>
      <c r="F6109" s="1">
        <v>15</v>
      </c>
      <c r="G6109" s="1">
        <v>8</v>
      </c>
      <c r="H6109" s="1">
        <v>0</v>
      </c>
      <c r="I6109" s="1" t="s">
        <v>10816</v>
      </c>
      <c r="K6109" s="1" t="str">
        <f t="shared" si="392"/>
        <v>ㄎ</v>
      </c>
      <c r="L6109" s="1" t="str">
        <f t="shared" si="393"/>
        <v>ㄜ</v>
      </c>
      <c r="N6109" s="3" t="s">
        <v>30574</v>
      </c>
      <c r="O6109" s="3"/>
      <c r="P6109" s="1" t="s">
        <v>20</v>
      </c>
      <c r="R6109" s="1" t="s">
        <v>10817</v>
      </c>
      <c r="V6109" s="1" t="s">
        <v>10843</v>
      </c>
      <c r="AR6109" s="1" t="str">
        <f t="shared" si="394"/>
        <v>| [ㄎㄜˋ](ㄎㄜˋ.md) | [課](課.md) |  | kè | [動]
1.考核、考試。《說文解字．言部》：「課，試也。」《管子．七法》：「成器不課不用，不試不藏。」《漢書．卷八八．儒林傳．序》：「一歲皆輒課，能通一藝以上，補文學掌故缺。」
2.徵收、徵調。如：「課稅」。《宋書．卷九二．良吏傳．徐豁傳》：「武吏年滿十六，便課米六十斛。」宋．沈括．《夢溪筆談．卷一三．權智》：「聲言廟中屢遭寇，課夫築牆圍之。」
3.督促、督率。《宋史．卷三六五．岳飛傳》：「師每休舍，課將士注坡跳壕，皆重鎧習之。」《聊齋志異．卷一一．黃英》：「黃英課僕種菊，一如陶。」
[名]
1.賦稅。《晉書．卷三．武帝紀》：「雨雹傷秋稼，減天下戶課三分之一。」
2.有一定進度計畫的學習過程。如：「下課」、「上課」。
3.學業、學科。如：「功課」、「我這學期總共修了五門課。」
4.量詞。計算課數的單位詞。如：「這本書有十八課，今天要上第三課。」
5.機關中分別治事的行政單位。如：「出納課」、「總務課」。
6.關於求神問卜的事情。如：「卜課」。 |</v>
      </c>
    </row>
    <row r="6110" spans="1:44" hidden="1">
      <c r="A6110" s="1" t="s">
        <v>10844</v>
      </c>
      <c r="C6110" s="1">
        <v>1</v>
      </c>
      <c r="D6110" s="1" t="str">
        <f>"04453"</f>
        <v>04453</v>
      </c>
      <c r="E6110" s="1" t="s">
        <v>55</v>
      </c>
      <c r="F6110" s="1">
        <v>16</v>
      </c>
      <c r="G6110" s="1">
        <v>8</v>
      </c>
      <c r="H6110" s="1">
        <v>0</v>
      </c>
      <c r="I6110" s="1" t="s">
        <v>10816</v>
      </c>
      <c r="K6110" s="1" t="str">
        <f t="shared" si="392"/>
        <v>ㄎ</v>
      </c>
      <c r="L6110" s="1" t="str">
        <f t="shared" si="393"/>
        <v>ㄜ</v>
      </c>
      <c r="N6110" s="3" t="s">
        <v>30574</v>
      </c>
      <c r="O6110" s="3"/>
      <c r="P6110" s="1" t="s">
        <v>20</v>
      </c>
      <c r="R6110" s="1" t="s">
        <v>10817</v>
      </c>
      <c r="V6110" s="1" t="s">
        <v>10845</v>
      </c>
      <c r="AR6110" s="1" t="str">
        <f t="shared" si="394"/>
        <v>| [ㄎㄜˋ](ㄎㄜˋ.md) | [錁](錁.md) |  | kè | [名]
俗稱金銀鑄成的小錠為「錁」，狀如小饅頭，重量由一、二兩至三、五兩不等。《紅樓夢》第一七、一八回：「紫金筆錠如意錁十錠，吉慶有魚銀錁十錠。」 |</v>
      </c>
    </row>
    <row r="6111" spans="1:44" hidden="1">
      <c r="A6111" s="1" t="s">
        <v>10846</v>
      </c>
      <c r="C6111" s="1">
        <v>1</v>
      </c>
      <c r="D6111" s="1" t="str">
        <f>"04454"</f>
        <v>04454</v>
      </c>
      <c r="E6111" s="1" t="s">
        <v>319</v>
      </c>
      <c r="F6111" s="1">
        <v>18</v>
      </c>
      <c r="G6111" s="1">
        <v>8</v>
      </c>
      <c r="H6111" s="1">
        <v>0</v>
      </c>
      <c r="I6111" s="1" t="s">
        <v>10816</v>
      </c>
      <c r="K6111" s="1" t="str">
        <f t="shared" si="392"/>
        <v>ㄎ</v>
      </c>
      <c r="L6111" s="1" t="str">
        <f t="shared" si="393"/>
        <v>ㄜ</v>
      </c>
      <c r="N6111" s="3" t="s">
        <v>30574</v>
      </c>
      <c r="O6111" s="3"/>
      <c r="P6111" s="1" t="s">
        <v>20</v>
      </c>
      <c r="R6111" s="1" t="s">
        <v>10817</v>
      </c>
      <c r="V6111" s="1" t="s">
        <v>10847</v>
      </c>
      <c r="AR6111" s="1" t="str">
        <f t="shared" si="394"/>
        <v>| [ㄎㄜˋ](ㄎㄜˋ.md) | [騍](騍.md) |  | kè | [名]
牝馬、母馬。明．張自烈《正字通．馬部》：「騍，俗呼牝馬，即草馬。」也稱為「課馬」、「騍馬」。 |</v>
      </c>
    </row>
    <row r="6112" spans="1:44" hidden="1">
      <c r="A6112" s="1" t="s">
        <v>10848</v>
      </c>
      <c r="C6112" s="1">
        <v>1</v>
      </c>
      <c r="D6112" s="1" t="str">
        <f>"04455"</f>
        <v>04455</v>
      </c>
      <c r="E6112" s="1" t="s">
        <v>725</v>
      </c>
      <c r="F6112" s="1">
        <v>15</v>
      </c>
      <c r="G6112" s="1">
        <v>9</v>
      </c>
      <c r="H6112" s="1">
        <v>0</v>
      </c>
      <c r="I6112" s="1" t="s">
        <v>10816</v>
      </c>
      <c r="K6112" s="1" t="str">
        <f t="shared" si="392"/>
        <v>ㄎ</v>
      </c>
      <c r="L6112" s="1" t="str">
        <f t="shared" si="393"/>
        <v>ㄜ</v>
      </c>
      <c r="N6112" s="3" t="s">
        <v>30574</v>
      </c>
      <c r="O6112" s="3"/>
      <c r="P6112" s="1" t="s">
        <v>20</v>
      </c>
      <c r="R6112" s="1" t="s">
        <v>10817</v>
      </c>
      <c r="V6112" s="1" t="s">
        <v>10849</v>
      </c>
      <c r="AR6112" s="1" t="str">
        <f t="shared" si="394"/>
        <v>| [ㄎㄜˋ](ㄎㄜˋ.md) | [緙](緙.md) |  | kè | [名]
織物的緯線。《玉篇．糸部》：「緙，紩也，織緯也。」 |</v>
      </c>
    </row>
    <row r="6113" spans="1:44" hidden="1">
      <c r="A6113" s="1" t="s">
        <v>10724</v>
      </c>
      <c r="C6113" s="1">
        <v>1</v>
      </c>
      <c r="D6113" s="1" t="str">
        <f>"04429"</f>
        <v>04429</v>
      </c>
      <c r="E6113" s="1" t="s">
        <v>28</v>
      </c>
      <c r="F6113" s="1">
        <v>9</v>
      </c>
      <c r="G6113" s="1">
        <v>6</v>
      </c>
      <c r="H6113" s="1">
        <v>1</v>
      </c>
      <c r="I6113" s="1" t="s">
        <v>10785</v>
      </c>
      <c r="K6113" s="1" t="str">
        <f t="shared" si="392"/>
        <v>ㄎ</v>
      </c>
      <c r="L6113" s="1" t="str">
        <f t="shared" si="393"/>
        <v>ㄜ</v>
      </c>
      <c r="N6113" s="3" t="s">
        <v>30575</v>
      </c>
      <c r="O6113" s="3"/>
      <c r="P6113" s="1" t="s">
        <v>20</v>
      </c>
      <c r="R6113" s="1" t="s">
        <v>10786</v>
      </c>
      <c r="V6113" s="1" t="s">
        <v>10787</v>
      </c>
      <c r="W6113" s="1" t="s">
        <v>10788</v>
      </c>
      <c r="AR6113" s="1" t="str">
        <f t="shared" si="394"/>
        <v>| [ㄎㄜˊ](ㄎㄜˊ.md) | [咳](咳.md) |  | ké | [動]
氣管受到痰或氣體的刺激，引起反射作用，把氣體用力排出。如：「咳嗽」、「百日咳」。 |</v>
      </c>
    </row>
    <row r="6114" spans="1:44" hidden="1">
      <c r="A6114" s="1" t="s">
        <v>10789</v>
      </c>
      <c r="C6114" s="1">
        <v>1</v>
      </c>
      <c r="D6114" s="1" t="str">
        <f>"04430"</f>
        <v>04430</v>
      </c>
      <c r="E6114" s="1" t="s">
        <v>1908</v>
      </c>
      <c r="F6114" s="1">
        <v>10</v>
      </c>
      <c r="G6114" s="1">
        <v>6</v>
      </c>
      <c r="H6114" s="1">
        <v>2</v>
      </c>
      <c r="I6114" s="1" t="s">
        <v>10785</v>
      </c>
      <c r="K6114" s="1" t="str">
        <f t="shared" si="392"/>
        <v>ㄎ</v>
      </c>
      <c r="L6114" s="1" t="str">
        <f t="shared" si="393"/>
        <v>ㄜ</v>
      </c>
      <c r="N6114" s="3" t="s">
        <v>30575</v>
      </c>
      <c r="O6114" s="3"/>
      <c r="P6114" s="1" t="s">
        <v>388</v>
      </c>
      <c r="R6114" s="1" t="s">
        <v>10786</v>
      </c>
      <c r="V6114" s="1" t="s">
        <v>407</v>
      </c>
      <c r="W6114" s="1" t="s">
        <v>10790</v>
      </c>
      <c r="AR6114" s="1" t="str">
        <f t="shared" si="394"/>
        <v>| [ㄎㄜˊ](ㄎㄜˊ.md) | [欬](欬.md) |  | ké | (一)之語音。 |</v>
      </c>
    </row>
    <row r="6115" spans="1:44" hidden="1">
      <c r="A6115" s="1" t="s">
        <v>10739</v>
      </c>
      <c r="C6115" s="1">
        <v>1</v>
      </c>
      <c r="D6115" s="1" t="str">
        <f>"04431"</f>
        <v>04431</v>
      </c>
      <c r="E6115" s="1" t="s">
        <v>684</v>
      </c>
      <c r="F6115" s="1">
        <v>15</v>
      </c>
      <c r="G6115" s="1">
        <v>6</v>
      </c>
      <c r="H6115" s="1">
        <v>3</v>
      </c>
      <c r="I6115" s="1" t="s">
        <v>10785</v>
      </c>
      <c r="K6115" s="1" t="str">
        <f t="shared" si="392"/>
        <v>ㄎ</v>
      </c>
      <c r="L6115" s="1" t="str">
        <f t="shared" si="393"/>
        <v>ㄜ</v>
      </c>
      <c r="N6115" s="3" t="s">
        <v>30575</v>
      </c>
      <c r="O6115" s="3"/>
      <c r="P6115" s="1" t="s">
        <v>20</v>
      </c>
      <c r="R6115" s="1" t="s">
        <v>10786</v>
      </c>
      <c r="V6115" s="1" t="s">
        <v>10791</v>
      </c>
      <c r="W6115" s="1" t="s">
        <v>10792</v>
      </c>
      <c r="AR6115" s="1" t="str">
        <f t="shared" si="394"/>
        <v>| [ㄎㄜˊ](ㄎㄜˊ.md) | [頦](頦.md) |  | ké | [名]
頦兒：指下巴。如：「仰著頦兒向上看。」 |</v>
      </c>
    </row>
    <row r="6116" spans="1:44" hidden="1">
      <c r="A6116" s="1" t="s">
        <v>10793</v>
      </c>
      <c r="C6116" s="1">
        <v>1</v>
      </c>
      <c r="D6116" s="1" t="str">
        <f>"04432"</f>
        <v>04432</v>
      </c>
      <c r="E6116" s="1" t="s">
        <v>24</v>
      </c>
      <c r="F6116" s="1">
        <v>12</v>
      </c>
      <c r="G6116" s="1">
        <v>9</v>
      </c>
      <c r="H6116" s="1">
        <v>0</v>
      </c>
      <c r="I6116" s="1" t="s">
        <v>10785</v>
      </c>
      <c r="K6116" s="1" t="str">
        <f t="shared" si="392"/>
        <v>ㄎ</v>
      </c>
      <c r="L6116" s="1" t="str">
        <f t="shared" si="393"/>
        <v>ㄜ</v>
      </c>
      <c r="N6116" s="3" t="s">
        <v>30575</v>
      </c>
      <c r="O6116" s="3"/>
      <c r="P6116" s="1" t="s">
        <v>20</v>
      </c>
      <c r="R6116" s="1" t="s">
        <v>10786</v>
      </c>
      <c r="V6116" s="1" t="s">
        <v>10794</v>
      </c>
      <c r="AR6116" s="1" t="str">
        <f t="shared" si="394"/>
        <v>| [ㄎㄜˊ](ㄎㄜˊ.md) | [揢](揢.md) |  | ké | [動]
1.握、持。《廣韻．入聲．陌韻》：「揢，手把著也。」
2.卡住、夾住。如：「因為放了太多東西，抽屜給揢住了。」 |</v>
      </c>
    </row>
    <row r="6117" spans="1:44" hidden="1">
      <c r="A6117" s="1" t="s">
        <v>10795</v>
      </c>
      <c r="C6117" s="1">
        <v>1</v>
      </c>
      <c r="D6117" s="1" t="str">
        <f>"04433"</f>
        <v>04433</v>
      </c>
      <c r="E6117" s="1" t="s">
        <v>5505</v>
      </c>
      <c r="F6117" s="1">
        <v>12</v>
      </c>
      <c r="G6117" s="1">
        <v>8</v>
      </c>
      <c r="H6117" s="1">
        <v>1</v>
      </c>
      <c r="I6117" s="1" t="s">
        <v>10785</v>
      </c>
      <c r="K6117" s="1" t="str">
        <f t="shared" si="392"/>
        <v>ㄎ</v>
      </c>
      <c r="L6117" s="1" t="str">
        <f t="shared" si="393"/>
        <v>ㄜ</v>
      </c>
      <c r="N6117" s="3" t="s">
        <v>30575</v>
      </c>
      <c r="O6117" s="3"/>
      <c r="P6117" s="1" t="s">
        <v>20</v>
      </c>
      <c r="R6117" s="1" t="s">
        <v>10786</v>
      </c>
      <c r="V6117" s="1" t="s">
        <v>10796</v>
      </c>
      <c r="W6117" s="1" t="s">
        <v>10797</v>
      </c>
      <c r="AR6117" s="1" t="str">
        <f t="shared" si="394"/>
        <v>| [ㄎㄜˊ](ㄎㄜˊ.md) | [殼](殼.md) |  | ké | [名]
物體堅硬的外皮。如：「地殼」、「蛋殼」、「瓜子殼」、「龍眼殼」。 |</v>
      </c>
    </row>
    <row r="6118" spans="1:44" hidden="1">
      <c r="A6118" s="1" t="s">
        <v>10798</v>
      </c>
      <c r="C6118" s="1">
        <v>1</v>
      </c>
      <c r="D6118" s="1" t="str">
        <f>"04434"</f>
        <v>04434</v>
      </c>
      <c r="E6118" s="1" t="s">
        <v>28</v>
      </c>
      <c r="F6118" s="1">
        <v>5</v>
      </c>
      <c r="G6118" s="1">
        <v>2</v>
      </c>
      <c r="H6118" s="1">
        <v>1</v>
      </c>
      <c r="I6118" s="1" t="s">
        <v>10799</v>
      </c>
      <c r="K6118" s="1" t="str">
        <f t="shared" si="392"/>
        <v>ㄎ</v>
      </c>
      <c r="L6118" s="1" t="str">
        <f t="shared" si="393"/>
        <v>ㄜ</v>
      </c>
      <c r="N6118" s="3" t="s">
        <v>30576</v>
      </c>
      <c r="O6118" s="3"/>
      <c r="P6118" s="1" t="s">
        <v>20</v>
      </c>
      <c r="R6118" s="1" t="s">
        <v>10800</v>
      </c>
      <c r="V6118" s="1" t="s">
        <v>10801</v>
      </c>
      <c r="W6118" s="1" t="s">
        <v>10802</v>
      </c>
      <c r="AR6118" s="1" t="str">
        <f t="shared" si="394"/>
        <v>| [ㄎㄜˇ](ㄎㄜˇ.md) | [可](可.md) |  | kě | [動]
1.肯定、贊成、贊同。如：「許可」。《史記．卷八七．李斯傳》：「始皇可其議，收去詩書百家之語以愚百姓。」唐．柳宗元〈答韋中立論師道書〉：「吾子好道而可吾文，或者其於道不遠矣。」
2.適宜。《莊子．天運》：「其味相反，而皆可於口。」《西遊記》第一二回：「凜凜威顏多雅秀，佛衣可體如裁就。」
3.病癒、痊癒。《董西廂》卷五：「鍼灸沒靈驗，醫療難痊可。」《三國演義》第八〇回：「待軍師病可，行之未遲。」
4.當、對著。唐．劉禹錫〈生公講堂〉詩：「高坐寂寥塵漠漠，一方明月可中庭。」
5.值得、堪。如：「可貴」、「可敬」。《詩經．豳風．東山》：「町畽鹿場，熠燿宵行，不可畏也，伊可懷也。」唐．陳陶〈隴西行〉四首之二：「可憐無定河邊骨，猶是春閨夢裡人。」
[副]
1.能夠。如：「你可以走了。」《詩經．秦風．黃鳥》：「彼蒼者天，殲我良人。如可贖兮，人百其身。」漢．王充《論衡．率性》：「人之性，善可變為惡，惡可變為善。」
2.卻。如：「你去，我可不去。」唐．李白〈相逢行〉：「相見情已深，未語可知心。」元．關漢卿《拜月亭》第二折：「那玉砌朱廉與畫堂，我也可覷得尋常。」
3.約略、約計。《韓非子．外儲說左上》：「奪轡代之御，可數百步。」唐．王維〈洛陽女兒行〉：「洛陽女兒對門居，纔可容顏十五餘。」
4.豈。唐．韋莊〈長安清明〉詩：「蚤是傷春夢雨天，可堪芳草更芊芊。」
5.表示疑問。如：「你可知道？」、「你可想過？」
6.真、確實。《遼史．卷三〇．天祚皇帝本紀．贊曰》：「太祖、太宗乘百戰之勢，輯新造之邦，英謀叡略，可謂遠矣。」《水滸傳》第七三回：「穀雨初晴，可是麗人天氣。」
[連]
但是、可是。如：「他雖然笨，可很用功。」
[助]
用於句中，表示加強語氣。如：「你可回來了。」、「這下可好了！」
[形]
美好的。如：「可人兒」。
[名]
姓。如唐代有可中正。 |</v>
      </c>
    </row>
    <row r="6119" spans="1:44" hidden="1">
      <c r="A6119" s="1" t="s">
        <v>10803</v>
      </c>
      <c r="C6119" s="1">
        <v>1</v>
      </c>
      <c r="D6119" s="1" t="str">
        <f>"04435"</f>
        <v>04435</v>
      </c>
      <c r="E6119" s="1" t="s">
        <v>132</v>
      </c>
      <c r="F6119" s="1">
        <v>8</v>
      </c>
      <c r="G6119" s="1">
        <v>5</v>
      </c>
      <c r="H6119" s="1">
        <v>0</v>
      </c>
      <c r="I6119" s="1" t="s">
        <v>10799</v>
      </c>
      <c r="K6119" s="1" t="str">
        <f t="shared" si="392"/>
        <v>ㄎ</v>
      </c>
      <c r="L6119" s="1" t="str">
        <f t="shared" si="393"/>
        <v>ㄜ</v>
      </c>
      <c r="N6119" s="3" t="s">
        <v>30576</v>
      </c>
      <c r="O6119" s="3"/>
      <c r="P6119" s="1" t="s">
        <v>20</v>
      </c>
      <c r="R6119" s="1" t="s">
        <v>10800</v>
      </c>
      <c r="V6119" s="1" t="s">
        <v>10804</v>
      </c>
      <c r="AR6119" s="1" t="str">
        <f t="shared" si="394"/>
        <v>| [ㄎㄜˇ](ㄎㄜˇ.md) | [坷](坷.md) |  | kě | 參見「坎坷」條。 |</v>
      </c>
    </row>
    <row r="6120" spans="1:44" hidden="1">
      <c r="A6120" s="1" t="s">
        <v>10805</v>
      </c>
      <c r="C6120" s="1">
        <v>1</v>
      </c>
      <c r="D6120" s="1" t="str">
        <f>"04436"</f>
        <v>04436</v>
      </c>
      <c r="E6120" s="1" t="s">
        <v>190</v>
      </c>
      <c r="F6120" s="1">
        <v>8</v>
      </c>
      <c r="G6120" s="1">
        <v>5</v>
      </c>
      <c r="H6120" s="1">
        <v>0</v>
      </c>
      <c r="I6120" s="1" t="s">
        <v>10799</v>
      </c>
      <c r="K6120" s="1" t="str">
        <f t="shared" si="392"/>
        <v>ㄎ</v>
      </c>
      <c r="L6120" s="1" t="str">
        <f t="shared" si="393"/>
        <v>ㄜ</v>
      </c>
      <c r="N6120" s="3" t="s">
        <v>30576</v>
      </c>
      <c r="O6120" s="3"/>
      <c r="P6120" s="1" t="s">
        <v>20</v>
      </c>
      <c r="R6120" s="1" t="s">
        <v>10800</v>
      </c>
      <c r="V6120" s="1" t="s">
        <v>10806</v>
      </c>
      <c r="AR6120" s="1" t="str">
        <f t="shared" si="394"/>
        <v>| [ㄎㄜˇ](ㄎㄜˇ.md) | [岢](岢.md) |  | kě | 參見「岢嵐縣」條。 |</v>
      </c>
    </row>
    <row r="6121" spans="1:44" hidden="1">
      <c r="A6121" s="1" t="s">
        <v>9646</v>
      </c>
      <c r="C6121" s="1">
        <v>1</v>
      </c>
      <c r="D6121" s="1" t="str">
        <f>"04437"</f>
        <v>04437</v>
      </c>
      <c r="E6121" s="1" t="s">
        <v>28</v>
      </c>
      <c r="F6121" s="1">
        <v>10</v>
      </c>
      <c r="G6121" s="1">
        <v>7</v>
      </c>
      <c r="H6121" s="1">
        <v>1</v>
      </c>
      <c r="I6121" s="1" t="s">
        <v>10799</v>
      </c>
      <c r="K6121" s="1" t="str">
        <f t="shared" si="392"/>
        <v>ㄎ</v>
      </c>
      <c r="L6121" s="1" t="str">
        <f t="shared" si="393"/>
        <v>ㄜ</v>
      </c>
      <c r="N6121" s="3" t="s">
        <v>30576</v>
      </c>
      <c r="O6121" s="3"/>
      <c r="P6121" s="1" t="s">
        <v>20</v>
      </c>
      <c r="R6121" s="1" t="s">
        <v>10800</v>
      </c>
      <c r="V6121" s="1" t="s">
        <v>10807</v>
      </c>
      <c r="W6121" s="1" t="s">
        <v>10808</v>
      </c>
      <c r="AR6121" s="1" t="str">
        <f t="shared" si="394"/>
        <v>| [ㄎㄜˇ](ㄎㄜˇ.md) | [哿](哿.md) |  | kě | [動]
讚許、嘉許。《說文解字．可部》：「哿，可也。」《左傳．昭公八年》：「哿矣能言，巧言如流。」 |</v>
      </c>
    </row>
    <row r="6122" spans="1:44" hidden="1">
      <c r="A6122" s="1" t="s">
        <v>10809</v>
      </c>
      <c r="C6122" s="1">
        <v>1</v>
      </c>
      <c r="D6122" s="1" t="str">
        <f>"04438"</f>
        <v>04438</v>
      </c>
      <c r="E6122" s="1" t="s">
        <v>132</v>
      </c>
      <c r="F6122" s="1">
        <v>11</v>
      </c>
      <c r="G6122" s="1">
        <v>8</v>
      </c>
      <c r="H6122" s="1">
        <v>0</v>
      </c>
      <c r="I6122" s="1" t="s">
        <v>10799</v>
      </c>
      <c r="K6122" s="1" t="str">
        <f t="shared" si="392"/>
        <v>ㄎ</v>
      </c>
      <c r="L6122" s="1" t="str">
        <f t="shared" si="393"/>
        <v>ㄜ</v>
      </c>
      <c r="N6122" s="3" t="s">
        <v>30576</v>
      </c>
      <c r="O6122" s="3"/>
      <c r="P6122" s="1" t="s">
        <v>20</v>
      </c>
      <c r="R6122" s="1" t="s">
        <v>10800</v>
      </c>
      <c r="V6122" s="1" t="s">
        <v>10810</v>
      </c>
      <c r="AR6122" s="1" t="str">
        <f t="shared" si="394"/>
        <v>| [ㄎㄜˇ](ㄎㄜˇ.md) | [堁](堁.md) |  | kě | [名]
塵埃。《集韻．去聲．隊韻》：「堁，塵也。」《淮南子．主術》：「譬猶揚堁而弭塵，抱薪以救火也。」 |</v>
      </c>
    </row>
    <row r="6123" spans="1:44" hidden="1">
      <c r="A6123" s="1" t="s">
        <v>10772</v>
      </c>
      <c r="C6123" s="1">
        <v>1</v>
      </c>
      <c r="D6123" s="1" t="str">
        <f>"04439"</f>
        <v>04439</v>
      </c>
      <c r="E6123" s="1" t="s">
        <v>684</v>
      </c>
      <c r="F6123" s="1">
        <v>17</v>
      </c>
      <c r="G6123" s="1">
        <v>8</v>
      </c>
      <c r="H6123" s="1">
        <v>2</v>
      </c>
      <c r="I6123" s="1" t="s">
        <v>10799</v>
      </c>
      <c r="K6123" s="1" t="str">
        <f t="shared" si="392"/>
        <v>ㄎ</v>
      </c>
      <c r="L6123" s="1" t="str">
        <f t="shared" si="393"/>
        <v>ㄜ</v>
      </c>
      <c r="N6123" s="3" t="s">
        <v>30576</v>
      </c>
      <c r="O6123" s="3"/>
      <c r="P6123" s="1" t="s">
        <v>20</v>
      </c>
      <c r="R6123" s="1" t="s">
        <v>10800</v>
      </c>
      <c r="V6123" s="1" t="s">
        <v>10811</v>
      </c>
      <c r="W6123" s="1" t="s">
        <v>10812</v>
      </c>
      <c r="AR6123" s="1" t="str">
        <f t="shared" si="394"/>
        <v>| [ㄎㄜˇ](ㄎㄜˇ.md) | [顆](顆.md) |  | kě | [名]
土塊。《漢書．卷五一．賈山傳》：「為葬薶之侈至於此，使其後世曾不得蓬顆蔽冢而託葬焉。」唐．顏師古．注：「顆，謂土塊。」 |</v>
      </c>
    </row>
    <row r="6124" spans="1:44" hidden="1">
      <c r="A6124" s="1" t="s">
        <v>10813</v>
      </c>
      <c r="C6124" s="1">
        <v>1</v>
      </c>
      <c r="D6124" s="1" t="str">
        <f>"04440"</f>
        <v>04440</v>
      </c>
      <c r="E6124" s="1" t="s">
        <v>129</v>
      </c>
      <c r="F6124" s="1">
        <v>12</v>
      </c>
      <c r="G6124" s="1">
        <v>9</v>
      </c>
      <c r="H6124" s="1">
        <v>1</v>
      </c>
      <c r="I6124" s="1" t="s">
        <v>10799</v>
      </c>
      <c r="K6124" s="1" t="str">
        <f t="shared" si="392"/>
        <v>ㄎ</v>
      </c>
      <c r="L6124" s="1" t="str">
        <f t="shared" si="393"/>
        <v>ㄜ</v>
      </c>
      <c r="N6124" s="3" t="s">
        <v>30576</v>
      </c>
      <c r="O6124" s="3"/>
      <c r="P6124" s="1" t="s">
        <v>20</v>
      </c>
      <c r="R6124" s="1" t="s">
        <v>10800</v>
      </c>
      <c r="V6124" s="1" t="s">
        <v>10814</v>
      </c>
      <c r="W6124" s="1" t="s">
        <v>10815</v>
      </c>
      <c r="AR6124" s="1" t="str">
        <f t="shared" si="394"/>
        <v>| [ㄎㄜˇ](ㄎㄜˇ.md) | [渴](渴.md) |  | kě | [名]
口乾想喝水的感覺。如：「望梅止渴」。南朝宋．劉義慶《世說新語．假譎》：「前有大梅林，饒子，甘酸，可以解渴。」
[副]
急切。如：「渴望」、「渴念」、「渴求」。 |</v>
      </c>
    </row>
    <row r="6125" spans="1:44" hidden="1">
      <c r="A6125" s="1" t="s">
        <v>10789</v>
      </c>
      <c r="C6125" s="1">
        <v>1</v>
      </c>
      <c r="D6125" s="1" t="str">
        <f>"04470"</f>
        <v>04470</v>
      </c>
      <c r="E6125" s="1" t="s">
        <v>1908</v>
      </c>
      <c r="F6125" s="1">
        <v>10</v>
      </c>
      <c r="G6125" s="1">
        <v>6</v>
      </c>
      <c r="H6125" s="1">
        <v>1</v>
      </c>
      <c r="I6125" s="1" t="s">
        <v>10885</v>
      </c>
      <c r="K6125" s="1" t="str">
        <f t="shared" si="392"/>
        <v>ㄎ</v>
      </c>
      <c r="L6125" s="1" t="str">
        <f t="shared" si="393"/>
        <v>ㄞ</v>
      </c>
      <c r="N6125" s="3" t="s">
        <v>30574</v>
      </c>
      <c r="O6125" s="3"/>
      <c r="P6125" s="1" t="s">
        <v>186</v>
      </c>
      <c r="R6125" s="1" t="s">
        <v>10886</v>
      </c>
      <c r="V6125" s="1" t="s">
        <v>10887</v>
      </c>
      <c r="W6125" s="1" t="s">
        <v>10888</v>
      </c>
      <c r="AR6125" s="1" t="str">
        <f t="shared" si="394"/>
        <v>| [ㄎㄞˋ](ㄎㄞˋ.md) | [欬](欬.md) |  | kài | [動]
咳嗽。《說文解字．欠部》：「欬，逆氣也。」清．段玉裁．注：「含吸之欲其下，而气乃逆上是曰欬。」宋．蘇軾〈石鐘山記〉：「又有若老人欬且笑於山谷中者。」 |</v>
      </c>
    </row>
    <row r="6126" spans="1:44" hidden="1">
      <c r="A6126" s="1" t="s">
        <v>10889</v>
      </c>
      <c r="C6126" s="1">
        <v>1</v>
      </c>
      <c r="D6126" s="1" t="str">
        <f>"04471"</f>
        <v>04471</v>
      </c>
      <c r="E6126" s="1" t="s">
        <v>250</v>
      </c>
      <c r="F6126" s="1">
        <v>12</v>
      </c>
      <c r="G6126" s="1">
        <v>9</v>
      </c>
      <c r="H6126" s="1">
        <v>2</v>
      </c>
      <c r="I6126" s="1" t="s">
        <v>10885</v>
      </c>
      <c r="K6126" s="1" t="str">
        <f t="shared" si="392"/>
        <v>ㄎ</v>
      </c>
      <c r="L6126" s="1" t="str">
        <f t="shared" si="393"/>
        <v>ㄞ</v>
      </c>
      <c r="N6126" s="3" t="s">
        <v>30574</v>
      </c>
      <c r="O6126" s="3"/>
      <c r="P6126" s="1" t="s">
        <v>20</v>
      </c>
      <c r="R6126" s="1" t="s">
        <v>10886</v>
      </c>
      <c r="V6126" s="1" t="s">
        <v>10890</v>
      </c>
      <c r="W6126" s="1" t="s">
        <v>10891</v>
      </c>
      <c r="AR6126" s="1" t="str">
        <f t="shared" si="394"/>
        <v>| [ㄎㄞˋ](ㄎㄞˋ.md) | [愒](愒.md) |  | kài | [動]
貪。《爾雅．釋言》：「愒，貪也。」《左傳．昭公元年》：「翫歲而愒日。」晉．杜預．注：「翫、愒，皆貪也。」 |</v>
      </c>
    </row>
    <row r="6127" spans="1:44" hidden="1">
      <c r="A6127" s="1" t="s">
        <v>10875</v>
      </c>
      <c r="C6127" s="1">
        <v>1</v>
      </c>
      <c r="D6127" s="1" t="str">
        <f>"04472"</f>
        <v>04472</v>
      </c>
      <c r="E6127" s="1" t="s">
        <v>250</v>
      </c>
      <c r="F6127" s="1">
        <v>12</v>
      </c>
      <c r="G6127" s="1">
        <v>9</v>
      </c>
      <c r="H6127" s="1">
        <v>2</v>
      </c>
      <c r="I6127" s="1" t="s">
        <v>10885</v>
      </c>
      <c r="K6127" s="1" t="str">
        <f t="shared" si="392"/>
        <v>ㄎ</v>
      </c>
      <c r="L6127" s="1" t="str">
        <f t="shared" si="393"/>
        <v>ㄞ</v>
      </c>
      <c r="N6127" s="3" t="s">
        <v>30574</v>
      </c>
      <c r="O6127" s="3"/>
      <c r="P6127" s="1" t="s">
        <v>110</v>
      </c>
      <c r="R6127" s="1" t="s">
        <v>10886</v>
      </c>
      <c r="V6127" s="1" t="s">
        <v>111</v>
      </c>
      <c r="W6127" s="1" t="s">
        <v>10892</v>
      </c>
      <c r="AR6127" s="1" t="str">
        <f t="shared" si="394"/>
        <v>| [ㄎㄞˋ](ㄎㄞˋ.md) | [慨](慨.md) |  | kài | (一)之又音。 |</v>
      </c>
    </row>
    <row r="6128" spans="1:44" hidden="1">
      <c r="A6128" s="1" t="s">
        <v>10878</v>
      </c>
      <c r="C6128" s="1">
        <v>1</v>
      </c>
      <c r="D6128" s="1" t="str">
        <f>"04473"</f>
        <v>04473</v>
      </c>
      <c r="E6128" s="1" t="s">
        <v>28</v>
      </c>
      <c r="F6128" s="1">
        <v>12</v>
      </c>
      <c r="G6128" s="1">
        <v>9</v>
      </c>
      <c r="H6128" s="1">
        <v>2</v>
      </c>
      <c r="I6128" s="1" t="s">
        <v>10885</v>
      </c>
      <c r="K6128" s="1" t="str">
        <f t="shared" si="392"/>
        <v>ㄎ</v>
      </c>
      <c r="L6128" s="1" t="str">
        <f t="shared" si="393"/>
        <v>ㄞ</v>
      </c>
      <c r="N6128" s="3" t="s">
        <v>30574</v>
      </c>
      <c r="O6128" s="3"/>
      <c r="P6128" s="1" t="s">
        <v>110</v>
      </c>
      <c r="R6128" s="1" t="s">
        <v>10886</v>
      </c>
      <c r="V6128" s="1" t="s">
        <v>111</v>
      </c>
      <c r="W6128" s="1" t="s">
        <v>10893</v>
      </c>
      <c r="AR6128" s="1" t="str">
        <f t="shared" si="394"/>
        <v>| [ㄎㄞˋ](ㄎㄞˋ.md) | [󺟑](󺟑.md) |  | kài | (一)之又音。 |</v>
      </c>
    </row>
    <row r="6129" spans="1:44" hidden="1">
      <c r="A6129" s="1" t="s">
        <v>10894</v>
      </c>
      <c r="C6129" s="1">
        <v>1</v>
      </c>
      <c r="D6129" s="1" t="str">
        <f>"04474"</f>
        <v>04474</v>
      </c>
      <c r="E6129" s="1" t="s">
        <v>250</v>
      </c>
      <c r="F6129" s="1">
        <v>13</v>
      </c>
      <c r="G6129" s="1">
        <v>10</v>
      </c>
      <c r="H6129" s="1">
        <v>1</v>
      </c>
      <c r="I6129" s="1" t="s">
        <v>10885</v>
      </c>
      <c r="K6129" s="1" t="str">
        <f t="shared" si="392"/>
        <v>ㄎ</v>
      </c>
      <c r="L6129" s="1" t="str">
        <f t="shared" si="393"/>
        <v>ㄞ</v>
      </c>
      <c r="N6129" s="3" t="s">
        <v>30574</v>
      </c>
      <c r="O6129" s="3"/>
      <c r="P6129" s="1" t="s">
        <v>20</v>
      </c>
      <c r="R6129" s="1" t="s">
        <v>10886</v>
      </c>
      <c r="V6129" s="1" t="s">
        <v>10895</v>
      </c>
      <c r="W6129" s="1" t="s">
        <v>10896</v>
      </c>
      <c r="AR6129" s="1" t="str">
        <f t="shared" si="394"/>
        <v>| [ㄎㄞˋ](ㄎㄞˋ.md) | [愾](愾.md) |  | kài | [動]
恨、怒。如：「同仇敵愾」。《左傳．文公四年》：「諸侯敵王所愾。」元．王惲〈東征詩〉：「臣牢最愾敵，奮擊不留行。」 |</v>
      </c>
    </row>
    <row r="6130" spans="1:44" hidden="1">
      <c r="A6130" s="1" t="s">
        <v>10858</v>
      </c>
      <c r="C6130" s="1">
        <v>1</v>
      </c>
      <c r="D6130" s="1" t="str">
        <f>"04459"</f>
        <v>04459</v>
      </c>
      <c r="E6130" s="1" t="s">
        <v>4293</v>
      </c>
      <c r="F6130" s="1">
        <v>10</v>
      </c>
      <c r="G6130" s="1">
        <v>3</v>
      </c>
      <c r="H6130" s="1">
        <v>2</v>
      </c>
      <c r="I6130" s="1" t="s">
        <v>10859</v>
      </c>
      <c r="K6130" s="1" t="str">
        <f t="shared" si="392"/>
        <v>ㄎ</v>
      </c>
      <c r="L6130" s="1" t="str">
        <f t="shared" si="393"/>
        <v>ㄞ</v>
      </c>
      <c r="N6130" s="3" t="s">
        <v>30576</v>
      </c>
      <c r="O6130" s="3"/>
      <c r="P6130" s="1" t="s">
        <v>20</v>
      </c>
      <c r="R6130" s="1" t="s">
        <v>10860</v>
      </c>
      <c r="V6130" s="1" t="s">
        <v>10861</v>
      </c>
      <c r="W6130" s="1" t="s">
        <v>10862</v>
      </c>
      <c r="AR6130" s="1" t="str">
        <f t="shared" si="394"/>
        <v>| [ㄎㄞˇ](ㄎㄞˇ.md) | [豈](豈.md) |  | kǎi | [名]
軍隊凱旋歸來所奏的樂曲。《說文解字．豈部》：「豈，還師振旅樂也。」
[形]
和樂。通「愷」、「凱」。《詩經．小雅．魚藻》：「王在在鎬，豈樂飲酒。」三國魏．阮籍〈詠懷詩〉八二首之二三：「豈安通靈臺，游瀁去高翔。」 |</v>
      </c>
    </row>
    <row r="6131" spans="1:44" hidden="1">
      <c r="A6131" s="1" t="s">
        <v>10863</v>
      </c>
      <c r="C6131" s="1">
        <v>1</v>
      </c>
      <c r="D6131" s="1" t="str">
        <f>"04460"</f>
        <v>04460</v>
      </c>
      <c r="E6131" s="1" t="s">
        <v>185</v>
      </c>
      <c r="F6131" s="1">
        <v>12</v>
      </c>
      <c r="G6131" s="1">
        <v>10</v>
      </c>
      <c r="H6131" s="1">
        <v>0</v>
      </c>
      <c r="I6131" s="1" t="s">
        <v>10859</v>
      </c>
      <c r="K6131" s="1" t="str">
        <f t="shared" si="392"/>
        <v>ㄎ</v>
      </c>
      <c r="L6131" s="1" t="str">
        <f t="shared" si="393"/>
        <v>ㄞ</v>
      </c>
      <c r="N6131" s="3" t="s">
        <v>30576</v>
      </c>
      <c r="O6131" s="3"/>
      <c r="P6131" s="1" t="s">
        <v>20</v>
      </c>
      <c r="R6131" s="1" t="s">
        <v>10860</v>
      </c>
      <c r="V6131" s="1" t="s">
        <v>10864</v>
      </c>
      <c r="AR6131" s="1" t="str">
        <f t="shared" si="394"/>
        <v>| [ㄎㄞˇ](ㄎㄞˇ.md) | [剴](剴.md) |  | kǎi | [名]
大鐮刀。《說文解字．刀部》：「剴，大鎌也。」清．段玉裁．注：「謂可切地芟刈也。」
[動]
磨。《說文解字．刀部》：「剴，一曰摩也。」清．段玉裁．注：「刀不利於瓦石上刉之。」
[形]
參見「剴切」條。 |</v>
      </c>
    </row>
    <row r="6132" spans="1:44" hidden="1">
      <c r="A6132" s="1" t="s">
        <v>10865</v>
      </c>
      <c r="C6132" s="1">
        <v>1</v>
      </c>
      <c r="D6132" s="1" t="str">
        <f>"04461"</f>
        <v>04461</v>
      </c>
      <c r="E6132" s="1" t="s">
        <v>5107</v>
      </c>
      <c r="F6132" s="1">
        <v>12</v>
      </c>
      <c r="G6132" s="1">
        <v>10</v>
      </c>
      <c r="H6132" s="1">
        <v>0</v>
      </c>
      <c r="I6132" s="1" t="s">
        <v>10859</v>
      </c>
      <c r="K6132" s="1" t="str">
        <f t="shared" si="392"/>
        <v>ㄎ</v>
      </c>
      <c r="L6132" s="1" t="str">
        <f t="shared" si="393"/>
        <v>ㄞ</v>
      </c>
      <c r="N6132" s="3" t="s">
        <v>30576</v>
      </c>
      <c r="O6132" s="3"/>
      <c r="P6132" s="1" t="s">
        <v>20</v>
      </c>
      <c r="R6132" s="1" t="s">
        <v>10860</v>
      </c>
      <c r="V6132" s="1" t="s">
        <v>10866</v>
      </c>
      <c r="AR6132" s="1" t="str">
        <f t="shared" si="394"/>
        <v>| [ㄎㄞˇ](ㄎㄞˇ.md) | [凱](凱.md) |  | kǎi | [名]
軍隊戰勝歸來所奏的樂曲。如：「奏凱而歸」。《陳書．卷二八．高宗二十九王傳．晉熙王叔文傳》：「隨晉王、秦王等獻凱而入，列于廟廷。」《警世通言．卷一二．范鰍兒雙鏡重圓》：「韓元帥平了建州，安民已定，同呂提轄回臨安面君奏凱。」
[形]
1.和善、溫和。通「愷」。《集韻．上聲．海韻》：「愷，《說文》：『樂也。』或作凱。」《詩經．邶風．凱風》：「凱風自南，吹彼棘心。」《禮記．表記》：「凱弟君子，民之父母。」
2.俗指出手大方闊綽。如：「你最近很凱喔！是不是發財了？」 |</v>
      </c>
    </row>
    <row r="6133" spans="1:44" hidden="1">
      <c r="A6133" s="1" t="s">
        <v>10867</v>
      </c>
      <c r="C6133" s="1">
        <v>1</v>
      </c>
      <c r="D6133" s="1" t="str">
        <f>"04462"</f>
        <v>04462</v>
      </c>
      <c r="E6133" s="1" t="s">
        <v>250</v>
      </c>
      <c r="F6133" s="1">
        <v>13</v>
      </c>
      <c r="G6133" s="1">
        <v>10</v>
      </c>
      <c r="H6133" s="1">
        <v>0</v>
      </c>
      <c r="I6133" s="1" t="s">
        <v>10859</v>
      </c>
      <c r="K6133" s="1" t="str">
        <f t="shared" si="392"/>
        <v>ㄎ</v>
      </c>
      <c r="L6133" s="1" t="str">
        <f t="shared" si="393"/>
        <v>ㄞ</v>
      </c>
      <c r="N6133" s="3" t="s">
        <v>30576</v>
      </c>
      <c r="O6133" s="3"/>
      <c r="P6133" s="1" t="s">
        <v>20</v>
      </c>
      <c r="R6133" s="1" t="s">
        <v>10860</v>
      </c>
      <c r="V6133" s="1" t="s">
        <v>10868</v>
      </c>
      <c r="AR6133" s="1" t="str">
        <f t="shared" si="394"/>
        <v>| [ㄎㄞˇ](ㄎㄞˇ.md) | [愷](愷.md) |  | kǎi | [形]
和樂、和善。《說文解字．心部》：「愷，樂也。」《莊子．天道》：「中心物愷，兼愛無私。」
[名]
軍隊勝利所奏的樂曲。通「凱」。明．張自烈《正字通．心部》：「愷，軍勝之樂。」 |</v>
      </c>
    </row>
    <row r="6134" spans="1:44" hidden="1">
      <c r="A6134" s="1" t="s">
        <v>10869</v>
      </c>
      <c r="C6134" s="1">
        <v>1</v>
      </c>
      <c r="D6134" s="1" t="str">
        <f>"04463"</f>
        <v>04463</v>
      </c>
      <c r="E6134" s="1" t="s">
        <v>132</v>
      </c>
      <c r="F6134" s="1">
        <v>13</v>
      </c>
      <c r="G6134" s="1">
        <v>10</v>
      </c>
      <c r="H6134" s="1">
        <v>0</v>
      </c>
      <c r="I6134" s="1" t="s">
        <v>10859</v>
      </c>
      <c r="K6134" s="1" t="str">
        <f t="shared" si="392"/>
        <v>ㄎ</v>
      </c>
      <c r="L6134" s="1" t="str">
        <f t="shared" si="393"/>
        <v>ㄞ</v>
      </c>
      <c r="N6134" s="3" t="s">
        <v>30576</v>
      </c>
      <c r="O6134" s="3"/>
      <c r="P6134" s="1" t="s">
        <v>20</v>
      </c>
      <c r="R6134" s="1" t="s">
        <v>10860</v>
      </c>
      <c r="V6134" s="1" t="s">
        <v>10870</v>
      </c>
      <c r="AR6134" s="1" t="str">
        <f t="shared" si="394"/>
        <v>| [ㄎㄞˇ](ㄎㄞˇ.md) | [塏](塏.md) |  | kǎi | [形]
地勢高而乾爽。《說文解字．土部》：「塏，高燥也。」《左傳．昭公三年》：「子之宅近市，湫隘囂塵，不可以居，請更諸爽塏者。」 |</v>
      </c>
    </row>
    <row r="6135" spans="1:44" hidden="1">
      <c r="A6135" s="1" t="s">
        <v>10871</v>
      </c>
      <c r="C6135" s="1">
        <v>1</v>
      </c>
      <c r="D6135" s="1" t="str">
        <f>"04464"</f>
        <v>04464</v>
      </c>
      <c r="E6135" s="1" t="s">
        <v>709</v>
      </c>
      <c r="F6135" s="1">
        <v>18</v>
      </c>
      <c r="G6135" s="1">
        <v>10</v>
      </c>
      <c r="H6135" s="1">
        <v>0</v>
      </c>
      <c r="I6135" s="1" t="s">
        <v>10859</v>
      </c>
      <c r="K6135" s="1" t="str">
        <f t="shared" si="392"/>
        <v>ㄎ</v>
      </c>
      <c r="L6135" s="1" t="str">
        <f t="shared" si="393"/>
        <v>ㄞ</v>
      </c>
      <c r="N6135" s="3" t="s">
        <v>30576</v>
      </c>
      <c r="O6135" s="3"/>
      <c r="P6135" s="1" t="s">
        <v>20</v>
      </c>
      <c r="R6135" s="1" t="s">
        <v>10860</v>
      </c>
      <c r="V6135" s="1" t="s">
        <v>10872</v>
      </c>
      <c r="AR6135" s="1" t="str">
        <f t="shared" si="394"/>
        <v>| [ㄎㄞˇ](ㄎㄞˇ.md) | [闓](闓.md) |  | kǎi | [動]
開啟。《說文解字．門部》：「闓，開也。」《漢書．卷九四．匈奴傳上》：「今欲與漢闓大關，取漢女為妻。」《晉書．卷六八．紀瞻傳》：「今貢賢之塗已闓，而教學之務未廣。」
[形]
和樂。通「愷」、「凱」。《漢書．卷五七．司馬相如傳下》：「昆蟲闓懌，回首面內。」唐．顏師古．注：「闓讀曰凱，言四方幽遐，皆懷和樂。」 |</v>
      </c>
    </row>
    <row r="6136" spans="1:44" hidden="1">
      <c r="A6136" s="1" t="s">
        <v>10873</v>
      </c>
      <c r="C6136" s="1">
        <v>1</v>
      </c>
      <c r="D6136" s="1" t="str">
        <f>"04465"</f>
        <v>04465</v>
      </c>
      <c r="E6136" s="1" t="s">
        <v>55</v>
      </c>
      <c r="F6136" s="1">
        <v>18</v>
      </c>
      <c r="G6136" s="1">
        <v>10</v>
      </c>
      <c r="H6136" s="1">
        <v>0</v>
      </c>
      <c r="I6136" s="1" t="s">
        <v>10859</v>
      </c>
      <c r="K6136" s="1" t="str">
        <f t="shared" si="392"/>
        <v>ㄎ</v>
      </c>
      <c r="L6136" s="1" t="str">
        <f t="shared" si="393"/>
        <v>ㄞ</v>
      </c>
      <c r="N6136" s="3" t="s">
        <v>30576</v>
      </c>
      <c r="O6136" s="3"/>
      <c r="P6136" s="1" t="s">
        <v>20</v>
      </c>
      <c r="R6136" s="1" t="s">
        <v>10860</v>
      </c>
      <c r="V6136" s="1" t="s">
        <v>10874</v>
      </c>
      <c r="AR6136" s="1" t="str">
        <f t="shared" si="394"/>
        <v>| [ㄎㄞˇ](ㄎㄞˇ.md) | [鎧](鎧.md) |  | kǎi | [名]
古代戰士所穿的護身鐵甲。如：「鎧冑」。《韓非子．五蠹》：「鎧甲不堅者傷乎體。」漢．曹操〈蒿里行〉：「鎧甲生蟣虱，萬姓以死亡。」 |</v>
      </c>
    </row>
    <row r="6137" spans="1:44" hidden="1">
      <c r="A6137" s="1" t="s">
        <v>10875</v>
      </c>
      <c r="C6137" s="1">
        <v>1</v>
      </c>
      <c r="D6137" s="1" t="str">
        <f>"04466"</f>
        <v>04466</v>
      </c>
      <c r="E6137" s="1" t="s">
        <v>250</v>
      </c>
      <c r="F6137" s="1">
        <v>12</v>
      </c>
      <c r="G6137" s="1">
        <v>9</v>
      </c>
      <c r="H6137" s="1">
        <v>1</v>
      </c>
      <c r="I6137" s="1" t="s">
        <v>10859</v>
      </c>
      <c r="K6137" s="1" t="str">
        <f t="shared" si="392"/>
        <v>ㄎ</v>
      </c>
      <c r="L6137" s="1" t="str">
        <f t="shared" si="393"/>
        <v>ㄞ</v>
      </c>
      <c r="N6137" s="3" t="s">
        <v>30576</v>
      </c>
      <c r="O6137" s="3"/>
      <c r="P6137" s="1" t="s">
        <v>20</v>
      </c>
      <c r="R6137" s="1" t="s">
        <v>10860</v>
      </c>
      <c r="V6137" s="1" t="s">
        <v>10876</v>
      </c>
      <c r="W6137" s="1" t="s">
        <v>10877</v>
      </c>
      <c r="AR6137" s="1" t="str">
        <f t="shared" si="394"/>
        <v>| [ㄎㄞˇ](ㄎㄞˇ.md) | [慨](慨.md) |  | kǎi | [形]
參見「慷慨」條。
[動]
悲嘆、感傷。漢．班彪〈北征賦〉：「撫長劍以慨息。」宋．王安石〈少狂喜文章〉：「撥書置左右，仰屋慨平生。」 |</v>
      </c>
    </row>
    <row r="6138" spans="1:44" hidden="1">
      <c r="A6138" s="1" t="s">
        <v>10878</v>
      </c>
      <c r="C6138" s="1">
        <v>1</v>
      </c>
      <c r="D6138" s="1" t="str">
        <f>"04467"</f>
        <v>04467</v>
      </c>
      <c r="E6138" s="1" t="s">
        <v>28</v>
      </c>
      <c r="F6138" s="1">
        <v>12</v>
      </c>
      <c r="G6138" s="1">
        <v>9</v>
      </c>
      <c r="H6138" s="1">
        <v>1</v>
      </c>
      <c r="I6138" s="1" t="s">
        <v>10859</v>
      </c>
      <c r="K6138" s="1" t="str">
        <f t="shared" si="392"/>
        <v>ㄎ</v>
      </c>
      <c r="L6138" s="1" t="str">
        <f t="shared" si="393"/>
        <v>ㄞ</v>
      </c>
      <c r="N6138" s="3" t="s">
        <v>30576</v>
      </c>
      <c r="O6138" s="3"/>
      <c r="P6138" s="1" t="s">
        <v>20</v>
      </c>
      <c r="R6138" s="1" t="s">
        <v>10860</v>
      </c>
      <c r="V6138" s="1" t="s">
        <v>10879</v>
      </c>
      <c r="W6138" s="1" t="s">
        <v>10880</v>
      </c>
      <c r="AR6138" s="1" t="str">
        <f t="shared" si="394"/>
        <v>| [ㄎㄞˇ](ㄎㄞˇ.md) | [󺟑](󺟑.md) |  | kǎi | [副]
嘆息。《說文解字．口部》：「󺟑，嘆也。」《詩經．王風．中谷有蓷》：「有女仳離，󺟑其嘆矣。」 |</v>
      </c>
    </row>
    <row r="6139" spans="1:44" hidden="1">
      <c r="A6139" s="1" t="s">
        <v>10881</v>
      </c>
      <c r="C6139" s="1">
        <v>1</v>
      </c>
      <c r="D6139" s="1" t="str">
        <f>"04468"</f>
        <v>04468</v>
      </c>
      <c r="E6139" s="1" t="s">
        <v>139</v>
      </c>
      <c r="F6139" s="1">
        <v>13</v>
      </c>
      <c r="G6139" s="1">
        <v>9</v>
      </c>
      <c r="H6139" s="1">
        <v>0</v>
      </c>
      <c r="I6139" s="1" t="s">
        <v>10859</v>
      </c>
      <c r="K6139" s="1" t="str">
        <f t="shared" si="392"/>
        <v>ㄎ</v>
      </c>
      <c r="L6139" s="1" t="str">
        <f t="shared" si="393"/>
        <v>ㄞ</v>
      </c>
      <c r="N6139" s="3" t="s">
        <v>30576</v>
      </c>
      <c r="O6139" s="3"/>
      <c r="P6139" s="1" t="s">
        <v>20</v>
      </c>
      <c r="R6139" s="1" t="s">
        <v>10860</v>
      </c>
      <c r="V6139" s="1" t="s">
        <v>10882</v>
      </c>
      <c r="AR6139" s="1" t="str">
        <f t="shared" si="394"/>
        <v>| [ㄎㄞˇ](ㄎㄞˇ.md) | [楷](楷.md) |  | kǎi | [名]
1.植物名。漆樹科黃連木屬，落葉喬木。奇數羽狀複葉，小葉十一至十五枚，披針形或卵狀披針形，具有香味。花雌雄異株，雄花序緊密總狀，雌花序鬆散圓錐狀，不具花瓣。核果扁倒卵狀球形，熟時呈暗紅色。材質密緻，可製器物。也稱為「黃連花」、「楷木」、「爛心木」。
2.法式、模範。如：「楷模」。《禮記．儒行》：「今世行之，後世以為楷。」南朝梁．劉勰《文心雕龍．祝盟》：「祈禱之式，必誠以敬，祭奠之楷，宜恭且哀。」
3.參見「楷書」條。 |</v>
      </c>
    </row>
    <row r="6140" spans="1:44" hidden="1">
      <c r="A6140" s="1" t="s">
        <v>10883</v>
      </c>
      <c r="C6140" s="1">
        <v>1</v>
      </c>
      <c r="D6140" s="1" t="str">
        <f>"04469"</f>
        <v>04469</v>
      </c>
      <c r="E6140" s="1" t="s">
        <v>55</v>
      </c>
      <c r="F6140" s="1">
        <v>17</v>
      </c>
      <c r="G6140" s="1">
        <v>9</v>
      </c>
      <c r="H6140" s="1">
        <v>0</v>
      </c>
      <c r="I6140" s="1" t="s">
        <v>10859</v>
      </c>
      <c r="K6140" s="1" t="str">
        <f t="shared" si="392"/>
        <v>ㄎ</v>
      </c>
      <c r="L6140" s="1" t="str">
        <f t="shared" si="393"/>
        <v>ㄞ</v>
      </c>
      <c r="N6140" s="3" t="s">
        <v>30576</v>
      </c>
      <c r="O6140" s="3"/>
      <c r="P6140" s="1" t="s">
        <v>20</v>
      </c>
      <c r="R6140" s="1" t="s">
        <v>10860</v>
      </c>
      <c r="V6140" s="1" t="s">
        <v>10884</v>
      </c>
      <c r="AR6140" s="1" t="str">
        <f t="shared" si="394"/>
        <v>| [ㄎㄞˇ](ㄎㄞˇ.md) | [鍇](鍇.md) |  | kǎi | [名]
品質精良的鐵。《文選．左思．吳都賦》：「其琛賂則琨瑤之阜，銅鍇之垠。」 |</v>
      </c>
    </row>
    <row r="6141" spans="1:44" hidden="1">
      <c r="A6141" s="1" t="s">
        <v>10921</v>
      </c>
      <c r="C6141" s="1">
        <v>1</v>
      </c>
      <c r="D6141" s="1" t="str">
        <f>"04484"</f>
        <v>04484</v>
      </c>
      <c r="E6141" s="1" t="s">
        <v>518</v>
      </c>
      <c r="F6141" s="1">
        <v>14</v>
      </c>
      <c r="G6141" s="1">
        <v>10</v>
      </c>
      <c r="H6141" s="1">
        <v>0</v>
      </c>
      <c r="I6141" s="1" t="s">
        <v>10922</v>
      </c>
      <c r="K6141" s="1" t="str">
        <f t="shared" si="392"/>
        <v>ㄎ</v>
      </c>
      <c r="L6141" s="1" t="str">
        <f t="shared" si="393"/>
        <v>ㄠ</v>
      </c>
      <c r="N6141" s="3" t="s">
        <v>30574</v>
      </c>
      <c r="O6141" s="3"/>
      <c r="P6141" s="1" t="s">
        <v>20</v>
      </c>
      <c r="R6141" s="1" t="s">
        <v>10923</v>
      </c>
      <c r="V6141" s="1" t="s">
        <v>10924</v>
      </c>
      <c r="AR6141" s="1" t="str">
        <f t="shared" si="394"/>
        <v>| [ㄎㄠˋ](ㄎㄠˋ.md) | [犒](犒.md) |  | kào | [動]
慰勞、酬賞。如：「犒軍」、「犒勞」、「犒賞」。《左傳．僖公三十三年》：「鄭商人弦高，將市於周，遇之，以乘韋先，牛十二，犒師。」《三國演義》第九回：「允乃大犒軍士，設宴於都堂，召集眾官，酌酒稱慶。」 |</v>
      </c>
    </row>
    <row r="6142" spans="1:44" hidden="1">
      <c r="A6142" s="1" t="s">
        <v>10925</v>
      </c>
      <c r="C6142" s="1">
        <v>1</v>
      </c>
      <c r="D6142" s="1" t="str">
        <f>"04485"</f>
        <v>04485</v>
      </c>
      <c r="E6142" s="1" t="s">
        <v>55</v>
      </c>
      <c r="F6142" s="1">
        <v>14</v>
      </c>
      <c r="G6142" s="1">
        <v>6</v>
      </c>
      <c r="H6142" s="1">
        <v>0</v>
      </c>
      <c r="I6142" s="1" t="s">
        <v>10922</v>
      </c>
      <c r="K6142" s="1" t="str">
        <f t="shared" si="392"/>
        <v>ㄎ</v>
      </c>
      <c r="L6142" s="1" t="str">
        <f t="shared" si="393"/>
        <v>ㄠ</v>
      </c>
      <c r="N6142" s="3" t="s">
        <v>30574</v>
      </c>
      <c r="O6142" s="3"/>
      <c r="P6142" s="1" t="s">
        <v>20</v>
      </c>
      <c r="R6142" s="1" t="s">
        <v>10923</v>
      </c>
      <c r="V6142" s="1" t="s">
        <v>10926</v>
      </c>
      <c r="AR6142" s="1" t="str">
        <f t="shared" si="394"/>
        <v>| [ㄎㄠˋ](ㄎㄠˋ.md) | [銬](銬.md) |  | kào | [名]
戴在犯人手上的刑具。如：「手銬」。
[動]
用手銬扣住。如：「將犯人銬起來。」 |</v>
      </c>
    </row>
    <row r="6143" spans="1:44" hidden="1">
      <c r="A6143" s="1" t="s">
        <v>10927</v>
      </c>
      <c r="C6143" s="1">
        <v>1</v>
      </c>
      <c r="D6143" s="1" t="str">
        <f>"04486"</f>
        <v>04486</v>
      </c>
      <c r="E6143" s="1" t="s">
        <v>3390</v>
      </c>
      <c r="F6143" s="1">
        <v>15</v>
      </c>
      <c r="G6143" s="1">
        <v>7</v>
      </c>
      <c r="H6143" s="1">
        <v>0</v>
      </c>
      <c r="I6143" s="1" t="s">
        <v>10922</v>
      </c>
      <c r="K6143" s="1" t="str">
        <f t="shared" si="392"/>
        <v>ㄎ</v>
      </c>
      <c r="L6143" s="1" t="str">
        <f t="shared" si="393"/>
        <v>ㄠ</v>
      </c>
      <c r="N6143" s="3" t="s">
        <v>30574</v>
      </c>
      <c r="O6143" s="3"/>
      <c r="P6143" s="1" t="s">
        <v>20</v>
      </c>
      <c r="R6143" s="1" t="s">
        <v>10923</v>
      </c>
      <c r="V6143" s="1" t="s">
        <v>10928</v>
      </c>
      <c r="AR6143" s="1" t="str">
        <f t="shared" si="394"/>
        <v>| [ㄎㄠˋ](ㄎㄠˋ.md) | [靠](靠.md) |  | kào | [動]
1.相違背。《說文解字．非部》：「靠，相韋也。」清．段玉裁．注：「今俗謂相依曰靠，古人謂相背曰靠。」
2.倚傍。如：「靠牆」、「倚靠」、「靠著大樹」。
3.挨近、貼近。如：「靠岸」、「靠著站」。唐．曹松〈宿溪僧院〉詩：「煎茶留靜者，靠月坐蒼山。」
4.仰賴、依憑。如：「靠實力」、「靠天吃飯」、「靠人幫忙」。
5.信賴、信任。如：「可靠」、「靠不住」。《老殘遊記》第一六回：「這是同裕的票子，是敝縣第一個大錢莊，萬靠得住。」
6.車、船的停駐、停泊。如：「停靠」、「靠站」、「靠岸」。
[名]
古代戲劇中武將所穿的鎧甲。如：「靠子」、「女靠」、「軟靠」。《儒林外史》第四二回：「那小戲子一個個戴了貂裘，簪了雉羽，穿極新鮮的靠子，跑上場來，串了一個五花八門。」 |</v>
      </c>
    </row>
    <row r="6144" spans="1:44" hidden="1">
      <c r="A6144" s="1" t="s">
        <v>10904</v>
      </c>
      <c r="C6144" s="1">
        <v>1</v>
      </c>
      <c r="D6144" s="1" t="str">
        <f>"04477"</f>
        <v>04477</v>
      </c>
      <c r="E6144" s="1" t="s">
        <v>789</v>
      </c>
      <c r="F6144" s="1">
        <v>2</v>
      </c>
      <c r="G6144" s="1">
        <v>1</v>
      </c>
      <c r="H6144" s="1">
        <v>0</v>
      </c>
      <c r="I6144" s="1" t="s">
        <v>10905</v>
      </c>
      <c r="K6144" s="1" t="str">
        <f t="shared" si="392"/>
        <v>ㄎ</v>
      </c>
      <c r="L6144" s="1" t="str">
        <f t="shared" si="393"/>
        <v>ㄠ</v>
      </c>
      <c r="N6144" s="3" t="s">
        <v>30576</v>
      </c>
      <c r="O6144" s="3"/>
      <c r="P6144" s="1" t="s">
        <v>20</v>
      </c>
      <c r="R6144" s="1" t="s">
        <v>10906</v>
      </c>
      <c r="V6144" s="1" t="s">
        <v>10907</v>
      </c>
      <c r="AR6144" s="1" t="str">
        <f t="shared" si="394"/>
        <v>| [ㄎㄠˇ](ㄎㄠˇ.md) | [丂](丂.md) |  | kǎo | [副]
氣受阻礙而無法舒出。《說文解字．丂部》：「丂，氣欲舒出，勹上礙於一也。」 |</v>
      </c>
    </row>
    <row r="6145" spans="1:44" hidden="1">
      <c r="A6145" s="1" t="s">
        <v>10908</v>
      </c>
      <c r="C6145" s="1">
        <v>1</v>
      </c>
      <c r="D6145" s="1" t="str">
        <f>"04478"</f>
        <v>04478</v>
      </c>
      <c r="E6145" s="1" t="s">
        <v>426</v>
      </c>
      <c r="F6145" s="1">
        <v>6</v>
      </c>
      <c r="G6145" s="1">
        <v>2</v>
      </c>
      <c r="H6145" s="1">
        <v>0</v>
      </c>
      <c r="I6145" s="1" t="s">
        <v>10905</v>
      </c>
      <c r="K6145" s="1" t="str">
        <f t="shared" ref="K6145:K6208" si="396">LEFT(I6145, 1)</f>
        <v>ㄎ</v>
      </c>
      <c r="L6145" s="1" t="str">
        <f t="shared" ref="L6145:L6208" si="397">MID(I6145, 2, 1)</f>
        <v>ㄠ</v>
      </c>
      <c r="N6145" s="3" t="s">
        <v>30576</v>
      </c>
      <c r="O6145" s="3"/>
      <c r="P6145" s="1" t="s">
        <v>20</v>
      </c>
      <c r="R6145" s="1" t="s">
        <v>10906</v>
      </c>
      <c r="V6145" s="1" t="s">
        <v>10909</v>
      </c>
      <c r="AR6145" s="1" t="str">
        <f t="shared" si="394"/>
        <v>| [ㄎㄠˇ](ㄎㄠˇ.md) | [攷](攷.md) |  | kǎo | [動]
1.敲擊。清．王念孫《廣雅疏證．卷三上．釋詁》：「攷，擊也。」
2.稽核、考核。同「考」。《周禮．夏官．大司馬》：「以待攷而賞誅。」漢．鄭玄．注：「攷，謂考校其功。」 |</v>
      </c>
    </row>
    <row r="6146" spans="1:44" hidden="1">
      <c r="A6146" s="1" t="s">
        <v>10910</v>
      </c>
      <c r="C6146" s="1">
        <v>1</v>
      </c>
      <c r="D6146" s="1" t="str">
        <f>"04479"</f>
        <v>04479</v>
      </c>
      <c r="E6146" s="1" t="s">
        <v>2975</v>
      </c>
      <c r="F6146" s="1">
        <v>6</v>
      </c>
      <c r="G6146" s="1">
        <v>0</v>
      </c>
      <c r="H6146" s="1">
        <v>0</v>
      </c>
      <c r="I6146" s="1" t="s">
        <v>10905</v>
      </c>
      <c r="K6146" s="1" t="str">
        <f t="shared" si="396"/>
        <v>ㄎ</v>
      </c>
      <c r="L6146" s="1" t="str">
        <f t="shared" si="397"/>
        <v>ㄠ</v>
      </c>
      <c r="N6146" s="3" t="s">
        <v>30576</v>
      </c>
      <c r="O6146" s="3"/>
      <c r="P6146" s="1" t="s">
        <v>20</v>
      </c>
      <c r="R6146" s="1" t="s">
        <v>10906</v>
      </c>
      <c r="V6146" s="1" t="s">
        <v>10911</v>
      </c>
      <c r="AR6146" s="1" t="str">
        <f t="shared" si="394"/>
        <v>| [ㄎㄠˇ](ㄎㄠˇ.md) | [考](考.md) |  | kǎo | [形]_x000D_
高壽、長壽。《說文解字．老部》：「考，老也。」《詩經．大雅．棫樸》：「周王壽考，遐不作人。」宋．蘇軾〈屈原塔〉詩：「古人誰不死，何必較考折？」_x000D_
[名]_x000D_
1.稱死去的父親。如：「先考」、「如喪考妣」。《楚辭．屈原．離騷》：「帝高陽之苗裔兮，朕皇考曰伯庸。」《新唐書．卷一三．禮樂志三》：「或兄弟分官，則各祭考妣於正寢。」_x000D_
2.考試的簡稱。如：「高考」、「普考」、「特考」。_x000D_
[動]_x000D_
1.稽核、檢查。如：「考查」、「考核」。《書經．舜典》：「三載考績，三考，黜陟幽明。」漢．孔安國．傳：「三年有成，故以考功。」_x000D_
2.測試。如：「考驗」、「招考」。《初刻拍案驚奇》卷一〇：「待官人考了優等，就出吉帖便是。」_x000D_
3.探究、研究。如：「考古」、「生平不可考。」《書經．周官》：「王乃時巡，考制度于四岳。」《漢書．卷六五．東方朔傳》：「考其文理。」_x000D_
4.完成。《左傳．隱公五年》：「九月考仲子之宮，將萬焉。」_x000D_
5.拷問。通「拷」。《南史．卷七七．恩倖列傳．戴法興》：「時建康縣考囚，或用方材壓額及踝脛。」_x000D_
6.敲打。通「攷」。《詩經．唐風．山有樞》：「子有鍾鼓，弗鼓弗考。」《莊子．天地》：「金石有聲，不考不鳴。」_x000D_
7.終。參見「考旦」條。 |</v>
      </c>
    </row>
    <row r="6147" spans="1:44" hidden="1">
      <c r="A6147" s="1" t="s">
        <v>10912</v>
      </c>
      <c r="C6147" s="1">
        <v>1</v>
      </c>
      <c r="D6147" s="1" t="str">
        <f>"04480"</f>
        <v>04480</v>
      </c>
      <c r="E6147" s="1" t="s">
        <v>24</v>
      </c>
      <c r="F6147" s="1">
        <v>9</v>
      </c>
      <c r="G6147" s="1">
        <v>6</v>
      </c>
      <c r="H6147" s="1">
        <v>0</v>
      </c>
      <c r="I6147" s="1" t="s">
        <v>10905</v>
      </c>
      <c r="K6147" s="1" t="str">
        <f t="shared" si="396"/>
        <v>ㄎ</v>
      </c>
      <c r="L6147" s="1" t="str">
        <f t="shared" si="397"/>
        <v>ㄠ</v>
      </c>
      <c r="N6147" s="3" t="s">
        <v>30576</v>
      </c>
      <c r="O6147" s="3"/>
      <c r="P6147" s="1" t="s">
        <v>20</v>
      </c>
      <c r="R6147" s="1" t="s">
        <v>10906</v>
      </c>
      <c r="V6147" s="1" t="s">
        <v>10913</v>
      </c>
      <c r="AR6147" s="1" t="str">
        <f t="shared" ref="AR6147:AR6210" si="398">"| ["&amp;I6147&amp;"]("&amp;I6147&amp;".md) | ["&amp;A6147&amp;"]("&amp;A6147&amp;".md) | "&amp;" | "&amp;R6147&amp;" | "&amp;V6147&amp;" |"</f>
        <v>| [ㄎㄠˇ](ㄎㄠˇ.md) | [拷](拷.md) |  | kǎo | [動]
刑訊、用刑具逼打。如：「拷問」、「嚴刑拷打」。《魏書．卷一一一．刑罰志》：「枷本掌囚，非拷訊所用。」《警世通言．卷一五．金令史美婢酬秀童》：「原來大明律一款，捕盜不許私刑吊拷。」 |</v>
      </c>
    </row>
    <row r="6148" spans="1:44" hidden="1">
      <c r="A6148" s="1" t="s">
        <v>10914</v>
      </c>
      <c r="C6148" s="1">
        <v>1</v>
      </c>
      <c r="D6148" s="1" t="str">
        <f>"04481"</f>
        <v>04481</v>
      </c>
      <c r="E6148" s="1" t="s">
        <v>336</v>
      </c>
      <c r="F6148" s="1">
        <v>10</v>
      </c>
      <c r="G6148" s="1">
        <v>6</v>
      </c>
      <c r="H6148" s="1">
        <v>0</v>
      </c>
      <c r="I6148" s="1" t="s">
        <v>10905</v>
      </c>
      <c r="K6148" s="1" t="str">
        <f t="shared" si="396"/>
        <v>ㄎ</v>
      </c>
      <c r="L6148" s="1" t="str">
        <f t="shared" si="397"/>
        <v>ㄠ</v>
      </c>
      <c r="N6148" s="3" t="s">
        <v>30576</v>
      </c>
      <c r="O6148" s="3"/>
      <c r="P6148" s="1" t="s">
        <v>20</v>
      </c>
      <c r="R6148" s="1" t="s">
        <v>10906</v>
      </c>
      <c r="V6148" s="1" t="s">
        <v>10915</v>
      </c>
      <c r="AR6148" s="1" t="str">
        <f t="shared" si="398"/>
        <v>| [ㄎㄠˇ](ㄎㄠˇ.md) | [烤](烤.md) |  | kǎo | [動]
1.將東西置於炭火等熱源附近，使其燻熟。如：「烤肉」、「烤番薯」。
2.用火烘乾。如：「衣服被雨淋溼了，趕快拿去烤乾。」
3.藉火取暖。如：「烤手」、「烤火」。 |</v>
      </c>
    </row>
    <row r="6149" spans="1:44" hidden="1">
      <c r="A6149" s="1" t="s">
        <v>10916</v>
      </c>
      <c r="C6149" s="1">
        <v>1</v>
      </c>
      <c r="D6149" s="1" t="str">
        <f>"04482"</f>
        <v>04482</v>
      </c>
      <c r="E6149" s="1" t="s">
        <v>139</v>
      </c>
      <c r="F6149" s="1">
        <v>10</v>
      </c>
      <c r="G6149" s="1">
        <v>6</v>
      </c>
      <c r="H6149" s="1">
        <v>0</v>
      </c>
      <c r="I6149" s="1" t="s">
        <v>10905</v>
      </c>
      <c r="K6149" s="1" t="str">
        <f t="shared" si="396"/>
        <v>ㄎ</v>
      </c>
      <c r="L6149" s="1" t="str">
        <f t="shared" si="397"/>
        <v>ㄠ</v>
      </c>
      <c r="N6149" s="3" t="s">
        <v>30576</v>
      </c>
      <c r="O6149" s="3"/>
      <c r="P6149" s="1" t="s">
        <v>20</v>
      </c>
      <c r="R6149" s="1" t="s">
        <v>10906</v>
      </c>
      <c r="V6149" s="1" t="s">
        <v>10917</v>
      </c>
      <c r="AR6149" s="1" t="str">
        <f t="shared" si="398"/>
        <v>| [ㄎㄠˇ](ㄎㄠˇ.md) | [栲](栲.md) |  | kǎo | [名]
植物名。省沽油科，落葉灌木或小喬木。夏季開黃白小花。木材可製器物。 |</v>
      </c>
    </row>
    <row r="6150" spans="1:44" hidden="1">
      <c r="A6150" s="1" t="s">
        <v>10918</v>
      </c>
      <c r="C6150" s="1">
        <v>1</v>
      </c>
      <c r="D6150" s="1" t="str">
        <f>"04483"</f>
        <v>04483</v>
      </c>
      <c r="E6150" s="1" t="s">
        <v>336</v>
      </c>
      <c r="F6150" s="1">
        <v>14</v>
      </c>
      <c r="G6150" s="1">
        <v>10</v>
      </c>
      <c r="H6150" s="1">
        <v>2</v>
      </c>
      <c r="I6150" s="1" t="s">
        <v>10905</v>
      </c>
      <c r="K6150" s="1" t="str">
        <f t="shared" si="396"/>
        <v>ㄎ</v>
      </c>
      <c r="L6150" s="1" t="str">
        <f t="shared" si="397"/>
        <v>ㄠ</v>
      </c>
      <c r="N6150" s="3" t="s">
        <v>30576</v>
      </c>
      <c r="O6150" s="3"/>
      <c r="P6150" s="1" t="s">
        <v>20</v>
      </c>
      <c r="R6150" s="1" t="s">
        <v>10906</v>
      </c>
      <c r="V6150" s="1" t="s">
        <v>10919</v>
      </c>
      <c r="W6150" s="1" t="s">
        <v>10920</v>
      </c>
      <c r="AR6150" s="1" t="str">
        <f t="shared" si="398"/>
        <v>| [ㄎㄠˇ](ㄎㄠˇ.md) | [熇](熇.md) |  | kǎo | [動]
烘烤、燒炙。烤的本字。宋．張君房《雲笈七籤．卷八六．洞生太帝君鎮生五藏訣》：「當以直理之木，熇燥好薪，不用蠹蟲及木皮之不淨薪。」 |</v>
      </c>
    </row>
    <row r="6151" spans="1:44" hidden="1">
      <c r="A6151" s="1" t="s">
        <v>10941</v>
      </c>
      <c r="C6151" s="1">
        <v>1</v>
      </c>
      <c r="D6151" s="1" t="str">
        <f>"04491"</f>
        <v>04491</v>
      </c>
      <c r="E6151" s="1" t="s">
        <v>28</v>
      </c>
      <c r="F6151" s="1">
        <v>5</v>
      </c>
      <c r="G6151" s="1">
        <v>2</v>
      </c>
      <c r="H6151" s="1">
        <v>0</v>
      </c>
      <c r="I6151" s="1" t="s">
        <v>10942</v>
      </c>
      <c r="K6151" s="1" t="str">
        <f t="shared" si="396"/>
        <v>ㄎ</v>
      </c>
      <c r="L6151" s="1" t="str">
        <f t="shared" si="397"/>
        <v>ㄡ</v>
      </c>
      <c r="N6151" s="3" t="s">
        <v>30574</v>
      </c>
      <c r="O6151" s="3"/>
      <c r="P6151" s="1" t="s">
        <v>20</v>
      </c>
      <c r="R6151" s="1" t="s">
        <v>10943</v>
      </c>
      <c r="V6151" s="1" t="s">
        <v>10944</v>
      </c>
      <c r="AR6151" s="1" t="str">
        <f t="shared" si="398"/>
        <v>| [ㄎㄡˋ](ㄎㄡˋ.md) | [叩](叩.md) |  | kòu | [動]
1.敲、擊。如：「叩門」、「叩關」。《論語．憲問》：「以杖叩其脛。」唐．白居易〈長恨歌〉：「金闕西廂叩玉扃，轉教小玉報雙成。」
2.磕、觸。如：「叩頭」、「叩首」。《兒女英雄傳》第三七回：「安老爺聽得這個，說了句豈敢，連忙趕過去，合他膀子靠膀子的，也那麼鬧了一陣，口裡卻說的是：『還叩，還叩，還叩。』」
3.詢問、請問。如：「叩安」、「執經叩問」。清．方苞〈左忠毅公軼事〉：「叩之寺僧，則史公可法也。」
4.叩頭、叩首的簡稱。如：「三跪九叩」。
5.牽、拉住。同「扣」。《史記．卷六一．伯夷傳》：「伯夷、叔齊叩馬而諫。」 |</v>
      </c>
    </row>
    <row r="6152" spans="1:44" hidden="1">
      <c r="A6152" s="1" t="s">
        <v>10945</v>
      </c>
      <c r="C6152" s="1">
        <v>1</v>
      </c>
      <c r="D6152" s="1" t="str">
        <f>"04492"</f>
        <v>04492</v>
      </c>
      <c r="E6152" s="1" t="s">
        <v>24</v>
      </c>
      <c r="F6152" s="1">
        <v>6</v>
      </c>
      <c r="G6152" s="1">
        <v>3</v>
      </c>
      <c r="H6152" s="1">
        <v>0</v>
      </c>
      <c r="I6152" s="1" t="s">
        <v>10942</v>
      </c>
      <c r="K6152" s="1" t="str">
        <f t="shared" si="396"/>
        <v>ㄎ</v>
      </c>
      <c r="L6152" s="1" t="str">
        <f t="shared" si="397"/>
        <v>ㄡ</v>
      </c>
      <c r="N6152" s="3" t="s">
        <v>30574</v>
      </c>
      <c r="O6152" s="3"/>
      <c r="P6152" s="1" t="s">
        <v>20</v>
      </c>
      <c r="R6152" s="1" t="s">
        <v>10943</v>
      </c>
      <c r="V6152" s="1" t="s">
        <v>10946</v>
      </c>
      <c r="AR6152" s="1" t="str">
        <f t="shared" si="398"/>
        <v>| [ㄎㄡˋ](ㄎㄡˋ.md) | [扣](扣.md) |  | kòu | [動]
1.牽、勒住。《說文解字．手部》：「扣，牽馬也。」《左傳．襄公十八年》：「齊侯駕將走郵棠，大子與郭榮扣馬。」
2.套住，把圈環狀的東西鉤結住。如：「扣鈕釦」、「將門扣上」。
3.抓住、貼緊。如：「扣住原則」、「扣緊主題」、「扣人心弦」。
4.押解、拘留。如：「扣押」、「扣留」。《喻世明言．卷四十．沈小霞相會出師表》：「那知州姓賀，奉了這項公事，不敢怠慢，即時扣了店主人到來，聽四人的口詞。」
5.敲、擊。通「叩」。如：「扣鐘」、「扣槃捫燭」。《荀子．法行》：「扣之，其聲清揚而遠聞。」唐．皎然〈尋陸鴻漸不遇〉詩：「扣門無犬吠，欲去問西家。」
6.攻打。如：「扣城不下」。《封神演義》第五回：「扣玄關，天昏地暗；擊地戶，鬼泣神欽。」
7.扳動。如：「打靶時，槍托抵住肩窩，瞄準準星，用食指扣動扳機。」
8.戴上、施加。如：「他不知不覺被扣上一個罪名。」、「武大郎被扣了頂大綠帽。」
9.減掉、減去。如：「扣錢」、「扣分」、「扣進度」、「七折八扣」。
10. 一種烹飪方法。將主要材料處理好，依序裝入碗裡，再加上佐料或調味料等，蒸或燉至熟透，吃時再倒蓋於碗盤中。如：「梅乾扣肉」、「南乳扣肉」。
[名]
1.用來鉤結的環狀物。如：「鈕扣」、「鞋扣」、「繩扣」、「領扣」。也作「釦」。
2.減算價錢的比例數。如：「折扣」。 |</v>
      </c>
    </row>
    <row r="6153" spans="1:44" hidden="1">
      <c r="A6153" s="1" t="s">
        <v>10947</v>
      </c>
      <c r="C6153" s="1">
        <v>1</v>
      </c>
      <c r="D6153" s="1" t="str">
        <f>"04493"</f>
        <v>04493</v>
      </c>
      <c r="E6153" s="1" t="s">
        <v>55</v>
      </c>
      <c r="F6153" s="1">
        <v>11</v>
      </c>
      <c r="G6153" s="1">
        <v>3</v>
      </c>
      <c r="H6153" s="1">
        <v>0</v>
      </c>
      <c r="I6153" s="1" t="s">
        <v>10942</v>
      </c>
      <c r="K6153" s="1" t="str">
        <f t="shared" si="396"/>
        <v>ㄎ</v>
      </c>
      <c r="L6153" s="1" t="str">
        <f t="shared" si="397"/>
        <v>ㄡ</v>
      </c>
      <c r="N6153" s="3" t="s">
        <v>30574</v>
      </c>
      <c r="O6153" s="3"/>
      <c r="P6153" s="1" t="s">
        <v>20</v>
      </c>
      <c r="R6153" s="1" t="s">
        <v>10943</v>
      </c>
      <c r="V6153" s="1" t="s">
        <v>10948</v>
      </c>
      <c r="AR6153" s="1" t="str">
        <f t="shared" si="398"/>
        <v>| [ㄎㄡˋ](ㄎㄡˋ.md) | [釦](釦.md) |  | kòu | [名]
衣服的鈕扣。《新唐書．卷二二〇．東夷傳．高麗傳》：「王服五采，以白羅制冠，革帶皆金釦。」俗稱為「釦子」。
[動]
用金屬裝飾器物。《後漢書．卷一〇．皇后紀上．和熹鄧皇后紀》：「其蜀、漢釦器九帶佩刀，並不復調。」唐．章懷太子．注：「釦，以金銀緣器也。」 |</v>
      </c>
    </row>
    <row r="6154" spans="1:44" hidden="1">
      <c r="A6154" s="1" t="s">
        <v>10949</v>
      </c>
      <c r="C6154" s="1">
        <v>1</v>
      </c>
      <c r="D6154" s="1" t="str">
        <f>"04494"</f>
        <v>04494</v>
      </c>
      <c r="E6154" s="1" t="s">
        <v>114</v>
      </c>
      <c r="F6154" s="1">
        <v>7</v>
      </c>
      <c r="G6154" s="1">
        <v>5</v>
      </c>
      <c r="H6154" s="1">
        <v>0</v>
      </c>
      <c r="I6154" s="1" t="s">
        <v>10942</v>
      </c>
      <c r="K6154" s="1" t="str">
        <f t="shared" si="396"/>
        <v>ㄎ</v>
      </c>
      <c r="L6154" s="1" t="str">
        <f t="shared" si="397"/>
        <v>ㄡ</v>
      </c>
      <c r="N6154" s="3" t="s">
        <v>30574</v>
      </c>
      <c r="O6154" s="3"/>
      <c r="P6154" s="1" t="s">
        <v>20</v>
      </c>
      <c r="R6154" s="1" t="s">
        <v>10943</v>
      </c>
      <c r="V6154" s="1" t="s">
        <v>10950</v>
      </c>
      <c r="AR6154" s="1" t="str">
        <f t="shared" si="398"/>
        <v>| [ㄎㄡˋ](ㄎㄡˋ.md) | [佝](佝.md) |  | kòu | 參見「佝僂」條。 |</v>
      </c>
    </row>
    <row r="6155" spans="1:44" hidden="1">
      <c r="A6155" s="1" t="s">
        <v>10951</v>
      </c>
      <c r="C6155" s="1">
        <v>1</v>
      </c>
      <c r="D6155" s="1" t="str">
        <f>"04495"</f>
        <v>04495</v>
      </c>
      <c r="E6155" s="1" t="s">
        <v>250</v>
      </c>
      <c r="F6155" s="1">
        <v>8</v>
      </c>
      <c r="G6155" s="1">
        <v>5</v>
      </c>
      <c r="H6155" s="1">
        <v>0</v>
      </c>
      <c r="I6155" s="1" t="s">
        <v>10942</v>
      </c>
      <c r="K6155" s="1" t="str">
        <f t="shared" si="396"/>
        <v>ㄎ</v>
      </c>
      <c r="L6155" s="1" t="str">
        <f t="shared" si="397"/>
        <v>ㄡ</v>
      </c>
      <c r="N6155" s="3" t="s">
        <v>30574</v>
      </c>
      <c r="O6155" s="3"/>
      <c r="P6155" s="1" t="s">
        <v>20</v>
      </c>
      <c r="R6155" s="1" t="s">
        <v>10943</v>
      </c>
      <c r="V6155" s="1" t="s">
        <v>10952</v>
      </c>
      <c r="AR6155" s="1" t="str">
        <f t="shared" si="398"/>
        <v>| [ㄎㄡˋ](ㄎㄡˋ.md) | [怐](怐.md) |  | kòu | [形]
怐愗：愚昧、不聰明。《玉篇．心部》：「怐，怐愗，愚貌。」《楚辭．宋玉．九辯》：「然潢洋而不遇兮，直怐愗而自苦。」 |</v>
      </c>
    </row>
    <row r="6156" spans="1:44" hidden="1">
      <c r="A6156" s="1" t="s">
        <v>10953</v>
      </c>
      <c r="C6156" s="1">
        <v>1</v>
      </c>
      <c r="D6156" s="1" t="str">
        <f>"04496"</f>
        <v>04496</v>
      </c>
      <c r="E6156" s="1" t="s">
        <v>624</v>
      </c>
      <c r="F6156" s="1">
        <v>11</v>
      </c>
      <c r="G6156" s="1">
        <v>8</v>
      </c>
      <c r="H6156" s="1">
        <v>0</v>
      </c>
      <c r="I6156" s="1" t="s">
        <v>10942</v>
      </c>
      <c r="K6156" s="1" t="str">
        <f t="shared" si="396"/>
        <v>ㄎ</v>
      </c>
      <c r="L6156" s="1" t="str">
        <f t="shared" si="397"/>
        <v>ㄡ</v>
      </c>
      <c r="N6156" s="3" t="s">
        <v>30574</v>
      </c>
      <c r="O6156" s="3"/>
      <c r="P6156" s="1" t="s">
        <v>20</v>
      </c>
      <c r="R6156" s="1" t="s">
        <v>10943</v>
      </c>
      <c r="V6156" s="1" t="s">
        <v>10954</v>
      </c>
      <c r="AR6156" s="1" t="str">
        <f t="shared" si="398"/>
        <v>| [ㄎㄡˋ](ㄎㄡˋ.md) | [寇](寇.md) |  | kòu | [名]
1.盜匪，或指外來的入侵者。如：「賊寇」、「草寇」、「敵寇」、「流寇」、「倭寇」、「窮寇莫追」。唐．杜甫〈登樓〉詩：「北極朝廷終不改，西山寇盜莫相侵。」明．侯方域〈寧南侯傳〉：「是時秦寇入豫，良玉當往勦，見司徒公。」
2.姓。如北魏有寇謙之，宋代有寇準。
[動]
侵犯、掠奪。如：「入寇」、「寇邊」。《書經．費誓》：「無敢寇攘，踰垣牆。」 |</v>
      </c>
    </row>
    <row r="6157" spans="1:44" hidden="1">
      <c r="A6157" s="1" t="s">
        <v>10955</v>
      </c>
      <c r="C6157" s="1">
        <v>1</v>
      </c>
      <c r="D6157" s="1" t="str">
        <f>"04497"</f>
        <v>04497</v>
      </c>
      <c r="E6157" s="1" t="s">
        <v>37</v>
      </c>
      <c r="F6157" s="1">
        <v>15</v>
      </c>
      <c r="G6157" s="1">
        <v>11</v>
      </c>
      <c r="H6157" s="1">
        <v>0</v>
      </c>
      <c r="I6157" s="1" t="s">
        <v>10942</v>
      </c>
      <c r="K6157" s="1" t="str">
        <f t="shared" si="396"/>
        <v>ㄎ</v>
      </c>
      <c r="L6157" s="1" t="str">
        <f t="shared" si="397"/>
        <v>ㄡ</v>
      </c>
      <c r="N6157" s="3" t="s">
        <v>30574</v>
      </c>
      <c r="O6157" s="3"/>
      <c r="P6157" s="1" t="s">
        <v>20</v>
      </c>
      <c r="R6157" s="1" t="s">
        <v>10943</v>
      </c>
      <c r="V6157" s="1" t="s">
        <v>10956</v>
      </c>
      <c r="AR6157" s="1" t="str">
        <f t="shared" si="398"/>
        <v>| [ㄎㄡˋ](ㄎㄡˋ.md) | [蔻](蔻.md) |  | kòu | 參見「豆蔻」條。 |</v>
      </c>
    </row>
    <row r="6158" spans="1:44" hidden="1">
      <c r="A6158" s="1" t="s">
        <v>10957</v>
      </c>
      <c r="C6158" s="1">
        <v>1</v>
      </c>
      <c r="D6158" s="1" t="str">
        <f>"04498"</f>
        <v>04498</v>
      </c>
      <c r="E6158" s="1" t="s">
        <v>49</v>
      </c>
      <c r="F6158" s="1">
        <v>17</v>
      </c>
      <c r="G6158" s="1">
        <v>11</v>
      </c>
      <c r="H6158" s="1">
        <v>0</v>
      </c>
      <c r="I6158" s="1" t="s">
        <v>10942</v>
      </c>
      <c r="K6158" s="1" t="str">
        <f t="shared" si="396"/>
        <v>ㄎ</v>
      </c>
      <c r="L6158" s="1" t="str">
        <f t="shared" si="397"/>
        <v>ㄡ</v>
      </c>
      <c r="N6158" s="3" t="s">
        <v>30574</v>
      </c>
      <c r="O6158" s="3"/>
      <c r="P6158" s="1" t="s">
        <v>20</v>
      </c>
      <c r="R6158" s="1" t="s">
        <v>10943</v>
      </c>
      <c r="V6158" s="1" t="s">
        <v>10958</v>
      </c>
      <c r="AR6158" s="1" t="str">
        <f t="shared" si="398"/>
        <v>| [ㄎㄡˋ](ㄎㄡˋ.md) | [簆](簆.md) |  | kòu | [名]
紡織機上固定經紗，打入緯紗的機件。形狀像梳子。《廣韻．去聲．候韻》：「簆，織具。」明．宋應星《天工開物．卷上．乃服》：「凡絲穿綜度經，必用四人列坐，過簆之人，手執簆耙先插以待絲至，經過簆，則兩指執定，足五、七十簆，則絛結之。」 |</v>
      </c>
    </row>
    <row r="6159" spans="1:44" hidden="1">
      <c r="A6159" s="1" t="s">
        <v>10959</v>
      </c>
      <c r="C6159" s="1">
        <v>1</v>
      </c>
      <c r="D6159" s="1" t="str">
        <f>"04499"</f>
        <v>04499</v>
      </c>
      <c r="E6159" s="1" t="s">
        <v>272</v>
      </c>
      <c r="F6159" s="1">
        <v>21</v>
      </c>
      <c r="G6159" s="1">
        <v>10</v>
      </c>
      <c r="H6159" s="1">
        <v>0</v>
      </c>
      <c r="I6159" s="1" t="s">
        <v>10942</v>
      </c>
      <c r="K6159" s="1" t="str">
        <f t="shared" si="396"/>
        <v>ㄎ</v>
      </c>
      <c r="L6159" s="1" t="str">
        <f t="shared" si="397"/>
        <v>ㄡ</v>
      </c>
      <c r="N6159" s="3" t="s">
        <v>30574</v>
      </c>
      <c r="O6159" s="3"/>
      <c r="P6159" s="1" t="s">
        <v>20</v>
      </c>
      <c r="R6159" s="1" t="s">
        <v>10943</v>
      </c>
      <c r="V6159" s="1" t="s">
        <v>10960</v>
      </c>
      <c r="AR6159" s="1" t="str">
        <f t="shared" si="398"/>
        <v>| [ㄎㄡˋ](ㄎㄡˋ.md) | [鷇](鷇.md) |  | kòu | [名]
初生的小鳥。《漢書．卷六五．東方朔傳》：「聲謷謷者，鳥哺鷇也。」 |</v>
      </c>
    </row>
    <row r="6160" spans="1:44" hidden="1">
      <c r="A6160" s="1" t="s">
        <v>10937</v>
      </c>
      <c r="C6160" s="1">
        <v>1</v>
      </c>
      <c r="D6160" s="1" t="str">
        <f>"04490"</f>
        <v>04490</v>
      </c>
      <c r="E6160" s="1" t="s">
        <v>28</v>
      </c>
      <c r="F6160" s="1">
        <v>3</v>
      </c>
      <c r="G6160" s="1">
        <v>0</v>
      </c>
      <c r="H6160" s="1">
        <v>0</v>
      </c>
      <c r="I6160" s="1" t="s">
        <v>10938</v>
      </c>
      <c r="K6160" s="1" t="str">
        <f t="shared" si="396"/>
        <v>ㄎ</v>
      </c>
      <c r="L6160" s="1" t="str">
        <f t="shared" si="397"/>
        <v>ㄡ</v>
      </c>
      <c r="N6160" s="3" t="s">
        <v>30576</v>
      </c>
      <c r="O6160" s="3"/>
      <c r="P6160" s="1" t="s">
        <v>20</v>
      </c>
      <c r="R6160" s="1" t="s">
        <v>10939</v>
      </c>
      <c r="V6160" s="1" t="s">
        <v>10940</v>
      </c>
      <c r="AR6160" s="1" t="str">
        <f t="shared" si="398"/>
        <v>| [ㄎㄡˇ](ㄎㄡˇ.md) | [口](口.md) |  | kǒu | [名]
1.人或動物飲食、發聲的器官。《說文解字．口部》：「口，人所以言食也。」如：「張口」、「閉口」、「守口如瓶」。也稱為「嘴」。
2.器物納入取出的地方。如：「槍口」、「瓶口」。漢．王充《論衡．道虛》：「致生息之物密器之中，覆蓋其口。」
3.內外相通的出入處。如：「港口」、「門口」、「巷口」、「海口」。
4.關隘。常用於地名。如：「張家口」、「喜峰口」、「古北口」。
5.兵器或工具上的鋒刃。如：「刀口」、「劍口」。
6.破裂的地方。如：「傷口」、「裂口」、「缺口」。
7.量詞：(1)計算人數的單位。如：「一家八口」。(2)計算牲畜數量的單位。相當於「隻」、「頭」。如：「三口豬」。(3)計算器物數量的單位。如：「兩口鍋子」、「一口鋼刀」、「一口枯井」。
8.二一四部首之一。 |</v>
      </c>
    </row>
    <row r="6161" spans="1:44" hidden="1">
      <c r="A6161" s="1" t="s">
        <v>10965</v>
      </c>
      <c r="C6161" s="1">
        <v>1</v>
      </c>
      <c r="D6161" s="1" t="str">
        <f>"04519"</f>
        <v>04519</v>
      </c>
      <c r="E6161" s="1" t="s">
        <v>1015</v>
      </c>
      <c r="F6161" s="1">
        <v>9</v>
      </c>
      <c r="G6161" s="1">
        <v>4</v>
      </c>
      <c r="H6161" s="1">
        <v>1</v>
      </c>
      <c r="I6161" s="1" t="s">
        <v>11009</v>
      </c>
      <c r="K6161" s="1" t="str">
        <f t="shared" si="396"/>
        <v>ㄎ</v>
      </c>
      <c r="L6161" s="1" t="str">
        <f t="shared" si="397"/>
        <v>ㄢ</v>
      </c>
      <c r="N6161" s="3" t="s">
        <v>30574</v>
      </c>
      <c r="O6161" s="3"/>
      <c r="P6161" s="1" t="s">
        <v>20</v>
      </c>
      <c r="R6161" s="1" t="s">
        <v>11010</v>
      </c>
      <c r="V6161" s="1" t="s">
        <v>11011</v>
      </c>
      <c r="W6161" s="1" t="s">
        <v>11012</v>
      </c>
      <c r="AR6161" s="1" t="str">
        <f t="shared" si="398"/>
        <v>| [ㄎㄢˋ](ㄎㄢˋ.md) | [看](看.md) |  | kàn | [動]
1.視、瞧。如：「看見」、「收看」、「偷看」。唐．李白〈清平調〉三首之三：「名花傾國兩相歡，長得君王帶笑看。」
2.觀賞。唐．杜甫〈宿府〉詩：「永夜角聲悲自語，中天月色好誰看？」唐．王建〈醉後憶山中故人〉詩：「遇晴須看月，鬥健且登樓。」（詩文中亦讀平聲）
3.拜訪、探望。南朝宋．劉義慶《世說新語．德行》：「荀巨伯遠看友人疾。」
4.對待。如：「另眼看待」、「刮目相看」。唐．高適〈詠史〉詩：「不知天下士，猶作布衣看。」（詩文中亦讀平聲）
5.估量、觀察判斷。如：「你看這法子行得通嗎？」、「看來他真是被冤枉的！」
6.診治。《儒林外史》第一五回：「請醫生看你尊翁的病。」
7.拿取。《醒世姻緣傳》第六四回：「我流水叫徒弟看茶與他吃了。」
[助]
用在動詞之後，表示姑且試試的語氣。如：「想想看」、「等等看」、「試試看」。《水滸傳》第四二回：「說的是。再仔細搜一搜看。」 |</v>
      </c>
    </row>
    <row r="6162" spans="1:44" hidden="1">
      <c r="A6162" s="1" t="s">
        <v>11013</v>
      </c>
      <c r="C6162" s="1">
        <v>1</v>
      </c>
      <c r="D6162" s="1" t="str">
        <f>"04520"</f>
        <v>04520</v>
      </c>
      <c r="E6162" s="1" t="s">
        <v>7105</v>
      </c>
      <c r="F6162" s="1">
        <v>9</v>
      </c>
      <c r="G6162" s="1">
        <v>3</v>
      </c>
      <c r="H6162" s="1">
        <v>0</v>
      </c>
      <c r="I6162" s="1" t="s">
        <v>11009</v>
      </c>
      <c r="K6162" s="1" t="str">
        <f t="shared" si="396"/>
        <v>ㄎ</v>
      </c>
      <c r="L6162" s="1" t="str">
        <f t="shared" si="397"/>
        <v>ㄢ</v>
      </c>
      <c r="N6162" s="3" t="s">
        <v>30574</v>
      </c>
      <c r="O6162" s="3"/>
      <c r="P6162" s="1" t="s">
        <v>20</v>
      </c>
      <c r="R6162" s="1" t="s">
        <v>11010</v>
      </c>
      <c r="V6162" s="1" t="s">
        <v>11014</v>
      </c>
      <c r="AR6162" s="1" t="str">
        <f t="shared" si="398"/>
        <v>| [ㄎㄢˋ](ㄎㄢˋ.md) | [衎](衎.md) |  | kàn | [形]
和樂。《晉書．卷七九．謝安傳》：「從容而杜姦謀，宴衎而清群寇。」 |</v>
      </c>
    </row>
    <row r="6163" spans="1:44" hidden="1">
      <c r="A6163" s="1" t="s">
        <v>10968</v>
      </c>
      <c r="C6163" s="1">
        <v>1</v>
      </c>
      <c r="D6163" s="1" t="str">
        <f>"04521"</f>
        <v>04521</v>
      </c>
      <c r="E6163" s="1" t="s">
        <v>245</v>
      </c>
      <c r="F6163" s="1">
        <v>11</v>
      </c>
      <c r="G6163" s="1">
        <v>9</v>
      </c>
      <c r="H6163" s="1">
        <v>2</v>
      </c>
      <c r="I6163" s="1" t="s">
        <v>11009</v>
      </c>
      <c r="K6163" s="1" t="str">
        <f t="shared" si="396"/>
        <v>ㄎ</v>
      </c>
      <c r="L6163" s="1" t="str">
        <f t="shared" si="397"/>
        <v>ㄢ</v>
      </c>
      <c r="N6163" s="3" t="s">
        <v>30574</v>
      </c>
      <c r="O6163" s="3"/>
      <c r="P6163" s="1" t="s">
        <v>20</v>
      </c>
      <c r="R6163" s="1" t="s">
        <v>11010</v>
      </c>
      <c r="V6163" s="1" t="s">
        <v>11015</v>
      </c>
      <c r="W6163" s="1" t="s">
        <v>11016</v>
      </c>
      <c r="AR6163" s="1" t="str">
        <f t="shared" si="398"/>
        <v>| [ㄎㄢˋ](ㄎㄢˋ.md) | [勘](勘.md) |  | kàn | (一)[動]1.之又音。 |</v>
      </c>
    </row>
    <row r="6164" spans="1:44" hidden="1">
      <c r="A6164" s="1" t="s">
        <v>11017</v>
      </c>
      <c r="C6164" s="1">
        <v>1</v>
      </c>
      <c r="D6164" s="1" t="str">
        <f>"04522"</f>
        <v>04522</v>
      </c>
      <c r="E6164" s="1" t="s">
        <v>169</v>
      </c>
      <c r="F6164" s="1">
        <v>14</v>
      </c>
      <c r="G6164" s="1">
        <v>9</v>
      </c>
      <c r="H6164" s="1">
        <v>1</v>
      </c>
      <c r="I6164" s="1" t="s">
        <v>11009</v>
      </c>
      <c r="K6164" s="1" t="str">
        <f t="shared" si="396"/>
        <v>ㄎ</v>
      </c>
      <c r="L6164" s="1" t="str">
        <f t="shared" si="397"/>
        <v>ㄢ</v>
      </c>
      <c r="N6164" s="3" t="s">
        <v>30574</v>
      </c>
      <c r="O6164" s="3"/>
      <c r="P6164" s="1" t="s">
        <v>20</v>
      </c>
      <c r="R6164" s="1" t="s">
        <v>11010</v>
      </c>
      <c r="V6164" s="1" t="s">
        <v>11018</v>
      </c>
      <c r="W6164" s="1" t="s">
        <v>11019</v>
      </c>
      <c r="AR6164" s="1" t="str">
        <f t="shared" si="398"/>
        <v>| [ㄎㄢˋ](ㄎㄢˋ.md) | [碪](碪.md) |  | kàn | [名]
巖崖的下方。《集韻．去聲．勘韻》：「碪，巖崖之下。」 |</v>
      </c>
    </row>
    <row r="6165" spans="1:44" hidden="1">
      <c r="A6165" s="1" t="s">
        <v>11020</v>
      </c>
      <c r="C6165" s="1">
        <v>1</v>
      </c>
      <c r="D6165" s="1" t="str">
        <f>"04523"</f>
        <v>04523</v>
      </c>
      <c r="E6165" s="1" t="s">
        <v>1015</v>
      </c>
      <c r="F6165" s="1">
        <v>17</v>
      </c>
      <c r="G6165" s="1">
        <v>12</v>
      </c>
      <c r="H6165" s="1">
        <v>0</v>
      </c>
      <c r="I6165" s="1" t="s">
        <v>11009</v>
      </c>
      <c r="K6165" s="1" t="str">
        <f t="shared" si="396"/>
        <v>ㄎ</v>
      </c>
      <c r="L6165" s="1" t="str">
        <f t="shared" si="397"/>
        <v>ㄢ</v>
      </c>
      <c r="N6165" s="3" t="s">
        <v>30574</v>
      </c>
      <c r="O6165" s="3"/>
      <c r="P6165" s="1" t="s">
        <v>20</v>
      </c>
      <c r="R6165" s="1" t="s">
        <v>11010</v>
      </c>
      <c r="V6165" s="1" t="s">
        <v>11021</v>
      </c>
      <c r="AR6165" s="1" t="str">
        <f t="shared" si="398"/>
        <v>| [ㄎㄢˋ](ㄎㄢˋ.md) | [瞰](瞰.md) |  | kàn | [動]
1.看、眺望。《文選．揚雄．羽獵賦》：「東瞰目盡，西暢無崖。」
2.從高處往下看。如：「鳥瞰」、「俯瞰」。《楚辭．屈原．九章．悲回風》：「馮崑崙以瞰霧，隱岷山以清江。」
3.窺視。《文選．揚雄．解嘲》：「高明之家，鬼瞰其室。」 |</v>
      </c>
    </row>
    <row r="6166" spans="1:44" hidden="1">
      <c r="A6166" s="1" t="s">
        <v>11007</v>
      </c>
      <c r="C6166" s="1">
        <v>1</v>
      </c>
      <c r="D6166" s="1" t="str">
        <f>"04524"</f>
        <v>04524</v>
      </c>
      <c r="E6166" s="1" t="s">
        <v>709</v>
      </c>
      <c r="F6166" s="1">
        <v>20</v>
      </c>
      <c r="G6166" s="1">
        <v>12</v>
      </c>
      <c r="H6166" s="1">
        <v>1</v>
      </c>
      <c r="I6166" s="1" t="s">
        <v>11009</v>
      </c>
      <c r="K6166" s="1" t="str">
        <f t="shared" si="396"/>
        <v>ㄎ</v>
      </c>
      <c r="L6166" s="1" t="str">
        <f t="shared" si="397"/>
        <v>ㄢ</v>
      </c>
      <c r="N6166" s="3" t="s">
        <v>30574</v>
      </c>
      <c r="O6166" s="3"/>
      <c r="P6166" s="1" t="s">
        <v>20</v>
      </c>
      <c r="R6166" s="1" t="s">
        <v>11010</v>
      </c>
      <c r="V6166" s="1" t="s">
        <v>11022</v>
      </c>
      <c r="W6166" s="1" t="s">
        <v>11023</v>
      </c>
      <c r="AR6166" s="1" t="str">
        <f t="shared" si="398"/>
        <v>| [ㄎㄢˋ](ㄎㄢˋ.md) | [闞](闞.md) |  | kàn | [動]
1.視、看。《說文解字．門部》：「闞，望也。」《文選．嵇康．琴賦》：「邪睨崑崙，俯闞海湄。」唐．韓愈〈寄盧仝〉詩：「每騎屋山下窺闞，渾舍驚怕走折趾。」也作「瞰」。
2.臨近、靠近。《玉篇．門部》：「闞，臨也。」《宋史．卷三六五．岳飛傳》：「又遣兵東援劉錡，西援郭浩，自以其軍長驅以闞中原。」明．劉基《郁離子．麋虎》：「虎逐麋，麋奔而闞于崖，躍焉。」
[名]
姓。如春秋時齊國有闞止，唐代有闞稜。 |</v>
      </c>
    </row>
    <row r="6167" spans="1:44" hidden="1">
      <c r="A6167" s="1" t="s">
        <v>10979</v>
      </c>
      <c r="C6167" s="1">
        <v>1</v>
      </c>
      <c r="D6167" s="1" t="str">
        <f>"04507"</f>
        <v>04507</v>
      </c>
      <c r="E6167" s="1" t="s">
        <v>5293</v>
      </c>
      <c r="F6167" s="1">
        <v>2</v>
      </c>
      <c r="G6167" s="1">
        <v>0</v>
      </c>
      <c r="H6167" s="1">
        <v>0</v>
      </c>
      <c r="I6167" s="1" t="s">
        <v>10980</v>
      </c>
      <c r="K6167" s="1" t="str">
        <f t="shared" si="396"/>
        <v>ㄎ</v>
      </c>
      <c r="L6167" s="1" t="str">
        <f t="shared" si="397"/>
        <v>ㄢ</v>
      </c>
      <c r="N6167" s="3" t="s">
        <v>30576</v>
      </c>
      <c r="O6167" s="3"/>
      <c r="P6167" s="1" t="s">
        <v>20</v>
      </c>
      <c r="R6167" s="1" t="s">
        <v>10981</v>
      </c>
      <c r="V6167" s="1" t="s">
        <v>10982</v>
      </c>
      <c r="AR6167" s="1" t="str">
        <f t="shared" si="398"/>
        <v>| [ㄎㄢˇ](ㄎㄢˇ.md) | [凵](凵.md) |  | kǎn | [名]
1.同「坎」。
2.二一四部首之一。 |</v>
      </c>
    </row>
    <row r="6168" spans="1:44" hidden="1">
      <c r="A6168" s="1" t="s">
        <v>10983</v>
      </c>
      <c r="C6168" s="1">
        <v>1</v>
      </c>
      <c r="D6168" s="1" t="str">
        <f>"04508"</f>
        <v>04508</v>
      </c>
      <c r="E6168" s="1" t="s">
        <v>132</v>
      </c>
      <c r="F6168" s="1">
        <v>7</v>
      </c>
      <c r="G6168" s="1">
        <v>4</v>
      </c>
      <c r="H6168" s="1">
        <v>0</v>
      </c>
      <c r="I6168" s="1" t="s">
        <v>10980</v>
      </c>
      <c r="K6168" s="1" t="str">
        <f t="shared" si="396"/>
        <v>ㄎ</v>
      </c>
      <c r="L6168" s="1" t="str">
        <f t="shared" si="397"/>
        <v>ㄢ</v>
      </c>
      <c r="N6168" s="3" t="s">
        <v>30576</v>
      </c>
      <c r="O6168" s="3"/>
      <c r="P6168" s="1" t="s">
        <v>20</v>
      </c>
      <c r="R6168" s="1" t="s">
        <v>10981</v>
      </c>
      <c r="V6168" s="1" t="s">
        <v>10984</v>
      </c>
      <c r="AR6168" s="1" t="str">
        <f t="shared" si="398"/>
        <v>| [ㄎㄢˇ](ㄎㄢˇ.md) | [坎](坎.md) |  | kǎn | [名]
1.坑穴，地面凹陷處。《禮記．檀弓下》：「其坎深不至於泉。」《漢書．卷五四．蘇建傳》：「鑿地為坎，置熅火，覆武其上，蹈其背以出血。」
2.《易經》卦名：(1)八卦之一。卦形為☵，代表水。(2)六十四卦之一。坎（☵）下坎（☵）上。象重重險難之義。《易經．坎卦．彖曰》：「習坎，重險也。」唐．孔穎達．正義：「兩坎相重，謂之重險。」
3.姓。如明代有坎輝。
[擬]
1.形容擊鼓聲。《詩經．陳風．宛丘》：「坎其擊鼓，宛丘之下。」漢．毛亨．傳：「坎坎，擊鼓聲。」
2.形容砍伐樹木的聲音。《詩經．魏風．伐檀》：「坎坎伐檀兮，寘之河之干兮。」漢．毛亨．傳：「坎坎，伐檀聲。」 |</v>
      </c>
    </row>
    <row r="6169" spans="1:44" hidden="1">
      <c r="A6169" s="1" t="s">
        <v>10985</v>
      </c>
      <c r="C6169" s="1">
        <v>1</v>
      </c>
      <c r="D6169" s="1" t="str">
        <f>"04509"</f>
        <v>04509</v>
      </c>
      <c r="E6169" s="1" t="s">
        <v>169</v>
      </c>
      <c r="F6169" s="1">
        <v>9</v>
      </c>
      <c r="G6169" s="1">
        <v>4</v>
      </c>
      <c r="H6169" s="1">
        <v>0</v>
      </c>
      <c r="I6169" s="1" t="s">
        <v>10980</v>
      </c>
      <c r="K6169" s="1" t="str">
        <f t="shared" si="396"/>
        <v>ㄎ</v>
      </c>
      <c r="L6169" s="1" t="str">
        <f t="shared" si="397"/>
        <v>ㄢ</v>
      </c>
      <c r="N6169" s="3" t="s">
        <v>30576</v>
      </c>
      <c r="O6169" s="3"/>
      <c r="P6169" s="1" t="s">
        <v>20</v>
      </c>
      <c r="R6169" s="1" t="s">
        <v>10981</v>
      </c>
      <c r="V6169" s="1" t="s">
        <v>10986</v>
      </c>
      <c r="AR6169" s="1" t="str">
        <f t="shared" si="398"/>
        <v>| [ㄎㄢˇ](ㄎㄢˇ.md) | [砍](砍.md) |  | kǎn | [動]_x000D_
1.用刀斧劈。如：「砍柴」、「砍伐」。《水滸傳》第五三回：「李逵拔出大斧，先砍翻一堵壁。」《三國演義》第三三回：「曹洪奮威突陣，正迎袁譚，舉刀亂砍，譚竟被曹洪殺於陣中。」_x000D_
2.打。《金瓶梅詞話》第八三回：「春梅走將來說：『娘沒的打他這幾下兒，與他撾癢癢兒哩！旋剝了，叫將小廝來，拏大板子，儘力砍與他二三十板，看他怕不怕！』」《醒世姻緣傳》第一〇回：「大尹道：『可惡，走出去！砍出去！』那皂隸拿著板子就欲往外砍。」_x000D_
3.削減、取消。如：「董事會把下年度的預算砍了三分之一，希望能撐過財務危機。」 |</v>
      </c>
    </row>
    <row r="6170" spans="1:44" hidden="1">
      <c r="A6170" s="1" t="s">
        <v>10987</v>
      </c>
      <c r="C6170" s="1">
        <v>1</v>
      </c>
      <c r="D6170" s="1" t="str">
        <f>"04510"</f>
        <v>04510</v>
      </c>
      <c r="E6170" s="1" t="s">
        <v>190</v>
      </c>
      <c r="F6170" s="1">
        <v>10</v>
      </c>
      <c r="G6170" s="1">
        <v>7</v>
      </c>
      <c r="H6170" s="1">
        <v>0</v>
      </c>
      <c r="I6170" s="1" t="s">
        <v>10980</v>
      </c>
      <c r="K6170" s="1" t="str">
        <f t="shared" si="396"/>
        <v>ㄎ</v>
      </c>
      <c r="L6170" s="1" t="str">
        <f t="shared" si="397"/>
        <v>ㄢ</v>
      </c>
      <c r="N6170" s="3" t="s">
        <v>30576</v>
      </c>
      <c r="O6170" s="3"/>
      <c r="P6170" s="1" t="s">
        <v>20</v>
      </c>
      <c r="R6170" s="1" t="s">
        <v>10981</v>
      </c>
      <c r="V6170" s="1" t="s">
        <v>10988</v>
      </c>
      <c r="AR6170" s="1" t="str">
        <f t="shared" si="398"/>
        <v>| [ㄎㄢˇ](ㄎㄢˇ.md) | [崁](崁.md) |  | kǎn | 山崖、山谷。如「崁腳」指斷崖之下；「崁頂」指山崖之上。常用在地名。如：「南崁」、「大嵙崁」。 |</v>
      </c>
    </row>
    <row r="6171" spans="1:44" hidden="1">
      <c r="A6171" s="1" t="s">
        <v>10989</v>
      </c>
      <c r="C6171" s="1">
        <v>1</v>
      </c>
      <c r="D6171" s="1" t="str">
        <f>"04510A"</f>
        <v>04510A</v>
      </c>
      <c r="E6171" s="1" t="s">
        <v>190</v>
      </c>
      <c r="F6171" s="1">
        <v>12</v>
      </c>
      <c r="G6171" s="1">
        <v>9</v>
      </c>
      <c r="H6171" s="1">
        <v>3</v>
      </c>
      <c r="I6171" s="1" t="s">
        <v>10980</v>
      </c>
      <c r="K6171" s="1" t="str">
        <f t="shared" si="396"/>
        <v>ㄎ</v>
      </c>
      <c r="L6171" s="1" t="str">
        <f t="shared" si="397"/>
        <v>ㄢ</v>
      </c>
      <c r="N6171" s="3" t="s">
        <v>30576</v>
      </c>
      <c r="O6171" s="3"/>
      <c r="P6171" s="1" t="s">
        <v>20</v>
      </c>
      <c r="R6171" s="1" t="s">
        <v>10981</v>
      </c>
      <c r="V6171" s="1" t="s">
        <v>10990</v>
      </c>
      <c r="W6171" s="1" t="s">
        <v>10991</v>
      </c>
      <c r="AR6171" s="1" t="str">
        <f t="shared" si="398"/>
        <v>| [ㄎㄢˇ](ㄎㄢˇ.md) | [嵌](嵌.md) |  | kǎn | 參見「赤嵌樓」條。 |</v>
      </c>
    </row>
    <row r="6172" spans="1:44" hidden="1">
      <c r="A6172" s="1" t="s">
        <v>10992</v>
      </c>
      <c r="C6172" s="1">
        <v>1</v>
      </c>
      <c r="D6172" s="1" t="str">
        <f>"04511"</f>
        <v>04511</v>
      </c>
      <c r="E6172" s="1" t="s">
        <v>114</v>
      </c>
      <c r="F6172" s="1">
        <v>8</v>
      </c>
      <c r="G6172" s="1">
        <v>6</v>
      </c>
      <c r="H6172" s="1">
        <v>0</v>
      </c>
      <c r="I6172" s="1" t="s">
        <v>10980</v>
      </c>
      <c r="K6172" s="1" t="str">
        <f t="shared" si="396"/>
        <v>ㄎ</v>
      </c>
      <c r="L6172" s="1" t="str">
        <f t="shared" si="397"/>
        <v>ㄢ</v>
      </c>
      <c r="N6172" s="3" t="s">
        <v>30576</v>
      </c>
      <c r="O6172" s="3"/>
      <c r="P6172" s="1" t="s">
        <v>20</v>
      </c>
      <c r="R6172" s="1" t="s">
        <v>10981</v>
      </c>
      <c r="V6172" s="1" t="s">
        <v>10993</v>
      </c>
      <c r="AR6172" s="1" t="str">
        <f t="shared" si="398"/>
        <v>| [ㄎㄢˇ](ㄎㄢˇ.md) | [侃](侃.md) |  | kǎn | 參見「侃侃」、「侃爾」等條。 |</v>
      </c>
    </row>
    <row r="6173" spans="1:44" hidden="1">
      <c r="A6173" s="1" t="s">
        <v>10994</v>
      </c>
      <c r="C6173" s="1">
        <v>1</v>
      </c>
      <c r="D6173" s="1" t="str">
        <f>"04512"</f>
        <v>04512</v>
      </c>
      <c r="E6173" s="1" t="s">
        <v>132</v>
      </c>
      <c r="F6173" s="1">
        <v>11</v>
      </c>
      <c r="G6173" s="1">
        <v>8</v>
      </c>
      <c r="H6173" s="1">
        <v>0</v>
      </c>
      <c r="I6173" s="1" t="s">
        <v>10980</v>
      </c>
      <c r="K6173" s="1" t="str">
        <f t="shared" si="396"/>
        <v>ㄎ</v>
      </c>
      <c r="L6173" s="1" t="str">
        <f t="shared" si="397"/>
        <v>ㄢ</v>
      </c>
      <c r="N6173" s="3" t="s">
        <v>30576</v>
      </c>
      <c r="O6173" s="3"/>
      <c r="P6173" s="1" t="s">
        <v>20</v>
      </c>
      <c r="R6173" s="1" t="s">
        <v>10981</v>
      </c>
      <c r="V6173" s="1" t="s">
        <v>10995</v>
      </c>
      <c r="AR6173" s="1" t="str">
        <f t="shared" si="398"/>
        <v>| [ㄎㄢˇ](ㄎㄢˇ.md) | [埳](埳.md) |  | kǎn | [名]
低窪凹陷的地方。同「坎」。《玉篇．土部》：「埳，陷也。亦與坎同。」《莊子．秋水》：「子獨不聞夫埳井之鼃乎？」 |</v>
      </c>
    </row>
    <row r="6174" spans="1:44" hidden="1">
      <c r="A6174" s="1" t="s">
        <v>10996</v>
      </c>
      <c r="C6174" s="1">
        <v>1</v>
      </c>
      <c r="D6174" s="1" t="str">
        <f>"04513"</f>
        <v>04513</v>
      </c>
      <c r="E6174" s="1" t="s">
        <v>1908</v>
      </c>
      <c r="F6174" s="1">
        <v>12</v>
      </c>
      <c r="G6174" s="1">
        <v>8</v>
      </c>
      <c r="H6174" s="1">
        <v>0</v>
      </c>
      <c r="I6174" s="1" t="s">
        <v>10980</v>
      </c>
      <c r="K6174" s="1" t="str">
        <f t="shared" si="396"/>
        <v>ㄎ</v>
      </c>
      <c r="L6174" s="1" t="str">
        <f t="shared" si="397"/>
        <v>ㄢ</v>
      </c>
      <c r="N6174" s="3" t="s">
        <v>30576</v>
      </c>
      <c r="O6174" s="3"/>
      <c r="P6174" s="1" t="s">
        <v>20</v>
      </c>
      <c r="R6174" s="1" t="s">
        <v>10981</v>
      </c>
      <c r="V6174" s="1" t="s">
        <v>10997</v>
      </c>
      <c r="AR6174" s="1" t="str">
        <f t="shared" si="398"/>
        <v>| [ㄎㄢˇ](ㄎㄢˇ.md) | [欿](欿.md) |  | kǎn | [副]
1.不滿、不自足。《集韻．上聲．感韻》：「欿，欿然，不自滿足意。」《孟子．盡心上》：「附之以韓、魏之家，如其自視欿然，則過人遠矣。」宋．朱熹．注：「欿然，不自滿之意。」
2.憂愁、愁苦。《楚辭．嚴忌．哀時命》：「欿愁悴而委惰兮，老冉冉而逮之。」漢．王逸．注：「欿，愁貌也。」
[名]
坑穴，地面凹陷之處。清．王念孫《廣雅疏證．卷九下．釋水》：「欿，坑也。」《楚辭．宋玉．九辯》：「收恢臺之孟夏兮，然欿傺而沉藏。」 |</v>
      </c>
    </row>
    <row r="6175" spans="1:44" hidden="1">
      <c r="A6175" s="1" t="s">
        <v>10998</v>
      </c>
      <c r="C6175" s="1">
        <v>1</v>
      </c>
      <c r="D6175" s="1" t="str">
        <f>"04514"</f>
        <v>04514</v>
      </c>
      <c r="E6175" s="1" t="s">
        <v>139</v>
      </c>
      <c r="F6175" s="1">
        <v>18</v>
      </c>
      <c r="G6175" s="1">
        <v>14</v>
      </c>
      <c r="H6175" s="1">
        <v>2</v>
      </c>
      <c r="I6175" s="1" t="s">
        <v>10980</v>
      </c>
      <c r="K6175" s="1" t="str">
        <f t="shared" si="396"/>
        <v>ㄎ</v>
      </c>
      <c r="L6175" s="1" t="str">
        <f t="shared" si="397"/>
        <v>ㄢ</v>
      </c>
      <c r="N6175" s="3" t="s">
        <v>30576</v>
      </c>
      <c r="O6175" s="3"/>
      <c r="P6175" s="1" t="s">
        <v>20</v>
      </c>
      <c r="R6175" s="1" t="s">
        <v>10981</v>
      </c>
      <c r="V6175" s="1" t="s">
        <v>10999</v>
      </c>
      <c r="W6175" s="1" t="s">
        <v>11000</v>
      </c>
      <c r="AR6175" s="1" t="str">
        <f t="shared" si="398"/>
        <v>| [ㄎㄢˇ](ㄎㄢˇ.md) | [檻](檻.md) |  | kǎn | 參見「門檻」條。 |</v>
      </c>
    </row>
    <row r="6176" spans="1:44" hidden="1">
      <c r="A6176" s="1" t="s">
        <v>11001</v>
      </c>
      <c r="C6176" s="1">
        <v>1</v>
      </c>
      <c r="D6176" s="1" t="str">
        <f>"04515"</f>
        <v>04515</v>
      </c>
      <c r="E6176" s="1" t="s">
        <v>684</v>
      </c>
      <c r="F6176" s="1">
        <v>18</v>
      </c>
      <c r="G6176" s="1">
        <v>9</v>
      </c>
      <c r="H6176" s="1">
        <v>0</v>
      </c>
      <c r="I6176" s="1" t="s">
        <v>10980</v>
      </c>
      <c r="K6176" s="1" t="str">
        <f t="shared" si="396"/>
        <v>ㄎ</v>
      </c>
      <c r="L6176" s="1" t="str">
        <f t="shared" si="397"/>
        <v>ㄢ</v>
      </c>
      <c r="N6176" s="3" t="s">
        <v>30576</v>
      </c>
      <c r="O6176" s="3"/>
      <c r="P6176" s="1" t="s">
        <v>20</v>
      </c>
      <c r="R6176" s="1" t="s">
        <v>10981</v>
      </c>
      <c r="V6176" s="1" t="s">
        <v>11002</v>
      </c>
      <c r="AR6176" s="1" t="str">
        <f t="shared" si="398"/>
        <v>| [ㄎㄢˇ](ㄎㄢˇ.md) | [顑](顑.md) |  | kǎn | 參見「顑頷」條。 |</v>
      </c>
    </row>
    <row r="6177" spans="1:44" hidden="1">
      <c r="A6177" s="1" t="s">
        <v>11003</v>
      </c>
      <c r="C6177" s="1">
        <v>1</v>
      </c>
      <c r="D6177" s="1" t="str">
        <f>"04516"</f>
        <v>04516</v>
      </c>
      <c r="E6177" s="1" t="s">
        <v>71</v>
      </c>
      <c r="F6177" s="1">
        <v>20</v>
      </c>
      <c r="G6177" s="1">
        <v>13</v>
      </c>
      <c r="H6177" s="1">
        <v>0</v>
      </c>
      <c r="I6177" s="1" t="s">
        <v>10980</v>
      </c>
      <c r="K6177" s="1" t="str">
        <f t="shared" si="396"/>
        <v>ㄎ</v>
      </c>
      <c r="L6177" s="1" t="str">
        <f t="shared" si="397"/>
        <v>ㄢ</v>
      </c>
      <c r="N6177" s="3" t="s">
        <v>30576</v>
      </c>
      <c r="O6177" s="3"/>
      <c r="P6177" s="1" t="s">
        <v>20</v>
      </c>
      <c r="R6177" s="1" t="s">
        <v>10981</v>
      </c>
      <c r="V6177" s="1" t="s">
        <v>11004</v>
      </c>
      <c r="AR6177" s="1" t="str">
        <f t="shared" si="398"/>
        <v>| [ㄎㄢˇ](ㄎㄢˇ.md) | [轗](轗.md) |  | kǎn | 參見「轗軻」條。 |</v>
      </c>
    </row>
    <row r="6178" spans="1:44" hidden="1">
      <c r="A6178" s="1" t="s">
        <v>11005</v>
      </c>
      <c r="C6178" s="1">
        <v>1</v>
      </c>
      <c r="D6178" s="1" t="str">
        <f>"04517"</f>
        <v>04517</v>
      </c>
      <c r="E6178" s="1" t="s">
        <v>5784</v>
      </c>
      <c r="F6178" s="1">
        <v>20</v>
      </c>
      <c r="G6178" s="1">
        <v>15</v>
      </c>
      <c r="H6178" s="1">
        <v>0</v>
      </c>
      <c r="I6178" s="1" t="s">
        <v>10980</v>
      </c>
      <c r="K6178" s="1" t="str">
        <f t="shared" si="396"/>
        <v>ㄎ</v>
      </c>
      <c r="L6178" s="1" t="str">
        <f t="shared" si="397"/>
        <v>ㄢ</v>
      </c>
      <c r="N6178" s="3" t="s">
        <v>30576</v>
      </c>
      <c r="O6178" s="3"/>
      <c r="P6178" s="1" t="s">
        <v>20</v>
      </c>
      <c r="R6178" s="1" t="s">
        <v>10981</v>
      </c>
      <c r="V6178" s="1" t="s">
        <v>11006</v>
      </c>
      <c r="AR6178" s="1" t="str">
        <f t="shared" si="398"/>
        <v>| [ㄎㄢˇ](ㄎㄢˇ.md) | [竷](竷.md) |  | kǎn | [動]
載歌載舞、邊唱邊跳。《說文解字．夊部》：「竷，繇也，舞也。」清．段玉裁．注：「繇當作䚻。䚻，徒歌也。……謠舞者，謠且舞也。」
[名]
悅耳和諧的聲音。《玉篇．夂部》：「竷，和悅之響也。」
[擬]
形容鼓聲。明．張自烈《正字通．立部》：「竷，鼓聲。」 |</v>
      </c>
    </row>
    <row r="6179" spans="1:44" hidden="1">
      <c r="A6179" s="1" t="s">
        <v>11007</v>
      </c>
      <c r="C6179" s="1">
        <v>1</v>
      </c>
      <c r="D6179" s="1" t="str">
        <f>"04518"</f>
        <v>04518</v>
      </c>
      <c r="E6179" s="1" t="s">
        <v>709</v>
      </c>
      <c r="F6179" s="1">
        <v>20</v>
      </c>
      <c r="G6179" s="1">
        <v>12</v>
      </c>
      <c r="H6179" s="1">
        <v>2</v>
      </c>
      <c r="I6179" s="1" t="s">
        <v>10980</v>
      </c>
      <c r="K6179" s="1" t="str">
        <f t="shared" si="396"/>
        <v>ㄎ</v>
      </c>
      <c r="L6179" s="1" t="str">
        <f t="shared" si="397"/>
        <v>ㄢ</v>
      </c>
      <c r="N6179" s="3" t="s">
        <v>30576</v>
      </c>
      <c r="O6179" s="3"/>
      <c r="P6179" s="1" t="s">
        <v>110</v>
      </c>
      <c r="R6179" s="1" t="s">
        <v>10981</v>
      </c>
      <c r="V6179" s="1" t="s">
        <v>111</v>
      </c>
      <c r="W6179" s="1" t="s">
        <v>11008</v>
      </c>
      <c r="AR6179" s="1" t="str">
        <f t="shared" si="398"/>
        <v>| [ㄎㄢˇ](ㄎㄢˇ.md) | [闞](闞.md) |  | kǎn | (一)之又音。 |</v>
      </c>
    </row>
    <row r="6180" spans="1:44" hidden="1">
      <c r="A6180" s="1" t="s">
        <v>11039</v>
      </c>
      <c r="C6180" s="1">
        <v>1</v>
      </c>
      <c r="D6180" s="1" t="str">
        <f>"04530"</f>
        <v>04530</v>
      </c>
      <c r="E6180" s="1" t="s">
        <v>24</v>
      </c>
      <c r="F6180" s="1">
        <v>11</v>
      </c>
      <c r="G6180" s="1">
        <v>8</v>
      </c>
      <c r="H6180" s="1">
        <v>0</v>
      </c>
      <c r="I6180" s="1" t="s">
        <v>11040</v>
      </c>
      <c r="K6180" s="1" t="str">
        <f t="shared" si="396"/>
        <v>ㄎ</v>
      </c>
      <c r="L6180" s="1" t="str">
        <f t="shared" si="397"/>
        <v>ㄣ</v>
      </c>
      <c r="N6180" s="3" t="s">
        <v>30574</v>
      </c>
      <c r="O6180" s="3"/>
      <c r="P6180" s="1" t="s">
        <v>20</v>
      </c>
      <c r="R6180" s="1" t="s">
        <v>11041</v>
      </c>
      <c r="V6180" s="1" t="s">
        <v>11042</v>
      </c>
      <c r="AR6180" s="1" t="str">
        <f t="shared" si="398"/>
        <v>| [ㄎㄣˋ](ㄎㄣˋ.md) | [掯](掯.md) |  | kèn | [動]
1.刁難。明．徐弘祖《徐霞客遊記．卷八上．滇遊日記八》：「還寺，所定夫來索金加添，余不許。有寺內僧欲行，余索其定錢，仍掯不即還。」
2.威逼、脅迫。《京本通俗小說．錯斬崔寧》：「我自半路遇見小娘子，偶然伴他行一程，路途上有皂絲麻線，要勒掯我同去。」 |</v>
      </c>
    </row>
    <row r="6181" spans="1:44" hidden="1">
      <c r="A6181" s="1" t="s">
        <v>11029</v>
      </c>
      <c r="C6181" s="1">
        <v>1</v>
      </c>
      <c r="D6181" s="1" t="str">
        <f>"04531"</f>
        <v>04531</v>
      </c>
      <c r="E6181" s="1" t="s">
        <v>28</v>
      </c>
      <c r="F6181" s="1">
        <v>11</v>
      </c>
      <c r="G6181" s="1">
        <v>8</v>
      </c>
      <c r="H6181" s="1">
        <v>2</v>
      </c>
      <c r="I6181" s="1" t="s">
        <v>11040</v>
      </c>
      <c r="K6181" s="1" t="str">
        <f t="shared" si="396"/>
        <v>ㄎ</v>
      </c>
      <c r="L6181" s="1" t="str">
        <f t="shared" si="397"/>
        <v>ㄣ</v>
      </c>
      <c r="N6181" s="3" t="s">
        <v>30574</v>
      </c>
      <c r="O6181" s="3"/>
      <c r="P6181" s="1" t="s">
        <v>20</v>
      </c>
      <c r="R6181" s="1" t="s">
        <v>11041</v>
      </c>
      <c r="V6181" s="1" t="s">
        <v>11043</v>
      </c>
      <c r="W6181" s="1" t="s">
        <v>11044</v>
      </c>
      <c r="AR6181" s="1" t="str">
        <f t="shared" si="398"/>
        <v>| [ㄎㄣˋ](ㄎㄣˋ.md) | [啃](啃.md) |  | kèn | [動]
俗稱吃為「啃」。如：「他可以一口氣連啃好幾個山東大饅頭。」 |</v>
      </c>
    </row>
    <row r="6182" spans="1:44" hidden="1">
      <c r="A6182" s="1" t="s">
        <v>11045</v>
      </c>
      <c r="C6182" s="1">
        <v>1</v>
      </c>
      <c r="D6182" s="1" t="str">
        <f>"04532"</f>
        <v>04532</v>
      </c>
      <c r="E6182" s="1" t="s">
        <v>340</v>
      </c>
      <c r="F6182" s="1">
        <v>12</v>
      </c>
      <c r="G6182" s="1">
        <v>6</v>
      </c>
      <c r="H6182" s="1">
        <v>0</v>
      </c>
      <c r="I6182" s="1" t="s">
        <v>11040</v>
      </c>
      <c r="K6182" s="1" t="str">
        <f t="shared" si="396"/>
        <v>ㄎ</v>
      </c>
      <c r="L6182" s="1" t="str">
        <f t="shared" si="397"/>
        <v>ㄣ</v>
      </c>
      <c r="N6182" s="3" t="s">
        <v>30574</v>
      </c>
      <c r="O6182" s="3"/>
      <c r="P6182" s="1" t="s">
        <v>20</v>
      </c>
      <c r="R6182" s="1" t="s">
        <v>11041</v>
      </c>
      <c r="V6182" s="1" t="s">
        <v>11046</v>
      </c>
      <c r="AR6182" s="1" t="str">
        <f t="shared" si="398"/>
        <v>| [ㄎㄣˋ](ㄎㄣˋ.md) | [裉](裉.md) |  | kèn | [名]
衣服在腋下的接縫處。如把此接縫處縫上稱為「煞裉」，而上衣從肩頭到腋下的尺寸稱為「抬裉」。 |</v>
      </c>
    </row>
    <row r="6183" spans="1:44" hidden="1">
      <c r="A6183" s="1" t="s">
        <v>11024</v>
      </c>
      <c r="C6183" s="1">
        <v>1</v>
      </c>
      <c r="D6183" s="1" t="str">
        <f>"04525"</f>
        <v>04525</v>
      </c>
      <c r="E6183" s="1" t="s">
        <v>68</v>
      </c>
      <c r="F6183" s="1">
        <v>8</v>
      </c>
      <c r="G6183" s="1">
        <v>4</v>
      </c>
      <c r="H6183" s="1">
        <v>1</v>
      </c>
      <c r="I6183" s="1" t="s">
        <v>11025</v>
      </c>
      <c r="K6183" s="1" t="str">
        <f t="shared" si="396"/>
        <v>ㄎ</v>
      </c>
      <c r="L6183" s="1" t="str">
        <f t="shared" si="397"/>
        <v>ㄣ</v>
      </c>
      <c r="N6183" s="3" t="s">
        <v>30576</v>
      </c>
      <c r="O6183" s="3"/>
      <c r="P6183" s="1" t="s">
        <v>20</v>
      </c>
      <c r="R6183" s="1" t="s">
        <v>11026</v>
      </c>
      <c r="V6183" s="1" t="s">
        <v>11027</v>
      </c>
      <c r="W6183" s="1" t="s">
        <v>11028</v>
      </c>
      <c r="AR6183" s="1" t="str">
        <f t="shared" si="398"/>
        <v>| [ㄎㄣˇ](ㄎㄣˇ.md) | [肯](肯.md) |  | kěn | [動]
1.許可、答應。如：「首肯」、「他不肯讓我辭職。」《國語．晉語四》：「楚眾欲止，子玉不肯。」
2.願意、樂意。《詩經．邶風．終風》：「終風且霾，惠然肯來。」唐．杜甫〈哀王孫〉詩：「問之不肯道姓名，但道困苦乞為奴。」
[副]
那裡、怎麼。表示反問的語氣，相當於「豈」。唐．岑參〈梁園歌送河南王說判官〉詩：「當時置酒延枚叟，肯料平臺狐兔走。」唐．李白〈流夜郎贈辛判官〉詩：「氣岸遙凌豪士前，風流肯落他人後！」 |</v>
      </c>
    </row>
    <row r="6184" spans="1:44" hidden="1">
      <c r="A6184" s="1" t="s">
        <v>11029</v>
      </c>
      <c r="C6184" s="1">
        <v>1</v>
      </c>
      <c r="D6184" s="1" t="str">
        <f>"04526"</f>
        <v>04526</v>
      </c>
      <c r="E6184" s="1" t="s">
        <v>28</v>
      </c>
      <c r="F6184" s="1">
        <v>11</v>
      </c>
      <c r="G6184" s="1">
        <v>8</v>
      </c>
      <c r="H6184" s="1">
        <v>1</v>
      </c>
      <c r="I6184" s="1" t="s">
        <v>11025</v>
      </c>
      <c r="K6184" s="1" t="str">
        <f t="shared" si="396"/>
        <v>ㄎ</v>
      </c>
      <c r="L6184" s="1" t="str">
        <f t="shared" si="397"/>
        <v>ㄣ</v>
      </c>
      <c r="N6184" s="3" t="s">
        <v>30576</v>
      </c>
      <c r="O6184" s="3"/>
      <c r="P6184" s="1" t="s">
        <v>20</v>
      </c>
      <c r="R6184" s="1" t="s">
        <v>11026</v>
      </c>
      <c r="V6184" s="1" t="s">
        <v>11030</v>
      </c>
      <c r="W6184" s="1" t="s">
        <v>11031</v>
      </c>
      <c r="AR6184" s="1" t="str">
        <f t="shared" si="398"/>
        <v>| [ㄎㄣˇ](ㄎㄣˇ.md) | [啃](啃.md) |  | kěn | [動]
1.咬。如：「啃骨頭」、「啃甘蔗」、「啃玉米」。
2.比喻勤勉讀書。如：「啃書本」。 |</v>
      </c>
    </row>
    <row r="6185" spans="1:44" hidden="1">
      <c r="A6185" s="1" t="s">
        <v>11032</v>
      </c>
      <c r="C6185" s="1">
        <v>1</v>
      </c>
      <c r="D6185" s="1" t="str">
        <f>"04527"</f>
        <v>04527</v>
      </c>
      <c r="E6185" s="1" t="s">
        <v>132</v>
      </c>
      <c r="F6185" s="1">
        <v>16</v>
      </c>
      <c r="G6185" s="1">
        <v>13</v>
      </c>
      <c r="H6185" s="1">
        <v>0</v>
      </c>
      <c r="I6185" s="1" t="s">
        <v>11025</v>
      </c>
      <c r="K6185" s="1" t="str">
        <f t="shared" si="396"/>
        <v>ㄎ</v>
      </c>
      <c r="L6185" s="1" t="str">
        <f t="shared" si="397"/>
        <v>ㄣ</v>
      </c>
      <c r="N6185" s="3" t="s">
        <v>30576</v>
      </c>
      <c r="O6185" s="3"/>
      <c r="P6185" s="1" t="s">
        <v>20</v>
      </c>
      <c r="R6185" s="1" t="s">
        <v>11026</v>
      </c>
      <c r="V6185" s="1" t="s">
        <v>11033</v>
      </c>
      <c r="AR6185" s="1" t="str">
        <f t="shared" si="398"/>
        <v>| [ㄎㄣˇ](ㄎㄣˇ.md) | [墾](墾.md) |  | kěn | [動]
翻土。如：「開墾」、「墾荒」、「墾地」。《管子．輕重甲》：「今君躬犁墾田，耕發草土，得其穀矣。」 |</v>
      </c>
    </row>
    <row r="6186" spans="1:44" hidden="1">
      <c r="A6186" s="1" t="s">
        <v>11034</v>
      </c>
      <c r="C6186" s="1">
        <v>1</v>
      </c>
      <c r="D6186" s="1" t="str">
        <f>"04528"</f>
        <v>04528</v>
      </c>
      <c r="E6186" s="1" t="s">
        <v>250</v>
      </c>
      <c r="F6186" s="1">
        <v>17</v>
      </c>
      <c r="G6186" s="1">
        <v>13</v>
      </c>
      <c r="H6186" s="1">
        <v>0</v>
      </c>
      <c r="I6186" s="1" t="s">
        <v>11025</v>
      </c>
      <c r="K6186" s="1" t="str">
        <f t="shared" si="396"/>
        <v>ㄎ</v>
      </c>
      <c r="L6186" s="1" t="str">
        <f t="shared" si="397"/>
        <v>ㄣ</v>
      </c>
      <c r="N6186" s="3" t="s">
        <v>30576</v>
      </c>
      <c r="O6186" s="3"/>
      <c r="P6186" s="1" t="s">
        <v>20</v>
      </c>
      <c r="R6186" s="1" t="s">
        <v>11026</v>
      </c>
      <c r="V6186" s="1" t="s">
        <v>11035</v>
      </c>
      <c r="AR6186" s="1" t="str">
        <f t="shared" si="398"/>
        <v>| [ㄎㄣˇ](ㄎㄣˇ.md) | [懇](懇.md) |  | kěn | [形]
真誠。《玉篇．心部》：「懇，誠也；信也。」如：「忠懇」、「態度誠懇」。
[動]
請求。明．張自烈《正字通．心部》：「懇，俗借為干求意。」如：「拜懇」、「仰懇」、「敬懇」。《鏡花緣》第六回：「況嫦娥自從與我角口，至今見面不交一言，我又何必懇他？」 |</v>
      </c>
    </row>
    <row r="6187" spans="1:44" hidden="1">
      <c r="A6187" s="1" t="s">
        <v>11036</v>
      </c>
      <c r="C6187" s="1">
        <v>1</v>
      </c>
      <c r="D6187" s="1" t="str">
        <f>"04529"</f>
        <v>04529</v>
      </c>
      <c r="E6187" s="1" t="s">
        <v>592</v>
      </c>
      <c r="F6187" s="1">
        <v>21</v>
      </c>
      <c r="G6187" s="1">
        <v>6</v>
      </c>
      <c r="H6187" s="1">
        <v>2</v>
      </c>
      <c r="I6187" s="1" t="s">
        <v>11025</v>
      </c>
      <c r="K6187" s="1" t="str">
        <f t="shared" si="396"/>
        <v>ㄎ</v>
      </c>
      <c r="L6187" s="1" t="str">
        <f t="shared" si="397"/>
        <v>ㄣ</v>
      </c>
      <c r="N6187" s="3" t="s">
        <v>30576</v>
      </c>
      <c r="O6187" s="3"/>
      <c r="P6187" s="1" t="s">
        <v>20</v>
      </c>
      <c r="R6187" s="1" t="s">
        <v>11026</v>
      </c>
      <c r="V6187" s="1" t="s">
        <v>11037</v>
      </c>
      <c r="W6187" s="1" t="s">
        <v>11038</v>
      </c>
      <c r="AR6187" s="1" t="str">
        <f t="shared" si="398"/>
        <v>| [ㄎㄣˇ](ㄎㄣˇ.md) | [齦](齦.md) |  | kěn | [動]
啃，用牙齒咬。《說文解字．齒部》：「齦，齧也。」《通俗編．草木》：「齦瓜皮，說大話。」 |</v>
      </c>
    </row>
    <row r="6188" spans="1:44" hidden="1">
      <c r="A6188" s="1" t="s">
        <v>11060</v>
      </c>
      <c r="C6188" s="1">
        <v>1</v>
      </c>
      <c r="D6188" s="1" t="str">
        <f>"04538"</f>
        <v>04538</v>
      </c>
      <c r="E6188" s="1" t="s">
        <v>55</v>
      </c>
      <c r="F6188" s="1">
        <v>12</v>
      </c>
      <c r="G6188" s="1">
        <v>4</v>
      </c>
      <c r="H6188" s="1">
        <v>0</v>
      </c>
      <c r="I6188" s="1" t="s">
        <v>11061</v>
      </c>
      <c r="K6188" s="1" t="str">
        <f t="shared" si="396"/>
        <v>ㄎ</v>
      </c>
      <c r="L6188" s="1" t="str">
        <f t="shared" si="397"/>
        <v>ㄤ</v>
      </c>
      <c r="N6188" s="3" t="s">
        <v>30574</v>
      </c>
      <c r="O6188" s="3"/>
      <c r="P6188" s="1" t="s">
        <v>20</v>
      </c>
      <c r="R6188" s="1" t="s">
        <v>11062</v>
      </c>
      <c r="V6188" s="1" t="s">
        <v>11063</v>
      </c>
      <c r="AR6188" s="1" t="str">
        <f t="shared" si="398"/>
        <v>| [ㄎㄤˋ](ㄎㄤˋ.md) | [鈧](鈧.md) |  | kàng | [名]_x000D_
（scandium，Sc）化學元素。原子序21。過渡金屬元素之一。銀白色，質地軟。溶於酸，且易受潮溼空氣腐蝕。常用來製造特殊玻璃和耐高溫的輕質合金等，與化學元素鑭的主要性質及用途相似。 |</v>
      </c>
    </row>
    <row r="6189" spans="1:44" hidden="1">
      <c r="A6189" s="1" t="s">
        <v>9963</v>
      </c>
      <c r="C6189" s="1">
        <v>1</v>
      </c>
      <c r="D6189" s="1" t="str">
        <f>"04542"</f>
        <v>04542</v>
      </c>
      <c r="E6189" s="1" t="s">
        <v>367</v>
      </c>
      <c r="F6189" s="1">
        <v>4</v>
      </c>
      <c r="G6189" s="1">
        <v>2</v>
      </c>
      <c r="H6189" s="1">
        <v>1</v>
      </c>
      <c r="I6189" s="1" t="s">
        <v>11061</v>
      </c>
      <c r="K6189" s="1" t="str">
        <f t="shared" si="396"/>
        <v>ㄎ</v>
      </c>
      <c r="L6189" s="1" t="str">
        <f t="shared" si="397"/>
        <v>ㄤ</v>
      </c>
      <c r="N6189" s="3" t="s">
        <v>30574</v>
      </c>
      <c r="O6189" s="3"/>
      <c r="P6189" s="1" t="s">
        <v>20</v>
      </c>
      <c r="R6189" s="1" t="s">
        <v>11062</v>
      </c>
      <c r="V6189" s="1" t="s">
        <v>11074</v>
      </c>
      <c r="W6189" s="1" t="s">
        <v>11075</v>
      </c>
      <c r="AR6189" s="1" t="str">
        <f t="shared" si="398"/>
        <v>| [ㄎㄤˋ](ㄎㄤˋ.md) | [亢](亢.md) |  | kàng | [形]
1.高。如：「高亢」。《莊子．人間世》：「故解之以牛之白顙者，與豚之亢鼻者。」唐．成玄英．疏：「亢，高也。」
2.高傲。如：「不卑不亢」。
3.強硬。《管子．輕重戊》：「天子幼弱，諸侯亢強。」
[副]
過甚、極。《易經．乾卦．上九》：「亢龍有悔。」唐．孔穎達．正義：「上九，亢陽之至，大而極盛，故曰亢龍。」
[名]
1.星宿名。二十八星宿之一，為東方蒼龍七宿的第二宿。
2.星官名。亢宿之首，由四顆星組成，在西方屬室女座。《晉書．卷一一．天文志上》：「亢四星，天子之內朝也，總攝天下奏事，聽訟理獄錄功者也。一曰疏廟，主疾疫。星明大，輔納忠，天下寧。」
3.姓。如唐代有亢潮。 |</v>
      </c>
    </row>
    <row r="6190" spans="1:44" hidden="1">
      <c r="A6190" s="1" t="s">
        <v>11076</v>
      </c>
      <c r="C6190" s="1">
        <v>1</v>
      </c>
      <c r="D6190" s="1" t="str">
        <f>"04543"</f>
        <v>04543</v>
      </c>
      <c r="E6190" s="1" t="s">
        <v>3892</v>
      </c>
      <c r="F6190" s="1">
        <v>6</v>
      </c>
      <c r="G6190" s="1">
        <v>4</v>
      </c>
      <c r="H6190" s="1">
        <v>0</v>
      </c>
      <c r="I6190" s="1" t="s">
        <v>11061</v>
      </c>
      <c r="K6190" s="1" t="str">
        <f t="shared" si="396"/>
        <v>ㄎ</v>
      </c>
      <c r="L6190" s="1" t="str">
        <f t="shared" si="397"/>
        <v>ㄤ</v>
      </c>
      <c r="N6190" s="3" t="s">
        <v>30574</v>
      </c>
      <c r="O6190" s="3"/>
      <c r="P6190" s="1" t="s">
        <v>20</v>
      </c>
      <c r="R6190" s="1" t="s">
        <v>11062</v>
      </c>
      <c r="V6190" s="1" t="s">
        <v>11077</v>
      </c>
      <c r="AR6190" s="1" t="str">
        <f t="shared" si="398"/>
        <v>| [ㄎㄤˋ](ㄎㄤˋ.md) | [匟](匟.md) |  | kàng | 參見「匟床」條。 |</v>
      </c>
    </row>
    <row r="6191" spans="1:44" hidden="1">
      <c r="A6191" s="1" t="s">
        <v>11078</v>
      </c>
      <c r="C6191" s="1">
        <v>1</v>
      </c>
      <c r="D6191" s="1" t="str">
        <f>"04544"</f>
        <v>04544</v>
      </c>
      <c r="E6191" s="1" t="s">
        <v>114</v>
      </c>
      <c r="F6191" s="1">
        <v>6</v>
      </c>
      <c r="G6191" s="1">
        <v>4</v>
      </c>
      <c r="H6191" s="1">
        <v>0</v>
      </c>
      <c r="I6191" s="1" t="s">
        <v>11061</v>
      </c>
      <c r="K6191" s="1" t="str">
        <f t="shared" si="396"/>
        <v>ㄎ</v>
      </c>
      <c r="L6191" s="1" t="str">
        <f t="shared" si="397"/>
        <v>ㄤ</v>
      </c>
      <c r="N6191" s="3" t="s">
        <v>30574</v>
      </c>
      <c r="O6191" s="3"/>
      <c r="P6191" s="1" t="s">
        <v>20</v>
      </c>
      <c r="R6191" s="1" t="s">
        <v>11062</v>
      </c>
      <c r="V6191" s="1" t="s">
        <v>11079</v>
      </c>
      <c r="AR6191" s="1" t="str">
        <f t="shared" si="398"/>
        <v>| [ㄎㄤˋ](ㄎㄤˋ.md) | [伉](伉.md) |  | kàng | [名]
1.配偶。參見「伉儷」條。
2.姓。如漢代有伉喜。
[動]
1.對等、匹敵。通「抗」。《戰國策．秦策一》：「橫歷天下，廷說諸侯之王，杜左右之口，天下莫與之伉。」
2.抵擋。通「抗」。《呂氏春秋．季冬紀．士節》：「養及親者，身伉其難。」
[形]
1.高、高大。通「亢」。《詩經．大雅．綿》：「皋門有伉。」漢．毛亨．傳：「伉，高貌。」
2.強壯。《漢書．卷八．宣帝紀》：「選郡國吏三百石伉健習騎射者，皆從軍。」唐．顏師古．注：「伉，強也。」
3.剛直。漢．揚雄《法言．吾子》：「事勝辭則伉，辭勝事則賦。」 |</v>
      </c>
    </row>
    <row r="6192" spans="1:44" hidden="1">
      <c r="A6192" s="1" t="s">
        <v>11080</v>
      </c>
      <c r="C6192" s="1">
        <v>1</v>
      </c>
      <c r="D6192" s="1" t="str">
        <f>"04545"</f>
        <v>04545</v>
      </c>
      <c r="E6192" s="1" t="s">
        <v>24</v>
      </c>
      <c r="F6192" s="1">
        <v>7</v>
      </c>
      <c r="G6192" s="1">
        <v>4</v>
      </c>
      <c r="H6192" s="1">
        <v>0</v>
      </c>
      <c r="I6192" s="1" t="s">
        <v>11061</v>
      </c>
      <c r="K6192" s="1" t="str">
        <f t="shared" si="396"/>
        <v>ㄎ</v>
      </c>
      <c r="L6192" s="1" t="str">
        <f t="shared" si="397"/>
        <v>ㄤ</v>
      </c>
      <c r="N6192" s="3" t="s">
        <v>30574</v>
      </c>
      <c r="O6192" s="3"/>
      <c r="P6192" s="1" t="s">
        <v>20</v>
      </c>
      <c r="R6192" s="1" t="s">
        <v>11062</v>
      </c>
      <c r="V6192" s="1" t="s">
        <v>11081</v>
      </c>
      <c r="AR6192" s="1" t="str">
        <f t="shared" si="398"/>
        <v>| [ㄎㄤˋ](ㄎㄤˋ.md) | [抗](抗.md) |  | kàng | [動]
1.抵禦、抵擋。如：「反抗」、「抗敵」、「抗暴」、「八年抗戰」。《列子．黃帝》：「而以道與世抗，必信矣夫。」唐．韓愈〈張中丞傳後敘〉：「何苦守尺寸之地，食其所愛之肉，以與賊抗而不降乎？」
2.違逆、不順從。《荀子．臣道》：「有能抗君之命，竊君之重。」宋．梅堯臣〈汝墳貧女〉詩：「郡吏來何暴，縣官不敢抗。」
3.對等、匹敵。如：「抗衡」、「分庭抗禮」。《後漢書．卷四〇．班彪傳下》：「榮鏡宇宙，尊無與抗。」唐．章懷太子．注：「抗，猶敵也。」北魏．酈道元《水經注．江水注》：「有大巫山，非惟三峽所無，乃當抗峰岷峨，偕嶺衡疑。」
4.舉。《文選．揚雄．羽獵賦》：「移珍來享，抗手稱臣。」《文選．曹植．洛神賦》：「抗羅袂以掩涕兮，淚流襟之浪浪。」
[形]
1.剛直、正直。南朝梁．蕭統〈文選序〉：「若賢人之美辭，忠臣之抗直。」
2.高尚。如：「抗志」。《楚辭．宋玉．九辯》：「堯舜之抗行兮，瞭冥冥而薄天。」
[名]
姓。如漢代有抗徐。 |</v>
      </c>
    </row>
    <row r="6193" spans="1:44" hidden="1">
      <c r="A6193" s="1" t="s">
        <v>11082</v>
      </c>
      <c r="C6193" s="1">
        <v>1</v>
      </c>
      <c r="D6193" s="1" t="str">
        <f>"04546"</f>
        <v>04546</v>
      </c>
      <c r="E6193" s="1" t="s">
        <v>198</v>
      </c>
      <c r="F6193" s="1">
        <v>7</v>
      </c>
      <c r="G6193" s="1">
        <v>4</v>
      </c>
      <c r="H6193" s="1">
        <v>0</v>
      </c>
      <c r="I6193" s="1" t="s">
        <v>11061</v>
      </c>
      <c r="K6193" s="1" t="str">
        <f t="shared" si="396"/>
        <v>ㄎ</v>
      </c>
      <c r="L6193" s="1" t="str">
        <f t="shared" si="397"/>
        <v>ㄤ</v>
      </c>
      <c r="N6193" s="3" t="s">
        <v>30574</v>
      </c>
      <c r="O6193" s="3"/>
      <c r="P6193" s="1" t="s">
        <v>20</v>
      </c>
      <c r="R6193" s="1" t="s">
        <v>11062</v>
      </c>
      <c r="V6193" s="1" t="s">
        <v>11083</v>
      </c>
      <c r="AR6193" s="1" t="str">
        <f t="shared" si="398"/>
        <v>| [ㄎㄤˋ](ㄎㄤˋ.md) | [犺](犺.md) |  | kàng | [名]
1.健壯的狗。《說文解字．犬部》：「犺，健犬也。」
2.刺蝟。《玉篇．犬部》：「犺，蝟也。」
3.動物名。產於暹羅，短小精悍，形如猿猱，可供役使。見明．張自烈《正字通．犬部》。 |</v>
      </c>
    </row>
    <row r="6194" spans="1:44" hidden="1">
      <c r="A6194" s="1" t="s">
        <v>11084</v>
      </c>
      <c r="C6194" s="1">
        <v>1</v>
      </c>
      <c r="D6194" s="1" t="str">
        <f>"04547"</f>
        <v>04547</v>
      </c>
      <c r="E6194" s="1" t="s">
        <v>336</v>
      </c>
      <c r="F6194" s="1">
        <v>8</v>
      </c>
      <c r="G6194" s="1">
        <v>4</v>
      </c>
      <c r="H6194" s="1">
        <v>0</v>
      </c>
      <c r="I6194" s="1" t="s">
        <v>11061</v>
      </c>
      <c r="K6194" s="1" t="str">
        <f t="shared" si="396"/>
        <v>ㄎ</v>
      </c>
      <c r="L6194" s="1" t="str">
        <f t="shared" si="397"/>
        <v>ㄤ</v>
      </c>
      <c r="N6194" s="3" t="s">
        <v>30574</v>
      </c>
      <c r="O6194" s="3"/>
      <c r="P6194" s="1" t="s">
        <v>20</v>
      </c>
      <c r="R6194" s="1" t="s">
        <v>11062</v>
      </c>
      <c r="V6194" s="1" t="s">
        <v>11085</v>
      </c>
      <c r="AR6194" s="1" t="str">
        <f t="shared" si="398"/>
        <v>| [ㄎㄤˋ](ㄎㄤˋ.md) | [炕](炕.md) |  | kàng | [名]
大陸北方地區各地用磚或泥坯在屋裡砌成的臥榻。下有孔道，與煙囪相通，可生火取暖。明．張自烈《正字通．火部》：「炕，北地暖床曰炕。」《兒女英雄傳》第八回：「拉起襯衣裳的短襖來，擦了擦手，跳下炕來。」
[動]
烤、烘乾。如：「炕餅」、「炕肉」。《詩經．小雅．瓠葉》「有兔斯首，燔之炙之」句下．漢．毛亨．傳：「炕火曰炙。」唐．孔穎達．正義：「炕，舉也。謂以物貫之而舉於火上以炙之。」 |</v>
      </c>
    </row>
    <row r="6195" spans="1:44" hidden="1">
      <c r="A6195" s="1" t="s">
        <v>11086</v>
      </c>
      <c r="C6195" s="1">
        <v>1</v>
      </c>
      <c r="D6195" s="1" t="str">
        <f>"04548"</f>
        <v>04548</v>
      </c>
      <c r="E6195" s="1" t="s">
        <v>709</v>
      </c>
      <c r="F6195" s="1">
        <v>12</v>
      </c>
      <c r="G6195" s="1">
        <v>4</v>
      </c>
      <c r="H6195" s="1">
        <v>0</v>
      </c>
      <c r="I6195" s="1" t="s">
        <v>11061</v>
      </c>
      <c r="K6195" s="1" t="str">
        <f t="shared" si="396"/>
        <v>ㄎ</v>
      </c>
      <c r="L6195" s="1" t="str">
        <f t="shared" si="397"/>
        <v>ㄤ</v>
      </c>
      <c r="N6195" s="3" t="s">
        <v>30574</v>
      </c>
      <c r="O6195" s="3"/>
      <c r="P6195" s="1" t="s">
        <v>20</v>
      </c>
      <c r="R6195" s="1" t="s">
        <v>11062</v>
      </c>
      <c r="V6195" s="1" t="s">
        <v>11087</v>
      </c>
      <c r="AR6195" s="1" t="str">
        <f t="shared" si="398"/>
        <v>| [ㄎㄤˋ](ㄎㄤˋ.md) | [閌](閌.md) |  | kàng | [形]
高大。唐．劉禹錫〈論書〉：「今夫考居室，必以閌門豐屋為美。」唐．李庾〈東都賦〉：「臺閣高閌，支馭東方。」 |</v>
      </c>
    </row>
    <row r="6196" spans="1:44" hidden="1">
      <c r="A6196" s="1" t="s">
        <v>9970</v>
      </c>
      <c r="C6196" s="1">
        <v>1</v>
      </c>
      <c r="D6196" s="1" t="str">
        <f>"04539"</f>
        <v>04539</v>
      </c>
      <c r="E6196" s="1" t="s">
        <v>24</v>
      </c>
      <c r="F6196" s="1">
        <v>6</v>
      </c>
      <c r="G6196" s="1">
        <v>3</v>
      </c>
      <c r="H6196" s="1">
        <v>2</v>
      </c>
      <c r="I6196" s="1" t="s">
        <v>11064</v>
      </c>
      <c r="K6196" s="1" t="str">
        <f t="shared" si="396"/>
        <v>ㄎ</v>
      </c>
      <c r="L6196" s="1" t="str">
        <f t="shared" si="397"/>
        <v>ㄤ</v>
      </c>
      <c r="N6196" s="3" t="s">
        <v>30575</v>
      </c>
      <c r="O6196" s="3"/>
      <c r="P6196" s="1" t="s">
        <v>20</v>
      </c>
      <c r="R6196" s="1" t="s">
        <v>11065</v>
      </c>
      <c r="V6196" s="1" t="s">
        <v>11066</v>
      </c>
      <c r="W6196" s="1" t="s">
        <v>11067</v>
      </c>
      <c r="AR6196" s="1" t="str">
        <f t="shared" si="398"/>
        <v>| [ㄎㄤˊ](ㄎㄤˊ.md) | [扛](扛.md) |  | káng | [動]_x000D_
以肩荷物。如：「扛行李」、「扛鋤頭」。《朱子語類．卷八三．春秋．經傳附》：「古者大夫入國，以棺隨其後，使人抬扛個棺櫬隨行，死便要用，看古人不諱凶事。」《聊齋志異．卷四．辛十四娘》：「妝奩亦無長物，惟兩長鬣奴扛一撲滿，大如甕，息肩置堂隅。」 |</v>
      </c>
    </row>
    <row r="6197" spans="1:44" hidden="1">
      <c r="A6197" s="1" t="s">
        <v>11051</v>
      </c>
      <c r="C6197" s="1">
        <v>1</v>
      </c>
      <c r="D6197" s="1" t="str">
        <f>"04540"</f>
        <v>04540</v>
      </c>
      <c r="E6197" s="1" t="s">
        <v>250</v>
      </c>
      <c r="F6197" s="1">
        <v>14</v>
      </c>
      <c r="G6197" s="1">
        <v>11</v>
      </c>
      <c r="H6197" s="1">
        <v>2</v>
      </c>
      <c r="I6197" s="1" t="s">
        <v>11068</v>
      </c>
      <c r="K6197" s="1" t="str">
        <f t="shared" si="396"/>
        <v>ㄎ</v>
      </c>
      <c r="L6197" s="1" t="str">
        <f t="shared" si="397"/>
        <v>ㄤ</v>
      </c>
      <c r="N6197" s="3" t="s">
        <v>30576</v>
      </c>
      <c r="O6197" s="3"/>
      <c r="P6197" s="1" t="s">
        <v>110</v>
      </c>
      <c r="R6197" s="1" t="s">
        <v>11069</v>
      </c>
      <c r="V6197" s="1" t="s">
        <v>111</v>
      </c>
      <c r="W6197" s="1" t="s">
        <v>11070</v>
      </c>
      <c r="AR6197" s="1" t="str">
        <f t="shared" si="398"/>
        <v>| [ㄎㄤˇ](ㄎㄤˇ.md) | [慷](慷.md) |  | kǎng | (一)之又音。 |</v>
      </c>
    </row>
    <row r="6198" spans="1:44" hidden="1">
      <c r="A6198" s="1" t="s">
        <v>11071</v>
      </c>
      <c r="C6198" s="1">
        <v>1</v>
      </c>
      <c r="D6198" s="1" t="str">
        <f>"04541"</f>
        <v>04541</v>
      </c>
      <c r="E6198" s="1" t="s">
        <v>283</v>
      </c>
      <c r="F6198" s="1">
        <v>14</v>
      </c>
      <c r="G6198" s="1">
        <v>4</v>
      </c>
      <c r="H6198" s="1">
        <v>1</v>
      </c>
      <c r="I6198" s="1" t="s">
        <v>11068</v>
      </c>
      <c r="K6198" s="1" t="str">
        <f t="shared" si="396"/>
        <v>ㄎ</v>
      </c>
      <c r="L6198" s="1" t="str">
        <f t="shared" si="397"/>
        <v>ㄤ</v>
      </c>
      <c r="N6198" s="3" t="s">
        <v>30576</v>
      </c>
      <c r="O6198" s="3"/>
      <c r="P6198" s="1" t="s">
        <v>20</v>
      </c>
      <c r="R6198" s="1" t="s">
        <v>11069</v>
      </c>
      <c r="V6198" s="1" t="s">
        <v>11072</v>
      </c>
      <c r="W6198" s="1" t="s">
        <v>11073</v>
      </c>
      <c r="AR6198" s="1" t="str">
        <f t="shared" si="398"/>
        <v>| [ㄎㄤˇ](ㄎㄤˇ.md) | [骯](骯.md) |  | kǎng | 參見「骯髒」(一)條。 |</v>
      </c>
    </row>
    <row r="6199" spans="1:44" hidden="1">
      <c r="A6199" s="1" t="s">
        <v>11024</v>
      </c>
      <c r="C6199" s="1">
        <v>1</v>
      </c>
      <c r="D6199" s="1" t="str">
        <f>"04557"</f>
        <v>04557</v>
      </c>
      <c r="E6199" s="1" t="s">
        <v>68</v>
      </c>
      <c r="F6199" s="1">
        <v>8</v>
      </c>
      <c r="G6199" s="1">
        <v>4</v>
      </c>
      <c r="H6199" s="1">
        <v>2</v>
      </c>
      <c r="I6199" s="1" t="s">
        <v>11111</v>
      </c>
      <c r="K6199" s="1" t="str">
        <f t="shared" si="396"/>
        <v>ㄎ</v>
      </c>
      <c r="L6199" s="1" t="str">
        <f t="shared" si="397"/>
        <v>ㄥ</v>
      </c>
      <c r="N6199" s="3" t="s">
        <v>30576</v>
      </c>
      <c r="O6199" s="3"/>
      <c r="P6199" s="1" t="s">
        <v>110</v>
      </c>
      <c r="R6199" s="1" t="s">
        <v>11112</v>
      </c>
      <c r="V6199" s="1" t="s">
        <v>111</v>
      </c>
      <c r="W6199" s="1" t="s">
        <v>11113</v>
      </c>
      <c r="AR6199" s="1" t="str">
        <f t="shared" si="398"/>
        <v>| [ㄎㄥˇ](ㄎㄥˇ.md) | [肯](肯.md) |  | kěng | (一)之又音。 |</v>
      </c>
    </row>
    <row r="6200" spans="1:44" hidden="1">
      <c r="A6200" s="1" t="s">
        <v>11135</v>
      </c>
      <c r="C6200" s="1">
        <v>1</v>
      </c>
      <c r="D6200" s="1" t="str">
        <f>"04566"</f>
        <v>04566</v>
      </c>
      <c r="E6200" s="1" t="s">
        <v>169</v>
      </c>
      <c r="F6200" s="1">
        <v>8</v>
      </c>
      <c r="G6200" s="1">
        <v>3</v>
      </c>
      <c r="H6200" s="1">
        <v>0</v>
      </c>
      <c r="I6200" s="1" t="s">
        <v>11136</v>
      </c>
      <c r="K6200" s="1" t="str">
        <f t="shared" si="396"/>
        <v>ㄎ</v>
      </c>
      <c r="L6200" s="1" t="str">
        <f t="shared" si="397"/>
        <v>ㄨ</v>
      </c>
      <c r="N6200" s="3" t="s">
        <v>30574</v>
      </c>
      <c r="O6200" s="3"/>
      <c r="P6200" s="1" t="s">
        <v>20</v>
      </c>
      <c r="R6200" s="1" t="s">
        <v>11137</v>
      </c>
      <c r="V6200" s="1" t="s">
        <v>11138</v>
      </c>
      <c r="AR6200" s="1" t="str">
        <f t="shared" si="398"/>
        <v>| [ㄎㄨˋ](ㄎㄨˋ.md) | [矻](矻.md) |  | kù | 參見「矻矻」條。 |</v>
      </c>
    </row>
    <row r="6201" spans="1:44" hidden="1">
      <c r="A6201" s="1" t="s">
        <v>11139</v>
      </c>
      <c r="C6201" s="1">
        <v>1</v>
      </c>
      <c r="D6201" s="1" t="str">
        <f>"04567"</f>
        <v>04567</v>
      </c>
      <c r="E6201" s="1" t="s">
        <v>447</v>
      </c>
      <c r="F6201" s="1">
        <v>10</v>
      </c>
      <c r="G6201" s="1">
        <v>7</v>
      </c>
      <c r="H6201" s="1">
        <v>1</v>
      </c>
      <c r="I6201" s="1" t="s">
        <v>11136</v>
      </c>
      <c r="K6201" s="1" t="str">
        <f t="shared" si="396"/>
        <v>ㄎ</v>
      </c>
      <c r="L6201" s="1" t="str">
        <f t="shared" si="397"/>
        <v>ㄨ</v>
      </c>
      <c r="N6201" s="3" t="s">
        <v>30574</v>
      </c>
      <c r="O6201" s="3"/>
      <c r="P6201" s="1" t="s">
        <v>20</v>
      </c>
      <c r="R6201" s="1" t="s">
        <v>11137</v>
      </c>
      <c r="V6201" s="1" t="s">
        <v>11140</v>
      </c>
      <c r="W6201" s="1" t="s">
        <v>11141</v>
      </c>
      <c r="AR6201" s="1" t="str">
        <f t="shared" si="398"/>
        <v>| [ㄎㄨˋ](ㄎㄨˋ.md) | [庫](庫.md) |  | kù | [名]
1.收藏兵器的地方。《說文解字．广部》：「庫，兵車藏也。」如：「火藥庫」、「軍械庫」。
2.泛指貯藏物品的地方。如：「血庫」、「書庫」、「倉庫」。 |</v>
      </c>
    </row>
    <row r="6202" spans="1:44" hidden="1">
      <c r="A6202" s="1" t="s">
        <v>11142</v>
      </c>
      <c r="C6202" s="1">
        <v>1</v>
      </c>
      <c r="D6202" s="1" t="str">
        <f>"04568"</f>
        <v>04568</v>
      </c>
      <c r="E6202" s="1" t="s">
        <v>340</v>
      </c>
      <c r="F6202" s="1">
        <v>16</v>
      </c>
      <c r="G6202" s="1">
        <v>10</v>
      </c>
      <c r="H6202" s="1">
        <v>0</v>
      </c>
      <c r="I6202" s="1" t="s">
        <v>11136</v>
      </c>
      <c r="K6202" s="1" t="str">
        <f t="shared" si="396"/>
        <v>ㄎ</v>
      </c>
      <c r="L6202" s="1" t="str">
        <f t="shared" si="397"/>
        <v>ㄨ</v>
      </c>
      <c r="N6202" s="3" t="s">
        <v>30574</v>
      </c>
      <c r="O6202" s="3"/>
      <c r="P6202" s="1" t="s">
        <v>20</v>
      </c>
      <c r="R6202" s="1" t="s">
        <v>11137</v>
      </c>
      <c r="V6202" s="1" t="s">
        <v>11143</v>
      </c>
      <c r="AR6202" s="1" t="str">
        <f t="shared" si="398"/>
        <v>| [ㄎㄨˋ](ㄎㄨˋ.md) | [褲](褲.md) |  | kù | [名]
穿在下身的服裝。如：「長褲」、「西裝褲」、「開襠褲」。唐．薛逢〈宮詞〉：「遙窺正殿簾開處，袍褲宮人掃御床。」《紅樓夢》第六五回：「底上綠褲紅鞋，一對金蓮或敲或並，沒半刻斯文。」也稱為「褲子」。 |</v>
      </c>
    </row>
    <row r="6203" spans="1:44" hidden="1">
      <c r="A6203" s="1" t="s">
        <v>11144</v>
      </c>
      <c r="C6203" s="1">
        <v>1</v>
      </c>
      <c r="D6203" s="1" t="str">
        <f>"04569"</f>
        <v>04569</v>
      </c>
      <c r="E6203" s="1" t="s">
        <v>1462</v>
      </c>
      <c r="F6203" s="1">
        <v>14</v>
      </c>
      <c r="G6203" s="1">
        <v>7</v>
      </c>
      <c r="H6203" s="1">
        <v>0</v>
      </c>
      <c r="I6203" s="1" t="s">
        <v>11136</v>
      </c>
      <c r="K6203" s="1" t="str">
        <f t="shared" si="396"/>
        <v>ㄎ</v>
      </c>
      <c r="L6203" s="1" t="str">
        <f t="shared" si="397"/>
        <v>ㄨ</v>
      </c>
      <c r="N6203" s="3" t="s">
        <v>30574</v>
      </c>
      <c r="O6203" s="3"/>
      <c r="P6203" s="1" t="s">
        <v>20</v>
      </c>
      <c r="R6203" s="1" t="s">
        <v>11137</v>
      </c>
      <c r="V6203" s="1" t="s">
        <v>11145</v>
      </c>
      <c r="AR6203" s="1" t="str">
        <f t="shared" si="398"/>
        <v>| [ㄎㄨˋ](ㄎㄨˋ.md) | [酷](酷.md) |  | kù | [形]
1.酒味濃厚。《說文解字．酉部》：「酷，酒厚味也。」
2.殘忍、暴虐。如：「酷刑」、「酷吏」。《韓非子．顯學》：「今上急耕田墾草，以厚民產也，而以上為酷。」
3.瀟灑中帶點冷漠。為英語cool的音譯。如：「酷哥」、「他那表情很酷！」
[副]
程度深的。相當於「甚」、「極」。如：「酷愛」、「酷寒」、「酷似」、「酷像」。南朝宋．劉義慶《世說新語．賢媛》：「陶公少有大志，家酷貧，與母湛氏同居。」 |</v>
      </c>
    </row>
    <row r="6204" spans="1:44" hidden="1">
      <c r="A6204" s="1" t="s">
        <v>11146</v>
      </c>
      <c r="C6204" s="1">
        <v>1</v>
      </c>
      <c r="D6204" s="1" t="str">
        <f>"04570"</f>
        <v>04570</v>
      </c>
      <c r="E6204" s="1" t="s">
        <v>28</v>
      </c>
      <c r="F6204" s="1">
        <v>20</v>
      </c>
      <c r="G6204" s="1">
        <v>17</v>
      </c>
      <c r="H6204" s="1">
        <v>0</v>
      </c>
      <c r="I6204" s="1" t="s">
        <v>11136</v>
      </c>
      <c r="K6204" s="1" t="str">
        <f t="shared" si="396"/>
        <v>ㄎ</v>
      </c>
      <c r="L6204" s="1" t="str">
        <f t="shared" si="397"/>
        <v>ㄨ</v>
      </c>
      <c r="N6204" s="3" t="s">
        <v>30574</v>
      </c>
      <c r="O6204" s="3"/>
      <c r="P6204" s="1" t="s">
        <v>20</v>
      </c>
      <c r="R6204" s="1" t="s">
        <v>11137</v>
      </c>
      <c r="V6204" s="1" t="s">
        <v>11147</v>
      </c>
      <c r="AR6204" s="1" t="str">
        <f t="shared" si="398"/>
        <v>| [ㄎㄨˋ](ㄎㄨˋ.md) | [嚳](嚳.md) |  | kù | [名]
人名。傳說中的上古帝王，為五帝之一的高辛氏。《史記．卷一．五帝本紀》：「帝嚳高辛者，黃帝之曾孫也。」 |</v>
      </c>
    </row>
    <row r="6205" spans="1:44" hidden="1">
      <c r="A6205" s="1" t="s">
        <v>11128</v>
      </c>
      <c r="C6205" s="1">
        <v>1</v>
      </c>
      <c r="D6205" s="1" t="str">
        <f>"04564"</f>
        <v>04564</v>
      </c>
      <c r="E6205" s="1" t="s">
        <v>37</v>
      </c>
      <c r="F6205" s="1">
        <v>9</v>
      </c>
      <c r="G6205" s="1">
        <v>5</v>
      </c>
      <c r="H6205" s="1">
        <v>0</v>
      </c>
      <c r="I6205" s="1" t="s">
        <v>11129</v>
      </c>
      <c r="K6205" s="1" t="str">
        <f t="shared" si="396"/>
        <v>ㄎ</v>
      </c>
      <c r="L6205" s="1" t="str">
        <f t="shared" si="397"/>
        <v>ㄨ</v>
      </c>
      <c r="N6205" s="3" t="s">
        <v>30576</v>
      </c>
      <c r="O6205" s="3"/>
      <c r="P6205" s="1" t="s">
        <v>20</v>
      </c>
      <c r="R6205" s="1" t="s">
        <v>11130</v>
      </c>
      <c r="V6205" s="1" t="s">
        <v>11131</v>
      </c>
      <c r="AR6205" s="1" t="str">
        <f t="shared" si="398"/>
        <v>| [ㄎㄨˇ](ㄎㄨˇ.md) | [苦](苦.md) |  | kǔ | [名]_x000D_
1.像黃連、膽汁的味道。《荀子．正名》：「甘、苦、鹹、淡、辛、酸，奇味以口異。」_x000D_
2.難以忍受的境況。如：「訴苦」、「吃苦耐勞」、「受苦受難」、「苦中作樂」、「苦盡甘來」。_x000D_
[動]_x000D_
1.受累、為難。如：「他如此忍辱負重，真是苦了他了！」_x000D_
2.磨鍊。《孟子．告子下》：「天將降大任於是人也，必先苦其心志，勞其筋骨。」_x000D_
3.患、怕。《漢書．卷三四．韓彭英盧吳傳．韓信》：「亭長妻苦之，乃晨炊蓐食。」《文選．古詩十九首．迴車駕言邁》：「盛衰各有時，立身苦不旱。」_x000D_
[形]_x000D_
1.有苦味的。如：「苦瓜」、「苦茶」。_x000D_
2.艱辛、難受。如：「苦境」、「苦日子」、「一臉苦笑」。《孟子．梁惠王上》：「樂歲終身苦，凶年不免於死亡。」_x000D_
3.愁悶。如：「愁眉苦臉」。唐．李白〈關山月〉詩：「戍客望邊色，思歸多苦顏。」_x000D_
[副]_x000D_
盡心盡力的。如：「苦勸」、「苦諫」、「埋頭苦幹」、「寒窗苦讀」。 |</v>
      </c>
    </row>
    <row r="6206" spans="1:44" hidden="1">
      <c r="A6206" s="1" t="s">
        <v>11132</v>
      </c>
      <c r="C6206" s="1">
        <v>1</v>
      </c>
      <c r="D6206" s="1" t="str">
        <f>"04565"</f>
        <v>04565</v>
      </c>
      <c r="E6206" s="1" t="s">
        <v>139</v>
      </c>
      <c r="F6206" s="1">
        <v>13</v>
      </c>
      <c r="G6206" s="1">
        <v>9</v>
      </c>
      <c r="H6206" s="1">
        <v>2</v>
      </c>
      <c r="I6206" s="1" t="s">
        <v>11129</v>
      </c>
      <c r="K6206" s="1" t="str">
        <f t="shared" si="396"/>
        <v>ㄎ</v>
      </c>
      <c r="L6206" s="1" t="str">
        <f t="shared" si="397"/>
        <v>ㄨ</v>
      </c>
      <c r="N6206" s="3" t="s">
        <v>30576</v>
      </c>
      <c r="O6206" s="3"/>
      <c r="P6206" s="1" t="s">
        <v>20</v>
      </c>
      <c r="R6206" s="1" t="s">
        <v>11130</v>
      </c>
      <c r="V6206" s="1" t="s">
        <v>11133</v>
      </c>
      <c r="W6206" s="1" t="s">
        <v>11134</v>
      </c>
      <c r="AR6206" s="1" t="str">
        <f t="shared" si="398"/>
        <v>| [ㄎㄨˇ](ㄎㄨˇ.md) | [楛](楛.md) |  | kǔ | [形]
1.粗劣不堅固。《荀子．議兵》：「械用兵革窳楛不便利者弱。」唐．楊倞．注：「窳，器病也。楛，濫惡，謂不堅固也。」
2.比喻不正當。《荀子．勸學》：「問楛者，勿告也；告楛者，勿問也；說楛者，勿聽也。」唐．楊倞．注：「楛與苦同，惡也。問楛，謂所問非禮義也。」 |</v>
      </c>
    </row>
    <row r="6207" spans="1:44" hidden="1">
      <c r="A6207" s="1" t="s">
        <v>10709</v>
      </c>
      <c r="C6207" s="1">
        <v>1</v>
      </c>
      <c r="D6207" s="1" t="str">
        <f>"04711"</f>
        <v>04711</v>
      </c>
      <c r="E6207" s="1" t="s">
        <v>28</v>
      </c>
      <c r="F6207" s="1">
        <v>9</v>
      </c>
      <c r="G6207" s="1">
        <v>6</v>
      </c>
      <c r="H6207" s="1">
        <v>1</v>
      </c>
      <c r="I6207" s="1" t="s">
        <v>11474</v>
      </c>
      <c r="K6207" s="1" t="str">
        <f t="shared" si="396"/>
        <v>ㄏ</v>
      </c>
      <c r="L6207" s="1" t="str">
        <f t="shared" si="397"/>
        <v>ㄚ</v>
      </c>
      <c r="M6207" s="1" t="str">
        <f t="shared" ref="M6207:M6270" si="399">MID(I6207, 3, 1)</f>
        <v/>
      </c>
      <c r="P6207" s="1" t="s">
        <v>20</v>
      </c>
      <c r="R6207" s="1" t="s">
        <v>11475</v>
      </c>
      <c r="V6207" s="1" t="s">
        <v>11476</v>
      </c>
      <c r="W6207" s="1" t="s">
        <v>11477</v>
      </c>
      <c r="AR6207" s="1" t="str">
        <f t="shared" si="398"/>
        <v>| [ㄏㄚ](ㄏㄚ.md) | [哈](哈.md) |  | hā | [動]
1.張口舒氣。如：「哈氣」、「哈欠」。《浮生六記．卷二．閒情記趣》：「捉鴨開口哈之，婢嫗偶釋手，鴨顛其頸作吞噬狀，驚而大哭。」
2.彎。如：「鞠躬哈腰」。
[擬]
形容笑聲。如：「哈哈大笑」。
[歎]
表得意或滿意。如：「哈！這下你慘了。」
[名]
姓。如明代有哈銘。 |</v>
      </c>
    </row>
    <row r="6208" spans="1:44" hidden="1">
      <c r="A6208" s="1" t="s">
        <v>11478</v>
      </c>
      <c r="C6208" s="1">
        <v>1</v>
      </c>
      <c r="D6208" s="1" t="str">
        <f>"04712"</f>
        <v>04712</v>
      </c>
      <c r="E6208" s="1" t="s">
        <v>55</v>
      </c>
      <c r="F6208" s="1">
        <v>14</v>
      </c>
      <c r="G6208" s="1">
        <v>6</v>
      </c>
      <c r="H6208" s="1">
        <v>0</v>
      </c>
      <c r="I6208" s="1" t="s">
        <v>11474</v>
      </c>
      <c r="K6208" s="1" t="str">
        <f t="shared" si="396"/>
        <v>ㄏ</v>
      </c>
      <c r="L6208" s="1" t="str">
        <f t="shared" si="397"/>
        <v>ㄚ</v>
      </c>
      <c r="M6208" s="1" t="str">
        <f t="shared" si="399"/>
        <v/>
      </c>
      <c r="P6208" s="1" t="s">
        <v>20</v>
      </c>
      <c r="R6208" s="1" t="s">
        <v>11475</v>
      </c>
      <c r="V6208" s="1" t="s">
        <v>11479</v>
      </c>
      <c r="AR6208" s="1" t="str">
        <f t="shared" si="398"/>
        <v>| [ㄏㄚ](ㄏㄚ.md) | [鉿](鉿.md) |  | hā | [名]
（hafnium，Hf）化學元素。原子序72。灰色晶體，化學性質似鋯，機械性能佳且能抗蝕，可用作核反應器的控制桿材料。鉿的鎢或鉬合金可用作高壓放電管的電極。 |</v>
      </c>
    </row>
    <row r="6209" spans="1:44" hidden="1">
      <c r="A6209" s="1" t="s">
        <v>11480</v>
      </c>
      <c r="C6209" s="1">
        <v>1</v>
      </c>
      <c r="D6209" s="1" t="str">
        <f>"04713"</f>
        <v>04713</v>
      </c>
      <c r="E6209" s="1" t="s">
        <v>5692</v>
      </c>
      <c r="F6209" s="1">
        <v>16</v>
      </c>
      <c r="G6209" s="1">
        <v>9</v>
      </c>
      <c r="H6209" s="1">
        <v>0</v>
      </c>
      <c r="I6209" s="1" t="s">
        <v>11474</v>
      </c>
      <c r="K6209" s="1" t="str">
        <f t="shared" ref="K6209:K6272" si="400">LEFT(I6209, 1)</f>
        <v>ㄏ</v>
      </c>
      <c r="L6209" s="1" t="str">
        <f t="shared" ref="L6209:L6272" si="401">MID(I6209, 2, 1)</f>
        <v>ㄚ</v>
      </c>
      <c r="M6209" s="1" t="str">
        <f t="shared" si="399"/>
        <v/>
      </c>
      <c r="P6209" s="1" t="s">
        <v>20</v>
      </c>
      <c r="R6209" s="1" t="s">
        <v>11475</v>
      </c>
      <c r="V6209" s="1" t="s">
        <v>11481</v>
      </c>
      <c r="AR6209" s="1" t="str">
        <f t="shared" si="398"/>
        <v>| [ㄏㄚ](ㄏㄚ.md) | [𨉣](𨉣.md) |  | hā | [動]
彎腰。如：「點頭𨉣腰」。 |</v>
      </c>
    </row>
    <row r="6210" spans="1:44" hidden="1">
      <c r="A6210" s="1" t="s">
        <v>11493</v>
      </c>
      <c r="C6210" s="1">
        <v>1</v>
      </c>
      <c r="D6210" s="1" t="str">
        <f>"04717"</f>
        <v>04717</v>
      </c>
      <c r="E6210" s="1" t="s">
        <v>28</v>
      </c>
      <c r="F6210" s="1">
        <v>8</v>
      </c>
      <c r="G6210" s="1">
        <v>5</v>
      </c>
      <c r="H6210" s="1">
        <v>1</v>
      </c>
      <c r="I6210" s="1" t="s">
        <v>11494</v>
      </c>
      <c r="K6210" s="1" t="str">
        <f t="shared" si="400"/>
        <v>ㄏ</v>
      </c>
      <c r="L6210" s="1" t="str">
        <f t="shared" si="401"/>
        <v>ㄜ</v>
      </c>
      <c r="M6210" s="1" t="str">
        <f t="shared" si="399"/>
        <v/>
      </c>
      <c r="P6210" s="1" t="s">
        <v>20</v>
      </c>
      <c r="R6210" s="1" t="s">
        <v>11495</v>
      </c>
      <c r="V6210" s="1" t="s">
        <v>11496</v>
      </c>
      <c r="W6210" s="1" t="s">
        <v>11497</v>
      </c>
      <c r="AR6210" s="1" t="str">
        <f t="shared" si="398"/>
        <v>| [ㄏㄜ](ㄏㄜ.md) | [呵](呵.md) |  | hē | [動]_x000D_
1.大聲責罵。如：「呵責」、「呵叱」。《韓非子．外儲說左上》：「惠嗣公使人偽關市，關市呵難之。」南朝梁．劉勰《文心雕龍．事類》：「管庫隸臣，呵強秦使鼓缶。」_x000D_
2.呼氣、哈氣。如：「呵氣」、「呵手」、「呵凍」。唐．韓愈〈元和聖德詩〉：「紫焰噓呵，高靈下墮。」宋．蘇軾〈四時詞〉四首之四：「起來呵手畫雙鴉，醉臉輕勻襯眼霞。」_x000D_
3.吆喝。唐．韓愈〈送李愿歸盤谷序〉：「武夫前呵，從者塞途。」_x000D_
[擬]_x000D_
形容笑聲。如：「呵呵大笑」。_x000D_
[歎]_x000D_
表示驚訝的語氣。常配合語境，單獨成句。如：「呵！來了這麼多的人。」 |</v>
      </c>
    </row>
    <row r="6211" spans="1:44" hidden="1">
      <c r="A6211" s="1" t="s">
        <v>11498</v>
      </c>
      <c r="C6211" s="1">
        <v>1</v>
      </c>
      <c r="D6211" s="1" t="str">
        <f>"04718"</f>
        <v>04718</v>
      </c>
      <c r="E6211" s="1" t="s">
        <v>331</v>
      </c>
      <c r="F6211" s="1">
        <v>12</v>
      </c>
      <c r="G6211" s="1">
        <v>5</v>
      </c>
      <c r="H6211" s="1">
        <v>0</v>
      </c>
      <c r="I6211" s="1" t="s">
        <v>11494</v>
      </c>
      <c r="K6211" s="1" t="str">
        <f t="shared" si="400"/>
        <v>ㄏ</v>
      </c>
      <c r="L6211" s="1" t="str">
        <f t="shared" si="401"/>
        <v>ㄜ</v>
      </c>
      <c r="M6211" s="1" t="str">
        <f t="shared" si="399"/>
        <v/>
      </c>
      <c r="P6211" s="1" t="s">
        <v>20</v>
      </c>
      <c r="R6211" s="1" t="s">
        <v>11495</v>
      </c>
      <c r="V6211" s="1" t="s">
        <v>11499</v>
      </c>
      <c r="AR6211" s="1" t="str">
        <f t="shared" ref="AR6211:AR6274" si="402">"| ["&amp;I6211&amp;"]("&amp;I6211&amp;".md) | ["&amp;A6211&amp;"]("&amp;A6211&amp;".md) | "&amp;" | "&amp;R6211&amp;" | "&amp;V6211&amp;" |"</f>
        <v>| [ㄏㄜ](ㄏㄜ.md) | [訶](訶.md) |  | hē | [動]
大聲斥責、怒罵。通「呵」。《後漢書．卷八〇．文苑傳下．禰衡傳》：「而衡言不遜順，祖慚，乃訶之。」《晉書．卷五三．愍懷太子傳》：「成都王穎見而訶謐，謐意愈不平。」 |</v>
      </c>
    </row>
    <row r="6212" spans="1:44" hidden="1">
      <c r="A6212" s="1" t="s">
        <v>11500</v>
      </c>
      <c r="C6212" s="1">
        <v>1</v>
      </c>
      <c r="D6212" s="1" t="str">
        <f>"04719"</f>
        <v>04719</v>
      </c>
      <c r="E6212" s="1" t="s">
        <v>28</v>
      </c>
      <c r="F6212" s="1">
        <v>12</v>
      </c>
      <c r="G6212" s="1">
        <v>9</v>
      </c>
      <c r="H6212" s="1">
        <v>1</v>
      </c>
      <c r="I6212" s="1" t="s">
        <v>11494</v>
      </c>
      <c r="K6212" s="1" t="str">
        <f t="shared" si="400"/>
        <v>ㄏ</v>
      </c>
      <c r="L6212" s="1" t="str">
        <f t="shared" si="401"/>
        <v>ㄜ</v>
      </c>
      <c r="M6212" s="1" t="str">
        <f t="shared" si="399"/>
        <v/>
      </c>
      <c r="P6212" s="1" t="s">
        <v>20</v>
      </c>
      <c r="R6212" s="1" t="s">
        <v>11495</v>
      </c>
      <c r="V6212" s="1" t="s">
        <v>11501</v>
      </c>
      <c r="W6212" s="1" t="s">
        <v>11502</v>
      </c>
      <c r="AR6212" s="1" t="str">
        <f t="shared" si="402"/>
        <v>| [ㄏㄜ](ㄏㄜ.md) | [喝](喝.md) |  | hē | [動]
飲用液體、飲料或流質食物。如：「喝水」、「喝酒」、「喝稀飯」。 |</v>
      </c>
    </row>
    <row r="6213" spans="1:44" hidden="1">
      <c r="A6213" s="1" t="s">
        <v>11612</v>
      </c>
      <c r="C6213" s="1">
        <v>1</v>
      </c>
      <c r="D6213" s="1" t="str">
        <f>"04769"</f>
        <v>04769</v>
      </c>
      <c r="E6213" s="1" t="s">
        <v>28</v>
      </c>
      <c r="F6213" s="1">
        <v>8</v>
      </c>
      <c r="G6213" s="1">
        <v>5</v>
      </c>
      <c r="H6213" s="1">
        <v>0</v>
      </c>
      <c r="I6213" s="1" t="s">
        <v>11613</v>
      </c>
      <c r="K6213" s="1" t="str">
        <f t="shared" si="400"/>
        <v>ㄏ</v>
      </c>
      <c r="L6213" s="1" t="str">
        <f t="shared" si="401"/>
        <v>ㄞ</v>
      </c>
      <c r="M6213" s="1" t="str">
        <f t="shared" si="399"/>
        <v/>
      </c>
      <c r="P6213" s="1" t="s">
        <v>20</v>
      </c>
      <c r="R6213" s="1" t="s">
        <v>11614</v>
      </c>
      <c r="V6213" s="1" t="s">
        <v>11615</v>
      </c>
      <c r="AR6213" s="1" t="str">
        <f t="shared" si="402"/>
        <v>| [ㄏㄞ](ㄏㄞ.md) | [咍](咍.md) |  | hāi | [動]
譏笑。《楚辭．屈原．九章．惜誦》：「行不群以巔越兮，又眾兆之所咍。」漢．王逸．注：「咍，笑也。楚人謂相啁笑曰咍。」唐．杜甫〈秋日荊南述懷三十韻〉：「休為貧士歎，任受眾人咍。」
[形]
喜悅、歡樂。唐．韓愈〈感春〉詩五首之四：「前隨杜尹拜表迴，笑言溢口何歡咍！」《西遊記》第五九回：「兩道壽眉遮碧眼，一張咍口露金牙。」
[歎]
表示慨嘆的語氣。通「嗨」。元．王實甫《西廂記．第四本．第一折》：「咍！怎不肯回過臉兒來？」《聊齋志異．卷九．佟客》：「咍！返矣！一頂綠頭巾，或不能壓人死耳！」 |</v>
      </c>
    </row>
    <row r="6214" spans="1:44" hidden="1">
      <c r="A6214" s="1" t="s">
        <v>10724</v>
      </c>
      <c r="C6214" s="1">
        <v>1</v>
      </c>
      <c r="D6214" s="1" t="str">
        <f>"04770"</f>
        <v>04770</v>
      </c>
      <c r="E6214" s="1" t="s">
        <v>28</v>
      </c>
      <c r="F6214" s="1">
        <v>9</v>
      </c>
      <c r="G6214" s="1">
        <v>6</v>
      </c>
      <c r="H6214" s="1">
        <v>3</v>
      </c>
      <c r="I6214" s="1" t="s">
        <v>11613</v>
      </c>
      <c r="K6214" s="1" t="str">
        <f t="shared" si="400"/>
        <v>ㄏ</v>
      </c>
      <c r="L6214" s="1" t="str">
        <f t="shared" si="401"/>
        <v>ㄞ</v>
      </c>
      <c r="M6214" s="1" t="str">
        <f t="shared" si="399"/>
        <v/>
      </c>
      <c r="P6214" s="1" t="s">
        <v>20</v>
      </c>
      <c r="R6214" s="1" t="s">
        <v>11614</v>
      </c>
      <c r="V6214" s="1" t="s">
        <v>11616</v>
      </c>
      <c r="W6214" s="1" t="s">
        <v>11617</v>
      </c>
      <c r="AR6214" s="1" t="str">
        <f t="shared" si="402"/>
        <v>| [ㄏㄞ](ㄏㄞ.md) | [咳](咳.md) |  | hāi | [歎]
表示後悔、感傷的語氣。如：「咳！我怎麼忘了！」明．汪錂《春蕪記》第五齣：「咳！不意今日出來，惹了一場風月債。」 |</v>
      </c>
    </row>
    <row r="6215" spans="1:44" hidden="1">
      <c r="A6215" s="1" t="s">
        <v>11618</v>
      </c>
      <c r="C6215" s="1">
        <v>1</v>
      </c>
      <c r="D6215" s="1" t="str">
        <f>"04771"</f>
        <v>04771</v>
      </c>
      <c r="E6215" s="1" t="s">
        <v>28</v>
      </c>
      <c r="F6215" s="1">
        <v>13</v>
      </c>
      <c r="G6215" s="1">
        <v>10</v>
      </c>
      <c r="H6215" s="1">
        <v>0</v>
      </c>
      <c r="I6215" s="1" t="s">
        <v>11613</v>
      </c>
      <c r="K6215" s="1" t="str">
        <f t="shared" si="400"/>
        <v>ㄏ</v>
      </c>
      <c r="L6215" s="1" t="str">
        <f t="shared" si="401"/>
        <v>ㄞ</v>
      </c>
      <c r="M6215" s="1" t="str">
        <f t="shared" si="399"/>
        <v/>
      </c>
      <c r="P6215" s="1" t="s">
        <v>20</v>
      </c>
      <c r="R6215" s="1" t="s">
        <v>11614</v>
      </c>
      <c r="V6215" s="1" t="s">
        <v>11619</v>
      </c>
      <c r="AR6215" s="1" t="str">
        <f t="shared" si="402"/>
        <v>| [ㄏㄞ](ㄏㄞ.md) | [嗨](嗨.md) |  | hāi | [歎]
表示傷感、惋惜、驚訝的語氣。通「咳」。元．馬致遠《漢宮秋》第三折：「嗨！可惜！可惜！昭君不肯入番，投江而死。」
[助]
表示親切的招呼語。為英語hi的音譯。如：「嗨！你怎麼也來了。」
[擬]
形容呼喝聲。如：「嗨唷」。元．關漢卿《蝴蝶夢》第二折：「嗨！嗨！嗨！一壁廂老夫主在地停尸。」 |</v>
      </c>
    </row>
    <row r="6216" spans="1:44" hidden="1">
      <c r="A6216" s="1" t="s">
        <v>11590</v>
      </c>
      <c r="C6216" s="1">
        <v>1</v>
      </c>
      <c r="D6216" s="1" t="str">
        <f>"04783"</f>
        <v>04783</v>
      </c>
      <c r="E6216" s="1" t="s">
        <v>2777</v>
      </c>
      <c r="F6216" s="1">
        <v>12</v>
      </c>
      <c r="G6216" s="1">
        <v>0</v>
      </c>
      <c r="H6216" s="1">
        <v>1</v>
      </c>
      <c r="I6216" s="1" t="s">
        <v>11649</v>
      </c>
      <c r="K6216" s="1" t="str">
        <f t="shared" si="400"/>
        <v>ㄏ</v>
      </c>
      <c r="L6216" s="1" t="str">
        <f t="shared" si="401"/>
        <v>ㄟ</v>
      </c>
      <c r="M6216" s="1" t="str">
        <f t="shared" si="399"/>
        <v/>
      </c>
      <c r="P6216" s="1" t="s">
        <v>388</v>
      </c>
      <c r="R6216" s="1" t="s">
        <v>11650</v>
      </c>
      <c r="V6216" s="1" t="s">
        <v>11651</v>
      </c>
      <c r="W6216" s="1" t="s">
        <v>11652</v>
      </c>
      <c r="AR6216" s="1" t="str">
        <f t="shared" si="402"/>
        <v>| [ㄏㄟ](ㄏㄟ.md) | [黑](黑.md) |  | hēi | [名]
1.深暗如墨或煤的顏色。與「白」相對。
2.大陸地區黑龍江省的簡稱。
3.姓。如清代有黑旻。
4.二一四部首之一。
[動]
吞沒、私貪。如：「一任總務下來，他黑了不少錢。」
[形]
1.昏暗無光。如：「黑暗」、「黑漆漆」。唐．李頻〈夏日題盩厔友人書齋〉詩：「黑處巢幽鳥，陰來叫候蟲。」
2.隱密的、不公開的。如：「黑名單」、「黑函」、「黑話」。
3.狠毒。如：「黑心肝」。元．無名氏《抱妝盒》第三折：「劉皇后，你左使這一片黑心腸做甚麼？」
4.專門從事非法的。與「白」相對。如：「黑道」、「黑市」、「黑槍」。 |</v>
      </c>
    </row>
    <row r="6217" spans="1:44" hidden="1">
      <c r="A6217" s="1" t="s">
        <v>2779</v>
      </c>
      <c r="C6217" s="1">
        <v>1</v>
      </c>
      <c r="D6217" s="1" t="str">
        <f>"04784"</f>
        <v>04784</v>
      </c>
      <c r="E6217" s="1" t="s">
        <v>28</v>
      </c>
      <c r="F6217" s="1">
        <v>15</v>
      </c>
      <c r="G6217" s="1">
        <v>12</v>
      </c>
      <c r="H6217" s="1">
        <v>2</v>
      </c>
      <c r="I6217" s="1" t="s">
        <v>11649</v>
      </c>
      <c r="K6217" s="1" t="str">
        <f t="shared" si="400"/>
        <v>ㄏ</v>
      </c>
      <c r="L6217" s="1" t="str">
        <f t="shared" si="401"/>
        <v>ㄟ</v>
      </c>
      <c r="M6217" s="1" t="str">
        <f t="shared" si="399"/>
        <v/>
      </c>
      <c r="P6217" s="1" t="s">
        <v>20</v>
      </c>
      <c r="R6217" s="1" t="s">
        <v>11650</v>
      </c>
      <c r="V6217" s="1" t="s">
        <v>11653</v>
      </c>
      <c r="W6217" s="1" t="s">
        <v>11654</v>
      </c>
      <c r="AR6217" s="1" t="str">
        <f t="shared" si="402"/>
        <v>| [ㄏㄟ](ㄏㄟ.md) | [嘿](嘿.md) |  | hēi | [歎]
表示驚嘆、得意的語氣。如：「嘿！今年的收成真好呢！」《老殘遊記》第一三回：「嘿！這孩子可是不想活了！你瞧！老爺們叫你來為開心的，你可哭開自己咧！」
[助]
表示打招呼或引起注意。如：「嘿！最近好嗎？」、「嘿！請不要踐踏草皮。」
[擬]
形容笑聲。如：「他被呵癢就嘿嘿嘿的笑個不停。」 |</v>
      </c>
    </row>
    <row r="6218" spans="1:44" hidden="1">
      <c r="A6218" s="1" t="s">
        <v>11659</v>
      </c>
      <c r="C6218" s="1">
        <v>1</v>
      </c>
      <c r="D6218" s="1" t="str">
        <f>"04786"</f>
        <v>04786</v>
      </c>
      <c r="E6218" s="1" t="s">
        <v>37</v>
      </c>
      <c r="F6218" s="1">
        <v>14</v>
      </c>
      <c r="G6218" s="1">
        <v>10</v>
      </c>
      <c r="H6218" s="1">
        <v>0</v>
      </c>
      <c r="I6218" s="1" t="s">
        <v>11660</v>
      </c>
      <c r="K6218" s="1" t="str">
        <f t="shared" si="400"/>
        <v>ㄏ</v>
      </c>
      <c r="L6218" s="1" t="str">
        <f t="shared" si="401"/>
        <v>ㄠ</v>
      </c>
      <c r="M6218" s="1" t="str">
        <f t="shared" si="399"/>
        <v/>
      </c>
      <c r="P6218" s="1" t="s">
        <v>20</v>
      </c>
      <c r="R6218" s="1" t="s">
        <v>11661</v>
      </c>
      <c r="V6218" s="1" t="s">
        <v>11662</v>
      </c>
      <c r="AR6218" s="1" t="str">
        <f t="shared" si="402"/>
        <v>| [ㄏㄠ](ㄏㄠ.md) | [蒿](蒿.md) |  | hāo | [名]
菊科艾屬植物的通稱。一年生或二年生草本。有青蒿、白蒿等數種。《爾雅．釋草》：「蘩之醜，秋為蒿。」晉．郭璞．注：「醜，類也。春秋各有種名，至秋老成，皆通呼為蒿。」
[動]
消失、消耗。通「耗」。《國語．楚語上》：「若斂民利以成其私欲，使民蒿焉忘其安樂而有遠心，其為惡也甚也。」三國吳．韋昭．注：「蒿，耗也。」
[形]
氣體蒸出的樣子。《禮記．祭義》：「其氣發揚於上為昭明，焄蒿萋愴，此百物之精也，神之著也。」漢．鄭玄．注：「蒿，謂氣烝出貌也。」 |</v>
      </c>
    </row>
    <row r="6219" spans="1:44" hidden="1">
      <c r="A6219" s="1" t="s">
        <v>11663</v>
      </c>
      <c r="C6219" s="1">
        <v>1</v>
      </c>
      <c r="D6219" s="1" t="str">
        <f>"04787"</f>
        <v>04787</v>
      </c>
      <c r="E6219" s="1" t="s">
        <v>28</v>
      </c>
      <c r="F6219" s="1">
        <v>17</v>
      </c>
      <c r="G6219" s="1">
        <v>14</v>
      </c>
      <c r="H6219" s="1">
        <v>0</v>
      </c>
      <c r="I6219" s="1" t="s">
        <v>11660</v>
      </c>
      <c r="K6219" s="1" t="str">
        <f t="shared" si="400"/>
        <v>ㄏ</v>
      </c>
      <c r="L6219" s="1" t="str">
        <f t="shared" si="401"/>
        <v>ㄠ</v>
      </c>
      <c r="M6219" s="1" t="str">
        <f t="shared" si="399"/>
        <v/>
      </c>
      <c r="P6219" s="1" t="s">
        <v>20</v>
      </c>
      <c r="R6219" s="1" t="s">
        <v>11661</v>
      </c>
      <c r="V6219" s="1" t="s">
        <v>11664</v>
      </c>
      <c r="AR6219" s="1" t="str">
        <f t="shared" si="402"/>
        <v>| [ㄏㄠ](ㄏㄠ.md) | [嚆](嚆.md) |  | hāo | [動]
呼叫。《集韻．平聲．爻韻》：「詨，吳人謂叫呼為詨，或作嚆。」 |</v>
      </c>
    </row>
    <row r="6220" spans="1:44" hidden="1">
      <c r="A6220" s="1" t="s">
        <v>11665</v>
      </c>
      <c r="C6220" s="1">
        <v>1</v>
      </c>
      <c r="D6220" s="1" t="str">
        <f>"04788"</f>
        <v>04788</v>
      </c>
      <c r="E6220" s="1" t="s">
        <v>37</v>
      </c>
      <c r="F6220" s="1">
        <v>17</v>
      </c>
      <c r="G6220" s="1">
        <v>13</v>
      </c>
      <c r="H6220" s="1">
        <v>0</v>
      </c>
      <c r="I6220" s="1" t="s">
        <v>11660</v>
      </c>
      <c r="K6220" s="1" t="str">
        <f t="shared" si="400"/>
        <v>ㄏ</v>
      </c>
      <c r="L6220" s="1" t="str">
        <f t="shared" si="401"/>
        <v>ㄠ</v>
      </c>
      <c r="M6220" s="1" t="str">
        <f t="shared" si="399"/>
        <v/>
      </c>
      <c r="P6220" s="1" t="s">
        <v>20</v>
      </c>
      <c r="R6220" s="1" t="s">
        <v>11661</v>
      </c>
      <c r="V6220" s="1" t="s">
        <v>11666</v>
      </c>
      <c r="AR6220" s="1" t="str">
        <f t="shared" si="402"/>
        <v>| [ㄏㄠ](ㄏㄠ.md) | [薅](薅.md) |  | hāo | [動]
1.拔除雜草。《說文解字．艸部》：「薅，披田草也。」
2.泛指拔掉。如：「薅鬍鬚」、「薅下幾根頭髮。」 |</v>
      </c>
    </row>
    <row r="6221" spans="1:44" hidden="1">
      <c r="A6221" s="1" t="s">
        <v>11735</v>
      </c>
      <c r="C6221" s="1">
        <v>1</v>
      </c>
      <c r="D6221" s="1" t="str">
        <f>"04819"</f>
        <v>04819</v>
      </c>
      <c r="E6221" s="1" t="s">
        <v>28</v>
      </c>
      <c r="F6221" s="1">
        <v>8</v>
      </c>
      <c r="G6221" s="1">
        <v>5</v>
      </c>
      <c r="H6221" s="1">
        <v>2</v>
      </c>
      <c r="I6221" s="1" t="s">
        <v>11736</v>
      </c>
      <c r="K6221" s="1" t="str">
        <f t="shared" si="400"/>
        <v>ㄏ</v>
      </c>
      <c r="L6221" s="1" t="str">
        <f t="shared" si="401"/>
        <v>ㄡ</v>
      </c>
      <c r="M6221" s="1" t="str">
        <f t="shared" si="399"/>
        <v/>
      </c>
      <c r="P6221" s="1" t="s">
        <v>20</v>
      </c>
      <c r="R6221" s="1" t="s">
        <v>11737</v>
      </c>
      <c r="V6221" s="1" t="s">
        <v>11738</v>
      </c>
      <c r="W6221" s="1" t="s">
        <v>11739</v>
      </c>
      <c r="AR6221" s="1" t="str">
        <f t="shared" si="402"/>
        <v>| [ㄏㄡ](ㄏㄡ.md) | [呴](呴.md) |  | hōu | [名]
喉中所發出的聲音。《集韻．平聲．侯韻》：「呴，喉中聲也。」 |</v>
      </c>
    </row>
    <row r="6222" spans="1:44" hidden="1">
      <c r="A6222" s="1" t="s">
        <v>11740</v>
      </c>
      <c r="C6222" s="1">
        <v>1</v>
      </c>
      <c r="D6222" s="1" t="str">
        <f>"04820"</f>
        <v>04820</v>
      </c>
      <c r="E6222" s="1" t="s">
        <v>889</v>
      </c>
      <c r="F6222" s="1">
        <v>19</v>
      </c>
      <c r="G6222" s="1">
        <v>5</v>
      </c>
      <c r="H6222" s="1">
        <v>0</v>
      </c>
      <c r="I6222" s="1" t="s">
        <v>11736</v>
      </c>
      <c r="K6222" s="1" t="str">
        <f t="shared" si="400"/>
        <v>ㄏ</v>
      </c>
      <c r="L6222" s="1" t="str">
        <f t="shared" si="401"/>
        <v>ㄡ</v>
      </c>
      <c r="M6222" s="1" t="str">
        <f t="shared" si="399"/>
        <v/>
      </c>
      <c r="P6222" s="1" t="s">
        <v>20</v>
      </c>
      <c r="R6222" s="1" t="s">
        <v>11737</v>
      </c>
      <c r="V6222" s="1" t="s">
        <v>11741</v>
      </c>
      <c r="AR6222" s="1" t="str">
        <f t="shared" si="402"/>
        <v>| [ㄏㄡ](ㄏㄡ.md) | [齁](齁.md) |  | hōu | [名]
參見「齁齁」條。
[副]
甚、非常。多表不滿意的意思。如：「齁苦」、「齁鹹」、「齁熱」。 |</v>
      </c>
    </row>
    <row r="6223" spans="1:44" hidden="1">
      <c r="A6223" s="1" t="s">
        <v>11785</v>
      </c>
      <c r="C6223" s="1">
        <v>1</v>
      </c>
      <c r="D6223" s="1" t="str">
        <f>"04840"</f>
        <v>04840</v>
      </c>
      <c r="E6223" s="1" t="s">
        <v>28</v>
      </c>
      <c r="F6223" s="1">
        <v>10</v>
      </c>
      <c r="G6223" s="1">
        <v>7</v>
      </c>
      <c r="H6223" s="1">
        <v>0</v>
      </c>
      <c r="I6223" s="1" t="s">
        <v>11786</v>
      </c>
      <c r="K6223" s="1" t="str">
        <f t="shared" si="400"/>
        <v>ㄏ</v>
      </c>
      <c r="L6223" s="1" t="str">
        <f t="shared" si="401"/>
        <v>ㄢ</v>
      </c>
      <c r="M6223" s="1" t="str">
        <f t="shared" si="399"/>
        <v/>
      </c>
      <c r="P6223" s="1" t="s">
        <v>20</v>
      </c>
      <c r="R6223" s="1" t="s">
        <v>11787</v>
      </c>
      <c r="V6223" s="1" t="s">
        <v>11788</v>
      </c>
      <c r="AR6223" s="1" t="str">
        <f t="shared" si="402"/>
        <v>| [ㄏㄢ](ㄏㄢ.md) | [唅](唅.md) |  | hān | [動]
嘴裡銜著食物。通「含」。《集韻．去聲．勘韻》：「唅，哺也。」《文選．王襃．聖主得賢臣頌》：「羹藜唅糗者，不足與論太牢之滋味。」《漢書．卷九一．貨殖傳．序》：「而貧者短褐不完，唅菽飲水。」唐．顏師古．注：「唅，亦含字也。」 |</v>
      </c>
    </row>
    <row r="6224" spans="1:44" hidden="1">
      <c r="A6224" s="1" t="s">
        <v>11789</v>
      </c>
      <c r="C6224" s="1">
        <v>1</v>
      </c>
      <c r="D6224" s="1" t="str">
        <f>"04841"</f>
        <v>04841</v>
      </c>
      <c r="E6224" s="1" t="s">
        <v>190</v>
      </c>
      <c r="F6224" s="1">
        <v>10</v>
      </c>
      <c r="G6224" s="1">
        <v>7</v>
      </c>
      <c r="H6224" s="1">
        <v>0</v>
      </c>
      <c r="I6224" s="1" t="s">
        <v>11786</v>
      </c>
      <c r="K6224" s="1" t="str">
        <f t="shared" si="400"/>
        <v>ㄏ</v>
      </c>
      <c r="L6224" s="1" t="str">
        <f t="shared" si="401"/>
        <v>ㄢ</v>
      </c>
      <c r="M6224" s="1" t="str">
        <f t="shared" si="399"/>
        <v/>
      </c>
      <c r="P6224" s="1" t="s">
        <v>20</v>
      </c>
      <c r="R6224" s="1" t="s">
        <v>11787</v>
      </c>
      <c r="V6224" s="1" t="s">
        <v>11790</v>
      </c>
      <c r="AR6224" s="1" t="str">
        <f t="shared" si="402"/>
        <v>| [ㄏㄢ](ㄏㄢ.md) | [㟏](㟏.md) |  | hān | [名]
大谷。《廣韻．平聲．覃韻》：「㟏，大谷也。」
[形]
參見「㟏岈」條。 |</v>
      </c>
    </row>
    <row r="6225" spans="1:44" hidden="1">
      <c r="A6225" s="1" t="s">
        <v>11791</v>
      </c>
      <c r="C6225" s="1">
        <v>1</v>
      </c>
      <c r="D6225" s="1" t="str">
        <f>"04842"</f>
        <v>04842</v>
      </c>
      <c r="E6225" s="1" t="s">
        <v>10156</v>
      </c>
      <c r="F6225" s="1">
        <v>14</v>
      </c>
      <c r="G6225" s="1">
        <v>7</v>
      </c>
      <c r="H6225" s="1">
        <v>0</v>
      </c>
      <c r="I6225" s="1" t="s">
        <v>11786</v>
      </c>
      <c r="K6225" s="1" t="str">
        <f t="shared" si="400"/>
        <v>ㄏ</v>
      </c>
      <c r="L6225" s="1" t="str">
        <f t="shared" si="401"/>
        <v>ㄢ</v>
      </c>
      <c r="M6225" s="1" t="str">
        <f t="shared" si="399"/>
        <v/>
      </c>
      <c r="P6225" s="1" t="s">
        <v>20</v>
      </c>
      <c r="R6225" s="1" t="s">
        <v>11787</v>
      </c>
      <c r="V6225" s="1" t="s">
        <v>11792</v>
      </c>
      <c r="AR6225" s="1" t="str">
        <f t="shared" si="402"/>
        <v>| [ㄏㄢ](ㄏㄢ.md) | [谽](谽.md) |  | hān | [形]
谽岈：(1)山谷空曠。《廣韻．平聲．覃韻》：「谽岈，谷空。」唐．盧照鄰〈五悲文．悲昔遊〉：「當谽岈之洞壑，臨決咽之奔泉。」(2)中空。清．譚嗣同〈城南思舊銘並敘〉：「加北俗多忌，厝棺中野，雨日蝕漏，谽岈洞開。」(3)山勢險峻。唐．獨孤及〈招北客文〉：「其北則有劍山巉巉，天鑿之門，二壁谽岈，高岸嶙峋。」也作「㟏岈」。 |</v>
      </c>
    </row>
    <row r="6226" spans="1:44" hidden="1">
      <c r="A6226" s="1" t="s">
        <v>11793</v>
      </c>
      <c r="C6226" s="1">
        <v>1</v>
      </c>
      <c r="D6226" s="1" t="str">
        <f>"04843"</f>
        <v>04843</v>
      </c>
      <c r="E6226" s="1" t="s">
        <v>679</v>
      </c>
      <c r="F6226" s="1">
        <v>11</v>
      </c>
      <c r="G6226" s="1">
        <v>5</v>
      </c>
      <c r="H6226" s="1">
        <v>0</v>
      </c>
      <c r="I6226" s="1" t="s">
        <v>11786</v>
      </c>
      <c r="K6226" s="1" t="str">
        <f t="shared" si="400"/>
        <v>ㄏ</v>
      </c>
      <c r="L6226" s="1" t="str">
        <f t="shared" si="401"/>
        <v>ㄢ</v>
      </c>
      <c r="M6226" s="1" t="str">
        <f t="shared" si="399"/>
        <v/>
      </c>
      <c r="P6226" s="1" t="s">
        <v>20</v>
      </c>
      <c r="R6226" s="1" t="s">
        <v>11787</v>
      </c>
      <c r="V6226" s="1" t="s">
        <v>11794</v>
      </c>
      <c r="AR6226" s="1" t="str">
        <f t="shared" si="402"/>
        <v>| [ㄏㄢ](ㄏㄢ.md) | [蚶](蚶.md) |  | hān | [名]
動物名。軟體動物門斧足綱蚌屬。外殼淡褐色，肉白可食。生活在淺海泥沙中，可人工養殖。也稱為「魁蛤」、「蚶子」。因其介殼厚且堅硬，有縱線突起，像屋瓦的楞角，故俗稱為「瓦楞子」。《爾雅．釋魚》「魁陸」句下晉．郭璞．注：「《本草》云：『魁狀如海蛤，圓而厚，外有理縱橫。即今之蚶也。』」 |</v>
      </c>
    </row>
    <row r="6227" spans="1:44" hidden="1">
      <c r="A6227" s="1" t="s">
        <v>11795</v>
      </c>
      <c r="C6227" s="1">
        <v>1</v>
      </c>
      <c r="D6227" s="1" t="str">
        <f>"04844"</f>
        <v>04844</v>
      </c>
      <c r="E6227" s="1" t="s">
        <v>1462</v>
      </c>
      <c r="F6227" s="1">
        <v>12</v>
      </c>
      <c r="G6227" s="1">
        <v>5</v>
      </c>
      <c r="H6227" s="1">
        <v>0</v>
      </c>
      <c r="I6227" s="1" t="s">
        <v>11786</v>
      </c>
      <c r="K6227" s="1" t="str">
        <f t="shared" si="400"/>
        <v>ㄏ</v>
      </c>
      <c r="L6227" s="1" t="str">
        <f t="shared" si="401"/>
        <v>ㄢ</v>
      </c>
      <c r="M6227" s="1" t="str">
        <f t="shared" si="399"/>
        <v/>
      </c>
      <c r="P6227" s="1" t="s">
        <v>20</v>
      </c>
      <c r="R6227" s="1" t="s">
        <v>11787</v>
      </c>
      <c r="V6227" s="1" t="s">
        <v>11796</v>
      </c>
      <c r="AR6227" s="1" t="str">
        <f t="shared" si="402"/>
        <v>| [ㄏㄢ](ㄏㄢ.md) | [酣](酣.md) |  | hān | [動]
1.暢飲，盡興喝酒。唐．李白〈宣州謝朓樓餞別校書叔雲〉詩：「長風萬里送秋雁，對此可以酣高樓。」
2.沉迷、耽溺於酒。《抱朴子．外篇．酒誡》：「小大亂喪，亦罔非酒，然而俗人是酣是湎。」《宋書．卷六一．武三王傳．廬陵孝獻王義真傳》：「縱博酣酒，日夜無輟。」
[副]
1.暢快、盡興。如：「酣飲」、「酣歌」。《魏書．卷七九．成淹傳》：「（王）肅言：『淹既蒙進，臣得屈己伸人，此所謂陛下惠而不費。』遂酣笑而止。」
2.激烈。如：「酣鬥」。唐．杜甫〈丹青引〉：「褒公鄂公毛髮動，英姿颯爽來酣戰。」
[形]
1.喝醉酒。宋．汪元量〈湖州歌〉九八首之四四：「篷窗倚坐酒微酣，淮水無波似蔚藍。」
2.濃、盛。清．洪昇《長生殿》第五齣：「環曲岸，環曲岸，紅酣綠勻。」 |</v>
      </c>
    </row>
    <row r="6228" spans="1:44" hidden="1">
      <c r="A6228" s="1" t="s">
        <v>11797</v>
      </c>
      <c r="C6228" s="1">
        <v>1</v>
      </c>
      <c r="D6228" s="1" t="str">
        <f>"04845"</f>
        <v>04845</v>
      </c>
      <c r="E6228" s="1" t="s">
        <v>684</v>
      </c>
      <c r="F6228" s="1">
        <v>12</v>
      </c>
      <c r="G6228" s="1">
        <v>3</v>
      </c>
      <c r="H6228" s="1">
        <v>0</v>
      </c>
      <c r="I6228" s="1" t="s">
        <v>11786</v>
      </c>
      <c r="K6228" s="1" t="str">
        <f t="shared" si="400"/>
        <v>ㄏ</v>
      </c>
      <c r="L6228" s="1" t="str">
        <f t="shared" si="401"/>
        <v>ㄢ</v>
      </c>
      <c r="M6228" s="1" t="str">
        <f t="shared" si="399"/>
        <v/>
      </c>
      <c r="P6228" s="1" t="s">
        <v>20</v>
      </c>
      <c r="R6228" s="1" t="s">
        <v>11787</v>
      </c>
      <c r="V6228" s="1" t="s">
        <v>3095</v>
      </c>
      <c r="AR6228" s="1" t="str">
        <f t="shared" si="402"/>
        <v>| [ㄏㄢ](ㄏㄢ.md) | [頇](頇.md) |  | hān | 參見「顢頇」條。 |</v>
      </c>
    </row>
    <row r="6229" spans="1:44" hidden="1">
      <c r="A6229" s="1" t="s">
        <v>11798</v>
      </c>
      <c r="C6229" s="1">
        <v>1</v>
      </c>
      <c r="D6229" s="1" t="str">
        <f>"04846"</f>
        <v>04846</v>
      </c>
      <c r="E6229" s="1" t="s">
        <v>889</v>
      </c>
      <c r="F6229" s="1">
        <v>17</v>
      </c>
      <c r="G6229" s="1">
        <v>3</v>
      </c>
      <c r="H6229" s="1">
        <v>0</v>
      </c>
      <c r="I6229" s="1" t="s">
        <v>11786</v>
      </c>
      <c r="K6229" s="1" t="str">
        <f t="shared" si="400"/>
        <v>ㄏ</v>
      </c>
      <c r="L6229" s="1" t="str">
        <f t="shared" si="401"/>
        <v>ㄢ</v>
      </c>
      <c r="M6229" s="1" t="str">
        <f t="shared" si="399"/>
        <v/>
      </c>
      <c r="P6229" s="1" t="s">
        <v>20</v>
      </c>
      <c r="R6229" s="1" t="s">
        <v>11787</v>
      </c>
      <c r="V6229" s="1" t="s">
        <v>11799</v>
      </c>
      <c r="AR6229" s="1" t="str">
        <f t="shared" si="402"/>
        <v>| [ㄏㄢ](ㄏㄢ.md) | [鼾](鼾.md) |  | hān | [名]
熟睡時所發出的鼻息聲。《廣韻．平聲．寒韻》：「鼾，臥氣激聲。」如：「打鼾」、「鼻鼾如雷」。
[動]
睡覺時，發出打呼聲。明．侯方域〈郭老僕墓誌銘〉：「司徒公怒而罵，老僕則倚壁而鼾。」 |</v>
      </c>
    </row>
    <row r="6230" spans="1:44" hidden="1">
      <c r="A6230" s="1" t="s">
        <v>11800</v>
      </c>
      <c r="C6230" s="1">
        <v>1</v>
      </c>
      <c r="D6230" s="1" t="str">
        <f>"04847"</f>
        <v>04847</v>
      </c>
      <c r="E6230" s="1" t="s">
        <v>250</v>
      </c>
      <c r="F6230" s="1">
        <v>16</v>
      </c>
      <c r="G6230" s="1">
        <v>12</v>
      </c>
      <c r="H6230" s="1">
        <v>0</v>
      </c>
      <c r="I6230" s="1" t="s">
        <v>11786</v>
      </c>
      <c r="K6230" s="1" t="str">
        <f t="shared" si="400"/>
        <v>ㄏ</v>
      </c>
      <c r="L6230" s="1" t="str">
        <f t="shared" si="401"/>
        <v>ㄢ</v>
      </c>
      <c r="M6230" s="1" t="str">
        <f t="shared" si="399"/>
        <v/>
      </c>
      <c r="P6230" s="1" t="s">
        <v>20</v>
      </c>
      <c r="R6230" s="1" t="s">
        <v>11787</v>
      </c>
      <c r="V6230" s="1" t="s">
        <v>11801</v>
      </c>
      <c r="AR6230" s="1" t="str">
        <f t="shared" si="402"/>
        <v>| [ㄏㄢ](ㄏㄢ.md) | [憨](憨.md) |  | hān | [副]
愚笨、痴傻。如：「憨痴」、「憨笑」。
[形]
天真、樸實。如：「憨直」、「憨厚」、「憨態」、「憨狀可掬」。 |</v>
      </c>
    </row>
    <row r="6231" spans="1:44" hidden="1">
      <c r="A6231" s="1" t="s">
        <v>9943</v>
      </c>
      <c r="C6231" s="1">
        <v>1</v>
      </c>
      <c r="D6231" s="1" t="str">
        <f>"04895"</f>
        <v>04895</v>
      </c>
      <c r="E6231" s="1" t="s">
        <v>28</v>
      </c>
      <c r="F6231" s="1">
        <v>9</v>
      </c>
      <c r="G6231" s="1">
        <v>6</v>
      </c>
      <c r="H6231" s="1">
        <v>2</v>
      </c>
      <c r="I6231" s="1" t="s">
        <v>11900</v>
      </c>
      <c r="K6231" s="1" t="str">
        <f t="shared" si="400"/>
        <v>ㄏ</v>
      </c>
      <c r="L6231" s="1" t="str">
        <f t="shared" si="401"/>
        <v>ㄣ</v>
      </c>
      <c r="M6231" s="1" t="str">
        <f t="shared" si="399"/>
        <v/>
      </c>
      <c r="P6231" s="1" t="s">
        <v>20</v>
      </c>
      <c r="R6231" s="1" t="s">
        <v>11901</v>
      </c>
      <c r="V6231" s="1" t="s">
        <v>11902</v>
      </c>
      <c r="W6231" s="1" t="s">
        <v>11903</v>
      </c>
      <c r="AR6231" s="1" t="str">
        <f t="shared" si="402"/>
        <v>| [ㄏㄣ](ㄏㄣ.md) | [哏](哏.md) |  | hēn | [形]
狠、凶惡。《西遊記》第一五回：「哏哏的么喝，正難息怒，只聽得空中有人言語。」
[副]
非常的。通「很」。《通俗編．語辭引元典章》：「有哏不便當語。按：哏字未見于諸字書，……度其義，當猶云甚耳。」 |</v>
      </c>
    </row>
    <row r="6232" spans="1:44" hidden="1">
      <c r="A6232" s="1" t="s">
        <v>11923</v>
      </c>
      <c r="C6232" s="1">
        <v>1</v>
      </c>
      <c r="D6232" s="1" t="str">
        <f>"04902"</f>
        <v>04902</v>
      </c>
      <c r="E6232" s="1" t="s">
        <v>563</v>
      </c>
      <c r="F6232" s="1">
        <v>5</v>
      </c>
      <c r="G6232" s="1">
        <v>2</v>
      </c>
      <c r="H6232" s="1">
        <v>0</v>
      </c>
      <c r="I6232" s="1" t="s">
        <v>11924</v>
      </c>
      <c r="K6232" s="1" t="str">
        <f t="shared" si="400"/>
        <v>ㄏ</v>
      </c>
      <c r="L6232" s="1" t="str">
        <f t="shared" si="401"/>
        <v>ㄤ</v>
      </c>
      <c r="M6232" s="1" t="str">
        <f t="shared" si="399"/>
        <v/>
      </c>
      <c r="P6232" s="1" t="s">
        <v>20</v>
      </c>
      <c r="R6232" s="1" t="s">
        <v>11925</v>
      </c>
      <c r="V6232" s="1" t="s">
        <v>11926</v>
      </c>
      <c r="AR6232" s="1" t="str">
        <f t="shared" si="402"/>
        <v>| [ㄏㄤ](ㄏㄤ.md) | [夯](夯.md) |  | hāng | [名]
用來敲打地基，使其結實的工具。如：「木夯」、「石夯」、「鐵夯」。
[動]
1.脹滿、鼓脹。元．石君寶《秋胡戲妻》第四折：「怎敢來俺莊上，不由的忿氣夯胸膛。」元．關漢卿《調風月》第二折：「氣夯破肚別人行怎又不敢提？獨自向銀蟾底。」
2.北方方言。指用力以肩扛物。如：「夯行李」。明．凈善重集．禪林寶訓一：「自家閨閣中物不肯放下，返累及他人擔夯，無乃大勞乎！」
3.用夯砸地。如：「夯實」、「夯地」。 |</v>
      </c>
    </row>
    <row r="6233" spans="1:44" hidden="1">
      <c r="A6233" s="1" t="s">
        <v>1974</v>
      </c>
      <c r="C6233" s="1">
        <v>1</v>
      </c>
      <c r="D6233" s="1" t="str">
        <f>"04916"</f>
        <v>04916</v>
      </c>
      <c r="E6233" s="1" t="s">
        <v>367</v>
      </c>
      <c r="F6233" s="1">
        <v>7</v>
      </c>
      <c r="G6233" s="1">
        <v>5</v>
      </c>
      <c r="H6233" s="1">
        <v>1</v>
      </c>
      <c r="I6233" s="1" t="s">
        <v>11960</v>
      </c>
      <c r="K6233" s="1" t="str">
        <f t="shared" si="400"/>
        <v>ㄏ</v>
      </c>
      <c r="L6233" s="1" t="str">
        <f t="shared" si="401"/>
        <v>ㄥ</v>
      </c>
      <c r="M6233" s="1" t="str">
        <f t="shared" si="399"/>
        <v/>
      </c>
      <c r="P6233" s="1" t="s">
        <v>20</v>
      </c>
      <c r="R6233" s="1" t="s">
        <v>11961</v>
      </c>
      <c r="V6233" s="1" t="s">
        <v>11962</v>
      </c>
      <c r="W6233" s="1" t="s">
        <v>11963</v>
      </c>
      <c r="AR6233" s="1" t="str">
        <f t="shared" si="402"/>
        <v>| [ㄏㄥ](ㄏㄥ.md) | [亨](亨.md) |  | hēng | [形]
通達、順利。如：「萬事亨通」。《易經．坤卦．彖曰》：「含弘光大，品物咸亨。」 |</v>
      </c>
    </row>
    <row r="6234" spans="1:44" hidden="1">
      <c r="A6234" s="1" t="s">
        <v>11964</v>
      </c>
      <c r="C6234" s="1">
        <v>1</v>
      </c>
      <c r="D6234" s="1" t="str">
        <f>"04917"</f>
        <v>04917</v>
      </c>
      <c r="E6234" s="1" t="s">
        <v>28</v>
      </c>
      <c r="F6234" s="1">
        <v>10</v>
      </c>
      <c r="G6234" s="1">
        <v>7</v>
      </c>
      <c r="H6234" s="1">
        <v>0</v>
      </c>
      <c r="I6234" s="1" t="s">
        <v>11960</v>
      </c>
      <c r="K6234" s="1" t="str">
        <f t="shared" si="400"/>
        <v>ㄏ</v>
      </c>
      <c r="L6234" s="1" t="str">
        <f t="shared" si="401"/>
        <v>ㄥ</v>
      </c>
      <c r="M6234" s="1" t="str">
        <f t="shared" si="399"/>
        <v/>
      </c>
      <c r="P6234" s="1" t="s">
        <v>20</v>
      </c>
      <c r="R6234" s="1" t="s">
        <v>11961</v>
      </c>
      <c r="V6234" s="1" t="s">
        <v>11965</v>
      </c>
      <c r="AR6234" s="1" t="str">
        <f t="shared" si="402"/>
        <v>| [ㄏㄥ](ㄏㄥ.md) | [哼](哼.md) |  | hēng | [動]
低聲吟詠、歌唱。如：「哼哼唱唱」、「她哼著一首催眠曲」。
[擬]
痛苦呻吟所發出的聲音。《兒女英雄傳》第三回：「公子又問：『你怎麼了？』華忠說：『不怎麼著，想是喝多了有些水瀉。』……哼啊哼的，哼成一處。」
[歎]
表示不滿、輕視或憤怒的語氣。如：「哼！有什麼稀罕？」 |</v>
      </c>
    </row>
    <row r="6235" spans="1:44" hidden="1">
      <c r="A6235" s="1" t="s">
        <v>11966</v>
      </c>
      <c r="C6235" s="1">
        <v>1</v>
      </c>
      <c r="D6235" s="1" t="str">
        <f>"04918"</f>
        <v>04918</v>
      </c>
      <c r="E6235" s="1" t="s">
        <v>68</v>
      </c>
      <c r="F6235" s="1">
        <v>11</v>
      </c>
      <c r="G6235" s="1">
        <v>7</v>
      </c>
      <c r="H6235" s="1">
        <v>0</v>
      </c>
      <c r="I6235" s="1" t="s">
        <v>11960</v>
      </c>
      <c r="K6235" s="1" t="str">
        <f t="shared" si="400"/>
        <v>ㄏ</v>
      </c>
      <c r="L6235" s="1" t="str">
        <f t="shared" si="401"/>
        <v>ㄥ</v>
      </c>
      <c r="M6235" s="1" t="str">
        <f t="shared" si="399"/>
        <v/>
      </c>
      <c r="P6235" s="1" t="s">
        <v>20</v>
      </c>
      <c r="R6235" s="1" t="s">
        <v>11961</v>
      </c>
      <c r="V6235" s="1" t="s">
        <v>11967</v>
      </c>
      <c r="AR6235" s="1" t="str">
        <f t="shared" si="402"/>
        <v>| [ㄏㄥ](ㄏㄥ.md) | [脝](脝.md) |  | hēng | 參見「膨脝」條。 |</v>
      </c>
    </row>
    <row r="6236" spans="1:44" hidden="1">
      <c r="A6236" s="1" t="s">
        <v>11994</v>
      </c>
      <c r="C6236" s="1">
        <v>1</v>
      </c>
      <c r="D6236" s="1" t="str">
        <f>"04929"</f>
        <v>04929</v>
      </c>
      <c r="E6236" s="1" t="s">
        <v>1663</v>
      </c>
      <c r="F6236" s="1">
        <v>5</v>
      </c>
      <c r="G6236" s="1">
        <v>4</v>
      </c>
      <c r="H6236" s="1">
        <v>1</v>
      </c>
      <c r="I6236" s="1" t="s">
        <v>11995</v>
      </c>
      <c r="K6236" s="1" t="str">
        <f t="shared" si="400"/>
        <v>ㄏ</v>
      </c>
      <c r="L6236" s="1" t="str">
        <f t="shared" si="401"/>
        <v>ㄨ</v>
      </c>
      <c r="M6236" s="1" t="str">
        <f t="shared" si="399"/>
        <v/>
      </c>
      <c r="P6236" s="1" t="s">
        <v>20</v>
      </c>
      <c r="R6236" s="1" t="s">
        <v>11996</v>
      </c>
      <c r="V6236" s="1" t="s">
        <v>11997</v>
      </c>
      <c r="W6236" s="1" t="s">
        <v>11998</v>
      </c>
      <c r="AR6236" s="1" t="str">
        <f t="shared" si="402"/>
        <v>| [ㄏㄨ](ㄏㄨ.md) | [乎](乎.md) |  | hū | [介]
相當於「於」。如：「合乎規定」、「出乎意料」。《戰國策．燕策二》：「擢之乎賓客之中，而立之乎群臣之上。」唐．韓愈〈師說〉：「生乎吾前，其聞道也，固先乎吾，吾從而師之。」
[助]
1.用於句尾，表示疑問的語氣。相當於「嗎」、「呢」。《論語．學而》：「為人謀而不忠乎？與朋友交而不信乎？傳不習乎？」清．薛福成〈觀巴黎油畫院記〉：「盍馳往油畫院一觀普、法交戰圖乎？」
2.用於句尾，表示反詰的語氣。《論語．學而》：「學而時習之，不亦說乎？」唐．韓愈〈祭十二郎文〉：「如吾之衰者，其能久存乎？」
3.用於句尾，表示召喚的語氣。《論語．里仁》：「參乎！吾道一以貫之。」
4.用於句尾，表示推測的語氣。《左傳．僖公二十一年》：「宋其亡乎？幸而後敗。」
5.用於句中，表示停頓。《文選．陸機．文賦》：「同橐籥之罔窮，與天地乎並育。」宋．周敦頤〈愛蓮說〉：「牡丹之愛，宜乎眾矣！」
6.用於形容詞後，表示讚美的語氣。《論語．八佾》：「郁郁乎文哉！」《孟子．滕文公上》：「巍巍乎有天下而不與焉！」
[歎]
表示感歎的語氣，相當於「啊」。《論語．子罕》：「惜乎！吾見其進也，未見其止也。」清．袁枚〈祭妹文〉：「天乎！天乎！而竟已乎！」 |</v>
      </c>
    </row>
    <row r="6237" spans="1:44" hidden="1">
      <c r="A6237" s="1" t="s">
        <v>11999</v>
      </c>
      <c r="C6237" s="1">
        <v>1</v>
      </c>
      <c r="D6237" s="1" t="str">
        <f>"04930"</f>
        <v>04930</v>
      </c>
      <c r="E6237" s="1" t="s">
        <v>28</v>
      </c>
      <c r="F6237" s="1">
        <v>8</v>
      </c>
      <c r="G6237" s="1">
        <v>5</v>
      </c>
      <c r="H6237" s="1">
        <v>0</v>
      </c>
      <c r="I6237" s="1" t="s">
        <v>11995</v>
      </c>
      <c r="K6237" s="1" t="str">
        <f t="shared" si="400"/>
        <v>ㄏ</v>
      </c>
      <c r="L6237" s="1" t="str">
        <f t="shared" si="401"/>
        <v>ㄨ</v>
      </c>
      <c r="M6237" s="1" t="str">
        <f t="shared" si="399"/>
        <v/>
      </c>
      <c r="P6237" s="1" t="s">
        <v>20</v>
      </c>
      <c r="R6237" s="1" t="s">
        <v>11996</v>
      </c>
      <c r="V6237" s="1" t="s">
        <v>12000</v>
      </c>
      <c r="AR6237" s="1" t="str">
        <f t="shared" si="402"/>
        <v>| [ㄏㄨ](ㄏㄨ.md) | [呼](呼.md) |  | hū | [動]
1.吐氣。與「吸」相對。如：「呼氣」。《莊子．刻意》：「吹呴呼吸，吐故納新，熊經鳥申，為壽而已矣。」唐．柳宗元〈捕蛇者說〉：「觸風雨，犯寒暑，呼噓毒癘，往往而死者相籍也。」
2.大聲吶喊。《詩經．大雅．蕩》：「式號式呼，俾晝作夜。」《文選．李陵．答蘇武書》：「振臂一呼，創病皆起。」
3.招、喚。如：「呼朋引伴」、「呼風喚雨」。《史記．卷四十八．陳涉世家》：「陳王出，遮道而呼涉。」唐．顏仁郁〈農家〉詩：「夜半呼兒趁曉耕，羸牛無力漸艱行。」
4.稱、謂。唐．白居易．寄明州于駙馬使君三絕句之三：「何郎小妓歌喉好，嚴老呼為一串珠。」《浮生六記．卷一．閨房記樂》：「自幼姊弟相呼，故仍呼之曰淑姊。」
[歎]
表感嘆的語氣。《論語．八佾》：「嗚呼！曾謂泰山不如林放乎！」
[擬]
形容風吹動的聲音。如：「北風呼呼的吹。」
[名]
姓。如漢代有呼子先。 |</v>
      </c>
    </row>
    <row r="6238" spans="1:44" hidden="1">
      <c r="A6238" s="1" t="s">
        <v>12001</v>
      </c>
      <c r="C6238" s="1">
        <v>1</v>
      </c>
      <c r="D6238" s="1" t="str">
        <f>"04931"</f>
        <v>04931</v>
      </c>
      <c r="E6238" s="1" t="s">
        <v>660</v>
      </c>
      <c r="F6238" s="1">
        <v>11</v>
      </c>
      <c r="G6238" s="1">
        <v>5</v>
      </c>
      <c r="H6238" s="1">
        <v>1</v>
      </c>
      <c r="I6238" s="1" t="s">
        <v>11995</v>
      </c>
      <c r="K6238" s="1" t="str">
        <f t="shared" si="400"/>
        <v>ㄏ</v>
      </c>
      <c r="L6238" s="1" t="str">
        <f t="shared" si="401"/>
        <v>ㄨ</v>
      </c>
      <c r="M6238" s="1" t="str">
        <f t="shared" si="399"/>
        <v/>
      </c>
      <c r="P6238" s="1" t="s">
        <v>20</v>
      </c>
      <c r="R6238" s="1" t="s">
        <v>11996</v>
      </c>
      <c r="V6238" s="1" t="s">
        <v>12002</v>
      </c>
      <c r="W6238" s="1" t="s">
        <v>12003</v>
      </c>
      <c r="AR6238" s="1" t="str">
        <f t="shared" si="402"/>
        <v>| [ㄏㄨ](ㄏㄨ.md) | [虖](虖.md) |  | hū | [歎]
表感嘆的語氣。同「呼」。《漢書．卷六．武帝紀》：「嗚虖！何施而臻此與！」 |</v>
      </c>
    </row>
    <row r="6239" spans="1:44" hidden="1">
      <c r="A6239" s="1" t="s">
        <v>12004</v>
      </c>
      <c r="C6239" s="1">
        <v>1</v>
      </c>
      <c r="D6239" s="1" t="str">
        <f>"04932"</f>
        <v>04932</v>
      </c>
      <c r="E6239" s="1" t="s">
        <v>129</v>
      </c>
      <c r="F6239" s="1">
        <v>14</v>
      </c>
      <c r="G6239" s="1">
        <v>11</v>
      </c>
      <c r="H6239" s="1">
        <v>0</v>
      </c>
      <c r="I6239" s="1" t="s">
        <v>11995</v>
      </c>
      <c r="K6239" s="1" t="str">
        <f t="shared" si="400"/>
        <v>ㄏ</v>
      </c>
      <c r="L6239" s="1" t="str">
        <f t="shared" si="401"/>
        <v>ㄨ</v>
      </c>
      <c r="M6239" s="1" t="str">
        <f t="shared" si="399"/>
        <v/>
      </c>
      <c r="P6239" s="1" t="s">
        <v>20</v>
      </c>
      <c r="R6239" s="1" t="s">
        <v>11996</v>
      </c>
      <c r="V6239" s="1" t="s">
        <v>12005</v>
      </c>
      <c r="AR6239" s="1" t="str">
        <f t="shared" si="402"/>
        <v>| [ㄏㄨ](ㄏㄨ.md) | [滹](滹.md) |  | hū | 參見「滹沱河」條。 |</v>
      </c>
    </row>
    <row r="6240" spans="1:44" hidden="1">
      <c r="A6240" s="1" t="s">
        <v>12006</v>
      </c>
      <c r="C6240" s="1">
        <v>1</v>
      </c>
      <c r="D6240" s="1" t="str">
        <f>"04933"</f>
        <v>04933</v>
      </c>
      <c r="E6240" s="1" t="s">
        <v>28</v>
      </c>
      <c r="F6240" s="1">
        <v>14</v>
      </c>
      <c r="G6240" s="1">
        <v>11</v>
      </c>
      <c r="H6240" s="1">
        <v>1</v>
      </c>
      <c r="I6240" s="1" t="s">
        <v>11995</v>
      </c>
      <c r="K6240" s="1" t="str">
        <f t="shared" si="400"/>
        <v>ㄏ</v>
      </c>
      <c r="L6240" s="1" t="str">
        <f t="shared" si="401"/>
        <v>ㄨ</v>
      </c>
      <c r="M6240" s="1" t="str">
        <f t="shared" si="399"/>
        <v/>
      </c>
      <c r="P6240" s="1" t="s">
        <v>20</v>
      </c>
      <c r="R6240" s="1" t="s">
        <v>11996</v>
      </c>
      <c r="V6240" s="1" t="s">
        <v>12007</v>
      </c>
      <c r="W6240" s="1" t="s">
        <v>12008</v>
      </c>
      <c r="AR6240" s="1" t="str">
        <f t="shared" si="402"/>
        <v>| [ㄏㄨ](ㄏㄨ.md) | [嘑](嘑.md) |  | hū | [動]
大聲叫喚。同「呼」。《新唐書．卷二〇九．酷吏傳．姚紹之傳》：「囚嘑曰：『宰相有附三思者。』」 |</v>
      </c>
    </row>
    <row r="6241" spans="1:44" hidden="1">
      <c r="A6241" s="1" t="s">
        <v>12009</v>
      </c>
      <c r="C6241" s="1">
        <v>1</v>
      </c>
      <c r="D6241" s="1" t="str">
        <f>"04934"</f>
        <v>04934</v>
      </c>
      <c r="E6241" s="1" t="s">
        <v>1908</v>
      </c>
      <c r="F6241" s="1">
        <v>15</v>
      </c>
      <c r="G6241" s="1">
        <v>11</v>
      </c>
      <c r="H6241" s="1">
        <v>0</v>
      </c>
      <c r="I6241" s="1" t="s">
        <v>11995</v>
      </c>
      <c r="K6241" s="1" t="str">
        <f t="shared" si="400"/>
        <v>ㄏ</v>
      </c>
      <c r="L6241" s="1" t="str">
        <f t="shared" si="401"/>
        <v>ㄨ</v>
      </c>
      <c r="M6241" s="1" t="str">
        <f t="shared" si="399"/>
        <v/>
      </c>
      <c r="P6241" s="1" t="s">
        <v>20</v>
      </c>
      <c r="R6241" s="1" t="s">
        <v>11996</v>
      </c>
      <c r="V6241" s="1" t="s">
        <v>12010</v>
      </c>
      <c r="AR6241" s="1" t="str">
        <f t="shared" si="402"/>
        <v>| [ㄏㄨ](ㄏㄨ.md) | [歑](歑.md) |  | hū | [動]
吐氣。通「呼」。《玉篇．欠部》：「歑，出氣息也。」 |</v>
      </c>
    </row>
    <row r="6242" spans="1:44" hidden="1">
      <c r="A6242" s="1" t="s">
        <v>12011</v>
      </c>
      <c r="C6242" s="1">
        <v>1</v>
      </c>
      <c r="D6242" s="1" t="str">
        <f>"04935"</f>
        <v>04935</v>
      </c>
      <c r="E6242" s="1" t="s">
        <v>331</v>
      </c>
      <c r="F6242" s="1">
        <v>18</v>
      </c>
      <c r="G6242" s="1">
        <v>11</v>
      </c>
      <c r="H6242" s="1">
        <v>0</v>
      </c>
      <c r="I6242" s="1" t="s">
        <v>11995</v>
      </c>
      <c r="K6242" s="1" t="str">
        <f t="shared" si="400"/>
        <v>ㄏ</v>
      </c>
      <c r="L6242" s="1" t="str">
        <f t="shared" si="401"/>
        <v>ㄨ</v>
      </c>
      <c r="M6242" s="1" t="str">
        <f t="shared" si="399"/>
        <v/>
      </c>
      <c r="P6242" s="1" t="s">
        <v>20</v>
      </c>
      <c r="R6242" s="1" t="s">
        <v>11996</v>
      </c>
      <c r="V6242" s="1" t="s">
        <v>12012</v>
      </c>
      <c r="AR6242" s="1" t="str">
        <f t="shared" si="402"/>
        <v>| [ㄏㄨ](ㄏㄨ.md) | [謼](謼.md) |  | hū | [動]
大聲呼叫。《玉篇．言部》：「謼，大叫也。」《漢書．卷五一．賈山傳》：「一夫大謼，天下嚮應者，陳勝是也。」唐．顏師古．注：「謼字與呼同。謼，叫也。」 |</v>
      </c>
    </row>
    <row r="6243" spans="1:44" hidden="1">
      <c r="A6243" s="1" t="s">
        <v>12013</v>
      </c>
      <c r="C6243" s="1">
        <v>1</v>
      </c>
      <c r="D6243" s="1" t="str">
        <f>"04936"</f>
        <v>04936</v>
      </c>
      <c r="E6243" s="1" t="s">
        <v>660</v>
      </c>
      <c r="F6243" s="1">
        <v>6</v>
      </c>
      <c r="G6243" s="1">
        <v>0</v>
      </c>
      <c r="H6243" s="1">
        <v>0</v>
      </c>
      <c r="I6243" s="1" t="s">
        <v>11995</v>
      </c>
      <c r="K6243" s="1" t="str">
        <f t="shared" si="400"/>
        <v>ㄏ</v>
      </c>
      <c r="L6243" s="1" t="str">
        <f t="shared" si="401"/>
        <v>ㄨ</v>
      </c>
      <c r="M6243" s="1" t="str">
        <f t="shared" si="399"/>
        <v/>
      </c>
      <c r="P6243" s="1" t="s">
        <v>20</v>
      </c>
      <c r="R6243" s="1" t="s">
        <v>11996</v>
      </c>
      <c r="V6243" s="1" t="s">
        <v>12014</v>
      </c>
      <c r="AR6243" s="1" t="str">
        <f t="shared" si="402"/>
        <v>| [ㄏㄨ](ㄏㄨ.md) | [虍](虍.md) |  | hū | [名]
1.老虎身上的花紋。《說文解字．虍部》：「虍，虎文也。」
2.二一四部首之一。 |</v>
      </c>
    </row>
    <row r="6244" spans="1:44" hidden="1">
      <c r="A6244" s="1" t="s">
        <v>12015</v>
      </c>
      <c r="C6244" s="1">
        <v>1</v>
      </c>
      <c r="D6244" s="1" t="str">
        <f>"04937"</f>
        <v>04937</v>
      </c>
      <c r="E6244" s="1" t="s">
        <v>660</v>
      </c>
      <c r="F6244" s="1">
        <v>8</v>
      </c>
      <c r="G6244" s="1">
        <v>2</v>
      </c>
      <c r="H6244" s="1">
        <v>2</v>
      </c>
      <c r="I6244" s="1" t="s">
        <v>11995</v>
      </c>
      <c r="K6244" s="1" t="str">
        <f t="shared" si="400"/>
        <v>ㄏ</v>
      </c>
      <c r="L6244" s="1" t="str">
        <f t="shared" si="401"/>
        <v>ㄨ</v>
      </c>
      <c r="M6244" s="1" t="str">
        <f t="shared" si="399"/>
        <v/>
      </c>
      <c r="P6244" s="1" t="s">
        <v>20</v>
      </c>
      <c r="R6244" s="1" t="s">
        <v>11996</v>
      </c>
      <c r="V6244" s="1" t="s">
        <v>12016</v>
      </c>
      <c r="W6244" s="1" t="s">
        <v>12017</v>
      </c>
      <c r="AR6244" s="1" t="str">
        <f t="shared" si="402"/>
        <v>| [ㄏㄨ](ㄏㄨ.md) | [虎](虎.md) |  | hū | 參見「馬馬虎虎」條。 |</v>
      </c>
    </row>
    <row r="6245" spans="1:44" hidden="1">
      <c r="A6245" s="1" t="s">
        <v>12018</v>
      </c>
      <c r="C6245" s="1">
        <v>1</v>
      </c>
      <c r="D6245" s="1" t="str">
        <f>"04938"</f>
        <v>04938</v>
      </c>
      <c r="E6245" s="1" t="s">
        <v>37</v>
      </c>
      <c r="F6245" s="1">
        <v>8</v>
      </c>
      <c r="G6245" s="1">
        <v>4</v>
      </c>
      <c r="H6245" s="1">
        <v>2</v>
      </c>
      <c r="I6245" s="1" t="s">
        <v>11995</v>
      </c>
      <c r="K6245" s="1" t="str">
        <f t="shared" si="400"/>
        <v>ㄏ</v>
      </c>
      <c r="L6245" s="1" t="str">
        <f t="shared" si="401"/>
        <v>ㄨ</v>
      </c>
      <c r="M6245" s="1" t="str">
        <f t="shared" si="399"/>
        <v/>
      </c>
      <c r="P6245" s="1" t="s">
        <v>20</v>
      </c>
      <c r="R6245" s="1" t="s">
        <v>11996</v>
      </c>
      <c r="V6245" s="1" t="s">
        <v>12019</v>
      </c>
      <c r="W6245" s="1" t="s">
        <v>12020</v>
      </c>
      <c r="AR6245" s="1" t="str">
        <f t="shared" si="402"/>
        <v>| [ㄏㄨ](ㄏㄨ.md) | [芴](芴.md) |  | hū | [形]
恍惚。《莊子．至樂》：「芒乎芴乎，而無有象乎？」唐．成玄英．疏：「恍惚芒昧，參差難測。」
[副]
忽然。通「忽」。《荀子．正名》：「故愚者之言，芴然而粗。」唐．楊倞．注：「芴與忽同。忽然，無根本貌。」 |</v>
      </c>
    </row>
    <row r="6246" spans="1:44" hidden="1">
      <c r="A6246" s="1" t="s">
        <v>12021</v>
      </c>
      <c r="C6246" s="1">
        <v>1</v>
      </c>
      <c r="D6246" s="1" t="str">
        <f>"04939"</f>
        <v>04939</v>
      </c>
      <c r="E6246" s="1" t="s">
        <v>646</v>
      </c>
      <c r="F6246" s="1">
        <v>8</v>
      </c>
      <c r="G6246" s="1">
        <v>4</v>
      </c>
      <c r="H6246" s="1">
        <v>0</v>
      </c>
      <c r="I6246" s="1" t="s">
        <v>11995</v>
      </c>
      <c r="K6246" s="1" t="str">
        <f t="shared" si="400"/>
        <v>ㄏ</v>
      </c>
      <c r="L6246" s="1" t="str">
        <f t="shared" si="401"/>
        <v>ㄨ</v>
      </c>
      <c r="M6246" s="1" t="str">
        <f t="shared" si="399"/>
        <v/>
      </c>
      <c r="P6246" s="1" t="s">
        <v>20</v>
      </c>
      <c r="R6246" s="1" t="s">
        <v>11996</v>
      </c>
      <c r="V6246" s="1" t="s">
        <v>12022</v>
      </c>
      <c r="AR6246" s="1" t="str">
        <f t="shared" si="402"/>
        <v>| [ㄏㄨ](ㄏㄨ.md) | [昒](昒.md) |  | hū | [形]
天色將明而未明。《玉篇．日部》：「昒，旦明也。」《集韻．入聲．勿韻》：「昒，未明也。」 |</v>
      </c>
    </row>
    <row r="6247" spans="1:44" hidden="1">
      <c r="A6247" s="1" t="s">
        <v>12023</v>
      </c>
      <c r="C6247" s="1">
        <v>1</v>
      </c>
      <c r="D6247" s="1" t="str">
        <f>"04940"</f>
        <v>04940</v>
      </c>
      <c r="E6247" s="1" t="s">
        <v>250</v>
      </c>
      <c r="F6247" s="1">
        <v>8</v>
      </c>
      <c r="G6247" s="1">
        <v>4</v>
      </c>
      <c r="H6247" s="1">
        <v>0</v>
      </c>
      <c r="I6247" s="1" t="s">
        <v>11995</v>
      </c>
      <c r="K6247" s="1" t="str">
        <f t="shared" si="400"/>
        <v>ㄏ</v>
      </c>
      <c r="L6247" s="1" t="str">
        <f t="shared" si="401"/>
        <v>ㄨ</v>
      </c>
      <c r="M6247" s="1" t="str">
        <f t="shared" si="399"/>
        <v/>
      </c>
      <c r="P6247" s="1" t="s">
        <v>20</v>
      </c>
      <c r="R6247" s="1" t="s">
        <v>11996</v>
      </c>
      <c r="V6247" s="1" t="s">
        <v>12024</v>
      </c>
      <c r="AR6247" s="1" t="str">
        <f t="shared" si="402"/>
        <v>| [ㄏㄨ](ㄏㄨ.md) | [忽](忽.md) |  | hū | [動]
1.不留心、不注意。如：「忽略」、「疏忽」。唐．魏徵〈論時政疏〉：「載舟覆舟，所宜深慎！奔車朽索，其可忽乎？」明．方孝孺〈深慮論〉：「然而禍常發於所忽之中，而亂常起於不足疑之事。」
2.輕視、瞧不起。漢．曹操〈表劉琮令〉：「蔑萬里之業，忽三軍之眾。」唐．李白〈與韓荊州書〉：「願君侯不以富貴而驕之，寒賤而忽之。」
[副]
突然。如：「忽喜忽憂」、「忽冷忽熱」。唐．杜甫〈贈衛八處士〉詩：「昔別君未婚，兒女忽成行。」唐．白居易〈琵琶行〉：「忽聞水上琵琶聲，主人忘歸客不發。」
[形]
快速的、一瞬間。如：「倏忽」。《左傳．莊公十一年》：「桀紂罪人，其亡也忽焉。」
[名]
姓。如明代有忽仲、忽明。 |</v>
      </c>
    </row>
    <row r="6248" spans="1:44" hidden="1">
      <c r="A6248" s="1" t="s">
        <v>12025</v>
      </c>
      <c r="C6248" s="1">
        <v>1</v>
      </c>
      <c r="D6248" s="1" t="str">
        <f>"04941"</f>
        <v>04941</v>
      </c>
      <c r="E6248" s="1" t="s">
        <v>6488</v>
      </c>
      <c r="F6248" s="1">
        <v>8</v>
      </c>
      <c r="G6248" s="1">
        <v>4</v>
      </c>
      <c r="H6248" s="1">
        <v>0</v>
      </c>
      <c r="I6248" s="1" t="s">
        <v>11995</v>
      </c>
      <c r="K6248" s="1" t="str">
        <f t="shared" si="400"/>
        <v>ㄏ</v>
      </c>
      <c r="L6248" s="1" t="str">
        <f t="shared" si="401"/>
        <v>ㄨ</v>
      </c>
      <c r="M6248" s="1" t="str">
        <f t="shared" si="399"/>
        <v/>
      </c>
      <c r="P6248" s="1" t="s">
        <v>20</v>
      </c>
      <c r="R6248" s="1" t="s">
        <v>11996</v>
      </c>
      <c r="V6248" s="1" t="s">
        <v>12026</v>
      </c>
      <c r="AR6248" s="1" t="str">
        <f t="shared" si="402"/>
        <v>| [ㄏㄨ](ㄏㄨ.md) | [曶](曶.md) |  | hū | [名]
極微小的數。《續漢書志．第二．律曆志中》：「夫數出於杪曶，以成毫氂，毫氂積累，以成分寸。」
[形]
疾速的、快速的。《文選．揚雄．羽獵賦》：「昭光振燿，蠁曶如神。」《文選．傅毅．舞賦》：「蜲蛇姌嫋，雲轉飄曶。」
[動]
輕忽、忽略。通「忽」。《漢書．卷八七．揚雄傳下．贊曰》：「用心於內，不求於外，於時人皆曶之。」 |</v>
      </c>
    </row>
    <row r="6249" spans="1:44" hidden="1">
      <c r="A6249" s="1" t="s">
        <v>12027</v>
      </c>
      <c r="C6249" s="1">
        <v>1</v>
      </c>
      <c r="D6249" s="1" t="str">
        <f>"04942"</f>
        <v>04942</v>
      </c>
      <c r="E6249" s="1" t="s">
        <v>129</v>
      </c>
      <c r="F6249" s="1">
        <v>11</v>
      </c>
      <c r="G6249" s="1">
        <v>8</v>
      </c>
      <c r="H6249" s="1">
        <v>0</v>
      </c>
      <c r="I6249" s="1" t="s">
        <v>11995</v>
      </c>
      <c r="K6249" s="1" t="str">
        <f t="shared" si="400"/>
        <v>ㄏ</v>
      </c>
      <c r="L6249" s="1" t="str">
        <f t="shared" si="401"/>
        <v>ㄨ</v>
      </c>
      <c r="M6249" s="1" t="str">
        <f t="shared" si="399"/>
        <v/>
      </c>
      <c r="P6249" s="1" t="s">
        <v>20</v>
      </c>
      <c r="R6249" s="1" t="s">
        <v>11996</v>
      </c>
      <c r="V6249" s="1" t="s">
        <v>12028</v>
      </c>
      <c r="AR6249" s="1" t="str">
        <f t="shared" si="402"/>
        <v>| [ㄏㄨ](ㄏㄨ.md) | [淴](淴.md) |  | hū | [形]
水流急速。《文選．郭璞．江賦》：「潏湟淴泱。」唐．李善．注：「皆水流漂疾之貌。」 |</v>
      </c>
    </row>
    <row r="6250" spans="1:44" hidden="1">
      <c r="A6250" s="1" t="s">
        <v>12029</v>
      </c>
      <c r="C6250" s="1">
        <v>1</v>
      </c>
      <c r="D6250" s="1" t="str">
        <f>"04943"</f>
        <v>04943</v>
      </c>
      <c r="E6250" s="1" t="s">
        <v>250</v>
      </c>
      <c r="F6250" s="1">
        <v>11</v>
      </c>
      <c r="G6250" s="1">
        <v>8</v>
      </c>
      <c r="H6250" s="1">
        <v>0</v>
      </c>
      <c r="I6250" s="1" t="s">
        <v>11995</v>
      </c>
      <c r="K6250" s="1" t="str">
        <f t="shared" si="400"/>
        <v>ㄏ</v>
      </c>
      <c r="L6250" s="1" t="str">
        <f t="shared" si="401"/>
        <v>ㄨ</v>
      </c>
      <c r="M6250" s="1" t="str">
        <f t="shared" si="399"/>
        <v/>
      </c>
      <c r="P6250" s="1" t="s">
        <v>20</v>
      </c>
      <c r="R6250" s="1" t="s">
        <v>11996</v>
      </c>
      <c r="V6250" s="1" t="s">
        <v>12030</v>
      </c>
      <c r="AR6250" s="1" t="str">
        <f t="shared" si="402"/>
        <v>| [ㄏㄨ](ㄏㄨ.md) | [惚](惚.md) |  | hū | 參見「恍惚」條。 |</v>
      </c>
    </row>
    <row r="6251" spans="1:44" hidden="1">
      <c r="A6251" s="1" t="s">
        <v>12031</v>
      </c>
      <c r="C6251" s="1">
        <v>1</v>
      </c>
      <c r="D6251" s="1" t="str">
        <f>"04944"</f>
        <v>04944</v>
      </c>
      <c r="E6251" s="1" t="s">
        <v>1908</v>
      </c>
      <c r="F6251" s="1">
        <v>12</v>
      </c>
      <c r="G6251" s="1">
        <v>8</v>
      </c>
      <c r="H6251" s="1">
        <v>1</v>
      </c>
      <c r="I6251" s="1" t="s">
        <v>11995</v>
      </c>
      <c r="K6251" s="1" t="str">
        <f t="shared" si="400"/>
        <v>ㄏ</v>
      </c>
      <c r="L6251" s="1" t="str">
        <f t="shared" si="401"/>
        <v>ㄨ</v>
      </c>
      <c r="M6251" s="1" t="str">
        <f t="shared" si="399"/>
        <v/>
      </c>
      <c r="P6251" s="1" t="s">
        <v>20</v>
      </c>
      <c r="R6251" s="1" t="s">
        <v>11996</v>
      </c>
      <c r="V6251" s="1" t="s">
        <v>12032</v>
      </c>
      <c r="W6251" s="1" t="s">
        <v>12033</v>
      </c>
      <c r="AR6251" s="1" t="str">
        <f t="shared" si="402"/>
        <v>| [ㄏㄨ](ㄏㄨ.md) | [欻](欻.md) |  | hū | [副]
忽然、突然。《文選．張衡．西京賦》：「神山崔巍，欻從背見。」《隋書．卷二二．五行志上》：「未至數里，野火欻起。」 |</v>
      </c>
    </row>
    <row r="6252" spans="1:44" hidden="1">
      <c r="A6252" s="1" t="s">
        <v>12034</v>
      </c>
      <c r="C6252" s="1">
        <v>1</v>
      </c>
      <c r="D6252" s="1" t="str">
        <f>"04945"</f>
        <v>04945</v>
      </c>
      <c r="E6252" s="1" t="s">
        <v>46</v>
      </c>
      <c r="F6252" s="1">
        <v>15</v>
      </c>
      <c r="G6252" s="1">
        <v>9</v>
      </c>
      <c r="H6252" s="1">
        <v>3</v>
      </c>
      <c r="I6252" s="1" t="s">
        <v>11995</v>
      </c>
      <c r="K6252" s="1" t="str">
        <f t="shared" si="400"/>
        <v>ㄏ</v>
      </c>
      <c r="L6252" s="1" t="str">
        <f t="shared" si="401"/>
        <v>ㄨ</v>
      </c>
      <c r="M6252" s="1" t="str">
        <f t="shared" si="399"/>
        <v/>
      </c>
      <c r="P6252" s="1" t="s">
        <v>20</v>
      </c>
      <c r="R6252" s="1" t="s">
        <v>11996</v>
      </c>
      <c r="V6252" s="1" t="s">
        <v>12035</v>
      </c>
      <c r="W6252" s="1" t="s">
        <v>12036</v>
      </c>
      <c r="AR6252" s="1" t="str">
        <f t="shared" si="402"/>
        <v>| [ㄏㄨ](ㄏㄨ.md) | [糊](糊.md) |  | hū | [動]
黏合封閉。如：「糊窟窿」、「拿一張紙把這條縫糊上。」 |</v>
      </c>
    </row>
    <row r="6253" spans="1:44" hidden="1">
      <c r="A6253" s="1" t="s">
        <v>12037</v>
      </c>
      <c r="C6253" s="1">
        <v>1</v>
      </c>
      <c r="D6253" s="1" t="str">
        <f>"04946"</f>
        <v>04946</v>
      </c>
      <c r="E6253" s="1" t="s">
        <v>222</v>
      </c>
      <c r="F6253" s="1">
        <v>15</v>
      </c>
      <c r="G6253" s="1">
        <v>12</v>
      </c>
      <c r="H6253" s="1">
        <v>0</v>
      </c>
      <c r="I6253" s="1" t="s">
        <v>11995</v>
      </c>
      <c r="K6253" s="1" t="str">
        <f t="shared" si="400"/>
        <v>ㄏ</v>
      </c>
      <c r="L6253" s="1" t="str">
        <f t="shared" si="401"/>
        <v>ㄨ</v>
      </c>
      <c r="M6253" s="1" t="str">
        <f t="shared" si="399"/>
        <v/>
      </c>
      <c r="P6253" s="1" t="s">
        <v>20</v>
      </c>
      <c r="R6253" s="1" t="s">
        <v>11996</v>
      </c>
      <c r="V6253" s="1" t="s">
        <v>12038</v>
      </c>
      <c r="AR6253" s="1" t="str">
        <f t="shared" si="402"/>
        <v>| [ㄏㄨ](ㄏㄨ.md) | [幠](幠.md) |  | hū | [動]
覆蓋。《儀禮．士喪禮》：「死于適室，幠用斂衾。」漢．鄭玄．注：「幠，覆也。」
[形]
傲慢。《禮記．投壺》：「毋幠，毋敖，毋偕立，毋踰言，若是者浮。」 |</v>
      </c>
    </row>
    <row r="6254" spans="1:44" hidden="1">
      <c r="A6254" s="1" t="s">
        <v>12039</v>
      </c>
      <c r="C6254" s="1">
        <v>1</v>
      </c>
      <c r="D6254" s="1" t="str">
        <f>"04947"</f>
        <v>04947</v>
      </c>
      <c r="E6254" s="1" t="s">
        <v>68</v>
      </c>
      <c r="F6254" s="1">
        <v>16</v>
      </c>
      <c r="G6254" s="1">
        <v>12</v>
      </c>
      <c r="H6254" s="1">
        <v>1</v>
      </c>
      <c r="I6254" s="1" t="s">
        <v>11995</v>
      </c>
      <c r="K6254" s="1" t="str">
        <f t="shared" si="400"/>
        <v>ㄏ</v>
      </c>
      <c r="L6254" s="1" t="str">
        <f t="shared" si="401"/>
        <v>ㄨ</v>
      </c>
      <c r="M6254" s="1" t="str">
        <f t="shared" si="399"/>
        <v/>
      </c>
      <c r="P6254" s="1" t="s">
        <v>20</v>
      </c>
      <c r="R6254" s="1" t="s">
        <v>11996</v>
      </c>
      <c r="V6254" s="1" t="s">
        <v>12040</v>
      </c>
      <c r="W6254" s="1" t="s">
        <v>12041</v>
      </c>
      <c r="AR6254" s="1" t="str">
        <f t="shared" si="402"/>
        <v>| [ㄏㄨ](ㄏㄨ.md) | [膴](膴.md) |  | hū | [名]
1.去骨的乾肉。《說文解字．肉部》：「膴，無骨腊也。」《周禮．天官．腊人》：「凡祭祀共豆脯，薦脯、膴、胖凡腊物。」
2.法則。《詩經．小雅．小旻》：「民雖靡膴，或哲或謀。」漢．鄭玄．箋：「膴，法也。」 |</v>
      </c>
    </row>
    <row r="6255" spans="1:44" hidden="1">
      <c r="A6255" s="1" t="s">
        <v>12042</v>
      </c>
      <c r="C6255" s="1">
        <v>1</v>
      </c>
      <c r="D6255" s="1" t="str">
        <f>"04948"</f>
        <v>04948</v>
      </c>
      <c r="E6255" s="1" t="s">
        <v>4785</v>
      </c>
      <c r="F6255" s="1">
        <v>17</v>
      </c>
      <c r="G6255" s="1">
        <v>13</v>
      </c>
      <c r="H6255" s="1">
        <v>2</v>
      </c>
      <c r="I6255" s="1" t="s">
        <v>11995</v>
      </c>
      <c r="K6255" s="1" t="str">
        <f t="shared" si="400"/>
        <v>ㄏ</v>
      </c>
      <c r="L6255" s="1" t="str">
        <f t="shared" si="401"/>
        <v>ㄨ</v>
      </c>
      <c r="M6255" s="1" t="str">
        <f t="shared" si="399"/>
        <v/>
      </c>
      <c r="P6255" s="1" t="s">
        <v>20</v>
      </c>
      <c r="R6255" s="1" t="s">
        <v>11996</v>
      </c>
      <c r="V6255" s="1" t="s">
        <v>12043</v>
      </c>
      <c r="W6255" s="1" t="s">
        <v>12044</v>
      </c>
      <c r="AR6255" s="1" t="str">
        <f t="shared" si="402"/>
        <v>| [ㄏㄨ](ㄏㄨ.md) | [戲](戲.md) |  | hū | 參見「於戲」條。 |</v>
      </c>
    </row>
    <row r="6256" spans="1:44" hidden="1">
      <c r="A6256" s="1" t="s">
        <v>12159</v>
      </c>
      <c r="C6256" s="1">
        <v>1</v>
      </c>
      <c r="D6256" s="1" t="str">
        <f>"05004"</f>
        <v>05004</v>
      </c>
      <c r="E6256" s="1" t="s">
        <v>360</v>
      </c>
      <c r="F6256" s="1">
        <v>4</v>
      </c>
      <c r="G6256" s="1">
        <v>2</v>
      </c>
      <c r="H6256" s="1">
        <v>2</v>
      </c>
      <c r="I6256" s="1" t="s">
        <v>12160</v>
      </c>
      <c r="K6256" s="1" t="str">
        <f t="shared" si="400"/>
        <v>ㄏ</v>
      </c>
      <c r="L6256" s="1" t="str">
        <f t="shared" si="401"/>
        <v>ㄨ</v>
      </c>
      <c r="M6256" s="1" t="str">
        <f t="shared" si="399"/>
        <v>ㄚ</v>
      </c>
      <c r="P6256" s="1" t="s">
        <v>20</v>
      </c>
      <c r="R6256" s="1" t="s">
        <v>12161</v>
      </c>
      <c r="V6256" s="1" t="s">
        <v>12162</v>
      </c>
      <c r="W6256" s="1" t="s">
        <v>12163</v>
      </c>
      <c r="AR6256" s="1" t="str">
        <f t="shared" si="402"/>
        <v>| [ㄏㄨㄚ](ㄏㄨㄚ.md) | [化](化.md) |  | huā | 參見「化子」條。 |</v>
      </c>
    </row>
    <row r="6257" spans="1:44" hidden="1">
      <c r="A6257" s="1" t="s">
        <v>12164</v>
      </c>
      <c r="C6257" s="1">
        <v>1</v>
      </c>
      <c r="D6257" s="1" t="str">
        <f>"05005"</f>
        <v>05005</v>
      </c>
      <c r="E6257" s="1" t="s">
        <v>37</v>
      </c>
      <c r="F6257" s="1">
        <v>8</v>
      </c>
      <c r="G6257" s="1">
        <v>4</v>
      </c>
      <c r="H6257" s="1">
        <v>0</v>
      </c>
      <c r="I6257" s="1" t="s">
        <v>12160</v>
      </c>
      <c r="K6257" s="1" t="str">
        <f t="shared" si="400"/>
        <v>ㄏ</v>
      </c>
      <c r="L6257" s="1" t="str">
        <f t="shared" si="401"/>
        <v>ㄨ</v>
      </c>
      <c r="M6257" s="1" t="str">
        <f t="shared" si="399"/>
        <v>ㄚ</v>
      </c>
      <c r="P6257" s="1" t="s">
        <v>20</v>
      </c>
      <c r="R6257" s="1" t="s">
        <v>12161</v>
      </c>
      <c r="V6257" s="1" t="s">
        <v>12165</v>
      </c>
      <c r="AR6257" s="1" t="str">
        <f t="shared" si="402"/>
        <v>| [ㄏㄨㄚ](ㄏㄨㄚ.md) | [花](花.md) |  | huā | [名]_x000D_
1.被子植物的生殖器官，由許多變形的葉集生而成。包括花托、花萼、花冠、雄蕊群與雌蕊或心皮群。可供人觀賞。如：「菊花」、「梅花」、「玫瑰花」。唐．崔護〈題都城南莊〉詩：「去年今日此門中，人面桃花相映紅。」_x000D_
2.形狀像花的物體。如：「雪花」、「水花」、「浪花」、「爆米花」。_x000D_
3.比喻美女。如：「姊妹花」、「解語花」。唐．白居易〈霓裳羽衣歌〉：「嬌花巧笑久寂寥，娃館苧蘿空處所。」_x000D_
4.姓。如唐代有花敬定。_x000D_
[形]_x000D_
1.有花的。如：「花季」。_x000D_
2.有花紋的、雜色的。如：「花布」、「花貓」、「花邊」。_x000D_
3.式樣、種類繁多的。如：「花式游泳」。_x000D_
4.虛假的、巧妙的。如：「耍花招」、「花言巧語」。_x000D_
5.模糊不清。如：「眼睛都花了。」_x000D_
6.人心性不定、好玩樂稱為「花」。如：「花心大少」、「這個人很花，你最好不要和他交往。」_x000D_
[動]_x000D_
1.開花。唐．杜甫〈偪仄行〉：「辛夷始花亦已落，況我與子非壯年。」_x000D_
2.耗費。如：「花錢」、「花時間」、「這些錢夠他花的了。」 |</v>
      </c>
    </row>
    <row r="6258" spans="1:44" hidden="1">
      <c r="A6258" s="1" t="s">
        <v>12166</v>
      </c>
      <c r="C6258" s="1">
        <v>1</v>
      </c>
      <c r="D6258" s="1" t="str">
        <f>"05006"</f>
        <v>05006</v>
      </c>
      <c r="E6258" s="1" t="s">
        <v>37</v>
      </c>
      <c r="F6258" s="1">
        <v>10</v>
      </c>
      <c r="G6258" s="1">
        <v>6</v>
      </c>
      <c r="H6258" s="1">
        <v>0</v>
      </c>
      <c r="I6258" s="1" t="s">
        <v>12160</v>
      </c>
      <c r="K6258" s="1" t="str">
        <f t="shared" si="400"/>
        <v>ㄏ</v>
      </c>
      <c r="L6258" s="1" t="str">
        <f t="shared" si="401"/>
        <v>ㄨ</v>
      </c>
      <c r="M6258" s="1" t="str">
        <f t="shared" si="399"/>
        <v>ㄚ</v>
      </c>
      <c r="P6258" s="1" t="s">
        <v>20</v>
      </c>
      <c r="R6258" s="1" t="s">
        <v>12161</v>
      </c>
      <c r="V6258" s="1" t="s">
        <v>12167</v>
      </c>
      <c r="AR6258" s="1" t="str">
        <f t="shared" si="402"/>
        <v>| [ㄏㄨㄚ](ㄏㄨㄚ.md) | [荂](荂.md) |  | huā | [名]
草木的花。《爾雅．釋草》：「華，荂也。」晉．郭璞．注：「今江東呼華為荂。」《文選．左思．吳都賦》：「異荂蓲蘛，夏曄冬蒨。」
[動]
茂盛。漢．揚雄《方言》卷一：「華、荂，晟也。齊、楚之間或謂之華，或謂之荂。」元．宋旡〈蕃釐觀感瓊花〉詩：「旁枝微舊崛，新葉謾榮荂。」 |</v>
      </c>
    </row>
    <row r="6259" spans="1:44" hidden="1">
      <c r="A6259" s="1" t="s">
        <v>12168</v>
      </c>
      <c r="C6259" s="1">
        <v>1</v>
      </c>
      <c r="D6259" s="1" t="str">
        <f>"05007"</f>
        <v>05007</v>
      </c>
      <c r="E6259" s="1" t="s">
        <v>37</v>
      </c>
      <c r="F6259" s="1">
        <v>12</v>
      </c>
      <c r="G6259" s="1">
        <v>8</v>
      </c>
      <c r="H6259" s="1">
        <v>2</v>
      </c>
      <c r="I6259" s="1" t="s">
        <v>12160</v>
      </c>
      <c r="K6259" s="1" t="str">
        <f t="shared" si="400"/>
        <v>ㄏ</v>
      </c>
      <c r="L6259" s="1" t="str">
        <f t="shared" si="401"/>
        <v>ㄨ</v>
      </c>
      <c r="M6259" s="1" t="str">
        <f t="shared" si="399"/>
        <v>ㄚ</v>
      </c>
      <c r="P6259" s="1" t="s">
        <v>20</v>
      </c>
      <c r="R6259" s="1" t="s">
        <v>12161</v>
      </c>
      <c r="V6259" s="1" t="s">
        <v>12169</v>
      </c>
      <c r="W6259" s="1" t="s">
        <v>12170</v>
      </c>
      <c r="AR6259" s="1" t="str">
        <f t="shared" si="402"/>
        <v>| [ㄏㄨㄚ](ㄏㄨㄚ.md) | [華](華.md) |  | huā | [名]
植物的花朵。同「花」。如：「春華秋實」。《詩經．周南．桃夭》：「桃之夭夭，灼灼其華。」 |</v>
      </c>
    </row>
    <row r="6260" spans="1:44" hidden="1">
      <c r="A6260" s="1" t="s">
        <v>12171</v>
      </c>
      <c r="C6260" s="1">
        <v>1</v>
      </c>
      <c r="D6260" s="1" t="str">
        <f>"05008"</f>
        <v>05008</v>
      </c>
      <c r="E6260" s="1" t="s">
        <v>28</v>
      </c>
      <c r="F6260" s="1">
        <v>15</v>
      </c>
      <c r="G6260" s="1">
        <v>12</v>
      </c>
      <c r="H6260" s="1">
        <v>1</v>
      </c>
      <c r="I6260" s="1" t="s">
        <v>12160</v>
      </c>
      <c r="K6260" s="1" t="str">
        <f t="shared" si="400"/>
        <v>ㄏ</v>
      </c>
      <c r="L6260" s="1" t="str">
        <f t="shared" si="401"/>
        <v>ㄨ</v>
      </c>
      <c r="M6260" s="1" t="str">
        <f t="shared" si="399"/>
        <v>ㄚ</v>
      </c>
      <c r="P6260" s="1" t="s">
        <v>20</v>
      </c>
      <c r="R6260" s="1" t="s">
        <v>12161</v>
      </c>
      <c r="V6260" s="1" t="s">
        <v>12172</v>
      </c>
      <c r="W6260" s="1" t="s">
        <v>12173</v>
      </c>
      <c r="AR6260" s="1" t="str">
        <f t="shared" si="402"/>
        <v>| [ㄏㄨㄚ](ㄏㄨㄚ.md) | [嘩](嘩.md) |  | huā | 參見「嘩喇喇」條。 |</v>
      </c>
    </row>
    <row r="6261" spans="1:44" hidden="1">
      <c r="A6261" s="1" t="s">
        <v>12174</v>
      </c>
      <c r="C6261" s="1">
        <v>1</v>
      </c>
      <c r="D6261" s="1" t="str">
        <f>"05009"</f>
        <v>05009</v>
      </c>
      <c r="E6261" s="1" t="s">
        <v>185</v>
      </c>
      <c r="F6261" s="1">
        <v>6</v>
      </c>
      <c r="G6261" s="1">
        <v>4</v>
      </c>
      <c r="H6261" s="1">
        <v>0</v>
      </c>
      <c r="I6261" s="1" t="s">
        <v>12175</v>
      </c>
      <c r="K6261" s="1" t="str">
        <f t="shared" si="400"/>
        <v>ㄏ</v>
      </c>
      <c r="L6261" s="1" t="str">
        <f t="shared" si="401"/>
        <v>ㄨ</v>
      </c>
      <c r="M6261" s="1" t="str">
        <f t="shared" si="399"/>
        <v>ㄚ</v>
      </c>
      <c r="P6261" s="1" t="s">
        <v>20</v>
      </c>
      <c r="R6261" s="1" t="s">
        <v>12176</v>
      </c>
      <c r="V6261" s="1" t="s">
        <v>12177</v>
      </c>
      <c r="AR6261" s="1" t="str">
        <f t="shared" si="402"/>
        <v>| [ㄏㄨㄚˊ](ㄏㄨㄚˊ.md) | [划](划.md) |  | huá | [動]
1.撥水前進。如：「划船」、「划龍舟」。
2.計算、合算。如：「你看這樣做划得來嗎？」 |</v>
      </c>
    </row>
    <row r="6262" spans="1:44" hidden="1">
      <c r="A6262" s="1" t="s">
        <v>12168</v>
      </c>
      <c r="C6262" s="1">
        <v>1</v>
      </c>
      <c r="D6262" s="1" t="str">
        <f>"05010"</f>
        <v>05010</v>
      </c>
      <c r="E6262" s="1" t="s">
        <v>37</v>
      </c>
      <c r="F6262" s="1">
        <v>12</v>
      </c>
      <c r="G6262" s="1">
        <v>8</v>
      </c>
      <c r="H6262" s="1">
        <v>1</v>
      </c>
      <c r="I6262" s="1" t="s">
        <v>12175</v>
      </c>
      <c r="K6262" s="1" t="str">
        <f t="shared" si="400"/>
        <v>ㄏ</v>
      </c>
      <c r="L6262" s="1" t="str">
        <f t="shared" si="401"/>
        <v>ㄨ</v>
      </c>
      <c r="M6262" s="1" t="str">
        <f t="shared" si="399"/>
        <v>ㄚ</v>
      </c>
      <c r="P6262" s="1" t="s">
        <v>20</v>
      </c>
      <c r="R6262" s="1" t="s">
        <v>12176</v>
      </c>
      <c r="V6262" s="1" t="s">
        <v>12178</v>
      </c>
      <c r="W6262" s="1" t="s">
        <v>12179</v>
      </c>
      <c r="AR6262" s="1" t="str">
        <f t="shared" si="402"/>
        <v>| [ㄏㄨㄚˊ](ㄏㄨㄚˊ.md) | [華](華.md) |  | huá | [名]_x000D_
1.中國、華夏的簡稱。《左傳．定公十年》：「裔不謀夏，夷不亂華。」_x000D_
2.光彩、光澤。唐．李白〈峨眉山月歌送蜀僧晏入中京〉詩：「黃鶴樓前月華白，此中忽見峨眉客。」五代十國．李煜〈秋鶯〉詩：「莫更留連好歸去，露華凄冷蓼花愁。」_x000D_
3.時光。如：「年華」、「韶華」。唐．劉方平〈秋夜泛舟〉詩：「歲華空復晚，鄉思不堪愁。」_x000D_
4.文采、文飾。如：「樸實無華」。南朝梁．劉勰《文心雕龍．徵聖》：「然則聖文之雅麗，固銜華而佩實者也。」_x000D_
5.化妝用的粉。三國魏．曹植〈洛神賦〉：「芳澤無加，鉛華弗御。」_x000D_
6.文章、事物精要的部分。如：「精華」。唐．韓愈〈進學解〉：「沉浸醲郁，含英咀華。」_x000D_
[形]_x000D_
1.中國的。《後漢書．卷八八．西域傳．車師》：「不率華禮，莫有典書。」《北史．卷三六．列傳．薛辯》：「於是風化大行，有同華俗。」_x000D_
2.美麗有光彩的。如：「華燈初上」。三國魏．鍾會〈孔雀賦〉：「五色點注，華羽參差。」《隋書．卷二三．五行志下》：「於仙都苑穿池築山，樓殿間起，窮華極麗。」_x000D_
3.繁盛。如：「繁華」、「榮華」。《史記．卷六八．商君列傳》：「有功者顯榮，無功者雖富無所芬華。」_x000D_
4.虛空不實的。《晉書．卷七五．列傳．范汪》：「飾華言以翳實，騁繁文以惑世。」_x000D_
5.花白。《墨子．脩身》：「華髮隳顛，而猶弗舍者，其唯聖人乎！」宋．陸游〈適閩〉詩：「功名塞外心空壯，詩酒樽前髮已華。」 |</v>
      </c>
    </row>
    <row r="6263" spans="1:44" hidden="1">
      <c r="A6263" s="1" t="s">
        <v>12180</v>
      </c>
      <c r="C6263" s="1">
        <v>1</v>
      </c>
      <c r="D6263" s="1" t="str">
        <f>"05011"</f>
        <v>05011</v>
      </c>
      <c r="E6263" s="1" t="s">
        <v>331</v>
      </c>
      <c r="F6263" s="1">
        <v>19</v>
      </c>
      <c r="G6263" s="1">
        <v>12</v>
      </c>
      <c r="H6263" s="1">
        <v>0</v>
      </c>
      <c r="I6263" s="1" t="s">
        <v>12175</v>
      </c>
      <c r="K6263" s="1" t="str">
        <f t="shared" si="400"/>
        <v>ㄏ</v>
      </c>
      <c r="L6263" s="1" t="str">
        <f t="shared" si="401"/>
        <v>ㄨ</v>
      </c>
      <c r="M6263" s="1" t="str">
        <f t="shared" si="399"/>
        <v>ㄚ</v>
      </c>
      <c r="P6263" s="1" t="s">
        <v>20</v>
      </c>
      <c r="R6263" s="1" t="s">
        <v>12176</v>
      </c>
      <c r="V6263" s="1" t="s">
        <v>12181</v>
      </c>
      <c r="AR6263" s="1" t="str">
        <f t="shared" si="402"/>
        <v>| [ㄏㄨㄚˊ](ㄏㄨㄚˊ.md) | [譁](譁.md) |  | huá | [動]
大聲喧鬧、吵雜。如：「喧譁」、「譁眾取寵」。《書經．費誓》：「嗟，人無譁，聽命。」 |</v>
      </c>
    </row>
    <row r="6264" spans="1:44" hidden="1">
      <c r="A6264" s="1" t="s">
        <v>12182</v>
      </c>
      <c r="C6264" s="1">
        <v>1</v>
      </c>
      <c r="D6264" s="1" t="str">
        <f>"05012"</f>
        <v>05012</v>
      </c>
      <c r="E6264" s="1" t="s">
        <v>55</v>
      </c>
      <c r="F6264" s="1">
        <v>20</v>
      </c>
      <c r="G6264" s="1">
        <v>12</v>
      </c>
      <c r="H6264" s="1">
        <v>0</v>
      </c>
      <c r="I6264" s="1" t="s">
        <v>12175</v>
      </c>
      <c r="K6264" s="1" t="str">
        <f t="shared" si="400"/>
        <v>ㄏ</v>
      </c>
      <c r="L6264" s="1" t="str">
        <f t="shared" si="401"/>
        <v>ㄨ</v>
      </c>
      <c r="M6264" s="1" t="str">
        <f t="shared" si="399"/>
        <v>ㄚ</v>
      </c>
      <c r="P6264" s="1" t="s">
        <v>20</v>
      </c>
      <c r="R6264" s="1" t="s">
        <v>12176</v>
      </c>
      <c r="V6264" s="1" t="s">
        <v>12183</v>
      </c>
      <c r="AR6264" s="1" t="str">
        <f t="shared" si="402"/>
        <v>| [ㄏㄨㄚˊ](ㄏㄨㄚˊ.md) | [鏵](鏵.md) |  | huá | [名]
裝置在犁上，用來掘土耕地的農具。明．徐光啟《農政全書．卷二一．農器．圖譜一》：「鏵與鑱頗異：鑱狹而厚，惟可正用；鏵闊而薄，翻覆可使。」 |</v>
      </c>
    </row>
    <row r="6265" spans="1:44" hidden="1">
      <c r="A6265" s="1" t="s">
        <v>12184</v>
      </c>
      <c r="C6265" s="1">
        <v>1</v>
      </c>
      <c r="D6265" s="1" t="str">
        <f>"05013"</f>
        <v>05013</v>
      </c>
      <c r="E6265" s="1" t="s">
        <v>319</v>
      </c>
      <c r="F6265" s="1">
        <v>22</v>
      </c>
      <c r="G6265" s="1">
        <v>12</v>
      </c>
      <c r="H6265" s="1">
        <v>0</v>
      </c>
      <c r="I6265" s="1" t="s">
        <v>12175</v>
      </c>
      <c r="K6265" s="1" t="str">
        <f t="shared" si="400"/>
        <v>ㄏ</v>
      </c>
      <c r="L6265" s="1" t="str">
        <f t="shared" si="401"/>
        <v>ㄨ</v>
      </c>
      <c r="M6265" s="1" t="str">
        <f t="shared" si="399"/>
        <v>ㄚ</v>
      </c>
      <c r="P6265" s="1" t="s">
        <v>20</v>
      </c>
      <c r="R6265" s="1" t="s">
        <v>12176</v>
      </c>
      <c r="V6265" s="1" t="s">
        <v>8727</v>
      </c>
      <c r="AR6265" s="1" t="str">
        <f t="shared" si="402"/>
        <v>| [ㄏㄨㄚˊ](ㄏㄨㄚˊ.md) | [驊](驊.md) |  | huá | 參見「驊騮」條。 |</v>
      </c>
    </row>
    <row r="6266" spans="1:44" hidden="1">
      <c r="A6266" s="1" t="s">
        <v>10165</v>
      </c>
      <c r="C6266" s="1">
        <v>1</v>
      </c>
      <c r="D6266" s="1" t="str">
        <f>"05014"</f>
        <v>05014</v>
      </c>
      <c r="E6266" s="1" t="s">
        <v>129</v>
      </c>
      <c r="F6266" s="1">
        <v>13</v>
      </c>
      <c r="G6266" s="1">
        <v>10</v>
      </c>
      <c r="H6266" s="1">
        <v>1</v>
      </c>
      <c r="I6266" s="1" t="s">
        <v>12175</v>
      </c>
      <c r="K6266" s="1" t="str">
        <f t="shared" si="400"/>
        <v>ㄏ</v>
      </c>
      <c r="L6266" s="1" t="str">
        <f t="shared" si="401"/>
        <v>ㄨ</v>
      </c>
      <c r="M6266" s="1" t="str">
        <f t="shared" si="399"/>
        <v>ㄚ</v>
      </c>
      <c r="P6266" s="1" t="s">
        <v>20</v>
      </c>
      <c r="R6266" s="1" t="s">
        <v>12176</v>
      </c>
      <c r="V6266" s="1" t="s">
        <v>12185</v>
      </c>
      <c r="W6266" s="1" t="s">
        <v>12186</v>
      </c>
      <c r="AR6266" s="1" t="str">
        <f t="shared" si="402"/>
        <v>| [ㄏㄨㄚˊ](ㄏㄨㄚˊ.md) | [滑](滑.md) |  | huá | [形]
1.順溜、不凝滯。如：「光滑」。唐．杜甫〈水會渡〉詩：「霜濃木石滑，風急手足寒。」
2.狡詐、虛浮不實在。如：「滑頭」。《史記．卷一二二．酷吏傳．郅都傳》：「為人上，操下如束溼薪，滑賊任威。」漢．王充《論衡．正說》：「後儒信前師之言，隨舊述故，滑習辭語。」
[動]
在光溜的物體表面溜動。如：「滑冰」、「滑雪」、「滑了一跤」。
[名]
姓。如漢代有滑典。 |</v>
      </c>
    </row>
    <row r="6267" spans="1:44" hidden="1">
      <c r="A6267" s="1" t="s">
        <v>12187</v>
      </c>
      <c r="C6267" s="1">
        <v>1</v>
      </c>
      <c r="D6267" s="1" t="str">
        <f>"05015"</f>
        <v>05015</v>
      </c>
      <c r="E6267" s="1" t="s">
        <v>198</v>
      </c>
      <c r="F6267" s="1">
        <v>13</v>
      </c>
      <c r="G6267" s="1">
        <v>10</v>
      </c>
      <c r="H6267" s="1">
        <v>0</v>
      </c>
      <c r="I6267" s="1" t="s">
        <v>12175</v>
      </c>
      <c r="K6267" s="1" t="str">
        <f t="shared" si="400"/>
        <v>ㄏ</v>
      </c>
      <c r="L6267" s="1" t="str">
        <f t="shared" si="401"/>
        <v>ㄨ</v>
      </c>
      <c r="M6267" s="1" t="str">
        <f t="shared" si="399"/>
        <v>ㄚ</v>
      </c>
      <c r="P6267" s="1" t="s">
        <v>20</v>
      </c>
      <c r="R6267" s="1" t="s">
        <v>12176</v>
      </c>
      <c r="V6267" s="1" t="s">
        <v>12188</v>
      </c>
      <c r="AR6267" s="1" t="str">
        <f t="shared" si="402"/>
        <v>| [ㄏㄨㄚˊ](ㄏㄨㄚˊ.md) | [猾](猾.md) |  | huá | [動]
擾亂。《書經．舜典》：「蠻夷猾夏，寇賊姦宄。」《國語．晉語二》：「君若求置晉君以成名於天下，則不如置不仁以猾其中，且可以進退。」
[形]
奸詐不誠實。如：「狡猾」、「刁猾」。《韓非子．揚搉》：「猾民愈眾，姦邪滿側。」《史記．卷八．高祖本紀》：「項羽為人僄悍猾賊。」 |</v>
      </c>
    </row>
    <row r="6268" spans="1:44" hidden="1">
      <c r="A6268" s="1" t="s">
        <v>12189</v>
      </c>
      <c r="C6268" s="1">
        <v>1</v>
      </c>
      <c r="D6268" s="1" t="str">
        <f>"05016"</f>
        <v>05016</v>
      </c>
      <c r="E6268" s="1" t="s">
        <v>24</v>
      </c>
      <c r="F6268" s="1">
        <v>13</v>
      </c>
      <c r="G6268" s="1">
        <v>10</v>
      </c>
      <c r="H6268" s="1">
        <v>2</v>
      </c>
      <c r="I6268" s="1" t="s">
        <v>12175</v>
      </c>
      <c r="K6268" s="1" t="str">
        <f t="shared" si="400"/>
        <v>ㄏ</v>
      </c>
      <c r="L6268" s="1" t="str">
        <f t="shared" si="401"/>
        <v>ㄨ</v>
      </c>
      <c r="M6268" s="1" t="str">
        <f t="shared" si="399"/>
        <v>ㄚ</v>
      </c>
      <c r="P6268" s="1" t="s">
        <v>20</v>
      </c>
      <c r="R6268" s="1" t="s">
        <v>12176</v>
      </c>
      <c r="V6268" s="1" t="s">
        <v>12190</v>
      </c>
      <c r="W6268" s="1" t="s">
        <v>12191</v>
      </c>
      <c r="AR6268" s="1" t="str">
        <f t="shared" si="402"/>
        <v>| [ㄏㄨㄚˊ](ㄏㄨㄚˊ.md) | [搳](搳.md) |  | huá | [動]
划拳。如：「搳拳」。《程乙本紅樓夢》第六二回：「那邊尤氏和鴛鴦隔著席，也七、八亂叫，搳起拳來。」 |</v>
      </c>
    </row>
    <row r="6269" spans="1:44" hidden="1">
      <c r="A6269" s="1" t="s">
        <v>11608</v>
      </c>
      <c r="C6269" s="1">
        <v>1</v>
      </c>
      <c r="D6269" s="1" t="str">
        <f>"05017"</f>
        <v>05017</v>
      </c>
      <c r="E6269" s="1" t="s">
        <v>10156</v>
      </c>
      <c r="F6269" s="1">
        <v>17</v>
      </c>
      <c r="G6269" s="1">
        <v>10</v>
      </c>
      <c r="H6269" s="1">
        <v>3</v>
      </c>
      <c r="I6269" s="1" t="s">
        <v>12175</v>
      </c>
      <c r="K6269" s="1" t="str">
        <f t="shared" si="400"/>
        <v>ㄏ</v>
      </c>
      <c r="L6269" s="1" t="str">
        <f t="shared" si="401"/>
        <v>ㄨ</v>
      </c>
      <c r="M6269" s="1" t="str">
        <f t="shared" si="399"/>
        <v>ㄚ</v>
      </c>
      <c r="P6269" s="1" t="s">
        <v>20</v>
      </c>
      <c r="R6269" s="1" t="s">
        <v>12176</v>
      </c>
      <c r="V6269" s="1" t="s">
        <v>12192</v>
      </c>
      <c r="W6269" s="1" t="s">
        <v>12193</v>
      </c>
      <c r="AR6269" s="1" t="str">
        <f t="shared" si="402"/>
        <v>| [ㄏㄨㄚˊ](ㄏㄨㄚˊ.md) | [豁](豁.md) |  | huá | 參見「豁拳」條。 |</v>
      </c>
    </row>
    <row r="6270" spans="1:44" hidden="1">
      <c r="A6270" s="1" t="s">
        <v>12194</v>
      </c>
      <c r="C6270" s="1">
        <v>1</v>
      </c>
      <c r="D6270" s="1" t="str">
        <f>"05018"</f>
        <v>05018</v>
      </c>
      <c r="E6270" s="1" t="s">
        <v>185</v>
      </c>
      <c r="F6270" s="1">
        <v>14</v>
      </c>
      <c r="G6270" s="1">
        <v>12</v>
      </c>
      <c r="H6270" s="1">
        <v>2</v>
      </c>
      <c r="I6270" s="1" t="s">
        <v>12175</v>
      </c>
      <c r="K6270" s="1" t="str">
        <f t="shared" si="400"/>
        <v>ㄏ</v>
      </c>
      <c r="L6270" s="1" t="str">
        <f t="shared" si="401"/>
        <v>ㄨ</v>
      </c>
      <c r="M6270" s="1" t="str">
        <f t="shared" si="399"/>
        <v>ㄚ</v>
      </c>
      <c r="P6270" s="1" t="s">
        <v>20</v>
      </c>
      <c r="R6270" s="1" t="s">
        <v>12176</v>
      </c>
      <c r="V6270" s="1" t="s">
        <v>12195</v>
      </c>
      <c r="W6270" s="1" t="s">
        <v>12196</v>
      </c>
      <c r="AR6270" s="1" t="str">
        <f t="shared" si="402"/>
        <v>| [ㄏㄨㄚˊ](ㄏㄨㄚˊ.md) | [劃](劃.md) |  | huá | [動]
1.用刀子或其他利器從物體表面拖拉而過。如：「一不小心在手上劃了一道傷口。」
2.擦掠。如：「劃火柴」。 |</v>
      </c>
    </row>
    <row r="6271" spans="1:44" hidden="1">
      <c r="A6271" s="1" t="s">
        <v>12159</v>
      </c>
      <c r="C6271" s="1">
        <v>1</v>
      </c>
      <c r="D6271" s="1" t="str">
        <f>"05019"</f>
        <v>05019</v>
      </c>
      <c r="E6271" s="1" t="s">
        <v>360</v>
      </c>
      <c r="F6271" s="1">
        <v>4</v>
      </c>
      <c r="G6271" s="1">
        <v>2</v>
      </c>
      <c r="H6271" s="1">
        <v>1</v>
      </c>
      <c r="I6271" s="1" t="s">
        <v>12197</v>
      </c>
      <c r="K6271" s="1" t="str">
        <f t="shared" si="400"/>
        <v>ㄏ</v>
      </c>
      <c r="L6271" s="1" t="str">
        <f t="shared" si="401"/>
        <v>ㄨ</v>
      </c>
      <c r="M6271" s="1" t="str">
        <f t="shared" ref="M6271:M6334" si="403">MID(I6271, 3, 1)</f>
        <v>ㄚ</v>
      </c>
      <c r="P6271" s="1" t="s">
        <v>20</v>
      </c>
      <c r="R6271" s="1" t="s">
        <v>12198</v>
      </c>
      <c r="V6271" s="1" t="s">
        <v>12199</v>
      </c>
      <c r="W6271" s="1" t="s">
        <v>12200</v>
      </c>
      <c r="AR6271" s="1" t="str">
        <f t="shared" si="402"/>
        <v>| [ㄏㄨㄚˋ](ㄏㄨㄚˋ.md) | [化](化.md) |  | huà | [動]
1.改變。如：「千變萬化」、「潛移默化」。《易經．恆卦．彖曰》：「日月得天而能久照；四時變化而能久成。」《淮南子．氾論》：「故聖人法與時變，禮與俗化。」
2.天地生成萬物。如：「造化」、「化育」。
3.轉移民俗使歸淳厚。《孟子．盡心上》：「夫君子所過者化，所存者神。」《文選．鄒陽．獄中上書自明》：「是以聖王制世御俗，獨化於陶鈞之上。」
4.死。如：「物化」、「羽化」。《孟子．公孫丑下》：「且比化者，無使土親膚，於人心獨無恔乎？」唐．劉禹錫〈祭柳員外文〉：「惟君平昔，聰明絕人，今雖化去，夫豈無物！」
5.物體消融、改變形性。如：「溶化」、「消化」。《韓非子．五蠹》：「有聖人作，鑽燧取火，以化腥臊，而民說之。」
6.燒毀。如：「火化」、「焚化」。《西遊記》第一三回：「獻過了種種香火，化了眾神紙馬，燒了薦亡文疏，佛事已畢，又各安寢。」
7.求乞、乞討。如：「化緣」、「募化」。《儒林外史》第一回：「也有坐在地上就化錢的。」
8.置於名詞或形容詞之後，表示轉變成某種狀態或性質。如：「美化」、「綠化」、「惡化」、「電氣化」、「科學化」、「現代化」。
[名]
1.教化。《文選．李密．陳情表》：「逮奉聖朝，沐浴清化。」唐．柳宗元〈封建論〉：「孟舒、魏尚之術，莫得而施；黃霸、汲黯之化，莫得而行。」
2.化學的簡稱。如：「理化」、「化工」。 |</v>
      </c>
    </row>
    <row r="6272" spans="1:44" hidden="1">
      <c r="A6272" s="1" t="s">
        <v>12168</v>
      </c>
      <c r="C6272" s="1">
        <v>1</v>
      </c>
      <c r="D6272" s="1" t="str">
        <f>"05020"</f>
        <v>05020</v>
      </c>
      <c r="E6272" s="1" t="s">
        <v>37</v>
      </c>
      <c r="F6272" s="1">
        <v>12</v>
      </c>
      <c r="G6272" s="1">
        <v>8</v>
      </c>
      <c r="H6272" s="1">
        <v>3</v>
      </c>
      <c r="I6272" s="1" t="s">
        <v>12197</v>
      </c>
      <c r="K6272" s="1" t="str">
        <f t="shared" si="400"/>
        <v>ㄏ</v>
      </c>
      <c r="L6272" s="1" t="str">
        <f t="shared" si="401"/>
        <v>ㄨ</v>
      </c>
      <c r="M6272" s="1" t="str">
        <f t="shared" si="403"/>
        <v>ㄚ</v>
      </c>
      <c r="P6272" s="1" t="s">
        <v>20</v>
      </c>
      <c r="R6272" s="1" t="s">
        <v>12198</v>
      </c>
      <c r="V6272" s="1" t="s">
        <v>12201</v>
      </c>
      <c r="W6272" s="1" t="s">
        <v>12202</v>
      </c>
      <c r="AR6272" s="1" t="str">
        <f t="shared" si="402"/>
        <v>| [ㄏㄨㄚˋ](ㄏㄨㄚˋ.md) | [華](華.md) |  | huà | [名]
1.參見「華山」條。
2.姓。如漢代有華佗。 |</v>
      </c>
    </row>
    <row r="6273" spans="1:44" hidden="1">
      <c r="A6273" s="1" t="s">
        <v>12203</v>
      </c>
      <c r="C6273" s="1">
        <v>1</v>
      </c>
      <c r="D6273" s="1" t="str">
        <f>"05021"</f>
        <v>05021</v>
      </c>
      <c r="E6273" s="1" t="s">
        <v>139</v>
      </c>
      <c r="F6273" s="1">
        <v>16</v>
      </c>
      <c r="G6273" s="1">
        <v>12</v>
      </c>
      <c r="H6273" s="1">
        <v>0</v>
      </c>
      <c r="I6273" s="1" t="s">
        <v>12197</v>
      </c>
      <c r="K6273" s="1" t="str">
        <f t="shared" ref="K6273:K6336" si="404">LEFT(I6273, 1)</f>
        <v>ㄏ</v>
      </c>
      <c r="L6273" s="1" t="str">
        <f t="shared" ref="L6273:L6336" si="405">MID(I6273, 2, 1)</f>
        <v>ㄨ</v>
      </c>
      <c r="M6273" s="1" t="str">
        <f t="shared" si="403"/>
        <v>ㄚ</v>
      </c>
      <c r="P6273" s="1" t="s">
        <v>20</v>
      </c>
      <c r="R6273" s="1" t="s">
        <v>12198</v>
      </c>
      <c r="V6273" s="1" t="s">
        <v>12204</v>
      </c>
      <c r="AR6273" s="1" t="str">
        <f t="shared" si="402"/>
        <v>| [ㄏㄨㄚˋ](ㄏㄨㄚˋ.md) | [樺](樺.md) |  | huà | [名]
植物名。樺木科樺木屬，「樺木」、「白樺」之古稱，參見「樺木」條。 |</v>
      </c>
    </row>
    <row r="6274" spans="1:44" hidden="1">
      <c r="A6274" s="1" t="s">
        <v>12205</v>
      </c>
      <c r="C6274" s="1">
        <v>1</v>
      </c>
      <c r="D6274" s="1" t="str">
        <f>"05022"</f>
        <v>05022</v>
      </c>
      <c r="E6274" s="1" t="s">
        <v>753</v>
      </c>
      <c r="F6274" s="1">
        <v>12</v>
      </c>
      <c r="G6274" s="1">
        <v>7</v>
      </c>
      <c r="H6274" s="1">
        <v>0</v>
      </c>
      <c r="I6274" s="1" t="s">
        <v>12197</v>
      </c>
      <c r="K6274" s="1" t="str">
        <f t="shared" si="404"/>
        <v>ㄏ</v>
      </c>
      <c r="L6274" s="1" t="str">
        <f t="shared" si="405"/>
        <v>ㄨ</v>
      </c>
      <c r="M6274" s="1" t="str">
        <f t="shared" si="403"/>
        <v>ㄚ</v>
      </c>
      <c r="P6274" s="1" t="s">
        <v>20</v>
      </c>
      <c r="R6274" s="1" t="s">
        <v>12198</v>
      </c>
      <c r="V6274" s="1" t="s">
        <v>12206</v>
      </c>
      <c r="AR6274" s="1" t="str">
        <f t="shared" si="402"/>
        <v>| [ㄏㄨㄚˋ](ㄏㄨㄚˋ.md) | [畫](畫.md) |  | huà | [動]
1.劃分、區分。《左傳．襄公四年》：「芒芒禹跡，畫為九州。」《文選．顏延之．應詔讌曲水作詩》：「幙帷蘭甸，畫流高陛。」
2.設計、籌謀。通「劃」。《文選．揚雄．解嘲》：「曾不能畫一奇，出一策。」清．孔尚任《桃花扇》第二六齣：「虧了夫人侯氏，有膽有謀，昨夜畫定計策。」
3.繪圖。如：「畫一幅風景。」《晉書．卷九二．文苑傳．顧愷之傳》：「愷之每畫人成，或數年，不點目精。」
4.簽署、簽押。如：「畫押」、「畫供」。
5.終止。《論語．雍也》：「力不足者，中道而廢，今女畫。」
[名]
1.圖、圖像。如：「山水畫」、「人物畫」。宋．蘇軾〈念奴嬌．大江東去〉詞：「江山如畫，一時多少豪傑。」
2.量詞。計算文字筆畫數的單位。如：「亞這個字有八畫。」
3.姓。如明代有畫芳。
[副]
清楚、整齊。如：「整齊畫一」。 |</v>
      </c>
    </row>
    <row r="6275" spans="1:44" hidden="1">
      <c r="A6275" s="1" t="s">
        <v>12194</v>
      </c>
      <c r="C6275" s="1">
        <v>1</v>
      </c>
      <c r="D6275" s="1" t="str">
        <f>"05023"</f>
        <v>05023</v>
      </c>
      <c r="E6275" s="1" t="s">
        <v>185</v>
      </c>
      <c r="F6275" s="1">
        <v>14</v>
      </c>
      <c r="G6275" s="1">
        <v>12</v>
      </c>
      <c r="H6275" s="1">
        <v>1</v>
      </c>
      <c r="I6275" s="1" t="s">
        <v>12197</v>
      </c>
      <c r="K6275" s="1" t="str">
        <f t="shared" si="404"/>
        <v>ㄏ</v>
      </c>
      <c r="L6275" s="1" t="str">
        <f t="shared" si="405"/>
        <v>ㄨ</v>
      </c>
      <c r="M6275" s="1" t="str">
        <f t="shared" si="403"/>
        <v>ㄚ</v>
      </c>
      <c r="P6275" s="1" t="s">
        <v>20</v>
      </c>
      <c r="R6275" s="1" t="s">
        <v>12198</v>
      </c>
      <c r="V6275" s="1" t="s">
        <v>12207</v>
      </c>
      <c r="W6275" s="1" t="s">
        <v>12208</v>
      </c>
      <c r="AR6275" s="1" t="str">
        <f t="shared" ref="AR6275:AR6338" si="406">"| ["&amp;I6275&amp;"]("&amp;I6275&amp;".md) | ["&amp;A6275&amp;"]("&amp;A6275&amp;".md) | "&amp;" | "&amp;R6275&amp;" | "&amp;V6275&amp;" |"</f>
        <v>| [ㄏㄨㄚˋ](ㄏㄨㄚˋ.md) | [劃](劃.md) |  | huà | [動]
1.分開、分界。同「畫」。如：「劃分」、「劃定界線」。
2.設計、籌謀。如：「籌劃」、「計劃」。 |</v>
      </c>
    </row>
    <row r="6276" spans="1:44" hidden="1">
      <c r="A6276" s="1" t="s">
        <v>12209</v>
      </c>
      <c r="C6276" s="1">
        <v>1</v>
      </c>
      <c r="D6276" s="1" t="str">
        <f>"05024"</f>
        <v>05024</v>
      </c>
      <c r="E6276" s="1" t="s">
        <v>534</v>
      </c>
      <c r="F6276" s="1">
        <v>15</v>
      </c>
      <c r="G6276" s="1">
        <v>12</v>
      </c>
      <c r="H6276" s="1">
        <v>0</v>
      </c>
      <c r="I6276" s="1" t="s">
        <v>12197</v>
      </c>
      <c r="K6276" s="1" t="str">
        <f t="shared" si="404"/>
        <v>ㄏ</v>
      </c>
      <c r="L6276" s="1" t="str">
        <f t="shared" si="405"/>
        <v>ㄨ</v>
      </c>
      <c r="M6276" s="1" t="str">
        <f t="shared" si="403"/>
        <v>ㄚ</v>
      </c>
      <c r="P6276" s="1" t="s">
        <v>20</v>
      </c>
      <c r="R6276" s="1" t="s">
        <v>12198</v>
      </c>
      <c r="V6276" s="1" t="s">
        <v>12210</v>
      </c>
      <c r="AR6276" s="1" t="str">
        <f t="shared" si="406"/>
        <v>| [ㄏㄨㄚˋ](ㄏㄨㄚˋ.md) | [嫿](嫿.md) |  | huà | [形]
嫻靜美好。《說文解字．女部》：「嫿，靜好也。」《文選．宋玉．神女賦》：「既姽嫿於幽靜兮，又婆娑乎人間。」 |</v>
      </c>
    </row>
    <row r="6277" spans="1:44" hidden="1">
      <c r="A6277" s="1" t="s">
        <v>12211</v>
      </c>
      <c r="C6277" s="1">
        <v>1</v>
      </c>
      <c r="D6277" s="1" t="str">
        <f>"05025"</f>
        <v>05025</v>
      </c>
      <c r="E6277" s="1" t="s">
        <v>725</v>
      </c>
      <c r="F6277" s="1">
        <v>18</v>
      </c>
      <c r="G6277" s="1">
        <v>12</v>
      </c>
      <c r="H6277" s="1">
        <v>0</v>
      </c>
      <c r="I6277" s="1" t="s">
        <v>12197</v>
      </c>
      <c r="K6277" s="1" t="str">
        <f t="shared" si="404"/>
        <v>ㄏ</v>
      </c>
      <c r="L6277" s="1" t="str">
        <f t="shared" si="405"/>
        <v>ㄨ</v>
      </c>
      <c r="M6277" s="1" t="str">
        <f t="shared" si="403"/>
        <v>ㄚ</v>
      </c>
      <c r="P6277" s="1" t="s">
        <v>20</v>
      </c>
      <c r="R6277" s="1" t="s">
        <v>12198</v>
      </c>
      <c r="V6277" s="1" t="s">
        <v>12212</v>
      </c>
      <c r="AR6277" s="1" t="str">
        <f t="shared" si="406"/>
        <v>| [ㄏㄨㄚˋ](ㄏㄨㄚˋ.md) | [繣](繣.md) |  | huà | [名]
用來牽繫東西的繩子。《周禮．夏官．大司馬》「徒銜枚而進」句下漢．鄭玄．注：「枚如箸，銜之，有繣結項中。」
[擬]
形容破裂的聲音。《文選．潘岳．西征賦》：「砰揚桴以振塵，繣瓦解而冰泮。」
[形]
乖違、乖戾。《楚辭．屈原．離騷》：「紛𦇎𦇎其離合兮，忽緯繣其難遷。」 |</v>
      </c>
    </row>
    <row r="6278" spans="1:44" hidden="1">
      <c r="A6278" s="1" t="s">
        <v>12213</v>
      </c>
      <c r="C6278" s="1">
        <v>1</v>
      </c>
      <c r="D6278" s="1" t="str">
        <f>"05026"</f>
        <v>05026</v>
      </c>
      <c r="E6278" s="1" t="s">
        <v>331</v>
      </c>
      <c r="F6278" s="1">
        <v>13</v>
      </c>
      <c r="G6278" s="1">
        <v>6</v>
      </c>
      <c r="H6278" s="1">
        <v>0</v>
      </c>
      <c r="I6278" s="1" t="s">
        <v>12197</v>
      </c>
      <c r="K6278" s="1" t="str">
        <f t="shared" si="404"/>
        <v>ㄏ</v>
      </c>
      <c r="L6278" s="1" t="str">
        <f t="shared" si="405"/>
        <v>ㄨ</v>
      </c>
      <c r="M6278" s="1" t="str">
        <f t="shared" si="403"/>
        <v>ㄚ</v>
      </c>
      <c r="P6278" s="1" t="s">
        <v>20</v>
      </c>
      <c r="R6278" s="1" t="s">
        <v>12198</v>
      </c>
      <c r="V6278" s="1" t="s">
        <v>12214</v>
      </c>
      <c r="AR6278" s="1" t="str">
        <f t="shared" si="406"/>
        <v>| [ㄏㄨㄚˋ](ㄏㄨㄚˋ.md) | [話](話.md) |  | huà | [名]
1.語言。如：「正經話」、「北京官話」。《詩經．大雅．抑》：「慎爾出話，敬爾威儀。」《文選．謝靈運．擬鄴中集詩．徐幹詩》：「清論事究萬，美話信非一。」
2.故事。《警世通言．卷一一．蘇知縣羅衫再合》：「話中說杭州府有一才子，姓李名宏，字敬之。」《初刻拍案驚奇》卷九：「這本話乃是元朝大德年間的事。」
[動]
談論、敘說。如：「話別」、「閒話家常」。唐．李商隱〈夜雨寄北〉詩：「何當共剪西窗燭，卻話巴山夜雨時。」 |</v>
      </c>
    </row>
    <row r="6279" spans="1:44" hidden="1">
      <c r="A6279" s="1" t="s">
        <v>10275</v>
      </c>
      <c r="C6279" s="1">
        <v>1</v>
      </c>
      <c r="D6279" s="1" t="str">
        <f>"05027"</f>
        <v>05027</v>
      </c>
      <c r="E6279" s="1" t="s">
        <v>118</v>
      </c>
      <c r="F6279" s="1">
        <v>13</v>
      </c>
      <c r="G6279" s="1">
        <v>8</v>
      </c>
      <c r="H6279" s="1">
        <v>1</v>
      </c>
      <c r="I6279" s="1" t="s">
        <v>12197</v>
      </c>
      <c r="K6279" s="1" t="str">
        <f t="shared" si="404"/>
        <v>ㄏ</v>
      </c>
      <c r="L6279" s="1" t="str">
        <f t="shared" si="405"/>
        <v>ㄨ</v>
      </c>
      <c r="M6279" s="1" t="str">
        <f t="shared" si="403"/>
        <v>ㄚ</v>
      </c>
      <c r="P6279" s="1" t="s">
        <v>20</v>
      </c>
      <c r="R6279" s="1" t="s">
        <v>12198</v>
      </c>
      <c r="V6279" s="1" t="s">
        <v>12215</v>
      </c>
      <c r="W6279" s="1" t="s">
        <v>12216</v>
      </c>
      <c r="AR6279" s="1" t="str">
        <f t="shared" si="406"/>
        <v>| [ㄏㄨㄚˋ](ㄏㄨㄚˋ.md) | [罫](罫.md) |  | huà | [動]
阻礙。《集韻．去聲．卦韻》：「𦁊，礙也。或從网。」 |</v>
      </c>
    </row>
    <row r="6280" spans="1:44" hidden="1">
      <c r="A6280" s="1" t="s">
        <v>12217</v>
      </c>
      <c r="C6280" s="1">
        <v>1</v>
      </c>
      <c r="D6280" s="1" t="str">
        <f>"05028"</f>
        <v>05028</v>
      </c>
      <c r="E6280" s="1" t="s">
        <v>24</v>
      </c>
      <c r="F6280" s="1">
        <v>14</v>
      </c>
      <c r="G6280" s="1">
        <v>11</v>
      </c>
      <c r="H6280" s="1">
        <v>0</v>
      </c>
      <c r="I6280" s="1" t="s">
        <v>12197</v>
      </c>
      <c r="K6280" s="1" t="str">
        <f t="shared" si="404"/>
        <v>ㄏ</v>
      </c>
      <c r="L6280" s="1" t="str">
        <f t="shared" si="405"/>
        <v>ㄨ</v>
      </c>
      <c r="M6280" s="1" t="str">
        <f t="shared" si="403"/>
        <v>ㄚ</v>
      </c>
      <c r="P6280" s="1" t="s">
        <v>20</v>
      </c>
      <c r="R6280" s="1" t="s">
        <v>12198</v>
      </c>
      <c r="V6280" s="1" t="s">
        <v>12218</v>
      </c>
      <c r="AR6280" s="1" t="str">
        <f t="shared" si="406"/>
        <v>| [ㄏㄨㄚˋ](ㄏㄨㄚˋ.md) | [摦](摦.md) |  | huà | [形]
寬大。《廣韻．去聲．禡韻》：「摦，寬也，大也。」 |</v>
      </c>
    </row>
    <row r="6281" spans="1:44" hidden="1">
      <c r="A6281" s="1" t="s">
        <v>12219</v>
      </c>
      <c r="C6281" s="1">
        <v>1</v>
      </c>
      <c r="D6281" s="1" t="str">
        <f>"05029"</f>
        <v>05029</v>
      </c>
      <c r="E6281" s="1" t="s">
        <v>139</v>
      </c>
      <c r="F6281" s="1">
        <v>15</v>
      </c>
      <c r="G6281" s="1">
        <v>11</v>
      </c>
      <c r="H6281" s="1">
        <v>0</v>
      </c>
      <c r="I6281" s="1" t="s">
        <v>12197</v>
      </c>
      <c r="K6281" s="1" t="str">
        <f t="shared" si="404"/>
        <v>ㄏ</v>
      </c>
      <c r="L6281" s="1" t="str">
        <f t="shared" si="405"/>
        <v>ㄨ</v>
      </c>
      <c r="M6281" s="1" t="str">
        <f t="shared" si="403"/>
        <v>ㄚ</v>
      </c>
      <c r="P6281" s="1" t="s">
        <v>20</v>
      </c>
      <c r="R6281" s="1" t="s">
        <v>12198</v>
      </c>
      <c r="V6281" s="1" t="s">
        <v>12220</v>
      </c>
      <c r="AR6281" s="1" t="str">
        <f t="shared" si="406"/>
        <v>| [ㄏㄨㄚˋ](ㄏㄨㄚˋ.md) | [槬](槬.md) |  | huà | [形]
鐘寬大的樣子。《左傳．昭公二十一年》：「天子省風以作樂，器以鐘之，輿以行之。小者不窕，大者不槬。則和於物。」 |</v>
      </c>
    </row>
    <row r="6282" spans="1:44" hidden="1">
      <c r="A6282" s="1" t="s">
        <v>12221</v>
      </c>
      <c r="C6282" s="1">
        <v>1</v>
      </c>
      <c r="D6282" s="1" t="str">
        <f>"05030"</f>
        <v>05030</v>
      </c>
      <c r="E6282" s="1" t="s">
        <v>77</v>
      </c>
      <c r="F6282" s="1">
        <v>15</v>
      </c>
      <c r="G6282" s="1">
        <v>8</v>
      </c>
      <c r="H6282" s="1">
        <v>2</v>
      </c>
      <c r="I6282" s="1" t="s">
        <v>12197</v>
      </c>
      <c r="K6282" s="1" t="str">
        <f t="shared" si="404"/>
        <v>ㄏ</v>
      </c>
      <c r="L6282" s="1" t="str">
        <f t="shared" si="405"/>
        <v>ㄨ</v>
      </c>
      <c r="M6282" s="1" t="str">
        <f t="shared" si="403"/>
        <v>ㄚ</v>
      </c>
      <c r="P6282" s="1" t="s">
        <v>186</v>
      </c>
      <c r="R6282" s="1" t="s">
        <v>12198</v>
      </c>
      <c r="V6282" s="1" t="s">
        <v>206</v>
      </c>
      <c r="W6282" s="1" t="s">
        <v>12222</v>
      </c>
      <c r="AR6282" s="1" t="str">
        <f t="shared" si="406"/>
        <v>| [ㄏㄨㄚˋ](ㄏㄨㄚˋ.md) | [踝](踝.md) |  | huà | (一)之讀音。 |</v>
      </c>
    </row>
    <row r="6283" spans="1:44" hidden="1">
      <c r="A6283" s="1" t="s">
        <v>12223</v>
      </c>
      <c r="C6283" s="1">
        <v>1</v>
      </c>
      <c r="D6283" s="1" t="str">
        <f>"05031"</f>
        <v>05031</v>
      </c>
      <c r="E6283" s="1" t="s">
        <v>185</v>
      </c>
      <c r="F6283" s="1">
        <v>16</v>
      </c>
      <c r="G6283" s="1">
        <v>14</v>
      </c>
      <c r="H6283" s="1">
        <v>0</v>
      </c>
      <c r="I6283" s="1" t="s">
        <v>12224</v>
      </c>
      <c r="K6283" s="1" t="str">
        <f t="shared" si="404"/>
        <v>ㄏ</v>
      </c>
      <c r="L6283" s="1" t="str">
        <f t="shared" si="405"/>
        <v>ㄨ</v>
      </c>
      <c r="M6283" s="1" t="str">
        <f t="shared" si="403"/>
        <v>ㄛ</v>
      </c>
      <c r="P6283" s="1" t="s">
        <v>20</v>
      </c>
      <c r="R6283" s="1" t="s">
        <v>12225</v>
      </c>
      <c r="V6283" s="1" t="s">
        <v>12226</v>
      </c>
      <c r="AR6283" s="1" t="str">
        <f t="shared" si="406"/>
        <v>| [ㄏㄨㄛ](ㄏㄨㄛ.md) | [劐](劐.md) |  | huō | [動]
1.用刀具將物體割開。《廣韻．入聲．鐸韻》：「劐，裂也。」
2.收割稻穀。通「穫」。《集韻．入聲．鐸韻》：「穫，《說文》：『刈穀也。』或從耒、從刀。」 |</v>
      </c>
    </row>
    <row r="6284" spans="1:44" hidden="1">
      <c r="A6284" s="1" t="s">
        <v>11608</v>
      </c>
      <c r="C6284" s="1">
        <v>1</v>
      </c>
      <c r="D6284" s="1" t="str">
        <f>"05032"</f>
        <v>05032</v>
      </c>
      <c r="E6284" s="1" t="s">
        <v>10156</v>
      </c>
      <c r="F6284" s="1">
        <v>17</v>
      </c>
      <c r="G6284" s="1">
        <v>10</v>
      </c>
      <c r="H6284" s="1">
        <v>1</v>
      </c>
      <c r="I6284" s="1" t="s">
        <v>12224</v>
      </c>
      <c r="K6284" s="1" t="str">
        <f t="shared" si="404"/>
        <v>ㄏ</v>
      </c>
      <c r="L6284" s="1" t="str">
        <f t="shared" si="405"/>
        <v>ㄨ</v>
      </c>
      <c r="M6284" s="1" t="str">
        <f t="shared" si="403"/>
        <v>ㄛ</v>
      </c>
      <c r="P6284" s="1" t="s">
        <v>20</v>
      </c>
      <c r="R6284" s="1" t="s">
        <v>12225</v>
      </c>
      <c r="V6284" s="1" t="s">
        <v>12227</v>
      </c>
      <c r="W6284" s="1" t="s">
        <v>12228</v>
      </c>
      <c r="AR6284" s="1" t="str">
        <f t="shared" si="406"/>
        <v>| [ㄏㄨㄛ](ㄏㄨㄛ.md) | [豁](豁.md) |  | huō | [動]
1.割裂、裂開。元．關漢卿《單刀會》第四折：「我根前使不著你『之乎者也』、『詩云子曰』，早該豁口截舌。」
2.拚、捨棄、犧牲。如：「豁出生命」、「豁著命幹」。
[形]
殘缺、缺損。如：「豁嘴」、「豁脣子」。 |</v>
      </c>
    </row>
    <row r="6285" spans="1:44" hidden="1">
      <c r="A6285" s="1" t="s">
        <v>12229</v>
      </c>
      <c r="C6285" s="1">
        <v>1</v>
      </c>
      <c r="D6285" s="1" t="str">
        <f>"05033"</f>
        <v>05033</v>
      </c>
      <c r="E6285" s="1" t="s">
        <v>114</v>
      </c>
      <c r="F6285" s="1">
        <v>8</v>
      </c>
      <c r="G6285" s="1">
        <v>6</v>
      </c>
      <c r="H6285" s="1">
        <v>0</v>
      </c>
      <c r="I6285" s="1" t="s">
        <v>12230</v>
      </c>
      <c r="K6285" s="1" t="str">
        <f t="shared" si="404"/>
        <v>ㄏ</v>
      </c>
      <c r="L6285" s="1" t="str">
        <f t="shared" si="405"/>
        <v>ㄨ</v>
      </c>
      <c r="M6285" s="1" t="str">
        <f t="shared" si="403"/>
        <v>ㄛ</v>
      </c>
      <c r="P6285" s="1" t="s">
        <v>20</v>
      </c>
      <c r="R6285" s="1" t="s">
        <v>12231</v>
      </c>
      <c r="V6285" s="1" t="s">
        <v>12232</v>
      </c>
      <c r="AR6285" s="1" t="str">
        <f t="shared" si="406"/>
        <v>| [ㄏㄨㄛˊ](ㄏㄨㄛˊ.md) | [佸](佸.md) |  | huó | [動]
到、至。《詩經．王風．君子于役》：「君子于役，不日不月，曷其有佸？」漢．鄭玄．箋：「何時而有來會期。」 |</v>
      </c>
    </row>
    <row r="6286" spans="1:44" hidden="1">
      <c r="A6286" s="1" t="s">
        <v>12233</v>
      </c>
      <c r="C6286" s="1">
        <v>1</v>
      </c>
      <c r="D6286" s="1" t="str">
        <f>"05034"</f>
        <v>05034</v>
      </c>
      <c r="E6286" s="1" t="s">
        <v>129</v>
      </c>
      <c r="F6286" s="1">
        <v>9</v>
      </c>
      <c r="G6286" s="1">
        <v>6</v>
      </c>
      <c r="H6286" s="1">
        <v>0</v>
      </c>
      <c r="I6286" s="1" t="s">
        <v>12230</v>
      </c>
      <c r="K6286" s="1" t="str">
        <f t="shared" si="404"/>
        <v>ㄏ</v>
      </c>
      <c r="L6286" s="1" t="str">
        <f t="shared" si="405"/>
        <v>ㄨ</v>
      </c>
      <c r="M6286" s="1" t="str">
        <f t="shared" si="403"/>
        <v>ㄛ</v>
      </c>
      <c r="P6286" s="1" t="s">
        <v>20</v>
      </c>
      <c r="R6286" s="1" t="s">
        <v>12231</v>
      </c>
      <c r="V6286" s="1" t="s">
        <v>12234</v>
      </c>
      <c r="AR6286" s="1" t="str">
        <f t="shared" si="406"/>
        <v>| [ㄏㄨㄛˊ](ㄏㄨㄛˊ.md) | [活](活.md) |  | huó | [形]
1.有生命的。如：「活人」、「活魚」。
2.生動，不死板。如：「靈活」、「活潑」。唐．杜牧〈池州送孟遲先輩〉詩：「煙溼樹姿嬌，雨餘山態活。」
3.不固定的、可移動的。如：「活頁」、「活塞」、「活字版」、「活期存款」。
[動]
1.生存。《詩經．周頌．載芟》：「播厥百穀，實函斯活。」唐．杜甫〈奉先劉少府新畫山水障歌〉：「不見湘妃鼓瑟時，至今斑竹臨江活。」
2.救助。《莊子．外物》：「君豈有斗升之水，而活我哉？」唐．白居易〈策林一．十八辨水旱之災明存救之術〉：「凶歉之年，則賤糶以活餓殍。」
[名]
1.生計。《魏書．卷二一．獻文六王傳上．北海王詳傳》：「自今而後，不願富貴，但令母子相保，共汝掃市作活也。」唐．杜甫〈聞斛斯六官未歸〉詩：「本賣文為活，翻令室倒懸。」
2.工作。如：「細活」、「重活」、「每天都應找些活來做。」
[副]
1.很、甚、非常。如：「活像」、「活該」。
2.靈活的。如：「活用」。 |</v>
      </c>
    </row>
    <row r="6287" spans="1:44" hidden="1">
      <c r="A6287" s="1" t="s">
        <v>12235</v>
      </c>
      <c r="C6287" s="1">
        <v>1</v>
      </c>
      <c r="D6287" s="1" t="str">
        <f>"05035"</f>
        <v>05035</v>
      </c>
      <c r="E6287" s="1" t="s">
        <v>336</v>
      </c>
      <c r="F6287" s="1">
        <v>4</v>
      </c>
      <c r="G6287" s="1">
        <v>0</v>
      </c>
      <c r="H6287" s="1">
        <v>0</v>
      </c>
      <c r="I6287" s="1" t="s">
        <v>12236</v>
      </c>
      <c r="K6287" s="1" t="str">
        <f t="shared" si="404"/>
        <v>ㄏ</v>
      </c>
      <c r="L6287" s="1" t="str">
        <f t="shared" si="405"/>
        <v>ㄨ</v>
      </c>
      <c r="M6287" s="1" t="str">
        <f t="shared" si="403"/>
        <v>ㄛ</v>
      </c>
      <c r="P6287" s="1" t="s">
        <v>20</v>
      </c>
      <c r="R6287" s="1" t="s">
        <v>12237</v>
      </c>
      <c r="V6287" s="1" t="s">
        <v>12238</v>
      </c>
      <c r="AR6287" s="1" t="str">
        <f t="shared" si="406"/>
        <v>| [ㄏㄨㄛˇ](ㄏㄨㄛˇ.md) | [火](火.md) |  | huǒ | [名]
1.物體燃燒時產生的光和熱。可燃物、燃點和氧氣是火的三要件。《書經．盤庚上》：「若火之燎于原，不可嚮邇，其猶可撲滅？」《水滸傳》第四六回：「便去灶前尋了把草，灶裡點個火……那火頃刻開天也似般大。」
2.中醫指病理變化過程中，機能亢進的現象。如：「肝火」、「上火」、「退火」。
3.槍炮彈藥等武器稱為「火」。如：「軍火」、「火藥」。
4.五行之一。參見「五行」條。
5.姓。如明代有火源潔。
6.二一四部首之一。
[形]
赤紅色的。如：「火紅」、「火狐狸」。唐．李白〈送程劉二侍郎兼獨孤判官赴安西幕府〉詩：「天外飛霜下蔥海，火旗雲馬生光彩。」
[動]
1.燃燒。《禮記．王制》：「昆蟲未蟄，不以火田。」《新唐書．卷九三．李靖傳》：「（李靖）軍次伏俟城，吐谷渾盡火其莽，退保大非川。」
2.動怒。如：「他一火，大家都不敢說話了。」
[副]
急速、緊急。如：「火速赴約」、「十萬火急」。《莊子．天地》：「彼且乘人而無天，方且本身而異形，方且尊知而火馳。」 |</v>
      </c>
    </row>
    <row r="6288" spans="1:44" hidden="1">
      <c r="A6288" s="1" t="s">
        <v>12239</v>
      </c>
      <c r="C6288" s="1">
        <v>1</v>
      </c>
      <c r="D6288" s="1" t="str">
        <f>"05036"</f>
        <v>05036</v>
      </c>
      <c r="E6288" s="1" t="s">
        <v>114</v>
      </c>
      <c r="F6288" s="1">
        <v>6</v>
      </c>
      <c r="G6288" s="1">
        <v>4</v>
      </c>
      <c r="H6288" s="1">
        <v>0</v>
      </c>
      <c r="I6288" s="1" t="s">
        <v>12236</v>
      </c>
      <c r="K6288" s="1" t="str">
        <f t="shared" si="404"/>
        <v>ㄏ</v>
      </c>
      <c r="L6288" s="1" t="str">
        <f t="shared" si="405"/>
        <v>ㄨ</v>
      </c>
      <c r="M6288" s="1" t="str">
        <f t="shared" si="403"/>
        <v>ㄛ</v>
      </c>
      <c r="P6288" s="1" t="s">
        <v>20</v>
      </c>
      <c r="R6288" s="1" t="s">
        <v>12237</v>
      </c>
      <c r="V6288" s="1" t="s">
        <v>12240</v>
      </c>
      <c r="AR6288" s="1" t="str">
        <f t="shared" si="406"/>
        <v>| [ㄏㄨㄛˇ](ㄏㄨㄛˇ.md) | [伙](伙.md) |  | huǒ | [名]
1.同在一處生活或工作的人。通「夥」。如：「同伙」、「伙伴」、「合伙」。
2.伙食的簡稱。如：「開伙」、「搭伙」、「包伙」。
3.量詞。計算人群的單位。如：「一伙人」。 |</v>
      </c>
    </row>
    <row r="6289" spans="1:44" hidden="1">
      <c r="A6289" s="1" t="s">
        <v>12241</v>
      </c>
      <c r="C6289" s="1">
        <v>1</v>
      </c>
      <c r="D6289" s="1" t="str">
        <f>"05037"</f>
        <v>05037</v>
      </c>
      <c r="E6289" s="1" t="s">
        <v>55</v>
      </c>
      <c r="F6289" s="1">
        <v>12</v>
      </c>
      <c r="G6289" s="1">
        <v>4</v>
      </c>
      <c r="H6289" s="1">
        <v>0</v>
      </c>
      <c r="I6289" s="1" t="s">
        <v>12236</v>
      </c>
      <c r="K6289" s="1" t="str">
        <f t="shared" si="404"/>
        <v>ㄏ</v>
      </c>
      <c r="L6289" s="1" t="str">
        <f t="shared" si="405"/>
        <v>ㄨ</v>
      </c>
      <c r="M6289" s="1" t="str">
        <f t="shared" si="403"/>
        <v>ㄛ</v>
      </c>
      <c r="P6289" s="1" t="s">
        <v>20</v>
      </c>
      <c r="R6289" s="1" t="s">
        <v>12237</v>
      </c>
      <c r="V6289" s="1" t="s">
        <v>12242</v>
      </c>
      <c r="AR6289" s="1" t="str">
        <f t="shared" si="406"/>
        <v>| [ㄏㄨㄛˇ](ㄏㄨㄛˇ.md) | [鈥](鈥.md) |  | huǒ | [名]
（holmium，Ho）化學元素。原子序67。罕有的稀土金屬元素。存在於獨居石及其他稀土礦石中，產量甚微。呈銀白色光澤，主要性質和用途與鑭相似。 |</v>
      </c>
    </row>
    <row r="6290" spans="1:44" hidden="1">
      <c r="A6290" s="1" t="s">
        <v>12243</v>
      </c>
      <c r="C6290" s="1">
        <v>1</v>
      </c>
      <c r="D6290" s="1" t="str">
        <f>"05038"</f>
        <v>05038</v>
      </c>
      <c r="E6290" s="1" t="s">
        <v>3347</v>
      </c>
      <c r="F6290" s="1">
        <v>14</v>
      </c>
      <c r="G6290" s="1">
        <v>11</v>
      </c>
      <c r="H6290" s="1">
        <v>0</v>
      </c>
      <c r="I6290" s="1" t="s">
        <v>12236</v>
      </c>
      <c r="K6290" s="1" t="str">
        <f t="shared" si="404"/>
        <v>ㄏ</v>
      </c>
      <c r="L6290" s="1" t="str">
        <f t="shared" si="405"/>
        <v>ㄨ</v>
      </c>
      <c r="M6290" s="1" t="str">
        <f t="shared" si="403"/>
        <v>ㄛ</v>
      </c>
      <c r="P6290" s="1" t="s">
        <v>20</v>
      </c>
      <c r="R6290" s="1" t="s">
        <v>12237</v>
      </c>
      <c r="V6290" s="1" t="s">
        <v>12244</v>
      </c>
      <c r="AR6290" s="1" t="str">
        <f t="shared" si="406"/>
        <v>| [ㄏㄨㄛˇ](ㄏㄨㄛˇ.md) | [夥](夥.md) |  | huǒ | [名]
1.同伴，一起工作或同組織的人。如：「同夥」、「夥伴」。
2.稱由多人組成的一群為「夥」。如：「成群搭夥」、「咱們大夥一齊去。」《水滸傳》第二回：「大郎原來不知，如今近日上面添了一夥強人，扎下個山寨在上面。」
3.舊稱店員。如：「夥計」。《老殘遊記》第五回：「那個店夥早已把燈掌上。」
4.量詞。計算人群的單位。如：「兩夥人」。
[動]
聯合、共同。如：「夥同購買」。《二刻拍案驚奇》卷一九：「夥著二三十男婦，內外一搶，席捲而去。」
[形]
眾多。《文選．司馬相如．上林賦》：「魚鱉讙聲，萬物眾夥。」宋．王禹偁〈七夕〉詩：「海物雜時味，羅列繁且夥。」 |</v>
      </c>
    </row>
    <row r="6291" spans="1:44" hidden="1">
      <c r="A6291" s="1" t="s">
        <v>12245</v>
      </c>
      <c r="C6291" s="1">
        <v>1</v>
      </c>
      <c r="D6291" s="1" t="str">
        <f>"05039"</f>
        <v>05039</v>
      </c>
      <c r="E6291" s="1" t="s">
        <v>4785</v>
      </c>
      <c r="F6291" s="1">
        <v>8</v>
      </c>
      <c r="G6291" s="1">
        <v>4</v>
      </c>
      <c r="H6291" s="1">
        <v>0</v>
      </c>
      <c r="I6291" s="1" t="s">
        <v>12246</v>
      </c>
      <c r="K6291" s="1" t="str">
        <f t="shared" si="404"/>
        <v>ㄏ</v>
      </c>
      <c r="L6291" s="1" t="str">
        <f t="shared" si="405"/>
        <v>ㄨ</v>
      </c>
      <c r="M6291" s="1" t="str">
        <f t="shared" si="403"/>
        <v>ㄛ</v>
      </c>
      <c r="P6291" s="1" t="s">
        <v>20</v>
      </c>
      <c r="R6291" s="1" t="s">
        <v>12247</v>
      </c>
      <c r="V6291" s="1" t="s">
        <v>12248</v>
      </c>
      <c r="AR6291" s="1" t="str">
        <f t="shared" si="406"/>
        <v>| [ㄏㄨㄛˋ](ㄏㄨㄛˋ.md) | [或](或.md) |  | huò | [副]
也許。如：「或許」。《史記．卷二八．封禪書》：「其神或歲不至，或歲數來。」
[連]
表示選擇或列舉。如：「或是」、「或者」、「喜或怒」、「哀或樂」、「去或不去？」《新唐書．卷九七．魏徵傳》：「今之刑賞，或由喜怒，或出好惡。」《三國演義》第三七回：「或駕小舟游於江湖之中；或訪僧道於山嶺之上；或尋朋友於村落之間；或樂琴棋於洞府之內：往來莫測，不知去所。」
[代]
1.泛指人或事物。相當於「有人」、「有的」。《禮記．中庸》：「或生而知之，或學而知之，或困而知之。」明．徐弘祖《徐霞客遊記．卷五上．滇遊日記二》：「群山叢突，小石峰或朝或拱，參立前塢中。」
2.誰。表示疑問的語氣。《詩經．豳風．鴟鴞》：「今女下民，或敢侮予！」《文選．潘岳．藉田賦》：「昔者明王以孝治天下，其或繼之者，鮮哉希矣。」 |</v>
      </c>
    </row>
    <row r="6292" spans="1:44" hidden="1">
      <c r="A6292" s="1" t="s">
        <v>12249</v>
      </c>
      <c r="C6292" s="1">
        <v>1</v>
      </c>
      <c r="D6292" s="1" t="str">
        <f>"05040"</f>
        <v>05040</v>
      </c>
      <c r="E6292" s="1" t="s">
        <v>250</v>
      </c>
      <c r="F6292" s="1">
        <v>12</v>
      </c>
      <c r="G6292" s="1">
        <v>8</v>
      </c>
      <c r="H6292" s="1">
        <v>0</v>
      </c>
      <c r="I6292" s="1" t="s">
        <v>12246</v>
      </c>
      <c r="K6292" s="1" t="str">
        <f t="shared" si="404"/>
        <v>ㄏ</v>
      </c>
      <c r="L6292" s="1" t="str">
        <f t="shared" si="405"/>
        <v>ㄨ</v>
      </c>
      <c r="M6292" s="1" t="str">
        <f t="shared" si="403"/>
        <v>ㄛ</v>
      </c>
      <c r="P6292" s="1" t="s">
        <v>20</v>
      </c>
      <c r="R6292" s="1" t="s">
        <v>12247</v>
      </c>
      <c r="V6292" s="1" t="s">
        <v>12250</v>
      </c>
      <c r="AR6292" s="1" t="str">
        <f t="shared" si="406"/>
        <v>| [ㄏㄨㄛˋ](ㄏㄨㄛˋ.md) | [惑](惑.md) |  | huò | [動]
1.迷亂、欺騙。如：「蠱惑」、「誘惑」、「妖言惑眾」。《三國志．卷八．魏書．張魯傳》：「造作道書以惑百姓，從受道者出五斗米，故世號米賊。」
2.奇怪、懷疑。如：「疑惑」。《論語．為政》：「三十而立，四十而不惑，五十而知天命。」《太平廣記．卷四八八．鶯鶯傳》：「求之，則終不復鼓矣，以是愈惑之。」
[名]
疑難。唐．韓愈〈師說〉：「師者，所以傳道、授業、解惑也。」 |</v>
      </c>
    </row>
    <row r="6293" spans="1:44" hidden="1">
      <c r="A6293" s="1" t="s">
        <v>11507</v>
      </c>
      <c r="C6293" s="1">
        <v>1</v>
      </c>
      <c r="D6293" s="1" t="str">
        <f>"05041"</f>
        <v>05041</v>
      </c>
      <c r="E6293" s="1" t="s">
        <v>28</v>
      </c>
      <c r="F6293" s="1">
        <v>8</v>
      </c>
      <c r="G6293" s="1">
        <v>5</v>
      </c>
      <c r="H6293" s="1">
        <v>4</v>
      </c>
      <c r="I6293" s="1" t="s">
        <v>12246</v>
      </c>
      <c r="K6293" s="1" t="str">
        <f t="shared" si="404"/>
        <v>ㄏ</v>
      </c>
      <c r="L6293" s="1" t="str">
        <f t="shared" si="405"/>
        <v>ㄨ</v>
      </c>
      <c r="M6293" s="1" t="str">
        <f t="shared" si="403"/>
        <v>ㄛ</v>
      </c>
      <c r="P6293" s="1" t="s">
        <v>20</v>
      </c>
      <c r="R6293" s="1" t="s">
        <v>12247</v>
      </c>
      <c r="V6293" s="1" t="s">
        <v>12251</v>
      </c>
      <c r="W6293" s="1" t="s">
        <v>12252</v>
      </c>
      <c r="AR6293" s="1" t="str">
        <f t="shared" si="406"/>
        <v>| [ㄏㄨㄛˋ](ㄏㄨㄛˋ.md) | [和](和.md) |  | huò | [動]_x000D_
1.攪拌、混合。《文獻通考．卷一八．征榷考五．榷茶》：「凡在京茶戶擅磨末茶者有禁，並赴官請買，而茶鋪入米豆雜物拌和者有罰，募人告者有賞。」《三國演義》第九一回：「喚行廚宰殺牛馬，和麵為劑，塑成人頭，內以牛羊等肉代之，名曰『饅頭』。」_x000D_
2.湊熱鬧、加入添亂。《文明小史》第三回：「柳知府詫異道：『與他們甚麼相干？怎麼也和在裡頭。』」 |</v>
      </c>
    </row>
    <row r="6294" spans="1:44" hidden="1">
      <c r="A6294" s="1" t="s">
        <v>12253</v>
      </c>
      <c r="C6294" s="1">
        <v>1</v>
      </c>
      <c r="D6294" s="1" t="str">
        <f>"05042"</f>
        <v>05042</v>
      </c>
      <c r="E6294" s="1" t="s">
        <v>169</v>
      </c>
      <c r="F6294" s="1">
        <v>9</v>
      </c>
      <c r="G6294" s="1">
        <v>4</v>
      </c>
      <c r="H6294" s="1">
        <v>0</v>
      </c>
      <c r="I6294" s="1" t="s">
        <v>12246</v>
      </c>
      <c r="K6294" s="1" t="str">
        <f t="shared" si="404"/>
        <v>ㄏ</v>
      </c>
      <c r="L6294" s="1" t="str">
        <f t="shared" si="405"/>
        <v>ㄨ</v>
      </c>
      <c r="M6294" s="1" t="str">
        <f t="shared" si="403"/>
        <v>ㄛ</v>
      </c>
      <c r="P6294" s="1" t="s">
        <v>20</v>
      </c>
      <c r="R6294" s="1" t="s">
        <v>12247</v>
      </c>
      <c r="V6294" s="1" t="s">
        <v>12254</v>
      </c>
      <c r="AR6294" s="1" t="str">
        <f t="shared" si="406"/>
        <v>| [ㄏㄨㄛˋ](ㄏㄨㄛˋ.md) | [砉](砉.md) |  | huò | 參見「砉然」條。 |</v>
      </c>
    </row>
    <row r="6295" spans="1:44" hidden="1">
      <c r="A6295" s="1" t="s">
        <v>12255</v>
      </c>
      <c r="C6295" s="1">
        <v>1</v>
      </c>
      <c r="D6295" s="1" t="str">
        <f>"05043"</f>
        <v>05043</v>
      </c>
      <c r="E6295" s="1" t="s">
        <v>185</v>
      </c>
      <c r="F6295" s="1">
        <v>11</v>
      </c>
      <c r="G6295" s="1">
        <v>9</v>
      </c>
      <c r="H6295" s="1">
        <v>0</v>
      </c>
      <c r="I6295" s="1" t="s">
        <v>12246</v>
      </c>
      <c r="K6295" s="1" t="str">
        <f t="shared" si="404"/>
        <v>ㄏ</v>
      </c>
      <c r="L6295" s="1" t="str">
        <f t="shared" si="405"/>
        <v>ㄨ</v>
      </c>
      <c r="M6295" s="1" t="str">
        <f t="shared" si="403"/>
        <v>ㄛ</v>
      </c>
      <c r="P6295" s="1" t="s">
        <v>20</v>
      </c>
      <c r="R6295" s="1" t="s">
        <v>12247</v>
      </c>
      <c r="V6295" s="1" t="s">
        <v>12256</v>
      </c>
      <c r="AR6295" s="1" t="str">
        <f t="shared" si="406"/>
        <v>| [ㄏㄨㄛˋ](ㄏㄨㄛˋ.md) | [剨](剨.md) |  | huò | [擬]
形容物體破裂的聲音。《廣韻．入聲．麥韻》：「剨，破聲。」清．紀昀《閱微草堂筆記．卷一．灤陽消夏錄一》：「剨然震響，石壁中開。」 |</v>
      </c>
    </row>
    <row r="6296" spans="1:44" hidden="1">
      <c r="A6296" s="1" t="s">
        <v>12257</v>
      </c>
      <c r="C6296" s="1">
        <v>1</v>
      </c>
      <c r="D6296" s="1" t="str">
        <f>"05044"</f>
        <v>05044</v>
      </c>
      <c r="E6296" s="1" t="s">
        <v>129</v>
      </c>
      <c r="F6296" s="1">
        <v>12</v>
      </c>
      <c r="G6296" s="1">
        <v>9</v>
      </c>
      <c r="H6296" s="1">
        <v>0</v>
      </c>
      <c r="I6296" s="1" t="s">
        <v>12246</v>
      </c>
      <c r="K6296" s="1" t="str">
        <f t="shared" si="404"/>
        <v>ㄏ</v>
      </c>
      <c r="L6296" s="1" t="str">
        <f t="shared" si="405"/>
        <v>ㄨ</v>
      </c>
      <c r="M6296" s="1" t="str">
        <f t="shared" si="403"/>
        <v>ㄛ</v>
      </c>
      <c r="P6296" s="1" t="s">
        <v>20</v>
      </c>
      <c r="R6296" s="1" t="s">
        <v>12247</v>
      </c>
      <c r="V6296" s="1" t="s">
        <v>12258</v>
      </c>
      <c r="AR6296" s="1" t="str">
        <f t="shared" si="406"/>
        <v>| [ㄏㄨㄛˋ](ㄏㄨㄛˋ.md) | [湱](湱.md) |  | huò | [名]
波濤相激盪的聲音。《玉篇．水部》：「湱，水聲。」《文選．郭璞．江賦》：「𥒜巖鼓作，漰湱澩灂。」 |</v>
      </c>
    </row>
    <row r="6297" spans="1:44" hidden="1">
      <c r="A6297" s="1" t="s">
        <v>12259</v>
      </c>
      <c r="C6297" s="1">
        <v>1</v>
      </c>
      <c r="D6297" s="1" t="str">
        <f>"05045"</f>
        <v>05045</v>
      </c>
      <c r="E6297" s="1" t="s">
        <v>319</v>
      </c>
      <c r="F6297" s="1">
        <v>19</v>
      </c>
      <c r="G6297" s="1">
        <v>9</v>
      </c>
      <c r="H6297" s="1">
        <v>0</v>
      </c>
      <c r="I6297" s="1" t="s">
        <v>12246</v>
      </c>
      <c r="K6297" s="1" t="str">
        <f t="shared" si="404"/>
        <v>ㄏ</v>
      </c>
      <c r="L6297" s="1" t="str">
        <f t="shared" si="405"/>
        <v>ㄨ</v>
      </c>
      <c r="M6297" s="1" t="str">
        <f t="shared" si="403"/>
        <v>ㄛ</v>
      </c>
      <c r="P6297" s="1" t="s">
        <v>20</v>
      </c>
      <c r="R6297" s="1" t="s">
        <v>12247</v>
      </c>
      <c r="V6297" s="1" t="s">
        <v>12260</v>
      </c>
      <c r="AR6297" s="1" t="str">
        <f t="shared" si="406"/>
        <v>| [ㄏㄨㄛˋ](ㄏㄨㄛˋ.md) | [騞](騞.md) |  | huò | [擬]
形容刀劍裂物的聲音。《精忠岳傳》第五十五回：「腰間拔出劍來，騞的一聲，將右手砍下。」
[副]
急速、突然。《列子．湯問》：「其觸物也，騞然而過，隨過隨合，覺疾而不血刃焉。」唐．段成式《酉陽雜俎．卷八．雷》：「氣復如半床，已至如盤，騞然墜地，變成熨斗、折刀、小折腳鐺焉。」 |</v>
      </c>
    </row>
    <row r="6298" spans="1:44" hidden="1">
      <c r="A6298" s="1" t="s">
        <v>12261</v>
      </c>
      <c r="C6298" s="1">
        <v>1</v>
      </c>
      <c r="D6298" s="1" t="str">
        <f>"05046"</f>
        <v>05046</v>
      </c>
      <c r="E6298" s="1" t="s">
        <v>505</v>
      </c>
      <c r="F6298" s="1">
        <v>11</v>
      </c>
      <c r="G6298" s="1">
        <v>4</v>
      </c>
      <c r="H6298" s="1">
        <v>0</v>
      </c>
      <c r="I6298" s="1" t="s">
        <v>12246</v>
      </c>
      <c r="K6298" s="1" t="str">
        <f t="shared" si="404"/>
        <v>ㄏ</v>
      </c>
      <c r="L6298" s="1" t="str">
        <f t="shared" si="405"/>
        <v>ㄨ</v>
      </c>
      <c r="M6298" s="1" t="str">
        <f t="shared" si="403"/>
        <v>ㄛ</v>
      </c>
      <c r="P6298" s="1" t="s">
        <v>20</v>
      </c>
      <c r="R6298" s="1" t="s">
        <v>12247</v>
      </c>
      <c r="V6298" s="1" t="s">
        <v>12262</v>
      </c>
      <c r="AR6298" s="1" t="str">
        <f t="shared" si="406"/>
        <v>| [ㄏㄨㄛˋ](ㄏㄨㄛˋ.md) | [貨](貨.md) |  | huò | [名]
1.財物的總稱。如：「財貨」。《書經．洪範》：「八政：一曰食，二曰貨。」唐．孔穎達．正義：「貨者，金玉布帛之總名。」
2.商品。如：「國貨」、「百貨」、「南北雜貨」、「不怕不識貨，只怕貨比貨」。
3.貨幣、錢幣。如：「通貨膨脹」。《宋書．卷八一．劉秀之傳》：「先是漢川悉以絹為貨，秀之限令用錢，百姓至今受其利。」
4.罵人的話。相當於「東西」。如：「笨貨」、「蠢貨」、「窩囊貨」。《儒林外史》第一二回：「他是個不中用的貨，又不會種田，又不會作生意。」
[動]
1.賄賂，用財物買通他人。《孟子．公孫丑下》：「無處而餽之，是貨之也。」《南史．卷六一．蘭欽傳》：「厚貨廚人，塗刀以毒，削瓜進之，欽及愛妾俱死。」
2.出售。《南史．卷七二．文學傳．卞彬傳》：「守羊無食，何不貨羊糴米？」《新唐書．卷一六九．韋貫之傳》：「使民貨田中穗以供賦，可乎？」 |</v>
      </c>
    </row>
    <row r="6299" spans="1:44" hidden="1">
      <c r="A6299" s="1" t="s">
        <v>12263</v>
      </c>
      <c r="C6299" s="1">
        <v>1</v>
      </c>
      <c r="D6299" s="1" t="str">
        <f>"05047"</f>
        <v>05047</v>
      </c>
      <c r="E6299" s="1" t="s">
        <v>28</v>
      </c>
      <c r="F6299" s="1">
        <v>13</v>
      </c>
      <c r="G6299" s="1">
        <v>10</v>
      </c>
      <c r="H6299" s="1">
        <v>0</v>
      </c>
      <c r="I6299" s="1" t="s">
        <v>12246</v>
      </c>
      <c r="K6299" s="1" t="str">
        <f t="shared" si="404"/>
        <v>ㄏ</v>
      </c>
      <c r="L6299" s="1" t="str">
        <f t="shared" si="405"/>
        <v>ㄨ</v>
      </c>
      <c r="M6299" s="1" t="str">
        <f t="shared" si="403"/>
        <v>ㄛ</v>
      </c>
      <c r="P6299" s="1" t="s">
        <v>20</v>
      </c>
      <c r="R6299" s="1" t="s">
        <v>12247</v>
      </c>
      <c r="V6299" s="1" t="s">
        <v>12264</v>
      </c>
      <c r="AR6299" s="1" t="str">
        <f t="shared" si="406"/>
        <v>| [ㄏㄨㄛˋ](ㄏㄨㄛˋ.md) | [嗀](嗀.md) |  | huò | [動]
嘔吐。《說文解字．口部》：「嗀，歐貌。……《春秋傳》曰：『君將嗀之。』」 |</v>
      </c>
    </row>
    <row r="6300" spans="1:44" hidden="1">
      <c r="A6300" s="1" t="s">
        <v>12265</v>
      </c>
      <c r="C6300" s="1">
        <v>1</v>
      </c>
      <c r="D6300" s="1" t="str">
        <f>"05048"</f>
        <v>05048</v>
      </c>
      <c r="E6300" s="1" t="s">
        <v>825</v>
      </c>
      <c r="F6300" s="1">
        <v>14</v>
      </c>
      <c r="G6300" s="1">
        <v>9</v>
      </c>
      <c r="H6300" s="1">
        <v>0</v>
      </c>
      <c r="I6300" s="1" t="s">
        <v>12246</v>
      </c>
      <c r="K6300" s="1" t="str">
        <f t="shared" si="404"/>
        <v>ㄏ</v>
      </c>
      <c r="L6300" s="1" t="str">
        <f t="shared" si="405"/>
        <v>ㄨ</v>
      </c>
      <c r="M6300" s="1" t="str">
        <f t="shared" si="403"/>
        <v>ㄛ</v>
      </c>
      <c r="P6300" s="1" t="s">
        <v>20</v>
      </c>
      <c r="R6300" s="1" t="s">
        <v>12247</v>
      </c>
      <c r="V6300" s="1" t="s">
        <v>12266</v>
      </c>
      <c r="AR6300" s="1" t="str">
        <f t="shared" si="406"/>
        <v>| [ㄏㄨㄛˋ](ㄏㄨㄛˋ.md) | [禍](禍.md) |  | huò | [名]
1.災害、災難。與「福」相對。如：「車禍」、「飛來橫禍」、「是福不是禍，是禍躲不過。」《醒世恆言．卷一．兩縣令競義婚孤女》：「誰知命裡官星不現，飛禍相侵。」
2.罪。《荀子．成相》：「罪禍有律，莫得輕重威不分。」唐．楊倞．注：「禍，亦罪也。」《史記．卷六．秦始皇本紀》：「上不聽諫，今事急，欲歸禍於吾宗。」
[動]
1.為害、加害。如：「禍國殃民」。《呂氏春秋．慎行論．慎行》：「吾幾禍令尹。」《太平廣記．卷四二一．任頊》：「有一道士自西來者，此所謂禍我者也。」
2.受難、受害。《晏子春秋．外篇．重而異者》：「是以鬼神不饗，其國以禍。」《後漢書．卷一一．劉盆子傳》：「劉恭見赤眉眾亂，知其必敗，自恐兄弟俱禍。」 |</v>
      </c>
    </row>
    <row r="6301" spans="1:44" hidden="1">
      <c r="A6301" s="1" t="s">
        <v>12267</v>
      </c>
      <c r="C6301" s="1">
        <v>1</v>
      </c>
      <c r="D6301" s="1" t="str">
        <f>"05049"</f>
        <v>05049</v>
      </c>
      <c r="E6301" s="1" t="s">
        <v>129</v>
      </c>
      <c r="F6301" s="1">
        <v>16</v>
      </c>
      <c r="G6301" s="1">
        <v>13</v>
      </c>
      <c r="H6301" s="1">
        <v>3</v>
      </c>
      <c r="I6301" s="1" t="s">
        <v>12246</v>
      </c>
      <c r="K6301" s="1" t="str">
        <f t="shared" si="404"/>
        <v>ㄏ</v>
      </c>
      <c r="L6301" s="1" t="str">
        <f t="shared" si="405"/>
        <v>ㄨ</v>
      </c>
      <c r="M6301" s="1" t="str">
        <f t="shared" si="403"/>
        <v>ㄛ</v>
      </c>
      <c r="P6301" s="1" t="s">
        <v>20</v>
      </c>
      <c r="R6301" s="1" t="s">
        <v>12247</v>
      </c>
      <c r="V6301" s="1" t="s">
        <v>12268</v>
      </c>
      <c r="W6301" s="1" t="s">
        <v>12269</v>
      </c>
      <c r="AR6301" s="1" t="str">
        <f t="shared" si="406"/>
        <v>| [ㄏㄨㄛˋ](ㄏㄨㄛˋ.md) | [濊](濊.md) |  | huò | 參見「濊濊」條。 |</v>
      </c>
    </row>
    <row r="6302" spans="1:44" hidden="1">
      <c r="A6302" s="1" t="s">
        <v>12270</v>
      </c>
      <c r="C6302" s="1">
        <v>1</v>
      </c>
      <c r="D6302" s="1" t="str">
        <f>"05050"</f>
        <v>05050</v>
      </c>
      <c r="E6302" s="1" t="s">
        <v>125</v>
      </c>
      <c r="F6302" s="1">
        <v>16</v>
      </c>
      <c r="G6302" s="1">
        <v>8</v>
      </c>
      <c r="H6302" s="1">
        <v>0</v>
      </c>
      <c r="I6302" s="1" t="s">
        <v>12246</v>
      </c>
      <c r="K6302" s="1" t="str">
        <f t="shared" si="404"/>
        <v>ㄏ</v>
      </c>
      <c r="L6302" s="1" t="str">
        <f t="shared" si="405"/>
        <v>ㄨ</v>
      </c>
      <c r="M6302" s="1" t="str">
        <f t="shared" si="403"/>
        <v>ㄛ</v>
      </c>
      <c r="P6302" s="1" t="s">
        <v>20</v>
      </c>
      <c r="R6302" s="1" t="s">
        <v>12247</v>
      </c>
      <c r="V6302" s="1" t="s">
        <v>12271</v>
      </c>
      <c r="AR6302" s="1" t="str">
        <f t="shared" si="406"/>
        <v>| [ㄏㄨㄛˋ](ㄏㄨㄛˋ.md) | [霍](霍.md) |  | huò | [副]
快速、疾速。《文選．枚乘．七發》：「涊然汗出，霍然病已。」
[名]
1.參見「霍亂」條。
2.山名。即衡山。位於大陸地區湖南省衡山縣西，為五嶽中的南嶽。漢．應劭《風俗通義．卷十．山澤》：「南方衡山，一名霍山。」
3.國名。周武王之弟叔處的封地，故城約在今大陸地區山西省霍縣西南。
4.姓。如漢代有霍去病。 |</v>
      </c>
    </row>
    <row r="6303" spans="1:44" hidden="1">
      <c r="A6303" s="1" t="s">
        <v>12272</v>
      </c>
      <c r="C6303" s="1">
        <v>1</v>
      </c>
      <c r="D6303" s="1" t="str">
        <f>"05051"</f>
        <v>05051</v>
      </c>
      <c r="E6303" s="1" t="s">
        <v>24</v>
      </c>
      <c r="F6303" s="1">
        <v>19</v>
      </c>
      <c r="G6303" s="1">
        <v>16</v>
      </c>
      <c r="H6303" s="1">
        <v>0</v>
      </c>
      <c r="I6303" s="1" t="s">
        <v>12246</v>
      </c>
      <c r="K6303" s="1" t="str">
        <f t="shared" si="404"/>
        <v>ㄏ</v>
      </c>
      <c r="L6303" s="1" t="str">
        <f t="shared" si="405"/>
        <v>ㄨ</v>
      </c>
      <c r="M6303" s="1" t="str">
        <f t="shared" si="403"/>
        <v>ㄛ</v>
      </c>
      <c r="P6303" s="1" t="s">
        <v>20</v>
      </c>
      <c r="R6303" s="1" t="s">
        <v>12247</v>
      </c>
      <c r="V6303" s="1" t="s">
        <v>12273</v>
      </c>
      <c r="AR6303" s="1" t="str">
        <f t="shared" si="406"/>
        <v>| [ㄏㄨㄛˋ](ㄏㄨㄛˋ.md) | [攉](攉.md) |  | huò | [動]
1.泛指揮手、搖手。唐．牟融〈謝惠劍〉詩：「感君三尺鐵，揮攉鬼神驚。」
2.將成堆的東西鏟到另一處或容器中。如：「攉土」、「攉煤」。 |</v>
      </c>
    </row>
    <row r="6304" spans="1:44" hidden="1">
      <c r="A6304" s="1" t="s">
        <v>12274</v>
      </c>
      <c r="C6304" s="1">
        <v>1</v>
      </c>
      <c r="D6304" s="1" t="str">
        <f>"05052"</f>
        <v>05052</v>
      </c>
      <c r="E6304" s="1" t="s">
        <v>336</v>
      </c>
      <c r="F6304" s="1">
        <v>20</v>
      </c>
      <c r="G6304" s="1">
        <v>16</v>
      </c>
      <c r="H6304" s="1">
        <v>0</v>
      </c>
      <c r="I6304" s="1" t="s">
        <v>12246</v>
      </c>
      <c r="K6304" s="1" t="str">
        <f t="shared" si="404"/>
        <v>ㄏ</v>
      </c>
      <c r="L6304" s="1" t="str">
        <f t="shared" si="405"/>
        <v>ㄨ</v>
      </c>
      <c r="M6304" s="1" t="str">
        <f t="shared" si="403"/>
        <v>ㄛ</v>
      </c>
      <c r="P6304" s="1" t="s">
        <v>20</v>
      </c>
      <c r="R6304" s="1" t="s">
        <v>12247</v>
      </c>
      <c r="V6304" s="1" t="s">
        <v>12275</v>
      </c>
      <c r="AR6304" s="1" t="str">
        <f t="shared" si="406"/>
        <v>| [ㄏㄨㄛˋ](ㄏㄨㄛˋ.md) | [㸌](㸌.md) |  | huò | [形]
閃爍、閃耀。南朝梁．元帝〈玄覽賦〉：「耆落星之嵷巃，睹㸌火之迢遙。」 |</v>
      </c>
    </row>
    <row r="6305" spans="1:44" hidden="1">
      <c r="A6305" s="1" t="s">
        <v>12276</v>
      </c>
      <c r="C6305" s="1">
        <v>1</v>
      </c>
      <c r="D6305" s="1" t="str">
        <f>"05053"</f>
        <v>05053</v>
      </c>
      <c r="E6305" s="1" t="s">
        <v>37</v>
      </c>
      <c r="F6305" s="1">
        <v>20</v>
      </c>
      <c r="G6305" s="1">
        <v>16</v>
      </c>
      <c r="H6305" s="1">
        <v>0</v>
      </c>
      <c r="I6305" s="1" t="s">
        <v>12246</v>
      </c>
      <c r="K6305" s="1" t="str">
        <f t="shared" si="404"/>
        <v>ㄏ</v>
      </c>
      <c r="L6305" s="1" t="str">
        <f t="shared" si="405"/>
        <v>ㄨ</v>
      </c>
      <c r="M6305" s="1" t="str">
        <f t="shared" si="403"/>
        <v>ㄛ</v>
      </c>
      <c r="P6305" s="1" t="s">
        <v>20</v>
      </c>
      <c r="R6305" s="1" t="s">
        <v>12247</v>
      </c>
      <c r="V6305" s="1" t="s">
        <v>12277</v>
      </c>
      <c r="AR6305" s="1" t="str">
        <f t="shared" si="406"/>
        <v>| [ㄏㄨㄛˋ](ㄏㄨㄛˋ.md) | [藿](藿.md) |  | huò | [名]
1.豆葉。清．王念孫《廣雅疏證．卷一〇上．釋草》：「豆角謂之莢，其葉謂之藿。」
2.植物名。蝶形花科菜豆屬，「菜豆」、「四季豆」之古稱，參見「菜豆」條。 |</v>
      </c>
    </row>
    <row r="6306" spans="1:44" hidden="1">
      <c r="A6306" s="1" t="s">
        <v>12278</v>
      </c>
      <c r="C6306" s="1">
        <v>1</v>
      </c>
      <c r="D6306" s="1" t="str">
        <f>"05054"</f>
        <v>05054</v>
      </c>
      <c r="E6306" s="1" t="s">
        <v>68</v>
      </c>
      <c r="F6306" s="1">
        <v>20</v>
      </c>
      <c r="G6306" s="1">
        <v>16</v>
      </c>
      <c r="H6306" s="1">
        <v>0</v>
      </c>
      <c r="I6306" s="1" t="s">
        <v>12246</v>
      </c>
      <c r="K6306" s="1" t="str">
        <f t="shared" si="404"/>
        <v>ㄏ</v>
      </c>
      <c r="L6306" s="1" t="str">
        <f t="shared" si="405"/>
        <v>ㄨ</v>
      </c>
      <c r="M6306" s="1" t="str">
        <f t="shared" si="403"/>
        <v>ㄛ</v>
      </c>
      <c r="P6306" s="1" t="s">
        <v>20</v>
      </c>
      <c r="R6306" s="1" t="s">
        <v>12247</v>
      </c>
      <c r="V6306" s="1" t="s">
        <v>12279</v>
      </c>
      <c r="AR6306" s="1" t="str">
        <f t="shared" si="406"/>
        <v>| [ㄏㄨㄛˋ](ㄏㄨㄛˋ.md) | [臛](臛.md) |  | huò | [名]
肉羹。《洛陽伽藍記．卷二．景寧寺》：「咀嚼菱藕，捃拾雞頭，蛙羹蚌臛，以為膳羞。」《聊齋志異．卷九．天宮》：「久之，腹餒，遂有女僮來，餉以麵餅，鴨臛，使捫啖之。」
[動]
烹煮。《文選．曹植．七啟》：「臛江東之潛鼉。」 |</v>
      </c>
    </row>
    <row r="6307" spans="1:44" hidden="1">
      <c r="A6307" s="1" t="s">
        <v>12280</v>
      </c>
      <c r="C6307" s="1">
        <v>1</v>
      </c>
      <c r="D6307" s="1" t="str">
        <f>"05055"</f>
        <v>05055</v>
      </c>
      <c r="E6307" s="1" t="s">
        <v>1015</v>
      </c>
      <c r="F6307" s="1">
        <v>21</v>
      </c>
      <c r="G6307" s="1">
        <v>16</v>
      </c>
      <c r="H6307" s="1">
        <v>0</v>
      </c>
      <c r="I6307" s="1" t="s">
        <v>12246</v>
      </c>
      <c r="K6307" s="1" t="str">
        <f t="shared" si="404"/>
        <v>ㄏ</v>
      </c>
      <c r="L6307" s="1" t="str">
        <f t="shared" si="405"/>
        <v>ㄨ</v>
      </c>
      <c r="M6307" s="1" t="str">
        <f t="shared" si="403"/>
        <v>ㄛ</v>
      </c>
      <c r="P6307" s="1" t="s">
        <v>20</v>
      </c>
      <c r="R6307" s="1" t="s">
        <v>12247</v>
      </c>
      <c r="V6307" s="1" t="s">
        <v>12281</v>
      </c>
      <c r="AR6307" s="1" t="str">
        <f t="shared" si="406"/>
        <v>| [ㄏㄨㄛˋ](ㄏㄨㄛˋ.md) | [矐](矐.md) |  | huò | [動]_x000D_
使人眼睛失明。《史記．卷八六．刺客列傳．荊軻》：「秦皇帝惜其善擊筑，重赦之，乃矐其目。」 |</v>
      </c>
    </row>
    <row r="6308" spans="1:44" hidden="1">
      <c r="A6308" s="1" t="s">
        <v>12282</v>
      </c>
      <c r="C6308" s="1">
        <v>1</v>
      </c>
      <c r="D6308" s="1" t="str">
        <f>"05056"</f>
        <v>05056</v>
      </c>
      <c r="E6308" s="1" t="s">
        <v>129</v>
      </c>
      <c r="F6308" s="1">
        <v>17</v>
      </c>
      <c r="G6308" s="1">
        <v>14</v>
      </c>
      <c r="H6308" s="1">
        <v>0</v>
      </c>
      <c r="I6308" s="1" t="s">
        <v>12246</v>
      </c>
      <c r="K6308" s="1" t="str">
        <f t="shared" si="404"/>
        <v>ㄏ</v>
      </c>
      <c r="L6308" s="1" t="str">
        <f t="shared" si="405"/>
        <v>ㄨ</v>
      </c>
      <c r="M6308" s="1" t="str">
        <f t="shared" si="403"/>
        <v>ㄛ</v>
      </c>
      <c r="P6308" s="1" t="s">
        <v>20</v>
      </c>
      <c r="R6308" s="1" t="s">
        <v>12247</v>
      </c>
      <c r="V6308" s="1" t="s">
        <v>12283</v>
      </c>
      <c r="AR6308" s="1" t="str">
        <f t="shared" si="406"/>
        <v>| [ㄏㄨㄛˋ](ㄏㄨㄛˋ.md) | [濩](濩.md) |  | huò | [形]
雨水從屋簷向下流的樣子。《說文解字．水部》：「濩，雨流霤下貌。」
[動]
煮。通「鑊」。《詩經．周南．葛覃》：「維葉莫莫，是刈是鑊。」漢．毛亨．傳：「濩，煮之也。」 |</v>
      </c>
    </row>
    <row r="6309" spans="1:44" hidden="1">
      <c r="A6309" s="1" t="s">
        <v>12284</v>
      </c>
      <c r="C6309" s="1">
        <v>1</v>
      </c>
      <c r="D6309" s="1" t="str">
        <f>"05057"</f>
        <v>05057</v>
      </c>
      <c r="E6309" s="1" t="s">
        <v>24</v>
      </c>
      <c r="F6309" s="1">
        <v>17</v>
      </c>
      <c r="G6309" s="1">
        <v>14</v>
      </c>
      <c r="H6309" s="1">
        <v>0</v>
      </c>
      <c r="I6309" s="1" t="s">
        <v>12246</v>
      </c>
      <c r="K6309" s="1" t="str">
        <f t="shared" si="404"/>
        <v>ㄏ</v>
      </c>
      <c r="L6309" s="1" t="str">
        <f t="shared" si="405"/>
        <v>ㄨ</v>
      </c>
      <c r="M6309" s="1" t="str">
        <f t="shared" si="403"/>
        <v>ㄛ</v>
      </c>
      <c r="P6309" s="1" t="s">
        <v>20</v>
      </c>
      <c r="R6309" s="1" t="s">
        <v>12247</v>
      </c>
      <c r="V6309" s="1" t="s">
        <v>12285</v>
      </c>
      <c r="AR6309" s="1" t="str">
        <f t="shared" si="406"/>
        <v>| [ㄏㄨㄛˋ](ㄏㄨㄛˋ.md) | [擭](擭.md) |  | huò | [名]
捕捉野獸的機關木籠。《周禮．秋官．雍氏》：「春令為阱、擭、溝瀆之利於民者，秋令塞阱杜擭。」《禮記．中庸》：「人皆曰予知，驅而納諸罟擭陷阱之中，而莫之知辟也。」 |</v>
      </c>
    </row>
    <row r="6310" spans="1:44" hidden="1">
      <c r="A6310" s="1" t="s">
        <v>12286</v>
      </c>
      <c r="C6310" s="1">
        <v>1</v>
      </c>
      <c r="D6310" s="1" t="str">
        <f>"05058"</f>
        <v>05058</v>
      </c>
      <c r="E6310" s="1" t="s">
        <v>28</v>
      </c>
      <c r="F6310" s="1">
        <v>17</v>
      </c>
      <c r="G6310" s="1">
        <v>14</v>
      </c>
      <c r="H6310" s="1">
        <v>1</v>
      </c>
      <c r="I6310" s="1" t="s">
        <v>12246</v>
      </c>
      <c r="K6310" s="1" t="str">
        <f t="shared" si="404"/>
        <v>ㄏ</v>
      </c>
      <c r="L6310" s="1" t="str">
        <f t="shared" si="405"/>
        <v>ㄨ</v>
      </c>
      <c r="M6310" s="1" t="str">
        <f t="shared" si="403"/>
        <v>ㄛ</v>
      </c>
      <c r="P6310" s="1" t="s">
        <v>20</v>
      </c>
      <c r="R6310" s="1" t="s">
        <v>12247</v>
      </c>
      <c r="V6310" s="1" t="s">
        <v>12287</v>
      </c>
      <c r="W6310" s="1" t="s">
        <v>12288</v>
      </c>
      <c r="AR6310" s="1" t="str">
        <f t="shared" si="406"/>
        <v>| [ㄏㄨㄛˋ](ㄏㄨㄛˋ.md) | [嚄](嚄.md) |  | huò | [歎]
1.表驚愕失聲的語氣。《史記．卷四九．外戚世家》：「武帝下車泣曰：『嚄！大姊，何藏之深也！』」
2.表讚美的語氣。如：「嚄！瞧你多能幹。」 |</v>
      </c>
    </row>
    <row r="6311" spans="1:44" hidden="1">
      <c r="A6311" s="1" t="s">
        <v>12289</v>
      </c>
      <c r="C6311" s="1">
        <v>1</v>
      </c>
      <c r="D6311" s="1" t="str">
        <f>"05059"</f>
        <v>05059</v>
      </c>
      <c r="E6311" s="1" t="s">
        <v>198</v>
      </c>
      <c r="F6311" s="1">
        <v>17</v>
      </c>
      <c r="G6311" s="1">
        <v>14</v>
      </c>
      <c r="H6311" s="1">
        <v>1</v>
      </c>
      <c r="I6311" s="1" t="s">
        <v>12246</v>
      </c>
      <c r="K6311" s="1" t="str">
        <f t="shared" si="404"/>
        <v>ㄏ</v>
      </c>
      <c r="L6311" s="1" t="str">
        <f t="shared" si="405"/>
        <v>ㄨ</v>
      </c>
      <c r="M6311" s="1" t="str">
        <f t="shared" si="403"/>
        <v>ㄛ</v>
      </c>
      <c r="P6311" s="1" t="s">
        <v>20</v>
      </c>
      <c r="R6311" s="1" t="s">
        <v>12247</v>
      </c>
      <c r="V6311" s="1" t="s">
        <v>12290</v>
      </c>
      <c r="W6311" s="1" t="s">
        <v>12291</v>
      </c>
      <c r="AR6311" s="1" t="str">
        <f t="shared" si="406"/>
        <v>| [ㄏㄨㄛˋ](ㄏㄨㄛˋ.md) | [獲](獲.md) |  | huò | [動]
1.獵取、獵得。《易經．解卦．九二》：「田獲三狐，得黃矢，貞吉。」《孟子．滕文公下》：「終日而不獲一禽。」
2.取得、得到。如：「獲勝」、「查獲」、「虜獲」、「不勞而獲」。《文選．楊惲．報孫會宗書》：「遭遇時變，以獲爵位。」《金史．卷九十．賈少沖傳》：「家貧甚，嘗道中獲遺金，訪其主歸之。」
3.遭受、遭到。如：「獲罪」。《紅樓夢》第九三回：「弟因菲材獲譴，自分萬死難償，幸邀寬宥，待罪邊隅。」
[名]
獵物，打獵所得的東西。《呂氏春秋．不苟論．貴當》：「田獵之獲，常過人矣。」《文選．司馬相如．上林賦》：「忘國家之政，貪雉兔之獲，則仁者不繇也。」
[副]
能夠、可以。如：「不獲前來」、「不獲面辭」。《文選．王粲．從軍詩五首之一》：「歌舞入鄴城，所願獲無違。」 |</v>
      </c>
    </row>
    <row r="6312" spans="1:44" hidden="1">
      <c r="A6312" s="1" t="s">
        <v>12292</v>
      </c>
      <c r="C6312" s="1">
        <v>1</v>
      </c>
      <c r="D6312" s="1" t="str">
        <f>"05060"</f>
        <v>05060</v>
      </c>
      <c r="E6312" s="1" t="s">
        <v>5383</v>
      </c>
      <c r="F6312" s="1">
        <v>18</v>
      </c>
      <c r="G6312" s="1">
        <v>10</v>
      </c>
      <c r="H6312" s="1">
        <v>1</v>
      </c>
      <c r="I6312" s="1" t="s">
        <v>12246</v>
      </c>
      <c r="K6312" s="1" t="str">
        <f t="shared" si="404"/>
        <v>ㄏ</v>
      </c>
      <c r="L6312" s="1" t="str">
        <f t="shared" si="405"/>
        <v>ㄨ</v>
      </c>
      <c r="M6312" s="1" t="str">
        <f t="shared" si="403"/>
        <v>ㄛ</v>
      </c>
      <c r="P6312" s="1" t="s">
        <v>20</v>
      </c>
      <c r="R6312" s="1" t="s">
        <v>12247</v>
      </c>
      <c r="V6312" s="1" t="s">
        <v>12293</v>
      </c>
      <c r="W6312" s="1" t="s">
        <v>12294</v>
      </c>
      <c r="AR6312" s="1" t="str">
        <f t="shared" si="406"/>
        <v>| [ㄏㄨㄛˋ](ㄏㄨㄛˋ.md) | [雘](雘.md) |  | huò | [名]
一種赤色的石脂，可做顏料。《書經．梓材》：「若作梓材，既勤撲斲，惟其塗丹雘。」 |</v>
      </c>
    </row>
    <row r="6313" spans="1:44" hidden="1">
      <c r="A6313" s="1" t="s">
        <v>12295</v>
      </c>
      <c r="C6313" s="1">
        <v>1</v>
      </c>
      <c r="D6313" s="1" t="str">
        <f>"05061"</f>
        <v>05061</v>
      </c>
      <c r="E6313" s="1" t="s">
        <v>122</v>
      </c>
      <c r="F6313" s="1">
        <v>19</v>
      </c>
      <c r="G6313" s="1">
        <v>14</v>
      </c>
      <c r="H6313" s="1">
        <v>1</v>
      </c>
      <c r="I6313" s="1" t="s">
        <v>12246</v>
      </c>
      <c r="K6313" s="1" t="str">
        <f t="shared" si="404"/>
        <v>ㄏ</v>
      </c>
      <c r="L6313" s="1" t="str">
        <f t="shared" si="405"/>
        <v>ㄨ</v>
      </c>
      <c r="M6313" s="1" t="str">
        <f t="shared" si="403"/>
        <v>ㄛ</v>
      </c>
      <c r="P6313" s="1" t="s">
        <v>20</v>
      </c>
      <c r="R6313" s="1" t="s">
        <v>12247</v>
      </c>
      <c r="V6313" s="1" t="s">
        <v>12296</v>
      </c>
      <c r="W6313" s="1" t="s">
        <v>12297</v>
      </c>
      <c r="AR6313" s="1" t="str">
        <f t="shared" si="406"/>
        <v>| [ㄏㄨㄛˋ](ㄏㄨㄛˋ.md) | [矱](矱.md) |  | huò | [名]
尺度、標準。《楚辭．屈原．離騷》：「勉陞降以上下兮，求矩矱之所同。」《後漢書．卷五二．崔駰傳》：「協準矱之貞度兮，同斷金之玄策。」 |</v>
      </c>
    </row>
    <row r="6314" spans="1:44" hidden="1">
      <c r="A6314" s="1" t="s">
        <v>12152</v>
      </c>
      <c r="C6314" s="1">
        <v>1</v>
      </c>
      <c r="D6314" s="1" t="str">
        <f>"05062"</f>
        <v>05062</v>
      </c>
      <c r="E6314" s="1" t="s">
        <v>429</v>
      </c>
      <c r="F6314" s="1">
        <v>19</v>
      </c>
      <c r="G6314" s="1">
        <v>14</v>
      </c>
      <c r="H6314" s="1">
        <v>1</v>
      </c>
      <c r="I6314" s="1" t="s">
        <v>12246</v>
      </c>
      <c r="K6314" s="1" t="str">
        <f t="shared" si="404"/>
        <v>ㄏ</v>
      </c>
      <c r="L6314" s="1" t="str">
        <f t="shared" si="405"/>
        <v>ㄨ</v>
      </c>
      <c r="M6314" s="1" t="str">
        <f t="shared" si="403"/>
        <v>ㄛ</v>
      </c>
      <c r="P6314" s="1" t="s">
        <v>20</v>
      </c>
      <c r="R6314" s="1" t="s">
        <v>12247</v>
      </c>
      <c r="V6314" s="1" t="s">
        <v>12298</v>
      </c>
      <c r="W6314" s="1" t="s">
        <v>12299</v>
      </c>
      <c r="AR6314" s="1" t="str">
        <f t="shared" si="406"/>
        <v>| [ㄏㄨㄛˋ](ㄏㄨㄛˋ.md) | [穫](穫.md) |  | huò | [動]
1.收割農作物。《書經．金縢》：「秋，大熟，未穫，天大雷電，以風，禾盡偃。」《詩經．豳風．七月》：「八月剝棗，十月穫稻。」
2.獲得。通「獲」。《呂氏春秋．士容論．審時》：「斬木不時不折，必穗稼就而不穫。」
[名]
指農作物的收成次數。如：「一年二穫」。《管子．權修》：「一樹一穫者，穀也；一樹十穫者，木也；一樹百穫者，人也。」 |</v>
      </c>
    </row>
    <row r="6315" spans="1:44" hidden="1">
      <c r="A6315" s="1" t="s">
        <v>12300</v>
      </c>
      <c r="C6315" s="1">
        <v>1</v>
      </c>
      <c r="D6315" s="1" t="str">
        <f>"05063"</f>
        <v>05063</v>
      </c>
      <c r="E6315" s="1" t="s">
        <v>679</v>
      </c>
      <c r="F6315" s="1">
        <v>20</v>
      </c>
      <c r="G6315" s="1">
        <v>14</v>
      </c>
      <c r="H6315" s="1">
        <v>1</v>
      </c>
      <c r="I6315" s="1" t="s">
        <v>12246</v>
      </c>
      <c r="K6315" s="1" t="str">
        <f t="shared" si="404"/>
        <v>ㄏ</v>
      </c>
      <c r="L6315" s="1" t="str">
        <f t="shared" si="405"/>
        <v>ㄨ</v>
      </c>
      <c r="M6315" s="1" t="str">
        <f t="shared" si="403"/>
        <v>ㄛ</v>
      </c>
      <c r="P6315" s="1" t="s">
        <v>20</v>
      </c>
      <c r="R6315" s="1" t="s">
        <v>12247</v>
      </c>
      <c r="V6315" s="1" t="s">
        <v>12301</v>
      </c>
      <c r="W6315" s="1" t="s">
        <v>12302</v>
      </c>
      <c r="AR6315" s="1" t="str">
        <f t="shared" si="406"/>
        <v>| [ㄏㄨㄛˋ](ㄏㄨㄛˋ.md) | [蠖](蠖.md) |  | huò | 參見「尺蠖」條。 |</v>
      </c>
    </row>
    <row r="6316" spans="1:44" hidden="1">
      <c r="A6316" s="1" t="s">
        <v>12303</v>
      </c>
      <c r="C6316" s="1">
        <v>1</v>
      </c>
      <c r="D6316" s="1" t="str">
        <f>"05064"</f>
        <v>05064</v>
      </c>
      <c r="E6316" s="1" t="s">
        <v>55</v>
      </c>
      <c r="F6316" s="1">
        <v>22</v>
      </c>
      <c r="G6316" s="1">
        <v>14</v>
      </c>
      <c r="H6316" s="1">
        <v>0</v>
      </c>
      <c r="I6316" s="1" t="s">
        <v>12246</v>
      </c>
      <c r="K6316" s="1" t="str">
        <f t="shared" si="404"/>
        <v>ㄏ</v>
      </c>
      <c r="L6316" s="1" t="str">
        <f t="shared" si="405"/>
        <v>ㄨ</v>
      </c>
      <c r="M6316" s="1" t="str">
        <f t="shared" si="403"/>
        <v>ㄛ</v>
      </c>
      <c r="P6316" s="1" t="s">
        <v>20</v>
      </c>
      <c r="R6316" s="1" t="s">
        <v>12247</v>
      </c>
      <c r="V6316" s="1" t="s">
        <v>12304</v>
      </c>
      <c r="AR6316" s="1" t="str">
        <f t="shared" si="406"/>
        <v>| [ㄏㄨㄛˋ](ㄏㄨㄛˋ.md) | [鑊](鑊.md) |  | huò | [名]
1.古代烹煮食物的大鍋。《周禮．天官．亨人》：「亨人掌共鼎鑊，以給水火之齊。」
2.古代一種烹人的刑具。《史記．卷八一．廉頗藺相如傳》：「臣知欺大王之罪當誅，臣請就湯鑊。」《南史．卷八〇．賊臣傳．侯景傳》：「魏相高澄悉命先剝景妻子面皮，以大鐵鑊盛油煎殺之。」 |</v>
      </c>
    </row>
    <row r="6317" spans="1:44" hidden="1">
      <c r="A6317" s="1" t="s">
        <v>11608</v>
      </c>
      <c r="C6317" s="1">
        <v>1</v>
      </c>
      <c r="D6317" s="1" t="str">
        <f>"05065"</f>
        <v>05065</v>
      </c>
      <c r="E6317" s="1" t="s">
        <v>10156</v>
      </c>
      <c r="F6317" s="1">
        <v>17</v>
      </c>
      <c r="G6317" s="1">
        <v>10</v>
      </c>
      <c r="H6317" s="1">
        <v>2</v>
      </c>
      <c r="I6317" s="1" t="s">
        <v>12246</v>
      </c>
      <c r="K6317" s="1" t="str">
        <f t="shared" si="404"/>
        <v>ㄏ</v>
      </c>
      <c r="L6317" s="1" t="str">
        <f t="shared" si="405"/>
        <v>ㄨ</v>
      </c>
      <c r="M6317" s="1" t="str">
        <f t="shared" si="403"/>
        <v>ㄛ</v>
      </c>
      <c r="P6317" s="1" t="s">
        <v>20</v>
      </c>
      <c r="R6317" s="1" t="s">
        <v>12247</v>
      </c>
      <c r="V6317" s="1" t="s">
        <v>12305</v>
      </c>
      <c r="W6317" s="1" t="s">
        <v>12306</v>
      </c>
      <c r="AR6317" s="1" t="str">
        <f t="shared" si="406"/>
        <v>| [ㄏㄨㄛˋ](ㄏㄨㄛˋ.md) | [豁](豁.md) |  | huò | [名]
通敞的山谷。《說文解字．谷部》：「豁，通谷也。」
[動]
1.舒張、舒展。宋．陸游〈暮秋遣興〉詩：「如虹壯氣終難豁，安得雲濤萬里舟。」《資治通鑑．卷二八〇．後晉紀一．高祖天福元年》：「卿言殊豁吾意，成敗吾決行之。」
2.排遣、發洩。南朝宋．劉義慶《世說新語．雅量》：「於是豁情散哀，顏色自若。」《水滸傳》第五七回：「先殺你這個禿驢，豁我心中怒氣。」
3.免除。如：「豁免糧捐」、「豁免罪犯」。
4.不顧、捨棄。如：「豁出性命」。
[形]
開朗、寬敞。《紅樓夢》第一七、一八回：「再進數步，漸向此邊，平坦寬豁，兩邊飛樓插空，雕薨繡檻，皆隱於山坳樹杪之間。」
[副]
1.開通、開闊。如：「豁達」、「豁然」。《史記．卷八．高祖本紀》：「仁而愛人，喜施，意豁如也。」
2.很快、一下子。元．關漢卿《拜月亭》第一折：「每常我聽得綽的說個女婿，我早豁的離了坐位。」 |</v>
      </c>
    </row>
    <row r="6318" spans="1:44" hidden="1">
      <c r="A6318" s="1" t="s">
        <v>12307</v>
      </c>
      <c r="C6318" s="1">
        <v>1</v>
      </c>
      <c r="D6318" s="1" t="str">
        <f>"05066"</f>
        <v>05066</v>
      </c>
      <c r="E6318" s="1" t="s">
        <v>331</v>
      </c>
      <c r="F6318" s="1">
        <v>17</v>
      </c>
      <c r="G6318" s="1">
        <v>10</v>
      </c>
      <c r="H6318" s="1">
        <v>0</v>
      </c>
      <c r="I6318" s="1" t="s">
        <v>12246</v>
      </c>
      <c r="K6318" s="1" t="str">
        <f t="shared" si="404"/>
        <v>ㄏ</v>
      </c>
      <c r="L6318" s="1" t="str">
        <f t="shared" si="405"/>
        <v>ㄨ</v>
      </c>
      <c r="M6318" s="1" t="str">
        <f t="shared" si="403"/>
        <v>ㄛ</v>
      </c>
      <c r="P6318" s="1" t="s">
        <v>20</v>
      </c>
      <c r="R6318" s="1" t="s">
        <v>12247</v>
      </c>
      <c r="V6318" s="1" t="s">
        <v>12308</v>
      </c>
      <c r="AR6318" s="1" t="str">
        <f t="shared" si="406"/>
        <v>| [ㄏㄨㄛˋ](ㄏㄨㄛˋ.md) | [謋](謋.md) |  | huò | 參見「謋然」條。 |</v>
      </c>
    </row>
    <row r="6319" spans="1:44" hidden="1">
      <c r="A6319" s="1" t="s">
        <v>12309</v>
      </c>
      <c r="C6319" s="1">
        <v>1</v>
      </c>
      <c r="D6319" s="1" t="str">
        <f>"05067"</f>
        <v>05067</v>
      </c>
      <c r="E6319" s="1" t="s">
        <v>132</v>
      </c>
      <c r="F6319" s="1">
        <v>17</v>
      </c>
      <c r="G6319" s="1">
        <v>14</v>
      </c>
      <c r="H6319" s="1">
        <v>0</v>
      </c>
      <c r="I6319" s="1" t="s">
        <v>12246</v>
      </c>
      <c r="K6319" s="1" t="str">
        <f t="shared" si="404"/>
        <v>ㄏ</v>
      </c>
      <c r="L6319" s="1" t="str">
        <f t="shared" si="405"/>
        <v>ㄨ</v>
      </c>
      <c r="M6319" s="1" t="str">
        <f t="shared" si="403"/>
        <v>ㄛ</v>
      </c>
      <c r="P6319" s="1" t="s">
        <v>20</v>
      </c>
      <c r="R6319" s="1" t="s">
        <v>12247</v>
      </c>
      <c r="V6319" s="1" t="s">
        <v>12310</v>
      </c>
      <c r="AR6319" s="1" t="str">
        <f t="shared" si="406"/>
        <v>| [ㄏㄨㄛˋ](ㄏㄨㄛˋ.md) | [壑](壑.md) |  | huò | [名]
1.谷、溝。如：「丘壑」、「溝壑」、「千山萬壑」。唐．王維〈終南山〉詩：「分野中峰變，陰晴眾壑殊。」《浮生六記．卷二．閒情記趣》：「以叢草為林，以蟲蟻為獸；以土礫凸者為邱，凹者為壑。」
2.坑洞。《孟子．滕文公上》：「蓋上世嘗有不葬其親者，其親死，則舉而委之於壑。」 |</v>
      </c>
    </row>
    <row r="6320" spans="1:44" hidden="1">
      <c r="A6320" s="1" t="s">
        <v>12318</v>
      </c>
      <c r="C6320" s="1">
        <v>1</v>
      </c>
      <c r="D6320" s="1" t="str">
        <f>"05070"</f>
        <v>05070</v>
      </c>
      <c r="E6320" s="1" t="s">
        <v>114</v>
      </c>
      <c r="F6320" s="1">
        <v>8</v>
      </c>
      <c r="G6320" s="1">
        <v>6</v>
      </c>
      <c r="H6320" s="1">
        <v>1</v>
      </c>
      <c r="I6320" s="1" t="s">
        <v>12319</v>
      </c>
      <c r="K6320" s="1" t="str">
        <f t="shared" si="404"/>
        <v>ㄏ</v>
      </c>
      <c r="L6320" s="1" t="str">
        <f t="shared" si="405"/>
        <v>ㄨ</v>
      </c>
      <c r="M6320" s="1" t="str">
        <f t="shared" si="403"/>
        <v>ㄞ</v>
      </c>
      <c r="P6320" s="1" t="s">
        <v>20</v>
      </c>
      <c r="R6320" s="1" t="s">
        <v>12320</v>
      </c>
      <c r="V6320" s="1" t="s">
        <v>12321</v>
      </c>
      <c r="W6320" s="1" t="s">
        <v>12322</v>
      </c>
      <c r="AR6320" s="1" t="str">
        <f t="shared" si="406"/>
        <v>| [ㄏㄨㄞˊ](ㄏㄨㄞˊ.md) | [佪](佪.md) |  | huái | 參見「俳佪」條。 |</v>
      </c>
    </row>
    <row r="6321" spans="1:44" hidden="1">
      <c r="A6321" s="1" t="s">
        <v>12323</v>
      </c>
      <c r="C6321" s="1">
        <v>1</v>
      </c>
      <c r="D6321" s="1" t="str">
        <f>"05071"</f>
        <v>05071</v>
      </c>
      <c r="E6321" s="1" t="s">
        <v>234</v>
      </c>
      <c r="F6321" s="1">
        <v>9</v>
      </c>
      <c r="G6321" s="1">
        <v>6</v>
      </c>
      <c r="H6321" s="1">
        <v>1</v>
      </c>
      <c r="I6321" s="1" t="s">
        <v>12319</v>
      </c>
      <c r="K6321" s="1" t="str">
        <f t="shared" si="404"/>
        <v>ㄏ</v>
      </c>
      <c r="L6321" s="1" t="str">
        <f t="shared" si="405"/>
        <v>ㄨ</v>
      </c>
      <c r="M6321" s="1" t="str">
        <f t="shared" si="403"/>
        <v>ㄞ</v>
      </c>
      <c r="P6321" s="1" t="s">
        <v>20</v>
      </c>
      <c r="R6321" s="1" t="s">
        <v>12320</v>
      </c>
      <c r="V6321" s="1" t="s">
        <v>1651</v>
      </c>
      <c r="W6321" s="1" t="s">
        <v>12324</v>
      </c>
      <c r="AR6321" s="1" t="str">
        <f t="shared" si="406"/>
        <v>| [ㄏㄨㄞˊ](ㄏㄨㄞˊ.md) | [徊](徊.md) |  | huái | 參見「徘徊」條。 |</v>
      </c>
    </row>
    <row r="6322" spans="1:44" hidden="1">
      <c r="A6322" s="1" t="s">
        <v>12325</v>
      </c>
      <c r="C6322" s="1">
        <v>1</v>
      </c>
      <c r="D6322" s="1" t="str">
        <f>"05072"</f>
        <v>05072</v>
      </c>
      <c r="E6322" s="1" t="s">
        <v>129</v>
      </c>
      <c r="F6322" s="1">
        <v>11</v>
      </c>
      <c r="G6322" s="1">
        <v>8</v>
      </c>
      <c r="H6322" s="1">
        <v>0</v>
      </c>
      <c r="I6322" s="1" t="s">
        <v>12319</v>
      </c>
      <c r="K6322" s="1" t="str">
        <f t="shared" si="404"/>
        <v>ㄏ</v>
      </c>
      <c r="L6322" s="1" t="str">
        <f t="shared" si="405"/>
        <v>ㄨ</v>
      </c>
      <c r="M6322" s="1" t="str">
        <f t="shared" si="403"/>
        <v>ㄞ</v>
      </c>
      <c r="P6322" s="1" t="s">
        <v>20</v>
      </c>
      <c r="R6322" s="1" t="s">
        <v>12320</v>
      </c>
      <c r="V6322" s="1" t="s">
        <v>12326</v>
      </c>
      <c r="AR6322" s="1" t="str">
        <f t="shared" si="406"/>
        <v>| [ㄏㄨㄞˊ](ㄏㄨㄞˊ.md) | [淮](淮.md) |  | huái | 參見「淮河」條。 |</v>
      </c>
    </row>
    <row r="6323" spans="1:44" hidden="1">
      <c r="A6323" s="1" t="s">
        <v>12327</v>
      </c>
      <c r="C6323" s="1">
        <v>1</v>
      </c>
      <c r="D6323" s="1" t="str">
        <f>"05073"</f>
        <v>05073</v>
      </c>
      <c r="E6323" s="1" t="s">
        <v>139</v>
      </c>
      <c r="F6323" s="1">
        <v>14</v>
      </c>
      <c r="G6323" s="1">
        <v>10</v>
      </c>
      <c r="H6323" s="1">
        <v>0</v>
      </c>
      <c r="I6323" s="1" t="s">
        <v>12319</v>
      </c>
      <c r="K6323" s="1" t="str">
        <f t="shared" si="404"/>
        <v>ㄏ</v>
      </c>
      <c r="L6323" s="1" t="str">
        <f t="shared" si="405"/>
        <v>ㄨ</v>
      </c>
      <c r="M6323" s="1" t="str">
        <f t="shared" si="403"/>
        <v>ㄞ</v>
      </c>
      <c r="P6323" s="1" t="s">
        <v>20</v>
      </c>
      <c r="R6323" s="1" t="s">
        <v>12320</v>
      </c>
      <c r="V6323" s="1" t="s">
        <v>12328</v>
      </c>
      <c r="AR6323" s="1" t="str">
        <f t="shared" si="406"/>
        <v>| [ㄏㄨㄞˊ](ㄏㄨㄞˊ.md) | [槐](槐.md) |  | huái | [名]
植物名。豆科槐樹屬，「豆槐」、「槐樹」之簡稱，參見「豆槐」條。 |</v>
      </c>
    </row>
    <row r="6324" spans="1:44" hidden="1">
      <c r="A6324" s="1" t="s">
        <v>12329</v>
      </c>
      <c r="C6324" s="1">
        <v>1</v>
      </c>
      <c r="D6324" s="1" t="str">
        <f>"05074"</f>
        <v>05074</v>
      </c>
      <c r="E6324" s="1" t="s">
        <v>340</v>
      </c>
      <c r="F6324" s="1">
        <v>16</v>
      </c>
      <c r="G6324" s="1">
        <v>10</v>
      </c>
      <c r="H6324" s="1">
        <v>0</v>
      </c>
      <c r="I6324" s="1" t="s">
        <v>12319</v>
      </c>
      <c r="K6324" s="1" t="str">
        <f t="shared" si="404"/>
        <v>ㄏ</v>
      </c>
      <c r="L6324" s="1" t="str">
        <f t="shared" si="405"/>
        <v>ㄨ</v>
      </c>
      <c r="M6324" s="1" t="str">
        <f t="shared" si="403"/>
        <v>ㄞ</v>
      </c>
      <c r="P6324" s="1" t="s">
        <v>20</v>
      </c>
      <c r="R6324" s="1" t="s">
        <v>12320</v>
      </c>
      <c r="V6324" s="1" t="s">
        <v>12330</v>
      </c>
      <c r="AR6324" s="1" t="str">
        <f t="shared" si="406"/>
        <v>| [ㄏㄨㄞˊ](ㄏㄨㄞˊ.md) | [褢](褢.md) |  | huái | [動]
懷著，內心存著某種意念。同「懷」。《漢書．卷九七．外戚傳下．孝成許皇后傳》：「將相大臣褢誠秉忠，唯義是從。」唐．顏師古．注：「褢，古懷字。」 |</v>
      </c>
    </row>
    <row r="6325" spans="1:44" hidden="1">
      <c r="A6325" s="1" t="s">
        <v>12221</v>
      </c>
      <c r="C6325" s="1">
        <v>1</v>
      </c>
      <c r="D6325" s="1" t="str">
        <f>"05075"</f>
        <v>05075</v>
      </c>
      <c r="E6325" s="1" t="s">
        <v>77</v>
      </c>
      <c r="F6325" s="1">
        <v>15</v>
      </c>
      <c r="G6325" s="1">
        <v>8</v>
      </c>
      <c r="H6325" s="1">
        <v>1</v>
      </c>
      <c r="I6325" s="1" t="s">
        <v>12319</v>
      </c>
      <c r="K6325" s="1" t="str">
        <f t="shared" si="404"/>
        <v>ㄏ</v>
      </c>
      <c r="L6325" s="1" t="str">
        <f t="shared" si="405"/>
        <v>ㄨ</v>
      </c>
      <c r="M6325" s="1" t="str">
        <f t="shared" si="403"/>
        <v>ㄞ</v>
      </c>
      <c r="P6325" s="1" t="s">
        <v>388</v>
      </c>
      <c r="R6325" s="1" t="s">
        <v>12320</v>
      </c>
      <c r="V6325" s="1" t="s">
        <v>12331</v>
      </c>
      <c r="W6325" s="1" t="s">
        <v>12332</v>
      </c>
      <c r="AR6325" s="1" t="str">
        <f t="shared" si="406"/>
        <v>| [ㄏㄨㄞˊ](ㄏㄨㄞˊ.md) | [踝](踝.md) |  | huái | [名]
1.小腿和腳底連接處，左右兩旁凸起的圓骨稱為「踝」。《說文解字．足部》：「踝，足踝也。」清．段玉裁．注：「踝者，人足左右骨隆然圜者也。在外者謂之外踝，在內者謂之內踝。」如：「腳踝」。
2.腳後跟。《禮記．深衣》：「曲袷如矩以應方，負繩及踝以應直。」漢．鄭玄．注：「踝，跟也。」 |</v>
      </c>
    </row>
    <row r="6326" spans="1:44" hidden="1">
      <c r="A6326" s="1" t="s">
        <v>12333</v>
      </c>
      <c r="C6326" s="1">
        <v>1</v>
      </c>
      <c r="D6326" s="1" t="str">
        <f>"05076"</f>
        <v>05076</v>
      </c>
      <c r="E6326" s="1" t="s">
        <v>340</v>
      </c>
      <c r="F6326" s="1">
        <v>16</v>
      </c>
      <c r="G6326" s="1">
        <v>10</v>
      </c>
      <c r="H6326" s="1">
        <v>0</v>
      </c>
      <c r="I6326" s="1" t="s">
        <v>12319</v>
      </c>
      <c r="K6326" s="1" t="str">
        <f t="shared" si="404"/>
        <v>ㄏ</v>
      </c>
      <c r="L6326" s="1" t="str">
        <f t="shared" si="405"/>
        <v>ㄨ</v>
      </c>
      <c r="M6326" s="1" t="str">
        <f t="shared" si="403"/>
        <v>ㄞ</v>
      </c>
      <c r="P6326" s="1" t="s">
        <v>20</v>
      </c>
      <c r="R6326" s="1" t="s">
        <v>12320</v>
      </c>
      <c r="V6326" s="1" t="s">
        <v>12334</v>
      </c>
      <c r="AR6326" s="1" t="str">
        <f t="shared" si="406"/>
        <v>| [ㄏㄨㄞˊ](ㄏㄨㄞˊ.md) | [褱](褱.md) |  | huái | [動]
1.懷孕。同「懷」。《漢書．卷九七．外戚傳下．孝成趙皇后傳》：「元延二年褱子，其十一月乳。」
2.包圍。同「懷」。《漢書．卷二八．地理志上．序》：「堯遭洪水，褱山襄陵。」 |</v>
      </c>
    </row>
    <row r="6327" spans="1:44" hidden="1">
      <c r="A6327" s="1" t="s">
        <v>12335</v>
      </c>
      <c r="C6327" s="1">
        <v>1</v>
      </c>
      <c r="D6327" s="1" t="str">
        <f>"05077"</f>
        <v>05077</v>
      </c>
      <c r="E6327" s="1" t="s">
        <v>250</v>
      </c>
      <c r="F6327" s="1">
        <v>19</v>
      </c>
      <c r="G6327" s="1">
        <v>16</v>
      </c>
      <c r="H6327" s="1">
        <v>0</v>
      </c>
      <c r="I6327" s="1" t="s">
        <v>12319</v>
      </c>
      <c r="K6327" s="1" t="str">
        <f t="shared" si="404"/>
        <v>ㄏ</v>
      </c>
      <c r="L6327" s="1" t="str">
        <f t="shared" si="405"/>
        <v>ㄨ</v>
      </c>
      <c r="M6327" s="1" t="str">
        <f t="shared" si="403"/>
        <v>ㄞ</v>
      </c>
      <c r="P6327" s="1" t="s">
        <v>20</v>
      </c>
      <c r="R6327" s="1" t="s">
        <v>12320</v>
      </c>
      <c r="V6327" s="1" t="s">
        <v>12336</v>
      </c>
      <c r="AR6327" s="1" t="str">
        <f t="shared" si="406"/>
        <v>| [ㄏㄨㄞˊ](ㄏㄨㄞˊ.md) | [懷](懷.md) |  | huái | [名]
1.胸前、胸部。如：「躺在媽媽的懷裡。」
2.內心、心中。如：「耿耿於懷」。
3.胸襟、抱負。如：「胸懷」、「襟懷」、「壯懷激烈」。
4.心意、心緒。如：「正中下懷」、「少女情懷總是詩」。晉．陶淵明〈飲酒詩〉二〇首之九：「問子為誰歟？田父有好懷。」《聊齋志異．卷一〇．賈奉雉》：「賈取文稿自閱之，大非本懷，怏怏不自得。」
5.姓。如三國時吳國有懷敘。
[動]
1.存有、抱著。如：「身懷絕技」。《論語．陽貨》：「懷其寶而迷其邦，可謂仁乎？」《楚辭．屈原．九章．懷沙》：「懷瑾握瑜兮，窮不知所示。」
2.思念、想念。如：「緬懷」、「追懷」。唐．李白〈秋登宣城謝朓北樓〉詩：「誰念北樓上，臨風懷謝公。」宋．范仲淹〈岳陽樓記〉：「則有去國懷鄉，憂讒畏譏，滿目蕭然。」
3.腹中有孕。如：「懷孕」、「懷胎」。漢．王充《論衡．奇怪》：「母之懷子，猶土之育物也。」《金瓶梅》第三〇回：「我和你恁筭他，從去年八月來，又不是黃花女兒，當年懷入門養。」
4.心中存有某種意念。如：「不懷好意」、「少懷大志」。《後漢書．卷二四．馬援傳》：「惟陛下留思豎儒之言，無使功臣懷恨黃泉。」
5.感傷、哀憐。如：「感懷」、「傷懷」。《後漢書．卷四〇．班彪傳下》：「故下民號而上愬，上帝懷而降鑒。」
6.安撫。如：「懷遠以德」。《禮記．中庸》：「懷諸侯，則天下畏之。」《三國志．卷五八．吳書．陸遜傳》：「外禦彊對，內懷百蠻。」
7.包圍。《書經．堯典》：「湯湯洪水方割，蕩蕩懷山襄陵，浩浩滔天。」 |</v>
      </c>
    </row>
    <row r="6328" spans="1:44" hidden="1">
      <c r="A6328" s="1" t="s">
        <v>12337</v>
      </c>
      <c r="C6328" s="1">
        <v>1</v>
      </c>
      <c r="D6328" s="1" t="str">
        <f>"05078"</f>
        <v>05078</v>
      </c>
      <c r="E6328" s="1" t="s">
        <v>139</v>
      </c>
      <c r="F6328" s="1">
        <v>20</v>
      </c>
      <c r="G6328" s="1">
        <v>16</v>
      </c>
      <c r="H6328" s="1">
        <v>0</v>
      </c>
      <c r="I6328" s="1" t="s">
        <v>12319</v>
      </c>
      <c r="K6328" s="1" t="str">
        <f t="shared" si="404"/>
        <v>ㄏ</v>
      </c>
      <c r="L6328" s="1" t="str">
        <f t="shared" si="405"/>
        <v>ㄨ</v>
      </c>
      <c r="M6328" s="1" t="str">
        <f t="shared" si="403"/>
        <v>ㄞ</v>
      </c>
      <c r="P6328" s="1" t="s">
        <v>20</v>
      </c>
      <c r="R6328" s="1" t="s">
        <v>12320</v>
      </c>
      <c r="V6328" s="1" t="s">
        <v>12338</v>
      </c>
      <c r="AR6328" s="1" t="str">
        <f t="shared" si="406"/>
        <v>| [ㄏㄨㄞˊ](ㄏㄨㄞˊ.md) | [櫰](櫰.md) |  | huái | [名]
葉大色黑的槐樹。《爾雅．釋木》：「櫰，槐大葉而黑。」晉．郭璞．注：「槐樹葉大色黑者名為櫰。」 |</v>
      </c>
    </row>
    <row r="6329" spans="1:44" hidden="1">
      <c r="A6329" s="1" t="s">
        <v>12339</v>
      </c>
      <c r="C6329" s="1">
        <v>1</v>
      </c>
      <c r="D6329" s="1" t="str">
        <f>"05079"</f>
        <v>05079</v>
      </c>
      <c r="E6329" s="1" t="s">
        <v>37</v>
      </c>
      <c r="F6329" s="1">
        <v>23</v>
      </c>
      <c r="G6329" s="1">
        <v>19</v>
      </c>
      <c r="H6329" s="1">
        <v>0</v>
      </c>
      <c r="I6329" s="1" t="s">
        <v>12319</v>
      </c>
      <c r="K6329" s="1" t="str">
        <f t="shared" si="404"/>
        <v>ㄏ</v>
      </c>
      <c r="L6329" s="1" t="str">
        <f t="shared" si="405"/>
        <v>ㄨ</v>
      </c>
      <c r="M6329" s="1" t="str">
        <f t="shared" si="403"/>
        <v>ㄞ</v>
      </c>
      <c r="P6329" s="1" t="s">
        <v>20</v>
      </c>
      <c r="R6329" s="1" t="s">
        <v>12320</v>
      </c>
      <c r="V6329" s="1" t="s">
        <v>12340</v>
      </c>
      <c r="AR6329" s="1" t="str">
        <f t="shared" si="406"/>
        <v>| [ㄏㄨㄞˊ](ㄏㄨㄞˊ.md) | [蘹](蘹.md) |  | huái | 參見「蘹香」條。 |</v>
      </c>
    </row>
    <row r="6330" spans="1:44" hidden="1">
      <c r="A6330" s="1" t="s">
        <v>12289</v>
      </c>
      <c r="C6330" s="1">
        <v>1</v>
      </c>
      <c r="D6330" s="1" t="str">
        <f>"05080"</f>
        <v>05080</v>
      </c>
      <c r="E6330" s="1" t="s">
        <v>198</v>
      </c>
      <c r="F6330" s="1">
        <v>17</v>
      </c>
      <c r="G6330" s="1">
        <v>14</v>
      </c>
      <c r="H6330" s="1">
        <v>2</v>
      </c>
      <c r="I6330" s="1" t="s">
        <v>12319</v>
      </c>
      <c r="K6330" s="1" t="str">
        <f t="shared" si="404"/>
        <v>ㄏ</v>
      </c>
      <c r="L6330" s="1" t="str">
        <f t="shared" si="405"/>
        <v>ㄨ</v>
      </c>
      <c r="M6330" s="1" t="str">
        <f t="shared" si="403"/>
        <v>ㄞ</v>
      </c>
      <c r="P6330" s="1" t="s">
        <v>20</v>
      </c>
      <c r="R6330" s="1" t="s">
        <v>12320</v>
      </c>
      <c r="V6330" s="1" t="s">
        <v>12341</v>
      </c>
      <c r="W6330" s="1" t="s">
        <v>12342</v>
      </c>
      <c r="AR6330" s="1" t="str">
        <f t="shared" si="406"/>
        <v>| [ㄏㄨㄞˊ](ㄏㄨㄞˊ.md) | [獲](獲.md) |  | huái | 參見「獲鹿縣」條。 |</v>
      </c>
    </row>
    <row r="6331" spans="1:44" hidden="1">
      <c r="A6331" s="1" t="s">
        <v>10363</v>
      </c>
      <c r="C6331" s="1">
        <v>1</v>
      </c>
      <c r="D6331" s="1" t="str">
        <f>"05081"</f>
        <v>05081</v>
      </c>
      <c r="E6331" s="1" t="s">
        <v>132</v>
      </c>
      <c r="F6331" s="1">
        <v>19</v>
      </c>
      <c r="G6331" s="1">
        <v>16</v>
      </c>
      <c r="H6331" s="1">
        <v>1</v>
      </c>
      <c r="I6331" s="1" t="s">
        <v>12343</v>
      </c>
      <c r="K6331" s="1" t="str">
        <f t="shared" si="404"/>
        <v>ㄏ</v>
      </c>
      <c r="L6331" s="1" t="str">
        <f t="shared" si="405"/>
        <v>ㄨ</v>
      </c>
      <c r="M6331" s="1" t="str">
        <f t="shared" si="403"/>
        <v>ㄞ</v>
      </c>
      <c r="P6331" s="1" t="s">
        <v>20</v>
      </c>
      <c r="R6331" s="1" t="s">
        <v>12344</v>
      </c>
      <c r="V6331" s="1" t="s">
        <v>12345</v>
      </c>
      <c r="W6331" s="1" t="s">
        <v>12346</v>
      </c>
      <c r="AR6331" s="1" t="str">
        <f t="shared" si="406"/>
        <v>| [ㄏㄨㄞˋ](ㄏㄨㄞˋ.md) | [壞](壞.md) |  | huài | [動]
1.損毀。如：「破壞」、「我一不小心把門撞壞了。」
2.腐爛。如：「腐壞」、「這些菜擱到明天就會壞掉。」
[形]
1.陰險、狡詐。如：「你別與我使壞心眼兒。」
2.不好的。如：「不要在背後說人壞話。」
[副]
極。如：「氣極敗壞」、「忙了一整天，真把我累壞了。」 |</v>
      </c>
    </row>
    <row r="6332" spans="1:44" hidden="1">
      <c r="A6332" s="1" t="s">
        <v>12347</v>
      </c>
      <c r="C6332" s="1">
        <v>1</v>
      </c>
      <c r="D6332" s="1" t="str">
        <f>"05082"</f>
        <v>05082</v>
      </c>
      <c r="E6332" s="1" t="s">
        <v>37</v>
      </c>
      <c r="F6332" s="1">
        <v>23</v>
      </c>
      <c r="G6332" s="1">
        <v>19</v>
      </c>
      <c r="H6332" s="1">
        <v>0</v>
      </c>
      <c r="I6332" s="1" t="s">
        <v>12343</v>
      </c>
      <c r="K6332" s="1" t="str">
        <f t="shared" si="404"/>
        <v>ㄏ</v>
      </c>
      <c r="L6332" s="1" t="str">
        <f t="shared" si="405"/>
        <v>ㄨ</v>
      </c>
      <c r="M6332" s="1" t="str">
        <f t="shared" si="403"/>
        <v>ㄞ</v>
      </c>
      <c r="P6332" s="1" t="s">
        <v>20</v>
      </c>
      <c r="R6332" s="1" t="s">
        <v>12344</v>
      </c>
      <c r="V6332" s="1" t="s">
        <v>12348</v>
      </c>
      <c r="AR6332" s="1" t="str">
        <f t="shared" si="406"/>
        <v>| [ㄏㄨㄞˋ](ㄏㄨㄞˋ.md) | [蘾](蘾.md) |  | huài | [名]
一種水草。《爾雅．釋草》：「蘾，烏蕵。」清．郝懿行．疏：「《爾雅》圖作莖歧出，葉如穗，華藥生葉間，在水石側。」 |</v>
      </c>
    </row>
    <row r="6333" spans="1:44" hidden="1">
      <c r="A6333" s="1" t="s">
        <v>12349</v>
      </c>
      <c r="C6333" s="1">
        <v>1</v>
      </c>
      <c r="D6333" s="1" t="str">
        <f>"05083"</f>
        <v>05083</v>
      </c>
      <c r="E6333" s="1" t="s">
        <v>336</v>
      </c>
      <c r="F6333" s="1">
        <v>6</v>
      </c>
      <c r="G6333" s="1">
        <v>2</v>
      </c>
      <c r="H6333" s="1">
        <v>0</v>
      </c>
      <c r="I6333" s="1" t="s">
        <v>12350</v>
      </c>
      <c r="K6333" s="1" t="str">
        <f t="shared" si="404"/>
        <v>ㄏ</v>
      </c>
      <c r="L6333" s="1" t="str">
        <f t="shared" si="405"/>
        <v>ㄨ</v>
      </c>
      <c r="M6333" s="1" t="str">
        <f t="shared" si="403"/>
        <v>ㄟ</v>
      </c>
      <c r="P6333" s="1" t="s">
        <v>20</v>
      </c>
      <c r="R6333" s="1" t="s">
        <v>12351</v>
      </c>
      <c r="V6333" s="1" t="s">
        <v>12352</v>
      </c>
      <c r="AR6333" s="1" t="str">
        <f t="shared" si="406"/>
        <v>| [ㄏㄨㄟ](ㄏㄨㄟ.md) | [灰](灰.md) |  | huī | [名]
1.物體燃燒後所剩下的屑末。如：「骨灰」、「紙灰」。唐．韋應物〈傷逝〉詩：「染白一身黑，焚木盡成灰。」唐．李商隱〈無題〉詩：「春蠶到死絲方盡，蠟炬成灰淚始乾。」
2.塵土。如：「風吹得到處都是灰。」《文選．陸機．挽歌三首之二》：「昔為七尺軀，今成灰與塵。」《宋史．卷一八二．食貨志下四》：「東南鹽禁加密，犯法被罪者多，民間食鹽，雜以灰土。」
3.石灰的簡稱。明．李時珍《本草綱目．卷九．金石部．石灰》：「所在近山處者皆有之，燒青石為灰也。」
[形]
1.淺黑色。如：「灰布」、「灰鼠」。
2.志氣消沉、沮喪。如：「心灰意冷」。宋．陸游〈舟中偶書〉詩：「四方本是丈夫事，白首自憐心未灰。」
[動]
1.燃燒。《抱朴子．內篇．釋滯》：「不灰之木，不熱之火。」《後漢書．卷八〇．文苑傳上．杜篤傳》：「燔康居，灰珍奇。」
2.碎裂。漢．曹操〈上書謝策命魏公〉：「灰軀盡命，報塞厚恩。」 |</v>
      </c>
    </row>
    <row r="6334" spans="1:44" hidden="1">
      <c r="A6334" s="1" t="s">
        <v>12353</v>
      </c>
      <c r="C6334" s="1">
        <v>1</v>
      </c>
      <c r="D6334" s="1" t="str">
        <f>"05084"</f>
        <v>05084</v>
      </c>
      <c r="E6334" s="1" t="s">
        <v>250</v>
      </c>
      <c r="F6334" s="1">
        <v>9</v>
      </c>
      <c r="G6334" s="1">
        <v>6</v>
      </c>
      <c r="H6334" s="1">
        <v>0</v>
      </c>
      <c r="I6334" s="1" t="s">
        <v>12350</v>
      </c>
      <c r="K6334" s="1" t="str">
        <f t="shared" si="404"/>
        <v>ㄏ</v>
      </c>
      <c r="L6334" s="1" t="str">
        <f t="shared" si="405"/>
        <v>ㄨ</v>
      </c>
      <c r="M6334" s="1" t="str">
        <f t="shared" si="403"/>
        <v>ㄟ</v>
      </c>
      <c r="P6334" s="1" t="s">
        <v>20</v>
      </c>
      <c r="R6334" s="1" t="s">
        <v>12351</v>
      </c>
      <c r="V6334" s="1" t="s">
        <v>12354</v>
      </c>
      <c r="AR6334" s="1" t="str">
        <f t="shared" si="406"/>
        <v>| [ㄏㄨㄟ](ㄏㄨㄟ.md) | [恢](恢.md) |  | huī | [動]
1.擴大、張大。《漢書．卷一〇〇．敘傳下》：「恢我疆宇，外博四荒。」宋．陸游〈寒夜歌〉：「誰施赤手驅蛇龍？誰恢天網致鳳麟？」
2.回復、收復。參見「恢復」條。
[形]
1.廣大、寬弘。如：「法網恢恢，疏而不漏。」唐．陳叔達〈答王績書〉：「雖人倫王化，備列元經，而恢談碩議，或不可捨。」
2.完備。《呂氏春秋．審分覽．君守》：「有識則有不備矣，有事則有不恢矣。」 |</v>
      </c>
    </row>
    <row r="6335" spans="1:44" hidden="1">
      <c r="A6335" s="1" t="s">
        <v>12355</v>
      </c>
      <c r="C6335" s="1">
        <v>1</v>
      </c>
      <c r="D6335" s="1" t="str">
        <f>"05085"</f>
        <v>05085</v>
      </c>
      <c r="E6335" s="1" t="s">
        <v>331</v>
      </c>
      <c r="F6335" s="1">
        <v>13</v>
      </c>
      <c r="G6335" s="1">
        <v>6</v>
      </c>
      <c r="H6335" s="1">
        <v>0</v>
      </c>
      <c r="I6335" s="1" t="s">
        <v>12350</v>
      </c>
      <c r="K6335" s="1" t="str">
        <f t="shared" si="404"/>
        <v>ㄏ</v>
      </c>
      <c r="L6335" s="1" t="str">
        <f t="shared" si="405"/>
        <v>ㄨ</v>
      </c>
      <c r="M6335" s="1" t="str">
        <f t="shared" ref="M6335:M6398" si="407">MID(I6335, 3, 1)</f>
        <v>ㄟ</v>
      </c>
      <c r="P6335" s="1" t="s">
        <v>20</v>
      </c>
      <c r="R6335" s="1" t="s">
        <v>12351</v>
      </c>
      <c r="V6335" s="1" t="s">
        <v>12356</v>
      </c>
      <c r="AR6335" s="1" t="str">
        <f t="shared" si="406"/>
        <v>| [ㄏㄨㄟ](ㄏㄨㄟ.md) | [詼](詼.md) |  | huī | [形]
言語有趣的。如：「詼諧」。
[動]
戲謔、嘲笑。宋．梅堯臣〈依韻和永叔澄心堂紙答劉原甫〉詩：「怪其有紙不寄我，如此出語亦善詼。」 |</v>
      </c>
    </row>
    <row r="6336" spans="1:44" hidden="1">
      <c r="A6336" s="1" t="s">
        <v>12357</v>
      </c>
      <c r="C6336" s="1">
        <v>1</v>
      </c>
      <c r="D6336" s="1" t="str">
        <f>"05086"</f>
        <v>05086</v>
      </c>
      <c r="E6336" s="1" t="s">
        <v>679</v>
      </c>
      <c r="F6336" s="1">
        <v>9</v>
      </c>
      <c r="G6336" s="1">
        <v>3</v>
      </c>
      <c r="H6336" s="1">
        <v>2</v>
      </c>
      <c r="I6336" s="1" t="s">
        <v>12350</v>
      </c>
      <c r="K6336" s="1" t="str">
        <f t="shared" si="404"/>
        <v>ㄏ</v>
      </c>
      <c r="L6336" s="1" t="str">
        <f t="shared" si="405"/>
        <v>ㄨ</v>
      </c>
      <c r="M6336" s="1" t="str">
        <f t="shared" si="407"/>
        <v>ㄟ</v>
      </c>
      <c r="P6336" s="1" t="s">
        <v>20</v>
      </c>
      <c r="R6336" s="1" t="s">
        <v>12351</v>
      </c>
      <c r="V6336" s="1" t="s">
        <v>12358</v>
      </c>
      <c r="W6336" s="1" t="s">
        <v>12359</v>
      </c>
      <c r="AR6336" s="1" t="str">
        <f t="shared" si="406"/>
        <v>| [ㄏㄨㄟ](ㄏㄨㄟ.md) | [虺](虺.md) |  | huī | 參見「虺隤」條。 |</v>
      </c>
    </row>
    <row r="6337" spans="1:44" hidden="1">
      <c r="A6337" s="1" t="s">
        <v>12360</v>
      </c>
      <c r="C6337" s="1">
        <v>1</v>
      </c>
      <c r="D6337" s="1" t="str">
        <f>"05087"</f>
        <v>05087</v>
      </c>
      <c r="E6337" s="1" t="s">
        <v>52</v>
      </c>
      <c r="F6337" s="1">
        <v>10</v>
      </c>
      <c r="G6337" s="1">
        <v>3</v>
      </c>
      <c r="H6337" s="1">
        <v>0</v>
      </c>
      <c r="I6337" s="1" t="s">
        <v>12350</v>
      </c>
      <c r="K6337" s="1" t="str">
        <f t="shared" ref="K6337:K6400" si="408">LEFT(I6337, 1)</f>
        <v>ㄏ</v>
      </c>
      <c r="L6337" s="1" t="str">
        <f t="shared" ref="L6337:L6400" si="409">MID(I6337, 2, 1)</f>
        <v>ㄨ</v>
      </c>
      <c r="M6337" s="1" t="str">
        <f t="shared" si="407"/>
        <v>ㄟ</v>
      </c>
      <c r="P6337" s="1" t="s">
        <v>20</v>
      </c>
      <c r="R6337" s="1" t="s">
        <v>12351</v>
      </c>
      <c r="V6337" s="1" t="s">
        <v>12361</v>
      </c>
      <c r="AR6337" s="1" t="str">
        <f t="shared" si="406"/>
        <v>| [ㄏㄨㄟ](ㄏㄨㄟ.md) | [豗](豗.md) |  | huī | [動]
1.撞擊、沖擊。《文選．木華．海賦》：「磊匒匌而相豗。」《新唐書．卷九九．崔仁師傳》：「禁舊道不得行，而新道為夏潦奔豗，數摧壓不通。」
2.發出喧鬧聲。唐．李白〈蜀道難〉：「飛湍瀑流爭喧豗，砯崖轉石萬壑雷。」 |</v>
      </c>
    </row>
    <row r="6338" spans="1:44" hidden="1">
      <c r="A6338" s="1" t="s">
        <v>7680</v>
      </c>
      <c r="C6338" s="1">
        <v>1</v>
      </c>
      <c r="D6338" s="1" t="str">
        <f>"05088"</f>
        <v>05088</v>
      </c>
      <c r="E6338" s="1" t="s">
        <v>24</v>
      </c>
      <c r="F6338" s="1">
        <v>10</v>
      </c>
      <c r="G6338" s="1">
        <v>7</v>
      </c>
      <c r="H6338" s="1">
        <v>2</v>
      </c>
      <c r="I6338" s="1" t="s">
        <v>12350</v>
      </c>
      <c r="K6338" s="1" t="str">
        <f t="shared" si="408"/>
        <v>ㄏ</v>
      </c>
      <c r="L6338" s="1" t="str">
        <f t="shared" si="409"/>
        <v>ㄨ</v>
      </c>
      <c r="M6338" s="1" t="str">
        <f t="shared" si="407"/>
        <v>ㄟ</v>
      </c>
      <c r="P6338" s="1" t="s">
        <v>20</v>
      </c>
      <c r="R6338" s="1" t="s">
        <v>12351</v>
      </c>
      <c r="V6338" s="1" t="s">
        <v>12362</v>
      </c>
      <c r="W6338" s="1" t="s">
        <v>12363</v>
      </c>
      <c r="AR6338" s="1" t="str">
        <f t="shared" si="406"/>
        <v>| [ㄏㄨㄟ](ㄏㄨㄟ.md) | [挼](挼.md) |  | huī | [名]
尸未食前的祭祀。《儀禮．特牲饋食禮》：「祝命挼祭。」漢．鄭玄．注：「挼祭，祭神食也。」 |</v>
      </c>
    </row>
    <row r="6339" spans="1:44" hidden="1">
      <c r="A6339" s="1" t="s">
        <v>12364</v>
      </c>
      <c r="C6339" s="1">
        <v>1</v>
      </c>
      <c r="D6339" s="1" t="str">
        <f>"05089"</f>
        <v>05089</v>
      </c>
      <c r="E6339" s="1" t="s">
        <v>24</v>
      </c>
      <c r="F6339" s="1">
        <v>12</v>
      </c>
      <c r="G6339" s="1">
        <v>9</v>
      </c>
      <c r="H6339" s="1">
        <v>0</v>
      </c>
      <c r="I6339" s="1" t="s">
        <v>12350</v>
      </c>
      <c r="K6339" s="1" t="str">
        <f t="shared" si="408"/>
        <v>ㄏ</v>
      </c>
      <c r="L6339" s="1" t="str">
        <f t="shared" si="409"/>
        <v>ㄨ</v>
      </c>
      <c r="M6339" s="1" t="str">
        <f t="shared" si="407"/>
        <v>ㄟ</v>
      </c>
      <c r="P6339" s="1" t="s">
        <v>20</v>
      </c>
      <c r="R6339" s="1" t="s">
        <v>12351</v>
      </c>
      <c r="V6339" s="1" t="s">
        <v>12365</v>
      </c>
      <c r="AR6339" s="1" t="str">
        <f t="shared" ref="AR6339:AR6402" si="410">"| ["&amp;I6339&amp;"]("&amp;I6339&amp;".md) | ["&amp;A6339&amp;"]("&amp;A6339&amp;".md) | "&amp;" | "&amp;R6339&amp;" | "&amp;V6339&amp;" |"</f>
        <v>| [ㄏㄨㄟ](ㄏㄨㄟ.md) | [撝](撝.md) |  | huī | [動]
1.指揮。《公羊傳．宣公十二年》：「莊王親自手旌，左右撝軍，退舍七里。」《後漢書．卷一八．吳漢傳》：「曾以漢無備，出迎於路，漢即撝兵騎，收曾斬之，而奪其軍。」
2.擺動、揮動。如：「撝手」。宋．程公許〈念奴嬌．曉涼散策〉詞：「誰與冰輪撝玉斧，恰好今宵圓足。」
[形]
謙讓。南朝梁．江淹〈宋建平王太妃周氏行狀〉：「躬謹蘭閨，身撝椒第。」唐．呂溫〈凌煙閣勛臣頌．房梁公元齡〉：「閒居臺輔，撝默自處。」 |</v>
      </c>
    </row>
    <row r="6340" spans="1:44" hidden="1">
      <c r="A6340" s="1" t="s">
        <v>12366</v>
      </c>
      <c r="C6340" s="1">
        <v>1</v>
      </c>
      <c r="D6340" s="1" t="str">
        <f>"05090"</f>
        <v>05090</v>
      </c>
      <c r="E6340" s="1" t="s">
        <v>24</v>
      </c>
      <c r="F6340" s="1">
        <v>12</v>
      </c>
      <c r="G6340" s="1">
        <v>9</v>
      </c>
      <c r="H6340" s="1">
        <v>0</v>
      </c>
      <c r="I6340" s="1" t="s">
        <v>12350</v>
      </c>
      <c r="K6340" s="1" t="str">
        <f t="shared" si="408"/>
        <v>ㄏ</v>
      </c>
      <c r="L6340" s="1" t="str">
        <f t="shared" si="409"/>
        <v>ㄨ</v>
      </c>
      <c r="M6340" s="1" t="str">
        <f t="shared" si="407"/>
        <v>ㄟ</v>
      </c>
      <c r="P6340" s="1" t="s">
        <v>20</v>
      </c>
      <c r="R6340" s="1" t="s">
        <v>12351</v>
      </c>
      <c r="V6340" s="1" t="s">
        <v>12367</v>
      </c>
      <c r="AR6340" s="1" t="str">
        <f t="shared" si="410"/>
        <v>| [ㄏㄨㄟ](ㄏㄨㄟ.md) | [揮](揮.md) |  | huī | [動]
1.搖動、擺動、舞動。如：「揮扇」、「揮手」、「揮刀」。《淮南子．說山》：「執彈而招鳥，揮梲而呼狗。」唐．杜甫〈飲中八僊歌〉：「脫帽露頂王公前，揮毫落紙如雲煙。」
2.發散、拋灑。如：「揮發」、「揮淚」、「揮金如土」。《戰國策．齊策一》：「舉袂成幕，揮汗成雨。」宋．陸游〈送范舍人還朝〉詩：「酒醒客散獨悽然，枕上屢揮憂國淚。」
3.發號令、指示。如：「揮令前進」、「指揮軍隊」。 |</v>
      </c>
    </row>
    <row r="6341" spans="1:44" hidden="1">
      <c r="A6341" s="1" t="s">
        <v>12368</v>
      </c>
      <c r="C6341" s="1">
        <v>1</v>
      </c>
      <c r="D6341" s="1" t="str">
        <f>"05091"</f>
        <v>05091</v>
      </c>
      <c r="E6341" s="1" t="s">
        <v>336</v>
      </c>
      <c r="F6341" s="1">
        <v>13</v>
      </c>
      <c r="G6341" s="1">
        <v>9</v>
      </c>
      <c r="H6341" s="1">
        <v>0</v>
      </c>
      <c r="I6341" s="1" t="s">
        <v>12350</v>
      </c>
      <c r="K6341" s="1" t="str">
        <f t="shared" si="408"/>
        <v>ㄏ</v>
      </c>
      <c r="L6341" s="1" t="str">
        <f t="shared" si="409"/>
        <v>ㄨ</v>
      </c>
      <c r="M6341" s="1" t="str">
        <f t="shared" si="407"/>
        <v>ㄟ</v>
      </c>
      <c r="P6341" s="1" t="s">
        <v>20</v>
      </c>
      <c r="R6341" s="1" t="s">
        <v>12351</v>
      </c>
      <c r="V6341" s="1" t="s">
        <v>12369</v>
      </c>
      <c r="AR6341" s="1" t="str">
        <f t="shared" si="410"/>
        <v>| [ㄏㄨㄟ](ㄏㄨㄟ.md) | [煇](煇.md) |  | huī | [名]_x000D_
火光、光彩。《詩經．小雅．庭燎》：「夜如何其？夜鄉晨！庭燎有煇。」《漢書．卷七三．韋賢傳》：「四方遐爾，觀國之煇。」_x000D_
[動]_x000D_
灼燒。《史記．卷九．呂太后本紀》：「太后遂斷戚夫人手足，去眼，煇耳，飲瘖藥，使居廁中，命曰『人彘』。」 |</v>
      </c>
    </row>
    <row r="6342" spans="1:44" hidden="1">
      <c r="A6342" s="1" t="s">
        <v>12370</v>
      </c>
      <c r="C6342" s="1">
        <v>1</v>
      </c>
      <c r="D6342" s="1" t="str">
        <f>"05092"</f>
        <v>05092</v>
      </c>
      <c r="E6342" s="1" t="s">
        <v>646</v>
      </c>
      <c r="F6342" s="1">
        <v>13</v>
      </c>
      <c r="G6342" s="1">
        <v>9</v>
      </c>
      <c r="H6342" s="1">
        <v>0</v>
      </c>
      <c r="I6342" s="1" t="s">
        <v>12350</v>
      </c>
      <c r="K6342" s="1" t="str">
        <f t="shared" si="408"/>
        <v>ㄏ</v>
      </c>
      <c r="L6342" s="1" t="str">
        <f t="shared" si="409"/>
        <v>ㄨ</v>
      </c>
      <c r="M6342" s="1" t="str">
        <f t="shared" si="407"/>
        <v>ㄟ</v>
      </c>
      <c r="P6342" s="1" t="s">
        <v>20</v>
      </c>
      <c r="R6342" s="1" t="s">
        <v>12351</v>
      </c>
      <c r="V6342" s="1" t="s">
        <v>12371</v>
      </c>
      <c r="AR6342" s="1" t="str">
        <f t="shared" si="410"/>
        <v>| [ㄏㄨㄟ](ㄏㄨㄟ.md) | [暉](暉.md) |  | huī | [名]
日光。如：「春暉」、「斜暉」、「落日餘暉」。《文選．王粲．公讌詩》：「涼風撤蒸暑，清雲卻炎暉。」宋．陸游〈晚步湖上〉詩：「雲薄漏春暉，湖空弄夕霏。」
[動]
照耀、輝映。《文選．王融．三月三日曲水詩序》：「雲潤星暉，風揚月至。」南朝梁．元帝〈與蕭挹書〉：「惟昆與季，文藻相暉。」 |</v>
      </c>
    </row>
    <row r="6343" spans="1:44" hidden="1">
      <c r="A6343" s="1" t="s">
        <v>12372</v>
      </c>
      <c r="C6343" s="1">
        <v>1</v>
      </c>
      <c r="D6343" s="1" t="str">
        <f>"05093"</f>
        <v>05093</v>
      </c>
      <c r="E6343" s="1" t="s">
        <v>71</v>
      </c>
      <c r="F6343" s="1">
        <v>15</v>
      </c>
      <c r="G6343" s="1">
        <v>8</v>
      </c>
      <c r="H6343" s="1">
        <v>0</v>
      </c>
      <c r="I6343" s="1" t="s">
        <v>12350</v>
      </c>
      <c r="K6343" s="1" t="str">
        <f t="shared" si="408"/>
        <v>ㄏ</v>
      </c>
      <c r="L6343" s="1" t="str">
        <f t="shared" si="409"/>
        <v>ㄨ</v>
      </c>
      <c r="M6343" s="1" t="str">
        <f t="shared" si="407"/>
        <v>ㄟ</v>
      </c>
      <c r="P6343" s="1" t="s">
        <v>20</v>
      </c>
      <c r="R6343" s="1" t="s">
        <v>12351</v>
      </c>
      <c r="V6343" s="1" t="s">
        <v>12373</v>
      </c>
      <c r="AR6343" s="1" t="str">
        <f t="shared" si="410"/>
        <v>| [ㄏㄨㄟ](ㄏㄨㄟ.md) | [輝](輝.md) |  | huī | [名]
光彩、光芒。如：「光輝」。晉．陸機〈園葵〉詩二首之一：「零露垂鮮澤，朗月耀其輝。」唐．李白〈化城寺大鐘銘〉：「莫不配美金鼎，增輝寶坊。」
[動]
照耀、照映。如：「輝映」。宋．黃庭堅〈歲寒知松柏〉詩：「春日輝桃李，蒼顏示豫觀。」《聊齋志異．卷一．勞山道士》：「月明輝室，光鑑毫芒。」 |</v>
      </c>
    </row>
    <row r="6344" spans="1:44" hidden="1">
      <c r="A6344" s="1" t="s">
        <v>12374</v>
      </c>
      <c r="C6344" s="1">
        <v>1</v>
      </c>
      <c r="D6344" s="1" t="str">
        <f>"05094"</f>
        <v>05094</v>
      </c>
      <c r="E6344" s="1" t="s">
        <v>2271</v>
      </c>
      <c r="F6344" s="1">
        <v>15</v>
      </c>
      <c r="G6344" s="1">
        <v>9</v>
      </c>
      <c r="H6344" s="1">
        <v>0</v>
      </c>
      <c r="I6344" s="1" t="s">
        <v>12350</v>
      </c>
      <c r="K6344" s="1" t="str">
        <f t="shared" si="408"/>
        <v>ㄏ</v>
      </c>
      <c r="L6344" s="1" t="str">
        <f t="shared" si="409"/>
        <v>ㄨ</v>
      </c>
      <c r="M6344" s="1" t="str">
        <f t="shared" si="407"/>
        <v>ㄟ</v>
      </c>
      <c r="P6344" s="1" t="s">
        <v>20</v>
      </c>
      <c r="R6344" s="1" t="s">
        <v>12351</v>
      </c>
      <c r="V6344" s="1" t="s">
        <v>12375</v>
      </c>
      <c r="AR6344" s="1" t="str">
        <f t="shared" si="410"/>
        <v>| [ㄏㄨㄟ](ㄏㄨㄟ.md) | [翬](翬.md) |  | huī | [名]
一種具有五彩花紋的雞。《說文解字．羽部》：「翬，伊雒而南，雉五采皆備曰翬。」《詩經．小雅．斯干》：「如翬斯飛，君子攸躋。」
[副]
快速飛行的樣子。《爾雅．釋鳥》：「鷹隼醜，其飛也翬。」漢．馬融〈廣成頌〉：「遊雉群驚，晨鳧輩作，翬然雲起，霅爾雹落。」 |</v>
      </c>
    </row>
    <row r="6345" spans="1:44" hidden="1">
      <c r="A6345" s="1" t="s">
        <v>12376</v>
      </c>
      <c r="C6345" s="1">
        <v>1</v>
      </c>
      <c r="D6345" s="1" t="str">
        <f>"05095"</f>
        <v>05095</v>
      </c>
      <c r="E6345" s="1" t="s">
        <v>2591</v>
      </c>
      <c r="F6345" s="1">
        <v>15</v>
      </c>
      <c r="G6345" s="1">
        <v>4</v>
      </c>
      <c r="H6345" s="1">
        <v>0</v>
      </c>
      <c r="I6345" s="1" t="s">
        <v>12350</v>
      </c>
      <c r="K6345" s="1" t="str">
        <f t="shared" si="408"/>
        <v>ㄏ</v>
      </c>
      <c r="L6345" s="1" t="str">
        <f t="shared" si="409"/>
        <v>ㄨ</v>
      </c>
      <c r="M6345" s="1" t="str">
        <f t="shared" si="407"/>
        <v>ㄟ</v>
      </c>
      <c r="P6345" s="1" t="s">
        <v>20</v>
      </c>
      <c r="R6345" s="1" t="s">
        <v>12351</v>
      </c>
      <c r="V6345" s="1" t="s">
        <v>12377</v>
      </c>
      <c r="AR6345" s="1" t="str">
        <f t="shared" si="410"/>
        <v>| [ㄏㄨㄟ](ㄏㄨㄟ.md) | [麾](麾.md) |  | huī | [名]
用來指揮的旗幟。《周禮．春官．巾車》：「建大麾以田，以封蕃國。」《南史．卷六．梁武帝紀上》：「望麾而進，聽鼓而動。」
[動]
指揮。《書經．牧誓》：「王左杖黃鉞，右秉白旄以麾。」《三國演義》第一回：「左右兩軍齊出，玄德麾軍回身復殺。」 |</v>
      </c>
    </row>
    <row r="6346" spans="1:44" hidden="1">
      <c r="A6346" s="1" t="s">
        <v>12378</v>
      </c>
      <c r="C6346" s="1">
        <v>1</v>
      </c>
      <c r="D6346" s="1" t="str">
        <f>"05096"</f>
        <v>05096</v>
      </c>
      <c r="E6346" s="1" t="s">
        <v>340</v>
      </c>
      <c r="F6346" s="1">
        <v>15</v>
      </c>
      <c r="G6346" s="1">
        <v>9</v>
      </c>
      <c r="H6346" s="1">
        <v>0</v>
      </c>
      <c r="I6346" s="1" t="s">
        <v>12350</v>
      </c>
      <c r="K6346" s="1" t="str">
        <f t="shared" si="408"/>
        <v>ㄏ</v>
      </c>
      <c r="L6346" s="1" t="str">
        <f t="shared" si="409"/>
        <v>ㄨ</v>
      </c>
      <c r="M6346" s="1" t="str">
        <f t="shared" si="407"/>
        <v>ㄟ</v>
      </c>
      <c r="P6346" s="1" t="s">
        <v>20</v>
      </c>
      <c r="R6346" s="1" t="s">
        <v>12351</v>
      </c>
      <c r="V6346" s="1" t="s">
        <v>12379</v>
      </c>
      <c r="AR6346" s="1" t="str">
        <f t="shared" si="410"/>
        <v>| [ㄏㄨㄟ](ㄏㄨㄟ.md) | [褘](褘.md) |  | huī | [名]
1.用以遮蔽膝前或覆蓋額頭的方巾。唐．皮日休〈九諷系述．悲遊〉：「荷為裯兮芰為襬，荃為䘿兮薜為褘。」
2.王后的祭服，上面畫有五彩的雉雞圖案。《周禮．天官．內司服》：「掌王后之六服：褘衣、揄狄、闕狄、鞠衣、展衣、緣衣。」漢．鄭玄．注：「褘衣，畫翬者。……從王祭先王則服褘衣。」 |</v>
      </c>
    </row>
    <row r="6347" spans="1:44" hidden="1">
      <c r="A6347" s="1" t="s">
        <v>5740</v>
      </c>
      <c r="C6347" s="1">
        <v>1</v>
      </c>
      <c r="D6347" s="1" t="str">
        <f>"05097"</f>
        <v>05097</v>
      </c>
      <c r="E6347" s="1" t="s">
        <v>132</v>
      </c>
      <c r="F6347" s="1">
        <v>15</v>
      </c>
      <c r="G6347" s="1">
        <v>12</v>
      </c>
      <c r="H6347" s="1">
        <v>2</v>
      </c>
      <c r="I6347" s="1" t="s">
        <v>12350</v>
      </c>
      <c r="K6347" s="1" t="str">
        <f t="shared" si="408"/>
        <v>ㄏ</v>
      </c>
      <c r="L6347" s="1" t="str">
        <f t="shared" si="409"/>
        <v>ㄨ</v>
      </c>
      <c r="M6347" s="1" t="str">
        <f t="shared" si="407"/>
        <v>ㄟ</v>
      </c>
      <c r="P6347" s="1" t="s">
        <v>20</v>
      </c>
      <c r="R6347" s="1" t="s">
        <v>12351</v>
      </c>
      <c r="V6347" s="1" t="s">
        <v>12380</v>
      </c>
      <c r="W6347" s="1" t="s">
        <v>12381</v>
      </c>
      <c r="AR6347" s="1" t="str">
        <f t="shared" si="410"/>
        <v>| [ㄏㄨㄟ](ㄏㄨㄟ.md) | [墮](墮.md) |  | huī | [動]
破壞、毀壞。同「隳」。《資治通鑑．卷一八．漢紀十．武帝元光二年》：「故接兵覆眾，伐國墮城，常坐而役敵國，此聖人之兵也。」胡三省注引顏師古曰：「墮，毀也。」 |</v>
      </c>
    </row>
    <row r="6348" spans="1:44" hidden="1">
      <c r="A6348" s="1" t="s">
        <v>12382</v>
      </c>
      <c r="C6348" s="1">
        <v>1</v>
      </c>
      <c r="D6348" s="1" t="str">
        <f>"05098"</f>
        <v>05098</v>
      </c>
      <c r="E6348" s="1" t="s">
        <v>691</v>
      </c>
      <c r="F6348" s="1">
        <v>18</v>
      </c>
      <c r="G6348" s="1">
        <v>15</v>
      </c>
      <c r="H6348" s="1">
        <v>0</v>
      </c>
      <c r="I6348" s="1" t="s">
        <v>12350</v>
      </c>
      <c r="K6348" s="1" t="str">
        <f t="shared" si="408"/>
        <v>ㄏ</v>
      </c>
      <c r="L6348" s="1" t="str">
        <f t="shared" si="409"/>
        <v>ㄨ</v>
      </c>
      <c r="M6348" s="1" t="str">
        <f t="shared" si="407"/>
        <v>ㄟ</v>
      </c>
      <c r="P6348" s="1" t="s">
        <v>20</v>
      </c>
      <c r="R6348" s="1" t="s">
        <v>12351</v>
      </c>
      <c r="V6348" s="1" t="s">
        <v>12383</v>
      </c>
      <c r="AR6348" s="1" t="str">
        <f t="shared" si="410"/>
        <v>| [ㄏㄨㄟ](ㄏㄨㄟ.md) | [隳](隳.md) |  | huī | [動]
毀壞、損毀。《呂氏春秋．慎大覽．順說》：「隳人之城郭，刑人之父子也。」《文選．賈誼．過秦論》：「一夫作難而七廟隳，身死人手，為天下笑者，何也？」 |</v>
      </c>
    </row>
    <row r="6349" spans="1:44" hidden="1">
      <c r="A6349" s="1" t="s">
        <v>12042</v>
      </c>
      <c r="C6349" s="1">
        <v>1</v>
      </c>
      <c r="D6349" s="1" t="str">
        <f>"05099"</f>
        <v>05099</v>
      </c>
      <c r="E6349" s="1" t="s">
        <v>4785</v>
      </c>
      <c r="F6349" s="1">
        <v>17</v>
      </c>
      <c r="G6349" s="1">
        <v>13</v>
      </c>
      <c r="H6349" s="1">
        <v>3</v>
      </c>
      <c r="I6349" s="1" t="s">
        <v>12350</v>
      </c>
      <c r="K6349" s="1" t="str">
        <f t="shared" si="408"/>
        <v>ㄏ</v>
      </c>
      <c r="L6349" s="1" t="str">
        <f t="shared" si="409"/>
        <v>ㄨ</v>
      </c>
      <c r="M6349" s="1" t="str">
        <f t="shared" si="407"/>
        <v>ㄟ</v>
      </c>
      <c r="P6349" s="1" t="s">
        <v>20</v>
      </c>
      <c r="R6349" s="1" t="s">
        <v>12351</v>
      </c>
      <c r="V6349" s="1" t="s">
        <v>12384</v>
      </c>
      <c r="W6349" s="1" t="s">
        <v>12385</v>
      </c>
      <c r="AR6349" s="1" t="str">
        <f t="shared" si="410"/>
        <v>| [ㄏㄨㄟ](ㄏㄨㄟ.md) | [戲](戲.md) |  | huī | [名]
軍中用以指揮的大旗。通「麾」。《史記．卷八．高祖本紀》：「兵罷戲下，諸侯各就國。」《漢書．卷三一．陳勝項籍傳》：「戲下騎從者八百餘人。」
[動]
指揮。通「麾」。《漢書．卷五二．灌夫傳》：「（田）蚡乃戲騎縛夫置傳舍。」 |</v>
      </c>
    </row>
    <row r="6350" spans="1:44" hidden="1">
      <c r="A6350" s="1" t="s">
        <v>12386</v>
      </c>
      <c r="C6350" s="1">
        <v>1</v>
      </c>
      <c r="D6350" s="1" t="str">
        <f>"05100"</f>
        <v>05100</v>
      </c>
      <c r="E6350" s="1" t="s">
        <v>234</v>
      </c>
      <c r="F6350" s="1">
        <v>17</v>
      </c>
      <c r="G6350" s="1">
        <v>14</v>
      </c>
      <c r="H6350" s="1">
        <v>0</v>
      </c>
      <c r="I6350" s="1" t="s">
        <v>12350</v>
      </c>
      <c r="K6350" s="1" t="str">
        <f t="shared" si="408"/>
        <v>ㄏ</v>
      </c>
      <c r="L6350" s="1" t="str">
        <f t="shared" si="409"/>
        <v>ㄨ</v>
      </c>
      <c r="M6350" s="1" t="str">
        <f t="shared" si="407"/>
        <v>ㄟ</v>
      </c>
      <c r="P6350" s="1" t="s">
        <v>20</v>
      </c>
      <c r="R6350" s="1" t="s">
        <v>12351</v>
      </c>
      <c r="V6350" s="1" t="s">
        <v>12387</v>
      </c>
      <c r="AR6350" s="1" t="str">
        <f t="shared" si="410"/>
        <v>| [ㄏㄨㄟ](ㄏㄨㄟ.md) | [徽](徽.md) |  | huī | [名]
1.標幟。如：「國徽」、「校徽」、「黨徽」。《左傳．昭公二十一年》：「楊徽者，公徒也。」
2.旌旗。《禮記．大傳》：「改正朔，易服色，殊徽號。」漢．鄭玄．注：「徽號，旌旗之名也。」《文選．潘岳．閑居賦》：「其西則有元戎禁營，玄幙綠徽。」
[形]
美善的。《詩經．小雅．角弓》：「君子有徽猷，小人與屬。」《資治通鑑．卷二四八．唐紀六十四．武宗會昌四年》：「郊廟之禮，誠宜亟行，至於徽稱，非所敢當。」 |</v>
      </c>
    </row>
    <row r="6351" spans="1:44" hidden="1">
      <c r="A6351" s="1" t="s">
        <v>12388</v>
      </c>
      <c r="C6351" s="1">
        <v>1</v>
      </c>
      <c r="D6351" s="1" t="str">
        <f>"05101"</f>
        <v>05101</v>
      </c>
      <c r="E6351" s="1" t="s">
        <v>156</v>
      </c>
      <c r="F6351" s="1">
        <v>22</v>
      </c>
      <c r="G6351" s="1">
        <v>11</v>
      </c>
      <c r="H6351" s="1">
        <v>0</v>
      </c>
      <c r="I6351" s="1" t="s">
        <v>12350</v>
      </c>
      <c r="K6351" s="1" t="str">
        <f t="shared" si="408"/>
        <v>ㄏ</v>
      </c>
      <c r="L6351" s="1" t="str">
        <f t="shared" si="409"/>
        <v>ㄨ</v>
      </c>
      <c r="M6351" s="1" t="str">
        <f t="shared" si="407"/>
        <v>ㄟ</v>
      </c>
      <c r="P6351" s="1" t="s">
        <v>20</v>
      </c>
      <c r="R6351" s="1" t="s">
        <v>12351</v>
      </c>
      <c r="V6351" s="1" t="s">
        <v>12389</v>
      </c>
      <c r="AR6351" s="1" t="str">
        <f t="shared" si="410"/>
        <v>| [ㄏㄨㄟ](ㄏㄨㄟ.md) | [鰴](鰴.md) |  | huī | [形]
魚強而有力，異於群輩的樣子。《文選．左思．吳都賦》：「鰴鯨輩出於群犗，攙搶暴出而相屬。」 |</v>
      </c>
    </row>
    <row r="6352" spans="1:44" hidden="1">
      <c r="A6352" s="1" t="s">
        <v>12390</v>
      </c>
      <c r="C6352" s="1">
        <v>1</v>
      </c>
      <c r="D6352" s="1" t="str">
        <f>"05102"</f>
        <v>05102</v>
      </c>
      <c r="E6352" s="1" t="s">
        <v>2557</v>
      </c>
      <c r="F6352" s="1">
        <v>6</v>
      </c>
      <c r="G6352" s="1">
        <v>3</v>
      </c>
      <c r="H6352" s="1">
        <v>0</v>
      </c>
      <c r="I6352" s="1" t="s">
        <v>12391</v>
      </c>
      <c r="K6352" s="1" t="str">
        <f t="shared" si="408"/>
        <v>ㄏ</v>
      </c>
      <c r="L6352" s="1" t="str">
        <f t="shared" si="409"/>
        <v>ㄨ</v>
      </c>
      <c r="M6352" s="1" t="str">
        <f t="shared" si="407"/>
        <v>ㄟ</v>
      </c>
      <c r="P6352" s="1" t="s">
        <v>20</v>
      </c>
      <c r="R6352" s="1" t="s">
        <v>12392</v>
      </c>
      <c r="V6352" s="1" t="s">
        <v>12393</v>
      </c>
      <c r="AR6352" s="1" t="str">
        <f t="shared" si="410"/>
        <v>| [ㄏㄨㄟˊ](ㄏㄨㄟˊ.md) | [回](回.md) |  | huí | [動]
1.掉轉。如：「回首」、「回過身來」。唐．白居易〈長恨歌〉：「君王掩面救不得，回看血淚相和流。」
2.返、歸。如：「回國」、「回家」、「一去不回」。唐．王翰〈涼州詞〉二首之一：「醉臥沙場君莫笑，古來征戰幾人回？」
3.改變。如：「回心轉意」。《漢書．卷四八．賈誼傳》：「夫移風易俗，使天下回心而鄉道，類非俗吏之所能為也。」唐．柳宗元〈與韓愈論史官書〉：「道苟直，雖死不可回也。」
4.答覆。如：「回信」、「回電」、「回答」。《二刻拍案驚奇》卷一一：「日後他來通消息時，好言回他。」《紅樓夢》第七回：「次日，鳳姐梳洗了，先回王夫人畢，方來辭賈母。」
5.還覆給對方相同或某種動作。如：「回敬」、「回他一槍」。
6.謝絕、辭去。如：「一口回絕」。宋．蘇軾〈與開元明師〉二首之一：「謹留筆一束，以領雅意，餘回納，不訝不訝。」《紅樓夢》第一一九回：「咱們家遭著這樣事，那有工夫接待人，不拘怎麼回了他去罷。」
7.避開。如：「回避」。明．徐復祚《紅梨記》第二齣：「前日兩次訪他，俱不得遇，風塵中人，知他真不在家，還是故意回你。」
[名]
1.中國少數民族之一。以信奉回教為主。
2.量詞：(1)計算行為、動作的單位。相當於「次」。如：「前後我共去找了他五回。」宋．辛棄疾〈水調歌頭．帶湖吾甚愛〉詞：「先生杖屨無事，一日走千回。」(2)計算時間的單位。一陣子稱為「一回」。《喻世明言．卷三．新橋市韓五賣春情》：「八老到門前站了一回，蹔到間壁糶米張大郎門前，閒坐了一回。」(3)計算長篇小說段落的單位。一章稱為「一回」。如：「一百二十回本《紅樓夢》。」(4)計算事情的單位。相當於「件」。如：「這是兩回事，不可混為一談。」
3.姓。如明代有回滿注。 |</v>
      </c>
    </row>
    <row r="6353" spans="1:44" hidden="1">
      <c r="A6353" s="1" t="s">
        <v>12318</v>
      </c>
      <c r="C6353" s="1">
        <v>1</v>
      </c>
      <c r="D6353" s="1" t="str">
        <f>"05103"</f>
        <v>05103</v>
      </c>
      <c r="E6353" s="1" t="s">
        <v>114</v>
      </c>
      <c r="F6353" s="1">
        <v>8</v>
      </c>
      <c r="G6353" s="1">
        <v>6</v>
      </c>
      <c r="H6353" s="1">
        <v>2</v>
      </c>
      <c r="I6353" s="1" t="s">
        <v>12391</v>
      </c>
      <c r="K6353" s="1" t="str">
        <f t="shared" si="408"/>
        <v>ㄏ</v>
      </c>
      <c r="L6353" s="1" t="str">
        <f t="shared" si="409"/>
        <v>ㄨ</v>
      </c>
      <c r="M6353" s="1" t="str">
        <f t="shared" si="407"/>
        <v>ㄟ</v>
      </c>
      <c r="P6353" s="1" t="s">
        <v>110</v>
      </c>
      <c r="R6353" s="1" t="s">
        <v>12392</v>
      </c>
      <c r="V6353" s="1" t="s">
        <v>111</v>
      </c>
      <c r="W6353" s="1" t="s">
        <v>12394</v>
      </c>
      <c r="AR6353" s="1" t="str">
        <f t="shared" si="410"/>
        <v>| [ㄏㄨㄟˊ](ㄏㄨㄟˊ.md) | [佪](佪.md) |  | huí | (一)之又音。 |</v>
      </c>
    </row>
    <row r="6354" spans="1:44" hidden="1">
      <c r="A6354" s="1" t="s">
        <v>12395</v>
      </c>
      <c r="C6354" s="1">
        <v>1</v>
      </c>
      <c r="D6354" s="1" t="str">
        <f>"05104"</f>
        <v>05104</v>
      </c>
      <c r="E6354" s="1" t="s">
        <v>129</v>
      </c>
      <c r="F6354" s="1">
        <v>9</v>
      </c>
      <c r="G6354" s="1">
        <v>6</v>
      </c>
      <c r="H6354" s="1">
        <v>0</v>
      </c>
      <c r="I6354" s="1" t="s">
        <v>12391</v>
      </c>
      <c r="K6354" s="1" t="str">
        <f t="shared" si="408"/>
        <v>ㄏ</v>
      </c>
      <c r="L6354" s="1" t="str">
        <f t="shared" si="409"/>
        <v>ㄨ</v>
      </c>
      <c r="M6354" s="1" t="str">
        <f t="shared" si="407"/>
        <v>ㄟ</v>
      </c>
      <c r="P6354" s="1" t="s">
        <v>20</v>
      </c>
      <c r="R6354" s="1" t="s">
        <v>12392</v>
      </c>
      <c r="V6354" s="1" t="s">
        <v>12396</v>
      </c>
      <c r="AR6354" s="1" t="str">
        <f t="shared" si="410"/>
        <v>| [ㄏㄨㄟˊ](ㄏㄨㄟˊ.md) | [洄](洄.md) |  | huí | [名]
蜿蜒曲折的水道。《詩經．秦風．蒹葭》：「溯洄從之，道阻且長。」唐．李白〈送別〉詩：「尋陽五溪水，沿洄直入巫山裡。」
[副]
水流盤旋迴轉的。《後漢書．卷七六．循吏傳．王景傳》：「十里立一水門，令更相洄注，無復潰漏之患。」 |</v>
      </c>
    </row>
    <row r="6355" spans="1:44" hidden="1">
      <c r="A6355" s="1" t="s">
        <v>12323</v>
      </c>
      <c r="C6355" s="1">
        <v>1</v>
      </c>
      <c r="D6355" s="1" t="str">
        <f>"05105"</f>
        <v>05105</v>
      </c>
      <c r="E6355" s="1" t="s">
        <v>234</v>
      </c>
      <c r="F6355" s="1">
        <v>9</v>
      </c>
      <c r="G6355" s="1">
        <v>6</v>
      </c>
      <c r="H6355" s="1">
        <v>2</v>
      </c>
      <c r="I6355" s="1" t="s">
        <v>12391</v>
      </c>
      <c r="K6355" s="1" t="str">
        <f t="shared" si="408"/>
        <v>ㄏ</v>
      </c>
      <c r="L6355" s="1" t="str">
        <f t="shared" si="409"/>
        <v>ㄨ</v>
      </c>
      <c r="M6355" s="1" t="str">
        <f t="shared" si="407"/>
        <v>ㄟ</v>
      </c>
      <c r="P6355" s="1" t="s">
        <v>110</v>
      </c>
      <c r="R6355" s="1" t="s">
        <v>12392</v>
      </c>
      <c r="V6355" s="1" t="s">
        <v>111</v>
      </c>
      <c r="W6355" s="1" t="s">
        <v>12397</v>
      </c>
      <c r="AR6355" s="1" t="str">
        <f t="shared" si="410"/>
        <v>| [ㄏㄨㄟˊ](ㄏㄨㄟˊ.md) | [徊](徊.md) |  | huí | (一)之又音。 |</v>
      </c>
    </row>
    <row r="6356" spans="1:44" hidden="1">
      <c r="A6356" s="1" t="s">
        <v>12398</v>
      </c>
      <c r="C6356" s="1">
        <v>1</v>
      </c>
      <c r="D6356" s="1" t="str">
        <f>"05106"</f>
        <v>05106</v>
      </c>
      <c r="E6356" s="1" t="s">
        <v>37</v>
      </c>
      <c r="F6356" s="1">
        <v>10</v>
      </c>
      <c r="G6356" s="1">
        <v>6</v>
      </c>
      <c r="H6356" s="1">
        <v>0</v>
      </c>
      <c r="I6356" s="1" t="s">
        <v>12391</v>
      </c>
      <c r="K6356" s="1" t="str">
        <f t="shared" si="408"/>
        <v>ㄏ</v>
      </c>
      <c r="L6356" s="1" t="str">
        <f t="shared" si="409"/>
        <v>ㄨ</v>
      </c>
      <c r="M6356" s="1" t="str">
        <f t="shared" si="407"/>
        <v>ㄟ</v>
      </c>
      <c r="P6356" s="1" t="s">
        <v>20</v>
      </c>
      <c r="R6356" s="1" t="s">
        <v>12392</v>
      </c>
      <c r="V6356" s="1" t="s">
        <v>12399</v>
      </c>
      <c r="AR6356" s="1" t="str">
        <f t="shared" si="410"/>
        <v>| [ㄏㄨㄟˊ](ㄏㄨㄟˊ.md) | [茴](茴.md) |  | huí | 參見「茴香」條。 |</v>
      </c>
    </row>
    <row r="6357" spans="1:44" hidden="1">
      <c r="A6357" s="1" t="s">
        <v>12400</v>
      </c>
      <c r="C6357" s="1">
        <v>1</v>
      </c>
      <c r="D6357" s="1" t="str">
        <f>"05107"</f>
        <v>05107</v>
      </c>
      <c r="E6357" s="1" t="s">
        <v>558</v>
      </c>
      <c r="F6357" s="1">
        <v>10</v>
      </c>
      <c r="G6357" s="1">
        <v>6</v>
      </c>
      <c r="H6357" s="1">
        <v>0</v>
      </c>
      <c r="I6357" s="1" t="s">
        <v>12391</v>
      </c>
      <c r="K6357" s="1" t="str">
        <f t="shared" si="408"/>
        <v>ㄏ</v>
      </c>
      <c r="L6357" s="1" t="str">
        <f t="shared" si="409"/>
        <v>ㄨ</v>
      </c>
      <c r="M6357" s="1" t="str">
        <f t="shared" si="407"/>
        <v>ㄟ</v>
      </c>
      <c r="P6357" s="1" t="s">
        <v>20</v>
      </c>
      <c r="R6357" s="1" t="s">
        <v>12392</v>
      </c>
      <c r="V6357" s="1" t="s">
        <v>12401</v>
      </c>
      <c r="AR6357" s="1" t="str">
        <f t="shared" si="410"/>
        <v>| [ㄏㄨㄟˊ](ㄏㄨㄟˊ.md) | [迴](迴.md) |  | huí | [動]
1.旋轉、環繞。如：「迴旋」、「巡迴」。唐．李白〈大鵬賦〉：「左迴右旋，倏陰忽明。」
2.掉轉、返回。《三國志．卷一．魏書．武帝紀》：「迴戈東征，呂布就戮；乘轅將返，張楊殂斃。」唐．杜甫〈佳人〉詩：「侍婢賣珠迴，牽蘿補茅屋。」
3.回避。唐．陳子昂〈諫靈駕入京書〉：「赴湯鑊而不迴，至誅夷而無悔。」
[形]
曲折。如：「迴廊」。唐．杜甫〈野老〉詩：「野老籬前江岸迴，柴門不正逐江開。」 |</v>
      </c>
    </row>
    <row r="6358" spans="1:44" hidden="1">
      <c r="A6358" s="1" t="s">
        <v>12402</v>
      </c>
      <c r="C6358" s="1">
        <v>1</v>
      </c>
      <c r="D6358" s="1" t="str">
        <f>"05108"</f>
        <v>05108</v>
      </c>
      <c r="E6358" s="1" t="s">
        <v>679</v>
      </c>
      <c r="F6358" s="1">
        <v>12</v>
      </c>
      <c r="G6358" s="1">
        <v>6</v>
      </c>
      <c r="H6358" s="1">
        <v>0</v>
      </c>
      <c r="I6358" s="1" t="s">
        <v>12391</v>
      </c>
      <c r="K6358" s="1" t="str">
        <f t="shared" si="408"/>
        <v>ㄏ</v>
      </c>
      <c r="L6358" s="1" t="str">
        <f t="shared" si="409"/>
        <v>ㄨ</v>
      </c>
      <c r="M6358" s="1" t="str">
        <f t="shared" si="407"/>
        <v>ㄟ</v>
      </c>
      <c r="P6358" s="1" t="s">
        <v>20</v>
      </c>
      <c r="R6358" s="1" t="s">
        <v>12392</v>
      </c>
      <c r="V6358" s="1" t="s">
        <v>12403</v>
      </c>
      <c r="AR6358" s="1" t="str">
        <f t="shared" si="410"/>
        <v>| [ㄏㄨㄟˊ](ㄏㄨㄟˊ.md) | [蛔](蛔.md) |  | huí | [名]
動物名。圓形動物門蛔蟲科。形似蚯蚓而無環節，色白或米黃，寄居於人或家畜的腸內，能引起腸痛、吐瀉等毛病。俗稱為「蛔蟲」。 |</v>
      </c>
    </row>
    <row r="6359" spans="1:44" hidden="1">
      <c r="A6359" s="1" t="s">
        <v>12404</v>
      </c>
      <c r="C6359" s="1">
        <v>1</v>
      </c>
      <c r="D6359" s="1" t="str">
        <f>"05109"</f>
        <v>05109</v>
      </c>
      <c r="E6359" s="1" t="s">
        <v>679</v>
      </c>
      <c r="F6359" s="1">
        <v>6</v>
      </c>
      <c r="G6359" s="1">
        <v>0</v>
      </c>
      <c r="H6359" s="1">
        <v>1</v>
      </c>
      <c r="I6359" s="1" t="s">
        <v>12405</v>
      </c>
      <c r="K6359" s="1" t="str">
        <f t="shared" si="408"/>
        <v>ㄏ</v>
      </c>
      <c r="L6359" s="1" t="str">
        <f t="shared" si="409"/>
        <v>ㄨ</v>
      </c>
      <c r="M6359" s="1" t="str">
        <f t="shared" si="407"/>
        <v>ㄟ</v>
      </c>
      <c r="P6359" s="1" t="s">
        <v>20</v>
      </c>
      <c r="R6359" s="1" t="s">
        <v>12406</v>
      </c>
      <c r="V6359" s="1" t="s">
        <v>12407</v>
      </c>
      <c r="W6359" s="1" t="s">
        <v>12408</v>
      </c>
      <c r="AR6359" s="1" t="str">
        <f t="shared" si="410"/>
        <v>| [ㄏㄨㄟˇ](ㄏㄨㄟˇ.md) | [虫](虫.md) |  | huǐ | [名]
1.虺的古字。
2.二一四部首之一。 |</v>
      </c>
    </row>
    <row r="6360" spans="1:44" hidden="1">
      <c r="A6360" s="1" t="s">
        <v>12357</v>
      </c>
      <c r="C6360" s="1">
        <v>1</v>
      </c>
      <c r="D6360" s="1" t="str">
        <f>"05110"</f>
        <v>05110</v>
      </c>
      <c r="E6360" s="1" t="s">
        <v>679</v>
      </c>
      <c r="F6360" s="1">
        <v>9</v>
      </c>
      <c r="G6360" s="1">
        <v>3</v>
      </c>
      <c r="H6360" s="1">
        <v>1</v>
      </c>
      <c r="I6360" s="1" t="s">
        <v>12405</v>
      </c>
      <c r="K6360" s="1" t="str">
        <f t="shared" si="408"/>
        <v>ㄏ</v>
      </c>
      <c r="L6360" s="1" t="str">
        <f t="shared" si="409"/>
        <v>ㄨ</v>
      </c>
      <c r="M6360" s="1" t="str">
        <f t="shared" si="407"/>
        <v>ㄟ</v>
      </c>
      <c r="P6360" s="1" t="s">
        <v>20</v>
      </c>
      <c r="R6360" s="1" t="s">
        <v>12406</v>
      </c>
      <c r="V6360" s="1" t="s">
        <v>12409</v>
      </c>
      <c r="W6360" s="1" t="s">
        <v>12410</v>
      </c>
      <c r="AR6360" s="1" t="str">
        <f t="shared" si="410"/>
        <v>| [ㄏㄨㄟˇ](ㄏㄨㄟˇ.md) | [虺](虺.md) |  | huǐ | [名]
一種毒蛇。《爾雅．釋魚》：「蝮、虺、博三寸，首大如擘。」宋．邢昺．疏：「案：舍人曰：『蝮，一名虺。江、淮以南曰蝮，江、淮以北曰虺。』孫炎曰：『江、淮以南謂虺為蝮，廣三寸，頭如拇指，有六鯦毒。』」 |</v>
      </c>
    </row>
    <row r="6361" spans="1:44" hidden="1">
      <c r="A6361" s="1" t="s">
        <v>12411</v>
      </c>
      <c r="C6361" s="1">
        <v>1</v>
      </c>
      <c r="D6361" s="1" t="str">
        <f>"05111"</f>
        <v>05111</v>
      </c>
      <c r="E6361" s="1" t="s">
        <v>250</v>
      </c>
      <c r="F6361" s="1">
        <v>10</v>
      </c>
      <c r="G6361" s="1">
        <v>7</v>
      </c>
      <c r="H6361" s="1">
        <v>0</v>
      </c>
      <c r="I6361" s="1" t="s">
        <v>12405</v>
      </c>
      <c r="K6361" s="1" t="str">
        <f t="shared" si="408"/>
        <v>ㄏ</v>
      </c>
      <c r="L6361" s="1" t="str">
        <f t="shared" si="409"/>
        <v>ㄨ</v>
      </c>
      <c r="M6361" s="1" t="str">
        <f t="shared" si="407"/>
        <v>ㄟ</v>
      </c>
      <c r="P6361" s="1" t="s">
        <v>20</v>
      </c>
      <c r="R6361" s="1" t="s">
        <v>12406</v>
      </c>
      <c r="V6361" s="1" t="s">
        <v>12412</v>
      </c>
      <c r="AR6361" s="1" t="str">
        <f t="shared" si="410"/>
        <v>| [ㄏㄨㄟˇ](ㄏㄨㄟˇ.md) | [悔](悔.md) |  | huǐ | [動]
1.事後追恨。如：「悔恨」、「悔不當初」。唐．李頻〈春閨怨〉詩：「自怨愁容常照鏡，悔教征戍覓封侯。」宋．柳永〈蝶戀花．獨倚危樓風細細〉詞：「衣帶漸寬終不悔，為伊消得人憔悴。」
2.改過。如：「悔過」、「悔改」。《後漢書．卷二五．魯恭傳》：「亭長乃慚悔，還牛，詣獄受罪。」 |</v>
      </c>
    </row>
    <row r="6362" spans="1:44" hidden="1">
      <c r="A6362" s="1" t="s">
        <v>12413</v>
      </c>
      <c r="C6362" s="1">
        <v>1</v>
      </c>
      <c r="D6362" s="1" t="str">
        <f>"05112"</f>
        <v>05112</v>
      </c>
      <c r="E6362" s="1" t="s">
        <v>331</v>
      </c>
      <c r="F6362" s="1">
        <v>14</v>
      </c>
      <c r="G6362" s="1">
        <v>7</v>
      </c>
      <c r="H6362" s="1">
        <v>2</v>
      </c>
      <c r="I6362" s="1" t="s">
        <v>12405</v>
      </c>
      <c r="K6362" s="1" t="str">
        <f t="shared" si="408"/>
        <v>ㄏ</v>
      </c>
      <c r="L6362" s="1" t="str">
        <f t="shared" si="409"/>
        <v>ㄨ</v>
      </c>
      <c r="M6362" s="1" t="str">
        <f t="shared" si="407"/>
        <v>ㄟ</v>
      </c>
      <c r="P6362" s="1" t="s">
        <v>110</v>
      </c>
      <c r="R6362" s="1" t="s">
        <v>12406</v>
      </c>
      <c r="V6362" s="1" t="s">
        <v>111</v>
      </c>
      <c r="W6362" s="1" t="s">
        <v>12414</v>
      </c>
      <c r="AR6362" s="1" t="str">
        <f t="shared" si="410"/>
        <v>| [ㄏㄨㄟˇ](ㄏㄨㄟˇ.md) | [誨](誨.md) |  | huǐ | (一)之又音。 |</v>
      </c>
    </row>
    <row r="6363" spans="1:44" hidden="1">
      <c r="A6363" s="1" t="s">
        <v>12415</v>
      </c>
      <c r="C6363" s="1">
        <v>1</v>
      </c>
      <c r="D6363" s="1" t="str">
        <f>"05113"</f>
        <v>05113</v>
      </c>
      <c r="E6363" s="1" t="s">
        <v>505</v>
      </c>
      <c r="F6363" s="1">
        <v>13</v>
      </c>
      <c r="G6363" s="1">
        <v>6</v>
      </c>
      <c r="H6363" s="1">
        <v>2</v>
      </c>
      <c r="I6363" s="1" t="s">
        <v>12405</v>
      </c>
      <c r="K6363" s="1" t="str">
        <f t="shared" si="408"/>
        <v>ㄏ</v>
      </c>
      <c r="L6363" s="1" t="str">
        <f t="shared" si="409"/>
        <v>ㄨ</v>
      </c>
      <c r="M6363" s="1" t="str">
        <f t="shared" si="407"/>
        <v>ㄟ</v>
      </c>
      <c r="P6363" s="1" t="s">
        <v>110</v>
      </c>
      <c r="R6363" s="1" t="s">
        <v>12406</v>
      </c>
      <c r="V6363" s="1" t="s">
        <v>111</v>
      </c>
      <c r="W6363" s="1" t="s">
        <v>12416</v>
      </c>
      <c r="AR6363" s="1" t="str">
        <f t="shared" si="410"/>
        <v>| [ㄏㄨㄟˇ](ㄏㄨㄟˇ.md) | [賄](賄.md) |  | huǐ | (一)之又音。 |</v>
      </c>
    </row>
    <row r="6364" spans="1:44" hidden="1">
      <c r="A6364" s="1" t="s">
        <v>12417</v>
      </c>
      <c r="C6364" s="1">
        <v>1</v>
      </c>
      <c r="D6364" s="1" t="str">
        <f>"05114"</f>
        <v>05114</v>
      </c>
      <c r="E6364" s="1" t="s">
        <v>5505</v>
      </c>
      <c r="F6364" s="1">
        <v>13</v>
      </c>
      <c r="G6364" s="1">
        <v>9</v>
      </c>
      <c r="H6364" s="1">
        <v>0</v>
      </c>
      <c r="I6364" s="1" t="s">
        <v>12405</v>
      </c>
      <c r="K6364" s="1" t="str">
        <f t="shared" si="408"/>
        <v>ㄏ</v>
      </c>
      <c r="L6364" s="1" t="str">
        <f t="shared" si="409"/>
        <v>ㄨ</v>
      </c>
      <c r="M6364" s="1" t="str">
        <f t="shared" si="407"/>
        <v>ㄟ</v>
      </c>
      <c r="P6364" s="1" t="s">
        <v>20</v>
      </c>
      <c r="R6364" s="1" t="s">
        <v>12406</v>
      </c>
      <c r="V6364" s="1" t="s">
        <v>12418</v>
      </c>
      <c r="AR6364" s="1" t="str">
        <f t="shared" si="410"/>
        <v>| [ㄏㄨㄟˇ](ㄏㄨㄟˇ.md) | [毀](毀.md) |  | huǐ | [動]
1.傷害、破壞。如：「毀害」、「毀壞」。《左傳．文公十八年》：「毀則為賊，掩賊為藏。」《孝經．開宗明義章》：「身體髮膚，受之父母，不敢毀傷，孝之始也。」
2.誹謗。如：「毀謗」、「毀譽參半」。《論語．衛靈公》：「吾之於人也，誰毀誰譽？」唐．韓愈〈諱辯〉：「賀舉進士有名，與賀爭名者毀之。」
3.哀傷過甚而損害健康。如：「哀毀逾恆」。《新唐書．卷一九五．孝友傳．張志寬傳》：「（張志寬）居父喪而毀，州里稱之。」 |</v>
      </c>
    </row>
    <row r="6365" spans="1:44" hidden="1">
      <c r="A6365" s="1" t="s">
        <v>12419</v>
      </c>
      <c r="C6365" s="1">
        <v>1</v>
      </c>
      <c r="D6365" s="1" t="str">
        <f>"05115"</f>
        <v>05115</v>
      </c>
      <c r="E6365" s="1" t="s">
        <v>336</v>
      </c>
      <c r="F6365" s="1">
        <v>17</v>
      </c>
      <c r="G6365" s="1">
        <v>13</v>
      </c>
      <c r="H6365" s="1">
        <v>0</v>
      </c>
      <c r="I6365" s="1" t="s">
        <v>12405</v>
      </c>
      <c r="K6365" s="1" t="str">
        <f t="shared" si="408"/>
        <v>ㄏ</v>
      </c>
      <c r="L6365" s="1" t="str">
        <f t="shared" si="409"/>
        <v>ㄨ</v>
      </c>
      <c r="M6365" s="1" t="str">
        <f t="shared" si="407"/>
        <v>ㄟ</v>
      </c>
      <c r="P6365" s="1" t="s">
        <v>20</v>
      </c>
      <c r="R6365" s="1" t="s">
        <v>12406</v>
      </c>
      <c r="V6365" s="1" t="s">
        <v>12420</v>
      </c>
      <c r="AR6365" s="1" t="str">
        <f t="shared" si="410"/>
        <v>| [ㄏㄨㄟˇ](ㄏㄨㄟˇ.md) | [燬](燬.md) |  | huǐ | [名]
烈火。《玉篇．火部》：「燬，烈火也。」《詩經．周南．汝墳》：「魴魚赬尾，王室如燬。」漢．毛亨．傳：「燬，火也。」《晉書．卷八六．張軌傳》：「今王室如燬，百姓倒懸，正是殿下銜膽茹辛厲心之日。」
[動]
燃燒、焚毀。如：「銷燬」、「燒燬」。《晉書．卷六七．溫嶠傳》：「至牛渚磯，水深不可測，世云其下多怪物，嶠遂燬犀角而照之。」 |</v>
      </c>
    </row>
    <row r="6366" spans="1:44" hidden="1">
      <c r="A6366" s="1" t="s">
        <v>10469</v>
      </c>
      <c r="C6366" s="1">
        <v>1</v>
      </c>
      <c r="D6366" s="1" t="str">
        <f>"05116"</f>
        <v>05116</v>
      </c>
      <c r="E6366" s="1" t="s">
        <v>6488</v>
      </c>
      <c r="F6366" s="1">
        <v>13</v>
      </c>
      <c r="G6366" s="1">
        <v>9</v>
      </c>
      <c r="H6366" s="1">
        <v>2</v>
      </c>
      <c r="I6366" s="1" t="s">
        <v>12405</v>
      </c>
      <c r="K6366" s="1" t="str">
        <f t="shared" si="408"/>
        <v>ㄏ</v>
      </c>
      <c r="L6366" s="1" t="str">
        <f t="shared" si="409"/>
        <v>ㄨ</v>
      </c>
      <c r="M6366" s="1" t="str">
        <f t="shared" si="407"/>
        <v>ㄟ</v>
      </c>
      <c r="P6366" s="1" t="s">
        <v>20</v>
      </c>
      <c r="R6366" s="1" t="s">
        <v>12406</v>
      </c>
      <c r="V6366" s="1" t="s">
        <v>12421</v>
      </c>
      <c r="W6366" s="1" t="s">
        <v>12422</v>
      </c>
      <c r="AR6366" s="1" t="str">
        <f t="shared" si="410"/>
        <v>| [ㄏㄨㄟˇ](ㄏㄨㄟˇ.md) | [會](會.md) |  | huǐ | [名]
片刻。表示極短的時間。參見「一會」、「一會兒」條。 |</v>
      </c>
    </row>
    <row r="6367" spans="1:44" hidden="1">
      <c r="A6367" s="1" t="s">
        <v>12423</v>
      </c>
      <c r="C6367" s="1">
        <v>1</v>
      </c>
      <c r="D6367" s="1" t="str">
        <f>"05117"</f>
        <v>05117</v>
      </c>
      <c r="E6367" s="1" t="s">
        <v>286</v>
      </c>
      <c r="F6367" s="1">
        <v>5</v>
      </c>
      <c r="G6367" s="1">
        <v>3</v>
      </c>
      <c r="H6367" s="1">
        <v>0</v>
      </c>
      <c r="I6367" s="1" t="s">
        <v>12424</v>
      </c>
      <c r="K6367" s="1" t="str">
        <f t="shared" si="408"/>
        <v>ㄏ</v>
      </c>
      <c r="L6367" s="1" t="str">
        <f t="shared" si="409"/>
        <v>ㄨ</v>
      </c>
      <c r="M6367" s="1" t="str">
        <f t="shared" si="407"/>
        <v>ㄟ</v>
      </c>
      <c r="P6367" s="1" t="s">
        <v>20</v>
      </c>
      <c r="R6367" s="1" t="s">
        <v>12425</v>
      </c>
      <c r="V6367" s="1" t="s">
        <v>12426</v>
      </c>
      <c r="AR6367" s="1" t="str">
        <f t="shared" si="410"/>
        <v>| [ㄏㄨㄟˋ](ㄏㄨㄟˋ.md) | [卉](卉.md) |  | huì | [名]
草類植物的總稱。《爾雅．釋草》：「卉，草。」晉．郭璞．注：「卉，百卉總名。」如：「奇卉」、「花卉」。《詩經．小雅．出車》：「春日遲遲，卉木萋萋。」 |</v>
      </c>
    </row>
    <row r="6368" spans="1:44" hidden="1">
      <c r="A6368" s="1" t="s">
        <v>12427</v>
      </c>
      <c r="C6368" s="1">
        <v>1</v>
      </c>
      <c r="D6368" s="1" t="str">
        <f>"05118"</f>
        <v>05118</v>
      </c>
      <c r="E6368" s="1" t="s">
        <v>37</v>
      </c>
      <c r="F6368" s="1">
        <v>9</v>
      </c>
      <c r="G6368" s="1">
        <v>3</v>
      </c>
      <c r="H6368" s="1">
        <v>0</v>
      </c>
      <c r="I6368" s="1" t="s">
        <v>12424</v>
      </c>
      <c r="K6368" s="1" t="str">
        <f t="shared" si="408"/>
        <v>ㄏ</v>
      </c>
      <c r="L6368" s="1" t="str">
        <f t="shared" si="409"/>
        <v>ㄨ</v>
      </c>
      <c r="M6368" s="1" t="str">
        <f t="shared" si="407"/>
        <v>ㄟ</v>
      </c>
      <c r="P6368" s="1" t="s">
        <v>20</v>
      </c>
      <c r="R6368" s="1" t="s">
        <v>12425</v>
      </c>
      <c r="V6368" s="1" t="s">
        <v>12428</v>
      </c>
      <c r="AR6368" s="1" t="str">
        <f t="shared" si="410"/>
        <v>| [ㄏㄨㄟˋ](ㄏㄨㄟˋ.md) | [芔](芔.md) |  | huì | 同「卉」。 |</v>
      </c>
    </row>
    <row r="6369" spans="1:44" hidden="1">
      <c r="A6369" s="1" t="s">
        <v>12429</v>
      </c>
      <c r="C6369" s="1">
        <v>1</v>
      </c>
      <c r="D6369" s="1" t="str">
        <f>"05119"</f>
        <v>05119</v>
      </c>
      <c r="E6369" s="1" t="s">
        <v>250</v>
      </c>
      <c r="F6369" s="1">
        <v>10</v>
      </c>
      <c r="G6369" s="1">
        <v>6</v>
      </c>
      <c r="H6369" s="1">
        <v>0</v>
      </c>
      <c r="I6369" s="1" t="s">
        <v>12424</v>
      </c>
      <c r="K6369" s="1" t="str">
        <f t="shared" si="408"/>
        <v>ㄏ</v>
      </c>
      <c r="L6369" s="1" t="str">
        <f t="shared" si="409"/>
        <v>ㄨ</v>
      </c>
      <c r="M6369" s="1" t="str">
        <f t="shared" si="407"/>
        <v>ㄟ</v>
      </c>
      <c r="P6369" s="1" t="s">
        <v>20</v>
      </c>
      <c r="R6369" s="1" t="s">
        <v>12425</v>
      </c>
      <c r="V6369" s="1" t="s">
        <v>12430</v>
      </c>
      <c r="AR6369" s="1" t="str">
        <f t="shared" si="410"/>
        <v>| [ㄏㄨㄟˋ](ㄏㄨㄟˋ.md) | [恚](恚.md) |  | huì | [動]
怨恨、憤怒。如：「恚恨」、「恚怒」。《戰國策．齊策六》：「故去忿恚之心，而成終身之名。」《三國志．卷五四．吳書．呂蒙傳》：「歸以告蒙母，母恚欲罰之。」 |</v>
      </c>
    </row>
    <row r="6370" spans="1:44" hidden="1">
      <c r="A6370" s="1" t="s">
        <v>12431</v>
      </c>
      <c r="C6370" s="1">
        <v>1</v>
      </c>
      <c r="D6370" s="1" t="str">
        <f>"05120"</f>
        <v>05120</v>
      </c>
      <c r="E6370" s="1" t="s">
        <v>6976</v>
      </c>
      <c r="F6370" s="1">
        <v>11</v>
      </c>
      <c r="G6370" s="1">
        <v>8</v>
      </c>
      <c r="H6370" s="1">
        <v>0</v>
      </c>
      <c r="I6370" s="1" t="s">
        <v>12424</v>
      </c>
      <c r="K6370" s="1" t="str">
        <f t="shared" si="408"/>
        <v>ㄏ</v>
      </c>
      <c r="L6370" s="1" t="str">
        <f t="shared" si="409"/>
        <v>ㄨ</v>
      </c>
      <c r="M6370" s="1" t="str">
        <f t="shared" si="407"/>
        <v>ㄟ</v>
      </c>
      <c r="P6370" s="1" t="s">
        <v>20</v>
      </c>
      <c r="R6370" s="1" t="s">
        <v>12425</v>
      </c>
      <c r="V6370" s="1" t="s">
        <v>12432</v>
      </c>
      <c r="AR6370" s="1" t="str">
        <f t="shared" si="410"/>
        <v>| [ㄏㄨㄟˋ](ㄏㄨㄟˋ.md) | [彗](彗.md) |  | huì | [名]
1.掃帚。《禮記．曲禮上》：「國中以策彗卹勿驅，塵不出軌。」漢．鄭玄．注：「彗，竹帚。」
2.參見「彗星」條。 |</v>
      </c>
    </row>
    <row r="6371" spans="1:44" hidden="1">
      <c r="A6371" s="1" t="s">
        <v>12433</v>
      </c>
      <c r="C6371" s="1">
        <v>1</v>
      </c>
      <c r="D6371" s="1" t="str">
        <f>"05121"</f>
        <v>05121</v>
      </c>
      <c r="E6371" s="1" t="s">
        <v>28</v>
      </c>
      <c r="F6371" s="1">
        <v>14</v>
      </c>
      <c r="G6371" s="1">
        <v>11</v>
      </c>
      <c r="H6371" s="1">
        <v>0</v>
      </c>
      <c r="I6371" s="1" t="s">
        <v>12424</v>
      </c>
      <c r="K6371" s="1" t="str">
        <f t="shared" si="408"/>
        <v>ㄏ</v>
      </c>
      <c r="L6371" s="1" t="str">
        <f t="shared" si="409"/>
        <v>ㄨ</v>
      </c>
      <c r="M6371" s="1" t="str">
        <f t="shared" si="407"/>
        <v>ㄟ</v>
      </c>
      <c r="P6371" s="1" t="s">
        <v>20</v>
      </c>
      <c r="R6371" s="1" t="s">
        <v>12425</v>
      </c>
      <c r="V6371" s="1" t="s">
        <v>12434</v>
      </c>
      <c r="AR6371" s="1" t="str">
        <f t="shared" si="410"/>
        <v>| [ㄏㄨㄟˋ](ㄏㄨㄟˋ.md) | [嘒](嘒.md) |  | huì | [名]
細微的聲音。《說文解字．口部》：「嘒，小聲也。」
[形]
光芒微弱。《詩經．召南．小星》：「嘒彼小星，三五在東。」唐．劉禹錫〈楚望賦〉：「三星嘒其曉中，植物颯以飄英。」 |</v>
      </c>
    </row>
    <row r="6372" spans="1:44" hidden="1">
      <c r="A6372" s="1" t="s">
        <v>12435</v>
      </c>
      <c r="C6372" s="1">
        <v>1</v>
      </c>
      <c r="D6372" s="1" t="str">
        <f>"05122"</f>
        <v>05122</v>
      </c>
      <c r="E6372" s="1" t="s">
        <v>250</v>
      </c>
      <c r="F6372" s="1">
        <v>15</v>
      </c>
      <c r="G6372" s="1">
        <v>11</v>
      </c>
      <c r="H6372" s="1">
        <v>0</v>
      </c>
      <c r="I6372" s="1" t="s">
        <v>12424</v>
      </c>
      <c r="K6372" s="1" t="str">
        <f t="shared" si="408"/>
        <v>ㄏ</v>
      </c>
      <c r="L6372" s="1" t="str">
        <f t="shared" si="409"/>
        <v>ㄨ</v>
      </c>
      <c r="M6372" s="1" t="str">
        <f t="shared" si="407"/>
        <v>ㄟ</v>
      </c>
      <c r="P6372" s="1" t="s">
        <v>20</v>
      </c>
      <c r="R6372" s="1" t="s">
        <v>12425</v>
      </c>
      <c r="V6372" s="1" t="s">
        <v>12436</v>
      </c>
      <c r="AR6372" s="1" t="str">
        <f t="shared" si="410"/>
        <v>| [ㄏㄨㄟˋ](ㄏㄨㄟˋ.md) | [慧](慧.md) |  | huì | [名]
聰明才智。如：「智慧」。《左傳．成公十八年》：「周子有兄而無慧，不能辨菽麥。」南朝宋．劉義慶《世說新語．假譎》：「唯有一女，甚有姿慧。」
[形]
聰敏、敏捷。如：「聰慧」、「慧黠」、「慧性」、「秀外慧中」。 |</v>
      </c>
    </row>
    <row r="6373" spans="1:44" hidden="1">
      <c r="A6373" s="1" t="s">
        <v>12437</v>
      </c>
      <c r="C6373" s="1">
        <v>1</v>
      </c>
      <c r="D6373" s="1" t="str">
        <f>"05123"</f>
        <v>05123</v>
      </c>
      <c r="E6373" s="1" t="s">
        <v>139</v>
      </c>
      <c r="F6373" s="1">
        <v>15</v>
      </c>
      <c r="G6373" s="1">
        <v>11</v>
      </c>
      <c r="H6373" s="1">
        <v>0</v>
      </c>
      <c r="I6373" s="1" t="s">
        <v>12424</v>
      </c>
      <c r="K6373" s="1" t="str">
        <f t="shared" si="408"/>
        <v>ㄏ</v>
      </c>
      <c r="L6373" s="1" t="str">
        <f t="shared" si="409"/>
        <v>ㄨ</v>
      </c>
      <c r="M6373" s="1" t="str">
        <f t="shared" si="407"/>
        <v>ㄟ</v>
      </c>
      <c r="P6373" s="1" t="s">
        <v>20</v>
      </c>
      <c r="R6373" s="1" t="s">
        <v>12425</v>
      </c>
      <c r="V6373" s="1" t="s">
        <v>12438</v>
      </c>
      <c r="AR6373" s="1" t="str">
        <f t="shared" si="410"/>
        <v>| [ㄏㄨㄟˋ](ㄏㄨㄟˋ.md) | [槥](槥.md) |  | huì | [名]
小的棺木。清．王念孫《廣雅疏證．卷八上．釋器》：「槥，棺也。」疏證：「槥者，小貌也。」《漢書．卷一．高帝紀》：「令士卒從軍死者為槥，歸其縣，縣給衣衾棺葬具。」《聊齋志異．卷四．青梅》：「即出金營葬，雙槥具舉。」 |</v>
      </c>
    </row>
    <row r="6374" spans="1:44" hidden="1">
      <c r="A6374" s="1" t="s">
        <v>12439</v>
      </c>
      <c r="C6374" s="1">
        <v>1</v>
      </c>
      <c r="D6374" s="1" t="str">
        <f>"05124"</f>
        <v>05124</v>
      </c>
      <c r="E6374" s="1" t="s">
        <v>37</v>
      </c>
      <c r="F6374" s="1">
        <v>15</v>
      </c>
      <c r="G6374" s="1">
        <v>11</v>
      </c>
      <c r="H6374" s="1">
        <v>0</v>
      </c>
      <c r="I6374" s="1" t="s">
        <v>12424</v>
      </c>
      <c r="K6374" s="1" t="str">
        <f t="shared" si="408"/>
        <v>ㄏ</v>
      </c>
      <c r="L6374" s="1" t="str">
        <f t="shared" si="409"/>
        <v>ㄨ</v>
      </c>
      <c r="M6374" s="1" t="str">
        <f t="shared" si="407"/>
        <v>ㄟ</v>
      </c>
      <c r="P6374" s="1" t="s">
        <v>20</v>
      </c>
      <c r="R6374" s="1" t="s">
        <v>12425</v>
      </c>
      <c r="V6374" s="1" t="s">
        <v>12440</v>
      </c>
      <c r="AR6374" s="1" t="str">
        <f t="shared" si="410"/>
        <v>| [ㄏㄨㄟˋ](ㄏㄨㄟˋ.md) | [蔧](蔧.md) |  | huì | [名]
植物名。即地膚。藜科地膚屬，「掃帚」、「地膚」之古稱，參見「掃帚」條。也稱為「王蔧」、「地葵」。 |</v>
      </c>
    </row>
    <row r="6375" spans="1:44" hidden="1">
      <c r="A6375" s="1" t="s">
        <v>12441</v>
      </c>
      <c r="C6375" s="1">
        <v>1</v>
      </c>
      <c r="D6375" s="1" t="str">
        <f>"05125"</f>
        <v>05125</v>
      </c>
      <c r="E6375" s="1" t="s">
        <v>49</v>
      </c>
      <c r="F6375" s="1">
        <v>17</v>
      </c>
      <c r="G6375" s="1">
        <v>11</v>
      </c>
      <c r="H6375" s="1">
        <v>0</v>
      </c>
      <c r="I6375" s="1" t="s">
        <v>12424</v>
      </c>
      <c r="K6375" s="1" t="str">
        <f t="shared" si="408"/>
        <v>ㄏ</v>
      </c>
      <c r="L6375" s="1" t="str">
        <f t="shared" si="409"/>
        <v>ㄨ</v>
      </c>
      <c r="M6375" s="1" t="str">
        <f t="shared" si="407"/>
        <v>ㄟ</v>
      </c>
      <c r="P6375" s="1" t="s">
        <v>20</v>
      </c>
      <c r="R6375" s="1" t="s">
        <v>12425</v>
      </c>
      <c r="V6375" s="1" t="s">
        <v>12442</v>
      </c>
      <c r="AR6375" s="1" t="str">
        <f t="shared" si="410"/>
        <v>| [ㄏㄨㄟˋ](ㄏㄨㄟˋ.md) | [篲](篲.md) |  | huì | [名]
掃帚。唐．白居易〈洗竹〉詩：「勿作篲與箕，而令糞土辱。」《太平廣記．卷四七五．淳于棼》：「見家之僮僕，擁篲于庭。」也作「彗」。
[動]
掃。《文選．枚乘．七發》：「凌赤岸，篲扶桑，橫奔似雷行。」 |</v>
      </c>
    </row>
    <row r="6376" spans="1:44" hidden="1">
      <c r="A6376" s="1" t="s">
        <v>12443</v>
      </c>
      <c r="C6376" s="1">
        <v>1</v>
      </c>
      <c r="D6376" s="1" t="str">
        <f>"05126"</f>
        <v>05126</v>
      </c>
      <c r="E6376" s="1" t="s">
        <v>646</v>
      </c>
      <c r="F6376" s="1">
        <v>11</v>
      </c>
      <c r="G6376" s="1">
        <v>7</v>
      </c>
      <c r="H6376" s="1">
        <v>0</v>
      </c>
      <c r="I6376" s="1" t="s">
        <v>12424</v>
      </c>
      <c r="K6376" s="1" t="str">
        <f t="shared" si="408"/>
        <v>ㄏ</v>
      </c>
      <c r="L6376" s="1" t="str">
        <f t="shared" si="409"/>
        <v>ㄨ</v>
      </c>
      <c r="M6376" s="1" t="str">
        <f t="shared" si="407"/>
        <v>ㄟ</v>
      </c>
      <c r="P6376" s="1" t="s">
        <v>20</v>
      </c>
      <c r="R6376" s="1" t="s">
        <v>12425</v>
      </c>
      <c r="V6376" s="1" t="s">
        <v>12444</v>
      </c>
      <c r="AR6376" s="1" t="str">
        <f t="shared" si="410"/>
        <v>| [ㄏㄨㄟˋ](ㄏㄨㄟˋ.md) | [晦](晦.md) |  | huì | [名]
1.陰曆每月的最後一日稱為「晦」。《左傳．成公十六年》：「陳不違晦。」晉．杜預．注：「晦，月終，陰之盡。」《莊子．逍遙遊》：「朝菌不知晦朔，蟪蛄不知春秋，此小年也。」
2.夜晚。如：「風雨如晦」。《國語．魯語下》：「明而動，晦而休，無日以怠。」
[形]
1.昏暗。如：「幽晦」、「昏晦」。《楚辭．屈原．九歌．山鬼》：「雲容容兮而在下，杳冥冥兮羌晝晦。」
2.不顯明。如：「隱晦」、「詞句晦澀」。《鏡花緣》第八〇回：「妹子以為此謎做的過晦，即使姊姊精於歧黃，也恐難猜。」 |</v>
      </c>
    </row>
    <row r="6377" spans="1:44" hidden="1">
      <c r="A6377" s="1" t="s">
        <v>12413</v>
      </c>
      <c r="C6377" s="1">
        <v>1</v>
      </c>
      <c r="D6377" s="1" t="str">
        <f>"05127"</f>
        <v>05127</v>
      </c>
      <c r="E6377" s="1" t="s">
        <v>331</v>
      </c>
      <c r="F6377" s="1">
        <v>14</v>
      </c>
      <c r="G6377" s="1">
        <v>7</v>
      </c>
      <c r="H6377" s="1">
        <v>1</v>
      </c>
      <c r="I6377" s="1" t="s">
        <v>12424</v>
      </c>
      <c r="K6377" s="1" t="str">
        <f t="shared" si="408"/>
        <v>ㄏ</v>
      </c>
      <c r="L6377" s="1" t="str">
        <f t="shared" si="409"/>
        <v>ㄨ</v>
      </c>
      <c r="M6377" s="1" t="str">
        <f t="shared" si="407"/>
        <v>ㄟ</v>
      </c>
      <c r="P6377" s="1" t="s">
        <v>20</v>
      </c>
      <c r="R6377" s="1" t="s">
        <v>12425</v>
      </c>
      <c r="V6377" s="1" t="s">
        <v>12445</v>
      </c>
      <c r="W6377" s="1" t="s">
        <v>12446</v>
      </c>
      <c r="AR6377" s="1" t="str">
        <f t="shared" si="410"/>
        <v>| [ㄏㄨㄟˋ](ㄏㄨㄟˋ.md) | [誨](誨.md) |  | huì | [動]
1.教導、勸導。如：「教誨」、「誨人不倦」。《左傳．襄公三十年》：「我有子弟，子產誨之。」
2.引誘、誘使。如：「誨盜誨淫」。《易經．繫辭上》：「慢藏誨盜，冶容誨淫。」《史記．卷一．五帝本紀》：「取地之財而節用之，撫教萬民而利誨之。」 |</v>
      </c>
    </row>
    <row r="6378" spans="1:44" hidden="1">
      <c r="A6378" s="1" t="s">
        <v>12447</v>
      </c>
      <c r="C6378" s="1">
        <v>1</v>
      </c>
      <c r="D6378" s="1" t="str">
        <f>"05128"</f>
        <v>05128</v>
      </c>
      <c r="E6378" s="1" t="s">
        <v>250</v>
      </c>
      <c r="F6378" s="1">
        <v>12</v>
      </c>
      <c r="G6378" s="1">
        <v>8</v>
      </c>
      <c r="H6378" s="1">
        <v>0</v>
      </c>
      <c r="I6378" s="1" t="s">
        <v>12424</v>
      </c>
      <c r="K6378" s="1" t="str">
        <f t="shared" si="408"/>
        <v>ㄏ</v>
      </c>
      <c r="L6378" s="1" t="str">
        <f t="shared" si="409"/>
        <v>ㄨ</v>
      </c>
      <c r="M6378" s="1" t="str">
        <f t="shared" si="407"/>
        <v>ㄟ</v>
      </c>
      <c r="P6378" s="1" t="s">
        <v>20</v>
      </c>
      <c r="R6378" s="1" t="s">
        <v>12425</v>
      </c>
      <c r="V6378" s="1" t="s">
        <v>12448</v>
      </c>
      <c r="AR6378" s="1" t="str">
        <f t="shared" si="410"/>
        <v>| [ㄏㄨㄟˋ](ㄏㄨㄟˋ.md) | [惠](惠.md) |  | huì | [名]
1.恩澤、好處。如：「恩惠」、「略施小惠」。《左傳．莊公十年》：「小惠未遍，民弗從也。」南朝宋．劉義慶《世說新語．方正》：「梅頤嘗有惠於陶公。後為豫章太守，有事，王丞相遣收之。」
2.姓。如戰國時宋有惠施。
[動]
1.賜贈、贈送。三國魏．曹植〈喜雨〉詩：「棄之必憔悴，惠之則滋榮。」唐．鄭谷〈宗人惠四藥〉詩：「宗人忽惠西山藥，四味清新香助茶。」
2.疼愛、寵愛。《詩經．邶風．北風》：「惠而好我，攜手同行。」唐．張潮〈江風行〉：「妾本富家女，與君為偶匹，惠好一何深，中門不曾出。」
3.給人好處。如：「口惠」、「特惠」、「優惠」、「互惠互利」。
[形]
柔順、和順。《詩經．邶風．燕燕》：「終溫且惠，淑慎其身。」晉．王羲之〈三月三日蘭亭集序〉：「天朗氣清，惠風和暢。」
[副]
敬辭。用於對方對自己關心照顧之行為。如：「惠存」、「惠顧」、「惠臨」、「惠請賜票」。《國語．晉語二》：「公子重耳出見使者曰：『子惠顧亡人重耳。』」 |</v>
      </c>
    </row>
    <row r="6379" spans="1:44" hidden="1">
      <c r="A6379" s="1" t="s">
        <v>12449</v>
      </c>
      <c r="C6379" s="1">
        <v>1</v>
      </c>
      <c r="D6379" s="1" t="str">
        <f>"05129"</f>
        <v>05129</v>
      </c>
      <c r="E6379" s="1" t="s">
        <v>37</v>
      </c>
      <c r="F6379" s="1">
        <v>16</v>
      </c>
      <c r="G6379" s="1">
        <v>12</v>
      </c>
      <c r="H6379" s="1">
        <v>0</v>
      </c>
      <c r="I6379" s="1" t="s">
        <v>12424</v>
      </c>
      <c r="K6379" s="1" t="str">
        <f t="shared" si="408"/>
        <v>ㄏ</v>
      </c>
      <c r="L6379" s="1" t="str">
        <f t="shared" si="409"/>
        <v>ㄨ</v>
      </c>
      <c r="M6379" s="1" t="str">
        <f t="shared" si="407"/>
        <v>ㄟ</v>
      </c>
      <c r="P6379" s="1" t="s">
        <v>20</v>
      </c>
      <c r="R6379" s="1" t="s">
        <v>12425</v>
      </c>
      <c r="V6379" s="1" t="s">
        <v>12450</v>
      </c>
      <c r="AR6379" s="1" t="str">
        <f t="shared" si="410"/>
        <v>| [ㄏㄨㄟˋ](ㄏㄨㄟˋ.md) | [蕙](蕙.md) |  | huì | [名]
1.一種香草。古人將其佩帶在身上以避疫癘。《文選．張衡．南都賦》：「其香草則有薜荔蕙若，薇蕪蓀萇，晻曖蓊蔚，含芬吐芳。」也稱為「佩蘭」。
2.參見「蕙蘭」條。
[形]
喻高雅、高潔。如：「蕙質蘭心」。《文選．鮑照．蕪城賦》：「東都妙姬，南國麗人，蕙心紈質，玉貌絳脣。」 |</v>
      </c>
    </row>
    <row r="6380" spans="1:44" hidden="1">
      <c r="A6380" s="1" t="s">
        <v>12451</v>
      </c>
      <c r="C6380" s="1">
        <v>1</v>
      </c>
      <c r="D6380" s="1" t="str">
        <f>"05130"</f>
        <v>05130</v>
      </c>
      <c r="E6380" s="1" t="s">
        <v>679</v>
      </c>
      <c r="F6380" s="1">
        <v>18</v>
      </c>
      <c r="G6380" s="1">
        <v>12</v>
      </c>
      <c r="H6380" s="1">
        <v>0</v>
      </c>
      <c r="I6380" s="1" t="s">
        <v>12424</v>
      </c>
      <c r="K6380" s="1" t="str">
        <f t="shared" si="408"/>
        <v>ㄏ</v>
      </c>
      <c r="L6380" s="1" t="str">
        <f t="shared" si="409"/>
        <v>ㄨ</v>
      </c>
      <c r="M6380" s="1" t="str">
        <f t="shared" si="407"/>
        <v>ㄟ</v>
      </c>
      <c r="P6380" s="1" t="s">
        <v>20</v>
      </c>
      <c r="R6380" s="1" t="s">
        <v>12425</v>
      </c>
      <c r="V6380" s="1" t="s">
        <v>12452</v>
      </c>
      <c r="AR6380" s="1" t="str">
        <f t="shared" si="410"/>
        <v>| [ㄏㄨㄟˋ](ㄏㄨㄟˋ.md) | [蟪](蟪.md) |  | huì | 參見「蟪蛄」條。 |</v>
      </c>
    </row>
    <row r="6381" spans="1:44" hidden="1">
      <c r="A6381" s="1" t="s">
        <v>12453</v>
      </c>
      <c r="C6381" s="1">
        <v>1</v>
      </c>
      <c r="D6381" s="1" t="str">
        <f>"05131"</f>
        <v>05131</v>
      </c>
      <c r="E6381" s="1" t="s">
        <v>28</v>
      </c>
      <c r="F6381" s="1">
        <v>12</v>
      </c>
      <c r="G6381" s="1">
        <v>9</v>
      </c>
      <c r="H6381" s="1">
        <v>0</v>
      </c>
      <c r="I6381" s="1" t="s">
        <v>12424</v>
      </c>
      <c r="K6381" s="1" t="str">
        <f t="shared" si="408"/>
        <v>ㄏ</v>
      </c>
      <c r="L6381" s="1" t="str">
        <f t="shared" si="409"/>
        <v>ㄨ</v>
      </c>
      <c r="M6381" s="1" t="str">
        <f t="shared" si="407"/>
        <v>ㄟ</v>
      </c>
      <c r="P6381" s="1" t="s">
        <v>20</v>
      </c>
      <c r="R6381" s="1" t="s">
        <v>12425</v>
      </c>
      <c r="V6381" s="1" t="s">
        <v>12454</v>
      </c>
      <c r="AR6381" s="1" t="str">
        <f t="shared" si="410"/>
        <v>| [ㄏㄨㄟˋ](ㄏㄨㄟˋ.md) | [喙](喙.md) |  | huì | [名]
1.鳥獸動物等尖長形的嘴。《漢書．卷九四．匈奴傳下》：「是以忍百萬之師以摧餓虎之喙，運府庫之財填盧山之壑而不悔也。」唐．柳宗元〈行路難〉三首之三：「蟠龍吐耀虎喙張，熊蹲豹擲爭低昂。」
2.泛指人的嘴。如：「百喙莫辯」、「不容置喙」。《莊子．秋水》：「今吾無所開吾喙，敢問其方。」《南史．卷六二．鮑泉傳》：「面如冠玉，還疑木偶；鬚似蝟毛，徒勞繞喙。」 |</v>
      </c>
    </row>
    <row r="6382" spans="1:44" hidden="1">
      <c r="A6382" s="1" t="s">
        <v>12455</v>
      </c>
      <c r="C6382" s="1">
        <v>1</v>
      </c>
      <c r="D6382" s="1" t="str">
        <f>"05132"</f>
        <v>05132</v>
      </c>
      <c r="E6382" s="1" t="s">
        <v>3892</v>
      </c>
      <c r="F6382" s="1">
        <v>13</v>
      </c>
      <c r="G6382" s="1">
        <v>11</v>
      </c>
      <c r="H6382" s="1">
        <v>0</v>
      </c>
      <c r="I6382" s="1" t="s">
        <v>12424</v>
      </c>
      <c r="K6382" s="1" t="str">
        <f t="shared" si="408"/>
        <v>ㄏ</v>
      </c>
      <c r="L6382" s="1" t="str">
        <f t="shared" si="409"/>
        <v>ㄨ</v>
      </c>
      <c r="M6382" s="1" t="str">
        <f t="shared" si="407"/>
        <v>ㄟ</v>
      </c>
      <c r="P6382" s="1" t="s">
        <v>20</v>
      </c>
      <c r="R6382" s="1" t="s">
        <v>12425</v>
      </c>
      <c r="V6382" s="1" t="s">
        <v>12456</v>
      </c>
      <c r="AR6382" s="1" t="str">
        <f t="shared" si="410"/>
        <v>| [ㄏㄨㄟˋ](ㄏㄨㄟˋ.md) | [匯](匯.md) |  | huì | [動]
1.水流會合。《集韻．去聲．隊韻》：「匯，水回合也。」唐．柳宗元〈柳州山水近治可游者記〉：「（柳州）南北東西皆水匯。」
2.聚集、整合。如：「匯整」、「匯刊」、「匯編」。
3.貨幣由甲地交付，於乙地收取。如：「匯款」、「匯兌」。 |</v>
      </c>
    </row>
    <row r="6383" spans="1:44" hidden="1">
      <c r="A6383" s="1" t="s">
        <v>12415</v>
      </c>
      <c r="C6383" s="1">
        <v>1</v>
      </c>
      <c r="D6383" s="1" t="str">
        <f>"05133"</f>
        <v>05133</v>
      </c>
      <c r="E6383" s="1" t="s">
        <v>505</v>
      </c>
      <c r="F6383" s="1">
        <v>13</v>
      </c>
      <c r="G6383" s="1">
        <v>6</v>
      </c>
      <c r="H6383" s="1">
        <v>1</v>
      </c>
      <c r="I6383" s="1" t="s">
        <v>12424</v>
      </c>
      <c r="K6383" s="1" t="str">
        <f t="shared" si="408"/>
        <v>ㄏ</v>
      </c>
      <c r="L6383" s="1" t="str">
        <f t="shared" si="409"/>
        <v>ㄨ</v>
      </c>
      <c r="M6383" s="1" t="str">
        <f t="shared" si="407"/>
        <v>ㄟ</v>
      </c>
      <c r="P6383" s="1" t="s">
        <v>20</v>
      </c>
      <c r="R6383" s="1" t="s">
        <v>12425</v>
      </c>
      <c r="V6383" s="1" t="s">
        <v>12457</v>
      </c>
      <c r="W6383" s="1" t="s">
        <v>12458</v>
      </c>
      <c r="AR6383" s="1" t="str">
        <f t="shared" si="410"/>
        <v>| [ㄏㄨㄟˋ](ㄏㄨㄟˋ.md) | [賄](賄.md) |  | huì | [名]
財貨、財物。《說文解字．》：「賄，財也。」如：「貪贓受賄」。《左傳．文公十八年》：「竊賄為盜。」晉．杜預．注：「賄，財也。」
[動]
1.贈送禮物。《儀禮．聘禮》：「賓裼迎大夫，賄用束紡。」《左傳．文公十二年》：「襄仲曰：『不有君子，其能國乎？國無陋矣！』厚賄之。」
2.送人財物，企圖有所請託。如：「行賄」。《北史．卷一二．隋煬帝本紀》：「政刑弛紊，賄貨公行。」宋．沈括《夢溪筆談．卷二三．謬誤》：「溥晚年以賄敗，竄謫海州。」 |</v>
      </c>
    </row>
    <row r="6384" spans="1:44" hidden="1">
      <c r="A6384" s="1" t="s">
        <v>10469</v>
      </c>
      <c r="C6384" s="1">
        <v>1</v>
      </c>
      <c r="D6384" s="1" t="str">
        <f>"05134"</f>
        <v>05134</v>
      </c>
      <c r="E6384" s="1" t="s">
        <v>6488</v>
      </c>
      <c r="F6384" s="1">
        <v>13</v>
      </c>
      <c r="G6384" s="1">
        <v>9</v>
      </c>
      <c r="H6384" s="1">
        <v>1</v>
      </c>
      <c r="I6384" s="1" t="s">
        <v>12424</v>
      </c>
      <c r="K6384" s="1" t="str">
        <f t="shared" si="408"/>
        <v>ㄏ</v>
      </c>
      <c r="L6384" s="1" t="str">
        <f t="shared" si="409"/>
        <v>ㄨ</v>
      </c>
      <c r="M6384" s="1" t="str">
        <f t="shared" si="407"/>
        <v>ㄟ</v>
      </c>
      <c r="P6384" s="1" t="s">
        <v>20</v>
      </c>
      <c r="R6384" s="1" t="s">
        <v>12425</v>
      </c>
      <c r="V6384" s="1" t="s">
        <v>12459</v>
      </c>
      <c r="W6384" s="1" t="s">
        <v>12460</v>
      </c>
      <c r="AR6384" s="1" t="str">
        <f t="shared" si="410"/>
        <v>| [ㄏㄨㄟˋ](ㄏㄨㄟˋ.md) | [會](會.md) |  | huì | [動]
1.集合、聚合。如：「會合」。《書經．禹貢》：「雷、夏既澤，灉、沮會同。」
2.相見、見面。如：「會面」、「會晤」。《史記．卷八一．廉頗藺相如傳》：「宣言曰：『我見相如，必辱之！』相如聞，不肯與會。」
3.瞭解、領悟。如：「意會」、「體會」、「心領神會」。宋．陳亮〈念奴嬌．危樓還望〉詞：「危樓還望，嘆此意、今古幾人曾會。」
4.付款。如：「會帳」。《警世通言．卷一五．金令史美婢酬秀董》：「二人又吃了一回，起身會鈔而別。」
[名]
1.為一定目的成立的團體組織。如：「教會」、「農會」、「工會」、「同鄉會」。
2.多數人的集會、聚會。如：「宴會」、「晚會」、「紀念會」、「里民大會」。
3.大城市、行政中心。如：「都會」、「省會」。
4.時機。如：「機會」、「適逢其會」。明．葉憲祖《易水寒》第二折：「是天賜我以報秦之會也。」
[副]
1.能、能夠。如：「我會游泳」、「只要努力，理想一定會實現。」
2.可能。多用於疑問語氣。如：「他會來嗎？」、「會不會是他回來了？」
[介]
適、值。《史記．卷七．項羽本紀》：「會其怒，不敢獻，公為我獻之。」 |</v>
      </c>
    </row>
    <row r="6385" spans="1:44" hidden="1">
      <c r="A6385" s="1" t="s">
        <v>12461</v>
      </c>
      <c r="C6385" s="1">
        <v>1</v>
      </c>
      <c r="D6385" s="1" t="str">
        <f>"05135"</f>
        <v>05135</v>
      </c>
      <c r="E6385" s="1" t="s">
        <v>336</v>
      </c>
      <c r="F6385" s="1">
        <v>17</v>
      </c>
      <c r="G6385" s="1">
        <v>13</v>
      </c>
      <c r="H6385" s="1">
        <v>0</v>
      </c>
      <c r="I6385" s="1" t="s">
        <v>12424</v>
      </c>
      <c r="K6385" s="1" t="str">
        <f t="shared" si="408"/>
        <v>ㄏ</v>
      </c>
      <c r="L6385" s="1" t="str">
        <f t="shared" si="409"/>
        <v>ㄨ</v>
      </c>
      <c r="M6385" s="1" t="str">
        <f t="shared" si="407"/>
        <v>ㄟ</v>
      </c>
      <c r="P6385" s="1" t="s">
        <v>20</v>
      </c>
      <c r="R6385" s="1" t="s">
        <v>12425</v>
      </c>
      <c r="V6385" s="1" t="s">
        <v>12462</v>
      </c>
      <c r="AR6385" s="1" t="str">
        <f t="shared" si="410"/>
        <v>| [ㄏㄨㄟˋ](ㄏㄨㄟˋ.md) | [燴](燴.md) |  | huì | [動]
一種烹飪方法。將湯汁注入鍋中，加入材料慢火煮，至湯汁不太多時勾芡即成。如：「燴牛肉」、「燴魚」、「燴什錦」。 |</v>
      </c>
    </row>
    <row r="6386" spans="1:44" hidden="1">
      <c r="A6386" s="1" t="s">
        <v>12463</v>
      </c>
      <c r="C6386" s="1">
        <v>1</v>
      </c>
      <c r="D6386" s="1" t="str">
        <f>"05136"</f>
        <v>05136</v>
      </c>
      <c r="E6386" s="1" t="s">
        <v>37</v>
      </c>
      <c r="F6386" s="1">
        <v>17</v>
      </c>
      <c r="G6386" s="1">
        <v>13</v>
      </c>
      <c r="H6386" s="1">
        <v>0</v>
      </c>
      <c r="I6386" s="1" t="s">
        <v>12424</v>
      </c>
      <c r="K6386" s="1" t="str">
        <f t="shared" si="408"/>
        <v>ㄏ</v>
      </c>
      <c r="L6386" s="1" t="str">
        <f t="shared" si="409"/>
        <v>ㄨ</v>
      </c>
      <c r="M6386" s="1" t="str">
        <f t="shared" si="407"/>
        <v>ㄟ</v>
      </c>
      <c r="P6386" s="1" t="s">
        <v>20</v>
      </c>
      <c r="R6386" s="1" t="s">
        <v>12425</v>
      </c>
      <c r="V6386" s="1" t="s">
        <v>12464</v>
      </c>
      <c r="AR6386" s="1" t="str">
        <f t="shared" si="410"/>
        <v>| [ㄏㄨㄟˋ](ㄏㄨㄟˋ.md) | [薈](薈.md) |  | huì | [形]
草木繁盛的樣子。《說文解字．艸部》：「薈，艸多貌。」《詩經．曹風．候人》：「薈兮蔚兮，南山朝隮。」
[動]
1.遮蔽。《新唐書．卷二一六．吐蕃傳下》：「土梨樹林薈巖阻，兵易詭伏，不如平涼夷漫坦直，且近涇，緩急可保也。」
2.聚集。如：「人文薈萃」。唐．杜甫．八哀詩．故著作郎貶臺州司戶縈陽鄭公虔：「貫穿無遺恨，薈蕞何技癢。」 |</v>
      </c>
    </row>
    <row r="6387" spans="1:44" hidden="1">
      <c r="A6387" s="1" t="s">
        <v>12465</v>
      </c>
      <c r="C6387" s="1">
        <v>1</v>
      </c>
      <c r="D6387" s="1" t="str">
        <f>"05137"</f>
        <v>05137</v>
      </c>
      <c r="E6387" s="1" t="s">
        <v>725</v>
      </c>
      <c r="F6387" s="1">
        <v>19</v>
      </c>
      <c r="G6387" s="1">
        <v>13</v>
      </c>
      <c r="H6387" s="1">
        <v>0</v>
      </c>
      <c r="I6387" s="1" t="s">
        <v>12424</v>
      </c>
      <c r="K6387" s="1" t="str">
        <f t="shared" si="408"/>
        <v>ㄏ</v>
      </c>
      <c r="L6387" s="1" t="str">
        <f t="shared" si="409"/>
        <v>ㄨ</v>
      </c>
      <c r="M6387" s="1" t="str">
        <f t="shared" si="407"/>
        <v>ㄟ</v>
      </c>
      <c r="P6387" s="1" t="s">
        <v>20</v>
      </c>
      <c r="R6387" s="1" t="s">
        <v>12425</v>
      </c>
      <c r="V6387" s="1" t="s">
        <v>12466</v>
      </c>
      <c r="AR6387" s="1" t="str">
        <f t="shared" si="410"/>
        <v>| [ㄏㄨㄟˋ](ㄏㄨㄟˋ.md) | [繪](繪.md) |  | huì | [名]
繡有五彩圖案的絲綢。《說文解字．糸部》：「繪，會五采繡也。」南朝梁．劉勰《文心雕龍．總術》：「視之則錦繪，聽之則絲簧。」
[動]
1.作畫、畫圖。如：「繪畫」、「描繪」。《新唐書．卷一一九．白居易傳》：「嘗與胡杲、吉𪰋、鄭據、劉真、盧真、張渾、狄兼謨、盧員燕集，皆高年不事者，人慕之，繪為九老圖。」清．薛福成〈觀巴黎油畫院記〉：「法人好勝，何以自繪敗狀，令人氣喪若此？」
2.描述、形容。如：「繪影繪聲」。 |</v>
      </c>
    </row>
    <row r="6388" spans="1:44" hidden="1">
      <c r="A6388" s="1" t="s">
        <v>12467</v>
      </c>
      <c r="C6388" s="1">
        <v>1</v>
      </c>
      <c r="D6388" s="1" t="str">
        <f>"05138"</f>
        <v>05138</v>
      </c>
      <c r="E6388" s="1" t="s">
        <v>6976</v>
      </c>
      <c r="F6388" s="1">
        <v>13</v>
      </c>
      <c r="G6388" s="1">
        <v>10</v>
      </c>
      <c r="H6388" s="1">
        <v>0</v>
      </c>
      <c r="I6388" s="1" t="s">
        <v>12424</v>
      </c>
      <c r="K6388" s="1" t="str">
        <f t="shared" si="408"/>
        <v>ㄏ</v>
      </c>
      <c r="L6388" s="1" t="str">
        <f t="shared" si="409"/>
        <v>ㄨ</v>
      </c>
      <c r="M6388" s="1" t="str">
        <f t="shared" si="407"/>
        <v>ㄟ</v>
      </c>
      <c r="P6388" s="1" t="s">
        <v>20</v>
      </c>
      <c r="R6388" s="1" t="s">
        <v>12425</v>
      </c>
      <c r="V6388" s="1" t="s">
        <v>12468</v>
      </c>
      <c r="AR6388" s="1" t="str">
        <f t="shared" si="410"/>
        <v>| [ㄏㄨㄟˋ](ㄏㄨㄟˋ.md) | [彙](彙.md) |  | huì | [名]_x000D_
相同種類聚集成的東西。如：「字彙」、「詞彙」、「語彙」。《易經．泰卦．初九》：「拔茅茹，以其彙，征吉。」唐．孔穎達．正義：「彙，類也。以類相從。」_x000D_
[動]_x000D_
聚集。如：「彙集」。《晉書．卷九．孝武帝紀》：「道子荒乎朝政，國寶彙以小人。」《新唐書．卷一九八．儒學列傳上．序》：「（唐玄宗）置集賢院部分典籍、乾元殿博彙群書至六萬卷，經籍大備。」 |</v>
      </c>
    </row>
    <row r="6389" spans="1:44" hidden="1">
      <c r="A6389" s="1" t="s">
        <v>11310</v>
      </c>
      <c r="C6389" s="1">
        <v>1</v>
      </c>
      <c r="D6389" s="1" t="str">
        <f>"05139"</f>
        <v>05139</v>
      </c>
      <c r="E6389" s="1" t="s">
        <v>129</v>
      </c>
      <c r="F6389" s="1">
        <v>15</v>
      </c>
      <c r="G6389" s="1">
        <v>12</v>
      </c>
      <c r="H6389" s="1">
        <v>2</v>
      </c>
      <c r="I6389" s="1" t="s">
        <v>12424</v>
      </c>
      <c r="K6389" s="1" t="str">
        <f t="shared" si="408"/>
        <v>ㄏ</v>
      </c>
      <c r="L6389" s="1" t="str">
        <f t="shared" si="409"/>
        <v>ㄨ</v>
      </c>
      <c r="M6389" s="1" t="str">
        <f t="shared" si="407"/>
        <v>ㄟ</v>
      </c>
      <c r="P6389" s="1" t="s">
        <v>110</v>
      </c>
      <c r="R6389" s="1" t="s">
        <v>12425</v>
      </c>
      <c r="V6389" s="1" t="s">
        <v>111</v>
      </c>
      <c r="W6389" s="1" t="s">
        <v>12469</v>
      </c>
      <c r="AR6389" s="1" t="str">
        <f t="shared" si="410"/>
        <v>| [ㄏㄨㄟˋ](ㄏㄨㄟˋ.md) | [潰](潰.md) |  | huì | (一)之又音。 |</v>
      </c>
    </row>
    <row r="6390" spans="1:44" hidden="1">
      <c r="A6390" s="1" t="s">
        <v>12470</v>
      </c>
      <c r="C6390" s="1">
        <v>1</v>
      </c>
      <c r="D6390" s="1" t="str">
        <f>"05140"</f>
        <v>05140</v>
      </c>
      <c r="E6390" s="1" t="s">
        <v>725</v>
      </c>
      <c r="F6390" s="1">
        <v>18</v>
      </c>
      <c r="G6390" s="1">
        <v>12</v>
      </c>
      <c r="H6390" s="1">
        <v>0</v>
      </c>
      <c r="I6390" s="1" t="s">
        <v>12424</v>
      </c>
      <c r="K6390" s="1" t="str">
        <f t="shared" si="408"/>
        <v>ㄏ</v>
      </c>
      <c r="L6390" s="1" t="str">
        <f t="shared" si="409"/>
        <v>ㄨ</v>
      </c>
      <c r="M6390" s="1" t="str">
        <f t="shared" si="407"/>
        <v>ㄟ</v>
      </c>
      <c r="P6390" s="1" t="s">
        <v>20</v>
      </c>
      <c r="R6390" s="1" t="s">
        <v>12425</v>
      </c>
      <c r="V6390" s="1" t="s">
        <v>12471</v>
      </c>
      <c r="AR6390" s="1" t="str">
        <f t="shared" si="410"/>
        <v>| [ㄏㄨㄟˋ](ㄏㄨㄟˋ.md) | [繢](繢.md) |  | huì | [名]
1.布帛頭尾的剩餘部分。《說文解字．糸部》：「繢，織餘也。」清．段玉裁．注：「繢之言遺也，故訓為織餘。織餘，今亦呼為機頭，可用系物及飾物。」
2.彩色的毛織物。《漢書．卷六五．東方朔傳》：「木土衣綺繡，狗馬被繢罽。」
[動]
作畫。通「繪」。唐．陸龜蒙〈江湖散人歌〉：「神鋒悉出羽林仗，繢畫日月蟠龍螭。」 |</v>
      </c>
    </row>
    <row r="6391" spans="1:44" hidden="1">
      <c r="A6391" s="1" t="s">
        <v>12472</v>
      </c>
      <c r="C6391" s="1">
        <v>1</v>
      </c>
      <c r="D6391" s="1" t="str">
        <f>"05141"</f>
        <v>05141</v>
      </c>
      <c r="E6391" s="1" t="s">
        <v>709</v>
      </c>
      <c r="F6391" s="1">
        <v>20</v>
      </c>
      <c r="G6391" s="1">
        <v>12</v>
      </c>
      <c r="H6391" s="1">
        <v>0</v>
      </c>
      <c r="I6391" s="1" t="s">
        <v>12424</v>
      </c>
      <c r="K6391" s="1" t="str">
        <f t="shared" si="408"/>
        <v>ㄏ</v>
      </c>
      <c r="L6391" s="1" t="str">
        <f t="shared" si="409"/>
        <v>ㄨ</v>
      </c>
      <c r="M6391" s="1" t="str">
        <f t="shared" si="407"/>
        <v>ㄟ</v>
      </c>
      <c r="P6391" s="1" t="s">
        <v>20</v>
      </c>
      <c r="R6391" s="1" t="s">
        <v>12425</v>
      </c>
      <c r="V6391" s="1" t="s">
        <v>12473</v>
      </c>
      <c r="AR6391" s="1" t="str">
        <f t="shared" si="410"/>
        <v>| [ㄏㄨㄟˋ](ㄏㄨㄟˋ.md) | [闠](闠.md) |  | huì | [名]
市場外面的門。《說文解字．門部》：「闠，市外門也。」《文選．張衡．西京賦》：「爾乃廓開九市，通闤帶闠。」薛綜注引崔豹《古今注》曰：「市牆曰闤，市門曰闠。」 |</v>
      </c>
    </row>
    <row r="6392" spans="1:44" hidden="1">
      <c r="A6392" s="1" t="s">
        <v>12474</v>
      </c>
      <c r="C6392" s="1">
        <v>1</v>
      </c>
      <c r="D6392" s="1" t="str">
        <f>"05142"</f>
        <v>05142</v>
      </c>
      <c r="E6392" s="1" t="s">
        <v>3610</v>
      </c>
      <c r="F6392" s="1">
        <v>21</v>
      </c>
      <c r="G6392" s="1">
        <v>12</v>
      </c>
      <c r="H6392" s="1">
        <v>0</v>
      </c>
      <c r="I6392" s="1" t="s">
        <v>12424</v>
      </c>
      <c r="K6392" s="1" t="str">
        <f t="shared" si="408"/>
        <v>ㄏ</v>
      </c>
      <c r="L6392" s="1" t="str">
        <f t="shared" si="409"/>
        <v>ㄨ</v>
      </c>
      <c r="M6392" s="1" t="str">
        <f t="shared" si="407"/>
        <v>ㄟ</v>
      </c>
      <c r="P6392" s="1" t="s">
        <v>20</v>
      </c>
      <c r="R6392" s="1" t="s">
        <v>12425</v>
      </c>
      <c r="V6392" s="1" t="s">
        <v>12475</v>
      </c>
      <c r="AR6392" s="1" t="str">
        <f t="shared" si="410"/>
        <v>| [ㄏㄨㄟˋ](ㄏㄨㄟˋ.md) | [靧](靧.md) |  | huì | [動]
洗臉。《禮記．內則》：「其間面垢，燂潘請靧。」宋．陸游〈嚴州釣臺買田記〉：「自夜至旦，盥靧而出。」 |</v>
      </c>
    </row>
    <row r="6393" spans="1:44" hidden="1">
      <c r="A6393" s="1" t="s">
        <v>12476</v>
      </c>
      <c r="C6393" s="1">
        <v>1</v>
      </c>
      <c r="D6393" s="1" t="str">
        <f>"05143"</f>
        <v>05143</v>
      </c>
      <c r="E6393" s="1" t="s">
        <v>40</v>
      </c>
      <c r="F6393" s="1">
        <v>15</v>
      </c>
      <c r="G6393" s="1">
        <v>10</v>
      </c>
      <c r="H6393" s="1">
        <v>0</v>
      </c>
      <c r="I6393" s="1" t="s">
        <v>12424</v>
      </c>
      <c r="K6393" s="1" t="str">
        <f t="shared" si="408"/>
        <v>ㄏ</v>
      </c>
      <c r="L6393" s="1" t="str">
        <f t="shared" si="409"/>
        <v>ㄨ</v>
      </c>
      <c r="M6393" s="1" t="str">
        <f t="shared" si="407"/>
        <v>ㄟ</v>
      </c>
      <c r="P6393" s="1" t="s">
        <v>20</v>
      </c>
      <c r="R6393" s="1" t="s">
        <v>12425</v>
      </c>
      <c r="V6393" s="1" t="s">
        <v>12477</v>
      </c>
      <c r="AR6393" s="1" t="str">
        <f t="shared" si="410"/>
        <v>| [ㄏㄨㄟˋ](ㄏㄨㄟˋ.md) | [瘣](瘣.md) |  | huì | [名]
傷病。《說文解字．疒部》：「瘣，病也。」
[形]
高峻。《史記．卷一一七．司馬相如傳》：「阜陵別島，崴磈崴瘣。」 |</v>
      </c>
    </row>
    <row r="6394" spans="1:44" hidden="1">
      <c r="A6394" s="1" t="s">
        <v>12267</v>
      </c>
      <c r="C6394" s="1">
        <v>1</v>
      </c>
      <c r="D6394" s="1" t="str">
        <f>"05144"</f>
        <v>05144</v>
      </c>
      <c r="E6394" s="1" t="s">
        <v>129</v>
      </c>
      <c r="F6394" s="1">
        <v>16</v>
      </c>
      <c r="G6394" s="1">
        <v>13</v>
      </c>
      <c r="H6394" s="1">
        <v>1</v>
      </c>
      <c r="I6394" s="1" t="s">
        <v>12424</v>
      </c>
      <c r="K6394" s="1" t="str">
        <f t="shared" si="408"/>
        <v>ㄏ</v>
      </c>
      <c r="L6394" s="1" t="str">
        <f t="shared" si="409"/>
        <v>ㄨ</v>
      </c>
      <c r="M6394" s="1" t="str">
        <f t="shared" si="407"/>
        <v>ㄟ</v>
      </c>
      <c r="P6394" s="1" t="s">
        <v>20</v>
      </c>
      <c r="R6394" s="1" t="s">
        <v>12425</v>
      </c>
      <c r="V6394" s="1" t="s">
        <v>12478</v>
      </c>
      <c r="W6394" s="1" t="s">
        <v>12479</v>
      </c>
      <c r="AR6394" s="1" t="str">
        <f t="shared" si="410"/>
        <v>| [ㄏㄨㄟˋ](ㄏㄨㄟˋ.md) | [濊](濊.md) |  | huì | [形]
1.水多的樣子。《廣韻．去聲．泰韻》：「濊，《說文》曰水多貌。」
2.深厚、深廣。《文選．司馬相如．難蜀父老》：「漢興七十有八載，德茂在乎天也，威武紛紜，湛恩汪濊。」
3.醜陋、汙穢。通「穢」。《漢書．卷七八．蕭望之傳》：「龍者，宣帝時與張子蟜等待詔，以行汙濊不進。」 |</v>
      </c>
    </row>
    <row r="6395" spans="1:44" hidden="1">
      <c r="A6395" s="1" t="s">
        <v>12480</v>
      </c>
      <c r="C6395" s="1">
        <v>1</v>
      </c>
      <c r="D6395" s="1" t="str">
        <f>"05145"</f>
        <v>05145</v>
      </c>
      <c r="E6395" s="1" t="s">
        <v>28</v>
      </c>
      <c r="F6395" s="1">
        <v>16</v>
      </c>
      <c r="G6395" s="1">
        <v>13</v>
      </c>
      <c r="H6395" s="1">
        <v>2</v>
      </c>
      <c r="I6395" s="1" t="s">
        <v>12424</v>
      </c>
      <c r="K6395" s="1" t="str">
        <f t="shared" si="408"/>
        <v>ㄏ</v>
      </c>
      <c r="L6395" s="1" t="str">
        <f t="shared" si="409"/>
        <v>ㄨ</v>
      </c>
      <c r="M6395" s="1" t="str">
        <f t="shared" si="407"/>
        <v>ㄟ</v>
      </c>
      <c r="P6395" s="1" t="s">
        <v>20</v>
      </c>
      <c r="R6395" s="1" t="s">
        <v>12425</v>
      </c>
      <c r="V6395" s="1" t="s">
        <v>12481</v>
      </c>
      <c r="W6395" s="1" t="s">
        <v>12482</v>
      </c>
      <c r="AR6395" s="1" t="str">
        <f t="shared" si="410"/>
        <v>| [ㄏㄨㄟˋ](ㄏㄨㄟˋ.md) | [噦](噦.md) |  | huì | [形]
噦噦：聲音輕緩有節奏。《詩經．小雅．庭燎》：「君子至止，鸞聲噦噦。」唐．王維〈送李睢陽〉詩：「鸞聲噦噦魯侯旂，明年上計朝京師。」
[擬]
噦噦：形容鳥的叫聲。明．朱鼎《玉鏡臺記》第八齣：「噦噦兮桐岡之鳳，關關焉河上之鳩。」 |</v>
      </c>
    </row>
    <row r="6396" spans="1:44" hidden="1">
      <c r="A6396" s="1" t="s">
        <v>12483</v>
      </c>
      <c r="C6396" s="1">
        <v>1</v>
      </c>
      <c r="D6396" s="1" t="str">
        <f>"05146"</f>
        <v>05146</v>
      </c>
      <c r="E6396" s="1" t="s">
        <v>429</v>
      </c>
      <c r="F6396" s="1">
        <v>18</v>
      </c>
      <c r="G6396" s="1">
        <v>13</v>
      </c>
      <c r="H6396" s="1">
        <v>1</v>
      </c>
      <c r="I6396" s="1" t="s">
        <v>12424</v>
      </c>
      <c r="K6396" s="1" t="str">
        <f t="shared" si="408"/>
        <v>ㄏ</v>
      </c>
      <c r="L6396" s="1" t="str">
        <f t="shared" si="409"/>
        <v>ㄨ</v>
      </c>
      <c r="M6396" s="1" t="str">
        <f t="shared" si="407"/>
        <v>ㄟ</v>
      </c>
      <c r="P6396" s="1" t="s">
        <v>20</v>
      </c>
      <c r="R6396" s="1" t="s">
        <v>12425</v>
      </c>
      <c r="V6396" s="1" t="s">
        <v>12484</v>
      </c>
      <c r="W6396" s="1" t="s">
        <v>12485</v>
      </c>
      <c r="AR6396" s="1" t="str">
        <f t="shared" si="410"/>
        <v>| [ㄏㄨㄟˋ](ㄏㄨㄟˋ.md) | [穢](穢.md) |  | huì | [形]
1.骯髒的、不乾淨的。如：「汙穢」、「穢物」。
2.醜惡、醜陋。如：「穢語」、「穢行」、「自慚形穢」。《晉書．卷三六．衛瑾傳》：「珠玉在側，覺我形穢。」《文選．楊惲．報孫會宗書》：「惲材朽行穢，文質無所底。」
3.煩雜、雜亂。《後漢書．卷四〇．班彪傳下》：「贍而不穢，詳而有體。」
[名]
1.田中的雜草。晉．陶淵明〈歸園田居〉詩五首之三：「晨興理荒穢，帶月荷鋤歸。」
2.邪惡的人。漢．桓寬《鹽鐵論．輕重》：「夫理國之道，除穢鋤豪，然後百姓均平，各安其宇。」宋．司馬光〈赤壁之戰〉：「將軍以神武雄才，兼仗父兄之烈，割據江東，……；當橫行天下，為漢家除殘去穢。」
[動]
弄髒、玷汙。漢．蔡邕〈女誡〉：「面一旦不修飾，則塵垢穢之；心一朝不思善，則邪惡入之。」唐．李白〈古風〉詩五九首之三七：「群沙穢明珠，眾草凌孤芳。」 |</v>
      </c>
    </row>
    <row r="6397" spans="1:44" hidden="1">
      <c r="A6397" s="1" t="s">
        <v>12486</v>
      </c>
      <c r="C6397" s="1">
        <v>1</v>
      </c>
      <c r="D6397" s="1" t="str">
        <f>"05147"</f>
        <v>05147</v>
      </c>
      <c r="E6397" s="1" t="s">
        <v>2271</v>
      </c>
      <c r="F6397" s="1">
        <v>19</v>
      </c>
      <c r="G6397" s="1">
        <v>13</v>
      </c>
      <c r="H6397" s="1">
        <v>0</v>
      </c>
      <c r="I6397" s="1" t="s">
        <v>12424</v>
      </c>
      <c r="K6397" s="1" t="str">
        <f t="shared" si="408"/>
        <v>ㄏ</v>
      </c>
      <c r="L6397" s="1" t="str">
        <f t="shared" si="409"/>
        <v>ㄨ</v>
      </c>
      <c r="M6397" s="1" t="str">
        <f t="shared" si="407"/>
        <v>ㄟ</v>
      </c>
      <c r="P6397" s="1" t="s">
        <v>20</v>
      </c>
      <c r="R6397" s="1" t="s">
        <v>12425</v>
      </c>
      <c r="V6397" s="1" t="s">
        <v>12487</v>
      </c>
      <c r="AR6397" s="1" t="str">
        <f t="shared" si="410"/>
        <v>| [ㄏㄨㄟˋ](ㄏㄨㄟˋ.md) | [翽](翽.md) |  | huì | 參見「翽翽」條。 |</v>
      </c>
    </row>
    <row r="6398" spans="1:44" hidden="1">
      <c r="A6398" s="1" t="s">
        <v>12488</v>
      </c>
      <c r="C6398" s="1">
        <v>1</v>
      </c>
      <c r="D6398" s="1" t="str">
        <f>"05148"</f>
        <v>05148</v>
      </c>
      <c r="E6398" s="1" t="s">
        <v>331</v>
      </c>
      <c r="F6398" s="1">
        <v>16</v>
      </c>
      <c r="G6398" s="1">
        <v>9</v>
      </c>
      <c r="H6398" s="1">
        <v>0</v>
      </c>
      <c r="I6398" s="1" t="s">
        <v>12424</v>
      </c>
      <c r="K6398" s="1" t="str">
        <f t="shared" si="408"/>
        <v>ㄏ</v>
      </c>
      <c r="L6398" s="1" t="str">
        <f t="shared" si="409"/>
        <v>ㄨ</v>
      </c>
      <c r="M6398" s="1" t="str">
        <f t="shared" si="407"/>
        <v>ㄟ</v>
      </c>
      <c r="P6398" s="1" t="s">
        <v>20</v>
      </c>
      <c r="R6398" s="1" t="s">
        <v>12425</v>
      </c>
      <c r="V6398" s="1" t="s">
        <v>12489</v>
      </c>
      <c r="AR6398" s="1" t="str">
        <f t="shared" si="410"/>
        <v>| [ㄏㄨㄟˋ](ㄏㄨㄟˋ.md) | [諱](諱.md) |  | huì | [動]
1.因有所顧忌而不敢說或不願說。如：「諱言」。《左傳．莊公十八年》：「夏，公追戎于濟西。不言其來，諱之也。」《宋史．卷三一四．范仲淹傳》：「平時諱言武備，寇至而專責守臣死事，可乎？」
2.隱瞞，有所保留。如：「直言無諱」、「諱疾忌醫」。《新唐書．卷一四五．楊炎傳》：「玄宗事夷狄，戍者多死，邊將諱不以聞。」《警世通言．卷三三．杜十娘怒沉百寶箱》：「夫婦之間，死生相共，有事儘可商量，萬勿諱也。」
[名]
1.有所隱避的事物。《新唐書．卷九六．房玄齡傳》：「朕論公等功，定封邑，恐不能盡，無有諱，各為朕言之。」
2.表示避稱尊長名字的用語，用法如：「父諱〇〇」、「母諱〇〇」。也可用來代指尊長的名字。如：「名諱」、「上諱」。唐．韓愈〈柳子厚墓誌銘〉：「子厚諱宗元，七世祖慶。」《儒林外史》第三回：「捷報貴府老爺范諱進高中廣東鄉試第七名亞元。」 |</v>
      </c>
    </row>
    <row r="6399" spans="1:44" hidden="1">
      <c r="A6399" s="1" t="s">
        <v>12490</v>
      </c>
      <c r="C6399" s="1">
        <v>1</v>
      </c>
      <c r="D6399" s="1" t="str">
        <f>"05149"</f>
        <v>05149</v>
      </c>
      <c r="E6399" s="1" t="s">
        <v>684</v>
      </c>
      <c r="F6399" s="1">
        <v>16</v>
      </c>
      <c r="G6399" s="1">
        <v>7</v>
      </c>
      <c r="H6399" s="1">
        <v>0</v>
      </c>
      <c r="I6399" s="1" t="s">
        <v>12424</v>
      </c>
      <c r="K6399" s="1" t="str">
        <f t="shared" si="408"/>
        <v>ㄏ</v>
      </c>
      <c r="L6399" s="1" t="str">
        <f t="shared" si="409"/>
        <v>ㄨ</v>
      </c>
      <c r="M6399" s="1" t="str">
        <f t="shared" ref="M6399:M6462" si="411">MID(I6399, 3, 1)</f>
        <v>ㄟ</v>
      </c>
      <c r="P6399" s="1" t="s">
        <v>20</v>
      </c>
      <c r="R6399" s="1" t="s">
        <v>12425</v>
      </c>
      <c r="V6399" s="1" t="s">
        <v>12491</v>
      </c>
      <c r="AR6399" s="1" t="str">
        <f t="shared" si="410"/>
        <v>| [ㄏㄨㄟˋ](ㄏㄨㄟˋ.md) | [頮](頮.md) |  | huì | [動]
洗臉。《玉篇．水部》：「頮，洗面也。」《書經．顧命》：「甲子，王乃洮頮水，相被冕服，憑玉几。」 |</v>
      </c>
    </row>
    <row r="6400" spans="1:44" hidden="1">
      <c r="A6400" s="1" t="s">
        <v>12492</v>
      </c>
      <c r="C6400" s="1">
        <v>1</v>
      </c>
      <c r="D6400" s="1" t="str">
        <f>"05150"</f>
        <v>05150</v>
      </c>
      <c r="E6400" s="1" t="s">
        <v>250</v>
      </c>
      <c r="F6400" s="1">
        <v>21</v>
      </c>
      <c r="G6400" s="1">
        <v>18</v>
      </c>
      <c r="H6400" s="1">
        <v>0</v>
      </c>
      <c r="I6400" s="1" t="s">
        <v>12493</v>
      </c>
      <c r="K6400" s="1" t="str">
        <f t="shared" si="408"/>
        <v>ㄏ</v>
      </c>
      <c r="L6400" s="1" t="str">
        <f t="shared" si="409"/>
        <v>ㄨ</v>
      </c>
      <c r="M6400" s="1" t="str">
        <f t="shared" si="411"/>
        <v>ㄢ</v>
      </c>
      <c r="P6400" s="1" t="s">
        <v>20</v>
      </c>
      <c r="R6400" s="1" t="s">
        <v>12494</v>
      </c>
      <c r="V6400" s="1" t="s">
        <v>12495</v>
      </c>
      <c r="AR6400" s="1" t="str">
        <f t="shared" si="410"/>
        <v>| [ㄏㄨㄢ](ㄏㄨㄢ.md) | [懽](懽.md) |  | huān | [形]
喜樂。同「歡」。《呂氏春秋．孝行覽．本味》：「不謀而親，不約而信，相為殫智竭力，犯危行苦，志懽樂之，此功名所以大成也。」 |</v>
      </c>
    </row>
    <row r="6401" spans="1:44" hidden="1">
      <c r="A6401" s="1" t="s">
        <v>12496</v>
      </c>
      <c r="C6401" s="1">
        <v>1</v>
      </c>
      <c r="D6401" s="1" t="str">
        <f>"05151"</f>
        <v>05151</v>
      </c>
      <c r="E6401" s="1" t="s">
        <v>28</v>
      </c>
      <c r="F6401" s="1">
        <v>21</v>
      </c>
      <c r="G6401" s="1">
        <v>18</v>
      </c>
      <c r="H6401" s="1">
        <v>0</v>
      </c>
      <c r="I6401" s="1" t="s">
        <v>12493</v>
      </c>
      <c r="K6401" s="1" t="str">
        <f t="shared" ref="K6401:K6464" si="412">LEFT(I6401, 1)</f>
        <v>ㄏ</v>
      </c>
      <c r="L6401" s="1" t="str">
        <f t="shared" ref="L6401:L6464" si="413">MID(I6401, 2, 1)</f>
        <v>ㄨ</v>
      </c>
      <c r="M6401" s="1" t="str">
        <f t="shared" si="411"/>
        <v>ㄢ</v>
      </c>
      <c r="P6401" s="1" t="s">
        <v>20</v>
      </c>
      <c r="R6401" s="1" t="s">
        <v>12494</v>
      </c>
      <c r="V6401" s="1" t="s">
        <v>12497</v>
      </c>
      <c r="AR6401" s="1" t="str">
        <f t="shared" si="410"/>
        <v>| [ㄏㄨㄢ](ㄏㄨㄢ.md) | [嚾](嚾.md) |  | huān | [副]
喧鬧。《新唐書．卷一四八．康日知傳》：「籍子弟姻昵冒賞，而士不及，怨言嚾流。」 |</v>
      </c>
    </row>
    <row r="6402" spans="1:44" hidden="1">
      <c r="A6402" s="1" t="s">
        <v>12498</v>
      </c>
      <c r="C6402" s="1">
        <v>1</v>
      </c>
      <c r="D6402" s="1" t="str">
        <f>"05152"</f>
        <v>05152</v>
      </c>
      <c r="E6402" s="1" t="s">
        <v>198</v>
      </c>
      <c r="F6402" s="1">
        <v>21</v>
      </c>
      <c r="G6402" s="1">
        <v>18</v>
      </c>
      <c r="H6402" s="1">
        <v>0</v>
      </c>
      <c r="I6402" s="1" t="s">
        <v>12493</v>
      </c>
      <c r="K6402" s="1" t="str">
        <f t="shared" si="412"/>
        <v>ㄏ</v>
      </c>
      <c r="L6402" s="1" t="str">
        <f t="shared" si="413"/>
        <v>ㄨ</v>
      </c>
      <c r="M6402" s="1" t="str">
        <f t="shared" si="411"/>
        <v>ㄢ</v>
      </c>
      <c r="P6402" s="1" t="s">
        <v>20</v>
      </c>
      <c r="R6402" s="1" t="s">
        <v>12494</v>
      </c>
      <c r="V6402" s="1" t="s">
        <v>12499</v>
      </c>
      <c r="AR6402" s="1" t="str">
        <f t="shared" si="410"/>
        <v>| [ㄏㄨㄢ](ㄏㄨㄢ.md) | [獾](獾.md) |  | huān | [名]
食肉目貂科動物的通稱。體形粗笨，扁頭，臉上有斑紋，毛多灰色。腿短，走路蹣跚，但前肢強勁有力，適於掘洞。通常於夜間活動，以昆蟲、鼠類、果實、鳥蛋等為食。有豬獾、狗獾、美洲獾等種類。 |</v>
      </c>
    </row>
    <row r="6403" spans="1:44" hidden="1">
      <c r="A6403" s="1" t="s">
        <v>12500</v>
      </c>
      <c r="C6403" s="1">
        <v>1</v>
      </c>
      <c r="D6403" s="1" t="str">
        <f>"05153"</f>
        <v>05153</v>
      </c>
      <c r="E6403" s="1" t="s">
        <v>1908</v>
      </c>
      <c r="F6403" s="1">
        <v>22</v>
      </c>
      <c r="G6403" s="1">
        <v>18</v>
      </c>
      <c r="H6403" s="1">
        <v>0</v>
      </c>
      <c r="I6403" s="1" t="s">
        <v>12493</v>
      </c>
      <c r="K6403" s="1" t="str">
        <f t="shared" si="412"/>
        <v>ㄏ</v>
      </c>
      <c r="L6403" s="1" t="str">
        <f t="shared" si="413"/>
        <v>ㄨ</v>
      </c>
      <c r="M6403" s="1" t="str">
        <f t="shared" si="411"/>
        <v>ㄢ</v>
      </c>
      <c r="P6403" s="1" t="s">
        <v>20</v>
      </c>
      <c r="R6403" s="1" t="s">
        <v>12494</v>
      </c>
      <c r="V6403" s="1" t="s">
        <v>12501</v>
      </c>
      <c r="AR6403" s="1" t="str">
        <f t="shared" ref="AR6403:AR6466" si="414">"| ["&amp;I6403&amp;"]("&amp;I6403&amp;".md) | ["&amp;A6403&amp;"]("&amp;A6403&amp;".md) | "&amp;" | "&amp;R6403&amp;" | "&amp;V6403&amp;" |"</f>
        <v>| [ㄏㄨㄢ](ㄏㄨㄢ.md) | [歡](歡.md) |  | huān | [形]
1.喜樂。如：「歡樂」、「歡心」。唐．杜甫〈茅屋為秋風所破歌〉：「安得廣廈千萬間，大庇天下寒士俱歡顏。」
2.友好。《文選．陸機．擬古詩十二首．擬庭中有奇樹》：「歡友蘭時往，苕苕匿音徽。」
[名]
1.對情人的稱呼。如：「舊愛新歡」。晉．無名氏〈子夜歌〉四二首之四：「自從別歡來，奩器了不開。」唐．劉禹錫〈踏歌行〉四首之一：「唱盡新詞歡不見，紅霞映樹鷓鴣鳴。」
2.姓。如明代有歡慨。
[動]
愛好。參見「喜歡」、「歡喜」等條。 |</v>
      </c>
    </row>
    <row r="6404" spans="1:44" hidden="1">
      <c r="A6404" s="1" t="s">
        <v>12502</v>
      </c>
      <c r="C6404" s="1">
        <v>1</v>
      </c>
      <c r="D6404" s="1" t="str">
        <f>"05154"</f>
        <v>05154</v>
      </c>
      <c r="E6404" s="1" t="s">
        <v>331</v>
      </c>
      <c r="F6404" s="1">
        <v>25</v>
      </c>
      <c r="G6404" s="1">
        <v>18</v>
      </c>
      <c r="H6404" s="1">
        <v>0</v>
      </c>
      <c r="I6404" s="1" t="s">
        <v>12493</v>
      </c>
      <c r="K6404" s="1" t="str">
        <f t="shared" si="412"/>
        <v>ㄏ</v>
      </c>
      <c r="L6404" s="1" t="str">
        <f t="shared" si="413"/>
        <v>ㄨ</v>
      </c>
      <c r="M6404" s="1" t="str">
        <f t="shared" si="411"/>
        <v>ㄢ</v>
      </c>
      <c r="P6404" s="1" t="s">
        <v>20</v>
      </c>
      <c r="R6404" s="1" t="s">
        <v>12494</v>
      </c>
      <c r="V6404" s="1" t="s">
        <v>12503</v>
      </c>
      <c r="AR6404" s="1" t="str">
        <f t="shared" si="414"/>
        <v>| [ㄏㄨㄢ](ㄏㄨㄢ.md) | [讙](讙.md) |  | huān | [動]
喧譁。《說文解字．言部》：「讙，譁也。」《史記．卷五六．陳丞相世家》：「是日乃拜平為都尉，使為參乘，典護軍，諸將盡讙。」
[形]
喜樂。通「歡」。唐．柳宗元〈天對〉：「丕徹以圖，民以讙以都。」 |</v>
      </c>
    </row>
    <row r="6405" spans="1:44" hidden="1">
      <c r="A6405" s="1" t="s">
        <v>12504</v>
      </c>
      <c r="C6405" s="1">
        <v>1</v>
      </c>
      <c r="D6405" s="1" t="str">
        <f>"05155"</f>
        <v>05155</v>
      </c>
      <c r="E6405" s="1" t="s">
        <v>319</v>
      </c>
      <c r="F6405" s="1">
        <v>28</v>
      </c>
      <c r="G6405" s="1">
        <v>18</v>
      </c>
      <c r="H6405" s="1">
        <v>0</v>
      </c>
      <c r="I6405" s="1" t="s">
        <v>12493</v>
      </c>
      <c r="K6405" s="1" t="str">
        <f t="shared" si="412"/>
        <v>ㄏ</v>
      </c>
      <c r="L6405" s="1" t="str">
        <f t="shared" si="413"/>
        <v>ㄨ</v>
      </c>
      <c r="M6405" s="1" t="str">
        <f t="shared" si="411"/>
        <v>ㄢ</v>
      </c>
      <c r="P6405" s="1" t="s">
        <v>20</v>
      </c>
      <c r="R6405" s="1" t="s">
        <v>12494</v>
      </c>
      <c r="V6405" s="1" t="s">
        <v>12505</v>
      </c>
      <c r="AR6405" s="1" t="str">
        <f t="shared" si="414"/>
        <v>| [ㄏㄨㄢ](ㄏㄨㄢ.md) | [驩](驩.md) |  | huān | [名]
1.一種馬。《說文解字．馬部》：「驩，馬名。」
2.喜樂、歡心。《左傳．昭公四年》：「寡人願結驩於二三君，使舉請間。」《史記．卷八一．廉頗藺相如傳》：「且以一璧之故逆彊秦之驩，不可！」
3.姓。如上古時代有驩兜。 |</v>
      </c>
    </row>
    <row r="6406" spans="1:44" hidden="1">
      <c r="A6406" s="1" t="s">
        <v>12506</v>
      </c>
      <c r="C6406" s="1">
        <v>1</v>
      </c>
      <c r="D6406" s="1" t="str">
        <f>"05156"</f>
        <v>05156</v>
      </c>
      <c r="E6406" s="1" t="s">
        <v>129</v>
      </c>
      <c r="F6406" s="1">
        <v>9</v>
      </c>
      <c r="G6406" s="1">
        <v>6</v>
      </c>
      <c r="H6406" s="1">
        <v>0</v>
      </c>
      <c r="I6406" s="1" t="s">
        <v>12507</v>
      </c>
      <c r="K6406" s="1" t="str">
        <f t="shared" si="412"/>
        <v>ㄏ</v>
      </c>
      <c r="L6406" s="1" t="str">
        <f t="shared" si="413"/>
        <v>ㄨ</v>
      </c>
      <c r="M6406" s="1" t="str">
        <f t="shared" si="411"/>
        <v>ㄢ</v>
      </c>
      <c r="P6406" s="1" t="s">
        <v>20</v>
      </c>
      <c r="R6406" s="1" t="s">
        <v>12508</v>
      </c>
      <c r="V6406" s="1" t="s">
        <v>12509</v>
      </c>
      <c r="AR6406" s="1" t="str">
        <f t="shared" si="414"/>
        <v>| [ㄏㄨㄢˊ](ㄏㄨㄢˊ.md) | [洹](洹.md) |  | huán | 參見「洹水」條。 |</v>
      </c>
    </row>
    <row r="6407" spans="1:44" hidden="1">
      <c r="A6407" s="1" t="s">
        <v>12510</v>
      </c>
      <c r="C6407" s="1">
        <v>1</v>
      </c>
      <c r="D6407" s="1" t="str">
        <f>"05157"</f>
        <v>05157</v>
      </c>
      <c r="E6407" s="1" t="s">
        <v>198</v>
      </c>
      <c r="F6407" s="1">
        <v>9</v>
      </c>
      <c r="G6407" s="1">
        <v>6</v>
      </c>
      <c r="H6407" s="1">
        <v>0</v>
      </c>
      <c r="I6407" s="1" t="s">
        <v>12507</v>
      </c>
      <c r="K6407" s="1" t="str">
        <f t="shared" si="412"/>
        <v>ㄏ</v>
      </c>
      <c r="L6407" s="1" t="str">
        <f t="shared" si="413"/>
        <v>ㄨ</v>
      </c>
      <c r="M6407" s="1" t="str">
        <f t="shared" si="411"/>
        <v>ㄢ</v>
      </c>
      <c r="P6407" s="1" t="s">
        <v>20</v>
      </c>
      <c r="R6407" s="1" t="s">
        <v>12508</v>
      </c>
      <c r="V6407" s="1" t="s">
        <v>12511</v>
      </c>
      <c r="AR6407" s="1" t="str">
        <f t="shared" si="414"/>
        <v>| [ㄏㄨㄢˊ](ㄏㄨㄢˊ.md) | [狟](狟.md) |  | huán | [名]
大狗。《廣韻．平聲．桓韻》：「狟，大犬也。」 |</v>
      </c>
    </row>
    <row r="6408" spans="1:44" hidden="1">
      <c r="A6408" s="1" t="s">
        <v>12512</v>
      </c>
      <c r="C6408" s="1">
        <v>1</v>
      </c>
      <c r="D6408" s="1" t="str">
        <f>"05158"</f>
        <v>05158</v>
      </c>
      <c r="E6408" s="1" t="s">
        <v>139</v>
      </c>
      <c r="F6408" s="1">
        <v>10</v>
      </c>
      <c r="G6408" s="1">
        <v>6</v>
      </c>
      <c r="H6408" s="1">
        <v>0</v>
      </c>
      <c r="I6408" s="1" t="s">
        <v>12507</v>
      </c>
      <c r="K6408" s="1" t="str">
        <f t="shared" si="412"/>
        <v>ㄏ</v>
      </c>
      <c r="L6408" s="1" t="str">
        <f t="shared" si="413"/>
        <v>ㄨ</v>
      </c>
      <c r="M6408" s="1" t="str">
        <f t="shared" si="411"/>
        <v>ㄢ</v>
      </c>
      <c r="P6408" s="1" t="s">
        <v>20</v>
      </c>
      <c r="R6408" s="1" t="s">
        <v>12508</v>
      </c>
      <c r="V6408" s="1" t="s">
        <v>12513</v>
      </c>
      <c r="AR6408" s="1" t="str">
        <f t="shared" si="414"/>
        <v>| [ㄏㄨㄢˊ](ㄏㄨㄢˊ.md) | [桓](桓.md) |  | huán | [名]
1.一種植物。《玉篇．木部》：「桓，桓木，葉似柳，皮黃白色。」
2.《詩經．周頌》的篇名。共一章。根據〈詩序〉：「〈桓〉，講武類禡也。〈桓〉，武志也。」類、禡，皆師祭也。指武王將欲伐殷，治兵祭神，然後克紂。至周公、成王太平之時，詩人追述其事以頌武王之功。桓者，威武之志。言講武之時，軍師皆武，故取桓字名篇。本章三句為：「綏萬邦，婁豐年，天命匪解。」
3.姓。如漢代有桓寬、桓譚。
[動]
參見「盤桓」條。 |</v>
      </c>
    </row>
    <row r="6409" spans="1:44" hidden="1">
      <c r="A6409" s="1" t="s">
        <v>12514</v>
      </c>
      <c r="C6409" s="1">
        <v>1</v>
      </c>
      <c r="D6409" s="1" t="str">
        <f>"05159"</f>
        <v>05159</v>
      </c>
      <c r="E6409" s="1" t="s">
        <v>537</v>
      </c>
      <c r="F6409" s="1">
        <v>13</v>
      </c>
      <c r="G6409" s="1">
        <v>6</v>
      </c>
      <c r="H6409" s="1">
        <v>0</v>
      </c>
      <c r="I6409" s="1" t="s">
        <v>12507</v>
      </c>
      <c r="K6409" s="1" t="str">
        <f t="shared" si="412"/>
        <v>ㄏ</v>
      </c>
      <c r="L6409" s="1" t="str">
        <f t="shared" si="413"/>
        <v>ㄨ</v>
      </c>
      <c r="M6409" s="1" t="str">
        <f t="shared" si="411"/>
        <v>ㄢ</v>
      </c>
      <c r="P6409" s="1" t="s">
        <v>20</v>
      </c>
      <c r="R6409" s="1" t="s">
        <v>12508</v>
      </c>
      <c r="V6409" s="1" t="s">
        <v>12515</v>
      </c>
      <c r="AR6409" s="1" t="str">
        <f t="shared" si="414"/>
        <v>| [ㄏㄨㄢˊ](ㄏㄨㄢˊ.md) | [貆](貆.md) |  | huán | [名]
一種貉類動物。善攀爬。《說文解字．豸部》：「貆，貉之類。」 |</v>
      </c>
    </row>
    <row r="6410" spans="1:44" hidden="1">
      <c r="A6410" s="1" t="s">
        <v>12516</v>
      </c>
      <c r="C6410" s="1">
        <v>1</v>
      </c>
      <c r="D6410" s="1" t="str">
        <f>"05160"</f>
        <v>05160</v>
      </c>
      <c r="E6410" s="1" t="s">
        <v>132</v>
      </c>
      <c r="F6410" s="1">
        <v>10</v>
      </c>
      <c r="G6410" s="1">
        <v>7</v>
      </c>
      <c r="H6410" s="1">
        <v>0</v>
      </c>
      <c r="I6410" s="1" t="s">
        <v>12507</v>
      </c>
      <c r="K6410" s="1" t="str">
        <f t="shared" si="412"/>
        <v>ㄏ</v>
      </c>
      <c r="L6410" s="1" t="str">
        <f t="shared" si="413"/>
        <v>ㄨ</v>
      </c>
      <c r="M6410" s="1" t="str">
        <f t="shared" si="411"/>
        <v>ㄢ</v>
      </c>
      <c r="P6410" s="1" t="s">
        <v>20</v>
      </c>
      <c r="R6410" s="1" t="s">
        <v>12508</v>
      </c>
      <c r="V6410" s="1" t="s">
        <v>12517</v>
      </c>
      <c r="AR6410" s="1" t="str">
        <f t="shared" si="414"/>
        <v>| [ㄏㄨㄢˊ](ㄏㄨㄢˊ.md) | [垸](垸.md) |  | huán | [動]
修補牆垣。《說文解字．土部》：「垸，補垣也。」
[名]
量詞。古代計算重量的單位。《周禮．冬官考工記．冶氏》：「冶氏為殺矢，刃長寸，圍寸，鋌十之，重三垸。」鄭玄注引鄭眾云：「垸，量名。」 |</v>
      </c>
    </row>
    <row r="6411" spans="1:44" hidden="1">
      <c r="A6411" s="1" t="s">
        <v>12518</v>
      </c>
      <c r="C6411" s="1">
        <v>1</v>
      </c>
      <c r="D6411" s="1" t="str">
        <f>"05161"</f>
        <v>05161</v>
      </c>
      <c r="E6411" s="1" t="s">
        <v>37</v>
      </c>
      <c r="F6411" s="1">
        <v>12</v>
      </c>
      <c r="G6411" s="1">
        <v>8</v>
      </c>
      <c r="H6411" s="1">
        <v>0</v>
      </c>
      <c r="I6411" s="1" t="s">
        <v>12507</v>
      </c>
      <c r="K6411" s="1" t="str">
        <f t="shared" si="412"/>
        <v>ㄏ</v>
      </c>
      <c r="L6411" s="1" t="str">
        <f t="shared" si="413"/>
        <v>ㄨ</v>
      </c>
      <c r="M6411" s="1" t="str">
        <f t="shared" si="411"/>
        <v>ㄢ</v>
      </c>
      <c r="P6411" s="1" t="s">
        <v>20</v>
      </c>
      <c r="R6411" s="1" t="s">
        <v>12508</v>
      </c>
      <c r="V6411" s="1" t="s">
        <v>12519</v>
      </c>
      <c r="AR6411" s="1" t="str">
        <f t="shared" si="414"/>
        <v>| [ㄏㄨㄢˊ](ㄏㄨㄢˊ.md) | [萑](萑.md) |  | huán | [名]
一種荻類植物。《詩經．豳風．七月》：「七月流火，八月萑葦。」 |</v>
      </c>
    </row>
    <row r="6412" spans="1:44" hidden="1">
      <c r="A6412" s="1" t="s">
        <v>12520</v>
      </c>
      <c r="C6412" s="1">
        <v>1</v>
      </c>
      <c r="D6412" s="1" t="str">
        <f>"05162"</f>
        <v>05162</v>
      </c>
      <c r="E6412" s="1" t="s">
        <v>5383</v>
      </c>
      <c r="F6412" s="1">
        <v>12</v>
      </c>
      <c r="G6412" s="1">
        <v>4</v>
      </c>
      <c r="H6412" s="1">
        <v>0</v>
      </c>
      <c r="I6412" s="1" t="s">
        <v>12507</v>
      </c>
      <c r="K6412" s="1" t="str">
        <f t="shared" si="412"/>
        <v>ㄏ</v>
      </c>
      <c r="L6412" s="1" t="str">
        <f t="shared" si="413"/>
        <v>ㄨ</v>
      </c>
      <c r="M6412" s="1" t="str">
        <f t="shared" si="411"/>
        <v>ㄢ</v>
      </c>
      <c r="P6412" s="1" t="s">
        <v>20</v>
      </c>
      <c r="R6412" s="1" t="s">
        <v>12508</v>
      </c>
      <c r="V6412" s="1" t="s">
        <v>12521</v>
      </c>
      <c r="AR6412" s="1" t="str">
        <f t="shared" si="414"/>
        <v>| [ㄏㄨㄢˊ](ㄏㄨㄢˊ.md) | [雈](雈.md) |  | huán | [名]
動物名。鳥綱鴟鴞科。形體比鴟鴞小，頭部羽毛呈角狀，嘴彎曲呈鉤狀，兩眼位於頭部正前方。晝伏夜出，好食雞。 |</v>
      </c>
    </row>
    <row r="6413" spans="1:44" hidden="1">
      <c r="A6413" s="1" t="s">
        <v>12522</v>
      </c>
      <c r="C6413" s="1">
        <v>1</v>
      </c>
      <c r="D6413" s="1" t="str">
        <f>"05163"</f>
        <v>05163</v>
      </c>
      <c r="E6413" s="1" t="s">
        <v>129</v>
      </c>
      <c r="F6413" s="1">
        <v>16</v>
      </c>
      <c r="G6413" s="1">
        <v>13</v>
      </c>
      <c r="H6413" s="1">
        <v>0</v>
      </c>
      <c r="I6413" s="1" t="s">
        <v>12507</v>
      </c>
      <c r="K6413" s="1" t="str">
        <f t="shared" si="412"/>
        <v>ㄏ</v>
      </c>
      <c r="L6413" s="1" t="str">
        <f t="shared" si="413"/>
        <v>ㄨ</v>
      </c>
      <c r="M6413" s="1" t="str">
        <f t="shared" si="411"/>
        <v>ㄢ</v>
      </c>
      <c r="P6413" s="1" t="s">
        <v>20</v>
      </c>
      <c r="R6413" s="1" t="s">
        <v>12508</v>
      </c>
      <c r="V6413" s="1" t="s">
        <v>12523</v>
      </c>
      <c r="AR6413" s="1" t="str">
        <f t="shared" si="414"/>
        <v>| [ㄏㄨㄢˊ](ㄏㄨㄢˊ.md) | [澴](澴.md) |  | huán | 參見「漩澴」條。 |</v>
      </c>
    </row>
    <row r="6414" spans="1:44" hidden="1">
      <c r="A6414" s="1" t="s">
        <v>12524</v>
      </c>
      <c r="C6414" s="1">
        <v>1</v>
      </c>
      <c r="D6414" s="1" t="str">
        <f>"05164"</f>
        <v>05164</v>
      </c>
      <c r="E6414" s="1" t="s">
        <v>624</v>
      </c>
      <c r="F6414" s="1">
        <v>16</v>
      </c>
      <c r="G6414" s="1">
        <v>13</v>
      </c>
      <c r="H6414" s="1">
        <v>0</v>
      </c>
      <c r="I6414" s="1" t="s">
        <v>12507</v>
      </c>
      <c r="K6414" s="1" t="str">
        <f t="shared" si="412"/>
        <v>ㄏ</v>
      </c>
      <c r="L6414" s="1" t="str">
        <f t="shared" si="413"/>
        <v>ㄨ</v>
      </c>
      <c r="M6414" s="1" t="str">
        <f t="shared" si="411"/>
        <v>ㄢ</v>
      </c>
      <c r="P6414" s="1" t="s">
        <v>20</v>
      </c>
      <c r="R6414" s="1" t="s">
        <v>12508</v>
      </c>
      <c r="V6414" s="1" t="s">
        <v>12525</v>
      </c>
      <c r="AR6414" s="1" t="str">
        <f t="shared" si="414"/>
        <v>| [ㄏㄨㄢˊ](ㄏㄨㄢˊ.md) | [寰](寰.md) |  | huán | [名]
大地、宇內。如：「寰宇」。《舊唐書．卷三一．音樂志四》：「睿感通寰，孝思浹宙。」 |</v>
      </c>
    </row>
    <row r="6415" spans="1:44" hidden="1">
      <c r="A6415" s="1" t="s">
        <v>12526</v>
      </c>
      <c r="C6415" s="1">
        <v>1</v>
      </c>
      <c r="D6415" s="1" t="str">
        <f>"05165"</f>
        <v>05165</v>
      </c>
      <c r="E6415" s="1" t="s">
        <v>2557</v>
      </c>
      <c r="F6415" s="1">
        <v>16</v>
      </c>
      <c r="G6415" s="1">
        <v>13</v>
      </c>
      <c r="H6415" s="1">
        <v>2</v>
      </c>
      <c r="I6415" s="1" t="s">
        <v>12507</v>
      </c>
      <c r="K6415" s="1" t="str">
        <f t="shared" si="412"/>
        <v>ㄏ</v>
      </c>
      <c r="L6415" s="1" t="str">
        <f t="shared" si="413"/>
        <v>ㄨ</v>
      </c>
      <c r="M6415" s="1" t="str">
        <f t="shared" si="411"/>
        <v>ㄢ</v>
      </c>
      <c r="P6415" s="1" t="s">
        <v>20</v>
      </c>
      <c r="R6415" s="1" t="s">
        <v>12508</v>
      </c>
      <c r="V6415" s="1" t="s">
        <v>12527</v>
      </c>
      <c r="W6415" s="1" t="s">
        <v>12528</v>
      </c>
      <c r="AR6415" s="1" t="str">
        <f t="shared" si="414"/>
        <v>| [ㄏㄨㄢˊ](ㄏㄨㄢˊ.md) | [圜](圜.md) |  | huán | [動]
環繞、圍繞。《資治通鑑．卷四四．漢紀三十六．明帝永平二年》：「冠帶縉紳之人圜橋門而觀聽者，蓋億萬計。」 |</v>
      </c>
    </row>
    <row r="6416" spans="1:44" hidden="1">
      <c r="A6416" s="1" t="s">
        <v>12529</v>
      </c>
      <c r="C6416" s="1">
        <v>1</v>
      </c>
      <c r="D6416" s="1" t="str">
        <f>"05166"</f>
        <v>05166</v>
      </c>
      <c r="E6416" s="1" t="s">
        <v>534</v>
      </c>
      <c r="F6416" s="1">
        <v>16</v>
      </c>
      <c r="G6416" s="1">
        <v>13</v>
      </c>
      <c r="H6416" s="1">
        <v>3</v>
      </c>
      <c r="I6416" s="1" t="s">
        <v>12507</v>
      </c>
      <c r="K6416" s="1" t="str">
        <f t="shared" si="412"/>
        <v>ㄏ</v>
      </c>
      <c r="L6416" s="1" t="str">
        <f t="shared" si="413"/>
        <v>ㄨ</v>
      </c>
      <c r="M6416" s="1" t="str">
        <f t="shared" si="411"/>
        <v>ㄢ</v>
      </c>
      <c r="P6416" s="1" t="s">
        <v>20</v>
      </c>
      <c r="R6416" s="1" t="s">
        <v>12508</v>
      </c>
      <c r="V6416" s="1" t="s">
        <v>8242</v>
      </c>
      <c r="W6416" s="1" t="s">
        <v>12530</v>
      </c>
      <c r="AR6416" s="1" t="str">
        <f t="shared" si="414"/>
        <v>| [ㄏㄨㄢˊ](ㄏㄨㄢˊ.md) | [嬛](嬛.md) |  | huán | 參見「嫏嬛」條。 |</v>
      </c>
    </row>
    <row r="6417" spans="1:44" hidden="1">
      <c r="A6417" s="1" t="s">
        <v>12531</v>
      </c>
      <c r="C6417" s="1">
        <v>1</v>
      </c>
      <c r="D6417" s="1" t="str">
        <f>"05167"</f>
        <v>05167</v>
      </c>
      <c r="E6417" s="1" t="s">
        <v>142</v>
      </c>
      <c r="F6417" s="1">
        <v>17</v>
      </c>
      <c r="G6417" s="1">
        <v>13</v>
      </c>
      <c r="H6417" s="1">
        <v>0</v>
      </c>
      <c r="I6417" s="1" t="s">
        <v>12507</v>
      </c>
      <c r="K6417" s="1" t="str">
        <f t="shared" si="412"/>
        <v>ㄏ</v>
      </c>
      <c r="L6417" s="1" t="str">
        <f t="shared" si="413"/>
        <v>ㄨ</v>
      </c>
      <c r="M6417" s="1" t="str">
        <f t="shared" si="411"/>
        <v>ㄢ</v>
      </c>
      <c r="P6417" s="1" t="s">
        <v>20</v>
      </c>
      <c r="R6417" s="1" t="s">
        <v>12508</v>
      </c>
      <c r="V6417" s="1" t="s">
        <v>12532</v>
      </c>
      <c r="AR6417" s="1" t="str">
        <f t="shared" si="414"/>
        <v>| [ㄏㄨㄢˊ](ㄏㄨㄢˊ.md) | [環](環.md) |  | huán | [名]_x000D_
1.玉石雕琢成中央有孔的圓形玉器。如：「玉環」。《左傳．昭公十六年》：「宣子有環，其一在鄭商。」《荀子．大略》：「絕人以玦，反絕以環。」_x000D_
2.泛稱圓圈形的東西。如：「門環」、「耳環」、「指環」、「刀環」。_x000D_
3.關鍵。如：「這個計畫能否如期完成，工作人員的配合是很重要的一環。」_x000D_
4.姓。如漢代有環饒。_x000D_
[動]_x000D_
圍繞、包圍。如：「環島旅行」。《孟子．公孫丑下》：「三里之城，七里之郭，環而攻之而不勝。」《史記．卷八六．刺客列傳．荊軻》：「秦王方環柱走，卒惶急，不知所為。」_x000D_
[形]_x000D_
四周、周圍。《元史．卷一四三．列傳．余闕》：「乃集有司與諸將議屯田戰守計，環境築堡寨，選精甲外扞，而耕稼于中。」 |</v>
      </c>
    </row>
    <row r="6418" spans="1:44" hidden="1">
      <c r="A6418" s="1" t="s">
        <v>11628</v>
      </c>
      <c r="C6418" s="1">
        <v>1</v>
      </c>
      <c r="D6418" s="1" t="str">
        <f>"05168"</f>
        <v>05168</v>
      </c>
      <c r="E6418" s="1" t="s">
        <v>558</v>
      </c>
      <c r="F6418" s="1">
        <v>17</v>
      </c>
      <c r="G6418" s="1">
        <v>13</v>
      </c>
      <c r="H6418" s="1">
        <v>1</v>
      </c>
      <c r="I6418" s="1" t="s">
        <v>12507</v>
      </c>
      <c r="K6418" s="1" t="str">
        <f t="shared" si="412"/>
        <v>ㄏ</v>
      </c>
      <c r="L6418" s="1" t="str">
        <f t="shared" si="413"/>
        <v>ㄨ</v>
      </c>
      <c r="M6418" s="1" t="str">
        <f t="shared" si="411"/>
        <v>ㄢ</v>
      </c>
      <c r="P6418" s="1" t="s">
        <v>20</v>
      </c>
      <c r="R6418" s="1" t="s">
        <v>12508</v>
      </c>
      <c r="V6418" s="1" t="s">
        <v>12533</v>
      </c>
      <c r="W6418" s="1" t="s">
        <v>12534</v>
      </c>
      <c r="AR6418" s="1" t="str">
        <f t="shared" si="414"/>
        <v>| [ㄏㄨㄢˊ](ㄏㄨㄢˊ.md) | [還](還.md) |  | huán | [動]
1.返回、回來。如：「還鄉」、「生還」、「往還」。唐．王昌齡〈從軍行〉七首之四：「黃沙百戰穿金甲，不破樓蘭終不還。」
2.恢復、回復。如：「還俗」、「還原」、「還他本來面目」。
3.交回、歸還。如：「還書」、「交還」、「還政」、「有借有還，再借不難。」
4.回報、報復。如：「還禮」、「還擊」、「打不還手，罵不還口。」、「以牙還牙，以眼還眼。」
5.償付。如：「還債」、「他不還我錢。」唐．杜甫〈歲晏行〉：「況聞處處鬻男女，割慈忍愛還租庸。」
6.以來。唐．李華〈弔古戰場文〉：「秦漢而還，多事四夷。」
7.圍繞。通「環」。《漢書．卷二四．食貨志上》：「還廬樹桑，菜茹有畦。」
[名]
姓。如春秋時宋國有還无社。 |</v>
      </c>
    </row>
    <row r="6419" spans="1:44" hidden="1">
      <c r="A6419" s="1" t="s">
        <v>12535</v>
      </c>
      <c r="C6419" s="1">
        <v>1</v>
      </c>
      <c r="D6419" s="1" t="str">
        <f>"05169"</f>
        <v>05169</v>
      </c>
      <c r="E6419" s="1" t="s">
        <v>725</v>
      </c>
      <c r="F6419" s="1">
        <v>19</v>
      </c>
      <c r="G6419" s="1">
        <v>13</v>
      </c>
      <c r="H6419" s="1">
        <v>1</v>
      </c>
      <c r="I6419" s="1" t="s">
        <v>12507</v>
      </c>
      <c r="K6419" s="1" t="str">
        <f t="shared" si="412"/>
        <v>ㄏ</v>
      </c>
      <c r="L6419" s="1" t="str">
        <f t="shared" si="413"/>
        <v>ㄨ</v>
      </c>
      <c r="M6419" s="1" t="str">
        <f t="shared" si="411"/>
        <v>ㄢ</v>
      </c>
      <c r="P6419" s="1" t="s">
        <v>20</v>
      </c>
      <c r="R6419" s="1" t="s">
        <v>12508</v>
      </c>
      <c r="V6419" s="1" t="s">
        <v>12536</v>
      </c>
      <c r="W6419" s="1" t="s">
        <v>12537</v>
      </c>
      <c r="AR6419" s="1" t="str">
        <f t="shared" si="414"/>
        <v>| [ㄏㄨㄢˊ](ㄏㄨㄢˊ.md) | [繯](繯.md) |  | huán | [名]
繩索結成的環套。如：「投繯自盡」。《資治通鑑．卷二五二．唐紀六十八．懿宗咸通十一年》：「城上以鉤繯挽之使近，投火沃油焚之，攻者皆死。」 |</v>
      </c>
    </row>
    <row r="6420" spans="1:44" hidden="1">
      <c r="A6420" s="1" t="s">
        <v>12538</v>
      </c>
      <c r="C6420" s="1">
        <v>1</v>
      </c>
      <c r="D6420" s="1" t="str">
        <f>"05170"</f>
        <v>05170</v>
      </c>
      <c r="E6420" s="1" t="s">
        <v>709</v>
      </c>
      <c r="F6420" s="1">
        <v>21</v>
      </c>
      <c r="G6420" s="1">
        <v>13</v>
      </c>
      <c r="H6420" s="1">
        <v>0</v>
      </c>
      <c r="I6420" s="1" t="s">
        <v>12507</v>
      </c>
      <c r="K6420" s="1" t="str">
        <f t="shared" si="412"/>
        <v>ㄏ</v>
      </c>
      <c r="L6420" s="1" t="str">
        <f t="shared" si="413"/>
        <v>ㄨ</v>
      </c>
      <c r="M6420" s="1" t="str">
        <f t="shared" si="411"/>
        <v>ㄢ</v>
      </c>
      <c r="P6420" s="1" t="s">
        <v>20</v>
      </c>
      <c r="R6420" s="1" t="s">
        <v>12508</v>
      </c>
      <c r="V6420" s="1" t="s">
        <v>12539</v>
      </c>
      <c r="AR6420" s="1" t="str">
        <f t="shared" si="414"/>
        <v>| [ㄏㄨㄢˊ](ㄏㄨㄢˊ.md) | [闤](闤.md) |  | huán | [名]
市街的牆壁。《文選．張衡．西京賦》：「爾乃廓開九市，通闤帶闠。」唐．白居易〈和微之詩．和櫛沐寄道友〉詩：「始出里北閈，稍轉市西闤。」 |</v>
      </c>
    </row>
    <row r="6421" spans="1:44" hidden="1">
      <c r="A6421" s="1" t="s">
        <v>12540</v>
      </c>
      <c r="C6421" s="1">
        <v>1</v>
      </c>
      <c r="D6421" s="1" t="str">
        <f>"05171"</f>
        <v>05171</v>
      </c>
      <c r="E6421" s="1" t="s">
        <v>55</v>
      </c>
      <c r="F6421" s="1">
        <v>21</v>
      </c>
      <c r="G6421" s="1">
        <v>13</v>
      </c>
      <c r="H6421" s="1">
        <v>0</v>
      </c>
      <c r="I6421" s="1" t="s">
        <v>12507</v>
      </c>
      <c r="K6421" s="1" t="str">
        <f t="shared" si="412"/>
        <v>ㄏ</v>
      </c>
      <c r="L6421" s="1" t="str">
        <f t="shared" si="413"/>
        <v>ㄨ</v>
      </c>
      <c r="M6421" s="1" t="str">
        <f t="shared" si="411"/>
        <v>ㄢ</v>
      </c>
      <c r="P6421" s="1" t="s">
        <v>20</v>
      </c>
      <c r="R6421" s="1" t="s">
        <v>12508</v>
      </c>
      <c r="V6421" s="1" t="s">
        <v>12541</v>
      </c>
      <c r="AR6421" s="1" t="str">
        <f t="shared" si="414"/>
        <v>| [ㄏㄨㄢˊ](ㄏㄨㄢˊ.md) | [鐶](鐶.md) |  | huán | [名]
圓形有孔可貫繫東西的物品。如：「金鐶」、「銅鐶」。唐．張籍〈蠻中〉詩：「玉鐶穿耳誰家女，自抱琵琶迎海神。」 |</v>
      </c>
    </row>
    <row r="6422" spans="1:44" hidden="1">
      <c r="A6422" s="1" t="s">
        <v>12542</v>
      </c>
      <c r="C6422" s="1">
        <v>1</v>
      </c>
      <c r="D6422" s="1" t="str">
        <f>"05172"</f>
        <v>05172</v>
      </c>
      <c r="E6422" s="1" t="s">
        <v>1078</v>
      </c>
      <c r="F6422" s="1">
        <v>23</v>
      </c>
      <c r="G6422" s="1">
        <v>13</v>
      </c>
      <c r="H6422" s="1">
        <v>0</v>
      </c>
      <c r="I6422" s="1" t="s">
        <v>12507</v>
      </c>
      <c r="K6422" s="1" t="str">
        <f t="shared" si="412"/>
        <v>ㄏ</v>
      </c>
      <c r="L6422" s="1" t="str">
        <f t="shared" si="413"/>
        <v>ㄨ</v>
      </c>
      <c r="M6422" s="1" t="str">
        <f t="shared" si="411"/>
        <v>ㄢ</v>
      </c>
      <c r="P6422" s="1" t="s">
        <v>20</v>
      </c>
      <c r="R6422" s="1" t="s">
        <v>12508</v>
      </c>
      <c r="V6422" s="1" t="s">
        <v>12543</v>
      </c>
      <c r="AR6422" s="1" t="str">
        <f t="shared" si="414"/>
        <v>| [ㄏㄨㄢˊ](ㄏㄨㄢˊ.md) | [鬟](鬟.md) |  | huán | [名]
1.婦女頭髮挽成中空環形的一種髮髻。如：「香鬟」、「雙鬟」。北周．庾信〈和詠舞詩〉：「頓履隨疏節，低鬟逐上聲。」唐．李白〈久別離〉詩：「至此腸斷彼心絕，雲鬟綠鬢罷梳結，愁如回飆亂白雪。」
2.婢女。如：「丫鬟」。宋．梅堯臣〈聽文都知吹簫〉詩：「欲買小鬟試教之，教坊供奉誰知者。」 |</v>
      </c>
    </row>
    <row r="6423" spans="1:44" hidden="1">
      <c r="A6423" s="1" t="s">
        <v>12544</v>
      </c>
      <c r="C6423" s="1">
        <v>1</v>
      </c>
      <c r="D6423" s="1" t="str">
        <f>"05173"</f>
        <v>05173</v>
      </c>
      <c r="E6423" s="1" t="s">
        <v>55</v>
      </c>
      <c r="F6423" s="1">
        <v>17</v>
      </c>
      <c r="G6423" s="1">
        <v>9</v>
      </c>
      <c r="H6423" s="1">
        <v>0</v>
      </c>
      <c r="I6423" s="1" t="s">
        <v>12507</v>
      </c>
      <c r="K6423" s="1" t="str">
        <f t="shared" si="412"/>
        <v>ㄏ</v>
      </c>
      <c r="L6423" s="1" t="str">
        <f t="shared" si="413"/>
        <v>ㄨ</v>
      </c>
      <c r="M6423" s="1" t="str">
        <f t="shared" si="411"/>
        <v>ㄢ</v>
      </c>
      <c r="P6423" s="1" t="s">
        <v>20</v>
      </c>
      <c r="R6423" s="1" t="s">
        <v>12508</v>
      </c>
      <c r="V6423" s="1" t="s">
        <v>12545</v>
      </c>
      <c r="AR6423" s="1" t="str">
        <f t="shared" si="414"/>
        <v>| [ㄏㄨㄢˊ](ㄏㄨㄢˊ.md) | [鍰](鍰.md) |  | huán | [名]
1.量詞。古代計算重量的單位。有六兩、十一銖二十五分銖之十三為一鍰的說法。《書經．呂刑》：「墨辟疑赦，其罰百鍰。」
2.金錢。唐．柳宗元〈酬韶州裴曹長使君寄道州呂八大使因以見示二十韻〉：「聖理高懸象，爰書降罰鍰。」 |</v>
      </c>
    </row>
    <row r="6424" spans="1:44" hidden="1">
      <c r="A6424" s="1" t="s">
        <v>12546</v>
      </c>
      <c r="C6424" s="1">
        <v>1</v>
      </c>
      <c r="D6424" s="1" t="str">
        <f>"05174"</f>
        <v>05174</v>
      </c>
      <c r="E6424" s="1" t="s">
        <v>142</v>
      </c>
      <c r="F6424" s="1">
        <v>24</v>
      </c>
      <c r="G6424" s="1">
        <v>20</v>
      </c>
      <c r="H6424" s="1">
        <v>0</v>
      </c>
      <c r="I6424" s="1" t="s">
        <v>12507</v>
      </c>
      <c r="K6424" s="1" t="str">
        <f t="shared" si="412"/>
        <v>ㄏ</v>
      </c>
      <c r="L6424" s="1" t="str">
        <f t="shared" si="413"/>
        <v>ㄨ</v>
      </c>
      <c r="M6424" s="1" t="str">
        <f t="shared" si="411"/>
        <v>ㄢ</v>
      </c>
      <c r="P6424" s="1" t="s">
        <v>20</v>
      </c>
      <c r="R6424" s="1" t="s">
        <v>12508</v>
      </c>
      <c r="V6424" s="1" t="s">
        <v>12547</v>
      </c>
      <c r="AR6424" s="1" t="str">
        <f t="shared" si="414"/>
        <v>| [ㄏㄨㄢˊ](ㄏㄨㄢˊ.md) | [瓛](瓛.md) |  | huán | [名]
一種圭玉。《說文解字．玉部》：「瓛，桓圭，公所執。」 |</v>
      </c>
    </row>
    <row r="6425" spans="1:44" hidden="1">
      <c r="A6425" s="1" t="s">
        <v>12548</v>
      </c>
      <c r="C6425" s="1">
        <v>1</v>
      </c>
      <c r="D6425" s="1" t="str">
        <f>"05175"</f>
        <v>05175</v>
      </c>
      <c r="E6425" s="1" t="s">
        <v>129</v>
      </c>
      <c r="F6425" s="1">
        <v>10</v>
      </c>
      <c r="G6425" s="1">
        <v>7</v>
      </c>
      <c r="H6425" s="1">
        <v>1</v>
      </c>
      <c r="I6425" s="1" t="s">
        <v>12549</v>
      </c>
      <c r="K6425" s="1" t="str">
        <f t="shared" si="412"/>
        <v>ㄏ</v>
      </c>
      <c r="L6425" s="1" t="str">
        <f t="shared" si="413"/>
        <v>ㄨ</v>
      </c>
      <c r="M6425" s="1" t="str">
        <f t="shared" si="411"/>
        <v>ㄢ</v>
      </c>
      <c r="P6425" s="1" t="s">
        <v>20</v>
      </c>
      <c r="R6425" s="1" t="s">
        <v>12550</v>
      </c>
      <c r="V6425" s="1" t="s">
        <v>12551</v>
      </c>
      <c r="W6425" s="1" t="s">
        <v>12552</v>
      </c>
      <c r="AR6425" s="1" t="str">
        <f t="shared" si="414"/>
        <v>| [ㄏㄨㄢˇ](ㄏㄨㄢˇ.md) | [浣](浣.md) |  | huǎn | [動]
1.洗滌、洗濯。《廣韻．上聲．緩韻》：「浣，濯也。」唐．王維〈洛陽女兒行〉：「誰憐越女顏如玉，貧賤江頭自浣紗。」
2.滌除、消除。唐．馬載〈岐陽逢曲陽故人話舊〉詩：「積愁何計遣？滿酌浣相思。」
[名]
唐代官吏十天一次休息、沐浴，每月分上浣、中浣、下浣。後借作為上旬、中旬、下旬的別稱。明．張自烈《正字通．水部》：「澣（浣），俗以上澣、中澣、下澣為上旬、中旬、下旬，本唐官制十日一休沐，故白居易詩：『公假月三旬。』今皆襲用之。省作浣。」 |</v>
      </c>
    </row>
    <row r="6426" spans="1:44" hidden="1">
      <c r="A6426" s="1" t="s">
        <v>12553</v>
      </c>
      <c r="C6426" s="1">
        <v>1</v>
      </c>
      <c r="D6426" s="1" t="str">
        <f>"05176"</f>
        <v>05176</v>
      </c>
      <c r="E6426" s="1" t="s">
        <v>1015</v>
      </c>
      <c r="F6426" s="1">
        <v>12</v>
      </c>
      <c r="G6426" s="1">
        <v>7</v>
      </c>
      <c r="H6426" s="1">
        <v>0</v>
      </c>
      <c r="I6426" s="1" t="s">
        <v>12549</v>
      </c>
      <c r="K6426" s="1" t="str">
        <f t="shared" si="412"/>
        <v>ㄏ</v>
      </c>
      <c r="L6426" s="1" t="str">
        <f t="shared" si="413"/>
        <v>ㄨ</v>
      </c>
      <c r="M6426" s="1" t="str">
        <f t="shared" si="411"/>
        <v>ㄢ</v>
      </c>
      <c r="P6426" s="1" t="s">
        <v>20</v>
      </c>
      <c r="R6426" s="1" t="s">
        <v>12550</v>
      </c>
      <c r="V6426" s="1" t="s">
        <v>12554</v>
      </c>
      <c r="AR6426" s="1" t="str">
        <f t="shared" si="414"/>
        <v>| [ㄏㄨㄢˇ](ㄏㄨㄢˇ.md) | [睆](睆.md) |  | huǎn | [形]
1.眼睛突出的樣子。《玉篇．目部》：「睆，出目貌。」唐．東方虬〈蟾蜍賦〉：「爾其文章，睆目、銳頭、皤腹，本無牙齒之用，寧懼鷹鸇之逐。」
2.明亮。《禮記．檀弓上》：「華而睆，大夫之簀與？」
3.堅實。《詩經．小雅．杕杜》：「有杕之杜，有睆其實。」漢．鄭玄．箋：「睆，實貌。」
4.美好。唐．劉禹錫〈汴州鄭門新亭記〉：「簾鑪茵帟，文椸睆榻，儲以應猝，周用而宜。」 |</v>
      </c>
    </row>
    <row r="6427" spans="1:44" hidden="1">
      <c r="A6427" s="1" t="s">
        <v>12555</v>
      </c>
      <c r="C6427" s="1">
        <v>1</v>
      </c>
      <c r="D6427" s="1" t="str">
        <f>"05177"</f>
        <v>05177</v>
      </c>
      <c r="E6427" s="1" t="s">
        <v>205</v>
      </c>
      <c r="F6427" s="1">
        <v>12</v>
      </c>
      <c r="G6427" s="1">
        <v>7</v>
      </c>
      <c r="H6427" s="1">
        <v>2</v>
      </c>
      <c r="I6427" s="1" t="s">
        <v>12549</v>
      </c>
      <c r="K6427" s="1" t="str">
        <f t="shared" si="412"/>
        <v>ㄏ</v>
      </c>
      <c r="L6427" s="1" t="str">
        <f t="shared" si="413"/>
        <v>ㄨ</v>
      </c>
      <c r="M6427" s="1" t="str">
        <f t="shared" si="411"/>
        <v>ㄢ</v>
      </c>
      <c r="P6427" s="1" t="s">
        <v>110</v>
      </c>
      <c r="R6427" s="1" t="s">
        <v>12550</v>
      </c>
      <c r="V6427" s="1" t="s">
        <v>111</v>
      </c>
      <c r="W6427" s="1" t="s">
        <v>12556</v>
      </c>
      <c r="AR6427" s="1" t="str">
        <f t="shared" si="414"/>
        <v>| [ㄏㄨㄢˇ](ㄏㄨㄢˇ.md) | [皖](皖.md) |  | huǎn | (一)之又音。 |</v>
      </c>
    </row>
    <row r="6428" spans="1:44" hidden="1">
      <c r="A6428" s="1" t="s">
        <v>12557</v>
      </c>
      <c r="C6428" s="1">
        <v>1</v>
      </c>
      <c r="D6428" s="1" t="str">
        <f>"05178"</f>
        <v>05178</v>
      </c>
      <c r="E6428" s="1" t="s">
        <v>646</v>
      </c>
      <c r="F6428" s="1">
        <v>13</v>
      </c>
      <c r="G6428" s="1">
        <v>9</v>
      </c>
      <c r="H6428" s="1">
        <v>0</v>
      </c>
      <c r="I6428" s="1" t="s">
        <v>12549</v>
      </c>
      <c r="K6428" s="1" t="str">
        <f t="shared" si="412"/>
        <v>ㄏ</v>
      </c>
      <c r="L6428" s="1" t="str">
        <f t="shared" si="413"/>
        <v>ㄨ</v>
      </c>
      <c r="M6428" s="1" t="str">
        <f t="shared" si="411"/>
        <v>ㄢ</v>
      </c>
      <c r="P6428" s="1" t="s">
        <v>20</v>
      </c>
      <c r="R6428" s="1" t="s">
        <v>12550</v>
      </c>
      <c r="V6428" s="1" t="s">
        <v>12558</v>
      </c>
      <c r="AR6428" s="1" t="str">
        <f t="shared" si="414"/>
        <v>| [ㄏㄨㄢˇ](ㄏㄨㄢˇ.md) | [㬊](㬊.md) |  | huǎn | [形]
明亮。《玉篇．日部》：「㬊，明也。」
[名]
姓。如宋代有㬊淵。 |</v>
      </c>
    </row>
    <row r="6429" spans="1:44" hidden="1">
      <c r="A6429" s="1" t="s">
        <v>12559</v>
      </c>
      <c r="C6429" s="1">
        <v>1</v>
      </c>
      <c r="D6429" s="1" t="str">
        <f>"05179"</f>
        <v>05179</v>
      </c>
      <c r="E6429" s="1" t="s">
        <v>725</v>
      </c>
      <c r="F6429" s="1">
        <v>15</v>
      </c>
      <c r="G6429" s="1">
        <v>9</v>
      </c>
      <c r="H6429" s="1">
        <v>0</v>
      </c>
      <c r="I6429" s="1" t="s">
        <v>12549</v>
      </c>
      <c r="K6429" s="1" t="str">
        <f t="shared" si="412"/>
        <v>ㄏ</v>
      </c>
      <c r="L6429" s="1" t="str">
        <f t="shared" si="413"/>
        <v>ㄨ</v>
      </c>
      <c r="M6429" s="1" t="str">
        <f t="shared" si="411"/>
        <v>ㄢ</v>
      </c>
      <c r="P6429" s="1" t="s">
        <v>20</v>
      </c>
      <c r="R6429" s="1" t="s">
        <v>12550</v>
      </c>
      <c r="V6429" s="1" t="s">
        <v>12560</v>
      </c>
      <c r="AR6429" s="1" t="str">
        <f t="shared" si="414"/>
        <v>| [ㄏㄨㄢˇ](ㄏㄨㄢˇ.md) | [緩](緩.md) |  | huǎn | [形]
1.慢而不急。如：「緩步」、「緩慢」。《韓非子．觀行》：「董安于之心緩，故佩弦以自急。」《文選．劉孝標．辯命論》：「短則不可緩之於寸陰，長則不可急之於箭漏。」
2.寬鬆。《文選．古詩十九首．行行重行行》：「相去日已遠，衣帶日已緩。」
[動]
1.放鬆。如：「先緩口氣再說吧！」
2.延遲。如：「緩期」、「緩兵之計」。《孟子．滕文公上》：「民事不可緩也。」《金史．卷八八．康括安禮傳》：「賞有功不可緩。」
[名]
姓。如三國時魏國有緩邵。 |</v>
      </c>
    </row>
    <row r="6430" spans="1:44" hidden="1">
      <c r="A6430" s="1" t="s">
        <v>12561</v>
      </c>
      <c r="C6430" s="1">
        <v>1</v>
      </c>
      <c r="D6430" s="1" t="str">
        <f>"05180"</f>
        <v>05180</v>
      </c>
      <c r="E6430" s="1" t="s">
        <v>129</v>
      </c>
      <c r="F6430" s="1">
        <v>16</v>
      </c>
      <c r="G6430" s="1">
        <v>13</v>
      </c>
      <c r="H6430" s="1">
        <v>1</v>
      </c>
      <c r="I6430" s="1" t="s">
        <v>12549</v>
      </c>
      <c r="K6430" s="1" t="str">
        <f t="shared" si="412"/>
        <v>ㄏ</v>
      </c>
      <c r="L6430" s="1" t="str">
        <f t="shared" si="413"/>
        <v>ㄨ</v>
      </c>
      <c r="M6430" s="1" t="str">
        <f t="shared" si="411"/>
        <v>ㄢ</v>
      </c>
      <c r="P6430" s="1" t="s">
        <v>20</v>
      </c>
      <c r="R6430" s="1" t="s">
        <v>12550</v>
      </c>
      <c r="V6430" s="1" t="s">
        <v>12562</v>
      </c>
      <c r="W6430" s="1" t="s">
        <v>12563</v>
      </c>
      <c r="AR6430" s="1" t="str">
        <f t="shared" si="414"/>
        <v>| [ㄏㄨㄢˇ](ㄏㄨㄢˇ.md) | [澣](澣.md) |  | huǎn | 同「浣」。 |</v>
      </c>
    </row>
    <row r="6431" spans="1:44" hidden="1">
      <c r="A6431" s="1" t="s">
        <v>12564</v>
      </c>
      <c r="C6431" s="1">
        <v>1</v>
      </c>
      <c r="D6431" s="1" t="str">
        <f>"05181"</f>
        <v>05181</v>
      </c>
      <c r="E6431" s="1" t="s">
        <v>12565</v>
      </c>
      <c r="F6431" s="1">
        <v>4</v>
      </c>
      <c r="G6431" s="1">
        <v>1</v>
      </c>
      <c r="H6431" s="1">
        <v>0</v>
      </c>
      <c r="I6431" s="1" t="s">
        <v>12566</v>
      </c>
      <c r="K6431" s="1" t="str">
        <f t="shared" si="412"/>
        <v>ㄏ</v>
      </c>
      <c r="L6431" s="1" t="str">
        <f t="shared" si="413"/>
        <v>ㄨ</v>
      </c>
      <c r="M6431" s="1" t="str">
        <f t="shared" si="411"/>
        <v>ㄢ</v>
      </c>
      <c r="P6431" s="1" t="s">
        <v>20</v>
      </c>
      <c r="R6431" s="1" t="s">
        <v>12567</v>
      </c>
      <c r="V6431" s="1" t="s">
        <v>12568</v>
      </c>
      <c r="AR6431" s="1" t="str">
        <f t="shared" si="414"/>
        <v>| [ㄏㄨㄢˋ](ㄏㄨㄢˋ.md) | [幻](幻.md) |  | huàn | [動]
1.蠱惑、欺瞞。《集韻．去聲．諫韻》：「幻，惑亂也。」《六韜．卷一．文韜．上賢》：「不祥之言，幻惑良民。」
2.變化。如：「變幻莫測」。宋．辛棄疾〈聲聲慢．征埃成陣〉詞：「征埃成陣，行客相逢，都道幻出層樓。」
[形]
虛假、不真實的。如：「虛幻」、「幻境」、「幻象」。《列子．周穆王》：「有生之氣，有形之狀，盡幻也。」宋．蘇軾〈登州海市〉詩：「心知所見皆幻影，敢以耳目煩神工。」 |</v>
      </c>
    </row>
    <row r="6432" spans="1:44" hidden="1">
      <c r="A6432" s="1" t="s">
        <v>12569</v>
      </c>
      <c r="C6432" s="1">
        <v>1</v>
      </c>
      <c r="D6432" s="1" t="str">
        <f>"05182"</f>
        <v>05182</v>
      </c>
      <c r="E6432" s="1" t="s">
        <v>624</v>
      </c>
      <c r="F6432" s="1">
        <v>9</v>
      </c>
      <c r="G6432" s="1">
        <v>6</v>
      </c>
      <c r="H6432" s="1">
        <v>0</v>
      </c>
      <c r="I6432" s="1" t="s">
        <v>12566</v>
      </c>
      <c r="K6432" s="1" t="str">
        <f t="shared" si="412"/>
        <v>ㄏ</v>
      </c>
      <c r="L6432" s="1" t="str">
        <f t="shared" si="413"/>
        <v>ㄨ</v>
      </c>
      <c r="M6432" s="1" t="str">
        <f t="shared" si="411"/>
        <v>ㄢ</v>
      </c>
      <c r="P6432" s="1" t="s">
        <v>20</v>
      </c>
      <c r="R6432" s="1" t="s">
        <v>12567</v>
      </c>
      <c r="V6432" s="1" t="s">
        <v>12570</v>
      </c>
      <c r="AR6432" s="1" t="str">
        <f t="shared" si="414"/>
        <v>| [ㄏㄨㄢˋ](ㄏㄨㄢˋ.md) | [宦](宦.md) |  | huàn | [動]
為官。《說文解字．宀部》：「宦，仕也。」《左傳．宣公二年》：「及成公即位，乃宦卿之適子而為之田，以為公族。」南朝宋．劉義慶《世說新語．賞譽》：「年二十八，始宦。」
[名]
1.官吏。如：「官宦」。南朝宋．劉義慶《世說新語．假譎》：「婿身名宦，盡不減嶠。」《紅樓夢》第四回：「這個被打之人乃是本地一個小鄉宦之子，名喚馮淵。」
2.太監。如：「宦官」。《新唐書．卷一一六．王綝傳》：「自石門還，政一決宰相，群宦不平，構藩鎮內脅天子。」《文選．司馬遷．報任少卿書》：「夫以中才之人，事有關於宦豎，莫不傷氣，而況於慷慨之士乎！」 |</v>
      </c>
    </row>
    <row r="6433" spans="1:44" hidden="1">
      <c r="A6433" s="1" t="s">
        <v>12571</v>
      </c>
      <c r="C6433" s="1">
        <v>1</v>
      </c>
      <c r="D6433" s="1" t="str">
        <f>"05183"</f>
        <v>05183</v>
      </c>
      <c r="E6433" s="1" t="s">
        <v>563</v>
      </c>
      <c r="F6433" s="1">
        <v>9</v>
      </c>
      <c r="G6433" s="1">
        <v>6</v>
      </c>
      <c r="H6433" s="1">
        <v>0</v>
      </c>
      <c r="I6433" s="1" t="s">
        <v>12566</v>
      </c>
      <c r="K6433" s="1" t="str">
        <f t="shared" si="412"/>
        <v>ㄏ</v>
      </c>
      <c r="L6433" s="1" t="str">
        <f t="shared" si="413"/>
        <v>ㄨ</v>
      </c>
      <c r="M6433" s="1" t="str">
        <f t="shared" si="411"/>
        <v>ㄢ</v>
      </c>
      <c r="P6433" s="1" t="s">
        <v>20</v>
      </c>
      <c r="R6433" s="1" t="s">
        <v>12567</v>
      </c>
      <c r="V6433" s="1" t="s">
        <v>12572</v>
      </c>
      <c r="AR6433" s="1" t="str">
        <f t="shared" si="414"/>
        <v>| [ㄏㄨㄢˋ](ㄏㄨㄢˋ.md) | [奐](奐.md) |  | huàn | [形]
1.盛大、眾多。《玉篇．廾部》：「奐，眾多也。」《漢書．卷七三．韋賢傳》：「既耇致位，惟懿惟奐。」唐．顏師古．注：「奐，盛也。」
2.文彩鮮明。如：「美輪美奐」。《禮記．檀弓下》：「晉獻文子成室，晉大夫發焉。張老曰：『美哉輪焉！美哉奐焉！』」
3.閑暇自得。《詩經．大雅．卷阿》：「伴奐爾游矣，優游爾休矣。」
[名]
姓。如明代有奐忠。 |</v>
      </c>
    </row>
    <row r="6434" spans="1:44" hidden="1">
      <c r="A6434" s="1" t="s">
        <v>12573</v>
      </c>
      <c r="C6434" s="1">
        <v>1</v>
      </c>
      <c r="D6434" s="1" t="str">
        <f>"05184"</f>
        <v>05184</v>
      </c>
      <c r="E6434" s="1" t="s">
        <v>129</v>
      </c>
      <c r="F6434" s="1">
        <v>12</v>
      </c>
      <c r="G6434" s="1">
        <v>9</v>
      </c>
      <c r="H6434" s="1">
        <v>0</v>
      </c>
      <c r="I6434" s="1" t="s">
        <v>12566</v>
      </c>
      <c r="K6434" s="1" t="str">
        <f t="shared" si="412"/>
        <v>ㄏ</v>
      </c>
      <c r="L6434" s="1" t="str">
        <f t="shared" si="413"/>
        <v>ㄨ</v>
      </c>
      <c r="M6434" s="1" t="str">
        <f t="shared" si="411"/>
        <v>ㄢ</v>
      </c>
      <c r="P6434" s="1" t="s">
        <v>20</v>
      </c>
      <c r="R6434" s="1" t="s">
        <v>12567</v>
      </c>
      <c r="V6434" s="1" t="s">
        <v>12574</v>
      </c>
      <c r="AR6434" s="1" t="str">
        <f t="shared" si="414"/>
        <v>| [ㄏㄨㄢˋ](ㄏㄨㄢˋ.md) | [渙](渙.md) |  | huàn | [動]
離散、分散。《詩經．周頌．訪落》：「將予就之，繼猶判渙。」南朝陳．徐陵〈陳文皇帝哀冊文〉：「九夷百越，雷隨風渙，北俘昆邪，西戡伊靬。」
[形]
1.散漫。如：「軍心渙散」。
2.水流盛大的樣子。《詩經．鄭風．溱洧》：「溱與洧，方渙渙兮。」
[副]
盛大。唐．柳宗元〈代韋中丞賀元和大赦表〉：「渙發大號，申明舊章。」
[名]
《易經》卦名。六十四卦之一。坎（☵）下巽（☴）上。象風行於水上，波濤激動，散難釋險之義。 |</v>
      </c>
    </row>
    <row r="6435" spans="1:44" hidden="1">
      <c r="A6435" s="1" t="s">
        <v>12575</v>
      </c>
      <c r="C6435" s="1">
        <v>1</v>
      </c>
      <c r="D6435" s="1" t="str">
        <f>"05185"</f>
        <v>05185</v>
      </c>
      <c r="E6435" s="1" t="s">
        <v>24</v>
      </c>
      <c r="F6435" s="1">
        <v>12</v>
      </c>
      <c r="G6435" s="1">
        <v>9</v>
      </c>
      <c r="H6435" s="1">
        <v>0</v>
      </c>
      <c r="I6435" s="1" t="s">
        <v>12566</v>
      </c>
      <c r="K6435" s="1" t="str">
        <f t="shared" si="412"/>
        <v>ㄏ</v>
      </c>
      <c r="L6435" s="1" t="str">
        <f t="shared" si="413"/>
        <v>ㄨ</v>
      </c>
      <c r="M6435" s="1" t="str">
        <f t="shared" si="411"/>
        <v>ㄢ</v>
      </c>
      <c r="P6435" s="1" t="s">
        <v>20</v>
      </c>
      <c r="R6435" s="1" t="s">
        <v>12567</v>
      </c>
      <c r="V6435" s="1" t="s">
        <v>12576</v>
      </c>
      <c r="AR6435" s="1" t="str">
        <f t="shared" si="414"/>
        <v>| [ㄏㄨㄢˋ](ㄏㄨㄢˋ.md) | [換](換.md) |  | huàn | [動]
1.互易、對調。如：「換錢」、「互換」、「交換」。《晉書．卷四九．阮籍傳》：「嘗以金貂換酒，復為所司彈劾，帝宥之。」
2.更改、變易。如：「更換」、「變換」、「換車」、「換髮型」。《墨子．備城門》：「寇在城下，時換吏卒署，而毋換亓養。」唐．王勃〈滕王閣〉詩：「閒雲潭影日悠悠，物換星移幾度秋。」 |</v>
      </c>
    </row>
    <row r="6436" spans="1:44" hidden="1">
      <c r="A6436" s="1" t="s">
        <v>12577</v>
      </c>
      <c r="C6436" s="1">
        <v>1</v>
      </c>
      <c r="D6436" s="1" t="str">
        <f>"05186"</f>
        <v>05186</v>
      </c>
      <c r="E6436" s="1" t="s">
        <v>28</v>
      </c>
      <c r="F6436" s="1">
        <v>12</v>
      </c>
      <c r="G6436" s="1">
        <v>9</v>
      </c>
      <c r="H6436" s="1">
        <v>0</v>
      </c>
      <c r="I6436" s="1" t="s">
        <v>12566</v>
      </c>
      <c r="K6436" s="1" t="str">
        <f t="shared" si="412"/>
        <v>ㄏ</v>
      </c>
      <c r="L6436" s="1" t="str">
        <f t="shared" si="413"/>
        <v>ㄨ</v>
      </c>
      <c r="M6436" s="1" t="str">
        <f t="shared" si="411"/>
        <v>ㄢ</v>
      </c>
      <c r="P6436" s="1" t="s">
        <v>20</v>
      </c>
      <c r="R6436" s="1" t="s">
        <v>12567</v>
      </c>
      <c r="V6436" s="1" t="s">
        <v>12578</v>
      </c>
      <c r="AR6436" s="1" t="str">
        <f t="shared" si="414"/>
        <v>| [ㄏㄨㄢˋ](ㄏㄨㄢˋ.md) | [喚](喚.md) |  | huàn | [動]
1.喊、叫。如：「喚醒」、「呼喚」、「召喚」。南朝宋．劉義慶《世說新語．任誕》：「桓子野每聞清歌，輒喚『奈何』！」唐．白居易〈琵琶行〉：「千呼萬喚始出來，猶抱琵琶半遮面。」
2.招之使來。南朝宋．劉義慶《世說新語．方正》：「慮諸公不奉詔，於是先喚周侯、丞相入。」唐．杜甫〈愁〉詩：「江草日日喚愁生，巫峽冷冷非世情。」
3.鳴。唐．杜甫〈白沙渡〉詩：「我馬向北嘶，山猿飲相喚。」宋．陸游〈細雨〉詩：「美睡常嫌鶯喚起，清愁卻要酒闌回。」 |</v>
      </c>
    </row>
    <row r="6437" spans="1:44" hidden="1">
      <c r="A6437" s="1" t="s">
        <v>12579</v>
      </c>
      <c r="C6437" s="1">
        <v>1</v>
      </c>
      <c r="D6437" s="1" t="str">
        <f>"05187"</f>
        <v>05187</v>
      </c>
      <c r="E6437" s="1" t="s">
        <v>336</v>
      </c>
      <c r="F6437" s="1">
        <v>13</v>
      </c>
      <c r="G6437" s="1">
        <v>9</v>
      </c>
      <c r="H6437" s="1">
        <v>0</v>
      </c>
      <c r="I6437" s="1" t="s">
        <v>12566</v>
      </c>
      <c r="K6437" s="1" t="str">
        <f t="shared" si="412"/>
        <v>ㄏ</v>
      </c>
      <c r="L6437" s="1" t="str">
        <f t="shared" si="413"/>
        <v>ㄨ</v>
      </c>
      <c r="M6437" s="1" t="str">
        <f t="shared" si="411"/>
        <v>ㄢ</v>
      </c>
      <c r="P6437" s="1" t="s">
        <v>20</v>
      </c>
      <c r="R6437" s="1" t="s">
        <v>12567</v>
      </c>
      <c r="V6437" s="1" t="s">
        <v>12580</v>
      </c>
      <c r="AR6437" s="1" t="str">
        <f t="shared" si="414"/>
        <v>| [ㄏㄨㄢˋ](ㄏㄨㄢˋ.md) | [煥](煥.md) |  | huàn | [副]
光彩、鮮明、顯露的樣子。如：「煥然一新」、「容光煥發」。晉．潘尼〈安石榴賦〉：「遙而望之，煥若隨珠耀重川。」 |</v>
      </c>
    </row>
    <row r="6438" spans="1:44" hidden="1">
      <c r="A6438" s="1" t="s">
        <v>12581</v>
      </c>
      <c r="C6438" s="1">
        <v>1</v>
      </c>
      <c r="D6438" s="1" t="str">
        <f>"05188"</f>
        <v>05188</v>
      </c>
      <c r="E6438" s="1" t="s">
        <v>40</v>
      </c>
      <c r="F6438" s="1">
        <v>14</v>
      </c>
      <c r="G6438" s="1">
        <v>9</v>
      </c>
      <c r="H6438" s="1">
        <v>0</v>
      </c>
      <c r="I6438" s="1" t="s">
        <v>12566</v>
      </c>
      <c r="K6438" s="1" t="str">
        <f t="shared" si="412"/>
        <v>ㄏ</v>
      </c>
      <c r="L6438" s="1" t="str">
        <f t="shared" si="413"/>
        <v>ㄨ</v>
      </c>
      <c r="M6438" s="1" t="str">
        <f t="shared" si="411"/>
        <v>ㄢ</v>
      </c>
      <c r="P6438" s="1" t="s">
        <v>20</v>
      </c>
      <c r="R6438" s="1" t="s">
        <v>12567</v>
      </c>
      <c r="V6438" s="1" t="s">
        <v>12582</v>
      </c>
      <c r="AR6438" s="1" t="str">
        <f t="shared" si="414"/>
        <v>| [ㄏㄨㄢˋ](ㄏㄨㄢˋ.md) | [瘓](瘓.md) |  | huàn | 參見「癱瘓」條。 |</v>
      </c>
    </row>
    <row r="6439" spans="1:44" hidden="1">
      <c r="A6439" s="1" t="s">
        <v>12583</v>
      </c>
      <c r="C6439" s="1">
        <v>1</v>
      </c>
      <c r="D6439" s="1" t="str">
        <f>"05189"</f>
        <v>05189</v>
      </c>
      <c r="E6439" s="1" t="s">
        <v>2557</v>
      </c>
      <c r="F6439" s="1">
        <v>10</v>
      </c>
      <c r="G6439" s="1">
        <v>7</v>
      </c>
      <c r="H6439" s="1">
        <v>2</v>
      </c>
      <c r="I6439" s="1" t="s">
        <v>12566</v>
      </c>
      <c r="K6439" s="1" t="str">
        <f t="shared" si="412"/>
        <v>ㄏ</v>
      </c>
      <c r="L6439" s="1" t="str">
        <f t="shared" si="413"/>
        <v>ㄨ</v>
      </c>
      <c r="M6439" s="1" t="str">
        <f t="shared" si="411"/>
        <v>ㄢ</v>
      </c>
      <c r="P6439" s="1" t="s">
        <v>20</v>
      </c>
      <c r="R6439" s="1" t="s">
        <v>12567</v>
      </c>
      <c r="V6439" s="1" t="s">
        <v>12584</v>
      </c>
      <c r="W6439" s="1" t="s">
        <v>12585</v>
      </c>
      <c r="AR6439" s="1" t="str">
        <f t="shared" si="414"/>
        <v>| [ㄏㄨㄢˋ](ㄏㄨㄢˋ.md) | [圂](圂.md) |  | huàn | [名]
家畜。同「豢」。《禮記．少儀》：「君子不食圂腴，小子走而不趨。」 |</v>
      </c>
    </row>
    <row r="6440" spans="1:44" hidden="1">
      <c r="A6440" s="1" t="s">
        <v>12586</v>
      </c>
      <c r="C6440" s="1">
        <v>1</v>
      </c>
      <c r="D6440" s="1" t="str">
        <f>"05190"</f>
        <v>05190</v>
      </c>
      <c r="E6440" s="1" t="s">
        <v>52</v>
      </c>
      <c r="F6440" s="1">
        <v>13</v>
      </c>
      <c r="G6440" s="1">
        <v>6</v>
      </c>
      <c r="H6440" s="1">
        <v>0</v>
      </c>
      <c r="I6440" s="1" t="s">
        <v>12566</v>
      </c>
      <c r="K6440" s="1" t="str">
        <f t="shared" si="412"/>
        <v>ㄏ</v>
      </c>
      <c r="L6440" s="1" t="str">
        <f t="shared" si="413"/>
        <v>ㄨ</v>
      </c>
      <c r="M6440" s="1" t="str">
        <f t="shared" si="411"/>
        <v>ㄢ</v>
      </c>
      <c r="P6440" s="1" t="s">
        <v>20</v>
      </c>
      <c r="R6440" s="1" t="s">
        <v>12567</v>
      </c>
      <c r="V6440" s="1" t="s">
        <v>12587</v>
      </c>
      <c r="AR6440" s="1" t="str">
        <f t="shared" si="414"/>
        <v>| [ㄏㄨㄢˋ](ㄏㄨㄢˋ.md) | [豢](豢.md) |  | huàn | [動]
1.飼養家畜。如：「豢養」。《禮記．樂記》：「夫豢豕為酒，非以為禍也。」《後漢書．卷六〇下．蔡邕傳》：「甯子有清商之歌，百里有豢牛之事。」
2.以利益引誘、收買他人。《左傳．哀公十一年》：「吳人皆喜，唯子胥懼，曰：『是豢吳也夫。』」清．孔尚任《桃花扇》第一三齣：「養文臣帷幄無謀，豢武夫疆場不猛。」
[名]
家畜。《禮記．月令》：「乃命宰祝，循行犧牲。視全具，案芻豢。」 |</v>
      </c>
    </row>
    <row r="6441" spans="1:44" hidden="1">
      <c r="A6441" s="1" t="s">
        <v>12588</v>
      </c>
      <c r="C6441" s="1">
        <v>1</v>
      </c>
      <c r="D6441" s="1" t="str">
        <f>"05191"</f>
        <v>05191</v>
      </c>
      <c r="E6441" s="1" t="s">
        <v>558</v>
      </c>
      <c r="F6441" s="1">
        <v>12</v>
      </c>
      <c r="G6441" s="1">
        <v>8</v>
      </c>
      <c r="H6441" s="1">
        <v>0</v>
      </c>
      <c r="I6441" s="1" t="s">
        <v>12566</v>
      </c>
      <c r="K6441" s="1" t="str">
        <f t="shared" si="412"/>
        <v>ㄏ</v>
      </c>
      <c r="L6441" s="1" t="str">
        <f t="shared" si="413"/>
        <v>ㄨ</v>
      </c>
      <c r="M6441" s="1" t="str">
        <f t="shared" si="411"/>
        <v>ㄢ</v>
      </c>
      <c r="P6441" s="1" t="s">
        <v>20</v>
      </c>
      <c r="R6441" s="1" t="s">
        <v>12567</v>
      </c>
      <c r="V6441" s="1" t="s">
        <v>12589</v>
      </c>
      <c r="AR6441" s="1" t="str">
        <f t="shared" si="414"/>
        <v>| [ㄏㄨㄢˋ](ㄏㄨㄢˋ.md) | [逭](逭.md) |  | huàn | [動]
逃避。如：「罪無可逭」。《書經．太甲中》：「天作孽，猶可違；自作孽，不可逭。」宋．蘇軾〈上神宗皇帝書〉：「人主失人心則亡，此必然之理，不可逭之災也。」 |</v>
      </c>
    </row>
    <row r="6442" spans="1:44" hidden="1">
      <c r="A6442" s="1" t="s">
        <v>12590</v>
      </c>
      <c r="C6442" s="1">
        <v>1</v>
      </c>
      <c r="D6442" s="1" t="str">
        <f>"05192"</f>
        <v>05192</v>
      </c>
      <c r="E6442" s="1" t="s">
        <v>250</v>
      </c>
      <c r="F6442" s="1">
        <v>11</v>
      </c>
      <c r="G6442" s="1">
        <v>7</v>
      </c>
      <c r="H6442" s="1">
        <v>0</v>
      </c>
      <c r="I6442" s="1" t="s">
        <v>12566</v>
      </c>
      <c r="K6442" s="1" t="str">
        <f t="shared" si="412"/>
        <v>ㄏ</v>
      </c>
      <c r="L6442" s="1" t="str">
        <f t="shared" si="413"/>
        <v>ㄨ</v>
      </c>
      <c r="M6442" s="1" t="str">
        <f t="shared" si="411"/>
        <v>ㄢ</v>
      </c>
      <c r="P6442" s="1" t="s">
        <v>20</v>
      </c>
      <c r="R6442" s="1" t="s">
        <v>12567</v>
      </c>
      <c r="V6442" s="1" t="s">
        <v>12591</v>
      </c>
      <c r="AR6442" s="1" t="str">
        <f t="shared" si="414"/>
        <v>| [ㄏㄨㄢˋ](ㄏㄨㄢˋ.md) | [患](患.md) |  | huàn | [動]
1.憂慮、擔心。如：「患得患失」。《論語．學而》：「不患人之不己知，患不知人也。」唐．韓愈〈贈別元十八協律〉六首之五：「讀書患不多，思義患不明，患足已不學，既學患不行。」
2.得、遭逢。如：「患病」、「患者」。南朝宋．劉義慶《世說新語．言語》：「主人問病，曰：『患瘧也。』」
[名]
禍害、災難。如：「水患」、「外患」、「禍患」。《易經．既濟卦．象曰》：「水在火上既濟，君子以思患而豫防之。」 |</v>
      </c>
    </row>
    <row r="6443" spans="1:44" hidden="1">
      <c r="A6443" s="1" t="s">
        <v>12592</v>
      </c>
      <c r="C6443" s="1">
        <v>1</v>
      </c>
      <c r="D6443" s="1" t="str">
        <f>"05193"</f>
        <v>05193</v>
      </c>
      <c r="E6443" s="1" t="s">
        <v>129</v>
      </c>
      <c r="F6443" s="1">
        <v>14</v>
      </c>
      <c r="G6443" s="1">
        <v>11</v>
      </c>
      <c r="H6443" s="1">
        <v>0</v>
      </c>
      <c r="I6443" s="1" t="s">
        <v>12566</v>
      </c>
      <c r="K6443" s="1" t="str">
        <f t="shared" si="412"/>
        <v>ㄏ</v>
      </c>
      <c r="L6443" s="1" t="str">
        <f t="shared" si="413"/>
        <v>ㄨ</v>
      </c>
      <c r="M6443" s="1" t="str">
        <f t="shared" si="411"/>
        <v>ㄢ</v>
      </c>
      <c r="P6443" s="1" t="s">
        <v>20</v>
      </c>
      <c r="R6443" s="1" t="s">
        <v>12567</v>
      </c>
      <c r="V6443" s="1" t="s">
        <v>12593</v>
      </c>
      <c r="AR6443" s="1" t="str">
        <f t="shared" si="414"/>
        <v>| [ㄏㄨㄢˋ](ㄏㄨㄢˋ.md) | [漶](漶.md) |  | huàn | 參見「漫漶」條。 |</v>
      </c>
    </row>
    <row r="6444" spans="1:44" hidden="1">
      <c r="A6444" s="1" t="s">
        <v>12594</v>
      </c>
      <c r="C6444" s="1">
        <v>1</v>
      </c>
      <c r="D6444" s="1" t="str">
        <f>"05194"</f>
        <v>05194</v>
      </c>
      <c r="E6444" s="1" t="s">
        <v>24</v>
      </c>
      <c r="F6444" s="1">
        <v>16</v>
      </c>
      <c r="G6444" s="1">
        <v>13</v>
      </c>
      <c r="H6444" s="1">
        <v>0</v>
      </c>
      <c r="I6444" s="1" t="s">
        <v>12566</v>
      </c>
      <c r="K6444" s="1" t="str">
        <f t="shared" si="412"/>
        <v>ㄏ</v>
      </c>
      <c r="L6444" s="1" t="str">
        <f t="shared" si="413"/>
        <v>ㄨ</v>
      </c>
      <c r="M6444" s="1" t="str">
        <f t="shared" si="411"/>
        <v>ㄢ</v>
      </c>
      <c r="P6444" s="1" t="s">
        <v>20</v>
      </c>
      <c r="R6444" s="1" t="s">
        <v>12567</v>
      </c>
      <c r="V6444" s="1" t="s">
        <v>12595</v>
      </c>
      <c r="AR6444" s="1" t="str">
        <f t="shared" si="414"/>
        <v>| [ㄏㄨㄢˋ](ㄏㄨㄢˋ.md) | [擐](擐.md) |  | huàn | [動]
穿著。《左傳．成公二年》：「擐甲執兵，固即死也。」唐．韓愈〈崔十六少府攝伊陽以詩及書見投因酬三十韻〉：「上言酒味酸，冬衣竟未擐。」 |</v>
      </c>
    </row>
    <row r="6445" spans="1:44" hidden="1">
      <c r="A6445" s="1" t="s">
        <v>12535</v>
      </c>
      <c r="C6445" s="1">
        <v>1</v>
      </c>
      <c r="D6445" s="1" t="str">
        <f>"05195"</f>
        <v>05195</v>
      </c>
      <c r="E6445" s="1" t="s">
        <v>725</v>
      </c>
      <c r="F6445" s="1">
        <v>19</v>
      </c>
      <c r="G6445" s="1">
        <v>13</v>
      </c>
      <c r="H6445" s="1">
        <v>2</v>
      </c>
      <c r="I6445" s="1" t="s">
        <v>12566</v>
      </c>
      <c r="K6445" s="1" t="str">
        <f t="shared" si="412"/>
        <v>ㄏ</v>
      </c>
      <c r="L6445" s="1" t="str">
        <f t="shared" si="413"/>
        <v>ㄨ</v>
      </c>
      <c r="M6445" s="1" t="str">
        <f t="shared" si="411"/>
        <v>ㄢ</v>
      </c>
      <c r="P6445" s="1" t="s">
        <v>110</v>
      </c>
      <c r="R6445" s="1" t="s">
        <v>12567</v>
      </c>
      <c r="V6445" s="1" t="s">
        <v>111</v>
      </c>
      <c r="W6445" s="1" t="s">
        <v>12596</v>
      </c>
      <c r="AR6445" s="1" t="str">
        <f t="shared" si="414"/>
        <v>| [ㄏㄨㄢˋ](ㄏㄨㄢˋ.md) | [繯](繯.md) |  | huàn | (一)之又音。 |</v>
      </c>
    </row>
    <row r="6446" spans="1:44" hidden="1">
      <c r="A6446" s="1" t="s">
        <v>12597</v>
      </c>
      <c r="C6446" s="1">
        <v>1</v>
      </c>
      <c r="D6446" s="1" t="str">
        <f>"05196"</f>
        <v>05196</v>
      </c>
      <c r="E6446" s="1" t="s">
        <v>71</v>
      </c>
      <c r="F6446" s="1">
        <v>20</v>
      </c>
      <c r="G6446" s="1">
        <v>13</v>
      </c>
      <c r="H6446" s="1">
        <v>0</v>
      </c>
      <c r="I6446" s="1" t="s">
        <v>12566</v>
      </c>
      <c r="K6446" s="1" t="str">
        <f t="shared" si="412"/>
        <v>ㄏ</v>
      </c>
      <c r="L6446" s="1" t="str">
        <f t="shared" si="413"/>
        <v>ㄨ</v>
      </c>
      <c r="M6446" s="1" t="str">
        <f t="shared" si="411"/>
        <v>ㄢ</v>
      </c>
      <c r="P6446" s="1" t="s">
        <v>20</v>
      </c>
      <c r="R6446" s="1" t="s">
        <v>12567</v>
      </c>
      <c r="V6446" s="1" t="s">
        <v>12598</v>
      </c>
      <c r="AR6446" s="1" t="str">
        <f t="shared" si="414"/>
        <v>| [ㄏㄨㄢˋ](ㄏㄨㄢˋ.md) | [轘](轘.md) |  | huàn | [動]
古代一種酷刑，用車來分裂人體。《左傳．桓公十八年》：「齊人殺子亹而轘高渠彌。」《資治通鑑．卷一六九．陳紀三．文帝天嘉五年》：「其刑名有五：一曰死，重者轘之，次梟首，次斬，次絞。」 |</v>
      </c>
    </row>
    <row r="6447" spans="1:44" hidden="1">
      <c r="A6447" s="1" t="s">
        <v>12599</v>
      </c>
      <c r="C6447" s="1">
        <v>1</v>
      </c>
      <c r="D6447" s="1" t="str">
        <f>"05197"</f>
        <v>05197</v>
      </c>
      <c r="E6447" s="1" t="s">
        <v>156</v>
      </c>
      <c r="F6447" s="1">
        <v>18</v>
      </c>
      <c r="G6447" s="1">
        <v>7</v>
      </c>
      <c r="H6447" s="1">
        <v>0</v>
      </c>
      <c r="I6447" s="1" t="s">
        <v>12566</v>
      </c>
      <c r="K6447" s="1" t="str">
        <f t="shared" si="412"/>
        <v>ㄏ</v>
      </c>
      <c r="L6447" s="1" t="str">
        <f t="shared" si="413"/>
        <v>ㄨ</v>
      </c>
      <c r="M6447" s="1" t="str">
        <f t="shared" si="411"/>
        <v>ㄢ</v>
      </c>
      <c r="P6447" s="1" t="s">
        <v>20</v>
      </c>
      <c r="R6447" s="1" t="s">
        <v>12567</v>
      </c>
      <c r="V6447" s="1" t="s">
        <v>12600</v>
      </c>
      <c r="AR6447" s="1" t="str">
        <f t="shared" si="414"/>
        <v>| [ㄏㄨㄢˋ](ㄏㄨㄢˋ.md) | [鯇](鯇.md) |  | huàn | [名]
動物名。脊椎動物亞門硬骨魚綱鯉科。體長，呈圓筒形，色青黃，以水草為食，易於人工養殖，為我國淡水養殖魚類之一。俗稱為「草魚」。 |</v>
      </c>
    </row>
    <row r="6448" spans="1:44" hidden="1">
      <c r="A6448" s="1" t="s">
        <v>17582</v>
      </c>
      <c r="C6448" s="1">
        <v>1</v>
      </c>
      <c r="D6448" s="1" t="str">
        <f>"119060016"</f>
        <v>119060016</v>
      </c>
      <c r="E6448" s="1" t="s">
        <v>256</v>
      </c>
      <c r="F6448" s="1">
        <v>9</v>
      </c>
      <c r="G6448" s="1">
        <v>6</v>
      </c>
      <c r="H6448" s="1">
        <v>1</v>
      </c>
      <c r="I6448" s="1" t="s">
        <v>12507</v>
      </c>
      <c r="K6448" s="1" t="str">
        <f t="shared" si="412"/>
        <v>ㄏ</v>
      </c>
      <c r="L6448" s="1" t="str">
        <f t="shared" si="413"/>
        <v>ㄨ</v>
      </c>
      <c r="M6448" s="1" t="str">
        <f t="shared" si="411"/>
        <v>ㄢ</v>
      </c>
      <c r="P6448" s="1" t="s">
        <v>20</v>
      </c>
      <c r="R6448" s="1" t="s">
        <v>12508</v>
      </c>
      <c r="V6448" s="1" t="s">
        <v>30533</v>
      </c>
      <c r="W6448" s="1" t="s">
        <v>30534</v>
      </c>
      <c r="AR6448" s="1" t="str">
        <f t="shared" si="414"/>
        <v>| [ㄏㄨㄢˊ](ㄏㄨㄢˊ.md) | [郇](郇.md) |  | huán | [名]
姓。出絳州。如唐有郇模。 |</v>
      </c>
    </row>
    <row r="6449" spans="1:44" hidden="1">
      <c r="A6449" s="1" t="s">
        <v>12601</v>
      </c>
      <c r="C6449" s="1">
        <v>1</v>
      </c>
      <c r="D6449" s="1" t="str">
        <f>"05198"</f>
        <v>05198</v>
      </c>
      <c r="E6449" s="1" t="s">
        <v>646</v>
      </c>
      <c r="F6449" s="1">
        <v>8</v>
      </c>
      <c r="G6449" s="1">
        <v>4</v>
      </c>
      <c r="H6449" s="1">
        <v>0</v>
      </c>
      <c r="I6449" s="1" t="s">
        <v>12602</v>
      </c>
      <c r="K6449" s="1" t="str">
        <f t="shared" si="412"/>
        <v>ㄏ</v>
      </c>
      <c r="L6449" s="1" t="str">
        <f t="shared" si="413"/>
        <v>ㄨ</v>
      </c>
      <c r="M6449" s="1" t="str">
        <f t="shared" si="411"/>
        <v>ㄣ</v>
      </c>
      <c r="P6449" s="1" t="s">
        <v>20</v>
      </c>
      <c r="R6449" s="1" t="s">
        <v>12603</v>
      </c>
      <c r="V6449" s="1" t="s">
        <v>12604</v>
      </c>
      <c r="AR6449" s="1" t="str">
        <f t="shared" si="414"/>
        <v>| [ㄏㄨㄣ](ㄏㄨㄣ.md) | [昏](昏.md) |  | hūn | [名]
1.傍晚，日暮的時候。如：「黃昏」、「晨昏定省」。《左傳．昭公十三年》：「自日中以爭，至於昏。」
2.婚姻。通「婚」。《新唐書．卷二一五．突厥傳上》：「是時突厥再上書求昏，帝未報。」
[形]
1.暗，光線不明。如：「昏暗」、「昏黃」。《文選．左思．吳都賦》：「揮袖風飄，而紅塵晝昏。」《紅樓夢》第五回：「忽喇喇如大廈傾，昏慘慘似燈將盡。」
2.不明、不清楚。如：「老眼昏花」。唐．韓愈〈與崔群書〉：「目視昏花，尋常閒便不分人顏色。」清．孔尚任《桃花扇》第八齣：「我老眼雖昏，早已看真了。」
3.神志不清的。如：「頭昏」、「昏頭昏腦」。《書經．多方》：「乃大淫昏，不克終日勸于帝之迪。」
4.不明事理的。如：「昏庸」、「昏君」。
[動]
1.喪失知覺。如：「昏迷」、「昏厥」。《聊齋志異．卷一．鬼哭》：「先是，閽人王姓者，疾篤，昏不知人者數日矣。」
2.迷惑。《呂氏春秋．孟夏紀．誣徒》：「昏於小利，惑於嗜欲。」 |</v>
      </c>
    </row>
    <row r="6450" spans="1:44" hidden="1">
      <c r="A6450" s="1" t="s">
        <v>3166</v>
      </c>
      <c r="C6450" s="1">
        <v>1</v>
      </c>
      <c r="D6450" s="1" t="str">
        <f>"05199"</f>
        <v>05199</v>
      </c>
      <c r="E6450" s="1" t="s">
        <v>250</v>
      </c>
      <c r="F6450" s="1">
        <v>11</v>
      </c>
      <c r="G6450" s="1">
        <v>8</v>
      </c>
      <c r="H6450" s="1">
        <v>1</v>
      </c>
      <c r="I6450" s="1" t="s">
        <v>12602</v>
      </c>
      <c r="K6450" s="1" t="str">
        <f t="shared" si="412"/>
        <v>ㄏ</v>
      </c>
      <c r="L6450" s="1" t="str">
        <f t="shared" si="413"/>
        <v>ㄨ</v>
      </c>
      <c r="M6450" s="1" t="str">
        <f t="shared" si="411"/>
        <v>ㄣ</v>
      </c>
      <c r="P6450" s="1" t="s">
        <v>20</v>
      </c>
      <c r="R6450" s="1" t="s">
        <v>12603</v>
      </c>
      <c r="V6450" s="1" t="s">
        <v>12605</v>
      </c>
      <c r="W6450" s="1" t="s">
        <v>12606</v>
      </c>
      <c r="AR6450" s="1" t="str">
        <f t="shared" si="414"/>
        <v>| [ㄏㄨㄣ](ㄏㄨㄣ.md) | [惛](惛.md) |  | hūn | [形]
昏亂、糊塗不明。《說文解字．心部》：「惛，不憭也。」清．段玉裁．注：「憭，慧也。」唐．皮日休〈移元徵君書〉：「苟或退者，是時弊不可正，主惛不可曉。」 |</v>
      </c>
    </row>
    <row r="6451" spans="1:44" hidden="1">
      <c r="A6451" s="1" t="s">
        <v>12607</v>
      </c>
      <c r="C6451" s="1">
        <v>1</v>
      </c>
      <c r="D6451" s="1" t="str">
        <f>"05200"</f>
        <v>05200</v>
      </c>
      <c r="E6451" s="1" t="s">
        <v>534</v>
      </c>
      <c r="F6451" s="1">
        <v>11</v>
      </c>
      <c r="G6451" s="1">
        <v>8</v>
      </c>
      <c r="H6451" s="1">
        <v>0</v>
      </c>
      <c r="I6451" s="1" t="s">
        <v>12602</v>
      </c>
      <c r="K6451" s="1" t="str">
        <f t="shared" si="412"/>
        <v>ㄏ</v>
      </c>
      <c r="L6451" s="1" t="str">
        <f t="shared" si="413"/>
        <v>ㄨ</v>
      </c>
      <c r="M6451" s="1" t="str">
        <f t="shared" si="411"/>
        <v>ㄣ</v>
      </c>
      <c r="P6451" s="1" t="s">
        <v>20</v>
      </c>
      <c r="R6451" s="1" t="s">
        <v>12603</v>
      </c>
      <c r="V6451" s="1" t="s">
        <v>12608</v>
      </c>
      <c r="AR6451" s="1" t="str">
        <f t="shared" si="414"/>
        <v>| [ㄏㄨㄣ](ㄏㄨㄣ.md) | [婚](婚.md) |  | hūn | [名]
嫁娶之事。如：「論及婚嫁」。《易經．屯卦．六四》：「乘馬班如，求婚媾，往吉，無不利。」
[動]
結婚。《國語．晉語四》：「同姓不婚，惡不殖也。」唐．杜甫〈贈衛八處士〉詩：「昔別君未婚，兒女忽成行。」 |</v>
      </c>
    </row>
    <row r="6452" spans="1:44" hidden="1">
      <c r="A6452" s="1" t="s">
        <v>12609</v>
      </c>
      <c r="C6452" s="1">
        <v>1</v>
      </c>
      <c r="D6452" s="1" t="str">
        <f>"05201"</f>
        <v>05201</v>
      </c>
      <c r="E6452" s="1" t="s">
        <v>1372</v>
      </c>
      <c r="F6452" s="1">
        <v>12</v>
      </c>
      <c r="G6452" s="1">
        <v>8</v>
      </c>
      <c r="H6452" s="1">
        <v>0</v>
      </c>
      <c r="I6452" s="1" t="s">
        <v>12602</v>
      </c>
      <c r="K6452" s="1" t="str">
        <f t="shared" si="412"/>
        <v>ㄏ</v>
      </c>
      <c r="L6452" s="1" t="str">
        <f t="shared" si="413"/>
        <v>ㄨ</v>
      </c>
      <c r="M6452" s="1" t="str">
        <f t="shared" si="411"/>
        <v>ㄣ</v>
      </c>
      <c r="P6452" s="1" t="s">
        <v>20</v>
      </c>
      <c r="R6452" s="1" t="s">
        <v>12603</v>
      </c>
      <c r="V6452" s="1" t="s">
        <v>12610</v>
      </c>
      <c r="AR6452" s="1" t="str">
        <f t="shared" si="414"/>
        <v>| [ㄏㄨㄣ](ㄏㄨㄣ.md) | [殙](殙.md) |  | hūn | [形]
昏亂、神志不清。《莊子．達生》：「以鉤注者憚，以黃金注者殙。」唐．成玄英．疏：「注，射也。……用黃金賭者，既是極貴之物，矜而惜之，故心智昏亂而不中也。」 |</v>
      </c>
    </row>
    <row r="6453" spans="1:44" hidden="1">
      <c r="A6453" s="1" t="s">
        <v>12611</v>
      </c>
      <c r="C6453" s="1">
        <v>1</v>
      </c>
      <c r="D6453" s="1" t="str">
        <f>"05202"</f>
        <v>05202</v>
      </c>
      <c r="E6453" s="1" t="s">
        <v>709</v>
      </c>
      <c r="F6453" s="1">
        <v>16</v>
      </c>
      <c r="G6453" s="1">
        <v>8</v>
      </c>
      <c r="H6453" s="1">
        <v>0</v>
      </c>
      <c r="I6453" s="1" t="s">
        <v>12602</v>
      </c>
      <c r="K6453" s="1" t="str">
        <f t="shared" si="412"/>
        <v>ㄏ</v>
      </c>
      <c r="L6453" s="1" t="str">
        <f t="shared" si="413"/>
        <v>ㄨ</v>
      </c>
      <c r="M6453" s="1" t="str">
        <f t="shared" si="411"/>
        <v>ㄣ</v>
      </c>
      <c r="P6453" s="1" t="s">
        <v>20</v>
      </c>
      <c r="R6453" s="1" t="s">
        <v>12603</v>
      </c>
      <c r="V6453" s="1" t="s">
        <v>12612</v>
      </c>
      <c r="AR6453" s="1" t="str">
        <f t="shared" si="414"/>
        <v>| [ㄏㄨㄣ](ㄏㄨㄣ.md) | [閽](閽.md) |  | hūn | [名]
1.守門人。《左傳．襄公二十九年》：「吳人伐楚，獲俘焉，以為閽。」
2.宮門。唐．李商隱〈哭劉蕡〉詩：「上帝深宮閉九閽，巫咸不下問銜冤。」 |</v>
      </c>
    </row>
    <row r="6454" spans="1:44" hidden="1">
      <c r="A6454" s="1" t="s">
        <v>12613</v>
      </c>
      <c r="C6454" s="1">
        <v>1</v>
      </c>
      <c r="D6454" s="1" t="str">
        <f>"05203"</f>
        <v>05203</v>
      </c>
      <c r="E6454" s="1" t="s">
        <v>37</v>
      </c>
      <c r="F6454" s="1">
        <v>13</v>
      </c>
      <c r="G6454" s="1">
        <v>9</v>
      </c>
      <c r="H6454" s="1">
        <v>1</v>
      </c>
      <c r="I6454" s="1" t="s">
        <v>12602</v>
      </c>
      <c r="K6454" s="1" t="str">
        <f t="shared" si="412"/>
        <v>ㄏ</v>
      </c>
      <c r="L6454" s="1" t="str">
        <f t="shared" si="413"/>
        <v>ㄨ</v>
      </c>
      <c r="M6454" s="1" t="str">
        <f t="shared" si="411"/>
        <v>ㄣ</v>
      </c>
      <c r="P6454" s="1" t="s">
        <v>20</v>
      </c>
      <c r="R6454" s="1" t="s">
        <v>12603</v>
      </c>
      <c r="V6454" s="1" t="s">
        <v>12614</v>
      </c>
      <c r="W6454" s="1" t="s">
        <v>12615</v>
      </c>
      <c r="AR6454" s="1" t="str">
        <f t="shared" si="414"/>
        <v>| [ㄏㄨㄣ](ㄏㄨㄣ.md) | [葷](葷.md) |  | hūn | [名]
1.泛指肉類食物。如：「不忌葷素」。《水滸傳》第五回：「洒家不忌葷酒，遮莫甚麼渾清白酒，都不揀選，牛肉狗肉，但有便吃。」
2.指蔥、蒜、韭等具有辛辣氣味的蔬菜。《儀禮．士相見禮》：「夜侍坐，問夜，膳葷，請退可也。」漢．鄭玄．注：「葷，辛物，蔥韭之屬。」
[形]
有關情色的。如：「葷笑話」。 |</v>
      </c>
    </row>
    <row r="6455" spans="1:44" hidden="1">
      <c r="A6455" s="1" t="s">
        <v>10579</v>
      </c>
      <c r="C6455" s="1">
        <v>1</v>
      </c>
      <c r="D6455" s="1" t="str">
        <f>"05204"</f>
        <v>05204</v>
      </c>
      <c r="E6455" s="1" t="s">
        <v>129</v>
      </c>
      <c r="F6455" s="1">
        <v>11</v>
      </c>
      <c r="G6455" s="1">
        <v>8</v>
      </c>
      <c r="H6455" s="1">
        <v>4</v>
      </c>
      <c r="I6455" s="1" t="s">
        <v>12616</v>
      </c>
      <c r="K6455" s="1" t="str">
        <f t="shared" si="412"/>
        <v>ㄏ</v>
      </c>
      <c r="L6455" s="1" t="str">
        <f t="shared" si="413"/>
        <v>ㄨ</v>
      </c>
      <c r="M6455" s="1" t="str">
        <f t="shared" si="411"/>
        <v>ㄣ</v>
      </c>
      <c r="P6455" s="1" t="s">
        <v>20</v>
      </c>
      <c r="R6455" s="1" t="s">
        <v>12617</v>
      </c>
      <c r="V6455" s="1" t="s">
        <v>12618</v>
      </c>
      <c r="W6455" s="1" t="s">
        <v>12619</v>
      </c>
      <c r="AR6455" s="1" t="str">
        <f t="shared" si="414"/>
        <v>| [ㄏㄨㄣˊ](ㄏㄨㄣˊ.md) | [混](混.md) |  | hún | (一)[形]2.之又音。 |</v>
      </c>
    </row>
    <row r="6456" spans="1:44" hidden="1">
      <c r="A6456" s="1" t="s">
        <v>12620</v>
      </c>
      <c r="C6456" s="1">
        <v>1</v>
      </c>
      <c r="D6456" s="1" t="str">
        <f>"05205"</f>
        <v>05205</v>
      </c>
      <c r="E6456" s="1" t="s">
        <v>193</v>
      </c>
      <c r="F6456" s="1">
        <v>16</v>
      </c>
      <c r="G6456" s="1">
        <v>8</v>
      </c>
      <c r="H6456" s="1">
        <v>0</v>
      </c>
      <c r="I6456" s="1" t="s">
        <v>12616</v>
      </c>
      <c r="K6456" s="1" t="str">
        <f t="shared" si="412"/>
        <v>ㄏ</v>
      </c>
      <c r="L6456" s="1" t="str">
        <f t="shared" si="413"/>
        <v>ㄨ</v>
      </c>
      <c r="M6456" s="1" t="str">
        <f t="shared" si="411"/>
        <v>ㄣ</v>
      </c>
      <c r="P6456" s="1" t="s">
        <v>20</v>
      </c>
      <c r="R6456" s="1" t="s">
        <v>12617</v>
      </c>
      <c r="V6456" s="1" t="s">
        <v>5841</v>
      </c>
      <c r="AR6456" s="1" t="str">
        <f t="shared" si="414"/>
        <v>| [ㄏㄨㄣˊ](ㄏㄨㄣˊ.md) | [餛](餛.md) |  | hún | 參見「餛飩」條。 |</v>
      </c>
    </row>
    <row r="6457" spans="1:44" hidden="1">
      <c r="A6457" s="1" t="s">
        <v>10592</v>
      </c>
      <c r="C6457" s="1">
        <v>1</v>
      </c>
      <c r="D6457" s="1" t="str">
        <f>"05206"</f>
        <v>05206</v>
      </c>
      <c r="E6457" s="1" t="s">
        <v>129</v>
      </c>
      <c r="F6457" s="1">
        <v>12</v>
      </c>
      <c r="G6457" s="1">
        <v>9</v>
      </c>
      <c r="H6457" s="1">
        <v>1</v>
      </c>
      <c r="I6457" s="1" t="s">
        <v>12616</v>
      </c>
      <c r="K6457" s="1" t="str">
        <f t="shared" si="412"/>
        <v>ㄏ</v>
      </c>
      <c r="L6457" s="1" t="str">
        <f t="shared" si="413"/>
        <v>ㄨ</v>
      </c>
      <c r="M6457" s="1" t="str">
        <f t="shared" si="411"/>
        <v>ㄣ</v>
      </c>
      <c r="P6457" s="1" t="s">
        <v>20</v>
      </c>
      <c r="R6457" s="1" t="s">
        <v>12617</v>
      </c>
      <c r="V6457" s="1" t="s">
        <v>12621</v>
      </c>
      <c r="W6457" s="1" t="s">
        <v>12622</v>
      </c>
      <c r="AR6457" s="1" t="str">
        <f t="shared" si="414"/>
        <v>| [ㄏㄨㄣˊ](ㄏㄨㄣˊ.md) | [渾](渾.md) |  | hún | [形]
1.混濁、汙濁。唐．杜甫〈示從孫濟〉詩：「淘米少汲水，汲多井水渾。」宋．陸游〈遊山西村〉詩：「莫笑農家臘酒渾，豐年留客足雞豚。」
2.糊塗。如：「渾頭渾腦」、「渾渾噩噩」。《負曝閑談》第一〇回：「渾小子自有渾主意。」
3.全部、整個。如：「渾身解數」、「渾身發抖」。唐．戎昱〈苦哉行〉五首之四：「身為最小女，偏得渾家憐。」
[副]
完全、簡直。如：「渾然天成」、「渾然忘我」。唐．杜甫〈春望〉詩：「白頭搔更短，渾欲不勝簪。」 |</v>
      </c>
    </row>
    <row r="6458" spans="1:44" hidden="1">
      <c r="A6458" s="1" t="s">
        <v>12623</v>
      </c>
      <c r="C6458" s="1">
        <v>1</v>
      </c>
      <c r="D6458" s="1" t="str">
        <f>"05207"</f>
        <v>05207</v>
      </c>
      <c r="E6458" s="1" t="s">
        <v>142</v>
      </c>
      <c r="F6458" s="1">
        <v>13</v>
      </c>
      <c r="G6458" s="1">
        <v>9</v>
      </c>
      <c r="H6458" s="1">
        <v>0</v>
      </c>
      <c r="I6458" s="1" t="s">
        <v>12616</v>
      </c>
      <c r="K6458" s="1" t="str">
        <f t="shared" si="412"/>
        <v>ㄏ</v>
      </c>
      <c r="L6458" s="1" t="str">
        <f t="shared" si="413"/>
        <v>ㄨ</v>
      </c>
      <c r="M6458" s="1" t="str">
        <f t="shared" si="411"/>
        <v>ㄣ</v>
      </c>
      <c r="P6458" s="1" t="s">
        <v>20</v>
      </c>
      <c r="R6458" s="1" t="s">
        <v>12617</v>
      </c>
      <c r="V6458" s="1" t="s">
        <v>12624</v>
      </c>
      <c r="AR6458" s="1" t="str">
        <f t="shared" si="414"/>
        <v>| [ㄏㄨㄣˊ](ㄏㄨㄣˊ.md) | [琿](琿.md) |  | hún | [名]
一種美麗的玉石。《集韻．平聲．魂韻》：「琿，美玉。」 |</v>
      </c>
    </row>
    <row r="6459" spans="1:44" hidden="1">
      <c r="A6459" s="1" t="s">
        <v>12625</v>
      </c>
      <c r="C6459" s="1">
        <v>1</v>
      </c>
      <c r="D6459" s="1" t="str">
        <f>"05208"</f>
        <v>05208</v>
      </c>
      <c r="E6459" s="1" t="s">
        <v>139</v>
      </c>
      <c r="F6459" s="1">
        <v>13</v>
      </c>
      <c r="G6459" s="1">
        <v>9</v>
      </c>
      <c r="H6459" s="1">
        <v>0</v>
      </c>
      <c r="I6459" s="1" t="s">
        <v>12616</v>
      </c>
      <c r="K6459" s="1" t="str">
        <f t="shared" si="412"/>
        <v>ㄏ</v>
      </c>
      <c r="L6459" s="1" t="str">
        <f t="shared" si="413"/>
        <v>ㄨ</v>
      </c>
      <c r="M6459" s="1" t="str">
        <f t="shared" si="411"/>
        <v>ㄣ</v>
      </c>
      <c r="P6459" s="1" t="s">
        <v>20</v>
      </c>
      <c r="R6459" s="1" t="s">
        <v>12617</v>
      </c>
      <c r="V6459" s="1" t="s">
        <v>12626</v>
      </c>
      <c r="AR6459" s="1" t="str">
        <f t="shared" si="414"/>
        <v>| [ㄏㄨㄣˊ](ㄏㄨㄣˊ.md) | [楎](楎.md) |  | hún | [名]
懸掛衣服的架子。《禮記．內則》：「男女不同椸枷，不敢縣於夫之楎椸。」 |</v>
      </c>
    </row>
    <row r="6460" spans="1:44" hidden="1">
      <c r="A6460" s="1" t="s">
        <v>12627</v>
      </c>
      <c r="C6460" s="1">
        <v>1</v>
      </c>
      <c r="D6460" s="1" t="str">
        <f>"05209"</f>
        <v>05209</v>
      </c>
      <c r="E6460" s="1" t="s">
        <v>86</v>
      </c>
      <c r="F6460" s="1">
        <v>22</v>
      </c>
      <c r="G6460" s="1">
        <v>9</v>
      </c>
      <c r="H6460" s="1">
        <v>0</v>
      </c>
      <c r="I6460" s="1" t="s">
        <v>12616</v>
      </c>
      <c r="K6460" s="1" t="str">
        <f t="shared" si="412"/>
        <v>ㄏ</v>
      </c>
      <c r="L6460" s="1" t="str">
        <f t="shared" si="413"/>
        <v>ㄨ</v>
      </c>
      <c r="M6460" s="1" t="str">
        <f t="shared" si="411"/>
        <v>ㄣ</v>
      </c>
      <c r="P6460" s="1" t="s">
        <v>20</v>
      </c>
      <c r="R6460" s="1" t="s">
        <v>12617</v>
      </c>
      <c r="V6460" s="1" t="s">
        <v>12628</v>
      </c>
      <c r="AR6460" s="1" t="str">
        <f t="shared" si="414"/>
        <v>| [ㄏㄨㄣˊ](ㄏㄨㄣˊ.md) | [鼲](鼲.md) |  | hún | 參見「鼲鼠」條。 |</v>
      </c>
    </row>
    <row r="6461" spans="1:44" hidden="1">
      <c r="A6461" s="1" t="s">
        <v>12629</v>
      </c>
      <c r="C6461" s="1">
        <v>1</v>
      </c>
      <c r="D6461" s="1" t="str">
        <f>"05210"</f>
        <v>05210</v>
      </c>
      <c r="E6461" s="1" t="s">
        <v>83</v>
      </c>
      <c r="F6461" s="1">
        <v>14</v>
      </c>
      <c r="G6461" s="1">
        <v>4</v>
      </c>
      <c r="H6461" s="1">
        <v>0</v>
      </c>
      <c r="I6461" s="1" t="s">
        <v>12616</v>
      </c>
      <c r="K6461" s="1" t="str">
        <f t="shared" si="412"/>
        <v>ㄏ</v>
      </c>
      <c r="L6461" s="1" t="str">
        <f t="shared" si="413"/>
        <v>ㄨ</v>
      </c>
      <c r="M6461" s="1" t="str">
        <f t="shared" si="411"/>
        <v>ㄣ</v>
      </c>
      <c r="P6461" s="1" t="s">
        <v>20</v>
      </c>
      <c r="R6461" s="1" t="s">
        <v>12617</v>
      </c>
      <c r="V6461" s="1" t="s">
        <v>12630</v>
      </c>
      <c r="AR6461" s="1" t="str">
        <f t="shared" si="414"/>
        <v>| [ㄏㄨㄣˊ](ㄏㄨㄣˊ.md) | [魂](魂.md) |  | hún | [名]
1.人的精氣。如：「靈魂」、「三魂七魄」、「借屍還魂」。《樂府詩集．卷七三．雜曲歌辭十三．古辭．焦仲卿妻》：「我命絕今日，魂去尸長留。」《西遊記》第一二回：「是我太宗皇帝死去三日，還魂復生。」
2.泛指各種事物的精神。如：「國魂」。唐．溫庭筠〈春江花月夜詞〉：「千里涵空澄水魂，萬枝破鼻飄香雪。」宋．蘇軾〈再用松風亭下梅花盛開韻〉：「羅浮山下梅花村，玉雪為骨冰為魂。」
3.人的神志、意念。如：「神魂顛倒」、「黯然魂銷」。唐．許敬宗〈謝勑書表〉：「引領天庭，望丹霄而結戀；馳魂魏闕，懼黃落而長違。」 |</v>
      </c>
    </row>
    <row r="6462" spans="1:44" hidden="1">
      <c r="A6462" s="1" t="s">
        <v>10579</v>
      </c>
      <c r="C6462" s="1">
        <v>1</v>
      </c>
      <c r="D6462" s="1" t="str">
        <f>"05211"</f>
        <v>05211</v>
      </c>
      <c r="E6462" s="1" t="s">
        <v>129</v>
      </c>
      <c r="F6462" s="1">
        <v>11</v>
      </c>
      <c r="G6462" s="1">
        <v>8</v>
      </c>
      <c r="H6462" s="1">
        <v>5</v>
      </c>
      <c r="I6462" s="1" t="s">
        <v>12631</v>
      </c>
      <c r="K6462" s="1" t="str">
        <f t="shared" si="412"/>
        <v>ㄏ</v>
      </c>
      <c r="L6462" s="1" t="str">
        <f t="shared" si="413"/>
        <v>ㄨ</v>
      </c>
      <c r="M6462" s="1" t="str">
        <f t="shared" si="411"/>
        <v>ㄣ</v>
      </c>
      <c r="P6462" s="1" t="s">
        <v>110</v>
      </c>
      <c r="R6462" s="1" t="s">
        <v>12632</v>
      </c>
      <c r="V6462" s="1" t="s">
        <v>111</v>
      </c>
      <c r="W6462" s="1" t="s">
        <v>12633</v>
      </c>
      <c r="AR6462" s="1" t="str">
        <f t="shared" si="414"/>
        <v>| [ㄏㄨㄣˇ](ㄏㄨㄣˇ.md) | [混](混.md) |  | hǔn | (一)之又音。 |</v>
      </c>
    </row>
    <row r="6463" spans="1:44" hidden="1">
      <c r="A6463" s="1" t="s">
        <v>12583</v>
      </c>
      <c r="C6463" s="1">
        <v>1</v>
      </c>
      <c r="D6463" s="1" t="str">
        <f>"05212"</f>
        <v>05212</v>
      </c>
      <c r="E6463" s="1" t="s">
        <v>2557</v>
      </c>
      <c r="F6463" s="1">
        <v>10</v>
      </c>
      <c r="G6463" s="1">
        <v>7</v>
      </c>
      <c r="H6463" s="1">
        <v>1</v>
      </c>
      <c r="I6463" s="1" t="s">
        <v>12634</v>
      </c>
      <c r="K6463" s="1" t="str">
        <f t="shared" si="412"/>
        <v>ㄏ</v>
      </c>
      <c r="L6463" s="1" t="str">
        <f t="shared" si="413"/>
        <v>ㄨ</v>
      </c>
      <c r="M6463" s="1" t="str">
        <f t="shared" ref="M6463:M6526" si="415">MID(I6463, 3, 1)</f>
        <v>ㄣ</v>
      </c>
      <c r="P6463" s="1" t="s">
        <v>20</v>
      </c>
      <c r="R6463" s="1" t="s">
        <v>12635</v>
      </c>
      <c r="V6463" s="1" t="s">
        <v>12636</v>
      </c>
      <c r="W6463" s="1" t="s">
        <v>12637</v>
      </c>
      <c r="AR6463" s="1" t="str">
        <f t="shared" si="414"/>
        <v>| [ㄏㄨㄣˋ](ㄏㄨㄣˋ.md) | [圂](圂.md) |  | hùn | [名]
1.豬圈。《玉篇．囗部》：「圂，豕所居也。」《漢書．卷二七．五行志中之下》：「豕出圂，壞都灶，銜其鬴六七枚置殿前。」
2.廁所。清．王念孫《廣雅疏證．卷七上．釋宮》：「圂，廁也。」 |</v>
      </c>
    </row>
    <row r="6464" spans="1:44" hidden="1">
      <c r="A6464" s="1" t="s">
        <v>12638</v>
      </c>
      <c r="C6464" s="1">
        <v>1</v>
      </c>
      <c r="D6464" s="1" t="str">
        <f>"05213"</f>
        <v>05213</v>
      </c>
      <c r="E6464" s="1" t="s">
        <v>129</v>
      </c>
      <c r="F6464" s="1">
        <v>13</v>
      </c>
      <c r="G6464" s="1">
        <v>10</v>
      </c>
      <c r="H6464" s="1">
        <v>0</v>
      </c>
      <c r="I6464" s="1" t="s">
        <v>12634</v>
      </c>
      <c r="K6464" s="1" t="str">
        <f t="shared" si="412"/>
        <v>ㄏ</v>
      </c>
      <c r="L6464" s="1" t="str">
        <f t="shared" si="413"/>
        <v>ㄨ</v>
      </c>
      <c r="M6464" s="1" t="str">
        <f t="shared" si="415"/>
        <v>ㄣ</v>
      </c>
      <c r="P6464" s="1" t="s">
        <v>20</v>
      </c>
      <c r="R6464" s="1" t="s">
        <v>12635</v>
      </c>
      <c r="V6464" s="1" t="s">
        <v>12639</v>
      </c>
      <c r="AR6464" s="1" t="str">
        <f t="shared" si="414"/>
        <v>| [ㄏㄨㄣˋ](ㄏㄨㄣˋ.md) | [溷](溷.md) |  | hùn | [形]
混亂。《楚辭．屈原．離騷》：「世溷濁而不分兮，好蔽美而嫉妒。」
[動]
打擾。《漢書．卷四三．陸賈傳》：「一歲中以往來過它客，率不過再過，數擊鮮，毋久溷女為也。」《聊齋志異．卷二．巧娘》：「是我之客，不可久溷他人。」
[名]
1.廁所。《後漢書．卷六七．黨錮傳．李膺傳》：「時宛陵大姓羊元群罷北海郡，臧罪，郡舍溷軒有奇巧，乃載之以歸。」《聊齋志異．卷一．靈官》：「靈官追逐甚急。至黃河上，瀕將及矣，大窘無計，竄伏溷中。」
2.豬圈。漢．王充《論衡．吉驗》：「北夷橐離國王，侍婢有娠，王欲殺之。……後產子，捐於豬溷中，豬以口氣噓之不死。」 |</v>
      </c>
    </row>
    <row r="6465" spans="1:44" hidden="1">
      <c r="A6465" s="1" t="s">
        <v>12640</v>
      </c>
      <c r="C6465" s="1">
        <v>1</v>
      </c>
      <c r="D6465" s="1" t="str">
        <f>"05214"</f>
        <v>05214</v>
      </c>
      <c r="E6465" s="1" t="s">
        <v>250</v>
      </c>
      <c r="F6465" s="1">
        <v>14</v>
      </c>
      <c r="G6465" s="1">
        <v>10</v>
      </c>
      <c r="H6465" s="1">
        <v>0</v>
      </c>
      <c r="I6465" s="1" t="s">
        <v>12634</v>
      </c>
      <c r="K6465" s="1" t="str">
        <f t="shared" ref="K6465:K6528" si="416">LEFT(I6465, 1)</f>
        <v>ㄏ</v>
      </c>
      <c r="L6465" s="1" t="str">
        <f t="shared" ref="L6465:L6528" si="417">MID(I6465, 2, 1)</f>
        <v>ㄨ</v>
      </c>
      <c r="M6465" s="1" t="str">
        <f t="shared" si="415"/>
        <v>ㄣ</v>
      </c>
      <c r="P6465" s="1" t="s">
        <v>20</v>
      </c>
      <c r="R6465" s="1" t="s">
        <v>12635</v>
      </c>
      <c r="V6465" s="1" t="s">
        <v>12641</v>
      </c>
      <c r="AR6465" s="1" t="str">
        <f t="shared" si="414"/>
        <v>| [ㄏㄨㄣˋ](ㄏㄨㄣˋ.md) | [慁](慁.md) |  | hùn | [動]
1.憂慮。《左傳．昭公六年》：「舍不為暴，主不慁賓。」
2.擾亂。《史記．卷七九．范雎蔡澤傳》：「先生乃幸辱至於此，是天以寡人慁先生，而存先王之宗廟也。」
3.汙辱。《禮記．儒行》：「不慁君王，不累長上。」
[形]
雜亂。南朝梁．劉勰《文心雕龍．議對》：「仲舒之對，祖述春秋，本陰陽之化，究列代之變，煩而不慁者，事理明也。」唐．劉禹錫〈管城新譯記〉：「蘧廬有甲乙，床帳有冬夏，庭容牙節，廡臥囊橐，示禮而不慁也。」 |</v>
      </c>
    </row>
    <row r="6466" spans="1:44" hidden="1">
      <c r="A6466" s="1" t="s">
        <v>10579</v>
      </c>
      <c r="C6466" s="1">
        <v>1</v>
      </c>
      <c r="D6466" s="1" t="str">
        <f>"05215"</f>
        <v>05215</v>
      </c>
      <c r="E6466" s="1" t="s">
        <v>129</v>
      </c>
      <c r="F6466" s="1">
        <v>11</v>
      </c>
      <c r="G6466" s="1">
        <v>8</v>
      </c>
      <c r="H6466" s="1">
        <v>1</v>
      </c>
      <c r="I6466" s="1" t="s">
        <v>12634</v>
      </c>
      <c r="K6466" s="1" t="str">
        <f t="shared" si="416"/>
        <v>ㄏ</v>
      </c>
      <c r="L6466" s="1" t="str">
        <f t="shared" si="417"/>
        <v>ㄨ</v>
      </c>
      <c r="M6466" s="1" t="str">
        <f t="shared" si="415"/>
        <v>ㄣ</v>
      </c>
      <c r="P6466" s="1" t="s">
        <v>20</v>
      </c>
      <c r="R6466" s="1" t="s">
        <v>12635</v>
      </c>
      <c r="V6466" s="1" t="s">
        <v>12642</v>
      </c>
      <c r="W6466" s="1" t="s">
        <v>12643</v>
      </c>
      <c r="AR6466" s="1" t="str">
        <f t="shared" si="414"/>
        <v>| [ㄏㄨㄣˋ](ㄏㄨㄣˋ.md) | [混](混.md) |  | hùn | [形]_x000D_
1.水勢盛大。漢．司馬相如〈上林賦〉：「汩乎混流，順阿而下。」北魏．酈道元《水經注．漸江水》：「其水分納眾流，混波東逝。」_x000D_
2.汙濁不清。《史記．卷八四．屈原賈生列傳．屈原》：「舉世混濁而我獨清，眾人皆醉而我獨醒。」《文選．卷四八．符命．班固．典引》：「五德初始，同於草昧玄混之中。」唐．李善．注：「混猶溷濁。」_x000D_
[動]_x000D_
1.摻合。如：「混為一談」。漢．班固〈幽通賦〉：「道混成而自然兮，術同原而分流。」《紅樓夢》第九回：「人多了，就有龍蛇混雜，下流人物在內。」_x000D_
2.欺騙、冒充。《紅樓夢》第四七回：「姨太太的牌也生，咱們一處坐著，別叫鳳姐兒混了我們去。」《花月痕》第一七回：「他道你是魚目混珠，你該罰他一鍾酒！」_x000D_
3.苟且度日。如：「鬼混」、「混日子」。元．無名氏《小尉遲》第二折：「本來不醉佯妝醉，則在營裡胡廝混。」《儒林外史》第一二回：「思量房裡沒有別人，只是楊執中的蠢兒子在那裡混。」_x000D_
4.鬧、擾亂。元．鄭光祖《倩女離魂》第一折：「他是掣風濤混海鯨鰲。」《殘唐五代史演義傳．卷一．赤牆村黃巢出身》：「目下起兵混唐，在藏梅寺起手，開刀先殺一僧。」《樂毅圖齊七國春秋後集》卷中：「自燕兵混散齊兵，臣領五百軍在山林之間屯駐，不能安業。」_x000D_
[副]_x000D_
胡亂。如：「混說」、「混搞」。《儒林外史》第一五回：「尋了錢又混用掉了，而今落得這一個收場。」《紅樓夢》第三四回：「薛大哥哥從來不這樣的，你們別混猜度。」 |</v>
      </c>
    </row>
    <row r="6467" spans="1:44" hidden="1">
      <c r="A6467" s="1" t="s">
        <v>10592</v>
      </c>
      <c r="C6467" s="1">
        <v>1</v>
      </c>
      <c r="D6467" s="1" t="str">
        <f>"05216"</f>
        <v>05216</v>
      </c>
      <c r="E6467" s="1" t="s">
        <v>129</v>
      </c>
      <c r="F6467" s="1">
        <v>12</v>
      </c>
      <c r="G6467" s="1">
        <v>9</v>
      </c>
      <c r="H6467" s="1">
        <v>2</v>
      </c>
      <c r="I6467" s="1" t="s">
        <v>12634</v>
      </c>
      <c r="K6467" s="1" t="str">
        <f t="shared" si="416"/>
        <v>ㄏ</v>
      </c>
      <c r="L6467" s="1" t="str">
        <f t="shared" si="417"/>
        <v>ㄨ</v>
      </c>
      <c r="M6467" s="1" t="str">
        <f t="shared" si="415"/>
        <v>ㄣ</v>
      </c>
      <c r="P6467" s="1" t="s">
        <v>20</v>
      </c>
      <c r="R6467" s="1" t="s">
        <v>12635</v>
      </c>
      <c r="V6467" s="1" t="s">
        <v>12644</v>
      </c>
      <c r="W6467" s="1" t="s">
        <v>12645</v>
      </c>
      <c r="AR6467" s="1" t="str">
        <f t="shared" ref="AR6467:AR6530" si="418">"| ["&amp;I6467&amp;"]("&amp;I6467&amp;".md) | ["&amp;A6467&amp;"]("&amp;A6467&amp;".md) | "&amp;" | "&amp;R6467&amp;" | "&amp;V6467&amp;" |"</f>
        <v>| [ㄏㄨㄣˋ](ㄏㄨㄣˋ.md) | [渾](渾.md) |  | hùn | [動]
混雜。《漢書．卷三六．楚元王劉交傳》：「今賢不肖渾殽，白黑不分，邪正雜糅，忠讒並進。」
[形]
大。《文選．班固．幽通賦》：「渾元運物，流不處兮。」唐．秦韜玉〈紫騮馬〉詩：「臕大宜懸銀壓胯，力渾欺卻玉銜頭。」 |</v>
      </c>
    </row>
    <row r="6468" spans="1:44" hidden="1">
      <c r="A6468" s="1" t="s">
        <v>12646</v>
      </c>
      <c r="C6468" s="1">
        <v>1</v>
      </c>
      <c r="D6468" s="1" t="str">
        <f>"05217"</f>
        <v>05217</v>
      </c>
      <c r="E6468" s="1" t="s">
        <v>331</v>
      </c>
      <c r="F6468" s="1">
        <v>16</v>
      </c>
      <c r="G6468" s="1">
        <v>9</v>
      </c>
      <c r="H6468" s="1">
        <v>0</v>
      </c>
      <c r="I6468" s="1" t="s">
        <v>12634</v>
      </c>
      <c r="K6468" s="1" t="str">
        <f t="shared" si="416"/>
        <v>ㄏ</v>
      </c>
      <c r="L6468" s="1" t="str">
        <f t="shared" si="417"/>
        <v>ㄨ</v>
      </c>
      <c r="M6468" s="1" t="str">
        <f t="shared" si="415"/>
        <v>ㄣ</v>
      </c>
      <c r="P6468" s="1" t="s">
        <v>20</v>
      </c>
      <c r="R6468" s="1" t="s">
        <v>12635</v>
      </c>
      <c r="V6468" s="1" t="s">
        <v>12647</v>
      </c>
      <c r="AR6468" s="1" t="str">
        <f t="shared" si="418"/>
        <v>| [ㄏㄨㄣˋ](ㄏㄨㄣˋ.md) | [諢](諢.md) |  | hùn | [名]_x000D_
戲謔、逗趣的言辭。如：「插科打諢」。《紅樓夢》第二二回：「亦知賈母喜熱鬧，更喜謔笑科諢，便點了一齣《劉二當衣》。」 |</v>
      </c>
    </row>
    <row r="6469" spans="1:44" hidden="1">
      <c r="A6469" s="1" t="s">
        <v>12648</v>
      </c>
      <c r="C6469" s="1">
        <v>1</v>
      </c>
      <c r="D6469" s="1" t="str">
        <f>"05218"</f>
        <v>05218</v>
      </c>
      <c r="E6469" s="1" t="s">
        <v>68</v>
      </c>
      <c r="F6469" s="1">
        <v>7</v>
      </c>
      <c r="G6469" s="1">
        <v>3</v>
      </c>
      <c r="H6469" s="1">
        <v>0</v>
      </c>
      <c r="I6469" s="1" t="s">
        <v>12649</v>
      </c>
      <c r="K6469" s="1" t="str">
        <f t="shared" si="416"/>
        <v>ㄏ</v>
      </c>
      <c r="L6469" s="1" t="str">
        <f t="shared" si="417"/>
        <v>ㄨ</v>
      </c>
      <c r="M6469" s="1" t="str">
        <f t="shared" si="415"/>
        <v>ㄤ</v>
      </c>
      <c r="P6469" s="1" t="s">
        <v>20</v>
      </c>
      <c r="R6469" s="1" t="s">
        <v>12650</v>
      </c>
      <c r="V6469" s="1" t="s">
        <v>12651</v>
      </c>
      <c r="AR6469" s="1" t="str">
        <f t="shared" si="418"/>
        <v>| [ㄏㄨㄤ](ㄏㄨㄤ.md) | [肓](肓.md) |  | huāng | [名]
人體心臟下、橫膈膜上的部位，古代認為是藥力無法到達的地方。如：「病入膏肓」。《左傳．成公十年》：「疾不可為也，在肓之上，膏之下。」《晉書．卷五六．孫楚傳》：「夫療膏肓之疾者，必進苦口之藥。」 |</v>
      </c>
    </row>
    <row r="6470" spans="1:44" hidden="1">
      <c r="A6470" s="1" t="s">
        <v>12652</v>
      </c>
      <c r="C6470" s="1">
        <v>1</v>
      </c>
      <c r="D6470" s="1" t="str">
        <f>"05219"</f>
        <v>05219</v>
      </c>
      <c r="E6470" s="1" t="s">
        <v>1681</v>
      </c>
      <c r="F6470" s="1">
        <v>9</v>
      </c>
      <c r="G6470" s="1">
        <v>3</v>
      </c>
      <c r="H6470" s="1">
        <v>0</v>
      </c>
      <c r="I6470" s="1" t="s">
        <v>12649</v>
      </c>
      <c r="K6470" s="1" t="str">
        <f t="shared" si="416"/>
        <v>ㄏ</v>
      </c>
      <c r="L6470" s="1" t="str">
        <f t="shared" si="417"/>
        <v>ㄨ</v>
      </c>
      <c r="M6470" s="1" t="str">
        <f t="shared" si="415"/>
        <v>ㄤ</v>
      </c>
      <c r="P6470" s="1" t="s">
        <v>20</v>
      </c>
      <c r="R6470" s="1" t="s">
        <v>12650</v>
      </c>
      <c r="V6470" s="1" t="s">
        <v>12653</v>
      </c>
      <c r="AR6470" s="1" t="str">
        <f t="shared" si="418"/>
        <v>| [ㄏㄨㄤ](ㄏㄨㄤ.md) | [衁](衁.md) |  | huāng | [名]
血液。《說文解字．血部》：「衁，血也。」《左傳．僖公十五年》：「士刲羊，亦無衁也。」 |</v>
      </c>
    </row>
    <row r="6471" spans="1:44" hidden="1">
      <c r="A6471" s="1" t="s">
        <v>12654</v>
      </c>
      <c r="C6471" s="1">
        <v>1</v>
      </c>
      <c r="D6471" s="1" t="str">
        <f>"05220"</f>
        <v>05220</v>
      </c>
      <c r="E6471" s="1" t="s">
        <v>37</v>
      </c>
      <c r="F6471" s="1">
        <v>10</v>
      </c>
      <c r="G6471" s="1">
        <v>6</v>
      </c>
      <c r="H6471" s="1">
        <v>0</v>
      </c>
      <c r="I6471" s="1" t="s">
        <v>12649</v>
      </c>
      <c r="K6471" s="1" t="str">
        <f t="shared" si="416"/>
        <v>ㄏ</v>
      </c>
      <c r="L6471" s="1" t="str">
        <f t="shared" si="417"/>
        <v>ㄨ</v>
      </c>
      <c r="M6471" s="1" t="str">
        <f t="shared" si="415"/>
        <v>ㄤ</v>
      </c>
      <c r="P6471" s="1" t="s">
        <v>20</v>
      </c>
      <c r="R6471" s="1" t="s">
        <v>12650</v>
      </c>
      <c r="V6471" s="1" t="s">
        <v>12655</v>
      </c>
      <c r="AR6471" s="1" t="str">
        <f t="shared" si="418"/>
        <v>| [ㄏㄨㄤ](ㄏㄨㄤ.md) | [荒](荒.md) |  | huāng | [動]
1.廢棄。《說文解字．艸部》：「荒，蕪也。」如：「荒廢」、「荒蕪」。漢．桓寬《鹽鐵論．本議》：「國有沃野之饒而民不足於食者，工商盛而本業荒也。」唐．韓愈〈進學解〉：「業精於勤荒於嬉；行成於思毀於隨。」
2.沉溺。如：「荒淫」。《金史．卷七〇．撒改傳》：「遼主荒于遊畋，政事怠廢。」
3.擴大。《詩經．周頌．天作》：「天作高山，大王荒之。」《列子．楊朱》：「禹纂業事讎，惟荒土功。」
4.驚慌、忙亂。通「慌」。唐．盧藏用〈陳子昂別傳〉：「（段簡）將欲害之，子昂荒懼，使家人納錢二十萬。」《劉知遠諸宮調．第二》：「知遠聽得道，好驚荒，別了三翁，急出祠堂。」
[名]
1.還未開墾的田地。如：「墾荒」。晉．陶淵明〈歸園田居〉詩五首之一：「開荒南野際，守拙歸園田。」《晉書．卷九〇．良吏傳．王宏傳》：「督勸開荒五千餘頃，而熟田常課頃畝不減。」
2.邊遠的地方。如：「八荒九垓」。《楚辭．屈原．離騷》：「忽反顧以遊目兮，將往觀乎四荒。」《三國演義》第九一回：「我奉王命，問罪遐荒。」
3.凶年，農作物歉收的日子。如：「救荒」、「逃荒」、「飢荒」。清．魏源〈吳農備荒議上〉：「救荒不如備荒，備荒莫如急農時。」
4.事物嚴重缺乏的情況。如：「水荒」、「屋荒」、「師資荒」。
5.破爛廢棄的物品。如：「收荒」、「拾荒」。
[形]
1.空曠冷清、偏僻。如：「荒涼」、「荒郊野外」。唐．吳融〈野廟〉詩：「古原荒廟揜莓苔，何處喧喧鼓笛來。」
2.不合情理的、不實在的。如：「荒誕」、「荒謬」、「荒唐」。《紅樓夢》第一〇〇回：「前兩天還聽見一個荒信，說是南邊的公當鋪也因為折了本兒收了。」 |</v>
      </c>
    </row>
    <row r="6472" spans="1:44" hidden="1">
      <c r="A6472" s="1" t="s">
        <v>12656</v>
      </c>
      <c r="C6472" s="1">
        <v>1</v>
      </c>
      <c r="D6472" s="1" t="str">
        <f>"05221"</f>
        <v>05221</v>
      </c>
      <c r="E6472" s="1" t="s">
        <v>250</v>
      </c>
      <c r="F6472" s="1">
        <v>13</v>
      </c>
      <c r="G6472" s="1">
        <v>10</v>
      </c>
      <c r="H6472" s="1">
        <v>1</v>
      </c>
      <c r="I6472" s="1" t="s">
        <v>12649</v>
      </c>
      <c r="K6472" s="1" t="str">
        <f t="shared" si="416"/>
        <v>ㄏ</v>
      </c>
      <c r="L6472" s="1" t="str">
        <f t="shared" si="417"/>
        <v>ㄨ</v>
      </c>
      <c r="M6472" s="1" t="str">
        <f t="shared" si="415"/>
        <v>ㄤ</v>
      </c>
      <c r="P6472" s="1" t="s">
        <v>20</v>
      </c>
      <c r="R6472" s="1" t="s">
        <v>12650</v>
      </c>
      <c r="V6472" s="1" t="s">
        <v>12657</v>
      </c>
      <c r="W6472" s="1" t="s">
        <v>12658</v>
      </c>
      <c r="AR6472" s="1" t="str">
        <f t="shared" si="418"/>
        <v>| [ㄏㄨㄤ](ㄏㄨㄤ.md) | [慌](慌.md) |  | huāng | [動]
1.恐懼。如：「恐慌」、「驚慌」。《水滸傳》第一六回：「先生休慌，且請相見。」
2.因急促而忙亂。《儒林外史》第三回：「周進……就撞死在地下，眾人多慌了！」
[形]
急躁。如：「慌忙」、「他做事總這麼慌，今天早晨又打破了一個碗。」 |</v>
      </c>
    </row>
    <row r="6473" spans="1:44" hidden="1">
      <c r="A6473" s="1" t="s">
        <v>12659</v>
      </c>
      <c r="C6473" s="1">
        <v>1</v>
      </c>
      <c r="D6473" s="1" t="str">
        <f>"05222"</f>
        <v>05222</v>
      </c>
      <c r="E6473" s="1" t="s">
        <v>205</v>
      </c>
      <c r="F6473" s="1">
        <v>9</v>
      </c>
      <c r="G6473" s="1">
        <v>4</v>
      </c>
      <c r="H6473" s="1">
        <v>0</v>
      </c>
      <c r="I6473" s="1" t="s">
        <v>12660</v>
      </c>
      <c r="K6473" s="1" t="str">
        <f t="shared" si="416"/>
        <v>ㄏ</v>
      </c>
      <c r="L6473" s="1" t="str">
        <f t="shared" si="417"/>
        <v>ㄨ</v>
      </c>
      <c r="M6473" s="1" t="str">
        <f t="shared" si="415"/>
        <v>ㄤ</v>
      </c>
      <c r="P6473" s="1" t="s">
        <v>20</v>
      </c>
      <c r="R6473" s="1" t="s">
        <v>12661</v>
      </c>
      <c r="V6473" s="1" t="s">
        <v>12662</v>
      </c>
      <c r="AR6473" s="1" t="str">
        <f t="shared" si="418"/>
        <v>| [ㄏㄨㄤˊ](ㄏㄨㄤˊ.md) | [皇](皇.md) |  | huáng | [形]
1.大、偉大。如：「冠冕堂皇」。《詩經．大雅．皇矣》：「皇矣上帝，臨下有赫。」唐．柳宗元〈天對〉：「皇熙亹亹，胡棟胡宇！」
2.莊盛、輝煌。《詩經．小雅．采芑》：「服其命服，朱芾斯皇。」《儀禮．聘禮》：「賓入門皇，升堂讓，將授志趨。」
3.美。《詩經．大雅．文王》：「思皇多士，生此王國。」《後漢書．卷八〇．文苑傳上．傅毅傳》：「武丁興商，伊宗皇士。」
4.有關君主的。如：「皇宮」、「皇恩」、「皇位」。《楚辭．屈原．離騷》：「豈余身之憚殃兮，恐皇輿之敗績。」《文選．班固．東都賦》：「夫大漢之開元也，奮布衣以登皇位。」
[名]
1.天。《楚辭．屈原．離騷》：「陟陞皇之赦戲兮，忽臨睨夫舊鄉。」漢．王逸．注：「皇，皇天也。」《後漢書．卷五二．崔駰傳》：「皇再命而紹卹兮，乃云眷乎建武。」唐．章懷太子．注：「皇，天也。」
2.君主。如：「三皇五帝」、「女皇」。
3.姓。如春秋時鄭國有皇頡。
[動]
匡正。《詩經．豳風．播斧》：「周公東征，四國是皇。」 |</v>
      </c>
    </row>
    <row r="6474" spans="1:44" hidden="1">
      <c r="A6474" s="1" t="s">
        <v>12663</v>
      </c>
      <c r="C6474" s="1">
        <v>1</v>
      </c>
      <c r="D6474" s="1" t="str">
        <f>"05223"</f>
        <v>05223</v>
      </c>
      <c r="E6474" s="1" t="s">
        <v>114</v>
      </c>
      <c r="F6474" s="1">
        <v>11</v>
      </c>
      <c r="G6474" s="1">
        <v>9</v>
      </c>
      <c r="H6474" s="1">
        <v>0</v>
      </c>
      <c r="I6474" s="1" t="s">
        <v>12660</v>
      </c>
      <c r="K6474" s="1" t="str">
        <f t="shared" si="416"/>
        <v>ㄏ</v>
      </c>
      <c r="L6474" s="1" t="str">
        <f t="shared" si="417"/>
        <v>ㄨ</v>
      </c>
      <c r="M6474" s="1" t="str">
        <f t="shared" si="415"/>
        <v>ㄤ</v>
      </c>
      <c r="P6474" s="1" t="s">
        <v>20</v>
      </c>
      <c r="R6474" s="1" t="s">
        <v>12661</v>
      </c>
      <c r="V6474" s="1" t="s">
        <v>12664</v>
      </c>
      <c r="AR6474" s="1" t="str">
        <f t="shared" si="418"/>
        <v>| [ㄏㄨㄤˊ](ㄏㄨㄤˊ.md) | [偟](偟.md) |  | huáng | [名]
閒暇。《爾雅．釋言》：「偟，暇也。」宋．邢昺．疏：「謂閒暇。」 |</v>
      </c>
    </row>
    <row r="6475" spans="1:44" hidden="1">
      <c r="A6475" s="1" t="s">
        <v>12665</v>
      </c>
      <c r="C6475" s="1">
        <v>1</v>
      </c>
      <c r="D6475" s="1" t="str">
        <f>"05224"</f>
        <v>05224</v>
      </c>
      <c r="E6475" s="1" t="s">
        <v>5107</v>
      </c>
      <c r="F6475" s="1">
        <v>11</v>
      </c>
      <c r="G6475" s="1">
        <v>9</v>
      </c>
      <c r="H6475" s="1">
        <v>0</v>
      </c>
      <c r="I6475" s="1" t="s">
        <v>12660</v>
      </c>
      <c r="K6475" s="1" t="str">
        <f t="shared" si="416"/>
        <v>ㄏ</v>
      </c>
      <c r="L6475" s="1" t="str">
        <f t="shared" si="417"/>
        <v>ㄨ</v>
      </c>
      <c r="M6475" s="1" t="str">
        <f t="shared" si="415"/>
        <v>ㄤ</v>
      </c>
      <c r="P6475" s="1" t="s">
        <v>20</v>
      </c>
      <c r="R6475" s="1" t="s">
        <v>12661</v>
      </c>
      <c r="V6475" s="1" t="s">
        <v>12666</v>
      </c>
      <c r="AR6475" s="1" t="str">
        <f t="shared" si="418"/>
        <v>| [ㄏㄨㄤˊ](ㄏㄨㄤˊ.md) | [凰](凰.md) |  | huáng | 參見「鳳凰」條。 |</v>
      </c>
    </row>
    <row r="6476" spans="1:44" hidden="1">
      <c r="A6476" s="1" t="s">
        <v>12667</v>
      </c>
      <c r="C6476" s="1">
        <v>1</v>
      </c>
      <c r="D6476" s="1" t="str">
        <f>"05225"</f>
        <v>05225</v>
      </c>
      <c r="E6476" s="1" t="s">
        <v>129</v>
      </c>
      <c r="F6476" s="1">
        <v>12</v>
      </c>
      <c r="G6476" s="1">
        <v>9</v>
      </c>
      <c r="H6476" s="1">
        <v>0</v>
      </c>
      <c r="I6476" s="1" t="s">
        <v>12660</v>
      </c>
      <c r="K6476" s="1" t="str">
        <f t="shared" si="416"/>
        <v>ㄏ</v>
      </c>
      <c r="L6476" s="1" t="str">
        <f t="shared" si="417"/>
        <v>ㄨ</v>
      </c>
      <c r="M6476" s="1" t="str">
        <f t="shared" si="415"/>
        <v>ㄤ</v>
      </c>
      <c r="P6476" s="1" t="s">
        <v>20</v>
      </c>
      <c r="R6476" s="1" t="s">
        <v>12661</v>
      </c>
      <c r="V6476" s="1" t="s">
        <v>12668</v>
      </c>
      <c r="AR6476" s="1" t="str">
        <f t="shared" si="418"/>
        <v>| [ㄏㄨㄤˊ](ㄏㄨㄤˊ.md) | [湟](湟.md) |  | huáng | [名]
1.河川名。源於大陸地區青海省東北噶爾藏嶺，流入甘肅省會大通河後注入黃河。
2.低溼的地方。宋．孫光憲《北夢瑣言》卷一六：「池湟堅牢，人心獷悍。」 |</v>
      </c>
    </row>
    <row r="6477" spans="1:44" hidden="1">
      <c r="A6477" s="1" t="s">
        <v>12669</v>
      </c>
      <c r="C6477" s="1">
        <v>1</v>
      </c>
      <c r="D6477" s="1" t="str">
        <f>"05226"</f>
        <v>05226</v>
      </c>
      <c r="E6477" s="1" t="s">
        <v>250</v>
      </c>
      <c r="F6477" s="1">
        <v>12</v>
      </c>
      <c r="G6477" s="1">
        <v>9</v>
      </c>
      <c r="H6477" s="1">
        <v>0</v>
      </c>
      <c r="I6477" s="1" t="s">
        <v>12660</v>
      </c>
      <c r="K6477" s="1" t="str">
        <f t="shared" si="416"/>
        <v>ㄏ</v>
      </c>
      <c r="L6477" s="1" t="str">
        <f t="shared" si="417"/>
        <v>ㄨ</v>
      </c>
      <c r="M6477" s="1" t="str">
        <f t="shared" si="415"/>
        <v>ㄤ</v>
      </c>
      <c r="P6477" s="1" t="s">
        <v>20</v>
      </c>
      <c r="R6477" s="1" t="s">
        <v>12661</v>
      </c>
      <c r="V6477" s="1" t="s">
        <v>12670</v>
      </c>
      <c r="AR6477" s="1" t="str">
        <f t="shared" si="418"/>
        <v>| [ㄏㄨㄤˊ](ㄏㄨㄤˊ.md) | [惶](惶.md) |  | huáng | [動]
恐懼、害怕。如：「惶恐」。漢．王符《潛夫論．卜列》：「孟賁狎猛虎而不惶，嬰人畏螻蟻而發聞。」《文選．潘岳．馬汧督誄》：「聖朝西顧，關右震惶。」 |</v>
      </c>
    </row>
    <row r="6478" spans="1:44" hidden="1">
      <c r="A6478" s="1" t="s">
        <v>12671</v>
      </c>
      <c r="C6478" s="1">
        <v>1</v>
      </c>
      <c r="D6478" s="1" t="str">
        <f>"05227"</f>
        <v>05227</v>
      </c>
      <c r="E6478" s="1" t="s">
        <v>28</v>
      </c>
      <c r="F6478" s="1">
        <v>12</v>
      </c>
      <c r="G6478" s="1">
        <v>9</v>
      </c>
      <c r="H6478" s="1">
        <v>0</v>
      </c>
      <c r="I6478" s="1" t="s">
        <v>12660</v>
      </c>
      <c r="K6478" s="1" t="str">
        <f t="shared" si="416"/>
        <v>ㄏ</v>
      </c>
      <c r="L6478" s="1" t="str">
        <f t="shared" si="417"/>
        <v>ㄨ</v>
      </c>
      <c r="M6478" s="1" t="str">
        <f t="shared" si="415"/>
        <v>ㄤ</v>
      </c>
      <c r="P6478" s="1" t="s">
        <v>20</v>
      </c>
      <c r="R6478" s="1" t="s">
        <v>12661</v>
      </c>
      <c r="V6478" s="1" t="s">
        <v>12672</v>
      </c>
      <c r="AR6478" s="1" t="str">
        <f t="shared" si="418"/>
        <v>| [ㄏㄨㄤˊ](ㄏㄨㄤˊ.md) | [喤](喤.md) |  | huáng | 參見「喤喤」條。 |</v>
      </c>
    </row>
    <row r="6479" spans="1:44" hidden="1">
      <c r="A6479" s="1" t="s">
        <v>12673</v>
      </c>
      <c r="C6479" s="1">
        <v>1</v>
      </c>
      <c r="D6479" s="1" t="str">
        <f>"05228"</f>
        <v>05228</v>
      </c>
      <c r="E6479" s="1" t="s">
        <v>234</v>
      </c>
      <c r="F6479" s="1">
        <v>12</v>
      </c>
      <c r="G6479" s="1">
        <v>9</v>
      </c>
      <c r="H6479" s="1">
        <v>0</v>
      </c>
      <c r="I6479" s="1" t="s">
        <v>12660</v>
      </c>
      <c r="K6479" s="1" t="str">
        <f t="shared" si="416"/>
        <v>ㄏ</v>
      </c>
      <c r="L6479" s="1" t="str">
        <f t="shared" si="417"/>
        <v>ㄨ</v>
      </c>
      <c r="M6479" s="1" t="str">
        <f t="shared" si="415"/>
        <v>ㄤ</v>
      </c>
      <c r="P6479" s="1" t="s">
        <v>20</v>
      </c>
      <c r="R6479" s="1" t="s">
        <v>12661</v>
      </c>
      <c r="V6479" s="1" t="s">
        <v>12674</v>
      </c>
      <c r="AR6479" s="1" t="str">
        <f t="shared" si="418"/>
        <v>| [ㄏㄨㄤˊ](ㄏㄨㄤˊ.md) | [徨](徨.md) |  | huáng | 參見「彷徨」、「徨徨」等條。 |</v>
      </c>
    </row>
    <row r="6480" spans="1:44" hidden="1">
      <c r="A6480" s="1" t="s">
        <v>12675</v>
      </c>
      <c r="C6480" s="1">
        <v>1</v>
      </c>
      <c r="D6480" s="1" t="str">
        <f>"05229"</f>
        <v>05229</v>
      </c>
      <c r="E6480" s="1" t="s">
        <v>691</v>
      </c>
      <c r="F6480" s="1">
        <v>12</v>
      </c>
      <c r="G6480" s="1">
        <v>9</v>
      </c>
      <c r="H6480" s="1">
        <v>0</v>
      </c>
      <c r="I6480" s="1" t="s">
        <v>12660</v>
      </c>
      <c r="K6480" s="1" t="str">
        <f t="shared" si="416"/>
        <v>ㄏ</v>
      </c>
      <c r="L6480" s="1" t="str">
        <f t="shared" si="417"/>
        <v>ㄨ</v>
      </c>
      <c r="M6480" s="1" t="str">
        <f t="shared" si="415"/>
        <v>ㄤ</v>
      </c>
      <c r="P6480" s="1" t="s">
        <v>20</v>
      </c>
      <c r="R6480" s="1" t="s">
        <v>12661</v>
      </c>
      <c r="V6480" s="1" t="s">
        <v>12676</v>
      </c>
      <c r="AR6480" s="1" t="str">
        <f t="shared" si="418"/>
        <v>| [ㄏㄨㄤˊ](ㄏㄨㄤˊ.md) | [隍](隍.md) |  | huáng | [名]
圍繞在城牆外沒有水的壕溝。《易經．泰卦．上六》：「城復于隍，勿用師，自邑告命貞吝。」《文選．班固．兩都賦序》：「京師脩宮室，浚城隍，起苑囿，以備制度。」李善注引《說文》曰：「城池無水曰隍。」 |</v>
      </c>
    </row>
    <row r="6481" spans="1:44" hidden="1">
      <c r="A6481" s="1" t="s">
        <v>12677</v>
      </c>
      <c r="C6481" s="1">
        <v>1</v>
      </c>
      <c r="D6481" s="1" t="str">
        <f>"05230"</f>
        <v>05230</v>
      </c>
      <c r="E6481" s="1" t="s">
        <v>336</v>
      </c>
      <c r="F6481" s="1">
        <v>13</v>
      </c>
      <c r="G6481" s="1">
        <v>9</v>
      </c>
      <c r="H6481" s="1">
        <v>0</v>
      </c>
      <c r="I6481" s="1" t="s">
        <v>12660</v>
      </c>
      <c r="K6481" s="1" t="str">
        <f t="shared" si="416"/>
        <v>ㄏ</v>
      </c>
      <c r="L6481" s="1" t="str">
        <f t="shared" si="417"/>
        <v>ㄨ</v>
      </c>
      <c r="M6481" s="1" t="str">
        <f t="shared" si="415"/>
        <v>ㄤ</v>
      </c>
      <c r="P6481" s="1" t="s">
        <v>20</v>
      </c>
      <c r="R6481" s="1" t="s">
        <v>12661</v>
      </c>
      <c r="V6481" s="1" t="s">
        <v>12678</v>
      </c>
      <c r="AR6481" s="1" t="str">
        <f t="shared" si="418"/>
        <v>| [ㄏㄨㄤˊ](ㄏㄨㄤˊ.md) | [煌](煌.md) |  | huáng | [形]
光亮、明亮。如：「燈火輝煌」。《文選．司馬相如．封禪文》：「采色炫燿，煥炳煇煌。」《文選．張衡．東京賦》：「煌火馳而星流，逐赤疫於四裔。」 |</v>
      </c>
    </row>
    <row r="6482" spans="1:44" hidden="1">
      <c r="A6482" s="1" t="s">
        <v>12679</v>
      </c>
      <c r="C6482" s="1">
        <v>1</v>
      </c>
      <c r="D6482" s="1" t="str">
        <f>"05231"</f>
        <v>05231</v>
      </c>
      <c r="E6482" s="1" t="s">
        <v>37</v>
      </c>
      <c r="F6482" s="1">
        <v>13</v>
      </c>
      <c r="G6482" s="1">
        <v>9</v>
      </c>
      <c r="H6482" s="1">
        <v>0</v>
      </c>
      <c r="I6482" s="1" t="s">
        <v>12660</v>
      </c>
      <c r="K6482" s="1" t="str">
        <f t="shared" si="416"/>
        <v>ㄏ</v>
      </c>
      <c r="L6482" s="1" t="str">
        <f t="shared" si="417"/>
        <v>ㄨ</v>
      </c>
      <c r="M6482" s="1" t="str">
        <f t="shared" si="415"/>
        <v>ㄤ</v>
      </c>
      <c r="P6482" s="1" t="s">
        <v>20</v>
      </c>
      <c r="R6482" s="1" t="s">
        <v>12661</v>
      </c>
      <c r="V6482" s="1" t="s">
        <v>12680</v>
      </c>
      <c r="AR6482" s="1" t="str">
        <f t="shared" si="418"/>
        <v>| [ㄏㄨㄤˊ](ㄏㄨㄤˊ.md) | [葟](葟.md) |  | huáng | [名]
草木的花。《爾雅．釋草》：「蕍、芛、葟、華，榮。」宋．邢昺．疏：「葟亦華也。」 |</v>
      </c>
    </row>
    <row r="6483" spans="1:44" hidden="1">
      <c r="A6483" s="1" t="s">
        <v>12681</v>
      </c>
      <c r="C6483" s="1">
        <v>1</v>
      </c>
      <c r="D6483" s="1" t="str">
        <f>"05232"</f>
        <v>05232</v>
      </c>
      <c r="E6483" s="1" t="s">
        <v>558</v>
      </c>
      <c r="F6483" s="1">
        <v>13</v>
      </c>
      <c r="G6483" s="1">
        <v>9</v>
      </c>
      <c r="H6483" s="1">
        <v>0</v>
      </c>
      <c r="I6483" s="1" t="s">
        <v>12660</v>
      </c>
      <c r="K6483" s="1" t="str">
        <f t="shared" si="416"/>
        <v>ㄏ</v>
      </c>
      <c r="L6483" s="1" t="str">
        <f t="shared" si="417"/>
        <v>ㄨ</v>
      </c>
      <c r="M6483" s="1" t="str">
        <f t="shared" si="415"/>
        <v>ㄤ</v>
      </c>
      <c r="P6483" s="1" t="s">
        <v>20</v>
      </c>
      <c r="R6483" s="1" t="s">
        <v>12661</v>
      </c>
      <c r="V6483" s="1" t="s">
        <v>12682</v>
      </c>
      <c r="AR6483" s="1" t="str">
        <f t="shared" si="418"/>
        <v>| [ㄏㄨㄤˊ](ㄏㄨㄤˊ.md) | [遑](遑.md) |  | huáng | [副]
1.急迫、匆忙不安。如：「遑急」、「遑遽」。《三國志．卷六五．吳書．華覈傳》：「長吏畏罪，晝夜催民，委舍佃事，遑赴會日，定送到都。」
2.何、怎能。如：「遑論」。《詩經．邶風．谷風》：「我躬不閱，遑恤我後？」
[名]
閒暇。《詩經．小雅．小弁》：「心之憂矣，不遑假寐。」 |</v>
      </c>
    </row>
    <row r="6484" spans="1:44" hidden="1">
      <c r="A6484" s="1" t="s">
        <v>12683</v>
      </c>
      <c r="C6484" s="1">
        <v>1</v>
      </c>
      <c r="D6484" s="1" t="str">
        <f>"05233"</f>
        <v>05233</v>
      </c>
      <c r="E6484" s="1" t="s">
        <v>679</v>
      </c>
      <c r="F6484" s="1">
        <v>15</v>
      </c>
      <c r="G6484" s="1">
        <v>9</v>
      </c>
      <c r="H6484" s="1">
        <v>0</v>
      </c>
      <c r="I6484" s="1" t="s">
        <v>12660</v>
      </c>
      <c r="K6484" s="1" t="str">
        <f t="shared" si="416"/>
        <v>ㄏ</v>
      </c>
      <c r="L6484" s="1" t="str">
        <f t="shared" si="417"/>
        <v>ㄨ</v>
      </c>
      <c r="M6484" s="1" t="str">
        <f t="shared" si="415"/>
        <v>ㄤ</v>
      </c>
      <c r="P6484" s="1" t="s">
        <v>20</v>
      </c>
      <c r="R6484" s="1" t="s">
        <v>12661</v>
      </c>
      <c r="V6484" s="1" t="s">
        <v>12684</v>
      </c>
      <c r="AR6484" s="1" t="str">
        <f t="shared" si="418"/>
        <v>| [ㄏㄨㄤˊ](ㄏㄨㄤˊ.md) | [蝗](蝗.md) |  | huáng | [名]
昆蟲綱直翅目蝗科動物的通稱。口器闊大，前翅黃褐色，後翅半透明，喜結群飛翔。後腳強而有力，善跳躍。種類繁多，以草食為生，少數會為害作物。俗稱為「蝗蟲」。 |</v>
      </c>
    </row>
    <row r="6485" spans="1:44" hidden="1">
      <c r="A6485" s="1" t="s">
        <v>12685</v>
      </c>
      <c r="C6485" s="1">
        <v>1</v>
      </c>
      <c r="D6485" s="1" t="str">
        <f>"05234"</f>
        <v>05234</v>
      </c>
      <c r="E6485" s="1" t="s">
        <v>49</v>
      </c>
      <c r="F6485" s="1">
        <v>15</v>
      </c>
      <c r="G6485" s="1">
        <v>9</v>
      </c>
      <c r="H6485" s="1">
        <v>0</v>
      </c>
      <c r="I6485" s="1" t="s">
        <v>12660</v>
      </c>
      <c r="K6485" s="1" t="str">
        <f t="shared" si="416"/>
        <v>ㄏ</v>
      </c>
      <c r="L6485" s="1" t="str">
        <f t="shared" si="417"/>
        <v>ㄨ</v>
      </c>
      <c r="M6485" s="1" t="str">
        <f t="shared" si="415"/>
        <v>ㄤ</v>
      </c>
      <c r="P6485" s="1" t="s">
        <v>20</v>
      </c>
      <c r="R6485" s="1" t="s">
        <v>12661</v>
      </c>
      <c r="V6485" s="1" t="s">
        <v>12686</v>
      </c>
      <c r="AR6485" s="1" t="str">
        <f t="shared" si="418"/>
        <v>| [ㄏㄨㄤˊ](ㄏㄨㄤˊ.md) | [篁](篁.md) |  | huáng | [名]
1.竹林、竹叢。《楚辭．屈原．九歌．山鬼》：「余處幽篁兮終不見天，路險難兮獨後來。」
2.竹的通稱。唐．柳宗元〈清水驛叢竹天水趙云余手種一十二莖〉詩：「簷下疏篁十二莖，襄陽從事寄幽情。」唐．李商隱〈離思〉詩：「朔雁傳書絕，湘篁染淚多。」 |</v>
      </c>
    </row>
    <row r="6486" spans="1:44" hidden="1">
      <c r="A6486" s="1" t="s">
        <v>12687</v>
      </c>
      <c r="C6486" s="1">
        <v>1</v>
      </c>
      <c r="D6486" s="1" t="str">
        <f>"05235"</f>
        <v>05235</v>
      </c>
      <c r="E6486" s="1" t="s">
        <v>181</v>
      </c>
      <c r="F6486" s="1">
        <v>15</v>
      </c>
      <c r="G6486" s="1">
        <v>9</v>
      </c>
      <c r="H6486" s="1">
        <v>0</v>
      </c>
      <c r="I6486" s="1" t="s">
        <v>12660</v>
      </c>
      <c r="K6486" s="1" t="str">
        <f t="shared" si="416"/>
        <v>ㄏ</v>
      </c>
      <c r="L6486" s="1" t="str">
        <f t="shared" si="417"/>
        <v>ㄨ</v>
      </c>
      <c r="M6486" s="1" t="str">
        <f t="shared" si="415"/>
        <v>ㄤ</v>
      </c>
      <c r="P6486" s="1" t="s">
        <v>20</v>
      </c>
      <c r="R6486" s="1" t="s">
        <v>12661</v>
      </c>
      <c r="V6486" s="1" t="s">
        <v>12688</v>
      </c>
      <c r="AR6486" s="1" t="str">
        <f t="shared" si="418"/>
        <v>| [ㄏㄨㄤˊ](ㄏㄨㄤˊ.md) | [艎](艎.md) |  | huáng | 參見「艅艎」條。 |</v>
      </c>
    </row>
    <row r="6487" spans="1:44" hidden="1">
      <c r="A6487" s="1" t="s">
        <v>12689</v>
      </c>
      <c r="C6487" s="1">
        <v>1</v>
      </c>
      <c r="D6487" s="1" t="str">
        <f>"05236"</f>
        <v>05236</v>
      </c>
      <c r="E6487" s="1" t="s">
        <v>55</v>
      </c>
      <c r="F6487" s="1">
        <v>17</v>
      </c>
      <c r="G6487" s="1">
        <v>9</v>
      </c>
      <c r="H6487" s="1">
        <v>0</v>
      </c>
      <c r="I6487" s="1" t="s">
        <v>12660</v>
      </c>
      <c r="K6487" s="1" t="str">
        <f t="shared" si="416"/>
        <v>ㄏ</v>
      </c>
      <c r="L6487" s="1" t="str">
        <f t="shared" si="417"/>
        <v>ㄨ</v>
      </c>
      <c r="M6487" s="1" t="str">
        <f t="shared" si="415"/>
        <v>ㄤ</v>
      </c>
      <c r="P6487" s="1" t="s">
        <v>20</v>
      </c>
      <c r="R6487" s="1" t="s">
        <v>12661</v>
      </c>
      <c r="V6487" s="1" t="s">
        <v>12690</v>
      </c>
      <c r="AR6487" s="1" t="str">
        <f t="shared" si="418"/>
        <v>| [ㄏㄨㄤˊ](ㄏㄨㄤˊ.md) | [鍠](鍠.md) |  | huáng | [名]
1.鐘鼓的聲音。南朝梁．劉勰《文心雕龍．原道》：「泉石激韻，和若球鍠。」唐．韓愈、孟郊〈城南聯句〉：「鐵鐘孤舂鍠，癭頸鬧鳩鴿。」
2.武器名。古代一種似鉞的兵器。晉．崔豹《古今注．卷上．輿服》：「鍠，秦改鐵鉞作鍠，秦制也。今乘輿諸侯王公妃主通建焉。」《新唐書．卷二十三．儀衛志上》：「第二行，儀鍠，五色幡，赤地雲花襖，冒。」 |</v>
      </c>
    </row>
    <row r="6488" spans="1:44" hidden="1">
      <c r="A6488" s="1" t="s">
        <v>12691</v>
      </c>
      <c r="C6488" s="1">
        <v>1</v>
      </c>
      <c r="D6488" s="1" t="str">
        <f>"05237"</f>
        <v>05237</v>
      </c>
      <c r="E6488" s="1" t="s">
        <v>193</v>
      </c>
      <c r="F6488" s="1">
        <v>17</v>
      </c>
      <c r="G6488" s="1">
        <v>9</v>
      </c>
      <c r="H6488" s="1">
        <v>0</v>
      </c>
      <c r="I6488" s="1" t="s">
        <v>12660</v>
      </c>
      <c r="K6488" s="1" t="str">
        <f t="shared" si="416"/>
        <v>ㄏ</v>
      </c>
      <c r="L6488" s="1" t="str">
        <f t="shared" si="417"/>
        <v>ㄨ</v>
      </c>
      <c r="M6488" s="1" t="str">
        <f t="shared" si="415"/>
        <v>ㄤ</v>
      </c>
      <c r="P6488" s="1" t="s">
        <v>20</v>
      </c>
      <c r="R6488" s="1" t="s">
        <v>12661</v>
      </c>
      <c r="V6488" s="1" t="s">
        <v>12692</v>
      </c>
      <c r="AR6488" s="1" t="str">
        <f t="shared" si="418"/>
        <v>| [ㄏㄨㄤˊ](ㄏㄨㄤˊ.md) | [餭](餭.md) |  | huáng | 參見「餦餭」條。 |</v>
      </c>
    </row>
    <row r="6489" spans="1:44" hidden="1">
      <c r="A6489" s="1" t="s">
        <v>12693</v>
      </c>
      <c r="C6489" s="1">
        <v>1</v>
      </c>
      <c r="D6489" s="1" t="str">
        <f>"05238"</f>
        <v>05238</v>
      </c>
      <c r="E6489" s="1" t="s">
        <v>319</v>
      </c>
      <c r="F6489" s="1">
        <v>19</v>
      </c>
      <c r="G6489" s="1">
        <v>9</v>
      </c>
      <c r="H6489" s="1">
        <v>0</v>
      </c>
      <c r="I6489" s="1" t="s">
        <v>12660</v>
      </c>
      <c r="K6489" s="1" t="str">
        <f t="shared" si="416"/>
        <v>ㄏ</v>
      </c>
      <c r="L6489" s="1" t="str">
        <f t="shared" si="417"/>
        <v>ㄨ</v>
      </c>
      <c r="M6489" s="1" t="str">
        <f t="shared" si="415"/>
        <v>ㄤ</v>
      </c>
      <c r="P6489" s="1" t="s">
        <v>20</v>
      </c>
      <c r="R6489" s="1" t="s">
        <v>12661</v>
      </c>
      <c r="V6489" s="1" t="s">
        <v>12694</v>
      </c>
      <c r="AR6489" s="1" t="str">
        <f t="shared" si="418"/>
        <v>| [ㄏㄨㄤˊ](ㄏㄨㄤˊ.md) | [騜](騜.md) |  | huáng | [名]
毛色黃白相間的馬。《爾雅．釋畜》：「黃白，騜。」 |</v>
      </c>
    </row>
    <row r="6490" spans="1:44" hidden="1">
      <c r="A6490" s="1" t="s">
        <v>12695</v>
      </c>
      <c r="C6490" s="1">
        <v>1</v>
      </c>
      <c r="D6490" s="1" t="str">
        <f>"05239"</f>
        <v>05239</v>
      </c>
      <c r="E6490" s="1" t="s">
        <v>156</v>
      </c>
      <c r="F6490" s="1">
        <v>20</v>
      </c>
      <c r="G6490" s="1">
        <v>9</v>
      </c>
      <c r="H6490" s="1">
        <v>0</v>
      </c>
      <c r="I6490" s="1" t="s">
        <v>12660</v>
      </c>
      <c r="K6490" s="1" t="str">
        <f t="shared" si="416"/>
        <v>ㄏ</v>
      </c>
      <c r="L6490" s="1" t="str">
        <f t="shared" si="417"/>
        <v>ㄨ</v>
      </c>
      <c r="M6490" s="1" t="str">
        <f t="shared" si="415"/>
        <v>ㄤ</v>
      </c>
      <c r="P6490" s="1" t="s">
        <v>20</v>
      </c>
      <c r="R6490" s="1" t="s">
        <v>12661</v>
      </c>
      <c r="V6490" s="1" t="s">
        <v>12696</v>
      </c>
      <c r="AR6490" s="1" t="str">
        <f t="shared" si="418"/>
        <v>| [ㄏㄨㄤˊ](ㄏㄨㄤˊ.md) | [鰉](鰉.md) |  | huáng | 參見「鰉魚」條。 |</v>
      </c>
    </row>
    <row r="6491" spans="1:44" hidden="1">
      <c r="A6491" s="1" t="s">
        <v>12697</v>
      </c>
      <c r="C6491" s="1">
        <v>1</v>
      </c>
      <c r="D6491" s="1" t="str">
        <f>"05240"</f>
        <v>05240</v>
      </c>
      <c r="E6491" s="1" t="s">
        <v>6180</v>
      </c>
      <c r="F6491" s="1">
        <v>12</v>
      </c>
      <c r="G6491" s="1">
        <v>0</v>
      </c>
      <c r="H6491" s="1">
        <v>0</v>
      </c>
      <c r="I6491" s="1" t="s">
        <v>12660</v>
      </c>
      <c r="K6491" s="1" t="str">
        <f t="shared" si="416"/>
        <v>ㄏ</v>
      </c>
      <c r="L6491" s="1" t="str">
        <f t="shared" si="417"/>
        <v>ㄨ</v>
      </c>
      <c r="M6491" s="1" t="str">
        <f t="shared" si="415"/>
        <v>ㄤ</v>
      </c>
      <c r="P6491" s="1" t="s">
        <v>20</v>
      </c>
      <c r="R6491" s="1" t="s">
        <v>12661</v>
      </c>
      <c r="V6491" s="1" t="s">
        <v>12698</v>
      </c>
      <c r="AR6491" s="1" t="str">
        <f t="shared" si="418"/>
        <v>| [ㄏㄨㄤˊ](ㄏㄨㄤˊ.md) | [黃](黃.md) |  | huáng | [名]_x000D_
1.一種似土地的顏色。《說文解字．黃部》：「黃，地之色也。」_x000D_
2.黃帝的簡稱。如：「炎黃子孫」、「黃老之術」。《呂氏春秋．孟秋紀．蕩兵》：「兵所自來者久矣，黃、炎故用水火矣，共工氏固次作難矣，五帝固相與爭矣。」_x000D_
3.姓。如宋代有黃庭堅。_x000D_
4.二一四部首之一。_x000D_
[動]_x000D_
1.變黃而枯萎。《詩經．小雅．何草不黃》：「何草不黃，何日不行。」南朝宋．鮑照〈代白紵曲〉二首之一：「窮秋九月荷葉黃，北風驅雁天雨霜。」_x000D_
2.北平方言。指事情、計畫不能成功或諾言不能實現。如：「這一筆生意八成要黃了。」「他答應的事大概會黃。」_x000D_
[形]_x000D_
象徵庸俗腐化，或含有色情意味的。如：「黃色小說」、「黃色笑話」。 |</v>
      </c>
    </row>
    <row r="6492" spans="1:44" hidden="1">
      <c r="A6492" s="1" t="s">
        <v>12699</v>
      </c>
      <c r="C6492" s="1">
        <v>1</v>
      </c>
      <c r="D6492" s="1" t="str">
        <f>"05241"</f>
        <v>05241</v>
      </c>
      <c r="E6492" s="1" t="s">
        <v>129</v>
      </c>
      <c r="F6492" s="1">
        <v>15</v>
      </c>
      <c r="G6492" s="1">
        <v>12</v>
      </c>
      <c r="H6492" s="1">
        <v>0</v>
      </c>
      <c r="I6492" s="1" t="s">
        <v>12660</v>
      </c>
      <c r="K6492" s="1" t="str">
        <f t="shared" si="416"/>
        <v>ㄏ</v>
      </c>
      <c r="L6492" s="1" t="str">
        <f t="shared" si="417"/>
        <v>ㄨ</v>
      </c>
      <c r="M6492" s="1" t="str">
        <f t="shared" si="415"/>
        <v>ㄤ</v>
      </c>
      <c r="P6492" s="1" t="s">
        <v>20</v>
      </c>
      <c r="R6492" s="1" t="s">
        <v>12661</v>
      </c>
      <c r="V6492" s="1" t="s">
        <v>12700</v>
      </c>
      <c r="AR6492" s="1" t="str">
        <f t="shared" si="418"/>
        <v>| [ㄏㄨㄤˊ](ㄏㄨㄤˊ.md) | [潢](潢.md) |  | huáng | [名]_x000D_
積水池。《左傳．隱公三年》：「潢汙行潦之水，可薦於鬼神。」唐．孔穎達．正義：「服虔云：『畜小水謂之潢，水不流謂之汙。』」晉．木華〈海賦〉：「乃鏟臨崖之阜陸，決陂潢而相沃。」_x000D_
[動]_x000D_
裱裝字畫或裝飾室內。如：「裝潢」。《新唐書．卷八一．三宗諸子列傳．惠文太子範》：「長安初，張易之奏天下善工潢治，乃密使摹肖，殆不可辨，竊其真藏于家。」 |</v>
      </c>
    </row>
    <row r="6493" spans="1:44" hidden="1">
      <c r="A6493" s="1" t="s">
        <v>12701</v>
      </c>
      <c r="C6493" s="1">
        <v>1</v>
      </c>
      <c r="D6493" s="1" t="str">
        <f>"05242"</f>
        <v>05242</v>
      </c>
      <c r="E6493" s="1" t="s">
        <v>142</v>
      </c>
      <c r="F6493" s="1">
        <v>16</v>
      </c>
      <c r="G6493" s="1">
        <v>12</v>
      </c>
      <c r="H6493" s="1">
        <v>0</v>
      </c>
      <c r="I6493" s="1" t="s">
        <v>12660</v>
      </c>
      <c r="K6493" s="1" t="str">
        <f t="shared" si="416"/>
        <v>ㄏ</v>
      </c>
      <c r="L6493" s="1" t="str">
        <f t="shared" si="417"/>
        <v>ㄨ</v>
      </c>
      <c r="M6493" s="1" t="str">
        <f t="shared" si="415"/>
        <v>ㄤ</v>
      </c>
      <c r="P6493" s="1" t="s">
        <v>20</v>
      </c>
      <c r="R6493" s="1" t="s">
        <v>12661</v>
      </c>
      <c r="V6493" s="1" t="s">
        <v>12702</v>
      </c>
      <c r="AR6493" s="1" t="str">
        <f t="shared" si="418"/>
        <v>| [ㄏㄨㄤˊ](ㄏㄨㄤˊ.md) | [璜](璜.md) |  | huáng | [名]
半璧形的玉石。《周禮．春官．大宗伯》：「以白琥禮西方，以玄璜禮北方。」唐．韓愈、孟郊〈城南聯句〉：「鵝肪截佩璜，文升相照灼。」 |</v>
      </c>
    </row>
    <row r="6494" spans="1:44" hidden="1">
      <c r="A6494" s="1" t="s">
        <v>12703</v>
      </c>
      <c r="C6494" s="1">
        <v>1</v>
      </c>
      <c r="D6494" s="1" t="str">
        <f>"05243"</f>
        <v>05243</v>
      </c>
      <c r="E6494" s="1" t="s">
        <v>169</v>
      </c>
      <c r="F6494" s="1">
        <v>17</v>
      </c>
      <c r="G6494" s="1">
        <v>12</v>
      </c>
      <c r="H6494" s="1">
        <v>0</v>
      </c>
      <c r="I6494" s="1" t="s">
        <v>12660</v>
      </c>
      <c r="K6494" s="1" t="str">
        <f t="shared" si="416"/>
        <v>ㄏ</v>
      </c>
      <c r="L6494" s="1" t="str">
        <f t="shared" si="417"/>
        <v>ㄨ</v>
      </c>
      <c r="M6494" s="1" t="str">
        <f t="shared" si="415"/>
        <v>ㄤ</v>
      </c>
      <c r="P6494" s="1" t="s">
        <v>20</v>
      </c>
      <c r="R6494" s="1" t="s">
        <v>12661</v>
      </c>
      <c r="V6494" s="1" t="s">
        <v>12704</v>
      </c>
      <c r="AR6494" s="1" t="str">
        <f t="shared" si="418"/>
        <v>| [ㄏㄨㄤˊ](ㄏㄨㄤˊ.md) | [磺](磺.md) |  | huáng | 參見「硫磺」條。 |</v>
      </c>
    </row>
    <row r="6495" spans="1:44" hidden="1">
      <c r="A6495" s="1" t="s">
        <v>12705</v>
      </c>
      <c r="C6495" s="1">
        <v>1</v>
      </c>
      <c r="D6495" s="1" t="str">
        <f>"05244"</f>
        <v>05244</v>
      </c>
      <c r="E6495" s="1" t="s">
        <v>679</v>
      </c>
      <c r="F6495" s="1">
        <v>18</v>
      </c>
      <c r="G6495" s="1">
        <v>12</v>
      </c>
      <c r="H6495" s="1">
        <v>0</v>
      </c>
      <c r="I6495" s="1" t="s">
        <v>12660</v>
      </c>
      <c r="K6495" s="1" t="str">
        <f t="shared" si="416"/>
        <v>ㄏ</v>
      </c>
      <c r="L6495" s="1" t="str">
        <f t="shared" si="417"/>
        <v>ㄨ</v>
      </c>
      <c r="M6495" s="1" t="str">
        <f t="shared" si="415"/>
        <v>ㄤ</v>
      </c>
      <c r="P6495" s="1" t="s">
        <v>20</v>
      </c>
      <c r="R6495" s="1" t="s">
        <v>12661</v>
      </c>
      <c r="V6495" s="1" t="s">
        <v>12706</v>
      </c>
      <c r="AR6495" s="1" t="str">
        <f t="shared" si="418"/>
        <v>| [ㄏㄨㄤˊ](ㄏㄨㄤˊ.md) | [蟥](蟥.md) |  | huáng | 參見「馬蟥」條。 |</v>
      </c>
    </row>
    <row r="6496" spans="1:44" hidden="1">
      <c r="A6496" s="1" t="s">
        <v>12707</v>
      </c>
      <c r="C6496" s="1">
        <v>1</v>
      </c>
      <c r="D6496" s="1" t="str">
        <f>"05245"</f>
        <v>05245</v>
      </c>
      <c r="E6496" s="1" t="s">
        <v>49</v>
      </c>
      <c r="F6496" s="1">
        <v>18</v>
      </c>
      <c r="G6496" s="1">
        <v>12</v>
      </c>
      <c r="H6496" s="1">
        <v>0</v>
      </c>
      <c r="I6496" s="1" t="s">
        <v>12660</v>
      </c>
      <c r="K6496" s="1" t="str">
        <f t="shared" si="416"/>
        <v>ㄏ</v>
      </c>
      <c r="L6496" s="1" t="str">
        <f t="shared" si="417"/>
        <v>ㄨ</v>
      </c>
      <c r="M6496" s="1" t="str">
        <f t="shared" si="415"/>
        <v>ㄤ</v>
      </c>
      <c r="P6496" s="1" t="s">
        <v>20</v>
      </c>
      <c r="R6496" s="1" t="s">
        <v>12661</v>
      </c>
      <c r="V6496" s="1" t="s">
        <v>12708</v>
      </c>
      <c r="AR6496" s="1" t="str">
        <f t="shared" si="418"/>
        <v>| [ㄏㄨㄤˊ](ㄏㄨㄤˊ.md) | [簧](簧.md) |  | huáng | [名]_x000D_
1.樂器裡用金屬或其他材料製成的發聲薄片，如笙、竽、管等。《詩經．秦風．車鄰》：「既見君子，並坐鼓簧。」宋．周邦彥〈慶春宮．雲接平岡〉詞：「絃管當頭，偏憐嬌鳳，夜深簧暖笙清。」_x000D_
2.器物中具有彈力的機件。如：「彈簧」、「鎖簧」。 |</v>
      </c>
    </row>
    <row r="6497" spans="1:44" hidden="1">
      <c r="A6497" s="1" t="s">
        <v>10607</v>
      </c>
      <c r="C6497" s="1">
        <v>1</v>
      </c>
      <c r="D6497" s="1" t="str">
        <f>"05246"</f>
        <v>05246</v>
      </c>
      <c r="E6497" s="1" t="s">
        <v>129</v>
      </c>
      <c r="F6497" s="1">
        <v>9</v>
      </c>
      <c r="G6497" s="1">
        <v>6</v>
      </c>
      <c r="H6497" s="1">
        <v>2</v>
      </c>
      <c r="I6497" s="1" t="s">
        <v>12709</v>
      </c>
      <c r="K6497" s="1" t="str">
        <f t="shared" si="416"/>
        <v>ㄏ</v>
      </c>
      <c r="L6497" s="1" t="str">
        <f t="shared" si="417"/>
        <v>ㄨ</v>
      </c>
      <c r="M6497" s="1" t="str">
        <f t="shared" si="415"/>
        <v>ㄤ</v>
      </c>
      <c r="P6497" s="1" t="s">
        <v>20</v>
      </c>
      <c r="R6497" s="1" t="s">
        <v>12710</v>
      </c>
      <c r="V6497" s="1" t="s">
        <v>12711</v>
      </c>
      <c r="W6497" s="1" t="s">
        <v>12712</v>
      </c>
      <c r="AR6497" s="1" t="str">
        <f t="shared" si="418"/>
        <v>| [ㄏㄨㄤˇ](ㄏㄨㄤˇ.md) | [洸](洸.md) |  | huǎng | 參見「洸洸」條。 |</v>
      </c>
    </row>
    <row r="6498" spans="1:44" hidden="1">
      <c r="A6498" s="1" t="s">
        <v>12713</v>
      </c>
      <c r="C6498" s="1">
        <v>1</v>
      </c>
      <c r="D6498" s="1" t="str">
        <f>"05247"</f>
        <v>05247</v>
      </c>
      <c r="E6498" s="1" t="s">
        <v>250</v>
      </c>
      <c r="F6498" s="1">
        <v>9</v>
      </c>
      <c r="G6498" s="1">
        <v>6</v>
      </c>
      <c r="H6498" s="1">
        <v>0</v>
      </c>
      <c r="I6498" s="1" t="s">
        <v>12709</v>
      </c>
      <c r="K6498" s="1" t="str">
        <f t="shared" si="416"/>
        <v>ㄏ</v>
      </c>
      <c r="L6498" s="1" t="str">
        <f t="shared" si="417"/>
        <v>ㄨ</v>
      </c>
      <c r="M6498" s="1" t="str">
        <f t="shared" si="415"/>
        <v>ㄤ</v>
      </c>
      <c r="P6498" s="1" t="s">
        <v>20</v>
      </c>
      <c r="R6498" s="1" t="s">
        <v>12710</v>
      </c>
      <c r="V6498" s="1" t="s">
        <v>12714</v>
      </c>
      <c r="AR6498" s="1" t="str">
        <f t="shared" si="418"/>
        <v>| [ㄏㄨㄤˇ](ㄏㄨㄤˇ.md) | [恍](恍.md) |  | huǎng | [形]
參見「恍惚」條。
[副]
1.彷彿、好像。如：「恍如隔世」。宋．蘇軾〈滿江紅．清潁東流〉詞：「相看恍如昨，許多年月。」《紅樓夢》第三回：「這個人打扮與眾姑娘不同，彩繡輝煌，恍若神妃仙子。」
2.突然、猛然。如：「恍然大悟」。《醒世恆言．卷四．灌園叟晚逢仙女》：「秋公聽說，心下恍悟道：『恁般說，莫不這位小娘子是神仙下降？』」 |</v>
      </c>
    </row>
    <row r="6499" spans="1:44" hidden="1">
      <c r="A6499" s="1" t="s">
        <v>12715</v>
      </c>
      <c r="C6499" s="1">
        <v>1</v>
      </c>
      <c r="D6499" s="1" t="str">
        <f>"05248"</f>
        <v>05248</v>
      </c>
      <c r="E6499" s="1" t="s">
        <v>646</v>
      </c>
      <c r="F6499" s="1">
        <v>10</v>
      </c>
      <c r="G6499" s="1">
        <v>6</v>
      </c>
      <c r="H6499" s="1">
        <v>1</v>
      </c>
      <c r="I6499" s="1" t="s">
        <v>12709</v>
      </c>
      <c r="K6499" s="1" t="str">
        <f t="shared" si="416"/>
        <v>ㄏ</v>
      </c>
      <c r="L6499" s="1" t="str">
        <f t="shared" si="417"/>
        <v>ㄨ</v>
      </c>
      <c r="M6499" s="1" t="str">
        <f t="shared" si="415"/>
        <v>ㄤ</v>
      </c>
      <c r="P6499" s="1" t="s">
        <v>20</v>
      </c>
      <c r="R6499" s="1" t="s">
        <v>12710</v>
      </c>
      <c r="V6499" s="1" t="s">
        <v>12716</v>
      </c>
      <c r="W6499" s="1" t="s">
        <v>12717</v>
      </c>
      <c r="AR6499" s="1" t="str">
        <f t="shared" si="418"/>
        <v>| [ㄏㄨㄤˇ](ㄏㄨㄤˇ.md) | [晃](晃.md) |  | huǎng | [形]
明亮。如：「明晃晃」。《抱朴子．外篇．喻蔽》：「守燈燭之宵曜，不識三光之晃朗。」
[動]
1.強光閃耀、照耀。如：「燈光太亮，晃得人眼睛都睜不開。」北周．庾信〈鏡賦〉：「朝光晃眼，早風吹面。」
2.很快閃過。如：「一晃而過」、「從眼前晃過」。
[名]
姓。如漢代有晃葉。 |</v>
      </c>
    </row>
    <row r="6500" spans="1:44" hidden="1">
      <c r="A6500" s="1" t="s">
        <v>12718</v>
      </c>
      <c r="C6500" s="1">
        <v>1</v>
      </c>
      <c r="D6500" s="1" t="str">
        <f>"05249"</f>
        <v>05249</v>
      </c>
      <c r="E6500" s="1" t="s">
        <v>129</v>
      </c>
      <c r="F6500" s="1">
        <v>13</v>
      </c>
      <c r="G6500" s="1">
        <v>10</v>
      </c>
      <c r="H6500" s="1">
        <v>0</v>
      </c>
      <c r="I6500" s="1" t="s">
        <v>12709</v>
      </c>
      <c r="K6500" s="1" t="str">
        <f t="shared" si="416"/>
        <v>ㄏ</v>
      </c>
      <c r="L6500" s="1" t="str">
        <f t="shared" si="417"/>
        <v>ㄨ</v>
      </c>
      <c r="M6500" s="1" t="str">
        <f t="shared" si="415"/>
        <v>ㄤ</v>
      </c>
      <c r="P6500" s="1" t="s">
        <v>20</v>
      </c>
      <c r="R6500" s="1" t="s">
        <v>12710</v>
      </c>
      <c r="V6500" s="1" t="s">
        <v>12719</v>
      </c>
      <c r="AR6500" s="1" t="str">
        <f t="shared" si="418"/>
        <v>| [ㄏㄨㄤˇ](ㄏㄨㄤˇ.md) | [滉](滉.md) |  | huǎng | [形]
參見「滉瀁」條。 |</v>
      </c>
    </row>
    <row r="6501" spans="1:44" hidden="1">
      <c r="A6501" s="1" t="s">
        <v>12720</v>
      </c>
      <c r="C6501" s="1">
        <v>1</v>
      </c>
      <c r="D6501" s="1" t="str">
        <f>"05250"</f>
        <v>05250</v>
      </c>
      <c r="E6501" s="1" t="s">
        <v>222</v>
      </c>
      <c r="F6501" s="1">
        <v>13</v>
      </c>
      <c r="G6501" s="1">
        <v>10</v>
      </c>
      <c r="H6501" s="1">
        <v>0</v>
      </c>
      <c r="I6501" s="1" t="s">
        <v>12709</v>
      </c>
      <c r="K6501" s="1" t="str">
        <f t="shared" si="416"/>
        <v>ㄏ</v>
      </c>
      <c r="L6501" s="1" t="str">
        <f t="shared" si="417"/>
        <v>ㄨ</v>
      </c>
      <c r="M6501" s="1" t="str">
        <f t="shared" si="415"/>
        <v>ㄤ</v>
      </c>
      <c r="P6501" s="1" t="s">
        <v>20</v>
      </c>
      <c r="R6501" s="1" t="s">
        <v>12710</v>
      </c>
      <c r="V6501" s="1" t="s">
        <v>12721</v>
      </c>
      <c r="AR6501" s="1" t="str">
        <f t="shared" si="418"/>
        <v>| [ㄏㄨㄤˇ](ㄏㄨㄤˇ.md) | [幌](幌.md) |  | huǎng | [名]
帷幔、窗簾。宋．歐陽修〈蝶戀花．面旋落花風蕩漾〉詞：「寂寞起來褰繡幌，月明正在梨花上。」《聊齋志異．卷四．辛十四娘》：「入其室，則簾幌床幙，香霧噴人。」 |</v>
      </c>
    </row>
    <row r="6502" spans="1:44" hidden="1">
      <c r="A6502" s="1" t="s">
        <v>12722</v>
      </c>
      <c r="C6502" s="1">
        <v>1</v>
      </c>
      <c r="D6502" s="1" t="str">
        <f>"05251"</f>
        <v>05251</v>
      </c>
      <c r="E6502" s="1" t="s">
        <v>331</v>
      </c>
      <c r="F6502" s="1">
        <v>17</v>
      </c>
      <c r="G6502" s="1">
        <v>10</v>
      </c>
      <c r="H6502" s="1">
        <v>0</v>
      </c>
      <c r="I6502" s="1" t="s">
        <v>12709</v>
      </c>
      <c r="K6502" s="1" t="str">
        <f t="shared" si="416"/>
        <v>ㄏ</v>
      </c>
      <c r="L6502" s="1" t="str">
        <f t="shared" si="417"/>
        <v>ㄨ</v>
      </c>
      <c r="M6502" s="1" t="str">
        <f t="shared" si="415"/>
        <v>ㄤ</v>
      </c>
      <c r="P6502" s="1" t="s">
        <v>20</v>
      </c>
      <c r="R6502" s="1" t="s">
        <v>12710</v>
      </c>
      <c r="V6502" s="1" t="s">
        <v>12723</v>
      </c>
      <c r="AR6502" s="1" t="str">
        <f t="shared" si="418"/>
        <v>| [ㄏㄨㄤˇ](ㄏㄨㄤˇ.md) | [謊](謊.md) |  | huǎng | [名]
假話，不實在的話。如：「說謊」、「撒謊」、「圓謊」、「漫天大謊」。
[形]
虛假不實的。如：「謊言」、「謊話」。《鏡花緣》第九九回：「廚子最愛開謊帳，全要替他核對明白。」
[動]
欺騙、哄騙。元．無名氏《藍采和》第一折：「你做場作戲，也則是謊人錢哩！」明．湯顯祖《牡丹亭》第三三齣：「便是杜老爺去後，謊了一府州縣士民人等許多分子，起了個生祠。」 |</v>
      </c>
    </row>
    <row r="6503" spans="1:44" hidden="1">
      <c r="A6503" s="1" t="s">
        <v>12715</v>
      </c>
      <c r="C6503" s="1">
        <v>1</v>
      </c>
      <c r="D6503" s="1" t="str">
        <f>"05252"</f>
        <v>05252</v>
      </c>
      <c r="E6503" s="1" t="s">
        <v>646</v>
      </c>
      <c r="F6503" s="1">
        <v>10</v>
      </c>
      <c r="G6503" s="1">
        <v>6</v>
      </c>
      <c r="H6503" s="1">
        <v>2</v>
      </c>
      <c r="I6503" s="1" t="s">
        <v>12724</v>
      </c>
      <c r="K6503" s="1" t="str">
        <f t="shared" si="416"/>
        <v>ㄏ</v>
      </c>
      <c r="L6503" s="1" t="str">
        <f t="shared" si="417"/>
        <v>ㄨ</v>
      </c>
      <c r="M6503" s="1" t="str">
        <f t="shared" si="415"/>
        <v>ㄤ</v>
      </c>
      <c r="P6503" s="1" t="s">
        <v>20</v>
      </c>
      <c r="R6503" s="1" t="s">
        <v>12725</v>
      </c>
      <c r="V6503" s="1" t="s">
        <v>12726</v>
      </c>
      <c r="W6503" s="1" t="s">
        <v>12727</v>
      </c>
      <c r="AR6503" s="1" t="str">
        <f t="shared" si="418"/>
        <v>| [ㄏㄨㄤˋ](ㄏㄨㄤˋ.md) | [晃](晃.md) |  | huàng | [動]
搖擺、搖動。如：「搖晃」、「搖頭晃腦」。 |</v>
      </c>
    </row>
    <row r="6504" spans="1:44" hidden="1">
      <c r="A6504" s="1" t="s">
        <v>12732</v>
      </c>
      <c r="C6504" s="1">
        <v>1</v>
      </c>
      <c r="D6504" s="1" t="str">
        <f>"05254"</f>
        <v>05254</v>
      </c>
      <c r="E6504" s="1" t="s">
        <v>28</v>
      </c>
      <c r="F6504" s="1">
        <v>7</v>
      </c>
      <c r="G6504" s="1">
        <v>4</v>
      </c>
      <c r="H6504" s="1">
        <v>2</v>
      </c>
      <c r="I6504" s="1" t="s">
        <v>12733</v>
      </c>
      <c r="K6504" s="1" t="str">
        <f t="shared" si="416"/>
        <v>ㄏ</v>
      </c>
      <c r="L6504" s="1" t="str">
        <f t="shared" si="417"/>
        <v>ㄨ</v>
      </c>
      <c r="M6504" s="1" t="str">
        <f t="shared" si="415"/>
        <v>ㄥ</v>
      </c>
      <c r="P6504" s="1" t="s">
        <v>20</v>
      </c>
      <c r="R6504" s="1" t="s">
        <v>12734</v>
      </c>
      <c r="V6504" s="1" t="s">
        <v>12735</v>
      </c>
      <c r="W6504" s="1" t="s">
        <v>12736</v>
      </c>
      <c r="AR6504" s="1" t="str">
        <f t="shared" si="418"/>
        <v>| [ㄏㄨㄥ](ㄏㄨㄥ.md) | [吽](吽.md) |  | hōng | [名]
梵語hūm的音譯。為佛教咒語中常見的聲符。元．張昱〈輦下曲〉：「守內番僧日念吽，御廚酒肉按時供。」《西遊記》第七回：「（佛祖）袖中只取出一張帖子，上有六個金字：『唵嘛呢叭咪吽。』遞與阿儺，叫貼在那山頂上。」 |</v>
      </c>
    </row>
    <row r="6505" spans="1:44" hidden="1">
      <c r="A6505" s="1" t="s">
        <v>12737</v>
      </c>
      <c r="C6505" s="1">
        <v>1</v>
      </c>
      <c r="D6505" s="1" t="str">
        <f>"05255"</f>
        <v>05255</v>
      </c>
      <c r="E6505" s="1" t="s">
        <v>28</v>
      </c>
      <c r="F6505" s="1">
        <v>9</v>
      </c>
      <c r="G6505" s="1">
        <v>6</v>
      </c>
      <c r="H6505" s="1">
        <v>1</v>
      </c>
      <c r="I6505" s="1" t="s">
        <v>12733</v>
      </c>
      <c r="K6505" s="1" t="str">
        <f t="shared" si="416"/>
        <v>ㄏ</v>
      </c>
      <c r="L6505" s="1" t="str">
        <f t="shared" si="417"/>
        <v>ㄨ</v>
      </c>
      <c r="M6505" s="1" t="str">
        <f t="shared" si="415"/>
        <v>ㄥ</v>
      </c>
      <c r="P6505" s="1" t="s">
        <v>20</v>
      </c>
      <c r="R6505" s="1" t="s">
        <v>12734</v>
      </c>
      <c r="V6505" s="1" t="s">
        <v>12738</v>
      </c>
      <c r="W6505" s="1" t="s">
        <v>12739</v>
      </c>
      <c r="AR6505" s="1" t="str">
        <f t="shared" si="418"/>
        <v>| [ㄏㄨㄥ](ㄏㄨㄥ.md) | [哄](哄.md) |  | hōng | [動]
許多人同時發聲。如：「一哄而散」。 |</v>
      </c>
    </row>
    <row r="6506" spans="1:44" hidden="1">
      <c r="A6506" s="1" t="s">
        <v>12740</v>
      </c>
      <c r="C6506" s="1">
        <v>1</v>
      </c>
      <c r="D6506" s="1" t="str">
        <f>"05256"</f>
        <v>05256</v>
      </c>
      <c r="E6506" s="1" t="s">
        <v>336</v>
      </c>
      <c r="F6506" s="1">
        <v>10</v>
      </c>
      <c r="G6506" s="1">
        <v>6</v>
      </c>
      <c r="H6506" s="1">
        <v>0</v>
      </c>
      <c r="I6506" s="1" t="s">
        <v>12733</v>
      </c>
      <c r="K6506" s="1" t="str">
        <f t="shared" si="416"/>
        <v>ㄏ</v>
      </c>
      <c r="L6506" s="1" t="str">
        <f t="shared" si="417"/>
        <v>ㄨ</v>
      </c>
      <c r="M6506" s="1" t="str">
        <f t="shared" si="415"/>
        <v>ㄥ</v>
      </c>
      <c r="P6506" s="1" t="s">
        <v>20</v>
      </c>
      <c r="R6506" s="1" t="s">
        <v>12734</v>
      </c>
      <c r="V6506" s="1" t="s">
        <v>12741</v>
      </c>
      <c r="AR6506" s="1" t="str">
        <f t="shared" si="418"/>
        <v>| [ㄏㄨㄥ](ㄏㄨㄥ.md) | [烘](烘.md) |  | hōng | [動]
1.用火烤乾或藉火取暖。如：「烘乾」、「烘手」。《水滸傳》第一〇回：「小人是牢城營差使人，被雪打濕了衣裳，借此火烘一烘。」
2.襯托、陪襯。如：「烘托」。宋．范成大〈春後微雪一宿而晴〉詩：「朝暾不與同雲便，烘作晴空萬縷霞。」宋．辛棄疾〈滿江紅．可恨東君〉詞：「更天涯、芳草最關情，烘殘日。」 |</v>
      </c>
    </row>
    <row r="6507" spans="1:44" hidden="1">
      <c r="A6507" s="1" t="s">
        <v>12742</v>
      </c>
      <c r="C6507" s="1">
        <v>1</v>
      </c>
      <c r="D6507" s="1" t="str">
        <f>"05257"</f>
        <v>05257</v>
      </c>
      <c r="E6507" s="1" t="s">
        <v>331</v>
      </c>
      <c r="F6507" s="1">
        <v>9</v>
      </c>
      <c r="G6507" s="1">
        <v>2</v>
      </c>
      <c r="H6507" s="1">
        <v>0</v>
      </c>
      <c r="I6507" s="1" t="s">
        <v>12733</v>
      </c>
      <c r="K6507" s="1" t="str">
        <f t="shared" si="416"/>
        <v>ㄏ</v>
      </c>
      <c r="L6507" s="1" t="str">
        <f t="shared" si="417"/>
        <v>ㄨ</v>
      </c>
      <c r="M6507" s="1" t="str">
        <f t="shared" si="415"/>
        <v>ㄥ</v>
      </c>
      <c r="P6507" s="1" t="s">
        <v>20</v>
      </c>
      <c r="R6507" s="1" t="s">
        <v>12734</v>
      </c>
      <c r="V6507" s="1" t="s">
        <v>12743</v>
      </c>
      <c r="AR6507" s="1" t="str">
        <f t="shared" si="418"/>
        <v>| [ㄏㄨㄥ](ㄏㄨㄥ.md) | [訇](訇.md) |  | hōng | [擬]
形容巨大的聲音。唐．李白〈夢遊天姥吟留別〉詩：「洞天石扇，訇然中開。」唐．韓愈〈華山女〉詩：「不知誰人暗相報，訇然震動如雷霆。」
[名]
1.參見「阿訇」條。
2.姓。如古代有訇琦。 |</v>
      </c>
    </row>
    <row r="6508" spans="1:44" hidden="1">
      <c r="A6508" s="1" t="s">
        <v>12744</v>
      </c>
      <c r="C6508" s="1">
        <v>1</v>
      </c>
      <c r="D6508" s="1" t="str">
        <f>"05258"</f>
        <v>05258</v>
      </c>
      <c r="E6508" s="1" t="s">
        <v>129</v>
      </c>
      <c r="F6508" s="1">
        <v>12</v>
      </c>
      <c r="G6508" s="1">
        <v>9</v>
      </c>
      <c r="H6508" s="1">
        <v>0</v>
      </c>
      <c r="I6508" s="1" t="s">
        <v>12733</v>
      </c>
      <c r="K6508" s="1" t="str">
        <f t="shared" si="416"/>
        <v>ㄏ</v>
      </c>
      <c r="L6508" s="1" t="str">
        <f t="shared" si="417"/>
        <v>ㄨ</v>
      </c>
      <c r="M6508" s="1" t="str">
        <f t="shared" si="415"/>
        <v>ㄥ</v>
      </c>
      <c r="P6508" s="1" t="s">
        <v>20</v>
      </c>
      <c r="R6508" s="1" t="s">
        <v>12734</v>
      </c>
      <c r="V6508" s="1" t="s">
        <v>12745</v>
      </c>
      <c r="AR6508" s="1" t="str">
        <f t="shared" si="418"/>
        <v>| [ㄏㄨㄥ](ㄏㄨㄥ.md) | [渹](渹.md) |  | hōng | 參見「渹湱」條。 |</v>
      </c>
    </row>
    <row r="6509" spans="1:44" hidden="1">
      <c r="A6509" s="1" t="s">
        <v>12746</v>
      </c>
      <c r="C6509" s="1">
        <v>1</v>
      </c>
      <c r="D6509" s="1" t="str">
        <f>"05259"</f>
        <v>05259</v>
      </c>
      <c r="E6509" s="1" t="s">
        <v>71</v>
      </c>
      <c r="F6509" s="1">
        <v>16</v>
      </c>
      <c r="G6509" s="1">
        <v>9</v>
      </c>
      <c r="H6509" s="1">
        <v>0</v>
      </c>
      <c r="I6509" s="1" t="s">
        <v>12733</v>
      </c>
      <c r="K6509" s="1" t="str">
        <f t="shared" si="416"/>
        <v>ㄏ</v>
      </c>
      <c r="L6509" s="1" t="str">
        <f t="shared" si="417"/>
        <v>ㄨ</v>
      </c>
      <c r="M6509" s="1" t="str">
        <f t="shared" si="415"/>
        <v>ㄥ</v>
      </c>
      <c r="P6509" s="1" t="s">
        <v>20</v>
      </c>
      <c r="R6509" s="1" t="s">
        <v>12734</v>
      </c>
      <c r="V6509" s="1" t="s">
        <v>12747</v>
      </c>
      <c r="AR6509" s="1" t="str">
        <f t="shared" si="418"/>
        <v>| [ㄏㄨㄥ](ㄏㄨㄥ.md) | [輷](輷.md) |  | hōng | [擬]
形容車聲。《玉篇．車部》：「輷，車聲也。」《史記．卷六九．蘇秦傳》：「車馬之多，日夜行不絕，輷輷殷殷，若有三軍之眾。」 |</v>
      </c>
    </row>
    <row r="6510" spans="1:44" hidden="1">
      <c r="A6510" s="1" t="s">
        <v>12748</v>
      </c>
      <c r="C6510" s="1">
        <v>1</v>
      </c>
      <c r="D6510" s="1" t="str">
        <f>"05260"</f>
        <v>05260</v>
      </c>
      <c r="E6510" s="1" t="s">
        <v>156</v>
      </c>
      <c r="F6510" s="1">
        <v>14</v>
      </c>
      <c r="G6510" s="1">
        <v>3</v>
      </c>
      <c r="H6510" s="1">
        <v>0</v>
      </c>
      <c r="I6510" s="1" t="s">
        <v>12733</v>
      </c>
      <c r="K6510" s="1" t="str">
        <f t="shared" si="416"/>
        <v>ㄏ</v>
      </c>
      <c r="L6510" s="1" t="str">
        <f t="shared" si="417"/>
        <v>ㄨ</v>
      </c>
      <c r="M6510" s="1" t="str">
        <f t="shared" si="415"/>
        <v>ㄥ</v>
      </c>
      <c r="P6510" s="1" t="s">
        <v>20</v>
      </c>
      <c r="R6510" s="1" t="s">
        <v>12734</v>
      </c>
      <c r="V6510" s="1" t="s">
        <v>12749</v>
      </c>
      <c r="AR6510" s="1" t="str">
        <f t="shared" si="418"/>
        <v>| [ㄏㄨㄥ](ㄏㄨㄥ.md) | [魟](魟.md) |  | hōng | [名]
動物名。體扁平，略呈圓形或斜方形。尾細長，呈鞭狀，具尾刺，有毒。牙細小，尾鰭退化。棲息近海底層，主食無脊動物和小魚。分布在大陸沿海地區。 |</v>
      </c>
    </row>
    <row r="6511" spans="1:44" hidden="1">
      <c r="A6511" s="1" t="s">
        <v>12750</v>
      </c>
      <c r="C6511" s="1">
        <v>1</v>
      </c>
      <c r="D6511" s="1" t="str">
        <f>"05261"</f>
        <v>05261</v>
      </c>
      <c r="E6511" s="1" t="s">
        <v>37</v>
      </c>
      <c r="F6511" s="1">
        <v>17</v>
      </c>
      <c r="G6511" s="1">
        <v>13</v>
      </c>
      <c r="H6511" s="1">
        <v>0</v>
      </c>
      <c r="I6511" s="1" t="s">
        <v>12733</v>
      </c>
      <c r="K6511" s="1" t="str">
        <f t="shared" si="416"/>
        <v>ㄏ</v>
      </c>
      <c r="L6511" s="1" t="str">
        <f t="shared" si="417"/>
        <v>ㄨ</v>
      </c>
      <c r="M6511" s="1" t="str">
        <f t="shared" si="415"/>
        <v>ㄥ</v>
      </c>
      <c r="P6511" s="1" t="s">
        <v>20</v>
      </c>
      <c r="R6511" s="1" t="s">
        <v>12734</v>
      </c>
      <c r="V6511" s="1" t="s">
        <v>12751</v>
      </c>
      <c r="AR6511" s="1" t="str">
        <f t="shared" si="418"/>
        <v>| [ㄏㄨㄥ](ㄏㄨㄥ.md) | [薨](薨.md) |  | hōng | [動]
古代諸侯或大官死亡。《禮記．曲禮下》：「天子死曰崩，諸侯曰薨。」《漢書．卷八一．匡張孔馬傳．孔光》：「及霸薨，上素服臨弔者再。」 |</v>
      </c>
    </row>
    <row r="6512" spans="1:44" hidden="1">
      <c r="A6512" s="1" t="s">
        <v>12752</v>
      </c>
      <c r="C6512" s="1">
        <v>1</v>
      </c>
      <c r="D6512" s="1" t="str">
        <f>"05262"</f>
        <v>05262</v>
      </c>
      <c r="E6512" s="1" t="s">
        <v>71</v>
      </c>
      <c r="F6512" s="1">
        <v>21</v>
      </c>
      <c r="G6512" s="1">
        <v>14</v>
      </c>
      <c r="H6512" s="1">
        <v>0</v>
      </c>
      <c r="I6512" s="1" t="s">
        <v>12733</v>
      </c>
      <c r="K6512" s="1" t="str">
        <f t="shared" si="416"/>
        <v>ㄏ</v>
      </c>
      <c r="L6512" s="1" t="str">
        <f t="shared" si="417"/>
        <v>ㄨ</v>
      </c>
      <c r="M6512" s="1" t="str">
        <f t="shared" si="415"/>
        <v>ㄥ</v>
      </c>
      <c r="P6512" s="1" t="s">
        <v>20</v>
      </c>
      <c r="R6512" s="1" t="s">
        <v>12734</v>
      </c>
      <c r="V6512" s="1" t="s">
        <v>12753</v>
      </c>
      <c r="AR6512" s="1" t="str">
        <f t="shared" si="418"/>
        <v>| [ㄏㄨㄥ](ㄏㄨㄥ.md) | [轟](轟.md) |  | hōng | [擬]
形容巨大的聲響。如：「只聽到轟的一聲，那塊巨石已被炸開了。」、「炮聲又轟轟的響起來了。」
[動]
1.擊震。如：「炮轟」。唐．元稹〈放言〉詩五首之三：「霆轟電烻數聲頻，不奈狂夫不藉身。」
2.驅逐、驅趕。如：「把他轟出去。」《兒女英雄傳》第二八回：「我是公婆娶來的，我妹子請來的，只怕你轟我不動。」 |</v>
      </c>
    </row>
    <row r="6513" spans="1:44" hidden="1">
      <c r="A6513" s="1" t="s">
        <v>12754</v>
      </c>
      <c r="C6513" s="1">
        <v>1</v>
      </c>
      <c r="D6513" s="1" t="str">
        <f>"05263"</f>
        <v>05263</v>
      </c>
      <c r="E6513" s="1" t="s">
        <v>103</v>
      </c>
      <c r="F6513" s="1">
        <v>5</v>
      </c>
      <c r="G6513" s="1">
        <v>2</v>
      </c>
      <c r="H6513" s="1">
        <v>0</v>
      </c>
      <c r="I6513" s="1" t="s">
        <v>12755</v>
      </c>
      <c r="K6513" s="1" t="str">
        <f t="shared" si="416"/>
        <v>ㄏ</v>
      </c>
      <c r="L6513" s="1" t="str">
        <f t="shared" si="417"/>
        <v>ㄨ</v>
      </c>
      <c r="M6513" s="1" t="str">
        <f t="shared" si="415"/>
        <v>ㄥ</v>
      </c>
      <c r="P6513" s="1" t="s">
        <v>20</v>
      </c>
      <c r="R6513" s="1" t="s">
        <v>12756</v>
      </c>
      <c r="V6513" s="1" t="s">
        <v>12757</v>
      </c>
      <c r="AR6513" s="1" t="str">
        <f t="shared" si="418"/>
        <v>| [ㄏㄨㄥˊ](ㄏㄨㄥˊ.md) | [弘](弘.md) |  | hóng | [形]
廣大。如：「弘願」。《清平山堂話本．快嘴李翠蓮記》：「多寫幾個弘誓願，鬼門關上若相逢。」
[動]
擴大、發揚。晉．陸機〈贈弟士龍詩〉：「非德莫懃，非道莫弘。」《新唐書．卷九七．魏徵傳》：「故道德之旨未弘，而鍥薄之風先搖。」
[名]
姓。如漢代有弘恭。 |</v>
      </c>
    </row>
    <row r="6514" spans="1:44" hidden="1">
      <c r="A6514" s="1" t="s">
        <v>12758</v>
      </c>
      <c r="C6514" s="1">
        <v>1</v>
      </c>
      <c r="D6514" s="1" t="str">
        <f>"05264"</f>
        <v>05264</v>
      </c>
      <c r="E6514" s="1" t="s">
        <v>129</v>
      </c>
      <c r="F6514" s="1">
        <v>8</v>
      </c>
      <c r="G6514" s="1">
        <v>5</v>
      </c>
      <c r="H6514" s="1">
        <v>0</v>
      </c>
      <c r="I6514" s="1" t="s">
        <v>12755</v>
      </c>
      <c r="K6514" s="1" t="str">
        <f t="shared" si="416"/>
        <v>ㄏ</v>
      </c>
      <c r="L6514" s="1" t="str">
        <f t="shared" si="417"/>
        <v>ㄨ</v>
      </c>
      <c r="M6514" s="1" t="str">
        <f t="shared" si="415"/>
        <v>ㄥ</v>
      </c>
      <c r="P6514" s="1" t="s">
        <v>20</v>
      </c>
      <c r="R6514" s="1" t="s">
        <v>12756</v>
      </c>
      <c r="V6514" s="1" t="s">
        <v>12759</v>
      </c>
      <c r="AR6514" s="1" t="str">
        <f t="shared" si="418"/>
        <v>| [ㄏㄨㄥˊ](ㄏㄨㄥˊ.md) | [泓](泓.md) |  | hóng | [形]
水深廣的樣子。《說文解字．水部》：「泓，下深貌。」唐．張又新〈青嶴山〉詩：「靈海泓澄匝翠峰，昔賢心賞已成空。」 |</v>
      </c>
    </row>
    <row r="6515" spans="1:44" hidden="1">
      <c r="A6515" s="1" t="s">
        <v>12760</v>
      </c>
      <c r="C6515" s="1">
        <v>1</v>
      </c>
      <c r="D6515" s="1" t="str">
        <f>"05265"</f>
        <v>05265</v>
      </c>
      <c r="E6515" s="1" t="s">
        <v>96</v>
      </c>
      <c r="F6515" s="1">
        <v>14</v>
      </c>
      <c r="G6515" s="1">
        <v>5</v>
      </c>
      <c r="H6515" s="1">
        <v>0</v>
      </c>
      <c r="I6515" s="1" t="s">
        <v>12755</v>
      </c>
      <c r="K6515" s="1" t="str">
        <f t="shared" si="416"/>
        <v>ㄏ</v>
      </c>
      <c r="L6515" s="1" t="str">
        <f t="shared" si="417"/>
        <v>ㄨ</v>
      </c>
      <c r="M6515" s="1" t="str">
        <f t="shared" si="415"/>
        <v>ㄥ</v>
      </c>
      <c r="P6515" s="1" t="s">
        <v>20</v>
      </c>
      <c r="R6515" s="1" t="s">
        <v>12756</v>
      </c>
      <c r="V6515" s="1" t="s">
        <v>12761</v>
      </c>
      <c r="AR6515" s="1" t="str">
        <f t="shared" si="418"/>
        <v>| [ㄏㄨㄥˊ](ㄏㄨㄥˊ.md) | [鞃](鞃.md) |  | hóng | [名]
車軾中間，用皮革裹紮，供人把手之處。《說文解字．革部》「鞃」字．清．段玉裁．注：「謂以去毛之皮鞔軾中人所憑處。」《詩經．大雅．韓奕》：「鞹鞃淺幭，鞗革金厄。」 |</v>
      </c>
    </row>
    <row r="6516" spans="1:44" hidden="1">
      <c r="A6516" s="1" t="s">
        <v>12762</v>
      </c>
      <c r="C6516" s="1">
        <v>1</v>
      </c>
      <c r="D6516" s="1" t="str">
        <f>"05266"</f>
        <v>05266</v>
      </c>
      <c r="E6516" s="1" t="s">
        <v>624</v>
      </c>
      <c r="F6516" s="1">
        <v>7</v>
      </c>
      <c r="G6516" s="1">
        <v>4</v>
      </c>
      <c r="H6516" s="1">
        <v>0</v>
      </c>
      <c r="I6516" s="1" t="s">
        <v>12755</v>
      </c>
      <c r="K6516" s="1" t="str">
        <f t="shared" si="416"/>
        <v>ㄏ</v>
      </c>
      <c r="L6516" s="1" t="str">
        <f t="shared" si="417"/>
        <v>ㄨ</v>
      </c>
      <c r="M6516" s="1" t="str">
        <f t="shared" si="415"/>
        <v>ㄥ</v>
      </c>
      <c r="P6516" s="1" t="s">
        <v>20</v>
      </c>
      <c r="R6516" s="1" t="s">
        <v>12756</v>
      </c>
      <c r="V6516" s="1" t="s">
        <v>12763</v>
      </c>
      <c r="AR6516" s="1" t="str">
        <f t="shared" si="418"/>
        <v>| [ㄏㄨㄥˊ](ㄏㄨㄥˊ.md) | [宏](宏.md) |  | hóng | [形]
1.廣博、深遠、遠大。如：「宏大」、「宏偉」、「寬宏大量」。《三國志．卷二一．魏書．傅嘏傳》：「蓋聞帝制宏深，聖道奧遠。」
2.聲音響亮。如：「哭聲宏亮」。《周禮．冬官考工記．梓人》：「其聲大而宏，有力而不能走。」
[動]
擴大、光大。《文選．潘岳．楊荊州誄》：「將宏王略，肅清荒遐。」
[名]
姓。如明代有宏承。 |</v>
      </c>
    </row>
    <row r="6517" spans="1:44" hidden="1">
      <c r="A6517" s="1" t="s">
        <v>12764</v>
      </c>
      <c r="C6517" s="1">
        <v>1</v>
      </c>
      <c r="D6517" s="1" t="str">
        <f>"05267"</f>
        <v>05267</v>
      </c>
      <c r="E6517" s="1" t="s">
        <v>28</v>
      </c>
      <c r="F6517" s="1">
        <v>7</v>
      </c>
      <c r="G6517" s="1">
        <v>4</v>
      </c>
      <c r="H6517" s="1">
        <v>0</v>
      </c>
      <c r="I6517" s="1" t="s">
        <v>12755</v>
      </c>
      <c r="K6517" s="1" t="str">
        <f t="shared" si="416"/>
        <v>ㄏ</v>
      </c>
      <c r="L6517" s="1" t="str">
        <f t="shared" si="417"/>
        <v>ㄨ</v>
      </c>
      <c r="M6517" s="1" t="str">
        <f t="shared" si="415"/>
        <v>ㄥ</v>
      </c>
      <c r="P6517" s="1" t="s">
        <v>20</v>
      </c>
      <c r="R6517" s="1" t="s">
        <v>12756</v>
      </c>
      <c r="V6517" s="1" t="s">
        <v>12765</v>
      </c>
      <c r="AR6517" s="1" t="str">
        <f t="shared" si="418"/>
        <v>| [ㄏㄨㄥˊ](ㄏㄨㄥˊ.md) | [吰](吰.md) |  | hóng | 參見「噌吰」條。 |</v>
      </c>
    </row>
    <row r="6518" spans="1:44" hidden="1">
      <c r="A6518" s="1" t="s">
        <v>12766</v>
      </c>
      <c r="C6518" s="1">
        <v>1</v>
      </c>
      <c r="D6518" s="1" t="str">
        <f>"05268"</f>
        <v>05268</v>
      </c>
      <c r="E6518" s="1" t="s">
        <v>5784</v>
      </c>
      <c r="F6518" s="1">
        <v>9</v>
      </c>
      <c r="G6518" s="1">
        <v>4</v>
      </c>
      <c r="H6518" s="1">
        <v>0</v>
      </c>
      <c r="I6518" s="1" t="s">
        <v>12755</v>
      </c>
      <c r="K6518" s="1" t="str">
        <f t="shared" si="416"/>
        <v>ㄏ</v>
      </c>
      <c r="L6518" s="1" t="str">
        <f t="shared" si="417"/>
        <v>ㄨ</v>
      </c>
      <c r="M6518" s="1" t="str">
        <f t="shared" si="415"/>
        <v>ㄥ</v>
      </c>
      <c r="P6518" s="1" t="s">
        <v>20</v>
      </c>
      <c r="R6518" s="1" t="s">
        <v>12756</v>
      </c>
      <c r="V6518" s="1" t="s">
        <v>12767</v>
      </c>
      <c r="AR6518" s="1" t="str">
        <f t="shared" si="418"/>
        <v>| [ㄏㄨㄥˊ](ㄏㄨㄥˊ.md) | [竑](竑.md) |  | hóng | [動]
度量。《周禮．冬官考工記．輪人》：「故竑其輻廣以為之弱，則雖有重任，轂不折。」
[形]
廣博。明．黃寶〈賈太傅新書序〉：「故正言竑議，卓卓乎其奇偉，悠悠乎其深長。」 |</v>
      </c>
    </row>
    <row r="6519" spans="1:44" hidden="1">
      <c r="A6519" s="1" t="s">
        <v>12768</v>
      </c>
      <c r="C6519" s="1">
        <v>1</v>
      </c>
      <c r="D6519" s="1" t="str">
        <f>"05269"</f>
        <v>05269</v>
      </c>
      <c r="E6519" s="1" t="s">
        <v>2419</v>
      </c>
      <c r="F6519" s="1">
        <v>10</v>
      </c>
      <c r="G6519" s="1">
        <v>4</v>
      </c>
      <c r="H6519" s="1">
        <v>0</v>
      </c>
      <c r="I6519" s="1" t="s">
        <v>12755</v>
      </c>
      <c r="K6519" s="1" t="str">
        <f t="shared" si="416"/>
        <v>ㄏ</v>
      </c>
      <c r="L6519" s="1" t="str">
        <f t="shared" si="417"/>
        <v>ㄨ</v>
      </c>
      <c r="M6519" s="1" t="str">
        <f t="shared" si="415"/>
        <v>ㄥ</v>
      </c>
      <c r="P6519" s="1" t="s">
        <v>20</v>
      </c>
      <c r="R6519" s="1" t="s">
        <v>12756</v>
      </c>
      <c r="V6519" s="1" t="s">
        <v>12769</v>
      </c>
      <c r="AR6519" s="1" t="str">
        <f t="shared" si="418"/>
        <v>| [ㄏㄨㄥˊ](ㄏㄨㄥˊ.md) | [耾](耾.md) |  | hóng | [形]
1.耳朵聽不見。清．王念孫《廣雅疏證．卷三上．釋詁》：「耾，聾也。」
2.參見「耾耾」條。 |</v>
      </c>
    </row>
    <row r="6520" spans="1:44" hidden="1">
      <c r="A6520" s="1" t="s">
        <v>12770</v>
      </c>
      <c r="C6520" s="1">
        <v>1</v>
      </c>
      <c r="D6520" s="1" t="str">
        <f>"05270"</f>
        <v>05270</v>
      </c>
      <c r="E6520" s="1" t="s">
        <v>2271</v>
      </c>
      <c r="F6520" s="1">
        <v>10</v>
      </c>
      <c r="G6520" s="1">
        <v>4</v>
      </c>
      <c r="H6520" s="1">
        <v>0</v>
      </c>
      <c r="I6520" s="1" t="s">
        <v>12755</v>
      </c>
      <c r="K6520" s="1" t="str">
        <f t="shared" si="416"/>
        <v>ㄏ</v>
      </c>
      <c r="L6520" s="1" t="str">
        <f t="shared" si="417"/>
        <v>ㄨ</v>
      </c>
      <c r="M6520" s="1" t="str">
        <f t="shared" si="415"/>
        <v>ㄥ</v>
      </c>
      <c r="P6520" s="1" t="s">
        <v>20</v>
      </c>
      <c r="R6520" s="1" t="s">
        <v>12756</v>
      </c>
      <c r="V6520" s="1" t="s">
        <v>12771</v>
      </c>
      <c r="AR6520" s="1" t="str">
        <f t="shared" si="418"/>
        <v>| [ㄏㄨㄥˊ](ㄏㄨㄥˊ.md) | [翃](翃.md) |  | hóng | [形]
蟲飛的樣子。《廣韻．平聲．耕韻》：「翃，蟲飛。」 |</v>
      </c>
    </row>
    <row r="6521" spans="1:44" hidden="1">
      <c r="A6521" s="1" t="s">
        <v>12772</v>
      </c>
      <c r="C6521" s="1">
        <v>1</v>
      </c>
      <c r="D6521" s="1" t="str">
        <f>"05271"</f>
        <v>05271</v>
      </c>
      <c r="E6521" s="1" t="s">
        <v>725</v>
      </c>
      <c r="F6521" s="1">
        <v>10</v>
      </c>
      <c r="G6521" s="1">
        <v>4</v>
      </c>
      <c r="H6521" s="1">
        <v>0</v>
      </c>
      <c r="I6521" s="1" t="s">
        <v>12755</v>
      </c>
      <c r="K6521" s="1" t="str">
        <f t="shared" si="416"/>
        <v>ㄏ</v>
      </c>
      <c r="L6521" s="1" t="str">
        <f t="shared" si="417"/>
        <v>ㄨ</v>
      </c>
      <c r="M6521" s="1" t="str">
        <f t="shared" si="415"/>
        <v>ㄥ</v>
      </c>
      <c r="P6521" s="1" t="s">
        <v>20</v>
      </c>
      <c r="R6521" s="1" t="s">
        <v>12756</v>
      </c>
      <c r="V6521" s="1" t="s">
        <v>12773</v>
      </c>
      <c r="AR6521" s="1" t="str">
        <f t="shared" si="418"/>
        <v>| [ㄏㄨㄥˊ](ㄏㄨㄥˊ.md) | [紘](紘.md) |  | hóng | [名]
1.古代繫在冠冕下的帽帶。《禮記．雜記下》：「管仲鏤簋而朱紘，旅樹而反坫，山節而藻梲，賢大夫也。」唐．韓愈、孟郊〈城南聯句〉：「朝冠飄彩紘，爵勛逮僮隸。」
2.繩子、繩網。《儀禮．大射儀》：「簜在建鼓之間，鞀倚于頌磬西紘。」《文選．班固．西都賦》：「罘網連紘，籠山絡野。」
3.綱紀、綱維。漢．蔡邕〈釋誨〉：「天網縱，人紘弛。」
[形]
宏大、廣大。《淮南子．精神》：「夫天地之道，至紘以大。」 |</v>
      </c>
    </row>
    <row r="6522" spans="1:44" hidden="1">
      <c r="A6522" s="1" t="s">
        <v>12774</v>
      </c>
      <c r="C6522" s="1">
        <v>1</v>
      </c>
      <c r="D6522" s="1" t="str">
        <f>"05272"</f>
        <v>05272</v>
      </c>
      <c r="E6522" s="1" t="s">
        <v>10156</v>
      </c>
      <c r="F6522" s="1">
        <v>11</v>
      </c>
      <c r="G6522" s="1">
        <v>4</v>
      </c>
      <c r="H6522" s="1">
        <v>0</v>
      </c>
      <c r="I6522" s="1" t="s">
        <v>12755</v>
      </c>
      <c r="K6522" s="1" t="str">
        <f t="shared" si="416"/>
        <v>ㄏ</v>
      </c>
      <c r="L6522" s="1" t="str">
        <f t="shared" si="417"/>
        <v>ㄨ</v>
      </c>
      <c r="M6522" s="1" t="str">
        <f t="shared" si="415"/>
        <v>ㄥ</v>
      </c>
      <c r="P6522" s="1" t="s">
        <v>20</v>
      </c>
      <c r="R6522" s="1" t="s">
        <v>12756</v>
      </c>
      <c r="V6522" s="1" t="s">
        <v>12775</v>
      </c>
      <c r="AR6522" s="1" t="str">
        <f t="shared" si="418"/>
        <v>| [ㄏㄨㄥˊ](ㄏㄨㄥˊ.md) | [谹](谹.md) |  | hóng | [形]
精深。《漢書．卷五七．司馬相如傳下》：「必將崇論谹議，創業垂統，為萬世規。」 |</v>
      </c>
    </row>
    <row r="6523" spans="1:44" hidden="1">
      <c r="A6523" s="1" t="s">
        <v>12776</v>
      </c>
      <c r="C6523" s="1">
        <v>1</v>
      </c>
      <c r="D6523" s="1" t="str">
        <f>"05273"</f>
        <v>05273</v>
      </c>
      <c r="E6523" s="1" t="s">
        <v>709</v>
      </c>
      <c r="F6523" s="1">
        <v>12</v>
      </c>
      <c r="G6523" s="1">
        <v>4</v>
      </c>
      <c r="H6523" s="1">
        <v>0</v>
      </c>
      <c r="I6523" s="1" t="s">
        <v>12755</v>
      </c>
      <c r="K6523" s="1" t="str">
        <f t="shared" si="416"/>
        <v>ㄏ</v>
      </c>
      <c r="L6523" s="1" t="str">
        <f t="shared" si="417"/>
        <v>ㄨ</v>
      </c>
      <c r="M6523" s="1" t="str">
        <f t="shared" si="415"/>
        <v>ㄥ</v>
      </c>
      <c r="P6523" s="1" t="s">
        <v>20</v>
      </c>
      <c r="R6523" s="1" t="s">
        <v>12756</v>
      </c>
      <c r="V6523" s="1" t="s">
        <v>12777</v>
      </c>
      <c r="AR6523" s="1" t="str">
        <f t="shared" si="418"/>
        <v>| [ㄏㄨㄥˊ](ㄏㄨㄥˊ.md) | [閎](閎.md) |  | hóng | [名]
1.巷口的門。《說文解字．門部》：「閎，巷門。」《左傳．成公十七年》：「齊慶克通于聲孟子，與婦人蒙衣乘輦而入于閎。」晉．杜預．注：「閎，巷門。」《新唐書．卷一九六．隱逸傳．張志和傳》：「以門隘，為買地大其閎，號回軒巷。」
2.姓。如西周時有閎夭。
[形]
1.寬闊、寬廣。《禮記．月令》：「食稷與牛，其器圜以閎。」《淮南子．齊俗》：「故其見不遠者，不可與語大；其智不閎者，不可與論至。」
2.宏大。《韓非子．難言》：「閎大廣博，妙遠不測。」 |</v>
      </c>
    </row>
    <row r="6524" spans="1:44" hidden="1">
      <c r="A6524" s="1" t="s">
        <v>12778</v>
      </c>
      <c r="C6524" s="1">
        <v>1</v>
      </c>
      <c r="D6524" s="1" t="str">
        <f>"05274"</f>
        <v>05274</v>
      </c>
      <c r="E6524" s="1" t="s">
        <v>55</v>
      </c>
      <c r="F6524" s="1">
        <v>12</v>
      </c>
      <c r="G6524" s="1">
        <v>4</v>
      </c>
      <c r="H6524" s="1">
        <v>0</v>
      </c>
      <c r="I6524" s="1" t="s">
        <v>12755</v>
      </c>
      <c r="K6524" s="1" t="str">
        <f t="shared" si="416"/>
        <v>ㄏ</v>
      </c>
      <c r="L6524" s="1" t="str">
        <f t="shared" si="417"/>
        <v>ㄨ</v>
      </c>
      <c r="M6524" s="1" t="str">
        <f t="shared" si="415"/>
        <v>ㄥ</v>
      </c>
      <c r="P6524" s="1" t="s">
        <v>20</v>
      </c>
      <c r="R6524" s="1" t="s">
        <v>12756</v>
      </c>
      <c r="V6524" s="1" t="s">
        <v>12779</v>
      </c>
      <c r="AR6524" s="1" t="str">
        <f t="shared" si="418"/>
        <v>| [ㄏㄨㄥˊ](ㄏㄨㄥˊ.md) | [鈜](鈜.md) |  | hóng | [擬]
形容鐘鼓的聲音。《集韻．平聲．耕韻》：「鈜，鏗鈜，鐘鼓聲。」 |</v>
      </c>
    </row>
    <row r="6525" spans="1:44" hidden="1">
      <c r="A6525" s="1" t="s">
        <v>12780</v>
      </c>
      <c r="C6525" s="1">
        <v>1</v>
      </c>
      <c r="D6525" s="1" t="str">
        <f>"05275"</f>
        <v>05275</v>
      </c>
      <c r="E6525" s="1" t="s">
        <v>55</v>
      </c>
      <c r="F6525" s="1">
        <v>15</v>
      </c>
      <c r="G6525" s="1">
        <v>7</v>
      </c>
      <c r="H6525" s="1">
        <v>0</v>
      </c>
      <c r="I6525" s="1" t="s">
        <v>12755</v>
      </c>
      <c r="K6525" s="1" t="str">
        <f t="shared" si="416"/>
        <v>ㄏ</v>
      </c>
      <c r="L6525" s="1" t="str">
        <f t="shared" si="417"/>
        <v>ㄨ</v>
      </c>
      <c r="M6525" s="1" t="str">
        <f t="shared" si="415"/>
        <v>ㄥ</v>
      </c>
      <c r="P6525" s="1" t="s">
        <v>20</v>
      </c>
      <c r="R6525" s="1" t="s">
        <v>12756</v>
      </c>
      <c r="V6525" s="1" t="s">
        <v>12781</v>
      </c>
      <c r="AR6525" s="1" t="str">
        <f t="shared" si="418"/>
        <v>| [ㄏㄨㄥˊ](ㄏㄨㄥˊ.md) | [鋐](鋐.md) |  | hóng | [名]
器具。《玉篇．金部》：「鋐，器也。」 |</v>
      </c>
    </row>
    <row r="6526" spans="1:44" hidden="1">
      <c r="A6526" s="1" t="s">
        <v>12782</v>
      </c>
      <c r="C6526" s="1">
        <v>1</v>
      </c>
      <c r="D6526" s="1" t="str">
        <f>"05276"</f>
        <v>05276</v>
      </c>
      <c r="E6526" s="1" t="s">
        <v>129</v>
      </c>
      <c r="F6526" s="1">
        <v>9</v>
      </c>
      <c r="G6526" s="1">
        <v>6</v>
      </c>
      <c r="H6526" s="1">
        <v>0</v>
      </c>
      <c r="I6526" s="1" t="s">
        <v>12755</v>
      </c>
      <c r="K6526" s="1" t="str">
        <f t="shared" si="416"/>
        <v>ㄏ</v>
      </c>
      <c r="L6526" s="1" t="str">
        <f t="shared" si="417"/>
        <v>ㄨ</v>
      </c>
      <c r="M6526" s="1" t="str">
        <f t="shared" si="415"/>
        <v>ㄥ</v>
      </c>
      <c r="P6526" s="1" t="s">
        <v>20</v>
      </c>
      <c r="R6526" s="1" t="s">
        <v>12756</v>
      </c>
      <c r="V6526" s="1" t="s">
        <v>12783</v>
      </c>
      <c r="AR6526" s="1" t="str">
        <f t="shared" si="418"/>
        <v>| [ㄏㄨㄥˊ](ㄏㄨㄥˊ.md) | [洪](洪.md) |  | hóng | [名]
1.大水。如：「防洪」、「洩洪」、「山洪暴發」。
2.姓。如清代有洪秀全。
[形]
大的。如：「洪恩」、「洪水」、「聲如洪鐘」、「洪福齊天」。 |</v>
      </c>
    </row>
    <row r="6527" spans="1:44" hidden="1">
      <c r="A6527" s="1" t="s">
        <v>12784</v>
      </c>
      <c r="C6527" s="1">
        <v>1</v>
      </c>
      <c r="D6527" s="1" t="str">
        <f>"05277"</f>
        <v>05277</v>
      </c>
      <c r="E6527" s="1" t="s">
        <v>55</v>
      </c>
      <c r="F6527" s="1">
        <v>14</v>
      </c>
      <c r="G6527" s="1">
        <v>6</v>
      </c>
      <c r="H6527" s="1">
        <v>0</v>
      </c>
      <c r="I6527" s="1" t="s">
        <v>12755</v>
      </c>
      <c r="K6527" s="1" t="str">
        <f t="shared" si="416"/>
        <v>ㄏ</v>
      </c>
      <c r="L6527" s="1" t="str">
        <f t="shared" si="417"/>
        <v>ㄨ</v>
      </c>
      <c r="M6527" s="1" t="str">
        <f t="shared" ref="M6527:M6540" si="419">MID(I6527, 3, 1)</f>
        <v>ㄥ</v>
      </c>
      <c r="P6527" s="1" t="s">
        <v>20</v>
      </c>
      <c r="R6527" s="1" t="s">
        <v>12756</v>
      </c>
      <c r="V6527" s="1" t="s">
        <v>12785</v>
      </c>
      <c r="AR6527" s="1" t="str">
        <f t="shared" si="418"/>
        <v>| [ㄏㄨㄥˊ](ㄏㄨㄥˊ.md) | [鉷](鉷.md) |  | hóng | [名]
弓上用來鉤弦發矢的裝置。《玉篇．金部》：「鉷，弩牙也。」 |</v>
      </c>
    </row>
    <row r="6528" spans="1:44" hidden="1">
      <c r="A6528" s="1" t="s">
        <v>12786</v>
      </c>
      <c r="C6528" s="1">
        <v>1</v>
      </c>
      <c r="D6528" s="1" t="str">
        <f>"05278"</f>
        <v>05278</v>
      </c>
      <c r="E6528" s="1" t="s">
        <v>679</v>
      </c>
      <c r="F6528" s="1">
        <v>9</v>
      </c>
      <c r="G6528" s="1">
        <v>3</v>
      </c>
      <c r="H6528" s="1">
        <v>0</v>
      </c>
      <c r="I6528" s="1" t="s">
        <v>12755</v>
      </c>
      <c r="K6528" s="1" t="str">
        <f t="shared" si="416"/>
        <v>ㄏ</v>
      </c>
      <c r="L6528" s="1" t="str">
        <f t="shared" si="417"/>
        <v>ㄨ</v>
      </c>
      <c r="M6528" s="1" t="str">
        <f t="shared" si="419"/>
        <v>ㄥ</v>
      </c>
      <c r="P6528" s="1" t="s">
        <v>20</v>
      </c>
      <c r="R6528" s="1" t="s">
        <v>12756</v>
      </c>
      <c r="V6528" s="1" t="s">
        <v>12787</v>
      </c>
      <c r="AR6528" s="1" t="str">
        <f t="shared" si="418"/>
        <v>| [ㄏㄨㄥˊ](ㄏㄨㄥˊ.md) | [虹](虹.md) |  | hóng | [名]
1.參見「彩虹」條。
2.比喻如虹式的長橋。唐．陸龜蒙〈和龔美詠皋橋〉詩：「橫截春流架斷虹，憑欄猶思五噫風。」 |</v>
      </c>
    </row>
    <row r="6529" spans="1:44" hidden="1">
      <c r="A6529" s="1" t="s">
        <v>10644</v>
      </c>
      <c r="C6529" s="1">
        <v>1</v>
      </c>
      <c r="D6529" s="1" t="str">
        <f>"05279"</f>
        <v>05279</v>
      </c>
      <c r="E6529" s="1" t="s">
        <v>725</v>
      </c>
      <c r="F6529" s="1">
        <v>9</v>
      </c>
      <c r="G6529" s="1">
        <v>3</v>
      </c>
      <c r="H6529" s="1">
        <v>1</v>
      </c>
      <c r="I6529" s="1" t="s">
        <v>12755</v>
      </c>
      <c r="K6529" s="1" t="str">
        <f t="shared" ref="K6529:K6592" si="420">LEFT(I6529, 1)</f>
        <v>ㄏ</v>
      </c>
      <c r="L6529" s="1" t="str">
        <f t="shared" ref="L6529:L6592" si="421">MID(I6529, 2, 1)</f>
        <v>ㄨ</v>
      </c>
      <c r="M6529" s="1" t="str">
        <f t="shared" si="419"/>
        <v>ㄥ</v>
      </c>
      <c r="P6529" s="1" t="s">
        <v>20</v>
      </c>
      <c r="R6529" s="1" t="s">
        <v>12756</v>
      </c>
      <c r="V6529" s="1" t="s">
        <v>12788</v>
      </c>
      <c r="W6529" s="1" t="s">
        <v>12789</v>
      </c>
      <c r="AR6529" s="1" t="str">
        <f t="shared" si="418"/>
        <v>| [ㄏㄨㄥˊ](ㄏㄨㄥˊ.md) | [紅](紅.md) |  | hóng | [名]
1.似血的顏色。
2.充作禮物的紅色綾羅。後亦借指禮物。唐．楊汝士〈賀筵占贈營妓〉詩：「一曲高歌紅一疋，兩頭娘子謝夫人。」《西遊記》第一九回：「又沒個三媒六證，又無些茶紅酒禮。」
3.花的代稱。如：「殘紅」。清．龔自珍〈己亥雜詩〉三一五首之五：「落紅不是無情物，化做春泥更護花。」
4.借指美人。如：「偎紅倚翠」。唐．陸龜蒙〈置酒行〉：「千筠擲毫春譜大，碧舞紅啼相唱和。」
5.利潤。如：「分紅」。
6.喜事。《紅樓夢》第七二回：「還有幾家紅白大禮，至少還得三二千兩銀子用。」
[動]
1.使變紅、呈現紅色。如：「她紅了臉，羞得說不出話來。」宋．蔣捷〈一剪梅．一片春愁待酒澆〉詞：「紅了櫻桃，綠了芭蕉。」
2.成功、顯耀。如：「走紅影壇」、「他因主演此片而紅了。」
3.得寵、受寵。如：「公司員工中，就屬老黃最紅，大家都對他敬畏三分。」
[形]
1.紅色的。如：「紅布」、「紅髮」、「紅光」。
2.受人注目、受歡迎的。如：「紅人」、「紅星」。 |</v>
      </c>
    </row>
    <row r="6530" spans="1:44" hidden="1">
      <c r="A6530" s="1" t="s">
        <v>12790</v>
      </c>
      <c r="C6530" s="1">
        <v>1</v>
      </c>
      <c r="D6530" s="1" t="str">
        <f>"05280"</f>
        <v>05280</v>
      </c>
      <c r="E6530" s="1" t="s">
        <v>331</v>
      </c>
      <c r="F6530" s="1">
        <v>10</v>
      </c>
      <c r="G6530" s="1">
        <v>3</v>
      </c>
      <c r="H6530" s="1">
        <v>0</v>
      </c>
      <c r="I6530" s="1" t="s">
        <v>12755</v>
      </c>
      <c r="K6530" s="1" t="str">
        <f t="shared" si="420"/>
        <v>ㄏ</v>
      </c>
      <c r="L6530" s="1" t="str">
        <f t="shared" si="421"/>
        <v>ㄨ</v>
      </c>
      <c r="M6530" s="1" t="str">
        <f t="shared" si="419"/>
        <v>ㄥ</v>
      </c>
      <c r="P6530" s="1" t="s">
        <v>20</v>
      </c>
      <c r="R6530" s="1" t="s">
        <v>12756</v>
      </c>
      <c r="V6530" s="1" t="s">
        <v>12791</v>
      </c>
      <c r="AR6530" s="1" t="str">
        <f t="shared" si="418"/>
        <v>| [ㄏㄨㄥˊ](ㄏㄨㄥˊ.md) | [訌](訌.md) |  | hóng | 參見「內訌」條。 |</v>
      </c>
    </row>
    <row r="6531" spans="1:44" hidden="1">
      <c r="A6531" s="1" t="s">
        <v>12792</v>
      </c>
      <c r="C6531" s="1">
        <v>1</v>
      </c>
      <c r="D6531" s="1" t="str">
        <f>"05281"</f>
        <v>05281</v>
      </c>
      <c r="E6531" s="1" t="s">
        <v>37</v>
      </c>
      <c r="F6531" s="1">
        <v>13</v>
      </c>
      <c r="G6531" s="1">
        <v>9</v>
      </c>
      <c r="H6531" s="1">
        <v>0</v>
      </c>
      <c r="I6531" s="1" t="s">
        <v>12755</v>
      </c>
      <c r="K6531" s="1" t="str">
        <f t="shared" si="420"/>
        <v>ㄏ</v>
      </c>
      <c r="L6531" s="1" t="str">
        <f t="shared" si="421"/>
        <v>ㄨ</v>
      </c>
      <c r="M6531" s="1" t="str">
        <f t="shared" si="419"/>
        <v>ㄥ</v>
      </c>
      <c r="P6531" s="1" t="s">
        <v>20</v>
      </c>
      <c r="R6531" s="1" t="s">
        <v>12756</v>
      </c>
      <c r="V6531" s="1" t="s">
        <v>12793</v>
      </c>
      <c r="AR6531" s="1" t="str">
        <f t="shared" ref="AR6531:AR6594" si="422">"| ["&amp;I6531&amp;"]("&amp;I6531&amp;".md) | ["&amp;A6531&amp;"]("&amp;A6531&amp;".md) | "&amp;" | "&amp;R6531&amp;" | "&amp;V6531&amp;" |"</f>
        <v>| [ㄏㄨㄥˊ](ㄏㄨㄥˊ.md) | [葒](葒.md) |  | hóng | [名]
植物名。蓼科蓼屬，「游龍」、「葒草」之古稱，參見「游龍」條。 |</v>
      </c>
    </row>
    <row r="6532" spans="1:44" hidden="1">
      <c r="A6532" s="1" t="s">
        <v>12794</v>
      </c>
      <c r="C6532" s="1">
        <v>1</v>
      </c>
      <c r="D6532" s="1" t="str">
        <f>"05282"</f>
        <v>05282</v>
      </c>
      <c r="E6532" s="1" t="s">
        <v>272</v>
      </c>
      <c r="F6532" s="1">
        <v>17</v>
      </c>
      <c r="G6532" s="1">
        <v>6</v>
      </c>
      <c r="H6532" s="1">
        <v>0</v>
      </c>
      <c r="I6532" s="1" t="s">
        <v>12755</v>
      </c>
      <c r="K6532" s="1" t="str">
        <f t="shared" si="420"/>
        <v>ㄏ</v>
      </c>
      <c r="L6532" s="1" t="str">
        <f t="shared" si="421"/>
        <v>ㄨ</v>
      </c>
      <c r="M6532" s="1" t="str">
        <f t="shared" si="419"/>
        <v>ㄥ</v>
      </c>
      <c r="P6532" s="1" t="s">
        <v>20</v>
      </c>
      <c r="R6532" s="1" t="s">
        <v>12756</v>
      </c>
      <c r="V6532" s="1" t="s">
        <v>12795</v>
      </c>
      <c r="AR6532" s="1" t="str">
        <f t="shared" si="422"/>
        <v>| [ㄏㄨㄥˊ](ㄏㄨㄥˊ.md) | [鴻](鴻.md) |  | hóng | [名]
1.動物名。鳥綱雁形目。體型較雁大，背頸灰色，翅黑色，腹白色。
2.借指書信。如：「來鴻」。元．王實甫《西廂記．第三本．第一折》：「自別顏範，鴻稀鱗絕，悲愴不勝。」
[形]
大、盛。通「洪」、「宏」、「弘」。如：「鴻願」、「鴻志」、「鴻恩」、「鴻圖大展」。 |</v>
      </c>
    </row>
    <row r="6533" spans="1:44" hidden="1">
      <c r="A6533" s="1" t="s">
        <v>12796</v>
      </c>
      <c r="C6533" s="1">
        <v>1</v>
      </c>
      <c r="D6533" s="1" t="str">
        <f>"05283"</f>
        <v>05283</v>
      </c>
      <c r="E6533" s="1" t="s">
        <v>103</v>
      </c>
      <c r="F6533" s="1">
        <v>16</v>
      </c>
      <c r="G6533" s="1">
        <v>13</v>
      </c>
      <c r="H6533" s="1">
        <v>0</v>
      </c>
      <c r="I6533" s="1" t="s">
        <v>12755</v>
      </c>
      <c r="K6533" s="1" t="str">
        <f t="shared" si="420"/>
        <v>ㄏ</v>
      </c>
      <c r="L6533" s="1" t="str">
        <f t="shared" si="421"/>
        <v>ㄨ</v>
      </c>
      <c r="M6533" s="1" t="str">
        <f t="shared" si="419"/>
        <v>ㄥ</v>
      </c>
      <c r="P6533" s="1" t="s">
        <v>20</v>
      </c>
      <c r="R6533" s="1" t="s">
        <v>12756</v>
      </c>
      <c r="V6533" s="1" t="s">
        <v>12797</v>
      </c>
      <c r="AR6533" s="1" t="str">
        <f t="shared" si="422"/>
        <v>| [ㄏㄨㄥˊ](ㄏㄨㄥˊ.md) | [彋](彋.md) |  | hóng | [擬]
弸彋：形容風吹帷帳的聲音。《文選．揚雄．甘泉賦》：「帷弸彋其拂汩兮，稍暗暗而靚深。」 |</v>
      </c>
    </row>
    <row r="6534" spans="1:44" hidden="1">
      <c r="A6534" s="1" t="s">
        <v>12798</v>
      </c>
      <c r="C6534" s="1">
        <v>1</v>
      </c>
      <c r="D6534" s="1" t="str">
        <f>"05284"</f>
        <v>05284</v>
      </c>
      <c r="E6534" s="1" t="s">
        <v>190</v>
      </c>
      <c r="F6534" s="1">
        <v>17</v>
      </c>
      <c r="G6534" s="1">
        <v>14</v>
      </c>
      <c r="H6534" s="1">
        <v>2</v>
      </c>
      <c r="I6534" s="1" t="s">
        <v>12755</v>
      </c>
      <c r="K6534" s="1" t="str">
        <f t="shared" si="420"/>
        <v>ㄏ</v>
      </c>
      <c r="L6534" s="1" t="str">
        <f t="shared" si="421"/>
        <v>ㄨ</v>
      </c>
      <c r="M6534" s="1" t="str">
        <f t="shared" si="419"/>
        <v>ㄥ</v>
      </c>
      <c r="P6534" s="1" t="s">
        <v>110</v>
      </c>
      <c r="R6534" s="1" t="s">
        <v>12756</v>
      </c>
      <c r="V6534" s="1" t="s">
        <v>111</v>
      </c>
      <c r="W6534" s="1" t="s">
        <v>12799</v>
      </c>
      <c r="AR6534" s="1" t="str">
        <f t="shared" si="422"/>
        <v>| [ㄏㄨㄥˊ](ㄏㄨㄥˊ.md) | [嶸](嶸.md) |  | hóng | (一)之又音。 |</v>
      </c>
    </row>
    <row r="6535" spans="1:44" hidden="1">
      <c r="A6535" s="1" t="s">
        <v>12800</v>
      </c>
      <c r="C6535" s="1">
        <v>1</v>
      </c>
      <c r="D6535" s="1" t="str">
        <f>"05285"</f>
        <v>05285</v>
      </c>
      <c r="E6535" s="1" t="s">
        <v>6180</v>
      </c>
      <c r="F6535" s="1">
        <v>25</v>
      </c>
      <c r="G6535" s="1">
        <v>13</v>
      </c>
      <c r="H6535" s="1">
        <v>0</v>
      </c>
      <c r="I6535" s="1" t="s">
        <v>12755</v>
      </c>
      <c r="K6535" s="1" t="str">
        <f t="shared" si="420"/>
        <v>ㄏ</v>
      </c>
      <c r="L6535" s="1" t="str">
        <f t="shared" si="421"/>
        <v>ㄨ</v>
      </c>
      <c r="M6535" s="1" t="str">
        <f t="shared" si="419"/>
        <v>ㄥ</v>
      </c>
      <c r="P6535" s="1" t="s">
        <v>20</v>
      </c>
      <c r="R6535" s="1" t="s">
        <v>12756</v>
      </c>
      <c r="V6535" s="1" t="s">
        <v>12801</v>
      </c>
      <c r="AR6535" s="1" t="str">
        <f t="shared" si="422"/>
        <v>| [ㄏㄨㄥˊ](ㄏㄨㄥˊ.md) | [黌](黌.md) |  | hóng | [名]
學校。如：「黌舍」。《後漢書．卷七六．循吏傳．仇覽傳》：「農事既畢，乃令子弟群居，還就黌學。」唐．王勃〈乾元殿頌．序〉：「詞庭吐鳳，翫鳥跡於春黌。」 |</v>
      </c>
    </row>
    <row r="6536" spans="1:44" hidden="1">
      <c r="A6536" s="1" t="s">
        <v>12737</v>
      </c>
      <c r="C6536" s="1">
        <v>1</v>
      </c>
      <c r="D6536" s="1" t="str">
        <f>"05286"</f>
        <v>05286</v>
      </c>
      <c r="E6536" s="1" t="s">
        <v>28</v>
      </c>
      <c r="F6536" s="1">
        <v>9</v>
      </c>
      <c r="G6536" s="1">
        <v>6</v>
      </c>
      <c r="H6536" s="1">
        <v>2</v>
      </c>
      <c r="I6536" s="1" t="s">
        <v>12802</v>
      </c>
      <c r="K6536" s="1" t="str">
        <f t="shared" si="420"/>
        <v>ㄏ</v>
      </c>
      <c r="L6536" s="1" t="str">
        <f t="shared" si="421"/>
        <v>ㄨ</v>
      </c>
      <c r="M6536" s="1" t="str">
        <f t="shared" si="419"/>
        <v>ㄥ</v>
      </c>
      <c r="P6536" s="1" t="s">
        <v>20</v>
      </c>
      <c r="R6536" s="1" t="s">
        <v>12803</v>
      </c>
      <c r="V6536" s="1" t="s">
        <v>12804</v>
      </c>
      <c r="W6536" s="1" t="s">
        <v>12805</v>
      </c>
      <c r="AR6536" s="1" t="str">
        <f t="shared" si="422"/>
        <v>| [ㄏㄨㄥˇ](ㄏㄨㄥˇ.md) | [哄](哄.md) |  | hǒng | [動]
1.欺騙。如：「哄騙」、「連哄帶騙」、「別哄我了，我不信你那一套。」《醒世恆言．卷七．錢秀才錯占鳳凰儔》：「高贊被這夥做媒的哄得不耐煩了，對那些媒人說道：『今後不須言三語四。』」
2.逗弄、照顧小孩。如：「孩子哭了，快去哄哄他吧！」 |</v>
      </c>
    </row>
    <row r="6537" spans="1:44" hidden="1">
      <c r="A6537" s="1" t="s">
        <v>12806</v>
      </c>
      <c r="C6537" s="1">
        <v>1</v>
      </c>
      <c r="D6537" s="1" t="str">
        <f>"05287"</f>
        <v>05287</v>
      </c>
      <c r="E6537" s="1" t="s">
        <v>28</v>
      </c>
      <c r="F6537" s="1">
        <v>13</v>
      </c>
      <c r="G6537" s="1">
        <v>10</v>
      </c>
      <c r="H6537" s="1">
        <v>0</v>
      </c>
      <c r="I6537" s="1" t="s">
        <v>12802</v>
      </c>
      <c r="K6537" s="1" t="str">
        <f t="shared" si="420"/>
        <v>ㄏ</v>
      </c>
      <c r="L6537" s="1" t="str">
        <f t="shared" si="421"/>
        <v>ㄨ</v>
      </c>
      <c r="M6537" s="1" t="str">
        <f t="shared" si="419"/>
        <v>ㄥ</v>
      </c>
      <c r="P6537" s="1" t="s">
        <v>20</v>
      </c>
      <c r="R6537" s="1" t="s">
        <v>12803</v>
      </c>
      <c r="V6537" s="1" t="s">
        <v>12807</v>
      </c>
      <c r="AR6537" s="1" t="str">
        <f t="shared" si="422"/>
        <v>| [ㄏㄨㄥˇ](ㄏㄨㄥˇ.md) | [嗊](嗊.md) |  | hǒng | [名]
囉嗊：古代的歌曲。明．張自烈《正字通．口部》：「嗊，囉嗊，歌也。……《雲溪友議》曰：『元公贈劉采春曰：選詞能唱望夫歌。』即羅嗊曲也。」 |</v>
      </c>
    </row>
    <row r="6538" spans="1:44" hidden="1">
      <c r="A6538" s="1" t="s">
        <v>12808</v>
      </c>
      <c r="C6538" s="1">
        <v>1</v>
      </c>
      <c r="D6538" s="1" t="str">
        <f>"05288"</f>
        <v>05288</v>
      </c>
      <c r="E6538" s="1" t="s">
        <v>129</v>
      </c>
      <c r="F6538" s="1">
        <v>15</v>
      </c>
      <c r="G6538" s="1">
        <v>12</v>
      </c>
      <c r="H6538" s="1">
        <v>0</v>
      </c>
      <c r="I6538" s="1" t="s">
        <v>12809</v>
      </c>
      <c r="K6538" s="1" t="str">
        <f t="shared" si="420"/>
        <v>ㄏ</v>
      </c>
      <c r="L6538" s="1" t="str">
        <f t="shared" si="421"/>
        <v>ㄨ</v>
      </c>
      <c r="M6538" s="1" t="str">
        <f t="shared" si="419"/>
        <v>ㄥ</v>
      </c>
      <c r="P6538" s="1" t="s">
        <v>20</v>
      </c>
      <c r="R6538" s="1" t="s">
        <v>12810</v>
      </c>
      <c r="V6538" s="1" t="s">
        <v>12811</v>
      </c>
      <c r="AR6538" s="1" t="str">
        <f t="shared" si="422"/>
        <v>| [ㄏㄨㄥˋ](ㄏㄨㄥˋ.md) | [澒](澒.md) |  | hòng | [名]
水銀。同「汞」。《淮南子．墬形》：「黃埃五百歲生黃澒，黃澒五百歲生黃金。」漢．高誘．注：「澒，水銀也。」
[形]
水深廣的樣子。《文選．左思．吳都賦》：「澒溶沆瀁，莫測其深。」 |</v>
      </c>
    </row>
    <row r="6539" spans="1:44" hidden="1">
      <c r="A6539" s="1" t="s">
        <v>12812</v>
      </c>
      <c r="C6539" s="1">
        <v>1</v>
      </c>
      <c r="D6539" s="1" t="str">
        <f>"05289"</f>
        <v>05289</v>
      </c>
      <c r="E6539" s="1" t="s">
        <v>4894</v>
      </c>
      <c r="F6539" s="1">
        <v>16</v>
      </c>
      <c r="G6539" s="1">
        <v>6</v>
      </c>
      <c r="H6539" s="1">
        <v>0</v>
      </c>
      <c r="I6539" s="1" t="s">
        <v>12809</v>
      </c>
      <c r="K6539" s="1" t="str">
        <f t="shared" si="420"/>
        <v>ㄏ</v>
      </c>
      <c r="L6539" s="1" t="str">
        <f t="shared" si="421"/>
        <v>ㄨ</v>
      </c>
      <c r="M6539" s="1" t="str">
        <f t="shared" si="419"/>
        <v>ㄥ</v>
      </c>
      <c r="P6539" s="1" t="s">
        <v>20</v>
      </c>
      <c r="R6539" s="1" t="s">
        <v>12810</v>
      </c>
      <c r="V6539" s="1" t="s">
        <v>12813</v>
      </c>
      <c r="AR6539" s="1" t="str">
        <f t="shared" si="422"/>
        <v>| [ㄏㄨㄥˋ](ㄏㄨㄥˋ.md) | [鬨](鬨.md) |  | hòng | [動]
1.許多人在一起喧鬧。如：「瞎起鬨」、「一鬨而散」。《清史稿．卷二九一．劉師恕傳》：「師恕族人諸生洞嗾不得賑者，鬨堂罷市。」
2.爭鬥、爭戰。《孟子．梁惠王下》：「鄒與魯鬨，穆公問曰：『吾有司死者三十三人，而民莫之死也。』」
[副]
繁盛。唐．皮日休〈桃花賦〉：「夜景皎潔，鬨然秀發。」 |</v>
      </c>
    </row>
    <row r="6540" spans="1:44" hidden="1">
      <c r="A6540" s="1" t="s">
        <v>12814</v>
      </c>
      <c r="C6540" s="1">
        <v>1</v>
      </c>
      <c r="D6540" s="1" t="str">
        <f>"05290"</f>
        <v>05290</v>
      </c>
      <c r="E6540" s="1" t="s">
        <v>37</v>
      </c>
      <c r="F6540" s="1">
        <v>17</v>
      </c>
      <c r="G6540" s="1">
        <v>13</v>
      </c>
      <c r="H6540" s="1">
        <v>0</v>
      </c>
      <c r="I6540" s="1" t="s">
        <v>12809</v>
      </c>
      <c r="K6540" s="1" t="str">
        <f t="shared" si="420"/>
        <v>ㄏ</v>
      </c>
      <c r="L6540" s="1" t="str">
        <f t="shared" si="421"/>
        <v>ㄨ</v>
      </c>
      <c r="M6540" s="1" t="str">
        <f t="shared" si="419"/>
        <v>ㄥ</v>
      </c>
      <c r="P6540" s="1" t="s">
        <v>20</v>
      </c>
      <c r="R6540" s="1" t="s">
        <v>12810</v>
      </c>
      <c r="V6540" s="1" t="s">
        <v>12815</v>
      </c>
      <c r="AR6540" s="1" t="str">
        <f t="shared" si="422"/>
        <v>| [ㄏㄨㄥˋ](ㄏㄨㄥˋ.md) | [蕻](蕻.md) |  | hòng | [形]
茂盛。《集韻．去聲．送韻》：「蕻，茂也。」
[名]
菜類的長莖。宋．梅堯臣〈志來上人寄示酴醿花并壓塼茶有感〉詩：「宣城北寺來上人，獨有一叢盤嫩蕻。」 |</v>
      </c>
    </row>
    <row r="6541" spans="1:44" hidden="1">
      <c r="A6541" s="1" t="s">
        <v>9602</v>
      </c>
      <c r="C6541" s="1">
        <v>1</v>
      </c>
      <c r="D6541" s="1" t="str">
        <f>"04714"</f>
        <v>04714</v>
      </c>
      <c r="E6541" s="1" t="s">
        <v>679</v>
      </c>
      <c r="F6541" s="1">
        <v>12</v>
      </c>
      <c r="G6541" s="1">
        <v>6</v>
      </c>
      <c r="H6541" s="1">
        <v>2</v>
      </c>
      <c r="I6541" s="1" t="s">
        <v>11482</v>
      </c>
      <c r="K6541" s="1" t="str">
        <f t="shared" si="420"/>
        <v>ㄏ</v>
      </c>
      <c r="L6541" s="1" t="str">
        <f t="shared" si="421"/>
        <v>ㄚ</v>
      </c>
      <c r="N6541" s="3" t="s">
        <v>30575</v>
      </c>
      <c r="O6541" s="3"/>
      <c r="P6541" s="1" t="s">
        <v>20</v>
      </c>
      <c r="R6541" s="1" t="s">
        <v>11483</v>
      </c>
      <c r="V6541" s="1" t="s">
        <v>11484</v>
      </c>
      <c r="W6541" s="1" t="s">
        <v>11485</v>
      </c>
      <c r="AR6541" s="1" t="str">
        <f t="shared" si="422"/>
        <v>| [ㄏㄚˊ](ㄏㄚˊ.md) | [蛤](蛤.md) |  | há | 參見「蛤蟆」條。 |</v>
      </c>
    </row>
    <row r="6542" spans="1:44" hidden="1">
      <c r="A6542" s="1" t="s">
        <v>11486</v>
      </c>
      <c r="C6542" s="1">
        <v>1</v>
      </c>
      <c r="D6542" s="1" t="str">
        <f>"04715"</f>
        <v>04715</v>
      </c>
      <c r="E6542" s="1" t="s">
        <v>679</v>
      </c>
      <c r="F6542" s="1">
        <v>15</v>
      </c>
      <c r="G6542" s="1">
        <v>9</v>
      </c>
      <c r="H6542" s="1">
        <v>2</v>
      </c>
      <c r="I6542" s="1" t="s">
        <v>11482</v>
      </c>
      <c r="K6542" s="1" t="str">
        <f t="shared" si="420"/>
        <v>ㄏ</v>
      </c>
      <c r="L6542" s="1" t="str">
        <f t="shared" si="421"/>
        <v>ㄚ</v>
      </c>
      <c r="N6542" s="3" t="s">
        <v>30575</v>
      </c>
      <c r="O6542" s="3"/>
      <c r="P6542" s="1" t="s">
        <v>20</v>
      </c>
      <c r="R6542" s="1" t="s">
        <v>11483</v>
      </c>
      <c r="V6542" s="1" t="s">
        <v>11487</v>
      </c>
      <c r="W6542" s="1" t="s">
        <v>11488</v>
      </c>
      <c r="AR6542" s="1" t="str">
        <f t="shared" si="422"/>
        <v>| [ㄏㄚˊ](ㄏㄚˊ.md) | [蝦](蝦.md) |  | há | 參見「蝦蟆」條。 |</v>
      </c>
    </row>
    <row r="6543" spans="1:44" hidden="1">
      <c r="A6543" s="1" t="s">
        <v>10709</v>
      </c>
      <c r="C6543" s="1">
        <v>1</v>
      </c>
      <c r="D6543" s="1" t="str">
        <f>"04716"</f>
        <v>04716</v>
      </c>
      <c r="E6543" s="1" t="s">
        <v>28</v>
      </c>
      <c r="F6543" s="1">
        <v>9</v>
      </c>
      <c r="G6543" s="1">
        <v>6</v>
      </c>
      <c r="H6543" s="1">
        <v>2</v>
      </c>
      <c r="I6543" s="1" t="s">
        <v>11489</v>
      </c>
      <c r="K6543" s="1" t="str">
        <f t="shared" si="420"/>
        <v>ㄏ</v>
      </c>
      <c r="L6543" s="1" t="str">
        <f t="shared" si="421"/>
        <v>ㄚ</v>
      </c>
      <c r="N6543" s="3" t="s">
        <v>30576</v>
      </c>
      <c r="O6543" s="3"/>
      <c r="P6543" s="1" t="s">
        <v>20</v>
      </c>
      <c r="R6543" s="1" t="s">
        <v>11490</v>
      </c>
      <c r="V6543" s="1" t="s">
        <v>11491</v>
      </c>
      <c r="W6543" s="1" t="s">
        <v>11492</v>
      </c>
      <c r="AR6543" s="1" t="str">
        <f t="shared" si="422"/>
        <v>| [ㄏㄚˇ](ㄏㄚˇ.md) | [哈](哈.md) |  | hǎ | 參見「哈巴」條。 |</v>
      </c>
    </row>
    <row r="6544" spans="1:44" hidden="1">
      <c r="A6544" s="1" t="s">
        <v>11507</v>
      </c>
      <c r="C6544" s="1">
        <v>1</v>
      </c>
      <c r="D6544" s="1" t="str">
        <f>"04754"</f>
        <v>04754</v>
      </c>
      <c r="E6544" s="1" t="s">
        <v>28</v>
      </c>
      <c r="F6544" s="1">
        <v>8</v>
      </c>
      <c r="G6544" s="1">
        <v>5</v>
      </c>
      <c r="H6544" s="1">
        <v>3</v>
      </c>
      <c r="I6544" s="1" t="s">
        <v>11577</v>
      </c>
      <c r="K6544" s="1" t="str">
        <f t="shared" si="420"/>
        <v>ㄏ</v>
      </c>
      <c r="L6544" s="1" t="str">
        <f t="shared" si="421"/>
        <v>ㄜ</v>
      </c>
      <c r="N6544" s="3" t="s">
        <v>30574</v>
      </c>
      <c r="O6544" s="3"/>
      <c r="P6544" s="1" t="s">
        <v>20</v>
      </c>
      <c r="R6544" s="1" t="s">
        <v>11578</v>
      </c>
      <c r="V6544" s="1" t="s">
        <v>11579</v>
      </c>
      <c r="W6544" s="1" t="s">
        <v>11580</v>
      </c>
      <c r="AR6544" s="1" t="str">
        <f t="shared" si="422"/>
        <v>| [ㄏㄜˋ](ㄏㄜˋ.md) | [和](和.md) |  | hè | [動]
1.聲音相應。如：「附和」、「唱和」。《資治通鑑．卷二三六．唐紀五十二．順宗永貞元年》：「絪等從而和之，議始定。」宋．蘇軾〈赤壁賦〉：「客有吹洞簫者，倚歌而和之。」
2.依原詩格律或內容作詩以酬答他人。唐．白居易〈和微之詩．序〉：「微之又以近作四十三首寄來，命僕繼和。」 |</v>
      </c>
    </row>
    <row r="6545" spans="1:44" hidden="1">
      <c r="A6545" s="1" t="s">
        <v>11581</v>
      </c>
      <c r="C6545" s="1">
        <v>1</v>
      </c>
      <c r="D6545" s="1" t="str">
        <f>"04755"</f>
        <v>04755</v>
      </c>
      <c r="E6545" s="1" t="s">
        <v>256</v>
      </c>
      <c r="F6545" s="1">
        <v>10</v>
      </c>
      <c r="G6545" s="1">
        <v>7</v>
      </c>
      <c r="H6545" s="1">
        <v>2</v>
      </c>
      <c r="I6545" s="1" t="s">
        <v>11577</v>
      </c>
      <c r="K6545" s="1" t="str">
        <f t="shared" si="420"/>
        <v>ㄏ</v>
      </c>
      <c r="L6545" s="1" t="str">
        <f t="shared" si="421"/>
        <v>ㄜ</v>
      </c>
      <c r="N6545" s="3" t="s">
        <v>30574</v>
      </c>
      <c r="O6545" s="3"/>
      <c r="P6545" s="1" t="s">
        <v>186</v>
      </c>
      <c r="R6545" s="1" t="s">
        <v>11578</v>
      </c>
      <c r="V6545" s="1" t="s">
        <v>206</v>
      </c>
      <c r="W6545" s="1" t="s">
        <v>11582</v>
      </c>
      <c r="AR6545" s="1" t="str">
        <f t="shared" si="422"/>
        <v>| [ㄏㄜˋ](ㄏㄜˋ.md) | [郝](郝.md) |  | hè | (一)之讀音。 |</v>
      </c>
    </row>
    <row r="6546" spans="1:44" hidden="1">
      <c r="A6546" s="1" t="s">
        <v>11583</v>
      </c>
      <c r="C6546" s="1">
        <v>1</v>
      </c>
      <c r="D6546" s="1" t="str">
        <f>"04756"</f>
        <v>04756</v>
      </c>
      <c r="E6546" s="1" t="s">
        <v>6340</v>
      </c>
      <c r="F6546" s="1">
        <v>14</v>
      </c>
      <c r="G6546" s="1">
        <v>7</v>
      </c>
      <c r="H6546" s="1">
        <v>0</v>
      </c>
      <c r="I6546" s="1" t="s">
        <v>11577</v>
      </c>
      <c r="K6546" s="1" t="str">
        <f t="shared" si="420"/>
        <v>ㄏ</v>
      </c>
      <c r="L6546" s="1" t="str">
        <f t="shared" si="421"/>
        <v>ㄜ</v>
      </c>
      <c r="N6546" s="3" t="s">
        <v>30574</v>
      </c>
      <c r="O6546" s="3"/>
      <c r="P6546" s="1" t="s">
        <v>20</v>
      </c>
      <c r="R6546" s="1" t="s">
        <v>11578</v>
      </c>
      <c r="V6546" s="1" t="s">
        <v>11584</v>
      </c>
      <c r="AR6546" s="1" t="str">
        <f t="shared" si="422"/>
        <v>| [ㄏㄜˋ](ㄏㄜˋ.md) | [赫](赫.md) |  | hè | [形]
1.盛紅的樣子。《說文解字．赤部》：「赫，大赤貌。」《詩經．邶風．簡兮》：「赫如渥赭，公言錫爵。」漢．毛亨．傳：「赫，赤貌。」
2.明亮。《荀子．天論》：「故日月不高，則光暉不赫。」
3.顯明、盛大。如：「顯赫」、「威赫」。《詩經．商頌．那》：「於赫湯孫，穆穆厥聲。」唐．王績〈過漢故城〉詩：「何其赫隆盛，自謂保靈長。」
[副]
怒。《詩經．大雅．皇矣》：「王赫斯怒，爰整其旅。」漢．鄭玄．箋：「赫，怒意。」《漢書．卷五一．枚乘傳》：「漢知吳之有吞天下之心也，赫然加怒。」
[動]
1.顯耀。《詩經．大雅．生民》：「以赫厥靈，上帝不寧。」唐．孔穎達．正義：「以赫是明貌，故為顯也。」三國魏．阮籍〈采薪者歌〉：「留侯起亡虜，威武赫荒夷。」
2.恫嚇、恐嚇。通「嚇」。《詩經．大雅．桑柔》：「既之陰女，反予來赫。」漢．鄭玄．箋：「口距人謂之赫。」
3.分解。《續漢書志．第五．禮儀志中》：「凡使十二神追惡凶，赫女軀，拉女幹，節解女肉，抽女肺腸。」
[名]
1.赫茲的簡稱。參見「赫茲」條。
2.姓。如明代有赫德。 |</v>
      </c>
    </row>
    <row r="6547" spans="1:44" hidden="1">
      <c r="A6547" s="1" t="s">
        <v>11585</v>
      </c>
      <c r="C6547" s="1">
        <v>1</v>
      </c>
      <c r="D6547" s="1" t="str">
        <f>"04757"</f>
        <v>04757</v>
      </c>
      <c r="E6547" s="1" t="s">
        <v>28</v>
      </c>
      <c r="F6547" s="1">
        <v>17</v>
      </c>
      <c r="G6547" s="1">
        <v>14</v>
      </c>
      <c r="H6547" s="1">
        <v>1</v>
      </c>
      <c r="I6547" s="1" t="s">
        <v>11577</v>
      </c>
      <c r="K6547" s="1" t="str">
        <f t="shared" si="420"/>
        <v>ㄏ</v>
      </c>
      <c r="L6547" s="1" t="str">
        <f t="shared" si="421"/>
        <v>ㄜ</v>
      </c>
      <c r="N6547" s="3" t="s">
        <v>30574</v>
      </c>
      <c r="O6547" s="3"/>
      <c r="P6547" s="1" t="s">
        <v>20</v>
      </c>
      <c r="R6547" s="1" t="s">
        <v>11578</v>
      </c>
      <c r="V6547" s="1" t="s">
        <v>11586</v>
      </c>
      <c r="W6547" s="1" t="s">
        <v>11587</v>
      </c>
      <c r="AR6547" s="1" t="str">
        <f t="shared" si="422"/>
        <v>| [ㄏㄜˋ](ㄏㄜˋ.md) | [嚇](嚇.md) |  | hè | [動]
用言語怒叱、武力逼迫，使人害怕。如：「恐嚇」、「威嚇」、「嚇阻」。《莊子．秋水》：「今子欲以子之梁國而嚇我邪。」《文選．鮑照．蕪城賦》：「飢鷹厲吻，寒鴟嚇雛。」
[歎]
1.表示驚訝、讚嘆的語氣。如：「嚇！這大廈好高哦！」、「嚇！這話講得還真好。」
2.表示不滿或疑問的語氣。如：「嚇！他做的越來越過分！」、「嚇！規矩是這樣訂的嗎？」 |</v>
      </c>
    </row>
    <row r="6548" spans="1:44" hidden="1">
      <c r="A6548" s="1" t="s">
        <v>11528</v>
      </c>
      <c r="C6548" s="1">
        <v>1</v>
      </c>
      <c r="D6548" s="1" t="str">
        <f>"04758"</f>
        <v>04758</v>
      </c>
      <c r="E6548" s="1" t="s">
        <v>37</v>
      </c>
      <c r="F6548" s="1">
        <v>11</v>
      </c>
      <c r="G6548" s="1">
        <v>7</v>
      </c>
      <c r="H6548" s="1">
        <v>2</v>
      </c>
      <c r="I6548" s="1" t="s">
        <v>11577</v>
      </c>
      <c r="K6548" s="1" t="str">
        <f t="shared" si="420"/>
        <v>ㄏ</v>
      </c>
      <c r="L6548" s="1" t="str">
        <f t="shared" si="421"/>
        <v>ㄜ</v>
      </c>
      <c r="N6548" s="3" t="s">
        <v>30574</v>
      </c>
      <c r="O6548" s="3"/>
      <c r="P6548" s="1" t="s">
        <v>20</v>
      </c>
      <c r="R6548" s="1" t="s">
        <v>11578</v>
      </c>
      <c r="V6548" s="1" t="s">
        <v>11588</v>
      </c>
      <c r="W6548" s="1" t="s">
        <v>11589</v>
      </c>
      <c r="AR6548" s="1" t="str">
        <f t="shared" si="422"/>
        <v>| [ㄏㄜˋ](ㄏㄜˋ.md) | [荷](荷.md) |  | hè | [動]
1.用肩膀扛著。如：「荷鋤」、「荷槍」。《漢書．卷五二．竇田灌韓傳．灌夫》：「身荷戟，馳不測之吳軍。」
2.承當、擔負。如：「不勝負荷」。漢．張衡〈東京賦〉：「荷天下之重任，匪怠皇以寧靜。」
3.蒙受。今多用書信中，表謝意。如：「感荷」、「為荷」。《左傳．昭公三年》：「一為禮於晉，猶荷其祿，況以禮終始乎？」唐．駱賓王〈代徐敬業討武氏檄〉：「奉先帝之遺訓，荷本朝之厚恩。」 |</v>
      </c>
    </row>
    <row r="6549" spans="1:44" hidden="1">
      <c r="A6549" s="1" t="s">
        <v>11590</v>
      </c>
      <c r="C6549" s="1">
        <v>1</v>
      </c>
      <c r="D6549" s="1" t="str">
        <f>"04759"</f>
        <v>04759</v>
      </c>
      <c r="E6549" s="1" t="s">
        <v>2777</v>
      </c>
      <c r="F6549" s="1">
        <v>12</v>
      </c>
      <c r="G6549" s="1">
        <v>0</v>
      </c>
      <c r="H6549" s="1">
        <v>2</v>
      </c>
      <c r="I6549" s="1" t="s">
        <v>11577</v>
      </c>
      <c r="K6549" s="1" t="str">
        <f t="shared" si="420"/>
        <v>ㄏ</v>
      </c>
      <c r="L6549" s="1" t="str">
        <f t="shared" si="421"/>
        <v>ㄜ</v>
      </c>
      <c r="N6549" s="3" t="s">
        <v>30574</v>
      </c>
      <c r="O6549" s="3"/>
      <c r="P6549" s="1" t="s">
        <v>186</v>
      </c>
      <c r="R6549" s="1" t="s">
        <v>11578</v>
      </c>
      <c r="V6549" s="1" t="s">
        <v>206</v>
      </c>
      <c r="W6549" s="1" t="s">
        <v>11591</v>
      </c>
      <c r="AR6549" s="1" t="str">
        <f t="shared" si="422"/>
        <v>| [ㄏㄜˋ](ㄏㄜˋ.md) | [黑](黑.md) |  | hè | (一)之讀音。 |</v>
      </c>
    </row>
    <row r="6550" spans="1:44" hidden="1">
      <c r="A6550" s="1" t="s">
        <v>11500</v>
      </c>
      <c r="C6550" s="1">
        <v>1</v>
      </c>
      <c r="D6550" s="1" t="str">
        <f>"04760"</f>
        <v>04760</v>
      </c>
      <c r="E6550" s="1" t="s">
        <v>28</v>
      </c>
      <c r="F6550" s="1">
        <v>12</v>
      </c>
      <c r="G6550" s="1">
        <v>9</v>
      </c>
      <c r="H6550" s="1">
        <v>2</v>
      </c>
      <c r="I6550" s="1" t="s">
        <v>11577</v>
      </c>
      <c r="K6550" s="1" t="str">
        <f t="shared" si="420"/>
        <v>ㄏ</v>
      </c>
      <c r="L6550" s="1" t="str">
        <f t="shared" si="421"/>
        <v>ㄜ</v>
      </c>
      <c r="N6550" s="3" t="s">
        <v>30574</v>
      </c>
      <c r="O6550" s="3"/>
      <c r="P6550" s="1" t="s">
        <v>20</v>
      </c>
      <c r="R6550" s="1" t="s">
        <v>11578</v>
      </c>
      <c r="V6550" s="1" t="s">
        <v>11592</v>
      </c>
      <c r="W6550" s="1" t="s">
        <v>11593</v>
      </c>
      <c r="AR6550" s="1" t="str">
        <f t="shared" si="422"/>
        <v>| [ㄏㄜˋ](ㄏㄜˋ.md) | [喝](喝.md) |  | hè | [動]
1.大聲呵斥。通「訶」、「呵」。如：「喝責」、「喝叱」。
2.高聲呼叫。如：「吆喝」。《紅樓夢》第六〇回：「當下尤氏、李紈、探春三人帶著平兒與眾媳婦走來，將四個喝住。」
[歎]
表示驚訝的語氣。如：「喝！你居然也來了。」 |</v>
      </c>
    </row>
    <row r="6551" spans="1:44" hidden="1">
      <c r="A6551" s="1" t="s">
        <v>11594</v>
      </c>
      <c r="C6551" s="1">
        <v>1</v>
      </c>
      <c r="D6551" s="1" t="str">
        <f>"04761"</f>
        <v>04761</v>
      </c>
      <c r="E6551" s="1" t="s">
        <v>198</v>
      </c>
      <c r="F6551" s="1">
        <v>12</v>
      </c>
      <c r="G6551" s="1">
        <v>9</v>
      </c>
      <c r="H6551" s="1">
        <v>2</v>
      </c>
      <c r="I6551" s="1" t="s">
        <v>11577</v>
      </c>
      <c r="K6551" s="1" t="str">
        <f t="shared" si="420"/>
        <v>ㄏ</v>
      </c>
      <c r="L6551" s="1" t="str">
        <f t="shared" si="421"/>
        <v>ㄜ</v>
      </c>
      <c r="N6551" s="3" t="s">
        <v>30574</v>
      </c>
      <c r="O6551" s="3"/>
      <c r="P6551" s="1" t="s">
        <v>20</v>
      </c>
      <c r="R6551" s="1" t="s">
        <v>11578</v>
      </c>
      <c r="V6551" s="1" t="s">
        <v>11595</v>
      </c>
      <c r="W6551" s="1" t="s">
        <v>11596</v>
      </c>
      <c r="AR6551" s="1" t="str">
        <f t="shared" si="422"/>
        <v>| [ㄏㄜˋ](ㄏㄜˋ.md) | [猲](猲.md) |  | hè | [動]
1.恐懼、害怕。《戰國策．秦策一》：「秦雖欲深入，則狼顧，恐韓、魏之議其後也。是故恫疑虛猲，高躍而不敢進。」
2.威嚇、恐嚇。《漢書．卷一五．王子侯表上》：「坐縛家吏恐猲受賕，棄市。」唐．顏師古．注：「猲謂以威力脅人也。」 |</v>
      </c>
    </row>
    <row r="6552" spans="1:44" hidden="1">
      <c r="A6552" s="1" t="s">
        <v>11597</v>
      </c>
      <c r="C6552" s="1">
        <v>1</v>
      </c>
      <c r="D6552" s="1" t="str">
        <f>"04762"</f>
        <v>04762</v>
      </c>
      <c r="E6552" s="1" t="s">
        <v>646</v>
      </c>
      <c r="F6552" s="1">
        <v>13</v>
      </c>
      <c r="G6552" s="1">
        <v>9</v>
      </c>
      <c r="H6552" s="1">
        <v>1</v>
      </c>
      <c r="I6552" s="1" t="s">
        <v>11577</v>
      </c>
      <c r="K6552" s="1" t="str">
        <f t="shared" si="420"/>
        <v>ㄏ</v>
      </c>
      <c r="L6552" s="1" t="str">
        <f t="shared" si="421"/>
        <v>ㄜ</v>
      </c>
      <c r="N6552" s="3" t="s">
        <v>30574</v>
      </c>
      <c r="O6552" s="3"/>
      <c r="P6552" s="1" t="s">
        <v>20</v>
      </c>
      <c r="R6552" s="1" t="s">
        <v>11578</v>
      </c>
      <c r="V6552" s="1" t="s">
        <v>11598</v>
      </c>
      <c r="W6552" s="1" t="s">
        <v>11599</v>
      </c>
      <c r="AR6552" s="1" t="str">
        <f t="shared" si="422"/>
        <v>| [ㄏㄜˋ](ㄏㄜˋ.md) | [暍](暍.md) |  | hè | [動]
中暑。《說文解字．日部》：「暍，傷暑也。」《漢書．卷六．武帝紀》：「夏，大旱，民多暍死。」 |</v>
      </c>
    </row>
    <row r="6553" spans="1:44" hidden="1">
      <c r="A6553" s="1" t="s">
        <v>11600</v>
      </c>
      <c r="C6553" s="1">
        <v>1</v>
      </c>
      <c r="D6553" s="1" t="str">
        <f>"04763"</f>
        <v>04763</v>
      </c>
      <c r="E6553" s="1" t="s">
        <v>505</v>
      </c>
      <c r="F6553" s="1">
        <v>12</v>
      </c>
      <c r="G6553" s="1">
        <v>5</v>
      </c>
      <c r="H6553" s="1">
        <v>0</v>
      </c>
      <c r="I6553" s="1" t="s">
        <v>11577</v>
      </c>
      <c r="K6553" s="1" t="str">
        <f t="shared" si="420"/>
        <v>ㄏ</v>
      </c>
      <c r="L6553" s="1" t="str">
        <f t="shared" si="421"/>
        <v>ㄜ</v>
      </c>
      <c r="N6553" s="3" t="s">
        <v>30574</v>
      </c>
      <c r="O6553" s="3"/>
      <c r="P6553" s="1" t="s">
        <v>20</v>
      </c>
      <c r="R6553" s="1" t="s">
        <v>11578</v>
      </c>
      <c r="V6553" s="1" t="s">
        <v>11601</v>
      </c>
      <c r="AR6553" s="1" t="str">
        <f t="shared" si="422"/>
        <v>| [ㄏㄜˋ](ㄏㄜˋ.md) | [賀](賀.md) |  | hè | [動]
慶祝。《說文解字．貝部》：「賀，以禮物相奉慶也。」如：「賀年」、「祝賀」、「慶賀」。《詩經．大雅．下武》：「受天之祐，四方來賀。」《史記．卷一〇七．魏其武安侯傳》：「夏，丞相取燕王女為夫人，有太后詔，召列侯宗室皆往賀。」
[名]
姓。如唐代有賀知章。 |</v>
      </c>
    </row>
    <row r="6554" spans="1:44" hidden="1">
      <c r="A6554" s="1" t="s">
        <v>11602</v>
      </c>
      <c r="C6554" s="1">
        <v>1</v>
      </c>
      <c r="D6554" s="1" t="str">
        <f>"04764"</f>
        <v>04764</v>
      </c>
      <c r="E6554" s="1" t="s">
        <v>28</v>
      </c>
      <c r="F6554" s="1">
        <v>13</v>
      </c>
      <c r="G6554" s="1">
        <v>10</v>
      </c>
      <c r="H6554" s="1">
        <v>0</v>
      </c>
      <c r="I6554" s="1" t="s">
        <v>11577</v>
      </c>
      <c r="K6554" s="1" t="str">
        <f t="shared" si="420"/>
        <v>ㄏ</v>
      </c>
      <c r="L6554" s="1" t="str">
        <f t="shared" si="421"/>
        <v>ㄜ</v>
      </c>
      <c r="N6554" s="3" t="s">
        <v>30574</v>
      </c>
      <c r="O6554" s="3"/>
      <c r="P6554" s="1" t="s">
        <v>20</v>
      </c>
      <c r="R6554" s="1" t="s">
        <v>11578</v>
      </c>
      <c r="V6554" s="1" t="s">
        <v>11603</v>
      </c>
      <c r="AR6554" s="1" t="str">
        <f t="shared" si="422"/>
        <v>| [ㄏㄜˋ](ㄏㄜˋ.md) | [嗃](嗃.md) |  | hè | [形]
嚴厲。《易經．家人卦．九三》：「家人嗃嗃，悔厲吉。」 |</v>
      </c>
    </row>
    <row r="6555" spans="1:44" hidden="1">
      <c r="A6555" s="1" t="s">
        <v>10918</v>
      </c>
      <c r="C6555" s="1">
        <v>1</v>
      </c>
      <c r="D6555" s="1" t="str">
        <f>"04765"</f>
        <v>04765</v>
      </c>
      <c r="E6555" s="1" t="s">
        <v>336</v>
      </c>
      <c r="F6555" s="1">
        <v>14</v>
      </c>
      <c r="G6555" s="1">
        <v>10</v>
      </c>
      <c r="H6555" s="1">
        <v>3</v>
      </c>
      <c r="I6555" s="1" t="s">
        <v>11577</v>
      </c>
      <c r="K6555" s="1" t="str">
        <f t="shared" si="420"/>
        <v>ㄏ</v>
      </c>
      <c r="L6555" s="1" t="str">
        <f t="shared" si="421"/>
        <v>ㄜ</v>
      </c>
      <c r="N6555" s="3" t="s">
        <v>30574</v>
      </c>
      <c r="O6555" s="3"/>
      <c r="P6555" s="1" t="s">
        <v>20</v>
      </c>
      <c r="R6555" s="1" t="s">
        <v>11578</v>
      </c>
      <c r="V6555" s="1" t="s">
        <v>11604</v>
      </c>
      <c r="W6555" s="1" t="s">
        <v>11605</v>
      </c>
      <c r="AR6555" s="1" t="str">
        <f t="shared" si="422"/>
        <v>| [ㄏㄜˋ](ㄏㄜˋ.md) | [熇](熇.md) |  | hè | 參見「熇熇」條。 |</v>
      </c>
    </row>
    <row r="6556" spans="1:44" hidden="1">
      <c r="A6556" s="1" t="s">
        <v>11606</v>
      </c>
      <c r="C6556" s="1">
        <v>1</v>
      </c>
      <c r="D6556" s="1" t="str">
        <f>"04766"</f>
        <v>04766</v>
      </c>
      <c r="E6556" s="1" t="s">
        <v>2271</v>
      </c>
      <c r="F6556" s="1">
        <v>16</v>
      </c>
      <c r="G6556" s="1">
        <v>10</v>
      </c>
      <c r="H6556" s="1">
        <v>0</v>
      </c>
      <c r="I6556" s="1" t="s">
        <v>11577</v>
      </c>
      <c r="K6556" s="1" t="str">
        <f t="shared" si="420"/>
        <v>ㄏ</v>
      </c>
      <c r="L6556" s="1" t="str">
        <f t="shared" si="421"/>
        <v>ㄜ</v>
      </c>
      <c r="N6556" s="3" t="s">
        <v>30574</v>
      </c>
      <c r="O6556" s="3"/>
      <c r="P6556" s="1" t="s">
        <v>20</v>
      </c>
      <c r="R6556" s="1" t="s">
        <v>11578</v>
      </c>
      <c r="V6556" s="1" t="s">
        <v>11607</v>
      </c>
      <c r="AR6556" s="1" t="str">
        <f t="shared" si="422"/>
        <v>| [ㄏㄜˋ](ㄏㄜˋ.md) | [翯](翯.md) |  | hè | 參見「翯翯」條。 |</v>
      </c>
    </row>
    <row r="6557" spans="1:44" hidden="1">
      <c r="A6557" s="1" t="s">
        <v>11609</v>
      </c>
      <c r="C6557" s="1">
        <v>1</v>
      </c>
      <c r="D6557" s="1" t="str">
        <f>"04768"</f>
        <v>04768</v>
      </c>
      <c r="E6557" s="1" t="s">
        <v>272</v>
      </c>
      <c r="F6557" s="1">
        <v>21</v>
      </c>
      <c r="G6557" s="1">
        <v>10</v>
      </c>
      <c r="H6557" s="1">
        <v>1</v>
      </c>
      <c r="I6557" s="1" t="s">
        <v>11577</v>
      </c>
      <c r="K6557" s="1" t="str">
        <f t="shared" si="420"/>
        <v>ㄏ</v>
      </c>
      <c r="L6557" s="1" t="str">
        <f t="shared" si="421"/>
        <v>ㄜ</v>
      </c>
      <c r="N6557" s="3" t="s">
        <v>30574</v>
      </c>
      <c r="O6557" s="3"/>
      <c r="P6557" s="1" t="s">
        <v>186</v>
      </c>
      <c r="R6557" s="1" t="s">
        <v>11578</v>
      </c>
      <c r="V6557" s="1" t="s">
        <v>11610</v>
      </c>
      <c r="W6557" s="1" t="s">
        <v>11611</v>
      </c>
      <c r="AR6557" s="1" t="str">
        <f t="shared" si="422"/>
        <v>| [ㄏㄜˋ](ㄏㄜˋ.md) | [鶴](鶴.md) |  | hè | [名]
1.鳥綱鶴形目動物的通稱。頭小，頸、喙、腳皆細長，高三尺餘。羽毛白色或灰色，翼大善飛，鳴聲高朗。多生活於沼澤或平原水際，以小魚、昆蟲及穀類為食。種類甚多，大陸地區常見的有白鶴、灰鶴、丹頂鶴、蓑羽鶴等。鶴在傳說中是神仙的坐騎，也是長壽的象徵。
2.姓。如金代有鶴壽。
[形]
白色的。北周．庾信〈竹杖賦〉：「子老矣，鶴髮雞皮，蓬頭歷齒。」 |</v>
      </c>
    </row>
    <row r="6558" spans="1:44" hidden="1">
      <c r="A6558" s="1" t="s">
        <v>11503</v>
      </c>
      <c r="C6558" s="1">
        <v>1</v>
      </c>
      <c r="D6558" s="1" t="str">
        <f>"04720"</f>
        <v>04720</v>
      </c>
      <c r="E6558" s="1" t="s">
        <v>429</v>
      </c>
      <c r="F6558" s="1">
        <v>5</v>
      </c>
      <c r="G6558" s="1">
        <v>0</v>
      </c>
      <c r="H6558" s="1">
        <v>0</v>
      </c>
      <c r="I6558" s="1" t="s">
        <v>11504</v>
      </c>
      <c r="K6558" s="1" t="str">
        <f t="shared" si="420"/>
        <v>ㄏ</v>
      </c>
      <c r="L6558" s="1" t="str">
        <f t="shared" si="421"/>
        <v>ㄜ</v>
      </c>
      <c r="N6558" s="3" t="s">
        <v>30575</v>
      </c>
      <c r="O6558" s="3"/>
      <c r="P6558" s="1" t="s">
        <v>20</v>
      </c>
      <c r="R6558" s="1" t="s">
        <v>11505</v>
      </c>
      <c r="V6558" s="1" t="s">
        <v>11506</v>
      </c>
      <c r="AR6558" s="1" t="str">
        <f t="shared" si="422"/>
        <v>| [ㄏㄜˊ](ㄏㄜˊ.md) | [禾](禾.md) |  | hé | [名]
1.穀類植物的總稱。《詩經．豳風．七月》：「十月納禾稼。」唐．李紳〈古風〉詩二首之二：「鋤禾日當午，汗滴禾下土。」
2.姓。如宋代有禾實。
3.二一四部首之一。 |</v>
      </c>
    </row>
    <row r="6559" spans="1:44" hidden="1">
      <c r="A6559" s="1" t="s">
        <v>11507</v>
      </c>
      <c r="C6559" s="1">
        <v>1</v>
      </c>
      <c r="D6559" s="1" t="str">
        <f>"04721"</f>
        <v>04721</v>
      </c>
      <c r="E6559" s="1" t="s">
        <v>28</v>
      </c>
      <c r="F6559" s="1">
        <v>8</v>
      </c>
      <c r="G6559" s="1">
        <v>5</v>
      </c>
      <c r="H6559" s="1">
        <v>1</v>
      </c>
      <c r="I6559" s="1" t="s">
        <v>11504</v>
      </c>
      <c r="K6559" s="1" t="str">
        <f t="shared" si="420"/>
        <v>ㄏ</v>
      </c>
      <c r="L6559" s="1" t="str">
        <f t="shared" si="421"/>
        <v>ㄜ</v>
      </c>
      <c r="N6559" s="3" t="s">
        <v>30575</v>
      </c>
      <c r="O6559" s="3"/>
      <c r="P6559" s="1" t="s">
        <v>20</v>
      </c>
      <c r="R6559" s="1" t="s">
        <v>11505</v>
      </c>
      <c r="V6559" s="1" t="s">
        <v>11508</v>
      </c>
      <c r="W6559" s="1" t="s">
        <v>11509</v>
      </c>
      <c r="AR6559" s="1" t="str">
        <f t="shared" si="422"/>
        <v>| [ㄏㄜˊ](ㄏㄜˊ.md) | [和](和.md) |  | hé | [名]
1.各數相加的總數。如：「總和」、「二加三的和是五。」
2.適中、恰到好處、剛柔並濟的常道。《論語．學而》：「禮之用，和為貴。」《禮記．中庸》：「和也者，天下之達道也。」
3.和平、停戰。如：「講和」、「議和」。《孫子．行軍》：「無約而請和者，謀也。」《戰國策．趙策三》：「故不若亟割地求和，以疑天下慰秦心。」
4.日本的別名。如：「大和民族」。
5.姓。如漢代有和武、晉代有和嶠。
[動]
1.敦睦、調諧。如：「和好如初」。《左傳．隱公四年》：「臣聞以德和民，不聞以亂。」
2.連同。如：「和衣而眠」。
[形]
1.溫順的、安詳的。如：「和藹」、「心平氣和」、「和顏悅色」。南朝陳．徐陵〈晉陵太守王勵德政碑〉：「風神雅淡，識量寬和。」唐．張說〈岳陽早霽南樓〉詩：「心阻意徒馳，神和生自足。」
2.溫暖的。如：「和煦」、「風和日麗」。唐．白居易〈首夏病間〉詩：「清和好時節，微風吹裌衣。」
[介]
對、向。如：「你和尊長講話的態度要恭敬。」《紅樓夢》第八回：「好幾處都有，都稱贊得了不得，還和我們尋呢！」
[連]
與、跟。如：「我和他是好朋友。」宋．岳飛〈滿江紅．怒髮衝冠〉詞：「三十功名塵與土，八千里路雲和月。」 |</v>
      </c>
    </row>
    <row r="6560" spans="1:44" hidden="1">
      <c r="A6560" s="1" t="s">
        <v>11510</v>
      </c>
      <c r="C6560" s="1">
        <v>1</v>
      </c>
      <c r="D6560" s="1" t="str">
        <f>"04722"</f>
        <v>04722</v>
      </c>
      <c r="E6560" s="1" t="s">
        <v>438</v>
      </c>
      <c r="F6560" s="1">
        <v>10</v>
      </c>
      <c r="G6560" s="1">
        <v>5</v>
      </c>
      <c r="H6560" s="1">
        <v>0</v>
      </c>
      <c r="I6560" s="1" t="s">
        <v>11504</v>
      </c>
      <c r="K6560" s="1" t="str">
        <f t="shared" si="420"/>
        <v>ㄏ</v>
      </c>
      <c r="L6560" s="1" t="str">
        <f t="shared" si="421"/>
        <v>ㄜ</v>
      </c>
      <c r="N6560" s="3" t="s">
        <v>30575</v>
      </c>
      <c r="O6560" s="3"/>
      <c r="P6560" s="1" t="s">
        <v>20</v>
      </c>
      <c r="R6560" s="1" t="s">
        <v>11505</v>
      </c>
      <c r="V6560" s="1" t="s">
        <v>11511</v>
      </c>
      <c r="AR6560" s="1" t="str">
        <f t="shared" si="422"/>
        <v>| [ㄏㄜˊ](ㄏㄜˊ.md) | [盉](盉.md) |  | hé | [名]
古代用來調和酒與水的器具。一般為深腹、圓口的青銅器。盛行於商和西周。清．王國維《觀堂集林．卷三．藝林三．說盉》：「余謂盉者，蓋和水於酒之器，所以節酒之厚薄者也。」 |</v>
      </c>
    </row>
    <row r="6561" spans="1:44" hidden="1">
      <c r="A6561" s="1" t="s">
        <v>11512</v>
      </c>
      <c r="C6561" s="1">
        <v>1</v>
      </c>
      <c r="D6561" s="1" t="str">
        <f>"04723"</f>
        <v>04723</v>
      </c>
      <c r="E6561" s="1" t="s">
        <v>11513</v>
      </c>
      <c r="F6561" s="1">
        <v>22</v>
      </c>
      <c r="G6561" s="1">
        <v>5</v>
      </c>
      <c r="H6561" s="1">
        <v>0</v>
      </c>
      <c r="I6561" s="1" t="s">
        <v>11504</v>
      </c>
      <c r="K6561" s="1" t="str">
        <f t="shared" si="420"/>
        <v>ㄏ</v>
      </c>
      <c r="L6561" s="1" t="str">
        <f t="shared" si="421"/>
        <v>ㄜ</v>
      </c>
      <c r="N6561" s="3" t="s">
        <v>30575</v>
      </c>
      <c r="O6561" s="3"/>
      <c r="P6561" s="1" t="s">
        <v>20</v>
      </c>
      <c r="R6561" s="1" t="s">
        <v>11505</v>
      </c>
      <c r="V6561" s="1" t="s">
        <v>11514</v>
      </c>
      <c r="AR6561" s="1" t="str">
        <f t="shared" si="422"/>
        <v>| [ㄏㄜˊ](ㄏㄜˊ.md) | [龢](龢.md) |  | hé | 同「和」(一)。 |</v>
      </c>
    </row>
    <row r="6562" spans="1:44" hidden="1">
      <c r="A6562" s="1" t="s">
        <v>9638</v>
      </c>
      <c r="C6562" s="1">
        <v>1</v>
      </c>
      <c r="D6562" s="1" t="str">
        <f>"04724"</f>
        <v>04724</v>
      </c>
      <c r="E6562" s="1" t="s">
        <v>28</v>
      </c>
      <c r="F6562" s="1">
        <v>6</v>
      </c>
      <c r="G6562" s="1">
        <v>3</v>
      </c>
      <c r="H6562" s="1">
        <v>1</v>
      </c>
      <c r="I6562" s="1" t="s">
        <v>11504</v>
      </c>
      <c r="K6562" s="1" t="str">
        <f t="shared" si="420"/>
        <v>ㄏ</v>
      </c>
      <c r="L6562" s="1" t="str">
        <f t="shared" si="421"/>
        <v>ㄜ</v>
      </c>
      <c r="N6562" s="3" t="s">
        <v>30575</v>
      </c>
      <c r="O6562" s="3"/>
      <c r="P6562" s="1" t="s">
        <v>20</v>
      </c>
      <c r="R6562" s="1" t="s">
        <v>11505</v>
      </c>
      <c r="V6562" s="1" t="s">
        <v>11515</v>
      </c>
      <c r="W6562" s="1" t="s">
        <v>11516</v>
      </c>
      <c r="AR6562" s="1" t="str">
        <f t="shared" si="422"/>
        <v>| [ㄏㄜˊ](ㄏㄜˊ.md) | [合](合.md) |  | hé | [動]
1.關閉、合攏。《說文解字．亼部》：「合，合口也。」如：「他笑得合不上嘴。」《戰國策．燕策二》：「蚌合而拑其喙。」
2.會、聚。如：「集合」、「聚合」、「悲歡離合」。《呂氏春秋．孝行覽．遇合》：「合大夫而告之。」《後漢書．卷一九．耿弇傳》：「將軍前在南陽建此大策，常以為落落難合，有志者事竟成也！」
3.交媾、交配。如：「交合」。《老子》第五十五章：「未知牝牡之合而全作，精之至也。」
4.比對、對照。《孟子．離婁下》：「得志行乎中國，若合符節，先聖後聖，其揆一也。」漢．桓寬《鹽鐵論．論菑》：「夫道古者稽之今，言遠者合之近。」
5.相符、不違背。如：「合法」、「合身」、「合格」、「合意」。
6.調和、配製。《聊齋志異．卷一〇．葛巾》：「吾家葛巾娘子，手合鴆湯，其速飲！」
7.交戰、交鋒。《左傳．成公二年》：「自始合而矢貫余手。」漢．王充《論衡．福虛》：「今宋楚相攻，兩軍未合。」
8.折算。如：「一公斤合二點二磅。」
[名]
1.配偶。如：「天作之合」。
2.盛放物品的器皿。通「盒」。唐．白居易〈長恨歌〉：「唯將舊物表深情，鈿合金釵寄將去。」
3.量詞。計算交手次數的單位。相當於「回」、「次」。《五代史平話．梁史．卷上》：「鬥經三合，不見輸贏。」
4.姓。如春秋時宋國有合左師。
[形]
1.全部的、整個的。如：「合族」、「合家歡」。
2.和諧、融洽。如：「百年好合」。《詩經．小雅．常棣》：「妻子好合，如鼓瑟琴。」
[副]
1.共同、一起。如：「合抱」、「合圍」、「合唱」、「合編」。
2.應該。如：「這件公事理合呈請報備。」唐．白居易〈與元九書〉：「始知文章合為時而著，歌詩合為事而作。」 |</v>
      </c>
    </row>
    <row r="6563" spans="1:44" hidden="1">
      <c r="A6563" s="1" t="s">
        <v>9599</v>
      </c>
      <c r="C6563" s="1">
        <v>1</v>
      </c>
      <c r="D6563" s="1" t="str">
        <f>"04725"</f>
        <v>04725</v>
      </c>
      <c r="E6563" s="1" t="s">
        <v>256</v>
      </c>
      <c r="F6563" s="1">
        <v>9</v>
      </c>
      <c r="G6563" s="1">
        <v>6</v>
      </c>
      <c r="H6563" s="1">
        <v>1</v>
      </c>
      <c r="I6563" s="1" t="s">
        <v>11504</v>
      </c>
      <c r="K6563" s="1" t="str">
        <f t="shared" si="420"/>
        <v>ㄏ</v>
      </c>
      <c r="L6563" s="1" t="str">
        <f t="shared" si="421"/>
        <v>ㄜ</v>
      </c>
      <c r="N6563" s="3" t="s">
        <v>30575</v>
      </c>
      <c r="O6563" s="3"/>
      <c r="P6563" s="1" t="s">
        <v>20</v>
      </c>
      <c r="R6563" s="1" t="s">
        <v>11505</v>
      </c>
      <c r="V6563" s="1" t="s">
        <v>11517</v>
      </c>
      <c r="W6563" s="1" t="s">
        <v>11518</v>
      </c>
      <c r="AR6563" s="1" t="str">
        <f t="shared" si="422"/>
        <v>| [ㄏㄜˊ](ㄏㄜˊ.md) | [郃](郃.md) |  | hé | [名]
1.人名用字。如三國時魏有張郃。
2.(二)之又音。 |</v>
      </c>
    </row>
    <row r="6564" spans="1:44" hidden="1">
      <c r="A6564" s="1" t="s">
        <v>11519</v>
      </c>
      <c r="C6564" s="1">
        <v>1</v>
      </c>
      <c r="D6564" s="1" t="str">
        <f>"04726"</f>
        <v>04726</v>
      </c>
      <c r="E6564" s="1" t="s">
        <v>438</v>
      </c>
      <c r="F6564" s="1">
        <v>11</v>
      </c>
      <c r="G6564" s="1">
        <v>6</v>
      </c>
      <c r="H6564" s="1">
        <v>0</v>
      </c>
      <c r="I6564" s="1" t="s">
        <v>11504</v>
      </c>
      <c r="K6564" s="1" t="str">
        <f t="shared" si="420"/>
        <v>ㄏ</v>
      </c>
      <c r="L6564" s="1" t="str">
        <f t="shared" si="421"/>
        <v>ㄜ</v>
      </c>
      <c r="N6564" s="3" t="s">
        <v>30575</v>
      </c>
      <c r="O6564" s="3"/>
      <c r="P6564" s="1" t="s">
        <v>20</v>
      </c>
      <c r="R6564" s="1" t="s">
        <v>11505</v>
      </c>
      <c r="V6564" s="1" t="s">
        <v>11520</v>
      </c>
      <c r="AR6564" s="1" t="str">
        <f t="shared" si="422"/>
        <v>| [ㄏㄜˊ](ㄏㄜˊ.md) | [盒](盒.md) |  | hé | [名]
1.一種有底、蓋，可以相合的盛物器具。如：「禮盒」、「紙盒」、「餅乾盒」、「火柴盒」、「鉛筆盒」。
2.量詞。計算盒裝物的單位。如：「一盒糖果」、「三百盒喜餅」。 |</v>
      </c>
    </row>
    <row r="6565" spans="1:44" hidden="1">
      <c r="A6565" s="1" t="s">
        <v>9605</v>
      </c>
      <c r="C6565" s="1">
        <v>1</v>
      </c>
      <c r="D6565" s="1" t="str">
        <f>"04727"</f>
        <v>04727</v>
      </c>
      <c r="E6565" s="1" t="s">
        <v>709</v>
      </c>
      <c r="F6565" s="1">
        <v>14</v>
      </c>
      <c r="G6565" s="1">
        <v>6</v>
      </c>
      <c r="H6565" s="1">
        <v>2</v>
      </c>
      <c r="I6565" s="1" t="s">
        <v>11504</v>
      </c>
      <c r="K6565" s="1" t="str">
        <f t="shared" si="420"/>
        <v>ㄏ</v>
      </c>
      <c r="L6565" s="1" t="str">
        <f t="shared" si="421"/>
        <v>ㄜ</v>
      </c>
      <c r="N6565" s="3" t="s">
        <v>30575</v>
      </c>
      <c r="O6565" s="3"/>
      <c r="P6565" s="1" t="s">
        <v>20</v>
      </c>
      <c r="R6565" s="1" t="s">
        <v>11505</v>
      </c>
      <c r="V6565" s="1" t="s">
        <v>11521</v>
      </c>
      <c r="W6565" s="1" t="s">
        <v>11522</v>
      </c>
      <c r="AR6565" s="1" t="str">
        <f t="shared" si="422"/>
        <v>| [ㄏㄜˊ](ㄏㄜˊ.md) | [閤](閤.md) |  | hé | [動]
閉。通「合」、「闔」。如：「為了趕工，他已三天三夜未曾閤眼。」
[形]
全部、滿。通「闔」。如：「閤府清泰」、「閤第光臨」。 |</v>
      </c>
    </row>
    <row r="6566" spans="1:44" hidden="1">
      <c r="A6566" s="1" t="s">
        <v>11523</v>
      </c>
      <c r="C6566" s="1">
        <v>1</v>
      </c>
      <c r="D6566" s="1" t="str">
        <f>"04728"</f>
        <v>04728</v>
      </c>
      <c r="E6566" s="1" t="s">
        <v>114</v>
      </c>
      <c r="F6566" s="1">
        <v>7</v>
      </c>
      <c r="G6566" s="1">
        <v>5</v>
      </c>
      <c r="H6566" s="1">
        <v>0</v>
      </c>
      <c r="I6566" s="1" t="s">
        <v>11504</v>
      </c>
      <c r="K6566" s="1" t="str">
        <f t="shared" si="420"/>
        <v>ㄏ</v>
      </c>
      <c r="L6566" s="1" t="str">
        <f t="shared" si="421"/>
        <v>ㄜ</v>
      </c>
      <c r="N6566" s="3" t="s">
        <v>30575</v>
      </c>
      <c r="O6566" s="3"/>
      <c r="P6566" s="1" t="s">
        <v>20</v>
      </c>
      <c r="R6566" s="1" t="s">
        <v>11505</v>
      </c>
      <c r="V6566" s="1" t="s">
        <v>11524</v>
      </c>
      <c r="AR6566" s="1" t="str">
        <f t="shared" si="422"/>
        <v>| [ㄏㄜˊ](ㄏㄜˊ.md) | [何](何.md) |  | hé | [代]
1.那裡、何處。《史記．卷七〇．張儀傳》：「忠且見棄，軫不之楚何歸乎？」唐．王勃〈滕王閣〉詩：「閣中帝子今何在？檻外長江空自流。」
2.誰。《西遊記》第八回：「鬧天宮攪亂蟠桃者，何也？」
[形]
什麼。如：「何故」、「何時」。《論語．述而》：「伯夷叔齊何人也？」宋．蘇軾〈水調歌頭．明月幾時有〉詞：「不知天上宮闕，今夕是何年？」
[副]
1.為什麼。如：「何必」、「何不」、「何樂不為」。《論語．先進》：「夫子何哂由也？」《孟子．滕文公上》：「且許子何不為陶冶？」
2.豈、怎麼。如：「何止」、「何足掛齒」。南朝宋．劉義慶《世說新語．方正》：「今主非堯、舜，何能無過？」宋．蘇軾〈水調歌頭．明月幾時有〉詞：「起舞弄清影，何似在人間？」
3.多麼。表示程度。如：「何等」、「何其不幸」。《漢書．卷六五．東方朔傳》：「割之不多，又何廉也！歸遺細君，又何仁也！」唐．李白〈古風〉詩五九首之三：「秦王掃六合，虎視何雄哉！」
[名]
姓。如三國時魏國有何晏。 |</v>
      </c>
    </row>
    <row r="6567" spans="1:44" hidden="1">
      <c r="A6567" s="1" t="s">
        <v>11525</v>
      </c>
      <c r="C6567" s="1">
        <v>1</v>
      </c>
      <c r="D6567" s="1" t="str">
        <f>"04729"</f>
        <v>04729</v>
      </c>
      <c r="E6567" s="1" t="s">
        <v>129</v>
      </c>
      <c r="F6567" s="1">
        <v>8</v>
      </c>
      <c r="G6567" s="1">
        <v>5</v>
      </c>
      <c r="H6567" s="1">
        <v>0</v>
      </c>
      <c r="I6567" s="1" t="s">
        <v>11504</v>
      </c>
      <c r="K6567" s="1" t="str">
        <f t="shared" si="420"/>
        <v>ㄏ</v>
      </c>
      <c r="L6567" s="1" t="str">
        <f t="shared" si="421"/>
        <v>ㄜ</v>
      </c>
      <c r="N6567" s="3" t="s">
        <v>30575</v>
      </c>
      <c r="O6567" s="3"/>
      <c r="P6567" s="1" t="s">
        <v>20</v>
      </c>
      <c r="R6567" s="1" t="s">
        <v>11505</v>
      </c>
      <c r="V6567" s="1" t="s">
        <v>11526</v>
      </c>
      <c r="AR6567" s="1" t="str">
        <f t="shared" si="422"/>
        <v>| [ㄏㄜˊ](ㄏㄜˊ.md) | [河](河.md) |  | hé | [名]
1.水道的通稱。如：「河流」、「運河」。唐．杜甫〈春望〉詩：「國破山河在，城春草木深。」
2.黃河的簡稱。如：「河套」。
3.成河川狀的群體。如：「星河」、「銀河」。
4.姓。如南北朝時有河禎。 |</v>
      </c>
    </row>
    <row r="6568" spans="1:44" hidden="1">
      <c r="A6568" s="1" t="s">
        <v>10746</v>
      </c>
      <c r="C6568" s="1">
        <v>1</v>
      </c>
      <c r="D6568" s="1" t="str">
        <f>"04730"</f>
        <v>04730</v>
      </c>
      <c r="E6568" s="1" t="s">
        <v>37</v>
      </c>
      <c r="F6568" s="1">
        <v>9</v>
      </c>
      <c r="G6568" s="1">
        <v>5</v>
      </c>
      <c r="H6568" s="1">
        <v>2</v>
      </c>
      <c r="I6568" s="1" t="s">
        <v>11504</v>
      </c>
      <c r="K6568" s="1" t="str">
        <f t="shared" si="420"/>
        <v>ㄏ</v>
      </c>
      <c r="L6568" s="1" t="str">
        <f t="shared" si="421"/>
        <v>ㄜ</v>
      </c>
      <c r="N6568" s="3" t="s">
        <v>30575</v>
      </c>
      <c r="O6568" s="3"/>
      <c r="P6568" s="1" t="s">
        <v>110</v>
      </c>
      <c r="R6568" s="1" t="s">
        <v>11505</v>
      </c>
      <c r="V6568" s="1" t="s">
        <v>111</v>
      </c>
      <c r="W6568" s="1" t="s">
        <v>11527</v>
      </c>
      <c r="AR6568" s="1" t="str">
        <f t="shared" si="422"/>
        <v>| [ㄏㄜˊ](ㄏㄜˊ.md) | [苛](苛.md) |  | hé | (一)之又音。 |</v>
      </c>
    </row>
    <row r="6569" spans="1:44" hidden="1">
      <c r="A6569" s="1" t="s">
        <v>11528</v>
      </c>
      <c r="C6569" s="1">
        <v>1</v>
      </c>
      <c r="D6569" s="1" t="str">
        <f>"04731"</f>
        <v>04731</v>
      </c>
      <c r="E6569" s="1" t="s">
        <v>37</v>
      </c>
      <c r="F6569" s="1">
        <v>11</v>
      </c>
      <c r="G6569" s="1">
        <v>7</v>
      </c>
      <c r="H6569" s="1">
        <v>1</v>
      </c>
      <c r="I6569" s="1" t="s">
        <v>11504</v>
      </c>
      <c r="K6569" s="1" t="str">
        <f t="shared" si="420"/>
        <v>ㄏ</v>
      </c>
      <c r="L6569" s="1" t="str">
        <f t="shared" si="421"/>
        <v>ㄜ</v>
      </c>
      <c r="N6569" s="3" t="s">
        <v>30575</v>
      </c>
      <c r="O6569" s="3"/>
      <c r="P6569" s="1" t="s">
        <v>20</v>
      </c>
      <c r="R6569" s="1" t="s">
        <v>11505</v>
      </c>
      <c r="V6569" s="1" t="s">
        <v>11529</v>
      </c>
      <c r="W6569" s="1" t="s">
        <v>11530</v>
      </c>
      <c r="AR6569" s="1" t="str">
        <f t="shared" si="422"/>
        <v>| [ㄏㄜˊ](ㄏㄜˊ.md) | [荷](荷.md) |  | hé | [名]_x000D_
植物名。「荷花」之簡稱。參見「荷花」條。 |</v>
      </c>
    </row>
    <row r="6570" spans="1:44" hidden="1">
      <c r="A6570" s="1" t="s">
        <v>11531</v>
      </c>
      <c r="C6570" s="1">
        <v>1</v>
      </c>
      <c r="D6570" s="1" t="str">
        <f>"04732"</f>
        <v>04732</v>
      </c>
      <c r="E6570" s="1" t="s">
        <v>245</v>
      </c>
      <c r="F6570" s="1">
        <v>8</v>
      </c>
      <c r="G6570" s="1">
        <v>6</v>
      </c>
      <c r="H6570" s="1">
        <v>0</v>
      </c>
      <c r="I6570" s="1" t="s">
        <v>11504</v>
      </c>
      <c r="K6570" s="1" t="str">
        <f t="shared" si="420"/>
        <v>ㄏ</v>
      </c>
      <c r="L6570" s="1" t="str">
        <f t="shared" si="421"/>
        <v>ㄜ</v>
      </c>
      <c r="N6570" s="3" t="s">
        <v>30575</v>
      </c>
      <c r="O6570" s="3"/>
      <c r="P6570" s="1" t="s">
        <v>20</v>
      </c>
      <c r="R6570" s="1" t="s">
        <v>11505</v>
      </c>
      <c r="V6570" s="1" t="s">
        <v>11532</v>
      </c>
      <c r="AR6570" s="1" t="str">
        <f t="shared" si="422"/>
        <v>| [ㄏㄜˊ](ㄏㄜˊ.md) | [劾](劾.md) |  | hé | [動]
檢舉、揭發不法行為。如：「彈劾」、「糾劾」。《史記．卷八八．蒙恬傳》：「太子立為二世皇帝，而趙高親近，日夜毀惡蒙氏，求其罪過，舉劾之。」 |</v>
      </c>
    </row>
    <row r="6571" spans="1:44" hidden="1">
      <c r="A6571" s="1" t="s">
        <v>11533</v>
      </c>
      <c r="C6571" s="1">
        <v>1</v>
      </c>
      <c r="D6571" s="1" t="str">
        <f>"04733"</f>
        <v>04733</v>
      </c>
      <c r="E6571" s="1" t="s">
        <v>139</v>
      </c>
      <c r="F6571" s="1">
        <v>10</v>
      </c>
      <c r="G6571" s="1">
        <v>6</v>
      </c>
      <c r="H6571" s="1">
        <v>0</v>
      </c>
      <c r="I6571" s="1" t="s">
        <v>11504</v>
      </c>
      <c r="K6571" s="1" t="str">
        <f t="shared" si="420"/>
        <v>ㄏ</v>
      </c>
      <c r="L6571" s="1" t="str">
        <f t="shared" si="421"/>
        <v>ㄜ</v>
      </c>
      <c r="N6571" s="3" t="s">
        <v>30575</v>
      </c>
      <c r="O6571" s="3"/>
      <c r="P6571" s="1" t="s">
        <v>20</v>
      </c>
      <c r="R6571" s="1" t="s">
        <v>11505</v>
      </c>
      <c r="V6571" s="1" t="s">
        <v>11534</v>
      </c>
      <c r="AR6571" s="1" t="str">
        <f t="shared" si="422"/>
        <v>| [ㄏㄜˊ](ㄏㄜˊ.md) | [核](核.md) |  | hé | [名]
1.果實內保護果仁，具硬質外殼部分。如：「果核」、「杏核」、「桃核」。
2.物體中像核的部分。如：「細胞核」、「原子核」。
3.比喻事物的中心部分。漢．王充《論衡．量知》：「文吏不學，世之教無核也。」
4.原子核的簡稱。如：「核能」、「核爆」。
[動]
對照、審查。如：「核對」、「核算」。《漢書．卷二三．刑法志》：「其審核之，務準古法，朕將盡心覽焉。」
[形]
精確、詳實。《漢書．卷六二．司馬遷傳．贊曰》：「其文直，其事核。」 |</v>
      </c>
    </row>
    <row r="6572" spans="1:44" hidden="1">
      <c r="A6572" s="1" t="s">
        <v>11535</v>
      </c>
      <c r="C6572" s="1">
        <v>1</v>
      </c>
      <c r="D6572" s="1" t="str">
        <f>"04734"</f>
        <v>04734</v>
      </c>
      <c r="E6572" s="1" t="s">
        <v>709</v>
      </c>
      <c r="F6572" s="1">
        <v>14</v>
      </c>
      <c r="G6572" s="1">
        <v>6</v>
      </c>
      <c r="H6572" s="1">
        <v>0</v>
      </c>
      <c r="I6572" s="1" t="s">
        <v>11504</v>
      </c>
      <c r="K6572" s="1" t="str">
        <f t="shared" si="420"/>
        <v>ㄏ</v>
      </c>
      <c r="L6572" s="1" t="str">
        <f t="shared" si="421"/>
        <v>ㄜ</v>
      </c>
      <c r="N6572" s="3" t="s">
        <v>30575</v>
      </c>
      <c r="O6572" s="3"/>
      <c r="P6572" s="1" t="s">
        <v>20</v>
      </c>
      <c r="R6572" s="1" t="s">
        <v>11505</v>
      </c>
      <c r="V6572" s="1" t="s">
        <v>11536</v>
      </c>
      <c r="AR6572" s="1" t="str">
        <f t="shared" si="422"/>
        <v>| [ㄏㄜˊ](ㄏㄜˊ.md) | [閡](閡.md) |  | hé | [動]
阻隔、妨礙。《文選．張衡．西京賦》：「右有隴坻之隘，隔閡華戎。」南朝宋．劉義慶《世說新語．規箴》：「夷甫晨起，見錢閡行，呼婢曰：『舉卻阿堵物。』」 |</v>
      </c>
    </row>
    <row r="6573" spans="1:44" hidden="1">
      <c r="A6573" s="1" t="s">
        <v>11537</v>
      </c>
      <c r="C6573" s="1">
        <v>1</v>
      </c>
      <c r="D6573" s="1" t="str">
        <f>"04735"</f>
        <v>04735</v>
      </c>
      <c r="E6573" s="1" t="s">
        <v>6488</v>
      </c>
      <c r="F6573" s="1">
        <v>9</v>
      </c>
      <c r="G6573" s="1">
        <v>5</v>
      </c>
      <c r="H6573" s="1">
        <v>0</v>
      </c>
      <c r="I6573" s="1" t="s">
        <v>11504</v>
      </c>
      <c r="K6573" s="1" t="str">
        <f t="shared" si="420"/>
        <v>ㄏ</v>
      </c>
      <c r="L6573" s="1" t="str">
        <f t="shared" si="421"/>
        <v>ㄜ</v>
      </c>
      <c r="N6573" s="3" t="s">
        <v>30575</v>
      </c>
      <c r="O6573" s="3"/>
      <c r="P6573" s="1" t="s">
        <v>20</v>
      </c>
      <c r="R6573" s="1" t="s">
        <v>11505</v>
      </c>
      <c r="V6573" s="1" t="s">
        <v>11538</v>
      </c>
      <c r="AR6573" s="1" t="str">
        <f t="shared" si="422"/>
        <v>| [ㄏㄜˊ](ㄏㄜˊ.md) | [曷](曷.md) |  | hé | [代]
什麼時候。《詩經．王風．君子于役》：「君子于役，不知其期，曷至哉？」三國魏．曹植〈平原懿公主誄〉：「扃關一闔，曷其復晰？」
[副]
1.何、為何。《書經．盤庚中》：「曷虐朕民？」《文選．陶淵明．歸去來辭》：「寓形宇內復幾時，曷不委心任去留？」
2.何不。清．王士禎《池北偶談．卷二三．談異四．濮州女子》：「此地不久必大亂，不可留也，曷避之？」《清史稿．卷四七五．洪秀全傳》：「其黨張遂謀曰：『王得軍心，何鬱鬱受人制？中原不易圖，曷入川作玄德，成鼎足之業？』」
3.豈、難道。《荀子．彊國》：「眾庶百姓皆以貪利爭奪為俗，曷若是而可以持國乎？」《後漢書．卷三五．曹襃傳．論曰》：「禮云禮云，曷其然哉！」 |</v>
      </c>
    </row>
    <row r="6574" spans="1:44" hidden="1">
      <c r="A6574" s="1" t="s">
        <v>10813</v>
      </c>
      <c r="C6574" s="1">
        <v>1</v>
      </c>
      <c r="D6574" s="1" t="str">
        <f>"04736"</f>
        <v>04736</v>
      </c>
      <c r="E6574" s="1" t="s">
        <v>129</v>
      </c>
      <c r="F6574" s="1">
        <v>12</v>
      </c>
      <c r="G6574" s="1">
        <v>9</v>
      </c>
      <c r="H6574" s="1">
        <v>3</v>
      </c>
      <c r="I6574" s="1" t="s">
        <v>11504</v>
      </c>
      <c r="K6574" s="1" t="str">
        <f t="shared" si="420"/>
        <v>ㄏ</v>
      </c>
      <c r="L6574" s="1" t="str">
        <f t="shared" si="421"/>
        <v>ㄜ</v>
      </c>
      <c r="N6574" s="3" t="s">
        <v>30575</v>
      </c>
      <c r="O6574" s="3"/>
      <c r="P6574" s="1" t="s">
        <v>20</v>
      </c>
      <c r="R6574" s="1" t="s">
        <v>11505</v>
      </c>
      <c r="V6574" s="1" t="s">
        <v>11539</v>
      </c>
      <c r="W6574" s="1" t="s">
        <v>11540</v>
      </c>
      <c r="AR6574" s="1" t="str">
        <f t="shared" si="422"/>
        <v>| [ㄏㄜˊ](ㄏㄜˊ.md) | [渴](渴.md) |  | hé | [名]
反流的水。唐．柳宗元〈袁家渴記〉：「楚越之間方言，謂水之反流者為渴，音若衣褐之褐。渴上與南館高嶂合，下與百家瀨合。」 |</v>
      </c>
    </row>
    <row r="6575" spans="1:44" hidden="1">
      <c r="A6575" s="1" t="s">
        <v>11541</v>
      </c>
      <c r="C6575" s="1">
        <v>1</v>
      </c>
      <c r="D6575" s="1" t="str">
        <f>"04737"</f>
        <v>04737</v>
      </c>
      <c r="E6575" s="1" t="s">
        <v>340</v>
      </c>
      <c r="F6575" s="1">
        <v>15</v>
      </c>
      <c r="G6575" s="1">
        <v>9</v>
      </c>
      <c r="H6575" s="1">
        <v>0</v>
      </c>
      <c r="I6575" s="1" t="s">
        <v>11504</v>
      </c>
      <c r="K6575" s="1" t="str">
        <f t="shared" si="420"/>
        <v>ㄏ</v>
      </c>
      <c r="L6575" s="1" t="str">
        <f t="shared" si="421"/>
        <v>ㄜ</v>
      </c>
      <c r="N6575" s="3" t="s">
        <v>30575</v>
      </c>
      <c r="O6575" s="3"/>
      <c r="P6575" s="1" t="s">
        <v>20</v>
      </c>
      <c r="R6575" s="1" t="s">
        <v>11505</v>
      </c>
      <c r="V6575" s="1" t="s">
        <v>11542</v>
      </c>
      <c r="AR6575" s="1" t="str">
        <f t="shared" si="422"/>
        <v>| [ㄏㄜˊ](ㄏㄜˊ.md) | [褐](褐.md) |  | hé | [名]
1.粗毛、布製成的衣服。《孟子．滕文公上》：「許子衣褐。」漢．趙壹〈魯生歌〉：「被褐懷金玉，蘭蕙化為芻。」
2.比喻貧窮卑賤的人。《左傳．哀公十三年》：「旨酒一盛兮，余與褐之父睨之。」晉．杜預．注：「褐，寒賤之人。」
3.黃黑色。如：「茶褐色」。
4.姓。如明代有褐奎。 |</v>
      </c>
    </row>
    <row r="6576" spans="1:44" hidden="1">
      <c r="A6576" s="1" t="s">
        <v>11543</v>
      </c>
      <c r="C6576" s="1">
        <v>1</v>
      </c>
      <c r="D6576" s="1" t="str">
        <f>"04738"</f>
        <v>04738</v>
      </c>
      <c r="E6576" s="1" t="s">
        <v>679</v>
      </c>
      <c r="F6576" s="1">
        <v>15</v>
      </c>
      <c r="G6576" s="1">
        <v>9</v>
      </c>
      <c r="H6576" s="1">
        <v>1</v>
      </c>
      <c r="I6576" s="1" t="s">
        <v>11504</v>
      </c>
      <c r="K6576" s="1" t="str">
        <f t="shared" si="420"/>
        <v>ㄏ</v>
      </c>
      <c r="L6576" s="1" t="str">
        <f t="shared" si="421"/>
        <v>ㄜ</v>
      </c>
      <c r="N6576" s="3" t="s">
        <v>30575</v>
      </c>
      <c r="O6576" s="3"/>
      <c r="P6576" s="1" t="s">
        <v>20</v>
      </c>
      <c r="R6576" s="1" t="s">
        <v>11505</v>
      </c>
      <c r="V6576" s="1" t="s">
        <v>11544</v>
      </c>
      <c r="W6576" s="1" t="s">
        <v>11545</v>
      </c>
      <c r="AR6576" s="1" t="str">
        <f t="shared" si="422"/>
        <v>| [ㄏㄜˊ](ㄏㄜˊ.md) | [蝎](蝎.md) |  | hé | [名]
蝕木的蛀蟲。三國魏．嵇康〈答向子期難養生論〉：「故蝎盛則木朽，欲勝則身枯。」 |</v>
      </c>
    </row>
    <row r="6577" spans="1:44" hidden="1">
      <c r="A6577" s="1" t="s">
        <v>11546</v>
      </c>
      <c r="C6577" s="1">
        <v>1</v>
      </c>
      <c r="D6577" s="1" t="str">
        <f>"04739"</f>
        <v>04739</v>
      </c>
      <c r="E6577" s="1" t="s">
        <v>96</v>
      </c>
      <c r="F6577" s="1">
        <v>18</v>
      </c>
      <c r="G6577" s="1">
        <v>9</v>
      </c>
      <c r="H6577" s="1">
        <v>0</v>
      </c>
      <c r="I6577" s="1" t="s">
        <v>11504</v>
      </c>
      <c r="K6577" s="1" t="str">
        <f t="shared" si="420"/>
        <v>ㄏ</v>
      </c>
      <c r="L6577" s="1" t="str">
        <f t="shared" si="421"/>
        <v>ㄜ</v>
      </c>
      <c r="N6577" s="3" t="s">
        <v>30575</v>
      </c>
      <c r="O6577" s="3"/>
      <c r="P6577" s="1" t="s">
        <v>20</v>
      </c>
      <c r="R6577" s="1" t="s">
        <v>11505</v>
      </c>
      <c r="V6577" s="1" t="s">
        <v>11547</v>
      </c>
      <c r="AR6577" s="1" t="str">
        <f t="shared" si="422"/>
        <v>| [ㄏㄜˊ](ㄏㄜˊ.md) | [鞨](鞨.md) |  | hé | [名]
1.鞋子。清．王念孫《廣雅疏證．卷七下．釋器》：「鞨，履也。」
2.參見「靺鞨」條。 |</v>
      </c>
    </row>
    <row r="6578" spans="1:44" hidden="1">
      <c r="A6578" s="1" t="s">
        <v>11548</v>
      </c>
      <c r="C6578" s="1">
        <v>1</v>
      </c>
      <c r="D6578" s="1" t="str">
        <f>"04740"</f>
        <v>04740</v>
      </c>
      <c r="E6578" s="1" t="s">
        <v>272</v>
      </c>
      <c r="F6578" s="1">
        <v>20</v>
      </c>
      <c r="G6578" s="1">
        <v>9</v>
      </c>
      <c r="H6578" s="1">
        <v>0</v>
      </c>
      <c r="I6578" s="1" t="s">
        <v>11504</v>
      </c>
      <c r="K6578" s="1" t="str">
        <f t="shared" si="420"/>
        <v>ㄏ</v>
      </c>
      <c r="L6578" s="1" t="str">
        <f t="shared" si="421"/>
        <v>ㄜ</v>
      </c>
      <c r="N6578" s="3" t="s">
        <v>30575</v>
      </c>
      <c r="O6578" s="3"/>
      <c r="P6578" s="1" t="s">
        <v>20</v>
      </c>
      <c r="R6578" s="1" t="s">
        <v>11505</v>
      </c>
      <c r="V6578" s="1" t="s">
        <v>11549</v>
      </c>
      <c r="AR6578" s="1" t="str">
        <f t="shared" si="422"/>
        <v>| [ㄏㄜˊ](ㄏㄜˊ.md) | [鶡](鶡.md) |  | hé | [名]
動物名。鳥綱雞形目。似雞而大，體青色，有毛角，性勇健。 |</v>
      </c>
    </row>
    <row r="6579" spans="1:44" hidden="1">
      <c r="A6579" s="1" t="s">
        <v>9561</v>
      </c>
      <c r="C6579" s="1">
        <v>1</v>
      </c>
      <c r="D6579" s="1" t="str">
        <f>"04741"</f>
        <v>04741</v>
      </c>
      <c r="E6579" s="1" t="s">
        <v>725</v>
      </c>
      <c r="F6579" s="1">
        <v>9</v>
      </c>
      <c r="G6579" s="1">
        <v>3</v>
      </c>
      <c r="H6579" s="1">
        <v>1</v>
      </c>
      <c r="I6579" s="1" t="s">
        <v>11504</v>
      </c>
      <c r="K6579" s="1" t="str">
        <f t="shared" si="420"/>
        <v>ㄏ</v>
      </c>
      <c r="L6579" s="1" t="str">
        <f t="shared" si="421"/>
        <v>ㄜ</v>
      </c>
      <c r="N6579" s="3" t="s">
        <v>30575</v>
      </c>
      <c r="O6579" s="3"/>
      <c r="P6579" s="1" t="s">
        <v>20</v>
      </c>
      <c r="R6579" s="1" t="s">
        <v>11505</v>
      </c>
      <c r="V6579" s="1" t="s">
        <v>11550</v>
      </c>
      <c r="W6579" s="1" t="s">
        <v>11551</v>
      </c>
      <c r="AR6579" s="1" t="str">
        <f t="shared" si="422"/>
        <v>| [ㄏㄜˊ](ㄏㄜˊ.md) | [紇](紇.md) |  | hé | [名]
1.粗劣下等的絲。《說文解字．糸部》：「紇，絲下也。」
2.人名。孔子的父親。《左傳．襄公十年》：「郰人紇抉之以出門者。」晉．杜預．注：「紇郰邑大夫，仲尼父，叔梁紇也。」
3.參見「回紇」條。 |</v>
      </c>
    </row>
    <row r="6580" spans="1:44" hidden="1">
      <c r="A6580" s="1" t="s">
        <v>10763</v>
      </c>
      <c r="C6580" s="1">
        <v>1</v>
      </c>
      <c r="D6580" s="1" t="str">
        <f>"04742"</f>
        <v>04742</v>
      </c>
      <c r="E6580" s="1" t="s">
        <v>77</v>
      </c>
      <c r="F6580" s="1">
        <v>10</v>
      </c>
      <c r="G6580" s="1">
        <v>3</v>
      </c>
      <c r="H6580" s="1">
        <v>2</v>
      </c>
      <c r="I6580" s="1" t="s">
        <v>11504</v>
      </c>
      <c r="K6580" s="1" t="str">
        <f t="shared" si="420"/>
        <v>ㄏ</v>
      </c>
      <c r="L6580" s="1" t="str">
        <f t="shared" si="421"/>
        <v>ㄜ</v>
      </c>
      <c r="N6580" s="3" t="s">
        <v>30575</v>
      </c>
      <c r="O6580" s="3"/>
      <c r="P6580" s="1" t="s">
        <v>110</v>
      </c>
      <c r="R6580" s="1" t="s">
        <v>11505</v>
      </c>
      <c r="V6580" s="1" t="s">
        <v>111</v>
      </c>
      <c r="W6580" s="1" t="s">
        <v>11552</v>
      </c>
      <c r="AR6580" s="1" t="str">
        <f t="shared" si="422"/>
        <v>| [ㄏㄜˊ](ㄏㄜˊ.md) | [趷](趷.md) |  | hé | (一)之又音。 |</v>
      </c>
    </row>
    <row r="6581" spans="1:44" hidden="1">
      <c r="A6581" s="1" t="s">
        <v>11553</v>
      </c>
      <c r="C6581" s="1">
        <v>1</v>
      </c>
      <c r="D6581" s="1" t="str">
        <f>"04743"</f>
        <v>04743</v>
      </c>
      <c r="E6581" s="1" t="s">
        <v>592</v>
      </c>
      <c r="F6581" s="1">
        <v>18</v>
      </c>
      <c r="G6581" s="1">
        <v>3</v>
      </c>
      <c r="H6581" s="1">
        <v>0</v>
      </c>
      <c r="I6581" s="1" t="s">
        <v>11504</v>
      </c>
      <c r="K6581" s="1" t="str">
        <f t="shared" si="420"/>
        <v>ㄏ</v>
      </c>
      <c r="L6581" s="1" t="str">
        <f t="shared" si="421"/>
        <v>ㄜ</v>
      </c>
      <c r="N6581" s="3" t="s">
        <v>30575</v>
      </c>
      <c r="O6581" s="3"/>
      <c r="P6581" s="1" t="s">
        <v>20</v>
      </c>
      <c r="R6581" s="1" t="s">
        <v>11505</v>
      </c>
      <c r="V6581" s="1" t="s">
        <v>11554</v>
      </c>
      <c r="AR6581" s="1" t="str">
        <f t="shared" si="422"/>
        <v>| [ㄏㄜˊ](ㄏㄜˊ.md) | [齕](齕.md) |  | hé | [動]
用牙齒咬。《荀子．正論》：「彼乃將食其肉而齕其骨也。」《聊齋志異．卷四．促織》：「俄見小蟲躍起，張尾伸鬚，直齕敵領。」 |</v>
      </c>
    </row>
    <row r="6582" spans="1:44" hidden="1">
      <c r="A6582" s="1" t="s">
        <v>11555</v>
      </c>
      <c r="C6582" s="1">
        <v>1</v>
      </c>
      <c r="D6582" s="1" t="str">
        <f>"04744"</f>
        <v>04744</v>
      </c>
      <c r="E6582" s="1" t="s">
        <v>624</v>
      </c>
      <c r="F6582" s="1">
        <v>10</v>
      </c>
      <c r="G6582" s="1">
        <v>7</v>
      </c>
      <c r="H6582" s="1">
        <v>2</v>
      </c>
      <c r="I6582" s="1" t="s">
        <v>11504</v>
      </c>
      <c r="K6582" s="1" t="str">
        <f t="shared" si="420"/>
        <v>ㄏ</v>
      </c>
      <c r="L6582" s="1" t="str">
        <f t="shared" si="421"/>
        <v>ㄜ</v>
      </c>
      <c r="N6582" s="3" t="s">
        <v>30575</v>
      </c>
      <c r="O6582" s="3"/>
      <c r="P6582" s="1" t="s">
        <v>20</v>
      </c>
      <c r="R6582" s="1" t="s">
        <v>11505</v>
      </c>
      <c r="V6582" s="1" t="s">
        <v>11556</v>
      </c>
      <c r="W6582" s="1" t="s">
        <v>11557</v>
      </c>
      <c r="AR6582" s="1" t="str">
        <f t="shared" si="422"/>
        <v>| [ㄏㄜˊ](ㄏㄜˊ.md) | [害](害.md) |  | hé | [副]
何不。同「曷」。《孟子．梁惠王上》：「時日害喪？予及女皆亡。」 |</v>
      </c>
    </row>
    <row r="6583" spans="1:44" hidden="1">
      <c r="A6583" s="1" t="s">
        <v>11558</v>
      </c>
      <c r="C6583" s="1">
        <v>1</v>
      </c>
      <c r="D6583" s="1" t="str">
        <f>"04745"</f>
        <v>04745</v>
      </c>
      <c r="E6583" s="1" t="s">
        <v>438</v>
      </c>
      <c r="F6583" s="1">
        <v>10</v>
      </c>
      <c r="G6583" s="1">
        <v>5</v>
      </c>
      <c r="H6583" s="1">
        <v>0</v>
      </c>
      <c r="I6583" s="1" t="s">
        <v>11504</v>
      </c>
      <c r="K6583" s="1" t="str">
        <f t="shared" si="420"/>
        <v>ㄏ</v>
      </c>
      <c r="L6583" s="1" t="str">
        <f t="shared" si="421"/>
        <v>ㄜ</v>
      </c>
      <c r="N6583" s="3" t="s">
        <v>30575</v>
      </c>
      <c r="O6583" s="3"/>
      <c r="P6583" s="1" t="s">
        <v>20</v>
      </c>
      <c r="R6583" s="1" t="s">
        <v>11505</v>
      </c>
      <c r="V6583" s="1" t="s">
        <v>11559</v>
      </c>
      <c r="AR6583" s="1" t="str">
        <f t="shared" si="422"/>
        <v>| [ㄏㄜˊ](ㄏㄜˊ.md) | [盍](盍.md) |  | hé | [副]
1.何、為何，表示疑問。《管子．戒》：「中婦諸子謂宮人盍不出從乎？君將有行。」宋．蘇軾〈壬寅重九不預會獨遊普門寺僧閣有懷子由〉詩：「花開酒美盍言歸？來看南山冷翠微。」
2.何不，表示反問。《論語．公冶長》：「盍各言爾志？」《新唐書．卷八五．竇建德傳》：「祭酒計甚善，王盍用之？」
[名]
姓。如漢代有盍延。 |</v>
      </c>
    </row>
    <row r="6584" spans="1:44" hidden="1">
      <c r="A6584" s="1" t="s">
        <v>10837</v>
      </c>
      <c r="C6584" s="1">
        <v>1</v>
      </c>
      <c r="D6584" s="1" t="str">
        <f>"04746"</f>
        <v>04746</v>
      </c>
      <c r="E6584" s="1" t="s">
        <v>28</v>
      </c>
      <c r="F6584" s="1">
        <v>13</v>
      </c>
      <c r="G6584" s="1">
        <v>10</v>
      </c>
      <c r="H6584" s="1">
        <v>1</v>
      </c>
      <c r="I6584" s="1" t="s">
        <v>11504</v>
      </c>
      <c r="K6584" s="1" t="str">
        <f t="shared" si="420"/>
        <v>ㄏ</v>
      </c>
      <c r="L6584" s="1" t="str">
        <f t="shared" si="421"/>
        <v>ㄜ</v>
      </c>
      <c r="N6584" s="3" t="s">
        <v>30575</v>
      </c>
      <c r="O6584" s="3"/>
      <c r="P6584" s="1" t="s">
        <v>20</v>
      </c>
      <c r="R6584" s="1" t="s">
        <v>11505</v>
      </c>
      <c r="V6584" s="1" t="s">
        <v>11560</v>
      </c>
      <c r="W6584" s="1" t="s">
        <v>11561</v>
      </c>
      <c r="AR6584" s="1" t="str">
        <f t="shared" si="422"/>
        <v>| [ㄏㄜˊ](ㄏㄜˊ.md) | [嗑](嗑.md) |  | hé | [形]
話多。《說文解字．口部》：「嗑，多言也。」
[動]
1.閉、合。《抱朴子．外篇．守塉》：「口張不能嗑，首俛不能仰。」
2.喝、食。《儒林外史》第三回：「我一天殺一個豬還賺不得錢把銀子，都把與你去丟在水裡，叫我一家老小嗑西北風。」 |</v>
      </c>
    </row>
    <row r="6585" spans="1:44" hidden="1">
      <c r="A6585" s="1" t="s">
        <v>9654</v>
      </c>
      <c r="C6585" s="1">
        <v>1</v>
      </c>
      <c r="D6585" s="1" t="str">
        <f>"04747"</f>
        <v>04747</v>
      </c>
      <c r="E6585" s="1" t="s">
        <v>37</v>
      </c>
      <c r="F6585" s="1">
        <v>14</v>
      </c>
      <c r="G6585" s="1">
        <v>10</v>
      </c>
      <c r="H6585" s="1">
        <v>3</v>
      </c>
      <c r="I6585" s="1" t="s">
        <v>11504</v>
      </c>
      <c r="K6585" s="1" t="str">
        <f t="shared" si="420"/>
        <v>ㄏ</v>
      </c>
      <c r="L6585" s="1" t="str">
        <f t="shared" si="421"/>
        <v>ㄜ</v>
      </c>
      <c r="N6585" s="3" t="s">
        <v>30575</v>
      </c>
      <c r="O6585" s="3"/>
      <c r="P6585" s="1" t="s">
        <v>20</v>
      </c>
      <c r="R6585" s="1" t="s">
        <v>11505</v>
      </c>
      <c r="V6585" s="1" t="s">
        <v>11562</v>
      </c>
      <c r="W6585" s="1" t="s">
        <v>11563</v>
      </c>
      <c r="AR6585" s="1" t="str">
        <f t="shared" si="422"/>
        <v>| [ㄏㄜˊ](ㄏㄜˊ.md) | [蓋](蓋.md) |  | hé | [副]
1.豈，表示反詰。同「盍」。《戰國策．秦策一》：「人生世上，勢位富厚，蓋可忽乎哉！」
2.為何，表示疑問。同「盍」。《莊子．養生主》：「文惠君曰：『譆！善哉！技蓋至此乎？』庖丁釋刀對曰：『臣之所好者，道也，進乎技矣。』」
3.何不，表示疑問或反詰。同「盍」。《禮記．檀弓上》：「晉獻公將殺其世子申生，公子重耳謂之曰：『子蓋言子之志於公乎？』世子曰：『不可，君安驪姬，是我傷公之心也。』」《史記．卷四七．孔子世家》：「子貢曰：『夫子之道至大也，故天下莫能容夫子。夫子蓋少貶焉？』」 |</v>
      </c>
    </row>
    <row r="6586" spans="1:44" hidden="1">
      <c r="A6586" s="1" t="s">
        <v>11564</v>
      </c>
      <c r="C6586" s="1">
        <v>1</v>
      </c>
      <c r="D6586" s="1" t="str">
        <f>"04748"</f>
        <v>04748</v>
      </c>
      <c r="E6586" s="1" t="s">
        <v>709</v>
      </c>
      <c r="F6586" s="1">
        <v>18</v>
      </c>
      <c r="G6586" s="1">
        <v>10</v>
      </c>
      <c r="H6586" s="1">
        <v>0</v>
      </c>
      <c r="I6586" s="1" t="s">
        <v>11504</v>
      </c>
      <c r="K6586" s="1" t="str">
        <f t="shared" si="420"/>
        <v>ㄏ</v>
      </c>
      <c r="L6586" s="1" t="str">
        <f t="shared" si="421"/>
        <v>ㄜ</v>
      </c>
      <c r="N6586" s="3" t="s">
        <v>30575</v>
      </c>
      <c r="O6586" s="3"/>
      <c r="P6586" s="1" t="s">
        <v>20</v>
      </c>
      <c r="R6586" s="1" t="s">
        <v>11505</v>
      </c>
      <c r="V6586" s="1" t="s">
        <v>11565</v>
      </c>
      <c r="AR6586" s="1" t="str">
        <f t="shared" si="422"/>
        <v>| [ㄏㄜˊ](ㄏㄜˊ.md) | [闔](闔.md) |  | hé | [名]
門扉。《爾雅．釋宮》：「闔謂之扉。」《荀子．儒效》：「故外闔不閉，跨天下而無蘄。」
[動]
掩蓋、關閉。《淮南子．脩務》：「攄書明指以示之，雖闔棺亦不恨矣。」《文選．潘岳．寡婦賦》：「靜闔門以窮居兮，塊煢獨而靡依。」
[形]
全部。如：「闔府」、「闔第」。《漢書．卷六．武帝紀》：「今或至闔郡而不薦一人。」《文選．劉琨．勸進表》：「外以絕敵人之志，內以固闔境之情。」 |</v>
      </c>
    </row>
    <row r="6587" spans="1:44" hidden="1">
      <c r="A6587" s="1" t="s">
        <v>11566</v>
      </c>
      <c r="C6587" s="1">
        <v>1</v>
      </c>
      <c r="D6587" s="1" t="str">
        <f>"04749"</f>
        <v>04749</v>
      </c>
      <c r="E6587" s="1" t="s">
        <v>129</v>
      </c>
      <c r="F6587" s="1">
        <v>11</v>
      </c>
      <c r="G6587" s="1">
        <v>8</v>
      </c>
      <c r="H6587" s="1">
        <v>1</v>
      </c>
      <c r="I6587" s="1" t="s">
        <v>11504</v>
      </c>
      <c r="K6587" s="1" t="str">
        <f t="shared" si="420"/>
        <v>ㄏ</v>
      </c>
      <c r="L6587" s="1" t="str">
        <f t="shared" si="421"/>
        <v>ㄜ</v>
      </c>
      <c r="N6587" s="3" t="s">
        <v>30575</v>
      </c>
      <c r="O6587" s="3"/>
      <c r="P6587" s="1" t="s">
        <v>20</v>
      </c>
      <c r="R6587" s="1" t="s">
        <v>11505</v>
      </c>
      <c r="V6587" s="1" t="s">
        <v>11567</v>
      </c>
      <c r="W6587" s="1" t="s">
        <v>11568</v>
      </c>
      <c r="AR6587" s="1" t="str">
        <f t="shared" si="422"/>
        <v>| [ㄏㄜˊ](ㄏㄜˊ.md) | [涸](涸.md) |  | hé | [形]
水乾竭、乾枯。如：「乾涸」。唐．王勃〈滕王閣序〉：「酌貪泉而覺爽，處涸轍以猶懽。」《紅樓夢》第五回：「下面有一池沼，其中水涸泥乾，蓮枯藕敗。」 |</v>
      </c>
    </row>
    <row r="6588" spans="1:44" hidden="1">
      <c r="A6588" s="1" t="s">
        <v>2769</v>
      </c>
      <c r="C6588" s="1">
        <v>1</v>
      </c>
      <c r="D6588" s="1" t="str">
        <f>"04750"</f>
        <v>04750</v>
      </c>
      <c r="E6588" s="1" t="s">
        <v>537</v>
      </c>
      <c r="F6588" s="1">
        <v>13</v>
      </c>
      <c r="G6588" s="1">
        <v>6</v>
      </c>
      <c r="H6588" s="1">
        <v>1</v>
      </c>
      <c r="I6588" s="1" t="s">
        <v>11504</v>
      </c>
      <c r="K6588" s="1" t="str">
        <f t="shared" si="420"/>
        <v>ㄏ</v>
      </c>
      <c r="L6588" s="1" t="str">
        <f t="shared" si="421"/>
        <v>ㄜ</v>
      </c>
      <c r="N6588" s="3" t="s">
        <v>30575</v>
      </c>
      <c r="O6588" s="3"/>
      <c r="P6588" s="1" t="s">
        <v>186</v>
      </c>
      <c r="R6588" s="1" t="s">
        <v>11505</v>
      </c>
      <c r="V6588" s="1" t="s">
        <v>11569</v>
      </c>
      <c r="W6588" s="1" t="s">
        <v>11570</v>
      </c>
      <c r="AR6588" s="1" t="str">
        <f t="shared" si="422"/>
        <v>| [ㄏㄜˊ](ㄏㄜˊ.md) | [貉](貉.md) |  | hé | [名]
動物名。食肉目犬科。即貍，銳頭尖鼻，耳短小而圓，四肢短，毛褐色或黑灰色。於夜間活動，以小動物、魚類等為食。其皮為珍貴裘料。 |</v>
      </c>
    </row>
    <row r="6589" spans="1:44" hidden="1">
      <c r="A6589" s="1" t="s">
        <v>9625</v>
      </c>
      <c r="C6589" s="1">
        <v>1</v>
      </c>
      <c r="D6589" s="1" t="str">
        <f>"04751"</f>
        <v>04751</v>
      </c>
      <c r="E6589" s="1" t="s">
        <v>2271</v>
      </c>
      <c r="F6589" s="1">
        <v>16</v>
      </c>
      <c r="G6589" s="1">
        <v>10</v>
      </c>
      <c r="H6589" s="1">
        <v>1</v>
      </c>
      <c r="I6589" s="1" t="s">
        <v>11504</v>
      </c>
      <c r="K6589" s="1" t="str">
        <f t="shared" si="420"/>
        <v>ㄏ</v>
      </c>
      <c r="L6589" s="1" t="str">
        <f t="shared" si="421"/>
        <v>ㄜ</v>
      </c>
      <c r="N6589" s="3" t="s">
        <v>30575</v>
      </c>
      <c r="O6589" s="3"/>
      <c r="P6589" s="1" t="s">
        <v>20</v>
      </c>
      <c r="R6589" s="1" t="s">
        <v>11505</v>
      </c>
      <c r="V6589" s="1" t="s">
        <v>11571</v>
      </c>
      <c r="W6589" s="1" t="s">
        <v>11572</v>
      </c>
      <c r="AR6589" s="1" t="str">
        <f t="shared" si="422"/>
        <v>| [ㄏㄜˊ](ㄏㄜˊ.md) | [翮](翮.md) |  | hé | [名]
1.鳥類羽毛中的硬梗。《說文解字．羽部》：「翮，羽莖也。」《周禮．地官．羽人》：「掌以時徵羽翮之政。」
2.翅膀。如：「奮翮高飛」。
3.量詞。古時用於羽毛。《戰國策．楚策四》：「奮其六翮而凌清風，飄搖乎高翔。」 |</v>
      </c>
    </row>
    <row r="6590" spans="1:44" hidden="1">
      <c r="A6590" s="1" t="s">
        <v>11573</v>
      </c>
      <c r="C6590" s="1">
        <v>1</v>
      </c>
      <c r="D6590" s="1" t="str">
        <f>"04752"</f>
        <v>04752</v>
      </c>
      <c r="E6590" s="1" t="s">
        <v>169</v>
      </c>
      <c r="F6590" s="1">
        <v>18</v>
      </c>
      <c r="G6590" s="1">
        <v>13</v>
      </c>
      <c r="H6590" s="1">
        <v>0</v>
      </c>
      <c r="I6590" s="1" t="s">
        <v>11504</v>
      </c>
      <c r="K6590" s="1" t="str">
        <f t="shared" si="420"/>
        <v>ㄏ</v>
      </c>
      <c r="L6590" s="1" t="str">
        <f t="shared" si="421"/>
        <v>ㄜ</v>
      </c>
      <c r="N6590" s="3" t="s">
        <v>30575</v>
      </c>
      <c r="O6590" s="3"/>
      <c r="P6590" s="1" t="s">
        <v>20</v>
      </c>
      <c r="R6590" s="1" t="s">
        <v>11505</v>
      </c>
      <c r="V6590" s="1" t="s">
        <v>11574</v>
      </c>
      <c r="AR6590" s="1" t="str">
        <f t="shared" si="422"/>
        <v>| [ㄏㄜˊ](ㄏㄜˊ.md) | [礉](礉.md) |  | hé | [形]
苛刻、嚴厲。《史記．卷六三．老子韓非傳．太史公曰》：「韓子引繩墨，切事情，明是非，其極慘礉少恩。」 |</v>
      </c>
    </row>
    <row r="6591" spans="1:44" hidden="1">
      <c r="A6591" s="1" t="s">
        <v>11575</v>
      </c>
      <c r="C6591" s="1">
        <v>1</v>
      </c>
      <c r="D6591" s="1" t="str">
        <f>"04753"</f>
        <v>04753</v>
      </c>
      <c r="E6591" s="1" t="s">
        <v>4317</v>
      </c>
      <c r="F6591" s="1">
        <v>19</v>
      </c>
      <c r="G6591" s="1">
        <v>13</v>
      </c>
      <c r="H6591" s="1">
        <v>0</v>
      </c>
      <c r="I6591" s="1" t="s">
        <v>11504</v>
      </c>
      <c r="K6591" s="1" t="str">
        <f t="shared" si="420"/>
        <v>ㄏ</v>
      </c>
      <c r="L6591" s="1" t="str">
        <f t="shared" si="421"/>
        <v>ㄜ</v>
      </c>
      <c r="N6591" s="3" t="s">
        <v>30575</v>
      </c>
      <c r="O6591" s="3"/>
      <c r="P6591" s="1" t="s">
        <v>20</v>
      </c>
      <c r="R6591" s="1" t="s">
        <v>11505</v>
      </c>
      <c r="V6591" s="1" t="s">
        <v>11576</v>
      </c>
      <c r="AR6591" s="1" t="str">
        <f t="shared" si="422"/>
        <v>| [ㄏㄜˊ](ㄏㄜˊ.md) | [覈](覈.md) |  | hé | [動]
檢驗、查核。如：「檢覈」、「覈對」。《文選．張衡．東京賦》：「其以溫故知新，研覈是非。」南朝梁．劉勰《文心雕龍．辨騷》：「將覈其論，必徵言焉。」
[形]
詳實、嚴謹。《後漢書．卷四〇．班彪傳下》：「遷文直而事覈，固文贍而事詳。」《北史．卷七二．李德林傳》：「善屬文，詞覈而理暢。」
[副]
深刻。《後漢書．卷六八．許劭傳》：「初，劭與靖俱有高名，好共覈論鄉黨人物。」
[名]
米麥舂餘的粗屑。《漢書．卷四〇．陳平傳》：「其嫂疾平之不親家生產，曰：『亦食糠覈耳。』」宋．范成大〈四時田園雜興〉詩六〇首之四五：「不惜兩鍾輸一斛，尚贏糠覈飽兒郎。」 |</v>
      </c>
    </row>
    <row r="6592" spans="1:44" hidden="1">
      <c r="A6592" s="1" t="s">
        <v>11637</v>
      </c>
      <c r="C6592" s="1">
        <v>1</v>
      </c>
      <c r="D6592" s="1" t="str">
        <f>"04778"</f>
        <v>04778</v>
      </c>
      <c r="E6592" s="1" t="s">
        <v>367</v>
      </c>
      <c r="F6592" s="1">
        <v>6</v>
      </c>
      <c r="G6592" s="1">
        <v>4</v>
      </c>
      <c r="H6592" s="1">
        <v>0</v>
      </c>
      <c r="I6592" s="1" t="s">
        <v>11638</v>
      </c>
      <c r="K6592" s="1" t="str">
        <f t="shared" si="420"/>
        <v>ㄏ</v>
      </c>
      <c r="L6592" s="1" t="str">
        <f t="shared" si="421"/>
        <v>ㄞ</v>
      </c>
      <c r="N6592" s="3" t="s">
        <v>30574</v>
      </c>
      <c r="O6592" s="3"/>
      <c r="P6592" s="1" t="s">
        <v>20</v>
      </c>
      <c r="R6592" s="1" t="s">
        <v>11639</v>
      </c>
      <c r="V6592" s="1" t="s">
        <v>11640</v>
      </c>
      <c r="AR6592" s="1" t="str">
        <f t="shared" si="422"/>
        <v>| [ㄏㄞˋ](ㄏㄞˋ.md) | [亥](亥.md) |  | hài | [名]
1.地支的第十二位。
2.時辰名。約當晚上九點至十一點。
3.排列次序用字，表示第十二。
4.姓。如戰國時晉國有亥唐。 |</v>
      </c>
    </row>
    <row r="6593" spans="1:44" hidden="1">
      <c r="A6593" s="1" t="s">
        <v>11641</v>
      </c>
      <c r="C6593" s="1">
        <v>1</v>
      </c>
      <c r="D6593" s="1" t="str">
        <f>"04779"</f>
        <v>04779</v>
      </c>
      <c r="E6593" s="1" t="s">
        <v>2228</v>
      </c>
      <c r="F6593" s="1">
        <v>10</v>
      </c>
      <c r="G6593" s="1">
        <v>6</v>
      </c>
      <c r="H6593" s="1">
        <v>0</v>
      </c>
      <c r="I6593" s="1" t="s">
        <v>11638</v>
      </c>
      <c r="K6593" s="1" t="str">
        <f t="shared" ref="K6593:K6656" si="423">LEFT(I6593, 1)</f>
        <v>ㄏ</v>
      </c>
      <c r="L6593" s="1" t="str">
        <f t="shared" ref="L6593:L6656" si="424">MID(I6593, 2, 1)</f>
        <v>ㄞ</v>
      </c>
      <c r="N6593" s="3" t="s">
        <v>30574</v>
      </c>
      <c r="O6593" s="3"/>
      <c r="P6593" s="1" t="s">
        <v>20</v>
      </c>
      <c r="R6593" s="1" t="s">
        <v>11639</v>
      </c>
      <c r="V6593" s="1" t="s">
        <v>11642</v>
      </c>
      <c r="AR6593" s="1" t="str">
        <f t="shared" si="422"/>
        <v>| [ㄏㄞˋ](ㄏㄞˋ.md) | [氦](氦.md) |  | hài | [名]
（helium，He）化學元素。原子序2。鈍氣元素之一。無色、無臭，是氫以外密度最小的氣體，可用來填充氣球、飛船等，使浮於空中。不易與其他元素化合，可用於充填燈泡、霓虹燈管。液態的氦可用作冷卻劑。 |</v>
      </c>
    </row>
    <row r="6594" spans="1:44" hidden="1">
      <c r="A6594" s="1" t="s">
        <v>11643</v>
      </c>
      <c r="C6594" s="1">
        <v>1</v>
      </c>
      <c r="D6594" s="1" t="str">
        <f>"04780"</f>
        <v>04780</v>
      </c>
      <c r="E6594" s="1" t="s">
        <v>319</v>
      </c>
      <c r="F6594" s="1">
        <v>16</v>
      </c>
      <c r="G6594" s="1">
        <v>6</v>
      </c>
      <c r="H6594" s="1">
        <v>0</v>
      </c>
      <c r="I6594" s="1" t="s">
        <v>11638</v>
      </c>
      <c r="K6594" s="1" t="str">
        <f t="shared" si="423"/>
        <v>ㄏ</v>
      </c>
      <c r="L6594" s="1" t="str">
        <f t="shared" si="424"/>
        <v>ㄞ</v>
      </c>
      <c r="N6594" s="3" t="s">
        <v>30574</v>
      </c>
      <c r="O6594" s="3"/>
      <c r="P6594" s="1" t="s">
        <v>20</v>
      </c>
      <c r="R6594" s="1" t="s">
        <v>11639</v>
      </c>
      <c r="V6594" s="1" t="s">
        <v>11644</v>
      </c>
      <c r="AR6594" s="1" t="str">
        <f t="shared" si="422"/>
        <v>| [ㄏㄞˋ](ㄏㄞˋ.md) | [駭](駭.md) |  | hài | [動]
1.吃驚、害怕。如：「驚駭」、「駭異」。《左傳．哀公二十三年》：「知伯視齊師馬駭，遂驅之。」《史記．卷一二．孝武本紀》：「一宮盡駭，以少君為神，數百歲人也。」
2.驚動、騷動。《穀梁傳．莊公二十五年》：「既戒鼓而駭眾，用牲可以已矣。」晉．陶淵明〈擬古詩〉九首之三：「眾蟄各潛駭，草木從橫舒。」
3.興起。《文選．宋玉．風賦》：「動沙堁，吹死灰，駭溷濁，揚腐餘。」《文選．陸機．辯亡論上》：「於是群雄蜂駭，義兵四合。」
[形]
可驚、可怕的。如：「驚濤駭浪」。 |</v>
      </c>
    </row>
    <row r="6595" spans="1:44" hidden="1">
      <c r="A6595" s="1" t="s">
        <v>11555</v>
      </c>
      <c r="C6595" s="1">
        <v>1</v>
      </c>
      <c r="D6595" s="1" t="str">
        <f>"04781"</f>
        <v>04781</v>
      </c>
      <c r="E6595" s="1" t="s">
        <v>624</v>
      </c>
      <c r="F6595" s="1">
        <v>10</v>
      </c>
      <c r="G6595" s="1">
        <v>7</v>
      </c>
      <c r="H6595" s="1">
        <v>1</v>
      </c>
      <c r="I6595" s="1" t="s">
        <v>11638</v>
      </c>
      <c r="K6595" s="1" t="str">
        <f t="shared" si="423"/>
        <v>ㄏ</v>
      </c>
      <c r="L6595" s="1" t="str">
        <f t="shared" si="424"/>
        <v>ㄞ</v>
      </c>
      <c r="N6595" s="3" t="s">
        <v>30574</v>
      </c>
      <c r="O6595" s="3"/>
      <c r="P6595" s="1" t="s">
        <v>20</v>
      </c>
      <c r="R6595" s="1" t="s">
        <v>11639</v>
      </c>
      <c r="V6595" s="1" t="s">
        <v>11645</v>
      </c>
      <c r="W6595" s="1" t="s">
        <v>11646</v>
      </c>
      <c r="AR6595" s="1" t="str">
        <f t="shared" ref="AR6595:AR6658" si="425">"| ["&amp;I6595&amp;"]("&amp;I6595&amp;".md) | ["&amp;A6595&amp;"]("&amp;A6595&amp;".md) | "&amp;" | "&amp;R6595&amp;" | "&amp;V6595&amp;" |"</f>
        <v>| [ㄏㄞˋ](ㄏㄞˋ.md) | [害](害.md) |  | hài | [名]
1.災禍、禍患。如：「災害」、「蟲害」。《詩經．魯頌．閟宮》：「上帝是依，無災無害。」漢．王充《論衡．感虛》：「洪水時，氾濫中國，為民大害。」
2.壞處、缺點。如：「百害而無一利」。
3.關鍵、要地。如：「要害」。《文選．張衡．東京賦》：「守位以仁，不恃隘害。」
[動]
1.損壞、破壞。如：「損害」。
2.妨礙、不利。如：「妨害」、「害群之馬」、「害人之心不可有」。《漢書．卷五六．董仲舒傳》：「賢材雖未久，不害為輔佐。」
3.殺、傷。如：「殺害」、「謀財害命」。《三國志．卷一．魏書．武帝紀》：「董卓之亂，避難瑯邪，為陶謙所害。」《三國志平話．卷上》：「韓信、彭越、英布，立起漢朝天下，執謀三人道反，害其性命，是何道理？」
4.染病、得病。《清平山堂話本．合同文字記》：「害了六七日，一命嗚呼，已歸泉下。」《喻世明言．卷三六．宋四公大鬧禁魂張》：「侯興一個兒子，十來歲，叫做伴哥，發脾寒，害在床上。」
5.覺得、感到。如：「害羞」。元．馬致遠．《漢宮秋》第二折：「怕娘娘覺饑時吃一塊淡淡鹽燒肉，害渴時喝一杓兒酪和粥。」《紅樓夢》第四六回：「他雖害臊，我細細的告訴了他，他自然不言語，就妥了。」
6.使人受害。如：「你的無心之過，卻害他傷心了好久。」
7.妒忌、忌憚。《史記．卷八四．屈原賈生傳》：「上官大夫與之同列，爭寵而心害其能。」
[形]
無益的、不利於人的。如：「害蟲」、「害處」。《文選．孫綽．遊天台山賦》：「害馬已去，世事都捐。」 |</v>
      </c>
    </row>
    <row r="6596" spans="1:44" hidden="1">
      <c r="A6596" s="1" t="s">
        <v>11647</v>
      </c>
      <c r="C6596" s="1">
        <v>1</v>
      </c>
      <c r="D6596" s="1" t="str">
        <f>"04782"</f>
        <v>04782</v>
      </c>
      <c r="E6596" s="1" t="s">
        <v>28</v>
      </c>
      <c r="F6596" s="1">
        <v>13</v>
      </c>
      <c r="G6596" s="1">
        <v>10</v>
      </c>
      <c r="H6596" s="1">
        <v>0</v>
      </c>
      <c r="I6596" s="1" t="s">
        <v>11638</v>
      </c>
      <c r="K6596" s="1" t="str">
        <f t="shared" si="423"/>
        <v>ㄏ</v>
      </c>
      <c r="L6596" s="1" t="str">
        <f t="shared" si="424"/>
        <v>ㄞ</v>
      </c>
      <c r="N6596" s="3" t="s">
        <v>30574</v>
      </c>
      <c r="O6596" s="3"/>
      <c r="P6596" s="1" t="s">
        <v>20</v>
      </c>
      <c r="R6596" s="1" t="s">
        <v>11639</v>
      </c>
      <c r="V6596" s="1" t="s">
        <v>11648</v>
      </c>
      <c r="AR6596" s="1" t="str">
        <f t="shared" si="425"/>
        <v>| [ㄏㄞˋ](ㄏㄞˋ.md) | [嗐](嗐.md) |  | hài | [動]
張大口。《集韻．去聲．泰韻》：「嗐，大開口。」
[歎]
表示贊嘆、傷感或惋惜的語氣。通「嗨」。如：「嗐！老塞車，鐵定又要遲到了。」《紅樓夢》第六回：「嗐！我的姥姥，告訴不得你呢！」 |</v>
      </c>
    </row>
    <row r="6597" spans="1:44" hidden="1">
      <c r="A6597" s="1" t="s">
        <v>11620</v>
      </c>
      <c r="C6597" s="1">
        <v>1</v>
      </c>
      <c r="D6597" s="1" t="str">
        <f>"04772"</f>
        <v>04772</v>
      </c>
      <c r="E6597" s="1" t="s">
        <v>241</v>
      </c>
      <c r="F6597" s="1">
        <v>9</v>
      </c>
      <c r="G6597" s="1">
        <v>6</v>
      </c>
      <c r="H6597" s="1">
        <v>0</v>
      </c>
      <c r="I6597" s="1" t="s">
        <v>11621</v>
      </c>
      <c r="K6597" s="1" t="str">
        <f t="shared" si="423"/>
        <v>ㄏ</v>
      </c>
      <c r="L6597" s="1" t="str">
        <f t="shared" si="424"/>
        <v>ㄞ</v>
      </c>
      <c r="N6597" s="3" t="s">
        <v>30575</v>
      </c>
      <c r="O6597" s="3"/>
      <c r="P6597" s="1" t="s">
        <v>20</v>
      </c>
      <c r="R6597" s="1" t="s">
        <v>11622</v>
      </c>
      <c r="V6597" s="1" t="s">
        <v>11623</v>
      </c>
      <c r="AR6597" s="1" t="str">
        <f t="shared" si="425"/>
        <v>| [ㄏㄞˊ](ㄏㄞˊ.md) | [孩](孩.md) |  | hái | [動]
1.小兒笑。通「咳」。《說文解字．口部》：「咳，小兒笑也。孩，古文咳從子。」《老子》第二〇章：「我獨泊兮其未兆，如嬰兒之未孩。」
2.視同嬰兒。《老子》第四九章：「歙歙為天下渾其心，聖人皆孩之。」
[名]
1.小兒、幼童。如：「小孩」、「孩童」。《文選．李密．陳情表》：「生孩六月，慈父見背。」
2.姓。如遼代有孩里。
[形]
幼小。《禮記．月令》：「毋覆巢，毋殺孩蟲。」 |</v>
      </c>
    </row>
    <row r="6598" spans="1:44" hidden="1">
      <c r="A6598" s="1" t="s">
        <v>10739</v>
      </c>
      <c r="C6598" s="1">
        <v>1</v>
      </c>
      <c r="D6598" s="1" t="str">
        <f>"04773"</f>
        <v>04773</v>
      </c>
      <c r="E6598" s="1" t="s">
        <v>684</v>
      </c>
      <c r="F6598" s="1">
        <v>15</v>
      </c>
      <c r="G6598" s="1">
        <v>6</v>
      </c>
      <c r="H6598" s="1">
        <v>1</v>
      </c>
      <c r="I6598" s="1" t="s">
        <v>11621</v>
      </c>
      <c r="K6598" s="1" t="str">
        <f t="shared" si="423"/>
        <v>ㄏ</v>
      </c>
      <c r="L6598" s="1" t="str">
        <f t="shared" si="424"/>
        <v>ㄞ</v>
      </c>
      <c r="N6598" s="3" t="s">
        <v>30575</v>
      </c>
      <c r="O6598" s="3"/>
      <c r="P6598" s="1" t="s">
        <v>186</v>
      </c>
      <c r="R6598" s="1" t="s">
        <v>11622</v>
      </c>
      <c r="V6598" s="1" t="s">
        <v>11624</v>
      </c>
      <c r="W6598" s="1" t="s">
        <v>11625</v>
      </c>
      <c r="AR6598" s="1" t="str">
        <f t="shared" si="425"/>
        <v>| [ㄏㄞˊ](ㄏㄞˊ.md) | [頦](頦.md) |  | hái | [名]
臉部的下端，俗稱為「下巴」。唐．韓愈〈記夢〉詩：「石壇坡陀可坐臥，我手承頦肘拄座。」 |</v>
      </c>
    </row>
    <row r="6599" spans="1:44" hidden="1">
      <c r="A6599" s="1" t="s">
        <v>11626</v>
      </c>
      <c r="C6599" s="1">
        <v>1</v>
      </c>
      <c r="D6599" s="1" t="str">
        <f>"04774"</f>
        <v>04774</v>
      </c>
      <c r="E6599" s="1" t="s">
        <v>283</v>
      </c>
      <c r="F6599" s="1">
        <v>16</v>
      </c>
      <c r="G6599" s="1">
        <v>6</v>
      </c>
      <c r="H6599" s="1">
        <v>0</v>
      </c>
      <c r="I6599" s="1" t="s">
        <v>11621</v>
      </c>
      <c r="K6599" s="1" t="str">
        <f t="shared" si="423"/>
        <v>ㄏ</v>
      </c>
      <c r="L6599" s="1" t="str">
        <f t="shared" si="424"/>
        <v>ㄞ</v>
      </c>
      <c r="N6599" s="3" t="s">
        <v>30575</v>
      </c>
      <c r="O6599" s="3"/>
      <c r="P6599" s="1" t="s">
        <v>20</v>
      </c>
      <c r="R6599" s="1" t="s">
        <v>11622</v>
      </c>
      <c r="V6599" s="1" t="s">
        <v>11627</v>
      </c>
      <c r="AR6599" s="1" t="str">
        <f t="shared" si="425"/>
        <v>| [ㄏㄞˊ](ㄏㄞˊ.md) | [骸](骸.md) |  | hái | [名]
1.脛骨、小腿骨。《說文解字．骨部》：「骸，脛骨也。」清．段玉裁．注：「膝解為骸關，俠膝之骨為連胲。然則正謂脛骨為骸矣。」
2.骨的通稱。《公羊傳．宣公十五年》：「易子而食之，析骸而炊之。」漢．何休．解詁：「骸，人骨也。」唐．李白〈南奔書懷〉詩：「舟中指可掬，城上骸爭爨。」
3.身體、軀體。如：「形骸」、「屍骸」、「遺骸」。《呂氏春秋．孟春紀．重己》：「其為輿馬衣裘也，足以逸身暖骸而已矣。」《列子．黃帝》：「有七尺之骸，手足之異，戴髮含齒，倚而趣者，謂之人。」 |</v>
      </c>
    </row>
    <row r="6600" spans="1:44" hidden="1">
      <c r="A6600" s="1" t="s">
        <v>11628</v>
      </c>
      <c r="C6600" s="1">
        <v>1</v>
      </c>
      <c r="D6600" s="1" t="str">
        <f>"04775"</f>
        <v>04775</v>
      </c>
      <c r="E6600" s="1" t="s">
        <v>558</v>
      </c>
      <c r="F6600" s="1">
        <v>17</v>
      </c>
      <c r="G6600" s="1">
        <v>13</v>
      </c>
      <c r="H6600" s="1">
        <v>3</v>
      </c>
      <c r="I6600" s="1" t="s">
        <v>11621</v>
      </c>
      <c r="K6600" s="1" t="str">
        <f t="shared" si="423"/>
        <v>ㄏ</v>
      </c>
      <c r="L6600" s="1" t="str">
        <f t="shared" si="424"/>
        <v>ㄞ</v>
      </c>
      <c r="N6600" s="3" t="s">
        <v>30575</v>
      </c>
      <c r="O6600" s="3"/>
      <c r="P6600" s="1" t="s">
        <v>20</v>
      </c>
      <c r="R6600" s="1" t="s">
        <v>11622</v>
      </c>
      <c r="V6600" s="1" t="s">
        <v>11629</v>
      </c>
      <c r="W6600" s="1" t="s">
        <v>11630</v>
      </c>
      <c r="AR6600" s="1" t="str">
        <f t="shared" si="425"/>
        <v>| [ㄏㄞˊ](ㄏㄞˊ.md) | [還](還.md) |  | hái | [副]
1.仍舊、依然。如：「還是老樣子。」、「還是那麼年輕漂亮。」宋．歐陽修〈蝶戀花．誰道閒情拋棄久〉詞：「誰道閒情拋棄久，每到春來，惆悵還依舊。」
2.猶、尚。如：「時間還早。」、「還有事嗎？」唐．杜牧〈贈別〉詩二首之二：「蠟燭有心還惜別，替人垂淚到天明。」宋．陳與義〈中牟道中〉詩：「雨意欲成還未成，歸雲卻作伴人行。」
3.反而、卻。唐．白居易〈哭皇甫七郎中〉詩：「不得人間壽，還留身後名。」《西遊記》第八回：「橋下河裡雖結滿了冰，還有水聲從那冰下潺潺的流。」
4.已、已經。唐．杜荀鶴〈下第東歸將及故園有作〉詩：「上國獻詩還不遇，故園經亂又空歸。」《董西廂》卷五：「我眼巴巴的盼今宵，還二更左右不來到。」
5.更，表示程度。如：「今天比昨天還熱。」五代十國南唐．李煜〈相見歡．無言獨上西樓〉詞：「剪不斷，理還亂。」《紅樓夢》第五〇回：「他竟比蓋這園子還費工夫了。」
6.再，表示繼續、重複。如：「病好了，還得休息才行。」唐．孟浩然〈過故人莊〉詩：「待到重陽日，還來就菊花。」
7.居然、竟然。如：「還真有你的！」、「你還真有辦法。」
[連]
1.或者，表示有選擇。如：「你要吃飯，還是要吃麵？」、「這是一還是二？」
2.且、又，表示皆有。唐．韋莊〈女冠子．昨夜夜半〉詞：「半羞還半喜，欲去又依依。」 |</v>
      </c>
    </row>
    <row r="6601" spans="1:44" hidden="1">
      <c r="A6601" s="1" t="s">
        <v>11631</v>
      </c>
      <c r="C6601" s="1">
        <v>1</v>
      </c>
      <c r="D6601" s="1" t="str">
        <f>"04776"</f>
        <v>04776</v>
      </c>
      <c r="E6601" s="1" t="s">
        <v>129</v>
      </c>
      <c r="F6601" s="1">
        <v>10</v>
      </c>
      <c r="G6601" s="1">
        <v>7</v>
      </c>
      <c r="H6601" s="1">
        <v>0</v>
      </c>
      <c r="I6601" s="1" t="s">
        <v>11632</v>
      </c>
      <c r="K6601" s="1" t="str">
        <f t="shared" si="423"/>
        <v>ㄏ</v>
      </c>
      <c r="L6601" s="1" t="str">
        <f t="shared" si="424"/>
        <v>ㄞ</v>
      </c>
      <c r="N6601" s="3" t="s">
        <v>30576</v>
      </c>
      <c r="O6601" s="3"/>
      <c r="P6601" s="1" t="s">
        <v>20</v>
      </c>
      <c r="R6601" s="1" t="s">
        <v>11633</v>
      </c>
      <c r="V6601" s="1" t="s">
        <v>11634</v>
      </c>
      <c r="AR6601" s="1" t="str">
        <f t="shared" si="425"/>
        <v>| [ㄏㄞˇ](ㄏㄞˇ.md) | [海](海.md) |  | hǎi | [名]_x000D_
1.地球上鄰接大陸而小於洋的水域。如：「南海」、「黃海」、「地中海」。《漢書．卷二八．地理志上》：「又北播為九河，同為逆河，入于海。」唐．顏師古．注：「海，即渤海是也。」_x000D_
2.海水。《漢書．卷四九．爰盎鼂錯傳．鼂錯》：「吳王即山鑄錢，煮海為鹽。」漢．曹操〈與王脩書〉：「但恐旁人淺見，以蠡測海，為蛇畫足。」_x000D_
3.內陸的大湖或人工湖。如：「青海」、「洱海」。_x000D_
4.積聚眾多的人或同類事物。如：「棉海」、「人海」、「火海」。宋．陸游〈驛舍見故屏風畫海棠有感〉詩：「燕宮最盛號花海，霸國雄豪有遺跡。」《水滸傳》第八二回：「雖無炮龍烹鳳，端的是肉山酒海。當日盡皆大醉，各扶歸幕次裡安歇。」_x000D_
5.領域、淵藪。如：「苦海無邊」、「學海無涯」。《廣弘明集．卷二八下．南朝陳．文帝．無礙會捨身懺文》：「又以世相泡影、有為露電，愛河奔迅，欲海飛騰。」宋．陸游〈休日感興〉詩：「宦海風波實飽經，久將人世寄郵亭。」_x000D_
6.荒遠之地。《周禮．夏官司馬．校人》：「凡將事于四海山川，則飾黃駒。」漢．鄭玄．注：「四海，猶四方也。」_x000D_
7.較寬大的器皿。如：「茶海」。《水滸傳》第七五回：「再將九瓶都打開，傾在酒海內，卻是一般的淡薄村醪。」《紅樓夢》第四一回：「妙玉執壺，只向海內斟了約有一杯。」_x000D_
8.姓。如明代有海瑞。_x000D_
[形]_x000D_
巨大的。如：「海派」。唐．陳子昂〈我府君有周居士文林郎陳公墓誌銘〉：「公河目海口，鷰頷虎頭，性英雄而志尚元默。」《孤本元明雜劇．騙英布．第三折》：「俺主公豁達大度，海量寬洪，納諫如流，有堯舜禹湯之德。」_x000D_
[副]_x000D_
1.任意地、漫無目標地。如：「海選」。《紅樓夢》第七回：「他比不得咱們家的孩子們，胡打海摔的慣了。」《海上花列傳》第九回：「阿珠、阿金大都跟著海罵。蓮生氣得怔怔的，半晌說不出話。」_x000D_
2.狠狠地、嚴重地。如：「海扁」、「海削」、「他嚴重怠工，所以被老闆海刮了一頓。」 |</v>
      </c>
    </row>
    <row r="6602" spans="1:44" hidden="1">
      <c r="A6602" s="1" t="s">
        <v>11635</v>
      </c>
      <c r="C6602" s="1">
        <v>1</v>
      </c>
      <c r="D6602" s="1" t="str">
        <f>"04777"</f>
        <v>04777</v>
      </c>
      <c r="E6602" s="1" t="s">
        <v>1462</v>
      </c>
      <c r="F6602" s="1">
        <v>17</v>
      </c>
      <c r="G6602" s="1">
        <v>10</v>
      </c>
      <c r="H6602" s="1">
        <v>0</v>
      </c>
      <c r="I6602" s="1" t="s">
        <v>11632</v>
      </c>
      <c r="K6602" s="1" t="str">
        <f t="shared" si="423"/>
        <v>ㄏ</v>
      </c>
      <c r="L6602" s="1" t="str">
        <f t="shared" si="424"/>
        <v>ㄞ</v>
      </c>
      <c r="N6602" s="3" t="s">
        <v>30576</v>
      </c>
      <c r="O6602" s="3"/>
      <c r="P6602" s="1" t="s">
        <v>20</v>
      </c>
      <c r="R6602" s="1" t="s">
        <v>11633</v>
      </c>
      <c r="V6602" s="1" t="s">
        <v>11636</v>
      </c>
      <c r="AR6602" s="1" t="str">
        <f t="shared" si="425"/>
        <v>| [ㄏㄞˇ](ㄏㄞˇ.md) | [醢](醢.md) |  | hǎi | [名]
肉醬。《三國志．卷二一．魏書．王粲傳》：「昔伯牙絕絃於鍾期，仲尼覆醢於子路。」
[動]
剁成肉醬。《戰國策．趙策四》：「魯仲連曰：『然吾將使秦王烹醢梁王。』」 |</v>
      </c>
    </row>
    <row r="6603" spans="1:44" hidden="1">
      <c r="A6603" s="1" t="s">
        <v>11590</v>
      </c>
      <c r="C6603" s="1">
        <v>1</v>
      </c>
      <c r="D6603" s="1" t="str">
        <f>"04785"</f>
        <v>04785</v>
      </c>
      <c r="E6603" s="1" t="s">
        <v>2777</v>
      </c>
      <c r="F6603" s="1">
        <v>12</v>
      </c>
      <c r="G6603" s="1">
        <v>0</v>
      </c>
      <c r="H6603" s="1">
        <v>3</v>
      </c>
      <c r="I6603" s="1" t="s">
        <v>11655</v>
      </c>
      <c r="K6603" s="1" t="str">
        <f t="shared" si="423"/>
        <v>ㄏ</v>
      </c>
      <c r="L6603" s="1" t="str">
        <f t="shared" si="424"/>
        <v>ㄟ</v>
      </c>
      <c r="N6603" s="3" t="s">
        <v>30576</v>
      </c>
      <c r="O6603" s="3"/>
      <c r="P6603" s="1" t="s">
        <v>20</v>
      </c>
      <c r="R6603" s="1" t="s">
        <v>11656</v>
      </c>
      <c r="V6603" s="1" t="s">
        <v>11657</v>
      </c>
      <c r="W6603" s="1" t="s">
        <v>11658</v>
      </c>
      <c r="AR6603" s="1" t="str">
        <f t="shared" si="425"/>
        <v>| [ㄏㄟˇ](ㄏㄟˇ.md) | [黑](黑.md) |  | hěi | 參見「黑豆」條。 |</v>
      </c>
    </row>
    <row r="6604" spans="1:44" hidden="1">
      <c r="A6604" s="1" t="s">
        <v>11691</v>
      </c>
      <c r="C6604" s="1">
        <v>1</v>
      </c>
      <c r="D6604" s="1" t="str">
        <f>"04802"</f>
        <v>04802</v>
      </c>
      <c r="E6604" s="1" t="s">
        <v>534</v>
      </c>
      <c r="F6604" s="1">
        <v>6</v>
      </c>
      <c r="G6604" s="1">
        <v>3</v>
      </c>
      <c r="H6604" s="1">
        <v>2</v>
      </c>
      <c r="I6604" s="1" t="s">
        <v>11698</v>
      </c>
      <c r="K6604" s="1" t="str">
        <f t="shared" si="423"/>
        <v>ㄏ</v>
      </c>
      <c r="L6604" s="1" t="str">
        <f t="shared" si="424"/>
        <v>ㄠ</v>
      </c>
      <c r="N6604" s="3" t="s">
        <v>30574</v>
      </c>
      <c r="O6604" s="3"/>
      <c r="P6604" s="1" t="s">
        <v>20</v>
      </c>
      <c r="R6604" s="1" t="s">
        <v>11699</v>
      </c>
      <c r="V6604" s="1" t="s">
        <v>11700</v>
      </c>
      <c r="W6604" s="1" t="s">
        <v>11701</v>
      </c>
      <c r="AR6604" s="1" t="str">
        <f t="shared" si="425"/>
        <v>| [ㄏㄠˋ](ㄏㄠˋ.md) | [好](好.md) |  | hào | [動]
愛、喜愛。如：「潔身自好」、「好逸惡勞」、「好學不倦」。唐．王維〈終南別業〉詩：「中歲頗好道，晚家南山陲。」唐．韓愈〈師說〉：「李氏子蟠，年十七，好古文。」
[名]
1.心中所喜愛的事。如：「投其所好」。《史記．卷六一．伯夷傳》：「（富貴）如不可求，從吾所好。」
2.舊指玉器中的孔。《周禮．冬官考工記．玉人》：「璧羨度尺，好三寸以為度。」漢．鄭玄．注：「好，璧孔也。」 |</v>
      </c>
    </row>
    <row r="6605" spans="1:44" hidden="1">
      <c r="A6605" s="1" t="s">
        <v>11702</v>
      </c>
      <c r="C6605" s="1">
        <v>1</v>
      </c>
      <c r="D6605" s="1" t="str">
        <f>"04803"</f>
        <v>04803</v>
      </c>
      <c r="E6605" s="1" t="s">
        <v>646</v>
      </c>
      <c r="F6605" s="1">
        <v>8</v>
      </c>
      <c r="G6605" s="1">
        <v>4</v>
      </c>
      <c r="H6605" s="1">
        <v>0</v>
      </c>
      <c r="I6605" s="1" t="s">
        <v>11698</v>
      </c>
      <c r="K6605" s="1" t="str">
        <f t="shared" si="423"/>
        <v>ㄏ</v>
      </c>
      <c r="L6605" s="1" t="str">
        <f t="shared" si="424"/>
        <v>ㄠ</v>
      </c>
      <c r="N6605" s="3" t="s">
        <v>30574</v>
      </c>
      <c r="O6605" s="3"/>
      <c r="P6605" s="1" t="s">
        <v>20</v>
      </c>
      <c r="R6605" s="1" t="s">
        <v>11699</v>
      </c>
      <c r="V6605" s="1" t="s">
        <v>11703</v>
      </c>
      <c r="AR6605" s="1" t="str">
        <f t="shared" si="425"/>
        <v>| [ㄏㄠˋ](ㄏㄠˋ.md) | [昊](昊.md) |  | hào | [名]
1.廣大無邊際的天。《梁書．卷一．武帝本紀上》：「上達蒼昊，下及川泉。」宋．蘇軾〈再和潛師〉詩：「且撼長條餐落英，忍飢未擬窮呼昊。」
2.姓。如明代有昊十九。
[形]
廣大。如：「昊天罔極」。 |</v>
      </c>
    </row>
    <row r="6606" spans="1:44" hidden="1">
      <c r="A6606" s="1" t="s">
        <v>11704</v>
      </c>
      <c r="C6606" s="1">
        <v>1</v>
      </c>
      <c r="D6606" s="1" t="str">
        <f>"04804"</f>
        <v>04804</v>
      </c>
      <c r="E6606" s="1" t="s">
        <v>429</v>
      </c>
      <c r="F6606" s="1">
        <v>9</v>
      </c>
      <c r="G6606" s="1">
        <v>4</v>
      </c>
      <c r="H6606" s="1">
        <v>0</v>
      </c>
      <c r="I6606" s="1" t="s">
        <v>11698</v>
      </c>
      <c r="K6606" s="1" t="str">
        <f t="shared" si="423"/>
        <v>ㄏ</v>
      </c>
      <c r="L6606" s="1" t="str">
        <f t="shared" si="424"/>
        <v>ㄠ</v>
      </c>
      <c r="N6606" s="3" t="s">
        <v>30574</v>
      </c>
      <c r="O6606" s="3"/>
      <c r="P6606" s="1" t="s">
        <v>20</v>
      </c>
      <c r="R6606" s="1" t="s">
        <v>11699</v>
      </c>
      <c r="V6606" s="1" t="s">
        <v>11705</v>
      </c>
      <c r="AR6606" s="1" t="str">
        <f t="shared" si="425"/>
        <v>| [ㄏㄠˋ](ㄏㄠˋ.md) | [秏](秏.md) |  | hào | [名]
一種稻類植物。《說文解字．禾部》：「秏，稻屬。伊尹曰：『飯之美者，元山之禾，南海之秏。』」
[動]
減少。同「耗」。《廣韻．去聲．號韻》：「秏，減也。俗作耗。」《周禮．冬官考工記．𣓨氏》：「𣓨氏為量，改煎金錫則不秏。」唐．賈公彥．疏：「秏，減也。」 |</v>
      </c>
    </row>
    <row r="6607" spans="1:44" hidden="1">
      <c r="A6607" s="1" t="s">
        <v>11706</v>
      </c>
      <c r="C6607" s="1">
        <v>1</v>
      </c>
      <c r="D6607" s="1" t="str">
        <f>"04805"</f>
        <v>04805</v>
      </c>
      <c r="E6607" s="1" t="s">
        <v>109</v>
      </c>
      <c r="F6607" s="1">
        <v>10</v>
      </c>
      <c r="G6607" s="1">
        <v>4</v>
      </c>
      <c r="H6607" s="1">
        <v>0</v>
      </c>
      <c r="I6607" s="1" t="s">
        <v>11698</v>
      </c>
      <c r="K6607" s="1" t="str">
        <f t="shared" si="423"/>
        <v>ㄏ</v>
      </c>
      <c r="L6607" s="1" t="str">
        <f t="shared" si="424"/>
        <v>ㄠ</v>
      </c>
      <c r="N6607" s="3" t="s">
        <v>30574</v>
      </c>
      <c r="O6607" s="3"/>
      <c r="P6607" s="1" t="s">
        <v>20</v>
      </c>
      <c r="R6607" s="1" t="s">
        <v>11699</v>
      </c>
      <c r="V6607" s="1" t="s">
        <v>11707</v>
      </c>
      <c r="AR6607" s="1" t="str">
        <f t="shared" si="425"/>
        <v>| [ㄏㄠˋ](ㄏㄠˋ.md) | [耗](耗.md) |  | hào | [動]
1.減損。如：「損耗」、「虧耗」。《莊子．達生》：「臣將為鐻，未嘗敢以耗氣也，必齊以靜心。」《後漢書．卷一．光武帝紀下》：「今百姓遭難，戶口耗少，而縣官吏職所置尚繁。」
2.消費、花費。如：「耗資」、「消耗」。《文選．曹植．七啟》：「耗精神乎虛廓，廢人事之紀經。」李善注引〈蒼頡篇〉曰：「耗，消也。」
3.拖延。如：「耗時間」、「我沒空跟你在這裡窮耗。」
[名]
消息、音信。如：「噩耗」、「死耗」、「音耗」、「聞耗震驚」。《董西廂》卷七：「自是至秋，杳無一耗。」 |</v>
      </c>
    </row>
    <row r="6608" spans="1:44" hidden="1">
      <c r="A6608" s="1" t="s">
        <v>11708</v>
      </c>
      <c r="C6608" s="1">
        <v>1</v>
      </c>
      <c r="D6608" s="1" t="str">
        <f>"04806"</f>
        <v>04806</v>
      </c>
      <c r="E6608" s="1" t="s">
        <v>129</v>
      </c>
      <c r="F6608" s="1">
        <v>10</v>
      </c>
      <c r="G6608" s="1">
        <v>7</v>
      </c>
      <c r="H6608" s="1">
        <v>0</v>
      </c>
      <c r="I6608" s="1" t="s">
        <v>11698</v>
      </c>
      <c r="K6608" s="1" t="str">
        <f t="shared" si="423"/>
        <v>ㄏ</v>
      </c>
      <c r="L6608" s="1" t="str">
        <f t="shared" si="424"/>
        <v>ㄠ</v>
      </c>
      <c r="N6608" s="3" t="s">
        <v>30574</v>
      </c>
      <c r="O6608" s="3"/>
      <c r="P6608" s="1" t="s">
        <v>20</v>
      </c>
      <c r="R6608" s="1" t="s">
        <v>11699</v>
      </c>
      <c r="V6608" s="1" t="s">
        <v>11709</v>
      </c>
      <c r="AR6608" s="1" t="str">
        <f t="shared" si="425"/>
        <v>| [ㄏㄠˋ](ㄏㄠˋ.md) | [浩](浩.md) |  | hào | [形]
1.水勢盛大。明．張自烈《正字通．水部》：「浩，大水盛貌。」如：「浩瀚江河」、「水勢浩淼」。《書經．堯典》：「湯湯洪水方割，蕩蕩懷山襄陵，浩浩滔天。」
2.大、廣大。如：「浩劫」、「浩氣長存」。唐．韋應物〈夕次盱眙縣〉詩：「浩浩風起波，冥冥日沉夕。」明．宋濂〈謝翱傳〉：「然其志汗漫超越，浩不可禦。」
3.繁多、眾多。如：「費用浩繁」、「浩如煙海」。
4.參見「浩浩」條。
[名]
姓。如漢代有浩賞。 |</v>
      </c>
    </row>
    <row r="6609" spans="1:44" hidden="1">
      <c r="A6609" s="1" t="s">
        <v>11710</v>
      </c>
      <c r="C6609" s="1">
        <v>1</v>
      </c>
      <c r="D6609" s="1" t="str">
        <f>"04807"</f>
        <v>04807</v>
      </c>
      <c r="E6609" s="1" t="s">
        <v>205</v>
      </c>
      <c r="F6609" s="1">
        <v>12</v>
      </c>
      <c r="G6609" s="1">
        <v>7</v>
      </c>
      <c r="H6609" s="1">
        <v>0</v>
      </c>
      <c r="I6609" s="1" t="s">
        <v>11698</v>
      </c>
      <c r="K6609" s="1" t="str">
        <f t="shared" si="423"/>
        <v>ㄏ</v>
      </c>
      <c r="L6609" s="1" t="str">
        <f t="shared" si="424"/>
        <v>ㄠ</v>
      </c>
      <c r="N6609" s="3" t="s">
        <v>30574</v>
      </c>
      <c r="O6609" s="3"/>
      <c r="P6609" s="1" t="s">
        <v>20</v>
      </c>
      <c r="R6609" s="1" t="s">
        <v>11699</v>
      </c>
      <c r="V6609" s="1" t="s">
        <v>11711</v>
      </c>
      <c r="AR6609" s="1" t="str">
        <f t="shared" si="425"/>
        <v>| [ㄏㄠˋ](ㄏㄠˋ.md) | [皓](皓.md) |  | hào | [形]
1.白、潔白。如：「皓髮」、「明眸皓齒」。《漢書．卷四〇．張良傳》：「年皆八十有餘，須眉皓白，衣冠甚偉。」唐．韋莊〈菩薩蠻．人人盡說江南好〉詞：「爐邊人似月，皓腕凝雙雪。」
2.光明、明亮。如：「皓月當空」。唐．杜牧〈長安夜月〉詩：「寒光垂靜夜，皓彩滿重城。」宋．姜夔〈踏莎行．燕燕輕盈〉詞：「淮南皓月冷千山，冥冥歸去無人管。」
[名]
姓。如春秋時越國有皓進。 |</v>
      </c>
    </row>
    <row r="6610" spans="1:44" hidden="1">
      <c r="A6610" s="1" t="s">
        <v>11712</v>
      </c>
      <c r="C6610" s="1">
        <v>1</v>
      </c>
      <c r="D6610" s="1" t="str">
        <f>"04808"</f>
        <v>04808</v>
      </c>
      <c r="E6610" s="1" t="s">
        <v>129</v>
      </c>
      <c r="F6610" s="1">
        <v>15</v>
      </c>
      <c r="G6610" s="1">
        <v>12</v>
      </c>
      <c r="H6610" s="1">
        <v>0</v>
      </c>
      <c r="I6610" s="1" t="s">
        <v>11698</v>
      </c>
      <c r="K6610" s="1" t="str">
        <f t="shared" si="423"/>
        <v>ㄏ</v>
      </c>
      <c r="L6610" s="1" t="str">
        <f t="shared" si="424"/>
        <v>ㄠ</v>
      </c>
      <c r="N6610" s="3" t="s">
        <v>30574</v>
      </c>
      <c r="O6610" s="3"/>
      <c r="P6610" s="1" t="s">
        <v>20</v>
      </c>
      <c r="R6610" s="1" t="s">
        <v>11699</v>
      </c>
      <c r="V6610" s="1" t="s">
        <v>11713</v>
      </c>
      <c r="AR6610" s="1" t="str">
        <f t="shared" si="425"/>
        <v>| [ㄏㄠˋ](ㄏㄠˋ.md) | [澔](澔.md) |  | hào | 參見「澔汗」條。 |</v>
      </c>
    </row>
    <row r="6611" spans="1:44" hidden="1">
      <c r="A6611" s="1" t="s">
        <v>11566</v>
      </c>
      <c r="C6611" s="1">
        <v>1</v>
      </c>
      <c r="D6611" s="1" t="str">
        <f>"04809"</f>
        <v>04809</v>
      </c>
      <c r="E6611" s="1" t="s">
        <v>129</v>
      </c>
      <c r="F6611" s="1">
        <v>11</v>
      </c>
      <c r="G6611" s="1">
        <v>8</v>
      </c>
      <c r="H6611" s="1">
        <v>2</v>
      </c>
      <c r="I6611" s="1" t="s">
        <v>11698</v>
      </c>
      <c r="K6611" s="1" t="str">
        <f t="shared" si="423"/>
        <v>ㄏ</v>
      </c>
      <c r="L6611" s="1" t="str">
        <f t="shared" si="424"/>
        <v>ㄠ</v>
      </c>
      <c r="N6611" s="3" t="s">
        <v>30574</v>
      </c>
      <c r="O6611" s="3"/>
      <c r="P6611" s="1" t="s">
        <v>20</v>
      </c>
      <c r="R6611" s="1" t="s">
        <v>11699</v>
      </c>
      <c r="V6611" s="1" t="s">
        <v>11714</v>
      </c>
      <c r="W6611" s="1" t="s">
        <v>11715</v>
      </c>
      <c r="AR6611" s="1" t="str">
        <f t="shared" si="425"/>
        <v>| [ㄏㄠˋ](ㄏㄠˋ.md) | [涸](涸.md) |  | hào | 參見「涸乾」條。 |</v>
      </c>
    </row>
    <row r="6612" spans="1:44" hidden="1">
      <c r="A6612" s="1" t="s">
        <v>11716</v>
      </c>
      <c r="C6612" s="1">
        <v>1</v>
      </c>
      <c r="D6612" s="1" t="str">
        <f>"04810"</f>
        <v>04810</v>
      </c>
      <c r="E6612" s="1" t="s">
        <v>129</v>
      </c>
      <c r="F6612" s="1">
        <v>13</v>
      </c>
      <c r="G6612" s="1">
        <v>10</v>
      </c>
      <c r="H6612" s="1">
        <v>0</v>
      </c>
      <c r="I6612" s="1" t="s">
        <v>11698</v>
      </c>
      <c r="K6612" s="1" t="str">
        <f t="shared" si="423"/>
        <v>ㄏ</v>
      </c>
      <c r="L6612" s="1" t="str">
        <f t="shared" si="424"/>
        <v>ㄠ</v>
      </c>
      <c r="N6612" s="3" t="s">
        <v>30574</v>
      </c>
      <c r="O6612" s="3"/>
      <c r="P6612" s="1" t="s">
        <v>20</v>
      </c>
      <c r="R6612" s="1" t="s">
        <v>11699</v>
      </c>
      <c r="V6612" s="1" t="s">
        <v>11717</v>
      </c>
      <c r="AR6612" s="1" t="str">
        <f t="shared" si="425"/>
        <v>| [ㄏㄠˋ](ㄏㄠˋ.md) | [滈](滈.md) |  | hào | [形]
波光閃耀。參見「滈滈」條。
[名]
河川名。即滈水。在大陸地區陝西省長安縣南。上接滈池，北流入渭河。河道今已湮滅，不可辨視。 |</v>
      </c>
    </row>
    <row r="6613" spans="1:44" hidden="1">
      <c r="A6613" s="1" t="s">
        <v>11718</v>
      </c>
      <c r="C6613" s="1">
        <v>1</v>
      </c>
      <c r="D6613" s="1" t="str">
        <f>"04811"</f>
        <v>04811</v>
      </c>
      <c r="E6613" s="1" t="s">
        <v>256</v>
      </c>
      <c r="F6613" s="1">
        <v>13</v>
      </c>
      <c r="G6613" s="1">
        <v>10</v>
      </c>
      <c r="H6613" s="1">
        <v>1</v>
      </c>
      <c r="I6613" s="1" t="s">
        <v>11698</v>
      </c>
      <c r="K6613" s="1" t="str">
        <f t="shared" si="423"/>
        <v>ㄏ</v>
      </c>
      <c r="L6613" s="1" t="str">
        <f t="shared" si="424"/>
        <v>ㄠ</v>
      </c>
      <c r="N6613" s="3" t="s">
        <v>30574</v>
      </c>
      <c r="O6613" s="3"/>
      <c r="P6613" s="1" t="s">
        <v>20</v>
      </c>
      <c r="R6613" s="1" t="s">
        <v>11699</v>
      </c>
      <c r="V6613" s="1" t="s">
        <v>11719</v>
      </c>
      <c r="W6613" s="1" t="s">
        <v>11720</v>
      </c>
      <c r="AR6613" s="1" t="str">
        <f t="shared" si="425"/>
        <v>| [ㄏㄠˋ](ㄏㄠˋ.md) | [鄗](鄗.md) |  | hào | [名]
地名：(1)周武王的都城。故址在今大陸地區陝西省西安市附近。通「鎬」。(2)春秋時晉邑。故城約在今大陸地區河北省柏鄉縣北。 |</v>
      </c>
    </row>
    <row r="6614" spans="1:44" hidden="1">
      <c r="A6614" s="1" t="s">
        <v>11721</v>
      </c>
      <c r="C6614" s="1">
        <v>1</v>
      </c>
      <c r="D6614" s="1" t="str">
        <f>"04812"</f>
        <v>04812</v>
      </c>
      <c r="E6614" s="1" t="s">
        <v>205</v>
      </c>
      <c r="F6614" s="1">
        <v>15</v>
      </c>
      <c r="G6614" s="1">
        <v>10</v>
      </c>
      <c r="H6614" s="1">
        <v>0</v>
      </c>
      <c r="I6614" s="1" t="s">
        <v>11698</v>
      </c>
      <c r="K6614" s="1" t="str">
        <f t="shared" si="423"/>
        <v>ㄏ</v>
      </c>
      <c r="L6614" s="1" t="str">
        <f t="shared" si="424"/>
        <v>ㄠ</v>
      </c>
      <c r="N6614" s="3" t="s">
        <v>30574</v>
      </c>
      <c r="O6614" s="3"/>
      <c r="P6614" s="1" t="s">
        <v>20</v>
      </c>
      <c r="R6614" s="1" t="s">
        <v>11699</v>
      </c>
      <c r="V6614" s="1" t="s">
        <v>11722</v>
      </c>
      <c r="AR6614" s="1" t="str">
        <f t="shared" si="425"/>
        <v>| [ㄏㄠˋ](ㄏㄠˋ.md) | [皜](皜.md) |  | hào | [形]
潔白。同「皓」。《孟子．滕文公上》：「江漢以濯之，秋陽以暴之，皜皜乎不可尚已。」 |</v>
      </c>
    </row>
    <row r="6615" spans="1:44" hidden="1">
      <c r="A6615" s="1" t="s">
        <v>11723</v>
      </c>
      <c r="C6615" s="1">
        <v>1</v>
      </c>
      <c r="D6615" s="1" t="str">
        <f>"04813"</f>
        <v>04813</v>
      </c>
      <c r="E6615" s="1" t="s">
        <v>37</v>
      </c>
      <c r="F6615" s="1">
        <v>18</v>
      </c>
      <c r="G6615" s="1">
        <v>14</v>
      </c>
      <c r="H6615" s="1">
        <v>0</v>
      </c>
      <c r="I6615" s="1" t="s">
        <v>11698</v>
      </c>
      <c r="K6615" s="1" t="str">
        <f t="shared" si="423"/>
        <v>ㄏ</v>
      </c>
      <c r="L6615" s="1" t="str">
        <f t="shared" si="424"/>
        <v>ㄠ</v>
      </c>
      <c r="N6615" s="3" t="s">
        <v>30574</v>
      </c>
      <c r="O6615" s="3"/>
      <c r="P6615" s="1" t="s">
        <v>20</v>
      </c>
      <c r="R6615" s="1" t="s">
        <v>11699</v>
      </c>
      <c r="V6615" s="1" t="s">
        <v>11724</v>
      </c>
      <c r="AR6615" s="1" t="str">
        <f t="shared" si="425"/>
        <v>| [ㄏㄠˋ](ㄏㄠˋ.md) | [藃](藃.md) |  | hào | [形]
物體縮小變形而不平。《玉篇．艸部》：「藃，耗也，縮也。」《周禮．冬官考工記．輪人》：「是故以火養其陰而齊諸其陽，則轂雖敝不藃。」 |</v>
      </c>
    </row>
    <row r="6616" spans="1:44" hidden="1">
      <c r="A6616" s="1" t="s">
        <v>9756</v>
      </c>
      <c r="C6616" s="1">
        <v>1</v>
      </c>
      <c r="D6616" s="1" t="str">
        <f>"04814"</f>
        <v>04814</v>
      </c>
      <c r="E6616" s="1" t="s">
        <v>55</v>
      </c>
      <c r="F6616" s="1">
        <v>18</v>
      </c>
      <c r="G6616" s="1">
        <v>10</v>
      </c>
      <c r="H6616" s="1">
        <v>1</v>
      </c>
      <c r="I6616" s="1" t="s">
        <v>11698</v>
      </c>
      <c r="K6616" s="1" t="str">
        <f t="shared" si="423"/>
        <v>ㄏ</v>
      </c>
      <c r="L6616" s="1" t="str">
        <f t="shared" si="424"/>
        <v>ㄠ</v>
      </c>
      <c r="N6616" s="3" t="s">
        <v>30574</v>
      </c>
      <c r="O6616" s="3"/>
      <c r="P6616" s="1" t="s">
        <v>20</v>
      </c>
      <c r="R6616" s="1" t="s">
        <v>11699</v>
      </c>
      <c r="V6616" s="1" t="s">
        <v>11725</v>
      </c>
      <c r="W6616" s="1" t="s">
        <v>11726</v>
      </c>
      <c r="AR6616" s="1" t="str">
        <f t="shared" si="425"/>
        <v>| [ㄏㄠˋ](ㄏㄠˋ.md) | [鎬](鎬.md) |  | hào | [名]
1.溫熱東西的器具。《說文解字．金部》：「鎬，溫器。」
2.地名：(1)西周初年的首都。故址約在今大陸地區陝西西安市西南。(2)周朝北方的地名。故址約在今大陸地區寧夏靈武縣附近。 |</v>
      </c>
    </row>
    <row r="6617" spans="1:44" hidden="1">
      <c r="A6617" s="1" t="s">
        <v>11672</v>
      </c>
      <c r="C6617" s="1">
        <v>1</v>
      </c>
      <c r="D6617" s="1" t="str">
        <f>"04815"</f>
        <v>04815</v>
      </c>
      <c r="E6617" s="1" t="s">
        <v>660</v>
      </c>
      <c r="F6617" s="1">
        <v>13</v>
      </c>
      <c r="G6617" s="1">
        <v>7</v>
      </c>
      <c r="H6617" s="1">
        <v>1</v>
      </c>
      <c r="I6617" s="1" t="s">
        <v>11698</v>
      </c>
      <c r="K6617" s="1" t="str">
        <f t="shared" si="423"/>
        <v>ㄏ</v>
      </c>
      <c r="L6617" s="1" t="str">
        <f t="shared" si="424"/>
        <v>ㄠ</v>
      </c>
      <c r="N6617" s="3" t="s">
        <v>30574</v>
      </c>
      <c r="O6617" s="3"/>
      <c r="P6617" s="1" t="s">
        <v>20</v>
      </c>
      <c r="R6617" s="1" t="s">
        <v>11699</v>
      </c>
      <c r="V6617" s="1" t="s">
        <v>11727</v>
      </c>
      <c r="W6617" s="1" t="s">
        <v>11728</v>
      </c>
      <c r="AR6617" s="1" t="str">
        <f t="shared" si="425"/>
        <v>| [ㄏㄠˋ](ㄏㄠˋ.md) | [號](號.md) |  | hào | [名]
1.名稱、別名。如：「別號」、「帝號」、「國號」、「外號」。晉．陶淵明〈五柳先生傳〉：「宅邊有五柳樹，因以為號焉。」
2.命令。如：「號令」、「發號施令」。
3.商店。如：「寶號」、「公司行號」、「僅此一家，別無分號。」《老殘遊記》第三回：「即到院前大街上找了一家匯票莊，叫個日昇昌字號。」
4.物品的大小等級。如：「特大號」、「中號」、「五號字」。
5.標誌、標記。如：「記號」、「暗號」、「問號」。《水滸傳》第二四回：「到第三日晌午前後，你整整齊齊打扮了來，咳嗽為號。」
6.排定的次第。如：「座號」、「編號」、「流水號」。
7.種、類。如：「像這號人物還是少惹為妙。」
8.量詞。計算編定的人物數目的單位。如：「醫生今天已看了三十號病人，還剩下五號。」
9.樂團或軍隊所使用的喇叭。如：「法國號」、「軍號」、「伸縮號」。
10. 軍號所吹出的各種規定號音。如：「起床號」、「衝鋒號」。
[動]
1.召喚。如：「號召全球為環保而努力。」《左傳．襄公十九年》：「冬，十一月，齊侯圍之，見衛在城上，號之，乃下。」
2.發出命令。《莊子．田子方》：「何不號於國中曰：『無此道而為此服者，其罪死。』」
3.宣稱、誇言。如：「號稱天下第一。」《漢書．卷一．高帝紀上》：「是時，羽兵四十萬，號百萬。」
4.稱謂、稱呼。《左傳．昭公四年》：「未問其名，號之曰牛。」《漢書．卷三一．陳勝項籍傳》：「勝乃立為王，號張楚。」 |</v>
      </c>
    </row>
    <row r="6618" spans="1:44" hidden="1">
      <c r="A6618" s="1" t="s">
        <v>11729</v>
      </c>
      <c r="C6618" s="1">
        <v>1</v>
      </c>
      <c r="D6618" s="1" t="str">
        <f>"04816"</f>
        <v>04816</v>
      </c>
      <c r="E6618" s="1" t="s">
        <v>205</v>
      </c>
      <c r="F6618" s="1">
        <v>15</v>
      </c>
      <c r="G6618" s="1">
        <v>10</v>
      </c>
      <c r="H6618" s="1">
        <v>0</v>
      </c>
      <c r="I6618" s="1" t="s">
        <v>11698</v>
      </c>
      <c r="K6618" s="1" t="str">
        <f t="shared" si="423"/>
        <v>ㄏ</v>
      </c>
      <c r="L6618" s="1" t="str">
        <f t="shared" si="424"/>
        <v>ㄠ</v>
      </c>
      <c r="N6618" s="3" t="s">
        <v>30574</v>
      </c>
      <c r="O6618" s="3"/>
      <c r="P6618" s="1" t="s">
        <v>20</v>
      </c>
      <c r="R6618" s="1" t="s">
        <v>11699</v>
      </c>
      <c r="V6618" s="1" t="s">
        <v>11730</v>
      </c>
      <c r="AR6618" s="1" t="str">
        <f t="shared" si="425"/>
        <v>| [ㄏㄠˋ](ㄏㄠˋ.md) | [皞](皞.md) |  | hào | [形]
1.潔白光亮。《說文解字．日部》：「皞，皓旰也。」清．段玉裁．注：「皓旰，謂絜白光明之貌。」宋．楊澤民〈四園竹．殘霞殿雨〉詞：「殘霞殿雨，皞氣入窗扉。」
2.心胸舒暢。《孟子．盡心上》：「王者之民，皞皞如也。」明．余繼登《典故紀聞》卷二：「使民安田里，足衣食，熙熙皞皞而不自知。」 |</v>
      </c>
    </row>
    <row r="6619" spans="1:44" hidden="1">
      <c r="A6619" s="1" t="s">
        <v>11731</v>
      </c>
      <c r="C6619" s="1">
        <v>1</v>
      </c>
      <c r="D6619" s="1" t="str">
        <f>"04817"</f>
        <v>04817</v>
      </c>
      <c r="E6619" s="1" t="s">
        <v>684</v>
      </c>
      <c r="F6619" s="1">
        <v>21</v>
      </c>
      <c r="G6619" s="1">
        <v>12</v>
      </c>
      <c r="H6619" s="1">
        <v>0</v>
      </c>
      <c r="I6619" s="1" t="s">
        <v>11698</v>
      </c>
      <c r="K6619" s="1" t="str">
        <f t="shared" si="423"/>
        <v>ㄏ</v>
      </c>
      <c r="L6619" s="1" t="str">
        <f t="shared" si="424"/>
        <v>ㄠ</v>
      </c>
      <c r="N6619" s="3" t="s">
        <v>30574</v>
      </c>
      <c r="O6619" s="3"/>
      <c r="P6619" s="1" t="s">
        <v>20</v>
      </c>
      <c r="R6619" s="1" t="s">
        <v>11699</v>
      </c>
      <c r="V6619" s="1" t="s">
        <v>11732</v>
      </c>
      <c r="AR6619" s="1" t="str">
        <f t="shared" si="425"/>
        <v>| [ㄏㄠˋ](ㄏㄠˋ.md) | [顥](顥.md) |  | hào | [形]
1.白而發亮。《說文解字．頁部》：「顥，白貌。」唐．柳宗元〈夢歸賦〉：「圓方混而不形兮，顥醇白之霏霏。」
2.廣大、博大。通「皓」。《廣韻．上聲．皓韻》：「顥，大也。」唐．權德輿〈嚴陵釣臺下作〉詩：「心靈棲顥氣，纓冕猶緇塵。」 |</v>
      </c>
    </row>
    <row r="6620" spans="1:44" hidden="1">
      <c r="A6620" s="1" t="s">
        <v>11733</v>
      </c>
      <c r="C6620" s="1">
        <v>1</v>
      </c>
      <c r="D6620" s="1" t="str">
        <f>"04818"</f>
        <v>04818</v>
      </c>
      <c r="E6620" s="1" t="s">
        <v>129</v>
      </c>
      <c r="F6620" s="1">
        <v>24</v>
      </c>
      <c r="G6620" s="1">
        <v>21</v>
      </c>
      <c r="H6620" s="1">
        <v>0</v>
      </c>
      <c r="I6620" s="1" t="s">
        <v>11698</v>
      </c>
      <c r="K6620" s="1" t="str">
        <f t="shared" si="423"/>
        <v>ㄏ</v>
      </c>
      <c r="L6620" s="1" t="str">
        <f t="shared" si="424"/>
        <v>ㄠ</v>
      </c>
      <c r="N6620" s="3" t="s">
        <v>30574</v>
      </c>
      <c r="O6620" s="3"/>
      <c r="P6620" s="1" t="s">
        <v>20</v>
      </c>
      <c r="R6620" s="1" t="s">
        <v>11699</v>
      </c>
      <c r="V6620" s="1" t="s">
        <v>11734</v>
      </c>
      <c r="AR6620" s="1" t="str">
        <f t="shared" si="425"/>
        <v>| [ㄏㄠˋ](ㄏㄠˋ.md) | [灝](灝.md) |  | hào | [名]
豆漿。《說文解字．水部》：「灝，豆汁也。」
[形]
1.水勢盛大。泛指盛大。通「浩」。漢．揚雄《法言．問神》：「白日以照之，江河以滌之，灝灝乎其莫之禦也。」唐．柳宗元〈始得西山宴游記〉：「悠悠乎與灝氣俱，而莫得其涯。」
2.明淨、潔淨。唐．王建〈從元太守夏讌西樓〉詩：「高風涼氣來，灝景沉清源。」 |</v>
      </c>
    </row>
    <row r="6621" spans="1:44" hidden="1">
      <c r="A6621" s="1" t="s">
        <v>11667</v>
      </c>
      <c r="C6621" s="1">
        <v>1</v>
      </c>
      <c r="D6621" s="1" t="str">
        <f>"04789"</f>
        <v>04789</v>
      </c>
      <c r="E6621" s="1" t="s">
        <v>28</v>
      </c>
      <c r="F6621" s="1">
        <v>8</v>
      </c>
      <c r="G6621" s="1">
        <v>5</v>
      </c>
      <c r="H6621" s="1">
        <v>2</v>
      </c>
      <c r="I6621" s="1" t="s">
        <v>11668</v>
      </c>
      <c r="K6621" s="1" t="str">
        <f t="shared" si="423"/>
        <v>ㄏ</v>
      </c>
      <c r="L6621" s="1" t="str">
        <f t="shared" si="424"/>
        <v>ㄠ</v>
      </c>
      <c r="N6621" s="3" t="s">
        <v>30575</v>
      </c>
      <c r="O6621" s="3"/>
      <c r="P6621" s="1" t="s">
        <v>20</v>
      </c>
      <c r="R6621" s="1" t="s">
        <v>11669</v>
      </c>
      <c r="V6621" s="1" t="s">
        <v>11670</v>
      </c>
      <c r="W6621" s="1" t="s">
        <v>11671</v>
      </c>
      <c r="AR6621" s="1" t="str">
        <f t="shared" si="425"/>
        <v>| [ㄏㄠˊ](ㄏㄠˊ.md) | [呺](呺.md) |  | háo | [動]
號叫、吼叫。《莊子．齊物論》：「是唯無作，作則萬竅怒呺。」 |</v>
      </c>
    </row>
    <row r="6622" spans="1:44" hidden="1">
      <c r="A6622" s="1" t="s">
        <v>11672</v>
      </c>
      <c r="C6622" s="1">
        <v>1</v>
      </c>
      <c r="D6622" s="1" t="str">
        <f>"04790"</f>
        <v>04790</v>
      </c>
      <c r="E6622" s="1" t="s">
        <v>660</v>
      </c>
      <c r="F6622" s="1">
        <v>13</v>
      </c>
      <c r="G6622" s="1">
        <v>7</v>
      </c>
      <c r="H6622" s="1">
        <v>2</v>
      </c>
      <c r="I6622" s="1" t="s">
        <v>11668</v>
      </c>
      <c r="K6622" s="1" t="str">
        <f t="shared" si="423"/>
        <v>ㄏ</v>
      </c>
      <c r="L6622" s="1" t="str">
        <f t="shared" si="424"/>
        <v>ㄠ</v>
      </c>
      <c r="N6622" s="3" t="s">
        <v>30575</v>
      </c>
      <c r="O6622" s="3"/>
      <c r="P6622" s="1" t="s">
        <v>20</v>
      </c>
      <c r="R6622" s="1" t="s">
        <v>11669</v>
      </c>
      <c r="V6622" s="1" t="s">
        <v>11673</v>
      </c>
      <c r="W6622" s="1" t="s">
        <v>11674</v>
      </c>
      <c r="AR6622" s="1" t="str">
        <f t="shared" si="425"/>
        <v>| [ㄏㄠˊ](ㄏㄠˊ.md) | [號](號.md) |  | háo | [動]
1.大叫。如：「號叫」。《晉書．卷一七．律曆志中》：「蟄蟲始發，雞始三號。」唐．柳宗元〈童區寄傳〉：「因大號，一虛皆驚。」
2.放聲大哭。如：「號泣」。《莊子．養生主》：「老聃死，秦失弔之，三號而出。」元．楊顯之《酷寒亭》第一折：「你家裡哭去，張著大嘴號甚麼！」
3.風發出聲響。如：「狂風怒號」。唐．杜甫〈茅屋為秋風所破歌〉：「八月秋高風怒號，卷我屋上三重茅。」 |</v>
      </c>
    </row>
    <row r="6623" spans="1:44" hidden="1">
      <c r="A6623" s="1" t="s">
        <v>11675</v>
      </c>
      <c r="C6623" s="1">
        <v>1</v>
      </c>
      <c r="D6623" s="1" t="str">
        <f>"04791"</f>
        <v>04791</v>
      </c>
      <c r="E6623" s="1" t="s">
        <v>1703</v>
      </c>
      <c r="F6623" s="1">
        <v>11</v>
      </c>
      <c r="G6623" s="1">
        <v>7</v>
      </c>
      <c r="H6623" s="1">
        <v>0</v>
      </c>
      <c r="I6623" s="1" t="s">
        <v>11668</v>
      </c>
      <c r="K6623" s="1" t="str">
        <f t="shared" si="423"/>
        <v>ㄏ</v>
      </c>
      <c r="L6623" s="1" t="str">
        <f t="shared" si="424"/>
        <v>ㄠ</v>
      </c>
      <c r="N6623" s="3" t="s">
        <v>30575</v>
      </c>
      <c r="O6623" s="3"/>
      <c r="P6623" s="1" t="s">
        <v>20</v>
      </c>
      <c r="R6623" s="1" t="s">
        <v>11669</v>
      </c>
      <c r="V6623" s="1" t="s">
        <v>11676</v>
      </c>
      <c r="AR6623" s="1" t="str">
        <f t="shared" si="425"/>
        <v>| [ㄏㄠˊ](ㄏㄠˊ.md) | [毫](毫.md) |  | háo | [名]
1.細而尖的毛。《孟子．梁惠王上》：「明足以察秋毫之末，而不見輿薪。」
2.毛筆。如：「狼毫」。《紅樓夢》第八七回：「便叫雪雁將外邊桌上筆硯拿來，濡墨揮毫，賦成四疊。」
3.公制中表示度、量、衡等單位的千分之一。如：「毫米」、「毫克」、「毫安培」。
4.秤或戥子桿上的提繩。為秤鉤或秤盤與秤錘間的支點。分頭毫、二毫、三毫。
5.俗稱輔幣一角為「一毫」。
6.姓。如漢代有毫康。
[形]
極小、極細微。漢．王充《論衡．案書》：「采毫毛之善，貶纖芥之惡。」
[副]
一點點。如：「毫不在意」、「毫無頭緒」、「毫不相干」。 |</v>
      </c>
    </row>
    <row r="6624" spans="1:44" hidden="1">
      <c r="A6624" s="1" t="s">
        <v>11677</v>
      </c>
      <c r="C6624" s="1">
        <v>1</v>
      </c>
      <c r="D6624" s="1" t="str">
        <f>"04792"</f>
        <v>04792</v>
      </c>
      <c r="E6624" s="1" t="s">
        <v>52</v>
      </c>
      <c r="F6624" s="1">
        <v>14</v>
      </c>
      <c r="G6624" s="1">
        <v>7</v>
      </c>
      <c r="H6624" s="1">
        <v>0</v>
      </c>
      <c r="I6624" s="1" t="s">
        <v>11668</v>
      </c>
      <c r="K6624" s="1" t="str">
        <f t="shared" si="423"/>
        <v>ㄏ</v>
      </c>
      <c r="L6624" s="1" t="str">
        <f t="shared" si="424"/>
        <v>ㄠ</v>
      </c>
      <c r="N6624" s="3" t="s">
        <v>30575</v>
      </c>
      <c r="O6624" s="3"/>
      <c r="P6624" s="1" t="s">
        <v>20</v>
      </c>
      <c r="R6624" s="1" t="s">
        <v>11669</v>
      </c>
      <c r="V6624" s="1" t="s">
        <v>11678</v>
      </c>
      <c r="AR6624" s="1" t="str">
        <f t="shared" si="425"/>
        <v>| [ㄏㄠˊ](ㄏㄠˊ.md) | [豪](豪.md) |  | háo | [名]
1.參見「豪豬」條。
2.才德智能出眾的人。如：「英豪」、「文豪」。《三國志．卷七．魏書．呂布傳》：「君以千里之眾，當四戰之地，撫劍顧眄，亦足以為人豪。」
3.統帥、魁首。《後漢書．卷八七．西羌傳．羌無弋爰劍傳》：「諸羌見爰劍被焚不死，怪其神，共畏事之，推以為豪。」
4.有錢有勢或仗勢橫行的人。如：「富豪」、「土豪劣紳」。
5.細長的毛。通「毫」。《商君書．弱民》：「今離婁見秋豪之末，不能以明目易人。」
6.姓。如宋代有豪彥。
[形]
1.爽快、沒有拘束的。如：「豪邁」、「豪放」。《史記．卷七七．魏公子傳》：「平原君之游，徒豪舉耳，不求士也。」
2.勢大而量多的。如：「豪雨」。宋．陸游〈雪夜〉詩：「三更天地闇，雪急風愈豪。」
3.奢華。如：「豪華」。
[副]
強橫、橫暴。《漢書．卷二四．食貨志下》：「故大賈畜家不得豪奪吾民矣。」 |</v>
      </c>
    </row>
    <row r="6625" spans="1:44" hidden="1">
      <c r="A6625" s="1" t="s">
        <v>11679</v>
      </c>
      <c r="C6625" s="1">
        <v>1</v>
      </c>
      <c r="D6625" s="1" t="str">
        <f>"04793"</f>
        <v>04793</v>
      </c>
      <c r="E6625" s="1" t="s">
        <v>129</v>
      </c>
      <c r="F6625" s="1">
        <v>17</v>
      </c>
      <c r="G6625" s="1">
        <v>14</v>
      </c>
      <c r="H6625" s="1">
        <v>0</v>
      </c>
      <c r="I6625" s="1" t="s">
        <v>11668</v>
      </c>
      <c r="K6625" s="1" t="str">
        <f t="shared" si="423"/>
        <v>ㄏ</v>
      </c>
      <c r="L6625" s="1" t="str">
        <f t="shared" si="424"/>
        <v>ㄠ</v>
      </c>
      <c r="N6625" s="3" t="s">
        <v>30575</v>
      </c>
      <c r="O6625" s="3"/>
      <c r="P6625" s="1" t="s">
        <v>20</v>
      </c>
      <c r="R6625" s="1" t="s">
        <v>11669</v>
      </c>
      <c r="V6625" s="1" t="s">
        <v>11680</v>
      </c>
      <c r="AR6625" s="1" t="str">
        <f t="shared" si="425"/>
        <v>| [ㄏㄠˊ](ㄏㄠˊ.md) | [濠](濠.md) |  | háo | [名]
護城河。《文選．江淹．雜體詩．劉太尉》：「飲馬出城濠，北望沙漠路。」《水滸傳》第六一回：「城高地險，塹闊濠深。」 |</v>
      </c>
    </row>
    <row r="6626" spans="1:44" hidden="1">
      <c r="A6626" s="1" t="s">
        <v>11681</v>
      </c>
      <c r="C6626" s="1">
        <v>1</v>
      </c>
      <c r="D6626" s="1" t="str">
        <f>"04794"</f>
        <v>04794</v>
      </c>
      <c r="E6626" s="1" t="s">
        <v>132</v>
      </c>
      <c r="F6626" s="1">
        <v>17</v>
      </c>
      <c r="G6626" s="1">
        <v>14</v>
      </c>
      <c r="H6626" s="1">
        <v>0</v>
      </c>
      <c r="I6626" s="1" t="s">
        <v>11668</v>
      </c>
      <c r="K6626" s="1" t="str">
        <f t="shared" si="423"/>
        <v>ㄏ</v>
      </c>
      <c r="L6626" s="1" t="str">
        <f t="shared" si="424"/>
        <v>ㄠ</v>
      </c>
      <c r="N6626" s="3" t="s">
        <v>30575</v>
      </c>
      <c r="O6626" s="3"/>
      <c r="P6626" s="1" t="s">
        <v>20</v>
      </c>
      <c r="R6626" s="1" t="s">
        <v>11669</v>
      </c>
      <c r="V6626" s="1" t="s">
        <v>11682</v>
      </c>
      <c r="AR6626" s="1" t="str">
        <f t="shared" si="425"/>
        <v>| [ㄏㄠˊ](ㄏㄠˊ.md) | [壕](壕.md) |  | háo | [名]
1.護城河。《集韻．平聲．豪韻》：「壕，城下池，通作濠。」唐．許渾〈故洛城〉詩：「鴉噪暮雲歸古堞，雁迷寒雨下空壕。」
2.戰場上所挖掘的深溝。如：「戰壕」、「防空壕」。 |</v>
      </c>
    </row>
    <row r="6627" spans="1:44" hidden="1">
      <c r="A6627" s="1" t="s">
        <v>11683</v>
      </c>
      <c r="C6627" s="1">
        <v>1</v>
      </c>
      <c r="D6627" s="1" t="str">
        <f>"04795"</f>
        <v>04795</v>
      </c>
      <c r="E6627" s="1" t="s">
        <v>28</v>
      </c>
      <c r="F6627" s="1">
        <v>17</v>
      </c>
      <c r="G6627" s="1">
        <v>14</v>
      </c>
      <c r="H6627" s="1">
        <v>0</v>
      </c>
      <c r="I6627" s="1" t="s">
        <v>11668</v>
      </c>
      <c r="K6627" s="1" t="str">
        <f t="shared" si="423"/>
        <v>ㄏ</v>
      </c>
      <c r="L6627" s="1" t="str">
        <f t="shared" si="424"/>
        <v>ㄠ</v>
      </c>
      <c r="N6627" s="3" t="s">
        <v>30575</v>
      </c>
      <c r="O6627" s="3"/>
      <c r="P6627" s="1" t="s">
        <v>20</v>
      </c>
      <c r="R6627" s="1" t="s">
        <v>11669</v>
      </c>
      <c r="V6627" s="1" t="s">
        <v>11684</v>
      </c>
      <c r="AR6627" s="1" t="str">
        <f t="shared" si="425"/>
        <v>| [ㄏㄠˊ](ㄏㄠˊ.md) | [嚎](嚎.md) |  | háo | [動]
1.鳴叫。宋．梅堯臣〈九月五日夢歐陽永叔〉詩：「雞嚎天欲白，向者猶疑真。」
2.本指有聲無淚的哭號，後泛指大聲哭號。如：「乾嚎」、「嚎啕」、「鬼哭神嚎」。《西遊記》第三九回：「哭有幾樣，若乾著口喊，謂之嚎。」 |</v>
      </c>
    </row>
    <row r="6628" spans="1:44" hidden="1">
      <c r="A6628" s="1" t="s">
        <v>11685</v>
      </c>
      <c r="C6628" s="1">
        <v>1</v>
      </c>
      <c r="D6628" s="1" t="str">
        <f>"04796"</f>
        <v>04796</v>
      </c>
      <c r="E6628" s="1" t="s">
        <v>679</v>
      </c>
      <c r="F6628" s="1">
        <v>20</v>
      </c>
      <c r="G6628" s="1">
        <v>14</v>
      </c>
      <c r="H6628" s="1">
        <v>0</v>
      </c>
      <c r="I6628" s="1" t="s">
        <v>11668</v>
      </c>
      <c r="K6628" s="1" t="str">
        <f t="shared" si="423"/>
        <v>ㄏ</v>
      </c>
      <c r="L6628" s="1" t="str">
        <f t="shared" si="424"/>
        <v>ㄠ</v>
      </c>
      <c r="N6628" s="3" t="s">
        <v>30575</v>
      </c>
      <c r="O6628" s="3"/>
      <c r="P6628" s="1" t="s">
        <v>20</v>
      </c>
      <c r="R6628" s="1" t="s">
        <v>11669</v>
      </c>
      <c r="V6628" s="1" t="s">
        <v>11686</v>
      </c>
      <c r="AR6628" s="1" t="str">
        <f t="shared" si="425"/>
        <v>| [ㄏㄠˊ](ㄏㄠˊ.md) | [蠔](蠔.md) |  | háo | [名]
動物名。即牡蠣。雙殼綱牡蠣科。產於淺海中，肉味鮮美，營養豐富。如：「生蠔」、「蠔油」。 |</v>
      </c>
    </row>
    <row r="6629" spans="1:44" hidden="1">
      <c r="A6629" s="1" t="s">
        <v>11687</v>
      </c>
      <c r="C6629" s="1">
        <v>1</v>
      </c>
      <c r="D6629" s="1" t="str">
        <f>"04797"</f>
        <v>04797</v>
      </c>
      <c r="E6629" s="1" t="s">
        <v>28</v>
      </c>
      <c r="F6629" s="1">
        <v>13</v>
      </c>
      <c r="G6629" s="1">
        <v>10</v>
      </c>
      <c r="H6629" s="1">
        <v>0</v>
      </c>
      <c r="I6629" s="1" t="s">
        <v>11668</v>
      </c>
      <c r="K6629" s="1" t="str">
        <f t="shared" si="423"/>
        <v>ㄏ</v>
      </c>
      <c r="L6629" s="1" t="str">
        <f t="shared" si="424"/>
        <v>ㄠ</v>
      </c>
      <c r="N6629" s="3" t="s">
        <v>30575</v>
      </c>
      <c r="O6629" s="3"/>
      <c r="P6629" s="1" t="s">
        <v>20</v>
      </c>
      <c r="R6629" s="1" t="s">
        <v>11669</v>
      </c>
      <c r="V6629" s="1" t="s">
        <v>11688</v>
      </c>
      <c r="AR6629" s="1" t="str">
        <f t="shared" si="425"/>
        <v>| [ㄏㄠˊ](ㄏㄠˊ.md) | [嗥](嗥.md) |  | háo | [動]
1.吼叫。如：「狼嗥」。《左傳．襄公十四年》：「賜我南鄙之田，狐狸所居，豺狼所嗥。」
2.大聲號哭。如：「嗥叫」。《莊子．庚桑楚》：「兒子終日嗥而嗌不嗄，和之至也。」 |</v>
      </c>
    </row>
    <row r="6630" spans="1:44" hidden="1">
      <c r="A6630" s="1" t="s">
        <v>2769</v>
      </c>
      <c r="C6630" s="1">
        <v>1</v>
      </c>
      <c r="D6630" s="1" t="str">
        <f>"04798"</f>
        <v>04798</v>
      </c>
      <c r="E6630" s="1" t="s">
        <v>537</v>
      </c>
      <c r="F6630" s="1">
        <v>13</v>
      </c>
      <c r="G6630" s="1">
        <v>6</v>
      </c>
      <c r="H6630" s="1">
        <v>2</v>
      </c>
      <c r="I6630" s="1" t="s">
        <v>11668</v>
      </c>
      <c r="K6630" s="1" t="str">
        <f t="shared" si="423"/>
        <v>ㄏ</v>
      </c>
      <c r="L6630" s="1" t="str">
        <f t="shared" si="424"/>
        <v>ㄠ</v>
      </c>
      <c r="N6630" s="3" t="s">
        <v>30575</v>
      </c>
      <c r="O6630" s="3"/>
      <c r="P6630" s="1" t="s">
        <v>388</v>
      </c>
      <c r="R6630" s="1" t="s">
        <v>11669</v>
      </c>
      <c r="V6630" s="1" t="s">
        <v>407</v>
      </c>
      <c r="W6630" s="1" t="s">
        <v>11689</v>
      </c>
      <c r="AR6630" s="1" t="str">
        <f t="shared" si="425"/>
        <v>| [ㄏㄠˊ](ㄏㄠˊ.md) | [貉](貉.md) |  | háo | (一)之語音。 |</v>
      </c>
    </row>
    <row r="6631" spans="1:44" hidden="1">
      <c r="A6631" s="1" t="s">
        <v>11609</v>
      </c>
      <c r="C6631" s="1">
        <v>1</v>
      </c>
      <c r="D6631" s="1" t="str">
        <f>"04799"</f>
        <v>04799</v>
      </c>
      <c r="E6631" s="1" t="s">
        <v>272</v>
      </c>
      <c r="F6631" s="1">
        <v>21</v>
      </c>
      <c r="G6631" s="1">
        <v>10</v>
      </c>
      <c r="H6631" s="1">
        <v>2</v>
      </c>
      <c r="I6631" s="1" t="s">
        <v>11668</v>
      </c>
      <c r="K6631" s="1" t="str">
        <f t="shared" si="423"/>
        <v>ㄏ</v>
      </c>
      <c r="L6631" s="1" t="str">
        <f t="shared" si="424"/>
        <v>ㄠ</v>
      </c>
      <c r="N6631" s="3" t="s">
        <v>30575</v>
      </c>
      <c r="O6631" s="3"/>
      <c r="P6631" s="1" t="s">
        <v>388</v>
      </c>
      <c r="R6631" s="1" t="s">
        <v>11669</v>
      </c>
      <c r="V6631" s="1" t="s">
        <v>407</v>
      </c>
      <c r="W6631" s="1" t="s">
        <v>11690</v>
      </c>
      <c r="AR6631" s="1" t="str">
        <f t="shared" si="425"/>
        <v>| [ㄏㄠˊ](ㄏㄠˊ.md) | [鶴](鶴.md) |  | háo | (一)之語音。 |</v>
      </c>
    </row>
    <row r="6632" spans="1:44" hidden="1">
      <c r="A6632" s="1" t="s">
        <v>11691</v>
      </c>
      <c r="C6632" s="1">
        <v>1</v>
      </c>
      <c r="D6632" s="1" t="str">
        <f>"04800"</f>
        <v>04800</v>
      </c>
      <c r="E6632" s="1" t="s">
        <v>534</v>
      </c>
      <c r="F6632" s="1">
        <v>6</v>
      </c>
      <c r="G6632" s="1">
        <v>3</v>
      </c>
      <c r="H6632" s="1">
        <v>1</v>
      </c>
      <c r="I6632" s="1" t="s">
        <v>11692</v>
      </c>
      <c r="K6632" s="1" t="str">
        <f t="shared" si="423"/>
        <v>ㄏ</v>
      </c>
      <c r="L6632" s="1" t="str">
        <f t="shared" si="424"/>
        <v>ㄠ</v>
      </c>
      <c r="N6632" s="3" t="s">
        <v>30576</v>
      </c>
      <c r="O6632" s="3"/>
      <c r="P6632" s="1" t="s">
        <v>20</v>
      </c>
      <c r="R6632" s="1" t="s">
        <v>11693</v>
      </c>
      <c r="V6632" s="1" t="s">
        <v>11694</v>
      </c>
      <c r="W6632" s="1" t="s">
        <v>11695</v>
      </c>
      <c r="AR6632" s="1" t="str">
        <f t="shared" si="425"/>
        <v>| [ㄏㄠˇ](ㄏㄠˇ.md) | [好](好.md) |  | hǎo | [形]
1.美、善，理想的。如：「好東西」、「好風景」、「花好月圓」、「好人好事」。唐．韋莊〈菩薩蠻．人人盡說江南好〉詞：「人人盡說江南好，遊人只合江南老。」
2.友愛的。如：「好朋友」、「好同學」。
3.完整的、沒壞的。如：「完好如初」、「修好了。」
[動]
1.相善、彼此親愛。如：「友好」。唐．高適〈贈別晉三處士〉詩：「知己從來不易知，慕君為人與君好。」《紅樓夢》第二七回：「誰和我好，我就和誰好。」
2.痊癒。如：「病好了！」《警世通言．卷一六．小夫人金錢贈年少》：「孩兒感些風寒，這幾日身子不快，來不得。傳語員外得知，一好便來。」
[副]
1.很、非常。表示程度深。如：「好久」、「好冷」、「好笨」、「好厲害」。
2.完成、完畢。如：「交代的工作做好了。」、「稿子寫好了。」《儒林外史》第四三回：「都梳好了椎髻，穿好了苗錦。」
3.容易。如：「這事好辦。」、「這問題好解決。」、「這小孩好帶。」
4.以便、便於。如：「快準備行李，好早點上路。」、「請告訴我你的住處，我好去找你。」唐．杜甫〈聞官軍收河南河北〉詩：「白日放歌須縱酒，青春作伴好還鄉。」
5.可以、應該。如：「只好如此」、「正好試試」。《官場現形記》第五一回：「刁邁彭屈指一算，後任明天好到，便約張太太三天回音。」
6.置於某些動詞之前，表效果佳。如：「好看」、「好玩」、「好吃」、「好笑」。
7.置於數量詞或時間詞之前，表示多或久的意思。如：「好些個」、「好幾處」、「好半天」、「好一會兒」。
[歎]
1.表示稱讚或允許。如：「好！就這麼辦。」《京本通俗小說．碾玉觀音》：「郡王道：『好！正合我意。』」
2.表示責備或不滿意的語氣。如：「好！這下子事情愈來愈棘手了。」 |</v>
      </c>
    </row>
    <row r="6633" spans="1:44" hidden="1">
      <c r="A6633" s="1" t="s">
        <v>11581</v>
      </c>
      <c r="C6633" s="1">
        <v>1</v>
      </c>
      <c r="D6633" s="1" t="str">
        <f>"04801"</f>
        <v>04801</v>
      </c>
      <c r="E6633" s="1" t="s">
        <v>256</v>
      </c>
      <c r="F6633" s="1">
        <v>10</v>
      </c>
      <c r="G6633" s="1">
        <v>7</v>
      </c>
      <c r="H6633" s="1">
        <v>1</v>
      </c>
      <c r="I6633" s="1" t="s">
        <v>11692</v>
      </c>
      <c r="K6633" s="1" t="str">
        <f t="shared" si="423"/>
        <v>ㄏ</v>
      </c>
      <c r="L6633" s="1" t="str">
        <f t="shared" si="424"/>
        <v>ㄠ</v>
      </c>
      <c r="N6633" s="3" t="s">
        <v>30576</v>
      </c>
      <c r="O6633" s="3"/>
      <c r="P6633" s="1" t="s">
        <v>388</v>
      </c>
      <c r="R6633" s="1" t="s">
        <v>11693</v>
      </c>
      <c r="V6633" s="1" t="s">
        <v>11696</v>
      </c>
      <c r="W6633" s="1" t="s">
        <v>11697</v>
      </c>
      <c r="AR6633" s="1" t="str">
        <f t="shared" si="425"/>
        <v>| [ㄏㄠˇ](ㄏㄠˇ.md) | [郝](郝.md) |  | hǎo | [名]
1.地名。約在今大陸地區陝西省鄠縣、盩厔縣之間。
2.姓。如漢代有郝賢。 |</v>
      </c>
    </row>
    <row r="6634" spans="1:44" hidden="1">
      <c r="A6634" s="1" t="s">
        <v>11765</v>
      </c>
      <c r="C6634" s="1">
        <v>1</v>
      </c>
      <c r="D6634" s="1" t="str">
        <f>"04831"</f>
        <v>04831</v>
      </c>
      <c r="E6634" s="1" t="s">
        <v>28</v>
      </c>
      <c r="F6634" s="1">
        <v>6</v>
      </c>
      <c r="G6634" s="1">
        <v>3</v>
      </c>
      <c r="H6634" s="1">
        <v>0</v>
      </c>
      <c r="I6634" s="1" t="s">
        <v>11766</v>
      </c>
      <c r="K6634" s="1" t="str">
        <f t="shared" si="423"/>
        <v>ㄏ</v>
      </c>
      <c r="L6634" s="1" t="str">
        <f t="shared" si="424"/>
        <v>ㄡ</v>
      </c>
      <c r="N6634" s="3" t="s">
        <v>30574</v>
      </c>
      <c r="O6634" s="3"/>
      <c r="P6634" s="1" t="s">
        <v>20</v>
      </c>
      <c r="R6634" s="1" t="s">
        <v>11767</v>
      </c>
      <c r="V6634" s="1" t="s">
        <v>11768</v>
      </c>
      <c r="AR6634" s="1" t="str">
        <f t="shared" si="425"/>
        <v>| [ㄏㄡˋ](ㄏㄡˋ.md) | [后](后.md) |  | hòu | [名]
1.君王。《詩經．商頌．玄鳥》：「商之先后，受命不殆，在武丁孫子。」《左傳．僖公三十二年》：「其南陵，夏后皋之墓也。」
2.諸侯。《書經．舜典》：「班瑞于群后。」唐．柳宗元〈封建論〉：「周有天下，裂土田而瓜分之，設五等，邦群后。」
3.君王的嫡妻。如：「王后」、「皇后」。《漢書．卷五．景帝紀》：「朕親耕，后親桑，以奉宗廟粢盛祭服，為天下先。」清．陸次雲〈費宮人傳〉：「后自縊，袁貴妃亦自縊。帝拔劍刃嬪妃數人。」
4.姓。如春秋時齊國有孔子的弟子后處，漢代有后蒼。
[副]
時間上較晚的。與「先」、「前」相對。通「後」。《禮記．大學》：「知止而后有定。」 |</v>
      </c>
    </row>
    <row r="6635" spans="1:44" hidden="1">
      <c r="A6635" s="1" t="s">
        <v>11769</v>
      </c>
      <c r="C6635" s="1">
        <v>1</v>
      </c>
      <c r="D6635" s="1" t="str">
        <f>"04832"</f>
        <v>04832</v>
      </c>
      <c r="E6635" s="1" t="s">
        <v>256</v>
      </c>
      <c r="F6635" s="1">
        <v>9</v>
      </c>
      <c r="G6635" s="1">
        <v>6</v>
      </c>
      <c r="H6635" s="1">
        <v>0</v>
      </c>
      <c r="I6635" s="1" t="s">
        <v>11766</v>
      </c>
      <c r="K6635" s="1" t="str">
        <f t="shared" si="423"/>
        <v>ㄏ</v>
      </c>
      <c r="L6635" s="1" t="str">
        <f t="shared" si="424"/>
        <v>ㄡ</v>
      </c>
      <c r="N6635" s="3" t="s">
        <v>30574</v>
      </c>
      <c r="O6635" s="3"/>
      <c r="P6635" s="1" t="s">
        <v>20</v>
      </c>
      <c r="R6635" s="1" t="s">
        <v>11767</v>
      </c>
      <c r="V6635" s="1" t="s">
        <v>11770</v>
      </c>
      <c r="AR6635" s="1" t="str">
        <f t="shared" si="425"/>
        <v>| [ㄏㄡˋ](ㄏㄡˋ.md) | [郈](郈.md) |  | hòu | [名]
1.地名。春秋時魯邑，故城約在今大陸地區山東省東平縣。
2.姓。如春秋時魯國有郈昭伯。 |</v>
      </c>
    </row>
    <row r="6636" spans="1:44" hidden="1">
      <c r="A6636" s="1" t="s">
        <v>9833</v>
      </c>
      <c r="C6636" s="1">
        <v>1</v>
      </c>
      <c r="D6636" s="1" t="str">
        <f>"04833"</f>
        <v>04833</v>
      </c>
      <c r="E6636" s="1" t="s">
        <v>558</v>
      </c>
      <c r="F6636" s="1">
        <v>10</v>
      </c>
      <c r="G6636" s="1">
        <v>6</v>
      </c>
      <c r="H6636" s="1">
        <v>1</v>
      </c>
      <c r="I6636" s="1" t="s">
        <v>11766</v>
      </c>
      <c r="K6636" s="1" t="str">
        <f t="shared" si="423"/>
        <v>ㄏ</v>
      </c>
      <c r="L6636" s="1" t="str">
        <f t="shared" si="424"/>
        <v>ㄡ</v>
      </c>
      <c r="N6636" s="3" t="s">
        <v>30574</v>
      </c>
      <c r="O6636" s="3"/>
      <c r="P6636" s="1" t="s">
        <v>20</v>
      </c>
      <c r="R6636" s="1" t="s">
        <v>11767</v>
      </c>
      <c r="V6636" s="1" t="s">
        <v>11771</v>
      </c>
      <c r="W6636" s="1" t="s">
        <v>11772</v>
      </c>
      <c r="AR6636" s="1" t="str">
        <f t="shared" si="425"/>
        <v>| [ㄏㄡˋ](ㄏㄡˋ.md) | [逅](逅.md) |  | hòu | 參見「邂逅」條。 |</v>
      </c>
    </row>
    <row r="6637" spans="1:44" hidden="1">
      <c r="A6637" s="1" t="s">
        <v>11773</v>
      </c>
      <c r="C6637" s="1">
        <v>1</v>
      </c>
      <c r="D6637" s="1" t="str">
        <f>"04834"</f>
        <v>04834</v>
      </c>
      <c r="E6637" s="1" t="s">
        <v>1941</v>
      </c>
      <c r="F6637" s="1">
        <v>9</v>
      </c>
      <c r="G6637" s="1">
        <v>7</v>
      </c>
      <c r="H6637" s="1">
        <v>0</v>
      </c>
      <c r="I6637" s="1" t="s">
        <v>11766</v>
      </c>
      <c r="K6637" s="1" t="str">
        <f t="shared" si="423"/>
        <v>ㄏ</v>
      </c>
      <c r="L6637" s="1" t="str">
        <f t="shared" si="424"/>
        <v>ㄡ</v>
      </c>
      <c r="N6637" s="3" t="s">
        <v>30574</v>
      </c>
      <c r="O6637" s="3"/>
      <c r="P6637" s="1" t="s">
        <v>20</v>
      </c>
      <c r="R6637" s="1" t="s">
        <v>11767</v>
      </c>
      <c r="V6637" s="1" t="s">
        <v>11774</v>
      </c>
      <c r="AR6637" s="1" t="str">
        <f t="shared" si="425"/>
        <v>| [ㄏㄡˋ](ㄏㄡˋ.md) | [厚](厚.md) |  | hòu | [形]
1.扁平物體上下之間距離較大的。與「薄」相對。如：「厚紙」、「厚脣」。唐．白居易〈新製布裘〉詩：「布重綿且厚，為裘有餘溫。」唐．李賀〈苦晝短〉詩：「吾不識青天高、黃地厚，唯見月寒日暖，來煎人壽。」
2.多、大。如：「厚利」、「厚禮」、「厚望」。唐．元稹《崔鶯鶯傳》：「兄之恩，活我之家，厚矣。」宋．錢公輔〈義田記〉：「公雖位充祿厚，而貧終其身。」
3.濃、深。如：「酒味厚」、「深情厚誼」。《儀禮．士冠禮》：「甘醴惟厚，嘉薦令芳。」
4.不刻薄的。如：「仁厚」、「寬厚」、「憨厚」、「忠厚老實」。
[名]
扁平物體表面與底面間的距離。如：「這塊木板約有二寸厚。」《禮記．檀弓上》：「天子之棺四重，水兕革棺被之，其厚三寸。」
[動]
重視、推崇。如：「厚古薄今」、「厚此薄彼」。《史記．卷五．秦本紀》：「遂復三人官秩如故，愈益厚之。」
[副]
優待。如：「厚待」。《禮記．中庸》：「厚往而薄來，所以懷諸侯也。」 |</v>
      </c>
    </row>
    <row r="6638" spans="1:44" hidden="1">
      <c r="A6638" s="1" t="s">
        <v>11775</v>
      </c>
      <c r="C6638" s="1">
        <v>1</v>
      </c>
      <c r="D6638" s="1" t="str">
        <f>"04835"</f>
        <v>04835</v>
      </c>
      <c r="E6638" s="1" t="s">
        <v>234</v>
      </c>
      <c r="F6638" s="1">
        <v>9</v>
      </c>
      <c r="G6638" s="1">
        <v>6</v>
      </c>
      <c r="H6638" s="1">
        <v>0</v>
      </c>
      <c r="I6638" s="1" t="s">
        <v>11766</v>
      </c>
      <c r="K6638" s="1" t="str">
        <f t="shared" si="423"/>
        <v>ㄏ</v>
      </c>
      <c r="L6638" s="1" t="str">
        <f t="shared" si="424"/>
        <v>ㄡ</v>
      </c>
      <c r="N6638" s="3" t="s">
        <v>30574</v>
      </c>
      <c r="O6638" s="3"/>
      <c r="P6638" s="1" t="s">
        <v>20</v>
      </c>
      <c r="R6638" s="1" t="s">
        <v>11767</v>
      </c>
      <c r="V6638" s="1" t="s">
        <v>11776</v>
      </c>
      <c r="AR6638" s="1" t="str">
        <f t="shared" si="425"/>
        <v>| [ㄏㄡˋ](ㄏㄡˋ.md) | [後](後.md) |  | hòu | [名]
1.在時間上與「先」、「前」相對。《禮記．曲禮下》：「君子將營宮室，宗廟為先，廄庫為次，居室為後。」
2.在空間、位置上與「前」相對。如：「背後」、「村後」、「敵後」、「幕後」、「向後轉」、「懲前毖後」。《左傳．昭公二十三年》：「武城人塞其前，斷其後之木而弗殊。」唐．陳子昂〈登幽州臺歌〉：「前不見古人，後不見來者。」
3.子孫。如：「名人之後」。《詩經．大雅．瞻卬》：「式救爾後。」漢．鄭玄．箋：「後，謂子孫也。」《孟子．離婁上》：「不孝有三，無後為大。」
4.姓。如五代時後漢有後贊，清代有後禮。
[形]
1.時間較晚的、未來的。如：「後天」、「後代」、「前因後果」。
2.次序、位置近末尾的。如：「後排」、「後半段」、「後院」、「後門」。
[副]
遲、晚。如：「先來後到」、「後來居上」。
[動]
1.落後。《論語．雍也》：「非敢後也，馬不進也。」《韓非子．喻老》：「趙襄主學御於王子期，俄而與於期逐，三易馬而三後。」
2.延緩、趕不上。《論語．衛靈公》：「事君敬其事，而後其食。」
3.摒棄、排除。《漢書．卷五一．鄒陽傳》：「願大王察玉人、李斯之意，而後楚王、胡亥之聽。」 |</v>
      </c>
    </row>
    <row r="6639" spans="1:44" hidden="1">
      <c r="A6639" s="1" t="s">
        <v>11777</v>
      </c>
      <c r="C6639" s="1">
        <v>1</v>
      </c>
      <c r="D6639" s="1" t="str">
        <f>"04836"</f>
        <v>04836</v>
      </c>
      <c r="E6639" s="1" t="s">
        <v>114</v>
      </c>
      <c r="F6639" s="1">
        <v>10</v>
      </c>
      <c r="G6639" s="1">
        <v>8</v>
      </c>
      <c r="H6639" s="1">
        <v>0</v>
      </c>
      <c r="I6639" s="1" t="s">
        <v>11766</v>
      </c>
      <c r="K6639" s="1" t="str">
        <f t="shared" si="423"/>
        <v>ㄏ</v>
      </c>
      <c r="L6639" s="1" t="str">
        <f t="shared" si="424"/>
        <v>ㄡ</v>
      </c>
      <c r="N6639" s="3" t="s">
        <v>30574</v>
      </c>
      <c r="O6639" s="3"/>
      <c r="P6639" s="1" t="s">
        <v>20</v>
      </c>
      <c r="R6639" s="1" t="s">
        <v>11767</v>
      </c>
      <c r="V6639" s="1" t="s">
        <v>11778</v>
      </c>
      <c r="AR6639" s="1" t="str">
        <f t="shared" si="425"/>
        <v>| [ㄏㄡˋ](ㄏㄡˋ.md) | [候](候.md) |  | hòu | [動]
1.偵察、探察。《說文解字．人部》：「候，司望也。」《呂氏春秋．慎大覽．貴因》：「武王使人候殷。反，報岐周曰：『殷其亂矣！』」漢．高誘．注：「候，視也。」《史記．卷一〇七．魏其武安侯傳》：「太后亦已使人候伺，具以告太后。」
2.等待。如：「候車室」、「逾時不候」、「恭候大駕」、「稍候一會兒」。《文選．陶淵明．歸去來辭》：「僮僕歡迎，稚子候門。」
3.探望。如：「問候」。《後漢書．卷二四．馬援傳》：「援嘗有疾，梁松來候之，獨拜床下，援不答。」《儒林外史》第一三回：「兩公子聽見，便同公孫去候姑丈。」
4.服侍。如：「伺候」。《後漢書．卷二四．馬援傳》：「勃字叔陽，年十二能誦詩、書。常候援兄況。」《宋史．卷二四二．后妃傳上．孝章宋皇后傳》：「性柔順好禮，每帝視朝退，常具冠帔候接，佐御饌。」
5.診察。《北齊書．卷四九．方伎傳．馬嗣明傳》：「刑邵子大寶患傷寒，嗣明為之診，候脈。」《黃帝素問靈樞經．卷九．衛氣失常》：「候病所在，骨之屬者。」
6.占卜。《後漢書．卷三〇下．郎顗傳》：「能望氣占候吉凶，常賣卜自奉。」《新唐書．卷四六．百官志一》：「二十三曰占候醫卜，效驗多者，為方術之最。」
7.北平方言。指支付、付清。如：「候帳」、「這桌酒菜，張先生已候過鈔了。」
[名]
1.時間、時令、時節。如：「天候已經不早了，快回去吧！」宋．李清照〈聲聲慢．尋尋覓覓〉詞：「乍暖還寒時候，最難將息。」明．徐弘祖《徐霞客遊記．卷一下．遊太和山日記》：「山谷川原，候同氣異。」
2.事物的情況或徵兆。如：「症候」、「火候」、「徵候」。《列子．周穆王》：「覺有八徵，夢有六候。」《晉書．卷一二．天文志中》：「凡遊氣蔽天，日月失色，皆是風雨之候也。」
3.用來瞭望、監視敵情的碉堡。通「堠」。《史記．卷二五．律書》：「願且堅邊設候，結和通使。」《後漢書．卷一．光武帝紀下》：「築亭候，修烽燧。」唐．章懷太子．注：「亭候，伺候望敵之所。」 |</v>
      </c>
    </row>
    <row r="6640" spans="1:44" hidden="1">
      <c r="A6640" s="1" t="s">
        <v>11779</v>
      </c>
      <c r="C6640" s="1">
        <v>1</v>
      </c>
      <c r="D6640" s="1" t="str">
        <f>"04837"</f>
        <v>04837</v>
      </c>
      <c r="E6640" s="1" t="s">
        <v>132</v>
      </c>
      <c r="F6640" s="1">
        <v>12</v>
      </c>
      <c r="G6640" s="1">
        <v>9</v>
      </c>
      <c r="H6640" s="1">
        <v>0</v>
      </c>
      <c r="I6640" s="1" t="s">
        <v>11766</v>
      </c>
      <c r="K6640" s="1" t="str">
        <f t="shared" si="423"/>
        <v>ㄏ</v>
      </c>
      <c r="L6640" s="1" t="str">
        <f t="shared" si="424"/>
        <v>ㄡ</v>
      </c>
      <c r="N6640" s="3" t="s">
        <v>30574</v>
      </c>
      <c r="O6640" s="3"/>
      <c r="P6640" s="1" t="s">
        <v>20</v>
      </c>
      <c r="R6640" s="1" t="s">
        <v>11767</v>
      </c>
      <c r="V6640" s="1" t="s">
        <v>11780</v>
      </c>
      <c r="AR6640" s="1" t="str">
        <f t="shared" si="425"/>
        <v>| [ㄏㄡˋ](ㄏㄡˋ.md) | [堠](堠.md) |  | hòu | [名]
1.古代瞭望敵情的碉堡。唐．白居易〈和渭北劉大夫借便秋遮虜寄朝中親友〉詩：「堠空烽火滅，氣勝鼓鼙鳴。」宋．劉克莊〈贈防江卒〉詩六首之五：「戰地春來血尚流，殘烽缺堠滿淮頭。」
2.古代用來記載里程的土臺。五里一單堠，十里一雙堠。《北史．卷六四．韋孝寬傳》：「自孝寬臨州，乃勒部內，當堠處植槐樹代之。」 |</v>
      </c>
    </row>
    <row r="6641" spans="1:44" hidden="1">
      <c r="A6641" s="1" t="s">
        <v>11781</v>
      </c>
      <c r="C6641" s="1">
        <v>1</v>
      </c>
      <c r="D6641" s="1" t="str">
        <f>"04838"</f>
        <v>04838</v>
      </c>
      <c r="E6641" s="1" t="s">
        <v>256</v>
      </c>
      <c r="F6641" s="1">
        <v>12</v>
      </c>
      <c r="G6641" s="1">
        <v>9</v>
      </c>
      <c r="H6641" s="1">
        <v>0</v>
      </c>
      <c r="I6641" s="1" t="s">
        <v>11766</v>
      </c>
      <c r="K6641" s="1" t="str">
        <f t="shared" si="423"/>
        <v>ㄏ</v>
      </c>
      <c r="L6641" s="1" t="str">
        <f t="shared" si="424"/>
        <v>ㄡ</v>
      </c>
      <c r="N6641" s="3" t="s">
        <v>30574</v>
      </c>
      <c r="O6641" s="3"/>
      <c r="P6641" s="1" t="s">
        <v>20</v>
      </c>
      <c r="R6641" s="1" t="s">
        <v>11767</v>
      </c>
      <c r="V6641" s="1" t="s">
        <v>11782</v>
      </c>
      <c r="AR6641" s="1" t="str">
        <f t="shared" si="425"/>
        <v>| [ㄏㄡˋ](ㄏㄡˋ.md) | [鄇](鄇.md) |  | hòu | [名]
地名。春秋時溫地別邑，故址約在今大陸地區河南省武陟縣境。 |</v>
      </c>
    </row>
    <row r="6642" spans="1:44" hidden="1">
      <c r="A6642" s="1" t="s">
        <v>11783</v>
      </c>
      <c r="C6642" s="1">
        <v>1</v>
      </c>
      <c r="D6642" s="1" t="str">
        <f>"04839"</f>
        <v>04839</v>
      </c>
      <c r="E6642" s="1" t="s">
        <v>156</v>
      </c>
      <c r="F6642" s="1">
        <v>24</v>
      </c>
      <c r="G6642" s="1">
        <v>13</v>
      </c>
      <c r="H6642" s="1">
        <v>0</v>
      </c>
      <c r="I6642" s="1" t="s">
        <v>11766</v>
      </c>
      <c r="K6642" s="1" t="str">
        <f t="shared" si="423"/>
        <v>ㄏ</v>
      </c>
      <c r="L6642" s="1" t="str">
        <f t="shared" si="424"/>
        <v>ㄡ</v>
      </c>
      <c r="N6642" s="3" t="s">
        <v>30574</v>
      </c>
      <c r="O6642" s="3"/>
      <c r="P6642" s="1" t="s">
        <v>20</v>
      </c>
      <c r="R6642" s="1" t="s">
        <v>11767</v>
      </c>
      <c r="V6642" s="1" t="s">
        <v>11784</v>
      </c>
      <c r="AR6642" s="1" t="str">
        <f t="shared" si="425"/>
        <v>| [ㄏㄡˋ](ㄏㄡˋ.md) | [鱟](鱟.md) |  | hòu | [名]
動物名。節肢動物門劍尾目。體分頭胸部、腹部和尾劍三部分。頭胸部呈馬蹄形，為深棕青色，背部隆起。背甲後方兩側向後突出，其腹面每邊各有六枚刺。有一對複眼和中單眼一個。尾柄尖細，呈細長的三角形。口周圍有五對步足。腹部具有六對附肢，第一對為扁平的生殖蓋板，生殖孔開口於內面，其餘五對附肢形成腮。春夏季在沙灘上繁殖。鱟於古生代即已出現，與蠍、蜘蛛和已滅絕的三葉蟲近緣，是一類活化石。 |</v>
      </c>
    </row>
    <row r="6643" spans="1:44" hidden="1">
      <c r="A6643" s="1" t="s">
        <v>11742</v>
      </c>
      <c r="C6643" s="1">
        <v>1</v>
      </c>
      <c r="D6643" s="1" t="str">
        <f>"04821"</f>
        <v>04821</v>
      </c>
      <c r="E6643" s="1" t="s">
        <v>114</v>
      </c>
      <c r="F6643" s="1">
        <v>9</v>
      </c>
      <c r="G6643" s="1">
        <v>7</v>
      </c>
      <c r="H6643" s="1">
        <v>0</v>
      </c>
      <c r="I6643" s="1" t="s">
        <v>11743</v>
      </c>
      <c r="K6643" s="1" t="str">
        <f t="shared" si="423"/>
        <v>ㄏ</v>
      </c>
      <c r="L6643" s="1" t="str">
        <f t="shared" si="424"/>
        <v>ㄡ</v>
      </c>
      <c r="N6643" s="3" t="s">
        <v>30575</v>
      </c>
      <c r="O6643" s="3"/>
      <c r="P6643" s="1" t="s">
        <v>20</v>
      </c>
      <c r="R6643" s="1" t="s">
        <v>11744</v>
      </c>
      <c r="V6643" s="1" t="s">
        <v>11745</v>
      </c>
      <c r="AR6643" s="1" t="str">
        <f t="shared" si="425"/>
        <v>| [ㄏㄡˊ](ㄏㄡˊ.md) | [侯](侯.md) |  | hóu | [名]
1.中國古代五等爵位的第二等。《公羊傳．隱公五年》：「其餘大國稱侯。」《禮記．王制》：「王者之制祿爵，公、侯、伯、子、男凡五等。」
2.泛指達官貴人。如：「侯門」。《史記．卷四八．陳涉世家》：「王侯將相寧有種乎？」
3.士大夫間彼此的尊稱。唐．杜甫〈與李十二白同尋范十隱居〉詩：「李侯有佳句，往往似陰鏗。」唐．李頎〈送陳章甫〉詩：「陳侯立身何坦蕩，虯鬚虎眉仍大顙。」
4.箭靶。《詩經．齊風．猗嗟》：「終日射侯，不出正兮。」宋．朱熹．注：「侯，張布而射之者也。大射則張皮侯而設鵠，賓射則張布而設正。」
5.姓。如戰國時魏國有侯嬴。
[形]
美好。《詩經．鄭風．羔裘》：「羔裘如濡，洵直且侯。」鄭玄箋引韓詩云：「侯，美也。」
[代]
何。表示疑問。《史記．卷一一七．司馬相如傳》：「君乎！君乎！侯不邁哉！」司馬貞索隱引李奇曰：「侯，何也。言君何不行封禪之事也。」
[助]
發語詞。相當於「惟」、「維」、「伊」。《詩經．小雅．六月》：「侯誰在矣，張仲孝友。」《漢書．卷一〇〇．敘傳上》：「侯屮木之區別兮，苟能實而必榮。」唐．顏師古．注：「侯，發語辭也。」 |</v>
      </c>
    </row>
    <row r="6644" spans="1:44" hidden="1">
      <c r="A6644" s="1" t="s">
        <v>11746</v>
      </c>
      <c r="C6644" s="1">
        <v>1</v>
      </c>
      <c r="D6644" s="1" t="str">
        <f>"04822"</f>
        <v>04822</v>
      </c>
      <c r="E6644" s="1" t="s">
        <v>28</v>
      </c>
      <c r="F6644" s="1">
        <v>12</v>
      </c>
      <c r="G6644" s="1">
        <v>9</v>
      </c>
      <c r="H6644" s="1">
        <v>0</v>
      </c>
      <c r="I6644" s="1" t="s">
        <v>11743</v>
      </c>
      <c r="K6644" s="1" t="str">
        <f t="shared" si="423"/>
        <v>ㄏ</v>
      </c>
      <c r="L6644" s="1" t="str">
        <f t="shared" si="424"/>
        <v>ㄡ</v>
      </c>
      <c r="N6644" s="3" t="s">
        <v>30575</v>
      </c>
      <c r="O6644" s="3"/>
      <c r="P6644" s="1" t="s">
        <v>20</v>
      </c>
      <c r="R6644" s="1" t="s">
        <v>11744</v>
      </c>
      <c r="V6644" s="1" t="s">
        <v>11747</v>
      </c>
      <c r="AR6644" s="1" t="str">
        <f t="shared" si="425"/>
        <v>| [ㄏㄡˊ](ㄏㄡˊ.md) | [喉](喉.md) |  | hóu | [名]
指咽頭以下，氣管以上的部分。由甲狀軟骨、會厭軟骨、環狀軟骨等構成。為呼吸器官的一部分，內有聲帶，具發音功能。也稱為「喉頭」。 |</v>
      </c>
    </row>
    <row r="6645" spans="1:44" hidden="1">
      <c r="A6645" s="1" t="s">
        <v>11748</v>
      </c>
      <c r="C6645" s="1">
        <v>1</v>
      </c>
      <c r="D6645" s="1" t="str">
        <f>"04823"</f>
        <v>04823</v>
      </c>
      <c r="E6645" s="1" t="s">
        <v>198</v>
      </c>
      <c r="F6645" s="1">
        <v>12</v>
      </c>
      <c r="G6645" s="1">
        <v>9</v>
      </c>
      <c r="H6645" s="1">
        <v>0</v>
      </c>
      <c r="I6645" s="1" t="s">
        <v>11743</v>
      </c>
      <c r="K6645" s="1" t="str">
        <f t="shared" si="423"/>
        <v>ㄏ</v>
      </c>
      <c r="L6645" s="1" t="str">
        <f t="shared" si="424"/>
        <v>ㄡ</v>
      </c>
      <c r="N6645" s="3" t="s">
        <v>30575</v>
      </c>
      <c r="O6645" s="3"/>
      <c r="P6645" s="1" t="s">
        <v>20</v>
      </c>
      <c r="R6645" s="1" t="s">
        <v>11744</v>
      </c>
      <c r="V6645" s="1" t="s">
        <v>11749</v>
      </c>
      <c r="AR6645" s="1" t="str">
        <f t="shared" si="425"/>
        <v>| [ㄏㄡˊ](ㄏㄡˊ.md) | [猴](猴.md) |  | hóu | [名]
動物名。脊椎動物門哺乳綱靈長目。與猿同屬，形似人，全身長毛，能站立，並用後腿走路。善攀援，行動矯捷靈活，喜群居生活。頰下有囊，可儲存食物，臀部有疣及短尾。
[動]
1.北平方言。指側身依偎、糾纏。如：「小女孩總是猴著她爸爸不放。」《紅樓夢》第一四回：「寶玉聽說，便猴向鳳姐身上，立刻要牌。」
2.像猴子般蹲坐著。《紅樓夢》第一五回：「好兄弟，你是個尊貴人，女孩兒一樣的人品，別學他們猴在馬上。」
[形]
北平方言。指小孩頑皮、機靈。如：「這小傢伙太猴了！」 |</v>
      </c>
    </row>
    <row r="6646" spans="1:44" hidden="1">
      <c r="A6646" s="1" t="s">
        <v>11750</v>
      </c>
      <c r="C6646" s="1">
        <v>1</v>
      </c>
      <c r="D6646" s="1" t="str">
        <f>"04824"</f>
        <v>04824</v>
      </c>
      <c r="E6646" s="1" t="s">
        <v>40</v>
      </c>
      <c r="F6646" s="1">
        <v>14</v>
      </c>
      <c r="G6646" s="1">
        <v>9</v>
      </c>
      <c r="H6646" s="1">
        <v>0</v>
      </c>
      <c r="I6646" s="1" t="s">
        <v>11743</v>
      </c>
      <c r="K6646" s="1" t="str">
        <f t="shared" si="423"/>
        <v>ㄏ</v>
      </c>
      <c r="L6646" s="1" t="str">
        <f t="shared" si="424"/>
        <v>ㄡ</v>
      </c>
      <c r="N6646" s="3" t="s">
        <v>30575</v>
      </c>
      <c r="O6646" s="3"/>
      <c r="P6646" s="1" t="s">
        <v>20</v>
      </c>
      <c r="R6646" s="1" t="s">
        <v>11744</v>
      </c>
      <c r="V6646" s="1" t="s">
        <v>11751</v>
      </c>
      <c r="AR6646" s="1" t="str">
        <f t="shared" si="425"/>
        <v>| [ㄏㄡˊ](ㄏㄡˊ.md) | [瘊](瘊.md) |  | hóu | [名]
皮膚上所生的小肉瘤。明．張自烈《正字通．疒部》：「瘊，疣小者俗謂之瘊子。」 |</v>
      </c>
    </row>
    <row r="6647" spans="1:44" hidden="1">
      <c r="A6647" s="1" t="s">
        <v>11752</v>
      </c>
      <c r="C6647" s="1">
        <v>1</v>
      </c>
      <c r="D6647" s="1" t="str">
        <f>"04825"</f>
        <v>04825</v>
      </c>
      <c r="E6647" s="1" t="s">
        <v>1015</v>
      </c>
      <c r="F6647" s="1">
        <v>14</v>
      </c>
      <c r="G6647" s="1">
        <v>9</v>
      </c>
      <c r="H6647" s="1">
        <v>0</v>
      </c>
      <c r="I6647" s="1" t="s">
        <v>11743</v>
      </c>
      <c r="K6647" s="1" t="str">
        <f t="shared" si="423"/>
        <v>ㄏ</v>
      </c>
      <c r="L6647" s="1" t="str">
        <f t="shared" si="424"/>
        <v>ㄡ</v>
      </c>
      <c r="N6647" s="3" t="s">
        <v>30575</v>
      </c>
      <c r="O6647" s="3"/>
      <c r="P6647" s="1" t="s">
        <v>20</v>
      </c>
      <c r="R6647" s="1" t="s">
        <v>11744</v>
      </c>
      <c r="V6647" s="1" t="s">
        <v>11753</v>
      </c>
      <c r="AR6647" s="1" t="str">
        <f t="shared" si="425"/>
        <v>| [ㄏㄡˊ](ㄏㄡˊ.md) | [睺](睺.md) |  | hóu | [形]
眼睛半盲。《廣韻．平聲．侯韻》：「睺，半盲。」 |</v>
      </c>
    </row>
    <row r="6648" spans="1:44" hidden="1">
      <c r="A6648" s="1" t="s">
        <v>11754</v>
      </c>
      <c r="C6648" s="1">
        <v>1</v>
      </c>
      <c r="D6648" s="1" t="str">
        <f>"04826"</f>
        <v>04826</v>
      </c>
      <c r="E6648" s="1" t="s">
        <v>49</v>
      </c>
      <c r="F6648" s="1">
        <v>15</v>
      </c>
      <c r="G6648" s="1">
        <v>9</v>
      </c>
      <c r="H6648" s="1">
        <v>0</v>
      </c>
      <c r="I6648" s="1" t="s">
        <v>11743</v>
      </c>
      <c r="K6648" s="1" t="str">
        <f t="shared" si="423"/>
        <v>ㄏ</v>
      </c>
      <c r="L6648" s="1" t="str">
        <f t="shared" si="424"/>
        <v>ㄡ</v>
      </c>
      <c r="N6648" s="3" t="s">
        <v>30575</v>
      </c>
      <c r="O6648" s="3"/>
      <c r="P6648" s="1" t="s">
        <v>20</v>
      </c>
      <c r="R6648" s="1" t="s">
        <v>11744</v>
      </c>
      <c r="V6648" s="1" t="s">
        <v>11455</v>
      </c>
      <c r="AR6648" s="1" t="str">
        <f t="shared" si="425"/>
        <v>| [ㄏㄡˊ](ㄏㄡˊ.md) | [篌](篌.md) |  | hóu | 參見「箜篌」條。 |</v>
      </c>
    </row>
    <row r="6649" spans="1:44" hidden="1">
      <c r="A6649" s="1" t="s">
        <v>11755</v>
      </c>
      <c r="C6649" s="1">
        <v>1</v>
      </c>
      <c r="D6649" s="1" t="str">
        <f>"04827"</f>
        <v>04827</v>
      </c>
      <c r="E6649" s="1" t="s">
        <v>55</v>
      </c>
      <c r="F6649" s="1">
        <v>17</v>
      </c>
      <c r="G6649" s="1">
        <v>9</v>
      </c>
      <c r="H6649" s="1">
        <v>0</v>
      </c>
      <c r="I6649" s="1" t="s">
        <v>11743</v>
      </c>
      <c r="K6649" s="1" t="str">
        <f t="shared" si="423"/>
        <v>ㄏ</v>
      </c>
      <c r="L6649" s="1" t="str">
        <f t="shared" si="424"/>
        <v>ㄡ</v>
      </c>
      <c r="N6649" s="3" t="s">
        <v>30575</v>
      </c>
      <c r="O6649" s="3"/>
      <c r="P6649" s="1" t="s">
        <v>20</v>
      </c>
      <c r="R6649" s="1" t="s">
        <v>11744</v>
      </c>
      <c r="V6649" s="1" t="s">
        <v>11756</v>
      </c>
      <c r="AR6649" s="1" t="str">
        <f t="shared" si="425"/>
        <v>| [ㄏㄡˊ](ㄏㄡˊ.md) | [鍭](鍭.md) |  | hóu | [名]
1.武器名。一種具金屬箭頭，尾部有羽毛裝飾的箭。《爾雅．釋器》：「金鏃翦羽謂之鍭。」《詩經．大雅．行葦》：「敦弓既堅，四鍭既鈞。」
2.箭頭的通稱。《廣韻．平聲．侯韻》：「鍭，箭鏃。」清．譚嗣同〈怪石歌〉：「我與子兮今邂逅，殊勝彎弓命鏃鍭。」 |</v>
      </c>
    </row>
    <row r="6650" spans="1:44" hidden="1">
      <c r="A6650" s="1" t="s">
        <v>11757</v>
      </c>
      <c r="C6650" s="1">
        <v>1</v>
      </c>
      <c r="D6650" s="1" t="str">
        <f>"04828"</f>
        <v>04828</v>
      </c>
      <c r="E6650" s="1" t="s">
        <v>193</v>
      </c>
      <c r="F6650" s="1">
        <v>17</v>
      </c>
      <c r="G6650" s="1">
        <v>9</v>
      </c>
      <c r="H6650" s="1">
        <v>0</v>
      </c>
      <c r="I6650" s="1" t="s">
        <v>11743</v>
      </c>
      <c r="K6650" s="1" t="str">
        <f t="shared" si="423"/>
        <v>ㄏ</v>
      </c>
      <c r="L6650" s="1" t="str">
        <f t="shared" si="424"/>
        <v>ㄡ</v>
      </c>
      <c r="N6650" s="3" t="s">
        <v>30575</v>
      </c>
      <c r="O6650" s="3"/>
      <c r="P6650" s="1" t="s">
        <v>20</v>
      </c>
      <c r="R6650" s="1" t="s">
        <v>11744</v>
      </c>
      <c r="V6650" s="1" t="s">
        <v>11758</v>
      </c>
      <c r="AR6650" s="1" t="str">
        <f t="shared" si="425"/>
        <v>| [ㄏㄡˊ](ㄏㄡˊ.md) | [餱](餱.md) |  | hóu | [名]
乾糧。《廣韻．平聲．侯韻》：「餱，乾食。」如：「餱糧」。《詩經．小雅．無羊》：「何蓑何笠，或負其餱。」唐．李宗閔〈故丞相尚書左僕射贈太尉太原王公神道碑銘〉：「帶甲百萬，餱食為巨。」 |</v>
      </c>
    </row>
    <row r="6651" spans="1:44" hidden="1">
      <c r="A6651" s="1" t="s">
        <v>11759</v>
      </c>
      <c r="C6651" s="1">
        <v>1</v>
      </c>
      <c r="D6651" s="1" t="str">
        <f>"04829"</f>
        <v>04829</v>
      </c>
      <c r="E6651" s="1" t="s">
        <v>28</v>
      </c>
      <c r="F6651" s="1">
        <v>7</v>
      </c>
      <c r="G6651" s="1">
        <v>4</v>
      </c>
      <c r="H6651" s="1">
        <v>0</v>
      </c>
      <c r="I6651" s="1" t="s">
        <v>11760</v>
      </c>
      <c r="K6651" s="1" t="str">
        <f t="shared" si="423"/>
        <v>ㄏ</v>
      </c>
      <c r="L6651" s="1" t="str">
        <f t="shared" si="424"/>
        <v>ㄡ</v>
      </c>
      <c r="N6651" s="3" t="s">
        <v>30576</v>
      </c>
      <c r="O6651" s="3"/>
      <c r="P6651" s="1" t="s">
        <v>20</v>
      </c>
      <c r="R6651" s="1" t="s">
        <v>11761</v>
      </c>
      <c r="V6651" s="1" t="s">
        <v>11762</v>
      </c>
      <c r="AR6651" s="1" t="str">
        <f t="shared" si="425"/>
        <v>| [ㄏㄡˇ](ㄏㄡˇ.md) | [吼](吼.md) |  | hǒu | [動]
1.猛獸大聲的叫。如：「河東獅吼」。《晉書．卷四三．王戎傳》：「猛獸在檻中，虓吼震地。」唐．杜甫〈復陰〉詩：「江濤簸岸黃沙走，雲雪埋山蒼兕吼。」
2.因憤怒或情緒激動而大聲叫喊。如：「大吼大叫」。《南史．卷八〇．賊臣傳．侯景傳》：「醜徒數萬，同共吹脣，唱吼而上。」
3.自然界發出巨響。如：「北風怒吼」。唐．岑參〈走馬川行奉送出師西征〉詩：「輪臺九月風夜吼，一川碎石大如斗。」宋．王庭珪〈和周秀實田家行〉：「大臣鼻息如雷吼，玉帳無憂方熟眠。」 |</v>
      </c>
    </row>
    <row r="6652" spans="1:44" hidden="1">
      <c r="A6652" s="1" t="s">
        <v>11763</v>
      </c>
      <c r="C6652" s="1">
        <v>1</v>
      </c>
      <c r="D6652" s="1" t="str">
        <f>"04830"</f>
        <v>04830</v>
      </c>
      <c r="E6652" s="1" t="s">
        <v>198</v>
      </c>
      <c r="F6652" s="1">
        <v>7</v>
      </c>
      <c r="G6652" s="1">
        <v>4</v>
      </c>
      <c r="H6652" s="1">
        <v>0</v>
      </c>
      <c r="I6652" s="1" t="s">
        <v>11760</v>
      </c>
      <c r="K6652" s="1" t="str">
        <f t="shared" si="423"/>
        <v>ㄏ</v>
      </c>
      <c r="L6652" s="1" t="str">
        <f t="shared" si="424"/>
        <v>ㄡ</v>
      </c>
      <c r="N6652" s="3" t="s">
        <v>30576</v>
      </c>
      <c r="O6652" s="3"/>
      <c r="P6652" s="1" t="s">
        <v>20</v>
      </c>
      <c r="R6652" s="1" t="s">
        <v>11761</v>
      </c>
      <c r="V6652" s="1" t="s">
        <v>11764</v>
      </c>
      <c r="AR6652" s="1" t="str">
        <f t="shared" si="425"/>
        <v>| [ㄏㄡˇ](ㄏㄡˇ.md) | [犼](犼.md) |  | hǒu | [名]
傳說中的猛獸。外形像犬，會吃人。《集韻．上聲．厚韻》：「犼，北方獸名。似犬，食人。」 |</v>
      </c>
    </row>
    <row r="6653" spans="1:44" hidden="1">
      <c r="A6653" s="1" t="s">
        <v>11802</v>
      </c>
      <c r="C6653" s="1">
        <v>1</v>
      </c>
      <c r="D6653" s="1" t="str">
        <f>"04867"</f>
        <v>04867</v>
      </c>
      <c r="E6653" s="1" t="s">
        <v>129</v>
      </c>
      <c r="F6653" s="1">
        <v>6</v>
      </c>
      <c r="G6653" s="1">
        <v>3</v>
      </c>
      <c r="H6653" s="1">
        <v>1</v>
      </c>
      <c r="I6653" s="1" t="s">
        <v>11844</v>
      </c>
      <c r="K6653" s="1" t="str">
        <f t="shared" si="423"/>
        <v>ㄏ</v>
      </c>
      <c r="L6653" s="1" t="str">
        <f t="shared" si="424"/>
        <v>ㄢ</v>
      </c>
      <c r="N6653" s="3" t="s">
        <v>30574</v>
      </c>
      <c r="O6653" s="3"/>
      <c r="P6653" s="1" t="s">
        <v>20</v>
      </c>
      <c r="R6653" s="1" t="s">
        <v>11845</v>
      </c>
      <c r="V6653" s="1" t="s">
        <v>11846</v>
      </c>
      <c r="W6653" s="1" t="s">
        <v>11847</v>
      </c>
      <c r="AR6653" s="1" t="str">
        <f t="shared" si="425"/>
        <v>| [ㄏㄢˋ](ㄏㄢˋ.md) | [汗](汗.md) |  | hàn | [名]
1.由動物皮膚的毛細孔所排泄出的液體。如：「冷汗」、「盜汗」、「汗流浹背」、「揮汗如雨」。唐．李紳〈古風〉詩二首之二：「鋤禾日當午，汗滴禾下土。」
2.姓。如戰國時楚國有汗明。
[動]
流汗、使出汗。《漢書．卷六四下．王襃傳》：「匈喘膚汗，人極馬倦。」南朝宋．劉義慶《世說新語．言語》：「卿面何以汗？」 |</v>
      </c>
    </row>
    <row r="6654" spans="1:44" hidden="1">
      <c r="A6654" s="1" t="s">
        <v>11848</v>
      </c>
      <c r="C6654" s="1">
        <v>1</v>
      </c>
      <c r="D6654" s="1" t="str">
        <f>"04868"</f>
        <v>04868</v>
      </c>
      <c r="E6654" s="1" t="s">
        <v>24</v>
      </c>
      <c r="F6654" s="1">
        <v>6</v>
      </c>
      <c r="G6654" s="1">
        <v>3</v>
      </c>
      <c r="H6654" s="1">
        <v>0</v>
      </c>
      <c r="I6654" s="1" t="s">
        <v>11844</v>
      </c>
      <c r="K6654" s="1" t="str">
        <f t="shared" si="423"/>
        <v>ㄏ</v>
      </c>
      <c r="L6654" s="1" t="str">
        <f t="shared" si="424"/>
        <v>ㄢ</v>
      </c>
      <c r="N6654" s="3" t="s">
        <v>30574</v>
      </c>
      <c r="O6654" s="3"/>
      <c r="P6654" s="1" t="s">
        <v>20</v>
      </c>
      <c r="R6654" s="1" t="s">
        <v>11845</v>
      </c>
      <c r="V6654" s="1" t="s">
        <v>11849</v>
      </c>
      <c r="AR6654" s="1" t="str">
        <f t="shared" si="425"/>
        <v>| [ㄏㄢˋ](ㄏㄢˋ.md) | [扞](扞.md) |  | hàn | [動]
1.保衛。同「捍」。《書經．文侯之命》：「汝多修，扞我于艱。」漢．孔安國．傳：「扞我於艱難，謂救周誅犬戎。」唐．柳宗元〈封建論〉：「合為朝覲會同，離為守臣扞城。」
2.抵禦。同「捍」。《呂氏春秋．恃君覽．恃君》：「凡人之性，爪牙不足以自守衛，肌膚不足以扞寒暑。」漢．高誘．注：「扞，禦也。」
3.違反。《史記．卷一二四．游俠傳．序》：「雖時扞當世之文罔，然其私義廉絜退讓，有足稱者。」元．無名氏《硃砂擔》第三折：「檢生死輪迴案，是誰人敢把這天條扞。」
[名]
古代射手保護手臂的皮製袖套。《漢書．卷九〇．酷吏傳．尹賞傳》：「而鮮衣凶服被鎧扞兵者，悉籍記之。」唐．顏師古．注：「扞，臂衣也。」 |</v>
      </c>
    </row>
    <row r="6655" spans="1:44" hidden="1">
      <c r="A6655" s="1" t="s">
        <v>11850</v>
      </c>
      <c r="C6655" s="1">
        <v>1</v>
      </c>
      <c r="D6655" s="1" t="str">
        <f>"04869"</f>
        <v>04869</v>
      </c>
      <c r="E6655" s="1" t="s">
        <v>198</v>
      </c>
      <c r="F6655" s="1">
        <v>6</v>
      </c>
      <c r="G6655" s="1">
        <v>3</v>
      </c>
      <c r="H6655" s="1">
        <v>2</v>
      </c>
      <c r="I6655" s="1" t="s">
        <v>11844</v>
      </c>
      <c r="K6655" s="1" t="str">
        <f t="shared" si="423"/>
        <v>ㄏ</v>
      </c>
      <c r="L6655" s="1" t="str">
        <f t="shared" si="424"/>
        <v>ㄢ</v>
      </c>
      <c r="N6655" s="3" t="s">
        <v>30574</v>
      </c>
      <c r="O6655" s="3"/>
      <c r="P6655" s="1" t="s">
        <v>110</v>
      </c>
      <c r="R6655" s="1" t="s">
        <v>11845</v>
      </c>
      <c r="V6655" s="1" t="s">
        <v>111</v>
      </c>
      <c r="W6655" s="1" t="s">
        <v>11851</v>
      </c>
      <c r="AR6655" s="1" t="str">
        <f t="shared" si="425"/>
        <v>| [ㄏㄢˋ](ㄏㄢˋ.md) | [犴](犴.md) |  | hàn | (一)之又音。 |</v>
      </c>
    </row>
    <row r="6656" spans="1:44" hidden="1">
      <c r="A6656" s="1" t="s">
        <v>11852</v>
      </c>
      <c r="C6656" s="1">
        <v>1</v>
      </c>
      <c r="D6656" s="1" t="str">
        <f>"04870"</f>
        <v>04870</v>
      </c>
      <c r="E6656" s="1" t="s">
        <v>646</v>
      </c>
      <c r="F6656" s="1">
        <v>7</v>
      </c>
      <c r="G6656" s="1">
        <v>3</v>
      </c>
      <c r="H6656" s="1">
        <v>0</v>
      </c>
      <c r="I6656" s="1" t="s">
        <v>11844</v>
      </c>
      <c r="K6656" s="1" t="str">
        <f t="shared" si="423"/>
        <v>ㄏ</v>
      </c>
      <c r="L6656" s="1" t="str">
        <f t="shared" si="424"/>
        <v>ㄢ</v>
      </c>
      <c r="N6656" s="3" t="s">
        <v>30574</v>
      </c>
      <c r="O6656" s="3"/>
      <c r="P6656" s="1" t="s">
        <v>20</v>
      </c>
      <c r="R6656" s="1" t="s">
        <v>11845</v>
      </c>
      <c r="V6656" s="1" t="s">
        <v>11853</v>
      </c>
      <c r="AR6656" s="1" t="str">
        <f t="shared" si="425"/>
        <v>| [ㄏㄢˋ](ㄏㄢˋ.md) | [旱](旱.md) |  | hàn | [名]
長久不下雨的情形。與「澇」相對。《字彙．日部》：「旱，亢陽不雨。」如：「防旱」、「抗旱」。漢．鼂錯〈論貴粟疏〉：「堯禹有九年之水，湯有七有之旱。」
[形]
1.乾的、缺水的。如：「氣候乾旱」。唐．來鵠〈雲〉詩：「無限旱苗枯欲盡，悠悠閒處作奇峰。」
2.屬陸地交通的。《儒林外史》第八回：「真乃是慌不擇路，趕了幾日旱路，又搭船走。」 |</v>
      </c>
    </row>
    <row r="6657" spans="1:44" hidden="1">
      <c r="A6657" s="1" t="s">
        <v>11854</v>
      </c>
      <c r="C6657" s="1">
        <v>1</v>
      </c>
      <c r="D6657" s="1" t="str">
        <f>"04871"</f>
        <v>04871</v>
      </c>
      <c r="E6657" s="1" t="s">
        <v>250</v>
      </c>
      <c r="F6657" s="1">
        <v>10</v>
      </c>
      <c r="G6657" s="1">
        <v>7</v>
      </c>
      <c r="H6657" s="1">
        <v>0</v>
      </c>
      <c r="I6657" s="1" t="s">
        <v>11844</v>
      </c>
      <c r="K6657" s="1" t="str">
        <f t="shared" ref="K6657:K6720" si="426">LEFT(I6657, 1)</f>
        <v>ㄏ</v>
      </c>
      <c r="L6657" s="1" t="str">
        <f t="shared" ref="L6657:L6720" si="427">MID(I6657, 2, 1)</f>
        <v>ㄢ</v>
      </c>
      <c r="N6657" s="3" t="s">
        <v>30574</v>
      </c>
      <c r="O6657" s="3"/>
      <c r="P6657" s="1" t="s">
        <v>20</v>
      </c>
      <c r="R6657" s="1" t="s">
        <v>11845</v>
      </c>
      <c r="V6657" s="1" t="s">
        <v>11855</v>
      </c>
      <c r="AR6657" s="1" t="str">
        <f t="shared" si="425"/>
        <v>| [ㄏㄢˋ](ㄏㄢˋ.md) | [悍](悍.md) |  | hàn | [形]_x000D_
1.勇猛、勇敢。《說文解字．心部》：「悍，勇也。」《史記．卷一二四．游俠列傳．郭解》：「解為人短小精悍，不飲酒。」《後漢書．卷七四下．袁紹劉表傳．劉表》：「及臨場決敵，則悍夫爭命；深籌高議，則智士傾心。」_x000D_
2.凶暴不講理。如：「悍婦」、「悍賊」。《韓非子．說林下》：「有與悍者鄰，欲賣宅而避之。」《聊齋志異．卷六．馬介甫》：「妻尹氏奇悍，少迕之，輒以鞭撻從事。」_x000D_
3.強勁、猛烈。《淮南子．兵略》：「故水激則悍，矢激則遠。」《史記．卷一〇五．扁鵲倉公列傳．倉公》：「陽疾處內，陰形應外者，不加悍藥及鑱石。」_x000D_
4.睜大的、突出的。晉．潘岳〈射雉賦〉：「奮勁骹以角槎，瞵悍目以旁睞。」_x000D_
[名]_x000D_
凶惡、殘暴的人或事。如：「馴悍」。《荀子．王制》：「抃急禁悍，防淫除邪。」 |</v>
      </c>
    </row>
    <row r="6658" spans="1:44" hidden="1">
      <c r="A6658" s="1" t="s">
        <v>11856</v>
      </c>
      <c r="C6658" s="1">
        <v>1</v>
      </c>
      <c r="D6658" s="1" t="str">
        <f>"04872"</f>
        <v>04872</v>
      </c>
      <c r="E6658" s="1" t="s">
        <v>24</v>
      </c>
      <c r="F6658" s="1">
        <v>10</v>
      </c>
      <c r="G6658" s="1">
        <v>7</v>
      </c>
      <c r="H6658" s="1">
        <v>0</v>
      </c>
      <c r="I6658" s="1" t="s">
        <v>11844</v>
      </c>
      <c r="K6658" s="1" t="str">
        <f t="shared" si="426"/>
        <v>ㄏ</v>
      </c>
      <c r="L6658" s="1" t="str">
        <f t="shared" si="427"/>
        <v>ㄢ</v>
      </c>
      <c r="N6658" s="3" t="s">
        <v>30574</v>
      </c>
      <c r="O6658" s="3"/>
      <c r="P6658" s="1" t="s">
        <v>20</v>
      </c>
      <c r="R6658" s="1" t="s">
        <v>11845</v>
      </c>
      <c r="V6658" s="1" t="s">
        <v>11857</v>
      </c>
      <c r="AR6658" s="1" t="str">
        <f t="shared" si="425"/>
        <v>| [ㄏㄢˋ](ㄏㄢˋ.md) | [捍](捍.md) |  | hàn | [動]
1.保衛、護衛。《集韻．去聲．翰韻》：「扞，衛也。或作捍。」如：「捍衛國土」。唐．韓愈〈張中丞傳後敘〉：「守一城，捍天下，以千百就盡之卒，戰百萬日滋之師。」
2.阻止、抵禦。《禮記．祭法》：「能禦大菑而祀之，能捍大患而祀之。」
3.違抗。如：「捍命不降」。《北齊書．卷四七．酷吏傳．宋遊道傳》：「對捍詔使，無人臣之禮，大不敬者死。」
[名]
古時射手左臂上所帶的皮製袖套，具有保護作用。清．王念孫《廣雅疏證．卷八上．釋器》：「拾、捍、韝，韘也。」疏證：「拾、捍、韝，皆謂遂也，著於左臂所以扞弦也。」
[形]
凶暴、勇猛。通「悍」。《韓非子．五蠹》：「無私劍之捍，從斬首為勇。」《史記．卷一二九．貨殖傳》：「上谷至遼東……大與趙、代俗相類，而民雕捍少慮，有魚鹽棗栗之饒。」唐．司馬貞．索隱：「人雕捍，言如雕性之捷捍也。」 |</v>
      </c>
    </row>
    <row r="6659" spans="1:44" hidden="1">
      <c r="A6659" s="1" t="s">
        <v>11858</v>
      </c>
      <c r="C6659" s="1">
        <v>1</v>
      </c>
      <c r="D6659" s="1" t="str">
        <f>"04873"</f>
        <v>04873</v>
      </c>
      <c r="E6659" s="1" t="s">
        <v>537</v>
      </c>
      <c r="F6659" s="1">
        <v>10</v>
      </c>
      <c r="G6659" s="1">
        <v>3</v>
      </c>
      <c r="H6659" s="1">
        <v>2</v>
      </c>
      <c r="I6659" s="1" t="s">
        <v>11844</v>
      </c>
      <c r="K6659" s="1" t="str">
        <f t="shared" si="426"/>
        <v>ㄏ</v>
      </c>
      <c r="L6659" s="1" t="str">
        <f t="shared" si="427"/>
        <v>ㄢ</v>
      </c>
      <c r="N6659" s="3" t="s">
        <v>30574</v>
      </c>
      <c r="O6659" s="3"/>
      <c r="P6659" s="1" t="s">
        <v>110</v>
      </c>
      <c r="R6659" s="1" t="s">
        <v>11845</v>
      </c>
      <c r="V6659" s="1" t="s">
        <v>111</v>
      </c>
      <c r="W6659" s="1" t="s">
        <v>11859</v>
      </c>
      <c r="AR6659" s="1" t="str">
        <f t="shared" ref="AR6659:AR6722" si="428">"| ["&amp;I6659&amp;"]("&amp;I6659&amp;".md) | ["&amp;A6659&amp;"]("&amp;A6659&amp;".md) | "&amp;" | "&amp;R6659&amp;" | "&amp;V6659&amp;" |"</f>
        <v>| [ㄏㄢˋ](ㄏㄢˋ.md) | [豻](豻.md) |  | hàn | (一)之又音。 |</v>
      </c>
    </row>
    <row r="6660" spans="1:44" hidden="1">
      <c r="A6660" s="1" t="s">
        <v>11860</v>
      </c>
      <c r="C6660" s="1">
        <v>1</v>
      </c>
      <c r="D6660" s="1" t="str">
        <f>"04874"</f>
        <v>04874</v>
      </c>
      <c r="E6660" s="1" t="s">
        <v>336</v>
      </c>
      <c r="F6660" s="1">
        <v>11</v>
      </c>
      <c r="G6660" s="1">
        <v>7</v>
      </c>
      <c r="H6660" s="1">
        <v>0</v>
      </c>
      <c r="I6660" s="1" t="s">
        <v>11844</v>
      </c>
      <c r="K6660" s="1" t="str">
        <f t="shared" si="426"/>
        <v>ㄏ</v>
      </c>
      <c r="L6660" s="1" t="str">
        <f t="shared" si="427"/>
        <v>ㄢ</v>
      </c>
      <c r="N6660" s="3" t="s">
        <v>30574</v>
      </c>
      <c r="O6660" s="3"/>
      <c r="P6660" s="1" t="s">
        <v>20</v>
      </c>
      <c r="R6660" s="1" t="s">
        <v>11845</v>
      </c>
      <c r="V6660" s="1" t="s">
        <v>11861</v>
      </c>
      <c r="AR6660" s="1" t="str">
        <f t="shared" si="428"/>
        <v>| [ㄏㄢˋ](ㄏㄢˋ.md) | [焊](焊.md) |  | hàn | [形]
乾枯、乾涸。同「熯」、「暵」。《集韻．上聲．旱韻》：「暵，乾也。或作熯、焊。」
[動]
通「銲」。 |</v>
      </c>
    </row>
    <row r="6661" spans="1:44" hidden="1">
      <c r="A6661" s="1" t="s">
        <v>11862</v>
      </c>
      <c r="C6661" s="1">
        <v>1</v>
      </c>
      <c r="D6661" s="1" t="str">
        <f>"04875"</f>
        <v>04875</v>
      </c>
      <c r="E6661" s="1" t="s">
        <v>709</v>
      </c>
      <c r="F6661" s="1">
        <v>11</v>
      </c>
      <c r="G6661" s="1">
        <v>3</v>
      </c>
      <c r="H6661" s="1">
        <v>0</v>
      </c>
      <c r="I6661" s="1" t="s">
        <v>11844</v>
      </c>
      <c r="K6661" s="1" t="str">
        <f t="shared" si="426"/>
        <v>ㄏ</v>
      </c>
      <c r="L6661" s="1" t="str">
        <f t="shared" si="427"/>
        <v>ㄢ</v>
      </c>
      <c r="N6661" s="3" t="s">
        <v>30574</v>
      </c>
      <c r="O6661" s="3"/>
      <c r="P6661" s="1" t="s">
        <v>20</v>
      </c>
      <c r="R6661" s="1" t="s">
        <v>11845</v>
      </c>
      <c r="V6661" s="1" t="s">
        <v>11863</v>
      </c>
      <c r="AR6661" s="1" t="str">
        <f t="shared" si="428"/>
        <v>| [ㄏㄢˋ](ㄏㄢˋ.md) | [閈](閈.md) |  | hàn | [名]
1.里巷的門。亦泛指門。《說文解字．門部》：「閈，閭也。汝南平輿里門曰閈。」《左傳．襄公三十一年》：「高其閈閎，厚其牆垣。」唐．白居易〈和微之詩．和櫛沐寄道友〉詩：「始出里北閈，稍轉市西圜。」
2.鄉里、故鄉。《漢書．卷一〇〇．敘傳下》：「綰自同閈，鎮我北疆。」顏師古注引應劭曰：「盧綰與高祖同里。」《新唐書．卷一九八．儒學傳上．陸德明傳》：「陳亡，歸鄉閈。」
3.圍牆、牆垣。《文選．張衡．西京賦》：「閈庭詭異，門千戶萬。」李善注引〈蒼頡篇〉曰：「閈，垣也。」
[動]
1.居住。《宋書．卷七七．沈慶之傳》：「悉移親戚中表於婁湖，列門同閈焉。」
2.防禦。通「扞」。唐．韓愈〈汴州東西水門記〉：「乃作水門為邦之郛，以固風氣，以閈寇偷。」 |</v>
      </c>
    </row>
    <row r="6662" spans="1:44" hidden="1">
      <c r="A6662" s="1" t="s">
        <v>11864</v>
      </c>
      <c r="C6662" s="1">
        <v>1</v>
      </c>
      <c r="D6662" s="1" t="str">
        <f>"04876"</f>
        <v>04876</v>
      </c>
      <c r="E6662" s="1" t="s">
        <v>1015</v>
      </c>
      <c r="F6662" s="1">
        <v>12</v>
      </c>
      <c r="G6662" s="1">
        <v>7</v>
      </c>
      <c r="H6662" s="1">
        <v>0</v>
      </c>
      <c r="I6662" s="1" t="s">
        <v>11844</v>
      </c>
      <c r="K6662" s="1" t="str">
        <f t="shared" si="426"/>
        <v>ㄏ</v>
      </c>
      <c r="L6662" s="1" t="str">
        <f t="shared" si="427"/>
        <v>ㄢ</v>
      </c>
      <c r="N6662" s="3" t="s">
        <v>30574</v>
      </c>
      <c r="O6662" s="3"/>
      <c r="P6662" s="1" t="s">
        <v>20</v>
      </c>
      <c r="R6662" s="1" t="s">
        <v>11845</v>
      </c>
      <c r="V6662" s="1" t="s">
        <v>11865</v>
      </c>
      <c r="AR6662" s="1" t="str">
        <f t="shared" si="428"/>
        <v>| [ㄏㄢˋ](ㄏㄢˋ.md) | [睅](睅.md) |  | hàn | [動]
眼珠突出。《左傳．宣公二年》：「睅其目，皤其腹，棄甲而復。」晉．杜預．注：「睅，出目。」唐．孔穎達．正義：「目大則出見，故云出目也。」
[副]
眼睛大而突出。唐．韓愈〈祭鱷魚文〉：「刺史受天子命，守此土，治此民，而鱷魚睅然不安谿潭。」 |</v>
      </c>
    </row>
    <row r="6663" spans="1:44" hidden="1">
      <c r="A6663" s="1" t="s">
        <v>11866</v>
      </c>
      <c r="C6663" s="1">
        <v>1</v>
      </c>
      <c r="D6663" s="1" t="str">
        <f>"04877"</f>
        <v>04877</v>
      </c>
      <c r="E6663" s="1" t="s">
        <v>319</v>
      </c>
      <c r="F6663" s="1">
        <v>13</v>
      </c>
      <c r="G6663" s="1">
        <v>3</v>
      </c>
      <c r="H6663" s="1">
        <v>0</v>
      </c>
      <c r="I6663" s="1" t="s">
        <v>11844</v>
      </c>
      <c r="K6663" s="1" t="str">
        <f t="shared" si="426"/>
        <v>ㄏ</v>
      </c>
      <c r="L6663" s="1" t="str">
        <f t="shared" si="427"/>
        <v>ㄢ</v>
      </c>
      <c r="N6663" s="3" t="s">
        <v>30574</v>
      </c>
      <c r="O6663" s="3"/>
      <c r="P6663" s="1" t="s">
        <v>20</v>
      </c>
      <c r="R6663" s="1" t="s">
        <v>11845</v>
      </c>
      <c r="V6663" s="1" t="s">
        <v>11867</v>
      </c>
      <c r="AR6663" s="1" t="str">
        <f t="shared" si="428"/>
        <v>| [ㄏㄢˋ](ㄏㄢˋ.md) | [馯](馯.md) |  | hàn | 同「駻」。 |</v>
      </c>
    </row>
    <row r="6664" spans="1:44" hidden="1">
      <c r="A6664" s="1" t="s">
        <v>11868</v>
      </c>
      <c r="C6664" s="1">
        <v>1</v>
      </c>
      <c r="D6664" s="1" t="str">
        <f>"04878"</f>
        <v>04878</v>
      </c>
      <c r="E6664" s="1" t="s">
        <v>55</v>
      </c>
      <c r="F6664" s="1">
        <v>15</v>
      </c>
      <c r="G6664" s="1">
        <v>7</v>
      </c>
      <c r="H6664" s="1">
        <v>0</v>
      </c>
      <c r="I6664" s="1" t="s">
        <v>11844</v>
      </c>
      <c r="K6664" s="1" t="str">
        <f t="shared" si="426"/>
        <v>ㄏ</v>
      </c>
      <c r="L6664" s="1" t="str">
        <f t="shared" si="427"/>
        <v>ㄢ</v>
      </c>
      <c r="N6664" s="3" t="s">
        <v>30574</v>
      </c>
      <c r="O6664" s="3"/>
      <c r="P6664" s="1" t="s">
        <v>20</v>
      </c>
      <c r="R6664" s="1" t="s">
        <v>11845</v>
      </c>
      <c r="V6664" s="1" t="s">
        <v>11869</v>
      </c>
      <c r="AR6664" s="1" t="str">
        <f t="shared" si="428"/>
        <v>| [ㄏㄢˋ](ㄏㄢˋ.md) | [銲](銲.md) |  | hàn | [動]
將玻璃、金屬等局部加熱、熔化，或以熔點較低的玻璃、金屬等修補接縫處，使彼此相連接，稱為「銲」。如：「銅銲」、「電銲」。 |</v>
      </c>
    </row>
    <row r="6665" spans="1:44" hidden="1">
      <c r="A6665" s="1" t="s">
        <v>11870</v>
      </c>
      <c r="C6665" s="1">
        <v>1</v>
      </c>
      <c r="D6665" s="1" t="str">
        <f>"04879"</f>
        <v>04879</v>
      </c>
      <c r="E6665" s="1" t="s">
        <v>319</v>
      </c>
      <c r="F6665" s="1">
        <v>17</v>
      </c>
      <c r="G6665" s="1">
        <v>7</v>
      </c>
      <c r="H6665" s="1">
        <v>0</v>
      </c>
      <c r="I6665" s="1" t="s">
        <v>11844</v>
      </c>
      <c r="K6665" s="1" t="str">
        <f t="shared" si="426"/>
        <v>ㄏ</v>
      </c>
      <c r="L6665" s="1" t="str">
        <f t="shared" si="427"/>
        <v>ㄢ</v>
      </c>
      <c r="N6665" s="3" t="s">
        <v>30574</v>
      </c>
      <c r="O6665" s="3"/>
      <c r="P6665" s="1" t="s">
        <v>20</v>
      </c>
      <c r="R6665" s="1" t="s">
        <v>11845</v>
      </c>
      <c r="V6665" s="1" t="s">
        <v>11871</v>
      </c>
      <c r="AR6665" s="1" t="str">
        <f t="shared" si="428"/>
        <v>| [ㄏㄢˋ](ㄏㄢˋ.md) | [駻](駻.md) |  | hàn | [形]
馬凶悍不溫馴。《說文解字．馬部》：「駻，馬突也。」《韓非子．五蠹》：「如欲以寬緩之政，治急世之民，猶無轡策而御駻馬，此不知之患也。」
[名]
不馴服而脫韁突奔的馬。《新唐書．卷一二八．王志愔傳》：「故捨銜策于奔踶，則王良不能御駻。」 |</v>
      </c>
    </row>
    <row r="6666" spans="1:44" hidden="1">
      <c r="A6666" s="1" t="s">
        <v>11810</v>
      </c>
      <c r="C6666" s="1">
        <v>1</v>
      </c>
      <c r="D6666" s="1" t="str">
        <f>"04880"</f>
        <v>04880</v>
      </c>
      <c r="E6666" s="1" t="s">
        <v>28</v>
      </c>
      <c r="F6666" s="1">
        <v>7</v>
      </c>
      <c r="G6666" s="1">
        <v>4</v>
      </c>
      <c r="H6666" s="1">
        <v>2</v>
      </c>
      <c r="I6666" s="1" t="s">
        <v>11844</v>
      </c>
      <c r="K6666" s="1" t="str">
        <f t="shared" si="426"/>
        <v>ㄏ</v>
      </c>
      <c r="L6666" s="1" t="str">
        <f t="shared" si="427"/>
        <v>ㄢ</v>
      </c>
      <c r="N6666" s="3" t="s">
        <v>30574</v>
      </c>
      <c r="O6666" s="3"/>
      <c r="P6666" s="1" t="s">
        <v>20</v>
      </c>
      <c r="R6666" s="1" t="s">
        <v>11845</v>
      </c>
      <c r="V6666" s="1" t="s">
        <v>11872</v>
      </c>
      <c r="W6666" s="1" t="s">
        <v>11873</v>
      </c>
      <c r="AR6666" s="1" t="str">
        <f t="shared" si="428"/>
        <v>| [ㄏㄢˋ](ㄏㄢˋ.md) | [含](含.md) |  | hàn | [名]
古代喪禮中，置入亡者口中的物品，種類依其身分階級而有別。通「琀」。《公羊傳．文公五年》：「含者何？口實也。」漢．何休．解詁：「緣生以事死，不忍虛其口。天子以珠，諸侯以玉，大夫以碧，士以貝，春秋之制也。」《戰國策．趙策三》：「鄒、魯之臣，生不得事養，死則不得飯含。」《廣韻．去聲．勘韻》：「琀，送死口中玉。亦作含。」
[動]
古代喪葬禮俗，以珠玉或米貝放入亡者口中，稱為「含」。《左傳．襄公十九年》：「二月甲寅，（荀偃）卒，而視，不可含。」《禮記．檀弓下》：「邾婁考公之喪，徐君使容居來弔，含。」 |</v>
      </c>
    </row>
    <row r="6667" spans="1:44" hidden="1">
      <c r="A6667" s="1" t="s">
        <v>11874</v>
      </c>
      <c r="C6667" s="1">
        <v>1</v>
      </c>
      <c r="D6667" s="1" t="str">
        <f>"04881"</f>
        <v>04881</v>
      </c>
      <c r="E6667" s="1" t="s">
        <v>142</v>
      </c>
      <c r="F6667" s="1">
        <v>11</v>
      </c>
      <c r="G6667" s="1">
        <v>7</v>
      </c>
      <c r="H6667" s="1">
        <v>0</v>
      </c>
      <c r="I6667" s="1" t="s">
        <v>11844</v>
      </c>
      <c r="K6667" s="1" t="str">
        <f t="shared" si="426"/>
        <v>ㄏ</v>
      </c>
      <c r="L6667" s="1" t="str">
        <f t="shared" si="427"/>
        <v>ㄢ</v>
      </c>
      <c r="N6667" s="3" t="s">
        <v>30574</v>
      </c>
      <c r="O6667" s="3"/>
      <c r="P6667" s="1" t="s">
        <v>20</v>
      </c>
      <c r="R6667" s="1" t="s">
        <v>11845</v>
      </c>
      <c r="V6667" s="1" t="s">
        <v>11875</v>
      </c>
      <c r="AR6667" s="1" t="str">
        <f t="shared" si="428"/>
        <v>| [ㄏㄢˋ](ㄏㄢˋ.md) | [琀](琀.md) |  | hàn | [名]
古代置於死者口中的玉、貝等物。同「含」(二)。《說文解字．玉部》：「琀，送死口中玉也。」清．徐珂《清稗類鈔．鑒賞類．陳原心藏古玉八十一事》：「入土重出之玉，世謂之舊玉。更有古時含殮之器，謂之琀玉。」 |</v>
      </c>
    </row>
    <row r="6668" spans="1:44" hidden="1">
      <c r="A6668" s="1" t="s">
        <v>11876</v>
      </c>
      <c r="C6668" s="1">
        <v>1</v>
      </c>
      <c r="D6668" s="1" t="str">
        <f>"04882"</f>
        <v>04882</v>
      </c>
      <c r="E6668" s="1" t="s">
        <v>684</v>
      </c>
      <c r="F6668" s="1">
        <v>16</v>
      </c>
      <c r="G6668" s="1">
        <v>7</v>
      </c>
      <c r="H6668" s="1">
        <v>0</v>
      </c>
      <c r="I6668" s="1" t="s">
        <v>11844</v>
      </c>
      <c r="K6668" s="1" t="str">
        <f t="shared" si="426"/>
        <v>ㄏ</v>
      </c>
      <c r="L6668" s="1" t="str">
        <f t="shared" si="427"/>
        <v>ㄢ</v>
      </c>
      <c r="N6668" s="3" t="s">
        <v>30574</v>
      </c>
      <c r="O6668" s="3"/>
      <c r="P6668" s="1" t="s">
        <v>20</v>
      </c>
      <c r="R6668" s="1" t="s">
        <v>11845</v>
      </c>
      <c r="V6668" s="1" t="s">
        <v>11877</v>
      </c>
      <c r="AR6668" s="1" t="str">
        <f t="shared" si="428"/>
        <v>| [ㄏㄢˋ](ㄏㄢˋ.md) | [頷](頷.md) |  | hàn | [名]
下巴。《後漢書．卷四七．班超傳》：「生燕頷虎頸，飛而食肉，此萬里侯相也。」唐．韓愈〈寄崔二十六立之〉詩：「連年收科第，若摘頷底髭。」
[動]
微微點頭，表示招呼、應允或嘉許的意思。宋．蘇軾〈寄題清溪寺〉詩：「遺宮若有神，頷首然吾言。」清．蔣士銓〈鳴機夜課圖記〉：「先府君每決大獄，母輒攜兒立席前，曰：『幸以此兒為念！』府君數頷之。」 |</v>
      </c>
    </row>
    <row r="6669" spans="1:44" hidden="1">
      <c r="A6669" s="1" t="s">
        <v>11507</v>
      </c>
      <c r="C6669" s="1">
        <v>1</v>
      </c>
      <c r="D6669" s="1" t="str">
        <f>"04883"</f>
        <v>04883</v>
      </c>
      <c r="E6669" s="1" t="s">
        <v>28</v>
      </c>
      <c r="F6669" s="1">
        <v>8</v>
      </c>
      <c r="G6669" s="1">
        <v>5</v>
      </c>
      <c r="H6669" s="1">
        <v>5</v>
      </c>
      <c r="I6669" s="1" t="s">
        <v>11844</v>
      </c>
      <c r="K6669" s="1" t="str">
        <f t="shared" si="426"/>
        <v>ㄏ</v>
      </c>
      <c r="L6669" s="1" t="str">
        <f t="shared" si="427"/>
        <v>ㄢ</v>
      </c>
      <c r="N6669" s="3" t="s">
        <v>30574</v>
      </c>
      <c r="O6669" s="3"/>
      <c r="P6669" s="1" t="s">
        <v>20</v>
      </c>
      <c r="R6669" s="1" t="s">
        <v>11845</v>
      </c>
      <c r="V6669" s="1" t="s">
        <v>11878</v>
      </c>
      <c r="W6669" s="1" t="s">
        <v>11879</v>
      </c>
      <c r="AR6669" s="1" t="str">
        <f t="shared" si="428"/>
        <v>| [ㄏㄢˋ](ㄏㄢˋ.md) | [和](和.md) |  | hàn | (一)[連]之語音。 |</v>
      </c>
    </row>
    <row r="6670" spans="1:44" hidden="1">
      <c r="A6670" s="1" t="s">
        <v>11880</v>
      </c>
      <c r="C6670" s="1">
        <v>1</v>
      </c>
      <c r="D6670" s="1" t="str">
        <f>"04884"</f>
        <v>04884</v>
      </c>
      <c r="E6670" s="1" t="s">
        <v>37</v>
      </c>
      <c r="F6670" s="1">
        <v>12</v>
      </c>
      <c r="G6670" s="1">
        <v>8</v>
      </c>
      <c r="H6670" s="1">
        <v>0</v>
      </c>
      <c r="I6670" s="1" t="s">
        <v>11844</v>
      </c>
      <c r="K6670" s="1" t="str">
        <f t="shared" si="426"/>
        <v>ㄏ</v>
      </c>
      <c r="L6670" s="1" t="str">
        <f t="shared" si="427"/>
        <v>ㄢ</v>
      </c>
      <c r="N6670" s="3" t="s">
        <v>30574</v>
      </c>
      <c r="O6670" s="3"/>
      <c r="P6670" s="1" t="s">
        <v>20</v>
      </c>
      <c r="R6670" s="1" t="s">
        <v>11845</v>
      </c>
      <c r="V6670" s="1" t="s">
        <v>4994</v>
      </c>
      <c r="AR6670" s="1" t="str">
        <f t="shared" si="428"/>
        <v>| [ㄏㄢˋ](ㄏㄢˋ.md) | [菡](菡.md) |  | hàn | 參見「菡萏」條。 |</v>
      </c>
    </row>
    <row r="6671" spans="1:44" hidden="1">
      <c r="A6671" s="1" t="s">
        <v>11881</v>
      </c>
      <c r="C6671" s="1">
        <v>1</v>
      </c>
      <c r="D6671" s="1" t="str">
        <f>"04885"</f>
        <v>04885</v>
      </c>
      <c r="E6671" s="1" t="s">
        <v>684</v>
      </c>
      <c r="F6671" s="1">
        <v>17</v>
      </c>
      <c r="G6671" s="1">
        <v>8</v>
      </c>
      <c r="H6671" s="1">
        <v>0</v>
      </c>
      <c r="I6671" s="1" t="s">
        <v>11844</v>
      </c>
      <c r="K6671" s="1" t="str">
        <f t="shared" si="426"/>
        <v>ㄏ</v>
      </c>
      <c r="L6671" s="1" t="str">
        <f t="shared" si="427"/>
        <v>ㄢ</v>
      </c>
      <c r="N6671" s="3" t="s">
        <v>30574</v>
      </c>
      <c r="O6671" s="3"/>
      <c r="P6671" s="1" t="s">
        <v>20</v>
      </c>
      <c r="R6671" s="1" t="s">
        <v>11845</v>
      </c>
      <c r="V6671" s="1" t="s">
        <v>11882</v>
      </c>
      <c r="AR6671" s="1" t="str">
        <f t="shared" si="428"/>
        <v>| [ㄏㄢˋ](ㄏㄢˋ.md) | [顄](顄.md) |  | hàn | [名]
下巴。《廣韻．上聲．感韻》：「顄，頤也。」《漢書．卷九九．王莽傳中》：「莽為人侈口蹷顄，露眼赤精，大聲而嘶。」 |</v>
      </c>
    </row>
    <row r="6672" spans="1:44" hidden="1">
      <c r="A6672" s="1" t="s">
        <v>9907</v>
      </c>
      <c r="C6672" s="1">
        <v>1</v>
      </c>
      <c r="D6672" s="1" t="str">
        <f>"04886"</f>
        <v>04886</v>
      </c>
      <c r="E6672" s="1" t="s">
        <v>250</v>
      </c>
      <c r="F6672" s="1">
        <v>13</v>
      </c>
      <c r="G6672" s="1">
        <v>9</v>
      </c>
      <c r="H6672" s="1">
        <v>2</v>
      </c>
      <c r="I6672" s="1" t="s">
        <v>11844</v>
      </c>
      <c r="K6672" s="1" t="str">
        <f t="shared" si="426"/>
        <v>ㄏ</v>
      </c>
      <c r="L6672" s="1" t="str">
        <f t="shared" si="427"/>
        <v>ㄢ</v>
      </c>
      <c r="N6672" s="3" t="s">
        <v>30574</v>
      </c>
      <c r="O6672" s="3"/>
      <c r="P6672" s="1" t="s">
        <v>20</v>
      </c>
      <c r="R6672" s="1" t="s">
        <v>11845</v>
      </c>
      <c r="V6672" s="1" t="s">
        <v>11883</v>
      </c>
      <c r="W6672" s="1" t="s">
        <v>11884</v>
      </c>
      <c r="AR6672" s="1" t="str">
        <f t="shared" si="428"/>
        <v>| [ㄏㄢˋ](ㄏㄢˋ.md) | [感](感.md) |  | hàn | [名]
心中不完滿的感覺。通「憾」。《史記．卷三一．吳太伯世家》：「見舞象箾、南籥者，曰：『美哉！猶有感。』」
[動]
振動、搖動。通「撼」。《詩經．召南．野有死麕》：「舒而脫脫兮，無感我帨兮，無使尨也吠。」《漢書．卷九七．外戚傳下．孝成班倢伃傳》：「廣室陰兮帷幄暗，房櫳虛兮風泠泠。感帷裳兮發紅羅，紛綷縩兮紈素聲。」 |</v>
      </c>
    </row>
    <row r="6673" spans="1:44" hidden="1">
      <c r="A6673" s="1" t="s">
        <v>11885</v>
      </c>
      <c r="C6673" s="1">
        <v>1</v>
      </c>
      <c r="D6673" s="1" t="str">
        <f>"04887"</f>
        <v>04887</v>
      </c>
      <c r="E6673" s="1" t="s">
        <v>250</v>
      </c>
      <c r="F6673" s="1">
        <v>16</v>
      </c>
      <c r="G6673" s="1">
        <v>13</v>
      </c>
      <c r="H6673" s="1">
        <v>0</v>
      </c>
      <c r="I6673" s="1" t="s">
        <v>11844</v>
      </c>
      <c r="K6673" s="1" t="str">
        <f t="shared" si="426"/>
        <v>ㄏ</v>
      </c>
      <c r="L6673" s="1" t="str">
        <f t="shared" si="427"/>
        <v>ㄢ</v>
      </c>
      <c r="N6673" s="3" t="s">
        <v>30574</v>
      </c>
      <c r="O6673" s="3"/>
      <c r="P6673" s="1" t="s">
        <v>20</v>
      </c>
      <c r="R6673" s="1" t="s">
        <v>11845</v>
      </c>
      <c r="V6673" s="1" t="s">
        <v>11886</v>
      </c>
      <c r="AR6673" s="1" t="str">
        <f t="shared" si="428"/>
        <v>| [ㄏㄢˋ](ㄏㄢˋ.md) | [憾](憾.md) |  | hàn | [動]
怨恨。《玉篇．心部》：「憾，恨也。」南朝宋．劉義慶《世說新語．德行》：「既還，知母憾之不已，因跪前請死。」《新唐書．卷一一七．列傳．劉禕之》：「子翼詈人，人都不憾。」
[名]
心中的怨恨或不完滿的感覺。如：「缺憾」、「遺憾」、「抱憾而終」。《左傳．襄公二十九年》：「美哉！猶有憾。」《孟子．梁惠王上》：「是使民養生喪死無憾也。」
[形]
悔恨的、不滿意的。如：「憾事」。 |</v>
      </c>
    </row>
    <row r="6674" spans="1:44" hidden="1">
      <c r="A6674" s="1" t="s">
        <v>11887</v>
      </c>
      <c r="C6674" s="1">
        <v>1</v>
      </c>
      <c r="D6674" s="1" t="str">
        <f>"04888"</f>
        <v>04888</v>
      </c>
      <c r="E6674" s="1" t="s">
        <v>24</v>
      </c>
      <c r="F6674" s="1">
        <v>16</v>
      </c>
      <c r="G6674" s="1">
        <v>13</v>
      </c>
      <c r="H6674" s="1">
        <v>0</v>
      </c>
      <c r="I6674" s="1" t="s">
        <v>11844</v>
      </c>
      <c r="K6674" s="1" t="str">
        <f t="shared" si="426"/>
        <v>ㄏ</v>
      </c>
      <c r="L6674" s="1" t="str">
        <f t="shared" si="427"/>
        <v>ㄢ</v>
      </c>
      <c r="N6674" s="3" t="s">
        <v>30574</v>
      </c>
      <c r="O6674" s="3"/>
      <c r="P6674" s="1" t="s">
        <v>20</v>
      </c>
      <c r="R6674" s="1" t="s">
        <v>11845</v>
      </c>
      <c r="V6674" s="1" t="s">
        <v>11888</v>
      </c>
      <c r="AR6674" s="1" t="str">
        <f t="shared" si="428"/>
        <v>| [ㄏㄢˋ](ㄏㄢˋ.md) | [撼](撼.md) |  | hàn | [動]
1.搖動。如：「搖撼」、「震撼天地」。唐．韓愈〈調張籍〉詩：「蚍蜉撼大樹，可笑不自量。」《宋史．卷三六五．岳飛傳》：「撼山易，撼岳家軍難。」
2.慫恿、打動。《宋史．卷三四八．徐勣傳》：「蔡京自錢塘召還，過宋見勣，微言撼之曰：『元功遭遇在伯通右，伯通既相笑。』」 |</v>
      </c>
    </row>
    <row r="6675" spans="1:44" hidden="1">
      <c r="A6675" s="1" t="s">
        <v>11889</v>
      </c>
      <c r="C6675" s="1">
        <v>1</v>
      </c>
      <c r="D6675" s="1" t="str">
        <f>"04889"</f>
        <v>04889</v>
      </c>
      <c r="E6675" s="1" t="s">
        <v>129</v>
      </c>
      <c r="F6675" s="1">
        <v>14</v>
      </c>
      <c r="G6675" s="1">
        <v>11</v>
      </c>
      <c r="H6675" s="1">
        <v>0</v>
      </c>
      <c r="I6675" s="1" t="s">
        <v>11844</v>
      </c>
      <c r="K6675" s="1" t="str">
        <f t="shared" si="426"/>
        <v>ㄏ</v>
      </c>
      <c r="L6675" s="1" t="str">
        <f t="shared" si="427"/>
        <v>ㄢ</v>
      </c>
      <c r="N6675" s="3" t="s">
        <v>30574</v>
      </c>
      <c r="O6675" s="3"/>
      <c r="P6675" s="1" t="s">
        <v>20</v>
      </c>
      <c r="R6675" s="1" t="s">
        <v>11845</v>
      </c>
      <c r="V6675" s="1" t="s">
        <v>11890</v>
      </c>
      <c r="AR6675" s="1" t="str">
        <f t="shared" si="428"/>
        <v>| [ㄏㄢˋ](ㄏㄢˋ.md) | [漢](漢.md) |  | hàn | [名]_x000D_
1.中國種族之一。參見「漢族」條。_x000D_
2.漢語的簡稱。如：「英漢辭典」。_x000D_
3.朝代名：(1)參見「漢朝」條。(2)三國之一。參見「蜀漢」條。(3)晉時十六國之一。參見「前趙」條。(4)晉時十六國之一。參見「成漢」條。(5)五代時十國之一。參見「南漢」條。(6)五代之一。參見「後漢」（2）條。(7)五代時十國之一。參見「北漢」條。(8)（西元1360～1363）元末陳友諒所建。順帝至正二十年，陳友諒取代紅巾領袖徐壽輝而稱帝。建都江州，國號漢。最後被朱元璋所滅。_x000D_
4.銀河、天河稱為「漢」。如：「天漢」、「銀漢」、「河漢」。北魏．酈道元《水經注．江水注》：「其翼附群山，並概青雲，更就霄漢，辨其優劣耳。」唐．李白〈月下獨酌〉詩四首之一：「永結無情遊，相期邈雲漢。」_x000D_
5.河川名。大陸地區長江最長的支流。參見「漢水」條。_x000D_
6.大陸地區漢口或武漢的簡稱。如：「京漢鐵路」、「粵漢鐵路」。_x000D_
7.男子的通稱。如：「漢子」、「老漢」、「醉漢」、「硬漢」、「負心漢」、「流浪漢」、「彪形大漢」、「英雄好漢」。_x000D_
8.丈夫、老公。《西遊記》第二三回：「八戒道：『娘，你上覆令愛，不要這等揀漢。』」_x000D_
9.姓。如清代有漢德。 |</v>
      </c>
    </row>
    <row r="6676" spans="1:44" hidden="1">
      <c r="A6676" s="1" t="s">
        <v>11891</v>
      </c>
      <c r="C6676" s="1">
        <v>1</v>
      </c>
      <c r="D6676" s="1" t="str">
        <f>"04890"</f>
        <v>04890</v>
      </c>
      <c r="E6676" s="1" t="s">
        <v>336</v>
      </c>
      <c r="F6676" s="1">
        <v>15</v>
      </c>
      <c r="G6676" s="1">
        <v>11</v>
      </c>
      <c r="H6676" s="1">
        <v>0</v>
      </c>
      <c r="I6676" s="1" t="s">
        <v>11844</v>
      </c>
      <c r="K6676" s="1" t="str">
        <f t="shared" si="426"/>
        <v>ㄏ</v>
      </c>
      <c r="L6676" s="1" t="str">
        <f t="shared" si="427"/>
        <v>ㄢ</v>
      </c>
      <c r="N6676" s="3" t="s">
        <v>30574</v>
      </c>
      <c r="O6676" s="3"/>
      <c r="P6676" s="1" t="s">
        <v>20</v>
      </c>
      <c r="R6676" s="1" t="s">
        <v>11845</v>
      </c>
      <c r="V6676" s="1" t="s">
        <v>11892</v>
      </c>
      <c r="AR6676" s="1" t="str">
        <f t="shared" si="428"/>
        <v>| [ㄏㄢˋ](ㄏㄢˋ.md) | [熯](熯.md) |  | hàn | [形]
乾燥。《說文解字．火部》：「熯，乾貌。」
[動]
1.烘乾、烘烤、使乾燥。《廣韻．去聲．翰韻》：「熯，火乾。」《警世通言．卷五．呂大郎還金完骨肉》：「取出四個餅子，廚房下熯得焦黃。」
2.吳語。指用火隔鍋乾煎食物。如：「熯糰子」、「熯糖糕」、「熯麥餅」。
3.焚燒。如：「熯焚」。漢．王充《論衡．譴告》：「今熯薪燃釜，火猛則湯熱，火微則湯冷。」《西遊記》第三五回：「那怪物著實無情，一連搧了七八扇子，熯天熾地，烈火飛騰。」
4.用熔化的金屬或非金屬等，修補或黏合器物。同「焊」。民國．章太炎《新方言．釋器》：「今人謂以火合金器為熯。金器受火則熔，已合而乾故謂之熯。」 |</v>
      </c>
    </row>
    <row r="6677" spans="1:44" hidden="1">
      <c r="A6677" s="1" t="s">
        <v>11893</v>
      </c>
      <c r="C6677" s="1">
        <v>1</v>
      </c>
      <c r="D6677" s="1" t="str">
        <f>"04891"</f>
        <v>04891</v>
      </c>
      <c r="E6677" s="1" t="s">
        <v>646</v>
      </c>
      <c r="F6677" s="1">
        <v>15</v>
      </c>
      <c r="G6677" s="1">
        <v>11</v>
      </c>
      <c r="H6677" s="1">
        <v>0</v>
      </c>
      <c r="I6677" s="1" t="s">
        <v>11844</v>
      </c>
      <c r="K6677" s="1" t="str">
        <f t="shared" si="426"/>
        <v>ㄏ</v>
      </c>
      <c r="L6677" s="1" t="str">
        <f t="shared" si="427"/>
        <v>ㄢ</v>
      </c>
      <c r="N6677" s="3" t="s">
        <v>30574</v>
      </c>
      <c r="O6677" s="3"/>
      <c r="P6677" s="1" t="s">
        <v>20</v>
      </c>
      <c r="R6677" s="1" t="s">
        <v>11845</v>
      </c>
      <c r="V6677" s="1" t="s">
        <v>11894</v>
      </c>
      <c r="AR6677" s="1" t="str">
        <f t="shared" si="428"/>
        <v>| [ㄏㄢˋ](ㄏㄢˋ.md) | [暵](暵.md) |  | hàn | [形]
乾燥、乾涸。《說文解字．日部》：「暵，乾也。」
[動]
晒乾、曝晒。《廣韻．上聲．旱韻》：「暵，日乾也。」金．麻九疇〈許方村即事〉詩：「山雲頃刻雨，沙地須庾暵。」 |</v>
      </c>
    </row>
    <row r="6678" spans="1:44" hidden="1">
      <c r="A6678" s="1" t="s">
        <v>9610</v>
      </c>
      <c r="C6678" s="1">
        <v>1</v>
      </c>
      <c r="D6678" s="1" t="str">
        <f>"04892"</f>
        <v>04892</v>
      </c>
      <c r="E6678" s="1" t="s">
        <v>684</v>
      </c>
      <c r="F6678" s="1">
        <v>15</v>
      </c>
      <c r="G6678" s="1">
        <v>6</v>
      </c>
      <c r="H6678" s="1">
        <v>2</v>
      </c>
      <c r="I6678" s="1" t="s">
        <v>11844</v>
      </c>
      <c r="K6678" s="1" t="str">
        <f t="shared" si="426"/>
        <v>ㄏ</v>
      </c>
      <c r="L6678" s="1" t="str">
        <f t="shared" si="427"/>
        <v>ㄢ</v>
      </c>
      <c r="N6678" s="3" t="s">
        <v>30574</v>
      </c>
      <c r="O6678" s="3"/>
      <c r="P6678" s="1" t="s">
        <v>110</v>
      </c>
      <c r="R6678" s="1" t="s">
        <v>11845</v>
      </c>
      <c r="V6678" s="1" t="s">
        <v>111</v>
      </c>
      <c r="W6678" s="1" t="s">
        <v>11895</v>
      </c>
      <c r="AR6678" s="1" t="str">
        <f t="shared" si="428"/>
        <v>| [ㄏㄢˋ](ㄏㄢˋ.md) | [頜](頜.md) |  | hàn | (一)之又音。 |</v>
      </c>
    </row>
    <row r="6679" spans="1:44" hidden="1">
      <c r="A6679" s="1" t="s">
        <v>11896</v>
      </c>
      <c r="C6679" s="1">
        <v>1</v>
      </c>
      <c r="D6679" s="1" t="str">
        <f>"04893"</f>
        <v>04893</v>
      </c>
      <c r="E6679" s="1" t="s">
        <v>2271</v>
      </c>
      <c r="F6679" s="1">
        <v>16</v>
      </c>
      <c r="G6679" s="1">
        <v>10</v>
      </c>
      <c r="H6679" s="1">
        <v>0</v>
      </c>
      <c r="I6679" s="1" t="s">
        <v>11844</v>
      </c>
      <c r="K6679" s="1" t="str">
        <f t="shared" si="426"/>
        <v>ㄏ</v>
      </c>
      <c r="L6679" s="1" t="str">
        <f t="shared" si="427"/>
        <v>ㄢ</v>
      </c>
      <c r="N6679" s="3" t="s">
        <v>30574</v>
      </c>
      <c r="O6679" s="3"/>
      <c r="P6679" s="1" t="s">
        <v>20</v>
      </c>
      <c r="R6679" s="1" t="s">
        <v>11845</v>
      </c>
      <c r="V6679" s="1" t="s">
        <v>11897</v>
      </c>
      <c r="AR6679" s="1" t="str">
        <f t="shared" si="428"/>
        <v>| [ㄏㄢˋ](ㄏㄢˋ.md) | [翰](翰.md) |  | hàn | [名]
1.一種身上有五彩羽毛的山雞。《說文解字．羽部》：「翰，天雞也，赤羽。」也稱為「錦雞」。
2.長而堅硬的羽毛。《廣韻．去聲．翰韻》：「翰，鳥羽也。」元．戴侗《六書故．卷一九．動物》：「羽之彊者曰翰。」三國魏．曹丕〈大牆上蒿行〉：「纖羅為纓，飾以翠翰。」
3.毛筆。如：「翰墨」、「揮翰」。《文選．潘岳．秋興賦》：「於是染翰操紙，慨然而賦。」唐．李善．注：「翰，筆毫也。」
4.文詞、文章、書信等。如：「文翰」、「書翰」、「篇翰」、「華翰」。南朝梁．蕭統〈文選序〉：「事出於沉思，義歸乎翰藻。」
5.文才。《南齊書．卷五四．高逸傳．臧榮緒傳》：「其有史翰，欲令入天祿。」
6.白色的馬。《禮記．檀弓上》：「戎事乘翰，牲用白。」漢．鄭玄．注：「翰，白色馬也。」
7.棟梁。通「榦」。《詩經．大雅．崧高》：「維申及甫，維周之翰。」漢．鄭玄．注：「皆以賢知入為周之楨榦之臣。」
8.姓。如春秋時曹國有翰胡。
[動]
高飛。漢．揚雄《太玄經．卷三．應卦》：「龍翰于天，貞栗其鱗。」 |</v>
      </c>
    </row>
    <row r="6680" spans="1:44" hidden="1">
      <c r="A6680" s="1" t="s">
        <v>11898</v>
      </c>
      <c r="C6680" s="1">
        <v>1</v>
      </c>
      <c r="D6680" s="1" t="str">
        <f>"04894"</f>
        <v>04894</v>
      </c>
      <c r="E6680" s="1" t="s">
        <v>129</v>
      </c>
      <c r="F6680" s="1">
        <v>19</v>
      </c>
      <c r="G6680" s="1">
        <v>16</v>
      </c>
      <c r="H6680" s="1">
        <v>0</v>
      </c>
      <c r="I6680" s="1" t="s">
        <v>11844</v>
      </c>
      <c r="K6680" s="1" t="str">
        <f t="shared" si="426"/>
        <v>ㄏ</v>
      </c>
      <c r="L6680" s="1" t="str">
        <f t="shared" si="427"/>
        <v>ㄢ</v>
      </c>
      <c r="N6680" s="3" t="s">
        <v>30574</v>
      </c>
      <c r="O6680" s="3"/>
      <c r="P6680" s="1" t="s">
        <v>20</v>
      </c>
      <c r="R6680" s="1" t="s">
        <v>11845</v>
      </c>
      <c r="V6680" s="1" t="s">
        <v>11899</v>
      </c>
      <c r="AR6680" s="1" t="str">
        <f t="shared" si="428"/>
        <v>| [ㄏㄢˋ](ㄏㄢˋ.md) | [瀚](瀚.md) |  | hàn | [形]_x000D_
廣大無邊際。如：「浩瀚」。《淮南子．俶貞》：「有無者，視之不見其形，聽之不聞其聲……浩浩瀚瀚，不可隱儀揆度而通光耀者。」漢．高誘．注：「浩浩瀚瀚，廣大貌也。」 |</v>
      </c>
    </row>
    <row r="6681" spans="1:44" hidden="1">
      <c r="A6681" s="1" t="s">
        <v>11802</v>
      </c>
      <c r="C6681" s="1">
        <v>1</v>
      </c>
      <c r="D6681" s="1" t="str">
        <f>"04848"</f>
        <v>04848</v>
      </c>
      <c r="E6681" s="1" t="s">
        <v>129</v>
      </c>
      <c r="F6681" s="1">
        <v>6</v>
      </c>
      <c r="G6681" s="1">
        <v>3</v>
      </c>
      <c r="H6681" s="1">
        <v>2</v>
      </c>
      <c r="I6681" s="1" t="s">
        <v>11803</v>
      </c>
      <c r="K6681" s="1" t="str">
        <f t="shared" si="426"/>
        <v>ㄏ</v>
      </c>
      <c r="L6681" s="1" t="str">
        <f t="shared" si="427"/>
        <v>ㄢ</v>
      </c>
      <c r="N6681" s="3" t="s">
        <v>30575</v>
      </c>
      <c r="O6681" s="3"/>
      <c r="P6681" s="1" t="s">
        <v>20</v>
      </c>
      <c r="R6681" s="1" t="s">
        <v>11804</v>
      </c>
      <c r="V6681" s="1" t="s">
        <v>10818</v>
      </c>
      <c r="W6681" s="1" t="s">
        <v>11805</v>
      </c>
      <c r="AR6681" s="1" t="str">
        <f t="shared" si="428"/>
        <v>| [ㄏㄢˊ](ㄏㄢˊ.md) | [汗](汗.md) |  | hán | 參見「可汗」條。 |</v>
      </c>
    </row>
    <row r="6682" spans="1:44" hidden="1">
      <c r="A6682" s="1" t="s">
        <v>11806</v>
      </c>
      <c r="C6682" s="1">
        <v>1</v>
      </c>
      <c r="D6682" s="1" t="str">
        <f>"04849"</f>
        <v>04849</v>
      </c>
      <c r="E6682" s="1" t="s">
        <v>256</v>
      </c>
      <c r="F6682" s="1">
        <v>6</v>
      </c>
      <c r="G6682" s="1">
        <v>3</v>
      </c>
      <c r="H6682" s="1">
        <v>0</v>
      </c>
      <c r="I6682" s="1" t="s">
        <v>11803</v>
      </c>
      <c r="K6682" s="1" t="str">
        <f t="shared" si="426"/>
        <v>ㄏ</v>
      </c>
      <c r="L6682" s="1" t="str">
        <f t="shared" si="427"/>
        <v>ㄢ</v>
      </c>
      <c r="N6682" s="3" t="s">
        <v>30575</v>
      </c>
      <c r="O6682" s="3"/>
      <c r="P6682" s="1" t="s">
        <v>20</v>
      </c>
      <c r="R6682" s="1" t="s">
        <v>11804</v>
      </c>
      <c r="V6682" s="1" t="s">
        <v>11807</v>
      </c>
      <c r="AR6682" s="1" t="str">
        <f t="shared" si="428"/>
        <v>| [ㄏㄢˊ](ㄏㄢˊ.md) | [邗](邗.md) |  | hán | [名]
1.地名。參見「邗溝」條。
2.姓。如漢代有邗侯。 |</v>
      </c>
    </row>
    <row r="6683" spans="1:44" hidden="1">
      <c r="A6683" s="1" t="s">
        <v>9865</v>
      </c>
      <c r="C6683" s="1">
        <v>1</v>
      </c>
      <c r="D6683" s="1" t="str">
        <f>"04850"</f>
        <v>04850</v>
      </c>
      <c r="E6683" s="1" t="s">
        <v>679</v>
      </c>
      <c r="F6683" s="1">
        <v>9</v>
      </c>
      <c r="G6683" s="1">
        <v>3</v>
      </c>
      <c r="H6683" s="1">
        <v>1</v>
      </c>
      <c r="I6683" s="1" t="s">
        <v>11803</v>
      </c>
      <c r="K6683" s="1" t="str">
        <f t="shared" si="426"/>
        <v>ㄏ</v>
      </c>
      <c r="L6683" s="1" t="str">
        <f t="shared" si="427"/>
        <v>ㄢ</v>
      </c>
      <c r="N6683" s="3" t="s">
        <v>30575</v>
      </c>
      <c r="O6683" s="3"/>
      <c r="P6683" s="1" t="s">
        <v>20</v>
      </c>
      <c r="R6683" s="1" t="s">
        <v>11804</v>
      </c>
      <c r="V6683" s="1" t="s">
        <v>11808</v>
      </c>
      <c r="W6683" s="1" t="s">
        <v>11809</v>
      </c>
      <c r="AR6683" s="1" t="str">
        <f t="shared" si="428"/>
        <v>| [ㄏㄢˊ](ㄏㄢˊ.md) | [虷](虷.md) |  | hán | [名]
生長在井中的紅色小蟲。《莊子．秋水》：「還虷蟹與科斗，莫吾能若也。」唐．成玄英．疏：「虷，井中赤蟲也。」 |</v>
      </c>
    </row>
    <row r="6684" spans="1:44" hidden="1">
      <c r="A6684" s="1" t="s">
        <v>11810</v>
      </c>
      <c r="C6684" s="1">
        <v>1</v>
      </c>
      <c r="D6684" s="1" t="str">
        <f>"04851"</f>
        <v>04851</v>
      </c>
      <c r="E6684" s="1" t="s">
        <v>28</v>
      </c>
      <c r="F6684" s="1">
        <v>7</v>
      </c>
      <c r="G6684" s="1">
        <v>4</v>
      </c>
      <c r="H6684" s="1">
        <v>1</v>
      </c>
      <c r="I6684" s="1" t="s">
        <v>11803</v>
      </c>
      <c r="K6684" s="1" t="str">
        <f t="shared" si="426"/>
        <v>ㄏ</v>
      </c>
      <c r="L6684" s="1" t="str">
        <f t="shared" si="427"/>
        <v>ㄢ</v>
      </c>
      <c r="N6684" s="3" t="s">
        <v>30575</v>
      </c>
      <c r="O6684" s="3"/>
      <c r="P6684" s="1" t="s">
        <v>20</v>
      </c>
      <c r="R6684" s="1" t="s">
        <v>11804</v>
      </c>
      <c r="V6684" s="1" t="s">
        <v>11811</v>
      </c>
      <c r="W6684" s="1" t="s">
        <v>11812</v>
      </c>
      <c r="AR6684" s="1" t="str">
        <f t="shared" si="428"/>
        <v>| [ㄏㄢˊ](ㄏㄢˊ.md) | [含](含.md) |  | hán | [動]
1.東西銜在嘴裡，不吐出也不吞下。如：「含著藥片。」漢．劉熙《釋名．釋飲食》：「含，合也，合口亭之也。」《史記．卷十三．三代世表》：「有燕銜卵墮之，契母得，故含之，誤吞之，即生契。」
2.裡面藏著，存在著。如：「含水分」、「含養分」、「含苞待放」。《文選．宋玉．登徒子好色賦》：「此郊之姝，華色含光，體美容冶，不待飾裝。」
3.包容、容納。如：「包含」。《易經．坤卦．文言曰》：「後得主而有常，含萬物而化光。」唐．杜甫〈絕句四首〉之三：「窗含西嶺千秋雪，門泊東吳萬里船。」
4.懷著。如：「含怒」、「含恨」、「含羞帶怯」、「含情脈脈」。唐．沈佺期〈古意呈補闕喬知之〉詩：「誰謂含愁獨不見，更教明月照流黃。」
5.忍受、忍耐。如：「茹苦含辛」。宋．胡銓〈戊午上高宗封事〉：「含垢忍恥，與天下而臣之，甘心焉。」 |</v>
      </c>
    </row>
    <row r="6685" spans="1:44" hidden="1">
      <c r="A6685" s="1" t="s">
        <v>11813</v>
      </c>
      <c r="C6685" s="1">
        <v>1</v>
      </c>
      <c r="D6685" s="1" t="str">
        <f>"04852"</f>
        <v>04852</v>
      </c>
      <c r="E6685" s="1" t="s">
        <v>139</v>
      </c>
      <c r="F6685" s="1">
        <v>11</v>
      </c>
      <c r="G6685" s="1">
        <v>7</v>
      </c>
      <c r="H6685" s="1">
        <v>0</v>
      </c>
      <c r="I6685" s="1" t="s">
        <v>11803</v>
      </c>
      <c r="K6685" s="1" t="str">
        <f t="shared" si="426"/>
        <v>ㄏ</v>
      </c>
      <c r="L6685" s="1" t="str">
        <f t="shared" si="427"/>
        <v>ㄢ</v>
      </c>
      <c r="N6685" s="3" t="s">
        <v>30575</v>
      </c>
      <c r="O6685" s="3"/>
      <c r="P6685" s="1" t="s">
        <v>20</v>
      </c>
      <c r="R6685" s="1" t="s">
        <v>11804</v>
      </c>
      <c r="V6685" s="1" t="s">
        <v>11814</v>
      </c>
      <c r="AR6685" s="1" t="str">
        <f t="shared" si="428"/>
        <v>| [ㄏㄢˊ](ㄏㄢˊ.md) | [梒](梒.md) |  | hán | [名]
櫻桃。《玉篇．木部》：「梒，今謂之櫻桃也。」 |</v>
      </c>
    </row>
    <row r="6686" spans="1:44" hidden="1">
      <c r="A6686" s="1" t="s">
        <v>11815</v>
      </c>
      <c r="C6686" s="1">
        <v>1</v>
      </c>
      <c r="D6686" s="1" t="str">
        <f>"04853"</f>
        <v>04853</v>
      </c>
      <c r="E6686" s="1" t="s">
        <v>256</v>
      </c>
      <c r="F6686" s="1">
        <v>8</v>
      </c>
      <c r="G6686" s="1">
        <v>5</v>
      </c>
      <c r="H6686" s="1">
        <v>0</v>
      </c>
      <c r="I6686" s="1" t="s">
        <v>11803</v>
      </c>
      <c r="K6686" s="1" t="str">
        <f t="shared" si="426"/>
        <v>ㄏ</v>
      </c>
      <c r="L6686" s="1" t="str">
        <f t="shared" si="427"/>
        <v>ㄢ</v>
      </c>
      <c r="N6686" s="3" t="s">
        <v>30575</v>
      </c>
      <c r="O6686" s="3"/>
      <c r="P6686" s="1" t="s">
        <v>20</v>
      </c>
      <c r="R6686" s="1" t="s">
        <v>11804</v>
      </c>
      <c r="V6686" s="1" t="s">
        <v>4924</v>
      </c>
      <c r="AR6686" s="1" t="str">
        <f t="shared" si="428"/>
        <v>| [ㄏㄢˊ](ㄏㄢˊ.md) | [邯](邯.md) |  | hán | 參見「邯鄲」條。 |</v>
      </c>
    </row>
    <row r="6687" spans="1:44" hidden="1">
      <c r="A6687" s="1" t="s">
        <v>11816</v>
      </c>
      <c r="C6687" s="1">
        <v>1</v>
      </c>
      <c r="D6687" s="1" t="str">
        <f>"04854"</f>
        <v>04854</v>
      </c>
      <c r="E6687" s="1" t="s">
        <v>5293</v>
      </c>
      <c r="F6687" s="1">
        <v>8</v>
      </c>
      <c r="G6687" s="1">
        <v>6</v>
      </c>
      <c r="H6687" s="1">
        <v>0</v>
      </c>
      <c r="I6687" s="1" t="s">
        <v>11803</v>
      </c>
      <c r="K6687" s="1" t="str">
        <f t="shared" si="426"/>
        <v>ㄏ</v>
      </c>
      <c r="L6687" s="1" t="str">
        <f t="shared" si="427"/>
        <v>ㄢ</v>
      </c>
      <c r="N6687" s="3" t="s">
        <v>30575</v>
      </c>
      <c r="O6687" s="3"/>
      <c r="P6687" s="1" t="s">
        <v>20</v>
      </c>
      <c r="R6687" s="1" t="s">
        <v>11804</v>
      </c>
      <c r="V6687" s="1" t="s">
        <v>11817</v>
      </c>
      <c r="AR6687" s="1" t="str">
        <f t="shared" si="428"/>
        <v>| [ㄏㄢˊ](ㄏㄢˊ.md) | [函](函.md) |  | hán | [名]_x000D_
1.舌頭。《說文解字．𢎘部》：「函，舌也。」_x000D_
2.鎧甲、護身甲。《周禮．冬官考工記》：「燕無函，秦無廬，胡無弓車。」鄭玄注引鄭司農云：「函，鎧也。」_x000D_
3.匣、盒子。如：「劍函」、「鏡函」、「石函」。《史記．卷八六．刺客列傳．荊軻》：「荊軻奉樊於期頭函，而秦舞陽奉地圖柙，以次進。」_x000D_
4.套子、封套。如：「全書共十函」。唐．張彥遠《法書要錄．卷三．武平一徐氏法書記》：「時見宮人出六十餘函，於億歲殿曝之，多裝以鏤牙軸、紫羅褾。」_x000D_
5.書信、信件。如：「來函」、「函件」。三國魏．吳質〈答東阿王書〉：「信到，奉所惠貺，發函伸紙。」唐．李商隱〈隋宮〉詩：「乘興南遊不戒嚴，九重誰省諫書函。」_x000D_
6.現行公文的一類。用於各級機關公文往返，或人民與機關間的申請與答覆。如：「公函」、「申請函」。_x000D_
[動]_x000D_
1.包容、容納。《詩經．周頌．載芟》：「播厥百穀，實函斯活。」漢．鄭玄．箋：「函，含也。」《漢書．卷一〇〇．敘傳上》：「函之如海，養之如春。」唐．顏師古．注：「函，容也。」_x000D_
2.用木盒盛裝，並加以密封。《戰國策．燕策三》：「乃遂收盛樊於期之首函封之。」《新五代史．卷三七．伶官傳．序》：「方其係燕父子以組，函梁君臣之首，入于太廟。」_x000D_
3.陷入。《漢書．卷六二．司馬遷傳》：「所以隱忍苟活，函糞土之中而不辭者。」唐．柳宗元〈古東門行〉：「當街一叱百吏走，馮敬胸中函匕首。」 |</v>
      </c>
    </row>
    <row r="6688" spans="1:44" hidden="1">
      <c r="A6688" s="1" t="s">
        <v>11818</v>
      </c>
      <c r="C6688" s="1">
        <v>1</v>
      </c>
      <c r="D6688" s="1" t="str">
        <f>"04855"</f>
        <v>04855</v>
      </c>
      <c r="E6688" s="1" t="s">
        <v>129</v>
      </c>
      <c r="F6688" s="1">
        <v>11</v>
      </c>
      <c r="G6688" s="1">
        <v>8</v>
      </c>
      <c r="H6688" s="1">
        <v>0</v>
      </c>
      <c r="I6688" s="1" t="s">
        <v>11803</v>
      </c>
      <c r="K6688" s="1" t="str">
        <f t="shared" si="426"/>
        <v>ㄏ</v>
      </c>
      <c r="L6688" s="1" t="str">
        <f t="shared" si="427"/>
        <v>ㄢ</v>
      </c>
      <c r="N6688" s="3" t="s">
        <v>30575</v>
      </c>
      <c r="O6688" s="3"/>
      <c r="P6688" s="1" t="s">
        <v>20</v>
      </c>
      <c r="R6688" s="1" t="s">
        <v>11804</v>
      </c>
      <c r="V6688" s="1" t="s">
        <v>11819</v>
      </c>
      <c r="AR6688" s="1" t="str">
        <f t="shared" si="428"/>
        <v>| [ㄏㄢˊ](ㄏㄢˊ.md) | [涵](涵.md) |  | hán | [形]
水澤多。《說文解字．水部》：「涵，水澤多也。」如：「涵澤」。
[動]
1.浸潤、溼潤。《說文解字．水部》「涵」字．清．段玉裁．注：「涵，所受潤澤多也。」宋．王安石〈送江寧彭給事赴闕〉詩：「威加諸部風霜肅，惠浸連營雨露涵。」
2.包容、容納。如：「包涵」、「海涵」。唐．孟浩然〈望洞庭湖贈張丞相〉詩：「八月湖水平，涵虛混太清。」唐．杜牧〈九日齊安登高〉詩：「江涵秋影雁初飛，與客攜壺上翠微。」
3.沉潛、潛水。參見「涵淹」、「涵泳」等條。
[名]
涵洞的簡稱。如：「橋涵」。 |</v>
      </c>
    </row>
    <row r="6689" spans="1:44" hidden="1">
      <c r="A6689" s="1" t="s">
        <v>11820</v>
      </c>
      <c r="C6689" s="1">
        <v>1</v>
      </c>
      <c r="D6689" s="1" t="str">
        <f>"04856"</f>
        <v>04856</v>
      </c>
      <c r="E6689" s="1" t="s">
        <v>190</v>
      </c>
      <c r="F6689" s="1">
        <v>11</v>
      </c>
      <c r="G6689" s="1">
        <v>8</v>
      </c>
      <c r="H6689" s="1">
        <v>0</v>
      </c>
      <c r="I6689" s="1" t="s">
        <v>11803</v>
      </c>
      <c r="K6689" s="1" t="str">
        <f t="shared" si="426"/>
        <v>ㄏ</v>
      </c>
      <c r="L6689" s="1" t="str">
        <f t="shared" si="427"/>
        <v>ㄢ</v>
      </c>
      <c r="N6689" s="3" t="s">
        <v>30575</v>
      </c>
      <c r="O6689" s="3"/>
      <c r="P6689" s="1" t="s">
        <v>20</v>
      </c>
      <c r="R6689" s="1" t="s">
        <v>11804</v>
      </c>
      <c r="V6689" s="1" t="s">
        <v>11821</v>
      </c>
      <c r="AR6689" s="1" t="str">
        <f t="shared" si="428"/>
        <v>| [ㄏㄢˊ](ㄏㄢˊ.md) | [崡](崡.md) |  | hán | [名]
山名。即函谷，在今大陸地區河南省靈寶縣西南。函俗從山作「崡」。以其峭壁險峻如山，又以「崤」為其山名。《集韻．平聲．咸韻》：「崡，山名，在肴陵。」 |</v>
      </c>
    </row>
    <row r="6690" spans="1:44" hidden="1">
      <c r="A6690" s="1" t="s">
        <v>11822</v>
      </c>
      <c r="C6690" s="1">
        <v>1</v>
      </c>
      <c r="D6690" s="1" t="str">
        <f>"04857"</f>
        <v>04857</v>
      </c>
      <c r="E6690" s="1" t="s">
        <v>624</v>
      </c>
      <c r="F6690" s="1">
        <v>12</v>
      </c>
      <c r="G6690" s="1">
        <v>9</v>
      </c>
      <c r="H6690" s="1">
        <v>0</v>
      </c>
      <c r="I6690" s="1" t="s">
        <v>11803</v>
      </c>
      <c r="K6690" s="1" t="str">
        <f t="shared" si="426"/>
        <v>ㄏ</v>
      </c>
      <c r="L6690" s="1" t="str">
        <f t="shared" si="427"/>
        <v>ㄢ</v>
      </c>
      <c r="N6690" s="3" t="s">
        <v>30575</v>
      </c>
      <c r="O6690" s="3"/>
      <c r="P6690" s="1" t="s">
        <v>20</v>
      </c>
      <c r="R6690" s="1" t="s">
        <v>11804</v>
      </c>
      <c r="V6690" s="1" t="s">
        <v>11823</v>
      </c>
      <c r="AR6690" s="1" t="str">
        <f t="shared" si="428"/>
        <v>| [ㄏㄢˊ](ㄏㄢˊ.md) | [寒](寒.md) |  | hán | [形]_x000D_
1.冷。如：「酷寒」、「禦寒」、「飢寒交迫」、「天寒地凍」。《論語．子罕》：「歲寒，然後知松柏之後彫也。」唐．白居易〈長恨歌〉：「鴛鴦瓦冷霜華重，翡翠衾寒誰與共？」_x000D_
2.窮困。如：「貧寒」、「家境清寒」。《史記．卷七九．范睢蔡澤列傳．范睢》：「范叔一寒如此哉！乃取其一綈袍以賜之。」_x000D_
3.卑賤。如：「寒門」、「寒儒」。唐．杜甫〈茅屋為秋風所破歌〉：「安得廣廈千萬間，大庇天下寒士俱歡顏。」_x000D_
[名]_x000D_
1.秋冬寒冷的季節。與「暑」相對。《易經．繫辭下》：「寒往則暑來，暑往則寒來，寒暑相推而歲成焉。」_x000D_
2.國名。夏朝諸侯寒浞的封國。故址在今大陸地區山東省濰縣境。_x000D_
3.姓。如夏朝有諸侯寒浞，漢代有寒朗。_x000D_
[動]_x000D_
1.使受冷。《孟子．告子上》：「雖有天下易生之物也，一日暴之，十日寒之，未有能生者也。」_x000D_
2.戰慄、害怕。如：「心寒」、「膽寒」。《史記．卷八六．刺客列傳．荊軻》：「夫以秦王之暴而積怒於燕，足以寒心，又況聞樊將軍之所在乎？」_x000D_
3.終止、停止。《左傳．哀公十二年》：「今吾子曰必尋盟。若可尋也，亦可寒也。」晉．杜預．注：「寒，歇也。」 |</v>
      </c>
    </row>
    <row r="6691" spans="1:44" hidden="1">
      <c r="A6691" s="1" t="s">
        <v>9922</v>
      </c>
      <c r="C6691" s="1">
        <v>1</v>
      </c>
      <c r="D6691" s="1" t="str">
        <f>"04858"</f>
        <v>04858</v>
      </c>
      <c r="E6691" s="1" t="s">
        <v>1386</v>
      </c>
      <c r="F6691" s="1">
        <v>13</v>
      </c>
      <c r="G6691" s="1">
        <v>10</v>
      </c>
      <c r="H6691" s="1">
        <v>2</v>
      </c>
      <c r="I6691" s="1" t="s">
        <v>11803</v>
      </c>
      <c r="K6691" s="1" t="str">
        <f t="shared" si="426"/>
        <v>ㄏ</v>
      </c>
      <c r="L6691" s="1" t="str">
        <f t="shared" si="427"/>
        <v>ㄢ</v>
      </c>
      <c r="N6691" s="3" t="s">
        <v>30575</v>
      </c>
      <c r="O6691" s="3"/>
      <c r="P6691" s="1" t="s">
        <v>20</v>
      </c>
      <c r="R6691" s="1" t="s">
        <v>11804</v>
      </c>
      <c r="V6691" s="1" t="s">
        <v>11824</v>
      </c>
      <c r="W6691" s="1" t="s">
        <v>11825</v>
      </c>
      <c r="AR6691" s="1" t="str">
        <f t="shared" si="428"/>
        <v>| [ㄏㄢˊ](ㄏㄢˊ.md) | [幹](幹.md) |  | hán | [名]
井上的圍欄。通「韓」。《莊子．秋水》：「出跳梁乎井幹之上，入休乎缺甃之崖。」唐．成玄英．疏：「幹，井欄也。」 |</v>
      </c>
    </row>
    <row r="6692" spans="1:44" hidden="1">
      <c r="A6692" s="1" t="s">
        <v>9925</v>
      </c>
      <c r="C6692" s="1">
        <v>1</v>
      </c>
      <c r="D6692" s="1" t="str">
        <f>"04859"</f>
        <v>04859</v>
      </c>
      <c r="E6692" s="1" t="s">
        <v>139</v>
      </c>
      <c r="F6692" s="1">
        <v>14</v>
      </c>
      <c r="G6692" s="1">
        <v>10</v>
      </c>
      <c r="H6692" s="1">
        <v>2</v>
      </c>
      <c r="I6692" s="1" t="s">
        <v>11803</v>
      </c>
      <c r="K6692" s="1" t="str">
        <f t="shared" si="426"/>
        <v>ㄏ</v>
      </c>
      <c r="L6692" s="1" t="str">
        <f t="shared" si="427"/>
        <v>ㄢ</v>
      </c>
      <c r="N6692" s="3" t="s">
        <v>30575</v>
      </c>
      <c r="O6692" s="3"/>
      <c r="P6692" s="1" t="s">
        <v>20</v>
      </c>
      <c r="R6692" s="1" t="s">
        <v>11804</v>
      </c>
      <c r="V6692" s="1" t="s">
        <v>11826</v>
      </c>
      <c r="W6692" s="1" t="s">
        <v>11827</v>
      </c>
      <c r="AR6692" s="1" t="str">
        <f t="shared" si="428"/>
        <v>| [ㄏㄢˊ](ㄏㄢˊ.md) | [榦](榦.md) |  | hán | [名]
井上的圍欄。通「韓」。《淮南子．主術》：「夫據榦而窺井底，雖達視猶不能見其睛。」 |</v>
      </c>
    </row>
    <row r="6693" spans="1:44" hidden="1">
      <c r="A6693" s="1" t="s">
        <v>11828</v>
      </c>
      <c r="C6693" s="1">
        <v>1</v>
      </c>
      <c r="D6693" s="1" t="str">
        <f>"04860"</f>
        <v>04860</v>
      </c>
      <c r="E6693" s="1" t="s">
        <v>1058</v>
      </c>
      <c r="F6693" s="1">
        <v>17</v>
      </c>
      <c r="G6693" s="1">
        <v>8</v>
      </c>
      <c r="H6693" s="1">
        <v>0</v>
      </c>
      <c r="I6693" s="1" t="s">
        <v>11803</v>
      </c>
      <c r="K6693" s="1" t="str">
        <f t="shared" si="426"/>
        <v>ㄏ</v>
      </c>
      <c r="L6693" s="1" t="str">
        <f t="shared" si="427"/>
        <v>ㄢ</v>
      </c>
      <c r="N6693" s="3" t="s">
        <v>30575</v>
      </c>
      <c r="O6693" s="3"/>
      <c r="P6693" s="1" t="s">
        <v>20</v>
      </c>
      <c r="R6693" s="1" t="s">
        <v>11804</v>
      </c>
      <c r="V6693" s="1" t="s">
        <v>11829</v>
      </c>
      <c r="AR6693" s="1" t="str">
        <f t="shared" si="428"/>
        <v>| [ㄏㄢˊ](ㄏㄢˊ.md) | [韓](韓.md) |  | hán | [名]
1.井垣，環繞水井周圍的柵欄。《說文解字．韋部》：「韓，井橋也。」
2.國名：(1)周時分封的姬姓諸侯國，春秋時為晉所滅。故址在今大陸地區陝西省韓城縣境。(2)戰國時晉大夫韓氏與趙、魏分晉，其地在今大陸地區河南省中部，及山西省東南部一帶。介於魏、秦、楚三國之間，為兵家必爭之地，後為秦所滅。(3)大韓民國的簡稱。參見「大韓民國」條。
3.姓。如漢代有韓信，唐代有韓愈。 |</v>
      </c>
    </row>
    <row r="6694" spans="1:44" hidden="1">
      <c r="A6694" s="1" t="s">
        <v>11830</v>
      </c>
      <c r="C6694" s="1">
        <v>1</v>
      </c>
      <c r="D6694" s="1" t="str">
        <f>"04861"</f>
        <v>04861</v>
      </c>
      <c r="E6694" s="1" t="s">
        <v>1941</v>
      </c>
      <c r="F6694" s="1">
        <v>2</v>
      </c>
      <c r="G6694" s="1">
        <v>0</v>
      </c>
      <c r="H6694" s="1">
        <v>0</v>
      </c>
      <c r="I6694" s="1" t="s">
        <v>11831</v>
      </c>
      <c r="K6694" s="1" t="str">
        <f t="shared" si="426"/>
        <v>ㄏ</v>
      </c>
      <c r="L6694" s="1" t="str">
        <f t="shared" si="427"/>
        <v>ㄢ</v>
      </c>
      <c r="N6694" s="3" t="s">
        <v>30576</v>
      </c>
      <c r="O6694" s="3"/>
      <c r="P6694" s="1" t="s">
        <v>20</v>
      </c>
      <c r="R6694" s="1" t="s">
        <v>11832</v>
      </c>
      <c r="V6694" s="1" t="s">
        <v>11833</v>
      </c>
      <c r="AR6694" s="1" t="str">
        <f t="shared" si="428"/>
        <v>| [ㄏㄢˇ](ㄏㄢˇ.md) | [厂](厂.md) |  | hǎn | [名]
1.山邊可以居住人的崖洞。《說文解字．厂部》：「厂，山石之厓巖，人可居。」清．段玉裁．注：「厓，山邊也；巖者，厓也；人可居者，謂其下可居也。」
2.二一四部首之一。 |</v>
      </c>
    </row>
    <row r="6695" spans="1:44" hidden="1">
      <c r="A6695" s="1" t="s">
        <v>11834</v>
      </c>
      <c r="C6695" s="1">
        <v>1</v>
      </c>
      <c r="D6695" s="1" t="str">
        <f>"04862"</f>
        <v>04862</v>
      </c>
      <c r="E6695" s="1" t="s">
        <v>118</v>
      </c>
      <c r="F6695" s="1">
        <v>7</v>
      </c>
      <c r="G6695" s="1">
        <v>3</v>
      </c>
      <c r="H6695" s="1">
        <v>0</v>
      </c>
      <c r="I6695" s="1" t="s">
        <v>11831</v>
      </c>
      <c r="K6695" s="1" t="str">
        <f t="shared" si="426"/>
        <v>ㄏ</v>
      </c>
      <c r="L6695" s="1" t="str">
        <f t="shared" si="427"/>
        <v>ㄢ</v>
      </c>
      <c r="N6695" s="3" t="s">
        <v>30576</v>
      </c>
      <c r="O6695" s="3"/>
      <c r="P6695" s="1" t="s">
        <v>20</v>
      </c>
      <c r="R6695" s="1" t="s">
        <v>11832</v>
      </c>
      <c r="V6695" s="1" t="s">
        <v>11835</v>
      </c>
      <c r="AR6695" s="1" t="str">
        <f t="shared" si="428"/>
        <v>| [ㄏㄢˇ](ㄏㄢˇ.md) | [罕](罕.md) |  | hǎn | [名]
1.用來捕鳥的長柄小網。《說文解字．网部》：「罕，网也。」清．段玉裁．注：「〈吳都賦〉注曰：『罼、罕皆鳥網也。』按，罕之制蓋似畢。小网長柄。」
2.旌旗。《史記．卷四．周本紀》：「及期，百夫荷罕旗以先驅。」《新唐書．卷二三．儀衛志上》：「自絳引旛以下，執者服如黃麾。執罕、畢及幢者，平陵冠、朱衣、革帶。左罕右畢，左青龍右白虎。」
3.姓。如春秋時鄭國有罕虎。
[副]
稀少。如：「稀罕」、「罕見」、「罕聞」。南朝梁．鍾嶸〈詩品序〉：「每苦文煩而意少，故世罕習焉。」清．魏禧〈大鐵椎傳〉：「與人罕言語，語類楚聲。」 |</v>
      </c>
    </row>
    <row r="6696" spans="1:44" hidden="1">
      <c r="A6696" s="1" t="s">
        <v>11836</v>
      </c>
      <c r="C6696" s="1">
        <v>1</v>
      </c>
      <c r="D6696" s="1" t="str">
        <f>"04863"</f>
        <v>04863</v>
      </c>
      <c r="E6696" s="1" t="s">
        <v>37</v>
      </c>
      <c r="F6696" s="1">
        <v>15</v>
      </c>
      <c r="G6696" s="1">
        <v>11</v>
      </c>
      <c r="H6696" s="1">
        <v>0</v>
      </c>
      <c r="I6696" s="1" t="s">
        <v>11831</v>
      </c>
      <c r="K6696" s="1" t="str">
        <f t="shared" si="426"/>
        <v>ㄏ</v>
      </c>
      <c r="L6696" s="1" t="str">
        <f t="shared" si="427"/>
        <v>ㄢ</v>
      </c>
      <c r="N6696" s="3" t="s">
        <v>30576</v>
      </c>
      <c r="O6696" s="3"/>
      <c r="P6696" s="1" t="s">
        <v>20</v>
      </c>
      <c r="R6696" s="1" t="s">
        <v>11832</v>
      </c>
      <c r="V6696" s="1" t="s">
        <v>11837</v>
      </c>
      <c r="AR6696" s="1" t="str">
        <f t="shared" si="428"/>
        <v>| [ㄏㄢˇ](ㄏㄢˇ.md) | [蔊](蔊.md) |  | hǎn | 參見「蔊菜」條。 |</v>
      </c>
    </row>
    <row r="6697" spans="1:44" hidden="1">
      <c r="A6697" s="1" t="s">
        <v>11838</v>
      </c>
      <c r="C6697" s="1">
        <v>1</v>
      </c>
      <c r="D6697" s="1" t="str">
        <f>"04864"</f>
        <v>04864</v>
      </c>
      <c r="E6697" s="1" t="s">
        <v>28</v>
      </c>
      <c r="F6697" s="1">
        <v>12</v>
      </c>
      <c r="G6697" s="1">
        <v>9</v>
      </c>
      <c r="H6697" s="1">
        <v>0</v>
      </c>
      <c r="I6697" s="1" t="s">
        <v>11831</v>
      </c>
      <c r="K6697" s="1" t="str">
        <f t="shared" si="426"/>
        <v>ㄏ</v>
      </c>
      <c r="L6697" s="1" t="str">
        <f t="shared" si="427"/>
        <v>ㄢ</v>
      </c>
      <c r="N6697" s="3" t="s">
        <v>30576</v>
      </c>
      <c r="O6697" s="3"/>
      <c r="P6697" s="1" t="s">
        <v>20</v>
      </c>
      <c r="R6697" s="1" t="s">
        <v>11832</v>
      </c>
      <c r="V6697" s="1" t="s">
        <v>11839</v>
      </c>
      <c r="AR6697" s="1" t="str">
        <f t="shared" si="428"/>
        <v>| [ㄏㄢˇ](ㄏㄢˇ.md) | [喊](喊.md) |  | hǎn | [動]
1.大聲呼叫。如：「呼喊」、「喊叫」、「喊冤」、「喊口號」、「搖旗吶喊」。
2.叫（人）、招喚。如：「快把他喊來！」、「他就在門外，你去喊他一聲。」 |</v>
      </c>
    </row>
    <row r="6698" spans="1:44" hidden="1">
      <c r="A6698" s="1" t="s">
        <v>11007</v>
      </c>
      <c r="C6698" s="1">
        <v>1</v>
      </c>
      <c r="D6698" s="1" t="str">
        <f>"04865"</f>
        <v>04865</v>
      </c>
      <c r="E6698" s="1" t="s">
        <v>709</v>
      </c>
      <c r="F6698" s="1">
        <v>20</v>
      </c>
      <c r="G6698" s="1">
        <v>12</v>
      </c>
      <c r="H6698" s="1">
        <v>3</v>
      </c>
      <c r="I6698" s="1" t="s">
        <v>11831</v>
      </c>
      <c r="K6698" s="1" t="str">
        <f t="shared" si="426"/>
        <v>ㄏ</v>
      </c>
      <c r="L6698" s="1" t="str">
        <f t="shared" si="427"/>
        <v>ㄢ</v>
      </c>
      <c r="N6698" s="3" t="s">
        <v>30576</v>
      </c>
      <c r="O6698" s="3"/>
      <c r="P6698" s="1" t="s">
        <v>20</v>
      </c>
      <c r="R6698" s="1" t="s">
        <v>11832</v>
      </c>
      <c r="V6698" s="1" t="s">
        <v>11840</v>
      </c>
      <c r="W6698" s="1" t="s">
        <v>11841</v>
      </c>
      <c r="AR6698" s="1" t="str">
        <f t="shared" si="428"/>
        <v>| [ㄏㄢˇ](ㄏㄢˇ.md) | [闞](闞.md) |  | hǎn | [名]
老虎的吼叫聲。《廣韻．上聲．豏韻》：「闞，虎聲。」《詩經．大雅．常武》：「進厥虎臣，闞如虓虎。」
[副]
張大嘴巴的樣子。《莊子．天道》：「而口闞然，而狀義然，似繫馬而止也。」 |</v>
      </c>
    </row>
    <row r="6699" spans="1:44" hidden="1">
      <c r="A6699" s="1" t="s">
        <v>11842</v>
      </c>
      <c r="C6699" s="1">
        <v>1</v>
      </c>
      <c r="D6699" s="1" t="str">
        <f>"04866"</f>
        <v>04866</v>
      </c>
      <c r="E6699" s="1" t="s">
        <v>4894</v>
      </c>
      <c r="F6699" s="1">
        <v>22</v>
      </c>
      <c r="G6699" s="1">
        <v>12</v>
      </c>
      <c r="H6699" s="1">
        <v>0</v>
      </c>
      <c r="I6699" s="1" t="s">
        <v>11831</v>
      </c>
      <c r="K6699" s="1" t="str">
        <f t="shared" si="426"/>
        <v>ㄏ</v>
      </c>
      <c r="L6699" s="1" t="str">
        <f t="shared" si="427"/>
        <v>ㄢ</v>
      </c>
      <c r="N6699" s="3" t="s">
        <v>30576</v>
      </c>
      <c r="O6699" s="3"/>
      <c r="P6699" s="1" t="s">
        <v>20</v>
      </c>
      <c r="R6699" s="1" t="s">
        <v>11832</v>
      </c>
      <c r="V6699" s="1" t="s">
        <v>11843</v>
      </c>
      <c r="AR6699" s="1" t="str">
        <f t="shared" si="428"/>
        <v>| [ㄏㄢˇ](ㄏㄢˇ.md) | [鬫](鬫.md) |  | hǎn | 同「闞」。 |</v>
      </c>
    </row>
    <row r="6700" spans="1:44" hidden="1">
      <c r="A6700" s="1" t="s">
        <v>11919</v>
      </c>
      <c r="C6700" s="1">
        <v>1</v>
      </c>
      <c r="D6700" s="1" t="str">
        <f>"04901"</f>
        <v>04901</v>
      </c>
      <c r="E6700" s="1" t="s">
        <v>250</v>
      </c>
      <c r="F6700" s="1">
        <v>9</v>
      </c>
      <c r="G6700" s="1">
        <v>6</v>
      </c>
      <c r="H6700" s="1">
        <v>0</v>
      </c>
      <c r="I6700" s="1" t="s">
        <v>11920</v>
      </c>
      <c r="K6700" s="1" t="str">
        <f t="shared" si="426"/>
        <v>ㄏ</v>
      </c>
      <c r="L6700" s="1" t="str">
        <f t="shared" si="427"/>
        <v>ㄣ</v>
      </c>
      <c r="N6700" s="3" t="s">
        <v>30574</v>
      </c>
      <c r="O6700" s="3"/>
      <c r="P6700" s="1" t="s">
        <v>20</v>
      </c>
      <c r="R6700" s="1" t="s">
        <v>11921</v>
      </c>
      <c r="V6700" s="1" t="s">
        <v>11922</v>
      </c>
      <c r="AR6700" s="1" t="str">
        <f t="shared" si="428"/>
        <v>| [ㄏㄣˋ](ㄏㄣˋ.md) | [恨](恨.md) |  | hèn | [名]
遺憾、悔恨的事。如：「記恨」、「飲恨而終」。《荀子．成相》：「不知戒，後必有恨。」唐．白居易〈長恨歌〉：「天長地久有時盡，此恨綿綿無絕期。」
[動]
怨、仇視。如：「怨恨」、「憎恨」。《荀子．堯問》：「處官久者士妒之，祿厚者民怨之，位尊者君恨之。」唐．李白〈怨情〉詩：「但見淚痕溼，不知心恨誰？」 |</v>
      </c>
    </row>
    <row r="6701" spans="1:44" hidden="1">
      <c r="A6701" s="1" t="s">
        <v>11904</v>
      </c>
      <c r="C6701" s="1">
        <v>1</v>
      </c>
      <c r="D6701" s="1" t="str">
        <f>"04896"</f>
        <v>04896</v>
      </c>
      <c r="E6701" s="1" t="s">
        <v>24</v>
      </c>
      <c r="F6701" s="1">
        <v>9</v>
      </c>
      <c r="G6701" s="1">
        <v>6</v>
      </c>
      <c r="H6701" s="1">
        <v>0</v>
      </c>
      <c r="I6701" s="1" t="s">
        <v>11905</v>
      </c>
      <c r="K6701" s="1" t="str">
        <f t="shared" si="426"/>
        <v>ㄏ</v>
      </c>
      <c r="L6701" s="1" t="str">
        <f t="shared" si="427"/>
        <v>ㄣ</v>
      </c>
      <c r="N6701" s="3" t="s">
        <v>30575</v>
      </c>
      <c r="O6701" s="3"/>
      <c r="P6701" s="1" t="s">
        <v>20</v>
      </c>
      <c r="R6701" s="1" t="s">
        <v>11906</v>
      </c>
      <c r="V6701" s="1" t="s">
        <v>11907</v>
      </c>
      <c r="AR6701" s="1" t="str">
        <f t="shared" si="428"/>
        <v>| [ㄏㄣˊ](ㄏㄣˊ.md) | [拫](拫.md) |  | hén | [動]
引、拉。清．王念孫《廣雅疏證．卷一下．釋詁》：「拫，引也。」 |</v>
      </c>
    </row>
    <row r="6702" spans="1:44" hidden="1">
      <c r="A6702" s="1" t="s">
        <v>11908</v>
      </c>
      <c r="C6702" s="1">
        <v>1</v>
      </c>
      <c r="D6702" s="1" t="str">
        <f>"04897"</f>
        <v>04897</v>
      </c>
      <c r="E6702" s="1" t="s">
        <v>40</v>
      </c>
      <c r="F6702" s="1">
        <v>11</v>
      </c>
      <c r="G6702" s="1">
        <v>6</v>
      </c>
      <c r="H6702" s="1">
        <v>0</v>
      </c>
      <c r="I6702" s="1" t="s">
        <v>11905</v>
      </c>
      <c r="K6702" s="1" t="str">
        <f t="shared" si="426"/>
        <v>ㄏ</v>
      </c>
      <c r="L6702" s="1" t="str">
        <f t="shared" si="427"/>
        <v>ㄣ</v>
      </c>
      <c r="N6702" s="3" t="s">
        <v>30575</v>
      </c>
      <c r="O6702" s="3"/>
      <c r="P6702" s="1" t="s">
        <v>20</v>
      </c>
      <c r="R6702" s="1" t="s">
        <v>11906</v>
      </c>
      <c r="V6702" s="1" t="s">
        <v>11909</v>
      </c>
      <c r="AR6702" s="1" t="str">
        <f t="shared" si="428"/>
        <v>| [ㄏㄣˊ](ㄏㄣˊ.md) | [痕](痕.md) |  | hén | [名]
1.傷疤。如：「傷痕」。漢．蔡琰〈胡笳十八拍〉：「塞上黃蒿兮枝枯葉乾，沙場白骨兮刀痕箭瘢。」《三國演義》第六八回：「孫權手指其痕，一一問之，周泰具言戰鬥被傷之狀。」
2.事物留下的印跡。如：「水痕」、「苔痕」、「墨痕」。唐．杜甫〈月夜〉詩：「何時倚虛幌，雙照淚痕乾。」宋．蘇軾〈正月二十日與潘郭二生出郊尋春忽記去年是日同至女王城作詩乃和前韻〉：「人似秋鴻來有信，事如春夢了無痕。」 |</v>
      </c>
    </row>
    <row r="6703" spans="1:44" hidden="1">
      <c r="A6703" s="1" t="s">
        <v>11910</v>
      </c>
      <c r="C6703" s="1">
        <v>1</v>
      </c>
      <c r="D6703" s="1" t="str">
        <f>"04898"</f>
        <v>04898</v>
      </c>
      <c r="E6703" s="1" t="s">
        <v>114</v>
      </c>
      <c r="F6703" s="1">
        <v>8</v>
      </c>
      <c r="G6703" s="1">
        <v>6</v>
      </c>
      <c r="H6703" s="1">
        <v>1</v>
      </c>
      <c r="I6703" s="1" t="s">
        <v>11911</v>
      </c>
      <c r="K6703" s="1" t="str">
        <f t="shared" si="426"/>
        <v>ㄏ</v>
      </c>
      <c r="L6703" s="1" t="str">
        <f t="shared" si="427"/>
        <v>ㄣ</v>
      </c>
      <c r="N6703" s="3" t="s">
        <v>30576</v>
      </c>
      <c r="O6703" s="3"/>
      <c r="P6703" s="1" t="s">
        <v>20</v>
      </c>
      <c r="R6703" s="1" t="s">
        <v>11912</v>
      </c>
      <c r="V6703" s="1" t="s">
        <v>11913</v>
      </c>
      <c r="W6703" s="1" t="s">
        <v>11914</v>
      </c>
      <c r="AR6703" s="1" t="str">
        <f t="shared" si="428"/>
        <v>| [ㄏㄣˇ](ㄏㄣˇ.md) | [佷](佷.md) |  | hěn | [形]
凶狠剛戾。《韓非子．亡徵》：「佷剛而不和，愎諫而好勝。」《新唐書．卷九八．韋挺傳》：「周言挺佷于自用，非宰相器。」 |</v>
      </c>
    </row>
    <row r="6704" spans="1:44" hidden="1">
      <c r="A6704" s="1" t="s">
        <v>11915</v>
      </c>
      <c r="C6704" s="1">
        <v>1</v>
      </c>
      <c r="D6704" s="1" t="str">
        <f>"04899"</f>
        <v>04899</v>
      </c>
      <c r="E6704" s="1" t="s">
        <v>234</v>
      </c>
      <c r="F6704" s="1">
        <v>9</v>
      </c>
      <c r="G6704" s="1">
        <v>6</v>
      </c>
      <c r="H6704" s="1">
        <v>0</v>
      </c>
      <c r="I6704" s="1" t="s">
        <v>11911</v>
      </c>
      <c r="K6704" s="1" t="str">
        <f t="shared" si="426"/>
        <v>ㄏ</v>
      </c>
      <c r="L6704" s="1" t="str">
        <f t="shared" si="427"/>
        <v>ㄣ</v>
      </c>
      <c r="N6704" s="3" t="s">
        <v>30576</v>
      </c>
      <c r="O6704" s="3"/>
      <c r="P6704" s="1" t="s">
        <v>20</v>
      </c>
      <c r="R6704" s="1" t="s">
        <v>11912</v>
      </c>
      <c r="V6704" s="1" t="s">
        <v>11916</v>
      </c>
      <c r="AR6704" s="1" t="str">
        <f t="shared" si="428"/>
        <v>| [ㄏㄣˇ](ㄏㄣˇ.md) | [很](很.md) |  | hěn | [副]
甚、非常，表示程度高。如：「雨很快就停了。」、「他很喜歡看書。」、「這主意很好。」
[形]
凶暴、殘戾。《左傳．襄公二十六年》：「太子痤美而很。」《淮南子．主術》：「上好取而無量，下貪很而無讓。」
[名]
紛爭、爭訟。《禮記．曲禮上》：「很毋求勝，分毋求多。」漢．鄭玄．注：「很，鬩也。謂爭訟也。」
[動]
違逆。《國語．吳語》：「今王將很天而伐齊。」三國吳．韋昭．注：「很，違也。」 |</v>
      </c>
    </row>
    <row r="6705" spans="1:44" hidden="1">
      <c r="A6705" s="1" t="s">
        <v>11917</v>
      </c>
      <c r="C6705" s="1">
        <v>1</v>
      </c>
      <c r="D6705" s="1" t="str">
        <f>"04900"</f>
        <v>04900</v>
      </c>
      <c r="E6705" s="1" t="s">
        <v>198</v>
      </c>
      <c r="F6705" s="1">
        <v>9</v>
      </c>
      <c r="G6705" s="1">
        <v>6</v>
      </c>
      <c r="H6705" s="1">
        <v>0</v>
      </c>
      <c r="I6705" s="1" t="s">
        <v>11911</v>
      </c>
      <c r="K6705" s="1" t="str">
        <f t="shared" si="426"/>
        <v>ㄏ</v>
      </c>
      <c r="L6705" s="1" t="str">
        <f t="shared" si="427"/>
        <v>ㄣ</v>
      </c>
      <c r="N6705" s="3" t="s">
        <v>30576</v>
      </c>
      <c r="O6705" s="3"/>
      <c r="P6705" s="1" t="s">
        <v>20</v>
      </c>
      <c r="R6705" s="1" t="s">
        <v>11912</v>
      </c>
      <c r="V6705" s="1" t="s">
        <v>11918</v>
      </c>
      <c r="AR6705" s="1" t="str">
        <f t="shared" si="428"/>
        <v>| [ㄏㄣˇ](ㄏㄣˇ.md) | [狠](狠.md) |  | hěn | [動]
忍住痛苦，下定決心。如：「他竟狠下心來不管他。」
[形]
凶惡、殘忍。如：「狠毒」、「心狠手辣」。《喻世明言．卷四〇．沈小霞相會出師表》：「他為人更狠，但有些小人之才，博聞強記，能思善算。」 |</v>
      </c>
    </row>
    <row r="6706" spans="1:44" hidden="1">
      <c r="A6706" s="1" t="s">
        <v>11927</v>
      </c>
      <c r="C6706" s="1">
        <v>1</v>
      </c>
      <c r="D6706" s="1" t="str">
        <f>"04913"</f>
        <v>04913</v>
      </c>
      <c r="E6706" s="1" t="s">
        <v>7105</v>
      </c>
      <c r="F6706" s="1">
        <v>6</v>
      </c>
      <c r="G6706" s="1">
        <v>0</v>
      </c>
      <c r="H6706" s="1">
        <v>4</v>
      </c>
      <c r="I6706" s="1" t="s">
        <v>11952</v>
      </c>
      <c r="K6706" s="1" t="str">
        <f t="shared" si="426"/>
        <v>ㄏ</v>
      </c>
      <c r="L6706" s="1" t="str">
        <f t="shared" si="427"/>
        <v>ㄤ</v>
      </c>
      <c r="N6706" s="3" t="s">
        <v>30574</v>
      </c>
      <c r="O6706" s="3"/>
      <c r="P6706" s="1" t="s">
        <v>20</v>
      </c>
      <c r="R6706" s="1" t="s">
        <v>11953</v>
      </c>
      <c r="V6706" s="1" t="s">
        <v>11954</v>
      </c>
      <c r="W6706" s="1" t="s">
        <v>11955</v>
      </c>
      <c r="AR6706" s="1" t="str">
        <f t="shared" si="428"/>
        <v>| [ㄏㄤˋ](ㄏㄤˋ.md) | [行](行.md) |  | hàng | 參見「行行」、「樹行子」等條。 |</v>
      </c>
    </row>
    <row r="6707" spans="1:44" hidden="1">
      <c r="A6707" s="1" t="s">
        <v>11932</v>
      </c>
      <c r="C6707" s="1">
        <v>1</v>
      </c>
      <c r="D6707" s="1" t="str">
        <f>"04914"</f>
        <v>04914</v>
      </c>
      <c r="E6707" s="1" t="s">
        <v>139</v>
      </c>
      <c r="F6707" s="1">
        <v>10</v>
      </c>
      <c r="G6707" s="1">
        <v>6</v>
      </c>
      <c r="H6707" s="1">
        <v>3</v>
      </c>
      <c r="I6707" s="1" t="s">
        <v>11952</v>
      </c>
      <c r="K6707" s="1" t="str">
        <f t="shared" si="426"/>
        <v>ㄏ</v>
      </c>
      <c r="L6707" s="1" t="str">
        <f t="shared" si="427"/>
        <v>ㄤ</v>
      </c>
      <c r="N6707" s="3" t="s">
        <v>30574</v>
      </c>
      <c r="O6707" s="3"/>
      <c r="P6707" s="1" t="s">
        <v>20</v>
      </c>
      <c r="R6707" s="1" t="s">
        <v>11953</v>
      </c>
      <c r="V6707" s="1" t="s">
        <v>11956</v>
      </c>
      <c r="W6707" s="1" t="s">
        <v>11957</v>
      </c>
      <c r="AR6707" s="1" t="str">
        <f t="shared" si="428"/>
        <v>| [ㄏㄤˋ](ㄏㄤˋ.md) | [桁](桁.md) |  | hàng | [名]
衣架。《宋書．卷二一．樂志三》：「盎中無斗儲，還視桁上無縣衣。」唐．韓愈〈寄崔二十六立之〉詩：「桁挂新衣裳，盎棄食殘糜。」 |</v>
      </c>
    </row>
    <row r="6708" spans="1:44" hidden="1">
      <c r="A6708" s="1" t="s">
        <v>11935</v>
      </c>
      <c r="C6708" s="1">
        <v>1</v>
      </c>
      <c r="D6708" s="1" t="str">
        <f>"04915"</f>
        <v>04915</v>
      </c>
      <c r="E6708" s="1" t="s">
        <v>129</v>
      </c>
      <c r="F6708" s="1">
        <v>7</v>
      </c>
      <c r="G6708" s="1">
        <v>4</v>
      </c>
      <c r="H6708" s="1">
        <v>2</v>
      </c>
      <c r="I6708" s="1" t="s">
        <v>11952</v>
      </c>
      <c r="K6708" s="1" t="str">
        <f t="shared" si="426"/>
        <v>ㄏ</v>
      </c>
      <c r="L6708" s="1" t="str">
        <f t="shared" si="427"/>
        <v>ㄤ</v>
      </c>
      <c r="N6708" s="3" t="s">
        <v>30574</v>
      </c>
      <c r="O6708" s="3"/>
      <c r="P6708" s="1" t="s">
        <v>20</v>
      </c>
      <c r="R6708" s="1" t="s">
        <v>11953</v>
      </c>
      <c r="V6708" s="1" t="s">
        <v>11958</v>
      </c>
      <c r="W6708" s="1" t="s">
        <v>11959</v>
      </c>
      <c r="AR6708" s="1" t="str">
        <f t="shared" si="428"/>
        <v>| [ㄏㄤˋ](ㄏㄤˋ.md) | [沆](沆.md) |  | hàng | 參見「漭沆」條。 |</v>
      </c>
    </row>
    <row r="6709" spans="1:44" hidden="1">
      <c r="A6709" s="1" t="s">
        <v>11927</v>
      </c>
      <c r="C6709" s="1">
        <v>1</v>
      </c>
      <c r="D6709" s="1" t="str">
        <f>"04903"</f>
        <v>04903</v>
      </c>
      <c r="E6709" s="1" t="s">
        <v>7105</v>
      </c>
      <c r="F6709" s="1">
        <v>6</v>
      </c>
      <c r="G6709" s="1">
        <v>0</v>
      </c>
      <c r="H6709" s="1">
        <v>3</v>
      </c>
      <c r="I6709" s="1" t="s">
        <v>11928</v>
      </c>
      <c r="K6709" s="1" t="str">
        <f t="shared" si="426"/>
        <v>ㄏ</v>
      </c>
      <c r="L6709" s="1" t="str">
        <f t="shared" si="427"/>
        <v>ㄤ</v>
      </c>
      <c r="N6709" s="3" t="s">
        <v>30575</v>
      </c>
      <c r="O6709" s="3"/>
      <c r="P6709" s="1" t="s">
        <v>20</v>
      </c>
      <c r="R6709" s="1" t="s">
        <v>11929</v>
      </c>
      <c r="V6709" s="1" t="s">
        <v>11930</v>
      </c>
      <c r="W6709" s="1" t="s">
        <v>11931</v>
      </c>
      <c r="AR6709" s="1" t="str">
        <f t="shared" si="428"/>
        <v>| [ㄏㄤˊ](ㄏㄤˊ.md) | [行](行.md) |  | háng | [名]
1.行列。直列為行，橫排為列。《左傳．成公二年》：「屬當戎行，無所逃隱。」唐．杜甫〈贈衛八處士〉詩：「昔別君未婚，兒女忽成行。」
2.兄弟姐妹長幼的次序。如：「排行老三。」
3.量詞。計算成排東西的單位。如：「一行樹」、「一目十行」。唐．杜甫〈絕句〉四首之三：「兩個黃鸝鳴翠柳，一行白鷺上青天。」
4.營業交易的機構。如：「銀行」、「洋行」、「分行」、「商行」、「行庫」。
5.職業。如：「各行各業」、「行行出狀元」、「三句話不離本行」。
6.表處所，用於人稱之後。宋．周邦彥〈風流子．新綠小池塘〉詞：「最苦夢魂，今宵不到伊行。」《水滸傳》第一四回：「你這等賊心賊肝，我行須使不得！」 |</v>
      </c>
    </row>
    <row r="6710" spans="1:44" hidden="1">
      <c r="A6710" s="1" t="s">
        <v>11932</v>
      </c>
      <c r="C6710" s="1">
        <v>1</v>
      </c>
      <c r="D6710" s="1" t="str">
        <f>"04904"</f>
        <v>04904</v>
      </c>
      <c r="E6710" s="1" t="s">
        <v>139</v>
      </c>
      <c r="F6710" s="1">
        <v>10</v>
      </c>
      <c r="G6710" s="1">
        <v>6</v>
      </c>
      <c r="H6710" s="1">
        <v>2</v>
      </c>
      <c r="I6710" s="1" t="s">
        <v>11928</v>
      </c>
      <c r="K6710" s="1" t="str">
        <f t="shared" si="426"/>
        <v>ㄏ</v>
      </c>
      <c r="L6710" s="1" t="str">
        <f t="shared" si="427"/>
        <v>ㄤ</v>
      </c>
      <c r="N6710" s="3" t="s">
        <v>30575</v>
      </c>
      <c r="O6710" s="3"/>
      <c r="P6710" s="1" t="s">
        <v>20</v>
      </c>
      <c r="R6710" s="1" t="s">
        <v>11929</v>
      </c>
      <c r="V6710" s="1" t="s">
        <v>11933</v>
      </c>
      <c r="W6710" s="1" t="s">
        <v>11934</v>
      </c>
      <c r="AR6710" s="1" t="str">
        <f t="shared" si="428"/>
        <v>| [ㄏㄤˊ](ㄏㄤˊ.md) | [桁](桁.md) |  | háng | [名]
1.古代的一種大型刑具。夾在犯人的頸上或腳上。《集韻．平聲．唐韻》：「桁，木在足曰械，大械曰桁。」《莊子．在宥》：「桁楊者相推也，刑戮者相望也。」
2.量詞。古代計算成行東西的單位。通「行」。唐．韋莊〈灞陵道中作〉詩：「春橋南望水溶溶，一桁晴山倒碧峰。」五代十國南唐．李煜〈浪淘沙．往事只堪哀〉詞：「一桁珠簾閒不卷，終日誰來。」
3.浮橋。《晉書．卷六七．溫嶠傳》：「嶠燒朱雀桁以挫其鋒，帝怒之。」北魏．酈道元《水經注．涔水注》：「城北水舊有桁，北渡涔水，水北有趙軍城，北又有桁。」 |</v>
      </c>
    </row>
    <row r="6711" spans="1:44" hidden="1">
      <c r="A6711" s="1" t="s">
        <v>11935</v>
      </c>
      <c r="C6711" s="1">
        <v>1</v>
      </c>
      <c r="D6711" s="1" t="str">
        <f>"04905"</f>
        <v>04905</v>
      </c>
      <c r="E6711" s="1" t="s">
        <v>129</v>
      </c>
      <c r="F6711" s="1">
        <v>7</v>
      </c>
      <c r="G6711" s="1">
        <v>4</v>
      </c>
      <c r="H6711" s="1">
        <v>1</v>
      </c>
      <c r="I6711" s="1" t="s">
        <v>11928</v>
      </c>
      <c r="K6711" s="1" t="str">
        <f t="shared" si="426"/>
        <v>ㄏ</v>
      </c>
      <c r="L6711" s="1" t="str">
        <f t="shared" si="427"/>
        <v>ㄤ</v>
      </c>
      <c r="N6711" s="3" t="s">
        <v>30575</v>
      </c>
      <c r="O6711" s="3"/>
      <c r="P6711" s="1" t="s">
        <v>20</v>
      </c>
      <c r="R6711" s="1" t="s">
        <v>11929</v>
      </c>
      <c r="V6711" s="1" t="s">
        <v>11936</v>
      </c>
      <c r="W6711" s="1" t="s">
        <v>11937</v>
      </c>
      <c r="AR6711" s="1" t="str">
        <f t="shared" si="428"/>
        <v>| [ㄏㄤˊ](ㄏㄤˊ.md) | [沆](沆.md) |  | háng | [動]
渡水。《廣韻．平聲．唐韻》：「沆，渡也。」 |</v>
      </c>
    </row>
    <row r="6712" spans="1:44" hidden="1">
      <c r="A6712" s="1" t="s">
        <v>11092</v>
      </c>
      <c r="C6712" s="1">
        <v>1</v>
      </c>
      <c r="D6712" s="1" t="str">
        <f>"04906"</f>
        <v>04906</v>
      </c>
      <c r="E6712" s="1" t="s">
        <v>28</v>
      </c>
      <c r="F6712" s="1">
        <v>7</v>
      </c>
      <c r="G6712" s="1">
        <v>4</v>
      </c>
      <c r="H6712" s="1">
        <v>1</v>
      </c>
      <c r="I6712" s="1" t="s">
        <v>11928</v>
      </c>
      <c r="K6712" s="1" t="str">
        <f t="shared" si="426"/>
        <v>ㄏ</v>
      </c>
      <c r="L6712" s="1" t="str">
        <f t="shared" si="427"/>
        <v>ㄤ</v>
      </c>
      <c r="N6712" s="3" t="s">
        <v>30575</v>
      </c>
      <c r="O6712" s="3"/>
      <c r="P6712" s="1" t="s">
        <v>20</v>
      </c>
      <c r="R6712" s="1" t="s">
        <v>11929</v>
      </c>
      <c r="V6712" s="1" t="s">
        <v>11938</v>
      </c>
      <c r="W6712" s="1" t="s">
        <v>11939</v>
      </c>
      <c r="AR6712" s="1" t="str">
        <f t="shared" si="428"/>
        <v>| [ㄏㄤˊ](ㄏㄤˊ.md) | [吭](吭.md) |  | háng | [名]
咽喉、喉嚨。如：「引吭高歌」、「扼吭憤嘆」。《文選．左思．蜀都賦》：「雲飛水宿，哢吭清渠。」唐．柳宗元〈上門下李夷簡相公陳情書〉：「然猶仰首伸吭，張目而視。」 |</v>
      </c>
    </row>
    <row r="6713" spans="1:44" hidden="1">
      <c r="A6713" s="1" t="s">
        <v>11940</v>
      </c>
      <c r="C6713" s="1">
        <v>1</v>
      </c>
      <c r="D6713" s="1" t="str">
        <f>"04907"</f>
        <v>04907</v>
      </c>
      <c r="E6713" s="1" t="s">
        <v>558</v>
      </c>
      <c r="F6713" s="1">
        <v>8</v>
      </c>
      <c r="G6713" s="1">
        <v>4</v>
      </c>
      <c r="H6713" s="1">
        <v>0</v>
      </c>
      <c r="I6713" s="1" t="s">
        <v>11928</v>
      </c>
      <c r="K6713" s="1" t="str">
        <f t="shared" si="426"/>
        <v>ㄏ</v>
      </c>
      <c r="L6713" s="1" t="str">
        <f t="shared" si="427"/>
        <v>ㄤ</v>
      </c>
      <c r="N6713" s="3" t="s">
        <v>30575</v>
      </c>
      <c r="O6713" s="3"/>
      <c r="P6713" s="1" t="s">
        <v>20</v>
      </c>
      <c r="R6713" s="1" t="s">
        <v>11929</v>
      </c>
      <c r="V6713" s="1" t="s">
        <v>11941</v>
      </c>
      <c r="AR6713" s="1" t="str">
        <f t="shared" si="428"/>
        <v>| [ㄏㄤˊ](ㄏㄤˊ.md) | [迒](迒.md) |  | háng | [名]
1.野獸經過所留下的痕跡。漢．許慎〈說文解字序〉：「黃帝之史倉頡，見鳥獸蹄迒之跡，知分理之可相別異也，初造書契。」宋．黃庭堅〈上大蒙籠〉詩：「苦竹參天大石門，虎迒兔蹊聊倚息。」
2.道路。《文選．張衡．西京賦》：「結罝百里，迒杜蹊塞。」三國吳．薛綜．注：「迒，道也。」
3.車行的痕跡。《文選．張衡．東京賦》：「軌塵掩迒，匪疾匪徐。」 |</v>
      </c>
    </row>
    <row r="6714" spans="1:44" hidden="1">
      <c r="A6714" s="1" t="s">
        <v>11942</v>
      </c>
      <c r="C6714" s="1">
        <v>1</v>
      </c>
      <c r="D6714" s="1" t="str">
        <f>"04908"</f>
        <v>04908</v>
      </c>
      <c r="E6714" s="1" t="s">
        <v>139</v>
      </c>
      <c r="F6714" s="1">
        <v>8</v>
      </c>
      <c r="G6714" s="1">
        <v>4</v>
      </c>
      <c r="H6714" s="1">
        <v>0</v>
      </c>
      <c r="I6714" s="1" t="s">
        <v>11928</v>
      </c>
      <c r="K6714" s="1" t="str">
        <f t="shared" si="426"/>
        <v>ㄏ</v>
      </c>
      <c r="L6714" s="1" t="str">
        <f t="shared" si="427"/>
        <v>ㄤ</v>
      </c>
      <c r="N6714" s="3" t="s">
        <v>30575</v>
      </c>
      <c r="O6714" s="3"/>
      <c r="P6714" s="1" t="s">
        <v>20</v>
      </c>
      <c r="R6714" s="1" t="s">
        <v>11929</v>
      </c>
      <c r="V6714" s="1" t="s">
        <v>11943</v>
      </c>
      <c r="AR6714" s="1" t="str">
        <f t="shared" si="428"/>
        <v>| [ㄏㄤˊ](ㄏㄤˊ.md) | [杭](杭.md) |  | háng | [名]
1.舟、船。通「航」。《楚辭．屈原．九章．惜誦》：「昔余夢登天兮，魂中道而無杭。」《史記．卷一一七．司馬相如傳》：「經營炎火而浮弱水兮，杭絕浮渚而涉流沙。」
2.大陸地區杭州的簡稱。如：「上有天堂，下有蘇杭。」
3.姓。如漢代有杭徐。
[動]
渡水。通「航」。《詩經．衛風．河廣》：「誰謂河廣？一葦杭之。」 |</v>
      </c>
    </row>
    <row r="6715" spans="1:44" hidden="1">
      <c r="A6715" s="1" t="s">
        <v>11944</v>
      </c>
      <c r="C6715" s="1">
        <v>1</v>
      </c>
      <c r="D6715" s="1" t="str">
        <f>"04909"</f>
        <v>04909</v>
      </c>
      <c r="E6715" s="1" t="s">
        <v>68</v>
      </c>
      <c r="F6715" s="1">
        <v>8</v>
      </c>
      <c r="G6715" s="1">
        <v>4</v>
      </c>
      <c r="H6715" s="1">
        <v>0</v>
      </c>
      <c r="I6715" s="1" t="s">
        <v>11928</v>
      </c>
      <c r="K6715" s="1" t="str">
        <f t="shared" si="426"/>
        <v>ㄏ</v>
      </c>
      <c r="L6715" s="1" t="str">
        <f t="shared" si="427"/>
        <v>ㄤ</v>
      </c>
      <c r="N6715" s="3" t="s">
        <v>30575</v>
      </c>
      <c r="O6715" s="3"/>
      <c r="P6715" s="1" t="s">
        <v>20</v>
      </c>
      <c r="R6715" s="1" t="s">
        <v>11929</v>
      </c>
      <c r="V6715" s="1" t="s">
        <v>11945</v>
      </c>
      <c r="AR6715" s="1" t="str">
        <f t="shared" si="428"/>
        <v>| [ㄏㄤˊ](ㄏㄤˊ.md) | [肮](肮.md) |  | háng | [名]
咽喉。《史記．卷八九．張耳陳餘傳》：「縱上不殺我，我不愧于心乎？乃仰絕肮，遂死。」 |</v>
      </c>
    </row>
    <row r="6716" spans="1:44" hidden="1">
      <c r="A6716" s="1" t="s">
        <v>11946</v>
      </c>
      <c r="C6716" s="1">
        <v>1</v>
      </c>
      <c r="D6716" s="1" t="str">
        <f>"04910"</f>
        <v>04910</v>
      </c>
      <c r="E6716" s="1" t="s">
        <v>679</v>
      </c>
      <c r="F6716" s="1">
        <v>10</v>
      </c>
      <c r="G6716" s="1">
        <v>4</v>
      </c>
      <c r="H6716" s="1">
        <v>0</v>
      </c>
      <c r="I6716" s="1" t="s">
        <v>11928</v>
      </c>
      <c r="K6716" s="1" t="str">
        <f t="shared" si="426"/>
        <v>ㄏ</v>
      </c>
      <c r="L6716" s="1" t="str">
        <f t="shared" si="427"/>
        <v>ㄤ</v>
      </c>
      <c r="N6716" s="3" t="s">
        <v>30575</v>
      </c>
      <c r="O6716" s="3"/>
      <c r="P6716" s="1" t="s">
        <v>20</v>
      </c>
      <c r="R6716" s="1" t="s">
        <v>11929</v>
      </c>
      <c r="V6716" s="1" t="s">
        <v>11947</v>
      </c>
      <c r="AR6716" s="1" t="str">
        <f t="shared" si="428"/>
        <v>| [ㄏㄤˊ](ㄏㄤˊ.md) | [蚢](蚢.md) |  | háng | [名]
1.一種野蠶。蛾類的幼蟲，食蕭葉為生。《爾雅．釋蟲》：「蚢，蕭繭。」宋．邢昺．疏：「食蕭葉作繭者名蚢。」
2.大貝。《文選．郭璞．江賦》：「紫蚢如渠，洪蚶專車。」李善注引《爾雅》曰：「大貝曰蚢。」 |</v>
      </c>
    </row>
    <row r="6717" spans="1:44" hidden="1">
      <c r="A6717" s="1" t="s">
        <v>11948</v>
      </c>
      <c r="C6717" s="1">
        <v>1</v>
      </c>
      <c r="D6717" s="1" t="str">
        <f>"04911"</f>
        <v>04911</v>
      </c>
      <c r="E6717" s="1" t="s">
        <v>181</v>
      </c>
      <c r="F6717" s="1">
        <v>10</v>
      </c>
      <c r="G6717" s="1">
        <v>4</v>
      </c>
      <c r="H6717" s="1">
        <v>0</v>
      </c>
      <c r="I6717" s="1" t="s">
        <v>11928</v>
      </c>
      <c r="K6717" s="1" t="str">
        <f t="shared" si="426"/>
        <v>ㄏ</v>
      </c>
      <c r="L6717" s="1" t="str">
        <f t="shared" si="427"/>
        <v>ㄤ</v>
      </c>
      <c r="N6717" s="3" t="s">
        <v>30575</v>
      </c>
      <c r="O6717" s="3"/>
      <c r="P6717" s="1" t="s">
        <v>20</v>
      </c>
      <c r="R6717" s="1" t="s">
        <v>11929</v>
      </c>
      <c r="V6717" s="1" t="s">
        <v>11949</v>
      </c>
      <c r="AR6717" s="1" t="str">
        <f t="shared" si="428"/>
        <v>| [ㄏㄤˊ](ㄏㄤˊ.md) | [航](航.md) |  | háng | [名]
1.舟、船。《文選．左思．吳都賦》：「於是乎長鯨吞航，修鯢吐浪。」元．馬致遠〈壽陽曲．遠浦帆歸〉曲：「夕陽下，酒旆閑，兩三航未曾著岸。」
2.連舟而成的浮橋。《淮南子．氾論》：「古者大川名谷，衝絕道路，不通往來也，乃為窬木方版以為舟航。」
[動]
船、飛機等的行走。如：「領航」、「巡航」、「導航」。唐．韓愈〈答張徹〉詩：「疊雪走商嶺，飛波航洞庭。」 |</v>
      </c>
    </row>
    <row r="6718" spans="1:44" hidden="1">
      <c r="A6718" s="1" t="s">
        <v>11950</v>
      </c>
      <c r="C6718" s="1">
        <v>1</v>
      </c>
      <c r="D6718" s="1" t="str">
        <f>"04912"</f>
        <v>04912</v>
      </c>
      <c r="E6718" s="1" t="s">
        <v>684</v>
      </c>
      <c r="F6718" s="1">
        <v>13</v>
      </c>
      <c r="G6718" s="1">
        <v>4</v>
      </c>
      <c r="H6718" s="1">
        <v>0</v>
      </c>
      <c r="I6718" s="1" t="s">
        <v>11928</v>
      </c>
      <c r="K6718" s="1" t="str">
        <f t="shared" si="426"/>
        <v>ㄏ</v>
      </c>
      <c r="L6718" s="1" t="str">
        <f t="shared" si="427"/>
        <v>ㄤ</v>
      </c>
      <c r="N6718" s="3" t="s">
        <v>30575</v>
      </c>
      <c r="O6718" s="3"/>
      <c r="P6718" s="1" t="s">
        <v>20</v>
      </c>
      <c r="R6718" s="1" t="s">
        <v>11929</v>
      </c>
      <c r="V6718" s="1" t="s">
        <v>11951</v>
      </c>
      <c r="AR6718" s="1" t="str">
        <f t="shared" si="428"/>
        <v>| [ㄏㄤˊ](ㄏㄤˊ.md) | [頏](頏.md) |  | háng | [動]
鳥向下飛。《詩經．邶風．燕燕》：「燕燕于飛，頡之頏之。」漢．毛亨．傳：「飛而上曰頡，飛而下曰頏。」 |</v>
      </c>
    </row>
    <row r="6719" spans="1:44" hidden="1">
      <c r="A6719" s="1" t="s">
        <v>11988</v>
      </c>
      <c r="C6719" s="1">
        <v>1</v>
      </c>
      <c r="D6719" s="1" t="str">
        <f>"04927"</f>
        <v>04927</v>
      </c>
      <c r="E6719" s="1" t="s">
        <v>725</v>
      </c>
      <c r="F6719" s="1">
        <v>12</v>
      </c>
      <c r="G6719" s="1">
        <v>6</v>
      </c>
      <c r="H6719" s="1">
        <v>0</v>
      </c>
      <c r="I6719" s="1" t="s">
        <v>11989</v>
      </c>
      <c r="K6719" s="1" t="str">
        <f t="shared" si="426"/>
        <v>ㄏ</v>
      </c>
      <c r="L6719" s="1" t="str">
        <f t="shared" si="427"/>
        <v>ㄥ</v>
      </c>
      <c r="N6719" s="3" t="s">
        <v>30574</v>
      </c>
      <c r="O6719" s="3"/>
      <c r="P6719" s="1" t="s">
        <v>20</v>
      </c>
      <c r="R6719" s="1" t="s">
        <v>11990</v>
      </c>
      <c r="V6719" s="1" t="s">
        <v>11991</v>
      </c>
      <c r="AR6719" s="1" t="str">
        <f t="shared" si="428"/>
        <v>| [ㄏㄥˋ](ㄏㄥˋ.md) | [絎](絎.md) |  | hèng | [名]
邊緣。清．王念孫《廣雅疏證．卷二下．釋詁》：「絎，緣也。」
[動]
用針線粗針直縫，使布料固定。《廣韻．去聲．映韻》：「絎，刺縫。」 |</v>
      </c>
    </row>
    <row r="6720" spans="1:44" hidden="1">
      <c r="A6720" s="1" t="s">
        <v>11981</v>
      </c>
      <c r="C6720" s="1">
        <v>1</v>
      </c>
      <c r="D6720" s="1" t="str">
        <f>"04928"</f>
        <v>04928</v>
      </c>
      <c r="E6720" s="1" t="s">
        <v>139</v>
      </c>
      <c r="F6720" s="1">
        <v>16</v>
      </c>
      <c r="G6720" s="1">
        <v>12</v>
      </c>
      <c r="H6720" s="1">
        <v>2</v>
      </c>
      <c r="I6720" s="1" t="s">
        <v>11989</v>
      </c>
      <c r="K6720" s="1" t="str">
        <f t="shared" si="426"/>
        <v>ㄏ</v>
      </c>
      <c r="L6720" s="1" t="str">
        <f t="shared" si="427"/>
        <v>ㄥ</v>
      </c>
      <c r="N6720" s="3" t="s">
        <v>30574</v>
      </c>
      <c r="O6720" s="3"/>
      <c r="P6720" s="1" t="s">
        <v>20</v>
      </c>
      <c r="R6720" s="1" t="s">
        <v>11990</v>
      </c>
      <c r="V6720" s="1" t="s">
        <v>11992</v>
      </c>
      <c r="W6720" s="1" t="s">
        <v>11993</v>
      </c>
      <c r="AR6720" s="1" t="str">
        <f t="shared" si="428"/>
        <v>| [ㄏㄥˋ](ㄏㄥˋ.md) | [橫](橫.md) |  | hèng | [形]
1.放肆、粗暴、不講理的。如：「蠻橫」、「專橫」、「橫政」。宋．歐陽修〈蝶戀花．庭院深深深幾許〉詞：「雨橫風狂三月暮。門掩黃昏，無計留春住。」
2.意想不到的、不正常的。如：「橫事」、「橫禍」。《儒林外史》第一九回：「二相公，你如今得了這一注橫財，這就不要花費了，做些正經事。」 |</v>
      </c>
    </row>
    <row r="6721" spans="1:44" hidden="1">
      <c r="A6721" s="1" t="s">
        <v>1974</v>
      </c>
      <c r="C6721" s="1">
        <v>1</v>
      </c>
      <c r="D6721" s="1" t="str">
        <f>"04919"</f>
        <v>04919</v>
      </c>
      <c r="E6721" s="1" t="s">
        <v>367</v>
      </c>
      <c r="F6721" s="1">
        <v>7</v>
      </c>
      <c r="G6721" s="1">
        <v>5</v>
      </c>
      <c r="H6721" s="1">
        <v>2</v>
      </c>
      <c r="I6721" s="1" t="s">
        <v>11968</v>
      </c>
      <c r="K6721" s="1" t="str">
        <f t="shared" ref="K6721:K6784" si="429">LEFT(I6721, 1)</f>
        <v>ㄏ</v>
      </c>
      <c r="L6721" s="1" t="str">
        <f t="shared" ref="L6721:L6784" si="430">MID(I6721, 2, 1)</f>
        <v>ㄥ</v>
      </c>
      <c r="N6721" s="3" t="s">
        <v>30575</v>
      </c>
      <c r="O6721" s="3"/>
      <c r="P6721" s="1" t="s">
        <v>110</v>
      </c>
      <c r="R6721" s="1" t="s">
        <v>11969</v>
      </c>
      <c r="V6721" s="1" t="s">
        <v>111</v>
      </c>
      <c r="W6721" s="1" t="s">
        <v>11970</v>
      </c>
      <c r="AR6721" s="1" t="str">
        <f t="shared" si="428"/>
        <v>| [ㄏㄥˊ](ㄏㄥˊ.md) | [亨](亨.md) |  | héng | (一)之又音。 |</v>
      </c>
    </row>
    <row r="6722" spans="1:44" hidden="1">
      <c r="A6722" s="1" t="s">
        <v>11910</v>
      </c>
      <c r="C6722" s="1">
        <v>1</v>
      </c>
      <c r="D6722" s="1" t="str">
        <f>"04919A"</f>
        <v>04919A</v>
      </c>
      <c r="E6722" s="1" t="s">
        <v>114</v>
      </c>
      <c r="F6722" s="1">
        <v>8</v>
      </c>
      <c r="G6722" s="1">
        <v>6</v>
      </c>
      <c r="H6722" s="1">
        <v>2</v>
      </c>
      <c r="I6722" s="1" t="s">
        <v>11968</v>
      </c>
      <c r="K6722" s="1" t="str">
        <f t="shared" si="429"/>
        <v>ㄏ</v>
      </c>
      <c r="L6722" s="1" t="str">
        <f t="shared" si="430"/>
        <v>ㄥ</v>
      </c>
      <c r="N6722" s="3" t="s">
        <v>30575</v>
      </c>
      <c r="O6722" s="3"/>
      <c r="P6722" s="1" t="s">
        <v>20</v>
      </c>
      <c r="R6722" s="1" t="s">
        <v>11969</v>
      </c>
      <c r="V6722" s="1" t="s">
        <v>11971</v>
      </c>
      <c r="W6722" s="1" t="s">
        <v>11972</v>
      </c>
      <c r="AR6722" s="1" t="str">
        <f t="shared" si="428"/>
        <v>| [ㄏㄥˊ](ㄏㄥˊ.md) | [佷](佷.md) |  | héng | [名]
地名用字：(1)如大陸地區湖北省長陽縣西北的佷山。(2)如漢朝時的佷山縣，屬武陵郡，位於現今大陸地區湖北省長陽縣東。 |</v>
      </c>
    </row>
    <row r="6723" spans="1:44" hidden="1">
      <c r="A6723" s="1" t="s">
        <v>11973</v>
      </c>
      <c r="C6723" s="1">
        <v>1</v>
      </c>
      <c r="D6723" s="1" t="str">
        <f>"04920"</f>
        <v>04920</v>
      </c>
      <c r="E6723" s="1" t="s">
        <v>250</v>
      </c>
      <c r="F6723" s="1">
        <v>9</v>
      </c>
      <c r="G6723" s="1">
        <v>6</v>
      </c>
      <c r="H6723" s="1">
        <v>0</v>
      </c>
      <c r="I6723" s="1" t="s">
        <v>11968</v>
      </c>
      <c r="K6723" s="1" t="str">
        <f t="shared" si="429"/>
        <v>ㄏ</v>
      </c>
      <c r="L6723" s="1" t="str">
        <f t="shared" si="430"/>
        <v>ㄥ</v>
      </c>
      <c r="N6723" s="3" t="s">
        <v>30575</v>
      </c>
      <c r="O6723" s="3"/>
      <c r="P6723" s="1" t="s">
        <v>20</v>
      </c>
      <c r="R6723" s="1" t="s">
        <v>11969</v>
      </c>
      <c r="V6723" s="1" t="s">
        <v>11974</v>
      </c>
      <c r="AR6723" s="1" t="str">
        <f t="shared" ref="AR6723:AR6786" si="431">"| ["&amp;I6723&amp;"]("&amp;I6723&amp;".md) | ["&amp;A6723&amp;"]("&amp;A6723&amp;".md) | "&amp;" | "&amp;R6723&amp;" | "&amp;V6723&amp;" |"</f>
        <v>| [ㄏㄥˊ](ㄏㄥˊ.md) | [恆](恆.md) |  | héng | [形]
1.長久的、不變的。如：「恆心」。《孟子．梁惠王上》：「無恆產而有恆心者，惟士為能。」南朝梁．劉勰《文心雕龍．物色》：「然物有恆姿，而思無定檢。」
2.平常的、普通的。《莊子．大宗師》：「是恆物之大情也。」《後漢書．卷八三．逸民傳．梁鴻傳》：「鄰家耆老，見鴻非恆人，乃共責讓主人，而稱鴻長者。」
[名]
1.長久不變的意志。如：「持之以恆」。《論語．子路》：「人而無恆，不可以作巫醫。」《文選．崔瑗．座右銘》：「行之苟有恆，久久自芬芳。」
2.《易經》卦名。六十四卦之一。巽（☴）下震（☳）上。表長久不變之道。
3.姓。如漢代有恆奕。
[副]
經常。《書經．伊訓》：「敢有恆舞於宮，酣歌於室，時謂巫風。」《晉書．卷九四．隱逸傳．陶潛傳》：「性嗜酒，而家貧不能恆得。」 |</v>
      </c>
    </row>
    <row r="6724" spans="1:44" hidden="1">
      <c r="A6724" s="1" t="s">
        <v>11975</v>
      </c>
      <c r="C6724" s="1">
        <v>1</v>
      </c>
      <c r="D6724" s="1" t="str">
        <f>"04921"</f>
        <v>04921</v>
      </c>
      <c r="E6724" s="1" t="s">
        <v>534</v>
      </c>
      <c r="F6724" s="1">
        <v>9</v>
      </c>
      <c r="G6724" s="1">
        <v>6</v>
      </c>
      <c r="H6724" s="1">
        <v>0</v>
      </c>
      <c r="I6724" s="1" t="s">
        <v>11968</v>
      </c>
      <c r="K6724" s="1" t="str">
        <f t="shared" si="429"/>
        <v>ㄏ</v>
      </c>
      <c r="L6724" s="1" t="str">
        <f t="shared" si="430"/>
        <v>ㄥ</v>
      </c>
      <c r="N6724" s="3" t="s">
        <v>30575</v>
      </c>
      <c r="O6724" s="3"/>
      <c r="P6724" s="1" t="s">
        <v>20</v>
      </c>
      <c r="R6724" s="1" t="s">
        <v>11969</v>
      </c>
      <c r="V6724" s="1" t="s">
        <v>11976</v>
      </c>
      <c r="AR6724" s="1" t="str">
        <f t="shared" si="431"/>
        <v>| [ㄏㄥˊ](ㄏㄥˊ.md) | [姮](姮.md) |  | héng | 參見「姮娥」條。 |</v>
      </c>
    </row>
    <row r="6725" spans="1:44" hidden="1">
      <c r="A6725" s="1" t="s">
        <v>11977</v>
      </c>
      <c r="C6725" s="1">
        <v>1</v>
      </c>
      <c r="D6725" s="1" t="str">
        <f>"04922"</f>
        <v>04922</v>
      </c>
      <c r="E6725" s="1" t="s">
        <v>142</v>
      </c>
      <c r="F6725" s="1">
        <v>10</v>
      </c>
      <c r="G6725" s="1">
        <v>6</v>
      </c>
      <c r="H6725" s="1">
        <v>0</v>
      </c>
      <c r="I6725" s="1" t="s">
        <v>11968</v>
      </c>
      <c r="K6725" s="1" t="str">
        <f t="shared" si="429"/>
        <v>ㄏ</v>
      </c>
      <c r="L6725" s="1" t="str">
        <f t="shared" si="430"/>
        <v>ㄥ</v>
      </c>
      <c r="N6725" s="3" t="s">
        <v>30575</v>
      </c>
      <c r="O6725" s="3"/>
      <c r="P6725" s="1" t="s">
        <v>20</v>
      </c>
      <c r="R6725" s="1" t="s">
        <v>11969</v>
      </c>
      <c r="V6725" s="1" t="s">
        <v>11978</v>
      </c>
      <c r="AR6725" s="1" t="str">
        <f t="shared" si="431"/>
        <v>| [ㄏㄥˊ](ㄏㄥˊ.md) | [珩](珩.md) |  | héng | [名]
古代一組玉佩上端的橫玉。清．朱駿聲《說文通訓定聲．壯部》：「珩者，佩首橫玉，所以繫組。」《國語．晉語二》：「黃金四十鎰，白玉之珩六雙。」三國吳．韋昭．注：「珩，佩上飾也。珩形似磬而小。」 |</v>
      </c>
    </row>
    <row r="6726" spans="1:44" hidden="1">
      <c r="A6726" s="1" t="s">
        <v>11932</v>
      </c>
      <c r="C6726" s="1">
        <v>1</v>
      </c>
      <c r="D6726" s="1" t="str">
        <f>"04923"</f>
        <v>04923</v>
      </c>
      <c r="E6726" s="1" t="s">
        <v>139</v>
      </c>
      <c r="F6726" s="1">
        <v>10</v>
      </c>
      <c r="G6726" s="1">
        <v>6</v>
      </c>
      <c r="H6726" s="1">
        <v>1</v>
      </c>
      <c r="I6726" s="1" t="s">
        <v>11968</v>
      </c>
      <c r="K6726" s="1" t="str">
        <f t="shared" si="429"/>
        <v>ㄏ</v>
      </c>
      <c r="L6726" s="1" t="str">
        <f t="shared" si="430"/>
        <v>ㄥ</v>
      </c>
      <c r="N6726" s="3" t="s">
        <v>30575</v>
      </c>
      <c r="O6726" s="3"/>
      <c r="P6726" s="1" t="s">
        <v>20</v>
      </c>
      <c r="R6726" s="1" t="s">
        <v>11969</v>
      </c>
      <c r="V6726" s="1" t="s">
        <v>11979</v>
      </c>
      <c r="W6726" s="1" t="s">
        <v>11980</v>
      </c>
      <c r="AR6726" s="1" t="str">
        <f t="shared" si="431"/>
        <v>| [ㄏㄥˊ](ㄏㄥˊ.md) | [桁](桁.md) |  | héng | [名]
屋梁上的橫木。《文選．何晏．景福殿賦》：「桁梧複疊，勢合形離。」唐．李善．注：「桁，梁上所施也。」 |</v>
      </c>
    </row>
    <row r="6727" spans="1:44" hidden="1">
      <c r="A6727" s="1" t="s">
        <v>11981</v>
      </c>
      <c r="C6727" s="1">
        <v>1</v>
      </c>
      <c r="D6727" s="1" t="str">
        <f>"04924"</f>
        <v>04924</v>
      </c>
      <c r="E6727" s="1" t="s">
        <v>139</v>
      </c>
      <c r="F6727" s="1">
        <v>16</v>
      </c>
      <c r="G6727" s="1">
        <v>12</v>
      </c>
      <c r="H6727" s="1">
        <v>1</v>
      </c>
      <c r="I6727" s="1" t="s">
        <v>11968</v>
      </c>
      <c r="K6727" s="1" t="str">
        <f t="shared" si="429"/>
        <v>ㄏ</v>
      </c>
      <c r="L6727" s="1" t="str">
        <f t="shared" si="430"/>
        <v>ㄥ</v>
      </c>
      <c r="N6727" s="3" t="s">
        <v>30575</v>
      </c>
      <c r="O6727" s="3"/>
      <c r="P6727" s="1" t="s">
        <v>20</v>
      </c>
      <c r="R6727" s="1" t="s">
        <v>11969</v>
      </c>
      <c r="V6727" s="1" t="s">
        <v>11982</v>
      </c>
      <c r="W6727" s="1" t="s">
        <v>11983</v>
      </c>
      <c r="AR6727" s="1" t="str">
        <f t="shared" si="431"/>
        <v>| [ㄏㄥˊ](ㄏㄥˊ.md) | [橫](橫.md) |  | héng | [名]
1.遮門的欄木。《說文解字．木部》：「橫，闌木也。」清．段玉裁．注：「闌，門遮也。引伸為凡遮之稱。凡以木闌之，皆謂之橫也。」
2.與地平線平行、東西向的線條。與「直」、「豎」、「縱」相對。如：「縱橫交錯」。《楚辭．東方朔．七諫．沈江》：「不開寤而難道兮，不別橫之與縱。」
3.書法中由左而右的平筆。如：「三橫一豎是『王』字。」
4.連橫的簡稱。為戰國時張儀所提倡的一種外交政策。與「合縱」相對。《文選．賈誼．過秦論》：「約縱離橫，兼韓魏燕趙宋衛中山之眾。」
[動]
1.把直立的東西放平。《儀禮．鄉射禮》：「上射揖進坐，橫弓卻手，自弓下取一個。」宋．蘇軾〈赤壁賦〉：「釃酒臨江，橫槊賦詩，固一世之雄也。」
2.瀰漫、籠罩。《文選．孔稚珪．北山移文》：「風情張日，霜氣橫秋。」唐．韓愈〈左遷至藍關示姪孫湘〉詩：「雲橫秦嶺家何在？雪擁藍關馬不前。」
3.渡過、跨越。《漢書．卷八七．揚雄傳上》：「上乃帥群臣橫大河，湊汾陰。」唐．孟郊〈出門行〉：「參辰出沒不相待，我欲橫天無羽翰。」
[形]
水平的、東西向的。如：「橫笛」、「橫隊」。唐．王建〈織錦曲〉：「窗中夜久睡髻偏，橫釵欲墮垂著扇。」元．馬致遠〈夜行船．百歲光陰一夢蝶套．喬木查〉曲：「縱荒墳橫斷碑，不辨龍蛇。」
[副]
1.水平的、東西向的。如：「橫放」、「橫行」、「橫衝直撞」、「橫渡大西洋」。
2.雜亂的、交錯的。如：「妙趣橫生」。三國魏．曹植〈酒賦〉：「或顰蹴辭觴，或奮爵橫飛。」唐．杜甫〈過郭代公故宅〉詩：「壯公臨事斷，顧步涕橫落。」 |</v>
      </c>
    </row>
    <row r="6728" spans="1:44" hidden="1">
      <c r="A6728" s="1" t="s">
        <v>11984</v>
      </c>
      <c r="C6728" s="1">
        <v>1</v>
      </c>
      <c r="D6728" s="1" t="str">
        <f>"04925"</f>
        <v>04925</v>
      </c>
      <c r="E6728" s="1" t="s">
        <v>7105</v>
      </c>
      <c r="F6728" s="1">
        <v>16</v>
      </c>
      <c r="G6728" s="1">
        <v>10</v>
      </c>
      <c r="H6728" s="1">
        <v>0</v>
      </c>
      <c r="I6728" s="1" t="s">
        <v>11968</v>
      </c>
      <c r="K6728" s="1" t="str">
        <f t="shared" si="429"/>
        <v>ㄏ</v>
      </c>
      <c r="L6728" s="1" t="str">
        <f t="shared" si="430"/>
        <v>ㄥ</v>
      </c>
      <c r="N6728" s="3" t="s">
        <v>30575</v>
      </c>
      <c r="O6728" s="3"/>
      <c r="P6728" s="1" t="s">
        <v>20</v>
      </c>
      <c r="R6728" s="1" t="s">
        <v>11969</v>
      </c>
      <c r="V6728" s="1" t="s">
        <v>11985</v>
      </c>
      <c r="AR6728" s="1" t="str">
        <f t="shared" si="431"/>
        <v>| [ㄏㄥˊ](ㄏㄥˊ.md) | [衡](衡.md) |  | héng | [名]
1.置於車轅前端的橫木。《論語．衛靈公》：「在輿，則見其倚於衡也。」唐．陸德明《經典釋文．卷二七．莊子音義中》：「衡，轅前橫木，縛軛者也。」
2.秤，量輕重的器具。《荀子．禮論》：「衡誠縣矣，則不可欺以輕重。」《文選．張衡．東京賦》：「同衡律而壹軌量，齊急舒於寒燠。」三國吳．薛綜．注：「衡，稱也。軌，法。」
3.眉目之間。《後漢書．卷六〇下．蔡邕列傳》：「胡老乃揚衡含笑，援琴而歌。」南朝梁．劉孝標〈廣絕交論〉：「見一善則盱衡扼腕，遇一才則揚眉抵掌。」
4.玉衡的簡稱，參見「玉衡」條。
5.大陸地區衡山的簡稱。為五嶽之一。唐．王勃〈滕王閣序〉：「星分翼、軫，地接衡、廬。」
6.姓。如漢代有衡咸。
[動]
1.量輕重。《墨子．經說下》：「衡，加重於其一旁，必捶。」晉．陸機〈演連珠〉五〇首之二：「物勝權而衡殆，形過鏡則照窮。」
2.斟酌、考量。如：「衡情度理」、「權衡得失」。
3.違抗、拂逆。《史記．卷六二．管晏傳》：「國有道，即順命；無道，即衡命。」《警世通言．卷九．李謫仙醉草嚇蠻書》：「豈非逆天之咎徵，衡大之明鑒與！」 |</v>
      </c>
    </row>
    <row r="6729" spans="1:44" hidden="1">
      <c r="A6729" s="1" t="s">
        <v>11986</v>
      </c>
      <c r="C6729" s="1">
        <v>1</v>
      </c>
      <c r="D6729" s="1" t="str">
        <f>"04926"</f>
        <v>04926</v>
      </c>
      <c r="E6729" s="1" t="s">
        <v>37</v>
      </c>
      <c r="F6729" s="1">
        <v>20</v>
      </c>
      <c r="G6729" s="1">
        <v>16</v>
      </c>
      <c r="H6729" s="1">
        <v>0</v>
      </c>
      <c r="I6729" s="1" t="s">
        <v>11968</v>
      </c>
      <c r="K6729" s="1" t="str">
        <f t="shared" si="429"/>
        <v>ㄏ</v>
      </c>
      <c r="L6729" s="1" t="str">
        <f t="shared" si="430"/>
        <v>ㄥ</v>
      </c>
      <c r="N6729" s="3" t="s">
        <v>30575</v>
      </c>
      <c r="O6729" s="3"/>
      <c r="P6729" s="1" t="s">
        <v>20</v>
      </c>
      <c r="R6729" s="1" t="s">
        <v>11969</v>
      </c>
      <c r="V6729" s="1" t="s">
        <v>11987</v>
      </c>
      <c r="AR6729" s="1" t="str">
        <f t="shared" si="431"/>
        <v>| [ㄏㄥˊ](ㄏㄥˊ.md) | [蘅](蘅.md) |  | héng | [名]
植物名。馬兜鈴科細辛屬，「杜蘅」之古稱。參見「杜蘅」條。 |</v>
      </c>
    </row>
    <row r="6730" spans="1:44" hidden="1">
      <c r="A6730" s="1" t="s">
        <v>12108</v>
      </c>
      <c r="C6730" s="1">
        <v>1</v>
      </c>
      <c r="D6730" s="1" t="str">
        <f>"04980"</f>
        <v>04980</v>
      </c>
      <c r="E6730" s="1" t="s">
        <v>9954</v>
      </c>
      <c r="F6730" s="1">
        <v>4</v>
      </c>
      <c r="G6730" s="1">
        <v>2</v>
      </c>
      <c r="H6730" s="1">
        <v>0</v>
      </c>
      <c r="I6730" s="1" t="s">
        <v>12109</v>
      </c>
      <c r="K6730" s="1" t="str">
        <f t="shared" si="429"/>
        <v>ㄏ</v>
      </c>
      <c r="L6730" s="1" t="str">
        <f t="shared" si="430"/>
        <v>ㄨ</v>
      </c>
      <c r="N6730" s="3" t="s">
        <v>30574</v>
      </c>
      <c r="O6730" s="3"/>
      <c r="P6730" s="1" t="s">
        <v>20</v>
      </c>
      <c r="R6730" s="1" t="s">
        <v>12110</v>
      </c>
      <c r="V6730" s="1" t="s">
        <v>12111</v>
      </c>
      <c r="AR6730" s="1" t="str">
        <f t="shared" si="431"/>
        <v>| [ㄏㄨˋ](ㄏㄨˋ.md) | [互](互.md) |  | hù | [副]
彼此、相互。如：「互敬互愛」、「互助合作」、「互通有無」、「互不退讓」。
[形]
交錯的。《文選．嵇康．琴賦》：「互嶺巉巖，岝崿嶇崟。」唐．杜甫〈宿花石戍〉詩：「四序本平分，氣候何迴互。」 |</v>
      </c>
    </row>
    <row r="6731" spans="1:44" hidden="1">
      <c r="A6731" s="1" t="s">
        <v>12112</v>
      </c>
      <c r="C6731" s="1">
        <v>1</v>
      </c>
      <c r="D6731" s="1" t="str">
        <f>"04981"</f>
        <v>04981</v>
      </c>
      <c r="E6731" s="1" t="s">
        <v>1381</v>
      </c>
      <c r="F6731" s="1">
        <v>6</v>
      </c>
      <c r="G6731" s="1">
        <v>4</v>
      </c>
      <c r="H6731" s="1">
        <v>0</v>
      </c>
      <c r="I6731" s="1" t="s">
        <v>12109</v>
      </c>
      <c r="K6731" s="1" t="str">
        <f t="shared" si="429"/>
        <v>ㄏ</v>
      </c>
      <c r="L6731" s="1" t="str">
        <f t="shared" si="430"/>
        <v>ㄨ</v>
      </c>
      <c r="N6731" s="3" t="s">
        <v>30574</v>
      </c>
      <c r="O6731" s="3"/>
      <c r="P6731" s="1" t="s">
        <v>20</v>
      </c>
      <c r="R6731" s="1" t="s">
        <v>12110</v>
      </c>
      <c r="V6731" s="1" t="s">
        <v>12113</v>
      </c>
      <c r="AR6731" s="1" t="str">
        <f t="shared" si="431"/>
        <v>| [ㄏㄨˋ](ㄏㄨˋ.md) | [冱](冱.md) |  | hù | [動]
寒氣凝結。《廣韻．去聲．暮韻》：「冱，寒凝。」《舊唐書．卷三〇．音樂志三》：「火林霰雪，湯泉凝冱。」
[形]
凝結的、凍結的。《舊唐書．卷三〇．音樂志三》：「寒雰斂色，冱泉凝漏。」 |</v>
      </c>
    </row>
    <row r="6732" spans="1:44" hidden="1">
      <c r="A6732" s="1" t="s">
        <v>12114</v>
      </c>
      <c r="C6732" s="1">
        <v>1</v>
      </c>
      <c r="D6732" s="1" t="str">
        <f>"04982"</f>
        <v>04982</v>
      </c>
      <c r="E6732" s="1" t="s">
        <v>129</v>
      </c>
      <c r="F6732" s="1">
        <v>7</v>
      </c>
      <c r="G6732" s="1">
        <v>4</v>
      </c>
      <c r="H6732" s="1">
        <v>0</v>
      </c>
      <c r="I6732" s="1" t="s">
        <v>12109</v>
      </c>
      <c r="K6732" s="1" t="str">
        <f t="shared" si="429"/>
        <v>ㄏ</v>
      </c>
      <c r="L6732" s="1" t="str">
        <f t="shared" si="430"/>
        <v>ㄨ</v>
      </c>
      <c r="N6732" s="3" t="s">
        <v>30574</v>
      </c>
      <c r="O6732" s="3"/>
      <c r="P6732" s="1" t="s">
        <v>20</v>
      </c>
      <c r="R6732" s="1" t="s">
        <v>12110</v>
      </c>
      <c r="V6732" s="1" t="s">
        <v>12115</v>
      </c>
      <c r="AR6732" s="1" t="str">
        <f t="shared" si="431"/>
        <v>| [ㄏㄨˋ](ㄏㄨˋ.md) | [沍](沍.md) |  | hù | [動]
1.凝結、凍結。《管子．內業》：「大攝，骨枯而血沍。」《文選．張衡．思玄賦》：「行積冰之磑磑兮，清泉沍而不流。」
2.閉塞。元．張養浩〈上都道中〉詩：「窮沍惟沙漠，昔聞今信然。」 |</v>
      </c>
    </row>
    <row r="6733" spans="1:44" hidden="1">
      <c r="A6733" s="1" t="s">
        <v>12116</v>
      </c>
      <c r="C6733" s="1">
        <v>1</v>
      </c>
      <c r="D6733" s="1" t="str">
        <f>"04983"</f>
        <v>04983</v>
      </c>
      <c r="E6733" s="1" t="s">
        <v>139</v>
      </c>
      <c r="F6733" s="1">
        <v>8</v>
      </c>
      <c r="G6733" s="1">
        <v>4</v>
      </c>
      <c r="H6733" s="1">
        <v>0</v>
      </c>
      <c r="I6733" s="1" t="s">
        <v>12109</v>
      </c>
      <c r="K6733" s="1" t="str">
        <f t="shared" si="429"/>
        <v>ㄏ</v>
      </c>
      <c r="L6733" s="1" t="str">
        <f t="shared" si="430"/>
        <v>ㄨ</v>
      </c>
      <c r="N6733" s="3" t="s">
        <v>30574</v>
      </c>
      <c r="O6733" s="3"/>
      <c r="P6733" s="1" t="s">
        <v>20</v>
      </c>
      <c r="R6733" s="1" t="s">
        <v>12110</v>
      </c>
      <c r="V6733" s="1" t="s">
        <v>12117</v>
      </c>
      <c r="AR6733" s="1" t="str">
        <f t="shared" si="431"/>
        <v>| [ㄏㄨˋ](ㄏㄨˋ.md) | [枑](枑.md) |  | hù | 參見「梐枑」條。 |</v>
      </c>
    </row>
    <row r="6734" spans="1:44" hidden="1">
      <c r="A6734" s="1" t="s">
        <v>12118</v>
      </c>
      <c r="C6734" s="1">
        <v>1</v>
      </c>
      <c r="D6734" s="1" t="str">
        <f>"04984"</f>
        <v>04984</v>
      </c>
      <c r="E6734" s="1" t="s">
        <v>1252</v>
      </c>
      <c r="F6734" s="1">
        <v>4</v>
      </c>
      <c r="G6734" s="1">
        <v>0</v>
      </c>
      <c r="H6734" s="1">
        <v>0</v>
      </c>
      <c r="I6734" s="1" t="s">
        <v>12109</v>
      </c>
      <c r="K6734" s="1" t="str">
        <f t="shared" si="429"/>
        <v>ㄏ</v>
      </c>
      <c r="L6734" s="1" t="str">
        <f t="shared" si="430"/>
        <v>ㄨ</v>
      </c>
      <c r="N6734" s="3" t="s">
        <v>30574</v>
      </c>
      <c r="O6734" s="3"/>
      <c r="P6734" s="1" t="s">
        <v>20</v>
      </c>
      <c r="R6734" s="1" t="s">
        <v>12110</v>
      </c>
      <c r="V6734" s="1" t="s">
        <v>12119</v>
      </c>
      <c r="AR6734" s="1" t="str">
        <f t="shared" si="431"/>
        <v>| [ㄏㄨˋ](ㄏㄨˋ.md) | [戶](戶.md) |  | hù | [名]
1.一扇門稱為「戶」。亦指房屋的出入口。如：「小心門戶」、「夜不閉戶」。元．王實甫《西廂記．第三本．第二折》：「待月西廂下，迎風戶半開。」
2.住家、人家。如：「住戶」、「用戶」、「訂戶」、「千家萬戶」。
3.門第，家族的身分地位。如：「門當戶對」。
4.與帳務有關的個人或團體。如：「開戶」、「帳戶」、「存戶」。
5.量詞。計算住家數量的單位。如：「一戶人家」、「五百戶住家」。
6.姓。如漢代有戶尊。
7.二一四部首之一。 |</v>
      </c>
    </row>
    <row r="6735" spans="1:44" hidden="1">
      <c r="A6735" s="1" t="s">
        <v>12120</v>
      </c>
      <c r="C6735" s="1">
        <v>1</v>
      </c>
      <c r="D6735" s="1" t="str">
        <f>"04985"</f>
        <v>04985</v>
      </c>
      <c r="E6735" s="1" t="s">
        <v>1252</v>
      </c>
      <c r="F6735" s="1">
        <v>8</v>
      </c>
      <c r="G6735" s="1">
        <v>4</v>
      </c>
      <c r="H6735" s="1">
        <v>0</v>
      </c>
      <c r="I6735" s="1" t="s">
        <v>12109</v>
      </c>
      <c r="K6735" s="1" t="str">
        <f t="shared" si="429"/>
        <v>ㄏ</v>
      </c>
      <c r="L6735" s="1" t="str">
        <f t="shared" si="430"/>
        <v>ㄨ</v>
      </c>
      <c r="N6735" s="3" t="s">
        <v>30574</v>
      </c>
      <c r="O6735" s="3"/>
      <c r="P6735" s="1" t="s">
        <v>20</v>
      </c>
      <c r="R6735" s="1" t="s">
        <v>12110</v>
      </c>
      <c r="V6735" s="1" t="s">
        <v>12121</v>
      </c>
      <c r="AR6735" s="1" t="str">
        <f t="shared" si="431"/>
        <v>| [ㄏㄨˋ](ㄏㄨˋ.md) | [戽](戽.md) |  | hù | [名]
參見「戽斗」條。
[動]
汲水。如：「戽水灌溉」。唐．貫休〈宿深村〉詩：「黃昏見客合家喜，月下取魚戽塘水。」 |</v>
      </c>
    </row>
    <row r="6736" spans="1:44" hidden="1">
      <c r="A6736" s="1" t="s">
        <v>12122</v>
      </c>
      <c r="C6736" s="1">
        <v>1</v>
      </c>
      <c r="D6736" s="1" t="str">
        <f>"04986"</f>
        <v>04986</v>
      </c>
      <c r="E6736" s="1" t="s">
        <v>1252</v>
      </c>
      <c r="F6736" s="1">
        <v>11</v>
      </c>
      <c r="G6736" s="1">
        <v>7</v>
      </c>
      <c r="H6736" s="1">
        <v>0</v>
      </c>
      <c r="I6736" s="1" t="s">
        <v>12109</v>
      </c>
      <c r="K6736" s="1" t="str">
        <f t="shared" si="429"/>
        <v>ㄏ</v>
      </c>
      <c r="L6736" s="1" t="str">
        <f t="shared" si="430"/>
        <v>ㄨ</v>
      </c>
      <c r="N6736" s="3" t="s">
        <v>30574</v>
      </c>
      <c r="O6736" s="3"/>
      <c r="P6736" s="1" t="s">
        <v>20</v>
      </c>
      <c r="R6736" s="1" t="s">
        <v>12110</v>
      </c>
      <c r="V6736" s="1" t="s">
        <v>12123</v>
      </c>
      <c r="AR6736" s="1" t="str">
        <f t="shared" si="431"/>
        <v>| [ㄏㄨˋ](ㄏㄨˋ.md) | [扈](扈.md) |  | hù | [名]
1.國名。即有扈。故址約在今大陸地區陝西省鄠縣。
2.隨從人員。參見「扈從」條。
3.姓。如漢代有扈雲。
[動]
跟從、跟隨。宋．蘇軾〈和三舍人省上〉詩：「明朝冠蓋蔚相望，共扈翠輦朝宣光。」
[形]
強橫無禮。參見「跋扈」條。 |</v>
      </c>
    </row>
    <row r="6737" spans="1:44" hidden="1">
      <c r="A6737" s="1" t="s">
        <v>12124</v>
      </c>
      <c r="C6737" s="1">
        <v>1</v>
      </c>
      <c r="D6737" s="1" t="str">
        <f>"04987"</f>
        <v>04987</v>
      </c>
      <c r="E6737" s="1" t="s">
        <v>129</v>
      </c>
      <c r="F6737" s="1">
        <v>14</v>
      </c>
      <c r="G6737" s="1">
        <v>11</v>
      </c>
      <c r="H6737" s="1">
        <v>0</v>
      </c>
      <c r="I6737" s="1" t="s">
        <v>12109</v>
      </c>
      <c r="K6737" s="1" t="str">
        <f t="shared" si="429"/>
        <v>ㄏ</v>
      </c>
      <c r="L6737" s="1" t="str">
        <f t="shared" si="430"/>
        <v>ㄨ</v>
      </c>
      <c r="N6737" s="3" t="s">
        <v>30574</v>
      </c>
      <c r="O6737" s="3"/>
      <c r="P6737" s="1" t="s">
        <v>20</v>
      </c>
      <c r="R6737" s="1" t="s">
        <v>12110</v>
      </c>
      <c r="V6737" s="1" t="s">
        <v>12125</v>
      </c>
      <c r="AR6737" s="1" t="str">
        <f t="shared" si="431"/>
        <v>| [ㄏㄨˋ](ㄏㄨˋ.md) | [滬](滬.md) |  | hù | [名]
1.古代捕魚用的竹柵。唐．戴叔倫〈留別道州李使君圻〉詩：「漁滬擁寒溜，畬田落遠燒。」宋．陸游〈村舍〉詩：「潮生漁滬短，風起鴨船斜。」
2.大陸地區上海市的簡稱。如：「京滬鐵路」、「滬杭甬鐵路」。 |</v>
      </c>
    </row>
    <row r="6738" spans="1:44" hidden="1">
      <c r="A6738" s="1" t="s">
        <v>12126</v>
      </c>
      <c r="C6738" s="1">
        <v>1</v>
      </c>
      <c r="D6738" s="1" t="str">
        <f>"04988"</f>
        <v>04988</v>
      </c>
      <c r="E6738" s="1" t="s">
        <v>37</v>
      </c>
      <c r="F6738" s="1">
        <v>7</v>
      </c>
      <c r="G6738" s="1">
        <v>3</v>
      </c>
      <c r="H6738" s="1">
        <v>0</v>
      </c>
      <c r="I6738" s="1" t="s">
        <v>12109</v>
      </c>
      <c r="K6738" s="1" t="str">
        <f t="shared" si="429"/>
        <v>ㄏ</v>
      </c>
      <c r="L6738" s="1" t="str">
        <f t="shared" si="430"/>
        <v>ㄨ</v>
      </c>
      <c r="N6738" s="3" t="s">
        <v>30574</v>
      </c>
      <c r="O6738" s="3"/>
      <c r="P6738" s="1" t="s">
        <v>20</v>
      </c>
      <c r="R6738" s="1" t="s">
        <v>12110</v>
      </c>
      <c r="V6738" s="1" t="s">
        <v>12127</v>
      </c>
      <c r="AR6738" s="1" t="str">
        <f t="shared" si="431"/>
        <v>| [ㄏㄨˋ](ㄏㄨˋ.md) | [芐](芐.md) |  | hù | [名]
植物名。即地黃。玄參科地黃屬，「地黃」之古稱，參見「地黃」條。 |</v>
      </c>
    </row>
    <row r="6739" spans="1:44" hidden="1">
      <c r="A6739" s="1" t="s">
        <v>12128</v>
      </c>
      <c r="C6739" s="1">
        <v>1</v>
      </c>
      <c r="D6739" s="1" t="str">
        <f>"04989"</f>
        <v>04989</v>
      </c>
      <c r="E6739" s="1" t="s">
        <v>250</v>
      </c>
      <c r="F6739" s="1">
        <v>8</v>
      </c>
      <c r="G6739" s="1">
        <v>5</v>
      </c>
      <c r="H6739" s="1">
        <v>0</v>
      </c>
      <c r="I6739" s="1" t="s">
        <v>12109</v>
      </c>
      <c r="K6739" s="1" t="str">
        <f t="shared" si="429"/>
        <v>ㄏ</v>
      </c>
      <c r="L6739" s="1" t="str">
        <f t="shared" si="430"/>
        <v>ㄨ</v>
      </c>
      <c r="N6739" s="3" t="s">
        <v>30574</v>
      </c>
      <c r="O6739" s="3"/>
      <c r="P6739" s="1" t="s">
        <v>20</v>
      </c>
      <c r="R6739" s="1" t="s">
        <v>12110</v>
      </c>
      <c r="V6739" s="1" t="s">
        <v>12129</v>
      </c>
      <c r="AR6739" s="1" t="str">
        <f t="shared" si="431"/>
        <v>| [ㄏㄨˋ](ㄏㄨˋ.md) | [怙](怙.md) |  | hù | [動]
憑恃、倚靠。如：「無所依怙」。唐．柳宗元〈封建論〉：「大逆未彰，姦利浚財，怙勢作威。」
[名]
父親。如：「年少失怙」。唐．白居易〈寄烏江十五兄文〉：「孩失其怙，幼喪所親；旁無弟兄，藐然一身。」 |</v>
      </c>
    </row>
    <row r="6740" spans="1:44" hidden="1">
      <c r="A6740" s="1" t="s">
        <v>12130</v>
      </c>
      <c r="C6740" s="1">
        <v>1</v>
      </c>
      <c r="D6740" s="1" t="str">
        <f>"04990"</f>
        <v>04990</v>
      </c>
      <c r="E6740" s="1" t="s">
        <v>190</v>
      </c>
      <c r="F6740" s="1">
        <v>8</v>
      </c>
      <c r="G6740" s="1">
        <v>5</v>
      </c>
      <c r="H6740" s="1">
        <v>0</v>
      </c>
      <c r="I6740" s="1" t="s">
        <v>12109</v>
      </c>
      <c r="K6740" s="1" t="str">
        <f t="shared" si="429"/>
        <v>ㄏ</v>
      </c>
      <c r="L6740" s="1" t="str">
        <f t="shared" si="430"/>
        <v>ㄨ</v>
      </c>
      <c r="N6740" s="3" t="s">
        <v>30574</v>
      </c>
      <c r="O6740" s="3"/>
      <c r="P6740" s="1" t="s">
        <v>20</v>
      </c>
      <c r="R6740" s="1" t="s">
        <v>12110</v>
      </c>
      <c r="V6740" s="1" t="s">
        <v>12131</v>
      </c>
      <c r="AR6740" s="1" t="str">
        <f t="shared" si="431"/>
        <v>| [ㄏㄨˋ](ㄏㄨˋ.md) | [岵](岵.md) |  | hù | [名]
草木繁茂的山。《爾雅．釋山》：「多草木，岵；無草木，峐。」《詩經．魏風．陟岵》：「陟彼岵兮，瞻望父兮。」《宋書．卷六七．列傳．謝靈運》：「山匪砠而是岵，川有清而無濁。石傍林而插巖，泉協澗而下谷。」 |</v>
      </c>
    </row>
    <row r="6741" spans="1:44" hidden="1">
      <c r="A6741" s="1" t="s">
        <v>12132</v>
      </c>
      <c r="C6741" s="1">
        <v>1</v>
      </c>
      <c r="D6741" s="1" t="str">
        <f>"04991"</f>
        <v>04991</v>
      </c>
      <c r="E6741" s="1" t="s">
        <v>825</v>
      </c>
      <c r="F6741" s="1">
        <v>10</v>
      </c>
      <c r="G6741" s="1">
        <v>5</v>
      </c>
      <c r="H6741" s="1">
        <v>0</v>
      </c>
      <c r="I6741" s="1" t="s">
        <v>12109</v>
      </c>
      <c r="K6741" s="1" t="str">
        <f t="shared" si="429"/>
        <v>ㄏ</v>
      </c>
      <c r="L6741" s="1" t="str">
        <f t="shared" si="430"/>
        <v>ㄨ</v>
      </c>
      <c r="N6741" s="3" t="s">
        <v>30574</v>
      </c>
      <c r="O6741" s="3"/>
      <c r="P6741" s="1" t="s">
        <v>20</v>
      </c>
      <c r="R6741" s="1" t="s">
        <v>12110</v>
      </c>
      <c r="V6741" s="1" t="s">
        <v>12133</v>
      </c>
      <c r="AR6741" s="1" t="str">
        <f t="shared" si="431"/>
        <v>| [ㄏㄨˋ](ㄏㄨˋ.md) | [祜](祜.md) |  | hù | [名]
福分。《詩經．小雅．信南山》：「曾孫壽考，受天之祜。」漢．蔡琰〈悲憤詩〉二首之二：「嗟薄祜兮遭世患，宗族殄兮門戶單。」 |</v>
      </c>
    </row>
    <row r="6742" spans="1:44" hidden="1">
      <c r="A6742" s="1" t="s">
        <v>11132</v>
      </c>
      <c r="C6742" s="1">
        <v>1</v>
      </c>
      <c r="D6742" s="1" t="str">
        <f>"04992"</f>
        <v>04992</v>
      </c>
      <c r="E6742" s="1" t="s">
        <v>139</v>
      </c>
      <c r="F6742" s="1">
        <v>13</v>
      </c>
      <c r="G6742" s="1">
        <v>9</v>
      </c>
      <c r="H6742" s="1">
        <v>1</v>
      </c>
      <c r="I6742" s="1" t="s">
        <v>12109</v>
      </c>
      <c r="K6742" s="1" t="str">
        <f t="shared" si="429"/>
        <v>ㄏ</v>
      </c>
      <c r="L6742" s="1" t="str">
        <f t="shared" si="430"/>
        <v>ㄨ</v>
      </c>
      <c r="N6742" s="3" t="s">
        <v>30574</v>
      </c>
      <c r="O6742" s="3"/>
      <c r="P6742" s="1" t="s">
        <v>20</v>
      </c>
      <c r="R6742" s="1" t="s">
        <v>12110</v>
      </c>
      <c r="V6742" s="1" t="s">
        <v>12134</v>
      </c>
      <c r="W6742" s="1" t="s">
        <v>12135</v>
      </c>
      <c r="AR6742" s="1" t="str">
        <f t="shared" si="431"/>
        <v>| [ㄏㄨˋ](ㄏㄨˋ.md) | [楛](楛.md) |  | hù | [名]
一種似荊而色紅的植物，莖可作箭桿。《廣韻．上聲．姥韻》：「楛，木名，堪為矢榦。」《詩經．大雅．旱麓》：「瞻彼旱麓，榛楛濟濟。」唐．孔穎達．正義：「陸璣云：『楛，其形似荊而赤，莖似蓍。上黨人織以為牛筥、箱器，又屈以為釵。』」 |</v>
      </c>
    </row>
    <row r="6743" spans="1:44" hidden="1">
      <c r="A6743" s="1" t="s">
        <v>12136</v>
      </c>
      <c r="C6743" s="1">
        <v>1</v>
      </c>
      <c r="D6743" s="1" t="str">
        <f>"04993"</f>
        <v>04993</v>
      </c>
      <c r="E6743" s="1" t="s">
        <v>49</v>
      </c>
      <c r="F6743" s="1">
        <v>10</v>
      </c>
      <c r="G6743" s="1">
        <v>4</v>
      </c>
      <c r="H6743" s="1">
        <v>0</v>
      </c>
      <c r="I6743" s="1" t="s">
        <v>12109</v>
      </c>
      <c r="K6743" s="1" t="str">
        <f t="shared" si="429"/>
        <v>ㄏ</v>
      </c>
      <c r="L6743" s="1" t="str">
        <f t="shared" si="430"/>
        <v>ㄨ</v>
      </c>
      <c r="N6743" s="3" t="s">
        <v>30574</v>
      </c>
      <c r="O6743" s="3"/>
      <c r="P6743" s="1" t="s">
        <v>20</v>
      </c>
      <c r="R6743" s="1" t="s">
        <v>12110</v>
      </c>
      <c r="V6743" s="1" t="s">
        <v>12137</v>
      </c>
      <c r="AR6743" s="1" t="str">
        <f t="shared" si="431"/>
        <v>| [ㄏㄨˋ](ㄏㄨˋ.md) | [笏](笏.md) |  | hù | [名]
古代大臣朝見君主時所執的手板，用玉、象牙或竹製成。如：「玉笏」、「象笏」。《禮記．玉藻》：「凡有指畫於君前，用笏；造受命於君前，則書於笏。」唐．岑參〈東歸發犍為至泥溪舟中作〉詩：「日出朝聖人，端笏陪群公。」 |</v>
      </c>
    </row>
    <row r="6744" spans="1:44" hidden="1">
      <c r="A6744" s="1" t="s">
        <v>12138</v>
      </c>
      <c r="C6744" s="1">
        <v>1</v>
      </c>
      <c r="D6744" s="1" t="str">
        <f>"04994"</f>
        <v>04994</v>
      </c>
      <c r="E6744" s="1" t="s">
        <v>238</v>
      </c>
      <c r="F6744" s="1">
        <v>11</v>
      </c>
      <c r="G6744" s="1">
        <v>6</v>
      </c>
      <c r="H6744" s="1">
        <v>0</v>
      </c>
      <c r="I6744" s="1" t="s">
        <v>12109</v>
      </c>
      <c r="K6744" s="1" t="str">
        <f t="shared" si="429"/>
        <v>ㄏ</v>
      </c>
      <c r="L6744" s="1" t="str">
        <f t="shared" si="430"/>
        <v>ㄨ</v>
      </c>
      <c r="N6744" s="3" t="s">
        <v>30574</v>
      </c>
      <c r="O6744" s="3"/>
      <c r="P6744" s="1" t="s">
        <v>20</v>
      </c>
      <c r="R6744" s="1" t="s">
        <v>12110</v>
      </c>
      <c r="V6744" s="1" t="s">
        <v>12139</v>
      </c>
      <c r="AR6744" s="1" t="str">
        <f t="shared" si="431"/>
        <v>| [ㄏㄨˋ](ㄏㄨˋ.md) | [瓠](瓠.md) |  | hù | [名]
1.植物名。葫蘆科葫蘆屬，一年生蔓性草本。葉互生，呈掌狀或菱狀心臟形。卷鬚分歧。夏日葉腋生白色單性花，雌雄同株。果實圓長，表面有毛，可食，亦可晒乾貯藏。
2.姓。如戰國時楚國有瓠巴。 |</v>
      </c>
    </row>
    <row r="6745" spans="1:44" hidden="1">
      <c r="A6745" s="1" t="s">
        <v>10918</v>
      </c>
      <c r="C6745" s="1">
        <v>1</v>
      </c>
      <c r="D6745" s="1" t="str">
        <f>"04995"</f>
        <v>04995</v>
      </c>
      <c r="E6745" s="1" t="s">
        <v>336</v>
      </c>
      <c r="F6745" s="1">
        <v>14</v>
      </c>
      <c r="G6745" s="1">
        <v>10</v>
      </c>
      <c r="H6745" s="1">
        <v>1</v>
      </c>
      <c r="I6745" s="1" t="s">
        <v>12109</v>
      </c>
      <c r="K6745" s="1" t="str">
        <f t="shared" si="429"/>
        <v>ㄏ</v>
      </c>
      <c r="L6745" s="1" t="str">
        <f t="shared" si="430"/>
        <v>ㄨ</v>
      </c>
      <c r="N6745" s="3" t="s">
        <v>30574</v>
      </c>
      <c r="O6745" s="3"/>
      <c r="P6745" s="1" t="s">
        <v>20</v>
      </c>
      <c r="R6745" s="1" t="s">
        <v>12110</v>
      </c>
      <c r="V6745" s="1" t="s">
        <v>12140</v>
      </c>
      <c r="W6745" s="1" t="s">
        <v>12141</v>
      </c>
      <c r="AR6745" s="1" t="str">
        <f t="shared" si="431"/>
        <v>| [ㄏㄨˋ](ㄏㄨˋ.md) | [熇](熇.md) |  | hù | [形]
熾熱。《文選．左思．魏都賦》：「宅土熇暑，封疆障癘。」唐．柳宗元〈解祟賦〉：「胡赫炎薰熇之烈火兮，而生夫人之齒牙。」 |</v>
      </c>
    </row>
    <row r="6746" spans="1:44" hidden="1">
      <c r="A6746" s="1" t="s">
        <v>12142</v>
      </c>
      <c r="C6746" s="1">
        <v>1</v>
      </c>
      <c r="D6746" s="1" t="str">
        <f>"04996"</f>
        <v>04996</v>
      </c>
      <c r="E6746" s="1" t="s">
        <v>256</v>
      </c>
      <c r="F6746" s="1">
        <v>14</v>
      </c>
      <c r="G6746" s="1">
        <v>11</v>
      </c>
      <c r="H6746" s="1">
        <v>0</v>
      </c>
      <c r="I6746" s="1" t="s">
        <v>12109</v>
      </c>
      <c r="K6746" s="1" t="str">
        <f t="shared" si="429"/>
        <v>ㄏ</v>
      </c>
      <c r="L6746" s="1" t="str">
        <f t="shared" si="430"/>
        <v>ㄨ</v>
      </c>
      <c r="N6746" s="3" t="s">
        <v>30574</v>
      </c>
      <c r="O6746" s="3"/>
      <c r="P6746" s="1" t="s">
        <v>20</v>
      </c>
      <c r="R6746" s="1" t="s">
        <v>12110</v>
      </c>
      <c r="V6746" s="1" t="s">
        <v>12143</v>
      </c>
      <c r="AR6746" s="1" t="str">
        <f t="shared" si="431"/>
        <v>| [ㄏㄨˋ](ㄏㄨˋ.md) | [鄠](鄠.md) |  | hù | [名]
鄠縣：縣名。位於大陸地區陝西省西安市西南，瀕澇水東岸。 |</v>
      </c>
    </row>
    <row r="6747" spans="1:44" hidden="1">
      <c r="A6747" s="1" t="s">
        <v>12144</v>
      </c>
      <c r="C6747" s="1">
        <v>1</v>
      </c>
      <c r="D6747" s="1" t="str">
        <f>"04997"</f>
        <v>04997</v>
      </c>
      <c r="E6747" s="1" t="s">
        <v>534</v>
      </c>
      <c r="F6747" s="1">
        <v>14</v>
      </c>
      <c r="G6747" s="1">
        <v>11</v>
      </c>
      <c r="H6747" s="1">
        <v>0</v>
      </c>
      <c r="I6747" s="1" t="s">
        <v>12109</v>
      </c>
      <c r="K6747" s="1" t="str">
        <f t="shared" si="429"/>
        <v>ㄏ</v>
      </c>
      <c r="L6747" s="1" t="str">
        <f t="shared" si="430"/>
        <v>ㄨ</v>
      </c>
      <c r="N6747" s="3" t="s">
        <v>30574</v>
      </c>
      <c r="O6747" s="3"/>
      <c r="P6747" s="1" t="s">
        <v>20</v>
      </c>
      <c r="R6747" s="1" t="s">
        <v>12110</v>
      </c>
      <c r="V6747" s="1" t="s">
        <v>12145</v>
      </c>
      <c r="AR6747" s="1" t="str">
        <f t="shared" si="431"/>
        <v>| [ㄏㄨˋ](ㄏㄨˋ.md) | [嫮](嫮.md) |  | hù | [形]
美好。同「嫭」。《楚辭．屈原．大招》：「嫮目宜笑，娥眉曼只。」 |</v>
      </c>
    </row>
    <row r="6748" spans="1:44" hidden="1">
      <c r="A6748" s="1" t="s">
        <v>12006</v>
      </c>
      <c r="C6748" s="1">
        <v>1</v>
      </c>
      <c r="D6748" s="1" t="str">
        <f>"04998"</f>
        <v>04998</v>
      </c>
      <c r="E6748" s="1" t="s">
        <v>28</v>
      </c>
      <c r="F6748" s="1">
        <v>14</v>
      </c>
      <c r="G6748" s="1">
        <v>11</v>
      </c>
      <c r="H6748" s="1">
        <v>2</v>
      </c>
      <c r="I6748" s="1" t="s">
        <v>12109</v>
      </c>
      <c r="K6748" s="1" t="str">
        <f t="shared" si="429"/>
        <v>ㄏ</v>
      </c>
      <c r="L6748" s="1" t="str">
        <f t="shared" si="430"/>
        <v>ㄨ</v>
      </c>
      <c r="N6748" s="3" t="s">
        <v>30574</v>
      </c>
      <c r="O6748" s="3"/>
      <c r="P6748" s="1" t="s">
        <v>20</v>
      </c>
      <c r="R6748" s="1" t="s">
        <v>12110</v>
      </c>
      <c r="V6748" s="1" t="s">
        <v>12146</v>
      </c>
      <c r="W6748" s="1" t="s">
        <v>12147</v>
      </c>
      <c r="AR6748" s="1" t="str">
        <f t="shared" si="431"/>
        <v>| [ㄏㄨˋ](ㄏㄨˋ.md) | [嘑](嘑.md) |  | hù | 參見「嘑爾」條。 |</v>
      </c>
    </row>
    <row r="6749" spans="1:44" hidden="1">
      <c r="A6749" s="1" t="s">
        <v>12148</v>
      </c>
      <c r="C6749" s="1">
        <v>1</v>
      </c>
      <c r="D6749" s="1" t="str">
        <f>"04999"</f>
        <v>04999</v>
      </c>
      <c r="E6749" s="1" t="s">
        <v>534</v>
      </c>
      <c r="F6749" s="1">
        <v>14</v>
      </c>
      <c r="G6749" s="1">
        <v>11</v>
      </c>
      <c r="H6749" s="1">
        <v>0</v>
      </c>
      <c r="I6749" s="1" t="s">
        <v>12109</v>
      </c>
      <c r="K6749" s="1" t="str">
        <f t="shared" si="429"/>
        <v>ㄏ</v>
      </c>
      <c r="L6749" s="1" t="str">
        <f t="shared" si="430"/>
        <v>ㄨ</v>
      </c>
      <c r="N6749" s="3" t="s">
        <v>30574</v>
      </c>
      <c r="O6749" s="3"/>
      <c r="P6749" s="1" t="s">
        <v>20</v>
      </c>
      <c r="R6749" s="1" t="s">
        <v>12110</v>
      </c>
      <c r="V6749" s="1" t="s">
        <v>12149</v>
      </c>
      <c r="AR6749" s="1" t="str">
        <f t="shared" si="431"/>
        <v>| [ㄏㄨˋ](ㄏㄨˋ.md) | [嫭](嫭.md) |  | hù | [形]
美好。《廣韻．去聲．暮韻》：「嫭，美好。」《楚辭．屈原．大招》：「朱脣皓齒，嫭以姱只。」漢．王逸．注：「嫭、姱，好貌也。」
[名]
借指美女。《漢書．卷八七．揚雄傳上》：「知眾嫭之嫉妒兮，何必颺纍之蛾眉？」 |</v>
      </c>
    </row>
    <row r="6750" spans="1:44" hidden="1">
      <c r="A6750" s="1" t="s">
        <v>12034</v>
      </c>
      <c r="C6750" s="1">
        <v>1</v>
      </c>
      <c r="D6750" s="1" t="str">
        <f>"05000"</f>
        <v>05000</v>
      </c>
      <c r="E6750" s="1" t="s">
        <v>46</v>
      </c>
      <c r="F6750" s="1">
        <v>15</v>
      </c>
      <c r="G6750" s="1">
        <v>9</v>
      </c>
      <c r="H6750" s="1">
        <v>2</v>
      </c>
      <c r="I6750" s="1" t="s">
        <v>12109</v>
      </c>
      <c r="K6750" s="1" t="str">
        <f t="shared" si="429"/>
        <v>ㄏ</v>
      </c>
      <c r="L6750" s="1" t="str">
        <f t="shared" si="430"/>
        <v>ㄨ</v>
      </c>
      <c r="N6750" s="3" t="s">
        <v>30574</v>
      </c>
      <c r="O6750" s="3"/>
      <c r="P6750" s="1" t="s">
        <v>20</v>
      </c>
      <c r="R6750" s="1" t="s">
        <v>12110</v>
      </c>
      <c r="V6750" s="1" t="s">
        <v>12150</v>
      </c>
      <c r="W6750" s="1" t="s">
        <v>12151</v>
      </c>
      <c r="AR6750" s="1" t="str">
        <f t="shared" si="431"/>
        <v>| [ㄏㄨˋ](ㄏㄨˋ.md) | [糊](糊.md) |  | hù | 參見「糊弄」條。 |</v>
      </c>
    </row>
    <row r="6751" spans="1:44" hidden="1">
      <c r="A6751" s="1" t="s">
        <v>12152</v>
      </c>
      <c r="C6751" s="1">
        <v>1</v>
      </c>
      <c r="D6751" s="1" t="str">
        <f>"05001"</f>
        <v>05001</v>
      </c>
      <c r="E6751" s="1" t="s">
        <v>429</v>
      </c>
      <c r="F6751" s="1">
        <v>19</v>
      </c>
      <c r="G6751" s="1">
        <v>14</v>
      </c>
      <c r="H6751" s="1">
        <v>2</v>
      </c>
      <c r="I6751" s="1" t="s">
        <v>12109</v>
      </c>
      <c r="K6751" s="1" t="str">
        <f t="shared" si="429"/>
        <v>ㄏ</v>
      </c>
      <c r="L6751" s="1" t="str">
        <f t="shared" si="430"/>
        <v>ㄨ</v>
      </c>
      <c r="N6751" s="3" t="s">
        <v>30574</v>
      </c>
      <c r="O6751" s="3"/>
      <c r="P6751" s="1" t="s">
        <v>20</v>
      </c>
      <c r="R6751" s="1" t="s">
        <v>12110</v>
      </c>
      <c r="V6751" s="1" t="s">
        <v>12153</v>
      </c>
      <c r="W6751" s="1" t="s">
        <v>12154</v>
      </c>
      <c r="AR6751" s="1" t="str">
        <f t="shared" si="431"/>
        <v>| [ㄏㄨˋ](ㄏㄨˋ.md) | [穫](穫.md) |  | hù | 參見「焦穫」條。 |</v>
      </c>
    </row>
    <row r="6752" spans="1:44" hidden="1">
      <c r="A6752" s="1" t="s">
        <v>12155</v>
      </c>
      <c r="C6752" s="1">
        <v>1</v>
      </c>
      <c r="D6752" s="1" t="str">
        <f>"05002"</f>
        <v>05002</v>
      </c>
      <c r="E6752" s="1" t="s">
        <v>331</v>
      </c>
      <c r="F6752" s="1">
        <v>21</v>
      </c>
      <c r="G6752" s="1">
        <v>14</v>
      </c>
      <c r="H6752" s="1">
        <v>0</v>
      </c>
      <c r="I6752" s="1" t="s">
        <v>12109</v>
      </c>
      <c r="K6752" s="1" t="str">
        <f t="shared" si="429"/>
        <v>ㄏ</v>
      </c>
      <c r="L6752" s="1" t="str">
        <f t="shared" si="430"/>
        <v>ㄨ</v>
      </c>
      <c r="N6752" s="3" t="s">
        <v>30574</v>
      </c>
      <c r="O6752" s="3"/>
      <c r="P6752" s="1" t="s">
        <v>20</v>
      </c>
      <c r="R6752" s="1" t="s">
        <v>12110</v>
      </c>
      <c r="V6752" s="1" t="s">
        <v>12156</v>
      </c>
      <c r="AR6752" s="1" t="str">
        <f t="shared" si="431"/>
        <v>| [ㄏㄨˋ](ㄏㄨˋ.md) | [護](護.md) |  | hù | [動]
1.保衛。如：「保護」、「維護」、「防護」、「守護」、「愛護」。
2.救助。如：「救護」。
3.包庇、掩蔽。如：「袒護」、「庇護」。《文選．嵇康．與山巨源絕交書》：「仲尼不假蓋於子夏護其短也。」《清史稿．卷一四九．交通志一》：「張之洞翻然悔悟，不護前非，仍擬借款築造。」 |</v>
      </c>
    </row>
    <row r="6753" spans="1:44" hidden="1">
      <c r="A6753" s="1" t="s">
        <v>12157</v>
      </c>
      <c r="C6753" s="1">
        <v>1</v>
      </c>
      <c r="D6753" s="1" t="str">
        <f>"05003"</f>
        <v>05003</v>
      </c>
      <c r="E6753" s="1" t="s">
        <v>96</v>
      </c>
      <c r="F6753" s="1">
        <v>23</v>
      </c>
      <c r="G6753" s="1">
        <v>14</v>
      </c>
      <c r="H6753" s="1">
        <v>0</v>
      </c>
      <c r="I6753" s="1" t="s">
        <v>12109</v>
      </c>
      <c r="K6753" s="1" t="str">
        <f t="shared" si="429"/>
        <v>ㄏ</v>
      </c>
      <c r="L6753" s="1" t="str">
        <f t="shared" si="430"/>
        <v>ㄨ</v>
      </c>
      <c r="N6753" s="3" t="s">
        <v>30574</v>
      </c>
      <c r="O6753" s="3"/>
      <c r="P6753" s="1" t="s">
        <v>20</v>
      </c>
      <c r="R6753" s="1" t="s">
        <v>12110</v>
      </c>
      <c r="V6753" s="1" t="s">
        <v>12158</v>
      </c>
      <c r="AR6753" s="1" t="str">
        <f t="shared" si="431"/>
        <v>| [ㄏㄨˋ](ㄏㄨˋ.md) | [韄](韄.md) |  | hù | [名]
佩刀把上的皮繩。《莊子．庚桑楚》：「夫外韄者不可繁而捉。」唐．陸德明《經典釋文．卷二八．莊子音義下》：「韄，……《三蒼》云：『佩刀靶韋也。』」 |</v>
      </c>
    </row>
    <row r="6754" spans="1:44" hidden="1">
      <c r="A6754" s="1" t="s">
        <v>11994</v>
      </c>
      <c r="C6754" s="1">
        <v>1</v>
      </c>
      <c r="D6754" s="1" t="str">
        <f>"04949"</f>
        <v>04949</v>
      </c>
      <c r="E6754" s="1" t="s">
        <v>1663</v>
      </c>
      <c r="F6754" s="1">
        <v>5</v>
      </c>
      <c r="G6754" s="1">
        <v>4</v>
      </c>
      <c r="H6754" s="1">
        <v>2</v>
      </c>
      <c r="I6754" s="1" t="s">
        <v>12045</v>
      </c>
      <c r="K6754" s="1" t="str">
        <f t="shared" si="429"/>
        <v>ㄏ</v>
      </c>
      <c r="L6754" s="1" t="str">
        <f t="shared" si="430"/>
        <v>ㄨ</v>
      </c>
      <c r="N6754" s="3" t="s">
        <v>30575</v>
      </c>
      <c r="O6754" s="3"/>
      <c r="P6754" s="1" t="s">
        <v>110</v>
      </c>
      <c r="R6754" s="1" t="s">
        <v>12046</v>
      </c>
      <c r="V6754" s="1" t="s">
        <v>111</v>
      </c>
      <c r="W6754" s="1" t="s">
        <v>12047</v>
      </c>
      <c r="AR6754" s="1" t="str">
        <f t="shared" si="431"/>
        <v>| [ㄏㄨˊ](ㄏㄨˊ.md) | [乎](乎.md) |  | hú | (一)之又音。 |</v>
      </c>
    </row>
    <row r="6755" spans="1:44" hidden="1">
      <c r="A6755" s="1" t="s">
        <v>12048</v>
      </c>
      <c r="C6755" s="1">
        <v>1</v>
      </c>
      <c r="D6755" s="1" t="str">
        <f>"04950"</f>
        <v>04950</v>
      </c>
      <c r="E6755" s="1" t="s">
        <v>24</v>
      </c>
      <c r="F6755" s="1">
        <v>7</v>
      </c>
      <c r="G6755" s="1">
        <v>4</v>
      </c>
      <c r="H6755" s="1">
        <v>0</v>
      </c>
      <c r="I6755" s="1" t="s">
        <v>12045</v>
      </c>
      <c r="K6755" s="1" t="str">
        <f t="shared" si="429"/>
        <v>ㄏ</v>
      </c>
      <c r="L6755" s="1" t="str">
        <f t="shared" si="430"/>
        <v>ㄨ</v>
      </c>
      <c r="N6755" s="3" t="s">
        <v>30575</v>
      </c>
      <c r="O6755" s="3"/>
      <c r="P6755" s="1" t="s">
        <v>20</v>
      </c>
      <c r="R6755" s="1" t="s">
        <v>12046</v>
      </c>
      <c r="V6755" s="1" t="s">
        <v>12049</v>
      </c>
      <c r="AR6755" s="1" t="str">
        <f t="shared" si="431"/>
        <v>| [ㄏㄨˊ](ㄏㄨˊ.md) | [抇](抇.md) |  | hú | [動]
1.挖掘。《荀子．堯問》：「為人下者乎？其猶土也。深抇之而得甘泉焉。」
2.攪動。《呂氏春秋．孟春紀．本生》：「未水之性清，土者抇之，故不得清。」唐．柳宗元〈愚溪對〉：「秦有水，掎抇泥淖，撓混沙礫。」 |</v>
      </c>
    </row>
    <row r="6756" spans="1:44" hidden="1">
      <c r="A6756" s="1" t="s">
        <v>12050</v>
      </c>
      <c r="C6756" s="1">
        <v>1</v>
      </c>
      <c r="D6756" s="1" t="str">
        <f>"04951"</f>
        <v>04951</v>
      </c>
      <c r="E6756" s="1" t="s">
        <v>2557</v>
      </c>
      <c r="F6756" s="1">
        <v>7</v>
      </c>
      <c r="G6756" s="1">
        <v>4</v>
      </c>
      <c r="H6756" s="1">
        <v>0</v>
      </c>
      <c r="I6756" s="1" t="s">
        <v>12045</v>
      </c>
      <c r="K6756" s="1" t="str">
        <f t="shared" si="429"/>
        <v>ㄏ</v>
      </c>
      <c r="L6756" s="1" t="str">
        <f t="shared" si="430"/>
        <v>ㄨ</v>
      </c>
      <c r="N6756" s="3" t="s">
        <v>30575</v>
      </c>
      <c r="O6756" s="3"/>
      <c r="P6756" s="1" t="s">
        <v>20</v>
      </c>
      <c r="R6756" s="1" t="s">
        <v>12046</v>
      </c>
      <c r="V6756" s="1" t="s">
        <v>9369</v>
      </c>
      <c r="AR6756" s="1" t="str">
        <f t="shared" si="431"/>
        <v>| [ㄏㄨˊ](ㄏㄨˊ.md) | [囫](囫.md) |  | hú | 參見「囫圇」條。 |</v>
      </c>
    </row>
    <row r="6757" spans="1:44" hidden="1">
      <c r="A6757" s="1" t="s">
        <v>11507</v>
      </c>
      <c r="C6757" s="1">
        <v>1</v>
      </c>
      <c r="D6757" s="1" t="str">
        <f>"04952"</f>
        <v>04952</v>
      </c>
      <c r="E6757" s="1" t="s">
        <v>28</v>
      </c>
      <c r="F6757" s="1">
        <v>8</v>
      </c>
      <c r="G6757" s="1">
        <v>5</v>
      </c>
      <c r="H6757" s="1">
        <v>6</v>
      </c>
      <c r="I6757" s="1" t="s">
        <v>12045</v>
      </c>
      <c r="K6757" s="1" t="str">
        <f t="shared" si="429"/>
        <v>ㄏ</v>
      </c>
      <c r="L6757" s="1" t="str">
        <f t="shared" si="430"/>
        <v>ㄨ</v>
      </c>
      <c r="N6757" s="3" t="s">
        <v>30575</v>
      </c>
      <c r="O6757" s="3"/>
      <c r="P6757" s="1" t="s">
        <v>20</v>
      </c>
      <c r="R6757" s="1" t="s">
        <v>12046</v>
      </c>
      <c r="V6757" s="1" t="s">
        <v>12051</v>
      </c>
      <c r="W6757" s="1" t="s">
        <v>12052</v>
      </c>
      <c r="AR6757" s="1" t="str">
        <f t="shared" si="431"/>
        <v>| [ㄏㄨˊ](ㄏㄨˊ.md) | [和](和.md) |  | hú | [動]
牌戲中牌張已湊齊成副而獲勝稱為「和」。如：「和牌」。《文明小史》第五五回：「秦鳳梧自己買這樣，買那樣，應酬朋友，吃酒碰和，毛毛的也有一萬了。」 |</v>
      </c>
    </row>
    <row r="6758" spans="1:44" hidden="1">
      <c r="A6758" s="1" t="s">
        <v>12053</v>
      </c>
      <c r="C6758" s="1">
        <v>1</v>
      </c>
      <c r="D6758" s="1" t="str">
        <f>"04953"</f>
        <v>04953</v>
      </c>
      <c r="E6758" s="1" t="s">
        <v>198</v>
      </c>
      <c r="F6758" s="1">
        <v>8</v>
      </c>
      <c r="G6758" s="1">
        <v>5</v>
      </c>
      <c r="H6758" s="1">
        <v>0</v>
      </c>
      <c r="I6758" s="1" t="s">
        <v>12045</v>
      </c>
      <c r="K6758" s="1" t="str">
        <f t="shared" si="429"/>
        <v>ㄏ</v>
      </c>
      <c r="L6758" s="1" t="str">
        <f t="shared" si="430"/>
        <v>ㄨ</v>
      </c>
      <c r="N6758" s="3" t="s">
        <v>30575</v>
      </c>
      <c r="O6758" s="3"/>
      <c r="P6758" s="1" t="s">
        <v>20</v>
      </c>
      <c r="R6758" s="1" t="s">
        <v>12046</v>
      </c>
      <c r="V6758" s="1" t="s">
        <v>12054</v>
      </c>
      <c r="AR6758" s="1" t="str">
        <f t="shared" si="431"/>
        <v>| [ㄏㄨˊ](ㄏㄨˊ.md) | [狐](狐.md) |  | hú | [名]
1.動物名。食肉目犬科。似犬而小，體瘦，面部較長。吻尖突，耳朵三角形。尾大而長，毛多為赤黃色。性聰明敏感，令人覺得狡猾。喜食野鼠、鳥類、家禽等，皮可製裘。常見的種類如赤狐、銀狐、北非小狐等。也稱為「狐狸」。
2.姓。如春秋時晉國有狐偃，明代有狐忠。 |</v>
      </c>
    </row>
    <row r="6759" spans="1:44" hidden="1">
      <c r="A6759" s="1" t="s">
        <v>12055</v>
      </c>
      <c r="C6759" s="1">
        <v>1</v>
      </c>
      <c r="D6759" s="1" t="str">
        <f>"04954"</f>
        <v>04954</v>
      </c>
      <c r="E6759" s="1" t="s">
        <v>103</v>
      </c>
      <c r="F6759" s="1">
        <v>8</v>
      </c>
      <c r="G6759" s="1">
        <v>5</v>
      </c>
      <c r="H6759" s="1">
        <v>0</v>
      </c>
      <c r="I6759" s="1" t="s">
        <v>12045</v>
      </c>
      <c r="K6759" s="1" t="str">
        <f t="shared" si="429"/>
        <v>ㄏ</v>
      </c>
      <c r="L6759" s="1" t="str">
        <f t="shared" si="430"/>
        <v>ㄨ</v>
      </c>
      <c r="N6759" s="3" t="s">
        <v>30575</v>
      </c>
      <c r="O6759" s="3"/>
      <c r="P6759" s="1" t="s">
        <v>20</v>
      </c>
      <c r="R6759" s="1" t="s">
        <v>12046</v>
      </c>
      <c r="V6759" s="1" t="s">
        <v>12056</v>
      </c>
      <c r="AR6759" s="1" t="str">
        <f t="shared" si="431"/>
        <v>| [ㄏㄨˊ](ㄏㄨˊ.md) | [弧](弧.md) |  | hú | [名] 
1.木弓。《說文解字．弓部》：「弧，木弓也。」《易經．繫辭下》：「弦木為弧，剡木為矢。」
2.數學上指圓周的任意一段。如：「圓弧」。
3.弧形符號。如：「括弧」。
4.姓。如春秋時楚國有弧父。
[形]
彎曲的、有曲線的。如：「弧形」。 |</v>
      </c>
    </row>
    <row r="6760" spans="1:44" hidden="1">
      <c r="A6760" s="1" t="s">
        <v>12057</v>
      </c>
      <c r="C6760" s="1">
        <v>1</v>
      </c>
      <c r="D6760" s="1" t="str">
        <f>"04955"</f>
        <v>04955</v>
      </c>
      <c r="E6760" s="1" t="s">
        <v>68</v>
      </c>
      <c r="F6760" s="1">
        <v>9</v>
      </c>
      <c r="G6760" s="1">
        <v>5</v>
      </c>
      <c r="H6760" s="1">
        <v>0</v>
      </c>
      <c r="I6760" s="1" t="s">
        <v>12045</v>
      </c>
      <c r="K6760" s="1" t="str">
        <f t="shared" si="429"/>
        <v>ㄏ</v>
      </c>
      <c r="L6760" s="1" t="str">
        <f t="shared" si="430"/>
        <v>ㄨ</v>
      </c>
      <c r="N6760" s="3" t="s">
        <v>30575</v>
      </c>
      <c r="O6760" s="3"/>
      <c r="P6760" s="1" t="s">
        <v>20</v>
      </c>
      <c r="R6760" s="1" t="s">
        <v>12046</v>
      </c>
      <c r="V6760" s="1" t="s">
        <v>12058</v>
      </c>
      <c r="AR6760" s="1" t="str">
        <f t="shared" si="431"/>
        <v>| [ㄏㄨˊ](ㄏㄨˊ.md) | [胡](胡.md) |  | hú | [名]
1.古代北方和西方諸民族的通稱。如：「五胡亂華」。宋．岳飛〈滿江紅．怒髮衝冠〉詞：「壯志饑餐胡虜肉，笑談渴飲匈奴血。」
2.姓。如明代有胡應麟。
[形]
1.來自胡族或外國的。如：「胡琴」、「胡桃」、「胡椒」。《續漢書志．第一三．五行志一》：「靈帝好胡服、胡帳、胡床、胡坐、胡飯、胡空侯、胡笛、胡舞，京都貴戚皆競為之。」晉．干寶《搜神記》卷二：「晉永嘉中，有天竺胡人，來渡江南。」
2.長遠的。《儀禮．士冠禮》：「眉壽萬年，永受胡福。」
[副]
1.任意、隨便。如：「胡鬧」、「胡說」、「胡作非為」、「胡言亂語」。
2.何故、為何、怎麼。《詩經．邶風．式微》：「式微式微，胡不歸？」《漢書．卷六四下．王襃傳》：「其得意若此，則胡禁不止？」
[代]
什麼。《漢書．卷三九．蕭何傳》：「相國胡大罪？陛下繫之暴也？」 |</v>
      </c>
    </row>
    <row r="6761" spans="1:44" hidden="1">
      <c r="A6761" s="1" t="s">
        <v>12059</v>
      </c>
      <c r="C6761" s="1">
        <v>1</v>
      </c>
      <c r="D6761" s="1" t="str">
        <f>"04956"</f>
        <v>04956</v>
      </c>
      <c r="E6761" s="1" t="s">
        <v>129</v>
      </c>
      <c r="F6761" s="1">
        <v>12</v>
      </c>
      <c r="G6761" s="1">
        <v>9</v>
      </c>
      <c r="H6761" s="1">
        <v>0</v>
      </c>
      <c r="I6761" s="1" t="s">
        <v>12045</v>
      </c>
      <c r="K6761" s="1" t="str">
        <f t="shared" si="429"/>
        <v>ㄏ</v>
      </c>
      <c r="L6761" s="1" t="str">
        <f t="shared" si="430"/>
        <v>ㄨ</v>
      </c>
      <c r="N6761" s="3" t="s">
        <v>30575</v>
      </c>
      <c r="O6761" s="3"/>
      <c r="P6761" s="1" t="s">
        <v>20</v>
      </c>
      <c r="R6761" s="1" t="s">
        <v>12046</v>
      </c>
      <c r="V6761" s="1" t="s">
        <v>12060</v>
      </c>
      <c r="AR6761" s="1" t="str">
        <f t="shared" si="431"/>
        <v>| [ㄏㄨˊ](ㄏㄨˊ.md) | [湖](湖.md) |  | hú | [名]
1.被陸地包圍，匯集大水的地方。如：「太湖」、「洞庭湖」、「鄱陽湖」、「三江五湖」。
2.姓。如宋代有湖沐。 |</v>
      </c>
    </row>
    <row r="6762" spans="1:44" hidden="1">
      <c r="A6762" s="1" t="s">
        <v>12061</v>
      </c>
      <c r="C6762" s="1">
        <v>1</v>
      </c>
      <c r="D6762" s="1" t="str">
        <f>"04957"</f>
        <v>04957</v>
      </c>
      <c r="E6762" s="1" t="s">
        <v>198</v>
      </c>
      <c r="F6762" s="1">
        <v>12</v>
      </c>
      <c r="G6762" s="1">
        <v>9</v>
      </c>
      <c r="H6762" s="1">
        <v>0</v>
      </c>
      <c r="I6762" s="1" t="s">
        <v>12045</v>
      </c>
      <c r="K6762" s="1" t="str">
        <f t="shared" si="429"/>
        <v>ㄏ</v>
      </c>
      <c r="L6762" s="1" t="str">
        <f t="shared" si="430"/>
        <v>ㄨ</v>
      </c>
      <c r="N6762" s="3" t="s">
        <v>30575</v>
      </c>
      <c r="O6762" s="3"/>
      <c r="P6762" s="1" t="s">
        <v>20</v>
      </c>
      <c r="R6762" s="1" t="s">
        <v>12046</v>
      </c>
      <c r="V6762" s="1" t="s">
        <v>12062</v>
      </c>
      <c r="AR6762" s="1" t="str">
        <f t="shared" si="431"/>
        <v>| [ㄏㄨˊ](ㄏㄨˊ.md) | [猢](猢.md) |  | hú | 參見「猢猻」條。 |</v>
      </c>
    </row>
    <row r="6763" spans="1:44" hidden="1">
      <c r="A6763" s="1" t="s">
        <v>12063</v>
      </c>
      <c r="C6763" s="1">
        <v>1</v>
      </c>
      <c r="D6763" s="1" t="str">
        <f>"04958"</f>
        <v>04958</v>
      </c>
      <c r="E6763" s="1" t="s">
        <v>142</v>
      </c>
      <c r="F6763" s="1">
        <v>13</v>
      </c>
      <c r="G6763" s="1">
        <v>9</v>
      </c>
      <c r="H6763" s="1">
        <v>0</v>
      </c>
      <c r="I6763" s="1" t="s">
        <v>12045</v>
      </c>
      <c r="K6763" s="1" t="str">
        <f t="shared" si="429"/>
        <v>ㄏ</v>
      </c>
      <c r="L6763" s="1" t="str">
        <f t="shared" si="430"/>
        <v>ㄨ</v>
      </c>
      <c r="N6763" s="3" t="s">
        <v>30575</v>
      </c>
      <c r="O6763" s="3"/>
      <c r="P6763" s="1" t="s">
        <v>20</v>
      </c>
      <c r="R6763" s="1" t="s">
        <v>12046</v>
      </c>
      <c r="V6763" s="1" t="s">
        <v>12064</v>
      </c>
      <c r="AR6763" s="1" t="str">
        <f t="shared" si="431"/>
        <v>| [ㄏㄨˊ](ㄏㄨˊ.md) | [瑚](瑚.md) |  | hú | [名]
1.參見「珊瑚」條。
2.古代宗廟祭祀時盛黍稷的禮器。《玉篇．玉部》：「瑚，《論語注》云：『瑚璉，黍稷之器。夏曰瑚，殷曰璉。』」 |</v>
      </c>
    </row>
    <row r="6764" spans="1:44" hidden="1">
      <c r="A6764" s="1" t="s">
        <v>12065</v>
      </c>
      <c r="C6764" s="1">
        <v>1</v>
      </c>
      <c r="D6764" s="1" t="str">
        <f>"04959"</f>
        <v>04959</v>
      </c>
      <c r="E6764" s="1" t="s">
        <v>37</v>
      </c>
      <c r="F6764" s="1">
        <v>13</v>
      </c>
      <c r="G6764" s="1">
        <v>9</v>
      </c>
      <c r="H6764" s="1">
        <v>0</v>
      </c>
      <c r="I6764" s="1" t="s">
        <v>12045</v>
      </c>
      <c r="K6764" s="1" t="str">
        <f t="shared" si="429"/>
        <v>ㄏ</v>
      </c>
      <c r="L6764" s="1" t="str">
        <f t="shared" si="430"/>
        <v>ㄨ</v>
      </c>
      <c r="N6764" s="3" t="s">
        <v>30575</v>
      </c>
      <c r="O6764" s="3"/>
      <c r="P6764" s="1" t="s">
        <v>20</v>
      </c>
      <c r="R6764" s="1" t="s">
        <v>12046</v>
      </c>
      <c r="V6764" s="1" t="s">
        <v>12066</v>
      </c>
      <c r="AR6764" s="1" t="str">
        <f t="shared" si="431"/>
        <v>| [ㄏㄨˊ](ㄏㄨˊ.md) | [葫](葫.md) |  | hú | [名]
植物名：(1)百合科蔥屬，「大蒜」之古稱。參見「大蒜」條。(2)參見「葫蘆」條。 |</v>
      </c>
    </row>
    <row r="6765" spans="1:44" hidden="1">
      <c r="A6765" s="1" t="s">
        <v>12034</v>
      </c>
      <c r="C6765" s="1">
        <v>1</v>
      </c>
      <c r="D6765" s="1" t="str">
        <f>"04960"</f>
        <v>04960</v>
      </c>
      <c r="E6765" s="1" t="s">
        <v>46</v>
      </c>
      <c r="F6765" s="1">
        <v>15</v>
      </c>
      <c r="G6765" s="1">
        <v>9</v>
      </c>
      <c r="H6765" s="1">
        <v>1</v>
      </c>
      <c r="I6765" s="1" t="s">
        <v>12045</v>
      </c>
      <c r="K6765" s="1" t="str">
        <f t="shared" si="429"/>
        <v>ㄏ</v>
      </c>
      <c r="L6765" s="1" t="str">
        <f t="shared" si="430"/>
        <v>ㄨ</v>
      </c>
      <c r="N6765" s="3" t="s">
        <v>30575</v>
      </c>
      <c r="O6765" s="3"/>
      <c r="P6765" s="1" t="s">
        <v>20</v>
      </c>
      <c r="R6765" s="1" t="s">
        <v>12046</v>
      </c>
      <c r="V6765" s="1" t="s">
        <v>12067</v>
      </c>
      <c r="W6765" s="1" t="s">
        <v>12068</v>
      </c>
      <c r="AR6765" s="1" t="str">
        <f t="shared" si="431"/>
        <v>| [ㄏㄨˊ](ㄏㄨˊ.md) | [糊](糊.md) |  | hú | [名]
1.以米麥粉和水調成的稠狀物。如：「麵糊」、「漿糊」。
2.具有黏性而穠稠的食物。通「餬」。如：「芋糊」、「鱔糊」、「芝麻糊」。《西遊記》第六九回：「滑軟黃粱飯，清新菰米糊。」
[動]
1.黏貼。如：「裱糊」、「糊紙」。《老殘遊記》第七回：「又叫買了幾張桑皮紙，把那個破窗戶糊了。」
2.填飽肚子。同「餬」。《警世通言．卷二五．桂員外途窮懺悔》：「自耕自食，儘可糊口。」
[形]
不清楚、不明白。參見「模糊」條。
[副]
燒焦、煮爛。如：「蛋煎糊了。」、「我把那鍋牛肉煮糊了。」 |</v>
      </c>
    </row>
    <row r="6766" spans="1:44" hidden="1">
      <c r="A6766" s="1" t="s">
        <v>12069</v>
      </c>
      <c r="C6766" s="1">
        <v>1</v>
      </c>
      <c r="D6766" s="1" t="str">
        <f>"04961"</f>
        <v>04961</v>
      </c>
      <c r="E6766" s="1" t="s">
        <v>679</v>
      </c>
      <c r="F6766" s="1">
        <v>15</v>
      </c>
      <c r="G6766" s="1">
        <v>9</v>
      </c>
      <c r="H6766" s="1">
        <v>0</v>
      </c>
      <c r="I6766" s="1" t="s">
        <v>12045</v>
      </c>
      <c r="K6766" s="1" t="str">
        <f t="shared" si="429"/>
        <v>ㄏ</v>
      </c>
      <c r="L6766" s="1" t="str">
        <f t="shared" si="430"/>
        <v>ㄨ</v>
      </c>
      <c r="N6766" s="3" t="s">
        <v>30575</v>
      </c>
      <c r="O6766" s="3"/>
      <c r="P6766" s="1" t="s">
        <v>20</v>
      </c>
      <c r="R6766" s="1" t="s">
        <v>12046</v>
      </c>
      <c r="V6766" s="1" t="s">
        <v>12070</v>
      </c>
      <c r="AR6766" s="1" t="str">
        <f t="shared" si="431"/>
        <v>| [ㄏㄨˊ](ㄏㄨˊ.md) | [蝴](蝴.md) |  | hú | 參見「蝴蝶」條。 |</v>
      </c>
    </row>
    <row r="6767" spans="1:44" hidden="1">
      <c r="A6767" s="1" t="s">
        <v>12071</v>
      </c>
      <c r="C6767" s="1">
        <v>1</v>
      </c>
      <c r="D6767" s="1" t="str">
        <f>"04962"</f>
        <v>04962</v>
      </c>
      <c r="E6767" s="1" t="s">
        <v>7105</v>
      </c>
      <c r="F6767" s="1">
        <v>15</v>
      </c>
      <c r="G6767" s="1">
        <v>9</v>
      </c>
      <c r="H6767" s="1">
        <v>0</v>
      </c>
      <c r="I6767" s="1" t="s">
        <v>12045</v>
      </c>
      <c r="K6767" s="1" t="str">
        <f t="shared" si="429"/>
        <v>ㄏ</v>
      </c>
      <c r="L6767" s="1" t="str">
        <f t="shared" si="430"/>
        <v>ㄨ</v>
      </c>
      <c r="N6767" s="3" t="s">
        <v>30575</v>
      </c>
      <c r="O6767" s="3"/>
      <c r="P6767" s="1" t="s">
        <v>20</v>
      </c>
      <c r="R6767" s="1" t="s">
        <v>12046</v>
      </c>
      <c r="V6767" s="1" t="s">
        <v>12072</v>
      </c>
      <c r="AR6767" s="1" t="str">
        <f t="shared" si="431"/>
        <v>| [ㄏㄨˊ](ㄏㄨˊ.md) | [衚](衚.md) |  | hú | 參見「衚衕」條。 |</v>
      </c>
    </row>
    <row r="6768" spans="1:44" hidden="1">
      <c r="A6768" s="1" t="s">
        <v>12073</v>
      </c>
      <c r="C6768" s="1">
        <v>1</v>
      </c>
      <c r="D6768" s="1" t="str">
        <f>"04963"</f>
        <v>04963</v>
      </c>
      <c r="E6768" s="1" t="s">
        <v>1462</v>
      </c>
      <c r="F6768" s="1">
        <v>16</v>
      </c>
      <c r="G6768" s="1">
        <v>9</v>
      </c>
      <c r="H6768" s="1">
        <v>0</v>
      </c>
      <c r="I6768" s="1" t="s">
        <v>12045</v>
      </c>
      <c r="K6768" s="1" t="str">
        <f t="shared" si="429"/>
        <v>ㄏ</v>
      </c>
      <c r="L6768" s="1" t="str">
        <f t="shared" si="430"/>
        <v>ㄨ</v>
      </c>
      <c r="N6768" s="3" t="s">
        <v>30575</v>
      </c>
      <c r="O6768" s="3"/>
      <c r="P6768" s="1" t="s">
        <v>20</v>
      </c>
      <c r="R6768" s="1" t="s">
        <v>12046</v>
      </c>
      <c r="V6768" s="1" t="s">
        <v>6437</v>
      </c>
      <c r="AR6768" s="1" t="str">
        <f t="shared" si="431"/>
        <v>| [ㄏㄨˊ](ㄏㄨˊ.md) | [醐](醐.md) |  | hú | 參見「醍醐」條。 |</v>
      </c>
    </row>
    <row r="6769" spans="1:44" hidden="1">
      <c r="A6769" s="1" t="s">
        <v>12074</v>
      </c>
      <c r="C6769" s="1">
        <v>1</v>
      </c>
      <c r="D6769" s="1" t="str">
        <f>"04964"</f>
        <v>04964</v>
      </c>
      <c r="E6769" s="1" t="s">
        <v>193</v>
      </c>
      <c r="F6769" s="1">
        <v>17</v>
      </c>
      <c r="G6769" s="1">
        <v>9</v>
      </c>
      <c r="H6769" s="1">
        <v>0</v>
      </c>
      <c r="I6769" s="1" t="s">
        <v>12045</v>
      </c>
      <c r="K6769" s="1" t="str">
        <f t="shared" si="429"/>
        <v>ㄏ</v>
      </c>
      <c r="L6769" s="1" t="str">
        <f t="shared" si="430"/>
        <v>ㄨ</v>
      </c>
      <c r="N6769" s="3" t="s">
        <v>30575</v>
      </c>
      <c r="O6769" s="3"/>
      <c r="P6769" s="1" t="s">
        <v>20</v>
      </c>
      <c r="R6769" s="1" t="s">
        <v>12046</v>
      </c>
      <c r="V6769" s="1" t="s">
        <v>12075</v>
      </c>
      <c r="AR6769" s="1" t="str">
        <f t="shared" si="431"/>
        <v>| [ㄏㄨˊ](ㄏㄨˊ.md) | [餬](餬.md) |  | hú | [名]
1.稠粥。《爾雅．釋言》：「餬，饘也。」晉．郭璞．注：「餬，糜也。」宋．邢昺．疏：「餬、饘、鬻、糜，相類之物，稠者曰糜，淖者曰鬻，餬、饘是其別名。」
2.粥狀的食物。如：「米餬」、「芝麻餬」。
[動]
1.塗黏、黏合。如：「餬紙」、「餬燈籠」。
2.用食物填飽肚子。參見「餬口」條。
3.敷衍。《儒林外史》第二三回：「當時兌了一萬兩銀子出來，纔餬的去了，不曾破相。」 |</v>
      </c>
    </row>
    <row r="6770" spans="1:44" hidden="1">
      <c r="A6770" s="1" t="s">
        <v>12076</v>
      </c>
      <c r="C6770" s="1">
        <v>1</v>
      </c>
      <c r="D6770" s="1" t="str">
        <f>"04965"</f>
        <v>04965</v>
      </c>
      <c r="E6770" s="1" t="s">
        <v>1078</v>
      </c>
      <c r="F6770" s="1">
        <v>19</v>
      </c>
      <c r="G6770" s="1">
        <v>9</v>
      </c>
      <c r="H6770" s="1">
        <v>0</v>
      </c>
      <c r="I6770" s="1" t="s">
        <v>12045</v>
      </c>
      <c r="K6770" s="1" t="str">
        <f t="shared" si="429"/>
        <v>ㄏ</v>
      </c>
      <c r="L6770" s="1" t="str">
        <f t="shared" si="430"/>
        <v>ㄨ</v>
      </c>
      <c r="N6770" s="3" t="s">
        <v>30575</v>
      </c>
      <c r="O6770" s="3"/>
      <c r="P6770" s="1" t="s">
        <v>20</v>
      </c>
      <c r="R6770" s="1" t="s">
        <v>12046</v>
      </c>
      <c r="V6770" s="1" t="s">
        <v>12077</v>
      </c>
      <c r="AR6770" s="1" t="str">
        <f t="shared" si="431"/>
        <v>| [ㄏㄨˊ](ㄏㄨˊ.md) | [鬍](鬍.md) |  | hú | [名]
長在嘴邊的毛。如：「鬍鬚」、「絡腮鬍」。 |</v>
      </c>
    </row>
    <row r="6771" spans="1:44" hidden="1">
      <c r="A6771" s="1" t="s">
        <v>12078</v>
      </c>
      <c r="C6771" s="1">
        <v>1</v>
      </c>
      <c r="D6771" s="1" t="str">
        <f>"04966"</f>
        <v>04966</v>
      </c>
      <c r="E6771" s="1" t="s">
        <v>272</v>
      </c>
      <c r="F6771" s="1">
        <v>20</v>
      </c>
      <c r="G6771" s="1">
        <v>9</v>
      </c>
      <c r="H6771" s="1">
        <v>0</v>
      </c>
      <c r="I6771" s="1" t="s">
        <v>12045</v>
      </c>
      <c r="K6771" s="1" t="str">
        <f t="shared" si="429"/>
        <v>ㄏ</v>
      </c>
      <c r="L6771" s="1" t="str">
        <f t="shared" si="430"/>
        <v>ㄨ</v>
      </c>
      <c r="N6771" s="3" t="s">
        <v>30575</v>
      </c>
      <c r="O6771" s="3"/>
      <c r="P6771" s="1" t="s">
        <v>20</v>
      </c>
      <c r="R6771" s="1" t="s">
        <v>12046</v>
      </c>
      <c r="V6771" s="1" t="s">
        <v>6455</v>
      </c>
      <c r="AR6771" s="1" t="str">
        <f t="shared" si="431"/>
        <v>| [ㄏㄨˊ](ㄏㄨˊ.md) | [鶘](鶘.md) |  | hú | 參見「鵜鶘」條。 |</v>
      </c>
    </row>
    <row r="6772" spans="1:44" hidden="1">
      <c r="A6772" s="1" t="s">
        <v>12079</v>
      </c>
      <c r="C6772" s="1">
        <v>1</v>
      </c>
      <c r="D6772" s="1" t="str">
        <f>"04967"</f>
        <v>04967</v>
      </c>
      <c r="E6772" s="1" t="s">
        <v>4869</v>
      </c>
      <c r="F6772" s="1">
        <v>11</v>
      </c>
      <c r="G6772" s="1">
        <v>7</v>
      </c>
      <c r="H6772" s="1">
        <v>0</v>
      </c>
      <c r="I6772" s="1" t="s">
        <v>12045</v>
      </c>
      <c r="K6772" s="1" t="str">
        <f t="shared" si="429"/>
        <v>ㄏ</v>
      </c>
      <c r="L6772" s="1" t="str">
        <f t="shared" si="430"/>
        <v>ㄨ</v>
      </c>
      <c r="N6772" s="3" t="s">
        <v>30575</v>
      </c>
      <c r="O6772" s="3"/>
      <c r="P6772" s="1" t="s">
        <v>20</v>
      </c>
      <c r="R6772" s="1" t="s">
        <v>12046</v>
      </c>
      <c r="V6772" s="1" t="s">
        <v>12080</v>
      </c>
      <c r="AR6772" s="1" t="str">
        <f t="shared" si="431"/>
        <v>| [ㄏㄨˊ](ㄏㄨˊ.md) | [斛](斛.md) |  | hú | [名]
1.量詞。古代計算容量的單位。十斗為一斛，後改作五斗為一斛。《說文解字》：「斛，十斗也。」明．張自烈《正字通．斗部》：「斛，今制五斗曰斛，十斗曰石。」
2.一種古代的量器。《莊子．胠篋》：「為之斗斛以量之，則並與斗斛而竊之。」 |</v>
      </c>
    </row>
    <row r="6773" spans="1:44" hidden="1">
      <c r="A6773" s="1" t="s">
        <v>12081</v>
      </c>
      <c r="C6773" s="1">
        <v>1</v>
      </c>
      <c r="D6773" s="1" t="str">
        <f>"04968"</f>
        <v>04968</v>
      </c>
      <c r="E6773" s="1" t="s">
        <v>139</v>
      </c>
      <c r="F6773" s="1">
        <v>15</v>
      </c>
      <c r="G6773" s="1">
        <v>11</v>
      </c>
      <c r="H6773" s="1">
        <v>0</v>
      </c>
      <c r="I6773" s="1" t="s">
        <v>12045</v>
      </c>
      <c r="K6773" s="1" t="str">
        <f t="shared" si="429"/>
        <v>ㄏ</v>
      </c>
      <c r="L6773" s="1" t="str">
        <f t="shared" si="430"/>
        <v>ㄨ</v>
      </c>
      <c r="N6773" s="3" t="s">
        <v>30575</v>
      </c>
      <c r="O6773" s="3"/>
      <c r="P6773" s="1" t="s">
        <v>20</v>
      </c>
      <c r="R6773" s="1" t="s">
        <v>12046</v>
      </c>
      <c r="V6773" s="1" t="s">
        <v>12082</v>
      </c>
      <c r="AR6773" s="1" t="str">
        <f t="shared" si="431"/>
        <v>| [ㄏㄨˊ](ㄏㄨˊ.md) | [槲](槲.md) |  | hú | [名]
植物名。殼斗科麻櫟屬，落葉喬木。枝椏粗壯，密被黃褐色短毛。葉倒卵形，波狀粗鋸齒緣，兩面被有軟毛或星狀毛。柔荑花序穗狀，下垂，花黃綠色。堅果卵形，平滑，殼斗碗狀，包被堅果之一半，苞片扁平。材質堅硬，可供製器具及枕木；葉子可飼養柞蠶。也稱為「檞樹」。 |</v>
      </c>
    </row>
    <row r="6774" spans="1:44" hidden="1">
      <c r="A6774" s="1" t="s">
        <v>12083</v>
      </c>
      <c r="C6774" s="1">
        <v>1</v>
      </c>
      <c r="D6774" s="1" t="str">
        <f>"04969"</f>
        <v>04969</v>
      </c>
      <c r="E6774" s="1" t="s">
        <v>11385</v>
      </c>
      <c r="F6774" s="1">
        <v>12</v>
      </c>
      <c r="G6774" s="1">
        <v>9</v>
      </c>
      <c r="H6774" s="1">
        <v>0</v>
      </c>
      <c r="I6774" s="1" t="s">
        <v>12045</v>
      </c>
      <c r="K6774" s="1" t="str">
        <f t="shared" si="429"/>
        <v>ㄏ</v>
      </c>
      <c r="L6774" s="1" t="str">
        <f t="shared" si="430"/>
        <v>ㄨ</v>
      </c>
      <c r="N6774" s="3" t="s">
        <v>30575</v>
      </c>
      <c r="O6774" s="3"/>
      <c r="P6774" s="1" t="s">
        <v>20</v>
      </c>
      <c r="R6774" s="1" t="s">
        <v>12046</v>
      </c>
      <c r="V6774" s="1" t="s">
        <v>12084</v>
      </c>
      <c r="AR6774" s="1" t="str">
        <f t="shared" si="431"/>
        <v>| [ㄏㄨˊ](ㄏㄨˊ.md) | [壺](壺.md) |  | hú | [名]
1.以陶土或金屬製成的容器。小口大腹，通常用來盛裝酒漿、茶水或其他東西。如：「水壺」、「酒壺」、「茶壺」、「鼻煙壺」。
2.量詞。計算壺裝物的單位。如：「一壺水」、「兩壺茶」。
3.姓。如漢代有壺遂。 |</v>
      </c>
    </row>
    <row r="6775" spans="1:44" hidden="1">
      <c r="A6775" s="1" t="s">
        <v>12085</v>
      </c>
      <c r="C6775" s="1">
        <v>1</v>
      </c>
      <c r="D6775" s="1" t="str">
        <f>"04970"</f>
        <v>04970</v>
      </c>
      <c r="E6775" s="1" t="s">
        <v>24</v>
      </c>
      <c r="F6775" s="1">
        <v>13</v>
      </c>
      <c r="G6775" s="1">
        <v>10</v>
      </c>
      <c r="H6775" s="1">
        <v>0</v>
      </c>
      <c r="I6775" s="1" t="s">
        <v>12045</v>
      </c>
      <c r="K6775" s="1" t="str">
        <f t="shared" si="429"/>
        <v>ㄏ</v>
      </c>
      <c r="L6775" s="1" t="str">
        <f t="shared" si="430"/>
        <v>ㄨ</v>
      </c>
      <c r="N6775" s="3" t="s">
        <v>30575</v>
      </c>
      <c r="O6775" s="3"/>
      <c r="P6775" s="1" t="s">
        <v>20</v>
      </c>
      <c r="R6775" s="1" t="s">
        <v>12046</v>
      </c>
      <c r="V6775" s="1" t="s">
        <v>12086</v>
      </c>
      <c r="AR6775" s="1" t="str">
        <f t="shared" si="431"/>
        <v>| [ㄏㄨˊ](ㄏㄨˊ.md) | [搰](搰.md) |  | hú | [動]
挖掘。《國語．吳語》：「狐埋之而狐搰之，是以無成功。」 |</v>
      </c>
    </row>
    <row r="6776" spans="1:44" hidden="1">
      <c r="A6776" s="1" t="s">
        <v>10170</v>
      </c>
      <c r="C6776" s="1">
        <v>1</v>
      </c>
      <c r="D6776" s="1" t="str">
        <f>"04971"</f>
        <v>04971</v>
      </c>
      <c r="E6776" s="1" t="s">
        <v>272</v>
      </c>
      <c r="F6776" s="1">
        <v>21</v>
      </c>
      <c r="G6776" s="1">
        <v>10</v>
      </c>
      <c r="H6776" s="1">
        <v>2</v>
      </c>
      <c r="I6776" s="1" t="s">
        <v>12045</v>
      </c>
      <c r="K6776" s="1" t="str">
        <f t="shared" si="429"/>
        <v>ㄏ</v>
      </c>
      <c r="L6776" s="1" t="str">
        <f t="shared" si="430"/>
        <v>ㄨ</v>
      </c>
      <c r="N6776" s="3" t="s">
        <v>30575</v>
      </c>
      <c r="O6776" s="3"/>
      <c r="P6776" s="1" t="s">
        <v>20</v>
      </c>
      <c r="R6776" s="1" t="s">
        <v>12046</v>
      </c>
      <c r="V6776" s="1" t="s">
        <v>12087</v>
      </c>
      <c r="W6776" s="1" t="s">
        <v>12088</v>
      </c>
      <c r="AR6776" s="1" t="str">
        <f t="shared" si="431"/>
        <v>| [ㄏㄨˊ](ㄏㄨˊ.md) | [鶻](鶻.md) |  | hú | [名]
部分鳥綱隼科隼屬動物的舊稱。行動敏捷，凶猛有力，獵人常馴以捕捉鳥兔。如：「千里鶻」、「穿雲鶻」。 |</v>
      </c>
    </row>
    <row r="6777" spans="1:44" hidden="1">
      <c r="A6777" s="1" t="s">
        <v>12089</v>
      </c>
      <c r="C6777" s="1">
        <v>1</v>
      </c>
      <c r="D6777" s="1" t="str">
        <f>"04972"</f>
        <v>04972</v>
      </c>
      <c r="E6777" s="1" t="s">
        <v>725</v>
      </c>
      <c r="F6777" s="1">
        <v>16</v>
      </c>
      <c r="G6777" s="1">
        <v>10</v>
      </c>
      <c r="H6777" s="1">
        <v>0</v>
      </c>
      <c r="I6777" s="1" t="s">
        <v>12045</v>
      </c>
      <c r="K6777" s="1" t="str">
        <f t="shared" si="429"/>
        <v>ㄏ</v>
      </c>
      <c r="L6777" s="1" t="str">
        <f t="shared" si="430"/>
        <v>ㄨ</v>
      </c>
      <c r="N6777" s="3" t="s">
        <v>30575</v>
      </c>
      <c r="O6777" s="3"/>
      <c r="P6777" s="1" t="s">
        <v>20</v>
      </c>
      <c r="R6777" s="1" t="s">
        <v>12046</v>
      </c>
      <c r="V6777" s="1" t="s">
        <v>12090</v>
      </c>
      <c r="AR6777" s="1" t="str">
        <f t="shared" si="431"/>
        <v>| [ㄏㄨˊ](ㄏㄨˊ.md) | [縠](縠.md) |  | hú | [名]
1.縐紗。《文選．宋玉．神女賦》：「動霧縠以徐步兮，拂墀聲之珊珊。」
2.比喻波紋。宋．蘇軾〈臨江仙．夜飲東坡醒復醉〉詞：「長恨此身非我有，何時忘卻營營？夜闌風靜縠紋平。」 |</v>
      </c>
    </row>
    <row r="6778" spans="1:44" hidden="1">
      <c r="A6778" s="1" t="s">
        <v>12091</v>
      </c>
      <c r="C6778" s="1">
        <v>1</v>
      </c>
      <c r="D6778" s="1" t="str">
        <f>"04973"</f>
        <v>04973</v>
      </c>
      <c r="E6778" s="1" t="s">
        <v>1117</v>
      </c>
      <c r="F6778" s="1">
        <v>17</v>
      </c>
      <c r="G6778" s="1">
        <v>10</v>
      </c>
      <c r="H6778" s="1">
        <v>0</v>
      </c>
      <c r="I6778" s="1" t="s">
        <v>12045</v>
      </c>
      <c r="K6778" s="1" t="str">
        <f t="shared" si="429"/>
        <v>ㄏ</v>
      </c>
      <c r="L6778" s="1" t="str">
        <f t="shared" si="430"/>
        <v>ㄨ</v>
      </c>
      <c r="N6778" s="3" t="s">
        <v>30575</v>
      </c>
      <c r="O6778" s="3"/>
      <c r="P6778" s="1" t="s">
        <v>20</v>
      </c>
      <c r="R6778" s="1" t="s">
        <v>12046</v>
      </c>
      <c r="V6778" s="1" t="s">
        <v>12092</v>
      </c>
      <c r="AR6778" s="1" t="str">
        <f t="shared" si="431"/>
        <v>| [ㄏㄨˊ](ㄏㄨˊ.md) | [觳](觳.md) |  | hú | [名]
量詞。古代計算容量的單位。十斗為一觳，後改作五斗為一觳。《周禮．冬官考工記．陶人》：「鬲實五觳，厚半寸脣寸。庾實二觳，厚半寸脣寸。」
[形]
參見「觳觫」條。 |</v>
      </c>
    </row>
    <row r="6779" spans="1:44" hidden="1">
      <c r="A6779" s="1" t="s">
        <v>10190</v>
      </c>
      <c r="C6779" s="1">
        <v>1</v>
      </c>
      <c r="D6779" s="1" t="str">
        <f>"04974"</f>
        <v>04974</v>
      </c>
      <c r="E6779" s="1" t="s">
        <v>272</v>
      </c>
      <c r="F6779" s="1">
        <v>18</v>
      </c>
      <c r="G6779" s="1">
        <v>7</v>
      </c>
      <c r="H6779" s="1">
        <v>1</v>
      </c>
      <c r="I6779" s="1" t="s">
        <v>12045</v>
      </c>
      <c r="K6779" s="1" t="str">
        <f t="shared" si="429"/>
        <v>ㄏ</v>
      </c>
      <c r="L6779" s="1" t="str">
        <f t="shared" si="430"/>
        <v>ㄨ</v>
      </c>
      <c r="N6779" s="3" t="s">
        <v>30575</v>
      </c>
      <c r="O6779" s="3"/>
      <c r="P6779" s="1" t="s">
        <v>20</v>
      </c>
      <c r="R6779" s="1" t="s">
        <v>12046</v>
      </c>
      <c r="V6779" s="1" t="s">
        <v>12093</v>
      </c>
      <c r="W6779" s="1" t="s">
        <v>12094</v>
      </c>
      <c r="AR6779" s="1" t="str">
        <f t="shared" si="431"/>
        <v>| [ㄏㄨˊ](ㄏㄨˊ.md) | [鵠](鵠.md) |  | hú | [名]
動物名。鳥綱雁形目。體形似雁而較大，頸長，腳短。行走不便，但在水中能迅速划行，姿態優雅。能高飛，且鳴聲洪亮。俗稱為「天鵝」。
[副]
比喻像鵠般伸長頸子的樣子。如：「鵠立」、「鵠候」、「鵠望」。 |</v>
      </c>
    </row>
    <row r="6780" spans="1:44" hidden="1">
      <c r="A6780" s="1" t="s">
        <v>12015</v>
      </c>
      <c r="C6780" s="1">
        <v>1</v>
      </c>
      <c r="D6780" s="1" t="str">
        <f>"04975"</f>
        <v>04975</v>
      </c>
      <c r="E6780" s="1" t="s">
        <v>660</v>
      </c>
      <c r="F6780" s="1">
        <v>8</v>
      </c>
      <c r="G6780" s="1">
        <v>2</v>
      </c>
      <c r="H6780" s="1">
        <v>1</v>
      </c>
      <c r="I6780" s="1" t="s">
        <v>12095</v>
      </c>
      <c r="K6780" s="1" t="str">
        <f t="shared" si="429"/>
        <v>ㄏ</v>
      </c>
      <c r="L6780" s="1" t="str">
        <f t="shared" si="430"/>
        <v>ㄨ</v>
      </c>
      <c r="N6780" s="3" t="s">
        <v>30576</v>
      </c>
      <c r="O6780" s="3"/>
      <c r="P6780" s="1" t="s">
        <v>20</v>
      </c>
      <c r="R6780" s="1" t="s">
        <v>12096</v>
      </c>
      <c r="V6780" s="1" t="s">
        <v>12097</v>
      </c>
      <c r="W6780" s="1" t="s">
        <v>12098</v>
      </c>
      <c r="AR6780" s="1" t="str">
        <f t="shared" si="431"/>
        <v>| [ㄏㄨˇ](ㄏㄨˇ.md) | [虎](虎.md) |  | hǔ | [名]
1.動物名。哺乳類食肉目貓科。形似貓，全身黃褐色，具黑色條紋。性凶猛。獨居，善游泳。於夜間狩獵，以鹿、羊、豬等為食。俗稱為「老虎」。
2.姓。如漢代有虎旗。
[形]
威武勇猛。如：「虎將」、「龍兄虎弟」、「虎父無犬子」。《詩經．魯頌．泮水》：「矯矯虎臣，在泮獻馘。」《後漢書．卷八四．烈女傳．董祀妻傳》：「明公廄馬萬匹，虎士成林。」 |</v>
      </c>
    </row>
    <row r="6781" spans="1:44" hidden="1">
      <c r="A6781" s="1" t="s">
        <v>12099</v>
      </c>
      <c r="C6781" s="1">
        <v>1</v>
      </c>
      <c r="D6781" s="1" t="str">
        <f>"04976"</f>
        <v>04976</v>
      </c>
      <c r="E6781" s="1" t="s">
        <v>28</v>
      </c>
      <c r="F6781" s="1">
        <v>11</v>
      </c>
      <c r="G6781" s="1">
        <v>8</v>
      </c>
      <c r="H6781" s="1">
        <v>0</v>
      </c>
      <c r="I6781" s="1" t="s">
        <v>12095</v>
      </c>
      <c r="K6781" s="1" t="str">
        <f t="shared" si="429"/>
        <v>ㄏ</v>
      </c>
      <c r="L6781" s="1" t="str">
        <f t="shared" si="430"/>
        <v>ㄨ</v>
      </c>
      <c r="N6781" s="3" t="s">
        <v>30576</v>
      </c>
      <c r="O6781" s="3"/>
      <c r="P6781" s="1" t="s">
        <v>20</v>
      </c>
      <c r="R6781" s="1" t="s">
        <v>12096</v>
      </c>
      <c r="V6781" s="1" t="s">
        <v>12100</v>
      </c>
      <c r="AR6781" s="1" t="str">
        <f t="shared" si="431"/>
        <v>| [ㄏㄨˇ](ㄏㄨˇ.md) | [唬](唬.md) |  | hǔ | [動]
虛張聲勢來威嚇別人。如：「嚇唬」。 |</v>
      </c>
    </row>
    <row r="6782" spans="1:44" hidden="1">
      <c r="A6782" s="1" t="s">
        <v>12101</v>
      </c>
      <c r="C6782" s="1">
        <v>1</v>
      </c>
      <c r="D6782" s="1" t="str">
        <f>"04977"</f>
        <v>04977</v>
      </c>
      <c r="E6782" s="1" t="s">
        <v>142</v>
      </c>
      <c r="F6782" s="1">
        <v>12</v>
      </c>
      <c r="G6782" s="1">
        <v>8</v>
      </c>
      <c r="H6782" s="1">
        <v>0</v>
      </c>
      <c r="I6782" s="1" t="s">
        <v>12095</v>
      </c>
      <c r="K6782" s="1" t="str">
        <f t="shared" si="429"/>
        <v>ㄏ</v>
      </c>
      <c r="L6782" s="1" t="str">
        <f t="shared" si="430"/>
        <v>ㄨ</v>
      </c>
      <c r="N6782" s="3" t="s">
        <v>30576</v>
      </c>
      <c r="O6782" s="3"/>
      <c r="P6782" s="1" t="s">
        <v>20</v>
      </c>
      <c r="R6782" s="1" t="s">
        <v>12096</v>
      </c>
      <c r="V6782" s="1" t="s">
        <v>12102</v>
      </c>
      <c r="AR6782" s="1" t="str">
        <f t="shared" si="431"/>
        <v>| [ㄏㄨˇ](ㄏㄨˇ.md) | [琥](琥.md) |  | hǔ | [名]
1.古代發兵所用的玉製信物。《說文解字．玉部》：「琥，發兵瑞玉。」
2.古代祭神用的虎形玉器。《周禮．春官．大宗伯》：「以玉作六器，以禮天地四方……以白琥禮西方。」 |</v>
      </c>
    </row>
    <row r="6783" spans="1:44" hidden="1">
      <c r="A6783" s="1" t="s">
        <v>12103</v>
      </c>
      <c r="C6783" s="1">
        <v>1</v>
      </c>
      <c r="D6783" s="1" t="str">
        <f>"04978"</f>
        <v>04978</v>
      </c>
      <c r="E6783" s="1" t="s">
        <v>331</v>
      </c>
      <c r="F6783" s="1">
        <v>11</v>
      </c>
      <c r="G6783" s="1">
        <v>4</v>
      </c>
      <c r="H6783" s="1">
        <v>2</v>
      </c>
      <c r="I6783" s="1" t="s">
        <v>12095</v>
      </c>
      <c r="K6783" s="1" t="str">
        <f t="shared" si="429"/>
        <v>ㄏ</v>
      </c>
      <c r="L6783" s="1" t="str">
        <f t="shared" si="430"/>
        <v>ㄨ</v>
      </c>
      <c r="N6783" s="3" t="s">
        <v>30576</v>
      </c>
      <c r="O6783" s="3"/>
      <c r="P6783" s="1" t="s">
        <v>20</v>
      </c>
      <c r="R6783" s="1" t="s">
        <v>12096</v>
      </c>
      <c r="V6783" s="1" t="s">
        <v>12104</v>
      </c>
      <c r="W6783" s="1" t="s">
        <v>12105</v>
      </c>
      <c r="AR6783" s="1" t="str">
        <f t="shared" si="431"/>
        <v>| [ㄏㄨˇ](ㄏㄨˇ.md) | [許](許.md) |  | hǔ | 參見「許許」條。 |</v>
      </c>
    </row>
    <row r="6784" spans="1:44" hidden="1">
      <c r="A6784" s="1" t="s">
        <v>12106</v>
      </c>
      <c r="C6784" s="1">
        <v>1</v>
      </c>
      <c r="D6784" s="1" t="str">
        <f>"04979"</f>
        <v>04979</v>
      </c>
      <c r="E6784" s="1" t="s">
        <v>129</v>
      </c>
      <c r="F6784" s="1">
        <v>14</v>
      </c>
      <c r="G6784" s="1">
        <v>11</v>
      </c>
      <c r="H6784" s="1">
        <v>0</v>
      </c>
      <c r="I6784" s="1" t="s">
        <v>12095</v>
      </c>
      <c r="K6784" s="1" t="str">
        <f t="shared" si="429"/>
        <v>ㄏ</v>
      </c>
      <c r="L6784" s="1" t="str">
        <f t="shared" si="430"/>
        <v>ㄨ</v>
      </c>
      <c r="N6784" s="3" t="s">
        <v>30576</v>
      </c>
      <c r="O6784" s="3"/>
      <c r="P6784" s="1" t="s">
        <v>20</v>
      </c>
      <c r="R6784" s="1" t="s">
        <v>12096</v>
      </c>
      <c r="V6784" s="1" t="s">
        <v>12107</v>
      </c>
      <c r="AR6784" s="1" t="str">
        <f t="shared" si="431"/>
        <v>| [ㄏㄨˇ](ㄏㄨˇ.md) | [滸](滸.md) |  | hǔ | [名]
水邊。《詩經．王風．葛藟》：「綿綿葛藟，在河之滸。」唐．李白〈丁督護歌〉：「萬人鑿盤石，無由達江滸。」 |</v>
      </c>
    </row>
    <row r="6785" spans="1:44" hidden="1">
      <c r="A6785" s="1" t="s">
        <v>12311</v>
      </c>
      <c r="C6785" s="1">
        <v>1</v>
      </c>
      <c r="D6785" s="1" t="str">
        <f>"05068"</f>
        <v>05068</v>
      </c>
      <c r="E6785" s="1" t="s">
        <v>286</v>
      </c>
      <c r="F6785" s="1">
        <v>4</v>
      </c>
      <c r="G6785" s="1">
        <v>2</v>
      </c>
      <c r="H6785" s="1">
        <v>2</v>
      </c>
      <c r="I6785" s="1" t="s">
        <v>12312</v>
      </c>
      <c r="J6785" s="2" t="s">
        <v>30559</v>
      </c>
      <c r="K6785" s="1" t="s">
        <v>30569</v>
      </c>
      <c r="L6785" s="1" t="s">
        <v>26348</v>
      </c>
      <c r="P6785" s="1" t="s">
        <v>20</v>
      </c>
      <c r="R6785" s="1" t="s">
        <v>12313</v>
      </c>
      <c r="V6785" s="1" t="s">
        <v>12314</v>
      </c>
      <c r="W6785" s="1" t="s">
        <v>12315</v>
      </c>
      <c r="AR6785" s="1" t="str">
        <f t="shared" si="431"/>
        <v>| [˙ㄏㄨㄛ](˙ㄏㄨㄛ.md) | [午](午.md) |  | huo | 參見「晌午」條。 |</v>
      </c>
    </row>
    <row r="6786" spans="1:44" hidden="1">
      <c r="A6786" s="1" t="s">
        <v>11507</v>
      </c>
      <c r="C6786" s="1">
        <v>1</v>
      </c>
      <c r="D6786" s="1" t="str">
        <f>"05069"</f>
        <v>05069</v>
      </c>
      <c r="E6786" s="1" t="s">
        <v>28</v>
      </c>
      <c r="F6786" s="1">
        <v>8</v>
      </c>
      <c r="G6786" s="1">
        <v>5</v>
      </c>
      <c r="H6786" s="1">
        <v>2</v>
      </c>
      <c r="I6786" s="1" t="s">
        <v>12312</v>
      </c>
      <c r="J6786" s="2" t="s">
        <v>30559</v>
      </c>
      <c r="K6786" s="1" t="s">
        <v>30569</v>
      </c>
      <c r="L6786" s="1" t="s">
        <v>26348</v>
      </c>
      <c r="P6786" s="1" t="s">
        <v>20</v>
      </c>
      <c r="R6786" s="1" t="s">
        <v>12313</v>
      </c>
      <c r="V6786" s="1" t="s">
        <v>12316</v>
      </c>
      <c r="W6786" s="1" t="s">
        <v>12317</v>
      </c>
      <c r="AR6786" s="1" t="str">
        <f t="shared" si="431"/>
        <v>| [˙ㄏㄨㄛ](˙ㄏㄨㄛ.md) | [和](和.md) |  | huo | [形]
溫暖的。如：「暖和」。 |</v>
      </c>
    </row>
    <row r="6787" spans="1:44" hidden="1">
      <c r="A6787" s="1" t="s">
        <v>12656</v>
      </c>
      <c r="C6787" s="1">
        <v>1</v>
      </c>
      <c r="D6787" s="1" t="str">
        <f>"05253"</f>
        <v>05253</v>
      </c>
      <c r="E6787" s="1" t="s">
        <v>250</v>
      </c>
      <c r="F6787" s="1">
        <v>13</v>
      </c>
      <c r="G6787" s="1">
        <v>10</v>
      </c>
      <c r="H6787" s="1">
        <v>2</v>
      </c>
      <c r="I6787" s="1" t="s">
        <v>12728</v>
      </c>
      <c r="J6787" s="2" t="s">
        <v>30559</v>
      </c>
      <c r="K6787" s="1" t="s">
        <v>30569</v>
      </c>
      <c r="L6787" s="1" t="s">
        <v>26348</v>
      </c>
      <c r="P6787" s="1" t="s">
        <v>20</v>
      </c>
      <c r="R6787" s="1" t="s">
        <v>12729</v>
      </c>
      <c r="V6787" s="1" t="s">
        <v>12730</v>
      </c>
      <c r="W6787" s="1" t="s">
        <v>12731</v>
      </c>
      <c r="AR6787" s="1" t="str">
        <f t="shared" ref="AR6787:AR6850" si="432">"| ["&amp;I6787&amp;"]("&amp;I6787&amp;".md) | ["&amp;A6787&amp;"]("&amp;A6787&amp;".md) | "&amp;" | "&amp;R6787&amp;" | "&amp;V6787&amp;" |"</f>
        <v>| [˙ㄏㄨㄤ](˙ㄏㄨㄤ.md) | [慌](慌.md) |  | huang | [助]
語尾助詞，含有難以忍受的意思。如：「煩得慌」、「悶得慌」、「累得慌」。 |</v>
      </c>
    </row>
    <row r="6788" spans="1:44" hidden="1">
      <c r="A6788" s="1" t="s">
        <v>12816</v>
      </c>
      <c r="C6788" s="1">
        <v>1</v>
      </c>
      <c r="D6788" s="1" t="str">
        <f>"05291"</f>
        <v>05291</v>
      </c>
      <c r="E6788" s="1" t="s">
        <v>5107</v>
      </c>
      <c r="F6788" s="1">
        <v>2</v>
      </c>
      <c r="G6788" s="1">
        <v>0</v>
      </c>
      <c r="H6788" s="1">
        <v>2</v>
      </c>
      <c r="I6788" s="1" t="s">
        <v>12817</v>
      </c>
      <c r="K6788" s="1" t="str">
        <f t="shared" ref="K6788:K6851" si="433">LEFT(I6788, 1)</f>
        <v>ㄐ</v>
      </c>
      <c r="L6788" s="1" t="str">
        <f t="shared" ref="L6788:L6851" si="434">MID(I6788, 2, 1)</f>
        <v>ㄧ</v>
      </c>
      <c r="M6788" s="1" t="str">
        <f t="shared" ref="M6788:M6851" si="435">MID(I6788, 3, 1)</f>
        <v/>
      </c>
      <c r="P6788" s="1" t="s">
        <v>388</v>
      </c>
      <c r="R6788" s="1" t="s">
        <v>12818</v>
      </c>
      <c r="V6788" s="1" t="s">
        <v>1384</v>
      </c>
      <c r="W6788" s="1" t="s">
        <v>12819</v>
      </c>
      <c r="AR6788" s="1" t="str">
        <f t="shared" si="432"/>
        <v>| [ㄐㄧ](ㄐㄧ.md) | [几](几.md) |  | jī | [名]
二一四部首之一。 |</v>
      </c>
    </row>
    <row r="6789" spans="1:44" hidden="1">
      <c r="A6789" s="1" t="s">
        <v>12820</v>
      </c>
      <c r="C6789" s="1">
        <v>1</v>
      </c>
      <c r="D6789" s="1" t="str">
        <f>"05292"</f>
        <v>05292</v>
      </c>
      <c r="E6789" s="1" t="s">
        <v>139</v>
      </c>
      <c r="F6789" s="1">
        <v>6</v>
      </c>
      <c r="G6789" s="1">
        <v>2</v>
      </c>
      <c r="H6789" s="1">
        <v>1</v>
      </c>
      <c r="I6789" s="1" t="s">
        <v>12817</v>
      </c>
      <c r="K6789" s="1" t="str">
        <f t="shared" si="433"/>
        <v>ㄐ</v>
      </c>
      <c r="L6789" s="1" t="str">
        <f t="shared" si="434"/>
        <v>ㄧ</v>
      </c>
      <c r="M6789" s="1" t="str">
        <f t="shared" si="435"/>
        <v/>
      </c>
      <c r="P6789" s="1" t="s">
        <v>20</v>
      </c>
      <c r="R6789" s="1" t="s">
        <v>12818</v>
      </c>
      <c r="V6789" s="1" t="s">
        <v>12821</v>
      </c>
      <c r="W6789" s="1" t="s">
        <v>12822</v>
      </c>
      <c r="AR6789" s="1" t="str">
        <f t="shared" si="432"/>
        <v>| [ㄐㄧ](ㄐㄧ.md) | [机](机.md) |  | jī | [名]
一種似榆樹的樹木。焚燒後可做稻田的肥料。《廣韻．平聲．脂韻》：「机，木名，似榆。」《山海經．北山經》：「〈北山經〉之首，曰單狐之山，多机木，其上多華草。」晉．郭璞．注：「机木似榆，可燒以糞稻田，出蜀中。」 |</v>
      </c>
    </row>
    <row r="6790" spans="1:44" hidden="1">
      <c r="A6790" s="1" t="s">
        <v>12823</v>
      </c>
      <c r="C6790" s="1">
        <v>1</v>
      </c>
      <c r="D6790" s="1" t="str">
        <f>"05293"</f>
        <v>05293</v>
      </c>
      <c r="E6790" s="1" t="s">
        <v>68</v>
      </c>
      <c r="F6790" s="1">
        <v>6</v>
      </c>
      <c r="G6790" s="1">
        <v>2</v>
      </c>
      <c r="H6790" s="1">
        <v>0</v>
      </c>
      <c r="I6790" s="1" t="s">
        <v>12817</v>
      </c>
      <c r="K6790" s="1" t="str">
        <f t="shared" si="433"/>
        <v>ㄐ</v>
      </c>
      <c r="L6790" s="1" t="str">
        <f t="shared" si="434"/>
        <v>ㄧ</v>
      </c>
      <c r="M6790" s="1" t="str">
        <f t="shared" si="435"/>
        <v/>
      </c>
      <c r="P6790" s="1" t="s">
        <v>20</v>
      </c>
      <c r="R6790" s="1" t="s">
        <v>12818</v>
      </c>
      <c r="V6790" s="1" t="s">
        <v>12824</v>
      </c>
      <c r="AR6790" s="1" t="str">
        <f t="shared" si="432"/>
        <v>| [ㄐㄧ](ㄐㄧ.md) | [肌](肌.md) |  | jī | [名]
1.肉。如：「面黃肌瘦」。《漢書．卷七四．丙吉傳》：「介之推割肌以存君。」
2.皮膚。《文選．宋玉．登徒子好色賦》：「肌如白雪。」《西遊記》第七二回：「佳人洗處冰肌滑，滌蕩塵煩玉體新。」
3.參見「肌肉」條。 |</v>
      </c>
    </row>
    <row r="6791" spans="1:44" hidden="1">
      <c r="A6791" s="1" t="s">
        <v>12825</v>
      </c>
      <c r="C6791" s="1">
        <v>1</v>
      </c>
      <c r="D6791" s="1" t="str">
        <f>"05294"</f>
        <v>05294</v>
      </c>
      <c r="E6791" s="1" t="s">
        <v>193</v>
      </c>
      <c r="F6791" s="1">
        <v>10</v>
      </c>
      <c r="G6791" s="1">
        <v>2</v>
      </c>
      <c r="H6791" s="1">
        <v>0</v>
      </c>
      <c r="I6791" s="1" t="s">
        <v>12817</v>
      </c>
      <c r="K6791" s="1" t="str">
        <f t="shared" si="433"/>
        <v>ㄐ</v>
      </c>
      <c r="L6791" s="1" t="str">
        <f t="shared" si="434"/>
        <v>ㄧ</v>
      </c>
      <c r="M6791" s="1" t="str">
        <f t="shared" si="435"/>
        <v/>
      </c>
      <c r="P6791" s="1" t="s">
        <v>20</v>
      </c>
      <c r="R6791" s="1" t="s">
        <v>12818</v>
      </c>
      <c r="V6791" s="1" t="s">
        <v>12826</v>
      </c>
      <c r="AR6791" s="1" t="str">
        <f t="shared" si="432"/>
        <v>| [ㄐㄧ](ㄐㄧ.md) | [飢](飢.md) |  | jī | [形]
餓。《說文解字．食部》：「飢，餓也。」如：「飢餓」、「飢渴」、「飢腸轆轆」。唐．孟郊〈蚊〉詩：「五月中夜息，飢蚊尚營營。」
[名]
姓。如漢代有飢恬。 |</v>
      </c>
    </row>
    <row r="6792" spans="1:44" hidden="1">
      <c r="A6792" s="1" t="s">
        <v>12827</v>
      </c>
      <c r="C6792" s="1">
        <v>1</v>
      </c>
      <c r="D6792" s="1" t="str">
        <f>"05295"</f>
        <v>05295</v>
      </c>
      <c r="E6792" s="1" t="s">
        <v>789</v>
      </c>
      <c r="F6792" s="1">
        <v>3</v>
      </c>
      <c r="G6792" s="1">
        <v>2</v>
      </c>
      <c r="H6792" s="1">
        <v>0</v>
      </c>
      <c r="I6792" s="1" t="s">
        <v>12817</v>
      </c>
      <c r="K6792" s="1" t="str">
        <f t="shared" si="433"/>
        <v>ㄐ</v>
      </c>
      <c r="L6792" s="1" t="str">
        <f t="shared" si="434"/>
        <v>ㄧ</v>
      </c>
      <c r="M6792" s="1" t="str">
        <f t="shared" si="435"/>
        <v/>
      </c>
      <c r="P6792" s="1" t="s">
        <v>20</v>
      </c>
      <c r="R6792" s="1" t="s">
        <v>12818</v>
      </c>
      <c r="V6792" s="1" t="s">
        <v>12828</v>
      </c>
      <c r="AR6792" s="1" t="str">
        <f t="shared" si="432"/>
        <v>| [ㄐㄧ](ㄐㄧ.md) | [丌](丌.md) |  | jī | [名]
1.底座，用以托物的器具。《說文解字．丌部》：「丌，下基也。荐物之丌，象形。」如「典」、「畀」、「巽」等字下半部皆為此字。
2.姓。如唐代有丌士能。 |</v>
      </c>
    </row>
    <row r="6793" spans="1:44" hidden="1">
      <c r="A6793" s="1" t="s">
        <v>12829</v>
      </c>
      <c r="C6793" s="1">
        <v>1</v>
      </c>
      <c r="D6793" s="1" t="str">
        <f>"05296"</f>
        <v>05296</v>
      </c>
      <c r="E6793" s="1" t="s">
        <v>429</v>
      </c>
      <c r="F6793" s="1">
        <v>5</v>
      </c>
      <c r="G6793" s="1">
        <v>0</v>
      </c>
      <c r="H6793" s="1">
        <v>0</v>
      </c>
      <c r="I6793" s="1" t="s">
        <v>12817</v>
      </c>
      <c r="K6793" s="1" t="str">
        <f t="shared" si="433"/>
        <v>ㄐ</v>
      </c>
      <c r="L6793" s="1" t="str">
        <f t="shared" si="434"/>
        <v>ㄧ</v>
      </c>
      <c r="M6793" s="1" t="str">
        <f t="shared" si="435"/>
        <v/>
      </c>
      <c r="P6793" s="1" t="s">
        <v>20</v>
      </c>
      <c r="R6793" s="1" t="s">
        <v>12818</v>
      </c>
      <c r="V6793" s="1" t="s">
        <v>12830</v>
      </c>
      <c r="AR6793" s="1" t="str">
        <f t="shared" si="432"/>
        <v>| [ㄐㄧ](ㄐㄧ.md) | [𥝌](𥝌.md) |  | jī | [名]
因受阻而彎曲，無法往上生長的樹梢。《說文解字．𥝌部》：「𥝌，木之曲頭止不能上也。」 |</v>
      </c>
    </row>
    <row r="6794" spans="1:44" hidden="1">
      <c r="A6794" s="1" t="s">
        <v>12831</v>
      </c>
      <c r="C6794" s="1">
        <v>1</v>
      </c>
      <c r="D6794" s="1" t="str">
        <f>"05297"</f>
        <v>05297</v>
      </c>
      <c r="E6794" s="1" t="s">
        <v>185</v>
      </c>
      <c r="F6794" s="1">
        <v>5</v>
      </c>
      <c r="G6794" s="1">
        <v>3</v>
      </c>
      <c r="H6794" s="1">
        <v>0</v>
      </c>
      <c r="I6794" s="1" t="s">
        <v>12817</v>
      </c>
      <c r="K6794" s="1" t="str">
        <f t="shared" si="433"/>
        <v>ㄐ</v>
      </c>
      <c r="L6794" s="1" t="str">
        <f t="shared" si="434"/>
        <v>ㄧ</v>
      </c>
      <c r="M6794" s="1" t="str">
        <f t="shared" si="435"/>
        <v/>
      </c>
      <c r="P6794" s="1" t="s">
        <v>20</v>
      </c>
      <c r="R6794" s="1" t="s">
        <v>12818</v>
      </c>
      <c r="V6794" s="1" t="s">
        <v>12832</v>
      </c>
      <c r="AR6794" s="1" t="str">
        <f t="shared" si="432"/>
        <v>| [ㄐㄧ](ㄐㄧ.md) | [刉](刉.md) |  | jī | [名]
古代戰爭時，宰殺有毛的畜牲祭神稱為「刉」。《周禮．秋官．士師》：「凡刉珥，則奉犬牲。」漢．鄭玄．注：「釁禮之事，用牲，毛者曰刉，羽者曰衈。」
[動]
刺殺、割取。《山海經．中山經》：「肥牲祠之，……刉一牝羊，獻血。」 |</v>
      </c>
    </row>
    <row r="6795" spans="1:44" hidden="1">
      <c r="A6795" s="1" t="s">
        <v>12833</v>
      </c>
      <c r="C6795" s="1">
        <v>1</v>
      </c>
      <c r="D6795" s="1" t="str">
        <f>"05298"</f>
        <v>05298</v>
      </c>
      <c r="E6795" s="1" t="s">
        <v>3480</v>
      </c>
      <c r="F6795" s="1">
        <v>6</v>
      </c>
      <c r="G6795" s="1">
        <v>5</v>
      </c>
      <c r="H6795" s="1">
        <v>0</v>
      </c>
      <c r="I6795" s="1" t="s">
        <v>12817</v>
      </c>
      <c r="K6795" s="1" t="str">
        <f t="shared" si="433"/>
        <v>ㄐ</v>
      </c>
      <c r="L6795" s="1" t="str">
        <f t="shared" si="434"/>
        <v>ㄧ</v>
      </c>
      <c r="M6795" s="1" t="str">
        <f t="shared" si="435"/>
        <v/>
      </c>
      <c r="P6795" s="1" t="s">
        <v>20</v>
      </c>
      <c r="R6795" s="1" t="s">
        <v>12818</v>
      </c>
      <c r="V6795" s="1" t="s">
        <v>12834</v>
      </c>
      <c r="AR6795" s="1" t="str">
        <f t="shared" si="432"/>
        <v>| [ㄐㄧ](ㄐㄧ.md) | [乩](乩.md) |  | jī | [名]
一種民間藉求神占卜以解決心中疑難的方法。俗稱為「扶乩」。 |</v>
      </c>
    </row>
    <row r="6796" spans="1:44" hidden="1">
      <c r="A6796" s="1" t="s">
        <v>12835</v>
      </c>
      <c r="C6796" s="1">
        <v>1</v>
      </c>
      <c r="D6796" s="1" t="str">
        <f>"05299"</f>
        <v>05299</v>
      </c>
      <c r="E6796" s="1" t="s">
        <v>18</v>
      </c>
      <c r="F6796" s="1">
        <v>8</v>
      </c>
      <c r="G6796" s="1">
        <v>6</v>
      </c>
      <c r="H6796" s="1">
        <v>2</v>
      </c>
      <c r="I6796" s="1" t="s">
        <v>12817</v>
      </c>
      <c r="K6796" s="1" t="str">
        <f t="shared" si="433"/>
        <v>ㄐ</v>
      </c>
      <c r="L6796" s="1" t="str">
        <f t="shared" si="434"/>
        <v>ㄧ</v>
      </c>
      <c r="M6796" s="1" t="str">
        <f t="shared" si="435"/>
        <v/>
      </c>
      <c r="P6796" s="1" t="s">
        <v>20</v>
      </c>
      <c r="R6796" s="1" t="s">
        <v>12818</v>
      </c>
      <c r="V6796" s="1" t="s">
        <v>12836</v>
      </c>
      <c r="W6796" s="1" t="s">
        <v>12837</v>
      </c>
      <c r="AR6796" s="1" t="str">
        <f t="shared" si="432"/>
        <v>| [ㄐㄧ](ㄐㄧ.md) | [其](其.md) |  | jī | [助]
置於語尾，表疑問的語氣。《詩經．小雅．庭燎》：「夜如何其？夜未央。」《文選．蘇武．詩四首之三》：「征夫懷往路，起視夜何其？」
[名]
人名用字。如漢代有酈食其（音ㄌㄧˋ ㄧˋ ㄐㄧ）。 |</v>
      </c>
    </row>
    <row r="6797" spans="1:44" hidden="1">
      <c r="A6797" s="1" t="s">
        <v>12838</v>
      </c>
      <c r="C6797" s="1">
        <v>1</v>
      </c>
      <c r="D6797" s="1" t="str">
        <f>"05300"</f>
        <v>05300</v>
      </c>
      <c r="E6797" s="1" t="s">
        <v>132</v>
      </c>
      <c r="F6797" s="1">
        <v>11</v>
      </c>
      <c r="G6797" s="1">
        <v>8</v>
      </c>
      <c r="H6797" s="1">
        <v>0</v>
      </c>
      <c r="I6797" s="1" t="s">
        <v>12817</v>
      </c>
      <c r="K6797" s="1" t="str">
        <f t="shared" si="433"/>
        <v>ㄐ</v>
      </c>
      <c r="L6797" s="1" t="str">
        <f t="shared" si="434"/>
        <v>ㄧ</v>
      </c>
      <c r="M6797" s="1" t="str">
        <f t="shared" si="435"/>
        <v/>
      </c>
      <c r="P6797" s="1" t="s">
        <v>20</v>
      </c>
      <c r="R6797" s="1" t="s">
        <v>12818</v>
      </c>
      <c r="V6797" s="1" t="s">
        <v>12839</v>
      </c>
      <c r="AR6797" s="1" t="str">
        <f t="shared" si="432"/>
        <v>| [ㄐㄧ](ㄐㄧ.md) | [基](基.md) |  | jī | [名]
1.建築物的底部。如：「牆基」、「地基」、「路基」。
2.事物的根本。如：「根基」。《詩經．小雅．南山有臺》：「樂只君子，邦家之基。」
3.化學上指化合物分子中所含的一部分原子。如：「羥基」、「氫基」。
[形]
根本的。如：「基數」、「基層」。《漢書．卷八一．匡衡傳》：「正基兆而防未然也。」 |</v>
      </c>
    </row>
    <row r="6798" spans="1:44" hidden="1">
      <c r="A6798" s="1" t="s">
        <v>12840</v>
      </c>
      <c r="C6798" s="1">
        <v>1</v>
      </c>
      <c r="D6798" s="1" t="str">
        <f>"05301"</f>
        <v>05301</v>
      </c>
      <c r="E6798" s="1" t="s">
        <v>2014</v>
      </c>
      <c r="F6798" s="1">
        <v>12</v>
      </c>
      <c r="G6798" s="1">
        <v>8</v>
      </c>
      <c r="H6798" s="1">
        <v>3</v>
      </c>
      <c r="I6798" s="1" t="s">
        <v>12817</v>
      </c>
      <c r="K6798" s="1" t="str">
        <f t="shared" si="433"/>
        <v>ㄐ</v>
      </c>
      <c r="L6798" s="1" t="str">
        <f t="shared" si="434"/>
        <v>ㄧ</v>
      </c>
      <c r="M6798" s="1" t="str">
        <f t="shared" si="435"/>
        <v/>
      </c>
      <c r="P6798" s="1" t="s">
        <v>20</v>
      </c>
      <c r="R6798" s="1" t="s">
        <v>12818</v>
      </c>
      <c r="V6798" s="1" t="s">
        <v>12841</v>
      </c>
      <c r="W6798" s="1" t="s">
        <v>12842</v>
      </c>
      <c r="AR6798" s="1" t="str">
        <f t="shared" si="432"/>
        <v>| [ㄐㄧ](ㄐㄧ.md) | [期](期.md) |  | jī | [名]
1.一周年。《論語．陽貨》：「宰我問：『三年之喪，期已久矣。』」《三國志．卷二九．魏書．方技傳．華佗傳》：「此病後三期當發，遇良醫乃可濟救。」
2.喪服中期服的簡稱。《文選．李密．陳情表》：「外無期功彊近之親，內無應門五尺之僮。」 |</v>
      </c>
    </row>
    <row r="6799" spans="1:44" hidden="1">
      <c r="A6799" s="1" t="s">
        <v>12843</v>
      </c>
      <c r="C6799" s="1">
        <v>1</v>
      </c>
      <c r="D6799" s="1" t="str">
        <f>"05302"</f>
        <v>05302</v>
      </c>
      <c r="E6799" s="1" t="s">
        <v>139</v>
      </c>
      <c r="F6799" s="1">
        <v>12</v>
      </c>
      <c r="G6799" s="1">
        <v>8</v>
      </c>
      <c r="H6799" s="1">
        <v>2</v>
      </c>
      <c r="I6799" s="1" t="s">
        <v>12817</v>
      </c>
      <c r="K6799" s="1" t="str">
        <f t="shared" si="433"/>
        <v>ㄐ</v>
      </c>
      <c r="L6799" s="1" t="str">
        <f t="shared" si="434"/>
        <v>ㄧ</v>
      </c>
      <c r="M6799" s="1" t="str">
        <f t="shared" si="435"/>
        <v/>
      </c>
      <c r="P6799" s="1" t="s">
        <v>20</v>
      </c>
      <c r="R6799" s="1" t="s">
        <v>12818</v>
      </c>
      <c r="V6799" s="1" t="s">
        <v>12844</v>
      </c>
      <c r="W6799" s="1" t="s">
        <v>12845</v>
      </c>
      <c r="AR6799" s="1" t="str">
        <f t="shared" si="432"/>
        <v>| [ㄐㄧ](ㄐㄧ.md) | [棋](棋.md) |  | jī | [名]
根底、根基。通「基」。《集韻．平聲．之韻》：「棋，根柢也。」《史記．卷二五．律書》：「箕者，言萬物根棋，故曰箕。」 |</v>
      </c>
    </row>
    <row r="6800" spans="1:44" hidden="1">
      <c r="A6800" s="1" t="s">
        <v>12846</v>
      </c>
      <c r="C6800" s="1">
        <v>1</v>
      </c>
      <c r="D6800" s="1" t="str">
        <f>"05303"</f>
        <v>05303</v>
      </c>
      <c r="E6800" s="1" t="s">
        <v>37</v>
      </c>
      <c r="F6800" s="1">
        <v>12</v>
      </c>
      <c r="G6800" s="1">
        <v>8</v>
      </c>
      <c r="H6800" s="1">
        <v>2</v>
      </c>
      <c r="I6800" s="1" t="s">
        <v>12817</v>
      </c>
      <c r="K6800" s="1" t="str">
        <f t="shared" si="433"/>
        <v>ㄐ</v>
      </c>
      <c r="L6800" s="1" t="str">
        <f t="shared" si="434"/>
        <v>ㄧ</v>
      </c>
      <c r="M6800" s="1" t="str">
        <f t="shared" si="435"/>
        <v/>
      </c>
      <c r="P6800" s="1" t="s">
        <v>20</v>
      </c>
      <c r="R6800" s="1" t="s">
        <v>12818</v>
      </c>
      <c r="V6800" s="1" t="s">
        <v>12847</v>
      </c>
      <c r="W6800" s="1" t="s">
        <v>12848</v>
      </c>
      <c r="AR6800" s="1" t="str">
        <f t="shared" si="432"/>
        <v>| [ㄐㄧ](ㄐㄧ.md) | [萁](萁.md) |  | jī | [名]
一種草。似荻而細。《漢書．卷二七．五行志下之上》：「𣝓弧萁服，實亡周國。」唐．顏師古．注：「服，盛箭者，即今之步叉也。萁，草，似荻而細，織之為服也。」 |</v>
      </c>
    </row>
    <row r="6801" spans="1:44" hidden="1">
      <c r="A6801" s="1" t="s">
        <v>12849</v>
      </c>
      <c r="C6801" s="1">
        <v>1</v>
      </c>
      <c r="D6801" s="1" t="str">
        <f>"05304"</f>
        <v>05304</v>
      </c>
      <c r="E6801" s="1" t="s">
        <v>429</v>
      </c>
      <c r="F6801" s="1">
        <v>13</v>
      </c>
      <c r="G6801" s="1">
        <v>8</v>
      </c>
      <c r="H6801" s="1">
        <v>0</v>
      </c>
      <c r="I6801" s="1" t="s">
        <v>12817</v>
      </c>
      <c r="K6801" s="1" t="str">
        <f t="shared" si="433"/>
        <v>ㄐ</v>
      </c>
      <c r="L6801" s="1" t="str">
        <f t="shared" si="434"/>
        <v>ㄧ</v>
      </c>
      <c r="M6801" s="1" t="str">
        <f t="shared" si="435"/>
        <v/>
      </c>
      <c r="P6801" s="1" t="s">
        <v>20</v>
      </c>
      <c r="R6801" s="1" t="s">
        <v>12818</v>
      </c>
      <c r="V6801" s="1" t="s">
        <v>12850</v>
      </c>
      <c r="AR6801" s="1" t="str">
        <f t="shared" si="432"/>
        <v>| [ㄐㄧ](ㄐㄧ.md) | [稘](稘.md) |  | jī | [名]
一個周期的時間。同「期」。《說文解字．禾部》：「稘，復其時也。……《唐書》曰：『稘三百有六旬。』」清．段玉裁．注：「今皆假期為之，期行而稘廢矣。」 |</v>
      </c>
    </row>
    <row r="6802" spans="1:44" hidden="1">
      <c r="A6802" s="1" t="s">
        <v>12851</v>
      </c>
      <c r="C6802" s="1">
        <v>1</v>
      </c>
      <c r="D6802" s="1" t="str">
        <f>"05305"</f>
        <v>05305</v>
      </c>
      <c r="E6802" s="1" t="s">
        <v>49</v>
      </c>
      <c r="F6802" s="1">
        <v>14</v>
      </c>
      <c r="G6802" s="1">
        <v>8</v>
      </c>
      <c r="H6802" s="1">
        <v>0</v>
      </c>
      <c r="I6802" s="1" t="s">
        <v>12817</v>
      </c>
      <c r="K6802" s="1" t="str">
        <f t="shared" si="433"/>
        <v>ㄐ</v>
      </c>
      <c r="L6802" s="1" t="str">
        <f t="shared" si="434"/>
        <v>ㄧ</v>
      </c>
      <c r="M6802" s="1" t="str">
        <f t="shared" si="435"/>
        <v/>
      </c>
      <c r="P6802" s="1" t="s">
        <v>20</v>
      </c>
      <c r="R6802" s="1" t="s">
        <v>12818</v>
      </c>
      <c r="V6802" s="1" t="s">
        <v>12852</v>
      </c>
      <c r="AR6802" s="1" t="str">
        <f t="shared" si="432"/>
        <v>| [ㄐㄧ](ㄐㄧ.md) | [箕](箕.md) |  | jī | [名]
1.篩米去糠的圓形竹器。俗稱為「簸箕」。宋．陸游〈箕卜〉詩：「持箕畀灶婢，棄筆臥牆隅。」
2.收集垃圾的器具。如：「畚箕」。《禮記．曲禮上》：「凡為長者糞之禮，必加帚於箕上。」
3.星宿名。二十八星宿之一，東方青龍七宿的最後一宿。
4.星官名，箕宿之首，由四顆星組成，在西方屬人馬座。《晉書．卷一一．天文志上》：「箕四星，亦後宮妃后之府。亦曰天津，一曰天雞，主八風。」
5.姓。如漢代有箕堪。
[動]
聚、取。《史記．卷八九．張耳陳餘列傳》：「頭會箕斂，以供軍費。」 |</v>
      </c>
    </row>
    <row r="6803" spans="1:44" hidden="1">
      <c r="A6803" s="1" t="s">
        <v>12853</v>
      </c>
      <c r="C6803" s="1">
        <v>1</v>
      </c>
      <c r="D6803" s="1" t="str">
        <f>"05306"</f>
        <v>05306</v>
      </c>
      <c r="E6803" s="1" t="s">
        <v>563</v>
      </c>
      <c r="F6803" s="1">
        <v>8</v>
      </c>
      <c r="G6803" s="1">
        <v>5</v>
      </c>
      <c r="H6803" s="1">
        <v>2</v>
      </c>
      <c r="I6803" s="1" t="s">
        <v>12817</v>
      </c>
      <c r="K6803" s="1" t="str">
        <f t="shared" si="433"/>
        <v>ㄐ</v>
      </c>
      <c r="L6803" s="1" t="str">
        <f t="shared" si="434"/>
        <v>ㄧ</v>
      </c>
      <c r="M6803" s="1" t="str">
        <f t="shared" si="435"/>
        <v/>
      </c>
      <c r="P6803" s="1" t="s">
        <v>20</v>
      </c>
      <c r="R6803" s="1" t="s">
        <v>12818</v>
      </c>
      <c r="V6803" s="1" t="s">
        <v>12854</v>
      </c>
      <c r="W6803" s="1" t="s">
        <v>12855</v>
      </c>
      <c r="AR6803" s="1" t="str">
        <f t="shared" si="432"/>
        <v>| [ㄐㄧ](ㄐㄧ.md) | [奇](奇.md) |  | jī | [形]
1.單數的。與「偶」相對。如：「一、三、五……都是奇數。」
2.不順利、乖舛。《史記．卷一〇九．李將軍傳》：「以為李廣老，數奇。」唐．王維〈老將行〉：「衛青不敗由天幸，李廣無功緣數奇。」
[名]
餘數、零頭。《聊齋志異．卷四．狐諧》：「行年二十有奇，尚不能掇一芹。」 |</v>
      </c>
    </row>
    <row r="6804" spans="1:44" hidden="1">
      <c r="A6804" s="1" t="s">
        <v>12856</v>
      </c>
      <c r="C6804" s="1">
        <v>1</v>
      </c>
      <c r="D6804" s="1" t="str">
        <f>"05307"</f>
        <v>05307</v>
      </c>
      <c r="E6804" s="1" t="s">
        <v>185</v>
      </c>
      <c r="F6804" s="1">
        <v>10</v>
      </c>
      <c r="G6804" s="1">
        <v>8</v>
      </c>
      <c r="H6804" s="1">
        <v>0</v>
      </c>
      <c r="I6804" s="1" t="s">
        <v>12817</v>
      </c>
      <c r="K6804" s="1" t="str">
        <f t="shared" si="433"/>
        <v>ㄐ</v>
      </c>
      <c r="L6804" s="1" t="str">
        <f t="shared" si="434"/>
        <v>ㄧ</v>
      </c>
      <c r="M6804" s="1" t="str">
        <f t="shared" si="435"/>
        <v/>
      </c>
      <c r="P6804" s="1" t="s">
        <v>20</v>
      </c>
      <c r="R6804" s="1" t="s">
        <v>12818</v>
      </c>
      <c r="V6804" s="1" t="s">
        <v>12857</v>
      </c>
      <c r="AR6804" s="1" t="str">
        <f t="shared" si="432"/>
        <v>| [ㄐㄧ](ㄐㄧ.md) | [剞](剞.md) |  | jī | 參見「剞劂」條。 |</v>
      </c>
    </row>
    <row r="6805" spans="1:44" hidden="1">
      <c r="A6805" s="1" t="s">
        <v>12858</v>
      </c>
      <c r="C6805" s="1">
        <v>1</v>
      </c>
      <c r="D6805" s="1" t="str">
        <f>"05308"</f>
        <v>05308</v>
      </c>
      <c r="E6805" s="1" t="s">
        <v>518</v>
      </c>
      <c r="F6805" s="1">
        <v>12</v>
      </c>
      <c r="G6805" s="1">
        <v>8</v>
      </c>
      <c r="H6805" s="1">
        <v>0</v>
      </c>
      <c r="I6805" s="1" t="s">
        <v>12817</v>
      </c>
      <c r="K6805" s="1" t="str">
        <f t="shared" si="433"/>
        <v>ㄐ</v>
      </c>
      <c r="L6805" s="1" t="str">
        <f t="shared" si="434"/>
        <v>ㄧ</v>
      </c>
      <c r="M6805" s="1" t="str">
        <f t="shared" si="435"/>
        <v/>
      </c>
      <c r="P6805" s="1" t="s">
        <v>20</v>
      </c>
      <c r="R6805" s="1" t="s">
        <v>12818</v>
      </c>
      <c r="V6805" s="1" t="s">
        <v>12859</v>
      </c>
      <c r="AR6805" s="1" t="str">
        <f t="shared" si="432"/>
        <v>| [ㄐㄧ](ㄐㄧ.md) | [犄](犄.md) |  | jī | 參見「犄角」條。 |</v>
      </c>
    </row>
    <row r="6806" spans="1:44" hidden="1">
      <c r="A6806" s="1" t="s">
        <v>12860</v>
      </c>
      <c r="C6806" s="1">
        <v>1</v>
      </c>
      <c r="D6806" s="1" t="str">
        <f>"05309"</f>
        <v>05309</v>
      </c>
      <c r="E6806" s="1" t="s">
        <v>753</v>
      </c>
      <c r="F6806" s="1">
        <v>13</v>
      </c>
      <c r="G6806" s="1">
        <v>8</v>
      </c>
      <c r="H6806" s="1">
        <v>0</v>
      </c>
      <c r="I6806" s="1" t="s">
        <v>12817</v>
      </c>
      <c r="K6806" s="1" t="str">
        <f t="shared" si="433"/>
        <v>ㄐ</v>
      </c>
      <c r="L6806" s="1" t="str">
        <f t="shared" si="434"/>
        <v>ㄧ</v>
      </c>
      <c r="M6806" s="1" t="str">
        <f t="shared" si="435"/>
        <v/>
      </c>
      <c r="P6806" s="1" t="s">
        <v>20</v>
      </c>
      <c r="R6806" s="1" t="s">
        <v>12818</v>
      </c>
      <c r="V6806" s="1" t="s">
        <v>12861</v>
      </c>
      <c r="AR6806" s="1" t="str">
        <f t="shared" si="432"/>
        <v>| [ㄐㄧ](ㄐㄧ.md) | [畸](畸.md) |  | jī | [名]
1.不整齊的田畝。明．張自烈《正字通．田部》：「井田為正，零田不可井者為畸。」
2.零餘的數目。如：「畸零」。《資治通鑑．卷二〇八．唐紀二十四．中宗神龍元年》：「是歲，戶部奏天下戶六百一十五萬，口三千七百一十四萬有畸。」
3.偏、邪。《荀子．天論》：「故道之所善，中則可從，畸則不可為，匿則大惑。」
[形]
不正常的、不整齊的。如：「畸形」。《荀子．天論》：「墨子有見於齊，無見於畸。」唐．楊倞．注：「畸，謂不齊也。」 |</v>
      </c>
    </row>
    <row r="6807" spans="1:44" hidden="1">
      <c r="A6807" s="1" t="s">
        <v>12862</v>
      </c>
      <c r="C6807" s="1">
        <v>1</v>
      </c>
      <c r="D6807" s="1" t="str">
        <f>"05310"</f>
        <v>05310</v>
      </c>
      <c r="E6807" s="1" t="s">
        <v>1117</v>
      </c>
      <c r="F6807" s="1">
        <v>15</v>
      </c>
      <c r="G6807" s="1">
        <v>8</v>
      </c>
      <c r="H6807" s="1">
        <v>0</v>
      </c>
      <c r="I6807" s="1" t="s">
        <v>12817</v>
      </c>
      <c r="K6807" s="1" t="str">
        <f t="shared" si="433"/>
        <v>ㄐ</v>
      </c>
      <c r="L6807" s="1" t="str">
        <f t="shared" si="434"/>
        <v>ㄧ</v>
      </c>
      <c r="M6807" s="1" t="str">
        <f t="shared" si="435"/>
        <v/>
      </c>
      <c r="P6807" s="1" t="s">
        <v>20</v>
      </c>
      <c r="R6807" s="1" t="s">
        <v>12818</v>
      </c>
      <c r="V6807" s="1" t="s">
        <v>12863</v>
      </c>
      <c r="AR6807" s="1" t="str">
        <f t="shared" si="432"/>
        <v>| [ㄐㄧ](ㄐㄧ.md) | [觭](觭.md) |  | jī | [名]
1.獸角一俯一仰的樣子。《說文解字．角部》：「觭，角一俛一仰也。」
2.單數。通「奇」。《莊子．天下》：「以堅白同異之辯相訾，以觭偶不仵之辭相應。」
[形]
單獨的。《漢書．卷二七．五行志中之下》：「遂要崤阨，以敗秦師，匹馬觭輪無反者，操之急矣。」唐．顏師古．注：「觭，隻也。」 |</v>
      </c>
    </row>
    <row r="6808" spans="1:44" hidden="1">
      <c r="A6808" s="1" t="s">
        <v>12864</v>
      </c>
      <c r="C6808" s="1">
        <v>1</v>
      </c>
      <c r="D6808" s="1" t="str">
        <f>"05311"</f>
        <v>05311</v>
      </c>
      <c r="E6808" s="1" t="s">
        <v>118</v>
      </c>
      <c r="F6808" s="1">
        <v>22</v>
      </c>
      <c r="G6808" s="1">
        <v>17</v>
      </c>
      <c r="H6808" s="1">
        <v>0</v>
      </c>
      <c r="I6808" s="1" t="s">
        <v>12817</v>
      </c>
      <c r="K6808" s="1" t="str">
        <f t="shared" si="433"/>
        <v>ㄐ</v>
      </c>
      <c r="L6808" s="1" t="str">
        <f t="shared" si="434"/>
        <v>ㄧ</v>
      </c>
      <c r="M6808" s="1" t="str">
        <f t="shared" si="435"/>
        <v/>
      </c>
      <c r="P6808" s="1" t="s">
        <v>20</v>
      </c>
      <c r="R6808" s="1" t="s">
        <v>12818</v>
      </c>
      <c r="V6808" s="1" t="s">
        <v>12865</v>
      </c>
      <c r="AR6808" s="1" t="str">
        <f t="shared" si="432"/>
        <v>| [ㄐㄧ](ㄐㄧ.md) | [羇](羇.md) |  | jī | [名]
1.馬絡頭，套住馬口的嘴套。同「羈」。《韓詩外傳》卷七：「如皆守社稷，則孰負羇縶而從，如皆從，則孰守社稷。」
2.寄居在外地的旅客。同「羈」。《左傳．昭公十三年》：「為羇終世，可謂無民。」
[動]
寄居、作客。同「羈」。如：「羇身海外」。唐．杜甫〈第五弟豐獨在江左〉詩：「亂後嗟吾在，羇栖見汝難。」 |</v>
      </c>
    </row>
    <row r="6809" spans="1:44" hidden="1">
      <c r="A6809" s="1" t="s">
        <v>12866</v>
      </c>
      <c r="C6809" s="1">
        <v>1</v>
      </c>
      <c r="D6809" s="1" t="str">
        <f>"05312"</f>
        <v>05312</v>
      </c>
      <c r="E6809" s="1" t="s">
        <v>871</v>
      </c>
      <c r="F6809" s="1">
        <v>8</v>
      </c>
      <c r="G6809" s="1">
        <v>5</v>
      </c>
      <c r="H6809" s="1">
        <v>2</v>
      </c>
      <c r="I6809" s="1" t="s">
        <v>12817</v>
      </c>
      <c r="K6809" s="1" t="str">
        <f t="shared" si="433"/>
        <v>ㄐ</v>
      </c>
      <c r="L6809" s="1" t="str">
        <f t="shared" si="434"/>
        <v>ㄧ</v>
      </c>
      <c r="M6809" s="1" t="str">
        <f t="shared" si="435"/>
        <v/>
      </c>
      <c r="P6809" s="1" t="s">
        <v>20</v>
      </c>
      <c r="R6809" s="1" t="s">
        <v>12818</v>
      </c>
      <c r="V6809" s="1" t="s">
        <v>12867</v>
      </c>
      <c r="W6809" s="1" t="s">
        <v>12868</v>
      </c>
      <c r="AR6809" s="1" t="str">
        <f t="shared" si="432"/>
        <v>| [ㄐㄧ](ㄐㄧ.md) | [居](居.md) |  | jī | [助]
用於句末，表示疑問的語氣。《左傳．襄公二十三年》：「誰居？其孟椒乎！」《禮記．檀弓上》：「何居？我未之前聞也。」 |</v>
      </c>
    </row>
    <row r="6810" spans="1:44" hidden="1">
      <c r="A6810" s="1" t="s">
        <v>12869</v>
      </c>
      <c r="C6810" s="1">
        <v>1</v>
      </c>
      <c r="D6810" s="1" t="str">
        <f>"05313"</f>
        <v>05313</v>
      </c>
      <c r="E6810" s="1" t="s">
        <v>28</v>
      </c>
      <c r="F6810" s="1">
        <v>9</v>
      </c>
      <c r="G6810" s="1">
        <v>6</v>
      </c>
      <c r="H6810" s="1">
        <v>0</v>
      </c>
      <c r="I6810" s="1" t="s">
        <v>12817</v>
      </c>
      <c r="K6810" s="1" t="str">
        <f t="shared" si="433"/>
        <v>ㄐ</v>
      </c>
      <c r="L6810" s="1" t="str">
        <f t="shared" si="434"/>
        <v>ㄧ</v>
      </c>
      <c r="M6810" s="1" t="str">
        <f t="shared" si="435"/>
        <v/>
      </c>
      <c r="P6810" s="1" t="s">
        <v>20</v>
      </c>
      <c r="R6810" s="1" t="s">
        <v>12818</v>
      </c>
      <c r="V6810" s="1" t="s">
        <v>12870</v>
      </c>
      <c r="AR6810" s="1" t="str">
        <f t="shared" si="432"/>
        <v>| [ㄐㄧ](ㄐㄧ.md) | [咭](咭.md) |  | jī | 笑。《龍龕手鑑．口部》：「咭，笑也。」清．高宗〈貨郎行題蘇漢臣畫〉詩：「待詔尤復善嬰孩，森森玉筍戲庭階。忽然軒渠舞且咭，群喜街頭貨郎來。」 |</v>
      </c>
    </row>
    <row r="6811" spans="1:44" hidden="1">
      <c r="A6811" s="1" t="s">
        <v>12871</v>
      </c>
      <c r="C6811" s="1">
        <v>1</v>
      </c>
      <c r="D6811" s="1" t="str">
        <f>"05314"</f>
        <v>05314</v>
      </c>
      <c r="E6811" s="1" t="s">
        <v>28</v>
      </c>
      <c r="F6811" s="1">
        <v>10</v>
      </c>
      <c r="G6811" s="1">
        <v>7</v>
      </c>
      <c r="H6811" s="1">
        <v>2</v>
      </c>
      <c r="I6811" s="1" t="s">
        <v>12817</v>
      </c>
      <c r="K6811" s="1" t="str">
        <f t="shared" si="433"/>
        <v>ㄐ</v>
      </c>
      <c r="L6811" s="1" t="str">
        <f t="shared" si="434"/>
        <v>ㄧ</v>
      </c>
      <c r="M6811" s="1" t="str">
        <f t="shared" si="435"/>
        <v/>
      </c>
      <c r="P6811" s="1" t="s">
        <v>20</v>
      </c>
      <c r="R6811" s="1" t="s">
        <v>12818</v>
      </c>
      <c r="V6811" s="1" t="s">
        <v>12872</v>
      </c>
      <c r="W6811" s="1" t="s">
        <v>12873</v>
      </c>
      <c r="AR6811" s="1" t="str">
        <f t="shared" si="432"/>
        <v>| [ㄐㄧ](ㄐㄧ.md) | [唧](唧.md) |  | jī | [名]
參見「唧筒」條。
[動]
以唧筒抽取或噴射液體。如：「他用唧筒唧水滅火。」
[擬]
參見「唧唧咕咕」條。 |</v>
      </c>
    </row>
    <row r="6812" spans="1:44" hidden="1">
      <c r="A6812" s="1" t="s">
        <v>12874</v>
      </c>
      <c r="C6812" s="1">
        <v>1</v>
      </c>
      <c r="D6812" s="1" t="str">
        <f>"05315"</f>
        <v>05315</v>
      </c>
      <c r="E6812" s="1" t="s">
        <v>49</v>
      </c>
      <c r="F6812" s="1">
        <v>10</v>
      </c>
      <c r="G6812" s="1">
        <v>4</v>
      </c>
      <c r="H6812" s="1">
        <v>0</v>
      </c>
      <c r="I6812" s="1" t="s">
        <v>12817</v>
      </c>
      <c r="K6812" s="1" t="str">
        <f t="shared" si="433"/>
        <v>ㄐ</v>
      </c>
      <c r="L6812" s="1" t="str">
        <f t="shared" si="434"/>
        <v>ㄧ</v>
      </c>
      <c r="M6812" s="1" t="str">
        <f t="shared" si="435"/>
        <v/>
      </c>
      <c r="P6812" s="1" t="s">
        <v>20</v>
      </c>
      <c r="R6812" s="1" t="s">
        <v>12818</v>
      </c>
      <c r="V6812" s="1" t="s">
        <v>12875</v>
      </c>
      <c r="AR6812" s="1" t="str">
        <f t="shared" si="432"/>
        <v>| [ㄐㄧ](ㄐㄧ.md) | [笄](笄.md) |  | jī | [名]
1.古人髮髻上盤時，用來固定頭髮或別住弁、冕的簪子。如：「玉笄」、「簪笄」。《史記．卷四三．趙世家》：「其姊聞之，泣而呼天，摩笄自殺。」
2.古代女子十五歲盤髮插笄，以示成年。特指成年之禮。如：「笄年」、「及笄」。 |</v>
      </c>
    </row>
    <row r="6813" spans="1:44" hidden="1">
      <c r="A6813" s="1" t="s">
        <v>12876</v>
      </c>
      <c r="C6813" s="1">
        <v>1</v>
      </c>
      <c r="D6813" s="1" t="str">
        <f>"05316"</f>
        <v>05316</v>
      </c>
      <c r="E6813" s="1" t="s">
        <v>871</v>
      </c>
      <c r="F6813" s="1">
        <v>10</v>
      </c>
      <c r="G6813" s="1">
        <v>7</v>
      </c>
      <c r="H6813" s="1">
        <v>0</v>
      </c>
      <c r="I6813" s="1" t="s">
        <v>12817</v>
      </c>
      <c r="K6813" s="1" t="str">
        <f t="shared" si="433"/>
        <v>ㄐ</v>
      </c>
      <c r="L6813" s="1" t="str">
        <f t="shared" si="434"/>
        <v>ㄧ</v>
      </c>
      <c r="M6813" s="1" t="str">
        <f t="shared" si="435"/>
        <v/>
      </c>
      <c r="P6813" s="1" t="s">
        <v>20</v>
      </c>
      <c r="R6813" s="1" t="s">
        <v>12818</v>
      </c>
      <c r="V6813" s="1" t="s">
        <v>12877</v>
      </c>
      <c r="AR6813" s="1" t="str">
        <f t="shared" si="432"/>
        <v>| [ㄐㄧ](ㄐㄧ.md) | [屐](屐.md) |  | jī | [名]
1.木頭鞋。如：「木屐」。北齊．顏之推《顏氏家訓．勉學》：「駕長簷車，跟高齒屐。」
2.鞋的通稱。如：「草屐」、「錦屐」。宋．陸游〈長歌行〉：「消磨日月幾緉屐，陶鑄唐虞一杯酒。」 |</v>
      </c>
    </row>
    <row r="6814" spans="1:44" hidden="1">
      <c r="A6814" s="1" t="s">
        <v>12878</v>
      </c>
      <c r="C6814" s="1">
        <v>1</v>
      </c>
      <c r="D6814" s="1" t="str">
        <f>"05317"</f>
        <v>05317</v>
      </c>
      <c r="E6814" s="1" t="s">
        <v>534</v>
      </c>
      <c r="F6814" s="1">
        <v>10</v>
      </c>
      <c r="G6814" s="1">
        <v>7</v>
      </c>
      <c r="H6814" s="1">
        <v>0</v>
      </c>
      <c r="I6814" s="1" t="s">
        <v>12817</v>
      </c>
      <c r="K6814" s="1" t="str">
        <f t="shared" si="433"/>
        <v>ㄐ</v>
      </c>
      <c r="L6814" s="1" t="str">
        <f t="shared" si="434"/>
        <v>ㄧ</v>
      </c>
      <c r="M6814" s="1" t="str">
        <f t="shared" si="435"/>
        <v/>
      </c>
      <c r="P6814" s="1" t="s">
        <v>20</v>
      </c>
      <c r="R6814" s="1" t="s">
        <v>12818</v>
      </c>
      <c r="V6814" s="1" t="s">
        <v>12879</v>
      </c>
      <c r="AR6814" s="1" t="str">
        <f t="shared" si="432"/>
        <v>| [ㄐㄧ](ㄐㄧ.md) | [姬](姬.md) |  | jī | [名]
1.古代對婦女的美稱。如：「美姬」、「虞姬」、「戚姬」。唐．李白〈金陵酒肆留別〉詩：「風吹柳花滿店香，吳姬壓酒喚客嘗。」
2.古代對妾的通稱。如：「侍姬」、「寵姬」。《史記．卷六．秦始皇本紀》：「莊襄王為秦質子於趙，見呂不韋姬，悅而取之，生始皇。」
3.舊稱從事歌舞表演的女子。如：「歌舞姬」。《紅樓夢》第五回：「那寶玉忙止歌姬不必再唱。」
4.姓。如漢代有姬嘉。 |</v>
      </c>
    </row>
    <row r="6815" spans="1:44" hidden="1">
      <c r="A6815" s="1" t="s">
        <v>12880</v>
      </c>
      <c r="C6815" s="1">
        <v>1</v>
      </c>
      <c r="D6815" s="1" t="str">
        <f>"05318"</f>
        <v>05318</v>
      </c>
      <c r="E6815" s="1" t="s">
        <v>190</v>
      </c>
      <c r="F6815" s="1">
        <v>12</v>
      </c>
      <c r="G6815" s="1">
        <v>9</v>
      </c>
      <c r="H6815" s="1">
        <v>0</v>
      </c>
      <c r="I6815" s="1" t="s">
        <v>12817</v>
      </c>
      <c r="K6815" s="1" t="str">
        <f t="shared" si="433"/>
        <v>ㄐ</v>
      </c>
      <c r="L6815" s="1" t="str">
        <f t="shared" si="434"/>
        <v>ㄧ</v>
      </c>
      <c r="M6815" s="1" t="str">
        <f t="shared" si="435"/>
        <v/>
      </c>
      <c r="P6815" s="1" t="s">
        <v>20</v>
      </c>
      <c r="R6815" s="1" t="s">
        <v>12818</v>
      </c>
      <c r="V6815" s="1" t="s">
        <v>12881</v>
      </c>
      <c r="AR6815" s="1" t="str">
        <f t="shared" si="432"/>
        <v>| [ㄐㄧ](ㄐㄧ.md) | [嵇](嵇.md) |  | jī | [名]
姓。如三國時魏國有嵇康。 |</v>
      </c>
    </row>
    <row r="6816" spans="1:44" hidden="1">
      <c r="A6816" s="1" t="s">
        <v>12882</v>
      </c>
      <c r="C6816" s="1">
        <v>1</v>
      </c>
      <c r="D6816" s="1" t="str">
        <f>"05319"</f>
        <v>05319</v>
      </c>
      <c r="E6816" s="1" t="s">
        <v>429</v>
      </c>
      <c r="F6816" s="1">
        <v>15</v>
      </c>
      <c r="G6816" s="1">
        <v>10</v>
      </c>
      <c r="H6816" s="1">
        <v>1</v>
      </c>
      <c r="I6816" s="1" t="s">
        <v>12817</v>
      </c>
      <c r="K6816" s="1" t="str">
        <f t="shared" si="433"/>
        <v>ㄐ</v>
      </c>
      <c r="L6816" s="1" t="str">
        <f t="shared" si="434"/>
        <v>ㄧ</v>
      </c>
      <c r="M6816" s="1" t="str">
        <f t="shared" si="435"/>
        <v/>
      </c>
      <c r="P6816" s="1" t="s">
        <v>20</v>
      </c>
      <c r="R6816" s="1" t="s">
        <v>12818</v>
      </c>
      <c r="V6816" s="1" t="s">
        <v>12883</v>
      </c>
      <c r="W6816" s="1" t="s">
        <v>12884</v>
      </c>
      <c r="AR6816" s="1" t="str">
        <f t="shared" si="432"/>
        <v>| [ㄐㄧ](ㄐㄧ.md) | [稽](稽.md) |  | jī | [動]
1.停留、延遲、拖延。南朝梁．簡文帝〈隴西行〉三首之三：「迴山時阻路，絕水亟稽程。」《警世通言．卷二四．玉堂春落難逢夫》：「聖旨發回原籍，不敢稽留，收拾轎馬和家眷起身。」
2.積存、囤積。《史記．卷三〇．平準書》：「蓄積餘業，以稽市物。」
3.考證、考核、查考。如：「稽查」。《晉書．卷三五．裴秀傳》：「博學稽古，自少知名。」
4.計較、責難。《漢書．卷四八．賈誼傳》：「婦姑不相說，則反脣而相稽。」
5.卜問。《書經．洪範》：「稽疑，擇建立卜筮人。」《楚辭．王逸．卜居章句序》：「稽問神明，決之蓍龜。」
[名]
1.準則、楷模。《老子》第六五章：「故以智治國，國之賊；不以智治國，國之福。知此兩者亦稽式。」《荀子．儒效》：「千舉萬變，其道一也，是大儒之稽也。」
2.姓。如春秋時秦國有稽黃。 |</v>
      </c>
    </row>
    <row r="6817" spans="1:44" hidden="1">
      <c r="A6817" s="1" t="s">
        <v>12885</v>
      </c>
      <c r="C6817" s="1">
        <v>1</v>
      </c>
      <c r="D6817" s="1" t="str">
        <f>"05320"</f>
        <v>05320</v>
      </c>
      <c r="E6817" s="1" t="s">
        <v>12565</v>
      </c>
      <c r="F6817" s="1">
        <v>12</v>
      </c>
      <c r="G6817" s="1">
        <v>9</v>
      </c>
      <c r="H6817" s="1">
        <v>2</v>
      </c>
      <c r="I6817" s="1" t="s">
        <v>12817</v>
      </c>
      <c r="K6817" s="1" t="str">
        <f t="shared" si="433"/>
        <v>ㄐ</v>
      </c>
      <c r="L6817" s="1" t="str">
        <f t="shared" si="434"/>
        <v>ㄧ</v>
      </c>
      <c r="M6817" s="1" t="str">
        <f t="shared" si="435"/>
        <v/>
      </c>
      <c r="P6817" s="1" t="s">
        <v>20</v>
      </c>
      <c r="R6817" s="1" t="s">
        <v>12818</v>
      </c>
      <c r="V6817" s="1" t="s">
        <v>12886</v>
      </c>
      <c r="W6817" s="1" t="s">
        <v>12887</v>
      </c>
      <c r="AR6817" s="1" t="str">
        <f t="shared" si="432"/>
        <v>| [ㄐㄧ](ㄐㄧ.md) | [幾](幾.md) |  | jī | [形]
1.細微。參見「幾希」、「幾微」等條。
2.危殆、危險。《詩經．大雅．瞻卬》：「天之降罔，維其幾矣。」《漢書．卷一．高帝紀上》：「楚兵罷食盡，此天亡之時，不因其幾而遂取之，所謂養虎自遺患也。」
[副]
1.將近、相去不遠。如：「幾及」、「庶幾」。《史記．卷五五．留侯世家》：「漢王輟食吐哺，罵曰：『豎儒！幾敗而公事！』」
2.豈。《史記．卷九一．黥布傳》：「人相我當刑而王，幾是乎？」
[名]
1.預兆、細微的跡象。《易經．繫辭下》：「君子見幾而作，不俟終日。」明．方孝孺〈深慮論〉：「其於治亂存亡之幾，思之詳而備之審矣。」
2.時期、機會。《詩經．小雅．楚茨》：「卜爾百福，如幾如式。」《左傳．定公元年》：「子家子不見叔孫，易幾而哭。」 |</v>
      </c>
    </row>
    <row r="6818" spans="1:44" hidden="1">
      <c r="A6818" s="1" t="s">
        <v>12888</v>
      </c>
      <c r="C6818" s="1">
        <v>1</v>
      </c>
      <c r="D6818" s="1" t="str">
        <f>"05321"</f>
        <v>05321</v>
      </c>
      <c r="E6818" s="1" t="s">
        <v>28</v>
      </c>
      <c r="F6818" s="1">
        <v>15</v>
      </c>
      <c r="G6818" s="1">
        <v>12</v>
      </c>
      <c r="H6818" s="1">
        <v>0</v>
      </c>
      <c r="I6818" s="1" t="s">
        <v>12817</v>
      </c>
      <c r="K6818" s="1" t="str">
        <f t="shared" si="433"/>
        <v>ㄐ</v>
      </c>
      <c r="L6818" s="1" t="str">
        <f t="shared" si="434"/>
        <v>ㄧ</v>
      </c>
      <c r="M6818" s="1" t="str">
        <f t="shared" si="435"/>
        <v/>
      </c>
      <c r="P6818" s="1" t="s">
        <v>20</v>
      </c>
      <c r="R6818" s="1" t="s">
        <v>12818</v>
      </c>
      <c r="V6818" s="1" t="s">
        <v>12889</v>
      </c>
      <c r="AR6818" s="1" t="str">
        <f t="shared" si="432"/>
        <v>| [ㄐㄧ](ㄐㄧ.md) | [嘰](嘰.md) |  | jī | [名]
參見「嗶嘰」條。
[擬]
1.形容蟬或鳥叫聲。如：「蟬兒嘰嘰的叫。」
2.參見「嘰哩咕嚕」條。 |</v>
      </c>
    </row>
    <row r="6819" spans="1:44" hidden="1">
      <c r="A6819" s="1" t="s">
        <v>12890</v>
      </c>
      <c r="C6819" s="1">
        <v>1</v>
      </c>
      <c r="D6819" s="1" t="str">
        <f>"05322"</f>
        <v>05322</v>
      </c>
      <c r="E6819" s="1" t="s">
        <v>753</v>
      </c>
      <c r="F6819" s="1">
        <v>15</v>
      </c>
      <c r="G6819" s="1">
        <v>10</v>
      </c>
      <c r="H6819" s="1">
        <v>1</v>
      </c>
      <c r="I6819" s="1" t="s">
        <v>12817</v>
      </c>
      <c r="K6819" s="1" t="str">
        <f t="shared" si="433"/>
        <v>ㄐ</v>
      </c>
      <c r="L6819" s="1" t="str">
        <f t="shared" si="434"/>
        <v>ㄧ</v>
      </c>
      <c r="M6819" s="1" t="str">
        <f t="shared" si="435"/>
        <v/>
      </c>
      <c r="P6819" s="1" t="s">
        <v>20</v>
      </c>
      <c r="R6819" s="1" t="s">
        <v>12818</v>
      </c>
      <c r="V6819" s="1" t="s">
        <v>12891</v>
      </c>
      <c r="W6819" s="1" t="s">
        <v>12892</v>
      </c>
      <c r="AR6819" s="1" t="str">
        <f t="shared" si="432"/>
        <v>| [ㄐㄧ](ㄐㄧ.md) | [畿](畿.md) |  | jī | [名]
1.國都，或古代君王所管轄的地方。如：「京畿」、「王畿」、「近畿」、「畿輔」。《晉書．卷二三．樂志下》：「神化感無方，髦才盈帝畿。」
2.疆界、疆域。《詩經．商頌．玄鳥》：「邦畿千里，維民所止。」唐．宋之問．〈送李侍御〉詩：「南登指吳服，北走出秦畿。」
3.門限、門檻。唐．韓愈〈譴瘧鬼〉詩：「清波為裳衣，白石為門畿。」 |</v>
      </c>
    </row>
    <row r="6820" spans="1:44" hidden="1">
      <c r="A6820" s="1" t="s">
        <v>12893</v>
      </c>
      <c r="C6820" s="1">
        <v>1</v>
      </c>
      <c r="D6820" s="1" t="str">
        <f>"05323"</f>
        <v>05323</v>
      </c>
      <c r="E6820" s="1" t="s">
        <v>142</v>
      </c>
      <c r="F6820" s="1">
        <v>16</v>
      </c>
      <c r="G6820" s="1">
        <v>12</v>
      </c>
      <c r="H6820" s="1">
        <v>0</v>
      </c>
      <c r="I6820" s="1" t="s">
        <v>12817</v>
      </c>
      <c r="K6820" s="1" t="str">
        <f t="shared" si="433"/>
        <v>ㄐ</v>
      </c>
      <c r="L6820" s="1" t="str">
        <f t="shared" si="434"/>
        <v>ㄧ</v>
      </c>
      <c r="M6820" s="1" t="str">
        <f t="shared" si="435"/>
        <v/>
      </c>
      <c r="P6820" s="1" t="s">
        <v>20</v>
      </c>
      <c r="R6820" s="1" t="s">
        <v>12818</v>
      </c>
      <c r="V6820" s="1" t="s">
        <v>12894</v>
      </c>
      <c r="AR6820" s="1" t="str">
        <f t="shared" si="432"/>
        <v>| [ㄐㄧ](ㄐㄧ.md) | [璣](璣.md) |  | jī | [名]_x000D_
1.不圓的珠子。如：「珠璣」。秦．李斯〈上書秦始皇〉：「傅璣之珥、阿縞之衣、錦繡之飾，不進於前。」漢．劉向《說苑．卷一九．脩文》：「天子唅實以珠，諸侯以玉，大夫以璣，士以貝，庶人以穀實。」_x000D_
2.古代天文儀器「璇璣玉衡」上轉動的部分。如：「璣衡撫辰儀」（清乾隆所製的渾儀）。《書經．舜典》：「在璿璣玉衡，以齊七政。」三國魏．李康〈運命論〉：「天動星迴而辰極猶居其所；璣璇輪轉而衡軸猶執其中。」_x000D_
3.星名。北斗七星的第三顆，在西方為大熊座γ星。也稱為「天璣」。《晉書．卷一一．天文志上》：「北斗七星在太微北，……又魁第一星曰天樞，二曰琁，三曰璣，四曰權，五曰玉衡，六曰開陽，七曰搖光；一至四為魁，五至七為杓。」《宋書．卷六．孝武帝本紀》：「皇家造宋，日月重光，琁璣得序，五星順命。」 |</v>
      </c>
    </row>
    <row r="6821" spans="1:44" hidden="1">
      <c r="A6821" s="1" t="s">
        <v>12895</v>
      </c>
      <c r="C6821" s="1">
        <v>1</v>
      </c>
      <c r="D6821" s="1" t="str">
        <f>"05324"</f>
        <v>05324</v>
      </c>
      <c r="E6821" s="1" t="s">
        <v>139</v>
      </c>
      <c r="F6821" s="1">
        <v>16</v>
      </c>
      <c r="G6821" s="1">
        <v>12</v>
      </c>
      <c r="H6821" s="1">
        <v>0</v>
      </c>
      <c r="I6821" s="1" t="s">
        <v>12817</v>
      </c>
      <c r="K6821" s="1" t="str">
        <f t="shared" si="433"/>
        <v>ㄐ</v>
      </c>
      <c r="L6821" s="1" t="str">
        <f t="shared" si="434"/>
        <v>ㄧ</v>
      </c>
      <c r="M6821" s="1" t="str">
        <f t="shared" si="435"/>
        <v/>
      </c>
      <c r="P6821" s="1" t="s">
        <v>20</v>
      </c>
      <c r="R6821" s="1" t="s">
        <v>12818</v>
      </c>
      <c r="V6821" s="1" t="s">
        <v>12896</v>
      </c>
      <c r="AR6821" s="1" t="str">
        <f t="shared" si="432"/>
        <v>| [ㄐㄧ](ㄐㄧ.md) | [機](機.md) |  | jī | [名]
1.織布的器具。《史記．卷七一．樗里子甘茂傳》：「其母投杼下機，踰牆而走。」唐．杜牧〈杜秋娘〉詩：「寒衣一匹素，夜借鄰人機。」
2.機器的通稱。如：「打字機」、「發電機」。
3.飛機的簡稱。如：「客機」、「戰鬥機」、「停機坪」。
4.時宜、際會。如：「隨機應變」、「勿失良機」。唐．駱賓王〈在獄詠蟬詩．序〉：「候時而來，順陰陽之數；應節為變，審藏用之機。」
5.事物發生、變化的原由。如：「動機」。《禮記．大學》：「一家仁，一國興仁；一家讓，一國興讓；一人貪戾，一國作亂，其機如此。」
6.存於內心的欲望、俗念。如：「心機」。唐．李白〈下終南山過斛斯山人宿置酒〉詩：「我醉君復樂，陶然共忘機。」
[形]
1.重要的、祕密的。如：「軍事機密」、「機要祕書」。
2.巧詐、智巧。如：「機智」、「機巧」。 |</v>
      </c>
    </row>
    <row r="6822" spans="1:44" hidden="1">
      <c r="A6822" s="1" t="s">
        <v>12897</v>
      </c>
      <c r="C6822" s="1">
        <v>1</v>
      </c>
      <c r="D6822" s="1" t="str">
        <f>"05325"</f>
        <v>05325</v>
      </c>
      <c r="E6822" s="1" t="s">
        <v>825</v>
      </c>
      <c r="F6822" s="1">
        <v>17</v>
      </c>
      <c r="G6822" s="1">
        <v>12</v>
      </c>
      <c r="H6822" s="1">
        <v>0</v>
      </c>
      <c r="I6822" s="1" t="s">
        <v>12817</v>
      </c>
      <c r="K6822" s="1" t="str">
        <f t="shared" si="433"/>
        <v>ㄐ</v>
      </c>
      <c r="L6822" s="1" t="str">
        <f t="shared" si="434"/>
        <v>ㄧ</v>
      </c>
      <c r="M6822" s="1" t="str">
        <f t="shared" si="435"/>
        <v/>
      </c>
      <c r="P6822" s="1" t="s">
        <v>20</v>
      </c>
      <c r="R6822" s="1" t="s">
        <v>12818</v>
      </c>
      <c r="V6822" s="1" t="s">
        <v>12898</v>
      </c>
      <c r="AR6822" s="1" t="str">
        <f t="shared" si="432"/>
        <v>| [ㄐㄧ](ㄐㄧ.md) | [禨](禨.md) |  | jī | [動]
祭祀鬼神，祈求福澤。《列子．說符》：「楚人鬼而越人禨。」唐．柳宗元〈永州龍興寺息壤記〉：「永州居楚越間，其人鬼且禨。」 |</v>
      </c>
    </row>
    <row r="6823" spans="1:44" hidden="1">
      <c r="A6823" s="1" t="s">
        <v>12899</v>
      </c>
      <c r="C6823" s="1">
        <v>1</v>
      </c>
      <c r="D6823" s="1" t="str">
        <f>"05326"</f>
        <v>05326</v>
      </c>
      <c r="E6823" s="1" t="s">
        <v>169</v>
      </c>
      <c r="F6823" s="1">
        <v>17</v>
      </c>
      <c r="G6823" s="1">
        <v>12</v>
      </c>
      <c r="H6823" s="1">
        <v>0</v>
      </c>
      <c r="I6823" s="1" t="s">
        <v>12817</v>
      </c>
      <c r="K6823" s="1" t="str">
        <f t="shared" si="433"/>
        <v>ㄐ</v>
      </c>
      <c r="L6823" s="1" t="str">
        <f t="shared" si="434"/>
        <v>ㄧ</v>
      </c>
      <c r="M6823" s="1" t="str">
        <f t="shared" si="435"/>
        <v/>
      </c>
      <c r="P6823" s="1" t="s">
        <v>20</v>
      </c>
      <c r="R6823" s="1" t="s">
        <v>12818</v>
      </c>
      <c r="V6823" s="1" t="s">
        <v>12900</v>
      </c>
      <c r="AR6823" s="1" t="str">
        <f t="shared" si="432"/>
        <v>| [ㄐㄧ](ㄐㄧ.md) | [磯](磯.md) |  | jī | [名]
水邊突出的巖石或石灘地。如：「采石磯」、「燕子磯」。唐．張旭〈桃花谿〉詩：「隱隱飛橋隔野煙，石磯西畔問漁船。」
[動]
以石激水，引申為激動。《孟子．告子下》：「親之過小而怨，是不可磯也。」 |</v>
      </c>
    </row>
    <row r="6824" spans="1:44" hidden="1">
      <c r="A6824" s="1" t="s">
        <v>12901</v>
      </c>
      <c r="C6824" s="1">
        <v>1</v>
      </c>
      <c r="D6824" s="1" t="str">
        <f>"05327"</f>
        <v>05327</v>
      </c>
      <c r="E6824" s="1" t="s">
        <v>331</v>
      </c>
      <c r="F6824" s="1">
        <v>19</v>
      </c>
      <c r="G6824" s="1">
        <v>12</v>
      </c>
      <c r="H6824" s="1">
        <v>0</v>
      </c>
      <c r="I6824" s="1" t="s">
        <v>12817</v>
      </c>
      <c r="K6824" s="1" t="str">
        <f t="shared" si="433"/>
        <v>ㄐ</v>
      </c>
      <c r="L6824" s="1" t="str">
        <f t="shared" si="434"/>
        <v>ㄧ</v>
      </c>
      <c r="M6824" s="1" t="str">
        <f t="shared" si="435"/>
        <v/>
      </c>
      <c r="P6824" s="1" t="s">
        <v>20</v>
      </c>
      <c r="R6824" s="1" t="s">
        <v>12818</v>
      </c>
      <c r="V6824" s="1" t="s">
        <v>12902</v>
      </c>
      <c r="AR6824" s="1" t="str">
        <f t="shared" si="432"/>
        <v>| [ㄐㄧ](ㄐㄧ.md) | [譏](譏.md) |  | jī | [動]
1.諷刺、責備。如：「譏笑」、「譏諷」。《文選．班固．典引》：「微文刺譏，貶損當世。」唐．韓愈〈學諸進士作精衛銜石填海〉詩：「人皆譏造次，我獨賞專精。」
2.盤問。《孟子．梁惠王下》：「關市譏而不征，澤梁無禁，罪人不孥。」 |</v>
      </c>
    </row>
    <row r="6825" spans="1:44" hidden="1">
      <c r="A6825" s="1" t="s">
        <v>12903</v>
      </c>
      <c r="C6825" s="1">
        <v>1</v>
      </c>
      <c r="D6825" s="1" t="str">
        <f>"05328"</f>
        <v>05328</v>
      </c>
      <c r="E6825" s="1" t="s">
        <v>193</v>
      </c>
      <c r="F6825" s="1">
        <v>20</v>
      </c>
      <c r="G6825" s="1">
        <v>12</v>
      </c>
      <c r="H6825" s="1">
        <v>0</v>
      </c>
      <c r="I6825" s="1" t="s">
        <v>12817</v>
      </c>
      <c r="K6825" s="1" t="str">
        <f t="shared" si="433"/>
        <v>ㄐ</v>
      </c>
      <c r="L6825" s="1" t="str">
        <f t="shared" si="434"/>
        <v>ㄧ</v>
      </c>
      <c r="M6825" s="1" t="str">
        <f t="shared" si="435"/>
        <v/>
      </c>
      <c r="P6825" s="1" t="s">
        <v>20</v>
      </c>
      <c r="R6825" s="1" t="s">
        <v>12818</v>
      </c>
      <c r="V6825" s="1" t="s">
        <v>12904</v>
      </c>
      <c r="AR6825" s="1" t="str">
        <f t="shared" si="432"/>
        <v>| [ㄐㄧ](ㄐㄧ.md) | [饑](饑.md) |  | jī | [名]
五穀歉收的荒年。《說文解字．食部》：「饑，穀不熟為饑。」如：「饑荒」、「饑饉」。清．蔣士銓〈鳴機夜課圖記〉：「先外祖家素不潤，歷年饑大凶，益窘乏。」
[形]
餓。通「飢」。《商君書．戰法》：「民倦且饑渴。」 |</v>
      </c>
    </row>
    <row r="6826" spans="1:44" hidden="1">
      <c r="A6826" s="1" t="s">
        <v>12905</v>
      </c>
      <c r="C6826" s="1">
        <v>1</v>
      </c>
      <c r="D6826" s="1" t="str">
        <f>"05329"</f>
        <v>05329</v>
      </c>
      <c r="E6826" s="1" t="s">
        <v>96</v>
      </c>
      <c r="F6826" s="1">
        <v>21</v>
      </c>
      <c r="G6826" s="1">
        <v>12</v>
      </c>
      <c r="H6826" s="1">
        <v>0</v>
      </c>
      <c r="I6826" s="1" t="s">
        <v>12817</v>
      </c>
      <c r="K6826" s="1" t="str">
        <f t="shared" si="433"/>
        <v>ㄐ</v>
      </c>
      <c r="L6826" s="1" t="str">
        <f t="shared" si="434"/>
        <v>ㄧ</v>
      </c>
      <c r="M6826" s="1" t="str">
        <f t="shared" si="435"/>
        <v/>
      </c>
      <c r="P6826" s="1" t="s">
        <v>20</v>
      </c>
      <c r="R6826" s="1" t="s">
        <v>12818</v>
      </c>
      <c r="V6826" s="1" t="s">
        <v>12906</v>
      </c>
      <c r="AR6826" s="1" t="str">
        <f t="shared" si="432"/>
        <v>| [ㄐㄧ](ㄐㄧ.md) | [鞿](鞿.md) |  | jī | [名]
馬口中的韁繩。《玉篇．革部》：「鞿，韁在口。」唐．韓愈〈山石〉詩：「人生如此自可樂，豈必局束為人鞿。」 |</v>
      </c>
    </row>
    <row r="6827" spans="1:44" hidden="1">
      <c r="A6827" s="1" t="s">
        <v>12907</v>
      </c>
      <c r="C6827" s="1">
        <v>1</v>
      </c>
      <c r="D6827" s="1" t="str">
        <f>"05330"</f>
        <v>05330</v>
      </c>
      <c r="E6827" s="1" t="s">
        <v>245</v>
      </c>
      <c r="F6827" s="1">
        <v>13</v>
      </c>
      <c r="G6827" s="1">
        <v>11</v>
      </c>
      <c r="H6827" s="1">
        <v>0</v>
      </c>
      <c r="I6827" s="1" t="s">
        <v>12817</v>
      </c>
      <c r="K6827" s="1" t="str">
        <f t="shared" si="433"/>
        <v>ㄐ</v>
      </c>
      <c r="L6827" s="1" t="str">
        <f t="shared" si="434"/>
        <v>ㄧ</v>
      </c>
      <c r="M6827" s="1" t="str">
        <f t="shared" si="435"/>
        <v/>
      </c>
      <c r="P6827" s="1" t="s">
        <v>20</v>
      </c>
      <c r="R6827" s="1" t="s">
        <v>12818</v>
      </c>
      <c r="V6827" s="1" t="s">
        <v>12908</v>
      </c>
      <c r="AR6827" s="1" t="str">
        <f t="shared" si="432"/>
        <v>| [ㄐㄧ](ㄐㄧ.md) | [勣](勣.md) |  | jī | [名]
功業。通「績」。《集韻．入聲．錫韻》：「勣，功名。通作績。」 |</v>
      </c>
    </row>
    <row r="6828" spans="1:44" hidden="1">
      <c r="A6828" s="1" t="s">
        <v>12909</v>
      </c>
      <c r="C6828" s="1">
        <v>1</v>
      </c>
      <c r="D6828" s="1" t="str">
        <f>"05331"</f>
        <v>05331</v>
      </c>
      <c r="E6828" s="1" t="s">
        <v>429</v>
      </c>
      <c r="F6828" s="1">
        <v>16</v>
      </c>
      <c r="G6828" s="1">
        <v>11</v>
      </c>
      <c r="H6828" s="1">
        <v>0</v>
      </c>
      <c r="I6828" s="1" t="s">
        <v>12817</v>
      </c>
      <c r="K6828" s="1" t="str">
        <f t="shared" si="433"/>
        <v>ㄐ</v>
      </c>
      <c r="L6828" s="1" t="str">
        <f t="shared" si="434"/>
        <v>ㄧ</v>
      </c>
      <c r="M6828" s="1" t="str">
        <f t="shared" si="435"/>
        <v/>
      </c>
      <c r="P6828" s="1" t="s">
        <v>20</v>
      </c>
      <c r="R6828" s="1" t="s">
        <v>12818</v>
      </c>
      <c r="V6828" s="1" t="s">
        <v>12910</v>
      </c>
      <c r="AR6828" s="1" t="str">
        <f t="shared" si="432"/>
        <v>| [ㄐㄧ](ㄐㄧ.md) | [積](積.md) |  | jī | [動]
1.蓄存、儲藏。如：「囤積」、「積貨逐利」。
2.累聚。如：「聚積」、「淤積」、「日積月累」。《易經．繫辭下》：「善不積，不足以成名。」《荀子．勸學》：「不積小流，無以成江海。」
3.阻滯、滯礙。《莊子．天道》：「天道運而無所積，故萬物成。」
[形]
長久累存的。如：「積怨」、「積習」。南朝梁．王僧孺〈春怨詩〉：「積愁落芳鬢，長啼壞美目。」
[名]
數與數相乘的得數。如三乘五等於十五；十五為「積」。也稱為「積數」。 |</v>
      </c>
    </row>
    <row r="6829" spans="1:44" hidden="1">
      <c r="A6829" s="1" t="s">
        <v>12911</v>
      </c>
      <c r="C6829" s="1">
        <v>1</v>
      </c>
      <c r="D6829" s="1" t="str">
        <f>"05332"</f>
        <v>05332</v>
      </c>
      <c r="E6829" s="1" t="s">
        <v>340</v>
      </c>
      <c r="F6829" s="1">
        <v>17</v>
      </c>
      <c r="G6829" s="1">
        <v>11</v>
      </c>
      <c r="H6829" s="1">
        <v>0</v>
      </c>
      <c r="I6829" s="1" t="s">
        <v>12817</v>
      </c>
      <c r="K6829" s="1" t="str">
        <f t="shared" si="433"/>
        <v>ㄐ</v>
      </c>
      <c r="L6829" s="1" t="str">
        <f t="shared" si="434"/>
        <v>ㄧ</v>
      </c>
      <c r="M6829" s="1" t="str">
        <f t="shared" si="435"/>
        <v/>
      </c>
      <c r="P6829" s="1" t="s">
        <v>20</v>
      </c>
      <c r="R6829" s="1" t="s">
        <v>12818</v>
      </c>
      <c r="V6829" s="1" t="s">
        <v>12912</v>
      </c>
      <c r="AR6829" s="1" t="str">
        <f t="shared" si="432"/>
        <v>| [ㄐㄧ](ㄐㄧ.md) | [襀](襀.md) |  | jī | 參見「襞襀」條。 |</v>
      </c>
    </row>
    <row r="6830" spans="1:44" hidden="1">
      <c r="A6830" s="1" t="s">
        <v>12913</v>
      </c>
      <c r="C6830" s="1">
        <v>1</v>
      </c>
      <c r="D6830" s="1" t="str">
        <f>"05333"</f>
        <v>05333</v>
      </c>
      <c r="E6830" s="1" t="s">
        <v>725</v>
      </c>
      <c r="F6830" s="1">
        <v>17</v>
      </c>
      <c r="G6830" s="1">
        <v>11</v>
      </c>
      <c r="H6830" s="1">
        <v>0</v>
      </c>
      <c r="I6830" s="1" t="s">
        <v>12817</v>
      </c>
      <c r="K6830" s="1" t="str">
        <f t="shared" si="433"/>
        <v>ㄐ</v>
      </c>
      <c r="L6830" s="1" t="str">
        <f t="shared" si="434"/>
        <v>ㄧ</v>
      </c>
      <c r="M6830" s="1" t="str">
        <f t="shared" si="435"/>
        <v/>
      </c>
      <c r="P6830" s="1" t="s">
        <v>20</v>
      </c>
      <c r="R6830" s="1" t="s">
        <v>12818</v>
      </c>
      <c r="V6830" s="1" t="s">
        <v>12914</v>
      </c>
      <c r="AR6830" s="1" t="str">
        <f t="shared" si="432"/>
        <v>| [ㄐㄧ](ㄐㄧ.md) | [績](績.md) |  | jī | [動]
將麻或其他纖維搓成細線，引申為紡織的意思。如：「紡績」、「績麻」。《詩經．陳風．東門之枌》：「不績其麻，市也婆娑。」唐．韓愈〈圩者王承福傳〉：「若布與帛，必蠶績而後成者也。」
[名]
功業、成效。如：「功績」、「成績」、「戰績」。《列子．楊朱》：「鯀治水土，績用不就，殛諸羽山。」 |</v>
      </c>
    </row>
    <row r="6831" spans="1:44" hidden="1">
      <c r="A6831" s="1" t="s">
        <v>12915</v>
      </c>
      <c r="C6831" s="1">
        <v>1</v>
      </c>
      <c r="D6831" s="1" t="str">
        <f>"05334"</f>
        <v>05334</v>
      </c>
      <c r="E6831" s="1" t="s">
        <v>77</v>
      </c>
      <c r="F6831" s="1">
        <v>18</v>
      </c>
      <c r="G6831" s="1">
        <v>11</v>
      </c>
      <c r="H6831" s="1">
        <v>0</v>
      </c>
      <c r="I6831" s="1" t="s">
        <v>12817</v>
      </c>
      <c r="K6831" s="1" t="str">
        <f t="shared" si="433"/>
        <v>ㄐ</v>
      </c>
      <c r="L6831" s="1" t="str">
        <f t="shared" si="434"/>
        <v>ㄧ</v>
      </c>
      <c r="M6831" s="1" t="str">
        <f t="shared" si="435"/>
        <v/>
      </c>
      <c r="P6831" s="1" t="s">
        <v>20</v>
      </c>
      <c r="R6831" s="1" t="s">
        <v>12818</v>
      </c>
      <c r="V6831" s="1" t="s">
        <v>12916</v>
      </c>
      <c r="AR6831" s="1" t="str">
        <f t="shared" si="432"/>
        <v>| [ㄐㄧ](ㄐㄧ.md) | [蹟](蹟.md) |  | jī | [名]
前人留下來的事物，多指建築、文物而言。同「跡」。如：「事蹟」、「遺蹟」、「名勝古蹟」。 |</v>
      </c>
    </row>
    <row r="6832" spans="1:44" hidden="1">
      <c r="A6832" s="1" t="s">
        <v>12917</v>
      </c>
      <c r="C6832" s="1">
        <v>1</v>
      </c>
      <c r="D6832" s="1" t="str">
        <f>"05335"</f>
        <v>05335</v>
      </c>
      <c r="E6832" s="1" t="s">
        <v>77</v>
      </c>
      <c r="F6832" s="1">
        <v>13</v>
      </c>
      <c r="G6832" s="1">
        <v>6</v>
      </c>
      <c r="H6832" s="1">
        <v>0</v>
      </c>
      <c r="I6832" s="1" t="s">
        <v>12817</v>
      </c>
      <c r="K6832" s="1" t="str">
        <f t="shared" si="433"/>
        <v>ㄐ</v>
      </c>
      <c r="L6832" s="1" t="str">
        <f t="shared" si="434"/>
        <v>ㄧ</v>
      </c>
      <c r="M6832" s="1" t="str">
        <f t="shared" si="435"/>
        <v/>
      </c>
      <c r="P6832" s="1" t="s">
        <v>20</v>
      </c>
      <c r="R6832" s="1" t="s">
        <v>12818</v>
      </c>
      <c r="V6832" s="1" t="s">
        <v>12918</v>
      </c>
      <c r="AR6832" s="1" t="str">
        <f t="shared" si="432"/>
        <v>| [ㄐㄧ](ㄐㄧ.md) | [跡](跡.md) |  | jī | [名]
1.步行時所遺留的印痕。如：「足跡」、「蹤跡」、「匿跡」、「絕跡」。唐．韋應物〈寄全椒山中道士〉詩：「落葉滿空山，何處尋行跡。」
2.事物的遺痕。如：「痕跡」、「筆跡」、「墨跡」、「跡象」。《呂氏春秋．慎行論．疑似》：「疑似之跡，不可不察。」
3.前人留下來的事物、功業。晉．陶淵明〈贈羊長史詩〉：「賢聖留餘跡，事事在中都。」
[動]
1.考察、探究。《楚辭．屈原．九章．惜誦》：「言與行其可跡兮，情與貌其不變。」《漢書．卷四八．賈誼傳》：「臣竊跡前事，大抵彊者先反。」
2.遵循、仿效。《文選．張衡．西京賦》：「都邑游俠，張趙之倫，齊志無忌，擬跡田文。」 |</v>
      </c>
    </row>
    <row r="6833" spans="1:44" hidden="1">
      <c r="A6833" s="1" t="s">
        <v>12919</v>
      </c>
      <c r="C6833" s="1">
        <v>1</v>
      </c>
      <c r="D6833" s="1" t="str">
        <f>"05336"</f>
        <v>05336</v>
      </c>
      <c r="E6833" s="1" t="s">
        <v>129</v>
      </c>
      <c r="F6833" s="1">
        <v>16</v>
      </c>
      <c r="G6833" s="1">
        <v>13</v>
      </c>
      <c r="H6833" s="1">
        <v>0</v>
      </c>
      <c r="I6833" s="1" t="s">
        <v>12817</v>
      </c>
      <c r="K6833" s="1" t="str">
        <f t="shared" si="433"/>
        <v>ㄐ</v>
      </c>
      <c r="L6833" s="1" t="str">
        <f t="shared" si="434"/>
        <v>ㄧ</v>
      </c>
      <c r="M6833" s="1" t="str">
        <f t="shared" si="435"/>
        <v/>
      </c>
      <c r="P6833" s="1" t="s">
        <v>20</v>
      </c>
      <c r="R6833" s="1" t="s">
        <v>12818</v>
      </c>
      <c r="V6833" s="1" t="s">
        <v>12920</v>
      </c>
      <c r="AR6833" s="1" t="str">
        <f t="shared" si="432"/>
        <v>| [ㄐㄧ](ㄐㄧ.md) | [激](激.md) |  | jī | [動]
1.水勢受阻而噴濺。如：「激起浪花」、「波濤相激」。
2.使有所感發或變化。如：「刺激」、「激勵」、「勸將不如激將」、「激怒」。《史記．卷七九．范雎蔡澤傳》：「然二子不困戹，惡能激乎？」
3.身體突然受到雨或冷水的刺激。《紅樓夢》第三〇回：「他這身子如何禁得驟雨一激？」
[形]
言行率直、急切。如：「激切」、「偏激」。
[副]
強烈、急劇的。如：「激增」、「激漲」、「激戰」。唐．李朝威〈柳毅傳〉：「千雷萬霆，激繞其身，霰雪雨雹，一時皆下。」
[名]
姓。如漢代有激章。 |</v>
      </c>
    </row>
    <row r="6834" spans="1:44" hidden="1">
      <c r="A6834" s="1" t="s">
        <v>12921</v>
      </c>
      <c r="C6834" s="1">
        <v>1</v>
      </c>
      <c r="D6834" s="1" t="str">
        <f>"05337"</f>
        <v>05337</v>
      </c>
      <c r="E6834" s="1" t="s">
        <v>691</v>
      </c>
      <c r="F6834" s="1">
        <v>17</v>
      </c>
      <c r="G6834" s="1">
        <v>14</v>
      </c>
      <c r="H6834" s="1">
        <v>0</v>
      </c>
      <c r="I6834" s="1" t="s">
        <v>12817</v>
      </c>
      <c r="K6834" s="1" t="str">
        <f t="shared" si="433"/>
        <v>ㄐ</v>
      </c>
      <c r="L6834" s="1" t="str">
        <f t="shared" si="434"/>
        <v>ㄧ</v>
      </c>
      <c r="M6834" s="1" t="str">
        <f t="shared" si="435"/>
        <v/>
      </c>
      <c r="P6834" s="1" t="s">
        <v>20</v>
      </c>
      <c r="R6834" s="1" t="s">
        <v>12818</v>
      </c>
      <c r="V6834" s="1" t="s">
        <v>12922</v>
      </c>
      <c r="AR6834" s="1" t="str">
        <f t="shared" si="432"/>
        <v>| [ㄐㄧ](ㄐㄧ.md) | [隮](隮.md) |  | jī | [動]
1.升、登。《書經．顧命》：「王麻冕黼裳，由賓階隮。」《文選．張衡．西京賦》：「累層構而遂隮，望北辰而高興。」
2.墜下、墜落。《書經．微子》：「今爾無指，告予顛隮。」
[名]
1.虹。《詩經．鄘風．蝃蝀》：「朝隮于西，崇朝其雨。」
2.由山谷中湧升上來的雲氣。宋．蘇軾〈過廬山下〉詩：「群隮相應和，勇往爭驂驔。」 |</v>
      </c>
    </row>
    <row r="6835" spans="1:44" hidden="1">
      <c r="A6835" s="1" t="s">
        <v>12923</v>
      </c>
      <c r="C6835" s="1">
        <v>1</v>
      </c>
      <c r="D6835" s="1" t="str">
        <f>"05338"</f>
        <v>05338</v>
      </c>
      <c r="E6835" s="1" t="s">
        <v>12924</v>
      </c>
      <c r="F6835" s="1">
        <v>21</v>
      </c>
      <c r="G6835" s="1">
        <v>7</v>
      </c>
      <c r="H6835" s="1">
        <v>0</v>
      </c>
      <c r="I6835" s="1" t="s">
        <v>12817</v>
      </c>
      <c r="K6835" s="1" t="str">
        <f t="shared" si="433"/>
        <v>ㄐ</v>
      </c>
      <c r="L6835" s="1" t="str">
        <f t="shared" si="434"/>
        <v>ㄧ</v>
      </c>
      <c r="M6835" s="1" t="str">
        <f t="shared" si="435"/>
        <v/>
      </c>
      <c r="P6835" s="1" t="s">
        <v>20</v>
      </c>
      <c r="R6835" s="1" t="s">
        <v>12818</v>
      </c>
      <c r="V6835" s="1" t="s">
        <v>12925</v>
      </c>
      <c r="AR6835" s="1" t="str">
        <f t="shared" si="432"/>
        <v>| [ㄐㄧ](ㄐㄧ.md) | [齎](齎.md) |  | jī | [動]
1.贈送。《文選．李斯．上書秦始皇》：「此所謂藉寇兵而齎盜糧者也。」《樂府詩集．卷七三．雜曲歌辭十三．古辭．焦仲卿妻》：「齎錢三百萬，皆用青絲穿。」
2.拿、持。南朝宋．劉義慶《世說新語．任誕》：「於是齎牛酒詣道真。」
3.挾抱、懷持。如：「齎志以歿」。南朝宋．鮑照〈代蒿里行〉：「齎我長恨意，歸為狐兔塵。」 |</v>
      </c>
    </row>
    <row r="6836" spans="1:44" hidden="1">
      <c r="A6836" s="1" t="s">
        <v>12926</v>
      </c>
      <c r="C6836" s="1">
        <v>1</v>
      </c>
      <c r="D6836" s="1" t="str">
        <f>"05339"</f>
        <v>05339</v>
      </c>
      <c r="E6836" s="1" t="s">
        <v>77</v>
      </c>
      <c r="F6836" s="1">
        <v>21</v>
      </c>
      <c r="G6836" s="1">
        <v>14</v>
      </c>
      <c r="H6836" s="1">
        <v>0</v>
      </c>
      <c r="I6836" s="1" t="s">
        <v>12817</v>
      </c>
      <c r="K6836" s="1" t="str">
        <f t="shared" si="433"/>
        <v>ㄐ</v>
      </c>
      <c r="L6836" s="1" t="str">
        <f t="shared" si="434"/>
        <v>ㄧ</v>
      </c>
      <c r="M6836" s="1" t="str">
        <f t="shared" si="435"/>
        <v/>
      </c>
      <c r="P6836" s="1" t="s">
        <v>20</v>
      </c>
      <c r="R6836" s="1" t="s">
        <v>12818</v>
      </c>
      <c r="V6836" s="1" t="s">
        <v>12927</v>
      </c>
      <c r="AR6836" s="1" t="str">
        <f t="shared" si="432"/>
        <v>| [ㄐㄧ](ㄐㄧ.md) | [躋](躋.md) |  | jī | [動]
登上、升上。唐．高適〈送裴別將之安西〉詩：「絕域眇難躋，悠然信馬蹄。」宋．蘇軾〈水調歌頭．昵昵兒女語〉詞：「躋攀寸步千險，一落百尋輕。」 |</v>
      </c>
    </row>
    <row r="6837" spans="1:44" hidden="1">
      <c r="A6837" s="1" t="s">
        <v>12928</v>
      </c>
      <c r="C6837" s="1">
        <v>1</v>
      </c>
      <c r="D6837" s="1" t="str">
        <f>"05340"</f>
        <v>05340</v>
      </c>
      <c r="E6837" s="1" t="s">
        <v>12924</v>
      </c>
      <c r="F6837" s="1">
        <v>23</v>
      </c>
      <c r="G6837" s="1">
        <v>9</v>
      </c>
      <c r="H6837" s="1">
        <v>0</v>
      </c>
      <c r="I6837" s="1" t="s">
        <v>12817</v>
      </c>
      <c r="K6837" s="1" t="str">
        <f t="shared" si="433"/>
        <v>ㄐ</v>
      </c>
      <c r="L6837" s="1" t="str">
        <f t="shared" si="434"/>
        <v>ㄧ</v>
      </c>
      <c r="M6837" s="1" t="str">
        <f t="shared" si="435"/>
        <v/>
      </c>
      <c r="P6837" s="1" t="s">
        <v>20</v>
      </c>
      <c r="R6837" s="1" t="s">
        <v>12818</v>
      </c>
      <c r="V6837" s="1" t="s">
        <v>12929</v>
      </c>
      <c r="AR6837" s="1" t="str">
        <f t="shared" si="432"/>
        <v>| [ㄐㄧ](ㄐㄧ.md) | [齏](齏.md) |  | jī | [名]
調味用的細碎辛辣食物或菜末。元．關漢卿《望江亭》第一折：「這出家的要餐松啗柏，熬齏受淡。」
[動]
粉碎。如：「齏骨粉身」。 |</v>
      </c>
    </row>
    <row r="6838" spans="1:44" hidden="1">
      <c r="A6838" s="1" t="s">
        <v>12930</v>
      </c>
      <c r="C6838" s="1">
        <v>1</v>
      </c>
      <c r="D6838" s="1" t="str">
        <f>"05341"</f>
        <v>05341</v>
      </c>
      <c r="E6838" s="1" t="s">
        <v>37</v>
      </c>
      <c r="F6838" s="1">
        <v>23</v>
      </c>
      <c r="G6838" s="1">
        <v>19</v>
      </c>
      <c r="H6838" s="1">
        <v>0</v>
      </c>
      <c r="I6838" s="1" t="s">
        <v>12817</v>
      </c>
      <c r="K6838" s="1" t="str">
        <f t="shared" si="433"/>
        <v>ㄐ</v>
      </c>
      <c r="L6838" s="1" t="str">
        <f t="shared" si="434"/>
        <v>ㄧ</v>
      </c>
      <c r="M6838" s="1" t="str">
        <f t="shared" si="435"/>
        <v/>
      </c>
      <c r="P6838" s="1" t="s">
        <v>20</v>
      </c>
      <c r="R6838" s="1" t="s">
        <v>12818</v>
      </c>
      <c r="V6838" s="1" t="s">
        <v>12931</v>
      </c>
      <c r="AR6838" s="1" t="str">
        <f t="shared" si="432"/>
        <v>| [ㄐㄧ](ㄐㄧ.md) | [虀](虀.md) |  | jī | [名]
1.用來調味的辛辣食物或菜末。同「齏」。《三國志．卷二九．魏書．方技傳．華佗傳》：「向來道邊有賣餅家蒜虀大酢，從取三升飲之，病自當去。」
2.細切的鹹菜、醬菜。《警世通言．卷二六．唐解元一笑姻緣》：「若向其間尋穩便，一壺濁酒一餐虀。」 |</v>
      </c>
    </row>
    <row r="6839" spans="1:44" hidden="1">
      <c r="A6839" s="1" t="s">
        <v>12932</v>
      </c>
      <c r="C6839" s="1">
        <v>1</v>
      </c>
      <c r="D6839" s="1" t="str">
        <f>"05342"</f>
        <v>05342</v>
      </c>
      <c r="E6839" s="1" t="s">
        <v>5383</v>
      </c>
      <c r="F6839" s="1">
        <v>18</v>
      </c>
      <c r="G6839" s="1">
        <v>10</v>
      </c>
      <c r="H6839" s="1">
        <v>0</v>
      </c>
      <c r="I6839" s="1" t="s">
        <v>12817</v>
      </c>
      <c r="K6839" s="1" t="str">
        <f t="shared" si="433"/>
        <v>ㄐ</v>
      </c>
      <c r="L6839" s="1" t="str">
        <f t="shared" si="434"/>
        <v>ㄧ</v>
      </c>
      <c r="M6839" s="1" t="str">
        <f t="shared" si="435"/>
        <v/>
      </c>
      <c r="P6839" s="1" t="s">
        <v>20</v>
      </c>
      <c r="R6839" s="1" t="s">
        <v>12818</v>
      </c>
      <c r="V6839" s="1" t="s">
        <v>12933</v>
      </c>
      <c r="AR6839" s="1" t="str">
        <f t="shared" si="432"/>
        <v>| [ㄐㄧ](ㄐㄧ.md) | [雞](雞.md) |  | jī | [名]
動物名。鳥綱雞形目。常見家禽，品種很多。嘴短，上嘴稍彎曲。頭部有紅色肉冠，雄雞較大。翅短，飛行能力不佳。如：「母雞」、「土雞」、「來亨雞」。 |</v>
      </c>
    </row>
    <row r="6840" spans="1:44" hidden="1">
      <c r="A6840" s="1" t="s">
        <v>12934</v>
      </c>
      <c r="C6840" s="1">
        <v>1</v>
      </c>
      <c r="D6840" s="1" t="str">
        <f>"05343"</f>
        <v>05343</v>
      </c>
      <c r="E6840" s="1" t="s">
        <v>118</v>
      </c>
      <c r="F6840" s="1">
        <v>24</v>
      </c>
      <c r="G6840" s="1">
        <v>19</v>
      </c>
      <c r="H6840" s="1">
        <v>0</v>
      </c>
      <c r="I6840" s="1" t="s">
        <v>12817</v>
      </c>
      <c r="K6840" s="1" t="str">
        <f t="shared" si="433"/>
        <v>ㄐ</v>
      </c>
      <c r="L6840" s="1" t="str">
        <f t="shared" si="434"/>
        <v>ㄧ</v>
      </c>
      <c r="M6840" s="1" t="str">
        <f t="shared" si="435"/>
        <v/>
      </c>
      <c r="P6840" s="1" t="s">
        <v>20</v>
      </c>
      <c r="R6840" s="1" t="s">
        <v>12818</v>
      </c>
      <c r="V6840" s="1" t="s">
        <v>12935</v>
      </c>
      <c r="AR6840" s="1" t="str">
        <f t="shared" si="432"/>
        <v>| [ㄐㄧ](ㄐㄧ.md) | [羈](羈.md) |  | jī | [名]
1.馬絡頭，套住馬口的嘴套。《文選．曹植．白馬篇》：「白馬飾金羈，連翩西北馳。」
2.古代小女孩的髮髻。《禮記．內則》：「翦髮為鬌，男角女羈。」
3.寄居在外的旅客。《左傳．昭公七年》：「單獻公棄親用羈。」晉．杜預．注：「羈，寄客也。」
4.姓。如漢代有羈栩。
[動]
1.繫綁、拘擊。《文選．賈誼．弔屈原文》：「使騏驥可得係而羈兮，豈云異夫犬羊。」
2.拘束、牽絆。如：「羈絆」、「羈束」、「放蕩不羈」。《史記．卷六三．老子韓非傳》：「我寧游戲汙瀆之中自快，無為有國者所羈，終身不仕，以快吾志焉。」《資治通鑑．卷二四二．唐紀五十八．穆宗長慶元年》：「進退皆言朅牽，意見悉遭蔽塞。」
3.停留。《聊齋志異．卷一〇．葛巾》：「妾處耳目多，不可久羈，蹈隙當復來。」 |</v>
      </c>
    </row>
    <row r="6841" spans="1:44" hidden="1">
      <c r="A6841" s="1" t="s">
        <v>14326</v>
      </c>
      <c r="C6841" s="1">
        <v>1</v>
      </c>
      <c r="D6841" s="1" t="str">
        <f>"05966"</f>
        <v>05966</v>
      </c>
      <c r="E6841" s="1" t="s">
        <v>789</v>
      </c>
      <c r="F6841" s="1">
        <v>5</v>
      </c>
      <c r="G6841" s="1">
        <v>4</v>
      </c>
      <c r="H6841" s="1">
        <v>2</v>
      </c>
      <c r="I6841" s="1" t="s">
        <v>14327</v>
      </c>
      <c r="K6841" s="1" t="str">
        <f t="shared" si="433"/>
        <v>ㄐ</v>
      </c>
      <c r="L6841" s="1" t="str">
        <f t="shared" si="434"/>
        <v>ㄩ</v>
      </c>
      <c r="M6841" s="1" t="str">
        <f t="shared" si="435"/>
        <v/>
      </c>
      <c r="P6841" s="1" t="s">
        <v>20</v>
      </c>
      <c r="R6841" s="1" t="s">
        <v>14328</v>
      </c>
      <c r="V6841" s="1" t="s">
        <v>14329</v>
      </c>
      <c r="W6841" s="1" t="s">
        <v>14330</v>
      </c>
      <c r="AR6841" s="1" t="str">
        <f t="shared" si="432"/>
        <v>| [ㄐㄩ](ㄐㄩ.md) | [且](且.md) |  | jū | [名]_x000D_
農曆六月。《爾雅．釋天》：「六月為且。」_x000D_
[助]_x000D_
用於句末，近似於表示感嘆的「啊」。《詩經．鄭風．褰裳》：「狂童之狂也且！」 |</v>
      </c>
    </row>
    <row r="6842" spans="1:44" hidden="1">
      <c r="A6842" s="1" t="s">
        <v>14331</v>
      </c>
      <c r="C6842" s="1">
        <v>1</v>
      </c>
      <c r="D6842" s="1" t="str">
        <f>"05967"</f>
        <v>05967</v>
      </c>
      <c r="E6842" s="1" t="s">
        <v>129</v>
      </c>
      <c r="F6842" s="1">
        <v>8</v>
      </c>
      <c r="G6842" s="1">
        <v>5</v>
      </c>
      <c r="H6842" s="1">
        <v>1</v>
      </c>
      <c r="I6842" s="1" t="s">
        <v>14327</v>
      </c>
      <c r="K6842" s="1" t="str">
        <f t="shared" si="433"/>
        <v>ㄐ</v>
      </c>
      <c r="L6842" s="1" t="str">
        <f t="shared" si="434"/>
        <v>ㄩ</v>
      </c>
      <c r="M6842" s="1" t="str">
        <f t="shared" si="435"/>
        <v/>
      </c>
      <c r="P6842" s="1" t="s">
        <v>20</v>
      </c>
      <c r="R6842" s="1" t="s">
        <v>14328</v>
      </c>
      <c r="V6842" s="1" t="s">
        <v>14332</v>
      </c>
      <c r="W6842" s="1" t="s">
        <v>14333</v>
      </c>
      <c r="AR6842" s="1" t="str">
        <f t="shared" si="432"/>
        <v>| [ㄐㄩ](ㄐㄩ.md) | [沮](沮.md) |  | jū | [名]
1.河川名。源出大陸地區湖北省，東南流至當陽與漳水匯合，南流至江陵注入長江。
2.姓。如漢代有沮授。 |</v>
      </c>
    </row>
    <row r="6843" spans="1:44" hidden="1">
      <c r="A6843" s="1" t="s">
        <v>14334</v>
      </c>
      <c r="C6843" s="1">
        <v>1</v>
      </c>
      <c r="D6843" s="1" t="str">
        <f>"05968"</f>
        <v>05968</v>
      </c>
      <c r="E6843" s="1" t="s">
        <v>198</v>
      </c>
      <c r="F6843" s="1">
        <v>8</v>
      </c>
      <c r="G6843" s="1">
        <v>5</v>
      </c>
      <c r="H6843" s="1">
        <v>0</v>
      </c>
      <c r="I6843" s="1" t="s">
        <v>14327</v>
      </c>
      <c r="K6843" s="1" t="str">
        <f t="shared" si="433"/>
        <v>ㄐ</v>
      </c>
      <c r="L6843" s="1" t="str">
        <f t="shared" si="434"/>
        <v>ㄩ</v>
      </c>
      <c r="M6843" s="1" t="str">
        <f t="shared" si="435"/>
        <v/>
      </c>
      <c r="P6843" s="1" t="s">
        <v>20</v>
      </c>
      <c r="R6843" s="1" t="s">
        <v>14328</v>
      </c>
      <c r="V6843" s="1" t="s">
        <v>14335</v>
      </c>
      <c r="AR6843" s="1" t="str">
        <f t="shared" si="432"/>
        <v>| [ㄐㄩ](ㄐㄩ.md) | [狙](狙.md) |  | jū | [名]
獼猴屬動物的泛稱。體色灰或褐色，臉及臀部呈紅或粉紅色。雄獼猴的牙齒長而尖銳，是主要武器。生活在樹上與地上。以果實、穀物、昆蟲及蔬菜為食。清．王念孫《廣雅疏證．卷一〇下．釋獸》：「狙，獼猴也。」
[形]
狡猾、奸詐。如：「狙詐」。唐．柳宗元〈罵尸蟲文〉：「縱其狙詭，延其變詐。」《聊齋志異．卷一〇．席方平》：「且飛揚其狙獪之奸，更不嫌乎鬼瘦。」
[動]
伺機、窺伺。《管子．七臣七主》：「從狙而好小察。」《史記．卷五十五．留侯世家》：「良與客狙擊秦皇帝博浪沙中。」 |</v>
      </c>
    </row>
    <row r="6844" spans="1:44" hidden="1">
      <c r="A6844" s="1" t="s">
        <v>14336</v>
      </c>
      <c r="C6844" s="1">
        <v>1</v>
      </c>
      <c r="D6844" s="1" t="str">
        <f>"05969"</f>
        <v>05969</v>
      </c>
      <c r="E6844" s="1" t="s">
        <v>37</v>
      </c>
      <c r="F6844" s="1">
        <v>9</v>
      </c>
      <c r="G6844" s="1">
        <v>5</v>
      </c>
      <c r="H6844" s="1">
        <v>1</v>
      </c>
      <c r="I6844" s="1" t="s">
        <v>14327</v>
      </c>
      <c r="K6844" s="1" t="str">
        <f t="shared" si="433"/>
        <v>ㄐ</v>
      </c>
      <c r="L6844" s="1" t="str">
        <f t="shared" si="434"/>
        <v>ㄩ</v>
      </c>
      <c r="M6844" s="1" t="str">
        <f t="shared" si="435"/>
        <v/>
      </c>
      <c r="P6844" s="1" t="s">
        <v>20</v>
      </c>
      <c r="R6844" s="1" t="s">
        <v>14328</v>
      </c>
      <c r="V6844" s="1" t="s">
        <v>14337</v>
      </c>
      <c r="W6844" s="1" t="s">
        <v>14338</v>
      </c>
      <c r="AR6844" s="1" t="str">
        <f t="shared" si="432"/>
        <v>| [ㄐㄩ](ㄐㄩ.md) | [苴](苴.md) |  | jū | [名]
1.可結子的麻，亦稱麻的子實為「苴」。《玉篇．艸部》：「苴，麻也。」《詩經．豳風．七月》：「九月叔苴，采荼薪樗。」漢．毛亨．傳：「叔，拾也；苴，麻子也。」
2.姓。如唐代有苴那時。
[形]
粗劣、不精緻。《墨子．兼愛下》：「昔者晉文公好苴服。」
[動]
包裹。《禮記．內則》：「實棗於其腹中，編萑以苴之。」 |</v>
      </c>
    </row>
    <row r="6845" spans="1:44" hidden="1">
      <c r="A6845" s="1" t="s">
        <v>14339</v>
      </c>
      <c r="C6845" s="1">
        <v>1</v>
      </c>
      <c r="D6845" s="1" t="str">
        <f>"05970"</f>
        <v>05970</v>
      </c>
      <c r="E6845" s="1" t="s">
        <v>169</v>
      </c>
      <c r="F6845" s="1">
        <v>10</v>
      </c>
      <c r="G6845" s="1">
        <v>5</v>
      </c>
      <c r="H6845" s="1">
        <v>0</v>
      </c>
      <c r="I6845" s="1" t="s">
        <v>14327</v>
      </c>
      <c r="K6845" s="1" t="str">
        <f t="shared" si="433"/>
        <v>ㄐ</v>
      </c>
      <c r="L6845" s="1" t="str">
        <f t="shared" si="434"/>
        <v>ㄩ</v>
      </c>
      <c r="M6845" s="1" t="str">
        <f t="shared" si="435"/>
        <v/>
      </c>
      <c r="P6845" s="1" t="s">
        <v>20</v>
      </c>
      <c r="R6845" s="1" t="s">
        <v>14328</v>
      </c>
      <c r="V6845" s="1" t="s">
        <v>14340</v>
      </c>
      <c r="AR6845" s="1" t="str">
        <f t="shared" si="432"/>
        <v>| [ㄐㄩ](ㄐㄩ.md) | [砠](砠.md) |  | jū | [名]
有石頭的土山。《爾雅．釋山》：「土戴石為砠。」晉．郭璞．注：「土山上有石者。」《宋書．卷六七．謝靈運傳》：「山匪砠而是岵，川有清而無濁。」 |</v>
      </c>
    </row>
    <row r="6846" spans="1:44" hidden="1">
      <c r="A6846" s="1" t="s">
        <v>14341</v>
      </c>
      <c r="C6846" s="1">
        <v>1</v>
      </c>
      <c r="D6846" s="1" t="str">
        <f>"05971"</f>
        <v>05971</v>
      </c>
      <c r="E6846" s="1" t="s">
        <v>40</v>
      </c>
      <c r="F6846" s="1">
        <v>10</v>
      </c>
      <c r="G6846" s="1">
        <v>5</v>
      </c>
      <c r="H6846" s="1">
        <v>0</v>
      </c>
      <c r="I6846" s="1" t="s">
        <v>14327</v>
      </c>
      <c r="K6846" s="1" t="str">
        <f t="shared" si="433"/>
        <v>ㄐ</v>
      </c>
      <c r="L6846" s="1" t="str">
        <f t="shared" si="434"/>
        <v>ㄩ</v>
      </c>
      <c r="M6846" s="1" t="str">
        <f t="shared" si="435"/>
        <v/>
      </c>
      <c r="P6846" s="1" t="s">
        <v>20</v>
      </c>
      <c r="R6846" s="1" t="s">
        <v>14328</v>
      </c>
      <c r="V6846" s="1" t="s">
        <v>14342</v>
      </c>
      <c r="AR6846" s="1" t="str">
        <f t="shared" si="432"/>
        <v>| [ㄐㄩ](ㄐㄩ.md) | [疽](疽.md) |  | jū | [名]
一種毒瘡。多生於肩、背、臀等處。明．張自烈《正字通．疒部》：「癰之深者曰疽，疽深而惡，癰淺而大。」《聊齋志異．卷一一．王十》：「（蒺藜）骨朵擊處，皆成巨疽，渾身腐潰，臭不可近。」 |</v>
      </c>
    </row>
    <row r="6847" spans="1:44" hidden="1">
      <c r="A6847" s="1" t="s">
        <v>14343</v>
      </c>
      <c r="C6847" s="1">
        <v>1</v>
      </c>
      <c r="D6847" s="1" t="str">
        <f>"05972"</f>
        <v>05972</v>
      </c>
      <c r="E6847" s="1" t="s">
        <v>118</v>
      </c>
      <c r="F6847" s="1">
        <v>10</v>
      </c>
      <c r="G6847" s="1">
        <v>5</v>
      </c>
      <c r="H6847" s="1">
        <v>0</v>
      </c>
      <c r="I6847" s="1" t="s">
        <v>14327</v>
      </c>
      <c r="K6847" s="1" t="str">
        <f t="shared" si="433"/>
        <v>ㄐ</v>
      </c>
      <c r="L6847" s="1" t="str">
        <f t="shared" si="434"/>
        <v>ㄩ</v>
      </c>
      <c r="M6847" s="1" t="str">
        <f t="shared" si="435"/>
        <v/>
      </c>
      <c r="P6847" s="1" t="s">
        <v>20</v>
      </c>
      <c r="R6847" s="1" t="s">
        <v>14328</v>
      </c>
      <c r="V6847" s="1" t="s">
        <v>14344</v>
      </c>
      <c r="AR6847" s="1" t="str">
        <f t="shared" si="432"/>
        <v>| [ㄐㄩ](ㄐㄩ.md) | [罝](罝.md) |  | jū | [名]
1.捕捉兔子的網。《說文解字．网部》：「罝，兔网也。」《詩經．周南．兔罝》：「肅肅兔罝，施于中林。」
2.泛稱捕捉鳥獸的網子。《文選．張衡．西京賦》：「結罝百里，迒杜蹊塞。」 |</v>
      </c>
    </row>
    <row r="6848" spans="1:44" hidden="1">
      <c r="A6848" s="1" t="s">
        <v>14345</v>
      </c>
      <c r="C6848" s="1">
        <v>1</v>
      </c>
      <c r="D6848" s="1" t="str">
        <f>"05973"</f>
        <v>05973</v>
      </c>
      <c r="E6848" s="1" t="s">
        <v>679</v>
      </c>
      <c r="F6848" s="1">
        <v>11</v>
      </c>
      <c r="G6848" s="1">
        <v>5</v>
      </c>
      <c r="H6848" s="1">
        <v>2</v>
      </c>
      <c r="I6848" s="1" t="s">
        <v>14327</v>
      </c>
      <c r="K6848" s="1" t="str">
        <f t="shared" si="433"/>
        <v>ㄐ</v>
      </c>
      <c r="L6848" s="1" t="str">
        <f t="shared" si="434"/>
        <v>ㄩ</v>
      </c>
      <c r="M6848" s="1" t="str">
        <f t="shared" si="435"/>
        <v/>
      </c>
      <c r="P6848" s="1" t="s">
        <v>20</v>
      </c>
      <c r="R6848" s="1" t="s">
        <v>14328</v>
      </c>
      <c r="V6848" s="1" t="s">
        <v>12981</v>
      </c>
      <c r="W6848" s="1" t="s">
        <v>14346</v>
      </c>
      <c r="AR6848" s="1" t="str">
        <f t="shared" si="432"/>
        <v>| [ㄐㄩ](ㄐㄩ.md) | [蛆](蛆.md) |  | jū | 參見「蝍蛆」條。 |</v>
      </c>
    </row>
    <row r="6849" spans="1:44" hidden="1">
      <c r="A6849" s="1" t="s">
        <v>14347</v>
      </c>
      <c r="C6849" s="1">
        <v>1</v>
      </c>
      <c r="D6849" s="1" t="str">
        <f>"05974"</f>
        <v>05974</v>
      </c>
      <c r="E6849" s="1" t="s">
        <v>4563</v>
      </c>
      <c r="F6849" s="1">
        <v>12</v>
      </c>
      <c r="G6849" s="1">
        <v>5</v>
      </c>
      <c r="H6849" s="1">
        <v>1</v>
      </c>
      <c r="I6849" s="1" t="s">
        <v>14327</v>
      </c>
      <c r="K6849" s="1" t="str">
        <f t="shared" si="433"/>
        <v>ㄐ</v>
      </c>
      <c r="L6849" s="1" t="str">
        <f t="shared" si="434"/>
        <v>ㄩ</v>
      </c>
      <c r="M6849" s="1" t="str">
        <f t="shared" si="435"/>
        <v/>
      </c>
      <c r="P6849" s="1" t="s">
        <v>20</v>
      </c>
      <c r="R6849" s="1" t="s">
        <v>14328</v>
      </c>
      <c r="V6849" s="1" t="s">
        <v>14348</v>
      </c>
      <c r="W6849" s="1" t="s">
        <v>14349</v>
      </c>
      <c r="AR6849" s="1" t="str">
        <f t="shared" si="432"/>
        <v>| [ㄐㄩ](ㄐㄩ.md) | [趄](趄.md) |  | jū | 參見「趑趄」條。 |</v>
      </c>
    </row>
    <row r="6850" spans="1:44" hidden="1">
      <c r="A6850" s="1" t="s">
        <v>14350</v>
      </c>
      <c r="C6850" s="1">
        <v>1</v>
      </c>
      <c r="D6850" s="1" t="str">
        <f>"05975"</f>
        <v>05975</v>
      </c>
      <c r="E6850" s="1" t="s">
        <v>37</v>
      </c>
      <c r="F6850" s="1">
        <v>12</v>
      </c>
      <c r="G6850" s="1">
        <v>8</v>
      </c>
      <c r="H6850" s="1">
        <v>0</v>
      </c>
      <c r="I6850" s="1" t="s">
        <v>14327</v>
      </c>
      <c r="K6850" s="1" t="str">
        <f t="shared" si="433"/>
        <v>ㄐ</v>
      </c>
      <c r="L6850" s="1" t="str">
        <f t="shared" si="434"/>
        <v>ㄩ</v>
      </c>
      <c r="M6850" s="1" t="str">
        <f t="shared" si="435"/>
        <v/>
      </c>
      <c r="P6850" s="1" t="s">
        <v>20</v>
      </c>
      <c r="R6850" s="1" t="s">
        <v>14328</v>
      </c>
      <c r="V6850" s="1" t="s">
        <v>14351</v>
      </c>
      <c r="AR6850" s="1" t="str">
        <f t="shared" si="432"/>
        <v>| [ㄐㄩ](ㄐㄩ.md) | [菹](菹.md) |  | jū | [名]
1.水草叢生的沼澤。《孟子．滕文公下》：「禹掘地而注之海，驅蛇龍而放之菹。」漢．趙岐．注：「菹，澤生草也。」
2.醃菜、鹹菜。《詩經．小雅．信南山》：「疆埸有瓜，是剝是菹。」宋．陸游〈雪夜〉詩：「菜乞鄰家作菹美，酒賒近市帶醅渾。」
3.肉醬。《禮記．少儀》：「麋鹿為菹。」
[動]
剁成肉醬。《漢書．卷二三．刑法志》：「梟其首，菹其骨肉於市。」 |</v>
      </c>
    </row>
    <row r="6851" spans="1:44" hidden="1">
      <c r="A6851" s="1" t="s">
        <v>14352</v>
      </c>
      <c r="C6851" s="1">
        <v>1</v>
      </c>
      <c r="D6851" s="1" t="str">
        <f>"05976"</f>
        <v>05976</v>
      </c>
      <c r="E6851" s="1" t="s">
        <v>37</v>
      </c>
      <c r="F6851" s="1">
        <v>13</v>
      </c>
      <c r="G6851" s="1">
        <v>9</v>
      </c>
      <c r="H6851" s="1">
        <v>0</v>
      </c>
      <c r="I6851" s="1" t="s">
        <v>14327</v>
      </c>
      <c r="K6851" s="1" t="str">
        <f t="shared" si="433"/>
        <v>ㄐ</v>
      </c>
      <c r="L6851" s="1" t="str">
        <f t="shared" si="434"/>
        <v>ㄩ</v>
      </c>
      <c r="M6851" s="1" t="str">
        <f t="shared" si="435"/>
        <v/>
      </c>
      <c r="P6851" s="1" t="s">
        <v>20</v>
      </c>
      <c r="R6851" s="1" t="s">
        <v>14328</v>
      </c>
      <c r="V6851" s="1" t="s">
        <v>14353</v>
      </c>
      <c r="AR6851" s="1" t="str">
        <f t="shared" ref="AR6851:AR6914" si="436">"| ["&amp;I6851&amp;"]("&amp;I6851&amp;".md) | ["&amp;A6851&amp;"]("&amp;A6851&amp;".md) | "&amp;" | "&amp;R6851&amp;" | "&amp;V6851&amp;" |"</f>
        <v>| [ㄐㄩ](ㄐㄩ.md) | [葅](葅.md) |  | jū | 同「菹」。《玉篇．艸部》：「葅，同菹。」 |</v>
      </c>
    </row>
    <row r="6852" spans="1:44" hidden="1">
      <c r="A6852" s="1" t="s">
        <v>14354</v>
      </c>
      <c r="C6852" s="1">
        <v>1</v>
      </c>
      <c r="D6852" s="1" t="str">
        <f>"05977"</f>
        <v>05977</v>
      </c>
      <c r="E6852" s="1" t="s">
        <v>5383</v>
      </c>
      <c r="F6852" s="1">
        <v>13</v>
      </c>
      <c r="G6852" s="1">
        <v>5</v>
      </c>
      <c r="H6852" s="1">
        <v>0</v>
      </c>
      <c r="I6852" s="1" t="s">
        <v>14327</v>
      </c>
      <c r="K6852" s="1" t="str">
        <f t="shared" ref="K6852:K6915" si="437">LEFT(I6852, 1)</f>
        <v>ㄐ</v>
      </c>
      <c r="L6852" s="1" t="str">
        <f t="shared" ref="L6852:L6915" si="438">MID(I6852, 2, 1)</f>
        <v>ㄩ</v>
      </c>
      <c r="M6852" s="1" t="str">
        <f t="shared" ref="M6852:M6915" si="439">MID(I6852, 3, 1)</f>
        <v/>
      </c>
      <c r="P6852" s="1" t="s">
        <v>20</v>
      </c>
      <c r="R6852" s="1" t="s">
        <v>14328</v>
      </c>
      <c r="V6852" s="1" t="s">
        <v>14355</v>
      </c>
      <c r="AR6852" s="1" t="str">
        <f t="shared" si="436"/>
        <v>| [ㄐㄩ](ㄐㄩ.md) | [雎](雎.md) |  | jū | [名]
1.參見「雎鳩」條。
2.姓。如明代有雎稼。 |</v>
      </c>
    </row>
    <row r="6853" spans="1:44" hidden="1">
      <c r="A6853" s="1" t="s">
        <v>14356</v>
      </c>
      <c r="C6853" s="1">
        <v>1</v>
      </c>
      <c r="D6853" s="1" t="str">
        <f>"05978"</f>
        <v>05978</v>
      </c>
      <c r="E6853" s="1" t="s">
        <v>71</v>
      </c>
      <c r="F6853" s="1">
        <v>7</v>
      </c>
      <c r="G6853" s="1">
        <v>0</v>
      </c>
      <c r="H6853" s="1">
        <v>2</v>
      </c>
      <c r="I6853" s="1" t="s">
        <v>14327</v>
      </c>
      <c r="K6853" s="1" t="str">
        <f t="shared" si="437"/>
        <v>ㄐ</v>
      </c>
      <c r="L6853" s="1" t="str">
        <f t="shared" si="438"/>
        <v>ㄩ</v>
      </c>
      <c r="M6853" s="1" t="str">
        <f t="shared" si="439"/>
        <v/>
      </c>
      <c r="P6853" s="1" t="s">
        <v>186</v>
      </c>
      <c r="R6853" s="1" t="s">
        <v>14328</v>
      </c>
      <c r="V6853" s="1" t="s">
        <v>206</v>
      </c>
      <c r="W6853" s="1" t="s">
        <v>14357</v>
      </c>
      <c r="AR6853" s="1" t="str">
        <f t="shared" si="436"/>
        <v>| [ㄐㄩ](ㄐㄩ.md) | [車](車.md) |  | jū | (一)之讀音。 |</v>
      </c>
    </row>
    <row r="6854" spans="1:44" hidden="1">
      <c r="A6854" s="1" t="s">
        <v>14358</v>
      </c>
      <c r="C6854" s="1">
        <v>1</v>
      </c>
      <c r="D6854" s="1" t="str">
        <f>"05979"</f>
        <v>05979</v>
      </c>
      <c r="E6854" s="1" t="s">
        <v>24</v>
      </c>
      <c r="F6854" s="1">
        <v>8</v>
      </c>
      <c r="G6854" s="1">
        <v>5</v>
      </c>
      <c r="H6854" s="1">
        <v>0</v>
      </c>
      <c r="I6854" s="1" t="s">
        <v>14327</v>
      </c>
      <c r="K6854" s="1" t="str">
        <f t="shared" si="437"/>
        <v>ㄐ</v>
      </c>
      <c r="L6854" s="1" t="str">
        <f t="shared" si="438"/>
        <v>ㄩ</v>
      </c>
      <c r="M6854" s="1" t="str">
        <f t="shared" si="439"/>
        <v/>
      </c>
      <c r="P6854" s="1" t="s">
        <v>20</v>
      </c>
      <c r="R6854" s="1" t="s">
        <v>14328</v>
      </c>
      <c r="V6854" s="1" t="s">
        <v>14359</v>
      </c>
      <c r="AR6854" s="1" t="str">
        <f t="shared" si="436"/>
        <v>| [ㄐㄩ](ㄐㄩ.md) | [拘](拘.md) |  | jū | [動]
1.阻止。《說文解字．句部》：「拘，止也。」清．段玉裁．注：「手句者，以手止之也。」《管子．君臣下》：「此止詐、拘姦、厚國、存身之道也。」
2.逮捕、扣押。如：「拘捕」、「拘押」、「拘禁」。《三國演義》第八七回：「汝等皆是好百姓，不幸被孟獲所拘，今受驚諕。」
3.局限、顧忌、受束縛。如：「不拘小節」、「不拘文法」、「無拘無束」。《莊子．秋水》：「井蛙不可以語於海者，拘於虛也。」唐．韓愈〈師說〉：「不拘於時，學於余。」
4.限定、限制。如：「不拘性別」、「多寡不拘」。
[形]
死板、不活潑。如：「拘泥」、「拘謹」。《漢書．卷三〇．藝文志》：「及拘者為之，則牽於禁忌。」 |</v>
      </c>
    </row>
    <row r="6855" spans="1:44" hidden="1">
      <c r="A6855" s="1" t="s">
        <v>14360</v>
      </c>
      <c r="C6855" s="1">
        <v>1</v>
      </c>
      <c r="D6855" s="1" t="str">
        <f>"05980"</f>
        <v>05980</v>
      </c>
      <c r="E6855" s="1" t="s">
        <v>40</v>
      </c>
      <c r="F6855" s="1">
        <v>10</v>
      </c>
      <c r="G6855" s="1">
        <v>5</v>
      </c>
      <c r="H6855" s="1">
        <v>0</v>
      </c>
      <c r="I6855" s="1" t="s">
        <v>14327</v>
      </c>
      <c r="K6855" s="1" t="str">
        <f t="shared" si="437"/>
        <v>ㄐ</v>
      </c>
      <c r="L6855" s="1" t="str">
        <f t="shared" si="438"/>
        <v>ㄩ</v>
      </c>
      <c r="M6855" s="1" t="str">
        <f t="shared" si="439"/>
        <v/>
      </c>
      <c r="P6855" s="1" t="s">
        <v>20</v>
      </c>
      <c r="R6855" s="1" t="s">
        <v>14328</v>
      </c>
      <c r="V6855" s="1" t="s">
        <v>14361</v>
      </c>
      <c r="AR6855" s="1" t="str">
        <f t="shared" si="436"/>
        <v>| [ㄐㄩ](ㄐㄩ.md) | [痀](痀.md) |  | jū | [形]
駝背、背脊彎曲。《說文解字．疒部》：「痀，曲脊也。」《莊子．達生》：「仲尼適楚，出於林中，見痀僂者承蜩，猶掇之也。」 |</v>
      </c>
    </row>
    <row r="6856" spans="1:44" hidden="1">
      <c r="A6856" s="1" t="s">
        <v>14362</v>
      </c>
      <c r="C6856" s="1">
        <v>1</v>
      </c>
      <c r="D6856" s="1" t="str">
        <f>"05981"</f>
        <v>05981</v>
      </c>
      <c r="E6856" s="1" t="s">
        <v>319</v>
      </c>
      <c r="F6856" s="1">
        <v>15</v>
      </c>
      <c r="G6856" s="1">
        <v>5</v>
      </c>
      <c r="H6856" s="1">
        <v>0</v>
      </c>
      <c r="I6856" s="1" t="s">
        <v>14327</v>
      </c>
      <c r="K6856" s="1" t="str">
        <f t="shared" si="437"/>
        <v>ㄐ</v>
      </c>
      <c r="L6856" s="1" t="str">
        <f t="shared" si="438"/>
        <v>ㄩ</v>
      </c>
      <c r="M6856" s="1" t="str">
        <f t="shared" si="439"/>
        <v/>
      </c>
      <c r="P6856" s="1" t="s">
        <v>20</v>
      </c>
      <c r="R6856" s="1" t="s">
        <v>14328</v>
      </c>
      <c r="V6856" s="1" t="s">
        <v>14363</v>
      </c>
      <c r="AR6856" s="1" t="str">
        <f t="shared" si="436"/>
        <v>| [ㄐㄩ](ㄐㄩ.md) | [駒](駒.md) |  | jū | [名]
1.良馬、駿馬。如：「千里駒」。《詩經．周南．漢廣》：「之子于歸，言秣其駒。」唐．李白〈駕去溫泉後贈楊山人〉詩：「幸陪鸞輦出鴻都，身騎飛龍天馬駒。」
2.幼獸。如：「馬駒子」、「驢駒子」。宋．王禹偁〈神童劉少逸與時賢聯句序〉：「真麒麟之駒，鳳凰之雛也。」
3.姓。如周代有駒伯，漢代有駒幾。 |</v>
      </c>
    </row>
    <row r="6857" spans="1:44" hidden="1">
      <c r="A6857" s="1" t="s">
        <v>12866</v>
      </c>
      <c r="C6857" s="1">
        <v>1</v>
      </c>
      <c r="D6857" s="1" t="str">
        <f>"05982"</f>
        <v>05982</v>
      </c>
      <c r="E6857" s="1" t="s">
        <v>871</v>
      </c>
      <c r="F6857" s="1">
        <v>8</v>
      </c>
      <c r="G6857" s="1">
        <v>5</v>
      </c>
      <c r="H6857" s="1">
        <v>1</v>
      </c>
      <c r="I6857" s="1" t="s">
        <v>14327</v>
      </c>
      <c r="K6857" s="1" t="str">
        <f t="shared" si="437"/>
        <v>ㄐ</v>
      </c>
      <c r="L6857" s="1" t="str">
        <f t="shared" si="438"/>
        <v>ㄩ</v>
      </c>
      <c r="M6857" s="1" t="str">
        <f t="shared" si="439"/>
        <v/>
      </c>
      <c r="P6857" s="1" t="s">
        <v>20</v>
      </c>
      <c r="R6857" s="1" t="s">
        <v>14328</v>
      </c>
      <c r="V6857" s="1" t="s">
        <v>14364</v>
      </c>
      <c r="W6857" s="1" t="s">
        <v>14365</v>
      </c>
      <c r="AR6857" s="1" t="str">
        <f t="shared" si="436"/>
        <v>| [ㄐㄩ](ㄐㄩ.md) | [居](居.md) |  | jū | [動]
1.住。《論語．學而》：「居無求安」。《孟子．離婁下》：「顏子當亂世，居於陋巷。」
2.坐下。《論語．陽貨》：「居，吾語汝。」
3.存積、儲存。如：「奇貨可居」。《漢書．卷五九．張湯傳》：「信輒先知之，居物致富，與湯分之。」
4.處、位於。《孟子．離婁上》：「居下位而不獲於上。」唐．劉禹錫〈詠史〉詩二首之二：「同遇漢文時，何人居貴位？」
5.占有。《晉書．卷三四．羊祜傳》：「天下不如意，恆十居七八。」
6.存有、懷著。如：「居心叵測」。
[名]
1.住所。如：「故居」、「新居」、「遷居」。
2.住宅、茶樓、飯館等場所的稱號用字。如：「為善長樂居」、「明湖居」、「德林居」。
3.姓。如明代有居節。 |</v>
      </c>
    </row>
    <row r="6858" spans="1:44" hidden="1">
      <c r="A6858" s="1" t="s">
        <v>14366</v>
      </c>
      <c r="C6858" s="1">
        <v>1</v>
      </c>
      <c r="D6858" s="1" t="str">
        <f>"05983"</f>
        <v>05983</v>
      </c>
      <c r="E6858" s="1" t="s">
        <v>24</v>
      </c>
      <c r="F6858" s="1">
        <v>11</v>
      </c>
      <c r="G6858" s="1">
        <v>8</v>
      </c>
      <c r="H6858" s="1">
        <v>1</v>
      </c>
      <c r="I6858" s="1" t="s">
        <v>14327</v>
      </c>
      <c r="K6858" s="1" t="str">
        <f t="shared" si="437"/>
        <v>ㄐ</v>
      </c>
      <c r="L6858" s="1" t="str">
        <f t="shared" si="438"/>
        <v>ㄩ</v>
      </c>
      <c r="M6858" s="1" t="str">
        <f t="shared" si="439"/>
        <v/>
      </c>
      <c r="P6858" s="1" t="s">
        <v>20</v>
      </c>
      <c r="R6858" s="1" t="s">
        <v>14328</v>
      </c>
      <c r="V6858" s="1" t="s">
        <v>13406</v>
      </c>
      <c r="W6858" s="1" t="s">
        <v>14367</v>
      </c>
      <c r="AR6858" s="1" t="str">
        <f t="shared" si="436"/>
        <v>| [ㄐㄩ](ㄐㄩ.md) | [据](据.md) |  | jū | 參見「拮据」條。 |</v>
      </c>
    </row>
    <row r="6859" spans="1:44" hidden="1">
      <c r="A6859" s="1" t="s">
        <v>14368</v>
      </c>
      <c r="C6859" s="1">
        <v>1</v>
      </c>
      <c r="D6859" s="1" t="str">
        <f>"05984"</f>
        <v>05984</v>
      </c>
      <c r="E6859" s="1" t="s">
        <v>142</v>
      </c>
      <c r="F6859" s="1">
        <v>12</v>
      </c>
      <c r="G6859" s="1">
        <v>8</v>
      </c>
      <c r="H6859" s="1">
        <v>0</v>
      </c>
      <c r="I6859" s="1" t="s">
        <v>14327</v>
      </c>
      <c r="K6859" s="1" t="str">
        <f t="shared" si="437"/>
        <v>ㄐ</v>
      </c>
      <c r="L6859" s="1" t="str">
        <f t="shared" si="438"/>
        <v>ㄩ</v>
      </c>
      <c r="M6859" s="1" t="str">
        <f t="shared" si="439"/>
        <v/>
      </c>
      <c r="P6859" s="1" t="s">
        <v>20</v>
      </c>
      <c r="R6859" s="1" t="s">
        <v>14328</v>
      </c>
      <c r="V6859" s="1" t="s">
        <v>14369</v>
      </c>
      <c r="AR6859" s="1" t="str">
        <f t="shared" si="436"/>
        <v>| [ㄐㄩ](ㄐㄩ.md) | [琚](琚.md) |  | jū | [名]
古代佩帶在身上的玉。《詩經．衛風．木瓜》：「投我以木瓜，報之以瓊琚。」文選．曹植〈洛神賦〉：「披羅衣之璀粲兮，珥瑤碧之華琚。」 |</v>
      </c>
    </row>
    <row r="6860" spans="1:44" hidden="1">
      <c r="A6860" s="1" t="s">
        <v>14370</v>
      </c>
      <c r="C6860" s="1">
        <v>1</v>
      </c>
      <c r="D6860" s="1" t="str">
        <f>"05985"</f>
        <v>05985</v>
      </c>
      <c r="E6860" s="1" t="s">
        <v>139</v>
      </c>
      <c r="F6860" s="1">
        <v>12</v>
      </c>
      <c r="G6860" s="1">
        <v>8</v>
      </c>
      <c r="H6860" s="1">
        <v>0</v>
      </c>
      <c r="I6860" s="1" t="s">
        <v>14327</v>
      </c>
      <c r="K6860" s="1" t="str">
        <f t="shared" si="437"/>
        <v>ㄐ</v>
      </c>
      <c r="L6860" s="1" t="str">
        <f t="shared" si="438"/>
        <v>ㄩ</v>
      </c>
      <c r="M6860" s="1" t="str">
        <f t="shared" si="439"/>
        <v/>
      </c>
      <c r="P6860" s="1" t="s">
        <v>20</v>
      </c>
      <c r="R6860" s="1" t="s">
        <v>14328</v>
      </c>
      <c r="V6860" s="1" t="s">
        <v>14371</v>
      </c>
      <c r="AR6860" s="1" t="str">
        <f t="shared" si="436"/>
        <v>| [ㄐㄩ](ㄐㄩ.md) | [椐](椐.md) |  | jū | [名]
一種古書上記載的樹。多枝節，可作枴杖。《集韻．上聲．語韻》：「椐，木名。腫節可為杖。」《詩經．大雅．皇矣》：「啟之辟之，其檉其椐。」也稱為「靈壽木」。 |</v>
      </c>
    </row>
    <row r="6861" spans="1:44" hidden="1">
      <c r="A6861" s="1" t="s">
        <v>14372</v>
      </c>
      <c r="C6861" s="1">
        <v>1</v>
      </c>
      <c r="D6861" s="1" t="str">
        <f>"05986"</f>
        <v>05986</v>
      </c>
      <c r="E6861" s="1" t="s">
        <v>68</v>
      </c>
      <c r="F6861" s="1">
        <v>12</v>
      </c>
      <c r="G6861" s="1">
        <v>8</v>
      </c>
      <c r="H6861" s="1">
        <v>0</v>
      </c>
      <c r="I6861" s="1" t="s">
        <v>14327</v>
      </c>
      <c r="K6861" s="1" t="str">
        <f t="shared" si="437"/>
        <v>ㄐ</v>
      </c>
      <c r="L6861" s="1" t="str">
        <f t="shared" si="438"/>
        <v>ㄩ</v>
      </c>
      <c r="M6861" s="1" t="str">
        <f t="shared" si="439"/>
        <v/>
      </c>
      <c r="P6861" s="1" t="s">
        <v>20</v>
      </c>
      <c r="R6861" s="1" t="s">
        <v>14328</v>
      </c>
      <c r="V6861" s="1" t="s">
        <v>14373</v>
      </c>
      <c r="AR6861" s="1" t="str">
        <f t="shared" si="436"/>
        <v>| [ㄐㄩ](ㄐㄩ.md) | [腒](腒.md) |  | jū | [名]
鳥類的乾肉。《說文解字．肉部》：「腒，北方謂鳥腊腒。」漢．王充《論衡．語增》：「言堯、舜若腊與腒，桀、紂垂腴尺餘，增之也。」 |</v>
      </c>
    </row>
    <row r="6862" spans="1:44" hidden="1">
      <c r="A6862" s="1" t="s">
        <v>14374</v>
      </c>
      <c r="C6862" s="1">
        <v>1</v>
      </c>
      <c r="D6862" s="1" t="str">
        <f>"05987"</f>
        <v>05987</v>
      </c>
      <c r="E6862" s="1" t="s">
        <v>340</v>
      </c>
      <c r="F6862" s="1">
        <v>14</v>
      </c>
      <c r="G6862" s="1">
        <v>8</v>
      </c>
      <c r="H6862" s="1">
        <v>0</v>
      </c>
      <c r="I6862" s="1" t="s">
        <v>14327</v>
      </c>
      <c r="K6862" s="1" t="str">
        <f t="shared" si="437"/>
        <v>ㄐ</v>
      </c>
      <c r="L6862" s="1" t="str">
        <f t="shared" si="438"/>
        <v>ㄩ</v>
      </c>
      <c r="M6862" s="1" t="str">
        <f t="shared" si="439"/>
        <v/>
      </c>
      <c r="P6862" s="1" t="s">
        <v>20</v>
      </c>
      <c r="R6862" s="1" t="s">
        <v>14328</v>
      </c>
      <c r="V6862" s="1" t="s">
        <v>14375</v>
      </c>
      <c r="AR6862" s="1" t="str">
        <f t="shared" si="436"/>
        <v>| [ㄐㄩ](ㄐㄩ.md) | [裾](裾.md) |  | jū | [名]
衣服的後襟。《爾雅．釋器》：「衱謂之裾。」晉．郭璞．注：「衣後襟也。」《漢書．卷五一．鄒陽傳》：「飾固陋之心，則何王之門不可曳長裾乎？」宋．文同〈晚至村家〉詩：「舊裾飄風採桑去，白袷卷水秧稻歸。」 |</v>
      </c>
    </row>
    <row r="6863" spans="1:44" hidden="1">
      <c r="A6863" s="1" t="s">
        <v>14376</v>
      </c>
      <c r="C6863" s="1">
        <v>1</v>
      </c>
      <c r="D6863" s="1" t="str">
        <f>"05988"</f>
        <v>05988</v>
      </c>
      <c r="E6863" s="1" t="s">
        <v>55</v>
      </c>
      <c r="F6863" s="1">
        <v>16</v>
      </c>
      <c r="G6863" s="1">
        <v>8</v>
      </c>
      <c r="H6863" s="1">
        <v>2</v>
      </c>
      <c r="I6863" s="1" t="s">
        <v>14327</v>
      </c>
      <c r="K6863" s="1" t="str">
        <f t="shared" si="437"/>
        <v>ㄐ</v>
      </c>
      <c r="L6863" s="1" t="str">
        <f t="shared" si="438"/>
        <v>ㄩ</v>
      </c>
      <c r="M6863" s="1" t="str">
        <f t="shared" si="439"/>
        <v/>
      </c>
      <c r="P6863" s="1" t="s">
        <v>20</v>
      </c>
      <c r="R6863" s="1" t="s">
        <v>14328</v>
      </c>
      <c r="V6863" s="1" t="s">
        <v>14377</v>
      </c>
      <c r="W6863" s="1" t="s">
        <v>14378</v>
      </c>
      <c r="AR6863" s="1" t="str">
        <f t="shared" si="436"/>
        <v>| [ㄐㄩ](ㄐㄩ.md) | [鋸](鋸.md) |  | jū | [動]
用一種特製的兩腳鉤釘，綴合、接補破裂的陶、瓷等器具。如：「鋸碗」、「鋸盆」。 |</v>
      </c>
    </row>
    <row r="6864" spans="1:44" hidden="1">
      <c r="A6864" s="1" t="s">
        <v>14379</v>
      </c>
      <c r="C6864" s="1">
        <v>1</v>
      </c>
      <c r="D6864" s="1" t="str">
        <f>"05989"</f>
        <v>05989</v>
      </c>
      <c r="E6864" s="1" t="s">
        <v>272</v>
      </c>
      <c r="F6864" s="1">
        <v>19</v>
      </c>
      <c r="G6864" s="1">
        <v>8</v>
      </c>
      <c r="H6864" s="1">
        <v>0</v>
      </c>
      <c r="I6864" s="1" t="s">
        <v>14327</v>
      </c>
      <c r="K6864" s="1" t="str">
        <f t="shared" si="437"/>
        <v>ㄐ</v>
      </c>
      <c r="L6864" s="1" t="str">
        <f t="shared" si="438"/>
        <v>ㄩ</v>
      </c>
      <c r="M6864" s="1" t="str">
        <f t="shared" si="439"/>
        <v/>
      </c>
      <c r="P6864" s="1" t="s">
        <v>20</v>
      </c>
      <c r="R6864" s="1" t="s">
        <v>14328</v>
      </c>
      <c r="V6864" s="1" t="s">
        <v>14380</v>
      </c>
      <c r="AR6864" s="1" t="str">
        <f t="shared" si="436"/>
        <v>| [ㄐㄩ](ㄐㄩ.md) | [鶋](鶋.md) |  | jū | 參見「鶢鶋」、「鵯鶋」等條。 |</v>
      </c>
    </row>
    <row r="6865" spans="1:44" hidden="1">
      <c r="A6865" s="1" t="s">
        <v>14381</v>
      </c>
      <c r="C6865" s="1">
        <v>1</v>
      </c>
      <c r="D6865" s="1" t="str">
        <f>"05990"</f>
        <v>05990</v>
      </c>
      <c r="E6865" s="1" t="s">
        <v>114</v>
      </c>
      <c r="F6865" s="1">
        <v>10</v>
      </c>
      <c r="G6865" s="1">
        <v>8</v>
      </c>
      <c r="H6865" s="1">
        <v>2</v>
      </c>
      <c r="I6865" s="1" t="s">
        <v>14327</v>
      </c>
      <c r="K6865" s="1" t="str">
        <f t="shared" si="437"/>
        <v>ㄐ</v>
      </c>
      <c r="L6865" s="1" t="str">
        <f t="shared" si="438"/>
        <v>ㄩ</v>
      </c>
      <c r="M6865" s="1" t="str">
        <f t="shared" si="439"/>
        <v/>
      </c>
      <c r="P6865" s="1" t="s">
        <v>110</v>
      </c>
      <c r="R6865" s="1" t="s">
        <v>14328</v>
      </c>
      <c r="V6865" s="1" t="s">
        <v>111</v>
      </c>
      <c r="W6865" s="1" t="s">
        <v>14382</v>
      </c>
      <c r="AR6865" s="1" t="str">
        <f t="shared" si="436"/>
        <v>| [ㄐㄩ](ㄐㄩ.md) | [俱](俱.md) |  | jū | (一)之又音。 |</v>
      </c>
    </row>
    <row r="6866" spans="1:44" hidden="1">
      <c r="A6866" s="1" t="s">
        <v>13223</v>
      </c>
      <c r="C6866" s="1">
        <v>1</v>
      </c>
      <c r="D6866" s="1" t="str">
        <f>"05474"</f>
        <v>05474</v>
      </c>
      <c r="E6866" s="1" t="s">
        <v>245</v>
      </c>
      <c r="F6866" s="1">
        <v>5</v>
      </c>
      <c r="G6866" s="1">
        <v>3</v>
      </c>
      <c r="H6866" s="1">
        <v>0</v>
      </c>
      <c r="I6866" s="1" t="s">
        <v>13224</v>
      </c>
      <c r="K6866" s="1" t="str">
        <f t="shared" si="437"/>
        <v>ㄐ</v>
      </c>
      <c r="L6866" s="1" t="str">
        <f t="shared" si="438"/>
        <v>ㄧ</v>
      </c>
      <c r="M6866" s="1" t="str">
        <f t="shared" si="439"/>
        <v>ㄚ</v>
      </c>
      <c r="P6866" s="1" t="s">
        <v>20</v>
      </c>
      <c r="R6866" s="1" t="s">
        <v>13225</v>
      </c>
      <c r="V6866" s="1" t="s">
        <v>13226</v>
      </c>
      <c r="AR6866" s="1" t="str">
        <f t="shared" si="436"/>
        <v>| [ㄐㄧㄚ](ㄐㄧㄚ.md) | [加](加.md) |  | jiā | [動]
1.算法上，指兩個數值的結合。如：「3加5等於8。」
2.將一物放在另一物的上面。如：「花生米加豆腐干，滋味勝火腿。」《莊子．馬蹄》：「夫加之以衡軛。」
3.置（刑）或施（恩）。唐．韓愈〈送李愿歸盤谷序〉：「車服不維，刀鋸不加，理亂不知，黜陟不聞。」宋．歐陽修〈瀧岡阡表〉：「逢國大慶，必加寵錫。」
4.增益。如：「增加」、「加股」。《論語．子路》：「既富矣，又何加焉？」唐．韓愈〈答李翊書〉：「加其膏而希其光。」
5.參見「加以」條。
[副]
更。《孟子．梁惠王上》：「鄰國之民不加少，寡人之民不加多。」宋．王安石〈遊褒禪山記〉：「蓋其又深，則其至又加少矣。」
[名]
1.數學上的運算方法之一。參見「加法」條。
2.姓。如漢代有加特奴。 |</v>
      </c>
    </row>
    <row r="6867" spans="1:44" hidden="1">
      <c r="A6867" s="1" t="s">
        <v>13227</v>
      </c>
      <c r="C6867" s="1">
        <v>1</v>
      </c>
      <c r="D6867" s="1" t="str">
        <f>"05475"</f>
        <v>05475</v>
      </c>
      <c r="E6867" s="1" t="s">
        <v>114</v>
      </c>
      <c r="F6867" s="1">
        <v>7</v>
      </c>
      <c r="G6867" s="1">
        <v>5</v>
      </c>
      <c r="H6867" s="1">
        <v>2</v>
      </c>
      <c r="I6867" s="1" t="s">
        <v>13224</v>
      </c>
      <c r="K6867" s="1" t="str">
        <f t="shared" si="437"/>
        <v>ㄐ</v>
      </c>
      <c r="L6867" s="1" t="str">
        <f t="shared" si="438"/>
        <v>ㄧ</v>
      </c>
      <c r="M6867" s="1" t="str">
        <f t="shared" si="439"/>
        <v>ㄚ</v>
      </c>
      <c r="P6867" s="1" t="s">
        <v>20</v>
      </c>
      <c r="R6867" s="1" t="s">
        <v>13225</v>
      </c>
      <c r="V6867" s="1" t="s">
        <v>13228</v>
      </c>
      <c r="W6867" s="1" t="s">
        <v>13229</v>
      </c>
      <c r="AR6867" s="1" t="str">
        <f t="shared" si="436"/>
        <v>| [ㄐㄧㄚ](ㄐㄧㄚ.md) | [伽](伽.md) |  | jiā | [名]
譯音用字。為外語譯音所常用。如：「伽馬」、「伽利略」。 |</v>
      </c>
    </row>
    <row r="6868" spans="1:44" hidden="1">
      <c r="A6868" s="1" t="s">
        <v>13230</v>
      </c>
      <c r="C6868" s="1">
        <v>1</v>
      </c>
      <c r="D6868" s="1" t="str">
        <f>"05476"</f>
        <v>05476</v>
      </c>
      <c r="E6868" s="1" t="s">
        <v>142</v>
      </c>
      <c r="F6868" s="1">
        <v>9</v>
      </c>
      <c r="G6868" s="1">
        <v>5</v>
      </c>
      <c r="H6868" s="1">
        <v>0</v>
      </c>
      <c r="I6868" s="1" t="s">
        <v>13224</v>
      </c>
      <c r="K6868" s="1" t="str">
        <f t="shared" si="437"/>
        <v>ㄐ</v>
      </c>
      <c r="L6868" s="1" t="str">
        <f t="shared" si="438"/>
        <v>ㄧ</v>
      </c>
      <c r="M6868" s="1" t="str">
        <f t="shared" si="439"/>
        <v>ㄚ</v>
      </c>
      <c r="P6868" s="1" t="s">
        <v>20</v>
      </c>
      <c r="R6868" s="1" t="s">
        <v>13225</v>
      </c>
      <c r="V6868" s="1" t="s">
        <v>13231</v>
      </c>
      <c r="AR6868" s="1" t="str">
        <f t="shared" si="436"/>
        <v>| [ㄐㄧㄚ](ㄐㄧㄚ.md) | [珈](珈.md) |  | jiā | [名]
古代婦人的首飾。《詩經．鄘風．君子偕老》：「君子偕老，副笄六珈。」 |</v>
      </c>
    </row>
    <row r="6869" spans="1:44" hidden="1">
      <c r="A6869" s="1" t="s">
        <v>13232</v>
      </c>
      <c r="C6869" s="1">
        <v>1</v>
      </c>
      <c r="D6869" s="1" t="str">
        <f>"05477"</f>
        <v>05477</v>
      </c>
      <c r="E6869" s="1" t="s">
        <v>139</v>
      </c>
      <c r="F6869" s="1">
        <v>9</v>
      </c>
      <c r="G6869" s="1">
        <v>5</v>
      </c>
      <c r="H6869" s="1">
        <v>0</v>
      </c>
      <c r="I6869" s="1" t="s">
        <v>13224</v>
      </c>
      <c r="K6869" s="1" t="str">
        <f t="shared" si="437"/>
        <v>ㄐ</v>
      </c>
      <c r="L6869" s="1" t="str">
        <f t="shared" si="438"/>
        <v>ㄧ</v>
      </c>
      <c r="M6869" s="1" t="str">
        <f t="shared" si="439"/>
        <v>ㄚ</v>
      </c>
      <c r="P6869" s="1" t="s">
        <v>20</v>
      </c>
      <c r="R6869" s="1" t="s">
        <v>13225</v>
      </c>
      <c r="V6869" s="1" t="s">
        <v>13233</v>
      </c>
      <c r="AR6869" s="1" t="str">
        <f t="shared" si="436"/>
        <v>| [ㄐㄧㄚ](ㄐㄧㄚ.md) | [枷](枷.md) |  | jiā | [名]
1.古時套在犯人脖子上的刑具。用木板製成。如：「枷鎖」、「披枷帶鎖」。
2.擱置衣物的器具。通「架」。《禮記．曲禮上》：「男女不雜坐，不同椸枷。」 |</v>
      </c>
    </row>
    <row r="6870" spans="1:44" hidden="1">
      <c r="A6870" s="1" t="s">
        <v>13234</v>
      </c>
      <c r="C6870" s="1">
        <v>1</v>
      </c>
      <c r="D6870" s="1" t="str">
        <f>"05478"</f>
        <v>05478</v>
      </c>
      <c r="E6870" s="1" t="s">
        <v>37</v>
      </c>
      <c r="F6870" s="1">
        <v>9</v>
      </c>
      <c r="G6870" s="1">
        <v>5</v>
      </c>
      <c r="H6870" s="1">
        <v>2</v>
      </c>
      <c r="I6870" s="1" t="s">
        <v>13224</v>
      </c>
      <c r="K6870" s="1" t="str">
        <f t="shared" si="437"/>
        <v>ㄐ</v>
      </c>
      <c r="L6870" s="1" t="str">
        <f t="shared" si="438"/>
        <v>ㄧ</v>
      </c>
      <c r="M6870" s="1" t="str">
        <f t="shared" si="439"/>
        <v>ㄚ</v>
      </c>
      <c r="P6870" s="1" t="s">
        <v>20</v>
      </c>
      <c r="R6870" s="1" t="s">
        <v>13225</v>
      </c>
      <c r="V6870" s="1" t="s">
        <v>13235</v>
      </c>
      <c r="W6870" s="1" t="s">
        <v>13236</v>
      </c>
      <c r="AR6870" s="1" t="str">
        <f t="shared" si="436"/>
        <v>| [ㄐㄧㄚ](ㄐㄧㄚ.md) | [茄](茄.md) |  | jiā | [名]
1.荷莖。《文選．張衡．西京賦》：「蔕倒茄於藻井，披紅葩之狎獵。」《文選．何晏．景福殿賦》：「茄密倒植，吐被芙蕖。」
2.譯音用字。如：「雪茄」、「茄克」。 |</v>
      </c>
    </row>
    <row r="6871" spans="1:44" hidden="1">
      <c r="A6871" s="1" t="s">
        <v>13237</v>
      </c>
      <c r="C6871" s="1">
        <v>1</v>
      </c>
      <c r="D6871" s="1" t="str">
        <f>"05479"</f>
        <v>05479</v>
      </c>
      <c r="E6871" s="1" t="s">
        <v>558</v>
      </c>
      <c r="F6871" s="1">
        <v>9</v>
      </c>
      <c r="G6871" s="1">
        <v>5</v>
      </c>
      <c r="H6871" s="1">
        <v>0</v>
      </c>
      <c r="I6871" s="1" t="s">
        <v>13224</v>
      </c>
      <c r="K6871" s="1" t="str">
        <f t="shared" si="437"/>
        <v>ㄐ</v>
      </c>
      <c r="L6871" s="1" t="str">
        <f t="shared" si="438"/>
        <v>ㄧ</v>
      </c>
      <c r="M6871" s="1" t="str">
        <f t="shared" si="439"/>
        <v>ㄚ</v>
      </c>
      <c r="P6871" s="1" t="s">
        <v>20</v>
      </c>
      <c r="R6871" s="1" t="s">
        <v>13225</v>
      </c>
      <c r="V6871" s="1" t="s">
        <v>13238</v>
      </c>
      <c r="AR6871" s="1" t="str">
        <f t="shared" si="436"/>
        <v>| [ㄐㄧㄚ](ㄐㄧㄚ.md) | [迦](迦.md) |  | jiā | [名]
譯音用字。為藏經譯音所常用。如：「迦葉」、「迦蘭陀」。 |</v>
      </c>
    </row>
    <row r="6872" spans="1:44" hidden="1">
      <c r="A6872" s="1" t="s">
        <v>13239</v>
      </c>
      <c r="C6872" s="1">
        <v>1</v>
      </c>
      <c r="D6872" s="1" t="str">
        <f>"05480"</f>
        <v>05480</v>
      </c>
      <c r="E6872" s="1" t="s">
        <v>40</v>
      </c>
      <c r="F6872" s="1">
        <v>10</v>
      </c>
      <c r="G6872" s="1">
        <v>5</v>
      </c>
      <c r="H6872" s="1">
        <v>0</v>
      </c>
      <c r="I6872" s="1" t="s">
        <v>13224</v>
      </c>
      <c r="K6872" s="1" t="str">
        <f t="shared" si="437"/>
        <v>ㄐ</v>
      </c>
      <c r="L6872" s="1" t="str">
        <f t="shared" si="438"/>
        <v>ㄧ</v>
      </c>
      <c r="M6872" s="1" t="str">
        <f t="shared" si="439"/>
        <v>ㄚ</v>
      </c>
      <c r="P6872" s="1" t="s">
        <v>20</v>
      </c>
      <c r="R6872" s="1" t="s">
        <v>13225</v>
      </c>
      <c r="V6872" s="1" t="s">
        <v>13240</v>
      </c>
      <c r="AR6872" s="1" t="str">
        <f t="shared" si="436"/>
        <v>| [ㄐㄧㄚ](ㄐㄧㄚ.md) | [痂](痂.md) |  | jiā | [名]
傷口痊癒時，由血小板、膠原蛋白和廢死細胞等凝結而成的硬塊。 |</v>
      </c>
    </row>
    <row r="6873" spans="1:44" hidden="1">
      <c r="A6873" s="1" t="s">
        <v>13241</v>
      </c>
      <c r="C6873" s="1">
        <v>1</v>
      </c>
      <c r="D6873" s="1" t="str">
        <f>"05481"</f>
        <v>05481</v>
      </c>
      <c r="E6873" s="1" t="s">
        <v>49</v>
      </c>
      <c r="F6873" s="1">
        <v>11</v>
      </c>
      <c r="G6873" s="1">
        <v>5</v>
      </c>
      <c r="H6873" s="1">
        <v>0</v>
      </c>
      <c r="I6873" s="1" t="s">
        <v>13224</v>
      </c>
      <c r="K6873" s="1" t="str">
        <f t="shared" si="437"/>
        <v>ㄐ</v>
      </c>
      <c r="L6873" s="1" t="str">
        <f t="shared" si="438"/>
        <v>ㄧ</v>
      </c>
      <c r="M6873" s="1" t="str">
        <f t="shared" si="439"/>
        <v>ㄚ</v>
      </c>
      <c r="P6873" s="1" t="s">
        <v>20</v>
      </c>
      <c r="R6873" s="1" t="s">
        <v>13225</v>
      </c>
      <c r="V6873" s="1" t="s">
        <v>13242</v>
      </c>
      <c r="AR6873" s="1" t="str">
        <f t="shared" si="436"/>
        <v>| [ㄐㄧㄚ](ㄐㄧㄚ.md) | [笳](笳.md) |  | jiā | [名]
樂器名，吹管樂器。即胡笳。參見「胡笳」條。 |</v>
      </c>
    </row>
    <row r="6874" spans="1:44" hidden="1">
      <c r="A6874" s="1" t="s">
        <v>13243</v>
      </c>
      <c r="C6874" s="1">
        <v>1</v>
      </c>
      <c r="D6874" s="1" t="str">
        <f>"05482"</f>
        <v>05482</v>
      </c>
      <c r="E6874" s="1" t="s">
        <v>109</v>
      </c>
      <c r="F6874" s="1">
        <v>11</v>
      </c>
      <c r="G6874" s="1">
        <v>5</v>
      </c>
      <c r="H6874" s="1">
        <v>0</v>
      </c>
      <c r="I6874" s="1" t="s">
        <v>13224</v>
      </c>
      <c r="K6874" s="1" t="str">
        <f t="shared" si="437"/>
        <v>ㄐ</v>
      </c>
      <c r="L6874" s="1" t="str">
        <f t="shared" si="438"/>
        <v>ㄧ</v>
      </c>
      <c r="M6874" s="1" t="str">
        <f t="shared" si="439"/>
        <v>ㄚ</v>
      </c>
      <c r="P6874" s="1" t="s">
        <v>20</v>
      </c>
      <c r="R6874" s="1" t="s">
        <v>13225</v>
      </c>
      <c r="V6874" s="1" t="s">
        <v>13244</v>
      </c>
      <c r="AR6874" s="1" t="str">
        <f t="shared" si="436"/>
        <v>| [ㄐㄧㄚ](ㄐㄧㄚ.md) | [耞](耞.md) |  | jiā | [名]
一種農具。用來擊禾。參見「連枷」條。 |</v>
      </c>
    </row>
    <row r="6875" spans="1:44" hidden="1">
      <c r="A6875" s="1" t="s">
        <v>13245</v>
      </c>
      <c r="C6875" s="1">
        <v>1</v>
      </c>
      <c r="D6875" s="1" t="str">
        <f>"05483"</f>
        <v>05483</v>
      </c>
      <c r="E6875" s="1" t="s">
        <v>340</v>
      </c>
      <c r="F6875" s="1">
        <v>11</v>
      </c>
      <c r="G6875" s="1">
        <v>5</v>
      </c>
      <c r="H6875" s="1">
        <v>0</v>
      </c>
      <c r="I6875" s="1" t="s">
        <v>13224</v>
      </c>
      <c r="K6875" s="1" t="str">
        <f t="shared" si="437"/>
        <v>ㄐ</v>
      </c>
      <c r="L6875" s="1" t="str">
        <f t="shared" si="438"/>
        <v>ㄧ</v>
      </c>
      <c r="M6875" s="1" t="str">
        <f t="shared" si="439"/>
        <v>ㄚ</v>
      </c>
      <c r="P6875" s="1" t="s">
        <v>20</v>
      </c>
      <c r="R6875" s="1" t="s">
        <v>13225</v>
      </c>
      <c r="V6875" s="1" t="s">
        <v>13246</v>
      </c>
      <c r="AR6875" s="1" t="str">
        <f t="shared" si="436"/>
        <v>| [ㄐㄧㄚ](ㄐㄧㄚ.md) | [袈](袈.md) |  | jiā | 參見「袈裟」條。 |</v>
      </c>
    </row>
    <row r="6876" spans="1:44" hidden="1">
      <c r="A6876" s="1" t="s">
        <v>13247</v>
      </c>
      <c r="C6876" s="1">
        <v>1</v>
      </c>
      <c r="D6876" s="1" t="str">
        <f>"05484"</f>
        <v>05484</v>
      </c>
      <c r="E6876" s="1" t="s">
        <v>77</v>
      </c>
      <c r="F6876" s="1">
        <v>12</v>
      </c>
      <c r="G6876" s="1">
        <v>5</v>
      </c>
      <c r="H6876" s="1">
        <v>0</v>
      </c>
      <c r="I6876" s="1" t="s">
        <v>13224</v>
      </c>
      <c r="K6876" s="1" t="str">
        <f t="shared" si="437"/>
        <v>ㄐ</v>
      </c>
      <c r="L6876" s="1" t="str">
        <f t="shared" si="438"/>
        <v>ㄧ</v>
      </c>
      <c r="M6876" s="1" t="str">
        <f t="shared" si="439"/>
        <v>ㄚ</v>
      </c>
      <c r="P6876" s="1" t="s">
        <v>20</v>
      </c>
      <c r="R6876" s="1" t="s">
        <v>13225</v>
      </c>
      <c r="V6876" s="1" t="s">
        <v>13248</v>
      </c>
      <c r="AR6876" s="1" t="str">
        <f t="shared" si="436"/>
        <v>| [ㄐㄧㄚ](ㄐㄧㄚ.md) | [跏](跏.md) |  | jiā | 參見「跏趺」條。 |</v>
      </c>
    </row>
    <row r="6877" spans="1:44" hidden="1">
      <c r="A6877" s="1" t="s">
        <v>13249</v>
      </c>
      <c r="C6877" s="1">
        <v>1</v>
      </c>
      <c r="D6877" s="1" t="str">
        <f>"05485"</f>
        <v>05485</v>
      </c>
      <c r="E6877" s="1" t="s">
        <v>28</v>
      </c>
      <c r="F6877" s="1">
        <v>14</v>
      </c>
      <c r="G6877" s="1">
        <v>11</v>
      </c>
      <c r="H6877" s="1">
        <v>0</v>
      </c>
      <c r="I6877" s="1" t="s">
        <v>13224</v>
      </c>
      <c r="K6877" s="1" t="str">
        <f t="shared" si="437"/>
        <v>ㄐ</v>
      </c>
      <c r="L6877" s="1" t="str">
        <f t="shared" si="438"/>
        <v>ㄧ</v>
      </c>
      <c r="M6877" s="1" t="str">
        <f t="shared" si="439"/>
        <v>ㄚ</v>
      </c>
      <c r="P6877" s="1" t="s">
        <v>20</v>
      </c>
      <c r="R6877" s="1" t="s">
        <v>13225</v>
      </c>
      <c r="V6877" s="1" t="s">
        <v>13250</v>
      </c>
      <c r="AR6877" s="1" t="str">
        <f t="shared" si="436"/>
        <v>| [ㄐㄧㄚ](ㄐㄧㄚ.md) | [嘉](嘉.md) |  | jiā | [形]
美好的。如：「嘉名」、「嘉賓」。《詩經．豳風．東山》：「其新孔嘉，其舊如之何？」唐．柳宗元〈永州韋使君新堂記〉：「茂樹惡木，嘉葩毒卉，亂雜而爭植。」
[動]
讚美、誇獎。如：「嘉獎」、「嘉許」、「其志可嘉」。《論語．子張》：「嘉善而矜不能。」唐．韓愈〈師說〉：「余嘉其能行古道，作師說以貽之。」
[名]
姓。如元代有嘉兆。 |</v>
      </c>
    </row>
    <row r="6878" spans="1:44" hidden="1">
      <c r="A6878" s="1" t="s">
        <v>13251</v>
      </c>
      <c r="C6878" s="1">
        <v>1</v>
      </c>
      <c r="D6878" s="1" t="str">
        <f>"05486"</f>
        <v>05486</v>
      </c>
      <c r="E6878" s="1" t="s">
        <v>272</v>
      </c>
      <c r="F6878" s="1">
        <v>16</v>
      </c>
      <c r="G6878" s="1">
        <v>5</v>
      </c>
      <c r="H6878" s="1">
        <v>0</v>
      </c>
      <c r="I6878" s="1" t="s">
        <v>13224</v>
      </c>
      <c r="K6878" s="1" t="str">
        <f t="shared" si="437"/>
        <v>ㄐ</v>
      </c>
      <c r="L6878" s="1" t="str">
        <f t="shared" si="438"/>
        <v>ㄧ</v>
      </c>
      <c r="M6878" s="1" t="str">
        <f t="shared" si="439"/>
        <v>ㄚ</v>
      </c>
      <c r="P6878" s="1" t="s">
        <v>20</v>
      </c>
      <c r="R6878" s="1" t="s">
        <v>13225</v>
      </c>
      <c r="V6878" s="1" t="s">
        <v>13252</v>
      </c>
      <c r="AR6878" s="1" t="str">
        <f t="shared" si="436"/>
        <v>| [ㄐㄧㄚ](ㄐㄧㄚ.md) | [鴐](鴐.md) |  | jiā | [名]
鴐鵝：古時一種鴻雁。《文選．張衡．西京賦》：「鳥則鷫鷞鴰鴇，鴐鵝鴻鶤。」 |</v>
      </c>
    </row>
    <row r="6879" spans="1:44" hidden="1">
      <c r="A6879" s="1" t="s">
        <v>13253</v>
      </c>
      <c r="C6879" s="1">
        <v>1</v>
      </c>
      <c r="D6879" s="1" t="str">
        <f>"05487"</f>
        <v>05487</v>
      </c>
      <c r="E6879" s="1" t="s">
        <v>563</v>
      </c>
      <c r="F6879" s="1">
        <v>7</v>
      </c>
      <c r="G6879" s="1">
        <v>4</v>
      </c>
      <c r="H6879" s="1">
        <v>2</v>
      </c>
      <c r="I6879" s="1" t="s">
        <v>13224</v>
      </c>
      <c r="K6879" s="1" t="str">
        <f t="shared" si="437"/>
        <v>ㄐ</v>
      </c>
      <c r="L6879" s="1" t="str">
        <f t="shared" si="438"/>
        <v>ㄧ</v>
      </c>
      <c r="M6879" s="1" t="str">
        <f t="shared" si="439"/>
        <v>ㄚ</v>
      </c>
      <c r="P6879" s="1" t="s">
        <v>110</v>
      </c>
      <c r="R6879" s="1" t="s">
        <v>13225</v>
      </c>
      <c r="V6879" s="1" t="s">
        <v>111</v>
      </c>
      <c r="W6879" s="1" t="s">
        <v>13254</v>
      </c>
      <c r="AR6879" s="1" t="str">
        <f t="shared" si="436"/>
        <v>| [ㄐㄧㄚ](ㄐㄧㄚ.md) | [夾](夾.md) |  | jiā | (一)之又音。 |</v>
      </c>
    </row>
    <row r="6880" spans="1:44" hidden="1">
      <c r="A6880" s="1" t="s">
        <v>13255</v>
      </c>
      <c r="C6880" s="1">
        <v>1</v>
      </c>
      <c r="D6880" s="1" t="str">
        <f>"05488"</f>
        <v>05488</v>
      </c>
      <c r="E6880" s="1" t="s">
        <v>114</v>
      </c>
      <c r="F6880" s="1">
        <v>8</v>
      </c>
      <c r="G6880" s="1">
        <v>6</v>
      </c>
      <c r="H6880" s="1">
        <v>0</v>
      </c>
      <c r="I6880" s="1" t="s">
        <v>13224</v>
      </c>
      <c r="K6880" s="1" t="str">
        <f t="shared" si="437"/>
        <v>ㄐ</v>
      </c>
      <c r="L6880" s="1" t="str">
        <f t="shared" si="438"/>
        <v>ㄧ</v>
      </c>
      <c r="M6880" s="1" t="str">
        <f t="shared" si="439"/>
        <v>ㄚ</v>
      </c>
      <c r="P6880" s="1" t="s">
        <v>20</v>
      </c>
      <c r="R6880" s="1" t="s">
        <v>13225</v>
      </c>
      <c r="V6880" s="1" t="s">
        <v>13256</v>
      </c>
      <c r="AR6880" s="1" t="str">
        <f t="shared" si="436"/>
        <v>| [ㄐㄧㄚ](ㄐㄧㄚ.md) | [佳](佳.md) |  | jiā | [形]
美、好。如：「佳人」、「佳景」、「佳音」。《文選．曹植．與楊德祖書》：「文之佳惡，吾自得之。」《文選．陶淵明．雜詩二首之一》：「山氣日夕佳，飛鳥相與還。」
[名]
姓。如明代有佳正。 |</v>
      </c>
    </row>
    <row r="6881" spans="1:44" hidden="1">
      <c r="A6881" s="1" t="s">
        <v>10112</v>
      </c>
      <c r="C6881" s="1">
        <v>1</v>
      </c>
      <c r="D6881" s="1" t="str">
        <f>"05489"</f>
        <v>05489</v>
      </c>
      <c r="E6881" s="1" t="s">
        <v>624</v>
      </c>
      <c r="F6881" s="1">
        <v>10</v>
      </c>
      <c r="G6881" s="1">
        <v>7</v>
      </c>
      <c r="H6881" s="1">
        <v>1</v>
      </c>
      <c r="I6881" s="1" t="s">
        <v>13224</v>
      </c>
      <c r="K6881" s="1" t="str">
        <f t="shared" si="437"/>
        <v>ㄐ</v>
      </c>
      <c r="L6881" s="1" t="str">
        <f t="shared" si="438"/>
        <v>ㄧ</v>
      </c>
      <c r="M6881" s="1" t="str">
        <f t="shared" si="439"/>
        <v>ㄚ</v>
      </c>
      <c r="P6881" s="1" t="s">
        <v>20</v>
      </c>
      <c r="R6881" s="1" t="s">
        <v>13225</v>
      </c>
      <c r="V6881" s="1" t="s">
        <v>13257</v>
      </c>
      <c r="W6881" s="1" t="s">
        <v>13258</v>
      </c>
      <c r="AR6881" s="1" t="str">
        <f t="shared" si="436"/>
        <v>| [ㄐㄧㄚ](ㄐㄧㄚ.md) | [家](家.md) |  | jiā | [名]
1.眷屬共同生活的場所。如：「家庭」、「回家」。唐．賀知章〈回鄉偶書〉詩二首之一：「少小離家老大回，鄉音無改鬢毛衰。」
2.一門之內共同生活的人。《呂氏春秋．先識覽．察微》：「吳人應之不恭，怒殺而去之，吳人往報之，盡屠其家。」
3.學術流派。如：「儒家」、「道家」、「百家爭鳴」、「一家之言」。
4.經營某種行業或具有某種身分的人。如：「農家」、「商家」、「店家」、「少東家」。
5.尊稱學有專長或有專門技術的人。如：「專家」、「文學家」、「科學家」。
6.自稱或稱別人。如：「自家」、「咱家」、「哀家」、「姑娘家」、「小孩子家」、「婦道人家」。
7.古代大夫所統治的政治區域。與「國」相對。《論語．季氏》：「丘也聞有國有家者，不患寡而患不均，不患貧而患不安。」
8.私有財產。《韓非子．外儲說左上》：「夫賣庸而播耕者，主人費家而美食。」《史記．卷八五．呂不韋傳》：「諸嫪毐舍人皆沒其家而遷之蜀。」
9.量詞。計算家庭、店鋪、大型企業等的單位。如：「住戶不滿十家」、「三家報社」、「只此一家，別無分號。」、「開了三家分公司。」
10. 姓。如周代有家伯。
[動]
居住。《文選．江淹．別賦》：「又若君居淄右，妾家河陽。」
[形]
1.對人謙稱自己的親長。如：「家父」、「家母」、「家兄」。
2.家中的。如：「家事」、「家人」、「家產」、「家業」、「家僮」。
3.家中飼養的。如：「家畜」、「家禽」。
[助]
置於句中。相當於「地」、「的」。元．蕭德祥《殺狗勸夫》第二折：「他道俺哥哥十分家沉醉，且吃些兒熱湯熱水。」《西遊記》第五一回：「大碗家寬懷暢飲。」 |</v>
      </c>
    </row>
    <row r="6882" spans="1:44" hidden="1">
      <c r="A6882" s="1" t="s">
        <v>13259</v>
      </c>
      <c r="C6882" s="1">
        <v>1</v>
      </c>
      <c r="D6882" s="1" t="str">
        <f>"05490"</f>
        <v>05490</v>
      </c>
      <c r="E6882" s="1" t="s">
        <v>114</v>
      </c>
      <c r="F6882" s="1">
        <v>12</v>
      </c>
      <c r="G6882" s="1">
        <v>10</v>
      </c>
      <c r="H6882" s="1">
        <v>0</v>
      </c>
      <c r="I6882" s="1" t="s">
        <v>13224</v>
      </c>
      <c r="K6882" s="1" t="str">
        <f t="shared" si="437"/>
        <v>ㄐ</v>
      </c>
      <c r="L6882" s="1" t="str">
        <f t="shared" si="438"/>
        <v>ㄧ</v>
      </c>
      <c r="M6882" s="1" t="str">
        <f t="shared" si="439"/>
        <v>ㄚ</v>
      </c>
      <c r="P6882" s="1" t="s">
        <v>20</v>
      </c>
      <c r="R6882" s="1" t="s">
        <v>13225</v>
      </c>
      <c r="V6882" s="1" t="s">
        <v>13260</v>
      </c>
      <c r="AR6882" s="1" t="str">
        <f t="shared" si="436"/>
        <v>| [ㄐㄧㄚ](ㄐㄧㄚ.md) | [傢](傢.md) |  | jiā | 參見「傢伙」、「傢伙座兒」等條。 |</v>
      </c>
    </row>
    <row r="6883" spans="1:44" hidden="1">
      <c r="A6883" s="1" t="s">
        <v>13261</v>
      </c>
      <c r="C6883" s="1">
        <v>1</v>
      </c>
      <c r="D6883" s="1" t="str">
        <f>"05491"</f>
        <v>05491</v>
      </c>
      <c r="E6883" s="1" t="s">
        <v>55</v>
      </c>
      <c r="F6883" s="1">
        <v>18</v>
      </c>
      <c r="G6883" s="1">
        <v>10</v>
      </c>
      <c r="H6883" s="1">
        <v>0</v>
      </c>
      <c r="I6883" s="1" t="s">
        <v>13224</v>
      </c>
      <c r="K6883" s="1" t="str">
        <f t="shared" si="437"/>
        <v>ㄐ</v>
      </c>
      <c r="L6883" s="1" t="str">
        <f t="shared" si="438"/>
        <v>ㄧ</v>
      </c>
      <c r="M6883" s="1" t="str">
        <f t="shared" si="439"/>
        <v>ㄚ</v>
      </c>
      <c r="P6883" s="1" t="s">
        <v>20</v>
      </c>
      <c r="R6883" s="1" t="s">
        <v>13225</v>
      </c>
      <c r="V6883" s="1" t="s">
        <v>13262</v>
      </c>
      <c r="AR6883" s="1" t="str">
        <f t="shared" si="436"/>
        <v>| [ㄐㄧㄚ](ㄐㄧㄚ.md) | [鎵](鎵.md) |  | jiā | [名]
（gallium，Ga）化學元素。原子序31。銀白色金屬，質軟、熔點低（攝氏三十度）。在自然界中，常微量分散於鋁礬土礦、閃鋅礦等礦石中。可製作耐高溫的溫度計，並作光學玻璃、合金、真空管的原料。又因具超導電性質，導電速度快、耗電又少，是製造半導體的重要材料。 |</v>
      </c>
    </row>
    <row r="6884" spans="1:44" hidden="1">
      <c r="A6884" s="1" t="s">
        <v>13263</v>
      </c>
      <c r="C6884" s="1">
        <v>1</v>
      </c>
      <c r="D6884" s="1" t="str">
        <f>"05492"</f>
        <v>05492</v>
      </c>
      <c r="E6884" s="1" t="s">
        <v>198</v>
      </c>
      <c r="F6884" s="1">
        <v>12</v>
      </c>
      <c r="G6884" s="1">
        <v>9</v>
      </c>
      <c r="H6884" s="1">
        <v>0</v>
      </c>
      <c r="I6884" s="1" t="s">
        <v>13224</v>
      </c>
      <c r="K6884" s="1" t="str">
        <f t="shared" si="437"/>
        <v>ㄐ</v>
      </c>
      <c r="L6884" s="1" t="str">
        <f t="shared" si="438"/>
        <v>ㄧ</v>
      </c>
      <c r="M6884" s="1" t="str">
        <f t="shared" si="439"/>
        <v>ㄚ</v>
      </c>
      <c r="P6884" s="1" t="s">
        <v>20</v>
      </c>
      <c r="R6884" s="1" t="s">
        <v>13225</v>
      </c>
      <c r="V6884" s="1" t="s">
        <v>13264</v>
      </c>
      <c r="AR6884" s="1" t="str">
        <f t="shared" si="436"/>
        <v>| [ㄐㄧㄚ](ㄐㄧㄚ.md) | [猳](猳.md) |  | jiā | [名]
1.猴子一類的動物。唐．段成式《酉陽雜俎．卷四．境異》：「南交猴，有子曰溪；北通玃猳，所育為傖。」
2.豬。同「豭」。宋．蘇軾〈朱亥墓誌〉：「進承其頤，視如豚猳。」 |</v>
      </c>
    </row>
    <row r="6885" spans="1:44" hidden="1">
      <c r="A6885" s="1" t="s">
        <v>13265</v>
      </c>
      <c r="C6885" s="1">
        <v>1</v>
      </c>
      <c r="D6885" s="1" t="str">
        <f>"05493"</f>
        <v>05493</v>
      </c>
      <c r="E6885" s="1" t="s">
        <v>37</v>
      </c>
      <c r="F6885" s="1">
        <v>13</v>
      </c>
      <c r="G6885" s="1">
        <v>9</v>
      </c>
      <c r="H6885" s="1">
        <v>0</v>
      </c>
      <c r="I6885" s="1" t="s">
        <v>13224</v>
      </c>
      <c r="K6885" s="1" t="str">
        <f t="shared" si="437"/>
        <v>ㄐ</v>
      </c>
      <c r="L6885" s="1" t="str">
        <f t="shared" si="438"/>
        <v>ㄧ</v>
      </c>
      <c r="M6885" s="1" t="str">
        <f t="shared" si="439"/>
        <v>ㄚ</v>
      </c>
      <c r="P6885" s="1" t="s">
        <v>20</v>
      </c>
      <c r="R6885" s="1" t="s">
        <v>13225</v>
      </c>
      <c r="V6885" s="1" t="s">
        <v>13266</v>
      </c>
      <c r="AR6885" s="1" t="str">
        <f t="shared" si="436"/>
        <v>| [ㄐㄧㄚ](ㄐㄧㄚ.md) | [葭](葭.md) |  | jiā | [名]
1.蘆葦。或特指初生的蘆葦。《說文解字．艸部》：「葭，葦之未秀者。」《詩經．秦風．蒹葭》：「蒹葭蒼蒼，白露為霜。」宋．文同〈晚至村家〉詩：「深葭繞澗牛散臥，積麥滿場雞亂飛。」
2.樂器名，吹管樂器。通「笳」。漢．張衡〈西京賦〉：「發引和，校鳴葭，奏淮南，度陽阿。」參見「胡笳」條。
3.姓。如漢代有葭眾。 |</v>
      </c>
    </row>
    <row r="6886" spans="1:44" hidden="1">
      <c r="A6886" s="1" t="s">
        <v>13267</v>
      </c>
      <c r="C6886" s="1">
        <v>1</v>
      </c>
      <c r="D6886" s="1" t="str">
        <f>"05494"</f>
        <v>05494</v>
      </c>
      <c r="E6886" s="1" t="s">
        <v>52</v>
      </c>
      <c r="F6886" s="1">
        <v>16</v>
      </c>
      <c r="G6886" s="1">
        <v>9</v>
      </c>
      <c r="H6886" s="1">
        <v>0</v>
      </c>
      <c r="I6886" s="1" t="s">
        <v>13224</v>
      </c>
      <c r="K6886" s="1" t="str">
        <f t="shared" si="437"/>
        <v>ㄐ</v>
      </c>
      <c r="L6886" s="1" t="str">
        <f t="shared" si="438"/>
        <v>ㄧ</v>
      </c>
      <c r="M6886" s="1" t="str">
        <f t="shared" si="439"/>
        <v>ㄚ</v>
      </c>
      <c r="P6886" s="1" t="s">
        <v>20</v>
      </c>
      <c r="R6886" s="1" t="s">
        <v>13225</v>
      </c>
      <c r="V6886" s="1" t="s">
        <v>13268</v>
      </c>
      <c r="AR6886" s="1" t="str">
        <f t="shared" si="436"/>
        <v>| [ㄐㄧㄚ](ㄐㄧㄚ.md) | [豭](豭.md) |  | jiā | [名]
1.公豬。《左傳．隱公十一年》：「鄭伯使卒出豭，行出犬雞，以詛射穎考叔者。」唐．孔穎達．正義：「豭，謂豕之牡者。」
2.泛指豬。清．王念孫《廣雅疏證．卷一〇下．釋獸》：「豭，豕也。」疏證：「豭為牡豕，又為豕之通稱；猶豬為豕子，又為豕之通稱矣。」 |</v>
      </c>
    </row>
    <row r="6887" spans="1:44" hidden="1">
      <c r="A6887" s="1" t="s">
        <v>13253</v>
      </c>
      <c r="C6887" s="1">
        <v>1</v>
      </c>
      <c r="D6887" s="1" t="str">
        <f>"05495"</f>
        <v>05495</v>
      </c>
      <c r="E6887" s="1" t="s">
        <v>563</v>
      </c>
      <c r="F6887" s="1">
        <v>7</v>
      </c>
      <c r="G6887" s="1">
        <v>4</v>
      </c>
      <c r="H6887" s="1">
        <v>1</v>
      </c>
      <c r="I6887" s="1" t="s">
        <v>13269</v>
      </c>
      <c r="K6887" s="1" t="str">
        <f t="shared" si="437"/>
        <v>ㄐ</v>
      </c>
      <c r="L6887" s="1" t="str">
        <f t="shared" si="438"/>
        <v>ㄧ</v>
      </c>
      <c r="M6887" s="1" t="str">
        <f t="shared" si="439"/>
        <v>ㄚ</v>
      </c>
      <c r="P6887" s="1" t="s">
        <v>20</v>
      </c>
      <c r="R6887" s="1" t="s">
        <v>13270</v>
      </c>
      <c r="V6887" s="1" t="s">
        <v>13271</v>
      </c>
      <c r="W6887" s="1" t="s">
        <v>13272</v>
      </c>
      <c r="AR6887" s="1" t="str">
        <f t="shared" si="436"/>
        <v>| [ㄐㄧㄚˊ](ㄐㄧㄚˊ.md) | [夾](夾.md) |  | jiá | [動]
1.從相對的兩方使力，使中間的物體受鉗而不動。如：「分從左右夾住他。」、「兩腿夾緊！」、「用筷子夾菜。」
2.將東西放在腋下，以胳膊使勁帶緊。如：「夾著書包」。
3.用夾棍行刑。《初刻拍案驚奇》卷一一：「喝叫左右夾將起來，快快招出奸謀便罷。」
4.攙雜、雜和。如：「這文章白話夾文言，似通非通。」、「狂風夾著暴雨而來。」
[名]
1.鉗物的工具，有的有柄。如：「髮夾」、「衣夾」、「炭火夾」。
2.可包藏物品的扁平文具或皮包。如：「講義夾」、「公文夾」、「書夾」、「皮夾」。
[形]
雙層的。如：「夾層」。
[副]
1.左右包抄的。如：「左右夾攻」、「夾擊」。
2.暗藏的。如：「夾帶毒品」。 |</v>
      </c>
    </row>
    <row r="6888" spans="1:44" hidden="1">
      <c r="A6888" s="1" t="s">
        <v>13273</v>
      </c>
      <c r="C6888" s="1">
        <v>1</v>
      </c>
      <c r="D6888" s="1" t="str">
        <f>"05496"</f>
        <v>05496</v>
      </c>
      <c r="E6888" s="1" t="s">
        <v>114</v>
      </c>
      <c r="F6888" s="1">
        <v>9</v>
      </c>
      <c r="G6888" s="1">
        <v>7</v>
      </c>
      <c r="H6888" s="1">
        <v>2</v>
      </c>
      <c r="I6888" s="1" t="s">
        <v>13269</v>
      </c>
      <c r="K6888" s="1" t="str">
        <f t="shared" si="437"/>
        <v>ㄐ</v>
      </c>
      <c r="L6888" s="1" t="str">
        <f t="shared" si="438"/>
        <v>ㄧ</v>
      </c>
      <c r="M6888" s="1" t="str">
        <f t="shared" si="439"/>
        <v>ㄚ</v>
      </c>
      <c r="P6888" s="1" t="s">
        <v>20</v>
      </c>
      <c r="R6888" s="1" t="s">
        <v>13270</v>
      </c>
      <c r="V6888" s="1" t="s">
        <v>13274</v>
      </c>
      <c r="W6888" s="1" t="s">
        <v>13275</v>
      </c>
      <c r="AR6888" s="1" t="str">
        <f t="shared" si="436"/>
        <v>| [ㄐㄧㄚˊ](ㄐㄧㄚˊ.md) | [俠](俠.md) |  | jiá | [動]
夾住。通「夾」。《淮南子．道應》：「兩蛟俠繞其船。」 |</v>
      </c>
    </row>
    <row r="6889" spans="1:44" hidden="1">
      <c r="A6889" s="1" t="s">
        <v>13276</v>
      </c>
      <c r="C6889" s="1">
        <v>1</v>
      </c>
      <c r="D6889" s="1" t="str">
        <f>"05497"</f>
        <v>05497</v>
      </c>
      <c r="E6889" s="1" t="s">
        <v>129</v>
      </c>
      <c r="F6889" s="1">
        <v>10</v>
      </c>
      <c r="G6889" s="1">
        <v>7</v>
      </c>
      <c r="H6889" s="1">
        <v>0</v>
      </c>
      <c r="I6889" s="1" t="s">
        <v>13269</v>
      </c>
      <c r="K6889" s="1" t="str">
        <f t="shared" si="437"/>
        <v>ㄐ</v>
      </c>
      <c r="L6889" s="1" t="str">
        <f t="shared" si="438"/>
        <v>ㄧ</v>
      </c>
      <c r="M6889" s="1" t="str">
        <f t="shared" si="439"/>
        <v>ㄚ</v>
      </c>
      <c r="P6889" s="1" t="s">
        <v>20</v>
      </c>
      <c r="R6889" s="1" t="s">
        <v>13270</v>
      </c>
      <c r="V6889" s="1" t="s">
        <v>13277</v>
      </c>
      <c r="AR6889" s="1" t="str">
        <f t="shared" si="436"/>
        <v>| [ㄐㄧㄚˊ](ㄐㄧㄚˊ.md) | [浹](浹.md) |  | jiá | [動]
1.透澈、浸透。《淮南子．原道》：「不浸於肌膚，不浹於骨髓。」《後漢書．卷一〇．獻帝伏皇后傳》：「操出，顧左右，汗流浹背。」
2.通達。《荀子．解蔽》：「其所以貫理焉，雖億萬已不足浹萬物之變，與愚者若一。」
3.循環一周。如天干由甲日至癸日稱為「浹日」；地支由子日至亥日稱為「浹辰」。
[形]
融洽。唐．韓愈〈新修滕王閣記〉：「其歲九月，人吏浹和。」
[副]
遍。明．徐弘祖《徐霞客遊記．卷一〇上．滇遊日記十二》：「山雨忽來，傾盆倒峽，浹地交流。」 |</v>
      </c>
    </row>
    <row r="6890" spans="1:44" hidden="1">
      <c r="A6890" s="1" t="s">
        <v>13278</v>
      </c>
      <c r="C6890" s="1">
        <v>1</v>
      </c>
      <c r="D6890" s="1" t="str">
        <f>"05498"</f>
        <v>05498</v>
      </c>
      <c r="E6890" s="1" t="s">
        <v>24</v>
      </c>
      <c r="F6890" s="1">
        <v>10</v>
      </c>
      <c r="G6890" s="1">
        <v>7</v>
      </c>
      <c r="H6890" s="1">
        <v>3</v>
      </c>
      <c r="I6890" s="1" t="s">
        <v>13269</v>
      </c>
      <c r="K6890" s="1" t="str">
        <f t="shared" si="437"/>
        <v>ㄐ</v>
      </c>
      <c r="L6890" s="1" t="str">
        <f t="shared" si="438"/>
        <v>ㄧ</v>
      </c>
      <c r="M6890" s="1" t="str">
        <f t="shared" si="439"/>
        <v>ㄚ</v>
      </c>
      <c r="P6890" s="1" t="s">
        <v>20</v>
      </c>
      <c r="R6890" s="1" t="s">
        <v>13270</v>
      </c>
      <c r="V6890" s="1" t="s">
        <v>13279</v>
      </c>
      <c r="W6890" s="1" t="s">
        <v>13280</v>
      </c>
      <c r="AR6890" s="1" t="str">
        <f t="shared" si="436"/>
        <v>| [ㄐㄧㄚˊ](ㄐㄧㄚˊ.md) | [挾](挾.md) |  | jiá | [動]
1.通達。《詩經．大雅．大明》：「天位殷適，使不挾四方。」
2.夾取。通「夾」。《莊子．駢拇》：「問臧奚事，則挾策讀書。」《舊五代史．卷一二七．周書．盧文紀傳》：「旭旦以箸挾之，首得文紀之名。」
[形]
周匝、周遍。《荀子．禮論》：「於是其中焉方皇周挾，曲得其次序，是聖人也。」唐．楊倞．注：「浹，匝也。」 |</v>
      </c>
    </row>
    <row r="6891" spans="1:44" hidden="1">
      <c r="A6891" s="1" t="s">
        <v>13281</v>
      </c>
      <c r="C6891" s="1">
        <v>1</v>
      </c>
      <c r="D6891" s="1" t="str">
        <f>"05499"</f>
        <v>05499</v>
      </c>
      <c r="E6891" s="1" t="s">
        <v>256</v>
      </c>
      <c r="F6891" s="1">
        <v>10</v>
      </c>
      <c r="G6891" s="1">
        <v>7</v>
      </c>
      <c r="H6891" s="1">
        <v>0</v>
      </c>
      <c r="I6891" s="1" t="s">
        <v>13269</v>
      </c>
      <c r="K6891" s="1" t="str">
        <f t="shared" si="437"/>
        <v>ㄐ</v>
      </c>
      <c r="L6891" s="1" t="str">
        <f t="shared" si="438"/>
        <v>ㄧ</v>
      </c>
      <c r="M6891" s="1" t="str">
        <f t="shared" si="439"/>
        <v>ㄚ</v>
      </c>
      <c r="P6891" s="1" t="s">
        <v>20</v>
      </c>
      <c r="R6891" s="1" t="s">
        <v>13270</v>
      </c>
      <c r="V6891" s="1" t="s">
        <v>13282</v>
      </c>
      <c r="AR6891" s="1" t="str">
        <f t="shared" si="436"/>
        <v>| [ㄐㄧㄚˊ](ㄐㄧㄚˊ.md) | [郟](郟.md) |  | jiá | [名]
1.郟縣：縣名。在大陸地區河南省省境中部，許昌縣以西。
2.郟山：山名。在大陸地區河南省洛陽縣北。也稱為「北邙山」。
3.姓。如春秋時鄭國有郟張。 |</v>
      </c>
    </row>
    <row r="6892" spans="1:44" hidden="1">
      <c r="A6892" s="1" t="s">
        <v>13283</v>
      </c>
      <c r="C6892" s="1">
        <v>1</v>
      </c>
      <c r="D6892" s="1" t="str">
        <f>"05500"</f>
        <v>05500</v>
      </c>
      <c r="E6892" s="1" t="s">
        <v>139</v>
      </c>
      <c r="F6892" s="1">
        <v>11</v>
      </c>
      <c r="G6892" s="1">
        <v>7</v>
      </c>
      <c r="H6892" s="1">
        <v>1</v>
      </c>
      <c r="I6892" s="1" t="s">
        <v>13269</v>
      </c>
      <c r="K6892" s="1" t="str">
        <f t="shared" si="437"/>
        <v>ㄐ</v>
      </c>
      <c r="L6892" s="1" t="str">
        <f t="shared" si="438"/>
        <v>ㄧ</v>
      </c>
      <c r="M6892" s="1" t="str">
        <f t="shared" si="439"/>
        <v>ㄚ</v>
      </c>
      <c r="P6892" s="1" t="s">
        <v>20</v>
      </c>
      <c r="R6892" s="1" t="s">
        <v>13270</v>
      </c>
      <c r="V6892" s="1" t="s">
        <v>13284</v>
      </c>
      <c r="W6892" s="1" t="s">
        <v>13285</v>
      </c>
      <c r="AR6892" s="1" t="str">
        <f t="shared" si="436"/>
        <v>| [ㄐㄧㄚˊ](ㄐㄧㄚˊ.md) | [梜](梜.md) |  | jiá | 參見「梜提」條。 |</v>
      </c>
    </row>
    <row r="6893" spans="1:44" hidden="1">
      <c r="A6893" s="1" t="s">
        <v>13286</v>
      </c>
      <c r="C6893" s="1">
        <v>1</v>
      </c>
      <c r="D6893" s="1" t="str">
        <f>"05501"</f>
        <v>05501</v>
      </c>
      <c r="E6893" s="1" t="s">
        <v>37</v>
      </c>
      <c r="F6893" s="1">
        <v>11</v>
      </c>
      <c r="G6893" s="1">
        <v>7</v>
      </c>
      <c r="H6893" s="1">
        <v>0</v>
      </c>
      <c r="I6893" s="1" t="s">
        <v>13269</v>
      </c>
      <c r="K6893" s="1" t="str">
        <f t="shared" si="437"/>
        <v>ㄐ</v>
      </c>
      <c r="L6893" s="1" t="str">
        <f t="shared" si="438"/>
        <v>ㄧ</v>
      </c>
      <c r="M6893" s="1" t="str">
        <f t="shared" si="439"/>
        <v>ㄚ</v>
      </c>
      <c r="P6893" s="1" t="s">
        <v>20</v>
      </c>
      <c r="R6893" s="1" t="s">
        <v>13270</v>
      </c>
      <c r="V6893" s="1" t="s">
        <v>13287</v>
      </c>
      <c r="AR6893" s="1" t="str">
        <f t="shared" si="436"/>
        <v>| [ㄐㄧㄚˊ](ㄐㄧㄚˊ.md) | [莢](莢.md) |  | jiá | [名]
1.「莢果」之俗稱，參見「莢果」條。如：「豆莢」、「皂莢」。
2.榆科榆樹之乾燥「翅果」和十字花科之「角果」，古時亦混稱「莢」。唐．韓愈〈晚春〉詩：「楊花榆莢無情思，惟解漫天作雪飛」；宋．范成大〈初夏〉詩二首之一：「桑葉露枝蠶向老，菜花成莢蝶飛來。」也稱為「莢果」。
3.姓。如春秋時晉國有莢成僖子。 |</v>
      </c>
    </row>
    <row r="6894" spans="1:44" hidden="1">
      <c r="A6894" s="1" t="s">
        <v>13288</v>
      </c>
      <c r="C6894" s="1">
        <v>1</v>
      </c>
      <c r="D6894" s="1" t="str">
        <f>"05502"</f>
        <v>05502</v>
      </c>
      <c r="E6894" s="1" t="s">
        <v>679</v>
      </c>
      <c r="F6894" s="1">
        <v>13</v>
      </c>
      <c r="G6894" s="1">
        <v>7</v>
      </c>
      <c r="H6894" s="1">
        <v>0</v>
      </c>
      <c r="I6894" s="1" t="s">
        <v>13269</v>
      </c>
      <c r="K6894" s="1" t="str">
        <f t="shared" si="437"/>
        <v>ㄐ</v>
      </c>
      <c r="L6894" s="1" t="str">
        <f t="shared" si="438"/>
        <v>ㄧ</v>
      </c>
      <c r="M6894" s="1" t="str">
        <f t="shared" si="439"/>
        <v>ㄚ</v>
      </c>
      <c r="P6894" s="1" t="s">
        <v>20</v>
      </c>
      <c r="R6894" s="1" t="s">
        <v>13270</v>
      </c>
      <c r="V6894" s="1" t="s">
        <v>13289</v>
      </c>
      <c r="AR6894" s="1" t="str">
        <f t="shared" si="436"/>
        <v>| [ㄐㄧㄚˊ](ㄐㄧㄚˊ.md) | [蛺](蛺.md) |  | jiá | 參見「蛺蝶」條。 |</v>
      </c>
    </row>
    <row r="6895" spans="1:44" hidden="1">
      <c r="A6895" s="1" t="s">
        <v>13290</v>
      </c>
      <c r="C6895" s="1">
        <v>1</v>
      </c>
      <c r="D6895" s="1" t="str">
        <f>"05503"</f>
        <v>05503</v>
      </c>
      <c r="E6895" s="1" t="s">
        <v>331</v>
      </c>
      <c r="F6895" s="1">
        <v>14</v>
      </c>
      <c r="G6895" s="1">
        <v>7</v>
      </c>
      <c r="H6895" s="1">
        <v>0</v>
      </c>
      <c r="I6895" s="1" t="s">
        <v>13269</v>
      </c>
      <c r="K6895" s="1" t="str">
        <f t="shared" si="437"/>
        <v>ㄐ</v>
      </c>
      <c r="L6895" s="1" t="str">
        <f t="shared" si="438"/>
        <v>ㄧ</v>
      </c>
      <c r="M6895" s="1" t="str">
        <f t="shared" si="439"/>
        <v>ㄚ</v>
      </c>
      <c r="P6895" s="1" t="s">
        <v>20</v>
      </c>
      <c r="R6895" s="1" t="s">
        <v>13270</v>
      </c>
      <c r="V6895" s="1" t="s">
        <v>13291</v>
      </c>
      <c r="AR6895" s="1" t="str">
        <f t="shared" si="436"/>
        <v>| [ㄐㄧㄚˊ](ㄐㄧㄚˊ.md) | [䛟](䛟.md) |  | jiá | [形]
口不擇言、隨便說話的樣子。《玉篇．言部》：「䛟，妄語也。」 |</v>
      </c>
    </row>
    <row r="6896" spans="1:44" hidden="1">
      <c r="A6896" s="1" t="s">
        <v>13292</v>
      </c>
      <c r="C6896" s="1">
        <v>1</v>
      </c>
      <c r="D6896" s="1" t="str">
        <f>"05504"</f>
        <v>05504</v>
      </c>
      <c r="E6896" s="1" t="s">
        <v>55</v>
      </c>
      <c r="F6896" s="1">
        <v>15</v>
      </c>
      <c r="G6896" s="1">
        <v>7</v>
      </c>
      <c r="H6896" s="1">
        <v>0</v>
      </c>
      <c r="I6896" s="1" t="s">
        <v>13269</v>
      </c>
      <c r="K6896" s="1" t="str">
        <f t="shared" si="437"/>
        <v>ㄐ</v>
      </c>
      <c r="L6896" s="1" t="str">
        <f t="shared" si="438"/>
        <v>ㄧ</v>
      </c>
      <c r="M6896" s="1" t="str">
        <f t="shared" si="439"/>
        <v>ㄚ</v>
      </c>
      <c r="P6896" s="1" t="s">
        <v>20</v>
      </c>
      <c r="R6896" s="1" t="s">
        <v>13270</v>
      </c>
      <c r="V6896" s="1" t="s">
        <v>13293</v>
      </c>
      <c r="AR6896" s="1" t="str">
        <f t="shared" si="436"/>
        <v>| [ㄐㄧㄚˊ](ㄐㄧㄚˊ.md) | [鋏](鋏.md) |  | jiá | [名]
1.鉗子。《說文解字．金部》：「鋏，可以持冶器鑄鎔者。」北周．庾信〈對燭賦〉：「銅荷承淚蠟，鐵鋏染浮煙。」
2.劍。《玉篇．金部》：「鋏，劍也。」《楚辭．屈原．九章．涉江》：「帶長鋏之陸離兮，冠切雲之崔嵬。」
3.劍柄。《戰國策．齊策四》：「長鋏歸來乎！食無魚。」 |</v>
      </c>
    </row>
    <row r="6897" spans="1:44" hidden="1">
      <c r="A6897" s="1" t="s">
        <v>13294</v>
      </c>
      <c r="C6897" s="1">
        <v>1</v>
      </c>
      <c r="D6897" s="1" t="str">
        <f>"05505"</f>
        <v>05505</v>
      </c>
      <c r="E6897" s="1" t="s">
        <v>684</v>
      </c>
      <c r="F6897" s="1">
        <v>16</v>
      </c>
      <c r="G6897" s="1">
        <v>7</v>
      </c>
      <c r="H6897" s="1">
        <v>0</v>
      </c>
      <c r="I6897" s="1" t="s">
        <v>13269</v>
      </c>
      <c r="K6897" s="1" t="str">
        <f t="shared" si="437"/>
        <v>ㄐ</v>
      </c>
      <c r="L6897" s="1" t="str">
        <f t="shared" si="438"/>
        <v>ㄧ</v>
      </c>
      <c r="M6897" s="1" t="str">
        <f t="shared" si="439"/>
        <v>ㄚ</v>
      </c>
      <c r="P6897" s="1" t="s">
        <v>20</v>
      </c>
      <c r="R6897" s="1" t="s">
        <v>13270</v>
      </c>
      <c r="V6897" s="1" t="s">
        <v>13295</v>
      </c>
      <c r="AR6897" s="1" t="str">
        <f t="shared" si="436"/>
        <v>| [ㄐㄧㄚˊ](ㄐㄧㄚˊ.md) | [頰](頰.md) |  | jiá | 臉部兩側面，顴骨以下的部分。如：「兩頰緋紅」、「面頰」。漢．王充《論衡．自紀》：「人面色部，七十有餘，頰肌明潔，五色分別。」 |</v>
      </c>
    </row>
    <row r="6898" spans="1:44" hidden="1">
      <c r="A6898" s="1" t="s">
        <v>13296</v>
      </c>
      <c r="C6898" s="1">
        <v>1</v>
      </c>
      <c r="D6898" s="1" t="str">
        <f>"05506"</f>
        <v>05506</v>
      </c>
      <c r="E6898" s="1" t="s">
        <v>272</v>
      </c>
      <c r="F6898" s="1">
        <v>18</v>
      </c>
      <c r="G6898" s="1">
        <v>7</v>
      </c>
      <c r="H6898" s="1">
        <v>0</v>
      </c>
      <c r="I6898" s="1" t="s">
        <v>13269</v>
      </c>
      <c r="K6898" s="1" t="str">
        <f t="shared" si="437"/>
        <v>ㄐ</v>
      </c>
      <c r="L6898" s="1" t="str">
        <f t="shared" si="438"/>
        <v>ㄧ</v>
      </c>
      <c r="M6898" s="1" t="str">
        <f t="shared" si="439"/>
        <v>ㄚ</v>
      </c>
      <c r="P6898" s="1" t="s">
        <v>20</v>
      </c>
      <c r="R6898" s="1" t="s">
        <v>13270</v>
      </c>
      <c r="V6898" s="1" t="s">
        <v>13297</v>
      </c>
      <c r="AR6898" s="1" t="str">
        <f t="shared" si="436"/>
        <v>| [ㄐㄧㄚˊ](ㄐㄧㄚˊ.md) | [鵊](鵊.md) |  | jiá | [名]
杜鵑。《集韻．入聲．洽韻》：「鵊，鳥名，杜鵑也。」 |</v>
      </c>
    </row>
    <row r="6899" spans="1:44" hidden="1">
      <c r="A6899" s="1" t="s">
        <v>13298</v>
      </c>
      <c r="C6899" s="1">
        <v>1</v>
      </c>
      <c r="D6899" s="1" t="str">
        <f>"05507"</f>
        <v>05507</v>
      </c>
      <c r="E6899" s="1" t="s">
        <v>250</v>
      </c>
      <c r="F6899" s="1">
        <v>10</v>
      </c>
      <c r="G6899" s="1">
        <v>6</v>
      </c>
      <c r="H6899" s="1">
        <v>0</v>
      </c>
      <c r="I6899" s="1" t="s">
        <v>13269</v>
      </c>
      <c r="K6899" s="1" t="str">
        <f t="shared" si="437"/>
        <v>ㄐ</v>
      </c>
      <c r="L6899" s="1" t="str">
        <f t="shared" si="438"/>
        <v>ㄧ</v>
      </c>
      <c r="M6899" s="1" t="str">
        <f t="shared" si="439"/>
        <v>ㄚ</v>
      </c>
      <c r="P6899" s="1" t="s">
        <v>20</v>
      </c>
      <c r="R6899" s="1" t="s">
        <v>13270</v>
      </c>
      <c r="V6899" s="1" t="s">
        <v>13299</v>
      </c>
      <c r="AR6899" s="1" t="str">
        <f t="shared" si="436"/>
        <v>| [ㄐㄧㄚˊ](ㄐㄧㄚˊ.md) | [恝](恝.md) |  | jiá | [形]
因忽視、淡忘而顯出不在乎的樣子。如：「恝然」。《孟子．萬章上》：「夫公明高以孝子之心，為不若是恝。」漢．趙岐．注：「恝，無愁之貌。」清．焦循．正義：「忽忘於心，即是無愁。」 |</v>
      </c>
    </row>
    <row r="6900" spans="1:44" hidden="1">
      <c r="A6900" s="1" t="s">
        <v>13300</v>
      </c>
      <c r="C6900" s="1">
        <v>1</v>
      </c>
      <c r="D6900" s="1" t="str">
        <f>"05508"</f>
        <v>05508</v>
      </c>
      <c r="E6900" s="1" t="s">
        <v>4785</v>
      </c>
      <c r="F6900" s="1">
        <v>11</v>
      </c>
      <c r="G6900" s="1">
        <v>7</v>
      </c>
      <c r="H6900" s="1">
        <v>0</v>
      </c>
      <c r="I6900" s="1" t="s">
        <v>13269</v>
      </c>
      <c r="K6900" s="1" t="str">
        <f t="shared" si="437"/>
        <v>ㄐ</v>
      </c>
      <c r="L6900" s="1" t="str">
        <f t="shared" si="438"/>
        <v>ㄧ</v>
      </c>
      <c r="M6900" s="1" t="str">
        <f t="shared" si="439"/>
        <v>ㄚ</v>
      </c>
      <c r="P6900" s="1" t="s">
        <v>20</v>
      </c>
      <c r="R6900" s="1" t="s">
        <v>13270</v>
      </c>
      <c r="V6900" s="1" t="s">
        <v>13301</v>
      </c>
      <c r="AR6900" s="1" t="str">
        <f t="shared" si="436"/>
        <v>| [ㄐㄧㄚˊ](ㄐㄧㄚˊ.md) | [戛](戛.md) |  | jiá | [名]
1.武器名。戟、長矛。《說文解字．戈部》：「戛，戟也。」《文選．張衡．東京賦》：「立戈迤戛，農輿輅木。」
2.常禮、常法。《書經．康誥》：「不率大戛，矧惟外庶子訓人。」唐．孔穎達．正義：「戛猶楷也，言為楷模之常，故戛為常也。」
[動]
1.敲擊。《書經．益稷》：「戛擊鳴球。」《聊齋志異．卷七．金和尚》：「腰弓矢相摩戛。」
2.踐踏。唐．韓愈〈送惠師〉詩：「前年往羅浮，步戛南海漘。」
[擬]
形容鳥鳴聲。如：「戛然長鳴」。宋．蘇軾〈犍為王氏書樓〉詩：「山猿悲嘯谷泉響，野鳥嘐戛巖花春。」 |</v>
      </c>
    </row>
    <row r="6901" spans="1:44" hidden="1">
      <c r="A6901" s="1" t="s">
        <v>13302</v>
      </c>
      <c r="C6901" s="1">
        <v>1</v>
      </c>
      <c r="D6901" s="1" t="str">
        <f>"05509"</f>
        <v>05509</v>
      </c>
      <c r="E6901" s="1" t="s">
        <v>340</v>
      </c>
      <c r="F6901" s="1">
        <v>12</v>
      </c>
      <c r="G6901" s="1">
        <v>6</v>
      </c>
      <c r="H6901" s="1">
        <v>1</v>
      </c>
      <c r="I6901" s="1" t="s">
        <v>13269</v>
      </c>
      <c r="K6901" s="1" t="str">
        <f t="shared" si="437"/>
        <v>ㄐ</v>
      </c>
      <c r="L6901" s="1" t="str">
        <f t="shared" si="438"/>
        <v>ㄧ</v>
      </c>
      <c r="M6901" s="1" t="str">
        <f t="shared" si="439"/>
        <v>ㄚ</v>
      </c>
      <c r="P6901" s="1" t="s">
        <v>20</v>
      </c>
      <c r="R6901" s="1" t="s">
        <v>13270</v>
      </c>
      <c r="V6901" s="1" t="s">
        <v>13303</v>
      </c>
      <c r="W6901" s="1" t="s">
        <v>13304</v>
      </c>
      <c r="AR6901" s="1" t="str">
        <f t="shared" si="436"/>
        <v>| [ㄐㄧㄚˊ](ㄐㄧㄚˊ.md) | [袷](袷.md) |  | jiá | [名]
雙層無絮的衣物。唐．李商隱〈春雨〉詩：「悵臥新春白袷衣，白門寥落意多違。」宋．文同〈晚至村家〉詩：「舊裾飄風採桑去，白袷卷水秧稻歸。」 |</v>
      </c>
    </row>
    <row r="6902" spans="1:44" hidden="1">
      <c r="A6902" s="1" t="s">
        <v>13305</v>
      </c>
      <c r="C6902" s="1">
        <v>1</v>
      </c>
      <c r="D6902" s="1" t="str">
        <f>"05510"</f>
        <v>05510</v>
      </c>
      <c r="E6902" s="1" t="s">
        <v>77</v>
      </c>
      <c r="F6902" s="1">
        <v>13</v>
      </c>
      <c r="G6902" s="1">
        <v>6</v>
      </c>
      <c r="H6902" s="1">
        <v>0</v>
      </c>
      <c r="I6902" s="1" t="s">
        <v>13269</v>
      </c>
      <c r="K6902" s="1" t="str">
        <f t="shared" si="437"/>
        <v>ㄐ</v>
      </c>
      <c r="L6902" s="1" t="str">
        <f t="shared" si="438"/>
        <v>ㄧ</v>
      </c>
      <c r="M6902" s="1" t="str">
        <f t="shared" si="439"/>
        <v>ㄚ</v>
      </c>
      <c r="P6902" s="1" t="s">
        <v>20</v>
      </c>
      <c r="R6902" s="1" t="s">
        <v>13270</v>
      </c>
      <c r="V6902" s="1" t="s">
        <v>13306</v>
      </c>
      <c r="AR6902" s="1" t="str">
        <f t="shared" si="436"/>
        <v>| [ㄐㄧㄚˊ](ㄐㄧㄚˊ.md) | [跲](跲.md) |  | jiá | [動]
絆倒、跌倒。《呂氏春秋．慎大覽．不廣》：「鼠前而兔後，趨則跲，走則顛。」
[形]
言語受阻而不通暢。《禮記．中庸》：「言前定，則不跲。」唐．孔穎達．正義：「將欲發言，能豫前思定，然後出口，則言得流行，不有躓蹶也。」 |</v>
      </c>
    </row>
    <row r="6903" spans="1:44" hidden="1">
      <c r="A6903" s="1" t="s">
        <v>13307</v>
      </c>
      <c r="C6903" s="1">
        <v>1</v>
      </c>
      <c r="D6903" s="1" t="str">
        <f>"05511"</f>
        <v>05511</v>
      </c>
      <c r="E6903" s="1" t="s">
        <v>96</v>
      </c>
      <c r="F6903" s="1">
        <v>15</v>
      </c>
      <c r="G6903" s="1">
        <v>6</v>
      </c>
      <c r="H6903" s="1">
        <v>0</v>
      </c>
      <c r="I6903" s="1" t="s">
        <v>13269</v>
      </c>
      <c r="K6903" s="1" t="str">
        <f t="shared" si="437"/>
        <v>ㄐ</v>
      </c>
      <c r="L6903" s="1" t="str">
        <f t="shared" si="438"/>
        <v>ㄧ</v>
      </c>
      <c r="M6903" s="1" t="str">
        <f t="shared" si="439"/>
        <v>ㄚ</v>
      </c>
      <c r="P6903" s="1" t="s">
        <v>20</v>
      </c>
      <c r="R6903" s="1" t="s">
        <v>13270</v>
      </c>
      <c r="V6903" s="1" t="s">
        <v>13308</v>
      </c>
      <c r="AR6903" s="1" t="str">
        <f t="shared" si="436"/>
        <v>| [ㄐㄧㄚˊ](ㄐㄧㄚˊ.md) | [鞈](鞈.md) |  | jiá | [名]
古代皮革製成的胸甲。《管子．小匡》：「輕罪入蘭盾，鞈革二戟。」
[形]
堅硬。《荀子．議兵》：「楚人鮫革犀兕以為甲，鞈如金石。」 |</v>
      </c>
    </row>
    <row r="6904" spans="1:44" hidden="1">
      <c r="A6904" s="1" t="s">
        <v>13309</v>
      </c>
      <c r="C6904" s="1">
        <v>1</v>
      </c>
      <c r="D6904" s="1" t="str">
        <f>"05512"</f>
        <v>05512</v>
      </c>
      <c r="E6904" s="1" t="s">
        <v>753</v>
      </c>
      <c r="F6904" s="1">
        <v>5</v>
      </c>
      <c r="G6904" s="1">
        <v>0</v>
      </c>
      <c r="H6904" s="1">
        <v>1</v>
      </c>
      <c r="I6904" s="1" t="s">
        <v>13310</v>
      </c>
      <c r="K6904" s="1" t="str">
        <f t="shared" si="437"/>
        <v>ㄐ</v>
      </c>
      <c r="L6904" s="1" t="str">
        <f t="shared" si="438"/>
        <v>ㄧ</v>
      </c>
      <c r="M6904" s="1" t="str">
        <f t="shared" si="439"/>
        <v>ㄚ</v>
      </c>
      <c r="P6904" s="1" t="s">
        <v>20</v>
      </c>
      <c r="R6904" s="1" t="s">
        <v>13311</v>
      </c>
      <c r="V6904" s="1" t="s">
        <v>13312</v>
      </c>
      <c r="W6904" s="1" t="s">
        <v>13313</v>
      </c>
      <c r="AR6904" s="1" t="str">
        <f t="shared" si="436"/>
        <v>| [ㄐㄧㄚˇ](ㄐㄧㄚˇ.md) | [甲](甲.md) |  | jiǎ | [名]
1.天干的第一位。
2.古代軍人穿的護身衣物。以皮革或金屬片製成。如：「盔甲」、「鎧甲」、「披甲」。《孟子．梁惠王上》：「兵刃既接，棄甲曳兵而走。」
3.指軍人、兵士。《左傳．宣公二年》：「伏甲將攻之。」
4.動物身上具有保護作用的硬殼。如：「龜甲」、「鱗甲」。
5.手指、腳趾上的角質硬殼。如：「指甲」、「腳趾甲」。
6.引申為圍護於物體外的堅硬保護殼。如：「裝甲車」。
7.古代基層治安制度的戶口編制名稱。如：「保甲」。元．施惠《幽閨記》第六齣：「奉上司明文，遍張文榜，畫影圖形，十家為甲，排門粉壁，各處挨捕。」
8.量詞。臺灣計算地積的單位。一甲有二千九百三十四坪，等於零點九七公頃。
[形]
等第最優的。如：「甲等」、「甲級」。
[動]
超出群眾、位居首位。如：「富甲天下」、「桂林山水甲天下」。
[代]
假定的代名詞。如：「某甲」、「甲地」。北齊．顏之推〈還魂志〉：「婢逐呼云：『某甲欲奸我！』濟即令人殺之。」 |</v>
      </c>
    </row>
    <row r="6905" spans="1:44" hidden="1">
      <c r="A6905" s="1" t="s">
        <v>13314</v>
      </c>
      <c r="C6905" s="1">
        <v>1</v>
      </c>
      <c r="D6905" s="1" t="str">
        <f>"05513"</f>
        <v>05513</v>
      </c>
      <c r="E6905" s="1" t="s">
        <v>190</v>
      </c>
      <c r="F6905" s="1">
        <v>8</v>
      </c>
      <c r="G6905" s="1">
        <v>5</v>
      </c>
      <c r="H6905" s="1">
        <v>0</v>
      </c>
      <c r="I6905" s="1" t="s">
        <v>13310</v>
      </c>
      <c r="K6905" s="1" t="str">
        <f t="shared" si="437"/>
        <v>ㄐ</v>
      </c>
      <c r="L6905" s="1" t="str">
        <f t="shared" si="438"/>
        <v>ㄧ</v>
      </c>
      <c r="M6905" s="1" t="str">
        <f t="shared" si="439"/>
        <v>ㄚ</v>
      </c>
      <c r="P6905" s="1" t="s">
        <v>20</v>
      </c>
      <c r="R6905" s="1" t="s">
        <v>13311</v>
      </c>
      <c r="V6905" s="1" t="s">
        <v>13315</v>
      </c>
      <c r="AR6905" s="1" t="str">
        <f t="shared" si="436"/>
        <v>| [ㄐㄧㄚˇ](ㄐㄧㄚˇ.md) | [岬](岬.md) |  | jiǎ | [名]
1.兩山之間。《文選．左思．吳都賦》：「傾藪薄倒岬岫。」
2.地理學上指陸地向海突出的部分。如：「海岬」。也稱為「角」。 |</v>
      </c>
    </row>
    <row r="6906" spans="1:44" hidden="1">
      <c r="A6906" s="1" t="s">
        <v>13316</v>
      </c>
      <c r="C6906" s="1">
        <v>1</v>
      </c>
      <c r="D6906" s="1" t="str">
        <f>"05514"</f>
        <v>05514</v>
      </c>
      <c r="E6906" s="1" t="s">
        <v>68</v>
      </c>
      <c r="F6906" s="1">
        <v>9</v>
      </c>
      <c r="G6906" s="1">
        <v>5</v>
      </c>
      <c r="H6906" s="1">
        <v>0</v>
      </c>
      <c r="I6906" s="1" t="s">
        <v>13310</v>
      </c>
      <c r="K6906" s="1" t="str">
        <f t="shared" si="437"/>
        <v>ㄐ</v>
      </c>
      <c r="L6906" s="1" t="str">
        <f t="shared" si="438"/>
        <v>ㄧ</v>
      </c>
      <c r="M6906" s="1" t="str">
        <f t="shared" si="439"/>
        <v>ㄚ</v>
      </c>
      <c r="P6906" s="1" t="s">
        <v>20</v>
      </c>
      <c r="R6906" s="1" t="s">
        <v>13311</v>
      </c>
      <c r="V6906" s="1" t="s">
        <v>13317</v>
      </c>
      <c r="AR6906" s="1" t="str">
        <f t="shared" si="436"/>
        <v>| [ㄐㄧㄚˇ](ㄐㄧㄚˇ.md) | [胛](胛.md) |  | jiǎ | 參見「胛骨」條。 |</v>
      </c>
    </row>
    <row r="6907" spans="1:44" hidden="1">
      <c r="A6907" s="1" t="s">
        <v>13318</v>
      </c>
      <c r="C6907" s="1">
        <v>1</v>
      </c>
      <c r="D6907" s="1" t="str">
        <f>"05515"</f>
        <v>05515</v>
      </c>
      <c r="E6907" s="1" t="s">
        <v>181</v>
      </c>
      <c r="F6907" s="1">
        <v>11</v>
      </c>
      <c r="G6907" s="1">
        <v>5</v>
      </c>
      <c r="H6907" s="1">
        <v>0</v>
      </c>
      <c r="I6907" s="1" t="s">
        <v>13310</v>
      </c>
      <c r="K6907" s="1" t="str">
        <f t="shared" si="437"/>
        <v>ㄐ</v>
      </c>
      <c r="L6907" s="1" t="str">
        <f t="shared" si="438"/>
        <v>ㄧ</v>
      </c>
      <c r="M6907" s="1" t="str">
        <f t="shared" si="439"/>
        <v>ㄚ</v>
      </c>
      <c r="P6907" s="1" t="s">
        <v>20</v>
      </c>
      <c r="R6907" s="1" t="s">
        <v>13311</v>
      </c>
      <c r="V6907" s="1" t="s">
        <v>13319</v>
      </c>
      <c r="AR6907" s="1" t="str">
        <f t="shared" si="436"/>
        <v>| [ㄐㄧㄚˇ](ㄐㄧㄚˇ.md) | [舺](舺.md) |  | jiǎ | [名]
船。清．王念孫《廣雅疏證．卷九下．釋水》：「舺，船也。」如：「艋舺」。 |</v>
      </c>
    </row>
    <row r="6908" spans="1:44" hidden="1">
      <c r="A6908" s="1" t="s">
        <v>13320</v>
      </c>
      <c r="C6908" s="1">
        <v>1</v>
      </c>
      <c r="D6908" s="1" t="str">
        <f>"05516"</f>
        <v>05516</v>
      </c>
      <c r="E6908" s="1" t="s">
        <v>55</v>
      </c>
      <c r="F6908" s="1">
        <v>13</v>
      </c>
      <c r="G6908" s="1">
        <v>5</v>
      </c>
      <c r="H6908" s="1">
        <v>0</v>
      </c>
      <c r="I6908" s="1" t="s">
        <v>13310</v>
      </c>
      <c r="K6908" s="1" t="str">
        <f t="shared" si="437"/>
        <v>ㄐ</v>
      </c>
      <c r="L6908" s="1" t="str">
        <f t="shared" si="438"/>
        <v>ㄧ</v>
      </c>
      <c r="M6908" s="1" t="str">
        <f t="shared" si="439"/>
        <v>ㄚ</v>
      </c>
      <c r="P6908" s="1" t="s">
        <v>20</v>
      </c>
      <c r="R6908" s="1" t="s">
        <v>13311</v>
      </c>
      <c r="V6908" s="1" t="s">
        <v>13321</v>
      </c>
      <c r="AR6908" s="1" t="str">
        <f t="shared" si="436"/>
        <v>| [ㄐㄧㄚˇ](ㄐㄧㄚˇ.md) | [鉀](鉀.md) |  | jiǎ | [名]
（potassium，K）化學元素。原子序19。一種銀白色質軟的鹼金屬。化學性質活潑，在空氣中極易氧化。燃燒時火焰呈紫色，遇水起劇烈反應，放出氫氣，同時引起爆炸，燃燒起火。在動、植物體內，對生長和發育極具重要性。在工業上鉀化合物用途甚廣。 |</v>
      </c>
    </row>
    <row r="6909" spans="1:44" hidden="1">
      <c r="A6909" s="1" t="s">
        <v>13322</v>
      </c>
      <c r="C6909" s="1">
        <v>1</v>
      </c>
      <c r="D6909" s="1" t="str">
        <f>"05517"</f>
        <v>05517</v>
      </c>
      <c r="E6909" s="1" t="s">
        <v>3981</v>
      </c>
      <c r="F6909" s="1">
        <v>10</v>
      </c>
      <c r="G6909" s="1">
        <v>7</v>
      </c>
      <c r="H6909" s="1">
        <v>2</v>
      </c>
      <c r="I6909" s="1" t="s">
        <v>13310</v>
      </c>
      <c r="K6909" s="1" t="str">
        <f t="shared" si="437"/>
        <v>ㄐ</v>
      </c>
      <c r="L6909" s="1" t="str">
        <f t="shared" si="438"/>
        <v>ㄧ</v>
      </c>
      <c r="M6909" s="1" t="str">
        <f t="shared" si="439"/>
        <v>ㄚ</v>
      </c>
      <c r="P6909" s="1" t="s">
        <v>20</v>
      </c>
      <c r="R6909" s="1" t="s">
        <v>13311</v>
      </c>
      <c r="V6909" s="1" t="s">
        <v>13323</v>
      </c>
      <c r="W6909" s="1" t="s">
        <v>13324</v>
      </c>
      <c r="AR6909" s="1" t="str">
        <f t="shared" si="436"/>
        <v>| [ㄐㄧㄚˇ](ㄐㄧㄚˇ.md) | [夏](夏.md) |  | jiǎ | 參見「夏楚」條。 |</v>
      </c>
    </row>
    <row r="6910" spans="1:44" hidden="1">
      <c r="A6910" s="1" t="s">
        <v>13325</v>
      </c>
      <c r="C6910" s="1">
        <v>1</v>
      </c>
      <c r="D6910" s="1" t="str">
        <f>"05518"</f>
        <v>05518</v>
      </c>
      <c r="E6910" s="1" t="s">
        <v>114</v>
      </c>
      <c r="F6910" s="1">
        <v>11</v>
      </c>
      <c r="G6910" s="1">
        <v>9</v>
      </c>
      <c r="H6910" s="1">
        <v>1</v>
      </c>
      <c r="I6910" s="1" t="s">
        <v>13310</v>
      </c>
      <c r="K6910" s="1" t="str">
        <f t="shared" si="437"/>
        <v>ㄐ</v>
      </c>
      <c r="L6910" s="1" t="str">
        <f t="shared" si="438"/>
        <v>ㄧ</v>
      </c>
      <c r="M6910" s="1" t="str">
        <f t="shared" si="439"/>
        <v>ㄚ</v>
      </c>
      <c r="P6910" s="1" t="s">
        <v>20</v>
      </c>
      <c r="R6910" s="1" t="s">
        <v>13311</v>
      </c>
      <c r="V6910" s="1" t="s">
        <v>13326</v>
      </c>
      <c r="W6910" s="1" t="s">
        <v>13327</v>
      </c>
      <c r="AR6910" s="1" t="str">
        <f t="shared" si="436"/>
        <v>| [ㄐㄧㄚˇ](ㄐㄧㄚˇ.md) | [假](假.md) |  | jiǎ | [形]
1.不真的、虛偽的、人造的。與「真」相對。如：「假髮」、「假話」、「假面具」、「虛情假意」。《紅樓夢》第一回：「假作真時真亦假，無為有處有還無。」
2.代理的。《後漢書．卷四七．班超傳》：「以超為假司馬。」
[動]
1.借。如：「假手於人」、「狐假虎威」。《左傳．僖公五年》：「晉侯復假道於虞以伐虢。」
2.依傍。《文選．曹丕．典論論文》：「斯七子者，於學無所遺，於辭無所假。」
3.待。《文選．丘遲．與陳伯之書》：「將軍之所知，不假僕一二談也。」
[連]
如果。如：「假若」、「假如」。《史記．卷九二．淮陰侯傳》：「假令韓信學道謙讓，不伐己功，不矜其能。」 |</v>
      </c>
    </row>
    <row r="6911" spans="1:44" hidden="1">
      <c r="A6911" s="1" t="s">
        <v>13328</v>
      </c>
      <c r="C6911" s="1">
        <v>1</v>
      </c>
      <c r="D6911" s="1" t="str">
        <f>"05519"</f>
        <v>05519</v>
      </c>
      <c r="E6911" s="1" t="s">
        <v>40</v>
      </c>
      <c r="F6911" s="1">
        <v>14</v>
      </c>
      <c r="G6911" s="1">
        <v>9</v>
      </c>
      <c r="H6911" s="1">
        <v>0</v>
      </c>
      <c r="I6911" s="1" t="s">
        <v>13310</v>
      </c>
      <c r="K6911" s="1" t="str">
        <f t="shared" si="437"/>
        <v>ㄐ</v>
      </c>
      <c r="L6911" s="1" t="str">
        <f t="shared" si="438"/>
        <v>ㄧ</v>
      </c>
      <c r="M6911" s="1" t="str">
        <f t="shared" si="439"/>
        <v>ㄚ</v>
      </c>
      <c r="P6911" s="1" t="s">
        <v>20</v>
      </c>
      <c r="R6911" s="1" t="s">
        <v>13311</v>
      </c>
      <c r="V6911" s="1" t="s">
        <v>13329</v>
      </c>
      <c r="AR6911" s="1" t="str">
        <f t="shared" si="436"/>
        <v>| [ㄐㄧㄚˇ](ㄐㄧㄚˇ.md) | [瘕](瘕.md) |  | jiǎ | [名]
中醫上指一種腹中結有硬塊的病症。如：「癥瘕積聚」、「瘕聚」、「血瘕」、「石瘕」、「伏瘕」。 |</v>
      </c>
    </row>
    <row r="6912" spans="1:44" hidden="1">
      <c r="A6912" s="1" t="s">
        <v>10141</v>
      </c>
      <c r="C6912" s="1">
        <v>1</v>
      </c>
      <c r="D6912" s="1" t="str">
        <f>"05520"</f>
        <v>05520</v>
      </c>
      <c r="E6912" s="1" t="s">
        <v>28</v>
      </c>
      <c r="F6912" s="1">
        <v>14</v>
      </c>
      <c r="G6912" s="1">
        <v>11</v>
      </c>
      <c r="H6912" s="1">
        <v>2</v>
      </c>
      <c r="I6912" s="1" t="s">
        <v>13310</v>
      </c>
      <c r="K6912" s="1" t="str">
        <f t="shared" si="437"/>
        <v>ㄐ</v>
      </c>
      <c r="L6912" s="1" t="str">
        <f t="shared" si="438"/>
        <v>ㄧ</v>
      </c>
      <c r="M6912" s="1" t="str">
        <f t="shared" si="439"/>
        <v>ㄚ</v>
      </c>
      <c r="P6912" s="1" t="s">
        <v>20</v>
      </c>
      <c r="R6912" s="1" t="s">
        <v>13311</v>
      </c>
      <c r="V6912" s="1" t="s">
        <v>13330</v>
      </c>
      <c r="W6912" s="1" t="s">
        <v>13331</v>
      </c>
      <c r="AR6912" s="1" t="str">
        <f t="shared" si="436"/>
        <v>| [ㄐㄧㄚˇ](ㄐㄧㄚˇ.md) | [嘏](嘏.md) |  | jiǎ | [形]
大、遠。通「遐」。《逸周書．卷五．皇門》：「王用有監，明憲朕命，用克和有成，用能承天嘏命。」 |</v>
      </c>
    </row>
    <row r="6913" spans="1:44" hidden="1">
      <c r="A6913" s="1" t="s">
        <v>13332</v>
      </c>
      <c r="C6913" s="1">
        <v>1</v>
      </c>
      <c r="D6913" s="1" t="str">
        <f>"05521"</f>
        <v>05521</v>
      </c>
      <c r="E6913" s="1" t="s">
        <v>4869</v>
      </c>
      <c r="F6913" s="1">
        <v>12</v>
      </c>
      <c r="G6913" s="1">
        <v>8</v>
      </c>
      <c r="H6913" s="1">
        <v>0</v>
      </c>
      <c r="I6913" s="1" t="s">
        <v>13310</v>
      </c>
      <c r="K6913" s="1" t="str">
        <f t="shared" si="437"/>
        <v>ㄐ</v>
      </c>
      <c r="L6913" s="1" t="str">
        <f t="shared" si="438"/>
        <v>ㄧ</v>
      </c>
      <c r="M6913" s="1" t="str">
        <f t="shared" si="439"/>
        <v>ㄚ</v>
      </c>
      <c r="P6913" s="1" t="s">
        <v>20</v>
      </c>
      <c r="R6913" s="1" t="s">
        <v>13311</v>
      </c>
      <c r="V6913" s="1" t="s">
        <v>13333</v>
      </c>
      <c r="AR6913" s="1" t="str">
        <f t="shared" si="436"/>
        <v>| [ㄐㄧㄚˇ](ㄐㄧㄚˇ.md) | [斝](斝.md) |  | jiǎ | [名]
1.古代酒器。形狀像爵而較大，有三足、兩柱，圓口，平底。盛行於商代。如：「獸面紋斝」。
2.借指酒盃。宋．蘇軾〈司馬君實獨樂園〉詩：「花香襲杖履，竹色侵杯斝。」宋．姜夔〈昔遊詩〉：「酒力不支吾，數里進一斝。」 |</v>
      </c>
    </row>
    <row r="6914" spans="1:44" hidden="1">
      <c r="A6914" s="1" t="s">
        <v>10181</v>
      </c>
      <c r="C6914" s="1">
        <v>1</v>
      </c>
      <c r="D6914" s="1" t="str">
        <f>"05522"</f>
        <v>05522</v>
      </c>
      <c r="E6914" s="1" t="s">
        <v>505</v>
      </c>
      <c r="F6914" s="1">
        <v>13</v>
      </c>
      <c r="G6914" s="1">
        <v>6</v>
      </c>
      <c r="H6914" s="1">
        <v>1</v>
      </c>
      <c r="I6914" s="1" t="s">
        <v>13310</v>
      </c>
      <c r="K6914" s="1" t="str">
        <f t="shared" si="437"/>
        <v>ㄐ</v>
      </c>
      <c r="L6914" s="1" t="str">
        <f t="shared" si="438"/>
        <v>ㄧ</v>
      </c>
      <c r="M6914" s="1" t="str">
        <f t="shared" si="439"/>
        <v>ㄚ</v>
      </c>
      <c r="P6914" s="1" t="s">
        <v>20</v>
      </c>
      <c r="R6914" s="1" t="s">
        <v>13311</v>
      </c>
      <c r="V6914" s="1" t="s">
        <v>13334</v>
      </c>
      <c r="W6914" s="1" t="s">
        <v>13335</v>
      </c>
      <c r="AR6914" s="1" t="str">
        <f t="shared" si="436"/>
        <v>| [ㄐㄧㄚˇ](ㄐㄧㄚˇ.md) | [賈](賈.md) |  | jiǎ | [名]
姓。如漢代有賈誼。 |</v>
      </c>
    </row>
    <row r="6915" spans="1:44" hidden="1">
      <c r="A6915" s="1" t="s">
        <v>13336</v>
      </c>
      <c r="C6915" s="1">
        <v>1</v>
      </c>
      <c r="D6915" s="1" t="str">
        <f>"05523"</f>
        <v>05523</v>
      </c>
      <c r="E6915" s="1" t="s">
        <v>139</v>
      </c>
      <c r="F6915" s="1">
        <v>17</v>
      </c>
      <c r="G6915" s="1">
        <v>13</v>
      </c>
      <c r="H6915" s="1">
        <v>0</v>
      </c>
      <c r="I6915" s="1" t="s">
        <v>13310</v>
      </c>
      <c r="K6915" s="1" t="str">
        <f t="shared" si="437"/>
        <v>ㄐ</v>
      </c>
      <c r="L6915" s="1" t="str">
        <f t="shared" si="438"/>
        <v>ㄧ</v>
      </c>
      <c r="M6915" s="1" t="str">
        <f t="shared" si="439"/>
        <v>ㄚ</v>
      </c>
      <c r="P6915" s="1" t="s">
        <v>20</v>
      </c>
      <c r="R6915" s="1" t="s">
        <v>13311</v>
      </c>
      <c r="V6915" s="1" t="s">
        <v>13337</v>
      </c>
      <c r="AR6915" s="1" t="str">
        <f t="shared" ref="AR6915:AR6978" si="440">"| ["&amp;I6915&amp;"]("&amp;I6915&amp;".md) | ["&amp;A6915&amp;"]("&amp;A6915&amp;".md) | "&amp;" | "&amp;R6915&amp;" | "&amp;V6915&amp;" |"</f>
        <v>| [ㄐㄧㄚˇ](ㄐㄧㄚˇ.md) | [檟](檟.md) |  | jiǎ | [名]
植物名：(1)山茶科山茶屬，「茶」、「茶樹」之古稱，參見「茶樹」條。《爾雅．釋木》：「檟，苦荼。」晉．郭璞．注：「樹小如梔子，冬生葉，可煮作羹飲，今呼早采者為荼，晚取者為茗。一名荈，蜀人名之苦荼。」(2)紫葳科梓屬，「梓」、「梓樹」、「楸」之古稱，參見「梓」條。 |</v>
      </c>
    </row>
    <row r="6916" spans="1:44" hidden="1">
      <c r="A6916" s="1" t="s">
        <v>13309</v>
      </c>
      <c r="C6916" s="1">
        <v>1</v>
      </c>
      <c r="D6916" s="1" t="str">
        <f>"05524"</f>
        <v>05524</v>
      </c>
      <c r="E6916" s="1" t="s">
        <v>753</v>
      </c>
      <c r="F6916" s="1">
        <v>5</v>
      </c>
      <c r="G6916" s="1">
        <v>0</v>
      </c>
      <c r="H6916" s="1">
        <v>2</v>
      </c>
      <c r="I6916" s="1" t="s">
        <v>13338</v>
      </c>
      <c r="K6916" s="1" t="str">
        <f t="shared" ref="K6916:K6979" si="441">LEFT(I6916, 1)</f>
        <v>ㄐ</v>
      </c>
      <c r="L6916" s="1" t="str">
        <f t="shared" ref="L6916:L6979" si="442">MID(I6916, 2, 1)</f>
        <v>ㄧ</v>
      </c>
      <c r="M6916" s="1" t="str">
        <f t="shared" ref="M6916:M6979" si="443">MID(I6916, 3, 1)</f>
        <v>ㄚ</v>
      </c>
      <c r="P6916" s="1" t="s">
        <v>20</v>
      </c>
      <c r="R6916" s="1" t="s">
        <v>13339</v>
      </c>
      <c r="V6916" s="1" t="s">
        <v>13340</v>
      </c>
      <c r="W6916" s="1" t="s">
        <v>13341</v>
      </c>
      <c r="AR6916" s="1" t="str">
        <f t="shared" si="440"/>
        <v>| [ㄐㄧㄚˋ](ㄐㄧㄚˋ.md) | [甲](甲.md) |  | jià | [名]
動物名。指甲魚。脊椎動物亞門爬蟲綱龜鱉目。外形像龜，背甲呈灰黑色，有軟皮。腹部白色或淡黃色。頸部甚長，四肢粗短，有厚蹼。多棲息於湖沼等溫、熱帶水域。背甲圓形，邊緣柔軟，肉供食用，甲殼可入藥。也稱為「鱉」。 |</v>
      </c>
    </row>
    <row r="6917" spans="1:44" hidden="1">
      <c r="A6917" s="1" t="s">
        <v>13253</v>
      </c>
      <c r="C6917" s="1">
        <v>1</v>
      </c>
      <c r="D6917" s="1" t="str">
        <f>"05525"</f>
        <v>05525</v>
      </c>
      <c r="E6917" s="1" t="s">
        <v>563</v>
      </c>
      <c r="F6917" s="1">
        <v>7</v>
      </c>
      <c r="G6917" s="1">
        <v>4</v>
      </c>
      <c r="H6917" s="1">
        <v>3</v>
      </c>
      <c r="I6917" s="1" t="s">
        <v>13338</v>
      </c>
      <c r="K6917" s="1" t="str">
        <f t="shared" si="441"/>
        <v>ㄐ</v>
      </c>
      <c r="L6917" s="1" t="str">
        <f t="shared" si="442"/>
        <v>ㄧ</v>
      </c>
      <c r="M6917" s="1" t="str">
        <f t="shared" si="443"/>
        <v>ㄚ</v>
      </c>
      <c r="P6917" s="1" t="s">
        <v>20</v>
      </c>
      <c r="R6917" s="1" t="s">
        <v>13339</v>
      </c>
      <c r="V6917" s="1" t="s">
        <v>13342</v>
      </c>
      <c r="W6917" s="1" t="s">
        <v>13343</v>
      </c>
      <c r="AR6917" s="1" t="str">
        <f t="shared" si="440"/>
        <v>| [ㄐㄧㄚˋ](ㄐㄧㄚˋ.md) | [夾](夾.md) |  | jià | 參見「夾竹桃」、「夾生」等條。 |</v>
      </c>
    </row>
    <row r="6918" spans="1:44" hidden="1">
      <c r="A6918" s="1" t="s">
        <v>13344</v>
      </c>
      <c r="C6918" s="1">
        <v>1</v>
      </c>
      <c r="D6918" s="1" t="str">
        <f>"05526"</f>
        <v>05526</v>
      </c>
      <c r="E6918" s="1" t="s">
        <v>139</v>
      </c>
      <c r="F6918" s="1">
        <v>9</v>
      </c>
      <c r="G6918" s="1">
        <v>5</v>
      </c>
      <c r="H6918" s="1">
        <v>0</v>
      </c>
      <c r="I6918" s="1" t="s">
        <v>13338</v>
      </c>
      <c r="K6918" s="1" t="str">
        <f t="shared" si="441"/>
        <v>ㄐ</v>
      </c>
      <c r="L6918" s="1" t="str">
        <f t="shared" si="442"/>
        <v>ㄧ</v>
      </c>
      <c r="M6918" s="1" t="str">
        <f t="shared" si="443"/>
        <v>ㄚ</v>
      </c>
      <c r="P6918" s="1" t="s">
        <v>20</v>
      </c>
      <c r="R6918" s="1" t="s">
        <v>13339</v>
      </c>
      <c r="V6918" s="1" t="s">
        <v>13345</v>
      </c>
      <c r="AR6918" s="1" t="str">
        <f t="shared" si="440"/>
        <v>| [ㄐㄧㄚˋ](ㄐㄧㄚˋ.md) | [架](架.md) |  | jià | [名]
1.泛指一般有線條組織，具支撐或擱置作用的結構體。如：「鷹架」、「屋架」、「骨架」、「衣架」、「葡萄架」、「書架」。唐．白居易〈秦中吟．傷宅〉：「繞廊紫藤架，夾砌紅藥欄。」
2.身段和姿勢。如：「架勢十足」。
3.量詞。計算飛機或機器等的單位。如：「百架飛機」、「一架機器」、「兩架電視機」。
[動]
1.搭設。如：「架橋」、「架帳棚」、「架梯子」。
2.以一物加在另外一物之上。如：「把磚頭架上去。」、「把刀架在他的脖子上。」
3.攙扶。往往帶有強制的意思。如：「綁架」、「架住他！別讓他跑了！」
4.互相毆打、爭吵。如：「打架」、「吵架」、「勸架」。
5.抵擋。如：「招架」、「用手架住他的來拳。」
6.虛構、捏造。《金瓶梅》第七四回：「各人衣飯，他平白怎麼架你是非？」 |</v>
      </c>
    </row>
    <row r="6919" spans="1:44" hidden="1">
      <c r="A6919" s="1" t="s">
        <v>13346</v>
      </c>
      <c r="C6919" s="1">
        <v>1</v>
      </c>
      <c r="D6919" s="1" t="str">
        <f>"05527"</f>
        <v>05527</v>
      </c>
      <c r="E6919" s="1" t="s">
        <v>319</v>
      </c>
      <c r="F6919" s="1">
        <v>15</v>
      </c>
      <c r="G6919" s="1">
        <v>5</v>
      </c>
      <c r="H6919" s="1">
        <v>0</v>
      </c>
      <c r="I6919" s="1" t="s">
        <v>13338</v>
      </c>
      <c r="K6919" s="1" t="str">
        <f t="shared" si="441"/>
        <v>ㄐ</v>
      </c>
      <c r="L6919" s="1" t="str">
        <f t="shared" si="442"/>
        <v>ㄧ</v>
      </c>
      <c r="M6919" s="1" t="str">
        <f t="shared" si="443"/>
        <v>ㄚ</v>
      </c>
      <c r="P6919" s="1" t="s">
        <v>20</v>
      </c>
      <c r="R6919" s="1" t="s">
        <v>13339</v>
      </c>
      <c r="V6919" s="1" t="s">
        <v>13347</v>
      </c>
      <c r="AR6919" s="1" t="str">
        <f t="shared" si="440"/>
        <v>| [ㄐㄧㄚˋ](ㄐㄧㄚˋ.md) | [駕](駕.md) |  | jià | [動]
1.用牲畜拉車。唐．戴叔倫〈屯田詞〉：「驅牛駕車入山去，霜重草枯牛凍死。」
2.乘、騎。如：「駕鶴西歸」、「騰雲駕霧」。唐．李白〈古風〉詩五九首之一九：「恍恍與之去，駕鴻淩紫冥。」
3.開動、馭駛。如：「駕汽車」、「駕飛機」。宋．岳飛〈滿江紅．怒髮衝冠〉詞：「駕長車，踏破賀蘭山缺。」
4.管理、控制。《舊唐書．卷七四．馬周傳》：「陛下所與定天下者，皆仰稟成規，備鷹犬之用，無威略振主如韓、彭之難駕馭者。」
5.超越。如：「凌駕」。《左傳．昭公元年》：「子木之信，稱於諸侯，猶詐晉而駕焉。」
[名]
1.車輛的總稱。如：「鸞駕」、「車駕」、「整駕出遊」。
2.古時對皇帝的尊稱。如：「護駕」、「駕崩」。《後漢書．卷八二．方術傳上．郭憲傳》：「建武七年，代張堪為光祿勛，從駕南郊。」
3.對他人的敬稱。如：「尊駕」、「擋駕」、「勞駕」、「大駕光臨」、「在此候駕」。 |</v>
      </c>
    </row>
    <row r="6920" spans="1:44" hidden="1">
      <c r="A6920" s="1" t="s">
        <v>13325</v>
      </c>
      <c r="C6920" s="1">
        <v>1</v>
      </c>
      <c r="D6920" s="1" t="str">
        <f>"05528"</f>
        <v>05528</v>
      </c>
      <c r="E6920" s="1" t="s">
        <v>114</v>
      </c>
      <c r="F6920" s="1">
        <v>11</v>
      </c>
      <c r="G6920" s="1">
        <v>9</v>
      </c>
      <c r="H6920" s="1">
        <v>2</v>
      </c>
      <c r="I6920" s="1" t="s">
        <v>13338</v>
      </c>
      <c r="K6920" s="1" t="str">
        <f t="shared" si="441"/>
        <v>ㄐ</v>
      </c>
      <c r="L6920" s="1" t="str">
        <f t="shared" si="442"/>
        <v>ㄧ</v>
      </c>
      <c r="M6920" s="1" t="str">
        <f t="shared" si="443"/>
        <v>ㄚ</v>
      </c>
      <c r="P6920" s="1" t="s">
        <v>20</v>
      </c>
      <c r="R6920" s="1" t="s">
        <v>13339</v>
      </c>
      <c r="V6920" s="1" t="s">
        <v>13348</v>
      </c>
      <c r="W6920" s="1" t="s">
        <v>13349</v>
      </c>
      <c r="AR6920" s="1" t="str">
        <f t="shared" si="440"/>
        <v>| [ㄐㄧㄚˋ](ㄐㄧㄚˋ.md) | [假](假.md) |  | jià | [名]
工作期間依規定或經申請獲准的休息時間。如：「放假」、「暑假」、「春假」、「請假」、「銷假」、「病假」。 |</v>
      </c>
    </row>
    <row r="6921" spans="1:44" hidden="1">
      <c r="A6921" s="1" t="s">
        <v>13350</v>
      </c>
      <c r="C6921" s="1">
        <v>1</v>
      </c>
      <c r="D6921" s="1" t="str">
        <f>"05529"</f>
        <v>05529</v>
      </c>
      <c r="E6921" s="1" t="s">
        <v>534</v>
      </c>
      <c r="F6921" s="1">
        <v>13</v>
      </c>
      <c r="G6921" s="1">
        <v>10</v>
      </c>
      <c r="H6921" s="1">
        <v>0</v>
      </c>
      <c r="I6921" s="1" t="s">
        <v>13338</v>
      </c>
      <c r="K6921" s="1" t="str">
        <f t="shared" si="441"/>
        <v>ㄐ</v>
      </c>
      <c r="L6921" s="1" t="str">
        <f t="shared" si="442"/>
        <v>ㄧ</v>
      </c>
      <c r="M6921" s="1" t="str">
        <f t="shared" si="443"/>
        <v>ㄚ</v>
      </c>
      <c r="P6921" s="1" t="s">
        <v>20</v>
      </c>
      <c r="R6921" s="1" t="s">
        <v>13339</v>
      </c>
      <c r="V6921" s="1" t="s">
        <v>13351</v>
      </c>
      <c r="AR6921" s="1" t="str">
        <f t="shared" si="440"/>
        <v>| [ㄐㄧㄚˋ](ㄐㄧㄚˋ.md) | [嫁](嫁.md) |  | jià | [動]
1.女子結婚。如：「出嫁」、「婚嫁」。唐．張籍〈節婦吟寄東平李司空師道〉詩：「還君明珠雙淚垂，何不相逢未嫁時。」唐．白居易〈琵琶行〉：「門前冷落鞍馬稀，老大嫁作商人婦。」
2.推惡於人。如：「嫁禍」、「嫁怨」。 |</v>
      </c>
    </row>
    <row r="6922" spans="1:44" hidden="1">
      <c r="A6922" s="1" t="s">
        <v>13352</v>
      </c>
      <c r="C6922" s="1">
        <v>1</v>
      </c>
      <c r="D6922" s="1" t="str">
        <f>"05530"</f>
        <v>05530</v>
      </c>
      <c r="E6922" s="1" t="s">
        <v>429</v>
      </c>
      <c r="F6922" s="1">
        <v>15</v>
      </c>
      <c r="G6922" s="1">
        <v>10</v>
      </c>
      <c r="H6922" s="1">
        <v>0</v>
      </c>
      <c r="I6922" s="1" t="s">
        <v>13338</v>
      </c>
      <c r="K6922" s="1" t="str">
        <f t="shared" si="441"/>
        <v>ㄐ</v>
      </c>
      <c r="L6922" s="1" t="str">
        <f t="shared" si="442"/>
        <v>ㄧ</v>
      </c>
      <c r="M6922" s="1" t="str">
        <f t="shared" si="443"/>
        <v>ㄚ</v>
      </c>
      <c r="P6922" s="1" t="s">
        <v>20</v>
      </c>
      <c r="R6922" s="1" t="s">
        <v>13339</v>
      </c>
      <c r="V6922" s="1" t="s">
        <v>13353</v>
      </c>
      <c r="AR6922" s="1" t="str">
        <f t="shared" si="440"/>
        <v>| [ㄐㄧㄚˋ](ㄐㄧㄚˋ.md) | [稼](稼.md) |  | jià | [名]
禾的穗和果實。亦泛指農作物。如：「莊稼」。《詩經．豳風．七月》：「十月納禾稼。」
[動]
耕作。如：「耕稼」、「稼穡」。《詩經．魏風．伐檀》：「不稼不穡，胡取禾三百廛兮？」唐．韓愈〈圬者王承福傳〉：「粟，稼而生者也。」 |</v>
      </c>
    </row>
    <row r="6923" spans="1:44" hidden="1">
      <c r="A6923" s="1" t="s">
        <v>9548</v>
      </c>
      <c r="C6923" s="1">
        <v>1</v>
      </c>
      <c r="D6923" s="1" t="str">
        <f>"05531"</f>
        <v>05531</v>
      </c>
      <c r="E6923" s="1" t="s">
        <v>114</v>
      </c>
      <c r="F6923" s="1">
        <v>15</v>
      </c>
      <c r="G6923" s="1">
        <v>13</v>
      </c>
      <c r="H6923" s="1">
        <v>1</v>
      </c>
      <c r="I6923" s="1" t="s">
        <v>13338</v>
      </c>
      <c r="K6923" s="1" t="str">
        <f t="shared" si="441"/>
        <v>ㄐ</v>
      </c>
      <c r="L6923" s="1" t="str">
        <f t="shared" si="442"/>
        <v>ㄧ</v>
      </c>
      <c r="M6923" s="1" t="str">
        <f t="shared" si="443"/>
        <v>ㄚ</v>
      </c>
      <c r="P6923" s="1" t="s">
        <v>20</v>
      </c>
      <c r="R6923" s="1" t="s">
        <v>13339</v>
      </c>
      <c r="V6923" s="1" t="s">
        <v>13354</v>
      </c>
      <c r="W6923" s="1" t="s">
        <v>13355</v>
      </c>
      <c r="AR6923" s="1" t="str">
        <f t="shared" si="440"/>
        <v>| [ㄐㄧㄚˋ](ㄐㄧㄚˋ.md) | [價](價.md) |  | jià | [名]
1.事物所值的具體金錢數。如：「物價」、「市價」、「差價」、「定價」。唐．白居易〈秦中吟．買花〉：「貴賤無常價，酬直看花數。」宋．戴復古〈庚子薦饑〉詩：「休言穀價貴，菜亦貴如金。」
2.人、事、物所值的抽象地位或身分。如：「身價」、「聲價」、「評價」。
3.化學上用來表示一個原子與他種原子相結合時所參與的數目。如：「原子價」、「氫是一價的元素。」 |</v>
      </c>
    </row>
    <row r="6924" spans="1:44" hidden="1">
      <c r="A6924" s="1" t="s">
        <v>13356</v>
      </c>
      <c r="C6924" s="1">
        <v>1</v>
      </c>
      <c r="D6924" s="1" t="str">
        <f>"05532"</f>
        <v>05532</v>
      </c>
      <c r="E6924" s="1" t="s">
        <v>205</v>
      </c>
      <c r="F6924" s="1">
        <v>9</v>
      </c>
      <c r="G6924" s="1">
        <v>4</v>
      </c>
      <c r="H6924" s="1">
        <v>0</v>
      </c>
      <c r="I6924" s="1" t="s">
        <v>13357</v>
      </c>
      <c r="K6924" s="1" t="str">
        <f t="shared" si="441"/>
        <v>ㄐ</v>
      </c>
      <c r="L6924" s="1" t="str">
        <f t="shared" si="442"/>
        <v>ㄧ</v>
      </c>
      <c r="M6924" s="1" t="str">
        <f t="shared" si="443"/>
        <v>ㄝ</v>
      </c>
      <c r="P6924" s="1" t="s">
        <v>20</v>
      </c>
      <c r="R6924" s="1" t="s">
        <v>13358</v>
      </c>
      <c r="V6924" s="1" t="s">
        <v>13359</v>
      </c>
      <c r="AR6924" s="1" t="str">
        <f t="shared" si="440"/>
        <v>| [ㄐㄧㄝ](ㄐㄧㄝ.md) | [皆](皆.md) |  | jiē | [副]
1.全、都，統括之詞。如：「草木皆兵」、「萬般皆下品，唯有讀書高。」、「眾人皆醉，我獨醒。」《孟子．告子下》：「人皆可以為堯舜。」唐．白居易〈長恨歌〉：「上窮碧落下黃泉，兩處茫茫皆不見。」
2.並、同。通「偕」。《儀禮．聘禮》：「大夫奉束帛入，三揖皆行，至于階。」 |</v>
      </c>
    </row>
    <row r="6925" spans="1:44" hidden="1">
      <c r="A6925" s="1" t="s">
        <v>13360</v>
      </c>
      <c r="C6925" s="1">
        <v>1</v>
      </c>
      <c r="D6925" s="1" t="str">
        <f>"05533"</f>
        <v>05533</v>
      </c>
      <c r="E6925" s="1" t="s">
        <v>114</v>
      </c>
      <c r="F6925" s="1">
        <v>11</v>
      </c>
      <c r="G6925" s="1">
        <v>9</v>
      </c>
      <c r="H6925" s="1">
        <v>2</v>
      </c>
      <c r="I6925" s="1" t="s">
        <v>13357</v>
      </c>
      <c r="K6925" s="1" t="str">
        <f t="shared" si="441"/>
        <v>ㄐ</v>
      </c>
      <c r="L6925" s="1" t="str">
        <f t="shared" si="442"/>
        <v>ㄧ</v>
      </c>
      <c r="M6925" s="1" t="str">
        <f t="shared" si="443"/>
        <v>ㄝ</v>
      </c>
      <c r="P6925" s="1" t="s">
        <v>110</v>
      </c>
      <c r="R6925" s="1" t="s">
        <v>13358</v>
      </c>
      <c r="V6925" s="1" t="s">
        <v>111</v>
      </c>
      <c r="W6925" s="1" t="s">
        <v>13361</v>
      </c>
      <c r="AR6925" s="1" t="str">
        <f t="shared" si="440"/>
        <v>| [ㄐㄧㄝ](ㄐㄧㄝ.md) | [偕](偕.md) |  | jiē | (一)之又音。 |</v>
      </c>
    </row>
    <row r="6926" spans="1:44" hidden="1">
      <c r="A6926" s="1" t="s">
        <v>13362</v>
      </c>
      <c r="C6926" s="1">
        <v>1</v>
      </c>
      <c r="D6926" s="1" t="str">
        <f>"05534"</f>
        <v>05534</v>
      </c>
      <c r="E6926" s="1" t="s">
        <v>129</v>
      </c>
      <c r="F6926" s="1">
        <v>12</v>
      </c>
      <c r="G6926" s="1">
        <v>9</v>
      </c>
      <c r="H6926" s="1">
        <v>0</v>
      </c>
      <c r="I6926" s="1" t="s">
        <v>13357</v>
      </c>
      <c r="K6926" s="1" t="str">
        <f t="shared" si="441"/>
        <v>ㄐ</v>
      </c>
      <c r="L6926" s="1" t="str">
        <f t="shared" si="442"/>
        <v>ㄧ</v>
      </c>
      <c r="M6926" s="1" t="str">
        <f t="shared" si="443"/>
        <v>ㄝ</v>
      </c>
      <c r="P6926" s="1" t="s">
        <v>20</v>
      </c>
      <c r="R6926" s="1" t="s">
        <v>13358</v>
      </c>
      <c r="V6926" s="1" t="s">
        <v>13363</v>
      </c>
      <c r="AR6926" s="1" t="str">
        <f t="shared" si="440"/>
        <v>| [ㄐㄧㄝ](ㄐㄧㄝ.md) | [湝](湝.md) |  | jiē | 參見「湝湝」條。 |</v>
      </c>
    </row>
    <row r="6927" spans="1:44" hidden="1">
      <c r="A6927" s="1" t="s">
        <v>13364</v>
      </c>
      <c r="C6927" s="1">
        <v>1</v>
      </c>
      <c r="D6927" s="1" t="str">
        <f>"05535"</f>
        <v>05535</v>
      </c>
      <c r="E6927" s="1" t="s">
        <v>28</v>
      </c>
      <c r="F6927" s="1">
        <v>12</v>
      </c>
      <c r="G6927" s="1">
        <v>9</v>
      </c>
      <c r="H6927" s="1">
        <v>0</v>
      </c>
      <c r="I6927" s="1" t="s">
        <v>13357</v>
      </c>
      <c r="K6927" s="1" t="str">
        <f t="shared" si="441"/>
        <v>ㄐ</v>
      </c>
      <c r="L6927" s="1" t="str">
        <f t="shared" si="442"/>
        <v>ㄧ</v>
      </c>
      <c r="M6927" s="1" t="str">
        <f t="shared" si="443"/>
        <v>ㄝ</v>
      </c>
      <c r="P6927" s="1" t="s">
        <v>20</v>
      </c>
      <c r="R6927" s="1" t="s">
        <v>13358</v>
      </c>
      <c r="V6927" s="1" t="s">
        <v>13365</v>
      </c>
      <c r="AR6927" s="1" t="str">
        <f t="shared" si="440"/>
        <v>| [ㄐㄧㄝ](ㄐㄧㄝ.md) | [喈](喈.md) |  | jiē | [擬]
參見「喈喈」條。
[形]
急速。《詩經．邶風．北風》：「北風其喈，雨雪其霏。」 |</v>
      </c>
    </row>
    <row r="6928" spans="1:44" hidden="1">
      <c r="A6928" s="1" t="s">
        <v>13366</v>
      </c>
      <c r="C6928" s="1">
        <v>1</v>
      </c>
      <c r="D6928" s="1" t="str">
        <f>"05536"</f>
        <v>05536</v>
      </c>
      <c r="E6928" s="1" t="s">
        <v>691</v>
      </c>
      <c r="F6928" s="1">
        <v>12</v>
      </c>
      <c r="G6928" s="1">
        <v>9</v>
      </c>
      <c r="H6928" s="1">
        <v>0</v>
      </c>
      <c r="I6928" s="1" t="s">
        <v>13357</v>
      </c>
      <c r="K6928" s="1" t="str">
        <f t="shared" si="441"/>
        <v>ㄐ</v>
      </c>
      <c r="L6928" s="1" t="str">
        <f t="shared" si="442"/>
        <v>ㄧ</v>
      </c>
      <c r="M6928" s="1" t="str">
        <f t="shared" si="443"/>
        <v>ㄝ</v>
      </c>
      <c r="P6928" s="1" t="s">
        <v>20</v>
      </c>
      <c r="R6928" s="1" t="s">
        <v>13358</v>
      </c>
      <c r="V6928" s="1" t="s">
        <v>13367</v>
      </c>
      <c r="AR6928" s="1" t="str">
        <f t="shared" si="440"/>
        <v>| [ㄐㄧㄝ](ㄐㄧㄝ.md) | [階](階.md) |  | jiē | [名]
1.用磚、石等砌成的梯形建築物。如：「臺階」、「石階」。唐．杜甫〈蜀相〉詩：「映階碧草自春色，隔葉黃鸝空好音。」唐．白居易〈長恨歌〉：「西宮南苑多秋草，落葉滿階紅不掃。」
2.比喻能藉以得到更高名位的事物。如：「進身之階」。
3.等級。如：「官階」、「軍階」。明．余繼登《典故紀聞》卷四：「凡及兩考，而事蹟顯著者，皆得加授階。」
4.途徑、緣由、憑借。《易經．繫辭上》：「亂之所生也，則言語以為階。」《抱朴子．外篇．尚博》：「近弭禍亂之階，遠垂長世之祉。」 |</v>
      </c>
    </row>
    <row r="6929" spans="1:44" hidden="1">
      <c r="A6929" s="1" t="s">
        <v>13368</v>
      </c>
      <c r="C6929" s="1">
        <v>1</v>
      </c>
      <c r="D6929" s="1" t="str">
        <f>"05537"</f>
        <v>05537</v>
      </c>
      <c r="E6929" s="1" t="s">
        <v>679</v>
      </c>
      <c r="F6929" s="1">
        <v>15</v>
      </c>
      <c r="G6929" s="1">
        <v>9</v>
      </c>
      <c r="H6929" s="1">
        <v>0</v>
      </c>
      <c r="I6929" s="1" t="s">
        <v>13357</v>
      </c>
      <c r="K6929" s="1" t="str">
        <f t="shared" si="441"/>
        <v>ㄐ</v>
      </c>
      <c r="L6929" s="1" t="str">
        <f t="shared" si="442"/>
        <v>ㄧ</v>
      </c>
      <c r="M6929" s="1" t="str">
        <f t="shared" si="443"/>
        <v>ㄝ</v>
      </c>
      <c r="P6929" s="1" t="s">
        <v>20</v>
      </c>
      <c r="R6929" s="1" t="s">
        <v>13358</v>
      </c>
      <c r="V6929" s="1" t="s">
        <v>13369</v>
      </c>
      <c r="AR6929" s="1" t="str">
        <f t="shared" si="440"/>
        <v>| [ㄐㄧㄝ](ㄐㄧㄝ.md) | [蝔](蝔.md) |  | jiē | [名]
傳說中一種能預知天雨的蟲。《廣韻．平聲．皆韻》：「蝔，蟲名。《淮南子》曰：『蝔知雨至。』蝔蟲大如筆管，長三寸，代謂之猥狗。知天雨，則於草木下藏其身。」 |</v>
      </c>
    </row>
    <row r="6930" spans="1:44" hidden="1">
      <c r="A6930" s="1" t="s">
        <v>13370</v>
      </c>
      <c r="C6930" s="1">
        <v>1</v>
      </c>
      <c r="D6930" s="1" t="str">
        <f>"05538"</f>
        <v>05538</v>
      </c>
      <c r="E6930" s="1" t="s">
        <v>40</v>
      </c>
      <c r="F6930" s="1">
        <v>11</v>
      </c>
      <c r="G6930" s="1">
        <v>6</v>
      </c>
      <c r="H6930" s="1">
        <v>0</v>
      </c>
      <c r="I6930" s="1" t="s">
        <v>13357</v>
      </c>
      <c r="K6930" s="1" t="str">
        <f t="shared" si="441"/>
        <v>ㄐ</v>
      </c>
      <c r="L6930" s="1" t="str">
        <f t="shared" si="442"/>
        <v>ㄧ</v>
      </c>
      <c r="M6930" s="1" t="str">
        <f t="shared" si="443"/>
        <v>ㄝ</v>
      </c>
      <c r="P6930" s="1" t="s">
        <v>20</v>
      </c>
      <c r="R6930" s="1" t="s">
        <v>13358</v>
      </c>
      <c r="V6930" s="1" t="s">
        <v>13371</v>
      </c>
      <c r="AR6930" s="1" t="str">
        <f t="shared" si="440"/>
        <v>| [ㄐㄧㄝ](ㄐㄧㄝ.md) | [痎](痎.md) |  | jiē | [名]
古書上稱兩天發作一次的瘧疾。亦泛指瘧疾。《說文解字．疒部》：「痎，二日一發瘧也。」唐．元稹〈痁臥聞幕中諸公徵樂會飲因有戲呈三十韻〉：「畢竟圖斟酌，先須遣癘痎。」 |</v>
      </c>
    </row>
    <row r="6931" spans="1:44" hidden="1">
      <c r="A6931" s="1" t="s">
        <v>13372</v>
      </c>
      <c r="C6931" s="1">
        <v>1</v>
      </c>
      <c r="D6931" s="1" t="str">
        <f>"05539"</f>
        <v>05539</v>
      </c>
      <c r="E6931" s="1" t="s">
        <v>24</v>
      </c>
      <c r="F6931" s="1">
        <v>11</v>
      </c>
      <c r="G6931" s="1">
        <v>8</v>
      </c>
      <c r="H6931" s="1">
        <v>0</v>
      </c>
      <c r="I6931" s="1" t="s">
        <v>13357</v>
      </c>
      <c r="K6931" s="1" t="str">
        <f t="shared" si="441"/>
        <v>ㄐ</v>
      </c>
      <c r="L6931" s="1" t="str">
        <f t="shared" si="442"/>
        <v>ㄧ</v>
      </c>
      <c r="M6931" s="1" t="str">
        <f t="shared" si="443"/>
        <v>ㄝ</v>
      </c>
      <c r="P6931" s="1" t="s">
        <v>20</v>
      </c>
      <c r="R6931" s="1" t="s">
        <v>13358</v>
      </c>
      <c r="V6931" s="1" t="s">
        <v>13373</v>
      </c>
      <c r="AR6931" s="1" t="str">
        <f t="shared" si="440"/>
        <v>| [ㄐㄧㄝ](ㄐㄧㄝ.md) | [接](接.md) |  | jiē | [動]
1.交合、相觸。如：「交頭接耳」、「短兵相接」、「四目相接」。《孟子．梁惠王上》：「填然鼓之兵刃既接，棄甲曳兵而走。」
2.交際、招待。如：「迎接」、「接待」。《孟子．萬章下》：「其交也以道，其接也以禮。」《史記．卷八四．屈原賈生傳》：「出則接遇賓客，應對諸侯。」
3.收、受。如：「接納」、「接電話」、「接到來信」。
4.承受、托住。如：「接招」、「接住他投來的球。」《三國演義》第一七回：「遂自下馬接土填坑。」
5.連續、連接。如：「接續」、「接骨」、「接枝」、「接電線」、「上氣不接下氣」。
6.替換使延續。如：「接替」、「接班」、「接棒」、「接力賽」。
[名]
姓。如漢代有接昕。 |</v>
      </c>
    </row>
    <row r="6932" spans="1:44" hidden="1">
      <c r="A6932" s="1" t="s">
        <v>13374</v>
      </c>
      <c r="C6932" s="1">
        <v>1</v>
      </c>
      <c r="D6932" s="1" t="str">
        <f>"05540"</f>
        <v>05540</v>
      </c>
      <c r="E6932" s="1" t="s">
        <v>139</v>
      </c>
      <c r="F6932" s="1">
        <v>12</v>
      </c>
      <c r="G6932" s="1">
        <v>8</v>
      </c>
      <c r="H6932" s="1">
        <v>0</v>
      </c>
      <c r="I6932" s="1" t="s">
        <v>13357</v>
      </c>
      <c r="K6932" s="1" t="str">
        <f t="shared" si="441"/>
        <v>ㄐ</v>
      </c>
      <c r="L6932" s="1" t="str">
        <f t="shared" si="442"/>
        <v>ㄧ</v>
      </c>
      <c r="M6932" s="1" t="str">
        <f t="shared" si="443"/>
        <v>ㄝ</v>
      </c>
      <c r="P6932" s="1" t="s">
        <v>20</v>
      </c>
      <c r="R6932" s="1" t="s">
        <v>13358</v>
      </c>
      <c r="V6932" s="1" t="s">
        <v>13375</v>
      </c>
      <c r="AR6932" s="1" t="str">
        <f t="shared" si="440"/>
        <v>| [ㄐㄧㄝ](ㄐㄧㄝ.md) | [椄](椄.md) |  | jiē | [動]
嫁接花木果樹。《說文解字．木部》：「椄，續木也。」清．段玉裁．注：「今栽華植果者，以彼枝移椄此樹，而華果同彼樹矣。椄之言接也，今接行而椄廢。」 |</v>
      </c>
    </row>
    <row r="6933" spans="1:44" hidden="1">
      <c r="A6933" s="1" t="s">
        <v>13376</v>
      </c>
      <c r="C6933" s="1">
        <v>1</v>
      </c>
      <c r="D6933" s="1" t="str">
        <f>"05541"</f>
        <v>05541</v>
      </c>
      <c r="E6933" s="1" t="s">
        <v>429</v>
      </c>
      <c r="F6933" s="1">
        <v>11</v>
      </c>
      <c r="G6933" s="1">
        <v>6</v>
      </c>
      <c r="H6933" s="1">
        <v>0</v>
      </c>
      <c r="I6933" s="1" t="s">
        <v>13357</v>
      </c>
      <c r="K6933" s="1" t="str">
        <f t="shared" si="441"/>
        <v>ㄐ</v>
      </c>
      <c r="L6933" s="1" t="str">
        <f t="shared" si="442"/>
        <v>ㄧ</v>
      </c>
      <c r="M6933" s="1" t="str">
        <f t="shared" si="443"/>
        <v>ㄝ</v>
      </c>
      <c r="P6933" s="1" t="s">
        <v>20</v>
      </c>
      <c r="R6933" s="1" t="s">
        <v>13358</v>
      </c>
      <c r="V6933" s="1" t="s">
        <v>13377</v>
      </c>
      <c r="AR6933" s="1" t="str">
        <f t="shared" si="440"/>
        <v>| [ㄐㄧㄝ](ㄐㄧㄝ.md) | [秸](秸.md) |  | jiē | [名]
禾粒打脫以後的禾莖。如：「麥秸」、「豆秸」。 |</v>
      </c>
    </row>
    <row r="6934" spans="1:44" hidden="1">
      <c r="A6934" s="1" t="s">
        <v>13378</v>
      </c>
      <c r="C6934" s="1">
        <v>1</v>
      </c>
      <c r="D6934" s="1" t="str">
        <f>"05542"</f>
        <v>05542</v>
      </c>
      <c r="E6934" s="1" t="s">
        <v>725</v>
      </c>
      <c r="F6934" s="1">
        <v>12</v>
      </c>
      <c r="G6934" s="1">
        <v>6</v>
      </c>
      <c r="H6934" s="1">
        <v>2</v>
      </c>
      <c r="I6934" s="1" t="s">
        <v>13357</v>
      </c>
      <c r="K6934" s="1" t="str">
        <f t="shared" si="441"/>
        <v>ㄐ</v>
      </c>
      <c r="L6934" s="1" t="str">
        <f t="shared" si="442"/>
        <v>ㄧ</v>
      </c>
      <c r="M6934" s="1" t="str">
        <f t="shared" si="443"/>
        <v>ㄝ</v>
      </c>
      <c r="P6934" s="1" t="s">
        <v>20</v>
      </c>
      <c r="R6934" s="1" t="s">
        <v>13358</v>
      </c>
      <c r="V6934" s="1" t="s">
        <v>13379</v>
      </c>
      <c r="W6934" s="1" t="s">
        <v>13380</v>
      </c>
      <c r="AR6934" s="1" t="str">
        <f t="shared" si="440"/>
        <v>| [ㄐㄧㄝ](ㄐㄧㄝ.md) | [結](結.md) |  | jiē | 參見「結實」(二)、「結結巴巴」、「結結實實」等條。 |</v>
      </c>
    </row>
    <row r="6935" spans="1:44" hidden="1">
      <c r="A6935" s="1" t="s">
        <v>13381</v>
      </c>
      <c r="C6935" s="1">
        <v>1</v>
      </c>
      <c r="D6935" s="1" t="str">
        <f>"05543"</f>
        <v>05543</v>
      </c>
      <c r="E6935" s="1" t="s">
        <v>24</v>
      </c>
      <c r="F6935" s="1">
        <v>12</v>
      </c>
      <c r="G6935" s="1">
        <v>9</v>
      </c>
      <c r="H6935" s="1">
        <v>1</v>
      </c>
      <c r="I6935" s="1" t="s">
        <v>13357</v>
      </c>
      <c r="K6935" s="1" t="str">
        <f t="shared" si="441"/>
        <v>ㄐ</v>
      </c>
      <c r="L6935" s="1" t="str">
        <f t="shared" si="442"/>
        <v>ㄧ</v>
      </c>
      <c r="M6935" s="1" t="str">
        <f t="shared" si="443"/>
        <v>ㄝ</v>
      </c>
      <c r="P6935" s="1" t="s">
        <v>20</v>
      </c>
      <c r="R6935" s="1" t="s">
        <v>13358</v>
      </c>
      <c r="V6935" s="1" t="s">
        <v>13382</v>
      </c>
      <c r="W6935" s="1" t="s">
        <v>13383</v>
      </c>
      <c r="AR6935" s="1" t="str">
        <f t="shared" si="440"/>
        <v>| [ㄐㄧㄝ](ㄐㄧㄝ.md) | [揭](揭.md) |  | jiē | [動]
1.舉、高舉。如：「高揭義旗」、「揭竿而起」。《戰國策．齊策四》：「於是乘其車，揭其劍，過其友曰：『孟嘗君客我。』」
2.公開表露出來。如：「揭露」、「揭短」、「揭底」、「揭曉」。
3.掀開、拉開。如：「揭幕」、「揭鍋蓋」。唐．韓偓〈復偶見三絕〉之三：「半身映竹輕聞語，一手揭簾微轉頭。」
4.把黏在物體上面的東西撕下。如：「揭膏藥」、「揭瘡巴」、「揭下壁報」。
5.肩負。《莊子．胠篋》：「然而巨盜至，則負匱揭篋擔囊而趨。」唐．杜光庭《虯髯客傳》：「乃紫衣戴帽人，杖揭一囊。」
[名]
姓。如唐代有揭鎮，清代有揭暄。 |</v>
      </c>
    </row>
    <row r="6936" spans="1:44" hidden="1">
      <c r="A6936" s="1" t="s">
        <v>13384</v>
      </c>
      <c r="C6936" s="1">
        <v>1</v>
      </c>
      <c r="D6936" s="1" t="str">
        <f>"05544"</f>
        <v>05544</v>
      </c>
      <c r="E6936" s="1" t="s">
        <v>7105</v>
      </c>
      <c r="F6936" s="1">
        <v>12</v>
      </c>
      <c r="G6936" s="1">
        <v>6</v>
      </c>
      <c r="H6936" s="1">
        <v>0</v>
      </c>
      <c r="I6936" s="1" t="s">
        <v>13357</v>
      </c>
      <c r="K6936" s="1" t="str">
        <f t="shared" si="441"/>
        <v>ㄐ</v>
      </c>
      <c r="L6936" s="1" t="str">
        <f t="shared" si="442"/>
        <v>ㄧ</v>
      </c>
      <c r="M6936" s="1" t="str">
        <f t="shared" si="443"/>
        <v>ㄝ</v>
      </c>
      <c r="P6936" s="1" t="s">
        <v>20</v>
      </c>
      <c r="R6936" s="1" t="s">
        <v>13358</v>
      </c>
      <c r="V6936" s="1" t="s">
        <v>13385</v>
      </c>
      <c r="AR6936" s="1" t="str">
        <f t="shared" si="440"/>
        <v>| [ㄐㄧㄝ](ㄐㄧㄝ.md) | [街](街.md) |  | jiē | [名]_x000D_
1.城鎮中兩旁有商店，且較為熱鬧的道路。也泛指一般馬路。如：「街道」、「逛街」、「掃街車」、「大街小巷」。宋．蘇軾〈奏浙西災傷第一狀〉：「巡門俵米，攔街散粥，終不能救。」元．秦𥳑夫《東堂老》第三折：「今日呵便擔著孛籃，拽著衣服，不害羞當街裡叫將過去。」_x000D_
2.某種行業集中的商業區。如：「電影街」、「家具街」、「小吃街」。 |</v>
      </c>
    </row>
    <row r="6937" spans="1:44" hidden="1">
      <c r="A6937" s="1" t="s">
        <v>13386</v>
      </c>
      <c r="C6937" s="1">
        <v>1</v>
      </c>
      <c r="D6937" s="1" t="str">
        <f>"05545"</f>
        <v>05545</v>
      </c>
      <c r="E6937" s="1" t="s">
        <v>28</v>
      </c>
      <c r="F6937" s="1">
        <v>13</v>
      </c>
      <c r="G6937" s="1">
        <v>10</v>
      </c>
      <c r="H6937" s="1">
        <v>1</v>
      </c>
      <c r="I6937" s="1" t="s">
        <v>13357</v>
      </c>
      <c r="K6937" s="1" t="str">
        <f t="shared" si="441"/>
        <v>ㄐ</v>
      </c>
      <c r="L6937" s="1" t="str">
        <f t="shared" si="442"/>
        <v>ㄧ</v>
      </c>
      <c r="M6937" s="1" t="str">
        <f t="shared" si="443"/>
        <v>ㄝ</v>
      </c>
      <c r="P6937" s="1" t="s">
        <v>20</v>
      </c>
      <c r="R6937" s="1" t="s">
        <v>13358</v>
      </c>
      <c r="V6937" s="1" t="s">
        <v>13387</v>
      </c>
      <c r="W6937" s="1" t="s">
        <v>13388</v>
      </c>
      <c r="AR6937" s="1" t="str">
        <f t="shared" si="440"/>
        <v>| [ㄐㄧㄝ](ㄐㄧㄝ.md) | [嗟](嗟.md) |  | jiē | [歎]_x000D_
1.表示感傷、哀痛的語氣。唐．韓愈〈祭田橫墓文〉：「死者不復生，嗟余去此其從誰！」唐．張籍〈西州〉詩：「嗟我五陵間，農者罷耘耕。」_x000D_
2.表示讚美的語氣。《史記．卷五七．絳侯周勃世家》：「嗟乎！此真將軍矣！」_x000D_
3.招呼聲。《書經．費誓》：「公曰：『嗟！人無譁，聽命。』」《禮記．檀弓》：「黔敖左奉食，右執飲，曰：『嗟！來食。』」_x000D_
[助]_x000D_
發語詞，無義。漢．張衡〈西京賦〉：「群窈窕之華麗，嗟內顧之所觀。」 |</v>
      </c>
    </row>
    <row r="6938" spans="1:44" hidden="1">
      <c r="A6938" s="1" t="s">
        <v>13389</v>
      </c>
      <c r="C6938" s="1">
        <v>1</v>
      </c>
      <c r="D6938" s="1" t="str">
        <f>"05546"</f>
        <v>05546</v>
      </c>
      <c r="E6938" s="1" t="s">
        <v>37</v>
      </c>
      <c r="F6938" s="1">
        <v>17</v>
      </c>
      <c r="G6938" s="1">
        <v>13</v>
      </c>
      <c r="H6938" s="1">
        <v>2</v>
      </c>
      <c r="I6938" s="1" t="s">
        <v>13357</v>
      </c>
      <c r="K6938" s="1" t="str">
        <f t="shared" si="441"/>
        <v>ㄐ</v>
      </c>
      <c r="L6938" s="1" t="str">
        <f t="shared" si="442"/>
        <v>ㄧ</v>
      </c>
      <c r="M6938" s="1" t="str">
        <f t="shared" si="443"/>
        <v>ㄝ</v>
      </c>
      <c r="P6938" s="1" t="s">
        <v>110</v>
      </c>
      <c r="R6938" s="1" t="s">
        <v>13358</v>
      </c>
      <c r="V6938" s="1" t="s">
        <v>111</v>
      </c>
      <c r="W6938" s="1" t="s">
        <v>13390</v>
      </c>
      <c r="AR6938" s="1" t="str">
        <f t="shared" si="440"/>
        <v>| [ㄐㄧㄝ](ㄐㄧㄝ.md) | [薢](薢.md) |  | jiē | (一)之又音。 |</v>
      </c>
    </row>
    <row r="6939" spans="1:44" hidden="1">
      <c r="A6939" s="1" t="s">
        <v>13391</v>
      </c>
      <c r="C6939" s="1">
        <v>1</v>
      </c>
      <c r="D6939" s="1" t="str">
        <f>"05547"</f>
        <v>05547</v>
      </c>
      <c r="E6939" s="1" t="s">
        <v>331</v>
      </c>
      <c r="F6939" s="1">
        <v>18</v>
      </c>
      <c r="G6939" s="1">
        <v>11</v>
      </c>
      <c r="H6939" s="1">
        <v>0</v>
      </c>
      <c r="I6939" s="1" t="s">
        <v>13357</v>
      </c>
      <c r="K6939" s="1" t="str">
        <f t="shared" si="441"/>
        <v>ㄐ</v>
      </c>
      <c r="L6939" s="1" t="str">
        <f t="shared" si="442"/>
        <v>ㄧ</v>
      </c>
      <c r="M6939" s="1" t="str">
        <f t="shared" si="443"/>
        <v>ㄝ</v>
      </c>
      <c r="P6939" s="1" t="s">
        <v>20</v>
      </c>
      <c r="R6939" s="1" t="s">
        <v>13358</v>
      </c>
      <c r="V6939" s="1" t="s">
        <v>13392</v>
      </c>
      <c r="AR6939" s="1" t="str">
        <f t="shared" si="440"/>
        <v>| [ㄐㄧㄝ](ㄐㄧㄝ.md) | [謯](謯.md) |  | jiē | [形]
愚笨。民國．章太炎《新方言．釋言》：「《說文》：『謯，娽也。』案：娽，訓隨從，引伸有鈍遲義。謯亦此義。今廣信謂愚為謯，蘇州亦爾。」 |</v>
      </c>
    </row>
    <row r="6940" spans="1:44" hidden="1">
      <c r="A6940" s="1" t="s">
        <v>13393</v>
      </c>
      <c r="C6940" s="1">
        <v>1</v>
      </c>
      <c r="D6940" s="1" t="str">
        <f>"05548"</f>
        <v>05548</v>
      </c>
      <c r="E6940" s="1" t="s">
        <v>40</v>
      </c>
      <c r="F6940" s="1">
        <v>18</v>
      </c>
      <c r="G6940" s="1">
        <v>13</v>
      </c>
      <c r="H6940" s="1">
        <v>2</v>
      </c>
      <c r="I6940" s="1" t="s">
        <v>13357</v>
      </c>
      <c r="K6940" s="1" t="str">
        <f t="shared" si="441"/>
        <v>ㄐ</v>
      </c>
      <c r="L6940" s="1" t="str">
        <f t="shared" si="442"/>
        <v>ㄧ</v>
      </c>
      <c r="M6940" s="1" t="str">
        <f t="shared" si="443"/>
        <v>ㄝ</v>
      </c>
      <c r="P6940" s="1" t="s">
        <v>110</v>
      </c>
      <c r="R6940" s="1" t="s">
        <v>13358</v>
      </c>
      <c r="V6940" s="1" t="s">
        <v>111</v>
      </c>
      <c r="W6940" s="1" t="s">
        <v>13394</v>
      </c>
      <c r="AR6940" s="1" t="str">
        <f t="shared" si="440"/>
        <v>| [ㄐㄧㄝ](ㄐㄧㄝ.md) | [癤](癤.md) |  | jiē | (一)之又音。 |</v>
      </c>
    </row>
    <row r="6941" spans="1:44" hidden="1">
      <c r="A6941" s="1" t="s">
        <v>13395</v>
      </c>
      <c r="C6941" s="1">
        <v>1</v>
      </c>
      <c r="D6941" s="1" t="str">
        <f>"05549"</f>
        <v>05549</v>
      </c>
      <c r="E6941" s="1" t="s">
        <v>2954</v>
      </c>
      <c r="F6941" s="1">
        <v>2</v>
      </c>
      <c r="G6941" s="1">
        <v>0</v>
      </c>
      <c r="H6941" s="1">
        <v>0</v>
      </c>
      <c r="I6941" s="1" t="s">
        <v>13396</v>
      </c>
      <c r="K6941" s="1" t="str">
        <f t="shared" si="441"/>
        <v>ㄐ</v>
      </c>
      <c r="L6941" s="1" t="str">
        <f t="shared" si="442"/>
        <v>ㄧ</v>
      </c>
      <c r="M6941" s="1" t="str">
        <f t="shared" si="443"/>
        <v>ㄝ</v>
      </c>
      <c r="P6941" s="1" t="s">
        <v>20</v>
      </c>
      <c r="R6941" s="1" t="s">
        <v>13397</v>
      </c>
      <c r="V6941" s="1" t="s">
        <v>13398</v>
      </c>
      <c r="AR6941" s="1" t="str">
        <f t="shared" si="440"/>
        <v>| [ㄐㄧㄝˊ](ㄐㄧㄝˊ.md) | [卩](卩.md) |  | jié | [名]
1.古代一種代表身分與權力的信物。《玉篇．卩部》：「卩，瑞信也。」
2.二一四部首之一。 |</v>
      </c>
    </row>
    <row r="6942" spans="1:44" hidden="1">
      <c r="A6942" s="1" t="s">
        <v>13399</v>
      </c>
      <c r="C6942" s="1">
        <v>1</v>
      </c>
      <c r="D6942" s="1" t="str">
        <f>"05550"</f>
        <v>05550</v>
      </c>
      <c r="E6942" s="1" t="s">
        <v>241</v>
      </c>
      <c r="F6942" s="1">
        <v>3</v>
      </c>
      <c r="G6942" s="1">
        <v>0</v>
      </c>
      <c r="H6942" s="1">
        <v>0</v>
      </c>
      <c r="I6942" s="1" t="s">
        <v>13396</v>
      </c>
      <c r="K6942" s="1" t="str">
        <f t="shared" si="441"/>
        <v>ㄐ</v>
      </c>
      <c r="L6942" s="1" t="str">
        <f t="shared" si="442"/>
        <v>ㄧ</v>
      </c>
      <c r="M6942" s="1" t="str">
        <f t="shared" si="443"/>
        <v>ㄝ</v>
      </c>
      <c r="P6942" s="1" t="s">
        <v>20</v>
      </c>
      <c r="R6942" s="1" t="s">
        <v>13397</v>
      </c>
      <c r="V6942" s="1" t="s">
        <v>13400</v>
      </c>
      <c r="AR6942" s="1" t="str">
        <f t="shared" si="440"/>
        <v>| [ㄐㄧㄝˊ](ㄐㄧㄝˊ.md) | [孑](孑.md) |  | jié | [形]
單獨的。《文選．陸機．辯亡論》：「蓬籠之戰，孑輪不反。」
[副]
孤獨的。如：「孑然一身」。《晉書．卷八八．李密傳》：「煢煢孑立，形影相弔。」
[動]
遺留、剩餘。《詩經．大雅．雲漢》：「周餘黎民，靡有孑遺。」
[名]
姓。如明代有孑金。 |</v>
      </c>
    </row>
    <row r="6943" spans="1:44" hidden="1">
      <c r="A6943" s="1" t="s">
        <v>13401</v>
      </c>
      <c r="C6943" s="1">
        <v>1</v>
      </c>
      <c r="D6943" s="1" t="str">
        <f>"05551"</f>
        <v>05551</v>
      </c>
      <c r="E6943" s="1" t="s">
        <v>245</v>
      </c>
      <c r="F6943" s="1">
        <v>7</v>
      </c>
      <c r="G6943" s="1">
        <v>5</v>
      </c>
      <c r="H6943" s="1">
        <v>0</v>
      </c>
      <c r="I6943" s="1" t="s">
        <v>13396</v>
      </c>
      <c r="K6943" s="1" t="str">
        <f t="shared" si="441"/>
        <v>ㄐ</v>
      </c>
      <c r="L6943" s="1" t="str">
        <f t="shared" si="442"/>
        <v>ㄧ</v>
      </c>
      <c r="M6943" s="1" t="str">
        <f t="shared" si="443"/>
        <v>ㄝ</v>
      </c>
      <c r="P6943" s="1" t="s">
        <v>20</v>
      </c>
      <c r="R6943" s="1" t="s">
        <v>13397</v>
      </c>
      <c r="V6943" s="1" t="s">
        <v>13402</v>
      </c>
      <c r="AR6943" s="1" t="str">
        <f t="shared" si="440"/>
        <v>| [ㄐㄧㄝˊ](ㄐㄧㄝˊ.md) | [劫](劫.md) |  | jié | [動]_x000D_
1.用威嚇的手段脅迫。《史記．卷八六．刺客列傳．荊軻》：「誠得劫秦王，使悉反諸侯侵地。」宋．蘇洵〈六國論〉：「悲夫！有如此之勢，而為秦人積威之所劫。」_x000D_
2.強取、搶奪。如：「打劫」、「搶劫」、「打家劫舍」。南朝宋．劉義慶《世說新語．自新》：「陸機赴假還洛，輜重甚盛，淵使少年掠劫。」_x000D_
[名]_x000D_
1.梵語音譯「劫波」（kalpa）的略稱。一個極為長久的時間單位。佛教以世界經歷若干萬年即毀滅一次，再重新開始為「一劫」。如：「大劫」、「小劫」、「賢劫」。_x000D_
2.災難、災禍。如：「浩劫」、「劫難」、「劫後餘生」。《聊齋志異．卷一．嬌娜》：「今有雷霆之劫。」_x000D_
3.圍棋上指從屬未定，可互相牽制的棋眼。《儒林外史》第五三回：「這一盤鄒泰來卻殺死四五塊，陳木南正在暗歡喜，又被他生出一個劫來，打個不清。」 |</v>
      </c>
    </row>
    <row r="6944" spans="1:44" hidden="1">
      <c r="A6944" s="1" t="s">
        <v>13403</v>
      </c>
      <c r="C6944" s="1">
        <v>1</v>
      </c>
      <c r="D6944" s="1" t="str">
        <f>"05552"</f>
        <v>05552</v>
      </c>
      <c r="E6944" s="1" t="s">
        <v>245</v>
      </c>
      <c r="F6944" s="1">
        <v>8</v>
      </c>
      <c r="G6944" s="1">
        <v>6</v>
      </c>
      <c r="H6944" s="1">
        <v>0</v>
      </c>
      <c r="I6944" s="1" t="s">
        <v>13396</v>
      </c>
      <c r="K6944" s="1" t="str">
        <f t="shared" si="441"/>
        <v>ㄐ</v>
      </c>
      <c r="L6944" s="1" t="str">
        <f t="shared" si="442"/>
        <v>ㄧ</v>
      </c>
      <c r="M6944" s="1" t="str">
        <f t="shared" si="443"/>
        <v>ㄝ</v>
      </c>
      <c r="P6944" s="1" t="s">
        <v>20</v>
      </c>
      <c r="R6944" s="1" t="s">
        <v>13397</v>
      </c>
      <c r="V6944" s="1" t="s">
        <v>13404</v>
      </c>
      <c r="AR6944" s="1" t="str">
        <f t="shared" si="440"/>
        <v>| [ㄐㄧㄝˊ](ㄐㄧㄝˊ.md) | [劼](劼.md) |  | jié | [動]
1.慎重、謹慎。《說文解字．力部》：「劼，慎也。」
2.穩固。《爾雅．釋詁》：「劼，固也。」
3.努力、勤勉。《廣雅．釋詁》：「劼，勤也。」 |</v>
      </c>
    </row>
    <row r="6945" spans="1:44" hidden="1">
      <c r="A6945" s="1" t="s">
        <v>13405</v>
      </c>
      <c r="C6945" s="1">
        <v>1</v>
      </c>
      <c r="D6945" s="1" t="str">
        <f>"05553"</f>
        <v>05553</v>
      </c>
      <c r="E6945" s="1" t="s">
        <v>24</v>
      </c>
      <c r="F6945" s="1">
        <v>9</v>
      </c>
      <c r="G6945" s="1">
        <v>6</v>
      </c>
      <c r="H6945" s="1">
        <v>0</v>
      </c>
      <c r="I6945" s="1" t="s">
        <v>13396</v>
      </c>
      <c r="K6945" s="1" t="str">
        <f t="shared" si="441"/>
        <v>ㄐ</v>
      </c>
      <c r="L6945" s="1" t="str">
        <f t="shared" si="442"/>
        <v>ㄧ</v>
      </c>
      <c r="M6945" s="1" t="str">
        <f t="shared" si="443"/>
        <v>ㄝ</v>
      </c>
      <c r="P6945" s="1" t="s">
        <v>20</v>
      </c>
      <c r="R6945" s="1" t="s">
        <v>13397</v>
      </c>
      <c r="V6945" s="1" t="s">
        <v>13406</v>
      </c>
      <c r="AR6945" s="1" t="str">
        <f t="shared" si="440"/>
        <v>| [ㄐㄧㄝˊ](ㄐㄧㄝˊ.md) | [拮](拮.md) |  | jié | 參見「拮据」條。 |</v>
      </c>
    </row>
    <row r="6946" spans="1:44" hidden="1">
      <c r="A6946" s="1" t="s">
        <v>13407</v>
      </c>
      <c r="C6946" s="1">
        <v>1</v>
      </c>
      <c r="D6946" s="1" t="str">
        <f>"05554"</f>
        <v>05554</v>
      </c>
      <c r="E6946" s="1" t="s">
        <v>139</v>
      </c>
      <c r="F6946" s="1">
        <v>10</v>
      </c>
      <c r="G6946" s="1">
        <v>6</v>
      </c>
      <c r="H6946" s="1">
        <v>1</v>
      </c>
      <c r="I6946" s="1" t="s">
        <v>13396</v>
      </c>
      <c r="K6946" s="1" t="str">
        <f t="shared" si="441"/>
        <v>ㄐ</v>
      </c>
      <c r="L6946" s="1" t="str">
        <f t="shared" si="442"/>
        <v>ㄧ</v>
      </c>
      <c r="M6946" s="1" t="str">
        <f t="shared" si="443"/>
        <v>ㄝ</v>
      </c>
      <c r="P6946" s="1" t="s">
        <v>20</v>
      </c>
      <c r="R6946" s="1" t="s">
        <v>13397</v>
      </c>
      <c r="V6946" s="1" t="s">
        <v>13408</v>
      </c>
      <c r="W6946" s="1" t="s">
        <v>13409</v>
      </c>
      <c r="AR6946" s="1" t="str">
        <f t="shared" si="440"/>
        <v>| [ㄐㄧㄝˊ](ㄐㄧㄝˊ.md) | [桔](桔.md) |  | jié | 參見「桔梗」、「桔槔」等條。 |</v>
      </c>
    </row>
    <row r="6947" spans="1:44" hidden="1">
      <c r="A6947" s="1" t="s">
        <v>13410</v>
      </c>
      <c r="C6947" s="1">
        <v>1</v>
      </c>
      <c r="D6947" s="1" t="str">
        <f>"05555"</f>
        <v>05555</v>
      </c>
      <c r="E6947" s="1" t="s">
        <v>340</v>
      </c>
      <c r="F6947" s="1">
        <v>12</v>
      </c>
      <c r="G6947" s="1">
        <v>6</v>
      </c>
      <c r="H6947" s="1">
        <v>0</v>
      </c>
      <c r="I6947" s="1" t="s">
        <v>13396</v>
      </c>
      <c r="K6947" s="1" t="str">
        <f t="shared" si="441"/>
        <v>ㄐ</v>
      </c>
      <c r="L6947" s="1" t="str">
        <f t="shared" si="442"/>
        <v>ㄧ</v>
      </c>
      <c r="M6947" s="1" t="str">
        <f t="shared" si="443"/>
        <v>ㄝ</v>
      </c>
      <c r="P6947" s="1" t="s">
        <v>20</v>
      </c>
      <c r="R6947" s="1" t="s">
        <v>13397</v>
      </c>
      <c r="V6947" s="1" t="s">
        <v>13411</v>
      </c>
      <c r="AR6947" s="1" t="str">
        <f t="shared" si="440"/>
        <v>| [ㄐㄧㄝˊ](ㄐㄧㄝˊ.md) | [袺](袺.md) |  | jié | [動]
把衣襟向上提起，用以兜攬東西。《詩經．周南．芣苢》：「采采芣苢，薄言袺之。」 |</v>
      </c>
    </row>
    <row r="6948" spans="1:44" hidden="1">
      <c r="A6948" s="1" t="s">
        <v>13412</v>
      </c>
      <c r="C6948" s="1">
        <v>1</v>
      </c>
      <c r="D6948" s="1" t="str">
        <f>"05556"</f>
        <v>05556</v>
      </c>
      <c r="E6948" s="1" t="s">
        <v>679</v>
      </c>
      <c r="F6948" s="1">
        <v>12</v>
      </c>
      <c r="G6948" s="1">
        <v>6</v>
      </c>
      <c r="H6948" s="1">
        <v>0</v>
      </c>
      <c r="I6948" s="1" t="s">
        <v>13396</v>
      </c>
      <c r="K6948" s="1" t="str">
        <f t="shared" si="441"/>
        <v>ㄐ</v>
      </c>
      <c r="L6948" s="1" t="str">
        <f t="shared" si="442"/>
        <v>ㄧ</v>
      </c>
      <c r="M6948" s="1" t="str">
        <f t="shared" si="443"/>
        <v>ㄝ</v>
      </c>
      <c r="P6948" s="1" t="s">
        <v>20</v>
      </c>
      <c r="R6948" s="1" t="s">
        <v>13397</v>
      </c>
      <c r="V6948" s="1" t="s">
        <v>13413</v>
      </c>
      <c r="AR6948" s="1" t="str">
        <f t="shared" si="440"/>
        <v>| [ㄐㄧㄝˊ](ㄐㄧㄝˊ.md) | [蛣](蛣.md) |  | jié | 參見「蛣蜣」條。 |</v>
      </c>
    </row>
    <row r="6949" spans="1:44" hidden="1">
      <c r="A6949" s="1" t="s">
        <v>13378</v>
      </c>
      <c r="C6949" s="1">
        <v>1</v>
      </c>
      <c r="D6949" s="1" t="str">
        <f>"05557"</f>
        <v>05557</v>
      </c>
      <c r="E6949" s="1" t="s">
        <v>725</v>
      </c>
      <c r="F6949" s="1">
        <v>12</v>
      </c>
      <c r="G6949" s="1">
        <v>6</v>
      </c>
      <c r="H6949" s="1">
        <v>1</v>
      </c>
      <c r="I6949" s="1" t="s">
        <v>13396</v>
      </c>
      <c r="K6949" s="1" t="str">
        <f t="shared" si="441"/>
        <v>ㄐ</v>
      </c>
      <c r="L6949" s="1" t="str">
        <f t="shared" si="442"/>
        <v>ㄧ</v>
      </c>
      <c r="M6949" s="1" t="str">
        <f t="shared" si="443"/>
        <v>ㄝ</v>
      </c>
      <c r="P6949" s="1" t="s">
        <v>20</v>
      </c>
      <c r="R6949" s="1" t="s">
        <v>13397</v>
      </c>
      <c r="V6949" s="1" t="s">
        <v>13414</v>
      </c>
      <c r="W6949" s="1" t="s">
        <v>13415</v>
      </c>
      <c r="AR6949" s="1" t="str">
        <f t="shared" si="440"/>
        <v>| [ㄐㄧㄝˊ](ㄐㄧㄝˊ.md) | [結](結.md) |  | jié | [動]
1.用繩或線相鉤連。如：「結網」、「結繩」。
2.締交、聯合。如：「結婚」、「結識」、「締結」、「集會結社」、「義結金蘭」。
3.構成、形成。如：「結冤」、「結仇」。
4.建構、建造。如：「結廬」。唐．顧況〈閒居自述〉詩：「有山堪結屋，無地可容塵。」
5.凝聚。如：「結冰」、「凝結」、「凍結」。
6.植物長出果實。如：「結實纍纍」、「樹上結了許多果子。」
7.終了、收束。如：「結案」、「了結」、「結帳」。
[名]
1.繩、線或帶子所結成的紐。如：「領結」、「死結」、「蝴蝶結」。
2.憂傷思緒糾纏難解之處。如：「鬱結」、「心有千千結」。唐．韋莊〈應天長．別來半歲音書絕〉詞：「別來半歲音書絕，一寸離腸千萬結。」
3.表示保證或負責的文件、字據。如：「具結」、「保結」。 |</v>
      </c>
    </row>
    <row r="6950" spans="1:44" hidden="1">
      <c r="A6950" s="1" t="s">
        <v>13416</v>
      </c>
      <c r="C6950" s="1">
        <v>1</v>
      </c>
      <c r="D6950" s="1" t="str">
        <f>"05558"</f>
        <v>05558</v>
      </c>
      <c r="E6950" s="1" t="s">
        <v>331</v>
      </c>
      <c r="F6950" s="1">
        <v>13</v>
      </c>
      <c r="G6950" s="1">
        <v>6</v>
      </c>
      <c r="H6950" s="1">
        <v>0</v>
      </c>
      <c r="I6950" s="1" t="s">
        <v>13396</v>
      </c>
      <c r="K6950" s="1" t="str">
        <f t="shared" si="441"/>
        <v>ㄐ</v>
      </c>
      <c r="L6950" s="1" t="str">
        <f t="shared" si="442"/>
        <v>ㄧ</v>
      </c>
      <c r="M6950" s="1" t="str">
        <f t="shared" si="443"/>
        <v>ㄝ</v>
      </c>
      <c r="P6950" s="1" t="s">
        <v>20</v>
      </c>
      <c r="R6950" s="1" t="s">
        <v>13397</v>
      </c>
      <c r="V6950" s="1" t="s">
        <v>13417</v>
      </c>
      <c r="AR6950" s="1" t="str">
        <f t="shared" si="440"/>
        <v>| [ㄐㄧㄝˊ](ㄐㄧㄝˊ.md) | [詰](詰.md) |  | jié | [動]
1.詢問、責問。如：「反詰」、「盤詰」、「詰詢」。《左傳．僖公十五年》：「卜徒父筮之，吉：『涉河，侯車敗。』詰之，對曰：『乃大吉也。三敗，必獲晉君。』」唐．韓愈〈進學解〉：「是所謂詰匠氏之不以杙為楹。」
2.追究、查辦。《淮南子．時則》：「牛馬畜獸有放失者，取之不詰。」唐．聶夷中〈公子行〉二首之一：「走馬踏殺人，街吏不敢詰。」
[形]
1.明日的、次日的。如：「詰旦」。《左傳．僖公二十八年》：「戒爾車乘，敬爾君事，詰朝將見。」
2.屈曲不直。《文選．曹操．苦寒行》：「羊腸坂詰屈，車輪為之摧。」 |</v>
      </c>
    </row>
    <row r="6951" spans="1:44" hidden="1">
      <c r="A6951" s="1" t="s">
        <v>13418</v>
      </c>
      <c r="C6951" s="1">
        <v>1</v>
      </c>
      <c r="D6951" s="1" t="str">
        <f>"05559"</f>
        <v>05559</v>
      </c>
      <c r="E6951" s="1" t="s">
        <v>684</v>
      </c>
      <c r="F6951" s="1">
        <v>15</v>
      </c>
      <c r="G6951" s="1">
        <v>6</v>
      </c>
      <c r="H6951" s="1">
        <v>2</v>
      </c>
      <c r="I6951" s="1" t="s">
        <v>13396</v>
      </c>
      <c r="K6951" s="1" t="str">
        <f t="shared" si="441"/>
        <v>ㄐ</v>
      </c>
      <c r="L6951" s="1" t="str">
        <f t="shared" si="442"/>
        <v>ㄧ</v>
      </c>
      <c r="M6951" s="1" t="str">
        <f t="shared" si="443"/>
        <v>ㄝ</v>
      </c>
      <c r="P6951" s="1" t="s">
        <v>20</v>
      </c>
      <c r="R6951" s="1" t="s">
        <v>13397</v>
      </c>
      <c r="V6951" s="1" t="s">
        <v>13419</v>
      </c>
      <c r="W6951" s="1" t="s">
        <v>13420</v>
      </c>
      <c r="AR6951" s="1" t="str">
        <f t="shared" si="440"/>
        <v>| [ㄐㄧㄝˊ](ㄐㄧㄝˊ.md) | [頡](頡.md) |  | jié | [動]
減扣、掠除。《新唐書．卷一三五．高仙芝傳》：「我退，罪也，死不敢辭；然以我為盜頡資糧，誣也。」 |</v>
      </c>
    </row>
    <row r="6952" spans="1:44" hidden="1">
      <c r="A6952" s="1" t="s">
        <v>13421</v>
      </c>
      <c r="C6952" s="1">
        <v>1</v>
      </c>
      <c r="D6952" s="1" t="str">
        <f>"05560"</f>
        <v>05560</v>
      </c>
      <c r="E6952" s="1" t="s">
        <v>156</v>
      </c>
      <c r="F6952" s="1">
        <v>17</v>
      </c>
      <c r="G6952" s="1">
        <v>6</v>
      </c>
      <c r="H6952" s="1">
        <v>0</v>
      </c>
      <c r="I6952" s="1" t="s">
        <v>13396</v>
      </c>
      <c r="K6952" s="1" t="str">
        <f t="shared" si="441"/>
        <v>ㄐ</v>
      </c>
      <c r="L6952" s="1" t="str">
        <f t="shared" si="442"/>
        <v>ㄧ</v>
      </c>
      <c r="M6952" s="1" t="str">
        <f t="shared" si="443"/>
        <v>ㄝ</v>
      </c>
      <c r="P6952" s="1" t="s">
        <v>20</v>
      </c>
      <c r="R6952" s="1" t="s">
        <v>13397</v>
      </c>
      <c r="V6952" s="1" t="s">
        <v>13422</v>
      </c>
      <c r="AR6952" s="1" t="str">
        <f t="shared" si="440"/>
        <v>| [ㄐㄧㄝˊ](ㄐㄧㄝˊ.md) | [鮚](鮚.md) |  | jié | [名]
一種腹中有小蟹寄居的蚌。《說文解字．魚部》：「鮚，蚌也。」清．段玉裁．注：「《地理志》：『會稽鄞縣有鮚埼亭。』師古曰：『鮚，蚌也。長一寸，廣二分，有一小蟹在其腹中。埼，曲岸也，其中多鮚，故以名亭。』」 |</v>
      </c>
    </row>
    <row r="6953" spans="1:44" hidden="1">
      <c r="A6953" s="1" t="s">
        <v>13423</v>
      </c>
      <c r="C6953" s="1">
        <v>1</v>
      </c>
      <c r="D6953" s="1" t="str">
        <f>"05561"</f>
        <v>05561</v>
      </c>
      <c r="E6953" s="1" t="s">
        <v>24</v>
      </c>
      <c r="F6953" s="1">
        <v>18</v>
      </c>
      <c r="G6953" s="1">
        <v>15</v>
      </c>
      <c r="H6953" s="1">
        <v>1</v>
      </c>
      <c r="I6953" s="1" t="s">
        <v>13396</v>
      </c>
      <c r="K6953" s="1" t="str">
        <f t="shared" si="441"/>
        <v>ㄐ</v>
      </c>
      <c r="L6953" s="1" t="str">
        <f t="shared" si="442"/>
        <v>ㄧ</v>
      </c>
      <c r="M6953" s="1" t="str">
        <f t="shared" si="443"/>
        <v>ㄝ</v>
      </c>
      <c r="P6953" s="1" t="s">
        <v>20</v>
      </c>
      <c r="R6953" s="1" t="s">
        <v>13397</v>
      </c>
      <c r="V6953" s="1" t="s">
        <v>13424</v>
      </c>
      <c r="W6953" s="1" t="s">
        <v>13425</v>
      </c>
      <c r="AR6953" s="1" t="str">
        <f t="shared" si="440"/>
        <v>| [ㄐㄧㄝˊ](ㄐㄧㄝˊ.md) | [擷](擷.md) |  | jié | [動]
1.把衣服的下襬提起，以兜圍東西。同「襭」。《說文解字．衣部》：「襭，以衣衽扱物謂之襭。襭或從手。」
2.摘取。《廣韻．入聲．屑韻》：「擷，捋取。」唐．王維〈相思〉詩：「願君多采擷，此物最相思。」 |</v>
      </c>
    </row>
    <row r="6954" spans="1:44" hidden="1">
      <c r="A6954" s="1" t="s">
        <v>13426</v>
      </c>
      <c r="C6954" s="1">
        <v>1</v>
      </c>
      <c r="D6954" s="1" t="str">
        <f>"05562"</f>
        <v>05562</v>
      </c>
      <c r="E6954" s="1" t="s">
        <v>139</v>
      </c>
      <c r="F6954" s="1">
        <v>8</v>
      </c>
      <c r="G6954" s="1">
        <v>4</v>
      </c>
      <c r="H6954" s="1">
        <v>0</v>
      </c>
      <c r="I6954" s="1" t="s">
        <v>13396</v>
      </c>
      <c r="K6954" s="1" t="str">
        <f t="shared" si="441"/>
        <v>ㄐ</v>
      </c>
      <c r="L6954" s="1" t="str">
        <f t="shared" si="442"/>
        <v>ㄧ</v>
      </c>
      <c r="M6954" s="1" t="str">
        <f t="shared" si="443"/>
        <v>ㄝ</v>
      </c>
      <c r="P6954" s="1" t="s">
        <v>20</v>
      </c>
      <c r="R6954" s="1" t="s">
        <v>13397</v>
      </c>
      <c r="V6954" s="1" t="s">
        <v>13427</v>
      </c>
      <c r="AR6954" s="1" t="str">
        <f t="shared" si="440"/>
        <v>| [ㄐㄧㄝˊ](ㄐㄧㄝˊ.md) | [杰](杰.md) |  | jié | 同「傑」。 |</v>
      </c>
    </row>
    <row r="6955" spans="1:44" hidden="1">
      <c r="A6955" s="1" t="s">
        <v>13428</v>
      </c>
      <c r="C6955" s="1">
        <v>1</v>
      </c>
      <c r="D6955" s="1" t="str">
        <f>"05563"</f>
        <v>05563</v>
      </c>
      <c r="E6955" s="1" t="s">
        <v>331</v>
      </c>
      <c r="F6955" s="1">
        <v>10</v>
      </c>
      <c r="G6955" s="1">
        <v>3</v>
      </c>
      <c r="H6955" s="1">
        <v>0</v>
      </c>
      <c r="I6955" s="1" t="s">
        <v>13396</v>
      </c>
      <c r="K6955" s="1" t="str">
        <f t="shared" si="441"/>
        <v>ㄐ</v>
      </c>
      <c r="L6955" s="1" t="str">
        <f t="shared" si="442"/>
        <v>ㄧ</v>
      </c>
      <c r="M6955" s="1" t="str">
        <f t="shared" si="443"/>
        <v>ㄝ</v>
      </c>
      <c r="P6955" s="1" t="s">
        <v>20</v>
      </c>
      <c r="R6955" s="1" t="s">
        <v>13397</v>
      </c>
      <c r="V6955" s="1" t="s">
        <v>13429</v>
      </c>
      <c r="AR6955" s="1" t="str">
        <f t="shared" si="440"/>
        <v>| [ㄐㄧㄝˊ](ㄐㄧㄝˊ.md) | [訐](訐.md) |  | jié | [動]
揭發、攻擊別人的隱私、缺點。如：「攻訐」、「訐人之短」。《論語．陽貨》：「惡不孫以為勇者，惡訐以為直者。」 |</v>
      </c>
    </row>
    <row r="6956" spans="1:44" hidden="1">
      <c r="A6956" s="1" t="s">
        <v>13430</v>
      </c>
      <c r="C6956" s="1">
        <v>1</v>
      </c>
      <c r="D6956" s="1" t="str">
        <f>"05564"</f>
        <v>05564</v>
      </c>
      <c r="E6956" s="1" t="s">
        <v>340</v>
      </c>
      <c r="F6956" s="1">
        <v>10</v>
      </c>
      <c r="G6956" s="1">
        <v>4</v>
      </c>
      <c r="H6956" s="1">
        <v>0</v>
      </c>
      <c r="I6956" s="1" t="s">
        <v>13396</v>
      </c>
      <c r="K6956" s="1" t="str">
        <f t="shared" si="441"/>
        <v>ㄐ</v>
      </c>
      <c r="L6956" s="1" t="str">
        <f t="shared" si="442"/>
        <v>ㄧ</v>
      </c>
      <c r="M6956" s="1" t="str">
        <f t="shared" si="443"/>
        <v>ㄝ</v>
      </c>
      <c r="P6956" s="1" t="s">
        <v>20</v>
      </c>
      <c r="R6956" s="1" t="s">
        <v>13397</v>
      </c>
      <c r="V6956" s="1" t="s">
        <v>13431</v>
      </c>
      <c r="AR6956" s="1" t="str">
        <f t="shared" si="440"/>
        <v>| [ㄐㄧㄝˊ](ㄐㄧㄝˊ.md) | [衱](衱.md) |  | jié | [名]
衣服的後襟。《爾雅．釋器》：「衱謂之裾。」晉．郭璞．注：「衣後襟也。」 |</v>
      </c>
    </row>
    <row r="6957" spans="1:44" hidden="1">
      <c r="A6957" s="1" t="s">
        <v>13432</v>
      </c>
      <c r="C6957" s="1">
        <v>1</v>
      </c>
      <c r="D6957" s="1" t="str">
        <f>"05565"</f>
        <v>05565</v>
      </c>
      <c r="E6957" s="1" t="s">
        <v>114</v>
      </c>
      <c r="F6957" s="1">
        <v>10</v>
      </c>
      <c r="G6957" s="1">
        <v>8</v>
      </c>
      <c r="H6957" s="1">
        <v>0</v>
      </c>
      <c r="I6957" s="1" t="s">
        <v>13396</v>
      </c>
      <c r="K6957" s="1" t="str">
        <f t="shared" si="441"/>
        <v>ㄐ</v>
      </c>
      <c r="L6957" s="1" t="str">
        <f t="shared" si="442"/>
        <v>ㄧ</v>
      </c>
      <c r="M6957" s="1" t="str">
        <f t="shared" si="443"/>
        <v>ㄝ</v>
      </c>
      <c r="P6957" s="1" t="s">
        <v>20</v>
      </c>
      <c r="R6957" s="1" t="s">
        <v>13397</v>
      </c>
      <c r="V6957" s="1" t="s">
        <v>13433</v>
      </c>
      <c r="AR6957" s="1" t="str">
        <f t="shared" si="440"/>
        <v>| [ㄐㄧㄝˊ](ㄐㄧㄝˊ.md) | [倢](倢.md) |  | jié | [形]
靈活、敏捷。漢．揚雄．《方言》卷一：「虔，儇、慧也。……宋楚之間謂之倢。」宋．蘇舜欽〈送李冀州詩〉：「眼如堅冰面珂月，氣勁倢鶻橫清秋。」
[名]
參見「倢伃」條。 |</v>
      </c>
    </row>
    <row r="6958" spans="1:44" hidden="1">
      <c r="A6958" s="1" t="s">
        <v>13434</v>
      </c>
      <c r="C6958" s="1">
        <v>1</v>
      </c>
      <c r="D6958" s="1" t="str">
        <f>"05566"</f>
        <v>05566</v>
      </c>
      <c r="E6958" s="1" t="s">
        <v>24</v>
      </c>
      <c r="F6958" s="1">
        <v>11</v>
      </c>
      <c r="G6958" s="1">
        <v>8</v>
      </c>
      <c r="H6958" s="1">
        <v>0</v>
      </c>
      <c r="I6958" s="1" t="s">
        <v>13396</v>
      </c>
      <c r="K6958" s="1" t="str">
        <f t="shared" si="441"/>
        <v>ㄐ</v>
      </c>
      <c r="L6958" s="1" t="str">
        <f t="shared" si="442"/>
        <v>ㄧ</v>
      </c>
      <c r="M6958" s="1" t="str">
        <f t="shared" si="443"/>
        <v>ㄝ</v>
      </c>
      <c r="P6958" s="1" t="s">
        <v>20</v>
      </c>
      <c r="R6958" s="1" t="s">
        <v>13397</v>
      </c>
      <c r="V6958" s="1" t="s">
        <v>13435</v>
      </c>
      <c r="AR6958" s="1" t="str">
        <f t="shared" si="440"/>
        <v>| [ㄐㄧㄝˊ](ㄐㄧㄝˊ.md) | [捷](捷.md) |  | jié | [動]
戰勝、勝利。如：「連戰皆捷」。《漢書．卷五五．衛青傳》：「大將軍青躬率戎士，師大捷，獲匈奴王十有餘人。」《聊齋志異．卷一．葉生》：「公子又捷南宮，授部中主政。」
[形]
快速。如：「迅捷」、「敏捷」、「捷足先登」。《文選．曹植．七啟》：「才捷若神，形難為象。」
[名]
戰利品。《左傳．莊公三十一年》：「六月，齊侯來獻戎捷。」唐．岑參〈走馬川行奉送出師西征〉詩：「料知短兵不敢接，車師西門佇獻捷。」 |</v>
      </c>
    </row>
    <row r="6959" spans="1:44" hidden="1">
      <c r="A6959" s="1" t="s">
        <v>13436</v>
      </c>
      <c r="C6959" s="1">
        <v>1</v>
      </c>
      <c r="D6959" s="1" t="str">
        <f>"05567"</f>
        <v>05567</v>
      </c>
      <c r="E6959" s="1" t="s">
        <v>28</v>
      </c>
      <c r="F6959" s="1">
        <v>11</v>
      </c>
      <c r="G6959" s="1">
        <v>8</v>
      </c>
      <c r="H6959" s="1">
        <v>2</v>
      </c>
      <c r="I6959" s="1" t="s">
        <v>13396</v>
      </c>
      <c r="K6959" s="1" t="str">
        <f t="shared" si="441"/>
        <v>ㄐ</v>
      </c>
      <c r="L6959" s="1" t="str">
        <f t="shared" si="442"/>
        <v>ㄧ</v>
      </c>
      <c r="M6959" s="1" t="str">
        <f t="shared" si="443"/>
        <v>ㄝ</v>
      </c>
      <c r="P6959" s="1" t="s">
        <v>20</v>
      </c>
      <c r="R6959" s="1" t="s">
        <v>13397</v>
      </c>
      <c r="V6959" s="1" t="s">
        <v>13437</v>
      </c>
      <c r="W6959" s="1" t="s">
        <v>13438</v>
      </c>
      <c r="AR6959" s="1" t="str">
        <f t="shared" si="440"/>
        <v>| [ㄐㄧㄝˊ](ㄐㄧㄝˊ.md) | [啑](啑.md) |  | jié | 參見「啑血」條。 |</v>
      </c>
    </row>
    <row r="6960" spans="1:44" hidden="1">
      <c r="A6960" s="1" t="s">
        <v>13439</v>
      </c>
      <c r="C6960" s="1">
        <v>1</v>
      </c>
      <c r="D6960" s="1" t="str">
        <f>"05568"</f>
        <v>05568</v>
      </c>
      <c r="E6960" s="1" t="s">
        <v>534</v>
      </c>
      <c r="F6960" s="1">
        <v>11</v>
      </c>
      <c r="G6960" s="1">
        <v>8</v>
      </c>
      <c r="H6960" s="1">
        <v>0</v>
      </c>
      <c r="I6960" s="1" t="s">
        <v>13396</v>
      </c>
      <c r="K6960" s="1" t="str">
        <f t="shared" si="441"/>
        <v>ㄐ</v>
      </c>
      <c r="L6960" s="1" t="str">
        <f t="shared" si="442"/>
        <v>ㄧ</v>
      </c>
      <c r="M6960" s="1" t="str">
        <f t="shared" si="443"/>
        <v>ㄝ</v>
      </c>
      <c r="P6960" s="1" t="s">
        <v>20</v>
      </c>
      <c r="R6960" s="1" t="s">
        <v>13397</v>
      </c>
      <c r="V6960" s="1" t="s">
        <v>13440</v>
      </c>
      <c r="AR6960" s="1" t="str">
        <f t="shared" si="440"/>
        <v>| [ㄐㄧㄝˊ](ㄐㄧㄝˊ.md) | [婕](婕.md) |  | jié | 參見「婕妤」條。 |</v>
      </c>
    </row>
    <row r="6961" spans="1:44" hidden="1">
      <c r="A6961" s="1" t="s">
        <v>13441</v>
      </c>
      <c r="C6961" s="1">
        <v>1</v>
      </c>
      <c r="D6961" s="1" t="str">
        <f>"05569"</f>
        <v>05569</v>
      </c>
      <c r="E6961" s="1" t="s">
        <v>1015</v>
      </c>
      <c r="F6961" s="1">
        <v>13</v>
      </c>
      <c r="G6961" s="1">
        <v>8</v>
      </c>
      <c r="H6961" s="1">
        <v>0</v>
      </c>
      <c r="I6961" s="1" t="s">
        <v>13396</v>
      </c>
      <c r="K6961" s="1" t="str">
        <f t="shared" si="441"/>
        <v>ㄐ</v>
      </c>
      <c r="L6961" s="1" t="str">
        <f t="shared" si="442"/>
        <v>ㄧ</v>
      </c>
      <c r="M6961" s="1" t="str">
        <f t="shared" si="443"/>
        <v>ㄝ</v>
      </c>
      <c r="P6961" s="1" t="s">
        <v>20</v>
      </c>
      <c r="R6961" s="1" t="s">
        <v>13397</v>
      </c>
      <c r="V6961" s="1" t="s">
        <v>13442</v>
      </c>
      <c r="AR6961" s="1" t="str">
        <f t="shared" si="440"/>
        <v>| [ㄐㄧㄝˊ](ㄐㄧㄝˊ.md) | [睫](睫.md) |  | jié | [名]
長在上下眼瞼邊緣的細毛。如：「迫在眉睫」、「目不交睫」。唐．杜牧〈登池州九峰樓寄張祜〉詩：「睫在眼前長不見，道非身外更何求。」也稱為「睫毛」。 |</v>
      </c>
    </row>
    <row r="6962" spans="1:44" hidden="1">
      <c r="A6962" s="1" t="s">
        <v>13443</v>
      </c>
      <c r="C6962" s="1">
        <v>1</v>
      </c>
      <c r="D6962" s="1" t="str">
        <f>"05570"</f>
        <v>05570</v>
      </c>
      <c r="E6962" s="1" t="s">
        <v>49</v>
      </c>
      <c r="F6962" s="1">
        <v>14</v>
      </c>
      <c r="G6962" s="1">
        <v>8</v>
      </c>
      <c r="H6962" s="1">
        <v>2</v>
      </c>
      <c r="I6962" s="1" t="s">
        <v>13396</v>
      </c>
      <c r="K6962" s="1" t="str">
        <f t="shared" si="441"/>
        <v>ㄐ</v>
      </c>
      <c r="L6962" s="1" t="str">
        <f t="shared" si="442"/>
        <v>ㄧ</v>
      </c>
      <c r="M6962" s="1" t="str">
        <f t="shared" si="443"/>
        <v>ㄝ</v>
      </c>
      <c r="P6962" s="1" t="s">
        <v>110</v>
      </c>
      <c r="R6962" s="1" t="s">
        <v>13397</v>
      </c>
      <c r="V6962" s="1" t="s">
        <v>111</v>
      </c>
      <c r="W6962" s="1" t="s">
        <v>13444</v>
      </c>
      <c r="AR6962" s="1" t="str">
        <f t="shared" si="440"/>
        <v>| [ㄐㄧㄝˊ](ㄐㄧㄝˊ.md) | [箑](箑.md) |  | jié | (一)之又音。 |</v>
      </c>
    </row>
    <row r="6963" spans="1:44" hidden="1">
      <c r="A6963" s="1" t="s">
        <v>13445</v>
      </c>
      <c r="C6963" s="1">
        <v>1</v>
      </c>
      <c r="D6963" s="1" t="str">
        <f>"05571"</f>
        <v>05571</v>
      </c>
      <c r="E6963" s="1" t="s">
        <v>77</v>
      </c>
      <c r="F6963" s="1">
        <v>15</v>
      </c>
      <c r="G6963" s="1">
        <v>8</v>
      </c>
      <c r="H6963" s="1">
        <v>0</v>
      </c>
      <c r="I6963" s="1" t="s">
        <v>13396</v>
      </c>
      <c r="K6963" s="1" t="str">
        <f t="shared" si="441"/>
        <v>ㄐ</v>
      </c>
      <c r="L6963" s="1" t="str">
        <f t="shared" si="442"/>
        <v>ㄧ</v>
      </c>
      <c r="M6963" s="1" t="str">
        <f t="shared" si="443"/>
        <v>ㄝ</v>
      </c>
      <c r="P6963" s="1" t="s">
        <v>20</v>
      </c>
      <c r="R6963" s="1" t="s">
        <v>13397</v>
      </c>
      <c r="V6963" s="1" t="s">
        <v>13446</v>
      </c>
      <c r="AR6963" s="1" t="str">
        <f t="shared" si="440"/>
        <v>| [ㄐㄧㄝˊ](ㄐㄧㄝˊ.md) | [踕](踕.md) |  | jié | [副]
快速行走的樣子。《玉篇．足部》：「踕，足疾也。」 |</v>
      </c>
    </row>
    <row r="6964" spans="1:44" hidden="1">
      <c r="A6964" s="1" t="s">
        <v>13447</v>
      </c>
      <c r="C6964" s="1">
        <v>1</v>
      </c>
      <c r="D6964" s="1" t="str">
        <f>"05572"</f>
        <v>05572</v>
      </c>
      <c r="E6964" s="1" t="s">
        <v>139</v>
      </c>
      <c r="F6964" s="1">
        <v>10</v>
      </c>
      <c r="G6964" s="1">
        <v>6</v>
      </c>
      <c r="H6964" s="1">
        <v>0</v>
      </c>
      <c r="I6964" s="1" t="s">
        <v>13396</v>
      </c>
      <c r="K6964" s="1" t="str">
        <f t="shared" si="441"/>
        <v>ㄐ</v>
      </c>
      <c r="L6964" s="1" t="str">
        <f t="shared" si="442"/>
        <v>ㄧ</v>
      </c>
      <c r="M6964" s="1" t="str">
        <f t="shared" si="443"/>
        <v>ㄝ</v>
      </c>
      <c r="P6964" s="1" t="s">
        <v>20</v>
      </c>
      <c r="R6964" s="1" t="s">
        <v>13397</v>
      </c>
      <c r="V6964" s="1" t="s">
        <v>13448</v>
      </c>
      <c r="AR6964" s="1" t="str">
        <f t="shared" si="440"/>
        <v>| [ㄐㄧㄝˊ](ㄐㄧㄝˊ.md) | [桀](桀.md) |  | jié | [名]
1.雞棲息的小木樁。《詩經．王風．君子于役》：「雞棲于桀，日之夕矣。」
2.才能俊異特出的人。通「傑」。《呂氏春秋．仲春紀．功名》：「人主賢則豪桀歸之。」南朝宋．劉義慶《世說新語．賞譽》：「會稽孔沈、魏顗、虞球、虞存、謝奉，並是四族之俊，于時之桀。」
3.人名。夏朝最末的君王，非常凶狠殘暴。參見「夏桀」條。
4.姓。如春秋時楚國有桀溺。
[形]
凶暴。《韓非子．亡徵》：「官吏弱而人民桀，如此則國躁。」《清史稿．卷四九三．忠義傳七．孫家泰傳》：「而鳳臺苗沛霖所部，尤橫桀不可制。」
[動]
擔荷、負舉。《左傳．成公二年》：「齊高固入晉師，桀石以投人。」晉．杜預．注：「桀，擔也。」 |</v>
      </c>
    </row>
    <row r="6965" spans="1:44" hidden="1">
      <c r="A6965" s="1" t="s">
        <v>13449</v>
      </c>
      <c r="C6965" s="1">
        <v>1</v>
      </c>
      <c r="D6965" s="1" t="str">
        <f>"05573"</f>
        <v>05573</v>
      </c>
      <c r="E6965" s="1" t="s">
        <v>114</v>
      </c>
      <c r="F6965" s="1">
        <v>12</v>
      </c>
      <c r="G6965" s="1">
        <v>10</v>
      </c>
      <c r="H6965" s="1">
        <v>0</v>
      </c>
      <c r="I6965" s="1" t="s">
        <v>13396</v>
      </c>
      <c r="K6965" s="1" t="str">
        <f t="shared" si="441"/>
        <v>ㄐ</v>
      </c>
      <c r="L6965" s="1" t="str">
        <f t="shared" si="442"/>
        <v>ㄧ</v>
      </c>
      <c r="M6965" s="1" t="str">
        <f t="shared" si="443"/>
        <v>ㄝ</v>
      </c>
      <c r="P6965" s="1" t="s">
        <v>20</v>
      </c>
      <c r="R6965" s="1" t="s">
        <v>13397</v>
      </c>
      <c r="V6965" s="1" t="s">
        <v>13450</v>
      </c>
      <c r="AR6965" s="1" t="str">
        <f t="shared" si="440"/>
        <v>| [ㄐㄧㄝˊ](ㄐㄧㄝˊ.md) | [傑](傑.md) |  | jié | [名]
才智優異、特出的人。如：「豪傑」、「人傑」。《孟子．公孫丑上》：「尊賢使能，俊傑在位，則天下之士皆悅。」
[形]
1.優異、特出。如：「傑士」、「傑作」。南朝梁．劉勰《文心雕龍．章表》：「左雄奏議，臺閣為式；胡廣章奏，天下第一：並當時之傑筆也。」宋．陸游〈夜讀岑嘉州詩集〉詩：「零落財百篇，崔嵬多傑句。」
2.高大突出。唐．韓愈〈記夢〉詩：「隆樓傑閣磊嵬高，天風飄飄吹我過。」 |</v>
      </c>
    </row>
    <row r="6966" spans="1:44" hidden="1">
      <c r="A6966" s="1" t="s">
        <v>13451</v>
      </c>
      <c r="C6966" s="1">
        <v>1</v>
      </c>
      <c r="D6966" s="1" t="str">
        <f>"05574"</f>
        <v>05574</v>
      </c>
      <c r="E6966" s="1" t="s">
        <v>139</v>
      </c>
      <c r="F6966" s="1">
        <v>14</v>
      </c>
      <c r="G6966" s="1">
        <v>10</v>
      </c>
      <c r="H6966" s="1">
        <v>0</v>
      </c>
      <c r="I6966" s="1" t="s">
        <v>13396</v>
      </c>
      <c r="K6966" s="1" t="str">
        <f t="shared" si="441"/>
        <v>ㄐ</v>
      </c>
      <c r="L6966" s="1" t="str">
        <f t="shared" si="442"/>
        <v>ㄧ</v>
      </c>
      <c r="M6966" s="1" t="str">
        <f t="shared" si="443"/>
        <v>ㄝ</v>
      </c>
      <c r="P6966" s="1" t="s">
        <v>20</v>
      </c>
      <c r="R6966" s="1" t="s">
        <v>13397</v>
      </c>
      <c r="V6966" s="1" t="s">
        <v>13452</v>
      </c>
      <c r="AR6966" s="1" t="str">
        <f t="shared" si="440"/>
        <v>| [ㄐㄧㄝˊ](ㄐㄧㄝˊ.md) | [榤](榤.md) |  | jié | [名]
雞棲息的小木樁。同「桀」。《爾雅．釋宮》：「雞棲於弋為榤，鑿垣而棲為塒。」 |</v>
      </c>
    </row>
    <row r="6967" spans="1:44" hidden="1">
      <c r="A6967" s="1" t="s">
        <v>13283</v>
      </c>
      <c r="C6967" s="1">
        <v>1</v>
      </c>
      <c r="D6967" s="1" t="str">
        <f>"05575"</f>
        <v>05575</v>
      </c>
      <c r="E6967" s="1" t="s">
        <v>139</v>
      </c>
      <c r="F6967" s="1">
        <v>11</v>
      </c>
      <c r="G6967" s="1">
        <v>7</v>
      </c>
      <c r="H6967" s="1">
        <v>2</v>
      </c>
      <c r="I6967" s="1" t="s">
        <v>13396</v>
      </c>
      <c r="K6967" s="1" t="str">
        <f t="shared" si="441"/>
        <v>ㄐ</v>
      </c>
      <c r="L6967" s="1" t="str">
        <f t="shared" si="442"/>
        <v>ㄧ</v>
      </c>
      <c r="M6967" s="1" t="str">
        <f t="shared" si="443"/>
        <v>ㄝ</v>
      </c>
      <c r="P6967" s="1" t="s">
        <v>110</v>
      </c>
      <c r="R6967" s="1" t="s">
        <v>13397</v>
      </c>
      <c r="V6967" s="1" t="s">
        <v>111</v>
      </c>
      <c r="W6967" s="1" t="s">
        <v>13453</v>
      </c>
      <c r="AR6967" s="1" t="str">
        <f t="shared" si="440"/>
        <v>| [ㄐㄧㄝˊ](ㄐㄧㄝˊ.md) | [梜](梜.md) |  | jié | (一)之又音。 |</v>
      </c>
    </row>
    <row r="6968" spans="1:44" hidden="1">
      <c r="A6968" s="1" t="s">
        <v>12977</v>
      </c>
      <c r="C6968" s="1">
        <v>1</v>
      </c>
      <c r="D6968" s="1" t="str">
        <f>"05576"</f>
        <v>05576</v>
      </c>
      <c r="E6968" s="1" t="s">
        <v>139</v>
      </c>
      <c r="F6968" s="1">
        <v>11</v>
      </c>
      <c r="G6968" s="1">
        <v>7</v>
      </c>
      <c r="H6968" s="1">
        <v>1</v>
      </c>
      <c r="I6968" s="1" t="s">
        <v>13396</v>
      </c>
      <c r="K6968" s="1" t="str">
        <f t="shared" si="441"/>
        <v>ㄐ</v>
      </c>
      <c r="L6968" s="1" t="str">
        <f t="shared" si="442"/>
        <v>ㄧ</v>
      </c>
      <c r="M6968" s="1" t="str">
        <f t="shared" si="443"/>
        <v>ㄝ</v>
      </c>
      <c r="P6968" s="1" t="s">
        <v>20</v>
      </c>
      <c r="R6968" s="1" t="s">
        <v>13397</v>
      </c>
      <c r="V6968" s="1" t="s">
        <v>13454</v>
      </c>
      <c r="W6968" s="1" t="s">
        <v>13455</v>
      </c>
      <c r="AR6968" s="1" t="str">
        <f t="shared" si="440"/>
        <v>| [ㄐㄧㄝˊ](ㄐㄧㄝˊ.md) | [楖](楖.md) |  | jié | [名]
楖人：古代製造木器的工人。《周禮．冬官考工記》：「刮摩之工五，……，刮摩之工，玉、楖、雕、矢、磬。」 |</v>
      </c>
    </row>
    <row r="6969" spans="1:44" hidden="1">
      <c r="A6969" s="1" t="s">
        <v>12980</v>
      </c>
      <c r="C6969" s="1">
        <v>1</v>
      </c>
      <c r="D6969" s="1" t="str">
        <f>"05577"</f>
        <v>05577</v>
      </c>
      <c r="E6969" s="1" t="s">
        <v>679</v>
      </c>
      <c r="F6969" s="1">
        <v>13</v>
      </c>
      <c r="G6969" s="1">
        <v>7</v>
      </c>
      <c r="H6969" s="1">
        <v>2</v>
      </c>
      <c r="I6969" s="1" t="s">
        <v>13396</v>
      </c>
      <c r="K6969" s="1" t="str">
        <f t="shared" si="441"/>
        <v>ㄐ</v>
      </c>
      <c r="L6969" s="1" t="str">
        <f t="shared" si="442"/>
        <v>ㄧ</v>
      </c>
      <c r="M6969" s="1" t="str">
        <f t="shared" si="443"/>
        <v>ㄝ</v>
      </c>
      <c r="P6969" s="1" t="s">
        <v>110</v>
      </c>
      <c r="R6969" s="1" t="s">
        <v>13397</v>
      </c>
      <c r="V6969" s="1" t="s">
        <v>111</v>
      </c>
      <c r="W6969" s="1" t="s">
        <v>13456</v>
      </c>
      <c r="AR6969" s="1" t="str">
        <f t="shared" si="440"/>
        <v>| [ㄐㄧㄝˊ](ㄐㄧㄝˊ.md) | [蝍](蝍.md) |  | jié | (一)之又音。 |</v>
      </c>
    </row>
    <row r="6970" spans="1:44" hidden="1">
      <c r="A6970" s="1" t="s">
        <v>13457</v>
      </c>
      <c r="C6970" s="1">
        <v>1</v>
      </c>
      <c r="D6970" s="1" t="str">
        <f>"05578"</f>
        <v>05578</v>
      </c>
      <c r="E6970" s="1" t="s">
        <v>49</v>
      </c>
      <c r="F6970" s="1">
        <v>13</v>
      </c>
      <c r="G6970" s="1">
        <v>7</v>
      </c>
      <c r="H6970" s="1">
        <v>0</v>
      </c>
      <c r="I6970" s="1" t="s">
        <v>13396</v>
      </c>
      <c r="K6970" s="1" t="str">
        <f t="shared" si="441"/>
        <v>ㄐ</v>
      </c>
      <c r="L6970" s="1" t="str">
        <f t="shared" si="442"/>
        <v>ㄧ</v>
      </c>
      <c r="M6970" s="1" t="str">
        <f t="shared" si="443"/>
        <v>ㄝ</v>
      </c>
      <c r="P6970" s="1" t="s">
        <v>20</v>
      </c>
      <c r="R6970" s="1" t="s">
        <v>13397</v>
      </c>
      <c r="V6970" s="1" t="s">
        <v>13458</v>
      </c>
      <c r="AR6970" s="1" t="str">
        <f t="shared" si="440"/>
        <v>| [ㄐㄧㄝˊ](ㄐㄧㄝˊ.md) | [節](節.md) |  | jié | [名]
1.植物枝幹分段的地方。如：「松節」、「竹節」。唐．杜甫〈建都十二韻〉：「風斷青蒲節，霜埋翠竹根。」也稱為「節子」。
2.動物骨骼相連接的部分。如：「關節」、「骨節」。《韓非子．解老》：「人之身三百六十節，四肢，九竅，其大具也。」
3.段落、單位。如：「章節」、「單音節」、「把這四小節再重唱一次。」
4.人的志氣、操守。如：「志節」、「貞節」。《左傳．成公十五年》：「聖達節，次守節，下失節。」
5.事情的經過情形。如：「情節」、「細節」。
6.時令的區分。如：「季節」。《史記．卷一三〇．太史公自序》：「夫陰陽四時、八位、十二度、二十四節各有教令。」
7.有特殊意義，值得慶賀或紀念的日子。如：「春節」、「青年節」、「雙十節」。唐．王維〈九月九日憶山東兄弟〉詩：「獨在異鄉為異客，每逢佳節倍思親。」
8.禮儀。如：「禮節」、「繁文縟節」。《論語．微子》：「長幼之節，不可廢也。」
9.古代使者所執的信物，用以證明身分。通「卩」。如：「符節」。《周禮．地官．掌節》：「掌節，掌守邦節而辨其用，以輔王命。守邦國者用玉節，守都鄙者用角節。」
10.音樂的拍子，以示緩急程度。如：「節奏」、「節拍」。《楚辭．屈原．九歌．東皇太一》：「揚枹兮拊鼓，疏緩節兮安歌。」
11.《易經》卦名。六十四卦之一。兌（☱）下坎（☵）上。《易經．節卦．象曰》：「澤上有水，節。」唐．孔穎達．正義：「水在澤中，乃得其節。」
12.量詞：(1)計算時間分段的單位。如：「今天上了三節課。」(2)計算車廂數目的單位。如：「這列火車有十二節車廂。」(3)計算文章或樂曲段落的單位。如：「本文共分三章節。」、「這首曲子一共有三十六節。」
13.姓。如明代有節鐸。
[動]
1.限制、控制、約束。如：「節育」、「節制資本」。《易經．未濟卦．象曰》：「飲酒濡首，亦不知節也。」
2.儉省。如：「節衣縮食」、「開源節流」。《論語．學而》：「節用而愛人，使民以詩。」 |</v>
      </c>
    </row>
    <row r="6971" spans="1:44" hidden="1">
      <c r="A6971" s="1" t="s">
        <v>13459</v>
      </c>
      <c r="C6971" s="1">
        <v>1</v>
      </c>
      <c r="D6971" s="1" t="str">
        <f>"05579"</f>
        <v>05579</v>
      </c>
      <c r="E6971" s="1" t="s">
        <v>129</v>
      </c>
      <c r="F6971" s="1">
        <v>16</v>
      </c>
      <c r="G6971" s="1">
        <v>13</v>
      </c>
      <c r="H6971" s="1">
        <v>0</v>
      </c>
      <c r="I6971" s="1" t="s">
        <v>13396</v>
      </c>
      <c r="K6971" s="1" t="str">
        <f t="shared" si="441"/>
        <v>ㄐ</v>
      </c>
      <c r="L6971" s="1" t="str">
        <f t="shared" si="442"/>
        <v>ㄧ</v>
      </c>
      <c r="M6971" s="1" t="str">
        <f t="shared" si="443"/>
        <v>ㄝ</v>
      </c>
      <c r="P6971" s="1" t="s">
        <v>20</v>
      </c>
      <c r="R6971" s="1" t="s">
        <v>13397</v>
      </c>
      <c r="V6971" s="1" t="s">
        <v>13460</v>
      </c>
      <c r="AR6971" s="1" t="str">
        <f t="shared" si="440"/>
        <v>| [ㄐㄧㄝˊ](ㄐㄧㄝˊ.md) | [瀄](瀄.md) |  | jié | [形]
瀄汨：水流動的樣子。《集韻．入聲．櫛韻》：「瀄，瀄汨，水流貌。」《文選．枚乘．七發》：「瀄汨潺湲，披揚流灑。」 |</v>
      </c>
    </row>
    <row r="6972" spans="1:44" hidden="1">
      <c r="A6972" s="1" t="s">
        <v>13461</v>
      </c>
      <c r="C6972" s="1">
        <v>1</v>
      </c>
      <c r="D6972" s="1" t="str">
        <f>"05580"</f>
        <v>05580</v>
      </c>
      <c r="E6972" s="1" t="s">
        <v>139</v>
      </c>
      <c r="F6972" s="1">
        <v>17</v>
      </c>
      <c r="G6972" s="1">
        <v>13</v>
      </c>
      <c r="H6972" s="1">
        <v>0</v>
      </c>
      <c r="I6972" s="1" t="s">
        <v>13396</v>
      </c>
      <c r="K6972" s="1" t="str">
        <f t="shared" si="441"/>
        <v>ㄐ</v>
      </c>
      <c r="L6972" s="1" t="str">
        <f t="shared" si="442"/>
        <v>ㄧ</v>
      </c>
      <c r="M6972" s="1" t="str">
        <f t="shared" si="443"/>
        <v>ㄝ</v>
      </c>
      <c r="P6972" s="1" t="s">
        <v>20</v>
      </c>
      <c r="R6972" s="1" t="s">
        <v>13397</v>
      </c>
      <c r="V6972" s="1" t="s">
        <v>13462</v>
      </c>
      <c r="AR6972" s="1" t="str">
        <f t="shared" si="440"/>
        <v>| [ㄐㄧㄝˊ](ㄐㄧㄝˊ.md) | [櫛](櫛.md) |  | jié | [名]
梳子、篦子的總稱。《說文解字．木部》：「櫛，梳比之總名也。」如：「巾櫛」。《詩經．周頌．良耜》：「其崇如墉，其比如櫛。」
[動]
1.梳理。如：「櫛髮」。《莊子．庚桑楚》：「簡髮而櫛，數米而炊。」宋．陸游〈時雨〉詩：「衰髮短不櫛，愛此一雨涼。」
2.剔除。唐．韓愈〈試大理評事王君墓誌銘〉：「櫛垢爬痒，民獲蘇醒。」 |</v>
      </c>
    </row>
    <row r="6973" spans="1:44" hidden="1">
      <c r="A6973" s="1" t="s">
        <v>13393</v>
      </c>
      <c r="C6973" s="1">
        <v>1</v>
      </c>
      <c r="D6973" s="1" t="str">
        <f>"05581"</f>
        <v>05581</v>
      </c>
      <c r="E6973" s="1" t="s">
        <v>40</v>
      </c>
      <c r="F6973" s="1">
        <v>18</v>
      </c>
      <c r="G6973" s="1">
        <v>13</v>
      </c>
      <c r="H6973" s="1">
        <v>1</v>
      </c>
      <c r="I6973" s="1" t="s">
        <v>13396</v>
      </c>
      <c r="K6973" s="1" t="str">
        <f t="shared" si="441"/>
        <v>ㄐ</v>
      </c>
      <c r="L6973" s="1" t="str">
        <f t="shared" si="442"/>
        <v>ㄧ</v>
      </c>
      <c r="M6973" s="1" t="str">
        <f t="shared" si="443"/>
        <v>ㄝ</v>
      </c>
      <c r="P6973" s="1" t="s">
        <v>20</v>
      </c>
      <c r="R6973" s="1" t="s">
        <v>13397</v>
      </c>
      <c r="V6973" s="1" t="s">
        <v>13463</v>
      </c>
      <c r="W6973" s="1" t="s">
        <v>13464</v>
      </c>
      <c r="AR6973" s="1" t="str">
        <f t="shared" si="440"/>
        <v>| [ㄐㄧㄝˊ](ㄐㄧㄝˊ.md) | [癤](癤.md) |  | jié | [名]
病名。是化膿菌侵入毛囊及周圍組織引起的急性化膿性炎症，病灶是疼痛的半球形紅色結節，好發於頭、面、頸、臀等部位。其後病灶的中央部位化膿壞死，終於潰破或吸收。 |</v>
      </c>
    </row>
    <row r="6974" spans="1:44" hidden="1">
      <c r="A6974" s="1" t="s">
        <v>13157</v>
      </c>
      <c r="C6974" s="1">
        <v>1</v>
      </c>
      <c r="D6974" s="1" t="str">
        <f>"05582"</f>
        <v>05582</v>
      </c>
      <c r="E6974" s="1" t="s">
        <v>114</v>
      </c>
      <c r="F6974" s="1">
        <v>11</v>
      </c>
      <c r="G6974" s="1">
        <v>9</v>
      </c>
      <c r="H6974" s="1">
        <v>1</v>
      </c>
      <c r="I6974" s="1" t="s">
        <v>13396</v>
      </c>
      <c r="K6974" s="1" t="str">
        <f t="shared" si="441"/>
        <v>ㄐ</v>
      </c>
      <c r="L6974" s="1" t="str">
        <f t="shared" si="442"/>
        <v>ㄧ</v>
      </c>
      <c r="M6974" s="1" t="str">
        <f t="shared" si="443"/>
        <v>ㄝ</v>
      </c>
      <c r="P6974" s="1" t="s">
        <v>20</v>
      </c>
      <c r="R6974" s="1" t="s">
        <v>13397</v>
      </c>
      <c r="V6974" s="1" t="s">
        <v>13465</v>
      </c>
      <c r="W6974" s="1" t="s">
        <v>13466</v>
      </c>
      <c r="AR6974" s="1" t="str">
        <f t="shared" si="440"/>
        <v>| [ㄐㄧㄝˊ](ㄐㄧㄝˊ.md) | [偈](偈.md) |  | jié | [形]
1.疾馳。《廣雅．釋詁》：「偈，疾也。」《詩經．檜風．匪風》：「匪風發兮，匪車偈兮。」《文選．宋玉．高唐賦》：「偈兮若駕駟馬，建羽旗。」
2.勇武。《廣韻．入聲．薛韻》：「偈，武也。」漢．揚雄《太玄經．卷六．䦯》：「輔其折，廅其缺，其人暉且偈。」 |</v>
      </c>
    </row>
    <row r="6975" spans="1:44" hidden="1">
      <c r="A6975" s="1" t="s">
        <v>10813</v>
      </c>
      <c r="C6975" s="1">
        <v>1</v>
      </c>
      <c r="D6975" s="1" t="str">
        <f>"05583"</f>
        <v>05583</v>
      </c>
      <c r="E6975" s="1" t="s">
        <v>129</v>
      </c>
      <c r="F6975" s="1">
        <v>12</v>
      </c>
      <c r="G6975" s="1">
        <v>9</v>
      </c>
      <c r="H6975" s="1">
        <v>2</v>
      </c>
      <c r="I6975" s="1" t="s">
        <v>13396</v>
      </c>
      <c r="K6975" s="1" t="str">
        <f t="shared" si="441"/>
        <v>ㄐ</v>
      </c>
      <c r="L6975" s="1" t="str">
        <f t="shared" si="442"/>
        <v>ㄧ</v>
      </c>
      <c r="M6975" s="1" t="str">
        <f t="shared" si="443"/>
        <v>ㄝ</v>
      </c>
      <c r="P6975" s="1" t="s">
        <v>20</v>
      </c>
      <c r="R6975" s="1" t="s">
        <v>13397</v>
      </c>
      <c r="V6975" s="1" t="s">
        <v>13467</v>
      </c>
      <c r="W6975" s="1" t="s">
        <v>13468</v>
      </c>
      <c r="AR6975" s="1" t="str">
        <f t="shared" si="440"/>
        <v>| [ㄐㄧㄝˊ](ㄐㄧㄝˊ.md) | [渴](渴.md) |  | jié | [形]
乾涸、枯竭。《廣韻．入聲．薛韻》：「渴，水盡也。」 |</v>
      </c>
    </row>
    <row r="6976" spans="1:44" hidden="1">
      <c r="A6976" s="1" t="s">
        <v>13469</v>
      </c>
      <c r="C6976" s="1">
        <v>1</v>
      </c>
      <c r="D6976" s="1" t="str">
        <f>"05584"</f>
        <v>05584</v>
      </c>
      <c r="E6976" s="1" t="s">
        <v>139</v>
      </c>
      <c r="F6976" s="1">
        <v>13</v>
      </c>
      <c r="G6976" s="1">
        <v>9</v>
      </c>
      <c r="H6976" s="1">
        <v>1</v>
      </c>
      <c r="I6976" s="1" t="s">
        <v>13396</v>
      </c>
      <c r="K6976" s="1" t="str">
        <f t="shared" si="441"/>
        <v>ㄐ</v>
      </c>
      <c r="L6976" s="1" t="str">
        <f t="shared" si="442"/>
        <v>ㄧ</v>
      </c>
      <c r="M6976" s="1" t="str">
        <f t="shared" si="443"/>
        <v>ㄝ</v>
      </c>
      <c r="P6976" s="1" t="s">
        <v>20</v>
      </c>
      <c r="R6976" s="1" t="s">
        <v>13397</v>
      </c>
      <c r="V6976" s="1" t="s">
        <v>13470</v>
      </c>
      <c r="W6976" s="1" t="s">
        <v>13471</v>
      </c>
      <c r="AR6976" s="1" t="str">
        <f t="shared" si="440"/>
        <v>| [ㄐㄧㄝˊ](ㄐㄧㄝˊ.md) | [楬](楬.md) |  | jié | [名]
標識事物的小木樁。《周禮．秋官．蜡氏》：「有死於道路者，則令埋而置楬焉。」 |</v>
      </c>
    </row>
    <row r="6977" spans="1:44" hidden="1">
      <c r="A6977" s="1" t="s">
        <v>13472</v>
      </c>
      <c r="C6977" s="1">
        <v>1</v>
      </c>
      <c r="D6977" s="1" t="str">
        <f>"05585"</f>
        <v>05585</v>
      </c>
      <c r="E6977" s="1" t="s">
        <v>5784</v>
      </c>
      <c r="F6977" s="1">
        <v>14</v>
      </c>
      <c r="G6977" s="1">
        <v>9</v>
      </c>
      <c r="H6977" s="1">
        <v>0</v>
      </c>
      <c r="I6977" s="1" t="s">
        <v>13396</v>
      </c>
      <c r="K6977" s="1" t="str">
        <f t="shared" si="441"/>
        <v>ㄐ</v>
      </c>
      <c r="L6977" s="1" t="str">
        <f t="shared" si="442"/>
        <v>ㄧ</v>
      </c>
      <c r="M6977" s="1" t="str">
        <f t="shared" si="443"/>
        <v>ㄝ</v>
      </c>
      <c r="P6977" s="1" t="s">
        <v>20</v>
      </c>
      <c r="R6977" s="1" t="s">
        <v>13397</v>
      </c>
      <c r="V6977" s="1" t="s">
        <v>13473</v>
      </c>
      <c r="AR6977" s="1" t="str">
        <f t="shared" si="440"/>
        <v>| [ㄐㄧㄝˊ](ㄐㄧㄝˊ.md) | [竭](竭.md) |  | jié | [動]
1.負載。《禮記．禮運》：「五行之動，迭相竭也。」《文選．木華．海賦》：「擘洪波，指太清，竭磐石，栖百靈。」
2.枯竭、乾涸。《詩經．大雅．召旻》：「池之竭矣，不云自頻。」《國語．周語上》：「昔伊、洛竭而夏亡，河竭而商亡。」
3.盡、窮盡。如：「盡心竭力」、「取之不竭，用之不盡。」。《左傳．莊公十年》：「一鼓作氣，再而衰，三而竭。」《楚辭．屈原．卜居》：「竭知盡忠，而蔽鄣於讒。」 |</v>
      </c>
    </row>
    <row r="6978" spans="1:44" hidden="1">
      <c r="A6978" s="1" t="s">
        <v>13474</v>
      </c>
      <c r="C6978" s="1">
        <v>1</v>
      </c>
      <c r="D6978" s="1" t="str">
        <f>"05586"</f>
        <v>05586</v>
      </c>
      <c r="E6978" s="1" t="s">
        <v>169</v>
      </c>
      <c r="F6978" s="1">
        <v>14</v>
      </c>
      <c r="G6978" s="1">
        <v>9</v>
      </c>
      <c r="H6978" s="1">
        <v>0</v>
      </c>
      <c r="I6978" s="1" t="s">
        <v>13396</v>
      </c>
      <c r="K6978" s="1" t="str">
        <f t="shared" si="441"/>
        <v>ㄐ</v>
      </c>
      <c r="L6978" s="1" t="str">
        <f t="shared" si="442"/>
        <v>ㄧ</v>
      </c>
      <c r="M6978" s="1" t="str">
        <f t="shared" si="443"/>
        <v>ㄝ</v>
      </c>
      <c r="P6978" s="1" t="s">
        <v>20</v>
      </c>
      <c r="R6978" s="1" t="s">
        <v>13397</v>
      </c>
      <c r="V6978" s="1" t="s">
        <v>13475</v>
      </c>
      <c r="AR6978" s="1" t="str">
        <f t="shared" si="440"/>
        <v>| [ㄐㄧㄝˊ](ㄐㄧㄝˊ.md) | [碣](碣.md) |  | jié | [名]
刻有文字的圓形石碑，用以記載事蹟或頌揚功德等。如：「墓碣」、「斷碑殘碣」。《紅樓夢》第一〇三回：「但見廟內神像，金身脫落，殿宇歪斜，旁有斷碣，字蹟模糊。」
[形]
特立、突出。《漢書．卷八七．揚雄傳上》：「外則正南極海，邪界虞淵，鴻濛沆茫，碣以崇山。」 |</v>
      </c>
    </row>
    <row r="6979" spans="1:44" hidden="1">
      <c r="A6979" s="1" t="s">
        <v>13476</v>
      </c>
      <c r="C6979" s="1">
        <v>1</v>
      </c>
      <c r="D6979" s="1" t="str">
        <f>"05587"</f>
        <v>05587</v>
      </c>
      <c r="E6979" s="1" t="s">
        <v>43</v>
      </c>
      <c r="F6979" s="1">
        <v>15</v>
      </c>
      <c r="G6979" s="1">
        <v>9</v>
      </c>
      <c r="H6979" s="1">
        <v>0</v>
      </c>
      <c r="I6979" s="1" t="s">
        <v>13396</v>
      </c>
      <c r="K6979" s="1" t="str">
        <f t="shared" si="441"/>
        <v>ㄐ</v>
      </c>
      <c r="L6979" s="1" t="str">
        <f t="shared" si="442"/>
        <v>ㄧ</v>
      </c>
      <c r="M6979" s="1" t="str">
        <f t="shared" si="443"/>
        <v>ㄝ</v>
      </c>
      <c r="P6979" s="1" t="s">
        <v>20</v>
      </c>
      <c r="R6979" s="1" t="s">
        <v>13397</v>
      </c>
      <c r="V6979" s="1" t="s">
        <v>13477</v>
      </c>
      <c r="AR6979" s="1" t="str">
        <f t="shared" ref="AR6979:AR7042" si="444">"| ["&amp;I6979&amp;"]("&amp;I6979&amp;".md) | ["&amp;A6979&amp;"]("&amp;A6979&amp;".md) | "&amp;" | "&amp;R6979&amp;" | "&amp;V6979&amp;" |"</f>
        <v>| [ㄐㄧㄝˊ](ㄐㄧㄝˊ.md) | [羯](羯.md) |  | jié | [名]
1.被閹割過的羊。漢．蔡琰〈胡笳十八拍〉：「羯羶為味兮，枉遏我情。」
2.中國古代西北的民族之一。為匈奴的別支。魏晉時約分布於今大陸地區山西潞城附近各縣。也稱為「羯胡」。 |</v>
      </c>
    </row>
    <row r="6980" spans="1:44" hidden="1">
      <c r="A6980" s="1" t="s">
        <v>13302</v>
      </c>
      <c r="C6980" s="1">
        <v>1</v>
      </c>
      <c r="D6980" s="1" t="str">
        <f>"05588"</f>
        <v>05588</v>
      </c>
      <c r="E6980" s="1" t="s">
        <v>340</v>
      </c>
      <c r="F6980" s="1">
        <v>12</v>
      </c>
      <c r="G6980" s="1">
        <v>6</v>
      </c>
      <c r="H6980" s="1">
        <v>2</v>
      </c>
      <c r="I6980" s="1" t="s">
        <v>13396</v>
      </c>
      <c r="K6980" s="1" t="str">
        <f t="shared" ref="K6980:K7043" si="445">LEFT(I6980, 1)</f>
        <v>ㄐ</v>
      </c>
      <c r="L6980" s="1" t="str">
        <f t="shared" ref="L6980:L7043" si="446">MID(I6980, 2, 1)</f>
        <v>ㄧ</v>
      </c>
      <c r="M6980" s="1" t="str">
        <f t="shared" ref="M6980:M7043" si="447">MID(I6980, 3, 1)</f>
        <v>ㄝ</v>
      </c>
      <c r="P6980" s="1" t="s">
        <v>20</v>
      </c>
      <c r="R6980" s="1" t="s">
        <v>13397</v>
      </c>
      <c r="V6980" s="1" t="s">
        <v>13478</v>
      </c>
      <c r="W6980" s="1" t="s">
        <v>13479</v>
      </c>
      <c r="AR6980" s="1" t="str">
        <f t="shared" si="444"/>
        <v>| [ㄐㄧㄝˊ](ㄐㄧㄝˊ.md) | [袷](袷.md) |  | jié | [名]
古代交叉式的衣領。形制未甚明白，但近世出土的戰國時期銅、木雕像及俑像中，有不少衣領作交叉而方折向下的形制，或即為「袷」。《禮記．曲禮下》：「天子視，不上於袷，不下於帶。」《禮記．深衣》：「袂圜以應規，曲袷如矩以應方。」漢．鄭玄．注：「袷，交領也，古者方領如今小兒衣領。」 |</v>
      </c>
    </row>
    <row r="6981" spans="1:44" hidden="1">
      <c r="A6981" s="1" t="s">
        <v>13480</v>
      </c>
      <c r="C6981" s="1">
        <v>1</v>
      </c>
      <c r="D6981" s="1" t="str">
        <f>"05589"</f>
        <v>05589</v>
      </c>
      <c r="E6981" s="1" t="s">
        <v>725</v>
      </c>
      <c r="F6981" s="1">
        <v>12</v>
      </c>
      <c r="G6981" s="1">
        <v>6</v>
      </c>
      <c r="H6981" s="1">
        <v>1</v>
      </c>
      <c r="I6981" s="1" t="s">
        <v>13396</v>
      </c>
      <c r="K6981" s="1" t="str">
        <f t="shared" si="445"/>
        <v>ㄐ</v>
      </c>
      <c r="L6981" s="1" t="str">
        <f t="shared" si="446"/>
        <v>ㄧ</v>
      </c>
      <c r="M6981" s="1" t="str">
        <f t="shared" si="447"/>
        <v>ㄝ</v>
      </c>
      <c r="P6981" s="1" t="s">
        <v>20</v>
      </c>
      <c r="R6981" s="1" t="s">
        <v>13397</v>
      </c>
      <c r="V6981" s="1" t="s">
        <v>13481</v>
      </c>
      <c r="W6981" s="1" t="s">
        <v>13482</v>
      </c>
      <c r="AR6981" s="1" t="str">
        <f t="shared" si="444"/>
        <v>| [ㄐㄧㄝˊ](ㄐㄧㄝˊ.md) | [絜](絜.md) |  | jié | [動]
1.使清淨、乾淨。同「潔」。如：「自絜」。《詩經．小雅．楚茨》：「絜爾牛羊，以往烝嘗。」《國語．越語上》：「絜其居，美其服。」
2.整飾、修飾。《文選．李康．運命論》：「故遂絜其衣服，矜其車徒。」
[形]
清明、清廉。《莊子．徐无鬼》：「其為人絜廉善士也。」《文選．張衡．東京賦》：「聘丘園之耿絜，旅束帛之戔戔。」 |</v>
      </c>
    </row>
    <row r="6982" spans="1:44" hidden="1">
      <c r="A6982" s="1" t="s">
        <v>13483</v>
      </c>
      <c r="C6982" s="1">
        <v>1</v>
      </c>
      <c r="D6982" s="1" t="str">
        <f>"05590"</f>
        <v>05590</v>
      </c>
      <c r="E6982" s="1" t="s">
        <v>129</v>
      </c>
      <c r="F6982" s="1">
        <v>15</v>
      </c>
      <c r="G6982" s="1">
        <v>12</v>
      </c>
      <c r="H6982" s="1">
        <v>0</v>
      </c>
      <c r="I6982" s="1" t="s">
        <v>13396</v>
      </c>
      <c r="K6982" s="1" t="str">
        <f t="shared" si="445"/>
        <v>ㄐ</v>
      </c>
      <c r="L6982" s="1" t="str">
        <f t="shared" si="446"/>
        <v>ㄧ</v>
      </c>
      <c r="M6982" s="1" t="str">
        <f t="shared" si="447"/>
        <v>ㄝ</v>
      </c>
      <c r="P6982" s="1" t="s">
        <v>20</v>
      </c>
      <c r="R6982" s="1" t="s">
        <v>13397</v>
      </c>
      <c r="V6982" s="1" t="s">
        <v>13484</v>
      </c>
      <c r="AR6982" s="1" t="str">
        <f t="shared" si="444"/>
        <v>| [ㄐㄧㄝˊ](ㄐㄧㄝˊ.md) | [潔](潔.md) |  | jié | [形]
1.乾淨、明亮。如：「清潔」、「整潔」、「皎潔」。唐．王勃〈上劉右相書〉：「是知源潔則流清，形端則影直。」
2.清廉、端正。《管子．明法解》：「如此，則慤愿之人失其職，而廉潔之吏失其治。」
[動]
1.使乾淨。《新唐書．卷九八．王珪傳》：「至潔濁揚清，疾惡好善，臣於數子有一日之長。」
2.修養、修治。如：「潔身自愛」。唐．孟郊〈送超上人歸天台〉詩：「何以潔其性？濾泉去泥沙。」 |</v>
      </c>
    </row>
    <row r="6983" spans="1:44" hidden="1">
      <c r="A6983" s="1" t="s">
        <v>13485</v>
      </c>
      <c r="C6983" s="1">
        <v>1</v>
      </c>
      <c r="D6983" s="1" t="str">
        <f>"05591"</f>
        <v>05591</v>
      </c>
      <c r="E6983" s="1" t="s">
        <v>139</v>
      </c>
      <c r="F6983" s="1">
        <v>13</v>
      </c>
      <c r="G6983" s="1">
        <v>9</v>
      </c>
      <c r="H6983" s="1">
        <v>0</v>
      </c>
      <c r="I6983" s="1" t="s">
        <v>13396</v>
      </c>
      <c r="K6983" s="1" t="str">
        <f t="shared" si="445"/>
        <v>ㄐ</v>
      </c>
      <c r="L6983" s="1" t="str">
        <f t="shared" si="446"/>
        <v>ㄧ</v>
      </c>
      <c r="M6983" s="1" t="str">
        <f t="shared" si="447"/>
        <v>ㄝ</v>
      </c>
      <c r="P6983" s="1" t="s">
        <v>20</v>
      </c>
      <c r="R6983" s="1" t="s">
        <v>13397</v>
      </c>
      <c r="V6983" s="1" t="s">
        <v>13486</v>
      </c>
      <c r="AR6983" s="1" t="str">
        <f t="shared" si="444"/>
        <v>| [ㄐㄧㄝˊ](ㄐㄧㄝˊ.md) | [楶](楶.md) |  | jié | [名]
柱上支持橫梁的方木。《文選．班彪．王命論》：「楶梲之材，不荷棟梁之任。」 |</v>
      </c>
    </row>
    <row r="6984" spans="1:44" hidden="1">
      <c r="A6984" s="1" t="s">
        <v>13487</v>
      </c>
      <c r="C6984" s="1">
        <v>1</v>
      </c>
      <c r="D6984" s="1" t="str">
        <f>"05592"</f>
        <v>05592</v>
      </c>
      <c r="E6984" s="1" t="s">
        <v>4785</v>
      </c>
      <c r="F6984" s="1">
        <v>14</v>
      </c>
      <c r="G6984" s="1">
        <v>10</v>
      </c>
      <c r="H6984" s="1">
        <v>0</v>
      </c>
      <c r="I6984" s="1" t="s">
        <v>13396</v>
      </c>
      <c r="K6984" s="1" t="str">
        <f t="shared" si="445"/>
        <v>ㄐ</v>
      </c>
      <c r="L6984" s="1" t="str">
        <f t="shared" si="446"/>
        <v>ㄧ</v>
      </c>
      <c r="M6984" s="1" t="str">
        <f t="shared" si="447"/>
        <v>ㄝ</v>
      </c>
      <c r="P6984" s="1" t="s">
        <v>20</v>
      </c>
      <c r="R6984" s="1" t="s">
        <v>13397</v>
      </c>
      <c r="V6984" s="1" t="s">
        <v>13488</v>
      </c>
      <c r="AR6984" s="1" t="str">
        <f t="shared" si="444"/>
        <v>| [ㄐㄧㄝˊ](ㄐㄧㄝˊ.md) | [截](截.md) |  | jié | [動]
1.割斷。如：「截斷」、「截肢」。南朝宋．劉義慶《世說新語．方正》：「今猶俎上腐肉，任人膾截耳。」唐．元稹〈酬樂天書懷見寄〉詩：「中有酬我詩，句句截我腸。」
2.阻攔、阻擋。如：「攔截」。《後漢書．卷八七．西羌傳．東號子麻奴傳》：「以萬騎之眾，逐數千之虜，追尾掩截，其道自窮。」
[名]
量詞。計算分成數段的物品的單位。相當於「段」。如：「一截甘蔗」、「斷成數截」。
[副]
分明、顯然。如：「截然不同」。 |</v>
      </c>
    </row>
    <row r="6985" spans="1:44" hidden="1">
      <c r="A6985" s="1" t="s">
        <v>13489</v>
      </c>
      <c r="C6985" s="1">
        <v>1</v>
      </c>
      <c r="D6985" s="1" t="str">
        <f>"05593"</f>
        <v>05593</v>
      </c>
      <c r="E6985" s="1" t="s">
        <v>534</v>
      </c>
      <c r="F6985" s="1">
        <v>8</v>
      </c>
      <c r="G6985" s="1">
        <v>5</v>
      </c>
      <c r="H6985" s="1">
        <v>0</v>
      </c>
      <c r="I6985" s="1" t="s">
        <v>13490</v>
      </c>
      <c r="K6985" s="1" t="str">
        <f t="shared" si="445"/>
        <v>ㄐ</v>
      </c>
      <c r="L6985" s="1" t="str">
        <f t="shared" si="446"/>
        <v>ㄧ</v>
      </c>
      <c r="M6985" s="1" t="str">
        <f t="shared" si="447"/>
        <v>ㄝ</v>
      </c>
      <c r="P6985" s="1" t="s">
        <v>20</v>
      </c>
      <c r="R6985" s="1" t="s">
        <v>13491</v>
      </c>
      <c r="V6985" s="1" t="s">
        <v>13492</v>
      </c>
      <c r="AR6985" s="1" t="str">
        <f t="shared" si="444"/>
        <v>| [ㄐㄧㄝˇ](ㄐㄧㄝˇ.md) | [姐](姐.md) |  | jiě | [名]
稱謂：(1)用以稱比自己先出生的同胞女子。通「姊」。如：「大姐」。(2)用以稱同輩而比自己年長的女子。通「姊」。如：「表姐」、「楊姐」。(3)對女性的通稱。如：「小姐」。 |</v>
      </c>
    </row>
    <row r="6986" spans="1:44" hidden="1">
      <c r="A6986" s="1" t="s">
        <v>13493</v>
      </c>
      <c r="C6986" s="1">
        <v>1</v>
      </c>
      <c r="D6986" s="1" t="str">
        <f>"05594"</f>
        <v>05594</v>
      </c>
      <c r="E6986" s="1" t="s">
        <v>534</v>
      </c>
      <c r="F6986" s="1">
        <v>8</v>
      </c>
      <c r="G6986" s="1">
        <v>5</v>
      </c>
      <c r="H6986" s="1">
        <v>2</v>
      </c>
      <c r="I6986" s="1" t="s">
        <v>13490</v>
      </c>
      <c r="K6986" s="1" t="str">
        <f t="shared" si="445"/>
        <v>ㄐ</v>
      </c>
      <c r="L6986" s="1" t="str">
        <f t="shared" si="446"/>
        <v>ㄧ</v>
      </c>
      <c r="M6986" s="1" t="str">
        <f t="shared" si="447"/>
        <v>ㄝ</v>
      </c>
      <c r="P6986" s="1" t="s">
        <v>388</v>
      </c>
      <c r="R6986" s="1" t="s">
        <v>13491</v>
      </c>
      <c r="V6986" s="1" t="s">
        <v>13494</v>
      </c>
      <c r="W6986" s="1" t="s">
        <v>13495</v>
      </c>
      <c r="AR6986" s="1" t="str">
        <f t="shared" si="444"/>
        <v>| [ㄐㄧㄝˇ](ㄐㄧㄝˇ.md) | [姊](姊.md) |  | jiě | [名]
稱謂：(1)用以稱比自己先出生的同胞女子。如：「大姊」、「二姊」。南朝梁．無名氏〈木蘭詩〉二首之一：「小弟聞姊來，磨刀霍霍向豬羊。」俗稱為「姊姊」。(2)用以稱同輩而比自己年長的女子。如：「表姊」、「堂姊」、「學姊」、「師姊」。 |</v>
      </c>
    </row>
    <row r="6987" spans="1:44" hidden="1">
      <c r="A6987" s="1" t="s">
        <v>13496</v>
      </c>
      <c r="C6987" s="1">
        <v>1</v>
      </c>
      <c r="D6987" s="1" t="str">
        <f>"05595"</f>
        <v>05595</v>
      </c>
      <c r="E6987" s="1" t="s">
        <v>1117</v>
      </c>
      <c r="F6987" s="1">
        <v>13</v>
      </c>
      <c r="G6987" s="1">
        <v>6</v>
      </c>
      <c r="H6987" s="1">
        <v>1</v>
      </c>
      <c r="I6987" s="1" t="s">
        <v>13490</v>
      </c>
      <c r="K6987" s="1" t="str">
        <f t="shared" si="445"/>
        <v>ㄐ</v>
      </c>
      <c r="L6987" s="1" t="str">
        <f t="shared" si="446"/>
        <v>ㄧ</v>
      </c>
      <c r="M6987" s="1" t="str">
        <f t="shared" si="447"/>
        <v>ㄝ</v>
      </c>
      <c r="P6987" s="1" t="s">
        <v>20</v>
      </c>
      <c r="R6987" s="1" t="s">
        <v>13491</v>
      </c>
      <c r="V6987" s="1" t="s">
        <v>13497</v>
      </c>
      <c r="W6987" s="1" t="s">
        <v>13498</v>
      </c>
      <c r="AR6987" s="1" t="str">
        <f t="shared" si="444"/>
        <v>| [ㄐㄧㄝˇ](ㄐㄧㄝˇ.md) | [解](解.md) |  | jiě | [動]
1.分割、剖分。如：「解剖」。《左傳．宣公四年》：「宰夫將解黿。」《莊子．養生主》：「庖丁為文惠君解牛。」
2.分裂、分散。如：「瓦解」、「溶解」、「難分難解」。
3.打開、鬆開、鬆脫。如：「解扣子」、「解開繩子」、「寬衣解帶」。
4.免除、消除。如：「解圍」、「解悶」、「解救」、「解渴」、「調解」。《戰國策．趙策三》：「所貴於天下之士者，為人排患、釋難、解紛亂而無所取也。」
5.陳述、說明。如：「講解」、「解釋」、「辯解」。
6.曉悟、明白、清楚。如：「理解」、「了解」、「費解」、「大惑不解」。
7.排出汗水或大小便。如：「小解」。漢．王充《論衡．寒溫》：「人中於寒，飲藥行解。」《警世通言．卷二一．趙太祖千里送京娘》：「於路只推腹痛難忍，幾遍要解。」
8.會、能夠。晉．陶淵明〈九日閑居〉詩：「酒能祛百慮，菊解制頹齡。」唐．李白〈月下獨酌〉詩四首之一：「月既不解飲，影徒隨我身。」
[名]
1.文體名。古代文體之一，旨在辯論解說。晉．張華《博物志．卷六．文籍考》：「賢者著述曰傳、曰記、曰章句、曰解、曰論、曰讀。」《新唐書．卷一七六．韓愈傳》：「乃作進學解以自諭。」
2.答案。如：「不得其解」。
3.見識、看法。如：「獨到的見解」。 |</v>
      </c>
    </row>
    <row r="6988" spans="1:44" hidden="1">
      <c r="A6988" s="1" t="s">
        <v>13499</v>
      </c>
      <c r="C6988" s="1">
        <v>1</v>
      </c>
      <c r="D6988" s="1" t="str">
        <f>"05596"</f>
        <v>05596</v>
      </c>
      <c r="E6988" s="1" t="s">
        <v>139</v>
      </c>
      <c r="F6988" s="1">
        <v>17</v>
      </c>
      <c r="G6988" s="1">
        <v>13</v>
      </c>
      <c r="H6988" s="1">
        <v>0</v>
      </c>
      <c r="I6988" s="1" t="s">
        <v>13490</v>
      </c>
      <c r="K6988" s="1" t="str">
        <f t="shared" si="445"/>
        <v>ㄐ</v>
      </c>
      <c r="L6988" s="1" t="str">
        <f t="shared" si="446"/>
        <v>ㄧ</v>
      </c>
      <c r="M6988" s="1" t="str">
        <f t="shared" si="447"/>
        <v>ㄝ</v>
      </c>
      <c r="P6988" s="1" t="s">
        <v>20</v>
      </c>
      <c r="R6988" s="1" t="s">
        <v>13491</v>
      </c>
      <c r="V6988" s="1" t="s">
        <v>13500</v>
      </c>
      <c r="AR6988" s="1" t="str">
        <f t="shared" si="444"/>
        <v>| [ㄐㄧㄝˇ](ㄐㄧㄝˇ.md) | [檞](檞.md) |  | jiě | [名]
一種松樠之類的樹木。《玉篇．木部》：「檞，松樠也。」 |</v>
      </c>
    </row>
    <row r="6989" spans="1:44" hidden="1">
      <c r="A6989" s="1" t="s">
        <v>13501</v>
      </c>
      <c r="C6989" s="1">
        <v>1</v>
      </c>
      <c r="D6989" s="1" t="str">
        <f>"05597"</f>
        <v>05597</v>
      </c>
      <c r="E6989" s="1" t="s">
        <v>114</v>
      </c>
      <c r="F6989" s="1">
        <v>4</v>
      </c>
      <c r="G6989" s="1">
        <v>2</v>
      </c>
      <c r="H6989" s="1">
        <v>0</v>
      </c>
      <c r="I6989" s="1" t="s">
        <v>13502</v>
      </c>
      <c r="K6989" s="1" t="str">
        <f t="shared" si="445"/>
        <v>ㄐ</v>
      </c>
      <c r="L6989" s="1" t="str">
        <f t="shared" si="446"/>
        <v>ㄧ</v>
      </c>
      <c r="M6989" s="1" t="str">
        <f t="shared" si="447"/>
        <v>ㄝ</v>
      </c>
      <c r="P6989" s="1" t="s">
        <v>20</v>
      </c>
      <c r="R6989" s="1" t="s">
        <v>13503</v>
      </c>
      <c r="V6989" s="1" t="s">
        <v>13504</v>
      </c>
      <c r="AR6989" s="1" t="str">
        <f t="shared" si="444"/>
        <v>| [ㄐㄧㄝˋ](ㄐㄧㄝˋ.md) | [介](介.md) |  | jiè | [動]
1.居於兩者之間。如：「這座山介於兩縣之間。」
2.居間牽引傳達。如：「介紹」、「仲介」。《文選．李康．運命論》：「其所以相親也，不介而自親。」
3.相助、佐助。《詩經．豳風．七月》：「為此春酒，以介眉壽。」《宋史．卷一三二．樂志七》：「嚴配皇靈，億神來介。」
4.繫留、懸掛。如：「介意」。《漢書．卷八一．匡衡傳》：「情欲之感無介乎容儀。」唐．顏師古．注：「介，繫也。言不以情欲繫心，而著於容儀者。」
5.仗恃、憑藉。《左傳．文公六年》：「介人之寵，非勇也。」
[形]
1.堅毅。如：「耿介」。《聊齋志異．卷一．王成》：「王雖故貧，然性介，遽出授之。」
2.如此、這樣。如：「煞有介事」。
[名]
1.界限、本分。同「界」。如：「人各有介」。
2.比喻微小的東西。通「芥」。如：「一介不取」。《孟子．萬章上》：「一介不以與人，一介不以取諸人。」
3.參見「介冑」條。
4.量詞。計算人或銅錢的單位。相當於「個」。如：「一介書生」、「一介平民」。《儒林外史》第一回：「上覆縣主老爺，說王冕乃一介農夫，不敢求見。」
5.身上有甲殼的水產動物。《淮南子．墬形》：「介鱗者，夏食而冬蟄。」漢．高誘．注：「介，甲。龜鱉之屬也。」
6.姓。如春秋時晉國有介之推。 |</v>
      </c>
    </row>
    <row r="6990" spans="1:44" hidden="1">
      <c r="A6990" s="1" t="s">
        <v>13505</v>
      </c>
      <c r="C6990" s="1">
        <v>1</v>
      </c>
      <c r="D6990" s="1" t="str">
        <f>"05598"</f>
        <v>05598</v>
      </c>
      <c r="E6990" s="1" t="s">
        <v>114</v>
      </c>
      <c r="F6990" s="1">
        <v>6</v>
      </c>
      <c r="G6990" s="1">
        <v>4</v>
      </c>
      <c r="H6990" s="1">
        <v>1</v>
      </c>
      <c r="I6990" s="1" t="s">
        <v>13502</v>
      </c>
      <c r="K6990" s="1" t="str">
        <f t="shared" si="445"/>
        <v>ㄐ</v>
      </c>
      <c r="L6990" s="1" t="str">
        <f t="shared" si="446"/>
        <v>ㄧ</v>
      </c>
      <c r="M6990" s="1" t="str">
        <f t="shared" si="447"/>
        <v>ㄝ</v>
      </c>
      <c r="P6990" s="1" t="s">
        <v>20</v>
      </c>
      <c r="R6990" s="1" t="s">
        <v>13503</v>
      </c>
      <c r="V6990" s="1" t="s">
        <v>13506</v>
      </c>
      <c r="W6990" s="1" t="s">
        <v>13507</v>
      </c>
      <c r="AR6990" s="1" t="str">
        <f t="shared" si="444"/>
        <v>| [ㄐㄧㄝˋ](ㄐㄧㄝˋ.md) | [价](价.md) |  | jiè | [形]_x000D_
善。《說文解字．人部》：「价，善也。」《詩經．大雅．板》：「价人維藩，大師維垣。」_x000D_
[動]_x000D_
介紹。《廣韻．去聲．怪韻》：「价，佋价也。」_x000D_
[名]_x000D_
舊稱僕役為「价」。如：「小价」、「貴价」。《宋史．卷二五八．列傳．曹彬》：「鄰道守將走价馳書來詣。」 |</v>
      </c>
    </row>
    <row r="6991" spans="1:44" hidden="1">
      <c r="A6991" s="1" t="s">
        <v>9543</v>
      </c>
      <c r="C6991" s="1">
        <v>1</v>
      </c>
      <c r="D6991" s="1" t="str">
        <f>"05599"</f>
        <v>05599</v>
      </c>
      <c r="E6991" s="1" t="s">
        <v>1935</v>
      </c>
      <c r="F6991" s="1">
        <v>7</v>
      </c>
      <c r="G6991" s="1">
        <v>4</v>
      </c>
      <c r="H6991" s="1">
        <v>2</v>
      </c>
      <c r="I6991" s="1" t="s">
        <v>13502</v>
      </c>
      <c r="K6991" s="1" t="str">
        <f t="shared" si="445"/>
        <v>ㄐ</v>
      </c>
      <c r="L6991" s="1" t="str">
        <f t="shared" si="446"/>
        <v>ㄧ</v>
      </c>
      <c r="M6991" s="1" t="str">
        <f t="shared" si="447"/>
        <v>ㄝ</v>
      </c>
      <c r="P6991" s="1" t="s">
        <v>110</v>
      </c>
      <c r="R6991" s="1" t="s">
        <v>13503</v>
      </c>
      <c r="V6991" s="1" t="s">
        <v>111</v>
      </c>
      <c r="W6991" s="1" t="s">
        <v>13508</v>
      </c>
      <c r="AR6991" s="1" t="str">
        <f t="shared" si="444"/>
        <v>| [ㄐㄧㄝˋ](ㄐㄧㄝˋ.md) | [尬](尬.md) |  | jiè | (一)之又音。 |</v>
      </c>
    </row>
    <row r="6992" spans="1:44" hidden="1">
      <c r="A6992" s="1" t="s">
        <v>13509</v>
      </c>
      <c r="C6992" s="1">
        <v>1</v>
      </c>
      <c r="D6992" s="1" t="str">
        <f>"05600"</f>
        <v>05600</v>
      </c>
      <c r="E6992" s="1" t="s">
        <v>142</v>
      </c>
      <c r="F6992" s="1">
        <v>8</v>
      </c>
      <c r="G6992" s="1">
        <v>4</v>
      </c>
      <c r="H6992" s="1">
        <v>0</v>
      </c>
      <c r="I6992" s="1" t="s">
        <v>13502</v>
      </c>
      <c r="K6992" s="1" t="str">
        <f t="shared" si="445"/>
        <v>ㄐ</v>
      </c>
      <c r="L6992" s="1" t="str">
        <f t="shared" si="446"/>
        <v>ㄧ</v>
      </c>
      <c r="M6992" s="1" t="str">
        <f t="shared" si="447"/>
        <v>ㄝ</v>
      </c>
      <c r="P6992" s="1" t="s">
        <v>20</v>
      </c>
      <c r="R6992" s="1" t="s">
        <v>13503</v>
      </c>
      <c r="V6992" s="1" t="s">
        <v>13510</v>
      </c>
      <c r="AR6992" s="1" t="str">
        <f t="shared" si="444"/>
        <v>| [ㄐㄧㄝˋ](ㄐㄧㄝˋ.md) | [玠](玠.md) |  | jiè | [名]
大圭。《說文解字．人部》：「玠，大圭也。」《爾雅．釋器》：「珪大尺二寸謂之玠。」 |</v>
      </c>
    </row>
    <row r="6993" spans="1:44" hidden="1">
      <c r="A6993" s="1" t="s">
        <v>13511</v>
      </c>
      <c r="C6993" s="1">
        <v>1</v>
      </c>
      <c r="D6993" s="1" t="str">
        <f>"05601"</f>
        <v>05601</v>
      </c>
      <c r="E6993" s="1" t="s">
        <v>37</v>
      </c>
      <c r="F6993" s="1">
        <v>8</v>
      </c>
      <c r="G6993" s="1">
        <v>4</v>
      </c>
      <c r="H6993" s="1">
        <v>0</v>
      </c>
      <c r="I6993" s="1" t="s">
        <v>13502</v>
      </c>
      <c r="K6993" s="1" t="str">
        <f t="shared" si="445"/>
        <v>ㄐ</v>
      </c>
      <c r="L6993" s="1" t="str">
        <f t="shared" si="446"/>
        <v>ㄧ</v>
      </c>
      <c r="M6993" s="1" t="str">
        <f t="shared" si="447"/>
        <v>ㄝ</v>
      </c>
      <c r="P6993" s="1" t="s">
        <v>20</v>
      </c>
      <c r="R6993" s="1" t="s">
        <v>13503</v>
      </c>
      <c r="V6993" s="1" t="s">
        <v>13512</v>
      </c>
      <c r="AR6993" s="1" t="str">
        <f t="shared" si="444"/>
        <v>| [ㄐㄧㄝˋ](ㄐㄧㄝˋ.md) | [芥](芥.md) |  | jiè | [名]
1.植物名。十字花科蕓薹屬，「芥菜」之簡稱，參見「芥菜」條。
2.小草。《左傳．哀公元年》：「其亡也，以民為土芥。」《莊子．逍遙遊》：「覆杯水於坳堂之上，則芥為之舟。」
[形]
細小的、微賤的。如：「草芥」、「纖芥」。 |</v>
      </c>
    </row>
    <row r="6994" spans="1:44" hidden="1">
      <c r="A6994" s="1" t="s">
        <v>13513</v>
      </c>
      <c r="C6994" s="1">
        <v>1</v>
      </c>
      <c r="D6994" s="1" t="str">
        <f>"05602"</f>
        <v>05602</v>
      </c>
      <c r="E6994" s="1" t="s">
        <v>40</v>
      </c>
      <c r="F6994" s="1">
        <v>9</v>
      </c>
      <c r="G6994" s="1">
        <v>4</v>
      </c>
      <c r="H6994" s="1">
        <v>0</v>
      </c>
      <c r="I6994" s="1" t="s">
        <v>13502</v>
      </c>
      <c r="K6994" s="1" t="str">
        <f t="shared" si="445"/>
        <v>ㄐ</v>
      </c>
      <c r="L6994" s="1" t="str">
        <f t="shared" si="446"/>
        <v>ㄧ</v>
      </c>
      <c r="M6994" s="1" t="str">
        <f t="shared" si="447"/>
        <v>ㄝ</v>
      </c>
      <c r="P6994" s="1" t="s">
        <v>20</v>
      </c>
      <c r="R6994" s="1" t="s">
        <v>13503</v>
      </c>
      <c r="V6994" s="1" t="s">
        <v>13514</v>
      </c>
      <c r="AR6994" s="1" t="str">
        <f t="shared" si="444"/>
        <v>| [ㄐㄧㄝˋ](ㄐㄧㄝˋ.md) | [疥](疥.md) |  | jiè | 參見「疥瘡」條。 |</v>
      </c>
    </row>
    <row r="6995" spans="1:44" hidden="1">
      <c r="A6995" s="1" t="s">
        <v>13515</v>
      </c>
      <c r="C6995" s="1">
        <v>1</v>
      </c>
      <c r="D6995" s="1" t="str">
        <f>"05603"</f>
        <v>05603</v>
      </c>
      <c r="E6995" s="1" t="s">
        <v>753</v>
      </c>
      <c r="F6995" s="1">
        <v>9</v>
      </c>
      <c r="G6995" s="1">
        <v>4</v>
      </c>
      <c r="H6995" s="1">
        <v>0</v>
      </c>
      <c r="I6995" s="1" t="s">
        <v>13502</v>
      </c>
      <c r="K6995" s="1" t="str">
        <f t="shared" si="445"/>
        <v>ㄐ</v>
      </c>
      <c r="L6995" s="1" t="str">
        <f t="shared" si="446"/>
        <v>ㄧ</v>
      </c>
      <c r="M6995" s="1" t="str">
        <f t="shared" si="447"/>
        <v>ㄝ</v>
      </c>
      <c r="P6995" s="1" t="s">
        <v>20</v>
      </c>
      <c r="R6995" s="1" t="s">
        <v>13503</v>
      </c>
      <c r="V6995" s="1" t="s">
        <v>13516</v>
      </c>
      <c r="AR6995" s="1" t="str">
        <f t="shared" si="444"/>
        <v>| [ㄐㄧㄝˋ](ㄐㄧㄝˋ.md) | [界](界.md) |  | jiè | [名]
1.不同事物的分界。如：「地界」、「邊界」、「疆界」、「國界」、「以河為界」。《後漢書．卷六〇上．馬融傳》：「奢儉之中，以禮為界。」
2.按職業、工作、性別或其他事物所劃分的特定範圍。如：「眼界」、「政界」、「教育界」、「婦女界」。
3.生物學分類系統中最大的等級。如：「動物界」、「植物界」。
[動]
1.區隔、劃分。《文選．孫綽．遊天台山賦》：「赤城霞起以建標，瀑布飛流以界道。」
2.離間。《漢書．卷八七．揚雄傳下》：「（范雎）界涇陽抵穰侯而代之，當也。」顏師古注引蘇林曰：「界，間其兄弟使疏。」
3.接鄰、毗連。如：「花蓮縣北界宜蘭縣。」《文選．班固．西都賦》：「右界褒斜、隴首之險，帶以洪河涇渭之川。」 |</v>
      </c>
    </row>
    <row r="6996" spans="1:44" hidden="1">
      <c r="A6996" s="1" t="s">
        <v>13517</v>
      </c>
      <c r="C6996" s="1">
        <v>1</v>
      </c>
      <c r="D6996" s="1" t="str">
        <f>"05604"</f>
        <v>05604</v>
      </c>
      <c r="E6996" s="1" t="s">
        <v>679</v>
      </c>
      <c r="F6996" s="1">
        <v>10</v>
      </c>
      <c r="G6996" s="1">
        <v>4</v>
      </c>
      <c r="H6996" s="1">
        <v>0</v>
      </c>
      <c r="I6996" s="1" t="s">
        <v>13502</v>
      </c>
      <c r="K6996" s="1" t="str">
        <f t="shared" si="445"/>
        <v>ㄐ</v>
      </c>
      <c r="L6996" s="1" t="str">
        <f t="shared" si="446"/>
        <v>ㄧ</v>
      </c>
      <c r="M6996" s="1" t="str">
        <f t="shared" si="447"/>
        <v>ㄝ</v>
      </c>
      <c r="P6996" s="1" t="s">
        <v>20</v>
      </c>
      <c r="R6996" s="1" t="s">
        <v>13503</v>
      </c>
      <c r="V6996" s="1" t="s">
        <v>13518</v>
      </c>
      <c r="AR6996" s="1" t="str">
        <f t="shared" si="444"/>
        <v>| [ㄐㄧㄝˋ](ㄐㄧㄝˋ.md) | [蚧](蚧.md) |  | jiè | 參見「蛤蚧」條。 |</v>
      </c>
    </row>
    <row r="6997" spans="1:44" hidden="1">
      <c r="A6997" s="1" t="s">
        <v>13519</v>
      </c>
      <c r="C6997" s="1">
        <v>1</v>
      </c>
      <c r="D6997" s="1" t="str">
        <f>"05605"</f>
        <v>05605</v>
      </c>
      <c r="E6997" s="1" t="s">
        <v>4785</v>
      </c>
      <c r="F6997" s="1">
        <v>7</v>
      </c>
      <c r="G6997" s="1">
        <v>3</v>
      </c>
      <c r="H6997" s="1">
        <v>0</v>
      </c>
      <c r="I6997" s="1" t="s">
        <v>13502</v>
      </c>
      <c r="K6997" s="1" t="str">
        <f t="shared" si="445"/>
        <v>ㄐ</v>
      </c>
      <c r="L6997" s="1" t="str">
        <f t="shared" si="446"/>
        <v>ㄧ</v>
      </c>
      <c r="M6997" s="1" t="str">
        <f t="shared" si="447"/>
        <v>ㄝ</v>
      </c>
      <c r="P6997" s="1" t="s">
        <v>20</v>
      </c>
      <c r="R6997" s="1" t="s">
        <v>13503</v>
      </c>
      <c r="V6997" s="1" t="s">
        <v>13520</v>
      </c>
      <c r="AR6997" s="1" t="str">
        <f t="shared" si="444"/>
        <v>| [ㄐㄧㄝˋ](ㄐㄧㄝˋ.md) | [戒](戒.md) |  | jiè | [動]
1.防備。《說文解字．廾部》：「戒，警也。」如：「戒備」。《荀子．儒效》：「家富而愈儉，勝敵而愈戒。」
2.謹慎、慎重。如：「戒慎」。《孟子．滕文公下》：「往之女家，必敬必戒，無違夫子。」
3.警告、勸導。如：「勸戒」。《紅樓夢》第二八回：「便有一二分錯處，你倒是或教導我，戒我下次，或罵我兩句，打我兩下，我都不灰心。」
4.告訴、告知。《儀禮．士冠禮》：「主人戒賓。」宋．黃庭堅〈送王郎〉詩：「連床夜語雞戒曉。」
5.革除。如：「戒酒」、「戒賭」、「戒菸」、「戒毒」。
[名]
1.宗教上約束禁止某些行為的規條，或泛指禁止做的事。如：「十戒」、「破戒」、「戒律」。《西遊記》第八回：「菩薩方與他摩頂受戒。」
2.文體名。內容用以警戒自己或別人。南朝梁．蕭統〈文選序〉：「次則箴興於補闕，戒出於弼匡。」
3.配戴於手指上的環狀飾品。如：「鑽戒」、「金戒」、「銀戒」。 |</v>
      </c>
    </row>
    <row r="6998" spans="1:44" hidden="1">
      <c r="A6998" s="1" t="s">
        <v>13521</v>
      </c>
      <c r="C6998" s="1">
        <v>1</v>
      </c>
      <c r="D6998" s="1" t="str">
        <f>"05606"</f>
        <v>05606</v>
      </c>
      <c r="E6998" s="1" t="s">
        <v>139</v>
      </c>
      <c r="F6998" s="1">
        <v>11</v>
      </c>
      <c r="G6998" s="1">
        <v>7</v>
      </c>
      <c r="H6998" s="1">
        <v>2</v>
      </c>
      <c r="I6998" s="1" t="s">
        <v>13502</v>
      </c>
      <c r="K6998" s="1" t="str">
        <f t="shared" si="445"/>
        <v>ㄐ</v>
      </c>
      <c r="L6998" s="1" t="str">
        <f t="shared" si="446"/>
        <v>ㄧ</v>
      </c>
      <c r="M6998" s="1" t="str">
        <f t="shared" si="447"/>
        <v>ㄝ</v>
      </c>
      <c r="P6998" s="1" t="s">
        <v>110</v>
      </c>
      <c r="R6998" s="1" t="s">
        <v>13503</v>
      </c>
      <c r="V6998" s="1" t="s">
        <v>111</v>
      </c>
      <c r="W6998" s="1" t="s">
        <v>13522</v>
      </c>
      <c r="AR6998" s="1" t="str">
        <f t="shared" si="444"/>
        <v>| [ㄐㄧㄝˋ](ㄐㄧㄝˋ.md) | [械](械.md) |  | jiè | (一)之又音。 |</v>
      </c>
    </row>
    <row r="6999" spans="1:44" hidden="1">
      <c r="A6999" s="1" t="s">
        <v>13523</v>
      </c>
      <c r="C6999" s="1">
        <v>1</v>
      </c>
      <c r="D6999" s="1" t="str">
        <f>"05607"</f>
        <v>05607</v>
      </c>
      <c r="E6999" s="1" t="s">
        <v>331</v>
      </c>
      <c r="F6999" s="1">
        <v>14</v>
      </c>
      <c r="G6999" s="1">
        <v>7</v>
      </c>
      <c r="H6999" s="1">
        <v>0</v>
      </c>
      <c r="I6999" s="1" t="s">
        <v>13502</v>
      </c>
      <c r="K6999" s="1" t="str">
        <f t="shared" si="445"/>
        <v>ㄐ</v>
      </c>
      <c r="L6999" s="1" t="str">
        <f t="shared" si="446"/>
        <v>ㄧ</v>
      </c>
      <c r="M6999" s="1" t="str">
        <f t="shared" si="447"/>
        <v>ㄝ</v>
      </c>
      <c r="P6999" s="1" t="s">
        <v>20</v>
      </c>
      <c r="R6999" s="1" t="s">
        <v>13503</v>
      </c>
      <c r="V6999" s="1" t="s">
        <v>13524</v>
      </c>
      <c r="AR6999" s="1" t="str">
        <f t="shared" si="444"/>
        <v>| [ㄐㄧㄝˋ](ㄐㄧㄝˋ.md) | [誡](誡.md) |  | jiè | [動]
1.警告、規勸。如：「告誡」、「規誡」。《史記．卷三三．魯周公世家》：「周公藏其策金縢匱中，誡守者勿敢言。」《北史．卷十三．后妃傳上．魏神元皇后竇氏傳》：「賓臨終，誡其二子速侯、回題，令善事帝。」
2.戒備。通「戒」。《左傳．桓公十一年》：「鄖人軍其郊，必不誡，且曰虞四邑之至也。」《漢書．卷四八．賈誼傳》：「前車覆，後車誡。」
[名]
1.訓令、告示。《荀子．彊國》：「發誡布令而敵退，是主威也。」
2.格言、教條。如：「女誡」、「摩西十誡」。《後漢書．卷七六．循吏傳．秦彭傳》：「乃為人設四誡，以定六親長幼之禮。」 |</v>
      </c>
    </row>
    <row r="7000" spans="1:44" hidden="1">
      <c r="A7000" s="1" t="s">
        <v>13525</v>
      </c>
      <c r="C7000" s="1">
        <v>1</v>
      </c>
      <c r="D7000" s="1" t="str">
        <f>"05608"</f>
        <v>05608</v>
      </c>
      <c r="E7000" s="1" t="s">
        <v>871</v>
      </c>
      <c r="F7000" s="1">
        <v>8</v>
      </c>
      <c r="G7000" s="1">
        <v>5</v>
      </c>
      <c r="H7000" s="1">
        <v>0</v>
      </c>
      <c r="I7000" s="1" t="s">
        <v>13502</v>
      </c>
      <c r="K7000" s="1" t="str">
        <f t="shared" si="445"/>
        <v>ㄐ</v>
      </c>
      <c r="L7000" s="1" t="str">
        <f t="shared" si="446"/>
        <v>ㄧ</v>
      </c>
      <c r="M7000" s="1" t="str">
        <f t="shared" si="447"/>
        <v>ㄝ</v>
      </c>
      <c r="P7000" s="1" t="s">
        <v>20</v>
      </c>
      <c r="R7000" s="1" t="s">
        <v>13503</v>
      </c>
      <c r="V7000" s="1" t="s">
        <v>13526</v>
      </c>
      <c r="AR7000" s="1" t="str">
        <f t="shared" si="444"/>
        <v>| [ㄐㄧㄝˋ](ㄐㄧㄝˋ.md) | [屆](屆.md) |  | jiè | [動]
至、到。如：「屆時」、「屆期」。《書經．大禹謨》：「惟德動天，無遠弗屆。」
[名]
量詞：(1)計算定期舉行的會議或活動的單位。如：「本屆代表大會」、「第五屆運動會」。(2)計算具有某種身分或擔任某種職務期間的單位。如：「他是本校第七屆傑出校友。」 |</v>
      </c>
    </row>
    <row r="7001" spans="1:44" hidden="1">
      <c r="A7001" s="1" t="s">
        <v>13527</v>
      </c>
      <c r="C7001" s="1">
        <v>1</v>
      </c>
      <c r="D7001" s="1" t="str">
        <f>"05609"</f>
        <v>05609</v>
      </c>
      <c r="E7001" s="1" t="s">
        <v>114</v>
      </c>
      <c r="F7001" s="1">
        <v>10</v>
      </c>
      <c r="G7001" s="1">
        <v>8</v>
      </c>
      <c r="H7001" s="1">
        <v>0</v>
      </c>
      <c r="I7001" s="1" t="s">
        <v>13502</v>
      </c>
      <c r="K7001" s="1" t="str">
        <f t="shared" si="445"/>
        <v>ㄐ</v>
      </c>
      <c r="L7001" s="1" t="str">
        <f t="shared" si="446"/>
        <v>ㄧ</v>
      </c>
      <c r="M7001" s="1" t="str">
        <f t="shared" si="447"/>
        <v>ㄝ</v>
      </c>
      <c r="P7001" s="1" t="s">
        <v>20</v>
      </c>
      <c r="R7001" s="1" t="s">
        <v>13503</v>
      </c>
      <c r="V7001" s="1" t="s">
        <v>13528</v>
      </c>
      <c r="AR7001" s="1" t="str">
        <f t="shared" si="444"/>
        <v>| [ㄐㄧㄝˋ](ㄐㄧㄝˋ.md) | [借](借.md) |  | jiè | [動]
1.暫時向人告貸財物。如：「有借有還，再借不難。」《左傳．定公九年》：「盡借邑人之車。」北齊．顏之推《顏氏家訓．治家》：「借人典籍，皆須愛護。」
2.把財物暫時給他人使用。如：「這支筆借你用一下。」《論語．衛靈公》：「有馬者借人乘之。」
3.讚許。《隋書．卷二五．刑法志》：「武帝敦睦九族，優借朝士。」《文選．鄒陽．獄中上書自明》：「慈仁殷勤，誠嘉於心，此不可以虛辭借也。」
4.假託、利用。如：「借刀殺人」、「借題發揮」。
5.幫助。《漢書．卷六七．朱雲傳》：「少時通輕俠，借客報仇。」
6.倚靠、憑藉。如：「借重」、「借助」。
[副]
假使、假設。唐．元稹〈遣病〉詩：「借如今日死，亦足了一生；借使到百年，不知何所成？」 |</v>
      </c>
    </row>
    <row r="7002" spans="1:44" hidden="1">
      <c r="A7002" s="1" t="s">
        <v>13011</v>
      </c>
      <c r="C7002" s="1">
        <v>1</v>
      </c>
      <c r="D7002" s="1" t="str">
        <f>"05610"</f>
        <v>05610</v>
      </c>
      <c r="E7002" s="1" t="s">
        <v>28</v>
      </c>
      <c r="F7002" s="1">
        <v>11</v>
      </c>
      <c r="G7002" s="1">
        <v>8</v>
      </c>
      <c r="H7002" s="1">
        <v>1</v>
      </c>
      <c r="I7002" s="1" t="s">
        <v>13502</v>
      </c>
      <c r="K7002" s="1" t="str">
        <f t="shared" si="445"/>
        <v>ㄐ</v>
      </c>
      <c r="L7002" s="1" t="str">
        <f t="shared" si="446"/>
        <v>ㄧ</v>
      </c>
      <c r="M7002" s="1" t="str">
        <f t="shared" si="447"/>
        <v>ㄝ</v>
      </c>
      <c r="P7002" s="1" t="s">
        <v>20</v>
      </c>
      <c r="R7002" s="1" t="s">
        <v>13503</v>
      </c>
      <c r="V7002" s="1" t="s">
        <v>13529</v>
      </c>
      <c r="W7002" s="1" t="s">
        <v>13530</v>
      </c>
      <c r="AR7002" s="1" t="str">
        <f t="shared" si="444"/>
        <v>| [ㄐㄧㄝˋ](ㄐㄧㄝˋ.md) | [唶](唶.md) |  | jiè | [動]
嘆息。《韓非子．守道》：「人臣垂拱於金城之內，而無扼腕聚脣嗟唶之禍。」《後漢書．卷一．光武帝紀下》：「唶曰：『氣佳哉！鬱鬱蔥蔥然！』」 |</v>
      </c>
    </row>
    <row r="7003" spans="1:44" hidden="1">
      <c r="A7003" s="1" t="s">
        <v>13014</v>
      </c>
      <c r="C7003" s="1">
        <v>1</v>
      </c>
      <c r="D7003" s="1" t="str">
        <f>"05611"</f>
        <v>05611</v>
      </c>
      <c r="E7003" s="1" t="s">
        <v>109</v>
      </c>
      <c r="F7003" s="1">
        <v>14</v>
      </c>
      <c r="G7003" s="1">
        <v>8</v>
      </c>
      <c r="H7003" s="1">
        <v>2</v>
      </c>
      <c r="I7003" s="1" t="s">
        <v>13502</v>
      </c>
      <c r="K7003" s="1" t="str">
        <f t="shared" si="445"/>
        <v>ㄐ</v>
      </c>
      <c r="L7003" s="1" t="str">
        <f t="shared" si="446"/>
        <v>ㄧ</v>
      </c>
      <c r="M7003" s="1" t="str">
        <f t="shared" si="447"/>
        <v>ㄝ</v>
      </c>
      <c r="P7003" s="1" t="s">
        <v>20</v>
      </c>
      <c r="R7003" s="1" t="s">
        <v>13503</v>
      </c>
      <c r="V7003" s="1" t="s">
        <v>13531</v>
      </c>
      <c r="W7003" s="1" t="s">
        <v>13532</v>
      </c>
      <c r="AR7003" s="1" t="str">
        <f t="shared" si="444"/>
        <v>| [ㄐㄧㄝˋ](ㄐㄧㄝˋ.md) | [耤](耤.md) |  | jiè | [動]
借助。通「藉」。《玉篇．耒部》：「耤，借也。」《漢書．卷九二．郭解傳》：「以軀耤友報仇。」 |</v>
      </c>
    </row>
    <row r="7004" spans="1:44" hidden="1">
      <c r="A7004" s="1" t="s">
        <v>13020</v>
      </c>
      <c r="C7004" s="1">
        <v>1</v>
      </c>
      <c r="D7004" s="1" t="str">
        <f>"05612"</f>
        <v>05612</v>
      </c>
      <c r="E7004" s="1" t="s">
        <v>37</v>
      </c>
      <c r="F7004" s="1">
        <v>18</v>
      </c>
      <c r="G7004" s="1">
        <v>14</v>
      </c>
      <c r="H7004" s="1">
        <v>1</v>
      </c>
      <c r="I7004" s="1" t="s">
        <v>13502</v>
      </c>
      <c r="K7004" s="1" t="str">
        <f t="shared" si="445"/>
        <v>ㄐ</v>
      </c>
      <c r="L7004" s="1" t="str">
        <f t="shared" si="446"/>
        <v>ㄧ</v>
      </c>
      <c r="M7004" s="1" t="str">
        <f t="shared" si="447"/>
        <v>ㄝ</v>
      </c>
      <c r="P7004" s="1" t="s">
        <v>20</v>
      </c>
      <c r="R7004" s="1" t="s">
        <v>13503</v>
      </c>
      <c r="V7004" s="1" t="s">
        <v>13533</v>
      </c>
      <c r="W7004" s="1" t="s">
        <v>13534</v>
      </c>
      <c r="AR7004" s="1" t="str">
        <f t="shared" si="444"/>
        <v>| [ㄐㄧㄝˋ](ㄐㄧㄝˋ.md) | [藉](藉.md) |  | jiè | [名]
鋪墊物。《說文解字．艸部》：「藉，祭藉也。」《易經．大過卦．初六》：「藉用白茅。」《禮記．曲禮下》：「執玉，其有藉者則裼，無藉者則襲。」
[動]
1.鋪墊。宋．蘇軾〈卜算子．蜀客到江南〉詞：「還與去年人，共藉西湖草。」清．汪中〈先母鄒孺人靈表〉：「攜中及妹，儽然丐於親故，率日不得一食，歸則藉稿於地。」
2.依賴。如：「憑藉」、「依藉」、「慰藉」。《文選．李斯．上書秦始皇》：「此所謂藉寇兵而齎盜糧者也。」
3.假借。如：「藉口」、「藉故」。《商君書．開塞》：「藉刑以除刑。」 |</v>
      </c>
    </row>
    <row r="7005" spans="1:44" hidden="1">
      <c r="A7005" s="1" t="s">
        <v>13386</v>
      </c>
      <c r="C7005" s="1">
        <v>1</v>
      </c>
      <c r="D7005" s="1" t="str">
        <f>"05613"</f>
        <v>05613</v>
      </c>
      <c r="E7005" s="1" t="s">
        <v>28</v>
      </c>
      <c r="F7005" s="1">
        <v>13</v>
      </c>
      <c r="G7005" s="1">
        <v>10</v>
      </c>
      <c r="H7005" s="1">
        <v>3</v>
      </c>
      <c r="I7005" s="1" t="s">
        <v>13502</v>
      </c>
      <c r="K7005" s="1" t="str">
        <f t="shared" si="445"/>
        <v>ㄐ</v>
      </c>
      <c r="L7005" s="1" t="str">
        <f t="shared" si="446"/>
        <v>ㄧ</v>
      </c>
      <c r="M7005" s="1" t="str">
        <f t="shared" si="447"/>
        <v>ㄝ</v>
      </c>
      <c r="P7005" s="1" t="s">
        <v>20</v>
      </c>
      <c r="R7005" s="1" t="s">
        <v>13503</v>
      </c>
      <c r="V7005" s="1" t="s">
        <v>13535</v>
      </c>
      <c r="W7005" s="1" t="s">
        <v>13536</v>
      </c>
      <c r="AR7005" s="1" t="str">
        <f t="shared" si="444"/>
        <v>| [ㄐㄧㄝˋ](ㄐㄧㄝˋ.md) | [嗟](嗟.md) |  | jiè | 參見「咄嗟」條。 |</v>
      </c>
    </row>
    <row r="7006" spans="1:44" hidden="1">
      <c r="A7006" s="1" t="s">
        <v>13496</v>
      </c>
      <c r="C7006" s="1">
        <v>1</v>
      </c>
      <c r="D7006" s="1" t="str">
        <f>"05614"</f>
        <v>05614</v>
      </c>
      <c r="E7006" s="1" t="s">
        <v>1117</v>
      </c>
      <c r="F7006" s="1">
        <v>13</v>
      </c>
      <c r="G7006" s="1">
        <v>6</v>
      </c>
      <c r="H7006" s="1">
        <v>2</v>
      </c>
      <c r="I7006" s="1" t="s">
        <v>13502</v>
      </c>
      <c r="K7006" s="1" t="str">
        <f t="shared" si="445"/>
        <v>ㄐ</v>
      </c>
      <c r="L7006" s="1" t="str">
        <f t="shared" si="446"/>
        <v>ㄧ</v>
      </c>
      <c r="M7006" s="1" t="str">
        <f t="shared" si="447"/>
        <v>ㄝ</v>
      </c>
      <c r="P7006" s="1" t="s">
        <v>20</v>
      </c>
      <c r="R7006" s="1" t="s">
        <v>13503</v>
      </c>
      <c r="V7006" s="1" t="s">
        <v>13537</v>
      </c>
      <c r="W7006" s="1" t="s">
        <v>13538</v>
      </c>
      <c r="AR7006" s="1" t="str">
        <f t="shared" si="444"/>
        <v>| [ㄐㄧㄝˋ](ㄐㄧㄝˋ.md) | [解](解.md) |  | jiè | [名]
1.參見「解元」條。
2.官署、官吏辦公的地方。《商君書．墾令》：「又高其解舍，令有甬官食󺡨。」《文選．左思．吳都賦》：「屯營櫛比，解署棋布。」
[動]
1.押送、發遣。如：「押解罪犯」、「蘇三起解」。《京本通俗小說．碾玉觀音》：「當下喝賜錢酒賞犒捉事人，解這崔寧到臨安府，一一從頭供說。」
2.典當、抵押。《醒世恆言．卷三一．鄭節使立功神臂弓》：「你贖典，還是解錢？」《初刻拍案驚奇》卷一三：「往典鋪中解了幾十兩銀子。」
3.租用、租借。《清平山堂話本．楊溫攔路虎傳》：「楊三官人同那妻子和當直去客店，解一房歇泊。」《警世通言．卷三七．萬秀娘仇報山亭兒》：「當日天色晚，見一所客店，姊妹兩人解了房，討些飯喫了。」 |</v>
      </c>
    </row>
    <row r="7007" spans="1:44" hidden="1">
      <c r="A7007" s="1" t="s">
        <v>13539</v>
      </c>
      <c r="C7007" s="1">
        <v>1</v>
      </c>
      <c r="D7007" s="1" t="str">
        <f>"05615"</f>
        <v>05615</v>
      </c>
      <c r="E7007" s="1" t="s">
        <v>447</v>
      </c>
      <c r="F7007" s="1">
        <v>16</v>
      </c>
      <c r="G7007" s="1">
        <v>13</v>
      </c>
      <c r="H7007" s="1">
        <v>2</v>
      </c>
      <c r="I7007" s="1" t="s">
        <v>13502</v>
      </c>
      <c r="K7007" s="1" t="str">
        <f t="shared" si="445"/>
        <v>ㄐ</v>
      </c>
      <c r="L7007" s="1" t="str">
        <f t="shared" si="446"/>
        <v>ㄧ</v>
      </c>
      <c r="M7007" s="1" t="str">
        <f t="shared" si="447"/>
        <v>ㄝ</v>
      </c>
      <c r="P7007" s="1" t="s">
        <v>110</v>
      </c>
      <c r="R7007" s="1" t="s">
        <v>13503</v>
      </c>
      <c r="V7007" s="1" t="s">
        <v>111</v>
      </c>
      <c r="W7007" s="1" t="s">
        <v>13540</v>
      </c>
      <c r="AR7007" s="1" t="str">
        <f t="shared" si="444"/>
        <v>| [ㄐㄧㄝˋ](ㄐㄧㄝˋ.md) | [廨](廨.md) |  | jiè | (一)之又音。 |</v>
      </c>
    </row>
    <row r="7008" spans="1:44" hidden="1">
      <c r="A7008" s="1" t="s">
        <v>13541</v>
      </c>
      <c r="C7008" s="1">
        <v>1</v>
      </c>
      <c r="D7008" s="1" t="str">
        <f>"05616"</f>
        <v>05616</v>
      </c>
      <c r="E7008" s="1" t="s">
        <v>518</v>
      </c>
      <c r="F7008" s="1">
        <v>14</v>
      </c>
      <c r="G7008" s="1">
        <v>10</v>
      </c>
      <c r="H7008" s="1">
        <v>0</v>
      </c>
      <c r="I7008" s="1" t="s">
        <v>13502</v>
      </c>
      <c r="K7008" s="1" t="str">
        <f t="shared" si="445"/>
        <v>ㄐ</v>
      </c>
      <c r="L7008" s="1" t="str">
        <f t="shared" si="446"/>
        <v>ㄧ</v>
      </c>
      <c r="M7008" s="1" t="str">
        <f t="shared" si="447"/>
        <v>ㄝ</v>
      </c>
      <c r="P7008" s="1" t="s">
        <v>20</v>
      </c>
      <c r="R7008" s="1" t="s">
        <v>13503</v>
      </c>
      <c r="V7008" s="1" t="s">
        <v>13542</v>
      </c>
      <c r="AR7008" s="1" t="str">
        <f t="shared" si="444"/>
        <v>| [ㄐㄧㄝˋ](ㄐㄧㄝˋ.md) | [犗](犗.md) |  | jiè | [名]_x000D_
閹割去勢的牛。《說文解字．牛部》：「犗，騬牛也。」《莊子．外物》：「任公子為大鉤巨緇，五十犗以為餌。」_x000D_
[動]_x000D_
閹割。唐．釋玄應《一切經音義．卷一三．餓鬼報應經》：「犗，騬牛也，以刀去陰也。」 |</v>
      </c>
    </row>
    <row r="7009" spans="1:44" hidden="1">
      <c r="A7009" s="1" t="s">
        <v>13543</v>
      </c>
      <c r="C7009" s="1">
        <v>1</v>
      </c>
      <c r="D7009" s="1" t="str">
        <f>"05617"</f>
        <v>05617</v>
      </c>
      <c r="E7009" s="1" t="s">
        <v>340</v>
      </c>
      <c r="F7009" s="1">
        <v>16</v>
      </c>
      <c r="G7009" s="1">
        <v>10</v>
      </c>
      <c r="H7009" s="1">
        <v>0</v>
      </c>
      <c r="I7009" s="1" t="s">
        <v>13502</v>
      </c>
      <c r="K7009" s="1" t="str">
        <f t="shared" si="445"/>
        <v>ㄐ</v>
      </c>
      <c r="L7009" s="1" t="str">
        <f t="shared" si="446"/>
        <v>ㄧ</v>
      </c>
      <c r="M7009" s="1" t="str">
        <f t="shared" si="447"/>
        <v>ㄝ</v>
      </c>
      <c r="P7009" s="1" t="s">
        <v>20</v>
      </c>
      <c r="R7009" s="1" t="s">
        <v>13503</v>
      </c>
      <c r="V7009" s="1" t="s">
        <v>13544</v>
      </c>
      <c r="AR7009" s="1" t="str">
        <f t="shared" si="444"/>
        <v>| [ㄐㄧㄝˋ](ㄐㄧㄝˋ.md) | [褯](褯.md) |  | jiè | [名]
包裹嬰兒的衣被。《廣韻．去聲．禡韻》：「褯，小兒席。」也作「裓」。 |</v>
      </c>
    </row>
    <row r="7010" spans="1:44" hidden="1">
      <c r="A7010" s="1" t="s">
        <v>13386</v>
      </c>
      <c r="C7010" s="1">
        <v>1</v>
      </c>
      <c r="D7010" s="1" t="str">
        <f>"06068"</f>
        <v>06068</v>
      </c>
      <c r="E7010" s="1" t="s">
        <v>28</v>
      </c>
      <c r="F7010" s="1">
        <v>13</v>
      </c>
      <c r="G7010" s="1">
        <v>10</v>
      </c>
      <c r="H7010" s="1">
        <v>2</v>
      </c>
      <c r="I7010" s="1" t="s">
        <v>14548</v>
      </c>
      <c r="K7010" s="1" t="str">
        <f t="shared" si="445"/>
        <v>ㄐ</v>
      </c>
      <c r="L7010" s="1" t="str">
        <f t="shared" si="446"/>
        <v>ㄩ</v>
      </c>
      <c r="M7010" s="1" t="str">
        <f t="shared" si="447"/>
        <v>ㄝ</v>
      </c>
      <c r="P7010" s="1" t="s">
        <v>110</v>
      </c>
      <c r="R7010" s="1" t="s">
        <v>14549</v>
      </c>
      <c r="V7010" s="1" t="s">
        <v>111</v>
      </c>
      <c r="W7010" s="1" t="s">
        <v>14550</v>
      </c>
      <c r="AR7010" s="1" t="str">
        <f t="shared" si="444"/>
        <v>| [ㄐㄩㄝ](ㄐㄩㄝ.md) | [嗟](嗟.md) |  | juē | (一)之又音。 |</v>
      </c>
    </row>
    <row r="7011" spans="1:44" hidden="1">
      <c r="A7011" s="1" t="s">
        <v>14551</v>
      </c>
      <c r="C7011" s="1">
        <v>1</v>
      </c>
      <c r="D7011" s="1" t="str">
        <f>"06069"</f>
        <v>06069</v>
      </c>
      <c r="E7011" s="1" t="s">
        <v>24</v>
      </c>
      <c r="F7011" s="1">
        <v>15</v>
      </c>
      <c r="G7011" s="1">
        <v>12</v>
      </c>
      <c r="H7011" s="1">
        <v>0</v>
      </c>
      <c r="I7011" s="1" t="s">
        <v>14548</v>
      </c>
      <c r="K7011" s="1" t="str">
        <f t="shared" si="445"/>
        <v>ㄐ</v>
      </c>
      <c r="L7011" s="1" t="str">
        <f t="shared" si="446"/>
        <v>ㄩ</v>
      </c>
      <c r="M7011" s="1" t="str">
        <f t="shared" si="447"/>
        <v>ㄝ</v>
      </c>
      <c r="P7011" s="1" t="s">
        <v>20</v>
      </c>
      <c r="R7011" s="1" t="s">
        <v>14549</v>
      </c>
      <c r="V7011" s="1" t="s">
        <v>14552</v>
      </c>
      <c r="AR7011" s="1" t="str">
        <f t="shared" si="444"/>
        <v>| [ㄐㄩㄝ](ㄐㄩㄝ.md) | [撅](撅.md) |  | juē | [動]
1.翹起。如：「撅嘴」。《兒女英雄傳》第四十回：「忽見一個喜鵲飛了來，落在房簷上，對著她撅著尾巴。」
2.折斷。如：「他撅了一根樹枝。」
3.擊、攻擊。《新唐書．卷一〇五．褚遂良傳》：「昔侯君集、李靖皆庸人爾，猶能撅高昌，纓突厥。」
4.挖掘。漢．王充《論衡．效力》：「鑿所以入木者，槌叩之也；鍤所以能撅地者，跖蹈之也。」元．李文蔚《燕青博魚》第三折：「蠟打的鍬兒怎撅就的坑。」
[形]
倔強。《兒女英雄傳》第四回：「有那個撅老頭子，這些閒雜人也到不了跟前。」 |</v>
      </c>
    </row>
    <row r="7012" spans="1:44" hidden="1">
      <c r="A7012" s="1" t="s">
        <v>14553</v>
      </c>
      <c r="C7012" s="1">
        <v>1</v>
      </c>
      <c r="D7012" s="1" t="str">
        <f>"06070"</f>
        <v>06070</v>
      </c>
      <c r="E7012" s="1" t="s">
        <v>28</v>
      </c>
      <c r="F7012" s="1">
        <v>15</v>
      </c>
      <c r="G7012" s="1">
        <v>12</v>
      </c>
      <c r="H7012" s="1">
        <v>0</v>
      </c>
      <c r="I7012" s="1" t="s">
        <v>14548</v>
      </c>
      <c r="K7012" s="1" t="str">
        <f t="shared" si="445"/>
        <v>ㄐ</v>
      </c>
      <c r="L7012" s="1" t="str">
        <f t="shared" si="446"/>
        <v>ㄩ</v>
      </c>
      <c r="M7012" s="1" t="str">
        <f t="shared" si="447"/>
        <v>ㄝ</v>
      </c>
      <c r="P7012" s="1" t="s">
        <v>20</v>
      </c>
      <c r="R7012" s="1" t="s">
        <v>14549</v>
      </c>
      <c r="V7012" s="1" t="s">
        <v>14554</v>
      </c>
      <c r="AR7012" s="1" t="str">
        <f t="shared" si="444"/>
        <v>| [ㄐㄩㄝ](ㄐㄩㄝ.md) | [噘](噘.md) |  | juē | 參見「噘嘴」條。 |</v>
      </c>
    </row>
    <row r="7013" spans="1:44" hidden="1">
      <c r="A7013" s="1" t="s">
        <v>14555</v>
      </c>
      <c r="C7013" s="1">
        <v>1</v>
      </c>
      <c r="D7013" s="1" t="str">
        <f>"06071"</f>
        <v>06071</v>
      </c>
      <c r="E7013" s="1" t="s">
        <v>24</v>
      </c>
      <c r="F7013" s="1">
        <v>15</v>
      </c>
      <c r="G7013" s="1">
        <v>12</v>
      </c>
      <c r="H7013" s="1">
        <v>0</v>
      </c>
      <c r="I7013" s="1" t="s">
        <v>14548</v>
      </c>
      <c r="K7013" s="1" t="str">
        <f t="shared" si="445"/>
        <v>ㄐ</v>
      </c>
      <c r="L7013" s="1" t="str">
        <f t="shared" si="446"/>
        <v>ㄩ</v>
      </c>
      <c r="M7013" s="1" t="str">
        <f t="shared" si="447"/>
        <v>ㄝ</v>
      </c>
      <c r="P7013" s="1" t="s">
        <v>20</v>
      </c>
      <c r="R7013" s="1" t="s">
        <v>14549</v>
      </c>
      <c r="V7013" s="1" t="s">
        <v>14556</v>
      </c>
      <c r="AR7013" s="1" t="str">
        <f t="shared" si="444"/>
        <v>| [ㄐㄩㄝ](ㄐㄩㄝ.md) | [撧](撧.md) |  | juē | [動]
1.折斷。如：「撧成兩截」。《水滸傳》第四回：「跳上臺基，把剌子只一拔，卻似撧蔥般拔開了。」元．無名氏《盆兒鬼》第一折：「我待撧花枝在頭上插。」
2.向昏倒的人行按摩等活動使醒過來。如：「他昏過去了，趕快撧一撧！」
3.使人難堪。如：「什麼難題也撧不倒他！」、「這不是存心撧人嗎？」 |</v>
      </c>
    </row>
    <row r="7014" spans="1:44" hidden="1">
      <c r="A7014" s="1" t="s">
        <v>14557</v>
      </c>
      <c r="C7014" s="1">
        <v>1</v>
      </c>
      <c r="D7014" s="1" t="str">
        <f>"06072"</f>
        <v>06072</v>
      </c>
      <c r="E7014" s="1" t="s">
        <v>7857</v>
      </c>
      <c r="F7014" s="1">
        <v>1</v>
      </c>
      <c r="G7014" s="1">
        <v>0</v>
      </c>
      <c r="H7014" s="1">
        <v>0</v>
      </c>
      <c r="I7014" s="1" t="s">
        <v>14558</v>
      </c>
      <c r="K7014" s="1" t="str">
        <f t="shared" si="445"/>
        <v>ㄐ</v>
      </c>
      <c r="L7014" s="1" t="str">
        <f t="shared" si="446"/>
        <v>ㄩ</v>
      </c>
      <c r="M7014" s="1" t="str">
        <f t="shared" si="447"/>
        <v>ㄝ</v>
      </c>
      <c r="P7014" s="1" t="s">
        <v>20</v>
      </c>
      <c r="R7014" s="1" t="s">
        <v>14559</v>
      </c>
      <c r="V7014" s="1" t="s">
        <v>14560</v>
      </c>
      <c r="AR7014" s="1" t="str">
        <f t="shared" si="444"/>
        <v>| [ㄐㄩㄝˊ](ㄐㄩㄝˊ.md) | [亅](亅.md) |  | jué | [名]
1.倒掛的鉤。《說文解字．亅部》：「亅，鉤逆者謂之亅。」
2.二一四部首之一。 |</v>
      </c>
    </row>
    <row r="7015" spans="1:44" hidden="1">
      <c r="A7015" s="1" t="s">
        <v>14561</v>
      </c>
      <c r="C7015" s="1">
        <v>1</v>
      </c>
      <c r="D7015" s="1" t="str">
        <f>"06073"</f>
        <v>06073</v>
      </c>
      <c r="E7015" s="1" t="s">
        <v>241</v>
      </c>
      <c r="F7015" s="1">
        <v>3</v>
      </c>
      <c r="G7015" s="1">
        <v>0</v>
      </c>
      <c r="H7015" s="1">
        <v>0</v>
      </c>
      <c r="I7015" s="1" t="s">
        <v>14558</v>
      </c>
      <c r="K7015" s="1" t="str">
        <f t="shared" si="445"/>
        <v>ㄐ</v>
      </c>
      <c r="L7015" s="1" t="str">
        <f t="shared" si="446"/>
        <v>ㄩ</v>
      </c>
      <c r="M7015" s="1" t="str">
        <f t="shared" si="447"/>
        <v>ㄝ</v>
      </c>
      <c r="P7015" s="1" t="s">
        <v>20</v>
      </c>
      <c r="R7015" s="1" t="s">
        <v>14559</v>
      </c>
      <c r="V7015" s="1" t="s">
        <v>14562</v>
      </c>
      <c r="AR7015" s="1" t="str">
        <f t="shared" si="444"/>
        <v>| [ㄐㄩㄝˊ](ㄐㄩㄝˊ.md) | [孓](孓.md) |  | jué | 參見「孑孓」條。 |</v>
      </c>
    </row>
    <row r="7016" spans="1:44" hidden="1">
      <c r="A7016" s="1" t="s">
        <v>14563</v>
      </c>
      <c r="C7016" s="1">
        <v>1</v>
      </c>
      <c r="D7016" s="1" t="str">
        <f>"06074"</f>
        <v>06074</v>
      </c>
      <c r="E7016" s="1" t="s">
        <v>129</v>
      </c>
      <c r="F7016" s="1">
        <v>7</v>
      </c>
      <c r="G7016" s="1">
        <v>4</v>
      </c>
      <c r="H7016" s="1">
        <v>0</v>
      </c>
      <c r="I7016" s="1" t="s">
        <v>14558</v>
      </c>
      <c r="K7016" s="1" t="str">
        <f t="shared" si="445"/>
        <v>ㄐ</v>
      </c>
      <c r="L7016" s="1" t="str">
        <f t="shared" si="446"/>
        <v>ㄩ</v>
      </c>
      <c r="M7016" s="1" t="str">
        <f t="shared" si="447"/>
        <v>ㄝ</v>
      </c>
      <c r="P7016" s="1" t="s">
        <v>20</v>
      </c>
      <c r="R7016" s="1" t="s">
        <v>14559</v>
      </c>
      <c r="V7016" s="1" t="s">
        <v>14564</v>
      </c>
      <c r="AR7016" s="1" t="str">
        <f t="shared" si="444"/>
        <v>| [ㄐㄩㄝˊ](ㄐㄩㄝˊ.md) | [決](決.md) |  | jué | [動]
1.疏通水道。《書經．益稷》：「予決九川，距四海。」《孟子．滕文公上》：「決汝漢，排淮泗。」
2.隄防潰壞。如：「決堤」、「潰決」、「黃河決口」。《淮南子．天文》：「賁星墜而勃海決。」
3.判定、斷定。如：「判決」、「議決」、「猶豫不決」。《史記．卷五三．蕭相國世家》：「群臣爭功，歲餘功不決。」
4.競爭勝負。如：「決一死戰」。唐．高邁〈濟河焚舟賦〉：「冀桑榆之未晚，得雌雄之一決。」
5.處死。如：「處決」、「槍決」。《三國志．卷一六．魏書．倉慈傳》：「慈躬往省閱，料簡輕重，自非殊死，但鞭杖遣之，一歲決刑曾不滿十人。」
6.張開、裂開。《文選．揚雄．甘泉賦》：「天閫決兮地垠開，八荒協兮萬國諧。」唐．杜甫〈望嶽〉詩：「盪胸生曾雲，決眥入歸鳥。」
7.離別。通「訣」。《史記．卷四九．外戚世家》：「姊去我西時，與我決於傳舍中，丐沐沐我，請食飯我，乃去。」 |</v>
      </c>
    </row>
    <row r="7017" spans="1:44" hidden="1">
      <c r="A7017" s="1" t="s">
        <v>14565</v>
      </c>
      <c r="C7017" s="1">
        <v>1</v>
      </c>
      <c r="D7017" s="1" t="str">
        <f>"06075"</f>
        <v>06075</v>
      </c>
      <c r="E7017" s="1" t="s">
        <v>24</v>
      </c>
      <c r="F7017" s="1">
        <v>7</v>
      </c>
      <c r="G7017" s="1">
        <v>4</v>
      </c>
      <c r="H7017" s="1">
        <v>0</v>
      </c>
      <c r="I7017" s="1" t="s">
        <v>14558</v>
      </c>
      <c r="K7017" s="1" t="str">
        <f t="shared" si="445"/>
        <v>ㄐ</v>
      </c>
      <c r="L7017" s="1" t="str">
        <f t="shared" si="446"/>
        <v>ㄩ</v>
      </c>
      <c r="M7017" s="1" t="str">
        <f t="shared" si="447"/>
        <v>ㄝ</v>
      </c>
      <c r="P7017" s="1" t="s">
        <v>20</v>
      </c>
      <c r="R7017" s="1" t="s">
        <v>14559</v>
      </c>
      <c r="V7017" s="1" t="s">
        <v>14566</v>
      </c>
      <c r="AR7017" s="1" t="str">
        <f t="shared" si="444"/>
        <v>| [ㄐㄩㄝˊ](ㄐㄩㄝˊ.md) | [抉](抉.md) |  | jué | [動]
1.挖、挑出。《史記．卷三一．吳太伯世家》：「抉吾眼置之東門，以觀越之滅吳也。」
2.挑取、選取。如：「抉擇」。唐．皮日休〈郢州孟亭記〉：「先生之作，遇景入詠，不拘奇抉異。」
3.戮、穿。《左傳．襄公十七年》：「以杙抉其傷而死。」宋．陸游〈寒夜歌〉：「既不能挺長劍以抉九天之雲，又不能持斗魁以回萬物之春。」
4.揭開、揭發。《新唐書．卷一五〇．李揆傳》：「揆懼復用，遣吏至諲所，構抉過失，諲密訴諸朝。」 |</v>
      </c>
    </row>
    <row r="7018" spans="1:44" hidden="1">
      <c r="A7018" s="1" t="s">
        <v>14567</v>
      </c>
      <c r="C7018" s="1">
        <v>1</v>
      </c>
      <c r="D7018" s="1" t="str">
        <f>"06076"</f>
        <v>06076</v>
      </c>
      <c r="E7018" s="1" t="s">
        <v>142</v>
      </c>
      <c r="F7018" s="1">
        <v>8</v>
      </c>
      <c r="G7018" s="1">
        <v>4</v>
      </c>
      <c r="H7018" s="1">
        <v>0</v>
      </c>
      <c r="I7018" s="1" t="s">
        <v>14558</v>
      </c>
      <c r="K7018" s="1" t="str">
        <f t="shared" si="445"/>
        <v>ㄐ</v>
      </c>
      <c r="L7018" s="1" t="str">
        <f t="shared" si="446"/>
        <v>ㄩ</v>
      </c>
      <c r="M7018" s="1" t="str">
        <f t="shared" si="447"/>
        <v>ㄝ</v>
      </c>
      <c r="P7018" s="1" t="s">
        <v>20</v>
      </c>
      <c r="R7018" s="1" t="s">
        <v>14559</v>
      </c>
      <c r="V7018" s="1" t="s">
        <v>14568</v>
      </c>
      <c r="AR7018" s="1" t="str">
        <f t="shared" si="444"/>
        <v>| [ㄐㄩㄝˊ](ㄐㄩㄝˊ.md) | [玦](玦.md) |  | jué | [名]
半環狀的玉佩。《楚辭．屈原．九歌．湘君》：「捐余玦兮江中，遺余佩兮醴浦。」《史記．卷七．項羽本紀》：「范增數目項王，舉所佩玉玦以示之者三，項王默然不應。」 |</v>
      </c>
    </row>
    <row r="7019" spans="1:44" hidden="1">
      <c r="A7019" s="1" t="s">
        <v>14569</v>
      </c>
      <c r="C7019" s="1">
        <v>1</v>
      </c>
      <c r="D7019" s="1" t="str">
        <f>"06077"</f>
        <v>06077</v>
      </c>
      <c r="E7019" s="1" t="s">
        <v>37</v>
      </c>
      <c r="F7019" s="1">
        <v>8</v>
      </c>
      <c r="G7019" s="1">
        <v>4</v>
      </c>
      <c r="H7019" s="1">
        <v>0</v>
      </c>
      <c r="I7019" s="1" t="s">
        <v>14558</v>
      </c>
      <c r="K7019" s="1" t="str">
        <f t="shared" si="445"/>
        <v>ㄐ</v>
      </c>
      <c r="L7019" s="1" t="str">
        <f t="shared" si="446"/>
        <v>ㄩ</v>
      </c>
      <c r="M7019" s="1" t="str">
        <f t="shared" si="447"/>
        <v>ㄝ</v>
      </c>
      <c r="P7019" s="1" t="s">
        <v>20</v>
      </c>
      <c r="R7019" s="1" t="s">
        <v>14559</v>
      </c>
      <c r="V7019" s="1" t="s">
        <v>14570</v>
      </c>
      <c r="AR7019" s="1" t="str">
        <f t="shared" si="444"/>
        <v>| [ㄐㄩㄝˊ](ㄐㄩㄝˊ.md) | [芵](芵.md) |  | jué | 參見「芵明」條。 |</v>
      </c>
    </row>
    <row r="7020" spans="1:44" hidden="1">
      <c r="A7020" s="1" t="s">
        <v>14571</v>
      </c>
      <c r="C7020" s="1">
        <v>1</v>
      </c>
      <c r="D7020" s="1" t="str">
        <f>"06078"</f>
        <v>06078</v>
      </c>
      <c r="E7020" s="1" t="s">
        <v>331</v>
      </c>
      <c r="F7020" s="1">
        <v>11</v>
      </c>
      <c r="G7020" s="1">
        <v>4</v>
      </c>
      <c r="H7020" s="1">
        <v>0</v>
      </c>
      <c r="I7020" s="1" t="s">
        <v>14558</v>
      </c>
      <c r="K7020" s="1" t="str">
        <f t="shared" si="445"/>
        <v>ㄐ</v>
      </c>
      <c r="L7020" s="1" t="str">
        <f t="shared" si="446"/>
        <v>ㄩ</v>
      </c>
      <c r="M7020" s="1" t="str">
        <f t="shared" si="447"/>
        <v>ㄝ</v>
      </c>
      <c r="P7020" s="1" t="s">
        <v>20</v>
      </c>
      <c r="R7020" s="1" t="s">
        <v>14559</v>
      </c>
      <c r="V7020" s="1" t="s">
        <v>14572</v>
      </c>
      <c r="AR7020" s="1" t="str">
        <f t="shared" si="444"/>
        <v>| [ㄐㄩㄝˊ](ㄐㄩㄝˊ.md) | [訣](訣.md) |  | jué | [動]
辭別、告別、永別。如：「訣別」。《史記．卷六五．孫子吳起傳》：「與其母訣，齧臂而盟曰：『起不為卿相，不復入衛。』」《文選．江淹．別賦》：「瀝泣共訣，抆血相視。」
[名]
1.法術、方法。如：「祕訣」。《列子．說符》：「衛人有善數者，臨死，以訣喻其子。」《魏書．卷一一四．釋老志》：「大禹聞長生之訣，尹喜受道德之旨。」
2.容易誦讀、記憶的語句。如：「口訣」、「歌訣」。 |</v>
      </c>
    </row>
    <row r="7021" spans="1:44" hidden="1">
      <c r="A7021" s="1" t="s">
        <v>14573</v>
      </c>
      <c r="C7021" s="1">
        <v>1</v>
      </c>
      <c r="D7021" s="1" t="str">
        <f>"06079"</f>
        <v>06079</v>
      </c>
      <c r="E7021" s="1" t="s">
        <v>77</v>
      </c>
      <c r="F7021" s="1">
        <v>11</v>
      </c>
      <c r="G7021" s="1">
        <v>4</v>
      </c>
      <c r="H7021" s="1">
        <v>0</v>
      </c>
      <c r="I7021" s="1" t="s">
        <v>14558</v>
      </c>
      <c r="K7021" s="1" t="str">
        <f t="shared" si="445"/>
        <v>ㄐ</v>
      </c>
      <c r="L7021" s="1" t="str">
        <f t="shared" si="446"/>
        <v>ㄩ</v>
      </c>
      <c r="M7021" s="1" t="str">
        <f t="shared" si="447"/>
        <v>ㄝ</v>
      </c>
      <c r="P7021" s="1" t="s">
        <v>20</v>
      </c>
      <c r="R7021" s="1" t="s">
        <v>14559</v>
      </c>
      <c r="V7021" s="1" t="s">
        <v>14574</v>
      </c>
      <c r="AR7021" s="1" t="str">
        <f t="shared" si="444"/>
        <v>| [ㄐㄩㄝˊ](ㄐㄩㄝˊ.md) | [趹](趹.md) |  | jué | [動]
馬快跑時後腳踢地急起。《史記．卷七〇．張儀傳》：「秦馬之良，戎兵之眾，探前趹後，蹄閒三尋騰者，不可勝數。」 |</v>
      </c>
    </row>
    <row r="7022" spans="1:44" hidden="1">
      <c r="A7022" s="1" t="s">
        <v>14575</v>
      </c>
      <c r="C7022" s="1">
        <v>1</v>
      </c>
      <c r="D7022" s="1" t="str">
        <f>"06080"</f>
        <v>06080</v>
      </c>
      <c r="E7022" s="1" t="s">
        <v>1117</v>
      </c>
      <c r="F7022" s="1">
        <v>11</v>
      </c>
      <c r="G7022" s="1">
        <v>4</v>
      </c>
      <c r="H7022" s="1">
        <v>0</v>
      </c>
      <c r="I7022" s="1" t="s">
        <v>14558</v>
      </c>
      <c r="K7022" s="1" t="str">
        <f t="shared" si="445"/>
        <v>ㄐ</v>
      </c>
      <c r="L7022" s="1" t="str">
        <f t="shared" si="446"/>
        <v>ㄩ</v>
      </c>
      <c r="M7022" s="1" t="str">
        <f t="shared" si="447"/>
        <v>ㄝ</v>
      </c>
      <c r="P7022" s="1" t="s">
        <v>20</v>
      </c>
      <c r="R7022" s="1" t="s">
        <v>14559</v>
      </c>
      <c r="V7022" s="1" t="s">
        <v>14576</v>
      </c>
      <c r="AR7022" s="1" t="str">
        <f t="shared" si="444"/>
        <v>| [ㄐㄩㄝˊ](ㄐㄩㄝˊ.md) | [觖](觖.md) |  | jué | [動]
挑剔、挑撥。通「抉」。《漢書．卷七七．孫寶傳》：「馮氏反事明白，故欲擿觖以揚我惡。」
[副]
不滿意。《淮南子．繆稱》：「后稷廣利天下，猶不自矜，禹無廢功無蔽財，自視猶觖如也。」 |</v>
      </c>
    </row>
    <row r="7023" spans="1:44" hidden="1">
      <c r="A7023" s="1" t="s">
        <v>11209</v>
      </c>
      <c r="C7023" s="1">
        <v>1</v>
      </c>
      <c r="D7023" s="1" t="str">
        <f>"06081"</f>
        <v>06081</v>
      </c>
      <c r="E7023" s="1" t="s">
        <v>319</v>
      </c>
      <c r="F7023" s="1">
        <v>14</v>
      </c>
      <c r="G7023" s="1">
        <v>4</v>
      </c>
      <c r="H7023" s="1">
        <v>1</v>
      </c>
      <c r="I7023" s="1" t="s">
        <v>14558</v>
      </c>
      <c r="K7023" s="1" t="str">
        <f t="shared" si="445"/>
        <v>ㄐ</v>
      </c>
      <c r="L7023" s="1" t="str">
        <f t="shared" si="446"/>
        <v>ㄩ</v>
      </c>
      <c r="M7023" s="1" t="str">
        <f t="shared" si="447"/>
        <v>ㄝ</v>
      </c>
      <c r="P7023" s="1" t="s">
        <v>20</v>
      </c>
      <c r="R7023" s="1" t="s">
        <v>14559</v>
      </c>
      <c r="V7023" s="1" t="s">
        <v>6441</v>
      </c>
      <c r="W7023" s="1" t="s">
        <v>14577</v>
      </c>
      <c r="AR7023" s="1" t="str">
        <f t="shared" si="444"/>
        <v>| [ㄐㄩㄝˊ](ㄐㄩㄝˊ.md) | [駃](駃.md) |  | jué | 參見「駃騠」條。 |</v>
      </c>
    </row>
    <row r="7024" spans="1:44" hidden="1">
      <c r="A7024" s="1" t="s">
        <v>14421</v>
      </c>
      <c r="C7024" s="1">
        <v>1</v>
      </c>
      <c r="D7024" s="1" t="str">
        <f>"06082"</f>
        <v>06082</v>
      </c>
      <c r="E7024" s="1" t="s">
        <v>272</v>
      </c>
      <c r="F7024" s="1">
        <v>15</v>
      </c>
      <c r="G7024" s="1">
        <v>4</v>
      </c>
      <c r="H7024" s="1">
        <v>1</v>
      </c>
      <c r="I7024" s="1" t="s">
        <v>14558</v>
      </c>
      <c r="K7024" s="1" t="str">
        <f t="shared" si="445"/>
        <v>ㄐ</v>
      </c>
      <c r="L7024" s="1" t="str">
        <f t="shared" si="446"/>
        <v>ㄩ</v>
      </c>
      <c r="M7024" s="1" t="str">
        <f t="shared" si="447"/>
        <v>ㄝ</v>
      </c>
      <c r="P7024" s="1" t="s">
        <v>20</v>
      </c>
      <c r="R7024" s="1" t="s">
        <v>14559</v>
      </c>
      <c r="V7024" s="1" t="s">
        <v>14578</v>
      </c>
      <c r="W7024" s="1" t="s">
        <v>14579</v>
      </c>
      <c r="AR7024" s="1" t="str">
        <f t="shared" si="444"/>
        <v>| [ㄐㄩㄝˊ](ㄐㄩㄝˊ.md) | [鴃](鴃.md) |  | jué | [名]
1.同「鶪」。清．朱駿聲《說文通訓定聲．泰部》：「鴃，假借為鶪。」
2.鸋鴃：動物名。體似黃雀而小，喙尖如錐。全身灰色，有黑褐色斑紋。取茅莠為窠，以麻纏之，懸於樹枝。也稱為「巧婦」、「鷦鷯」。 |</v>
      </c>
    </row>
    <row r="7025" spans="1:44" hidden="1">
      <c r="A7025" s="1" t="s">
        <v>14580</v>
      </c>
      <c r="C7025" s="1">
        <v>1</v>
      </c>
      <c r="D7025" s="1" t="str">
        <f>"06083"</f>
        <v>06083</v>
      </c>
      <c r="E7025" s="1" t="s">
        <v>10156</v>
      </c>
      <c r="F7025" s="1">
        <v>7</v>
      </c>
      <c r="G7025" s="1">
        <v>0</v>
      </c>
      <c r="H7025" s="1">
        <v>0</v>
      </c>
      <c r="I7025" s="1" t="s">
        <v>14558</v>
      </c>
      <c r="K7025" s="1" t="str">
        <f t="shared" si="445"/>
        <v>ㄐ</v>
      </c>
      <c r="L7025" s="1" t="str">
        <f t="shared" si="446"/>
        <v>ㄩ</v>
      </c>
      <c r="M7025" s="1" t="str">
        <f t="shared" si="447"/>
        <v>ㄝ</v>
      </c>
      <c r="P7025" s="1" t="s">
        <v>20</v>
      </c>
      <c r="R7025" s="1" t="s">
        <v>14559</v>
      </c>
      <c r="V7025" s="1" t="s">
        <v>14581</v>
      </c>
      <c r="AR7025" s="1" t="str">
        <f t="shared" si="444"/>
        <v>| [ㄐㄩㄝˊ](ㄐㄩㄝˊ.md) | [𧮫](𧮫.md) |  | jué | [名]
口上彎曲的地方。《說文解字．谷部》：「𧮫，口上阿也。」清．段玉裁．注：「口上阿，謂口吻已上之肉，隨口卷曲。」
[形]
笑的樣子。《廣韻．入聲．藥韻》：「𧮫，笑貌。」 |</v>
      </c>
    </row>
    <row r="7026" spans="1:44" hidden="1">
      <c r="A7026" s="1" t="s">
        <v>13642</v>
      </c>
      <c r="C7026" s="1">
        <v>1</v>
      </c>
      <c r="D7026" s="1" t="str">
        <f>"06084"</f>
        <v>06084</v>
      </c>
      <c r="E7026" s="1" t="s">
        <v>68</v>
      </c>
      <c r="F7026" s="1">
        <v>13</v>
      </c>
      <c r="G7026" s="1">
        <v>9</v>
      </c>
      <c r="H7026" s="1">
        <v>2</v>
      </c>
      <c r="I7026" s="1" t="s">
        <v>14558</v>
      </c>
      <c r="K7026" s="1" t="str">
        <f t="shared" si="445"/>
        <v>ㄐ</v>
      </c>
      <c r="L7026" s="1" t="str">
        <f t="shared" si="446"/>
        <v>ㄩ</v>
      </c>
      <c r="M7026" s="1" t="str">
        <f t="shared" si="447"/>
        <v>ㄝ</v>
      </c>
      <c r="P7026" s="1" t="s">
        <v>186</v>
      </c>
      <c r="R7026" s="1" t="s">
        <v>14559</v>
      </c>
      <c r="V7026" s="1" t="s">
        <v>206</v>
      </c>
      <c r="W7026" s="1" t="s">
        <v>14582</v>
      </c>
      <c r="AR7026" s="1" t="str">
        <f t="shared" si="444"/>
        <v>| [ㄐㄩㄝˊ](ㄐㄩㄝˊ.md) | [腳](腳.md) |  | jué | (一)之讀音。 |</v>
      </c>
    </row>
    <row r="7027" spans="1:44" hidden="1">
      <c r="A7027" s="1" t="s">
        <v>9150</v>
      </c>
      <c r="C7027" s="1">
        <v>1</v>
      </c>
      <c r="D7027" s="1" t="str">
        <f>"06085"</f>
        <v>06085</v>
      </c>
      <c r="E7027" s="1" t="s">
        <v>1117</v>
      </c>
      <c r="F7027" s="1">
        <v>7</v>
      </c>
      <c r="G7027" s="1">
        <v>0</v>
      </c>
      <c r="H7027" s="1">
        <v>2</v>
      </c>
      <c r="I7027" s="1" t="s">
        <v>14558</v>
      </c>
      <c r="K7027" s="1" t="str">
        <f t="shared" si="445"/>
        <v>ㄐ</v>
      </c>
      <c r="L7027" s="1" t="str">
        <f t="shared" si="446"/>
        <v>ㄩ</v>
      </c>
      <c r="M7027" s="1" t="str">
        <f t="shared" si="447"/>
        <v>ㄝ</v>
      </c>
      <c r="P7027" s="1" t="s">
        <v>20</v>
      </c>
      <c r="R7027" s="1" t="s">
        <v>14559</v>
      </c>
      <c r="V7027" s="1" t="s">
        <v>14583</v>
      </c>
      <c r="W7027" s="1" t="s">
        <v>14584</v>
      </c>
      <c r="AR7027" s="1" t="str">
        <f t="shared" si="444"/>
        <v>| [ㄐㄩㄝˊ](ㄐㄩㄝˊ.md) | [角](角.md) |  | jué | [名]
1.戲劇的表演人物。如：「主角」、「配角」、「丑角」。
2.星名。二十八星宿之一，東方蒼龍七宿的第一宿，有兩顆星。《國語．周語中》：「夫辰角見而雨畢，天根見而水涸。」三國吳．韋昭．注：「辰角，大辰蒼龍之角。角，星名也。」《楚辭．屈原．天問》：「角宿未旦，曜靈安藏？」
3.古代五音之一。《周禮．春官．大師》：「皆文之以五聲：宮、商、角、徵、羽。」 |</v>
      </c>
    </row>
    <row r="7028" spans="1:44" hidden="1">
      <c r="A7028" s="1" t="s">
        <v>14585</v>
      </c>
      <c r="C7028" s="1">
        <v>1</v>
      </c>
      <c r="D7028" s="1" t="str">
        <f>"06086"</f>
        <v>06086</v>
      </c>
      <c r="E7028" s="1" t="s">
        <v>24</v>
      </c>
      <c r="F7028" s="1">
        <v>10</v>
      </c>
      <c r="G7028" s="1">
        <v>7</v>
      </c>
      <c r="H7028" s="1">
        <v>1</v>
      </c>
      <c r="I7028" s="1" t="s">
        <v>14558</v>
      </c>
      <c r="K7028" s="1" t="str">
        <f t="shared" si="445"/>
        <v>ㄐ</v>
      </c>
      <c r="L7028" s="1" t="str">
        <f t="shared" si="446"/>
        <v>ㄩ</v>
      </c>
      <c r="M7028" s="1" t="str">
        <f t="shared" si="447"/>
        <v>ㄝ</v>
      </c>
      <c r="P7028" s="1" t="s">
        <v>20</v>
      </c>
      <c r="R7028" s="1" t="s">
        <v>14559</v>
      </c>
      <c r="V7028" s="1" t="s">
        <v>14586</v>
      </c>
      <c r="W7028" s="1" t="s">
        <v>14587</v>
      </c>
      <c r="AR7028" s="1" t="str">
        <f t="shared" si="444"/>
        <v>| [ㄐㄩㄝˊ](ㄐㄩㄝˊ.md) | [捔](捔.md) |  | jué | [動]
競爭。《淮南子．氾論》：「而風氣者，陰陽相捔者也。」魏．卞蘭〈許昌宮賦〉：「眾伎並奏，捔巧騁奇。」 |</v>
      </c>
    </row>
    <row r="7029" spans="1:44" hidden="1">
      <c r="A7029" s="1" t="s">
        <v>14588</v>
      </c>
      <c r="C7029" s="1">
        <v>1</v>
      </c>
      <c r="D7029" s="1" t="str">
        <f>"06087"</f>
        <v>06087</v>
      </c>
      <c r="E7029" s="1" t="s">
        <v>139</v>
      </c>
      <c r="F7029" s="1">
        <v>11</v>
      </c>
      <c r="G7029" s="1">
        <v>7</v>
      </c>
      <c r="H7029" s="1">
        <v>0</v>
      </c>
      <c r="I7029" s="1" t="s">
        <v>14558</v>
      </c>
      <c r="K7029" s="1" t="str">
        <f t="shared" si="445"/>
        <v>ㄐ</v>
      </c>
      <c r="L7029" s="1" t="str">
        <f t="shared" si="446"/>
        <v>ㄩ</v>
      </c>
      <c r="M7029" s="1" t="str">
        <f t="shared" si="447"/>
        <v>ㄝ</v>
      </c>
      <c r="P7029" s="1" t="s">
        <v>20</v>
      </c>
      <c r="R7029" s="1" t="s">
        <v>14559</v>
      </c>
      <c r="V7029" s="1" t="s">
        <v>14589</v>
      </c>
      <c r="AR7029" s="1" t="str">
        <f t="shared" si="444"/>
        <v>| [ㄐㄩㄝˊ](ㄐㄩㄝˊ.md) | [桷](桷.md) |  | jué | [名]
方形的屋椽，即榱。《說文解字．木部》：「桷，榱也，椽方曰桷。」《漢書．卷九一．貨殖傳．序》：「及周室衰，禮法墮，諸侯刻桷丹楹，大夫山節藻梲。」 |</v>
      </c>
    </row>
    <row r="7030" spans="1:44" hidden="1">
      <c r="A7030" s="1" t="s">
        <v>14590</v>
      </c>
      <c r="C7030" s="1">
        <v>1</v>
      </c>
      <c r="D7030" s="1" t="str">
        <f>"06088"</f>
        <v>06088</v>
      </c>
      <c r="E7030" s="1" t="s">
        <v>142</v>
      </c>
      <c r="F7030" s="1">
        <v>8</v>
      </c>
      <c r="G7030" s="1">
        <v>4</v>
      </c>
      <c r="H7030" s="1">
        <v>0</v>
      </c>
      <c r="I7030" s="1" t="s">
        <v>14558</v>
      </c>
      <c r="K7030" s="1" t="str">
        <f t="shared" si="445"/>
        <v>ㄐ</v>
      </c>
      <c r="L7030" s="1" t="str">
        <f t="shared" si="446"/>
        <v>ㄩ</v>
      </c>
      <c r="M7030" s="1" t="str">
        <f t="shared" si="447"/>
        <v>ㄝ</v>
      </c>
      <c r="P7030" s="1" t="s">
        <v>20</v>
      </c>
      <c r="R7030" s="1" t="s">
        <v>14559</v>
      </c>
      <c r="V7030" s="1" t="s">
        <v>14591</v>
      </c>
      <c r="AR7030" s="1" t="str">
        <f t="shared" si="444"/>
        <v>| [ㄐㄩㄝˊ](ㄐㄩㄝˊ.md) | [玨](玨.md) |  | jué | [名]
兩塊玉合成的玉器。《說文解字．玨部》：「玨，二玉相合為一玨。」 |</v>
      </c>
    </row>
    <row r="7031" spans="1:44" hidden="1">
      <c r="A7031" s="1" t="s">
        <v>14592</v>
      </c>
      <c r="C7031" s="1">
        <v>1</v>
      </c>
      <c r="D7031" s="1" t="str">
        <f>"06089"</f>
        <v>06089</v>
      </c>
      <c r="E7031" s="1" t="s">
        <v>114</v>
      </c>
      <c r="F7031" s="1">
        <v>10</v>
      </c>
      <c r="G7031" s="1">
        <v>8</v>
      </c>
      <c r="H7031" s="1">
        <v>1</v>
      </c>
      <c r="I7031" s="1" t="s">
        <v>14558</v>
      </c>
      <c r="K7031" s="1" t="str">
        <f t="shared" si="445"/>
        <v>ㄐ</v>
      </c>
      <c r="L7031" s="1" t="str">
        <f t="shared" si="446"/>
        <v>ㄩ</v>
      </c>
      <c r="M7031" s="1" t="str">
        <f t="shared" si="447"/>
        <v>ㄝ</v>
      </c>
      <c r="P7031" s="1" t="s">
        <v>20</v>
      </c>
      <c r="R7031" s="1" t="s">
        <v>14559</v>
      </c>
      <c r="V7031" s="1" t="s">
        <v>14593</v>
      </c>
      <c r="W7031" s="1" t="s">
        <v>14594</v>
      </c>
      <c r="AR7031" s="1" t="str">
        <f t="shared" si="444"/>
        <v>| [ㄐㄩㄝˊ](ㄐㄩㄝˊ.md) | [倔](倔.md) |  | jué | [形]
強硬、固執。漢．桓寬《鹽鐵論．論功》：「倔強倨敖，自稱老夫。」《宋史．卷三六〇．趙鼎傳》：「檜見之曰：『此老倔強猶昔。』」 |</v>
      </c>
    </row>
    <row r="7032" spans="1:44" hidden="1">
      <c r="A7032" s="1" t="s">
        <v>14595</v>
      </c>
      <c r="C7032" s="1">
        <v>1</v>
      </c>
      <c r="D7032" s="1" t="str">
        <f>"06090"</f>
        <v>06090</v>
      </c>
      <c r="E7032" s="1" t="s">
        <v>24</v>
      </c>
      <c r="F7032" s="1">
        <v>11</v>
      </c>
      <c r="G7032" s="1">
        <v>8</v>
      </c>
      <c r="H7032" s="1">
        <v>0</v>
      </c>
      <c r="I7032" s="1" t="s">
        <v>14558</v>
      </c>
      <c r="K7032" s="1" t="str">
        <f t="shared" si="445"/>
        <v>ㄐ</v>
      </c>
      <c r="L7032" s="1" t="str">
        <f t="shared" si="446"/>
        <v>ㄩ</v>
      </c>
      <c r="M7032" s="1" t="str">
        <f t="shared" si="447"/>
        <v>ㄝ</v>
      </c>
      <c r="P7032" s="1" t="s">
        <v>20</v>
      </c>
      <c r="R7032" s="1" t="s">
        <v>14559</v>
      </c>
      <c r="V7032" s="1" t="s">
        <v>14596</v>
      </c>
      <c r="AR7032" s="1" t="str">
        <f t="shared" si="444"/>
        <v>| [ㄐㄩㄝˊ](ㄐㄩㄝˊ.md) | [掘](掘.md) |  | jué | [動]
挖、穿鑿。如：「臨渴掘井」。《史記．卷八．高祖本紀》：「項羽燒秦宮室，掘始皇帝冢。」 |</v>
      </c>
    </row>
    <row r="7033" spans="1:44" hidden="1">
      <c r="A7033" s="1" t="s">
        <v>14597</v>
      </c>
      <c r="C7033" s="1">
        <v>1</v>
      </c>
      <c r="D7033" s="1" t="str">
        <f>"06091"</f>
        <v>06091</v>
      </c>
      <c r="E7033" s="1" t="s">
        <v>190</v>
      </c>
      <c r="F7033" s="1">
        <v>11</v>
      </c>
      <c r="G7033" s="1">
        <v>8</v>
      </c>
      <c r="H7033" s="1">
        <v>0</v>
      </c>
      <c r="I7033" s="1" t="s">
        <v>14558</v>
      </c>
      <c r="K7033" s="1" t="str">
        <f t="shared" si="445"/>
        <v>ㄐ</v>
      </c>
      <c r="L7033" s="1" t="str">
        <f t="shared" si="446"/>
        <v>ㄩ</v>
      </c>
      <c r="M7033" s="1" t="str">
        <f t="shared" si="447"/>
        <v>ㄝ</v>
      </c>
      <c r="P7033" s="1" t="s">
        <v>20</v>
      </c>
      <c r="R7033" s="1" t="s">
        <v>14559</v>
      </c>
      <c r="V7033" s="1" t="s">
        <v>14598</v>
      </c>
      <c r="AR7033" s="1" t="str">
        <f t="shared" si="444"/>
        <v>| [ㄐㄩㄝˊ](ㄐㄩㄝˊ.md) | [崛](崛.md) |  | jué | [副]
特起、突出。《集韻．入聲．迄韻》：「崛，崛然獨立貌。」《文選．嵇康．琴賦》：「邈隆崇以極壯，崛巍巍而特秀。」 |</v>
      </c>
    </row>
    <row r="7034" spans="1:44" hidden="1">
      <c r="A7034" s="1" t="s">
        <v>14599</v>
      </c>
      <c r="C7034" s="1">
        <v>1</v>
      </c>
      <c r="D7034" s="1" t="str">
        <f>"06092"</f>
        <v>06092</v>
      </c>
      <c r="E7034" s="1" t="s">
        <v>340</v>
      </c>
      <c r="F7034" s="1">
        <v>14</v>
      </c>
      <c r="G7034" s="1">
        <v>8</v>
      </c>
      <c r="H7034" s="1">
        <v>0</v>
      </c>
      <c r="I7034" s="1" t="s">
        <v>14558</v>
      </c>
      <c r="K7034" s="1" t="str">
        <f t="shared" si="445"/>
        <v>ㄐ</v>
      </c>
      <c r="L7034" s="1" t="str">
        <f t="shared" si="446"/>
        <v>ㄩ</v>
      </c>
      <c r="M7034" s="1" t="str">
        <f t="shared" si="447"/>
        <v>ㄝ</v>
      </c>
      <c r="P7034" s="1" t="s">
        <v>20</v>
      </c>
      <c r="R7034" s="1" t="s">
        <v>14559</v>
      </c>
      <c r="V7034" s="1" t="s">
        <v>14600</v>
      </c>
      <c r="AR7034" s="1" t="str">
        <f t="shared" si="444"/>
        <v>| [ㄐㄩㄝˊ](ㄐㄩㄝˊ.md) | [䘿](䘿.md) |  | jué | [名]
短衣。《廣韻．入聲．物韻》：「䘿，衣短。」唐．皮日休〈九諷系述．悲遊〉：「荷為裯兮芰為襬，荃為䘿兮薜為褘。」 |</v>
      </c>
    </row>
    <row r="7035" spans="1:44" hidden="1">
      <c r="A7035" s="1" t="s">
        <v>14601</v>
      </c>
      <c r="C7035" s="1">
        <v>1</v>
      </c>
      <c r="D7035" s="1" t="str">
        <f>"06093"</f>
        <v>06093</v>
      </c>
      <c r="E7035" s="1" t="s">
        <v>1941</v>
      </c>
      <c r="F7035" s="1">
        <v>12</v>
      </c>
      <c r="G7035" s="1">
        <v>10</v>
      </c>
      <c r="H7035" s="1">
        <v>0</v>
      </c>
      <c r="I7035" s="1" t="s">
        <v>14558</v>
      </c>
      <c r="K7035" s="1" t="str">
        <f t="shared" si="445"/>
        <v>ㄐ</v>
      </c>
      <c r="L7035" s="1" t="str">
        <f t="shared" si="446"/>
        <v>ㄩ</v>
      </c>
      <c r="M7035" s="1" t="str">
        <f t="shared" si="447"/>
        <v>ㄝ</v>
      </c>
      <c r="P7035" s="1" t="s">
        <v>20</v>
      </c>
      <c r="R7035" s="1" t="s">
        <v>14559</v>
      </c>
      <c r="V7035" s="1" t="s">
        <v>14602</v>
      </c>
      <c r="AR7035" s="1" t="str">
        <f t="shared" si="444"/>
        <v>| [ㄐㄩㄝˊ](ㄐㄩㄝˊ.md) | [厥](厥.md) |  | jué | [動]
氣悶而暈倒。如：「昏厥」、「暈厥」。
[代]
他的、那個。同「其」。如：「大放厥詞」、「允執厥中」。《書經．禹貢》：「厥土惟白壤，厥賦惟上上錯，厥田惟中中。」《文選．賈誼．弔屈原文》：「遭世罔極兮，乃殞厥身。」
[連]
1.於是、才。《文選．司馬遷．報任少卿書》：「左丘失明，厥有《國語》。」
2.之、以。《書經．無逸》：「自時厥後，立王生則逸。」
[助]
語助詞，無義。南朝梁．劉勰《文心雕龍．詮賦》：「斯蓋別詩之原始，命賦之厥初也。」 |</v>
      </c>
    </row>
    <row r="7036" spans="1:44" hidden="1">
      <c r="A7036" s="1" t="s">
        <v>14603</v>
      </c>
      <c r="C7036" s="1">
        <v>1</v>
      </c>
      <c r="D7036" s="1" t="str">
        <f>"06094"</f>
        <v>06094</v>
      </c>
      <c r="E7036" s="1" t="s">
        <v>185</v>
      </c>
      <c r="F7036" s="1">
        <v>14</v>
      </c>
      <c r="G7036" s="1">
        <v>12</v>
      </c>
      <c r="H7036" s="1">
        <v>0</v>
      </c>
      <c r="I7036" s="1" t="s">
        <v>14558</v>
      </c>
      <c r="K7036" s="1" t="str">
        <f t="shared" si="445"/>
        <v>ㄐ</v>
      </c>
      <c r="L7036" s="1" t="str">
        <f t="shared" si="446"/>
        <v>ㄩ</v>
      </c>
      <c r="M7036" s="1" t="str">
        <f t="shared" si="447"/>
        <v>ㄝ</v>
      </c>
      <c r="P7036" s="1" t="s">
        <v>20</v>
      </c>
      <c r="R7036" s="1" t="s">
        <v>14559</v>
      </c>
      <c r="V7036" s="1" t="s">
        <v>14604</v>
      </c>
      <c r="AR7036" s="1" t="str">
        <f t="shared" si="444"/>
        <v>| [ㄐㄩㄝˊ](ㄐㄩㄝˊ.md) | [劂](劂.md) |  | jué | [名]
雕刻用的刀。《廣韻．入聲．月韻》：「劂，刻刀。」
[動]
雕刻。唐．張皓〈藏冰賦〉：「不劘不劂，如磋如切。」 |</v>
      </c>
    </row>
    <row r="7037" spans="1:44" hidden="1">
      <c r="A7037" s="1" t="s">
        <v>10482</v>
      </c>
      <c r="C7037" s="1">
        <v>1</v>
      </c>
      <c r="D7037" s="1" t="str">
        <f>"06095"</f>
        <v>06095</v>
      </c>
      <c r="E7037" s="1" t="s">
        <v>190</v>
      </c>
      <c r="F7037" s="1">
        <v>15</v>
      </c>
      <c r="G7037" s="1">
        <v>12</v>
      </c>
      <c r="H7037" s="1">
        <v>2</v>
      </c>
      <c r="I7037" s="1" t="s">
        <v>14558</v>
      </c>
      <c r="K7037" s="1" t="str">
        <f t="shared" si="445"/>
        <v>ㄐ</v>
      </c>
      <c r="L7037" s="1" t="str">
        <f t="shared" si="446"/>
        <v>ㄩ</v>
      </c>
      <c r="M7037" s="1" t="str">
        <f t="shared" si="447"/>
        <v>ㄝ</v>
      </c>
      <c r="P7037" s="1" t="s">
        <v>20</v>
      </c>
      <c r="R7037" s="1" t="s">
        <v>14559</v>
      </c>
      <c r="V7037" s="1" t="s">
        <v>14605</v>
      </c>
      <c r="W7037" s="1" t="s">
        <v>14606</v>
      </c>
      <c r="AR7037" s="1" t="str">
        <f t="shared" si="444"/>
        <v>| [ㄐㄩㄝˊ](ㄐㄩㄝˊ.md) | [嶡](嶡.md) |  | jué | [名]
祭祀時用來陳列祭品的器具。有四足，且有橫距。《集韻．入聲．月韻》：「嶡，俎名，足有橫。」《禮記．明堂位》：「俎，有虞氏以梡，夏后氏以嶡，殷以椇，周以房俎。」 |</v>
      </c>
    </row>
    <row r="7038" spans="1:44" hidden="1">
      <c r="A7038" s="1" t="s">
        <v>14607</v>
      </c>
      <c r="C7038" s="1">
        <v>1</v>
      </c>
      <c r="D7038" s="1" t="str">
        <f>"06096"</f>
        <v>06096</v>
      </c>
      <c r="E7038" s="1" t="s">
        <v>198</v>
      </c>
      <c r="F7038" s="1">
        <v>15</v>
      </c>
      <c r="G7038" s="1">
        <v>12</v>
      </c>
      <c r="H7038" s="1">
        <v>0</v>
      </c>
      <c r="I7038" s="1" t="s">
        <v>14558</v>
      </c>
      <c r="K7038" s="1" t="str">
        <f t="shared" si="445"/>
        <v>ㄐ</v>
      </c>
      <c r="L7038" s="1" t="str">
        <f t="shared" si="446"/>
        <v>ㄩ</v>
      </c>
      <c r="M7038" s="1" t="str">
        <f t="shared" si="447"/>
        <v>ㄝ</v>
      </c>
      <c r="P7038" s="1" t="s">
        <v>20</v>
      </c>
      <c r="R7038" s="1" t="s">
        <v>14559</v>
      </c>
      <c r="V7038" s="1" t="s">
        <v>14608</v>
      </c>
      <c r="AR7038" s="1" t="str">
        <f t="shared" si="444"/>
        <v>| [ㄐㄩㄝˊ](ㄐㄩㄝˊ.md) | [獗](獗.md) |  | jué | 參見「猖獗」條。 |</v>
      </c>
    </row>
    <row r="7039" spans="1:44" hidden="1">
      <c r="A7039" s="1" t="s">
        <v>14609</v>
      </c>
      <c r="C7039" s="1">
        <v>1</v>
      </c>
      <c r="D7039" s="1" t="str">
        <f>"06097"</f>
        <v>06097</v>
      </c>
      <c r="E7039" s="1" t="s">
        <v>139</v>
      </c>
      <c r="F7039" s="1">
        <v>16</v>
      </c>
      <c r="G7039" s="1">
        <v>12</v>
      </c>
      <c r="H7039" s="1">
        <v>0</v>
      </c>
      <c r="I7039" s="1" t="s">
        <v>14558</v>
      </c>
      <c r="K7039" s="1" t="str">
        <f t="shared" si="445"/>
        <v>ㄐ</v>
      </c>
      <c r="L7039" s="1" t="str">
        <f t="shared" si="446"/>
        <v>ㄩ</v>
      </c>
      <c r="M7039" s="1" t="str">
        <f t="shared" si="447"/>
        <v>ㄝ</v>
      </c>
      <c r="P7039" s="1" t="s">
        <v>20</v>
      </c>
      <c r="R7039" s="1" t="s">
        <v>14559</v>
      </c>
      <c r="V7039" s="1" t="s">
        <v>14610</v>
      </c>
      <c r="AR7039" s="1" t="str">
        <f t="shared" si="444"/>
        <v>| [ㄐㄩㄝˊ](ㄐㄩㄝˊ.md) | [橛](橛.md) |  | jué | [名]
1.小木樁、短木頭。如：「木頭橛子」。《水滸傳》第二三回：「只怕大蟲不死，把棒橛又打了一回。」也稱為「橛子」、「橛兒」。
2.馬口中所銜的橫木。《韓非子．姦劫弒臣》：「無捶策之威，銜橛之備，雖造父不能以服馬。」
3.禾稼的殘根。如：「稻橛」、「麥橛」。
[動]
擊。《山海經．大荒東經》：「黃帝得之，以其皮為鼓，橛以雷獸之骨，聲聞五百里，以威天下。」 |</v>
      </c>
    </row>
    <row r="7040" spans="1:44" hidden="1">
      <c r="A7040" s="1" t="s">
        <v>14611</v>
      </c>
      <c r="C7040" s="1">
        <v>1</v>
      </c>
      <c r="D7040" s="1" t="str">
        <f>"06098"</f>
        <v>06098</v>
      </c>
      <c r="E7040" s="1" t="s">
        <v>37</v>
      </c>
      <c r="F7040" s="1">
        <v>16</v>
      </c>
      <c r="G7040" s="1">
        <v>12</v>
      </c>
      <c r="H7040" s="1">
        <v>0</v>
      </c>
      <c r="I7040" s="1" t="s">
        <v>14558</v>
      </c>
      <c r="K7040" s="1" t="str">
        <f t="shared" si="445"/>
        <v>ㄐ</v>
      </c>
      <c r="L7040" s="1" t="str">
        <f t="shared" si="446"/>
        <v>ㄩ</v>
      </c>
      <c r="M7040" s="1" t="str">
        <f t="shared" si="447"/>
        <v>ㄝ</v>
      </c>
      <c r="P7040" s="1" t="s">
        <v>20</v>
      </c>
      <c r="R7040" s="1" t="s">
        <v>14559</v>
      </c>
      <c r="V7040" s="1" t="s">
        <v>14612</v>
      </c>
      <c r="AR7040" s="1" t="str">
        <f t="shared" si="444"/>
        <v>| [ㄐㄩㄝˊ](ㄐㄩㄝˊ.md) | [蕨](蕨.md) |  | jué | [名]
植物名。碗蕨科蕨屬，多年生草本。地下莖橫生，於春季發嫩芽，形如拳狀，全株披白色毛茸。葉剛硬，三角形，三回羽狀複葉，基部三至六對羽片常較成熟，末端小裂片全緣。孢子囊群生於裂片背面兩側邊緣，被反卷之葉緣所包被。嫩葉可食，根莖有解熱、利尿等功用。 |</v>
      </c>
    </row>
    <row r="7041" spans="1:44" hidden="1">
      <c r="A7041" s="1" t="s">
        <v>14613</v>
      </c>
      <c r="C7041" s="1">
        <v>1</v>
      </c>
      <c r="D7041" s="1" t="str">
        <f>"06099"</f>
        <v>06099</v>
      </c>
      <c r="E7041" s="1" t="s">
        <v>77</v>
      </c>
      <c r="F7041" s="1">
        <v>19</v>
      </c>
      <c r="G7041" s="1">
        <v>12</v>
      </c>
      <c r="H7041" s="1">
        <v>1</v>
      </c>
      <c r="I7041" s="1" t="s">
        <v>14558</v>
      </c>
      <c r="K7041" s="1" t="str">
        <f t="shared" si="445"/>
        <v>ㄐ</v>
      </c>
      <c r="L7041" s="1" t="str">
        <f t="shared" si="446"/>
        <v>ㄩ</v>
      </c>
      <c r="M7041" s="1" t="str">
        <f t="shared" si="447"/>
        <v>ㄝ</v>
      </c>
      <c r="P7041" s="1" t="s">
        <v>20</v>
      </c>
      <c r="R7041" s="1" t="s">
        <v>14559</v>
      </c>
      <c r="V7041" s="1" t="s">
        <v>14614</v>
      </c>
      <c r="W7041" s="1" t="s">
        <v>14615</v>
      </c>
      <c r="AR7041" s="1" t="str">
        <f t="shared" si="444"/>
        <v>| [ㄐㄩㄝˊ](ㄐㄩㄝˊ.md) | [蹶](蹶.md) |  | jué | [動]
1.顛仆、跌倒。《淮南子．精神》：「形勞而不休則蹶，精用而不已則竭。」《元史．卷一九四．忠義傳二．喜同傳》：「喜同突圍將自拔，賊橫刺其馬，馬蹶，喜同鞭馬躍而起，手斬刺馬者。」
2.快跑、快走。《國語．越語下》：「臣聞從時者，猶救火追亡人也，蹶而趨之，唯恐弗及。」
3.失敗、挫敗。如：「一蹶不振」。《荀子．成相》：「主之孽，讒人達，賢能遁逃，國乃蹶。」
4.踏、蹈。《文選．揚雄．羽獵賦》：「蹶松柏，掌蒺藜。」唐．李白〈大鵬賦〉：「爾乃蹶厚地，摩太清，亙層霄，突重溟。」
[副]
急速、突然而起。《莊子．在宥》：「廣成子蹶然而起。」《南史．卷一四．宋宗室及諸王傳下．文帝諸子傳》：「鑠既歸義最晚，常懷憂懼，每於眠中蹶起坐，與人語亦多謬僻。」 |</v>
      </c>
    </row>
    <row r="7042" spans="1:44" hidden="1">
      <c r="A7042" s="1" t="s">
        <v>10485</v>
      </c>
      <c r="C7042" s="1">
        <v>1</v>
      </c>
      <c r="D7042" s="1" t="str">
        <f>"06100"</f>
        <v>06100</v>
      </c>
      <c r="E7042" s="1" t="s">
        <v>156</v>
      </c>
      <c r="F7042" s="1">
        <v>23</v>
      </c>
      <c r="G7042" s="1">
        <v>12</v>
      </c>
      <c r="H7042" s="1">
        <v>2</v>
      </c>
      <c r="I7042" s="1" t="s">
        <v>14558</v>
      </c>
      <c r="K7042" s="1" t="str">
        <f t="shared" si="445"/>
        <v>ㄐ</v>
      </c>
      <c r="L7042" s="1" t="str">
        <f t="shared" si="446"/>
        <v>ㄩ</v>
      </c>
      <c r="M7042" s="1" t="str">
        <f t="shared" si="447"/>
        <v>ㄝ</v>
      </c>
      <c r="P7042" s="1" t="s">
        <v>110</v>
      </c>
      <c r="R7042" s="1" t="s">
        <v>14559</v>
      </c>
      <c r="V7042" s="1" t="s">
        <v>111</v>
      </c>
      <c r="W7042" s="1" t="s">
        <v>14616</v>
      </c>
      <c r="AR7042" s="1" t="str">
        <f t="shared" si="444"/>
        <v>| [ㄐㄩㄝˊ](ㄐㄩㄝˊ.md) | [鱖](鱖.md) |  | jué | (一)之又音。 |</v>
      </c>
    </row>
    <row r="7043" spans="1:44" hidden="1">
      <c r="A7043" s="1" t="s">
        <v>14617</v>
      </c>
      <c r="C7043" s="1">
        <v>1</v>
      </c>
      <c r="D7043" s="1" t="str">
        <f>"06101"</f>
        <v>06101</v>
      </c>
      <c r="E7043" s="1" t="s">
        <v>114</v>
      </c>
      <c r="F7043" s="1">
        <v>12</v>
      </c>
      <c r="G7043" s="1">
        <v>10</v>
      </c>
      <c r="H7043" s="1">
        <v>0</v>
      </c>
      <c r="I7043" s="1" t="s">
        <v>14558</v>
      </c>
      <c r="K7043" s="1" t="str">
        <f t="shared" si="445"/>
        <v>ㄐ</v>
      </c>
      <c r="L7043" s="1" t="str">
        <f t="shared" si="446"/>
        <v>ㄩ</v>
      </c>
      <c r="M7043" s="1" t="str">
        <f t="shared" si="447"/>
        <v>ㄝ</v>
      </c>
      <c r="P7043" s="1" t="s">
        <v>20</v>
      </c>
      <c r="R7043" s="1" t="s">
        <v>14559</v>
      </c>
      <c r="V7043" s="1" t="s">
        <v>14618</v>
      </c>
      <c r="AR7043" s="1" t="str">
        <f t="shared" ref="AR7043:AR7106" si="448">"| ["&amp;I7043&amp;"]("&amp;I7043&amp;".md) | ["&amp;A7043&amp;"]("&amp;A7043&amp;".md) | "&amp;" | "&amp;R7043&amp;" | "&amp;V7043&amp;" |"</f>
        <v>| [ㄐㄩㄝˊ](ㄐㄩㄝˊ.md) | [傕](傕.md) |  | jué | [名]
姓。《玉篇．人部》：「傕，姓也。」 |</v>
      </c>
    </row>
    <row r="7044" spans="1:44" hidden="1">
      <c r="A7044" s="1" t="s">
        <v>14619</v>
      </c>
      <c r="C7044" s="1">
        <v>1</v>
      </c>
      <c r="D7044" s="1" t="str">
        <f>"06102"</f>
        <v>06102</v>
      </c>
      <c r="E7044" s="1" t="s">
        <v>725</v>
      </c>
      <c r="F7044" s="1">
        <v>12</v>
      </c>
      <c r="G7044" s="1">
        <v>6</v>
      </c>
      <c r="H7044" s="1">
        <v>0</v>
      </c>
      <c r="I7044" s="1" t="s">
        <v>14558</v>
      </c>
      <c r="K7044" s="1" t="str">
        <f t="shared" ref="K7044:K7107" si="449">LEFT(I7044, 1)</f>
        <v>ㄐ</v>
      </c>
      <c r="L7044" s="1" t="str">
        <f t="shared" ref="L7044:L7107" si="450">MID(I7044, 2, 1)</f>
        <v>ㄩ</v>
      </c>
      <c r="M7044" s="1" t="str">
        <f t="shared" ref="M7044:M7107" si="451">MID(I7044, 3, 1)</f>
        <v>ㄝ</v>
      </c>
      <c r="P7044" s="1" t="s">
        <v>20</v>
      </c>
      <c r="R7044" s="1" t="s">
        <v>14559</v>
      </c>
      <c r="V7044" s="1" t="s">
        <v>14620</v>
      </c>
      <c r="AR7044" s="1" t="str">
        <f t="shared" si="448"/>
        <v>| [ㄐㄩㄝˊ](ㄐㄩㄝˊ.md) | [絕](絕.md) |  | jué | [動]_x000D_
1.斷、隔開。如：「斷絕」、「隔絕」。《史記．卷八六．刺客列傳．荊軻》：「未至身，秦王驚，自引而起，袖絕。」_x000D_
2.停止。如：「杜絕」、「滔滔不絕」、「絡繹不絕」。_x000D_
3.竭盡、完畢。如：「氣絕而死」。《淮南子．本經》：「江河三川，絕而不流。」_x000D_
4.暈死。《南史．卷七三．孝義列傳上．師覺援》：「捨車奔歸，聞家哭聲，一叫而絕，良久乃蘇。」《封神演義》第七回：「血染衣襟，昏絕于地。」_x000D_
5.沒有後代。如：「絕子」、「絕孫」、「絕後」。_x000D_
6.回拒、不接受。如：「拒絕」、「謝絕」。_x000D_
7.橫渡、穿越。《荀子．勸學》：「假舟楫者，非能水也，而絕江河。」《漢書．卷四〇．張陳王周傳．張良》：「羽翼以就，橫絕四海。」_x000D_
8.超越。《孔子家語．卷九．本姓解》：「其人身長十尺，武力絕倫。」《聊齋志異．卷七．青蛾》：「遺生最幼，聰惠絕人。」_x000D_
[形]_x000D_
1.卓越、獨一無二。如：「絕技」、「絕響」、「絕代風華」、「絕世美女」。_x000D_
2.距離遙遠。《漢書．卷六．武帝紀》：「其令州邵察吏民有茂村異等，可為將相及使絕國者。」漢．李陵〈答蘇武書〉：「昔先帝授陵步卒五千，出征絕域。」_x000D_
3.絲毫沒有、毫無希望。如：「絕路」、「絕處」。_x000D_
4.形容舉止怪異、特殊。如：「這人可絕了！」_x000D_
[副]_x000D_
1.極、甚。如：「絕妙好辭」。《史記．卷六六．伍子胥列傳》：「秦女絕美，王可自取，而更為太子取婦。」_x000D_
2.必定、鐵定。如：「絕不延期」、「絕不通融」、「絕無僅有」。_x000D_
3.冷酷，做事不留餘地。如：「這件事，他做的太絕了！」_x000D_
[名]_x000D_
絕句的簡稱。如：「五絕」、「七絕」。 |</v>
      </c>
    </row>
    <row r="7045" spans="1:44" hidden="1">
      <c r="A7045" s="1" t="s">
        <v>14621</v>
      </c>
      <c r="C7045" s="1">
        <v>1</v>
      </c>
      <c r="D7045" s="1" t="str">
        <f>"06103"</f>
        <v>06103</v>
      </c>
      <c r="E7045" s="1" t="s">
        <v>37</v>
      </c>
      <c r="F7045" s="1">
        <v>16</v>
      </c>
      <c r="G7045" s="1">
        <v>12</v>
      </c>
      <c r="H7045" s="1">
        <v>1</v>
      </c>
      <c r="I7045" s="1" t="s">
        <v>14558</v>
      </c>
      <c r="K7045" s="1" t="str">
        <f t="shared" si="449"/>
        <v>ㄐ</v>
      </c>
      <c r="L7045" s="1" t="str">
        <f t="shared" si="450"/>
        <v>ㄩ</v>
      </c>
      <c r="M7045" s="1" t="str">
        <f t="shared" si="451"/>
        <v>ㄝ</v>
      </c>
      <c r="P7045" s="1" t="s">
        <v>20</v>
      </c>
      <c r="R7045" s="1" t="s">
        <v>14559</v>
      </c>
      <c r="V7045" s="1" t="s">
        <v>14622</v>
      </c>
      <c r="W7045" s="1" t="s">
        <v>14623</v>
      </c>
      <c r="AR7045" s="1" t="str">
        <f t="shared" si="448"/>
        <v>| [ㄐㄩㄝˊ](ㄐㄩㄝˊ.md) | [蕝](蕝.md) |  | jué | [名]
古代朝會時，紮束茅草，豎立以表示位次。《說文解字．艸部》：「蕝，朝會束茅表位曰蕝。」《國語．晉語八》：「置茅蕝，設望表。」 |</v>
      </c>
    </row>
    <row r="7046" spans="1:44" hidden="1">
      <c r="A7046" s="1" t="s">
        <v>13634</v>
      </c>
      <c r="C7046" s="1">
        <v>1</v>
      </c>
      <c r="D7046" s="1" t="str">
        <f>"06104"</f>
        <v>06104</v>
      </c>
      <c r="E7046" s="1" t="s">
        <v>71</v>
      </c>
      <c r="F7046" s="1">
        <v>13</v>
      </c>
      <c r="G7046" s="1">
        <v>6</v>
      </c>
      <c r="H7046" s="1">
        <v>3</v>
      </c>
      <c r="I7046" s="1" t="s">
        <v>14558</v>
      </c>
      <c r="K7046" s="1" t="str">
        <f t="shared" si="449"/>
        <v>ㄐ</v>
      </c>
      <c r="L7046" s="1" t="str">
        <f t="shared" si="450"/>
        <v>ㄩ</v>
      </c>
      <c r="M7046" s="1" t="str">
        <f t="shared" si="451"/>
        <v>ㄝ</v>
      </c>
      <c r="P7046" s="1" t="s">
        <v>20</v>
      </c>
      <c r="R7046" s="1" t="s">
        <v>14559</v>
      </c>
      <c r="V7046" s="1" t="s">
        <v>14624</v>
      </c>
      <c r="W7046" s="1" t="s">
        <v>14625</v>
      </c>
      <c r="AR7046" s="1" t="str">
        <f t="shared" si="448"/>
        <v>| [ㄐㄩㄝˊ](ㄐㄩㄝˊ.md) | [較](較.md) |  | jué | [動]
互相競爭。通「角」(一)。《孟子．萬章下》：「魯人獵較，孔子亦獵較。」《遼史．卷九九．蕭巖壽傳》：「上出獵較，巖壽典其事。」 |</v>
      </c>
    </row>
    <row r="7047" spans="1:44" hidden="1">
      <c r="A7047" s="1" t="s">
        <v>14626</v>
      </c>
      <c r="C7047" s="1">
        <v>1</v>
      </c>
      <c r="D7047" s="1" t="str">
        <f>"06105"</f>
        <v>06105</v>
      </c>
      <c r="E7047" s="1" t="s">
        <v>129</v>
      </c>
      <c r="F7047" s="1">
        <v>15</v>
      </c>
      <c r="G7047" s="1">
        <v>12</v>
      </c>
      <c r="H7047" s="1">
        <v>0</v>
      </c>
      <c r="I7047" s="1" t="s">
        <v>14558</v>
      </c>
      <c r="K7047" s="1" t="str">
        <f t="shared" si="449"/>
        <v>ㄐ</v>
      </c>
      <c r="L7047" s="1" t="str">
        <f t="shared" si="450"/>
        <v>ㄩ</v>
      </c>
      <c r="M7047" s="1" t="str">
        <f t="shared" si="451"/>
        <v>ㄝ</v>
      </c>
      <c r="P7047" s="1" t="s">
        <v>20</v>
      </c>
      <c r="R7047" s="1" t="s">
        <v>14559</v>
      </c>
      <c r="V7047" s="1" t="s">
        <v>14627</v>
      </c>
      <c r="AR7047" s="1" t="str">
        <f t="shared" si="448"/>
        <v>| [ㄐㄩㄝˊ](ㄐㄩㄝˊ.md) | [潏](潏.md) |  | jué | [動]
水泉湧出。《說文解字．水部》：「潏，涌出也。」唐．岑參〈石犀〉詩：「江水初蕩潏，蜀人幾為魚。」
[名]
在水中填成的陸地。《爾雅．釋水》：「水中可居者曰洲，小洲曰渚，小渚曰沚，小沚曰坻，人所為為潏。」 |</v>
      </c>
    </row>
    <row r="7048" spans="1:44" hidden="1">
      <c r="A7048" s="1" t="s">
        <v>14628</v>
      </c>
      <c r="C7048" s="1">
        <v>1</v>
      </c>
      <c r="D7048" s="1" t="str">
        <f>"06106"</f>
        <v>06106</v>
      </c>
      <c r="E7048" s="1" t="s">
        <v>331</v>
      </c>
      <c r="F7048" s="1">
        <v>19</v>
      </c>
      <c r="G7048" s="1">
        <v>12</v>
      </c>
      <c r="H7048" s="1">
        <v>0</v>
      </c>
      <c r="I7048" s="1" t="s">
        <v>14558</v>
      </c>
      <c r="K7048" s="1" t="str">
        <f t="shared" si="449"/>
        <v>ㄐ</v>
      </c>
      <c r="L7048" s="1" t="str">
        <f t="shared" si="450"/>
        <v>ㄩ</v>
      </c>
      <c r="M7048" s="1" t="str">
        <f t="shared" si="451"/>
        <v>ㄝ</v>
      </c>
      <c r="P7048" s="1" t="s">
        <v>20</v>
      </c>
      <c r="R7048" s="1" t="s">
        <v>14559</v>
      </c>
      <c r="V7048" s="1" t="s">
        <v>14629</v>
      </c>
      <c r="AR7048" s="1" t="str">
        <f t="shared" si="448"/>
        <v>| [ㄐㄩㄝˊ](ㄐㄩㄝˊ.md) | [譎](譎.md) |  | jué | [形]
1.欺詐的。
2.奇異、怪異。如：「詭譎」。《紅樓夢》第五回：「惟嫡孫寶玉一人，秉性乖張，生情怪譎。」
[動]
1.欺騙。《韓非子．孤憤》：「主失勢而臣得國，主更稱蕃臣，而相室剖符，此人臣之所以譎主便私也。」
2.決斷。《荀子．儒效》：「若夫譎德而定次，量能而授官。」
[副]
隱諱而不直言。如：「譎諫」。南朝梁．劉勰《文心雕龍．宗經》：「藻辭譎喻，溫柔在誦。」 |</v>
      </c>
    </row>
    <row r="7049" spans="1:44" hidden="1">
      <c r="A7049" s="1" t="s">
        <v>14630</v>
      </c>
      <c r="C7049" s="1">
        <v>1</v>
      </c>
      <c r="D7049" s="1" t="str">
        <f>"06107"</f>
        <v>06107</v>
      </c>
      <c r="E7049" s="1" t="s">
        <v>55</v>
      </c>
      <c r="F7049" s="1">
        <v>20</v>
      </c>
      <c r="G7049" s="1">
        <v>12</v>
      </c>
      <c r="H7049" s="1">
        <v>0</v>
      </c>
      <c r="I7049" s="1" t="s">
        <v>14558</v>
      </c>
      <c r="K7049" s="1" t="str">
        <f t="shared" si="449"/>
        <v>ㄐ</v>
      </c>
      <c r="L7049" s="1" t="str">
        <f t="shared" si="450"/>
        <v>ㄩ</v>
      </c>
      <c r="M7049" s="1" t="str">
        <f t="shared" si="451"/>
        <v>ㄝ</v>
      </c>
      <c r="P7049" s="1" t="s">
        <v>20</v>
      </c>
      <c r="R7049" s="1" t="s">
        <v>14559</v>
      </c>
      <c r="V7049" s="1" t="s">
        <v>14631</v>
      </c>
      <c r="AR7049" s="1" t="str">
        <f t="shared" si="448"/>
        <v>| [ㄐㄩㄝˊ](ㄐㄩㄝˊ.md) | [鐍](鐍.md) |  | jué | [名]
1.有舌的環。《說文解字．角部》：「觼，環之有舌者，從角敻聲。鐍，觼，或從金、矞。」《續漢書志．第三〇．輿服志下》：「紫綬以上，縌綬之間得施玉鐶鐍云。」
2.箱篋前上鎖的地方。《莊子．胠篋》：「將為胠篋探囊發匱之盜而為守備，則必攝緘縢，固扃鐍，此世俗之所謂知也。」《新唐書．卷一〇九．王璵傳》：「震怒，破鐍入，取巫斬廷下。」 |</v>
      </c>
    </row>
    <row r="7050" spans="1:44" hidden="1">
      <c r="A7050" s="1" t="s">
        <v>14632</v>
      </c>
      <c r="C7050" s="1">
        <v>1</v>
      </c>
      <c r="D7050" s="1" t="str">
        <f>"06108"</f>
        <v>06108</v>
      </c>
      <c r="E7050" s="1" t="s">
        <v>28</v>
      </c>
      <c r="F7050" s="1">
        <v>16</v>
      </c>
      <c r="G7050" s="1">
        <v>13</v>
      </c>
      <c r="H7050" s="1">
        <v>1</v>
      </c>
      <c r="I7050" s="1" t="s">
        <v>14558</v>
      </c>
      <c r="K7050" s="1" t="str">
        <f t="shared" si="449"/>
        <v>ㄐ</v>
      </c>
      <c r="L7050" s="1" t="str">
        <f t="shared" si="450"/>
        <v>ㄩ</v>
      </c>
      <c r="M7050" s="1" t="str">
        <f t="shared" si="451"/>
        <v>ㄝ</v>
      </c>
      <c r="P7050" s="1" t="s">
        <v>20</v>
      </c>
      <c r="R7050" s="1" t="s">
        <v>14559</v>
      </c>
      <c r="V7050" s="1" t="s">
        <v>14633</v>
      </c>
      <c r="W7050" s="1" t="s">
        <v>14634</v>
      </c>
      <c r="AR7050" s="1" t="str">
        <f t="shared" si="448"/>
        <v>| [ㄐㄩㄝˊ](ㄐㄩㄝˊ.md) | [噱](噱.md) |  | jué | [名]
大聲的笑。如：「便發一噱」、「令人發噱」。
[動]
笑。唐．皮日休〈吳中苦雨因書一百韻寄魯望〉詩：「入門且抵掌，大噱時碌碌。」 |</v>
      </c>
    </row>
    <row r="7051" spans="1:44" hidden="1">
      <c r="A7051" s="1" t="s">
        <v>14635</v>
      </c>
      <c r="C7051" s="1">
        <v>1</v>
      </c>
      <c r="D7051" s="1" t="str">
        <f>"06109"</f>
        <v>06109</v>
      </c>
      <c r="E7051" s="1" t="s">
        <v>68</v>
      </c>
      <c r="F7051" s="1">
        <v>17</v>
      </c>
      <c r="G7051" s="1">
        <v>13</v>
      </c>
      <c r="H7051" s="1">
        <v>0</v>
      </c>
      <c r="I7051" s="1" t="s">
        <v>14558</v>
      </c>
      <c r="K7051" s="1" t="str">
        <f t="shared" si="449"/>
        <v>ㄐ</v>
      </c>
      <c r="L7051" s="1" t="str">
        <f t="shared" si="450"/>
        <v>ㄩ</v>
      </c>
      <c r="M7051" s="1" t="str">
        <f t="shared" si="451"/>
        <v>ㄝ</v>
      </c>
      <c r="P7051" s="1" t="s">
        <v>20</v>
      </c>
      <c r="R7051" s="1" t="s">
        <v>14559</v>
      </c>
      <c r="V7051" s="1" t="s">
        <v>14636</v>
      </c>
      <c r="AR7051" s="1" t="str">
        <f t="shared" si="448"/>
        <v>| [ㄐㄩㄝˊ](ㄐㄩㄝˊ.md) | [臄](臄.md) |  | jué | [名]
1.口內上顎彎曲的地方。《說文解字．谷部》：「𧮫，口上阿也。……臄，或从肉，从豦。」
2.取脾、腎等置於腸內燒炙而成的食品。《集韻．入聲．藥韻》：「臄，切肉也。取脾、腎寘腸炙之曰臄。」 |</v>
      </c>
    </row>
    <row r="7052" spans="1:44" hidden="1">
      <c r="A7052" s="1" t="s">
        <v>14637</v>
      </c>
      <c r="C7052" s="1">
        <v>1</v>
      </c>
      <c r="D7052" s="1" t="str">
        <f>"06110"</f>
        <v>06110</v>
      </c>
      <c r="E7052" s="1" t="s">
        <v>1533</v>
      </c>
      <c r="F7052" s="1">
        <v>17</v>
      </c>
      <c r="G7052" s="1">
        <v>13</v>
      </c>
      <c r="H7052" s="1">
        <v>0</v>
      </c>
      <c r="I7052" s="1" t="s">
        <v>14558</v>
      </c>
      <c r="K7052" s="1" t="str">
        <f t="shared" si="449"/>
        <v>ㄐ</v>
      </c>
      <c r="L7052" s="1" t="str">
        <f t="shared" si="450"/>
        <v>ㄩ</v>
      </c>
      <c r="M7052" s="1" t="str">
        <f t="shared" si="451"/>
        <v>ㄝ</v>
      </c>
      <c r="P7052" s="1" t="s">
        <v>20</v>
      </c>
      <c r="R7052" s="1" t="s">
        <v>14559</v>
      </c>
      <c r="V7052" s="1" t="s">
        <v>14638</v>
      </c>
      <c r="AR7052" s="1" t="str">
        <f t="shared" si="448"/>
        <v>| [ㄐㄩㄝˊ](ㄐㄩㄝˊ.md) | [爵](爵.md) |  | jué | [名]
1.古代一種飲酒的器具。形狀略似雀，下有三隻腳。如：「玉爵」、「金爵」。《詩經．小雅．賓之初筵》：「酌彼康爵，以奏爾時。」
2.古代封給貴族或功臣的名位。《韓非子．五蠹》：「官爵可買，則商工不卑也矣。」《禮記．王制》：「王者之制祿爵，公、侯、伯、子、男凡五等。」也稱為「爵位」。
3.鳥雀。同「雀」。《續漢書志．第一四．五行志二》：「中平三年八月中，懷陵上有萬餘爵，先極悲鳴，已因亂鬥相殺，皆斷頭，懸著樹枝枳棘。」宋．陸游〈村居〉詩：「不恨閑門可羅爵，本知窮巷自多泥。」
[動]
封給人爵位。《禮記．王制》：「任事然後爵之，位定然後祿之。」《史記．卷七一．樗里子甘茂傳》：「秦惠王八年，爵樗里子右更，使將而伐曲沃。」 |</v>
      </c>
    </row>
    <row r="7053" spans="1:44" hidden="1">
      <c r="A7053" s="1" t="s">
        <v>13613</v>
      </c>
      <c r="C7053" s="1">
        <v>1</v>
      </c>
      <c r="D7053" s="1" t="str">
        <f>"06111"</f>
        <v>06111</v>
      </c>
      <c r="E7053" s="1" t="s">
        <v>28</v>
      </c>
      <c r="F7053" s="1">
        <v>20</v>
      </c>
      <c r="G7053" s="1">
        <v>17</v>
      </c>
      <c r="H7053" s="1">
        <v>1</v>
      </c>
      <c r="I7053" s="1" t="s">
        <v>14558</v>
      </c>
      <c r="K7053" s="1" t="str">
        <f t="shared" si="449"/>
        <v>ㄐ</v>
      </c>
      <c r="L7053" s="1" t="str">
        <f t="shared" si="450"/>
        <v>ㄩ</v>
      </c>
      <c r="M7053" s="1" t="str">
        <f t="shared" si="451"/>
        <v>ㄝ</v>
      </c>
      <c r="P7053" s="1" t="s">
        <v>20</v>
      </c>
      <c r="R7053" s="1" t="s">
        <v>14559</v>
      </c>
      <c r="V7053" s="1" t="s">
        <v>14639</v>
      </c>
      <c r="W7053" s="1" t="s">
        <v>14640</v>
      </c>
      <c r="AR7053" s="1" t="str">
        <f t="shared" si="448"/>
        <v>| [ㄐㄩㄝˊ](ㄐㄩㄝˊ.md) | [嚼](嚼.md) |  | jué | [動]
1.用牙齒咬碎食物。如：「咀嚼」。《淮南子．說林》：「嚼而無味者，弗能內於喉。」
2.剝蝕、侵蝕。宋．真山民〈朱溪澗〉詩：「雪融山背嵐生翠，水嚼沙洲樹出根。」
3.玩味。宋．王令〈寄滿執中子權〉詩：「吾愛子權詩，苦嚼味不盡。」 |</v>
      </c>
    </row>
    <row r="7054" spans="1:44" hidden="1">
      <c r="A7054" s="1" t="s">
        <v>14641</v>
      </c>
      <c r="C7054" s="1">
        <v>1</v>
      </c>
      <c r="D7054" s="1" t="str">
        <f>"06112"</f>
        <v>06112</v>
      </c>
      <c r="E7054" s="1" t="s">
        <v>336</v>
      </c>
      <c r="F7054" s="1">
        <v>21</v>
      </c>
      <c r="G7054" s="1">
        <v>17</v>
      </c>
      <c r="H7054" s="1">
        <v>0</v>
      </c>
      <c r="I7054" s="1" t="s">
        <v>14558</v>
      </c>
      <c r="K7054" s="1" t="str">
        <f t="shared" si="449"/>
        <v>ㄐ</v>
      </c>
      <c r="L7054" s="1" t="str">
        <f t="shared" si="450"/>
        <v>ㄩ</v>
      </c>
      <c r="M7054" s="1" t="str">
        <f t="shared" si="451"/>
        <v>ㄝ</v>
      </c>
      <c r="P7054" s="1" t="s">
        <v>20</v>
      </c>
      <c r="R7054" s="1" t="s">
        <v>14559</v>
      </c>
      <c r="V7054" s="1" t="s">
        <v>14642</v>
      </c>
      <c r="AR7054" s="1" t="str">
        <f t="shared" si="448"/>
        <v>| [ㄐㄩㄝˊ](ㄐㄩㄝˊ.md) | [爝](爝.md) |  | jué | [名]
小火、火把。《莊子．逍遙遊》：「日月出矣而爝火不息。」三國魏．嵇康〈聲無哀樂論〉：「猶一爝之火，雖未能溫一室，不宜復增其寒矣。」
[動]
照耀。《呂氏春秋．孝行覽．本味》：「湯得伊尹，祓之於廟，爝以爟火，釁以犧猳。」 |</v>
      </c>
    </row>
    <row r="7055" spans="1:44" hidden="1">
      <c r="A7055" s="1" t="s">
        <v>14643</v>
      </c>
      <c r="C7055" s="1">
        <v>1</v>
      </c>
      <c r="D7055" s="1" t="str">
        <f>"06113"</f>
        <v>06113</v>
      </c>
      <c r="E7055" s="1" t="s">
        <v>871</v>
      </c>
      <c r="F7055" s="1">
        <v>18</v>
      </c>
      <c r="G7055" s="1">
        <v>15</v>
      </c>
      <c r="H7055" s="1">
        <v>0</v>
      </c>
      <c r="I7055" s="1" t="s">
        <v>14558</v>
      </c>
      <c r="K7055" s="1" t="str">
        <f t="shared" si="449"/>
        <v>ㄐ</v>
      </c>
      <c r="L7055" s="1" t="str">
        <f t="shared" si="450"/>
        <v>ㄩ</v>
      </c>
      <c r="M7055" s="1" t="str">
        <f t="shared" si="451"/>
        <v>ㄝ</v>
      </c>
      <c r="P7055" s="1" t="s">
        <v>20</v>
      </c>
      <c r="R7055" s="1" t="s">
        <v>14559</v>
      </c>
      <c r="V7055" s="1" t="s">
        <v>14644</v>
      </c>
      <c r="AR7055" s="1" t="str">
        <f t="shared" si="448"/>
        <v>| [ㄐㄩㄝˊ](ㄐㄩㄝˊ.md) | [屩](屩.md) |  | jué | [名]
草鞋。《說文解字．履部》：「屩，履也。」 |</v>
      </c>
    </row>
    <row r="7056" spans="1:44" hidden="1">
      <c r="A7056" s="1" t="s">
        <v>13658</v>
      </c>
      <c r="C7056" s="1">
        <v>1</v>
      </c>
      <c r="D7056" s="1" t="str">
        <f>"06114"</f>
        <v>06114</v>
      </c>
      <c r="E7056" s="1" t="s">
        <v>77</v>
      </c>
      <c r="F7056" s="1">
        <v>19</v>
      </c>
      <c r="G7056" s="1">
        <v>12</v>
      </c>
      <c r="H7056" s="1">
        <v>3</v>
      </c>
      <c r="I7056" s="1" t="s">
        <v>14558</v>
      </c>
      <c r="K7056" s="1" t="str">
        <f t="shared" si="449"/>
        <v>ㄐ</v>
      </c>
      <c r="L7056" s="1" t="str">
        <f t="shared" si="450"/>
        <v>ㄩ</v>
      </c>
      <c r="M7056" s="1" t="str">
        <f t="shared" si="451"/>
        <v>ㄝ</v>
      </c>
      <c r="P7056" s="1" t="s">
        <v>20</v>
      </c>
      <c r="R7056" s="1" t="s">
        <v>14559</v>
      </c>
      <c r="V7056" s="1" t="s">
        <v>14645</v>
      </c>
      <c r="W7056" s="1" t="s">
        <v>14646</v>
      </c>
      <c r="AR7056" s="1" t="str">
        <f t="shared" si="448"/>
        <v>| [ㄐㄩㄝˊ](ㄐㄩㄝˊ.md) | [蹻](蹻.md) |  | jué | [名]
草鞋。《戰國策．秦策一》：「羸縢履蹻，負書擔橐。」《史記．卷七六．平原君虞卿傳》：「躡蹻檐簦。」 |</v>
      </c>
    </row>
    <row r="7057" spans="1:44" hidden="1">
      <c r="A7057" s="1" t="s">
        <v>14647</v>
      </c>
      <c r="C7057" s="1">
        <v>1</v>
      </c>
      <c r="D7057" s="1" t="str">
        <f>"06115"</f>
        <v>06115</v>
      </c>
      <c r="E7057" s="1" t="s">
        <v>1015</v>
      </c>
      <c r="F7057" s="1">
        <v>20</v>
      </c>
      <c r="G7057" s="1">
        <v>15</v>
      </c>
      <c r="H7057" s="1">
        <v>0</v>
      </c>
      <c r="I7057" s="1" t="s">
        <v>14558</v>
      </c>
      <c r="K7057" s="1" t="str">
        <f t="shared" si="449"/>
        <v>ㄐ</v>
      </c>
      <c r="L7057" s="1" t="str">
        <f t="shared" si="450"/>
        <v>ㄩ</v>
      </c>
      <c r="M7057" s="1" t="str">
        <f t="shared" si="451"/>
        <v>ㄝ</v>
      </c>
      <c r="P7057" s="1" t="s">
        <v>20</v>
      </c>
      <c r="R7057" s="1" t="s">
        <v>14559</v>
      </c>
      <c r="V7057" s="1" t="s">
        <v>14648</v>
      </c>
      <c r="AR7057" s="1" t="str">
        <f t="shared" si="448"/>
        <v>| [ㄐㄩㄝˊ](ㄐㄩㄝˊ.md) | [矍](矍.md) |  | jué | [副]
驚視的樣子。《文選．班固．東都賦》：「主人之辭未終，西都賓矍然失容。」
[名]
姓。如唐代有矍璋。 |</v>
      </c>
    </row>
    <row r="7058" spans="1:44" hidden="1">
      <c r="A7058" s="1" t="s">
        <v>14649</v>
      </c>
      <c r="C7058" s="1">
        <v>1</v>
      </c>
      <c r="D7058" s="1" t="str">
        <f>"06116"</f>
        <v>06116</v>
      </c>
      <c r="E7058" s="1" t="s">
        <v>250</v>
      </c>
      <c r="F7058" s="1">
        <v>23</v>
      </c>
      <c r="G7058" s="1">
        <v>20</v>
      </c>
      <c r="H7058" s="1">
        <v>0</v>
      </c>
      <c r="I7058" s="1" t="s">
        <v>14558</v>
      </c>
      <c r="K7058" s="1" t="str">
        <f t="shared" si="449"/>
        <v>ㄐ</v>
      </c>
      <c r="L7058" s="1" t="str">
        <f t="shared" si="450"/>
        <v>ㄩ</v>
      </c>
      <c r="M7058" s="1" t="str">
        <f t="shared" si="451"/>
        <v>ㄝ</v>
      </c>
      <c r="P7058" s="1" t="s">
        <v>20</v>
      </c>
      <c r="R7058" s="1" t="s">
        <v>14559</v>
      </c>
      <c r="V7058" s="1" t="s">
        <v>14650</v>
      </c>
      <c r="AR7058" s="1" t="str">
        <f t="shared" si="448"/>
        <v>| [ㄐㄩㄝˊ](ㄐㄩㄝˊ.md) | [戄](戄.md) |  | jué | [副]
1.驚訝、震驚的樣子。《玉篇．心部》：「戄，驚也。」《戰國策．魏策三》：「秦王戄然曰：『國有事，未澹下兵也，今以兵從。』」《史記．卷六二．管晏傳》：「越石父請絕，晏子戄然，攝衣冠謝。」
2.敬服、恭敬的樣子。《文選．東方朔．非有先生論》：「於是吳王戄然易容，捐薦去几，危坐而聽。」 |</v>
      </c>
    </row>
    <row r="7059" spans="1:44" hidden="1">
      <c r="A7059" s="1" t="s">
        <v>14651</v>
      </c>
      <c r="C7059" s="1">
        <v>1</v>
      </c>
      <c r="D7059" s="1" t="str">
        <f>"06117"</f>
        <v>06117</v>
      </c>
      <c r="E7059" s="1" t="s">
        <v>24</v>
      </c>
      <c r="F7059" s="1">
        <v>23</v>
      </c>
      <c r="G7059" s="1">
        <v>20</v>
      </c>
      <c r="H7059" s="1">
        <v>0</v>
      </c>
      <c r="I7059" s="1" t="s">
        <v>14558</v>
      </c>
      <c r="K7059" s="1" t="str">
        <f t="shared" si="449"/>
        <v>ㄐ</v>
      </c>
      <c r="L7059" s="1" t="str">
        <f t="shared" si="450"/>
        <v>ㄩ</v>
      </c>
      <c r="M7059" s="1" t="str">
        <f t="shared" si="451"/>
        <v>ㄝ</v>
      </c>
      <c r="P7059" s="1" t="s">
        <v>20</v>
      </c>
      <c r="R7059" s="1" t="s">
        <v>14559</v>
      </c>
      <c r="V7059" s="1" t="s">
        <v>14652</v>
      </c>
      <c r="AR7059" s="1" t="str">
        <f t="shared" si="448"/>
        <v>| [ㄐㄩㄝˊ](ㄐㄩㄝˊ.md) | [攫](攫.md) |  | jué | [動]
1.鳥獸用爪捕取獵物。如：「老鷹攫雞」、「餓虎攫羊」。《漢書．卷八九．循吏傳．黃霸傳》：「吏出，不敢舍郵亭，食於道旁，烏攫其肉。」
2.撲取、奪取。如：「攫搏」、「攫為己有」。《莊子．讓王》：「左手攫之則右手廢，右手攫之則左手廢。」唐．柳宗元〈愚溪對〉：「見交趾寶貨之多，光溢於目，思以兩手左右攫而懷之。」 |</v>
      </c>
    </row>
    <row r="7060" spans="1:44" hidden="1">
      <c r="A7060" s="1" t="s">
        <v>14653</v>
      </c>
      <c r="C7060" s="1">
        <v>1</v>
      </c>
      <c r="D7060" s="1" t="str">
        <f>"06118"</f>
        <v>06118</v>
      </c>
      <c r="E7060" s="1" t="s">
        <v>198</v>
      </c>
      <c r="F7060" s="1">
        <v>23</v>
      </c>
      <c r="G7060" s="1">
        <v>20</v>
      </c>
      <c r="H7060" s="1">
        <v>0</v>
      </c>
      <c r="I7060" s="1" t="s">
        <v>14558</v>
      </c>
      <c r="K7060" s="1" t="str">
        <f t="shared" si="449"/>
        <v>ㄐ</v>
      </c>
      <c r="L7060" s="1" t="str">
        <f t="shared" si="450"/>
        <v>ㄩ</v>
      </c>
      <c r="M7060" s="1" t="str">
        <f t="shared" si="451"/>
        <v>ㄝ</v>
      </c>
      <c r="P7060" s="1" t="s">
        <v>20</v>
      </c>
      <c r="R7060" s="1" t="s">
        <v>14559</v>
      </c>
      <c r="V7060" s="1" t="s">
        <v>14654</v>
      </c>
      <c r="AR7060" s="1" t="str">
        <f t="shared" si="448"/>
        <v>| [ㄐㄩㄝˊ](ㄐㄩㄝˊ.md) | [玃](玃.md) |  | jué | [名]
大母猴。《說文解字．犬部》：「玃，大母猴也。」 |</v>
      </c>
    </row>
    <row r="7061" spans="1:44" hidden="1">
      <c r="A7061" s="1" t="s">
        <v>14655</v>
      </c>
      <c r="C7061" s="1">
        <v>1</v>
      </c>
      <c r="D7061" s="1" t="str">
        <f>"06119"</f>
        <v>06119</v>
      </c>
      <c r="E7061" s="1" t="s">
        <v>103</v>
      </c>
      <c r="F7061" s="1">
        <v>23</v>
      </c>
      <c r="G7061" s="1">
        <v>20</v>
      </c>
      <c r="H7061" s="1">
        <v>0</v>
      </c>
      <c r="I7061" s="1" t="s">
        <v>14558</v>
      </c>
      <c r="K7061" s="1" t="str">
        <f t="shared" si="449"/>
        <v>ㄐ</v>
      </c>
      <c r="L7061" s="1" t="str">
        <f t="shared" si="450"/>
        <v>ㄩ</v>
      </c>
      <c r="M7061" s="1" t="str">
        <f t="shared" si="451"/>
        <v>ㄝ</v>
      </c>
      <c r="P7061" s="1" t="s">
        <v>20</v>
      </c>
      <c r="R7061" s="1" t="s">
        <v>14559</v>
      </c>
      <c r="V7061" s="1" t="s">
        <v>14656</v>
      </c>
      <c r="AR7061" s="1" t="str">
        <f t="shared" si="448"/>
        <v>| [ㄐㄩㄝˊ](ㄐㄩㄝˊ.md) | [彏](彏.md) |  | jué | [動]
快速的拉開弓。《說文解字．弓部》：「彏，弓急張也。」《漢書．卷八七．揚雄傳上》：「掉犇星之流旃，彏天狼之威弧。」 |</v>
      </c>
    </row>
    <row r="7062" spans="1:44" hidden="1">
      <c r="A7062" s="1" t="s">
        <v>14657</v>
      </c>
      <c r="C7062" s="1">
        <v>1</v>
      </c>
      <c r="D7062" s="1" t="str">
        <f>"06120"</f>
        <v>06120</v>
      </c>
      <c r="E7062" s="1" t="s">
        <v>679</v>
      </c>
      <c r="F7062" s="1">
        <v>26</v>
      </c>
      <c r="G7062" s="1">
        <v>20</v>
      </c>
      <c r="H7062" s="1">
        <v>0</v>
      </c>
      <c r="I7062" s="1" t="s">
        <v>14558</v>
      </c>
      <c r="K7062" s="1" t="str">
        <f t="shared" si="449"/>
        <v>ㄐ</v>
      </c>
      <c r="L7062" s="1" t="str">
        <f t="shared" si="450"/>
        <v>ㄩ</v>
      </c>
      <c r="M7062" s="1" t="str">
        <f t="shared" si="451"/>
        <v>ㄝ</v>
      </c>
      <c r="P7062" s="1" t="s">
        <v>20</v>
      </c>
      <c r="R7062" s="1" t="s">
        <v>14559</v>
      </c>
      <c r="V7062" s="1" t="s">
        <v>14658</v>
      </c>
      <c r="AR7062" s="1" t="str">
        <f t="shared" si="448"/>
        <v>| [ㄐㄩㄝˊ](ㄐㄩㄝˊ.md) | [蠼](蠼.md) |  | jué | [名]
母猴。通「玃」。《集韻．入聲．藥韻》：「蠼，獸名。《說文》：『母猴也。』」
[動]
跳躍。《史記．卷一一七．司馬相如列傳》：「低卬夭蟜据以驕驁兮，詘折隆窮蠼以連卷。」 |</v>
      </c>
    </row>
    <row r="7063" spans="1:44" hidden="1">
      <c r="A7063" s="1" t="s">
        <v>14659</v>
      </c>
      <c r="C7063" s="1">
        <v>1</v>
      </c>
      <c r="D7063" s="1" t="str">
        <f>"06121"</f>
        <v>06121</v>
      </c>
      <c r="E7063" s="1" t="s">
        <v>77</v>
      </c>
      <c r="F7063" s="1">
        <v>27</v>
      </c>
      <c r="G7063" s="1">
        <v>20</v>
      </c>
      <c r="H7063" s="1">
        <v>0</v>
      </c>
      <c r="I7063" s="1" t="s">
        <v>14558</v>
      </c>
      <c r="K7063" s="1" t="str">
        <f t="shared" si="449"/>
        <v>ㄐ</v>
      </c>
      <c r="L7063" s="1" t="str">
        <f t="shared" si="450"/>
        <v>ㄩ</v>
      </c>
      <c r="M7063" s="1" t="str">
        <f t="shared" si="451"/>
        <v>ㄝ</v>
      </c>
      <c r="P7063" s="1" t="s">
        <v>20</v>
      </c>
      <c r="R7063" s="1" t="s">
        <v>14559</v>
      </c>
      <c r="V7063" s="1" t="s">
        <v>14660</v>
      </c>
      <c r="AR7063" s="1" t="str">
        <f t="shared" si="448"/>
        <v>| [ㄐㄩㄝˊ](ㄐㄩㄝˊ.md) | [躩](躩.md) |  | jué | [形]
腳步迅速的樣子。《論語．鄉黨》：「君召使擯，色勃如也，足躩如也。」
[動]
跳動。《淮南子．精神》：「鳧浴，蝯蠼，鴟視，虎顧。」唐．李白〈東海有勇婦〉詩：「十步兩躩躍，三呼一交兵。」 |</v>
      </c>
    </row>
    <row r="7064" spans="1:44" hidden="1">
      <c r="A7064" s="1" t="s">
        <v>14661</v>
      </c>
      <c r="C7064" s="1">
        <v>1</v>
      </c>
      <c r="D7064" s="1" t="str">
        <f>"06122"</f>
        <v>06122</v>
      </c>
      <c r="E7064" s="1" t="s">
        <v>55</v>
      </c>
      <c r="F7064" s="1">
        <v>28</v>
      </c>
      <c r="G7064" s="1">
        <v>20</v>
      </c>
      <c r="H7064" s="1">
        <v>0</v>
      </c>
      <c r="I7064" s="1" t="s">
        <v>14558</v>
      </c>
      <c r="K7064" s="1" t="str">
        <f t="shared" si="449"/>
        <v>ㄐ</v>
      </c>
      <c r="L7064" s="1" t="str">
        <f t="shared" si="450"/>
        <v>ㄩ</v>
      </c>
      <c r="M7064" s="1" t="str">
        <f t="shared" si="451"/>
        <v>ㄝ</v>
      </c>
      <c r="P7064" s="1" t="s">
        <v>20</v>
      </c>
      <c r="R7064" s="1" t="s">
        <v>14559</v>
      </c>
      <c r="V7064" s="1" t="s">
        <v>14662</v>
      </c>
      <c r="AR7064" s="1" t="str">
        <f t="shared" si="448"/>
        <v>| [ㄐㄩㄝˊ](ㄐㄩㄝˊ.md) | [钁](钁.md) |  | jué | [名]
一種用來挖掘土地的農具。三國魏．曹植〈藉田賦〉：「名王親枉千乘之體于隴畝之中，執鉏钁于畦町之側。」 |</v>
      </c>
    </row>
    <row r="7065" spans="1:44" hidden="1">
      <c r="A7065" s="1" t="s">
        <v>13716</v>
      </c>
      <c r="C7065" s="1">
        <v>1</v>
      </c>
      <c r="D7065" s="1" t="str">
        <f>"06123"</f>
        <v>06123</v>
      </c>
      <c r="E7065" s="1" t="s">
        <v>2233</v>
      </c>
      <c r="F7065" s="1">
        <v>20</v>
      </c>
      <c r="G7065" s="1">
        <v>13</v>
      </c>
      <c r="H7065" s="1">
        <v>1</v>
      </c>
      <c r="I7065" s="1" t="s">
        <v>14558</v>
      </c>
      <c r="K7065" s="1" t="str">
        <f t="shared" si="449"/>
        <v>ㄐ</v>
      </c>
      <c r="L7065" s="1" t="str">
        <f t="shared" si="450"/>
        <v>ㄩ</v>
      </c>
      <c r="M7065" s="1" t="str">
        <f t="shared" si="451"/>
        <v>ㄝ</v>
      </c>
      <c r="P7065" s="1" t="s">
        <v>20</v>
      </c>
      <c r="R7065" s="1" t="s">
        <v>14559</v>
      </c>
      <c r="V7065" s="1" t="s">
        <v>14663</v>
      </c>
      <c r="W7065" s="1" t="s">
        <v>14664</v>
      </c>
      <c r="AR7065" s="1" t="str">
        <f t="shared" si="448"/>
        <v>| [ㄐㄩㄝˊ](ㄐㄩㄝˊ.md) | [覺](覺.md) |  | jué | [動]
1.睡醒。《詩經．王風．兔爰》：「我生之後，逢此百憂，尚寐無覺。」《莊子．齊物論》：「覺而後知其夢也。」
2.醒悟、感悟。如：「覺悟」、「後知後覺」。《文選．陶淵明．歸去來辭》：「寔迷途其未遠，覺今是而昨非。」
3.知曉、感受到、意識到。如：「發覺」、「警覺」、「自覺」、「不知不覺」。唐．李商隱〈無題〉詩：「曉鏡但愁雲鬢改，夜吟應覺月光寒。」
4.啟發、告訴。《孟子．萬章上》：「使先知覺後知。」
[名]
1.感官受刺激後對事物的辨識能力。如：「知覺」、「味覺」、「幻覺」、「錯覺」。
2.賢智之人。如：「先覺」。 |</v>
      </c>
    </row>
    <row r="7066" spans="1:44" hidden="1">
      <c r="A7066" s="1" t="s">
        <v>14613</v>
      </c>
      <c r="C7066" s="1">
        <v>1</v>
      </c>
      <c r="D7066" s="1" t="str">
        <f>"06124"</f>
        <v>06124</v>
      </c>
      <c r="E7066" s="1" t="s">
        <v>77</v>
      </c>
      <c r="F7066" s="1">
        <v>19</v>
      </c>
      <c r="G7066" s="1">
        <v>12</v>
      </c>
      <c r="H7066" s="1">
        <v>2</v>
      </c>
      <c r="I7066" s="1" t="s">
        <v>14665</v>
      </c>
      <c r="K7066" s="1" t="str">
        <f t="shared" si="449"/>
        <v>ㄐ</v>
      </c>
      <c r="L7066" s="1" t="str">
        <f t="shared" si="450"/>
        <v>ㄩ</v>
      </c>
      <c r="M7066" s="1" t="str">
        <f t="shared" si="451"/>
        <v>ㄝ</v>
      </c>
      <c r="P7066" s="1" t="s">
        <v>20</v>
      </c>
      <c r="R7066" s="1" t="s">
        <v>14666</v>
      </c>
      <c r="V7066" s="1" t="s">
        <v>14667</v>
      </c>
      <c r="W7066" s="1" t="s">
        <v>14668</v>
      </c>
      <c r="AR7066" s="1" t="str">
        <f t="shared" si="448"/>
        <v>| [ㄐㄩㄝˇ](ㄐㄩㄝˇ.md) | [蹶](蹶.md) |  | juě | [動]
踢。漢．王充《論衡．論死》：「使舒手而擊，舉足而蹶。」《紅樓夢》第六五回：「原來二馬同槽，不能相容，互相蹶踶起來。」 |</v>
      </c>
    </row>
    <row r="7067" spans="1:44" hidden="1">
      <c r="A7067" s="1" t="s">
        <v>14592</v>
      </c>
      <c r="C7067" s="1">
        <v>1</v>
      </c>
      <c r="D7067" s="1" t="str">
        <f>"06125"</f>
        <v>06125</v>
      </c>
      <c r="E7067" s="1" t="s">
        <v>114</v>
      </c>
      <c r="F7067" s="1">
        <v>10</v>
      </c>
      <c r="G7067" s="1">
        <v>8</v>
      </c>
      <c r="H7067" s="1">
        <v>2</v>
      </c>
      <c r="I7067" s="1" t="s">
        <v>14669</v>
      </c>
      <c r="K7067" s="1" t="str">
        <f t="shared" si="449"/>
        <v>ㄐ</v>
      </c>
      <c r="L7067" s="1" t="str">
        <f t="shared" si="450"/>
        <v>ㄩ</v>
      </c>
      <c r="M7067" s="1" t="str">
        <f t="shared" si="451"/>
        <v>ㄝ</v>
      </c>
      <c r="P7067" s="1" t="s">
        <v>20</v>
      </c>
      <c r="R7067" s="1" t="s">
        <v>14670</v>
      </c>
      <c r="V7067" s="1" t="s">
        <v>14671</v>
      </c>
      <c r="W7067" s="1" t="s">
        <v>14672</v>
      </c>
      <c r="AR7067" s="1" t="str">
        <f t="shared" si="448"/>
        <v>| [ㄐㄩㄝˋ](ㄐㄩㄝˋ.md) | [倔](倔.md) |  | juè | [形]
脾氣大、言語粗率。如：「這個人說的話好倔！」 |</v>
      </c>
    </row>
    <row r="7068" spans="1:44" hidden="1">
      <c r="A7068" s="1" t="s">
        <v>13545</v>
      </c>
      <c r="C7068" s="1">
        <v>1</v>
      </c>
      <c r="D7068" s="1" t="str">
        <f>"05618"</f>
        <v>05618</v>
      </c>
      <c r="E7068" s="1" t="s">
        <v>367</v>
      </c>
      <c r="F7068" s="1">
        <v>6</v>
      </c>
      <c r="G7068" s="1">
        <v>4</v>
      </c>
      <c r="H7068" s="1">
        <v>0</v>
      </c>
      <c r="I7068" s="1" t="s">
        <v>13546</v>
      </c>
      <c r="K7068" s="1" t="str">
        <f t="shared" si="449"/>
        <v>ㄐ</v>
      </c>
      <c r="L7068" s="1" t="str">
        <f t="shared" si="450"/>
        <v>ㄧ</v>
      </c>
      <c r="M7068" s="1" t="str">
        <f t="shared" si="451"/>
        <v>ㄠ</v>
      </c>
      <c r="P7068" s="1" t="s">
        <v>20</v>
      </c>
      <c r="R7068" s="1" t="s">
        <v>13547</v>
      </c>
      <c r="V7068" s="1" t="s">
        <v>13548</v>
      </c>
      <c r="AR7068" s="1" t="str">
        <f t="shared" si="448"/>
        <v>| [ㄐㄧㄠ](ㄐㄧㄠ.md) | [交](交.md) |  | jiāo | [動]_x000D_
1.足脛相交。《說文解字．交部》：「交，交脛也。」_x000D_
2.縱橫錯雜。《孟子．滕文公上》：「獸蹄鳥跡之道，交於中國。」_x000D_
3.相接、接觸。《楚辭．屈原．九歌．國殤》：「矢交墜兮士爭先。」晉．孔坦〈與石聰書〉：「鋒鏑一交，玉石同碎。」_x000D_
4.來往、往來相好。如：「交際」、「結交」。《論語．學而》：「與朋友交，而不信乎？」_x000D_
5.動物雌雄或人類發生性關係。如：「交配」、「性交」。《禮記．月令》：「旦不鳴，虎始交。」《聊齋志異．卷一．賈兒》：「婦獨居，夢與人交。」_x000D_
6.授與、付給。如：「交付」、「交代」、「這件事交給他辦。」_x000D_
7.使得、使令。通「教」。唐．羅隱〈銅雀臺〉詩：「祗合當年伴君死，免交憔悴望西陵。」元．關漢卿《單刀會》第二折：「我聽那先生說了這一會，交我也怕上來了。」_x000D_
[名]_x000D_
1.相會的時候或地方。如：「春夏之交」、「湘鄂之交」。《左傳．僖公五年》：「其九月、十月之交乎？」_x000D_
2.朋友、友誼。如：「至交」、「刎頸之交」。《史記．卷八一．廉頗藺相如傳》：「臣以為布衣之交尚不相欺，況大國乎？」_x000D_
3.買賣。如：「今天成交多少數量？」_x000D_
4.筋斗、跟頭。同「跤」。如：「跌交」、「摔了一交」。_x000D_
5.姓。如周代有交父彝。_x000D_
[副]_x000D_
1.雜合、一齊。如：「水乳交融」、「雷電交作」、「風雨交加」、「飢寒交迫」。_x000D_
2.互相、彼此。如：「交談」、「交戰」、「交流」。《國語．越語下》：「君臣上下交得其志，蠡不如種也。」 |</v>
      </c>
    </row>
    <row r="7069" spans="1:44" hidden="1">
      <c r="A7069" s="1" t="s">
        <v>13549</v>
      </c>
      <c r="C7069" s="1">
        <v>1</v>
      </c>
      <c r="D7069" s="1" t="str">
        <f>"05619"</f>
        <v>05619</v>
      </c>
      <c r="E7069" s="1" t="s">
        <v>256</v>
      </c>
      <c r="F7069" s="1">
        <v>9</v>
      </c>
      <c r="G7069" s="1">
        <v>6</v>
      </c>
      <c r="H7069" s="1">
        <v>0</v>
      </c>
      <c r="I7069" s="1" t="s">
        <v>13546</v>
      </c>
      <c r="K7069" s="1" t="str">
        <f t="shared" si="449"/>
        <v>ㄐ</v>
      </c>
      <c r="L7069" s="1" t="str">
        <f t="shared" si="450"/>
        <v>ㄧ</v>
      </c>
      <c r="M7069" s="1" t="str">
        <f t="shared" si="451"/>
        <v>ㄠ</v>
      </c>
      <c r="P7069" s="1" t="s">
        <v>20</v>
      </c>
      <c r="R7069" s="1" t="s">
        <v>13547</v>
      </c>
      <c r="V7069" s="1" t="s">
        <v>13550</v>
      </c>
      <c r="AR7069" s="1" t="str">
        <f t="shared" si="448"/>
        <v>| [ㄐㄧㄠ](ㄐㄧㄠ.md) | [郊](郊.md) |  | jiāo | [名]
1.城市周圍的地區。如：「市郊」、「荒郊野外」。《禮記．曲禮上》：「四郊多壘。」唐．杜甫〈野望〉詩：「跨馬出郊時極目，不堪人事日蕭條。」
2.古代祭祀天地的典禮。《禮記．郊特牲》：「郊之祭也，迎長日之至也。」
3.地名。春秋時晉國的屬地。約在今大陸地區山西省虞鄉縣境。 |</v>
      </c>
    </row>
    <row r="7070" spans="1:44" hidden="1">
      <c r="A7070" s="1" t="s">
        <v>13551</v>
      </c>
      <c r="C7070" s="1">
        <v>1</v>
      </c>
      <c r="D7070" s="1" t="str">
        <f>"05620"</f>
        <v>05620</v>
      </c>
      <c r="E7070" s="1" t="s">
        <v>28</v>
      </c>
      <c r="F7070" s="1">
        <v>9</v>
      </c>
      <c r="G7070" s="1">
        <v>6</v>
      </c>
      <c r="H7070" s="1">
        <v>2</v>
      </c>
      <c r="I7070" s="1" t="s">
        <v>13546</v>
      </c>
      <c r="K7070" s="1" t="str">
        <f t="shared" si="449"/>
        <v>ㄐ</v>
      </c>
      <c r="L7070" s="1" t="str">
        <f t="shared" si="450"/>
        <v>ㄧ</v>
      </c>
      <c r="M7070" s="1" t="str">
        <f t="shared" si="451"/>
        <v>ㄠ</v>
      </c>
      <c r="P7070" s="1" t="s">
        <v>20</v>
      </c>
      <c r="R7070" s="1" t="s">
        <v>13547</v>
      </c>
      <c r="V7070" s="1" t="s">
        <v>13552</v>
      </c>
      <c r="W7070" s="1" t="s">
        <v>13553</v>
      </c>
      <c r="AR7070" s="1" t="str">
        <f t="shared" si="448"/>
        <v>| [ㄐㄧㄠ](ㄐㄧㄠ.md) | [咬](咬.md) |  | jiāo | 參見「咬咬」條。 |</v>
      </c>
    </row>
    <row r="7071" spans="1:44" hidden="1">
      <c r="A7071" s="1" t="s">
        <v>13554</v>
      </c>
      <c r="C7071" s="1">
        <v>1</v>
      </c>
      <c r="D7071" s="1" t="str">
        <f>"05621"</f>
        <v>05621</v>
      </c>
      <c r="E7071" s="1" t="s">
        <v>534</v>
      </c>
      <c r="F7071" s="1">
        <v>9</v>
      </c>
      <c r="G7071" s="1">
        <v>6</v>
      </c>
      <c r="H7071" s="1">
        <v>2</v>
      </c>
      <c r="I7071" s="1" t="s">
        <v>13546</v>
      </c>
      <c r="K7071" s="1" t="str">
        <f t="shared" si="449"/>
        <v>ㄐ</v>
      </c>
      <c r="L7071" s="1" t="str">
        <f t="shared" si="450"/>
        <v>ㄧ</v>
      </c>
      <c r="M7071" s="1" t="str">
        <f t="shared" si="451"/>
        <v>ㄠ</v>
      </c>
      <c r="P7071" s="1" t="s">
        <v>110</v>
      </c>
      <c r="R7071" s="1" t="s">
        <v>13547</v>
      </c>
      <c r="V7071" s="1" t="s">
        <v>111</v>
      </c>
      <c r="W7071" s="1" t="s">
        <v>13555</v>
      </c>
      <c r="AR7071" s="1" t="str">
        <f t="shared" si="448"/>
        <v>| [ㄐㄧㄠ](ㄐㄧㄠ.md) | [姣](姣.md) |  | jiāo | (一)之又音。 |</v>
      </c>
    </row>
    <row r="7072" spans="1:44" hidden="1">
      <c r="A7072" s="1" t="s">
        <v>13556</v>
      </c>
      <c r="C7072" s="1">
        <v>1</v>
      </c>
      <c r="D7072" s="1" t="str">
        <f>"05622"</f>
        <v>05622</v>
      </c>
      <c r="E7072" s="1" t="s">
        <v>37</v>
      </c>
      <c r="F7072" s="1">
        <v>10</v>
      </c>
      <c r="G7072" s="1">
        <v>6</v>
      </c>
      <c r="H7072" s="1">
        <v>0</v>
      </c>
      <c r="I7072" s="1" t="s">
        <v>13546</v>
      </c>
      <c r="K7072" s="1" t="str">
        <f t="shared" si="449"/>
        <v>ㄐ</v>
      </c>
      <c r="L7072" s="1" t="str">
        <f t="shared" si="450"/>
        <v>ㄧ</v>
      </c>
      <c r="M7072" s="1" t="str">
        <f t="shared" si="451"/>
        <v>ㄠ</v>
      </c>
      <c r="P7072" s="1" t="s">
        <v>20</v>
      </c>
      <c r="R7072" s="1" t="s">
        <v>13547</v>
      </c>
      <c r="V7072" s="1" t="s">
        <v>13557</v>
      </c>
      <c r="AR7072" s="1" t="str">
        <f t="shared" si="448"/>
        <v>| [ㄐㄧㄠ](ㄐㄧㄠ.md) | [茭](茭.md) |  | jiāo | [名]
1.餵食家畜的乾草。《說文解字．艸部》：「茭，乾芻。」《書經．費誓》：「魯人三郊三遂，峙乃芻茭，無敢不多，汝則有大刑。」
2.參見「茭白」條。 |</v>
      </c>
    </row>
    <row r="7073" spans="1:44" hidden="1">
      <c r="A7073" s="1" t="s">
        <v>13558</v>
      </c>
      <c r="C7073" s="1">
        <v>1</v>
      </c>
      <c r="D7073" s="1" t="str">
        <f>"05623"</f>
        <v>05623</v>
      </c>
      <c r="E7073" s="1" t="s">
        <v>679</v>
      </c>
      <c r="F7073" s="1">
        <v>12</v>
      </c>
      <c r="G7073" s="1">
        <v>6</v>
      </c>
      <c r="H7073" s="1">
        <v>0</v>
      </c>
      <c r="I7073" s="1" t="s">
        <v>13546</v>
      </c>
      <c r="K7073" s="1" t="str">
        <f t="shared" si="449"/>
        <v>ㄐ</v>
      </c>
      <c r="L7073" s="1" t="str">
        <f t="shared" si="450"/>
        <v>ㄧ</v>
      </c>
      <c r="M7073" s="1" t="str">
        <f t="shared" si="451"/>
        <v>ㄠ</v>
      </c>
      <c r="P7073" s="1" t="s">
        <v>20</v>
      </c>
      <c r="R7073" s="1" t="s">
        <v>13547</v>
      </c>
      <c r="V7073" s="1" t="s">
        <v>13559</v>
      </c>
      <c r="AR7073" s="1" t="str">
        <f t="shared" si="448"/>
        <v>| [ㄐㄧㄠ](ㄐㄧㄠ.md) | [蛟](蛟.md) |  | jiāo | [名]
傳說中能發洪水，像龍一類的動物。漢．王充《論衡．龍虛》：「蛟則龍之類也，蛟龍見而雲雨至，雲雨至則雷電擊。」也稱為「蛟龍」。 |</v>
      </c>
    </row>
    <row r="7074" spans="1:44" hidden="1">
      <c r="A7074" s="1" t="s">
        <v>13560</v>
      </c>
      <c r="C7074" s="1">
        <v>1</v>
      </c>
      <c r="D7074" s="1" t="str">
        <f>"05624"</f>
        <v>05624</v>
      </c>
      <c r="E7074" s="1" t="s">
        <v>77</v>
      </c>
      <c r="F7074" s="1">
        <v>13</v>
      </c>
      <c r="G7074" s="1">
        <v>6</v>
      </c>
      <c r="H7074" s="1">
        <v>0</v>
      </c>
      <c r="I7074" s="1" t="s">
        <v>13546</v>
      </c>
      <c r="K7074" s="1" t="str">
        <f t="shared" si="449"/>
        <v>ㄐ</v>
      </c>
      <c r="L7074" s="1" t="str">
        <f t="shared" si="450"/>
        <v>ㄧ</v>
      </c>
      <c r="M7074" s="1" t="str">
        <f t="shared" si="451"/>
        <v>ㄠ</v>
      </c>
      <c r="P7074" s="1" t="s">
        <v>20</v>
      </c>
      <c r="R7074" s="1" t="s">
        <v>13547</v>
      </c>
      <c r="V7074" s="1" t="s">
        <v>13561</v>
      </c>
      <c r="AR7074" s="1" t="str">
        <f t="shared" si="448"/>
        <v>| [ㄐㄧㄠ](ㄐㄧㄠ.md) | [跤](跤.md) |  | jiāo | [名]
筋斗、跟頭。如：「摔跤」、「他跌了一跤。」《喻世明言．卷二六．沈小官一鳥害七命》：「一跤倒在柳樹邊。」 |</v>
      </c>
    </row>
    <row r="7075" spans="1:44" hidden="1">
      <c r="A7075" s="1" t="s">
        <v>13562</v>
      </c>
      <c r="C7075" s="1">
        <v>1</v>
      </c>
      <c r="D7075" s="1" t="str">
        <f>"05625"</f>
        <v>05625</v>
      </c>
      <c r="E7075" s="1" t="s">
        <v>272</v>
      </c>
      <c r="F7075" s="1">
        <v>17</v>
      </c>
      <c r="G7075" s="1">
        <v>6</v>
      </c>
      <c r="H7075" s="1">
        <v>0</v>
      </c>
      <c r="I7075" s="1" t="s">
        <v>13546</v>
      </c>
      <c r="K7075" s="1" t="str">
        <f t="shared" si="449"/>
        <v>ㄐ</v>
      </c>
      <c r="L7075" s="1" t="str">
        <f t="shared" si="450"/>
        <v>ㄧ</v>
      </c>
      <c r="M7075" s="1" t="str">
        <f t="shared" si="451"/>
        <v>ㄠ</v>
      </c>
      <c r="P7075" s="1" t="s">
        <v>20</v>
      </c>
      <c r="R7075" s="1" t="s">
        <v>13547</v>
      </c>
      <c r="V7075" s="1" t="s">
        <v>13563</v>
      </c>
      <c r="AR7075" s="1" t="str">
        <f t="shared" si="448"/>
        <v>| [ㄐㄧㄠ](ㄐㄧㄠ.md) | [鵁](鵁.md) |  | jiāo | 參見「鵁鶄」條。 |</v>
      </c>
    </row>
    <row r="7076" spans="1:44" hidden="1">
      <c r="A7076" s="1" t="s">
        <v>13564</v>
      </c>
      <c r="C7076" s="1">
        <v>1</v>
      </c>
      <c r="D7076" s="1" t="str">
        <f>"05626"</f>
        <v>05626</v>
      </c>
      <c r="E7076" s="1" t="s">
        <v>156</v>
      </c>
      <c r="F7076" s="1">
        <v>17</v>
      </c>
      <c r="G7076" s="1">
        <v>6</v>
      </c>
      <c r="H7076" s="1">
        <v>0</v>
      </c>
      <c r="I7076" s="1" t="s">
        <v>13546</v>
      </c>
      <c r="K7076" s="1" t="str">
        <f t="shared" si="449"/>
        <v>ㄐ</v>
      </c>
      <c r="L7076" s="1" t="str">
        <f t="shared" si="450"/>
        <v>ㄧ</v>
      </c>
      <c r="M7076" s="1" t="str">
        <f t="shared" si="451"/>
        <v>ㄠ</v>
      </c>
      <c r="P7076" s="1" t="s">
        <v>20</v>
      </c>
      <c r="R7076" s="1" t="s">
        <v>13547</v>
      </c>
      <c r="V7076" s="1" t="s">
        <v>13565</v>
      </c>
      <c r="AR7076" s="1" t="str">
        <f t="shared" si="448"/>
        <v>| [ㄐㄧㄠ](ㄐㄧㄠ.md) | [鮫](鮫.md) |  | jiāo | [名]
軟骨魚綱鮫目魚類的通稱。長達一二丈，產於熱帶海洋中，肉食性。卵胎生。游速極快。其鰭為普通供食用的魚翅。俗稱為「鯊魚」。 |</v>
      </c>
    </row>
    <row r="7077" spans="1:44" hidden="1">
      <c r="A7077" s="1" t="s">
        <v>13566</v>
      </c>
      <c r="C7077" s="1">
        <v>1</v>
      </c>
      <c r="D7077" s="1" t="str">
        <f>"05627"</f>
        <v>05627</v>
      </c>
      <c r="E7077" s="1" t="s">
        <v>37</v>
      </c>
      <c r="F7077" s="1">
        <v>6</v>
      </c>
      <c r="G7077" s="1">
        <v>2</v>
      </c>
      <c r="H7077" s="1">
        <v>2</v>
      </c>
      <c r="I7077" s="1" t="s">
        <v>13546</v>
      </c>
      <c r="K7077" s="1" t="str">
        <f t="shared" si="449"/>
        <v>ㄐ</v>
      </c>
      <c r="L7077" s="1" t="str">
        <f t="shared" si="450"/>
        <v>ㄧ</v>
      </c>
      <c r="M7077" s="1" t="str">
        <f t="shared" si="451"/>
        <v>ㄠ</v>
      </c>
      <c r="P7077" s="1" t="s">
        <v>20</v>
      </c>
      <c r="R7077" s="1" t="s">
        <v>13547</v>
      </c>
      <c r="V7077" s="1" t="s">
        <v>13567</v>
      </c>
      <c r="W7077" s="1" t="s">
        <v>13568</v>
      </c>
      <c r="AR7077" s="1" t="str">
        <f t="shared" si="448"/>
        <v>| [ㄐㄧㄠ](ㄐㄧㄠ.md) | [艽](艽.md) |  | jiāo | 參見「秦艽」條。 |</v>
      </c>
    </row>
    <row r="7078" spans="1:44" hidden="1">
      <c r="A7078" s="1" t="s">
        <v>13569</v>
      </c>
      <c r="C7078" s="1">
        <v>1</v>
      </c>
      <c r="D7078" s="1" t="str">
        <f>"05628"</f>
        <v>05628</v>
      </c>
      <c r="E7078" s="1" t="s">
        <v>426</v>
      </c>
      <c r="F7078" s="1">
        <v>11</v>
      </c>
      <c r="G7078" s="1">
        <v>7</v>
      </c>
      <c r="H7078" s="1">
        <v>2</v>
      </c>
      <c r="I7078" s="1" t="s">
        <v>13546</v>
      </c>
      <c r="K7078" s="1" t="str">
        <f t="shared" si="449"/>
        <v>ㄐ</v>
      </c>
      <c r="L7078" s="1" t="str">
        <f t="shared" si="450"/>
        <v>ㄧ</v>
      </c>
      <c r="M7078" s="1" t="str">
        <f t="shared" si="451"/>
        <v>ㄠ</v>
      </c>
      <c r="P7078" s="1" t="s">
        <v>20</v>
      </c>
      <c r="R7078" s="1" t="s">
        <v>13547</v>
      </c>
      <c r="V7078" s="1" t="s">
        <v>13570</v>
      </c>
      <c r="W7078" s="1" t="s">
        <v>13571</v>
      </c>
      <c r="AR7078" s="1" t="str">
        <f t="shared" si="448"/>
        <v>| [ㄐㄧㄠ](ㄐㄧㄠ.md) | [教](教.md) |  | jiāo | [動]
傳授。如：「教唱」。《左傳．襄公三十一年》：「教其不知，而恤其不足。」唐．柳宗元〈六逆論〉：「教於後世，莫知其所以去就。」 |</v>
      </c>
    </row>
    <row r="7079" spans="1:44" hidden="1">
      <c r="A7079" s="1" t="s">
        <v>13572</v>
      </c>
      <c r="C7079" s="1">
        <v>1</v>
      </c>
      <c r="D7079" s="1" t="str">
        <f>"05629"</f>
        <v>05629</v>
      </c>
      <c r="E7079" s="1" t="s">
        <v>139</v>
      </c>
      <c r="F7079" s="1">
        <v>12</v>
      </c>
      <c r="G7079" s="1">
        <v>8</v>
      </c>
      <c r="H7079" s="1">
        <v>0</v>
      </c>
      <c r="I7079" s="1" t="s">
        <v>13546</v>
      </c>
      <c r="K7079" s="1" t="str">
        <f t="shared" si="449"/>
        <v>ㄐ</v>
      </c>
      <c r="L7079" s="1" t="str">
        <f t="shared" si="450"/>
        <v>ㄧ</v>
      </c>
      <c r="M7079" s="1" t="str">
        <f t="shared" si="451"/>
        <v>ㄠ</v>
      </c>
      <c r="P7079" s="1" t="s">
        <v>20</v>
      </c>
      <c r="R7079" s="1" t="s">
        <v>13547</v>
      </c>
      <c r="V7079" s="1" t="s">
        <v>13573</v>
      </c>
      <c r="AR7079" s="1" t="str">
        <f t="shared" si="448"/>
        <v>| [ㄐㄧㄠ](ㄐㄧㄠ.md) | [椒](椒.md) |  | jiāo | [名]
1.參見「秦椒」、「番椒」等條。
2.山頂。《漢書．卷九十七．外戚傳上．孝武李夫人傳》：「釋輿馬於山椒兮，奄修夜之不陽。」南朝宋．謝莊〈月賦〉：「菊散芳於山椒，雁流哀於江瀨。」
3.姓。如春秋時楚國有椒舉。 |</v>
      </c>
    </row>
    <row r="7080" spans="1:44" hidden="1">
      <c r="A7080" s="1" t="s">
        <v>13574</v>
      </c>
      <c r="C7080" s="1">
        <v>1</v>
      </c>
      <c r="D7080" s="1" t="str">
        <f>"05630"</f>
        <v>05630</v>
      </c>
      <c r="E7080" s="1" t="s">
        <v>28</v>
      </c>
      <c r="F7080" s="1">
        <v>12</v>
      </c>
      <c r="G7080" s="1">
        <v>9</v>
      </c>
      <c r="H7080" s="1">
        <v>2</v>
      </c>
      <c r="I7080" s="1" t="s">
        <v>13546</v>
      </c>
      <c r="K7080" s="1" t="str">
        <f t="shared" si="449"/>
        <v>ㄐ</v>
      </c>
      <c r="L7080" s="1" t="str">
        <f t="shared" si="450"/>
        <v>ㄧ</v>
      </c>
      <c r="M7080" s="1" t="str">
        <f t="shared" si="451"/>
        <v>ㄠ</v>
      </c>
      <c r="P7080" s="1" t="s">
        <v>20</v>
      </c>
      <c r="R7080" s="1" t="s">
        <v>13547</v>
      </c>
      <c r="V7080" s="1" t="s">
        <v>13575</v>
      </c>
      <c r="W7080" s="1" t="s">
        <v>13576</v>
      </c>
      <c r="AR7080" s="1" t="str">
        <f t="shared" si="448"/>
        <v>| [ㄐㄧㄠ](ㄐㄧㄠ.md) | [喬](喬.md) |  | jiāo | [形]
傲慢放肆。通「驕」。如：「喬志」、「喬忿」。 |</v>
      </c>
    </row>
    <row r="7081" spans="1:44" hidden="1">
      <c r="A7081" s="1" t="s">
        <v>13577</v>
      </c>
      <c r="C7081" s="1">
        <v>1</v>
      </c>
      <c r="D7081" s="1" t="str">
        <f>"05631"</f>
        <v>05631</v>
      </c>
      <c r="E7081" s="1" t="s">
        <v>250</v>
      </c>
      <c r="F7081" s="1">
        <v>15</v>
      </c>
      <c r="G7081" s="1">
        <v>12</v>
      </c>
      <c r="H7081" s="1">
        <v>1</v>
      </c>
      <c r="I7081" s="1" t="s">
        <v>13546</v>
      </c>
      <c r="K7081" s="1" t="str">
        <f t="shared" si="449"/>
        <v>ㄐ</v>
      </c>
      <c r="L7081" s="1" t="str">
        <f t="shared" si="450"/>
        <v>ㄧ</v>
      </c>
      <c r="M7081" s="1" t="str">
        <f t="shared" si="451"/>
        <v>ㄠ</v>
      </c>
      <c r="P7081" s="1" t="s">
        <v>20</v>
      </c>
      <c r="R7081" s="1" t="s">
        <v>13547</v>
      </c>
      <c r="V7081" s="1" t="s">
        <v>13578</v>
      </c>
      <c r="W7081" s="1" t="s">
        <v>13579</v>
      </c>
      <c r="AR7081" s="1" t="str">
        <f t="shared" si="448"/>
        <v>| [ㄐㄧㄠ](ㄐㄧㄠ.md) | [憍](憍.md) |  | jiāo | [形]
1.驕傲。《集韻．平聲．宵韻》：「憍，矜也。」《淮南子．道應》：「數戰則民罷，數勝則主憍。」
2.恣意、放縱。《廣韻．平聲．蕭韻》：「憍，恣也。」《後漢書．卷二六．蔡茂傳》：「外戚憍逸，賓客放濫。」 |</v>
      </c>
    </row>
    <row r="7082" spans="1:44" hidden="1">
      <c r="A7082" s="1" t="s">
        <v>13580</v>
      </c>
      <c r="C7082" s="1">
        <v>1</v>
      </c>
      <c r="D7082" s="1" t="str">
        <f>"05632"</f>
        <v>05632</v>
      </c>
      <c r="E7082" s="1" t="s">
        <v>534</v>
      </c>
      <c r="F7082" s="1">
        <v>15</v>
      </c>
      <c r="G7082" s="1">
        <v>12</v>
      </c>
      <c r="H7082" s="1">
        <v>0</v>
      </c>
      <c r="I7082" s="1" t="s">
        <v>13546</v>
      </c>
      <c r="K7082" s="1" t="str">
        <f t="shared" si="449"/>
        <v>ㄐ</v>
      </c>
      <c r="L7082" s="1" t="str">
        <f t="shared" si="450"/>
        <v>ㄧ</v>
      </c>
      <c r="M7082" s="1" t="str">
        <f t="shared" si="451"/>
        <v>ㄠ</v>
      </c>
      <c r="P7082" s="1" t="s">
        <v>20</v>
      </c>
      <c r="R7082" s="1" t="s">
        <v>13547</v>
      </c>
      <c r="V7082" s="1" t="s">
        <v>13581</v>
      </c>
      <c r="AR7082" s="1" t="str">
        <f t="shared" si="448"/>
        <v>| [ㄐㄧㄠ](ㄐㄧㄠ.md) | [嬌](嬌.md) |  | jiāo | [名]
1.柔美可愛的姿態。如：「撒嬌」。南朝梁．王筠〈五日望採拾詩〉：「含嬌起斜盼，斂笑動微嚬。」
2.美女。南朝梁．費昶〈長門怨詩〉：「金屋貯嬌時，不言君不入。」
[形]
柔弱、柔美。如：「嬌妻」、「嬌小」。唐．白居易〈長恨歌〉：「侍兒扶起嬌無力，始是新承恩澤時。」
[動]
疼愛、寵愛。唐．杜甫〈北征〉詩：「平生所嬌兒，顏色白勝雪。」
[副]
過分寵愛。《紅樓夢》第一九回：「他雖沒這造化，倒也是嬌生慣養的呢！」 |</v>
      </c>
    </row>
    <row r="7083" spans="1:44" hidden="1">
      <c r="A7083" s="1" t="s">
        <v>13582</v>
      </c>
      <c r="C7083" s="1">
        <v>1</v>
      </c>
      <c r="D7083" s="1" t="str">
        <f>"05633"</f>
        <v>05633</v>
      </c>
      <c r="E7083" s="1" t="s">
        <v>319</v>
      </c>
      <c r="F7083" s="1">
        <v>22</v>
      </c>
      <c r="G7083" s="1">
        <v>12</v>
      </c>
      <c r="H7083" s="1">
        <v>0</v>
      </c>
      <c r="I7083" s="1" t="s">
        <v>13546</v>
      </c>
      <c r="K7083" s="1" t="str">
        <f t="shared" si="449"/>
        <v>ㄐ</v>
      </c>
      <c r="L7083" s="1" t="str">
        <f t="shared" si="450"/>
        <v>ㄧ</v>
      </c>
      <c r="M7083" s="1" t="str">
        <f t="shared" si="451"/>
        <v>ㄠ</v>
      </c>
      <c r="P7083" s="1" t="s">
        <v>20</v>
      </c>
      <c r="R7083" s="1" t="s">
        <v>13547</v>
      </c>
      <c r="V7083" s="1" t="s">
        <v>13583</v>
      </c>
      <c r="AR7083" s="1" t="str">
        <f t="shared" si="448"/>
        <v>| [ㄐㄧㄠ](ㄐㄧㄠ.md) | [驕](驕.md) |  | jiāo | [形]
1.馬高大健壯。《說文解字．馬部》：「驕，馬高六尺為驕。」唐．李白〈胡無人〉詩：「嚴風吹霜海草凋，筋幹精堅胡馬驕。」
2.高傲自滿。如：「驕傲」、「驕兵必敗」。《論語．泰伯》：「如有周公之才之美，使驕且吝，其餘不足觀也已。」《韓非子．解老》：「衣食美則驕心生。」
3.放縱、恣縱。《書經．畢命》：「驕淫矜侉，將由惡終。」《史記．卷八〇．樂毅傳》：「諸侯害齊湣王之驕暴，皆爭合從與燕伐齊。」
4.特別疼愛、寵愛的。通「嬌」。如：「天之驕子」。《孫子．地形》：「譬如驕子，不可用也。」《漢書．卷九九．王莽傳上》：「驕妾窺欲，姦臣萌亂。」
5.猛烈、強烈。唐．杜甫〈阻雨不得歸瀼西甘林〉詩：「三伏適已過，驕陽化為霖。」 |</v>
      </c>
    </row>
    <row r="7084" spans="1:44" hidden="1">
      <c r="A7084" s="1" t="s">
        <v>13584</v>
      </c>
      <c r="C7084" s="1">
        <v>1</v>
      </c>
      <c r="D7084" s="1" t="str">
        <f>"05634"</f>
        <v>05634</v>
      </c>
      <c r="E7084" s="1" t="s">
        <v>336</v>
      </c>
      <c r="F7084" s="1">
        <v>12</v>
      </c>
      <c r="G7084" s="1">
        <v>8</v>
      </c>
      <c r="H7084" s="1">
        <v>0</v>
      </c>
      <c r="I7084" s="1" t="s">
        <v>13546</v>
      </c>
      <c r="K7084" s="1" t="str">
        <f t="shared" si="449"/>
        <v>ㄐ</v>
      </c>
      <c r="L7084" s="1" t="str">
        <f t="shared" si="450"/>
        <v>ㄧ</v>
      </c>
      <c r="M7084" s="1" t="str">
        <f t="shared" si="451"/>
        <v>ㄠ</v>
      </c>
      <c r="P7084" s="1" t="s">
        <v>20</v>
      </c>
      <c r="R7084" s="1" t="s">
        <v>13547</v>
      </c>
      <c r="V7084" s="1" t="s">
        <v>13585</v>
      </c>
      <c r="AR7084" s="1" t="str">
        <f t="shared" si="448"/>
        <v>| [ㄐㄧㄠ](ㄐㄧㄠ.md) | [焦](焦.md) |  | jiāo | [形]
1.物體經過火燒後，變黃黑脆硬的樣子。如：「焦黑」、「焦土」、「焦饅頭」、「焦油條」。
2.乾燥、乾枯。唐．杜甫〈茅屋為秋風所破歌〉：「脣焦口燥呼不得，歸來倚仗自歎息。」
[動]
1.物體經火燒而致枯黑、脆硬。如：「燒焦」。《左傳．哀公二年》：「卜戰，龜焦。」
2.煩惱、著急。如：「焦慮」。三國魏．阮籍〈詠懷詩〉八二首之三三：「終身履薄冰，誰知我心焦？」《儒林外史》第二一回：「假如你焦他沒有房屋，何不替他娶上一個孫媳婦，一家一計過日子？」
[名]
1.國名。周代姬姓諸侯國，故址約在今大陸地區河南省陝縣南。
2.姓。如漢代有焦延壽。 |</v>
      </c>
    </row>
    <row r="7085" spans="1:44" hidden="1">
      <c r="A7085" s="1" t="s">
        <v>13586</v>
      </c>
      <c r="C7085" s="1">
        <v>1</v>
      </c>
      <c r="D7085" s="1" t="str">
        <f>"05635"</f>
        <v>05635</v>
      </c>
      <c r="E7085" s="1" t="s">
        <v>114</v>
      </c>
      <c r="F7085" s="1">
        <v>14</v>
      </c>
      <c r="G7085" s="1">
        <v>12</v>
      </c>
      <c r="H7085" s="1">
        <v>0</v>
      </c>
      <c r="I7085" s="1" t="s">
        <v>13546</v>
      </c>
      <c r="K7085" s="1" t="str">
        <f t="shared" si="449"/>
        <v>ㄐ</v>
      </c>
      <c r="L7085" s="1" t="str">
        <f t="shared" si="450"/>
        <v>ㄧ</v>
      </c>
      <c r="M7085" s="1" t="str">
        <f t="shared" si="451"/>
        <v>ㄠ</v>
      </c>
      <c r="P7085" s="1" t="s">
        <v>20</v>
      </c>
      <c r="R7085" s="1" t="s">
        <v>13547</v>
      </c>
      <c r="V7085" s="1" t="s">
        <v>13587</v>
      </c>
      <c r="AR7085" s="1" t="str">
        <f t="shared" si="448"/>
        <v>| [ㄐㄧㄠ](ㄐㄧㄠ.md) | [僬](僬.md) |  | jiāo | 參見「僬僬」、「僬僥」等條。 |</v>
      </c>
    </row>
    <row r="7086" spans="1:44" hidden="1">
      <c r="A7086" s="1" t="s">
        <v>13588</v>
      </c>
      <c r="C7086" s="1">
        <v>1</v>
      </c>
      <c r="D7086" s="1" t="str">
        <f>"05636"</f>
        <v>05636</v>
      </c>
      <c r="E7086" s="1" t="s">
        <v>28</v>
      </c>
      <c r="F7086" s="1">
        <v>15</v>
      </c>
      <c r="G7086" s="1">
        <v>12</v>
      </c>
      <c r="H7086" s="1">
        <v>2</v>
      </c>
      <c r="I7086" s="1" t="s">
        <v>13546</v>
      </c>
      <c r="K7086" s="1" t="str">
        <f t="shared" si="449"/>
        <v>ㄐ</v>
      </c>
      <c r="L7086" s="1" t="str">
        <f t="shared" si="450"/>
        <v>ㄧ</v>
      </c>
      <c r="M7086" s="1" t="str">
        <f t="shared" si="451"/>
        <v>ㄠ</v>
      </c>
      <c r="P7086" s="1" t="s">
        <v>20</v>
      </c>
      <c r="R7086" s="1" t="s">
        <v>13547</v>
      </c>
      <c r="V7086" s="1" t="s">
        <v>13589</v>
      </c>
      <c r="W7086" s="1" t="s">
        <v>13590</v>
      </c>
      <c r="AR7086" s="1" t="str">
        <f t="shared" si="448"/>
        <v>| [ㄐㄧㄠ](ㄐㄧㄠ.md) | [噍](噍.md) |  | jiāo | [形]
焦急、急促。《禮記．樂記》：「是故其哀心感者，其聲噍以殺。」 |</v>
      </c>
    </row>
    <row r="7087" spans="1:44" hidden="1">
      <c r="A7087" s="1" t="s">
        <v>13591</v>
      </c>
      <c r="C7087" s="1">
        <v>1</v>
      </c>
      <c r="D7087" s="1" t="str">
        <f>"05637"</f>
        <v>05637</v>
      </c>
      <c r="E7087" s="1" t="s">
        <v>190</v>
      </c>
      <c r="F7087" s="1">
        <v>15</v>
      </c>
      <c r="G7087" s="1">
        <v>12</v>
      </c>
      <c r="H7087" s="1">
        <v>0</v>
      </c>
      <c r="I7087" s="1" t="s">
        <v>13546</v>
      </c>
      <c r="K7087" s="1" t="str">
        <f t="shared" si="449"/>
        <v>ㄐ</v>
      </c>
      <c r="L7087" s="1" t="str">
        <f t="shared" si="450"/>
        <v>ㄧ</v>
      </c>
      <c r="M7087" s="1" t="str">
        <f t="shared" si="451"/>
        <v>ㄠ</v>
      </c>
      <c r="P7087" s="1" t="s">
        <v>20</v>
      </c>
      <c r="R7087" s="1" t="s">
        <v>13547</v>
      </c>
      <c r="V7087" s="1" t="s">
        <v>13592</v>
      </c>
      <c r="AR7087" s="1" t="str">
        <f t="shared" si="448"/>
        <v>| [ㄐㄧㄠ](ㄐㄧㄠ.md) | [嶕](嶕.md) |  | jiāo | [形]
嶕嶢：山勢高峻。《玉篇．山部》：「嶕，嶕嶢，山高。」《漢書．卷八七．揚雄傳下》：「泰山之高不嶕嶢，則不能浡滃雲而散歊烝。」 |</v>
      </c>
    </row>
    <row r="7088" spans="1:44" hidden="1">
      <c r="A7088" s="1" t="s">
        <v>13593</v>
      </c>
      <c r="C7088" s="1">
        <v>1</v>
      </c>
      <c r="D7088" s="1" t="str">
        <f>"05638"</f>
        <v>05638</v>
      </c>
      <c r="E7088" s="1" t="s">
        <v>336</v>
      </c>
      <c r="F7088" s="1">
        <v>16</v>
      </c>
      <c r="G7088" s="1">
        <v>12</v>
      </c>
      <c r="H7088" s="1">
        <v>0</v>
      </c>
      <c r="I7088" s="1" t="s">
        <v>13546</v>
      </c>
      <c r="K7088" s="1" t="str">
        <f t="shared" si="449"/>
        <v>ㄐ</v>
      </c>
      <c r="L7088" s="1" t="str">
        <f t="shared" si="450"/>
        <v>ㄧ</v>
      </c>
      <c r="M7088" s="1" t="str">
        <f t="shared" si="451"/>
        <v>ㄠ</v>
      </c>
      <c r="P7088" s="1" t="s">
        <v>20</v>
      </c>
      <c r="R7088" s="1" t="s">
        <v>13547</v>
      </c>
      <c r="V7088" s="1" t="s">
        <v>13594</v>
      </c>
      <c r="AR7088" s="1" t="str">
        <f t="shared" si="448"/>
        <v>| [ㄐㄧㄠ](ㄐㄧㄠ.md) | [燋](燋.md) |  | jiāo | [名]
用來引火的火把。《儀禮．士喪禮》：「楚焞置于燋，在龜東。」漢．鄭玄．注：「燋，炬也，所以然火者也。」南朝梁．王筠〈詠蠟燭〉詩：「莢明不足貴，燋燼豈為疑。」
[動]
火燒、火傷。漢．王充《論衡．說日》：「火中無生物，生物入火中，燋爛而死焉。」 |</v>
      </c>
    </row>
    <row r="7089" spans="1:44" hidden="1">
      <c r="A7089" s="1" t="s">
        <v>13595</v>
      </c>
      <c r="C7089" s="1">
        <v>1</v>
      </c>
      <c r="D7089" s="1" t="str">
        <f>"05639"</f>
        <v>05639</v>
      </c>
      <c r="E7089" s="1" t="s">
        <v>37</v>
      </c>
      <c r="F7089" s="1">
        <v>16</v>
      </c>
      <c r="G7089" s="1">
        <v>12</v>
      </c>
      <c r="H7089" s="1">
        <v>1</v>
      </c>
      <c r="I7089" s="1" t="s">
        <v>13546</v>
      </c>
      <c r="K7089" s="1" t="str">
        <f t="shared" si="449"/>
        <v>ㄐ</v>
      </c>
      <c r="L7089" s="1" t="str">
        <f t="shared" si="450"/>
        <v>ㄧ</v>
      </c>
      <c r="M7089" s="1" t="str">
        <f t="shared" si="451"/>
        <v>ㄠ</v>
      </c>
      <c r="P7089" s="1" t="s">
        <v>20</v>
      </c>
      <c r="R7089" s="1" t="s">
        <v>13547</v>
      </c>
      <c r="V7089" s="1" t="s">
        <v>13596</v>
      </c>
      <c r="W7089" s="1" t="s">
        <v>13597</v>
      </c>
      <c r="AR7089" s="1" t="str">
        <f t="shared" si="448"/>
        <v>| [ㄐㄧㄠ](ㄐㄧㄠ.md) | [蕉](蕉.md) |  | jiāo | [名]
1.未經浸泡處理的生麻。《說文解字．艸部》：「蕉，生枲也。」清．段玉裁．注：「枲，麻也。生枲謂未漚治者。」
2.芭蕉的簡稱。參見「芭蕉」條。
3.香蕉的簡稱。參見「香蕉」條。 |</v>
      </c>
    </row>
    <row r="7090" spans="1:44" hidden="1">
      <c r="A7090" s="1" t="s">
        <v>13598</v>
      </c>
      <c r="C7090" s="1">
        <v>1</v>
      </c>
      <c r="D7090" s="1" t="str">
        <f>"05640"</f>
        <v>05640</v>
      </c>
      <c r="E7090" s="1" t="s">
        <v>169</v>
      </c>
      <c r="F7090" s="1">
        <v>17</v>
      </c>
      <c r="G7090" s="1">
        <v>12</v>
      </c>
      <c r="H7090" s="1">
        <v>0</v>
      </c>
      <c r="I7090" s="1" t="s">
        <v>13546</v>
      </c>
      <c r="K7090" s="1" t="str">
        <f t="shared" si="449"/>
        <v>ㄐ</v>
      </c>
      <c r="L7090" s="1" t="str">
        <f t="shared" si="450"/>
        <v>ㄧ</v>
      </c>
      <c r="M7090" s="1" t="str">
        <f t="shared" si="451"/>
        <v>ㄠ</v>
      </c>
      <c r="P7090" s="1" t="s">
        <v>20</v>
      </c>
      <c r="R7090" s="1" t="s">
        <v>13547</v>
      </c>
      <c r="V7090" s="1" t="s">
        <v>13599</v>
      </c>
      <c r="AR7090" s="1" t="str">
        <f t="shared" si="448"/>
        <v>| [ㄐㄧㄠ](ㄐㄧㄠ.md) | [礁](礁.md) |  | jiāo | [名]
1.在江河、海洋中，隱藏於水面下或浮現在水面上的岩石。如：「暗礁」、「礁石」。
2.珊瑚蟲遺骸堆積而成的岩狀物。如：「珊瑚礁」。 |</v>
      </c>
    </row>
    <row r="7091" spans="1:44" hidden="1">
      <c r="A7091" s="1" t="s">
        <v>13600</v>
      </c>
      <c r="C7091" s="1">
        <v>1</v>
      </c>
      <c r="D7091" s="1" t="str">
        <f>"05641"</f>
        <v>05641</v>
      </c>
      <c r="E7091" s="1" t="s">
        <v>679</v>
      </c>
      <c r="F7091" s="1">
        <v>18</v>
      </c>
      <c r="G7091" s="1">
        <v>12</v>
      </c>
      <c r="H7091" s="1">
        <v>0</v>
      </c>
      <c r="I7091" s="1" t="s">
        <v>13546</v>
      </c>
      <c r="K7091" s="1" t="str">
        <f t="shared" si="449"/>
        <v>ㄐ</v>
      </c>
      <c r="L7091" s="1" t="str">
        <f t="shared" si="450"/>
        <v>ㄧ</v>
      </c>
      <c r="M7091" s="1" t="str">
        <f t="shared" si="451"/>
        <v>ㄠ</v>
      </c>
      <c r="P7091" s="1" t="s">
        <v>20</v>
      </c>
      <c r="R7091" s="1" t="s">
        <v>13547</v>
      </c>
      <c r="V7091" s="1" t="s">
        <v>13601</v>
      </c>
      <c r="AR7091" s="1" t="str">
        <f t="shared" si="448"/>
        <v>| [ㄐㄧㄠ](ㄐㄧㄠ.md) | [蟭](蟭.md) |  | jiāo | 參見「蟭螟」條。 |</v>
      </c>
    </row>
    <row r="7092" spans="1:44" hidden="1">
      <c r="A7092" s="1" t="s">
        <v>13602</v>
      </c>
      <c r="C7092" s="1">
        <v>1</v>
      </c>
      <c r="D7092" s="1" t="str">
        <f>"05642"</f>
        <v>05642</v>
      </c>
      <c r="E7092" s="1" t="s">
        <v>55</v>
      </c>
      <c r="F7092" s="1">
        <v>20</v>
      </c>
      <c r="G7092" s="1">
        <v>12</v>
      </c>
      <c r="H7092" s="1">
        <v>0</v>
      </c>
      <c r="I7092" s="1" t="s">
        <v>13546</v>
      </c>
      <c r="K7092" s="1" t="str">
        <f t="shared" si="449"/>
        <v>ㄐ</v>
      </c>
      <c r="L7092" s="1" t="str">
        <f t="shared" si="450"/>
        <v>ㄧ</v>
      </c>
      <c r="M7092" s="1" t="str">
        <f t="shared" si="451"/>
        <v>ㄠ</v>
      </c>
      <c r="P7092" s="1" t="s">
        <v>20</v>
      </c>
      <c r="R7092" s="1" t="s">
        <v>13547</v>
      </c>
      <c r="V7092" s="1" t="s">
        <v>13603</v>
      </c>
      <c r="AR7092" s="1" t="str">
        <f t="shared" si="448"/>
        <v>| [ㄐㄧㄠ](ㄐㄧㄠ.md) | [鐎](鐎.md) |  | jiāo | 參見「鐎斗」條。 |</v>
      </c>
    </row>
    <row r="7093" spans="1:44" hidden="1">
      <c r="A7093" s="1" t="s">
        <v>13604</v>
      </c>
      <c r="C7093" s="1">
        <v>1</v>
      </c>
      <c r="D7093" s="1" t="str">
        <f>"05643"</f>
        <v>05643</v>
      </c>
      <c r="E7093" s="1" t="s">
        <v>272</v>
      </c>
      <c r="F7093" s="1">
        <v>23</v>
      </c>
      <c r="G7093" s="1">
        <v>12</v>
      </c>
      <c r="H7093" s="1">
        <v>0</v>
      </c>
      <c r="I7093" s="1" t="s">
        <v>13546</v>
      </c>
      <c r="K7093" s="1" t="str">
        <f t="shared" si="449"/>
        <v>ㄐ</v>
      </c>
      <c r="L7093" s="1" t="str">
        <f t="shared" si="450"/>
        <v>ㄧ</v>
      </c>
      <c r="M7093" s="1" t="str">
        <f t="shared" si="451"/>
        <v>ㄠ</v>
      </c>
      <c r="P7093" s="1" t="s">
        <v>20</v>
      </c>
      <c r="R7093" s="1" t="s">
        <v>13547</v>
      </c>
      <c r="V7093" s="1" t="s">
        <v>13605</v>
      </c>
      <c r="AR7093" s="1" t="str">
        <f t="shared" si="448"/>
        <v>| [ㄐㄧㄠ](ㄐㄧㄠ.md) | [鷦](鷦.md) |  | jiāo | 參見「鷦鷯」條。 |</v>
      </c>
    </row>
    <row r="7094" spans="1:44" hidden="1">
      <c r="A7094" s="1" t="s">
        <v>13606</v>
      </c>
      <c r="C7094" s="1">
        <v>1</v>
      </c>
      <c r="D7094" s="1" t="str">
        <f>"05644"</f>
        <v>05644</v>
      </c>
      <c r="E7094" s="1" t="s">
        <v>129</v>
      </c>
      <c r="F7094" s="1">
        <v>15</v>
      </c>
      <c r="G7094" s="1">
        <v>12</v>
      </c>
      <c r="H7094" s="1">
        <v>0</v>
      </c>
      <c r="I7094" s="1" t="s">
        <v>13546</v>
      </c>
      <c r="K7094" s="1" t="str">
        <f t="shared" si="449"/>
        <v>ㄐ</v>
      </c>
      <c r="L7094" s="1" t="str">
        <f t="shared" si="450"/>
        <v>ㄧ</v>
      </c>
      <c r="M7094" s="1" t="str">
        <f t="shared" si="451"/>
        <v>ㄠ</v>
      </c>
      <c r="P7094" s="1" t="s">
        <v>20</v>
      </c>
      <c r="R7094" s="1" t="s">
        <v>13547</v>
      </c>
      <c r="V7094" s="1" t="s">
        <v>13607</v>
      </c>
      <c r="AR7094" s="1" t="str">
        <f t="shared" si="448"/>
        <v>| [ㄐㄧㄠ](ㄐㄧㄠ.md) | [澆](澆.md) |  | jiāo | [動]
液體由上往下淋灌。如：「澆水」、「澆油」。唐．李賀〈浩歌〉：「買絲繡作平原君，有酒惟澆趙州土。」
[形]
輕浮的、淺薄的。唐．李白〈古風〉詩五九首之二五：「世道日交喪，澆風散淳源。」 |</v>
      </c>
    </row>
    <row r="7095" spans="1:44" hidden="1">
      <c r="A7095" s="1" t="s">
        <v>13608</v>
      </c>
      <c r="C7095" s="1">
        <v>1</v>
      </c>
      <c r="D7095" s="1" t="str">
        <f>"05645"</f>
        <v>05645</v>
      </c>
      <c r="E7095" s="1" t="s">
        <v>68</v>
      </c>
      <c r="F7095" s="1">
        <v>15</v>
      </c>
      <c r="G7095" s="1">
        <v>11</v>
      </c>
      <c r="H7095" s="1">
        <v>0</v>
      </c>
      <c r="I7095" s="1" t="s">
        <v>13546</v>
      </c>
      <c r="K7095" s="1" t="str">
        <f t="shared" si="449"/>
        <v>ㄐ</v>
      </c>
      <c r="L7095" s="1" t="str">
        <f t="shared" si="450"/>
        <v>ㄧ</v>
      </c>
      <c r="M7095" s="1" t="str">
        <f t="shared" si="451"/>
        <v>ㄠ</v>
      </c>
      <c r="P7095" s="1" t="s">
        <v>20</v>
      </c>
      <c r="R7095" s="1" t="s">
        <v>13547</v>
      </c>
      <c r="V7095" s="1" t="s">
        <v>13609</v>
      </c>
      <c r="AR7095" s="1" t="str">
        <f t="shared" si="448"/>
        <v>| [ㄐㄧㄠ](ㄐㄧㄠ.md) | [膠](膠.md) |  | jiāo | [名]
1.可用以黏合器物的稠狀液體。多由植物分泌或動物皮、角熬製而成，也有經由人工合成的。某些可供食用。如：「鹿膠」、「龜膠」、「果膠」、「桃膠」、「杏膠」、「髮膠」、「萬能膠」。
2.橡膠或塑膠的簡稱。
3.姓。如商朝有膠鬲。
[動]
黏合。如：「膠合」。《史記．卷八一．廉頗藺相如傳》：「王以名使括，若膠柱而鼓瑟耳。」
[形]
1.有黏性的。如：「膠布」、「膠紙」、「膠水」。
2.牢固。《詩經．小雅．隰桑》：「既見君子，德音孔膠。」《墨子．小取》：「所謂內膠外閉，與心毋空乎？內膠而不解也，此乃是而不然者也。」 |</v>
      </c>
    </row>
    <row r="7096" spans="1:44" hidden="1">
      <c r="A7096" s="1" t="s">
        <v>13610</v>
      </c>
      <c r="C7096" s="1">
        <v>1</v>
      </c>
      <c r="D7096" s="1" t="str">
        <f>"05646"</f>
        <v>05646</v>
      </c>
      <c r="E7096" s="1" t="s">
        <v>234</v>
      </c>
      <c r="F7096" s="1">
        <v>16</v>
      </c>
      <c r="G7096" s="1">
        <v>13</v>
      </c>
      <c r="H7096" s="1">
        <v>2</v>
      </c>
      <c r="I7096" s="1" t="s">
        <v>13546</v>
      </c>
      <c r="K7096" s="1" t="str">
        <f t="shared" si="449"/>
        <v>ㄐ</v>
      </c>
      <c r="L7096" s="1" t="str">
        <f t="shared" si="450"/>
        <v>ㄧ</v>
      </c>
      <c r="M7096" s="1" t="str">
        <f t="shared" si="451"/>
        <v>ㄠ</v>
      </c>
      <c r="P7096" s="1" t="s">
        <v>20</v>
      </c>
      <c r="R7096" s="1" t="s">
        <v>13547</v>
      </c>
      <c r="V7096" s="1" t="s">
        <v>13611</v>
      </c>
      <c r="W7096" s="1" t="s">
        <v>13612</v>
      </c>
      <c r="AR7096" s="1" t="str">
        <f t="shared" si="448"/>
        <v>| [ㄐㄧㄠ](ㄐㄧㄠ.md) | [徼](徼.md) |  | jiāo | [動]
抄襲、竊取。《論語．陽貨》：「惡徼以為智者，惡不孫以為勇者。」 |</v>
      </c>
    </row>
    <row r="7097" spans="1:44" hidden="1">
      <c r="A7097" s="1" t="s">
        <v>13613</v>
      </c>
      <c r="C7097" s="1">
        <v>1</v>
      </c>
      <c r="D7097" s="1" t="str">
        <f>"05647"</f>
        <v>05647</v>
      </c>
      <c r="E7097" s="1" t="s">
        <v>28</v>
      </c>
      <c r="F7097" s="1">
        <v>20</v>
      </c>
      <c r="G7097" s="1">
        <v>17</v>
      </c>
      <c r="H7097" s="1">
        <v>2</v>
      </c>
      <c r="I7097" s="1" t="s">
        <v>13614</v>
      </c>
      <c r="K7097" s="1" t="str">
        <f t="shared" si="449"/>
        <v>ㄐ</v>
      </c>
      <c r="L7097" s="1" t="str">
        <f t="shared" si="450"/>
        <v>ㄧ</v>
      </c>
      <c r="M7097" s="1" t="str">
        <f t="shared" si="451"/>
        <v>ㄠ</v>
      </c>
      <c r="P7097" s="1" t="s">
        <v>20</v>
      </c>
      <c r="R7097" s="1" t="s">
        <v>13615</v>
      </c>
      <c r="V7097" s="1" t="s">
        <v>13616</v>
      </c>
      <c r="W7097" s="1" t="s">
        <v>13617</v>
      </c>
      <c r="AR7097" s="1" t="str">
        <f t="shared" si="448"/>
        <v>| [ㄐㄧㄠˊ](ㄐㄧㄠˊ.md) | [嚼](嚼.md) |  | jiáo | [動]
1.(一)1.之語音。
2.絮絮不休的說話，有厭惡的意思。如：「整晚盡聽他一個人窮嚼，真無聊！」 |</v>
      </c>
    </row>
    <row r="7098" spans="1:44" hidden="1">
      <c r="A7098" s="1" t="s">
        <v>9150</v>
      </c>
      <c r="C7098" s="1">
        <v>1</v>
      </c>
      <c r="D7098" s="1" t="str">
        <f>"05648"</f>
        <v>05648</v>
      </c>
      <c r="E7098" s="1" t="s">
        <v>1117</v>
      </c>
      <c r="F7098" s="1">
        <v>7</v>
      </c>
      <c r="G7098" s="1">
        <v>0</v>
      </c>
      <c r="H7098" s="1">
        <v>1</v>
      </c>
      <c r="I7098" s="1" t="s">
        <v>13618</v>
      </c>
      <c r="K7098" s="1" t="str">
        <f t="shared" si="449"/>
        <v>ㄐ</v>
      </c>
      <c r="L7098" s="1" t="str">
        <f t="shared" si="450"/>
        <v>ㄧ</v>
      </c>
      <c r="M7098" s="1" t="str">
        <f t="shared" si="451"/>
        <v>ㄠ</v>
      </c>
      <c r="P7098" s="1" t="s">
        <v>20</v>
      </c>
      <c r="R7098" s="1" t="s">
        <v>13619</v>
      </c>
      <c r="V7098" s="1" t="s">
        <v>13620</v>
      </c>
      <c r="W7098" s="1" t="s">
        <v>13621</v>
      </c>
      <c r="AR7098" s="1" t="str">
        <f t="shared" si="448"/>
        <v>| [ㄐㄧㄠˇ](ㄐㄧㄠˇ.md) | [角](角.md) |  | jiǎo | [名]
1.獸類頭上或鼻前長出的硬質突狀物。如：「牛角」、「鹿角」。《易經．大壯卦．九三》：「羝羊觸藩，羸其角。」
2.幾何學上稱兩直線相交所夾成的空間。如：「直角」、「鈍角」、「對頂角」。
3.地理學上指陸地向海中突出的部分。如：「岬角」、「鼻頭角」、「好望角」。
4.量詞。計算錢幣的單位。十角等於一元。
5.角落，物體兩個邊沿相接的地方。如：「牆角」、「桌角」、「屋角」、「東北角」、「西南角」。
6.樂器名。初以動物的角製成，後改用竹、木、銅等材料，有曲形、竹筒等形狀，多用於軍隊中。唐．韋莊〈章臺夜思〉詩：「孤燈聞楚角，殘月下章臺。」
7.二一四部首之一。
[動]
競爭、較量。如：「角智」、「角勝」、「口角」。《聊齋志異．卷一．王成》：「每值上元，輒放民間把鶉者入邸相角。」 |</v>
      </c>
    </row>
    <row r="7099" spans="1:44" hidden="1">
      <c r="A7099" s="1" t="s">
        <v>13622</v>
      </c>
      <c r="C7099" s="1">
        <v>1</v>
      </c>
      <c r="D7099" s="1" t="str">
        <f>"05649"</f>
        <v>05649</v>
      </c>
      <c r="E7099" s="1" t="s">
        <v>114</v>
      </c>
      <c r="F7099" s="1">
        <v>8</v>
      </c>
      <c r="G7099" s="1">
        <v>6</v>
      </c>
      <c r="H7099" s="1">
        <v>0</v>
      </c>
      <c r="I7099" s="1" t="s">
        <v>13618</v>
      </c>
      <c r="K7099" s="1" t="str">
        <f t="shared" si="449"/>
        <v>ㄐ</v>
      </c>
      <c r="L7099" s="1" t="str">
        <f t="shared" si="450"/>
        <v>ㄧ</v>
      </c>
      <c r="M7099" s="1" t="str">
        <f t="shared" si="451"/>
        <v>ㄠ</v>
      </c>
      <c r="P7099" s="1" t="s">
        <v>20</v>
      </c>
      <c r="R7099" s="1" t="s">
        <v>13619</v>
      </c>
      <c r="V7099" s="1" t="s">
        <v>13623</v>
      </c>
      <c r="AR7099" s="1" t="str">
        <f t="shared" si="448"/>
        <v>| [ㄐㄧㄠˇ](ㄐㄧㄠˇ.md) | [佼](佼.md) |  | jiǎo | [形]
美好。通「姣」。《詩經．陳風．月出》：「佼人僚兮，舒窈糾兮。」漢．王充《論衡．骨相》：「陳平貧而飲食不足，貌體佼好。」
[名]
姓。如漢代有佼疆。 |</v>
      </c>
    </row>
    <row r="7100" spans="1:44" hidden="1">
      <c r="A7100" s="1" t="s">
        <v>13624</v>
      </c>
      <c r="C7100" s="1">
        <v>1</v>
      </c>
      <c r="D7100" s="1" t="str">
        <f>"05650"</f>
        <v>05650</v>
      </c>
      <c r="E7100" s="1" t="s">
        <v>198</v>
      </c>
      <c r="F7100" s="1">
        <v>9</v>
      </c>
      <c r="G7100" s="1">
        <v>6</v>
      </c>
      <c r="H7100" s="1">
        <v>0</v>
      </c>
      <c r="I7100" s="1" t="s">
        <v>13618</v>
      </c>
      <c r="K7100" s="1" t="str">
        <f t="shared" si="449"/>
        <v>ㄐ</v>
      </c>
      <c r="L7100" s="1" t="str">
        <f t="shared" si="450"/>
        <v>ㄧ</v>
      </c>
      <c r="M7100" s="1" t="str">
        <f t="shared" si="451"/>
        <v>ㄠ</v>
      </c>
      <c r="P7100" s="1" t="s">
        <v>20</v>
      </c>
      <c r="R7100" s="1" t="s">
        <v>13619</v>
      </c>
      <c r="V7100" s="1" t="s">
        <v>13625</v>
      </c>
      <c r="AR7100" s="1" t="str">
        <f t="shared" si="448"/>
        <v>| [ㄐㄧㄠˇ](ㄐㄧㄠˇ.md) | [狡](狡.md) |  | jiǎo | [形]
1.奸詐。如：「狡獪」、「狡猾」。《金史．卷一六．宣宗本紀下》：「龐氏陰狡機慧，常以其子守純年長不得立，心鞅鞅。」清．洪昇《長生殿》第一〇齣：「見了這野心雜種牧羊的奴，料蜂目豺聲定是狡徒。」
2.殘暴、凶猛。《墨子．節用中》：「古者聖人為猛禽狡獸，暴人害民，於是教民以兵行。」《淮南子．覽冥》：「淫水涸，冀州平，狡蟲死，顓民生。」
3.貌美而無實才實德。如：「狡婦」。《詩經．鄭風．山有扶蘇》：「不見子充，乃見狡童。」
4.急速、急促。《晏子春秋．內篇．問下二十四》：「莊敬而不狡，和柔而不銓。」 |</v>
      </c>
    </row>
    <row r="7101" spans="1:44" hidden="1">
      <c r="A7101" s="1" t="s">
        <v>13554</v>
      </c>
      <c r="C7101" s="1">
        <v>1</v>
      </c>
      <c r="D7101" s="1" t="str">
        <f>"05651"</f>
        <v>05651</v>
      </c>
      <c r="E7101" s="1" t="s">
        <v>534</v>
      </c>
      <c r="F7101" s="1">
        <v>9</v>
      </c>
      <c r="G7101" s="1">
        <v>6</v>
      </c>
      <c r="H7101" s="1">
        <v>1</v>
      </c>
      <c r="I7101" s="1" t="s">
        <v>13618</v>
      </c>
      <c r="K7101" s="1" t="str">
        <f t="shared" si="449"/>
        <v>ㄐ</v>
      </c>
      <c r="L7101" s="1" t="str">
        <f t="shared" si="450"/>
        <v>ㄧ</v>
      </c>
      <c r="M7101" s="1" t="str">
        <f t="shared" si="451"/>
        <v>ㄠ</v>
      </c>
      <c r="P7101" s="1" t="s">
        <v>20</v>
      </c>
      <c r="R7101" s="1" t="s">
        <v>13619</v>
      </c>
      <c r="V7101" s="1" t="s">
        <v>13626</v>
      </c>
      <c r="W7101" s="1" t="s">
        <v>13627</v>
      </c>
      <c r="AR7101" s="1" t="str">
        <f t="shared" si="448"/>
        <v>| [ㄐㄧㄠˇ](ㄐㄧㄠˇ.md) | [姣](姣.md) |  | jiǎo | [形]
美好、美貌。《文選．宋玉．高唐賦》：「晢兮若姣姬揚袂，鄣日而望所思。」 |</v>
      </c>
    </row>
    <row r="7102" spans="1:44" hidden="1">
      <c r="A7102" s="1" t="s">
        <v>13628</v>
      </c>
      <c r="C7102" s="1">
        <v>1</v>
      </c>
      <c r="D7102" s="1" t="str">
        <f>"05652"</f>
        <v>05652</v>
      </c>
      <c r="E7102" s="1" t="s">
        <v>205</v>
      </c>
      <c r="F7102" s="1">
        <v>11</v>
      </c>
      <c r="G7102" s="1">
        <v>6</v>
      </c>
      <c r="H7102" s="1">
        <v>0</v>
      </c>
      <c r="I7102" s="1" t="s">
        <v>13618</v>
      </c>
      <c r="K7102" s="1" t="str">
        <f t="shared" si="449"/>
        <v>ㄐ</v>
      </c>
      <c r="L7102" s="1" t="str">
        <f t="shared" si="450"/>
        <v>ㄧ</v>
      </c>
      <c r="M7102" s="1" t="str">
        <f t="shared" si="451"/>
        <v>ㄠ</v>
      </c>
      <c r="P7102" s="1" t="s">
        <v>20</v>
      </c>
      <c r="R7102" s="1" t="s">
        <v>13619</v>
      </c>
      <c r="V7102" s="1" t="s">
        <v>13629</v>
      </c>
      <c r="AR7102" s="1" t="str">
        <f t="shared" si="448"/>
        <v>| [ㄐㄧㄠˇ](ㄐㄧㄠˇ.md) | [皎](皎.md) |  | jiǎo | [形]
1.潔白明亮。如：「皎潔」。宋．周邦彥〈蝶戀花．月皎驚烏〉詞：「月皎驚烏栖不定，更漏將殘，轣轆牽金井。」《西遊記》第四八回：「眼如晚出明星皎，牙似重排鋸齒分。」
2.清楚、明白。漢．王逸〈離騷章句序〉：「其詞溫而雅，其義皎而朗。」
[名]
姓。如五代時南漢有皎公羨。 |</v>
      </c>
    </row>
    <row r="7103" spans="1:44" hidden="1">
      <c r="A7103" s="1" t="s">
        <v>13630</v>
      </c>
      <c r="C7103" s="1">
        <v>1</v>
      </c>
      <c r="D7103" s="1" t="str">
        <f>"05653"</f>
        <v>05653</v>
      </c>
      <c r="E7103" s="1" t="s">
        <v>49</v>
      </c>
      <c r="F7103" s="1">
        <v>12</v>
      </c>
      <c r="G7103" s="1">
        <v>6</v>
      </c>
      <c r="H7103" s="1">
        <v>0</v>
      </c>
      <c r="I7103" s="1" t="s">
        <v>13618</v>
      </c>
      <c r="K7103" s="1" t="str">
        <f t="shared" si="449"/>
        <v>ㄐ</v>
      </c>
      <c r="L7103" s="1" t="str">
        <f t="shared" si="450"/>
        <v>ㄧ</v>
      </c>
      <c r="M7103" s="1" t="str">
        <f t="shared" si="451"/>
        <v>ㄠ</v>
      </c>
      <c r="P7103" s="1" t="s">
        <v>20</v>
      </c>
      <c r="R7103" s="1" t="s">
        <v>13619</v>
      </c>
      <c r="V7103" s="1" t="s">
        <v>13631</v>
      </c>
      <c r="AR7103" s="1" t="str">
        <f t="shared" si="448"/>
        <v>| [ㄐㄧㄠˇ](ㄐㄧㄠˇ.md) | [筊](筊.md) |  | jiǎo | [名]
用竹皮編成的繩索。《說文解字．竹部》：「筊，竹索也。」 |</v>
      </c>
    </row>
    <row r="7104" spans="1:44" hidden="1">
      <c r="A7104" s="1" t="s">
        <v>13632</v>
      </c>
      <c r="C7104" s="1">
        <v>1</v>
      </c>
      <c r="D7104" s="1" t="str">
        <f>"05654"</f>
        <v>05654</v>
      </c>
      <c r="E7104" s="1" t="s">
        <v>725</v>
      </c>
      <c r="F7104" s="1">
        <v>12</v>
      </c>
      <c r="G7104" s="1">
        <v>6</v>
      </c>
      <c r="H7104" s="1">
        <v>0</v>
      </c>
      <c r="I7104" s="1" t="s">
        <v>13618</v>
      </c>
      <c r="K7104" s="1" t="str">
        <f t="shared" si="449"/>
        <v>ㄐ</v>
      </c>
      <c r="L7104" s="1" t="str">
        <f t="shared" si="450"/>
        <v>ㄧ</v>
      </c>
      <c r="M7104" s="1" t="str">
        <f t="shared" si="451"/>
        <v>ㄠ</v>
      </c>
      <c r="P7104" s="1" t="s">
        <v>20</v>
      </c>
      <c r="R7104" s="1" t="s">
        <v>13619</v>
      </c>
      <c r="V7104" s="1" t="s">
        <v>13633</v>
      </c>
      <c r="AR7104" s="1" t="str">
        <f t="shared" si="448"/>
        <v>| [ㄐㄧㄠˇ](ㄐㄧㄠˇ.md) | [絞](絞.md) |  | jiǎo | [名]
用繩索將人犯吊死或勒死的刑罰。《資治通鑑．卷一六九．陳紀三．文帝天嘉四年》：「五曰死刑，磬、絞、斬、梟、裂。」
[動]
1.將兩股或兩種以上的事物扭轉糾結在一起。如：「絞麻繩」、「絞鐵絲」。
2.扭擰、擠壓。如：「絞毛巾」、「絞盡腦汁」。《抱朴子．內篇．金丹》：「絞楮木赤實，取汁和而服之。」
[形]
急切、偏激。《論語．陽貨》：「好直不好學，其蔽也絞。」 |</v>
      </c>
    </row>
    <row r="7105" spans="1:44" hidden="1">
      <c r="A7105" s="1" t="s">
        <v>13634</v>
      </c>
      <c r="C7105" s="1">
        <v>1</v>
      </c>
      <c r="D7105" s="1" t="str">
        <f>"05655"</f>
        <v>05655</v>
      </c>
      <c r="E7105" s="1" t="s">
        <v>71</v>
      </c>
      <c r="F7105" s="1">
        <v>13</v>
      </c>
      <c r="G7105" s="1">
        <v>6</v>
      </c>
      <c r="H7105" s="1">
        <v>2</v>
      </c>
      <c r="I7105" s="1" t="s">
        <v>13618</v>
      </c>
      <c r="K7105" s="1" t="str">
        <f t="shared" si="449"/>
        <v>ㄐ</v>
      </c>
      <c r="L7105" s="1" t="str">
        <f t="shared" si="450"/>
        <v>ㄧ</v>
      </c>
      <c r="M7105" s="1" t="str">
        <f t="shared" si="451"/>
        <v>ㄠ</v>
      </c>
      <c r="P7105" s="1" t="s">
        <v>110</v>
      </c>
      <c r="R7105" s="1" t="s">
        <v>13619</v>
      </c>
      <c r="V7105" s="1" t="s">
        <v>111</v>
      </c>
      <c r="W7105" s="1" t="s">
        <v>13635</v>
      </c>
      <c r="AR7105" s="1" t="str">
        <f t="shared" si="448"/>
        <v>| [ㄐㄧㄠˇ](ㄐㄧㄠˇ.md) | [較](較.md) |  | jiǎo | (一)之又音。 |</v>
      </c>
    </row>
    <row r="7106" spans="1:44" hidden="1">
      <c r="A7106" s="1" t="s">
        <v>13636</v>
      </c>
      <c r="C7106" s="1">
        <v>1</v>
      </c>
      <c r="D7106" s="1" t="str">
        <f>"05656"</f>
        <v>05656</v>
      </c>
      <c r="E7106" s="1" t="s">
        <v>55</v>
      </c>
      <c r="F7106" s="1">
        <v>14</v>
      </c>
      <c r="G7106" s="1">
        <v>6</v>
      </c>
      <c r="H7106" s="1">
        <v>0</v>
      </c>
      <c r="I7106" s="1" t="s">
        <v>13618</v>
      </c>
      <c r="K7106" s="1" t="str">
        <f t="shared" si="449"/>
        <v>ㄐ</v>
      </c>
      <c r="L7106" s="1" t="str">
        <f t="shared" si="450"/>
        <v>ㄧ</v>
      </c>
      <c r="M7106" s="1" t="str">
        <f t="shared" si="451"/>
        <v>ㄠ</v>
      </c>
      <c r="P7106" s="1" t="s">
        <v>20</v>
      </c>
      <c r="R7106" s="1" t="s">
        <v>13619</v>
      </c>
      <c r="V7106" s="1" t="s">
        <v>13637</v>
      </c>
      <c r="AR7106" s="1" t="str">
        <f t="shared" si="448"/>
        <v>| [ㄐㄧㄠˇ](ㄐㄧㄠˇ.md) | [鉸](鉸.md) |  | jiǎo | [名]
1.剪刀。明．張自烈《正字通．金部》：「鉸，即今婦功縫人所用者，俗呼翦刀。」
2.工業上一種用鉸刀切削、修孔的精細加工方法。
[動]
用剪刀剪東西。元．白樸〈陽春曲．百忙裡鉸甚鞋兒樣〉曲：「百忙裡鉸甚鞋兒樣。」《紅樓夢》第四六回：「一面說著，一面左手打開頭髮，右手便鉸。」 |</v>
      </c>
    </row>
    <row r="7107" spans="1:44" hidden="1">
      <c r="A7107" s="1" t="s">
        <v>13638</v>
      </c>
      <c r="C7107" s="1">
        <v>1</v>
      </c>
      <c r="D7107" s="1" t="str">
        <f>"05657"</f>
        <v>05657</v>
      </c>
      <c r="E7107" s="1" t="s">
        <v>193</v>
      </c>
      <c r="F7107" s="1">
        <v>14</v>
      </c>
      <c r="G7107" s="1">
        <v>6</v>
      </c>
      <c r="H7107" s="1">
        <v>0</v>
      </c>
      <c r="I7107" s="1" t="s">
        <v>13618</v>
      </c>
      <c r="K7107" s="1" t="str">
        <f t="shared" si="449"/>
        <v>ㄐ</v>
      </c>
      <c r="L7107" s="1" t="str">
        <f t="shared" si="450"/>
        <v>ㄧ</v>
      </c>
      <c r="M7107" s="1" t="str">
        <f t="shared" si="451"/>
        <v>ㄠ</v>
      </c>
      <c r="P7107" s="1" t="s">
        <v>20</v>
      </c>
      <c r="R7107" s="1" t="s">
        <v>13619</v>
      </c>
      <c r="V7107" s="1" t="s">
        <v>13639</v>
      </c>
      <c r="AR7107" s="1" t="str">
        <f t="shared" ref="AR7107:AR7170" si="452">"| ["&amp;I7107&amp;"]("&amp;I7107&amp;".md) | ["&amp;A7107&amp;"]("&amp;A7107&amp;".md) | "&amp;" | "&amp;R7107&amp;" | "&amp;V7107&amp;" |"</f>
        <v>| [ㄐㄧㄠˇ](ㄐㄧㄠˇ.md) | [餃](餃.md) |  | jiǎo | [名]
用薄麵皮包餡蒸煮而成的食品。如：「水餃」、「蒸餃」。 |</v>
      </c>
    </row>
    <row r="7108" spans="1:44" hidden="1">
      <c r="A7108" s="1" t="s">
        <v>13640</v>
      </c>
      <c r="C7108" s="1">
        <v>1</v>
      </c>
      <c r="D7108" s="1" t="str">
        <f>"05658"</f>
        <v>05658</v>
      </c>
      <c r="E7108" s="1" t="s">
        <v>129</v>
      </c>
      <c r="F7108" s="1">
        <v>12</v>
      </c>
      <c r="G7108" s="1">
        <v>9</v>
      </c>
      <c r="H7108" s="1">
        <v>0</v>
      </c>
      <c r="I7108" s="1" t="s">
        <v>13618</v>
      </c>
      <c r="K7108" s="1" t="str">
        <f t="shared" ref="K7108:K7171" si="453">LEFT(I7108, 1)</f>
        <v>ㄐ</v>
      </c>
      <c r="L7108" s="1" t="str">
        <f t="shared" ref="L7108:L7171" si="454">MID(I7108, 2, 1)</f>
        <v>ㄧ</v>
      </c>
      <c r="M7108" s="1" t="str">
        <f t="shared" ref="M7108:M7171" si="455">MID(I7108, 3, 1)</f>
        <v>ㄠ</v>
      </c>
      <c r="P7108" s="1" t="s">
        <v>20</v>
      </c>
      <c r="R7108" s="1" t="s">
        <v>13619</v>
      </c>
      <c r="V7108" s="1" t="s">
        <v>13641</v>
      </c>
      <c r="AR7108" s="1" t="str">
        <f t="shared" si="452"/>
        <v>| [ㄐㄧㄠˇ](ㄐㄧㄠˇ.md) | [湫](湫.md) |  | jiǎo | 參見「湫隘」條。 |</v>
      </c>
    </row>
    <row r="7109" spans="1:44" hidden="1">
      <c r="A7109" s="1" t="s">
        <v>13642</v>
      </c>
      <c r="C7109" s="1">
        <v>1</v>
      </c>
      <c r="D7109" s="1" t="str">
        <f>"05659"</f>
        <v>05659</v>
      </c>
      <c r="E7109" s="1" t="s">
        <v>68</v>
      </c>
      <c r="F7109" s="1">
        <v>13</v>
      </c>
      <c r="G7109" s="1">
        <v>9</v>
      </c>
      <c r="H7109" s="1">
        <v>1</v>
      </c>
      <c r="I7109" s="1" t="s">
        <v>13618</v>
      </c>
      <c r="K7109" s="1" t="str">
        <f t="shared" si="453"/>
        <v>ㄐ</v>
      </c>
      <c r="L7109" s="1" t="str">
        <f t="shared" si="454"/>
        <v>ㄧ</v>
      </c>
      <c r="M7109" s="1" t="str">
        <f t="shared" si="455"/>
        <v>ㄠ</v>
      </c>
      <c r="P7109" s="1" t="s">
        <v>388</v>
      </c>
      <c r="R7109" s="1" t="s">
        <v>13619</v>
      </c>
      <c r="V7109" s="1" t="s">
        <v>13643</v>
      </c>
      <c r="W7109" s="1" t="s">
        <v>13644</v>
      </c>
      <c r="AR7109" s="1" t="str">
        <f t="shared" si="452"/>
        <v>| [ㄐㄧㄠˇ](ㄐㄧㄠˇ.md) | [腳](腳.md) |  | jiǎo | [名]
1.人或動物的腿，支撐身體接觸地面的部分。如：「赤腳」、「跺腳」、「手腳靈活」。
2.物體的基部、下端。如：「牆腳」、「桌腳」、「山腳」。
3.參見「腳色」、「腳本」等條。
4.量詞。計算用腳踢、踹、踩等動作的單位。如：「連踢三腳」、「踹了兩腳」、「踩了一腳」。 |</v>
      </c>
    </row>
    <row r="7110" spans="1:44" hidden="1">
      <c r="A7110" s="1" t="s">
        <v>13645</v>
      </c>
      <c r="C7110" s="1">
        <v>1</v>
      </c>
      <c r="D7110" s="1" t="str">
        <f>"05660"</f>
        <v>05660</v>
      </c>
      <c r="E7110" s="1" t="s">
        <v>185</v>
      </c>
      <c r="F7110" s="1">
        <v>13</v>
      </c>
      <c r="G7110" s="1">
        <v>11</v>
      </c>
      <c r="H7110" s="1">
        <v>0</v>
      </c>
      <c r="I7110" s="1" t="s">
        <v>13618</v>
      </c>
      <c r="K7110" s="1" t="str">
        <f t="shared" si="453"/>
        <v>ㄐ</v>
      </c>
      <c r="L7110" s="1" t="str">
        <f t="shared" si="454"/>
        <v>ㄧ</v>
      </c>
      <c r="M7110" s="1" t="str">
        <f t="shared" si="455"/>
        <v>ㄠ</v>
      </c>
      <c r="P7110" s="1" t="s">
        <v>20</v>
      </c>
      <c r="R7110" s="1" t="s">
        <v>13619</v>
      </c>
      <c r="V7110" s="1" t="s">
        <v>13646</v>
      </c>
      <c r="AR7110" s="1" t="str">
        <f t="shared" si="452"/>
        <v>| [ㄐㄧㄠˇ](ㄐㄧㄠˇ.md) | [剿](剿.md) |  | jiǎo | [動]
滅絕、消滅。如：「剿匪」、「圍剿」、「清剿」。 |</v>
      </c>
    </row>
    <row r="7111" spans="1:44" hidden="1">
      <c r="A7111" s="1" t="s">
        <v>13647</v>
      </c>
      <c r="C7111" s="1">
        <v>1</v>
      </c>
      <c r="D7111" s="1" t="str">
        <f>"05661"</f>
        <v>05661</v>
      </c>
      <c r="E7111" s="1" t="s">
        <v>245</v>
      </c>
      <c r="F7111" s="1">
        <v>13</v>
      </c>
      <c r="G7111" s="1">
        <v>11</v>
      </c>
      <c r="H7111" s="1">
        <v>1</v>
      </c>
      <c r="I7111" s="1" t="s">
        <v>13618</v>
      </c>
      <c r="K7111" s="1" t="str">
        <f t="shared" si="453"/>
        <v>ㄐ</v>
      </c>
      <c r="L7111" s="1" t="str">
        <f t="shared" si="454"/>
        <v>ㄧ</v>
      </c>
      <c r="M7111" s="1" t="str">
        <f t="shared" si="455"/>
        <v>ㄠ</v>
      </c>
      <c r="P7111" s="1" t="s">
        <v>20</v>
      </c>
      <c r="R7111" s="1" t="s">
        <v>13619</v>
      </c>
      <c r="V7111" s="1" t="s">
        <v>13648</v>
      </c>
      <c r="W7111" s="1" t="s">
        <v>13649</v>
      </c>
      <c r="AR7111" s="1" t="str">
        <f t="shared" si="452"/>
        <v>| [ㄐㄧㄠˇ](ㄐㄧㄠˇ.md) | [勦](勦.md) |  | jiǎo | [動]
1.勞動、勞累。《說文解字．力部》：「勦，勞也。」《左傳．宣公十二年》：「無及於鄭而勦民，焉用之？」《文選．張衡．東京賦》：「勦民以媮樂，忘民怨之為仇。」
2.討伐、滅絕。通「剿」。如：「勦平」、「勦滅」。《書經．甘誓》：「有扈氏威侮五行，怠棄三正，天用勦絕其命。」 |</v>
      </c>
    </row>
    <row r="7112" spans="1:44" hidden="1">
      <c r="A7112" s="1" t="s">
        <v>13650</v>
      </c>
      <c r="C7112" s="1">
        <v>1</v>
      </c>
      <c r="D7112" s="1" t="str">
        <f>"05662"</f>
        <v>05662</v>
      </c>
      <c r="E7112" s="1" t="s">
        <v>114</v>
      </c>
      <c r="F7112" s="1">
        <v>14</v>
      </c>
      <c r="G7112" s="1">
        <v>12</v>
      </c>
      <c r="H7112" s="1">
        <v>1</v>
      </c>
      <c r="I7112" s="1" t="s">
        <v>13618</v>
      </c>
      <c r="K7112" s="1" t="str">
        <f t="shared" si="453"/>
        <v>ㄐ</v>
      </c>
      <c r="L7112" s="1" t="str">
        <f t="shared" si="454"/>
        <v>ㄧ</v>
      </c>
      <c r="M7112" s="1" t="str">
        <f t="shared" si="455"/>
        <v>ㄠ</v>
      </c>
      <c r="P7112" s="1" t="s">
        <v>20</v>
      </c>
      <c r="R7112" s="1" t="s">
        <v>13619</v>
      </c>
      <c r="V7112" s="1" t="s">
        <v>13651</v>
      </c>
      <c r="W7112" s="1" t="s">
        <v>13652</v>
      </c>
      <c r="AR7112" s="1" t="str">
        <f t="shared" si="452"/>
        <v>| [ㄐㄧㄠˇ](ㄐㄧㄠˇ.md) | [僥](僥.md) |  | jiǎo | 參見「僥倖」、「僥競」等條。 |</v>
      </c>
    </row>
    <row r="7113" spans="1:44" hidden="1">
      <c r="A7113" s="1" t="s">
        <v>13653</v>
      </c>
      <c r="C7113" s="1">
        <v>1</v>
      </c>
      <c r="D7113" s="1" t="str">
        <f>"05663"</f>
        <v>05663</v>
      </c>
      <c r="E7113" s="1" t="s">
        <v>24</v>
      </c>
      <c r="F7113" s="1">
        <v>15</v>
      </c>
      <c r="G7113" s="1">
        <v>12</v>
      </c>
      <c r="H7113" s="1">
        <v>1</v>
      </c>
      <c r="I7113" s="1" t="s">
        <v>13618</v>
      </c>
      <c r="K7113" s="1" t="str">
        <f t="shared" si="453"/>
        <v>ㄐ</v>
      </c>
      <c r="L7113" s="1" t="str">
        <f t="shared" si="454"/>
        <v>ㄧ</v>
      </c>
      <c r="M7113" s="1" t="str">
        <f t="shared" si="455"/>
        <v>ㄠ</v>
      </c>
      <c r="P7113" s="1" t="s">
        <v>20</v>
      </c>
      <c r="R7113" s="1" t="s">
        <v>13619</v>
      </c>
      <c r="V7113" s="1" t="s">
        <v>13654</v>
      </c>
      <c r="W7113" s="1" t="s">
        <v>13655</v>
      </c>
      <c r="AR7113" s="1" t="str">
        <f t="shared" si="452"/>
        <v>| [ㄐㄧㄠˇ](ㄐㄧㄠˇ.md) | [撟](撟.md) |  | jiǎo | [動]
1.舉手。《說文解字．手部》：「撟，舉手也。」
2.高舉。《漢書．卷八七．揚雄傳上》：「仰撟首以高視兮，目冥眴而亡見。」
3.糾正、矯正。通「矯」。《漢書．卷十四．諸侯王表》：「而藩國大者夸州兼郡，連城數十，宮室百官同制京師，可謂撟枉過其正矣。」
4.假託、假造。如：「撟詔」、「撟令」。
[副]
剛強。《荀子．臣道》：「撟然剛折端志，而無傾側之心。」 |</v>
      </c>
    </row>
    <row r="7114" spans="1:44" hidden="1">
      <c r="A7114" s="1" t="s">
        <v>13656</v>
      </c>
      <c r="C7114" s="1">
        <v>1</v>
      </c>
      <c r="D7114" s="1" t="str">
        <f>"05664"</f>
        <v>05664</v>
      </c>
      <c r="E7114" s="1" t="s">
        <v>122</v>
      </c>
      <c r="F7114" s="1">
        <v>17</v>
      </c>
      <c r="G7114" s="1">
        <v>12</v>
      </c>
      <c r="H7114" s="1">
        <v>0</v>
      </c>
      <c r="I7114" s="1" t="s">
        <v>13618</v>
      </c>
      <c r="K7114" s="1" t="str">
        <f t="shared" si="453"/>
        <v>ㄐ</v>
      </c>
      <c r="L7114" s="1" t="str">
        <f t="shared" si="454"/>
        <v>ㄧ</v>
      </c>
      <c r="M7114" s="1" t="str">
        <f t="shared" si="455"/>
        <v>ㄠ</v>
      </c>
      <c r="P7114" s="1" t="s">
        <v>20</v>
      </c>
      <c r="R7114" s="1" t="s">
        <v>13619</v>
      </c>
      <c r="V7114" s="1" t="s">
        <v>13657</v>
      </c>
      <c r="AR7114" s="1" t="str">
        <f t="shared" si="452"/>
        <v>| [ㄐㄧㄠˇ](ㄐㄧㄠˇ.md) | [矯](矯.md) |  | jiǎo | [動]
1.把彎曲的物體弄成直的。《荀子．性惡》：「故枸木必將待檃栝烝矯然後直。」《漢書．卷六四．嚴安傳》：「今天下鍛甲摩劍，矯箭控弦。」
2.糾正、匡正。如：「痛矯前非」。《漢書．卷一〇．成帝紀》：「民彌惰怠，鄉本者少，趨末者眾，將何以矯之？」
3.高舉。通「撟」。《文選．陶淵明．歸去來辭》：「策扶老以流憩，時矯首而遐觀。」唐．王維〈山中與裴秀才迪書〉：「輕鯈出水，白鷗矯翼。」
4.詐稱、假託。如：「矯命」、「矯敕」。《史記．卷七．項羽本紀》：「矯陳王命，拜梁為楚王上柱國。」
5.違背、違逆。《韓非子．問辯》：「官府有法，民以私行矯之。」《淮南子．俶真》：「賢人之所以矯世俗者，聖人未嘗觀焉。」
[形]
強健。《禮記．中庸》：「君子和而不流，強哉矯。」
[名]
姓。如漢代有矯望。 |</v>
      </c>
    </row>
    <row r="7115" spans="1:44" hidden="1">
      <c r="A7115" s="1" t="s">
        <v>13658</v>
      </c>
      <c r="C7115" s="1">
        <v>1</v>
      </c>
      <c r="D7115" s="1" t="str">
        <f>"05665"</f>
        <v>05665</v>
      </c>
      <c r="E7115" s="1" t="s">
        <v>77</v>
      </c>
      <c r="F7115" s="1">
        <v>19</v>
      </c>
      <c r="G7115" s="1">
        <v>12</v>
      </c>
      <c r="H7115" s="1">
        <v>2</v>
      </c>
      <c r="I7115" s="1" t="s">
        <v>13618</v>
      </c>
      <c r="K7115" s="1" t="str">
        <f t="shared" si="453"/>
        <v>ㄐ</v>
      </c>
      <c r="L7115" s="1" t="str">
        <f t="shared" si="454"/>
        <v>ㄧ</v>
      </c>
      <c r="M7115" s="1" t="str">
        <f t="shared" si="455"/>
        <v>ㄠ</v>
      </c>
      <c r="P7115" s="1" t="s">
        <v>20</v>
      </c>
      <c r="R7115" s="1" t="s">
        <v>13619</v>
      </c>
      <c r="V7115" s="1" t="s">
        <v>13659</v>
      </c>
      <c r="W7115" s="1" t="s">
        <v>13660</v>
      </c>
      <c r="AR7115" s="1" t="str">
        <f t="shared" si="452"/>
        <v>| [ㄐㄧㄠˇ](ㄐㄧㄠˇ.md) | [蹻](蹻.md) |  | jiǎo | 參見「蹻蹻」、「蹻勇」等條。 |</v>
      </c>
    </row>
    <row r="7116" spans="1:44" hidden="1">
      <c r="A7116" s="1" t="s">
        <v>13661</v>
      </c>
      <c r="C7116" s="1">
        <v>1</v>
      </c>
      <c r="D7116" s="1" t="str">
        <f>"05666"</f>
        <v>05666</v>
      </c>
      <c r="E7116" s="1" t="s">
        <v>114</v>
      </c>
      <c r="F7116" s="1">
        <v>15</v>
      </c>
      <c r="G7116" s="1">
        <v>13</v>
      </c>
      <c r="H7116" s="1">
        <v>0</v>
      </c>
      <c r="I7116" s="1" t="s">
        <v>13618</v>
      </c>
      <c r="K7116" s="1" t="str">
        <f t="shared" si="453"/>
        <v>ㄐ</v>
      </c>
      <c r="L7116" s="1" t="str">
        <f t="shared" si="454"/>
        <v>ㄧ</v>
      </c>
      <c r="M7116" s="1" t="str">
        <f t="shared" si="455"/>
        <v>ㄠ</v>
      </c>
      <c r="P7116" s="1" t="s">
        <v>20</v>
      </c>
      <c r="R7116" s="1" t="s">
        <v>13619</v>
      </c>
      <c r="V7116" s="1" t="s">
        <v>13662</v>
      </c>
      <c r="AR7116" s="1" t="str">
        <f t="shared" si="452"/>
        <v>| [ㄐㄧㄠˇ](ㄐㄧㄠˇ.md) | [儌](儌.md) |  | jiǎo | 參見「儌倖」條。 |</v>
      </c>
    </row>
    <row r="7117" spans="1:44" hidden="1">
      <c r="A7117" s="1" t="s">
        <v>13610</v>
      </c>
      <c r="C7117" s="1">
        <v>1</v>
      </c>
      <c r="D7117" s="1" t="str">
        <f>"05667"</f>
        <v>05667</v>
      </c>
      <c r="E7117" s="1" t="s">
        <v>234</v>
      </c>
      <c r="F7117" s="1">
        <v>16</v>
      </c>
      <c r="G7117" s="1">
        <v>13</v>
      </c>
      <c r="H7117" s="1">
        <v>3</v>
      </c>
      <c r="I7117" s="1" t="s">
        <v>13618</v>
      </c>
      <c r="K7117" s="1" t="str">
        <f t="shared" si="453"/>
        <v>ㄐ</v>
      </c>
      <c r="L7117" s="1" t="str">
        <f t="shared" si="454"/>
        <v>ㄧ</v>
      </c>
      <c r="M7117" s="1" t="str">
        <f t="shared" si="455"/>
        <v>ㄠ</v>
      </c>
      <c r="P7117" s="1" t="s">
        <v>20</v>
      </c>
      <c r="R7117" s="1" t="s">
        <v>13619</v>
      </c>
      <c r="V7117" s="1" t="s">
        <v>13663</v>
      </c>
      <c r="W7117" s="1" t="s">
        <v>13664</v>
      </c>
      <c r="AR7117" s="1" t="str">
        <f t="shared" si="452"/>
        <v>| [ㄐㄧㄠˇ](ㄐㄧㄠˇ.md) | [徼](徼.md) |  | jiǎo | 參見「徼幸」條。 |</v>
      </c>
    </row>
    <row r="7118" spans="1:44" hidden="1">
      <c r="A7118" s="1" t="s">
        <v>13665</v>
      </c>
      <c r="C7118" s="1">
        <v>1</v>
      </c>
      <c r="D7118" s="1" t="str">
        <f>"05668"</f>
        <v>05668</v>
      </c>
      <c r="E7118" s="1" t="s">
        <v>205</v>
      </c>
      <c r="F7118" s="1">
        <v>18</v>
      </c>
      <c r="G7118" s="1">
        <v>13</v>
      </c>
      <c r="H7118" s="1">
        <v>0</v>
      </c>
      <c r="I7118" s="1" t="s">
        <v>13618</v>
      </c>
      <c r="K7118" s="1" t="str">
        <f t="shared" si="453"/>
        <v>ㄐ</v>
      </c>
      <c r="L7118" s="1" t="str">
        <f t="shared" si="454"/>
        <v>ㄧ</v>
      </c>
      <c r="M7118" s="1" t="str">
        <f t="shared" si="455"/>
        <v>ㄠ</v>
      </c>
      <c r="P7118" s="1" t="s">
        <v>20</v>
      </c>
      <c r="R7118" s="1" t="s">
        <v>13619</v>
      </c>
      <c r="V7118" s="1" t="s">
        <v>13666</v>
      </c>
      <c r="AR7118" s="1" t="str">
        <f t="shared" si="452"/>
        <v>| [ㄐㄧㄠˇ](ㄐㄧㄠˇ.md) | [皦](皦.md) |  | jiǎo | [形]
1.玉石潔白的樣子。《玉篇．白部》：「皦，珠玉白貌。」
2.潔白、明亮。《詩經．王風．大車》：「謂予不信，有如皦日。」
[名]
姓。如明代有皦生光。 |</v>
      </c>
    </row>
    <row r="7119" spans="1:44" hidden="1">
      <c r="A7119" s="1" t="s">
        <v>13667</v>
      </c>
      <c r="C7119" s="1">
        <v>1</v>
      </c>
      <c r="D7119" s="1" t="str">
        <f>"05669"</f>
        <v>05669</v>
      </c>
      <c r="E7119" s="1" t="s">
        <v>725</v>
      </c>
      <c r="F7119" s="1">
        <v>19</v>
      </c>
      <c r="G7119" s="1">
        <v>13</v>
      </c>
      <c r="H7119" s="1">
        <v>1</v>
      </c>
      <c r="I7119" s="1" t="s">
        <v>13618</v>
      </c>
      <c r="K7119" s="1" t="str">
        <f t="shared" si="453"/>
        <v>ㄐ</v>
      </c>
      <c r="L7119" s="1" t="str">
        <f t="shared" si="454"/>
        <v>ㄧ</v>
      </c>
      <c r="M7119" s="1" t="str">
        <f t="shared" si="455"/>
        <v>ㄠ</v>
      </c>
      <c r="P7119" s="1" t="s">
        <v>20</v>
      </c>
      <c r="R7119" s="1" t="s">
        <v>13619</v>
      </c>
      <c r="V7119" s="1" t="s">
        <v>13668</v>
      </c>
      <c r="W7119" s="1" t="s">
        <v>13669</v>
      </c>
      <c r="AR7119" s="1" t="str">
        <f t="shared" si="452"/>
        <v>| [ㄐㄧㄠˇ](ㄐㄧㄠˇ.md) | [繳](繳.md) |  | jiǎo | [動]
1.交納、交出。如：「繳費」、「繳庫」、「繳械」、「繳作業簿」。
2.纏繞。唐．徐光溥〈題黃居寀秋山圖〉詩：「娑蘿掩映迷仙洞，薜荔纍垂繳古松。」明．李時珍《本草綱目．卷三八．器部．繳腳布》：「繳腳布。時珍曰：『即裹腳布也，古名行縢。』」
3.攪動、攪拌。通「攪」。宋．蘇軾〈蠍虎〉詩：「闇中繳尾伺飛蟲，巧捷功夫在腰膂。」《水滸傳》第二回：「王進卻不打下來，將棒一掣，卻望後生懷裡直搠將來。只一繳，那後生的棒丟在一邊，撲地望後倒了。」 |</v>
      </c>
    </row>
    <row r="7120" spans="1:44" hidden="1">
      <c r="A7120" s="1" t="s">
        <v>9759</v>
      </c>
      <c r="C7120" s="1">
        <v>1</v>
      </c>
      <c r="D7120" s="1" t="str">
        <f>"05670"</f>
        <v>05670</v>
      </c>
      <c r="E7120" s="1" t="s">
        <v>24</v>
      </c>
      <c r="F7120" s="1">
        <v>23</v>
      </c>
      <c r="G7120" s="1">
        <v>20</v>
      </c>
      <c r="H7120" s="1">
        <v>1</v>
      </c>
      <c r="I7120" s="1" t="s">
        <v>13618</v>
      </c>
      <c r="K7120" s="1" t="str">
        <f t="shared" si="453"/>
        <v>ㄐ</v>
      </c>
      <c r="L7120" s="1" t="str">
        <f t="shared" si="454"/>
        <v>ㄧ</v>
      </c>
      <c r="M7120" s="1" t="str">
        <f t="shared" si="455"/>
        <v>ㄠ</v>
      </c>
      <c r="P7120" s="1" t="s">
        <v>20</v>
      </c>
      <c r="R7120" s="1" t="s">
        <v>13619</v>
      </c>
      <c r="V7120" s="1" t="s">
        <v>13670</v>
      </c>
      <c r="W7120" s="1" t="s">
        <v>13671</v>
      </c>
      <c r="AR7120" s="1" t="str">
        <f t="shared" si="452"/>
        <v>| [ㄐㄧㄠˇ](ㄐㄧㄠˇ.md) | [攪](攪.md) |  | jiǎo | [動]
1.擾亂。如：「打攪」、「胡攪蠻纏」。清．黃侃〈西子妝．汀草綠齊〉詞：「追歡宴，卻恨東風，攪起花一片。」
2.用手或器具調勻物品。如：「把各種飼料放在一起攪勻。」
3.攙雜、混合。如：「這是兩件事，別攪在一起。」 |</v>
      </c>
    </row>
    <row r="7121" spans="1:44" hidden="1">
      <c r="A7121" s="1" t="s">
        <v>13672</v>
      </c>
      <c r="C7121" s="1">
        <v>1</v>
      </c>
      <c r="D7121" s="1" t="str">
        <f>"05671"</f>
        <v>05671</v>
      </c>
      <c r="E7121" s="1" t="s">
        <v>28</v>
      </c>
      <c r="F7121" s="1">
        <v>5</v>
      </c>
      <c r="G7121" s="1">
        <v>2</v>
      </c>
      <c r="H7121" s="1">
        <v>0</v>
      </c>
      <c r="I7121" s="1" t="s">
        <v>13673</v>
      </c>
      <c r="K7121" s="1" t="str">
        <f t="shared" si="453"/>
        <v>ㄐ</v>
      </c>
      <c r="L7121" s="1" t="str">
        <f t="shared" si="454"/>
        <v>ㄧ</v>
      </c>
      <c r="M7121" s="1" t="str">
        <f t="shared" si="455"/>
        <v>ㄠ</v>
      </c>
      <c r="P7121" s="1" t="s">
        <v>20</v>
      </c>
      <c r="R7121" s="1" t="s">
        <v>13674</v>
      </c>
      <c r="V7121" s="1" t="s">
        <v>13675</v>
      </c>
      <c r="AR7121" s="1" t="str">
        <f t="shared" si="452"/>
        <v>| [ㄐㄧㄠˋ](ㄐㄧㄠˋ.md) | [叫](叫.md) |  | jiào | [動]_x000D_
1.呼喊。如：「吼叫」、「鬼叫」、「拍手叫好」、「大呼小叫」。《詩經．小雅．北山》：「或不知叫號，或慘慘劬勞。」_x000D_
2.昆蟲鳥獸發聲。如：「蟬叫」、「雞叫」、「鳥叫」、「貓叫」。_x000D_
3.稱做、稱為。如：「你叫什麼名字？」「杜鵑鳥也叫子規。」《警世通言．卷一八．老門生三世報恩》：「這等看將起來，那八十歲上還是他初束髮，剛頂冠，做新郎，應童子試的時候，叫不得老年。」_x000D_
4.呼喚、召喚相關人員前來。如：「叫車」、「老師叫你。」、「叫他明天來！」_x000D_
5.依據菜單指定菜肴。如：「叫菜」。_x000D_
6.使、讓、令。如：「他天天咬耳朵傳話，真叫人討厭！」_x000D_
[介]_x000D_
表示被動，相當於「被」。如：「他的文章叫人批評得體無完膚。」 |</v>
      </c>
    </row>
    <row r="7122" spans="1:44" hidden="1">
      <c r="A7122" s="1" t="s">
        <v>13676</v>
      </c>
      <c r="C7122" s="1">
        <v>1</v>
      </c>
      <c r="D7122" s="1" t="str">
        <f>"05672"</f>
        <v>05672</v>
      </c>
      <c r="E7122" s="1" t="s">
        <v>142</v>
      </c>
      <c r="F7122" s="1">
        <v>10</v>
      </c>
      <c r="G7122" s="1">
        <v>6</v>
      </c>
      <c r="H7122" s="1">
        <v>0</v>
      </c>
      <c r="I7122" s="1" t="s">
        <v>13673</v>
      </c>
      <c r="K7122" s="1" t="str">
        <f t="shared" si="453"/>
        <v>ㄐ</v>
      </c>
      <c r="L7122" s="1" t="str">
        <f t="shared" si="454"/>
        <v>ㄧ</v>
      </c>
      <c r="M7122" s="1" t="str">
        <f t="shared" si="455"/>
        <v>ㄠ</v>
      </c>
      <c r="P7122" s="1" t="s">
        <v>20</v>
      </c>
      <c r="R7122" s="1" t="s">
        <v>13674</v>
      </c>
      <c r="V7122" s="1" t="s">
        <v>13677</v>
      </c>
      <c r="AR7122" s="1" t="str">
        <f t="shared" si="452"/>
        <v>| [ㄐㄧㄠˋ](ㄐㄧㄠˋ.md) | [珓](珓.md) |  | jiào | [名]_x000D_
拜神祭祖時占卜吉凶的器具。如：「杯珓」、「聖珓」。《朱子語類．卷六五．易一．伏羲卦畫先天圖》：「伏羲當時畫卦，只如擲珓相似，無容心。《易》只是陰一陽一，其始一陰一陽而已。」 |</v>
      </c>
    </row>
    <row r="7123" spans="1:44" hidden="1">
      <c r="A7123" s="1" t="s">
        <v>13678</v>
      </c>
      <c r="C7123" s="1">
        <v>1</v>
      </c>
      <c r="D7123" s="1" t="str">
        <f>"05673"</f>
        <v>05673</v>
      </c>
      <c r="E7123" s="1" t="s">
        <v>139</v>
      </c>
      <c r="F7123" s="1">
        <v>10</v>
      </c>
      <c r="G7123" s="1">
        <v>6</v>
      </c>
      <c r="H7123" s="1">
        <v>2</v>
      </c>
      <c r="I7123" s="1" t="s">
        <v>13673</v>
      </c>
      <c r="K7123" s="1" t="str">
        <f t="shared" si="453"/>
        <v>ㄐ</v>
      </c>
      <c r="L7123" s="1" t="str">
        <f t="shared" si="454"/>
        <v>ㄧ</v>
      </c>
      <c r="M7123" s="1" t="str">
        <f t="shared" si="455"/>
        <v>ㄠ</v>
      </c>
      <c r="P7123" s="1" t="s">
        <v>20</v>
      </c>
      <c r="R7123" s="1" t="s">
        <v>13674</v>
      </c>
      <c r="V7123" s="1" t="s">
        <v>13679</v>
      </c>
      <c r="W7123" s="1" t="s">
        <v>13680</v>
      </c>
      <c r="AR7123" s="1" t="str">
        <f t="shared" si="452"/>
        <v>| [ㄐㄧㄠˋ](ㄐㄧㄠˋ.md) | [校](校.md) |  | jiào | [動]
1.古代的刑具。枷械的統稱。《說文解字．木部》：「校，木囚也。」《資治通鑑．卷二六九．後梁紀四．均王乾化三年》：「庚辰，晉王發幽州，劉仁恭父子皆荷校於露布之下。」
2.較量、計較。如：「校力」、「校量」。唐．韓愈〈和侯協律詠筍〉詩：「短長終不校，先後竟誰論。」
3.訂正、考訂。如：「校稿」、「校覈」。《國語．魯語下》：「昔正考父校商之名頌十二篇於周太師。」
4.考核、考究。《荀子．君道》：「知慮取舍，稽之以成，日月積久，校之以功。」
5.計算。《漢書．卷二四．食貨志上》：「京師之錢累百鉅萬，貫朽而不可校。」 |</v>
      </c>
    </row>
    <row r="7124" spans="1:44" hidden="1">
      <c r="A7124" s="1" t="s">
        <v>13634</v>
      </c>
      <c r="C7124" s="1">
        <v>1</v>
      </c>
      <c r="D7124" s="1" t="str">
        <f>"05674"</f>
        <v>05674</v>
      </c>
      <c r="E7124" s="1" t="s">
        <v>71</v>
      </c>
      <c r="F7124" s="1">
        <v>13</v>
      </c>
      <c r="G7124" s="1">
        <v>6</v>
      </c>
      <c r="H7124" s="1">
        <v>1</v>
      </c>
      <c r="I7124" s="1" t="s">
        <v>13673</v>
      </c>
      <c r="K7124" s="1" t="str">
        <f t="shared" si="453"/>
        <v>ㄐ</v>
      </c>
      <c r="L7124" s="1" t="str">
        <f t="shared" si="454"/>
        <v>ㄧ</v>
      </c>
      <c r="M7124" s="1" t="str">
        <f t="shared" si="455"/>
        <v>ㄠ</v>
      </c>
      <c r="P7124" s="1" t="s">
        <v>20</v>
      </c>
      <c r="R7124" s="1" t="s">
        <v>13674</v>
      </c>
      <c r="V7124" s="1" t="s">
        <v>13681</v>
      </c>
      <c r="W7124" s="1" t="s">
        <v>13682</v>
      </c>
      <c r="AR7124" s="1" t="str">
        <f t="shared" si="452"/>
        <v>| [ㄐㄧㄠˋ](ㄐㄧㄠˋ.md) | [較](較.md) |  | jiào | [動]
事物相比評。如：「較量」、「斤斤計較」、「長短相較」。
[副]
1.略、稍。如：「較高」、「較好」、「較多」。
2.顯明。《漢書．卷八五．谷永傳》：「元年正月，白氣較然起乎東方。」
[名]
1.概略、大概。宋．錢公輔〈義田記〉：「屏而家居俟代者與焉，仕而居官者罷其給，此其大較也。」
2.姓。如清代有較無恭。 |</v>
      </c>
    </row>
    <row r="7125" spans="1:44" hidden="1">
      <c r="A7125" s="1" t="s">
        <v>13569</v>
      </c>
      <c r="C7125" s="1">
        <v>1</v>
      </c>
      <c r="D7125" s="1" t="str">
        <f>"05675"</f>
        <v>05675</v>
      </c>
      <c r="E7125" s="1" t="s">
        <v>426</v>
      </c>
      <c r="F7125" s="1">
        <v>11</v>
      </c>
      <c r="G7125" s="1">
        <v>7</v>
      </c>
      <c r="H7125" s="1">
        <v>1</v>
      </c>
      <c r="I7125" s="1" t="s">
        <v>13673</v>
      </c>
      <c r="K7125" s="1" t="str">
        <f t="shared" si="453"/>
        <v>ㄐ</v>
      </c>
      <c r="L7125" s="1" t="str">
        <f t="shared" si="454"/>
        <v>ㄧ</v>
      </c>
      <c r="M7125" s="1" t="str">
        <f t="shared" si="455"/>
        <v>ㄠ</v>
      </c>
      <c r="P7125" s="1" t="s">
        <v>20</v>
      </c>
      <c r="R7125" s="1" t="s">
        <v>13674</v>
      </c>
      <c r="V7125" s="1" t="s">
        <v>13683</v>
      </c>
      <c r="W7125" s="1" t="s">
        <v>13684</v>
      </c>
      <c r="AR7125" s="1" t="str">
        <f t="shared" si="452"/>
        <v>| [ㄐㄧㄠˋ](ㄐㄧㄠˋ.md) | [教](教.md) |  | jiào | [動]
1.訓誨、誘導。如：「教導」、「教誨」。《孟子．離婁上》：「古者易子而教之。」
2.使、讓。唐．金昌緒〈春怨〉詩：「打起黃鶯兒，莫教枝上啼。」宋．周邦彥〈玉樓春．當時攜手〉詞：「帳裡不教春夢到。」
[名]
1.禮儀、規矩。《孟子．滕文公上》：「飽食暖衣，逸居而無教，則近於禽獸。」《禮記．王制》：「脩其教，不易其俗。」
2.宗教的簡稱。如：「佛教」、「基督教」。
3.姓。如明代有教輔直。 |</v>
      </c>
    </row>
    <row r="7126" spans="1:44" hidden="1">
      <c r="A7126" s="1" t="s">
        <v>13685</v>
      </c>
      <c r="C7126" s="1">
        <v>1</v>
      </c>
      <c r="D7126" s="1" t="str">
        <f>"05676"</f>
        <v>05676</v>
      </c>
      <c r="E7126" s="1" t="s">
        <v>1462</v>
      </c>
      <c r="F7126" s="1">
        <v>14</v>
      </c>
      <c r="G7126" s="1">
        <v>7</v>
      </c>
      <c r="H7126" s="1">
        <v>2</v>
      </c>
      <c r="I7126" s="1" t="s">
        <v>13673</v>
      </c>
      <c r="K7126" s="1" t="str">
        <f t="shared" si="453"/>
        <v>ㄐ</v>
      </c>
      <c r="L7126" s="1" t="str">
        <f t="shared" si="454"/>
        <v>ㄧ</v>
      </c>
      <c r="M7126" s="1" t="str">
        <f t="shared" si="455"/>
        <v>ㄠ</v>
      </c>
      <c r="P7126" s="1" t="s">
        <v>110</v>
      </c>
      <c r="R7126" s="1" t="s">
        <v>13674</v>
      </c>
      <c r="V7126" s="1" t="s">
        <v>111</v>
      </c>
      <c r="W7126" s="1" t="s">
        <v>13686</v>
      </c>
      <c r="AR7126" s="1" t="str">
        <f t="shared" si="452"/>
        <v>| [ㄐㄧㄠˋ](ㄐㄧㄠˋ.md) | [酵](酵.md) |  | jiào | (一)之又音。 |</v>
      </c>
    </row>
    <row r="7127" spans="1:44" hidden="1">
      <c r="A7127" s="1" t="s">
        <v>13687</v>
      </c>
      <c r="C7127" s="1">
        <v>1</v>
      </c>
      <c r="D7127" s="1" t="str">
        <f>"05677"</f>
        <v>05677</v>
      </c>
      <c r="E7127" s="1" t="s">
        <v>1274</v>
      </c>
      <c r="F7127" s="1">
        <v>12</v>
      </c>
      <c r="G7127" s="1">
        <v>7</v>
      </c>
      <c r="H7127" s="1">
        <v>0</v>
      </c>
      <c r="I7127" s="1" t="s">
        <v>13673</v>
      </c>
      <c r="K7127" s="1" t="str">
        <f t="shared" si="453"/>
        <v>ㄐ</v>
      </c>
      <c r="L7127" s="1" t="str">
        <f t="shared" si="454"/>
        <v>ㄧ</v>
      </c>
      <c r="M7127" s="1" t="str">
        <f t="shared" si="455"/>
        <v>ㄠ</v>
      </c>
      <c r="P7127" s="1" t="s">
        <v>20</v>
      </c>
      <c r="R7127" s="1" t="s">
        <v>13674</v>
      </c>
      <c r="V7127" s="1" t="s">
        <v>13688</v>
      </c>
      <c r="AR7127" s="1" t="str">
        <f t="shared" si="452"/>
        <v>| [ㄐㄧㄠˋ](ㄐㄧㄠˋ.md) | [窖](窖.md) |  | jiào | [名]
貯藏物品的地下室、地洞。如：「地窖」。《禮記．月令》：「穿竇窖，脩囷倉。」
[動]
收藏、埋藏。《史記．卷一二九．貨殖傳》：「秦之敗也，豪傑皆爭取金玉，而任氏獨窖倉粟。」宋．蘇軾〈樓觀〉詩：「丹砂久窖井水赤，白樹誰燒廚灶香？」 |</v>
      </c>
    </row>
    <row r="7128" spans="1:44" hidden="1">
      <c r="A7128" s="1" t="s">
        <v>13689</v>
      </c>
      <c r="C7128" s="1">
        <v>1</v>
      </c>
      <c r="D7128" s="1" t="str">
        <f>"05678"</f>
        <v>05678</v>
      </c>
      <c r="E7128" s="1" t="s">
        <v>426</v>
      </c>
      <c r="F7128" s="1">
        <v>13</v>
      </c>
      <c r="G7128" s="1">
        <v>9</v>
      </c>
      <c r="H7128" s="1">
        <v>0</v>
      </c>
      <c r="I7128" s="1" t="s">
        <v>13673</v>
      </c>
      <c r="K7128" s="1" t="str">
        <f t="shared" si="453"/>
        <v>ㄐ</v>
      </c>
      <c r="L7128" s="1" t="str">
        <f t="shared" si="454"/>
        <v>ㄧ</v>
      </c>
      <c r="M7128" s="1" t="str">
        <f t="shared" si="455"/>
        <v>ㄠ</v>
      </c>
      <c r="P7128" s="1" t="s">
        <v>20</v>
      </c>
      <c r="R7128" s="1" t="s">
        <v>13674</v>
      </c>
      <c r="V7128" s="1" t="s">
        <v>13690</v>
      </c>
      <c r="AR7128" s="1" t="str">
        <f t="shared" si="452"/>
        <v>| [ㄐㄧㄠˋ](ㄐㄧㄠˋ.md) | [敫](敫.md) |  | jiào | [形]
光線閃耀的樣子。《說文解字．放部》：「敫，光景流貌。」 |</v>
      </c>
    </row>
    <row r="7129" spans="1:44" hidden="1">
      <c r="A7129" s="1" t="s">
        <v>13691</v>
      </c>
      <c r="C7129" s="1">
        <v>1</v>
      </c>
      <c r="D7129" s="1" t="str">
        <f>"05679"</f>
        <v>05679</v>
      </c>
      <c r="E7129" s="1" t="s">
        <v>28</v>
      </c>
      <c r="F7129" s="1">
        <v>16</v>
      </c>
      <c r="G7129" s="1">
        <v>13</v>
      </c>
      <c r="H7129" s="1">
        <v>0</v>
      </c>
      <c r="I7129" s="1" t="s">
        <v>13673</v>
      </c>
      <c r="K7129" s="1" t="str">
        <f t="shared" si="453"/>
        <v>ㄐ</v>
      </c>
      <c r="L7129" s="1" t="str">
        <f t="shared" si="454"/>
        <v>ㄧ</v>
      </c>
      <c r="M7129" s="1" t="str">
        <f t="shared" si="455"/>
        <v>ㄠ</v>
      </c>
      <c r="P7129" s="1" t="s">
        <v>20</v>
      </c>
      <c r="R7129" s="1" t="s">
        <v>13674</v>
      </c>
      <c r="V7129" s="1" t="s">
        <v>13692</v>
      </c>
      <c r="AR7129" s="1" t="str">
        <f t="shared" si="452"/>
        <v>| [ㄐㄧㄠˋ](ㄐㄧㄠˋ.md) | [噭](噭.md) |  | jiào | [動]
鳴叫、呼號。《文選．司馬相如．長門賦》：「白鶴噭以哀號兮，孤雌跱於枯楊。」唐．杜甫〈義鶻〉詩：「噭哮來九天，修鱗脫遠枝。」
[副]
哭泣的樣子。《公羊傳．昭公二十五年》：「昭公於是噭然而哭，諸大夫皆哭。」 |</v>
      </c>
    </row>
    <row r="7130" spans="1:44" hidden="1">
      <c r="A7130" s="1" t="s">
        <v>13610</v>
      </c>
      <c r="C7130" s="1">
        <v>1</v>
      </c>
      <c r="D7130" s="1" t="str">
        <f>"05680"</f>
        <v>05680</v>
      </c>
      <c r="E7130" s="1" t="s">
        <v>234</v>
      </c>
      <c r="F7130" s="1">
        <v>16</v>
      </c>
      <c r="G7130" s="1">
        <v>13</v>
      </c>
      <c r="H7130" s="1">
        <v>1</v>
      </c>
      <c r="I7130" s="1" t="s">
        <v>13673</v>
      </c>
      <c r="K7130" s="1" t="str">
        <f t="shared" si="453"/>
        <v>ㄐ</v>
      </c>
      <c r="L7130" s="1" t="str">
        <f t="shared" si="454"/>
        <v>ㄧ</v>
      </c>
      <c r="M7130" s="1" t="str">
        <f t="shared" si="455"/>
        <v>ㄠ</v>
      </c>
      <c r="P7130" s="1" t="s">
        <v>20</v>
      </c>
      <c r="R7130" s="1" t="s">
        <v>13674</v>
      </c>
      <c r="V7130" s="1" t="s">
        <v>13693</v>
      </c>
      <c r="W7130" s="1" t="s">
        <v>13694</v>
      </c>
      <c r="AR7130" s="1" t="str">
        <f t="shared" si="452"/>
        <v>| [ㄐㄧㄠˋ](ㄐㄧㄠˋ.md) | [徼](徼.md) |  | jiào | [動]
巡察。如：「徼循」。《荀子．富國》：「其候徼支繚，其竟關之政盡察。」《文選．陸倕．新刻漏銘序》：「揆景測辰，徼宮戒井。」
[名]
1.邊界、邊塞。《史記．卷一一七．司馬相如傳》：「南至牂柯為徼。」
2.小路。《漢書．卷一〇〇．敘傳上》：「據徼乘邪，以求一日之富貴。」唐．李賀〈春歸昌谷〉詩：「花蔓閡行輈，縠煙暝深徼。」 |</v>
      </c>
    </row>
    <row r="7131" spans="1:44" hidden="1">
      <c r="A7131" s="1" t="s">
        <v>13695</v>
      </c>
      <c r="C7131" s="1">
        <v>1</v>
      </c>
      <c r="D7131" s="1" t="str">
        <f>"05681"</f>
        <v>05681</v>
      </c>
      <c r="E7131" s="1" t="s">
        <v>4869</v>
      </c>
      <c r="F7131" s="1">
        <v>14</v>
      </c>
      <c r="G7131" s="1">
        <v>10</v>
      </c>
      <c r="H7131" s="1">
        <v>0</v>
      </c>
      <c r="I7131" s="1" t="s">
        <v>13673</v>
      </c>
      <c r="K7131" s="1" t="str">
        <f t="shared" si="453"/>
        <v>ㄐ</v>
      </c>
      <c r="L7131" s="1" t="str">
        <f t="shared" si="454"/>
        <v>ㄧ</v>
      </c>
      <c r="M7131" s="1" t="str">
        <f t="shared" si="455"/>
        <v>ㄠ</v>
      </c>
      <c r="P7131" s="1" t="s">
        <v>20</v>
      </c>
      <c r="R7131" s="1" t="s">
        <v>13674</v>
      </c>
      <c r="V7131" s="1" t="s">
        <v>13696</v>
      </c>
      <c r="AR7131" s="1" t="str">
        <f t="shared" si="452"/>
        <v>| [ㄐㄧㄠˋ](ㄐㄧㄠˋ.md) | [斠](斠.md) |  | jiào | [動]
1.古代量穀物時，用器具畫除過滿的載量，使穀物與斗斛平齊。《說文解字．斗部》：「斠，平斗斛量也。」如：「斠斛」。
2.校訂、校正。如：「斠訂」、「斠補」。 |</v>
      </c>
    </row>
    <row r="7132" spans="1:44" hidden="1">
      <c r="A7132" s="1" t="s">
        <v>13653</v>
      </c>
      <c r="C7132" s="1">
        <v>1</v>
      </c>
      <c r="D7132" s="1" t="str">
        <f>"05682"</f>
        <v>05682</v>
      </c>
      <c r="E7132" s="1" t="s">
        <v>24</v>
      </c>
      <c r="F7132" s="1">
        <v>15</v>
      </c>
      <c r="G7132" s="1">
        <v>12</v>
      </c>
      <c r="H7132" s="1">
        <v>2</v>
      </c>
      <c r="I7132" s="1" t="s">
        <v>13673</v>
      </c>
      <c r="K7132" s="1" t="str">
        <f t="shared" si="453"/>
        <v>ㄐ</v>
      </c>
      <c r="L7132" s="1" t="str">
        <f t="shared" si="454"/>
        <v>ㄧ</v>
      </c>
      <c r="M7132" s="1" t="str">
        <f t="shared" si="455"/>
        <v>ㄠ</v>
      </c>
      <c r="P7132" s="1" t="s">
        <v>20</v>
      </c>
      <c r="R7132" s="1" t="s">
        <v>13674</v>
      </c>
      <c r="V7132" s="1" t="s">
        <v>13697</v>
      </c>
      <c r="W7132" s="1" t="s">
        <v>13698</v>
      </c>
      <c r="AR7132" s="1" t="str">
        <f t="shared" si="452"/>
        <v>| [ㄐㄧㄠˋ](ㄐㄧㄠˋ.md) | [撟](撟.md) |  | jiào | [動]_x000D_
取。《淮南子．要略》：「乃始攬物引類，覽取撟掇。」漢．高誘．注：「撟，取也。」 |</v>
      </c>
    </row>
    <row r="7133" spans="1:44" hidden="1">
      <c r="A7133" s="1" t="s">
        <v>13699</v>
      </c>
      <c r="C7133" s="1">
        <v>1</v>
      </c>
      <c r="D7133" s="1" t="str">
        <f>"05683"</f>
        <v>05683</v>
      </c>
      <c r="E7133" s="1" t="s">
        <v>190</v>
      </c>
      <c r="F7133" s="1">
        <v>15</v>
      </c>
      <c r="G7133" s="1">
        <v>12</v>
      </c>
      <c r="H7133" s="1">
        <v>0</v>
      </c>
      <c r="I7133" s="1" t="s">
        <v>13673</v>
      </c>
      <c r="K7133" s="1" t="str">
        <f t="shared" si="453"/>
        <v>ㄐ</v>
      </c>
      <c r="L7133" s="1" t="str">
        <f t="shared" si="454"/>
        <v>ㄧ</v>
      </c>
      <c r="M7133" s="1" t="str">
        <f t="shared" si="455"/>
        <v>ㄠ</v>
      </c>
      <c r="P7133" s="1" t="s">
        <v>20</v>
      </c>
      <c r="R7133" s="1" t="s">
        <v>13674</v>
      </c>
      <c r="V7133" s="1" t="s">
        <v>13700</v>
      </c>
      <c r="AR7133" s="1" t="str">
        <f t="shared" si="452"/>
        <v>| [ㄐㄧㄠˋ](ㄐㄧㄠˋ.md) | [嶠](嶠.md) |  | jiào | [名]
高而尖的山。唐．張說〈遊洞庭湖〉詩：「平湖曉望分，仙嶠氣氛氳。」《西遊記》第四九回：「鼻準高隆如嶠聳。」 |</v>
      </c>
    </row>
    <row r="7134" spans="1:44" hidden="1">
      <c r="A7134" s="1" t="s">
        <v>13701</v>
      </c>
      <c r="C7134" s="1">
        <v>1</v>
      </c>
      <c r="D7134" s="1" t="str">
        <f>"05684"</f>
        <v>05684</v>
      </c>
      <c r="E7134" s="1" t="s">
        <v>71</v>
      </c>
      <c r="F7134" s="1">
        <v>19</v>
      </c>
      <c r="G7134" s="1">
        <v>12</v>
      </c>
      <c r="H7134" s="1">
        <v>0</v>
      </c>
      <c r="I7134" s="1" t="s">
        <v>13673</v>
      </c>
      <c r="K7134" s="1" t="str">
        <f t="shared" si="453"/>
        <v>ㄐ</v>
      </c>
      <c r="L7134" s="1" t="str">
        <f t="shared" si="454"/>
        <v>ㄧ</v>
      </c>
      <c r="M7134" s="1" t="str">
        <f t="shared" si="455"/>
        <v>ㄠ</v>
      </c>
      <c r="P7134" s="1" t="s">
        <v>20</v>
      </c>
      <c r="R7134" s="1" t="s">
        <v>13674</v>
      </c>
      <c r="V7134" s="1" t="s">
        <v>13702</v>
      </c>
      <c r="AR7134" s="1" t="str">
        <f t="shared" si="452"/>
        <v>| [ㄐㄧㄠˋ](ㄐㄧㄠˋ.md) | [轎](轎.md) |  | jiào | [名]
一種用若干人在前後抬著的交通工具。如：「上花轎」。《水滸傳》第二三回：「武松下了轎，扛著大蟲，都到廳前，放在甬道上。」也稱為「轎子」、「車輿」。 |</v>
      </c>
    </row>
    <row r="7135" spans="1:44" hidden="1">
      <c r="A7135" s="1" t="s">
        <v>13588</v>
      </c>
      <c r="C7135" s="1">
        <v>1</v>
      </c>
      <c r="D7135" s="1" t="str">
        <f>"05685"</f>
        <v>05685</v>
      </c>
      <c r="E7135" s="1" t="s">
        <v>28</v>
      </c>
      <c r="F7135" s="1">
        <v>15</v>
      </c>
      <c r="G7135" s="1">
        <v>12</v>
      </c>
      <c r="H7135" s="1">
        <v>1</v>
      </c>
      <c r="I7135" s="1" t="s">
        <v>13673</v>
      </c>
      <c r="K7135" s="1" t="str">
        <f t="shared" si="453"/>
        <v>ㄐ</v>
      </c>
      <c r="L7135" s="1" t="str">
        <f t="shared" si="454"/>
        <v>ㄧ</v>
      </c>
      <c r="M7135" s="1" t="str">
        <f t="shared" si="455"/>
        <v>ㄠ</v>
      </c>
      <c r="P7135" s="1" t="s">
        <v>20</v>
      </c>
      <c r="R7135" s="1" t="s">
        <v>13674</v>
      </c>
      <c r="V7135" s="1" t="s">
        <v>13703</v>
      </c>
      <c r="W7135" s="1" t="s">
        <v>13704</v>
      </c>
      <c r="AR7135" s="1" t="str">
        <f t="shared" si="452"/>
        <v>| [ㄐㄧㄠˋ](ㄐㄧㄠˋ.md) | [噍](噍.md) |  | jiào | [動]
用牙齒啃咬、咀嚼。如：「噍食」、「噍咀」。漢．王充《論衡．道虛》：「口齒以噍食，孔竅以注瀉。」 |</v>
      </c>
    </row>
    <row r="7136" spans="1:44" hidden="1">
      <c r="A7136" s="1" t="s">
        <v>13705</v>
      </c>
      <c r="C7136" s="1">
        <v>1</v>
      </c>
      <c r="D7136" s="1" t="str">
        <f>"05686"</f>
        <v>05686</v>
      </c>
      <c r="E7136" s="1" t="s">
        <v>1462</v>
      </c>
      <c r="F7136" s="1">
        <v>19</v>
      </c>
      <c r="G7136" s="1">
        <v>12</v>
      </c>
      <c r="H7136" s="1">
        <v>0</v>
      </c>
      <c r="I7136" s="1" t="s">
        <v>13673</v>
      </c>
      <c r="K7136" s="1" t="str">
        <f t="shared" si="453"/>
        <v>ㄐ</v>
      </c>
      <c r="L7136" s="1" t="str">
        <f t="shared" si="454"/>
        <v>ㄧ</v>
      </c>
      <c r="M7136" s="1" t="str">
        <f t="shared" si="455"/>
        <v>ㄠ</v>
      </c>
      <c r="P7136" s="1" t="s">
        <v>20</v>
      </c>
      <c r="R7136" s="1" t="s">
        <v>13674</v>
      </c>
      <c r="V7136" s="1" t="s">
        <v>13706</v>
      </c>
      <c r="AR7136" s="1" t="str">
        <f t="shared" si="452"/>
        <v>| [ㄐㄧㄠˋ](ㄐㄧㄠˋ.md) | [醮](醮.md) |  | jiào | [名]
1.古代婚禮、冠禮中的一種儀節。《晉書．卷二一．禮志下》：「古者婚、冠皆有醮。」
2.僧道設壇祈神求福的過程。如：「建醮」。《紅樓夢》第二八回：「叫在清虛觀初一到初三打三天平安醮。」
[動]
1.祭祀。《文選．宋玉．高唐賦》：「醮諸神，禮太一。」
2.已婚婦女再嫁。《隋書．卷六十六．李諤傳》：「五品以上妻妾不得改醮。」《聊齋志異．卷六．馬介甫》：「既殯，弟陞慲兒，矢不嫁。婦唾罵不與食，醮去之。遺孤兒，朝夕受鞭楚。」 |</v>
      </c>
    </row>
    <row r="7137" spans="1:44" hidden="1">
      <c r="A7137" s="1" t="s">
        <v>13707</v>
      </c>
      <c r="C7137" s="1">
        <v>1</v>
      </c>
      <c r="D7137" s="1" t="str">
        <f>"05687"</f>
        <v>05687</v>
      </c>
      <c r="E7137" s="1" t="s">
        <v>129</v>
      </c>
      <c r="F7137" s="1">
        <v>20</v>
      </c>
      <c r="G7137" s="1">
        <v>17</v>
      </c>
      <c r="H7137" s="1">
        <v>2</v>
      </c>
      <c r="I7137" s="1" t="s">
        <v>13673</v>
      </c>
      <c r="K7137" s="1" t="str">
        <f t="shared" si="453"/>
        <v>ㄐ</v>
      </c>
      <c r="L7137" s="1" t="str">
        <f t="shared" si="454"/>
        <v>ㄧ</v>
      </c>
      <c r="M7137" s="1" t="str">
        <f t="shared" si="455"/>
        <v>ㄠ</v>
      </c>
      <c r="P7137" s="1" t="s">
        <v>20</v>
      </c>
      <c r="R7137" s="1" t="s">
        <v>13674</v>
      </c>
      <c r="V7137" s="1" t="s">
        <v>13708</v>
      </c>
      <c r="W7137" s="1" t="s">
        <v>13709</v>
      </c>
      <c r="AR7137" s="1" t="str">
        <f t="shared" si="452"/>
        <v>| [ㄐㄧㄠˋ](ㄐㄧㄠˋ.md) | [灂](灂.md) |  | jiào | [名]
塗在車轅上的漆。《集韻．去聲．笑韻》：「灂，車轅漆也。」《周禮．冬官考工記．輈人》：「良輈環灂，自伏兔不至軌。」 |</v>
      </c>
    </row>
    <row r="7138" spans="1:44" hidden="1">
      <c r="A7138" s="1" t="s">
        <v>13613</v>
      </c>
      <c r="C7138" s="1">
        <v>1</v>
      </c>
      <c r="D7138" s="1" t="str">
        <f>"05688"</f>
        <v>05688</v>
      </c>
      <c r="E7138" s="1" t="s">
        <v>28</v>
      </c>
      <c r="F7138" s="1">
        <v>20</v>
      </c>
      <c r="G7138" s="1">
        <v>17</v>
      </c>
      <c r="H7138" s="1">
        <v>3</v>
      </c>
      <c r="I7138" s="1" t="s">
        <v>13673</v>
      </c>
      <c r="K7138" s="1" t="str">
        <f t="shared" si="453"/>
        <v>ㄐ</v>
      </c>
      <c r="L7138" s="1" t="str">
        <f t="shared" si="454"/>
        <v>ㄧ</v>
      </c>
      <c r="M7138" s="1" t="str">
        <f t="shared" si="455"/>
        <v>ㄠ</v>
      </c>
      <c r="P7138" s="1" t="s">
        <v>20</v>
      </c>
      <c r="R7138" s="1" t="s">
        <v>13674</v>
      </c>
      <c r="V7138" s="1" t="s">
        <v>13710</v>
      </c>
      <c r="W7138" s="1" t="s">
        <v>13711</v>
      </c>
      <c r="AR7138" s="1" t="str">
        <f t="shared" si="452"/>
        <v>| [ㄐㄧㄠˋ](ㄐㄧㄠˋ.md) | [嚼](嚼.md) |  | jiào | [動]
牛、駱駝等動物的反芻。如：「反嚼」、「回嚼」。 |</v>
      </c>
    </row>
    <row r="7139" spans="1:44" hidden="1">
      <c r="A7139" s="1" t="s">
        <v>13712</v>
      </c>
      <c r="C7139" s="1">
        <v>1</v>
      </c>
      <c r="D7139" s="1" t="str">
        <f>"05689"</f>
        <v>05689</v>
      </c>
      <c r="E7139" s="1" t="s">
        <v>205</v>
      </c>
      <c r="F7139" s="1">
        <v>22</v>
      </c>
      <c r="G7139" s="1">
        <v>17</v>
      </c>
      <c r="H7139" s="1">
        <v>0</v>
      </c>
      <c r="I7139" s="1" t="s">
        <v>13673</v>
      </c>
      <c r="K7139" s="1" t="str">
        <f t="shared" si="453"/>
        <v>ㄐ</v>
      </c>
      <c r="L7139" s="1" t="str">
        <f t="shared" si="454"/>
        <v>ㄧ</v>
      </c>
      <c r="M7139" s="1" t="str">
        <f t="shared" si="455"/>
        <v>ㄠ</v>
      </c>
      <c r="P7139" s="1" t="s">
        <v>20</v>
      </c>
      <c r="R7139" s="1" t="s">
        <v>13674</v>
      </c>
      <c r="V7139" s="1" t="s">
        <v>13713</v>
      </c>
      <c r="AR7139" s="1" t="str">
        <f t="shared" si="452"/>
        <v>| [ㄐㄧㄠˋ](ㄐㄧㄠˋ.md) | [皭](皭.md) |  | jiào | [副]
潔白乾淨。《史記．卷八四．屈原賈生傳》：「不獲世之滋垢，皭然泥而不滓者也。」 |</v>
      </c>
    </row>
    <row r="7140" spans="1:44" hidden="1">
      <c r="A7140" s="1" t="s">
        <v>13714</v>
      </c>
      <c r="C7140" s="1">
        <v>1</v>
      </c>
      <c r="D7140" s="1" t="str">
        <f>"05690"</f>
        <v>05690</v>
      </c>
      <c r="E7140" s="1" t="s">
        <v>1462</v>
      </c>
      <c r="F7140" s="1">
        <v>24</v>
      </c>
      <c r="G7140" s="1">
        <v>17</v>
      </c>
      <c r="H7140" s="1">
        <v>0</v>
      </c>
      <c r="I7140" s="1" t="s">
        <v>13673</v>
      </c>
      <c r="K7140" s="1" t="str">
        <f t="shared" si="453"/>
        <v>ㄐ</v>
      </c>
      <c r="L7140" s="1" t="str">
        <f t="shared" si="454"/>
        <v>ㄧ</v>
      </c>
      <c r="M7140" s="1" t="str">
        <f t="shared" si="455"/>
        <v>ㄠ</v>
      </c>
      <c r="P7140" s="1" t="s">
        <v>20</v>
      </c>
      <c r="R7140" s="1" t="s">
        <v>13674</v>
      </c>
      <c r="V7140" s="1" t="s">
        <v>13715</v>
      </c>
      <c r="AR7140" s="1" t="str">
        <f t="shared" si="452"/>
        <v>| [ㄐㄧㄠˋ](ㄐㄧㄠˋ.md) | [釂](釂.md) |  | jiào | [動]
把酒喝完。即乾杯。《禮記．曲禮上》：「長者舉未釂，少者不敢飲。」《聊齋志異．卷一．勞山道士》：「競飲先釂，惟恐樽盡。」 |</v>
      </c>
    </row>
    <row r="7141" spans="1:44" hidden="1">
      <c r="A7141" s="1" t="s">
        <v>13716</v>
      </c>
      <c r="C7141" s="1">
        <v>1</v>
      </c>
      <c r="D7141" s="1" t="str">
        <f>"05691"</f>
        <v>05691</v>
      </c>
      <c r="E7141" s="1" t="s">
        <v>2233</v>
      </c>
      <c r="F7141" s="1">
        <v>20</v>
      </c>
      <c r="G7141" s="1">
        <v>13</v>
      </c>
      <c r="H7141" s="1">
        <v>2</v>
      </c>
      <c r="I7141" s="1" t="s">
        <v>13673</v>
      </c>
      <c r="K7141" s="1" t="str">
        <f t="shared" si="453"/>
        <v>ㄐ</v>
      </c>
      <c r="L7141" s="1" t="str">
        <f t="shared" si="454"/>
        <v>ㄧ</v>
      </c>
      <c r="M7141" s="1" t="str">
        <f t="shared" si="455"/>
        <v>ㄠ</v>
      </c>
      <c r="P7141" s="1" t="s">
        <v>20</v>
      </c>
      <c r="R7141" s="1" t="s">
        <v>13674</v>
      </c>
      <c r="V7141" s="1" t="s">
        <v>13717</v>
      </c>
      <c r="W7141" s="1" t="s">
        <v>13718</v>
      </c>
      <c r="AR7141" s="1" t="str">
        <f t="shared" si="452"/>
        <v>| [ㄐㄧㄠˋ](ㄐㄧㄠˋ.md) | [覺](覺.md) |  | jiào | [名]
1.睡眠。如：「睡午覺」、「睡大覺」。
2.量詞。計算入睡次數的單位。如：「睡了一覺」。 |</v>
      </c>
    </row>
    <row r="7142" spans="1:44" hidden="1">
      <c r="A7142" s="1" t="s">
        <v>13719</v>
      </c>
      <c r="C7142" s="1">
        <v>1</v>
      </c>
      <c r="D7142" s="1" t="str">
        <f>"05692"</f>
        <v>05692</v>
      </c>
      <c r="E7142" s="1" t="s">
        <v>4265</v>
      </c>
      <c r="F7142" s="1">
        <v>2</v>
      </c>
      <c r="G7142" s="1">
        <v>1</v>
      </c>
      <c r="H7142" s="1">
        <v>0</v>
      </c>
      <c r="I7142" s="1" t="s">
        <v>13720</v>
      </c>
      <c r="K7142" s="1" t="str">
        <f t="shared" si="453"/>
        <v>ㄐ</v>
      </c>
      <c r="L7142" s="1" t="str">
        <f t="shared" si="454"/>
        <v>ㄧ</v>
      </c>
      <c r="M7142" s="1" t="str">
        <f t="shared" si="455"/>
        <v>ㄡ</v>
      </c>
      <c r="P7142" s="1" t="s">
        <v>20</v>
      </c>
      <c r="R7142" s="1" t="s">
        <v>13721</v>
      </c>
      <c r="V7142" s="1" t="s">
        <v>13722</v>
      </c>
      <c r="AR7142" s="1" t="str">
        <f t="shared" si="452"/>
        <v>| [ㄐㄧㄡ](ㄐㄧㄡ.md) | [丩](丩.md) |  | jiū | [動]
互相糾結纏繞。《說文解字．丩部》：「丩，相糾繚也。」 |</v>
      </c>
    </row>
    <row r="7143" spans="1:44" hidden="1">
      <c r="A7143" s="1" t="s">
        <v>13723</v>
      </c>
      <c r="C7143" s="1">
        <v>1</v>
      </c>
      <c r="D7143" s="1" t="str">
        <f>"05693"</f>
        <v>05693</v>
      </c>
      <c r="E7143" s="1" t="s">
        <v>139</v>
      </c>
      <c r="F7143" s="1">
        <v>6</v>
      </c>
      <c r="G7143" s="1">
        <v>2</v>
      </c>
      <c r="H7143" s="1">
        <v>0</v>
      </c>
      <c r="I7143" s="1" t="s">
        <v>13720</v>
      </c>
      <c r="K7143" s="1" t="str">
        <f t="shared" si="453"/>
        <v>ㄐ</v>
      </c>
      <c r="L7143" s="1" t="str">
        <f t="shared" si="454"/>
        <v>ㄧ</v>
      </c>
      <c r="M7143" s="1" t="str">
        <f t="shared" si="455"/>
        <v>ㄡ</v>
      </c>
      <c r="P7143" s="1" t="s">
        <v>20</v>
      </c>
      <c r="R7143" s="1" t="s">
        <v>13721</v>
      </c>
      <c r="V7143" s="1" t="s">
        <v>13724</v>
      </c>
      <c r="AR7143" s="1" t="str">
        <f t="shared" si="452"/>
        <v>| [ㄐㄧㄡ](ㄐㄧㄡ.md) | [朻](朻.md) |  | jiū | [形]
樹木向下彎曲的樣子。《爾雅．釋木》：「下句曰朻，上句曰喬。」 |</v>
      </c>
    </row>
    <row r="7144" spans="1:44" hidden="1">
      <c r="A7144" s="1" t="s">
        <v>13725</v>
      </c>
      <c r="C7144" s="1">
        <v>1</v>
      </c>
      <c r="D7144" s="1" t="str">
        <f>"05694"</f>
        <v>05694</v>
      </c>
      <c r="E7144" s="1" t="s">
        <v>725</v>
      </c>
      <c r="F7144" s="1">
        <v>8</v>
      </c>
      <c r="G7144" s="1">
        <v>2</v>
      </c>
      <c r="H7144" s="1">
        <v>1</v>
      </c>
      <c r="I7144" s="1" t="s">
        <v>13720</v>
      </c>
      <c r="K7144" s="1" t="str">
        <f t="shared" si="453"/>
        <v>ㄐ</v>
      </c>
      <c r="L7144" s="1" t="str">
        <f t="shared" si="454"/>
        <v>ㄧ</v>
      </c>
      <c r="M7144" s="1" t="str">
        <f t="shared" si="455"/>
        <v>ㄡ</v>
      </c>
      <c r="P7144" s="1" t="s">
        <v>20</v>
      </c>
      <c r="R7144" s="1" t="s">
        <v>13721</v>
      </c>
      <c r="V7144" s="1" t="s">
        <v>13726</v>
      </c>
      <c r="W7144" s="1" t="s">
        <v>13727</v>
      </c>
      <c r="AR7144" s="1" t="str">
        <f t="shared" si="452"/>
        <v>| [ㄐㄧㄡ](ㄐㄧㄡ.md) | [糾](糾.md) |  | jiū | [動]
1.纏繞。如：「這團毛線糾在一起了。」《文選．淮南小山．招隱士》：「樹輪相糾兮，林木茷骫。」
2.集聚、集結。《左傳．僖公二十四年》：「召穆公思周德之不類，故糾合宗族于成周而作詩。」《後漢書．卷七〇．荀彧傳》：「若紹收離糾散，乘虛以出，則公之事去矣。」
3.督察。如：「糾察」。《周禮．天官．大宰》：「五曰刑典，以詰邦國，以刑百官，以糾萬民。」
4.檢舉、告發。如：「糾舉」、「糾劾」。《隋書．卷二五．刑法志》：「詔有能糾告者，沒賊家產業，以賞糾人。」
5.矯正、改錯。如：「糾正」。《左傳．昭公二十年》：「政寬則民慢，慢則糾之以猛。」 |</v>
      </c>
    </row>
    <row r="7145" spans="1:44" hidden="1">
      <c r="A7145" s="1" t="s">
        <v>13728</v>
      </c>
      <c r="C7145" s="1">
        <v>1</v>
      </c>
      <c r="D7145" s="1" t="str">
        <f>"05695"</f>
        <v>05695</v>
      </c>
      <c r="E7145" s="1" t="s">
        <v>4563</v>
      </c>
      <c r="F7145" s="1">
        <v>9</v>
      </c>
      <c r="G7145" s="1">
        <v>2</v>
      </c>
      <c r="H7145" s="1">
        <v>1</v>
      </c>
      <c r="I7145" s="1" t="s">
        <v>13720</v>
      </c>
      <c r="K7145" s="1" t="str">
        <f t="shared" si="453"/>
        <v>ㄐ</v>
      </c>
      <c r="L7145" s="1" t="str">
        <f t="shared" si="454"/>
        <v>ㄧ</v>
      </c>
      <c r="M7145" s="1" t="str">
        <f t="shared" si="455"/>
        <v>ㄡ</v>
      </c>
      <c r="P7145" s="1" t="s">
        <v>20</v>
      </c>
      <c r="R7145" s="1" t="s">
        <v>13721</v>
      </c>
      <c r="V7145" s="1" t="s">
        <v>13729</v>
      </c>
      <c r="W7145" s="1" t="s">
        <v>13730</v>
      </c>
      <c r="AR7145" s="1" t="str">
        <f t="shared" si="452"/>
        <v>| [ㄐㄧㄡ](ㄐㄧㄡ.md) | [赳](赳.md) |  | jiū | 參見「赳赳」條。 |</v>
      </c>
    </row>
    <row r="7146" spans="1:44" hidden="1">
      <c r="A7146" s="1" t="s">
        <v>13731</v>
      </c>
      <c r="C7146" s="1">
        <v>1</v>
      </c>
      <c r="D7146" s="1" t="str">
        <f>"05696"</f>
        <v>05696</v>
      </c>
      <c r="E7146" s="1" t="s">
        <v>1274</v>
      </c>
      <c r="F7146" s="1">
        <v>7</v>
      </c>
      <c r="G7146" s="1">
        <v>2</v>
      </c>
      <c r="H7146" s="1">
        <v>2</v>
      </c>
      <c r="I7146" s="1" t="s">
        <v>13720</v>
      </c>
      <c r="K7146" s="1" t="str">
        <f t="shared" si="453"/>
        <v>ㄐ</v>
      </c>
      <c r="L7146" s="1" t="str">
        <f t="shared" si="454"/>
        <v>ㄧ</v>
      </c>
      <c r="M7146" s="1" t="str">
        <f t="shared" si="455"/>
        <v>ㄡ</v>
      </c>
      <c r="P7146" s="1" t="s">
        <v>110</v>
      </c>
      <c r="R7146" s="1" t="s">
        <v>13721</v>
      </c>
      <c r="V7146" s="1" t="s">
        <v>111</v>
      </c>
      <c r="W7146" s="1" t="s">
        <v>13732</v>
      </c>
      <c r="AR7146" s="1" t="str">
        <f t="shared" si="452"/>
        <v>| [ㄐㄧㄡ](ㄐㄧㄡ.md) | [究](究.md) |  | jiū | (一)之又音。 |</v>
      </c>
    </row>
    <row r="7147" spans="1:44" hidden="1">
      <c r="A7147" s="1" t="s">
        <v>13733</v>
      </c>
      <c r="C7147" s="1">
        <v>1</v>
      </c>
      <c r="D7147" s="1" t="str">
        <f>"05697"</f>
        <v>05697</v>
      </c>
      <c r="E7147" s="1" t="s">
        <v>272</v>
      </c>
      <c r="F7147" s="1">
        <v>13</v>
      </c>
      <c r="G7147" s="1">
        <v>2</v>
      </c>
      <c r="H7147" s="1">
        <v>0</v>
      </c>
      <c r="I7147" s="1" t="s">
        <v>13720</v>
      </c>
      <c r="K7147" s="1" t="str">
        <f t="shared" si="453"/>
        <v>ㄐ</v>
      </c>
      <c r="L7147" s="1" t="str">
        <f t="shared" si="454"/>
        <v>ㄧ</v>
      </c>
      <c r="M7147" s="1" t="str">
        <f t="shared" si="455"/>
        <v>ㄡ</v>
      </c>
      <c r="P7147" s="1" t="s">
        <v>20</v>
      </c>
      <c r="R7147" s="1" t="s">
        <v>13721</v>
      </c>
      <c r="V7147" s="1" t="s">
        <v>13734</v>
      </c>
      <c r="AR7147" s="1" t="str">
        <f t="shared" si="452"/>
        <v>| [ㄐㄧㄡ](ㄐㄧㄡ.md) | [鳩](鳩.md) |  | jiū | [名]
鴿形目鳩鴿科部分鳥類的通稱。其狀似鴿，頭小胸凸，灰色有斑紋，尾短翼長。
[動]
1.聚集。如：「鳩合」、「鳩集」。《左傳．隱公八年》：「君釋三國之圖，以鳩其民。」
2.安定。《國語．晉語九》：「庶曰可以鑑而鳩趙宗乎？」三國吳．韋昭．注：「鳩，安也。」 |</v>
      </c>
    </row>
    <row r="7148" spans="1:44" hidden="1">
      <c r="A7148" s="1" t="s">
        <v>13735</v>
      </c>
      <c r="C7148" s="1">
        <v>1</v>
      </c>
      <c r="D7148" s="1" t="str">
        <f>"05698"</f>
        <v>05698</v>
      </c>
      <c r="E7148" s="1" t="s">
        <v>24</v>
      </c>
      <c r="F7148" s="1">
        <v>12</v>
      </c>
      <c r="G7148" s="1">
        <v>9</v>
      </c>
      <c r="H7148" s="1">
        <v>0</v>
      </c>
      <c r="I7148" s="1" t="s">
        <v>13720</v>
      </c>
      <c r="K7148" s="1" t="str">
        <f t="shared" si="453"/>
        <v>ㄐ</v>
      </c>
      <c r="L7148" s="1" t="str">
        <f t="shared" si="454"/>
        <v>ㄧ</v>
      </c>
      <c r="M7148" s="1" t="str">
        <f t="shared" si="455"/>
        <v>ㄡ</v>
      </c>
      <c r="P7148" s="1" t="s">
        <v>20</v>
      </c>
      <c r="R7148" s="1" t="s">
        <v>13721</v>
      </c>
      <c r="V7148" s="1" t="s">
        <v>13736</v>
      </c>
      <c r="AR7148" s="1" t="str">
        <f t="shared" si="452"/>
        <v>| [ㄐㄧㄡ](ㄐㄧㄡ.md) | [揪](揪.md) |  | jiū | [動]
扭扯、抓住。如：「揪耳朵」、「揪住不放」。《水滸傳》第五二回：「（李逵）早把殷天錫揪下馬來，一拳打番。」《西遊記》第三一回：「卻說那獃子被一窩猴子捉住了，扛抬扯拉，把一件直裰子揪破。」 |</v>
      </c>
    </row>
    <row r="7149" spans="1:44" hidden="1">
      <c r="A7149" s="1" t="s">
        <v>13737</v>
      </c>
      <c r="C7149" s="1">
        <v>1</v>
      </c>
      <c r="D7149" s="1" t="str">
        <f>"05699"</f>
        <v>05699</v>
      </c>
      <c r="E7149" s="1" t="s">
        <v>28</v>
      </c>
      <c r="F7149" s="1">
        <v>12</v>
      </c>
      <c r="G7149" s="1">
        <v>9</v>
      </c>
      <c r="H7149" s="1">
        <v>0</v>
      </c>
      <c r="I7149" s="1" t="s">
        <v>13720</v>
      </c>
      <c r="K7149" s="1" t="str">
        <f t="shared" si="453"/>
        <v>ㄐ</v>
      </c>
      <c r="L7149" s="1" t="str">
        <f t="shared" si="454"/>
        <v>ㄧ</v>
      </c>
      <c r="M7149" s="1" t="str">
        <f t="shared" si="455"/>
        <v>ㄡ</v>
      </c>
      <c r="P7149" s="1" t="s">
        <v>20</v>
      </c>
      <c r="R7149" s="1" t="s">
        <v>13721</v>
      </c>
      <c r="V7149" s="1" t="s">
        <v>13738</v>
      </c>
      <c r="AR7149" s="1" t="str">
        <f t="shared" si="452"/>
        <v>| [ㄐㄧㄡ](ㄐㄧㄡ.md) | [啾](啾.md) |  | jiū | [擬]
1.形容幼兒所發出的聲音。《說文解字．口部》：「啾，小兒聲。」
2.形容蟲鳥或鈴鐸等細碎嘈雜的聲音。如：「啁啾」。《楚辭．屈原．離騷》：「揚雲霓之晻藹兮，鳴玉鸞之啾啾。」 |</v>
      </c>
    </row>
    <row r="7150" spans="1:44" hidden="1">
      <c r="A7150" s="1" t="s">
        <v>13739</v>
      </c>
      <c r="C7150" s="1">
        <v>1</v>
      </c>
      <c r="D7150" s="1" t="str">
        <f>"05700"</f>
        <v>05700</v>
      </c>
      <c r="E7150" s="1" t="s">
        <v>24</v>
      </c>
      <c r="F7150" s="1">
        <v>13</v>
      </c>
      <c r="G7150" s="1">
        <v>9</v>
      </c>
      <c r="H7150" s="1">
        <v>0</v>
      </c>
      <c r="I7150" s="1" t="s">
        <v>13720</v>
      </c>
      <c r="K7150" s="1" t="str">
        <f t="shared" si="453"/>
        <v>ㄐ</v>
      </c>
      <c r="L7150" s="1" t="str">
        <f t="shared" si="454"/>
        <v>ㄧ</v>
      </c>
      <c r="M7150" s="1" t="str">
        <f t="shared" si="455"/>
        <v>ㄡ</v>
      </c>
      <c r="P7150" s="1" t="s">
        <v>20</v>
      </c>
      <c r="R7150" s="1" t="s">
        <v>13721</v>
      </c>
      <c r="V7150" s="1" t="s">
        <v>13740</v>
      </c>
      <c r="AR7150" s="1" t="str">
        <f t="shared" si="452"/>
        <v>| [ㄐㄧㄡ](ㄐㄧㄡ.md) | [揫](揫.md) |  | jiū | [名]
束。《西遊記》第五五回：「左右列幾個彩衣繡服、丫髻兩揫的女童。」
[動]
收攏、聚集。漢．馬融〈廣成頌〉：「揫斂九藪之動物，繯橐四野之飛征。」 |</v>
      </c>
    </row>
    <row r="7151" spans="1:44" hidden="1">
      <c r="A7151" s="1" t="s">
        <v>13741</v>
      </c>
      <c r="C7151" s="1">
        <v>1</v>
      </c>
      <c r="D7151" s="1" t="str">
        <f>"05701"</f>
        <v>05701</v>
      </c>
      <c r="E7151" s="1" t="s">
        <v>24</v>
      </c>
      <c r="F7151" s="1">
        <v>14</v>
      </c>
      <c r="G7151" s="1">
        <v>11</v>
      </c>
      <c r="H7151" s="1">
        <v>0</v>
      </c>
      <c r="I7151" s="1" t="s">
        <v>13720</v>
      </c>
      <c r="K7151" s="1" t="str">
        <f t="shared" si="453"/>
        <v>ㄐ</v>
      </c>
      <c r="L7151" s="1" t="str">
        <f t="shared" si="454"/>
        <v>ㄧ</v>
      </c>
      <c r="M7151" s="1" t="str">
        <f t="shared" si="455"/>
        <v>ㄡ</v>
      </c>
      <c r="P7151" s="1" t="s">
        <v>20</v>
      </c>
      <c r="R7151" s="1" t="s">
        <v>13721</v>
      </c>
      <c r="V7151" s="1" t="s">
        <v>13742</v>
      </c>
      <c r="AR7151" s="1" t="str">
        <f t="shared" si="452"/>
        <v>| [ㄐㄧㄡ](ㄐㄧㄡ.md) | [摎](摎.md) |  | jiū | [動]
1.絞殺。《說文解字．手部》：「摎，縛殺也。」清．段玉裁．注：「縛殺者，以束縛殺之也。……凡以繩帛等物殺人者曰縛殺。」
2.糾結、纏繞。唐．韓愈〈別知賦〉：「山磝磝其相軋，樹蓊蓊其相摎。」
3.尋求。通「求」。《後漢書．卷五九．張衡傳》：「黃靈詹而訪命兮，摎天道其焉如。」
[名]
姓。如漢代有摎廣德。 |</v>
      </c>
    </row>
    <row r="7152" spans="1:44" hidden="1">
      <c r="A7152" s="1" t="s">
        <v>13743</v>
      </c>
      <c r="C7152" s="1">
        <v>1</v>
      </c>
      <c r="D7152" s="1" t="str">
        <f>"05702"</f>
        <v>05702</v>
      </c>
      <c r="E7152" s="1" t="s">
        <v>139</v>
      </c>
      <c r="F7152" s="1">
        <v>15</v>
      </c>
      <c r="G7152" s="1">
        <v>11</v>
      </c>
      <c r="H7152" s="1">
        <v>0</v>
      </c>
      <c r="I7152" s="1" t="s">
        <v>13720</v>
      </c>
      <c r="K7152" s="1" t="str">
        <f t="shared" si="453"/>
        <v>ㄐ</v>
      </c>
      <c r="L7152" s="1" t="str">
        <f t="shared" si="454"/>
        <v>ㄧ</v>
      </c>
      <c r="M7152" s="1" t="str">
        <f t="shared" si="455"/>
        <v>ㄡ</v>
      </c>
      <c r="P7152" s="1" t="s">
        <v>20</v>
      </c>
      <c r="R7152" s="1" t="s">
        <v>13721</v>
      </c>
      <c r="V7152" s="1" t="s">
        <v>13744</v>
      </c>
      <c r="AR7152" s="1" t="str">
        <f t="shared" si="452"/>
        <v>| [ㄐㄧㄡ](ㄐㄧㄡ.md) | [樛](樛.md) |  | jiū | [形]
向下彎曲的。《詩經．周南．樛木》：「南有樛木，葛藟纍之。」漢．毛亨．傳：「木下曲曰樛。」
[動]
糾結、纏繞。《儀禮．喪服》：「故殤之絰不樛垂，蓋未成人也。」漢．鄭玄．注：「不樛垂者，不絞其帶之垂者。」也作「摎」。 |</v>
      </c>
    </row>
    <row r="7153" spans="1:44" hidden="1">
      <c r="A7153" s="1" t="s">
        <v>13745</v>
      </c>
      <c r="C7153" s="1">
        <v>1</v>
      </c>
      <c r="D7153" s="1" t="str">
        <f>"05703"</f>
        <v>05703</v>
      </c>
      <c r="E7153" s="1" t="s">
        <v>71</v>
      </c>
      <c r="F7153" s="1">
        <v>18</v>
      </c>
      <c r="G7153" s="1">
        <v>11</v>
      </c>
      <c r="H7153" s="1">
        <v>0</v>
      </c>
      <c r="I7153" s="1" t="s">
        <v>13720</v>
      </c>
      <c r="K7153" s="1" t="str">
        <f t="shared" si="453"/>
        <v>ㄐ</v>
      </c>
      <c r="L7153" s="1" t="str">
        <f t="shared" si="454"/>
        <v>ㄧ</v>
      </c>
      <c r="M7153" s="1" t="str">
        <f t="shared" si="455"/>
        <v>ㄡ</v>
      </c>
      <c r="P7153" s="1" t="s">
        <v>20</v>
      </c>
      <c r="R7153" s="1" t="s">
        <v>13721</v>
      </c>
      <c r="V7153" s="1" t="s">
        <v>9637</v>
      </c>
      <c r="AR7153" s="1" t="str">
        <f t="shared" si="452"/>
        <v>| [ㄐㄧㄡ](ㄐㄧㄡ.md) | [轇](轇.md) |  | jiū | 參見「轇轕」條。 |</v>
      </c>
    </row>
    <row r="7154" spans="1:44" hidden="1">
      <c r="A7154" s="1" t="s">
        <v>13746</v>
      </c>
      <c r="C7154" s="1">
        <v>1</v>
      </c>
      <c r="D7154" s="1" t="str">
        <f>"05704"</f>
        <v>05704</v>
      </c>
      <c r="E7154" s="1" t="s">
        <v>679</v>
      </c>
      <c r="F7154" s="1">
        <v>15</v>
      </c>
      <c r="G7154" s="1">
        <v>9</v>
      </c>
      <c r="H7154" s="1">
        <v>2</v>
      </c>
      <c r="I7154" s="1" t="s">
        <v>13720</v>
      </c>
      <c r="K7154" s="1" t="str">
        <f t="shared" si="453"/>
        <v>ㄐ</v>
      </c>
      <c r="L7154" s="1" t="str">
        <f t="shared" si="454"/>
        <v>ㄧ</v>
      </c>
      <c r="M7154" s="1" t="str">
        <f t="shared" si="455"/>
        <v>ㄡ</v>
      </c>
      <c r="P7154" s="1" t="s">
        <v>20</v>
      </c>
      <c r="R7154" s="1" t="s">
        <v>13721</v>
      </c>
      <c r="V7154" s="1" t="s">
        <v>13747</v>
      </c>
      <c r="W7154" s="1" t="s">
        <v>13748</v>
      </c>
      <c r="AR7154" s="1" t="str">
        <f t="shared" si="452"/>
        <v>| [ㄐㄧㄡ](ㄐㄧㄡ.md) | [蝤](蝤.md) |  | jiū | 參見「蝤蛑」條。 |</v>
      </c>
    </row>
    <row r="7155" spans="1:44" hidden="1">
      <c r="A7155" s="1" t="s">
        <v>13749</v>
      </c>
      <c r="C7155" s="1">
        <v>1</v>
      </c>
      <c r="D7155" s="1" t="str">
        <f>"05705"</f>
        <v>05705</v>
      </c>
      <c r="E7155" s="1" t="s">
        <v>4894</v>
      </c>
      <c r="F7155" s="1">
        <v>26</v>
      </c>
      <c r="G7155" s="1">
        <v>16</v>
      </c>
      <c r="H7155" s="1">
        <v>0</v>
      </c>
      <c r="I7155" s="1" t="s">
        <v>13720</v>
      </c>
      <c r="K7155" s="1" t="str">
        <f t="shared" si="453"/>
        <v>ㄐ</v>
      </c>
      <c r="L7155" s="1" t="str">
        <f t="shared" si="454"/>
        <v>ㄧ</v>
      </c>
      <c r="M7155" s="1" t="str">
        <f t="shared" si="455"/>
        <v>ㄡ</v>
      </c>
      <c r="P7155" s="1" t="s">
        <v>20</v>
      </c>
      <c r="R7155" s="1" t="s">
        <v>13721</v>
      </c>
      <c r="V7155" s="1" t="s">
        <v>13750</v>
      </c>
      <c r="AR7155" s="1" t="str">
        <f t="shared" si="452"/>
        <v>| [ㄐㄧㄡ](ㄐㄧㄡ.md) | [鬮](鬮.md) |  | jiū | [名]
用來抓取以決勝負的器具或抽取以卜可否的紙條。如：「抓鬮」、「拈鬮」。唐．李商隱〈擬意〉詩：「楚妃交薦枕，漢后共藏鬮。」也稱為「鬮兒」。 |</v>
      </c>
    </row>
    <row r="7156" spans="1:44" hidden="1">
      <c r="A7156" s="1" t="s">
        <v>13751</v>
      </c>
      <c r="C7156" s="1">
        <v>1</v>
      </c>
      <c r="D7156" s="1" t="str">
        <f>"05706"</f>
        <v>05706</v>
      </c>
      <c r="E7156" s="1" t="s">
        <v>3480</v>
      </c>
      <c r="F7156" s="1">
        <v>2</v>
      </c>
      <c r="G7156" s="1">
        <v>1</v>
      </c>
      <c r="H7156" s="1">
        <v>0</v>
      </c>
      <c r="I7156" s="1" t="s">
        <v>13752</v>
      </c>
      <c r="K7156" s="1" t="str">
        <f t="shared" si="453"/>
        <v>ㄐ</v>
      </c>
      <c r="L7156" s="1" t="str">
        <f t="shared" si="454"/>
        <v>ㄧ</v>
      </c>
      <c r="M7156" s="1" t="str">
        <f t="shared" si="455"/>
        <v>ㄡ</v>
      </c>
      <c r="P7156" s="1" t="s">
        <v>20</v>
      </c>
      <c r="R7156" s="1" t="s">
        <v>13753</v>
      </c>
      <c r="V7156" s="1" t="s">
        <v>13754</v>
      </c>
      <c r="AR7156" s="1" t="str">
        <f t="shared" si="452"/>
        <v>| [ㄐㄧㄡˇ](ㄐㄧㄡˇ.md) | [九](九.md) |  | jiǔ | [名]
1.介於八與十之間的自然數。如：「七、八、九、十……。」大寫作「玖」。阿拉伯數字作「9」。
2.姓。如唐代有九嘉。
[形]
形容極多。如：「九霄雲外」、「九泉之下」、「九牛一毛」。
[副]
表示多數、多次。如：「九死一生」。《淮南子．脩務》：「公輸般設攻宋之械，墨子設守宋之備，九攻而墨子九卻之。」 |</v>
      </c>
    </row>
    <row r="7157" spans="1:44" hidden="1">
      <c r="A7157" s="1" t="s">
        <v>13755</v>
      </c>
      <c r="C7157" s="1">
        <v>1</v>
      </c>
      <c r="D7157" s="1" t="str">
        <f>"05707"</f>
        <v>05707</v>
      </c>
      <c r="E7157" s="1" t="s">
        <v>1663</v>
      </c>
      <c r="F7157" s="1">
        <v>3</v>
      </c>
      <c r="G7157" s="1">
        <v>2</v>
      </c>
      <c r="H7157" s="1">
        <v>0</v>
      </c>
      <c r="I7157" s="1" t="s">
        <v>13752</v>
      </c>
      <c r="K7157" s="1" t="str">
        <f t="shared" si="453"/>
        <v>ㄐ</v>
      </c>
      <c r="L7157" s="1" t="str">
        <f t="shared" si="454"/>
        <v>ㄧ</v>
      </c>
      <c r="M7157" s="1" t="str">
        <f t="shared" si="455"/>
        <v>ㄡ</v>
      </c>
      <c r="P7157" s="1" t="s">
        <v>20</v>
      </c>
      <c r="R7157" s="1" t="s">
        <v>13753</v>
      </c>
      <c r="V7157" s="1" t="s">
        <v>13756</v>
      </c>
      <c r="AR7157" s="1" t="str">
        <f t="shared" si="452"/>
        <v>| [ㄐㄧㄡˇ](ㄐㄧㄡˇ.md) | [久](久.md) |  | jiǔ | [副]
時間長遠。如：「久違」、「久別重逢」、「久負盛名」。
[名]
經歷時間的長短。如：「他出去多久了？」
[形]
舊的。《孔子家語．卷五．顏回》：「不忘久德，不思久怨。」
[動]
留、滯留。《孟子．公孫丑上》：「可以久則久，可以速則速，孔子也。」漢．趙岐．注：「久，留也。」 |</v>
      </c>
    </row>
    <row r="7158" spans="1:44" hidden="1">
      <c r="A7158" s="1" t="s">
        <v>13757</v>
      </c>
      <c r="C7158" s="1">
        <v>1</v>
      </c>
      <c r="D7158" s="1" t="str">
        <f>"05708"</f>
        <v>05708</v>
      </c>
      <c r="E7158" s="1" t="s">
        <v>142</v>
      </c>
      <c r="F7158" s="1">
        <v>7</v>
      </c>
      <c r="G7158" s="1">
        <v>3</v>
      </c>
      <c r="H7158" s="1">
        <v>0</v>
      </c>
      <c r="I7158" s="1" t="s">
        <v>13752</v>
      </c>
      <c r="K7158" s="1" t="str">
        <f t="shared" si="453"/>
        <v>ㄐ</v>
      </c>
      <c r="L7158" s="1" t="str">
        <f t="shared" si="454"/>
        <v>ㄧ</v>
      </c>
      <c r="M7158" s="1" t="str">
        <f t="shared" si="455"/>
        <v>ㄡ</v>
      </c>
      <c r="P7158" s="1" t="s">
        <v>20</v>
      </c>
      <c r="R7158" s="1" t="s">
        <v>13753</v>
      </c>
      <c r="V7158" s="1" t="s">
        <v>13758</v>
      </c>
      <c r="AR7158" s="1" t="str">
        <f t="shared" si="452"/>
        <v>| [ㄐㄧㄡˇ](ㄐㄧㄡˇ.md) | [玖](玖.md) |  | jiǔ | [名]
1.比玉稍差的黑色美石。《說文解字．玉部》：「玖，石之次玉黑色者。」如：「瓊玖」。《詩經．王風．丘中有麻》：「彼留之子，貽我佩玖。」
2.九的大寫。 |</v>
      </c>
    </row>
    <row r="7159" spans="1:44" hidden="1">
      <c r="A7159" s="1" t="s">
        <v>13759</v>
      </c>
      <c r="C7159" s="1">
        <v>1</v>
      </c>
      <c r="D7159" s="1" t="str">
        <f>"05709"</f>
        <v>05709</v>
      </c>
      <c r="E7159" s="1" t="s">
        <v>336</v>
      </c>
      <c r="F7159" s="1">
        <v>7</v>
      </c>
      <c r="G7159" s="1">
        <v>3</v>
      </c>
      <c r="H7159" s="1">
        <v>0</v>
      </c>
      <c r="I7159" s="1" t="s">
        <v>13752</v>
      </c>
      <c r="K7159" s="1" t="str">
        <f t="shared" si="453"/>
        <v>ㄐ</v>
      </c>
      <c r="L7159" s="1" t="str">
        <f t="shared" si="454"/>
        <v>ㄧ</v>
      </c>
      <c r="M7159" s="1" t="str">
        <f t="shared" si="455"/>
        <v>ㄡ</v>
      </c>
      <c r="P7159" s="1" t="s">
        <v>20</v>
      </c>
      <c r="R7159" s="1" t="s">
        <v>13753</v>
      </c>
      <c r="V7159" s="1" t="s">
        <v>13760</v>
      </c>
      <c r="AR7159" s="1" t="str">
        <f t="shared" si="452"/>
        <v>| [ㄐㄧㄡˇ](ㄐㄧㄡˇ.md) | [灸](灸.md) |  | jiǔ | [名]
中醫上指點燃由艾葉等藥物製成的艾炷或艾卷，熏熱人體的體穴表面，以達治療目的的方法。如：「針灸」、「溫和灸」、「回旋灸」。
[動]
燒灼。《後漢書．卷一．光武帝紀下》：「癸亥，詔曰：『敢灸灼奴婢，論如律，免所灸灼者為庶。』」 |</v>
      </c>
    </row>
    <row r="7160" spans="1:44" hidden="1">
      <c r="A7160" s="1" t="s">
        <v>13725</v>
      </c>
      <c r="C7160" s="1">
        <v>1</v>
      </c>
      <c r="D7160" s="1" t="str">
        <f>"05710"</f>
        <v>05710</v>
      </c>
      <c r="E7160" s="1" t="s">
        <v>725</v>
      </c>
      <c r="F7160" s="1">
        <v>8</v>
      </c>
      <c r="G7160" s="1">
        <v>2</v>
      </c>
      <c r="H7160" s="1">
        <v>2</v>
      </c>
      <c r="I7160" s="1" t="s">
        <v>13752</v>
      </c>
      <c r="K7160" s="1" t="str">
        <f t="shared" si="453"/>
        <v>ㄐ</v>
      </c>
      <c r="L7160" s="1" t="str">
        <f t="shared" si="454"/>
        <v>ㄧ</v>
      </c>
      <c r="M7160" s="1" t="str">
        <f t="shared" si="455"/>
        <v>ㄡ</v>
      </c>
      <c r="P7160" s="1" t="s">
        <v>110</v>
      </c>
      <c r="R7160" s="1" t="s">
        <v>13753</v>
      </c>
      <c r="V7160" s="1" t="s">
        <v>111</v>
      </c>
      <c r="W7160" s="1" t="s">
        <v>13761</v>
      </c>
      <c r="AR7160" s="1" t="str">
        <f t="shared" si="452"/>
        <v>| [ㄐㄧㄡˇ](ㄐㄧㄡˇ.md) | [糾](糾.md) |  | jiǔ | (一)之又音。 |</v>
      </c>
    </row>
    <row r="7161" spans="1:44" hidden="1">
      <c r="A7161" s="1" t="s">
        <v>13728</v>
      </c>
      <c r="C7161" s="1">
        <v>1</v>
      </c>
      <c r="D7161" s="1" t="str">
        <f>"05711"</f>
        <v>05711</v>
      </c>
      <c r="E7161" s="1" t="s">
        <v>4563</v>
      </c>
      <c r="F7161" s="1">
        <v>9</v>
      </c>
      <c r="G7161" s="1">
        <v>2</v>
      </c>
      <c r="H7161" s="1">
        <v>2</v>
      </c>
      <c r="I7161" s="1" t="s">
        <v>13752</v>
      </c>
      <c r="K7161" s="1" t="str">
        <f t="shared" si="453"/>
        <v>ㄐ</v>
      </c>
      <c r="L7161" s="1" t="str">
        <f t="shared" si="454"/>
        <v>ㄧ</v>
      </c>
      <c r="M7161" s="1" t="str">
        <f t="shared" si="455"/>
        <v>ㄡ</v>
      </c>
      <c r="P7161" s="1" t="s">
        <v>110</v>
      </c>
      <c r="R7161" s="1" t="s">
        <v>13753</v>
      </c>
      <c r="V7161" s="1" t="s">
        <v>111</v>
      </c>
      <c r="W7161" s="1" t="s">
        <v>13762</v>
      </c>
      <c r="AR7161" s="1" t="str">
        <f t="shared" si="452"/>
        <v>| [ㄐㄧㄡˇ](ㄐㄧㄡˇ.md) | [赳](赳.md) |  | jiǔ | (一)之又音。 |</v>
      </c>
    </row>
    <row r="7162" spans="1:44" hidden="1">
      <c r="A7162" s="1" t="s">
        <v>13763</v>
      </c>
      <c r="C7162" s="1">
        <v>1</v>
      </c>
      <c r="D7162" s="1" t="str">
        <f>"05712"</f>
        <v>05712</v>
      </c>
      <c r="E7162" s="1" t="s">
        <v>13764</v>
      </c>
      <c r="F7162" s="1">
        <v>9</v>
      </c>
      <c r="G7162" s="1">
        <v>0</v>
      </c>
      <c r="H7162" s="1">
        <v>0</v>
      </c>
      <c r="I7162" s="1" t="s">
        <v>13752</v>
      </c>
      <c r="K7162" s="1" t="str">
        <f t="shared" si="453"/>
        <v>ㄐ</v>
      </c>
      <c r="L7162" s="1" t="str">
        <f t="shared" si="454"/>
        <v>ㄧ</v>
      </c>
      <c r="M7162" s="1" t="str">
        <f t="shared" si="455"/>
        <v>ㄡ</v>
      </c>
      <c r="P7162" s="1" t="s">
        <v>20</v>
      </c>
      <c r="R7162" s="1" t="s">
        <v>13753</v>
      </c>
      <c r="V7162" s="1" t="s">
        <v>13765</v>
      </c>
      <c r="AR7162" s="1" t="str">
        <f t="shared" si="452"/>
        <v>| [ㄐㄧㄡˇ](ㄐㄧㄡˇ.md) | [韭](韭.md) |  | jiǔ | [名]
1.植物名。石蒜科蔥屬，「韭菜」之簡稱，參見「韭菜」條。
2.二一四部首之一。 |</v>
      </c>
    </row>
    <row r="7163" spans="1:44" hidden="1">
      <c r="A7163" s="1" t="s">
        <v>13766</v>
      </c>
      <c r="C7163" s="1">
        <v>1</v>
      </c>
      <c r="D7163" s="1" t="str">
        <f>"05713"</f>
        <v>05713</v>
      </c>
      <c r="E7163" s="1" t="s">
        <v>1462</v>
      </c>
      <c r="F7163" s="1">
        <v>10</v>
      </c>
      <c r="G7163" s="1">
        <v>3</v>
      </c>
      <c r="H7163" s="1">
        <v>0</v>
      </c>
      <c r="I7163" s="1" t="s">
        <v>13752</v>
      </c>
      <c r="K7163" s="1" t="str">
        <f t="shared" si="453"/>
        <v>ㄐ</v>
      </c>
      <c r="L7163" s="1" t="str">
        <f t="shared" si="454"/>
        <v>ㄧ</v>
      </c>
      <c r="M7163" s="1" t="str">
        <f t="shared" si="455"/>
        <v>ㄡ</v>
      </c>
      <c r="P7163" s="1" t="s">
        <v>20</v>
      </c>
      <c r="R7163" s="1" t="s">
        <v>13753</v>
      </c>
      <c r="V7163" s="1" t="s">
        <v>13767</v>
      </c>
      <c r="AR7163" s="1" t="str">
        <f t="shared" si="452"/>
        <v>| [ㄐㄧㄡˇ](ㄐㄧㄡˇ.md) | [酒](酒.md) |  | jiǔ | [名]
用米、麥或水果等發酵釀製而成，內含酒精的刺激性飲料。如：「米酒」、「葡萄酒」。宋．陸游〈假中閉戶終日偶得絕句〉三首之三：「官身常欠讀書債，祿米不供沽酒資。」 |</v>
      </c>
    </row>
    <row r="7164" spans="1:44" hidden="1">
      <c r="A7164" s="1" t="s">
        <v>13768</v>
      </c>
      <c r="C7164" s="1">
        <v>1</v>
      </c>
      <c r="D7164" s="1" t="str">
        <f>"05714"</f>
        <v>05714</v>
      </c>
      <c r="E7164" s="1" t="s">
        <v>250</v>
      </c>
      <c r="F7164" s="1">
        <v>12</v>
      </c>
      <c r="G7164" s="1">
        <v>9</v>
      </c>
      <c r="H7164" s="1">
        <v>2</v>
      </c>
      <c r="I7164" s="1" t="s">
        <v>13752</v>
      </c>
      <c r="K7164" s="1" t="str">
        <f t="shared" si="453"/>
        <v>ㄐ</v>
      </c>
      <c r="L7164" s="1" t="str">
        <f t="shared" si="454"/>
        <v>ㄧ</v>
      </c>
      <c r="M7164" s="1" t="str">
        <f t="shared" si="455"/>
        <v>ㄡ</v>
      </c>
      <c r="P7164" s="1" t="s">
        <v>110</v>
      </c>
      <c r="R7164" s="1" t="s">
        <v>13753</v>
      </c>
      <c r="V7164" s="1" t="s">
        <v>111</v>
      </c>
      <c r="W7164" s="1" t="s">
        <v>13769</v>
      </c>
      <c r="AR7164" s="1" t="str">
        <f t="shared" si="452"/>
        <v>| [ㄐㄧㄡˇ](ㄐㄧㄡˇ.md) | [愀](愀.md) |  | jiǔ | (一)之又音。 |</v>
      </c>
    </row>
    <row r="7165" spans="1:44" hidden="1">
      <c r="A7165" s="1" t="s">
        <v>13770</v>
      </c>
      <c r="C7165" s="1">
        <v>1</v>
      </c>
      <c r="D7165" s="1" t="str">
        <f>"05715"</f>
        <v>05715</v>
      </c>
      <c r="E7165" s="1" t="s">
        <v>13771</v>
      </c>
      <c r="F7165" s="1">
        <v>6</v>
      </c>
      <c r="G7165" s="1">
        <v>0</v>
      </c>
      <c r="H7165" s="1">
        <v>0</v>
      </c>
      <c r="I7165" s="1" t="s">
        <v>13772</v>
      </c>
      <c r="K7165" s="1" t="str">
        <f t="shared" si="453"/>
        <v>ㄐ</v>
      </c>
      <c r="L7165" s="1" t="str">
        <f t="shared" si="454"/>
        <v>ㄧ</v>
      </c>
      <c r="M7165" s="1" t="str">
        <f t="shared" si="455"/>
        <v>ㄡ</v>
      </c>
      <c r="P7165" s="1" t="s">
        <v>20</v>
      </c>
      <c r="R7165" s="1" t="s">
        <v>13773</v>
      </c>
      <c r="V7165" s="1" t="s">
        <v>13774</v>
      </c>
      <c r="AR7165" s="1" t="str">
        <f t="shared" si="452"/>
        <v>| [ㄐㄧㄡˋ](ㄐㄧㄡˋ.md) | [臼](臼.md) |  | jiù | [名]
1.中間下凹的舂米器具。如：「石臼」、「磨臼」。漢．王充《論衡．量知》：「穀之始熟曰粟，舂之於臼，簸其粃糠。」
2.二一四部首之一。
[形]
形狀像臼的。如：「臼齒」。 |</v>
      </c>
    </row>
    <row r="7166" spans="1:44" hidden="1">
      <c r="A7166" s="1" t="s">
        <v>13775</v>
      </c>
      <c r="C7166" s="1">
        <v>1</v>
      </c>
      <c r="D7166" s="1" t="str">
        <f>"05716"</f>
        <v>05716</v>
      </c>
      <c r="E7166" s="1" t="s">
        <v>13771</v>
      </c>
      <c r="F7166" s="1">
        <v>13</v>
      </c>
      <c r="G7166" s="1">
        <v>7</v>
      </c>
      <c r="H7166" s="1">
        <v>0</v>
      </c>
      <c r="I7166" s="1" t="s">
        <v>13772</v>
      </c>
      <c r="K7166" s="1" t="str">
        <f t="shared" si="453"/>
        <v>ㄐ</v>
      </c>
      <c r="L7166" s="1" t="str">
        <f t="shared" si="454"/>
        <v>ㄧ</v>
      </c>
      <c r="M7166" s="1" t="str">
        <f t="shared" si="455"/>
        <v>ㄡ</v>
      </c>
      <c r="P7166" s="1" t="s">
        <v>20</v>
      </c>
      <c r="R7166" s="1" t="s">
        <v>13773</v>
      </c>
      <c r="V7166" s="1" t="s">
        <v>13776</v>
      </c>
      <c r="AR7166" s="1" t="str">
        <f t="shared" si="452"/>
        <v>| [ㄐㄧㄡˋ](ㄐㄧㄡˋ.md) | [舅](舅.md) |  | jiù | [名]
1.稱謂：(1)用以稱母親的兄弟。如：「舅舅」、「母舅」。《晉書．卷八五．何無忌傳》：「何無忌，劉牢之之甥，酷似其舅。」(2)用以稱妻子的兄弟。如：「妻舅」、「大舅爺」、「小舅子」。也稱為「舅子」。(3)古代婦女尊稱丈夫的父親。如：「舅姑」。《禮記．檀弓下》：「昔者，吾舅死於虎，吾夫又死焉。」漢．鄭玄．注：「夫之父曰舅。」
2.姓。如春秋時晉國有舅犯。 |</v>
      </c>
    </row>
    <row r="7167" spans="1:44" hidden="1">
      <c r="A7167" s="1" t="s">
        <v>13777</v>
      </c>
      <c r="C7167" s="1">
        <v>1</v>
      </c>
      <c r="D7167" s="1" t="str">
        <f>"05717"</f>
        <v>05717</v>
      </c>
      <c r="E7167" s="1" t="s">
        <v>13771</v>
      </c>
      <c r="F7167" s="1">
        <v>18</v>
      </c>
      <c r="G7167" s="1">
        <v>12</v>
      </c>
      <c r="H7167" s="1">
        <v>0</v>
      </c>
      <c r="I7167" s="1" t="s">
        <v>13772</v>
      </c>
      <c r="K7167" s="1" t="str">
        <f t="shared" si="453"/>
        <v>ㄐ</v>
      </c>
      <c r="L7167" s="1" t="str">
        <f t="shared" si="454"/>
        <v>ㄧ</v>
      </c>
      <c r="M7167" s="1" t="str">
        <f t="shared" si="455"/>
        <v>ㄡ</v>
      </c>
      <c r="P7167" s="1" t="s">
        <v>20</v>
      </c>
      <c r="R7167" s="1" t="s">
        <v>13773</v>
      </c>
      <c r="V7167" s="1" t="s">
        <v>13778</v>
      </c>
      <c r="AR7167" s="1" t="str">
        <f t="shared" si="452"/>
        <v>| [ㄐㄧㄡˋ](ㄐㄧㄡˋ.md) | [舊](舊.md) |  | jiù | [形]
不新的、古老的、從前的。如：「舊日」、「舊交」、「舊車」、「舊衣服」、「舊習慣」。《詩經．大雅．文王》：「周雖舊邦，其命維新。」唐．杜牧〈旅宿〉詩：「寒燈思舊事，斷雁警愁眠。」
[名]
交情、老朋友。如：「念舊」、「懷舊」、「親朋故舊」。《三國志．卷三八．蜀書．許靖傳》：「吳郡都尉許貢、會稽太守王朗素與靖有舊，故往保焉。」 |</v>
      </c>
    </row>
    <row r="7168" spans="1:44" hidden="1">
      <c r="A7168" s="1" t="s">
        <v>13731</v>
      </c>
      <c r="C7168" s="1">
        <v>1</v>
      </c>
      <c r="D7168" s="1" t="str">
        <f>"05718"</f>
        <v>05718</v>
      </c>
      <c r="E7168" s="1" t="s">
        <v>1274</v>
      </c>
      <c r="F7168" s="1">
        <v>7</v>
      </c>
      <c r="G7168" s="1">
        <v>2</v>
      </c>
      <c r="H7168" s="1">
        <v>1</v>
      </c>
      <c r="I7168" s="1" t="s">
        <v>13772</v>
      </c>
      <c r="K7168" s="1" t="str">
        <f t="shared" si="453"/>
        <v>ㄐ</v>
      </c>
      <c r="L7168" s="1" t="str">
        <f t="shared" si="454"/>
        <v>ㄧ</v>
      </c>
      <c r="M7168" s="1" t="str">
        <f t="shared" si="455"/>
        <v>ㄡ</v>
      </c>
      <c r="P7168" s="1" t="s">
        <v>20</v>
      </c>
      <c r="R7168" s="1" t="s">
        <v>13773</v>
      </c>
      <c r="V7168" s="1" t="s">
        <v>13779</v>
      </c>
      <c r="W7168" s="1" t="s">
        <v>13780</v>
      </c>
      <c r="AR7168" s="1" t="str">
        <f t="shared" si="452"/>
        <v>| [ㄐㄧㄡˋ](ㄐㄧㄡˋ.md) | [究](究.md) |  | jiù | [動]
1.窮、盡。《說文解字．穴部》：「究，窮也。」《漢書．卷六二．司馬遷傳》：「六藝經傳以千萬數，累世不能通其學，當年不能究其禮。」
2.探尋、推求。如：「推究」、「研究」、「追根究底」。《晉書．卷三三．列傳．鄭沖》：「耽玩經史，遂博究儒術及百家之言。」
3.查詢、追問。如：「追究」、「既往不究」。唐．韓愈〈原毀〉：「舉其一，不計其十，究其舊，不圖其新。」
[副]
到底、終竟。如：「終究」、「究竟」。《鏡花緣》第一三回：「寒家在此雖住了三代，究係寄居，親友甚少。」 |</v>
      </c>
    </row>
    <row r="7169" spans="1:44" hidden="1">
      <c r="A7169" s="1" t="s">
        <v>13781</v>
      </c>
      <c r="C7169" s="1">
        <v>1</v>
      </c>
      <c r="D7169" s="1" t="str">
        <f>"05719"</f>
        <v>05719</v>
      </c>
      <c r="E7169" s="1" t="s">
        <v>40</v>
      </c>
      <c r="F7169" s="1">
        <v>8</v>
      </c>
      <c r="G7169" s="1">
        <v>3</v>
      </c>
      <c r="H7169" s="1">
        <v>0</v>
      </c>
      <c r="I7169" s="1" t="s">
        <v>13772</v>
      </c>
      <c r="K7169" s="1" t="str">
        <f t="shared" si="453"/>
        <v>ㄐ</v>
      </c>
      <c r="L7169" s="1" t="str">
        <f t="shared" si="454"/>
        <v>ㄧ</v>
      </c>
      <c r="M7169" s="1" t="str">
        <f t="shared" si="455"/>
        <v>ㄡ</v>
      </c>
      <c r="P7169" s="1" t="s">
        <v>20</v>
      </c>
      <c r="R7169" s="1" t="s">
        <v>13773</v>
      </c>
      <c r="V7169" s="1" t="s">
        <v>13782</v>
      </c>
      <c r="AR7169" s="1" t="str">
        <f t="shared" si="452"/>
        <v>| [ㄐㄧㄡˋ](ㄐㄧㄡˋ.md) | [疚](疚.md) |  | jiù | [名]
1.長久不癒的病痛。《集韻．去聲．宥韻》：「疚，久病也。」《韓非子．顯學》：「無饑饉疾疚禍罪之殃。」
2.貧窮。《詩經．大雅．召旻》：「維昔之富不如時，維今之疚不如茲。」
[動]
慚愧後悔。如：「內疚」、「愧疚」、「歉疚」。 |</v>
      </c>
    </row>
    <row r="7170" spans="1:44" hidden="1">
      <c r="A7170" s="1" t="s">
        <v>13783</v>
      </c>
      <c r="C7170" s="1">
        <v>1</v>
      </c>
      <c r="D7170" s="1" t="str">
        <f>"05720"</f>
        <v>05720</v>
      </c>
      <c r="E7170" s="1" t="s">
        <v>139</v>
      </c>
      <c r="F7170" s="1">
        <v>9</v>
      </c>
      <c r="G7170" s="1">
        <v>5</v>
      </c>
      <c r="H7170" s="1">
        <v>0</v>
      </c>
      <c r="I7170" s="1" t="s">
        <v>13772</v>
      </c>
      <c r="K7170" s="1" t="str">
        <f t="shared" si="453"/>
        <v>ㄐ</v>
      </c>
      <c r="L7170" s="1" t="str">
        <f t="shared" si="454"/>
        <v>ㄧ</v>
      </c>
      <c r="M7170" s="1" t="str">
        <f t="shared" si="455"/>
        <v>ㄡ</v>
      </c>
      <c r="P7170" s="1" t="s">
        <v>20</v>
      </c>
      <c r="R7170" s="1" t="s">
        <v>13773</v>
      </c>
      <c r="V7170" s="1" t="s">
        <v>13784</v>
      </c>
      <c r="AR7170" s="1" t="str">
        <f t="shared" si="452"/>
        <v>| [ㄐㄧㄡˋ](ㄐㄧㄡˋ.md) | [柩](柩.md) |  | jiù | [名]
裝有屍體的棺材。如：「靈柩」、「棺柩」。《禮記．曲禮下》：「在床曰尸，在棺曰柩。」 |</v>
      </c>
    </row>
    <row r="7171" spans="1:44" hidden="1">
      <c r="A7171" s="1" t="s">
        <v>9710</v>
      </c>
      <c r="C7171" s="1">
        <v>1</v>
      </c>
      <c r="D7171" s="1" t="str">
        <f>"05721"</f>
        <v>05721</v>
      </c>
      <c r="E7171" s="1" t="s">
        <v>28</v>
      </c>
      <c r="F7171" s="1">
        <v>8</v>
      </c>
      <c r="G7171" s="1">
        <v>5</v>
      </c>
      <c r="H7171" s="1">
        <v>1</v>
      </c>
      <c r="I7171" s="1" t="s">
        <v>13772</v>
      </c>
      <c r="K7171" s="1" t="str">
        <f t="shared" si="453"/>
        <v>ㄐ</v>
      </c>
      <c r="L7171" s="1" t="str">
        <f t="shared" si="454"/>
        <v>ㄧ</v>
      </c>
      <c r="M7171" s="1" t="str">
        <f t="shared" si="455"/>
        <v>ㄡ</v>
      </c>
      <c r="P7171" s="1" t="s">
        <v>20</v>
      </c>
      <c r="R7171" s="1" t="s">
        <v>13773</v>
      </c>
      <c r="V7171" s="1" t="s">
        <v>13785</v>
      </c>
      <c r="W7171" s="1" t="s">
        <v>13786</v>
      </c>
      <c r="AR7171" s="1" t="str">
        <f t="shared" ref="AR7171:AR7234" si="456">"| ["&amp;I7171&amp;"]("&amp;I7171&amp;".md) | ["&amp;A7171&amp;"]("&amp;A7171&amp;".md) | "&amp;" | "&amp;R7171&amp;" | "&amp;V7171&amp;" |"</f>
        <v>| [ㄐㄧㄡˋ](ㄐㄧㄡˋ.md) | [咎](咎.md) |  | jiù | [名]
1.災禍。如：「咎由自取」。《書經．大禹謨》：「民棄不保，天降之咎。」
2.過失。如：「引咎辭職」、「難辭其咎」。《文選．諸葛亮．出師表》：「責攸之、褘、允等咎，以彰其慢。」
[動]
1.責罰、怪罪。如：「既往不咎」。《左傳．僖公二十三年》：「國人皆咎公。」
2.憎惡。《史記．卷三．殷本紀》：「紂之臣祖伊，聞之而咎周。」 |</v>
      </c>
    </row>
    <row r="7172" spans="1:44" hidden="1">
      <c r="A7172" s="1" t="s">
        <v>13787</v>
      </c>
      <c r="C7172" s="1">
        <v>1</v>
      </c>
      <c r="D7172" s="1" t="str">
        <f>"05722"</f>
        <v>05722</v>
      </c>
      <c r="E7172" s="1" t="s">
        <v>24</v>
      </c>
      <c r="F7172" s="1">
        <v>10</v>
      </c>
      <c r="G7172" s="1">
        <v>7</v>
      </c>
      <c r="H7172" s="1">
        <v>0</v>
      </c>
      <c r="I7172" s="1" t="s">
        <v>13772</v>
      </c>
      <c r="K7172" s="1" t="str">
        <f t="shared" ref="K7172:K7235" si="457">LEFT(I7172, 1)</f>
        <v>ㄐ</v>
      </c>
      <c r="L7172" s="1" t="str">
        <f t="shared" ref="L7172:L7235" si="458">MID(I7172, 2, 1)</f>
        <v>ㄧ</v>
      </c>
      <c r="M7172" s="1" t="str">
        <f t="shared" ref="M7172:M7235" si="459">MID(I7172, 3, 1)</f>
        <v>ㄡ</v>
      </c>
      <c r="P7172" s="1" t="s">
        <v>20</v>
      </c>
      <c r="R7172" s="1" t="s">
        <v>13773</v>
      </c>
      <c r="V7172" s="1" t="s">
        <v>13788</v>
      </c>
      <c r="AR7172" s="1" t="str">
        <f t="shared" si="456"/>
        <v>| [ㄐㄧㄡˋ](ㄐㄧㄡˋ.md) | [捄](捄.md) |  | jiù | [動]
援助、拯救。通「救」。《新唐書．卷一七八．劉蕡傳》：「沈健于謀，浩然有捄世意。」 |</v>
      </c>
    </row>
    <row r="7173" spans="1:44" hidden="1">
      <c r="A7173" s="1" t="s">
        <v>13789</v>
      </c>
      <c r="C7173" s="1">
        <v>1</v>
      </c>
      <c r="D7173" s="1" t="str">
        <f>"05723"</f>
        <v>05723</v>
      </c>
      <c r="E7173" s="1" t="s">
        <v>426</v>
      </c>
      <c r="F7173" s="1">
        <v>11</v>
      </c>
      <c r="G7173" s="1">
        <v>7</v>
      </c>
      <c r="H7173" s="1">
        <v>0</v>
      </c>
      <c r="I7173" s="1" t="s">
        <v>13772</v>
      </c>
      <c r="K7173" s="1" t="str">
        <f t="shared" si="457"/>
        <v>ㄐ</v>
      </c>
      <c r="L7173" s="1" t="str">
        <f t="shared" si="458"/>
        <v>ㄧ</v>
      </c>
      <c r="M7173" s="1" t="str">
        <f t="shared" si="459"/>
        <v>ㄡ</v>
      </c>
      <c r="P7173" s="1" t="s">
        <v>20</v>
      </c>
      <c r="R7173" s="1" t="s">
        <v>13773</v>
      </c>
      <c r="V7173" s="1" t="s">
        <v>13790</v>
      </c>
      <c r="AR7173" s="1" t="str">
        <f t="shared" si="456"/>
        <v>| [ㄐㄧㄡˋ](ㄐㄧㄡˋ.md) | [救](救.md) |  | jiù | [動]
1.制止、阻止。如：「救火」。《管子．立政》：「山澤救於火，草木植成，國之富也。」
2.援助、使脫離困難或危急。如：「拯救」、「援救」、「營救」。《詩經．邶風．谷風》：「凡民有喪，匍匐救之。」
3.治療。如：「急救」、「無藥可救」。《呂氏春秋．孟夏紀．勸學》：「是救病而飲之以堇也。」 |</v>
      </c>
    </row>
    <row r="7174" spans="1:44" hidden="1">
      <c r="A7174" s="1" t="s">
        <v>13791</v>
      </c>
      <c r="C7174" s="1">
        <v>1</v>
      </c>
      <c r="D7174" s="1" t="str">
        <f>"05724"</f>
        <v>05724</v>
      </c>
      <c r="E7174" s="1" t="s">
        <v>1935</v>
      </c>
      <c r="F7174" s="1">
        <v>12</v>
      </c>
      <c r="G7174" s="1">
        <v>9</v>
      </c>
      <c r="H7174" s="1">
        <v>0</v>
      </c>
      <c r="I7174" s="1" t="s">
        <v>13772</v>
      </c>
      <c r="K7174" s="1" t="str">
        <f t="shared" si="457"/>
        <v>ㄐ</v>
      </c>
      <c r="L7174" s="1" t="str">
        <f t="shared" si="458"/>
        <v>ㄧ</v>
      </c>
      <c r="M7174" s="1" t="str">
        <f t="shared" si="459"/>
        <v>ㄡ</v>
      </c>
      <c r="P7174" s="1" t="s">
        <v>20</v>
      </c>
      <c r="R7174" s="1" t="s">
        <v>13773</v>
      </c>
      <c r="V7174" s="1" t="s">
        <v>13792</v>
      </c>
      <c r="AR7174" s="1" t="str">
        <f t="shared" si="456"/>
        <v>| [ㄐㄧㄡˋ](ㄐㄧㄡˋ.md) | [就](就.md) |  | jiù | [動]
1.成功、完成。如：「造就人才」、「功成名就」。唐．魏徵〈述懷〉詩：「縱橫計不就，慷慨志猶存。」
2.從事。如：「就職」、「就業」。《水滸傳》第四一回：「科舉不第，棄文就武。」
3.趨近、靠近。如：「避重就輕」、「就近照顧」。《易經．乾卦．文言曰》：「水流濕，火就燥。」唐．孟浩然〈過故人莊〉詩：「待到重陽日，還來就菊花。」
4.因襲。如：「因陋就簡」。晉．張華〈王公上壽酒食舉樂歌詩表〉：「是以一皆因就，不敢有所改易。」
5.依順、依從。如：「遷就」、「半推半就」。《水滸傳》第二三回：「武松把半截棒丟在一邊，兩隻手就勢把大蟲頂花皮肐𦞂地揪住。」
[副]
1.即刻、馬上。表示事情或動作很快就要發生。如：「你等我一下，我去去就來。」、「一會兒就知道了。」
2.只、僅。如：「就剩下這一個了。」
3.表示肯定。如：「這就對了！」、「那就是他家。」
4.早已。如：「一個鐘頭前，我就來了。」
5.偏、偏偏。如：「我就不信我做不來。」
[代]
此、其。唐．白居易〈霓裳羽衣歌〉：「千歌百舞不可數，就中最愛霓裳舞。」
[介]
依照。如：「就事論事」、「就原來的規畫加以調整。」
[連]
1.表承接、選擇、讓步等關係之詞。如：「遇到紅燈，就得停下來。」、「一到家，就去休息了。」、「你不同意，那就算了。」
2.縱使、即使。如：「你就不說，我也知道。」《儒林外史》第二回：「若是不進學，就到八十歲，也還稱小友。」 |</v>
      </c>
    </row>
    <row r="7175" spans="1:44" hidden="1">
      <c r="A7175" s="1" t="s">
        <v>13793</v>
      </c>
      <c r="C7175" s="1">
        <v>1</v>
      </c>
      <c r="D7175" s="1" t="str">
        <f>"05725"</f>
        <v>05725</v>
      </c>
      <c r="E7175" s="1" t="s">
        <v>114</v>
      </c>
      <c r="F7175" s="1">
        <v>14</v>
      </c>
      <c r="G7175" s="1">
        <v>12</v>
      </c>
      <c r="H7175" s="1">
        <v>0</v>
      </c>
      <c r="I7175" s="1" t="s">
        <v>13772</v>
      </c>
      <c r="K7175" s="1" t="str">
        <f t="shared" si="457"/>
        <v>ㄐ</v>
      </c>
      <c r="L7175" s="1" t="str">
        <f t="shared" si="458"/>
        <v>ㄧ</v>
      </c>
      <c r="M7175" s="1" t="str">
        <f t="shared" si="459"/>
        <v>ㄡ</v>
      </c>
      <c r="P7175" s="1" t="s">
        <v>20</v>
      </c>
      <c r="R7175" s="1" t="s">
        <v>13773</v>
      </c>
      <c r="V7175" s="1" t="s">
        <v>13794</v>
      </c>
      <c r="AR7175" s="1" t="str">
        <f t="shared" si="456"/>
        <v>| [ㄐㄧㄡˋ](ㄐㄧㄡˋ.md) | [僦](僦.md) |  | jiù | [動]
租賃。《聊齋志異．卷二．巧娘》：「君行後，老身攜兩女僦屋於貴邑。」 |</v>
      </c>
    </row>
    <row r="7176" spans="1:44" hidden="1">
      <c r="A7176" s="1" t="s">
        <v>13795</v>
      </c>
      <c r="C7176" s="1">
        <v>1</v>
      </c>
      <c r="D7176" s="1" t="str">
        <f>"05726"</f>
        <v>05726</v>
      </c>
      <c r="E7176" s="1" t="s">
        <v>272</v>
      </c>
      <c r="F7176" s="1">
        <v>23</v>
      </c>
      <c r="G7176" s="1">
        <v>12</v>
      </c>
      <c r="H7176" s="1">
        <v>0</v>
      </c>
      <c r="I7176" s="1" t="s">
        <v>13772</v>
      </c>
      <c r="K7176" s="1" t="str">
        <f t="shared" si="457"/>
        <v>ㄐ</v>
      </c>
      <c r="L7176" s="1" t="str">
        <f t="shared" si="458"/>
        <v>ㄧ</v>
      </c>
      <c r="M7176" s="1" t="str">
        <f t="shared" si="459"/>
        <v>ㄡ</v>
      </c>
      <c r="P7176" s="1" t="s">
        <v>20</v>
      </c>
      <c r="R7176" s="1" t="s">
        <v>13773</v>
      </c>
      <c r="V7176" s="1" t="s">
        <v>13796</v>
      </c>
      <c r="AR7176" s="1" t="str">
        <f t="shared" si="456"/>
        <v>| [ㄐㄧㄡˋ](ㄐㄧㄡˋ.md) | [鷲](鷲.md) |  | jiù | [名]
動物名。鷲形目鷲鷹科。翅膀寬大，胸部肌肉發達，飛行能力佳，具利爪、鉤喙及敏銳的雙眼。為肉食性猛禽。 |</v>
      </c>
    </row>
    <row r="7177" spans="1:44" hidden="1">
      <c r="A7177" s="1" t="s">
        <v>13797</v>
      </c>
      <c r="C7177" s="1">
        <v>1</v>
      </c>
      <c r="D7177" s="1" t="str">
        <f>"05727"</f>
        <v>05727</v>
      </c>
      <c r="E7177" s="1" t="s">
        <v>447</v>
      </c>
      <c r="F7177" s="1">
        <v>12</v>
      </c>
      <c r="G7177" s="1">
        <v>9</v>
      </c>
      <c r="H7177" s="1">
        <v>0</v>
      </c>
      <c r="I7177" s="1" t="s">
        <v>13772</v>
      </c>
      <c r="K7177" s="1" t="str">
        <f t="shared" si="457"/>
        <v>ㄐ</v>
      </c>
      <c r="L7177" s="1" t="str">
        <f t="shared" si="458"/>
        <v>ㄧ</v>
      </c>
      <c r="M7177" s="1" t="str">
        <f t="shared" si="459"/>
        <v>ㄡ</v>
      </c>
      <c r="P7177" s="1" t="s">
        <v>20</v>
      </c>
      <c r="R7177" s="1" t="s">
        <v>13773</v>
      </c>
      <c r="V7177" s="1" t="s">
        <v>13798</v>
      </c>
      <c r="AR7177" s="1" t="str">
        <f t="shared" si="456"/>
        <v>| [ㄐㄧㄡˋ](ㄐㄧㄡˋ.md) | [廄](廄.md) |  | jiù | [名]
馬舍，養馬的地方。《詩經．小雅．鴛鴦》：「乘馬在廄，摧之秣之。」《史記．卷三三．魯周公世家》：「家無衣帛之妾，廄無食粟之馬。」 |</v>
      </c>
    </row>
    <row r="7178" spans="1:44" hidden="1">
      <c r="A7178" s="1" t="s">
        <v>13799</v>
      </c>
      <c r="C7178" s="1">
        <v>1</v>
      </c>
      <c r="D7178" s="1" t="str">
        <f>"05728"</f>
        <v>05728</v>
      </c>
      <c r="E7178" s="1" t="s">
        <v>1386</v>
      </c>
      <c r="F7178" s="1">
        <v>6</v>
      </c>
      <c r="G7178" s="1">
        <v>3</v>
      </c>
      <c r="H7178" s="1">
        <v>0</v>
      </c>
      <c r="I7178" s="1" t="s">
        <v>13800</v>
      </c>
      <c r="K7178" s="1" t="str">
        <f t="shared" si="457"/>
        <v>ㄐ</v>
      </c>
      <c r="L7178" s="1" t="str">
        <f t="shared" si="458"/>
        <v>ㄧ</v>
      </c>
      <c r="M7178" s="1" t="str">
        <f t="shared" si="459"/>
        <v>ㄢ</v>
      </c>
      <c r="P7178" s="1" t="s">
        <v>20</v>
      </c>
      <c r="R7178" s="1" t="s">
        <v>13801</v>
      </c>
      <c r="V7178" s="1" t="s">
        <v>13802</v>
      </c>
      <c r="AR7178" s="1" t="str">
        <f t="shared" si="456"/>
        <v>| [ㄐㄧㄢ](ㄐㄧㄢ.md) | [幵](幵.md) |  | jiān | [形]
平。《說文解字．幵部》：「幵，平也。」
[名]
1.漢代羌族的別支，舊居地約在今大陸地區甘肅省天水縣南。
2.姓。如宋代有幵度。 |</v>
      </c>
    </row>
    <row r="7179" spans="1:44" hidden="1">
      <c r="A7179" s="1" t="s">
        <v>13803</v>
      </c>
      <c r="C7179" s="1">
        <v>1</v>
      </c>
      <c r="D7179" s="1" t="str">
        <f>"05729"</f>
        <v>05729</v>
      </c>
      <c r="E7179" s="1" t="s">
        <v>534</v>
      </c>
      <c r="F7179" s="1">
        <v>6</v>
      </c>
      <c r="G7179" s="1">
        <v>3</v>
      </c>
      <c r="H7179" s="1">
        <v>0</v>
      </c>
      <c r="I7179" s="1" t="s">
        <v>13800</v>
      </c>
      <c r="K7179" s="1" t="str">
        <f t="shared" si="457"/>
        <v>ㄐ</v>
      </c>
      <c r="L7179" s="1" t="str">
        <f t="shared" si="458"/>
        <v>ㄧ</v>
      </c>
      <c r="M7179" s="1" t="str">
        <f t="shared" si="459"/>
        <v>ㄢ</v>
      </c>
      <c r="P7179" s="1" t="s">
        <v>20</v>
      </c>
      <c r="R7179" s="1" t="s">
        <v>13801</v>
      </c>
      <c r="V7179" s="1" t="s">
        <v>13804</v>
      </c>
      <c r="AR7179" s="1" t="str">
        <f t="shared" si="456"/>
        <v>| [ㄐㄧㄢ](ㄐㄧㄢ.md) | [奸](奸.md) |  | jiān | [動]_x000D_
1.干犯、冒犯。《左傳．襄公十四年》：「君制其國，臣敢奸之。」唐．柳宗元〈湘源二妃廟碑〉：「敢或失職，以奸大刑。」_x000D_
2.求見、求取。《史記．卷三二．齊太公世家》：「呂尚蓋嘗窮困，年老矣，以漁釣奸周西伯。」《漢書．卷八一．匡張孔馬傳．孔光》：「以為章主之過，以奸忠直，人臣大罪也。」_x000D_
3.發生不正當的性行為。同「姦」。如：「奸汙」。《歡喜冤家》第一回：「我方纔這般大叫，都不在，所以被他奸了。」《老殘遊記》第七回：「也有做強盜的，也有奸淫人家婦女的，屢有所聞。」_x000D_
[形]_x000D_
陰險狡猾的。如：「奸計」、「奸商」、「奸雄」、「老奸巨滑」。漢．曹操〈讓縣自明本志令〉：「又劉表自以為宗室，包藏奸心，乍前乍卻，以觀世事，據有當州。」《新唐書．卷一五二．列傳．李絳》：「君子者，遇主知則進，疑則退，安其位不為它計，故常為奸人所乘。」_x000D_
[名]_x000D_
1.勾結敵人，出賣國家民族的人。如：「內奸」、「漢奸」。《漢書．卷八．宣帝紀》：「高材好學，然亦喜游俠，鬥雞走馬，具知閭里奸邪，吏治得失。」五代十國．李中〈獻喬侍郎〉詩：「除奸深繫念，致主迥忘身。」_x000D_
2.違法的事。如：「作奸犯科」。《金瓶梅詞話》第八六回：「金蓮，你休呆裡撒奸，兩頭白面，說長并道短！」《蕩寇志》第九回：「蔡京班師回朝，不日到了東京，面聖謝恩，同童貫朋比為奸，官家竟被他們瞞過。」_x000D_
3.不正當的性關係。同「姦」。《京本通俗小說．菩薩蠻》：「你這賤人，與個窮和尚通奸，他的度牒也被追了，卻那得錢來替你還府中？」 |</v>
      </c>
    </row>
    <row r="7180" spans="1:44" hidden="1">
      <c r="A7180" s="1" t="s">
        <v>13805</v>
      </c>
      <c r="C7180" s="1">
        <v>1</v>
      </c>
      <c r="D7180" s="1" t="str">
        <f>"05730"</f>
        <v>05730</v>
      </c>
      <c r="E7180" s="1" t="s">
        <v>52</v>
      </c>
      <c r="F7180" s="1">
        <v>11</v>
      </c>
      <c r="G7180" s="1">
        <v>4</v>
      </c>
      <c r="H7180" s="1">
        <v>0</v>
      </c>
      <c r="I7180" s="1" t="s">
        <v>13800</v>
      </c>
      <c r="K7180" s="1" t="str">
        <f t="shared" si="457"/>
        <v>ㄐ</v>
      </c>
      <c r="L7180" s="1" t="str">
        <f t="shared" si="458"/>
        <v>ㄧ</v>
      </c>
      <c r="M7180" s="1" t="str">
        <f t="shared" si="459"/>
        <v>ㄢ</v>
      </c>
      <c r="P7180" s="1" t="s">
        <v>20</v>
      </c>
      <c r="R7180" s="1" t="s">
        <v>13801</v>
      </c>
      <c r="V7180" s="1" t="s">
        <v>13806</v>
      </c>
      <c r="AR7180" s="1" t="str">
        <f t="shared" si="456"/>
        <v>| [ㄐㄧㄢ](ㄐㄧㄢ.md) | [豜](豜.md) |  | jiān | [名]
大豬。《廣韻．平聲．先韻》：「豜，大豕也。」《詩經．豳風．七月》：「獻豜于公。」 |</v>
      </c>
    </row>
    <row r="7181" spans="1:44" hidden="1">
      <c r="A7181" s="1" t="s">
        <v>13807</v>
      </c>
      <c r="C7181" s="1">
        <v>1</v>
      </c>
      <c r="D7181" s="1" t="str">
        <f>"05731"</f>
        <v>05731</v>
      </c>
      <c r="E7181" s="1" t="s">
        <v>55</v>
      </c>
      <c r="F7181" s="1">
        <v>12</v>
      </c>
      <c r="G7181" s="1">
        <v>4</v>
      </c>
      <c r="H7181" s="1">
        <v>2</v>
      </c>
      <c r="I7181" s="1" t="s">
        <v>13800</v>
      </c>
      <c r="K7181" s="1" t="str">
        <f t="shared" si="457"/>
        <v>ㄐ</v>
      </c>
      <c r="L7181" s="1" t="str">
        <f t="shared" si="458"/>
        <v>ㄧ</v>
      </c>
      <c r="M7181" s="1" t="str">
        <f t="shared" si="459"/>
        <v>ㄢ</v>
      </c>
      <c r="P7181" s="1" t="s">
        <v>20</v>
      </c>
      <c r="R7181" s="1" t="s">
        <v>13801</v>
      </c>
      <c r="V7181" s="1" t="s">
        <v>13808</v>
      </c>
      <c r="W7181" s="1" t="s">
        <v>13809</v>
      </c>
      <c r="AR7181" s="1" t="str">
        <f t="shared" si="456"/>
        <v>| [ㄐㄧㄢ](ㄐㄧㄢ.md) | [鈃](鈃.md) |  | jiān | [名]
人名用字。如戰國時有宋鈃。 |</v>
      </c>
    </row>
    <row r="7182" spans="1:44" hidden="1">
      <c r="A7182" s="1" t="s">
        <v>13810</v>
      </c>
      <c r="C7182" s="1">
        <v>1</v>
      </c>
      <c r="D7182" s="1" t="str">
        <f>"05732"</f>
        <v>05732</v>
      </c>
      <c r="E7182" s="1" t="s">
        <v>13811</v>
      </c>
      <c r="F7182" s="1">
        <v>6</v>
      </c>
      <c r="G7182" s="1">
        <v>3</v>
      </c>
      <c r="H7182" s="1">
        <v>0</v>
      </c>
      <c r="I7182" s="1" t="s">
        <v>13800</v>
      </c>
      <c r="K7182" s="1" t="str">
        <f t="shared" si="457"/>
        <v>ㄐ</v>
      </c>
      <c r="L7182" s="1" t="str">
        <f t="shared" si="458"/>
        <v>ㄧ</v>
      </c>
      <c r="M7182" s="1" t="str">
        <f t="shared" si="459"/>
        <v>ㄢ</v>
      </c>
      <c r="P7182" s="1" t="s">
        <v>20</v>
      </c>
      <c r="R7182" s="1" t="s">
        <v>13801</v>
      </c>
      <c r="V7182" s="1" t="s">
        <v>13812</v>
      </c>
      <c r="AR7182" s="1" t="str">
        <f t="shared" si="456"/>
        <v>| [ㄐㄧㄢ](ㄐㄧㄢ.md) | [尖](尖.md) |  | jiān | [名]
1.物體銳利的末端或突出細削的部分。如：「筆尖」、「眉尖」、「刀尖」。
2.特殊優秀的人或物。如：「拔尖」。《紅樓夢》第一一〇回：「我們家裡姑娘們就算他是個尖兒，如今又要遠嫁。」
[形]
1.銳利、突出細小的。如：「尖刀」。唐．李白〈釣臺〉詩：「靄峰尖似筆，堪畫不堪書。」宋．楊萬里〈小池〉詩：「小荷纔露尖尖角，早有蜻蜓立上頭。」
2.特出優秀的。如：「頂尖人物」、「頂尖高手」。
3.靈敏、敏銳。如：「鼻子尖」、「眼睛很尖」。《紅樓夢》第六三回：「偏你這耳朵尖，聽的真！」
4.聲音頻率高而刺耳的。如：「聲音很尖」。唐．賈島〈客思〉詩：「促織聲尖尖似針，更深刺著旅人心。」
5.在前端或頂端的。如：「尖端科技」、「環保小尖兵」、「尖峰時段」。
[動]
專注精神看或聽。《儒林外史》第一〇回：「站在丹墀裡，尖著眼睛看戲。」 |</v>
      </c>
    </row>
    <row r="7183" spans="1:44" hidden="1">
      <c r="A7183" s="1" t="s">
        <v>13813</v>
      </c>
      <c r="C7183" s="1">
        <v>1</v>
      </c>
      <c r="D7183" s="1" t="str">
        <f>"05733"</f>
        <v>05733</v>
      </c>
      <c r="E7183" s="1" t="s">
        <v>4785</v>
      </c>
      <c r="F7183" s="1">
        <v>8</v>
      </c>
      <c r="G7183" s="1">
        <v>4</v>
      </c>
      <c r="H7183" s="1">
        <v>0</v>
      </c>
      <c r="I7183" s="1" t="s">
        <v>13800</v>
      </c>
      <c r="K7183" s="1" t="str">
        <f t="shared" si="457"/>
        <v>ㄐ</v>
      </c>
      <c r="L7183" s="1" t="str">
        <f t="shared" si="458"/>
        <v>ㄧ</v>
      </c>
      <c r="M7183" s="1" t="str">
        <f t="shared" si="459"/>
        <v>ㄢ</v>
      </c>
      <c r="P7183" s="1" t="s">
        <v>20</v>
      </c>
      <c r="R7183" s="1" t="s">
        <v>13801</v>
      </c>
      <c r="V7183" s="1" t="s">
        <v>13814</v>
      </c>
      <c r="AR7183" s="1" t="str">
        <f t="shared" si="456"/>
        <v>| [ㄐㄧㄢ](ㄐㄧㄢ.md) | [戔](戔.md) |  | jiān | 參見「戔戔」條。 |</v>
      </c>
    </row>
    <row r="7184" spans="1:44" hidden="1">
      <c r="A7184" s="1" t="s">
        <v>13815</v>
      </c>
      <c r="C7184" s="1">
        <v>1</v>
      </c>
      <c r="D7184" s="1" t="str">
        <f>"05734"</f>
        <v>05734</v>
      </c>
      <c r="E7184" s="1" t="s">
        <v>129</v>
      </c>
      <c r="F7184" s="1">
        <v>11</v>
      </c>
      <c r="G7184" s="1">
        <v>8</v>
      </c>
      <c r="H7184" s="1">
        <v>2</v>
      </c>
      <c r="I7184" s="1" t="s">
        <v>13800</v>
      </c>
      <c r="K7184" s="1" t="str">
        <f t="shared" si="457"/>
        <v>ㄐ</v>
      </c>
      <c r="L7184" s="1" t="str">
        <f t="shared" si="458"/>
        <v>ㄧ</v>
      </c>
      <c r="M7184" s="1" t="str">
        <f t="shared" si="459"/>
        <v>ㄢ</v>
      </c>
      <c r="P7184" s="1" t="s">
        <v>20</v>
      </c>
      <c r="R7184" s="1" t="s">
        <v>13801</v>
      </c>
      <c r="V7184" s="1" t="s">
        <v>13816</v>
      </c>
      <c r="W7184" s="1" t="s">
        <v>13817</v>
      </c>
      <c r="AR7184" s="1" t="str">
        <f t="shared" si="456"/>
        <v>| [ㄐㄧㄢ](ㄐㄧㄢ.md) | [淺](淺.md) |  | jiān | 參見「淺淺」條。 |</v>
      </c>
    </row>
    <row r="7185" spans="1:44" hidden="1">
      <c r="A7185" s="1" t="s">
        <v>13818</v>
      </c>
      <c r="C7185" s="1">
        <v>1</v>
      </c>
      <c r="D7185" s="1" t="str">
        <f>"05735"</f>
        <v>05735</v>
      </c>
      <c r="E7185" s="1" t="s">
        <v>698</v>
      </c>
      <c r="F7185" s="1">
        <v>12</v>
      </c>
      <c r="G7185" s="1">
        <v>8</v>
      </c>
      <c r="H7185" s="1">
        <v>0</v>
      </c>
      <c r="I7185" s="1" t="s">
        <v>13800</v>
      </c>
      <c r="K7185" s="1" t="str">
        <f t="shared" si="457"/>
        <v>ㄐ</v>
      </c>
      <c r="L7185" s="1" t="str">
        <f t="shared" si="458"/>
        <v>ㄧ</v>
      </c>
      <c r="M7185" s="1" t="str">
        <f t="shared" si="459"/>
        <v>ㄢ</v>
      </c>
      <c r="P7185" s="1" t="s">
        <v>20</v>
      </c>
      <c r="R7185" s="1" t="s">
        <v>13801</v>
      </c>
      <c r="V7185" s="1" t="s">
        <v>13819</v>
      </c>
      <c r="AR7185" s="1" t="str">
        <f t="shared" si="456"/>
        <v>| [ㄐㄧㄢ](ㄐㄧㄢ.md) | [牋](牋.md) |  | jiān | [名]
1.文體名。為上書奏記文章。同「箋」。南朝梁．劉勰《文心雕龍．書記》：「公府奏記，而郡將奏牋。……牋者，表也，表識其情也。」
2.書信、信札。同「箋」。漢．無名氏〈有鳥西南飛詩〉：「欲寄一言去，託之牋綵繒。」《晉書．卷一〇四．石勒載記上》：「遣張慮奉牋於劉琨。」 |</v>
      </c>
    </row>
    <row r="7186" spans="1:44" hidden="1">
      <c r="A7186" s="1" t="s">
        <v>13820</v>
      </c>
      <c r="C7186" s="1">
        <v>1</v>
      </c>
      <c r="D7186" s="1" t="str">
        <f>"05736"</f>
        <v>05736</v>
      </c>
      <c r="E7186" s="1" t="s">
        <v>49</v>
      </c>
      <c r="F7186" s="1">
        <v>14</v>
      </c>
      <c r="G7186" s="1">
        <v>8</v>
      </c>
      <c r="H7186" s="1">
        <v>0</v>
      </c>
      <c r="I7186" s="1" t="s">
        <v>13800</v>
      </c>
      <c r="K7186" s="1" t="str">
        <f t="shared" si="457"/>
        <v>ㄐ</v>
      </c>
      <c r="L7186" s="1" t="str">
        <f t="shared" si="458"/>
        <v>ㄧ</v>
      </c>
      <c r="M7186" s="1" t="str">
        <f t="shared" si="459"/>
        <v>ㄢ</v>
      </c>
      <c r="P7186" s="1" t="s">
        <v>20</v>
      </c>
      <c r="R7186" s="1" t="s">
        <v>13801</v>
      </c>
      <c r="V7186" s="1" t="s">
        <v>13821</v>
      </c>
      <c r="AR7186" s="1" t="str">
        <f t="shared" si="456"/>
        <v>| [ㄐㄧㄢ](ㄐㄧㄢ.md) | [箋](箋.md) |  | jiān | [名]
1.經傳的注釋。《後漢書．卷七九．儒林傳下．衛宏傳》：「鄭玄作毛詩箋。」
2.文體名。古代奏記之類，於上書或祝賀皇后、太子所用。《資治通鑑．卷一一七．隋紀一．文帝開皇九年》：「欲令蔡徵為叔寶作降箋，命乘騾車歸己，事不果。」
3.寫信或題字用的紙。南朝陳．徐陵〈玉臺新詠序〉：「五色華箋，河北、膠東之紙。」
4.書信、信札。如：「信箋」、「短箋」。 |</v>
      </c>
    </row>
    <row r="7187" spans="1:44" hidden="1">
      <c r="A7187" s="1" t="s">
        <v>13822</v>
      </c>
      <c r="C7187" s="1">
        <v>1</v>
      </c>
      <c r="D7187" s="1" t="str">
        <f>"05737"</f>
        <v>05737</v>
      </c>
      <c r="E7187" s="1" t="s">
        <v>49</v>
      </c>
      <c r="F7187" s="1">
        <v>22</v>
      </c>
      <c r="G7187" s="1">
        <v>16</v>
      </c>
      <c r="H7187" s="1">
        <v>0</v>
      </c>
      <c r="I7187" s="1" t="s">
        <v>13800</v>
      </c>
      <c r="K7187" s="1" t="str">
        <f t="shared" si="457"/>
        <v>ㄐ</v>
      </c>
      <c r="L7187" s="1" t="str">
        <f t="shared" si="458"/>
        <v>ㄧ</v>
      </c>
      <c r="M7187" s="1" t="str">
        <f t="shared" si="459"/>
        <v>ㄢ</v>
      </c>
      <c r="P7187" s="1" t="s">
        <v>20</v>
      </c>
      <c r="R7187" s="1" t="s">
        <v>13801</v>
      </c>
      <c r="V7187" s="1" t="s">
        <v>13823</v>
      </c>
      <c r="AR7187" s="1" t="str">
        <f t="shared" si="456"/>
        <v>| [ㄐㄧㄢ](ㄐㄧㄢ.md) | [籛](籛.md) |  | jiān | [名]
姓。如古代有籛鏗。 |</v>
      </c>
    </row>
    <row r="7188" spans="1:44" hidden="1">
      <c r="A7188" s="1" t="s">
        <v>13824</v>
      </c>
      <c r="C7188" s="1">
        <v>1</v>
      </c>
      <c r="D7188" s="1" t="str">
        <f>"05738"</f>
        <v>05738</v>
      </c>
      <c r="E7188" s="1" t="s">
        <v>68</v>
      </c>
      <c r="F7188" s="1">
        <v>8</v>
      </c>
      <c r="G7188" s="1">
        <v>4</v>
      </c>
      <c r="H7188" s="1">
        <v>0</v>
      </c>
      <c r="I7188" s="1" t="s">
        <v>13800</v>
      </c>
      <c r="K7188" s="1" t="str">
        <f t="shared" si="457"/>
        <v>ㄐ</v>
      </c>
      <c r="L7188" s="1" t="str">
        <f t="shared" si="458"/>
        <v>ㄧ</v>
      </c>
      <c r="M7188" s="1" t="str">
        <f t="shared" si="459"/>
        <v>ㄢ</v>
      </c>
      <c r="P7188" s="1" t="s">
        <v>20</v>
      </c>
      <c r="R7188" s="1" t="s">
        <v>13801</v>
      </c>
      <c r="V7188" s="1" t="s">
        <v>13825</v>
      </c>
      <c r="AR7188" s="1" t="str">
        <f t="shared" si="456"/>
        <v>| [ㄐㄧㄢ](ㄐㄧㄢ.md) | [肩](肩.md) |  | jiān | [名]
1.頸部下兩臂與身體連接的部分。如：「兩肩」、「肩並肩」。
2.姓。如明代有肩固。
[動]
擔負。如：「身肩重任」。 |</v>
      </c>
    </row>
    <row r="7189" spans="1:44" hidden="1">
      <c r="A7189" s="1" t="s">
        <v>13826</v>
      </c>
      <c r="C7189" s="1">
        <v>1</v>
      </c>
      <c r="D7189" s="1" t="str">
        <f>"05739"</f>
        <v>05739</v>
      </c>
      <c r="E7189" s="1" t="s">
        <v>534</v>
      </c>
      <c r="F7189" s="1">
        <v>9</v>
      </c>
      <c r="G7189" s="1">
        <v>6</v>
      </c>
      <c r="H7189" s="1">
        <v>0</v>
      </c>
      <c r="I7189" s="1" t="s">
        <v>13800</v>
      </c>
      <c r="K7189" s="1" t="str">
        <f t="shared" si="457"/>
        <v>ㄐ</v>
      </c>
      <c r="L7189" s="1" t="str">
        <f t="shared" si="458"/>
        <v>ㄧ</v>
      </c>
      <c r="M7189" s="1" t="str">
        <f t="shared" si="459"/>
        <v>ㄢ</v>
      </c>
      <c r="P7189" s="1" t="s">
        <v>20</v>
      </c>
      <c r="R7189" s="1" t="s">
        <v>13801</v>
      </c>
      <c r="V7189" s="1" t="s">
        <v>13827</v>
      </c>
      <c r="AR7189" s="1" t="str">
        <f t="shared" si="456"/>
        <v>| [ㄐㄧㄢ](ㄐㄧㄢ.md) | [姦](姦.md) |  | jiān | [名]_x000D_
1.邪惡小人、犯法作亂的人。《管子．君臣》：「止詐拘姦。」《元史．卷一七〇．列傳．暢師文列傳》：「黜姦舉才，咸服其公。」_x000D_
2.不正當的性關係。如：「通姦」、「抓姦」。《醒世姻緣傳》第二〇回：「縣官問道：『他是幾時通姦起的？』回說：『不知從幾時姦起，只是形跡久已可疑，小人久留意撞了幾遭，不曾撞著，至昨夜方得眼見是真。』」_x000D_
3.禍亂、亂事。漢．鄒陽〈獄中上書自明〉：「故偏聽生姦，獨任成亂。」_x000D_
[動]_x000D_
1.發生不正當的性行為。《漢書．卷三五．荊燕吳傳．燕王劉澤》：「定國與父康王姬姦，生子男一人。」《孔叢子．陳士義》：「李由之母少寡，與李音竊相好而生由。由有才藝。仕於魏，王甚愛之，或曰：『李由母姦，不知其父，不足貴也。』」_x000D_
2.妨害性自主的性交。如：「姦汙」、「姦殺」。_x000D_
[形]_x000D_
狡詐、邪惡。《管子．八觀》：「民貧則姦智生。」唐．杜甫〈錦樹行〉：「自古聖賢多薄命，姦雄惡少皆封侯。」 |</v>
      </c>
    </row>
    <row r="7190" spans="1:44" hidden="1">
      <c r="A7190" s="1" t="s">
        <v>13828</v>
      </c>
      <c r="C7190" s="1">
        <v>1</v>
      </c>
      <c r="D7190" s="1" t="str">
        <f>"05740"</f>
        <v>05740</v>
      </c>
      <c r="E7190" s="1" t="s">
        <v>18</v>
      </c>
      <c r="F7190" s="1">
        <v>10</v>
      </c>
      <c r="G7190" s="1">
        <v>8</v>
      </c>
      <c r="H7190" s="1">
        <v>0</v>
      </c>
      <c r="I7190" s="1" t="s">
        <v>13800</v>
      </c>
      <c r="K7190" s="1" t="str">
        <f t="shared" si="457"/>
        <v>ㄐ</v>
      </c>
      <c r="L7190" s="1" t="str">
        <f t="shared" si="458"/>
        <v>ㄧ</v>
      </c>
      <c r="M7190" s="1" t="str">
        <f t="shared" si="459"/>
        <v>ㄢ</v>
      </c>
      <c r="P7190" s="1" t="s">
        <v>20</v>
      </c>
      <c r="R7190" s="1" t="s">
        <v>13801</v>
      </c>
      <c r="V7190" s="1" t="s">
        <v>13829</v>
      </c>
      <c r="AR7190" s="1" t="str">
        <f t="shared" si="456"/>
        <v>| [ㄐㄧㄢ](ㄐㄧㄢ.md) | [兼](兼.md) |  | jiān | [動]
1.合併、吞併。《左傳．昭公八年》：「孺子長矣，而相吾室，欲兼我也。」唐．陸贄〈均節賦稅恤百姓六條〉之六：「富者兼地數萬畝，貧者無容足之居。」
2.同時擔任或具有兩種以上的職務或身分、行為等。如：「兼差」、「兼職」、「父兼母職」。
3.加倍、超越、勝過。如：「兼程趕路」。《論語．先進》：「由也兼人。」唐．韓愈〈韓滂墓誌銘〉：「讀書倍文，功力兼人。」
4.重複、累積。《荀子．正名》：「單足以喻則單，單不足以喻則兼。」《後漢書．卷七八．宦者傳．呂強傳》：「重金兼紫，相繼為蕃輔。」
[副]
1.同時、一起。如：「兼顧」、「二者兼備」、「魚與熊掌不可兼得。」
2.盡、完全。《荀子．王制》：「官施而衣食之，兼覆無遺。」《韓非子．難四》：「夫日兼照天下，一物不能當也。」 |</v>
      </c>
    </row>
    <row r="7191" spans="1:44" hidden="1">
      <c r="A7191" s="1" t="s">
        <v>13830</v>
      </c>
      <c r="C7191" s="1">
        <v>1</v>
      </c>
      <c r="D7191" s="1" t="str">
        <f>"05741"</f>
        <v>05741</v>
      </c>
      <c r="E7191" s="1" t="s">
        <v>24</v>
      </c>
      <c r="F7191" s="1">
        <v>13</v>
      </c>
      <c r="G7191" s="1">
        <v>10</v>
      </c>
      <c r="H7191" s="1">
        <v>0</v>
      </c>
      <c r="I7191" s="1" t="s">
        <v>13800</v>
      </c>
      <c r="K7191" s="1" t="str">
        <f t="shared" si="457"/>
        <v>ㄐ</v>
      </c>
      <c r="L7191" s="1" t="str">
        <f t="shared" si="458"/>
        <v>ㄧ</v>
      </c>
      <c r="M7191" s="1" t="str">
        <f t="shared" si="459"/>
        <v>ㄢ</v>
      </c>
      <c r="P7191" s="1" t="s">
        <v>20</v>
      </c>
      <c r="R7191" s="1" t="s">
        <v>13801</v>
      </c>
      <c r="V7191" s="1" t="s">
        <v>13831</v>
      </c>
      <c r="AR7191" s="1" t="str">
        <f t="shared" si="456"/>
        <v>| [ㄐㄧㄢ](ㄐㄧㄢ.md) | [搛](搛.md) |  | jiān | [動]
夾取。如：「用筷子搛菜。」 |</v>
      </c>
    </row>
    <row r="7192" spans="1:44" hidden="1">
      <c r="A7192" s="1" t="s">
        <v>13832</v>
      </c>
      <c r="C7192" s="1">
        <v>1</v>
      </c>
      <c r="D7192" s="1" t="str">
        <f>"05742"</f>
        <v>05742</v>
      </c>
      <c r="E7192" s="1" t="s">
        <v>37</v>
      </c>
      <c r="F7192" s="1">
        <v>14</v>
      </c>
      <c r="G7192" s="1">
        <v>10</v>
      </c>
      <c r="H7192" s="1">
        <v>0</v>
      </c>
      <c r="I7192" s="1" t="s">
        <v>13800</v>
      </c>
      <c r="K7192" s="1" t="str">
        <f t="shared" si="457"/>
        <v>ㄐ</v>
      </c>
      <c r="L7192" s="1" t="str">
        <f t="shared" si="458"/>
        <v>ㄧ</v>
      </c>
      <c r="M7192" s="1" t="str">
        <f t="shared" si="459"/>
        <v>ㄢ</v>
      </c>
      <c r="P7192" s="1" t="s">
        <v>20</v>
      </c>
      <c r="R7192" s="1" t="s">
        <v>13801</v>
      </c>
      <c r="V7192" s="1" t="s">
        <v>13833</v>
      </c>
      <c r="AR7192" s="1" t="str">
        <f t="shared" si="456"/>
        <v>| [ㄐㄧㄢ](ㄐㄧㄢ.md) | [蒹](蒹.md) |  | jiān | [名]
植物名：即荻。(1)菊科籟簫屬，多年生草本。莖細而直立，被白色綿毛。葉互生，線形或倒披針狀橢圓形，兩面被毛。頭狀花序密集排列成複繖房狀。也稱為「荻菊」、「香青」。(2)禾本科芒屬，「荻」之古稱，參見「荻」條。《說文解字．艸部》「蒹」字清．段玉裁．注：「蒹、菼、雚一也，今人所謂荻也。」 |</v>
      </c>
    </row>
    <row r="7193" spans="1:44" hidden="1">
      <c r="A7193" s="1" t="s">
        <v>13834</v>
      </c>
      <c r="C7193" s="1">
        <v>1</v>
      </c>
      <c r="D7193" s="1" t="str">
        <f>"05743"</f>
        <v>05743</v>
      </c>
      <c r="E7193" s="1" t="s">
        <v>725</v>
      </c>
      <c r="F7193" s="1">
        <v>16</v>
      </c>
      <c r="G7193" s="1">
        <v>10</v>
      </c>
      <c r="H7193" s="1">
        <v>0</v>
      </c>
      <c r="I7193" s="1" t="s">
        <v>13800</v>
      </c>
      <c r="K7193" s="1" t="str">
        <f t="shared" si="457"/>
        <v>ㄐ</v>
      </c>
      <c r="L7193" s="1" t="str">
        <f t="shared" si="458"/>
        <v>ㄧ</v>
      </c>
      <c r="M7193" s="1" t="str">
        <f t="shared" si="459"/>
        <v>ㄢ</v>
      </c>
      <c r="P7193" s="1" t="s">
        <v>20</v>
      </c>
      <c r="R7193" s="1" t="s">
        <v>13801</v>
      </c>
      <c r="V7193" s="1" t="s">
        <v>13835</v>
      </c>
      <c r="AR7193" s="1" t="str">
        <f t="shared" si="456"/>
        <v>| [ㄐㄧㄢ](ㄐㄧㄢ.md) | [縑](縑.md) |  | jiān | [名]
細緻的絲絹。《淮南子．齊俗》：「縑之性黃，染之以丹則赤。」《史記．卷一二六．滑稽傳．褚少孫補東方朔傳》：「數賜縑帛，檐揭而去。」 |</v>
      </c>
    </row>
    <row r="7194" spans="1:44" hidden="1">
      <c r="A7194" s="1" t="s">
        <v>13836</v>
      </c>
      <c r="C7194" s="1">
        <v>1</v>
      </c>
      <c r="D7194" s="1" t="str">
        <f>"05744"</f>
        <v>05744</v>
      </c>
      <c r="E7194" s="1" t="s">
        <v>272</v>
      </c>
      <c r="F7194" s="1">
        <v>21</v>
      </c>
      <c r="G7194" s="1">
        <v>10</v>
      </c>
      <c r="H7194" s="1">
        <v>0</v>
      </c>
      <c r="I7194" s="1" t="s">
        <v>13800</v>
      </c>
      <c r="K7194" s="1" t="str">
        <f t="shared" si="457"/>
        <v>ㄐ</v>
      </c>
      <c r="L7194" s="1" t="str">
        <f t="shared" si="458"/>
        <v>ㄧ</v>
      </c>
      <c r="M7194" s="1" t="str">
        <f t="shared" si="459"/>
        <v>ㄢ</v>
      </c>
      <c r="P7194" s="1" t="s">
        <v>20</v>
      </c>
      <c r="R7194" s="1" t="s">
        <v>13801</v>
      </c>
      <c r="V7194" s="1" t="s">
        <v>13837</v>
      </c>
      <c r="AR7194" s="1" t="str">
        <f t="shared" si="456"/>
        <v>| [ㄐㄧㄢ](ㄐㄧㄢ.md) | [鶼](鶼.md) |  | jiān | 參見「鶼鰈」、「鶼鶼」等條。 |</v>
      </c>
    </row>
    <row r="7195" spans="1:44" hidden="1">
      <c r="A7195" s="1" t="s">
        <v>13838</v>
      </c>
      <c r="C7195" s="1">
        <v>1</v>
      </c>
      <c r="D7195" s="1" t="str">
        <f>"05745"</f>
        <v>05745</v>
      </c>
      <c r="E7195" s="1" t="s">
        <v>156</v>
      </c>
      <c r="F7195" s="1">
        <v>21</v>
      </c>
      <c r="G7195" s="1">
        <v>10</v>
      </c>
      <c r="H7195" s="1">
        <v>0</v>
      </c>
      <c r="I7195" s="1" t="s">
        <v>13800</v>
      </c>
      <c r="K7195" s="1" t="str">
        <f t="shared" si="457"/>
        <v>ㄐ</v>
      </c>
      <c r="L7195" s="1" t="str">
        <f t="shared" si="458"/>
        <v>ㄧ</v>
      </c>
      <c r="M7195" s="1" t="str">
        <f t="shared" si="459"/>
        <v>ㄢ</v>
      </c>
      <c r="P7195" s="1" t="s">
        <v>20</v>
      </c>
      <c r="R7195" s="1" t="s">
        <v>13801</v>
      </c>
      <c r="V7195" s="1" t="s">
        <v>13839</v>
      </c>
      <c r="AR7195" s="1" t="str">
        <f t="shared" si="456"/>
        <v>| [ㄐㄧㄢ](ㄐㄧㄢ.md) | [鰜](鰜.md) |  | jiān | [名]
動物名。一種比目魚。體側扁，不對稱。兩眼位於同一側，有眼的一側呈深褐色，無眼的一側為淡色。口大，牙尖銳，背鰭前部有棘。分布於大陸地區南海、東海南部以及紅海、印度洋等區域。 |</v>
      </c>
    </row>
    <row r="7196" spans="1:44" hidden="1">
      <c r="A7196" s="1" t="s">
        <v>13840</v>
      </c>
      <c r="C7196" s="1">
        <v>1</v>
      </c>
      <c r="D7196" s="1" t="str">
        <f>"05746"</f>
        <v>05746</v>
      </c>
      <c r="E7196" s="1" t="s">
        <v>132</v>
      </c>
      <c r="F7196" s="1">
        <v>11</v>
      </c>
      <c r="G7196" s="1">
        <v>8</v>
      </c>
      <c r="H7196" s="1">
        <v>0</v>
      </c>
      <c r="I7196" s="1" t="s">
        <v>13800</v>
      </c>
      <c r="K7196" s="1" t="str">
        <f t="shared" si="457"/>
        <v>ㄐ</v>
      </c>
      <c r="L7196" s="1" t="str">
        <f t="shared" si="458"/>
        <v>ㄧ</v>
      </c>
      <c r="M7196" s="1" t="str">
        <f t="shared" si="459"/>
        <v>ㄢ</v>
      </c>
      <c r="P7196" s="1" t="s">
        <v>20</v>
      </c>
      <c r="R7196" s="1" t="s">
        <v>13801</v>
      </c>
      <c r="V7196" s="1" t="s">
        <v>13841</v>
      </c>
      <c r="AR7196" s="1" t="str">
        <f t="shared" si="456"/>
        <v>| [ㄐㄧㄢ](ㄐㄧㄢ.md) | [堅](堅.md) |  | jiān | [形]
1.剛強、強硬。《後漢書．卷二四．馬援傳》：「丈夫為志，窮當益堅，老當益壯。」唐．司空圖〈故鹽州防禦使王縱追述碑〉：「永夷堅敵，累洽仁風。」
2.結實、牢固。如：「船堅炮利」、「堅如磐石」。《莊子．逍遙遊》：「以盛水漿，其堅不能自舉也。」
[副]
不鬆懈、不動搖。如：「堅持」、「堅拒」。《史記．卷七．項羽本紀》：「陳留堅守不能下。」
[名]
1.冑甲、盔甲。《漢書．卷一．高帝紀下》：「被堅執銳，自帥士卒。」
2.軍力強勁之處。《晉書．卷一〇〇．陳敏傳》：「攻堅陷嶮，三十餘戰，師徒無虧，勍敵自滅。」
3.核心、主幹。如：「青年是社會的中堅。」
4.姓。如漢代有堅鐔。 |</v>
      </c>
    </row>
    <row r="7197" spans="1:44" hidden="1">
      <c r="A7197" s="1" t="s">
        <v>13842</v>
      </c>
      <c r="C7197" s="1">
        <v>1</v>
      </c>
      <c r="D7197" s="1" t="str">
        <f>"05747"</f>
        <v>05747</v>
      </c>
      <c r="E7197" s="1" t="s">
        <v>156</v>
      </c>
      <c r="F7197" s="1">
        <v>22</v>
      </c>
      <c r="G7197" s="1">
        <v>11</v>
      </c>
      <c r="H7197" s="1">
        <v>0</v>
      </c>
      <c r="I7197" s="1" t="s">
        <v>13800</v>
      </c>
      <c r="K7197" s="1" t="str">
        <f t="shared" si="457"/>
        <v>ㄐ</v>
      </c>
      <c r="L7197" s="1" t="str">
        <f t="shared" si="458"/>
        <v>ㄧ</v>
      </c>
      <c r="M7197" s="1" t="str">
        <f t="shared" si="459"/>
        <v>ㄢ</v>
      </c>
      <c r="P7197" s="1" t="s">
        <v>20</v>
      </c>
      <c r="R7197" s="1" t="s">
        <v>13801</v>
      </c>
      <c r="V7197" s="1" t="s">
        <v>13843</v>
      </c>
      <c r="AR7197" s="1" t="str">
        <f t="shared" si="456"/>
        <v>| [ㄐㄧㄢ](ㄐㄧㄢ.md) | [鰹](鰹.md) |  | jiān | [名]
動物名。金槍魚科。體長達一公尺，呈紡錘形，藍色，背側有淺色斑條，腹側具褐色縱條。頭大，口尖，尾細小。游泳迅速，以小魚和浮游甲殼類為食。分布於熱帶和亞熱帶海洋中。 |</v>
      </c>
    </row>
    <row r="7198" spans="1:44" hidden="1">
      <c r="A7198" s="1" t="s">
        <v>13844</v>
      </c>
      <c r="C7198" s="1">
        <v>1</v>
      </c>
      <c r="D7198" s="1" t="str">
        <f>"05748"</f>
        <v>05748</v>
      </c>
      <c r="E7198" s="1" t="s">
        <v>129</v>
      </c>
      <c r="F7198" s="1">
        <v>12</v>
      </c>
      <c r="G7198" s="1">
        <v>9</v>
      </c>
      <c r="H7198" s="1">
        <v>0</v>
      </c>
      <c r="I7198" s="1" t="s">
        <v>13800</v>
      </c>
      <c r="K7198" s="1" t="str">
        <f t="shared" si="457"/>
        <v>ㄐ</v>
      </c>
      <c r="L7198" s="1" t="str">
        <f t="shared" si="458"/>
        <v>ㄧ</v>
      </c>
      <c r="M7198" s="1" t="str">
        <f t="shared" si="459"/>
        <v>ㄢ</v>
      </c>
      <c r="P7198" s="1" t="s">
        <v>20</v>
      </c>
      <c r="R7198" s="1" t="s">
        <v>13801</v>
      </c>
      <c r="V7198" s="1" t="s">
        <v>13845</v>
      </c>
      <c r="AR7198" s="1" t="str">
        <f t="shared" si="456"/>
        <v>| [ㄐㄧㄢ](ㄐㄧㄢ.md) | [湔](湔.md) |  | jiān | [動]
1.清洗、洗刷。《醒世恆言．卷三．賣油郎獨占花魁》：「那件汙穢的衣服，我叫丫鬟湔洗乾淨了還你罷。」《清史稿．卷二四．德宗本紀二》論曰：「欲張撻伐，以湔國恥。」
2.濺灑、濺汙。《戰國策．齊策三》：「訾天下之主，有侵君者，臣請以臣之血湔其衽。」
[名]
湔江：河川名。在大陸地區四川省境內，為中江上流。自灌縣西分岷江東流，至廣漢縣東注入沱江。 |</v>
      </c>
    </row>
    <row r="7199" spans="1:44" hidden="1">
      <c r="A7199" s="1" t="s">
        <v>13846</v>
      </c>
      <c r="C7199" s="1">
        <v>1</v>
      </c>
      <c r="D7199" s="1" t="str">
        <f>"05749"</f>
        <v>05749</v>
      </c>
      <c r="E7199" s="1" t="s">
        <v>336</v>
      </c>
      <c r="F7199" s="1">
        <v>13</v>
      </c>
      <c r="G7199" s="1">
        <v>9</v>
      </c>
      <c r="H7199" s="1">
        <v>0</v>
      </c>
      <c r="I7199" s="1" t="s">
        <v>13800</v>
      </c>
      <c r="K7199" s="1" t="str">
        <f t="shared" si="457"/>
        <v>ㄐ</v>
      </c>
      <c r="L7199" s="1" t="str">
        <f t="shared" si="458"/>
        <v>ㄧ</v>
      </c>
      <c r="M7199" s="1" t="str">
        <f t="shared" si="459"/>
        <v>ㄢ</v>
      </c>
      <c r="P7199" s="1" t="s">
        <v>20</v>
      </c>
      <c r="R7199" s="1" t="s">
        <v>13801</v>
      </c>
      <c r="V7199" s="1" t="s">
        <v>13847</v>
      </c>
      <c r="AR7199" s="1" t="str">
        <f t="shared" si="456"/>
        <v>| [ㄐㄧㄢ](ㄐㄧㄢ.md) | [煎](煎.md) |  | jiān | [動]
1.一種烹飪方法。將食物放入少量油中，加熱至表面成金黃色。如：「煎魚」、「煎蛋」。
2.熬煮。如：「煎藥」。宋．蘇軾〈絕句三首〉之二：「偶為老僧煎茗粥，自攜修綆汲清泉。」
3.鎔煉。《周禮．冬官考工記．栗氏》：「改煎金錫則不耗。」《清史稿．卷一四九．交通志一》：「用西法以煎鎔，礦產日多。」
4.逼迫、折磨。《楚辭．王逸．九思．怨上》：「我心兮煎熬，惟是兮用憂。」《樂府詩集．卷七三．雜曲歌辭十三．古辭．焦仲卿妻》：「恐不任我意，逆以煎我懷。」 |</v>
      </c>
    </row>
    <row r="7200" spans="1:44" hidden="1">
      <c r="A7200" s="1" t="s">
        <v>13848</v>
      </c>
      <c r="C7200" s="1">
        <v>1</v>
      </c>
      <c r="D7200" s="1" t="str">
        <f>"05750"</f>
        <v>05750</v>
      </c>
      <c r="E7200" s="1" t="s">
        <v>1078</v>
      </c>
      <c r="F7200" s="1">
        <v>19</v>
      </c>
      <c r="G7200" s="1">
        <v>9</v>
      </c>
      <c r="H7200" s="1">
        <v>0</v>
      </c>
      <c r="I7200" s="1" t="s">
        <v>13800</v>
      </c>
      <c r="K7200" s="1" t="str">
        <f t="shared" si="457"/>
        <v>ㄐ</v>
      </c>
      <c r="L7200" s="1" t="str">
        <f t="shared" si="458"/>
        <v>ㄧ</v>
      </c>
      <c r="M7200" s="1" t="str">
        <f t="shared" si="459"/>
        <v>ㄢ</v>
      </c>
      <c r="P7200" s="1" t="s">
        <v>20</v>
      </c>
      <c r="R7200" s="1" t="s">
        <v>13801</v>
      </c>
      <c r="V7200" s="1" t="s">
        <v>13849</v>
      </c>
      <c r="AR7200" s="1" t="str">
        <f t="shared" si="456"/>
        <v>| [ㄐㄧㄢ](ㄐㄧㄢ.md) | [鬋](鬋.md) |  | jiān | [形]
女子鬢髮下垂的樣子。《說文解字．髟部》：「鬋，女鬢垂貌。」
[名]
下垂的鬢髮。《集韻．去聲．線韻》：「鬋，垂鬢謂之鬋。」《楚辭．宋玉．招魂》：「長髮曼鬋，豔陸離些。」 |</v>
      </c>
    </row>
    <row r="7201" spans="1:44" hidden="1">
      <c r="A7201" s="1" t="s">
        <v>13850</v>
      </c>
      <c r="C7201" s="1">
        <v>1</v>
      </c>
      <c r="D7201" s="1" t="str">
        <f>"05751"</f>
        <v>05751</v>
      </c>
      <c r="E7201" s="1" t="s">
        <v>37</v>
      </c>
      <c r="F7201" s="1">
        <v>12</v>
      </c>
      <c r="G7201" s="1">
        <v>8</v>
      </c>
      <c r="H7201" s="1">
        <v>0</v>
      </c>
      <c r="I7201" s="1" t="s">
        <v>13800</v>
      </c>
      <c r="K7201" s="1" t="str">
        <f t="shared" si="457"/>
        <v>ㄐ</v>
      </c>
      <c r="L7201" s="1" t="str">
        <f t="shared" si="458"/>
        <v>ㄧ</v>
      </c>
      <c r="M7201" s="1" t="str">
        <f t="shared" si="459"/>
        <v>ㄢ</v>
      </c>
      <c r="P7201" s="1" t="s">
        <v>20</v>
      </c>
      <c r="R7201" s="1" t="s">
        <v>13801</v>
      </c>
      <c r="V7201" s="1" t="s">
        <v>13851</v>
      </c>
      <c r="AR7201" s="1" t="str">
        <f t="shared" si="456"/>
        <v>| [ㄐㄧㄢ](ㄐㄧㄢ.md) | [菅](菅.md) |  | jiān | [名]
植物名。禾本科菅屬，多年生草本。稈直立，粗壯，高一至一點五公尺。葉長線形，多毛茸。由莖稍的葉腋著生總狀花序，作圓錐排列，每總狀花序具九至十一枚小穗，自狹長形之鞘苞伸出。根短堅韌，可做刷帚。
[動]
比喻輕賤。如：「草菅人命」。 |</v>
      </c>
    </row>
    <row r="7202" spans="1:44" hidden="1">
      <c r="A7202" s="1" t="s">
        <v>13852</v>
      </c>
      <c r="C7202" s="1">
        <v>1</v>
      </c>
      <c r="D7202" s="1" t="str">
        <f>"05752"</f>
        <v>05752</v>
      </c>
      <c r="E7202" s="1" t="s">
        <v>709</v>
      </c>
      <c r="F7202" s="1">
        <v>12</v>
      </c>
      <c r="G7202" s="1">
        <v>4</v>
      </c>
      <c r="H7202" s="1">
        <v>1</v>
      </c>
      <c r="I7202" s="1" t="s">
        <v>13800</v>
      </c>
      <c r="K7202" s="1" t="str">
        <f t="shared" si="457"/>
        <v>ㄐ</v>
      </c>
      <c r="L7202" s="1" t="str">
        <f t="shared" si="458"/>
        <v>ㄧ</v>
      </c>
      <c r="M7202" s="1" t="str">
        <f t="shared" si="459"/>
        <v>ㄢ</v>
      </c>
      <c r="P7202" s="1" t="s">
        <v>20</v>
      </c>
      <c r="R7202" s="1" t="s">
        <v>13801</v>
      </c>
      <c r="V7202" s="1" t="s">
        <v>13853</v>
      </c>
      <c r="W7202" s="1" t="s">
        <v>13854</v>
      </c>
      <c r="AR7202" s="1" t="str">
        <f t="shared" si="456"/>
        <v>| [ㄐㄧㄢ](ㄐㄧㄢ.md) | [間](間.md) |  | jiān | [名]_x000D_
1.兩者之中。_x000D_
2.處所、地方、一定面積的建築。如：「田間」、「陰間」、「房間」。_x000D_
3.時候。如：「晚間」、「期間」、「某一年間」。_x000D_
4.量詞。計算房屋等建築物的單位。如：「一間辦公室」、「兩間套房」。 |</v>
      </c>
    </row>
    <row r="7203" spans="1:44" hidden="1">
      <c r="A7203" s="1" t="s">
        <v>13855</v>
      </c>
      <c r="C7203" s="1">
        <v>1</v>
      </c>
      <c r="D7203" s="1" t="str">
        <f>"05753"</f>
        <v>05753</v>
      </c>
      <c r="E7203" s="1" t="s">
        <v>709</v>
      </c>
      <c r="F7203" s="1">
        <v>12</v>
      </c>
      <c r="G7203" s="1">
        <v>4</v>
      </c>
      <c r="H7203" s="1">
        <v>2</v>
      </c>
      <c r="I7203" s="1" t="s">
        <v>13800</v>
      </c>
      <c r="K7203" s="1" t="str">
        <f t="shared" si="457"/>
        <v>ㄐ</v>
      </c>
      <c r="L7203" s="1" t="str">
        <f t="shared" si="458"/>
        <v>ㄧ</v>
      </c>
      <c r="M7203" s="1" t="str">
        <f t="shared" si="459"/>
        <v>ㄢ</v>
      </c>
      <c r="P7203" s="1" t="s">
        <v>20</v>
      </c>
      <c r="R7203" s="1" t="s">
        <v>13801</v>
      </c>
      <c r="V7203" s="1" t="s">
        <v>13856</v>
      </c>
      <c r="W7203" s="1" t="s">
        <v>13857</v>
      </c>
      <c r="AR7203" s="1" t="str">
        <f t="shared" si="456"/>
        <v>| [ㄐㄧㄢ](ㄐㄧㄢ.md) | [閒](閒.md) |  | jiān | [名]
中間。同「間」。《詩經．齊風．還》：「子之還兮，遭我乎峱之閒兮。」 |</v>
      </c>
    </row>
    <row r="7204" spans="1:44" hidden="1">
      <c r="A7204" s="1" t="s">
        <v>13858</v>
      </c>
      <c r="C7204" s="1">
        <v>1</v>
      </c>
      <c r="D7204" s="1" t="str">
        <f>"05754"</f>
        <v>05754</v>
      </c>
      <c r="E7204" s="1" t="s">
        <v>37</v>
      </c>
      <c r="F7204" s="1">
        <v>16</v>
      </c>
      <c r="G7204" s="1">
        <v>12</v>
      </c>
      <c r="H7204" s="1">
        <v>0</v>
      </c>
      <c r="I7204" s="1" t="s">
        <v>13800</v>
      </c>
      <c r="K7204" s="1" t="str">
        <f t="shared" si="457"/>
        <v>ㄐ</v>
      </c>
      <c r="L7204" s="1" t="str">
        <f t="shared" si="458"/>
        <v>ㄧ</v>
      </c>
      <c r="M7204" s="1" t="str">
        <f t="shared" si="459"/>
        <v>ㄢ</v>
      </c>
      <c r="P7204" s="1" t="s">
        <v>20</v>
      </c>
      <c r="R7204" s="1" t="s">
        <v>13801</v>
      </c>
      <c r="V7204" s="1" t="s">
        <v>13859</v>
      </c>
      <c r="AR7204" s="1" t="str">
        <f t="shared" si="456"/>
        <v>| [ㄐㄧㄢ](ㄐㄧㄢ.md) | [蕑](蕑.md) |  | jiān | [名]
1.蘭草。《詩經．鄭風．溱洧》：「士與女，方秉蕑兮。」漢．毛亨．傳：「蕑，蘭也。」
2.姓。如漢代有蕑忌。 |</v>
      </c>
    </row>
    <row r="7205" spans="1:44" hidden="1">
      <c r="A7205" s="1" t="s">
        <v>13860</v>
      </c>
      <c r="C7205" s="1">
        <v>1</v>
      </c>
      <c r="D7205" s="1" t="str">
        <f>"05755"</f>
        <v>05755</v>
      </c>
      <c r="E7205" s="1" t="s">
        <v>139</v>
      </c>
      <c r="F7205" s="1">
        <v>13</v>
      </c>
      <c r="G7205" s="1">
        <v>9</v>
      </c>
      <c r="H7205" s="1">
        <v>0</v>
      </c>
      <c r="I7205" s="1" t="s">
        <v>13800</v>
      </c>
      <c r="K7205" s="1" t="str">
        <f t="shared" si="457"/>
        <v>ㄐ</v>
      </c>
      <c r="L7205" s="1" t="str">
        <f t="shared" si="458"/>
        <v>ㄧ</v>
      </c>
      <c r="M7205" s="1" t="str">
        <f t="shared" si="459"/>
        <v>ㄢ</v>
      </c>
      <c r="P7205" s="1" t="s">
        <v>20</v>
      </c>
      <c r="R7205" s="1" t="s">
        <v>13801</v>
      </c>
      <c r="V7205" s="1" t="s">
        <v>13861</v>
      </c>
      <c r="AR7205" s="1" t="str">
        <f t="shared" si="456"/>
        <v>| [ㄐㄧㄢ](ㄐㄧㄢ.md) | [椷](椷.md) |  | jiān | [名]
1.木篋、木箱。《說文解字．木部》：「椷，篋也。」
2.書信。通「緘」。如：「瑤椷」、「華椷」。 |</v>
      </c>
    </row>
    <row r="7206" spans="1:44" hidden="1">
      <c r="A7206" s="1" t="s">
        <v>13862</v>
      </c>
      <c r="C7206" s="1">
        <v>1</v>
      </c>
      <c r="D7206" s="1" t="str">
        <f>"05756"</f>
        <v>05756</v>
      </c>
      <c r="E7206" s="1" t="s">
        <v>725</v>
      </c>
      <c r="F7206" s="1">
        <v>15</v>
      </c>
      <c r="G7206" s="1">
        <v>9</v>
      </c>
      <c r="H7206" s="1">
        <v>0</v>
      </c>
      <c r="I7206" s="1" t="s">
        <v>13800</v>
      </c>
      <c r="K7206" s="1" t="str">
        <f t="shared" si="457"/>
        <v>ㄐ</v>
      </c>
      <c r="L7206" s="1" t="str">
        <f t="shared" si="458"/>
        <v>ㄧ</v>
      </c>
      <c r="M7206" s="1" t="str">
        <f t="shared" si="459"/>
        <v>ㄢ</v>
      </c>
      <c r="P7206" s="1" t="s">
        <v>20</v>
      </c>
      <c r="R7206" s="1" t="s">
        <v>13801</v>
      </c>
      <c r="V7206" s="1" t="s">
        <v>13863</v>
      </c>
      <c r="AR7206" s="1" t="str">
        <f t="shared" si="456"/>
        <v>| [ㄐㄧㄢ](ㄐㄧㄢ.md) | [緘](緘.md) |  | jiān | [名]
1.捆綁箱篋的繩子。《漢書．卷九七．外戚傳下．孝成趙皇后傳》：「帝與昭儀坐，使客子解篋緘。」唐．顏師古．注：「緘，束篋之繩也。」
2.書信。唐．白居易〈初與元九別後忽夢見之及寤而書適至兼寄桐花詩悵然感懷因以此寄〉詩：「開緘見手札，一紙十三行。」
3.量詞。計算信件的單位。唐．皮日休〈傷史拱山人〉詩：「一緘幽信自襄陽，上報先生去歲亡。」《三國演義》第二六回：「震出書一緘，遞與關公。」
[動]
1.捆綁、捆紮。《墨子．節葬下》：「穀木之棺，葛以緘之。」北周．庾信〈傷心賦〉：「藤緘軎櫝，櫱掩虞棺。」
2.閉。如：「三緘其口」。元．汪元亨〈朝天子．任薰蕕不分〉曲：「身重千金，舌緘三寸。」 |</v>
      </c>
    </row>
    <row r="7207" spans="1:44" hidden="1">
      <c r="A7207" s="1" t="s">
        <v>13864</v>
      </c>
      <c r="C7207" s="1">
        <v>1</v>
      </c>
      <c r="D7207" s="1" t="str">
        <f>"05757"</f>
        <v>05757</v>
      </c>
      <c r="E7207" s="1" t="s">
        <v>518</v>
      </c>
      <c r="F7207" s="1">
        <v>13</v>
      </c>
      <c r="G7207" s="1">
        <v>9</v>
      </c>
      <c r="H7207" s="1">
        <v>1</v>
      </c>
      <c r="I7207" s="1" t="s">
        <v>13800</v>
      </c>
      <c r="K7207" s="1" t="str">
        <f t="shared" si="457"/>
        <v>ㄐ</v>
      </c>
      <c r="L7207" s="1" t="str">
        <f t="shared" si="458"/>
        <v>ㄧ</v>
      </c>
      <c r="M7207" s="1" t="str">
        <f t="shared" si="459"/>
        <v>ㄢ</v>
      </c>
      <c r="P7207" s="1" t="s">
        <v>20</v>
      </c>
      <c r="R7207" s="1" t="s">
        <v>13801</v>
      </c>
      <c r="V7207" s="1" t="s">
        <v>13865</v>
      </c>
      <c r="W7207" s="1" t="s">
        <v>13866</v>
      </c>
      <c r="AR7207" s="1" t="str">
        <f t="shared" si="456"/>
        <v>| [ㄐㄧㄢ](ㄐㄧㄢ.md) | [犍](犍.md) |  | jiān | [動]
閹割牲畜。明．張自烈《正字通．牛部》：「犍，以刀去勢也。」《齊民要術．卷六．養豬》：「其子三日便掐尾，六十日後犍。」
[名]
被閹割的公牛。宋．陸游〈稻飯〉詩：「買得烏犍遇歲穰，此身永免屬官倉。」 |</v>
      </c>
    </row>
    <row r="7208" spans="1:44" hidden="1">
      <c r="A7208" s="1" t="s">
        <v>13867</v>
      </c>
      <c r="C7208" s="1">
        <v>1</v>
      </c>
      <c r="D7208" s="1" t="str">
        <f>"05758"</f>
        <v>05758</v>
      </c>
      <c r="E7208" s="1" t="s">
        <v>96</v>
      </c>
      <c r="F7208" s="1">
        <v>18</v>
      </c>
      <c r="G7208" s="1">
        <v>9</v>
      </c>
      <c r="H7208" s="1">
        <v>0</v>
      </c>
      <c r="I7208" s="1" t="s">
        <v>13800</v>
      </c>
      <c r="K7208" s="1" t="str">
        <f t="shared" si="457"/>
        <v>ㄐ</v>
      </c>
      <c r="L7208" s="1" t="str">
        <f t="shared" si="458"/>
        <v>ㄧ</v>
      </c>
      <c r="M7208" s="1" t="str">
        <f t="shared" si="459"/>
        <v>ㄢ</v>
      </c>
      <c r="P7208" s="1" t="s">
        <v>20</v>
      </c>
      <c r="R7208" s="1" t="s">
        <v>13801</v>
      </c>
      <c r="V7208" s="1" t="s">
        <v>13868</v>
      </c>
      <c r="AR7208" s="1" t="str">
        <f t="shared" si="456"/>
        <v>| [ㄐㄧㄢ](ㄐㄧㄢ.md) | [鞬](鞬.md) |  | jiān | [名]
掛在馬上裝弓箭的器具。《廣韻．平聲．元韻》：「鞬，馬上盛弓矢器。」唐．許堯佐《柳氏傳》：「乃衣縵胡，佩雙鞬。」 |</v>
      </c>
    </row>
    <row r="7209" spans="1:44" hidden="1">
      <c r="A7209" s="1" t="s">
        <v>13869</v>
      </c>
      <c r="C7209" s="1">
        <v>1</v>
      </c>
      <c r="D7209" s="1" t="str">
        <f>"05759"</f>
        <v>05759</v>
      </c>
      <c r="E7209" s="1" t="s">
        <v>129</v>
      </c>
      <c r="F7209" s="1">
        <v>14</v>
      </c>
      <c r="G7209" s="1">
        <v>11</v>
      </c>
      <c r="H7209" s="1">
        <v>2</v>
      </c>
      <c r="I7209" s="1" t="s">
        <v>13800</v>
      </c>
      <c r="K7209" s="1" t="str">
        <f t="shared" si="457"/>
        <v>ㄐ</v>
      </c>
      <c r="L7209" s="1" t="str">
        <f t="shared" si="458"/>
        <v>ㄧ</v>
      </c>
      <c r="M7209" s="1" t="str">
        <f t="shared" si="459"/>
        <v>ㄢ</v>
      </c>
      <c r="P7209" s="1" t="s">
        <v>20</v>
      </c>
      <c r="R7209" s="1" t="s">
        <v>13801</v>
      </c>
      <c r="V7209" s="1" t="s">
        <v>13870</v>
      </c>
      <c r="W7209" s="1" t="s">
        <v>13871</v>
      </c>
      <c r="AR7209" s="1" t="str">
        <f t="shared" si="456"/>
        <v>| [ㄐㄧㄢ](ㄐㄧㄢ.md) | [漸](漸.md) |  | jiān | [動]
1.流入。《書經．禹貢》：「東漸于海，西被于流沙。」
2.浸溼、溼潤。《詩經．衛風．氓》：「淇水湯湯，漸車帷裳。」《墨子．尚賢下》：「雨露之所漸，粒食之所養。」
3.埋沒、淹沒。《楚辭．宋玉．招魂》：「皋蘭被徑兮，斯路漸。」《淮南子．人間》：「水決九江而漸荊州，雖起三軍之眾，弗能救也。」
4.影響、慢慢感染。《史記．卷一二九．貨殖傳》：「俗之漸民久矣。」唐．白居易〈策林一．十三號令〉：「被於萬姓，漸於四夷。」 |</v>
      </c>
    </row>
    <row r="7210" spans="1:44" hidden="1">
      <c r="A7210" s="1" t="s">
        <v>13872</v>
      </c>
      <c r="C7210" s="1">
        <v>1</v>
      </c>
      <c r="D7210" s="1" t="str">
        <f>"05760"</f>
        <v>05760</v>
      </c>
      <c r="E7210" s="1" t="s">
        <v>37</v>
      </c>
      <c r="F7210" s="1">
        <v>15</v>
      </c>
      <c r="G7210" s="1">
        <v>11</v>
      </c>
      <c r="H7210" s="1">
        <v>3</v>
      </c>
      <c r="I7210" s="1" t="s">
        <v>13800</v>
      </c>
      <c r="K7210" s="1" t="str">
        <f t="shared" si="457"/>
        <v>ㄐ</v>
      </c>
      <c r="L7210" s="1" t="str">
        <f t="shared" si="458"/>
        <v>ㄧ</v>
      </c>
      <c r="M7210" s="1" t="str">
        <f t="shared" si="459"/>
        <v>ㄢ</v>
      </c>
      <c r="P7210" s="1" t="s">
        <v>20</v>
      </c>
      <c r="R7210" s="1" t="s">
        <v>13801</v>
      </c>
      <c r="V7210" s="1" t="s">
        <v>13873</v>
      </c>
      <c r="W7210" s="1" t="s">
        <v>13874</v>
      </c>
      <c r="AR7210" s="1" t="str">
        <f t="shared" si="456"/>
        <v>| [ㄐㄧㄢ](ㄐㄧㄢ.md) | [蔪](蔪.md) |  | jiān | [形]
蔪蔪：麥子長出花穗的樣子。《尚書大傳．卷二．微子》：「（微子）過殷故墟，見麥秀之蔪蔪兮。」 |</v>
      </c>
    </row>
    <row r="7211" spans="1:44" hidden="1">
      <c r="A7211" s="1" t="s">
        <v>13875</v>
      </c>
      <c r="C7211" s="1">
        <v>1</v>
      </c>
      <c r="D7211" s="1" t="str">
        <f>"05761"</f>
        <v>05761</v>
      </c>
      <c r="E7211" s="1" t="s">
        <v>438</v>
      </c>
      <c r="F7211" s="1">
        <v>14</v>
      </c>
      <c r="G7211" s="1">
        <v>9</v>
      </c>
      <c r="H7211" s="1">
        <v>1</v>
      </c>
      <c r="I7211" s="1" t="s">
        <v>13800</v>
      </c>
      <c r="K7211" s="1" t="str">
        <f t="shared" si="457"/>
        <v>ㄐ</v>
      </c>
      <c r="L7211" s="1" t="str">
        <f t="shared" si="458"/>
        <v>ㄧ</v>
      </c>
      <c r="M7211" s="1" t="str">
        <f t="shared" si="459"/>
        <v>ㄢ</v>
      </c>
      <c r="P7211" s="1" t="s">
        <v>20</v>
      </c>
      <c r="R7211" s="1" t="s">
        <v>13801</v>
      </c>
      <c r="V7211" s="1" t="s">
        <v>13876</v>
      </c>
      <c r="W7211" s="1" t="s">
        <v>13877</v>
      </c>
      <c r="AR7211" s="1" t="str">
        <f t="shared" si="456"/>
        <v>| [ㄐㄧㄢ](ㄐㄧㄢ.md) | [監](監.md) |  | jiān | [動]
1.視察、督察。如：「監督」。《左傳．莊公三十二年》：「明神降之，監其德也。」《史記．卷六．秦始皇本紀》：「始皇怒，使扶蘇北監蒙恬於上郡。」
2.統領、統率。《史記．卷六四．司馬穰苴傳》：「請以君之寵臣監軍。」《金史．卷一〇六．劉炳傳》：「臣願陛下擇諸王之英明者，總監天下之兵。」
3.掌管、管理。《國語．周語中》：「火師監燎，水師監濯。」《史記．卷九．呂太后本紀》：「左丞相不治事，今監宮中，如郎中令。」
4.拘禁、收押。《水滸傳》第八回：「推入牢裡監下。」《二十年目睹之怪現狀》第二九回：「然而終久不是可以長監不放的，於是想出法子來，送他出洋去。」
[名]
牢獄。《水滸傳》第二七回：「且把武松同這婆子枷了，收在監內。」《儒林外史》第九回：「把這先生拿到監裡坐著追比。」 |</v>
      </c>
    </row>
    <row r="7212" spans="1:44" hidden="1">
      <c r="A7212" s="1" t="s">
        <v>9888</v>
      </c>
      <c r="C7212" s="1">
        <v>1</v>
      </c>
      <c r="D7212" s="1" t="str">
        <f>"05762"</f>
        <v>05762</v>
      </c>
      <c r="E7212" s="1" t="s">
        <v>1935</v>
      </c>
      <c r="F7212" s="1">
        <v>17</v>
      </c>
      <c r="G7212" s="1">
        <v>14</v>
      </c>
      <c r="H7212" s="1">
        <v>2</v>
      </c>
      <c r="I7212" s="1" t="s">
        <v>13800</v>
      </c>
      <c r="K7212" s="1" t="str">
        <f t="shared" si="457"/>
        <v>ㄐ</v>
      </c>
      <c r="L7212" s="1" t="str">
        <f t="shared" si="458"/>
        <v>ㄧ</v>
      </c>
      <c r="M7212" s="1" t="str">
        <f t="shared" si="459"/>
        <v>ㄢ</v>
      </c>
      <c r="P7212" s="1" t="s">
        <v>110</v>
      </c>
      <c r="R7212" s="1" t="s">
        <v>13801</v>
      </c>
      <c r="V7212" s="1" t="s">
        <v>111</v>
      </c>
      <c r="W7212" s="1" t="s">
        <v>13878</v>
      </c>
      <c r="AR7212" s="1" t="str">
        <f t="shared" si="456"/>
        <v>| [ㄐㄧㄢ](ㄐㄧㄢ.md) | [尷](尷.md) |  | jiān | (一)之又音。 |</v>
      </c>
    </row>
    <row r="7213" spans="1:44" hidden="1">
      <c r="A7213" s="1" t="s">
        <v>8181</v>
      </c>
      <c r="C7213" s="1">
        <v>1</v>
      </c>
      <c r="D7213" s="1" t="str">
        <f>"05763"</f>
        <v>05763</v>
      </c>
      <c r="E7213" s="1" t="s">
        <v>169</v>
      </c>
      <c r="F7213" s="1">
        <v>19</v>
      </c>
      <c r="G7213" s="1">
        <v>14</v>
      </c>
      <c r="H7213" s="1">
        <v>1</v>
      </c>
      <c r="I7213" s="1" t="s">
        <v>13800</v>
      </c>
      <c r="K7213" s="1" t="str">
        <f t="shared" si="457"/>
        <v>ㄐ</v>
      </c>
      <c r="L7213" s="1" t="str">
        <f t="shared" si="458"/>
        <v>ㄧ</v>
      </c>
      <c r="M7213" s="1" t="str">
        <f t="shared" si="459"/>
        <v>ㄢ</v>
      </c>
      <c r="P7213" s="1" t="s">
        <v>20</v>
      </c>
      <c r="R7213" s="1" t="s">
        <v>13801</v>
      </c>
      <c r="V7213" s="1" t="s">
        <v>13879</v>
      </c>
      <c r="W7213" s="1" t="s">
        <v>13880</v>
      </c>
      <c r="AR7213" s="1" t="str">
        <f t="shared" si="456"/>
        <v>| [ㄐㄧㄢ](ㄐㄧㄢ.md) | [礛](礛.md) |  | jiān | [名]
礛䃴：琢磨玉器、刀劍等的磨石。清．王念孫《廣雅疏證．卷八上．釋器》：「礛䃴，礪也。」三國魏．曹丕〈劍銘〉：「魏太子丕造百辟寶劍三，……淬以清漳，厲以礛䃴。」 |</v>
      </c>
    </row>
    <row r="7214" spans="1:44" hidden="1">
      <c r="A7214" s="1" t="s">
        <v>13881</v>
      </c>
      <c r="C7214" s="1">
        <v>1</v>
      </c>
      <c r="D7214" s="1" t="str">
        <f>"05764"</f>
        <v>05764</v>
      </c>
      <c r="E7214" s="1" t="s">
        <v>336</v>
      </c>
      <c r="F7214" s="1">
        <v>16</v>
      </c>
      <c r="G7214" s="1">
        <v>12</v>
      </c>
      <c r="H7214" s="1">
        <v>0</v>
      </c>
      <c r="I7214" s="1" t="s">
        <v>13800</v>
      </c>
      <c r="K7214" s="1" t="str">
        <f t="shared" si="457"/>
        <v>ㄐ</v>
      </c>
      <c r="L7214" s="1" t="str">
        <f t="shared" si="458"/>
        <v>ㄧ</v>
      </c>
      <c r="M7214" s="1" t="str">
        <f t="shared" si="459"/>
        <v>ㄢ</v>
      </c>
      <c r="P7214" s="1" t="s">
        <v>20</v>
      </c>
      <c r="R7214" s="1" t="s">
        <v>13801</v>
      </c>
      <c r="V7214" s="1" t="s">
        <v>13882</v>
      </c>
      <c r="AR7214" s="1" t="str">
        <f t="shared" si="456"/>
        <v>| [ㄐㄧㄢ](ㄐㄧㄢ.md) | [熸](熸.md) |  | jiān | [動]
1.火熄滅。《玉篇．火部》：「熸，火滅也。」《左傳．襄公二十六年》：「王夷師熸。」晉．杜預．注：「吳、楚之間謂火滅為熸。」
2.戰敗、潰敗。《左傳．昭公二十三年》：「子瑕卒，楚師熸。」《清史稿．卷二四．德宗本紀二》：「庚寅，劉公島陷，水師熸。」 |</v>
      </c>
    </row>
    <row r="7215" spans="1:44" hidden="1">
      <c r="A7215" s="1" t="s">
        <v>13883</v>
      </c>
      <c r="C7215" s="1">
        <v>1</v>
      </c>
      <c r="D7215" s="1" t="str">
        <f>"05765"</f>
        <v>05765</v>
      </c>
      <c r="E7215" s="1" t="s">
        <v>8928</v>
      </c>
      <c r="F7215" s="1">
        <v>17</v>
      </c>
      <c r="G7215" s="1">
        <v>11</v>
      </c>
      <c r="H7215" s="1">
        <v>0</v>
      </c>
      <c r="I7215" s="1" t="s">
        <v>13800</v>
      </c>
      <c r="K7215" s="1" t="str">
        <f t="shared" si="457"/>
        <v>ㄐ</v>
      </c>
      <c r="L7215" s="1" t="str">
        <f t="shared" si="458"/>
        <v>ㄧ</v>
      </c>
      <c r="M7215" s="1" t="str">
        <f t="shared" si="459"/>
        <v>ㄢ</v>
      </c>
      <c r="P7215" s="1" t="s">
        <v>20</v>
      </c>
      <c r="R7215" s="1" t="s">
        <v>13801</v>
      </c>
      <c r="V7215" s="1" t="s">
        <v>13884</v>
      </c>
      <c r="AR7215" s="1" t="str">
        <f t="shared" si="456"/>
        <v>| [ㄐㄧㄢ](ㄐㄧㄢ.md) | [艱](艱.md) |  | jiān | [形]
1.困苦、困難。如：「生活艱苦」。宋．陸游〈書憤〉詩：「早歲那知世事艱，中原北望氣如山。」
2.險阻、險惡。如：「艱險」。漢．曹操〈苦寒行〉：「北上太行山，艱哉何巍巍。」
[名]
父母之喪。如：「丁艱」。南朝宋．劉義慶《世說新語．德行》：「（吳道助、附子兄弟）遭母童夫人艱，朝夕哭臨。」《文選．王儉．褚淵碑文》：「改授侍中中書監護軍如故，又以居母艱去官。」 |</v>
      </c>
    </row>
    <row r="7216" spans="1:44" hidden="1">
      <c r="A7216" s="1" t="s">
        <v>13885</v>
      </c>
      <c r="C7216" s="1">
        <v>1</v>
      </c>
      <c r="D7216" s="1" t="str">
        <f>"05766"</f>
        <v>05766</v>
      </c>
      <c r="E7216" s="1" t="s">
        <v>129</v>
      </c>
      <c r="F7216" s="1">
        <v>20</v>
      </c>
      <c r="G7216" s="1">
        <v>17</v>
      </c>
      <c r="H7216" s="1">
        <v>0</v>
      </c>
      <c r="I7216" s="1" t="s">
        <v>13800</v>
      </c>
      <c r="K7216" s="1" t="str">
        <f t="shared" si="457"/>
        <v>ㄐ</v>
      </c>
      <c r="L7216" s="1" t="str">
        <f t="shared" si="458"/>
        <v>ㄧ</v>
      </c>
      <c r="M7216" s="1" t="str">
        <f t="shared" si="459"/>
        <v>ㄢ</v>
      </c>
      <c r="P7216" s="1" t="s">
        <v>20</v>
      </c>
      <c r="R7216" s="1" t="s">
        <v>13801</v>
      </c>
      <c r="V7216" s="1" t="s">
        <v>13886</v>
      </c>
      <c r="AR7216" s="1" t="str">
        <f t="shared" si="456"/>
        <v>| [ㄐㄧㄢ](ㄐㄧㄢ.md) | [瀸](瀸.md) |  | jiān | [動]
1.浸漬、弄溼。《淮南子．要略》：「瀸濇肌膚，被服法則。」晉．羊祜〈雁賦〉：「臨空不能頓其翼，揚波不能瀸其羽。」
2.消滅。通「殲」。《公羊傳．莊公十七年》：「齊人瀸於遂。」 |</v>
      </c>
    </row>
    <row r="7217" spans="1:44" hidden="1">
      <c r="A7217" s="1" t="s">
        <v>13887</v>
      </c>
      <c r="C7217" s="1">
        <v>1</v>
      </c>
      <c r="D7217" s="1" t="str">
        <f>"05767"</f>
        <v>05767</v>
      </c>
      <c r="E7217" s="1" t="s">
        <v>139</v>
      </c>
      <c r="F7217" s="1">
        <v>21</v>
      </c>
      <c r="G7217" s="1">
        <v>17</v>
      </c>
      <c r="H7217" s="1">
        <v>0</v>
      </c>
      <c r="I7217" s="1" t="s">
        <v>13800</v>
      </c>
      <c r="K7217" s="1" t="str">
        <f t="shared" si="457"/>
        <v>ㄐ</v>
      </c>
      <c r="L7217" s="1" t="str">
        <f t="shared" si="458"/>
        <v>ㄧ</v>
      </c>
      <c r="M7217" s="1" t="str">
        <f t="shared" si="459"/>
        <v>ㄢ</v>
      </c>
      <c r="P7217" s="1" t="s">
        <v>20</v>
      </c>
      <c r="R7217" s="1" t="s">
        <v>13801</v>
      </c>
      <c r="V7217" s="1" t="s">
        <v>13888</v>
      </c>
      <c r="AR7217" s="1" t="str">
        <f t="shared" si="456"/>
        <v>| [ㄐㄧㄢ](ㄐㄧㄢ.md) | [櫼](櫼.md) |  | jiān | [名]
1.上平下尖，塞在榫頭縫內用以固定的木簽。《說文解字．木部》：「櫼，楔也。」清．段玉裁．注：「木工於鑿枘相入處，有不固，則斫木札楔入固之，謂之櫼。」
2.泛指用竹木削成的細條狀東西。元．趙孟頫〈老態〉詩：「扶衰每藉齊眉杖，食肉先尋剔齒櫼。」明．徐光啟《農政全書．卷三八．種植．木部》：「此桐三年乃生，首一年猶未盛，第二年則盛矣。生五六年亦衰，即以栗櫼剝之。」 |</v>
      </c>
    </row>
    <row r="7218" spans="1:44" hidden="1">
      <c r="A7218" s="1" t="s">
        <v>13889</v>
      </c>
      <c r="C7218" s="1">
        <v>1</v>
      </c>
      <c r="D7218" s="1" t="str">
        <f>"05768"</f>
        <v>05768</v>
      </c>
      <c r="E7218" s="1" t="s">
        <v>1372</v>
      </c>
      <c r="F7218" s="1">
        <v>21</v>
      </c>
      <c r="G7218" s="1">
        <v>17</v>
      </c>
      <c r="H7218" s="1">
        <v>0</v>
      </c>
      <c r="I7218" s="1" t="s">
        <v>13800</v>
      </c>
      <c r="K7218" s="1" t="str">
        <f t="shared" si="457"/>
        <v>ㄐ</v>
      </c>
      <c r="L7218" s="1" t="str">
        <f t="shared" si="458"/>
        <v>ㄧ</v>
      </c>
      <c r="M7218" s="1" t="str">
        <f t="shared" si="459"/>
        <v>ㄢ</v>
      </c>
      <c r="P7218" s="1" t="s">
        <v>20</v>
      </c>
      <c r="R7218" s="1" t="s">
        <v>13801</v>
      </c>
      <c r="V7218" s="1" t="s">
        <v>13890</v>
      </c>
      <c r="AR7218" s="1" t="str">
        <f t="shared" si="456"/>
        <v>| [ㄐㄧㄢ](ㄐㄧㄢ.md) | [殲](殲.md) |  | jiān | [動]
殺盡、消滅。如：「殲敵」。《資治通鑑．卷二四七．唐紀六十三．武宗會昌三年》：「可汗既與為怨，須盡殲夷。」 |</v>
      </c>
    </row>
    <row r="7219" spans="1:44" hidden="1">
      <c r="A7219" s="1" t="s">
        <v>13891</v>
      </c>
      <c r="C7219" s="1">
        <v>1</v>
      </c>
      <c r="D7219" s="1" t="str">
        <f>"05769"</f>
        <v>05769</v>
      </c>
      <c r="E7219" s="1" t="s">
        <v>55</v>
      </c>
      <c r="F7219" s="1">
        <v>25</v>
      </c>
      <c r="G7219" s="1">
        <v>17</v>
      </c>
      <c r="H7219" s="1">
        <v>0</v>
      </c>
      <c r="I7219" s="1" t="s">
        <v>13800</v>
      </c>
      <c r="K7219" s="1" t="str">
        <f t="shared" si="457"/>
        <v>ㄐ</v>
      </c>
      <c r="L7219" s="1" t="str">
        <f t="shared" si="458"/>
        <v>ㄧ</v>
      </c>
      <c r="M7219" s="1" t="str">
        <f t="shared" si="459"/>
        <v>ㄢ</v>
      </c>
      <c r="P7219" s="1" t="s">
        <v>20</v>
      </c>
      <c r="R7219" s="1" t="s">
        <v>13801</v>
      </c>
      <c r="V7219" s="1" t="s">
        <v>13892</v>
      </c>
      <c r="AR7219" s="1" t="str">
        <f t="shared" si="456"/>
        <v>| [ㄐㄧㄢ](ㄐㄧㄢ.md) | [鑯](鑯.md) |  | jiān | [名]
鐵器。《說文解字．金部》：「鑯，鐵器也。」
[動]
鐫刻、雕琢。《說文解字．金部》：「鑯，一曰鐫也。」清．段玉裁．注：「鐫者，穿木琢石也。」 |</v>
      </c>
    </row>
    <row r="7220" spans="1:44" hidden="1">
      <c r="A7220" s="1" t="s">
        <v>13893</v>
      </c>
      <c r="C7220" s="1">
        <v>1</v>
      </c>
      <c r="D7220" s="1" t="str">
        <f>"05770"</f>
        <v>05770</v>
      </c>
      <c r="E7220" s="1" t="s">
        <v>96</v>
      </c>
      <c r="F7220" s="1">
        <v>26</v>
      </c>
      <c r="G7220" s="1">
        <v>17</v>
      </c>
      <c r="H7220" s="1">
        <v>0</v>
      </c>
      <c r="I7220" s="1" t="s">
        <v>13800</v>
      </c>
      <c r="K7220" s="1" t="str">
        <f t="shared" si="457"/>
        <v>ㄐ</v>
      </c>
      <c r="L7220" s="1" t="str">
        <f t="shared" si="458"/>
        <v>ㄧ</v>
      </c>
      <c r="M7220" s="1" t="str">
        <f t="shared" si="459"/>
        <v>ㄢ</v>
      </c>
      <c r="P7220" s="1" t="s">
        <v>20</v>
      </c>
      <c r="R7220" s="1" t="s">
        <v>13801</v>
      </c>
      <c r="V7220" s="1" t="s">
        <v>13894</v>
      </c>
      <c r="AR7220" s="1" t="str">
        <f t="shared" si="456"/>
        <v>| [ㄐㄧㄢ](ㄐㄧㄢ.md) | [韉](韉.md) |  | jiān | [名]
馬鞍下的墊褥。南朝梁．無名氏〈木蘭詩〉二首之一：「東市買駿馬，西市買鞍韉。」 |</v>
      </c>
    </row>
    <row r="7221" spans="1:44" hidden="1">
      <c r="A7221" s="1" t="s">
        <v>13895</v>
      </c>
      <c r="C7221" s="1">
        <v>1</v>
      </c>
      <c r="D7221" s="1" t="str">
        <f>"05771"</f>
        <v>05771</v>
      </c>
      <c r="E7221" s="1" t="s">
        <v>2557</v>
      </c>
      <c r="F7221" s="1">
        <v>6</v>
      </c>
      <c r="G7221" s="1">
        <v>3</v>
      </c>
      <c r="H7221" s="1">
        <v>1</v>
      </c>
      <c r="I7221" s="1" t="s">
        <v>13896</v>
      </c>
      <c r="K7221" s="1" t="str">
        <f t="shared" si="457"/>
        <v>ㄐ</v>
      </c>
      <c r="L7221" s="1" t="str">
        <f t="shared" si="458"/>
        <v>ㄧ</v>
      </c>
      <c r="M7221" s="1" t="str">
        <f t="shared" si="459"/>
        <v>ㄢ</v>
      </c>
      <c r="P7221" s="1" t="s">
        <v>20</v>
      </c>
      <c r="R7221" s="1" t="s">
        <v>13897</v>
      </c>
      <c r="V7221" s="1" t="s">
        <v>13898</v>
      </c>
      <c r="W7221" s="1" t="s">
        <v>13899</v>
      </c>
      <c r="AR7221" s="1" t="str">
        <f t="shared" si="456"/>
        <v>| [ㄐㄧㄢˇ](ㄐㄧㄢˇ.md) | [囝](囝.md) |  | jiǎn | [名]_x000D_
閩人稱兒子。唐．顧況《華陽集．卷上．上古之什補亡訓傳十三章．囝》：「囝生閩方，閩吏得之……囝別郎罷，心摧血下。」自注：「閩俗呼子為囝，呼父為郎罷。」宋．陸游〈戲遣老懷〉詩其一：「阿囝略如郎罷老，稚孫能伴太翁嬉。」也泛指兒女。如：「囝孫」。 |</v>
      </c>
    </row>
    <row r="7222" spans="1:44" hidden="1">
      <c r="A7222" s="1" t="s">
        <v>13900</v>
      </c>
      <c r="C7222" s="1">
        <v>1</v>
      </c>
      <c r="D7222" s="1" t="str">
        <f>"05772"</f>
        <v>05772</v>
      </c>
      <c r="E7222" s="1" t="s">
        <v>139</v>
      </c>
      <c r="F7222" s="1">
        <v>9</v>
      </c>
      <c r="G7222" s="1">
        <v>5</v>
      </c>
      <c r="H7222" s="1">
        <v>0</v>
      </c>
      <c r="I7222" s="1" t="s">
        <v>13896</v>
      </c>
      <c r="K7222" s="1" t="str">
        <f t="shared" si="457"/>
        <v>ㄐ</v>
      </c>
      <c r="L7222" s="1" t="str">
        <f t="shared" si="458"/>
        <v>ㄧ</v>
      </c>
      <c r="M7222" s="1" t="str">
        <f t="shared" si="459"/>
        <v>ㄢ</v>
      </c>
      <c r="P7222" s="1" t="s">
        <v>20</v>
      </c>
      <c r="R7222" s="1" t="s">
        <v>13897</v>
      </c>
      <c r="V7222" s="1" t="s">
        <v>13901</v>
      </c>
      <c r="AR7222" s="1" t="str">
        <f t="shared" si="456"/>
        <v>| [ㄐㄧㄢˇ](ㄐㄧㄢˇ.md) | [柬](柬.md) |  | jiǎn | [名]
信件、請帖。通「簡」。如：「書柬」、「請柬」。《紅樓夢》第四八回：「明日我補一個柬來，請你入社。」
[動]
選擇。通「揀」。《荀子．修身》：「安燕而血氣不惰，柬理也。」唐．楊倞．注：「言柬擇其事理所宜。」 |</v>
      </c>
    </row>
    <row r="7223" spans="1:44" hidden="1">
      <c r="A7223" s="1" t="s">
        <v>13902</v>
      </c>
      <c r="C7223" s="1">
        <v>1</v>
      </c>
      <c r="D7223" s="1" t="str">
        <f>"05773"</f>
        <v>05773</v>
      </c>
      <c r="E7223" s="1" t="s">
        <v>24</v>
      </c>
      <c r="F7223" s="1">
        <v>12</v>
      </c>
      <c r="G7223" s="1">
        <v>9</v>
      </c>
      <c r="H7223" s="1">
        <v>0</v>
      </c>
      <c r="I7223" s="1" t="s">
        <v>13896</v>
      </c>
      <c r="K7223" s="1" t="str">
        <f t="shared" si="457"/>
        <v>ㄐ</v>
      </c>
      <c r="L7223" s="1" t="str">
        <f t="shared" si="458"/>
        <v>ㄧ</v>
      </c>
      <c r="M7223" s="1" t="str">
        <f t="shared" si="459"/>
        <v>ㄢ</v>
      </c>
      <c r="P7223" s="1" t="s">
        <v>20</v>
      </c>
      <c r="R7223" s="1" t="s">
        <v>13897</v>
      </c>
      <c r="V7223" s="1" t="s">
        <v>13903</v>
      </c>
      <c r="AR7223" s="1" t="str">
        <f t="shared" si="456"/>
        <v>| [ㄐㄧㄢˇ](ㄐㄧㄢˇ.md) | [揀](揀.md) |  | jiǎn | [動]
1.選擇、挑選。如：「揀選」、「挑東揀西」。唐．韓愈〈贈張籍〉詩：「吾愛其風骨，粹美無可揀。」
2.拾取。同「撿」。《兒女英雄傳》第三一回：「遍地是錢，就是沒人去揀。」 |</v>
      </c>
    </row>
    <row r="7224" spans="1:44" hidden="1">
      <c r="A7224" s="1" t="s">
        <v>13904</v>
      </c>
      <c r="C7224" s="1">
        <v>1</v>
      </c>
      <c r="D7224" s="1" t="str">
        <f>"05774"</f>
        <v>05774</v>
      </c>
      <c r="E7224" s="1" t="s">
        <v>185</v>
      </c>
      <c r="F7224" s="1">
        <v>11</v>
      </c>
      <c r="G7224" s="1">
        <v>9</v>
      </c>
      <c r="H7224" s="1">
        <v>0</v>
      </c>
      <c r="I7224" s="1" t="s">
        <v>13896</v>
      </c>
      <c r="K7224" s="1" t="str">
        <f t="shared" si="457"/>
        <v>ㄐ</v>
      </c>
      <c r="L7224" s="1" t="str">
        <f t="shared" si="458"/>
        <v>ㄧ</v>
      </c>
      <c r="M7224" s="1" t="str">
        <f t="shared" si="459"/>
        <v>ㄢ</v>
      </c>
      <c r="P7224" s="1" t="s">
        <v>20</v>
      </c>
      <c r="R7224" s="1" t="s">
        <v>13897</v>
      </c>
      <c r="V7224" s="1" t="s">
        <v>13905</v>
      </c>
      <c r="AR7224" s="1" t="str">
        <f t="shared" si="456"/>
        <v>| [ㄐㄧㄢˇ](ㄐㄧㄢˇ.md) | [剪](剪.md) |  | jiǎn | [名]
兩面刀刃相對、交叉以截斷東西的用具。如：「剪刀」、「剪子」。
[動]
用剪刀裁截。如：「剪草」、「剪髮」、「剪紙」。 |</v>
      </c>
    </row>
    <row r="7225" spans="1:44" hidden="1">
      <c r="A7225" s="1" t="s">
        <v>13906</v>
      </c>
      <c r="C7225" s="1">
        <v>1</v>
      </c>
      <c r="D7225" s="1" t="str">
        <f>"05775"</f>
        <v>05775</v>
      </c>
      <c r="E7225" s="1" t="s">
        <v>24</v>
      </c>
      <c r="F7225" s="1">
        <v>12</v>
      </c>
      <c r="G7225" s="1">
        <v>9</v>
      </c>
      <c r="H7225" s="1">
        <v>0</v>
      </c>
      <c r="I7225" s="1" t="s">
        <v>13896</v>
      </c>
      <c r="K7225" s="1" t="str">
        <f t="shared" si="457"/>
        <v>ㄐ</v>
      </c>
      <c r="L7225" s="1" t="str">
        <f t="shared" si="458"/>
        <v>ㄧ</v>
      </c>
      <c r="M7225" s="1" t="str">
        <f t="shared" si="459"/>
        <v>ㄢ</v>
      </c>
      <c r="P7225" s="1" t="s">
        <v>20</v>
      </c>
      <c r="R7225" s="1" t="s">
        <v>13897</v>
      </c>
      <c r="V7225" s="1" t="s">
        <v>13907</v>
      </c>
      <c r="AR7225" s="1" t="str">
        <f t="shared" si="456"/>
        <v>| [ㄐㄧㄢˇ](ㄐㄧㄢˇ.md) | [揃](揃.md) |  | jiǎn | [動]
1.剪斷。通「剪」。《史記．卷八十八．蒙恬傳》：「及成王有病甚殆，公旦自揃其爪以沉於河。」
2.消滅。通「翦」。《魏書．卷八十八．良吏傳．明亮傳》：「卿欲為朕拓定江表，揃平蕭衍。」唐．韓愈〈憶昨行和張十一〉詩：「伾文未揃崖州熾，雖得赦宥恆愁猜。」 |</v>
      </c>
    </row>
    <row r="7226" spans="1:44" hidden="1">
      <c r="A7226" s="1" t="s">
        <v>13908</v>
      </c>
      <c r="C7226" s="1">
        <v>1</v>
      </c>
      <c r="D7226" s="1" t="str">
        <f>"05776"</f>
        <v>05776</v>
      </c>
      <c r="E7226" s="1" t="s">
        <v>2271</v>
      </c>
      <c r="F7226" s="1">
        <v>15</v>
      </c>
      <c r="G7226" s="1">
        <v>9</v>
      </c>
      <c r="H7226" s="1">
        <v>0</v>
      </c>
      <c r="I7226" s="1" t="s">
        <v>13896</v>
      </c>
      <c r="K7226" s="1" t="str">
        <f t="shared" si="457"/>
        <v>ㄐ</v>
      </c>
      <c r="L7226" s="1" t="str">
        <f t="shared" si="458"/>
        <v>ㄧ</v>
      </c>
      <c r="M7226" s="1" t="str">
        <f t="shared" si="459"/>
        <v>ㄢ</v>
      </c>
      <c r="P7226" s="1" t="s">
        <v>20</v>
      </c>
      <c r="R7226" s="1" t="s">
        <v>13897</v>
      </c>
      <c r="V7226" s="1" t="s">
        <v>13909</v>
      </c>
      <c r="AR7226" s="1" t="str">
        <f t="shared" si="456"/>
        <v>| [ㄐㄧㄢˇ](ㄐㄧㄢˇ.md) | [翦](翦.md) |  | jiǎn | [動]
1.削減。《管子．任法》：「大臣能以其私附百姓，翦公財以祿私士。」
2.消滅、剷除。《詩經．魯頌．閟宮》：「居岐之陽，實始翦商。」《呂氏春秋．季夏紀．制樂》：「此文王之所以止殃翦妖也。」 |</v>
      </c>
    </row>
    <row r="7227" spans="1:44" hidden="1">
      <c r="A7227" s="1" t="s">
        <v>13910</v>
      </c>
      <c r="C7227" s="1">
        <v>1</v>
      </c>
      <c r="D7227" s="1" t="str">
        <f>"05777"</f>
        <v>05777</v>
      </c>
      <c r="E7227" s="1" t="s">
        <v>331</v>
      </c>
      <c r="F7227" s="1">
        <v>22</v>
      </c>
      <c r="G7227" s="1">
        <v>15</v>
      </c>
      <c r="H7227" s="1">
        <v>0</v>
      </c>
      <c r="I7227" s="1" t="s">
        <v>13896</v>
      </c>
      <c r="K7227" s="1" t="str">
        <f t="shared" si="457"/>
        <v>ㄐ</v>
      </c>
      <c r="L7227" s="1" t="str">
        <f t="shared" si="458"/>
        <v>ㄧ</v>
      </c>
      <c r="M7227" s="1" t="str">
        <f t="shared" si="459"/>
        <v>ㄢ</v>
      </c>
      <c r="P7227" s="1" t="s">
        <v>20</v>
      </c>
      <c r="R7227" s="1" t="s">
        <v>13897</v>
      </c>
      <c r="V7227" s="1" t="s">
        <v>13911</v>
      </c>
      <c r="AR7227" s="1" t="str">
        <f t="shared" si="456"/>
        <v>| [ㄐㄧㄢˇ](ㄐㄧㄢˇ.md) | [譾](譾.md) |  | jiǎn | [形]
淺薄。《史記．卷八七．李斯傳》：「能薄而材譾。」 |</v>
      </c>
    </row>
    <row r="7228" spans="1:44" hidden="1">
      <c r="A7228" s="1" t="s">
        <v>13912</v>
      </c>
      <c r="C7228" s="1">
        <v>1</v>
      </c>
      <c r="D7228" s="1" t="str">
        <f>"05778"</f>
        <v>05778</v>
      </c>
      <c r="E7228" s="1" t="s">
        <v>77</v>
      </c>
      <c r="F7228" s="1">
        <v>11</v>
      </c>
      <c r="G7228" s="1">
        <v>4</v>
      </c>
      <c r="H7228" s="1">
        <v>1</v>
      </c>
      <c r="I7228" s="1" t="s">
        <v>13896</v>
      </c>
      <c r="K7228" s="1" t="str">
        <f t="shared" si="457"/>
        <v>ㄐ</v>
      </c>
      <c r="L7228" s="1" t="str">
        <f t="shared" si="458"/>
        <v>ㄧ</v>
      </c>
      <c r="M7228" s="1" t="str">
        <f t="shared" si="459"/>
        <v>ㄢ</v>
      </c>
      <c r="P7228" s="1" t="s">
        <v>20</v>
      </c>
      <c r="R7228" s="1" t="s">
        <v>13897</v>
      </c>
      <c r="V7228" s="1" t="s">
        <v>13913</v>
      </c>
      <c r="W7228" s="1" t="s">
        <v>13914</v>
      </c>
      <c r="AR7228" s="1" t="str">
        <f t="shared" si="456"/>
        <v>| [ㄐㄧㄢˇ](ㄐㄧㄢˇ.md) | [趼](趼.md) |  | jiǎn | [名]
手足因過度摩擦所生的厚皮。《莊子．天道》：「百舍重趼，而不敢息。」唐．陸德明《經典釋文．卷二七．莊子音義中》：「趼，胝也。」 |</v>
      </c>
    </row>
    <row r="7229" spans="1:44" hidden="1">
      <c r="A7229" s="1" t="s">
        <v>13915</v>
      </c>
      <c r="C7229" s="1">
        <v>1</v>
      </c>
      <c r="D7229" s="1" t="str">
        <f>"05779"</f>
        <v>05779</v>
      </c>
      <c r="E7229" s="1" t="s">
        <v>222</v>
      </c>
      <c r="F7229" s="1">
        <v>11</v>
      </c>
      <c r="G7229" s="1">
        <v>8</v>
      </c>
      <c r="H7229" s="1">
        <v>1</v>
      </c>
      <c r="I7229" s="1" t="s">
        <v>13896</v>
      </c>
      <c r="K7229" s="1" t="str">
        <f t="shared" si="457"/>
        <v>ㄐ</v>
      </c>
      <c r="L7229" s="1" t="str">
        <f t="shared" si="458"/>
        <v>ㄧ</v>
      </c>
      <c r="M7229" s="1" t="str">
        <f t="shared" si="459"/>
        <v>ㄢ</v>
      </c>
      <c r="P7229" s="1" t="s">
        <v>20</v>
      </c>
      <c r="R7229" s="1" t="s">
        <v>13897</v>
      </c>
      <c r="V7229" s="1" t="s">
        <v>13916</v>
      </c>
      <c r="W7229" s="1" t="s">
        <v>13917</v>
      </c>
      <c r="AR7229" s="1" t="str">
        <f t="shared" si="456"/>
        <v>| [ㄐㄧㄢˇ](ㄐㄧㄢˇ.md) | [帴](帴.md) |  | jiǎn | [名]
用來包裹嬰兒的布巾。《集韻．上聲．獮韻》：「帴，褓也。」
[形]
狹小。《周禮．冬官考工記．鮑人》：「若苟自急者先裂，則是以博為帴也。」鄭玄注引鄭司農云：「帴，讀為翦，謂以廣為狹也。」 |</v>
      </c>
    </row>
    <row r="7230" spans="1:44" hidden="1">
      <c r="A7230" s="1" t="s">
        <v>13918</v>
      </c>
      <c r="C7230" s="1">
        <v>1</v>
      </c>
      <c r="D7230" s="1" t="str">
        <f>"05780"</f>
        <v>05780</v>
      </c>
      <c r="E7230" s="1" t="s">
        <v>55</v>
      </c>
      <c r="F7230" s="1">
        <v>16</v>
      </c>
      <c r="G7230" s="1">
        <v>8</v>
      </c>
      <c r="H7230" s="1">
        <v>2</v>
      </c>
      <c r="I7230" s="1" t="s">
        <v>13896</v>
      </c>
      <c r="K7230" s="1" t="str">
        <f t="shared" si="457"/>
        <v>ㄐ</v>
      </c>
      <c r="L7230" s="1" t="str">
        <f t="shared" si="458"/>
        <v>ㄧ</v>
      </c>
      <c r="M7230" s="1" t="str">
        <f t="shared" si="459"/>
        <v>ㄢ</v>
      </c>
      <c r="P7230" s="1" t="s">
        <v>20</v>
      </c>
      <c r="R7230" s="1" t="s">
        <v>13897</v>
      </c>
      <c r="V7230" s="1" t="s">
        <v>13919</v>
      </c>
      <c r="W7230" s="1" t="s">
        <v>13920</v>
      </c>
      <c r="AR7230" s="1" t="str">
        <f t="shared" si="456"/>
        <v>| [ㄐㄧㄢˇ](ㄐㄧㄢˇ.md) | [錢](錢.md) |  | jiǎn | [名]
古代的一種農具。《說文解字．金部》：「錢，銚也。古者田器。」清．段玉裁．注：「上文銚字，下云古田器者，古謂之錢，今則但謂之銚。」 |</v>
      </c>
    </row>
    <row r="7231" spans="1:44" hidden="1">
      <c r="A7231" s="1" t="s">
        <v>13921</v>
      </c>
      <c r="C7231" s="1">
        <v>1</v>
      </c>
      <c r="D7231" s="1" t="str">
        <f>"05781"</f>
        <v>05781</v>
      </c>
      <c r="E7231" s="1" t="s">
        <v>129</v>
      </c>
      <c r="F7231" s="1">
        <v>12</v>
      </c>
      <c r="G7231" s="1">
        <v>9</v>
      </c>
      <c r="H7231" s="1">
        <v>0</v>
      </c>
      <c r="I7231" s="1" t="s">
        <v>13896</v>
      </c>
      <c r="K7231" s="1" t="str">
        <f t="shared" si="457"/>
        <v>ㄐ</v>
      </c>
      <c r="L7231" s="1" t="str">
        <f t="shared" si="458"/>
        <v>ㄧ</v>
      </c>
      <c r="M7231" s="1" t="str">
        <f t="shared" si="459"/>
        <v>ㄢ</v>
      </c>
      <c r="P7231" s="1" t="s">
        <v>20</v>
      </c>
      <c r="R7231" s="1" t="s">
        <v>13897</v>
      </c>
      <c r="V7231" s="1" t="s">
        <v>13922</v>
      </c>
      <c r="AR7231" s="1" t="str">
        <f t="shared" si="456"/>
        <v>| [ㄐㄧㄢˇ](ㄐㄧㄢˇ.md) | [減](減.md) |  | jiǎn | [動]
1.從整體中去掉一部分。如：「減少」、「削減」。《文選．宋玉．登徒子好色賦》：「東家之子，增之一分則太長，減之一分則太短。」
2.降低、耗損。如：「減弱」、「銳減」。唐．杜甫〈曲江〉詩二首之一：「一片花飛減卻春，風飄萬點正愁人。」唐．李商隱〈贈荷花〉詩：「此花此葉常相映，翠減紅衰愁殺人。」
3.不及、不如。南朝宋．劉義慶《世說新語．賞譽》：「羊叔子何必減顏子。」
4.數學上指從一數中去掉另一數。如：「五減二等於三。」
[名]
1.數學上的運算方法之一。即減法。
2.姓。如漢代有減宣。 |</v>
      </c>
    </row>
    <row r="7232" spans="1:44" hidden="1">
      <c r="A7232" s="1" t="s">
        <v>13923</v>
      </c>
      <c r="C7232" s="1">
        <v>1</v>
      </c>
      <c r="D7232" s="1" t="str">
        <f>"05782"</f>
        <v>05782</v>
      </c>
      <c r="E7232" s="1" t="s">
        <v>49</v>
      </c>
      <c r="F7232" s="1">
        <v>13</v>
      </c>
      <c r="G7232" s="1">
        <v>7</v>
      </c>
      <c r="H7232" s="1">
        <v>0</v>
      </c>
      <c r="I7232" s="1" t="s">
        <v>13896</v>
      </c>
      <c r="K7232" s="1" t="str">
        <f t="shared" si="457"/>
        <v>ㄐ</v>
      </c>
      <c r="L7232" s="1" t="str">
        <f t="shared" si="458"/>
        <v>ㄧ</v>
      </c>
      <c r="M7232" s="1" t="str">
        <f t="shared" si="459"/>
        <v>ㄢ</v>
      </c>
      <c r="P7232" s="1" t="s">
        <v>20</v>
      </c>
      <c r="R7232" s="1" t="s">
        <v>13897</v>
      </c>
      <c r="V7232" s="1" t="s">
        <v>13924</v>
      </c>
      <c r="AR7232" s="1" t="str">
        <f t="shared" si="456"/>
        <v>| [ㄐㄧㄢˇ](ㄐㄧㄢˇ.md) | [筧](筧.md) |  | jiǎn | [名]
導水用的長竹管。宋．陸游〈閉戶〉詩：「地爐枯葉夜煨芋，竹筧寒泉晨灌蔬。」 |</v>
      </c>
    </row>
    <row r="7233" spans="1:44" hidden="1">
      <c r="A7233" s="1" t="s">
        <v>13925</v>
      </c>
      <c r="C7233" s="1">
        <v>1</v>
      </c>
      <c r="D7233" s="1" t="str">
        <f>"05783"</f>
        <v>05783</v>
      </c>
      <c r="E7233" s="1" t="s">
        <v>4785</v>
      </c>
      <c r="F7233" s="1">
        <v>14</v>
      </c>
      <c r="G7233" s="1">
        <v>10</v>
      </c>
      <c r="H7233" s="1">
        <v>0</v>
      </c>
      <c r="I7233" s="1" t="s">
        <v>13896</v>
      </c>
      <c r="K7233" s="1" t="str">
        <f t="shared" si="457"/>
        <v>ㄐ</v>
      </c>
      <c r="L7233" s="1" t="str">
        <f t="shared" si="458"/>
        <v>ㄧ</v>
      </c>
      <c r="M7233" s="1" t="str">
        <f t="shared" si="459"/>
        <v>ㄢ</v>
      </c>
      <c r="P7233" s="1" t="s">
        <v>20</v>
      </c>
      <c r="R7233" s="1" t="s">
        <v>13897</v>
      </c>
      <c r="V7233" s="1" t="s">
        <v>13926</v>
      </c>
      <c r="AR7233" s="1" t="str">
        <f t="shared" si="456"/>
        <v>| [ㄐㄧㄢˇ](ㄐㄧㄢˇ.md) | [戩](戩.md) |  | jiǎn | [動]
1.消滅。通「翦」。《說文解字．戈部》：「戩，滅也。」
2.盡、至。參見「戩穀」條。
[名]
福祿、吉祥。《爾雅．釋詁下》：「戩，福也。」 |</v>
      </c>
    </row>
    <row r="7234" spans="1:44" hidden="1">
      <c r="A7234" s="1" t="s">
        <v>13927</v>
      </c>
      <c r="C7234" s="1">
        <v>1</v>
      </c>
      <c r="D7234" s="1" t="str">
        <f>"05784"</f>
        <v>05784</v>
      </c>
      <c r="E7234" s="1" t="s">
        <v>114</v>
      </c>
      <c r="F7234" s="1">
        <v>15</v>
      </c>
      <c r="G7234" s="1">
        <v>13</v>
      </c>
      <c r="H7234" s="1">
        <v>1</v>
      </c>
      <c r="I7234" s="1" t="s">
        <v>13896</v>
      </c>
      <c r="K7234" s="1" t="str">
        <f t="shared" si="457"/>
        <v>ㄐ</v>
      </c>
      <c r="L7234" s="1" t="str">
        <f t="shared" si="458"/>
        <v>ㄧ</v>
      </c>
      <c r="M7234" s="1" t="str">
        <f t="shared" si="459"/>
        <v>ㄢ</v>
      </c>
      <c r="P7234" s="1" t="s">
        <v>20</v>
      </c>
      <c r="R7234" s="1" t="s">
        <v>13897</v>
      </c>
      <c r="V7234" s="1" t="s">
        <v>13928</v>
      </c>
      <c r="W7234" s="1" t="s">
        <v>13929</v>
      </c>
      <c r="AR7234" s="1" t="str">
        <f t="shared" si="456"/>
        <v>| [ㄐㄧㄢˇ](ㄐㄧㄢˇ.md) | [儉](儉.md) |  | jiǎn | [形]
1.節省、樸實。如：「節儉」、「勤儉」。《論語．八佾》：「禮，與其奢也，寧儉。」
2.謙和有節制的。《左傳．僖公二十三年》：「晉公子廣而儉，文而有禮。」《禮記．樂記》：「恭儉而好禮者，宜歌。」
3.收成不好的。《後漢書．卷六九．竇武傳》：「是時羌蠻寇難，歲儉民饑。」
4.匱乏、不足。《南史．卷二〇．謝弘微傳》：「弘微家素貧儉。」南朝梁．劉勰《文心雕龍．銘箴》：「李尤積篇，義儉辭碎。」 |</v>
      </c>
    </row>
    <row r="7235" spans="1:44" hidden="1">
      <c r="A7235" s="1" t="s">
        <v>13930</v>
      </c>
      <c r="C7235" s="1">
        <v>1</v>
      </c>
      <c r="D7235" s="1" t="str">
        <f>"05785"</f>
        <v>05785</v>
      </c>
      <c r="E7235" s="1" t="s">
        <v>24</v>
      </c>
      <c r="F7235" s="1">
        <v>16</v>
      </c>
      <c r="G7235" s="1">
        <v>13</v>
      </c>
      <c r="H7235" s="1">
        <v>0</v>
      </c>
      <c r="I7235" s="1" t="s">
        <v>13896</v>
      </c>
      <c r="K7235" s="1" t="str">
        <f t="shared" si="457"/>
        <v>ㄐ</v>
      </c>
      <c r="L7235" s="1" t="str">
        <f t="shared" si="458"/>
        <v>ㄧ</v>
      </c>
      <c r="M7235" s="1" t="str">
        <f t="shared" si="459"/>
        <v>ㄢ</v>
      </c>
      <c r="P7235" s="1" t="s">
        <v>20</v>
      </c>
      <c r="R7235" s="1" t="s">
        <v>13897</v>
      </c>
      <c r="V7235" s="1" t="s">
        <v>13931</v>
      </c>
      <c r="AR7235" s="1" t="str">
        <f t="shared" ref="AR7235:AR7298" si="460">"| ["&amp;I7235&amp;"]("&amp;I7235&amp;".md) | ["&amp;A7235&amp;"]("&amp;A7235&amp;".md) | "&amp;" | "&amp;R7235&amp;" | "&amp;V7235&amp;" |"</f>
        <v>| [ㄐㄧㄢˇ](ㄐㄧㄢˇ.md) | [撿](撿.md) |  | jiǎn | [動]
1.拾取。如：「撿拾」、「撿柴」、「把垃圾撿起來。」
2.挑選。《儒林外史》第三〇回：「擇一個日子，撿一個極大的地方。」 |</v>
      </c>
    </row>
    <row r="7236" spans="1:44" hidden="1">
      <c r="A7236" s="1" t="s">
        <v>13932</v>
      </c>
      <c r="C7236" s="1">
        <v>1</v>
      </c>
      <c r="D7236" s="1" t="str">
        <f>"05786"</f>
        <v>05786</v>
      </c>
      <c r="E7236" s="1" t="s">
        <v>139</v>
      </c>
      <c r="F7236" s="1">
        <v>17</v>
      </c>
      <c r="G7236" s="1">
        <v>13</v>
      </c>
      <c r="H7236" s="1">
        <v>0</v>
      </c>
      <c r="I7236" s="1" t="s">
        <v>13896</v>
      </c>
      <c r="K7236" s="1" t="str">
        <f t="shared" ref="K7236:K7299" si="461">LEFT(I7236, 1)</f>
        <v>ㄐ</v>
      </c>
      <c r="L7236" s="1" t="str">
        <f t="shared" ref="L7236:L7299" si="462">MID(I7236, 2, 1)</f>
        <v>ㄧ</v>
      </c>
      <c r="M7236" s="1" t="str">
        <f t="shared" ref="M7236:M7299" si="463">MID(I7236, 3, 1)</f>
        <v>ㄢ</v>
      </c>
      <c r="P7236" s="1" t="s">
        <v>20</v>
      </c>
      <c r="R7236" s="1" t="s">
        <v>13897</v>
      </c>
      <c r="V7236" s="1" t="s">
        <v>13933</v>
      </c>
      <c r="AR7236" s="1" t="str">
        <f t="shared" si="460"/>
        <v>| [ㄐㄧㄢˇ](ㄐㄧㄢˇ.md) | [檢](檢.md) |  | jiǎn | [名]
1.書函、書簽。《說文解字．木部》：「檢，書署也。」清．段玉裁．注：「書署，謂表署書函也。」唐．陸龜蒙〈和襲美江南道中懷茅山廣文南陽博士三首次韻〉之一：「自拂煙霞安筆格，獨開封檢試砂床。」
2.法度。《文選．曹丕．典論論文》：「譬諸音樂，曲度雖均，節奏同檢。」
3.品行、節操。《三國志．卷四一．蜀書．向朗傳》：「朗少時雖涉獵文學，然不治素檢。」
4.姓。如漢代有檢其明。
[動]
1.查驗。如：「檢查」、「檢驗」。《漢書．卷二四．食貨志下》：「均官有以考檢厥實。」
2.約束、節制。如：「行為不檢」。《孟子．梁惠王上》：「狗彘食人，食而不知檢。」
3.揭發。如：「檢舉」。 |</v>
      </c>
    </row>
    <row r="7237" spans="1:44" hidden="1">
      <c r="A7237" s="1" t="s">
        <v>13934</v>
      </c>
      <c r="C7237" s="1">
        <v>1</v>
      </c>
      <c r="D7237" s="1" t="str">
        <f>"05787"</f>
        <v>05787</v>
      </c>
      <c r="E7237" s="1" t="s">
        <v>1015</v>
      </c>
      <c r="F7237" s="1">
        <v>18</v>
      </c>
      <c r="G7237" s="1">
        <v>13</v>
      </c>
      <c r="H7237" s="1">
        <v>0</v>
      </c>
      <c r="I7237" s="1" t="s">
        <v>13896</v>
      </c>
      <c r="K7237" s="1" t="str">
        <f t="shared" si="461"/>
        <v>ㄐ</v>
      </c>
      <c r="L7237" s="1" t="str">
        <f t="shared" si="462"/>
        <v>ㄧ</v>
      </c>
      <c r="M7237" s="1" t="str">
        <f t="shared" si="463"/>
        <v>ㄢ</v>
      </c>
      <c r="P7237" s="1" t="s">
        <v>20</v>
      </c>
      <c r="R7237" s="1" t="s">
        <v>13897</v>
      </c>
      <c r="V7237" s="1" t="s">
        <v>13935</v>
      </c>
      <c r="AR7237" s="1" t="str">
        <f t="shared" si="460"/>
        <v>| [ㄐㄧㄢˇ](ㄐㄧㄢˇ.md) | [瞼](瞼.md) |  | jiǎn | [名]
眼皮。如：「眼瞼」。《北史．卷九〇．藝術傳下．姚僧垣傳》：「瞼垂覆目，不得視。」 |</v>
      </c>
    </row>
    <row r="7238" spans="1:44" hidden="1">
      <c r="A7238" s="1" t="s">
        <v>13936</v>
      </c>
      <c r="C7238" s="1">
        <v>1</v>
      </c>
      <c r="D7238" s="1" t="str">
        <f>"05788"</f>
        <v>05788</v>
      </c>
      <c r="E7238" s="1" t="s">
        <v>9124</v>
      </c>
      <c r="F7238" s="1">
        <v>24</v>
      </c>
      <c r="G7238" s="1">
        <v>13</v>
      </c>
      <c r="H7238" s="1">
        <v>0</v>
      </c>
      <c r="I7238" s="1" t="s">
        <v>13896</v>
      </c>
      <c r="K7238" s="1" t="str">
        <f t="shared" si="461"/>
        <v>ㄐ</v>
      </c>
      <c r="L7238" s="1" t="str">
        <f t="shared" si="462"/>
        <v>ㄧ</v>
      </c>
      <c r="M7238" s="1" t="str">
        <f t="shared" si="463"/>
        <v>ㄢ</v>
      </c>
      <c r="P7238" s="1" t="s">
        <v>20</v>
      </c>
      <c r="R7238" s="1" t="s">
        <v>13897</v>
      </c>
      <c r="V7238" s="1" t="s">
        <v>13937</v>
      </c>
      <c r="AR7238" s="1" t="str">
        <f t="shared" si="460"/>
        <v>| [ㄐㄧㄢˇ](ㄐㄧㄢˇ.md) | [鹼](鹼.md) |  | jiǎn | [名]
1.化學上指在水溶液中可解離出氫氧根的化合物，如氫氧化鈉。亦指可提供電子對或接受氫離子的物質，如氨。
2.主要成分為碳酸鈉的物質。性滑而味鹹澀，可用來洗衣服、去油垢，為製造肥皂、玻璃等的原料。 |</v>
      </c>
    </row>
    <row r="7239" spans="1:44" hidden="1">
      <c r="A7239" s="1" t="s">
        <v>13938</v>
      </c>
      <c r="C7239" s="1">
        <v>1</v>
      </c>
      <c r="D7239" s="1" t="str">
        <f>"05789"</f>
        <v>05789</v>
      </c>
      <c r="E7239" s="1" t="s">
        <v>331</v>
      </c>
      <c r="F7239" s="1">
        <v>17</v>
      </c>
      <c r="G7239" s="1">
        <v>10</v>
      </c>
      <c r="H7239" s="1">
        <v>0</v>
      </c>
      <c r="I7239" s="1" t="s">
        <v>13896</v>
      </c>
      <c r="K7239" s="1" t="str">
        <f t="shared" si="461"/>
        <v>ㄐ</v>
      </c>
      <c r="L7239" s="1" t="str">
        <f t="shared" si="462"/>
        <v>ㄧ</v>
      </c>
      <c r="M7239" s="1" t="str">
        <f t="shared" si="463"/>
        <v>ㄢ</v>
      </c>
      <c r="P7239" s="1" t="s">
        <v>20</v>
      </c>
      <c r="R7239" s="1" t="s">
        <v>13897</v>
      </c>
      <c r="V7239" s="1" t="s">
        <v>13939</v>
      </c>
      <c r="AR7239" s="1" t="str">
        <f t="shared" si="460"/>
        <v>| [ㄐㄧㄢˇ](ㄐㄧㄢˇ.md) | [謇](謇.md) |  | jiǎn | [形]
1.口吃、說話不順利。南朝宋．劉義慶《世說新語．排調》：「或謇喫無宮商，或尪陋希言語。」
2.正直。《後漢書．卷六一．左雄等傳．論曰》：「彊埸宣其智力，帷幄容其謇辭。」《新唐書．卷九十七．魏徵傳》：「當今忠謇貴重無踰徵。」
[助]
發語詞，無義。《楚辭．屈原．離騷》：「謇吾法夫前修兮，非世俗之所服。」 |</v>
      </c>
    </row>
    <row r="7240" spans="1:44" hidden="1">
      <c r="A7240" s="1" t="s">
        <v>13940</v>
      </c>
      <c r="C7240" s="1">
        <v>1</v>
      </c>
      <c r="D7240" s="1" t="str">
        <f>"05790"</f>
        <v>05790</v>
      </c>
      <c r="E7240" s="1" t="s">
        <v>77</v>
      </c>
      <c r="F7240" s="1">
        <v>17</v>
      </c>
      <c r="G7240" s="1">
        <v>10</v>
      </c>
      <c r="H7240" s="1">
        <v>0</v>
      </c>
      <c r="I7240" s="1" t="s">
        <v>13896</v>
      </c>
      <c r="K7240" s="1" t="str">
        <f t="shared" si="461"/>
        <v>ㄐ</v>
      </c>
      <c r="L7240" s="1" t="str">
        <f t="shared" si="462"/>
        <v>ㄧ</v>
      </c>
      <c r="M7240" s="1" t="str">
        <f t="shared" si="463"/>
        <v>ㄢ</v>
      </c>
      <c r="P7240" s="1" t="s">
        <v>20</v>
      </c>
      <c r="R7240" s="1" t="s">
        <v>13897</v>
      </c>
      <c r="V7240" s="1" t="s">
        <v>13941</v>
      </c>
      <c r="AR7240" s="1" t="str">
        <f t="shared" si="460"/>
        <v>| [ㄐㄧㄢˇ](ㄐㄧㄢˇ.md) | [蹇](蹇.md) |  | jiǎn | [形]
1.跛腳、行動不便。《史記．卷三九．晉世家》：「郤克僂而魯使蹇。」宋．陸游〈病中作〉詩：「身羸支枕久，足蹇下堂疏。」
2.困苦、艱難、不順利。唐．白居易〈與元九書〉：「況詩人多蹇，如陳子昂、杜甫，各授一拾遺，而迍剝至死。」
3.遲鈍、不流利。如：「蹇澀」、「蹇滯」。北周．庾信〈謝滕王集序啟〉：「言辭蹇吃，更甚揚雄。」
4.傲慢。《公羊傳．襄公十九年》：「為其驕蹇，使其世子處乎諸侯之上也。」
[名]
1.體弱的坐騎。《漢書．卷一〇〇．敘傳上》：「是故駑蹇之乘，不騁千里之塗。」《聊齋志異．卷二．鳳陽士人》：「士人縶蹇檐梧，乃即坐。」
2.《易經》卦名。六十四卦之一。艮（☶）下坎（☵）上。表處難時，應修身養德，以渡難關。
[助]
發語詞，無義。《楚辭．屈原．九歌．湘君》：「蹇誰留兮中洲？」 |</v>
      </c>
    </row>
    <row r="7241" spans="1:44" hidden="1">
      <c r="A7241" s="1" t="s">
        <v>13942</v>
      </c>
      <c r="C7241" s="1">
        <v>1</v>
      </c>
      <c r="D7241" s="1" t="str">
        <f>"05791"</f>
        <v>05791</v>
      </c>
      <c r="E7241" s="1" t="s">
        <v>319</v>
      </c>
      <c r="F7241" s="1">
        <v>20</v>
      </c>
      <c r="G7241" s="1">
        <v>10</v>
      </c>
      <c r="H7241" s="1">
        <v>2</v>
      </c>
      <c r="I7241" s="1" t="s">
        <v>13896</v>
      </c>
      <c r="K7241" s="1" t="str">
        <f t="shared" si="461"/>
        <v>ㄐ</v>
      </c>
      <c r="L7241" s="1" t="str">
        <f t="shared" si="462"/>
        <v>ㄧ</v>
      </c>
      <c r="M7241" s="1" t="str">
        <f t="shared" si="463"/>
        <v>ㄢ</v>
      </c>
      <c r="P7241" s="1" t="s">
        <v>20</v>
      </c>
      <c r="R7241" s="1" t="s">
        <v>13897</v>
      </c>
      <c r="V7241" s="1" t="s">
        <v>13943</v>
      </c>
      <c r="W7241" s="1" t="s">
        <v>13944</v>
      </c>
      <c r="AR7241" s="1" t="str">
        <f t="shared" si="460"/>
        <v>| [ㄐㄧㄢˇ](ㄐㄧㄢˇ.md) | [騫](騫.md) |  | jiǎn | [名]
駑馬，低劣的馬。明．袁宏道〈袁中郎尺牘．馮琢菴師〉：「賤體稍愈，便當策騫扣門，與師共窮生死之奧，不朽之旨。」 |</v>
      </c>
    </row>
    <row r="7242" spans="1:44" hidden="1">
      <c r="A7242" s="1" t="s">
        <v>13945</v>
      </c>
      <c r="C7242" s="1">
        <v>1</v>
      </c>
      <c r="D7242" s="1" t="str">
        <f>"05792"</f>
        <v>05792</v>
      </c>
      <c r="E7242" s="1" t="s">
        <v>340</v>
      </c>
      <c r="F7242" s="1">
        <v>18</v>
      </c>
      <c r="G7242" s="1">
        <v>12</v>
      </c>
      <c r="H7242" s="1">
        <v>1</v>
      </c>
      <c r="I7242" s="1" t="s">
        <v>13896</v>
      </c>
      <c r="K7242" s="1" t="str">
        <f t="shared" si="461"/>
        <v>ㄐ</v>
      </c>
      <c r="L7242" s="1" t="str">
        <f t="shared" si="462"/>
        <v>ㄧ</v>
      </c>
      <c r="M7242" s="1" t="str">
        <f t="shared" si="463"/>
        <v>ㄢ</v>
      </c>
      <c r="P7242" s="1" t="s">
        <v>20</v>
      </c>
      <c r="R7242" s="1" t="s">
        <v>13897</v>
      </c>
      <c r="V7242" s="1" t="s">
        <v>13946</v>
      </c>
      <c r="W7242" s="1" t="s">
        <v>13947</v>
      </c>
      <c r="AR7242" s="1" t="str">
        <f t="shared" si="460"/>
        <v>| [ㄐㄧㄢˇ](ㄐㄧㄢˇ.md) | [襉](襉.md) |  | jiǎn | [名]
衣服上的褶子。《集韻．去聲．襉韻》：「襉，裙幅相廁也。」如：「百襉裙」。 |</v>
      </c>
    </row>
    <row r="7243" spans="1:44" hidden="1">
      <c r="A7243" s="1" t="s">
        <v>13948</v>
      </c>
      <c r="C7243" s="1">
        <v>1</v>
      </c>
      <c r="D7243" s="1" t="str">
        <f>"05793"</f>
        <v>05793</v>
      </c>
      <c r="E7243" s="1" t="s">
        <v>49</v>
      </c>
      <c r="F7243" s="1">
        <v>18</v>
      </c>
      <c r="G7243" s="1">
        <v>12</v>
      </c>
      <c r="H7243" s="1">
        <v>0</v>
      </c>
      <c r="I7243" s="1" t="s">
        <v>13896</v>
      </c>
      <c r="K7243" s="1" t="str">
        <f t="shared" si="461"/>
        <v>ㄐ</v>
      </c>
      <c r="L7243" s="1" t="str">
        <f t="shared" si="462"/>
        <v>ㄧ</v>
      </c>
      <c r="M7243" s="1" t="str">
        <f t="shared" si="463"/>
        <v>ㄢ</v>
      </c>
      <c r="P7243" s="1" t="s">
        <v>20</v>
      </c>
      <c r="R7243" s="1" t="s">
        <v>13897</v>
      </c>
      <c r="V7243" s="1" t="s">
        <v>13949</v>
      </c>
      <c r="AR7243" s="1" t="str">
        <f t="shared" si="460"/>
        <v>| [ㄐㄧㄢˇ](ㄐㄧㄢˇ.md) | [簡](簡.md) |  | jiǎn | [名]
1.古代書寫用的竹片。《說文解字．竹部》：「簡，牒也。」如：「竹簡」。《詩經．小雅．出車》：「豈不懷歸，畏此簡書。」唐．孔穎達．正義：「古者無紙，有事書之於簡，謂之簡書。」
2.書信。如：「書簡」。唐．柳宗元〈答貢士元公瑾論仕進書〉：「辱致來簡，受賜無量。」元．王實甫《西廂記．第三本．第一折》：「小生有一簡，敢煩小娘子達知肺腑咱。」
3.姓。如宋代有簡克己。
[動]
1.省略、減省。如：「簡化」。《史記．卷三二．齊太公世家》：「因其俗，簡其禮。」《晉書．卷三．武帝紀》：「又律令既就，班之天下，將以簡法務本，惠育海內。」
2.挑選。如：「簡拔」、「簡任」。《左傳．襄公二十六年》：「簡兵蒐乘。」明．余繼登《典故紀聞》卷一七：「汰去老弱，簡精壯者更代。」
3.怠慢不敬。如：「簡慢」。《孟子．離婁下》：「孟子獨不與驩言，是簡驩也。」
[形]
1.單純不繁瑣的。如：「簡明」、「簡單」、「簡練」。
2.大。《詩經．邶風．簡兮》：「簡兮簡兮，方將遇舞。」漢．毛亨．傳：「簡，大也。」《淮南子．說山》：「周之簡圭，生於垢石。」 |</v>
      </c>
    </row>
    <row r="7244" spans="1:44" hidden="1">
      <c r="A7244" s="1" t="s">
        <v>13950</v>
      </c>
      <c r="C7244" s="1">
        <v>1</v>
      </c>
      <c r="D7244" s="1" t="str">
        <f>"05794"</f>
        <v>05794</v>
      </c>
      <c r="E7244" s="1" t="s">
        <v>725</v>
      </c>
      <c r="F7244" s="1">
        <v>19</v>
      </c>
      <c r="G7244" s="1">
        <v>13</v>
      </c>
      <c r="H7244" s="1">
        <v>0</v>
      </c>
      <c r="I7244" s="1" t="s">
        <v>13896</v>
      </c>
      <c r="K7244" s="1" t="str">
        <f t="shared" si="461"/>
        <v>ㄐ</v>
      </c>
      <c r="L7244" s="1" t="str">
        <f t="shared" si="462"/>
        <v>ㄧ</v>
      </c>
      <c r="M7244" s="1" t="str">
        <f t="shared" si="463"/>
        <v>ㄢ</v>
      </c>
      <c r="P7244" s="1" t="s">
        <v>20</v>
      </c>
      <c r="R7244" s="1" t="s">
        <v>13897</v>
      </c>
      <c r="V7244" s="1" t="s">
        <v>13951</v>
      </c>
      <c r="AR7244" s="1" t="str">
        <f t="shared" si="460"/>
        <v>| [ㄐㄧㄢˇ](ㄐㄧㄢˇ.md) | [繭](繭.md) |  | jiǎn | [名]
1.蠶在變成蛹之前，吐絲結成白色或黃色的橢圓形物體。如：「蠶繭」、「吐絲成繭」、「抽絲剝繭」、「作繭自縛」。《禮記．祭義》：「世婦卒蠶，奉繭以示于君。」
2.手心或腳掌因過度摩擦所生的厚皮。通「趼」。如：「雙手長滿了繭。」唐．杜甫〈觀公孫大娘弟子舞劍器行〉：「老夫不知其所往，足繭荒山轉愁疾。」 |</v>
      </c>
    </row>
    <row r="7245" spans="1:44" hidden="1">
      <c r="A7245" s="1" t="s">
        <v>13952</v>
      </c>
      <c r="C7245" s="1">
        <v>1</v>
      </c>
      <c r="D7245" s="1" t="str">
        <f>"05795"</f>
        <v>05795</v>
      </c>
      <c r="E7245" s="1" t="s">
        <v>114</v>
      </c>
      <c r="F7245" s="1">
        <v>6</v>
      </c>
      <c r="G7245" s="1">
        <v>4</v>
      </c>
      <c r="H7245" s="1">
        <v>0</v>
      </c>
      <c r="I7245" s="1" t="s">
        <v>13953</v>
      </c>
      <c r="K7245" s="1" t="str">
        <f t="shared" si="461"/>
        <v>ㄐ</v>
      </c>
      <c r="L7245" s="1" t="str">
        <f t="shared" si="462"/>
        <v>ㄧ</v>
      </c>
      <c r="M7245" s="1" t="str">
        <f t="shared" si="463"/>
        <v>ㄢ</v>
      </c>
      <c r="P7245" s="1" t="s">
        <v>20</v>
      </c>
      <c r="R7245" s="1" t="s">
        <v>13954</v>
      </c>
      <c r="V7245" s="1" t="s">
        <v>13955</v>
      </c>
      <c r="AR7245" s="1" t="str">
        <f t="shared" si="460"/>
        <v>| [ㄐㄧㄢˋ](ㄐㄧㄢˋ.md) | [件](件.md) |  | jiàn | [名]
1.物品、器具。如：「零件」、「配件」。
2.量詞。計算個體事物的單位。如：「一件事」、「兩件衣服」、「三件行李」。 |</v>
      </c>
    </row>
    <row r="7246" spans="1:44" hidden="1">
      <c r="A7246" s="1" t="s">
        <v>13956</v>
      </c>
      <c r="C7246" s="1">
        <v>1</v>
      </c>
      <c r="D7246" s="1" t="str">
        <f>"05796"</f>
        <v>05796</v>
      </c>
      <c r="E7246" s="1" t="s">
        <v>518</v>
      </c>
      <c r="F7246" s="1">
        <v>9</v>
      </c>
      <c r="G7246" s="1">
        <v>5</v>
      </c>
      <c r="H7246" s="1">
        <v>0</v>
      </c>
      <c r="I7246" s="1" t="s">
        <v>13953</v>
      </c>
      <c r="K7246" s="1" t="str">
        <f t="shared" si="461"/>
        <v>ㄐ</v>
      </c>
      <c r="L7246" s="1" t="str">
        <f t="shared" si="462"/>
        <v>ㄧ</v>
      </c>
      <c r="M7246" s="1" t="str">
        <f t="shared" si="463"/>
        <v>ㄢ</v>
      </c>
      <c r="P7246" s="1" t="s">
        <v>20</v>
      </c>
      <c r="R7246" s="1" t="s">
        <v>13954</v>
      </c>
      <c r="V7246" s="1" t="s">
        <v>13957</v>
      </c>
      <c r="AR7246" s="1" t="str">
        <f t="shared" si="460"/>
        <v>| [ㄐㄧㄢˋ](ㄐㄧㄢˋ.md) | [牮](牮.md) |  | jiàn | [動]
1.用木柱拉正、支撐傾斜的房屋。《字彙．牛部》：「牮，屋斜用牮。」
2.用土石擋水。《字彙．牛部》：「牮，以土石遮水亦曰牮。」 |</v>
      </c>
    </row>
    <row r="7247" spans="1:44" hidden="1">
      <c r="A7247" s="1" t="s">
        <v>13958</v>
      </c>
      <c r="C7247" s="1">
        <v>1</v>
      </c>
      <c r="D7247" s="1" t="str">
        <f>"05797"</f>
        <v>05797</v>
      </c>
      <c r="E7247" s="1" t="s">
        <v>2233</v>
      </c>
      <c r="F7247" s="1">
        <v>7</v>
      </c>
      <c r="G7247" s="1">
        <v>0</v>
      </c>
      <c r="H7247" s="1">
        <v>1</v>
      </c>
      <c r="I7247" s="1" t="s">
        <v>13953</v>
      </c>
      <c r="K7247" s="1" t="str">
        <f t="shared" si="461"/>
        <v>ㄐ</v>
      </c>
      <c r="L7247" s="1" t="str">
        <f t="shared" si="462"/>
        <v>ㄧ</v>
      </c>
      <c r="M7247" s="1" t="str">
        <f t="shared" si="463"/>
        <v>ㄢ</v>
      </c>
      <c r="P7247" s="1" t="s">
        <v>20</v>
      </c>
      <c r="R7247" s="1" t="s">
        <v>13954</v>
      </c>
      <c r="V7247" s="1" t="s">
        <v>13959</v>
      </c>
      <c r="W7247" s="1" t="s">
        <v>13960</v>
      </c>
      <c r="AR7247" s="1" t="str">
        <f t="shared" si="460"/>
        <v>| [ㄐㄧㄢˋ](ㄐㄧㄢˋ.md) | [見](見.md) |  | jiàn | [動]
1.看到、看見。如：「相見恨晚」、「眼見為憑」、「顯而易見」。唐．李白〈將進酒〉：「君不見高堂明鏡悲白髮，朝如青絲暮成雪。」宋．辛棄疾〈賀新郎．甚矣吾衰矣〉詞：「我見青山多嫵媚，料青山，見我應如是。」
2.拜會、訪問。如：「謁見」、「拜見」。《左傳．莊公十年》：「公將戰，曹劌請見。」
3.會晤、接待。如：「接見」、「他現在不方便見客。」。《史記．卷八一．廉頗藺相如傳》：「秦王坐章臺，見相如。」
4.遇到。如：「見光死」、「見水即溶」、「見風就裂」。《左傳．桓公元年》：「宋華父督見孔父之妻于路。」
[名]
1.看法、見解。如：「淺見」、「偏見」、「遠見」、「成見」。《晉書．卷四二．王渾傳》：「私慕魯女存國之志，敢陳愚見。」
2.姓。如宋代有見華。
3.二一四部首之一。
[副]
1.表示逐漸的趨向、趨勢。如：「日見好轉」、「日見興旺」。
2.用在動詞前，表示主體對所涉及的對象如何。如：「請勿見笑」、「請多見諒」、「有何見教」。《文選．李密．陳情表》：「生孩六月，慈父見背。」
[助]
被。用在動詞前，表示被動。《孟子．盡心下》：「盆成括仕於齊。孟子曰：『死矣盆成括。』盆成括見殺。門人問曰：『夫子何以知其將見殺？』」《史記．卷八四．屈原賈生傳》：「信而見疑，忠而被謗。」 |</v>
      </c>
    </row>
    <row r="7248" spans="1:44" hidden="1">
      <c r="A7248" s="1" t="s">
        <v>13961</v>
      </c>
      <c r="C7248" s="1">
        <v>1</v>
      </c>
      <c r="D7248" s="1" t="str">
        <f>"05798"</f>
        <v>05798</v>
      </c>
      <c r="E7248" s="1" t="s">
        <v>129</v>
      </c>
      <c r="F7248" s="1">
        <v>9</v>
      </c>
      <c r="G7248" s="1">
        <v>6</v>
      </c>
      <c r="H7248" s="1">
        <v>0</v>
      </c>
      <c r="I7248" s="1" t="s">
        <v>13953</v>
      </c>
      <c r="K7248" s="1" t="str">
        <f t="shared" si="461"/>
        <v>ㄐ</v>
      </c>
      <c r="L7248" s="1" t="str">
        <f t="shared" si="462"/>
        <v>ㄧ</v>
      </c>
      <c r="M7248" s="1" t="str">
        <f t="shared" si="463"/>
        <v>ㄢ</v>
      </c>
      <c r="P7248" s="1" t="s">
        <v>20</v>
      </c>
      <c r="R7248" s="1" t="s">
        <v>13954</v>
      </c>
      <c r="V7248" s="1" t="s">
        <v>13962</v>
      </c>
      <c r="AR7248" s="1" t="str">
        <f t="shared" si="460"/>
        <v>| [ㄐㄧㄢˋ](ㄐㄧㄢˋ.md) | [洊](洊.md) |  | jiàn | [副]
再、屢次。《易經．坎卦．象曰》：「水洊至，習坎。」《文選．鮑照．舞鶴賦》：「眾變繁姿，參差洊密。」 |</v>
      </c>
    </row>
    <row r="7249" spans="1:44" hidden="1">
      <c r="A7249" s="1" t="s">
        <v>13963</v>
      </c>
      <c r="C7249" s="1">
        <v>1</v>
      </c>
      <c r="D7249" s="1" t="str">
        <f>"05799"</f>
        <v>05799</v>
      </c>
      <c r="E7249" s="1" t="s">
        <v>37</v>
      </c>
      <c r="F7249" s="1">
        <v>10</v>
      </c>
      <c r="G7249" s="1">
        <v>6</v>
      </c>
      <c r="H7249" s="1">
        <v>0</v>
      </c>
      <c r="I7249" s="1" t="s">
        <v>13953</v>
      </c>
      <c r="K7249" s="1" t="str">
        <f t="shared" si="461"/>
        <v>ㄐ</v>
      </c>
      <c r="L7249" s="1" t="str">
        <f t="shared" si="462"/>
        <v>ㄧ</v>
      </c>
      <c r="M7249" s="1" t="str">
        <f t="shared" si="463"/>
        <v>ㄢ</v>
      </c>
      <c r="P7249" s="1" t="s">
        <v>20</v>
      </c>
      <c r="R7249" s="1" t="s">
        <v>13954</v>
      </c>
      <c r="V7249" s="1" t="s">
        <v>13964</v>
      </c>
      <c r="AR7249" s="1" t="str">
        <f t="shared" si="460"/>
        <v>| [ㄐㄧㄢˋ](ㄐㄧㄢˋ.md) | [荐](荐.md) |  | jiàn | [名]
草席。《說文解字．艸部》：「荐，薦蓆也。」
[副]
1.逐水草的、遊牧的。《左傳．襄公四年》：「戎狄荐居，貴貨易土。」
2.屢次、頻仍。《左傳．僖公十三年》：「晉荐饑，使乞糴于秦。」《晉書．卷二六．食貨志》：「兵革屢興，荒饉荐及。」
[動]
推舉。同「薦」。如：「推荐」。 |</v>
      </c>
    </row>
    <row r="7250" spans="1:44" hidden="1">
      <c r="A7250" s="1" t="s">
        <v>13965</v>
      </c>
      <c r="C7250" s="1">
        <v>1</v>
      </c>
      <c r="D7250" s="1" t="str">
        <f>"05800"</f>
        <v>05800</v>
      </c>
      <c r="E7250" s="1" t="s">
        <v>6679</v>
      </c>
      <c r="F7250" s="1">
        <v>9</v>
      </c>
      <c r="G7250" s="1">
        <v>6</v>
      </c>
      <c r="H7250" s="1">
        <v>0</v>
      </c>
      <c r="I7250" s="1" t="s">
        <v>13953</v>
      </c>
      <c r="K7250" s="1" t="str">
        <f t="shared" si="461"/>
        <v>ㄐ</v>
      </c>
      <c r="L7250" s="1" t="str">
        <f t="shared" si="462"/>
        <v>ㄧ</v>
      </c>
      <c r="M7250" s="1" t="str">
        <f t="shared" si="463"/>
        <v>ㄢ</v>
      </c>
      <c r="P7250" s="1" t="s">
        <v>20</v>
      </c>
      <c r="R7250" s="1" t="s">
        <v>13954</v>
      </c>
      <c r="V7250" s="1" t="s">
        <v>13966</v>
      </c>
      <c r="AR7250" s="1" t="str">
        <f t="shared" si="460"/>
        <v>| [ㄐㄧㄢˋ](ㄐㄧㄢˋ.md) | [建](建.md) |  | jiàn | [動]
1.成立、樹立、設置。如：「建功」、「建業」、「建校」、「建國」。唐．柳宗元〈封建論〉：「予以為周之喪久矣，徒建空名於公侯之上耳。」
2.興工製造。如：「建屋」、「建橋」。《文選．張衡．東京賦》：「楚築章華於前，趙建叢臺於後。」
3.封立、封賜。《詩經．魯頌．閟宮》：「建爾元子，俾侯于魯。」《後漢書．卷四四．胡廣傳》：「順帝欲立皇后，而貴人有寵者四人，莫知所建。」
4.提出意見。如：「建議」。《漢書．卷五一．鄒陽傳》：「爰盎等皆建以為不可。」《隋書．卷五六．張衡傳》：「衡亦竭慮盡誠事之，奪宗之計，多衡所建也。」
5.傾、倒。通「瀽」。如：「高屋建瓴」、「破竹建瓴」。
[名]
姓。如漢代有建公。 |</v>
      </c>
    </row>
    <row r="7251" spans="1:44" hidden="1">
      <c r="A7251" s="1" t="s">
        <v>13967</v>
      </c>
      <c r="C7251" s="1">
        <v>1</v>
      </c>
      <c r="D7251" s="1" t="str">
        <f>"05801"</f>
        <v>05801</v>
      </c>
      <c r="E7251" s="1" t="s">
        <v>114</v>
      </c>
      <c r="F7251" s="1">
        <v>11</v>
      </c>
      <c r="G7251" s="1">
        <v>9</v>
      </c>
      <c r="H7251" s="1">
        <v>0</v>
      </c>
      <c r="I7251" s="1" t="s">
        <v>13953</v>
      </c>
      <c r="K7251" s="1" t="str">
        <f t="shared" si="461"/>
        <v>ㄐ</v>
      </c>
      <c r="L7251" s="1" t="str">
        <f t="shared" si="462"/>
        <v>ㄧ</v>
      </c>
      <c r="M7251" s="1" t="str">
        <f t="shared" si="463"/>
        <v>ㄢ</v>
      </c>
      <c r="P7251" s="1" t="s">
        <v>20</v>
      </c>
      <c r="R7251" s="1" t="s">
        <v>13954</v>
      </c>
      <c r="V7251" s="1" t="s">
        <v>13968</v>
      </c>
      <c r="AR7251" s="1" t="str">
        <f t="shared" si="460"/>
        <v>| [ㄐㄧㄢˋ](ㄐㄧㄢˋ.md) | [健](健.md) |  | jiàn | [形]
1.強而有力。《易經．乾卦．象曰》：「天行健，君子以自強不息。」《晉書．卷七二．郭璞傳》：「得健夫二三十人，皆持長竿。」
2.形容人生理、心理情況良好。如：「健康」。《三國志．卷二九．魏書．方技傳．華佗傳》：「一月可小起，好自將愛，一年便健。」唐．白居易〈同友人尋澗花〉詩：「且作來歲期，不知身健否？」
[副]
擅長、善於。如：「健談」。唐．白居易〈偶作寄朗之〉詩：「老來多健忘。」
[名]
姓。如宋代有健武。 |</v>
      </c>
    </row>
    <row r="7252" spans="1:44" hidden="1">
      <c r="A7252" s="1" t="s">
        <v>13969</v>
      </c>
      <c r="C7252" s="1">
        <v>1</v>
      </c>
      <c r="D7252" s="1" t="str">
        <f>"05802"</f>
        <v>05802</v>
      </c>
      <c r="E7252" s="1" t="s">
        <v>24</v>
      </c>
      <c r="F7252" s="1">
        <v>12</v>
      </c>
      <c r="G7252" s="1">
        <v>9</v>
      </c>
      <c r="H7252" s="1">
        <v>2</v>
      </c>
      <c r="I7252" s="1" t="s">
        <v>13953</v>
      </c>
      <c r="K7252" s="1" t="str">
        <f t="shared" si="461"/>
        <v>ㄐ</v>
      </c>
      <c r="L7252" s="1" t="str">
        <f t="shared" si="462"/>
        <v>ㄧ</v>
      </c>
      <c r="M7252" s="1" t="str">
        <f t="shared" si="463"/>
        <v>ㄢ</v>
      </c>
      <c r="P7252" s="1" t="s">
        <v>20</v>
      </c>
      <c r="R7252" s="1" t="s">
        <v>13954</v>
      </c>
      <c r="V7252" s="1" t="s">
        <v>13970</v>
      </c>
      <c r="W7252" s="1" t="s">
        <v>13971</v>
      </c>
      <c r="AR7252" s="1" t="str">
        <f t="shared" si="460"/>
        <v>| [ㄐㄧㄢˋ](ㄐㄧㄢˋ.md) | [揵](揵.md) |  | jiàn | [動]
1.關閉。《莊子．庚桑楚》：「內韄者，不可繆而捉，將外揵。」
2.接連。《漢書．卷四八．賈誼傳》：「梁起於新郪以北著之河，淮陽包陳以南揵之江。」顏師古注引如淳曰：「或曰，揵，接也。」 |</v>
      </c>
    </row>
    <row r="7253" spans="1:44" hidden="1">
      <c r="A7253" s="1" t="s">
        <v>13972</v>
      </c>
      <c r="C7253" s="1">
        <v>1</v>
      </c>
      <c r="D7253" s="1" t="str">
        <f>"05803"</f>
        <v>05803</v>
      </c>
      <c r="E7253" s="1" t="s">
        <v>1703</v>
      </c>
      <c r="F7253" s="1">
        <v>13</v>
      </c>
      <c r="G7253" s="1">
        <v>9</v>
      </c>
      <c r="H7253" s="1">
        <v>0</v>
      </c>
      <c r="I7253" s="1" t="s">
        <v>13953</v>
      </c>
      <c r="K7253" s="1" t="str">
        <f t="shared" si="461"/>
        <v>ㄐ</v>
      </c>
      <c r="L7253" s="1" t="str">
        <f t="shared" si="462"/>
        <v>ㄧ</v>
      </c>
      <c r="M7253" s="1" t="str">
        <f t="shared" si="463"/>
        <v>ㄢ</v>
      </c>
      <c r="P7253" s="1" t="s">
        <v>20</v>
      </c>
      <c r="R7253" s="1" t="s">
        <v>13954</v>
      </c>
      <c r="V7253" s="1" t="s">
        <v>13973</v>
      </c>
      <c r="AR7253" s="1" t="str">
        <f t="shared" si="460"/>
        <v>| [ㄐㄧㄢˋ](ㄐㄧㄢˋ.md) | [毽](毽.md) |  | jiàn | 參見「毽子」條。 |</v>
      </c>
    </row>
    <row r="7254" spans="1:44" hidden="1">
      <c r="A7254" s="1" t="s">
        <v>13974</v>
      </c>
      <c r="C7254" s="1">
        <v>1</v>
      </c>
      <c r="D7254" s="1" t="str">
        <f>"05804"</f>
        <v>05804</v>
      </c>
      <c r="E7254" s="1" t="s">
        <v>68</v>
      </c>
      <c r="F7254" s="1">
        <v>13</v>
      </c>
      <c r="G7254" s="1">
        <v>9</v>
      </c>
      <c r="H7254" s="1">
        <v>0</v>
      </c>
      <c r="I7254" s="1" t="s">
        <v>13953</v>
      </c>
      <c r="K7254" s="1" t="str">
        <f t="shared" si="461"/>
        <v>ㄐ</v>
      </c>
      <c r="L7254" s="1" t="str">
        <f t="shared" si="462"/>
        <v>ㄧ</v>
      </c>
      <c r="M7254" s="1" t="str">
        <f t="shared" si="463"/>
        <v>ㄢ</v>
      </c>
      <c r="P7254" s="1" t="s">
        <v>20</v>
      </c>
      <c r="R7254" s="1" t="s">
        <v>13954</v>
      </c>
      <c r="V7254" s="1" t="s">
        <v>13975</v>
      </c>
      <c r="AR7254" s="1" t="str">
        <f t="shared" si="460"/>
        <v>| [ㄐㄧㄢˋ](ㄐㄧㄢˋ.md) | [腱](腱.md) |  | jiàn | [名]
連接肌肉和骨頭的結締組織，極富韌性。如：「肌腱」。 |</v>
      </c>
    </row>
    <row r="7255" spans="1:44" hidden="1">
      <c r="A7255" s="1" t="s">
        <v>13976</v>
      </c>
      <c r="C7255" s="1">
        <v>1</v>
      </c>
      <c r="D7255" s="1" t="str">
        <f>"05805"</f>
        <v>05805</v>
      </c>
      <c r="E7255" s="1" t="s">
        <v>55</v>
      </c>
      <c r="F7255" s="1">
        <v>17</v>
      </c>
      <c r="G7255" s="1">
        <v>9</v>
      </c>
      <c r="H7255" s="1">
        <v>0</v>
      </c>
      <c r="I7255" s="1" t="s">
        <v>13953</v>
      </c>
      <c r="K7255" s="1" t="str">
        <f t="shared" si="461"/>
        <v>ㄐ</v>
      </c>
      <c r="L7255" s="1" t="str">
        <f t="shared" si="462"/>
        <v>ㄧ</v>
      </c>
      <c r="M7255" s="1" t="str">
        <f t="shared" si="463"/>
        <v>ㄢ</v>
      </c>
      <c r="P7255" s="1" t="s">
        <v>20</v>
      </c>
      <c r="R7255" s="1" t="s">
        <v>13954</v>
      </c>
      <c r="V7255" s="1" t="s">
        <v>13977</v>
      </c>
      <c r="AR7255" s="1" t="str">
        <f t="shared" si="460"/>
        <v>| [ㄐㄧㄢˋ](ㄐㄧㄢˋ.md) | [鍵](鍵.md) |  | jiàn | [名]
1.門閂。《淮南子．主術》：「五寸之鍵，制開闔之門。」
2.車轄。安裝在車軸兩端，使車輪不脫離車軸的鐵棍。周．尸佼《尸子．卷下》：「文軒六駃，題無四寸之鍵，則車不行。」
3.鋼琴、風琴等樂器或電腦、打字機等機器上用手指按壓的小板裝置。如：「琴鍵」、「黑鍵」、「字鍵」。
4.比喻機關或事物的扼要部分。如：「關鍵」。 |</v>
      </c>
    </row>
    <row r="7256" spans="1:44" hidden="1">
      <c r="A7256" s="1" t="s">
        <v>13978</v>
      </c>
      <c r="C7256" s="1">
        <v>1</v>
      </c>
      <c r="D7256" s="1" t="str">
        <f>"05806"</f>
        <v>05806</v>
      </c>
      <c r="E7256" s="1" t="s">
        <v>114</v>
      </c>
      <c r="F7256" s="1">
        <v>10</v>
      </c>
      <c r="G7256" s="1">
        <v>8</v>
      </c>
      <c r="H7256" s="1">
        <v>0</v>
      </c>
      <c r="I7256" s="1" t="s">
        <v>13953</v>
      </c>
      <c r="K7256" s="1" t="str">
        <f t="shared" si="461"/>
        <v>ㄐ</v>
      </c>
      <c r="L7256" s="1" t="str">
        <f t="shared" si="462"/>
        <v>ㄧ</v>
      </c>
      <c r="M7256" s="1" t="str">
        <f t="shared" si="463"/>
        <v>ㄢ</v>
      </c>
      <c r="P7256" s="1" t="s">
        <v>20</v>
      </c>
      <c r="R7256" s="1" t="s">
        <v>13954</v>
      </c>
      <c r="V7256" s="1" t="s">
        <v>13979</v>
      </c>
      <c r="AR7256" s="1" t="str">
        <f t="shared" si="460"/>
        <v>| [ㄐㄧㄢˋ](ㄐㄧㄢˋ.md) | [俴](俴.md) |  | jiàn | [形]
1.淺、薄。《爾雅．釋言》：「俴，淺也。」
2.未著鎧甲的。《管子．參患》：「兵不完利，與無操者同實；甲不堅密，與俴者同實。」 |</v>
      </c>
    </row>
    <row r="7257" spans="1:44" hidden="1">
      <c r="A7257" s="1" t="s">
        <v>13980</v>
      </c>
      <c r="C7257" s="1">
        <v>1</v>
      </c>
      <c r="D7257" s="1" t="str">
        <f>"05807"</f>
        <v>05807</v>
      </c>
      <c r="E7257" s="1" t="s">
        <v>331</v>
      </c>
      <c r="F7257" s="1">
        <v>15</v>
      </c>
      <c r="G7257" s="1">
        <v>8</v>
      </c>
      <c r="H7257" s="1">
        <v>0</v>
      </c>
      <c r="I7257" s="1" t="s">
        <v>13953</v>
      </c>
      <c r="K7257" s="1" t="str">
        <f t="shared" si="461"/>
        <v>ㄐ</v>
      </c>
      <c r="L7257" s="1" t="str">
        <f t="shared" si="462"/>
        <v>ㄧ</v>
      </c>
      <c r="M7257" s="1" t="str">
        <f t="shared" si="463"/>
        <v>ㄢ</v>
      </c>
      <c r="P7257" s="1" t="s">
        <v>20</v>
      </c>
      <c r="R7257" s="1" t="s">
        <v>13954</v>
      </c>
      <c r="V7257" s="1" t="s">
        <v>13981</v>
      </c>
      <c r="AR7257" s="1" t="str">
        <f t="shared" si="460"/>
        <v>| [ㄐㄧㄢˋ](ㄐㄧㄢˋ.md) | [諓](諓.md) |  | jiàn | 參見「諓諓」條。 |</v>
      </c>
    </row>
    <row r="7258" spans="1:44" hidden="1">
      <c r="A7258" s="1" t="s">
        <v>13982</v>
      </c>
      <c r="C7258" s="1">
        <v>1</v>
      </c>
      <c r="D7258" s="1" t="str">
        <f>"05808"</f>
        <v>05808</v>
      </c>
      <c r="E7258" s="1" t="s">
        <v>505</v>
      </c>
      <c r="F7258" s="1">
        <v>15</v>
      </c>
      <c r="G7258" s="1">
        <v>8</v>
      </c>
      <c r="H7258" s="1">
        <v>0</v>
      </c>
      <c r="I7258" s="1" t="s">
        <v>13953</v>
      </c>
      <c r="K7258" s="1" t="str">
        <f t="shared" si="461"/>
        <v>ㄐ</v>
      </c>
      <c r="L7258" s="1" t="str">
        <f t="shared" si="462"/>
        <v>ㄧ</v>
      </c>
      <c r="M7258" s="1" t="str">
        <f t="shared" si="463"/>
        <v>ㄢ</v>
      </c>
      <c r="P7258" s="1" t="s">
        <v>20</v>
      </c>
      <c r="R7258" s="1" t="s">
        <v>13954</v>
      </c>
      <c r="V7258" s="1" t="s">
        <v>13983</v>
      </c>
      <c r="AR7258" s="1" t="str">
        <f t="shared" si="460"/>
        <v>| [ㄐㄧㄢˋ](ㄐㄧㄢˋ.md) | [賤](賤.md) |  | jiàn | [形]_x000D_
1.價格低廉。如：「賤價出售」、「穀賤傷農」。《左傳．昭公三年》：「國之諸市，屨賤踊貴。」《新唐書．卷五三．食貨志三》：「米賤則少府加估而糴。」_x000D_
2.地位卑下的。如：「低賤」、「卑賤」。_x000D_
3.輕佻不自重。通常帶有貶義。如：「賤人」、「輕賤」、「賤骨頭」。《大宋宣和遺事．亨集》：「有這般潑賤之物，不能近貴！今天子寵幸你，卻又密地與賈奕打暖。」_x000D_
4.謙稱自己的。如：「賤內」、「賤辰」。《戰國策．趙策四》：「老臣賤息舒祺，最少，不肖。」_x000D_
[動]_x000D_
1.輕視、看不起。《書經．旅獒》：「不貴異物賤用物。」三國魏．曹丕〈典論論文〉：「常人貴遠賤近，向聲背實。」_x000D_
2.厭惡。《荀子．正論》：「故下安則貴上，下危則賤上。」_x000D_
[名]_x000D_
1.地位低下。《論語．里仁》：「貧與賤，是人之所惡也。」唐．杜甫〈寫懷〉詩二首之一：「無貴賤不悲，無富貧亦足。」_x000D_
2.姓。如漢代有賤瓊。 |</v>
      </c>
    </row>
    <row r="7259" spans="1:44" hidden="1">
      <c r="A7259" s="1" t="s">
        <v>13984</v>
      </c>
      <c r="C7259" s="1">
        <v>1</v>
      </c>
      <c r="D7259" s="1" t="str">
        <f>"05809"</f>
        <v>05809</v>
      </c>
      <c r="E7259" s="1" t="s">
        <v>77</v>
      </c>
      <c r="F7259" s="1">
        <v>15</v>
      </c>
      <c r="G7259" s="1">
        <v>8</v>
      </c>
      <c r="H7259" s="1">
        <v>0</v>
      </c>
      <c r="I7259" s="1" t="s">
        <v>13953</v>
      </c>
      <c r="K7259" s="1" t="str">
        <f t="shared" si="461"/>
        <v>ㄐ</v>
      </c>
      <c r="L7259" s="1" t="str">
        <f t="shared" si="462"/>
        <v>ㄧ</v>
      </c>
      <c r="M7259" s="1" t="str">
        <f t="shared" si="463"/>
        <v>ㄢ</v>
      </c>
      <c r="P7259" s="1" t="s">
        <v>20</v>
      </c>
      <c r="R7259" s="1" t="s">
        <v>13954</v>
      </c>
      <c r="V7259" s="1" t="s">
        <v>13985</v>
      </c>
      <c r="AR7259" s="1" t="str">
        <f t="shared" si="460"/>
        <v>| [ㄐㄧㄢˋ](ㄐㄧㄢˋ.md) | [踐](踐.md) |  | jiàn | [動]
1.用腳踩踏。如：「踐踏」。《詩經．大雅．行葦》：「敦彼行葦，牛羊勿踐履。」《三國志．卷五九．吳書．孫登傳》：「常遠避良田，不踐苗稼。」
2.登、升。《禮記．中庸》：「踐其位，行其禮，奏其樂。」《漢書．卷三一．陳勝等傳．贊曰》：「踐華為城，因河為池。」
3.實行、履行。如：「實踐」。《儀禮．士相見禮》：「某也夫子之賤私，不足以踐禮，敢固辭。」《警世通言．卷二五．桂員外途窮懺悔》：「以踐前誓。」
4.遵循、依循。《論語．先進》：「不踐跡，亦不入於室。」 |</v>
      </c>
    </row>
    <row r="7260" spans="1:44" hidden="1">
      <c r="A7260" s="1" t="s">
        <v>13986</v>
      </c>
      <c r="C7260" s="1">
        <v>1</v>
      </c>
      <c r="D7260" s="1" t="str">
        <f>"05810"</f>
        <v>05810</v>
      </c>
      <c r="E7260" s="1" t="s">
        <v>193</v>
      </c>
      <c r="F7260" s="1">
        <v>16</v>
      </c>
      <c r="G7260" s="1">
        <v>8</v>
      </c>
      <c r="H7260" s="1">
        <v>0</v>
      </c>
      <c r="I7260" s="1" t="s">
        <v>13953</v>
      </c>
      <c r="K7260" s="1" t="str">
        <f t="shared" si="461"/>
        <v>ㄐ</v>
      </c>
      <c r="L7260" s="1" t="str">
        <f t="shared" si="462"/>
        <v>ㄧ</v>
      </c>
      <c r="M7260" s="1" t="str">
        <f t="shared" si="463"/>
        <v>ㄢ</v>
      </c>
      <c r="P7260" s="1" t="s">
        <v>20</v>
      </c>
      <c r="R7260" s="1" t="s">
        <v>13954</v>
      </c>
      <c r="V7260" s="1" t="s">
        <v>13987</v>
      </c>
      <c r="AR7260" s="1" t="str">
        <f t="shared" si="460"/>
        <v>| [ㄐㄧㄢˋ](ㄐㄧㄢˋ.md) | [餞](餞.md) |  | jiàn | [動]
1.用酒食為人送行。如：「餞行」、「餞別」。晉．陶淵明〈詠荊軻詩〉：「飲餞易水上。」
2.送。唐．李群玉〈中秋夜南樓寄友人〉詩：「他鄉此夜客，對酌餞多愁。」宋．蘇軾〈賀正啟〉：「伏以葦桃在戶，磔禳以餞餘寒。」
[名]
用糖等調味料浸漬成的食品。如：「蜜餞」。 |</v>
      </c>
    </row>
    <row r="7261" spans="1:44" hidden="1">
      <c r="A7261" s="1" t="s">
        <v>13988</v>
      </c>
      <c r="C7261" s="1">
        <v>1</v>
      </c>
      <c r="D7261" s="1" t="str">
        <f>"05811"</f>
        <v>05811</v>
      </c>
      <c r="E7261" s="1" t="s">
        <v>129</v>
      </c>
      <c r="F7261" s="1">
        <v>18</v>
      </c>
      <c r="G7261" s="1">
        <v>15</v>
      </c>
      <c r="H7261" s="1">
        <v>0</v>
      </c>
      <c r="I7261" s="1" t="s">
        <v>13953</v>
      </c>
      <c r="K7261" s="1" t="str">
        <f t="shared" si="461"/>
        <v>ㄐ</v>
      </c>
      <c r="L7261" s="1" t="str">
        <f t="shared" si="462"/>
        <v>ㄧ</v>
      </c>
      <c r="M7261" s="1" t="str">
        <f t="shared" si="463"/>
        <v>ㄢ</v>
      </c>
      <c r="P7261" s="1" t="s">
        <v>20</v>
      </c>
      <c r="R7261" s="1" t="s">
        <v>13954</v>
      </c>
      <c r="V7261" s="1" t="s">
        <v>13989</v>
      </c>
      <c r="AR7261" s="1" t="str">
        <f t="shared" si="460"/>
        <v>| [ㄐㄧㄢˋ](ㄐㄧㄢˋ.md) | [濺](濺.md) |  | jiàn | [動]
1.液體向四方飛射。如：「浪花四濺」。
2.沾染。唐．杜甫〈春望〉詩：「感時花濺淚，恨別鳥驚心。」 |</v>
      </c>
    </row>
    <row r="7262" spans="1:44" hidden="1">
      <c r="A7262" s="1" t="s">
        <v>13852</v>
      </c>
      <c r="C7262" s="1">
        <v>1</v>
      </c>
      <c r="D7262" s="1" t="str">
        <f>"05812"</f>
        <v>05812</v>
      </c>
      <c r="E7262" s="1" t="s">
        <v>709</v>
      </c>
      <c r="F7262" s="1">
        <v>12</v>
      </c>
      <c r="G7262" s="1">
        <v>4</v>
      </c>
      <c r="H7262" s="1">
        <v>2</v>
      </c>
      <c r="I7262" s="1" t="s">
        <v>13953</v>
      </c>
      <c r="K7262" s="1" t="str">
        <f t="shared" si="461"/>
        <v>ㄐ</v>
      </c>
      <c r="L7262" s="1" t="str">
        <f t="shared" si="462"/>
        <v>ㄧ</v>
      </c>
      <c r="M7262" s="1" t="str">
        <f t="shared" si="463"/>
        <v>ㄢ</v>
      </c>
      <c r="P7262" s="1" t="s">
        <v>20</v>
      </c>
      <c r="R7262" s="1" t="s">
        <v>13954</v>
      </c>
      <c r="V7262" s="1" t="s">
        <v>13990</v>
      </c>
      <c r="W7262" s="1" t="s">
        <v>13991</v>
      </c>
      <c r="AR7262" s="1" t="str">
        <f t="shared" si="460"/>
        <v>| [ㄐㄧㄢˋ](ㄐㄧㄢˋ.md) | [間](間.md) |  | jiàn | [名]
1.空隙。如：「間隙」、「間不容髮」。《史記．卷六二．管晏傳》：「其御之妻從門間而闚其夫。」
2.奸細。《史記．卷八一．廉頗藺相如傳》：「秦間來入，趙奢善食而遣之。」
[動]
1.更替、夾雜。唐．杜甫〈贈衛八處士〉詩：「夜雨翦春韭，新炊間黃粱。」《聊齋志異．卷二．嬰寧》：「牆內桃杏尤繁，間以修竹。」
2.分隔、分開。如：「間隔」。唐．王勃〈送白七序〉：「天地所以間南北，山川所以別風雲。」
3.挑撥、分化。如：「反間」、「挑撥離間」。《史記．卷七．項羽本紀》：「乃用陳平計，間項王。」
[副]
1.偶爾。如：「間或」。
2.私下的、偷偷的、不公開的。如：「間出」、「間覷」。 |</v>
      </c>
    </row>
    <row r="7263" spans="1:44" hidden="1">
      <c r="A7263" s="1" t="s">
        <v>13855</v>
      </c>
      <c r="C7263" s="1">
        <v>1</v>
      </c>
      <c r="D7263" s="1" t="str">
        <f>"05813"</f>
        <v>05813</v>
      </c>
      <c r="E7263" s="1" t="s">
        <v>709</v>
      </c>
      <c r="F7263" s="1">
        <v>12</v>
      </c>
      <c r="G7263" s="1">
        <v>4</v>
      </c>
      <c r="H7263" s="1">
        <v>3</v>
      </c>
      <c r="I7263" s="1" t="s">
        <v>13953</v>
      </c>
      <c r="K7263" s="1" t="str">
        <f t="shared" si="461"/>
        <v>ㄐ</v>
      </c>
      <c r="L7263" s="1" t="str">
        <f t="shared" si="462"/>
        <v>ㄧ</v>
      </c>
      <c r="M7263" s="1" t="str">
        <f t="shared" si="463"/>
        <v>ㄢ</v>
      </c>
      <c r="P7263" s="1" t="s">
        <v>20</v>
      </c>
      <c r="R7263" s="1" t="s">
        <v>13954</v>
      </c>
      <c r="V7263" s="1" t="s">
        <v>13992</v>
      </c>
      <c r="W7263" s="1" t="s">
        <v>13993</v>
      </c>
      <c r="AR7263" s="1" t="str">
        <f t="shared" si="460"/>
        <v>| [ㄐㄧㄢˋ](ㄐㄧㄢˋ.md) | [閒](閒.md) |  | jiàn | 同「間」(二)。 |</v>
      </c>
    </row>
    <row r="7264" spans="1:44" hidden="1">
      <c r="A7264" s="1" t="s">
        <v>13994</v>
      </c>
      <c r="C7264" s="1">
        <v>1</v>
      </c>
      <c r="D7264" s="1" t="str">
        <f>"05814"</f>
        <v>05814</v>
      </c>
      <c r="E7264" s="1" t="s">
        <v>129</v>
      </c>
      <c r="F7264" s="1">
        <v>15</v>
      </c>
      <c r="G7264" s="1">
        <v>12</v>
      </c>
      <c r="H7264" s="1">
        <v>0</v>
      </c>
      <c r="I7264" s="1" t="s">
        <v>13953</v>
      </c>
      <c r="K7264" s="1" t="str">
        <f t="shared" si="461"/>
        <v>ㄐ</v>
      </c>
      <c r="L7264" s="1" t="str">
        <f t="shared" si="462"/>
        <v>ㄧ</v>
      </c>
      <c r="M7264" s="1" t="str">
        <f t="shared" si="463"/>
        <v>ㄢ</v>
      </c>
      <c r="P7264" s="1" t="s">
        <v>20</v>
      </c>
      <c r="R7264" s="1" t="s">
        <v>13954</v>
      </c>
      <c r="V7264" s="1" t="s">
        <v>13995</v>
      </c>
      <c r="AR7264" s="1" t="str">
        <f t="shared" si="460"/>
        <v>| [ㄐㄧㄢˋ](ㄐㄧㄢˋ.md) | [澗](澗.md) |  | jiàn | [名]
山間的流水。如：「溪澗」。唐．韋應物〈滁州西澗〉詩：「獨憐幽草澗邊生，上有黃鸝深樹鳴。」 |</v>
      </c>
    </row>
    <row r="7265" spans="1:44" hidden="1">
      <c r="A7265" s="1" t="s">
        <v>13996</v>
      </c>
      <c r="C7265" s="1">
        <v>1</v>
      </c>
      <c r="D7265" s="1" t="str">
        <f>"05815"</f>
        <v>05815</v>
      </c>
      <c r="E7265" s="1" t="s">
        <v>1015</v>
      </c>
      <c r="F7265" s="1">
        <v>17</v>
      </c>
      <c r="G7265" s="1">
        <v>12</v>
      </c>
      <c r="H7265" s="1">
        <v>0</v>
      </c>
      <c r="I7265" s="1" t="s">
        <v>13953</v>
      </c>
      <c r="K7265" s="1" t="str">
        <f t="shared" si="461"/>
        <v>ㄐ</v>
      </c>
      <c r="L7265" s="1" t="str">
        <f t="shared" si="462"/>
        <v>ㄧ</v>
      </c>
      <c r="M7265" s="1" t="str">
        <f t="shared" si="463"/>
        <v>ㄢ</v>
      </c>
      <c r="P7265" s="1" t="s">
        <v>20</v>
      </c>
      <c r="R7265" s="1" t="s">
        <v>13954</v>
      </c>
      <c r="V7265" s="1" t="s">
        <v>13997</v>
      </c>
      <c r="AR7265" s="1" t="str">
        <f t="shared" si="460"/>
        <v>| [ㄐㄧㄢˋ](ㄐㄧㄢˋ.md) | [瞷](瞷.md) |  | jiàn | [動]
窺視、偵察。《孟子．離婁下》：「吾將瞷良人之所之也。」 |</v>
      </c>
    </row>
    <row r="7266" spans="1:44" hidden="1">
      <c r="A7266" s="1" t="s">
        <v>13945</v>
      </c>
      <c r="C7266" s="1">
        <v>1</v>
      </c>
      <c r="D7266" s="1" t="str">
        <f>"05816"</f>
        <v>05816</v>
      </c>
      <c r="E7266" s="1" t="s">
        <v>340</v>
      </c>
      <c r="F7266" s="1">
        <v>18</v>
      </c>
      <c r="G7266" s="1">
        <v>12</v>
      </c>
      <c r="H7266" s="1">
        <v>2</v>
      </c>
      <c r="I7266" s="1" t="s">
        <v>13953</v>
      </c>
      <c r="K7266" s="1" t="str">
        <f t="shared" si="461"/>
        <v>ㄐ</v>
      </c>
      <c r="L7266" s="1" t="str">
        <f t="shared" si="462"/>
        <v>ㄧ</v>
      </c>
      <c r="M7266" s="1" t="str">
        <f t="shared" si="463"/>
        <v>ㄢ</v>
      </c>
      <c r="P7266" s="1" t="s">
        <v>110</v>
      </c>
      <c r="R7266" s="1" t="s">
        <v>13954</v>
      </c>
      <c r="V7266" s="1" t="s">
        <v>111</v>
      </c>
      <c r="W7266" s="1" t="s">
        <v>13998</v>
      </c>
      <c r="AR7266" s="1" t="str">
        <f t="shared" si="460"/>
        <v>| [ㄐㄧㄢˋ](ㄐㄧㄢˋ.md) | [襉](襉.md) |  | jiàn | (一)之又音。 |</v>
      </c>
    </row>
    <row r="7267" spans="1:44" hidden="1">
      <c r="A7267" s="1" t="s">
        <v>13999</v>
      </c>
      <c r="C7267" s="1">
        <v>1</v>
      </c>
      <c r="D7267" s="1" t="str">
        <f>"05817"</f>
        <v>05817</v>
      </c>
      <c r="E7267" s="1" t="s">
        <v>55</v>
      </c>
      <c r="F7267" s="1">
        <v>20</v>
      </c>
      <c r="G7267" s="1">
        <v>12</v>
      </c>
      <c r="H7267" s="1">
        <v>0</v>
      </c>
      <c r="I7267" s="1" t="s">
        <v>13953</v>
      </c>
      <c r="K7267" s="1" t="str">
        <f t="shared" si="461"/>
        <v>ㄐ</v>
      </c>
      <c r="L7267" s="1" t="str">
        <f t="shared" si="462"/>
        <v>ㄧ</v>
      </c>
      <c r="M7267" s="1" t="str">
        <f t="shared" si="463"/>
        <v>ㄢ</v>
      </c>
      <c r="P7267" s="1" t="s">
        <v>20</v>
      </c>
      <c r="R7267" s="1" t="s">
        <v>13954</v>
      </c>
      <c r="V7267" s="1" t="s">
        <v>14000</v>
      </c>
      <c r="AR7267" s="1" t="str">
        <f t="shared" si="460"/>
        <v>| [ㄐㄧㄢˋ](ㄐㄧㄢˋ.md) | [鐧](鐧.md) |  | jiàn | [名]
1.車軸鐵，用來減少軸、轂轉動產生的摩擦。《說文解字．金部》「鐧」字．清．段玉裁．注：「鐵之在軸者曰鐧，在轂者曰釭。」《吳子．治兵》：「膏鐧有餘，則車輕人。」
2.武器名。舊時十八般武藝之一。像鞭，有四稜，無刃。上端較小，下端有柄。如：「殺手鐧」。 |</v>
      </c>
    </row>
    <row r="7268" spans="1:44" hidden="1">
      <c r="A7268" s="1" t="s">
        <v>13869</v>
      </c>
      <c r="C7268" s="1">
        <v>1</v>
      </c>
      <c r="D7268" s="1" t="str">
        <f>"05818"</f>
        <v>05818</v>
      </c>
      <c r="E7268" s="1" t="s">
        <v>129</v>
      </c>
      <c r="F7268" s="1">
        <v>14</v>
      </c>
      <c r="G7268" s="1">
        <v>11</v>
      </c>
      <c r="H7268" s="1">
        <v>1</v>
      </c>
      <c r="I7268" s="1" t="s">
        <v>13953</v>
      </c>
      <c r="K7268" s="1" t="str">
        <f t="shared" si="461"/>
        <v>ㄐ</v>
      </c>
      <c r="L7268" s="1" t="str">
        <f t="shared" si="462"/>
        <v>ㄧ</v>
      </c>
      <c r="M7268" s="1" t="str">
        <f t="shared" si="463"/>
        <v>ㄢ</v>
      </c>
      <c r="P7268" s="1" t="s">
        <v>20</v>
      </c>
      <c r="R7268" s="1" t="s">
        <v>13954</v>
      </c>
      <c r="V7268" s="1" t="s">
        <v>14001</v>
      </c>
      <c r="W7268" s="1" t="s">
        <v>14002</v>
      </c>
      <c r="AR7268" s="1" t="str">
        <f t="shared" si="460"/>
        <v>| [ㄐㄧㄢˋ](ㄐㄧㄢˋ.md) | [漸](漸.md) |  | jiàn | [副]
慢慢的、逐步的。如：「漸入佳境」、「循序漸進」。
[名]
事情逐步發展的過程。《管子．明法》：「姦臣之敗其主也，積漸積微，使主迷惑而不自知也。」《水滸傳》第一一〇回：「卻說這江南方臘起義已久，即漸而成，不想弄到許大事業。」 |</v>
      </c>
    </row>
    <row r="7269" spans="1:44" hidden="1">
      <c r="A7269" s="1" t="s">
        <v>13872</v>
      </c>
      <c r="C7269" s="1">
        <v>1</v>
      </c>
      <c r="D7269" s="1" t="str">
        <f>"05819"</f>
        <v>05819</v>
      </c>
      <c r="E7269" s="1" t="s">
        <v>37</v>
      </c>
      <c r="F7269" s="1">
        <v>15</v>
      </c>
      <c r="G7269" s="1">
        <v>11</v>
      </c>
      <c r="H7269" s="1">
        <v>1</v>
      </c>
      <c r="I7269" s="1" t="s">
        <v>13953</v>
      </c>
      <c r="K7269" s="1" t="str">
        <f t="shared" si="461"/>
        <v>ㄐ</v>
      </c>
      <c r="L7269" s="1" t="str">
        <f t="shared" si="462"/>
        <v>ㄧ</v>
      </c>
      <c r="M7269" s="1" t="str">
        <f t="shared" si="463"/>
        <v>ㄢ</v>
      </c>
      <c r="P7269" s="1" t="s">
        <v>20</v>
      </c>
      <c r="R7269" s="1" t="s">
        <v>13954</v>
      </c>
      <c r="V7269" s="1" t="s">
        <v>14003</v>
      </c>
      <c r="W7269" s="1" t="s">
        <v>14004</v>
      </c>
      <c r="AR7269" s="1" t="str">
        <f t="shared" si="460"/>
        <v>| [ㄐㄧㄢˋ](ㄐㄧㄢˋ.md) | [蔪](蔪.md) |  | jiàn | [形]
蔪苞：草木叢生滋長的樣子。《說文解字．艸部》：「蔪，艸相蔪苞也。」 |</v>
      </c>
    </row>
    <row r="7270" spans="1:44" hidden="1">
      <c r="A7270" s="1" t="s">
        <v>14005</v>
      </c>
      <c r="C7270" s="1">
        <v>1</v>
      </c>
      <c r="D7270" s="1" t="str">
        <f>"05820"</f>
        <v>05820</v>
      </c>
      <c r="E7270" s="1" t="s">
        <v>679</v>
      </c>
      <c r="F7270" s="1">
        <v>17</v>
      </c>
      <c r="G7270" s="1">
        <v>11</v>
      </c>
      <c r="H7270" s="1">
        <v>1</v>
      </c>
      <c r="I7270" s="1" t="s">
        <v>13953</v>
      </c>
      <c r="K7270" s="1" t="str">
        <f t="shared" si="461"/>
        <v>ㄐ</v>
      </c>
      <c r="L7270" s="1" t="str">
        <f t="shared" si="462"/>
        <v>ㄧ</v>
      </c>
      <c r="M7270" s="1" t="str">
        <f t="shared" si="463"/>
        <v>ㄢ</v>
      </c>
      <c r="P7270" s="1" t="s">
        <v>20</v>
      </c>
      <c r="R7270" s="1" t="s">
        <v>13954</v>
      </c>
      <c r="V7270" s="1" t="s">
        <v>14006</v>
      </c>
      <c r="W7270" s="1" t="s">
        <v>14007</v>
      </c>
      <c r="AR7270" s="1" t="str">
        <f t="shared" si="460"/>
        <v>| [ㄐㄧㄢˋ](ㄐㄧㄢˋ.md) | [螹](螹.md) |  | jiàn | [名]
1.一種介蟲。《說文解字．虫部》：「螹，螹離也。」清．段玉裁．注：「張揖曰：『其形狀未聞。』按：許以此次於蠵、蠏二篆間，必介蟲之類。」
2.參見「螹胡」條。 |</v>
      </c>
    </row>
    <row r="7271" spans="1:44" hidden="1">
      <c r="A7271" s="1" t="s">
        <v>13875</v>
      </c>
      <c r="C7271" s="1">
        <v>1</v>
      </c>
      <c r="D7271" s="1" t="str">
        <f>"05821"</f>
        <v>05821</v>
      </c>
      <c r="E7271" s="1" t="s">
        <v>438</v>
      </c>
      <c r="F7271" s="1">
        <v>14</v>
      </c>
      <c r="G7271" s="1">
        <v>9</v>
      </c>
      <c r="H7271" s="1">
        <v>2</v>
      </c>
      <c r="I7271" s="1" t="s">
        <v>13953</v>
      </c>
      <c r="K7271" s="1" t="str">
        <f t="shared" si="461"/>
        <v>ㄐ</v>
      </c>
      <c r="L7271" s="1" t="str">
        <f t="shared" si="462"/>
        <v>ㄧ</v>
      </c>
      <c r="M7271" s="1" t="str">
        <f t="shared" si="463"/>
        <v>ㄢ</v>
      </c>
      <c r="P7271" s="1" t="s">
        <v>20</v>
      </c>
      <c r="R7271" s="1" t="s">
        <v>13954</v>
      </c>
      <c r="V7271" s="1" t="s">
        <v>14008</v>
      </c>
      <c r="W7271" s="1" t="s">
        <v>14009</v>
      </c>
      <c r="AR7271" s="1" t="str">
        <f t="shared" si="460"/>
        <v>| [ㄐㄧㄢˋ](ㄐㄧㄢˋ.md) | [監](監.md) |  | jiàn | [名]
1.職官名。古代主管監察或事務的官員。如：「祕書監」、「廷尉監」、「少府監」。
2.古代的官署名稱。如：「欽天監」、「國子監」。
3.宦官。如：「太監」、「內監」。
4.借鏡。通「鑒」。《論語．八佾》：「周監於二代，郁郁乎文哉！」《文選．李康．運命論》：「前監不遠，覆車繼軌。」
[動]
1.照、視。《新唐書．卷九七．魏徵傳》：「夫監形之美惡，必就止水。」
2.參考。《書經．召誥》：「我不可以不監于有夏，亦不可不監于有殷。」《宋史．卷三二七．王石安傳》：「願監苟且因循之弊，明詔大臣，為之以漸，期合於當世之變。」 |</v>
      </c>
    </row>
    <row r="7272" spans="1:44" hidden="1">
      <c r="A7272" s="1" t="s">
        <v>10998</v>
      </c>
      <c r="C7272" s="1">
        <v>1</v>
      </c>
      <c r="D7272" s="1" t="str">
        <f>"05822"</f>
        <v>05822</v>
      </c>
      <c r="E7272" s="1" t="s">
        <v>139</v>
      </c>
      <c r="F7272" s="1">
        <v>18</v>
      </c>
      <c r="G7272" s="1">
        <v>14</v>
      </c>
      <c r="H7272" s="1">
        <v>1</v>
      </c>
      <c r="I7272" s="1" t="s">
        <v>13953</v>
      </c>
      <c r="K7272" s="1" t="str">
        <f t="shared" si="461"/>
        <v>ㄐ</v>
      </c>
      <c r="L7272" s="1" t="str">
        <f t="shared" si="462"/>
        <v>ㄧ</v>
      </c>
      <c r="M7272" s="1" t="str">
        <f t="shared" si="463"/>
        <v>ㄢ</v>
      </c>
      <c r="P7272" s="1" t="s">
        <v>20</v>
      </c>
      <c r="R7272" s="1" t="s">
        <v>13954</v>
      </c>
      <c r="V7272" s="1" t="s">
        <v>14010</v>
      </c>
      <c r="W7272" s="1" t="s">
        <v>14011</v>
      </c>
      <c r="AR7272" s="1" t="str">
        <f t="shared" si="460"/>
        <v>| [ㄐㄧㄢˋ](ㄐㄧㄢˋ.md) | [檻](檻.md) |  | jiàn | [名]
1.關野獸的柵欄。《莊子．天地》：「而虎豹在囊檻，亦可以為得矣。」《漢書．卷九七．外戚傳下．孝元馮昭儀傳》：「熊佚出圈，攀檻欲上殿。」
2.囚車。《晉書．卷六八．紀瞻傳》：「瞻覺其詐，便破檻出之，訊問使者。」
3.欄杆。《楚辭．屈原．九歌．東君》：「暾將出兮東方，照吾檻兮扶桑。」唐．杜牧〈阿房宮賦〉：「直欄橫檻，多於九土之城郭。」 |</v>
      </c>
    </row>
    <row r="7273" spans="1:44" hidden="1">
      <c r="A7273" s="1" t="s">
        <v>14012</v>
      </c>
      <c r="C7273" s="1">
        <v>1</v>
      </c>
      <c r="D7273" s="1" t="str">
        <f>"05823"</f>
        <v>05823</v>
      </c>
      <c r="E7273" s="1" t="s">
        <v>181</v>
      </c>
      <c r="F7273" s="1">
        <v>20</v>
      </c>
      <c r="G7273" s="1">
        <v>14</v>
      </c>
      <c r="H7273" s="1">
        <v>0</v>
      </c>
      <c r="I7273" s="1" t="s">
        <v>13953</v>
      </c>
      <c r="K7273" s="1" t="str">
        <f t="shared" si="461"/>
        <v>ㄐ</v>
      </c>
      <c r="L7273" s="1" t="str">
        <f t="shared" si="462"/>
        <v>ㄧ</v>
      </c>
      <c r="M7273" s="1" t="str">
        <f t="shared" si="463"/>
        <v>ㄢ</v>
      </c>
      <c r="P7273" s="1" t="s">
        <v>20</v>
      </c>
      <c r="R7273" s="1" t="s">
        <v>13954</v>
      </c>
      <c r="V7273" s="1" t="s">
        <v>14013</v>
      </c>
      <c r="AR7273" s="1" t="str">
        <f t="shared" si="460"/>
        <v>| [ㄐㄧㄢˋ](ㄐㄧㄢˋ.md) | [艦](艦.md) |  | jiàn | [名]
大型的軍用戰船。如：「驅逐艦」、「巡洋艦」、「航空母艦」。《晉書．卷七九．謝安傳》：「琰軍魚貫而前，賊於艦中傍射之，前後斷絕。」 |</v>
      </c>
    </row>
    <row r="7274" spans="1:44" hidden="1">
      <c r="A7274" s="1" t="s">
        <v>14014</v>
      </c>
      <c r="C7274" s="1">
        <v>1</v>
      </c>
      <c r="D7274" s="1" t="str">
        <f>"05824"</f>
        <v>05824</v>
      </c>
      <c r="E7274" s="1" t="s">
        <v>55</v>
      </c>
      <c r="F7274" s="1">
        <v>22</v>
      </c>
      <c r="G7274" s="1">
        <v>14</v>
      </c>
      <c r="H7274" s="1">
        <v>0</v>
      </c>
      <c r="I7274" s="1" t="s">
        <v>13953</v>
      </c>
      <c r="K7274" s="1" t="str">
        <f t="shared" si="461"/>
        <v>ㄐ</v>
      </c>
      <c r="L7274" s="1" t="str">
        <f t="shared" si="462"/>
        <v>ㄧ</v>
      </c>
      <c r="M7274" s="1" t="str">
        <f t="shared" si="463"/>
        <v>ㄢ</v>
      </c>
      <c r="P7274" s="1" t="s">
        <v>20</v>
      </c>
      <c r="R7274" s="1" t="s">
        <v>13954</v>
      </c>
      <c r="V7274" s="1" t="s">
        <v>14015</v>
      </c>
      <c r="AR7274" s="1" t="str">
        <f t="shared" si="460"/>
        <v>| [ㄐㄧㄢˋ](ㄐㄧㄢˋ.md) | [鑒](鑒.md) |  | jiàn | [名]
1.鏡子。同「鑑」。《詩經．邶風．柏舟》：「我心匪鑒，不可以茹。」漢．鄭玄．箋：「鑒，鏡也。」
2.視察的能力、見識。《梁書．卷二七．到洽傳》：「樂安任昉有知人之鑒。」
3.借鏡。《詩經．大雅．蕩》：「殷鑒不遠，在夏后之世。」
[動]
1.照。漢．秦嘉〈留郡贈婦詩〉三首之三：「明鏡可鑒形。」
2.審察。南朝梁．劉勰《文心雕龍．樂府》：「季札鑒微於興廢。」
3.請人看信的意思，多用於書信中。如：「鈞鑒」、「大鑒」、「臺鑒」。 |</v>
      </c>
    </row>
    <row r="7275" spans="1:44" hidden="1">
      <c r="A7275" s="1" t="s">
        <v>14016</v>
      </c>
      <c r="C7275" s="1">
        <v>1</v>
      </c>
      <c r="D7275" s="1" t="str">
        <f>"05825"</f>
        <v>05825</v>
      </c>
      <c r="E7275" s="1" t="s">
        <v>55</v>
      </c>
      <c r="F7275" s="1">
        <v>22</v>
      </c>
      <c r="G7275" s="1">
        <v>14</v>
      </c>
      <c r="H7275" s="1">
        <v>0</v>
      </c>
      <c r="I7275" s="1" t="s">
        <v>13953</v>
      </c>
      <c r="K7275" s="1" t="str">
        <f t="shared" si="461"/>
        <v>ㄐ</v>
      </c>
      <c r="L7275" s="1" t="str">
        <f t="shared" si="462"/>
        <v>ㄧ</v>
      </c>
      <c r="M7275" s="1" t="str">
        <f t="shared" si="463"/>
        <v>ㄢ</v>
      </c>
      <c r="P7275" s="1" t="s">
        <v>20</v>
      </c>
      <c r="R7275" s="1" t="s">
        <v>13954</v>
      </c>
      <c r="V7275" s="1" t="s">
        <v>14017</v>
      </c>
      <c r="AR7275" s="1" t="str">
        <f t="shared" si="460"/>
        <v>| [ㄐㄧㄢˋ](ㄐㄧㄢˋ.md) | [鑑](鑑.md) |  | jiàn | [名]
1.鏡子。《莊子．德充符》：「鑑明則塵垢不止。」《新唐書．卷九七．魏徵傳》：「以銅為鑑，可以正衣冠。」
2.視察、觀照的能力。如：「知人之鑑」。
3.可以作為警戒、警惕的事。如：「前車之鑑」。《墨子．非命下》：「為鑑不遠，在彼殷王。」
4.作為證明的信物。如：「印鑑」。
5.姓。如明代有鑑明復。
[動]
1.照。《莊子．德充符》：「人莫鑑於流水，而鑑於止水。」明．徐弘祖《徐霞客遊記．卷五．滇遊日記三》：「泉混混平吐，清洌鑑人眉宇。」
2.審察、視察。三國蜀．諸葛亮〈正議〉：「魏不審鑑，今次之矣。」唐．王勃〈為人與蜀域父老書〉：「鑑物於肇不於成。」
3.警戒、戒勉。唐．杜牧〈阿房宮賦〉：「後人哀之而不鑑之。」 |</v>
      </c>
    </row>
    <row r="7276" spans="1:44" hidden="1">
      <c r="A7276" s="1" t="s">
        <v>14018</v>
      </c>
      <c r="C7276" s="1">
        <v>1</v>
      </c>
      <c r="D7276" s="1" t="str">
        <f>"05826"</f>
        <v>05826</v>
      </c>
      <c r="E7276" s="1" t="s">
        <v>49</v>
      </c>
      <c r="F7276" s="1">
        <v>15</v>
      </c>
      <c r="G7276" s="1">
        <v>9</v>
      </c>
      <c r="H7276" s="1">
        <v>0</v>
      </c>
      <c r="I7276" s="1" t="s">
        <v>13953</v>
      </c>
      <c r="K7276" s="1" t="str">
        <f t="shared" si="461"/>
        <v>ㄐ</v>
      </c>
      <c r="L7276" s="1" t="str">
        <f t="shared" si="462"/>
        <v>ㄧ</v>
      </c>
      <c r="M7276" s="1" t="str">
        <f t="shared" si="463"/>
        <v>ㄢ</v>
      </c>
      <c r="P7276" s="1" t="s">
        <v>20</v>
      </c>
      <c r="R7276" s="1" t="s">
        <v>13954</v>
      </c>
      <c r="V7276" s="1" t="s">
        <v>14019</v>
      </c>
      <c r="AR7276" s="1" t="str">
        <f t="shared" si="460"/>
        <v>| [ㄐㄧㄢˋ](ㄐㄧㄢˋ.md) | [箭](箭.md) |  | jiàn | [名]
1.武器名。即矢。一種搭在弓上發射的武器。如：「鳴箭」、「一箭雙雕」。
2.參見「箭竹」條。
3.量詞。古代計算距離的單位。如：「一箭之地」。
[形]
快速。如：「一個箭步追了上去！」 |</v>
      </c>
    </row>
    <row r="7277" spans="1:44" hidden="1">
      <c r="A7277" s="1" t="s">
        <v>14020</v>
      </c>
      <c r="C7277" s="1">
        <v>1</v>
      </c>
      <c r="D7277" s="1" t="str">
        <f>"05827"</f>
        <v>05827</v>
      </c>
      <c r="E7277" s="1" t="s">
        <v>114</v>
      </c>
      <c r="F7277" s="1">
        <v>14</v>
      </c>
      <c r="G7277" s="1">
        <v>12</v>
      </c>
      <c r="H7277" s="1">
        <v>0</v>
      </c>
      <c r="I7277" s="1" t="s">
        <v>13953</v>
      </c>
      <c r="K7277" s="1" t="str">
        <f t="shared" si="461"/>
        <v>ㄐ</v>
      </c>
      <c r="L7277" s="1" t="str">
        <f t="shared" si="462"/>
        <v>ㄧ</v>
      </c>
      <c r="M7277" s="1" t="str">
        <f t="shared" si="463"/>
        <v>ㄢ</v>
      </c>
      <c r="P7277" s="1" t="s">
        <v>20</v>
      </c>
      <c r="R7277" s="1" t="s">
        <v>13954</v>
      </c>
      <c r="V7277" s="1" t="s">
        <v>14021</v>
      </c>
      <c r="AR7277" s="1" t="str">
        <f t="shared" si="460"/>
        <v>| [ㄐㄧㄢˋ](ㄐㄧㄢˋ.md) | [僭](僭.md) |  | jiàn | [動]
假冒在上位者的名義，超越本分以行事。如：「僭越」。《南史．卷一．宋武帝本紀》：「姦宄具殲，僭偽亦滅。」《文選．潘岳．為賈謐作贈陸機詩》：「南吳伊何？僭號偁王。」 |</v>
      </c>
    </row>
    <row r="7278" spans="1:44" hidden="1">
      <c r="A7278" s="1" t="s">
        <v>13927</v>
      </c>
      <c r="C7278" s="1">
        <v>1</v>
      </c>
      <c r="D7278" s="1" t="str">
        <f>"05828"</f>
        <v>05828</v>
      </c>
      <c r="E7278" s="1" t="s">
        <v>114</v>
      </c>
      <c r="F7278" s="1">
        <v>15</v>
      </c>
      <c r="G7278" s="1">
        <v>13</v>
      </c>
      <c r="H7278" s="1">
        <v>2</v>
      </c>
      <c r="I7278" s="1" t="s">
        <v>13953</v>
      </c>
      <c r="K7278" s="1" t="str">
        <f t="shared" si="461"/>
        <v>ㄐ</v>
      </c>
      <c r="L7278" s="1" t="str">
        <f t="shared" si="462"/>
        <v>ㄧ</v>
      </c>
      <c r="M7278" s="1" t="str">
        <f t="shared" si="463"/>
        <v>ㄢ</v>
      </c>
      <c r="P7278" s="1" t="s">
        <v>110</v>
      </c>
      <c r="R7278" s="1" t="s">
        <v>13954</v>
      </c>
      <c r="V7278" s="1" t="s">
        <v>111</v>
      </c>
      <c r="W7278" s="1" t="s">
        <v>14022</v>
      </c>
      <c r="AR7278" s="1" t="str">
        <f t="shared" si="460"/>
        <v>| [ㄐㄧㄢˋ](ㄐㄧㄢˋ.md) | [儉](儉.md) |  | jiàn | (一)之又音。 |</v>
      </c>
    </row>
    <row r="7279" spans="1:44" hidden="1">
      <c r="A7279" s="1" t="s">
        <v>14023</v>
      </c>
      <c r="C7279" s="1">
        <v>1</v>
      </c>
      <c r="D7279" s="1" t="str">
        <f>"05829"</f>
        <v>05829</v>
      </c>
      <c r="E7279" s="1" t="s">
        <v>185</v>
      </c>
      <c r="F7279" s="1">
        <v>15</v>
      </c>
      <c r="G7279" s="1">
        <v>13</v>
      </c>
      <c r="H7279" s="1">
        <v>0</v>
      </c>
      <c r="I7279" s="1" t="s">
        <v>13953</v>
      </c>
      <c r="K7279" s="1" t="str">
        <f t="shared" si="461"/>
        <v>ㄐ</v>
      </c>
      <c r="L7279" s="1" t="str">
        <f t="shared" si="462"/>
        <v>ㄧ</v>
      </c>
      <c r="M7279" s="1" t="str">
        <f t="shared" si="463"/>
        <v>ㄢ</v>
      </c>
      <c r="P7279" s="1" t="s">
        <v>20</v>
      </c>
      <c r="R7279" s="1" t="s">
        <v>13954</v>
      </c>
      <c r="V7279" s="1" t="s">
        <v>14024</v>
      </c>
      <c r="AR7279" s="1" t="str">
        <f t="shared" si="460"/>
        <v>| [ㄐㄧㄢˋ](ㄐㄧㄢˋ.md) | [劍](劍.md) |  | jiàn | [名]
1.武器名。兩面有刃，中間有脊，下有握柄。如：「利劍」。唐．李白〈古風〉詩五九首之一六：「寶劍雙蛟龍，雪花照芙蓉。」
2.量詞。計算揮劍次數的單位。如：「他身上共中了七劍。」 |</v>
      </c>
    </row>
    <row r="7280" spans="1:44" hidden="1">
      <c r="A7280" s="1" t="s">
        <v>14025</v>
      </c>
      <c r="C7280" s="1">
        <v>1</v>
      </c>
      <c r="D7280" s="1" t="str">
        <f>"05830"</f>
        <v>05830</v>
      </c>
      <c r="E7280" s="1" t="s">
        <v>331</v>
      </c>
      <c r="F7280" s="1">
        <v>16</v>
      </c>
      <c r="G7280" s="1">
        <v>9</v>
      </c>
      <c r="H7280" s="1">
        <v>0</v>
      </c>
      <c r="I7280" s="1" t="s">
        <v>13953</v>
      </c>
      <c r="K7280" s="1" t="str">
        <f t="shared" si="461"/>
        <v>ㄐ</v>
      </c>
      <c r="L7280" s="1" t="str">
        <f t="shared" si="462"/>
        <v>ㄧ</v>
      </c>
      <c r="M7280" s="1" t="str">
        <f t="shared" si="463"/>
        <v>ㄢ</v>
      </c>
      <c r="P7280" s="1" t="s">
        <v>20</v>
      </c>
      <c r="R7280" s="1" t="s">
        <v>13954</v>
      </c>
      <c r="V7280" s="1" t="s">
        <v>14026</v>
      </c>
      <c r="AR7280" s="1" t="str">
        <f t="shared" si="460"/>
        <v>| [ㄐㄧㄢˋ](ㄐㄧㄢˋ.md) | [諫](諫.md) |  | jiàn | [動]
1.用言語或行動勸告別人改正錯誤。如：「勸諫」、「規諫」。《孟子．萬章下》：「君有大過則諫。」《新唐書．卷九七．魏徵傳》：「臣以事有不可，故諫。」
2.糾正、更改。《論語．八佾》：「成事不說，遂事不諫，既往不咎。」《文選．陶淵明．歸去來辭》：「悟已往之不諫，知來者之可追。」
[名]
姓。如漢代有諫忠。 |</v>
      </c>
    </row>
    <row r="7281" spans="1:44" hidden="1">
      <c r="A7281" s="1" t="s">
        <v>14027</v>
      </c>
      <c r="C7281" s="1">
        <v>1</v>
      </c>
      <c r="D7281" s="1" t="str">
        <f>"05831"</f>
        <v>05831</v>
      </c>
      <c r="E7281" s="1" t="s">
        <v>37</v>
      </c>
      <c r="F7281" s="1">
        <v>17</v>
      </c>
      <c r="G7281" s="1">
        <v>13</v>
      </c>
      <c r="H7281" s="1">
        <v>0</v>
      </c>
      <c r="I7281" s="1" t="s">
        <v>13953</v>
      </c>
      <c r="K7281" s="1" t="str">
        <f t="shared" si="461"/>
        <v>ㄐ</v>
      </c>
      <c r="L7281" s="1" t="str">
        <f t="shared" si="462"/>
        <v>ㄧ</v>
      </c>
      <c r="M7281" s="1" t="str">
        <f t="shared" si="463"/>
        <v>ㄢ</v>
      </c>
      <c r="P7281" s="1" t="s">
        <v>20</v>
      </c>
      <c r="R7281" s="1" t="s">
        <v>13954</v>
      </c>
      <c r="V7281" s="1" t="s">
        <v>14028</v>
      </c>
      <c r="AR7281" s="1" t="str">
        <f t="shared" si="460"/>
        <v>| [ㄐㄧㄢˋ](ㄐㄧㄢˋ.md) | [薦](薦.md) |  | jiàn | [名]
1.獸類所吃的草。《說文解字．廌部》：「獸之所食艸。」《莊子．齊物論》：「民食芻豢，麋鹿食薦。」
2.草蓆、草墊。南朝宋．劉義慶《世說新語．德行》：「既無餘席，便坐薦上。」《晉書．卷九六．列女傳．陶侃母湛氏傳》：「湛氏乃徹所臥新薦，自剉給其馬。」
3.祭品。《禮記．祭義》：「仲尼嘗奉薦而進親也。」
[動]
1.藉、襯墊。《漢書．卷六八．霍光傳》：「韋絮薦輪，侍婢以五采絲輓顯，游戲第中。」《文選．賈誼．弔屈原文》：「章甫薦履，漸不可久兮。」
2.呈獻、進獻。《論語．鄉黨》：「君賜腥，必熟而薦之。」《禮記．祭義》：「卿大夫有善，薦於諸侯。」
3.推舉。如：「推薦」。《孟子．萬章上》：「諸侯能薦人於天子。」
[副]
屢次、重複。《詩經．大雅．雲漢》：「天降喪亂，饑饉薦臻。」宋．曹勛〈入塞〉詩：「數日望回騎，薦致臨風悲。」 |</v>
      </c>
    </row>
    <row r="7282" spans="1:44" hidden="1">
      <c r="A7282" s="1" t="s">
        <v>30546</v>
      </c>
      <c r="C7282" s="1">
        <v>1</v>
      </c>
      <c r="D7282" s="1" t="str">
        <f>"119060033"</f>
        <v>119060033</v>
      </c>
      <c r="E7282" s="1" t="s">
        <v>129</v>
      </c>
      <c r="F7282" s="1">
        <v>20</v>
      </c>
      <c r="G7282" s="1">
        <v>17</v>
      </c>
      <c r="H7282" s="1">
        <v>0</v>
      </c>
      <c r="I7282" s="1" t="s">
        <v>13896</v>
      </c>
      <c r="K7282" s="1" t="str">
        <f t="shared" si="461"/>
        <v>ㄐ</v>
      </c>
      <c r="L7282" s="1" t="str">
        <f t="shared" si="462"/>
        <v>ㄧ</v>
      </c>
      <c r="M7282" s="1" t="str">
        <f t="shared" si="463"/>
        <v>ㄢ</v>
      </c>
      <c r="P7282" s="1" t="s">
        <v>20</v>
      </c>
      <c r="R7282" s="1" t="s">
        <v>13897</v>
      </c>
      <c r="V7282" s="1" t="s">
        <v>30547</v>
      </c>
      <c r="AR7282" s="1" t="str">
        <f t="shared" si="460"/>
        <v>| [ㄐㄧㄢˇ](ㄐㄧㄢˇ.md) | [瀽](瀽.md) |  | jiǎn | 傾、倒。元．關漢卿〈溫太真玉鏡臺〉第一折：「我欲說話瀽無甚伎倆，把一瀽酒瀽一半在階基上。」元．李壽卿〈臨江驛瀟湘秋夜雨》第三折：「忽聽的摧林怪風鼓，更那堪瓮瀽盆傾驟雨。」元．鄭廷玉〈呂洞賓三醉岳陽樓〉第二折：「打的我死狗兒彎足全，青泥也腐爛，頭披也髻散。呀，葫蘆裡瀽了些靈丹。」 |</v>
      </c>
    </row>
    <row r="7283" spans="1:44" hidden="1">
      <c r="A7283" s="1" t="s">
        <v>14673</v>
      </c>
      <c r="C7283" s="1">
        <v>1</v>
      </c>
      <c r="D7283" s="1" t="str">
        <f>"06126"</f>
        <v>06126</v>
      </c>
      <c r="E7283" s="1" t="s">
        <v>5692</v>
      </c>
      <c r="F7283" s="1">
        <v>7</v>
      </c>
      <c r="G7283" s="1">
        <v>0</v>
      </c>
      <c r="H7283" s="1">
        <v>2</v>
      </c>
      <c r="I7283" s="1" t="s">
        <v>14674</v>
      </c>
      <c r="K7283" s="1" t="str">
        <f t="shared" si="461"/>
        <v>ㄐ</v>
      </c>
      <c r="L7283" s="1" t="str">
        <f t="shared" si="462"/>
        <v>ㄩ</v>
      </c>
      <c r="M7283" s="1" t="str">
        <f t="shared" si="463"/>
        <v>ㄢ</v>
      </c>
      <c r="P7283" s="1" t="s">
        <v>20</v>
      </c>
      <c r="R7283" s="1" t="s">
        <v>14675</v>
      </c>
      <c r="V7283" s="1" t="s">
        <v>14676</v>
      </c>
      <c r="W7283" s="1" t="s">
        <v>14677</v>
      </c>
      <c r="AR7283" s="1" t="str">
        <f t="shared" si="460"/>
        <v>| [ㄐㄩㄢ](ㄐㄩㄢ.md) | [身](身.md) |  | juān | 參見「身毒」條。 |</v>
      </c>
    </row>
    <row r="7284" spans="1:44" hidden="1">
      <c r="A7284" s="1" t="s">
        <v>14678</v>
      </c>
      <c r="C7284" s="1">
        <v>1</v>
      </c>
      <c r="D7284" s="1" t="str">
        <f>"06127"</f>
        <v>06127</v>
      </c>
      <c r="E7284" s="1" t="s">
        <v>129</v>
      </c>
      <c r="F7284" s="1">
        <v>10</v>
      </c>
      <c r="G7284" s="1">
        <v>7</v>
      </c>
      <c r="H7284" s="1">
        <v>0</v>
      </c>
      <c r="I7284" s="1" t="s">
        <v>14674</v>
      </c>
      <c r="K7284" s="1" t="str">
        <f t="shared" si="461"/>
        <v>ㄐ</v>
      </c>
      <c r="L7284" s="1" t="str">
        <f t="shared" si="462"/>
        <v>ㄩ</v>
      </c>
      <c r="M7284" s="1" t="str">
        <f t="shared" si="463"/>
        <v>ㄢ</v>
      </c>
      <c r="P7284" s="1" t="s">
        <v>20</v>
      </c>
      <c r="R7284" s="1" t="s">
        <v>14675</v>
      </c>
      <c r="V7284" s="1" t="s">
        <v>14679</v>
      </c>
      <c r="AR7284" s="1" t="str">
        <f t="shared" si="460"/>
        <v>| [ㄐㄩㄢ](ㄐㄩㄢ.md) | [涓](涓.md) |  | juān | [名]
1.細流。《說文解字．水部》：「涓，小流也。」唐．王勃〈入蜀紀行序〉：「游涓澮者，發江湖之思。」
2.姓。如漢代有涓勛。
[形]
1.細緩的、細微的。如：「涓流」、「涓塵」。《文選．陶淵明．歸去來辭》：「木欣欣以向榮，泉涓涓而始流。」
2.清潔的。參見「涓人」、「涓潔」等條。
[動]
選擇。《文選．左思．魏都賦》：「涓吉日，陟中壇，即帝位。」《南齊書．卷一一．樂志》：「涓辰選氣，展禮恭祇。」 |</v>
      </c>
    </row>
    <row r="7285" spans="1:44" hidden="1">
      <c r="A7285" s="1" t="s">
        <v>14680</v>
      </c>
      <c r="C7285" s="1">
        <v>1</v>
      </c>
      <c r="D7285" s="1" t="str">
        <f>"06128"</f>
        <v>06128</v>
      </c>
      <c r="E7285" s="1" t="s">
        <v>250</v>
      </c>
      <c r="F7285" s="1">
        <v>10</v>
      </c>
      <c r="G7285" s="1">
        <v>7</v>
      </c>
      <c r="H7285" s="1">
        <v>2</v>
      </c>
      <c r="I7285" s="1" t="s">
        <v>14674</v>
      </c>
      <c r="K7285" s="1" t="str">
        <f t="shared" si="461"/>
        <v>ㄐ</v>
      </c>
      <c r="L7285" s="1" t="str">
        <f t="shared" si="462"/>
        <v>ㄩ</v>
      </c>
      <c r="M7285" s="1" t="str">
        <f t="shared" si="463"/>
        <v>ㄢ</v>
      </c>
      <c r="P7285" s="1" t="s">
        <v>20</v>
      </c>
      <c r="R7285" s="1" t="s">
        <v>14675</v>
      </c>
      <c r="V7285" s="1" t="s">
        <v>14681</v>
      </c>
      <c r="W7285" s="1" t="s">
        <v>14682</v>
      </c>
      <c r="AR7285" s="1" t="str">
        <f t="shared" si="460"/>
        <v>| [ㄐㄩㄢ](ㄐㄩㄢ.md) | [悁](悁.md) |  | juān | [形]
1.忿怒、憤恨。《楚辭．劉向．九歎．逢紛》：「腸憤悁而含怒兮，志遷蹇而左傾。」《後漢書．卷五八．臧洪傳》：「忿悁之師，兵家所忌。」
2.憂思、憂鬱。唐．李華〈弔古戰場文〉：「悁悁心目，寤寐見之。」 |</v>
      </c>
    </row>
    <row r="7286" spans="1:44" hidden="1">
      <c r="A7286" s="1" t="s">
        <v>14683</v>
      </c>
      <c r="C7286" s="1">
        <v>1</v>
      </c>
      <c r="D7286" s="1" t="str">
        <f>"06129"</f>
        <v>06129</v>
      </c>
      <c r="E7286" s="1" t="s">
        <v>24</v>
      </c>
      <c r="F7286" s="1">
        <v>10</v>
      </c>
      <c r="G7286" s="1">
        <v>7</v>
      </c>
      <c r="H7286" s="1">
        <v>0</v>
      </c>
      <c r="I7286" s="1" t="s">
        <v>14674</v>
      </c>
      <c r="K7286" s="1" t="str">
        <f t="shared" si="461"/>
        <v>ㄐ</v>
      </c>
      <c r="L7286" s="1" t="str">
        <f t="shared" si="462"/>
        <v>ㄩ</v>
      </c>
      <c r="M7286" s="1" t="str">
        <f t="shared" si="463"/>
        <v>ㄢ</v>
      </c>
      <c r="P7286" s="1" t="s">
        <v>20</v>
      </c>
      <c r="R7286" s="1" t="s">
        <v>14675</v>
      </c>
      <c r="V7286" s="1" t="s">
        <v>14684</v>
      </c>
      <c r="AR7286" s="1" t="str">
        <f t="shared" si="460"/>
        <v>| [ㄐㄩㄢ](ㄐㄩㄢ.md) | [捐](捐.md) |  | juān | [動]
1.捨棄、拋棄。《說文解字．手部》：「捐，棄也。」如：「為國捐軀」。《楚辭．屈原．九歌．湘君》：「捐余玦兮江中，遺余佩兮醴浦。」《文選．李陵．答蘇武書》：「寧有背君親、捐妻子，而反為利者乎？」
2.除去。《字彙．手部》：「捐，除去。」《孟子．萬章上》：「父母使舜完廩，捐階，瞽瞍焚廩。」
3.奉獻財物幫助別人。如：「捐獻」、「募捐」、「捐款救災」、「捐糧賑濟」。
4.舊時稱以金錢買得官職。如：「捐官」。《紅樓夢》第一三回：「賈珍心中打算定了主意，因而趁便就說要與賈蓉捐個前程的話。」
[名]
人民向政府繳納的稅金。如：「房捐」、「地捐」、「稅捐」。 |</v>
      </c>
    </row>
    <row r="7287" spans="1:44" hidden="1">
      <c r="A7287" s="1" t="s">
        <v>14685</v>
      </c>
      <c r="C7287" s="1">
        <v>1</v>
      </c>
      <c r="D7287" s="1" t="str">
        <f>"06130"</f>
        <v>06130</v>
      </c>
      <c r="E7287" s="1" t="s">
        <v>534</v>
      </c>
      <c r="F7287" s="1">
        <v>10</v>
      </c>
      <c r="G7287" s="1">
        <v>7</v>
      </c>
      <c r="H7287" s="1">
        <v>0</v>
      </c>
      <c r="I7287" s="1" t="s">
        <v>14674</v>
      </c>
      <c r="K7287" s="1" t="str">
        <f t="shared" si="461"/>
        <v>ㄐ</v>
      </c>
      <c r="L7287" s="1" t="str">
        <f t="shared" si="462"/>
        <v>ㄩ</v>
      </c>
      <c r="M7287" s="1" t="str">
        <f t="shared" si="463"/>
        <v>ㄢ</v>
      </c>
      <c r="P7287" s="1" t="s">
        <v>20</v>
      </c>
      <c r="R7287" s="1" t="s">
        <v>14675</v>
      </c>
      <c r="V7287" s="1" t="s">
        <v>14686</v>
      </c>
      <c r="AR7287" s="1" t="str">
        <f t="shared" si="460"/>
        <v>| [ㄐㄩㄢ](ㄐㄩㄢ.md) | [娟](娟.md) |  | juān | [形]
美好。如：「娟美」、「娟秀」。宋．王安石〈寄蔡氏女子〉詩二首之一：「蘭馥兮眾植，竹娟兮常茂。」明．徐宏祖《徐霞客遊記．卷五下．滇遊日記三》：「岡峽縱橫，而森石尤多娟麗。」 |</v>
      </c>
    </row>
    <row r="7288" spans="1:44" hidden="1">
      <c r="A7288" s="1" t="s">
        <v>14687</v>
      </c>
      <c r="C7288" s="1">
        <v>1</v>
      </c>
      <c r="D7288" s="1" t="str">
        <f>"06131"</f>
        <v>06131</v>
      </c>
      <c r="E7288" s="1" t="s">
        <v>96</v>
      </c>
      <c r="F7288" s="1">
        <v>16</v>
      </c>
      <c r="G7288" s="1">
        <v>7</v>
      </c>
      <c r="H7288" s="1">
        <v>0</v>
      </c>
      <c r="I7288" s="1" t="s">
        <v>14674</v>
      </c>
      <c r="K7288" s="1" t="str">
        <f t="shared" si="461"/>
        <v>ㄐ</v>
      </c>
      <c r="L7288" s="1" t="str">
        <f t="shared" si="462"/>
        <v>ㄩ</v>
      </c>
      <c r="M7288" s="1" t="str">
        <f t="shared" si="463"/>
        <v>ㄢ</v>
      </c>
      <c r="P7288" s="1" t="s">
        <v>20</v>
      </c>
      <c r="R7288" s="1" t="s">
        <v>14675</v>
      </c>
      <c r="V7288" s="1" t="s">
        <v>14688</v>
      </c>
      <c r="AR7288" s="1" t="str">
        <f t="shared" si="460"/>
        <v>| [ㄐㄩㄢ](ㄐㄩㄢ.md) | [鞙](鞙.md) |  | juān | [名]
牛車上懸綁車軛的皮帶。《說文解字．革部》：「鞙，大車縛軛靼。」
[動]
懸掛。晉．成公綏〈蜘蛛賦〉：「挂翼繞足，鞙絲置圍。」唐．元稹〈酬樂天東南行詩一百韻〉：「當心鞙銅鼓，背弝射桑弧。」
[形]
佩帶玉飾的樣子。《詩經．小雅．大東》：「鞙鞙佩璲，不以其長。」 |</v>
      </c>
    </row>
    <row r="7289" spans="1:44" hidden="1">
      <c r="A7289" s="1" t="s">
        <v>14689</v>
      </c>
      <c r="C7289" s="1">
        <v>1</v>
      </c>
      <c r="D7289" s="1" t="str">
        <f>"06132"</f>
        <v>06132</v>
      </c>
      <c r="E7289" s="1" t="s">
        <v>272</v>
      </c>
      <c r="F7289" s="1">
        <v>18</v>
      </c>
      <c r="G7289" s="1">
        <v>7</v>
      </c>
      <c r="H7289" s="1">
        <v>0</v>
      </c>
      <c r="I7289" s="1" t="s">
        <v>14674</v>
      </c>
      <c r="K7289" s="1" t="str">
        <f t="shared" si="461"/>
        <v>ㄐ</v>
      </c>
      <c r="L7289" s="1" t="str">
        <f t="shared" si="462"/>
        <v>ㄩ</v>
      </c>
      <c r="M7289" s="1" t="str">
        <f t="shared" si="463"/>
        <v>ㄢ</v>
      </c>
      <c r="P7289" s="1" t="s">
        <v>20</v>
      </c>
      <c r="R7289" s="1" t="s">
        <v>14675</v>
      </c>
      <c r="V7289" s="1" t="s">
        <v>14690</v>
      </c>
      <c r="AR7289" s="1" t="str">
        <f t="shared" si="460"/>
        <v>| [ㄐㄩㄢ](ㄐㄩㄢ.md) | [鵑](鵑.md) |  | juān | 參見「杜鵑」條。 |</v>
      </c>
    </row>
    <row r="7290" spans="1:44" hidden="1">
      <c r="A7290" s="1" t="s">
        <v>14691</v>
      </c>
      <c r="C7290" s="1">
        <v>1</v>
      </c>
      <c r="D7290" s="1" t="str">
        <f>"06133"</f>
        <v>06133</v>
      </c>
      <c r="E7290" s="1" t="s">
        <v>2557</v>
      </c>
      <c r="F7290" s="1">
        <v>11</v>
      </c>
      <c r="G7290" s="1">
        <v>8</v>
      </c>
      <c r="H7290" s="1">
        <v>3</v>
      </c>
      <c r="I7290" s="1" t="s">
        <v>14674</v>
      </c>
      <c r="K7290" s="1" t="str">
        <f t="shared" si="461"/>
        <v>ㄐ</v>
      </c>
      <c r="L7290" s="1" t="str">
        <f t="shared" si="462"/>
        <v>ㄩ</v>
      </c>
      <c r="M7290" s="1" t="str">
        <f t="shared" si="463"/>
        <v>ㄢ</v>
      </c>
      <c r="P7290" s="1" t="s">
        <v>20</v>
      </c>
      <c r="R7290" s="1" t="s">
        <v>14675</v>
      </c>
      <c r="V7290" s="1" t="s">
        <v>14692</v>
      </c>
      <c r="W7290" s="1" t="s">
        <v>14693</v>
      </c>
      <c r="AR7290" s="1" t="str">
        <f t="shared" si="460"/>
        <v>| [ㄐㄩㄢ](ㄐㄩㄢ.md) | [圈](圈.md) |  | juān | [動]
收管、關住。如：「把雞鴨圈住。」《晉書．卷四六．劉頌傳》：「魏氏承之，圈閉親戚，幽囚子弟，是以神器速傾，天命移在陛下。」 |</v>
      </c>
    </row>
    <row r="7291" spans="1:44" hidden="1">
      <c r="A7291" s="1" t="s">
        <v>14694</v>
      </c>
      <c r="C7291" s="1">
        <v>1</v>
      </c>
      <c r="D7291" s="1" t="str">
        <f>"06134"</f>
        <v>06134</v>
      </c>
      <c r="E7291" s="1" t="s">
        <v>2014</v>
      </c>
      <c r="F7291" s="1">
        <v>11</v>
      </c>
      <c r="G7291" s="1">
        <v>7</v>
      </c>
      <c r="H7291" s="1">
        <v>0</v>
      </c>
      <c r="I7291" s="1" t="s">
        <v>14674</v>
      </c>
      <c r="K7291" s="1" t="str">
        <f t="shared" si="461"/>
        <v>ㄐ</v>
      </c>
      <c r="L7291" s="1" t="str">
        <f t="shared" si="462"/>
        <v>ㄩ</v>
      </c>
      <c r="M7291" s="1" t="str">
        <f t="shared" si="463"/>
        <v>ㄢ</v>
      </c>
      <c r="P7291" s="1" t="s">
        <v>20</v>
      </c>
      <c r="R7291" s="1" t="s">
        <v>14675</v>
      </c>
      <c r="V7291" s="1" t="s">
        <v>14695</v>
      </c>
      <c r="AR7291" s="1" t="str">
        <f t="shared" si="460"/>
        <v>| [ㄐㄩㄢ](ㄐㄩㄢ.md) | [朘](朘.md) |  | juān | [動]
1.縮減。《集韻．平聲．仙韻》：「朘，縮也。」《漢書．卷五六．董仲舒傳》：「民日削月朘，寖以大窮。」《新唐書．卷二一八．沙陀傳》：「文楚朘損用度，下皆怨。」
2.剝削。《新唐書．卷一二七．張嘉貞傳》：「不通大體，朘刻軍賜。」《金史．卷四四．兵志》：「朘民膏血而不足，乃行括糧之法。」 |</v>
      </c>
    </row>
    <row r="7292" spans="1:44" hidden="1">
      <c r="A7292" s="1" t="s">
        <v>14696</v>
      </c>
      <c r="C7292" s="1">
        <v>1</v>
      </c>
      <c r="D7292" s="1" t="str">
        <f>"06135"</f>
        <v>06135</v>
      </c>
      <c r="E7292" s="1" t="s">
        <v>55</v>
      </c>
      <c r="F7292" s="1">
        <v>20</v>
      </c>
      <c r="G7292" s="1">
        <v>12</v>
      </c>
      <c r="H7292" s="1">
        <v>0</v>
      </c>
      <c r="I7292" s="1" t="s">
        <v>14674</v>
      </c>
      <c r="K7292" s="1" t="str">
        <f t="shared" si="461"/>
        <v>ㄐ</v>
      </c>
      <c r="L7292" s="1" t="str">
        <f t="shared" si="462"/>
        <v>ㄩ</v>
      </c>
      <c r="M7292" s="1" t="str">
        <f t="shared" si="463"/>
        <v>ㄢ</v>
      </c>
      <c r="P7292" s="1" t="s">
        <v>20</v>
      </c>
      <c r="R7292" s="1" t="s">
        <v>14675</v>
      </c>
      <c r="V7292" s="1" t="s">
        <v>14697</v>
      </c>
      <c r="AR7292" s="1" t="str">
        <f t="shared" si="460"/>
        <v>| [ㄐㄩㄢ](ㄐㄩㄢ.md) | [鐫](鐫.md) |  | juān | [名]
雕鑿用的器具。《說文解字．金部》「鐫」字．清．段玉裁．注：「謂破木之器曰鐫。」
[動]
1.雕鑿、雕刻。如：「鐫石」。唐．白居易〈新樂府．青石〉：「不願作官家道旁德政碑，不鐫實錄鐫虛辭。」明．徐宏祖《徐霞客遊記．卷一下．遊嵩山日記》：「一山皆劈為崖，滿崖鐫佛其上。」
2.比喻深記、銘記。如：「鐫心之感」。清．洪昇《長生殿》第四六齣：「鎮日家把嬌容心坎鐫。」
3.官吏降級或免職。如：「鐫級」、「鐫黜」。《宋史．卷四七一．姦臣傳一．曾布傳》：「流貶鐫廢，略無虛日。」 |</v>
      </c>
    </row>
    <row r="7293" spans="1:44" hidden="1">
      <c r="A7293" s="1" t="s">
        <v>14698</v>
      </c>
      <c r="C7293" s="1">
        <v>1</v>
      </c>
      <c r="D7293" s="1" t="str">
        <f>"06136"</f>
        <v>06136</v>
      </c>
      <c r="E7293" s="1" t="s">
        <v>679</v>
      </c>
      <c r="F7293" s="1">
        <v>23</v>
      </c>
      <c r="G7293" s="1">
        <v>17</v>
      </c>
      <c r="H7293" s="1">
        <v>0</v>
      </c>
      <c r="I7293" s="1" t="s">
        <v>14674</v>
      </c>
      <c r="K7293" s="1" t="str">
        <f t="shared" si="461"/>
        <v>ㄐ</v>
      </c>
      <c r="L7293" s="1" t="str">
        <f t="shared" si="462"/>
        <v>ㄩ</v>
      </c>
      <c r="M7293" s="1" t="str">
        <f t="shared" si="463"/>
        <v>ㄢ</v>
      </c>
      <c r="P7293" s="1" t="s">
        <v>20</v>
      </c>
      <c r="R7293" s="1" t="s">
        <v>14675</v>
      </c>
      <c r="V7293" s="1" t="s">
        <v>14699</v>
      </c>
      <c r="AR7293" s="1" t="str">
        <f t="shared" si="460"/>
        <v>| [ㄐㄩㄢ](ㄐㄩㄢ.md) | [蠲](蠲.md) |  | juān | [名]
動物名。節肢動物門倍足綱。全身由許多環節構成，多腳，頭生有一對觸鬚。《說文解字．虫部》：「蠲，馬蠲也。」也稱為「馬陸」。
[動]
1.免除。如：「蠲免」、「蠲除」。《紅樓夢》第一四回：「如這些無頭緒，荒亂推託偷閒竊取等弊，次日一概都蠲了。」
2.光耀、顯明。《左傳．襄公十四年》：「惠公蠲其大德。」
3.使清潔。《文選．張衡．思玄賦》：「湯蠲體以禱祈兮，蒙庬褫以拯民。」《晉書．卷五一．皇甫謐傳》：「岐伯剖腹以蠲腸。」 |</v>
      </c>
    </row>
    <row r="7294" spans="1:44" hidden="1">
      <c r="A7294" s="1" t="s">
        <v>14700</v>
      </c>
      <c r="C7294" s="1">
        <v>1</v>
      </c>
      <c r="D7294" s="1" t="str">
        <f>"06137"</f>
        <v>06137</v>
      </c>
      <c r="E7294" s="1" t="s">
        <v>2954</v>
      </c>
      <c r="F7294" s="1">
        <v>8</v>
      </c>
      <c r="G7294" s="1">
        <v>6</v>
      </c>
      <c r="H7294" s="1">
        <v>2</v>
      </c>
      <c r="I7294" s="1" t="s">
        <v>14701</v>
      </c>
      <c r="K7294" s="1" t="str">
        <f t="shared" si="461"/>
        <v>ㄐ</v>
      </c>
      <c r="L7294" s="1" t="str">
        <f t="shared" si="462"/>
        <v>ㄩ</v>
      </c>
      <c r="M7294" s="1" t="str">
        <f t="shared" si="463"/>
        <v>ㄢ</v>
      </c>
      <c r="P7294" s="1" t="s">
        <v>20</v>
      </c>
      <c r="R7294" s="1" t="s">
        <v>14702</v>
      </c>
      <c r="V7294" s="1" t="s">
        <v>14703</v>
      </c>
      <c r="W7294" s="1" t="s">
        <v>14704</v>
      </c>
      <c r="AR7294" s="1" t="str">
        <f t="shared" si="460"/>
        <v>| [ㄐㄩㄢˇ](ㄐㄩㄢˇ.md) | [卷](卷.md) |  | juǎn | [動]
1.把物品彎轉成圓弧或圓筒狀。通「捲」。《詩經．邶風．柏舟》：「我心匪席，不可卷也。」宋．蘇軾〈和郭主簿〉詩二首之二：「良辰非虛名，清和盈我襟；孺子卷書坐，誦詩如鼓琴。」
2.收藏、收拾。通「捲」。《儀禮．公食大夫禮》：「有司卷三牲之俎，歸于賓館。」唐．柳宗元〈梓人傳〉：「則卷其術，默其智，悠爾而去。」唐．杜甫〈聞官軍收河南河北〉詩：「卻看妻子愁何在，漫卷詩書喜欲狂。」
[名]
1.形狀卷曲的東西。如：「花卷」、「麻花卷」、「銀絲卷」。《淮南子．兵略》：「故得道之兵，……鼓不振塵，旗不解卷。」
2.可產生卷曲效果的器物。如：「髮卷」。
3.量詞。計算成卷物品的單位。通「捲」。如：「兩卷底片」、「三卷衛生紙」。《紅樓夢》第一〇五回：「綢緞一百三十卷、紗綾一百八十一卷、羽線縐三十二卷……。」 |</v>
      </c>
    </row>
    <row r="7295" spans="1:44" hidden="1">
      <c r="A7295" s="1" t="s">
        <v>14705</v>
      </c>
      <c r="C7295" s="1">
        <v>1</v>
      </c>
      <c r="D7295" s="1" t="str">
        <f>"06138"</f>
        <v>06138</v>
      </c>
      <c r="E7295" s="1" t="s">
        <v>222</v>
      </c>
      <c r="F7295" s="1">
        <v>9</v>
      </c>
      <c r="G7295" s="1">
        <v>6</v>
      </c>
      <c r="H7295" s="1">
        <v>2</v>
      </c>
      <c r="I7295" s="1" t="s">
        <v>14701</v>
      </c>
      <c r="K7295" s="1" t="str">
        <f t="shared" si="461"/>
        <v>ㄐ</v>
      </c>
      <c r="L7295" s="1" t="str">
        <f t="shared" si="462"/>
        <v>ㄩ</v>
      </c>
      <c r="M7295" s="1" t="str">
        <f t="shared" si="463"/>
        <v>ㄢ</v>
      </c>
      <c r="P7295" s="1" t="s">
        <v>20</v>
      </c>
      <c r="R7295" s="1" t="s">
        <v>14702</v>
      </c>
      <c r="V7295" s="1" t="s">
        <v>14706</v>
      </c>
      <c r="W7295" s="1" t="s">
        <v>14707</v>
      </c>
      <c r="AR7295" s="1" t="str">
        <f t="shared" si="460"/>
        <v>| [ㄐㄩㄢˇ](ㄐㄩㄢˇ.md) | [帣](帣.md) |  | juǎn | [動]
捲起衣袖。《集韻．上聲．獮韻》：「帣，斂衣袖也。」《史記．卷一二六．滑稽傳．淳于髡傳》：「髡帣韝鞠跽，侍酒於前。」唐．司馬貞．索隱：「帣，謂收袖也。」 |</v>
      </c>
    </row>
    <row r="7296" spans="1:44" hidden="1">
      <c r="A7296" s="1" t="s">
        <v>14708</v>
      </c>
      <c r="C7296" s="1">
        <v>1</v>
      </c>
      <c r="D7296" s="1" t="str">
        <f>"06139"</f>
        <v>06139</v>
      </c>
      <c r="E7296" s="1" t="s">
        <v>24</v>
      </c>
      <c r="F7296" s="1">
        <v>11</v>
      </c>
      <c r="G7296" s="1">
        <v>8</v>
      </c>
      <c r="H7296" s="1">
        <v>0</v>
      </c>
      <c r="I7296" s="1" t="s">
        <v>14701</v>
      </c>
      <c r="K7296" s="1" t="str">
        <f t="shared" si="461"/>
        <v>ㄐ</v>
      </c>
      <c r="L7296" s="1" t="str">
        <f t="shared" si="462"/>
        <v>ㄩ</v>
      </c>
      <c r="M7296" s="1" t="str">
        <f t="shared" si="463"/>
        <v>ㄢ</v>
      </c>
      <c r="P7296" s="1" t="s">
        <v>20</v>
      </c>
      <c r="R7296" s="1" t="s">
        <v>14702</v>
      </c>
      <c r="V7296" s="1" t="s">
        <v>14709</v>
      </c>
      <c r="AR7296" s="1" t="str">
        <f t="shared" si="460"/>
        <v>| [ㄐㄩㄢˇ](ㄐㄩㄢˇ.md) | [捲](捲.md) |  | juǎn | [動]
1.把物品彎轉成圓弧或圓筒狀。如：「請把這幅長掛圖捲起來。」五代十國．李煜〈山花子．手捲珠簾上玉鉤〉詞：「手捲珠簾上玉鉤，依前春恨鎖重樓。」
2.把東西掀起、翻轉或包覆起來。唐．岑參〈白雪歌送武判官歸京〉詩：「北風捲地白草折，胡天八月即飛雪。」宋．蘇軾〈念奴轎．大江東去〉詞：「亂石穿空，驚濤拍岸，捲起千堆雪。」
3.挾藏。如：「捲款潛逃」。《紅樓夢》第四回：「他意欲捲了兩家的銀子，再逃往他鄉去。」
4.彎曲。《水滸傳》第一一回：「砍銅剁鐵，刀口不捲。」
[名]
1.彎轉成圓筒狀的東西。如：「菸捲」、「蛋捲」、「鋪蓋捲」。《紅樓夢》第四一回：「揭開看時，每個盒內兩樣：這盒內一樣是藕粉桂糖糕，一樣是松穰鵝油捲。」
2.量詞。計算成卷物品的單位。通「卷」。《老殘遊記》第一七回：「叫把昨兒個的一捲舊鋪蓋取回去。」 |</v>
      </c>
    </row>
    <row r="7297" spans="1:44" hidden="1">
      <c r="A7297" s="1" t="s">
        <v>14700</v>
      </c>
      <c r="C7297" s="1">
        <v>1</v>
      </c>
      <c r="D7297" s="1" t="str">
        <f>"06140"</f>
        <v>06140</v>
      </c>
      <c r="E7297" s="1" t="s">
        <v>2954</v>
      </c>
      <c r="F7297" s="1">
        <v>8</v>
      </c>
      <c r="G7297" s="1">
        <v>6</v>
      </c>
      <c r="H7297" s="1">
        <v>1</v>
      </c>
      <c r="I7297" s="1" t="s">
        <v>14710</v>
      </c>
      <c r="K7297" s="1" t="str">
        <f t="shared" si="461"/>
        <v>ㄐ</v>
      </c>
      <c r="L7297" s="1" t="str">
        <f t="shared" si="462"/>
        <v>ㄩ</v>
      </c>
      <c r="M7297" s="1" t="str">
        <f t="shared" si="463"/>
        <v>ㄢ</v>
      </c>
      <c r="P7297" s="1" t="s">
        <v>20</v>
      </c>
      <c r="R7297" s="1" t="s">
        <v>14711</v>
      </c>
      <c r="V7297" s="1" t="s">
        <v>14712</v>
      </c>
      <c r="W7297" s="1" t="s">
        <v>14713</v>
      </c>
      <c r="AR7297" s="1" t="str">
        <f t="shared" si="460"/>
        <v>| [ㄐㄩㄢˋ](ㄐㄩㄢˋ.md) | [卷](卷.md) |  | juàn | [名]
1.古時書籍寫在絹帛或紙上，捲起來收藏，因此通稱書籍為「卷」。如：「手不釋卷」、「開卷有益」。
2.指書有分卷的每一單獨部分。如：「卷一」、「卷二」、「第一卷」、「第二卷」。
3.可以捲起來的書、畫。如：「經卷」、「手卷」、「畫卷」、「山水長卷」。
4.公私機構的公事文件。如：「卷宗」、「案卷」、「文卷」、「調卷」。
5.考試測驗的題紙。如：「試卷」、「考卷」。
6.量詞。計算字畫書籍的單位。如：「藏書三萬卷。」唐．杜甫〈贈韋左丞丈二十二韻〉：「讀書破萬卷，下筆如有神。」 |</v>
      </c>
    </row>
    <row r="7298" spans="1:44" hidden="1">
      <c r="A7298" s="1" t="s">
        <v>14705</v>
      </c>
      <c r="C7298" s="1">
        <v>1</v>
      </c>
      <c r="D7298" s="1" t="str">
        <f>"06141"</f>
        <v>06141</v>
      </c>
      <c r="E7298" s="1" t="s">
        <v>222</v>
      </c>
      <c r="F7298" s="1">
        <v>9</v>
      </c>
      <c r="G7298" s="1">
        <v>6</v>
      </c>
      <c r="H7298" s="1">
        <v>1</v>
      </c>
      <c r="I7298" s="1" t="s">
        <v>14710</v>
      </c>
      <c r="K7298" s="1" t="str">
        <f t="shared" si="461"/>
        <v>ㄐ</v>
      </c>
      <c r="L7298" s="1" t="str">
        <f t="shared" si="462"/>
        <v>ㄩ</v>
      </c>
      <c r="M7298" s="1" t="str">
        <f t="shared" si="463"/>
        <v>ㄢ</v>
      </c>
      <c r="P7298" s="1" t="s">
        <v>20</v>
      </c>
      <c r="R7298" s="1" t="s">
        <v>14711</v>
      </c>
      <c r="V7298" s="1" t="s">
        <v>14714</v>
      </c>
      <c r="W7298" s="1" t="s">
        <v>14715</v>
      </c>
      <c r="AR7298" s="1" t="str">
        <f t="shared" si="460"/>
        <v>| [ㄐㄩㄢˋ](ㄐㄩㄢˋ.md) | [帣](帣.md) |  | juàn | [名]
1.有底部的囊袋。《集韻．平聲．仙韻》：「囊有底曰帣。」
2.量詞。古代計算容量的單位。三石為一帣。《廣韻．去聲．線韻》：「帣，三石為一帣。」 |</v>
      </c>
    </row>
    <row r="7299" spans="1:44" hidden="1">
      <c r="A7299" s="1" t="s">
        <v>14716</v>
      </c>
      <c r="C7299" s="1">
        <v>1</v>
      </c>
      <c r="D7299" s="1" t="str">
        <f>"06142"</f>
        <v>06142</v>
      </c>
      <c r="E7299" s="1" t="s">
        <v>114</v>
      </c>
      <c r="F7299" s="1">
        <v>10</v>
      </c>
      <c r="G7299" s="1">
        <v>8</v>
      </c>
      <c r="H7299" s="1">
        <v>0</v>
      </c>
      <c r="I7299" s="1" t="s">
        <v>14710</v>
      </c>
      <c r="K7299" s="1" t="str">
        <f t="shared" si="461"/>
        <v>ㄐ</v>
      </c>
      <c r="L7299" s="1" t="str">
        <f t="shared" si="462"/>
        <v>ㄩ</v>
      </c>
      <c r="M7299" s="1" t="str">
        <f t="shared" si="463"/>
        <v>ㄢ</v>
      </c>
      <c r="P7299" s="1" t="s">
        <v>20</v>
      </c>
      <c r="R7299" s="1" t="s">
        <v>14711</v>
      </c>
      <c r="V7299" s="1" t="s">
        <v>14717</v>
      </c>
      <c r="AR7299" s="1" t="str">
        <f t="shared" ref="AR7299:AR7362" si="464">"| ["&amp;I7299&amp;"]("&amp;I7299&amp;".md) | ["&amp;A7299&amp;"]("&amp;A7299&amp;".md) | "&amp;" | "&amp;R7299&amp;" | "&amp;V7299&amp;" |"</f>
        <v>| [ㄐㄩㄢˋ](ㄐㄩㄢˋ.md) | [倦](倦.md) |  | juàn | [形]
疲憊、懈怠。如：「疲倦」、「倦怠」、「孜孜不倦」、「倦鳥歸巢」。宋．蘇軾〈永遇樂．明月如霜〉詞：「天涯倦客，山中歸路，望斷故園心眼。」
[動]
厭惡。《易經．繫辭下》：「通其變，使民不倦。」 |</v>
      </c>
    </row>
    <row r="7300" spans="1:44" hidden="1">
      <c r="A7300" s="1" t="s">
        <v>14718</v>
      </c>
      <c r="C7300" s="1">
        <v>1</v>
      </c>
      <c r="D7300" s="1" t="str">
        <f>"06143"</f>
        <v>06143</v>
      </c>
      <c r="E7300" s="1" t="s">
        <v>1015</v>
      </c>
      <c r="F7300" s="1">
        <v>11</v>
      </c>
      <c r="G7300" s="1">
        <v>6</v>
      </c>
      <c r="H7300" s="1">
        <v>0</v>
      </c>
      <c r="I7300" s="1" t="s">
        <v>14710</v>
      </c>
      <c r="K7300" s="1" t="str">
        <f t="shared" ref="K7300:K7363" si="465">LEFT(I7300, 1)</f>
        <v>ㄐ</v>
      </c>
      <c r="L7300" s="1" t="str">
        <f t="shared" ref="L7300:L7363" si="466">MID(I7300, 2, 1)</f>
        <v>ㄩ</v>
      </c>
      <c r="M7300" s="1" t="str">
        <f t="shared" ref="M7300:M7363" si="467">MID(I7300, 3, 1)</f>
        <v>ㄢ</v>
      </c>
      <c r="P7300" s="1" t="s">
        <v>20</v>
      </c>
      <c r="R7300" s="1" t="s">
        <v>14711</v>
      </c>
      <c r="V7300" s="1" t="s">
        <v>14719</v>
      </c>
      <c r="AR7300" s="1" t="str">
        <f t="shared" si="464"/>
        <v>| [ㄐㄩㄢˋ](ㄐㄩㄢˋ.md) | [眷](眷.md) |  | juàn | [動]
1.回頭看。《說文解字．目部》：「眷，顧也。」清．段玉裁．注：「顧者，還視也；眷者，顧之深也。顧止于側而已，眷則至於反。」《詩經．大雅．皇矣》：「乃眷西顧，此維與宅。」
2.思慕、留戀。如：「眷戀」、「眷念」。《文選．謝靈運．遊赤石進帆海詩》：「仲連輕齊組，子牟眷魏闕。」
3.關心、照顧。《晉書．卷三七．宗室傳．譙剛王遜傳》：「蒙眷累世。」
[名]
1.家屬、親屬。如：「家眷」、「親眷」、「攜家帶眷」。
2.尊稱已婚的婦女。如：「如花美眷」。元．朱德潤〈詠外宅婦〉詩：「問是誰家好宅眷？聘來不識拜姑嫜。」 |</v>
      </c>
    </row>
    <row r="7301" spans="1:44" hidden="1">
      <c r="A7301" s="1" t="s">
        <v>14691</v>
      </c>
      <c r="C7301" s="1">
        <v>1</v>
      </c>
      <c r="D7301" s="1" t="str">
        <f>"06144"</f>
        <v>06144</v>
      </c>
      <c r="E7301" s="1" t="s">
        <v>2557</v>
      </c>
      <c r="F7301" s="1">
        <v>11</v>
      </c>
      <c r="G7301" s="1">
        <v>8</v>
      </c>
      <c r="H7301" s="1">
        <v>4</v>
      </c>
      <c r="I7301" s="1" t="s">
        <v>14710</v>
      </c>
      <c r="K7301" s="1" t="str">
        <f t="shared" si="465"/>
        <v>ㄐ</v>
      </c>
      <c r="L7301" s="1" t="str">
        <f t="shared" si="466"/>
        <v>ㄩ</v>
      </c>
      <c r="M7301" s="1" t="str">
        <f t="shared" si="467"/>
        <v>ㄢ</v>
      </c>
      <c r="P7301" s="1" t="s">
        <v>20</v>
      </c>
      <c r="R7301" s="1" t="s">
        <v>14711</v>
      </c>
      <c r="V7301" s="1" t="s">
        <v>14720</v>
      </c>
      <c r="W7301" s="1" t="s">
        <v>14721</v>
      </c>
      <c r="AR7301" s="1" t="str">
        <f t="shared" si="464"/>
        <v>| [ㄐㄩㄢˋ](ㄐㄩㄢˋ.md) | [圈](圈.md) |  | juàn | [名]
1.飼養獸畜的地方。如：「豬圈」、「牛圈」。《漢書．卷五〇．張釋之傳》：「從行，上登虎圈。」唐．顏師古．注：「圈，養獸之所也。」
2.姓。如漢代有圈稱。 |</v>
      </c>
    </row>
    <row r="7302" spans="1:44" hidden="1">
      <c r="A7302" s="1" t="s">
        <v>14722</v>
      </c>
      <c r="C7302" s="1">
        <v>1</v>
      </c>
      <c r="D7302" s="1" t="str">
        <f>"06145"</f>
        <v>06145</v>
      </c>
      <c r="E7302" s="1" t="s">
        <v>1015</v>
      </c>
      <c r="F7302" s="1">
        <v>13</v>
      </c>
      <c r="G7302" s="1">
        <v>8</v>
      </c>
      <c r="H7302" s="1">
        <v>0</v>
      </c>
      <c r="I7302" s="1" t="s">
        <v>14710</v>
      </c>
      <c r="K7302" s="1" t="str">
        <f t="shared" si="465"/>
        <v>ㄐ</v>
      </c>
      <c r="L7302" s="1" t="str">
        <f t="shared" si="466"/>
        <v>ㄩ</v>
      </c>
      <c r="M7302" s="1" t="str">
        <f t="shared" si="467"/>
        <v>ㄢ</v>
      </c>
      <c r="P7302" s="1" t="s">
        <v>20</v>
      </c>
      <c r="R7302" s="1" t="s">
        <v>14711</v>
      </c>
      <c r="V7302" s="1" t="s">
        <v>14723</v>
      </c>
      <c r="AR7302" s="1" t="str">
        <f t="shared" si="464"/>
        <v>| [ㄐㄩㄢˋ](ㄐㄩㄢˋ.md) | [睠](睠.md) |  | juàn | [動]
1.回頭看。《詩經．小雅．大東》：「睠言顧之，潸焉出涕。」漢．毛亨．傳：「睠，反顧也。」
2.關心、顧念。同「眷」。《史記．卷八四．屈原賈生傳》：「睠顧楚國，繫心懷王。」唐．皇甫枚〈王知古〉：「睠以佳耦。」 |</v>
      </c>
    </row>
    <row r="7303" spans="1:44" hidden="1">
      <c r="A7303" s="1" t="s">
        <v>14680</v>
      </c>
      <c r="C7303" s="1">
        <v>1</v>
      </c>
      <c r="D7303" s="1" t="str">
        <f>"06146"</f>
        <v>06146</v>
      </c>
      <c r="E7303" s="1" t="s">
        <v>250</v>
      </c>
      <c r="F7303" s="1">
        <v>10</v>
      </c>
      <c r="G7303" s="1">
        <v>7</v>
      </c>
      <c r="H7303" s="1">
        <v>1</v>
      </c>
      <c r="I7303" s="1" t="s">
        <v>14710</v>
      </c>
      <c r="K7303" s="1" t="str">
        <f t="shared" si="465"/>
        <v>ㄐ</v>
      </c>
      <c r="L7303" s="1" t="str">
        <f t="shared" si="466"/>
        <v>ㄩ</v>
      </c>
      <c r="M7303" s="1" t="str">
        <f t="shared" si="467"/>
        <v>ㄢ</v>
      </c>
      <c r="P7303" s="1" t="s">
        <v>20</v>
      </c>
      <c r="R7303" s="1" t="s">
        <v>14711</v>
      </c>
      <c r="V7303" s="1" t="s">
        <v>14724</v>
      </c>
      <c r="W7303" s="1" t="s">
        <v>14725</v>
      </c>
      <c r="AR7303" s="1" t="str">
        <f t="shared" si="464"/>
        <v>| [ㄐㄩㄢˋ](ㄐㄩㄢˋ.md) | [悁](悁.md) |  | juàn | [形]
急躁。《集韻．去聲．線韻》：「悁，躁急。」《南史．卷二四．王准之傳》：「然寡風素，情悁急，不為時流所重。」 |</v>
      </c>
    </row>
    <row r="7304" spans="1:44" hidden="1">
      <c r="A7304" s="1" t="s">
        <v>14726</v>
      </c>
      <c r="C7304" s="1">
        <v>1</v>
      </c>
      <c r="D7304" s="1" t="str">
        <f>"06147"</f>
        <v>06147</v>
      </c>
      <c r="E7304" s="1" t="s">
        <v>198</v>
      </c>
      <c r="F7304" s="1">
        <v>10</v>
      </c>
      <c r="G7304" s="1">
        <v>7</v>
      </c>
      <c r="H7304" s="1">
        <v>0</v>
      </c>
      <c r="I7304" s="1" t="s">
        <v>14710</v>
      </c>
      <c r="K7304" s="1" t="str">
        <f t="shared" si="465"/>
        <v>ㄐ</v>
      </c>
      <c r="L7304" s="1" t="str">
        <f t="shared" si="466"/>
        <v>ㄩ</v>
      </c>
      <c r="M7304" s="1" t="str">
        <f t="shared" si="467"/>
        <v>ㄢ</v>
      </c>
      <c r="P7304" s="1" t="s">
        <v>20</v>
      </c>
      <c r="R7304" s="1" t="s">
        <v>14711</v>
      </c>
      <c r="V7304" s="1" t="s">
        <v>14727</v>
      </c>
      <c r="AR7304" s="1" t="str">
        <f t="shared" si="464"/>
        <v>| [ㄐㄩㄢˋ](ㄐㄩㄢˋ.md) | [狷](狷.md) |  | juàn | [形]
1.急躁。《廣韻．去聲．霰韻》：「狷，急也。」如：「狷急」。《漢書．卷七七．劉輔傳》：「廣開忠直之路，不罪狂狷之言。」
2.清高、正直不阿。《論語．子路》：「狷者有所不為。」宋．蘇軾〈賈誼論〉：「則知其有狷介之操，一不見用，則憂傷病沮。」 |</v>
      </c>
    </row>
    <row r="7305" spans="1:44" hidden="1">
      <c r="A7305" s="1" t="s">
        <v>14728</v>
      </c>
      <c r="C7305" s="1">
        <v>1</v>
      </c>
      <c r="D7305" s="1" t="str">
        <f>"06148"</f>
        <v>06148</v>
      </c>
      <c r="E7305" s="1" t="s">
        <v>1015</v>
      </c>
      <c r="F7305" s="1">
        <v>12</v>
      </c>
      <c r="G7305" s="1">
        <v>7</v>
      </c>
      <c r="H7305" s="1">
        <v>0</v>
      </c>
      <c r="I7305" s="1" t="s">
        <v>14710</v>
      </c>
      <c r="K7305" s="1" t="str">
        <f t="shared" si="465"/>
        <v>ㄐ</v>
      </c>
      <c r="L7305" s="1" t="str">
        <f t="shared" si="466"/>
        <v>ㄩ</v>
      </c>
      <c r="M7305" s="1" t="str">
        <f t="shared" si="467"/>
        <v>ㄢ</v>
      </c>
      <c r="P7305" s="1" t="s">
        <v>20</v>
      </c>
      <c r="R7305" s="1" t="s">
        <v>14711</v>
      </c>
      <c r="V7305" s="1" t="s">
        <v>14729</v>
      </c>
      <c r="AR7305" s="1" t="str">
        <f t="shared" si="464"/>
        <v>| [ㄐㄩㄢˋ](ㄐㄩㄢˋ.md) | [睊](睊.md) |  | juàn | 參見「睊睊」條。 |</v>
      </c>
    </row>
    <row r="7306" spans="1:44" hidden="1">
      <c r="A7306" s="1" t="s">
        <v>14730</v>
      </c>
      <c r="C7306" s="1">
        <v>1</v>
      </c>
      <c r="D7306" s="1" t="str">
        <f>"06149"</f>
        <v>06149</v>
      </c>
      <c r="E7306" s="1" t="s">
        <v>118</v>
      </c>
      <c r="F7306" s="1">
        <v>12</v>
      </c>
      <c r="G7306" s="1">
        <v>7</v>
      </c>
      <c r="H7306" s="1">
        <v>0</v>
      </c>
      <c r="I7306" s="1" t="s">
        <v>14710</v>
      </c>
      <c r="K7306" s="1" t="str">
        <f t="shared" si="465"/>
        <v>ㄐ</v>
      </c>
      <c r="L7306" s="1" t="str">
        <f t="shared" si="466"/>
        <v>ㄩ</v>
      </c>
      <c r="M7306" s="1" t="str">
        <f t="shared" si="467"/>
        <v>ㄢ</v>
      </c>
      <c r="P7306" s="1" t="s">
        <v>20</v>
      </c>
      <c r="R7306" s="1" t="s">
        <v>14711</v>
      </c>
      <c r="V7306" s="1" t="s">
        <v>14731</v>
      </c>
      <c r="AR7306" s="1" t="str">
        <f t="shared" si="464"/>
        <v>| [ㄐㄩㄢˋ](ㄐㄩㄢˋ.md) | [罥](罥.md) |  | juàn | [名]
捕捉鳥獸的網。明．徐渭〈啟諸南明侍郎〉：「辟如雉兔觸罥於籠牢，盼盼焉不知伏處而待命。」
[動]
懸掛、糾結。《文選．鮑照．蕪城賦》：「澤葵依井，荒葛罥塗。」唐．杜甫〈茅屋為秋風所破歌〉：「茅飛渡江灑江郊，高者掛罥長林梢。」 |</v>
      </c>
    </row>
    <row r="7307" spans="1:44" hidden="1">
      <c r="A7307" s="1" t="s">
        <v>14732</v>
      </c>
      <c r="C7307" s="1">
        <v>1</v>
      </c>
      <c r="D7307" s="1" t="str">
        <f>"06150"</f>
        <v>06150</v>
      </c>
      <c r="E7307" s="1" t="s">
        <v>725</v>
      </c>
      <c r="F7307" s="1">
        <v>13</v>
      </c>
      <c r="G7307" s="1">
        <v>7</v>
      </c>
      <c r="H7307" s="1">
        <v>0</v>
      </c>
      <c r="I7307" s="1" t="s">
        <v>14710</v>
      </c>
      <c r="K7307" s="1" t="str">
        <f t="shared" si="465"/>
        <v>ㄐ</v>
      </c>
      <c r="L7307" s="1" t="str">
        <f t="shared" si="466"/>
        <v>ㄩ</v>
      </c>
      <c r="M7307" s="1" t="str">
        <f t="shared" si="467"/>
        <v>ㄢ</v>
      </c>
      <c r="P7307" s="1" t="s">
        <v>20</v>
      </c>
      <c r="R7307" s="1" t="s">
        <v>14711</v>
      </c>
      <c r="V7307" s="1" t="s">
        <v>14733</v>
      </c>
      <c r="AR7307" s="1" t="str">
        <f t="shared" si="464"/>
        <v>| [ㄐㄩㄢˋ](ㄐㄩㄢˋ.md) | [絹](絹.md) |  | juàn | [名]
1.質薄而堅韌的生絲織品。《玉篇．糸部》：「絹，生繒也。」唐．白居易〈秦中吟．重賦〉：「織絹未成匹，繰絲未盈斤。」宋．戴復古〈織婦歎〉：「春蠶成絲復成絹，養得夏蠶重剝繭。」
2.方形小巾。如：「手絹」。
[動]
懸綁、縛繫。通「罥」。《後漢書．卷六〇．馬融傳》：「絹猑蹄，鏦特肩。」唐．章懷太子．注：「絹，繫也，與罥通。」 |</v>
      </c>
    </row>
    <row r="7308" spans="1:44" hidden="1">
      <c r="A7308" s="1" t="s">
        <v>14734</v>
      </c>
      <c r="C7308" s="1">
        <v>1</v>
      </c>
      <c r="D7308" s="1" t="str">
        <f>"06151"</f>
        <v>06151</v>
      </c>
      <c r="E7308" s="1" t="s">
        <v>256</v>
      </c>
      <c r="F7308" s="1">
        <v>12</v>
      </c>
      <c r="G7308" s="1">
        <v>9</v>
      </c>
      <c r="H7308" s="1">
        <v>0</v>
      </c>
      <c r="I7308" s="1" t="s">
        <v>14710</v>
      </c>
      <c r="K7308" s="1" t="str">
        <f t="shared" si="465"/>
        <v>ㄐ</v>
      </c>
      <c r="L7308" s="1" t="str">
        <f t="shared" si="466"/>
        <v>ㄩ</v>
      </c>
      <c r="M7308" s="1" t="str">
        <f t="shared" si="467"/>
        <v>ㄢ</v>
      </c>
      <c r="P7308" s="1" t="s">
        <v>20</v>
      </c>
      <c r="R7308" s="1" t="s">
        <v>14711</v>
      </c>
      <c r="V7308" s="1" t="s">
        <v>14735</v>
      </c>
      <c r="AR7308" s="1" t="str">
        <f t="shared" si="464"/>
        <v>| [ㄐㄩㄢˋ](ㄐㄩㄢˋ.md) | [鄄](鄄.md) |  | juàn | 參見「鄄城」條。 |</v>
      </c>
    </row>
    <row r="7309" spans="1:44" hidden="1">
      <c r="A7309" s="1" t="s">
        <v>14736</v>
      </c>
      <c r="C7309" s="1">
        <v>1</v>
      </c>
      <c r="D7309" s="1" t="str">
        <f>"06152"</f>
        <v>06152</v>
      </c>
      <c r="E7309" s="1" t="s">
        <v>5383</v>
      </c>
      <c r="F7309" s="1">
        <v>12</v>
      </c>
      <c r="G7309" s="1">
        <v>4</v>
      </c>
      <c r="H7309" s="1">
        <v>1</v>
      </c>
      <c r="I7309" s="1" t="s">
        <v>14710</v>
      </c>
      <c r="K7309" s="1" t="str">
        <f t="shared" si="465"/>
        <v>ㄐ</v>
      </c>
      <c r="L7309" s="1" t="str">
        <f t="shared" si="466"/>
        <v>ㄩ</v>
      </c>
      <c r="M7309" s="1" t="str">
        <f t="shared" si="467"/>
        <v>ㄢ</v>
      </c>
      <c r="P7309" s="1" t="s">
        <v>20</v>
      </c>
      <c r="R7309" s="1" t="s">
        <v>14711</v>
      </c>
      <c r="V7309" s="1" t="s">
        <v>14737</v>
      </c>
      <c r="W7309" s="1" t="s">
        <v>14738</v>
      </c>
      <c r="AR7309" s="1" t="str">
        <f t="shared" si="464"/>
        <v>| [ㄐㄩㄢˋ](ㄐㄩㄢˋ.md) | [雋](雋.md) |  | juàn | [形]
言論或文句意味深長。如：「雋永」、「雋句」、「雋語」。
[名]
姓。如漢代有雋不疑。 |</v>
      </c>
    </row>
    <row r="7310" spans="1:44" hidden="1">
      <c r="A7310" s="1" t="s">
        <v>14739</v>
      </c>
      <c r="C7310" s="1">
        <v>1</v>
      </c>
      <c r="D7310" s="1" t="str">
        <f>"06153"</f>
        <v>06153</v>
      </c>
      <c r="E7310" s="1" t="s">
        <v>139</v>
      </c>
      <c r="F7310" s="1">
        <v>13</v>
      </c>
      <c r="G7310" s="1">
        <v>9</v>
      </c>
      <c r="H7310" s="1">
        <v>0</v>
      </c>
      <c r="I7310" s="1" t="s">
        <v>14710</v>
      </c>
      <c r="K7310" s="1" t="str">
        <f t="shared" si="465"/>
        <v>ㄐ</v>
      </c>
      <c r="L7310" s="1" t="str">
        <f t="shared" si="466"/>
        <v>ㄩ</v>
      </c>
      <c r="M7310" s="1" t="str">
        <f t="shared" si="467"/>
        <v>ㄢ</v>
      </c>
      <c r="P7310" s="1" t="s">
        <v>20</v>
      </c>
      <c r="R7310" s="1" t="s">
        <v>14711</v>
      </c>
      <c r="V7310" s="1" t="s">
        <v>14740</v>
      </c>
      <c r="AR7310" s="1" t="str">
        <f t="shared" si="464"/>
        <v>| [ㄐㄩㄢˋ](ㄐㄩㄢˋ.md) | [楗](楗.md) |  | juàn | [形]
馬疲累跛行的樣子。通「蹇」。《周禮．冬官考工記．輈人》：「終日馳騁，左不楗。」 |</v>
      </c>
    </row>
    <row r="7311" spans="1:44" hidden="1">
      <c r="A7311" s="1" t="s">
        <v>14029</v>
      </c>
      <c r="C7311" s="1">
        <v>1</v>
      </c>
      <c r="D7311" s="1" t="str">
        <f>"05832"</f>
        <v>05832</v>
      </c>
      <c r="E7311" s="1" t="s">
        <v>222</v>
      </c>
      <c r="F7311" s="1">
        <v>3</v>
      </c>
      <c r="G7311" s="1">
        <v>0</v>
      </c>
      <c r="H7311" s="1">
        <v>0</v>
      </c>
      <c r="I7311" s="1" t="s">
        <v>14030</v>
      </c>
      <c r="K7311" s="1" t="str">
        <f t="shared" si="465"/>
        <v>ㄐ</v>
      </c>
      <c r="L7311" s="1" t="str">
        <f t="shared" si="466"/>
        <v>ㄧ</v>
      </c>
      <c r="M7311" s="1" t="str">
        <f t="shared" si="467"/>
        <v>ㄣ</v>
      </c>
      <c r="P7311" s="1" t="s">
        <v>20</v>
      </c>
      <c r="R7311" s="1" t="s">
        <v>14031</v>
      </c>
      <c r="V7311" s="1" t="s">
        <v>14032</v>
      </c>
      <c r="AR7311" s="1" t="str">
        <f t="shared" si="464"/>
        <v>| [ㄐㄧㄣ](ㄐㄧㄣ.md) | [巾](巾.md) |  | jīn | [名]
1.擦洗用的布。如：「毛巾」、「手巾」、「浴巾」。唐．杜甫〈憶昔行〉：「巾拂香餘搗藥塵，階除灰死燒丹火。」
2.覆蓋或纏繞用的布。如：「頭巾」、「領巾」、「圍巾」。
3.二一四部首之一。 |</v>
      </c>
    </row>
    <row r="7312" spans="1:44" hidden="1">
      <c r="A7312" s="1" t="s">
        <v>14033</v>
      </c>
      <c r="C7312" s="1">
        <v>1</v>
      </c>
      <c r="D7312" s="1" t="str">
        <f>"05833"</f>
        <v>05833</v>
      </c>
      <c r="E7312" s="1" t="s">
        <v>114</v>
      </c>
      <c r="F7312" s="1">
        <v>4</v>
      </c>
      <c r="G7312" s="1">
        <v>2</v>
      </c>
      <c r="H7312" s="1">
        <v>0</v>
      </c>
      <c r="I7312" s="1" t="s">
        <v>14030</v>
      </c>
      <c r="K7312" s="1" t="str">
        <f t="shared" si="465"/>
        <v>ㄐ</v>
      </c>
      <c r="L7312" s="1" t="str">
        <f t="shared" si="466"/>
        <v>ㄧ</v>
      </c>
      <c r="M7312" s="1" t="str">
        <f t="shared" si="467"/>
        <v>ㄣ</v>
      </c>
      <c r="P7312" s="1" t="s">
        <v>20</v>
      </c>
      <c r="R7312" s="1" t="s">
        <v>14031</v>
      </c>
      <c r="V7312" s="1" t="s">
        <v>14034</v>
      </c>
      <c r="AR7312" s="1" t="str">
        <f t="shared" si="464"/>
        <v>| [ㄐㄧㄣ](ㄐㄧㄣ.md) | [今](今.md) |  | jīn | [名]
1.現代。與「古」相對。如：「古今」、「今非昔比」。
2.姓。如明代有今穎伯。
[形]
現在的、當前的。如：「今天」、「今年」。 |</v>
      </c>
    </row>
    <row r="7313" spans="1:44" hidden="1">
      <c r="A7313" s="1" t="s">
        <v>10499</v>
      </c>
      <c r="C7313" s="1">
        <v>1</v>
      </c>
      <c r="D7313" s="1" t="str">
        <f>"05834"</f>
        <v>05834</v>
      </c>
      <c r="E7313" s="1" t="s">
        <v>2930</v>
      </c>
      <c r="F7313" s="1">
        <v>9</v>
      </c>
      <c r="G7313" s="1">
        <v>4</v>
      </c>
      <c r="H7313" s="1">
        <v>1</v>
      </c>
      <c r="I7313" s="1" t="s">
        <v>14030</v>
      </c>
      <c r="K7313" s="1" t="str">
        <f t="shared" si="465"/>
        <v>ㄐ</v>
      </c>
      <c r="L7313" s="1" t="str">
        <f t="shared" si="466"/>
        <v>ㄧ</v>
      </c>
      <c r="M7313" s="1" t="str">
        <f t="shared" si="467"/>
        <v>ㄣ</v>
      </c>
      <c r="P7313" s="1" t="s">
        <v>20</v>
      </c>
      <c r="R7313" s="1" t="s">
        <v>14031</v>
      </c>
      <c r="V7313" s="1" t="s">
        <v>14035</v>
      </c>
      <c r="W7313" s="1" t="s">
        <v>14036</v>
      </c>
      <c r="AR7313" s="1" t="str">
        <f t="shared" si="464"/>
        <v>| [ㄐㄧㄣ](ㄐㄧㄣ.md) | [矜](矜.md) |  | jīn | [動]
1.憐惜、憐憫。如：「哀矜」。《書經．泰誓上》：「天矜于民，民之所欲，天必從之。」《論語．子張》：「君子尊賢而容眾，嘉善而矜不能。」
2.敬慎。《書經．旅獒》：「不矜細行，終累大德。」
3.敬重、推崇。《漢書．卷四八．賈誼傳》：「嬰以廉恥，故人矜節行。」
4.自誇、自負。如：「自矜」。《史記．卷一二四．游俠傳》：「既已存亡死生矣，而不矜其能，羞伐其德。」
[形]
1.莊重自持。如：「矜持」。《論語．衛靈公》：「君子矜而不爭，群而不黨。」
2.驕傲自大。如：「驕矜」。唐．韓愈〈與汝州盧郎中論薦侯喜狀〉：「辭氣激場，面有矜色。」
[名]
禍亂。《詩經．小雅．菀柳》：「曷以靖之，居以凶矜。」 |</v>
      </c>
    </row>
    <row r="7314" spans="1:44" hidden="1">
      <c r="A7314" s="1" t="s">
        <v>14037</v>
      </c>
      <c r="C7314" s="1">
        <v>1</v>
      </c>
      <c r="D7314" s="1" t="str">
        <f>"05835"</f>
        <v>05835</v>
      </c>
      <c r="E7314" s="1" t="s">
        <v>340</v>
      </c>
      <c r="F7314" s="1">
        <v>10</v>
      </c>
      <c r="G7314" s="1">
        <v>4</v>
      </c>
      <c r="H7314" s="1">
        <v>0</v>
      </c>
      <c r="I7314" s="1" t="s">
        <v>14030</v>
      </c>
      <c r="K7314" s="1" t="str">
        <f t="shared" si="465"/>
        <v>ㄐ</v>
      </c>
      <c r="L7314" s="1" t="str">
        <f t="shared" si="466"/>
        <v>ㄧ</v>
      </c>
      <c r="M7314" s="1" t="str">
        <f t="shared" si="467"/>
        <v>ㄣ</v>
      </c>
      <c r="P7314" s="1" t="s">
        <v>20</v>
      </c>
      <c r="R7314" s="1" t="s">
        <v>14031</v>
      </c>
      <c r="V7314" s="1" t="s">
        <v>14038</v>
      </c>
      <c r="AR7314" s="1" t="str">
        <f t="shared" si="464"/>
        <v>| [ㄐㄧㄣ](ㄐㄧㄣ.md) | [衿](衿.md) |  | jīn | [名]
1.衣服前面有鈕扣開合的部分。如：「對衿」。也作「襟」。
2.衣領。《詩經．鄭風．子衿》：「青青子衿，悠悠我心。」 |</v>
      </c>
    </row>
    <row r="7315" spans="1:44" hidden="1">
      <c r="A7315" s="1" t="s">
        <v>14039</v>
      </c>
      <c r="C7315" s="1">
        <v>1</v>
      </c>
      <c r="D7315" s="1" t="str">
        <f>"05836"</f>
        <v>05836</v>
      </c>
      <c r="E7315" s="1" t="s">
        <v>725</v>
      </c>
      <c r="F7315" s="1">
        <v>10</v>
      </c>
      <c r="G7315" s="1">
        <v>4</v>
      </c>
      <c r="H7315" s="1">
        <v>0</v>
      </c>
      <c r="I7315" s="1" t="s">
        <v>14030</v>
      </c>
      <c r="K7315" s="1" t="str">
        <f t="shared" si="465"/>
        <v>ㄐ</v>
      </c>
      <c r="L7315" s="1" t="str">
        <f t="shared" si="466"/>
        <v>ㄧ</v>
      </c>
      <c r="M7315" s="1" t="str">
        <f t="shared" si="467"/>
        <v>ㄣ</v>
      </c>
      <c r="P7315" s="1" t="s">
        <v>20</v>
      </c>
      <c r="R7315" s="1" t="s">
        <v>14031</v>
      </c>
      <c r="V7315" s="1" t="s">
        <v>14040</v>
      </c>
      <c r="AR7315" s="1" t="str">
        <f t="shared" si="464"/>
        <v>| [ㄐㄧㄣ](ㄐㄧㄣ.md) | [紟](紟.md) |  | jīn | [名]
1.連繫衣襟的帶子。《說文解字．糸部》「紟」字．清．段玉裁．注：「聯合衣襟之帶也。今人用銅紐非古也，凡結帶皆曰紟。」
2.單被。《集韻．去聲．沁韻》：「紟，單被。」《禮記．喪服大記》：「紟五幅，無紞。」唐．孔穎達．正義：「紟，舉尸之襌被也。」 |</v>
      </c>
    </row>
    <row r="7316" spans="1:44" hidden="1">
      <c r="A7316" s="1" t="s">
        <v>14041</v>
      </c>
      <c r="C7316" s="1">
        <v>1</v>
      </c>
      <c r="D7316" s="1" t="str">
        <f>"05837"</f>
        <v>05837</v>
      </c>
      <c r="E7316" s="1" t="s">
        <v>4517</v>
      </c>
      <c r="F7316" s="1">
        <v>4</v>
      </c>
      <c r="G7316" s="1">
        <v>0</v>
      </c>
      <c r="H7316" s="1">
        <v>0</v>
      </c>
      <c r="I7316" s="1" t="s">
        <v>14030</v>
      </c>
      <c r="K7316" s="1" t="str">
        <f t="shared" si="465"/>
        <v>ㄐ</v>
      </c>
      <c r="L7316" s="1" t="str">
        <f t="shared" si="466"/>
        <v>ㄧ</v>
      </c>
      <c r="M7316" s="1" t="str">
        <f t="shared" si="467"/>
        <v>ㄣ</v>
      </c>
      <c r="P7316" s="1" t="s">
        <v>20</v>
      </c>
      <c r="R7316" s="1" t="s">
        <v>14031</v>
      </c>
      <c r="V7316" s="1" t="s">
        <v>14042</v>
      </c>
      <c r="AR7316" s="1" t="str">
        <f t="shared" si="464"/>
        <v>| [ㄐㄧㄣ](ㄐㄧㄣ.md) | [斤](斤.md) |  | jīn | [名]
1.一種砍樹用的器具。《孟子．梁惠王上》：「斧斤以時入山林，材木不可勝用也。」
2.量詞。表示質量的單位。在臺灣地區常作為臺斤的簡稱。在不同的計量系統中代表不同的質量：一公斤等於一千克；一臺斤等於六百克；一市斤等於五百克。
3.二一四部首之一。 |</v>
      </c>
    </row>
    <row r="7317" spans="1:44" hidden="1">
      <c r="A7317" s="1" t="s">
        <v>14043</v>
      </c>
      <c r="C7317" s="1">
        <v>1</v>
      </c>
      <c r="D7317" s="1" t="str">
        <f>"05838"</f>
        <v>05838</v>
      </c>
      <c r="E7317" s="1" t="s">
        <v>55</v>
      </c>
      <c r="F7317" s="1">
        <v>8</v>
      </c>
      <c r="G7317" s="1">
        <v>0</v>
      </c>
      <c r="H7317" s="1">
        <v>0</v>
      </c>
      <c r="I7317" s="1" t="s">
        <v>14030</v>
      </c>
      <c r="K7317" s="1" t="str">
        <f t="shared" si="465"/>
        <v>ㄐ</v>
      </c>
      <c r="L7317" s="1" t="str">
        <f t="shared" si="466"/>
        <v>ㄧ</v>
      </c>
      <c r="M7317" s="1" t="str">
        <f t="shared" si="467"/>
        <v>ㄣ</v>
      </c>
      <c r="P7317" s="1" t="s">
        <v>20</v>
      </c>
      <c r="R7317" s="1" t="s">
        <v>14031</v>
      </c>
      <c r="V7317" s="1" t="s">
        <v>14044</v>
      </c>
      <c r="AR7317" s="1" t="str">
        <f t="shared" si="464"/>
        <v>| [ㄐㄧㄣ](ㄐㄧㄣ.md) | [金](金.md) |  | jīn | [名]
1.（gold，Au）化學元素。原子序79。金屬元素之一，質地柔軟，延展性極大，可與銀、銅等合金製成貨幣、裝飾品、筆尖等。由於色澤黃澄，俗稱為「黃金」。
2.金屬的總稱。如：「五金」、「合金」。
3.刀劍之類的武器。《淮南子．說山》：「砥石不利而可以利金。」
4.古代八音之一。指鉦、鐘一類的金屬打擊樂器。《宋書．卷一九．樂志一》：「樂器凡八音：曰金，曰石，曰土，曰革，曰絲，曰木，曰匏，曰竹。」
5.五行之一。參見「五行」條。
6.金星的簡稱。
7.錢。如：「金額」、「你身上有多少現金？」
8.朝代名。參見「金朝」條。
9.姓。如元代有金履祥，明代有金聖歎。
10. 二一四部首之一。
[形]
1.堅固。《韓非子．用人》：「不謹蕭牆之患，而固金城於遠境。」《漢書．卷四五．蒯通傳》：「皆為金城湯池，不可攻也。」
2.珍貴。如：「金玉良言」。《文選．揚雄．劇秦美新》：「懿律嘉量，金科玉條。」《紅樓夢》第一五回：「奶奶也要保重金體才是。」
3.顏色澄黃。唐．孟郊〈送淡公〉詩一二首之九：「橙橘金蓋檻，竹蕉綠凝禪。」唐．薛濤〈九日遇雨〉詩二首之二：「茱萸秋節佳期阻，金菊寒花滿院香。」 |</v>
      </c>
    </row>
    <row r="7318" spans="1:44" hidden="1">
      <c r="A7318" s="1" t="s">
        <v>14045</v>
      </c>
      <c r="C7318" s="1">
        <v>1</v>
      </c>
      <c r="D7318" s="1" t="str">
        <f>"05839"</f>
        <v>05839</v>
      </c>
      <c r="E7318" s="1" t="s">
        <v>129</v>
      </c>
      <c r="F7318" s="1">
        <v>9</v>
      </c>
      <c r="G7318" s="1">
        <v>6</v>
      </c>
      <c r="H7318" s="1">
        <v>0</v>
      </c>
      <c r="I7318" s="1" t="s">
        <v>14030</v>
      </c>
      <c r="K7318" s="1" t="str">
        <f t="shared" si="465"/>
        <v>ㄐ</v>
      </c>
      <c r="L7318" s="1" t="str">
        <f t="shared" si="466"/>
        <v>ㄧ</v>
      </c>
      <c r="M7318" s="1" t="str">
        <f t="shared" si="467"/>
        <v>ㄣ</v>
      </c>
      <c r="P7318" s="1" t="s">
        <v>20</v>
      </c>
      <c r="R7318" s="1" t="s">
        <v>14031</v>
      </c>
      <c r="V7318" s="1" t="s">
        <v>14046</v>
      </c>
      <c r="AR7318" s="1" t="str">
        <f t="shared" si="464"/>
        <v>| [ㄐㄧㄣ](ㄐㄧㄣ.md) | [津](津.md) |  | jīn | [名]
1.渡口。《論語．微子》：「使子路問津焉。」唐．王昌齡〈沙苑南渡頭〉詩：「津人空守纜，村館復臨川。」
2.交通要道。《宋書．卷一．武帝紀上》：「時議者謂宜分兵守諸津要。」元．李直夫《虎頭牌》第一折：「則今日過關津，度州郡，沒揣的逢他敵人。」
3.水、汁液。南朝梁．沈約〈新安江至清淺深見底貽京邑遊好詩〉：「滄浪有時濁，清濟涸無津。」唐．王勃〈九成宮東臺山池賦〉：「露菊傾津，嗣南商之逸興。」
4.口水。如：「生津止渴」。
5.大陸地區天津市的簡稱。如：「津浦鐵路」。
[動]
滋潤。《西京雜記》卷五：「太平之世，則風不鳴條，開甲散萌而已；雨不破塊，潤葉津莖而已。」 |</v>
      </c>
    </row>
    <row r="7319" spans="1:44" hidden="1">
      <c r="A7319" s="1" t="s">
        <v>14047</v>
      </c>
      <c r="C7319" s="1">
        <v>1</v>
      </c>
      <c r="D7319" s="1" t="str">
        <f>"05840"</f>
        <v>05840</v>
      </c>
      <c r="E7319" s="1" t="s">
        <v>1117</v>
      </c>
      <c r="F7319" s="1">
        <v>9</v>
      </c>
      <c r="G7319" s="1">
        <v>2</v>
      </c>
      <c r="H7319" s="1">
        <v>0</v>
      </c>
      <c r="I7319" s="1" t="s">
        <v>14030</v>
      </c>
      <c r="K7319" s="1" t="str">
        <f t="shared" si="465"/>
        <v>ㄐ</v>
      </c>
      <c r="L7319" s="1" t="str">
        <f t="shared" si="466"/>
        <v>ㄧ</v>
      </c>
      <c r="M7319" s="1" t="str">
        <f t="shared" si="467"/>
        <v>ㄣ</v>
      </c>
      <c r="P7319" s="1" t="s">
        <v>20</v>
      </c>
      <c r="R7319" s="1" t="s">
        <v>14031</v>
      </c>
      <c r="V7319" s="1" t="s">
        <v>14048</v>
      </c>
      <c r="AR7319" s="1" t="str">
        <f t="shared" si="464"/>
        <v>| [ㄐㄧㄣ](ㄐㄧㄣ.md) | [觔](觔.md) |  | jīn | [名]
1.肌腱，韌帶。通「筋」。漢．王充《論衡．書虛》：「舉鼎用力，力由觔脈；觔脈不堪，絕傷而死，道理宜也。」元．蕭德祥《殺狗勸夫》第四折：「俺如今剔下了這骨和觔，割掉了這肉共脂。」
2.量詞。古代計算重量的單位。通「斤」。《淮南子．天文》：「天有四時以成一歲，因而四之，四四十六，故十六兩而為一觔。」《聊齋志異．卷六．大人》：「於石室中出銅鎚，重三四百觔，出門遂逝。」 |</v>
      </c>
    </row>
    <row r="7320" spans="1:44" hidden="1">
      <c r="A7320" s="1" t="s">
        <v>14049</v>
      </c>
      <c r="C7320" s="1">
        <v>1</v>
      </c>
      <c r="D7320" s="1" t="str">
        <f>"05841"</f>
        <v>05841</v>
      </c>
      <c r="E7320" s="1" t="s">
        <v>49</v>
      </c>
      <c r="F7320" s="1">
        <v>12</v>
      </c>
      <c r="G7320" s="1">
        <v>6</v>
      </c>
      <c r="H7320" s="1">
        <v>0</v>
      </c>
      <c r="I7320" s="1" t="s">
        <v>14030</v>
      </c>
      <c r="K7320" s="1" t="str">
        <f t="shared" si="465"/>
        <v>ㄐ</v>
      </c>
      <c r="L7320" s="1" t="str">
        <f t="shared" si="466"/>
        <v>ㄧ</v>
      </c>
      <c r="M7320" s="1" t="str">
        <f t="shared" si="467"/>
        <v>ㄣ</v>
      </c>
      <c r="P7320" s="1" t="s">
        <v>20</v>
      </c>
      <c r="R7320" s="1" t="s">
        <v>14031</v>
      </c>
      <c r="V7320" s="1" t="s">
        <v>14050</v>
      </c>
      <c r="AR7320" s="1" t="str">
        <f t="shared" si="464"/>
        <v>| [ㄐㄧㄣ](ㄐㄧㄣ.md) | [筋](筋.md) |  | jīn | [名]
1.韌帶。如：「牛蹄筋」。《新唐書．卷四八．百官志三》：「諸州市牛皮角以供用，牧畜角筋腦革悉輸焉。」
2.肌肉。《文選．王襃．聖主得賢臣頌》：「故工人之用鈍器也，勞筋苦骨，終日矻矻。」《新唐書．卷二一七．回鶻傳下》：「產良馬，首似橐它，筋骼壯大，日中馳數百里。」
3.靜脈管。如：「青筋暴露」。《管子．水地》：「水者地之血氣，如筋脈之通流者也。」
4.具彈性、可伸縮、或形狀圓長堅韌的物體。如：「橡皮筋」、「鋼筋」。 |</v>
      </c>
    </row>
    <row r="7321" spans="1:44" hidden="1">
      <c r="A7321" s="1" t="s">
        <v>14051</v>
      </c>
      <c r="C7321" s="1">
        <v>1</v>
      </c>
      <c r="D7321" s="1" t="str">
        <f>"05842"</f>
        <v>05842</v>
      </c>
      <c r="E7321" s="1" t="s">
        <v>129</v>
      </c>
      <c r="F7321" s="1">
        <v>10</v>
      </c>
      <c r="G7321" s="1">
        <v>7</v>
      </c>
      <c r="H7321" s="1">
        <v>2</v>
      </c>
      <c r="I7321" s="1" t="s">
        <v>14030</v>
      </c>
      <c r="K7321" s="1" t="str">
        <f t="shared" si="465"/>
        <v>ㄐ</v>
      </c>
      <c r="L7321" s="1" t="str">
        <f t="shared" si="466"/>
        <v>ㄧ</v>
      </c>
      <c r="M7321" s="1" t="str">
        <f t="shared" si="467"/>
        <v>ㄣ</v>
      </c>
      <c r="P7321" s="1" t="s">
        <v>110</v>
      </c>
      <c r="R7321" s="1" t="s">
        <v>14031</v>
      </c>
      <c r="V7321" s="1" t="s">
        <v>111</v>
      </c>
      <c r="W7321" s="1" t="s">
        <v>14052</v>
      </c>
      <c r="AR7321" s="1" t="str">
        <f t="shared" si="464"/>
        <v>| [ㄐㄧㄣ](ㄐㄧㄣ.md) | [浸](浸.md) |  | jīn | (一)之又音。 |</v>
      </c>
    </row>
    <row r="7322" spans="1:44" hidden="1">
      <c r="A7322" s="1" t="s">
        <v>14053</v>
      </c>
      <c r="C7322" s="1">
        <v>1</v>
      </c>
      <c r="D7322" s="1" t="str">
        <f>"05843"</f>
        <v>05843</v>
      </c>
      <c r="E7322" s="1" t="s">
        <v>825</v>
      </c>
      <c r="F7322" s="1">
        <v>12</v>
      </c>
      <c r="G7322" s="1">
        <v>7</v>
      </c>
      <c r="H7322" s="1">
        <v>0</v>
      </c>
      <c r="I7322" s="1" t="s">
        <v>14030</v>
      </c>
      <c r="K7322" s="1" t="str">
        <f t="shared" si="465"/>
        <v>ㄐ</v>
      </c>
      <c r="L7322" s="1" t="str">
        <f t="shared" si="466"/>
        <v>ㄧ</v>
      </c>
      <c r="M7322" s="1" t="str">
        <f t="shared" si="467"/>
        <v>ㄣ</v>
      </c>
      <c r="P7322" s="1" t="s">
        <v>20</v>
      </c>
      <c r="R7322" s="1" t="s">
        <v>14031</v>
      </c>
      <c r="V7322" s="1" t="s">
        <v>14054</v>
      </c>
      <c r="AR7322" s="1" t="str">
        <f t="shared" si="464"/>
        <v>| [ㄐㄧㄣ](ㄐㄧㄣ.md) | [祲](祲.md) |  | jīn | [名]
不祥之氣。《左傳．昭公十五年》：「吾見赤黑之祲，非祭祥也，喪氛也。」《漢書．卷八一．匡衡傳》：「臣聞天人之際，精祲有以相盪，善惡有以相推。」
[形]
盛大。《後漢書．卷四〇．班彪傳下》：「天官景從，祲威盛容。」宋．王安石〈賀貴妃進位表〉：「祲盛之禮，發於宮闈；驩康之聲，播於寰海。」 |</v>
      </c>
    </row>
    <row r="7323" spans="1:44" hidden="1">
      <c r="A7323" s="1" t="s">
        <v>14055</v>
      </c>
      <c r="C7323" s="1">
        <v>1</v>
      </c>
      <c r="D7323" s="1" t="str">
        <f>"05844"</f>
        <v>05844</v>
      </c>
      <c r="E7323" s="1" t="s">
        <v>825</v>
      </c>
      <c r="F7323" s="1">
        <v>13</v>
      </c>
      <c r="G7323" s="1">
        <v>8</v>
      </c>
      <c r="H7323" s="1">
        <v>2</v>
      </c>
      <c r="I7323" s="1" t="s">
        <v>14030</v>
      </c>
      <c r="K7323" s="1" t="str">
        <f t="shared" si="465"/>
        <v>ㄐ</v>
      </c>
      <c r="L7323" s="1" t="str">
        <f t="shared" si="466"/>
        <v>ㄧ</v>
      </c>
      <c r="M7323" s="1" t="str">
        <f t="shared" si="467"/>
        <v>ㄣ</v>
      </c>
      <c r="P7323" s="1" t="s">
        <v>20</v>
      </c>
      <c r="R7323" s="1" t="s">
        <v>14031</v>
      </c>
      <c r="V7323" s="1" t="s">
        <v>14056</v>
      </c>
      <c r="W7323" s="1" t="s">
        <v>14057</v>
      </c>
      <c r="AR7323" s="1" t="str">
        <f t="shared" si="464"/>
        <v>| [ㄐㄧㄣ](ㄐㄧㄣ.md) | [禁](禁.md) |  | jīn | [動]
承擔、受得住。如：「弱不禁風」、「禁不起風吹日晒」。《紅樓夢》第五一回：「小姑娘們冷風朔氣的，別人還可，第一，林妹妹如何禁得住？就連寶兄弟也禁不住！」
[副]
耐，多指物體的耐用而言。如：「這雙鞋真禁穿！」 |</v>
      </c>
    </row>
    <row r="7324" spans="1:44" hidden="1">
      <c r="A7324" s="1" t="s">
        <v>14058</v>
      </c>
      <c r="C7324" s="1">
        <v>1</v>
      </c>
      <c r="D7324" s="1" t="str">
        <f>"05845"</f>
        <v>05845</v>
      </c>
      <c r="E7324" s="1" t="s">
        <v>340</v>
      </c>
      <c r="F7324" s="1">
        <v>19</v>
      </c>
      <c r="G7324" s="1">
        <v>13</v>
      </c>
      <c r="H7324" s="1">
        <v>0</v>
      </c>
      <c r="I7324" s="1" t="s">
        <v>14030</v>
      </c>
      <c r="K7324" s="1" t="str">
        <f t="shared" si="465"/>
        <v>ㄐ</v>
      </c>
      <c r="L7324" s="1" t="str">
        <f t="shared" si="466"/>
        <v>ㄧ</v>
      </c>
      <c r="M7324" s="1" t="str">
        <f t="shared" si="467"/>
        <v>ㄣ</v>
      </c>
      <c r="P7324" s="1" t="s">
        <v>20</v>
      </c>
      <c r="R7324" s="1" t="s">
        <v>14031</v>
      </c>
      <c r="V7324" s="1" t="s">
        <v>14059</v>
      </c>
      <c r="AR7324" s="1" t="str">
        <f t="shared" si="464"/>
        <v>| [ㄐㄧㄣ](ㄐㄧㄣ.md) | [襟](襟.md) |  | jīn | [名]
1.衣服胸前釘紐扣的地方。如：「對襟」、「開襟」。《楚辭．屈原．離騷》：「攬茹蕙以掩涕兮，霑余襟之浪浪。」也作「衿」。
2.參見「連襟」條。
3.心胸、懷抱。如：「胸襟」。唐．陸龜蒙〈記事〉詩：「天高氣味爽，野迥襟懷曠。」 |</v>
      </c>
    </row>
    <row r="7325" spans="1:44" hidden="1">
      <c r="A7325" s="1" t="s">
        <v>14060</v>
      </c>
      <c r="C7325" s="1">
        <v>1</v>
      </c>
      <c r="D7325" s="1" t="str">
        <f>"05846"</f>
        <v>05846</v>
      </c>
      <c r="E7325" s="1" t="s">
        <v>31</v>
      </c>
      <c r="F7325" s="1">
        <v>9</v>
      </c>
      <c r="G7325" s="1">
        <v>6</v>
      </c>
      <c r="H7325" s="1">
        <v>0</v>
      </c>
      <c r="I7325" s="1" t="s">
        <v>14061</v>
      </c>
      <c r="K7325" s="1" t="str">
        <f t="shared" si="465"/>
        <v>ㄐ</v>
      </c>
      <c r="L7325" s="1" t="str">
        <f t="shared" si="466"/>
        <v>ㄧ</v>
      </c>
      <c r="M7325" s="1" t="str">
        <f t="shared" si="467"/>
        <v>ㄣ</v>
      </c>
      <c r="P7325" s="1" t="s">
        <v>20</v>
      </c>
      <c r="R7325" s="1" t="s">
        <v>14062</v>
      </c>
      <c r="V7325" s="1" t="s">
        <v>14063</v>
      </c>
      <c r="AR7325" s="1" t="str">
        <f t="shared" si="464"/>
        <v>| [ㄐㄧㄣˇ](ㄐㄧㄣˇ.md) | [巹](巹.md) |  | jǐn | [名]
古時行婚禮所用的酒杯。《禮記．昏義》：「合巹而酳。」唐．孔穎達．正義：「巹謂半瓢，以一瓢分為兩瓢，謂之巹，婿之與婦各執一片以酳。」 |</v>
      </c>
    </row>
    <row r="7326" spans="1:44" hidden="1">
      <c r="A7326" s="1" t="s">
        <v>14064</v>
      </c>
      <c r="C7326" s="1">
        <v>1</v>
      </c>
      <c r="D7326" s="1" t="str">
        <f>"05847"</f>
        <v>05847</v>
      </c>
      <c r="E7326" s="1" t="s">
        <v>132</v>
      </c>
      <c r="F7326" s="1">
        <v>11</v>
      </c>
      <c r="G7326" s="1">
        <v>8</v>
      </c>
      <c r="H7326" s="1">
        <v>1</v>
      </c>
      <c r="I7326" s="1" t="s">
        <v>14061</v>
      </c>
      <c r="K7326" s="1" t="str">
        <f t="shared" si="465"/>
        <v>ㄐ</v>
      </c>
      <c r="L7326" s="1" t="str">
        <f t="shared" si="466"/>
        <v>ㄧ</v>
      </c>
      <c r="M7326" s="1" t="str">
        <f t="shared" si="467"/>
        <v>ㄣ</v>
      </c>
      <c r="P7326" s="1" t="s">
        <v>20</v>
      </c>
      <c r="R7326" s="1" t="s">
        <v>14062</v>
      </c>
      <c r="V7326" s="1" t="s">
        <v>14065</v>
      </c>
      <c r="W7326" s="1" t="s">
        <v>14066</v>
      </c>
      <c r="AR7326" s="1" t="str">
        <f t="shared" si="464"/>
        <v>| [ㄐㄧㄣˇ](ㄐㄧㄣˇ.md) | [堇](堇.md) |  | jǐn | [動]
塗抹。明．張自烈《正字通．土部》：「堇，塗也。」
[副]
少。通「僅」。《史記．卷一二九．貨殖傳》：「長沙出連、錫，然堇堇物之所有，取之不足以更費。」 |</v>
      </c>
    </row>
    <row r="7327" spans="1:44" hidden="1">
      <c r="A7327" s="1" t="s">
        <v>14067</v>
      </c>
      <c r="C7327" s="1">
        <v>1</v>
      </c>
      <c r="D7327" s="1" t="str">
        <f>"05848"</f>
        <v>05848</v>
      </c>
      <c r="E7327" s="1" t="s">
        <v>37</v>
      </c>
      <c r="F7327" s="1">
        <v>12</v>
      </c>
      <c r="G7327" s="1">
        <v>8</v>
      </c>
      <c r="H7327" s="1">
        <v>0</v>
      </c>
      <c r="I7327" s="1" t="s">
        <v>14061</v>
      </c>
      <c r="K7327" s="1" t="str">
        <f t="shared" si="465"/>
        <v>ㄐ</v>
      </c>
      <c r="L7327" s="1" t="str">
        <f t="shared" si="466"/>
        <v>ㄧ</v>
      </c>
      <c r="M7327" s="1" t="str">
        <f t="shared" si="467"/>
        <v>ㄣ</v>
      </c>
      <c r="P7327" s="1" t="s">
        <v>20</v>
      </c>
      <c r="R7327" s="1" t="s">
        <v>14062</v>
      </c>
      <c r="V7327" s="1" t="s">
        <v>14068</v>
      </c>
      <c r="AR7327" s="1" t="str">
        <f t="shared" si="464"/>
        <v>| [ㄐㄧㄣˇ](ㄐㄧㄣˇ.md) | [菫](菫.md) |  | jǐn | [名]
植物名。繖形科芹屬，「芹菜」、「早芹」之古稱。參見「芹菜」條。 |</v>
      </c>
    </row>
    <row r="7328" spans="1:44" hidden="1">
      <c r="A7328" s="1" t="s">
        <v>14069</v>
      </c>
      <c r="C7328" s="1">
        <v>1</v>
      </c>
      <c r="D7328" s="1" t="str">
        <f>"05849"</f>
        <v>05849</v>
      </c>
      <c r="E7328" s="1" t="s">
        <v>114</v>
      </c>
      <c r="F7328" s="1">
        <v>13</v>
      </c>
      <c r="G7328" s="1">
        <v>11</v>
      </c>
      <c r="H7328" s="1">
        <v>1</v>
      </c>
      <c r="I7328" s="1" t="s">
        <v>14061</v>
      </c>
      <c r="K7328" s="1" t="str">
        <f t="shared" si="465"/>
        <v>ㄐ</v>
      </c>
      <c r="L7328" s="1" t="str">
        <f t="shared" si="466"/>
        <v>ㄧ</v>
      </c>
      <c r="M7328" s="1" t="str">
        <f t="shared" si="467"/>
        <v>ㄣ</v>
      </c>
      <c r="P7328" s="1" t="s">
        <v>20</v>
      </c>
      <c r="R7328" s="1" t="s">
        <v>14062</v>
      </c>
      <c r="V7328" s="1" t="s">
        <v>14070</v>
      </c>
      <c r="W7328" s="1" t="s">
        <v>14071</v>
      </c>
      <c r="AR7328" s="1" t="str">
        <f t="shared" si="464"/>
        <v>| [ㄐㄧㄣˇ](ㄐㄧㄣˇ.md) | [僅](僅.md) |  | jǐn | [副]
1.少、不多。通「堇」。《晉書．卷五九．趙王倫傳》：「百官是倫所用者，皆斥免之，臺省府衛僅有存者。」
2.只、不過。如：「僅有」、「僅是」、「僅只於此」。《呂氏春秋．孝行覽．遇合》：「以此游，僅至於魯司寇。」《史記．卷八〇．樂毅傳》：「齊王遁而走莒，僅以身免。」
3.將近、幾乎。《晉書．卷五九．趙王倫傳》：「自兵興六十餘日，戰所殺害僅十萬人。」唐．白居易〈與元九書〉：「自足下謫江陵至於今，凡所贈答詩僅百篇。」 |</v>
      </c>
    </row>
    <row r="7329" spans="1:44" hidden="1">
      <c r="A7329" s="1" t="s">
        <v>14072</v>
      </c>
      <c r="C7329" s="1">
        <v>1</v>
      </c>
      <c r="D7329" s="1" t="str">
        <f>"05850"</f>
        <v>05850</v>
      </c>
      <c r="E7329" s="1" t="s">
        <v>447</v>
      </c>
      <c r="F7329" s="1">
        <v>14</v>
      </c>
      <c r="G7329" s="1">
        <v>11</v>
      </c>
      <c r="H7329" s="1">
        <v>1</v>
      </c>
      <c r="I7329" s="1" t="s">
        <v>14061</v>
      </c>
      <c r="K7329" s="1" t="str">
        <f t="shared" si="465"/>
        <v>ㄐ</v>
      </c>
      <c r="L7329" s="1" t="str">
        <f t="shared" si="466"/>
        <v>ㄧ</v>
      </c>
      <c r="M7329" s="1" t="str">
        <f t="shared" si="467"/>
        <v>ㄣ</v>
      </c>
      <c r="P7329" s="1" t="s">
        <v>20</v>
      </c>
      <c r="R7329" s="1" t="s">
        <v>14062</v>
      </c>
      <c r="V7329" s="1" t="s">
        <v>14073</v>
      </c>
      <c r="W7329" s="1" t="s">
        <v>14074</v>
      </c>
      <c r="AR7329" s="1" t="str">
        <f t="shared" si="464"/>
        <v>| [ㄐㄧㄣˇ](ㄐㄧㄣˇ.md) | [廑](廑.md) |  | jǐn | [名]
小屋。《廣韻．去聲．震韻》：「廑，小屋。」
[副]
只、才。通「僅」。《漢書．卷四八．賈誼傳》：「諸公幸者，乃為中涓，其次廑得舍人，材之不逮至遠也。」宋．范成大〈曉出北郊〉詩：「新渠廑涓流，壞陂方怒號。」 |</v>
      </c>
    </row>
    <row r="7330" spans="1:44" hidden="1">
      <c r="A7330" s="1" t="s">
        <v>14075</v>
      </c>
      <c r="C7330" s="1">
        <v>1</v>
      </c>
      <c r="D7330" s="1" t="str">
        <f>"05851"</f>
        <v>05851</v>
      </c>
      <c r="E7330" s="1" t="s">
        <v>132</v>
      </c>
      <c r="F7330" s="1">
        <v>14</v>
      </c>
      <c r="G7330" s="1">
        <v>11</v>
      </c>
      <c r="H7330" s="1">
        <v>1</v>
      </c>
      <c r="I7330" s="1" t="s">
        <v>14061</v>
      </c>
      <c r="K7330" s="1" t="str">
        <f t="shared" si="465"/>
        <v>ㄐ</v>
      </c>
      <c r="L7330" s="1" t="str">
        <f t="shared" si="466"/>
        <v>ㄧ</v>
      </c>
      <c r="M7330" s="1" t="str">
        <f t="shared" si="467"/>
        <v>ㄣ</v>
      </c>
      <c r="P7330" s="1" t="s">
        <v>20</v>
      </c>
      <c r="R7330" s="1" t="s">
        <v>14062</v>
      </c>
      <c r="V7330" s="1" t="s">
        <v>14076</v>
      </c>
      <c r="W7330" s="1" t="s">
        <v>14077</v>
      </c>
      <c r="AR7330" s="1" t="str">
        <f t="shared" si="464"/>
        <v>| [ㄐㄧㄣˇ](ㄐㄧㄣˇ.md) | [墐](墐.md) |  | jǐn | [動]
1.用泥塗塞、塗抹。《詩經．豳風．七月》：「穹窒熏鼠，塞向墐戶。」唐．劉禹錫〈武陵觀火詩〉：「山木行剪伐，江泥宜墐途。」
2.掩埋、埋葬。《詩經．小雅．小弁》：「行有死人，尚或墐之。」 |</v>
      </c>
    </row>
    <row r="7331" spans="1:44" hidden="1">
      <c r="A7331" s="1" t="s">
        <v>14078</v>
      </c>
      <c r="C7331" s="1">
        <v>1</v>
      </c>
      <c r="D7331" s="1" t="str">
        <f>"05852"</f>
        <v>05852</v>
      </c>
      <c r="E7331" s="1" t="s">
        <v>142</v>
      </c>
      <c r="F7331" s="1">
        <v>15</v>
      </c>
      <c r="G7331" s="1">
        <v>11</v>
      </c>
      <c r="H7331" s="1">
        <v>1</v>
      </c>
      <c r="I7331" s="1" t="s">
        <v>14061</v>
      </c>
      <c r="K7331" s="1" t="str">
        <f t="shared" si="465"/>
        <v>ㄐ</v>
      </c>
      <c r="L7331" s="1" t="str">
        <f t="shared" si="466"/>
        <v>ㄧ</v>
      </c>
      <c r="M7331" s="1" t="str">
        <f t="shared" si="467"/>
        <v>ㄣ</v>
      </c>
      <c r="P7331" s="1" t="s">
        <v>20</v>
      </c>
      <c r="R7331" s="1" t="s">
        <v>14062</v>
      </c>
      <c r="V7331" s="1" t="s">
        <v>14079</v>
      </c>
      <c r="W7331" s="1" t="s">
        <v>14080</v>
      </c>
      <c r="AR7331" s="1" t="str">
        <f t="shared" si="464"/>
        <v>| [ㄐㄧㄣˇ](ㄐㄧㄣˇ.md) | [瑾](瑾.md) |  | jǐn | 參見「瑾瑜」條。 |</v>
      </c>
    </row>
    <row r="7332" spans="1:44" hidden="1">
      <c r="A7332" s="1" t="s">
        <v>14081</v>
      </c>
      <c r="C7332" s="1">
        <v>1</v>
      </c>
      <c r="D7332" s="1" t="str">
        <f>"05852A"</f>
        <v>05852A</v>
      </c>
      <c r="E7332" s="1" t="s">
        <v>37</v>
      </c>
      <c r="F7332" s="1">
        <v>15</v>
      </c>
      <c r="G7332" s="1">
        <v>11</v>
      </c>
      <c r="H7332" s="1">
        <v>0</v>
      </c>
      <c r="I7332" s="1" t="s">
        <v>14061</v>
      </c>
      <c r="K7332" s="1" t="str">
        <f t="shared" si="465"/>
        <v>ㄐ</v>
      </c>
      <c r="L7332" s="1" t="str">
        <f t="shared" si="466"/>
        <v>ㄧ</v>
      </c>
      <c r="M7332" s="1" t="str">
        <f t="shared" si="467"/>
        <v>ㄣ</v>
      </c>
      <c r="P7332" s="1" t="s">
        <v>20</v>
      </c>
      <c r="R7332" s="1" t="s">
        <v>14062</v>
      </c>
      <c r="V7332" s="1" t="s">
        <v>14082</v>
      </c>
      <c r="AR7332" s="1" t="str">
        <f t="shared" si="464"/>
        <v>| [ㄐㄧㄣˇ](ㄐㄧㄣˇ.md) | [蓳](蓳.md) |  | jǐn | 蓳菜。《說文解字．艸部》：「蓳，艸也。根如薺，葉如細柳。蒸食之。甘，從艸，堇聲。」 |</v>
      </c>
    </row>
    <row r="7333" spans="1:44" hidden="1">
      <c r="A7333" s="1" t="s">
        <v>14083</v>
      </c>
      <c r="C7333" s="1">
        <v>1</v>
      </c>
      <c r="D7333" s="1" t="str">
        <f>"05853"</f>
        <v>05853</v>
      </c>
      <c r="E7333" s="1" t="s">
        <v>139</v>
      </c>
      <c r="F7333" s="1">
        <v>15</v>
      </c>
      <c r="G7333" s="1">
        <v>11</v>
      </c>
      <c r="H7333" s="1">
        <v>0</v>
      </c>
      <c r="I7333" s="1" t="s">
        <v>14061</v>
      </c>
      <c r="K7333" s="1" t="str">
        <f t="shared" si="465"/>
        <v>ㄐ</v>
      </c>
      <c r="L7333" s="1" t="str">
        <f t="shared" si="466"/>
        <v>ㄧ</v>
      </c>
      <c r="M7333" s="1" t="str">
        <f t="shared" si="467"/>
        <v>ㄣ</v>
      </c>
      <c r="P7333" s="1" t="s">
        <v>20</v>
      </c>
      <c r="R7333" s="1" t="s">
        <v>14062</v>
      </c>
      <c r="V7333" s="1" t="s">
        <v>14084</v>
      </c>
      <c r="AR7333" s="1" t="str">
        <f t="shared" si="464"/>
        <v>| [ㄐㄧㄣˇ](ㄐㄧㄣˇ.md) | [槿](槿.md) |  | jǐn | 參見「木槿」條。 |</v>
      </c>
    </row>
    <row r="7334" spans="1:44" hidden="1">
      <c r="A7334" s="1" t="s">
        <v>14085</v>
      </c>
      <c r="C7334" s="1">
        <v>1</v>
      </c>
      <c r="D7334" s="1" t="str">
        <f>"05854"</f>
        <v>05854</v>
      </c>
      <c r="E7334" s="1" t="s">
        <v>1372</v>
      </c>
      <c r="F7334" s="1">
        <v>15</v>
      </c>
      <c r="G7334" s="1">
        <v>11</v>
      </c>
      <c r="H7334" s="1">
        <v>1</v>
      </c>
      <c r="I7334" s="1" t="s">
        <v>14061</v>
      </c>
      <c r="K7334" s="1" t="str">
        <f t="shared" si="465"/>
        <v>ㄐ</v>
      </c>
      <c r="L7334" s="1" t="str">
        <f t="shared" si="466"/>
        <v>ㄧ</v>
      </c>
      <c r="M7334" s="1" t="str">
        <f t="shared" si="467"/>
        <v>ㄣ</v>
      </c>
      <c r="P7334" s="1" t="s">
        <v>20</v>
      </c>
      <c r="R7334" s="1" t="s">
        <v>14062</v>
      </c>
      <c r="V7334" s="1" t="s">
        <v>14086</v>
      </c>
      <c r="W7334" s="1" t="s">
        <v>14087</v>
      </c>
      <c r="AR7334" s="1" t="str">
        <f t="shared" si="464"/>
        <v>| [ㄐㄧㄣˇ](ㄐㄧㄣˇ.md) | [殣](殣.md) |  | jǐn | [名]
墳墓。《國語．楚語下》：「民之羸餒，日已甚矣。四境盈壘，道殣相望。」三國吳．韋昭．注：「道冢曰殣。」
[動]
1.餓死。《大戴禮記．千乘》：「是故年穀不成，天之飢饉，道無殣者。」
2.埋葬、掩埋。通「墐」。《荀子．禮論》：「不得飾棺，不得晝行，以昏殣，凡緣而往埋之。」《魏書．卷七．高祖紀下》：「路見壞冢露棺，駐輦殣之。」 |</v>
      </c>
    </row>
    <row r="7335" spans="1:44" hidden="1">
      <c r="A7335" s="1" t="s">
        <v>14088</v>
      </c>
      <c r="C7335" s="1">
        <v>1</v>
      </c>
      <c r="D7335" s="1" t="str">
        <f>"05855"</f>
        <v>05855</v>
      </c>
      <c r="E7335" s="1" t="s">
        <v>331</v>
      </c>
      <c r="F7335" s="1">
        <v>18</v>
      </c>
      <c r="G7335" s="1">
        <v>11</v>
      </c>
      <c r="H7335" s="1">
        <v>0</v>
      </c>
      <c r="I7335" s="1" t="s">
        <v>14061</v>
      </c>
      <c r="K7335" s="1" t="str">
        <f t="shared" si="465"/>
        <v>ㄐ</v>
      </c>
      <c r="L7335" s="1" t="str">
        <f t="shared" si="466"/>
        <v>ㄧ</v>
      </c>
      <c r="M7335" s="1" t="str">
        <f t="shared" si="467"/>
        <v>ㄣ</v>
      </c>
      <c r="P7335" s="1" t="s">
        <v>20</v>
      </c>
      <c r="R7335" s="1" t="s">
        <v>14062</v>
      </c>
      <c r="V7335" s="1" t="s">
        <v>14089</v>
      </c>
      <c r="AR7335" s="1" t="str">
        <f t="shared" si="464"/>
        <v>| [ㄐㄧㄣˇ](ㄐㄧㄣˇ.md) | [謹](謹.md) |  | jǐn | [動]
1.慎重、小心。《商君書．壹言》：「治法不可不慎也，國務不可不謹也。」《禮記．緇衣》：「則民謹於言而慎於行。」
2.嚴禁。《詩經．大雅．民勞》：「毋縱詭隨，以謹無良。」《荀子．王制》：「易道路，謹盜賊。」
[形]
恭敬。《韓非子．外儲說右上》：「宋人有酤酒者，升概甚平，遇客甚謹。」《南史．卷二三．王華傳》：「少謹篤，為從伯司徒謐所愛。」 |</v>
      </c>
    </row>
    <row r="7336" spans="1:44" hidden="1">
      <c r="A7336" s="1" t="s">
        <v>14090</v>
      </c>
      <c r="C7336" s="1">
        <v>1</v>
      </c>
      <c r="D7336" s="1" t="str">
        <f>"05856"</f>
        <v>05856</v>
      </c>
      <c r="E7336" s="1" t="s">
        <v>2233</v>
      </c>
      <c r="F7336" s="1">
        <v>18</v>
      </c>
      <c r="G7336" s="1">
        <v>11</v>
      </c>
      <c r="H7336" s="1">
        <v>1</v>
      </c>
      <c r="I7336" s="1" t="s">
        <v>14061</v>
      </c>
      <c r="K7336" s="1" t="str">
        <f t="shared" si="465"/>
        <v>ㄐ</v>
      </c>
      <c r="L7336" s="1" t="str">
        <f t="shared" si="466"/>
        <v>ㄧ</v>
      </c>
      <c r="M7336" s="1" t="str">
        <f t="shared" si="467"/>
        <v>ㄣ</v>
      </c>
      <c r="P7336" s="1" t="s">
        <v>20</v>
      </c>
      <c r="R7336" s="1" t="s">
        <v>14062</v>
      </c>
      <c r="V7336" s="1" t="s">
        <v>14091</v>
      </c>
      <c r="W7336" s="1" t="s">
        <v>14092</v>
      </c>
      <c r="AR7336" s="1" t="str">
        <f t="shared" si="464"/>
        <v>| [ㄐㄧㄣˇ](ㄐㄧㄣˇ.md) | [覲](覲.md) |  | jǐn | [動]
1.下級人員進見君主或上級長官。如：「朝覲」、「覲見」。《孟子．萬章上》：「天下諸侯朝覲者，不之堯之子而之舜。」《新唐書．卷二二四．叛臣傳上．李錡傳》：「憲宗即位，不假借方鎮，故倔彊者稍稍入朝。錡不自安，亦三請覲。」
2.拜會、訪謁。《左傳．昭公十六年》：「宣子私覲於子產。」《文選．張衡．西京賦》：「昔者大帝說秦繆公而覲之，饗以鈞天廣樂。」 |</v>
      </c>
    </row>
    <row r="7337" spans="1:44" hidden="1">
      <c r="A7337" s="1" t="s">
        <v>14093</v>
      </c>
      <c r="C7337" s="1">
        <v>1</v>
      </c>
      <c r="D7337" s="1" t="str">
        <f>"05857"</f>
        <v>05857</v>
      </c>
      <c r="E7337" s="1" t="s">
        <v>193</v>
      </c>
      <c r="F7337" s="1">
        <v>19</v>
      </c>
      <c r="G7337" s="1">
        <v>11</v>
      </c>
      <c r="H7337" s="1">
        <v>1</v>
      </c>
      <c r="I7337" s="1" t="s">
        <v>14061</v>
      </c>
      <c r="K7337" s="1" t="str">
        <f t="shared" si="465"/>
        <v>ㄐ</v>
      </c>
      <c r="L7337" s="1" t="str">
        <f t="shared" si="466"/>
        <v>ㄧ</v>
      </c>
      <c r="M7337" s="1" t="str">
        <f t="shared" si="467"/>
        <v>ㄣ</v>
      </c>
      <c r="P7337" s="1" t="s">
        <v>20</v>
      </c>
      <c r="R7337" s="1" t="s">
        <v>14062</v>
      </c>
      <c r="V7337" s="1" t="s">
        <v>14094</v>
      </c>
      <c r="W7337" s="1" t="s">
        <v>14095</v>
      </c>
      <c r="AR7337" s="1" t="str">
        <f t="shared" si="464"/>
        <v>| [ㄐㄧㄣˇ](ㄐㄧㄣˇ.md) | [饉](饉.md) |  | jǐn | [名]
1.蔬菜不成熟的情況。《爾雅．釋天》：「穀不熟為饑，蔬不熟為饉。」
2.五穀歉收的荒年。《晉書．卷二六．食貨志》：「兵革屢興，荒饉荐及。」唐．白居易〈除李遜京兆尹制〉：「或紛擾之際，或荒饉之餘；威惠所加，罔不和輯。」 |</v>
      </c>
    </row>
    <row r="7338" spans="1:44" hidden="1">
      <c r="A7338" s="1" t="s">
        <v>14096</v>
      </c>
      <c r="C7338" s="1">
        <v>1</v>
      </c>
      <c r="D7338" s="1" t="str">
        <f>"05858"</f>
        <v>05858</v>
      </c>
      <c r="E7338" s="1" t="s">
        <v>725</v>
      </c>
      <c r="F7338" s="1">
        <v>14</v>
      </c>
      <c r="G7338" s="1">
        <v>8</v>
      </c>
      <c r="H7338" s="1">
        <v>0</v>
      </c>
      <c r="I7338" s="1" t="s">
        <v>14061</v>
      </c>
      <c r="K7338" s="1" t="str">
        <f t="shared" si="465"/>
        <v>ㄐ</v>
      </c>
      <c r="L7338" s="1" t="str">
        <f t="shared" si="466"/>
        <v>ㄧ</v>
      </c>
      <c r="M7338" s="1" t="str">
        <f t="shared" si="467"/>
        <v>ㄣ</v>
      </c>
      <c r="P7338" s="1" t="s">
        <v>20</v>
      </c>
      <c r="R7338" s="1" t="s">
        <v>14062</v>
      </c>
      <c r="V7338" s="1" t="s">
        <v>14097</v>
      </c>
      <c r="AR7338" s="1" t="str">
        <f t="shared" si="464"/>
        <v>| [ㄐㄧㄣˇ](ㄐㄧㄣˇ.md) | [緊](緊.md) |  | jǐn | [形]
1.嚴密、不放鬆。如：「嚴緊」、「管得很緊」。
2.急迫。如：「緊急」、「緊要」、「緊迫」。
3.生活困窘、不寬裕。如：「手頭很緊」。
4.重要。如：「要緊事」。《三國演義》第四九回：「請暫少住，有緊話說。」
[副]
1.密合。與「鬆」相對。如：「緊握筆桿」、「繫緊鞋帶」。
2.加快、不停止。如：「趕緊」、「催得緊」、「緊走幾步」。元．關漢卿《五侯宴》第三折：「走的緊來到荒坡佃，覺我這可撲撲的心頭戰。」 |</v>
      </c>
    </row>
    <row r="7339" spans="1:44" hidden="1">
      <c r="A7339" s="1" t="s">
        <v>14098</v>
      </c>
      <c r="C7339" s="1">
        <v>1</v>
      </c>
      <c r="D7339" s="1" t="str">
        <f>"05859"</f>
        <v>05859</v>
      </c>
      <c r="E7339" s="1" t="s">
        <v>114</v>
      </c>
      <c r="F7339" s="1">
        <v>16</v>
      </c>
      <c r="G7339" s="1">
        <v>14</v>
      </c>
      <c r="H7339" s="1">
        <v>0</v>
      </c>
      <c r="I7339" s="1" t="s">
        <v>14061</v>
      </c>
      <c r="K7339" s="1" t="str">
        <f t="shared" si="465"/>
        <v>ㄐ</v>
      </c>
      <c r="L7339" s="1" t="str">
        <f t="shared" si="466"/>
        <v>ㄧ</v>
      </c>
      <c r="M7339" s="1" t="str">
        <f t="shared" si="467"/>
        <v>ㄣ</v>
      </c>
      <c r="P7339" s="1" t="s">
        <v>20</v>
      </c>
      <c r="R7339" s="1" t="s">
        <v>14062</v>
      </c>
      <c r="V7339" s="1" t="s">
        <v>14099</v>
      </c>
      <c r="AR7339" s="1" t="str">
        <f t="shared" si="464"/>
        <v>| [ㄐㄧㄣˇ](ㄐㄧㄣˇ.md) | [儘](儘.md) |  | jǐn | [副]
1.極盡。如：「儘量」、「儘可能」。
2.聽任、隨意、不加限制。如：「儘管」、「儘看」。宋．楊萬里〈夜聞風聲〉詩：「作寒作暑無處避，花落花開儘他意。」
3.都、全。宋．辛棄疾〈瑞鶴仙．黃金堆到斗〉詞：「記從來人道，相門出相，金印纍纍儘有。」《西遊記》第一回：「果獨自登筏，儘力撐開。」 |</v>
      </c>
    </row>
    <row r="7340" spans="1:44" hidden="1">
      <c r="A7340" s="1" t="s">
        <v>14100</v>
      </c>
      <c r="C7340" s="1">
        <v>1</v>
      </c>
      <c r="D7340" s="1" t="str">
        <f>"05860"</f>
        <v>05860</v>
      </c>
      <c r="E7340" s="1" t="s">
        <v>55</v>
      </c>
      <c r="F7340" s="1">
        <v>16</v>
      </c>
      <c r="G7340" s="1">
        <v>8</v>
      </c>
      <c r="H7340" s="1">
        <v>0</v>
      </c>
      <c r="I7340" s="1" t="s">
        <v>14061</v>
      </c>
      <c r="K7340" s="1" t="str">
        <f t="shared" si="465"/>
        <v>ㄐ</v>
      </c>
      <c r="L7340" s="1" t="str">
        <f t="shared" si="466"/>
        <v>ㄧ</v>
      </c>
      <c r="M7340" s="1" t="str">
        <f t="shared" si="467"/>
        <v>ㄣ</v>
      </c>
      <c r="P7340" s="1" t="s">
        <v>20</v>
      </c>
      <c r="R7340" s="1" t="s">
        <v>14062</v>
      </c>
      <c r="V7340" s="1" t="s">
        <v>14101</v>
      </c>
      <c r="AR7340" s="1" t="str">
        <f t="shared" si="464"/>
        <v>| [ㄐㄧㄣˇ](ㄐㄧㄣˇ.md) | [錦](錦.md) |  | jǐn | [名]
1.一種色彩鮮豔、有各種花紋圖案的絲織品。如：「文錦」、「蜀錦」。《荀子．賦》：「雜布與錦，不知異也。」
2.姓。如漢代有錦被。
[形]
1.美麗鮮明。如：「錦霞」、「錦雲」、「錦箋」。
2.比喻花樣繁多。如：「什錦」。 |</v>
      </c>
    </row>
    <row r="7341" spans="1:44" hidden="1">
      <c r="A7341" s="1" t="s">
        <v>14102</v>
      </c>
      <c r="C7341" s="1">
        <v>1</v>
      </c>
      <c r="D7341" s="1" t="str">
        <f>"05861"</f>
        <v>05861</v>
      </c>
      <c r="E7341" s="1" t="s">
        <v>534</v>
      </c>
      <c r="F7341" s="1">
        <v>7</v>
      </c>
      <c r="G7341" s="1">
        <v>4</v>
      </c>
      <c r="H7341" s="1">
        <v>0</v>
      </c>
      <c r="I7341" s="1" t="s">
        <v>14103</v>
      </c>
      <c r="K7341" s="1" t="str">
        <f t="shared" si="465"/>
        <v>ㄐ</v>
      </c>
      <c r="L7341" s="1" t="str">
        <f t="shared" si="466"/>
        <v>ㄧ</v>
      </c>
      <c r="M7341" s="1" t="str">
        <f t="shared" si="467"/>
        <v>ㄣ</v>
      </c>
      <c r="P7341" s="1" t="s">
        <v>20</v>
      </c>
      <c r="R7341" s="1" t="s">
        <v>14104</v>
      </c>
      <c r="V7341" s="1" t="s">
        <v>14105</v>
      </c>
      <c r="AR7341" s="1" t="str">
        <f t="shared" si="464"/>
        <v>| [ㄐㄧㄣˋ](ㄐㄧㄣˋ.md) | [妗](妗.md) |  | jìn | [名]
稱謂。用以尊稱舅母。《集韻．去聲．沁韻》：「妗，俗謂舅母曰妗。」。《聊齋志異．卷一．賈兒》：「妗詰母疾，答云：『連朝稍可……。』」 |</v>
      </c>
    </row>
    <row r="7342" spans="1:44" hidden="1">
      <c r="A7342" s="1" t="s">
        <v>14106</v>
      </c>
      <c r="C7342" s="1">
        <v>1</v>
      </c>
      <c r="D7342" s="1" t="str">
        <f>"05862"</f>
        <v>05862</v>
      </c>
      <c r="E7342" s="1" t="s">
        <v>558</v>
      </c>
      <c r="F7342" s="1">
        <v>8</v>
      </c>
      <c r="G7342" s="1">
        <v>4</v>
      </c>
      <c r="H7342" s="1">
        <v>0</v>
      </c>
      <c r="I7342" s="1" t="s">
        <v>14103</v>
      </c>
      <c r="K7342" s="1" t="str">
        <f t="shared" si="465"/>
        <v>ㄐ</v>
      </c>
      <c r="L7342" s="1" t="str">
        <f t="shared" si="466"/>
        <v>ㄧ</v>
      </c>
      <c r="M7342" s="1" t="str">
        <f t="shared" si="467"/>
        <v>ㄣ</v>
      </c>
      <c r="P7342" s="1" t="s">
        <v>20</v>
      </c>
      <c r="R7342" s="1" t="s">
        <v>14104</v>
      </c>
      <c r="V7342" s="1" t="s">
        <v>14107</v>
      </c>
      <c r="AR7342" s="1" t="str">
        <f t="shared" si="464"/>
        <v>| [ㄐㄧㄣˋ](ㄐㄧㄣˋ.md) | [近](近.md) |  | jìn | [形]
1.時間、地點、血統、關係等方面距離不遠的。如：「近日」、「近郊」、「近親」。《墨子．經說下》：「行者必先近而後遠，遠近脩也，先後久也。」
2.淺顯明白、容易瞭解。如：「淺近」。《孟子．盡心下》：「言近而指遠也，善言也。」
[動]
1.相似、幾乎一樣。如：「近似」。《禮記．中庸》：「知恥近乎勇。」
2.靠近、接近。如：「挨近」、「迫近」。唐．李商隱〈樂遊原〉詩：「夕陽無限好，只是近黃昏。」
3.親密。如：「親近」。《論語．陽貨》：「近之則不孫，遠之則怨。」
4.合乎。如：「不近情理」。宋．蘇洵〈辨姦論〉：「凡事之不近人情者，鮮不為大姦慝、豎刁、易牙、開方是也。」 |</v>
      </c>
    </row>
    <row r="7343" spans="1:44" hidden="1">
      <c r="A7343" s="1" t="s">
        <v>14108</v>
      </c>
      <c r="C7343" s="1">
        <v>1</v>
      </c>
      <c r="D7343" s="1" t="str">
        <f>"05863"</f>
        <v>05863</v>
      </c>
      <c r="E7343" s="1" t="s">
        <v>245</v>
      </c>
      <c r="F7343" s="1">
        <v>9</v>
      </c>
      <c r="G7343" s="1">
        <v>7</v>
      </c>
      <c r="H7343" s="1">
        <v>2</v>
      </c>
      <c r="I7343" s="1" t="s">
        <v>14103</v>
      </c>
      <c r="K7343" s="1" t="str">
        <f t="shared" si="465"/>
        <v>ㄐ</v>
      </c>
      <c r="L7343" s="1" t="str">
        <f t="shared" si="466"/>
        <v>ㄧ</v>
      </c>
      <c r="M7343" s="1" t="str">
        <f t="shared" si="467"/>
        <v>ㄣ</v>
      </c>
      <c r="P7343" s="1" t="s">
        <v>20</v>
      </c>
      <c r="R7343" s="1" t="s">
        <v>14104</v>
      </c>
      <c r="V7343" s="1" t="s">
        <v>14109</v>
      </c>
      <c r="W7343" s="1" t="s">
        <v>14110</v>
      </c>
      <c r="AR7343" s="1" t="str">
        <f t="shared" si="464"/>
        <v>| [ㄐㄧㄣˋ](ㄐㄧㄣˋ.md) | [勁](勁.md) |  | jìn | [名]
1.力氣、力量。如：「使勁」、「有勁」、「卯足了勁」。《韓非子．觀行》：「有烏獲之勁，而不得人助，不能自舉。」
2.精神。如：「這個人唱歌真帶勁。」
3.興趣。如：「起勁」、「沒勁」。
4.表情、態度。如：「傻勁」、「親熱勁」。 |</v>
      </c>
    </row>
    <row r="7344" spans="1:44" hidden="1">
      <c r="A7344" s="1" t="s">
        <v>14051</v>
      </c>
      <c r="C7344" s="1">
        <v>1</v>
      </c>
      <c r="D7344" s="1" t="str">
        <f>"05864"</f>
        <v>05864</v>
      </c>
      <c r="E7344" s="1" t="s">
        <v>129</v>
      </c>
      <c r="F7344" s="1">
        <v>10</v>
      </c>
      <c r="G7344" s="1">
        <v>7</v>
      </c>
      <c r="H7344" s="1">
        <v>1</v>
      </c>
      <c r="I7344" s="1" t="s">
        <v>14103</v>
      </c>
      <c r="K7344" s="1" t="str">
        <f t="shared" si="465"/>
        <v>ㄐ</v>
      </c>
      <c r="L7344" s="1" t="str">
        <f t="shared" si="466"/>
        <v>ㄧ</v>
      </c>
      <c r="M7344" s="1" t="str">
        <f t="shared" si="467"/>
        <v>ㄣ</v>
      </c>
      <c r="P7344" s="1" t="s">
        <v>20</v>
      </c>
      <c r="R7344" s="1" t="s">
        <v>14104</v>
      </c>
      <c r="V7344" s="1" t="s">
        <v>14111</v>
      </c>
      <c r="W7344" s="1" t="s">
        <v>14112</v>
      </c>
      <c r="AR7344" s="1" t="str">
        <f t="shared" si="464"/>
        <v>| [ㄐㄧㄣˋ](ㄐㄧㄣˋ.md) | [浸](浸.md) |  | jìn | [動]
1.漬、泡在液體中。如：「浸泡」、「浸漬」。
2.滲透。《淮南子．原道》：「上漏下濕，潤浸北房。」唐．楊烱〈送豐城王少府〉詩：「離亭隱喬樹，溝水浸平沙。」
[副]
漸漸、逐漸。如：「浸漸」。《後漢書．卷八八．西域傳》：「雖有降首，曾莫懲革，自此浸以疏慢矣。」《金史．卷八三．張浩傳》：「其後奢用浸廣，蓋汝霖有以導之云。」 |</v>
      </c>
    </row>
    <row r="7345" spans="1:44" hidden="1">
      <c r="A7345" s="1" t="s">
        <v>14113</v>
      </c>
      <c r="C7345" s="1">
        <v>1</v>
      </c>
      <c r="D7345" s="1" t="str">
        <f>"05865"</f>
        <v>05865</v>
      </c>
      <c r="E7345" s="1" t="s">
        <v>624</v>
      </c>
      <c r="F7345" s="1">
        <v>13</v>
      </c>
      <c r="G7345" s="1">
        <v>10</v>
      </c>
      <c r="H7345" s="1">
        <v>0</v>
      </c>
      <c r="I7345" s="1" t="s">
        <v>14103</v>
      </c>
      <c r="K7345" s="1" t="str">
        <f t="shared" si="465"/>
        <v>ㄐ</v>
      </c>
      <c r="L7345" s="1" t="str">
        <f t="shared" si="466"/>
        <v>ㄧ</v>
      </c>
      <c r="M7345" s="1" t="str">
        <f t="shared" si="467"/>
        <v>ㄣ</v>
      </c>
      <c r="P7345" s="1" t="s">
        <v>20</v>
      </c>
      <c r="R7345" s="1" t="s">
        <v>14104</v>
      </c>
      <c r="V7345" s="1" t="s">
        <v>14114</v>
      </c>
      <c r="AR7345" s="1" t="str">
        <f t="shared" si="464"/>
        <v>| [ㄐㄧㄣˋ](ㄐㄧㄣˋ.md) | [寖](寖.md) |  | jìn | [副]
漸漸。同「浸」。晉．陶淵明〈祭程氏妹文〉：「寒往暑來，日月寖疏。」 |</v>
      </c>
    </row>
    <row r="7346" spans="1:44" hidden="1">
      <c r="A7346" s="1" t="s">
        <v>14115</v>
      </c>
      <c r="C7346" s="1">
        <v>1</v>
      </c>
      <c r="D7346" s="1" t="str">
        <f>"05866"</f>
        <v>05866</v>
      </c>
      <c r="E7346" s="1" t="s">
        <v>646</v>
      </c>
      <c r="F7346" s="1">
        <v>10</v>
      </c>
      <c r="G7346" s="1">
        <v>6</v>
      </c>
      <c r="H7346" s="1">
        <v>0</v>
      </c>
      <c r="I7346" s="1" t="s">
        <v>14103</v>
      </c>
      <c r="K7346" s="1" t="str">
        <f t="shared" si="465"/>
        <v>ㄐ</v>
      </c>
      <c r="L7346" s="1" t="str">
        <f t="shared" si="466"/>
        <v>ㄧ</v>
      </c>
      <c r="M7346" s="1" t="str">
        <f t="shared" si="467"/>
        <v>ㄣ</v>
      </c>
      <c r="P7346" s="1" t="s">
        <v>20</v>
      </c>
      <c r="R7346" s="1" t="s">
        <v>14104</v>
      </c>
      <c r="V7346" s="1" t="s">
        <v>14116</v>
      </c>
      <c r="AR7346" s="1" t="str">
        <f t="shared" si="464"/>
        <v>| [ㄐㄧㄣˋ](ㄐㄧㄣˋ.md) | [晉](晉.md) |  | jìn | [動]
1.進、前往。《說文選字．日部》：「晉，進也。」
2.升。如：「晉級」、「晉升」。《清史稿．卷四五一．桂中行傳》：「以功晉知府。調江蘇，筦揚州正陽釐榷。」
[名]
1.國名。周代諸侯國。春秋時據有今大陸地區山西省大部分與河北省西南地區，地跨黃河兩岸。後為韓、趙、魏三家所分，遂亡。
2.朝代名。參見「西晉」、「東晉」條。
3.大陸地區山西省的簡稱。
4.姓。如戰國時魏國有晉鄙。 |</v>
      </c>
    </row>
    <row r="7347" spans="1:44" hidden="1">
      <c r="A7347" s="1" t="s">
        <v>14117</v>
      </c>
      <c r="C7347" s="1">
        <v>1</v>
      </c>
      <c r="D7347" s="1" t="str">
        <f>"05867"</f>
        <v>05867</v>
      </c>
      <c r="E7347" s="1" t="s">
        <v>24</v>
      </c>
      <c r="F7347" s="1">
        <v>13</v>
      </c>
      <c r="G7347" s="1">
        <v>10</v>
      </c>
      <c r="H7347" s="1">
        <v>0</v>
      </c>
      <c r="I7347" s="1" t="s">
        <v>14103</v>
      </c>
      <c r="K7347" s="1" t="str">
        <f t="shared" si="465"/>
        <v>ㄐ</v>
      </c>
      <c r="L7347" s="1" t="str">
        <f t="shared" si="466"/>
        <v>ㄧ</v>
      </c>
      <c r="M7347" s="1" t="str">
        <f t="shared" si="467"/>
        <v>ㄣ</v>
      </c>
      <c r="P7347" s="1" t="s">
        <v>20</v>
      </c>
      <c r="R7347" s="1" t="s">
        <v>14104</v>
      </c>
      <c r="V7347" s="1" t="s">
        <v>14118</v>
      </c>
      <c r="AR7347" s="1" t="str">
        <f t="shared" si="464"/>
        <v>| [ㄐㄧㄣˋ](ㄐㄧㄣˋ.md) | [搢](搢.md) |  | jìn | [動]
1.插。《廣韻．去聲．震韻》：「搢，插也。」宋．陸游〈牧羊歌〉：「小童但搢竹一枝，豈必習詩知考牧。」
2.振動。《國語．吳語》：「被甲帶劍，挺鈹搢鐸。」三國吳．韋昭．注：「挺，拔也；搢，振也。」 |</v>
      </c>
    </row>
    <row r="7348" spans="1:44" hidden="1">
      <c r="A7348" s="1" t="s">
        <v>14119</v>
      </c>
      <c r="C7348" s="1">
        <v>1</v>
      </c>
      <c r="D7348" s="1" t="str">
        <f>"05868"</f>
        <v>05868</v>
      </c>
      <c r="E7348" s="1" t="s">
        <v>256</v>
      </c>
      <c r="F7348" s="1">
        <v>13</v>
      </c>
      <c r="G7348" s="1">
        <v>10</v>
      </c>
      <c r="H7348" s="1">
        <v>1</v>
      </c>
      <c r="I7348" s="1" t="s">
        <v>14103</v>
      </c>
      <c r="K7348" s="1" t="str">
        <f t="shared" si="465"/>
        <v>ㄐ</v>
      </c>
      <c r="L7348" s="1" t="str">
        <f t="shared" si="466"/>
        <v>ㄧ</v>
      </c>
      <c r="M7348" s="1" t="str">
        <f t="shared" si="467"/>
        <v>ㄣ</v>
      </c>
      <c r="P7348" s="1" t="s">
        <v>20</v>
      </c>
      <c r="R7348" s="1" t="s">
        <v>14104</v>
      </c>
      <c r="V7348" s="1" t="s">
        <v>14120</v>
      </c>
      <c r="W7348" s="1" t="s">
        <v>14121</v>
      </c>
      <c r="AR7348" s="1" t="str">
        <f t="shared" si="464"/>
        <v>| [ㄐㄧㄣˋ](ㄐㄧㄣˋ.md) | [鄑](鄑.md) |  | jìn | [名]
地名：(1)春秋時魯、宋交界的地方。約位於今大陸地區山東省濟寧縣境。《說文解字．邑部》：「鄑，宋、魯閒地。」(2)春秋時紀國邑城。約位於今大陸地區山東省昌邑縣境。 |</v>
      </c>
    </row>
    <row r="7349" spans="1:44" hidden="1">
      <c r="A7349" s="1" t="s">
        <v>14122</v>
      </c>
      <c r="C7349" s="1">
        <v>1</v>
      </c>
      <c r="D7349" s="1" t="str">
        <f>"05869"</f>
        <v>05869</v>
      </c>
      <c r="E7349" s="1" t="s">
        <v>725</v>
      </c>
      <c r="F7349" s="1">
        <v>16</v>
      </c>
      <c r="G7349" s="1">
        <v>10</v>
      </c>
      <c r="H7349" s="1">
        <v>0</v>
      </c>
      <c r="I7349" s="1" t="s">
        <v>14103</v>
      </c>
      <c r="K7349" s="1" t="str">
        <f t="shared" si="465"/>
        <v>ㄐ</v>
      </c>
      <c r="L7349" s="1" t="str">
        <f t="shared" si="466"/>
        <v>ㄧ</v>
      </c>
      <c r="M7349" s="1" t="str">
        <f t="shared" si="467"/>
        <v>ㄣ</v>
      </c>
      <c r="P7349" s="1" t="s">
        <v>20</v>
      </c>
      <c r="R7349" s="1" t="s">
        <v>14104</v>
      </c>
      <c r="V7349" s="1" t="s">
        <v>14123</v>
      </c>
      <c r="AR7349" s="1" t="str">
        <f t="shared" si="464"/>
        <v>| [ㄐㄧㄣˋ](ㄐㄧㄣˋ.md) | [縉](縉.md) |  | jìn | [名]
紅色的絲織物。《說文解字．糸部》：「縉，帛赤色也。」 |</v>
      </c>
    </row>
    <row r="7350" spans="1:44" hidden="1">
      <c r="A7350" s="1" t="s">
        <v>14064</v>
      </c>
      <c r="C7350" s="1">
        <v>1</v>
      </c>
      <c r="D7350" s="1" t="str">
        <f>"05870"</f>
        <v>05870</v>
      </c>
      <c r="E7350" s="1" t="s">
        <v>132</v>
      </c>
      <c r="F7350" s="1">
        <v>11</v>
      </c>
      <c r="G7350" s="1">
        <v>8</v>
      </c>
      <c r="H7350" s="1">
        <v>2</v>
      </c>
      <c r="I7350" s="1" t="s">
        <v>14103</v>
      </c>
      <c r="K7350" s="1" t="str">
        <f t="shared" si="465"/>
        <v>ㄐ</v>
      </c>
      <c r="L7350" s="1" t="str">
        <f t="shared" si="466"/>
        <v>ㄧ</v>
      </c>
      <c r="M7350" s="1" t="str">
        <f t="shared" si="467"/>
        <v>ㄣ</v>
      </c>
      <c r="P7350" s="1" t="s">
        <v>110</v>
      </c>
      <c r="R7350" s="1" t="s">
        <v>14104</v>
      </c>
      <c r="V7350" s="1" t="s">
        <v>111</v>
      </c>
      <c r="W7350" s="1" t="s">
        <v>14124</v>
      </c>
      <c r="AR7350" s="1" t="str">
        <f t="shared" si="464"/>
        <v>| [ㄐㄧㄣˋ](ㄐㄧㄣˋ.md) | [堇](堇.md) |  | jìn | (一)之又音。 |</v>
      </c>
    </row>
    <row r="7351" spans="1:44" hidden="1">
      <c r="A7351" s="1" t="s">
        <v>14069</v>
      </c>
      <c r="C7351" s="1">
        <v>1</v>
      </c>
      <c r="D7351" s="1" t="str">
        <f>"05871"</f>
        <v>05871</v>
      </c>
      <c r="E7351" s="1" t="s">
        <v>114</v>
      </c>
      <c r="F7351" s="1">
        <v>13</v>
      </c>
      <c r="G7351" s="1">
        <v>11</v>
      </c>
      <c r="H7351" s="1">
        <v>2</v>
      </c>
      <c r="I7351" s="1" t="s">
        <v>14103</v>
      </c>
      <c r="K7351" s="1" t="str">
        <f t="shared" si="465"/>
        <v>ㄐ</v>
      </c>
      <c r="L7351" s="1" t="str">
        <f t="shared" si="466"/>
        <v>ㄧ</v>
      </c>
      <c r="M7351" s="1" t="str">
        <f t="shared" si="467"/>
        <v>ㄣ</v>
      </c>
      <c r="P7351" s="1" t="s">
        <v>110</v>
      </c>
      <c r="R7351" s="1" t="s">
        <v>14104</v>
      </c>
      <c r="V7351" s="1" t="s">
        <v>111</v>
      </c>
      <c r="W7351" s="1" t="s">
        <v>14125</v>
      </c>
      <c r="AR7351" s="1" t="str">
        <f t="shared" si="464"/>
        <v>| [ㄐㄧㄣˋ](ㄐㄧㄣˋ.md) | [僅](僅.md) |  | jìn | (一)之又音。 |</v>
      </c>
    </row>
    <row r="7352" spans="1:44" hidden="1">
      <c r="A7352" s="1" t="s">
        <v>14072</v>
      </c>
      <c r="C7352" s="1">
        <v>1</v>
      </c>
      <c r="D7352" s="1" t="str">
        <f>"05872"</f>
        <v>05872</v>
      </c>
      <c r="E7352" s="1" t="s">
        <v>447</v>
      </c>
      <c r="F7352" s="1">
        <v>14</v>
      </c>
      <c r="G7352" s="1">
        <v>11</v>
      </c>
      <c r="H7352" s="1">
        <v>2</v>
      </c>
      <c r="I7352" s="1" t="s">
        <v>14103</v>
      </c>
      <c r="K7352" s="1" t="str">
        <f t="shared" si="465"/>
        <v>ㄐ</v>
      </c>
      <c r="L7352" s="1" t="str">
        <f t="shared" si="466"/>
        <v>ㄧ</v>
      </c>
      <c r="M7352" s="1" t="str">
        <f t="shared" si="467"/>
        <v>ㄣ</v>
      </c>
      <c r="P7352" s="1" t="s">
        <v>110</v>
      </c>
      <c r="R7352" s="1" t="s">
        <v>14104</v>
      </c>
      <c r="V7352" s="1" t="s">
        <v>111</v>
      </c>
      <c r="W7352" s="1" t="s">
        <v>14126</v>
      </c>
      <c r="AR7352" s="1" t="str">
        <f t="shared" si="464"/>
        <v>| [ㄐㄧㄣˋ](ㄐㄧㄣˋ.md) | [廑](廑.md) |  | jìn | (一)之又音。 |</v>
      </c>
    </row>
    <row r="7353" spans="1:44" hidden="1">
      <c r="A7353" s="1" t="s">
        <v>14075</v>
      </c>
      <c r="C7353" s="1">
        <v>1</v>
      </c>
      <c r="D7353" s="1" t="str">
        <f>"05873"</f>
        <v>05873</v>
      </c>
      <c r="E7353" s="1" t="s">
        <v>132</v>
      </c>
      <c r="F7353" s="1">
        <v>14</v>
      </c>
      <c r="G7353" s="1">
        <v>11</v>
      </c>
      <c r="H7353" s="1">
        <v>2</v>
      </c>
      <c r="I7353" s="1" t="s">
        <v>14103</v>
      </c>
      <c r="K7353" s="1" t="str">
        <f t="shared" si="465"/>
        <v>ㄐ</v>
      </c>
      <c r="L7353" s="1" t="str">
        <f t="shared" si="466"/>
        <v>ㄧ</v>
      </c>
      <c r="M7353" s="1" t="str">
        <f t="shared" si="467"/>
        <v>ㄣ</v>
      </c>
      <c r="P7353" s="1" t="s">
        <v>110</v>
      </c>
      <c r="R7353" s="1" t="s">
        <v>14104</v>
      </c>
      <c r="V7353" s="1" t="s">
        <v>111</v>
      </c>
      <c r="W7353" s="1" t="s">
        <v>14127</v>
      </c>
      <c r="AR7353" s="1" t="str">
        <f t="shared" si="464"/>
        <v>| [ㄐㄧㄣˋ](ㄐㄧㄣˋ.md) | [墐](墐.md) |  | jìn | (一)之又音。 |</v>
      </c>
    </row>
    <row r="7354" spans="1:44" hidden="1">
      <c r="A7354" s="1" t="s">
        <v>14078</v>
      </c>
      <c r="C7354" s="1">
        <v>1</v>
      </c>
      <c r="D7354" s="1" t="str">
        <f>"05874"</f>
        <v>05874</v>
      </c>
      <c r="E7354" s="1" t="s">
        <v>142</v>
      </c>
      <c r="F7354" s="1">
        <v>15</v>
      </c>
      <c r="G7354" s="1">
        <v>11</v>
      </c>
      <c r="H7354" s="1">
        <v>2</v>
      </c>
      <c r="I7354" s="1" t="s">
        <v>14103</v>
      </c>
      <c r="K7354" s="1" t="str">
        <f t="shared" si="465"/>
        <v>ㄐ</v>
      </c>
      <c r="L7354" s="1" t="str">
        <f t="shared" si="466"/>
        <v>ㄧ</v>
      </c>
      <c r="M7354" s="1" t="str">
        <f t="shared" si="467"/>
        <v>ㄣ</v>
      </c>
      <c r="P7354" s="1" t="s">
        <v>110</v>
      </c>
      <c r="R7354" s="1" t="s">
        <v>14104</v>
      </c>
      <c r="V7354" s="1" t="s">
        <v>111</v>
      </c>
      <c r="W7354" s="1" t="s">
        <v>14128</v>
      </c>
      <c r="AR7354" s="1" t="str">
        <f t="shared" si="464"/>
        <v>| [ㄐㄧㄣˋ](ㄐㄧㄣˋ.md) | [瑾](瑾.md) |  | jìn | (一)之又音。 |</v>
      </c>
    </row>
    <row r="7355" spans="1:44" hidden="1">
      <c r="A7355" s="1" t="s">
        <v>14085</v>
      </c>
      <c r="C7355" s="1">
        <v>1</v>
      </c>
      <c r="D7355" s="1" t="str">
        <f>"05875"</f>
        <v>05875</v>
      </c>
      <c r="E7355" s="1" t="s">
        <v>1372</v>
      </c>
      <c r="F7355" s="1">
        <v>15</v>
      </c>
      <c r="G7355" s="1">
        <v>11</v>
      </c>
      <c r="H7355" s="1">
        <v>2</v>
      </c>
      <c r="I7355" s="1" t="s">
        <v>14103</v>
      </c>
      <c r="K7355" s="1" t="str">
        <f t="shared" si="465"/>
        <v>ㄐ</v>
      </c>
      <c r="L7355" s="1" t="str">
        <f t="shared" si="466"/>
        <v>ㄧ</v>
      </c>
      <c r="M7355" s="1" t="str">
        <f t="shared" si="467"/>
        <v>ㄣ</v>
      </c>
      <c r="P7355" s="1" t="s">
        <v>110</v>
      </c>
      <c r="R7355" s="1" t="s">
        <v>14104</v>
      </c>
      <c r="V7355" s="1" t="s">
        <v>111</v>
      </c>
      <c r="W7355" s="1" t="s">
        <v>14129</v>
      </c>
      <c r="AR7355" s="1" t="str">
        <f t="shared" si="464"/>
        <v>| [ㄐㄧㄣˋ](ㄐㄧㄣˋ.md) | [殣](殣.md) |  | jìn | (一)之又音。 |</v>
      </c>
    </row>
    <row r="7356" spans="1:44" hidden="1">
      <c r="A7356" s="1" t="s">
        <v>14090</v>
      </c>
      <c r="C7356" s="1">
        <v>1</v>
      </c>
      <c r="D7356" s="1" t="str">
        <f>"05876"</f>
        <v>05876</v>
      </c>
      <c r="E7356" s="1" t="s">
        <v>2233</v>
      </c>
      <c r="F7356" s="1">
        <v>18</v>
      </c>
      <c r="G7356" s="1">
        <v>11</v>
      </c>
      <c r="H7356" s="1">
        <v>2</v>
      </c>
      <c r="I7356" s="1" t="s">
        <v>14103</v>
      </c>
      <c r="K7356" s="1" t="str">
        <f t="shared" si="465"/>
        <v>ㄐ</v>
      </c>
      <c r="L7356" s="1" t="str">
        <f t="shared" si="466"/>
        <v>ㄧ</v>
      </c>
      <c r="M7356" s="1" t="str">
        <f t="shared" si="467"/>
        <v>ㄣ</v>
      </c>
      <c r="P7356" s="1" t="s">
        <v>110</v>
      </c>
      <c r="R7356" s="1" t="s">
        <v>14104</v>
      </c>
      <c r="V7356" s="1" t="s">
        <v>111</v>
      </c>
      <c r="W7356" s="1" t="s">
        <v>14130</v>
      </c>
      <c r="AR7356" s="1" t="str">
        <f t="shared" si="464"/>
        <v>| [ㄐㄧㄣˋ](ㄐㄧㄣˋ.md) | [覲](覲.md) |  | jìn | (一)之又音。 |</v>
      </c>
    </row>
    <row r="7357" spans="1:44" hidden="1">
      <c r="A7357" s="1" t="s">
        <v>14093</v>
      </c>
      <c r="C7357" s="1">
        <v>1</v>
      </c>
      <c r="D7357" s="1" t="str">
        <f>"05877"</f>
        <v>05877</v>
      </c>
      <c r="E7357" s="1" t="s">
        <v>193</v>
      </c>
      <c r="F7357" s="1">
        <v>19</v>
      </c>
      <c r="G7357" s="1">
        <v>11</v>
      </c>
      <c r="H7357" s="1">
        <v>2</v>
      </c>
      <c r="I7357" s="1" t="s">
        <v>14103</v>
      </c>
      <c r="K7357" s="1" t="str">
        <f t="shared" si="465"/>
        <v>ㄐ</v>
      </c>
      <c r="L7357" s="1" t="str">
        <f t="shared" si="466"/>
        <v>ㄧ</v>
      </c>
      <c r="M7357" s="1" t="str">
        <f t="shared" si="467"/>
        <v>ㄣ</v>
      </c>
      <c r="P7357" s="1" t="s">
        <v>110</v>
      </c>
      <c r="R7357" s="1" t="s">
        <v>14104</v>
      </c>
      <c r="V7357" s="1" t="s">
        <v>111</v>
      </c>
      <c r="W7357" s="1" t="s">
        <v>14131</v>
      </c>
      <c r="AR7357" s="1" t="str">
        <f t="shared" si="464"/>
        <v>| [ㄐㄧㄣˋ](ㄐㄧㄣˋ.md) | [饉](饉.md) |  | jìn | (一)之又音。 |</v>
      </c>
    </row>
    <row r="7358" spans="1:44" hidden="1">
      <c r="A7358" s="1" t="s">
        <v>14132</v>
      </c>
      <c r="C7358" s="1">
        <v>1</v>
      </c>
      <c r="D7358" s="1" t="str">
        <f>"05878"</f>
        <v>05878</v>
      </c>
      <c r="E7358" s="1" t="s">
        <v>558</v>
      </c>
      <c r="F7358" s="1">
        <v>12</v>
      </c>
      <c r="G7358" s="1">
        <v>8</v>
      </c>
      <c r="H7358" s="1">
        <v>0</v>
      </c>
      <c r="I7358" s="1" t="s">
        <v>14103</v>
      </c>
      <c r="K7358" s="1" t="str">
        <f t="shared" si="465"/>
        <v>ㄐ</v>
      </c>
      <c r="L7358" s="1" t="str">
        <f t="shared" si="466"/>
        <v>ㄧ</v>
      </c>
      <c r="M7358" s="1" t="str">
        <f t="shared" si="467"/>
        <v>ㄣ</v>
      </c>
      <c r="P7358" s="1" t="s">
        <v>20</v>
      </c>
      <c r="R7358" s="1" t="s">
        <v>14104</v>
      </c>
      <c r="V7358" s="1" t="s">
        <v>14133</v>
      </c>
      <c r="AR7358" s="1" t="str">
        <f t="shared" si="464"/>
        <v>| [ㄐㄧㄣˋ](ㄐㄧㄣˋ.md) | [進](進.md) |  | jìn | [動]
1.向上或向前移動。相對於「退」。如：「前進」、「進攻」。
2.由外入內。如：「進門」、「閒人免進」、「非請勿進」。《三國演義》第九五回：「今大開城門，必有埋伏。我兵若進，中其計也。」
3.出仕、做官。《孟子．公孫丑上》：「治則進，亂則退，伯夷也。」《荀子．大略》：「君子進則能益上之譽而損下之憂。」
4.推荐。如：「引進」。《周禮．夏官．大司馬》：「進賢興功，以作邦國。」
5.呈獻、奉上。如：「進貢」。《禮記．曲禮上》：「侍飲於長者，酒進則起。」《三國演義》第一九回：「但到處，聞劉豫州，皆爭進飲食。」
6.積極、努力。如：「進取」。
7.收入、買入。如：「進帳」、「進貨」、「日進斗金」。
[名]
1.舊式房舍的院落層次。如：「兩進院子」。《儒林外史》第一四回：「右邊一路，一間一間的房子，都有兩進。」
2.姓。如漢代有進險。 |</v>
      </c>
    </row>
    <row r="7359" spans="1:44" hidden="1">
      <c r="A7359" s="1" t="s">
        <v>14134</v>
      </c>
      <c r="C7359" s="1">
        <v>1</v>
      </c>
      <c r="D7359" s="1" t="str">
        <f>"05879"</f>
        <v>05879</v>
      </c>
      <c r="E7359" s="1" t="s">
        <v>96</v>
      </c>
      <c r="F7359" s="1">
        <v>13</v>
      </c>
      <c r="G7359" s="1">
        <v>4</v>
      </c>
      <c r="H7359" s="1">
        <v>0</v>
      </c>
      <c r="I7359" s="1" t="s">
        <v>14103</v>
      </c>
      <c r="K7359" s="1" t="str">
        <f t="shared" si="465"/>
        <v>ㄐ</v>
      </c>
      <c r="L7359" s="1" t="str">
        <f t="shared" si="466"/>
        <v>ㄧ</v>
      </c>
      <c r="M7359" s="1" t="str">
        <f t="shared" si="467"/>
        <v>ㄣ</v>
      </c>
      <c r="P7359" s="1" t="s">
        <v>20</v>
      </c>
      <c r="R7359" s="1" t="s">
        <v>14104</v>
      </c>
      <c r="V7359" s="1" t="s">
        <v>14135</v>
      </c>
      <c r="AR7359" s="1" t="str">
        <f t="shared" si="464"/>
        <v>| [ㄐㄧㄣˋ](ㄐㄧㄣˋ.md) | [靳](靳.md) |  | jìn | [名]
1.古代四馬駕車，中間兩匹馬當胸繫著的皮帶。《左傳．定公九年》：「吾從子，如驂之靳。」唐．孔穎達．正義：「古人車駕四馬，夾轅二馬謂之服，兩首齊，其外二馬謂之驂，首差退。靳是當胸之皮也。」
2.姓。如清代有靳輔。
[動]
1.吝惜。宋．蘇軾〈杭州上執政書〉：「上戶有米者，皆靳借不肯出。」
2.嘲弄、戲弄。《新唐書．卷一九六．隱逸傳．王績傳》：「績之仕，以醉失職，鄉人靳之。」 |</v>
      </c>
    </row>
    <row r="7360" spans="1:44" hidden="1">
      <c r="A7360" s="1" t="s">
        <v>14055</v>
      </c>
      <c r="C7360" s="1">
        <v>1</v>
      </c>
      <c r="D7360" s="1" t="str">
        <f>"05880"</f>
        <v>05880</v>
      </c>
      <c r="E7360" s="1" t="s">
        <v>825</v>
      </c>
      <c r="F7360" s="1">
        <v>13</v>
      </c>
      <c r="G7360" s="1">
        <v>8</v>
      </c>
      <c r="H7360" s="1">
        <v>1</v>
      </c>
      <c r="I7360" s="1" t="s">
        <v>14103</v>
      </c>
      <c r="K7360" s="1" t="str">
        <f t="shared" si="465"/>
        <v>ㄐ</v>
      </c>
      <c r="L7360" s="1" t="str">
        <f t="shared" si="466"/>
        <v>ㄧ</v>
      </c>
      <c r="M7360" s="1" t="str">
        <f t="shared" si="467"/>
        <v>ㄣ</v>
      </c>
      <c r="P7360" s="1" t="s">
        <v>20</v>
      </c>
      <c r="R7360" s="1" t="s">
        <v>14104</v>
      </c>
      <c r="V7360" s="1" t="s">
        <v>14136</v>
      </c>
      <c r="W7360" s="1" t="s">
        <v>14137</v>
      </c>
      <c r="AR7360" s="1" t="str">
        <f t="shared" si="464"/>
        <v>| [ㄐㄧㄣˋ](ㄐㄧㄣˋ.md) | [禁](禁.md) |  | jìn | [動]
1.制止。如：「禁菸」、「嚴禁煙火」、「禁倒垃圾」。
2.拘押。如：「拘禁」、「囚禁」。《遼史．卷一一二．逆臣傳．耶律重元傳》：「先是契丹人犯法，例須漢人禁勘，受枉者多。」
[名]
1.避諱、忌諱的事。如：「入國問禁」、「時禁」。漢．王充《論衡．譏日》：「衰世好信禁，不肖君好求福。」
2.法律、習俗所不允許的行為。如：「酒禁」、「宵禁」。《三國志．卷二四．魏書．高柔傳》：「親田者既減，加頃復有獵禁。」
3.古時稱天子居住的地方。如：「宮禁」、「紫禁」。《史記．卷六．秦始皇本紀》：「二世常居禁中，與高決諸事。」 |</v>
      </c>
    </row>
    <row r="7361" spans="1:44" hidden="1">
      <c r="A7361" s="1" t="s">
        <v>14138</v>
      </c>
      <c r="C7361" s="1">
        <v>1</v>
      </c>
      <c r="D7361" s="1" t="str">
        <f>"05881"</f>
        <v>05881</v>
      </c>
      <c r="E7361" s="1" t="s">
        <v>28</v>
      </c>
      <c r="F7361" s="1">
        <v>16</v>
      </c>
      <c r="G7361" s="1">
        <v>13</v>
      </c>
      <c r="H7361" s="1">
        <v>0</v>
      </c>
      <c r="I7361" s="1" t="s">
        <v>14103</v>
      </c>
      <c r="K7361" s="1" t="str">
        <f t="shared" si="465"/>
        <v>ㄐ</v>
      </c>
      <c r="L7361" s="1" t="str">
        <f t="shared" si="466"/>
        <v>ㄧ</v>
      </c>
      <c r="M7361" s="1" t="str">
        <f t="shared" si="467"/>
        <v>ㄣ</v>
      </c>
      <c r="P7361" s="1" t="s">
        <v>20</v>
      </c>
      <c r="R7361" s="1" t="s">
        <v>14104</v>
      </c>
      <c r="V7361" s="1" t="s">
        <v>14139</v>
      </c>
      <c r="AR7361" s="1" t="str">
        <f t="shared" si="464"/>
        <v>| [ㄐㄧㄣˋ](ㄐㄧㄣˋ.md) | [噤](噤.md) |  | jìn | [動]
閉嘴不作聲。如：「噤若寒蟬」、「噤口不語」。《史記．卷一〇一．袁盎鼂錯傳》：「臣恐天下之士噤口，不敢復言也。」
[名]
因受驚或受寒而身體顫抖的現象。如：「凍噤」、「打了個寒噤」。 |</v>
      </c>
    </row>
    <row r="7362" spans="1:44" hidden="1">
      <c r="A7362" s="1" t="s">
        <v>14140</v>
      </c>
      <c r="C7362" s="1">
        <v>1</v>
      </c>
      <c r="D7362" s="1" t="str">
        <f>"05882"</f>
        <v>05882</v>
      </c>
      <c r="E7362" s="1" t="s">
        <v>438</v>
      </c>
      <c r="F7362" s="1">
        <v>14</v>
      </c>
      <c r="G7362" s="1">
        <v>9</v>
      </c>
      <c r="H7362" s="1">
        <v>0</v>
      </c>
      <c r="I7362" s="1" t="s">
        <v>14103</v>
      </c>
      <c r="K7362" s="1" t="str">
        <f t="shared" si="465"/>
        <v>ㄐ</v>
      </c>
      <c r="L7362" s="1" t="str">
        <f t="shared" si="466"/>
        <v>ㄧ</v>
      </c>
      <c r="M7362" s="1" t="str">
        <f t="shared" si="467"/>
        <v>ㄣ</v>
      </c>
      <c r="P7362" s="1" t="s">
        <v>20</v>
      </c>
      <c r="R7362" s="1" t="s">
        <v>14104</v>
      </c>
      <c r="V7362" s="1" t="s">
        <v>14141</v>
      </c>
      <c r="AR7362" s="1" t="str">
        <f t="shared" si="464"/>
        <v>| [ㄐㄧㄣˋ](ㄐㄧㄣˋ.md) | [盡](盡.md) |  | jìn | [動]
1.完結、終止。如：「取之不盡」、「無窮無盡」、「冬盡春來」。唐．李商隱〈無題〉詩：「春蠶到死絲方盡，蠟炬成灰淚始乾。」
2.全部用出，竭力、努力完成。如：「竭盡所能」、「盡其所長」。《孟子．梁惠王上》：「寡人之於國也，盡心焉耳矣。」
3.死亡。如：「自盡」。《文選．陶淵明．歸去來辭》：「聊乘化以歸盡。」唐．李善．注：「盡謂之死。」
4.隱沒。唐．王之渙〈登鸛雀樓〉詩：「白日依山盡，黃河入海流。」
[形]
完備。如：「詳盡」。
[副]
1.全部、都。如：「應有盡有」、「盡在不言中」。《左傳．昭公二年》：「周禮盡在魯矣。」
2.極端、達到極限。如：「盡善盡美」。《文選．皇甫謐．三都賦序》：「引而申之，故文必極美；觸類而長之，故辭必盡麗。」 |</v>
      </c>
    </row>
    <row r="7363" spans="1:44" hidden="1">
      <c r="A7363" s="1" t="s">
        <v>14142</v>
      </c>
      <c r="C7363" s="1">
        <v>1</v>
      </c>
      <c r="D7363" s="1" t="str">
        <f>"05883"</f>
        <v>05883</v>
      </c>
      <c r="E7363" s="1" t="s">
        <v>129</v>
      </c>
      <c r="F7363" s="1">
        <v>17</v>
      </c>
      <c r="G7363" s="1">
        <v>14</v>
      </c>
      <c r="H7363" s="1">
        <v>0</v>
      </c>
      <c r="I7363" s="1" t="s">
        <v>14103</v>
      </c>
      <c r="K7363" s="1" t="str">
        <f t="shared" si="465"/>
        <v>ㄐ</v>
      </c>
      <c r="L7363" s="1" t="str">
        <f t="shared" si="466"/>
        <v>ㄧ</v>
      </c>
      <c r="M7363" s="1" t="str">
        <f t="shared" si="467"/>
        <v>ㄣ</v>
      </c>
      <c r="P7363" s="1" t="s">
        <v>20</v>
      </c>
      <c r="R7363" s="1" t="s">
        <v>14104</v>
      </c>
      <c r="V7363" s="1" t="s">
        <v>14143</v>
      </c>
      <c r="AR7363" s="1" t="str">
        <f t="shared" ref="AR7363:AR7426" si="468">"| ["&amp;I7363&amp;"]("&amp;I7363&amp;".md) | ["&amp;A7363&amp;"]("&amp;A7363&amp;".md) | "&amp;" | "&amp;R7363&amp;" | "&amp;V7363&amp;" |"</f>
        <v>| [ㄐㄧㄣˋ](ㄐㄧㄣˋ.md) | [濜](濜.md) |  | jìn | [形]
濜溳：水流湍急的樣子。《廣韻．上聲．軫韻》：「濜，濜溳，水流急貌。」《文選．郭璞．江賦》：「溭淢濜溳，龍鱗結絡。」
[名]
河川名：(1)位於大陸地區河北省棗縣境。灘多水淺，不利舟楫，至襄陽縣與唐河匯合後注入漢水。(2)位於大陸地區陝西省沔縣西。 |</v>
      </c>
    </row>
    <row r="7364" spans="1:44" hidden="1">
      <c r="A7364" s="1" t="s">
        <v>14144</v>
      </c>
      <c r="C7364" s="1">
        <v>1</v>
      </c>
      <c r="D7364" s="1" t="str">
        <f>"05884"</f>
        <v>05884</v>
      </c>
      <c r="E7364" s="1" t="s">
        <v>336</v>
      </c>
      <c r="F7364" s="1">
        <v>18</v>
      </c>
      <c r="G7364" s="1">
        <v>14</v>
      </c>
      <c r="H7364" s="1">
        <v>0</v>
      </c>
      <c r="I7364" s="1" t="s">
        <v>14103</v>
      </c>
      <c r="K7364" s="1" t="str">
        <f t="shared" ref="K7364:K7427" si="469">LEFT(I7364, 1)</f>
        <v>ㄐ</v>
      </c>
      <c r="L7364" s="1" t="str">
        <f t="shared" ref="L7364:L7427" si="470">MID(I7364, 2, 1)</f>
        <v>ㄧ</v>
      </c>
      <c r="M7364" s="1" t="str">
        <f t="shared" ref="M7364:M7427" si="471">MID(I7364, 3, 1)</f>
        <v>ㄣ</v>
      </c>
      <c r="P7364" s="1" t="s">
        <v>20</v>
      </c>
      <c r="R7364" s="1" t="s">
        <v>14104</v>
      </c>
      <c r="V7364" s="1" t="s">
        <v>14145</v>
      </c>
      <c r="AR7364" s="1" t="str">
        <f t="shared" si="468"/>
        <v>| [ㄐㄧㄣˋ](ㄐㄧㄣˋ.md) | [燼](燼.md) |  | jìn | [名]
1.物體燃燒後剩餘的東西。如：「餘燼」。《文選．曹冏．六代論》：「宗廟焚為灰燼，宮室變為蓁藪。」宋．陸游〈秋夜〉詩：「倦叟投床早，昏燈落燼頻。」
2.遺民。《左傳．襄公四年》：「靡自有鬲氏，收二國之燼，以滅浞而立少康。」晉．杜預．注：「燼，遺民。」
[動]
燒毀。《抱朴子．內篇．道意》：「大火既過，時餘不燼草木。」宋．蘇軾〈玉堂硯銘〉：「燼南山之松，為煤無餘。」 |</v>
      </c>
    </row>
    <row r="7365" spans="1:44" hidden="1">
      <c r="A7365" s="1" t="s">
        <v>14146</v>
      </c>
      <c r="C7365" s="1">
        <v>1</v>
      </c>
      <c r="D7365" s="1" t="str">
        <f>"05885"</f>
        <v>05885</v>
      </c>
      <c r="E7365" s="1" t="s">
        <v>37</v>
      </c>
      <c r="F7365" s="1">
        <v>18</v>
      </c>
      <c r="G7365" s="1">
        <v>14</v>
      </c>
      <c r="H7365" s="1">
        <v>0</v>
      </c>
      <c r="I7365" s="1" t="s">
        <v>14103</v>
      </c>
      <c r="K7365" s="1" t="str">
        <f t="shared" si="469"/>
        <v>ㄐ</v>
      </c>
      <c r="L7365" s="1" t="str">
        <f t="shared" si="470"/>
        <v>ㄧ</v>
      </c>
      <c r="M7365" s="1" t="str">
        <f t="shared" si="471"/>
        <v>ㄣ</v>
      </c>
      <c r="P7365" s="1" t="s">
        <v>20</v>
      </c>
      <c r="R7365" s="1" t="s">
        <v>14104</v>
      </c>
      <c r="V7365" s="1" t="s">
        <v>14147</v>
      </c>
      <c r="AR7365" s="1" t="str">
        <f t="shared" si="468"/>
        <v>| [ㄐㄧㄣˋ](ㄐㄧㄣˋ.md) | [藎](藎.md) |  | jìn | [名]
植物名。禾本科藎草屬，「藎草」之簡稱，參見「藎草」條。一年生草本。
[形]
忠愛、忠誠。如：「忠藎」。《詩經．大雅．文王》：「王之藎臣，無念爾祖。」 |</v>
      </c>
    </row>
    <row r="7366" spans="1:44" hidden="1">
      <c r="A7366" s="1" t="s">
        <v>14148</v>
      </c>
      <c r="C7366" s="1">
        <v>1</v>
      </c>
      <c r="D7366" s="1" t="str">
        <f>"05886"</f>
        <v>05886</v>
      </c>
      <c r="E7366" s="1" t="s">
        <v>505</v>
      </c>
      <c r="F7366" s="1">
        <v>21</v>
      </c>
      <c r="G7366" s="1">
        <v>14</v>
      </c>
      <c r="H7366" s="1">
        <v>0</v>
      </c>
      <c r="I7366" s="1" t="s">
        <v>14103</v>
      </c>
      <c r="K7366" s="1" t="str">
        <f t="shared" si="469"/>
        <v>ㄐ</v>
      </c>
      <c r="L7366" s="1" t="str">
        <f t="shared" si="470"/>
        <v>ㄧ</v>
      </c>
      <c r="M7366" s="1" t="str">
        <f t="shared" si="471"/>
        <v>ㄣ</v>
      </c>
      <c r="P7366" s="1" t="s">
        <v>20</v>
      </c>
      <c r="R7366" s="1" t="s">
        <v>14104</v>
      </c>
      <c r="V7366" s="1" t="s">
        <v>14149</v>
      </c>
      <c r="AR7366" s="1" t="str">
        <f t="shared" si="468"/>
        <v>| [ㄐㄧㄣˋ](ㄐㄧㄣˋ.md) | [贐](贐.md) |  | jìn | [名]
1.送行贈別的財物。《孟子．公孫丑下》：「予將有遠行，行者必以贐。」《聊齋志異．卷一．王六郎》：「許堅辭欲行，眾乃折柬抱襆，爭來致贐。」
2.外國進貢的財物。《文選．顏延之．赭白馬賦》：「或逾遠而納贐。」 |</v>
      </c>
    </row>
    <row r="7367" spans="1:44" hidden="1">
      <c r="A7367" s="1" t="s">
        <v>14741</v>
      </c>
      <c r="C7367" s="1">
        <v>1</v>
      </c>
      <c r="D7367" s="1" t="str">
        <f>"06154"</f>
        <v>06154</v>
      </c>
      <c r="E7367" s="1" t="s">
        <v>132</v>
      </c>
      <c r="F7367" s="1">
        <v>7</v>
      </c>
      <c r="G7367" s="1">
        <v>4</v>
      </c>
      <c r="H7367" s="1">
        <v>1</v>
      </c>
      <c r="I7367" s="1" t="s">
        <v>14742</v>
      </c>
      <c r="K7367" s="1" t="str">
        <f t="shared" si="469"/>
        <v>ㄐ</v>
      </c>
      <c r="L7367" s="1" t="str">
        <f t="shared" si="470"/>
        <v>ㄩ</v>
      </c>
      <c r="M7367" s="1" t="str">
        <f t="shared" si="471"/>
        <v>ㄣ</v>
      </c>
      <c r="P7367" s="1" t="s">
        <v>20</v>
      </c>
      <c r="R7367" s="1" t="s">
        <v>14743</v>
      </c>
      <c r="V7367" s="1" t="s">
        <v>14744</v>
      </c>
      <c r="W7367" s="1" t="s">
        <v>14745</v>
      </c>
      <c r="AR7367" s="1" t="str">
        <f t="shared" si="468"/>
        <v>| [ㄐㄩㄣ](ㄐㄩㄣ.md) | [均](均.md) |  | jūn | [形]_x000D_
等同、沒有輕重多寡之分的。如：「平均」、「均勻」、「貧富不均」、「勢均力敵」。_x000D_
[副]_x000D_
1.公平、相等。如：「均分」、「均攤」。_x000D_
2.皆、全部。如：「老少均安」、「均已脫險」。_x000D_
[動]_x000D_
調和、調節。《詩經．小雅．皇皇者華》：「我馬維駰，六轡既均。」漢．毛亨．傳：「均，調也。」晉．張協〈七命〉：「營匠斲其樸，伶倫均其聲。」_x000D_
[名]_x000D_
1.製造陶、瓦器時所用的旋轉臺。《管子．七法》：「不明於則而欲出號令，猶立朝夕於運均之上。」_x000D_
2.量詞。古代計算容量的單位。二千五百石為一均。《漢書．卷二四．食貨志下》：「令官作酒，以二千五百石為均。」 |</v>
      </c>
    </row>
    <row r="7368" spans="1:44" hidden="1">
      <c r="A7368" s="1" t="s">
        <v>14746</v>
      </c>
      <c r="C7368" s="1">
        <v>1</v>
      </c>
      <c r="D7368" s="1" t="str">
        <f>"06155"</f>
        <v>06155</v>
      </c>
      <c r="E7368" s="1" t="s">
        <v>340</v>
      </c>
      <c r="F7368" s="1">
        <v>10</v>
      </c>
      <c r="G7368" s="1">
        <v>4</v>
      </c>
      <c r="H7368" s="1">
        <v>0</v>
      </c>
      <c r="I7368" s="1" t="s">
        <v>14742</v>
      </c>
      <c r="K7368" s="1" t="str">
        <f t="shared" si="469"/>
        <v>ㄐ</v>
      </c>
      <c r="L7368" s="1" t="str">
        <f t="shared" si="470"/>
        <v>ㄩ</v>
      </c>
      <c r="M7368" s="1" t="str">
        <f t="shared" si="471"/>
        <v>ㄣ</v>
      </c>
      <c r="P7368" s="1" t="s">
        <v>20</v>
      </c>
      <c r="R7368" s="1" t="s">
        <v>14743</v>
      </c>
      <c r="V7368" s="1" t="s">
        <v>14747</v>
      </c>
      <c r="AR7368" s="1" t="str">
        <f t="shared" si="468"/>
        <v>| [ㄐㄩㄣ](ㄐㄩㄣ.md) | [袀](袀.md) |  | jūn | [名]_x000D_
戎服。《廣韻．平聲．諄韻》：「袀，戎衣也。」_x000D_
[形]_x000D_
相同、純一。《呂氏春秋．先識覽．悔過》：「今袀服回建，左不軾，而右之。」漢．高誘．注：「袀，同也。兵服上下無別，故曰袀服。」《漢書．卷九九．王莽傳下》：「時莽紺袀服，帶璽韍。」唐．顏師古．注：「袀，純也。」 |</v>
      </c>
    </row>
    <row r="7369" spans="1:44" hidden="1">
      <c r="A7369" s="1" t="s">
        <v>14748</v>
      </c>
      <c r="C7369" s="1">
        <v>1</v>
      </c>
      <c r="D7369" s="1" t="str">
        <f>"06156"</f>
        <v>06156</v>
      </c>
      <c r="E7369" s="1" t="s">
        <v>55</v>
      </c>
      <c r="F7369" s="1">
        <v>12</v>
      </c>
      <c r="G7369" s="1">
        <v>4</v>
      </c>
      <c r="H7369" s="1">
        <v>0</v>
      </c>
      <c r="I7369" s="1" t="s">
        <v>14742</v>
      </c>
      <c r="K7369" s="1" t="str">
        <f t="shared" si="469"/>
        <v>ㄐ</v>
      </c>
      <c r="L7369" s="1" t="str">
        <f t="shared" si="470"/>
        <v>ㄩ</v>
      </c>
      <c r="M7369" s="1" t="str">
        <f t="shared" si="471"/>
        <v>ㄣ</v>
      </c>
      <c r="P7369" s="1" t="s">
        <v>20</v>
      </c>
      <c r="R7369" s="1" t="s">
        <v>14743</v>
      </c>
      <c r="V7369" s="1" t="s">
        <v>14749</v>
      </c>
      <c r="AR7369" s="1" t="str">
        <f t="shared" si="468"/>
        <v>| [ㄐㄩㄣ](ㄐㄩㄣ.md) | [鈞](鈞.md) |  | jūn | [名]
1.量詞。古代計算重量的單位。三十斤為一鈞。《說文解字．金部》：「鈞，三十斤也。」《左傳．定公八年》：「顏高之弓六鈞。」《孟子．梁惠王上》：「吾力足以舉百鈞，而不足以舉一羽。」
2.製作陶器時所用的轉輪。《漢書．卷五六．董仲舒傳》：「夫上之化下，下之從上，猶泥之在鈞。」
3.姓。如漢代有鈞喜。
[副]
同樣。通「均」。《孟子．告子上》：「鈞是人也，或為大人，或為小人，何也？」漢．趙岐．注：「鈞，同也。」
[形]
1.相同。《漢書．卷七八．蕭望之傳》：「會庭中，與丞相鈞禮。」
2.尊稱有關長輩或上級的事物、行為等的敬詞。如：「鈞命」、「鈞鑒」、「鈞啟」、「鈞安」。
[動]
權衡。《後漢書．卷六六．陳蕃傳》：「鈞此二者，臣寧得禍，不敢欺天也。」《文選．顏延之．陶徵士誄》：「度量難鈞，進退可限。」 |</v>
      </c>
    </row>
    <row r="7370" spans="1:44" hidden="1">
      <c r="A7370" s="1" t="s">
        <v>14750</v>
      </c>
      <c r="C7370" s="1">
        <v>1</v>
      </c>
      <c r="D7370" s="1" t="str">
        <f>"06157"</f>
        <v>06157</v>
      </c>
      <c r="E7370" s="1" t="s">
        <v>28</v>
      </c>
      <c r="F7370" s="1">
        <v>7</v>
      </c>
      <c r="G7370" s="1">
        <v>4</v>
      </c>
      <c r="H7370" s="1">
        <v>0</v>
      </c>
      <c r="I7370" s="1" t="s">
        <v>14742</v>
      </c>
      <c r="K7370" s="1" t="str">
        <f t="shared" si="469"/>
        <v>ㄐ</v>
      </c>
      <c r="L7370" s="1" t="str">
        <f t="shared" si="470"/>
        <v>ㄩ</v>
      </c>
      <c r="M7370" s="1" t="str">
        <f t="shared" si="471"/>
        <v>ㄣ</v>
      </c>
      <c r="P7370" s="1" t="s">
        <v>20</v>
      </c>
      <c r="R7370" s="1" t="s">
        <v>14743</v>
      </c>
      <c r="V7370" s="1" t="s">
        <v>14751</v>
      </c>
      <c r="AR7370" s="1" t="str">
        <f t="shared" si="468"/>
        <v>| [ㄐㄩㄣ](ㄐㄩㄣ.md) | [君](君.md) |  | jūn | [名]
1.封建時代一國之主。如：「君王」、「國君」。《左傳．成公二年》：「人不難以死免其君。」
2.主宰者。《老子》第七〇章：「言有宗，事有君。」三國魏．王弼．注：「君，萬物之主也。」
3.封號。如戰國時代齊國的孟嘗君，魏國的信陵君，趙國的平原君，楚國的春申君。
4.稱謂：(1)用以尊稱父祖輩。如：「家君」、「嚴君」。漢．孔安國〈書經序〉：「先君孔子生於周末。」(2)妻妾稱自己的丈夫為「君」。如：「夫君」、「郎君」。《禮記．內則》：「君已食，徹焉。」漢．鄭玄．注：「凡妾稱夫曰君。」(3)對人的尊稱。如：「諸君」、「胡君」。《史記．卷九六．張丞相傳》：「君勿言，吾私之。」(4)對他人母親或妻子的尊稱。如：「太君」、「細君」。
5.姓。如明代有君助。
[動]
統治。《韓非子．五蠹》：「魯哀公，下主也，南面君國，境內之民，莫敢不臣。」 |</v>
      </c>
    </row>
    <row r="7371" spans="1:44" hidden="1">
      <c r="A7371" s="1" t="s">
        <v>6986</v>
      </c>
      <c r="C7371" s="1">
        <v>1</v>
      </c>
      <c r="D7371" s="1" t="str">
        <f>"06157A"</f>
        <v>06157A</v>
      </c>
      <c r="E7371" s="1" t="s">
        <v>129</v>
      </c>
      <c r="F7371" s="1">
        <v>10</v>
      </c>
      <c r="G7371" s="1">
        <v>7</v>
      </c>
      <c r="H7371" s="1">
        <v>2</v>
      </c>
      <c r="I7371" s="1" t="s">
        <v>14742</v>
      </c>
      <c r="K7371" s="1" t="str">
        <f t="shared" si="469"/>
        <v>ㄐ</v>
      </c>
      <c r="L7371" s="1" t="str">
        <f t="shared" si="470"/>
        <v>ㄩ</v>
      </c>
      <c r="M7371" s="1" t="str">
        <f t="shared" si="471"/>
        <v>ㄣ</v>
      </c>
      <c r="P7371" s="1" t="s">
        <v>20</v>
      </c>
      <c r="R7371" s="1" t="s">
        <v>14743</v>
      </c>
      <c r="V7371" s="1" t="s">
        <v>14752</v>
      </c>
      <c r="W7371" s="1" t="s">
        <v>14753</v>
      </c>
      <c r="AR7371" s="1" t="str">
        <f t="shared" si="468"/>
        <v>| [ㄐㄩㄣ](ㄐㄩㄣ.md) | [涒](涒.md) |  | jūn | 參見「涒鄰」條。 |</v>
      </c>
    </row>
    <row r="7372" spans="1:44" hidden="1">
      <c r="A7372" s="1" t="s">
        <v>14754</v>
      </c>
      <c r="C7372" s="1">
        <v>1</v>
      </c>
      <c r="D7372" s="1" t="str">
        <f>"06158"</f>
        <v>06158</v>
      </c>
      <c r="E7372" s="1" t="s">
        <v>684</v>
      </c>
      <c r="F7372" s="1">
        <v>16</v>
      </c>
      <c r="G7372" s="1">
        <v>7</v>
      </c>
      <c r="H7372" s="1">
        <v>0</v>
      </c>
      <c r="I7372" s="1" t="s">
        <v>14742</v>
      </c>
      <c r="K7372" s="1" t="str">
        <f t="shared" si="469"/>
        <v>ㄐ</v>
      </c>
      <c r="L7372" s="1" t="str">
        <f t="shared" si="470"/>
        <v>ㄩ</v>
      </c>
      <c r="M7372" s="1" t="str">
        <f t="shared" si="471"/>
        <v>ㄣ</v>
      </c>
      <c r="P7372" s="1" t="s">
        <v>20</v>
      </c>
      <c r="R7372" s="1" t="s">
        <v>14743</v>
      </c>
      <c r="V7372" s="1" t="s">
        <v>14755</v>
      </c>
      <c r="AR7372" s="1" t="str">
        <f t="shared" si="468"/>
        <v>| [ㄐㄩㄣ](ㄐㄩㄣ.md) | [頵](頵.md) |  | jūn | [形]
頭大的樣子。《集韻．平聲．諄韻》：「頵，頭大貌。」南朝宋．劉義慶《世說新語．賞譽》：「潁川李府君，頵頵如玉山。」 |</v>
      </c>
    </row>
    <row r="7373" spans="1:44" hidden="1">
      <c r="A7373" s="1" t="s">
        <v>14756</v>
      </c>
      <c r="C7373" s="1">
        <v>1</v>
      </c>
      <c r="D7373" s="1" t="str">
        <f>"06159"</f>
        <v>06159</v>
      </c>
      <c r="E7373" s="1" t="s">
        <v>2557</v>
      </c>
      <c r="F7373" s="1">
        <v>8</v>
      </c>
      <c r="G7373" s="1">
        <v>5</v>
      </c>
      <c r="H7373" s="1">
        <v>0</v>
      </c>
      <c r="I7373" s="1" t="s">
        <v>14742</v>
      </c>
      <c r="K7373" s="1" t="str">
        <f t="shared" si="469"/>
        <v>ㄐ</v>
      </c>
      <c r="L7373" s="1" t="str">
        <f t="shared" si="470"/>
        <v>ㄩ</v>
      </c>
      <c r="M7373" s="1" t="str">
        <f t="shared" si="471"/>
        <v>ㄣ</v>
      </c>
      <c r="P7373" s="1" t="s">
        <v>20</v>
      </c>
      <c r="R7373" s="1" t="s">
        <v>14743</v>
      </c>
      <c r="V7373" s="1" t="s">
        <v>14757</v>
      </c>
      <c r="AR7373" s="1" t="str">
        <f t="shared" si="468"/>
        <v>| [ㄐㄩㄣ](ㄐㄩㄣ.md) | [囷](囷.md) |  | jūn | [名]
圓形的穀倉。《說文解字．囗部》：「囷，廩之圜者。」《詩經．魏風．伐檀》：「不稼不穡，胡取禾三百囷兮。」《國語．吳語》：「今吳民既罷，而大荒薦饑，市無赤米，而囷鹿空虛。」三國吳．韋昭．注：「員曰囷，方曰鹿。」 |</v>
      </c>
    </row>
    <row r="7374" spans="1:44" hidden="1">
      <c r="A7374" s="1" t="s">
        <v>14758</v>
      </c>
      <c r="C7374" s="1">
        <v>1</v>
      </c>
      <c r="D7374" s="1" t="str">
        <f>"06160"</f>
        <v>06160</v>
      </c>
      <c r="E7374" s="1" t="s">
        <v>71</v>
      </c>
      <c r="F7374" s="1">
        <v>9</v>
      </c>
      <c r="G7374" s="1">
        <v>2</v>
      </c>
      <c r="H7374" s="1">
        <v>0</v>
      </c>
      <c r="I7374" s="1" t="s">
        <v>14742</v>
      </c>
      <c r="K7374" s="1" t="str">
        <f t="shared" si="469"/>
        <v>ㄐ</v>
      </c>
      <c r="L7374" s="1" t="str">
        <f t="shared" si="470"/>
        <v>ㄩ</v>
      </c>
      <c r="M7374" s="1" t="str">
        <f t="shared" si="471"/>
        <v>ㄣ</v>
      </c>
      <c r="P7374" s="1" t="s">
        <v>20</v>
      </c>
      <c r="R7374" s="1" t="s">
        <v>14743</v>
      </c>
      <c r="V7374" s="1" t="s">
        <v>14759</v>
      </c>
      <c r="AR7374" s="1" t="str">
        <f t="shared" si="468"/>
        <v>| [ㄐㄩㄣ](ㄐㄩㄣ.md) | [軍](軍.md) |  | jūn | [名]
1.武裝部隊、兵種。如：「陸軍」、「海軍」、「空軍」。
2.兵士的通稱。《史記．卷九二．淮陰侯傳》：「軍皆殊死戰，不可敗。」元．石君寶《秋胡戲妻》第四折：「元來他做了官，不是軍了也。」
3.野戰部隊中大於師而小於軍團的最小戰略單位，通常轄有兩個或兩個以上的師及必要的戰鬥支援與勤務支援部隊。
4.陣地。唐．高適〈燕歌行〉：「戰士軍前半死生，美人帳下猶歌舞。」
5.古時將犯人送至邊疆勞役的刑罰。如：「發配充軍」。《明史．卷九三．刑法志一》：「軍有終身，有永遠。」
[動]
1.駐紮、屯兵。《左傳．桓公八年》：「楚子伐隨，軍於漢淮之間。」《史記．卷七．項羽本紀》：「沛公軍霸上，未得與項羽相見。」
2.編成軍隊。《左傳．宣公十二年》：「晉之餘師不能軍，宵濟亦終夜有聲。」 |</v>
      </c>
    </row>
    <row r="7375" spans="1:44" hidden="1">
      <c r="A7375" s="1" t="s">
        <v>14760</v>
      </c>
      <c r="C7375" s="1">
        <v>1</v>
      </c>
      <c r="D7375" s="1" t="str">
        <f>"06161"</f>
        <v>06161</v>
      </c>
      <c r="E7375" s="1" t="s">
        <v>1792</v>
      </c>
      <c r="F7375" s="1">
        <v>14</v>
      </c>
      <c r="G7375" s="1">
        <v>9</v>
      </c>
      <c r="H7375" s="1">
        <v>0</v>
      </c>
      <c r="I7375" s="1" t="s">
        <v>14742</v>
      </c>
      <c r="K7375" s="1" t="str">
        <f t="shared" si="469"/>
        <v>ㄐ</v>
      </c>
      <c r="L7375" s="1" t="str">
        <f t="shared" si="470"/>
        <v>ㄩ</v>
      </c>
      <c r="M7375" s="1" t="str">
        <f t="shared" si="471"/>
        <v>ㄣ</v>
      </c>
      <c r="P7375" s="1" t="s">
        <v>20</v>
      </c>
      <c r="R7375" s="1" t="s">
        <v>14743</v>
      </c>
      <c r="V7375" s="1" t="s">
        <v>14761</v>
      </c>
      <c r="AR7375" s="1" t="str">
        <f t="shared" si="468"/>
        <v>| [ㄐㄩㄣ](ㄐㄩㄣ.md) | [皸](皸.md) |  | jūn | [動]
皮膚因受凍或過分乾燥而裂開。明．宋濂〈送東陽馬生序〉：「窮冬烈風，大雪深數尺，足膚皸裂而不知。」 |</v>
      </c>
    </row>
    <row r="7376" spans="1:44" hidden="1">
      <c r="A7376" s="1" t="s">
        <v>14762</v>
      </c>
      <c r="C7376" s="1">
        <v>1</v>
      </c>
      <c r="D7376" s="1" t="str">
        <f>"06162"</f>
        <v>06162</v>
      </c>
      <c r="E7376" s="1" t="s">
        <v>1190</v>
      </c>
      <c r="F7376" s="1">
        <v>16</v>
      </c>
      <c r="G7376" s="1">
        <v>5</v>
      </c>
      <c r="H7376" s="1">
        <v>1</v>
      </c>
      <c r="I7376" s="1" t="s">
        <v>14742</v>
      </c>
      <c r="K7376" s="1" t="str">
        <f t="shared" si="469"/>
        <v>ㄐ</v>
      </c>
      <c r="L7376" s="1" t="str">
        <f t="shared" si="470"/>
        <v>ㄩ</v>
      </c>
      <c r="M7376" s="1" t="str">
        <f t="shared" si="471"/>
        <v>ㄣ</v>
      </c>
      <c r="P7376" s="1" t="s">
        <v>20</v>
      </c>
      <c r="R7376" s="1" t="s">
        <v>14743</v>
      </c>
      <c r="V7376" s="1" t="s">
        <v>14763</v>
      </c>
      <c r="W7376" s="1" t="s">
        <v>14764</v>
      </c>
      <c r="AR7376" s="1" t="str">
        <f t="shared" si="468"/>
        <v>| [ㄐㄩㄣ](ㄐㄩㄣ.md) | [麇](麇.md) |  | jūn | [名]
動物名。即獐。哺乳綱偶蹄目。似鹿而小，無角。性機警，善跳躍。《說文解字．鹿部》：「麇，獐也。」 |</v>
      </c>
    </row>
    <row r="7377" spans="1:44" hidden="1">
      <c r="A7377" s="1" t="s">
        <v>10402</v>
      </c>
      <c r="C7377" s="1">
        <v>1</v>
      </c>
      <c r="D7377" s="1" t="str">
        <f>"06163"</f>
        <v>06163</v>
      </c>
      <c r="E7377" s="1" t="s">
        <v>10403</v>
      </c>
      <c r="F7377" s="1">
        <v>16</v>
      </c>
      <c r="G7377" s="1">
        <v>0</v>
      </c>
      <c r="H7377" s="1">
        <v>2</v>
      </c>
      <c r="I7377" s="1" t="s">
        <v>14742</v>
      </c>
      <c r="K7377" s="1" t="str">
        <f t="shared" si="469"/>
        <v>ㄐ</v>
      </c>
      <c r="L7377" s="1" t="str">
        <f t="shared" si="470"/>
        <v>ㄩ</v>
      </c>
      <c r="M7377" s="1" t="str">
        <f t="shared" si="471"/>
        <v>ㄣ</v>
      </c>
      <c r="P7377" s="1" t="s">
        <v>20</v>
      </c>
      <c r="R7377" s="1" t="s">
        <v>14743</v>
      </c>
      <c r="V7377" s="1" t="s">
        <v>14765</v>
      </c>
      <c r="W7377" s="1" t="s">
        <v>14766</v>
      </c>
      <c r="AR7377" s="1" t="str">
        <f t="shared" si="468"/>
        <v>| [ㄐㄩㄣ](ㄐㄩㄣ.md) | [龜](龜.md) |  | jūn | [動]
皮膚因寒冷或過分乾燥而出現裂痕。通「皸」。如：「龜裂」。《莊子．逍遙遊》：「宋人有善為不龜手之藥者，世世以洴澼絖為事。」 |</v>
      </c>
    </row>
    <row r="7378" spans="1:44" hidden="1">
      <c r="A7378" s="1" t="s">
        <v>14767</v>
      </c>
      <c r="C7378" s="1">
        <v>1</v>
      </c>
      <c r="D7378" s="1" t="str">
        <f>"06164"</f>
        <v>06164</v>
      </c>
      <c r="E7378" s="1" t="s">
        <v>1274</v>
      </c>
      <c r="F7378" s="1">
        <v>12</v>
      </c>
      <c r="G7378" s="1">
        <v>7</v>
      </c>
      <c r="H7378" s="1">
        <v>2</v>
      </c>
      <c r="I7378" s="1" t="s">
        <v>14768</v>
      </c>
      <c r="K7378" s="1" t="str">
        <f t="shared" si="469"/>
        <v>ㄐ</v>
      </c>
      <c r="L7378" s="1" t="str">
        <f t="shared" si="470"/>
        <v>ㄩ</v>
      </c>
      <c r="M7378" s="1" t="str">
        <f t="shared" si="471"/>
        <v>ㄣ</v>
      </c>
      <c r="P7378" s="1" t="s">
        <v>110</v>
      </c>
      <c r="R7378" s="1" t="s">
        <v>14769</v>
      </c>
      <c r="V7378" s="1" t="s">
        <v>111</v>
      </c>
      <c r="W7378" s="1" t="s">
        <v>14770</v>
      </c>
      <c r="AR7378" s="1" t="str">
        <f t="shared" si="468"/>
        <v>| [ㄐㄩㄣˇ](ㄐㄩㄣˇ.md) | [窘](窘.md) |  | jǔn | (一)之又音。 |</v>
      </c>
    </row>
    <row r="7379" spans="1:44" hidden="1">
      <c r="A7379" s="1" t="s">
        <v>14771</v>
      </c>
      <c r="C7379" s="1">
        <v>1</v>
      </c>
      <c r="D7379" s="1" t="str">
        <f>"06165"</f>
        <v>06165</v>
      </c>
      <c r="E7379" s="1" t="s">
        <v>114</v>
      </c>
      <c r="F7379" s="1">
        <v>9</v>
      </c>
      <c r="G7379" s="1">
        <v>7</v>
      </c>
      <c r="H7379" s="1">
        <v>0</v>
      </c>
      <c r="I7379" s="1" t="s">
        <v>14772</v>
      </c>
      <c r="K7379" s="1" t="str">
        <f t="shared" si="469"/>
        <v>ㄐ</v>
      </c>
      <c r="L7379" s="1" t="str">
        <f t="shared" si="470"/>
        <v>ㄩ</v>
      </c>
      <c r="M7379" s="1" t="str">
        <f t="shared" si="471"/>
        <v>ㄣ</v>
      </c>
      <c r="P7379" s="1" t="s">
        <v>20</v>
      </c>
      <c r="R7379" s="1" t="s">
        <v>14773</v>
      </c>
      <c r="V7379" s="1" t="s">
        <v>14774</v>
      </c>
      <c r="AR7379" s="1" t="str">
        <f t="shared" si="468"/>
        <v>| [ㄐㄩㄣˋ](ㄐㄩㄣˋ.md) | [俊](俊.md) |  | jùn | [形]
1.傑出的。《書經．洪範》：「俊民用章，家用平康。」《文選．曹植．七啟》：「若夫田文、無忌之儔，乃上古之俊公子也。」
2.容貌秀美。如：「俊俏」。元．喬吉《揚州夢》第三折：「端詳著厖兒俊，思量著口兒甜，怎肯教意兒差。」《紅樓夢》第六九回：「老祖宗且別問，只說比我俊不俊。」
[名]
才智出眾的人。如：「俊碩」、「俊彥」。《孟子．公孫丑上》：「尊賢使能，俊傑在位。」漢．趙岐．注：「俊，美才出眾者也。」 |</v>
      </c>
    </row>
    <row r="7380" spans="1:44" hidden="1">
      <c r="A7380" s="1" t="s">
        <v>14775</v>
      </c>
      <c r="C7380" s="1">
        <v>1</v>
      </c>
      <c r="D7380" s="1" t="str">
        <f>"06166"</f>
        <v>06166</v>
      </c>
      <c r="E7380" s="1" t="s">
        <v>129</v>
      </c>
      <c r="F7380" s="1">
        <v>10</v>
      </c>
      <c r="G7380" s="1">
        <v>7</v>
      </c>
      <c r="H7380" s="1">
        <v>0</v>
      </c>
      <c r="I7380" s="1" t="s">
        <v>14772</v>
      </c>
      <c r="K7380" s="1" t="str">
        <f t="shared" si="469"/>
        <v>ㄐ</v>
      </c>
      <c r="L7380" s="1" t="str">
        <f t="shared" si="470"/>
        <v>ㄩ</v>
      </c>
      <c r="M7380" s="1" t="str">
        <f t="shared" si="471"/>
        <v>ㄣ</v>
      </c>
      <c r="P7380" s="1" t="s">
        <v>20</v>
      </c>
      <c r="R7380" s="1" t="s">
        <v>14773</v>
      </c>
      <c r="V7380" s="1" t="s">
        <v>14776</v>
      </c>
      <c r="AR7380" s="1" t="str">
        <f t="shared" si="468"/>
        <v>| [ㄐㄩㄣˋ](ㄐㄩㄣˋ.md) | [浚](浚.md) |  | jùn | [動]
1.舀取。《說文解字．水部》：「浚，抒也。」清．段玉裁．注：「抒者，挹也，取諸水中也。」
2.疏通或挖深水道。通「濬」。唐．魏徵〈論時政疏〉：「欲流之遠者，必浚其泉源。」唐．韓愈〈重答張籍書〉：「浚其源，導其所歸；溉其根，將食其實。」
3.剝削、榨取。《左傳．襄公二十四年》：「子實生我，而謂子浚我以生乎？」晉．杜預．注：「浚，取也，言取我財以自生。」唐．柳宗元〈封建論〉：「姦利浚財，怙勢作威。」
[形]
深。《詩經．小雅．小弁》：「莫高匪山，莫浚匪泉。」漢．毛亨．傳：「浚，深也。」唐．柳宗元〈鈷鉧潭西小邱記〉：「西二十五步，當湍而浚者為魚梁。」 |</v>
      </c>
    </row>
    <row r="7381" spans="1:44" hidden="1">
      <c r="A7381" s="1" t="s">
        <v>14777</v>
      </c>
      <c r="C7381" s="1">
        <v>1</v>
      </c>
      <c r="D7381" s="1" t="str">
        <f>"06167"</f>
        <v>06167</v>
      </c>
      <c r="E7381" s="1" t="s">
        <v>190</v>
      </c>
      <c r="F7381" s="1">
        <v>10</v>
      </c>
      <c r="G7381" s="1">
        <v>7</v>
      </c>
      <c r="H7381" s="1">
        <v>0</v>
      </c>
      <c r="I7381" s="1" t="s">
        <v>14772</v>
      </c>
      <c r="K7381" s="1" t="str">
        <f t="shared" si="469"/>
        <v>ㄐ</v>
      </c>
      <c r="L7381" s="1" t="str">
        <f t="shared" si="470"/>
        <v>ㄩ</v>
      </c>
      <c r="M7381" s="1" t="str">
        <f t="shared" si="471"/>
        <v>ㄣ</v>
      </c>
      <c r="P7381" s="1" t="s">
        <v>20</v>
      </c>
      <c r="R7381" s="1" t="s">
        <v>14773</v>
      </c>
      <c r="V7381" s="1" t="s">
        <v>14778</v>
      </c>
      <c r="AR7381" s="1" t="str">
        <f t="shared" si="468"/>
        <v>| [ㄐㄩㄣˋ](ㄐㄩㄣˋ.md) | [峻](峻.md) |  | jùn | [形]
1.高的。如：「高峻」、「崇山峻嶺」。
2.偉大的。如：「峻命」、「峻節」。《禮記．大學》：「〈帝典〉曰：『克明峻德。』」漢．鄭玄．注：「峻，大也。」
3.陡峭。《韓非子．姦劫弒臣》：「是猶上高原之顛，墮峻谿之下而求生，必不幾矣。」
4.嚴厲的、苛刻的。如：「嚴刑峻法」。《史記．卷一一八．淮南王傳》：「政苛刑峻，天下熬然若焦。」《後漢書．卷三三．朱浮傳》：「浮性矜急自多，頗有不平，因以峻文詆之。」 |</v>
      </c>
    </row>
    <row r="7382" spans="1:44" hidden="1">
      <c r="A7382" s="1" t="s">
        <v>14779</v>
      </c>
      <c r="C7382" s="1">
        <v>1</v>
      </c>
      <c r="D7382" s="1" t="str">
        <f>"06168"</f>
        <v>06168</v>
      </c>
      <c r="E7382" s="1" t="s">
        <v>336</v>
      </c>
      <c r="F7382" s="1">
        <v>11</v>
      </c>
      <c r="G7382" s="1">
        <v>7</v>
      </c>
      <c r="H7382" s="1">
        <v>0</v>
      </c>
      <c r="I7382" s="1" t="s">
        <v>14772</v>
      </c>
      <c r="K7382" s="1" t="str">
        <f t="shared" si="469"/>
        <v>ㄐ</v>
      </c>
      <c r="L7382" s="1" t="str">
        <f t="shared" si="470"/>
        <v>ㄩ</v>
      </c>
      <c r="M7382" s="1" t="str">
        <f t="shared" si="471"/>
        <v>ㄣ</v>
      </c>
      <c r="P7382" s="1" t="s">
        <v>20</v>
      </c>
      <c r="R7382" s="1" t="s">
        <v>14773</v>
      </c>
      <c r="V7382" s="1" t="s">
        <v>14780</v>
      </c>
      <c r="AR7382" s="1" t="str">
        <f t="shared" si="468"/>
        <v>| [ㄐㄩㄣˋ](ㄐㄩㄣˋ.md) | [焌](焌.md) |  | jùn | [動]
用火燒物。《說文解字．火部》：「焌，然火也。」清．段玉裁．注：「以火燒物曰然。」《周禮．春官．菙氏》：「凡卜，以明火爇燋，遂吹其焌契，以授卜師，遂役之。」漢．鄭玄．注：「焌，謂以契柱燋火而吹之也。」 |</v>
      </c>
    </row>
    <row r="7383" spans="1:44" hidden="1">
      <c r="A7383" s="1" t="s">
        <v>14781</v>
      </c>
      <c r="C7383" s="1">
        <v>1</v>
      </c>
      <c r="D7383" s="1" t="str">
        <f>"06169"</f>
        <v>06169</v>
      </c>
      <c r="E7383" s="1" t="s">
        <v>646</v>
      </c>
      <c r="F7383" s="1">
        <v>11</v>
      </c>
      <c r="G7383" s="1">
        <v>7</v>
      </c>
      <c r="H7383" s="1">
        <v>0</v>
      </c>
      <c r="I7383" s="1" t="s">
        <v>14772</v>
      </c>
      <c r="K7383" s="1" t="str">
        <f t="shared" si="469"/>
        <v>ㄐ</v>
      </c>
      <c r="L7383" s="1" t="str">
        <f t="shared" si="470"/>
        <v>ㄩ</v>
      </c>
      <c r="M7383" s="1" t="str">
        <f t="shared" si="471"/>
        <v>ㄣ</v>
      </c>
      <c r="P7383" s="1" t="s">
        <v>20</v>
      </c>
      <c r="R7383" s="1" t="s">
        <v>14773</v>
      </c>
      <c r="V7383" s="1" t="s">
        <v>14782</v>
      </c>
      <c r="AR7383" s="1" t="str">
        <f t="shared" si="468"/>
        <v>| [ㄐㄩㄣˋ](ㄐㄩㄣˋ.md) | [晙](晙.md) |  | jùn | [名]
1.清早。《爾雅．釋詁》：「晙，早也。」晉．郭璞．注：「晙，亦明也。」
2.人名用字。如唐朝有王晙。 |</v>
      </c>
    </row>
    <row r="7384" spans="1:44" hidden="1">
      <c r="A7384" s="1" t="s">
        <v>14783</v>
      </c>
      <c r="C7384" s="1">
        <v>1</v>
      </c>
      <c r="D7384" s="1" t="str">
        <f>"06170"</f>
        <v>06170</v>
      </c>
      <c r="E7384" s="1" t="s">
        <v>5784</v>
      </c>
      <c r="F7384" s="1">
        <v>12</v>
      </c>
      <c r="G7384" s="1">
        <v>7</v>
      </c>
      <c r="H7384" s="1">
        <v>0</v>
      </c>
      <c r="I7384" s="1" t="s">
        <v>14772</v>
      </c>
      <c r="K7384" s="1" t="str">
        <f t="shared" si="469"/>
        <v>ㄐ</v>
      </c>
      <c r="L7384" s="1" t="str">
        <f t="shared" si="470"/>
        <v>ㄩ</v>
      </c>
      <c r="M7384" s="1" t="str">
        <f t="shared" si="471"/>
        <v>ㄣ</v>
      </c>
      <c r="P7384" s="1" t="s">
        <v>20</v>
      </c>
      <c r="R7384" s="1" t="s">
        <v>14773</v>
      </c>
      <c r="V7384" s="1" t="s">
        <v>14784</v>
      </c>
      <c r="AR7384" s="1" t="str">
        <f t="shared" si="468"/>
        <v>| [ㄐㄩㄣˋ](ㄐㄩㄣˋ.md) | [竣](竣.md) |  | jùn | [動]
完畢。如：「竣工」、「完竣」。《三國演義》第六一回：「便差軍數萬築濡須塢，曉夜併工，刻期告竣。」 |</v>
      </c>
    </row>
    <row r="7385" spans="1:44" hidden="1">
      <c r="A7385" s="1" t="s">
        <v>14785</v>
      </c>
      <c r="C7385" s="1">
        <v>1</v>
      </c>
      <c r="D7385" s="1" t="str">
        <f>"06171"</f>
        <v>06171</v>
      </c>
      <c r="E7385" s="1" t="s">
        <v>1015</v>
      </c>
      <c r="F7385" s="1">
        <v>12</v>
      </c>
      <c r="G7385" s="1">
        <v>7</v>
      </c>
      <c r="H7385" s="1">
        <v>0</v>
      </c>
      <c r="I7385" s="1" t="s">
        <v>14772</v>
      </c>
      <c r="K7385" s="1" t="str">
        <f t="shared" si="469"/>
        <v>ㄐ</v>
      </c>
      <c r="L7385" s="1" t="str">
        <f t="shared" si="470"/>
        <v>ㄩ</v>
      </c>
      <c r="M7385" s="1" t="str">
        <f t="shared" si="471"/>
        <v>ㄣ</v>
      </c>
      <c r="P7385" s="1" t="s">
        <v>20</v>
      </c>
      <c r="R7385" s="1" t="s">
        <v>14773</v>
      </c>
      <c r="V7385" s="1" t="s">
        <v>14786</v>
      </c>
      <c r="AR7385" s="1" t="str">
        <f t="shared" si="468"/>
        <v>| [ㄐㄩㄣˋ](ㄐㄩㄣˋ.md) | [睃](睃.md) |  | jùn | [動]
瞟視，斜著眼看。《水滸傳》第二三回：「那婦人只顧把眼來睃武松。」 |</v>
      </c>
    </row>
    <row r="7386" spans="1:44" hidden="1">
      <c r="A7386" s="1" t="s">
        <v>14787</v>
      </c>
      <c r="C7386" s="1">
        <v>1</v>
      </c>
      <c r="D7386" s="1" t="str">
        <f>"06172"</f>
        <v>06172</v>
      </c>
      <c r="E7386" s="1" t="s">
        <v>753</v>
      </c>
      <c r="F7386" s="1">
        <v>12</v>
      </c>
      <c r="G7386" s="1">
        <v>7</v>
      </c>
      <c r="H7386" s="1">
        <v>0</v>
      </c>
      <c r="I7386" s="1" t="s">
        <v>14772</v>
      </c>
      <c r="K7386" s="1" t="str">
        <f t="shared" si="469"/>
        <v>ㄐ</v>
      </c>
      <c r="L7386" s="1" t="str">
        <f t="shared" si="470"/>
        <v>ㄩ</v>
      </c>
      <c r="M7386" s="1" t="str">
        <f t="shared" si="471"/>
        <v>ㄣ</v>
      </c>
      <c r="P7386" s="1" t="s">
        <v>20</v>
      </c>
      <c r="R7386" s="1" t="s">
        <v>14773</v>
      </c>
      <c r="V7386" s="1" t="s">
        <v>14788</v>
      </c>
      <c r="AR7386" s="1" t="str">
        <f t="shared" si="468"/>
        <v>| [ㄐㄩㄣˋ](ㄐㄩㄣˋ.md) | [畯](畯.md) |  | jùn | [名]
1.職官名。古代掌農事的官。《詩經．豳風．七月》：「饁彼南畝，田畯至喜。」漢．毛亨．傳：「田畯，田大夫也。」《文選．張衡．東京賦》：「嘉田畯之匪懈。」
2.泛指農夫。三國魏．劉楨〈大暑賦〉：「農畯捉鐏而去疇，織女釋杼而下機。」 |</v>
      </c>
    </row>
    <row r="7387" spans="1:44" hidden="1">
      <c r="A7387" s="1" t="s">
        <v>14789</v>
      </c>
      <c r="C7387" s="1">
        <v>1</v>
      </c>
      <c r="D7387" s="1" t="str">
        <f>"06173"</f>
        <v>06173</v>
      </c>
      <c r="E7387" s="1" t="s">
        <v>37</v>
      </c>
      <c r="F7387" s="1">
        <v>13</v>
      </c>
      <c r="G7387" s="1">
        <v>9</v>
      </c>
      <c r="H7387" s="1">
        <v>0</v>
      </c>
      <c r="I7387" s="1" t="s">
        <v>14772</v>
      </c>
      <c r="K7387" s="1" t="str">
        <f t="shared" si="469"/>
        <v>ㄐ</v>
      </c>
      <c r="L7387" s="1" t="str">
        <f t="shared" si="470"/>
        <v>ㄩ</v>
      </c>
      <c r="M7387" s="1" t="str">
        <f t="shared" si="471"/>
        <v>ㄣ</v>
      </c>
      <c r="P7387" s="1" t="s">
        <v>20</v>
      </c>
      <c r="R7387" s="1" t="s">
        <v>14773</v>
      </c>
      <c r="V7387" s="1" t="s">
        <v>14790</v>
      </c>
      <c r="AR7387" s="1" t="str">
        <f t="shared" si="468"/>
        <v>| [ㄐㄩㄣˋ](ㄐㄩㄣˋ.md) | [葰](葰.md) |  | jùn | [形]
大。《文選．司馬相如．上林賦》：「夸條直暢，實葉葰楙。」李善注引司馬彪曰：「葰，大也。」 |</v>
      </c>
    </row>
    <row r="7388" spans="1:44" hidden="1">
      <c r="A7388" s="1" t="s">
        <v>14791</v>
      </c>
      <c r="C7388" s="1">
        <v>1</v>
      </c>
      <c r="D7388" s="1" t="str">
        <f>"06174"</f>
        <v>06174</v>
      </c>
      <c r="E7388" s="1" t="s">
        <v>193</v>
      </c>
      <c r="F7388" s="1">
        <v>15</v>
      </c>
      <c r="G7388" s="1">
        <v>7</v>
      </c>
      <c r="H7388" s="1">
        <v>0</v>
      </c>
      <c r="I7388" s="1" t="s">
        <v>14772</v>
      </c>
      <c r="K7388" s="1" t="str">
        <f t="shared" si="469"/>
        <v>ㄐ</v>
      </c>
      <c r="L7388" s="1" t="str">
        <f t="shared" si="470"/>
        <v>ㄩ</v>
      </c>
      <c r="M7388" s="1" t="str">
        <f t="shared" si="471"/>
        <v>ㄣ</v>
      </c>
      <c r="P7388" s="1" t="s">
        <v>20</v>
      </c>
      <c r="R7388" s="1" t="s">
        <v>14773</v>
      </c>
      <c r="V7388" s="1" t="s">
        <v>14792</v>
      </c>
      <c r="AR7388" s="1" t="str">
        <f t="shared" si="468"/>
        <v>| [ㄐㄩㄣˋ](ㄐㄩㄣˋ.md) | [餕](餕.md) |  | jùn | [名]_x000D_
1.剩餘的食物。《說文解字．食部》：「餕，食之餘也。」《禮記．曲禮上》：「餕餘不祭。」_x000D_
2.熟食。通「飧」。《公羊傳．昭公二十五年》：「吾寡君聞君在外，餕饔未就，敢致糗於從者。」漢．何休．解詁：「餕，熟食。」_x000D_
[動]_x000D_
吃剩下的食物。《儀禮．士昏禮》：「媵餕主人之餘，御餕婦餘。」 |</v>
      </c>
    </row>
    <row r="7389" spans="1:44" hidden="1">
      <c r="A7389" s="1" t="s">
        <v>14793</v>
      </c>
      <c r="C7389" s="1">
        <v>1</v>
      </c>
      <c r="D7389" s="1" t="str">
        <f>"06175"</f>
        <v>06175</v>
      </c>
      <c r="E7389" s="1" t="s">
        <v>14794</v>
      </c>
      <c r="F7389" s="1">
        <v>15</v>
      </c>
      <c r="G7389" s="1">
        <v>13</v>
      </c>
      <c r="H7389" s="1">
        <v>0</v>
      </c>
      <c r="I7389" s="1" t="s">
        <v>14772</v>
      </c>
      <c r="K7389" s="1" t="str">
        <f t="shared" si="469"/>
        <v>ㄐ</v>
      </c>
      <c r="L7389" s="1" t="str">
        <f t="shared" si="470"/>
        <v>ㄩ</v>
      </c>
      <c r="M7389" s="1" t="str">
        <f t="shared" si="471"/>
        <v>ㄣ</v>
      </c>
      <c r="P7389" s="1" t="s">
        <v>20</v>
      </c>
      <c r="R7389" s="1" t="s">
        <v>14773</v>
      </c>
      <c r="V7389" s="1" t="s">
        <v>14795</v>
      </c>
      <c r="AR7389" s="1" t="str">
        <f t="shared" si="468"/>
        <v>| [ㄐㄩㄣˋ](ㄐㄩㄣˋ.md) | [㕙](㕙.md) |  | jùn | [名]
狡兔，或泛指兔子。《玉篇．兔部》：「㕙，狡兔。」宋．吳潛〈賀新郎．汲水驅炎熱〉詞：「玉㕙擣藥何時歇。幾千年，陰晴隱現，團圓虧缺。」 |</v>
      </c>
    </row>
    <row r="7390" spans="1:44" hidden="1">
      <c r="A7390" s="1" t="s">
        <v>14796</v>
      </c>
      <c r="C7390" s="1">
        <v>1</v>
      </c>
      <c r="D7390" s="1" t="str">
        <f>"06176"</f>
        <v>06176</v>
      </c>
      <c r="E7390" s="1" t="s">
        <v>319</v>
      </c>
      <c r="F7390" s="1">
        <v>17</v>
      </c>
      <c r="G7390" s="1">
        <v>7</v>
      </c>
      <c r="H7390" s="1">
        <v>0</v>
      </c>
      <c r="I7390" s="1" t="s">
        <v>14772</v>
      </c>
      <c r="K7390" s="1" t="str">
        <f t="shared" si="469"/>
        <v>ㄐ</v>
      </c>
      <c r="L7390" s="1" t="str">
        <f t="shared" si="470"/>
        <v>ㄩ</v>
      </c>
      <c r="M7390" s="1" t="str">
        <f t="shared" si="471"/>
        <v>ㄣ</v>
      </c>
      <c r="P7390" s="1" t="s">
        <v>20</v>
      </c>
      <c r="R7390" s="1" t="s">
        <v>14773</v>
      </c>
      <c r="V7390" s="1" t="s">
        <v>14797</v>
      </c>
      <c r="AR7390" s="1" t="str">
        <f t="shared" si="468"/>
        <v>| [ㄐㄩㄣˋ](ㄐㄩㄣˋ.md) | [駿](駿.md) |  | jùn | [名]
1.良馬。《說文解字．馬部》：「駿，馬之良材者。」如：「神駿」。《楚辭．東方朔．七諫．謬諫》：「駑駿雜而不分兮，服罷牛而驂驥。」漢．王逸．注：「良馬為駿。」
2.才能出眾的人。通「俊」。《史記．卷八四．屈原賈生傳》：「誹駿疑桀兮，固庸態也。」裴駰集解引王逸曰：「千人才為俊。」
[副]
急速。《爾雅．釋詁下》：「駿，速也。」晉．郭璞．注：「駿猶迅速，亦疾也。」《詩經．周頌．噫嘻》：「駿發爾私，終三十里。」《文選．陸機．歎逝賦》：「日望空以駿驅，節循虛而警立。」
[形]
1.大的。如：「駿業」。《詩經．大雅．文王》：「宜鑒于殷，駿命不易。」漢．毛亨．傳：「駿，大也。」《文選．陸機．大將軍讌會被命作詩》：「皇皇帝祜，誕隆駿命。」
2.峻刻的、嚴厲的。通「峻」。《史記．卷六八．商君傳》：「殘傷民以駿刑，是積怨畜禍也。」 |</v>
      </c>
    </row>
    <row r="7391" spans="1:44" hidden="1">
      <c r="A7391" s="1" t="s">
        <v>14798</v>
      </c>
      <c r="C7391" s="1">
        <v>1</v>
      </c>
      <c r="D7391" s="1" t="str">
        <f>"06177"</f>
        <v>06177</v>
      </c>
      <c r="E7391" s="1" t="s">
        <v>272</v>
      </c>
      <c r="F7391" s="1">
        <v>18</v>
      </c>
      <c r="G7391" s="1">
        <v>7</v>
      </c>
      <c r="H7391" s="1">
        <v>0</v>
      </c>
      <c r="I7391" s="1" t="s">
        <v>14772</v>
      </c>
      <c r="K7391" s="1" t="str">
        <f t="shared" si="469"/>
        <v>ㄐ</v>
      </c>
      <c r="L7391" s="1" t="str">
        <f t="shared" si="470"/>
        <v>ㄩ</v>
      </c>
      <c r="M7391" s="1" t="str">
        <f t="shared" si="471"/>
        <v>ㄣ</v>
      </c>
      <c r="P7391" s="1" t="s">
        <v>20</v>
      </c>
      <c r="R7391" s="1" t="s">
        <v>14773</v>
      </c>
      <c r="V7391" s="1" t="s">
        <v>14799</v>
      </c>
      <c r="AR7391" s="1" t="str">
        <f t="shared" si="468"/>
        <v>| [ㄐㄩㄣˋ](ㄐㄩㄣˋ.md) | [鵔](鵔.md) |  | jùn | 參見「鵔鸃」條。 |</v>
      </c>
    </row>
    <row r="7392" spans="1:44" hidden="1">
      <c r="A7392" s="1" t="s">
        <v>14800</v>
      </c>
      <c r="C7392" s="1">
        <v>1</v>
      </c>
      <c r="D7392" s="1" t="str">
        <f>"06178"</f>
        <v>06178</v>
      </c>
      <c r="E7392" s="1" t="s">
        <v>24</v>
      </c>
      <c r="F7392" s="1">
        <v>10</v>
      </c>
      <c r="G7392" s="1">
        <v>7</v>
      </c>
      <c r="H7392" s="1">
        <v>0</v>
      </c>
      <c r="I7392" s="1" t="s">
        <v>14772</v>
      </c>
      <c r="K7392" s="1" t="str">
        <f t="shared" si="469"/>
        <v>ㄐ</v>
      </c>
      <c r="L7392" s="1" t="str">
        <f t="shared" si="470"/>
        <v>ㄩ</v>
      </c>
      <c r="M7392" s="1" t="str">
        <f t="shared" si="471"/>
        <v>ㄣ</v>
      </c>
      <c r="P7392" s="1" t="s">
        <v>20</v>
      </c>
      <c r="R7392" s="1" t="s">
        <v>14773</v>
      </c>
      <c r="V7392" s="1" t="s">
        <v>14801</v>
      </c>
      <c r="AR7392" s="1" t="str">
        <f t="shared" si="468"/>
        <v>| [ㄐㄩㄣˋ](ㄐㄩㄣˋ.md) | [捃](捃.md) |  | jùn | [動]
拾取、採集。漢．劉向《說苑．卷一四．至公》：「使王子革、王子靈共捃菜。」唐．李延壽〈上南北史表〉：「除其冗長，捃其菁華。」 |</v>
      </c>
    </row>
    <row r="7393" spans="1:44" hidden="1">
      <c r="A7393" s="1" t="s">
        <v>14802</v>
      </c>
      <c r="C7393" s="1">
        <v>1</v>
      </c>
      <c r="D7393" s="1" t="str">
        <f>"06179"</f>
        <v>06179</v>
      </c>
      <c r="E7393" s="1" t="s">
        <v>256</v>
      </c>
      <c r="F7393" s="1">
        <v>10</v>
      </c>
      <c r="G7393" s="1">
        <v>7</v>
      </c>
      <c r="H7393" s="1">
        <v>0</v>
      </c>
      <c r="I7393" s="1" t="s">
        <v>14772</v>
      </c>
      <c r="K7393" s="1" t="str">
        <f t="shared" si="469"/>
        <v>ㄐ</v>
      </c>
      <c r="L7393" s="1" t="str">
        <f t="shared" si="470"/>
        <v>ㄩ</v>
      </c>
      <c r="M7393" s="1" t="str">
        <f t="shared" si="471"/>
        <v>ㄣ</v>
      </c>
      <c r="P7393" s="1" t="s">
        <v>20</v>
      </c>
      <c r="R7393" s="1" t="s">
        <v>14773</v>
      </c>
      <c r="V7393" s="1" t="s">
        <v>14803</v>
      </c>
      <c r="AR7393" s="1" t="str">
        <f t="shared" si="468"/>
        <v>| [ㄐㄩㄣˋ](ㄐㄩㄣˋ.md) | [郡](郡.md) |  | jùn | [名]
1.中國古代地方行政區域的名稱。周時縣大郡小，以縣統郡，至秦始皇時，廢封建，行郡縣，郡大縣小，以郡統縣，漢以後歷代因襲，隋唐時曾罷郡置州，宋時改郡為府。《史記．卷六．秦始皇本紀》：「海內為郡縣，法令由一統。」
2.姓。如明代有郡敬。 |</v>
      </c>
    </row>
    <row r="7394" spans="1:44" hidden="1">
      <c r="A7394" s="1" t="s">
        <v>14804</v>
      </c>
      <c r="C7394" s="1">
        <v>1</v>
      </c>
      <c r="D7394" s="1" t="str">
        <f>"06180"</f>
        <v>06180</v>
      </c>
      <c r="E7394" s="1" t="s">
        <v>37</v>
      </c>
      <c r="F7394" s="1">
        <v>11</v>
      </c>
      <c r="G7394" s="1">
        <v>7</v>
      </c>
      <c r="H7394" s="1">
        <v>0</v>
      </c>
      <c r="I7394" s="1" t="s">
        <v>14772</v>
      </c>
      <c r="K7394" s="1" t="str">
        <f t="shared" si="469"/>
        <v>ㄐ</v>
      </c>
      <c r="L7394" s="1" t="str">
        <f t="shared" si="470"/>
        <v>ㄩ</v>
      </c>
      <c r="M7394" s="1" t="str">
        <f t="shared" si="471"/>
        <v>ㄣ</v>
      </c>
      <c r="P7394" s="1" t="s">
        <v>20</v>
      </c>
      <c r="R7394" s="1" t="s">
        <v>14773</v>
      </c>
      <c r="V7394" s="1" t="s">
        <v>14805</v>
      </c>
      <c r="AR7394" s="1" t="str">
        <f t="shared" si="468"/>
        <v>| [ㄐㄩㄣˋ](ㄐㄩㄣˋ.md) | [莙](莙.md) |  | jùn | [名]
一種水藻。葉大如蓬。《爾雅．釋草》：「莙，牛藻。」晉．郭璞．注：「似藻，葉大，江東人呼為馬藻。」也稱為「馬藻」、「牛藻」。 |</v>
      </c>
    </row>
    <row r="7395" spans="1:44" hidden="1">
      <c r="A7395" s="1" t="s">
        <v>14806</v>
      </c>
      <c r="C7395" s="1">
        <v>1</v>
      </c>
      <c r="D7395" s="1" t="str">
        <f>"06181"</f>
        <v>06181</v>
      </c>
      <c r="E7395" s="1" t="s">
        <v>37</v>
      </c>
      <c r="F7395" s="1">
        <v>12</v>
      </c>
      <c r="G7395" s="1">
        <v>8</v>
      </c>
      <c r="H7395" s="1">
        <v>0</v>
      </c>
      <c r="I7395" s="1" t="s">
        <v>14772</v>
      </c>
      <c r="K7395" s="1" t="str">
        <f t="shared" si="469"/>
        <v>ㄐ</v>
      </c>
      <c r="L7395" s="1" t="str">
        <f t="shared" si="470"/>
        <v>ㄩ</v>
      </c>
      <c r="M7395" s="1" t="str">
        <f t="shared" si="471"/>
        <v>ㄣ</v>
      </c>
      <c r="P7395" s="1" t="s">
        <v>20</v>
      </c>
      <c r="R7395" s="1" t="s">
        <v>14773</v>
      </c>
      <c r="V7395" s="1" t="s">
        <v>14807</v>
      </c>
      <c r="AR7395" s="1" t="str">
        <f t="shared" si="468"/>
        <v>| [ㄐㄩㄣˋ](ㄐㄩㄣˋ.md) | [菌](菌.md) |  | jùn | [名]
1.低等隱花植物的一個大類。沒有莖、葉，也不含葉綠素，無法自製養分，以寄生為營生方式，自然界中分布極廣。無毒的可供食用。如木耳、松蕈、香蕈、草菇等都是可食用的菌類。
2.細菌的簡稱。如：「葡萄球菌」、「桿菌」、「殺菌」。 |</v>
      </c>
    </row>
    <row r="7396" spans="1:44" hidden="1">
      <c r="A7396" s="1" t="s">
        <v>14808</v>
      </c>
      <c r="C7396" s="1">
        <v>1</v>
      </c>
      <c r="D7396" s="1" t="str">
        <f>"06182"</f>
        <v>06182</v>
      </c>
      <c r="E7396" s="1" t="s">
        <v>49</v>
      </c>
      <c r="F7396" s="1">
        <v>14</v>
      </c>
      <c r="G7396" s="1">
        <v>8</v>
      </c>
      <c r="H7396" s="1">
        <v>0</v>
      </c>
      <c r="I7396" s="1" t="s">
        <v>14772</v>
      </c>
      <c r="K7396" s="1" t="str">
        <f t="shared" si="469"/>
        <v>ㄐ</v>
      </c>
      <c r="L7396" s="1" t="str">
        <f t="shared" si="470"/>
        <v>ㄩ</v>
      </c>
      <c r="M7396" s="1" t="str">
        <f t="shared" si="471"/>
        <v>ㄣ</v>
      </c>
      <c r="P7396" s="1" t="s">
        <v>20</v>
      </c>
      <c r="R7396" s="1" t="s">
        <v>14773</v>
      </c>
      <c r="V7396" s="1" t="s">
        <v>14809</v>
      </c>
      <c r="AR7396" s="1" t="str">
        <f t="shared" si="468"/>
        <v>| [ㄐㄩㄣˋ](ㄐㄩㄣˋ.md) | [箘](箘.md) |  | jùn | [名]
一種細長無節的竹子，可作箭桿。《說文解字．竹部》：「箘，箘簬。」清．段玉裁．注：「箘簬二字，一竹名。」宋．王安石〈寄袁州曹伯玉使君〉詩：「濕濕嶺雲生竹箘，冥冥江雨熟楊梅。」也稱為「箘簬」。 |</v>
      </c>
    </row>
    <row r="7397" spans="1:44" hidden="1">
      <c r="A7397" s="1" t="s">
        <v>14736</v>
      </c>
      <c r="C7397" s="1">
        <v>1</v>
      </c>
      <c r="D7397" s="1" t="str">
        <f>"06183"</f>
        <v>06183</v>
      </c>
      <c r="E7397" s="1" t="s">
        <v>5383</v>
      </c>
      <c r="F7397" s="1">
        <v>12</v>
      </c>
      <c r="G7397" s="1">
        <v>4</v>
      </c>
      <c r="H7397" s="1">
        <v>2</v>
      </c>
      <c r="I7397" s="1" t="s">
        <v>14772</v>
      </c>
      <c r="K7397" s="1" t="str">
        <f t="shared" si="469"/>
        <v>ㄐ</v>
      </c>
      <c r="L7397" s="1" t="str">
        <f t="shared" si="470"/>
        <v>ㄩ</v>
      </c>
      <c r="M7397" s="1" t="str">
        <f t="shared" si="471"/>
        <v>ㄣ</v>
      </c>
      <c r="P7397" s="1" t="s">
        <v>20</v>
      </c>
      <c r="R7397" s="1" t="s">
        <v>14773</v>
      </c>
      <c r="V7397" s="1" t="s">
        <v>14810</v>
      </c>
      <c r="W7397" s="1" t="s">
        <v>14811</v>
      </c>
      <c r="AR7397" s="1" t="str">
        <f t="shared" si="468"/>
        <v>| [ㄐㄩㄣˋ](ㄐㄩㄣˋ.md) | [雋](雋.md) |  | jùn | [名]
才能過人的人。通「俊」。《漢書．卷二二．禮樂志》：「至武帝即位，進用英雋。」唐．白行簡〈李娃傳〉：「其年，遇大比，詔徵四方之雋。」
[形]
傑出、出眾。如：「雋才」。《晉書．卷七九．謝安傳》：「萬字萬石，才器雋秀。」 |</v>
      </c>
    </row>
    <row r="7398" spans="1:44" hidden="1">
      <c r="A7398" s="1" t="s">
        <v>14812</v>
      </c>
      <c r="C7398" s="1">
        <v>1</v>
      </c>
      <c r="D7398" s="1" t="str">
        <f>"06184"</f>
        <v>06184</v>
      </c>
      <c r="E7398" s="1" t="s">
        <v>624</v>
      </c>
      <c r="F7398" s="1">
        <v>15</v>
      </c>
      <c r="G7398" s="1">
        <v>12</v>
      </c>
      <c r="H7398" s="1">
        <v>0</v>
      </c>
      <c r="I7398" s="1" t="s">
        <v>14772</v>
      </c>
      <c r="K7398" s="1" t="str">
        <f t="shared" si="469"/>
        <v>ㄐ</v>
      </c>
      <c r="L7398" s="1" t="str">
        <f t="shared" si="470"/>
        <v>ㄩ</v>
      </c>
      <c r="M7398" s="1" t="str">
        <f t="shared" si="471"/>
        <v>ㄣ</v>
      </c>
      <c r="P7398" s="1" t="s">
        <v>20</v>
      </c>
      <c r="R7398" s="1" t="s">
        <v>14773</v>
      </c>
      <c r="V7398" s="1" t="s">
        <v>14813</v>
      </c>
      <c r="AR7398" s="1" t="str">
        <f t="shared" si="468"/>
        <v>| [ㄐㄩㄣˋ](ㄐㄩㄣˋ.md) | [寯](寯.md) |  | jùn | [名]
才能傑出的人。《廣韻．去聲．稕韻》：「寯，人中最才。」
[動]
聚合。清．王念孫《廣雅疏證．卷三下．釋詁》：「寯，聚也。」 |</v>
      </c>
    </row>
    <row r="7399" spans="1:44" hidden="1">
      <c r="A7399" s="1" t="s">
        <v>14814</v>
      </c>
      <c r="C7399" s="1">
        <v>1</v>
      </c>
      <c r="D7399" s="1" t="str">
        <f>"06185"</f>
        <v>06185</v>
      </c>
      <c r="E7399" s="1" t="s">
        <v>129</v>
      </c>
      <c r="F7399" s="1">
        <v>17</v>
      </c>
      <c r="G7399" s="1">
        <v>14</v>
      </c>
      <c r="H7399" s="1">
        <v>0</v>
      </c>
      <c r="I7399" s="1" t="s">
        <v>14772</v>
      </c>
      <c r="K7399" s="1" t="str">
        <f t="shared" si="469"/>
        <v>ㄐ</v>
      </c>
      <c r="L7399" s="1" t="str">
        <f t="shared" si="470"/>
        <v>ㄩ</v>
      </c>
      <c r="M7399" s="1" t="str">
        <f t="shared" si="471"/>
        <v>ㄣ</v>
      </c>
      <c r="P7399" s="1" t="s">
        <v>20</v>
      </c>
      <c r="R7399" s="1" t="s">
        <v>14773</v>
      </c>
      <c r="V7399" s="1" t="s">
        <v>14815</v>
      </c>
      <c r="AR7399" s="1" t="str">
        <f t="shared" si="468"/>
        <v>| [ㄐㄩㄣˋ](ㄐㄩㄣˋ.md) | [濬](濬.md) |  | jùn | [動]
疏通或鑿深水道。如：「疏濬」、「濬河」。《書經．舜典》：「封十有二山，濬川。」漢．孔安國．傳：「有流川，則深之使通利。」
[形]
幽深的。如：「濬壑」。《書經．舜典》：「濬哲文明，溫恭允塞。」漢．孔安國．傳：「濬，深。」晉．陸機〈日出東南隅行〉：「高臺多妖麗，濬房出清顏。」 |</v>
      </c>
    </row>
    <row r="7400" spans="1:44" hidden="1">
      <c r="A7400" s="1" t="s">
        <v>14150</v>
      </c>
      <c r="C7400" s="1">
        <v>1</v>
      </c>
      <c r="D7400" s="1" t="str">
        <f>"05887"</f>
        <v>05887</v>
      </c>
      <c r="E7400" s="1" t="s">
        <v>129</v>
      </c>
      <c r="F7400" s="1">
        <v>6</v>
      </c>
      <c r="G7400" s="1">
        <v>3</v>
      </c>
      <c r="H7400" s="1">
        <v>0</v>
      </c>
      <c r="I7400" s="1" t="s">
        <v>14151</v>
      </c>
      <c r="K7400" s="1" t="str">
        <f t="shared" si="469"/>
        <v>ㄐ</v>
      </c>
      <c r="L7400" s="1" t="str">
        <f t="shared" si="470"/>
        <v>ㄧ</v>
      </c>
      <c r="M7400" s="1" t="str">
        <f t="shared" si="471"/>
        <v>ㄤ</v>
      </c>
      <c r="P7400" s="1" t="s">
        <v>20</v>
      </c>
      <c r="R7400" s="1" t="s">
        <v>14152</v>
      </c>
      <c r="V7400" s="1" t="s">
        <v>14153</v>
      </c>
      <c r="AR7400" s="1" t="str">
        <f t="shared" si="468"/>
        <v>| [ㄐㄧㄤ](ㄐㄧㄤ.md) | [江](江.md) |  | jiāng | [名]
1.大河的通稱。如：「珠江」、「松花江」、「三江五嶽」。《水滸傳》第三八回：「前面靠江有那琵琶亭酒館，是唐朝白樂天古跡。」
2.大陸地區長江的簡稱。如：「江南」、「偏安江左」。
3.國名。嬴姓。春秋時為楚所滅，故址約在今大陸地區河南省息縣西南。
4.姓。如南朝梁有江淹。 |</v>
      </c>
    </row>
    <row r="7401" spans="1:44" hidden="1">
      <c r="A7401" s="1" t="s">
        <v>14154</v>
      </c>
      <c r="C7401" s="1">
        <v>1</v>
      </c>
      <c r="D7401" s="1" t="str">
        <f>"05888"</f>
        <v>05888</v>
      </c>
      <c r="E7401" s="1" t="s">
        <v>169</v>
      </c>
      <c r="F7401" s="1">
        <v>8</v>
      </c>
      <c r="G7401" s="1">
        <v>3</v>
      </c>
      <c r="H7401" s="1">
        <v>2</v>
      </c>
      <c r="I7401" s="1" t="s">
        <v>14151</v>
      </c>
      <c r="K7401" s="1" t="str">
        <f t="shared" si="469"/>
        <v>ㄐ</v>
      </c>
      <c r="L7401" s="1" t="str">
        <f t="shared" si="470"/>
        <v>ㄧ</v>
      </c>
      <c r="M7401" s="1" t="str">
        <f t="shared" si="471"/>
        <v>ㄤ</v>
      </c>
      <c r="P7401" s="1" t="s">
        <v>20</v>
      </c>
      <c r="R7401" s="1" t="s">
        <v>14152</v>
      </c>
      <c r="V7401" s="1" t="s">
        <v>14155</v>
      </c>
      <c r="W7401" s="1" t="s">
        <v>14156</v>
      </c>
      <c r="AR7401" s="1" t="str">
        <f t="shared" si="468"/>
        <v>| [ㄐㄧㄤ](ㄐㄧㄤ.md) | [矼](矼.md) |  | jiāng | [名]
石橋。《玉篇．石部》：「矼，石橋。」宋．歐陽修〈廬山高贈同年劉凝之歸南康〉詩：「水聲聒聒亂人語，六月飛雪灑石矼。」 |</v>
      </c>
    </row>
    <row r="7402" spans="1:44" hidden="1">
      <c r="A7402" s="1" t="s">
        <v>14157</v>
      </c>
      <c r="C7402" s="1">
        <v>1</v>
      </c>
      <c r="D7402" s="1" t="str">
        <f>"05889"</f>
        <v>05889</v>
      </c>
      <c r="E7402" s="1" t="s">
        <v>4293</v>
      </c>
      <c r="F7402" s="1">
        <v>10</v>
      </c>
      <c r="G7402" s="1">
        <v>3</v>
      </c>
      <c r="H7402" s="1">
        <v>0</v>
      </c>
      <c r="I7402" s="1" t="s">
        <v>14151</v>
      </c>
      <c r="K7402" s="1" t="str">
        <f t="shared" si="469"/>
        <v>ㄐ</v>
      </c>
      <c r="L7402" s="1" t="str">
        <f t="shared" si="470"/>
        <v>ㄧ</v>
      </c>
      <c r="M7402" s="1" t="str">
        <f t="shared" si="471"/>
        <v>ㄤ</v>
      </c>
      <c r="P7402" s="1" t="s">
        <v>20</v>
      </c>
      <c r="R7402" s="1" t="s">
        <v>14152</v>
      </c>
      <c r="V7402" s="1" t="s">
        <v>14158</v>
      </c>
      <c r="AR7402" s="1" t="str">
        <f t="shared" si="468"/>
        <v>| [ㄐㄧㄤ](ㄐㄧㄤ.md) | [豇](豇.md) |  | jiāng | 參見「豇豆」條。 |</v>
      </c>
    </row>
    <row r="7403" spans="1:44" hidden="1">
      <c r="A7403" s="1" t="s">
        <v>14159</v>
      </c>
      <c r="C7403" s="1">
        <v>1</v>
      </c>
      <c r="D7403" s="1" t="str">
        <f>"05890"</f>
        <v>05890</v>
      </c>
      <c r="E7403" s="1" t="s">
        <v>37</v>
      </c>
      <c r="F7403" s="1">
        <v>10</v>
      </c>
      <c r="G7403" s="1">
        <v>6</v>
      </c>
      <c r="H7403" s="1">
        <v>0</v>
      </c>
      <c r="I7403" s="1" t="s">
        <v>14151</v>
      </c>
      <c r="K7403" s="1" t="str">
        <f t="shared" si="469"/>
        <v>ㄐ</v>
      </c>
      <c r="L7403" s="1" t="str">
        <f t="shared" si="470"/>
        <v>ㄧ</v>
      </c>
      <c r="M7403" s="1" t="str">
        <f t="shared" si="471"/>
        <v>ㄤ</v>
      </c>
      <c r="P7403" s="1" t="s">
        <v>20</v>
      </c>
      <c r="R7403" s="1" t="s">
        <v>14152</v>
      </c>
      <c r="V7403" s="1" t="s">
        <v>14160</v>
      </c>
      <c r="AR7403" s="1" t="str">
        <f t="shared" si="468"/>
        <v>| [ㄐㄧㄤ](ㄐㄧㄤ.md) | [茳](茳.md) |  | jiāng | 參見「茳芏」條。 |</v>
      </c>
    </row>
    <row r="7404" spans="1:44" hidden="1">
      <c r="A7404" s="1" t="s">
        <v>14161</v>
      </c>
      <c r="C7404" s="1">
        <v>1</v>
      </c>
      <c r="D7404" s="1" t="str">
        <f>"05891"</f>
        <v>05891</v>
      </c>
      <c r="E7404" s="1" t="s">
        <v>534</v>
      </c>
      <c r="F7404" s="1">
        <v>9</v>
      </c>
      <c r="G7404" s="1">
        <v>6</v>
      </c>
      <c r="H7404" s="1">
        <v>0</v>
      </c>
      <c r="I7404" s="1" t="s">
        <v>14151</v>
      </c>
      <c r="K7404" s="1" t="str">
        <f t="shared" si="469"/>
        <v>ㄐ</v>
      </c>
      <c r="L7404" s="1" t="str">
        <f t="shared" si="470"/>
        <v>ㄧ</v>
      </c>
      <c r="M7404" s="1" t="str">
        <f t="shared" si="471"/>
        <v>ㄤ</v>
      </c>
      <c r="P7404" s="1" t="s">
        <v>20</v>
      </c>
      <c r="R7404" s="1" t="s">
        <v>14152</v>
      </c>
      <c r="V7404" s="1" t="s">
        <v>14162</v>
      </c>
      <c r="AR7404" s="1" t="str">
        <f t="shared" si="468"/>
        <v>| [ㄐㄧㄤ](ㄐㄧㄤ.md) | [姜](姜.md) |  | jiāng | [名]
姓。如宋代有姜夔。 |</v>
      </c>
    </row>
    <row r="7405" spans="1:44" hidden="1">
      <c r="A7405" s="1" t="s">
        <v>14163</v>
      </c>
      <c r="C7405" s="1">
        <v>1</v>
      </c>
      <c r="D7405" s="1" t="str">
        <f>"05892"</f>
        <v>05892</v>
      </c>
      <c r="E7405" s="1" t="s">
        <v>1595</v>
      </c>
      <c r="F7405" s="1">
        <v>11</v>
      </c>
      <c r="G7405" s="1">
        <v>8</v>
      </c>
      <c r="H7405" s="1">
        <v>1</v>
      </c>
      <c r="I7405" s="1" t="s">
        <v>14151</v>
      </c>
      <c r="K7405" s="1" t="str">
        <f t="shared" si="469"/>
        <v>ㄐ</v>
      </c>
      <c r="L7405" s="1" t="str">
        <f t="shared" si="470"/>
        <v>ㄧ</v>
      </c>
      <c r="M7405" s="1" t="str">
        <f t="shared" si="471"/>
        <v>ㄤ</v>
      </c>
      <c r="P7405" s="1" t="s">
        <v>20</v>
      </c>
      <c r="R7405" s="1" t="s">
        <v>14152</v>
      </c>
      <c r="V7405" s="1" t="s">
        <v>14164</v>
      </c>
      <c r="W7405" s="1" t="s">
        <v>14165</v>
      </c>
      <c r="AR7405" s="1" t="str">
        <f t="shared" si="468"/>
        <v>| [ㄐㄧㄤ](ㄐㄧㄤ.md) | [將](將.md) |  | jiāng | [副]
1.會、可能。如：「將要」。《論語．季氏》：「季氏將伐顓臾。」
2.快要。《論語．述而》：「不知老之將至。」
3.差不多。《孟子．滕文公上》：「今滕，絕長補短，將五十里也。」
4.剛、才。如：「將哭就笑」、「他將進門沒一會兒。」
[動]
1.進步。《詩經．周頌．敬之》：「日就月將。」
2.拿、持。如：「將酒來」。唐．李白〈俠客行〉：「將炙啖朱亥，持觴勸侯嬴。」
3.扶持、扶助。《詩經．周南．樛木》：「欒只君子，福履將之。」《樂府詩集．卷二五．橫吹曲辭五．木蘭詩二首之一》：「爺孃聞女來，出郭相扶將。」
4.休息、休養。如：「將養」。宋．李清照〈聲聲慢．尋尋覓覓〉詞：「乍暖還寒時候，最難將息。」
5.送。《詩經．召南．鵲巢》：「之子于歸，百兩將之。」《淮南子．詮言》：「來者弗迎，去者弗將。」
6.進行、做。如：「慎重將事」。《清史稿．卷一〇八．選舉三》：「其衡鑒不公、草率將事者，罰不貸。」
7.下象棋時，攻擊對方的將棋或帥棋。如：「我這一步抽車，下一步就要將了！」
8.用言語刺激。如：「他個性保守，得拿話將他。」
[介]
1.把。如：「將飯做好。」、「將花插好。」、「將門關好。」
2.以、用。如：「將功折罪」。《戰國策．秦策一》：「蘇秦始將連橫說秦惠王。」
[連]
1.與、和。北周．庾信〈春賦〉：「眉將柳而爭綠，面共桃而競紅。」唐．盧象〈送綦毋潛〉詩：「欲識秦將漢，嘗聞王與裴。」
2.又、且。如：「將信將疑」。《詩經．小雅．谷風》：「將恐將懼，維予與女。」
[助]
置於動詞後，常和「進來」、「起來」、「進去」等補語連用。如：「打將起來」、「哭將起來」。唐．李商隱〈碧城〉詩三首之三：「收將鳳紙寫相思。」 |</v>
      </c>
    </row>
    <row r="7406" spans="1:44" hidden="1">
      <c r="A7406" s="1" t="s">
        <v>14166</v>
      </c>
      <c r="C7406" s="1">
        <v>1</v>
      </c>
      <c r="D7406" s="1" t="str">
        <f>"05893"</f>
        <v>05893</v>
      </c>
      <c r="E7406" s="1" t="s">
        <v>129</v>
      </c>
      <c r="F7406" s="1">
        <v>15</v>
      </c>
      <c r="G7406" s="1">
        <v>11</v>
      </c>
      <c r="H7406" s="1">
        <v>0</v>
      </c>
      <c r="I7406" s="1" t="s">
        <v>14151</v>
      </c>
      <c r="K7406" s="1" t="str">
        <f t="shared" si="469"/>
        <v>ㄐ</v>
      </c>
      <c r="L7406" s="1" t="str">
        <f t="shared" si="470"/>
        <v>ㄧ</v>
      </c>
      <c r="M7406" s="1" t="str">
        <f t="shared" si="471"/>
        <v>ㄤ</v>
      </c>
      <c r="P7406" s="1" t="s">
        <v>20</v>
      </c>
      <c r="R7406" s="1" t="s">
        <v>14152</v>
      </c>
      <c r="V7406" s="1" t="s">
        <v>14167</v>
      </c>
      <c r="AR7406" s="1" t="str">
        <f t="shared" si="468"/>
        <v>| [ㄐㄧㄤ](ㄐㄧㄤ.md) | [漿](漿.md) |  | jiāng | [名]
1.泛稱較濃稠的液體。如：「豆漿」、「泥漿」、「血漿」、「玉液瓊漿」。《三國志．卷三五．蜀書．諸葛亮傳》：「百姓孰敢不簞食壺漿以迎將軍者乎？」
2.用以黏貼東西的糊狀物。如：「漿糊」。
[動]
衣服用粉汁或米湯浸洗，以使筆挺。如：「漿洗」、「漿衣物」。 |</v>
      </c>
    </row>
    <row r="7407" spans="1:44" hidden="1">
      <c r="A7407" s="1" t="s">
        <v>14168</v>
      </c>
      <c r="C7407" s="1">
        <v>1</v>
      </c>
      <c r="D7407" s="1" t="str">
        <f>"05894"</f>
        <v>05894</v>
      </c>
      <c r="E7407" s="1" t="s">
        <v>679</v>
      </c>
      <c r="F7407" s="1">
        <v>17</v>
      </c>
      <c r="G7407" s="1">
        <v>11</v>
      </c>
      <c r="H7407" s="1">
        <v>0</v>
      </c>
      <c r="I7407" s="1" t="s">
        <v>14151</v>
      </c>
      <c r="K7407" s="1" t="str">
        <f t="shared" si="469"/>
        <v>ㄐ</v>
      </c>
      <c r="L7407" s="1" t="str">
        <f t="shared" si="470"/>
        <v>ㄧ</v>
      </c>
      <c r="M7407" s="1" t="str">
        <f t="shared" si="471"/>
        <v>ㄤ</v>
      </c>
      <c r="P7407" s="1" t="s">
        <v>20</v>
      </c>
      <c r="R7407" s="1" t="s">
        <v>14152</v>
      </c>
      <c r="V7407" s="1" t="s">
        <v>14169</v>
      </c>
      <c r="AR7407" s="1" t="str">
        <f t="shared" si="468"/>
        <v>| [ㄐㄧㄤ](ㄐㄧㄤ.md) | [螿](螿.md) |  | jiāng | 參見「寒螿」條。 |</v>
      </c>
    </row>
    <row r="7408" spans="1:44" hidden="1">
      <c r="A7408" s="1" t="s">
        <v>14170</v>
      </c>
      <c r="C7408" s="1">
        <v>1</v>
      </c>
      <c r="D7408" s="1" t="str">
        <f>"05895"</f>
        <v>05895</v>
      </c>
      <c r="E7408" s="1" t="s">
        <v>114</v>
      </c>
      <c r="F7408" s="1">
        <v>15</v>
      </c>
      <c r="G7408" s="1">
        <v>13</v>
      </c>
      <c r="H7408" s="1">
        <v>0</v>
      </c>
      <c r="I7408" s="1" t="s">
        <v>14151</v>
      </c>
      <c r="K7408" s="1" t="str">
        <f t="shared" si="469"/>
        <v>ㄐ</v>
      </c>
      <c r="L7408" s="1" t="str">
        <f t="shared" si="470"/>
        <v>ㄧ</v>
      </c>
      <c r="M7408" s="1" t="str">
        <f t="shared" si="471"/>
        <v>ㄤ</v>
      </c>
      <c r="P7408" s="1" t="s">
        <v>20</v>
      </c>
      <c r="R7408" s="1" t="s">
        <v>14152</v>
      </c>
      <c r="V7408" s="1" t="s">
        <v>14171</v>
      </c>
      <c r="AR7408" s="1" t="str">
        <f t="shared" si="468"/>
        <v>| [ㄐㄧㄤ](ㄐㄧㄤ.md) | [僵](僵.md) |  | jiāng | [動]
1.仰倒、跌倒。《說文解字．人部》：「僵，偃也。」清．段玉裁．注：「僵謂仰倒。」《史記．卷六九．蘇秦傳》：「佯僵而棄酒。」
2.收斂起笑容，臉部表情變得嚴肅。如：「他老是僵著臉，讓人不敢親近。」
[副]
1.硬化、不靈活。如：「僵挺」、「僵硬」、「凍僵了。」
2.雙方相持不下，無法協調。如：「別把事情弄僵了！」 |</v>
      </c>
    </row>
    <row r="7409" spans="1:44" hidden="1">
      <c r="A7409" s="1" t="s">
        <v>14172</v>
      </c>
      <c r="C7409" s="1">
        <v>1</v>
      </c>
      <c r="D7409" s="1" t="str">
        <f>"05896"</f>
        <v>05896</v>
      </c>
      <c r="E7409" s="1" t="s">
        <v>139</v>
      </c>
      <c r="F7409" s="1">
        <v>17</v>
      </c>
      <c r="G7409" s="1">
        <v>13</v>
      </c>
      <c r="H7409" s="1">
        <v>0</v>
      </c>
      <c r="I7409" s="1" t="s">
        <v>14151</v>
      </c>
      <c r="K7409" s="1" t="str">
        <f t="shared" si="469"/>
        <v>ㄐ</v>
      </c>
      <c r="L7409" s="1" t="str">
        <f t="shared" si="470"/>
        <v>ㄧ</v>
      </c>
      <c r="M7409" s="1" t="str">
        <f t="shared" si="471"/>
        <v>ㄤ</v>
      </c>
      <c r="P7409" s="1" t="s">
        <v>20</v>
      </c>
      <c r="R7409" s="1" t="s">
        <v>14152</v>
      </c>
      <c r="V7409" s="1" t="s">
        <v>14173</v>
      </c>
      <c r="AR7409" s="1" t="str">
        <f t="shared" si="468"/>
        <v>| [ㄐㄧㄤ](ㄐㄧㄤ.md) | [橿](橿.md) |  | jiāng | [名]
1.鋤柄。漢．劉熙《釋名．釋用器》：「鋤，助也，去穢助苗長也。齊人謂其柄曰橿。」漢．桓寬《鹽鐵論．論勇》：「鉏耰棘橿，以破衝隆。」
2.一種樹木。材質堅硬，可製車、船、弓箭。《廣韻．平聲．陽韻》：「橿，一名檍，萬年木。」 |</v>
      </c>
    </row>
    <row r="7410" spans="1:44" hidden="1">
      <c r="A7410" s="1" t="s">
        <v>14174</v>
      </c>
      <c r="C7410" s="1">
        <v>1</v>
      </c>
      <c r="D7410" s="1" t="str">
        <f>"05897"</f>
        <v>05897</v>
      </c>
      <c r="E7410" s="1" t="s">
        <v>1372</v>
      </c>
      <c r="F7410" s="1">
        <v>17</v>
      </c>
      <c r="G7410" s="1">
        <v>13</v>
      </c>
      <c r="H7410" s="1">
        <v>0</v>
      </c>
      <c r="I7410" s="1" t="s">
        <v>14151</v>
      </c>
      <c r="K7410" s="1" t="str">
        <f t="shared" si="469"/>
        <v>ㄐ</v>
      </c>
      <c r="L7410" s="1" t="str">
        <f t="shared" si="470"/>
        <v>ㄧ</v>
      </c>
      <c r="M7410" s="1" t="str">
        <f t="shared" si="471"/>
        <v>ㄤ</v>
      </c>
      <c r="P7410" s="1" t="s">
        <v>20</v>
      </c>
      <c r="R7410" s="1" t="s">
        <v>14152</v>
      </c>
      <c r="V7410" s="1" t="s">
        <v>14175</v>
      </c>
      <c r="AR7410" s="1" t="str">
        <f t="shared" si="468"/>
        <v>| [ㄐㄧㄤ](ㄐㄧㄤ.md) | [殭](殭.md) |  | jiāng | [形]
動物死後屍體不腐朽的。如：「殭屍」、「殭蠶」。 |</v>
      </c>
    </row>
    <row r="7411" spans="1:44" hidden="1">
      <c r="A7411" s="1" t="s">
        <v>14176</v>
      </c>
      <c r="C7411" s="1">
        <v>1</v>
      </c>
      <c r="D7411" s="1" t="str">
        <f>"05898"</f>
        <v>05898</v>
      </c>
      <c r="E7411" s="1" t="s">
        <v>37</v>
      </c>
      <c r="F7411" s="1">
        <v>17</v>
      </c>
      <c r="G7411" s="1">
        <v>13</v>
      </c>
      <c r="H7411" s="1">
        <v>0</v>
      </c>
      <c r="I7411" s="1" t="s">
        <v>14151</v>
      </c>
      <c r="K7411" s="1" t="str">
        <f t="shared" si="469"/>
        <v>ㄐ</v>
      </c>
      <c r="L7411" s="1" t="str">
        <f t="shared" si="470"/>
        <v>ㄧ</v>
      </c>
      <c r="M7411" s="1" t="str">
        <f t="shared" si="471"/>
        <v>ㄤ</v>
      </c>
      <c r="P7411" s="1" t="s">
        <v>20</v>
      </c>
      <c r="R7411" s="1" t="s">
        <v>14152</v>
      </c>
      <c r="V7411" s="1" t="s">
        <v>14177</v>
      </c>
      <c r="AR7411" s="1" t="str">
        <f t="shared" si="468"/>
        <v>| [ㄐㄧㄤ](ㄐㄧㄤ.md) | [薑](薑.md) |  | jiāng | [名]
植物名。薑科薑屬，多年生草本。葉長披針形，葉脈平行。穗狀花序毬果狀，卵形，長四至五公分，總梗長可達二十五公分，直立，苞片卵形，花冠脣形，脣瓣中央裂片倒卵形，黃綠色，具紫色條紋及黃白斑。地下莖肥大，呈不規則塊狀，色黃，味辛辣，可作蔬菜、調味料，並供藥用。經過乾燥處理後，可為芳香劑、興奮劑、驅風劑等。也稱為「生薑」。 |</v>
      </c>
    </row>
    <row r="7412" spans="1:44" hidden="1">
      <c r="A7412" s="1" t="s">
        <v>14178</v>
      </c>
      <c r="C7412" s="1">
        <v>1</v>
      </c>
      <c r="D7412" s="1" t="str">
        <f>"05899"</f>
        <v>05899</v>
      </c>
      <c r="E7412" s="1" t="s">
        <v>169</v>
      </c>
      <c r="F7412" s="1">
        <v>18</v>
      </c>
      <c r="G7412" s="1">
        <v>13</v>
      </c>
      <c r="H7412" s="1">
        <v>0</v>
      </c>
      <c r="I7412" s="1" t="s">
        <v>14151</v>
      </c>
      <c r="K7412" s="1" t="str">
        <f t="shared" si="469"/>
        <v>ㄐ</v>
      </c>
      <c r="L7412" s="1" t="str">
        <f t="shared" si="470"/>
        <v>ㄧ</v>
      </c>
      <c r="M7412" s="1" t="str">
        <f t="shared" si="471"/>
        <v>ㄤ</v>
      </c>
      <c r="P7412" s="1" t="s">
        <v>20</v>
      </c>
      <c r="R7412" s="1" t="s">
        <v>14152</v>
      </c>
      <c r="V7412" s="1" t="s">
        <v>14179</v>
      </c>
      <c r="AR7412" s="1" t="str">
        <f t="shared" si="468"/>
        <v>| [ㄐㄧㄤ](ㄐㄧㄤ.md) | [礓](礓.md) |  | jiāng | [名]
小石子。唐．盧綸〈題伯夷廟〉詩：「中條山下黃礓石，壘作夷齊廟裡神。」《明史．卷八七．河渠志五》：「皆山岡高阜，多砂礓石塊，極難為工。」 |</v>
      </c>
    </row>
    <row r="7413" spans="1:44" hidden="1">
      <c r="A7413" s="1" t="s">
        <v>14180</v>
      </c>
      <c r="C7413" s="1">
        <v>1</v>
      </c>
      <c r="D7413" s="1" t="str">
        <f>"05900"</f>
        <v>05900</v>
      </c>
      <c r="E7413" s="1" t="s">
        <v>753</v>
      </c>
      <c r="F7413" s="1">
        <v>19</v>
      </c>
      <c r="G7413" s="1">
        <v>14</v>
      </c>
      <c r="H7413" s="1">
        <v>0</v>
      </c>
      <c r="I7413" s="1" t="s">
        <v>14151</v>
      </c>
      <c r="K7413" s="1" t="str">
        <f t="shared" si="469"/>
        <v>ㄐ</v>
      </c>
      <c r="L7413" s="1" t="str">
        <f t="shared" si="470"/>
        <v>ㄧ</v>
      </c>
      <c r="M7413" s="1" t="str">
        <f t="shared" si="471"/>
        <v>ㄤ</v>
      </c>
      <c r="P7413" s="1" t="s">
        <v>20</v>
      </c>
      <c r="R7413" s="1" t="s">
        <v>14152</v>
      </c>
      <c r="V7413" s="1" t="s">
        <v>14181</v>
      </c>
      <c r="AR7413" s="1" t="str">
        <f t="shared" si="468"/>
        <v>| [ㄐㄧㄤ](ㄐㄧㄤ.md) | [疆](疆.md) |  | jiāng | [名]
1.土地的界限、邊界。如：「疆界」。《詩經．小雅．信南山》：「疆埸翼翼，黍稷彧彧。」《禮記．曲禮下》：「大夫私行，出疆必請，反必有獻。」
2.國土。如：「疆域」、「異疆」。宋．蘇軾〈生擒西蕃鬼章奏告〉：「恭行天誅，非貪尺寸之疆。」
3.極限、止境。如：「萬壽無疆」。《易經．坤卦．彖曰》：「坤厚載物，德合無疆。」
4.姓。如漢代有疆華。
[動]
劃分界限。《詩經．大雅．綿》：「迺疆迺理，迺宣迺畝。」《宋書．卷六四．何承天傳》：「良守疆其土田，驍帥振其風略。」 |</v>
      </c>
    </row>
    <row r="7414" spans="1:44" hidden="1">
      <c r="A7414" s="1" t="s">
        <v>10003</v>
      </c>
      <c r="C7414" s="1">
        <v>1</v>
      </c>
      <c r="D7414" s="1" t="str">
        <f>"05901"</f>
        <v>05901</v>
      </c>
      <c r="E7414" s="1" t="s">
        <v>96</v>
      </c>
      <c r="F7414" s="1">
        <v>22</v>
      </c>
      <c r="G7414" s="1">
        <v>13</v>
      </c>
      <c r="H7414" s="1">
        <v>1</v>
      </c>
      <c r="I7414" s="1" t="s">
        <v>14151</v>
      </c>
      <c r="K7414" s="1" t="str">
        <f t="shared" si="469"/>
        <v>ㄐ</v>
      </c>
      <c r="L7414" s="1" t="str">
        <f t="shared" si="470"/>
        <v>ㄧ</v>
      </c>
      <c r="M7414" s="1" t="str">
        <f t="shared" si="471"/>
        <v>ㄤ</v>
      </c>
      <c r="P7414" s="1" t="s">
        <v>20</v>
      </c>
      <c r="R7414" s="1" t="s">
        <v>14152</v>
      </c>
      <c r="V7414" s="1" t="s">
        <v>14182</v>
      </c>
      <c r="W7414" s="1" t="s">
        <v>14183</v>
      </c>
      <c r="AR7414" s="1" t="str">
        <f t="shared" si="468"/>
        <v>| [ㄐㄧㄤ](ㄐㄧㄤ.md) | [韁](韁.md) |  | jiāng | [名]
繫在馬頸上的繩子。如：「韁繩」、「脫韁野馬」。 |</v>
      </c>
    </row>
    <row r="7415" spans="1:44" hidden="1">
      <c r="A7415" s="1" t="s">
        <v>14184</v>
      </c>
      <c r="C7415" s="1">
        <v>1</v>
      </c>
      <c r="D7415" s="1" t="str">
        <f>"05902"</f>
        <v>05902</v>
      </c>
      <c r="E7415" s="1" t="s">
        <v>37</v>
      </c>
      <c r="F7415" s="1">
        <v>15</v>
      </c>
      <c r="G7415" s="1">
        <v>11</v>
      </c>
      <c r="H7415" s="1">
        <v>0</v>
      </c>
      <c r="I7415" s="1" t="s">
        <v>14185</v>
      </c>
      <c r="K7415" s="1" t="str">
        <f t="shared" si="469"/>
        <v>ㄐ</v>
      </c>
      <c r="L7415" s="1" t="str">
        <f t="shared" si="470"/>
        <v>ㄧ</v>
      </c>
      <c r="M7415" s="1" t="str">
        <f t="shared" si="471"/>
        <v>ㄤ</v>
      </c>
      <c r="P7415" s="1" t="s">
        <v>20</v>
      </c>
      <c r="R7415" s="1" t="s">
        <v>14186</v>
      </c>
      <c r="V7415" s="1" t="s">
        <v>14187</v>
      </c>
      <c r="AR7415" s="1" t="str">
        <f t="shared" si="468"/>
        <v>| [ㄐㄧㄤˇ](ㄐㄧㄤˇ.md) | [蔣](蔣.md) |  | jiǎng | [名]
1.茭白筍的別名。參見「茭白筍」條。
2.國名。姬姓。春秋時為楚國所滅。故址約在今大陸地區河南省固始縣西北的蔣鄉。
3.姓。如清代有蔣士銓。 |</v>
      </c>
    </row>
    <row r="7416" spans="1:44" hidden="1">
      <c r="A7416" s="1" t="s">
        <v>14188</v>
      </c>
      <c r="C7416" s="1">
        <v>1</v>
      </c>
      <c r="D7416" s="1" t="str">
        <f>"05903"</f>
        <v>05903</v>
      </c>
      <c r="E7416" s="1" t="s">
        <v>139</v>
      </c>
      <c r="F7416" s="1">
        <v>15</v>
      </c>
      <c r="G7416" s="1">
        <v>11</v>
      </c>
      <c r="H7416" s="1">
        <v>0</v>
      </c>
      <c r="I7416" s="1" t="s">
        <v>14185</v>
      </c>
      <c r="K7416" s="1" t="str">
        <f t="shared" si="469"/>
        <v>ㄐ</v>
      </c>
      <c r="L7416" s="1" t="str">
        <f t="shared" si="470"/>
        <v>ㄧ</v>
      </c>
      <c r="M7416" s="1" t="str">
        <f t="shared" si="471"/>
        <v>ㄤ</v>
      </c>
      <c r="P7416" s="1" t="s">
        <v>20</v>
      </c>
      <c r="R7416" s="1" t="s">
        <v>14186</v>
      </c>
      <c r="V7416" s="1" t="s">
        <v>14189</v>
      </c>
      <c r="AR7416" s="1" t="str">
        <f t="shared" si="468"/>
        <v>| [ㄐㄧㄤˇ](ㄐㄧㄤˇ.md) | [槳](槳.md) |  | jiǎng | [名]
划船時，在船旁撥水前進的用具。粗長的稱為「櫓」，短小的稱為「槳」。如：「船槳」。宋．蘇軾〈赤壁賦〉：「桂棹兮蘭槳，擊空明兮泝流光。」宋．張耒〈海州道中〉詩：「孤舟夜行秋水廣，秋風滿帆不搖槳。」 |</v>
      </c>
    </row>
    <row r="7417" spans="1:44" hidden="1">
      <c r="A7417" s="1" t="s">
        <v>14190</v>
      </c>
      <c r="C7417" s="1">
        <v>1</v>
      </c>
      <c r="D7417" s="1" t="str">
        <f>"05904"</f>
        <v>05904</v>
      </c>
      <c r="E7417" s="1" t="s">
        <v>198</v>
      </c>
      <c r="F7417" s="1">
        <v>15</v>
      </c>
      <c r="G7417" s="1">
        <v>11</v>
      </c>
      <c r="H7417" s="1">
        <v>0</v>
      </c>
      <c r="I7417" s="1" t="s">
        <v>14185</v>
      </c>
      <c r="K7417" s="1" t="str">
        <f t="shared" si="469"/>
        <v>ㄐ</v>
      </c>
      <c r="L7417" s="1" t="str">
        <f t="shared" si="470"/>
        <v>ㄧ</v>
      </c>
      <c r="M7417" s="1" t="str">
        <f t="shared" si="471"/>
        <v>ㄤ</v>
      </c>
      <c r="P7417" s="1" t="s">
        <v>20</v>
      </c>
      <c r="R7417" s="1" t="s">
        <v>14186</v>
      </c>
      <c r="V7417" s="1" t="s">
        <v>14191</v>
      </c>
      <c r="AR7417" s="1" t="str">
        <f t="shared" si="468"/>
        <v>| [ㄐㄧㄤˇ](ㄐㄧㄤˇ.md) | [獎](獎.md) |  | jiǎng | [名]
1.為鼓勵或表揚而頒贈的榮譽或財物。如：「得獎」、「領獎」、「優等獎」。
2.彩金。如：「中獎」。
[動]
1.稱讚、表揚。與「懲」、「罰」相對。如：「誇獎」、「過獎」、「嘉獎」。
2.勸勉、鼓勵。如：「獎勵」。《左傳．昭公二十二年》：「以獎亂人。」宋．王安石〈次韻劉著作過茆山今平甫往遊因寄〉詩：「詩中慷慨悲陳跡，篇末慇懃獎後生。」
3.輔助、幫助。《左傳．襄公十一年》：「救災患，恤禍亂，同好惡，獎王室。」 |</v>
      </c>
    </row>
    <row r="7418" spans="1:44" hidden="1">
      <c r="A7418" s="1" t="s">
        <v>14192</v>
      </c>
      <c r="C7418" s="1">
        <v>1</v>
      </c>
      <c r="D7418" s="1" t="str">
        <f>"05905"</f>
        <v>05905</v>
      </c>
      <c r="E7418" s="1" t="s">
        <v>331</v>
      </c>
      <c r="F7418" s="1">
        <v>17</v>
      </c>
      <c r="G7418" s="1">
        <v>10</v>
      </c>
      <c r="H7418" s="1">
        <v>0</v>
      </c>
      <c r="I7418" s="1" t="s">
        <v>14185</v>
      </c>
      <c r="K7418" s="1" t="str">
        <f t="shared" si="469"/>
        <v>ㄐ</v>
      </c>
      <c r="L7418" s="1" t="str">
        <f t="shared" si="470"/>
        <v>ㄧ</v>
      </c>
      <c r="M7418" s="1" t="str">
        <f t="shared" si="471"/>
        <v>ㄤ</v>
      </c>
      <c r="P7418" s="1" t="s">
        <v>20</v>
      </c>
      <c r="R7418" s="1" t="s">
        <v>14186</v>
      </c>
      <c r="V7418" s="1" t="s">
        <v>14193</v>
      </c>
      <c r="AR7418" s="1" t="str">
        <f t="shared" si="468"/>
        <v>| [ㄐㄧㄤˇ](ㄐㄧㄤˇ.md) | [講](講.md) |  | jiǎng | [動]
1.談、說。如：「講話」、「講故事」。
2.說明、解釋義理。如：「講課」、「講解」、「講經」。元．張鳴善〈普天樂．講詩書〉曲：「講詩書，習功課。」
3.注重、顧及。如：「講效率」、「講交情」、「講道理」。《論語．述而》：「德之不修，學之不講，聞義不能徙，不善不能改，是吾憂也。」《禮記．禮運》：「選賢與能，講信脩睦。」
4.商議、和解。如：「講價」、「講條件」。《戰國策．秦策四》：「三國之兵深矣，寡人欲割河東而講。」
5.較量、比較高下。如：「這次競技是講文的還是講武的？」
[名]
量詞。計算講次的單位。如：「民生主義第三講」。 |</v>
      </c>
    </row>
    <row r="7419" spans="1:44" hidden="1">
      <c r="A7419" s="1" t="s">
        <v>14194</v>
      </c>
      <c r="C7419" s="1">
        <v>1</v>
      </c>
      <c r="D7419" s="1" t="str">
        <f>"05906"</f>
        <v>05906</v>
      </c>
      <c r="E7419" s="1" t="s">
        <v>684</v>
      </c>
      <c r="F7419" s="1">
        <v>19</v>
      </c>
      <c r="G7419" s="1">
        <v>10</v>
      </c>
      <c r="H7419" s="1">
        <v>0</v>
      </c>
      <c r="I7419" s="1" t="s">
        <v>14185</v>
      </c>
      <c r="K7419" s="1" t="str">
        <f t="shared" si="469"/>
        <v>ㄐ</v>
      </c>
      <c r="L7419" s="1" t="str">
        <f t="shared" si="470"/>
        <v>ㄧ</v>
      </c>
      <c r="M7419" s="1" t="str">
        <f t="shared" si="471"/>
        <v>ㄤ</v>
      </c>
      <c r="P7419" s="1" t="s">
        <v>20</v>
      </c>
      <c r="R7419" s="1" t="s">
        <v>14186</v>
      </c>
      <c r="V7419" s="1" t="s">
        <v>14195</v>
      </c>
      <c r="AR7419" s="1" t="str">
        <f t="shared" si="468"/>
        <v>| [ㄐㄧㄤˇ](ㄐㄧㄤˇ.md) | [顜](顜.md) |  | jiǎng | [形]
1.和協。《集韻．上聲．講韻》：「顜，和也。」
2.正直、明白。《史記．卷五四．曹相國世家》：「蕭何為法，顜若畫一。」唐．司馬貞．索隱：「顜，訓直，又訓明，言法明直若畫一也。」 |</v>
      </c>
    </row>
    <row r="7420" spans="1:44" hidden="1">
      <c r="A7420" s="1" t="s">
        <v>14196</v>
      </c>
      <c r="C7420" s="1">
        <v>1</v>
      </c>
      <c r="D7420" s="1" t="str">
        <f>"05907"</f>
        <v>05907</v>
      </c>
      <c r="E7420" s="1" t="s">
        <v>3892</v>
      </c>
      <c r="F7420" s="1">
        <v>6</v>
      </c>
      <c r="G7420" s="1">
        <v>4</v>
      </c>
      <c r="H7420" s="1">
        <v>0</v>
      </c>
      <c r="I7420" s="1" t="s">
        <v>14197</v>
      </c>
      <c r="K7420" s="1" t="str">
        <f t="shared" si="469"/>
        <v>ㄐ</v>
      </c>
      <c r="L7420" s="1" t="str">
        <f t="shared" si="470"/>
        <v>ㄧ</v>
      </c>
      <c r="M7420" s="1" t="str">
        <f t="shared" si="471"/>
        <v>ㄤ</v>
      </c>
      <c r="P7420" s="1" t="s">
        <v>20</v>
      </c>
      <c r="R7420" s="1" t="s">
        <v>14198</v>
      </c>
      <c r="V7420" s="1" t="s">
        <v>14199</v>
      </c>
      <c r="AR7420" s="1" t="str">
        <f t="shared" si="468"/>
        <v>| [ㄐㄧㄤˋ](ㄐㄧㄤˋ.md) | [匠](匠.md) |  | jiàng | [名]
1.泛稱各種技術工人。如：「木匠」、「鐵匠」、「花匠」、「工匠」。《史記．卷一〇．孝文本紀》：「嘗欲作露臺，召匠計之，直百金。」
2.尊稱在某方面有特殊造詣的人。如：「畫壇巨匠」、「文壇巧匠」。唐．李白〈登金陵冶城西北謝安墩〉詩：「哲匠感頹運，雲鵬忽飛翻。」
[形]
技藝靈巧、構思巧妙。如：「匠心獨運」。南朝梁．劉勰《文心雕龍．章句》：「夫裁文匠筆，篇有小大。」 |</v>
      </c>
    </row>
    <row r="7421" spans="1:44" hidden="1">
      <c r="A7421" s="1" t="s">
        <v>14200</v>
      </c>
      <c r="C7421" s="1">
        <v>1</v>
      </c>
      <c r="D7421" s="1" t="str">
        <f>"05908"</f>
        <v>05908</v>
      </c>
      <c r="E7421" s="1" t="s">
        <v>129</v>
      </c>
      <c r="F7421" s="1">
        <v>9</v>
      </c>
      <c r="G7421" s="1">
        <v>6</v>
      </c>
      <c r="H7421" s="1">
        <v>0</v>
      </c>
      <c r="I7421" s="1" t="s">
        <v>14197</v>
      </c>
      <c r="K7421" s="1" t="str">
        <f t="shared" si="469"/>
        <v>ㄐ</v>
      </c>
      <c r="L7421" s="1" t="str">
        <f t="shared" si="470"/>
        <v>ㄧ</v>
      </c>
      <c r="M7421" s="1" t="str">
        <f t="shared" si="471"/>
        <v>ㄤ</v>
      </c>
      <c r="P7421" s="1" t="s">
        <v>20</v>
      </c>
      <c r="R7421" s="1" t="s">
        <v>14198</v>
      </c>
      <c r="V7421" s="1" t="s">
        <v>14201</v>
      </c>
      <c r="AR7421" s="1" t="str">
        <f t="shared" si="468"/>
        <v>| [ㄐㄧㄤˋ](ㄐㄧㄤˋ.md) | [洚](洚.md) |  | jiàng | 參見「洚水」條。 |</v>
      </c>
    </row>
    <row r="7422" spans="1:44" hidden="1">
      <c r="A7422" s="1" t="s">
        <v>14202</v>
      </c>
      <c r="C7422" s="1">
        <v>1</v>
      </c>
      <c r="D7422" s="1" t="str">
        <f>"05909"</f>
        <v>05909</v>
      </c>
      <c r="E7422" s="1" t="s">
        <v>691</v>
      </c>
      <c r="F7422" s="1">
        <v>9</v>
      </c>
      <c r="G7422" s="1">
        <v>6</v>
      </c>
      <c r="H7422" s="1">
        <v>1</v>
      </c>
      <c r="I7422" s="1" t="s">
        <v>14197</v>
      </c>
      <c r="K7422" s="1" t="str">
        <f t="shared" si="469"/>
        <v>ㄐ</v>
      </c>
      <c r="L7422" s="1" t="str">
        <f t="shared" si="470"/>
        <v>ㄧ</v>
      </c>
      <c r="M7422" s="1" t="str">
        <f t="shared" si="471"/>
        <v>ㄤ</v>
      </c>
      <c r="P7422" s="1" t="s">
        <v>20</v>
      </c>
      <c r="R7422" s="1" t="s">
        <v>14198</v>
      </c>
      <c r="V7422" s="1" t="s">
        <v>14203</v>
      </c>
      <c r="W7422" s="1" t="s">
        <v>14204</v>
      </c>
      <c r="AR7422" s="1" t="str">
        <f t="shared" si="468"/>
        <v>| [ㄐㄧㄤˋ](ㄐㄧㄤˋ.md) | [降](降.md) |  | jiàng | [動]
1.從上落下。如：「降雨」、「下降」、「迫降」、「喜從天降」。
2.尊貴人物蒞臨、光臨。如：「降駕」、「光降」。《文選．潘岳．藉田賦》：「於是我皇乃降靈壇，撫御耦。」
3.賜予、給予。如：「降福」、「降罪」。《詩經．小雅．節南山》：「昊天不惠，降此大戾。」
4.壓低、貶抑。如：「降級」、「降職」、「降低」、「降價」、「降格以求」。 |</v>
      </c>
    </row>
    <row r="7423" spans="1:44" hidden="1">
      <c r="A7423" s="1" t="s">
        <v>14205</v>
      </c>
      <c r="C7423" s="1">
        <v>1</v>
      </c>
      <c r="D7423" s="1" t="str">
        <f>"05910"</f>
        <v>05910</v>
      </c>
      <c r="E7423" s="1" t="s">
        <v>725</v>
      </c>
      <c r="F7423" s="1">
        <v>12</v>
      </c>
      <c r="G7423" s="1">
        <v>6</v>
      </c>
      <c r="H7423" s="1">
        <v>0</v>
      </c>
      <c r="I7423" s="1" t="s">
        <v>14197</v>
      </c>
      <c r="K7423" s="1" t="str">
        <f t="shared" si="469"/>
        <v>ㄐ</v>
      </c>
      <c r="L7423" s="1" t="str">
        <f t="shared" si="470"/>
        <v>ㄧ</v>
      </c>
      <c r="M7423" s="1" t="str">
        <f t="shared" si="471"/>
        <v>ㄤ</v>
      </c>
      <c r="P7423" s="1" t="s">
        <v>20</v>
      </c>
      <c r="R7423" s="1" t="s">
        <v>14198</v>
      </c>
      <c r="V7423" s="1" t="s">
        <v>14206</v>
      </c>
      <c r="AR7423" s="1" t="str">
        <f t="shared" si="468"/>
        <v>| [ㄐㄧㄤˋ](ㄐㄧㄤˋ.md) | [絳](絳.md) |  | jiàng | [名]
1.大紅色。《說文解字．糸部》：「絳，大赤也。」南朝梁．劉勰《文心雕龍．通變》：「夫青生於藍，絳生於蒨。」
2.一種絲織品。《晉書．卷二一．禮志下》：「絳二匹，絹二百匹。」
3.地名。約在今大陸地區山西省翼城縣東南。
[形]
大紅色的。《文選．鮑照．蕪城賦》：「玉貌絳脣。」唐．王維〈和賈舍人早朝大明宮之作〉詩：「絳幘雞人報曉籌，尚衣方進翠雲裘。」 |</v>
      </c>
    </row>
    <row r="7424" spans="1:44" hidden="1">
      <c r="A7424" s="1" t="s">
        <v>14207</v>
      </c>
      <c r="C7424" s="1">
        <v>1</v>
      </c>
      <c r="D7424" s="1" t="str">
        <f>"05911"</f>
        <v>05911</v>
      </c>
      <c r="E7424" s="1" t="s">
        <v>103</v>
      </c>
      <c r="F7424" s="1">
        <v>11</v>
      </c>
      <c r="G7424" s="1">
        <v>8</v>
      </c>
      <c r="H7424" s="1">
        <v>0</v>
      </c>
      <c r="I7424" s="1" t="s">
        <v>14197</v>
      </c>
      <c r="K7424" s="1" t="str">
        <f t="shared" si="469"/>
        <v>ㄐ</v>
      </c>
      <c r="L7424" s="1" t="str">
        <f t="shared" si="470"/>
        <v>ㄧ</v>
      </c>
      <c r="M7424" s="1" t="str">
        <f t="shared" si="471"/>
        <v>ㄤ</v>
      </c>
      <c r="P7424" s="1" t="s">
        <v>20</v>
      </c>
      <c r="R7424" s="1" t="s">
        <v>14198</v>
      </c>
      <c r="V7424" s="1" t="s">
        <v>14208</v>
      </c>
      <c r="AR7424" s="1" t="str">
        <f t="shared" si="468"/>
        <v>| [ㄐㄧㄤˋ](ㄐㄧㄤˋ.md) | [弶](弶.md) |  | jiàng | [名]
一種捕捉鳥獸的工具。唐．釋玄應《一切經音義．卷一八．鞞婆沙阿毗曇論》：「如弶，今畋獵家施弶以取鳥獸者，其形似弓也。」 |</v>
      </c>
    </row>
    <row r="7425" spans="1:44" hidden="1">
      <c r="A7425" s="1" t="s">
        <v>14209</v>
      </c>
      <c r="C7425" s="1">
        <v>1</v>
      </c>
      <c r="D7425" s="1" t="str">
        <f>"05912"</f>
        <v>05912</v>
      </c>
      <c r="E7425" s="1" t="s">
        <v>103</v>
      </c>
      <c r="F7425" s="1">
        <v>11</v>
      </c>
      <c r="G7425" s="1">
        <v>8</v>
      </c>
      <c r="H7425" s="1">
        <v>3</v>
      </c>
      <c r="I7425" s="1" t="s">
        <v>14197</v>
      </c>
      <c r="K7425" s="1" t="str">
        <f t="shared" si="469"/>
        <v>ㄐ</v>
      </c>
      <c r="L7425" s="1" t="str">
        <f t="shared" si="470"/>
        <v>ㄧ</v>
      </c>
      <c r="M7425" s="1" t="str">
        <f t="shared" si="471"/>
        <v>ㄤ</v>
      </c>
      <c r="P7425" s="1" t="s">
        <v>20</v>
      </c>
      <c r="R7425" s="1" t="s">
        <v>14198</v>
      </c>
      <c r="V7425" s="1" t="s">
        <v>14210</v>
      </c>
      <c r="W7425" s="1" t="s">
        <v>14211</v>
      </c>
      <c r="AR7425" s="1" t="str">
        <f t="shared" si="468"/>
        <v>| [ㄐㄧㄤˋ](ㄐㄧㄤˋ.md) | [強](強.md) |  | jiàng | [形]
1.堅韌、不柔和。《淮南子．主術》：「木強而斧伐之。」《漢書．卷四二．張蒼等傳．贊曰》：「周昌，木強人也。」
2.僵硬。《儒林外史》第一一回：「一連喫了四五劑，口不歪了，只是舌根還有些強。」
3.固執、任性、不順從。如：「倔強」、「強脾氣」。 |</v>
      </c>
    </row>
    <row r="7426" spans="1:44" hidden="1">
      <c r="A7426" s="1" t="s">
        <v>14212</v>
      </c>
      <c r="C7426" s="1">
        <v>1</v>
      </c>
      <c r="D7426" s="1" t="str">
        <f>"05913"</f>
        <v>05913</v>
      </c>
      <c r="E7426" s="1" t="s">
        <v>46</v>
      </c>
      <c r="F7426" s="1">
        <v>17</v>
      </c>
      <c r="G7426" s="1">
        <v>11</v>
      </c>
      <c r="H7426" s="1">
        <v>0</v>
      </c>
      <c r="I7426" s="1" t="s">
        <v>14197</v>
      </c>
      <c r="K7426" s="1" t="str">
        <f t="shared" si="469"/>
        <v>ㄐ</v>
      </c>
      <c r="L7426" s="1" t="str">
        <f t="shared" si="470"/>
        <v>ㄧ</v>
      </c>
      <c r="M7426" s="1" t="str">
        <f t="shared" si="471"/>
        <v>ㄤ</v>
      </c>
      <c r="P7426" s="1" t="s">
        <v>20</v>
      </c>
      <c r="R7426" s="1" t="s">
        <v>14198</v>
      </c>
      <c r="V7426" s="1" t="s">
        <v>14213</v>
      </c>
      <c r="AR7426" s="1" t="str">
        <f t="shared" si="468"/>
        <v>| [ㄐㄧㄤˋ](ㄐㄧㄤˋ.md) | [糨](糨.md) |  | jiàng | [名]
一種用來黏貼東西的稠狀物。參見「糨糊」條。
[形]
濃、稠。如：「這粥煮得太糨了，加些熱開水吧！」 |</v>
      </c>
    </row>
    <row r="7427" spans="1:44" hidden="1">
      <c r="A7427" s="1" t="s">
        <v>14163</v>
      </c>
      <c r="C7427" s="1">
        <v>1</v>
      </c>
      <c r="D7427" s="1" t="str">
        <f>"05914"</f>
        <v>05914</v>
      </c>
      <c r="E7427" s="1" t="s">
        <v>1595</v>
      </c>
      <c r="F7427" s="1">
        <v>11</v>
      </c>
      <c r="G7427" s="1">
        <v>8</v>
      </c>
      <c r="H7427" s="1">
        <v>2</v>
      </c>
      <c r="I7427" s="1" t="s">
        <v>14197</v>
      </c>
      <c r="K7427" s="1" t="str">
        <f t="shared" si="469"/>
        <v>ㄐ</v>
      </c>
      <c r="L7427" s="1" t="str">
        <f t="shared" si="470"/>
        <v>ㄧ</v>
      </c>
      <c r="M7427" s="1" t="str">
        <f t="shared" si="471"/>
        <v>ㄤ</v>
      </c>
      <c r="P7427" s="1" t="s">
        <v>20</v>
      </c>
      <c r="R7427" s="1" t="s">
        <v>14198</v>
      </c>
      <c r="V7427" s="1" t="s">
        <v>14214</v>
      </c>
      <c r="W7427" s="1" t="s">
        <v>14215</v>
      </c>
      <c r="AR7427" s="1" t="str">
        <f t="shared" ref="AR7427:AR7490" si="472">"| ["&amp;I7427&amp;"]("&amp;I7427&amp;".md) | ["&amp;A7427&amp;"]("&amp;A7427&amp;".md) | "&amp;" | "&amp;R7427&amp;" | "&amp;V7427&amp;" |"</f>
        <v>| [ㄐㄧㄤˋ](ㄐㄧㄤˋ.md) | [將](將.md) |  | jiàng | [名]
1.高級軍官。如：「大將」、「名將」、「勇將」、「將士用命」。《史記．卷七七．魏公子傳》：「將在外，主令有所不受。」
2.高級軍階。如：「上將」、「中將」、「少將」。
3.團體中的成員。如：「教練一看大勢底定，把主將換下休息，讓副將上場。」
[動]
率領。如：「韓信將兵──多多益善。」唐．盧綸〈和張僕射塞下曲〉五首之三：「欲將輕騎逐，大雪滿弓刀。」 |</v>
      </c>
    </row>
    <row r="7428" spans="1:44" hidden="1">
      <c r="A7428" s="1" t="s">
        <v>14216</v>
      </c>
      <c r="C7428" s="1">
        <v>1</v>
      </c>
      <c r="D7428" s="1" t="str">
        <f>"05915"</f>
        <v>05915</v>
      </c>
      <c r="E7428" s="1" t="s">
        <v>1462</v>
      </c>
      <c r="F7428" s="1">
        <v>18</v>
      </c>
      <c r="G7428" s="1">
        <v>11</v>
      </c>
      <c r="H7428" s="1">
        <v>0</v>
      </c>
      <c r="I7428" s="1" t="s">
        <v>14197</v>
      </c>
      <c r="K7428" s="1" t="str">
        <f t="shared" ref="K7428:K7491" si="473">LEFT(I7428, 1)</f>
        <v>ㄐ</v>
      </c>
      <c r="L7428" s="1" t="str">
        <f t="shared" ref="L7428:L7491" si="474">MID(I7428, 2, 1)</f>
        <v>ㄧ</v>
      </c>
      <c r="M7428" s="1" t="str">
        <f t="shared" ref="M7428:M7493" si="475">MID(I7428, 3, 1)</f>
        <v>ㄤ</v>
      </c>
      <c r="P7428" s="1" t="s">
        <v>20</v>
      </c>
      <c r="R7428" s="1" t="s">
        <v>14198</v>
      </c>
      <c r="V7428" s="1" t="s">
        <v>14217</v>
      </c>
      <c r="AR7428" s="1" t="str">
        <f t="shared" si="472"/>
        <v>| [ㄐㄧㄤˋ](ㄐㄧㄤˋ.md) | [醬](醬.md) |  | jiàng | [名]
1.搗爛的肉。《說文解字．酉部》：「醬，醢也。」清．段玉裁．注：「從肉者，醢無不用者也。」
2.通稱搗爛如泥的食物。如：「果醬」、「魚子醬」、「鵝肝醬」、「花生醬」。
3.豆、麵等發酵後，加鹽製成的調味品。如：「酢醬」、「甜麵醬」、「豆瓣醬」。
[形]
用醬油等醃漬的。如：「醬瓜」、「醬菜」。
[動]
把食物浸漬在醬油裡，使添滋味。如：「把這些小黃瓜醬一醬。」 |</v>
      </c>
    </row>
    <row r="7429" spans="1:44" hidden="1">
      <c r="A7429" s="1" t="s">
        <v>10022</v>
      </c>
      <c r="C7429" s="1">
        <v>1</v>
      </c>
      <c r="D7429" s="1" t="str">
        <f>"05916"</f>
        <v>05916</v>
      </c>
      <c r="E7429" s="1" t="s">
        <v>6488</v>
      </c>
      <c r="F7429" s="1">
        <v>7</v>
      </c>
      <c r="G7429" s="1">
        <v>3</v>
      </c>
      <c r="H7429" s="1">
        <v>2</v>
      </c>
      <c r="I7429" s="1" t="s">
        <v>14218</v>
      </c>
      <c r="K7429" s="1" t="str">
        <f t="shared" si="473"/>
        <v>ㄐ</v>
      </c>
      <c r="L7429" s="1" t="str">
        <f t="shared" si="474"/>
        <v>ㄧ</v>
      </c>
      <c r="M7429" s="1" t="str">
        <f t="shared" si="475"/>
        <v>ㄥ</v>
      </c>
      <c r="P7429" s="1" t="s">
        <v>20</v>
      </c>
      <c r="R7429" s="1" t="s">
        <v>14219</v>
      </c>
      <c r="V7429" s="1" t="s">
        <v>14220</v>
      </c>
      <c r="W7429" s="1" t="s">
        <v>14221</v>
      </c>
      <c r="AR7429" s="1" t="str">
        <f t="shared" si="472"/>
        <v>| [ㄐㄧㄥ](ㄐㄧㄥ.md) | [更](更.md) |  | jīng | [動]
經歷、經過。如：「少不更事」。《史記．卷一二三．大宛傳》：「漢方欲事滅胡，……因欲通使，道必更匈奴中，乃募能使者。」 |</v>
      </c>
    </row>
    <row r="7430" spans="1:44" hidden="1">
      <c r="A7430" s="1" t="s">
        <v>10027</v>
      </c>
      <c r="C7430" s="1">
        <v>1</v>
      </c>
      <c r="D7430" s="1" t="str">
        <f>"05917"</f>
        <v>05917</v>
      </c>
      <c r="E7430" s="1" t="s">
        <v>46</v>
      </c>
      <c r="F7430" s="1">
        <v>13</v>
      </c>
      <c r="G7430" s="1">
        <v>7</v>
      </c>
      <c r="H7430" s="1">
        <v>2</v>
      </c>
      <c r="I7430" s="1" t="s">
        <v>14218</v>
      </c>
      <c r="K7430" s="1" t="str">
        <f t="shared" si="473"/>
        <v>ㄐ</v>
      </c>
      <c r="L7430" s="1" t="str">
        <f t="shared" si="474"/>
        <v>ㄧ</v>
      </c>
      <c r="M7430" s="1" t="str">
        <f t="shared" si="475"/>
        <v>ㄥ</v>
      </c>
      <c r="P7430" s="1" t="s">
        <v>388</v>
      </c>
      <c r="R7430" s="1" t="s">
        <v>14219</v>
      </c>
      <c r="V7430" s="1" t="s">
        <v>407</v>
      </c>
      <c r="W7430" s="1" t="s">
        <v>14222</v>
      </c>
      <c r="AR7430" s="1" t="str">
        <f t="shared" si="472"/>
        <v>| [ㄐㄧㄥ](ㄐㄧㄥ.md) | [粳](粳.md) |  | jīng | (一)之語音。 |</v>
      </c>
    </row>
    <row r="7431" spans="1:44" hidden="1">
      <c r="A7431" s="1" t="s">
        <v>14223</v>
      </c>
      <c r="C7431" s="1">
        <v>1</v>
      </c>
      <c r="D7431" s="1" t="str">
        <f>"05918"</f>
        <v>05918</v>
      </c>
      <c r="E7431" s="1" t="s">
        <v>367</v>
      </c>
      <c r="F7431" s="1">
        <v>8</v>
      </c>
      <c r="G7431" s="1">
        <v>6</v>
      </c>
      <c r="H7431" s="1">
        <v>1</v>
      </c>
      <c r="I7431" s="1" t="s">
        <v>14218</v>
      </c>
      <c r="K7431" s="1" t="str">
        <f t="shared" si="473"/>
        <v>ㄐ</v>
      </c>
      <c r="L7431" s="1" t="str">
        <f t="shared" si="474"/>
        <v>ㄧ</v>
      </c>
      <c r="M7431" s="1" t="str">
        <f t="shared" si="475"/>
        <v>ㄥ</v>
      </c>
      <c r="P7431" s="1" t="s">
        <v>20</v>
      </c>
      <c r="R7431" s="1" t="s">
        <v>14219</v>
      </c>
      <c r="V7431" s="1" t="s">
        <v>14224</v>
      </c>
      <c r="W7431" s="1" t="s">
        <v>14225</v>
      </c>
      <c r="AR7431" s="1" t="str">
        <f t="shared" si="472"/>
        <v>| [ㄐㄧㄥ](ㄐㄧㄥ.md) | [京](京.md) |  | jīng | [名]
1.人工所堆砌的高丘。《說文解字．京部》：「京，人所為絕高丘也。」《詩經．小雅．甫田》：「曾孫之庾，如坻如京。」漢．毛亨．傳：「京，高丘也。」《三國志．卷八．魏書．公孫瓚傳》：「為圍塹十重，於塹裡築京，皆高五、六丈。」
2.大的方形穀倉。《管子．輕重丁》：「有新成囷京者二家。」
3.國都、首都。如：「京師」、「帝京」。唐．白居易〈琵琶行〉：「自言本是京城女，家在蝦蟆陵下住。」
4.數目字。古代以十億為兆，十兆為京。《孫子算經．卷上》：「凡大數之法：萬萬曰億；萬萬億曰兆；萬萬兆曰京。」
5.姓。如漢代有京房。
[形]
高大。《爾雅．釋詁》：「京，大也。」《文選．張衡．西京賦》：「燎京薪，駴雷鼓。」
[動]
齊等、比擬。《左傳．莊公二十二年》：「八世之後，莫之與京。」 |</v>
      </c>
    </row>
    <row r="7432" spans="1:44" hidden="1">
      <c r="A7432" s="1" t="s">
        <v>14226</v>
      </c>
      <c r="C7432" s="1">
        <v>1</v>
      </c>
      <c r="D7432" s="1" t="str">
        <f>"05919"</f>
        <v>05919</v>
      </c>
      <c r="E7432" s="1" t="s">
        <v>156</v>
      </c>
      <c r="F7432" s="1">
        <v>19</v>
      </c>
      <c r="G7432" s="1">
        <v>8</v>
      </c>
      <c r="H7432" s="1">
        <v>0</v>
      </c>
      <c r="I7432" s="1" t="s">
        <v>14218</v>
      </c>
      <c r="K7432" s="1" t="str">
        <f t="shared" si="473"/>
        <v>ㄐ</v>
      </c>
      <c r="L7432" s="1" t="str">
        <f t="shared" si="474"/>
        <v>ㄧ</v>
      </c>
      <c r="M7432" s="1" t="str">
        <f t="shared" si="475"/>
        <v>ㄥ</v>
      </c>
      <c r="P7432" s="1" t="s">
        <v>20</v>
      </c>
      <c r="R7432" s="1" t="s">
        <v>14219</v>
      </c>
      <c r="V7432" s="1" t="s">
        <v>14227</v>
      </c>
      <c r="AR7432" s="1" t="str">
        <f t="shared" si="472"/>
        <v>| [ㄐㄧㄥ](ㄐㄧㄥ.md) | [鯨](鯨.md) |  | jīng | [名]
動物名。脊椎動物門哺乳綱鯨目。生活在海洋中，胎生，是現今世界上最大的動物。外形像魚，用肺呼吸，鼻孔位於頭頂上，故常露出水面呼吸。皮、肉可食，脂肪可製油，亦供醫藥及工業之用。俗稱為「鯨魚」。 |</v>
      </c>
    </row>
    <row r="7433" spans="1:44" hidden="1">
      <c r="A7433" s="1" t="s">
        <v>14228</v>
      </c>
      <c r="C7433" s="1">
        <v>1</v>
      </c>
      <c r="D7433" s="1" t="str">
        <f>"05920"</f>
        <v>05920</v>
      </c>
      <c r="E7433" s="1" t="s">
        <v>5514</v>
      </c>
      <c r="F7433" s="1">
        <v>8</v>
      </c>
      <c r="G7433" s="1">
        <v>0</v>
      </c>
      <c r="H7433" s="1">
        <v>2</v>
      </c>
      <c r="I7433" s="1" t="s">
        <v>14218</v>
      </c>
      <c r="K7433" s="1" t="str">
        <f t="shared" si="473"/>
        <v>ㄐ</v>
      </c>
      <c r="L7433" s="1" t="str">
        <f t="shared" si="474"/>
        <v>ㄧ</v>
      </c>
      <c r="M7433" s="1" t="str">
        <f t="shared" si="475"/>
        <v>ㄥ</v>
      </c>
      <c r="P7433" s="1" t="s">
        <v>20</v>
      </c>
      <c r="R7433" s="1" t="s">
        <v>14219</v>
      </c>
      <c r="V7433" s="1" t="s">
        <v>14229</v>
      </c>
      <c r="W7433" s="1" t="s">
        <v>14230</v>
      </c>
      <c r="AR7433" s="1" t="str">
        <f t="shared" si="472"/>
        <v>| [ㄐㄧㄥ](ㄐㄧㄥ.md) | [青](青.md) |  | jīng | 參見「青青」(二)條。 |</v>
      </c>
    </row>
    <row r="7434" spans="1:44" hidden="1">
      <c r="A7434" s="1" t="s">
        <v>14231</v>
      </c>
      <c r="C7434" s="1">
        <v>1</v>
      </c>
      <c r="D7434" s="1" t="str">
        <f>"05921"</f>
        <v>05921</v>
      </c>
      <c r="E7434" s="1" t="s">
        <v>37</v>
      </c>
      <c r="F7434" s="1">
        <v>12</v>
      </c>
      <c r="G7434" s="1">
        <v>8</v>
      </c>
      <c r="H7434" s="1">
        <v>0</v>
      </c>
      <c r="I7434" s="1" t="s">
        <v>14218</v>
      </c>
      <c r="K7434" s="1" t="str">
        <f t="shared" si="473"/>
        <v>ㄐ</v>
      </c>
      <c r="L7434" s="1" t="str">
        <f t="shared" si="474"/>
        <v>ㄧ</v>
      </c>
      <c r="M7434" s="1" t="str">
        <f t="shared" si="475"/>
        <v>ㄥ</v>
      </c>
      <c r="P7434" s="1" t="s">
        <v>20</v>
      </c>
      <c r="R7434" s="1" t="s">
        <v>14219</v>
      </c>
      <c r="V7434" s="1" t="s">
        <v>14232</v>
      </c>
      <c r="AR7434" s="1" t="str">
        <f t="shared" si="472"/>
        <v>| [ㄐㄧㄥ](ㄐㄧㄥ.md) | [菁](菁.md) |  | jīng | [名]
1.韭菜花。《說文解字．艸部》：「菁，韭華也。」即「韭菜」之花，參「韭菜」條。
2.泛指花朵。東周戰國．宋玉〈高唐賦〉：「秋蘭茝蕙，江離載菁。」
3.植物名。十字花科蕓薹屬，「蕪菁」、「大頭菜」之古稱，參見「蕪菁」條。 |</v>
      </c>
    </row>
    <row r="7435" spans="1:44" hidden="1">
      <c r="A7435" s="1" t="s">
        <v>14233</v>
      </c>
      <c r="C7435" s="1">
        <v>1</v>
      </c>
      <c r="D7435" s="1" t="str">
        <f>"05922"</f>
        <v>05922</v>
      </c>
      <c r="E7435" s="1" t="s">
        <v>1015</v>
      </c>
      <c r="F7435" s="1">
        <v>13</v>
      </c>
      <c r="G7435" s="1">
        <v>8</v>
      </c>
      <c r="H7435" s="1">
        <v>0</v>
      </c>
      <c r="I7435" s="1" t="s">
        <v>14218</v>
      </c>
      <c r="K7435" s="1" t="str">
        <f t="shared" si="473"/>
        <v>ㄐ</v>
      </c>
      <c r="L7435" s="1" t="str">
        <f t="shared" si="474"/>
        <v>ㄧ</v>
      </c>
      <c r="M7435" s="1" t="str">
        <f t="shared" si="475"/>
        <v>ㄥ</v>
      </c>
      <c r="P7435" s="1" t="s">
        <v>20</v>
      </c>
      <c r="R7435" s="1" t="s">
        <v>14219</v>
      </c>
      <c r="V7435" s="1" t="s">
        <v>14234</v>
      </c>
      <c r="AR7435" s="1" t="str">
        <f t="shared" si="472"/>
        <v>| [ㄐㄧㄥ](ㄐㄧㄥ.md) | [睛](睛.md) |  | jīng | [名]
1.眼珠。如：「目不轉睛」、「畫龍點睛」。
2.眼睛。《西遊記》第三八回：「那行者睜睛看處，真個的背在身上。」 |</v>
      </c>
    </row>
    <row r="7436" spans="1:44" hidden="1">
      <c r="A7436" s="1" t="s">
        <v>14235</v>
      </c>
      <c r="C7436" s="1">
        <v>1</v>
      </c>
      <c r="D7436" s="1" t="str">
        <f>"05923"</f>
        <v>05923</v>
      </c>
      <c r="E7436" s="1" t="s">
        <v>46</v>
      </c>
      <c r="F7436" s="1">
        <v>14</v>
      </c>
      <c r="G7436" s="1">
        <v>8</v>
      </c>
      <c r="H7436" s="1">
        <v>0</v>
      </c>
      <c r="I7436" s="1" t="s">
        <v>14218</v>
      </c>
      <c r="K7436" s="1" t="str">
        <f t="shared" si="473"/>
        <v>ㄐ</v>
      </c>
      <c r="L7436" s="1" t="str">
        <f t="shared" si="474"/>
        <v>ㄧ</v>
      </c>
      <c r="M7436" s="1" t="str">
        <f t="shared" si="475"/>
        <v>ㄥ</v>
      </c>
      <c r="P7436" s="1" t="s">
        <v>20</v>
      </c>
      <c r="R7436" s="1" t="s">
        <v>14219</v>
      </c>
      <c r="V7436" s="1" t="s">
        <v>14236</v>
      </c>
      <c r="AR7436" s="1" t="str">
        <f t="shared" si="472"/>
        <v>| [ㄐㄧㄥ](ㄐㄧㄥ.md) | [精](精.md) |  | jīng | [名]
1.良質純淨的米。《論語．鄉黨》：「食不厭精，膾不厭細。」《莊子．人間世》：「鼓筴播精，足以食十人。」
2.物質經過提煉後，純淨無雜質的部分。如：「酒精」、「香精」、「糖精」。
3.心神。如：「聚精會神」。《莊子．刻意》：「形勞而不休則弊，精用而不已則勞。」《文選．司馬相如．上林賦》：「抏士卒之精，費府庫之財。」
4.神怪稱為「精」。如：「精怪」、「妖精」、「狐狸精」。
5.男性的精液。如：「遺精」、「射精」。
[動]
嫻熟、擅長。如：「精通」。唐．韓愈〈進學解〉：「業精於勤荒於嬉。」《金史．卷一一〇．李獻甫傳》：「尤精左氏及地理學。」
[形]
1.細緻、細密。與「粗」相對。如：「精細」、「精密」。《呂氏春秋．不苟論．博志》：「用志如此其精也，何事而不達？」
2.品質優良。如：「精鹽」、「精兵」。《後漢書．卷五九．張衡傳》：「陽嘉元年，復造候風地動儀，以精銅鑄成。」宋．蘇軾〈答謝民師書〉：「文章如精金美玉，市有定價，非人所能以口舌定貴賤也。」
3.佳、最好。如：「精品」。《史記．卷一二八．褚少孫補．龜策傳》：「婦女不彊，布帛不精。」
4.光、空。《水滸傳》第二八回：「我精拳頭有一雙相送！」
[副]
1.極、甚、非常。如：「精溼」、「精瘦」。
2.全部、全數。《儒林外史》第五回：「將些衣服、金珠、首飾，一擄精空。」《老殘遊記》第一九回：「不消半個更頭，四百多銀子又輸得精光。」 |</v>
      </c>
    </row>
    <row r="7437" spans="1:44" hidden="1">
      <c r="A7437" s="1" t="s">
        <v>14237</v>
      </c>
      <c r="C7437" s="1">
        <v>1</v>
      </c>
      <c r="D7437" s="1" t="str">
        <f>"05924"</f>
        <v>05924</v>
      </c>
      <c r="E7437" s="1" t="s">
        <v>49</v>
      </c>
      <c r="F7437" s="1">
        <v>14</v>
      </c>
      <c r="G7437" s="1">
        <v>8</v>
      </c>
      <c r="H7437" s="1">
        <v>1</v>
      </c>
      <c r="I7437" s="1" t="s">
        <v>14218</v>
      </c>
      <c r="K7437" s="1" t="str">
        <f t="shared" si="473"/>
        <v>ㄐ</v>
      </c>
      <c r="L7437" s="1" t="str">
        <f t="shared" si="474"/>
        <v>ㄧ</v>
      </c>
      <c r="M7437" s="1" t="str">
        <f t="shared" si="475"/>
        <v>ㄥ</v>
      </c>
      <c r="P7437" s="1" t="s">
        <v>20</v>
      </c>
      <c r="R7437" s="1" t="s">
        <v>14219</v>
      </c>
      <c r="V7437" s="1" t="s">
        <v>14238</v>
      </c>
      <c r="W7437" s="1" t="s">
        <v>14239</v>
      </c>
      <c r="AR7437" s="1" t="str">
        <f t="shared" si="472"/>
        <v>| [ㄐㄧㄥ](ㄐㄧㄥ.md) | [箐](箐.md) |  | jīng | [名]
笭箐：小籠子。《集韻．平聲．清韻》：「箐，笭箐，小籠。」宋．梅堯臣〈和韻三和戲示〉詩：「笭箐畫蛤瓦缸醅，海若淮壖各寄來。」 |</v>
      </c>
    </row>
    <row r="7438" spans="1:44" hidden="1">
      <c r="A7438" s="1" t="s">
        <v>14240</v>
      </c>
      <c r="C7438" s="1">
        <v>1</v>
      </c>
      <c r="D7438" s="1" t="str">
        <f>"05925"</f>
        <v>05925</v>
      </c>
      <c r="E7438" s="1" t="s">
        <v>272</v>
      </c>
      <c r="F7438" s="1">
        <v>19</v>
      </c>
      <c r="G7438" s="1">
        <v>8</v>
      </c>
      <c r="H7438" s="1">
        <v>0</v>
      </c>
      <c r="I7438" s="1" t="s">
        <v>14218</v>
      </c>
      <c r="K7438" s="1" t="str">
        <f t="shared" si="473"/>
        <v>ㄐ</v>
      </c>
      <c r="L7438" s="1" t="str">
        <f t="shared" si="474"/>
        <v>ㄧ</v>
      </c>
      <c r="M7438" s="1" t="str">
        <f t="shared" si="475"/>
        <v>ㄥ</v>
      </c>
      <c r="P7438" s="1" t="s">
        <v>20</v>
      </c>
      <c r="R7438" s="1" t="s">
        <v>14219</v>
      </c>
      <c r="V7438" s="1" t="s">
        <v>13563</v>
      </c>
      <c r="AR7438" s="1" t="str">
        <f t="shared" si="472"/>
        <v>| [ㄐㄧㄥ](ㄐㄧㄥ.md) | [鶄](鶄.md) |  | jīng | 參見「鵁鶄」條。 |</v>
      </c>
    </row>
    <row r="7439" spans="1:44" hidden="1">
      <c r="A7439" s="1" t="s">
        <v>14241</v>
      </c>
      <c r="C7439" s="1">
        <v>1</v>
      </c>
      <c r="D7439" s="1" t="str">
        <f>"05926"</f>
        <v>05926</v>
      </c>
      <c r="E7439" s="1" t="s">
        <v>86</v>
      </c>
      <c r="F7439" s="1">
        <v>21</v>
      </c>
      <c r="G7439" s="1">
        <v>8</v>
      </c>
      <c r="H7439" s="1">
        <v>0</v>
      </c>
      <c r="I7439" s="1" t="s">
        <v>14218</v>
      </c>
      <c r="K7439" s="1" t="str">
        <f t="shared" si="473"/>
        <v>ㄐ</v>
      </c>
      <c r="L7439" s="1" t="str">
        <f t="shared" si="474"/>
        <v>ㄧ</v>
      </c>
      <c r="M7439" s="1" t="str">
        <f t="shared" si="475"/>
        <v>ㄥ</v>
      </c>
      <c r="P7439" s="1" t="s">
        <v>20</v>
      </c>
      <c r="R7439" s="1" t="s">
        <v>14219</v>
      </c>
      <c r="V7439" s="1" t="s">
        <v>14242</v>
      </c>
      <c r="AR7439" s="1" t="str">
        <f t="shared" si="472"/>
        <v>| [ㄐㄧㄥ](ㄐㄧㄥ.md) | [鼱](鼱.md) |  | jīng | 參見「鼩鼱」條。 |</v>
      </c>
    </row>
    <row r="7440" spans="1:44" hidden="1">
      <c r="A7440" s="1" t="s">
        <v>14243</v>
      </c>
      <c r="C7440" s="1">
        <v>1</v>
      </c>
      <c r="D7440" s="1" t="str">
        <f>"05927"</f>
        <v>05927</v>
      </c>
      <c r="E7440" s="1" t="s">
        <v>129</v>
      </c>
      <c r="F7440" s="1">
        <v>10</v>
      </c>
      <c r="G7440" s="1">
        <v>7</v>
      </c>
      <c r="H7440" s="1">
        <v>0</v>
      </c>
      <c r="I7440" s="1" t="s">
        <v>14218</v>
      </c>
      <c r="K7440" s="1" t="str">
        <f t="shared" si="473"/>
        <v>ㄐ</v>
      </c>
      <c r="L7440" s="1" t="str">
        <f t="shared" si="474"/>
        <v>ㄧ</v>
      </c>
      <c r="M7440" s="1" t="str">
        <f t="shared" si="475"/>
        <v>ㄥ</v>
      </c>
      <c r="P7440" s="1" t="s">
        <v>20</v>
      </c>
      <c r="R7440" s="1" t="s">
        <v>14219</v>
      </c>
      <c r="V7440" s="1" t="s">
        <v>14244</v>
      </c>
      <c r="AR7440" s="1" t="str">
        <f t="shared" si="472"/>
        <v>| [ㄐㄧㄥ](ㄐㄧㄥ.md) | [涇](涇.md) |  | jīng | 參見「涇河」條。 |</v>
      </c>
    </row>
    <row r="7441" spans="1:44" hidden="1">
      <c r="A7441" s="1" t="s">
        <v>14245</v>
      </c>
      <c r="C7441" s="1">
        <v>1</v>
      </c>
      <c r="D7441" s="1" t="str">
        <f>"05928"</f>
        <v>05928</v>
      </c>
      <c r="E7441" s="1" t="s">
        <v>37</v>
      </c>
      <c r="F7441" s="1">
        <v>11</v>
      </c>
      <c r="G7441" s="1">
        <v>7</v>
      </c>
      <c r="H7441" s="1">
        <v>0</v>
      </c>
      <c r="I7441" s="1" t="s">
        <v>14218</v>
      </c>
      <c r="K7441" s="1" t="str">
        <f t="shared" si="473"/>
        <v>ㄐ</v>
      </c>
      <c r="L7441" s="1" t="str">
        <f t="shared" si="474"/>
        <v>ㄧ</v>
      </c>
      <c r="M7441" s="1" t="str">
        <f t="shared" si="475"/>
        <v>ㄥ</v>
      </c>
      <c r="P7441" s="1" t="s">
        <v>20</v>
      </c>
      <c r="R7441" s="1" t="s">
        <v>14219</v>
      </c>
      <c r="V7441" s="1" t="s">
        <v>14246</v>
      </c>
      <c r="AR7441" s="1" t="str">
        <f t="shared" si="472"/>
        <v>| [ㄐㄧㄥ](ㄐㄧㄥ.md) | [莖](莖.md) |  | jīng | [名]_x000D_
1.植物的營養器官，其上著生葉，具有支持、輸送水分、無機鹽分和養分的功能。外形和構造可分草本與木本兩類。草本植物的主幹柔弱，生長時高度及粗細均受限制；木本植物的主幹則粗而明顯。_x000D_
2.器物的柄幹。《周禮．冬官考工記．桃氏》：「以其臘廣為之莖，圍長倍之。」漢．鄭玄．注：「臘，謂兩刃。莖，在夾中者。」_x000D_
[量]_x000D_
計算細條狀物體的單位。如：「小草數莖」。唐．杜甫〈樂遊園歌〉：「數莖白髮那拋得，百罰深杯亦不辭。」 |</v>
      </c>
    </row>
    <row r="7442" spans="1:44" hidden="1">
      <c r="A7442" s="1" t="s">
        <v>14247</v>
      </c>
      <c r="C7442" s="1">
        <v>1</v>
      </c>
      <c r="D7442" s="1" t="str">
        <f>"05929"</f>
        <v>05929</v>
      </c>
      <c r="E7442" s="1" t="s">
        <v>725</v>
      </c>
      <c r="F7442" s="1">
        <v>13</v>
      </c>
      <c r="G7442" s="1">
        <v>7</v>
      </c>
      <c r="H7442" s="1">
        <v>0</v>
      </c>
      <c r="I7442" s="1" t="s">
        <v>14218</v>
      </c>
      <c r="K7442" s="1" t="str">
        <f t="shared" si="473"/>
        <v>ㄐ</v>
      </c>
      <c r="L7442" s="1" t="str">
        <f t="shared" si="474"/>
        <v>ㄧ</v>
      </c>
      <c r="M7442" s="1" t="str">
        <f t="shared" si="475"/>
        <v>ㄥ</v>
      </c>
      <c r="P7442" s="1" t="s">
        <v>20</v>
      </c>
      <c r="R7442" s="1" t="s">
        <v>14219</v>
      </c>
      <c r="V7442" s="1" t="s">
        <v>14248</v>
      </c>
      <c r="AR7442" s="1" t="str">
        <f t="shared" si="472"/>
        <v>| [ㄐㄧㄥ](ㄐㄧㄥ.md) | [經](經.md) |  | jīng | [名]
1.織布機或編織物上的直線，稱為「經」。《說文解字．糸部》：「經，織從絲。」南朝梁．劉勰《文心雕龍．情采》：「經正而後緯成。」
2.連接地球南、北兩極的假想直線。如：「東經」、「西經」。
3.人體的脈絡。如：「經脈」、「經絡」。
4.常道。如：「天經地義」、「離經叛道」。《左傳．昭公二十五年》：「夫禮，天之經也。」《莊子．養生主》：「為善無近名，為惡無近刑，緣督以為經。」
5.有特殊價值，被尊為典範的著作。如：四書、五經、十三經。《荀子．勸學》：「始乎誦經，終乎讀禮。」
6.中國圖書目錄四部分類之一。即經、子、史、集的「經」，指儒家典籍及小學方面的書。
7.闡揚宗教教義的典籍。如：佛經、《聖經》、《可蘭經》。
8.專講某種事物或技藝的文章、著作。如：《水經》、《茶經》、《馬經》、《山海經》。
9.女性月經的簡稱。如：「經期」、「停經」、「閉經」。
10. 數目字。古代以十億為兆，十兆為經。見《太平御覽．卷七五〇．工藝部．數》。
11. 姓。如晉代有經曠。
[動]
1.劃分、度量。《周禮．天官．冢宰》：「體國經野。」《淮南子．要略》：「經山陵之形，區川谷之居。」
2.從事、謀劃。如：「經商」、「慘澹經營」。
3.治理、管理。如：「經世濟民」。《周禮．天官．大宰》：「以經邦國，以治官府。」
4.歷、過。如：「身經百戰」、「飽經憂患」、「經年累月」。唐．李商隱〈籌筆驛〉詩：「他年錦里經祠廟，梁父吟成恨有餘。」
5.承受、忍受。如：「經得起挫折的考驗。」
6.縊、上吊。《論語．憲問》：「自經於溝瀆而莫之知也。」《史記．卷八二．田單傳》：「遂經其頸於樹枝，自奮絕脰而死。」
[形]
平常、尋常。如：「荒誕不經」。《史記．卷一二．孝武本紀》：「所忠視其書不經，疑其妄書。」
[副]
恆常、時常。如：「他經常頭痛。」《文選．嵇康．與山巨源絕交書》：「然經怪此意尚未熟悉於足下，何從便得之也？」 |</v>
      </c>
    </row>
    <row r="7443" spans="1:44" hidden="1">
      <c r="A7443" s="1" t="s">
        <v>14249</v>
      </c>
      <c r="C7443" s="1">
        <v>1</v>
      </c>
      <c r="D7443" s="1" t="str">
        <f>"05930"</f>
        <v>05930</v>
      </c>
      <c r="E7443" s="1" t="s">
        <v>37</v>
      </c>
      <c r="F7443" s="1">
        <v>10</v>
      </c>
      <c r="G7443" s="1">
        <v>6</v>
      </c>
      <c r="H7443" s="1">
        <v>0</v>
      </c>
      <c r="I7443" s="1" t="s">
        <v>14218</v>
      </c>
      <c r="K7443" s="1" t="str">
        <f t="shared" si="473"/>
        <v>ㄐ</v>
      </c>
      <c r="L7443" s="1" t="str">
        <f t="shared" si="474"/>
        <v>ㄧ</v>
      </c>
      <c r="M7443" s="1" t="str">
        <f t="shared" si="475"/>
        <v>ㄥ</v>
      </c>
      <c r="P7443" s="1" t="s">
        <v>20</v>
      </c>
      <c r="R7443" s="1" t="s">
        <v>14219</v>
      </c>
      <c r="V7443" s="1" t="s">
        <v>14250</v>
      </c>
      <c r="AR7443" s="1" t="str">
        <f t="shared" si="472"/>
        <v>| [ㄐㄧㄥ](ㄐㄧㄥ.md) | [荊](荊.md) |  | jīng | [名]
1.植物名。落葉灌木。枝條可編籃筐，有牡荊、紫荊、黃荊多種。
2.荊木製成的鞭子，古代用作刑杖。《史記．卷八一．廉頗藺相如傳》：「肉袒負荊，因賓客至藺相如門謝罪。」
3.州名。中國古代九州之一，荊族居住的地方。參見「荊州」條。
4.舊時對人謙稱自己的妻子。如：「拙荊」、「寒荊」。
5.姓。如戰國時燕有荊軻。 |</v>
      </c>
    </row>
    <row r="7444" spans="1:44" hidden="1">
      <c r="A7444" s="1" t="s">
        <v>10038</v>
      </c>
      <c r="C7444" s="1">
        <v>1</v>
      </c>
      <c r="D7444" s="1" t="str">
        <f>"05931"</f>
        <v>05931</v>
      </c>
      <c r="E7444" s="1" t="s">
        <v>109</v>
      </c>
      <c r="F7444" s="1">
        <v>10</v>
      </c>
      <c r="G7444" s="1">
        <v>4</v>
      </c>
      <c r="H7444" s="1">
        <v>2</v>
      </c>
      <c r="I7444" s="1" t="s">
        <v>14218</v>
      </c>
      <c r="K7444" s="1" t="str">
        <f t="shared" si="473"/>
        <v>ㄐ</v>
      </c>
      <c r="L7444" s="1" t="str">
        <f t="shared" si="474"/>
        <v>ㄧ</v>
      </c>
      <c r="M7444" s="1" t="str">
        <f t="shared" si="475"/>
        <v>ㄥ</v>
      </c>
      <c r="P7444" s="1" t="s">
        <v>388</v>
      </c>
      <c r="R7444" s="1" t="s">
        <v>14219</v>
      </c>
      <c r="V7444" s="1" t="s">
        <v>407</v>
      </c>
      <c r="W7444" s="1" t="s">
        <v>14251</v>
      </c>
      <c r="AR7444" s="1" t="str">
        <f t="shared" si="472"/>
        <v>| [ㄐㄧㄥ](ㄐㄧㄥ.md) | [耕](耕.md) |  | jīng | (一)之語音。 |</v>
      </c>
    </row>
    <row r="7445" spans="1:44" hidden="1">
      <c r="A7445" s="1" t="s">
        <v>14252</v>
      </c>
      <c r="C7445" s="1">
        <v>1</v>
      </c>
      <c r="D7445" s="1" t="str">
        <f>"05932"</f>
        <v>05932</v>
      </c>
      <c r="E7445" s="1" t="s">
        <v>800</v>
      </c>
      <c r="F7445" s="1">
        <v>11</v>
      </c>
      <c r="G7445" s="1">
        <v>7</v>
      </c>
      <c r="H7445" s="1">
        <v>0</v>
      </c>
      <c r="I7445" s="1" t="s">
        <v>14218</v>
      </c>
      <c r="K7445" s="1" t="str">
        <f t="shared" si="473"/>
        <v>ㄐ</v>
      </c>
      <c r="L7445" s="1" t="str">
        <f t="shared" si="474"/>
        <v>ㄧ</v>
      </c>
      <c r="M7445" s="1" t="str">
        <f t="shared" si="475"/>
        <v>ㄥ</v>
      </c>
      <c r="P7445" s="1" t="s">
        <v>20</v>
      </c>
      <c r="R7445" s="1" t="s">
        <v>14219</v>
      </c>
      <c r="V7445" s="1" t="s">
        <v>14253</v>
      </c>
      <c r="AR7445" s="1" t="str">
        <f t="shared" si="472"/>
        <v>| [ㄐㄧㄥ](ㄐㄧㄥ.md) | [旌](旌.md) |  | jīng | [名]
1.一種旗杆上裝飾著五彩羽毛的旗子。《說文解字．㫃部》：「旌，游車載旌，析羽注旄首，所以精進士卒。」《禮記．曲禮上》：「武車綏旌，德車結旌。」唐．杜甫〈哀江頭〉詩：「憶昔霓旌下南苑，苑中萬物生顏色。」
2.尊稱他人的行蹤。如：「文旌」、「行旌」。
[動]
1.表示、說明。《左傳．定公元年》：「生不能事，死又離之，以自旌也。」《文選．張衡．思玄賦》：「旌性行以製珮兮，佩夜光與瓊枝。」
2.表揚、表彰。《左傳．僖公二十四年》：「以志吾過，且旌善人。」南朝梁．劉勰《文心雕龍．誄碑》：「累其德行，旌之不朽也。」 |</v>
      </c>
    </row>
    <row r="7446" spans="1:44" hidden="1">
      <c r="A7446" s="1" t="s">
        <v>14254</v>
      </c>
      <c r="C7446" s="1">
        <v>1</v>
      </c>
      <c r="D7446" s="1" t="str">
        <f>"05933"</f>
        <v>05933</v>
      </c>
      <c r="E7446" s="1" t="s">
        <v>800</v>
      </c>
      <c r="F7446" s="1">
        <v>11</v>
      </c>
      <c r="G7446" s="1">
        <v>7</v>
      </c>
      <c r="H7446" s="1">
        <v>0</v>
      </c>
      <c r="I7446" s="1" t="s">
        <v>14218</v>
      </c>
      <c r="K7446" s="1" t="str">
        <f t="shared" si="473"/>
        <v>ㄐ</v>
      </c>
      <c r="L7446" s="1" t="str">
        <f t="shared" si="474"/>
        <v>ㄧ</v>
      </c>
      <c r="M7446" s="1" t="str">
        <f t="shared" si="475"/>
        <v>ㄥ</v>
      </c>
      <c r="P7446" s="1" t="s">
        <v>20</v>
      </c>
      <c r="R7446" s="1" t="s">
        <v>14219</v>
      </c>
      <c r="V7446" s="1" t="s">
        <v>14255</v>
      </c>
      <c r="AR7446" s="1" t="str">
        <f t="shared" si="472"/>
        <v>| [ㄐㄧㄥ](ㄐㄧㄥ.md) | [旍](旍.md) |  | jīng | [名]
旗子。同「旌」。《呂氏春秋．季夏紀．明理》：「有其狀若懸旍而赤，其名曰『雲旍』。」 |</v>
      </c>
    </row>
    <row r="7447" spans="1:44" hidden="1">
      <c r="A7447" s="1" t="s">
        <v>14256</v>
      </c>
      <c r="C7447" s="1">
        <v>1</v>
      </c>
      <c r="D7447" s="1" t="str">
        <f>"05934"</f>
        <v>05934</v>
      </c>
      <c r="E7447" s="1" t="s">
        <v>646</v>
      </c>
      <c r="F7447" s="1">
        <v>12</v>
      </c>
      <c r="G7447" s="1">
        <v>8</v>
      </c>
      <c r="H7447" s="1">
        <v>0</v>
      </c>
      <c r="I7447" s="1" t="s">
        <v>14218</v>
      </c>
      <c r="K7447" s="1" t="str">
        <f t="shared" si="473"/>
        <v>ㄐ</v>
      </c>
      <c r="L7447" s="1" t="str">
        <f t="shared" si="474"/>
        <v>ㄧ</v>
      </c>
      <c r="M7447" s="1" t="str">
        <f t="shared" si="475"/>
        <v>ㄥ</v>
      </c>
      <c r="P7447" s="1" t="s">
        <v>20</v>
      </c>
      <c r="R7447" s="1" t="s">
        <v>14219</v>
      </c>
      <c r="V7447" s="1" t="s">
        <v>14257</v>
      </c>
      <c r="AR7447" s="1" t="str">
        <f t="shared" si="472"/>
        <v>| [ㄐㄧㄥ](ㄐㄧㄥ.md) | [晶](晶.md) |  | jīng | [名]
1.光輝。《說文解字．晶部》：「晶，精光也。」唐．德宗〈七月十五日題章敬寺〉詩：「遠煙凝翠晶。」宋．張君房《雲笈七籤．卷二．太上老君開天經》：「無日無月，無晶無光。」
2.水晶的簡稱。參見「水晶」條。
[形]
清朗、明淨。唐．宋之問〈明河篇〉：「八月涼風天氣晶，萬里無雲河漢明。」 |</v>
      </c>
    </row>
    <row r="7448" spans="1:44" hidden="1">
      <c r="A7448" s="1" t="s">
        <v>14258</v>
      </c>
      <c r="C7448" s="1">
        <v>1</v>
      </c>
      <c r="D7448" s="1" t="str">
        <f>"05935"</f>
        <v>05935</v>
      </c>
      <c r="E7448" s="1" t="s">
        <v>3581</v>
      </c>
      <c r="F7448" s="1">
        <v>14</v>
      </c>
      <c r="G7448" s="1">
        <v>12</v>
      </c>
      <c r="H7448" s="1">
        <v>0</v>
      </c>
      <c r="I7448" s="1" t="s">
        <v>14218</v>
      </c>
      <c r="K7448" s="1" t="str">
        <f t="shared" si="473"/>
        <v>ㄐ</v>
      </c>
      <c r="L7448" s="1" t="str">
        <f t="shared" si="474"/>
        <v>ㄧ</v>
      </c>
      <c r="M7448" s="1" t="str">
        <f t="shared" si="475"/>
        <v>ㄥ</v>
      </c>
      <c r="P7448" s="1" t="s">
        <v>20</v>
      </c>
      <c r="R7448" s="1" t="s">
        <v>14219</v>
      </c>
      <c r="V7448" s="1" t="s">
        <v>14259</v>
      </c>
      <c r="AR7448" s="1" t="str">
        <f t="shared" si="472"/>
        <v>| [ㄐㄧㄥ](ㄐㄧㄥ.md) | [兢](兢.md) |  | jīng | 參見「兢兢」條。 |</v>
      </c>
    </row>
    <row r="7449" spans="1:44" hidden="1">
      <c r="A7449" s="1" t="s">
        <v>14260</v>
      </c>
      <c r="C7449" s="1">
        <v>1</v>
      </c>
      <c r="D7449" s="1" t="str">
        <f>"05936"</f>
        <v>05936</v>
      </c>
      <c r="E7449" s="1" t="s">
        <v>319</v>
      </c>
      <c r="F7449" s="1">
        <v>23</v>
      </c>
      <c r="G7449" s="1">
        <v>13</v>
      </c>
      <c r="H7449" s="1">
        <v>0</v>
      </c>
      <c r="I7449" s="1" t="s">
        <v>14218</v>
      </c>
      <c r="K7449" s="1" t="str">
        <f t="shared" si="473"/>
        <v>ㄐ</v>
      </c>
      <c r="L7449" s="1" t="str">
        <f t="shared" si="474"/>
        <v>ㄧ</v>
      </c>
      <c r="M7449" s="1" t="str">
        <f t="shared" si="475"/>
        <v>ㄥ</v>
      </c>
      <c r="P7449" s="1" t="s">
        <v>20</v>
      </c>
      <c r="R7449" s="1" t="s">
        <v>14219</v>
      </c>
      <c r="V7449" s="1" t="s">
        <v>14261</v>
      </c>
      <c r="AR7449" s="1" t="str">
        <f t="shared" si="472"/>
        <v>| [ㄐㄧㄥ](ㄐㄧㄥ.md) | [驚](驚.md) |  | jīng | [動]
1.馬因突來的刺激而行動失常，不受控制。《說文解字．馬部》：「驚，馬駭也。」《史記．卷一〇二．張釋之傳》：「有一人從橋下走出，乘輿馬驚。」
2.害怕、恐懼。如：「驚慌」、「驚怕」。《史記．卷九二．淮陰侯傳》：「至拜大將，乃韓信也，一軍皆驚。」
3.震動、震撼。如：「驚天動地」、「打草驚蛇」。《漢書．卷六八．霍光傳》：「顯恐事敗，即具以實語光，光大驚。」唐．杜甫〈江上值水如海勢聊短述〉詩：「為人性僻耽佳句，語不驚人死不休。」
4.被觸動、擾亂。如：「驚擾」。晉．陶淵明〈詠荊軻詩〉：「商音更流涕，羽奏壯士驚。」唐．杜甫〈春望〉詩：「感時花濺淚，恨別鳥驚心。」 |</v>
      </c>
    </row>
    <row r="7450" spans="1:44" hidden="1">
      <c r="A7450" s="1" t="s">
        <v>14262</v>
      </c>
      <c r="C7450" s="1">
        <v>1</v>
      </c>
      <c r="D7450" s="1" t="str">
        <f>"05937"</f>
        <v>05937</v>
      </c>
      <c r="E7450" s="1" t="s">
        <v>9954</v>
      </c>
      <c r="F7450" s="1">
        <v>4</v>
      </c>
      <c r="G7450" s="1">
        <v>2</v>
      </c>
      <c r="H7450" s="1">
        <v>0</v>
      </c>
      <c r="I7450" s="1" t="s">
        <v>14263</v>
      </c>
      <c r="K7450" s="1" t="str">
        <f t="shared" si="473"/>
        <v>ㄐ</v>
      </c>
      <c r="L7450" s="1" t="str">
        <f t="shared" si="474"/>
        <v>ㄧ</v>
      </c>
      <c r="M7450" s="1" t="str">
        <f t="shared" si="475"/>
        <v>ㄥ</v>
      </c>
      <c r="P7450" s="1" t="s">
        <v>20</v>
      </c>
      <c r="R7450" s="1" t="s">
        <v>14264</v>
      </c>
      <c r="V7450" s="1" t="s">
        <v>14265</v>
      </c>
      <c r="AR7450" s="1" t="str">
        <f t="shared" si="472"/>
        <v>| [ㄐㄧㄥˇ](ㄐㄧㄥˇ.md) | [井](井.md) |  | jǐng | [名]
1.為汲水而挖掘的深洞。如：「水井」、「枯井」。《孟子．公孫丑上》：「今人乍見孺子將入於井。」
2.像井的坑洞。如：「鹽井」、「油井」。
3.人口聚居的地方。如：「市井」。《史記．卷七七．魏公子傳》：「臣迺市井鼓刀屠者，而公子親數從之。」唐．陳子昂〈謝賜冬衣表〉：「三軍協慶，萬井相歡。」
4.家鄉。如：「鄉井」、「離鄉背井」。
5.周代田制以百畝為一井。參見「井田」條。
6.《易經》卦名。六十四卦之一。巽（☴）下坎（☵）上。表示君子修德，終始無變之象。
7.姓。如明代有井源。
[形]
整齊的樣子。如：「井井有條」。 |</v>
      </c>
    </row>
    <row r="7451" spans="1:44" hidden="1">
      <c r="A7451" s="1" t="s">
        <v>14266</v>
      </c>
      <c r="C7451" s="1">
        <v>1</v>
      </c>
      <c r="D7451" s="1" t="str">
        <f>"05938"</f>
        <v>05938</v>
      </c>
      <c r="E7451" s="1" t="s">
        <v>691</v>
      </c>
      <c r="F7451" s="1">
        <v>7</v>
      </c>
      <c r="G7451" s="1">
        <v>4</v>
      </c>
      <c r="H7451" s="1">
        <v>0</v>
      </c>
      <c r="I7451" s="1" t="s">
        <v>14263</v>
      </c>
      <c r="K7451" s="1" t="str">
        <f t="shared" si="473"/>
        <v>ㄐ</v>
      </c>
      <c r="L7451" s="1" t="str">
        <f t="shared" si="474"/>
        <v>ㄧ</v>
      </c>
      <c r="M7451" s="1" t="str">
        <f t="shared" si="475"/>
        <v>ㄥ</v>
      </c>
      <c r="P7451" s="1" t="s">
        <v>20</v>
      </c>
      <c r="R7451" s="1" t="s">
        <v>14264</v>
      </c>
      <c r="V7451" s="1" t="s">
        <v>14267</v>
      </c>
      <c r="AR7451" s="1" t="str">
        <f t="shared" si="472"/>
        <v>| [ㄐㄧㄥˇ](ㄐㄧㄥˇ.md) | [阱](阱.md) |  | jǐng | [名]
為防禦或捕捉野獸而挖鑿的坑洞。如：「陷阱」。《周禮．秋官．雍氏》：「春令為阱擭溝瀆之利於民者，秋令塞阱杜擭。」 |</v>
      </c>
    </row>
    <row r="7452" spans="1:44" hidden="1">
      <c r="A7452" s="1" t="s">
        <v>14268</v>
      </c>
      <c r="C7452" s="1">
        <v>1</v>
      </c>
      <c r="D7452" s="1" t="str">
        <f>"05939"</f>
        <v>05939</v>
      </c>
      <c r="E7452" s="1" t="s">
        <v>185</v>
      </c>
      <c r="F7452" s="1">
        <v>9</v>
      </c>
      <c r="G7452" s="1">
        <v>7</v>
      </c>
      <c r="H7452" s="1">
        <v>0</v>
      </c>
      <c r="I7452" s="1" t="s">
        <v>14263</v>
      </c>
      <c r="K7452" s="1" t="str">
        <f t="shared" si="473"/>
        <v>ㄐ</v>
      </c>
      <c r="L7452" s="1" t="str">
        <f t="shared" si="474"/>
        <v>ㄧ</v>
      </c>
      <c r="M7452" s="1" t="str">
        <f t="shared" si="475"/>
        <v>ㄥ</v>
      </c>
      <c r="P7452" s="1" t="s">
        <v>20</v>
      </c>
      <c r="R7452" s="1" t="s">
        <v>14264</v>
      </c>
      <c r="V7452" s="1" t="s">
        <v>14269</v>
      </c>
      <c r="AR7452" s="1" t="str">
        <f t="shared" si="472"/>
        <v>| [ㄐㄧㄥˇ](ㄐㄧㄥˇ.md) | [剄](剄.md) |  | jǐng | [動]
用刀割頸。《玉篇．刀部》：「剄，以刀割頸也。」《史記．卷七．項羽本紀》：「大司馬咎、長史翳、塞王欣皆自剄汜水上。」 |</v>
      </c>
    </row>
    <row r="7453" spans="1:44" hidden="1">
      <c r="A7453" s="1" t="s">
        <v>10063</v>
      </c>
      <c r="C7453" s="1">
        <v>1</v>
      </c>
      <c r="D7453" s="1" t="str">
        <f>"05940"</f>
        <v>05940</v>
      </c>
      <c r="E7453" s="1" t="s">
        <v>684</v>
      </c>
      <c r="F7453" s="1">
        <v>16</v>
      </c>
      <c r="G7453" s="1">
        <v>7</v>
      </c>
      <c r="H7453" s="1">
        <v>1</v>
      </c>
      <c r="I7453" s="1" t="s">
        <v>14263</v>
      </c>
      <c r="K7453" s="1" t="str">
        <f t="shared" si="473"/>
        <v>ㄐ</v>
      </c>
      <c r="L7453" s="1" t="str">
        <f t="shared" si="474"/>
        <v>ㄧ</v>
      </c>
      <c r="M7453" s="1" t="str">
        <f t="shared" si="475"/>
        <v>ㄥ</v>
      </c>
      <c r="P7453" s="1" t="s">
        <v>20</v>
      </c>
      <c r="R7453" s="1" t="s">
        <v>14264</v>
      </c>
      <c r="V7453" s="1" t="s">
        <v>14270</v>
      </c>
      <c r="W7453" s="1" t="s">
        <v>14271</v>
      </c>
      <c r="AR7453" s="1" t="str">
        <f t="shared" si="472"/>
        <v>| [ㄐㄧㄥˇ](ㄐㄧㄥˇ.md) | [頸](頸.md) |  | jǐng | [名]
1.頭與軀幹相連的部分。如：「引頸而望」。《莊子．馬蹄》：「夫馬陸居則食草飲水，喜則交頸相靡，怒則分背相踶。」
2.器物瓶口下如人頸的部分。如：「瓶頸」。《禮記．投壺》：「壺頸脩七寸，腹脩五寸。」 |</v>
      </c>
    </row>
    <row r="7454" spans="1:44" hidden="1">
      <c r="A7454" s="1" t="s">
        <v>14272</v>
      </c>
      <c r="C7454" s="1">
        <v>1</v>
      </c>
      <c r="D7454" s="1" t="str">
        <f>"05941"</f>
        <v>05941</v>
      </c>
      <c r="E7454" s="1" t="s">
        <v>646</v>
      </c>
      <c r="F7454" s="1">
        <v>12</v>
      </c>
      <c r="G7454" s="1">
        <v>8</v>
      </c>
      <c r="H7454" s="1">
        <v>1</v>
      </c>
      <c r="I7454" s="1" t="s">
        <v>14263</v>
      </c>
      <c r="K7454" s="1" t="str">
        <f t="shared" si="473"/>
        <v>ㄐ</v>
      </c>
      <c r="L7454" s="1" t="str">
        <f t="shared" si="474"/>
        <v>ㄧ</v>
      </c>
      <c r="M7454" s="1" t="str">
        <f t="shared" si="475"/>
        <v>ㄥ</v>
      </c>
      <c r="P7454" s="1" t="s">
        <v>20</v>
      </c>
      <c r="R7454" s="1" t="s">
        <v>14264</v>
      </c>
      <c r="V7454" s="1" t="s">
        <v>14273</v>
      </c>
      <c r="W7454" s="1" t="s">
        <v>14274</v>
      </c>
      <c r="AR7454" s="1" t="str">
        <f t="shared" si="472"/>
        <v>| [ㄐㄧㄥˇ](ㄐㄧㄥˇ.md) | [景](景.md) |  | jǐng | [名]
1.日光。晉．張載〈七哀〉詩二首之二：「朱光馳北陸，浮景忽西沉。」晉．陶淵明〈歸去來辭〉：「景翳翳以將入，撫孤松而盤桓。」
2.時光。南朝宋．謝靈運〈登江中孤嶼〉詩：「懷雜道轉迥，尋異景不延。」
3.可供玩賞的形色。如：「風景」、「山景」、「景物依舊，人事全非。」
4.情況、境遇。如：「晚景淒涼」。宋．蘇軾〈西山戲題武昌王居士〉詩：「解襟顧景各箕踞，擊劍賡歌幾舉觥。」《紅樓夢》第四六回：「率性把方才鳳姐過去回來所有的形景言詞、始末原由，告訴與他。」
5.戲劇、電影中因布景不同而畫分的段落。如：「第一幕第三景」。
6.姓。如戰國時楚國有景差。
[動]
仰慕。《後漢書．卷三九．劉趙淳于江劉周趙列傳．劉般》：「今愷景仰前脩，有伯夷之節。」唐．李白〈與韓荊州書〉：「何令人之景慕一至於此耶！」
[形]
大。《詩經．小雅．小明》：「神之聽之，介爾景福。」《隋書．卷三．煬帝紀上》：「朕嗣膺景業，傍求雅訓，有一弘益，欽若令典。」 |</v>
      </c>
    </row>
    <row r="7455" spans="1:44" hidden="1">
      <c r="A7455" s="1" t="s">
        <v>14275</v>
      </c>
      <c r="C7455" s="1">
        <v>1</v>
      </c>
      <c r="D7455" s="1" t="str">
        <f>"05942"</f>
        <v>05942</v>
      </c>
      <c r="E7455" s="1" t="s">
        <v>250</v>
      </c>
      <c r="F7455" s="1">
        <v>15</v>
      </c>
      <c r="G7455" s="1">
        <v>12</v>
      </c>
      <c r="H7455" s="1">
        <v>0</v>
      </c>
      <c r="I7455" s="1" t="s">
        <v>14263</v>
      </c>
      <c r="K7455" s="1" t="str">
        <f t="shared" si="473"/>
        <v>ㄐ</v>
      </c>
      <c r="L7455" s="1" t="str">
        <f t="shared" si="474"/>
        <v>ㄧ</v>
      </c>
      <c r="M7455" s="1" t="str">
        <f t="shared" si="475"/>
        <v>ㄥ</v>
      </c>
      <c r="P7455" s="1" t="s">
        <v>20</v>
      </c>
      <c r="R7455" s="1" t="s">
        <v>14264</v>
      </c>
      <c r="V7455" s="1" t="s">
        <v>14276</v>
      </c>
      <c r="AR7455" s="1" t="str">
        <f t="shared" si="472"/>
        <v>| [ㄐㄧㄥˇ](ㄐㄧㄥˇ.md) | [憬](憬.md) |  | jǐng | [動]
覺悟。如：「憬悟」。隋．盧思道〈為隋檄陳文〉：「憬彼江黃之眾，逖矣彭濮之民。」 |</v>
      </c>
    </row>
    <row r="7456" spans="1:44" hidden="1">
      <c r="A7456" s="1" t="s">
        <v>14277</v>
      </c>
      <c r="C7456" s="1">
        <v>1</v>
      </c>
      <c r="D7456" s="1" t="str">
        <f>"05943"</f>
        <v>05943</v>
      </c>
      <c r="E7456" s="1" t="s">
        <v>142</v>
      </c>
      <c r="F7456" s="1">
        <v>16</v>
      </c>
      <c r="G7456" s="1">
        <v>12</v>
      </c>
      <c r="H7456" s="1">
        <v>0</v>
      </c>
      <c r="I7456" s="1" t="s">
        <v>14263</v>
      </c>
      <c r="K7456" s="1" t="str">
        <f t="shared" si="473"/>
        <v>ㄐ</v>
      </c>
      <c r="L7456" s="1" t="str">
        <f t="shared" si="474"/>
        <v>ㄧ</v>
      </c>
      <c r="M7456" s="1" t="str">
        <f t="shared" si="475"/>
        <v>ㄥ</v>
      </c>
      <c r="P7456" s="1" t="s">
        <v>20</v>
      </c>
      <c r="R7456" s="1" t="s">
        <v>14264</v>
      </c>
      <c r="V7456" s="1" t="s">
        <v>14278</v>
      </c>
      <c r="AR7456" s="1" t="str">
        <f t="shared" si="472"/>
        <v>| [ㄐㄧㄥˇ](ㄐㄧㄥˇ.md) | [璟](璟.md) |  | jǐng | [名]
玉的光彩。《廣韻．上聲．梗韻》：「璟，玉光彩。」 |</v>
      </c>
    </row>
    <row r="7457" spans="1:44" hidden="1">
      <c r="A7457" s="1" t="s">
        <v>14279</v>
      </c>
      <c r="C7457" s="1">
        <v>1</v>
      </c>
      <c r="D7457" s="1" t="str">
        <f>"05944"</f>
        <v>05944</v>
      </c>
      <c r="E7457" s="1" t="s">
        <v>114</v>
      </c>
      <c r="F7457" s="1">
        <v>15</v>
      </c>
      <c r="G7457" s="1">
        <v>13</v>
      </c>
      <c r="H7457" s="1">
        <v>0</v>
      </c>
      <c r="I7457" s="1" t="s">
        <v>14263</v>
      </c>
      <c r="K7457" s="1" t="str">
        <f t="shared" si="473"/>
        <v>ㄐ</v>
      </c>
      <c r="L7457" s="1" t="str">
        <f t="shared" si="474"/>
        <v>ㄧ</v>
      </c>
      <c r="M7457" s="1" t="str">
        <f t="shared" si="475"/>
        <v>ㄥ</v>
      </c>
      <c r="P7457" s="1" t="s">
        <v>20</v>
      </c>
      <c r="R7457" s="1" t="s">
        <v>14264</v>
      </c>
      <c r="V7457" s="1" t="s">
        <v>14280</v>
      </c>
      <c r="AR7457" s="1" t="str">
        <f t="shared" si="472"/>
        <v>| [ㄐㄧㄥˇ](ㄐㄧㄥˇ.md) | [儆](儆.md) |  | jǐng | [動]
1.戒備。通「警」。如：「儆備」。唐．劉禹錫〈儆舟〉：「困而後儆，斯弗及已。」
2.警告、懲戒。通「警」。如：「殺一儆百」、「殺雞儆猴」。《孔子家語．卷一．五儀解》：「故天災地妖所以儆人主也。」 |</v>
      </c>
    </row>
    <row r="7458" spans="1:44" hidden="1">
      <c r="A7458" s="1" t="s">
        <v>14281</v>
      </c>
      <c r="C7458" s="1">
        <v>1</v>
      </c>
      <c r="D7458" s="1" t="str">
        <f>"05945"</f>
        <v>05945</v>
      </c>
      <c r="E7458" s="1" t="s">
        <v>331</v>
      </c>
      <c r="F7458" s="1">
        <v>20</v>
      </c>
      <c r="G7458" s="1">
        <v>13</v>
      </c>
      <c r="H7458" s="1">
        <v>0</v>
      </c>
      <c r="I7458" s="1" t="s">
        <v>14263</v>
      </c>
      <c r="K7458" s="1" t="str">
        <f t="shared" si="473"/>
        <v>ㄐ</v>
      </c>
      <c r="L7458" s="1" t="str">
        <f t="shared" si="474"/>
        <v>ㄧ</v>
      </c>
      <c r="M7458" s="1" t="str">
        <f t="shared" si="475"/>
        <v>ㄥ</v>
      </c>
      <c r="P7458" s="1" t="s">
        <v>20</v>
      </c>
      <c r="R7458" s="1" t="s">
        <v>14264</v>
      </c>
      <c r="V7458" s="1" t="s">
        <v>14282</v>
      </c>
      <c r="AR7458" s="1" t="str">
        <f t="shared" si="472"/>
        <v>| [ㄐㄧㄥˇ](ㄐㄧㄥˇ.md) | [警](警.md) |  | jǐng | [動]
1.告誡。如：「警告」。《韓非子．外儲說左上》：「李悝警其兩和。」《紅樓夢》第二一回：「原來襲人見他無曉夜和姐妹廝鬧，若直勸他，料不能改，故用柔情以警之。」
2.戒備。如：「警備」、「警惕」。《左傳．莊公三十一年》：「凡諸侯有四夷之功，則獻于王，王以警于夷。」
3.覺悟、覺醒。如：「警覺」。清．曾國藩〈江岷樵之父母壽序〉：「口敝而手疲，昕警而夕戒。」
[形]
1.敏捷。如：「機警」。《新唐書．卷九六．房玄齡傳》：「玄齡幼警敏，貫綜墳籍，善屬文，書兼草隸。」
2.形容文詞語意凝鍊。如：「警句」。《文選．陸機．文賦》：「立片言而居要，乃一篇之警策。」
[名]
1.危險、緊急的消息或狀況。如：「邊警」、「火警」。
2.警察的簡稱。如：「交警」、「義警」、「保警」、「刑警」。 |</v>
      </c>
    </row>
    <row r="7459" spans="1:44" hidden="1">
      <c r="A7459" s="1" t="s">
        <v>14283</v>
      </c>
      <c r="C7459" s="1">
        <v>1</v>
      </c>
      <c r="D7459" s="1" t="str">
        <f>"05946"</f>
        <v>05946</v>
      </c>
      <c r="E7459" s="1" t="s">
        <v>68</v>
      </c>
      <c r="F7459" s="1">
        <v>8</v>
      </c>
      <c r="G7459" s="1">
        <v>4</v>
      </c>
      <c r="H7459" s="1">
        <v>2</v>
      </c>
      <c r="I7459" s="1" t="s">
        <v>14284</v>
      </c>
      <c r="K7459" s="1" t="str">
        <f t="shared" si="473"/>
        <v>ㄐ</v>
      </c>
      <c r="L7459" s="1" t="str">
        <f t="shared" si="474"/>
        <v>ㄧ</v>
      </c>
      <c r="M7459" s="1" t="str">
        <f t="shared" si="475"/>
        <v>ㄥ</v>
      </c>
      <c r="P7459" s="1" t="s">
        <v>110</v>
      </c>
      <c r="R7459" s="1" t="s">
        <v>14285</v>
      </c>
      <c r="V7459" s="1" t="s">
        <v>111</v>
      </c>
      <c r="W7459" s="1" t="s">
        <v>14286</v>
      </c>
      <c r="AR7459" s="1" t="str">
        <f t="shared" si="472"/>
        <v>| [ㄐㄧㄥˋ](ㄐㄧㄥˋ.md) | [肵](肵.md) |  | jìng | (一)之又音。 |</v>
      </c>
    </row>
    <row r="7460" spans="1:44" hidden="1">
      <c r="A7460" s="1" t="s">
        <v>14108</v>
      </c>
      <c r="C7460" s="1">
        <v>1</v>
      </c>
      <c r="D7460" s="1" t="str">
        <f>"05947"</f>
        <v>05947</v>
      </c>
      <c r="E7460" s="1" t="s">
        <v>245</v>
      </c>
      <c r="F7460" s="1">
        <v>9</v>
      </c>
      <c r="G7460" s="1">
        <v>7</v>
      </c>
      <c r="H7460" s="1">
        <v>1</v>
      </c>
      <c r="I7460" s="1" t="s">
        <v>14284</v>
      </c>
      <c r="K7460" s="1" t="str">
        <f t="shared" si="473"/>
        <v>ㄐ</v>
      </c>
      <c r="L7460" s="1" t="str">
        <f t="shared" si="474"/>
        <v>ㄧ</v>
      </c>
      <c r="M7460" s="1" t="str">
        <f t="shared" si="475"/>
        <v>ㄥ</v>
      </c>
      <c r="P7460" s="1" t="s">
        <v>20</v>
      </c>
      <c r="R7460" s="1" t="s">
        <v>14285</v>
      </c>
      <c r="V7460" s="1" t="s">
        <v>14287</v>
      </c>
      <c r="W7460" s="1" t="s">
        <v>14288</v>
      </c>
      <c r="AR7460" s="1" t="str">
        <f t="shared" si="472"/>
        <v>| [ㄐㄧㄥˋ](ㄐㄧㄥˋ.md) | [勁](勁.md) |  | jìng | [形]
1.強而有力。如：「勁敵」。《墨子．節葬下》：「耳目不聰明，手足不勁強。」《戰國策．韓策一》：「天下之強弓勁弩，皆自韓出。」
2.堅韌、堅強。如：「疾風知勁草」。
3.剛健正直。如：「勁節」。《荀子．儒效》：「行法至堅，不以私欲亂所聞，如是，則可謂勁士矣。」
4.猛烈、強烈。晉．陶淵明〈飲酒詩〉二〇首之四：「勁風無榮木，此蔭獨不衰。」宋．陸游〈醉中懷眉山舊遊〉詩：「勁酒少和氣，哀歌無歡情。」 |</v>
      </c>
    </row>
    <row r="7461" spans="1:44" hidden="1">
      <c r="A7461" s="1" t="s">
        <v>14289</v>
      </c>
      <c r="C7461" s="1">
        <v>1</v>
      </c>
      <c r="D7461" s="1" t="str">
        <f>"05948"</f>
        <v>05948</v>
      </c>
      <c r="E7461" s="1" t="s">
        <v>234</v>
      </c>
      <c r="F7461" s="1">
        <v>10</v>
      </c>
      <c r="G7461" s="1">
        <v>7</v>
      </c>
      <c r="H7461" s="1">
        <v>0</v>
      </c>
      <c r="I7461" s="1" t="s">
        <v>14284</v>
      </c>
      <c r="K7461" s="1" t="str">
        <f t="shared" si="473"/>
        <v>ㄐ</v>
      </c>
      <c r="L7461" s="1" t="str">
        <f t="shared" si="474"/>
        <v>ㄧ</v>
      </c>
      <c r="M7461" s="1" t="str">
        <f t="shared" si="475"/>
        <v>ㄥ</v>
      </c>
      <c r="P7461" s="1" t="s">
        <v>20</v>
      </c>
      <c r="R7461" s="1" t="s">
        <v>14285</v>
      </c>
      <c r="V7461" s="1" t="s">
        <v>14290</v>
      </c>
      <c r="AR7461" s="1" t="str">
        <f t="shared" si="472"/>
        <v>| [ㄐㄧㄥˋ](ㄐㄧㄥˋ.md) | [徑](徑.md) |  | jìng | [名]
1.小路，或泛指道路。如：「幽徑」、「羊腸小徑」。《楚辭．宋玉．招魂》：「皋蘭被徑兮斯路漸，湛湛江水兮上有楓。」唐．杜甫〈客至〉詩：「花徑不曾緣客掃，蓬門今始為君開。」
2.比喻達到目的的方法或過程。如：「捷徑」、「門徑」、「途徑」。
3.通過圓心的弦稱為直徑，圓心到圓上任一點的線段稱為半徑。
4.長度。宋．蘇軾〈竹枝歌〉：「海濱長鯨徑千尺，食人為糧安可入。」明．徐弘祖《徐霞客遊記．卷六下．滇遊日記五》：「東西抵山，共徑十五里。」
[動]
行走。《漢書．卷五四．李廣蘇建傳．蘇建》：「徑萬里兮度沙幕，為君將兮奮匈奴。」三國魏．阮籍〈詠懷詩〉八二首之二五：「日月徑千里，素風發微霜。」
[副]
1.直接。通「逕」。如：「徑行辦理」、「言畢徑去」。
2.竟然。通「竟」。《史記．卷一二六．滑稽列傳．淳于髡》：「髡恐懼俯伏而飲，不過一斗徑醉矣。」 |</v>
      </c>
    </row>
    <row r="7462" spans="1:44" hidden="1">
      <c r="A7462" s="1" t="s">
        <v>14291</v>
      </c>
      <c r="C7462" s="1">
        <v>1</v>
      </c>
      <c r="D7462" s="1" t="str">
        <f>"05949"</f>
        <v>05949</v>
      </c>
      <c r="E7462" s="1" t="s">
        <v>558</v>
      </c>
      <c r="F7462" s="1">
        <v>11</v>
      </c>
      <c r="G7462" s="1">
        <v>7</v>
      </c>
      <c r="H7462" s="1">
        <v>0</v>
      </c>
      <c r="I7462" s="1" t="s">
        <v>14284</v>
      </c>
      <c r="K7462" s="1" t="str">
        <f t="shared" si="473"/>
        <v>ㄐ</v>
      </c>
      <c r="L7462" s="1" t="str">
        <f t="shared" si="474"/>
        <v>ㄧ</v>
      </c>
      <c r="M7462" s="1" t="str">
        <f t="shared" si="475"/>
        <v>ㄥ</v>
      </c>
      <c r="P7462" s="1" t="s">
        <v>20</v>
      </c>
      <c r="R7462" s="1" t="s">
        <v>14285</v>
      </c>
      <c r="V7462" s="1" t="s">
        <v>14292</v>
      </c>
      <c r="AR7462" s="1" t="str">
        <f t="shared" si="472"/>
        <v>| [ㄐㄧㄥˋ](ㄐㄧㄥˋ.md) | [逕](逕.md) |  | jìng | [名]
小路。通「徑」。《玉篇．辵部》：「逕，路逕也。」《莊子．徐无鬼》：「夫逃虛空者，藜藿柱乎鼪鼬之逕。」唐．杜牧〈山行〉詩：「遠上寒山石徑斜，白雲生處有人家。」
[動]
1.至、到。唐．韓愈〈復志賦〉：「君之門不可徑而入兮，遂從試於有司。」
2.注入。北魏．酈道元《水經注．河水注》：「恆水又東逕藍莫塔，塔邊有池。」
[副]
直接。如：「逕至」、「逕寄」。《三國志．卷五四．吳書．魯肅傳》：「備惶遽奔走，欲南渡江，肅逕迎之到當陽長阪。」《喻世明言．卷二一．臨安里錢留婆發跡》：「帶著三分酒興，逕往南門街上而來。」 |</v>
      </c>
    </row>
    <row r="7463" spans="1:44" hidden="1">
      <c r="A7463" s="1" t="s">
        <v>14293</v>
      </c>
      <c r="C7463" s="1">
        <v>1</v>
      </c>
      <c r="D7463" s="1" t="str">
        <f>"05950"</f>
        <v>05950</v>
      </c>
      <c r="E7463" s="1" t="s">
        <v>68</v>
      </c>
      <c r="F7463" s="1">
        <v>11</v>
      </c>
      <c r="G7463" s="1">
        <v>7</v>
      </c>
      <c r="H7463" s="1">
        <v>0</v>
      </c>
      <c r="I7463" s="1" t="s">
        <v>14284</v>
      </c>
      <c r="K7463" s="1" t="str">
        <f t="shared" si="473"/>
        <v>ㄐ</v>
      </c>
      <c r="L7463" s="1" t="str">
        <f t="shared" si="474"/>
        <v>ㄧ</v>
      </c>
      <c r="M7463" s="1" t="str">
        <f t="shared" si="475"/>
        <v>ㄥ</v>
      </c>
      <c r="P7463" s="1" t="s">
        <v>20</v>
      </c>
      <c r="R7463" s="1" t="s">
        <v>14285</v>
      </c>
      <c r="V7463" s="1" t="s">
        <v>14294</v>
      </c>
      <c r="AR7463" s="1" t="str">
        <f t="shared" si="472"/>
        <v>| [ㄐㄧㄥˋ](ㄐㄧㄥˋ.md) | [脛](脛.md) |  | jìng | [名]
從膝蓋到腳跟的部分。俗稱為「小腿」。 |</v>
      </c>
    </row>
    <row r="7464" spans="1:44" hidden="1">
      <c r="A7464" s="1" t="s">
        <v>14295</v>
      </c>
      <c r="C7464" s="1">
        <v>1</v>
      </c>
      <c r="D7464" s="1" t="str">
        <f>"05951"</f>
        <v>05951</v>
      </c>
      <c r="E7464" s="1" t="s">
        <v>40</v>
      </c>
      <c r="F7464" s="1">
        <v>12</v>
      </c>
      <c r="G7464" s="1">
        <v>7</v>
      </c>
      <c r="H7464" s="1">
        <v>0</v>
      </c>
      <c r="I7464" s="1" t="s">
        <v>14284</v>
      </c>
      <c r="K7464" s="1" t="str">
        <f t="shared" si="473"/>
        <v>ㄐ</v>
      </c>
      <c r="L7464" s="1" t="str">
        <f t="shared" si="474"/>
        <v>ㄧ</v>
      </c>
      <c r="M7464" s="1" t="str">
        <f t="shared" si="475"/>
        <v>ㄥ</v>
      </c>
      <c r="P7464" s="1" t="s">
        <v>20</v>
      </c>
      <c r="R7464" s="1" t="s">
        <v>14285</v>
      </c>
      <c r="V7464" s="1" t="s">
        <v>14296</v>
      </c>
      <c r="AR7464" s="1" t="str">
        <f t="shared" si="472"/>
        <v>| [ㄐㄧㄥˋ](ㄐㄧㄥˋ.md) | [痙](痙.md) |  | jìng | 參見「痙攣」條。 |</v>
      </c>
    </row>
    <row r="7465" spans="1:44" hidden="1">
      <c r="A7465" s="1" t="s">
        <v>14297</v>
      </c>
      <c r="C7465" s="1">
        <v>1</v>
      </c>
      <c r="D7465" s="1" t="str">
        <f>"05952"</f>
        <v>05952</v>
      </c>
      <c r="E7465" s="1" t="s">
        <v>1381</v>
      </c>
      <c r="F7465" s="1">
        <v>10</v>
      </c>
      <c r="G7465" s="1">
        <v>8</v>
      </c>
      <c r="H7465" s="1">
        <v>0</v>
      </c>
      <c r="I7465" s="1" t="s">
        <v>14284</v>
      </c>
      <c r="K7465" s="1" t="str">
        <f t="shared" si="473"/>
        <v>ㄐ</v>
      </c>
      <c r="L7465" s="1" t="str">
        <f t="shared" si="474"/>
        <v>ㄧ</v>
      </c>
      <c r="M7465" s="1" t="str">
        <f t="shared" si="475"/>
        <v>ㄥ</v>
      </c>
      <c r="P7465" s="1" t="s">
        <v>20</v>
      </c>
      <c r="R7465" s="1" t="s">
        <v>14285</v>
      </c>
      <c r="V7465" s="1" t="s">
        <v>14298</v>
      </c>
      <c r="AR7465" s="1" t="str">
        <f t="shared" si="472"/>
        <v>| [ㄐㄧㄥˋ](ㄐㄧㄥˋ.md) | [凊](凊.md) |  | jìng | [形]
寒冷。《說文解字．冫部》：「凊，寒也。」唐．柳宗元〈天對〉：「凊溫燠寒，迭出於時。」 |</v>
      </c>
    </row>
    <row r="7466" spans="1:44" hidden="1">
      <c r="A7466" s="1" t="s">
        <v>14299</v>
      </c>
      <c r="C7466" s="1">
        <v>1</v>
      </c>
      <c r="D7466" s="1" t="str">
        <f>"05953"</f>
        <v>05953</v>
      </c>
      <c r="E7466" s="1" t="s">
        <v>534</v>
      </c>
      <c r="F7466" s="1">
        <v>11</v>
      </c>
      <c r="G7466" s="1">
        <v>8</v>
      </c>
      <c r="H7466" s="1">
        <v>0</v>
      </c>
      <c r="I7466" s="1" t="s">
        <v>14284</v>
      </c>
      <c r="K7466" s="1" t="str">
        <f t="shared" si="473"/>
        <v>ㄐ</v>
      </c>
      <c r="L7466" s="1" t="str">
        <f t="shared" si="474"/>
        <v>ㄧ</v>
      </c>
      <c r="M7466" s="1" t="str">
        <f t="shared" si="475"/>
        <v>ㄥ</v>
      </c>
      <c r="P7466" s="1" t="s">
        <v>20</v>
      </c>
      <c r="R7466" s="1" t="s">
        <v>14285</v>
      </c>
      <c r="V7466" s="1" t="s">
        <v>14300</v>
      </c>
      <c r="AR7466" s="1" t="str">
        <f t="shared" si="472"/>
        <v>| [ㄐㄧㄥˋ](ㄐㄧㄥˋ.md) | [婧](婧.md) |  | jìng | [動]
竦立。《說文解字．女部》：「婧，竦立也。」
[形]
纖弱的樣子。明．張自烈《正字通．女部》：「婧，纖弱貌。」 |</v>
      </c>
    </row>
    <row r="7467" spans="1:44" hidden="1">
      <c r="A7467" s="1" t="s">
        <v>14301</v>
      </c>
      <c r="C7467" s="1">
        <v>1</v>
      </c>
      <c r="D7467" s="1" t="str">
        <f>"05954"</f>
        <v>05954</v>
      </c>
      <c r="E7467" s="1" t="s">
        <v>5514</v>
      </c>
      <c r="F7467" s="1">
        <v>13</v>
      </c>
      <c r="G7467" s="1">
        <v>5</v>
      </c>
      <c r="H7467" s="1">
        <v>0</v>
      </c>
      <c r="I7467" s="1" t="s">
        <v>14284</v>
      </c>
      <c r="K7467" s="1" t="str">
        <f t="shared" si="473"/>
        <v>ㄐ</v>
      </c>
      <c r="L7467" s="1" t="str">
        <f t="shared" si="474"/>
        <v>ㄧ</v>
      </c>
      <c r="M7467" s="1" t="str">
        <f t="shared" si="475"/>
        <v>ㄥ</v>
      </c>
      <c r="P7467" s="1" t="s">
        <v>20</v>
      </c>
      <c r="R7467" s="1" t="s">
        <v>14285</v>
      </c>
      <c r="V7467" s="1" t="s">
        <v>14302</v>
      </c>
      <c r="AR7467" s="1" t="str">
        <f t="shared" si="472"/>
        <v>| [ㄐㄧㄥˋ](ㄐㄧㄥˋ.md) | [靖](靖.md) |  | jìng | [動]
1.平定。《左傳．昭公十三年》：「諸侯靖兵，好以為事。」唐．岑文本〈冊趙王孝恭改封河間郡王文〉：「擁節西騖，靖巴漢之妖氛。」
2.治理。《詩經．小雅．菀柳》：「俾予靖之，後予極焉。」漢．毛亨．傳：「靖，治。」唐．陸贄〈論兩河及淮西利害狀〉：「若不靖於本，而務救於末，則救之所為，乃禍之所起也。」
3.計劃、圖謀。《詩經．大雅．召旻》：「昏椓靡共，潰潰回遹，實靖夷我邦。」《漢書．卷七三．韋賢傳》：「嗟我後人，命其靡常，靖享爾位，瞻仰靡荒。」
[形]
1.恭敬。《管子．大匡》：「士處靖，敬老與貴，交不失禮。」
2.安定、平安。宋．曾鞏〈試中書舍人制誥三道〉：「今方內靖嘉，百揆攸敘。」
[名]
1.清靜。《管子．百心》：「建當立有以靖為宗，以時為寶，以政為儀。」
2.姓。如唐代有靖君亮。 |</v>
      </c>
    </row>
    <row r="7468" spans="1:44" hidden="1">
      <c r="A7468" s="1" t="s">
        <v>14303</v>
      </c>
      <c r="C7468" s="1">
        <v>1</v>
      </c>
      <c r="D7468" s="1" t="str">
        <f>"05955"</f>
        <v>05955</v>
      </c>
      <c r="E7468" s="1" t="s">
        <v>5514</v>
      </c>
      <c r="F7468" s="1">
        <v>15</v>
      </c>
      <c r="G7468" s="1">
        <v>7</v>
      </c>
      <c r="H7468" s="1">
        <v>0</v>
      </c>
      <c r="I7468" s="1" t="s">
        <v>14284</v>
      </c>
      <c r="K7468" s="1" t="str">
        <f t="shared" si="473"/>
        <v>ㄐ</v>
      </c>
      <c r="L7468" s="1" t="str">
        <f t="shared" si="474"/>
        <v>ㄧ</v>
      </c>
      <c r="M7468" s="1" t="str">
        <f t="shared" si="475"/>
        <v>ㄥ</v>
      </c>
      <c r="P7468" s="1" t="s">
        <v>20</v>
      </c>
      <c r="R7468" s="1" t="s">
        <v>14285</v>
      </c>
      <c r="V7468" s="1" t="s">
        <v>14304</v>
      </c>
      <c r="AR7468" s="1" t="str">
        <f t="shared" si="472"/>
        <v>| [ㄐㄧㄥˋ](ㄐㄧㄥˋ.md) | [靚](靚.md) |  | jìng | [形]
1.漂亮、美麗。《後漢書．卷八九．南匈奴傳》：「昭君豐容靚飾，光明漢宮，顧景裴回，竦動左右。」唐．陸龜蒙〈鄴宮詞〉二首之二：「曉日靚妝千騎女，白櫻桃下紫綸巾。」
2.沉靜。通「靜」。《文選．揚雄．甘泉賦》：「帷弸環其拂汨兮，稍暗暗而靚深。」元．貢師泰〈擬古〉詩三首之一：「意態閒且靚，氣若蘭蕙芳。」 |</v>
      </c>
    </row>
    <row r="7469" spans="1:44" hidden="1">
      <c r="A7469" s="1" t="s">
        <v>8983</v>
      </c>
      <c r="C7469" s="1">
        <v>1</v>
      </c>
      <c r="D7469" s="1" t="str">
        <f>"05956"</f>
        <v>05956</v>
      </c>
      <c r="E7469" s="1" t="s">
        <v>114</v>
      </c>
      <c r="F7469" s="1">
        <v>10</v>
      </c>
      <c r="G7469" s="1">
        <v>8</v>
      </c>
      <c r="H7469" s="1">
        <v>2</v>
      </c>
      <c r="I7469" s="1" t="s">
        <v>14284</v>
      </c>
      <c r="K7469" s="1" t="str">
        <f t="shared" si="473"/>
        <v>ㄐ</v>
      </c>
      <c r="L7469" s="1" t="str">
        <f t="shared" si="474"/>
        <v>ㄧ</v>
      </c>
      <c r="M7469" s="1" t="str">
        <f t="shared" si="475"/>
        <v>ㄥ</v>
      </c>
      <c r="P7469" s="1" t="s">
        <v>20</v>
      </c>
      <c r="R7469" s="1" t="s">
        <v>14285</v>
      </c>
      <c r="V7469" s="1" t="s">
        <v>14305</v>
      </c>
      <c r="W7469" s="1" t="s">
        <v>14306</v>
      </c>
      <c r="AR7469" s="1" t="str">
        <f t="shared" si="472"/>
        <v>| [ㄐㄧㄥˋ](ㄐㄧㄥˋ.md) | [倞](倞.md) |  | jìng | [形]
強勁。清．王念孫《廣雅疏證．卷一下．釋詁》：「倞，強也。」 |</v>
      </c>
    </row>
    <row r="7470" spans="1:44" hidden="1">
      <c r="A7470" s="1" t="s">
        <v>14307</v>
      </c>
      <c r="C7470" s="1">
        <v>1</v>
      </c>
      <c r="D7470" s="1" t="str">
        <f>"05957"</f>
        <v>05957</v>
      </c>
      <c r="E7470" s="1" t="s">
        <v>129</v>
      </c>
      <c r="F7470" s="1">
        <v>11</v>
      </c>
      <c r="G7470" s="1">
        <v>8</v>
      </c>
      <c r="H7470" s="1">
        <v>0</v>
      </c>
      <c r="I7470" s="1" t="s">
        <v>14284</v>
      </c>
      <c r="K7470" s="1" t="str">
        <f t="shared" si="473"/>
        <v>ㄐ</v>
      </c>
      <c r="L7470" s="1" t="str">
        <f t="shared" si="474"/>
        <v>ㄧ</v>
      </c>
      <c r="M7470" s="1" t="str">
        <f t="shared" si="475"/>
        <v>ㄥ</v>
      </c>
      <c r="P7470" s="1" t="s">
        <v>20</v>
      </c>
      <c r="R7470" s="1" t="s">
        <v>14285</v>
      </c>
      <c r="V7470" s="1" t="s">
        <v>14308</v>
      </c>
      <c r="AR7470" s="1" t="str">
        <f t="shared" si="472"/>
        <v>| [ㄐㄧㄥˋ](ㄐㄧㄥˋ.md) | [淨](淨.md) |  | jìng | [形]
1.清潔。如：「乾淨」、「潔淨」、「窗明几淨」。《墨子．節葬下》：「若苟貧，是栥盛酒醴不淨潔也。」
2.純粹的、實質的。如：「淨利」。
[動]
使清潔。《國語．周語中》：「淨其巾羃，敬其祓除，體解節折而共飲食之。」
[副]
1.全部、全都。如：「這裡頭淨是水。」
2.只、僅。如：「屋裡淨剩下他一個人了。」《兒女英雄傳》第一九回：「咱們就該著淨找樂兒了！怎麼倒添了想不開了呢？」
[名]
一種戲劇角色。大都扮演勇猛、剛強、正直、奸險等性格的人物，也因角色的不同而有正淨、副淨、武淨、末淨等的區分。今稱為「花臉」。 |</v>
      </c>
    </row>
    <row r="7471" spans="1:44" hidden="1">
      <c r="A7471" s="1" t="s">
        <v>14309</v>
      </c>
      <c r="C7471" s="1">
        <v>1</v>
      </c>
      <c r="D7471" s="1" t="str">
        <f>"05958"</f>
        <v>05958</v>
      </c>
      <c r="E7471" s="1" t="s">
        <v>5784</v>
      </c>
      <c r="F7471" s="1">
        <v>13</v>
      </c>
      <c r="G7471" s="1">
        <v>8</v>
      </c>
      <c r="H7471" s="1">
        <v>0</v>
      </c>
      <c r="I7471" s="1" t="s">
        <v>14284</v>
      </c>
      <c r="K7471" s="1" t="str">
        <f t="shared" si="473"/>
        <v>ㄐ</v>
      </c>
      <c r="L7471" s="1" t="str">
        <f t="shared" si="474"/>
        <v>ㄧ</v>
      </c>
      <c r="M7471" s="1" t="str">
        <f t="shared" si="475"/>
        <v>ㄥ</v>
      </c>
      <c r="P7471" s="1" t="s">
        <v>20</v>
      </c>
      <c r="R7471" s="1" t="s">
        <v>14285</v>
      </c>
      <c r="V7471" s="1" t="s">
        <v>14310</v>
      </c>
      <c r="AR7471" s="1" t="str">
        <f t="shared" si="472"/>
        <v>| [ㄐㄧㄥˋ](ㄐㄧㄥˋ.md) | [竫](竫.md) |  | jìng | [動]
杜撰。《公羊傳．文公十二年》：「以為能變也，其為能變奈何，惟諓諓善竫言。」
[副]
靜。通「靜」。《呂氏春秋．慎大覽．貴因》：「秦越遠塗也，竫立安坐而至者，因其械也。」《後漢書．卷五二．崔駰傳》：「竫潛思於至賾兮，騁六經之奧府。」 |</v>
      </c>
    </row>
    <row r="7472" spans="1:44" hidden="1">
      <c r="A7472" s="1" t="s">
        <v>14311</v>
      </c>
      <c r="C7472" s="1">
        <v>1</v>
      </c>
      <c r="D7472" s="1" t="str">
        <f>"05959"</f>
        <v>05959</v>
      </c>
      <c r="E7472" s="1" t="s">
        <v>5514</v>
      </c>
      <c r="F7472" s="1">
        <v>16</v>
      </c>
      <c r="G7472" s="1">
        <v>8</v>
      </c>
      <c r="H7472" s="1">
        <v>0</v>
      </c>
      <c r="I7472" s="1" t="s">
        <v>14284</v>
      </c>
      <c r="K7472" s="1" t="str">
        <f t="shared" si="473"/>
        <v>ㄐ</v>
      </c>
      <c r="L7472" s="1" t="str">
        <f t="shared" si="474"/>
        <v>ㄧ</v>
      </c>
      <c r="M7472" s="1" t="str">
        <f t="shared" si="475"/>
        <v>ㄥ</v>
      </c>
      <c r="P7472" s="1" t="s">
        <v>20</v>
      </c>
      <c r="R7472" s="1" t="s">
        <v>14285</v>
      </c>
      <c r="V7472" s="1" t="s">
        <v>14312</v>
      </c>
      <c r="AR7472" s="1" t="str">
        <f t="shared" si="472"/>
        <v>| [ㄐㄧㄥˋ](ㄐㄧㄥˋ.md) | [靜](靜.md) |  | jìng | [動]_x000D_
止、安定。與「動」相對。如：「樹欲靜而風不止，子欲養而親不在。」《墨子．非攻下》：「卿制大極，而神民不違，天下乃靜。」《淮南子．本經》：「哀斯憤，憤斯怒，怒斯動，動則手足不靜。」_x000D_
[形]_x000D_
1.安定不動的。如：「風平浪靜」。_x000D_
2.緘默無聲。如：「安靜」、「寧靜」、「更深夜靜」。明．陸采《懷香記》第二齣：「牛羊已下山徑靜，鳥鵲爭歸林木擾。」_x000D_
3.烈。《詩經．邶風．靜女》：「靜女其姝，俟我於城隅。」唐．方干〈書桃花塢周處土壁〉詩：「自學古賢修靜節，唯應野鶴識高情。」_x000D_
4.恬淡、平和。唐．崔融〈報三原李少府書〉：「撤函敷紙，恬神靜諷。」唐．杜甫〈送孔巢父謝病歸遊江東兼呈李白〉詩：「蔡侯靜者意有餘，清夜置酒臨前除。」_x000D_
[副]_x000D_
安謐。《後漢書．卷一六．鄧寇列傳．鄧禹》：「檢敕宗族，闔門靜居。」 |</v>
      </c>
    </row>
    <row r="7473" spans="1:44" hidden="1">
      <c r="A7473" s="1" t="s">
        <v>14313</v>
      </c>
      <c r="C7473" s="1">
        <v>1</v>
      </c>
      <c r="D7473" s="1" t="str">
        <f>"05960"</f>
        <v>05960</v>
      </c>
      <c r="E7473" s="1" t="s">
        <v>14314</v>
      </c>
      <c r="F7473" s="1">
        <v>11</v>
      </c>
      <c r="G7473" s="1">
        <v>2</v>
      </c>
      <c r="H7473" s="1">
        <v>0</v>
      </c>
      <c r="I7473" s="1" t="s">
        <v>14284</v>
      </c>
      <c r="K7473" s="1" t="str">
        <f t="shared" si="473"/>
        <v>ㄐ</v>
      </c>
      <c r="L7473" s="1" t="str">
        <f t="shared" si="474"/>
        <v>ㄧ</v>
      </c>
      <c r="M7473" s="1" t="str">
        <f t="shared" si="475"/>
        <v>ㄥ</v>
      </c>
      <c r="P7473" s="1" t="s">
        <v>20</v>
      </c>
      <c r="R7473" s="1" t="s">
        <v>14285</v>
      </c>
      <c r="V7473" s="1" t="s">
        <v>14315</v>
      </c>
      <c r="AR7473" s="1" t="str">
        <f t="shared" si="472"/>
        <v>| [ㄐㄧㄥˋ](ㄐㄧㄥˋ.md) | [竟](竟.md) |  | jìng | [動]
1.樂曲演奏完畢。《說文解字．音部》：「竟，樂曲盡為竟。」
2.完成、終了、完畢。如：「未竟之業」。《晉書．卷七九．謝安傳》：「看書既竟，便攝放床上。」唐．柳宗元〈田家〉詩三首之三：「是時收穫竟，落日多樵牧。」
3.窮究、追究。如：「窮原竟委」。《漢書．卷六八．霍光傳》：「此縣官重太后，故不竟也。」唐．顏師古．注：「竟，窮竟其事也。」
[形]
全、整。如：「竟日」、「竟夜」。唐．張九齡〈望月懷遠〉詩：「情人怨遙夜，竟夕起相思。」
[副]
1.居然。如：「竟然」、「他竟敢不理我。」唐．杜甫〈陪鄭廣文遊何將軍山林〉詩一〇首之三：「漢使徒空到，神農竟不知。」《紅樓夢》第六二回：「原來今日也是平姑娘的千秋，我竟不知。」
2.到底、終於。如：「有志者事竟成。」唐．李詢〈贈織錦人〉詩：「札札機聲曉復晡，眼穿力盡竟何如！」
3.直接。《三國演義》第四二回：「我竟往夏口，盡起軍前來相助。」 |</v>
      </c>
    </row>
    <row r="7474" spans="1:44" hidden="1">
      <c r="A7474" s="1" t="s">
        <v>14316</v>
      </c>
      <c r="C7474" s="1">
        <v>1</v>
      </c>
      <c r="D7474" s="1" t="str">
        <f>"05961"</f>
        <v>05961</v>
      </c>
      <c r="E7474" s="1" t="s">
        <v>132</v>
      </c>
      <c r="F7474" s="1">
        <v>14</v>
      </c>
      <c r="G7474" s="1">
        <v>11</v>
      </c>
      <c r="H7474" s="1">
        <v>0</v>
      </c>
      <c r="I7474" s="1" t="s">
        <v>14284</v>
      </c>
      <c r="K7474" s="1" t="str">
        <f t="shared" si="473"/>
        <v>ㄐ</v>
      </c>
      <c r="L7474" s="1" t="str">
        <f t="shared" si="474"/>
        <v>ㄧ</v>
      </c>
      <c r="M7474" s="1" t="str">
        <f t="shared" si="475"/>
        <v>ㄥ</v>
      </c>
      <c r="P7474" s="1" t="s">
        <v>20</v>
      </c>
      <c r="R7474" s="1" t="s">
        <v>14285</v>
      </c>
      <c r="V7474" s="1" t="s">
        <v>14317</v>
      </c>
      <c r="AR7474" s="1" t="str">
        <f t="shared" si="472"/>
        <v>| [ㄐㄧㄥˋ](ㄐㄧㄥˋ.md) | [境](境.md) |  | jìng | [名]
1.疆界。如：「邊境」、「國境」。《孟子．梁惠王下》：「臣始至於境，問國之大禁，然後敢入。」唐．韓愈〈朝散大夫越州刺史薛公墓誌銘〉：「四境之內，竟歲無一事。」
2.地方、區域。如：「仙境」、「勝境」。晉．陶淵明〈飲酒詩〉二〇首之五：「結廬在人境，而無車馬喧。」
3.情況、光景。如：「順境」、「逆境」、「家境」。南朝宋．劉義慶《世說新語．排調》：「顧長康啖甘蔗，先食尾。問所以，云：『漸至佳境。』」宋．陸游〈懷昔〉詩：「豈知墮老境，槁木蒙霜菅。」
4.程度、地步。如：「學無止境」、「已臻化境」。 |</v>
      </c>
    </row>
    <row r="7475" spans="1:44" hidden="1">
      <c r="A7475" s="1" t="s">
        <v>14318</v>
      </c>
      <c r="C7475" s="1">
        <v>1</v>
      </c>
      <c r="D7475" s="1" t="str">
        <f>"05962"</f>
        <v>05962</v>
      </c>
      <c r="E7475" s="1" t="s">
        <v>198</v>
      </c>
      <c r="F7475" s="1">
        <v>14</v>
      </c>
      <c r="G7475" s="1">
        <v>11</v>
      </c>
      <c r="H7475" s="1">
        <v>0</v>
      </c>
      <c r="I7475" s="1" t="s">
        <v>14284</v>
      </c>
      <c r="K7475" s="1" t="str">
        <f t="shared" si="473"/>
        <v>ㄐ</v>
      </c>
      <c r="L7475" s="1" t="str">
        <f t="shared" si="474"/>
        <v>ㄧ</v>
      </c>
      <c r="M7475" s="1" t="str">
        <f t="shared" si="475"/>
        <v>ㄥ</v>
      </c>
      <c r="P7475" s="1" t="s">
        <v>20</v>
      </c>
      <c r="R7475" s="1" t="s">
        <v>14285</v>
      </c>
      <c r="V7475" s="1" t="s">
        <v>14319</v>
      </c>
      <c r="AR7475" s="1" t="str">
        <f t="shared" si="472"/>
        <v>| [ㄐㄧㄥˋ](ㄐㄧㄥˋ.md) | [獍](獍.md) |  | jìng | [名]
傳說中的惡獸，體型似虎豹，但較小，性格凶暴，一生出便會食其母獸。南朝梁．任昉《述異記》卷上：「獍之為獸，狀如虎豹而小，始生還食其母。」 |</v>
      </c>
    </row>
    <row r="7476" spans="1:44" hidden="1">
      <c r="A7476" s="1" t="s">
        <v>14320</v>
      </c>
      <c r="C7476" s="1">
        <v>1</v>
      </c>
      <c r="D7476" s="1" t="str">
        <f>"05963"</f>
        <v>05963</v>
      </c>
      <c r="E7476" s="1" t="s">
        <v>55</v>
      </c>
      <c r="F7476" s="1">
        <v>19</v>
      </c>
      <c r="G7476" s="1">
        <v>11</v>
      </c>
      <c r="H7476" s="1">
        <v>0</v>
      </c>
      <c r="I7476" s="1" t="s">
        <v>14284</v>
      </c>
      <c r="K7476" s="1" t="str">
        <f t="shared" si="473"/>
        <v>ㄐ</v>
      </c>
      <c r="L7476" s="1" t="str">
        <f t="shared" si="474"/>
        <v>ㄧ</v>
      </c>
      <c r="M7476" s="1" t="str">
        <f t="shared" si="475"/>
        <v>ㄥ</v>
      </c>
      <c r="P7476" s="1" t="s">
        <v>20</v>
      </c>
      <c r="R7476" s="1" t="s">
        <v>14285</v>
      </c>
      <c r="V7476" s="1" t="s">
        <v>14321</v>
      </c>
      <c r="AR7476" s="1" t="str">
        <f t="shared" si="472"/>
        <v>| [ㄐㄧㄥˋ](ㄐㄧㄥˋ.md) | [鏡](鏡.md) |  | jìng | [名]
1.用來反映物體形象的器具。古代用銅、鐵等金屬磨光製成，近代則用玻璃在背面塗水銀製成。如：「銅鏡」、「寶鏡」。南朝梁．無名氏〈木蘭詩〉二首之一：「當窗理雲鬢，對鏡帖花黃。」
2.利用光學原理製成可矯正視力或做光學實驗用的器具。鏡片一般用玻璃製成。如：「望遠鏡」、「眼鏡」、「顯微鏡」。
3.可供參考或警惕的事情。如：「借鏡」。
4.姓。如漢代有鏡斂。
[動]
1.映照。《墨子．非攻中》：「鏡於水，見面之容。」唐．李商隱〈無題〉詩：「曉鏡但愁雲鬢改，夜吟應覺月光寒。」
2.省察。《淮南子．齊俗》：「抱大聖之心，以鏡萬物之情。」《南史．卷二〇．謝弘微傳》：「以易限之鑒，鏡難源之情。」
3.鑑誡。《史記．卷一八．高祖功臣侯年表》：「居今之世，志古之道，所以自鏡也。」《漢書．卷八五．谷永傳》：「願陛下追觀夏、商、周、秦所以失之，以鏡考己行。」
[形]
明淨。隋．煬帝〈賜書召釋慧覺〉：「其義端雄辯，獨演暢于稽陰，談柄微言，偏引汲於鏡水。」唐．杜牧〈長安秋望〉詩：「樓倚霜樹外，鏡天無一毫。」 |</v>
      </c>
    </row>
    <row r="7477" spans="1:44" hidden="1">
      <c r="A7477" s="1" t="s">
        <v>14322</v>
      </c>
      <c r="C7477" s="1">
        <v>1</v>
      </c>
      <c r="D7477" s="1" t="str">
        <f>"05964"</f>
        <v>05964</v>
      </c>
      <c r="E7477" s="1" t="s">
        <v>426</v>
      </c>
      <c r="F7477" s="1">
        <v>13</v>
      </c>
      <c r="G7477" s="1">
        <v>9</v>
      </c>
      <c r="H7477" s="1">
        <v>0</v>
      </c>
      <c r="I7477" s="1" t="s">
        <v>14284</v>
      </c>
      <c r="K7477" s="1" t="str">
        <f t="shared" si="473"/>
        <v>ㄐ</v>
      </c>
      <c r="L7477" s="1" t="str">
        <f t="shared" si="474"/>
        <v>ㄧ</v>
      </c>
      <c r="M7477" s="1" t="str">
        <f t="shared" si="475"/>
        <v>ㄥ</v>
      </c>
      <c r="P7477" s="1" t="s">
        <v>20</v>
      </c>
      <c r="R7477" s="1" t="s">
        <v>14285</v>
      </c>
      <c r="V7477" s="1" t="s">
        <v>14323</v>
      </c>
      <c r="AR7477" s="1" t="str">
        <f t="shared" si="472"/>
        <v>| [ㄐㄧㄥˋ](ㄐㄧㄥˋ.md) | [敬](敬.md) |  | jìng | [動]
1.尊重。如：「敬重」、「敬老尊賢」。《論語．先進》：「門人不敬子路。」漢．王符《潛夫論．述赦》：「君敬法則法行，君慢法則法弛。」
2.有禮貌的獻上。如：「敬茶」、「敬酒」。《紅樓夢》第五四回：「又命寶玉：『也敬你姐姐一杯。』」
[副]
慎重、恭敬。如：「敬贈」、「敬賀」。《論語．子路》：「居處恭，執事敬。」宋．邢昺．疏：「居處恭謹，執事敬慎。」宋．蘇軾〈答陳傳道〉五首之四：「新舊諸詩，幸得敬覽，不意餘生，復見斯作。」
[名]
1.恭肅。《禮記．大學》：「為人臣，止於敬。」
2.表示敬意、謝意或祝賀之意的禮物。如：「喜敬」、「賀敬」、「節敬」。《後漢書．卷五三．周燮傳》：「遣生送敬，遂辭疾而歸。」《警世通言．卷一一．蘇知縣羅衫再和》：「便吩咐門子，於庫房取書儀十兩，送與蘇雨為程敬。」
3.姓。如唐代有敬元禮。 |</v>
      </c>
    </row>
    <row r="7478" spans="1:44" hidden="1">
      <c r="A7478" s="1" t="s">
        <v>14324</v>
      </c>
      <c r="C7478" s="1">
        <v>1</v>
      </c>
      <c r="D7478" s="1" t="str">
        <f>"05965"</f>
        <v>05965</v>
      </c>
      <c r="E7478" s="1" t="s">
        <v>5784</v>
      </c>
      <c r="F7478" s="1">
        <v>20</v>
      </c>
      <c r="G7478" s="1">
        <v>15</v>
      </c>
      <c r="H7478" s="1">
        <v>0</v>
      </c>
      <c r="I7478" s="1" t="s">
        <v>14284</v>
      </c>
      <c r="K7478" s="1" t="str">
        <f t="shared" si="473"/>
        <v>ㄐ</v>
      </c>
      <c r="L7478" s="1" t="str">
        <f t="shared" si="474"/>
        <v>ㄧ</v>
      </c>
      <c r="M7478" s="1" t="str">
        <f t="shared" si="475"/>
        <v>ㄥ</v>
      </c>
      <c r="P7478" s="1" t="s">
        <v>20</v>
      </c>
      <c r="R7478" s="1" t="s">
        <v>14285</v>
      </c>
      <c r="V7478" s="1" t="s">
        <v>14325</v>
      </c>
      <c r="AR7478" s="1" t="str">
        <f t="shared" si="472"/>
        <v>| [ㄐㄧㄥˋ](ㄐㄧㄥˋ.md) | [競](競.md) |  | jìng | [動]
1.爭論。《說文解字．誩部》：「競，彊語也。」清．段玉裁．注：「彊語謂相爭。」北齊．顏之推《顏氏家訓．省事》：「前在修文令曹，有山東學士與關中太史競歷。」王利器．集解：「競歷，謂爭論歷法。」
2.比賽、爭逐。如：「競爭」、「競選」。
[副]
爭著。《楚辭．屈原．離騷》：「眾皆競進以貪婪兮，憑不猒乎求索。」《後漢書．卷五四．楊震傳》：「樊豐等因乘輿在外，競修第宅。」
[名]
爭強求勝的心態。《詩經．大雅．桑柔》：「君子實維，秉心無競。」漢．鄭玄．箋：「其執心不彊於善，而好以力爭。」
[形]
強、盛。《爾雅．釋言》：「競，逐強也。」《左傳．僖公七年》：「心則不競，何憚於病。」晉．杜預．注：「競，強也。」《後漢書．卷六四．盧植傳》：「又比世祚不競，仍外求嗣，可謂危矣。」 |</v>
      </c>
    </row>
    <row r="7479" spans="1:44" hidden="1">
      <c r="A7479" s="1" t="s">
        <v>14816</v>
      </c>
      <c r="C7479" s="1">
        <v>1</v>
      </c>
      <c r="D7479" s="1" t="str">
        <f>"06186"</f>
        <v>06186</v>
      </c>
      <c r="E7479" s="1" t="s">
        <v>2729</v>
      </c>
      <c r="F7479" s="1">
        <v>2</v>
      </c>
      <c r="G7479" s="1">
        <v>0</v>
      </c>
      <c r="H7479" s="1">
        <v>0</v>
      </c>
      <c r="I7479" s="1" t="s">
        <v>14817</v>
      </c>
      <c r="K7479" s="1" t="str">
        <f t="shared" si="473"/>
        <v>ㄐ</v>
      </c>
      <c r="L7479" s="1" t="str">
        <f t="shared" si="474"/>
        <v>ㄩ</v>
      </c>
      <c r="M7479" s="1" t="str">
        <f t="shared" si="475"/>
        <v>ㄥ</v>
      </c>
      <c r="P7479" s="1" t="s">
        <v>20</v>
      </c>
      <c r="R7479" s="1" t="s">
        <v>14818</v>
      </c>
      <c r="V7479" s="1" t="s">
        <v>14819</v>
      </c>
      <c r="AR7479" s="1" t="str">
        <f t="shared" si="472"/>
        <v>| [ㄐㄩㄥ](ㄐㄩㄥ.md) | [冂](冂.md) |  | jiōng | [名]
1.離城市很遠的地方。《說文解字．冂部》：「冂，邑外謂之郊，郊外謂之野，野外謂之林，林外謂之冂，象遠介也。」
2.二一四部首之一。 |</v>
      </c>
    </row>
    <row r="7480" spans="1:44" hidden="1">
      <c r="A7480" s="1" t="s">
        <v>14820</v>
      </c>
      <c r="C7480" s="1">
        <v>1</v>
      </c>
      <c r="D7480" s="1" t="str">
        <f>"06187"</f>
        <v>06187</v>
      </c>
      <c r="E7480" s="1" t="s">
        <v>132</v>
      </c>
      <c r="F7480" s="1">
        <v>8</v>
      </c>
      <c r="G7480" s="1">
        <v>5</v>
      </c>
      <c r="H7480" s="1">
        <v>0</v>
      </c>
      <c r="I7480" s="1" t="s">
        <v>14817</v>
      </c>
      <c r="K7480" s="1" t="str">
        <f t="shared" si="473"/>
        <v>ㄐ</v>
      </c>
      <c r="L7480" s="1" t="str">
        <f t="shared" si="474"/>
        <v>ㄩ</v>
      </c>
      <c r="M7480" s="1" t="str">
        <f t="shared" si="475"/>
        <v>ㄥ</v>
      </c>
      <c r="P7480" s="1" t="s">
        <v>20</v>
      </c>
      <c r="R7480" s="1" t="s">
        <v>14818</v>
      </c>
      <c r="V7480" s="1" t="s">
        <v>14821</v>
      </c>
      <c r="AR7480" s="1" t="str">
        <f t="shared" si="472"/>
        <v>| [ㄐㄩㄥ](ㄐㄩㄥ.md) | [坰](坰.md) |  | jiōng | [名]
郊野、郊外。《詩經．魯頌．駉》：「駉駉牡馬，在坰之野。」漢．毛亨．傳：「坰，遠野也。」唐．杜甫〈嚴中丞枉駕見過〉詩：「元戎小隊出郊坰，問柳尋花到野亭。」 |</v>
      </c>
    </row>
    <row r="7481" spans="1:44" hidden="1">
      <c r="A7481" s="1" t="s">
        <v>14822</v>
      </c>
      <c r="C7481" s="1">
        <v>1</v>
      </c>
      <c r="D7481" s="1" t="str">
        <f>"06188"</f>
        <v>06188</v>
      </c>
      <c r="E7481" s="1" t="s">
        <v>1252</v>
      </c>
      <c r="F7481" s="1">
        <v>9</v>
      </c>
      <c r="G7481" s="1">
        <v>5</v>
      </c>
      <c r="H7481" s="1">
        <v>1</v>
      </c>
      <c r="I7481" s="1" t="s">
        <v>14817</v>
      </c>
      <c r="K7481" s="1" t="str">
        <f t="shared" si="473"/>
        <v>ㄐ</v>
      </c>
      <c r="L7481" s="1" t="str">
        <f t="shared" si="474"/>
        <v>ㄩ</v>
      </c>
      <c r="M7481" s="1" t="str">
        <f t="shared" si="475"/>
        <v>ㄥ</v>
      </c>
      <c r="P7481" s="1" t="s">
        <v>20</v>
      </c>
      <c r="R7481" s="1" t="s">
        <v>14818</v>
      </c>
      <c r="V7481" s="1" t="s">
        <v>14823</v>
      </c>
      <c r="W7481" s="1" t="s">
        <v>14824</v>
      </c>
      <c r="AR7481" s="1" t="str">
        <f t="shared" si="472"/>
        <v>| [ㄐㄩㄥ](ㄐㄩㄥ.md) | [扃](扃.md) |  | jiōng | [名]
1.安裝在門外的門閂或環鈕。《說文解字．冂部》：「扃，外閉之關也。」清．段玉裁．注：「關者，以木橫持門戶也。」《禮記．曲禮上》：「入戶奉扃，視瞻毋回。」唐．白居易〈遊悟真寺詩〉：「龕間長丈餘，門戶無扃關。」
2.門戶的通稱。《文選．孔稚珪．北山移文》：「雖情投於魏闕，或假步於山扃。」唐．白居易〈長恨歌〉：「金闕西廂叩玉扃，轉教小玉報雙成。」
[動]
關閉、關上。《文選．孔稚珪．北山移文》：「宜扃岫幌，掩雲關。」《聊齋志異．卷一．嬌娜》：「至門，則雙扉外扃。」 |</v>
      </c>
    </row>
    <row r="7482" spans="1:44" hidden="1">
      <c r="A7482" s="1" t="s">
        <v>14825</v>
      </c>
      <c r="C7482" s="1">
        <v>1</v>
      </c>
      <c r="D7482" s="1" t="str">
        <f>"06189"</f>
        <v>06189</v>
      </c>
      <c r="E7482" s="1" t="s">
        <v>319</v>
      </c>
      <c r="F7482" s="1">
        <v>15</v>
      </c>
      <c r="G7482" s="1">
        <v>5</v>
      </c>
      <c r="H7482" s="1">
        <v>0</v>
      </c>
      <c r="I7482" s="1" t="s">
        <v>14817</v>
      </c>
      <c r="K7482" s="1" t="str">
        <f t="shared" si="473"/>
        <v>ㄐ</v>
      </c>
      <c r="L7482" s="1" t="str">
        <f t="shared" si="474"/>
        <v>ㄩ</v>
      </c>
      <c r="M7482" s="1" t="str">
        <f t="shared" si="475"/>
        <v>ㄥ</v>
      </c>
      <c r="P7482" s="1" t="s">
        <v>20</v>
      </c>
      <c r="R7482" s="1" t="s">
        <v>14818</v>
      </c>
      <c r="V7482" s="1" t="s">
        <v>14826</v>
      </c>
      <c r="AR7482" s="1" t="str">
        <f t="shared" si="472"/>
        <v>| [ㄐㄩㄥ](ㄐㄩㄥ.md) | [駉](駉.md) |  | jiōng | [名]
1.牧馬的地方。《說文解字．馬部》：「駉，牧馬苑也。」
2.駿馬。《廣韻．平聲．青韻》：「〈駉〉，駿馬也。」
3.《詩經．魯頌》的篇名。共四章。根據〈詩序〉：「駉，頌僖公也。」為頌揚僖公牧馬極盛之詩。首章二句為：「駉駉牡馬，在坰之野。」
[形]
馬肥壯的樣子。《詩經．魯頌．駉》：「駉駉牧馬，在坰之野。」漢．毛亨．傳：「駉駉，良馬腹幹肥張也。」 |</v>
      </c>
    </row>
    <row r="7483" spans="1:44" hidden="1">
      <c r="A7483" s="1" t="s">
        <v>14827</v>
      </c>
      <c r="C7483" s="1">
        <v>1</v>
      </c>
      <c r="D7483" s="1" t="str">
        <f>"06190"</f>
        <v>06190</v>
      </c>
      <c r="E7483" s="1" t="s">
        <v>2729</v>
      </c>
      <c r="F7483" s="1">
        <v>7</v>
      </c>
      <c r="G7483" s="1">
        <v>5</v>
      </c>
      <c r="H7483" s="1">
        <v>0</v>
      </c>
      <c r="I7483" s="1" t="s">
        <v>14828</v>
      </c>
      <c r="K7483" s="1" t="str">
        <f t="shared" si="473"/>
        <v>ㄐ</v>
      </c>
      <c r="L7483" s="1" t="str">
        <f t="shared" si="474"/>
        <v>ㄩ</v>
      </c>
      <c r="M7483" s="1" t="str">
        <f t="shared" si="475"/>
        <v>ㄥ</v>
      </c>
      <c r="P7483" s="1" t="s">
        <v>20</v>
      </c>
      <c r="R7483" s="1" t="s">
        <v>14829</v>
      </c>
      <c r="V7483" s="1" t="s">
        <v>14830</v>
      </c>
      <c r="AR7483" s="1" t="str">
        <f t="shared" si="472"/>
        <v>| [ㄐㄩㄥˇ](ㄐㄩㄥˇ.md) | [冏](冏.md) |  | jiǒng | [形]
明亮。漢．張紘〈瓌材枕賦〉：「何眾文之冏朗，灼儵爚而發明。」 |</v>
      </c>
    </row>
    <row r="7484" spans="1:44" hidden="1">
      <c r="A7484" s="1" t="s">
        <v>14831</v>
      </c>
      <c r="C7484" s="1">
        <v>1</v>
      </c>
      <c r="D7484" s="1" t="str">
        <f>"06191"</f>
        <v>06191</v>
      </c>
      <c r="E7484" s="1" t="s">
        <v>2557</v>
      </c>
      <c r="F7484" s="1">
        <v>7</v>
      </c>
      <c r="G7484" s="1">
        <v>4</v>
      </c>
      <c r="H7484" s="1">
        <v>0</v>
      </c>
      <c r="I7484" s="1" t="s">
        <v>14828</v>
      </c>
      <c r="K7484" s="1" t="str">
        <f t="shared" si="473"/>
        <v>ㄐ</v>
      </c>
      <c r="L7484" s="1" t="str">
        <f t="shared" si="474"/>
        <v>ㄩ</v>
      </c>
      <c r="M7484" s="1" t="str">
        <f t="shared" si="475"/>
        <v>ㄥ</v>
      </c>
      <c r="P7484" s="1" t="s">
        <v>20</v>
      </c>
      <c r="R7484" s="1" t="s">
        <v>14829</v>
      </c>
      <c r="V7484" s="1" t="s">
        <v>14832</v>
      </c>
      <c r="AR7484" s="1" t="str">
        <f t="shared" si="472"/>
        <v>| [ㄐㄩㄥˇ](ㄐㄩㄥˇ.md) | [囧](囧.md) |  | jiǒng | [形]
光明、明亮。《玉篇．囧部》：「囧，大明也。」《文選．江淹．雜體詩．張廷尉》：「囧囧秋月明，憑軒詠堯老。」李善注引〈蒼頡篇〉：「囧，大明也。」 |</v>
      </c>
    </row>
    <row r="7485" spans="1:44" hidden="1">
      <c r="A7485" s="1" t="s">
        <v>14833</v>
      </c>
      <c r="C7485" s="1">
        <v>1</v>
      </c>
      <c r="D7485" s="1" t="str">
        <f>"06192"</f>
        <v>06192</v>
      </c>
      <c r="E7485" s="1" t="s">
        <v>129</v>
      </c>
      <c r="F7485" s="1">
        <v>8</v>
      </c>
      <c r="G7485" s="1">
        <v>5</v>
      </c>
      <c r="H7485" s="1">
        <v>0</v>
      </c>
      <c r="I7485" s="1" t="s">
        <v>14828</v>
      </c>
      <c r="K7485" s="1" t="str">
        <f t="shared" si="473"/>
        <v>ㄐ</v>
      </c>
      <c r="L7485" s="1" t="str">
        <f t="shared" si="474"/>
        <v>ㄩ</v>
      </c>
      <c r="M7485" s="1" t="str">
        <f t="shared" si="475"/>
        <v>ㄥ</v>
      </c>
      <c r="P7485" s="1" t="s">
        <v>20</v>
      </c>
      <c r="R7485" s="1" t="s">
        <v>14829</v>
      </c>
      <c r="V7485" s="1" t="s">
        <v>14834</v>
      </c>
      <c r="AR7485" s="1" t="str">
        <f t="shared" si="472"/>
        <v>| [ㄐㄩㄥˇ](ㄐㄩㄥˇ.md) | [泂](泂.md) |  | jiǒng | [形]
水深廣。《文選．郭璞．江賦》：「鼓帆迅越，䞟漲截泂。」唐．李善．注：「漲、泂皆深廣之貌。」
[副]
遠。通「迥」。《詩經．大雅．泂酌》：「泂酌彼行潦，挹彼注茲。」漢．毛亨．傳：「泂，遠也。」 |</v>
      </c>
    </row>
    <row r="7486" spans="1:44" hidden="1">
      <c r="A7486" s="1" t="s">
        <v>14835</v>
      </c>
      <c r="C7486" s="1">
        <v>1</v>
      </c>
      <c r="D7486" s="1" t="str">
        <f>"06193"</f>
        <v>06193</v>
      </c>
      <c r="E7486" s="1" t="s">
        <v>336</v>
      </c>
      <c r="F7486" s="1">
        <v>9</v>
      </c>
      <c r="G7486" s="1">
        <v>5</v>
      </c>
      <c r="H7486" s="1">
        <v>0</v>
      </c>
      <c r="I7486" s="1" t="s">
        <v>14828</v>
      </c>
      <c r="K7486" s="1" t="str">
        <f t="shared" si="473"/>
        <v>ㄐ</v>
      </c>
      <c r="L7486" s="1" t="str">
        <f t="shared" si="474"/>
        <v>ㄩ</v>
      </c>
      <c r="M7486" s="1" t="str">
        <f t="shared" si="475"/>
        <v>ㄥ</v>
      </c>
      <c r="P7486" s="1" t="s">
        <v>20</v>
      </c>
      <c r="R7486" s="1" t="s">
        <v>14829</v>
      </c>
      <c r="V7486" s="1" t="s">
        <v>14836</v>
      </c>
      <c r="AR7486" s="1" t="str">
        <f t="shared" si="472"/>
        <v>| [ㄐㄩㄥˇ](ㄐㄩㄥˇ.md) | [炯](炯.md) |  | jiǒng | [形]
1.光明的、明亮的。如：「目光炯炯」、「炯炯有神」。唐．柳宗元〈答吳武陵論非國語書〉：「一觀其文，心朗目舒，炯若深井之下，仰視白日之正中也。」宋．陸游〈雪中獨酌〉詩：「莫驚醉眼炯如電，假鉞猶堪行督戰。」
2.明白的、顯著的。《三國志．卷六五．吳書．賀邵傳》：「此當世之明鑒，目前之炯戒也。」 |</v>
      </c>
    </row>
    <row r="7487" spans="1:44" hidden="1">
      <c r="A7487" s="1" t="s">
        <v>14837</v>
      </c>
      <c r="C7487" s="1">
        <v>1</v>
      </c>
      <c r="D7487" s="1" t="str">
        <f>"06194"</f>
        <v>06194</v>
      </c>
      <c r="E7487" s="1" t="s">
        <v>558</v>
      </c>
      <c r="F7487" s="1">
        <v>9</v>
      </c>
      <c r="G7487" s="1">
        <v>5</v>
      </c>
      <c r="H7487" s="1">
        <v>0</v>
      </c>
      <c r="I7487" s="1" t="s">
        <v>14828</v>
      </c>
      <c r="K7487" s="1" t="str">
        <f t="shared" si="473"/>
        <v>ㄐ</v>
      </c>
      <c r="L7487" s="1" t="str">
        <f t="shared" si="474"/>
        <v>ㄩ</v>
      </c>
      <c r="M7487" s="1" t="str">
        <f t="shared" si="475"/>
        <v>ㄥ</v>
      </c>
      <c r="P7487" s="1" t="s">
        <v>20</v>
      </c>
      <c r="R7487" s="1" t="s">
        <v>14829</v>
      </c>
      <c r="V7487" s="1" t="s">
        <v>14838</v>
      </c>
      <c r="AR7487" s="1" t="str">
        <f t="shared" si="472"/>
        <v>| [ㄐㄩㄥˇ](ㄐㄩㄥˇ.md) | [迥](迥.md) |  | jiǒng | [形]
遼遠。《說文解字．辵部》：「迥，遠也。」唐．王勃〈滕王閣序〉：「天高地迥，覺宇宙之無窮。」
[副]
的確的、特別的。如：「迥然不同」。《程乙本紅樓夢》第五回：「小嬛捧上茶來，寶玉覺得香清味美，迥非凡品，因又問何名。」
[名]
郊野。通「坰」。南朝宋．鮑照〈蒜山被始興王命作〉詩：「升嶠眺日軏，臨迥望滄洲。」唐．李商隱〈行次西郊作一百韻〉：「常恐值荒迥，此輩還射人。」 |</v>
      </c>
    </row>
    <row r="7488" spans="1:44" hidden="1">
      <c r="A7488" s="1" t="s">
        <v>14822</v>
      </c>
      <c r="C7488" s="1">
        <v>1</v>
      </c>
      <c r="D7488" s="1" t="str">
        <f>"06195"</f>
        <v>06195</v>
      </c>
      <c r="E7488" s="1" t="s">
        <v>1252</v>
      </c>
      <c r="F7488" s="1">
        <v>9</v>
      </c>
      <c r="G7488" s="1">
        <v>5</v>
      </c>
      <c r="H7488" s="1">
        <v>2</v>
      </c>
      <c r="I7488" s="1" t="s">
        <v>14828</v>
      </c>
      <c r="K7488" s="1" t="str">
        <f t="shared" si="473"/>
        <v>ㄐ</v>
      </c>
      <c r="L7488" s="1" t="str">
        <f t="shared" si="474"/>
        <v>ㄩ</v>
      </c>
      <c r="M7488" s="1" t="str">
        <f t="shared" si="475"/>
        <v>ㄥ</v>
      </c>
      <c r="P7488" s="1" t="s">
        <v>20</v>
      </c>
      <c r="R7488" s="1" t="s">
        <v>14829</v>
      </c>
      <c r="V7488" s="1" t="s">
        <v>14839</v>
      </c>
      <c r="W7488" s="1" t="s">
        <v>14840</v>
      </c>
      <c r="AR7488" s="1" t="str">
        <f t="shared" si="472"/>
        <v>| [ㄐㄩㄥˇ](ㄐㄩㄥˇ.md) | [扃](扃.md) |  | jiǒng | 1.(一)之又音。
2.參見「扃扃」條。 |</v>
      </c>
    </row>
    <row r="7489" spans="1:44" hidden="1">
      <c r="A7489" s="1" t="s">
        <v>14841</v>
      </c>
      <c r="C7489" s="1">
        <v>1</v>
      </c>
      <c r="D7489" s="1" t="str">
        <f>"06196"</f>
        <v>06196</v>
      </c>
      <c r="E7489" s="1" t="s">
        <v>725</v>
      </c>
      <c r="F7489" s="1">
        <v>11</v>
      </c>
      <c r="G7489" s="1">
        <v>5</v>
      </c>
      <c r="H7489" s="1">
        <v>0</v>
      </c>
      <c r="I7489" s="1" t="s">
        <v>14828</v>
      </c>
      <c r="K7489" s="1" t="str">
        <f t="shared" si="473"/>
        <v>ㄐ</v>
      </c>
      <c r="L7489" s="1" t="str">
        <f t="shared" si="474"/>
        <v>ㄩ</v>
      </c>
      <c r="M7489" s="1" t="str">
        <f t="shared" si="475"/>
        <v>ㄥ</v>
      </c>
      <c r="P7489" s="1" t="s">
        <v>20</v>
      </c>
      <c r="R7489" s="1" t="s">
        <v>14829</v>
      </c>
      <c r="V7489" s="1" t="s">
        <v>14842</v>
      </c>
      <c r="AR7489" s="1" t="str">
        <f t="shared" si="472"/>
        <v>| [ㄐㄩㄥˇ](ㄐㄩㄥˇ.md) | [絅](絅.md) |  | jiǒng | [名]
單層的罩袍。《禮記．玉藻》：「襌為絅，帛為褶。」漢．鄭玄．注：「有衣裳而無裡。」 |</v>
      </c>
    </row>
    <row r="7490" spans="1:44" hidden="1">
      <c r="A7490" s="1" t="s">
        <v>10450</v>
      </c>
      <c r="C7490" s="1">
        <v>1</v>
      </c>
      <c r="D7490" s="1" t="str">
        <f>"06197"</f>
        <v>06197</v>
      </c>
      <c r="E7490" s="1" t="s">
        <v>336</v>
      </c>
      <c r="F7490" s="1">
        <v>8</v>
      </c>
      <c r="G7490" s="1">
        <v>4</v>
      </c>
      <c r="H7490" s="1">
        <v>1</v>
      </c>
      <c r="I7490" s="1" t="s">
        <v>14828</v>
      </c>
      <c r="K7490" s="1" t="str">
        <f t="shared" si="473"/>
        <v>ㄐ</v>
      </c>
      <c r="L7490" s="1" t="str">
        <f t="shared" si="474"/>
        <v>ㄩ</v>
      </c>
      <c r="M7490" s="1" t="str">
        <f t="shared" si="475"/>
        <v>ㄥ</v>
      </c>
      <c r="P7490" s="1" t="s">
        <v>20</v>
      </c>
      <c r="R7490" s="1" t="s">
        <v>14829</v>
      </c>
      <c r="V7490" s="1" t="s">
        <v>14843</v>
      </c>
      <c r="W7490" s="1" t="s">
        <v>14844</v>
      </c>
      <c r="AR7490" s="1" t="str">
        <f t="shared" si="472"/>
        <v>| [ㄐㄩㄥˇ](ㄐㄩㄥˇ.md) | [炅](炅.md) |  | jiǒng | [形]
光、光亮、明亮。《廣韻．上聲．迥韻》：「炅，光也。」唐．李白〈明堂賦〉：「熠乎碧光之堂，炅乎瓊華之室。」
[名]
熱。《黃帝內經素問．卷一一．舉痛論》：「卒然而痛，得炅則痛立止。」 |</v>
      </c>
    </row>
    <row r="7491" spans="1:44" hidden="1">
      <c r="A7491" s="1" t="s">
        <v>14767</v>
      </c>
      <c r="C7491" s="1">
        <v>1</v>
      </c>
      <c r="D7491" s="1" t="str">
        <f>"06198"</f>
        <v>06198</v>
      </c>
      <c r="E7491" s="1" t="s">
        <v>1274</v>
      </c>
      <c r="F7491" s="1">
        <v>12</v>
      </c>
      <c r="G7491" s="1">
        <v>7</v>
      </c>
      <c r="H7491" s="1">
        <v>1</v>
      </c>
      <c r="I7491" s="1" t="s">
        <v>14828</v>
      </c>
      <c r="K7491" s="1" t="str">
        <f t="shared" si="473"/>
        <v>ㄐ</v>
      </c>
      <c r="L7491" s="1" t="str">
        <f t="shared" si="474"/>
        <v>ㄩ</v>
      </c>
      <c r="M7491" s="1" t="str">
        <f t="shared" si="475"/>
        <v>ㄥ</v>
      </c>
      <c r="P7491" s="1" t="s">
        <v>20</v>
      </c>
      <c r="R7491" s="1" t="s">
        <v>14829</v>
      </c>
      <c r="V7491" s="1" t="s">
        <v>14845</v>
      </c>
      <c r="W7491" s="1" t="s">
        <v>14846</v>
      </c>
      <c r="AR7491" s="1" t="str">
        <f t="shared" ref="AR7491:AR7554" si="476">"| ["&amp;I7491&amp;"]("&amp;I7491&amp;".md) | ["&amp;A7491&amp;"]("&amp;A7491&amp;".md) | "&amp;" | "&amp;R7491&amp;" | "&amp;V7491&amp;" |"</f>
        <v>| [ㄐㄩㄥˇ](ㄐㄩㄥˇ.md) | [窘](窘.md) |  | jiǒng | [動]
困迫、受困。《說文解字．穴部》：「窘，迫也。」如：「這可把他窘住了。」《詩經．小雅．正月》：「終其永懷，又窘陰雨。」漢．毛亨．傳：「窘，困也。」《列子．黃帝》：「商丘開先窘於飢寒，潛於牖北聽之。」
[形]
困頓的、為難的。如：「窘境」、「窘色」、「窘態畢露」。
[副]
急。《漢書．卷九二．游俠傳．郭解傳》：「解使人微知賊處。賊窘自歸，具以實告解。」 |</v>
      </c>
    </row>
    <row r="7492" spans="1:44" hidden="1">
      <c r="A7492" s="1" t="s">
        <v>14847</v>
      </c>
      <c r="C7492" s="1">
        <v>1</v>
      </c>
      <c r="D7492" s="1" t="str">
        <f>"06199"</f>
        <v>06199</v>
      </c>
      <c r="E7492" s="1" t="s">
        <v>336</v>
      </c>
      <c r="F7492" s="1">
        <v>15</v>
      </c>
      <c r="G7492" s="1">
        <v>11</v>
      </c>
      <c r="H7492" s="1">
        <v>0</v>
      </c>
      <c r="I7492" s="1" t="s">
        <v>14828</v>
      </c>
      <c r="K7492" s="1" t="str">
        <f t="shared" ref="K7492:K7555" si="477">LEFT(I7492, 1)</f>
        <v>ㄐ</v>
      </c>
      <c r="L7492" s="1" t="str">
        <f t="shared" ref="L7492:L7555" si="478">MID(I7492, 2, 1)</f>
        <v>ㄩ</v>
      </c>
      <c r="M7492" s="1" t="str">
        <f t="shared" si="475"/>
        <v>ㄥ</v>
      </c>
      <c r="P7492" s="1" t="s">
        <v>20</v>
      </c>
      <c r="R7492" s="1" t="s">
        <v>14829</v>
      </c>
      <c r="V7492" s="1" t="s">
        <v>14848</v>
      </c>
      <c r="AR7492" s="1" t="str">
        <f t="shared" si="476"/>
        <v>| [ㄐㄩㄥˇ](ㄐㄩㄥˇ.md) | [熲](熲.md) |  | jiǒng | [名]
火光。《說文解字．火部》：「熲，火光也。」《詩經．小雅．無將大車》：「無思百憂，不出于熲。」 |</v>
      </c>
    </row>
    <row r="7493" spans="1:44" hidden="1">
      <c r="A7493" s="1" t="s">
        <v>14849</v>
      </c>
      <c r="C7493" s="1">
        <v>1</v>
      </c>
      <c r="D7493" s="1" t="str">
        <f>"06200"</f>
        <v>06200</v>
      </c>
      <c r="E7493" s="1" t="s">
        <v>340</v>
      </c>
      <c r="F7493" s="1">
        <v>16</v>
      </c>
      <c r="G7493" s="1">
        <v>10</v>
      </c>
      <c r="H7493" s="1">
        <v>0</v>
      </c>
      <c r="I7493" s="1" t="s">
        <v>14828</v>
      </c>
      <c r="K7493" s="1" t="str">
        <f t="shared" si="477"/>
        <v>ㄐ</v>
      </c>
      <c r="L7493" s="1" t="str">
        <f t="shared" si="478"/>
        <v>ㄩ</v>
      </c>
      <c r="M7493" s="1" t="str">
        <f t="shared" si="475"/>
        <v>ㄥ</v>
      </c>
      <c r="P7493" s="1" t="s">
        <v>20</v>
      </c>
      <c r="R7493" s="1" t="s">
        <v>14829</v>
      </c>
      <c r="V7493" s="1" t="s">
        <v>14850</v>
      </c>
      <c r="AR7493" s="1" t="str">
        <f t="shared" si="476"/>
        <v>| [ㄐㄩㄥˇ](ㄐㄩㄥˇ.md) | [褧](褧.md) |  | jiǒng | [名]
用麻或細紗縫製而成的單衫，套在衣服最外層以避塵土。唐．張祜〈雉朝飛操〉詩：「朱冠錦襦聊日整，漠漠霧中如衣褧。」 |</v>
      </c>
    </row>
    <row r="7494" spans="1:44" hidden="1">
      <c r="A7494" s="1" t="s">
        <v>13094</v>
      </c>
      <c r="C7494" s="1">
        <v>1</v>
      </c>
      <c r="D7494" s="1" t="str">
        <f>"05415"</f>
        <v>05415</v>
      </c>
      <c r="E7494" s="1" t="s">
        <v>6976</v>
      </c>
      <c r="F7494" s="1">
        <v>3</v>
      </c>
      <c r="G7494" s="1">
        <v>0</v>
      </c>
      <c r="H7494" s="1">
        <v>0</v>
      </c>
      <c r="I7494" s="1" t="s">
        <v>13095</v>
      </c>
      <c r="K7494" s="1" t="str">
        <f t="shared" si="477"/>
        <v>ㄐ</v>
      </c>
      <c r="L7494" s="1" t="str">
        <f t="shared" si="478"/>
        <v>ㄧ</v>
      </c>
      <c r="N7494" s="3" t="s">
        <v>30574</v>
      </c>
      <c r="O7494" s="3"/>
      <c r="P7494" s="1" t="s">
        <v>20</v>
      </c>
      <c r="R7494" s="1" t="s">
        <v>13096</v>
      </c>
      <c r="V7494" s="1" t="s">
        <v>13097</v>
      </c>
      <c r="AR7494" s="1" t="str">
        <f t="shared" si="476"/>
        <v>| [ㄐㄧˋ](ㄐㄧˋ.md) | [彐](彐.md) |  | jì | [名]
1.豬頭。《說文解字．〇部》：「彐，豕之頭。」
2.二一四部首之一。 |</v>
      </c>
    </row>
    <row r="7495" spans="1:44" hidden="1">
      <c r="A7495" s="1" t="s">
        <v>13098</v>
      </c>
      <c r="C7495" s="1">
        <v>1</v>
      </c>
      <c r="D7495" s="1" t="str">
        <f>"05416"</f>
        <v>05416</v>
      </c>
      <c r="E7495" s="1" t="s">
        <v>13099</v>
      </c>
      <c r="F7495" s="1">
        <v>4</v>
      </c>
      <c r="G7495" s="1">
        <v>0</v>
      </c>
      <c r="H7495" s="1">
        <v>0</v>
      </c>
      <c r="I7495" s="1" t="s">
        <v>13095</v>
      </c>
      <c r="K7495" s="1" t="str">
        <f t="shared" si="477"/>
        <v>ㄐ</v>
      </c>
      <c r="L7495" s="1" t="str">
        <f t="shared" si="478"/>
        <v>ㄧ</v>
      </c>
      <c r="N7495" s="3" t="s">
        <v>30574</v>
      </c>
      <c r="O7495" s="3"/>
      <c r="P7495" s="1" t="s">
        <v>20</v>
      </c>
      <c r="R7495" s="1" t="s">
        <v>13096</v>
      </c>
      <c r="V7495" s="1" t="s">
        <v>13100</v>
      </c>
      <c r="AR7495" s="1" t="str">
        <f t="shared" si="476"/>
        <v>| [ㄐㄧˋ](ㄐㄧˋ.md) | [旡](旡.md) |  | jì | [動]
飲食氣逆無法喘息。《說文解字．󹿠部》：「旡，飲食气逆不得息曰旡。」 |</v>
      </c>
    </row>
    <row r="7496" spans="1:44" hidden="1">
      <c r="A7496" s="1" t="s">
        <v>13101</v>
      </c>
      <c r="C7496" s="1">
        <v>1</v>
      </c>
      <c r="D7496" s="1" t="str">
        <f>"05417"</f>
        <v>05417</v>
      </c>
      <c r="E7496" s="1" t="s">
        <v>13099</v>
      </c>
      <c r="F7496" s="1">
        <v>9</v>
      </c>
      <c r="G7496" s="1">
        <v>5</v>
      </c>
      <c r="H7496" s="1">
        <v>0</v>
      </c>
      <c r="I7496" s="1" t="s">
        <v>13095</v>
      </c>
      <c r="K7496" s="1" t="str">
        <f t="shared" si="477"/>
        <v>ㄐ</v>
      </c>
      <c r="L7496" s="1" t="str">
        <f t="shared" si="478"/>
        <v>ㄧ</v>
      </c>
      <c r="N7496" s="3" t="s">
        <v>30574</v>
      </c>
      <c r="O7496" s="3"/>
      <c r="P7496" s="1" t="s">
        <v>20</v>
      </c>
      <c r="R7496" s="1" t="s">
        <v>13096</v>
      </c>
      <c r="V7496" s="1" t="s">
        <v>13102</v>
      </c>
      <c r="AR7496" s="1" t="str">
        <f t="shared" si="476"/>
        <v>| [ㄐㄧˋ](ㄐㄧˋ.md) | [既](既.md) |  | jì | [副]
1.已經。《論語．先進》：「春服既成。」《孟子．梁惠王上》：「兵刃既接。」
2.盡、全部。《左傳．僖公二十二年》：「及其未既濟也。」《國語．齊語》：「故拘之以利，結之以信，示之以武，故天下小國諸侯既許桓公，莫之敢背。」
3.不久。《左傳．文公元年》：「既又欲立王子職，而黜太子商臣。」
[連]
1.已經、既然，表前後情況有連帶關係。常與「就」或「則」連用。《論語．季氏》：「既來之，則安之。」
2.表示並列的連接詞。與「且」、「又」、「也」等詞連用。如：「既醉且飽」、「既要愛情，也要麵包。」《孟子．離婁上》：「既不能令，又不受命，是絕物也。」元．鍾嗣成〈一枝花．生居天地間套．收尾〉：「既通儒，又通吏。」
[名]
姓。如漢代有既良。 |</v>
      </c>
    </row>
    <row r="7497" spans="1:44" hidden="1">
      <c r="A7497" s="1" t="s">
        <v>13103</v>
      </c>
      <c r="C7497" s="1">
        <v>1</v>
      </c>
      <c r="D7497" s="1" t="str">
        <f>"05418"</f>
        <v>05418</v>
      </c>
      <c r="E7497" s="1" t="s">
        <v>132</v>
      </c>
      <c r="F7497" s="1">
        <v>12</v>
      </c>
      <c r="G7497" s="1">
        <v>9</v>
      </c>
      <c r="H7497" s="1">
        <v>1</v>
      </c>
      <c r="I7497" s="1" t="s">
        <v>13095</v>
      </c>
      <c r="K7497" s="1" t="str">
        <f t="shared" si="477"/>
        <v>ㄐ</v>
      </c>
      <c r="L7497" s="1" t="str">
        <f t="shared" si="478"/>
        <v>ㄧ</v>
      </c>
      <c r="N7497" s="3" t="s">
        <v>30574</v>
      </c>
      <c r="O7497" s="3"/>
      <c r="P7497" s="1" t="s">
        <v>20</v>
      </c>
      <c r="R7497" s="1" t="s">
        <v>13096</v>
      </c>
      <c r="V7497" s="1" t="s">
        <v>13104</v>
      </c>
      <c r="W7497" s="1" t="s">
        <v>13105</v>
      </c>
      <c r="AR7497" s="1" t="str">
        <f t="shared" si="476"/>
        <v>| [ㄐㄧˋ](ㄐㄧˋ.md) | [塈](塈.md) |  | jì | [動]
1.塗抹屋頂。《書經．梓材》：「若作室家，既勤垣墉，惟其塗塈茨。」宋．陸游〈排悶〉詩：「荒疇須墾闢，破屋欠塗塈。」
2.取。《詩經．召南．摽有梅》：「摽有梅，頃筐塈之。」
3.安息、休息。《詩經．大雅．假樂》：「不解于位，民之攸塈。」 |</v>
      </c>
    </row>
    <row r="7498" spans="1:44" hidden="1">
      <c r="A7498" s="1" t="s">
        <v>13106</v>
      </c>
      <c r="C7498" s="1">
        <v>1</v>
      </c>
      <c r="D7498" s="1" t="str">
        <f>"05419"</f>
        <v>05419</v>
      </c>
      <c r="E7498" s="1" t="s">
        <v>37</v>
      </c>
      <c r="F7498" s="1">
        <v>13</v>
      </c>
      <c r="G7498" s="1">
        <v>9</v>
      </c>
      <c r="H7498" s="1">
        <v>0</v>
      </c>
      <c r="I7498" s="1" t="s">
        <v>13095</v>
      </c>
      <c r="K7498" s="1" t="str">
        <f t="shared" si="477"/>
        <v>ㄐ</v>
      </c>
      <c r="L7498" s="1" t="str">
        <f t="shared" si="478"/>
        <v>ㄧ</v>
      </c>
      <c r="N7498" s="3" t="s">
        <v>30574</v>
      </c>
      <c r="O7498" s="3"/>
      <c r="P7498" s="1" t="s">
        <v>20</v>
      </c>
      <c r="R7498" s="1" t="s">
        <v>13096</v>
      </c>
      <c r="V7498" s="1" t="s">
        <v>13107</v>
      </c>
      <c r="AR7498" s="1" t="str">
        <f t="shared" si="476"/>
        <v>| [ㄐㄧˋ](ㄐㄧˋ.md) | [蔇](蔇.md) |  | jì | [形]
雜草叢生。《說文解字．艸部》：「蔇，艸多貌。」
[動]
來、至。《左傳．隱公六年》：「善鄭以勸來者，猶懼不蔇，況不禮焉？」《金史．卷四六．食貨志一》：「動以王爵固結其心，重爵不蔇，則以國姓賜之。」 |</v>
      </c>
    </row>
    <row r="7499" spans="1:44" hidden="1">
      <c r="A7499" s="1" t="s">
        <v>13108</v>
      </c>
      <c r="C7499" s="1">
        <v>1</v>
      </c>
      <c r="D7499" s="1" t="str">
        <f>"05420"</f>
        <v>05420</v>
      </c>
      <c r="E7499" s="1" t="s">
        <v>429</v>
      </c>
      <c r="F7499" s="1">
        <v>14</v>
      </c>
      <c r="G7499" s="1">
        <v>9</v>
      </c>
      <c r="H7499" s="1">
        <v>0</v>
      </c>
      <c r="I7499" s="1" t="s">
        <v>13095</v>
      </c>
      <c r="K7499" s="1" t="str">
        <f t="shared" si="477"/>
        <v>ㄐ</v>
      </c>
      <c r="L7499" s="1" t="str">
        <f t="shared" si="478"/>
        <v>ㄧ</v>
      </c>
      <c r="N7499" s="3" t="s">
        <v>30574</v>
      </c>
      <c r="O7499" s="3"/>
      <c r="P7499" s="1" t="s">
        <v>20</v>
      </c>
      <c r="R7499" s="1" t="s">
        <v>13096</v>
      </c>
      <c r="V7499" s="1" t="s">
        <v>13109</v>
      </c>
      <c r="AR7499" s="1" t="str">
        <f t="shared" si="476"/>
        <v>| [ㄐㄧˋ](ㄐㄧˋ.md) | [穊](穊.md) |  | jì | [副]
禾稻種得很密。《漢書．卷三八．齊悼惠王子傳》：「深耕穊種，立苗欲疏。」 |</v>
      </c>
    </row>
    <row r="7500" spans="1:44" hidden="1">
      <c r="A7500" s="1" t="s">
        <v>13110</v>
      </c>
      <c r="C7500" s="1">
        <v>1</v>
      </c>
      <c r="D7500" s="1" t="str">
        <f>"05421"</f>
        <v>05421</v>
      </c>
      <c r="E7500" s="1" t="s">
        <v>646</v>
      </c>
      <c r="F7500" s="1">
        <v>14</v>
      </c>
      <c r="G7500" s="1">
        <v>10</v>
      </c>
      <c r="H7500" s="1">
        <v>0</v>
      </c>
      <c r="I7500" s="1" t="s">
        <v>13095</v>
      </c>
      <c r="K7500" s="1" t="str">
        <f t="shared" si="477"/>
        <v>ㄐ</v>
      </c>
      <c r="L7500" s="1" t="str">
        <f t="shared" si="478"/>
        <v>ㄧ</v>
      </c>
      <c r="N7500" s="3" t="s">
        <v>30574</v>
      </c>
      <c r="O7500" s="3"/>
      <c r="P7500" s="1" t="s">
        <v>20</v>
      </c>
      <c r="R7500" s="1" t="s">
        <v>13096</v>
      </c>
      <c r="V7500" s="1" t="s">
        <v>13111</v>
      </c>
      <c r="AR7500" s="1" t="str">
        <f t="shared" si="476"/>
        <v>| [ㄐㄧˋ](ㄐㄧˋ.md) | [暨](暨.md) |  | jì | [動]
至、及。南朝梁．劉勰《文心雕龍．明詩》：「自商暨周，雅頌圓備。」《宋書．卷六七．謝靈運傳．史臣曰》：「自建武暨乎義熙。」
[連]
與、及、和。如：「歡迎董事長暨夫人蒞臨指導。」《史記．卷六．秦始皇本紀》：「地東至海暨朝鮮。」
[名]
姓。如宋代有暨陶。 |</v>
      </c>
    </row>
    <row r="7501" spans="1:44" hidden="1">
      <c r="A7501" s="1" t="s">
        <v>13112</v>
      </c>
      <c r="C7501" s="1">
        <v>1</v>
      </c>
      <c r="D7501" s="1" t="str">
        <f>"05422"</f>
        <v>05422</v>
      </c>
      <c r="E7501" s="1" t="s">
        <v>114</v>
      </c>
      <c r="F7501" s="1">
        <v>6</v>
      </c>
      <c r="G7501" s="1">
        <v>4</v>
      </c>
      <c r="H7501" s="1">
        <v>0</v>
      </c>
      <c r="I7501" s="1" t="s">
        <v>13095</v>
      </c>
      <c r="K7501" s="1" t="str">
        <f t="shared" si="477"/>
        <v>ㄐ</v>
      </c>
      <c r="L7501" s="1" t="str">
        <f t="shared" si="478"/>
        <v>ㄧ</v>
      </c>
      <c r="N7501" s="3" t="s">
        <v>30574</v>
      </c>
      <c r="O7501" s="3"/>
      <c r="P7501" s="1" t="s">
        <v>20</v>
      </c>
      <c r="R7501" s="1" t="s">
        <v>13096</v>
      </c>
      <c r="V7501" s="1" t="s">
        <v>13113</v>
      </c>
      <c r="AR7501" s="1" t="str">
        <f t="shared" si="476"/>
        <v>| [ㄐㄧˋ](ㄐㄧˋ.md) | [伎](伎.md) |  | jì | [名]_x000D_
1.技藝、才能。通「技」。《書經．秦誓》：「如有一介臣斷斷猗，無他伎，其心休休焉，其如有容。」《新唐書．卷一四一．列傳．衞伯玉》：「少習武伎。」_x000D_
2.古代稱以歌舞娛樂賓客為業的女子。五代十國．毛熙震〈後庭花．輕盈舞伎含芳豔〉詞：「輕盈舞伎含芳豔，競妝新臉。」也作「妓」。 |</v>
      </c>
    </row>
    <row r="7502" spans="1:44" hidden="1">
      <c r="A7502" s="1" t="s">
        <v>13114</v>
      </c>
      <c r="C7502" s="1">
        <v>1</v>
      </c>
      <c r="D7502" s="1" t="str">
        <f>"05423"</f>
        <v>05423</v>
      </c>
      <c r="E7502" s="1" t="s">
        <v>24</v>
      </c>
      <c r="F7502" s="1">
        <v>7</v>
      </c>
      <c r="G7502" s="1">
        <v>4</v>
      </c>
      <c r="H7502" s="1">
        <v>0</v>
      </c>
      <c r="I7502" s="1" t="s">
        <v>13095</v>
      </c>
      <c r="K7502" s="1" t="str">
        <f t="shared" si="477"/>
        <v>ㄐ</v>
      </c>
      <c r="L7502" s="1" t="str">
        <f t="shared" si="478"/>
        <v>ㄧ</v>
      </c>
      <c r="N7502" s="3" t="s">
        <v>30574</v>
      </c>
      <c r="O7502" s="3"/>
      <c r="P7502" s="1" t="s">
        <v>20</v>
      </c>
      <c r="R7502" s="1" t="s">
        <v>13096</v>
      </c>
      <c r="V7502" s="1" t="s">
        <v>13115</v>
      </c>
      <c r="AR7502" s="1" t="str">
        <f t="shared" si="476"/>
        <v>| [ㄐㄧˋ](ㄐㄧˋ.md) | [技](技.md) |  | jì | [名]
1.才藝，專門的本領。如：「演技」、「絕技」、「雜技」、「口技」、「一技之長」。
2.工匠。《荀子．富國》：「故百技所成，所以養一人也。」 |</v>
      </c>
    </row>
    <row r="7503" spans="1:44" hidden="1">
      <c r="A7503" s="1" t="s">
        <v>13116</v>
      </c>
      <c r="C7503" s="1">
        <v>1</v>
      </c>
      <c r="D7503" s="1" t="str">
        <f>"05424"</f>
        <v>05424</v>
      </c>
      <c r="E7503" s="1" t="s">
        <v>534</v>
      </c>
      <c r="F7503" s="1">
        <v>7</v>
      </c>
      <c r="G7503" s="1">
        <v>4</v>
      </c>
      <c r="H7503" s="1">
        <v>0</v>
      </c>
      <c r="I7503" s="1" t="s">
        <v>13095</v>
      </c>
      <c r="K7503" s="1" t="str">
        <f t="shared" si="477"/>
        <v>ㄐ</v>
      </c>
      <c r="L7503" s="1" t="str">
        <f t="shared" si="478"/>
        <v>ㄧ</v>
      </c>
      <c r="N7503" s="3" t="s">
        <v>30574</v>
      </c>
      <c r="O7503" s="3"/>
      <c r="P7503" s="1" t="s">
        <v>20</v>
      </c>
      <c r="R7503" s="1" t="s">
        <v>13096</v>
      </c>
      <c r="V7503" s="1" t="s">
        <v>13117</v>
      </c>
      <c r="AR7503" s="1" t="str">
        <f t="shared" si="476"/>
        <v>| [ㄐㄧˋ](ㄐㄧˋ.md) | [妓](妓.md) |  | jì | [名]_x000D_
1.古代以歌舞娛樂賓客的女子。如：「歌妓」、「舞妓」、「藝妓」。《洛陽伽藍記．卷四．法雲寺》：「妓女三百人，盡皆國色。」元．劉時中〈端正好．眾生靈套．塞鴻秋〉曲：「一家家傾銀注玉多豪富，一個個烹羊挾妓誇風度。」_x000D_
2.今專指提供性服務以獲取報酬的人。 |</v>
      </c>
    </row>
    <row r="7504" spans="1:44" hidden="1">
      <c r="A7504" s="1" t="s">
        <v>13118</v>
      </c>
      <c r="C7504" s="1">
        <v>1</v>
      </c>
      <c r="D7504" s="1" t="str">
        <f>"05425"</f>
        <v>05425</v>
      </c>
      <c r="E7504" s="1" t="s">
        <v>37</v>
      </c>
      <c r="F7504" s="1">
        <v>8</v>
      </c>
      <c r="G7504" s="1">
        <v>4</v>
      </c>
      <c r="H7504" s="1">
        <v>0</v>
      </c>
      <c r="I7504" s="1" t="s">
        <v>13095</v>
      </c>
      <c r="K7504" s="1" t="str">
        <f t="shared" si="477"/>
        <v>ㄐ</v>
      </c>
      <c r="L7504" s="1" t="str">
        <f t="shared" si="478"/>
        <v>ㄧ</v>
      </c>
      <c r="N7504" s="3" t="s">
        <v>30574</v>
      </c>
      <c r="O7504" s="3"/>
      <c r="P7504" s="1" t="s">
        <v>20</v>
      </c>
      <c r="R7504" s="1" t="s">
        <v>13096</v>
      </c>
      <c r="V7504" s="1" t="s">
        <v>13119</v>
      </c>
      <c r="AR7504" s="1" t="str">
        <f t="shared" si="476"/>
        <v>| [ㄐㄧˋ](ㄐㄧˋ.md) | [芰](芰.md) |  | jì | [名]
菱。《文選．陸韓卿．奉答內兄希叔詩》：「鳧鵠嘯儔侶，荷芰始參差。」宋．歐陽修〈采桑子．殘霞〉詞：「蓮芰香清，水面風來酒面醒。」 |</v>
      </c>
    </row>
    <row r="7505" spans="1:44" hidden="1">
      <c r="A7505" s="1" t="s">
        <v>13120</v>
      </c>
      <c r="C7505" s="1">
        <v>1</v>
      </c>
      <c r="D7505" s="1" t="str">
        <f>"05426"</f>
        <v>05426</v>
      </c>
      <c r="E7505" s="1" t="s">
        <v>83</v>
      </c>
      <c r="F7505" s="1">
        <v>14</v>
      </c>
      <c r="G7505" s="1">
        <v>4</v>
      </c>
      <c r="H7505" s="1">
        <v>0</v>
      </c>
      <c r="I7505" s="1" t="s">
        <v>13095</v>
      </c>
      <c r="K7505" s="1" t="str">
        <f t="shared" si="477"/>
        <v>ㄐ</v>
      </c>
      <c r="L7505" s="1" t="str">
        <f t="shared" si="478"/>
        <v>ㄧ</v>
      </c>
      <c r="N7505" s="3" t="s">
        <v>30574</v>
      </c>
      <c r="O7505" s="3"/>
      <c r="P7505" s="1" t="s">
        <v>20</v>
      </c>
      <c r="R7505" s="1" t="s">
        <v>13096</v>
      </c>
      <c r="V7505" s="1" t="s">
        <v>13121</v>
      </c>
      <c r="AR7505" s="1" t="str">
        <f t="shared" si="476"/>
        <v>| [ㄐㄧˋ](ㄐㄧˋ.md) | [鬾](鬾.md) |  | jì | [名]
1.鬼服。《說文解字．鬼部》：「鬾，鬼服也。」
2.小孩子鬼。《說文解字．鬼部》：「鬾，一曰小兒鬼。」 |</v>
      </c>
    </row>
    <row r="7506" spans="1:44" hidden="1">
      <c r="A7506" s="1" t="s">
        <v>13122</v>
      </c>
      <c r="C7506" s="1">
        <v>1</v>
      </c>
      <c r="D7506" s="1" t="str">
        <f>"05427"</f>
        <v>05427</v>
      </c>
      <c r="E7506" s="1" t="s">
        <v>250</v>
      </c>
      <c r="F7506" s="1">
        <v>7</v>
      </c>
      <c r="G7506" s="1">
        <v>3</v>
      </c>
      <c r="H7506" s="1">
        <v>0</v>
      </c>
      <c r="I7506" s="1" t="s">
        <v>13095</v>
      </c>
      <c r="K7506" s="1" t="str">
        <f t="shared" si="477"/>
        <v>ㄐ</v>
      </c>
      <c r="L7506" s="1" t="str">
        <f t="shared" si="478"/>
        <v>ㄧ</v>
      </c>
      <c r="N7506" s="3" t="s">
        <v>30574</v>
      </c>
      <c r="O7506" s="3"/>
      <c r="P7506" s="1" t="s">
        <v>20</v>
      </c>
      <c r="R7506" s="1" t="s">
        <v>13096</v>
      </c>
      <c r="V7506" s="1" t="s">
        <v>13123</v>
      </c>
      <c r="AR7506" s="1" t="str">
        <f t="shared" si="476"/>
        <v>| [ㄐㄧˋ](ㄐㄧˋ.md) | [忌](忌.md) |  | jì | [動]
1.憎惡、妒恨。如：「妒忌」、「猜忌」。《文選．李康．運命論》：「以仲尼之謙也，而見忌於子西。」
2.怕、畏懼。如：「顧忌」、「肆無忌憚」。《左傳．昭公六年》：「民知有辟，則不忌於上。」
3.禁戒。如：「忌諱」、「忌嘴」、「忌酒」、「生冷不忌」。
[形]
善妒的。《南史．卷四九．劉峻傳》：「峻自序云：『敬通有忌妻，至于身操井臼。』」
[名]
1.親喪之日稱為「忌」。參見「忌日」、「忌辰」等條。
2.該禁戒的事。如：「犯口忌」。 |</v>
      </c>
    </row>
    <row r="7507" spans="1:44" hidden="1">
      <c r="A7507" s="1" t="s">
        <v>13065</v>
      </c>
      <c r="C7507" s="1">
        <v>1</v>
      </c>
      <c r="D7507" s="1" t="str">
        <f>"05428"</f>
        <v>05428</v>
      </c>
      <c r="E7507" s="1" t="s">
        <v>725</v>
      </c>
      <c r="F7507" s="1">
        <v>9</v>
      </c>
      <c r="G7507" s="1">
        <v>3</v>
      </c>
      <c r="H7507" s="1">
        <v>1</v>
      </c>
      <c r="I7507" s="1" t="s">
        <v>13095</v>
      </c>
      <c r="K7507" s="1" t="str">
        <f t="shared" si="477"/>
        <v>ㄐ</v>
      </c>
      <c r="L7507" s="1" t="str">
        <f t="shared" si="478"/>
        <v>ㄧ</v>
      </c>
      <c r="N7507" s="3" t="s">
        <v>30574</v>
      </c>
      <c r="O7507" s="3"/>
      <c r="P7507" s="1" t="s">
        <v>20</v>
      </c>
      <c r="R7507" s="1" t="s">
        <v>13096</v>
      </c>
      <c r="V7507" s="1" t="s">
        <v>13124</v>
      </c>
      <c r="W7507" s="1" t="s">
        <v>13125</v>
      </c>
      <c r="AR7507" s="1" t="str">
        <f t="shared" si="476"/>
        <v>| [ㄐㄧˋ](ㄐㄧˋ.md) | [紀](紀.md) |  | jì | [名]
1.絲的頭緒、條理。《禮記．禮器》：「紀散而眾亂。」《淮南子．泰族》：「繭之性為絲，然非得工女煮以熱湯，而抽其統紀，則不能成絲。」
2.法度、準則。如：「紀律」、「風紀」、「綱紀」、「違法亂紀」。《文選．揚雄．解嘲》：「吾聞上世之士，人綱人紀，不生則已，生必上尊人君，下榮父母。」
3.本紀的簡稱。為史書紀傳體體例之一，專記古帝王的行蹟。如：「五帝紀」、「始皇紀」。
4.古代以十二年為一紀，今以百年為一世紀。唐．李商隱〈馬嵬〉詩：「如何四紀為天子，不及盧家有莫愁。」
5.地質年代分期的單位。如：「寒武紀」、「侏羅紀」。
6.姓。如漢代有紀信，清代有紀盷。
[動]
1.治理、綜理。如：「經紀」。《國語．晉語四》：「禮以紀政。」
2.記載、記錄。通「記」。南朝梁．蕭統〈文選序〉：「若其紀一事，詠一物。」 |</v>
      </c>
    </row>
    <row r="7508" spans="1:44" hidden="1">
      <c r="A7508" s="1" t="s">
        <v>13126</v>
      </c>
      <c r="C7508" s="1">
        <v>1</v>
      </c>
      <c r="D7508" s="1" t="str">
        <f>"05429"</f>
        <v>05429</v>
      </c>
      <c r="E7508" s="1" t="s">
        <v>331</v>
      </c>
      <c r="F7508" s="1">
        <v>10</v>
      </c>
      <c r="G7508" s="1">
        <v>3</v>
      </c>
      <c r="H7508" s="1">
        <v>0</v>
      </c>
      <c r="I7508" s="1" t="s">
        <v>13095</v>
      </c>
      <c r="K7508" s="1" t="str">
        <f t="shared" si="477"/>
        <v>ㄐ</v>
      </c>
      <c r="L7508" s="1" t="str">
        <f t="shared" si="478"/>
        <v>ㄧ</v>
      </c>
      <c r="N7508" s="3" t="s">
        <v>30574</v>
      </c>
      <c r="O7508" s="3"/>
      <c r="P7508" s="1" t="s">
        <v>20</v>
      </c>
      <c r="R7508" s="1" t="s">
        <v>13096</v>
      </c>
      <c r="V7508" s="1" t="s">
        <v>13127</v>
      </c>
      <c r="AR7508" s="1" t="str">
        <f t="shared" si="476"/>
        <v>| [ㄐㄧˋ](ㄐㄧˋ.md) | [記](記.md) |  | jì | [動]
1.載錄。如：「登記」、「附記」。宋．范仲淹〈岳陽樓記〉：「刻唐賢今人詩賦於其上，屬予作文以記之。」
2.將事物印象留在腦海中。如：「記住」、「忘記」、「惦記」。宋．周邦彥〈西河．佳麗地〉詞：「佳麗地，南朝盛事誰記？」
[名]
1.記載事物的書籍或文字。如：「日記」、「筆記」、「札記」、「遊記」。
2.文體名。一種以敘事為主的文體。明．吳訥《文章辨體序說．記》：「大抵記者，蓋所以備忘。……敘事之後，略作議論以結之，此為正體。」如唐代柳宗元作〈永州八記〉，宋代范仲淹作〈岳陽樓記〉。
3.標幟或符號。如：「圖記」、「暗記」、「戳記」。
4.量詞。計算敲擊次數的單位。如：「一記悶棍」、「給你一記右勾拳。」 |</v>
      </c>
    </row>
    <row r="7509" spans="1:44" hidden="1">
      <c r="A7509" s="1" t="s">
        <v>13128</v>
      </c>
      <c r="C7509" s="1">
        <v>1</v>
      </c>
      <c r="D7509" s="1" t="str">
        <f>"05430"</f>
        <v>05430</v>
      </c>
      <c r="E7509" s="1" t="s">
        <v>331</v>
      </c>
      <c r="F7509" s="1">
        <v>14</v>
      </c>
      <c r="G7509" s="1">
        <v>7</v>
      </c>
      <c r="H7509" s="1">
        <v>0</v>
      </c>
      <c r="I7509" s="1" t="s">
        <v>13095</v>
      </c>
      <c r="K7509" s="1" t="str">
        <f t="shared" si="477"/>
        <v>ㄐ</v>
      </c>
      <c r="L7509" s="1" t="str">
        <f t="shared" si="478"/>
        <v>ㄧ</v>
      </c>
      <c r="N7509" s="3" t="s">
        <v>30574</v>
      </c>
      <c r="O7509" s="3"/>
      <c r="P7509" s="1" t="s">
        <v>20</v>
      </c>
      <c r="R7509" s="1" t="s">
        <v>13096</v>
      </c>
      <c r="V7509" s="1" t="s">
        <v>13129</v>
      </c>
      <c r="AR7509" s="1" t="str">
        <f t="shared" si="476"/>
        <v>| [ㄐㄧˋ](ㄐㄧˋ.md) | [誋](誋.md) |  | jì | [動]
1.告誡。《說文解字．言部》：「誋，誡也。」《淮南子．繆稱》：「目之精者，可以消澤而不可以昭誋。」漢．高誘．注：「誋，誡也，不可以教導戒人。」
2.禁忌。《玉篇．言部》：「誋，禁也。」 |</v>
      </c>
    </row>
    <row r="7510" spans="1:44" hidden="1">
      <c r="A7510" s="1" t="s">
        <v>13130</v>
      </c>
      <c r="C7510" s="1">
        <v>1</v>
      </c>
      <c r="D7510" s="1" t="str">
        <f>"05431"</f>
        <v>05431</v>
      </c>
      <c r="E7510" s="1" t="s">
        <v>77</v>
      </c>
      <c r="F7510" s="1">
        <v>14</v>
      </c>
      <c r="G7510" s="1">
        <v>7</v>
      </c>
      <c r="H7510" s="1">
        <v>0</v>
      </c>
      <c r="I7510" s="1" t="s">
        <v>13095</v>
      </c>
      <c r="K7510" s="1" t="str">
        <f t="shared" si="477"/>
        <v>ㄐ</v>
      </c>
      <c r="L7510" s="1" t="str">
        <f t="shared" si="478"/>
        <v>ㄧ</v>
      </c>
      <c r="N7510" s="3" t="s">
        <v>30574</v>
      </c>
      <c r="O7510" s="3"/>
      <c r="P7510" s="1" t="s">
        <v>20</v>
      </c>
      <c r="R7510" s="1" t="s">
        <v>13096</v>
      </c>
      <c r="V7510" s="1" t="s">
        <v>13131</v>
      </c>
      <c r="AR7510" s="1" t="str">
        <f t="shared" si="476"/>
        <v>| [ㄐㄧˋ](ㄐㄧˋ.md) | [跽](跽.md) |  | jì | [動]
長跪。古人以兩膝著地，坐在腳跟上為「坐」；直身而股不著腳跟為「跪」；跪而聳身挺腰為「跽」。《戰國策．秦策三》：「秦王跽曰：『先生不幸教寡人乎？』」唐．韓愈〈祭田橫墓文〉：「跽陳辭而薦酒，魂髣髴而來享！」 |</v>
      </c>
    </row>
    <row r="7511" spans="1:44" hidden="1">
      <c r="A7511" s="1" t="s">
        <v>13132</v>
      </c>
      <c r="C7511" s="1">
        <v>1</v>
      </c>
      <c r="D7511" s="1" t="str">
        <f>"05432"</f>
        <v>05432</v>
      </c>
      <c r="E7511" s="1" t="s">
        <v>272</v>
      </c>
      <c r="F7511" s="1">
        <v>18</v>
      </c>
      <c r="G7511" s="1">
        <v>7</v>
      </c>
      <c r="H7511" s="1">
        <v>0</v>
      </c>
      <c r="I7511" s="1" t="s">
        <v>13095</v>
      </c>
      <c r="K7511" s="1" t="str">
        <f t="shared" si="477"/>
        <v>ㄐ</v>
      </c>
      <c r="L7511" s="1" t="str">
        <f t="shared" si="478"/>
        <v>ㄧ</v>
      </c>
      <c r="N7511" s="3" t="s">
        <v>30574</v>
      </c>
      <c r="O7511" s="3"/>
      <c r="P7511" s="1" t="s">
        <v>20</v>
      </c>
      <c r="R7511" s="1" t="s">
        <v>13096</v>
      </c>
      <c r="V7511" s="1" t="s">
        <v>13133</v>
      </c>
      <c r="AR7511" s="1" t="str">
        <f t="shared" si="476"/>
        <v>| [ㄐㄧˋ](ㄐㄧˋ.md) | [鵋](鵋.md) |  | jì | [名]
鵋鶀：貓頭鷹。《廣韻．去聲．志韻》：「鵋，鵋鶀，鵂鶹鳥，今之角鴟。」明．劉基《郁離子．蛇蝎》：「吳王夫差與群臣夜飲，有鵋鶀鳴于庭，王惡，使彈之。」 |</v>
      </c>
    </row>
    <row r="7512" spans="1:44" hidden="1">
      <c r="A7512" s="1" t="s">
        <v>12835</v>
      </c>
      <c r="C7512" s="1">
        <v>1</v>
      </c>
      <c r="D7512" s="1" t="str">
        <f>"05433"</f>
        <v>05433</v>
      </c>
      <c r="E7512" s="1" t="s">
        <v>18</v>
      </c>
      <c r="F7512" s="1">
        <v>8</v>
      </c>
      <c r="G7512" s="1">
        <v>6</v>
      </c>
      <c r="H7512" s="1">
        <v>3</v>
      </c>
      <c r="I7512" s="1" t="s">
        <v>13095</v>
      </c>
      <c r="K7512" s="1" t="str">
        <f t="shared" si="477"/>
        <v>ㄐ</v>
      </c>
      <c r="L7512" s="1" t="str">
        <f t="shared" si="478"/>
        <v>ㄧ</v>
      </c>
      <c r="N7512" s="3" t="s">
        <v>30574</v>
      </c>
      <c r="O7512" s="3"/>
      <c r="P7512" s="1" t="s">
        <v>20</v>
      </c>
      <c r="R7512" s="1" t="s">
        <v>13096</v>
      </c>
      <c r="V7512" s="1" t="s">
        <v>13134</v>
      </c>
      <c r="W7512" s="1" t="s">
        <v>13135</v>
      </c>
      <c r="AR7512" s="1" t="str">
        <f t="shared" si="476"/>
        <v>| [ㄐㄧˋ](ㄐㄧˋ.md) | [其](其.md) |  | jì | [助]
置於句中或句末。用於彼、何之後。《詩經．曹風．候人》：「彼其之子，不遂其媾。」《史記．卷四七．孔子世家》：「賜！汝來何其晚也？」 |</v>
      </c>
    </row>
    <row r="7513" spans="1:44" hidden="1">
      <c r="A7513" s="1" t="s">
        <v>13136</v>
      </c>
      <c r="C7513" s="1">
        <v>1</v>
      </c>
      <c r="D7513" s="1" t="str">
        <f>"05434"</f>
        <v>05434</v>
      </c>
      <c r="E7513" s="1" t="s">
        <v>250</v>
      </c>
      <c r="F7513" s="1">
        <v>12</v>
      </c>
      <c r="G7513" s="1">
        <v>8</v>
      </c>
      <c r="H7513" s="1">
        <v>0</v>
      </c>
      <c r="I7513" s="1" t="s">
        <v>13095</v>
      </c>
      <c r="K7513" s="1" t="str">
        <f t="shared" si="477"/>
        <v>ㄐ</v>
      </c>
      <c r="L7513" s="1" t="str">
        <f t="shared" si="478"/>
        <v>ㄧ</v>
      </c>
      <c r="N7513" s="3" t="s">
        <v>30574</v>
      </c>
      <c r="O7513" s="3"/>
      <c r="P7513" s="1" t="s">
        <v>20</v>
      </c>
      <c r="R7513" s="1" t="s">
        <v>13096</v>
      </c>
      <c r="V7513" s="1" t="s">
        <v>13137</v>
      </c>
      <c r="AR7513" s="1" t="str">
        <f t="shared" si="476"/>
        <v>| [ㄐㄧˋ](ㄐㄧˋ.md) | [惎](惎.md) |  | jì | [動]
1.毒害。《左傳．定公四年》：「管蔡啟商，惎閒王室。」
2.教誨、教導。《左傳．宣公十二年》：「晉人或以廣隊不能進，楚人惎之脫扃。」唐．柳宗元〈報袁君陳秀才避師名書〉：「後學之士到僕門，日或數十人，僕不敢虛其來意，有長必出之，有不至必惎之。」 |</v>
      </c>
    </row>
    <row r="7514" spans="1:44" hidden="1">
      <c r="A7514" s="1" t="s">
        <v>13138</v>
      </c>
      <c r="C7514" s="1">
        <v>1</v>
      </c>
      <c r="D7514" s="1" t="str">
        <f>"05435"</f>
        <v>05435</v>
      </c>
      <c r="E7514" s="1" t="s">
        <v>241</v>
      </c>
      <c r="F7514" s="1">
        <v>8</v>
      </c>
      <c r="G7514" s="1">
        <v>5</v>
      </c>
      <c r="H7514" s="1">
        <v>0</v>
      </c>
      <c r="I7514" s="1" t="s">
        <v>13095</v>
      </c>
      <c r="K7514" s="1" t="str">
        <f t="shared" si="477"/>
        <v>ㄐ</v>
      </c>
      <c r="L7514" s="1" t="str">
        <f t="shared" si="478"/>
        <v>ㄧ</v>
      </c>
      <c r="N7514" s="3" t="s">
        <v>30574</v>
      </c>
      <c r="O7514" s="3"/>
      <c r="P7514" s="1" t="s">
        <v>20</v>
      </c>
      <c r="R7514" s="1" t="s">
        <v>13096</v>
      </c>
      <c r="V7514" s="1" t="s">
        <v>13139</v>
      </c>
      <c r="AR7514" s="1" t="str">
        <f t="shared" si="476"/>
        <v>| [ㄐㄧˋ](ㄐㄧˋ.md) | [季](季.md) |  | jì | [名]_x000D_
1.古人用伯、仲、叔、季作兄弟排行，年齡最小的稱為「季」。_x000D_
2.弟的代稱。唐．李白〈春夜宴從弟桃花園序〉：「群季俊秀，皆為惠連。」_x000D_
3.計時的名稱。一季有三個月。如：「春季」、「夏季」。_x000D_
4.一個固定的時期。如：「花季」、「雨季」、「球季」、「旺季」、「淡季」。_x000D_
5.量詞。計算時間的單位。一季有三個月。如：「這個節目已經做了十三季。」_x000D_
6.姓。如春秋時吳國有季札，漢代有季布。_x000D_
[形]_x000D_
1.末了的。如：「季春」、「季冬」。唐．劉禹錫〈祭福建桂尚書文〉：「始識尚書，貞元季年。」_x000D_
2.幼稚未成熟的。如：「季女」。《周禮．地官司徒．山虞》：「凡服耜，斬季材，以時入之。」 |</v>
      </c>
    </row>
    <row r="7515" spans="1:44" hidden="1">
      <c r="A7515" s="1" t="s">
        <v>13140</v>
      </c>
      <c r="C7515" s="1">
        <v>1</v>
      </c>
      <c r="D7515" s="1" t="str">
        <f>"05436"</f>
        <v>05436</v>
      </c>
      <c r="E7515" s="1" t="s">
        <v>250</v>
      </c>
      <c r="F7515" s="1">
        <v>11</v>
      </c>
      <c r="G7515" s="1">
        <v>8</v>
      </c>
      <c r="H7515" s="1">
        <v>0</v>
      </c>
      <c r="I7515" s="1" t="s">
        <v>13095</v>
      </c>
      <c r="K7515" s="1" t="str">
        <f t="shared" si="477"/>
        <v>ㄐ</v>
      </c>
      <c r="L7515" s="1" t="str">
        <f t="shared" si="478"/>
        <v>ㄧ</v>
      </c>
      <c r="N7515" s="3" t="s">
        <v>30574</v>
      </c>
      <c r="O7515" s="3"/>
      <c r="P7515" s="1" t="s">
        <v>20</v>
      </c>
      <c r="R7515" s="1" t="s">
        <v>13096</v>
      </c>
      <c r="V7515" s="1" t="s">
        <v>13141</v>
      </c>
      <c r="AR7515" s="1" t="str">
        <f t="shared" si="476"/>
        <v>| [ㄐㄧˋ](ㄐㄧˋ.md) | [悸](悸.md) |  | jì | [動]
因害怕而心跳加快。如：「驚悸」、「惶悸」、「心悸」。唐．李白〈夢遊天姥吟留別〉詩：「忽魂悸以魄動，恍驚起而長嗟。」 |</v>
      </c>
    </row>
    <row r="7516" spans="1:44" hidden="1">
      <c r="A7516" s="1" t="s">
        <v>13142</v>
      </c>
      <c r="C7516" s="1">
        <v>1</v>
      </c>
      <c r="D7516" s="1" t="str">
        <f>"05437"</f>
        <v>05437</v>
      </c>
      <c r="E7516" s="1" t="s">
        <v>129</v>
      </c>
      <c r="F7516" s="1">
        <v>9</v>
      </c>
      <c r="G7516" s="1">
        <v>6</v>
      </c>
      <c r="H7516" s="1">
        <v>0</v>
      </c>
      <c r="I7516" s="1" t="s">
        <v>13095</v>
      </c>
      <c r="K7516" s="1" t="str">
        <f t="shared" si="477"/>
        <v>ㄐ</v>
      </c>
      <c r="L7516" s="1" t="str">
        <f t="shared" si="478"/>
        <v>ㄧ</v>
      </c>
      <c r="N7516" s="3" t="s">
        <v>30574</v>
      </c>
      <c r="O7516" s="3"/>
      <c r="P7516" s="1" t="s">
        <v>20</v>
      </c>
      <c r="R7516" s="1" t="s">
        <v>13096</v>
      </c>
      <c r="V7516" s="1" t="s">
        <v>13143</v>
      </c>
      <c r="AR7516" s="1" t="str">
        <f t="shared" si="476"/>
        <v>| [ㄐㄧˋ](ㄐㄧˋ.md) | [洎](洎.md) |  | jì | [動]
1.往鍋裡加水。《呂氏春秋．審應覽．應言》：「市丘之鼎以烹雞，多洎之則淡而不可食，少洎之則焦而不熟。」
2.到、及。如：「自古洎今」。唐．駱賓王〈代徐敬業討武氏檄〉：「洎乎晚節，穢亂春宮。」宋．蘇洵〈六國論〉：「趙嘗五戰於秦，二敗而三勝，……洎牧以讒誅，邯鄲為郡，惜其用武而不終也。」 |</v>
      </c>
    </row>
    <row r="7517" spans="1:44" hidden="1">
      <c r="A7517" s="1" t="s">
        <v>13144</v>
      </c>
      <c r="C7517" s="1">
        <v>1</v>
      </c>
      <c r="D7517" s="1" t="str">
        <f>"05438"</f>
        <v>05438</v>
      </c>
      <c r="E7517" s="1" t="s">
        <v>132</v>
      </c>
      <c r="F7517" s="1">
        <v>9</v>
      </c>
      <c r="G7517" s="1">
        <v>6</v>
      </c>
      <c r="H7517" s="1">
        <v>0</v>
      </c>
      <c r="I7517" s="1" t="s">
        <v>13095</v>
      </c>
      <c r="K7517" s="1" t="str">
        <f t="shared" si="477"/>
        <v>ㄐ</v>
      </c>
      <c r="L7517" s="1" t="str">
        <f t="shared" si="478"/>
        <v>ㄧ</v>
      </c>
      <c r="N7517" s="3" t="s">
        <v>30574</v>
      </c>
      <c r="O7517" s="3"/>
      <c r="P7517" s="1" t="s">
        <v>20</v>
      </c>
      <c r="R7517" s="1" t="s">
        <v>13096</v>
      </c>
      <c r="V7517" s="1" t="s">
        <v>13145</v>
      </c>
      <c r="AR7517" s="1" t="str">
        <f t="shared" si="476"/>
        <v>| [ㄐㄧˋ](ㄐㄧˋ.md) | [垍](垍.md) |  | jì | [名]
硬土。《說文解字．土部》：「垍，堅土也。」
[形]
土質堅硬。唐．柳宗元〈井銘．序〉：「其土堅垍，其利悠久。」 |</v>
      </c>
    </row>
    <row r="7518" spans="1:44" hidden="1">
      <c r="A7518" s="1" t="s">
        <v>13146</v>
      </c>
      <c r="C7518" s="1">
        <v>1</v>
      </c>
      <c r="D7518" s="1" t="str">
        <f>"05439"</f>
        <v>05439</v>
      </c>
      <c r="E7518" s="1" t="s">
        <v>331</v>
      </c>
      <c r="F7518" s="1">
        <v>9</v>
      </c>
      <c r="G7518" s="1">
        <v>2</v>
      </c>
      <c r="H7518" s="1">
        <v>0</v>
      </c>
      <c r="I7518" s="1" t="s">
        <v>13095</v>
      </c>
      <c r="K7518" s="1" t="str">
        <f t="shared" si="477"/>
        <v>ㄐ</v>
      </c>
      <c r="L7518" s="1" t="str">
        <f t="shared" si="478"/>
        <v>ㄧ</v>
      </c>
      <c r="N7518" s="3" t="s">
        <v>30574</v>
      </c>
      <c r="O7518" s="3"/>
      <c r="P7518" s="1" t="s">
        <v>20</v>
      </c>
      <c r="R7518" s="1" t="s">
        <v>13096</v>
      </c>
      <c r="V7518" s="1" t="s">
        <v>13147</v>
      </c>
      <c r="AR7518" s="1" t="str">
        <f t="shared" si="476"/>
        <v>| [ㄐㄧˋ](ㄐㄧˋ.md) | [計](計.md) |  | jì | [動]
1.核算、籌算。如：「核計」、「論件計酬」、「數以萬計」。《文選．諸葛亮．出師表》：「漢室之隆，可計日而待也。」
2.謀劃、打算、盤算。如：「計劃」、「商計」、「設計」。《戰國策．趙策四》：「父之愛子則為之計深遠。」
3.設想、推測。《莊子．秋水》：「計四海之在天地之間也，不似礨空之在大澤乎？」
[名]
1.策略、方法。如：「妙計」、「好計」、「緩兵之計」。宋．李清照〈一剪梅．紅藕香殘玉簟秋〉詞：「此情無計可消除，才下眉頭，卻上心頭。」
2.測量或計算度量、數量的儀器。如：「溫度計」、「體溫計」。
3.姓。如宋代有計衡。
[副]
揣測之詞，大概、料想如此的意思。《史記．卷五十五．留侯世家．太史公曰》：「余以為其人計魁梧奇偉；至見其圖，狀貌如婦人好女。」 |</v>
      </c>
    </row>
    <row r="7519" spans="1:44" hidden="1">
      <c r="A7519" s="1" t="s">
        <v>13148</v>
      </c>
      <c r="C7519" s="1">
        <v>1</v>
      </c>
      <c r="D7519" s="1" t="str">
        <f>"05440"</f>
        <v>05440</v>
      </c>
      <c r="E7519" s="1" t="s">
        <v>725</v>
      </c>
      <c r="F7519" s="1">
        <v>10</v>
      </c>
      <c r="G7519" s="1">
        <v>4</v>
      </c>
      <c r="H7519" s="1">
        <v>0</v>
      </c>
      <c r="I7519" s="1" t="s">
        <v>13095</v>
      </c>
      <c r="K7519" s="1" t="str">
        <f t="shared" si="477"/>
        <v>ㄐ</v>
      </c>
      <c r="L7519" s="1" t="str">
        <f t="shared" si="478"/>
        <v>ㄧ</v>
      </c>
      <c r="N7519" s="3" t="s">
        <v>30574</v>
      </c>
      <c r="O7519" s="3"/>
      <c r="P7519" s="1" t="s">
        <v>20</v>
      </c>
      <c r="R7519" s="1" t="s">
        <v>13096</v>
      </c>
      <c r="V7519" s="1" t="s">
        <v>13149</v>
      </c>
      <c r="AR7519" s="1" t="str">
        <f t="shared" si="476"/>
        <v>| [ㄐㄧˋ](ㄐㄧˋ.md) | [紒](紒.md) |  | jì | [動]
結髮為髻。《儀禮．士冠禮》：「將冠者，采衣，紒。」漢．鄭玄．注：「紒，結髮，古文紒為結。」
[名]
髮結、髮髻。晉．干寶《搜神記》卷七：「兵士以絳囊縳紒。」 |</v>
      </c>
    </row>
    <row r="7520" spans="1:44" hidden="1">
      <c r="A7520" s="1" t="s">
        <v>13150</v>
      </c>
      <c r="C7520" s="1">
        <v>1</v>
      </c>
      <c r="D7520" s="1" t="str">
        <f>"05441"</f>
        <v>05441</v>
      </c>
      <c r="E7520" s="1" t="s">
        <v>624</v>
      </c>
      <c r="F7520" s="1">
        <v>11</v>
      </c>
      <c r="G7520" s="1">
        <v>8</v>
      </c>
      <c r="H7520" s="1">
        <v>0</v>
      </c>
      <c r="I7520" s="1" t="s">
        <v>13095</v>
      </c>
      <c r="K7520" s="1" t="str">
        <f t="shared" si="477"/>
        <v>ㄐ</v>
      </c>
      <c r="L7520" s="1" t="str">
        <f t="shared" si="478"/>
        <v>ㄧ</v>
      </c>
      <c r="N7520" s="3" t="s">
        <v>30574</v>
      </c>
      <c r="O7520" s="3"/>
      <c r="P7520" s="1" t="s">
        <v>20</v>
      </c>
      <c r="R7520" s="1" t="s">
        <v>13096</v>
      </c>
      <c r="V7520" s="1" t="s">
        <v>13151</v>
      </c>
      <c r="AR7520" s="1" t="str">
        <f t="shared" si="476"/>
        <v>| [ㄐㄧˋ](ㄐㄧˋ.md) | [寄](寄.md) |  | jì | [動]
1.暫時的托身。《文選．曹丕．燕歌行》：「慊慊思歸戀故鄉，何為淹留寄佗方？」《聊齋志異．卷三．連瑣》：「何居里，久寄此間？」
2.託付、依附。如：「寄託」。《論語．泰伯》：「可以託六尺之孤，可以寄百里之命。」
3.傳達言語、書信、心意等。今多指透過郵遞傳送。如：「寄信」、「寄郵包」、「寄語白雲」。唐．杜甫〈月夜憶舍弟〉詩：「寄書長不達，況乃未休兵。」元．姚燧〈寄征衣．欲寄君衣君不還〉曲：「欲寄君衣君不還，不寄君衣君又寒。」
[副]
1.暫時依附的。如：「寄居」、「寄宿」、「寄食」。
2.臨時委託的。如：「寄存」、「寄賣」。
[形]
非親生關係的。如：「寄父」、「寄母」、「寄子」、「寄女」。 |</v>
      </c>
    </row>
    <row r="7521" spans="1:44" hidden="1">
      <c r="A7521" s="1" t="s">
        <v>13152</v>
      </c>
      <c r="C7521" s="1">
        <v>1</v>
      </c>
      <c r="D7521" s="1" t="str">
        <f>"05442"</f>
        <v>05442</v>
      </c>
      <c r="E7521" s="1" t="s">
        <v>234</v>
      </c>
      <c r="F7521" s="1">
        <v>11</v>
      </c>
      <c r="G7521" s="1">
        <v>8</v>
      </c>
      <c r="H7521" s="1">
        <v>0</v>
      </c>
      <c r="I7521" s="1" t="s">
        <v>13095</v>
      </c>
      <c r="K7521" s="1" t="str">
        <f t="shared" si="477"/>
        <v>ㄐ</v>
      </c>
      <c r="L7521" s="1" t="str">
        <f t="shared" si="478"/>
        <v>ㄧ</v>
      </c>
      <c r="N7521" s="3" t="s">
        <v>30574</v>
      </c>
      <c r="O7521" s="3"/>
      <c r="P7521" s="1" t="s">
        <v>20</v>
      </c>
      <c r="R7521" s="1" t="s">
        <v>13096</v>
      </c>
      <c r="V7521" s="1" t="s">
        <v>13153</v>
      </c>
      <c r="AR7521" s="1" t="str">
        <f t="shared" si="476"/>
        <v>| [ㄐㄧˋ](ㄐㄧˋ.md) | [徛](徛.md) |  | jì | [名]
鋪放於淺水中，供人憑渡用的石塊。《爾雅．釋宮》：「徛，石杠謂之徛。」晉．郭璞．注：「聚石水中，以為步渡彴也。或曰今之石橋。」 |</v>
      </c>
    </row>
    <row r="7522" spans="1:44" hidden="1">
      <c r="A7522" s="1" t="s">
        <v>13154</v>
      </c>
      <c r="C7522" s="1">
        <v>1</v>
      </c>
      <c r="D7522" s="1" t="str">
        <f>"05443"</f>
        <v>05443</v>
      </c>
      <c r="E7522" s="1" t="s">
        <v>319</v>
      </c>
      <c r="F7522" s="1">
        <v>18</v>
      </c>
      <c r="G7522" s="1">
        <v>8</v>
      </c>
      <c r="H7522" s="1">
        <v>2</v>
      </c>
      <c r="I7522" s="1" t="s">
        <v>13095</v>
      </c>
      <c r="K7522" s="1" t="str">
        <f t="shared" si="477"/>
        <v>ㄐ</v>
      </c>
      <c r="L7522" s="1" t="str">
        <f t="shared" si="478"/>
        <v>ㄧ</v>
      </c>
      <c r="N7522" s="3" t="s">
        <v>30574</v>
      </c>
      <c r="O7522" s="3"/>
      <c r="P7522" s="1" t="s">
        <v>20</v>
      </c>
      <c r="R7522" s="1" t="s">
        <v>13096</v>
      </c>
      <c r="V7522" s="1" t="s">
        <v>13155</v>
      </c>
      <c r="W7522" s="1" t="s">
        <v>13156</v>
      </c>
      <c r="AR7522" s="1" t="str">
        <f t="shared" si="476"/>
        <v>| [ㄐㄧˋ](ㄐㄧˋ.md) | [騎](騎.md) |  | jì | [名]
1.乘坐的馬。如：「坐騎」。明．徐弘祖《徐霞客遊記．卷一上．遊天台山日記》：「取寒、明兩巖道，由寺向西門覓騎。」
2.乘馬作戰的士卒。如：「鐵騎」、「輕騎」。《史記．卷七．項羽本紀》：「沛公旦日從百餘騎來見項王。」唐．高適〈燕歌行〉：「胡騎憑陵雜風雨。」
3.量詞。計算人馬的單位。唐．李白〈從軍行〉：「突營射殺呼延將，獨領殘兵千騎歸。」《三國演義》第四回：「奉先可親去揀一騎賜與孟德。」 |</v>
      </c>
    </row>
    <row r="7523" spans="1:44" hidden="1">
      <c r="A7523" s="1" t="s">
        <v>13157</v>
      </c>
      <c r="C7523" s="1">
        <v>1</v>
      </c>
      <c r="D7523" s="1" t="str">
        <f>"05444"</f>
        <v>05444</v>
      </c>
      <c r="E7523" s="1" t="s">
        <v>114</v>
      </c>
      <c r="F7523" s="1">
        <v>11</v>
      </c>
      <c r="G7523" s="1">
        <v>9</v>
      </c>
      <c r="H7523" s="1">
        <v>2</v>
      </c>
      <c r="I7523" s="1" t="s">
        <v>13095</v>
      </c>
      <c r="K7523" s="1" t="str">
        <f t="shared" si="477"/>
        <v>ㄐ</v>
      </c>
      <c r="L7523" s="1" t="str">
        <f t="shared" si="478"/>
        <v>ㄧ</v>
      </c>
      <c r="N7523" s="3" t="s">
        <v>30574</v>
      </c>
      <c r="O7523" s="3"/>
      <c r="P7523" s="1" t="s">
        <v>20</v>
      </c>
      <c r="R7523" s="1" t="s">
        <v>13096</v>
      </c>
      <c r="V7523" s="1" t="s">
        <v>13158</v>
      </c>
      <c r="W7523" s="1" t="s">
        <v>13159</v>
      </c>
      <c r="AR7523" s="1" t="str">
        <f t="shared" si="476"/>
        <v>| [ㄐㄧˋ](ㄐㄧˋ.md) | [偈](偈.md) |  | jì | [名]
梵語gāthā的音譯。意譯為頌、諷頌。本為梵語文學的贊歌、詩句。每偈由固定的音節的四句組成，音節的格式種類不一。在中國則用來指佛教修行者的宗教詩。《五燈會元．卷一．五祖弘忍大滿禪師》：「盧自秉燭，請別駕張日用於秀偈之側，寫一偈曰：『菩提本無樹，明鏡亦非臺。本來無一物，何處惹塵埃。』」 |</v>
      </c>
    </row>
    <row r="7524" spans="1:44" hidden="1">
      <c r="A7524" s="1" t="s">
        <v>13160</v>
      </c>
      <c r="C7524" s="1">
        <v>1</v>
      </c>
      <c r="D7524" s="1" t="str">
        <f>"05445"</f>
        <v>05445</v>
      </c>
      <c r="E7524" s="1" t="s">
        <v>825</v>
      </c>
      <c r="F7524" s="1">
        <v>11</v>
      </c>
      <c r="G7524" s="1">
        <v>6</v>
      </c>
      <c r="H7524" s="1">
        <v>1</v>
      </c>
      <c r="I7524" s="1" t="s">
        <v>13095</v>
      </c>
      <c r="K7524" s="1" t="str">
        <f t="shared" si="477"/>
        <v>ㄐ</v>
      </c>
      <c r="L7524" s="1" t="str">
        <f t="shared" si="478"/>
        <v>ㄧ</v>
      </c>
      <c r="N7524" s="3" t="s">
        <v>30574</v>
      </c>
      <c r="O7524" s="3"/>
      <c r="P7524" s="1" t="s">
        <v>20</v>
      </c>
      <c r="R7524" s="1" t="s">
        <v>13096</v>
      </c>
      <c r="V7524" s="1" t="s">
        <v>13161</v>
      </c>
      <c r="W7524" s="1" t="s">
        <v>13162</v>
      </c>
      <c r="AR7524" s="1" t="str">
        <f t="shared" si="476"/>
        <v>| [ㄐㄧˋ](ㄐㄧˋ.md) | [祭](祭.md) |  | jì | [動]
1.拜鬼神。如：「祭祀」。《論語．八佾》：「祭如在，祭神如神在。」
2.對死者致敬追思。如：「祭弔」。唐．張籍〈沒蕃故人〉詩：「欲祭疑君在，天涯哭此時。」
3.唸咒以施用法寶，常用於古小說中。《封神演義》第五四回：「不防土行孫祭起綑仙繩，一聲響，把哪吒平空拿了去。」
[名]
祭奠的儀式。如：「家祭」、「公祭」。 |</v>
      </c>
    </row>
    <row r="7525" spans="1:44" hidden="1">
      <c r="A7525" s="1" t="s">
        <v>13163</v>
      </c>
      <c r="C7525" s="1">
        <v>1</v>
      </c>
      <c r="D7525" s="1" t="str">
        <f>"05446"</f>
        <v>05446</v>
      </c>
      <c r="E7525" s="1" t="s">
        <v>129</v>
      </c>
      <c r="F7525" s="1">
        <v>14</v>
      </c>
      <c r="G7525" s="1">
        <v>11</v>
      </c>
      <c r="H7525" s="1">
        <v>0</v>
      </c>
      <c r="I7525" s="1" t="s">
        <v>13095</v>
      </c>
      <c r="K7525" s="1" t="str">
        <f t="shared" si="477"/>
        <v>ㄐ</v>
      </c>
      <c r="L7525" s="1" t="str">
        <f t="shared" si="478"/>
        <v>ㄧ</v>
      </c>
      <c r="N7525" s="3" t="s">
        <v>30574</v>
      </c>
      <c r="O7525" s="3"/>
      <c r="P7525" s="1" t="s">
        <v>20</v>
      </c>
      <c r="R7525" s="1" t="s">
        <v>13096</v>
      </c>
      <c r="V7525" s="1" t="s">
        <v>13164</v>
      </c>
      <c r="AR7525" s="1" t="str">
        <f t="shared" si="476"/>
        <v>| [ㄐㄧˋ](ㄐㄧˋ.md) | [漈](漈.md) |  | jì | [名]
1.水邊、水涯。如：「涯漈」。
2.海底深陷處。《元史．卷二一一．外夷傳．瑠求傳》：「西南北岸皆水，至彭湖漸低，近瑠求則謂之落漈。漈者，水趨下而不回也。」 |</v>
      </c>
    </row>
    <row r="7526" spans="1:44" hidden="1">
      <c r="A7526" s="1" t="s">
        <v>13165</v>
      </c>
      <c r="C7526" s="1">
        <v>1</v>
      </c>
      <c r="D7526" s="1" t="str">
        <f>"05447"</f>
        <v>05447</v>
      </c>
      <c r="E7526" s="1" t="s">
        <v>691</v>
      </c>
      <c r="F7526" s="1">
        <v>14</v>
      </c>
      <c r="G7526" s="1">
        <v>11</v>
      </c>
      <c r="H7526" s="1">
        <v>0</v>
      </c>
      <c r="I7526" s="1" t="s">
        <v>13095</v>
      </c>
      <c r="K7526" s="1" t="str">
        <f t="shared" si="477"/>
        <v>ㄐ</v>
      </c>
      <c r="L7526" s="1" t="str">
        <f t="shared" si="478"/>
        <v>ㄧ</v>
      </c>
      <c r="N7526" s="3" t="s">
        <v>30574</v>
      </c>
      <c r="O7526" s="3"/>
      <c r="P7526" s="1" t="s">
        <v>20</v>
      </c>
      <c r="R7526" s="1" t="s">
        <v>13096</v>
      </c>
      <c r="V7526" s="1" t="s">
        <v>13166</v>
      </c>
      <c r="AR7526" s="1" t="str">
        <f t="shared" si="476"/>
        <v>| [ㄐㄧˋ](ㄐㄧˋ.md) | [際](際.md) |  | jì | [名]
1.邊、畔。如：「水際」、「邊際」、「一望無際」。唐．李白〈黃鶴樓送孟浩然之廣陵〉詩：「孤帆遠影碧山盡，唯見長江天際流。」
2.前後交接之時。指在其間、在當時。《論語．泰伯》：「唐虞之際，於斯為盛。」《文選．諸葛亮．出師表》：「受任於敗軍之際，奉命於危難之間。」
3.彼此之間。如：「人際」、「國際」、「星際」、「校際」。
4.中間、裡面。如：「腦際」。晉．陶淵明〈歸園田居〉詩五首之一：「開荒南野際，守拙歸園田。」
5.機會、遭遇。如：「際遇」。
[動]
1.交接、會合。如：「風雲際會」。《易經．泰卦．象曰》：「無往不復，天地際也。」唐．柳宗元〈始得西山宴游記〉：「縈青繚白，外與天際。」
2.當、值、逢。如：「際此危難」、「際此佳日」。 |</v>
      </c>
    </row>
    <row r="7527" spans="1:44" hidden="1">
      <c r="A7527" s="1" t="s">
        <v>13167</v>
      </c>
      <c r="C7527" s="1">
        <v>1</v>
      </c>
      <c r="D7527" s="1" t="str">
        <f>"05448"</f>
        <v>05448</v>
      </c>
      <c r="E7527" s="1" t="s">
        <v>429</v>
      </c>
      <c r="F7527" s="1">
        <v>16</v>
      </c>
      <c r="G7527" s="1">
        <v>11</v>
      </c>
      <c r="H7527" s="1">
        <v>0</v>
      </c>
      <c r="I7527" s="1" t="s">
        <v>13095</v>
      </c>
      <c r="K7527" s="1" t="str">
        <f t="shared" si="477"/>
        <v>ㄐ</v>
      </c>
      <c r="L7527" s="1" t="str">
        <f t="shared" si="478"/>
        <v>ㄧ</v>
      </c>
      <c r="N7527" s="3" t="s">
        <v>30574</v>
      </c>
      <c r="O7527" s="3"/>
      <c r="P7527" s="1" t="s">
        <v>20</v>
      </c>
      <c r="R7527" s="1" t="s">
        <v>13096</v>
      </c>
      <c r="V7527" s="1" t="s">
        <v>13168</v>
      </c>
      <c r="AR7527" s="1" t="str">
        <f t="shared" si="476"/>
        <v>| [ㄐㄧˋ](ㄐㄧˋ.md) | [穄](穄.md) |  | jì | [名]
一種形似黍，但性不黏的糧食作物。唐．釋玄應《一切經音義．卷一五．十誦律》穄米引《說文解字》：「穄，糜也。似黍而不黏者。」《宋史．卷一七四．食貨志上》：「穀之品七：一曰粟，二曰稻，三曰麥，四曰黍，五曰穄，六曰菽，七曰雜子。」南朝宋．鮑照〈園葵賦〉：「拂此葦席，炊彼穄粱。」 |</v>
      </c>
    </row>
    <row r="7528" spans="1:44" hidden="1">
      <c r="A7528" s="1" t="s">
        <v>13169</v>
      </c>
      <c r="C7528" s="1">
        <v>1</v>
      </c>
      <c r="D7528" s="1" t="str">
        <f>"05449"</f>
        <v>05449</v>
      </c>
      <c r="E7528" s="1" t="s">
        <v>40</v>
      </c>
      <c r="F7528" s="1">
        <v>14</v>
      </c>
      <c r="G7528" s="1">
        <v>9</v>
      </c>
      <c r="H7528" s="1">
        <v>1</v>
      </c>
      <c r="I7528" s="1" t="s">
        <v>13095</v>
      </c>
      <c r="K7528" s="1" t="str">
        <f t="shared" si="477"/>
        <v>ㄐ</v>
      </c>
      <c r="L7528" s="1" t="str">
        <f t="shared" si="478"/>
        <v>ㄧ</v>
      </c>
      <c r="N7528" s="3" t="s">
        <v>30574</v>
      </c>
      <c r="O7528" s="3"/>
      <c r="P7528" s="1" t="s">
        <v>20</v>
      </c>
      <c r="R7528" s="1" t="s">
        <v>13096</v>
      </c>
      <c r="V7528" s="1" t="s">
        <v>13170</v>
      </c>
      <c r="W7528" s="1" t="s">
        <v>13171</v>
      </c>
      <c r="AR7528" s="1" t="str">
        <f t="shared" si="476"/>
        <v>| [ㄐㄧˋ](ㄐㄧˋ.md) | [瘈](瘈.md) |  | jì | [名]
瘋狗。《集韻．去聲．祭韻》：「瘈，狂犬也。」
[形]
瘋狂的。《左傳．襄公十七年》：「國人逐瘈狗。」 |</v>
      </c>
    </row>
    <row r="7529" spans="1:44" hidden="1">
      <c r="A7529" s="1" t="s">
        <v>13172</v>
      </c>
      <c r="C7529" s="1">
        <v>1</v>
      </c>
      <c r="D7529" s="1" t="str">
        <f>"05450"</f>
        <v>05450</v>
      </c>
      <c r="E7529" s="1" t="s">
        <v>12924</v>
      </c>
      <c r="F7529" s="1">
        <v>14</v>
      </c>
      <c r="G7529" s="1">
        <v>0</v>
      </c>
      <c r="H7529" s="1">
        <v>3</v>
      </c>
      <c r="I7529" s="1" t="s">
        <v>13095</v>
      </c>
      <c r="K7529" s="1" t="str">
        <f t="shared" si="477"/>
        <v>ㄐ</v>
      </c>
      <c r="L7529" s="1" t="str">
        <f t="shared" si="478"/>
        <v>ㄧ</v>
      </c>
      <c r="N7529" s="3" t="s">
        <v>30574</v>
      </c>
      <c r="O7529" s="3"/>
      <c r="P7529" s="1" t="s">
        <v>20</v>
      </c>
      <c r="R7529" s="1" t="s">
        <v>13096</v>
      </c>
      <c r="V7529" s="1" t="s">
        <v>13173</v>
      </c>
      <c r="W7529" s="1" t="s">
        <v>13174</v>
      </c>
      <c r="AR7529" s="1" t="str">
        <f t="shared" si="476"/>
        <v>| [ㄐㄧˋ](ㄐㄧˋ.md) | [齊](齊.md) |  | jì | [名]
1.分量、劑量。通「劑」。《周禮．天官．亨人》：「亨人掌共鼎鑊，以給水火之齊。」漢．鄭玄．注：「齊，多少之量。」
2.調配合金的比例。《周禮．冬官考工記．輈人》：「金有六齊：六分其金而錫居一，謂之鐘鼎之齊；五分其金而錫居一，謂之斧斤之齊。」
3.參見「火齊」條。
[動]
調配、調製。同「劑」。《韓非子．定法》：「夫匠者，手巧也；而醫者，齊藥也。」宋．洪咨夔〈泥溪〉詩：「誰家剛齊餅，味過八珍烹。」 |</v>
      </c>
    </row>
    <row r="7530" spans="1:44" hidden="1">
      <c r="A7530" s="1" t="s">
        <v>13175</v>
      </c>
      <c r="C7530" s="1">
        <v>1</v>
      </c>
      <c r="D7530" s="1" t="str">
        <f>"05451"</f>
        <v>05451</v>
      </c>
      <c r="E7530" s="1" t="s">
        <v>185</v>
      </c>
      <c r="F7530" s="1">
        <v>16</v>
      </c>
      <c r="G7530" s="1">
        <v>14</v>
      </c>
      <c r="H7530" s="1">
        <v>0</v>
      </c>
      <c r="I7530" s="1" t="s">
        <v>13095</v>
      </c>
      <c r="K7530" s="1" t="str">
        <f t="shared" si="477"/>
        <v>ㄐ</v>
      </c>
      <c r="L7530" s="1" t="str">
        <f t="shared" si="478"/>
        <v>ㄧ</v>
      </c>
      <c r="N7530" s="3" t="s">
        <v>30574</v>
      </c>
      <c r="O7530" s="3"/>
      <c r="P7530" s="1" t="s">
        <v>20</v>
      </c>
      <c r="R7530" s="1" t="s">
        <v>13096</v>
      </c>
      <c r="V7530" s="1" t="s">
        <v>13176</v>
      </c>
      <c r="AR7530" s="1" t="str">
        <f t="shared" si="476"/>
        <v>| [ㄐㄧˋ](ㄐㄧˋ.md) | [劑](劑.md) |  | jì | [名]
1.經調配而成的藥品或化學製品。如：「藥劑」、「針劑」、「消毒劑」、「殺蟲劑」、「防腐劑」。
2.一定的分量。唐．陸贄〈均節賦稅恤百姓六條〉之二：「蓋以事逐情生，費從事廣，物有劑而用無節，夫安得不乏乎？」
3.量詞。計算經過調配後的藥物的單位。如：「他吃了這三劑中藥後，病情已逐漸穩定。」、「小寶已接種了第三劑疫苗。」
[動]
調和。如：「調劑」。《後漢書．卷八〇．文苑傳下．劉梁傳》：「和如羹焉，酸苦以劑其味。」 |</v>
      </c>
    </row>
    <row r="7531" spans="1:44" hidden="1">
      <c r="A7531" s="1" t="s">
        <v>13089</v>
      </c>
      <c r="C7531" s="1">
        <v>1</v>
      </c>
      <c r="D7531" s="1" t="str">
        <f>"05452"</f>
        <v>05452</v>
      </c>
      <c r="E7531" s="1" t="s">
        <v>129</v>
      </c>
      <c r="F7531" s="1">
        <v>17</v>
      </c>
      <c r="G7531" s="1">
        <v>14</v>
      </c>
      <c r="H7531" s="1">
        <v>1</v>
      </c>
      <c r="I7531" s="1" t="s">
        <v>13095</v>
      </c>
      <c r="K7531" s="1" t="str">
        <f t="shared" si="477"/>
        <v>ㄐ</v>
      </c>
      <c r="L7531" s="1" t="str">
        <f t="shared" si="478"/>
        <v>ㄧ</v>
      </c>
      <c r="N7531" s="3" t="s">
        <v>30574</v>
      </c>
      <c r="O7531" s="3"/>
      <c r="P7531" s="1" t="s">
        <v>20</v>
      </c>
      <c r="R7531" s="1" t="s">
        <v>13096</v>
      </c>
      <c r="V7531" s="1" t="s">
        <v>13177</v>
      </c>
      <c r="W7531" s="1" t="s">
        <v>13178</v>
      </c>
      <c r="AR7531" s="1" t="str">
        <f t="shared" si="476"/>
        <v>| [ㄐㄧˋ](ㄐㄧˋ.md) | [濟](濟.md) |  | jì | [動]
1.過河、渡河。《文選．曹植．贈白馬王彪詩》：「伊洛廣且深，欲濟川無梁。」唐．李白〈行路難〉三首之一：「長風破浪會有時，直掛雲帆濟滄海。」
2.救助。如：「救濟」、「濟助」、「濟弱扶傾」、「劫富濟貧」、「緩不濟急」。
3.助益。如：「無濟於事」。 |</v>
      </c>
    </row>
    <row r="7532" spans="1:44" hidden="1">
      <c r="A7532" s="1" t="s">
        <v>13179</v>
      </c>
      <c r="C7532" s="1">
        <v>1</v>
      </c>
      <c r="D7532" s="1" t="str">
        <f>"05453"</f>
        <v>05453</v>
      </c>
      <c r="E7532" s="1" t="s">
        <v>28</v>
      </c>
      <c r="F7532" s="1">
        <v>17</v>
      </c>
      <c r="G7532" s="1">
        <v>14</v>
      </c>
      <c r="H7532" s="1">
        <v>0</v>
      </c>
      <c r="I7532" s="1" t="s">
        <v>13095</v>
      </c>
      <c r="K7532" s="1" t="str">
        <f t="shared" si="477"/>
        <v>ㄐ</v>
      </c>
      <c r="L7532" s="1" t="str">
        <f t="shared" si="478"/>
        <v>ㄧ</v>
      </c>
      <c r="N7532" s="3" t="s">
        <v>30574</v>
      </c>
      <c r="O7532" s="3"/>
      <c r="P7532" s="1" t="s">
        <v>20</v>
      </c>
      <c r="R7532" s="1" t="s">
        <v>13096</v>
      </c>
      <c r="V7532" s="1" t="s">
        <v>13180</v>
      </c>
      <c r="AR7532" s="1" t="str">
        <f t="shared" si="476"/>
        <v>| [ㄐㄧˋ](ㄐㄧˋ.md) | [嚌](嚌.md) |  | jì | [動]
嚐食、嚐滋味。《禮記．雜記下》：「小祥之祭，主人之酢也，嚌之。」 |</v>
      </c>
    </row>
    <row r="7533" spans="1:44" hidden="1">
      <c r="A7533" s="1" t="s">
        <v>13181</v>
      </c>
      <c r="C7533" s="1">
        <v>1</v>
      </c>
      <c r="D7533" s="1" t="str">
        <f>"05454"</f>
        <v>05454</v>
      </c>
      <c r="E7533" s="1" t="s">
        <v>12924</v>
      </c>
      <c r="F7533" s="1">
        <v>18</v>
      </c>
      <c r="G7533" s="1">
        <v>4</v>
      </c>
      <c r="H7533" s="1">
        <v>0</v>
      </c>
      <c r="I7533" s="1" t="s">
        <v>13095</v>
      </c>
      <c r="K7533" s="1" t="str">
        <f t="shared" si="477"/>
        <v>ㄐ</v>
      </c>
      <c r="L7533" s="1" t="str">
        <f t="shared" si="478"/>
        <v>ㄧ</v>
      </c>
      <c r="N7533" s="3" t="s">
        <v>30574</v>
      </c>
      <c r="O7533" s="3"/>
      <c r="P7533" s="1" t="s">
        <v>20</v>
      </c>
      <c r="R7533" s="1" t="s">
        <v>13096</v>
      </c>
      <c r="V7533" s="1" t="s">
        <v>13182</v>
      </c>
      <c r="AR7533" s="1" t="str">
        <f t="shared" si="476"/>
        <v>| [ㄐㄧˋ](ㄐㄧˋ.md) | [齌](齌.md) |  | jì | [動]
為趕時間，以猛火煮飯。《說文解字．火部》：「齌，炊餔疾也。」清．段玉裁．注：「餔，日加申時食也。晚飯恐遲，炊之疾速，故字从火。」
[副]
疾、迅疾。《楚辭．屈原．離騷》：「荃不察余之中情兮，反信讒而齌怒。」漢．王逸．注：「齌，疾也。」 |</v>
      </c>
    </row>
    <row r="7534" spans="1:44" hidden="1">
      <c r="A7534" s="1" t="s">
        <v>13183</v>
      </c>
      <c r="C7534" s="1">
        <v>1</v>
      </c>
      <c r="D7534" s="1" t="str">
        <f>"05455"</f>
        <v>05455</v>
      </c>
      <c r="E7534" s="1" t="s">
        <v>37</v>
      </c>
      <c r="F7534" s="1">
        <v>18</v>
      </c>
      <c r="G7534" s="1">
        <v>14</v>
      </c>
      <c r="H7534" s="1">
        <v>1</v>
      </c>
      <c r="I7534" s="1" t="s">
        <v>13095</v>
      </c>
      <c r="K7534" s="1" t="str">
        <f t="shared" si="477"/>
        <v>ㄐ</v>
      </c>
      <c r="L7534" s="1" t="str">
        <f t="shared" si="478"/>
        <v>ㄧ</v>
      </c>
      <c r="N7534" s="3" t="s">
        <v>30574</v>
      </c>
      <c r="O7534" s="3"/>
      <c r="P7534" s="1" t="s">
        <v>20</v>
      </c>
      <c r="R7534" s="1" t="s">
        <v>13096</v>
      </c>
      <c r="V7534" s="1" t="s">
        <v>13184</v>
      </c>
      <c r="W7534" s="1" t="s">
        <v>13185</v>
      </c>
      <c r="AR7534" s="1" t="str">
        <f t="shared" si="476"/>
        <v>| [ㄐㄧˋ](ㄐㄧˋ.md) | [薺](薺.md) |  | jì | [名]
植物名。十字花科薺屬，「薺菜」之簡稱。參見「薺菜」條。 |</v>
      </c>
    </row>
    <row r="7535" spans="1:44" hidden="1">
      <c r="A7535" s="1" t="s">
        <v>13186</v>
      </c>
      <c r="C7535" s="1">
        <v>1</v>
      </c>
      <c r="D7535" s="1" t="str">
        <f>"05456"</f>
        <v>05456</v>
      </c>
      <c r="E7535" s="1" t="s">
        <v>40</v>
      </c>
      <c r="F7535" s="1">
        <v>19</v>
      </c>
      <c r="G7535" s="1">
        <v>14</v>
      </c>
      <c r="H7535" s="1">
        <v>0</v>
      </c>
      <c r="I7535" s="1" t="s">
        <v>13095</v>
      </c>
      <c r="K7535" s="1" t="str">
        <f t="shared" si="477"/>
        <v>ㄐ</v>
      </c>
      <c r="L7535" s="1" t="str">
        <f t="shared" si="478"/>
        <v>ㄧ</v>
      </c>
      <c r="N7535" s="3" t="s">
        <v>30574</v>
      </c>
      <c r="O7535" s="3"/>
      <c r="P7535" s="1" t="s">
        <v>20</v>
      </c>
      <c r="R7535" s="1" t="s">
        <v>13096</v>
      </c>
      <c r="V7535" s="1" t="s">
        <v>13187</v>
      </c>
      <c r="AR7535" s="1" t="str">
        <f t="shared" si="476"/>
        <v>| [ㄐㄧˋ](ㄐㄧˋ.md) | [癠](癠.md) |  | jì | [動]
生病。《廣韻．上聲．薺韻》：「癠，病也。」《禮記．玉藻》：「親癠，色容不盛，此孝子之疏節也。」 |</v>
      </c>
    </row>
    <row r="7536" spans="1:44" hidden="1">
      <c r="A7536" s="1" t="s">
        <v>13188</v>
      </c>
      <c r="C7536" s="1">
        <v>1</v>
      </c>
      <c r="D7536" s="1" t="str">
        <f>"05457"</f>
        <v>05457</v>
      </c>
      <c r="E7536" s="1" t="s">
        <v>429</v>
      </c>
      <c r="F7536" s="1">
        <v>19</v>
      </c>
      <c r="G7536" s="1">
        <v>14</v>
      </c>
      <c r="H7536" s="1">
        <v>0</v>
      </c>
      <c r="I7536" s="1" t="s">
        <v>13095</v>
      </c>
      <c r="K7536" s="1" t="str">
        <f t="shared" si="477"/>
        <v>ㄐ</v>
      </c>
      <c r="L7536" s="1" t="str">
        <f t="shared" si="478"/>
        <v>ㄧ</v>
      </c>
      <c r="N7536" s="3" t="s">
        <v>30574</v>
      </c>
      <c r="O7536" s="3"/>
      <c r="P7536" s="1" t="s">
        <v>20</v>
      </c>
      <c r="R7536" s="1" t="s">
        <v>13096</v>
      </c>
      <c r="V7536" s="1" t="s">
        <v>13189</v>
      </c>
      <c r="AR7536" s="1" t="str">
        <f t="shared" si="476"/>
        <v>| [ㄐㄧˋ](ㄐㄧˋ.md) | [穧](穧.md) |  | jì | [動]
收割。《說文解字．禾部》：「穧，穫刈也。」
[名]
已經割下還沒有紮束的農作物。《詩經．小雅．大田》：「彼有不穫稚，此有不斂穧。」唐．孔穎達．正義：「穧者，禾之鋪而未束者。」 |</v>
      </c>
    </row>
    <row r="7537" spans="1:44" hidden="1">
      <c r="A7537" s="1" t="s">
        <v>13190</v>
      </c>
      <c r="C7537" s="1">
        <v>1</v>
      </c>
      <c r="D7537" s="1" t="str">
        <f>"05458"</f>
        <v>05458</v>
      </c>
      <c r="E7537" s="1" t="s">
        <v>125</v>
      </c>
      <c r="F7537" s="1">
        <v>22</v>
      </c>
      <c r="G7537" s="1">
        <v>14</v>
      </c>
      <c r="H7537" s="1">
        <v>0</v>
      </c>
      <c r="I7537" s="1" t="s">
        <v>13095</v>
      </c>
      <c r="K7537" s="1" t="str">
        <f t="shared" si="477"/>
        <v>ㄐ</v>
      </c>
      <c r="L7537" s="1" t="str">
        <f t="shared" si="478"/>
        <v>ㄧ</v>
      </c>
      <c r="N7537" s="3" t="s">
        <v>30574</v>
      </c>
      <c r="O7537" s="3"/>
      <c r="P7537" s="1" t="s">
        <v>20</v>
      </c>
      <c r="R7537" s="1" t="s">
        <v>13096</v>
      </c>
      <c r="V7537" s="1" t="s">
        <v>13191</v>
      </c>
      <c r="AR7537" s="1" t="str">
        <f t="shared" si="476"/>
        <v>| [ㄐㄧˋ](ㄐㄧˋ.md) | [霽](霽.md) |  | jì | [動]
1.雨後或霜雪過後轉晴。如：「雪霽」、「秋雨新霽」、「大雪初霽」。唐．杜甫〈閣夜〉詩：「歲暮陰陽催短景，天涯霜雪霽寒宵。」
2.停止。如：「霽怒」。《漢書．卷七四．魏相傳》：「相心善其言，為霽威嚴。」
[名]
晴朗的天氣。宋．姜夔〈翠樓吟．月冷龍沙〉詞：「西山外，晚來還捲，一簾秋霽。」
[形]
晴朗的。唐．祖詠〈清明宴司勳劉郎中別業〉詩：「霽日園林好，清明煙火新。」宋．秦觀〈春日〉詩五首之二：「一夕輕雷落萬絲，霽光浮瓦碧參差。」 |</v>
      </c>
    </row>
    <row r="7538" spans="1:44" hidden="1">
      <c r="A7538" s="1" t="s">
        <v>13192</v>
      </c>
      <c r="C7538" s="1">
        <v>1</v>
      </c>
      <c r="D7538" s="1" t="str">
        <f>"05459"</f>
        <v>05459</v>
      </c>
      <c r="E7538" s="1" t="s">
        <v>156</v>
      </c>
      <c r="F7538" s="1">
        <v>25</v>
      </c>
      <c r="G7538" s="1">
        <v>14</v>
      </c>
      <c r="H7538" s="1">
        <v>0</v>
      </c>
      <c r="I7538" s="1" t="s">
        <v>13095</v>
      </c>
      <c r="K7538" s="1" t="str">
        <f t="shared" si="477"/>
        <v>ㄐ</v>
      </c>
      <c r="L7538" s="1" t="str">
        <f t="shared" si="478"/>
        <v>ㄧ</v>
      </c>
      <c r="N7538" s="3" t="s">
        <v>30574</v>
      </c>
      <c r="O7538" s="3"/>
      <c r="P7538" s="1" t="s">
        <v>20</v>
      </c>
      <c r="R7538" s="1" t="s">
        <v>13096</v>
      </c>
      <c r="V7538" s="1" t="s">
        <v>13193</v>
      </c>
      <c r="AR7538" s="1" t="str">
        <f t="shared" si="476"/>
        <v>| [ㄐㄧˋ](ㄐㄧˋ.md) | [鱭](鱭.md) |  | jì | [名]
動物名。脊椎動物亞門硬骨魚綱鯷科。體側扁如刀，尾纖細，銀白色。口大，尾鰭不對稱，腹部具棱鱗。分布於西太平洋。也稱為「鳳尾魚」。 |</v>
      </c>
    </row>
    <row r="7539" spans="1:44" hidden="1">
      <c r="A7539" s="1" t="s">
        <v>13194</v>
      </c>
      <c r="C7539" s="1">
        <v>1</v>
      </c>
      <c r="D7539" s="1" t="str">
        <f>"05460"</f>
        <v>05460</v>
      </c>
      <c r="E7539" s="1" t="s">
        <v>429</v>
      </c>
      <c r="F7539" s="1">
        <v>15</v>
      </c>
      <c r="G7539" s="1">
        <v>10</v>
      </c>
      <c r="H7539" s="1">
        <v>0</v>
      </c>
      <c r="I7539" s="1" t="s">
        <v>13095</v>
      </c>
      <c r="K7539" s="1" t="str">
        <f t="shared" si="477"/>
        <v>ㄐ</v>
      </c>
      <c r="L7539" s="1" t="str">
        <f t="shared" si="478"/>
        <v>ㄧ</v>
      </c>
      <c r="N7539" s="3" t="s">
        <v>30574</v>
      </c>
      <c r="O7539" s="3"/>
      <c r="P7539" s="1" t="s">
        <v>20</v>
      </c>
      <c r="R7539" s="1" t="s">
        <v>13096</v>
      </c>
      <c r="V7539" s="1" t="s">
        <v>13195</v>
      </c>
      <c r="AR7539" s="1" t="str">
        <f t="shared" si="476"/>
        <v>| [ㄐㄧˋ](ㄐㄧˋ.md) | [稷](稷.md) |  | jì | [名]
1.古書上常見的穀類植物：(1)粟、小米。《爾雅．釋草》：「粢，稷。」三國魏．孫炎．注：「稷，粟也。」(2)黍一類的作物。明．李時珍《本草綱目．卷一一．穀部．稷》：「稷與黍，一類二種也。黏者為黍，不黏者為稷。」(3)高粱。清．王念孫《廣雅疏證．卷一〇上．釋草》：「稷穰謂之䅳。」疏證：「稷，今人謂之高粱。」
2.古人認為稷是百穀之長，所以稱穀神為「稷」。《字彙．禾部》：「稷，穀神。」如：「社稷」。
3.古代掌管農事的官。《書經．舜典》：「汝后稷，播時百穀。」唐．孔穎達．正義：「稷是五穀之長，立官主此稷事。」
4.姓。如漢代有稷嗣。 |</v>
      </c>
    </row>
    <row r="7540" spans="1:44" hidden="1">
      <c r="A7540" s="1" t="s">
        <v>13196</v>
      </c>
      <c r="C7540" s="1">
        <v>1</v>
      </c>
      <c r="D7540" s="1" t="str">
        <f>"05461"</f>
        <v>05461</v>
      </c>
      <c r="E7540" s="1" t="s">
        <v>1078</v>
      </c>
      <c r="F7540" s="1">
        <v>16</v>
      </c>
      <c r="G7540" s="1">
        <v>6</v>
      </c>
      <c r="H7540" s="1">
        <v>0</v>
      </c>
      <c r="I7540" s="1" t="s">
        <v>13095</v>
      </c>
      <c r="K7540" s="1" t="str">
        <f t="shared" si="477"/>
        <v>ㄐ</v>
      </c>
      <c r="L7540" s="1" t="str">
        <f t="shared" si="478"/>
        <v>ㄧ</v>
      </c>
      <c r="N7540" s="3" t="s">
        <v>30574</v>
      </c>
      <c r="O7540" s="3"/>
      <c r="P7540" s="1" t="s">
        <v>20</v>
      </c>
      <c r="R7540" s="1" t="s">
        <v>13096</v>
      </c>
      <c r="V7540" s="1" t="s">
        <v>13197</v>
      </c>
      <c r="AR7540" s="1" t="str">
        <f t="shared" si="476"/>
        <v>| [ㄐㄧˋ](ㄐㄧˋ.md) | [髻](髻.md) |  | jì | [名]
盤結於頭頂或腦後的頭髮，有各種形狀。如：「雲髻」、「倭墮髻」、「鑽天髻」。唐．王建〈失釵怨〉詩：「鏡中乍無失髻樣，初起猶疑墮床上。」宋．劉辰翁〈寶鼎現．紅妝春騎〉詞：「又說向，燈前擁髻，暗滴鮫珠墜。」 |</v>
      </c>
    </row>
    <row r="7541" spans="1:44" hidden="1">
      <c r="A7541" s="1" t="s">
        <v>13198</v>
      </c>
      <c r="C7541" s="1">
        <v>1</v>
      </c>
      <c r="D7541" s="1" t="str">
        <f>"05462"</f>
        <v>05462</v>
      </c>
      <c r="E7541" s="1" t="s">
        <v>18</v>
      </c>
      <c r="F7541" s="1">
        <v>16</v>
      </c>
      <c r="G7541" s="1">
        <v>14</v>
      </c>
      <c r="H7541" s="1">
        <v>0</v>
      </c>
      <c r="I7541" s="1" t="s">
        <v>13095</v>
      </c>
      <c r="K7541" s="1" t="str">
        <f t="shared" si="477"/>
        <v>ㄐ</v>
      </c>
      <c r="L7541" s="1" t="str">
        <f t="shared" si="478"/>
        <v>ㄧ</v>
      </c>
      <c r="N7541" s="3" t="s">
        <v>30574</v>
      </c>
      <c r="O7541" s="3"/>
      <c r="P7541" s="1" t="s">
        <v>20</v>
      </c>
      <c r="R7541" s="1" t="s">
        <v>13096</v>
      </c>
      <c r="V7541" s="1" t="s">
        <v>13199</v>
      </c>
      <c r="AR7541" s="1" t="str">
        <f t="shared" si="476"/>
        <v>| [ㄐㄧˋ](ㄐㄧˋ.md) | [冀](冀.md) |  | jì | [動]
希望。如：「希冀」、「冀望」。《楚辭．屈原．離騷》：「冀枝葉之峻茂兮，願俟時乎吾將刈。」《漢書．卷六八．霍光傳》：「冀其自新。」
[名]
1.國名。周代時所建，後滅於晉。
2.大陸地區河北省的簡稱。 |</v>
      </c>
    </row>
    <row r="7542" spans="1:44" hidden="1">
      <c r="A7542" s="1" t="s">
        <v>13200</v>
      </c>
      <c r="C7542" s="1">
        <v>1</v>
      </c>
      <c r="D7542" s="1" t="str">
        <f>"05463"</f>
        <v>05463</v>
      </c>
      <c r="E7542" s="1" t="s">
        <v>250</v>
      </c>
      <c r="F7542" s="1">
        <v>19</v>
      </c>
      <c r="G7542" s="1">
        <v>16</v>
      </c>
      <c r="H7542" s="1">
        <v>0</v>
      </c>
      <c r="I7542" s="1" t="s">
        <v>13095</v>
      </c>
      <c r="K7542" s="1" t="str">
        <f t="shared" si="477"/>
        <v>ㄐ</v>
      </c>
      <c r="L7542" s="1" t="str">
        <f t="shared" si="478"/>
        <v>ㄧ</v>
      </c>
      <c r="N7542" s="3" t="s">
        <v>30574</v>
      </c>
      <c r="O7542" s="3"/>
      <c r="P7542" s="1" t="s">
        <v>20</v>
      </c>
      <c r="R7542" s="1" t="s">
        <v>13096</v>
      </c>
      <c r="V7542" s="1" t="s">
        <v>13201</v>
      </c>
      <c r="AR7542" s="1" t="str">
        <f t="shared" si="476"/>
        <v>| [ㄐㄧˋ](ㄐㄧˋ.md) | [懻](懻.md) |  | jì | [形]
強直、強狠。《集韻．去聲．至韻》：「懻，彊直貌。」《史記．卷一二九．貨殖傳》：「人民矜懻忮，好氣，任俠為姦，不事農商。」 |</v>
      </c>
    </row>
    <row r="7543" spans="1:44" hidden="1">
      <c r="A7543" s="1" t="s">
        <v>13202</v>
      </c>
      <c r="C7543" s="1">
        <v>1</v>
      </c>
      <c r="D7543" s="1" t="str">
        <f>"05464"</f>
        <v>05464</v>
      </c>
      <c r="E7543" s="1" t="s">
        <v>319</v>
      </c>
      <c r="F7543" s="1">
        <v>26</v>
      </c>
      <c r="G7543" s="1">
        <v>16</v>
      </c>
      <c r="H7543" s="1">
        <v>0</v>
      </c>
      <c r="I7543" s="1" t="s">
        <v>13095</v>
      </c>
      <c r="K7543" s="1" t="str">
        <f t="shared" si="477"/>
        <v>ㄐ</v>
      </c>
      <c r="L7543" s="1" t="str">
        <f t="shared" si="478"/>
        <v>ㄧ</v>
      </c>
      <c r="N7543" s="3" t="s">
        <v>30574</v>
      </c>
      <c r="O7543" s="3"/>
      <c r="P7543" s="1" t="s">
        <v>20</v>
      </c>
      <c r="R7543" s="1" t="s">
        <v>13096</v>
      </c>
      <c r="V7543" s="1" t="s">
        <v>13203</v>
      </c>
      <c r="AR7543" s="1" t="str">
        <f t="shared" si="476"/>
        <v>| [ㄐㄧˋ](ㄐㄧˋ.md) | [驥](驥.md) |  | jì | [名]
1.千里馬。《說文解字．馬部》：「驥，千里馬也。」如：「老驥伏櫪」。《莊子．秋水》：「騏驥驊騮，一日而馳千里。」
2.比喻傑出的人才。《晉書．卷八二．虞預傳》：「十室之邑，必有忠信，世不乏驥，求則可致。」 |</v>
      </c>
    </row>
    <row r="7544" spans="1:44" hidden="1">
      <c r="A7544" s="1" t="s">
        <v>13204</v>
      </c>
      <c r="C7544" s="1">
        <v>1</v>
      </c>
      <c r="D7544" s="1" t="str">
        <f>"05465"</f>
        <v>05465</v>
      </c>
      <c r="E7544" s="1" t="s">
        <v>139</v>
      </c>
      <c r="F7544" s="1">
        <v>17</v>
      </c>
      <c r="G7544" s="1">
        <v>13</v>
      </c>
      <c r="H7544" s="1">
        <v>0</v>
      </c>
      <c r="I7544" s="1" t="s">
        <v>13095</v>
      </c>
      <c r="K7544" s="1" t="str">
        <f t="shared" si="477"/>
        <v>ㄐ</v>
      </c>
      <c r="L7544" s="1" t="str">
        <f t="shared" si="478"/>
        <v>ㄧ</v>
      </c>
      <c r="N7544" s="3" t="s">
        <v>30574</v>
      </c>
      <c r="O7544" s="3"/>
      <c r="P7544" s="1" t="s">
        <v>20</v>
      </c>
      <c r="R7544" s="1" t="s">
        <v>13096</v>
      </c>
      <c r="V7544" s="1" t="s">
        <v>13205</v>
      </c>
      <c r="AR7544" s="1" t="str">
        <f t="shared" si="476"/>
        <v>| [ㄐㄧˋ](ㄐㄧˋ.md) | [檕](檕.md) |  | jì | [名]
水井上轆轤的橫木，用以繫汲水的繩索。一端繫水桶，一端繫重物，可以上下轉動。《康熙字典．木部》：「檕當為桔槔上橫木，所以轉機。」 |</v>
      </c>
    </row>
    <row r="7545" spans="1:44" hidden="1">
      <c r="A7545" s="1" t="s">
        <v>13206</v>
      </c>
      <c r="C7545" s="1">
        <v>1</v>
      </c>
      <c r="D7545" s="1" t="str">
        <f>"05466"</f>
        <v>05466</v>
      </c>
      <c r="E7545" s="1" t="s">
        <v>725</v>
      </c>
      <c r="F7545" s="1">
        <v>19</v>
      </c>
      <c r="G7545" s="1">
        <v>13</v>
      </c>
      <c r="H7545" s="1">
        <v>2</v>
      </c>
      <c r="I7545" s="1" t="s">
        <v>13095</v>
      </c>
      <c r="K7545" s="1" t="str">
        <f t="shared" si="477"/>
        <v>ㄐ</v>
      </c>
      <c r="L7545" s="1" t="str">
        <f t="shared" si="478"/>
        <v>ㄧ</v>
      </c>
      <c r="N7545" s="3" t="s">
        <v>30574</v>
      </c>
      <c r="O7545" s="3"/>
      <c r="P7545" s="1" t="s">
        <v>20</v>
      </c>
      <c r="R7545" s="1" t="s">
        <v>13096</v>
      </c>
      <c r="V7545" s="1" t="s">
        <v>13207</v>
      </c>
      <c r="W7545" s="1" t="s">
        <v>13208</v>
      </c>
      <c r="AR7545" s="1" t="str">
        <f t="shared" si="476"/>
        <v>| [ㄐㄧˋ](ㄐㄧˋ.md) | [繫](繫.md) |  | jì | [動]
綁、扣、結。如：「繫鞋帶」、「紅繩繫足」。 |</v>
      </c>
    </row>
    <row r="7546" spans="1:44" hidden="1">
      <c r="A7546" s="1" t="s">
        <v>13209</v>
      </c>
      <c r="C7546" s="1">
        <v>1</v>
      </c>
      <c r="D7546" s="1" t="str">
        <f>"05467"</f>
        <v>05467</v>
      </c>
      <c r="E7546" s="1" t="s">
        <v>37</v>
      </c>
      <c r="F7546" s="1">
        <v>17</v>
      </c>
      <c r="G7546" s="1">
        <v>13</v>
      </c>
      <c r="H7546" s="1">
        <v>0</v>
      </c>
      <c r="I7546" s="1" t="s">
        <v>13095</v>
      </c>
      <c r="K7546" s="1" t="str">
        <f t="shared" si="477"/>
        <v>ㄐ</v>
      </c>
      <c r="L7546" s="1" t="str">
        <f t="shared" si="478"/>
        <v>ㄧ</v>
      </c>
      <c r="N7546" s="3" t="s">
        <v>30574</v>
      </c>
      <c r="O7546" s="3"/>
      <c r="P7546" s="1" t="s">
        <v>20</v>
      </c>
      <c r="R7546" s="1" t="s">
        <v>13096</v>
      </c>
      <c r="V7546" s="1" t="s">
        <v>13210</v>
      </c>
      <c r="AR7546" s="1" t="str">
        <f t="shared" si="476"/>
        <v>| [ㄐㄧˋ](ㄐㄧˋ.md) | [薊](薊.md) |  | jì | [名]
1.菊科菜薊族總苞片頂端常具各式芒刺的一些屬植物的泛稱，如「薊屬」、「虎頭薊屬」、「菜薊屬」等。大草本，葉緣有刺針，頭狀花序同型，於枝頂排成總狀，圓錐狀罕穗狀，紫紅或白色，小花全部為管狀花冠。約有三百種以上。
2.地名。唐玄宗開元十八年置，治所在漁陽，約當今大陸地區河北省薊縣。
3.姓。如漢代有薊子訓。 |</v>
      </c>
    </row>
    <row r="7547" spans="1:44" hidden="1">
      <c r="A7547" s="1" t="s">
        <v>13211</v>
      </c>
      <c r="C7547" s="1">
        <v>1</v>
      </c>
      <c r="D7547" s="1" t="str">
        <f>"05468"</f>
        <v>05468</v>
      </c>
      <c r="E7547" s="1" t="s">
        <v>156</v>
      </c>
      <c r="F7547" s="1">
        <v>17</v>
      </c>
      <c r="G7547" s="1">
        <v>6</v>
      </c>
      <c r="H7547" s="1">
        <v>0</v>
      </c>
      <c r="I7547" s="1" t="s">
        <v>13095</v>
      </c>
      <c r="K7547" s="1" t="str">
        <f t="shared" si="477"/>
        <v>ㄐ</v>
      </c>
      <c r="L7547" s="1" t="str">
        <f t="shared" si="478"/>
        <v>ㄧ</v>
      </c>
      <c r="N7547" s="3" t="s">
        <v>30574</v>
      </c>
      <c r="O7547" s="3"/>
      <c r="P7547" s="1" t="s">
        <v>20</v>
      </c>
      <c r="R7547" s="1" t="s">
        <v>13096</v>
      </c>
      <c r="V7547" s="1" t="s">
        <v>13212</v>
      </c>
      <c r="AR7547" s="1" t="str">
        <f t="shared" si="476"/>
        <v>| [ㄐㄧˋ](ㄐㄧˋ.md) | [鮆](鮆.md) |  | jì | [名]
一種外形似刀的魚。《說文解字．魚部》：「鮆，刀魚也，飲而不食。」宋．蘇軾〈和文與可洋川園池．寒蘆港〉詩：「還有江南風物否？桃花流水鮆魚肥。」 |</v>
      </c>
    </row>
    <row r="7548" spans="1:44" hidden="1">
      <c r="A7548" s="1" t="s">
        <v>13213</v>
      </c>
      <c r="C7548" s="1">
        <v>1</v>
      </c>
      <c r="D7548" s="1" t="str">
        <f>"05469"</f>
        <v>05469</v>
      </c>
      <c r="E7548" s="1" t="s">
        <v>2233</v>
      </c>
      <c r="F7548" s="1">
        <v>17</v>
      </c>
      <c r="G7548" s="1">
        <v>10</v>
      </c>
      <c r="H7548" s="1">
        <v>0</v>
      </c>
      <c r="I7548" s="1" t="s">
        <v>13095</v>
      </c>
      <c r="K7548" s="1" t="str">
        <f t="shared" si="477"/>
        <v>ㄐ</v>
      </c>
      <c r="L7548" s="1" t="str">
        <f t="shared" si="478"/>
        <v>ㄧ</v>
      </c>
      <c r="N7548" s="3" t="s">
        <v>30574</v>
      </c>
      <c r="O7548" s="3"/>
      <c r="P7548" s="1" t="s">
        <v>20</v>
      </c>
      <c r="R7548" s="1" t="s">
        <v>13096</v>
      </c>
      <c r="V7548" s="1" t="s">
        <v>13214</v>
      </c>
      <c r="AR7548" s="1" t="str">
        <f t="shared" si="476"/>
        <v>| [ㄐㄧˋ](ㄐㄧˋ.md) | [覬](覬.md) |  | jì | 參見「覬倖」、「覬覦」等條。 |</v>
      </c>
    </row>
    <row r="7549" spans="1:44" hidden="1">
      <c r="A7549" s="1" t="s">
        <v>13215</v>
      </c>
      <c r="C7549" s="1">
        <v>1</v>
      </c>
      <c r="D7549" s="1" t="str">
        <f>"05470"</f>
        <v>05470</v>
      </c>
      <c r="E7549" s="1" t="s">
        <v>118</v>
      </c>
      <c r="F7549" s="1">
        <v>17</v>
      </c>
      <c r="G7549" s="1">
        <v>12</v>
      </c>
      <c r="H7549" s="1">
        <v>0</v>
      </c>
      <c r="I7549" s="1" t="s">
        <v>13095</v>
      </c>
      <c r="K7549" s="1" t="str">
        <f t="shared" si="477"/>
        <v>ㄐ</v>
      </c>
      <c r="L7549" s="1" t="str">
        <f t="shared" si="478"/>
        <v>ㄧ</v>
      </c>
      <c r="N7549" s="3" t="s">
        <v>30574</v>
      </c>
      <c r="O7549" s="3"/>
      <c r="P7549" s="1" t="s">
        <v>20</v>
      </c>
      <c r="R7549" s="1" t="s">
        <v>13096</v>
      </c>
      <c r="V7549" s="1" t="s">
        <v>13216</v>
      </c>
      <c r="AR7549" s="1" t="str">
        <f t="shared" si="476"/>
        <v>| [ㄐㄧˋ](ㄐㄧˋ.md) | [罽](罽.md) |  | jì | [名]
毛織地氈一類的東西。《爾雅．釋言》：「氂，罽也。」宋．邢昺．疏：「罽者，織毛為之，若今之毛氍毹。」《聊齋志異．卷二．蓮香》：「悉以罽毯貼地，百千籠燭，燦列如錦。」 |</v>
      </c>
    </row>
    <row r="7550" spans="1:44" hidden="1">
      <c r="A7550" s="1" t="s">
        <v>13217</v>
      </c>
      <c r="C7550" s="1">
        <v>1</v>
      </c>
      <c r="D7550" s="1" t="str">
        <f>"05471"</f>
        <v>05471</v>
      </c>
      <c r="E7550" s="1" t="s">
        <v>37</v>
      </c>
      <c r="F7550" s="1">
        <v>21</v>
      </c>
      <c r="G7550" s="1">
        <v>17</v>
      </c>
      <c r="H7550" s="1">
        <v>0</v>
      </c>
      <c r="I7550" s="1" t="s">
        <v>13095</v>
      </c>
      <c r="K7550" s="1" t="str">
        <f t="shared" si="477"/>
        <v>ㄐ</v>
      </c>
      <c r="L7550" s="1" t="str">
        <f t="shared" si="478"/>
        <v>ㄧ</v>
      </c>
      <c r="N7550" s="3" t="s">
        <v>30574</v>
      </c>
      <c r="O7550" s="3"/>
      <c r="P7550" s="1" t="s">
        <v>20</v>
      </c>
      <c r="R7550" s="1" t="s">
        <v>13096</v>
      </c>
      <c r="V7550" s="1" t="s">
        <v>13218</v>
      </c>
      <c r="AR7550" s="1" t="str">
        <f t="shared" si="476"/>
        <v>| [ㄐㄧˋ](ㄐㄧˋ.md) | [蘮](蘮.md) |  | jì | 參見「蘮蒘」條。 |</v>
      </c>
    </row>
    <row r="7551" spans="1:44" hidden="1">
      <c r="A7551" s="1" t="s">
        <v>13219</v>
      </c>
      <c r="C7551" s="1">
        <v>1</v>
      </c>
      <c r="D7551" s="1" t="str">
        <f>"05472"</f>
        <v>05472</v>
      </c>
      <c r="E7551" s="1" t="s">
        <v>156</v>
      </c>
      <c r="F7551" s="1">
        <v>18</v>
      </c>
      <c r="G7551" s="1">
        <v>7</v>
      </c>
      <c r="H7551" s="1">
        <v>0</v>
      </c>
      <c r="I7551" s="1" t="s">
        <v>13095</v>
      </c>
      <c r="K7551" s="1" t="str">
        <f t="shared" si="477"/>
        <v>ㄐ</v>
      </c>
      <c r="L7551" s="1" t="str">
        <f t="shared" si="478"/>
        <v>ㄧ</v>
      </c>
      <c r="N7551" s="3" t="s">
        <v>30574</v>
      </c>
      <c r="O7551" s="3"/>
      <c r="P7551" s="1" t="s">
        <v>20</v>
      </c>
      <c r="R7551" s="1" t="s">
        <v>13096</v>
      </c>
      <c r="V7551" s="1" t="s">
        <v>13220</v>
      </c>
      <c r="AR7551" s="1" t="str">
        <f t="shared" si="476"/>
        <v>| [ㄐㄧˋ](ㄐㄧˋ.md) | [鯽](鯽.md) |  | jì | [名]
動物名。鯉目鯉科。形似鯉，脊隆起，頭口皆小，無鬚。腹大，白色，背青褐色。骨多，味美。較鯉魚耐寒。產於淡海中。為常見的食用魚。 |</v>
      </c>
    </row>
    <row r="7552" spans="1:44" hidden="1">
      <c r="A7552" s="1" t="s">
        <v>13221</v>
      </c>
      <c r="C7552" s="1">
        <v>1</v>
      </c>
      <c r="D7552" s="1" t="str">
        <f>"05473"</f>
        <v>05473</v>
      </c>
      <c r="E7552" s="1" t="s">
        <v>725</v>
      </c>
      <c r="F7552" s="1">
        <v>20</v>
      </c>
      <c r="G7552" s="1">
        <v>14</v>
      </c>
      <c r="H7552" s="1">
        <v>0</v>
      </c>
      <c r="I7552" s="1" t="s">
        <v>13095</v>
      </c>
      <c r="K7552" s="1" t="str">
        <f t="shared" si="477"/>
        <v>ㄐ</v>
      </c>
      <c r="L7552" s="1" t="str">
        <f t="shared" si="478"/>
        <v>ㄧ</v>
      </c>
      <c r="N7552" s="3" t="s">
        <v>30574</v>
      </c>
      <c r="O7552" s="3"/>
      <c r="P7552" s="1" t="s">
        <v>20</v>
      </c>
      <c r="R7552" s="1" t="s">
        <v>13096</v>
      </c>
      <c r="V7552" s="1" t="s">
        <v>13222</v>
      </c>
      <c r="AR7552" s="1" t="str">
        <f t="shared" si="476"/>
        <v>| [ㄐㄧˋ](ㄐㄧˋ.md) | [繼](繼.md) |  | jì | [動]
1.接續、接連。如：「繼續」、「前仆後繼」。《左傳．僖公三十三年》：「攻之不克，圍之不繼，吾其還也。」宋．王禹偁〈對雪〉詩：「月俸雖無餘，晨炊且相繼。」
2.承續。如：「繼承」、「繼位」、「父死子繼」。《禮記．中庸》：「夫孝者，善繼人之志，善述人之事者也。」
[形]
後續的。如：「繼室」、「繼父」、「繼母」。
[副]
隨後、跟著。《孟子．公孫丑下》：「繼而有師命。」宋．陸游〈暴雨〉詩：「明日暴雨來，繼以雷大震。」
[名]
姓。如宋代有繼賢。 |</v>
      </c>
    </row>
    <row r="7553" spans="1:44" hidden="1">
      <c r="A7553" s="1" t="s">
        <v>12936</v>
      </c>
      <c r="C7553" s="1">
        <v>1</v>
      </c>
      <c r="D7553" s="1" t="str">
        <f>"05344"</f>
        <v>05344</v>
      </c>
      <c r="E7553" s="1" t="s">
        <v>1880</v>
      </c>
      <c r="F7553" s="1">
        <v>4</v>
      </c>
      <c r="G7553" s="1">
        <v>2</v>
      </c>
      <c r="H7553" s="1">
        <v>0</v>
      </c>
      <c r="I7553" s="1" t="s">
        <v>12937</v>
      </c>
      <c r="K7553" s="1" t="str">
        <f t="shared" si="477"/>
        <v>ㄐ</v>
      </c>
      <c r="L7553" s="1" t="str">
        <f t="shared" si="478"/>
        <v>ㄧ</v>
      </c>
      <c r="N7553" s="3" t="s">
        <v>30575</v>
      </c>
      <c r="O7553" s="3"/>
      <c r="P7553" s="1" t="s">
        <v>20</v>
      </c>
      <c r="R7553" s="1" t="s">
        <v>12938</v>
      </c>
      <c r="V7553" s="1" t="s">
        <v>12939</v>
      </c>
      <c r="AR7553" s="1" t="str">
        <f t="shared" si="476"/>
        <v>| [ㄐㄧˊ](ㄐㄧˊ.md) | [及](及.md) |  | jí | [動]
1.到、到達。如：「及至」、「及第」、「推己及人」。《左傳．隱公元年》：「不及黃泉，無相見也！」唐．李頎〈送陳章甫〉詩：「鄭國遊人來及家，洛陽行子空歎息。」
2.趕得上。如：「及時」、「及早」、「來得及」、「迅雷不及掩耳」。
3.比得上。《論語．公冶長》：「非爾所及也。」唐．李白〈贈汪倫〉詩：「桃花潭水深千尺，不及汪倫送我情。」
4.牽涉、發生關係。如：「波及」、「涉及」、「言不及義」。
5.古君位傳襲制度中兄弟相傳。如：「兄終弟及」。《禮記．禮運》：「大人世及以為禮。」
[連]
與、和。《書經．湯誓》：「時日曷喪？予及汝皆亡。」唐．李白〈蜀道難〉：「蠶叢及魚鳧，開國何茫然？」 |</v>
      </c>
    </row>
    <row r="7554" spans="1:44" hidden="1">
      <c r="A7554" s="1" t="s">
        <v>12940</v>
      </c>
      <c r="C7554" s="1">
        <v>1</v>
      </c>
      <c r="D7554" s="1" t="str">
        <f>"05345"</f>
        <v>05345</v>
      </c>
      <c r="E7554" s="1" t="s">
        <v>114</v>
      </c>
      <c r="F7554" s="1">
        <v>6</v>
      </c>
      <c r="G7554" s="1">
        <v>4</v>
      </c>
      <c r="H7554" s="1">
        <v>0</v>
      </c>
      <c r="I7554" s="1" t="s">
        <v>12937</v>
      </c>
      <c r="K7554" s="1" t="str">
        <f t="shared" si="477"/>
        <v>ㄐ</v>
      </c>
      <c r="L7554" s="1" t="str">
        <f t="shared" si="478"/>
        <v>ㄧ</v>
      </c>
      <c r="N7554" s="3" t="s">
        <v>30575</v>
      </c>
      <c r="O7554" s="3"/>
      <c r="P7554" s="1" t="s">
        <v>20</v>
      </c>
      <c r="R7554" s="1" t="s">
        <v>12938</v>
      </c>
      <c r="V7554" s="1" t="s">
        <v>12941</v>
      </c>
      <c r="AR7554" s="1" t="str">
        <f t="shared" si="476"/>
        <v>| [ㄐㄧˊ](ㄐㄧˊ.md) | [伋](伋.md) |  | jí | [名]
人名用字。如孔子的孫子孔伋，字子思。 |</v>
      </c>
    </row>
    <row r="7555" spans="1:44" hidden="1">
      <c r="A7555" s="1" t="s">
        <v>12942</v>
      </c>
      <c r="C7555" s="1">
        <v>1</v>
      </c>
      <c r="D7555" s="1" t="str">
        <f>"05346"</f>
        <v>05346</v>
      </c>
      <c r="E7555" s="1" t="s">
        <v>129</v>
      </c>
      <c r="F7555" s="1">
        <v>7</v>
      </c>
      <c r="G7555" s="1">
        <v>4</v>
      </c>
      <c r="H7555" s="1">
        <v>0</v>
      </c>
      <c r="I7555" s="1" t="s">
        <v>12937</v>
      </c>
      <c r="K7555" s="1" t="str">
        <f t="shared" si="477"/>
        <v>ㄐ</v>
      </c>
      <c r="L7555" s="1" t="str">
        <f t="shared" si="478"/>
        <v>ㄧ</v>
      </c>
      <c r="N7555" s="3" t="s">
        <v>30575</v>
      </c>
      <c r="O7555" s="3"/>
      <c r="P7555" s="1" t="s">
        <v>20</v>
      </c>
      <c r="R7555" s="1" t="s">
        <v>12938</v>
      </c>
      <c r="V7555" s="1" t="s">
        <v>12943</v>
      </c>
      <c r="AR7555" s="1" t="str">
        <f t="shared" ref="AR7555:AR7618" si="479">"| ["&amp;I7555&amp;"]("&amp;I7555&amp;".md) | ["&amp;A7555&amp;"]("&amp;A7555&amp;".md) | "&amp;" | "&amp;R7555&amp;" | "&amp;V7555&amp;" |"</f>
        <v>| [ㄐㄧˊ](ㄐㄧˊ.md) | [汲](汲.md) |  | jí | [動]
自井中取水。如：「汲水」、「汲引」。唐．柳宗元〈晨詣超師院讀禪經〉詩：「汲井漱寒齒，清心拂塵服。」元．盧摯〈蟾宮曲．奴耕婢織生涯〉曲：「有客來，汲清泉，自煮茶芽。」
[名]
姓。如漢代有汲黯。 |</v>
      </c>
    </row>
    <row r="7556" spans="1:44" hidden="1">
      <c r="A7556" s="1" t="s">
        <v>12944</v>
      </c>
      <c r="C7556" s="1">
        <v>1</v>
      </c>
      <c r="D7556" s="1" t="str">
        <f>"05347"</f>
        <v>05347</v>
      </c>
      <c r="E7556" s="1" t="s">
        <v>250</v>
      </c>
      <c r="F7556" s="1">
        <v>7</v>
      </c>
      <c r="G7556" s="1">
        <v>4</v>
      </c>
      <c r="H7556" s="1">
        <v>0</v>
      </c>
      <c r="I7556" s="1" t="s">
        <v>12937</v>
      </c>
      <c r="K7556" s="1" t="str">
        <f t="shared" ref="K7556:K7619" si="480">LEFT(I7556, 1)</f>
        <v>ㄐ</v>
      </c>
      <c r="L7556" s="1" t="str">
        <f t="shared" ref="L7556:L7619" si="481">MID(I7556, 2, 1)</f>
        <v>ㄧ</v>
      </c>
      <c r="N7556" s="3" t="s">
        <v>30575</v>
      </c>
      <c r="O7556" s="3"/>
      <c r="P7556" s="1" t="s">
        <v>20</v>
      </c>
      <c r="R7556" s="1" t="s">
        <v>12938</v>
      </c>
      <c r="V7556" s="1" t="s">
        <v>12945</v>
      </c>
      <c r="AR7556" s="1" t="str">
        <f t="shared" si="479"/>
        <v>| [ㄐㄧˊ](ㄐㄧˊ.md) | [忣](忣.md) |  | jí | [形]
急躁。同「急」。《淮南子．繆稱》：「誠中之人，樂而不忣。」 |</v>
      </c>
    </row>
    <row r="7557" spans="1:44" hidden="1">
      <c r="A7557" s="1" t="s">
        <v>12946</v>
      </c>
      <c r="C7557" s="1">
        <v>1</v>
      </c>
      <c r="D7557" s="1" t="str">
        <f>"05348"</f>
        <v>05348</v>
      </c>
      <c r="E7557" s="1" t="s">
        <v>132</v>
      </c>
      <c r="F7557" s="1">
        <v>7</v>
      </c>
      <c r="G7557" s="1">
        <v>4</v>
      </c>
      <c r="H7557" s="1">
        <v>1</v>
      </c>
      <c r="I7557" s="1" t="s">
        <v>12937</v>
      </c>
      <c r="K7557" s="1" t="str">
        <f t="shared" si="480"/>
        <v>ㄐ</v>
      </c>
      <c r="L7557" s="1" t="str">
        <f t="shared" si="481"/>
        <v>ㄧ</v>
      </c>
      <c r="N7557" s="3" t="s">
        <v>30575</v>
      </c>
      <c r="O7557" s="3"/>
      <c r="P7557" s="1" t="s">
        <v>20</v>
      </c>
      <c r="R7557" s="1" t="s">
        <v>12938</v>
      </c>
      <c r="V7557" s="1" t="s">
        <v>12947</v>
      </c>
      <c r="W7557" s="1" t="s">
        <v>12948</v>
      </c>
      <c r="AR7557" s="1" t="str">
        <f t="shared" si="479"/>
        <v>| [ㄐㄧˊ](ㄐㄧˊ.md) | [圾](圾.md) |  | jí | [形]
危殆。通「岌」《莊子．天地》：「殆哉圾乎天下。」 |</v>
      </c>
    </row>
    <row r="7558" spans="1:44" hidden="1">
      <c r="A7558" s="1" t="s">
        <v>12949</v>
      </c>
      <c r="C7558" s="1">
        <v>1</v>
      </c>
      <c r="D7558" s="1" t="str">
        <f>"05349"</f>
        <v>05349</v>
      </c>
      <c r="E7558" s="1" t="s">
        <v>190</v>
      </c>
      <c r="F7558" s="1">
        <v>7</v>
      </c>
      <c r="G7558" s="1">
        <v>4</v>
      </c>
      <c r="H7558" s="1">
        <v>0</v>
      </c>
      <c r="I7558" s="1" t="s">
        <v>12937</v>
      </c>
      <c r="K7558" s="1" t="str">
        <f t="shared" si="480"/>
        <v>ㄐ</v>
      </c>
      <c r="L7558" s="1" t="str">
        <f t="shared" si="481"/>
        <v>ㄧ</v>
      </c>
      <c r="N7558" s="3" t="s">
        <v>30575</v>
      </c>
      <c r="O7558" s="3"/>
      <c r="P7558" s="1" t="s">
        <v>20</v>
      </c>
      <c r="R7558" s="1" t="s">
        <v>12938</v>
      </c>
      <c r="V7558" s="1" t="s">
        <v>12950</v>
      </c>
      <c r="AR7558" s="1" t="str">
        <f t="shared" si="479"/>
        <v>| [ㄐㄧˊ](ㄐㄧˊ.md) | [岌](岌.md) |  | jí | [形]
1.山勢高峻。如：「岌峨」、「岌嶪」。《爾雅．釋山》：「小山岌，大山峘。」
2.危險。參見「岌岌」條。 |</v>
      </c>
    </row>
    <row r="7559" spans="1:44" hidden="1">
      <c r="A7559" s="1" t="s">
        <v>12951</v>
      </c>
      <c r="C7559" s="1">
        <v>1</v>
      </c>
      <c r="D7559" s="1" t="str">
        <f>"05350"</f>
        <v>05350</v>
      </c>
      <c r="E7559" s="1" t="s">
        <v>37</v>
      </c>
      <c r="F7559" s="1">
        <v>8</v>
      </c>
      <c r="G7559" s="1">
        <v>4</v>
      </c>
      <c r="H7559" s="1">
        <v>0</v>
      </c>
      <c r="I7559" s="1" t="s">
        <v>12937</v>
      </c>
      <c r="K7559" s="1" t="str">
        <f t="shared" si="480"/>
        <v>ㄐ</v>
      </c>
      <c r="L7559" s="1" t="str">
        <f t="shared" si="481"/>
        <v>ㄧ</v>
      </c>
      <c r="N7559" s="3" t="s">
        <v>30575</v>
      </c>
      <c r="O7559" s="3"/>
      <c r="P7559" s="1" t="s">
        <v>20</v>
      </c>
      <c r="R7559" s="1" t="s">
        <v>12938</v>
      </c>
      <c r="V7559" s="1" t="s">
        <v>12952</v>
      </c>
      <c r="AR7559" s="1" t="str">
        <f t="shared" si="479"/>
        <v>| [ㄐㄧˊ](ㄐㄧˊ.md) | [芨](芨.md) |  | jí | [名]
植物名：（1)忍冬科接骨木屬，亞灌木。葉對生，奇數羽狀複葉，小葉五至七十枚，狹卵形，有鋸齒。夏日開花，大形頂生繖房花序，兩性花花冠輻形，白色，先端五裂，中性花為杯狀的黃色腺體，漿果為紅色而圓。多生於原野間。莖、葉及根為驅風藥，治手足偏風、腰痛等。俗稱為「接骨草」，也稱為「蒴藋」、「冇骨消」。(2)蘭科白芨屬，「白芨」之古稱。參見「白芨」條。 |</v>
      </c>
    </row>
    <row r="7560" spans="1:44" hidden="1">
      <c r="A7560" s="1" t="s">
        <v>12953</v>
      </c>
      <c r="C7560" s="1">
        <v>1</v>
      </c>
      <c r="D7560" s="1" t="str">
        <f>"05351"</f>
        <v>05351</v>
      </c>
      <c r="E7560" s="1" t="s">
        <v>49</v>
      </c>
      <c r="F7560" s="1">
        <v>10</v>
      </c>
      <c r="G7560" s="1">
        <v>4</v>
      </c>
      <c r="H7560" s="1">
        <v>0</v>
      </c>
      <c r="I7560" s="1" t="s">
        <v>12937</v>
      </c>
      <c r="K7560" s="1" t="str">
        <f t="shared" si="480"/>
        <v>ㄐ</v>
      </c>
      <c r="L7560" s="1" t="str">
        <f t="shared" si="481"/>
        <v>ㄧ</v>
      </c>
      <c r="N7560" s="3" t="s">
        <v>30575</v>
      </c>
      <c r="O7560" s="3"/>
      <c r="P7560" s="1" t="s">
        <v>20</v>
      </c>
      <c r="R7560" s="1" t="s">
        <v>12938</v>
      </c>
      <c r="V7560" s="1" t="s">
        <v>12954</v>
      </c>
      <c r="AR7560" s="1" t="str">
        <f t="shared" si="479"/>
        <v>| [ㄐㄧˊ](ㄐㄧˊ.md) | [笈](笈.md) |  | jí | [名]
書箱。《聊齋志異．卷一．勞山道士》：「聞勞山多仙人，負笈往遊。」 |</v>
      </c>
    </row>
    <row r="7561" spans="1:44" hidden="1">
      <c r="A7561" s="1" t="s">
        <v>12955</v>
      </c>
      <c r="C7561" s="1">
        <v>1</v>
      </c>
      <c r="D7561" s="1" t="str">
        <f>"05352"</f>
        <v>05352</v>
      </c>
      <c r="E7561" s="1" t="s">
        <v>725</v>
      </c>
      <c r="F7561" s="1">
        <v>10</v>
      </c>
      <c r="G7561" s="1">
        <v>4</v>
      </c>
      <c r="H7561" s="1">
        <v>0</v>
      </c>
      <c r="I7561" s="1" t="s">
        <v>12937</v>
      </c>
      <c r="K7561" s="1" t="str">
        <f t="shared" si="480"/>
        <v>ㄐ</v>
      </c>
      <c r="L7561" s="1" t="str">
        <f t="shared" si="481"/>
        <v>ㄧ</v>
      </c>
      <c r="N7561" s="3" t="s">
        <v>30575</v>
      </c>
      <c r="O7561" s="3"/>
      <c r="P7561" s="1" t="s">
        <v>20</v>
      </c>
      <c r="R7561" s="1" t="s">
        <v>12938</v>
      </c>
      <c r="V7561" s="1" t="s">
        <v>12956</v>
      </c>
      <c r="AR7561" s="1" t="str">
        <f t="shared" si="479"/>
        <v>| [ㄐㄧˊ](ㄐㄧˊ.md) | [級](級.md) |  | jí | [名]
1.等第。如：「高級」、「特級」、「輔導級」。
2.學校的年限班次。如：「一年級」、「二年級」。
3.臺階。如：「石級」、「階級」、「拾級而上」。
4.量詞：(1)計算臺階、樓梯、塔層等的單位。如：「百級石階」。(2)計算事物分級的單位。如：「晉升三級」、「地震強度分為七級。」
5.人頭。如：「首級」。《後漢書．卷四七．班超傳》：「吏兵斬其使及從士三十餘級。」 |</v>
      </c>
    </row>
    <row r="7562" spans="1:44" hidden="1">
      <c r="A7562" s="1" t="s">
        <v>12957</v>
      </c>
      <c r="C7562" s="1">
        <v>1</v>
      </c>
      <c r="D7562" s="1" t="str">
        <f>"05353"</f>
        <v>05353</v>
      </c>
      <c r="E7562" s="1" t="s">
        <v>55</v>
      </c>
      <c r="F7562" s="1">
        <v>12</v>
      </c>
      <c r="G7562" s="1">
        <v>4</v>
      </c>
      <c r="H7562" s="1">
        <v>2</v>
      </c>
      <c r="I7562" s="1" t="s">
        <v>12937</v>
      </c>
      <c r="K7562" s="1" t="str">
        <f t="shared" si="480"/>
        <v>ㄐ</v>
      </c>
      <c r="L7562" s="1" t="str">
        <f t="shared" si="481"/>
        <v>ㄧ</v>
      </c>
      <c r="N7562" s="3" t="s">
        <v>30575</v>
      </c>
      <c r="O7562" s="3"/>
      <c r="P7562" s="1" t="s">
        <v>20</v>
      </c>
      <c r="R7562" s="1" t="s">
        <v>12938</v>
      </c>
      <c r="V7562" s="1" t="s">
        <v>12958</v>
      </c>
      <c r="W7562" s="1" t="s">
        <v>12959</v>
      </c>
      <c r="AR7562" s="1" t="str">
        <f t="shared" si="479"/>
        <v>| [ㄐㄧˊ](ㄐㄧˊ.md) | [鈒](鈒.md) |  | jí | [名]
化學元素。鍺的舊譯。 |</v>
      </c>
    </row>
    <row r="7563" spans="1:44" hidden="1">
      <c r="A7563" s="1" t="s">
        <v>12960</v>
      </c>
      <c r="C7563" s="1">
        <v>1</v>
      </c>
      <c r="D7563" s="1" t="str">
        <f>"05354"</f>
        <v>05354</v>
      </c>
      <c r="E7563" s="1" t="s">
        <v>4265</v>
      </c>
      <c r="F7563" s="1">
        <v>4</v>
      </c>
      <c r="G7563" s="1">
        <v>3</v>
      </c>
      <c r="H7563" s="1">
        <v>0</v>
      </c>
      <c r="I7563" s="1" t="s">
        <v>12937</v>
      </c>
      <c r="K7563" s="1" t="str">
        <f t="shared" si="480"/>
        <v>ㄐ</v>
      </c>
      <c r="L7563" s="1" t="str">
        <f t="shared" si="481"/>
        <v>ㄧ</v>
      </c>
      <c r="N7563" s="3" t="s">
        <v>30575</v>
      </c>
      <c r="O7563" s="3"/>
      <c r="P7563" s="1" t="s">
        <v>20</v>
      </c>
      <c r="R7563" s="1" t="s">
        <v>12938</v>
      </c>
      <c r="V7563" s="1" t="s">
        <v>12961</v>
      </c>
      <c r="AR7563" s="1" t="str">
        <f t="shared" si="479"/>
        <v>| [ㄐㄧˊ](ㄐㄧˊ.md) | [丮](丮.md) |  | jí | [動]
持。執的本字。《說文解字．丮部》：「丮，持也。象手有所丮據也。」 |</v>
      </c>
    </row>
    <row r="7564" spans="1:44" hidden="1">
      <c r="A7564" s="1" t="s">
        <v>12962</v>
      </c>
      <c r="C7564" s="1">
        <v>1</v>
      </c>
      <c r="D7564" s="1" t="str">
        <f>"05355"</f>
        <v>05355</v>
      </c>
      <c r="E7564" s="1" t="s">
        <v>28</v>
      </c>
      <c r="F7564" s="1">
        <v>6</v>
      </c>
      <c r="G7564" s="1">
        <v>3</v>
      </c>
      <c r="H7564" s="1">
        <v>0</v>
      </c>
      <c r="I7564" s="1" t="s">
        <v>12937</v>
      </c>
      <c r="K7564" s="1" t="str">
        <f t="shared" si="480"/>
        <v>ㄐ</v>
      </c>
      <c r="L7564" s="1" t="str">
        <f t="shared" si="481"/>
        <v>ㄧ</v>
      </c>
      <c r="N7564" s="3" t="s">
        <v>30575</v>
      </c>
      <c r="O7564" s="3"/>
      <c r="P7564" s="1" t="s">
        <v>20</v>
      </c>
      <c r="R7564" s="1" t="s">
        <v>12938</v>
      </c>
      <c r="V7564" s="1" t="s">
        <v>12963</v>
      </c>
      <c r="AR7564" s="1" t="str">
        <f t="shared" si="479"/>
        <v>| [ㄐㄧˊ](ㄐㄧˊ.md) | [吉](吉.md) |  | jí | [形]
好的、善的。與「凶」相對。如：「吉祥」、「吉人天相」、「大吉大利」。唐．白居易〈新樂府．草茫茫〉：「奢者狼藉儉者安，一凶一吉在眼前。」
[名]
1.有利的事。如：「凶多吉少」、「趨吉避凶」。
2.姓。如漢代有吉恪。 |</v>
      </c>
    </row>
    <row r="7565" spans="1:44" hidden="1">
      <c r="A7565" s="1" t="s">
        <v>12964</v>
      </c>
      <c r="C7565" s="1">
        <v>1</v>
      </c>
      <c r="D7565" s="1" t="str">
        <f>"05356"</f>
        <v>05356</v>
      </c>
      <c r="E7565" s="1" t="s">
        <v>114</v>
      </c>
      <c r="F7565" s="1">
        <v>8</v>
      </c>
      <c r="G7565" s="1">
        <v>6</v>
      </c>
      <c r="H7565" s="1">
        <v>0</v>
      </c>
      <c r="I7565" s="1" t="s">
        <v>12937</v>
      </c>
      <c r="K7565" s="1" t="str">
        <f t="shared" si="480"/>
        <v>ㄐ</v>
      </c>
      <c r="L7565" s="1" t="str">
        <f t="shared" si="481"/>
        <v>ㄧ</v>
      </c>
      <c r="N7565" s="3" t="s">
        <v>30575</v>
      </c>
      <c r="O7565" s="3"/>
      <c r="P7565" s="1" t="s">
        <v>20</v>
      </c>
      <c r="R7565" s="1" t="s">
        <v>12938</v>
      </c>
      <c r="V7565" s="1" t="s">
        <v>12965</v>
      </c>
      <c r="AR7565" s="1" t="str">
        <f t="shared" si="479"/>
        <v>| [ㄐㄧˊ](ㄐㄧˊ.md) | [佶](佶.md) |  | jí | [形]
1.健壯。《詩經．小雅．六月》：「四牡既佶，既佶且閑。」《文選．張衡．東京賦》：「中畋四牡，既佶且閑。」
2.參見「佶屈聱牙」條。 |</v>
      </c>
    </row>
    <row r="7566" spans="1:44" hidden="1">
      <c r="A7566" s="1" t="s">
        <v>12966</v>
      </c>
      <c r="C7566" s="1">
        <v>1</v>
      </c>
      <c r="D7566" s="1" t="str">
        <f>"05357"</f>
        <v>05357</v>
      </c>
      <c r="E7566" s="1" t="s">
        <v>534</v>
      </c>
      <c r="F7566" s="1">
        <v>9</v>
      </c>
      <c r="G7566" s="1">
        <v>6</v>
      </c>
      <c r="H7566" s="1">
        <v>0</v>
      </c>
      <c r="I7566" s="1" t="s">
        <v>12937</v>
      </c>
      <c r="K7566" s="1" t="str">
        <f t="shared" si="480"/>
        <v>ㄐ</v>
      </c>
      <c r="L7566" s="1" t="str">
        <f t="shared" si="481"/>
        <v>ㄧ</v>
      </c>
      <c r="N7566" s="3" t="s">
        <v>30575</v>
      </c>
      <c r="O7566" s="3"/>
      <c r="P7566" s="1" t="s">
        <v>20</v>
      </c>
      <c r="R7566" s="1" t="s">
        <v>12938</v>
      </c>
      <c r="V7566" s="1" t="s">
        <v>12967</v>
      </c>
      <c r="AR7566" s="1" t="str">
        <f t="shared" si="479"/>
        <v>| [ㄐㄧˊ](ㄐㄧˊ.md) | [姞](姞.md) |  | jí | [名]
姓。如古代南燕、密須皆為姞姓之國。 |</v>
      </c>
    </row>
    <row r="7567" spans="1:44" hidden="1">
      <c r="A7567" s="1" t="s">
        <v>12968</v>
      </c>
      <c r="C7567" s="1">
        <v>1</v>
      </c>
      <c r="D7567" s="1" t="str">
        <f>"05358"</f>
        <v>05358</v>
      </c>
      <c r="E7567" s="1" t="s">
        <v>28</v>
      </c>
      <c r="F7567" s="1">
        <v>6</v>
      </c>
      <c r="G7567" s="1">
        <v>3</v>
      </c>
      <c r="H7567" s="1">
        <v>2</v>
      </c>
      <c r="I7567" s="1" t="s">
        <v>12937</v>
      </c>
      <c r="K7567" s="1" t="str">
        <f t="shared" si="480"/>
        <v>ㄐ</v>
      </c>
      <c r="L7567" s="1" t="str">
        <f t="shared" si="481"/>
        <v>ㄧ</v>
      </c>
      <c r="N7567" s="3" t="s">
        <v>30575</v>
      </c>
      <c r="O7567" s="3"/>
      <c r="P7567" s="1" t="s">
        <v>20</v>
      </c>
      <c r="R7567" s="1" t="s">
        <v>12938</v>
      </c>
      <c r="V7567" s="1" t="s">
        <v>12969</v>
      </c>
      <c r="W7567" s="1" t="s">
        <v>12970</v>
      </c>
      <c r="AR7567" s="1" t="str">
        <f t="shared" si="479"/>
        <v>| [ㄐㄧˊ](ㄐㄧˊ.md) | [吃](吃.md) |  | jí | [形]
說話結巴、言語困難的樣子。《說文解字．口部》：「吃，言蹇難也。」如：「口吃」。
[擬]
形容笑聲。漢．伶玄《趙飛燕外傳》：「帝昏夜擁昭儀居七成帳，笑吃吃不止。」 |</v>
      </c>
    </row>
    <row r="7568" spans="1:44" hidden="1">
      <c r="A7568" s="1" t="s">
        <v>12971</v>
      </c>
      <c r="C7568" s="1">
        <v>1</v>
      </c>
      <c r="D7568" s="1" t="str">
        <f>"05359"</f>
        <v>05359</v>
      </c>
      <c r="E7568" s="1" t="s">
        <v>2954</v>
      </c>
      <c r="F7568" s="1">
        <v>7</v>
      </c>
      <c r="G7568" s="1">
        <v>5</v>
      </c>
      <c r="H7568" s="1">
        <v>0</v>
      </c>
      <c r="I7568" s="1" t="s">
        <v>12937</v>
      </c>
      <c r="K7568" s="1" t="str">
        <f t="shared" si="480"/>
        <v>ㄐ</v>
      </c>
      <c r="L7568" s="1" t="str">
        <f t="shared" si="481"/>
        <v>ㄧ</v>
      </c>
      <c r="N7568" s="3" t="s">
        <v>30575</v>
      </c>
      <c r="O7568" s="3"/>
      <c r="P7568" s="1" t="s">
        <v>20</v>
      </c>
      <c r="R7568" s="1" t="s">
        <v>12938</v>
      </c>
      <c r="V7568" s="1" t="s">
        <v>12972</v>
      </c>
      <c r="AR7568" s="1" t="str">
        <f t="shared" si="479"/>
        <v>| [ㄐㄧˊ](ㄐㄧˊ.md) | [即](即.md) |  | jí | [動]
1.近、靠近、投向。如：「若即若離」、「可望不可即」。《論語．子張》：「即之也溫，聽其言也厲。」
2.到、登上。如：「即位」。
3.是、便是。《史記．卷六三．老子韓非傳》：「儋即老子。」
[形]
當下。《後漢書．卷五一．陳禪傳》：「夷賊素聞其聲，即時降服。」
[副]
1.便、就。如：「憑票即付」、「招之即來，揮之即去。」《史記．卷一〇九．李將軍傳》：「度不中不發，發即應弦而倒。」
2.立刻。如：「立即出發」。《左傳．隱公四年》：「此二人者，實弒寡君，敢即圖之。」
3.就是。《左傳．襄公八年》：「非其父兄，即其子弟。」
[連]
若、假使。如：「即使」。《呂氏春秋．慎行覽．疑似論》：「置鼓其上，遠近相聞，即戎寇至傳鼓相告。」 |</v>
      </c>
    </row>
    <row r="7569" spans="1:44" hidden="1">
      <c r="A7569" s="1" t="s">
        <v>12871</v>
      </c>
      <c r="C7569" s="1">
        <v>1</v>
      </c>
      <c r="D7569" s="1" t="str">
        <f>"05360"</f>
        <v>05360</v>
      </c>
      <c r="E7569" s="1" t="s">
        <v>28</v>
      </c>
      <c r="F7569" s="1">
        <v>10</v>
      </c>
      <c r="G7569" s="1">
        <v>7</v>
      </c>
      <c r="H7569" s="1">
        <v>1</v>
      </c>
      <c r="I7569" s="1" t="s">
        <v>12937</v>
      </c>
      <c r="K7569" s="1" t="str">
        <f t="shared" si="480"/>
        <v>ㄐ</v>
      </c>
      <c r="L7569" s="1" t="str">
        <f t="shared" si="481"/>
        <v>ㄧ</v>
      </c>
      <c r="N7569" s="3" t="s">
        <v>30575</v>
      </c>
      <c r="O7569" s="3"/>
      <c r="P7569" s="1" t="s">
        <v>20</v>
      </c>
      <c r="R7569" s="1" t="s">
        <v>12938</v>
      </c>
      <c r="V7569" s="1" t="s">
        <v>12973</v>
      </c>
      <c r="W7569" s="1" t="s">
        <v>12974</v>
      </c>
      <c r="AR7569" s="1" t="str">
        <f t="shared" si="479"/>
        <v>| [ㄐㄧˊ](ㄐㄧˊ.md) | [唧](唧.md) |  | jí | 參見「唧唧」、「唧嘖」等條。 |</v>
      </c>
    </row>
    <row r="7570" spans="1:44" hidden="1">
      <c r="A7570" s="1" t="s">
        <v>12975</v>
      </c>
      <c r="C7570" s="1">
        <v>1</v>
      </c>
      <c r="D7570" s="1" t="str">
        <f>"05361"</f>
        <v>05361</v>
      </c>
      <c r="E7570" s="1" t="s">
        <v>132</v>
      </c>
      <c r="F7570" s="1">
        <v>10</v>
      </c>
      <c r="G7570" s="1">
        <v>7</v>
      </c>
      <c r="H7570" s="1">
        <v>0</v>
      </c>
      <c r="I7570" s="1" t="s">
        <v>12937</v>
      </c>
      <c r="K7570" s="1" t="str">
        <f t="shared" si="480"/>
        <v>ㄐ</v>
      </c>
      <c r="L7570" s="1" t="str">
        <f t="shared" si="481"/>
        <v>ㄧ</v>
      </c>
      <c r="N7570" s="3" t="s">
        <v>30575</v>
      </c>
      <c r="O7570" s="3"/>
      <c r="P7570" s="1" t="s">
        <v>20</v>
      </c>
      <c r="R7570" s="1" t="s">
        <v>12938</v>
      </c>
      <c r="V7570" s="1" t="s">
        <v>12976</v>
      </c>
      <c r="AR7570" s="1" t="str">
        <f t="shared" si="479"/>
        <v>| [ㄐㄧˊ](ㄐㄧˊ.md) | [堲](堲.md) |  | jí | [動]
1.燒土作磚，附於棺木的四周。《禮記．檀弓上》：「夏后氏堲周。」
2.厭惡、痛恨。《書經．舜典》：「帝曰：『龍！朕堲讒說殄行，震驚朕師。』」 |</v>
      </c>
    </row>
    <row r="7571" spans="1:44" hidden="1">
      <c r="A7571" s="1" t="s">
        <v>12977</v>
      </c>
      <c r="C7571" s="1">
        <v>1</v>
      </c>
      <c r="D7571" s="1" t="str">
        <f>"05362"</f>
        <v>05362</v>
      </c>
      <c r="E7571" s="1" t="s">
        <v>139</v>
      </c>
      <c r="F7571" s="1">
        <v>11</v>
      </c>
      <c r="G7571" s="1">
        <v>7</v>
      </c>
      <c r="H7571" s="1">
        <v>2</v>
      </c>
      <c r="I7571" s="1" t="s">
        <v>12937</v>
      </c>
      <c r="K7571" s="1" t="str">
        <f t="shared" si="480"/>
        <v>ㄐ</v>
      </c>
      <c r="L7571" s="1" t="str">
        <f t="shared" si="481"/>
        <v>ㄧ</v>
      </c>
      <c r="N7571" s="3" t="s">
        <v>30575</v>
      </c>
      <c r="O7571" s="3"/>
      <c r="P7571" s="1" t="s">
        <v>20</v>
      </c>
      <c r="R7571" s="1" t="s">
        <v>12938</v>
      </c>
      <c r="V7571" s="1" t="s">
        <v>12978</v>
      </c>
      <c r="W7571" s="1" t="s">
        <v>12979</v>
      </c>
      <c r="AR7571" s="1" t="str">
        <f t="shared" si="479"/>
        <v>| [ㄐㄧˊ](ㄐㄧˊ.md) | [楖](楖.md) |  | jí | [名]
楖栗：一種樹木。可作枴杖。《廣韻．入聲．質韻》：「楖，楖栗，木名。」 |</v>
      </c>
    </row>
    <row r="7572" spans="1:44" hidden="1">
      <c r="A7572" s="1" t="s">
        <v>12980</v>
      </c>
      <c r="C7572" s="1">
        <v>1</v>
      </c>
      <c r="D7572" s="1" t="str">
        <f>"05363"</f>
        <v>05363</v>
      </c>
      <c r="E7572" s="1" t="s">
        <v>679</v>
      </c>
      <c r="F7572" s="1">
        <v>13</v>
      </c>
      <c r="G7572" s="1">
        <v>7</v>
      </c>
      <c r="H7572" s="1">
        <v>1</v>
      </c>
      <c r="I7572" s="1" t="s">
        <v>12937</v>
      </c>
      <c r="K7572" s="1" t="str">
        <f t="shared" si="480"/>
        <v>ㄐ</v>
      </c>
      <c r="L7572" s="1" t="str">
        <f t="shared" si="481"/>
        <v>ㄧ</v>
      </c>
      <c r="N7572" s="3" t="s">
        <v>30575</v>
      </c>
      <c r="O7572" s="3"/>
      <c r="P7572" s="1" t="s">
        <v>20</v>
      </c>
      <c r="R7572" s="1" t="s">
        <v>12938</v>
      </c>
      <c r="V7572" s="1" t="s">
        <v>12981</v>
      </c>
      <c r="W7572" s="1" t="s">
        <v>12982</v>
      </c>
      <c r="AR7572" s="1" t="str">
        <f t="shared" si="479"/>
        <v>| [ㄐㄧˊ](ㄐㄧˊ.md) | [蝍](蝍.md) |  | jí | 參見「蝍蛆」條。 |</v>
      </c>
    </row>
    <row r="7573" spans="1:44" hidden="1">
      <c r="A7573" s="1" t="s">
        <v>9580</v>
      </c>
      <c r="C7573" s="1">
        <v>1</v>
      </c>
      <c r="D7573" s="1" t="str">
        <f>"05364"</f>
        <v>05364</v>
      </c>
      <c r="E7573" s="1" t="s">
        <v>96</v>
      </c>
      <c r="F7573" s="1">
        <v>9</v>
      </c>
      <c r="G7573" s="1">
        <v>0</v>
      </c>
      <c r="H7573" s="1">
        <v>2</v>
      </c>
      <c r="I7573" s="1" t="s">
        <v>12937</v>
      </c>
      <c r="K7573" s="1" t="str">
        <f t="shared" si="480"/>
        <v>ㄐ</v>
      </c>
      <c r="L7573" s="1" t="str">
        <f t="shared" si="481"/>
        <v>ㄧ</v>
      </c>
      <c r="N7573" s="3" t="s">
        <v>30575</v>
      </c>
      <c r="O7573" s="3"/>
      <c r="P7573" s="1" t="s">
        <v>20</v>
      </c>
      <c r="R7573" s="1" t="s">
        <v>12938</v>
      </c>
      <c r="V7573" s="1" t="s">
        <v>12983</v>
      </c>
      <c r="W7573" s="1" t="s">
        <v>12984</v>
      </c>
      <c r="AR7573" s="1" t="str">
        <f t="shared" si="479"/>
        <v>| [ㄐㄧˊ](ㄐㄧˊ.md) | [革](革.md) |  | jí | [形]
危急。《禮記．檀弓上》：「夫子之病，革矣。」《聊齋志異．卷一．葉生》：「病革，難遽瘥，請先發。」 |</v>
      </c>
    </row>
    <row r="7574" spans="1:44" hidden="1">
      <c r="A7574" s="1" t="s">
        <v>12985</v>
      </c>
      <c r="C7574" s="1">
        <v>1</v>
      </c>
      <c r="D7574" s="1" t="str">
        <f>"05365"</f>
        <v>05365</v>
      </c>
      <c r="E7574" s="1" t="s">
        <v>9954</v>
      </c>
      <c r="F7574" s="1">
        <v>9</v>
      </c>
      <c r="G7574" s="1">
        <v>7</v>
      </c>
      <c r="H7574" s="1">
        <v>1</v>
      </c>
      <c r="I7574" s="1" t="s">
        <v>12937</v>
      </c>
      <c r="K7574" s="1" t="str">
        <f t="shared" si="480"/>
        <v>ㄐ</v>
      </c>
      <c r="L7574" s="1" t="str">
        <f t="shared" si="481"/>
        <v>ㄧ</v>
      </c>
      <c r="N7574" s="3" t="s">
        <v>30575</v>
      </c>
      <c r="O7574" s="3"/>
      <c r="P7574" s="1" t="s">
        <v>20</v>
      </c>
      <c r="R7574" s="1" t="s">
        <v>12938</v>
      </c>
      <c r="V7574" s="1" t="s">
        <v>12986</v>
      </c>
      <c r="W7574" s="1" t="s">
        <v>12987</v>
      </c>
      <c r="AR7574" s="1" t="str">
        <f t="shared" si="479"/>
        <v>| [ㄐㄧˊ](ㄐㄧˊ.md) | [亟](亟.md) |  | jí | [副]
緊急、急切。如：「亟待解決」、「需款孔亟」、「亟望甘霖」。《戰國策．齊策三》：「可以令楚王亟入下東國。」唐．柳宗元〈與韓愈論史官書〉：「道苟直，雖死不可回也；如回之，莫若亟去其位。」 |</v>
      </c>
    </row>
    <row r="7575" spans="1:44" hidden="1">
      <c r="A7575" s="1" t="s">
        <v>12988</v>
      </c>
      <c r="C7575" s="1">
        <v>1</v>
      </c>
      <c r="D7575" s="1" t="str">
        <f>"05366"</f>
        <v>05366</v>
      </c>
      <c r="E7575" s="1" t="s">
        <v>139</v>
      </c>
      <c r="F7575" s="1">
        <v>13</v>
      </c>
      <c r="G7575" s="1">
        <v>9</v>
      </c>
      <c r="H7575" s="1">
        <v>0</v>
      </c>
      <c r="I7575" s="1" t="s">
        <v>12937</v>
      </c>
      <c r="K7575" s="1" t="str">
        <f t="shared" si="480"/>
        <v>ㄐ</v>
      </c>
      <c r="L7575" s="1" t="str">
        <f t="shared" si="481"/>
        <v>ㄧ</v>
      </c>
      <c r="N7575" s="3" t="s">
        <v>30575</v>
      </c>
      <c r="O7575" s="3"/>
      <c r="P7575" s="1" t="s">
        <v>20</v>
      </c>
      <c r="R7575" s="1" t="s">
        <v>12938</v>
      </c>
      <c r="V7575" s="1" t="s">
        <v>12989</v>
      </c>
      <c r="AR7575" s="1" t="str">
        <f t="shared" si="479"/>
        <v>| [ㄐㄧˊ](ㄐㄧˊ.md) | [極](極.md) |  | jí | [名]_x000D_
1.君位。南朝宋．鮑照〈河清頌．序〉：「聖上天飛踐極，迄茲二十有四載。」_x000D_
2.盡頭、最高境界。如：「登峰造極」。《詩經．唐風．鴇羽》：「悠悠蒼天，曷其有極？」南朝梁．劉勰《文心雕龍．頌讚》：「四始之至，頌居其極。」_x000D_
3.地球的南北兩端。如：「南極」、「北極」。《晉書．卷一一．天文志上》：「兩極相去，一百八十二度半強。」_x000D_
4.電池的兩端。正極指電位（電動勢）較高的一端，負極指電位較低的一端。也稱為「電極」。_x000D_
[動]_x000D_
窮盡、達到最高點。《詩經．大雅．崧高》：「崧高維嶽，駿極于天。」《聊齋志異．卷一一．王者》：「汝自起家守令，位極人臣。」_x000D_
[副]_x000D_
1.程度最高、最大的。《史記．卷一二四．游俠列傳．郭解》：「自是之後，為俠者極眾。」_x000D_
2.很、甚。前接形容詞、副詞，後面常加「了」。如：「妙極了」、「美極了」。 |</v>
      </c>
    </row>
    <row r="7576" spans="1:44" hidden="1">
      <c r="A7576" s="1" t="s">
        <v>12990</v>
      </c>
      <c r="C7576" s="1">
        <v>1</v>
      </c>
      <c r="D7576" s="1" t="str">
        <f>"05367"</f>
        <v>05367</v>
      </c>
      <c r="E7576" s="1" t="s">
        <v>1372</v>
      </c>
      <c r="F7576" s="1">
        <v>13</v>
      </c>
      <c r="G7576" s="1">
        <v>9</v>
      </c>
      <c r="H7576" s="1">
        <v>0</v>
      </c>
      <c r="I7576" s="1" t="s">
        <v>12937</v>
      </c>
      <c r="K7576" s="1" t="str">
        <f t="shared" si="480"/>
        <v>ㄐ</v>
      </c>
      <c r="L7576" s="1" t="str">
        <f t="shared" si="481"/>
        <v>ㄧ</v>
      </c>
      <c r="N7576" s="3" t="s">
        <v>30575</v>
      </c>
      <c r="O7576" s="3"/>
      <c r="P7576" s="1" t="s">
        <v>20</v>
      </c>
      <c r="R7576" s="1" t="s">
        <v>12938</v>
      </c>
      <c r="V7576" s="1" t="s">
        <v>12991</v>
      </c>
      <c r="AR7576" s="1" t="str">
        <f t="shared" si="479"/>
        <v>| [ㄐㄧˊ](ㄐㄧˊ.md) | [殛](殛.md) |  | jí | [動]
1.殺死。如：「電殛」、「雷殛」。《書經．舜典》：「殛鯀于羽山。」《三國演義》第四〇回：「故主有靈，必當殛汝！」
2.懲罰。漢．蔡琰〈胡笳十八拍〉：「我不負神兮，神何殛我越荒州？」 |</v>
      </c>
    </row>
    <row r="7577" spans="1:44" hidden="1">
      <c r="A7577" s="1" t="s">
        <v>12992</v>
      </c>
      <c r="C7577" s="1">
        <v>1</v>
      </c>
      <c r="D7577" s="1" t="str">
        <f>"05368"</f>
        <v>05368</v>
      </c>
      <c r="E7577" s="1" t="s">
        <v>28</v>
      </c>
      <c r="F7577" s="1">
        <v>9</v>
      </c>
      <c r="G7577" s="1">
        <v>6</v>
      </c>
      <c r="H7577" s="1">
        <v>0</v>
      </c>
      <c r="I7577" s="1" t="s">
        <v>12937</v>
      </c>
      <c r="K7577" s="1" t="str">
        <f t="shared" si="480"/>
        <v>ㄐ</v>
      </c>
      <c r="L7577" s="1" t="str">
        <f t="shared" si="481"/>
        <v>ㄧ</v>
      </c>
      <c r="N7577" s="3" t="s">
        <v>30575</v>
      </c>
      <c r="O7577" s="3"/>
      <c r="P7577" s="1" t="s">
        <v>20</v>
      </c>
      <c r="R7577" s="1" t="s">
        <v>12938</v>
      </c>
      <c r="V7577" s="1" t="s">
        <v>12993</v>
      </c>
      <c r="AR7577" s="1" t="str">
        <f t="shared" si="479"/>
        <v>| [ㄐㄧˊ](ㄐㄧˊ.md) | [茍](茍.md) |  | jí | [動]
自我要求。《說文解字．羊部》：「茍，自急敕也。」 |</v>
      </c>
    </row>
    <row r="7578" spans="1:44" hidden="1">
      <c r="A7578" s="1" t="s">
        <v>12994</v>
      </c>
      <c r="C7578" s="1">
        <v>1</v>
      </c>
      <c r="D7578" s="1" t="str">
        <f>"05369"</f>
        <v>05369</v>
      </c>
      <c r="E7578" s="1" t="s">
        <v>250</v>
      </c>
      <c r="F7578" s="1">
        <v>9</v>
      </c>
      <c r="G7578" s="1">
        <v>5</v>
      </c>
      <c r="H7578" s="1">
        <v>0</v>
      </c>
      <c r="I7578" s="1" t="s">
        <v>12937</v>
      </c>
      <c r="K7578" s="1" t="str">
        <f t="shared" si="480"/>
        <v>ㄐ</v>
      </c>
      <c r="L7578" s="1" t="str">
        <f t="shared" si="481"/>
        <v>ㄧ</v>
      </c>
      <c r="N7578" s="3" t="s">
        <v>30575</v>
      </c>
      <c r="O7578" s="3"/>
      <c r="P7578" s="1" t="s">
        <v>20</v>
      </c>
      <c r="R7578" s="1" t="s">
        <v>12938</v>
      </c>
      <c r="V7578" s="1" t="s">
        <v>12995</v>
      </c>
      <c r="AR7578" s="1" t="str">
        <f t="shared" si="479"/>
        <v>| [ㄐㄧˊ](ㄐㄧˊ.md) | [急](急.md) |  | jí | [形]
1.沒耐心、暴躁的。如：「急性子」、「急得要命」。《韓非子．觀行》：「西門豹之性急，故佩韋以自緩。」
2.不能等、亟待解決的。如：「急事」、「急件」、「急郵」。
3.快而猛烈。如：「急病」、「急流勇退」。宋．王禹偁〈黃岡竹樓記〉：「夏宜急雨，有瀑布聲；冬宜密雪，有碎玉聲。」
[動]
1.因想把事情盡速完成而激動。如：「為這事我都急昏了。」、「皇帝不急，急死太監！」
2.令人著急。如：「考試鈴都響了，還不見他人，真急人！」
3.忙於解決他人之事或困難。如：「急公好義」、「急人之難」。
[副]
迅速的。如：「急轉彎」。《戰國策．趙策四》：「趙太后新用事，秦急攻之。」《史記．卷六．秦始皇本紀》：「項羽急擊秦軍。」
[名]
困難、嚴重的事。如：「告急」、「救急」。《史記．卷七七．魏公子傳》：「今公子有急，此乃臣效命之秋也。」 |</v>
      </c>
    </row>
    <row r="7579" spans="1:44" hidden="1">
      <c r="A7579" s="1" t="s">
        <v>12996</v>
      </c>
      <c r="C7579" s="1">
        <v>1</v>
      </c>
      <c r="D7579" s="1" t="str">
        <f>"05370"</f>
        <v>05370</v>
      </c>
      <c r="E7579" s="1" t="s">
        <v>40</v>
      </c>
      <c r="F7579" s="1">
        <v>10</v>
      </c>
      <c r="G7579" s="1">
        <v>5</v>
      </c>
      <c r="H7579" s="1">
        <v>0</v>
      </c>
      <c r="I7579" s="1" t="s">
        <v>12937</v>
      </c>
      <c r="K7579" s="1" t="str">
        <f t="shared" si="480"/>
        <v>ㄐ</v>
      </c>
      <c r="L7579" s="1" t="str">
        <f t="shared" si="481"/>
        <v>ㄧ</v>
      </c>
      <c r="N7579" s="3" t="s">
        <v>30575</v>
      </c>
      <c r="O7579" s="3"/>
      <c r="P7579" s="1" t="s">
        <v>20</v>
      </c>
      <c r="R7579" s="1" t="s">
        <v>12938</v>
      </c>
      <c r="V7579" s="1" t="s">
        <v>12997</v>
      </c>
      <c r="AR7579" s="1" t="str">
        <f t="shared" si="479"/>
        <v>| [ㄐㄧˊ](ㄐㄧˊ.md) | [疾](疾.md) |  | jí | [名]
1.病。如：「隱疾」、「夙疾」、「痼疾」、「積勞成疾」。《論語．為政》：「父母唯其疾之憂。」《史記．卷六八．商君傳》：「苦言，藥也；甘言，疾也。」
2.痛苦。如：「民間疾苦」。《管子．小問》：「凡牧民者，必知其疾。」
[動]
1.生病。《孟子．公孫丑下》：「昔者疾，今日癒。」
2.憂、患。《論語．衛靈公》：「君子疾沒世而名不稱焉。」南朝梁．劉勰《文心雕龍．諸子》：「君子之處世，疾名德之不章。」
3.憎恨。《孟子．梁惠王上》：「天下之欲疾其君者，皆欲赴愬於王。」漢．王充《論衡．自紀》：「充既疾俗情，作譏俗之書。」
[形]
快速、猛烈。如：「疾風知勁草」。唐．孟郊〈登科後〉詩：「春風得意馬蹄疾，一日看盡長安花。」宋．孫光憲〈謁金門．留不得〉詞：「輕別離，甘拋擲，江上滿帆風疾。」
[副]
急速、猛烈。如：「疾馳」、「大聲疾呼」。《戰國策．趙策四》：「老臣病足，曾不能疾走，不得見久矣。」 |</v>
      </c>
    </row>
    <row r="7580" spans="1:44" hidden="1">
      <c r="A7580" s="1" t="s">
        <v>12998</v>
      </c>
      <c r="C7580" s="1">
        <v>1</v>
      </c>
      <c r="D7580" s="1" t="str">
        <f>"05371"</f>
        <v>05371</v>
      </c>
      <c r="E7580" s="1" t="s">
        <v>534</v>
      </c>
      <c r="F7580" s="1">
        <v>13</v>
      </c>
      <c r="G7580" s="1">
        <v>10</v>
      </c>
      <c r="H7580" s="1">
        <v>0</v>
      </c>
      <c r="I7580" s="1" t="s">
        <v>12937</v>
      </c>
      <c r="K7580" s="1" t="str">
        <f t="shared" si="480"/>
        <v>ㄐ</v>
      </c>
      <c r="L7580" s="1" t="str">
        <f t="shared" si="481"/>
        <v>ㄧ</v>
      </c>
      <c r="N7580" s="3" t="s">
        <v>30575</v>
      </c>
      <c r="O7580" s="3"/>
      <c r="P7580" s="1" t="s">
        <v>20</v>
      </c>
      <c r="R7580" s="1" t="s">
        <v>12938</v>
      </c>
      <c r="V7580" s="1" t="s">
        <v>12999</v>
      </c>
      <c r="AR7580" s="1" t="str">
        <f t="shared" si="479"/>
        <v>| [ㄐㄧˊ](ㄐㄧˊ.md) | [嫉](嫉.md) |  | jí | [動]
1.妒忌。《史記．卷四九．外戚世家》：「士無賢不肖，入朝見嫉。」唐．駱賓王〈代徐敬業討武氏檄〉：「入門見嫉，蛾眉不肯讓人。」
2.憎恨。如：「嫉惡如仇」。南朝宋．劉義慶《世說新語．規箴》：「王夷甫雅尚玄遠，常嫉其婦貪濁，口未嘗言『錢』字。」唐．孟郊〈投贈張端公〉詩：「嫉邪霜氣直，問俗春辭柔。」 |</v>
      </c>
    </row>
    <row r="7581" spans="1:44" hidden="1">
      <c r="A7581" s="1" t="s">
        <v>13000</v>
      </c>
      <c r="C7581" s="1">
        <v>1</v>
      </c>
      <c r="D7581" s="1" t="str">
        <f>"05372"</f>
        <v>05372</v>
      </c>
      <c r="E7581" s="1" t="s">
        <v>37</v>
      </c>
      <c r="F7581" s="1">
        <v>14</v>
      </c>
      <c r="G7581" s="1">
        <v>10</v>
      </c>
      <c r="H7581" s="1">
        <v>0</v>
      </c>
      <c r="I7581" s="1" t="s">
        <v>12937</v>
      </c>
      <c r="K7581" s="1" t="str">
        <f t="shared" si="480"/>
        <v>ㄐ</v>
      </c>
      <c r="L7581" s="1" t="str">
        <f t="shared" si="481"/>
        <v>ㄧ</v>
      </c>
      <c r="N7581" s="3" t="s">
        <v>30575</v>
      </c>
      <c r="O7581" s="3"/>
      <c r="P7581" s="1" t="s">
        <v>20</v>
      </c>
      <c r="R7581" s="1" t="s">
        <v>12938</v>
      </c>
      <c r="V7581" s="1" t="s">
        <v>13001</v>
      </c>
      <c r="AR7581" s="1" t="str">
        <f t="shared" si="479"/>
        <v>| [ㄐㄧˊ](ㄐㄧˊ.md) | [蒺](蒺.md) |  | jí | 參見「蒺藜」條。 |</v>
      </c>
    </row>
    <row r="7582" spans="1:44" hidden="1">
      <c r="A7582" s="1" t="s">
        <v>13002</v>
      </c>
      <c r="C7582" s="1">
        <v>1</v>
      </c>
      <c r="D7582" s="1" t="str">
        <f>"05373"</f>
        <v>05373</v>
      </c>
      <c r="E7582" s="1" t="s">
        <v>68</v>
      </c>
      <c r="F7582" s="1">
        <v>10</v>
      </c>
      <c r="G7582" s="1">
        <v>6</v>
      </c>
      <c r="H7582" s="1">
        <v>2</v>
      </c>
      <c r="I7582" s="1" t="s">
        <v>12937</v>
      </c>
      <c r="K7582" s="1" t="str">
        <f t="shared" si="480"/>
        <v>ㄐ</v>
      </c>
      <c r="L7582" s="1" t="str">
        <f t="shared" si="481"/>
        <v>ㄧ</v>
      </c>
      <c r="N7582" s="3" t="s">
        <v>30575</v>
      </c>
      <c r="O7582" s="3"/>
      <c r="P7582" s="1" t="s">
        <v>110</v>
      </c>
      <c r="R7582" s="1" t="s">
        <v>12938</v>
      </c>
      <c r="V7582" s="1" t="s">
        <v>111</v>
      </c>
      <c r="W7582" s="1" t="s">
        <v>13003</v>
      </c>
      <c r="AR7582" s="1" t="str">
        <f t="shared" si="479"/>
        <v>| [ㄐㄧˊ](ㄐㄧˊ.md) | [脊](脊.md) |  | jí | (一)之又音。 |</v>
      </c>
    </row>
    <row r="7583" spans="1:44" hidden="1">
      <c r="A7583" s="1" t="s">
        <v>13004</v>
      </c>
      <c r="C7583" s="1">
        <v>1</v>
      </c>
      <c r="D7583" s="1" t="str">
        <f>"05374"</f>
        <v>05374</v>
      </c>
      <c r="E7583" s="1" t="s">
        <v>40</v>
      </c>
      <c r="F7583" s="1">
        <v>15</v>
      </c>
      <c r="G7583" s="1">
        <v>10</v>
      </c>
      <c r="H7583" s="1">
        <v>0</v>
      </c>
      <c r="I7583" s="1" t="s">
        <v>12937</v>
      </c>
      <c r="K7583" s="1" t="str">
        <f t="shared" si="480"/>
        <v>ㄐ</v>
      </c>
      <c r="L7583" s="1" t="str">
        <f t="shared" si="481"/>
        <v>ㄧ</v>
      </c>
      <c r="N7583" s="3" t="s">
        <v>30575</v>
      </c>
      <c r="O7583" s="3"/>
      <c r="P7583" s="1" t="s">
        <v>20</v>
      </c>
      <c r="R7583" s="1" t="s">
        <v>12938</v>
      </c>
      <c r="V7583" s="1" t="s">
        <v>13005</v>
      </c>
      <c r="AR7583" s="1" t="str">
        <f t="shared" si="479"/>
        <v>| [ㄐㄧˊ](ㄐㄧˊ.md) | [瘠](瘠.md) |  | jí | [形]
1.瘦弱。《左傳．襄公二十一年》：「楚子使醫視之，復曰瘠則甚也。」唐．韓愈〈爭臣論〉：「視政之得失，若越人視秦人之肥瘠。」
2.土地不肥沃。如：「貧瘠」。《國語．魯語下》：「昔聖王之處民也，擇瘠土而處之，勞其民而用之，故長王天下。」
[動]
減損。《左傳．襄公二十九年》：「可必瘠魯以肥杞。」
[名]
腐肉、腐屍。通「胔」。宋．文天祥〈正氣歌〉：「一朝蒙霧露，分作溝中瘠。」 |</v>
      </c>
    </row>
    <row r="7584" spans="1:44" hidden="1">
      <c r="A7584" s="1" t="s">
        <v>13006</v>
      </c>
      <c r="C7584" s="1">
        <v>1</v>
      </c>
      <c r="D7584" s="1" t="str">
        <f>"05375"</f>
        <v>05375</v>
      </c>
      <c r="E7584" s="1" t="s">
        <v>77</v>
      </c>
      <c r="F7584" s="1">
        <v>17</v>
      </c>
      <c r="G7584" s="1">
        <v>10</v>
      </c>
      <c r="H7584" s="1">
        <v>0</v>
      </c>
      <c r="I7584" s="1" t="s">
        <v>12937</v>
      </c>
      <c r="K7584" s="1" t="str">
        <f t="shared" si="480"/>
        <v>ㄐ</v>
      </c>
      <c r="L7584" s="1" t="str">
        <f t="shared" si="481"/>
        <v>ㄧ</v>
      </c>
      <c r="N7584" s="3" t="s">
        <v>30575</v>
      </c>
      <c r="O7584" s="3"/>
      <c r="P7584" s="1" t="s">
        <v>20</v>
      </c>
      <c r="R7584" s="1" t="s">
        <v>12938</v>
      </c>
      <c r="V7584" s="1" t="s">
        <v>13007</v>
      </c>
      <c r="AR7584" s="1" t="str">
        <f t="shared" si="479"/>
        <v>| [ㄐㄧˊ](ㄐㄧˊ.md) | [蹐](蹐.md) |  | jí | [動]
雙腳緊挨，小步行走。《詩經．小雅．正月》：「謂地蓋厚，不敢不蹐。」漢．仲長統《昌言．理亂》：「當君子困賤之時，跼高天，蹐厚地，猶恐有鎮厭之禍也。」 |</v>
      </c>
    </row>
    <row r="7585" spans="1:44" hidden="1">
      <c r="A7585" s="1" t="s">
        <v>13008</v>
      </c>
      <c r="C7585" s="1">
        <v>1</v>
      </c>
      <c r="D7585" s="1" t="str">
        <f>"05376"</f>
        <v>05376</v>
      </c>
      <c r="E7585" s="1" t="s">
        <v>272</v>
      </c>
      <c r="F7585" s="1">
        <v>21</v>
      </c>
      <c r="G7585" s="1">
        <v>10</v>
      </c>
      <c r="H7585" s="1">
        <v>0</v>
      </c>
      <c r="I7585" s="1" t="s">
        <v>12937</v>
      </c>
      <c r="K7585" s="1" t="str">
        <f t="shared" si="480"/>
        <v>ㄐ</v>
      </c>
      <c r="L7585" s="1" t="str">
        <f t="shared" si="481"/>
        <v>ㄧ</v>
      </c>
      <c r="N7585" s="3" t="s">
        <v>30575</v>
      </c>
      <c r="O7585" s="3"/>
      <c r="P7585" s="1" t="s">
        <v>20</v>
      </c>
      <c r="R7585" s="1" t="s">
        <v>12938</v>
      </c>
      <c r="V7585" s="1" t="s">
        <v>9035</v>
      </c>
      <c r="AR7585" s="1" t="str">
        <f t="shared" si="479"/>
        <v>| [ㄐㄧˊ](ㄐㄧˊ.md) | [鶺](鶺.md) |  | jí | 參見「鶺鴒」條。 |</v>
      </c>
    </row>
    <row r="7586" spans="1:44" hidden="1">
      <c r="A7586" s="1" t="s">
        <v>13009</v>
      </c>
      <c r="C7586" s="1">
        <v>1</v>
      </c>
      <c r="D7586" s="1" t="str">
        <f>"05377"</f>
        <v>05377</v>
      </c>
      <c r="E7586" s="1" t="s">
        <v>624</v>
      </c>
      <c r="F7586" s="1">
        <v>11</v>
      </c>
      <c r="G7586" s="1">
        <v>8</v>
      </c>
      <c r="H7586" s="1">
        <v>0</v>
      </c>
      <c r="I7586" s="1" t="s">
        <v>12937</v>
      </c>
      <c r="K7586" s="1" t="str">
        <f t="shared" si="480"/>
        <v>ㄐ</v>
      </c>
      <c r="L7586" s="1" t="str">
        <f t="shared" si="481"/>
        <v>ㄧ</v>
      </c>
      <c r="N7586" s="3" t="s">
        <v>30575</v>
      </c>
      <c r="O7586" s="3"/>
      <c r="P7586" s="1" t="s">
        <v>20</v>
      </c>
      <c r="R7586" s="1" t="s">
        <v>12938</v>
      </c>
      <c r="V7586" s="1" t="s">
        <v>13010</v>
      </c>
      <c r="AR7586" s="1" t="str">
        <f t="shared" si="479"/>
        <v>| [ㄐㄧˊ](ㄐㄧˊ.md) | [寂](寂.md) |  | jí | [形]
1.靜。唐．常建〈題破山寺後禪院〉詩：「萬籟此都寂，但餘鐘磬音。」元．張可久〈一枝花．長天落綵霞套．梁州〉曲：「萬籟寂，四山靜。」
2.冷清、孤單。如：「孤寂」、「寂寥」、「寂寞」。
[動]
佛教稱僧尼死亡為「寂」。如：「圓寂」。《景德傳燈錄．卷四．嵩嶽慧安國師》：「偃身而寂。」 |</v>
      </c>
    </row>
    <row r="7587" spans="1:44" hidden="1">
      <c r="A7587" s="1" t="s">
        <v>13011</v>
      </c>
      <c r="C7587" s="1">
        <v>1</v>
      </c>
      <c r="D7587" s="1" t="str">
        <f>"05378"</f>
        <v>05378</v>
      </c>
      <c r="E7587" s="1" t="s">
        <v>28</v>
      </c>
      <c r="F7587" s="1">
        <v>11</v>
      </c>
      <c r="G7587" s="1">
        <v>8</v>
      </c>
      <c r="H7587" s="1">
        <v>2</v>
      </c>
      <c r="I7587" s="1" t="s">
        <v>12937</v>
      </c>
      <c r="K7587" s="1" t="str">
        <f t="shared" si="480"/>
        <v>ㄐ</v>
      </c>
      <c r="L7587" s="1" t="str">
        <f t="shared" si="481"/>
        <v>ㄧ</v>
      </c>
      <c r="N7587" s="3" t="s">
        <v>30575</v>
      </c>
      <c r="O7587" s="3"/>
      <c r="P7587" s="1" t="s">
        <v>20</v>
      </c>
      <c r="R7587" s="1" t="s">
        <v>12938</v>
      </c>
      <c r="V7587" s="1" t="s">
        <v>13012</v>
      </c>
      <c r="W7587" s="1" t="s">
        <v>13013</v>
      </c>
      <c r="AR7587" s="1" t="str">
        <f t="shared" si="479"/>
        <v>| [ㄐㄧˊ](ㄐㄧˊ.md) | [唶](唶.md) |  | jí | [擬]
唶唶：形容鳥鳴叫的聲音。《淮南子．原道》：「故夫烏之啞啞，鵲之唶唶，豈嘗為寒暑燥溼變其聲哉？」 |</v>
      </c>
    </row>
    <row r="7588" spans="1:44" hidden="1">
      <c r="A7588" s="1" t="s">
        <v>13014</v>
      </c>
      <c r="C7588" s="1">
        <v>1</v>
      </c>
      <c r="D7588" s="1" t="str">
        <f>"05379"</f>
        <v>05379</v>
      </c>
      <c r="E7588" s="1" t="s">
        <v>109</v>
      </c>
      <c r="F7588" s="1">
        <v>14</v>
      </c>
      <c r="G7588" s="1">
        <v>8</v>
      </c>
      <c r="H7588" s="1">
        <v>1</v>
      </c>
      <c r="I7588" s="1" t="s">
        <v>12937</v>
      </c>
      <c r="K7588" s="1" t="str">
        <f t="shared" si="480"/>
        <v>ㄐ</v>
      </c>
      <c r="L7588" s="1" t="str">
        <f t="shared" si="481"/>
        <v>ㄧ</v>
      </c>
      <c r="N7588" s="3" t="s">
        <v>30575</v>
      </c>
      <c r="O7588" s="3"/>
      <c r="P7588" s="1" t="s">
        <v>20</v>
      </c>
      <c r="R7588" s="1" t="s">
        <v>12938</v>
      </c>
      <c r="V7588" s="1" t="s">
        <v>13015</v>
      </c>
      <c r="W7588" s="1" t="s">
        <v>13016</v>
      </c>
      <c r="AR7588" s="1" t="str">
        <f t="shared" si="479"/>
        <v>| [ㄐㄧˊ](ㄐㄧˊ.md) | [耤](耤.md) |  | jí | [名]
古代天子親耕的田地。《說文解字．耒部》：「耤，帝耤千畝也。古者使民如借，故謂之藉。」《漢書．卷四．文帝紀》「其開藉田，朕親率耕」句下清．王先謙．補注：「韋本作藉，正當作耤。」 |</v>
      </c>
    </row>
    <row r="7589" spans="1:44" hidden="1">
      <c r="A7589" s="1" t="s">
        <v>13017</v>
      </c>
      <c r="C7589" s="1">
        <v>1</v>
      </c>
      <c r="D7589" s="1" t="str">
        <f>"05380"</f>
        <v>05380</v>
      </c>
      <c r="E7589" s="1" t="s">
        <v>77</v>
      </c>
      <c r="F7589" s="1">
        <v>15</v>
      </c>
      <c r="G7589" s="1">
        <v>8</v>
      </c>
      <c r="H7589" s="1">
        <v>1</v>
      </c>
      <c r="I7589" s="1" t="s">
        <v>12937</v>
      </c>
      <c r="K7589" s="1" t="str">
        <f t="shared" si="480"/>
        <v>ㄐ</v>
      </c>
      <c r="L7589" s="1" t="str">
        <f t="shared" si="481"/>
        <v>ㄧ</v>
      </c>
      <c r="N7589" s="3" t="s">
        <v>30575</v>
      </c>
      <c r="O7589" s="3"/>
      <c r="P7589" s="1" t="s">
        <v>20</v>
      </c>
      <c r="R7589" s="1" t="s">
        <v>12938</v>
      </c>
      <c r="V7589" s="1" t="s">
        <v>13018</v>
      </c>
      <c r="W7589" s="1" t="s">
        <v>13019</v>
      </c>
      <c r="AR7589" s="1" t="str">
        <f t="shared" si="479"/>
        <v>| [ㄐㄧˊ](ㄐㄧˊ.md) | [踖](踖.md) |  | jí | [動]
踐踏。《廣韻．入聲．昔韻》：「踖，踐也。」《禮記．曲禮上》：「毋踐屨，毋踖席。」漢．鄭玄．注：「踖，躐也。」 |</v>
      </c>
    </row>
    <row r="7590" spans="1:44" hidden="1">
      <c r="A7590" s="1" t="s">
        <v>13020</v>
      </c>
      <c r="C7590" s="1">
        <v>1</v>
      </c>
      <c r="D7590" s="1" t="str">
        <f>"05381"</f>
        <v>05381</v>
      </c>
      <c r="E7590" s="1" t="s">
        <v>37</v>
      </c>
      <c r="F7590" s="1">
        <v>18</v>
      </c>
      <c r="G7590" s="1">
        <v>14</v>
      </c>
      <c r="H7590" s="1">
        <v>2</v>
      </c>
      <c r="I7590" s="1" t="s">
        <v>12937</v>
      </c>
      <c r="K7590" s="1" t="str">
        <f t="shared" si="480"/>
        <v>ㄐ</v>
      </c>
      <c r="L7590" s="1" t="str">
        <f t="shared" si="481"/>
        <v>ㄧ</v>
      </c>
      <c r="N7590" s="3" t="s">
        <v>30575</v>
      </c>
      <c r="O7590" s="3"/>
      <c r="P7590" s="1" t="s">
        <v>20</v>
      </c>
      <c r="R7590" s="1" t="s">
        <v>12938</v>
      </c>
      <c r="V7590" s="1" t="s">
        <v>13021</v>
      </c>
      <c r="W7590" s="1" t="s">
        <v>13022</v>
      </c>
      <c r="AR7590" s="1" t="str">
        <f t="shared" si="479"/>
        <v>| [ㄐㄧˊ](ㄐㄧˊ.md) | [藉](藉.md) |  | jí | 參見「藉藉」、「狼藉」等條。 |</v>
      </c>
    </row>
    <row r="7591" spans="1:44" hidden="1">
      <c r="A7591" s="1" t="s">
        <v>13023</v>
      </c>
      <c r="C7591" s="1">
        <v>1</v>
      </c>
      <c r="D7591" s="1" t="str">
        <f>"05382"</f>
        <v>05382</v>
      </c>
      <c r="E7591" s="1" t="s">
        <v>49</v>
      </c>
      <c r="F7591" s="1">
        <v>20</v>
      </c>
      <c r="G7591" s="1">
        <v>14</v>
      </c>
      <c r="H7591" s="1">
        <v>0</v>
      </c>
      <c r="I7591" s="1" t="s">
        <v>12937</v>
      </c>
      <c r="K7591" s="1" t="str">
        <f t="shared" si="480"/>
        <v>ㄐ</v>
      </c>
      <c r="L7591" s="1" t="str">
        <f t="shared" si="481"/>
        <v>ㄧ</v>
      </c>
      <c r="N7591" s="3" t="s">
        <v>30575</v>
      </c>
      <c r="O7591" s="3"/>
      <c r="P7591" s="1" t="s">
        <v>20</v>
      </c>
      <c r="R7591" s="1" t="s">
        <v>12938</v>
      </c>
      <c r="V7591" s="1" t="s">
        <v>13024</v>
      </c>
      <c r="AR7591" s="1" t="str">
        <f t="shared" si="479"/>
        <v>| [ㄐㄧˊ](ㄐㄧˊ.md) | [籍](籍.md) |  | jí | [名]
1.書本。如：「古籍」、「經籍」、「史籍」、「書籍」、「典籍」。
2.登記以備查考用的名冊、檔案。如：「戶籍」、「軍籍」、「學籍」。《孟子．萬章下》：「諸侯惡其害己也，而皆去其籍。」《戰國策．齊策四》：「天子受籍，立為大伯。」
3.籍貫。如：「本籍」、「原籍」、「祖籍」。
4.個人對國家、團體、組織等的隸屬關係。如：「國籍」、「會籍」、「黨籍」。
5.姓。如漢代有籍福。 |</v>
      </c>
    </row>
    <row r="7592" spans="1:44" hidden="1">
      <c r="A7592" s="1" t="s">
        <v>13025</v>
      </c>
      <c r="C7592" s="1">
        <v>1</v>
      </c>
      <c r="D7592" s="1" t="str">
        <f>"05383"</f>
        <v>05383</v>
      </c>
      <c r="E7592" s="1" t="s">
        <v>24</v>
      </c>
      <c r="F7592" s="1">
        <v>12</v>
      </c>
      <c r="G7592" s="1">
        <v>9</v>
      </c>
      <c r="H7592" s="1">
        <v>2</v>
      </c>
      <c r="I7592" s="1" t="s">
        <v>12937</v>
      </c>
      <c r="K7592" s="1" t="str">
        <f t="shared" si="480"/>
        <v>ㄐ</v>
      </c>
      <c r="L7592" s="1" t="str">
        <f t="shared" si="481"/>
        <v>ㄧ</v>
      </c>
      <c r="N7592" s="3" t="s">
        <v>30575</v>
      </c>
      <c r="O7592" s="3"/>
      <c r="P7592" s="1" t="s">
        <v>20</v>
      </c>
      <c r="R7592" s="1" t="s">
        <v>12938</v>
      </c>
      <c r="V7592" s="1" t="s">
        <v>13026</v>
      </c>
      <c r="W7592" s="1" t="s">
        <v>13027</v>
      </c>
      <c r="AR7592" s="1" t="str">
        <f t="shared" si="479"/>
        <v>| [ㄐㄧˊ](ㄐㄧˊ.md) | [揖](揖.md) |  | jí | [動]
聚合。通「輯」。《史記．卷六．秦始皇本紀》：「普天之下，摶心揖志。」 |</v>
      </c>
    </row>
    <row r="7593" spans="1:44" hidden="1">
      <c r="A7593" s="1" t="s">
        <v>13028</v>
      </c>
      <c r="C7593" s="1">
        <v>1</v>
      </c>
      <c r="D7593" s="1" t="str">
        <f>"05384"</f>
        <v>05384</v>
      </c>
      <c r="E7593" s="1" t="s">
        <v>139</v>
      </c>
      <c r="F7593" s="1">
        <v>13</v>
      </c>
      <c r="G7593" s="1">
        <v>9</v>
      </c>
      <c r="H7593" s="1">
        <v>0</v>
      </c>
      <c r="I7593" s="1" t="s">
        <v>12937</v>
      </c>
      <c r="K7593" s="1" t="str">
        <f t="shared" si="480"/>
        <v>ㄐ</v>
      </c>
      <c r="L7593" s="1" t="str">
        <f t="shared" si="481"/>
        <v>ㄧ</v>
      </c>
      <c r="N7593" s="3" t="s">
        <v>30575</v>
      </c>
      <c r="O7593" s="3"/>
      <c r="P7593" s="1" t="s">
        <v>20</v>
      </c>
      <c r="R7593" s="1" t="s">
        <v>12938</v>
      </c>
      <c r="V7593" s="1" t="s">
        <v>13029</v>
      </c>
      <c r="AR7593" s="1" t="str">
        <f t="shared" si="479"/>
        <v>| [ㄐㄧˊ](ㄐㄧˊ.md) | [楫](楫.md) |  | jí | [名]
行船划水用的槳。如：「舟楫」。《晉書．卷六二．祖逖傳》：「中流擊楫而誓曰：『祖逖不能清中原而復濟者，有如大江。』」宋．范仲淹〈岳陽樓記〉：「商旅不行，檣傾楫摧。」 |</v>
      </c>
    </row>
    <row r="7594" spans="1:44" hidden="1">
      <c r="A7594" s="1" t="s">
        <v>13030</v>
      </c>
      <c r="C7594" s="1">
        <v>1</v>
      </c>
      <c r="D7594" s="1" t="str">
        <f>"05385"</f>
        <v>05385</v>
      </c>
      <c r="E7594" s="1" t="s">
        <v>4785</v>
      </c>
      <c r="F7594" s="1">
        <v>13</v>
      </c>
      <c r="G7594" s="1">
        <v>9</v>
      </c>
      <c r="H7594" s="1">
        <v>0</v>
      </c>
      <c r="I7594" s="1" t="s">
        <v>12937</v>
      </c>
      <c r="K7594" s="1" t="str">
        <f t="shared" si="480"/>
        <v>ㄐ</v>
      </c>
      <c r="L7594" s="1" t="str">
        <f t="shared" si="481"/>
        <v>ㄧ</v>
      </c>
      <c r="N7594" s="3" t="s">
        <v>30575</v>
      </c>
      <c r="O7594" s="3"/>
      <c r="P7594" s="1" t="s">
        <v>20</v>
      </c>
      <c r="R7594" s="1" t="s">
        <v>12938</v>
      </c>
      <c r="V7594" s="1" t="s">
        <v>13031</v>
      </c>
      <c r="AR7594" s="1" t="str">
        <f t="shared" si="479"/>
        <v>| [ㄐㄧˊ](ㄐㄧˊ.md) | [戢](戢.md) |  | jí | [動]
1.將兵器收聚而藏。《說文解字．戈部》：「戢，臧兵也。」《國語．周語上》：「夫兵戢而時動，動則威。」《後漢書．卷一．光武帝紀下》：「退功臣而進文吏，戢弓矢而散馬牛。」
2.收斂。《詩經．小雅．鴛鴦》：「鴛鴦在梁，戢其左翼。」唐．李白〈上安州李長史書〉：「戢秋霜之威，布冬日之愛。」
3.止息。如：「戢怒」。《南史．卷六九．虞荔傳》：「願將軍少戢雷霆，賒其晷刻。」
[名]
姓。如明代有戢如止。 |</v>
      </c>
    </row>
    <row r="7595" spans="1:44" hidden="1">
      <c r="A7595" s="1" t="s">
        <v>13032</v>
      </c>
      <c r="C7595" s="1">
        <v>1</v>
      </c>
      <c r="D7595" s="1" t="str">
        <f>"05386"</f>
        <v>05386</v>
      </c>
      <c r="E7595" s="1" t="s">
        <v>129</v>
      </c>
      <c r="F7595" s="1">
        <v>16</v>
      </c>
      <c r="G7595" s="1">
        <v>13</v>
      </c>
      <c r="H7595" s="1">
        <v>0</v>
      </c>
      <c r="I7595" s="1" t="s">
        <v>12937</v>
      </c>
      <c r="K7595" s="1" t="str">
        <f t="shared" si="480"/>
        <v>ㄐ</v>
      </c>
      <c r="L7595" s="1" t="str">
        <f t="shared" si="481"/>
        <v>ㄧ</v>
      </c>
      <c r="N7595" s="3" t="s">
        <v>30575</v>
      </c>
      <c r="O7595" s="3"/>
      <c r="P7595" s="1" t="s">
        <v>20</v>
      </c>
      <c r="R7595" s="1" t="s">
        <v>12938</v>
      </c>
      <c r="V7595" s="1" t="s">
        <v>13033</v>
      </c>
      <c r="AR7595" s="1" t="str">
        <f t="shared" si="479"/>
        <v>| [ㄐㄧˊ](ㄐㄧˊ.md) | [濈](濈.md) |  | jí | [形]
濈濈：聚集的樣子。《詩經．小雅．無羊》：「爾羊來思，其角濈濈。」漢．毛亨．傳：「聚其角而息，濈濈然。」元．盧摯〈寄博士蕭徵君微斗〉詩：「濈濈桃李豔，鬱鬱松柏寒。」 |</v>
      </c>
    </row>
    <row r="7596" spans="1:44" hidden="1">
      <c r="A7596" s="1" t="s">
        <v>13034</v>
      </c>
      <c r="C7596" s="1">
        <v>1</v>
      </c>
      <c r="D7596" s="1" t="str">
        <f>"05387"</f>
        <v>05387</v>
      </c>
      <c r="E7596" s="1" t="s">
        <v>71</v>
      </c>
      <c r="F7596" s="1">
        <v>16</v>
      </c>
      <c r="G7596" s="1">
        <v>9</v>
      </c>
      <c r="H7596" s="1">
        <v>0</v>
      </c>
      <c r="I7596" s="1" t="s">
        <v>12937</v>
      </c>
      <c r="K7596" s="1" t="str">
        <f t="shared" si="480"/>
        <v>ㄐ</v>
      </c>
      <c r="L7596" s="1" t="str">
        <f t="shared" si="481"/>
        <v>ㄧ</v>
      </c>
      <c r="N7596" s="3" t="s">
        <v>30575</v>
      </c>
      <c r="O7596" s="3"/>
      <c r="P7596" s="1" t="s">
        <v>20</v>
      </c>
      <c r="R7596" s="1" t="s">
        <v>12938</v>
      </c>
      <c r="V7596" s="1" t="s">
        <v>13035</v>
      </c>
      <c r="AR7596" s="1" t="str">
        <f t="shared" si="479"/>
        <v>| [ㄐㄧˊ](ㄐㄧˊ.md) | [輯](輯.md) |  | jí | [動]
蒐錄後整理。如：「編輯」、「比輯舊聞，憤而成篇。」《漢書．卷三〇．藝文志》：「夫子既卒，門人相與輯而論篹，故謂之《論語》。」
[名]
量詞。計算叢書或期刊出版的單位。如：「《辭典學叢刊》總共有三輯。」 |</v>
      </c>
    </row>
    <row r="7597" spans="1:44" hidden="1">
      <c r="A7597" s="1" t="s">
        <v>13036</v>
      </c>
      <c r="C7597" s="1">
        <v>1</v>
      </c>
      <c r="D7597" s="1" t="str">
        <f>"05388"</f>
        <v>05388</v>
      </c>
      <c r="E7597" s="1" t="s">
        <v>37</v>
      </c>
      <c r="F7597" s="1">
        <v>17</v>
      </c>
      <c r="G7597" s="1">
        <v>13</v>
      </c>
      <c r="H7597" s="1">
        <v>0</v>
      </c>
      <c r="I7597" s="1" t="s">
        <v>12937</v>
      </c>
      <c r="K7597" s="1" t="str">
        <f t="shared" si="480"/>
        <v>ㄐ</v>
      </c>
      <c r="L7597" s="1" t="str">
        <f t="shared" si="481"/>
        <v>ㄧ</v>
      </c>
      <c r="N7597" s="3" t="s">
        <v>30575</v>
      </c>
      <c r="O7597" s="3"/>
      <c r="P7597" s="1" t="s">
        <v>20</v>
      </c>
      <c r="R7597" s="1" t="s">
        <v>12938</v>
      </c>
      <c r="V7597" s="1" t="s">
        <v>13037</v>
      </c>
      <c r="AR7597" s="1" t="str">
        <f t="shared" si="479"/>
        <v>| [ㄐㄧˊ](ㄐㄧˊ.md) | [蕺](蕺.md) |  | jí | [名]
植物名。三白草科蕺菜屬。「蕺菜」之簡稱，參見「蕺菜」條。 |</v>
      </c>
    </row>
    <row r="7598" spans="1:44" hidden="1">
      <c r="A7598" s="1" t="s">
        <v>13038</v>
      </c>
      <c r="C7598" s="1">
        <v>1</v>
      </c>
      <c r="D7598" s="1" t="str">
        <f>"05389"</f>
        <v>05389</v>
      </c>
      <c r="E7598" s="1" t="s">
        <v>139</v>
      </c>
      <c r="F7598" s="1">
        <v>12</v>
      </c>
      <c r="G7598" s="1">
        <v>8</v>
      </c>
      <c r="H7598" s="1">
        <v>0</v>
      </c>
      <c r="I7598" s="1" t="s">
        <v>12937</v>
      </c>
      <c r="K7598" s="1" t="str">
        <f t="shared" si="480"/>
        <v>ㄐ</v>
      </c>
      <c r="L7598" s="1" t="str">
        <f t="shared" si="481"/>
        <v>ㄧ</v>
      </c>
      <c r="N7598" s="3" t="s">
        <v>30575</v>
      </c>
      <c r="O7598" s="3"/>
      <c r="P7598" s="1" t="s">
        <v>20</v>
      </c>
      <c r="R7598" s="1" t="s">
        <v>12938</v>
      </c>
      <c r="V7598" s="1" t="s">
        <v>13039</v>
      </c>
      <c r="AR7598" s="1" t="str">
        <f t="shared" si="479"/>
        <v>| [ㄐㄧˊ](ㄐㄧˊ.md) | [棘](棘.md) |  | jí | [名]
1.植物名。鼠李科棗屬，落葉喬木。幹高三公尺餘。變種形態與棗相似，唯枝具刺。果實較少，呈長圓形或近於圓形，暗紅色，味酸，核先端鈍，核仁可入藥。也稱為「酸棗」。
2.武器名。長柄，頂端有直刃，兩旁各具橫刀，可直刺或橫擊的兵器。通「戟」。《左傳．隱公十一年》：「潁考叔挾輈以走，子都拔棘以逐之。」晉．杜預．注：「棘，戟也。」
3.姓。如春秋時衛國有棘子成。
[動]
刺。參見「棘手」條。 |</v>
      </c>
    </row>
    <row r="7599" spans="1:44" hidden="1">
      <c r="A7599" s="1" t="s">
        <v>7447</v>
      </c>
      <c r="C7599" s="1">
        <v>1</v>
      </c>
      <c r="D7599" s="1" t="str">
        <f>"05390"</f>
        <v>05390</v>
      </c>
      <c r="E7599" s="1" t="s">
        <v>28</v>
      </c>
      <c r="F7599" s="1">
        <v>12</v>
      </c>
      <c r="G7599" s="1">
        <v>9</v>
      </c>
      <c r="H7599" s="1">
        <v>2</v>
      </c>
      <c r="I7599" s="1" t="s">
        <v>12937</v>
      </c>
      <c r="K7599" s="1" t="str">
        <f t="shared" si="480"/>
        <v>ㄐ</v>
      </c>
      <c r="L7599" s="1" t="str">
        <f t="shared" si="481"/>
        <v>ㄧ</v>
      </c>
      <c r="N7599" s="3" t="s">
        <v>30575</v>
      </c>
      <c r="O7599" s="3"/>
      <c r="P7599" s="1" t="s">
        <v>20</v>
      </c>
      <c r="R7599" s="1" t="s">
        <v>12938</v>
      </c>
      <c r="V7599" s="1" t="s">
        <v>13040</v>
      </c>
      <c r="W7599" s="1" t="s">
        <v>13041</v>
      </c>
      <c r="AR7599" s="1" t="str">
        <f t="shared" si="479"/>
        <v>| [ㄐㄧˊ](ㄐㄧˊ.md) | [喦](喦.md) |  | jí | [名]
地名。春秋時代約在宋、鄭兩國之間。 |</v>
      </c>
    </row>
    <row r="7600" spans="1:44" hidden="1">
      <c r="A7600" s="1" t="s">
        <v>13042</v>
      </c>
      <c r="C7600" s="1">
        <v>1</v>
      </c>
      <c r="D7600" s="1" t="str">
        <f>"05391"</f>
        <v>05391</v>
      </c>
      <c r="E7600" s="1" t="s">
        <v>5383</v>
      </c>
      <c r="F7600" s="1">
        <v>12</v>
      </c>
      <c r="G7600" s="1">
        <v>4</v>
      </c>
      <c r="H7600" s="1">
        <v>0</v>
      </c>
      <c r="I7600" s="1" t="s">
        <v>12937</v>
      </c>
      <c r="K7600" s="1" t="str">
        <f t="shared" si="480"/>
        <v>ㄐ</v>
      </c>
      <c r="L7600" s="1" t="str">
        <f t="shared" si="481"/>
        <v>ㄧ</v>
      </c>
      <c r="N7600" s="3" t="s">
        <v>30575</v>
      </c>
      <c r="O7600" s="3"/>
      <c r="P7600" s="1" t="s">
        <v>20</v>
      </c>
      <c r="R7600" s="1" t="s">
        <v>12938</v>
      </c>
      <c r="V7600" s="1" t="s">
        <v>13043</v>
      </c>
      <c r="AR7600" s="1" t="str">
        <f t="shared" si="479"/>
        <v>| [ㄐㄧˊ](ㄐㄧˊ.md) | [集](集.md) |  | jí | [動]
1.棲息。《詩經．唐風．鴇羽》：「肅肅鴇羽，集于苞栩。」南朝宋．鮑照〈贈傅都曹別詩〉：「輕鴻戲江潭，孤鴈集洲沚。」
2.把散開的事物聚合在一起。如：「集合」、「聚集」、「籌集」、「集資」、「收集」。《文選．賈誼．過秦論》：「天下雲集響應，嬴糧而景從。」
[名]
1.市場、人口聚集舉行交易的地方。如：「市集」、「趕集」、「年集」。
2.地名用字。如：「張家集」。《儒林外史》第二回：「話說山東兗州府汶上縣有個鄉村，叫做薛家集。」
3.輯錄詩文等的書籍。如：「詩集」、「文集」。《文選．曹丕．與吳質書》：「頃撰其遺文，都為一集。」
4.量詞。計算叢書或影劇集系列的單位。如：「這齣戲今天播出第三集。」
5.中國傳統圖書四部分類的第四部，包括詩文等的作品稱為「集」。 |</v>
      </c>
    </row>
    <row r="7601" spans="1:44" hidden="1">
      <c r="A7601" s="1" t="s">
        <v>13044</v>
      </c>
      <c r="C7601" s="1">
        <v>1</v>
      </c>
      <c r="D7601" s="1" t="str">
        <f>"05392"</f>
        <v>05392</v>
      </c>
      <c r="E7601" s="1" t="s">
        <v>5505</v>
      </c>
      <c r="F7601" s="1">
        <v>14</v>
      </c>
      <c r="G7601" s="1">
        <v>10</v>
      </c>
      <c r="H7601" s="1">
        <v>0</v>
      </c>
      <c r="I7601" s="1" t="s">
        <v>12937</v>
      </c>
      <c r="K7601" s="1" t="str">
        <f t="shared" si="480"/>
        <v>ㄐ</v>
      </c>
      <c r="L7601" s="1" t="str">
        <f t="shared" si="481"/>
        <v>ㄧ</v>
      </c>
      <c r="N7601" s="3" t="s">
        <v>30575</v>
      </c>
      <c r="O7601" s="3"/>
      <c r="P7601" s="1" t="s">
        <v>20</v>
      </c>
      <c r="R7601" s="1" t="s">
        <v>12938</v>
      </c>
      <c r="V7601" s="1" t="s">
        <v>13045</v>
      </c>
      <c r="AR7601" s="1" t="str">
        <f t="shared" si="479"/>
        <v>| [ㄐㄧˊ](ㄐㄧˊ.md) | [毄](毄.md) |  | jí | [動]
1.互相擊中。《周禮．冬官考工記．廬人》：「毄兵同強。」
2.拂拭。《周禮．冬官考工記．弓人》：「和弓毄摩。」漢．鄭玄．注：「和，猶調也。毄，拂也。將用弓必先調之、拂之、摩之。」 |</v>
      </c>
    </row>
    <row r="7602" spans="1:44" hidden="1">
      <c r="A7602" s="1" t="s">
        <v>13046</v>
      </c>
      <c r="C7602" s="1">
        <v>1</v>
      </c>
      <c r="D7602" s="1" t="str">
        <f>"05393"</f>
        <v>05393</v>
      </c>
      <c r="E7602" s="1" t="s">
        <v>132</v>
      </c>
      <c r="F7602" s="1">
        <v>16</v>
      </c>
      <c r="G7602" s="1">
        <v>13</v>
      </c>
      <c r="H7602" s="1">
        <v>0</v>
      </c>
      <c r="I7602" s="1" t="s">
        <v>12937</v>
      </c>
      <c r="K7602" s="1" t="str">
        <f t="shared" si="480"/>
        <v>ㄐ</v>
      </c>
      <c r="L7602" s="1" t="str">
        <f t="shared" si="481"/>
        <v>ㄧ</v>
      </c>
      <c r="N7602" s="3" t="s">
        <v>30575</v>
      </c>
      <c r="O7602" s="3"/>
      <c r="P7602" s="1" t="s">
        <v>20</v>
      </c>
      <c r="R7602" s="1" t="s">
        <v>12938</v>
      </c>
      <c r="V7602" s="1" t="s">
        <v>13047</v>
      </c>
      <c r="AR7602" s="1" t="str">
        <f t="shared" si="479"/>
        <v>| [ㄐㄧˊ](ㄐㄧˊ.md) | [墼](墼.md) |  | jí | 參見「炭墼」、「土墼」等條。 |</v>
      </c>
    </row>
    <row r="7603" spans="1:44" hidden="1">
      <c r="A7603" s="1" t="s">
        <v>13048</v>
      </c>
      <c r="C7603" s="1">
        <v>1</v>
      </c>
      <c r="D7603" s="1" t="str">
        <f>"05394"</f>
        <v>05394</v>
      </c>
      <c r="E7603" s="1" t="s">
        <v>24</v>
      </c>
      <c r="F7603" s="1">
        <v>17</v>
      </c>
      <c r="G7603" s="1">
        <v>13</v>
      </c>
      <c r="H7603" s="1">
        <v>0</v>
      </c>
      <c r="I7603" s="1" t="s">
        <v>12937</v>
      </c>
      <c r="K7603" s="1" t="str">
        <f t="shared" si="480"/>
        <v>ㄐ</v>
      </c>
      <c r="L7603" s="1" t="str">
        <f t="shared" si="481"/>
        <v>ㄧ</v>
      </c>
      <c r="N7603" s="3" t="s">
        <v>30575</v>
      </c>
      <c r="O7603" s="3"/>
      <c r="P7603" s="1" t="s">
        <v>20</v>
      </c>
      <c r="R7603" s="1" t="s">
        <v>12938</v>
      </c>
      <c r="V7603" s="1" t="s">
        <v>13049</v>
      </c>
      <c r="AR7603" s="1" t="str">
        <f t="shared" si="479"/>
        <v>| [ㄐㄧˊ](ㄐㄧˊ.md) | [擊](擊.md) |  | jí | [動]
1.敲打。如：「擊鐘」、「擊打」、「擊球」、「擊掌為誓」。《文選．顏延之．陽給事誄》：「金柝夜擊，和門晝扃。」
2.攻打。如：「攻擊」、「襲擊」、「狙擊」、「游擊」、「追擊」。《左傳．僖公三十年》：「子犯請擊之。」《漢書．卷一．高帝紀上》：「三月，攻下邑，拔之。還擊豐，不下。」
3.碰、接觸。如：「撞擊」、「目擊」、「觸擊短打」。 |</v>
      </c>
    </row>
    <row r="7604" spans="1:44" hidden="1">
      <c r="A7604" s="1" t="s">
        <v>13050</v>
      </c>
      <c r="C7604" s="1">
        <v>1</v>
      </c>
      <c r="D7604" s="1" t="str">
        <f>"05395"</f>
        <v>05395</v>
      </c>
      <c r="E7604" s="1" t="s">
        <v>71</v>
      </c>
      <c r="F7604" s="1">
        <v>20</v>
      </c>
      <c r="G7604" s="1">
        <v>13</v>
      </c>
      <c r="H7604" s="1">
        <v>0</v>
      </c>
      <c r="I7604" s="1" t="s">
        <v>12937</v>
      </c>
      <c r="K7604" s="1" t="str">
        <f t="shared" si="480"/>
        <v>ㄐ</v>
      </c>
      <c r="L7604" s="1" t="str">
        <f t="shared" si="481"/>
        <v>ㄧ</v>
      </c>
      <c r="N7604" s="3" t="s">
        <v>30575</v>
      </c>
      <c r="O7604" s="3"/>
      <c r="P7604" s="1" t="s">
        <v>20</v>
      </c>
      <c r="R7604" s="1" t="s">
        <v>12938</v>
      </c>
      <c r="V7604" s="1" t="s">
        <v>13051</v>
      </c>
      <c r="AR7604" s="1" t="str">
        <f t="shared" si="479"/>
        <v>| [ㄐㄧˊ](ㄐㄧˊ.md) | [轚](轚.md) |  | jí | 參見「轚互」條。 |</v>
      </c>
    </row>
    <row r="7605" spans="1:44" hidden="1">
      <c r="A7605" s="1" t="s">
        <v>13052</v>
      </c>
      <c r="C7605" s="1">
        <v>1</v>
      </c>
      <c r="D7605" s="1" t="str">
        <f>"05396"</f>
        <v>05396</v>
      </c>
      <c r="E7605" s="1" t="s">
        <v>185</v>
      </c>
      <c r="F7605" s="1">
        <v>15</v>
      </c>
      <c r="G7605" s="1">
        <v>13</v>
      </c>
      <c r="H7605" s="1">
        <v>2</v>
      </c>
      <c r="I7605" s="1" t="s">
        <v>12937</v>
      </c>
      <c r="K7605" s="1" t="str">
        <f t="shared" si="480"/>
        <v>ㄐ</v>
      </c>
      <c r="L7605" s="1" t="str">
        <f t="shared" si="481"/>
        <v>ㄧ</v>
      </c>
      <c r="N7605" s="3" t="s">
        <v>30575</v>
      </c>
      <c r="O7605" s="3"/>
      <c r="P7605" s="1" t="s">
        <v>110</v>
      </c>
      <c r="R7605" s="1" t="s">
        <v>12938</v>
      </c>
      <c r="V7605" s="1" t="s">
        <v>111</v>
      </c>
      <c r="W7605" s="1" t="s">
        <v>13053</v>
      </c>
      <c r="AR7605" s="1" t="str">
        <f t="shared" si="479"/>
        <v>| [ㄐㄧˊ](ㄐㄧˊ.md) | [劇](劇.md) |  | jí | (一)之又音。 |</v>
      </c>
    </row>
    <row r="7606" spans="1:44" hidden="1">
      <c r="A7606" s="1" t="s">
        <v>13054</v>
      </c>
      <c r="C7606" s="1">
        <v>1</v>
      </c>
      <c r="D7606" s="1" t="str">
        <f>"05397"</f>
        <v>05397</v>
      </c>
      <c r="E7606" s="1" t="s">
        <v>156</v>
      </c>
      <c r="F7606" s="1">
        <v>22</v>
      </c>
      <c r="G7606" s="1">
        <v>11</v>
      </c>
      <c r="H7606" s="1">
        <v>0</v>
      </c>
      <c r="I7606" s="1" t="s">
        <v>12937</v>
      </c>
      <c r="K7606" s="1" t="str">
        <f t="shared" si="480"/>
        <v>ㄐ</v>
      </c>
      <c r="L7606" s="1" t="str">
        <f t="shared" si="481"/>
        <v>ㄧ</v>
      </c>
      <c r="N7606" s="3" t="s">
        <v>30575</v>
      </c>
      <c r="O7606" s="3"/>
      <c r="P7606" s="1" t="s">
        <v>20</v>
      </c>
      <c r="R7606" s="1" t="s">
        <v>12938</v>
      </c>
      <c r="V7606" s="1" t="s">
        <v>13055</v>
      </c>
      <c r="AR7606" s="1" t="str">
        <f t="shared" si="479"/>
        <v>| [ㄐㄧˊ](ㄐㄧˊ.md) | [鰿](鰿.md) |  | jí | [名]
1.鯽魚。《玉篇．魚部》：「鰿，同鯽。」《南史．卷五一．梁宗室傳上．臨川靖惠王宏傳》：「好食鰿魚頭，常日進三百。」
2.小貝。《爾雅．釋魚》：「貝，小者鰿。」 |</v>
      </c>
    </row>
    <row r="7607" spans="1:44" hidden="1">
      <c r="A7607" s="1" t="s">
        <v>12816</v>
      </c>
      <c r="C7607" s="1">
        <v>1</v>
      </c>
      <c r="D7607" s="1" t="str">
        <f>"05398"</f>
        <v>05398</v>
      </c>
      <c r="E7607" s="1" t="s">
        <v>5107</v>
      </c>
      <c r="F7607" s="1">
        <v>2</v>
      </c>
      <c r="G7607" s="1">
        <v>0</v>
      </c>
      <c r="H7607" s="1">
        <v>1</v>
      </c>
      <c r="I7607" s="1" t="s">
        <v>13056</v>
      </c>
      <c r="K7607" s="1" t="str">
        <f t="shared" si="480"/>
        <v>ㄐ</v>
      </c>
      <c r="L7607" s="1" t="str">
        <f t="shared" si="481"/>
        <v>ㄧ</v>
      </c>
      <c r="N7607" s="3" t="s">
        <v>30576</v>
      </c>
      <c r="O7607" s="3"/>
      <c r="P7607" s="1" t="s">
        <v>186</v>
      </c>
      <c r="R7607" s="1" t="s">
        <v>13057</v>
      </c>
      <c r="V7607" s="1" t="s">
        <v>13058</v>
      </c>
      <c r="W7607" s="1" t="s">
        <v>13059</v>
      </c>
      <c r="AR7607" s="1" t="str">
        <f t="shared" si="479"/>
        <v>| [ㄐㄧˇ](ㄐㄧˇ.md) | [几](几.md) |  | jǐ | [名]
小桌子。如：「茶几」、「几案」、「憑几」、「窗明几淨」。 |</v>
      </c>
    </row>
    <row r="7608" spans="1:44" hidden="1">
      <c r="A7608" s="1" t="s">
        <v>12820</v>
      </c>
      <c r="C7608" s="1">
        <v>1</v>
      </c>
      <c r="D7608" s="1" t="str">
        <f>"05399"</f>
        <v>05399</v>
      </c>
      <c r="E7608" s="1" t="s">
        <v>139</v>
      </c>
      <c r="F7608" s="1">
        <v>6</v>
      </c>
      <c r="G7608" s="1">
        <v>2</v>
      </c>
      <c r="H7608" s="1">
        <v>2</v>
      </c>
      <c r="I7608" s="1" t="s">
        <v>13056</v>
      </c>
      <c r="K7608" s="1" t="str">
        <f t="shared" si="480"/>
        <v>ㄐ</v>
      </c>
      <c r="L7608" s="1" t="str">
        <f t="shared" si="481"/>
        <v>ㄧ</v>
      </c>
      <c r="N7608" s="3" t="s">
        <v>30576</v>
      </c>
      <c r="O7608" s="3"/>
      <c r="P7608" s="1" t="s">
        <v>110</v>
      </c>
      <c r="R7608" s="1" t="s">
        <v>13057</v>
      </c>
      <c r="V7608" s="1" t="s">
        <v>111</v>
      </c>
      <c r="W7608" s="1" t="s">
        <v>13060</v>
      </c>
      <c r="AR7608" s="1" t="str">
        <f t="shared" si="479"/>
        <v>| [ㄐㄧˇ](ㄐㄧˇ.md) | [机](机.md) |  | jǐ | (一)之又音。 |</v>
      </c>
    </row>
    <row r="7609" spans="1:44" hidden="1">
      <c r="A7609" s="1" t="s">
        <v>13061</v>
      </c>
      <c r="C7609" s="1">
        <v>1</v>
      </c>
      <c r="D7609" s="1" t="str">
        <f>"05400"</f>
        <v>05400</v>
      </c>
      <c r="E7609" s="1" t="s">
        <v>1190</v>
      </c>
      <c r="F7609" s="1">
        <v>13</v>
      </c>
      <c r="G7609" s="1">
        <v>2</v>
      </c>
      <c r="H7609" s="1">
        <v>0</v>
      </c>
      <c r="I7609" s="1" t="s">
        <v>13056</v>
      </c>
      <c r="K7609" s="1" t="str">
        <f t="shared" si="480"/>
        <v>ㄐ</v>
      </c>
      <c r="L7609" s="1" t="str">
        <f t="shared" si="481"/>
        <v>ㄧ</v>
      </c>
      <c r="N7609" s="3" t="s">
        <v>30576</v>
      </c>
      <c r="O7609" s="3"/>
      <c r="P7609" s="1" t="s">
        <v>20</v>
      </c>
      <c r="R7609" s="1" t="s">
        <v>13057</v>
      </c>
      <c r="V7609" s="1" t="s">
        <v>13062</v>
      </c>
      <c r="AR7609" s="1" t="str">
        <f t="shared" si="479"/>
        <v>| [ㄐㄧˇ](ㄐㄧˇ.md) | [麂](麂.md) |  | jǐ | [名]
一些亞洲小型鹿的統稱。形似犬而較大。雄麂有獠牙、短角。腿細而有力，善跳躍。毛棕色，皮柔軟，可製革。俗稱為「麂子」。 |</v>
      </c>
    </row>
    <row r="7610" spans="1:44" hidden="1">
      <c r="A7610" s="1" t="s">
        <v>13063</v>
      </c>
      <c r="C7610" s="1">
        <v>1</v>
      </c>
      <c r="D7610" s="1" t="str">
        <f>"05401"</f>
        <v>05401</v>
      </c>
      <c r="E7610" s="1" t="s">
        <v>31</v>
      </c>
      <c r="F7610" s="1">
        <v>3</v>
      </c>
      <c r="G7610" s="1">
        <v>0</v>
      </c>
      <c r="H7610" s="1">
        <v>0</v>
      </c>
      <c r="I7610" s="1" t="s">
        <v>13056</v>
      </c>
      <c r="K7610" s="1" t="str">
        <f t="shared" si="480"/>
        <v>ㄐ</v>
      </c>
      <c r="L7610" s="1" t="str">
        <f t="shared" si="481"/>
        <v>ㄧ</v>
      </c>
      <c r="N7610" s="3" t="s">
        <v>30576</v>
      </c>
      <c r="O7610" s="3"/>
      <c r="P7610" s="1" t="s">
        <v>20</v>
      </c>
      <c r="R7610" s="1" t="s">
        <v>13057</v>
      </c>
      <c r="V7610" s="1" t="s">
        <v>13064</v>
      </c>
      <c r="AR7610" s="1" t="str">
        <f t="shared" si="479"/>
        <v>| [ㄐㄧˇ](ㄐㄧˇ.md) | [己](己.md) |  | jǐ | [名]
1.天干的第六位。
2.排列次序等第的用字。在戊之後，表示第六。如：「三年己班」。
3.二一四部首之一。
[代]
自稱，猶自己、己身。如：「知己知彼，百戰百勝。」《論語．顏淵》：「己所不欲，勿施於人。」 |</v>
      </c>
    </row>
    <row r="7611" spans="1:44" hidden="1">
      <c r="A7611" s="1" t="s">
        <v>13065</v>
      </c>
      <c r="C7611" s="1">
        <v>1</v>
      </c>
      <c r="D7611" s="1" t="str">
        <f>"05402"</f>
        <v>05402</v>
      </c>
      <c r="E7611" s="1" t="s">
        <v>725</v>
      </c>
      <c r="F7611" s="1">
        <v>9</v>
      </c>
      <c r="G7611" s="1">
        <v>3</v>
      </c>
      <c r="H7611" s="1">
        <v>2</v>
      </c>
      <c r="I7611" s="1" t="s">
        <v>13056</v>
      </c>
      <c r="K7611" s="1" t="str">
        <f t="shared" si="480"/>
        <v>ㄐ</v>
      </c>
      <c r="L7611" s="1" t="str">
        <f t="shared" si="481"/>
        <v>ㄧ</v>
      </c>
      <c r="N7611" s="3" t="s">
        <v>30576</v>
      </c>
      <c r="O7611" s="3"/>
      <c r="P7611" s="1" t="s">
        <v>110</v>
      </c>
      <c r="R7611" s="1" t="s">
        <v>13057</v>
      </c>
      <c r="V7611" s="1" t="s">
        <v>111</v>
      </c>
      <c r="W7611" s="1" t="s">
        <v>13066</v>
      </c>
      <c r="AR7611" s="1" t="str">
        <f t="shared" si="479"/>
        <v>| [ㄐㄧˇ](ㄐㄧˇ.md) | [紀](紀.md) |  | jǐ | (一)之又音。 |</v>
      </c>
    </row>
    <row r="7612" spans="1:44" hidden="1">
      <c r="A7612" s="1" t="s">
        <v>10419</v>
      </c>
      <c r="C7612" s="1">
        <v>1</v>
      </c>
      <c r="D7612" s="1" t="str">
        <f>"05403"</f>
        <v>05403</v>
      </c>
      <c r="E7612" s="1" t="s">
        <v>447</v>
      </c>
      <c r="F7612" s="1">
        <v>7</v>
      </c>
      <c r="G7612" s="1">
        <v>4</v>
      </c>
      <c r="H7612" s="1">
        <v>1</v>
      </c>
      <c r="I7612" s="1" t="s">
        <v>13056</v>
      </c>
      <c r="K7612" s="1" t="str">
        <f t="shared" si="480"/>
        <v>ㄐ</v>
      </c>
      <c r="L7612" s="1" t="str">
        <f t="shared" si="481"/>
        <v>ㄧ</v>
      </c>
      <c r="N7612" s="3" t="s">
        <v>30576</v>
      </c>
      <c r="O7612" s="3"/>
      <c r="P7612" s="1" t="s">
        <v>20</v>
      </c>
      <c r="R7612" s="1" t="s">
        <v>13057</v>
      </c>
      <c r="V7612" s="1" t="s">
        <v>13067</v>
      </c>
      <c r="W7612" s="1" t="s">
        <v>13068</v>
      </c>
      <c r="AR7612" s="1" t="str">
        <f t="shared" si="479"/>
        <v>| [ㄐㄧˇ](ㄐㄧˇ.md) | [庋](庋.md) |  | jǐ | [名]
收藏東西的架子。《字彙．广部》：「庋，庋閣。板為之，所以藏食物也。大夫七十而有庋。」南朝宋．劉義慶《世說新語．賢媛》：「王家見二謝，傾筐倒庋。」
[動]
收藏、儲藏、擱置。如：「庋藏」。《禮記．內則》「大夫七十而有閣」句下漢．鄭玄．注：「閣，以板為之，庋食物也。」《資治通鑑．卷五五．漢紀四十七．桓帝延熹七年》：「容殺雞為饌，泰謂為己設，容分半食母，餘半庋置。」 |</v>
      </c>
    </row>
    <row r="7613" spans="1:44" hidden="1">
      <c r="A7613" s="1" t="s">
        <v>13069</v>
      </c>
      <c r="C7613" s="1">
        <v>1</v>
      </c>
      <c r="D7613" s="1" t="str">
        <f>"05404"</f>
        <v>05404</v>
      </c>
      <c r="E7613" s="1" t="s">
        <v>129</v>
      </c>
      <c r="F7613" s="1">
        <v>8</v>
      </c>
      <c r="G7613" s="1">
        <v>5</v>
      </c>
      <c r="H7613" s="1">
        <v>0</v>
      </c>
      <c r="I7613" s="1" t="s">
        <v>13056</v>
      </c>
      <c r="K7613" s="1" t="str">
        <f t="shared" si="480"/>
        <v>ㄐ</v>
      </c>
      <c r="L7613" s="1" t="str">
        <f t="shared" si="481"/>
        <v>ㄧ</v>
      </c>
      <c r="N7613" s="3" t="s">
        <v>30576</v>
      </c>
      <c r="O7613" s="3"/>
      <c r="P7613" s="1" t="s">
        <v>20</v>
      </c>
      <c r="R7613" s="1" t="s">
        <v>13057</v>
      </c>
      <c r="V7613" s="1" t="s">
        <v>13070</v>
      </c>
      <c r="AR7613" s="1" t="str">
        <f t="shared" si="479"/>
        <v>| [ㄐㄧˇ](ㄐㄧˇ.md) | [泲](泲.md) |  | jǐ | [名]
河川名：(1)發源於大陸地區河南省濟源縣西王屋山，東流至山東省東北部入海。歷代累經改道變遷，今已不可詳考。(2)發源於大陸地區河北省贊皇縣贊皇山，東流注入柏鄉縣東的寧晉泊。今稱為「午河」。
[動]
過濾酒的渣滓。《周禮．天官．酒正》「辨四飲之物，一曰清」句下漢．鄭玄．注：「清，謂醴之泲者。」 |</v>
      </c>
    </row>
    <row r="7614" spans="1:44" hidden="1">
      <c r="A7614" s="1" t="s">
        <v>13071</v>
      </c>
      <c r="C7614" s="1">
        <v>1</v>
      </c>
      <c r="D7614" s="1" t="str">
        <f>"05405"</f>
        <v>05405</v>
      </c>
      <c r="E7614" s="1" t="s">
        <v>139</v>
      </c>
      <c r="F7614" s="1">
        <v>9</v>
      </c>
      <c r="G7614" s="1">
        <v>5</v>
      </c>
      <c r="H7614" s="1">
        <v>2</v>
      </c>
      <c r="I7614" s="1" t="s">
        <v>13056</v>
      </c>
      <c r="K7614" s="1" t="str">
        <f t="shared" si="480"/>
        <v>ㄐ</v>
      </c>
      <c r="L7614" s="1" t="str">
        <f t="shared" si="481"/>
        <v>ㄧ</v>
      </c>
      <c r="N7614" s="3" t="s">
        <v>30576</v>
      </c>
      <c r="O7614" s="3"/>
      <c r="P7614" s="1" t="s">
        <v>20</v>
      </c>
      <c r="R7614" s="1" t="s">
        <v>13057</v>
      </c>
      <c r="V7614" s="1" t="s">
        <v>13072</v>
      </c>
      <c r="W7614" s="1" t="s">
        <v>13073</v>
      </c>
      <c r="AR7614" s="1" t="str">
        <f t="shared" si="479"/>
        <v>| [ㄐㄧˇ](ㄐㄧˇ.md) | [枳](枳.md) |  | jǐ | 參見「枳椇」、「枳首」等條。 |</v>
      </c>
    </row>
    <row r="7615" spans="1:44" hidden="1">
      <c r="A7615" s="1" t="s">
        <v>13002</v>
      </c>
      <c r="C7615" s="1">
        <v>1</v>
      </c>
      <c r="D7615" s="1" t="str">
        <f>"05406"</f>
        <v>05406</v>
      </c>
      <c r="E7615" s="1" t="s">
        <v>68</v>
      </c>
      <c r="F7615" s="1">
        <v>10</v>
      </c>
      <c r="G7615" s="1">
        <v>6</v>
      </c>
      <c r="H7615" s="1">
        <v>1</v>
      </c>
      <c r="I7615" s="1" t="s">
        <v>13056</v>
      </c>
      <c r="K7615" s="1" t="str">
        <f t="shared" si="480"/>
        <v>ㄐ</v>
      </c>
      <c r="L7615" s="1" t="str">
        <f t="shared" si="481"/>
        <v>ㄧ</v>
      </c>
      <c r="N7615" s="3" t="s">
        <v>30576</v>
      </c>
      <c r="O7615" s="3"/>
      <c r="P7615" s="1" t="s">
        <v>20</v>
      </c>
      <c r="R7615" s="1" t="s">
        <v>13057</v>
      </c>
      <c r="V7615" s="1" t="s">
        <v>13074</v>
      </c>
      <c r="W7615" s="1" t="s">
        <v>13075</v>
      </c>
      <c r="AR7615" s="1" t="str">
        <f t="shared" si="479"/>
        <v>| [ㄐㄧˇ](ㄐㄧˇ.md) | [脊](脊.md) |  | jǐ | [名]
1.人或動物背部的骨柱。參見「脊梁」、「脊椎」等條。
2.泛指物體直立成條的背部。如：「刀脊」、「書脊」。
3.物體中央高起而兩邊下斜的部分。如：「屋脊」、「山脊」。 |</v>
      </c>
    </row>
    <row r="7616" spans="1:44" hidden="1">
      <c r="A7616" s="1" t="s">
        <v>13076</v>
      </c>
      <c r="C7616" s="1">
        <v>1</v>
      </c>
      <c r="D7616" s="1" t="str">
        <f>"05407"</f>
        <v>05407</v>
      </c>
      <c r="E7616" s="1" t="s">
        <v>24</v>
      </c>
      <c r="F7616" s="1">
        <v>11</v>
      </c>
      <c r="G7616" s="1">
        <v>8</v>
      </c>
      <c r="H7616" s="1">
        <v>0</v>
      </c>
      <c r="I7616" s="1" t="s">
        <v>13056</v>
      </c>
      <c r="K7616" s="1" t="str">
        <f t="shared" si="480"/>
        <v>ㄐ</v>
      </c>
      <c r="L7616" s="1" t="str">
        <f t="shared" si="481"/>
        <v>ㄧ</v>
      </c>
      <c r="N7616" s="3" t="s">
        <v>30576</v>
      </c>
      <c r="O7616" s="3"/>
      <c r="P7616" s="1" t="s">
        <v>20</v>
      </c>
      <c r="R7616" s="1" t="s">
        <v>13057</v>
      </c>
      <c r="V7616" s="1" t="s">
        <v>13077</v>
      </c>
      <c r="AR7616" s="1" t="str">
        <f t="shared" si="479"/>
        <v>| [ㄐㄧˇ](ㄐㄧˇ.md) | [掎](掎.md) |  | jǐ | [動]
1.從後或從旁拉住。《說文解字．手部》：「掎，偏引也。」《漢書．卷一〇〇．敘傳上》：「昔秦失其鹿，劉季逐而掎之。」
2.牽制。《文選．陳琳．為袁紹檄豫州》：「大軍汎黃河而角其前，荊州下宛葉而掎其後。」《北史．卷九．周太祖文帝本紀》：「賊掎吾三面，又造橋，示欲必度。」
3.抓住、掌握住。《荀子．議兵》：「掎契司詐，權謀傾覆，未免盜兵也。」宋．孫光憲《北夢瑣言》卷一：「掎其小瑕，忘其大美。」 |</v>
      </c>
    </row>
    <row r="7617" spans="1:44" hidden="1">
      <c r="A7617" s="1" t="s">
        <v>13078</v>
      </c>
      <c r="C7617" s="1">
        <v>1</v>
      </c>
      <c r="D7617" s="1" t="str">
        <f>"05408"</f>
        <v>05408</v>
      </c>
      <c r="E7617" s="1" t="s">
        <v>77</v>
      </c>
      <c r="F7617" s="1">
        <v>15</v>
      </c>
      <c r="G7617" s="1">
        <v>8</v>
      </c>
      <c r="H7617" s="1">
        <v>1</v>
      </c>
      <c r="I7617" s="1" t="s">
        <v>13056</v>
      </c>
      <c r="K7617" s="1" t="str">
        <f t="shared" si="480"/>
        <v>ㄐ</v>
      </c>
      <c r="L7617" s="1" t="str">
        <f t="shared" si="481"/>
        <v>ㄧ</v>
      </c>
      <c r="N7617" s="3" t="s">
        <v>30576</v>
      </c>
      <c r="O7617" s="3"/>
      <c r="P7617" s="1" t="s">
        <v>20</v>
      </c>
      <c r="R7617" s="1" t="s">
        <v>13057</v>
      </c>
      <c r="V7617" s="1" t="s">
        <v>13079</v>
      </c>
      <c r="W7617" s="1" t="s">
        <v>13080</v>
      </c>
      <c r="AR7617" s="1" t="str">
        <f t="shared" si="479"/>
        <v>| [ㄐㄧˇ](ㄐㄧˇ.md) | [踦](踦.md) |  | jǐ | [名]
腿、腳脛。唐．元稹〈蜘蛛詩．序〉：「巴蜘蛛，大而毒。其甚者，身邊數寸，而踦長數倍其身。」 |</v>
      </c>
    </row>
    <row r="7618" spans="1:44" hidden="1">
      <c r="A7618" s="1" t="s">
        <v>13081</v>
      </c>
      <c r="C7618" s="1">
        <v>1</v>
      </c>
      <c r="D7618" s="1" t="str">
        <f>"05409"</f>
        <v>05409</v>
      </c>
      <c r="E7618" s="1" t="s">
        <v>4785</v>
      </c>
      <c r="F7618" s="1">
        <v>12</v>
      </c>
      <c r="G7618" s="1">
        <v>8</v>
      </c>
      <c r="H7618" s="1">
        <v>0</v>
      </c>
      <c r="I7618" s="1" t="s">
        <v>13056</v>
      </c>
      <c r="K7618" s="1" t="str">
        <f t="shared" si="480"/>
        <v>ㄐ</v>
      </c>
      <c r="L7618" s="1" t="str">
        <f t="shared" si="481"/>
        <v>ㄧ</v>
      </c>
      <c r="N7618" s="3" t="s">
        <v>30576</v>
      </c>
      <c r="O7618" s="3"/>
      <c r="P7618" s="1" t="s">
        <v>20</v>
      </c>
      <c r="R7618" s="1" t="s">
        <v>13057</v>
      </c>
      <c r="V7618" s="1" t="s">
        <v>13082</v>
      </c>
      <c r="AR7618" s="1" t="str">
        <f t="shared" si="479"/>
        <v>| [ㄐㄧˇ](ㄐㄧˇ.md) | [戟](戟.md) |  | jǐ | [名]
武器名。戈和矛的合體，兼有勾、啄、撞、刺四種功能。裝於木柄或竹柄上。出現於商、周，盛行於戰國、漢、晉各代。南北朝後漸被槍取代，轉而為儀仗、衛門的器物。《史記．卷六五．孫子吳起傳》：「孫子分為二隊，以王之寵姬二人各為隊長，皆令持戟。」 |</v>
      </c>
    </row>
    <row r="7619" spans="1:44" hidden="1">
      <c r="A7619" s="1" t="s">
        <v>9705</v>
      </c>
      <c r="C7619" s="1">
        <v>1</v>
      </c>
      <c r="D7619" s="1" t="str">
        <f>"05410"</f>
        <v>05410</v>
      </c>
      <c r="E7619" s="1" t="s">
        <v>725</v>
      </c>
      <c r="F7619" s="1">
        <v>12</v>
      </c>
      <c r="G7619" s="1">
        <v>6</v>
      </c>
      <c r="H7619" s="1">
        <v>1</v>
      </c>
      <c r="I7619" s="1" t="s">
        <v>13056</v>
      </c>
      <c r="K7619" s="1" t="str">
        <f t="shared" si="480"/>
        <v>ㄐ</v>
      </c>
      <c r="L7619" s="1" t="str">
        <f t="shared" si="481"/>
        <v>ㄧ</v>
      </c>
      <c r="N7619" s="3" t="s">
        <v>30576</v>
      </c>
      <c r="O7619" s="3"/>
      <c r="P7619" s="1" t="s">
        <v>20</v>
      </c>
      <c r="R7619" s="1" t="s">
        <v>13057</v>
      </c>
      <c r="V7619" s="1" t="s">
        <v>13083</v>
      </c>
      <c r="W7619" s="1" t="s">
        <v>13084</v>
      </c>
      <c r="AR7619" s="1" t="str">
        <f t="shared" ref="AR7619:AR7682" si="482">"| ["&amp;I7619&amp;"]("&amp;I7619&amp;".md) | ["&amp;A7619&amp;"]("&amp;A7619&amp;".md) | "&amp;" | "&amp;R7619&amp;" | "&amp;V7619&amp;" |"</f>
        <v>| [ㄐㄧˇ](ㄐㄧˇ.md) | [給](給.md) |  | jǐ | [名]
1.軍公教人員的薪俸。如：「俸給」、「加給」。
2.姓。秦、漢代時有給事中一職，後以給為姓。
[動]
1.供應。如：「供給」、「補給」、「自給自足」。《戰國策．齊策三》：「孟嘗君使人給其食用，無使乏。」
2.授與、賜予。如：「給假」。《宋史．卷二九六．張茂直傳》：「且給錢五萬，以助其裝。」
[形]
1.富裕、豐足。《孟子．梁惠王下》：「春省耕而補不足，秋省斂而助不給。」
2.敏捷。《漢書．卷六五．東方朔傳》：「上以朔口諧辭給，好作問之。」《新唐書．卷一九八．儒學傳上．顏師古傳》：「師古性敏給，明練治體。」 |</v>
      </c>
    </row>
    <row r="7620" spans="1:44" hidden="1">
      <c r="A7620" s="1" t="s">
        <v>12885</v>
      </c>
      <c r="C7620" s="1">
        <v>1</v>
      </c>
      <c r="D7620" s="1" t="str">
        <f>"05411"</f>
        <v>05411</v>
      </c>
      <c r="E7620" s="1" t="s">
        <v>12565</v>
      </c>
      <c r="F7620" s="1">
        <v>12</v>
      </c>
      <c r="G7620" s="1">
        <v>9</v>
      </c>
      <c r="H7620" s="1">
        <v>1</v>
      </c>
      <c r="I7620" s="1" t="s">
        <v>13056</v>
      </c>
      <c r="K7620" s="1" t="str">
        <f t="shared" ref="K7620:K7683" si="483">LEFT(I7620, 1)</f>
        <v>ㄐ</v>
      </c>
      <c r="L7620" s="1" t="str">
        <f t="shared" ref="L7620:L7683" si="484">MID(I7620, 2, 1)</f>
        <v>ㄧ</v>
      </c>
      <c r="N7620" s="3" t="s">
        <v>30576</v>
      </c>
      <c r="O7620" s="3"/>
      <c r="P7620" s="1" t="s">
        <v>20</v>
      </c>
      <c r="R7620" s="1" t="s">
        <v>13057</v>
      </c>
      <c r="V7620" s="1" t="s">
        <v>13085</v>
      </c>
      <c r="W7620" s="1" t="s">
        <v>13086</v>
      </c>
      <c r="AR7620" s="1" t="str">
        <f t="shared" si="482"/>
        <v>| [ㄐㄧˇ](ㄐㄧˇ.md) | [幾](幾.md) |  | jǐ | [形]
1.詢問數量的多少。如：「幾個人」、「幾點鐘」。唐．王翰〈涼州詞〉二首之一：「醉臥沙場君莫笑，古來征戰幾人回？」
2.表示不定的數目。如：「少年十幾二十時」、「他才十幾歲。」
[副]
何、哪，表時間的疑問詞。參見「幾何」、「幾曾」等條。 |</v>
      </c>
    </row>
    <row r="7621" spans="1:44" hidden="1">
      <c r="A7621" s="1" t="s">
        <v>13087</v>
      </c>
      <c r="C7621" s="1">
        <v>1</v>
      </c>
      <c r="D7621" s="1" t="str">
        <f>"05412"</f>
        <v>05412</v>
      </c>
      <c r="E7621" s="1" t="s">
        <v>679</v>
      </c>
      <c r="F7621" s="1">
        <v>18</v>
      </c>
      <c r="G7621" s="1">
        <v>12</v>
      </c>
      <c r="H7621" s="1">
        <v>0</v>
      </c>
      <c r="I7621" s="1" t="s">
        <v>13056</v>
      </c>
      <c r="K7621" s="1" t="str">
        <f t="shared" si="483"/>
        <v>ㄐ</v>
      </c>
      <c r="L7621" s="1" t="str">
        <f t="shared" si="484"/>
        <v>ㄧ</v>
      </c>
      <c r="N7621" s="3" t="s">
        <v>30576</v>
      </c>
      <c r="O7621" s="3"/>
      <c r="P7621" s="1" t="s">
        <v>20</v>
      </c>
      <c r="R7621" s="1" t="s">
        <v>13057</v>
      </c>
      <c r="V7621" s="1" t="s">
        <v>13088</v>
      </c>
      <c r="AR7621" s="1" t="str">
        <f t="shared" si="482"/>
        <v>| [ㄐㄧˇ](ㄐㄧˇ.md) | [蟣](蟣.md) |  | jǐ | [名]
1.蝨的幼蟲。《說文解字．虫部》：「蟣，蝨子也。」清．段玉裁．注：「蝨，齧人蟲也。子，其卵也。」《史記．卷七．項羽本紀》：「夫博牛之蝱，不可以破蟣蝨。」
2.水中蛭蟲。《爾雅．釋魚》：「蛀，蟣。」晉．郭璞．注：「今江東呼水中蛀蟲入人肉者為蟣。」 |</v>
      </c>
    </row>
    <row r="7622" spans="1:44" hidden="1">
      <c r="A7622" s="1" t="s">
        <v>13089</v>
      </c>
      <c r="C7622" s="1">
        <v>1</v>
      </c>
      <c r="D7622" s="1" t="str">
        <f>"05413"</f>
        <v>05413</v>
      </c>
      <c r="E7622" s="1" t="s">
        <v>129</v>
      </c>
      <c r="F7622" s="1">
        <v>17</v>
      </c>
      <c r="G7622" s="1">
        <v>14</v>
      </c>
      <c r="H7622" s="1">
        <v>2</v>
      </c>
      <c r="I7622" s="1" t="s">
        <v>13056</v>
      </c>
      <c r="K7622" s="1" t="str">
        <f t="shared" si="483"/>
        <v>ㄐ</v>
      </c>
      <c r="L7622" s="1" t="str">
        <f t="shared" si="484"/>
        <v>ㄧ</v>
      </c>
      <c r="N7622" s="3" t="s">
        <v>30576</v>
      </c>
      <c r="O7622" s="3"/>
      <c r="P7622" s="1" t="s">
        <v>20</v>
      </c>
      <c r="R7622" s="1" t="s">
        <v>13057</v>
      </c>
      <c r="V7622" s="1" t="s">
        <v>13090</v>
      </c>
      <c r="W7622" s="1" t="s">
        <v>13091</v>
      </c>
      <c r="AR7622" s="1" t="str">
        <f t="shared" si="482"/>
        <v>| [ㄐㄧˇ](ㄐㄧˇ.md) | [濟](濟.md) |  | jǐ | 參見「濟水」、「濟濟」等條。 |</v>
      </c>
    </row>
    <row r="7623" spans="1:44" hidden="1">
      <c r="A7623" s="1" t="s">
        <v>13092</v>
      </c>
      <c r="C7623" s="1">
        <v>1</v>
      </c>
      <c r="D7623" s="1" t="str">
        <f>"05414"</f>
        <v>05414</v>
      </c>
      <c r="E7623" s="1" t="s">
        <v>24</v>
      </c>
      <c r="F7623" s="1">
        <v>17</v>
      </c>
      <c r="G7623" s="1">
        <v>14</v>
      </c>
      <c r="H7623" s="1">
        <v>0</v>
      </c>
      <c r="I7623" s="1" t="s">
        <v>13056</v>
      </c>
      <c r="K7623" s="1" t="str">
        <f t="shared" si="483"/>
        <v>ㄐ</v>
      </c>
      <c r="L7623" s="1" t="str">
        <f t="shared" si="484"/>
        <v>ㄧ</v>
      </c>
      <c r="N7623" s="3" t="s">
        <v>30576</v>
      </c>
      <c r="O7623" s="3"/>
      <c r="P7623" s="1" t="s">
        <v>20</v>
      </c>
      <c r="R7623" s="1" t="s">
        <v>13057</v>
      </c>
      <c r="V7623" s="1" t="s">
        <v>13093</v>
      </c>
      <c r="AR7623" s="1" t="str">
        <f t="shared" si="482"/>
        <v>| [ㄐㄧˇ](ㄐㄧˇ.md) | [擠](擠.md) |  | jǐ | [動]
1.聚集、緊密的靠攏在一起。如：「擠車」、「事情都擠在一塊了。」《紅樓夢》第四三回：「老的、少的、上的、下的，烏壓壓擠了一屋子。」
2.在擁擠的環境中，用力穿插而過。如：「人這麼多，好不容易才擠進來。」
3.用力壓榨。如：「擠牛奶」、「擠牙膏」。
[形]
空間小而所裝內容密度極高。如：「擁擠」、「這車子真擠！」 |</v>
      </c>
    </row>
    <row r="7624" spans="1:44" hidden="1">
      <c r="A7624" s="1" t="s">
        <v>14468</v>
      </c>
      <c r="C7624" s="1">
        <v>1</v>
      </c>
      <c r="D7624" s="1" t="str">
        <f>"06030"</f>
        <v>06030</v>
      </c>
      <c r="E7624" s="1" t="s">
        <v>10636</v>
      </c>
      <c r="F7624" s="1">
        <v>5</v>
      </c>
      <c r="G7624" s="1">
        <v>2</v>
      </c>
      <c r="H7624" s="1">
        <v>0</v>
      </c>
      <c r="I7624" s="1" t="s">
        <v>14469</v>
      </c>
      <c r="K7624" s="1" t="str">
        <f t="shared" si="483"/>
        <v>ㄐ</v>
      </c>
      <c r="L7624" s="1" t="str">
        <f t="shared" si="484"/>
        <v>ㄩ</v>
      </c>
      <c r="N7624" s="3" t="s">
        <v>30574</v>
      </c>
      <c r="O7624" s="3"/>
      <c r="P7624" s="1" t="s">
        <v>20</v>
      </c>
      <c r="R7624" s="1" t="s">
        <v>14470</v>
      </c>
      <c r="V7624" s="1" t="s">
        <v>14471</v>
      </c>
      <c r="AR7624" s="1" t="str">
        <f t="shared" si="482"/>
        <v>| [ㄐㄩˋ](ㄐㄩˋ.md) | [巨](巨.md) |  | jù | [名]
1.量方正的器具。通「矩」。《說文解字．工部》：「巨，規巨也。」
2.姓。如漢代有巨覽。
[形]
大。通「鉅」。如：「巨款」、「巨人」。唐．李白〈古風〉詩五九首之三三：「北溟有巨魚，身長數千里。」宋．蘇軾〈後赤壁賦〉：「舉網得魚，巨口細鱗。」
[副]
豈。通「詎」。《漢書．卷一．高帝紀上》：「沛公不先破關中兵，公巨能入乎？」唐．顏師古．注：「巨，讀曰詎。詎，猶豈也。」 |</v>
      </c>
    </row>
    <row r="7625" spans="1:44" hidden="1">
      <c r="A7625" s="1" t="s">
        <v>14472</v>
      </c>
      <c r="C7625" s="1">
        <v>1</v>
      </c>
      <c r="D7625" s="1" t="str">
        <f>"06031"</f>
        <v>06031</v>
      </c>
      <c r="E7625" s="1" t="s">
        <v>24</v>
      </c>
      <c r="F7625" s="1">
        <v>8</v>
      </c>
      <c r="G7625" s="1">
        <v>5</v>
      </c>
      <c r="H7625" s="1">
        <v>0</v>
      </c>
      <c r="I7625" s="1" t="s">
        <v>14469</v>
      </c>
      <c r="K7625" s="1" t="str">
        <f t="shared" si="483"/>
        <v>ㄐ</v>
      </c>
      <c r="L7625" s="1" t="str">
        <f t="shared" si="484"/>
        <v>ㄩ</v>
      </c>
      <c r="N7625" s="3" t="s">
        <v>30574</v>
      </c>
      <c r="O7625" s="3"/>
      <c r="P7625" s="1" t="s">
        <v>20</v>
      </c>
      <c r="R7625" s="1" t="s">
        <v>14470</v>
      </c>
      <c r="V7625" s="1" t="s">
        <v>14473</v>
      </c>
      <c r="AR7625" s="1" t="str">
        <f t="shared" si="482"/>
        <v>| [ㄐㄩˋ](ㄐㄩˋ.md) | [拒](拒.md) |  | jù | [動]
1.抵抗、抵禦。如：「抗拒」、「拒敵」。《廣韻．上聲．語韻》：「拒，捍也。」《荀子．君道》：「內以固城，外以拒難。」
2.據守。《三國演義》第一六回：「韋猶死拒寨門，爭奈寨後賊軍已入。」
3.不接受。如：「拒絕」、「來者不拒」。《孟子．盡心下》：「往者不追，來者不拒。」唐．李白〈與韓荊州書〉：「幸願開張心顏，不以長揖見拒。」
4.違抗。《新五代史．卷三〇．漢臣傳．史弘肇傳》：「高祖建號於太原，代州王暉拒命，弘肇攻破之。」 |</v>
      </c>
    </row>
    <row r="7626" spans="1:44" hidden="1">
      <c r="A7626" s="1" t="s">
        <v>14474</v>
      </c>
      <c r="C7626" s="1">
        <v>1</v>
      </c>
      <c r="D7626" s="1" t="str">
        <f>"06032"</f>
        <v>06032</v>
      </c>
      <c r="E7626" s="1" t="s">
        <v>336</v>
      </c>
      <c r="F7626" s="1">
        <v>9</v>
      </c>
      <c r="G7626" s="1">
        <v>5</v>
      </c>
      <c r="H7626" s="1">
        <v>0</v>
      </c>
      <c r="I7626" s="1" t="s">
        <v>14469</v>
      </c>
      <c r="K7626" s="1" t="str">
        <f t="shared" si="483"/>
        <v>ㄐ</v>
      </c>
      <c r="L7626" s="1" t="str">
        <f t="shared" si="484"/>
        <v>ㄩ</v>
      </c>
      <c r="N7626" s="3" t="s">
        <v>30574</v>
      </c>
      <c r="O7626" s="3"/>
      <c r="P7626" s="1" t="s">
        <v>20</v>
      </c>
      <c r="R7626" s="1" t="s">
        <v>14470</v>
      </c>
      <c r="V7626" s="1" t="s">
        <v>14475</v>
      </c>
      <c r="AR7626" s="1" t="str">
        <f t="shared" si="482"/>
        <v>| [ㄐㄩˋ](ㄐㄩˋ.md) | [炬](炬.md) |  | jù | [名]
1.火把。如：「火炬」、「目光如炬」。唐．杜牧〈阿房宮賦〉：「楚人一炬，可憐焦土。」。宋．陸游〈夜行〉詩：「路長憂炬盡，馬弱畏泥深。」
2.量詞。古代計算燈燭等的單位。唐．韋莊〈南鄰公子〉詩：「南鄰公子夜歸聲，數炬銀燈隔竹明。」 |</v>
      </c>
    </row>
    <row r="7627" spans="1:44" hidden="1">
      <c r="A7627" s="1" t="s">
        <v>14476</v>
      </c>
      <c r="C7627" s="1">
        <v>1</v>
      </c>
      <c r="D7627" s="1" t="str">
        <f>"06033"</f>
        <v>06033</v>
      </c>
      <c r="E7627" s="1" t="s">
        <v>37</v>
      </c>
      <c r="F7627" s="1">
        <v>9</v>
      </c>
      <c r="G7627" s="1">
        <v>5</v>
      </c>
      <c r="H7627" s="1">
        <v>0</v>
      </c>
      <c r="I7627" s="1" t="s">
        <v>14469</v>
      </c>
      <c r="K7627" s="1" t="str">
        <f t="shared" si="483"/>
        <v>ㄐ</v>
      </c>
      <c r="L7627" s="1" t="str">
        <f t="shared" si="484"/>
        <v>ㄩ</v>
      </c>
      <c r="N7627" s="3" t="s">
        <v>30574</v>
      </c>
      <c r="O7627" s="3"/>
      <c r="P7627" s="1" t="s">
        <v>20</v>
      </c>
      <c r="R7627" s="1" t="s">
        <v>14470</v>
      </c>
      <c r="V7627" s="1" t="s">
        <v>14477</v>
      </c>
      <c r="AR7627" s="1" t="str">
        <f t="shared" si="482"/>
        <v>| [ㄐㄩˋ](ㄐㄩˋ.md) | [苣](苣.md) |  | jù | [名]
1.參見「萵苣」條。
2.火把。通「炬」。《後漢書．卷七一．皇甫嵩傳》：「嵩乃約敕軍士，皆束苣乘城。」
3.燭。五代蜀．牛嶠〈菩薩蠻．綠雲鬢上飛金雀〉詞：「窗寒天欲曙，猶結同心苣。」 |</v>
      </c>
    </row>
    <row r="7628" spans="1:44" hidden="1">
      <c r="A7628" s="1" t="s">
        <v>14478</v>
      </c>
      <c r="C7628" s="1">
        <v>1</v>
      </c>
      <c r="D7628" s="1" t="str">
        <f>"06034"</f>
        <v>06034</v>
      </c>
      <c r="E7628" s="1" t="s">
        <v>429</v>
      </c>
      <c r="F7628" s="1">
        <v>10</v>
      </c>
      <c r="G7628" s="1">
        <v>5</v>
      </c>
      <c r="H7628" s="1">
        <v>0</v>
      </c>
      <c r="I7628" s="1" t="s">
        <v>14469</v>
      </c>
      <c r="K7628" s="1" t="str">
        <f t="shared" si="483"/>
        <v>ㄐ</v>
      </c>
      <c r="L7628" s="1" t="str">
        <f t="shared" si="484"/>
        <v>ㄩ</v>
      </c>
      <c r="N7628" s="3" t="s">
        <v>30574</v>
      </c>
      <c r="O7628" s="3"/>
      <c r="P7628" s="1" t="s">
        <v>20</v>
      </c>
      <c r="R7628" s="1" t="s">
        <v>14470</v>
      </c>
      <c r="V7628" s="1" t="s">
        <v>14479</v>
      </c>
      <c r="AR7628" s="1" t="str">
        <f t="shared" si="482"/>
        <v>| [ㄐㄩˋ](ㄐㄩˋ.md) | [秬](秬.md) |  | jù | [名]
黑黍，可以釀酒。《爾雅．釋草》：「秬，黑黍。」《詩經．大雅．生民》：「誕降嘉種，維秬維秠。」唐．柳宗元〈武功縣丞廳壁記〉：「其植物豐暢茂遂，有秬秠藿菽之宜。」
[形]
黑。《左傳．昭公四年》：「黑牡秬黍，以享司寒。」 |</v>
      </c>
    </row>
    <row r="7629" spans="1:44" hidden="1">
      <c r="A7629" s="1" t="s">
        <v>14480</v>
      </c>
      <c r="C7629" s="1">
        <v>1</v>
      </c>
      <c r="D7629" s="1" t="str">
        <f>"06035"</f>
        <v>06035</v>
      </c>
      <c r="E7629" s="1" t="s">
        <v>46</v>
      </c>
      <c r="F7629" s="1">
        <v>11</v>
      </c>
      <c r="G7629" s="1">
        <v>5</v>
      </c>
      <c r="H7629" s="1">
        <v>0</v>
      </c>
      <c r="I7629" s="1" t="s">
        <v>14469</v>
      </c>
      <c r="K7629" s="1" t="str">
        <f t="shared" si="483"/>
        <v>ㄐ</v>
      </c>
      <c r="L7629" s="1" t="str">
        <f t="shared" si="484"/>
        <v>ㄩ</v>
      </c>
      <c r="N7629" s="3" t="s">
        <v>30574</v>
      </c>
      <c r="O7629" s="3"/>
      <c r="P7629" s="1" t="s">
        <v>20</v>
      </c>
      <c r="R7629" s="1" t="s">
        <v>14470</v>
      </c>
      <c r="V7629" s="1" t="s">
        <v>7751</v>
      </c>
      <c r="AR7629" s="1" t="str">
        <f t="shared" si="482"/>
        <v>| [ㄐㄩˋ](ㄐㄩˋ.md) | [粔](粔.md) |  | jù | 參見「粔籹」條。 |</v>
      </c>
    </row>
    <row r="7630" spans="1:44" hidden="1">
      <c r="A7630" s="1" t="s">
        <v>14481</v>
      </c>
      <c r="C7630" s="1">
        <v>1</v>
      </c>
      <c r="D7630" s="1" t="str">
        <f>"06036"</f>
        <v>06036</v>
      </c>
      <c r="E7630" s="1" t="s">
        <v>679</v>
      </c>
      <c r="F7630" s="1">
        <v>11</v>
      </c>
      <c r="G7630" s="1">
        <v>5</v>
      </c>
      <c r="H7630" s="1">
        <v>0</v>
      </c>
      <c r="I7630" s="1" t="s">
        <v>14469</v>
      </c>
      <c r="K7630" s="1" t="str">
        <f t="shared" si="483"/>
        <v>ㄐ</v>
      </c>
      <c r="L7630" s="1" t="str">
        <f t="shared" si="484"/>
        <v>ㄩ</v>
      </c>
      <c r="N7630" s="3" t="s">
        <v>30574</v>
      </c>
      <c r="O7630" s="3"/>
      <c r="P7630" s="1" t="s">
        <v>20</v>
      </c>
      <c r="R7630" s="1" t="s">
        <v>14470</v>
      </c>
      <c r="V7630" s="1" t="s">
        <v>14482</v>
      </c>
      <c r="AR7630" s="1" t="str">
        <f t="shared" si="482"/>
        <v>| [ㄐㄩˋ](ㄐㄩˋ.md) | [蚷](蚷.md) |  | jù | 參見「商蚷」條。 |</v>
      </c>
    </row>
    <row r="7631" spans="1:44" hidden="1">
      <c r="A7631" s="1" t="s">
        <v>14483</v>
      </c>
      <c r="C7631" s="1">
        <v>1</v>
      </c>
      <c r="D7631" s="1" t="str">
        <f>"06037"</f>
        <v>06037</v>
      </c>
      <c r="E7631" s="1" t="s">
        <v>331</v>
      </c>
      <c r="F7631" s="1">
        <v>12</v>
      </c>
      <c r="G7631" s="1">
        <v>5</v>
      </c>
      <c r="H7631" s="1">
        <v>0</v>
      </c>
      <c r="I7631" s="1" t="s">
        <v>14469</v>
      </c>
      <c r="K7631" s="1" t="str">
        <f t="shared" si="483"/>
        <v>ㄐ</v>
      </c>
      <c r="L7631" s="1" t="str">
        <f t="shared" si="484"/>
        <v>ㄩ</v>
      </c>
      <c r="N7631" s="3" t="s">
        <v>30574</v>
      </c>
      <c r="O7631" s="3"/>
      <c r="P7631" s="1" t="s">
        <v>20</v>
      </c>
      <c r="R7631" s="1" t="s">
        <v>14470</v>
      </c>
      <c r="V7631" s="1" t="s">
        <v>14484</v>
      </c>
      <c r="AR7631" s="1" t="str">
        <f t="shared" si="482"/>
        <v>| [ㄐㄩˋ](ㄐㄩˋ.md) | [詎](詎.md) |  | jù | [副]
1.豈、何，表示反問的語氣。如：「詎料」、「詎知」。晉．陶淵明〈讀山海經〉詩一三首之一〇：「徒設在昔心，良晨詎可待？」南朝陳．陰鏗〈渡青草湖〉詩：「滔滔不可測，一葦詎能航？」
2.曾。《文選．陸機．歎逝賦》：「彌年時其詎幾，夫何往而不殘？」《文選．潘岳．悼亡詩三首之三》：「爾祭詎幾時，朔望忽復盡。」
3.不料、哪知。《二十年目睹之怪現狀》第一〇一回：「詎接了回條，又是推辭。」
[連]
假若、如果。《國語．晉語六》：「詎非聖人，不有外患，必有內憂。」 |</v>
      </c>
    </row>
    <row r="7632" spans="1:44" hidden="1">
      <c r="A7632" s="1" t="s">
        <v>14485</v>
      </c>
      <c r="C7632" s="1">
        <v>1</v>
      </c>
      <c r="D7632" s="1" t="str">
        <f>"06038"</f>
        <v>06038</v>
      </c>
      <c r="E7632" s="1" t="s">
        <v>77</v>
      </c>
      <c r="F7632" s="1">
        <v>12</v>
      </c>
      <c r="G7632" s="1">
        <v>5</v>
      </c>
      <c r="H7632" s="1">
        <v>0</v>
      </c>
      <c r="I7632" s="1" t="s">
        <v>14469</v>
      </c>
      <c r="K7632" s="1" t="str">
        <f t="shared" si="483"/>
        <v>ㄐ</v>
      </c>
      <c r="L7632" s="1" t="str">
        <f t="shared" si="484"/>
        <v>ㄩ</v>
      </c>
      <c r="N7632" s="3" t="s">
        <v>30574</v>
      </c>
      <c r="O7632" s="3"/>
      <c r="P7632" s="1" t="s">
        <v>20</v>
      </c>
      <c r="R7632" s="1" t="s">
        <v>14470</v>
      </c>
      <c r="V7632" s="1" t="s">
        <v>14486</v>
      </c>
      <c r="AR7632" s="1" t="str">
        <f t="shared" si="482"/>
        <v>| [ㄐㄩˋ](ㄐㄩˋ.md) | [距](距.md) |  | jù | [名]
1.公雞、雄雉等腳上蹠骨後上方突出像腳趾的部分，中有硬骨，外包角質，打鬥時可做武器。《說文解字．足部》：「距，雞距也。」三國魏．應瑒〈鬥雞〉詩：「雙距解長紲，飛踊超敵倫。」
2.爪。《文選．張衡．東京賦》：「秦政利觜長距，終得擅場。」
3.相隔的長度。如：「行距」、「間距」、「距離」。
[動]
1.相隔、相離。《列子．湯問》：「不知距齊州幾千萬里？」
2.至、到。《書經．益稷》：「予決九川，距四海。」《文選．阮籍．詠懷詩一七首之九》：「連軫距阡陌，子母相拘帶。」
3.抗、違。通「拒」。《詩經．大雅．皇矣》：「密人不恭，敢距大邦，侵阮徂共。」《墨子．公輸》：「公輸盤九設攻城之機變，子墨子九距之。」
[形]
大。通「巨」。《淮南子．氾論》：「體大者節疏，蹠距者舉遠。」《續漢書志．第七．祭祀志上》：「其下用距石十八枚，皆高三尺。」 |</v>
      </c>
    </row>
    <row r="7633" spans="1:44" hidden="1">
      <c r="A7633" s="1" t="s">
        <v>14487</v>
      </c>
      <c r="C7633" s="1">
        <v>1</v>
      </c>
      <c r="D7633" s="1" t="str">
        <f>"06039"</f>
        <v>06039</v>
      </c>
      <c r="E7633" s="1" t="s">
        <v>55</v>
      </c>
      <c r="F7633" s="1">
        <v>13</v>
      </c>
      <c r="G7633" s="1">
        <v>5</v>
      </c>
      <c r="H7633" s="1">
        <v>0</v>
      </c>
      <c r="I7633" s="1" t="s">
        <v>14469</v>
      </c>
      <c r="K7633" s="1" t="str">
        <f t="shared" si="483"/>
        <v>ㄐ</v>
      </c>
      <c r="L7633" s="1" t="str">
        <f t="shared" si="484"/>
        <v>ㄩ</v>
      </c>
      <c r="N7633" s="3" t="s">
        <v>30574</v>
      </c>
      <c r="O7633" s="3"/>
      <c r="P7633" s="1" t="s">
        <v>20</v>
      </c>
      <c r="R7633" s="1" t="s">
        <v>14470</v>
      </c>
      <c r="V7633" s="1" t="s">
        <v>14488</v>
      </c>
      <c r="AR7633" s="1" t="str">
        <f t="shared" si="482"/>
        <v>| [ㄐㄩˋ](ㄐㄩˋ.md) | [鉅](鉅.md) |  | jù | [名]
1.鋼鐵。《說文解字．足部》：「鉅，大剛也。」《史記．卷二三．禮書》：「宛之鉅鐵施，鑽如蜂蠆。」唐．張守節．正義：「鉅，剛鐵也。」
2.鉤。《文選．潘岳．西征賦》：「於是弛青鯤於網鉅，解赬鯉於黏徽。」唐．李善．注：「鉅，鉤也。」
[形]
大。通「巨」。如：「鉅款」。唐．韓愈〈南海神廟碑〉：「海於天地間，為物最鉅。」明．徐弘祖《徐霞客遊記．卷一上．遊黃山日記後》：「山高風鉅，霧氣去來無定。」
[副]
豈、何。通「詎」。《戰國策．楚策一》：「今王以用之於越矣，而忘之於秦，臣以為王鉅速忘矣！」 |</v>
      </c>
    </row>
    <row r="7634" spans="1:44" hidden="1">
      <c r="A7634" s="1" t="s">
        <v>14489</v>
      </c>
      <c r="C7634" s="1">
        <v>1</v>
      </c>
      <c r="D7634" s="1" t="str">
        <f>"06040"</f>
        <v>06040</v>
      </c>
      <c r="E7634" s="1" t="s">
        <v>319</v>
      </c>
      <c r="F7634" s="1">
        <v>15</v>
      </c>
      <c r="G7634" s="1">
        <v>5</v>
      </c>
      <c r="H7634" s="1">
        <v>0</v>
      </c>
      <c r="I7634" s="1" t="s">
        <v>14469</v>
      </c>
      <c r="K7634" s="1" t="str">
        <f t="shared" si="483"/>
        <v>ㄐ</v>
      </c>
      <c r="L7634" s="1" t="str">
        <f t="shared" si="484"/>
        <v>ㄩ</v>
      </c>
      <c r="N7634" s="3" t="s">
        <v>30574</v>
      </c>
      <c r="O7634" s="3"/>
      <c r="P7634" s="1" t="s">
        <v>20</v>
      </c>
      <c r="R7634" s="1" t="s">
        <v>14470</v>
      </c>
      <c r="V7634" s="1" t="s">
        <v>14490</v>
      </c>
      <c r="AR7634" s="1" t="str">
        <f t="shared" si="482"/>
        <v>| [ㄐㄩˋ](ㄐㄩˋ.md) | [駏](駏.md) |  | jù | 參見「駏驉」條。 |</v>
      </c>
    </row>
    <row r="7635" spans="1:44" hidden="1">
      <c r="A7635" s="1" t="s">
        <v>9782</v>
      </c>
      <c r="C7635" s="1">
        <v>1</v>
      </c>
      <c r="D7635" s="1" t="str">
        <f>"06041"</f>
        <v>06041</v>
      </c>
      <c r="E7635" s="1" t="s">
        <v>28</v>
      </c>
      <c r="F7635" s="1">
        <v>5</v>
      </c>
      <c r="G7635" s="1">
        <v>2</v>
      </c>
      <c r="H7635" s="1">
        <v>1</v>
      </c>
      <c r="I7635" s="1" t="s">
        <v>14469</v>
      </c>
      <c r="K7635" s="1" t="str">
        <f t="shared" si="483"/>
        <v>ㄐ</v>
      </c>
      <c r="L7635" s="1" t="str">
        <f t="shared" si="484"/>
        <v>ㄩ</v>
      </c>
      <c r="N7635" s="3" t="s">
        <v>30574</v>
      </c>
      <c r="O7635" s="3"/>
      <c r="P7635" s="1" t="s">
        <v>20</v>
      </c>
      <c r="R7635" s="1" t="s">
        <v>14470</v>
      </c>
      <c r="V7635" s="1" t="s">
        <v>14491</v>
      </c>
      <c r="W7635" s="1" t="s">
        <v>14492</v>
      </c>
      <c r="AR7635" s="1" t="str">
        <f t="shared" si="482"/>
        <v>| [ㄐㄩˋ](ㄐㄩˋ.md) | [句](句.md) |  | jù | [名]
1.由兩個或兩個以上的字詞組成，含有主語、述語，能表達一個完全的意思的，稱為「句」。如：「詩句」、「語句」。南朝梁．劉勰《文心雕龍．章句》：「因字而生句，積句而成章。」
2.量詞。計算言語的單位。如：「三句話不離本行。」
3.古代由下傳話以告上的禮制。《漢書．卷四三．叔孫通傳》：「大行設九賓，臚、句傳。」顏師古注引蘇林曰：「上傳語告下為臚，下告上為句也。」 |</v>
      </c>
    </row>
    <row r="7636" spans="1:44" hidden="1">
      <c r="A7636" s="1" t="s">
        <v>14493</v>
      </c>
      <c r="C7636" s="1">
        <v>1</v>
      </c>
      <c r="D7636" s="1" t="str">
        <f>"06042"</f>
        <v>06042</v>
      </c>
      <c r="E7636" s="1" t="s">
        <v>77</v>
      </c>
      <c r="F7636" s="1">
        <v>7</v>
      </c>
      <c r="G7636" s="1">
        <v>0</v>
      </c>
      <c r="H7636" s="1">
        <v>2</v>
      </c>
      <c r="I7636" s="1" t="s">
        <v>14469</v>
      </c>
      <c r="K7636" s="1" t="str">
        <f t="shared" si="483"/>
        <v>ㄐ</v>
      </c>
      <c r="L7636" s="1" t="str">
        <f t="shared" si="484"/>
        <v>ㄩ</v>
      </c>
      <c r="N7636" s="3" t="s">
        <v>30574</v>
      </c>
      <c r="O7636" s="3"/>
      <c r="P7636" s="1" t="s">
        <v>20</v>
      </c>
      <c r="R7636" s="1" t="s">
        <v>14470</v>
      </c>
      <c r="V7636" s="1" t="s">
        <v>14494</v>
      </c>
      <c r="W7636" s="1" t="s">
        <v>14495</v>
      </c>
      <c r="AR7636" s="1" t="str">
        <f t="shared" si="482"/>
        <v>| [ㄐㄩˋ](ㄐㄩˋ.md) | [足](足.md) |  | jù | [副]
過分。參見「足恭」條。 |</v>
      </c>
    </row>
    <row r="7637" spans="1:44" hidden="1">
      <c r="A7637" s="1" t="s">
        <v>14331</v>
      </c>
      <c r="C7637" s="1">
        <v>1</v>
      </c>
      <c r="D7637" s="1" t="str">
        <f>"06043"</f>
        <v>06043</v>
      </c>
      <c r="E7637" s="1" t="s">
        <v>129</v>
      </c>
      <c r="F7637" s="1">
        <v>8</v>
      </c>
      <c r="G7637" s="1">
        <v>5</v>
      </c>
      <c r="H7637" s="1">
        <v>3</v>
      </c>
      <c r="I7637" s="1" t="s">
        <v>14469</v>
      </c>
      <c r="K7637" s="1" t="str">
        <f t="shared" si="483"/>
        <v>ㄐ</v>
      </c>
      <c r="L7637" s="1" t="str">
        <f t="shared" si="484"/>
        <v>ㄩ</v>
      </c>
      <c r="N7637" s="3" t="s">
        <v>30574</v>
      </c>
      <c r="O7637" s="3"/>
      <c r="P7637" s="1" t="s">
        <v>20</v>
      </c>
      <c r="R7637" s="1" t="s">
        <v>14470</v>
      </c>
      <c r="V7637" s="1" t="s">
        <v>14496</v>
      </c>
      <c r="W7637" s="1" t="s">
        <v>14497</v>
      </c>
      <c r="AR7637" s="1" t="str">
        <f t="shared" si="482"/>
        <v>| [ㄐㄩˋ](ㄐㄩˋ.md) | [沮](沮.md) |  | jù | [形]
溼潤、不乾枯。清．王念孫《廣雅疏證．卷一下．釋詁》：「沮，溼也。」唐．白居易〈履道新居二十韻〉詩：「門閉深沉樹，池通淺沮溝。」 |</v>
      </c>
    </row>
    <row r="7638" spans="1:44" hidden="1">
      <c r="A7638" s="1" t="s">
        <v>14498</v>
      </c>
      <c r="C7638" s="1">
        <v>1</v>
      </c>
      <c r="D7638" s="1" t="str">
        <f>"06044"</f>
        <v>06044</v>
      </c>
      <c r="E7638" s="1" t="s">
        <v>250</v>
      </c>
      <c r="F7638" s="1">
        <v>8</v>
      </c>
      <c r="G7638" s="1">
        <v>5</v>
      </c>
      <c r="H7638" s="1">
        <v>0</v>
      </c>
      <c r="I7638" s="1" t="s">
        <v>14469</v>
      </c>
      <c r="K7638" s="1" t="str">
        <f t="shared" si="483"/>
        <v>ㄐ</v>
      </c>
      <c r="L7638" s="1" t="str">
        <f t="shared" si="484"/>
        <v>ㄩ</v>
      </c>
      <c r="N7638" s="3" t="s">
        <v>30574</v>
      </c>
      <c r="O7638" s="3"/>
      <c r="P7638" s="1" t="s">
        <v>20</v>
      </c>
      <c r="R7638" s="1" t="s">
        <v>14470</v>
      </c>
      <c r="V7638" s="1" t="s">
        <v>14499</v>
      </c>
      <c r="AR7638" s="1" t="str">
        <f t="shared" si="482"/>
        <v>| [ㄐㄩˋ](ㄐㄩˋ.md) | [怚](怚.md) |  | jù | [形]
驕傲。《說文解字．心部》：「怚，驕也。」 |</v>
      </c>
    </row>
    <row r="7639" spans="1:44" hidden="1">
      <c r="A7639" s="1" t="s">
        <v>14500</v>
      </c>
      <c r="C7639" s="1">
        <v>1</v>
      </c>
      <c r="D7639" s="1" t="str">
        <f>"06045"</f>
        <v>06045</v>
      </c>
      <c r="E7639" s="1" t="s">
        <v>18</v>
      </c>
      <c r="F7639" s="1">
        <v>8</v>
      </c>
      <c r="G7639" s="1">
        <v>6</v>
      </c>
      <c r="H7639" s="1">
        <v>0</v>
      </c>
      <c r="I7639" s="1" t="s">
        <v>14469</v>
      </c>
      <c r="K7639" s="1" t="str">
        <f t="shared" si="483"/>
        <v>ㄐ</v>
      </c>
      <c r="L7639" s="1" t="str">
        <f t="shared" si="484"/>
        <v>ㄩ</v>
      </c>
      <c r="N7639" s="3" t="s">
        <v>30574</v>
      </c>
      <c r="O7639" s="3"/>
      <c r="P7639" s="1" t="s">
        <v>20</v>
      </c>
      <c r="R7639" s="1" t="s">
        <v>14470</v>
      </c>
      <c r="V7639" s="1" t="s">
        <v>14501</v>
      </c>
      <c r="AR7639" s="1" t="str">
        <f t="shared" si="482"/>
        <v>| [ㄐㄩˋ](ㄐㄩˋ.md) | [具](具.md) |  | jù | [動]
1.有、備有。如：「具備」、「獨具慧眼」。
2.準備、設置。唐．孟浩然〈過故人莊〉詩：「故人具雞黍，邀我至田家。」《紅樓夢》第一回：「故特具小酌，邀兄到敝齋一飲，不知可納芹意否？」
3.陳述、報告、列舉。如：「知名不具」。《宋史．卷三八四．梁克家傳》：「上欣納，因命條具風俗之弊。克家列四條。」
[名]
1.器物、用器。如：「文具」、「道具」、「玩具」、「工具」。
2.量詞。計算器物、屍體等的單位。如：「兩具屍體」、「棺材一具」、「三具電話」。
3.才能、才幹。《晉書．卷六二．祖逖傳》：「往來京師，見者謂逖有贊世才具。」《文選．李陵．答蘇武書》：「皆信命世之才，抱將相之具。」
4.酒食、菜餚。《史記．卷一一七．司馬相如傳》：「令有貴客，為具召之。」唐．柳宗元〈段太尉逸事狀〉：「吾未晡食，請假設草具。」
5.姓。如春秋時晉國有具丙。
[副]
皆、都、全。通「俱」。《詩經．小雅．四月》：「秋日淒淒，百卉具腓。」宋．范仲淹〈岳陽樓記〉：「政通人和，百廢具興。」 |</v>
      </c>
    </row>
    <row r="7640" spans="1:44" hidden="1">
      <c r="A7640" s="1" t="s">
        <v>14381</v>
      </c>
      <c r="C7640" s="1">
        <v>1</v>
      </c>
      <c r="D7640" s="1" t="str">
        <f>"06046"</f>
        <v>06046</v>
      </c>
      <c r="E7640" s="1" t="s">
        <v>114</v>
      </c>
      <c r="F7640" s="1">
        <v>10</v>
      </c>
      <c r="G7640" s="1">
        <v>8</v>
      </c>
      <c r="H7640" s="1">
        <v>1</v>
      </c>
      <c r="I7640" s="1" t="s">
        <v>14469</v>
      </c>
      <c r="K7640" s="1" t="str">
        <f t="shared" si="483"/>
        <v>ㄐ</v>
      </c>
      <c r="L7640" s="1" t="str">
        <f t="shared" si="484"/>
        <v>ㄩ</v>
      </c>
      <c r="N7640" s="3" t="s">
        <v>30574</v>
      </c>
      <c r="O7640" s="3"/>
      <c r="P7640" s="1" t="s">
        <v>20</v>
      </c>
      <c r="R7640" s="1" t="s">
        <v>14470</v>
      </c>
      <c r="V7640" s="1" t="s">
        <v>14502</v>
      </c>
      <c r="W7640" s="1" t="s">
        <v>14503</v>
      </c>
      <c r="AR7640" s="1" t="str">
        <f t="shared" si="482"/>
        <v>| [ㄐㄩˋ](ㄐㄩˋ.md) | [俱](俱.md) |  | jù | [動]
偕、同、一起。《莊子．天運》：「道可載而與之俱也。」《史記．卷七七．魏公子傳》：「臣客屠者朱亥可與俱，此人力士。」
[副]
皆、都、全。如：「一應俱全」、「萬事俱備」。唐．杜甫〈茅屋為秋風所破歌〉：「安得廣廈千萬間，大庇天下寒士俱歡顏。」 |</v>
      </c>
    </row>
    <row r="7641" spans="1:44" hidden="1">
      <c r="A7641" s="1" t="s">
        <v>14504</v>
      </c>
      <c r="C7641" s="1">
        <v>1</v>
      </c>
      <c r="D7641" s="1" t="str">
        <f>"06047"</f>
        <v>06047</v>
      </c>
      <c r="E7641" s="1" t="s">
        <v>132</v>
      </c>
      <c r="F7641" s="1">
        <v>11</v>
      </c>
      <c r="G7641" s="1">
        <v>8</v>
      </c>
      <c r="H7641" s="1">
        <v>0</v>
      </c>
      <c r="I7641" s="1" t="s">
        <v>14469</v>
      </c>
      <c r="K7641" s="1" t="str">
        <f t="shared" si="483"/>
        <v>ㄐ</v>
      </c>
      <c r="L7641" s="1" t="str">
        <f t="shared" si="484"/>
        <v>ㄩ</v>
      </c>
      <c r="N7641" s="3" t="s">
        <v>30574</v>
      </c>
      <c r="O7641" s="3"/>
      <c r="P7641" s="1" t="s">
        <v>20</v>
      </c>
      <c r="R7641" s="1" t="s">
        <v>14470</v>
      </c>
      <c r="V7641" s="1" t="s">
        <v>14505</v>
      </c>
      <c r="AR7641" s="1" t="str">
        <f t="shared" si="482"/>
        <v>| [ㄐㄩˋ](ㄐㄩˋ.md) | [埧](埧.md) |  | jù | [名]
堤塘。《字彙．土部》：「埧，堤塘。」 |</v>
      </c>
    </row>
    <row r="7642" spans="1:44" hidden="1">
      <c r="A7642" s="1" t="s">
        <v>14506</v>
      </c>
      <c r="C7642" s="1">
        <v>1</v>
      </c>
      <c r="D7642" s="1" t="str">
        <f>"06048"</f>
        <v>06048</v>
      </c>
      <c r="E7642" s="1" t="s">
        <v>1161</v>
      </c>
      <c r="F7642" s="1">
        <v>17</v>
      </c>
      <c r="G7642" s="1">
        <v>8</v>
      </c>
      <c r="H7642" s="1">
        <v>0</v>
      </c>
      <c r="I7642" s="1" t="s">
        <v>14469</v>
      </c>
      <c r="K7642" s="1" t="str">
        <f t="shared" si="483"/>
        <v>ㄐ</v>
      </c>
      <c r="L7642" s="1" t="str">
        <f t="shared" si="484"/>
        <v>ㄩ</v>
      </c>
      <c r="N7642" s="3" t="s">
        <v>30574</v>
      </c>
      <c r="O7642" s="3"/>
      <c r="P7642" s="1" t="s">
        <v>20</v>
      </c>
      <c r="R7642" s="1" t="s">
        <v>14470</v>
      </c>
      <c r="V7642" s="1" t="s">
        <v>14507</v>
      </c>
      <c r="AR7642" s="1" t="str">
        <f t="shared" si="482"/>
        <v>| [ㄐㄩˋ](ㄐㄩˋ.md) | [颶](颶.md) |  | jù | [名]_x000D_
形成於海上的強烈暴風。唐．韓愈〈赴江陵途中寄贈王二十補闕等三學士〉詩：「颶起最可畏，訇哮簸陵丘。」唐．劉恂《嶺表錄異》卷中：「南中夏秋多惡風，彼人謂之颶。壞屋折樹不足喻也，甚則吹屋瓦如飛蝶。」《浮生六記．卷五．中山記歷》：「琉人每言大風，必曰颱颶。」 |</v>
      </c>
    </row>
    <row r="7643" spans="1:44" hidden="1">
      <c r="A7643" s="1" t="s">
        <v>14508</v>
      </c>
      <c r="C7643" s="1">
        <v>1</v>
      </c>
      <c r="D7643" s="1" t="str">
        <f>"06049"</f>
        <v>06049</v>
      </c>
      <c r="E7643" s="1" t="s">
        <v>3359</v>
      </c>
      <c r="F7643" s="1">
        <v>10</v>
      </c>
      <c r="G7643" s="1">
        <v>8</v>
      </c>
      <c r="H7643" s="1">
        <v>1</v>
      </c>
      <c r="I7643" s="1" t="s">
        <v>14469</v>
      </c>
      <c r="K7643" s="1" t="str">
        <f t="shared" si="483"/>
        <v>ㄐ</v>
      </c>
      <c r="L7643" s="1" t="str">
        <f t="shared" si="484"/>
        <v>ㄩ</v>
      </c>
      <c r="N7643" s="3" t="s">
        <v>30574</v>
      </c>
      <c r="O7643" s="3"/>
      <c r="P7643" s="1" t="s">
        <v>20</v>
      </c>
      <c r="R7643" s="1" t="s">
        <v>14470</v>
      </c>
      <c r="V7643" s="1" t="s">
        <v>14509</v>
      </c>
      <c r="W7643" s="1" t="s">
        <v>14510</v>
      </c>
      <c r="AR7643" s="1" t="str">
        <f t="shared" si="482"/>
        <v>| [ㄐㄩˋ](ㄐㄩˋ.md) | [冣](冣.md) |  | jù | [動]
聚積。同「聚」。《說文解字．冖部》：「冣，積也。」《史記．卷三．殷本紀》：「大冣樂戲於沙丘，以酒為池，縣肉為林。」裴駰集解引徐廣曰：「冣，一作聚。」 |</v>
      </c>
    </row>
    <row r="7644" spans="1:44" hidden="1">
      <c r="A7644" s="1" t="s">
        <v>14511</v>
      </c>
      <c r="C7644" s="1">
        <v>1</v>
      </c>
      <c r="D7644" s="1" t="str">
        <f>"06050"</f>
        <v>06050</v>
      </c>
      <c r="E7644" s="1" t="s">
        <v>2419</v>
      </c>
      <c r="F7644" s="1">
        <v>14</v>
      </c>
      <c r="G7644" s="1">
        <v>8</v>
      </c>
      <c r="H7644" s="1">
        <v>0</v>
      </c>
      <c r="I7644" s="1" t="s">
        <v>14469</v>
      </c>
      <c r="K7644" s="1" t="str">
        <f t="shared" si="483"/>
        <v>ㄐ</v>
      </c>
      <c r="L7644" s="1" t="str">
        <f t="shared" si="484"/>
        <v>ㄩ</v>
      </c>
      <c r="N7644" s="3" t="s">
        <v>30574</v>
      </c>
      <c r="O7644" s="3"/>
      <c r="P7644" s="1" t="s">
        <v>20</v>
      </c>
      <c r="R7644" s="1" t="s">
        <v>14470</v>
      </c>
      <c r="V7644" s="1" t="s">
        <v>14512</v>
      </c>
      <c r="AR7644" s="1" t="str">
        <f t="shared" si="482"/>
        <v>| [ㄐㄩˋ](ㄐㄩˋ.md) | [聚](聚.md) |  | jù | [動]
1.集合、會合。如：「物以類聚」。《易經．繫辭上》：「方以類聚，物以群分。」《左傳．襄公二十八年》：「吳句餘予之朱方，聚其族焉而居之，富於其舊。」
2.堆積、蓄積。如：「聚沙成塔」。《荀子．王制》：「我今將畜積并聚之於倉廩。」《後漢書．卷二四．馬援傳》：「又於帝前聚米為山谷，指畫形埶。」
3.徵收、搜括。《論語．先進》：「季氏富於周公，而求也為之聚斂而附益之。」
[名]
1.村落。《史記．卷一．五帝本紀》：「一年而所居成聚，二年成邑。」唐．張守節．正義：「聚，謂村落也。」漢．王襃〈僮約〉：「往來市聚，慎護姦偷。」
2.人群。《左傳．成公十三年》：「虔劉我邊陲，我是以有輔氏之聚。」晉．杜預．注：「聚，眾也。」
3.積蓄。《左傳．哀公十七年》：「楚白公之亂，陳人恃其聚而侵楚。」 |</v>
      </c>
    </row>
    <row r="7645" spans="1:44" hidden="1">
      <c r="A7645" s="1" t="s">
        <v>14513</v>
      </c>
      <c r="C7645" s="1">
        <v>1</v>
      </c>
      <c r="D7645" s="1" t="str">
        <f>"06051"</f>
        <v>06051</v>
      </c>
      <c r="E7645" s="1" t="s">
        <v>1015</v>
      </c>
      <c r="F7645" s="1">
        <v>10</v>
      </c>
      <c r="G7645" s="1">
        <v>5</v>
      </c>
      <c r="H7645" s="1">
        <v>0</v>
      </c>
      <c r="I7645" s="1" t="s">
        <v>14469</v>
      </c>
      <c r="K7645" s="1" t="str">
        <f t="shared" si="483"/>
        <v>ㄐ</v>
      </c>
      <c r="L7645" s="1" t="str">
        <f t="shared" si="484"/>
        <v>ㄩ</v>
      </c>
      <c r="N7645" s="3" t="s">
        <v>30574</v>
      </c>
      <c r="O7645" s="3"/>
      <c r="P7645" s="1" t="s">
        <v>20</v>
      </c>
      <c r="R7645" s="1" t="s">
        <v>14470</v>
      </c>
      <c r="V7645" s="1" t="s">
        <v>14514</v>
      </c>
      <c r="AR7645" s="1" t="str">
        <f t="shared" si="482"/>
        <v>| [ㄐㄩˋ](ㄐㄩˋ.md) | [䀠](䀠.md) |  | jù | [形]
眼睛左右張望的樣子。《說文解字．䀠部》：「䀠，左右視也。」 |</v>
      </c>
    </row>
    <row r="7646" spans="1:44" hidden="1">
      <c r="A7646" s="1" t="s">
        <v>14515</v>
      </c>
      <c r="C7646" s="1">
        <v>1</v>
      </c>
      <c r="D7646" s="1" t="str">
        <f>"06052"</f>
        <v>06052</v>
      </c>
      <c r="E7646" s="1" t="s">
        <v>1015</v>
      </c>
      <c r="F7646" s="1">
        <v>18</v>
      </c>
      <c r="G7646" s="1">
        <v>13</v>
      </c>
      <c r="H7646" s="1">
        <v>3</v>
      </c>
      <c r="I7646" s="1" t="s">
        <v>14469</v>
      </c>
      <c r="K7646" s="1" t="str">
        <f t="shared" si="483"/>
        <v>ㄐ</v>
      </c>
      <c r="L7646" s="1" t="str">
        <f t="shared" si="484"/>
        <v>ㄩ</v>
      </c>
      <c r="N7646" s="3" t="s">
        <v>30574</v>
      </c>
      <c r="O7646" s="3"/>
      <c r="P7646" s="1" t="s">
        <v>20</v>
      </c>
      <c r="R7646" s="1" t="s">
        <v>14470</v>
      </c>
      <c r="V7646" s="1" t="s">
        <v>14516</v>
      </c>
      <c r="W7646" s="1" t="s">
        <v>14517</v>
      </c>
      <c r="AR7646" s="1" t="str">
        <f t="shared" si="482"/>
        <v>| [ㄐㄩˋ](ㄐㄩˋ.md) | [瞿](瞿.md) |  | jù | [動]
驚懼、害怕。通「懼」。《禮記．雜記》：「見似目瞿，聞名心瞿。」 |</v>
      </c>
    </row>
    <row r="7647" spans="1:44" hidden="1">
      <c r="A7647" s="1" t="s">
        <v>14518</v>
      </c>
      <c r="C7647" s="1">
        <v>1</v>
      </c>
      <c r="D7647" s="1" t="str">
        <f>"06053"</f>
        <v>06053</v>
      </c>
      <c r="E7647" s="1" t="s">
        <v>250</v>
      </c>
      <c r="F7647" s="1">
        <v>21</v>
      </c>
      <c r="G7647" s="1">
        <v>18</v>
      </c>
      <c r="H7647" s="1">
        <v>0</v>
      </c>
      <c r="I7647" s="1" t="s">
        <v>14469</v>
      </c>
      <c r="K7647" s="1" t="str">
        <f t="shared" si="483"/>
        <v>ㄐ</v>
      </c>
      <c r="L7647" s="1" t="str">
        <f t="shared" si="484"/>
        <v>ㄩ</v>
      </c>
      <c r="N7647" s="3" t="s">
        <v>30574</v>
      </c>
      <c r="O7647" s="3"/>
      <c r="P7647" s="1" t="s">
        <v>20</v>
      </c>
      <c r="R7647" s="1" t="s">
        <v>14470</v>
      </c>
      <c r="V7647" s="1" t="s">
        <v>14519</v>
      </c>
      <c r="AR7647" s="1" t="str">
        <f t="shared" si="482"/>
        <v>| [ㄐㄩˋ](ㄐㄩˋ.md) | [懼](懼.md) |  | jù | [動]
1.畏、害怕。《論語．子罕》：「仁者不憂，勇者不懼。」《孟子．滕文公下》：「一怒而諸侯懼，安居而天下熄。」
2.恐嚇。《老子》第七四章：「民不畏死，奈何以死懼之。」《韓非子．八姦》：「示之以利勢，懼之以患害。」 |</v>
      </c>
    </row>
    <row r="7648" spans="1:44" hidden="1">
      <c r="A7648" s="1" t="s">
        <v>14520</v>
      </c>
      <c r="C7648" s="1">
        <v>1</v>
      </c>
      <c r="D7648" s="1" t="str">
        <f>"06054"</f>
        <v>06054</v>
      </c>
      <c r="E7648" s="1" t="s">
        <v>114</v>
      </c>
      <c r="F7648" s="1">
        <v>10</v>
      </c>
      <c r="G7648" s="1">
        <v>8</v>
      </c>
      <c r="H7648" s="1">
        <v>0</v>
      </c>
      <c r="I7648" s="1" t="s">
        <v>14469</v>
      </c>
      <c r="K7648" s="1" t="str">
        <f t="shared" si="483"/>
        <v>ㄐ</v>
      </c>
      <c r="L7648" s="1" t="str">
        <f t="shared" si="484"/>
        <v>ㄩ</v>
      </c>
      <c r="N7648" s="3" t="s">
        <v>30574</v>
      </c>
      <c r="O7648" s="3"/>
      <c r="P7648" s="1" t="s">
        <v>20</v>
      </c>
      <c r="R7648" s="1" t="s">
        <v>14470</v>
      </c>
      <c r="V7648" s="1" t="s">
        <v>14521</v>
      </c>
      <c r="AR7648" s="1" t="str">
        <f t="shared" si="482"/>
        <v>| [ㄐㄩˋ](ㄐㄩˋ.md) | [倨](倨.md) |  | jù | [形]
傲慢無禮。如：「倨傲」。《戰國策．秦策一》：「蘇秦曰：『嫂何前倨而後卑也？』」《漢書．卷五〇．汲黯傳》：「為人性倨少禮。」
[動]
蹲坐。通「踞」。《莊子．天運》：「老聃方將倨堂。而應。」《史記．卷九七．酈生傳》：「沛公方倨床，使兩女子洗足。」 |</v>
      </c>
    </row>
    <row r="7649" spans="1:44" hidden="1">
      <c r="A7649" s="1" t="s">
        <v>14522</v>
      </c>
      <c r="C7649" s="1">
        <v>1</v>
      </c>
      <c r="D7649" s="1" t="str">
        <f>"06055"</f>
        <v>06055</v>
      </c>
      <c r="E7649" s="1" t="s">
        <v>77</v>
      </c>
      <c r="F7649" s="1">
        <v>15</v>
      </c>
      <c r="G7649" s="1">
        <v>8</v>
      </c>
      <c r="H7649" s="1">
        <v>0</v>
      </c>
      <c r="I7649" s="1" t="s">
        <v>14469</v>
      </c>
      <c r="K7649" s="1" t="str">
        <f t="shared" si="483"/>
        <v>ㄐ</v>
      </c>
      <c r="L7649" s="1" t="str">
        <f t="shared" si="484"/>
        <v>ㄩ</v>
      </c>
      <c r="N7649" s="3" t="s">
        <v>30574</v>
      </c>
      <c r="O7649" s="3"/>
      <c r="P7649" s="1" t="s">
        <v>20</v>
      </c>
      <c r="R7649" s="1" t="s">
        <v>14470</v>
      </c>
      <c r="V7649" s="1" t="s">
        <v>14523</v>
      </c>
      <c r="AR7649" s="1" t="str">
        <f t="shared" si="482"/>
        <v>| [ㄐㄩˋ](ㄐㄩˋ.md) | [踞](踞.md) |  | jù | [動]
1.蹲。《廣韻．去聲．御韻》：「踞，蹲。」如：「龍蟠虎踞」。漢．王延壽〈王孫賦〉：「踡菟蹲而狗踞，聲歷鹿而喔咿。」
2.伸腿而坐。如：「箕踞」。《左傳．襄公二十四年》：「將及楚師，而後從之。乘皆踞轉而鼓琴。」《漢書．卷一．高帝紀上》：「沛公方踞床，使兩女子洗。」
3.倚、靠。《文選．張衡．西京賦》：「於後則高陵平原，據渭踞涇。」唐．李善．注：「踞，倚也。」
4.占據。如：「盤踞」。明．徐弘祖《徐霞客遊記．卷四下．黔遊日記一》：「雲南普名勝叛，踞阿迷州。」 |</v>
      </c>
    </row>
    <row r="7650" spans="1:44" hidden="1">
      <c r="A7650" s="1" t="s">
        <v>14376</v>
      </c>
      <c r="C7650" s="1">
        <v>1</v>
      </c>
      <c r="D7650" s="1" t="str">
        <f>"06056"</f>
        <v>06056</v>
      </c>
      <c r="E7650" s="1" t="s">
        <v>55</v>
      </c>
      <c r="F7650" s="1">
        <v>16</v>
      </c>
      <c r="G7650" s="1">
        <v>8</v>
      </c>
      <c r="H7650" s="1">
        <v>1</v>
      </c>
      <c r="I7650" s="1" t="s">
        <v>14469</v>
      </c>
      <c r="K7650" s="1" t="str">
        <f t="shared" si="483"/>
        <v>ㄐ</v>
      </c>
      <c r="L7650" s="1" t="str">
        <f t="shared" si="484"/>
        <v>ㄩ</v>
      </c>
      <c r="N7650" s="3" t="s">
        <v>30574</v>
      </c>
      <c r="O7650" s="3"/>
      <c r="P7650" s="1" t="s">
        <v>20</v>
      </c>
      <c r="R7650" s="1" t="s">
        <v>14470</v>
      </c>
      <c r="V7650" s="1" t="s">
        <v>14524</v>
      </c>
      <c r="W7650" s="1" t="s">
        <v>14525</v>
      </c>
      <c r="AR7650" s="1" t="str">
        <f t="shared" si="482"/>
        <v>| [ㄐㄩˋ](ㄐㄩˋ.md) | [鋸](鋸.md) |  | jù | [名]
1.薄鋼片製成，邊緣有尖齒，用來截斷木材或鋼鐵等的工具。如：「電鋸」、「手鋸」、「鋸子」。
2.一種古代用來截斷肢體的刑具。《國語．魯語上》：「中刑用刀鋸。」三國吳．韋昭．注：「割劓用刀，斷截用鋸。」
[動]
截斷。漢．桓寬《鹽鐵論．除狹》：「或至鋸頸殺不辜而不能正。」《後漢書．卷一八．臧宮傳》：「宮夜使鋸斷城門限。」 |</v>
      </c>
    </row>
    <row r="7651" spans="1:44" hidden="1">
      <c r="A7651" s="1" t="s">
        <v>14526</v>
      </c>
      <c r="C7651" s="1">
        <v>1</v>
      </c>
      <c r="D7651" s="1" t="str">
        <f>"06057"</f>
        <v>06057</v>
      </c>
      <c r="E7651" s="1" t="s">
        <v>660</v>
      </c>
      <c r="F7651" s="1">
        <v>14</v>
      </c>
      <c r="G7651" s="1">
        <v>8</v>
      </c>
      <c r="H7651" s="1">
        <v>0</v>
      </c>
      <c r="I7651" s="1" t="s">
        <v>14469</v>
      </c>
      <c r="K7651" s="1" t="str">
        <f t="shared" si="483"/>
        <v>ㄐ</v>
      </c>
      <c r="L7651" s="1" t="str">
        <f t="shared" si="484"/>
        <v>ㄩ</v>
      </c>
      <c r="N7651" s="3" t="s">
        <v>30574</v>
      </c>
      <c r="O7651" s="3"/>
      <c r="P7651" s="1" t="s">
        <v>20</v>
      </c>
      <c r="R7651" s="1" t="s">
        <v>14470</v>
      </c>
      <c r="V7651" s="1" t="s">
        <v>14527</v>
      </c>
      <c r="AR7651" s="1" t="str">
        <f t="shared" si="482"/>
        <v>| [ㄐㄩˋ](ㄐㄩˋ.md) | [虡](虡.md) |  | jù | [名]
1.懸掛鐘、磬等架子兩旁所立的柱子。《說文解字．虍部》：「虡，鐘鼓之柎也。」《禮記．檀弓上》：「有鐘磬而無簨虡。」《文選．張衡．西京賦》：「洪鐘萬鈞，猛虡趪趪。」也作「鐻」。
2.几。清．王念孫《廣雅疏證．卷八上．釋器》：「虡，几也。」 |</v>
      </c>
    </row>
    <row r="7652" spans="1:44" hidden="1">
      <c r="A7652" s="1" t="s">
        <v>13052</v>
      </c>
      <c r="C7652" s="1">
        <v>1</v>
      </c>
      <c r="D7652" s="1" t="str">
        <f>"06058"</f>
        <v>06058</v>
      </c>
      <c r="E7652" s="1" t="s">
        <v>185</v>
      </c>
      <c r="F7652" s="1">
        <v>15</v>
      </c>
      <c r="G7652" s="1">
        <v>13</v>
      </c>
      <c r="H7652" s="1">
        <v>1</v>
      </c>
      <c r="I7652" s="1" t="s">
        <v>14469</v>
      </c>
      <c r="K7652" s="1" t="str">
        <f t="shared" si="483"/>
        <v>ㄐ</v>
      </c>
      <c r="L7652" s="1" t="str">
        <f t="shared" si="484"/>
        <v>ㄩ</v>
      </c>
      <c r="N7652" s="3" t="s">
        <v>30574</v>
      </c>
      <c r="O7652" s="3"/>
      <c r="P7652" s="1" t="s">
        <v>20</v>
      </c>
      <c r="R7652" s="1" t="s">
        <v>14470</v>
      </c>
      <c r="V7652" s="1" t="s">
        <v>14528</v>
      </c>
      <c r="W7652" s="1" t="s">
        <v>14529</v>
      </c>
      <c r="AR7652" s="1" t="str">
        <f t="shared" si="482"/>
        <v>| [ㄐㄩˋ](ㄐㄩˋ.md) | [劇](劇.md) |  | jù | [名]
1.戲。如：「喜劇」、「悲劇」、「編劇」、「歌劇」、「話劇」。
2.姓。如漢代有劇孟。
[形]
多、繁。如：「繁劇」。《荀子．非十二子》：「猶然而材劇志大，聞見雜博。」《商君書．算地》：「不觀時俗，不察國本，則其法立而民亂，事劇而功寡。」
[副]
甚、猛烈的。如：「劇烈」、「劇寒」、「劇暑」、「劇痛」。
[動]
戲弄。唐．王維〈洛陽女兒行〉：「狂夫富貴在青春，意氣驕奢劇季倫。」唐．李白〈長干行〉二首之一：「妾髮初覆額，折花門前劇。」 |</v>
      </c>
    </row>
    <row r="7653" spans="1:44" hidden="1">
      <c r="A7653" s="1" t="s">
        <v>14530</v>
      </c>
      <c r="C7653" s="1">
        <v>1</v>
      </c>
      <c r="D7653" s="1" t="str">
        <f>"06059"</f>
        <v>06059</v>
      </c>
      <c r="E7653" s="1" t="s">
        <v>250</v>
      </c>
      <c r="F7653" s="1">
        <v>16</v>
      </c>
      <c r="G7653" s="1">
        <v>13</v>
      </c>
      <c r="H7653" s="1">
        <v>0</v>
      </c>
      <c r="I7653" s="1" t="s">
        <v>14469</v>
      </c>
      <c r="K7653" s="1" t="str">
        <f t="shared" si="483"/>
        <v>ㄐ</v>
      </c>
      <c r="L7653" s="1" t="str">
        <f t="shared" si="484"/>
        <v>ㄩ</v>
      </c>
      <c r="N7653" s="3" t="s">
        <v>30574</v>
      </c>
      <c r="O7653" s="3"/>
      <c r="P7653" s="1" t="s">
        <v>20</v>
      </c>
      <c r="R7653" s="1" t="s">
        <v>14470</v>
      </c>
      <c r="V7653" s="1" t="s">
        <v>14531</v>
      </c>
      <c r="AR7653" s="1" t="str">
        <f t="shared" si="482"/>
        <v>| [ㄐㄩˋ](ㄐㄩˋ.md) | [懅](懅.md) |  | jù | [動]_x000D_
1.害怕、惶急。《廣韻．平聲．魚韻》：「懅，怯也。」南朝梁．江淹〈丹砂可學賦〉：「懅生死于半氣，惜百年於一光。」《資治通鑑．卷二一八．唐紀三十四．肅宗至德元載》：「國忠集百官於朝堂，惶懅流涕。」_x000D_
2.羞愧、慚愧。《後漢書．卷二〇．銚期王霸祭遵列傳．王霸》：「市人皆大笑，舉手邪揄之，霸慚懅而還。」 |</v>
      </c>
    </row>
    <row r="7654" spans="1:44" hidden="1">
      <c r="A7654" s="1" t="s">
        <v>14532</v>
      </c>
      <c r="C7654" s="1">
        <v>1</v>
      </c>
      <c r="D7654" s="1" t="str">
        <f>"06060"</f>
        <v>06060</v>
      </c>
      <c r="E7654" s="1" t="s">
        <v>24</v>
      </c>
      <c r="F7654" s="1">
        <v>16</v>
      </c>
      <c r="G7654" s="1">
        <v>13</v>
      </c>
      <c r="H7654" s="1">
        <v>0</v>
      </c>
      <c r="I7654" s="1" t="s">
        <v>14469</v>
      </c>
      <c r="K7654" s="1" t="str">
        <f t="shared" si="483"/>
        <v>ㄐ</v>
      </c>
      <c r="L7654" s="1" t="str">
        <f t="shared" si="484"/>
        <v>ㄩ</v>
      </c>
      <c r="N7654" s="3" t="s">
        <v>30574</v>
      </c>
      <c r="O7654" s="3"/>
      <c r="P7654" s="1" t="s">
        <v>20</v>
      </c>
      <c r="R7654" s="1" t="s">
        <v>14470</v>
      </c>
      <c r="V7654" s="1" t="s">
        <v>14533</v>
      </c>
      <c r="AR7654" s="1" t="str">
        <f t="shared" si="482"/>
        <v>| [ㄐㄩˋ](ㄐㄩˋ.md) | [據](據.md) |  | jù | [動]
1.倚靠。《詩經．邶風．柏舟》：「亦有兄弟，不可以據。」《戰國策．燕策一》：「馮几據杖，眄視指使，則廝役之人至。」
2.占有、占守。如：「割據」、「竊據」、「據為己有」。《史記．卷八一．廉頗藺相如傳》：「先據北山上者勝。」
3.按照、依照。如：「據說如此」、「據理力爭」、「據實相告」。
4.引證、援引。如：「引經據典」。《新唐書．卷一三二．劉子玄傳》：「子玄善持論，辯據明銳。」
[名]
1.憑證，可作為證明的事物。如：「借據」、「收據」、「真憑實據」、「無憑無據」。《金史．卷五五．百官志一》：「中選者試官給據，以名報有司。」
2.姓。如明代有據成。 |</v>
      </c>
    </row>
    <row r="7655" spans="1:44" hidden="1">
      <c r="A7655" s="1" t="s">
        <v>14534</v>
      </c>
      <c r="C7655" s="1">
        <v>1</v>
      </c>
      <c r="D7655" s="1" t="str">
        <f>"06061"</f>
        <v>06061</v>
      </c>
      <c r="E7655" s="1" t="s">
        <v>558</v>
      </c>
      <c r="F7655" s="1">
        <v>17</v>
      </c>
      <c r="G7655" s="1">
        <v>13</v>
      </c>
      <c r="H7655" s="1">
        <v>0</v>
      </c>
      <c r="I7655" s="1" t="s">
        <v>14469</v>
      </c>
      <c r="K7655" s="1" t="str">
        <f t="shared" si="483"/>
        <v>ㄐ</v>
      </c>
      <c r="L7655" s="1" t="str">
        <f t="shared" si="484"/>
        <v>ㄩ</v>
      </c>
      <c r="N7655" s="3" t="s">
        <v>30574</v>
      </c>
      <c r="O7655" s="3"/>
      <c r="P7655" s="1" t="s">
        <v>20</v>
      </c>
      <c r="R7655" s="1" t="s">
        <v>14470</v>
      </c>
      <c r="V7655" s="1" t="s">
        <v>14535</v>
      </c>
      <c r="AR7655" s="1" t="str">
        <f t="shared" si="482"/>
        <v>| [ㄐㄩˋ](ㄐㄩˋ.md) | [遽](遽.md) |  | jù | [名]
驛車。《爾雅．釋言》：「遽，傳也。」晉．郭璞．注：「皆傳車驛馬之名。」《左傳．昭公二年》：「聞之，懼弗及，乘遽而至。」
[動]
驚慌、恐懼。《楚辭．屈原．九章．惜誦》：「眾駭遽以離心兮，又何以為此伴也？」南朝宋．劉義慶《世說新語．雅量》：「風起波涌，孫、王諸人色並遽。」
[形]
1.急忙、迫促。《國語．晉語四》：「（頭頭）謂謁者曰：『……國君而讎匹夫，懼者眾矣。』謁者以告，公遽見之。」《禮記．檀弓上》：「故喪事雖遽，不陵節。」
2.窘迫。南朝宋．劉義慶《世說新語．雅量》：「遠近久承公名，令於是大遽，不敢移公。」
[副]
忽然、突然。如：「遽聞」、「欲行遽止」。《聊齋志異．卷四．促織》：「見有蟲伏棘根，遽撲之，入石穴中。」
[連]
遂、就。《漢書．卷四三．陸賈傳》：「使我居中國，何遽不若漢。」《文選．左思．魏都賦》：「雖自以為道洪化以為隆，世篤玄同，奚遽不能與之踵武而齊其風？」 |</v>
      </c>
    </row>
    <row r="7656" spans="1:44" hidden="1">
      <c r="A7656" s="1" t="s">
        <v>14536</v>
      </c>
      <c r="C7656" s="1">
        <v>1</v>
      </c>
      <c r="D7656" s="1" t="str">
        <f>"06062"</f>
        <v>06062</v>
      </c>
      <c r="E7656" s="1" t="s">
        <v>1462</v>
      </c>
      <c r="F7656" s="1">
        <v>20</v>
      </c>
      <c r="G7656" s="1">
        <v>13</v>
      </c>
      <c r="H7656" s="1">
        <v>0</v>
      </c>
      <c r="I7656" s="1" t="s">
        <v>14469</v>
      </c>
      <c r="K7656" s="1" t="str">
        <f t="shared" si="483"/>
        <v>ㄐ</v>
      </c>
      <c r="L7656" s="1" t="str">
        <f t="shared" si="484"/>
        <v>ㄩ</v>
      </c>
      <c r="N7656" s="3" t="s">
        <v>30574</v>
      </c>
      <c r="O7656" s="3"/>
      <c r="P7656" s="1" t="s">
        <v>20</v>
      </c>
      <c r="R7656" s="1" t="s">
        <v>14470</v>
      </c>
      <c r="V7656" s="1" t="s">
        <v>14537</v>
      </c>
      <c r="AR7656" s="1" t="str">
        <f t="shared" si="482"/>
        <v>| [ㄐㄩˋ](ㄐㄩˋ.md) | [醵](醵.md) |  | jù | [動]
1.眾人集錢一起飲酒。《禮記．禮器》：「曾子曰：『周禮其猶醵與？』」漢．鄭玄．注：「合錢飲酒為醵。」
2.聚集。如：「醵資」、「醵金為壽」。 |</v>
      </c>
    </row>
    <row r="7657" spans="1:44" hidden="1">
      <c r="A7657" s="1" t="s">
        <v>14538</v>
      </c>
      <c r="C7657" s="1">
        <v>1</v>
      </c>
      <c r="D7657" s="1" t="str">
        <f>"06063"</f>
        <v>06063</v>
      </c>
      <c r="E7657" s="1" t="s">
        <v>77</v>
      </c>
      <c r="F7657" s="1">
        <v>20</v>
      </c>
      <c r="G7657" s="1">
        <v>13</v>
      </c>
      <c r="H7657" s="1">
        <v>0</v>
      </c>
      <c r="I7657" s="1" t="s">
        <v>14469</v>
      </c>
      <c r="K7657" s="1" t="str">
        <f t="shared" si="483"/>
        <v>ㄐ</v>
      </c>
      <c r="L7657" s="1" t="str">
        <f t="shared" si="484"/>
        <v>ㄩ</v>
      </c>
      <c r="N7657" s="3" t="s">
        <v>30574</v>
      </c>
      <c r="O7657" s="3"/>
      <c r="P7657" s="1" t="s">
        <v>20</v>
      </c>
      <c r="R7657" s="1" t="s">
        <v>14470</v>
      </c>
      <c r="V7657" s="1" t="s">
        <v>14539</v>
      </c>
      <c r="AR7657" s="1" t="str">
        <f t="shared" si="482"/>
        <v>| [ㄐㄩˋ](ㄐㄩˋ.md) | [躆](躆.md) |  | jù | [動]
用腳撐持。《文選．班固．答賓戲》：「不睹其能奮靈德，合風雲，超忽荒而躆昊蒼也。」唐．李善．注：「躆與據同，謂以足戟持之。」 |</v>
      </c>
    </row>
    <row r="7658" spans="1:44" hidden="1">
      <c r="A7658" s="1" t="s">
        <v>14540</v>
      </c>
      <c r="C7658" s="1">
        <v>1</v>
      </c>
      <c r="D7658" s="1" t="str">
        <f>"06064"</f>
        <v>06064</v>
      </c>
      <c r="E7658" s="1" t="s">
        <v>55</v>
      </c>
      <c r="F7658" s="1">
        <v>21</v>
      </c>
      <c r="G7658" s="1">
        <v>13</v>
      </c>
      <c r="H7658" s="1">
        <v>0</v>
      </c>
      <c r="I7658" s="1" t="s">
        <v>14469</v>
      </c>
      <c r="K7658" s="1" t="str">
        <f t="shared" si="483"/>
        <v>ㄐ</v>
      </c>
      <c r="L7658" s="1" t="str">
        <f t="shared" si="484"/>
        <v>ㄩ</v>
      </c>
      <c r="N7658" s="3" t="s">
        <v>30574</v>
      </c>
      <c r="O7658" s="3"/>
      <c r="P7658" s="1" t="s">
        <v>20</v>
      </c>
      <c r="R7658" s="1" t="s">
        <v>14470</v>
      </c>
      <c r="V7658" s="1" t="s">
        <v>14541</v>
      </c>
      <c r="AR7658" s="1" t="str">
        <f t="shared" si="482"/>
        <v>| [ㄐㄩˋ](ㄐㄩˋ.md) | [鐻](鐻.md) |  | jù | [名]
1.樂器名，打擊樂器。形似鐘，初為木製，後改用銅鑄。《莊子．達生》：「梓慶削木為鐻，鐻成，見者驚猶鬼神。」唐．成玄英．疏：「鐻者，樂器，似夾鐘。亦言鐻似虎形，刻木為之。」
2.懸掛鐘鼓的架子兩旁所立的柱子。《史記．卷六．秦始皇本紀》：「收天下兵，聚之咸陽，銷以為鐘鐻。」也作「虡」。 |</v>
      </c>
    </row>
    <row r="7659" spans="1:44" hidden="1">
      <c r="A7659" s="1" t="s">
        <v>8103</v>
      </c>
      <c r="C7659" s="1">
        <v>1</v>
      </c>
      <c r="D7659" s="1" t="str">
        <f>"06065"</f>
        <v>06065</v>
      </c>
      <c r="E7659" s="1" t="s">
        <v>1274</v>
      </c>
      <c r="F7659" s="1">
        <v>16</v>
      </c>
      <c r="G7659" s="1">
        <v>11</v>
      </c>
      <c r="H7659" s="1">
        <v>1</v>
      </c>
      <c r="I7659" s="1" t="s">
        <v>14469</v>
      </c>
      <c r="K7659" s="1" t="str">
        <f t="shared" si="483"/>
        <v>ㄐ</v>
      </c>
      <c r="L7659" s="1" t="str">
        <f t="shared" si="484"/>
        <v>ㄩ</v>
      </c>
      <c r="N7659" s="3" t="s">
        <v>30574</v>
      </c>
      <c r="O7659" s="3"/>
      <c r="P7659" s="1" t="s">
        <v>20</v>
      </c>
      <c r="R7659" s="1" t="s">
        <v>14470</v>
      </c>
      <c r="V7659" s="1" t="s">
        <v>14542</v>
      </c>
      <c r="W7659" s="1" t="s">
        <v>14543</v>
      </c>
      <c r="AR7659" s="1" t="str">
        <f t="shared" si="482"/>
        <v>| [ㄐㄩˋ](ㄐㄩˋ.md) | [窶](窶.md) |  | jù | [名]
貧窮。《爾雅．釋言》：「窶，貧也。」《明史．卷一六四．黃澤傳》：「貪者放利行私，廉者終窶莫訴。」
[形]
鄙陋。《莊子．外物》：「夫不忍一世之傷，而驁萬世之患，抑固窶邪，亡其略弗及邪？」《韓非子．詭使》：「而惇慤純信，用心怯言，則謂之窶。」 |</v>
      </c>
    </row>
    <row r="7660" spans="1:44" hidden="1">
      <c r="A7660" s="1" t="s">
        <v>14544</v>
      </c>
      <c r="C7660" s="1">
        <v>1</v>
      </c>
      <c r="D7660" s="1" t="str">
        <f>"06066"</f>
        <v>06066</v>
      </c>
      <c r="E7660" s="1" t="s">
        <v>871</v>
      </c>
      <c r="F7660" s="1">
        <v>17</v>
      </c>
      <c r="G7660" s="1">
        <v>14</v>
      </c>
      <c r="H7660" s="1">
        <v>0</v>
      </c>
      <c r="I7660" s="1" t="s">
        <v>14469</v>
      </c>
      <c r="K7660" s="1" t="str">
        <f t="shared" si="483"/>
        <v>ㄐ</v>
      </c>
      <c r="L7660" s="1" t="str">
        <f t="shared" si="484"/>
        <v>ㄩ</v>
      </c>
      <c r="N7660" s="3" t="s">
        <v>30574</v>
      </c>
      <c r="O7660" s="3"/>
      <c r="P7660" s="1" t="s">
        <v>20</v>
      </c>
      <c r="R7660" s="1" t="s">
        <v>14470</v>
      </c>
      <c r="V7660" s="1" t="s">
        <v>14545</v>
      </c>
      <c r="AR7660" s="1" t="str">
        <f t="shared" si="482"/>
        <v>| [ㄐㄩˋ](ㄐㄩˋ.md) | [屨](屨.md) |  | jù | [名]
鞋子。《說文解字．履部》：「屨，履也。」《左傳．成公二年》：「郤克傷於矢，流血及屨，未絕鼓音。」《三國演義》第一回：「家貧，販屨織蓆為業。」
[動]
踐踏。《文選．揚雄．羽獵賦》：「屨般首，帶脩蛇。」唐．李善．注：「屨，謂踐履之也。」 |</v>
      </c>
    </row>
    <row r="7661" spans="1:44" hidden="1">
      <c r="A7661" s="1" t="s">
        <v>9447</v>
      </c>
      <c r="C7661" s="1">
        <v>1</v>
      </c>
      <c r="D7661" s="1" t="str">
        <f>"06067"</f>
        <v>06067</v>
      </c>
      <c r="E7661" s="1" t="s">
        <v>537</v>
      </c>
      <c r="F7661" s="1">
        <v>18</v>
      </c>
      <c r="G7661" s="1">
        <v>11</v>
      </c>
      <c r="H7661" s="1">
        <v>1</v>
      </c>
      <c r="I7661" s="1" t="s">
        <v>14469</v>
      </c>
      <c r="K7661" s="1" t="str">
        <f t="shared" si="483"/>
        <v>ㄐ</v>
      </c>
      <c r="L7661" s="1" t="str">
        <f t="shared" si="484"/>
        <v>ㄩ</v>
      </c>
      <c r="N7661" s="3" t="s">
        <v>30574</v>
      </c>
      <c r="O7661" s="3"/>
      <c r="P7661" s="1" t="s">
        <v>20</v>
      </c>
      <c r="R7661" s="1" t="s">
        <v>14470</v>
      </c>
      <c r="V7661" s="1" t="s">
        <v>14546</v>
      </c>
      <c r="W7661" s="1" t="s">
        <v>14547</v>
      </c>
      <c r="AR7661" s="1" t="str">
        <f t="shared" si="482"/>
        <v>| [ㄐㄩˋ](ㄐㄩˋ.md) | [貗](貗.md) |  | jù | [名]
貒獸所生的幼獸為貗。《爾雅．釋獸》：「貒子貗。」晉．郭璞．注：「貒，豚也。一名獾。」邢昺疏引《字林》云：「貒獸似豕而肥，其子名貗。」 |</v>
      </c>
    </row>
    <row r="7662" spans="1:44" hidden="1">
      <c r="A7662" s="1" t="s">
        <v>14383</v>
      </c>
      <c r="C7662" s="1">
        <v>1</v>
      </c>
      <c r="D7662" s="1" t="str">
        <f>"05991"</f>
        <v>05991</v>
      </c>
      <c r="E7662" s="1" t="s">
        <v>13771</v>
      </c>
      <c r="F7662" s="1">
        <v>7</v>
      </c>
      <c r="G7662" s="1">
        <v>0</v>
      </c>
      <c r="H7662" s="1">
        <v>0</v>
      </c>
      <c r="I7662" s="1" t="s">
        <v>14384</v>
      </c>
      <c r="K7662" s="1" t="str">
        <f t="shared" si="483"/>
        <v>ㄐ</v>
      </c>
      <c r="L7662" s="1" t="str">
        <f t="shared" si="484"/>
        <v>ㄩ</v>
      </c>
      <c r="N7662" s="3" t="s">
        <v>30575</v>
      </c>
      <c r="O7662" s="3"/>
      <c r="P7662" s="1" t="s">
        <v>20</v>
      </c>
      <c r="R7662" s="1" t="s">
        <v>14385</v>
      </c>
      <c r="V7662" s="1" t="s">
        <v>14386</v>
      </c>
      <c r="AR7662" s="1" t="str">
        <f t="shared" si="482"/>
        <v>| [ㄐㄩˊ](ㄐㄩˊ.md) | [𦥑](𦥑.md) |  | jú | [動]
1.兩手相叉。《說文解字．𦥑部》：「𦥑，叉手。」清．段玉裁．注：「叉手者，謂手指正相向也。」
2.兩手捧物。同「掬」。《廣韻．入聲．屋韻》：「𦥑，兩手奉物。」 |</v>
      </c>
    </row>
    <row r="7663" spans="1:44" hidden="1">
      <c r="A7663" s="1" t="s">
        <v>14387</v>
      </c>
      <c r="C7663" s="1">
        <v>1</v>
      </c>
      <c r="D7663" s="1" t="str">
        <f>"05992"</f>
        <v>05992</v>
      </c>
      <c r="E7663" s="1" t="s">
        <v>871</v>
      </c>
      <c r="F7663" s="1">
        <v>7</v>
      </c>
      <c r="G7663" s="1">
        <v>4</v>
      </c>
      <c r="H7663" s="1">
        <v>0</v>
      </c>
      <c r="I7663" s="1" t="s">
        <v>14384</v>
      </c>
      <c r="K7663" s="1" t="str">
        <f t="shared" si="483"/>
        <v>ㄐ</v>
      </c>
      <c r="L7663" s="1" t="str">
        <f t="shared" si="484"/>
        <v>ㄩ</v>
      </c>
      <c r="N7663" s="3" t="s">
        <v>30575</v>
      </c>
      <c r="O7663" s="3"/>
      <c r="P7663" s="1" t="s">
        <v>20</v>
      </c>
      <c r="R7663" s="1" t="s">
        <v>14385</v>
      </c>
      <c r="V7663" s="1" t="s">
        <v>14388</v>
      </c>
      <c r="AR7663" s="1" t="str">
        <f t="shared" si="482"/>
        <v>| [ㄐㄩˊ](ㄐㄩˊ.md) | [局](局.md) |  | jú | [名]
1.政府機關或團體分工辦事的單位。如：「郵局」、「教育局」、「電信局」。
2.商店的稱號。如：「藥局」、「書局」。
3.部分。如：「局部麻醉」。《禮記．曲禮上》：「左右有局，各司其局。」唐．孔穎達．正義：「軍之在左右，各有部分，不相濫也。」
4.棋盤。唐．杜甫〈江村〉詩：「老妻畫紙為棋局，稚子敲針作釣鉤。」
5.量詞。計算棋類或球類等活動的單位。如：「對奕兩局」、「幸運第七局」。唐．白居易〈因夢有悟〉詩：「款曲數杯酒，從容一局棋。」
6.聚會。如：「飯局」、「牌局」。
7.形勢、情況。如：「世局」、「危局」、「顧全大局」、「打破僵局」。《兒女英雄傳》第一八回：「早看出紀家不是個善終之局。」
8.結構、組織。如：「格局」、「布局」。
9.心胸、器量。如：「局度」。《晉書．卷九三．褚裒傳》：「有局量，以幹用稱。」
10. 圈套、陷阱。如：「騙局」、「美人局」。《紅樓夢》第一二回：「王熙鳳毒設相思局。」
[動]
1.彎曲。通「跼」。《詩經．小雅．正月》：「謂天蓋高，不敢不局。」漢．毛亨．傳：「局，曲也。」
2.拘束、限制。通「拘」。如：「局限」、「局於一隅」。
[形]
1.卷曲。《詩經．小雅．采綠》：「予髮曲局。」
2.狹小、不寬廣。《管子．白心》：「大者寬，小者局。」《周書．卷四九．異域傳．序》：「兩儀之間，中土局而庶俗曠。」 |</v>
      </c>
    </row>
    <row r="7664" spans="1:44" hidden="1">
      <c r="A7664" s="1" t="s">
        <v>14389</v>
      </c>
      <c r="C7664" s="1">
        <v>1</v>
      </c>
      <c r="D7664" s="1" t="str">
        <f>"05993"</f>
        <v>05993</v>
      </c>
      <c r="E7664" s="1" t="s">
        <v>114</v>
      </c>
      <c r="F7664" s="1">
        <v>9</v>
      </c>
      <c r="G7664" s="1">
        <v>7</v>
      </c>
      <c r="H7664" s="1">
        <v>0</v>
      </c>
      <c r="I7664" s="1" t="s">
        <v>14384</v>
      </c>
      <c r="K7664" s="1" t="str">
        <f t="shared" si="483"/>
        <v>ㄐ</v>
      </c>
      <c r="L7664" s="1" t="str">
        <f t="shared" si="484"/>
        <v>ㄩ</v>
      </c>
      <c r="N7664" s="3" t="s">
        <v>30575</v>
      </c>
      <c r="O7664" s="3"/>
      <c r="P7664" s="1" t="s">
        <v>20</v>
      </c>
      <c r="R7664" s="1" t="s">
        <v>14385</v>
      </c>
      <c r="V7664" s="1" t="s">
        <v>14390</v>
      </c>
      <c r="AR7664" s="1" t="str">
        <f t="shared" si="482"/>
        <v>| [ㄐㄩˊ](ㄐㄩˊ.md) | [侷](侷.md) |  | jú | 參見「侷促」條。 |</v>
      </c>
    </row>
    <row r="7665" spans="1:44" hidden="1">
      <c r="A7665" s="1" t="s">
        <v>14391</v>
      </c>
      <c r="C7665" s="1">
        <v>1</v>
      </c>
      <c r="D7665" s="1" t="str">
        <f>"05994"</f>
        <v>05994</v>
      </c>
      <c r="E7665" s="1" t="s">
        <v>24</v>
      </c>
      <c r="F7665" s="1">
        <v>10</v>
      </c>
      <c r="G7665" s="1">
        <v>7</v>
      </c>
      <c r="H7665" s="1">
        <v>0</v>
      </c>
      <c r="I7665" s="1" t="s">
        <v>14384</v>
      </c>
      <c r="K7665" s="1" t="str">
        <f t="shared" si="483"/>
        <v>ㄐ</v>
      </c>
      <c r="L7665" s="1" t="str">
        <f t="shared" si="484"/>
        <v>ㄩ</v>
      </c>
      <c r="N7665" s="3" t="s">
        <v>30575</v>
      </c>
      <c r="O7665" s="3"/>
      <c r="P7665" s="1" t="s">
        <v>20</v>
      </c>
      <c r="R7665" s="1" t="s">
        <v>14385</v>
      </c>
      <c r="V7665" s="1" t="s">
        <v>14392</v>
      </c>
      <c r="AR7665" s="1" t="str">
        <f t="shared" si="482"/>
        <v>| [ㄐㄩˊ](ㄐㄩˊ.md) | [挶](挶.md) |  | jú | [名]
1.搬運沙土的器具。《左傳．襄公九年》：「陳畚挶，具綆缶。」晉．杜預．注：「挶，土轝。」
2.耳病。《呂氏春秋．季春紀．盡數》：「鬱，處頭則為腫為風，處耳則為挶為聾。」漢．高誘．注：「挶、聾，皆耳疾也。」
[動]
執持。唐．韓愈、孟郊〈城南聯句〉：「乾穟紛拄地，化蟲枯挶莖。」 |</v>
      </c>
    </row>
    <row r="7666" spans="1:44" hidden="1">
      <c r="A7666" s="1" t="s">
        <v>14393</v>
      </c>
      <c r="C7666" s="1">
        <v>1</v>
      </c>
      <c r="D7666" s="1" t="str">
        <f>"05995"</f>
        <v>05995</v>
      </c>
      <c r="E7666" s="1" t="s">
        <v>336</v>
      </c>
      <c r="F7666" s="1">
        <v>11</v>
      </c>
      <c r="G7666" s="1">
        <v>7</v>
      </c>
      <c r="H7666" s="1">
        <v>0</v>
      </c>
      <c r="I7666" s="1" t="s">
        <v>14384</v>
      </c>
      <c r="K7666" s="1" t="str">
        <f t="shared" si="483"/>
        <v>ㄐ</v>
      </c>
      <c r="L7666" s="1" t="str">
        <f t="shared" si="484"/>
        <v>ㄩ</v>
      </c>
      <c r="N7666" s="3" t="s">
        <v>30575</v>
      </c>
      <c r="O7666" s="3"/>
      <c r="P7666" s="1" t="s">
        <v>20</v>
      </c>
      <c r="R7666" s="1" t="s">
        <v>14385</v>
      </c>
      <c r="V7666" s="1" t="s">
        <v>14394</v>
      </c>
      <c r="AR7666" s="1" t="str">
        <f t="shared" si="482"/>
        <v>| [ㄐㄩˊ](ㄐㄩˊ.md) | [焗](焗.md) |  | jú | [動]
一種烹飪方法。用鹽或淨沙下鍋炒熱，再將食物用紗布等包好，埋入熱沙或熱鹽中，蓋緊鍋蓋，利用慢火燜熟。如：「鹽焗雞」。 |</v>
      </c>
    </row>
    <row r="7667" spans="1:44" hidden="1">
      <c r="A7667" s="1" t="s">
        <v>14395</v>
      </c>
      <c r="C7667" s="1">
        <v>1</v>
      </c>
      <c r="D7667" s="1" t="str">
        <f>"05996"</f>
        <v>05996</v>
      </c>
      <c r="E7667" s="1" t="s">
        <v>139</v>
      </c>
      <c r="F7667" s="1">
        <v>11</v>
      </c>
      <c r="G7667" s="1">
        <v>7</v>
      </c>
      <c r="H7667" s="1">
        <v>0</v>
      </c>
      <c r="I7667" s="1" t="s">
        <v>14384</v>
      </c>
      <c r="K7667" s="1" t="str">
        <f t="shared" si="483"/>
        <v>ㄐ</v>
      </c>
      <c r="L7667" s="1" t="str">
        <f t="shared" si="484"/>
        <v>ㄩ</v>
      </c>
      <c r="N7667" s="3" t="s">
        <v>30575</v>
      </c>
      <c r="O7667" s="3"/>
      <c r="P7667" s="1" t="s">
        <v>20</v>
      </c>
      <c r="R7667" s="1" t="s">
        <v>14385</v>
      </c>
      <c r="V7667" s="1" t="s">
        <v>14396</v>
      </c>
      <c r="AR7667" s="1" t="str">
        <f t="shared" si="482"/>
        <v>| [ㄐㄩˊ](ㄐㄩˊ.md) | [梮](梮.md) |  | jú | [名]
1.古代送飯食的器具。《廣韻．入聲．燭韻》：「梮，輿食器也。」
2.運土的器具。《國語．周語中》：「收而場功，㣥而畚梮。」三國吳．韋昭．注：「梮，舉土之器。」
3.行走山路時安裝在鞋底的錐形物，有防滑的作用。《漢書．卷二九．溝洫志》：「泥行乘橇，山行則梮。」 |</v>
      </c>
    </row>
    <row r="7668" spans="1:44" hidden="1">
      <c r="A7668" s="1" t="s">
        <v>14397</v>
      </c>
      <c r="C7668" s="1">
        <v>1</v>
      </c>
      <c r="D7668" s="1" t="str">
        <f>"05997"</f>
        <v>05997</v>
      </c>
      <c r="E7668" s="1" t="s">
        <v>77</v>
      </c>
      <c r="F7668" s="1">
        <v>14</v>
      </c>
      <c r="G7668" s="1">
        <v>7</v>
      </c>
      <c r="H7668" s="1">
        <v>0</v>
      </c>
      <c r="I7668" s="1" t="s">
        <v>14384</v>
      </c>
      <c r="K7668" s="1" t="str">
        <f t="shared" si="483"/>
        <v>ㄐ</v>
      </c>
      <c r="L7668" s="1" t="str">
        <f t="shared" si="484"/>
        <v>ㄩ</v>
      </c>
      <c r="N7668" s="3" t="s">
        <v>30575</v>
      </c>
      <c r="O7668" s="3"/>
      <c r="P7668" s="1" t="s">
        <v>20</v>
      </c>
      <c r="R7668" s="1" t="s">
        <v>14385</v>
      </c>
      <c r="V7668" s="1" t="s">
        <v>14398</v>
      </c>
      <c r="AR7668" s="1" t="str">
        <f t="shared" si="482"/>
        <v>| [ㄐㄩˊ](ㄐㄩˊ.md) | [跼](跼.md) |  | jú | [動]
彎曲不能伸展。《廣韻．入聲．燭韻》：「跼，曲也。」《後漢書．卷六三．李固傳》：「天高不敢不跼，地厚不敢不蹐。」 |</v>
      </c>
    </row>
    <row r="7669" spans="1:44" hidden="1">
      <c r="A7669" s="1" t="s">
        <v>14399</v>
      </c>
      <c r="C7669" s="1">
        <v>1</v>
      </c>
      <c r="D7669" s="1" t="str">
        <f>"05998"</f>
        <v>05998</v>
      </c>
      <c r="E7669" s="1" t="s">
        <v>55</v>
      </c>
      <c r="F7669" s="1">
        <v>15</v>
      </c>
      <c r="G7669" s="1">
        <v>7</v>
      </c>
      <c r="H7669" s="1">
        <v>0</v>
      </c>
      <c r="I7669" s="1" t="s">
        <v>14384</v>
      </c>
      <c r="K7669" s="1" t="str">
        <f t="shared" si="483"/>
        <v>ㄐ</v>
      </c>
      <c r="L7669" s="1" t="str">
        <f t="shared" si="484"/>
        <v>ㄩ</v>
      </c>
      <c r="N7669" s="3" t="s">
        <v>30575</v>
      </c>
      <c r="O7669" s="3"/>
      <c r="P7669" s="1" t="s">
        <v>20</v>
      </c>
      <c r="R7669" s="1" t="s">
        <v>14385</v>
      </c>
      <c r="V7669" s="1" t="s">
        <v>14400</v>
      </c>
      <c r="AR7669" s="1" t="str">
        <f t="shared" si="482"/>
        <v>| [ㄐㄩˊ](ㄐㄩˊ.md) | [鋦](鋦.md) |  | jú | [名]
1.鋦子，兩端彎曲的鐵釘，用來固定建材，或接補有裂縫的器具。如：「鐵鋦」。也稱為「抓釘」、「鉤釘」。
2.（curium，Cm）化學元素。原子序96。金屬元素之一。銀白色，具放射性。化性活潑，正電性較鋁為強。為已知元素中最重的元素，可利用連環反應堆製而成。 |</v>
      </c>
    </row>
    <row r="7670" spans="1:44" hidden="1">
      <c r="A7670" s="1" t="s">
        <v>14401</v>
      </c>
      <c r="C7670" s="1">
        <v>1</v>
      </c>
      <c r="D7670" s="1" t="str">
        <f>"05999"</f>
        <v>05999</v>
      </c>
      <c r="E7670" s="1" t="s">
        <v>570</v>
      </c>
      <c r="F7670" s="1">
        <v>8</v>
      </c>
      <c r="G7670" s="1">
        <v>6</v>
      </c>
      <c r="H7670" s="1">
        <v>0</v>
      </c>
      <c r="I7670" s="1" t="s">
        <v>14384</v>
      </c>
      <c r="K7670" s="1" t="str">
        <f t="shared" si="483"/>
        <v>ㄐ</v>
      </c>
      <c r="L7670" s="1" t="str">
        <f t="shared" si="484"/>
        <v>ㄩ</v>
      </c>
      <c r="N7670" s="3" t="s">
        <v>30575</v>
      </c>
      <c r="O7670" s="3"/>
      <c r="P7670" s="1" t="s">
        <v>20</v>
      </c>
      <c r="R7670" s="1" t="s">
        <v>14385</v>
      </c>
      <c r="V7670" s="1" t="s">
        <v>14402</v>
      </c>
      <c r="AR7670" s="1" t="str">
        <f t="shared" si="482"/>
        <v>| [ㄐㄩˊ](ㄐㄩˊ.md) | [匊](匊.md) |  | jú | [動]
捧、握。同「掬」。如：「手匊而飲」。《詩經．小雅．采綠》：「終朝采綠，不盈一匊。」 |</v>
      </c>
    </row>
    <row r="7671" spans="1:44" hidden="1">
      <c r="A7671" s="1" t="s">
        <v>14403</v>
      </c>
      <c r="C7671" s="1">
        <v>1</v>
      </c>
      <c r="D7671" s="1" t="str">
        <f>"06000"</f>
        <v>06000</v>
      </c>
      <c r="E7671" s="1" t="s">
        <v>24</v>
      </c>
      <c r="F7671" s="1">
        <v>11</v>
      </c>
      <c r="G7671" s="1">
        <v>8</v>
      </c>
      <c r="H7671" s="1">
        <v>0</v>
      </c>
      <c r="I7671" s="1" t="s">
        <v>14384</v>
      </c>
      <c r="K7671" s="1" t="str">
        <f t="shared" si="483"/>
        <v>ㄐ</v>
      </c>
      <c r="L7671" s="1" t="str">
        <f t="shared" si="484"/>
        <v>ㄩ</v>
      </c>
      <c r="N7671" s="3" t="s">
        <v>30575</v>
      </c>
      <c r="O7671" s="3"/>
      <c r="P7671" s="1" t="s">
        <v>20</v>
      </c>
      <c r="R7671" s="1" t="s">
        <v>14385</v>
      </c>
      <c r="V7671" s="1" t="s">
        <v>14404</v>
      </c>
      <c r="AR7671" s="1" t="str">
        <f t="shared" si="482"/>
        <v>| [ㄐㄩˊ](ㄐㄩˊ.md) | [掬](掬.md) |  | jú | [動]
1.用兩手捧取。如：「掬泉」、「掬水而飲」。唐．段成式《酉陽雜俎．卷三．貝編》：「上令左右掬庭水嗅之，果有檀香氣。」
2.情態顯露於外，似可用手抓取。如：「笑容可掬」、「真情可掬」。
3.噘、翹起。《西遊記》第五四回：「八戒採著馬，掬著嘴，擺著耳朵。」 |</v>
      </c>
    </row>
    <row r="7672" spans="1:44" hidden="1">
      <c r="A7672" s="1" t="s">
        <v>14405</v>
      </c>
      <c r="C7672" s="1">
        <v>1</v>
      </c>
      <c r="D7672" s="1" t="str">
        <f>"06001"</f>
        <v>06001</v>
      </c>
      <c r="E7672" s="1" t="s">
        <v>139</v>
      </c>
      <c r="F7672" s="1">
        <v>12</v>
      </c>
      <c r="G7672" s="1">
        <v>8</v>
      </c>
      <c r="H7672" s="1">
        <v>0</v>
      </c>
      <c r="I7672" s="1" t="s">
        <v>14384</v>
      </c>
      <c r="K7672" s="1" t="str">
        <f t="shared" si="483"/>
        <v>ㄐ</v>
      </c>
      <c r="L7672" s="1" t="str">
        <f t="shared" si="484"/>
        <v>ㄩ</v>
      </c>
      <c r="N7672" s="3" t="s">
        <v>30575</v>
      </c>
      <c r="O7672" s="3"/>
      <c r="P7672" s="1" t="s">
        <v>20</v>
      </c>
      <c r="R7672" s="1" t="s">
        <v>14385</v>
      </c>
      <c r="V7672" s="1" t="s">
        <v>14406</v>
      </c>
      <c r="AR7672" s="1" t="str">
        <f t="shared" si="482"/>
        <v>| [ㄐㄩˊ](ㄐㄩˊ.md) | [椈](椈.md) |  | jú | [名]
植物名。即柏。柏科側柏屬，「側柏」之古稱，參見「側柏」條。《正字通．木部》：「椈，柏別名。」 |</v>
      </c>
    </row>
    <row r="7673" spans="1:44" hidden="1">
      <c r="A7673" s="1" t="s">
        <v>14407</v>
      </c>
      <c r="C7673" s="1">
        <v>1</v>
      </c>
      <c r="D7673" s="1" t="str">
        <f>"06002"</f>
        <v>06002</v>
      </c>
      <c r="E7673" s="1" t="s">
        <v>37</v>
      </c>
      <c r="F7673" s="1">
        <v>12</v>
      </c>
      <c r="G7673" s="1">
        <v>8</v>
      </c>
      <c r="H7673" s="1">
        <v>0</v>
      </c>
      <c r="I7673" s="1" t="s">
        <v>14384</v>
      </c>
      <c r="K7673" s="1" t="str">
        <f t="shared" si="483"/>
        <v>ㄐ</v>
      </c>
      <c r="L7673" s="1" t="str">
        <f t="shared" si="484"/>
        <v>ㄩ</v>
      </c>
      <c r="N7673" s="3" t="s">
        <v>30575</v>
      </c>
      <c r="O7673" s="3"/>
      <c r="P7673" s="1" t="s">
        <v>20</v>
      </c>
      <c r="R7673" s="1" t="s">
        <v>14385</v>
      </c>
      <c r="V7673" s="1" t="s">
        <v>14408</v>
      </c>
      <c r="AR7673" s="1" t="str">
        <f t="shared" si="482"/>
        <v>| [ㄐㄩˊ](ㄐㄩˊ.md) | [菊](菊.md) |  | jú | [名]
植物名。菊科菊屬，「菊花」之古稱，參見「菊花」條。 |</v>
      </c>
    </row>
    <row r="7674" spans="1:44" hidden="1">
      <c r="A7674" s="1" t="s">
        <v>14409</v>
      </c>
      <c r="C7674" s="1">
        <v>1</v>
      </c>
      <c r="D7674" s="1" t="str">
        <f>"06003"</f>
        <v>06003</v>
      </c>
      <c r="E7674" s="1" t="s">
        <v>77</v>
      </c>
      <c r="F7674" s="1">
        <v>15</v>
      </c>
      <c r="G7674" s="1">
        <v>8</v>
      </c>
      <c r="H7674" s="1">
        <v>0</v>
      </c>
      <c r="I7674" s="1" t="s">
        <v>14384</v>
      </c>
      <c r="K7674" s="1" t="str">
        <f t="shared" si="483"/>
        <v>ㄐ</v>
      </c>
      <c r="L7674" s="1" t="str">
        <f t="shared" si="484"/>
        <v>ㄩ</v>
      </c>
      <c r="N7674" s="3" t="s">
        <v>30575</v>
      </c>
      <c r="O7674" s="3"/>
      <c r="P7674" s="1" t="s">
        <v>20</v>
      </c>
      <c r="R7674" s="1" t="s">
        <v>14385</v>
      </c>
      <c r="V7674" s="1" t="s">
        <v>14410</v>
      </c>
      <c r="AR7674" s="1" t="str">
        <f t="shared" si="482"/>
        <v>| [ㄐㄩˊ](ㄐㄩˊ.md) | [踘](踘.md) |  | jú | [名]
古代一種外部包以皮革，內部塞入羽毛等柔軟物，以供拍擊、踢蹴的運動器具。唐．李白〈古風〉詩五九首之四六：「鬥雞金宮裡，蹴踘瑤臺邊。」也稱為「毬」。 |</v>
      </c>
    </row>
    <row r="7675" spans="1:44" hidden="1">
      <c r="A7675" s="1" t="s">
        <v>14411</v>
      </c>
      <c r="C7675" s="1">
        <v>1</v>
      </c>
      <c r="D7675" s="1" t="str">
        <f>"06004"</f>
        <v>06004</v>
      </c>
      <c r="E7675" s="1" t="s">
        <v>96</v>
      </c>
      <c r="F7675" s="1">
        <v>17</v>
      </c>
      <c r="G7675" s="1">
        <v>8</v>
      </c>
      <c r="H7675" s="1">
        <v>0</v>
      </c>
      <c r="I7675" s="1" t="s">
        <v>14384</v>
      </c>
      <c r="K7675" s="1" t="str">
        <f t="shared" si="483"/>
        <v>ㄐ</v>
      </c>
      <c r="L7675" s="1" t="str">
        <f t="shared" si="484"/>
        <v>ㄩ</v>
      </c>
      <c r="N7675" s="3" t="s">
        <v>30575</v>
      </c>
      <c r="O7675" s="3"/>
      <c r="P7675" s="1" t="s">
        <v>20</v>
      </c>
      <c r="R7675" s="1" t="s">
        <v>14385</v>
      </c>
      <c r="V7675" s="1" t="s">
        <v>14412</v>
      </c>
      <c r="AR7675" s="1" t="str">
        <f t="shared" si="482"/>
        <v>| [ㄐㄩˊ](ㄐㄩˊ.md) | [鞠](鞠.md) |  | jú | [名]
1.皮毬，一種以皮革縫合，內塞以鳥羽等柔軟物或充氣而成的球。《資治通鑑．卷一九九．唐紀十五．高宗永徽三年》：「朕聞胡人善為擊鞠之戲。」
2.菊花。同「菊」。《禮記．月令》：「鞠有黃華。」
3.姓。如宋代有鞠常。
[動]
1.養育、撫育。如：「鞠育」。《詩經．小雅．蓼莪》：「父兮生我，母兮鞠我。」
2.彎曲。《論語．鄉黨》：「入公門，鞠躬如也。」
3.審問。同「鞫」。《史記．卷八七．李斯傳》：「令鞠治之。」《漢書．卷一七．景武昭宣元成功臣表》：「鞠獄不實。」
4.窮困。《書經．盤庚中》：「爾惟自鞠自苦。」
[形]
幼小、幼稚。《書經．康誥》：「兄亦不念鞠子哀，大不友于弟。」 |</v>
      </c>
    </row>
    <row r="7676" spans="1:44" hidden="1">
      <c r="A7676" s="1" t="s">
        <v>13407</v>
      </c>
      <c r="C7676" s="1">
        <v>1</v>
      </c>
      <c r="D7676" s="1" t="str">
        <f>"06005"</f>
        <v>06005</v>
      </c>
      <c r="E7676" s="1" t="s">
        <v>139</v>
      </c>
      <c r="F7676" s="1">
        <v>10</v>
      </c>
      <c r="G7676" s="1">
        <v>6</v>
      </c>
      <c r="H7676" s="1">
        <v>2</v>
      </c>
      <c r="I7676" s="1" t="s">
        <v>14384</v>
      </c>
      <c r="K7676" s="1" t="str">
        <f t="shared" si="483"/>
        <v>ㄐ</v>
      </c>
      <c r="L7676" s="1" t="str">
        <f t="shared" si="484"/>
        <v>ㄩ</v>
      </c>
      <c r="N7676" s="3" t="s">
        <v>30575</v>
      </c>
      <c r="O7676" s="3"/>
      <c r="P7676" s="1" t="s">
        <v>20</v>
      </c>
      <c r="R7676" s="1" t="s">
        <v>14385</v>
      </c>
      <c r="V7676" s="1" t="s">
        <v>14413</v>
      </c>
      <c r="W7676" s="1" t="s">
        <v>14414</v>
      </c>
      <c r="AR7676" s="1" t="str">
        <f t="shared" si="482"/>
        <v>| [ㄐㄩˊ](ㄐㄩˊ.md) | [桔](桔.md) |  | jú | 同「橘」。 |</v>
      </c>
    </row>
    <row r="7677" spans="1:44" hidden="1">
      <c r="A7677" s="1" t="s">
        <v>14415</v>
      </c>
      <c r="C7677" s="1">
        <v>1</v>
      </c>
      <c r="D7677" s="1" t="str">
        <f>"06006"</f>
        <v>06006</v>
      </c>
      <c r="E7677" s="1" t="s">
        <v>129</v>
      </c>
      <c r="F7677" s="1">
        <v>12</v>
      </c>
      <c r="G7677" s="1">
        <v>9</v>
      </c>
      <c r="H7677" s="1">
        <v>0</v>
      </c>
      <c r="I7677" s="1" t="s">
        <v>14384</v>
      </c>
      <c r="K7677" s="1" t="str">
        <f t="shared" si="483"/>
        <v>ㄐ</v>
      </c>
      <c r="L7677" s="1" t="str">
        <f t="shared" si="484"/>
        <v>ㄩ</v>
      </c>
      <c r="N7677" s="3" t="s">
        <v>30575</v>
      </c>
      <c r="O7677" s="3"/>
      <c r="P7677" s="1" t="s">
        <v>20</v>
      </c>
      <c r="R7677" s="1" t="s">
        <v>14385</v>
      </c>
      <c r="V7677" s="1" t="s">
        <v>14416</v>
      </c>
      <c r="AR7677" s="1" t="str">
        <f t="shared" si="482"/>
        <v>| [ㄐㄩˊ](ㄐㄩˊ.md) | [湨](湨.md) |  | jú | [名]
河川名。在河南省濟源市中部，為蟒河的支流，東南流入黃河。 |</v>
      </c>
    </row>
    <row r="7678" spans="1:44" hidden="1">
      <c r="A7678" s="1" t="s">
        <v>14417</v>
      </c>
      <c r="C7678" s="1">
        <v>1</v>
      </c>
      <c r="D7678" s="1" t="str">
        <f>"06007"</f>
        <v>06007</v>
      </c>
      <c r="E7678" s="1" t="s">
        <v>272</v>
      </c>
      <c r="F7678" s="1">
        <v>20</v>
      </c>
      <c r="G7678" s="1">
        <v>9</v>
      </c>
      <c r="H7678" s="1">
        <v>0</v>
      </c>
      <c r="I7678" s="1" t="s">
        <v>14384</v>
      </c>
      <c r="K7678" s="1" t="str">
        <f t="shared" si="483"/>
        <v>ㄐ</v>
      </c>
      <c r="L7678" s="1" t="str">
        <f t="shared" si="484"/>
        <v>ㄩ</v>
      </c>
      <c r="N7678" s="3" t="s">
        <v>30575</v>
      </c>
      <c r="O7678" s="3"/>
      <c r="P7678" s="1" t="s">
        <v>20</v>
      </c>
      <c r="R7678" s="1" t="s">
        <v>14385</v>
      </c>
      <c r="V7678" s="1" t="s">
        <v>14418</v>
      </c>
      <c r="AR7678" s="1" t="str">
        <f t="shared" si="482"/>
        <v>| [ㄐㄩˊ](ㄐㄩˊ.md) | [鶪](鶪.md) |  | jú | [名]
動物名。即伯勞鳥。鳥綱雀形目。頭、額兩側黑色，背灰褐色，性猛，善鳴。《說文解字．鳥部》：「鶪，伯勞也。」 |</v>
      </c>
    </row>
    <row r="7679" spans="1:44" hidden="1">
      <c r="A7679" s="1" t="s">
        <v>14419</v>
      </c>
      <c r="C7679" s="1">
        <v>1</v>
      </c>
      <c r="D7679" s="1" t="str">
        <f>"06008"</f>
        <v>06008</v>
      </c>
      <c r="E7679" s="1" t="s">
        <v>71</v>
      </c>
      <c r="F7679" s="1">
        <v>13</v>
      </c>
      <c r="G7679" s="1">
        <v>6</v>
      </c>
      <c r="H7679" s="1">
        <v>0</v>
      </c>
      <c r="I7679" s="1" t="s">
        <v>14384</v>
      </c>
      <c r="K7679" s="1" t="str">
        <f t="shared" si="483"/>
        <v>ㄐ</v>
      </c>
      <c r="L7679" s="1" t="str">
        <f t="shared" si="484"/>
        <v>ㄩ</v>
      </c>
      <c r="N7679" s="3" t="s">
        <v>30575</v>
      </c>
      <c r="O7679" s="3"/>
      <c r="P7679" s="1" t="s">
        <v>20</v>
      </c>
      <c r="R7679" s="1" t="s">
        <v>14385</v>
      </c>
      <c r="V7679" s="1" t="s">
        <v>14420</v>
      </c>
      <c r="AR7679" s="1" t="str">
        <f t="shared" si="482"/>
        <v>| [ㄐㄩˊ](ㄐㄩˊ.md) | [輂](輂.md) |  | jú | [名]
1.馬拉的大車。《說文解字．車部》：「輂，大車駕馬也。」清．段玉裁．注：「古大車多駕牛，其駕馬者則謂之輂。」《周禮．地官．鄉師》：「大軍旅會同，正治其徒役，與其輂輦。」漢．鄭玄．注：「輂，駕馬。輦，人輓行，所以載任器也。」
2.盛裝土石的器具。《漢書．卷二七．五行志上》：「塗大屋，陳畚輂，具綆缶，備水器。」顏師古注引應劭曰：「畚，草籠也；輂，所以輿土也。」 |</v>
      </c>
    </row>
    <row r="7680" spans="1:44" hidden="1">
      <c r="A7680" s="1" t="s">
        <v>14421</v>
      </c>
      <c r="C7680" s="1">
        <v>1</v>
      </c>
      <c r="D7680" s="1" t="str">
        <f>"06009"</f>
        <v>06009</v>
      </c>
      <c r="E7680" s="1" t="s">
        <v>272</v>
      </c>
      <c r="F7680" s="1">
        <v>15</v>
      </c>
      <c r="G7680" s="1">
        <v>4</v>
      </c>
      <c r="H7680" s="1">
        <v>2</v>
      </c>
      <c r="I7680" s="1" t="s">
        <v>14384</v>
      </c>
      <c r="K7680" s="1" t="str">
        <f t="shared" si="483"/>
        <v>ㄐ</v>
      </c>
      <c r="L7680" s="1" t="str">
        <f t="shared" si="484"/>
        <v>ㄩ</v>
      </c>
      <c r="N7680" s="3" t="s">
        <v>30575</v>
      </c>
      <c r="O7680" s="3"/>
      <c r="P7680" s="1" t="s">
        <v>110</v>
      </c>
      <c r="R7680" s="1" t="s">
        <v>14385</v>
      </c>
      <c r="V7680" s="1" t="s">
        <v>111</v>
      </c>
      <c r="W7680" s="1" t="s">
        <v>14422</v>
      </c>
      <c r="AR7680" s="1" t="str">
        <f t="shared" si="482"/>
        <v>| [ㄐㄩˊ](ㄐㄩˊ.md) | [鴃](鴃.md) |  | jú | (一)之又音。 |</v>
      </c>
    </row>
    <row r="7681" spans="1:44" hidden="1">
      <c r="A7681" s="1" t="s">
        <v>14423</v>
      </c>
      <c r="C7681" s="1">
        <v>1</v>
      </c>
      <c r="D7681" s="1" t="str">
        <f>"06010"</f>
        <v>06010</v>
      </c>
      <c r="E7681" s="1" t="s">
        <v>139</v>
      </c>
      <c r="F7681" s="1">
        <v>16</v>
      </c>
      <c r="G7681" s="1">
        <v>12</v>
      </c>
      <c r="H7681" s="1">
        <v>0</v>
      </c>
      <c r="I7681" s="1" t="s">
        <v>14384</v>
      </c>
      <c r="K7681" s="1" t="str">
        <f t="shared" si="483"/>
        <v>ㄐ</v>
      </c>
      <c r="L7681" s="1" t="str">
        <f t="shared" si="484"/>
        <v>ㄩ</v>
      </c>
      <c r="N7681" s="3" t="s">
        <v>30575</v>
      </c>
      <c r="O7681" s="3"/>
      <c r="P7681" s="1" t="s">
        <v>20</v>
      </c>
      <c r="R7681" s="1" t="s">
        <v>14385</v>
      </c>
      <c r="V7681" s="1" t="s">
        <v>14424</v>
      </c>
      <c r="AR7681" s="1" t="str">
        <f t="shared" si="482"/>
        <v>| [ㄐㄩˊ](ㄐㄩˊ.md) | [橘](橘.md) |  | jú | [名]
植物名。芸香科柑桔屬，小喬木或灌木。枝纖細有刺。葉狹長而尖，葉柄與葉片間有關節，葉翼不明顯。花白色五瓣。秋天所結果實亦稱「橘」，扁圓形，果皮為紅黃色，果肉多汁，味甘酸可食。果皮、種子、葉片等均可入藥。原產中國大陸，廣泛栽培，品種多且雜交親緣複雜。常見之品種如「年柑」、「桶柑」、「椪柑」及「福橘」等。也稱為「柑橘」。 |</v>
      </c>
    </row>
    <row r="7682" spans="1:44" hidden="1">
      <c r="A7682" s="1" t="s">
        <v>14425</v>
      </c>
      <c r="C7682" s="1">
        <v>1</v>
      </c>
      <c r="D7682" s="1" t="str">
        <f>"06011"</f>
        <v>06011</v>
      </c>
      <c r="E7682" s="1" t="s">
        <v>96</v>
      </c>
      <c r="F7682" s="1">
        <v>18</v>
      </c>
      <c r="G7682" s="1">
        <v>9</v>
      </c>
      <c r="H7682" s="1">
        <v>0</v>
      </c>
      <c r="I7682" s="1" t="s">
        <v>14384</v>
      </c>
      <c r="K7682" s="1" t="str">
        <f t="shared" si="483"/>
        <v>ㄐ</v>
      </c>
      <c r="L7682" s="1" t="str">
        <f t="shared" si="484"/>
        <v>ㄩ</v>
      </c>
      <c r="N7682" s="3" t="s">
        <v>30575</v>
      </c>
      <c r="O7682" s="3"/>
      <c r="P7682" s="1" t="s">
        <v>20</v>
      </c>
      <c r="R7682" s="1" t="s">
        <v>14385</v>
      </c>
      <c r="V7682" s="1" t="s">
        <v>14426</v>
      </c>
      <c r="AR7682" s="1" t="str">
        <f t="shared" si="482"/>
        <v>| [ㄐㄩˊ](ㄐㄩˊ.md) | [鞫](鞫.md) |  | jú | [動]
審判、訊問。《漢書．卷六六．車千秋傳》：「未聞九卿廷尉有所鞫也。」《元史．卷一六七．王惲傳》：「朝廷委惲鞫之，一訊即得其實。」
[形]
窮困。《詩經．大雅．雲漢》：「鞫哉庶正，疚哉冢宰。」漢．鄭玄．箋：「鞫，窮也；庶正，眾官之長也；疚，病也。窮哉病哉者，念此諸臣勤於事而困於食，以此言勞倦也。」
[名]
姓。如宋代有鞫詠。 |</v>
      </c>
    </row>
    <row r="7683" spans="1:44" hidden="1">
      <c r="A7683" s="1" t="s">
        <v>14331</v>
      </c>
      <c r="C7683" s="1">
        <v>1</v>
      </c>
      <c r="D7683" s="1" t="str">
        <f>"06012"</f>
        <v>06012</v>
      </c>
      <c r="E7683" s="1" t="s">
        <v>129</v>
      </c>
      <c r="F7683" s="1">
        <v>8</v>
      </c>
      <c r="G7683" s="1">
        <v>5</v>
      </c>
      <c r="H7683" s="1">
        <v>2</v>
      </c>
      <c r="I7683" s="1" t="s">
        <v>14427</v>
      </c>
      <c r="K7683" s="1" t="str">
        <f t="shared" si="483"/>
        <v>ㄐ</v>
      </c>
      <c r="L7683" s="1" t="str">
        <f t="shared" si="484"/>
        <v>ㄩ</v>
      </c>
      <c r="N7683" s="3" t="s">
        <v>30576</v>
      </c>
      <c r="O7683" s="3"/>
      <c r="P7683" s="1" t="s">
        <v>20</v>
      </c>
      <c r="R7683" s="1" t="s">
        <v>14428</v>
      </c>
      <c r="V7683" s="1" t="s">
        <v>14429</v>
      </c>
      <c r="W7683" s="1" t="s">
        <v>14430</v>
      </c>
      <c r="AR7683" s="1" t="str">
        <f t="shared" ref="AR7683:AR7746" si="485">"| ["&amp;I7683&amp;"]("&amp;I7683&amp;".md) | ["&amp;A7683&amp;"]("&amp;A7683&amp;".md) | "&amp;" | "&amp;R7683&amp;" | "&amp;V7683&amp;" |"</f>
        <v>| [ㄐㄩˇ](ㄐㄩˇ.md) | [沮](沮.md) |  | jǔ | [動]
1.止、阻止。《孟子．梁惠王下》：「嬖人有臧倉者沮君，君是以不果來也。」清．紀昀《閱微草堂筆記．卷一五．姑妄聽之一》：「見悖理亂倫而不沮，是成人之惡，非君子也。」
2.敗壞、破壞。如：「沮壞」。《韓非子．二柄》：「妄舉，則事沮不勝。」唐．韓愈〈伯夷頌〉：「今世之所謂士者，一凡人譽之，則自以為有餘；一凡人沮之，則自以為不足。」
3.恐嚇、威嚇。《禮記．儒行》：「劫之以眾，沮之以兵。」
[形]
頹喪、意志消沉。如：「沮喪」、「氣沮」。《文選．嵇康．幽憤詩》：「神辱志沮。」 |</v>
      </c>
    </row>
    <row r="7684" spans="1:44" hidden="1">
      <c r="A7684" s="1" t="s">
        <v>14431</v>
      </c>
      <c r="C7684" s="1">
        <v>1</v>
      </c>
      <c r="D7684" s="1" t="str">
        <f>"06013"</f>
        <v>06013</v>
      </c>
      <c r="E7684" s="1" t="s">
        <v>28</v>
      </c>
      <c r="F7684" s="1">
        <v>8</v>
      </c>
      <c r="G7684" s="1">
        <v>5</v>
      </c>
      <c r="H7684" s="1">
        <v>0</v>
      </c>
      <c r="I7684" s="1" t="s">
        <v>14427</v>
      </c>
      <c r="K7684" s="1" t="str">
        <f t="shared" ref="K7684:K7747" si="486">LEFT(I7684, 1)</f>
        <v>ㄐ</v>
      </c>
      <c r="L7684" s="1" t="str">
        <f t="shared" ref="L7684:L7747" si="487">MID(I7684, 2, 1)</f>
        <v>ㄩ</v>
      </c>
      <c r="N7684" s="3" t="s">
        <v>30576</v>
      </c>
      <c r="O7684" s="3"/>
      <c r="P7684" s="1" t="s">
        <v>20</v>
      </c>
      <c r="R7684" s="1" t="s">
        <v>14428</v>
      </c>
      <c r="V7684" s="1" t="s">
        <v>14432</v>
      </c>
      <c r="AR7684" s="1" t="str">
        <f t="shared" si="485"/>
        <v>| [ㄐㄩˇ](ㄐㄩˇ.md) | [咀](咀.md) |  | jǔ | [動]
1.嚼食。《文選．司馬相如．上林賦》：「唼喋菁藻，咀嚼菱藕。」唐．柳宗元〈貞符詩．序〉：「飢渴牝牡之欲敺其內，於是乃知噬禽獸，咀果穀。」
2.品嘗、玩味。《南史．卷八．梁元帝本紀下》：「伏惟陛下咀痛茹哀，嬰憤忍酷。」唐．韓愈〈進學解〉：「沉浸醲郁，含英咀華，作為文章。」 |</v>
      </c>
    </row>
    <row r="7685" spans="1:44" hidden="1">
      <c r="A7685" s="1" t="s">
        <v>14336</v>
      </c>
      <c r="C7685" s="1">
        <v>1</v>
      </c>
      <c r="D7685" s="1" t="str">
        <f>"06014"</f>
        <v>06014</v>
      </c>
      <c r="E7685" s="1" t="s">
        <v>37</v>
      </c>
      <c r="F7685" s="1">
        <v>9</v>
      </c>
      <c r="G7685" s="1">
        <v>5</v>
      </c>
      <c r="H7685" s="1">
        <v>2</v>
      </c>
      <c r="I7685" s="1" t="s">
        <v>14427</v>
      </c>
      <c r="K7685" s="1" t="str">
        <f t="shared" si="486"/>
        <v>ㄐ</v>
      </c>
      <c r="L7685" s="1" t="str">
        <f t="shared" si="487"/>
        <v>ㄩ</v>
      </c>
      <c r="N7685" s="3" t="s">
        <v>30576</v>
      </c>
      <c r="O7685" s="3"/>
      <c r="P7685" s="1" t="s">
        <v>20</v>
      </c>
      <c r="R7685" s="1" t="s">
        <v>14428</v>
      </c>
      <c r="V7685" s="1" t="s">
        <v>14433</v>
      </c>
      <c r="W7685" s="1" t="s">
        <v>14434</v>
      </c>
      <c r="AR7685" s="1" t="str">
        <f t="shared" si="485"/>
        <v>| [ㄐㄩˇ](ㄐㄩˇ.md) | [苴](苴.md) |  | jǔ | [名]
古時襯在鞋裡的草墊。《說文解字．艸部》：「苴，履中草。」 |</v>
      </c>
    </row>
    <row r="7686" spans="1:44" hidden="1">
      <c r="A7686" s="1" t="s">
        <v>14435</v>
      </c>
      <c r="C7686" s="1">
        <v>1</v>
      </c>
      <c r="D7686" s="1" t="str">
        <f>"06015"</f>
        <v>06015</v>
      </c>
      <c r="E7686" s="1" t="s">
        <v>592</v>
      </c>
      <c r="F7686" s="1">
        <v>20</v>
      </c>
      <c r="G7686" s="1">
        <v>5</v>
      </c>
      <c r="H7686" s="1">
        <v>0</v>
      </c>
      <c r="I7686" s="1" t="s">
        <v>14427</v>
      </c>
      <c r="K7686" s="1" t="str">
        <f t="shared" si="486"/>
        <v>ㄐ</v>
      </c>
      <c r="L7686" s="1" t="str">
        <f t="shared" si="487"/>
        <v>ㄩ</v>
      </c>
      <c r="N7686" s="3" t="s">
        <v>30576</v>
      </c>
      <c r="O7686" s="3"/>
      <c r="P7686" s="1" t="s">
        <v>20</v>
      </c>
      <c r="R7686" s="1" t="s">
        <v>14428</v>
      </c>
      <c r="V7686" s="1" t="s">
        <v>14436</v>
      </c>
      <c r="AR7686" s="1" t="str">
        <f t="shared" si="485"/>
        <v>| [ㄐㄩˇ](ㄐㄩˇ.md) | [齟](齟.md) |  | jǔ | 參見「齟齬」條。 |</v>
      </c>
    </row>
    <row r="7687" spans="1:44" hidden="1">
      <c r="A7687" s="1" t="s">
        <v>14437</v>
      </c>
      <c r="C7687" s="1">
        <v>1</v>
      </c>
      <c r="D7687" s="1" t="str">
        <f>"06016"</f>
        <v>06016</v>
      </c>
      <c r="E7687" s="1" t="s">
        <v>1027</v>
      </c>
      <c r="F7687" s="1">
        <v>8</v>
      </c>
      <c r="G7687" s="1">
        <v>5</v>
      </c>
      <c r="H7687" s="1">
        <v>0</v>
      </c>
      <c r="I7687" s="1" t="s">
        <v>14427</v>
      </c>
      <c r="K7687" s="1" t="str">
        <f t="shared" si="486"/>
        <v>ㄐ</v>
      </c>
      <c r="L7687" s="1" t="str">
        <f t="shared" si="487"/>
        <v>ㄩ</v>
      </c>
      <c r="N7687" s="3" t="s">
        <v>30576</v>
      </c>
      <c r="O7687" s="3"/>
      <c r="P7687" s="1" t="s">
        <v>20</v>
      </c>
      <c r="R7687" s="1" t="s">
        <v>14428</v>
      </c>
      <c r="V7687" s="1" t="s">
        <v>14438</v>
      </c>
      <c r="AR7687" s="1" t="str">
        <f t="shared" si="485"/>
        <v>| [ㄐㄩˇ](ㄐㄩˇ.md) | [弆](弆.md) |  | jǔ | [動]
收藏、密藏。《廣韻．上聲．語韻》：「弆，藏也。」《金史．卷四八．食貨志三》：「其弆藏應禁器物，首納者每斤給錢百文。」《清史稿．卷五〇七．疇人傳二．李潢傳》：「自是天下之習九章者，莫不家弆一編，奉為圭臬。」 |</v>
      </c>
    </row>
    <row r="7688" spans="1:44" hidden="1">
      <c r="A7688" s="1" t="s">
        <v>14439</v>
      </c>
      <c r="C7688" s="1">
        <v>1</v>
      </c>
      <c r="D7688" s="1" t="str">
        <f>"06017"</f>
        <v>06017</v>
      </c>
      <c r="E7688" s="1" t="s">
        <v>139</v>
      </c>
      <c r="F7688" s="1">
        <v>9</v>
      </c>
      <c r="G7688" s="1">
        <v>5</v>
      </c>
      <c r="H7688" s="1">
        <v>1</v>
      </c>
      <c r="I7688" s="1" t="s">
        <v>14427</v>
      </c>
      <c r="K7688" s="1" t="str">
        <f t="shared" si="486"/>
        <v>ㄐ</v>
      </c>
      <c r="L7688" s="1" t="str">
        <f t="shared" si="487"/>
        <v>ㄩ</v>
      </c>
      <c r="N7688" s="3" t="s">
        <v>30576</v>
      </c>
      <c r="O7688" s="3"/>
      <c r="P7688" s="1" t="s">
        <v>20</v>
      </c>
      <c r="R7688" s="1" t="s">
        <v>14428</v>
      </c>
      <c r="V7688" s="1" t="s">
        <v>14440</v>
      </c>
      <c r="W7688" s="1" t="s">
        <v>14441</v>
      </c>
      <c r="AR7688" s="1" t="str">
        <f t="shared" si="485"/>
        <v>| [ㄐㄩˇ](ㄐㄩˇ.md) | [柜](柜.md) |  | jǔ | 同「櫸」。 |</v>
      </c>
    </row>
    <row r="7689" spans="1:44" hidden="1">
      <c r="A7689" s="1" t="s">
        <v>14442</v>
      </c>
      <c r="C7689" s="1">
        <v>1</v>
      </c>
      <c r="D7689" s="1" t="str">
        <f>"06018"</f>
        <v>06018</v>
      </c>
      <c r="E7689" s="1" t="s">
        <v>122</v>
      </c>
      <c r="F7689" s="1">
        <v>10</v>
      </c>
      <c r="G7689" s="1">
        <v>5</v>
      </c>
      <c r="H7689" s="1">
        <v>0</v>
      </c>
      <c r="I7689" s="1" t="s">
        <v>14427</v>
      </c>
      <c r="K7689" s="1" t="str">
        <f t="shared" si="486"/>
        <v>ㄐ</v>
      </c>
      <c r="L7689" s="1" t="str">
        <f t="shared" si="487"/>
        <v>ㄩ</v>
      </c>
      <c r="N7689" s="3" t="s">
        <v>30576</v>
      </c>
      <c r="O7689" s="3"/>
      <c r="P7689" s="1" t="s">
        <v>20</v>
      </c>
      <c r="R7689" s="1" t="s">
        <v>14428</v>
      </c>
      <c r="V7689" s="1" t="s">
        <v>14443</v>
      </c>
      <c r="AR7689" s="1" t="str">
        <f t="shared" si="485"/>
        <v>| [ㄐㄩˇ](ㄐㄩˇ.md) | [矩](矩.md) |  | jǔ | [名]
1.畫方形或直角的器具。即曲尺。《荀子．不苟》：「五寸之矩，盡天下之方也。」唐．楊倞．注：「矩，正方之器也。」唐．白居易〈同微之贈別郭虛舟鍊師五十韻〉：「泥壇方合矩，鑄鼎圓中規。」
2.方形。《六韜．卷四．虎韜．軍用》：「天浮鐵螳螂，矩內圓外，徑四尺以上。」《呂氏春秋．季冬紀．序意》：「爰有大圜在上，大矩在下。」
3.法則、常規。如：「循規蹈矩」。《論語．為政》：「七十而從心所欲，不踰矩。」 |</v>
      </c>
    </row>
    <row r="7690" spans="1:44" hidden="1">
      <c r="A7690" s="1" t="s">
        <v>9785</v>
      </c>
      <c r="C7690" s="1">
        <v>1</v>
      </c>
      <c r="D7690" s="1" t="str">
        <f>"06019"</f>
        <v>06019</v>
      </c>
      <c r="E7690" s="1" t="s">
        <v>139</v>
      </c>
      <c r="F7690" s="1">
        <v>9</v>
      </c>
      <c r="G7690" s="1">
        <v>5</v>
      </c>
      <c r="H7690" s="1">
        <v>2</v>
      </c>
      <c r="I7690" s="1" t="s">
        <v>14427</v>
      </c>
      <c r="K7690" s="1" t="str">
        <f t="shared" si="486"/>
        <v>ㄐ</v>
      </c>
      <c r="L7690" s="1" t="str">
        <f t="shared" si="487"/>
        <v>ㄩ</v>
      </c>
      <c r="N7690" s="3" t="s">
        <v>30576</v>
      </c>
      <c r="O7690" s="3"/>
      <c r="P7690" s="1" t="s">
        <v>20</v>
      </c>
      <c r="R7690" s="1" t="s">
        <v>14428</v>
      </c>
      <c r="V7690" s="1" t="s">
        <v>14444</v>
      </c>
      <c r="W7690" s="1" t="s">
        <v>14445</v>
      </c>
      <c r="AR7690" s="1" t="str">
        <f t="shared" si="485"/>
        <v>| [ㄐㄩˇ](ㄐㄩˇ.md) | [枸](枸.md) |  | jǔ | 參見「枸櫞」條。 |</v>
      </c>
    </row>
    <row r="7691" spans="1:44" hidden="1">
      <c r="A7691" s="1" t="s">
        <v>14446</v>
      </c>
      <c r="C7691" s="1">
        <v>1</v>
      </c>
      <c r="D7691" s="1" t="str">
        <f>"06020"</f>
        <v>06020</v>
      </c>
      <c r="E7691" s="1" t="s">
        <v>5784</v>
      </c>
      <c r="F7691" s="1">
        <v>10</v>
      </c>
      <c r="G7691" s="1">
        <v>5</v>
      </c>
      <c r="H7691" s="1">
        <v>0</v>
      </c>
      <c r="I7691" s="1" t="s">
        <v>14427</v>
      </c>
      <c r="K7691" s="1" t="str">
        <f t="shared" si="486"/>
        <v>ㄐ</v>
      </c>
      <c r="L7691" s="1" t="str">
        <f t="shared" si="487"/>
        <v>ㄩ</v>
      </c>
      <c r="N7691" s="3" t="s">
        <v>30576</v>
      </c>
      <c r="O7691" s="3"/>
      <c r="P7691" s="1" t="s">
        <v>20</v>
      </c>
      <c r="R7691" s="1" t="s">
        <v>14428</v>
      </c>
      <c r="V7691" s="1" t="s">
        <v>14447</v>
      </c>
      <c r="AR7691" s="1" t="str">
        <f t="shared" si="485"/>
        <v>| [ㄐㄩˇ](ㄐㄩˇ.md) | [竘](竘.md) |  | jǔ | [副]
健壯、雄壯。《說文解字．立部》：「竘，健也。」《淮南子．人間》：「受令而為室，其始成。竘然善也。」漢．高誘．注：「竘，高壯貌。」 |</v>
      </c>
    </row>
    <row r="7692" spans="1:44" hidden="1">
      <c r="A7692" s="1" t="s">
        <v>14448</v>
      </c>
      <c r="C7692" s="1">
        <v>1</v>
      </c>
      <c r="D7692" s="1" t="str">
        <f>"06021"</f>
        <v>06021</v>
      </c>
      <c r="E7692" s="1" t="s">
        <v>37</v>
      </c>
      <c r="F7692" s="1">
        <v>14</v>
      </c>
      <c r="G7692" s="1">
        <v>10</v>
      </c>
      <c r="H7692" s="1">
        <v>0</v>
      </c>
      <c r="I7692" s="1" t="s">
        <v>14427</v>
      </c>
      <c r="K7692" s="1" t="str">
        <f t="shared" si="486"/>
        <v>ㄐ</v>
      </c>
      <c r="L7692" s="1" t="str">
        <f t="shared" si="487"/>
        <v>ㄩ</v>
      </c>
      <c r="N7692" s="3" t="s">
        <v>30576</v>
      </c>
      <c r="O7692" s="3"/>
      <c r="P7692" s="1" t="s">
        <v>20</v>
      </c>
      <c r="R7692" s="1" t="s">
        <v>14428</v>
      </c>
      <c r="V7692" s="1" t="s">
        <v>14449</v>
      </c>
      <c r="AR7692" s="1" t="str">
        <f t="shared" si="485"/>
        <v>| [ㄐㄩˇ](ㄐㄩˇ.md) | [蒟](蒟.md) |  | jǔ | [名]
參見「蒟蒻」、「蒟醬」等條。 |</v>
      </c>
    </row>
    <row r="7693" spans="1:44" hidden="1">
      <c r="A7693" s="1" t="s">
        <v>14450</v>
      </c>
      <c r="C7693" s="1">
        <v>1</v>
      </c>
      <c r="D7693" s="1" t="str">
        <f>"06022"</f>
        <v>06022</v>
      </c>
      <c r="E7693" s="1" t="s">
        <v>37</v>
      </c>
      <c r="F7693" s="1">
        <v>11</v>
      </c>
      <c r="G7693" s="1">
        <v>7</v>
      </c>
      <c r="H7693" s="1">
        <v>0</v>
      </c>
      <c r="I7693" s="1" t="s">
        <v>14427</v>
      </c>
      <c r="K7693" s="1" t="str">
        <f t="shared" si="486"/>
        <v>ㄐ</v>
      </c>
      <c r="L7693" s="1" t="str">
        <f t="shared" si="487"/>
        <v>ㄩ</v>
      </c>
      <c r="N7693" s="3" t="s">
        <v>30576</v>
      </c>
      <c r="O7693" s="3"/>
      <c r="P7693" s="1" t="s">
        <v>20</v>
      </c>
      <c r="R7693" s="1" t="s">
        <v>14428</v>
      </c>
      <c r="V7693" s="1" t="s">
        <v>14451</v>
      </c>
      <c r="AR7693" s="1" t="str">
        <f t="shared" si="485"/>
        <v>| [ㄐㄩˇ](ㄐㄩˇ.md) | [莒](莒.md) |  | jǔ | [名]
1.芋頭。《說文解字．艸部》：「莒，齊謂芋為莒。」
2.國名。春秋時的國家，嬴姓。為少昊氏之後，在今大陸地區山東省莒縣。 |</v>
      </c>
    </row>
    <row r="7694" spans="1:44" hidden="1">
      <c r="A7694" s="1" t="s">
        <v>14452</v>
      </c>
      <c r="C7694" s="1">
        <v>1</v>
      </c>
      <c r="D7694" s="1" t="str">
        <f>"06023"</f>
        <v>06023</v>
      </c>
      <c r="E7694" s="1" t="s">
        <v>49</v>
      </c>
      <c r="F7694" s="1">
        <v>13</v>
      </c>
      <c r="G7694" s="1">
        <v>7</v>
      </c>
      <c r="H7694" s="1">
        <v>0</v>
      </c>
      <c r="I7694" s="1" t="s">
        <v>14427</v>
      </c>
      <c r="K7694" s="1" t="str">
        <f t="shared" si="486"/>
        <v>ㄐ</v>
      </c>
      <c r="L7694" s="1" t="str">
        <f t="shared" si="487"/>
        <v>ㄩ</v>
      </c>
      <c r="N7694" s="3" t="s">
        <v>30576</v>
      </c>
      <c r="O7694" s="3"/>
      <c r="P7694" s="1" t="s">
        <v>20</v>
      </c>
      <c r="R7694" s="1" t="s">
        <v>14428</v>
      </c>
      <c r="V7694" s="1" t="s">
        <v>14453</v>
      </c>
      <c r="AR7694" s="1" t="str">
        <f t="shared" si="485"/>
        <v>| [ㄐㄩˇ](ㄐㄩˇ.md) | [筥](筥.md) |  | jǔ | [名]
盛米飯的圓形竹器。《詩經．召南．采蘋》：「于以盛之，維筐及筥。」漢．毛亨．傳：「方曰筐，圓曰筥。」 |</v>
      </c>
    </row>
    <row r="7695" spans="1:44" hidden="1">
      <c r="A7695" s="1" t="s">
        <v>14454</v>
      </c>
      <c r="C7695" s="1">
        <v>1</v>
      </c>
      <c r="D7695" s="1" t="str">
        <f>"06024"</f>
        <v>06024</v>
      </c>
      <c r="E7695" s="1" t="s">
        <v>139</v>
      </c>
      <c r="F7695" s="1">
        <v>12</v>
      </c>
      <c r="G7695" s="1">
        <v>8</v>
      </c>
      <c r="H7695" s="1">
        <v>0</v>
      </c>
      <c r="I7695" s="1" t="s">
        <v>14427</v>
      </c>
      <c r="K7695" s="1" t="str">
        <f t="shared" si="486"/>
        <v>ㄐ</v>
      </c>
      <c r="L7695" s="1" t="str">
        <f t="shared" si="487"/>
        <v>ㄩ</v>
      </c>
      <c r="N7695" s="3" t="s">
        <v>30576</v>
      </c>
      <c r="O7695" s="3"/>
      <c r="P7695" s="1" t="s">
        <v>20</v>
      </c>
      <c r="R7695" s="1" t="s">
        <v>14428</v>
      </c>
      <c r="V7695" s="1" t="s">
        <v>14455</v>
      </c>
      <c r="AR7695" s="1" t="str">
        <f t="shared" si="485"/>
        <v>| [ㄐㄩˇ](ㄐㄩˇ.md) | [椇](椇.md) |  | jǔ | [名]
1.枳椇：植物名。鼠李科枳椇屬，落葉喬木。樹皮灰色，葉互生，闊卵形，有鋸齒。核果球形，具短梗。果肉紅棕色，味甘美，供食用，亦可釀酒，俗稱為「拐棗」。果實含蘋果酸鉀及葡萄糖，為清涼利尿劑。椇木材質頗佳，可供建築及精緻家具等用途。
2.殷商時代放置祭品的禮器。《禮記．明堂位》：「殷以椇，周以房俎。」 |</v>
      </c>
    </row>
    <row r="7696" spans="1:44" hidden="1">
      <c r="A7696" s="1" t="s">
        <v>14456</v>
      </c>
      <c r="C7696" s="1">
        <v>1</v>
      </c>
      <c r="D7696" s="1" t="str">
        <f>"06025"</f>
        <v>06025</v>
      </c>
      <c r="E7696" s="1" t="s">
        <v>37</v>
      </c>
      <c r="F7696" s="1">
        <v>13</v>
      </c>
      <c r="G7696" s="1">
        <v>9</v>
      </c>
      <c r="H7696" s="1">
        <v>2</v>
      </c>
      <c r="I7696" s="1" t="s">
        <v>14427</v>
      </c>
      <c r="K7696" s="1" t="str">
        <f t="shared" si="486"/>
        <v>ㄐ</v>
      </c>
      <c r="L7696" s="1" t="str">
        <f t="shared" si="487"/>
        <v>ㄩ</v>
      </c>
      <c r="N7696" s="3" t="s">
        <v>30576</v>
      </c>
      <c r="O7696" s="3"/>
      <c r="P7696" s="1" t="s">
        <v>20</v>
      </c>
      <c r="R7696" s="1" t="s">
        <v>14428</v>
      </c>
      <c r="V7696" s="1" t="s">
        <v>14457</v>
      </c>
      <c r="W7696" s="1" t="s">
        <v>14458</v>
      </c>
      <c r="AR7696" s="1" t="str">
        <f t="shared" si="485"/>
        <v>| [ㄐㄩˇ](ㄐㄩˇ.md) | [萭](萭.md) |  | jǔ | [名]
端正車輪的工具。《集韻．上聲．語韻》：「萭，所以正車輪者。」 |</v>
      </c>
    </row>
    <row r="7697" spans="1:44" hidden="1">
      <c r="A7697" s="1" t="s">
        <v>14459</v>
      </c>
      <c r="C7697" s="1">
        <v>1</v>
      </c>
      <c r="D7697" s="1" t="str">
        <f>"06026"</f>
        <v>06026</v>
      </c>
      <c r="E7697" s="1" t="s">
        <v>77</v>
      </c>
      <c r="F7697" s="1">
        <v>16</v>
      </c>
      <c r="G7697" s="1">
        <v>9</v>
      </c>
      <c r="H7697" s="1">
        <v>0</v>
      </c>
      <c r="I7697" s="1" t="s">
        <v>14427</v>
      </c>
      <c r="K7697" s="1" t="str">
        <f t="shared" si="486"/>
        <v>ㄐ</v>
      </c>
      <c r="L7697" s="1" t="str">
        <f t="shared" si="487"/>
        <v>ㄩ</v>
      </c>
      <c r="N7697" s="3" t="s">
        <v>30576</v>
      </c>
      <c r="O7697" s="3"/>
      <c r="P7697" s="1" t="s">
        <v>20</v>
      </c>
      <c r="R7697" s="1" t="s">
        <v>14428</v>
      </c>
      <c r="V7697" s="1" t="s">
        <v>14460</v>
      </c>
      <c r="AR7697" s="1" t="str">
        <f t="shared" si="485"/>
        <v>| [ㄐㄩˇ](ㄐㄩˇ.md) | [踽](踽.md) |  | jǔ | 參見「踽僂」、「踽踽」等條。 |</v>
      </c>
    </row>
    <row r="7698" spans="1:44" hidden="1">
      <c r="A7698" s="1" t="s">
        <v>14461</v>
      </c>
      <c r="C7698" s="1">
        <v>1</v>
      </c>
      <c r="D7698" s="1" t="str">
        <f>"06027"</f>
        <v>06027</v>
      </c>
      <c r="E7698" s="1" t="s">
        <v>13771</v>
      </c>
      <c r="F7698" s="1">
        <v>17</v>
      </c>
      <c r="G7698" s="1">
        <v>10</v>
      </c>
      <c r="H7698" s="1">
        <v>0</v>
      </c>
      <c r="I7698" s="1" t="s">
        <v>14427</v>
      </c>
      <c r="K7698" s="1" t="str">
        <f t="shared" si="486"/>
        <v>ㄐ</v>
      </c>
      <c r="L7698" s="1" t="str">
        <f t="shared" si="487"/>
        <v>ㄩ</v>
      </c>
      <c r="N7698" s="3" t="s">
        <v>30576</v>
      </c>
      <c r="O7698" s="3"/>
      <c r="P7698" s="1" t="s">
        <v>20</v>
      </c>
      <c r="R7698" s="1" t="s">
        <v>14428</v>
      </c>
      <c r="V7698" s="1" t="s">
        <v>14462</v>
      </c>
      <c r="AR7698" s="1" t="str">
        <f t="shared" si="485"/>
        <v>| [ㄐㄩˇ](ㄐㄩˇ.md) | [舉](舉.md) |  | jǔ | [動]_x000D_
1.扛起、抬起、往上托。如：「舉手」、「高舉」。《孟子．梁惠王上》：「吾力足以舉百鈞。」唐．李白〈靜夜思〉詩：「舉頭望明月。」_x000D_
2.推薦、推選。如：「推舉」、「選舉」。《論語．衛靈公》：「君子不以言舉人，不以人廢言。」《孟子．告子下》：「傅說舉於版築之間。」_x000D_
3.提出。如：「列舉」、「檢舉」、「舉例說明」。《論語．述而》：「舉一隅不以三隅反。」宋．陸游〈山園雜詠〉詩：「汗青事業都忘盡，時賴吾兒舉話端。」_x000D_
4.興起、發動。如：「舉義」、「百廢待舉」。《文苑英華．卷六五．唐．王起．垓下楚歌賦》：「弱冠舉兵，霸世之名則振；窮途敗績，拔山之力空多。」明．劉基〈杭州富陽縣重修文廟學宮記〉：「明年六月，百廢備舉，廟有新室，學有新舍，教官有廳，文昌有祠。」_x000D_
5.飛。漢．張衡〈西京賦〉：「鳥不暇舉，獸不得發。」宋．蘇軾〈漁父．漁父笑〉詞：「漁父笑，輕鷗舉。漠漠一江風雨。」_x000D_
6.生育。如：「一舉得男」。宋．黃庭堅〈嘲小德〉詩：「中年舉兒子，漫種老生涯。」_x000D_
7.撫養。《史記．卷七五．孟嘗君列傳》：「文以五月五日生，嬰告其母曰：『勿舉也。』」漢．劉向《古列女傳．卷八．趙飛燕姊娣》：「飛燕初生，父母不舉，三日不死，乃收養之。」_x000D_
[名]_x000D_
1.行為、動作。如：「壯舉」、「義舉」、「善舉」、「一舉一動」。_x000D_
2.舉人的簡稱。如：「武舉」、「中舉」。_x000D_
[形]_x000D_
全部的、整個的。如：「舉世公認」、「舉國歡騰」。《太平廣記．卷一四．許眞君》引《十二眞君傳》：「舉家四十二口，拔宅上昇而去。」《續傳燈錄．卷二五．淨因繼成禪師》：「茫茫盡是覓佛漢，舉世難尋閑道人；棒喝交馳成藥忌，了忘藥忌未天真。」 |</v>
      </c>
    </row>
    <row r="7699" spans="1:44" hidden="1">
      <c r="A7699" s="1" t="s">
        <v>14463</v>
      </c>
      <c r="C7699" s="1">
        <v>1</v>
      </c>
      <c r="D7699" s="1" t="str">
        <f>"06028"</f>
        <v>06028</v>
      </c>
      <c r="E7699" s="1" t="s">
        <v>139</v>
      </c>
      <c r="F7699" s="1">
        <v>21</v>
      </c>
      <c r="G7699" s="1">
        <v>17</v>
      </c>
      <c r="H7699" s="1">
        <v>0</v>
      </c>
      <c r="I7699" s="1" t="s">
        <v>14427</v>
      </c>
      <c r="K7699" s="1" t="str">
        <f t="shared" si="486"/>
        <v>ㄐ</v>
      </c>
      <c r="L7699" s="1" t="str">
        <f t="shared" si="487"/>
        <v>ㄩ</v>
      </c>
      <c r="N7699" s="3" t="s">
        <v>30576</v>
      </c>
      <c r="O7699" s="3"/>
      <c r="P7699" s="1" t="s">
        <v>20</v>
      </c>
      <c r="R7699" s="1" t="s">
        <v>14428</v>
      </c>
      <c r="V7699" s="1" t="s">
        <v>14464</v>
      </c>
      <c r="AR7699" s="1" t="str">
        <f t="shared" si="485"/>
        <v>| [ㄐㄩˇ](ㄐㄩˇ.md) | [櫸](櫸.md) |  | jǔ | [名]_x000D_
植物名。榆科櫸屬，「櫸木」之簡稱，參見「櫸木」條。 |</v>
      </c>
    </row>
    <row r="7700" spans="1:44" hidden="1">
      <c r="A7700" s="1" t="s">
        <v>14465</v>
      </c>
      <c r="C7700" s="1">
        <v>1</v>
      </c>
      <c r="D7700" s="1" t="str">
        <f>"06029"</f>
        <v>06029</v>
      </c>
      <c r="E7700" s="1" t="s">
        <v>49</v>
      </c>
      <c r="F7700" s="1">
        <v>23</v>
      </c>
      <c r="G7700" s="1">
        <v>17</v>
      </c>
      <c r="H7700" s="1">
        <v>2</v>
      </c>
      <c r="I7700" s="1" t="s">
        <v>14427</v>
      </c>
      <c r="K7700" s="1" t="str">
        <f t="shared" si="486"/>
        <v>ㄐ</v>
      </c>
      <c r="L7700" s="1" t="str">
        <f t="shared" si="487"/>
        <v>ㄩ</v>
      </c>
      <c r="N7700" s="3" t="s">
        <v>30576</v>
      </c>
      <c r="O7700" s="3"/>
      <c r="P7700" s="1" t="s">
        <v>20</v>
      </c>
      <c r="R7700" s="1" t="s">
        <v>14428</v>
      </c>
      <c r="V7700" s="1" t="s">
        <v>14466</v>
      </c>
      <c r="W7700" s="1" t="s">
        <v>14467</v>
      </c>
      <c r="AR7700" s="1" t="str">
        <f t="shared" si="485"/>
        <v>| [ㄐㄩˇ](ㄐㄩˇ.md) | [籧](籧.md) |  | jǔ | [名]
養蠶用的器具。《禮記．月令》：「具曲植籧筐。」漢．鄭玄．注：「時所以養蠶器也。」 |</v>
      </c>
    </row>
    <row r="7701" spans="1:44" hidden="1">
      <c r="A7701" s="1" t="s">
        <v>14856</v>
      </c>
      <c r="C7701" s="1">
        <v>1</v>
      </c>
      <c r="D7701" s="1" t="str">
        <f>"06202"</f>
        <v>06202</v>
      </c>
      <c r="E7701" s="1" t="s">
        <v>789</v>
      </c>
      <c r="F7701" s="1">
        <v>2</v>
      </c>
      <c r="G7701" s="1">
        <v>1</v>
      </c>
      <c r="H7701" s="1">
        <v>0</v>
      </c>
      <c r="I7701" s="1" t="s">
        <v>14857</v>
      </c>
      <c r="K7701" s="1" t="str">
        <f t="shared" si="486"/>
        <v>ㄑ</v>
      </c>
      <c r="L7701" s="1" t="str">
        <f t="shared" si="487"/>
        <v>ㄧ</v>
      </c>
      <c r="M7701" s="1" t="str">
        <f t="shared" ref="M7701:M7764" si="488">MID(I7701, 3, 1)</f>
        <v/>
      </c>
      <c r="P7701" s="1" t="s">
        <v>20</v>
      </c>
      <c r="R7701" s="1" t="s">
        <v>14858</v>
      </c>
      <c r="V7701" s="1" t="s">
        <v>14859</v>
      </c>
      <c r="AR7701" s="1" t="str">
        <f t="shared" si="485"/>
        <v>| [ㄑㄧ](ㄑㄧ.md) | [七](七.md) |  | qī | [名]
1.介於六與八之間的自然數。大寫作「柒」，阿拉伯數字作「7」。
2.文體名。參見「七體」條。
3.民俗稱喪事每七日設奠一次為「作七」，由頭七到尾七共需進行七次，稱為「七七」。《北史．卷八一．儒林傳上．孫惠蔚傳》：「從綽死後，每至七日至百日，靈暉恆為綽請僧設齋行道。」《喻世明言．卷一〇．滕大尹鬼斷家私》：「善繼只是點名應客，全無哀痛之意，七中便擇日安葬。」
（「七」字通常讀為陰平，惟口語中連用在去聲字及輕聲字之前時讀為陽平，如：「七月」、「七個」。） |</v>
      </c>
    </row>
    <row r="7702" spans="1:44" hidden="1">
      <c r="A7702" s="1" t="s">
        <v>14860</v>
      </c>
      <c r="C7702" s="1">
        <v>1</v>
      </c>
      <c r="D7702" s="1" t="str">
        <f>"06203"</f>
        <v>06203</v>
      </c>
      <c r="E7702" s="1" t="s">
        <v>129</v>
      </c>
      <c r="F7702" s="1">
        <v>7</v>
      </c>
      <c r="G7702" s="1">
        <v>4</v>
      </c>
      <c r="H7702" s="1">
        <v>1</v>
      </c>
      <c r="I7702" s="1" t="s">
        <v>14857</v>
      </c>
      <c r="K7702" s="1" t="str">
        <f t="shared" si="486"/>
        <v>ㄑ</v>
      </c>
      <c r="L7702" s="1" t="str">
        <f t="shared" si="487"/>
        <v>ㄧ</v>
      </c>
      <c r="M7702" s="1" t="str">
        <f t="shared" si="488"/>
        <v/>
      </c>
      <c r="P7702" s="1" t="s">
        <v>20</v>
      </c>
      <c r="R7702" s="1" t="s">
        <v>14858</v>
      </c>
      <c r="V7702" s="1" t="s">
        <v>14861</v>
      </c>
      <c r="W7702" s="1" t="s">
        <v>14862</v>
      </c>
      <c r="AR7702" s="1" t="str">
        <f t="shared" si="485"/>
        <v>| [ㄑㄧ](ㄑㄧ.md) | [沏](沏.md) |  | qī | [動]
用熱水沖泡。如：「沏茶」。 |</v>
      </c>
    </row>
    <row r="7703" spans="1:44" hidden="1">
      <c r="A7703" s="1" t="s">
        <v>14863</v>
      </c>
      <c r="C7703" s="1">
        <v>1</v>
      </c>
      <c r="D7703" s="1" t="str">
        <f>"06204"</f>
        <v>06204</v>
      </c>
      <c r="E7703" s="1" t="s">
        <v>139</v>
      </c>
      <c r="F7703" s="1">
        <v>9</v>
      </c>
      <c r="G7703" s="1">
        <v>5</v>
      </c>
      <c r="H7703" s="1">
        <v>0</v>
      </c>
      <c r="I7703" s="1" t="s">
        <v>14857</v>
      </c>
      <c r="K7703" s="1" t="str">
        <f t="shared" si="486"/>
        <v>ㄑ</v>
      </c>
      <c r="L7703" s="1" t="str">
        <f t="shared" si="487"/>
        <v>ㄧ</v>
      </c>
      <c r="M7703" s="1" t="str">
        <f t="shared" si="488"/>
        <v/>
      </c>
      <c r="P7703" s="1" t="s">
        <v>20</v>
      </c>
      <c r="R7703" s="1" t="s">
        <v>14858</v>
      </c>
      <c r="V7703" s="1" t="s">
        <v>14864</v>
      </c>
      <c r="AR7703" s="1" t="str">
        <f t="shared" si="485"/>
        <v>| [ㄑㄧ](ㄑㄧ.md) | [柒](柒.md) |  | qī | [名]
1.七的大寫。
2.姓。如明代有柒文倫。 |</v>
      </c>
    </row>
    <row r="7704" spans="1:44" hidden="1">
      <c r="A7704" s="1" t="s">
        <v>14865</v>
      </c>
      <c r="C7704" s="1">
        <v>1</v>
      </c>
      <c r="D7704" s="1" t="str">
        <f>"06205"</f>
        <v>06205</v>
      </c>
      <c r="E7704" s="1" t="s">
        <v>534</v>
      </c>
      <c r="F7704" s="1">
        <v>8</v>
      </c>
      <c r="G7704" s="1">
        <v>5</v>
      </c>
      <c r="H7704" s="1">
        <v>1</v>
      </c>
      <c r="I7704" s="1" t="s">
        <v>14857</v>
      </c>
      <c r="K7704" s="1" t="str">
        <f t="shared" si="486"/>
        <v>ㄑ</v>
      </c>
      <c r="L7704" s="1" t="str">
        <f t="shared" si="487"/>
        <v>ㄧ</v>
      </c>
      <c r="M7704" s="1" t="str">
        <f t="shared" si="488"/>
        <v/>
      </c>
      <c r="P7704" s="1" t="s">
        <v>20</v>
      </c>
      <c r="R7704" s="1" t="s">
        <v>14858</v>
      </c>
      <c r="V7704" s="1" t="s">
        <v>14866</v>
      </c>
      <c r="W7704" s="1" t="s">
        <v>14867</v>
      </c>
      <c r="AR7704" s="1" t="str">
        <f t="shared" si="485"/>
        <v>| [ㄑㄧ](ㄑㄧ.md) | [妻](妻.md) |  | qī | [名]
男子的正式配偶稱為「妻」。如：「夫妻」、「妻離子散」。《後漢書．卷二六．宋弘傳》：「臣聞貧賤之知不可忘，糟糠之妻不下堂。」 |</v>
      </c>
    </row>
    <row r="7705" spans="1:44" hidden="1">
      <c r="A7705" s="1" t="s">
        <v>14868</v>
      </c>
      <c r="C7705" s="1">
        <v>1</v>
      </c>
      <c r="D7705" s="1" t="str">
        <f>"06206"</f>
        <v>06206</v>
      </c>
      <c r="E7705" s="1" t="s">
        <v>129</v>
      </c>
      <c r="F7705" s="1">
        <v>11</v>
      </c>
      <c r="G7705" s="1">
        <v>8</v>
      </c>
      <c r="H7705" s="1">
        <v>0</v>
      </c>
      <c r="I7705" s="1" t="s">
        <v>14857</v>
      </c>
      <c r="K7705" s="1" t="str">
        <f t="shared" si="486"/>
        <v>ㄑ</v>
      </c>
      <c r="L7705" s="1" t="str">
        <f t="shared" si="487"/>
        <v>ㄧ</v>
      </c>
      <c r="M7705" s="1" t="str">
        <f t="shared" si="488"/>
        <v/>
      </c>
      <c r="P7705" s="1" t="s">
        <v>20</v>
      </c>
      <c r="R7705" s="1" t="s">
        <v>14858</v>
      </c>
      <c r="V7705" s="1" t="s">
        <v>14869</v>
      </c>
      <c r="AR7705" s="1" t="str">
        <f t="shared" si="485"/>
        <v>| [ㄑㄧ](ㄑㄧ.md) | [淒](淒.md) |  | qī | [形]
1.雲雨興起的樣子。《說文解字．水部》：「淒，雨雲起也。」
2.寒冷。如：「淒風苦雨」。《詩經．邶風．綠衣》：「絺兮綌兮，淒其以風。」唐．陸海〈題奉國寺〉詩：「新秋夜何爽，露下風轉淒。」
3.悲傷。通「悽」。唐．李白〈折楊柳〉詩：「美人結長想，對此心淒然。」清．洪昇《長生殿》第二六齣：「淒涼，帶麩連麥，這飯兒如何入嗓？」 |</v>
      </c>
    </row>
    <row r="7706" spans="1:44" hidden="1">
      <c r="A7706" s="1" t="s">
        <v>14870</v>
      </c>
      <c r="C7706" s="1">
        <v>1</v>
      </c>
      <c r="D7706" s="1" t="str">
        <f>"06207"</f>
        <v>06207</v>
      </c>
      <c r="E7706" s="1" t="s">
        <v>250</v>
      </c>
      <c r="F7706" s="1">
        <v>11</v>
      </c>
      <c r="G7706" s="1">
        <v>8</v>
      </c>
      <c r="H7706" s="1">
        <v>0</v>
      </c>
      <c r="I7706" s="1" t="s">
        <v>14857</v>
      </c>
      <c r="K7706" s="1" t="str">
        <f t="shared" si="486"/>
        <v>ㄑ</v>
      </c>
      <c r="L7706" s="1" t="str">
        <f t="shared" si="487"/>
        <v>ㄧ</v>
      </c>
      <c r="M7706" s="1" t="str">
        <f t="shared" si="488"/>
        <v/>
      </c>
      <c r="P7706" s="1" t="s">
        <v>20</v>
      </c>
      <c r="R7706" s="1" t="s">
        <v>14858</v>
      </c>
      <c r="V7706" s="1" t="s">
        <v>14871</v>
      </c>
      <c r="AR7706" s="1" t="str">
        <f t="shared" si="485"/>
        <v>| [ㄑㄧ](ㄑㄧ.md) | [悽](悽.md) |  | qī | [形]
悲傷、悲痛。《說文解字．心部》：「悽，痛也。」如：「悽慘」、「悲悽」。《楚辭．屈原．遠遊》：「意荒忽而流蕩兮，心愁悽而增悲。」《文選．江淹．別賦》：「是以行子腸斷，百感悽惻。」 |</v>
      </c>
    </row>
    <row r="7707" spans="1:44" hidden="1">
      <c r="A7707" s="1" t="s">
        <v>14872</v>
      </c>
      <c r="C7707" s="1">
        <v>1</v>
      </c>
      <c r="D7707" s="1" t="str">
        <f>"06208"</f>
        <v>06208</v>
      </c>
      <c r="E7707" s="1" t="s">
        <v>256</v>
      </c>
      <c r="F7707" s="1">
        <v>11</v>
      </c>
      <c r="G7707" s="1">
        <v>8</v>
      </c>
      <c r="H7707" s="1">
        <v>0</v>
      </c>
      <c r="I7707" s="1" t="s">
        <v>14857</v>
      </c>
      <c r="K7707" s="1" t="str">
        <f t="shared" si="486"/>
        <v>ㄑ</v>
      </c>
      <c r="L7707" s="1" t="str">
        <f t="shared" si="487"/>
        <v>ㄧ</v>
      </c>
      <c r="M7707" s="1" t="str">
        <f t="shared" si="488"/>
        <v/>
      </c>
      <c r="P7707" s="1" t="s">
        <v>20</v>
      </c>
      <c r="R7707" s="1" t="s">
        <v>14858</v>
      </c>
      <c r="V7707" s="1" t="s">
        <v>14873</v>
      </c>
      <c r="AR7707" s="1" t="str">
        <f t="shared" si="485"/>
        <v>| [ㄑㄧ](ㄑㄧ.md) | [郪](郪.md) |  | qī | 參見「郪江」條。 |</v>
      </c>
    </row>
    <row r="7708" spans="1:44" hidden="1">
      <c r="A7708" s="1" t="s">
        <v>14874</v>
      </c>
      <c r="C7708" s="1">
        <v>1</v>
      </c>
      <c r="D7708" s="1" t="str">
        <f>"06209"</f>
        <v>06209</v>
      </c>
      <c r="E7708" s="1" t="s">
        <v>139</v>
      </c>
      <c r="F7708" s="1">
        <v>12</v>
      </c>
      <c r="G7708" s="1">
        <v>8</v>
      </c>
      <c r="H7708" s="1">
        <v>1</v>
      </c>
      <c r="I7708" s="1" t="s">
        <v>14857</v>
      </c>
      <c r="K7708" s="1" t="str">
        <f t="shared" si="486"/>
        <v>ㄑ</v>
      </c>
      <c r="L7708" s="1" t="str">
        <f t="shared" si="487"/>
        <v>ㄧ</v>
      </c>
      <c r="M7708" s="1" t="str">
        <f t="shared" si="488"/>
        <v/>
      </c>
      <c r="P7708" s="1" t="s">
        <v>20</v>
      </c>
      <c r="R7708" s="1" t="s">
        <v>14858</v>
      </c>
      <c r="V7708" s="1" t="s">
        <v>14875</v>
      </c>
      <c r="W7708" s="1" t="s">
        <v>14876</v>
      </c>
      <c r="AR7708" s="1" t="str">
        <f t="shared" si="485"/>
        <v>| [ㄑㄧ](ㄑㄧ.md) | [棲](棲.md) |  | qī | [動]_x000D_
1.禽鳥在鳥巢歇息。《詩經．王風．君子于役》：「雞棲于塒，日之夕矣。」唐．崔道融〈江鷗〉詩：「白鳥波上棲，見人懶飛起。」_x000D_
2.居住、停留。如：「棲息」、「棲身之處」、「兩棲動物」。漢．張衡〈西京賦〉：「南翔衡陽，北棲雁門。」《國語．越語上》：「今君王既棲於會稽之上，然後乃求謀臣，無乃後乎？」_x000D_
[名]_x000D_
禽鳥停留、歇宿的地方。晉．潘岳〈寡婦賦〉：「雀群飛而赴楹兮，雞登棲而斂翼。」唐．孟郊〈鴉路溪行呈陸中丞〉詩：「疲馬戀舊秣，羈禽思故棲。」 |</v>
      </c>
    </row>
    <row r="7709" spans="1:44" hidden="1">
      <c r="A7709" s="1" t="s">
        <v>14877</v>
      </c>
      <c r="C7709" s="1">
        <v>1</v>
      </c>
      <c r="D7709" s="1" t="str">
        <f>"06210"</f>
        <v>06210</v>
      </c>
      <c r="E7709" s="1" t="s">
        <v>37</v>
      </c>
      <c r="F7709" s="1">
        <v>12</v>
      </c>
      <c r="G7709" s="1">
        <v>8</v>
      </c>
      <c r="H7709" s="1">
        <v>0</v>
      </c>
      <c r="I7709" s="1" t="s">
        <v>14857</v>
      </c>
      <c r="K7709" s="1" t="str">
        <f t="shared" si="486"/>
        <v>ㄑ</v>
      </c>
      <c r="L7709" s="1" t="str">
        <f t="shared" si="487"/>
        <v>ㄧ</v>
      </c>
      <c r="M7709" s="1" t="str">
        <f t="shared" si="488"/>
        <v/>
      </c>
      <c r="P7709" s="1" t="s">
        <v>20</v>
      </c>
      <c r="R7709" s="1" t="s">
        <v>14858</v>
      </c>
      <c r="V7709" s="1" t="s">
        <v>14878</v>
      </c>
      <c r="AR7709" s="1" t="str">
        <f t="shared" si="485"/>
        <v>| [ㄑㄧ](ㄑㄧ.md) | [萋](萋.md) |  | qī | [形]
草木繁盛的樣子。如：「芳草萋萋」。《詩經．小雅．杕杜》：「卉木萋芷，女心悲止。」《文選．張景陽．雜詩一〇首之一》：「房櫳無行跡，庭草萋以綠。」 |</v>
      </c>
    </row>
    <row r="7710" spans="1:44" hidden="1">
      <c r="A7710" s="1" t="s">
        <v>14879</v>
      </c>
      <c r="C7710" s="1">
        <v>1</v>
      </c>
      <c r="D7710" s="1" t="str">
        <f>"06211"</f>
        <v>06211</v>
      </c>
      <c r="E7710" s="1" t="s">
        <v>139</v>
      </c>
      <c r="F7710" s="1">
        <v>10</v>
      </c>
      <c r="G7710" s="1">
        <v>6</v>
      </c>
      <c r="H7710" s="1">
        <v>2</v>
      </c>
      <c r="I7710" s="1" t="s">
        <v>14857</v>
      </c>
      <c r="K7710" s="1" t="str">
        <f t="shared" si="486"/>
        <v>ㄑ</v>
      </c>
      <c r="L7710" s="1" t="str">
        <f t="shared" si="487"/>
        <v>ㄧ</v>
      </c>
      <c r="M7710" s="1" t="str">
        <f t="shared" si="488"/>
        <v/>
      </c>
      <c r="P7710" s="1" t="s">
        <v>110</v>
      </c>
      <c r="R7710" s="1" t="s">
        <v>14858</v>
      </c>
      <c r="V7710" s="1" t="s">
        <v>111</v>
      </c>
      <c r="W7710" s="1" t="s">
        <v>14880</v>
      </c>
      <c r="AR7710" s="1" t="str">
        <f t="shared" si="485"/>
        <v>| [ㄑㄧ](ㄑㄧ.md) | [栖](栖.md) |  | qī | (一)之又音。 |</v>
      </c>
    </row>
    <row r="7711" spans="1:44" hidden="1">
      <c r="A7711" s="1" t="s">
        <v>14881</v>
      </c>
      <c r="C7711" s="1">
        <v>1</v>
      </c>
      <c r="D7711" s="1" t="str">
        <f>"06212"</f>
        <v>06212</v>
      </c>
      <c r="E7711" s="1" t="s">
        <v>114</v>
      </c>
      <c r="F7711" s="1">
        <v>10</v>
      </c>
      <c r="G7711" s="1">
        <v>8</v>
      </c>
      <c r="H7711" s="1">
        <v>0</v>
      </c>
      <c r="I7711" s="1" t="s">
        <v>14857</v>
      </c>
      <c r="K7711" s="1" t="str">
        <f t="shared" si="486"/>
        <v>ㄑ</v>
      </c>
      <c r="L7711" s="1" t="str">
        <f t="shared" si="487"/>
        <v>ㄧ</v>
      </c>
      <c r="M7711" s="1" t="str">
        <f t="shared" si="488"/>
        <v/>
      </c>
      <c r="P7711" s="1" t="s">
        <v>20</v>
      </c>
      <c r="R7711" s="1" t="s">
        <v>14858</v>
      </c>
      <c r="V7711" s="1" t="s">
        <v>14882</v>
      </c>
      <c r="AR7711" s="1" t="str">
        <f t="shared" si="485"/>
        <v>| [ㄑㄧ](ㄑㄧ.md) | [倛](倛.md) |  | qī | [名]
古代方相驅除疫鬼時所蒙的熊皮面具。《荀子．非相》：「仲尼之狀，面如蒙倛。」唐．楊倞．注：「倛，方相也。其首蒙茸然，故曰蒙倛。」 |</v>
      </c>
    </row>
    <row r="7712" spans="1:44" hidden="1">
      <c r="A7712" s="1" t="s">
        <v>14883</v>
      </c>
      <c r="C7712" s="1">
        <v>1</v>
      </c>
      <c r="D7712" s="1" t="str">
        <f>"06213"</f>
        <v>06213</v>
      </c>
      <c r="E7712" s="1" t="s">
        <v>534</v>
      </c>
      <c r="F7712" s="1">
        <v>11</v>
      </c>
      <c r="G7712" s="1">
        <v>8</v>
      </c>
      <c r="H7712" s="1">
        <v>0</v>
      </c>
      <c r="I7712" s="1" t="s">
        <v>14857</v>
      </c>
      <c r="K7712" s="1" t="str">
        <f t="shared" si="486"/>
        <v>ㄑ</v>
      </c>
      <c r="L7712" s="1" t="str">
        <f t="shared" si="487"/>
        <v>ㄧ</v>
      </c>
      <c r="M7712" s="1" t="str">
        <f t="shared" si="488"/>
        <v/>
      </c>
      <c r="P7712" s="1" t="s">
        <v>20</v>
      </c>
      <c r="R7712" s="1" t="s">
        <v>14858</v>
      </c>
      <c r="V7712" s="1" t="s">
        <v>14884</v>
      </c>
      <c r="AR7712" s="1" t="str">
        <f t="shared" si="485"/>
        <v>| [ㄑㄧ](ㄑㄧ.md) | [娸](娸.md) |  | qī | [動]
醜化。《漢書．卷五一．枚乘傳》：「故其賦有詆，娸東方朔，又自詆娸。」 |</v>
      </c>
    </row>
    <row r="7713" spans="1:44" hidden="1">
      <c r="A7713" s="1" t="s">
        <v>12840</v>
      </c>
      <c r="C7713" s="1">
        <v>1</v>
      </c>
      <c r="D7713" s="1" t="str">
        <f>"06214"</f>
        <v>06214</v>
      </c>
      <c r="E7713" s="1" t="s">
        <v>2014</v>
      </c>
      <c r="F7713" s="1">
        <v>12</v>
      </c>
      <c r="G7713" s="1">
        <v>8</v>
      </c>
      <c r="H7713" s="1">
        <v>2</v>
      </c>
      <c r="I7713" s="1" t="s">
        <v>14857</v>
      </c>
      <c r="K7713" s="1" t="str">
        <f t="shared" si="486"/>
        <v>ㄑ</v>
      </c>
      <c r="L7713" s="1" t="str">
        <f t="shared" si="487"/>
        <v>ㄧ</v>
      </c>
      <c r="M7713" s="1" t="str">
        <f t="shared" si="488"/>
        <v/>
      </c>
      <c r="P7713" s="1" t="s">
        <v>110</v>
      </c>
      <c r="R7713" s="1" t="s">
        <v>14858</v>
      </c>
      <c r="V7713" s="1" t="s">
        <v>111</v>
      </c>
      <c r="W7713" s="1" t="s">
        <v>14885</v>
      </c>
      <c r="AR7713" s="1" t="str">
        <f t="shared" si="485"/>
        <v>| [ㄑㄧ](ㄑㄧ.md) | [期](期.md) |  | qī | (一)之又音。 |</v>
      </c>
    </row>
    <row r="7714" spans="1:44" hidden="1">
      <c r="A7714" s="1" t="s">
        <v>14886</v>
      </c>
      <c r="C7714" s="1">
        <v>1</v>
      </c>
      <c r="D7714" s="1" t="str">
        <f>"06215"</f>
        <v>06215</v>
      </c>
      <c r="E7714" s="1" t="s">
        <v>1908</v>
      </c>
      <c r="F7714" s="1">
        <v>12</v>
      </c>
      <c r="G7714" s="1">
        <v>8</v>
      </c>
      <c r="H7714" s="1">
        <v>0</v>
      </c>
      <c r="I7714" s="1" t="s">
        <v>14857</v>
      </c>
      <c r="K7714" s="1" t="str">
        <f t="shared" si="486"/>
        <v>ㄑ</v>
      </c>
      <c r="L7714" s="1" t="str">
        <f t="shared" si="487"/>
        <v>ㄧ</v>
      </c>
      <c r="M7714" s="1" t="str">
        <f t="shared" si="488"/>
        <v/>
      </c>
      <c r="P7714" s="1" t="s">
        <v>20</v>
      </c>
      <c r="R7714" s="1" t="s">
        <v>14858</v>
      </c>
      <c r="V7714" s="1" t="s">
        <v>14887</v>
      </c>
      <c r="AR7714" s="1" t="str">
        <f t="shared" si="485"/>
        <v>| [ㄑㄧ](ㄑㄧ.md) | [欺](欺.md) |  | qī | [動]
1.詐騙。如：「欺騙」、「詐欺」、「欺世盜名」、「自欺欺人」。《戰國策．秦策一》：「反覆東山之君，從以欺秦。」
2.凌辱、欺負。唐．姚合〈寄王度居士〉詩：「天公與貧病，時輩復輕欺。」《警世通言．卷二五．桂員外途窮懺悔》：「公子倚勢欺人，無所不至。」
3.壓倒、勝過。唐．杜牧〈張好好詩〉：「飄然集仙客，諷賦欺相如。」元．李壽卿《伍員吹簫》第一折：「文欺百里奚，武勝秦姬輦。」 |</v>
      </c>
    </row>
    <row r="7715" spans="1:44" hidden="1">
      <c r="A7715" s="1" t="s">
        <v>14888</v>
      </c>
      <c r="C7715" s="1">
        <v>1</v>
      </c>
      <c r="D7715" s="1" t="str">
        <f>"06216"</f>
        <v>06216</v>
      </c>
      <c r="E7715" s="1" t="s">
        <v>114</v>
      </c>
      <c r="F7715" s="1">
        <v>14</v>
      </c>
      <c r="G7715" s="1">
        <v>12</v>
      </c>
      <c r="H7715" s="1">
        <v>0</v>
      </c>
      <c r="I7715" s="1" t="s">
        <v>14857</v>
      </c>
      <c r="K7715" s="1" t="str">
        <f t="shared" si="486"/>
        <v>ㄑ</v>
      </c>
      <c r="L7715" s="1" t="str">
        <f t="shared" si="487"/>
        <v>ㄧ</v>
      </c>
      <c r="M7715" s="1" t="str">
        <f t="shared" si="488"/>
        <v/>
      </c>
      <c r="P7715" s="1" t="s">
        <v>20</v>
      </c>
      <c r="R7715" s="1" t="s">
        <v>14858</v>
      </c>
      <c r="V7715" s="1" t="s">
        <v>14889</v>
      </c>
      <c r="AR7715" s="1" t="str">
        <f t="shared" si="485"/>
        <v>| [ㄑㄧ](ㄑㄧ.md) | [僛](僛.md) |  | qī | [形]
搖曳傾斜的樣子。《說文解字．人部》：「僛，醉舞貌。」《詩經．小雅．賓之初筵》：「亂我籩豆，屢舞僛僛。」宋．趙彥端〈訴衷情．洗妝僛舞傍清尊〉詞：「洗妝僛舞傍清尊，霏雨澹黃昏。」 |</v>
      </c>
    </row>
    <row r="7716" spans="1:44" hidden="1">
      <c r="A7716" s="1" t="s">
        <v>14890</v>
      </c>
      <c r="C7716" s="1">
        <v>1</v>
      </c>
      <c r="D7716" s="1" t="str">
        <f>"06217"</f>
        <v>06217</v>
      </c>
      <c r="E7716" s="1" t="s">
        <v>331</v>
      </c>
      <c r="F7716" s="1">
        <v>15</v>
      </c>
      <c r="G7716" s="1">
        <v>8</v>
      </c>
      <c r="H7716" s="1">
        <v>0</v>
      </c>
      <c r="I7716" s="1" t="s">
        <v>14857</v>
      </c>
      <c r="K7716" s="1" t="str">
        <f t="shared" si="486"/>
        <v>ㄑ</v>
      </c>
      <c r="L7716" s="1" t="str">
        <f t="shared" si="487"/>
        <v>ㄧ</v>
      </c>
      <c r="M7716" s="1" t="str">
        <f t="shared" si="488"/>
        <v/>
      </c>
      <c r="P7716" s="1" t="s">
        <v>20</v>
      </c>
      <c r="R7716" s="1" t="s">
        <v>14858</v>
      </c>
      <c r="V7716" s="1" t="s">
        <v>14891</v>
      </c>
      <c r="AR7716" s="1" t="str">
        <f t="shared" si="485"/>
        <v>| [ㄑㄧ](ㄑㄧ.md) | [諆](諆.md) |  | qī | [動]
欺瞞。《說文解字．言部》：「諆，欺也。」 |</v>
      </c>
    </row>
    <row r="7717" spans="1:44" hidden="1">
      <c r="A7717" s="1" t="s">
        <v>14892</v>
      </c>
      <c r="C7717" s="1">
        <v>1</v>
      </c>
      <c r="D7717" s="1" t="str">
        <f>"06218"</f>
        <v>06218</v>
      </c>
      <c r="E7717" s="1" t="s">
        <v>684</v>
      </c>
      <c r="F7717" s="1">
        <v>17</v>
      </c>
      <c r="G7717" s="1">
        <v>8</v>
      </c>
      <c r="H7717" s="1">
        <v>0</v>
      </c>
      <c r="I7717" s="1" t="s">
        <v>14857</v>
      </c>
      <c r="K7717" s="1" t="str">
        <f t="shared" si="486"/>
        <v>ㄑ</v>
      </c>
      <c r="L7717" s="1" t="str">
        <f t="shared" si="487"/>
        <v>ㄧ</v>
      </c>
      <c r="M7717" s="1" t="str">
        <f t="shared" si="488"/>
        <v/>
      </c>
      <c r="P7717" s="1" t="s">
        <v>20</v>
      </c>
      <c r="R7717" s="1" t="s">
        <v>14858</v>
      </c>
      <c r="V7717" s="1" t="s">
        <v>14893</v>
      </c>
      <c r="AR7717" s="1" t="str">
        <f t="shared" si="485"/>
        <v>| [ㄑㄧ](ㄑㄧ.md) | [䫏](䫏.md) |  | qī | [形]
醜。《說文解字．頁部》：「䫏，醜也。」《淮南子．精神》：「視毛嬙西施，猶䫏醜也。」 |</v>
      </c>
    </row>
    <row r="7718" spans="1:44" hidden="1">
      <c r="A7718" s="1" t="s">
        <v>14894</v>
      </c>
      <c r="C7718" s="1">
        <v>1</v>
      </c>
      <c r="D7718" s="1" t="str">
        <f>"06219"</f>
        <v>06219</v>
      </c>
      <c r="E7718" s="1" t="s">
        <v>139</v>
      </c>
      <c r="F7718" s="1">
        <v>11</v>
      </c>
      <c r="G7718" s="1">
        <v>7</v>
      </c>
      <c r="H7718" s="1">
        <v>0</v>
      </c>
      <c r="I7718" s="1" t="s">
        <v>14857</v>
      </c>
      <c r="K7718" s="1" t="str">
        <f t="shared" si="486"/>
        <v>ㄑ</v>
      </c>
      <c r="L7718" s="1" t="str">
        <f t="shared" si="487"/>
        <v>ㄧ</v>
      </c>
      <c r="M7718" s="1" t="str">
        <f t="shared" si="488"/>
        <v/>
      </c>
      <c r="P7718" s="1" t="s">
        <v>20</v>
      </c>
      <c r="R7718" s="1" t="s">
        <v>14858</v>
      </c>
      <c r="V7718" s="1" t="s">
        <v>14895</v>
      </c>
      <c r="AR7718" s="1" t="str">
        <f t="shared" si="485"/>
        <v>| [ㄑㄧ](ㄑㄧ.md) | [桼](桼.md) |  | qī | 同「漆」。 |</v>
      </c>
    </row>
    <row r="7719" spans="1:44" hidden="1">
      <c r="A7719" s="1" t="s">
        <v>14896</v>
      </c>
      <c r="C7719" s="1">
        <v>1</v>
      </c>
      <c r="D7719" s="1" t="str">
        <f>"06220"</f>
        <v>06220</v>
      </c>
      <c r="E7719" s="1" t="s">
        <v>129</v>
      </c>
      <c r="F7719" s="1">
        <v>14</v>
      </c>
      <c r="G7719" s="1">
        <v>11</v>
      </c>
      <c r="H7719" s="1">
        <v>1</v>
      </c>
      <c r="I7719" s="1" t="s">
        <v>14857</v>
      </c>
      <c r="K7719" s="1" t="str">
        <f t="shared" si="486"/>
        <v>ㄑ</v>
      </c>
      <c r="L7719" s="1" t="str">
        <f t="shared" si="487"/>
        <v>ㄧ</v>
      </c>
      <c r="M7719" s="1" t="str">
        <f t="shared" si="488"/>
        <v/>
      </c>
      <c r="P7719" s="1" t="s">
        <v>20</v>
      </c>
      <c r="R7719" s="1" t="s">
        <v>14858</v>
      </c>
      <c r="V7719" s="1" t="s">
        <v>14897</v>
      </c>
      <c r="W7719" s="1" t="s">
        <v>14898</v>
      </c>
      <c r="AR7719" s="1" t="str">
        <f t="shared" si="485"/>
        <v>| [ㄑㄧ](ㄑㄧ.md) | [漆](漆.md) |  | qī | [名]
1.河川名。源出大陸地區陝西省同官縣東北大神山，注入渭水。
2.植物名。漆樹科漆樹屬，「漆樹」的簡稱。參見「漆樹」條。
3.用漆樹汁或其他樹脂所製成的塗料。如：「油漆」、「水泥漆」。
4.姓。如元代有漆希范，明代有漆文昌。
[動]
用漆塗在器物上。《禮記．檀弓上》：「君即位而為椑，歲壹漆之，藏焉。」
[形]
黑色的。如：「漆黑」。《周禮．春官．巾車》：「漆車。」漢．鄭玄．注：「漆車，黑車也。」 |</v>
      </c>
    </row>
    <row r="7720" spans="1:44" hidden="1">
      <c r="A7720" s="1" t="s">
        <v>14899</v>
      </c>
      <c r="C7720" s="1">
        <v>1</v>
      </c>
      <c r="D7720" s="1" t="str">
        <f>"06221"</f>
        <v>06221</v>
      </c>
      <c r="E7720" s="1" t="s">
        <v>4785</v>
      </c>
      <c r="F7720" s="1">
        <v>11</v>
      </c>
      <c r="G7720" s="1">
        <v>7</v>
      </c>
      <c r="H7720" s="1">
        <v>1</v>
      </c>
      <c r="I7720" s="1" t="s">
        <v>14857</v>
      </c>
      <c r="K7720" s="1" t="str">
        <f t="shared" si="486"/>
        <v>ㄑ</v>
      </c>
      <c r="L7720" s="1" t="str">
        <f t="shared" si="487"/>
        <v>ㄧ</v>
      </c>
      <c r="M7720" s="1" t="str">
        <f t="shared" si="488"/>
        <v/>
      </c>
      <c r="P7720" s="1" t="s">
        <v>20</v>
      </c>
      <c r="R7720" s="1" t="s">
        <v>14858</v>
      </c>
      <c r="V7720" s="1" t="s">
        <v>14900</v>
      </c>
      <c r="W7720" s="1" t="s">
        <v>14901</v>
      </c>
      <c r="AR7720" s="1" t="str">
        <f t="shared" si="485"/>
        <v>| [ㄑㄧ](ㄑㄧ.md) | [戚](戚.md) |  | qī | [名]
1.親屬。如：「近戚」、「遠戚」、「親戚」。
2.武器名。即斧，亦可作為舞具。《詩經．大雅．公劉》：「弓矢斯張，干戈戚揚。」《禮記．明堂位》：「朱干玉戚，冕而舞大武。」
3.悲哀、憂傷。唐．韓愈〈爭臣論〉：「若越人視秦人之肥瘠，忽焉不加喜戚於其心。」
4.姓。如明代有戚繼光。
[動]
1.親近。《書經．金縢》：「未可以戚我先王。」
2.憤怒。《禮記．檀弓下》：「舞斯慍，慍斯戚。」 |</v>
      </c>
    </row>
    <row r="7721" spans="1:44" hidden="1">
      <c r="A7721" s="1" t="s">
        <v>14902</v>
      </c>
      <c r="C7721" s="1">
        <v>1</v>
      </c>
      <c r="D7721" s="1" t="str">
        <f>"06222"</f>
        <v>06222</v>
      </c>
      <c r="E7721" s="1" t="s">
        <v>28</v>
      </c>
      <c r="F7721" s="1">
        <v>14</v>
      </c>
      <c r="G7721" s="1">
        <v>11</v>
      </c>
      <c r="H7721" s="1">
        <v>2</v>
      </c>
      <c r="I7721" s="1" t="s">
        <v>14857</v>
      </c>
      <c r="K7721" s="1" t="str">
        <f t="shared" si="486"/>
        <v>ㄑ</v>
      </c>
      <c r="L7721" s="1" t="str">
        <f t="shared" si="487"/>
        <v>ㄧ</v>
      </c>
      <c r="M7721" s="1" t="str">
        <f t="shared" si="488"/>
        <v/>
      </c>
      <c r="P7721" s="1" t="s">
        <v>20</v>
      </c>
      <c r="R7721" s="1" t="s">
        <v>14858</v>
      </c>
      <c r="V7721" s="1" t="s">
        <v>14903</v>
      </c>
      <c r="W7721" s="1" t="s">
        <v>14904</v>
      </c>
      <c r="AR7721" s="1" t="str">
        <f t="shared" si="485"/>
        <v>| [ㄑㄧ](ㄑㄧ.md) | [嘁](嘁.md) |  | qī | 參見「嘁嘁喳喳」條。 |</v>
      </c>
    </row>
    <row r="7722" spans="1:44" hidden="1">
      <c r="A7722" s="1" t="s">
        <v>14905</v>
      </c>
      <c r="C7722" s="1">
        <v>1</v>
      </c>
      <c r="D7722" s="1" t="str">
        <f>"06223"</f>
        <v>06223</v>
      </c>
      <c r="E7722" s="1" t="s">
        <v>250</v>
      </c>
      <c r="F7722" s="1">
        <v>15</v>
      </c>
      <c r="G7722" s="1">
        <v>11</v>
      </c>
      <c r="H7722" s="1">
        <v>0</v>
      </c>
      <c r="I7722" s="1" t="s">
        <v>14857</v>
      </c>
      <c r="K7722" s="1" t="str">
        <f t="shared" si="486"/>
        <v>ㄑ</v>
      </c>
      <c r="L7722" s="1" t="str">
        <f t="shared" si="487"/>
        <v>ㄧ</v>
      </c>
      <c r="M7722" s="1" t="str">
        <f t="shared" si="488"/>
        <v/>
      </c>
      <c r="P7722" s="1" t="s">
        <v>20</v>
      </c>
      <c r="R7722" s="1" t="s">
        <v>14858</v>
      </c>
      <c r="V7722" s="1" t="s">
        <v>14906</v>
      </c>
      <c r="AR7722" s="1" t="str">
        <f t="shared" si="485"/>
        <v>| [ㄑㄧ](ㄑㄧ.md) | [慼](慼.md) |  | qī | [動]
憂傷、悲傷。《左傳．僖公十五年》：「二三子何其慼也。寡人之從君而西也。」 |</v>
      </c>
    </row>
    <row r="7723" spans="1:44" hidden="1">
      <c r="A7723" s="1" t="s">
        <v>14907</v>
      </c>
      <c r="C7723" s="1">
        <v>1</v>
      </c>
      <c r="D7723" s="1" t="str">
        <f>"06224"</f>
        <v>06224</v>
      </c>
      <c r="E7723" s="1" t="s">
        <v>14908</v>
      </c>
      <c r="F7723" s="1">
        <v>12</v>
      </c>
      <c r="G7723" s="1">
        <v>8</v>
      </c>
      <c r="H7723" s="1">
        <v>0</v>
      </c>
      <c r="I7723" s="1" t="s">
        <v>14857</v>
      </c>
      <c r="K7723" s="1" t="str">
        <f t="shared" si="486"/>
        <v>ㄑ</v>
      </c>
      <c r="L7723" s="1" t="str">
        <f t="shared" si="487"/>
        <v>ㄧ</v>
      </c>
      <c r="M7723" s="1" t="str">
        <f t="shared" si="488"/>
        <v/>
      </c>
      <c r="P7723" s="1" t="s">
        <v>20</v>
      </c>
      <c r="R7723" s="1" t="s">
        <v>14858</v>
      </c>
      <c r="V7723" s="1" t="s">
        <v>14909</v>
      </c>
      <c r="AR7723" s="1" t="str">
        <f t="shared" si="485"/>
        <v>| [ㄑㄧ](ㄑㄧ.md) | [攲](攲.md) |  | qī | [動]
傾斜、倚靠。如：「攲側」。宋．蘇軾〈洞仙歌．冰肌玉骨〉詞：「人未寢，攲枕釵橫鬢亂。」 |</v>
      </c>
    </row>
    <row r="7724" spans="1:44" hidden="1">
      <c r="A7724" s="1" t="s">
        <v>14910</v>
      </c>
      <c r="C7724" s="1">
        <v>1</v>
      </c>
      <c r="D7724" s="1" t="str">
        <f>"06225"</f>
        <v>06225</v>
      </c>
      <c r="E7724" s="1" t="s">
        <v>129</v>
      </c>
      <c r="F7724" s="1">
        <v>13</v>
      </c>
      <c r="G7724" s="1">
        <v>10</v>
      </c>
      <c r="H7724" s="1">
        <v>2</v>
      </c>
      <c r="I7724" s="1" t="s">
        <v>14857</v>
      </c>
      <c r="K7724" s="1" t="str">
        <f t="shared" si="486"/>
        <v>ㄑ</v>
      </c>
      <c r="L7724" s="1" t="str">
        <f t="shared" si="487"/>
        <v>ㄧ</v>
      </c>
      <c r="M7724" s="1" t="str">
        <f t="shared" si="488"/>
        <v/>
      </c>
      <c r="P7724" s="1" t="s">
        <v>110</v>
      </c>
      <c r="R7724" s="1" t="s">
        <v>14858</v>
      </c>
      <c r="V7724" s="1" t="s">
        <v>111</v>
      </c>
      <c r="W7724" s="1" t="s">
        <v>14911</v>
      </c>
      <c r="AR7724" s="1" t="str">
        <f t="shared" si="485"/>
        <v>| [ㄑㄧ](ㄑㄧ.md) | [溪](溪.md) |  | qī | (一)之又音。 |</v>
      </c>
    </row>
    <row r="7725" spans="1:44" hidden="1">
      <c r="A7725" s="1" t="s">
        <v>14912</v>
      </c>
      <c r="C7725" s="1">
        <v>1</v>
      </c>
      <c r="D7725" s="1" t="str">
        <f>"06226"</f>
        <v>06226</v>
      </c>
      <c r="E7725" s="1" t="s">
        <v>169</v>
      </c>
      <c r="F7725" s="1">
        <v>15</v>
      </c>
      <c r="G7725" s="1">
        <v>10</v>
      </c>
      <c r="H7725" s="1">
        <v>2</v>
      </c>
      <c r="I7725" s="1" t="s">
        <v>14857</v>
      </c>
      <c r="K7725" s="1" t="str">
        <f t="shared" si="486"/>
        <v>ㄑ</v>
      </c>
      <c r="L7725" s="1" t="str">
        <f t="shared" si="487"/>
        <v>ㄧ</v>
      </c>
      <c r="M7725" s="1" t="str">
        <f t="shared" si="488"/>
        <v/>
      </c>
      <c r="P7725" s="1" t="s">
        <v>110</v>
      </c>
      <c r="R7725" s="1" t="s">
        <v>14858</v>
      </c>
      <c r="V7725" s="1" t="s">
        <v>111</v>
      </c>
      <c r="W7725" s="1" t="s">
        <v>14913</v>
      </c>
      <c r="AR7725" s="1" t="str">
        <f t="shared" si="485"/>
        <v>| [ㄑㄧ](ㄑㄧ.md) | [磎](磎.md) |  | qī | (一)之又音。 |</v>
      </c>
    </row>
    <row r="7726" spans="1:44" hidden="1">
      <c r="A7726" s="1" t="s">
        <v>14914</v>
      </c>
      <c r="C7726" s="1">
        <v>1</v>
      </c>
      <c r="D7726" s="1" t="str">
        <f>"06227"</f>
        <v>06227</v>
      </c>
      <c r="E7726" s="1" t="s">
        <v>10156</v>
      </c>
      <c r="F7726" s="1">
        <v>17</v>
      </c>
      <c r="G7726" s="1">
        <v>10</v>
      </c>
      <c r="H7726" s="1">
        <v>2</v>
      </c>
      <c r="I7726" s="1" t="s">
        <v>14857</v>
      </c>
      <c r="K7726" s="1" t="str">
        <f t="shared" si="486"/>
        <v>ㄑ</v>
      </c>
      <c r="L7726" s="1" t="str">
        <f t="shared" si="487"/>
        <v>ㄧ</v>
      </c>
      <c r="M7726" s="1" t="str">
        <f t="shared" si="488"/>
        <v/>
      </c>
      <c r="P7726" s="1" t="s">
        <v>110</v>
      </c>
      <c r="R7726" s="1" t="s">
        <v>14858</v>
      </c>
      <c r="V7726" s="1" t="s">
        <v>111</v>
      </c>
      <c r="W7726" s="1" t="s">
        <v>14915</v>
      </c>
      <c r="AR7726" s="1" t="str">
        <f t="shared" si="485"/>
        <v>| [ㄑㄧ](ㄑㄧ.md) | [谿](谿.md) |  | qī | (一)之又音。 |</v>
      </c>
    </row>
    <row r="7727" spans="1:44" hidden="1">
      <c r="A7727" s="1" t="s">
        <v>14916</v>
      </c>
      <c r="C7727" s="1">
        <v>1</v>
      </c>
      <c r="D7727" s="1" t="str">
        <f>"06228"</f>
        <v>06228</v>
      </c>
      <c r="E7727" s="1" t="s">
        <v>272</v>
      </c>
      <c r="F7727" s="1">
        <v>24</v>
      </c>
      <c r="G7727" s="1">
        <v>13</v>
      </c>
      <c r="H7727" s="1">
        <v>2</v>
      </c>
      <c r="I7727" s="1" t="s">
        <v>14857</v>
      </c>
      <c r="K7727" s="1" t="str">
        <f t="shared" si="486"/>
        <v>ㄑ</v>
      </c>
      <c r="L7727" s="1" t="str">
        <f t="shared" si="487"/>
        <v>ㄧ</v>
      </c>
      <c r="M7727" s="1" t="str">
        <f t="shared" si="488"/>
        <v/>
      </c>
      <c r="P7727" s="1" t="s">
        <v>110</v>
      </c>
      <c r="R7727" s="1" t="s">
        <v>14858</v>
      </c>
      <c r="V7727" s="1" t="s">
        <v>111</v>
      </c>
      <c r="W7727" s="1" t="s">
        <v>14917</v>
      </c>
      <c r="AR7727" s="1" t="str">
        <f t="shared" si="485"/>
        <v>| [ㄑㄧ](ㄑㄧ.md) | [鸂](鸂.md) |  | qī | (一)之又音。 |</v>
      </c>
    </row>
    <row r="7728" spans="1:44" hidden="1">
      <c r="A7728" s="1" t="s">
        <v>14918</v>
      </c>
      <c r="C7728" s="1">
        <v>1</v>
      </c>
      <c r="D7728" s="1" t="str">
        <f>"06229"</f>
        <v>06229</v>
      </c>
      <c r="E7728" s="1" t="s">
        <v>139</v>
      </c>
      <c r="F7728" s="1">
        <v>14</v>
      </c>
      <c r="G7728" s="1">
        <v>10</v>
      </c>
      <c r="H7728" s="1">
        <v>0</v>
      </c>
      <c r="I7728" s="1" t="s">
        <v>14857</v>
      </c>
      <c r="K7728" s="1" t="str">
        <f t="shared" si="486"/>
        <v>ㄑ</v>
      </c>
      <c r="L7728" s="1" t="str">
        <f t="shared" si="487"/>
        <v>ㄧ</v>
      </c>
      <c r="M7728" s="1" t="str">
        <f t="shared" si="488"/>
        <v/>
      </c>
      <c r="P7728" s="1" t="s">
        <v>20</v>
      </c>
      <c r="R7728" s="1" t="s">
        <v>14858</v>
      </c>
      <c r="V7728" s="1" t="s">
        <v>14919</v>
      </c>
      <c r="AR7728" s="1" t="str">
        <f t="shared" si="485"/>
        <v>| [ㄑㄧ](ㄑㄧ.md) | [榿](榿.md) |  | qī | [名]
植物名。即榿木。樺木科赤楊屬，落葉喬木。葉長倒卵形，鋸齒緣。雄柔荑花序下垂，單生。果序單生葉腋，長橢圓形，柄長四至七公分，小堅果具寬翅。木質堅硬，可作器具及建材。其嫩葉亦可為茶葉的代替品。原產四川省岷江一帶。 |</v>
      </c>
    </row>
    <row r="7729" spans="1:44" hidden="1">
      <c r="A7729" s="1" t="s">
        <v>14920</v>
      </c>
      <c r="C7729" s="1">
        <v>1</v>
      </c>
      <c r="D7729" s="1" t="str">
        <f>"06230"</f>
        <v>06230</v>
      </c>
      <c r="E7729" s="1" t="s">
        <v>725</v>
      </c>
      <c r="F7729" s="1">
        <v>15</v>
      </c>
      <c r="G7729" s="1">
        <v>9</v>
      </c>
      <c r="H7729" s="1">
        <v>2</v>
      </c>
      <c r="I7729" s="1" t="s">
        <v>14857</v>
      </c>
      <c r="K7729" s="1" t="str">
        <f t="shared" si="486"/>
        <v>ㄑ</v>
      </c>
      <c r="L7729" s="1" t="str">
        <f t="shared" si="487"/>
        <v>ㄧ</v>
      </c>
      <c r="M7729" s="1" t="str">
        <f t="shared" si="488"/>
        <v/>
      </c>
      <c r="P7729" s="1" t="s">
        <v>20</v>
      </c>
      <c r="R7729" s="1" t="s">
        <v>14858</v>
      </c>
      <c r="V7729" s="1" t="s">
        <v>14921</v>
      </c>
      <c r="W7729" s="1" t="s">
        <v>14922</v>
      </c>
      <c r="AR7729" s="1" t="str">
        <f t="shared" si="485"/>
        <v>| [ㄑㄧ](ㄑㄧ.md) | [緝](緝.md) |  | qī | [動]
一種縫紉法。用短而密接的線跡，一針對一針的細縫。如：「緝邊」、「緝鞋底」。 |</v>
      </c>
    </row>
    <row r="7730" spans="1:44" hidden="1">
      <c r="A7730" s="1" t="s">
        <v>15773</v>
      </c>
      <c r="C7730" s="1">
        <v>1</v>
      </c>
      <c r="D7730" s="1" t="str">
        <f>"06606"</f>
        <v>06606</v>
      </c>
      <c r="E7730" s="1" t="s">
        <v>5293</v>
      </c>
      <c r="F7730" s="1">
        <v>2</v>
      </c>
      <c r="G7730" s="1">
        <v>0</v>
      </c>
      <c r="H7730" s="1">
        <v>0</v>
      </c>
      <c r="I7730" s="1" t="s">
        <v>15774</v>
      </c>
      <c r="K7730" s="1" t="str">
        <f t="shared" si="486"/>
        <v>ㄑ</v>
      </c>
      <c r="L7730" s="1" t="str">
        <f t="shared" si="487"/>
        <v>ㄩ</v>
      </c>
      <c r="M7730" s="1" t="str">
        <f t="shared" si="488"/>
        <v/>
      </c>
      <c r="P7730" s="1" t="s">
        <v>20</v>
      </c>
      <c r="R7730" s="1" t="s">
        <v>15775</v>
      </c>
      <c r="V7730" s="1" t="s">
        <v>15776</v>
      </c>
      <c r="AR7730" s="1" t="str">
        <f t="shared" si="485"/>
        <v>| [ㄑㄩ](ㄑㄩ.md) | [凵](凵.md) |  | qū | [名]
古代用柳條做成的盛飯器。《說文解字．凵部》：「凵，凵盧，飯器，以柳作之。」 |</v>
      </c>
    </row>
    <row r="7731" spans="1:44" hidden="1">
      <c r="A7731" s="1" t="s">
        <v>15777</v>
      </c>
      <c r="C7731" s="1">
        <v>1</v>
      </c>
      <c r="D7731" s="1" t="str">
        <f>"06607"</f>
        <v>06607</v>
      </c>
      <c r="E7731" s="1" t="s">
        <v>6488</v>
      </c>
      <c r="F7731" s="1">
        <v>6</v>
      </c>
      <c r="G7731" s="1">
        <v>2</v>
      </c>
      <c r="H7731" s="1">
        <v>1</v>
      </c>
      <c r="I7731" s="1" t="s">
        <v>15774</v>
      </c>
      <c r="K7731" s="1" t="str">
        <f t="shared" si="486"/>
        <v>ㄑ</v>
      </c>
      <c r="L7731" s="1" t="str">
        <f t="shared" si="487"/>
        <v>ㄩ</v>
      </c>
      <c r="M7731" s="1" t="str">
        <f t="shared" si="488"/>
        <v/>
      </c>
      <c r="P7731" s="1" t="s">
        <v>20</v>
      </c>
      <c r="R7731" s="1" t="s">
        <v>15775</v>
      </c>
      <c r="V7731" s="1" t="s">
        <v>15778</v>
      </c>
      <c r="W7731" s="1" t="s">
        <v>15779</v>
      </c>
      <c r="AR7731" s="1" t="str">
        <f t="shared" si="485"/>
        <v>| [ㄑㄩ](ㄑㄩ.md) | [曲](曲.md) |  | qū | [名]
1.拐彎的地方。如：「山曲」、「河曲」。唐．李白〈惜餘春賦〉：「漢之曲兮江之潭。」
2.事理不直。如：「是非曲直」。《左傳．僖公二十八年》：「若其不還，君退臣犯，曲在彼矣。」
3.心中的隱情。如：「衷曲」、「心曲」、「互通款曲」。
4.偏僻的小地方。如：「鄉曲」。唐．蔣防《霍小玉傳》：「住在勝業坊古寺曲，甫上車門宅是也。」
5.局部、一部分。《荀子．解蔽》：「凡人之患蔽於一曲。」
6.養蠶的器具。《史記．卷五七．絳侯周勃世家》：「勃以織薄曲為生。」
7.姓。如漢代有曲證。
[動]
彎折。通「屈」。如：「曲膝」、「曲突徙薪」。《論語．述而》：「飯疏食飲水，曲肱而枕之，樂亦在其中矣。」
[形]
1.不直的。如：「曲線」、「曲尺」。《晏子春秋．內篇．雜上》：「曲刃鉤之，直兵推之。」
2.不正的、偏邪的。如：「歪曲」、「邪曲」。《戰國策．趙策二》：「窮鄉多異，曲學多辯。」
[副]
1.勉強的。如：「委曲求全」。《鏡花緣》第四六回：「甥女主意已定，務望舅舅曲從。」
2.周全、盡心盡力。如：「曲盡孝道」。《易經．繫辭上》：「曲成萬物而不遺。」 |</v>
      </c>
    </row>
    <row r="7732" spans="1:44" hidden="1">
      <c r="A7732" s="1" t="s">
        <v>15780</v>
      </c>
      <c r="C7732" s="1">
        <v>1</v>
      </c>
      <c r="D7732" s="1" t="str">
        <f>"06608"</f>
        <v>06608</v>
      </c>
      <c r="E7732" s="1" t="s">
        <v>679</v>
      </c>
      <c r="F7732" s="1">
        <v>12</v>
      </c>
      <c r="G7732" s="1">
        <v>6</v>
      </c>
      <c r="H7732" s="1">
        <v>0</v>
      </c>
      <c r="I7732" s="1" t="s">
        <v>15774</v>
      </c>
      <c r="K7732" s="1" t="str">
        <f t="shared" si="486"/>
        <v>ㄑ</v>
      </c>
      <c r="L7732" s="1" t="str">
        <f t="shared" si="487"/>
        <v>ㄩ</v>
      </c>
      <c r="M7732" s="1" t="str">
        <f t="shared" si="488"/>
        <v/>
      </c>
      <c r="P7732" s="1" t="s">
        <v>20</v>
      </c>
      <c r="R7732" s="1" t="s">
        <v>15775</v>
      </c>
      <c r="V7732" s="1" t="s">
        <v>15781</v>
      </c>
      <c r="AR7732" s="1" t="str">
        <f t="shared" si="485"/>
        <v>| [ㄑㄩ](ㄑㄩ.md) | [蛐](蛐.md) |  | qū | 參見「蛐蛐兒」、「蛐蟺」等條。 |</v>
      </c>
    </row>
    <row r="7733" spans="1:44" hidden="1">
      <c r="A7733" s="1" t="s">
        <v>14860</v>
      </c>
      <c r="C7733" s="1">
        <v>1</v>
      </c>
      <c r="D7733" s="1" t="str">
        <f>"06609"</f>
        <v>06609</v>
      </c>
      <c r="E7733" s="1" t="s">
        <v>129</v>
      </c>
      <c r="F7733" s="1">
        <v>7</v>
      </c>
      <c r="G7733" s="1">
        <v>4</v>
      </c>
      <c r="H7733" s="1">
        <v>2</v>
      </c>
      <c r="I7733" s="1" t="s">
        <v>15774</v>
      </c>
      <c r="K7733" s="1" t="str">
        <f t="shared" si="486"/>
        <v>ㄑ</v>
      </c>
      <c r="L7733" s="1" t="str">
        <f t="shared" si="487"/>
        <v>ㄩ</v>
      </c>
      <c r="M7733" s="1" t="str">
        <f t="shared" si="488"/>
        <v/>
      </c>
      <c r="P7733" s="1" t="s">
        <v>20</v>
      </c>
      <c r="R7733" s="1" t="s">
        <v>15775</v>
      </c>
      <c r="V7733" s="1" t="s">
        <v>15782</v>
      </c>
      <c r="W7733" s="1" t="s">
        <v>15783</v>
      </c>
      <c r="AR7733" s="1" t="str">
        <f t="shared" si="485"/>
        <v>| [ㄑㄩ](ㄑㄩ.md) | [沏](沏.md) |  | qū | [動]
1.一種烹飪方法。用熱油或羹湯澆淋在菜餚上。如：「沏油」、「沏鍋巴」。
2.用水撲滅。如：「把香火兒沏了。」 |</v>
      </c>
    </row>
    <row r="7734" spans="1:44" hidden="1">
      <c r="A7734" s="1" t="s">
        <v>15784</v>
      </c>
      <c r="C7734" s="1">
        <v>1</v>
      </c>
      <c r="D7734" s="1" t="str">
        <f>"06610"</f>
        <v>06610</v>
      </c>
      <c r="E7734" s="1" t="s">
        <v>114</v>
      </c>
      <c r="F7734" s="1">
        <v>7</v>
      </c>
      <c r="G7734" s="1">
        <v>5</v>
      </c>
      <c r="H7734" s="1">
        <v>0</v>
      </c>
      <c r="I7734" s="1" t="s">
        <v>15774</v>
      </c>
      <c r="K7734" s="1" t="str">
        <f t="shared" si="486"/>
        <v>ㄑ</v>
      </c>
      <c r="L7734" s="1" t="str">
        <f t="shared" si="487"/>
        <v>ㄩ</v>
      </c>
      <c r="M7734" s="1" t="str">
        <f t="shared" si="488"/>
        <v/>
      </c>
      <c r="P7734" s="1" t="s">
        <v>20</v>
      </c>
      <c r="R7734" s="1" t="s">
        <v>15775</v>
      </c>
      <c r="V7734" s="1" t="s">
        <v>15785</v>
      </c>
      <c r="AR7734" s="1" t="str">
        <f t="shared" si="485"/>
        <v>| [ㄑㄩ](ㄑㄩ.md) | [佉](佉.md) |  | qū | 參見「佉沙」條。 |</v>
      </c>
    </row>
    <row r="7735" spans="1:44" hidden="1">
      <c r="A7735" s="1" t="s">
        <v>15786</v>
      </c>
      <c r="C7735" s="1">
        <v>1</v>
      </c>
      <c r="D7735" s="1" t="str">
        <f>"06611"</f>
        <v>06611</v>
      </c>
      <c r="E7735" s="1" t="s">
        <v>28</v>
      </c>
      <c r="F7735" s="1">
        <v>8</v>
      </c>
      <c r="G7735" s="1">
        <v>5</v>
      </c>
      <c r="H7735" s="1">
        <v>0</v>
      </c>
      <c r="I7735" s="1" t="s">
        <v>15774</v>
      </c>
      <c r="K7735" s="1" t="str">
        <f t="shared" si="486"/>
        <v>ㄑ</v>
      </c>
      <c r="L7735" s="1" t="str">
        <f t="shared" si="487"/>
        <v>ㄩ</v>
      </c>
      <c r="M7735" s="1" t="str">
        <f t="shared" si="488"/>
        <v/>
      </c>
      <c r="P7735" s="1" t="s">
        <v>20</v>
      </c>
      <c r="R7735" s="1" t="s">
        <v>15775</v>
      </c>
      <c r="V7735" s="1" t="s">
        <v>15787</v>
      </c>
      <c r="AR7735" s="1" t="str">
        <f t="shared" si="485"/>
        <v>| [ㄑㄩ](ㄑㄩ.md) | [呿](呿.md) |  | qū | [動]
張口、開口。《莊子．秋水》：「公孫龍口呿而不合，舌舉而不下，乃逸而走。」 |</v>
      </c>
    </row>
    <row r="7736" spans="1:44" hidden="1">
      <c r="A7736" s="1" t="s">
        <v>15788</v>
      </c>
      <c r="C7736" s="1">
        <v>1</v>
      </c>
      <c r="D7736" s="1" t="str">
        <f>"06612"</f>
        <v>06612</v>
      </c>
      <c r="E7736" s="1" t="s">
        <v>68</v>
      </c>
      <c r="F7736" s="1">
        <v>9</v>
      </c>
      <c r="G7736" s="1">
        <v>5</v>
      </c>
      <c r="H7736" s="1">
        <v>0</v>
      </c>
      <c r="I7736" s="1" t="s">
        <v>15774</v>
      </c>
      <c r="K7736" s="1" t="str">
        <f t="shared" si="486"/>
        <v>ㄑ</v>
      </c>
      <c r="L7736" s="1" t="str">
        <f t="shared" si="487"/>
        <v>ㄩ</v>
      </c>
      <c r="M7736" s="1" t="str">
        <f t="shared" si="488"/>
        <v/>
      </c>
      <c r="P7736" s="1" t="s">
        <v>20</v>
      </c>
      <c r="R7736" s="1" t="s">
        <v>15775</v>
      </c>
      <c r="V7736" s="1" t="s">
        <v>15789</v>
      </c>
      <c r="AR7736" s="1" t="str">
        <f t="shared" si="485"/>
        <v>| [ㄑㄩ](ㄑㄩ.md) | [胠](胠.md) |  | qū | [名]
1.腋下。《玉篇．肉部》：「胠，腋下也。」
2.古代軍隊的右翼稱為「胠」。《集韻．平聲．魚韻》：「胠，一曰陳右翼。」《左傳．襄公二十三年》：「胠，商子車御侯朝，桓跳為右。」
[動]
1.從旁打開。《莊子．胠篋》：「將為胠篋探囊，發匱之盜。」
2.阻攔。通「阹」。《荀子．榮辱》：「胠於沙而思水，則無逮矣。」《呂氏春秋．士容論．辯士》：「大甽小畝，為青魚胠。」 |</v>
      </c>
    </row>
    <row r="7737" spans="1:44" hidden="1">
      <c r="A7737" s="1" t="s">
        <v>15790</v>
      </c>
      <c r="C7737" s="1">
        <v>1</v>
      </c>
      <c r="D7737" s="1" t="str">
        <f>"06613"</f>
        <v>06613</v>
      </c>
      <c r="E7737" s="1" t="s">
        <v>825</v>
      </c>
      <c r="F7737" s="1">
        <v>10</v>
      </c>
      <c r="G7737" s="1">
        <v>5</v>
      </c>
      <c r="H7737" s="1">
        <v>0</v>
      </c>
      <c r="I7737" s="1" t="s">
        <v>15774</v>
      </c>
      <c r="K7737" s="1" t="str">
        <f t="shared" si="486"/>
        <v>ㄑ</v>
      </c>
      <c r="L7737" s="1" t="str">
        <f t="shared" si="487"/>
        <v>ㄩ</v>
      </c>
      <c r="M7737" s="1" t="str">
        <f t="shared" si="488"/>
        <v/>
      </c>
      <c r="P7737" s="1" t="s">
        <v>20</v>
      </c>
      <c r="R7737" s="1" t="s">
        <v>15775</v>
      </c>
      <c r="V7737" s="1" t="s">
        <v>15791</v>
      </c>
      <c r="AR7737" s="1" t="str">
        <f t="shared" si="485"/>
        <v>| [ㄑㄩ](ㄑㄩ.md) | [祛](祛.md) |  | qū | [動]
1.消除、驅逐。如：「祛痰」、「祛災」、「祛除迷信」。南朝梁．蕭統〈陶淵明集序〉：「嘗謂有能觀淵明之文者，馳競之情遣，鄙吝之意祛。」
2.舉。通「袪」。《後漢書．卷四〇．班彪傳上》：「張鳳蓋，建華旗，祛黼帷。」 |</v>
      </c>
    </row>
    <row r="7738" spans="1:44" hidden="1">
      <c r="A7738" s="1" t="s">
        <v>15792</v>
      </c>
      <c r="C7738" s="1">
        <v>1</v>
      </c>
      <c r="D7738" s="1" t="str">
        <f>"06614"</f>
        <v>06614</v>
      </c>
      <c r="E7738" s="1" t="s">
        <v>340</v>
      </c>
      <c r="F7738" s="1">
        <v>11</v>
      </c>
      <c r="G7738" s="1">
        <v>5</v>
      </c>
      <c r="H7738" s="1">
        <v>0</v>
      </c>
      <c r="I7738" s="1" t="s">
        <v>15774</v>
      </c>
      <c r="K7738" s="1" t="str">
        <f t="shared" si="486"/>
        <v>ㄑ</v>
      </c>
      <c r="L7738" s="1" t="str">
        <f t="shared" si="487"/>
        <v>ㄩ</v>
      </c>
      <c r="M7738" s="1" t="str">
        <f t="shared" si="488"/>
        <v/>
      </c>
      <c r="P7738" s="1" t="s">
        <v>20</v>
      </c>
      <c r="R7738" s="1" t="s">
        <v>15775</v>
      </c>
      <c r="V7738" s="1" t="s">
        <v>15793</v>
      </c>
      <c r="AR7738" s="1" t="str">
        <f t="shared" si="485"/>
        <v>| [ㄑㄩ](ㄑㄩ.md) | [袪](袪.md) |  | qū | [名]_x000D_
衣袖、袖口。《詩經．鄭風．遵大路》：「遵大路兮，摻執子之袪兮。」《左傳．僖公五年》：「踰垣而走，披斬其袪。」_x000D_
[動]_x000D_
1.舉起、撩起。《呂氏春秋．恃君覽．達鬱》：「特會朝雨，袪步堂下。」晉．張華〈朽社賦〉：「吉人向風而袪袂。」_x000D_
2.分開、開散。漢．揚雄〈劇秦美新〉：「權輿天地未袪，睢睢盱盱。」_x000D_
3.除去。漢．蔡邕〈郭有道碑文〉：「童蒙賴焉，用袪其蔽。」 |</v>
      </c>
    </row>
    <row r="7739" spans="1:44" hidden="1">
      <c r="A7739" s="1" t="s">
        <v>15794</v>
      </c>
      <c r="C7739" s="1">
        <v>1</v>
      </c>
      <c r="D7739" s="1" t="str">
        <f>"06615"</f>
        <v>06615</v>
      </c>
      <c r="E7739" s="1" t="s">
        <v>871</v>
      </c>
      <c r="F7739" s="1">
        <v>8</v>
      </c>
      <c r="G7739" s="1">
        <v>5</v>
      </c>
      <c r="H7739" s="1">
        <v>0</v>
      </c>
      <c r="I7739" s="1" t="s">
        <v>15774</v>
      </c>
      <c r="K7739" s="1" t="str">
        <f t="shared" si="486"/>
        <v>ㄑ</v>
      </c>
      <c r="L7739" s="1" t="str">
        <f t="shared" si="487"/>
        <v>ㄩ</v>
      </c>
      <c r="M7739" s="1" t="str">
        <f t="shared" si="488"/>
        <v/>
      </c>
      <c r="P7739" s="1" t="s">
        <v>20</v>
      </c>
      <c r="R7739" s="1" t="s">
        <v>15775</v>
      </c>
      <c r="V7739" s="1" t="s">
        <v>15795</v>
      </c>
      <c r="AR7739" s="1" t="str">
        <f t="shared" si="485"/>
        <v>| [ㄑㄩ](ㄑㄩ.md) | [屈](屈.md) |  | qū | [名]
1.委曲的心意。如：「受屈」、「叫屈」。北齊．顏之推《顏氏家訓．治家》：「代子求官，為夫訴屈。」
2.姓。如戰國時楚國有屈原。
[動]
1.彎曲。如：「屈膝」、「屈指一算」。
2.降服、折服。如：「屈服」。《孟子．滕文公下》：「威武不能屈。」唐．韓愈〈張中丞傳後敘〉：「城陷，賊以刃脅降巡，巡不屈。」
3.降低身分。如：「屈意奉承」、「屈駕光臨」。《三國志．卷二．魏書．文帝紀》：「欲屈己以存道，貶身以救世。」
[形]
1.彎曲不直。《孟子．告子上》：「有無名之指，屈而不信。」
2.短虧、虧損。如：「理屈」、「情屈」。漢．王充《論衡．自紀》：「然則辯言必有所屈，通文猶有所黜。」
[副]
1.勉強、強迫。《三國志．卷三五．蜀書．諸葛亮傳》：「此人可就見，不可屈致也。」
2.冤枉。如：「屈死」、「屈打成招」。 |</v>
      </c>
    </row>
    <row r="7740" spans="1:44" hidden="1">
      <c r="A7740" s="1" t="s">
        <v>15796</v>
      </c>
      <c r="C7740" s="1">
        <v>1</v>
      </c>
      <c r="D7740" s="1" t="str">
        <f>"06616"</f>
        <v>06616</v>
      </c>
      <c r="E7740" s="1" t="s">
        <v>331</v>
      </c>
      <c r="F7740" s="1">
        <v>12</v>
      </c>
      <c r="G7740" s="1">
        <v>5</v>
      </c>
      <c r="H7740" s="1">
        <v>1</v>
      </c>
      <c r="I7740" s="1" t="s">
        <v>15774</v>
      </c>
      <c r="K7740" s="1" t="str">
        <f t="shared" si="486"/>
        <v>ㄑ</v>
      </c>
      <c r="L7740" s="1" t="str">
        <f t="shared" si="487"/>
        <v>ㄩ</v>
      </c>
      <c r="M7740" s="1" t="str">
        <f t="shared" si="488"/>
        <v/>
      </c>
      <c r="P7740" s="1" t="s">
        <v>20</v>
      </c>
      <c r="R7740" s="1" t="s">
        <v>15775</v>
      </c>
      <c r="V7740" s="1" t="s">
        <v>15797</v>
      </c>
      <c r="W7740" s="1" t="s">
        <v>15798</v>
      </c>
      <c r="AR7740" s="1" t="str">
        <f t="shared" si="485"/>
        <v>| [ㄑㄩ](ㄑㄩ.md) | [詘](詘.md) |  | qū | [動]
1.彎曲。同「屈」。《荀子．勸學》：「若挈裘領，詘五指而頓之，順者不可勝數也。」
2.屈服、折服。《戰國策．秦策一》：「今欲并天下，凌萬乘，詘敵國，制海內，子元元，臣諸侯，非兵不可。」
3.吐詞艱澀、言語鈍拙。通「訥」。《史記．卷一〇三．萬石張叔傳．太史公曰》「仲尼有言：『君子欲訥於言』」句下裴駰集解引徐廣曰：「『訥』字多作『詘』，音同耳。古字假借。」
[副]
1.冤屈。《呂氏春秋．貴直論．壅塞》：「宋王因怒而詘殺之。」
2.反而。《戰國策．秦策四》：「一舉眾而注地於楚，詘令韓魏歸帝重於齊，是王失計也。」
[名]
姓。如漢代有詘強。 |</v>
      </c>
    </row>
    <row r="7741" spans="1:44" hidden="1">
      <c r="A7741" s="1" t="s">
        <v>15799</v>
      </c>
      <c r="C7741" s="1">
        <v>1</v>
      </c>
      <c r="D7741" s="1" t="str">
        <f>"06617"</f>
        <v>06617</v>
      </c>
      <c r="E7741" s="1" t="s">
        <v>15800</v>
      </c>
      <c r="F7741" s="1">
        <v>15</v>
      </c>
      <c r="G7741" s="1">
        <v>8</v>
      </c>
      <c r="H7741" s="1">
        <v>0</v>
      </c>
      <c r="I7741" s="1" t="s">
        <v>15774</v>
      </c>
      <c r="K7741" s="1" t="str">
        <f t="shared" si="486"/>
        <v>ㄑ</v>
      </c>
      <c r="L7741" s="1" t="str">
        <f t="shared" si="487"/>
        <v>ㄩ</v>
      </c>
      <c r="M7741" s="1" t="str">
        <f t="shared" si="488"/>
        <v/>
      </c>
      <c r="P7741" s="1" t="s">
        <v>20</v>
      </c>
      <c r="R7741" s="1" t="s">
        <v>15775</v>
      </c>
      <c r="V7741" s="1" t="s">
        <v>15801</v>
      </c>
      <c r="AR7741" s="1" t="str">
        <f t="shared" si="485"/>
        <v>| [ㄑㄩ](ㄑㄩ.md) | [镼](镼.md) |  | qū | 參見「繡镼」條。 |</v>
      </c>
    </row>
    <row r="7742" spans="1:44" hidden="1">
      <c r="A7742" s="1" t="s">
        <v>9792</v>
      </c>
      <c r="C7742" s="1">
        <v>1</v>
      </c>
      <c r="D7742" s="1" t="str">
        <f>"06618"</f>
        <v>06618</v>
      </c>
      <c r="E7742" s="1" t="s">
        <v>1258</v>
      </c>
      <c r="F7742" s="1">
        <v>11</v>
      </c>
      <c r="G7742" s="1">
        <v>9</v>
      </c>
      <c r="H7742" s="1">
        <v>1</v>
      </c>
      <c r="I7742" s="1" t="s">
        <v>15774</v>
      </c>
      <c r="K7742" s="1" t="str">
        <f t="shared" si="486"/>
        <v>ㄑ</v>
      </c>
      <c r="L7742" s="1" t="str">
        <f t="shared" si="487"/>
        <v>ㄩ</v>
      </c>
      <c r="M7742" s="1" t="str">
        <f t="shared" si="488"/>
        <v/>
      </c>
      <c r="P7742" s="1" t="s">
        <v>20</v>
      </c>
      <c r="R7742" s="1" t="s">
        <v>15775</v>
      </c>
      <c r="V7742" s="1" t="s">
        <v>15802</v>
      </c>
      <c r="W7742" s="1" t="s">
        <v>15803</v>
      </c>
      <c r="AR7742" s="1" t="str">
        <f t="shared" si="485"/>
        <v>| [ㄑㄩ](ㄑㄩ.md) | [區](區.md) |  | qū | [動]
分別。如：「區別」、「區劃」、「區隔」。《論語．子張》：「譬諸草木，區以別矣。」
[名]
1.地域、一定的範圍。如：「工業區」、「風景區」、「住宅區」。
2.行政區劃的地方自治單位。如：「信義區」、「旗津區」。
3.小屋。《漢書．卷六七．胡建傳》：「時監軍御史為姦，穿北軍壘垣以為賈區。」唐．顏師古．注：「區者，小室之名。」 |</v>
      </c>
    </row>
    <row r="7743" spans="1:44" hidden="1">
      <c r="A7743" s="1" t="s">
        <v>15804</v>
      </c>
      <c r="C7743" s="1">
        <v>1</v>
      </c>
      <c r="D7743" s="1" t="str">
        <f>"06619"</f>
        <v>06619</v>
      </c>
      <c r="E7743" s="1" t="s">
        <v>190</v>
      </c>
      <c r="F7743" s="1">
        <v>14</v>
      </c>
      <c r="G7743" s="1">
        <v>11</v>
      </c>
      <c r="H7743" s="1">
        <v>0</v>
      </c>
      <c r="I7743" s="1" t="s">
        <v>15774</v>
      </c>
      <c r="K7743" s="1" t="str">
        <f t="shared" si="486"/>
        <v>ㄑ</v>
      </c>
      <c r="L7743" s="1" t="str">
        <f t="shared" si="487"/>
        <v>ㄩ</v>
      </c>
      <c r="M7743" s="1" t="str">
        <f t="shared" si="488"/>
        <v/>
      </c>
      <c r="P7743" s="1" t="s">
        <v>20</v>
      </c>
      <c r="R7743" s="1" t="s">
        <v>15775</v>
      </c>
      <c r="V7743" s="1" t="s">
        <v>15805</v>
      </c>
      <c r="AR7743" s="1" t="str">
        <f t="shared" si="485"/>
        <v>| [ㄑㄩ](ㄑㄩ.md) | [嶇](嶇.md) |  | qū | 參見「崎嶇」、「嶇嶔」等條。 |</v>
      </c>
    </row>
    <row r="7744" spans="1:44" hidden="1">
      <c r="A7744" s="1" t="s">
        <v>15806</v>
      </c>
      <c r="C7744" s="1">
        <v>1</v>
      </c>
      <c r="D7744" s="1" t="str">
        <f>"06620"</f>
        <v>06620</v>
      </c>
      <c r="E7744" s="1" t="s">
        <v>426</v>
      </c>
      <c r="F7744" s="1">
        <v>15</v>
      </c>
      <c r="G7744" s="1">
        <v>11</v>
      </c>
      <c r="H7744" s="1">
        <v>1</v>
      </c>
      <c r="I7744" s="1" t="s">
        <v>15774</v>
      </c>
      <c r="K7744" s="1" t="str">
        <f t="shared" si="486"/>
        <v>ㄑ</v>
      </c>
      <c r="L7744" s="1" t="str">
        <f t="shared" si="487"/>
        <v>ㄩ</v>
      </c>
      <c r="M7744" s="1" t="str">
        <f t="shared" si="488"/>
        <v/>
      </c>
      <c r="P7744" s="1" t="s">
        <v>20</v>
      </c>
      <c r="R7744" s="1" t="s">
        <v>15775</v>
      </c>
      <c r="V7744" s="1" t="s">
        <v>15807</v>
      </c>
      <c r="W7744" s="1" t="s">
        <v>15808</v>
      </c>
      <c r="AR7744" s="1" t="str">
        <f t="shared" si="485"/>
        <v>| [ㄑㄩ](ㄑㄩ.md) | [敺](敺.md) |  | qū | [動]
驅逐、驅趕。同「驅」。《孟子．離婁上》：「為湯武敺民者，桀與紂也。」漢．賈誼〈說積貯〉：「今敺民而歸之農，皆著于本。」 |</v>
      </c>
    </row>
    <row r="7745" spans="1:44" hidden="1">
      <c r="A7745" s="1" t="s">
        <v>15809</v>
      </c>
      <c r="C7745" s="1">
        <v>1</v>
      </c>
      <c r="D7745" s="1" t="str">
        <f>"06621"</f>
        <v>06621</v>
      </c>
      <c r="E7745" s="1" t="s">
        <v>5692</v>
      </c>
      <c r="F7745" s="1">
        <v>18</v>
      </c>
      <c r="G7745" s="1">
        <v>11</v>
      </c>
      <c r="H7745" s="1">
        <v>0</v>
      </c>
      <c r="I7745" s="1" t="s">
        <v>15774</v>
      </c>
      <c r="K7745" s="1" t="str">
        <f t="shared" si="486"/>
        <v>ㄑ</v>
      </c>
      <c r="L7745" s="1" t="str">
        <f t="shared" si="487"/>
        <v>ㄩ</v>
      </c>
      <c r="M7745" s="1" t="str">
        <f t="shared" si="488"/>
        <v/>
      </c>
      <c r="P7745" s="1" t="s">
        <v>20</v>
      </c>
      <c r="R7745" s="1" t="s">
        <v>15775</v>
      </c>
      <c r="V7745" s="1" t="s">
        <v>15810</v>
      </c>
      <c r="AR7745" s="1" t="str">
        <f t="shared" si="485"/>
        <v>| [ㄑㄩ](ㄑㄩ.md) | [軀](軀.md) |  | qū | [名]
1.身體。《說文解字．身部》：「軀，體也。」如：「身軀」、「堂堂七尺之軀」。《荀子．勸學》：「小人之學也，入乎耳，出乎口，口耳之間則四寸耳，曷足以美七尺之軀哉。」
2.引申為生命。如：「為國捐軀」。 |</v>
      </c>
    </row>
    <row r="7746" spans="1:44" hidden="1">
      <c r="A7746" s="1" t="s">
        <v>15811</v>
      </c>
      <c r="C7746" s="1">
        <v>1</v>
      </c>
      <c r="D7746" s="1" t="str">
        <f>"06622"</f>
        <v>06622</v>
      </c>
      <c r="E7746" s="1" t="s">
        <v>319</v>
      </c>
      <c r="F7746" s="1">
        <v>21</v>
      </c>
      <c r="G7746" s="1">
        <v>11</v>
      </c>
      <c r="H7746" s="1">
        <v>0</v>
      </c>
      <c r="I7746" s="1" t="s">
        <v>15774</v>
      </c>
      <c r="K7746" s="1" t="str">
        <f t="shared" si="486"/>
        <v>ㄑ</v>
      </c>
      <c r="L7746" s="1" t="str">
        <f t="shared" si="487"/>
        <v>ㄩ</v>
      </c>
      <c r="M7746" s="1" t="str">
        <f t="shared" si="488"/>
        <v/>
      </c>
      <c r="P7746" s="1" t="s">
        <v>20</v>
      </c>
      <c r="R7746" s="1" t="s">
        <v>15775</v>
      </c>
      <c r="V7746" s="1" t="s">
        <v>15812</v>
      </c>
      <c r="AR7746" s="1" t="str">
        <f t="shared" si="485"/>
        <v>| [ㄑㄩ](ㄑㄩ.md) | [驅](驅.md) |  | qū | [名]
前鋒、領頭者。如：「前驅」、「先驅」。
[動]
1.奔走。如：「驅騁」、「並駕齊驅」、「長驅直入」。
2.鞭馬前進。《詩經．唐風．山有樞》：「子有車馬，弗馳弗驅。」
3.泛指驅趕牲畜。如：「驅牛」、「驅羊」。
4.泛指趕走、逐離。如：「驅散」、「驅蟲」。宋．陸游〈賞山園牡丹有感〉詩：「周漢故都亦豈遠，安得尺箠驅群胡。」
5.駕馭、役使。如：「驅策」。《管子．君臣下》：「沉疑之得民也者，前貴而後賤者為之驅也。」
6.逼使、迫使。如：「驅迫」。《晉書．卷三三．石苞傳》：「苟尊勢所驅，何所不至，望奉法之直繩，不可得也。」 |</v>
      </c>
    </row>
    <row r="7747" spans="1:44" hidden="1">
      <c r="A7747" s="1" t="s">
        <v>14345</v>
      </c>
      <c r="C7747" s="1">
        <v>1</v>
      </c>
      <c r="D7747" s="1" t="str">
        <f>"06623"</f>
        <v>06623</v>
      </c>
      <c r="E7747" s="1" t="s">
        <v>679</v>
      </c>
      <c r="F7747" s="1">
        <v>11</v>
      </c>
      <c r="G7747" s="1">
        <v>5</v>
      </c>
      <c r="H7747" s="1">
        <v>1</v>
      </c>
      <c r="I7747" s="1" t="s">
        <v>15774</v>
      </c>
      <c r="K7747" s="1" t="str">
        <f t="shared" si="486"/>
        <v>ㄑ</v>
      </c>
      <c r="L7747" s="1" t="str">
        <f t="shared" si="487"/>
        <v>ㄩ</v>
      </c>
      <c r="M7747" s="1" t="str">
        <f t="shared" si="488"/>
        <v/>
      </c>
      <c r="P7747" s="1" t="s">
        <v>20</v>
      </c>
      <c r="R7747" s="1" t="s">
        <v>15775</v>
      </c>
      <c r="V7747" s="1" t="s">
        <v>15813</v>
      </c>
      <c r="W7747" s="1" t="s">
        <v>15814</v>
      </c>
      <c r="AR7747" s="1" t="str">
        <f t="shared" ref="AR7747:AR7810" si="489">"| ["&amp;I7747&amp;"]("&amp;I7747&amp;".md) | ["&amp;A7747&amp;"]("&amp;A7747&amp;".md) | "&amp;" | "&amp;R7747&amp;" | "&amp;V7747&amp;" |"</f>
        <v>| [ㄑㄩ](ㄑㄩ.md) | [蛆](蛆.md) |  | qū | [名]
1.蠅類的幼蟲。身體柔軟，色白而長。多生活於不潔淨的地方，以糞土等有機物為食。
2.比喻讒言惡語。《紅樓夢》第五七回：「你這幾天還不乏，趁這會子不歇一歇，還嚼什麼蛆。」
3.酒面的浮沫。宋．歐陽修〈招許主客〉詩：「樓頭破鑑看將滿，甕面浮蛆撥已香。」 |</v>
      </c>
    </row>
    <row r="7748" spans="1:44" hidden="1">
      <c r="A7748" s="1" t="s">
        <v>15815</v>
      </c>
      <c r="C7748" s="1">
        <v>1</v>
      </c>
      <c r="D7748" s="1" t="str">
        <f>"06624"</f>
        <v>06624</v>
      </c>
      <c r="E7748" s="1" t="s">
        <v>4563</v>
      </c>
      <c r="F7748" s="1">
        <v>17</v>
      </c>
      <c r="G7748" s="1">
        <v>10</v>
      </c>
      <c r="H7748" s="1">
        <v>1</v>
      </c>
      <c r="I7748" s="1" t="s">
        <v>15774</v>
      </c>
      <c r="K7748" s="1" t="str">
        <f t="shared" ref="K7748:K7811" si="490">LEFT(I7748, 1)</f>
        <v>ㄑ</v>
      </c>
      <c r="L7748" s="1" t="str">
        <f t="shared" ref="L7748:L7811" si="491">MID(I7748, 2, 1)</f>
        <v>ㄩ</v>
      </c>
      <c r="M7748" s="1" t="str">
        <f t="shared" si="488"/>
        <v/>
      </c>
      <c r="P7748" s="1" t="s">
        <v>20</v>
      </c>
      <c r="R7748" s="1" t="s">
        <v>15775</v>
      </c>
      <c r="V7748" s="1" t="s">
        <v>15816</v>
      </c>
      <c r="W7748" s="1" t="s">
        <v>15817</v>
      </c>
      <c r="AR7748" s="1" t="str">
        <f t="shared" si="489"/>
        <v>| [ㄑㄩ](ㄑㄩ.md) | [趨](趨.md) |  | qū | [動]
1.快步走、趕著向前走。如：「趨前」、「疾趨而過」。《孟子．公孫丑上》：「其子趨而往視之。」《文選．陶淵明．雜詩二首之二》：「日入群動息，歸鳥趨林鳴。」
2.朝著一定的目的或方向。如：「趨吉避凶」、「時勢所趨」、「趨於一致」。《文選．王襃．四子講德論》：「今夫子閉門距躍，專精趨學有日矣！」
3.依附。如：「趨炎附勢」。《荀子．議兵》：「韓之上地，方數百里，完全富足而趨趙。」
4.古禮中走路欲超前長輩時的小步快走。《論語．微子》：「趨而辟之，不得與之言。」唐．柳宗元〈植靈壽木〉詩：「前趨問長老，重復欣嘉名。」
[名]
走向、歸向。如：「志趨」。《孟子．告子下》：「三子者不同道，其趨一也。一者何也？曰仁也。」 |</v>
      </c>
    </row>
    <row r="7749" spans="1:44" hidden="1">
      <c r="A7749" s="1" t="s">
        <v>14515</v>
      </c>
      <c r="C7749" s="1">
        <v>1</v>
      </c>
      <c r="D7749" s="1" t="str">
        <f>"06625"</f>
        <v>06625</v>
      </c>
      <c r="E7749" s="1" t="s">
        <v>1015</v>
      </c>
      <c r="F7749" s="1">
        <v>18</v>
      </c>
      <c r="G7749" s="1">
        <v>13</v>
      </c>
      <c r="H7749" s="1">
        <v>1</v>
      </c>
      <c r="I7749" s="1" t="s">
        <v>15774</v>
      </c>
      <c r="K7749" s="1" t="str">
        <f t="shared" si="490"/>
        <v>ㄑ</v>
      </c>
      <c r="L7749" s="1" t="str">
        <f t="shared" si="491"/>
        <v>ㄩ</v>
      </c>
      <c r="M7749" s="1" t="str">
        <f t="shared" si="488"/>
        <v/>
      </c>
      <c r="P7749" s="1" t="s">
        <v>20</v>
      </c>
      <c r="R7749" s="1" t="s">
        <v>15775</v>
      </c>
      <c r="V7749" s="1" t="s">
        <v>15818</v>
      </c>
      <c r="W7749" s="1" t="s">
        <v>15819</v>
      </c>
      <c r="AR7749" s="1" t="str">
        <f t="shared" si="489"/>
        <v>| [ㄑㄩ](ㄑㄩ.md) | [瞿](瞿.md) |  | qū | [名]
姓。如元代有瞿信。 |</v>
      </c>
    </row>
    <row r="7750" spans="1:44" hidden="1">
      <c r="A7750" s="1" t="s">
        <v>15116</v>
      </c>
      <c r="C7750" s="1">
        <v>1</v>
      </c>
      <c r="D7750" s="1" t="str">
        <f>"06320"</f>
        <v>06320</v>
      </c>
      <c r="E7750" s="1" t="s">
        <v>24</v>
      </c>
      <c r="F7750" s="1">
        <v>11</v>
      </c>
      <c r="G7750" s="1">
        <v>8</v>
      </c>
      <c r="H7750" s="1">
        <v>0</v>
      </c>
      <c r="I7750" s="1" t="s">
        <v>15117</v>
      </c>
      <c r="K7750" s="1" t="str">
        <f t="shared" si="490"/>
        <v>ㄑ</v>
      </c>
      <c r="L7750" s="1" t="str">
        <f t="shared" si="491"/>
        <v>ㄧ</v>
      </c>
      <c r="M7750" s="1" t="str">
        <f t="shared" si="488"/>
        <v>ㄚ</v>
      </c>
      <c r="P7750" s="1" t="s">
        <v>20</v>
      </c>
      <c r="R7750" s="1" t="s">
        <v>15118</v>
      </c>
      <c r="V7750" s="1" t="s">
        <v>15119</v>
      </c>
      <c r="AR7750" s="1" t="str">
        <f t="shared" si="489"/>
        <v>| [ㄑㄧㄚ](ㄑㄧㄚ.md) | [掐](掐.md) |  | qiā | [動]_x000D_
1.以手指或指甲用力一夾。如：「趕快掐他人中。」「她掐人可痛的呢！」_x000D_
2.以指甲截斷。如：「他從花園中掐了一朵玫瑰花。」_x000D_
3.以手指和虎口用力卡住。如：「掐脖子！」「掐住他的手腕！」元．曾瑞《留鞋記》第四折：「休拗折並頭蓮，莫掐殺雙飛燕。」_x000D_
4.用拇指點其餘四指以計算或思考。如：「掐指一算」。_x000D_
5.箝制、把持。如：「千萬別誤入歧途，否則你就被惡運給掐住了。」 |</v>
      </c>
    </row>
    <row r="7751" spans="1:44" hidden="1">
      <c r="A7751" s="1" t="s">
        <v>10715</v>
      </c>
      <c r="C7751" s="1">
        <v>1</v>
      </c>
      <c r="D7751" s="1" t="str">
        <f>"06321"</f>
        <v>06321</v>
      </c>
      <c r="E7751" s="1" t="s">
        <v>1279</v>
      </c>
      <c r="F7751" s="1">
        <v>5</v>
      </c>
      <c r="G7751" s="1">
        <v>3</v>
      </c>
      <c r="H7751" s="1">
        <v>2</v>
      </c>
      <c r="I7751" s="1" t="s">
        <v>15120</v>
      </c>
      <c r="K7751" s="1" t="str">
        <f t="shared" si="490"/>
        <v>ㄑ</v>
      </c>
      <c r="L7751" s="1" t="str">
        <f t="shared" si="491"/>
        <v>ㄧ</v>
      </c>
      <c r="M7751" s="1" t="str">
        <f t="shared" si="488"/>
        <v>ㄚ</v>
      </c>
      <c r="P7751" s="1" t="s">
        <v>20</v>
      </c>
      <c r="R7751" s="1" t="s">
        <v>15121</v>
      </c>
      <c r="V7751" s="1" t="s">
        <v>15122</v>
      </c>
      <c r="W7751" s="1" t="s">
        <v>15123</v>
      </c>
      <c r="AR7751" s="1" t="str">
        <f t="shared" si="489"/>
        <v>| [ㄑㄧㄚˇ](ㄑㄧㄚˇ.md) | [卡](卡.md) |  | qiǎ | 參見「卡脖子」條。 |</v>
      </c>
    </row>
    <row r="7752" spans="1:44" hidden="1">
      <c r="A7752" s="1" t="s">
        <v>15124</v>
      </c>
      <c r="C7752" s="1">
        <v>1</v>
      </c>
      <c r="D7752" s="1" t="str">
        <f>"06322"</f>
        <v>06322</v>
      </c>
      <c r="E7752" s="1" t="s">
        <v>1462</v>
      </c>
      <c r="F7752" s="1">
        <v>12</v>
      </c>
      <c r="G7752" s="1">
        <v>5</v>
      </c>
      <c r="H7752" s="1">
        <v>0</v>
      </c>
      <c r="I7752" s="1" t="s">
        <v>15120</v>
      </c>
      <c r="K7752" s="1" t="str">
        <f t="shared" si="490"/>
        <v>ㄑ</v>
      </c>
      <c r="L7752" s="1" t="str">
        <f t="shared" si="491"/>
        <v>ㄧ</v>
      </c>
      <c r="M7752" s="1" t="str">
        <f t="shared" si="488"/>
        <v>ㄚ</v>
      </c>
      <c r="P7752" s="1" t="s">
        <v>20</v>
      </c>
      <c r="R7752" s="1" t="s">
        <v>15121</v>
      </c>
      <c r="V7752" s="1" t="s">
        <v>15125</v>
      </c>
      <c r="AR7752" s="1" t="str">
        <f t="shared" si="489"/>
        <v>| [ㄑㄧㄚˇ](ㄑㄧㄚˇ.md) | [酠](酠.md) |  | qiǎ | [名]
苦酒。《玉篇．酉部》：「酠，苦酒也。」 |</v>
      </c>
    </row>
    <row r="7753" spans="1:44" hidden="1">
      <c r="A7753" s="1" t="s">
        <v>15126</v>
      </c>
      <c r="C7753" s="1">
        <v>1</v>
      </c>
      <c r="D7753" s="1" t="str">
        <f>"06323"</f>
        <v>06323</v>
      </c>
      <c r="E7753" s="1" t="s">
        <v>129</v>
      </c>
      <c r="F7753" s="1">
        <v>9</v>
      </c>
      <c r="G7753" s="1">
        <v>6</v>
      </c>
      <c r="H7753" s="1">
        <v>1</v>
      </c>
      <c r="I7753" s="1" t="s">
        <v>15127</v>
      </c>
      <c r="K7753" s="1" t="str">
        <f t="shared" si="490"/>
        <v>ㄑ</v>
      </c>
      <c r="L7753" s="1" t="str">
        <f t="shared" si="491"/>
        <v>ㄧ</v>
      </c>
      <c r="M7753" s="1" t="str">
        <f t="shared" si="488"/>
        <v>ㄚ</v>
      </c>
      <c r="P7753" s="1" t="s">
        <v>20</v>
      </c>
      <c r="R7753" s="1" t="s">
        <v>15128</v>
      </c>
      <c r="V7753" s="1" t="s">
        <v>15129</v>
      </c>
      <c r="W7753" s="1" t="s">
        <v>15130</v>
      </c>
      <c r="AR7753" s="1" t="str">
        <f t="shared" si="489"/>
        <v>| [ㄑㄧㄚˋ](ㄑㄧㄚˋ.md) | [洽](洽.md) |  | qià | [動]
1.浸潤、沾溼。《說文解字．水部》：「洽，霑也。」晉．王嘉《拾遺記》卷五：「帝彌思求，終不復見，涕泣洽席。」
2.深入。《書經．大禹謨》：「好生之德，洽于民心。」
3.合、會合。《詩經．周頌．載芟》：「為酒為醴，烝畀祖妣，以洽百禮。」
4.和睦、協調。如：「融洽」。晉．陶淵明〈答龐參軍詩〉：「歡心孔洽，棟宇惟鄰。」
5.商量、商談。如：「洽商」、「接洽」、「洽租」。
[形]
廣博、周遍。如：「博識洽聞」。《後漢書．卷二七．杜林傳》：「林從竦受學，博洽多聞，時稱通儒。」 |</v>
      </c>
    </row>
    <row r="7754" spans="1:44" hidden="1">
      <c r="A7754" s="1" t="s">
        <v>15131</v>
      </c>
      <c r="C7754" s="1">
        <v>1</v>
      </c>
      <c r="D7754" s="1" t="str">
        <f>"06324"</f>
        <v>06324</v>
      </c>
      <c r="E7754" s="1" t="s">
        <v>250</v>
      </c>
      <c r="F7754" s="1">
        <v>9</v>
      </c>
      <c r="G7754" s="1">
        <v>6</v>
      </c>
      <c r="H7754" s="1">
        <v>0</v>
      </c>
      <c r="I7754" s="1" t="s">
        <v>15127</v>
      </c>
      <c r="K7754" s="1" t="str">
        <f t="shared" si="490"/>
        <v>ㄑ</v>
      </c>
      <c r="L7754" s="1" t="str">
        <f t="shared" si="491"/>
        <v>ㄧ</v>
      </c>
      <c r="M7754" s="1" t="str">
        <f t="shared" si="488"/>
        <v>ㄚ</v>
      </c>
      <c r="P7754" s="1" t="s">
        <v>20</v>
      </c>
      <c r="R7754" s="1" t="s">
        <v>15128</v>
      </c>
      <c r="V7754" s="1" t="s">
        <v>15132</v>
      </c>
      <c r="AR7754" s="1" t="str">
        <f t="shared" si="489"/>
        <v>| [ㄑㄧㄚˋ](ㄑㄧㄚˋ.md) | [恰](恰.md) |  | qià | [副]
1.剛好、正好。如：「恰好」、「恰如」、「恰到好處」。唐．杜甫〈南鄰〉詩：「秋水纔深四五尺，野航恰受兩三人。」
2.適當、合適。如：「恰當」、「恰如其分」。 |</v>
      </c>
    </row>
    <row r="7755" spans="1:44" hidden="1">
      <c r="A7755" s="1" t="s">
        <v>15133</v>
      </c>
      <c r="C7755" s="1">
        <v>1</v>
      </c>
      <c r="D7755" s="1" t="str">
        <f>"06325"</f>
        <v>06325</v>
      </c>
      <c r="E7755" s="1" t="s">
        <v>222</v>
      </c>
      <c r="F7755" s="1">
        <v>9</v>
      </c>
      <c r="G7755" s="1">
        <v>6</v>
      </c>
      <c r="H7755" s="1">
        <v>0</v>
      </c>
      <c r="I7755" s="1" t="s">
        <v>15127</v>
      </c>
      <c r="K7755" s="1" t="str">
        <f t="shared" si="490"/>
        <v>ㄑ</v>
      </c>
      <c r="L7755" s="1" t="str">
        <f t="shared" si="491"/>
        <v>ㄧ</v>
      </c>
      <c r="M7755" s="1" t="str">
        <f t="shared" si="488"/>
        <v>ㄚ</v>
      </c>
      <c r="P7755" s="1" t="s">
        <v>20</v>
      </c>
      <c r="R7755" s="1" t="s">
        <v>15128</v>
      </c>
      <c r="V7755" s="1" t="s">
        <v>15134</v>
      </c>
      <c r="AR7755" s="1" t="str">
        <f t="shared" si="489"/>
        <v>| [ㄑㄧㄚˋ](ㄑㄧㄚˋ.md) | [帢](帢.md) |  | qià | 參見「帢帽」條。 |</v>
      </c>
    </row>
    <row r="7756" spans="1:44" hidden="1">
      <c r="A7756" s="1" t="s">
        <v>13469</v>
      </c>
      <c r="C7756" s="1">
        <v>1</v>
      </c>
      <c r="D7756" s="1" t="str">
        <f>"06326"</f>
        <v>06326</v>
      </c>
      <c r="E7756" s="1" t="s">
        <v>139</v>
      </c>
      <c r="F7756" s="1">
        <v>13</v>
      </c>
      <c r="G7756" s="1">
        <v>9</v>
      </c>
      <c r="H7756" s="1">
        <v>2</v>
      </c>
      <c r="I7756" s="1" t="s">
        <v>15127</v>
      </c>
      <c r="K7756" s="1" t="str">
        <f t="shared" si="490"/>
        <v>ㄑ</v>
      </c>
      <c r="L7756" s="1" t="str">
        <f t="shared" si="491"/>
        <v>ㄧ</v>
      </c>
      <c r="M7756" s="1" t="str">
        <f t="shared" si="488"/>
        <v>ㄚ</v>
      </c>
      <c r="P7756" s="1" t="s">
        <v>20</v>
      </c>
      <c r="R7756" s="1" t="s">
        <v>15128</v>
      </c>
      <c r="V7756" s="1" t="s">
        <v>15135</v>
      </c>
      <c r="W7756" s="1" t="s">
        <v>15136</v>
      </c>
      <c r="AR7756" s="1" t="str">
        <f t="shared" si="489"/>
        <v>| [ㄑㄧㄚˋ](ㄑㄧㄚˋ.md) | [楬](楬.md) |  | qià | [名]
樂器名。即敔。參見「敔」條。 |</v>
      </c>
    </row>
    <row r="7757" spans="1:44" hidden="1">
      <c r="A7757" s="1" t="s">
        <v>15137</v>
      </c>
      <c r="C7757" s="1">
        <v>1</v>
      </c>
      <c r="D7757" s="1" t="str">
        <f>"06327"</f>
        <v>06327</v>
      </c>
      <c r="E7757" s="1" t="s">
        <v>185</v>
      </c>
      <c r="F7757" s="1">
        <v>4</v>
      </c>
      <c r="G7757" s="1">
        <v>2</v>
      </c>
      <c r="H7757" s="1">
        <v>2</v>
      </c>
      <c r="I7757" s="1" t="s">
        <v>15138</v>
      </c>
      <c r="K7757" s="1" t="str">
        <f t="shared" si="490"/>
        <v>ㄑ</v>
      </c>
      <c r="L7757" s="1" t="str">
        <f t="shared" si="491"/>
        <v>ㄧ</v>
      </c>
      <c r="M7757" s="1" t="str">
        <f t="shared" si="488"/>
        <v>ㄝ</v>
      </c>
      <c r="P7757" s="1" t="s">
        <v>20</v>
      </c>
      <c r="R7757" s="1" t="s">
        <v>15139</v>
      </c>
      <c r="V7757" s="1" t="s">
        <v>15140</v>
      </c>
      <c r="W7757" s="1" t="s">
        <v>15141</v>
      </c>
      <c r="AR7757" s="1" t="str">
        <f t="shared" si="489"/>
        <v>| [ㄑㄧㄝ](ㄑㄧㄝ.md) | [切](切.md) |  | qiē | [動]
1.用刀把東西割斷、分開成幾部分。如：「切菜」、「切斷」、「切割」、「切水果」。
2.向批發商批購貨物。如：「切貨」。
3.電訊傳播中，截斷目前通訊，將第三消息插入。如：「將鏡頭切進來。」
4.籃球賽中閃身進攻對方籃下。如：「空手切入」、「單刀切入」。
5.一種球技。利用球拍做下切動作，使之旋轉。用於網球、乒乓球等。
6.幾何學上指直線與弧線或兩弧線相接於一點。如：「兩圓相切」。 |</v>
      </c>
    </row>
    <row r="7758" spans="1:44" hidden="1">
      <c r="A7758" s="1" t="s">
        <v>13227</v>
      </c>
      <c r="C7758" s="1">
        <v>1</v>
      </c>
      <c r="D7758" s="1" t="str">
        <f>"06328"</f>
        <v>06328</v>
      </c>
      <c r="E7758" s="1" t="s">
        <v>114</v>
      </c>
      <c r="F7758" s="1">
        <v>7</v>
      </c>
      <c r="G7758" s="1">
        <v>5</v>
      </c>
      <c r="H7758" s="1">
        <v>1</v>
      </c>
      <c r="I7758" s="1" t="s">
        <v>15142</v>
      </c>
      <c r="K7758" s="1" t="str">
        <f t="shared" si="490"/>
        <v>ㄑ</v>
      </c>
      <c r="L7758" s="1" t="str">
        <f t="shared" si="491"/>
        <v>ㄧ</v>
      </c>
      <c r="M7758" s="1" t="str">
        <f t="shared" si="488"/>
        <v>ㄝ</v>
      </c>
      <c r="P7758" s="1" t="s">
        <v>20</v>
      </c>
      <c r="R7758" s="1" t="s">
        <v>15143</v>
      </c>
      <c r="V7758" s="1" t="s">
        <v>15144</v>
      </c>
      <c r="W7758" s="1" t="s">
        <v>15145</v>
      </c>
      <c r="AR7758" s="1" t="str">
        <f t="shared" si="489"/>
        <v>| [ㄑㄧㄝˊ](ㄑㄧㄝˊ.md) | [伽](伽.md) |  | qié | [名]
譯音用字。常用於梵語譯音。如：「伽藍」、「伽陀」。 |</v>
      </c>
    </row>
    <row r="7759" spans="1:44" hidden="1">
      <c r="A7759" s="1" t="s">
        <v>13234</v>
      </c>
      <c r="C7759" s="1">
        <v>1</v>
      </c>
      <c r="D7759" s="1" t="str">
        <f>"06329"</f>
        <v>06329</v>
      </c>
      <c r="E7759" s="1" t="s">
        <v>37</v>
      </c>
      <c r="F7759" s="1">
        <v>9</v>
      </c>
      <c r="G7759" s="1">
        <v>5</v>
      </c>
      <c r="H7759" s="1">
        <v>1</v>
      </c>
      <c r="I7759" s="1" t="s">
        <v>15142</v>
      </c>
      <c r="K7759" s="1" t="str">
        <f t="shared" si="490"/>
        <v>ㄑ</v>
      </c>
      <c r="L7759" s="1" t="str">
        <f t="shared" si="491"/>
        <v>ㄧ</v>
      </c>
      <c r="M7759" s="1" t="str">
        <f t="shared" si="488"/>
        <v>ㄝ</v>
      </c>
      <c r="P7759" s="1" t="s">
        <v>20</v>
      </c>
      <c r="R7759" s="1" t="s">
        <v>15143</v>
      </c>
      <c r="V7759" s="1" t="s">
        <v>15146</v>
      </c>
      <c r="W7759" s="1" t="s">
        <v>15147</v>
      </c>
      <c r="AR7759" s="1" t="str">
        <f t="shared" si="489"/>
        <v>| [ㄑㄧㄝˊ](ㄑㄧㄝˊ.md) | [茄](茄.md) |  | qié | [名]
植物名。茄科茄屬，「茄子」之簡稱，參見「茄子」條。 |</v>
      </c>
    </row>
    <row r="7760" spans="1:44" hidden="1">
      <c r="A7760" s="1" t="s">
        <v>14326</v>
      </c>
      <c r="C7760" s="1">
        <v>1</v>
      </c>
      <c r="D7760" s="1" t="str">
        <f>"06330"</f>
        <v>06330</v>
      </c>
      <c r="E7760" s="1" t="s">
        <v>789</v>
      </c>
      <c r="F7760" s="1">
        <v>5</v>
      </c>
      <c r="G7760" s="1">
        <v>4</v>
      </c>
      <c r="H7760" s="1">
        <v>1</v>
      </c>
      <c r="I7760" s="1" t="s">
        <v>15148</v>
      </c>
      <c r="K7760" s="1" t="str">
        <f t="shared" si="490"/>
        <v>ㄑ</v>
      </c>
      <c r="L7760" s="1" t="str">
        <f t="shared" si="491"/>
        <v>ㄧ</v>
      </c>
      <c r="M7760" s="1" t="str">
        <f t="shared" si="488"/>
        <v>ㄝ</v>
      </c>
      <c r="P7760" s="1" t="s">
        <v>20</v>
      </c>
      <c r="R7760" s="1" t="s">
        <v>15149</v>
      </c>
      <c r="V7760" s="1" t="s">
        <v>15150</v>
      </c>
      <c r="W7760" s="1" t="s">
        <v>15151</v>
      </c>
      <c r="AR7760" s="1" t="str">
        <f t="shared" si="489"/>
        <v>| [ㄑㄧㄝˇ](ㄑㄧㄝˇ.md) | [且](且.md) |  | qiě | [副]_x000D_
1.暫時。如：「你且坐著」。《史記．卷六六．伍子胥列傳》：「民勞，未可，且待之。」_x000D_
2.將、將要。如：「旦暮且下」。《戰國策．齊策一》：「魏有破韓之志，韓見且亡，必東愬於齊。」_x000D_
3.只。宋．蘇軾〈虞美人．持杯遙勸天邊月〉詞：「持杯復更勸花枝，且願花枝常在莫披離。」《水滸傳》第六五回：「我自要幹大事，那里且報小仇。」_x000D_
[連]_x000D_
1.又、並。如：「老榕樹既高且大。」《詩經．小雅．魚麗》：「君子有酒，旨且多。」《左傳．僖公二十四年》：「以志吾過，且旌善人。」_x000D_
2.況、何況。《左傳．僖公二十八年》：「且楚師老矣，何故退？」《三國志．卷三五．蜀書．諸葛亮傳》：「且北方之人，不習水戰。」_x000D_
3.尚、還。如：「尚且」、「然且不可」。《孟子．公孫丑下》：「然則聖人且有過與？」_x000D_
4.抑、或者。《戰國策．齊策四》：「王以天下為尊秦乎？且尊齊乎？」《史記．卷四四．魏世家》：「富貴者驕人乎？且貧賤者驕人乎？」_x000D_
5.表示同時做兩件事情。如：「且歌且舞」、「且戰且走」。《西遊記》第六一回：「那魔王奮勇爭強，且行且鬥，鬥了一夜，不分上下。」《海上花列傳》第九回：「蕙貞脫身站在當地，手指著小紅，且哭且罵。」 |</v>
      </c>
    </row>
    <row r="7761" spans="1:44" hidden="1">
      <c r="A7761" s="1" t="s">
        <v>15137</v>
      </c>
      <c r="C7761" s="1">
        <v>1</v>
      </c>
      <c r="D7761" s="1" t="str">
        <f>"06331"</f>
        <v>06331</v>
      </c>
      <c r="E7761" s="1" t="s">
        <v>185</v>
      </c>
      <c r="F7761" s="1">
        <v>4</v>
      </c>
      <c r="G7761" s="1">
        <v>2</v>
      </c>
      <c r="H7761" s="1">
        <v>1</v>
      </c>
      <c r="I7761" s="1" t="s">
        <v>15152</v>
      </c>
      <c r="K7761" s="1" t="str">
        <f t="shared" si="490"/>
        <v>ㄑ</v>
      </c>
      <c r="L7761" s="1" t="str">
        <f t="shared" si="491"/>
        <v>ㄧ</v>
      </c>
      <c r="M7761" s="1" t="str">
        <f t="shared" si="488"/>
        <v>ㄝ</v>
      </c>
      <c r="P7761" s="1" t="s">
        <v>20</v>
      </c>
      <c r="R7761" s="1" t="s">
        <v>15153</v>
      </c>
      <c r="V7761" s="1" t="s">
        <v>15154</v>
      </c>
      <c r="W7761" s="1" t="s">
        <v>15155</v>
      </c>
      <c r="AR7761" s="1" t="str">
        <f t="shared" si="489"/>
        <v>| [ㄑㄧㄝˋ](ㄑㄧㄝˋ.md) | [切](切.md) |  | qiè | [動]_x000D_
1.咬、咬緊。如：「咬牙切齒」。《史記．卷八六．刺客列傳．荊軻》：「此臣之日夜切齒腐心也。」_x000D_
2.貼近。如：「切身之痛」、「不切實際」。《荀子．勸學》：「詩書故而不切。」_x000D_
3.按脈。如：「望、聞、問、切」。《史記．卷一〇五．扁鵲倉公列傳．扁鵲》：「不待切脈望色，聽聲寫形，言病之所在。」_x000D_
[形]_x000D_
1.密合。如：「貼切」、「親切」。《晉書．卷五六．列傳．江統》：「申論陸雲兄弟，辭甚切至。」_x000D_
2.急迫、急促。如：「返鄉心切」、「杜鵑聲切」。晉．李密〈陳情表〉：「詔書切峻，責臣逋慢。」_x000D_
3.所有的。參見「一切」條。_x000D_
[副]_x000D_
一定、千萬。如：「切記」。《老殘遊記》第一回：「諸位切不可亂動。」_x000D_
[名]_x000D_
1.要點。《漢書．卷八七．揚雄傳下》：「請略舉凡，而客自覽其切焉。」_x000D_
2.古代拼音法。將兩字拼讀成一字的聲音。原則是上字取聲，下字取韻、調，如「端，都官切。」都取ㄉ音，官取ㄨㄢ韻，合讀為「ㄉㄨㄢ」。參見「反切」條。 |</v>
      </c>
    </row>
    <row r="7762" spans="1:44" hidden="1">
      <c r="A7762" s="1" t="s">
        <v>15089</v>
      </c>
      <c r="C7762" s="1">
        <v>1</v>
      </c>
      <c r="D7762" s="1" t="str">
        <f>"06332"</f>
        <v>06332</v>
      </c>
      <c r="E7762" s="1" t="s">
        <v>169</v>
      </c>
      <c r="F7762" s="1">
        <v>9</v>
      </c>
      <c r="G7762" s="1">
        <v>4</v>
      </c>
      <c r="H7762" s="1">
        <v>2</v>
      </c>
      <c r="I7762" s="1" t="s">
        <v>15152</v>
      </c>
      <c r="K7762" s="1" t="str">
        <f t="shared" si="490"/>
        <v>ㄑ</v>
      </c>
      <c r="L7762" s="1" t="str">
        <f t="shared" si="491"/>
        <v>ㄧ</v>
      </c>
      <c r="M7762" s="1" t="str">
        <f t="shared" si="488"/>
        <v>ㄝ</v>
      </c>
      <c r="P7762" s="1" t="s">
        <v>20</v>
      </c>
      <c r="R7762" s="1" t="s">
        <v>15153</v>
      </c>
      <c r="V7762" s="1" t="s">
        <v>15156</v>
      </c>
      <c r="W7762" s="1" t="s">
        <v>15157</v>
      </c>
      <c r="AR7762" s="1" t="str">
        <f t="shared" si="489"/>
        <v>| [ㄑㄧㄝˋ](ㄑㄧㄝˋ.md) | [砌](砌.md) |  | qiè | [名]
舊時戲曲中滑稽笑謔的動作稱為「砌」。《永樂大典戲文三種．張協狀元．第一出》：「酬酢詞源諢砌，聽談論四座皆驚。」
[動]
1.嘲笑、諷刺。《醒世姻緣傳》第八三回：「我說個笑話兒，怎麼就是砌你？」
2.扮演。明．湯顯祖《牡丹亭》第一五齣：「俺怕不占場兒砌一個『錦西湖上馬嬌』。」 |</v>
      </c>
    </row>
    <row r="7763" spans="1:44" hidden="1">
      <c r="A7763" s="1" t="s">
        <v>15158</v>
      </c>
      <c r="C7763" s="1">
        <v>1</v>
      </c>
      <c r="D7763" s="1" t="str">
        <f>"06333"</f>
        <v>06333</v>
      </c>
      <c r="E7763" s="1" t="s">
        <v>534</v>
      </c>
      <c r="F7763" s="1">
        <v>8</v>
      </c>
      <c r="G7763" s="1">
        <v>5</v>
      </c>
      <c r="H7763" s="1">
        <v>0</v>
      </c>
      <c r="I7763" s="1" t="s">
        <v>15152</v>
      </c>
      <c r="K7763" s="1" t="str">
        <f t="shared" si="490"/>
        <v>ㄑ</v>
      </c>
      <c r="L7763" s="1" t="str">
        <f t="shared" si="491"/>
        <v>ㄧ</v>
      </c>
      <c r="M7763" s="1" t="str">
        <f t="shared" si="488"/>
        <v>ㄝ</v>
      </c>
      <c r="P7763" s="1" t="s">
        <v>20</v>
      </c>
      <c r="R7763" s="1" t="s">
        <v>15153</v>
      </c>
      <c r="V7763" s="1" t="s">
        <v>15159</v>
      </c>
      <c r="AR7763" s="1" t="str">
        <f t="shared" si="489"/>
        <v>| [ㄑㄧㄝˋ](ㄑㄧㄝˋ.md) | [妾](妾.md) |  | qiè | [名]
1.古代女子對自己的謙稱。如：「賤妾」。南朝宋．劉義慶《幽明錄．賣胡粉女子》：「妾豈復吝死，乞一臨尸盡哀。」唐．李益〈江南曲〉：「嫁得瞿塘賈，朝朝誤妾期。」
2.男子的側室。俗稱為「姨太太」、「小老婆」。如：「三妻四妾」。元．劉時中〈端正好．眾生靈遭磨障套．叨叨令〉曲：「有錢的納寵妾買人口偏興旺，無錢的受飢餒填清壑遭災障。」 |</v>
      </c>
    </row>
    <row r="7764" spans="1:44" hidden="1">
      <c r="A7764" s="1" t="s">
        <v>15160</v>
      </c>
      <c r="C7764" s="1">
        <v>1</v>
      </c>
      <c r="D7764" s="1" t="str">
        <f>"06334"</f>
        <v>06334</v>
      </c>
      <c r="E7764" s="1" t="s">
        <v>28</v>
      </c>
      <c r="F7764" s="1">
        <v>11</v>
      </c>
      <c r="G7764" s="1">
        <v>8</v>
      </c>
      <c r="H7764" s="1">
        <v>3</v>
      </c>
      <c r="I7764" s="1" t="s">
        <v>15152</v>
      </c>
      <c r="K7764" s="1" t="str">
        <f t="shared" si="490"/>
        <v>ㄑ</v>
      </c>
      <c r="L7764" s="1" t="str">
        <f t="shared" si="491"/>
        <v>ㄧ</v>
      </c>
      <c r="M7764" s="1" t="str">
        <f t="shared" si="488"/>
        <v>ㄝ</v>
      </c>
      <c r="P7764" s="1" t="s">
        <v>20</v>
      </c>
      <c r="R7764" s="1" t="s">
        <v>15153</v>
      </c>
      <c r="V7764" s="1" t="s">
        <v>15161</v>
      </c>
      <c r="W7764" s="1" t="s">
        <v>15162</v>
      </c>
      <c r="AR7764" s="1" t="str">
        <f t="shared" si="489"/>
        <v>| [ㄑㄧㄝˋ](ㄑㄧㄝˋ.md) | [唼](唼.md) |  | qiè | 參見「唼佞」條。 |</v>
      </c>
    </row>
    <row r="7765" spans="1:44" hidden="1">
      <c r="A7765" s="1" t="s">
        <v>15163</v>
      </c>
      <c r="C7765" s="1">
        <v>1</v>
      </c>
      <c r="D7765" s="1" t="str">
        <f>"06335"</f>
        <v>06335</v>
      </c>
      <c r="E7765" s="1" t="s">
        <v>77</v>
      </c>
      <c r="F7765" s="1">
        <v>15</v>
      </c>
      <c r="G7765" s="1">
        <v>8</v>
      </c>
      <c r="H7765" s="1">
        <v>0</v>
      </c>
      <c r="I7765" s="1" t="s">
        <v>15152</v>
      </c>
      <c r="K7765" s="1" t="str">
        <f t="shared" si="490"/>
        <v>ㄑ</v>
      </c>
      <c r="L7765" s="1" t="str">
        <f t="shared" si="491"/>
        <v>ㄧ</v>
      </c>
      <c r="M7765" s="1" t="str">
        <f t="shared" ref="M7765:M7828" si="492">MID(I7765, 3, 1)</f>
        <v>ㄝ</v>
      </c>
      <c r="P7765" s="1" t="s">
        <v>20</v>
      </c>
      <c r="R7765" s="1" t="s">
        <v>15153</v>
      </c>
      <c r="V7765" s="1" t="s">
        <v>15164</v>
      </c>
      <c r="AR7765" s="1" t="str">
        <f t="shared" si="489"/>
        <v>| [ㄑㄧㄝˋ](ㄑㄧㄝˋ.md) | [踥](踥.md) |  | qiè | 參見「踥蹀」、「踥踥」等條。 |</v>
      </c>
    </row>
    <row r="7766" spans="1:44" hidden="1">
      <c r="A7766" s="1" t="s">
        <v>15165</v>
      </c>
      <c r="C7766" s="1">
        <v>1</v>
      </c>
      <c r="D7766" s="1" t="str">
        <f>"06336"</f>
        <v>06336</v>
      </c>
      <c r="E7766" s="1" t="s">
        <v>156</v>
      </c>
      <c r="F7766" s="1">
        <v>19</v>
      </c>
      <c r="G7766" s="1">
        <v>8</v>
      </c>
      <c r="H7766" s="1">
        <v>0</v>
      </c>
      <c r="I7766" s="1" t="s">
        <v>15152</v>
      </c>
      <c r="K7766" s="1" t="str">
        <f t="shared" si="490"/>
        <v>ㄑ</v>
      </c>
      <c r="L7766" s="1" t="str">
        <f t="shared" si="491"/>
        <v>ㄧ</v>
      </c>
      <c r="M7766" s="1" t="str">
        <f t="shared" si="492"/>
        <v>ㄝ</v>
      </c>
      <c r="P7766" s="1" t="s">
        <v>20</v>
      </c>
      <c r="R7766" s="1" t="s">
        <v>15153</v>
      </c>
      <c r="V7766" s="1" t="s">
        <v>15166</v>
      </c>
      <c r="AR7766" s="1" t="str">
        <f t="shared" si="489"/>
        <v>| [ㄑㄧㄝˋ](ㄑㄧㄝˋ.md) | [鯜](鯜.md) |  | qiè | [名]
一種魚。常三魚同游，一在前，二在後若婢妾。明．張自烈《正字通．魚部》：「鯜，即妾魚。《爾雅》：鱖鯞，後人因郭璞謂妾魚。……崔豹謂之青衣魚，其行以三為率，一前二後若婢妾。」也作「鰈」。 |</v>
      </c>
    </row>
    <row r="7767" spans="1:44" hidden="1">
      <c r="A7767" s="1" t="s">
        <v>15167</v>
      </c>
      <c r="C7767" s="1">
        <v>1</v>
      </c>
      <c r="D7767" s="1" t="str">
        <f>"06337"</f>
        <v>06337</v>
      </c>
      <c r="E7767" s="1" t="s">
        <v>250</v>
      </c>
      <c r="F7767" s="1">
        <v>8</v>
      </c>
      <c r="G7767" s="1">
        <v>5</v>
      </c>
      <c r="H7767" s="1">
        <v>2</v>
      </c>
      <c r="I7767" s="1" t="s">
        <v>15152</v>
      </c>
      <c r="K7767" s="1" t="str">
        <f t="shared" si="490"/>
        <v>ㄑ</v>
      </c>
      <c r="L7767" s="1" t="str">
        <f t="shared" si="491"/>
        <v>ㄧ</v>
      </c>
      <c r="M7767" s="1" t="str">
        <f t="shared" si="492"/>
        <v>ㄝ</v>
      </c>
      <c r="P7767" s="1" t="s">
        <v>186</v>
      </c>
      <c r="R7767" s="1" t="s">
        <v>15153</v>
      </c>
      <c r="V7767" s="1" t="s">
        <v>206</v>
      </c>
      <c r="W7767" s="1" t="s">
        <v>15168</v>
      </c>
      <c r="AR7767" s="1" t="str">
        <f t="shared" si="489"/>
        <v>| [ㄑㄧㄝˋ](ㄑㄧㄝˋ.md) | [怯](怯.md) |  | qiè | (一)之讀音。 |</v>
      </c>
    </row>
    <row r="7768" spans="1:44" hidden="1">
      <c r="A7768" s="1" t="s">
        <v>15169</v>
      </c>
      <c r="C7768" s="1">
        <v>1</v>
      </c>
      <c r="D7768" s="1" t="str">
        <f>"06338"</f>
        <v>06338</v>
      </c>
      <c r="E7768" s="1" t="s">
        <v>6488</v>
      </c>
      <c r="F7768" s="1">
        <v>14</v>
      </c>
      <c r="G7768" s="1">
        <v>10</v>
      </c>
      <c r="H7768" s="1">
        <v>0</v>
      </c>
      <c r="I7768" s="1" t="s">
        <v>15152</v>
      </c>
      <c r="K7768" s="1" t="str">
        <f t="shared" si="490"/>
        <v>ㄑ</v>
      </c>
      <c r="L7768" s="1" t="str">
        <f t="shared" si="491"/>
        <v>ㄧ</v>
      </c>
      <c r="M7768" s="1" t="str">
        <f t="shared" si="492"/>
        <v>ㄝ</v>
      </c>
      <c r="P7768" s="1" t="s">
        <v>20</v>
      </c>
      <c r="R7768" s="1" t="s">
        <v>15153</v>
      </c>
      <c r="V7768" s="1" t="s">
        <v>15170</v>
      </c>
      <c r="AR7768" s="1" t="str">
        <f t="shared" si="489"/>
        <v>| [ㄑㄧㄝˋ](ㄑㄧㄝˋ.md) | [朅](朅.md) |  | qiè | [動]
離去。《說文解字．去部》：「朅，去也。」《呂氏春秋．士容論．士容》：「富貴弗就，而貧賤弗朅。」
[形]
威武雄壯。《詩經．衛風．碩人》：「庶姜孽孽，庶士有朅。」
[副]
為何、如何。晉．束晳〈近遊賦〉：「攀蓽門而高蹈，朅徘徊而近遊。」
[助]
發語詞，無義。宋．蘇軾〈生日王郎以詩見慶次其韻并寄茶二十一片〉詩：「朅從冰叟來游宦，肯伴臞仙亦號儒。」 |</v>
      </c>
    </row>
    <row r="7769" spans="1:44" hidden="1">
      <c r="A7769" s="1" t="s">
        <v>15082</v>
      </c>
      <c r="C7769" s="1">
        <v>1</v>
      </c>
      <c r="D7769" s="1" t="str">
        <f>"06339"</f>
        <v>06339</v>
      </c>
      <c r="E7769" s="1" t="s">
        <v>563</v>
      </c>
      <c r="F7769" s="1">
        <v>9</v>
      </c>
      <c r="G7769" s="1">
        <v>6</v>
      </c>
      <c r="H7769" s="1">
        <v>2</v>
      </c>
      <c r="I7769" s="1" t="s">
        <v>15152</v>
      </c>
      <c r="K7769" s="1" t="str">
        <f t="shared" si="490"/>
        <v>ㄑ</v>
      </c>
      <c r="L7769" s="1" t="str">
        <f t="shared" si="491"/>
        <v>ㄧ</v>
      </c>
      <c r="M7769" s="1" t="str">
        <f t="shared" si="492"/>
        <v>ㄝ</v>
      </c>
      <c r="P7769" s="1" t="s">
        <v>20</v>
      </c>
      <c r="R7769" s="1" t="s">
        <v>15153</v>
      </c>
      <c r="V7769" s="1" t="s">
        <v>15171</v>
      </c>
      <c r="W7769" s="1" t="s">
        <v>15172</v>
      </c>
      <c r="AR7769" s="1" t="str">
        <f t="shared" si="489"/>
        <v>| [ㄑㄧㄝˋ](ㄑㄧㄝˋ.md) | [契](契.md) |  | qiè | [動]
(一)[動]2.之又音。
[形]
畏怯。通「怯」。參見「契需」條。 |</v>
      </c>
    </row>
    <row r="7770" spans="1:44" hidden="1">
      <c r="A7770" s="1" t="s">
        <v>15173</v>
      </c>
      <c r="C7770" s="1">
        <v>1</v>
      </c>
      <c r="D7770" s="1" t="str">
        <f>"06340"</f>
        <v>06340</v>
      </c>
      <c r="E7770" s="1" t="s">
        <v>24</v>
      </c>
      <c r="F7770" s="1">
        <v>10</v>
      </c>
      <c r="G7770" s="1">
        <v>6</v>
      </c>
      <c r="H7770" s="1">
        <v>0</v>
      </c>
      <c r="I7770" s="1" t="s">
        <v>15152</v>
      </c>
      <c r="K7770" s="1" t="str">
        <f t="shared" si="490"/>
        <v>ㄑ</v>
      </c>
      <c r="L7770" s="1" t="str">
        <f t="shared" si="491"/>
        <v>ㄧ</v>
      </c>
      <c r="M7770" s="1" t="str">
        <f t="shared" si="492"/>
        <v>ㄝ</v>
      </c>
      <c r="P7770" s="1" t="s">
        <v>20</v>
      </c>
      <c r="R7770" s="1" t="s">
        <v>15153</v>
      </c>
      <c r="V7770" s="1" t="s">
        <v>15174</v>
      </c>
      <c r="AR7770" s="1" t="str">
        <f t="shared" si="489"/>
        <v>| [ㄑㄧㄝˋ](ㄑㄧㄝˋ.md) | [挈](挈.md) |  | qiè | [動]
1.提、舉。如：「提綱挈領」。《荀子．勸學》：「若挈裘領，詘五指而頓之，順者不可勝數也。」
2.帶領。如：「扶老挈幼」。《穀梁傳．僖公二年》：「挈其妻子以奔曹。」 |</v>
      </c>
    </row>
    <row r="7771" spans="1:44" hidden="1">
      <c r="A7771" s="1" t="s">
        <v>15175</v>
      </c>
      <c r="C7771" s="1">
        <v>1</v>
      </c>
      <c r="D7771" s="1" t="str">
        <f>"06341"</f>
        <v>06341</v>
      </c>
      <c r="E7771" s="1" t="s">
        <v>55</v>
      </c>
      <c r="F7771" s="1">
        <v>17</v>
      </c>
      <c r="G7771" s="1">
        <v>9</v>
      </c>
      <c r="H7771" s="1">
        <v>0</v>
      </c>
      <c r="I7771" s="1" t="s">
        <v>15152</v>
      </c>
      <c r="K7771" s="1" t="str">
        <f t="shared" si="490"/>
        <v>ㄑ</v>
      </c>
      <c r="L7771" s="1" t="str">
        <f t="shared" si="491"/>
        <v>ㄧ</v>
      </c>
      <c r="M7771" s="1" t="str">
        <f t="shared" si="492"/>
        <v>ㄝ</v>
      </c>
      <c r="P7771" s="1" t="s">
        <v>20</v>
      </c>
      <c r="R7771" s="1" t="s">
        <v>15153</v>
      </c>
      <c r="V7771" s="1" t="s">
        <v>15176</v>
      </c>
      <c r="AR7771" s="1" t="str">
        <f t="shared" si="489"/>
        <v>| [ㄑㄧㄝˋ](ㄑㄧㄝˋ.md) | [鍥](鍥.md) |  | qiè | [動]
1.刻。《荀子．勸學》：「鍥而不舍，金石可鏤。」
2.砍斷。《戰國策．宋策》：「鍥朝涉之脛而國人大駭。」 |</v>
      </c>
    </row>
    <row r="7772" spans="1:44" hidden="1">
      <c r="A7772" s="1" t="s">
        <v>15177</v>
      </c>
      <c r="C7772" s="1">
        <v>1</v>
      </c>
      <c r="D7772" s="1" t="str">
        <f>"06342"</f>
        <v>06342</v>
      </c>
      <c r="E7772" s="1" t="s">
        <v>250</v>
      </c>
      <c r="F7772" s="1">
        <v>12</v>
      </c>
      <c r="G7772" s="1">
        <v>9</v>
      </c>
      <c r="H7772" s="1">
        <v>0</v>
      </c>
      <c r="I7772" s="1" t="s">
        <v>15152</v>
      </c>
      <c r="K7772" s="1" t="str">
        <f t="shared" si="490"/>
        <v>ㄑ</v>
      </c>
      <c r="L7772" s="1" t="str">
        <f t="shared" si="491"/>
        <v>ㄧ</v>
      </c>
      <c r="M7772" s="1" t="str">
        <f t="shared" si="492"/>
        <v>ㄝ</v>
      </c>
      <c r="P7772" s="1" t="s">
        <v>20</v>
      </c>
      <c r="R7772" s="1" t="s">
        <v>15153</v>
      </c>
      <c r="V7772" s="1" t="s">
        <v>15178</v>
      </c>
      <c r="AR7772" s="1" t="str">
        <f t="shared" si="489"/>
        <v>| [ㄑㄧㄝˋ](ㄑㄧㄝˋ.md) | [愜](愜.md) |  | qiè | [形]
合適、滿足。如：「愜意」。《漢書．卷四．文帝紀》：「朕既不德，上帝神明未歆饗也，天下人民未有愜志。」南朝宋．謝靈運〈石壁精舍還湖中作〉詩：「慮澹物自輕，意愜理無違。」 |</v>
      </c>
    </row>
    <row r="7773" spans="1:44" hidden="1">
      <c r="A7773" s="1" t="s">
        <v>15179</v>
      </c>
      <c r="C7773" s="1">
        <v>1</v>
      </c>
      <c r="D7773" s="1" t="str">
        <f>"06343"</f>
        <v>06343</v>
      </c>
      <c r="E7773" s="1" t="s">
        <v>49</v>
      </c>
      <c r="F7773" s="1">
        <v>15</v>
      </c>
      <c r="G7773" s="1">
        <v>9</v>
      </c>
      <c r="H7773" s="1">
        <v>0</v>
      </c>
      <c r="I7773" s="1" t="s">
        <v>15152</v>
      </c>
      <c r="K7773" s="1" t="str">
        <f t="shared" si="490"/>
        <v>ㄑ</v>
      </c>
      <c r="L7773" s="1" t="str">
        <f t="shared" si="491"/>
        <v>ㄧ</v>
      </c>
      <c r="M7773" s="1" t="str">
        <f t="shared" si="492"/>
        <v>ㄝ</v>
      </c>
      <c r="P7773" s="1" t="s">
        <v>20</v>
      </c>
      <c r="R7773" s="1" t="s">
        <v>15153</v>
      </c>
      <c r="V7773" s="1" t="s">
        <v>15180</v>
      </c>
      <c r="AR7773" s="1" t="str">
        <f t="shared" si="489"/>
        <v>| [ㄑㄧㄝˋ](ㄑㄧㄝˋ.md) | [篋](篋.md) |  | qiè | [名]
放東西的箱子。如：「籐篋」、「書篋」。《戰國策．秦策一》：「乃夜發書，陳篋數十。」 |</v>
      </c>
    </row>
    <row r="7774" spans="1:44" hidden="1">
      <c r="A7774" s="1" t="s">
        <v>14347</v>
      </c>
      <c r="C7774" s="1">
        <v>1</v>
      </c>
      <c r="D7774" s="1" t="str">
        <f>"06344"</f>
        <v>06344</v>
      </c>
      <c r="E7774" s="1" t="s">
        <v>4563</v>
      </c>
      <c r="F7774" s="1">
        <v>12</v>
      </c>
      <c r="G7774" s="1">
        <v>5</v>
      </c>
      <c r="H7774" s="1">
        <v>2</v>
      </c>
      <c r="I7774" s="1" t="s">
        <v>15152</v>
      </c>
      <c r="K7774" s="1" t="str">
        <f t="shared" si="490"/>
        <v>ㄑ</v>
      </c>
      <c r="L7774" s="1" t="str">
        <f t="shared" si="491"/>
        <v>ㄧ</v>
      </c>
      <c r="M7774" s="1" t="str">
        <f t="shared" si="492"/>
        <v>ㄝ</v>
      </c>
      <c r="P7774" s="1" t="s">
        <v>20</v>
      </c>
      <c r="R7774" s="1" t="s">
        <v>15153</v>
      </c>
      <c r="V7774" s="1" t="s">
        <v>15181</v>
      </c>
      <c r="W7774" s="1" t="s">
        <v>15182</v>
      </c>
      <c r="AR7774" s="1" t="str">
        <f t="shared" si="489"/>
        <v>| [ㄑㄧㄝˋ](ㄑㄧㄝˋ.md) | [趄](趄.md) |  | qiè | [動]
斜靠、斜倚。元．王實甫《西廂記．第四本．第四折》：「欹珊枕把身軀兒趄。」
[形]
歪斜、不正。《水滸傳》第二二回：「宋江已有八分酒，腳步趄了，只顧踏去。」 |</v>
      </c>
    </row>
    <row r="7775" spans="1:44" hidden="1">
      <c r="A7775" s="1" t="s">
        <v>15183</v>
      </c>
      <c r="C7775" s="1">
        <v>1</v>
      </c>
      <c r="D7775" s="1" t="str">
        <f>"06345"</f>
        <v>06345</v>
      </c>
      <c r="E7775" s="1" t="s">
        <v>250</v>
      </c>
      <c r="F7775" s="1">
        <v>13</v>
      </c>
      <c r="G7775" s="1">
        <v>10</v>
      </c>
      <c r="H7775" s="1">
        <v>2</v>
      </c>
      <c r="I7775" s="1" t="s">
        <v>15152</v>
      </c>
      <c r="K7775" s="1" t="str">
        <f t="shared" si="490"/>
        <v>ㄑ</v>
      </c>
      <c r="L7775" s="1" t="str">
        <f t="shared" si="491"/>
        <v>ㄧ</v>
      </c>
      <c r="M7775" s="1" t="str">
        <f t="shared" si="492"/>
        <v>ㄝ</v>
      </c>
      <c r="P7775" s="1" t="s">
        <v>20</v>
      </c>
      <c r="R7775" s="1" t="s">
        <v>15153</v>
      </c>
      <c r="V7775" s="1" t="s">
        <v>15184</v>
      </c>
      <c r="W7775" s="1" t="s">
        <v>15185</v>
      </c>
      <c r="AR7775" s="1" t="str">
        <f t="shared" si="489"/>
        <v>| [ㄑㄧㄝˋ](ㄑㄧㄝˋ.md) | [慊](慊.md) |  | qiè | [動]
感到滿足、快適。《孟子．公孫丑上》：「行有不慊於心，則餒矣。」《莊子．天運》：「彼必齕挽裂，盡去而後慊。」 |</v>
      </c>
    </row>
    <row r="7776" spans="1:44" hidden="1">
      <c r="A7776" s="1" t="s">
        <v>15186</v>
      </c>
      <c r="C7776" s="1">
        <v>1</v>
      </c>
      <c r="D7776" s="1" t="str">
        <f>"06346"</f>
        <v>06346</v>
      </c>
      <c r="E7776" s="1" t="s">
        <v>1274</v>
      </c>
      <c r="F7776" s="1">
        <v>23</v>
      </c>
      <c r="G7776" s="1">
        <v>18</v>
      </c>
      <c r="H7776" s="1">
        <v>0</v>
      </c>
      <c r="I7776" s="1" t="s">
        <v>15152</v>
      </c>
      <c r="K7776" s="1" t="str">
        <f t="shared" si="490"/>
        <v>ㄑ</v>
      </c>
      <c r="L7776" s="1" t="str">
        <f t="shared" si="491"/>
        <v>ㄧ</v>
      </c>
      <c r="M7776" s="1" t="str">
        <f t="shared" si="492"/>
        <v>ㄝ</v>
      </c>
      <c r="P7776" s="1" t="s">
        <v>20</v>
      </c>
      <c r="R7776" s="1" t="s">
        <v>15153</v>
      </c>
      <c r="V7776" s="1" t="s">
        <v>15187</v>
      </c>
      <c r="AR7776" s="1" t="str">
        <f t="shared" si="489"/>
        <v>| [ㄑㄧㄝˋ](ㄑㄧㄝˋ.md) | [竊](竊.md) |  | qiè | [動]
盜取、偷。如：「竊取」。《周禮．地官．山虞》：「凡竊木者有刑罰。」《莊子．胠篋》：「彼竊鉤者誅，竊國者為諸侯。」
[副]
1.私下。用來謙指自己見解的不確定。《論語．述而》：「述而不作，信而好古，竊比於我老彭。」《戰國策．趙策四》：「老臣竊以為媼之愛燕后賢於長安君。」
2.偷偷的。如：「竊聽」、「暗自竊笑」。《史記．卷六五．孫子吳起傳》：「齊使以為奇，竊載與之齊。」《聊齋志異．卷一．王成》：「傳聞葛價翔貴，心竊喜。」 |</v>
      </c>
    </row>
    <row r="7777" spans="1:44" hidden="1">
      <c r="A7777" s="1" t="s">
        <v>10445</v>
      </c>
      <c r="C7777" s="1">
        <v>1</v>
      </c>
      <c r="D7777" s="1" t="str">
        <f>"06657"</f>
        <v>06657</v>
      </c>
      <c r="E7777" s="1" t="s">
        <v>336</v>
      </c>
      <c r="F7777" s="1">
        <v>8</v>
      </c>
      <c r="G7777" s="1">
        <v>4</v>
      </c>
      <c r="H7777" s="1">
        <v>2</v>
      </c>
      <c r="I7777" s="1" t="s">
        <v>15888</v>
      </c>
      <c r="K7777" s="1" t="str">
        <f t="shared" si="490"/>
        <v>ㄑ</v>
      </c>
      <c r="L7777" s="1" t="str">
        <f t="shared" si="491"/>
        <v>ㄩ</v>
      </c>
      <c r="M7777" s="1" t="str">
        <f t="shared" si="492"/>
        <v>ㄝ</v>
      </c>
      <c r="P7777" s="1" t="s">
        <v>20</v>
      </c>
      <c r="R7777" s="1" t="s">
        <v>15889</v>
      </c>
      <c r="V7777" s="1" t="s">
        <v>15890</v>
      </c>
      <c r="W7777" s="1" t="s">
        <v>15891</v>
      </c>
      <c r="AR7777" s="1" t="str">
        <f t="shared" si="489"/>
        <v>| [ㄑㄩㄝ](ㄑㄩㄝ.md) | [炔](炔.md) |  | quē | [名]
有機化合物的一類。為含有碳-碳參鍵的不飽和烴，化性活潑，可進行加成、聚合和氧化等反應。如：「乙炔」。 |</v>
      </c>
    </row>
    <row r="7778" spans="1:44" hidden="1">
      <c r="A7778" s="1" t="s">
        <v>15892</v>
      </c>
      <c r="C7778" s="1">
        <v>1</v>
      </c>
      <c r="D7778" s="1" t="str">
        <f>"06658"</f>
        <v>06658</v>
      </c>
      <c r="E7778" s="1" t="s">
        <v>175</v>
      </c>
      <c r="F7778" s="1">
        <v>10</v>
      </c>
      <c r="G7778" s="1">
        <v>4</v>
      </c>
      <c r="H7778" s="1">
        <v>0</v>
      </c>
      <c r="I7778" s="1" t="s">
        <v>15888</v>
      </c>
      <c r="K7778" s="1" t="str">
        <f t="shared" si="490"/>
        <v>ㄑ</v>
      </c>
      <c r="L7778" s="1" t="str">
        <f t="shared" si="491"/>
        <v>ㄩ</v>
      </c>
      <c r="M7778" s="1" t="str">
        <f t="shared" si="492"/>
        <v>ㄝ</v>
      </c>
      <c r="P7778" s="1" t="s">
        <v>20</v>
      </c>
      <c r="R7778" s="1" t="s">
        <v>15889</v>
      </c>
      <c r="V7778" s="1" t="s">
        <v>15893</v>
      </c>
      <c r="AR7778" s="1" t="str">
        <f t="shared" si="489"/>
        <v>| [ㄑㄩㄝ](ㄑㄩㄝ.md) | [缺](缺.md) |  | quē | [形]
殘破的。《淮南子．說林》：「為車者步行，陶者用缺盆。」唐．杜甫〈秋日夔州詠懷寄鄭監李賓客一百韻〉：「缺籬將棘拒，倒石賴藤纏。」
[名]
1.缺口、空隙。宋．岳飛〈滿江紅．怒髮衝冠〉詞：「駕長車踏破，賀蘭山缺。」
2.過錯、不完美的地方。如：「缺失」、「完美無缺」。《書經．君牙》：「啟祐我後人，咸以正，罔缺。」
3.職務的空額。如：「遺缺」、「肥缺」、「出缺」、「遇缺不補」。《儒林外史》第二二回：「弟已受職縣令，今發來應天候缺。」
[動]
1.短少、不足。如：「缺人」、「缺貨」。南朝梁．劉勰《文心雕龍．練字》：「是以馬字缺畫，而石建懼死。」
2.衰微、衰弱。《史記．卷一七．漢興以來諸侯王年表．序》：「厲、幽之後，王室缺，侯伯彊國興焉，天子微，弗能正。」南朝梁．劉勰《文心雕龍．史傳》：「昔者夫子閔王道之缺，傷斯文之墜。」
3.應到而未到。如：「缺席」、「缺課」、「缺勤」。 |</v>
      </c>
    </row>
    <row r="7779" spans="1:44" hidden="1">
      <c r="A7779" s="1" t="s">
        <v>15894</v>
      </c>
      <c r="C7779" s="1">
        <v>1</v>
      </c>
      <c r="D7779" s="1" t="str">
        <f>"06659"</f>
        <v>06659</v>
      </c>
      <c r="E7779" s="1" t="s">
        <v>709</v>
      </c>
      <c r="F7779" s="1">
        <v>18</v>
      </c>
      <c r="G7779" s="1">
        <v>10</v>
      </c>
      <c r="H7779" s="1">
        <v>2</v>
      </c>
      <c r="I7779" s="1" t="s">
        <v>15888</v>
      </c>
      <c r="K7779" s="1" t="str">
        <f t="shared" si="490"/>
        <v>ㄑ</v>
      </c>
      <c r="L7779" s="1" t="str">
        <f t="shared" si="491"/>
        <v>ㄩ</v>
      </c>
      <c r="M7779" s="1" t="str">
        <f t="shared" si="492"/>
        <v>ㄝ</v>
      </c>
      <c r="P7779" s="1" t="s">
        <v>20</v>
      </c>
      <c r="R7779" s="1" t="s">
        <v>15889</v>
      </c>
      <c r="V7779" s="1" t="s">
        <v>15895</v>
      </c>
      <c r="W7779" s="1" t="s">
        <v>15896</v>
      </c>
      <c r="AR7779" s="1" t="str">
        <f t="shared" si="489"/>
        <v>| [ㄑㄩㄝ](ㄑㄩㄝ.md) | [闕](闕.md) |  | quē | [名]
1.過失。《文選．司馬遷．報任少卿書》：「次之又不能拾遺補闕。」
2.官職的空位。宋．陳善《捫蝨新話．上集．卷一．前輩讀書不似今人滅裂》：「適有一美闕，二人競欲得之。」
[動]
1.虧損。《禮記．禮運》：「三五而盈，三五而闕。」
2.短少。宋．歐陽修〈與十二侄書〉：「吾不闕此物。」
[形]
1.未足數的。《舊唐書．卷九二．韋陟傳》：「闕員既少，取士良難。」
2.脫漏的。如：「闕文」、「闕字」。 |</v>
      </c>
    </row>
    <row r="7780" spans="1:44" hidden="1">
      <c r="A7780" s="1" t="s">
        <v>15897</v>
      </c>
      <c r="C7780" s="1">
        <v>1</v>
      </c>
      <c r="D7780" s="1" t="str">
        <f>"06660"</f>
        <v>06660</v>
      </c>
      <c r="E7780" s="1" t="s">
        <v>40</v>
      </c>
      <c r="F7780" s="1">
        <v>16</v>
      </c>
      <c r="G7780" s="1">
        <v>11</v>
      </c>
      <c r="H7780" s="1">
        <v>0</v>
      </c>
      <c r="I7780" s="1" t="s">
        <v>15898</v>
      </c>
      <c r="K7780" s="1" t="str">
        <f t="shared" si="490"/>
        <v>ㄑ</v>
      </c>
      <c r="L7780" s="1" t="str">
        <f t="shared" si="491"/>
        <v>ㄩ</v>
      </c>
      <c r="M7780" s="1" t="str">
        <f t="shared" si="492"/>
        <v>ㄝ</v>
      </c>
      <c r="P7780" s="1" t="s">
        <v>20</v>
      </c>
      <c r="R7780" s="1" t="s">
        <v>15899</v>
      </c>
      <c r="V7780" s="1" t="s">
        <v>15900</v>
      </c>
      <c r="AR7780" s="1" t="str">
        <f t="shared" si="489"/>
        <v>| [ㄑㄩㄝˊ](ㄑㄩㄝˊ.md) | [瘸](瘸.md) |  | qué | [形]
跛腳、行動不便的樣子。如：「瘸腿」。元．岳伯川《鐵拐李》第三折：「你一條腿瘸，你走不動。」 |</v>
      </c>
    </row>
    <row r="7781" spans="1:44" hidden="1">
      <c r="A7781" s="1" t="s">
        <v>15167</v>
      </c>
      <c r="C7781" s="1">
        <v>1</v>
      </c>
      <c r="D7781" s="1" t="str">
        <f>"06661"</f>
        <v>06661</v>
      </c>
      <c r="E7781" s="1" t="s">
        <v>250</v>
      </c>
      <c r="F7781" s="1">
        <v>8</v>
      </c>
      <c r="G7781" s="1">
        <v>5</v>
      </c>
      <c r="H7781" s="1">
        <v>1</v>
      </c>
      <c r="I7781" s="1" t="s">
        <v>15901</v>
      </c>
      <c r="K7781" s="1" t="str">
        <f t="shared" si="490"/>
        <v>ㄑ</v>
      </c>
      <c r="L7781" s="1" t="str">
        <f t="shared" si="491"/>
        <v>ㄩ</v>
      </c>
      <c r="M7781" s="1" t="str">
        <f t="shared" si="492"/>
        <v>ㄝ</v>
      </c>
      <c r="P7781" s="1" t="s">
        <v>388</v>
      </c>
      <c r="R7781" s="1" t="s">
        <v>15902</v>
      </c>
      <c r="V7781" s="1" t="s">
        <v>15903</v>
      </c>
      <c r="W7781" s="1" t="s">
        <v>15904</v>
      </c>
      <c r="AR7781" s="1" t="str">
        <f t="shared" si="489"/>
        <v>| [ㄑㄩㄝˋ](ㄑㄩㄝˋ.md) | [怯](怯.md) |  | què | [動]
畏縮、害怕。如：「畏怯」、「膽怯」。宋．辛棄疾〈鷓鴣天．翰墨諸君久擅場〉詞：「黃花不怯秋風冷，只怕詩人兩鬢霜。」元．許衡〈滿江紅．河上徘徊〉詞：「河上徘徊，未分袂、孤懷先怯。」
[形]
1.嬌羞、忸怩。如：「羞怯」、「嬌怯」。
2.虛弱、懦弱。《史記．卷七〇．張儀傳》：「秦卒與山東之卒，猶孟賁之與怯夫。」《京本通俗小說．志誠張主管》：「一來我們身小力怯，著甚來由吃挨吃攪？」
3.外表或風度不大方、土土的。《兒女英雄傳》第四回：「那賣水煙的一聽這話，就知道這位爺是個怯公子哥兒，便低了頭出去了。」《負曝閑談》第七回：「一舉一動，都存一點小心，怕人家說他怯，笑他不開眼。」 |</v>
      </c>
    </row>
    <row r="7782" spans="1:44" hidden="1">
      <c r="A7782" s="1" t="s">
        <v>10830</v>
      </c>
      <c r="C7782" s="1">
        <v>1</v>
      </c>
      <c r="D7782" s="1" t="str">
        <f>"06662"</f>
        <v>06662</v>
      </c>
      <c r="E7782" s="1" t="s">
        <v>250</v>
      </c>
      <c r="F7782" s="1">
        <v>9</v>
      </c>
      <c r="G7782" s="1">
        <v>6</v>
      </c>
      <c r="H7782" s="1">
        <v>2</v>
      </c>
      <c r="I7782" s="1" t="s">
        <v>15901</v>
      </c>
      <c r="K7782" s="1" t="str">
        <f t="shared" si="490"/>
        <v>ㄑ</v>
      </c>
      <c r="L7782" s="1" t="str">
        <f t="shared" si="491"/>
        <v>ㄩ</v>
      </c>
      <c r="M7782" s="1" t="str">
        <f t="shared" si="492"/>
        <v>ㄝ</v>
      </c>
      <c r="P7782" s="1" t="s">
        <v>110</v>
      </c>
      <c r="R7782" s="1" t="s">
        <v>15902</v>
      </c>
      <c r="V7782" s="1" t="s">
        <v>111</v>
      </c>
      <c r="W7782" s="1" t="s">
        <v>15905</v>
      </c>
      <c r="AR7782" s="1" t="str">
        <f t="shared" si="489"/>
        <v>| [ㄑㄩㄝˋ](ㄑㄩㄝˋ.md) | [恪](恪.md) |  | què | (一)之又音。 |</v>
      </c>
    </row>
    <row r="7783" spans="1:44" hidden="1">
      <c r="A7783" s="1" t="s">
        <v>15906</v>
      </c>
      <c r="C7783" s="1">
        <v>1</v>
      </c>
      <c r="D7783" s="1" t="str">
        <f>"06663"</f>
        <v>06663</v>
      </c>
      <c r="E7783" s="1" t="s">
        <v>2954</v>
      </c>
      <c r="F7783" s="1">
        <v>9</v>
      </c>
      <c r="G7783" s="1">
        <v>7</v>
      </c>
      <c r="H7783" s="1">
        <v>0</v>
      </c>
      <c r="I7783" s="1" t="s">
        <v>15901</v>
      </c>
      <c r="K7783" s="1" t="str">
        <f t="shared" si="490"/>
        <v>ㄑ</v>
      </c>
      <c r="L7783" s="1" t="str">
        <f t="shared" si="491"/>
        <v>ㄩ</v>
      </c>
      <c r="M7783" s="1" t="str">
        <f t="shared" si="492"/>
        <v>ㄝ</v>
      </c>
      <c r="P7783" s="1" t="s">
        <v>20</v>
      </c>
      <c r="R7783" s="1" t="s">
        <v>15902</v>
      </c>
      <c r="V7783" s="1" t="s">
        <v>15907</v>
      </c>
      <c r="AR7783" s="1" t="str">
        <f t="shared" si="489"/>
        <v>| [ㄑㄩㄝˋ](ㄑㄩㄝˋ.md) | [卻](卻.md) |  | què | [動]
1.推辭、拒而不受。如：「推卻」。《孟子．萬章下》：「卻之為不恭。」
2.退。如：「退卻」、「卻步」、「卻敵立功」。《文選．賈誼．過秦論》：「乃使蒙恬北築長城而守蕃籬，卻匈奴七百餘里。」唐．白居易〈琵琶行〉：「感我此言良久立，卻坐促弦弦轉急。」
[副]
1.正、恰好。唐．杜甫〈水宿遣興奉呈群公〉詩：「歸路非關北，行舟卻向西。」《水滸傳》第一五回：「他生辰是六月十五日，如今卻是五月初頭。」
2.倒、反。唐．司空圖〈漫書〉詩五首之一：「逢人漸覺鄉音異，卻恨鶯聲似故山。」
3.還、再。唐．李商隱〈夜雨寄北〉詩：「何當共剪西窗燭，卻話巴山夜雨時。」
[連]
但，表示轉折相承。《京本通俗小說．錯斬崔寧》：「雖然沒有十二分顏色，卻也明眉皓齒，蓮臉生春。」
[助]
置動詞後，相當於「掉」、「去」、「了」。如：「忘卻」、「拋卻」。唐．杜甫〈曲江〉詩二首之一：「一片花飛減卻春，風飄萬點正愁人。」 |</v>
      </c>
    </row>
    <row r="7784" spans="1:44" hidden="1">
      <c r="A7784" s="1" t="s">
        <v>15908</v>
      </c>
      <c r="C7784" s="1">
        <v>1</v>
      </c>
      <c r="D7784" s="1" t="str">
        <f>"06664"</f>
        <v>06664</v>
      </c>
      <c r="E7784" s="1" t="s">
        <v>132</v>
      </c>
      <c r="F7784" s="1">
        <v>10</v>
      </c>
      <c r="G7784" s="1">
        <v>7</v>
      </c>
      <c r="H7784" s="1">
        <v>0</v>
      </c>
      <c r="I7784" s="1" t="s">
        <v>15901</v>
      </c>
      <c r="K7784" s="1" t="str">
        <f t="shared" si="490"/>
        <v>ㄑ</v>
      </c>
      <c r="L7784" s="1" t="str">
        <f t="shared" si="491"/>
        <v>ㄩ</v>
      </c>
      <c r="M7784" s="1" t="str">
        <f t="shared" si="492"/>
        <v>ㄝ</v>
      </c>
      <c r="P7784" s="1" t="s">
        <v>20</v>
      </c>
      <c r="R7784" s="1" t="s">
        <v>15902</v>
      </c>
      <c r="V7784" s="1" t="s">
        <v>15909</v>
      </c>
      <c r="AR7784" s="1" t="str">
        <f t="shared" si="489"/>
        <v>| [ㄑㄩㄝˋ](ㄑㄩㄝˋ.md) | [埆](埆.md) |  | què | [形]
土地多石而貧瘠。如：「墝埆」。《後漢書．卷五一．陳龜傳》：「土地塉埆。」 |</v>
      </c>
    </row>
    <row r="7785" spans="1:44" hidden="1">
      <c r="A7785" s="1" t="s">
        <v>15910</v>
      </c>
      <c r="C7785" s="1">
        <v>1</v>
      </c>
      <c r="D7785" s="1" t="str">
        <f>"06665"</f>
        <v>06665</v>
      </c>
      <c r="E7785" s="1" t="s">
        <v>169</v>
      </c>
      <c r="F7785" s="1">
        <v>12</v>
      </c>
      <c r="G7785" s="1">
        <v>7</v>
      </c>
      <c r="H7785" s="1">
        <v>0</v>
      </c>
      <c r="I7785" s="1" t="s">
        <v>15901</v>
      </c>
      <c r="K7785" s="1" t="str">
        <f t="shared" si="490"/>
        <v>ㄑ</v>
      </c>
      <c r="L7785" s="1" t="str">
        <f t="shared" si="491"/>
        <v>ㄩ</v>
      </c>
      <c r="M7785" s="1" t="str">
        <f t="shared" si="492"/>
        <v>ㄝ</v>
      </c>
      <c r="P7785" s="1" t="s">
        <v>20</v>
      </c>
      <c r="R7785" s="1" t="s">
        <v>15902</v>
      </c>
      <c r="V7785" s="1" t="s">
        <v>15911</v>
      </c>
      <c r="AR7785" s="1" t="str">
        <f t="shared" si="489"/>
        <v>| [ㄑㄩㄝˋ](ㄑㄩㄝˋ.md) | [确](确.md) |  | què | [形]
1.土地多石而貧瘠。通「埆」。《淮南子．人間》：「有寑邱者，其地确石而名醜。」
2.微薄、粗略。《文選．左思．吳都賦》：「庸可共世而論巨細，同年而議豐确乎？」南朝梁．劉勰《文心雕龍．諸子》：「墨翟執儉确之教，尹文課名實之符。」
3.確實、確切。通「確」。《後漢書．卷五二．崔駰傳》：「指切時要，言辯而确。」
[動]
角逐、爭取。《漢書．卷五四．李廣傳》：「李廣材氣，天下亡雙，自負其能，數與虜确。」《新唐書．卷一九二．忠義傳中．張巡傳》：「君世受官，食天子粟，奈何從賊，關弓與我确？」 |</v>
      </c>
    </row>
    <row r="7786" spans="1:44" hidden="1">
      <c r="A7786" s="1" t="s">
        <v>15188</v>
      </c>
      <c r="C7786" s="1">
        <v>1</v>
      </c>
      <c r="D7786" s="1" t="str">
        <f>"06666"</f>
        <v>06666</v>
      </c>
      <c r="E7786" s="1" t="s">
        <v>5383</v>
      </c>
      <c r="F7786" s="1">
        <v>11</v>
      </c>
      <c r="G7786" s="1">
        <v>3</v>
      </c>
      <c r="H7786" s="1">
        <v>1</v>
      </c>
      <c r="I7786" s="1" t="s">
        <v>15901</v>
      </c>
      <c r="K7786" s="1" t="str">
        <f t="shared" si="490"/>
        <v>ㄑ</v>
      </c>
      <c r="L7786" s="1" t="str">
        <f t="shared" si="491"/>
        <v>ㄩ</v>
      </c>
      <c r="M7786" s="1" t="str">
        <f t="shared" si="492"/>
        <v>ㄝ</v>
      </c>
      <c r="P7786" s="1" t="s">
        <v>186</v>
      </c>
      <c r="R7786" s="1" t="s">
        <v>15902</v>
      </c>
      <c r="V7786" s="1" t="s">
        <v>15912</v>
      </c>
      <c r="W7786" s="1" t="s">
        <v>15913</v>
      </c>
      <c r="AR7786" s="1" t="str">
        <f t="shared" si="489"/>
        <v>| [ㄑㄩㄝˋ](ㄑㄩㄝˋ.md) | [雀](雀.md) |  | què | [名]_x000D_
1.動物名。群聚生活於人類周遭環境的一種小型鳥，發聲器發達。羽毛褐色有黑斑。平時捕食昆蟲為生，亦食果實、種子。《詩經．召南．行露》：「誰謂雀無角，何以穿我屋？」宋．梅堯臣〈白鶻圖〉詩：「而今推向深堂上，燕雀屏絕寧來窺。」俗稱為「麻雀」。_x000D_
2.泛指鳥類。《左傳．文公十八年》：「見無禮於其君者誅之，如鷹鸇之逐鳥雀也。」《文選．卷一九．賦．宋玉．高唐賦》：「眾雀嗷嗷。雌雄相失，哀鳴相號。」唐．李善．注：「雀，鳥之通稱。」 |</v>
      </c>
    </row>
    <row r="7787" spans="1:44" hidden="1">
      <c r="A7787" s="1" t="s">
        <v>10795</v>
      </c>
      <c r="C7787" s="1">
        <v>1</v>
      </c>
      <c r="D7787" s="1" t="str">
        <f>"06667"</f>
        <v>06667</v>
      </c>
      <c r="E7787" s="1" t="s">
        <v>5505</v>
      </c>
      <c r="F7787" s="1">
        <v>12</v>
      </c>
      <c r="G7787" s="1">
        <v>8</v>
      </c>
      <c r="H7787" s="1">
        <v>3</v>
      </c>
      <c r="I7787" s="1" t="s">
        <v>15901</v>
      </c>
      <c r="K7787" s="1" t="str">
        <f t="shared" si="490"/>
        <v>ㄑ</v>
      </c>
      <c r="L7787" s="1" t="str">
        <f t="shared" si="491"/>
        <v>ㄩ</v>
      </c>
      <c r="M7787" s="1" t="str">
        <f t="shared" si="492"/>
        <v>ㄝ</v>
      </c>
      <c r="P7787" s="1" t="s">
        <v>110</v>
      </c>
      <c r="R7787" s="1" t="s">
        <v>15902</v>
      </c>
      <c r="V7787" s="1" t="s">
        <v>111</v>
      </c>
      <c r="W7787" s="1" t="s">
        <v>15914</v>
      </c>
      <c r="AR7787" s="1" t="str">
        <f t="shared" si="489"/>
        <v>| [ㄑㄩㄝˋ](ㄑㄩㄝˋ.md) | [殼](殼.md) |  | què | (一)之又音。 |</v>
      </c>
    </row>
    <row r="7788" spans="1:44" hidden="1">
      <c r="A7788" s="1" t="s">
        <v>15915</v>
      </c>
      <c r="C7788" s="1">
        <v>1</v>
      </c>
      <c r="D7788" s="1" t="str">
        <f>"06668"</f>
        <v>06668</v>
      </c>
      <c r="E7788" s="1" t="s">
        <v>250</v>
      </c>
      <c r="F7788" s="1">
        <v>14</v>
      </c>
      <c r="G7788" s="1">
        <v>10</v>
      </c>
      <c r="H7788" s="1">
        <v>0</v>
      </c>
      <c r="I7788" s="1" t="s">
        <v>15901</v>
      </c>
      <c r="K7788" s="1" t="str">
        <f t="shared" si="490"/>
        <v>ㄑ</v>
      </c>
      <c r="L7788" s="1" t="str">
        <f t="shared" si="491"/>
        <v>ㄩ</v>
      </c>
      <c r="M7788" s="1" t="str">
        <f t="shared" si="492"/>
        <v>ㄝ</v>
      </c>
      <c r="P7788" s="1" t="s">
        <v>20</v>
      </c>
      <c r="R7788" s="1" t="s">
        <v>15902</v>
      </c>
      <c r="V7788" s="1" t="s">
        <v>15916</v>
      </c>
      <c r="AR7788" s="1" t="str">
        <f t="shared" si="489"/>
        <v>| [ㄑㄩㄝˋ](ㄑㄩㄝˋ.md) | [愨](愨.md) |  | què | [形]
1.恭謹、敬謹。如：「愨士」。《荀子．非十二子》：「其衣逢，其容愨。」
2.誠實、忠厚。《荀子．富國》：「觀其便嬖，則其信者不愨，是闇主已。」《漢書．卷五六．東方朔傳》：「臣聞謙遜靜愨，天表之應，應之以福。」 |</v>
      </c>
    </row>
    <row r="7789" spans="1:44" hidden="1">
      <c r="A7789" s="1" t="s">
        <v>15917</v>
      </c>
      <c r="C7789" s="1">
        <v>1</v>
      </c>
      <c r="D7789" s="1" t="str">
        <f>"06669"</f>
        <v>06669</v>
      </c>
      <c r="E7789" s="1" t="s">
        <v>169</v>
      </c>
      <c r="F7789" s="1">
        <v>13</v>
      </c>
      <c r="G7789" s="1">
        <v>8</v>
      </c>
      <c r="H7789" s="1">
        <v>0</v>
      </c>
      <c r="I7789" s="1" t="s">
        <v>15901</v>
      </c>
      <c r="K7789" s="1" t="str">
        <f t="shared" si="490"/>
        <v>ㄑ</v>
      </c>
      <c r="L7789" s="1" t="str">
        <f t="shared" si="491"/>
        <v>ㄩ</v>
      </c>
      <c r="M7789" s="1" t="str">
        <f t="shared" si="492"/>
        <v>ㄝ</v>
      </c>
      <c r="P7789" s="1" t="s">
        <v>20</v>
      </c>
      <c r="R7789" s="1" t="s">
        <v>15902</v>
      </c>
      <c r="V7789" s="1" t="s">
        <v>15918</v>
      </c>
      <c r="AR7789" s="1" t="str">
        <f t="shared" si="489"/>
        <v>| [ㄑㄩㄝˋ](ㄑㄩㄝˋ.md) | [碏](碏.md) |  | què | [名]
雜色的石頭。《集韻．入聲．藥韻》：「碏，石雜色。」 |</v>
      </c>
    </row>
    <row r="7790" spans="1:44" hidden="1">
      <c r="A7790" s="1" t="s">
        <v>13017</v>
      </c>
      <c r="C7790" s="1">
        <v>1</v>
      </c>
      <c r="D7790" s="1" t="str">
        <f>"06670"</f>
        <v>06670</v>
      </c>
      <c r="E7790" s="1" t="s">
        <v>77</v>
      </c>
      <c r="F7790" s="1">
        <v>15</v>
      </c>
      <c r="G7790" s="1">
        <v>8</v>
      </c>
      <c r="H7790" s="1">
        <v>2</v>
      </c>
      <c r="I7790" s="1" t="s">
        <v>15901</v>
      </c>
      <c r="K7790" s="1" t="str">
        <f t="shared" si="490"/>
        <v>ㄑ</v>
      </c>
      <c r="L7790" s="1" t="str">
        <f t="shared" si="491"/>
        <v>ㄩ</v>
      </c>
      <c r="M7790" s="1" t="str">
        <f t="shared" si="492"/>
        <v>ㄝ</v>
      </c>
      <c r="P7790" s="1" t="s">
        <v>20</v>
      </c>
      <c r="R7790" s="1" t="s">
        <v>15902</v>
      </c>
      <c r="V7790" s="1" t="s">
        <v>15919</v>
      </c>
      <c r="W7790" s="1" t="s">
        <v>15920</v>
      </c>
      <c r="AR7790" s="1" t="str">
        <f t="shared" si="489"/>
        <v>| [ㄑㄩㄝˋ](ㄑㄩㄝˋ.md) | [踖](踖.md) |  | què | [形]
馬跑得很快的樣子。《廣韻．入聲．藥韻》：「踖，馺也。」 |</v>
      </c>
    </row>
    <row r="7791" spans="1:44" hidden="1">
      <c r="A7791" s="1" t="s">
        <v>15270</v>
      </c>
      <c r="C7791" s="1">
        <v>1</v>
      </c>
      <c r="D7791" s="1" t="str">
        <f>"06671"</f>
        <v>06671</v>
      </c>
      <c r="E7791" s="1" t="s">
        <v>272</v>
      </c>
      <c r="F7791" s="1">
        <v>19</v>
      </c>
      <c r="G7791" s="1">
        <v>8</v>
      </c>
      <c r="H7791" s="1">
        <v>1</v>
      </c>
      <c r="I7791" s="1" t="s">
        <v>15901</v>
      </c>
      <c r="K7791" s="1" t="str">
        <f t="shared" si="490"/>
        <v>ㄑ</v>
      </c>
      <c r="L7791" s="1" t="str">
        <f t="shared" si="491"/>
        <v>ㄩ</v>
      </c>
      <c r="M7791" s="1" t="str">
        <f t="shared" si="492"/>
        <v>ㄝ</v>
      </c>
      <c r="P7791" s="1" t="s">
        <v>20</v>
      </c>
      <c r="R7791" s="1" t="s">
        <v>15902</v>
      </c>
      <c r="V7791" s="1" t="s">
        <v>15921</v>
      </c>
      <c r="W7791" s="1" t="s">
        <v>15922</v>
      </c>
      <c r="AR7791" s="1" t="str">
        <f t="shared" si="489"/>
        <v>| [ㄑㄩㄝˋ](ㄑㄩㄝˋ.md) | [鵲](鵲.md) |  | què | [名]
動物名。鳥綱雀形目。形似烏鴉，尾長六、七寸。背黑，肩、腹、翼皆白。叫聲吵雜，古時以鵲噪為喜兆，故稱為「喜鵲」。今為燕雀類鴉科大型鳥類的通稱。如樹鵲、臺灣藍鵲等。 |</v>
      </c>
    </row>
    <row r="7792" spans="1:44" hidden="1">
      <c r="A7792" s="1" t="s">
        <v>15923</v>
      </c>
      <c r="C7792" s="1">
        <v>1</v>
      </c>
      <c r="D7792" s="1" t="str">
        <f>"06672"</f>
        <v>06672</v>
      </c>
      <c r="E7792" s="1" t="s">
        <v>24</v>
      </c>
      <c r="F7792" s="1">
        <v>13</v>
      </c>
      <c r="G7792" s="1">
        <v>10</v>
      </c>
      <c r="H7792" s="1">
        <v>0</v>
      </c>
      <c r="I7792" s="1" t="s">
        <v>15901</v>
      </c>
      <c r="K7792" s="1" t="str">
        <f t="shared" si="490"/>
        <v>ㄑ</v>
      </c>
      <c r="L7792" s="1" t="str">
        <f t="shared" si="491"/>
        <v>ㄩ</v>
      </c>
      <c r="M7792" s="1" t="str">
        <f t="shared" si="492"/>
        <v>ㄝ</v>
      </c>
      <c r="P7792" s="1" t="s">
        <v>20</v>
      </c>
      <c r="R7792" s="1" t="s">
        <v>15902</v>
      </c>
      <c r="V7792" s="1" t="s">
        <v>15924</v>
      </c>
      <c r="AR7792" s="1" t="str">
        <f t="shared" si="489"/>
        <v>| [ㄑㄩㄝˋ](ㄑㄩㄝˋ.md) | [搉](搉.md) |  | què | [動]
1.敲擊。《說文解字．手部》：「搉，敲擊也。」《漢書．卷二七．五行志中之上》：「先是高后鴆殺如意，支斷其母戚夫人手足，搉其眼以為人彘。」唐．顏師古．注：「搉，謂敲擊去其精也。」
2.商量。《文選．左思．吳都賦》：「剖判庶士，商搉萬俗。」也作「榷」。
3.引述。《漢書．卷一〇〇．敘傳下》：「揚搉古今，監世盈虛。」 |</v>
      </c>
    </row>
    <row r="7793" spans="1:44" hidden="1">
      <c r="A7793" s="1" t="s">
        <v>15925</v>
      </c>
      <c r="C7793" s="1">
        <v>1</v>
      </c>
      <c r="D7793" s="1" t="str">
        <f>"06673"</f>
        <v>06673</v>
      </c>
      <c r="E7793" s="1" t="s">
        <v>139</v>
      </c>
      <c r="F7793" s="1">
        <v>14</v>
      </c>
      <c r="G7793" s="1">
        <v>10</v>
      </c>
      <c r="H7793" s="1">
        <v>0</v>
      </c>
      <c r="I7793" s="1" t="s">
        <v>15901</v>
      </c>
      <c r="K7793" s="1" t="str">
        <f t="shared" si="490"/>
        <v>ㄑ</v>
      </c>
      <c r="L7793" s="1" t="str">
        <f t="shared" si="491"/>
        <v>ㄩ</v>
      </c>
      <c r="M7793" s="1" t="str">
        <f t="shared" si="492"/>
        <v>ㄝ</v>
      </c>
      <c r="P7793" s="1" t="s">
        <v>20</v>
      </c>
      <c r="R7793" s="1" t="s">
        <v>15902</v>
      </c>
      <c r="V7793" s="1" t="s">
        <v>15926</v>
      </c>
      <c r="AR7793" s="1" t="str">
        <f t="shared" si="489"/>
        <v>| [ㄑㄩㄝˋ](ㄑㄩㄝˋ.md) | [榷](榷.md) |  | què | [名]
1.獨木橋。《說文解字．木部》：「榷，水上橫木所以渡者也。」
2.賦稅、稅收。元．馬端臨〈文獻通考自序〉：「征榷之途有二：一曰山澤茶鹽坑冶是也；二曰關市酒酤征商是也。」
[動]
1.專賣、專營。如：「榷酒」、「榷茶」。《漢書．卷六十四下．賈捐之傳》：「孝武帝造鹽鐵酒榷之利，以佐用度，猶不能足。」宋．沈括《夢溪筆談．卷一一．官政一》：「聽民間賈販，唯收稅錢，不許官榷。」
2.商量、研討。如：「商榷」。唐．劉知幾《史通．卷三．書志》：「榷而為論，未見其宜。」 |</v>
      </c>
    </row>
    <row r="7794" spans="1:44" hidden="1">
      <c r="A7794" s="1" t="s">
        <v>15927</v>
      </c>
      <c r="C7794" s="1">
        <v>1</v>
      </c>
      <c r="D7794" s="1" t="str">
        <f>"06674"</f>
        <v>06674</v>
      </c>
      <c r="E7794" s="1" t="s">
        <v>169</v>
      </c>
      <c r="F7794" s="1">
        <v>15</v>
      </c>
      <c r="G7794" s="1">
        <v>10</v>
      </c>
      <c r="H7794" s="1">
        <v>0</v>
      </c>
      <c r="I7794" s="1" t="s">
        <v>15901</v>
      </c>
      <c r="K7794" s="1" t="str">
        <f t="shared" si="490"/>
        <v>ㄑ</v>
      </c>
      <c r="L7794" s="1" t="str">
        <f t="shared" si="491"/>
        <v>ㄩ</v>
      </c>
      <c r="M7794" s="1" t="str">
        <f t="shared" si="492"/>
        <v>ㄝ</v>
      </c>
      <c r="P7794" s="1" t="s">
        <v>20</v>
      </c>
      <c r="R7794" s="1" t="s">
        <v>15902</v>
      </c>
      <c r="V7794" s="1" t="s">
        <v>15928</v>
      </c>
      <c r="AR7794" s="1" t="str">
        <f t="shared" si="489"/>
        <v>| [ㄑㄩㄝˋ](ㄑㄩㄝˋ.md) | [確](確.md) |  | què | [形]
確實、真實。如：「正確」、「千真萬確」。《宋史．卷三四四．李常傳》：「法無新民，便民者良；論無彼己，可久者確。」《老殘遊記二編》第五回：「途中聽人傳說有這一件事，不知道確不確，請他派人密查一查。」
[副]
1.實在。如：「確有高見」。
2.堅定、堅決。《新唐書．卷一三七．郭子儀傳》：「進拜尚書令……子儀確讓。」唐．柳宗元〈與顧十郎文〉：「然者當其時而確固自守，蓄力秉志。」 |</v>
      </c>
    </row>
    <row r="7795" spans="1:44" hidden="1">
      <c r="A7795" s="1" t="s">
        <v>15929</v>
      </c>
      <c r="C7795" s="1">
        <v>1</v>
      </c>
      <c r="D7795" s="1" t="str">
        <f>"06675"</f>
        <v>06675</v>
      </c>
      <c r="E7795" s="1" t="s">
        <v>169</v>
      </c>
      <c r="F7795" s="1">
        <v>15</v>
      </c>
      <c r="G7795" s="1">
        <v>10</v>
      </c>
      <c r="H7795" s="1">
        <v>0</v>
      </c>
      <c r="I7795" s="1" t="s">
        <v>15901</v>
      </c>
      <c r="K7795" s="1" t="str">
        <f t="shared" si="490"/>
        <v>ㄑ</v>
      </c>
      <c r="L7795" s="1" t="str">
        <f t="shared" si="491"/>
        <v>ㄩ</v>
      </c>
      <c r="M7795" s="1" t="str">
        <f t="shared" si="492"/>
        <v>ㄝ</v>
      </c>
      <c r="P7795" s="1" t="s">
        <v>20</v>
      </c>
      <c r="R7795" s="1" t="s">
        <v>15902</v>
      </c>
      <c r="V7795" s="1" t="s">
        <v>15930</v>
      </c>
      <c r="AR7795" s="1" t="str">
        <f t="shared" si="489"/>
        <v>| [ㄑㄩㄝˋ](ㄑㄩㄝˋ.md) | [碻](碻.md) |  | què | [形]
1.堅固。同「確」。《廣韻．入聲．覺韻》：「確，靳固也。或作碻。」
2.真實、確實。同「確」。清．陳作霖〈養龢軒隨筆〉：「張文和公謂此論甚碻，能發杜詩之神髓。」 |</v>
      </c>
    </row>
    <row r="7796" spans="1:44" hidden="1">
      <c r="A7796" s="1" t="s">
        <v>15931</v>
      </c>
      <c r="C7796" s="1">
        <v>1</v>
      </c>
      <c r="D7796" s="1" t="str">
        <f>"06676"</f>
        <v>06676</v>
      </c>
      <c r="E7796" s="1" t="s">
        <v>709</v>
      </c>
      <c r="F7796" s="1">
        <v>17</v>
      </c>
      <c r="G7796" s="1">
        <v>9</v>
      </c>
      <c r="H7796" s="1">
        <v>0</v>
      </c>
      <c r="I7796" s="1" t="s">
        <v>15901</v>
      </c>
      <c r="K7796" s="1" t="str">
        <f t="shared" si="490"/>
        <v>ㄑ</v>
      </c>
      <c r="L7796" s="1" t="str">
        <f t="shared" si="491"/>
        <v>ㄩ</v>
      </c>
      <c r="M7796" s="1" t="str">
        <f t="shared" si="492"/>
        <v>ㄝ</v>
      </c>
      <c r="P7796" s="1" t="s">
        <v>20</v>
      </c>
      <c r="R7796" s="1" t="s">
        <v>15902</v>
      </c>
      <c r="V7796" s="1" t="s">
        <v>15932</v>
      </c>
      <c r="AR7796" s="1" t="str">
        <f t="shared" si="489"/>
        <v>| [ㄑㄩㄝˋ](ㄑㄩㄝˋ.md) | [闋](闋.md) |  | què | [動]
1.事情結束，止息。《後漢書．卷三八．楊琁傳．論曰》：「剽人盜邑者不闋時月，假署皇王者蓋以十數。」宋．周邦彥〈浪濤沙．晝陰重〉詞：「南陌脂車待發，東門帳飲乍闋。」
2.喪制滿期。唐．陳元光〈太母魏氏半徑題石〉詩：「憂闋情猶結，祥回禫屆期。」
3.曲終。唐．韓愈〈感春〉詩五首之二：「孤吟屢闋莫與和，寸恨至短誰能裁。」
[名]
1.曲調。《文選．馬融．長笛賦》：「曲終闋盡，餘絃更興。」宋．歐陽修〈玉樓春．尊前擬把歸期說〉詞：「離歌且莫翻新闋，一曲能教腸寸結。」
2.量詞。計算歌、詞、曲的單位。《史記．卷七．項羽本紀》：「歌數闋，美人和之。」
3.空缺。通「缺」。漢．王符《潛夫論．邊議》：「傳子孫者，思安萬世，寄其身者，各取一闋。」 |</v>
      </c>
    </row>
    <row r="7797" spans="1:44" hidden="1">
      <c r="A7797" s="1" t="s">
        <v>15894</v>
      </c>
      <c r="C7797" s="1">
        <v>1</v>
      </c>
      <c r="D7797" s="1" t="str">
        <f>"06677"</f>
        <v>06677</v>
      </c>
      <c r="E7797" s="1" t="s">
        <v>709</v>
      </c>
      <c r="F7797" s="1">
        <v>18</v>
      </c>
      <c r="G7797" s="1">
        <v>10</v>
      </c>
      <c r="H7797" s="1">
        <v>1</v>
      </c>
      <c r="I7797" s="1" t="s">
        <v>15901</v>
      </c>
      <c r="K7797" s="1" t="str">
        <f t="shared" si="490"/>
        <v>ㄑ</v>
      </c>
      <c r="L7797" s="1" t="str">
        <f t="shared" si="491"/>
        <v>ㄩ</v>
      </c>
      <c r="M7797" s="1" t="str">
        <f t="shared" si="492"/>
        <v>ㄝ</v>
      </c>
      <c r="P7797" s="1" t="s">
        <v>20</v>
      </c>
      <c r="R7797" s="1" t="s">
        <v>15902</v>
      </c>
      <c r="V7797" s="1" t="s">
        <v>15933</v>
      </c>
      <c r="W7797" s="1" t="s">
        <v>15934</v>
      </c>
      <c r="AR7797" s="1" t="str">
        <f t="shared" si="489"/>
        <v>| [ㄑㄩㄝˋ](ㄑㄩㄝˋ.md) | [闕](闕.md) |  | què | [名]
1.古代宮門外兩邊供瞭望的樓臺，中有通道。《史記．卷八．高祖本紀》：「蕭丞相，營未央宮，立東闕、北闕、前殿、武庫、太倉。」唐．白居易〈長恨歌〉：「九重城闕煙塵生，千乘萬騎西南行。」
2.泛指帝王居住的地方。《莊子．讓王》：「身在江海之中，心居乎魏闕之下。」宋．岳飛〈滿江紅．怒髮衝冠〉詞：「待重頭收拾舊山河，朝天闕。」
3.姓。如漢代有闕翊。 |</v>
      </c>
    </row>
    <row r="7798" spans="1:44" hidden="1">
      <c r="A7798" s="1" t="s">
        <v>11718</v>
      </c>
      <c r="C7798" s="1">
        <v>1</v>
      </c>
      <c r="D7798" s="1" t="str">
        <f>"06348"</f>
        <v>06348</v>
      </c>
      <c r="E7798" s="1" t="s">
        <v>256</v>
      </c>
      <c r="F7798" s="1">
        <v>13</v>
      </c>
      <c r="G7798" s="1">
        <v>10</v>
      </c>
      <c r="H7798" s="1">
        <v>2</v>
      </c>
      <c r="I7798" s="1" t="s">
        <v>15189</v>
      </c>
      <c r="K7798" s="1" t="str">
        <f t="shared" si="490"/>
        <v>ㄑ</v>
      </c>
      <c r="L7798" s="1" t="str">
        <f t="shared" si="491"/>
        <v>ㄧ</v>
      </c>
      <c r="M7798" s="1" t="str">
        <f t="shared" si="492"/>
        <v>ㄠ</v>
      </c>
      <c r="P7798" s="1" t="s">
        <v>20</v>
      </c>
      <c r="R7798" s="1" t="s">
        <v>15190</v>
      </c>
      <c r="V7798" s="1" t="s">
        <v>15191</v>
      </c>
      <c r="W7798" s="1" t="s">
        <v>15192</v>
      </c>
      <c r="AR7798" s="1" t="str">
        <f t="shared" si="489"/>
        <v>| [ㄑㄧㄠ](ㄑㄧㄠ.md) | [鄗](鄗.md) |  | qiāo | [名]
山名。約位今大陸地區河南省成皋縣境。 |</v>
      </c>
    </row>
    <row r="7799" spans="1:44" hidden="1">
      <c r="A7799" s="1" t="s">
        <v>15193</v>
      </c>
      <c r="C7799" s="1">
        <v>1</v>
      </c>
      <c r="D7799" s="1" t="str">
        <f>"06349"</f>
        <v>06349</v>
      </c>
      <c r="E7799" s="1" t="s">
        <v>426</v>
      </c>
      <c r="F7799" s="1">
        <v>14</v>
      </c>
      <c r="G7799" s="1">
        <v>10</v>
      </c>
      <c r="H7799" s="1">
        <v>0</v>
      </c>
      <c r="I7799" s="1" t="s">
        <v>15189</v>
      </c>
      <c r="K7799" s="1" t="str">
        <f t="shared" si="490"/>
        <v>ㄑ</v>
      </c>
      <c r="L7799" s="1" t="str">
        <f t="shared" si="491"/>
        <v>ㄧ</v>
      </c>
      <c r="M7799" s="1" t="str">
        <f t="shared" si="492"/>
        <v>ㄠ</v>
      </c>
      <c r="P7799" s="1" t="s">
        <v>20</v>
      </c>
      <c r="R7799" s="1" t="s">
        <v>15190</v>
      </c>
      <c r="V7799" s="1" t="s">
        <v>15194</v>
      </c>
      <c r="AR7799" s="1" t="str">
        <f t="shared" si="489"/>
        <v>| [ㄑㄧㄠ](ㄑㄧㄠ.md) | [敲](敲.md) |  | qiāo | [動]
1.叩、擊。如：「敲打」、「敲鑼」。唐．李商隱〈北青蘿〉詩：「獨敲初夜磬，閒倚一枝藤。」宋．蘇軾〈寓居定惠院之東雜花滿山有海棠一株土人不知貴也〉詩：「不問人家與僧舍，拄杖敲門看修竹。」
2.斟酌、推究。明．李昌祺《剪燈餘話．卷一．聽經猿記》：「舉手推敲，頗類苦吟之賈島。」
3.揩油、訛詐、勒索。如：「敲詐」、「敲竹槓」、「狠敲一筆」。
[名]
短杖。《文選．賈誼．過秦論》：「履至尊而制六合，執敲扑以鞭笞天下。」 |</v>
      </c>
    </row>
    <row r="7800" spans="1:44" hidden="1">
      <c r="A7800" s="1" t="s">
        <v>15195</v>
      </c>
      <c r="C7800" s="1">
        <v>1</v>
      </c>
      <c r="D7800" s="1" t="str">
        <f>"06350"</f>
        <v>06350</v>
      </c>
      <c r="E7800" s="1" t="s">
        <v>256</v>
      </c>
      <c r="F7800" s="1">
        <v>14</v>
      </c>
      <c r="G7800" s="1">
        <v>11</v>
      </c>
      <c r="H7800" s="1">
        <v>0</v>
      </c>
      <c r="I7800" s="1" t="s">
        <v>15189</v>
      </c>
      <c r="K7800" s="1" t="str">
        <f t="shared" si="490"/>
        <v>ㄑ</v>
      </c>
      <c r="L7800" s="1" t="str">
        <f t="shared" si="491"/>
        <v>ㄧ</v>
      </c>
      <c r="M7800" s="1" t="str">
        <f t="shared" si="492"/>
        <v>ㄠ</v>
      </c>
      <c r="P7800" s="1" t="s">
        <v>20</v>
      </c>
      <c r="R7800" s="1" t="s">
        <v>15190</v>
      </c>
      <c r="V7800" s="1" t="s">
        <v>15196</v>
      </c>
      <c r="AR7800" s="1" t="str">
        <f t="shared" si="489"/>
        <v>| [ㄑㄧㄠ](ㄑㄧㄠ.md) | [鄡](鄡.md) |  | qiāo | [名]
1.縣名。漢代所治，故城約在今大陸地區河北省束鹿縣東南。
2.姓。如春秋時有孔子的弟子鄡單。 |</v>
      </c>
    </row>
    <row r="7801" spans="1:44" hidden="1">
      <c r="A7801" s="1" t="s">
        <v>15197</v>
      </c>
      <c r="C7801" s="1">
        <v>1</v>
      </c>
      <c r="D7801" s="1" t="str">
        <f>"06351"</f>
        <v>06351</v>
      </c>
      <c r="E7801" s="1" t="s">
        <v>684</v>
      </c>
      <c r="F7801" s="1">
        <v>15</v>
      </c>
      <c r="G7801" s="1">
        <v>6</v>
      </c>
      <c r="H7801" s="1">
        <v>0</v>
      </c>
      <c r="I7801" s="1" t="s">
        <v>15189</v>
      </c>
      <c r="K7801" s="1" t="str">
        <f t="shared" si="490"/>
        <v>ㄑ</v>
      </c>
      <c r="L7801" s="1" t="str">
        <f t="shared" si="491"/>
        <v>ㄧ</v>
      </c>
      <c r="M7801" s="1" t="str">
        <f t="shared" si="492"/>
        <v>ㄠ</v>
      </c>
      <c r="P7801" s="1" t="s">
        <v>20</v>
      </c>
      <c r="R7801" s="1" t="s">
        <v>15190</v>
      </c>
      <c r="V7801" s="1" t="s">
        <v>15198</v>
      </c>
      <c r="AR7801" s="1" t="str">
        <f t="shared" si="489"/>
        <v>| [ㄑㄧㄠ](ㄑㄧㄠ.md) | [頝](頝.md) |  | qiāo | [形]
頝䫜：頭部不美好。《廣韻．平聲．肴韻》：「頝，頝䫜，頭不媚也。」 |</v>
      </c>
    </row>
    <row r="7802" spans="1:44" hidden="1">
      <c r="A7802" s="1" t="s">
        <v>15199</v>
      </c>
      <c r="C7802" s="1">
        <v>1</v>
      </c>
      <c r="D7802" s="1" t="str">
        <f>"06352"</f>
        <v>06352</v>
      </c>
      <c r="E7802" s="1" t="s">
        <v>283</v>
      </c>
      <c r="F7802" s="1">
        <v>16</v>
      </c>
      <c r="G7802" s="1">
        <v>6</v>
      </c>
      <c r="H7802" s="1">
        <v>0</v>
      </c>
      <c r="I7802" s="1" t="s">
        <v>15189</v>
      </c>
      <c r="K7802" s="1" t="str">
        <f t="shared" si="490"/>
        <v>ㄑ</v>
      </c>
      <c r="L7802" s="1" t="str">
        <f t="shared" si="491"/>
        <v>ㄧ</v>
      </c>
      <c r="M7802" s="1" t="str">
        <f t="shared" si="492"/>
        <v>ㄠ</v>
      </c>
      <c r="P7802" s="1" t="s">
        <v>20</v>
      </c>
      <c r="R7802" s="1" t="s">
        <v>15190</v>
      </c>
      <c r="V7802" s="1" t="s">
        <v>15200</v>
      </c>
      <c r="AR7802" s="1" t="str">
        <f t="shared" si="489"/>
        <v>| [ㄑㄧㄠ](ㄑㄧㄠ.md) | [骹](骹.md) |  | qiāo | [名]
1.小腿。《說文解字．骨部》：「骹，脛也。」清．段玉裁．注：「脛，膝下也。凡物之脛皆曰骹。」
2.泛指從腿到腳。宋．蘇軾〈次韻袁公濟謝芎椒〉詩：「河魚潰腹空號楚，汗水流骹始信吳。」
3.響箭。宋．柳開〈塞上〉詩：「鳴骹直上一千尺，平靜無風聲更乾。」 |</v>
      </c>
    </row>
    <row r="7803" spans="1:44" hidden="1">
      <c r="A7803" s="1" t="s">
        <v>15201</v>
      </c>
      <c r="C7803" s="1">
        <v>1</v>
      </c>
      <c r="D7803" s="1" t="str">
        <f>"06353"</f>
        <v>06353</v>
      </c>
      <c r="E7803" s="1" t="s">
        <v>132</v>
      </c>
      <c r="F7803" s="1">
        <v>15</v>
      </c>
      <c r="G7803" s="1">
        <v>12</v>
      </c>
      <c r="H7803" s="1">
        <v>0</v>
      </c>
      <c r="I7803" s="1" t="s">
        <v>15189</v>
      </c>
      <c r="K7803" s="1" t="str">
        <f t="shared" si="490"/>
        <v>ㄑ</v>
      </c>
      <c r="L7803" s="1" t="str">
        <f t="shared" si="491"/>
        <v>ㄧ</v>
      </c>
      <c r="M7803" s="1" t="str">
        <f t="shared" si="492"/>
        <v>ㄠ</v>
      </c>
      <c r="P7803" s="1" t="s">
        <v>20</v>
      </c>
      <c r="R7803" s="1" t="s">
        <v>15190</v>
      </c>
      <c r="V7803" s="1" t="s">
        <v>15202</v>
      </c>
      <c r="AR7803" s="1" t="str">
        <f t="shared" si="489"/>
        <v>| [ㄑㄧㄠ](ㄑㄧㄠ.md) | [墝](墝.md) |  | qiāo | [形]
土壤貧瘠堅硬。《三國志．卷二二．魏書．盧毓傳》：「而礁土地墝瘠，百姓窮困，毓愍之，上表徙民於梁國就沃衍，失帝意。」
[名]
貧瘠堅硬的土地。《荀子．儒效》：「相高下，視墝肥，序五種，君子不如農人。」唐．楊倞．注：「墝，薄田也。」 |</v>
      </c>
    </row>
    <row r="7804" spans="1:44" hidden="1">
      <c r="A7804" s="1" t="s">
        <v>15203</v>
      </c>
      <c r="C7804" s="1">
        <v>1</v>
      </c>
      <c r="D7804" s="1" t="str">
        <f>"06354"</f>
        <v>06354</v>
      </c>
      <c r="E7804" s="1" t="s">
        <v>169</v>
      </c>
      <c r="F7804" s="1">
        <v>17</v>
      </c>
      <c r="G7804" s="1">
        <v>12</v>
      </c>
      <c r="H7804" s="1">
        <v>0</v>
      </c>
      <c r="I7804" s="1" t="s">
        <v>15189</v>
      </c>
      <c r="K7804" s="1" t="str">
        <f t="shared" si="490"/>
        <v>ㄑ</v>
      </c>
      <c r="L7804" s="1" t="str">
        <f t="shared" si="491"/>
        <v>ㄧ</v>
      </c>
      <c r="M7804" s="1" t="str">
        <f t="shared" si="492"/>
        <v>ㄠ</v>
      </c>
      <c r="P7804" s="1" t="s">
        <v>20</v>
      </c>
      <c r="R7804" s="1" t="s">
        <v>15190</v>
      </c>
      <c r="V7804" s="1" t="s">
        <v>15204</v>
      </c>
      <c r="AR7804" s="1" t="str">
        <f t="shared" si="489"/>
        <v>| [ㄑㄧㄠ](ㄑㄧㄠ.md) | [磽](磽.md) |  | qiāo | [形]
1.堅硬。唐．舒元輿〈坊州按獄〉詩：「風冷木長瘦，石磽人亦勞。」
2.土壤堅硬貧瘠，不適宜耕種。《孟子．告子上》：「地有肥磽，雨露之養，人事之不齊也。」漢．趙岐．注：「磽，薄也。」《漢書．卷五一．賈山傳》：「地之磽者，雖有善種，不能生焉。」 |</v>
      </c>
    </row>
    <row r="7805" spans="1:44" hidden="1">
      <c r="A7805" s="1" t="s">
        <v>15205</v>
      </c>
      <c r="C7805" s="1">
        <v>1</v>
      </c>
      <c r="D7805" s="1" t="str">
        <f>"06355"</f>
        <v>06355</v>
      </c>
      <c r="E7805" s="1" t="s">
        <v>4563</v>
      </c>
      <c r="F7805" s="1">
        <v>19</v>
      </c>
      <c r="G7805" s="1">
        <v>12</v>
      </c>
      <c r="H7805" s="1">
        <v>0</v>
      </c>
      <c r="I7805" s="1" t="s">
        <v>15189</v>
      </c>
      <c r="K7805" s="1" t="str">
        <f t="shared" si="490"/>
        <v>ㄑ</v>
      </c>
      <c r="L7805" s="1" t="str">
        <f t="shared" si="491"/>
        <v>ㄧ</v>
      </c>
      <c r="M7805" s="1" t="str">
        <f t="shared" si="492"/>
        <v>ㄠ</v>
      </c>
      <c r="P7805" s="1" t="s">
        <v>20</v>
      </c>
      <c r="R7805" s="1" t="s">
        <v>15190</v>
      </c>
      <c r="V7805" s="1" t="s">
        <v>15206</v>
      </c>
      <c r="AR7805" s="1" t="str">
        <f t="shared" si="489"/>
        <v>| [ㄑㄧㄠ](ㄑㄧㄠ.md) | [趬](趬.md) |  | qiāo | [形]
走路輕快的樣子。《說文解字．走部》：「趬，行輕貌。」《後漢書．卷六〇上．馬融傳》：「或輕訬趬悍，廋疏嶁領。」
[動]
高起、向上翹起。《西遊記》第三三回：「說了誓，將身一縱，把尾子趬了一趬。」 |</v>
      </c>
    </row>
    <row r="7806" spans="1:44" hidden="1">
      <c r="A7806" s="1" t="s">
        <v>15207</v>
      </c>
      <c r="C7806" s="1">
        <v>1</v>
      </c>
      <c r="D7806" s="1" t="str">
        <f>"06356"</f>
        <v>06356</v>
      </c>
      <c r="E7806" s="1" t="s">
        <v>77</v>
      </c>
      <c r="F7806" s="1">
        <v>19</v>
      </c>
      <c r="G7806" s="1">
        <v>12</v>
      </c>
      <c r="H7806" s="1">
        <v>0</v>
      </c>
      <c r="I7806" s="1" t="s">
        <v>15189</v>
      </c>
      <c r="K7806" s="1" t="str">
        <f t="shared" si="490"/>
        <v>ㄑ</v>
      </c>
      <c r="L7806" s="1" t="str">
        <f t="shared" si="491"/>
        <v>ㄧ</v>
      </c>
      <c r="M7806" s="1" t="str">
        <f t="shared" si="492"/>
        <v>ㄠ</v>
      </c>
      <c r="P7806" s="1" t="s">
        <v>20</v>
      </c>
      <c r="R7806" s="1" t="s">
        <v>15190</v>
      </c>
      <c r="V7806" s="1" t="s">
        <v>15208</v>
      </c>
      <c r="AR7806" s="1" t="str">
        <f t="shared" si="489"/>
        <v>| [ㄑㄧㄠ](ㄑㄧㄠ.md) | [蹺](蹺.md) |  | qiāo | [動]
1.抬起、舉起。如：「蹺腳」、「蹺起大拇指稱讚。」《紅樓夢》第九九回：「李十兒坐在椅子上，蹺著一隻腿。」
2.死。如：「蹺了」、「蹺辮子」。
[名]
一種在傳統戲劇、舞蹈中供表演者綁在腳上使用的木製道具。如：「蹺工」、「踩高蹺」。 |</v>
      </c>
    </row>
    <row r="7807" spans="1:44" hidden="1">
      <c r="A7807" s="1" t="s">
        <v>15209</v>
      </c>
      <c r="C7807" s="1">
        <v>1</v>
      </c>
      <c r="D7807" s="1" t="str">
        <f>"06357"</f>
        <v>06357</v>
      </c>
      <c r="E7807" s="1" t="s">
        <v>24</v>
      </c>
      <c r="F7807" s="1">
        <v>15</v>
      </c>
      <c r="G7807" s="1">
        <v>12</v>
      </c>
      <c r="H7807" s="1">
        <v>1</v>
      </c>
      <c r="I7807" s="1" t="s">
        <v>15189</v>
      </c>
      <c r="K7807" s="1" t="str">
        <f t="shared" si="490"/>
        <v>ㄑ</v>
      </c>
      <c r="L7807" s="1" t="str">
        <f t="shared" si="491"/>
        <v>ㄧ</v>
      </c>
      <c r="M7807" s="1" t="str">
        <f t="shared" si="492"/>
        <v>ㄠ</v>
      </c>
      <c r="P7807" s="1" t="s">
        <v>20</v>
      </c>
      <c r="R7807" s="1" t="s">
        <v>15190</v>
      </c>
      <c r="V7807" s="1" t="s">
        <v>15210</v>
      </c>
      <c r="W7807" s="1" t="s">
        <v>15211</v>
      </c>
      <c r="AR7807" s="1" t="str">
        <f t="shared" si="489"/>
        <v>| [ㄑㄧㄠ](ㄑㄧㄠ.md) | [撬](撬.md) |  | qiāo | [動]
1.以物扳開、挑起。《西遊記》第二五回：「眾仙撬開門板，著手扯下床來，也只是不醒。」
2.抬。《兒女英雄傳》第三八回：「你到底撬起點腿兒來呀！」也作「翹」。 |</v>
      </c>
    </row>
    <row r="7808" spans="1:44" hidden="1">
      <c r="A7808" s="1" t="s">
        <v>15212</v>
      </c>
      <c r="C7808" s="1">
        <v>1</v>
      </c>
      <c r="D7808" s="1" t="str">
        <f>"06358"</f>
        <v>06358</v>
      </c>
      <c r="E7808" s="1" t="s">
        <v>139</v>
      </c>
      <c r="F7808" s="1">
        <v>16</v>
      </c>
      <c r="G7808" s="1">
        <v>12</v>
      </c>
      <c r="H7808" s="1">
        <v>0</v>
      </c>
      <c r="I7808" s="1" t="s">
        <v>15189</v>
      </c>
      <c r="K7808" s="1" t="str">
        <f t="shared" si="490"/>
        <v>ㄑ</v>
      </c>
      <c r="L7808" s="1" t="str">
        <f t="shared" si="491"/>
        <v>ㄧ</v>
      </c>
      <c r="M7808" s="1" t="str">
        <f t="shared" si="492"/>
        <v>ㄠ</v>
      </c>
      <c r="P7808" s="1" t="s">
        <v>20</v>
      </c>
      <c r="R7808" s="1" t="s">
        <v>15190</v>
      </c>
      <c r="V7808" s="1" t="s">
        <v>15213</v>
      </c>
      <c r="AR7808" s="1" t="str">
        <f t="shared" si="489"/>
        <v>| [ㄑㄧㄠ](ㄑㄧㄠ.md) | [橇](橇.md) |  | qiāo | [名]
在泥地上行走或雪地裡滑行的工具。如：「雪橇」。《史記．卷二．夏本紀》：「水行乘船，泥行乘橇。」 |</v>
      </c>
    </row>
    <row r="7809" spans="1:44" hidden="1">
      <c r="A7809" s="1" t="s">
        <v>15214</v>
      </c>
      <c r="C7809" s="1">
        <v>1</v>
      </c>
      <c r="D7809" s="1" t="str">
        <f>"06359"</f>
        <v>06359</v>
      </c>
      <c r="E7809" s="1" t="s">
        <v>55</v>
      </c>
      <c r="F7809" s="1">
        <v>17</v>
      </c>
      <c r="G7809" s="1">
        <v>9</v>
      </c>
      <c r="H7809" s="1">
        <v>0</v>
      </c>
      <c r="I7809" s="1" t="s">
        <v>15189</v>
      </c>
      <c r="K7809" s="1" t="str">
        <f t="shared" si="490"/>
        <v>ㄑ</v>
      </c>
      <c r="L7809" s="1" t="str">
        <f t="shared" si="491"/>
        <v>ㄧ</v>
      </c>
      <c r="M7809" s="1" t="str">
        <f t="shared" si="492"/>
        <v>ㄠ</v>
      </c>
      <c r="P7809" s="1" t="s">
        <v>20</v>
      </c>
      <c r="R7809" s="1" t="s">
        <v>15190</v>
      </c>
      <c r="V7809" s="1" t="s">
        <v>15215</v>
      </c>
      <c r="AR7809" s="1" t="str">
        <f t="shared" si="489"/>
        <v>| [ㄑㄧㄠ](ㄑㄧㄠ.md) | [鍬](鍬.md) |  | qiāo | [名]
1.挖掘泥土的器具。下部似鐵鏟而微曲，上有木柄，可持以剷土。如：「圓鍬」。《水滸傳》第一回：「汝等從人，與我多喚幾個火工人等，將鋤頭、鐵鍬來掘開。」
2.形狀像鍬的器具。如：「火鍬」、「藥鍬」。 |</v>
      </c>
    </row>
    <row r="7810" spans="1:44" hidden="1">
      <c r="A7810" s="1" t="s">
        <v>15216</v>
      </c>
      <c r="C7810" s="1">
        <v>1</v>
      </c>
      <c r="D7810" s="1" t="str">
        <f>"06360"</f>
        <v>06360</v>
      </c>
      <c r="E7810" s="1" t="s">
        <v>725</v>
      </c>
      <c r="F7810" s="1">
        <v>18</v>
      </c>
      <c r="G7810" s="1">
        <v>12</v>
      </c>
      <c r="H7810" s="1">
        <v>0</v>
      </c>
      <c r="I7810" s="1" t="s">
        <v>15189</v>
      </c>
      <c r="K7810" s="1" t="str">
        <f t="shared" si="490"/>
        <v>ㄑ</v>
      </c>
      <c r="L7810" s="1" t="str">
        <f t="shared" si="491"/>
        <v>ㄧ</v>
      </c>
      <c r="M7810" s="1" t="str">
        <f t="shared" si="492"/>
        <v>ㄠ</v>
      </c>
      <c r="P7810" s="1" t="s">
        <v>20</v>
      </c>
      <c r="R7810" s="1" t="s">
        <v>15190</v>
      </c>
      <c r="V7810" s="1" t="s">
        <v>15217</v>
      </c>
      <c r="AR7810" s="1" t="str">
        <f t="shared" si="489"/>
        <v>| [ㄑㄧㄠ](ㄑㄧㄠ.md) | [繑](繑.md) |  | qiāo | [名]
1.褲紐，褲子上的帶子。《說文解字．糸部》：「繑，褲紐也。」《管子．輕重戊》：「絏繑而踵相隨。」
2.一種縫紉方法。將布邊向內捲起密縫，使針腳不外現，看起來很整齊。 |</v>
      </c>
    </row>
    <row r="7811" spans="1:44" hidden="1">
      <c r="A7811" s="1" t="s">
        <v>13658</v>
      </c>
      <c r="C7811" s="1">
        <v>1</v>
      </c>
      <c r="D7811" s="1" t="str">
        <f>"06361"</f>
        <v>06361</v>
      </c>
      <c r="E7811" s="1" t="s">
        <v>77</v>
      </c>
      <c r="F7811" s="1">
        <v>19</v>
      </c>
      <c r="G7811" s="1">
        <v>12</v>
      </c>
      <c r="H7811" s="1">
        <v>1</v>
      </c>
      <c r="I7811" s="1" t="s">
        <v>15189</v>
      </c>
      <c r="K7811" s="1" t="str">
        <f t="shared" si="490"/>
        <v>ㄑ</v>
      </c>
      <c r="L7811" s="1" t="str">
        <f t="shared" si="491"/>
        <v>ㄧ</v>
      </c>
      <c r="M7811" s="1" t="str">
        <f t="shared" si="492"/>
        <v>ㄠ</v>
      </c>
      <c r="P7811" s="1" t="s">
        <v>20</v>
      </c>
      <c r="R7811" s="1" t="s">
        <v>15190</v>
      </c>
      <c r="V7811" s="1" t="s">
        <v>15218</v>
      </c>
      <c r="W7811" s="1" t="s">
        <v>15219</v>
      </c>
      <c r="AR7811" s="1" t="str">
        <f t="shared" ref="AR7811:AR7874" si="493">"| ["&amp;I7811&amp;"]("&amp;I7811&amp;".md) | ["&amp;A7811&amp;"]("&amp;A7811&amp;".md) | "&amp;" | "&amp;R7811&amp;" | "&amp;V7811&amp;" |"</f>
        <v>| [ㄑㄧㄠ](ㄑㄧㄠ.md) | [蹻](蹻.md) |  | qiāo | [動]
抬起腳來。通「蹺」。《說文解字．足部》：「舉足小高也。」 |</v>
      </c>
    </row>
    <row r="7812" spans="1:44" hidden="1">
      <c r="A7812" s="1" t="s">
        <v>15220</v>
      </c>
      <c r="C7812" s="1">
        <v>1</v>
      </c>
      <c r="D7812" s="1" t="str">
        <f>"06362"</f>
        <v>06362</v>
      </c>
      <c r="E7812" s="1" t="s">
        <v>24</v>
      </c>
      <c r="F7812" s="1">
        <v>8</v>
      </c>
      <c r="G7812" s="1">
        <v>5</v>
      </c>
      <c r="H7812" s="1">
        <v>3</v>
      </c>
      <c r="I7812" s="1" t="s">
        <v>15221</v>
      </c>
      <c r="K7812" s="1" t="str">
        <f t="shared" ref="K7812:K7875" si="494">LEFT(I7812, 1)</f>
        <v>ㄑ</v>
      </c>
      <c r="L7812" s="1" t="str">
        <f t="shared" ref="L7812:L7875" si="495">MID(I7812, 2, 1)</f>
        <v>ㄧ</v>
      </c>
      <c r="M7812" s="1" t="str">
        <f t="shared" si="492"/>
        <v>ㄠ</v>
      </c>
      <c r="P7812" s="1" t="s">
        <v>20</v>
      </c>
      <c r="R7812" s="1" t="s">
        <v>15222</v>
      </c>
      <c r="V7812" s="1" t="s">
        <v>15223</v>
      </c>
      <c r="W7812" s="1" t="s">
        <v>15224</v>
      </c>
      <c r="AR7812" s="1" t="str">
        <f t="shared" si="493"/>
        <v>| [ㄑㄧㄠˊ](ㄑㄧㄠˊ.md) | [招](招.md) |  | qiáo | [動]
揭舉、揭發。《國語．周語下》：「立於淫亂之國，而好盡言，以招人過，怨之本也。」唐．韓愈〈爭法論〉：「惡為人臣招其君之過而以為名者。」 |</v>
      </c>
    </row>
    <row r="7813" spans="1:44" hidden="1">
      <c r="A7813" s="1" t="s">
        <v>15225</v>
      </c>
      <c r="C7813" s="1">
        <v>1</v>
      </c>
      <c r="D7813" s="1" t="str">
        <f>"06363"</f>
        <v>06363</v>
      </c>
      <c r="E7813" s="1" t="s">
        <v>37</v>
      </c>
      <c r="F7813" s="1">
        <v>10</v>
      </c>
      <c r="G7813" s="1">
        <v>6</v>
      </c>
      <c r="H7813" s="1">
        <v>0</v>
      </c>
      <c r="I7813" s="1" t="s">
        <v>15221</v>
      </c>
      <c r="K7813" s="1" t="str">
        <f t="shared" si="494"/>
        <v>ㄑ</v>
      </c>
      <c r="L7813" s="1" t="str">
        <f t="shared" si="495"/>
        <v>ㄧ</v>
      </c>
      <c r="M7813" s="1" t="str">
        <f t="shared" si="492"/>
        <v>ㄠ</v>
      </c>
      <c r="P7813" s="1" t="s">
        <v>20</v>
      </c>
      <c r="R7813" s="1" t="s">
        <v>15222</v>
      </c>
      <c r="V7813" s="1" t="s">
        <v>15226</v>
      </c>
      <c r="AR7813" s="1" t="str">
        <f t="shared" si="493"/>
        <v>| [ㄑㄧㄠˊ](ㄑㄧㄠˊ.md) | [荍](荍.md) |  | qiáo | [名]
1.錦葵的別名。參見「錦葵」條。
2.麥子。通「蕎」。明．李時珍《本草綱目．卷二二．穀部．蕎麥》：「時珍曰：『蕎麥之莖弱而翹然，易長易收，磨麵如麥，如曰蕎、曰荍，而與麥同名也。』」 |</v>
      </c>
    </row>
    <row r="7814" spans="1:44" hidden="1">
      <c r="A7814" s="1" t="s">
        <v>15227</v>
      </c>
      <c r="C7814" s="1">
        <v>1</v>
      </c>
      <c r="D7814" s="1" t="str">
        <f>"06364"</f>
        <v>06364</v>
      </c>
      <c r="E7814" s="1" t="s">
        <v>1015</v>
      </c>
      <c r="F7814" s="1">
        <v>12</v>
      </c>
      <c r="G7814" s="1">
        <v>7</v>
      </c>
      <c r="H7814" s="1">
        <v>0</v>
      </c>
      <c r="I7814" s="1" t="s">
        <v>15221</v>
      </c>
      <c r="K7814" s="1" t="str">
        <f t="shared" si="494"/>
        <v>ㄑ</v>
      </c>
      <c r="L7814" s="1" t="str">
        <f t="shared" si="495"/>
        <v>ㄧ</v>
      </c>
      <c r="M7814" s="1" t="str">
        <f t="shared" si="492"/>
        <v>ㄠ</v>
      </c>
      <c r="P7814" s="1" t="s">
        <v>20</v>
      </c>
      <c r="R7814" s="1" t="s">
        <v>15222</v>
      </c>
      <c r="V7814" s="1" t="s">
        <v>15228</v>
      </c>
      <c r="AR7814" s="1" t="str">
        <f t="shared" si="493"/>
        <v>| [ㄑㄧㄠˊ](ㄑㄧㄠˊ.md) | [睄](睄.md) |  | qiáo | [動]
輕視、瞧不起。《集韻．去聲．效韻》：「睄，小視。」
[形]
晦暗不明。《楚辭．王逸．九思．疾世》：「日陰曀兮未光，閴睄窕兮靡睹。」自注：「睄窕，幽冥也。」 |</v>
      </c>
    </row>
    <row r="7815" spans="1:44" hidden="1">
      <c r="A7815" s="1" t="s">
        <v>13574</v>
      </c>
      <c r="C7815" s="1">
        <v>1</v>
      </c>
      <c r="D7815" s="1" t="str">
        <f>"06365"</f>
        <v>06365</v>
      </c>
      <c r="E7815" s="1" t="s">
        <v>28</v>
      </c>
      <c r="F7815" s="1">
        <v>12</v>
      </c>
      <c r="G7815" s="1">
        <v>9</v>
      </c>
      <c r="H7815" s="1">
        <v>1</v>
      </c>
      <c r="I7815" s="1" t="s">
        <v>15221</v>
      </c>
      <c r="K7815" s="1" t="str">
        <f t="shared" si="494"/>
        <v>ㄑ</v>
      </c>
      <c r="L7815" s="1" t="str">
        <f t="shared" si="495"/>
        <v>ㄧ</v>
      </c>
      <c r="M7815" s="1" t="str">
        <f t="shared" si="492"/>
        <v>ㄠ</v>
      </c>
      <c r="P7815" s="1" t="s">
        <v>20</v>
      </c>
      <c r="R7815" s="1" t="s">
        <v>15222</v>
      </c>
      <c r="V7815" s="1" t="s">
        <v>15229</v>
      </c>
      <c r="W7815" s="1" t="s">
        <v>15230</v>
      </c>
      <c r="AR7815" s="1" t="str">
        <f t="shared" si="493"/>
        <v>| [ㄑㄧㄠˊ](ㄑㄧㄠˊ.md) | [喬](喬.md) |  | qiáo | [形]
1.形容樹幹高大且樹枝往上盤旋的。《說文解字．夭部》：「喬，高而曲也。」《詩經．小雅．伐木》：「出自幽谷，遷於喬木。」唐．宋之問〈題張老松樹〉詩：「中有喬松樹，使我長歎息。」
2.罵人的話。惡劣的意思。元．石君寶《秋胡戲妻》第三折：「原來是個不曉事的喬男女。」
[副]
假裝、詐偽。如：「喬裝」、「喬扮」。明．張鳳翼《紅拂記》第一齣：「分明是長吁氣，喬說是歌遶畫梁飛。」
[名]
1.矛柄近刃處用來懸掛羽毛的地方。《詩經．鄭風．清人》：「二矛重喬，河上乎逍遙。」
2.三國時吳國的大喬、小喬。唐．杜牧〈赤壁〉詩：「東風不與周郎便，銅雀春深鎖二喬。」
3.姓。如元代有喬吉。 |</v>
      </c>
    </row>
    <row r="7816" spans="1:44" hidden="1">
      <c r="A7816" s="1" t="s">
        <v>15231</v>
      </c>
      <c r="C7816" s="1">
        <v>1</v>
      </c>
      <c r="D7816" s="1" t="str">
        <f>"06366"</f>
        <v>06366</v>
      </c>
      <c r="E7816" s="1" t="s">
        <v>114</v>
      </c>
      <c r="F7816" s="1">
        <v>14</v>
      </c>
      <c r="G7816" s="1">
        <v>12</v>
      </c>
      <c r="H7816" s="1">
        <v>0</v>
      </c>
      <c r="I7816" s="1" t="s">
        <v>15221</v>
      </c>
      <c r="K7816" s="1" t="str">
        <f t="shared" si="494"/>
        <v>ㄑ</v>
      </c>
      <c r="L7816" s="1" t="str">
        <f t="shared" si="495"/>
        <v>ㄧ</v>
      </c>
      <c r="M7816" s="1" t="str">
        <f t="shared" si="492"/>
        <v>ㄠ</v>
      </c>
      <c r="P7816" s="1" t="s">
        <v>20</v>
      </c>
      <c r="R7816" s="1" t="s">
        <v>15222</v>
      </c>
      <c r="V7816" s="1" t="s">
        <v>15232</v>
      </c>
      <c r="AR7816" s="1" t="str">
        <f t="shared" si="493"/>
        <v>| [ㄑㄧㄠˊ](ㄑㄧㄠˊ.md) | [僑](僑.md) |  | qiáo | [動]
旅居、寄居。《廣韻．平聲．宵韻》：「僑，寄也，客也。」《魏書．卷四五．杜銓傳》：「既是宗近，何緣復僑居趙郡？」
[名]
寄居異地或他國的人。如：「華僑」、「外僑」。
[副]
臨時、暫且。如：「僑置」。《晉書．卷一四．地理志上》：「元帝渡江，以春穀縣僑立襄城郡及繁昌縣。」 |</v>
      </c>
    </row>
    <row r="7817" spans="1:44" hidden="1">
      <c r="A7817" s="1" t="s">
        <v>13577</v>
      </c>
      <c r="C7817" s="1">
        <v>1</v>
      </c>
      <c r="D7817" s="1" t="str">
        <f>"06367"</f>
        <v>06367</v>
      </c>
      <c r="E7817" s="1" t="s">
        <v>250</v>
      </c>
      <c r="F7817" s="1">
        <v>15</v>
      </c>
      <c r="G7817" s="1">
        <v>12</v>
      </c>
      <c r="H7817" s="1">
        <v>2</v>
      </c>
      <c r="I7817" s="1" t="s">
        <v>15221</v>
      </c>
      <c r="K7817" s="1" t="str">
        <f t="shared" si="494"/>
        <v>ㄑ</v>
      </c>
      <c r="L7817" s="1" t="str">
        <f t="shared" si="495"/>
        <v>ㄧ</v>
      </c>
      <c r="M7817" s="1" t="str">
        <f t="shared" si="492"/>
        <v>ㄠ</v>
      </c>
      <c r="P7817" s="1" t="s">
        <v>110</v>
      </c>
      <c r="R7817" s="1" t="s">
        <v>15222</v>
      </c>
      <c r="V7817" s="1" t="s">
        <v>111</v>
      </c>
      <c r="W7817" s="1" t="s">
        <v>15233</v>
      </c>
      <c r="AR7817" s="1" t="str">
        <f t="shared" si="493"/>
        <v>| [ㄑㄧㄠˊ](ㄑㄧㄠˊ.md) | [憍](憍.md) |  | qiáo | (一)之又音。 |</v>
      </c>
    </row>
    <row r="7818" spans="1:44" hidden="1">
      <c r="A7818" s="1" t="s">
        <v>15234</v>
      </c>
      <c r="C7818" s="1">
        <v>1</v>
      </c>
      <c r="D7818" s="1" t="str">
        <f>"06368"</f>
        <v>06368</v>
      </c>
      <c r="E7818" s="1" t="s">
        <v>139</v>
      </c>
      <c r="F7818" s="1">
        <v>16</v>
      </c>
      <c r="G7818" s="1">
        <v>12</v>
      </c>
      <c r="H7818" s="1">
        <v>0</v>
      </c>
      <c r="I7818" s="1" t="s">
        <v>15221</v>
      </c>
      <c r="K7818" s="1" t="str">
        <f t="shared" si="494"/>
        <v>ㄑ</v>
      </c>
      <c r="L7818" s="1" t="str">
        <f t="shared" si="495"/>
        <v>ㄧ</v>
      </c>
      <c r="M7818" s="1" t="str">
        <f t="shared" si="492"/>
        <v>ㄠ</v>
      </c>
      <c r="P7818" s="1" t="s">
        <v>20</v>
      </c>
      <c r="R7818" s="1" t="s">
        <v>15222</v>
      </c>
      <c r="V7818" s="1" t="s">
        <v>15235</v>
      </c>
      <c r="AR7818" s="1" t="str">
        <f t="shared" si="493"/>
        <v>| [ㄑㄧㄠˊ](ㄑㄧㄠˊ.md) | [橋](橋.md) |  | qiáo | [名]
1.架在河面上接通兩岸的建築物。《說文解字．木部》：「橋，水梁也。」如：「吊橋」、「鐵橋」、「獨木橋」、「長橋臥波」。宋．陸游〈沈園〉詩二首之一：「傷心橋下春波綠，曾是驚鴻照影來。」
2.建在市區交通要道上，像橋梁一樣的建築物。如：「天橋」、「陸橋」。
3.紫葳科「橋梓」、「喬梓」、「梓」的別稱。參見「橋梓」條。
4.姓。如漢代有橋玄。 |</v>
      </c>
    </row>
    <row r="7819" spans="1:44" hidden="1">
      <c r="A7819" s="1" t="s">
        <v>15236</v>
      </c>
      <c r="C7819" s="1">
        <v>1</v>
      </c>
      <c r="D7819" s="1" t="str">
        <f>"06369"</f>
        <v>06369</v>
      </c>
      <c r="E7819" s="1" t="s">
        <v>37</v>
      </c>
      <c r="F7819" s="1">
        <v>16</v>
      </c>
      <c r="G7819" s="1">
        <v>12</v>
      </c>
      <c r="H7819" s="1">
        <v>0</v>
      </c>
      <c r="I7819" s="1" t="s">
        <v>15221</v>
      </c>
      <c r="K7819" s="1" t="str">
        <f t="shared" si="494"/>
        <v>ㄑ</v>
      </c>
      <c r="L7819" s="1" t="str">
        <f t="shared" si="495"/>
        <v>ㄧ</v>
      </c>
      <c r="M7819" s="1" t="str">
        <f t="shared" si="492"/>
        <v>ㄠ</v>
      </c>
      <c r="P7819" s="1" t="s">
        <v>20</v>
      </c>
      <c r="R7819" s="1" t="s">
        <v>15222</v>
      </c>
      <c r="V7819" s="1" t="s">
        <v>15237</v>
      </c>
      <c r="AR7819" s="1" t="str">
        <f t="shared" si="493"/>
        <v>| [ㄑㄧㄠˊ](ㄑㄧㄠˊ.md) | [蕎](蕎.md) |  | qiáo | [名]
植物名：(1)蓼科蕎麥屬，「蕎麥」之古稱。參見「蕎麥」條。(2)大戟科大戟屬。多年生草本。根圓柱形，莖高四十至九十公分，具乳汁。葉橢圓形至披針狀橢圓形。總苞片四至七枚輪生，繖輻四至七枚，大戟花序單生二歧分枝頂端，具淡褐色腺體。蒴果球形。根可入藥。《爾雅．釋草》：「蕎，邛鉅。」晉．郭璞．注：「今藥草，大戟也。」也稱為「大戟」、「京大戟」。 |</v>
      </c>
    </row>
    <row r="7820" spans="1:44" hidden="1">
      <c r="A7820" s="1" t="s">
        <v>15238</v>
      </c>
      <c r="C7820" s="1">
        <v>1</v>
      </c>
      <c r="D7820" s="1" t="str">
        <f>"06370"</f>
        <v>06370</v>
      </c>
      <c r="E7820" s="1" t="s">
        <v>169</v>
      </c>
      <c r="F7820" s="1">
        <v>17</v>
      </c>
      <c r="G7820" s="1">
        <v>12</v>
      </c>
      <c r="H7820" s="1">
        <v>0</v>
      </c>
      <c r="I7820" s="1" t="s">
        <v>15221</v>
      </c>
      <c r="K7820" s="1" t="str">
        <f t="shared" si="494"/>
        <v>ㄑ</v>
      </c>
      <c r="L7820" s="1" t="str">
        <f t="shared" si="495"/>
        <v>ㄧ</v>
      </c>
      <c r="M7820" s="1" t="str">
        <f t="shared" si="492"/>
        <v>ㄠ</v>
      </c>
      <c r="P7820" s="1" t="s">
        <v>20</v>
      </c>
      <c r="R7820" s="1" t="s">
        <v>15222</v>
      </c>
      <c r="V7820" s="1" t="s">
        <v>15239</v>
      </c>
      <c r="AR7820" s="1" t="str">
        <f t="shared" si="493"/>
        <v>| [ㄑㄧㄠˊ](ㄑㄧㄠˊ.md) | [礄](礄.md) |  | qiáo | [名]
地名用字。如位於大陸地區四川省境的礄頭及湖北省境的礄口區。 |</v>
      </c>
    </row>
    <row r="7821" spans="1:44" hidden="1">
      <c r="A7821" s="1" t="s">
        <v>15240</v>
      </c>
      <c r="C7821" s="1">
        <v>1</v>
      </c>
      <c r="D7821" s="1" t="str">
        <f>"06371"</f>
        <v>06371</v>
      </c>
      <c r="E7821" s="1" t="s">
        <v>4563</v>
      </c>
      <c r="F7821" s="1">
        <v>19</v>
      </c>
      <c r="G7821" s="1">
        <v>12</v>
      </c>
      <c r="H7821" s="1">
        <v>0</v>
      </c>
      <c r="I7821" s="1" t="s">
        <v>15221</v>
      </c>
      <c r="K7821" s="1" t="str">
        <f t="shared" si="494"/>
        <v>ㄑ</v>
      </c>
      <c r="L7821" s="1" t="str">
        <f t="shared" si="495"/>
        <v>ㄧ</v>
      </c>
      <c r="M7821" s="1" t="str">
        <f t="shared" si="492"/>
        <v>ㄠ</v>
      </c>
      <c r="P7821" s="1" t="s">
        <v>20</v>
      </c>
      <c r="R7821" s="1" t="s">
        <v>15222</v>
      </c>
      <c r="V7821" s="1" t="s">
        <v>15241</v>
      </c>
      <c r="AR7821" s="1" t="str">
        <f t="shared" si="493"/>
        <v>| [ㄑㄧㄠˊ](ㄑㄧㄠˊ.md) | [趫](趫.md) |  | qiáo | [名]
擅長攀爬樹木的人。《說文解字．走部》：「趫，善緣木之士也。」
[形]
1.身手矯捷，善於爬高奔走。如：「趫健」。《後漢書．卷七一．朱儁傳》：「輕勇趫捷，故軍中號曰『飛燕』。」
2.旺盛。《呂氏春秋．先識覽．悔過》：「皆以其氣之趫與力之盛至，是以犯敵能滅，去之能速。」 |</v>
      </c>
    </row>
    <row r="7822" spans="1:44" hidden="1">
      <c r="A7822" s="1" t="s">
        <v>15242</v>
      </c>
      <c r="C7822" s="1">
        <v>1</v>
      </c>
      <c r="D7822" s="1" t="str">
        <f>"06372"</f>
        <v>06372</v>
      </c>
      <c r="E7822" s="1" t="s">
        <v>185</v>
      </c>
      <c r="F7822" s="1">
        <v>14</v>
      </c>
      <c r="G7822" s="1">
        <v>12</v>
      </c>
      <c r="H7822" s="1">
        <v>1</v>
      </c>
      <c r="I7822" s="1" t="s">
        <v>15221</v>
      </c>
      <c r="K7822" s="1" t="str">
        <f t="shared" si="494"/>
        <v>ㄑ</v>
      </c>
      <c r="L7822" s="1" t="str">
        <f t="shared" si="495"/>
        <v>ㄧ</v>
      </c>
      <c r="M7822" s="1" t="str">
        <f t="shared" si="492"/>
        <v>ㄠ</v>
      </c>
      <c r="P7822" s="1" t="s">
        <v>20</v>
      </c>
      <c r="R7822" s="1" t="s">
        <v>15222</v>
      </c>
      <c r="V7822" s="1" t="s">
        <v>15243</v>
      </c>
      <c r="W7822" s="1" t="s">
        <v>15244</v>
      </c>
      <c r="AR7822" s="1" t="str">
        <f t="shared" si="493"/>
        <v>| [ㄑㄧㄠˊ](ㄑㄧㄠˊ.md) | [劁](劁.md) |  | qiáo | [動]
割、斷。《集韻．平聲．宵韻》：「劁，斷也，刈也。」《齊民要術．卷一．收種》：「選好穗純色者，劁刈高懸之。」 |</v>
      </c>
    </row>
    <row r="7823" spans="1:44" hidden="1">
      <c r="A7823" s="1" t="s">
        <v>15245</v>
      </c>
      <c r="C7823" s="1">
        <v>1</v>
      </c>
      <c r="D7823" s="1" t="str">
        <f>"06373"</f>
        <v>06373</v>
      </c>
      <c r="E7823" s="1" t="s">
        <v>250</v>
      </c>
      <c r="F7823" s="1">
        <v>15</v>
      </c>
      <c r="G7823" s="1">
        <v>12</v>
      </c>
      <c r="H7823" s="1">
        <v>0</v>
      </c>
      <c r="I7823" s="1" t="s">
        <v>15221</v>
      </c>
      <c r="K7823" s="1" t="str">
        <f t="shared" si="494"/>
        <v>ㄑ</v>
      </c>
      <c r="L7823" s="1" t="str">
        <f t="shared" si="495"/>
        <v>ㄧ</v>
      </c>
      <c r="M7823" s="1" t="str">
        <f t="shared" si="492"/>
        <v>ㄠ</v>
      </c>
      <c r="P7823" s="1" t="s">
        <v>20</v>
      </c>
      <c r="R7823" s="1" t="s">
        <v>15222</v>
      </c>
      <c r="V7823" s="1" t="s">
        <v>15246</v>
      </c>
      <c r="AR7823" s="1" t="str">
        <f t="shared" si="493"/>
        <v>| [ㄑㄧㄠˊ](ㄑㄧㄠˊ.md) | [憔](憔.md) |  | qiáo | 參見「憔慮」、「憔悴」等條。 |</v>
      </c>
    </row>
    <row r="7824" spans="1:44" hidden="1">
      <c r="A7824" s="1" t="s">
        <v>15247</v>
      </c>
      <c r="C7824" s="1">
        <v>1</v>
      </c>
      <c r="D7824" s="1" t="str">
        <f>"06374"</f>
        <v>06374</v>
      </c>
      <c r="E7824" s="1" t="s">
        <v>534</v>
      </c>
      <c r="F7824" s="1">
        <v>15</v>
      </c>
      <c r="G7824" s="1">
        <v>12</v>
      </c>
      <c r="H7824" s="1">
        <v>0</v>
      </c>
      <c r="I7824" s="1" t="s">
        <v>15221</v>
      </c>
      <c r="K7824" s="1" t="str">
        <f t="shared" si="494"/>
        <v>ㄑ</v>
      </c>
      <c r="L7824" s="1" t="str">
        <f t="shared" si="495"/>
        <v>ㄧ</v>
      </c>
      <c r="M7824" s="1" t="str">
        <f t="shared" si="492"/>
        <v>ㄠ</v>
      </c>
      <c r="P7824" s="1" t="s">
        <v>20</v>
      </c>
      <c r="R7824" s="1" t="s">
        <v>15222</v>
      </c>
      <c r="V7824" s="1" t="s">
        <v>15248</v>
      </c>
      <c r="AR7824" s="1" t="str">
        <f t="shared" si="493"/>
        <v>| [ㄑㄧㄠˊ](ㄑㄧㄠˊ.md) | [嫶](嫶.md) |  | qiáo | 參見「嫶妍」條。 |</v>
      </c>
    </row>
    <row r="7825" spans="1:44" hidden="1">
      <c r="A7825" s="1" t="s">
        <v>15249</v>
      </c>
      <c r="C7825" s="1">
        <v>1</v>
      </c>
      <c r="D7825" s="1" t="str">
        <f>"06375"</f>
        <v>06375</v>
      </c>
      <c r="E7825" s="1" t="s">
        <v>139</v>
      </c>
      <c r="F7825" s="1">
        <v>16</v>
      </c>
      <c r="G7825" s="1">
        <v>12</v>
      </c>
      <c r="H7825" s="1">
        <v>0</v>
      </c>
      <c r="I7825" s="1" t="s">
        <v>15221</v>
      </c>
      <c r="K7825" s="1" t="str">
        <f t="shared" si="494"/>
        <v>ㄑ</v>
      </c>
      <c r="L7825" s="1" t="str">
        <f t="shared" si="495"/>
        <v>ㄧ</v>
      </c>
      <c r="M7825" s="1" t="str">
        <f t="shared" si="492"/>
        <v>ㄠ</v>
      </c>
      <c r="P7825" s="1" t="s">
        <v>20</v>
      </c>
      <c r="R7825" s="1" t="s">
        <v>15222</v>
      </c>
      <c r="V7825" s="1" t="s">
        <v>15250</v>
      </c>
      <c r="AR7825" s="1" t="str">
        <f t="shared" si="493"/>
        <v>| [ㄑㄧㄠˊ](ㄑㄧㄠˊ.md) | [樵](樵.md) |  | qiáo | [名]
1.木柴。如：「薪樵」。《左傳．桓公十二年》：「輕則寡謀，請無扞采樵者以誘之。」宋．柳永〈煮海歌〉：「滷濃鹽淡未得閒，採樵深入無窮山。」
2.打柴的人。如：「樵夫」。唐．杜荀鶴〈遊茅山〉詩：「漁樵不到處，麋鹿自成群。」唐．孟浩然〈宿業師山房期丁大不至〉詩：「樵人歸欲盡，煙鳥棲初定。」
3.瞭望敵人的高樓。通「譙」。《漢書．卷六九．趙充國傳》：「為塹壘木樵，校聯不絕。」
[動]
砍柴。《詩經．小雅．白華》：「樵彼桑薪，卬烘于煁。」《左傳．昭公六年》：「不樵樹，不采蓺。」宋．方岳〈三虎行〉：「西鄰昨暮樵不歸，欲覓殘骸無處所。」 |</v>
      </c>
    </row>
    <row r="7826" spans="1:44" hidden="1">
      <c r="A7826" s="1" t="s">
        <v>13595</v>
      </c>
      <c r="C7826" s="1">
        <v>1</v>
      </c>
      <c r="D7826" s="1" t="str">
        <f>"06376"</f>
        <v>06376</v>
      </c>
      <c r="E7826" s="1" t="s">
        <v>37</v>
      </c>
      <c r="F7826" s="1">
        <v>16</v>
      </c>
      <c r="G7826" s="1">
        <v>12</v>
      </c>
      <c r="H7826" s="1">
        <v>2</v>
      </c>
      <c r="I7826" s="1" t="s">
        <v>15221</v>
      </c>
      <c r="K7826" s="1" t="str">
        <f t="shared" si="494"/>
        <v>ㄑ</v>
      </c>
      <c r="L7826" s="1" t="str">
        <f t="shared" si="495"/>
        <v>ㄧ</v>
      </c>
      <c r="M7826" s="1" t="str">
        <f t="shared" si="492"/>
        <v>ㄠ</v>
      </c>
      <c r="P7826" s="1" t="s">
        <v>20</v>
      </c>
      <c r="R7826" s="1" t="s">
        <v>15222</v>
      </c>
      <c r="V7826" s="1" t="s">
        <v>15251</v>
      </c>
      <c r="W7826" s="1" t="s">
        <v>15252</v>
      </c>
      <c r="AR7826" s="1" t="str">
        <f t="shared" si="493"/>
        <v>| [ㄑㄧㄠˊ](ㄑㄧㄠˊ.md) | [蕉](蕉.md) |  | qiáo | 參見「蕉萃」條。 |</v>
      </c>
    </row>
    <row r="7827" spans="1:44" hidden="1">
      <c r="A7827" s="1" t="s">
        <v>15253</v>
      </c>
      <c r="C7827" s="1">
        <v>1</v>
      </c>
      <c r="D7827" s="1" t="str">
        <f>"06377"</f>
        <v>06377</v>
      </c>
      <c r="E7827" s="1" t="s">
        <v>1015</v>
      </c>
      <c r="F7827" s="1">
        <v>17</v>
      </c>
      <c r="G7827" s="1">
        <v>12</v>
      </c>
      <c r="H7827" s="1">
        <v>0</v>
      </c>
      <c r="I7827" s="1" t="s">
        <v>15221</v>
      </c>
      <c r="K7827" s="1" t="str">
        <f t="shared" si="494"/>
        <v>ㄑ</v>
      </c>
      <c r="L7827" s="1" t="str">
        <f t="shared" si="495"/>
        <v>ㄧ</v>
      </c>
      <c r="M7827" s="1" t="str">
        <f t="shared" si="492"/>
        <v>ㄠ</v>
      </c>
      <c r="P7827" s="1" t="s">
        <v>20</v>
      </c>
      <c r="R7827" s="1" t="s">
        <v>15222</v>
      </c>
      <c r="V7827" s="1" t="s">
        <v>15254</v>
      </c>
      <c r="AR7827" s="1" t="str">
        <f t="shared" si="493"/>
        <v>| [ㄑㄧㄠˊ](ㄑㄧㄠˊ.md) | [瞧](瞧.md) |  | qiáo | [動]
1.看。如：「瞧見」、「走著瞧」、「瞧得起」、「瞧熱鬧」。元．高明《琵琶記．牛小姐諫父》：「撇呆打墮，早被那人瞧破。」
2.偷看。《警世通言．卷二一．趙太祖千里送京娘》：「只見外面一個人入來，到房門口探頭探腦。公子大喝道：『什麼人敢來瞧俺腳色？』」 |</v>
      </c>
    </row>
    <row r="7828" spans="1:44" hidden="1">
      <c r="A7828" s="1" t="s">
        <v>15255</v>
      </c>
      <c r="C7828" s="1">
        <v>1</v>
      </c>
      <c r="D7828" s="1" t="str">
        <f>"06378"</f>
        <v>06378</v>
      </c>
      <c r="E7828" s="1" t="s">
        <v>331</v>
      </c>
      <c r="F7828" s="1">
        <v>19</v>
      </c>
      <c r="G7828" s="1">
        <v>12</v>
      </c>
      <c r="H7828" s="1">
        <v>1</v>
      </c>
      <c r="I7828" s="1" t="s">
        <v>15221</v>
      </c>
      <c r="K7828" s="1" t="str">
        <f t="shared" si="494"/>
        <v>ㄑ</v>
      </c>
      <c r="L7828" s="1" t="str">
        <f t="shared" si="495"/>
        <v>ㄧ</v>
      </c>
      <c r="M7828" s="1" t="str">
        <f t="shared" si="492"/>
        <v>ㄠ</v>
      </c>
      <c r="P7828" s="1" t="s">
        <v>20</v>
      </c>
      <c r="R7828" s="1" t="s">
        <v>15222</v>
      </c>
      <c r="V7828" s="1" t="s">
        <v>15256</v>
      </c>
      <c r="W7828" s="1" t="s">
        <v>15257</v>
      </c>
      <c r="AR7828" s="1" t="str">
        <f t="shared" si="493"/>
        <v>| [ㄑㄧㄠˊ](ㄑㄧㄠˊ.md) | [譙](譙.md) |  | qiáo | [名]
1.古代用以瞭望的樓臺。如：「譙樓」、「譙門」。
2.地名。曹操的故鄉。漢置縣，屬沛郡，三國魏置郡，故址在今大陸地區安徽省亳縣。
3.姓。如宋代有譙仲午。 |</v>
      </c>
    </row>
    <row r="7829" spans="1:44" hidden="1">
      <c r="A7829" s="1" t="s">
        <v>15258</v>
      </c>
      <c r="C7829" s="1">
        <v>1</v>
      </c>
      <c r="D7829" s="1" t="str">
        <f>"06379"</f>
        <v>06379</v>
      </c>
      <c r="E7829" s="1" t="s">
        <v>2271</v>
      </c>
      <c r="F7829" s="1">
        <v>18</v>
      </c>
      <c r="G7829" s="1">
        <v>12</v>
      </c>
      <c r="H7829" s="1">
        <v>1</v>
      </c>
      <c r="I7829" s="1" t="s">
        <v>15221</v>
      </c>
      <c r="K7829" s="1" t="str">
        <f t="shared" si="494"/>
        <v>ㄑ</v>
      </c>
      <c r="L7829" s="1" t="str">
        <f t="shared" si="495"/>
        <v>ㄧ</v>
      </c>
      <c r="M7829" s="1" t="str">
        <f t="shared" ref="M7829:M7892" si="496">MID(I7829, 3, 1)</f>
        <v>ㄠ</v>
      </c>
      <c r="P7829" s="1" t="s">
        <v>20</v>
      </c>
      <c r="R7829" s="1" t="s">
        <v>15222</v>
      </c>
      <c r="V7829" s="1" t="s">
        <v>15259</v>
      </c>
      <c r="W7829" s="1" t="s">
        <v>15260</v>
      </c>
      <c r="AR7829" s="1" t="str">
        <f t="shared" si="493"/>
        <v>| [ㄑㄧㄠˊ](ㄑㄧㄠˊ.md) | [翹](翹.md) |  | qiáo | [名]
1.鳥類尾部的長羽毛。《說文解字．羽部》：「翹，尾長毛也。」
2.婦女髮上的飾物，形似鳥尾。唐．白居易〈長恨歌〉：「花鈿委地無人收，翠翹金雀玉搔頭。」
[動]
舉起、抬高。如：「翹首」、「翹望」、「翹足」。
[形]
特出。《晉書．卷八七．涼武昭王李玄盛傳》：「採殊才於巖陸，拔翹彥於無際。」北齊．顏之推《顏氏家訓．文章》：「凡此諸人，皆其翹秀者。」 |</v>
      </c>
    </row>
    <row r="7830" spans="1:44" hidden="1">
      <c r="A7830" s="1" t="s">
        <v>15261</v>
      </c>
      <c r="C7830" s="1">
        <v>1</v>
      </c>
      <c r="D7830" s="1" t="str">
        <f>"06380"</f>
        <v>06380</v>
      </c>
      <c r="E7830" s="1" t="s">
        <v>10636</v>
      </c>
      <c r="F7830" s="1">
        <v>5</v>
      </c>
      <c r="G7830" s="1">
        <v>2</v>
      </c>
      <c r="H7830" s="1">
        <v>0</v>
      </c>
      <c r="I7830" s="1" t="s">
        <v>15262</v>
      </c>
      <c r="K7830" s="1" t="str">
        <f t="shared" si="494"/>
        <v>ㄑ</v>
      </c>
      <c r="L7830" s="1" t="str">
        <f t="shared" si="495"/>
        <v>ㄧ</v>
      </c>
      <c r="M7830" s="1" t="str">
        <f t="shared" si="496"/>
        <v>ㄠ</v>
      </c>
      <c r="P7830" s="1" t="s">
        <v>20</v>
      </c>
      <c r="R7830" s="1" t="s">
        <v>15263</v>
      </c>
      <c r="V7830" s="1" t="s">
        <v>15264</v>
      </c>
      <c r="AR7830" s="1" t="str">
        <f t="shared" si="493"/>
        <v>| [ㄑㄧㄠˇ](ㄑㄧㄠˇ.md) | [巧](巧.md) |  | qiǎo | [形]
1.高妙、靈活、聰慧。如：「靈巧」、「巧思」、「巧婦難為無米之炊」。
2.美好。《詩經．衛風．碩人》：「巧笑倩兮，美目盼兮。」
3.技藝精妙。如：「巧手」、「巧工」。漢．王充《論衡．自紀》：「大簡必有大好，良工必有不巧。」唐．秦韜玉〈貧女〉詩：「敢將十指誇偏巧，不把雙眉鬥畫長。」
4.虛偽不實。如：「花言巧語」。《論語．學而》：「巧言令色，鮮矣仁。」唐．白居易〈新樂府．天可度〉：「但見丹誠赤如血，誰知偽言巧似簧。」
[名]
精妙的技能、才藝。如：「乞巧」。《孟子．離婁上》：「離婁之明，公輸子之巧，不以規矩，不能成方員。」
[副]
1.恰好。如：「湊巧」、「碰巧」、「巧遇」。
2.狡詐、虛偽。如：「巧辯」、「巧立名目」。唐．韓愈〈答劉秀才論史書〉：「巧造語言，鑿空構立。」 |</v>
      </c>
    </row>
    <row r="7831" spans="1:44" hidden="1">
      <c r="A7831" s="1" t="s">
        <v>15265</v>
      </c>
      <c r="C7831" s="1">
        <v>1</v>
      </c>
      <c r="D7831" s="1" t="str">
        <f>"06381"</f>
        <v>06381</v>
      </c>
      <c r="E7831" s="1" t="s">
        <v>250</v>
      </c>
      <c r="F7831" s="1">
        <v>10</v>
      </c>
      <c r="G7831" s="1">
        <v>7</v>
      </c>
      <c r="H7831" s="1">
        <v>0</v>
      </c>
      <c r="I7831" s="1" t="s">
        <v>15262</v>
      </c>
      <c r="K7831" s="1" t="str">
        <f t="shared" si="494"/>
        <v>ㄑ</v>
      </c>
      <c r="L7831" s="1" t="str">
        <f t="shared" si="495"/>
        <v>ㄧ</v>
      </c>
      <c r="M7831" s="1" t="str">
        <f t="shared" si="496"/>
        <v>ㄠ</v>
      </c>
      <c r="P7831" s="1" t="s">
        <v>20</v>
      </c>
      <c r="R7831" s="1" t="s">
        <v>15263</v>
      </c>
      <c r="V7831" s="1" t="s">
        <v>15266</v>
      </c>
      <c r="AR7831" s="1" t="str">
        <f t="shared" si="493"/>
        <v>| [ㄑㄧㄠˇ](ㄑㄧㄠˇ.md) | [悄](悄.md) |  | qiǎo | [副]
1.憂愁。如：「憂心悄悄」。《詩經．陳風．月出》：「舒窈糾兮，勞心悄兮。」漢．毛亨．傳：「悄，憂也。」唐．白居易〈夜雨有念〉詩：「胡為悄不樂，抱膝殘燈前。」
2.寂靜。如：「靜悄悄」、「悄然無聲」。唐．白居易〈琵琶行〉：「東舟西舫悄無言，唯見江心秋月白。」宋．袁去華〈劍器近．夜來雨〉詞：「悄庭戶。試細聽、鶯啼燕語。」 |</v>
      </c>
    </row>
    <row r="7832" spans="1:44" hidden="1">
      <c r="A7832" s="1" t="s">
        <v>15188</v>
      </c>
      <c r="C7832" s="1">
        <v>1</v>
      </c>
      <c r="D7832" s="1" t="str">
        <f>"06382"</f>
        <v>06382</v>
      </c>
      <c r="E7832" s="1" t="s">
        <v>5383</v>
      </c>
      <c r="F7832" s="1">
        <v>11</v>
      </c>
      <c r="G7832" s="1">
        <v>3</v>
      </c>
      <c r="H7832" s="1">
        <v>2</v>
      </c>
      <c r="I7832" s="1" t="s">
        <v>15262</v>
      </c>
      <c r="K7832" s="1" t="str">
        <f t="shared" si="494"/>
        <v>ㄑ</v>
      </c>
      <c r="L7832" s="1" t="str">
        <f t="shared" si="495"/>
        <v>ㄧ</v>
      </c>
      <c r="M7832" s="1" t="str">
        <f t="shared" si="496"/>
        <v>ㄠ</v>
      </c>
      <c r="P7832" s="1" t="s">
        <v>388</v>
      </c>
      <c r="R7832" s="1" t="s">
        <v>15263</v>
      </c>
      <c r="V7832" s="1" t="s">
        <v>407</v>
      </c>
      <c r="W7832" s="1" t="s">
        <v>15267</v>
      </c>
      <c r="AR7832" s="1" t="str">
        <f t="shared" si="493"/>
        <v>| [ㄑㄧㄠˇ](ㄑㄧㄠˇ.md) | [雀](雀.md) |  | qiǎo | (一)之語音。 |</v>
      </c>
    </row>
    <row r="7833" spans="1:44" hidden="1">
      <c r="A7833" s="1" t="s">
        <v>13768</v>
      </c>
      <c r="C7833" s="1">
        <v>1</v>
      </c>
      <c r="D7833" s="1" t="str">
        <f>"06383"</f>
        <v>06383</v>
      </c>
      <c r="E7833" s="1" t="s">
        <v>250</v>
      </c>
      <c r="F7833" s="1">
        <v>12</v>
      </c>
      <c r="G7833" s="1">
        <v>9</v>
      </c>
      <c r="H7833" s="1">
        <v>1</v>
      </c>
      <c r="I7833" s="1" t="s">
        <v>15262</v>
      </c>
      <c r="K7833" s="1" t="str">
        <f t="shared" si="494"/>
        <v>ㄑ</v>
      </c>
      <c r="L7833" s="1" t="str">
        <f t="shared" si="495"/>
        <v>ㄧ</v>
      </c>
      <c r="M7833" s="1" t="str">
        <f t="shared" si="496"/>
        <v>ㄠ</v>
      </c>
      <c r="P7833" s="1" t="s">
        <v>20</v>
      </c>
      <c r="R7833" s="1" t="s">
        <v>15263</v>
      </c>
      <c r="V7833" s="1" t="s">
        <v>15268</v>
      </c>
      <c r="W7833" s="1" t="s">
        <v>15269</v>
      </c>
      <c r="AR7833" s="1" t="str">
        <f t="shared" si="493"/>
        <v>| [ㄑㄧㄠˇ](ㄑㄧㄠˇ.md) | [愀](愀.md) |  | qiǎo | [副]
1.臉色突然凝重的樣子。《史記．卷一一七．司馬相如傳》：「二子愀然改容，超若自失。」南朝宋．劉義慶《世說新語．言語》：「唯王丞相愀然變色曰：『當共戮力王室，克復神州，何至作楚囚相對？』」
2.有所警惕的樣子。《荀子．修身》：「見善，修然，必以自存也；見不善，愀然，必以自省也。」 |</v>
      </c>
    </row>
    <row r="7834" spans="1:44" hidden="1">
      <c r="A7834" s="1" t="s">
        <v>15270</v>
      </c>
      <c r="C7834" s="1">
        <v>1</v>
      </c>
      <c r="D7834" s="1" t="str">
        <f>"06384"</f>
        <v>06384</v>
      </c>
      <c r="E7834" s="1" t="s">
        <v>272</v>
      </c>
      <c r="F7834" s="1">
        <v>19</v>
      </c>
      <c r="G7834" s="1">
        <v>8</v>
      </c>
      <c r="H7834" s="1">
        <v>2</v>
      </c>
      <c r="I7834" s="1" t="s">
        <v>15262</v>
      </c>
      <c r="K7834" s="1" t="str">
        <f t="shared" si="494"/>
        <v>ㄑ</v>
      </c>
      <c r="L7834" s="1" t="str">
        <f t="shared" si="495"/>
        <v>ㄧ</v>
      </c>
      <c r="M7834" s="1" t="str">
        <f t="shared" si="496"/>
        <v>ㄠ</v>
      </c>
      <c r="P7834" s="1" t="s">
        <v>110</v>
      </c>
      <c r="R7834" s="1" t="s">
        <v>15263</v>
      </c>
      <c r="V7834" s="1" t="s">
        <v>111</v>
      </c>
      <c r="W7834" s="1" t="s">
        <v>15271</v>
      </c>
      <c r="AR7834" s="1" t="str">
        <f t="shared" si="493"/>
        <v>| [ㄑㄧㄠˇ](ㄑㄧㄠˇ.md) | [鵲](鵲.md) |  | qiǎo | (一)之又音。 |</v>
      </c>
    </row>
    <row r="7835" spans="1:44" hidden="1">
      <c r="A7835" s="1" t="s">
        <v>15272</v>
      </c>
      <c r="C7835" s="1">
        <v>1</v>
      </c>
      <c r="D7835" s="1" t="str">
        <f>"06385"</f>
        <v>06385</v>
      </c>
      <c r="E7835" s="1" t="s">
        <v>114</v>
      </c>
      <c r="F7835" s="1">
        <v>9</v>
      </c>
      <c r="G7835" s="1">
        <v>7</v>
      </c>
      <c r="H7835" s="1">
        <v>0</v>
      </c>
      <c r="I7835" s="1" t="s">
        <v>15273</v>
      </c>
      <c r="K7835" s="1" t="str">
        <f t="shared" si="494"/>
        <v>ㄑ</v>
      </c>
      <c r="L7835" s="1" t="str">
        <f t="shared" si="495"/>
        <v>ㄧ</v>
      </c>
      <c r="M7835" s="1" t="str">
        <f t="shared" si="496"/>
        <v>ㄠ</v>
      </c>
      <c r="P7835" s="1" t="s">
        <v>20</v>
      </c>
      <c r="R7835" s="1" t="s">
        <v>15274</v>
      </c>
      <c r="V7835" s="1" t="s">
        <v>15275</v>
      </c>
      <c r="AR7835" s="1" t="str">
        <f t="shared" si="493"/>
        <v>| [ㄑㄧㄠˋ](ㄑㄧㄠˋ.md) | [俏](俏.md) |  | qiào | [形]
1.容貌秀美、體態輕盈。如：「俊俏」、「俏佳人」、「俏女郎」。
2.活潑有趣。如：「俏皮」。
3.銷路好、價值提升。如：「市價挺俏」、「行情看俏」。 |</v>
      </c>
    </row>
    <row r="7836" spans="1:44" hidden="1">
      <c r="A7836" s="1" t="s">
        <v>15276</v>
      </c>
      <c r="C7836" s="1">
        <v>1</v>
      </c>
      <c r="D7836" s="1" t="str">
        <f>"06386"</f>
        <v>06386</v>
      </c>
      <c r="E7836" s="1" t="s">
        <v>190</v>
      </c>
      <c r="F7836" s="1">
        <v>10</v>
      </c>
      <c r="G7836" s="1">
        <v>7</v>
      </c>
      <c r="H7836" s="1">
        <v>0</v>
      </c>
      <c r="I7836" s="1" t="s">
        <v>15273</v>
      </c>
      <c r="K7836" s="1" t="str">
        <f t="shared" si="494"/>
        <v>ㄑ</v>
      </c>
      <c r="L7836" s="1" t="str">
        <f t="shared" si="495"/>
        <v>ㄧ</v>
      </c>
      <c r="M7836" s="1" t="str">
        <f t="shared" si="496"/>
        <v>ㄠ</v>
      </c>
      <c r="P7836" s="1" t="s">
        <v>20</v>
      </c>
      <c r="R7836" s="1" t="s">
        <v>15274</v>
      </c>
      <c r="V7836" s="1" t="s">
        <v>15277</v>
      </c>
      <c r="AR7836" s="1" t="str">
        <f t="shared" si="493"/>
        <v>| [ㄑㄧㄠˋ](ㄑㄧㄠˋ.md) | [峭](峭.md) |  | qiào | [形]
1.山勢險峻。如：「峭壁」、「陡峭」。《楚辭．屈原．九章．悲回風》：「上高巖之峭岸兮，處雌蜺之標顛。」《文選．謝靈運．過始寧墅詩》：「巖峭嶺稠疊，洲縈渚連綿。」
2.文勢險拔。漢．王充《論衡．自紀》：「言姦辭簡，指趨妙遠；語甘文峭，意務淺小。」明．宋濂〈謝翶傳〉：「文尤嶄拔峭勁，雷電恍惚，出入風雨中。」
3.嚴厲、苛刻。《新唐書．卷一七七．李翶傳》：「翶性峭鯁，論議無所屈。」
4.寒冷。如：「春寒料峭」。宋．陸游〈秋思〉詩：「露氣侵簾已峭深，衰髮凋零隨槁葉。」
[動]
加密、使嚴厲。《韓非子．五蠹》：「故明王峭其法而嚴其刑也。」 |</v>
      </c>
    </row>
    <row r="7837" spans="1:44" hidden="1">
      <c r="A7837" s="1" t="s">
        <v>15278</v>
      </c>
      <c r="C7837" s="1">
        <v>1</v>
      </c>
      <c r="D7837" s="1" t="str">
        <f>"06387"</f>
        <v>06387</v>
      </c>
      <c r="E7837" s="1" t="s">
        <v>222</v>
      </c>
      <c r="F7837" s="1">
        <v>10</v>
      </c>
      <c r="G7837" s="1">
        <v>7</v>
      </c>
      <c r="H7837" s="1">
        <v>0</v>
      </c>
      <c r="I7837" s="1" t="s">
        <v>15273</v>
      </c>
      <c r="K7837" s="1" t="str">
        <f t="shared" si="494"/>
        <v>ㄑ</v>
      </c>
      <c r="L7837" s="1" t="str">
        <f t="shared" si="495"/>
        <v>ㄧ</v>
      </c>
      <c r="M7837" s="1" t="str">
        <f t="shared" si="496"/>
        <v>ㄠ</v>
      </c>
      <c r="P7837" s="1" t="s">
        <v>20</v>
      </c>
      <c r="R7837" s="1" t="s">
        <v>15274</v>
      </c>
      <c r="V7837" s="1" t="s">
        <v>15279</v>
      </c>
      <c r="AR7837" s="1" t="str">
        <f t="shared" si="493"/>
        <v>| [ㄑㄧㄠˋ](ㄑㄧㄠˋ.md) | [帩](帩.md) |  | qiào | [名]
古代男子束髮用的頭巾。參見「帩頭」條。 |</v>
      </c>
    </row>
    <row r="7838" spans="1:44" hidden="1">
      <c r="A7838" s="1" t="s">
        <v>15280</v>
      </c>
      <c r="C7838" s="1">
        <v>1</v>
      </c>
      <c r="D7838" s="1" t="str">
        <f>"06388"</f>
        <v>06388</v>
      </c>
      <c r="E7838" s="1" t="s">
        <v>331</v>
      </c>
      <c r="F7838" s="1">
        <v>14</v>
      </c>
      <c r="G7838" s="1">
        <v>7</v>
      </c>
      <c r="H7838" s="1">
        <v>0</v>
      </c>
      <c r="I7838" s="1" t="s">
        <v>15273</v>
      </c>
      <c r="K7838" s="1" t="str">
        <f t="shared" si="494"/>
        <v>ㄑ</v>
      </c>
      <c r="L7838" s="1" t="str">
        <f t="shared" si="495"/>
        <v>ㄧ</v>
      </c>
      <c r="M7838" s="1" t="str">
        <f t="shared" si="496"/>
        <v>ㄠ</v>
      </c>
      <c r="P7838" s="1" t="s">
        <v>20</v>
      </c>
      <c r="R7838" s="1" t="s">
        <v>15274</v>
      </c>
      <c r="V7838" s="1" t="s">
        <v>15281</v>
      </c>
      <c r="AR7838" s="1" t="str">
        <f t="shared" si="493"/>
        <v>| [ㄑㄧㄠˋ](ㄑㄧㄠˋ.md) | [誚](誚.md) |  | qiào | [動]
責備、責怪。《呂氏春秋．慎行論．疑似》：「丈人歸，酒醒而誚其子。」《文選．張衡．思玄賦》：「戴勝憖其既歡兮，又誚余之行遲。」
[副]
全然、簡直。宋．葛長庚〈永遇樂．銀月淒涼〉詞：「尋思往事，千頭萬緒，回首誚如夢裡。」 |</v>
      </c>
    </row>
    <row r="7839" spans="1:44" hidden="1">
      <c r="A7839" s="1" t="s">
        <v>15282</v>
      </c>
      <c r="C7839" s="1">
        <v>1</v>
      </c>
      <c r="D7839" s="1" t="str">
        <f>"06389"</f>
        <v>06389</v>
      </c>
      <c r="E7839" s="1" t="s">
        <v>96</v>
      </c>
      <c r="F7839" s="1">
        <v>16</v>
      </c>
      <c r="G7839" s="1">
        <v>7</v>
      </c>
      <c r="H7839" s="1">
        <v>1</v>
      </c>
      <c r="I7839" s="1" t="s">
        <v>15273</v>
      </c>
      <c r="K7839" s="1" t="str">
        <f t="shared" si="494"/>
        <v>ㄑ</v>
      </c>
      <c r="L7839" s="1" t="str">
        <f t="shared" si="495"/>
        <v>ㄧ</v>
      </c>
      <c r="M7839" s="1" t="str">
        <f t="shared" si="496"/>
        <v>ㄠ</v>
      </c>
      <c r="P7839" s="1" t="s">
        <v>20</v>
      </c>
      <c r="R7839" s="1" t="s">
        <v>15274</v>
      </c>
      <c r="V7839" s="1" t="s">
        <v>15283</v>
      </c>
      <c r="W7839" s="1" t="s">
        <v>15284</v>
      </c>
      <c r="AR7839" s="1" t="str">
        <f t="shared" si="493"/>
        <v>| [ㄑㄧㄠˋ](ㄑㄧㄠˋ.md) | [鞘](鞘.md) |  | qiào | [名]
1.刀套。如：「還刀入鞘」。唐．盧照鄰〈劉生〉詩：「翠羽裝刀鞘，黃金飾馬鈴。」
2.用來盛裝銀物，以便轉運的中空木筒。《儒林外史》第三四回：「儘著響馬賊趕著百十個牲口，馱了銀鞘，往小路上去了。」 |</v>
      </c>
    </row>
    <row r="7840" spans="1:44" hidden="1">
      <c r="A7840" s="1" t="s">
        <v>10795</v>
      </c>
      <c r="C7840" s="1">
        <v>1</v>
      </c>
      <c r="D7840" s="1" t="str">
        <f>"06390"</f>
        <v>06390</v>
      </c>
      <c r="E7840" s="1" t="s">
        <v>5505</v>
      </c>
      <c r="F7840" s="1">
        <v>12</v>
      </c>
      <c r="G7840" s="1">
        <v>8</v>
      </c>
      <c r="H7840" s="1">
        <v>2</v>
      </c>
      <c r="I7840" s="1" t="s">
        <v>15273</v>
      </c>
      <c r="K7840" s="1" t="str">
        <f t="shared" si="494"/>
        <v>ㄑ</v>
      </c>
      <c r="L7840" s="1" t="str">
        <f t="shared" si="495"/>
        <v>ㄧ</v>
      </c>
      <c r="M7840" s="1" t="str">
        <f t="shared" si="496"/>
        <v>ㄠ</v>
      </c>
      <c r="P7840" s="1" t="s">
        <v>110</v>
      </c>
      <c r="R7840" s="1" t="s">
        <v>15274</v>
      </c>
      <c r="V7840" s="1" t="s">
        <v>111</v>
      </c>
      <c r="W7840" s="1" t="s">
        <v>15285</v>
      </c>
      <c r="AR7840" s="1" t="str">
        <f t="shared" si="493"/>
        <v>| [ㄑㄧㄠˋ](ㄑㄧㄠˋ.md) | [殼](殼.md) |  | qiào | (一)之又音。 |</v>
      </c>
    </row>
    <row r="7841" spans="1:44" hidden="1">
      <c r="A7841" s="1" t="s">
        <v>15242</v>
      </c>
      <c r="C7841" s="1">
        <v>1</v>
      </c>
      <c r="D7841" s="1" t="str">
        <f>"06391"</f>
        <v>06391</v>
      </c>
      <c r="E7841" s="1" t="s">
        <v>185</v>
      </c>
      <c r="F7841" s="1">
        <v>14</v>
      </c>
      <c r="G7841" s="1">
        <v>12</v>
      </c>
      <c r="H7841" s="1">
        <v>2</v>
      </c>
      <c r="I7841" s="1" t="s">
        <v>15273</v>
      </c>
      <c r="K7841" s="1" t="str">
        <f t="shared" si="494"/>
        <v>ㄑ</v>
      </c>
      <c r="L7841" s="1" t="str">
        <f t="shared" si="495"/>
        <v>ㄧ</v>
      </c>
      <c r="M7841" s="1" t="str">
        <f t="shared" si="496"/>
        <v>ㄠ</v>
      </c>
      <c r="P7841" s="1" t="s">
        <v>110</v>
      </c>
      <c r="R7841" s="1" t="s">
        <v>15274</v>
      </c>
      <c r="V7841" s="1" t="s">
        <v>111</v>
      </c>
      <c r="W7841" s="1" t="s">
        <v>15286</v>
      </c>
      <c r="AR7841" s="1" t="str">
        <f t="shared" si="493"/>
        <v>| [ㄑㄧㄠˋ](ㄑㄧㄠˋ.md) | [劁](劁.md) |  | qiào | (一)之又音。 |</v>
      </c>
    </row>
    <row r="7842" spans="1:44" hidden="1">
      <c r="A7842" s="1" t="s">
        <v>15255</v>
      </c>
      <c r="C7842" s="1">
        <v>1</v>
      </c>
      <c r="D7842" s="1" t="str">
        <f>"06392"</f>
        <v>06392</v>
      </c>
      <c r="E7842" s="1" t="s">
        <v>331</v>
      </c>
      <c r="F7842" s="1">
        <v>19</v>
      </c>
      <c r="G7842" s="1">
        <v>12</v>
      </c>
      <c r="H7842" s="1">
        <v>2</v>
      </c>
      <c r="I7842" s="1" t="s">
        <v>15273</v>
      </c>
      <c r="K7842" s="1" t="str">
        <f t="shared" si="494"/>
        <v>ㄑ</v>
      </c>
      <c r="L7842" s="1" t="str">
        <f t="shared" si="495"/>
        <v>ㄧ</v>
      </c>
      <c r="M7842" s="1" t="str">
        <f t="shared" si="496"/>
        <v>ㄠ</v>
      </c>
      <c r="P7842" s="1" t="s">
        <v>20</v>
      </c>
      <c r="R7842" s="1" t="s">
        <v>15274</v>
      </c>
      <c r="V7842" s="1" t="s">
        <v>15287</v>
      </c>
      <c r="W7842" s="1" t="s">
        <v>15288</v>
      </c>
      <c r="AR7842" s="1" t="str">
        <f t="shared" si="493"/>
        <v>| [ㄑㄧㄠˋ](ㄑㄧㄠˋ.md) | [譙](譙.md) |  | qiào | [動]
責備。同「誚」。《管子．揆度》：「力足蕩遊不作，老者譙之。」《韓非子．五蠹》：「今有不才之子，父母怒之弗為改，鄉人譙之弗為動。」 |</v>
      </c>
    </row>
    <row r="7843" spans="1:44" hidden="1">
      <c r="A7843" s="1" t="s">
        <v>15209</v>
      </c>
      <c r="C7843" s="1">
        <v>1</v>
      </c>
      <c r="D7843" s="1" t="str">
        <f>"06393"</f>
        <v>06393</v>
      </c>
      <c r="E7843" s="1" t="s">
        <v>24</v>
      </c>
      <c r="F7843" s="1">
        <v>15</v>
      </c>
      <c r="G7843" s="1">
        <v>12</v>
      </c>
      <c r="H7843" s="1">
        <v>2</v>
      </c>
      <c r="I7843" s="1" t="s">
        <v>15273</v>
      </c>
      <c r="K7843" s="1" t="str">
        <f t="shared" si="494"/>
        <v>ㄑ</v>
      </c>
      <c r="L7843" s="1" t="str">
        <f t="shared" si="495"/>
        <v>ㄧ</v>
      </c>
      <c r="M7843" s="1" t="str">
        <f t="shared" si="496"/>
        <v>ㄠ</v>
      </c>
      <c r="P7843" s="1" t="s">
        <v>110</v>
      </c>
      <c r="R7843" s="1" t="s">
        <v>15274</v>
      </c>
      <c r="V7843" s="1" t="s">
        <v>111</v>
      </c>
      <c r="W7843" s="1" t="s">
        <v>15289</v>
      </c>
      <c r="AR7843" s="1" t="str">
        <f t="shared" si="493"/>
        <v>| [ㄑㄧㄠˋ](ㄑㄧㄠˋ.md) | [撬](撬.md) |  | qiào | (一)之又音。 |</v>
      </c>
    </row>
    <row r="7844" spans="1:44" hidden="1">
      <c r="A7844" s="1" t="s">
        <v>15290</v>
      </c>
      <c r="C7844" s="1">
        <v>1</v>
      </c>
      <c r="D7844" s="1" t="str">
        <f>"06394"</f>
        <v>06394</v>
      </c>
      <c r="E7844" s="1" t="s">
        <v>24</v>
      </c>
      <c r="F7844" s="1">
        <v>16</v>
      </c>
      <c r="G7844" s="1">
        <v>13</v>
      </c>
      <c r="H7844" s="1">
        <v>0</v>
      </c>
      <c r="I7844" s="1" t="s">
        <v>15273</v>
      </c>
      <c r="K7844" s="1" t="str">
        <f t="shared" si="494"/>
        <v>ㄑ</v>
      </c>
      <c r="L7844" s="1" t="str">
        <f t="shared" si="495"/>
        <v>ㄧ</v>
      </c>
      <c r="M7844" s="1" t="str">
        <f t="shared" si="496"/>
        <v>ㄠ</v>
      </c>
      <c r="P7844" s="1" t="s">
        <v>20</v>
      </c>
      <c r="R7844" s="1" t="s">
        <v>15274</v>
      </c>
      <c r="V7844" s="1" t="s">
        <v>15291</v>
      </c>
      <c r="AR7844" s="1" t="str">
        <f t="shared" si="493"/>
        <v>| [ㄑㄧㄠˋ](ㄑㄧㄠˋ.md) | [撽](撽.md) |  | qiào | [動]
從旁擊打。《莊子．至樂》：「莊子之楚，見空髑髏，髐然有形，撽以馬捶，因而問之。」 |</v>
      </c>
    </row>
    <row r="7845" spans="1:44" hidden="1">
      <c r="A7845" s="1" t="s">
        <v>15292</v>
      </c>
      <c r="C7845" s="1">
        <v>1</v>
      </c>
      <c r="D7845" s="1" t="str">
        <f>"06395"</f>
        <v>06395</v>
      </c>
      <c r="E7845" s="1" t="s">
        <v>1274</v>
      </c>
      <c r="F7845" s="1">
        <v>18</v>
      </c>
      <c r="G7845" s="1">
        <v>13</v>
      </c>
      <c r="H7845" s="1">
        <v>0</v>
      </c>
      <c r="I7845" s="1" t="s">
        <v>15273</v>
      </c>
      <c r="K7845" s="1" t="str">
        <f t="shared" si="494"/>
        <v>ㄑ</v>
      </c>
      <c r="L7845" s="1" t="str">
        <f t="shared" si="495"/>
        <v>ㄧ</v>
      </c>
      <c r="M7845" s="1" t="str">
        <f t="shared" si="496"/>
        <v>ㄠ</v>
      </c>
      <c r="P7845" s="1" t="s">
        <v>20</v>
      </c>
      <c r="R7845" s="1" t="s">
        <v>15274</v>
      </c>
      <c r="V7845" s="1" t="s">
        <v>15293</v>
      </c>
      <c r="AR7845" s="1" t="str">
        <f t="shared" si="493"/>
        <v>| [ㄑㄧㄠˋ](ㄑㄧㄠˋ.md) | [竅](竅.md) |  | qiào | [名]_x000D_
1.孔穴。《莊子．齊物論》：「厲風濟，則眾竅為虛。」宋．蘇軾〈石鐘山記〉：「有大石當中流，可坐百人，空中而多竅，與風水相吞吐。」_x000D_
2.人體的耳、目、鼻、口等器官。如：「七竅」。《管子．心術上》：「九竅之有職，官之分也。」_x000D_
3.關鍵、要點、方法。如：「訣竅」、「一竅不通」。_x000D_
[動]_x000D_
承載。《禮記．禮運》：「故天秉陽，垂日星，地秉陰，竅於山川。」 |</v>
      </c>
    </row>
    <row r="7846" spans="1:44" hidden="1">
      <c r="A7846" s="1" t="s">
        <v>15294</v>
      </c>
      <c r="C7846" s="1">
        <v>1</v>
      </c>
      <c r="D7846" s="1" t="str">
        <f>"06396"</f>
        <v>06396</v>
      </c>
      <c r="E7846" s="1" t="s">
        <v>77</v>
      </c>
      <c r="F7846" s="1">
        <v>20</v>
      </c>
      <c r="G7846" s="1">
        <v>13</v>
      </c>
      <c r="H7846" s="1">
        <v>0</v>
      </c>
      <c r="I7846" s="1" t="s">
        <v>15273</v>
      </c>
      <c r="K7846" s="1" t="str">
        <f t="shared" si="494"/>
        <v>ㄑ</v>
      </c>
      <c r="L7846" s="1" t="str">
        <f t="shared" si="495"/>
        <v>ㄧ</v>
      </c>
      <c r="M7846" s="1" t="str">
        <f t="shared" si="496"/>
        <v>ㄠ</v>
      </c>
      <c r="P7846" s="1" t="s">
        <v>20</v>
      </c>
      <c r="R7846" s="1" t="s">
        <v>15274</v>
      </c>
      <c r="V7846" s="1" t="s">
        <v>15295</v>
      </c>
      <c r="AR7846" s="1" t="str">
        <f t="shared" si="493"/>
        <v>| [ㄑㄧㄠˋ](ㄑㄧㄠˋ.md) | [躈](躈.md) |  | qiào | [名]
馬的肛門，古代用以計馬數。《史記．卷一二九．貨殖傳》：「馬蹄躈千，牛千足。」《聊齋志異．卷四．促織》：「不數歲，田百頃，樓閣萬椽，牛羊蹄躈各千計。」 |</v>
      </c>
    </row>
    <row r="7847" spans="1:44" hidden="1">
      <c r="A7847" s="1" t="s">
        <v>15258</v>
      </c>
      <c r="C7847" s="1">
        <v>1</v>
      </c>
      <c r="D7847" s="1" t="str">
        <f>"06397"</f>
        <v>06397</v>
      </c>
      <c r="E7847" s="1" t="s">
        <v>2271</v>
      </c>
      <c r="F7847" s="1">
        <v>18</v>
      </c>
      <c r="G7847" s="1">
        <v>12</v>
      </c>
      <c r="H7847" s="1">
        <v>2</v>
      </c>
      <c r="I7847" s="1" t="s">
        <v>15273</v>
      </c>
      <c r="K7847" s="1" t="str">
        <f t="shared" si="494"/>
        <v>ㄑ</v>
      </c>
      <c r="L7847" s="1" t="str">
        <f t="shared" si="495"/>
        <v>ㄧ</v>
      </c>
      <c r="M7847" s="1" t="str">
        <f t="shared" si="496"/>
        <v>ㄠ</v>
      </c>
      <c r="P7847" s="1" t="s">
        <v>20</v>
      </c>
      <c r="R7847" s="1" t="s">
        <v>15274</v>
      </c>
      <c r="V7847" s="1" t="s">
        <v>15296</v>
      </c>
      <c r="W7847" s="1" t="s">
        <v>15297</v>
      </c>
      <c r="AR7847" s="1" t="str">
        <f t="shared" si="493"/>
        <v>| [ㄑㄧㄠˋ](ㄑㄧㄠˋ.md) | [翹](翹.md) |  | qiào | [動]
1.突起、高起、向上昂起。如：「那尊大炮翹著炮口，朝向敵營。」「這張板凳，兩頭都翹起來了。」
2.開溜。如：「翹家」、「翹課」、「翹班」。
3.指死亡。如：「翹了」、「翹辮子」。 |</v>
      </c>
    </row>
    <row r="7848" spans="1:44" hidden="1">
      <c r="A7848" s="1" t="s">
        <v>15298</v>
      </c>
      <c r="C7848" s="1">
        <v>1</v>
      </c>
      <c r="D7848" s="1" t="str">
        <f>"06398"</f>
        <v>06398</v>
      </c>
      <c r="E7848" s="1" t="s">
        <v>789</v>
      </c>
      <c r="F7848" s="1">
        <v>5</v>
      </c>
      <c r="G7848" s="1">
        <v>4</v>
      </c>
      <c r="H7848" s="1">
        <v>0</v>
      </c>
      <c r="I7848" s="1" t="s">
        <v>15299</v>
      </c>
      <c r="K7848" s="1" t="str">
        <f t="shared" si="494"/>
        <v>ㄑ</v>
      </c>
      <c r="L7848" s="1" t="str">
        <f t="shared" si="495"/>
        <v>ㄧ</v>
      </c>
      <c r="M7848" s="1" t="str">
        <f t="shared" si="496"/>
        <v>ㄡ</v>
      </c>
      <c r="P7848" s="1" t="s">
        <v>20</v>
      </c>
      <c r="R7848" s="1" t="s">
        <v>15300</v>
      </c>
      <c r="V7848" s="1" t="s">
        <v>15301</v>
      </c>
      <c r="AR7848" s="1" t="str">
        <f t="shared" si="493"/>
        <v>| [ㄑㄧㄡ](ㄑㄧㄡ.md) | [丘](丘.md) |  | qiū | [名]
1.小土山、小土堆。如：「沙丘」、「丘陵」、「丘垤」。唐．柳宗元〈愚溪詩序〉：「愚溪之上，買小丘為愚丘。」
2.墳冢、墳墓。《文選．司馬遷．報任少卿書》：「亦何面目復上父母丘墓乎？」
3.姓。如元代有丘處機。
[形]
大、長。 |</v>
      </c>
    </row>
    <row r="7849" spans="1:44" hidden="1">
      <c r="A7849" s="1" t="s">
        <v>15302</v>
      </c>
      <c r="C7849" s="1">
        <v>1</v>
      </c>
      <c r="D7849" s="1" t="str">
        <f>"06399"</f>
        <v>06399</v>
      </c>
      <c r="E7849" s="1" t="s">
        <v>132</v>
      </c>
      <c r="F7849" s="1">
        <v>8</v>
      </c>
      <c r="G7849" s="1">
        <v>5</v>
      </c>
      <c r="H7849" s="1">
        <v>0</v>
      </c>
      <c r="I7849" s="1" t="s">
        <v>15299</v>
      </c>
      <c r="K7849" s="1" t="str">
        <f t="shared" si="494"/>
        <v>ㄑ</v>
      </c>
      <c r="L7849" s="1" t="str">
        <f t="shared" si="495"/>
        <v>ㄧ</v>
      </c>
      <c r="M7849" s="1" t="str">
        <f t="shared" si="496"/>
        <v>ㄡ</v>
      </c>
      <c r="P7849" s="1" t="s">
        <v>20</v>
      </c>
      <c r="R7849" s="1" t="s">
        <v>15300</v>
      </c>
      <c r="V7849" s="1" t="s">
        <v>15303</v>
      </c>
      <c r="AR7849" s="1" t="str">
        <f t="shared" si="493"/>
        <v>| [ㄑㄧㄡ](ㄑㄧㄡ.md) | [坵](坵.md) |  | qiū | [名]
小土山。同「丘」。明．徐弘祖《徐霞客遊記．卷四下．黔遊日記二》：「皆安酋叛時，城破鞠為坵莽，至今未復也。」 |</v>
      </c>
    </row>
    <row r="7850" spans="1:44" hidden="1">
      <c r="A7850" s="1" t="s">
        <v>15304</v>
      </c>
      <c r="C7850" s="1">
        <v>1</v>
      </c>
      <c r="D7850" s="1" t="str">
        <f>"06400"</f>
        <v>06400</v>
      </c>
      <c r="E7850" s="1" t="s">
        <v>256</v>
      </c>
      <c r="F7850" s="1">
        <v>8</v>
      </c>
      <c r="G7850" s="1">
        <v>5</v>
      </c>
      <c r="H7850" s="1">
        <v>0</v>
      </c>
      <c r="I7850" s="1" t="s">
        <v>15299</v>
      </c>
      <c r="K7850" s="1" t="str">
        <f t="shared" si="494"/>
        <v>ㄑ</v>
      </c>
      <c r="L7850" s="1" t="str">
        <f t="shared" si="495"/>
        <v>ㄧ</v>
      </c>
      <c r="M7850" s="1" t="str">
        <f t="shared" si="496"/>
        <v>ㄡ</v>
      </c>
      <c r="P7850" s="1" t="s">
        <v>20</v>
      </c>
      <c r="R7850" s="1" t="s">
        <v>15300</v>
      </c>
      <c r="V7850" s="1" t="s">
        <v>15305</v>
      </c>
      <c r="AR7850" s="1" t="str">
        <f t="shared" si="493"/>
        <v>| [ㄑㄧㄡ](ㄑㄧㄡ.md) | [邱](邱.md) |  | qiū | [名]_x000D_
1.同「丘」。_x000D_
2.姓。如漢代有邱俊、隋代有邱和。 |</v>
      </c>
    </row>
    <row r="7851" spans="1:44" hidden="1">
      <c r="A7851" s="1" t="s">
        <v>15306</v>
      </c>
      <c r="C7851" s="1">
        <v>1</v>
      </c>
      <c r="D7851" s="1" t="str">
        <f>"06401"</f>
        <v>06401</v>
      </c>
      <c r="E7851" s="1" t="s">
        <v>679</v>
      </c>
      <c r="F7851" s="1">
        <v>11</v>
      </c>
      <c r="G7851" s="1">
        <v>5</v>
      </c>
      <c r="H7851" s="1">
        <v>0</v>
      </c>
      <c r="I7851" s="1" t="s">
        <v>15299</v>
      </c>
      <c r="K7851" s="1" t="str">
        <f t="shared" si="494"/>
        <v>ㄑ</v>
      </c>
      <c r="L7851" s="1" t="str">
        <f t="shared" si="495"/>
        <v>ㄧ</v>
      </c>
      <c r="M7851" s="1" t="str">
        <f t="shared" si="496"/>
        <v>ㄡ</v>
      </c>
      <c r="P7851" s="1" t="s">
        <v>20</v>
      </c>
      <c r="R7851" s="1" t="s">
        <v>15300</v>
      </c>
      <c r="V7851" s="1" t="s">
        <v>15307</v>
      </c>
      <c r="AR7851" s="1" t="str">
        <f t="shared" si="493"/>
        <v>| [ㄑㄧㄡ](ㄑㄧㄡ.md) | [蚯](蚯.md) |  | qiū | 參見「蚯蚓」條。 |</v>
      </c>
    </row>
    <row r="7852" spans="1:44" hidden="1">
      <c r="A7852" s="1" t="s">
        <v>15308</v>
      </c>
      <c r="C7852" s="1">
        <v>1</v>
      </c>
      <c r="D7852" s="1" t="str">
        <f>"06402"</f>
        <v>06402</v>
      </c>
      <c r="E7852" s="1" t="s">
        <v>429</v>
      </c>
      <c r="F7852" s="1">
        <v>9</v>
      </c>
      <c r="G7852" s="1">
        <v>4</v>
      </c>
      <c r="H7852" s="1">
        <v>0</v>
      </c>
      <c r="I7852" s="1" t="s">
        <v>15299</v>
      </c>
      <c r="K7852" s="1" t="str">
        <f t="shared" si="494"/>
        <v>ㄑ</v>
      </c>
      <c r="L7852" s="1" t="str">
        <f t="shared" si="495"/>
        <v>ㄧ</v>
      </c>
      <c r="M7852" s="1" t="str">
        <f t="shared" si="496"/>
        <v>ㄡ</v>
      </c>
      <c r="P7852" s="1" t="s">
        <v>20</v>
      </c>
      <c r="R7852" s="1" t="s">
        <v>15300</v>
      </c>
      <c r="V7852" s="1" t="s">
        <v>15309</v>
      </c>
      <c r="AR7852" s="1" t="str">
        <f t="shared" si="493"/>
        <v>| [ㄑㄧㄡ](ㄑㄧㄡ.md) | [秋](秋.md) |  | qiū | [名]
1.一年四季中的第三季。農曆為七、八、九月，陽曆為九、十、十一月。如：「秋天」、「秋季」、「中秋」、「深秋」、「一葉知秋」。唐．杜甫〈登高〉詩：「萬里悲秋常作客，百年多病獨登臺。」
2.年。古代年的長度以二次秋收為準，故以秋代表年。如：「千秋萬世」、「一日不見，如隔三秋。」唐．劉禹錫〈蜀先主廟〉詩：「天地英雄氣，千秋尚凜然。」
3.時候。如：「多事之秋」。《文選．諸葛亮．出師表》：「此誠危急存亡之秋也。」
4.姓。如清代有秋瑾。
[形]
喻衰老。宋．陸游〈南鄉子．早歲入皇州〉詞：「三十年來真一夢，堪愁。客路蕭蕭兩鬢秋。」 |</v>
      </c>
    </row>
    <row r="7853" spans="1:44" hidden="1">
      <c r="A7853" s="1" t="s">
        <v>15310</v>
      </c>
      <c r="C7853" s="1">
        <v>1</v>
      </c>
      <c r="D7853" s="1" t="str">
        <f>"06403"</f>
        <v>06403</v>
      </c>
      <c r="E7853" s="1" t="s">
        <v>139</v>
      </c>
      <c r="F7853" s="1">
        <v>13</v>
      </c>
      <c r="G7853" s="1">
        <v>9</v>
      </c>
      <c r="H7853" s="1">
        <v>0</v>
      </c>
      <c r="I7853" s="1" t="s">
        <v>15299</v>
      </c>
      <c r="K7853" s="1" t="str">
        <f t="shared" si="494"/>
        <v>ㄑ</v>
      </c>
      <c r="L7853" s="1" t="str">
        <f t="shared" si="495"/>
        <v>ㄧ</v>
      </c>
      <c r="M7853" s="1" t="str">
        <f t="shared" si="496"/>
        <v>ㄡ</v>
      </c>
      <c r="P7853" s="1" t="s">
        <v>20</v>
      </c>
      <c r="R7853" s="1" t="s">
        <v>15300</v>
      </c>
      <c r="V7853" s="1" t="s">
        <v>15311</v>
      </c>
      <c r="AR7853" s="1" t="str">
        <f t="shared" si="493"/>
        <v>| [ㄑㄧㄡ](ㄑㄧㄡ.md) | [楸](楸.md) |  | qiū | [名]
植物名：(1)紫葳科梓屬，「梓」、「梓樹」之古稱，參見「梓」條。(2)大戟科野桐屬，小喬木，全株被褐色星狀毛。葉互生，卵圓形，基部具二枚圓形腺體。總狀或圓錐花序，雌雄異株，花瓣不存。蒴果圓球形，被軟刺及紅色腺體。也稱為「野桐」。(3)薔薇科蘋果屬，「海棠」、「楸子」之古稱，參見「海棠」條。 |</v>
      </c>
    </row>
    <row r="7854" spans="1:44" hidden="1">
      <c r="A7854" s="1" t="s">
        <v>15312</v>
      </c>
      <c r="C7854" s="1">
        <v>1</v>
      </c>
      <c r="D7854" s="1" t="str">
        <f>"06404"</f>
        <v>06404</v>
      </c>
      <c r="E7854" s="1" t="s">
        <v>37</v>
      </c>
      <c r="F7854" s="1">
        <v>13</v>
      </c>
      <c r="G7854" s="1">
        <v>9</v>
      </c>
      <c r="H7854" s="1">
        <v>0</v>
      </c>
      <c r="I7854" s="1" t="s">
        <v>15299</v>
      </c>
      <c r="K7854" s="1" t="str">
        <f t="shared" si="494"/>
        <v>ㄑ</v>
      </c>
      <c r="L7854" s="1" t="str">
        <f t="shared" si="495"/>
        <v>ㄧ</v>
      </c>
      <c r="M7854" s="1" t="str">
        <f t="shared" si="496"/>
        <v>ㄡ</v>
      </c>
      <c r="P7854" s="1" t="s">
        <v>20</v>
      </c>
      <c r="R7854" s="1" t="s">
        <v>15300</v>
      </c>
      <c r="V7854" s="1" t="s">
        <v>15313</v>
      </c>
      <c r="AR7854" s="1" t="str">
        <f t="shared" si="493"/>
        <v>| [ㄑㄧㄡ](ㄑㄧㄡ.md) | [萩](萩.md) |  | qiū | [名]
一種蒿類植物。生長在河岸砂地，高達三尺，夏日開綠色花。 |</v>
      </c>
    </row>
    <row r="7855" spans="1:44" hidden="1">
      <c r="A7855" s="1" t="s">
        <v>15314</v>
      </c>
      <c r="C7855" s="1">
        <v>1</v>
      </c>
      <c r="D7855" s="1" t="str">
        <f>"06405"</f>
        <v>06405</v>
      </c>
      <c r="E7855" s="1" t="s">
        <v>96</v>
      </c>
      <c r="F7855" s="1">
        <v>18</v>
      </c>
      <c r="G7855" s="1">
        <v>9</v>
      </c>
      <c r="H7855" s="1">
        <v>0</v>
      </c>
      <c r="I7855" s="1" t="s">
        <v>15299</v>
      </c>
      <c r="K7855" s="1" t="str">
        <f t="shared" si="494"/>
        <v>ㄑ</v>
      </c>
      <c r="L7855" s="1" t="str">
        <f t="shared" si="495"/>
        <v>ㄧ</v>
      </c>
      <c r="M7855" s="1" t="str">
        <f t="shared" si="496"/>
        <v>ㄡ</v>
      </c>
      <c r="P7855" s="1" t="s">
        <v>20</v>
      </c>
      <c r="R7855" s="1" t="s">
        <v>15300</v>
      </c>
      <c r="V7855" s="1" t="s">
        <v>15315</v>
      </c>
      <c r="AR7855" s="1" t="str">
        <f t="shared" si="493"/>
        <v>| [ㄑㄧㄡ](ㄑㄧㄡ.md) | [鞦](鞦.md) |  | qiū | [名]
參見「鞦韆」條。 |</v>
      </c>
    </row>
    <row r="7856" spans="1:44" hidden="1">
      <c r="A7856" s="1" t="s">
        <v>15316</v>
      </c>
      <c r="C7856" s="1">
        <v>1</v>
      </c>
      <c r="D7856" s="1" t="str">
        <f>"06406"</f>
        <v>06406</v>
      </c>
      <c r="E7856" s="1" t="s">
        <v>272</v>
      </c>
      <c r="F7856" s="1">
        <v>20</v>
      </c>
      <c r="G7856" s="1">
        <v>9</v>
      </c>
      <c r="H7856" s="1">
        <v>0</v>
      </c>
      <c r="I7856" s="1" t="s">
        <v>15299</v>
      </c>
      <c r="K7856" s="1" t="str">
        <f t="shared" si="494"/>
        <v>ㄑ</v>
      </c>
      <c r="L7856" s="1" t="str">
        <f t="shared" si="495"/>
        <v>ㄧ</v>
      </c>
      <c r="M7856" s="1" t="str">
        <f t="shared" si="496"/>
        <v>ㄡ</v>
      </c>
      <c r="P7856" s="1" t="s">
        <v>20</v>
      </c>
      <c r="R7856" s="1" t="s">
        <v>15300</v>
      </c>
      <c r="V7856" s="1" t="s">
        <v>15317</v>
      </c>
      <c r="AR7856" s="1" t="str">
        <f t="shared" si="493"/>
        <v>| [ㄑㄧㄡ](ㄑㄧㄡ.md) | [鶖](鶖.md) |  | qiū | [名]
動物名。一種水鳥。似鶴而大，色青蒼。性極貪惡。長頸赤目，嘴扁直，頭上毛禿，故也稱為「禿鶖」。 |</v>
      </c>
    </row>
    <row r="7857" spans="1:44" hidden="1">
      <c r="A7857" s="1" t="s">
        <v>15318</v>
      </c>
      <c r="C7857" s="1">
        <v>1</v>
      </c>
      <c r="D7857" s="1" t="str">
        <f>"06407"</f>
        <v>06407</v>
      </c>
      <c r="E7857" s="1" t="s">
        <v>156</v>
      </c>
      <c r="F7857" s="1">
        <v>20</v>
      </c>
      <c r="G7857" s="1">
        <v>9</v>
      </c>
      <c r="H7857" s="1">
        <v>0</v>
      </c>
      <c r="I7857" s="1" t="s">
        <v>15299</v>
      </c>
      <c r="K7857" s="1" t="str">
        <f t="shared" si="494"/>
        <v>ㄑ</v>
      </c>
      <c r="L7857" s="1" t="str">
        <f t="shared" si="495"/>
        <v>ㄧ</v>
      </c>
      <c r="M7857" s="1" t="str">
        <f t="shared" si="496"/>
        <v>ㄡ</v>
      </c>
      <c r="P7857" s="1" t="s">
        <v>20</v>
      </c>
      <c r="R7857" s="1" t="s">
        <v>15300</v>
      </c>
      <c r="V7857" s="1" t="s">
        <v>15319</v>
      </c>
      <c r="AR7857" s="1" t="str">
        <f t="shared" si="493"/>
        <v>| [ㄑㄧㄡ](ㄑㄧㄡ.md) | [鰍](鰍.md) |  | qiū | [名]
動物名。脊椎動物亞門硬骨魚綱鰍科。形似鰻，體圓尾扁，色青黑，無鱗。常居於泥中。也稱為「泥鰍」。 |</v>
      </c>
    </row>
    <row r="7858" spans="1:44" hidden="1">
      <c r="A7858" s="1" t="s">
        <v>15320</v>
      </c>
      <c r="C7858" s="1">
        <v>1</v>
      </c>
      <c r="D7858" s="1" t="str">
        <f>"06408"</f>
        <v>06408</v>
      </c>
      <c r="E7858" s="1" t="s">
        <v>725</v>
      </c>
      <c r="F7858" s="1">
        <v>15</v>
      </c>
      <c r="G7858" s="1">
        <v>9</v>
      </c>
      <c r="H7858" s="1">
        <v>0</v>
      </c>
      <c r="I7858" s="1" t="s">
        <v>15299</v>
      </c>
      <c r="K7858" s="1" t="str">
        <f t="shared" si="494"/>
        <v>ㄑ</v>
      </c>
      <c r="L7858" s="1" t="str">
        <f t="shared" si="495"/>
        <v>ㄧ</v>
      </c>
      <c r="M7858" s="1" t="str">
        <f t="shared" si="496"/>
        <v>ㄡ</v>
      </c>
      <c r="P7858" s="1" t="s">
        <v>20</v>
      </c>
      <c r="R7858" s="1" t="s">
        <v>15300</v>
      </c>
      <c r="V7858" s="1" t="s">
        <v>15321</v>
      </c>
      <c r="AR7858" s="1" t="str">
        <f t="shared" si="493"/>
        <v>| [ㄑㄧㄡ](ㄑㄧㄡ.md) | [緧](緧.md) |  | qiū | [名]
駕車時套在牛馬尾下的飾物。《說文解字．糸部》：「緧，馬紂也。」
[動]
駕車時在牛馬臀部加上皮帶。《周禮．冬官考工記．輈人》：「不援其邸，必緧其牛後，此無故，唯轅直且無橈也。」 |</v>
      </c>
    </row>
    <row r="7859" spans="1:44" hidden="1">
      <c r="A7859" s="1" t="s">
        <v>10402</v>
      </c>
      <c r="C7859" s="1">
        <v>1</v>
      </c>
      <c r="D7859" s="1" t="str">
        <f>"06409"</f>
        <v>06409</v>
      </c>
      <c r="E7859" s="1" t="s">
        <v>10403</v>
      </c>
      <c r="F7859" s="1">
        <v>16</v>
      </c>
      <c r="G7859" s="1">
        <v>0</v>
      </c>
      <c r="H7859" s="1">
        <v>3</v>
      </c>
      <c r="I7859" s="1" t="s">
        <v>15299</v>
      </c>
      <c r="K7859" s="1" t="str">
        <f t="shared" si="494"/>
        <v>ㄑ</v>
      </c>
      <c r="L7859" s="1" t="str">
        <f t="shared" si="495"/>
        <v>ㄧ</v>
      </c>
      <c r="M7859" s="1" t="str">
        <f t="shared" si="496"/>
        <v>ㄡ</v>
      </c>
      <c r="P7859" s="1" t="s">
        <v>20</v>
      </c>
      <c r="R7859" s="1" t="s">
        <v>15300</v>
      </c>
      <c r="V7859" s="1" t="s">
        <v>15322</v>
      </c>
      <c r="W7859" s="1" t="s">
        <v>15323</v>
      </c>
      <c r="AR7859" s="1" t="str">
        <f t="shared" si="493"/>
        <v>| [ㄑㄧㄡ](ㄑㄧㄡ.md) | [龜](龜.md) |  | qiū | 參見「龜茲」條。 |</v>
      </c>
    </row>
    <row r="7860" spans="1:44" hidden="1">
      <c r="A7860" s="1" t="s">
        <v>15324</v>
      </c>
      <c r="C7860" s="1">
        <v>1</v>
      </c>
      <c r="D7860" s="1" t="str">
        <f>"06410"</f>
        <v>06410</v>
      </c>
      <c r="E7860" s="1" t="s">
        <v>114</v>
      </c>
      <c r="F7860" s="1">
        <v>4</v>
      </c>
      <c r="G7860" s="1">
        <v>2</v>
      </c>
      <c r="H7860" s="1">
        <v>2</v>
      </c>
      <c r="I7860" s="1" t="s">
        <v>15325</v>
      </c>
      <c r="K7860" s="1" t="str">
        <f t="shared" si="494"/>
        <v>ㄑ</v>
      </c>
      <c r="L7860" s="1" t="str">
        <f t="shared" si="495"/>
        <v>ㄧ</v>
      </c>
      <c r="M7860" s="1" t="str">
        <f t="shared" si="496"/>
        <v>ㄡ</v>
      </c>
      <c r="P7860" s="1" t="s">
        <v>20</v>
      </c>
      <c r="R7860" s="1" t="s">
        <v>15326</v>
      </c>
      <c r="V7860" s="1" t="s">
        <v>15327</v>
      </c>
      <c r="W7860" s="1" t="s">
        <v>15328</v>
      </c>
      <c r="AR7860" s="1" t="str">
        <f t="shared" si="493"/>
        <v>| [ㄑㄧㄡˊ](ㄑㄧㄡˊ.md) | [仇](仇.md) |  | qiú | [名]
1.配偶。三國魏．曹植〈七啟〉：「望雲際兮有好仇，天路長兮往無由。」
2.同類、同輩。《文選．王粲．登樓賦》：「覽斯宇之所處兮，實顥敞而寡仇。」
3.姓。如漢代有仇景。 |</v>
      </c>
    </row>
    <row r="7861" spans="1:44" hidden="1">
      <c r="A7861" s="1" t="s">
        <v>15329</v>
      </c>
      <c r="C7861" s="1">
        <v>1</v>
      </c>
      <c r="D7861" s="1" t="str">
        <f>"06411"</f>
        <v>06411</v>
      </c>
      <c r="E7861" s="1" t="s">
        <v>14794</v>
      </c>
      <c r="F7861" s="1">
        <v>4</v>
      </c>
      <c r="G7861" s="1">
        <v>2</v>
      </c>
      <c r="H7861" s="1">
        <v>2</v>
      </c>
      <c r="I7861" s="1" t="s">
        <v>15325</v>
      </c>
      <c r="K7861" s="1" t="str">
        <f t="shared" si="494"/>
        <v>ㄑ</v>
      </c>
      <c r="L7861" s="1" t="str">
        <f t="shared" si="495"/>
        <v>ㄧ</v>
      </c>
      <c r="M7861" s="1" t="str">
        <f t="shared" si="496"/>
        <v>ㄡ</v>
      </c>
      <c r="P7861" s="1" t="s">
        <v>20</v>
      </c>
      <c r="R7861" s="1" t="s">
        <v>15326</v>
      </c>
      <c r="V7861" s="1" t="s">
        <v>15330</v>
      </c>
      <c r="W7861" s="1" t="s">
        <v>15331</v>
      </c>
      <c r="AR7861" s="1" t="str">
        <f t="shared" si="493"/>
        <v>| [ㄑㄧㄡˊ](ㄑㄧㄡˊ.md) | [厹](厹.md) |  | qiú | [名]
三稜刃的矛。《詩經．秦風．小戎》：「俴駟孔群，厹矛鋈錞。」 |</v>
      </c>
    </row>
    <row r="7862" spans="1:44" hidden="1">
      <c r="A7862" s="1" t="s">
        <v>15332</v>
      </c>
      <c r="C7862" s="1">
        <v>1</v>
      </c>
      <c r="D7862" s="1" t="str">
        <f>"06412"</f>
        <v>06412</v>
      </c>
      <c r="E7862" s="1" t="s">
        <v>198</v>
      </c>
      <c r="F7862" s="1">
        <v>5</v>
      </c>
      <c r="G7862" s="1">
        <v>2</v>
      </c>
      <c r="H7862" s="1">
        <v>0</v>
      </c>
      <c r="I7862" s="1" t="s">
        <v>15325</v>
      </c>
      <c r="K7862" s="1" t="str">
        <f t="shared" si="494"/>
        <v>ㄑ</v>
      </c>
      <c r="L7862" s="1" t="str">
        <f t="shared" si="495"/>
        <v>ㄧ</v>
      </c>
      <c r="M7862" s="1" t="str">
        <f t="shared" si="496"/>
        <v>ㄡ</v>
      </c>
      <c r="P7862" s="1" t="s">
        <v>20</v>
      </c>
      <c r="R7862" s="1" t="s">
        <v>15326</v>
      </c>
      <c r="V7862" s="1" t="s">
        <v>15333</v>
      </c>
      <c r="AR7862" s="1" t="str">
        <f t="shared" si="493"/>
        <v>| [ㄑㄧㄡˊ](ㄑㄧㄡˊ.md) | [犰](犰.md) |  | qiú | 參見「犰狳」條。 |</v>
      </c>
    </row>
    <row r="7863" spans="1:44" hidden="1">
      <c r="A7863" s="1" t="s">
        <v>15334</v>
      </c>
      <c r="C7863" s="1">
        <v>1</v>
      </c>
      <c r="D7863" s="1" t="str">
        <f>"06413"</f>
        <v>06413</v>
      </c>
      <c r="E7863" s="1" t="s">
        <v>139</v>
      </c>
      <c r="F7863" s="1">
        <v>6</v>
      </c>
      <c r="G7863" s="1">
        <v>2</v>
      </c>
      <c r="H7863" s="1">
        <v>0</v>
      </c>
      <c r="I7863" s="1" t="s">
        <v>15325</v>
      </c>
      <c r="K7863" s="1" t="str">
        <f t="shared" si="494"/>
        <v>ㄑ</v>
      </c>
      <c r="L7863" s="1" t="str">
        <f t="shared" si="495"/>
        <v>ㄧ</v>
      </c>
      <c r="M7863" s="1" t="str">
        <f t="shared" si="496"/>
        <v>ㄡ</v>
      </c>
      <c r="P7863" s="1" t="s">
        <v>20</v>
      </c>
      <c r="R7863" s="1" t="s">
        <v>15326</v>
      </c>
      <c r="V7863" s="1" t="s">
        <v>15335</v>
      </c>
      <c r="AR7863" s="1" t="str">
        <f t="shared" si="493"/>
        <v>| [ㄑㄧㄡˊ](ㄑㄧㄡˊ.md) | [朹](朹.md) |  | qiú | 參見「朹子」條。 |</v>
      </c>
    </row>
    <row r="7864" spans="1:44" hidden="1">
      <c r="A7864" s="1" t="s">
        <v>13566</v>
      </c>
      <c r="C7864" s="1">
        <v>1</v>
      </c>
      <c r="D7864" s="1" t="str">
        <f>"06414"</f>
        <v>06414</v>
      </c>
      <c r="E7864" s="1" t="s">
        <v>37</v>
      </c>
      <c r="F7864" s="1">
        <v>6</v>
      </c>
      <c r="G7864" s="1">
        <v>2</v>
      </c>
      <c r="H7864" s="1">
        <v>1</v>
      </c>
      <c r="I7864" s="1" t="s">
        <v>15325</v>
      </c>
      <c r="K7864" s="1" t="str">
        <f t="shared" si="494"/>
        <v>ㄑ</v>
      </c>
      <c r="L7864" s="1" t="str">
        <f t="shared" si="495"/>
        <v>ㄧ</v>
      </c>
      <c r="M7864" s="1" t="str">
        <f t="shared" si="496"/>
        <v>ㄡ</v>
      </c>
      <c r="P7864" s="1" t="s">
        <v>20</v>
      </c>
      <c r="R7864" s="1" t="s">
        <v>15326</v>
      </c>
      <c r="V7864" s="1" t="s">
        <v>15336</v>
      </c>
      <c r="W7864" s="1" t="s">
        <v>15337</v>
      </c>
      <c r="AR7864" s="1" t="str">
        <f t="shared" si="493"/>
        <v>| [ㄑㄧㄡˊ](ㄑㄧㄡˊ.md) | [艽](艽.md) |  | qiú | [名]
1.荒遠偏僻的地方。《說文解字．艸部》：「艽，遠荒。」《詩經．小雅．小明》：「我征徂西，至于艽野。」
2.獸蓐，野獸巢穴裡的墊草。《淮南子．原道》：「禽獸有艽，人民有室。」漢．高誘．注：「艽，蓐也。」 |</v>
      </c>
    </row>
    <row r="7865" spans="1:44" hidden="1">
      <c r="A7865" s="1" t="s">
        <v>10901</v>
      </c>
      <c r="C7865" s="1">
        <v>1</v>
      </c>
      <c r="D7865" s="1" t="str">
        <f>"06415"</f>
        <v>06415</v>
      </c>
      <c r="E7865" s="1" t="s">
        <v>331</v>
      </c>
      <c r="F7865" s="1">
        <v>9</v>
      </c>
      <c r="G7865" s="1">
        <v>2</v>
      </c>
      <c r="H7865" s="1">
        <v>1</v>
      </c>
      <c r="I7865" s="1" t="s">
        <v>15325</v>
      </c>
      <c r="K7865" s="1" t="str">
        <f t="shared" si="494"/>
        <v>ㄑ</v>
      </c>
      <c r="L7865" s="1" t="str">
        <f t="shared" si="495"/>
        <v>ㄧ</v>
      </c>
      <c r="M7865" s="1" t="str">
        <f t="shared" si="496"/>
        <v>ㄡ</v>
      </c>
      <c r="P7865" s="1" t="s">
        <v>20</v>
      </c>
      <c r="R7865" s="1" t="s">
        <v>15326</v>
      </c>
      <c r="V7865" s="1" t="s">
        <v>15338</v>
      </c>
      <c r="W7865" s="1" t="s">
        <v>15339</v>
      </c>
      <c r="AR7865" s="1" t="str">
        <f t="shared" si="493"/>
        <v>| [ㄑㄧㄡˊ](ㄑㄧㄡˊ.md) | [訄](訄.md) |  | qiú | [動]
強迫、逼迫。《說文解字．言部》：「訄，迫也。」清．段玉裁．注：「今俗謂逼迫人有所為曰『訄』。」 |</v>
      </c>
    </row>
    <row r="7866" spans="1:44" hidden="1">
      <c r="A7866" s="1" t="s">
        <v>11261</v>
      </c>
      <c r="C7866" s="1">
        <v>1</v>
      </c>
      <c r="D7866" s="1" t="str">
        <f>"06416"</f>
        <v>06416</v>
      </c>
      <c r="E7866" s="1" t="s">
        <v>684</v>
      </c>
      <c r="F7866" s="1">
        <v>11</v>
      </c>
      <c r="G7866" s="1">
        <v>2</v>
      </c>
      <c r="H7866" s="1">
        <v>2</v>
      </c>
      <c r="I7866" s="1" t="s">
        <v>15325</v>
      </c>
      <c r="K7866" s="1" t="str">
        <f t="shared" si="494"/>
        <v>ㄑ</v>
      </c>
      <c r="L7866" s="1" t="str">
        <f t="shared" si="495"/>
        <v>ㄧ</v>
      </c>
      <c r="M7866" s="1" t="str">
        <f t="shared" si="496"/>
        <v>ㄡ</v>
      </c>
      <c r="P7866" s="1" t="s">
        <v>110</v>
      </c>
      <c r="R7866" s="1" t="s">
        <v>15326</v>
      </c>
      <c r="V7866" s="1" t="s">
        <v>111</v>
      </c>
      <c r="W7866" s="1" t="s">
        <v>15340</v>
      </c>
      <c r="AR7866" s="1" t="str">
        <f t="shared" si="493"/>
        <v>| [ㄑㄧㄡˊ](ㄑㄧㄡˊ.md) | [頄](頄.md) |  | qiú | (一)之又音。 |</v>
      </c>
    </row>
    <row r="7867" spans="1:44" hidden="1">
      <c r="A7867" s="1" t="s">
        <v>15341</v>
      </c>
      <c r="C7867" s="1">
        <v>1</v>
      </c>
      <c r="D7867" s="1" t="str">
        <f>"06417"</f>
        <v>06417</v>
      </c>
      <c r="E7867" s="1" t="s">
        <v>889</v>
      </c>
      <c r="F7867" s="1">
        <v>16</v>
      </c>
      <c r="G7867" s="1">
        <v>2</v>
      </c>
      <c r="H7867" s="1">
        <v>0</v>
      </c>
      <c r="I7867" s="1" t="s">
        <v>15325</v>
      </c>
      <c r="K7867" s="1" t="str">
        <f t="shared" si="494"/>
        <v>ㄑ</v>
      </c>
      <c r="L7867" s="1" t="str">
        <f t="shared" si="495"/>
        <v>ㄧ</v>
      </c>
      <c r="M7867" s="1" t="str">
        <f t="shared" si="496"/>
        <v>ㄡ</v>
      </c>
      <c r="P7867" s="1" t="s">
        <v>20</v>
      </c>
      <c r="R7867" s="1" t="s">
        <v>15326</v>
      </c>
      <c r="V7867" s="1" t="s">
        <v>15342</v>
      </c>
      <c r="AR7867" s="1" t="str">
        <f t="shared" si="493"/>
        <v>| [ㄑㄧㄡˊ](ㄑㄧㄡˊ.md) | [鼽](鼽.md) |  | qiú | [動]
因傷風感冒而鼻塞。《說文解字．鼻部》：「鼽，病寒鼻窒也。」《淮南子．時則》：「冬藏殃敗，民多鼽窒。」 |</v>
      </c>
    </row>
    <row r="7868" spans="1:44" hidden="1">
      <c r="A7868" s="1" t="s">
        <v>15343</v>
      </c>
      <c r="C7868" s="1">
        <v>1</v>
      </c>
      <c r="D7868" s="1" t="str">
        <f>"06418"</f>
        <v>06418</v>
      </c>
      <c r="E7868" s="1" t="s">
        <v>2557</v>
      </c>
      <c r="F7868" s="1">
        <v>5</v>
      </c>
      <c r="G7868" s="1">
        <v>2</v>
      </c>
      <c r="H7868" s="1">
        <v>0</v>
      </c>
      <c r="I7868" s="1" t="s">
        <v>15325</v>
      </c>
      <c r="K7868" s="1" t="str">
        <f t="shared" si="494"/>
        <v>ㄑ</v>
      </c>
      <c r="L7868" s="1" t="str">
        <f t="shared" si="495"/>
        <v>ㄧ</v>
      </c>
      <c r="M7868" s="1" t="str">
        <f t="shared" si="496"/>
        <v>ㄡ</v>
      </c>
      <c r="P7868" s="1" t="s">
        <v>20</v>
      </c>
      <c r="R7868" s="1" t="s">
        <v>15326</v>
      </c>
      <c r="V7868" s="1" t="s">
        <v>15344</v>
      </c>
      <c r="AR7868" s="1" t="str">
        <f t="shared" si="493"/>
        <v>| [ㄑㄧㄡˊ](ㄑㄧㄡˊ.md) | [囚](囚.md) |  | qiú | [動]
拘禁。如：「囚禁」、「被囚」。《書經．蔡仲之命》：「囚蔡叔于郭鄰。」《史記．卷六二．管晏傳》：「及小白立為桓公，公子糾死，管仲囚焉。」
[名]
被拘禁的犯人或俘虜。如：「死囚」、「敵囚」。南朝宋．劉義慶《世說新語．言語》：「當共戮力王室，克復神州，何至作楚囚相對？」宋．歐陽修〈縱囚論〉：「其囚及期，而卒自歸無後者，是君子之所難，而小人之所易也。」 |</v>
      </c>
    </row>
    <row r="7869" spans="1:44" hidden="1">
      <c r="A7869" s="1" t="s">
        <v>15345</v>
      </c>
      <c r="C7869" s="1">
        <v>1</v>
      </c>
      <c r="D7869" s="1" t="str">
        <f>"06419"</f>
        <v>06419</v>
      </c>
      <c r="E7869" s="1" t="s">
        <v>129</v>
      </c>
      <c r="F7869" s="1">
        <v>8</v>
      </c>
      <c r="G7869" s="1">
        <v>5</v>
      </c>
      <c r="H7869" s="1">
        <v>0</v>
      </c>
      <c r="I7869" s="1" t="s">
        <v>15325</v>
      </c>
      <c r="K7869" s="1" t="str">
        <f t="shared" si="494"/>
        <v>ㄑ</v>
      </c>
      <c r="L7869" s="1" t="str">
        <f t="shared" si="495"/>
        <v>ㄧ</v>
      </c>
      <c r="M7869" s="1" t="str">
        <f t="shared" si="496"/>
        <v>ㄡ</v>
      </c>
      <c r="P7869" s="1" t="s">
        <v>20</v>
      </c>
      <c r="R7869" s="1" t="s">
        <v>15326</v>
      </c>
      <c r="V7869" s="1" t="s">
        <v>15346</v>
      </c>
      <c r="AR7869" s="1" t="str">
        <f t="shared" si="493"/>
        <v>| [ㄑㄧㄡˊ](ㄑㄧㄡˊ.md) | [泅](泅.md) |  | qiú | [動]
浮游於水上，即游泳。如：「泅水」。宋．陸游〈思歸引〉：「善泅不如穩乘舟，善騎不如謹持轡。」 |</v>
      </c>
    </row>
    <row r="7870" spans="1:44" hidden="1">
      <c r="A7870" s="1" t="s">
        <v>15347</v>
      </c>
      <c r="C7870" s="1">
        <v>1</v>
      </c>
      <c r="D7870" s="1" t="str">
        <f>"06420"</f>
        <v>06420</v>
      </c>
      <c r="E7870" s="1" t="s">
        <v>129</v>
      </c>
      <c r="F7870" s="1">
        <v>7</v>
      </c>
      <c r="G7870" s="1">
        <v>2</v>
      </c>
      <c r="H7870" s="1">
        <v>0</v>
      </c>
      <c r="I7870" s="1" t="s">
        <v>15325</v>
      </c>
      <c r="K7870" s="1" t="str">
        <f t="shared" si="494"/>
        <v>ㄑ</v>
      </c>
      <c r="L7870" s="1" t="str">
        <f t="shared" si="495"/>
        <v>ㄧ</v>
      </c>
      <c r="M7870" s="1" t="str">
        <f t="shared" si="496"/>
        <v>ㄡ</v>
      </c>
      <c r="P7870" s="1" t="s">
        <v>20</v>
      </c>
      <c r="R7870" s="1" t="s">
        <v>15326</v>
      </c>
      <c r="V7870" s="1" t="s">
        <v>15348</v>
      </c>
      <c r="AR7870" s="1" t="str">
        <f t="shared" si="493"/>
        <v>| [ㄑㄧㄡˊ](ㄑㄧㄡˊ.md) | [求](求.md) |  | qiú | [動]
1.找尋、探索、設法得到。如：「尋求」、「探求」、「實事求是」、「緣木求魚」。《呂氏春秋．慎大覽．察今》：「舟已行矣，而劍不行，求劍若此，不亦惑乎！」
2.懇託、乞助。如：「求助」、「懇求」、「乞求」、「祈求」、「請求」。《後漢書．卷八二．方術傳下．華佗傳》：「又有疾者，詣佗求療。」
3.要求。如：「苛求」、「求全責備」。《論語．微子》：「無求備於一人。」《論語．衛靈公》：「君子求諸己，小人求諸人。」
4.貪圖。《論語．子罕》：「不忮不求，何用不臧！」唐．徐夤〈潤屋〉詩：「潤屋豐家莫妄求，眼看多是與身讎。」
5.招引。《易經．乾卦．文言曰》：「同聲相應，同氣相求。」《孟子．公孫丑上》：「今國家間暇，及是時般樂怠敖，是自求禍也。」
[名]
姓。如漢代有求仲。 |</v>
      </c>
    </row>
    <row r="7871" spans="1:44" hidden="1">
      <c r="A7871" s="1" t="s">
        <v>15349</v>
      </c>
      <c r="C7871" s="1">
        <v>1</v>
      </c>
      <c r="D7871" s="1" t="str">
        <f>"06421"</f>
        <v>06421</v>
      </c>
      <c r="E7871" s="1" t="s">
        <v>114</v>
      </c>
      <c r="F7871" s="1">
        <v>9</v>
      </c>
      <c r="G7871" s="1">
        <v>7</v>
      </c>
      <c r="H7871" s="1">
        <v>0</v>
      </c>
      <c r="I7871" s="1" t="s">
        <v>15325</v>
      </c>
      <c r="K7871" s="1" t="str">
        <f t="shared" si="494"/>
        <v>ㄑ</v>
      </c>
      <c r="L7871" s="1" t="str">
        <f t="shared" si="495"/>
        <v>ㄧ</v>
      </c>
      <c r="M7871" s="1" t="str">
        <f t="shared" si="496"/>
        <v>ㄡ</v>
      </c>
      <c r="P7871" s="1" t="s">
        <v>20</v>
      </c>
      <c r="R7871" s="1" t="s">
        <v>15326</v>
      </c>
      <c r="V7871" s="1" t="s">
        <v>15350</v>
      </c>
      <c r="AR7871" s="1" t="str">
        <f t="shared" si="493"/>
        <v>| [ㄑㄧㄡˊ](ㄑㄧㄡˊ.md) | [俅](俅.md) |  | qiú | 參見「俅俅」條。 |</v>
      </c>
    </row>
    <row r="7872" spans="1:44" hidden="1">
      <c r="A7872" s="1" t="s">
        <v>15351</v>
      </c>
      <c r="C7872" s="1">
        <v>1</v>
      </c>
      <c r="D7872" s="1" t="str">
        <f>"06422"</f>
        <v>06422</v>
      </c>
      <c r="E7872" s="1" t="s">
        <v>142</v>
      </c>
      <c r="F7872" s="1">
        <v>11</v>
      </c>
      <c r="G7872" s="1">
        <v>7</v>
      </c>
      <c r="H7872" s="1">
        <v>0</v>
      </c>
      <c r="I7872" s="1" t="s">
        <v>15325</v>
      </c>
      <c r="K7872" s="1" t="str">
        <f t="shared" si="494"/>
        <v>ㄑ</v>
      </c>
      <c r="L7872" s="1" t="str">
        <f t="shared" si="495"/>
        <v>ㄧ</v>
      </c>
      <c r="M7872" s="1" t="str">
        <f t="shared" si="496"/>
        <v>ㄡ</v>
      </c>
      <c r="P7872" s="1" t="s">
        <v>20</v>
      </c>
      <c r="R7872" s="1" t="s">
        <v>15326</v>
      </c>
      <c r="V7872" s="1" t="s">
        <v>15352</v>
      </c>
      <c r="AR7872" s="1" t="str">
        <f t="shared" si="493"/>
        <v>| [ㄑㄧㄡˊ](ㄑㄧㄡˊ.md) | [球](球.md) |  | qiú | [名]
1.美玉。《書經．禹貢》：「厥貢惟球、琳、瑯玕浮于積石，至于龍門西河，會于渭汭。」《說文解字．玉部》：「球，玉也。」
2.玉製的打擊樂器。《書經．益稷》：「戛擊鳴球，摶拊琴瑟以詠。」南朝梁．劉勰《文心雕龍．原道》：「泉石激韻，和若球鍠。」
3.數學上指以半圓的直徑為軸，使半圓旋轉一周而成，且由中心至表面各點距離皆相等的立體。如：「球體」。
4.球形或似球形的物體。如：「地球」、「彩球」、「煤球」、「紅血球」。
5.球類運動中所用的主要器材。如：「籃球」、「棒球」、「乒乓球」、「橄欖球」。
6.量詞。計算球狀物的單位。如：「兩球毛線」、「兩球冰淇淋」。 |</v>
      </c>
    </row>
    <row r="7873" spans="1:44" hidden="1">
      <c r="A7873" s="1" t="s">
        <v>15353</v>
      </c>
      <c r="C7873" s="1">
        <v>1</v>
      </c>
      <c r="D7873" s="1" t="str">
        <f>"06423"</f>
        <v>06423</v>
      </c>
      <c r="E7873" s="1" t="s">
        <v>558</v>
      </c>
      <c r="F7873" s="1">
        <v>11</v>
      </c>
      <c r="G7873" s="1">
        <v>7</v>
      </c>
      <c r="H7873" s="1">
        <v>0</v>
      </c>
      <c r="I7873" s="1" t="s">
        <v>15325</v>
      </c>
      <c r="K7873" s="1" t="str">
        <f t="shared" si="494"/>
        <v>ㄑ</v>
      </c>
      <c r="L7873" s="1" t="str">
        <f t="shared" si="495"/>
        <v>ㄧ</v>
      </c>
      <c r="M7873" s="1" t="str">
        <f t="shared" si="496"/>
        <v>ㄡ</v>
      </c>
      <c r="P7873" s="1" t="s">
        <v>20</v>
      </c>
      <c r="R7873" s="1" t="s">
        <v>15326</v>
      </c>
      <c r="V7873" s="1" t="s">
        <v>15354</v>
      </c>
      <c r="AR7873" s="1" t="str">
        <f t="shared" si="493"/>
        <v>| [ㄑㄧㄡˊ](ㄑㄧㄡˊ.md) | [逑](逑.md) |  | qiú | [動]
聚合。《說文解字．辵部》：「逑，斂聚也。」《詩經．大雅．民勞》：「惠此中國，以為民逑。」
[名]
配偶。《詩經．周南．關雎》：「窈窕淑女，君子好逑。」 |</v>
      </c>
    </row>
    <row r="7874" spans="1:44" hidden="1">
      <c r="A7874" s="1" t="s">
        <v>15355</v>
      </c>
      <c r="C7874" s="1">
        <v>1</v>
      </c>
      <c r="D7874" s="1" t="str">
        <f>"06424"</f>
        <v>06424</v>
      </c>
      <c r="E7874" s="1" t="s">
        <v>1703</v>
      </c>
      <c r="F7874" s="1">
        <v>11</v>
      </c>
      <c r="G7874" s="1">
        <v>7</v>
      </c>
      <c r="H7874" s="1">
        <v>0</v>
      </c>
      <c r="I7874" s="1" t="s">
        <v>15325</v>
      </c>
      <c r="K7874" s="1" t="str">
        <f t="shared" si="494"/>
        <v>ㄑ</v>
      </c>
      <c r="L7874" s="1" t="str">
        <f t="shared" si="495"/>
        <v>ㄧ</v>
      </c>
      <c r="M7874" s="1" t="str">
        <f t="shared" si="496"/>
        <v>ㄡ</v>
      </c>
      <c r="P7874" s="1" t="s">
        <v>20</v>
      </c>
      <c r="R7874" s="1" t="s">
        <v>15326</v>
      </c>
      <c r="V7874" s="1" t="s">
        <v>15356</v>
      </c>
      <c r="AR7874" s="1" t="str">
        <f t="shared" si="493"/>
        <v>| [ㄑㄧㄡˊ](ㄑㄧㄡˊ.md) | [毬](毬.md) |  | qiú | [名]
1.一種古代遊戲時所用的圓球。以皮為之，中實以毛，供拍擊、投擲、踢蹴之用。唐．白居易〈洛橋寒食日作十韻〉：「蹴毬塵不起，潑火雨新晴。」
2.泛指圓形成團的物體。如：「花毬」、「絲毬」。唐．姚合〈對月〉詩：「一片黑雲何處起，皁羅籠卻水精毬。」元．關漢卿《望江亭》第一折：「誰家美女顏如玉，綵毬偏愛擲貧儒。」 |</v>
      </c>
    </row>
    <row r="7875" spans="1:44" hidden="1">
      <c r="A7875" s="1" t="s">
        <v>15357</v>
      </c>
      <c r="C7875" s="1">
        <v>1</v>
      </c>
      <c r="D7875" s="1" t="str">
        <f>"06425"</f>
        <v>06425</v>
      </c>
      <c r="E7875" s="1" t="s">
        <v>340</v>
      </c>
      <c r="F7875" s="1">
        <v>13</v>
      </c>
      <c r="G7875" s="1">
        <v>7</v>
      </c>
      <c r="H7875" s="1">
        <v>0</v>
      </c>
      <c r="I7875" s="1" t="s">
        <v>15325</v>
      </c>
      <c r="K7875" s="1" t="str">
        <f t="shared" si="494"/>
        <v>ㄑ</v>
      </c>
      <c r="L7875" s="1" t="str">
        <f t="shared" si="495"/>
        <v>ㄧ</v>
      </c>
      <c r="M7875" s="1" t="str">
        <f t="shared" si="496"/>
        <v>ㄡ</v>
      </c>
      <c r="P7875" s="1" t="s">
        <v>20</v>
      </c>
      <c r="R7875" s="1" t="s">
        <v>15326</v>
      </c>
      <c r="V7875" s="1" t="s">
        <v>15358</v>
      </c>
      <c r="AR7875" s="1" t="str">
        <f t="shared" ref="AR7875:AR7938" si="497">"| ["&amp;I7875&amp;"]("&amp;I7875&amp;".md) | ["&amp;A7875&amp;"]("&amp;A7875&amp;".md) | "&amp;" | "&amp;R7875&amp;" | "&amp;V7875&amp;" |"</f>
        <v>| [ㄑㄧㄡˊ](ㄑㄧㄡˊ.md) | [裘](裘.md) |  | qiú | [名]
1.皮衣。如：「輕裘」、「貂裘」、「皮裘」。唐．李白〈將進酒〉：「五花馬，千金裘，呼兒將出換美酒，與爾同銷萬古愁。」宋．劉克莊〈苦寒行〉：「十月邊頭風色惡，官軍身上衣裘薄。」
2.姓。如宋代有裘萬頃。 |</v>
      </c>
    </row>
    <row r="7876" spans="1:44" hidden="1">
      <c r="A7876" s="1" t="s">
        <v>15359</v>
      </c>
      <c r="C7876" s="1">
        <v>1</v>
      </c>
      <c r="D7876" s="1" t="str">
        <f>"06426"</f>
        <v>06426</v>
      </c>
      <c r="E7876" s="1" t="s">
        <v>725</v>
      </c>
      <c r="F7876" s="1">
        <v>13</v>
      </c>
      <c r="G7876" s="1">
        <v>7</v>
      </c>
      <c r="H7876" s="1">
        <v>0</v>
      </c>
      <c r="I7876" s="1" t="s">
        <v>15325</v>
      </c>
      <c r="K7876" s="1" t="str">
        <f t="shared" ref="K7876:K7939" si="498">LEFT(I7876, 1)</f>
        <v>ㄑ</v>
      </c>
      <c r="L7876" s="1" t="str">
        <f t="shared" ref="L7876:L7939" si="499">MID(I7876, 2, 1)</f>
        <v>ㄧ</v>
      </c>
      <c r="M7876" s="1" t="str">
        <f t="shared" si="496"/>
        <v>ㄡ</v>
      </c>
      <c r="P7876" s="1" t="s">
        <v>20</v>
      </c>
      <c r="R7876" s="1" t="s">
        <v>15326</v>
      </c>
      <c r="V7876" s="1" t="s">
        <v>15360</v>
      </c>
      <c r="AR7876" s="1" t="str">
        <f t="shared" si="497"/>
        <v>| [ㄑㄧㄡˊ](ㄑㄧㄡˊ.md) | [絿](絿.md) |  | qiú | [形]
急躁。《說文解字．糸部》：「絿，急也。」《詩經．商頌．長發》：「不競不絿，不剛不柔。」 |</v>
      </c>
    </row>
    <row r="7877" spans="1:44" hidden="1">
      <c r="A7877" s="1" t="s">
        <v>15361</v>
      </c>
      <c r="C7877" s="1">
        <v>1</v>
      </c>
      <c r="D7877" s="1" t="str">
        <f>"06427"</f>
        <v>06427</v>
      </c>
      <c r="E7877" s="1" t="s">
        <v>505</v>
      </c>
      <c r="F7877" s="1">
        <v>14</v>
      </c>
      <c r="G7877" s="1">
        <v>7</v>
      </c>
      <c r="H7877" s="1">
        <v>0</v>
      </c>
      <c r="I7877" s="1" t="s">
        <v>15325</v>
      </c>
      <c r="K7877" s="1" t="str">
        <f t="shared" si="498"/>
        <v>ㄑ</v>
      </c>
      <c r="L7877" s="1" t="str">
        <f t="shared" si="499"/>
        <v>ㄧ</v>
      </c>
      <c r="M7877" s="1" t="str">
        <f t="shared" si="496"/>
        <v>ㄡ</v>
      </c>
      <c r="P7877" s="1" t="s">
        <v>20</v>
      </c>
      <c r="R7877" s="1" t="s">
        <v>15326</v>
      </c>
      <c r="V7877" s="1" t="s">
        <v>15362</v>
      </c>
      <c r="AR7877" s="1" t="str">
        <f t="shared" si="497"/>
        <v>| [ㄑㄧㄡˊ](ㄑㄧㄡˊ.md) | [賕](賕.md) |  | qiú | [名]
賄賂。用來買通別人的財物。《史記．卷一二六．滑稽傳．優孟傳》：「身死家室富，又恐受賕枉法。」
[動]
行賄或受賄。《明史．卷二〇二．胡松傳》：「伊王欲拓其洛陽府第，計直十萬金，以十二賕嚴嵩，期必得。」 |</v>
      </c>
    </row>
    <row r="7878" spans="1:44" hidden="1">
      <c r="A7878" s="1" t="s">
        <v>15363</v>
      </c>
      <c r="C7878" s="1">
        <v>1</v>
      </c>
      <c r="D7878" s="1" t="str">
        <f>"06428"</f>
        <v>06428</v>
      </c>
      <c r="E7878" s="1" t="s">
        <v>1117</v>
      </c>
      <c r="F7878" s="1">
        <v>14</v>
      </c>
      <c r="G7878" s="1">
        <v>7</v>
      </c>
      <c r="H7878" s="1">
        <v>0</v>
      </c>
      <c r="I7878" s="1" t="s">
        <v>15325</v>
      </c>
      <c r="K7878" s="1" t="str">
        <f t="shared" si="498"/>
        <v>ㄑ</v>
      </c>
      <c r="L7878" s="1" t="str">
        <f t="shared" si="499"/>
        <v>ㄧ</v>
      </c>
      <c r="M7878" s="1" t="str">
        <f t="shared" si="496"/>
        <v>ㄡ</v>
      </c>
      <c r="P7878" s="1" t="s">
        <v>20</v>
      </c>
      <c r="R7878" s="1" t="s">
        <v>15326</v>
      </c>
      <c r="V7878" s="1" t="s">
        <v>15364</v>
      </c>
      <c r="AR7878" s="1" t="str">
        <f t="shared" si="497"/>
        <v>| [ㄑㄧㄡˊ](ㄑㄧㄡˊ.md) | [觩](觩.md) |  | qiú | [形]
1.犄角向上彎曲的樣子。《詩經．小雅．桑扈》：「兕觥其觩，旨酒思柔。」
2.弦撐得很緊的樣子。《詩經．魯頌．泮水》：「角弓其觩，束矢其搜。」 |</v>
      </c>
    </row>
    <row r="7879" spans="1:44" hidden="1">
      <c r="A7879" s="1" t="s">
        <v>15365</v>
      </c>
      <c r="C7879" s="1">
        <v>1</v>
      </c>
      <c r="D7879" s="1" t="str">
        <f>"06429"</f>
        <v>06429</v>
      </c>
      <c r="E7879" s="1" t="s">
        <v>55</v>
      </c>
      <c r="F7879" s="1">
        <v>15</v>
      </c>
      <c r="G7879" s="1">
        <v>7</v>
      </c>
      <c r="H7879" s="1">
        <v>0</v>
      </c>
      <c r="I7879" s="1" t="s">
        <v>15325</v>
      </c>
      <c r="K7879" s="1" t="str">
        <f t="shared" si="498"/>
        <v>ㄑ</v>
      </c>
      <c r="L7879" s="1" t="str">
        <f t="shared" si="499"/>
        <v>ㄧ</v>
      </c>
      <c r="M7879" s="1" t="str">
        <f t="shared" si="496"/>
        <v>ㄡ</v>
      </c>
      <c r="P7879" s="1" t="s">
        <v>20</v>
      </c>
      <c r="R7879" s="1" t="s">
        <v>15326</v>
      </c>
      <c r="V7879" s="1" t="s">
        <v>15366</v>
      </c>
      <c r="AR7879" s="1" t="str">
        <f t="shared" si="497"/>
        <v>| [ㄑㄧㄡˊ](ㄑㄧㄡˊ.md) | [銶](銶.md) |  | qiú | [名]
一種鑿子。《詩經．豳風．破斧》：「既破我斧，又缺我銶。」漢．鄭玄．箋：「韓詩云：『鑿屬也。』一解云：『今之獨頭斧。』」 |</v>
      </c>
    </row>
    <row r="7880" spans="1:44" hidden="1">
      <c r="A7880" s="1" t="s">
        <v>15367</v>
      </c>
      <c r="C7880" s="1">
        <v>1</v>
      </c>
      <c r="D7880" s="1" t="str">
        <f>"06430"</f>
        <v>06430</v>
      </c>
      <c r="E7880" s="1" t="s">
        <v>679</v>
      </c>
      <c r="F7880" s="1">
        <v>8</v>
      </c>
      <c r="G7880" s="1">
        <v>2</v>
      </c>
      <c r="H7880" s="1">
        <v>0</v>
      </c>
      <c r="I7880" s="1" t="s">
        <v>15325</v>
      </c>
      <c r="K7880" s="1" t="str">
        <f t="shared" si="498"/>
        <v>ㄑ</v>
      </c>
      <c r="L7880" s="1" t="str">
        <f t="shared" si="499"/>
        <v>ㄧ</v>
      </c>
      <c r="M7880" s="1" t="str">
        <f t="shared" si="496"/>
        <v>ㄡ</v>
      </c>
      <c r="P7880" s="1" t="s">
        <v>20</v>
      </c>
      <c r="R7880" s="1" t="s">
        <v>15326</v>
      </c>
      <c r="V7880" s="1" t="s">
        <v>15368</v>
      </c>
      <c r="AR7880" s="1" t="str">
        <f t="shared" si="497"/>
        <v>| [ㄑㄧㄡˊ](ㄑㄧㄡˊ.md) | [虯](虯.md) |  | qiú | [名]_x000D_
1.古代傳說中的無角龍。《楚辭．屈原．天問》：「焉有虯龍，負熊以遊。」漢．王逸．注：「無角曰虯。」《淮南子．覽冥》：「乘雷車，服駕應龍。驂青虯，援絕瑞，席蘿圖，黃雲絡。」漢．高誘．注：「有角為龍，無角為虯。」_x000D_
2.古代傳說中的有角龍。《文選．卷一一．賦．何晏．景福殿賦》：「如螭之蟠，如虯之停。」李善注引《廣雅》：『無角曰螭龍，有角曰虯龍。』」明．李時珍《本草綱目．卷四三．鱗部一．蛟龍》：「按任昉《述異記》云：『蛟乃龍屬，其眉交生，故謂之蛟。有鱗曰蛟龍，有翼曰應龍，有角曰虯龍，無角曰螭龍也。』」_x000D_
3.龍的通稱。《後漢書．卷二八下．馮衍傳》：「駟素虯而馳騁兮，乘翠雲而相佯。」《文選．卷三五．七．張協．七命八首之三》：「陰虯負檐，陽馬承阿。」唐．李善．注：「虯，龍也。」_x000D_
[形]_x000D_
蜷曲。唐．李頎〈送陳章甫〉詩：「陳侯立身何坦蕩，虯鬚虎眉仍大顙。」《醒世姻緣傳》第三四回：「只見一個人長身闊膀，黑面虯髯，好似西洋賈胡一般走來。」 |</v>
      </c>
    </row>
    <row r="7881" spans="1:44" hidden="1">
      <c r="A7881" s="1" t="s">
        <v>15369</v>
      </c>
      <c r="C7881" s="1">
        <v>1</v>
      </c>
      <c r="D7881" s="1" t="str">
        <f>"06431"</f>
        <v>06431</v>
      </c>
      <c r="E7881" s="1" t="s">
        <v>1117</v>
      </c>
      <c r="F7881" s="1">
        <v>9</v>
      </c>
      <c r="G7881" s="1">
        <v>2</v>
      </c>
      <c r="H7881" s="1">
        <v>0</v>
      </c>
      <c r="I7881" s="1" t="s">
        <v>15325</v>
      </c>
      <c r="K7881" s="1" t="str">
        <f t="shared" si="498"/>
        <v>ㄑ</v>
      </c>
      <c r="L7881" s="1" t="str">
        <f t="shared" si="499"/>
        <v>ㄧ</v>
      </c>
      <c r="M7881" s="1" t="str">
        <f t="shared" si="496"/>
        <v>ㄡ</v>
      </c>
      <c r="P7881" s="1" t="s">
        <v>20</v>
      </c>
      <c r="R7881" s="1" t="s">
        <v>15326</v>
      </c>
      <c r="V7881" s="1" t="s">
        <v>15370</v>
      </c>
      <c r="AR7881" s="1" t="str">
        <f t="shared" si="497"/>
        <v>| [ㄑㄧㄡˊ](ㄑㄧㄡˊ.md) | [觓](觓.md) |  | qiú | [形]
犄角向上彎曲的樣子。《集韻．平聲．幽韻》：「觓，《說文》：『角貌。』引《詩》：『兕觵其觓。』」《穀梁傳．成公七年》：「郊牛日，展觓角而知傷。」 |</v>
      </c>
    </row>
    <row r="7882" spans="1:44" hidden="1">
      <c r="A7882" s="1" t="s">
        <v>15371</v>
      </c>
      <c r="C7882" s="1">
        <v>1</v>
      </c>
      <c r="D7882" s="1" t="str">
        <f>"06432"</f>
        <v>06432</v>
      </c>
      <c r="E7882" s="1" t="s">
        <v>1462</v>
      </c>
      <c r="F7882" s="1">
        <v>9</v>
      </c>
      <c r="G7882" s="1">
        <v>2</v>
      </c>
      <c r="H7882" s="1">
        <v>0</v>
      </c>
      <c r="I7882" s="1" t="s">
        <v>15325</v>
      </c>
      <c r="K7882" s="1" t="str">
        <f t="shared" si="498"/>
        <v>ㄑ</v>
      </c>
      <c r="L7882" s="1" t="str">
        <f t="shared" si="499"/>
        <v>ㄧ</v>
      </c>
      <c r="M7882" s="1" t="str">
        <f t="shared" si="496"/>
        <v>ㄡ</v>
      </c>
      <c r="P7882" s="1" t="s">
        <v>20</v>
      </c>
      <c r="R7882" s="1" t="s">
        <v>15326</v>
      </c>
      <c r="V7882" s="1" t="s">
        <v>15372</v>
      </c>
      <c r="AR7882" s="1" t="str">
        <f t="shared" si="497"/>
        <v>| [ㄑㄧㄡˊ](ㄑㄧㄡˊ.md) | [酋](酋.md) |  | qiú | [名]
首領。如：「酋長」、「匪酋」、「賊酋」。《北史．卷六六．李和傳》：「父僧養，以累世雄豪，為夏州酋。」 |</v>
      </c>
    </row>
    <row r="7883" spans="1:44" hidden="1">
      <c r="A7883" s="1" t="s">
        <v>15373</v>
      </c>
      <c r="C7883" s="1">
        <v>1</v>
      </c>
      <c r="D7883" s="1" t="str">
        <f>"06433"</f>
        <v>06433</v>
      </c>
      <c r="E7883" s="1" t="s">
        <v>558</v>
      </c>
      <c r="F7883" s="1">
        <v>13</v>
      </c>
      <c r="G7883" s="1">
        <v>9</v>
      </c>
      <c r="H7883" s="1">
        <v>0</v>
      </c>
      <c r="I7883" s="1" t="s">
        <v>15325</v>
      </c>
      <c r="K7883" s="1" t="str">
        <f t="shared" si="498"/>
        <v>ㄑ</v>
      </c>
      <c r="L7883" s="1" t="str">
        <f t="shared" si="499"/>
        <v>ㄧ</v>
      </c>
      <c r="M7883" s="1" t="str">
        <f t="shared" si="496"/>
        <v>ㄡ</v>
      </c>
      <c r="P7883" s="1" t="s">
        <v>20</v>
      </c>
      <c r="R7883" s="1" t="s">
        <v>15326</v>
      </c>
      <c r="V7883" s="1" t="s">
        <v>15374</v>
      </c>
      <c r="AR7883" s="1" t="str">
        <f t="shared" si="497"/>
        <v>| [ㄑㄧㄡˊ](ㄑㄧㄡˊ.md) | [遒](遒.md) |  | qiú | [動]
1.迫近。三國魏．曹植〈箜篌引〉：「盛時不可再，百年忽我遒。」《文選．潘岳．秋興賦》：「悟時歲之遒盡兮，慨俛首而自省。」
2.聚集。《詩經．豳風．破斧》：「周公東征，四國是遒。」《左傳．成公二年》：「布政優優，百祿是遒。」
3.終、盡。《文選．班固．答賓戲》：「〈說難〉既遒，其身乃囚。」宋．陸游〈北望感懷〉詩：「大事竟為朋黨誤，遺民空歎歲時遒。」
[形]
剛健、強勁有力。《三國志．卷二一．魏書．王粲傳》：「公幹有逸氣，但未遒耳。」宋．陸游〈江樓醉中作〉詩：「淋漓百榼宴江樓，秉燭揮毫氣尚遒。」 |</v>
      </c>
    </row>
    <row r="7884" spans="1:44" hidden="1">
      <c r="A7884" s="1" t="s">
        <v>13746</v>
      </c>
      <c r="C7884" s="1">
        <v>1</v>
      </c>
      <c r="D7884" s="1" t="str">
        <f>"06434"</f>
        <v>06434</v>
      </c>
      <c r="E7884" s="1" t="s">
        <v>679</v>
      </c>
      <c r="F7884" s="1">
        <v>15</v>
      </c>
      <c r="G7884" s="1">
        <v>9</v>
      </c>
      <c r="H7884" s="1">
        <v>1</v>
      </c>
      <c r="I7884" s="1" t="s">
        <v>15325</v>
      </c>
      <c r="K7884" s="1" t="str">
        <f t="shared" si="498"/>
        <v>ㄑ</v>
      </c>
      <c r="L7884" s="1" t="str">
        <f t="shared" si="499"/>
        <v>ㄧ</v>
      </c>
      <c r="M7884" s="1" t="str">
        <f t="shared" si="496"/>
        <v>ㄡ</v>
      </c>
      <c r="P7884" s="1" t="s">
        <v>20</v>
      </c>
      <c r="R7884" s="1" t="s">
        <v>15326</v>
      </c>
      <c r="V7884" s="1" t="s">
        <v>15375</v>
      </c>
      <c r="W7884" s="1" t="s">
        <v>15376</v>
      </c>
      <c r="AR7884" s="1" t="str">
        <f t="shared" si="497"/>
        <v>| [ㄑㄧㄡˊ](ㄑㄧㄡˊ.md) | [蝤](蝤.md) |  | qiú | [名]
1.參見「蝤蠐」條。
2.一種昆蟲。通「蝣」。參見「蜉蝣」條。 |</v>
      </c>
    </row>
    <row r="7885" spans="1:44" hidden="1">
      <c r="A7885" s="1" t="s">
        <v>15377</v>
      </c>
      <c r="C7885" s="1">
        <v>1</v>
      </c>
      <c r="D7885" s="1" t="str">
        <f>"06435"</f>
        <v>06435</v>
      </c>
      <c r="E7885" s="1" t="s">
        <v>142</v>
      </c>
      <c r="F7885" s="1">
        <v>15</v>
      </c>
      <c r="G7885" s="1">
        <v>11</v>
      </c>
      <c r="H7885" s="1">
        <v>0</v>
      </c>
      <c r="I7885" s="1" t="s">
        <v>15325</v>
      </c>
      <c r="K7885" s="1" t="str">
        <f t="shared" si="498"/>
        <v>ㄑ</v>
      </c>
      <c r="L7885" s="1" t="str">
        <f t="shared" si="499"/>
        <v>ㄧ</v>
      </c>
      <c r="M7885" s="1" t="str">
        <f t="shared" si="496"/>
        <v>ㄡ</v>
      </c>
      <c r="P7885" s="1" t="s">
        <v>20</v>
      </c>
      <c r="R7885" s="1" t="s">
        <v>15326</v>
      </c>
      <c r="V7885" s="1" t="s">
        <v>15378</v>
      </c>
      <c r="AR7885" s="1" t="str">
        <f t="shared" si="497"/>
        <v>| [ㄑㄧㄡˊ](ㄑㄧㄡˊ.md) | [璆](璆.md) |  | qiú | [名]
美玉。可製磬。晉．劉琨〈重贈盧諶詩〉：「握中有玄璧，本自荊山璆。」
[擬]
形容玉器相撞擊的聲音。《史記．卷四七．孔子世家》：「夫人自帷中再拜，環珮玉聲璆然。」 |</v>
      </c>
    </row>
    <row r="7886" spans="1:44" hidden="1">
      <c r="A7886" s="1" t="s">
        <v>15379</v>
      </c>
      <c r="C7886" s="1">
        <v>1</v>
      </c>
      <c r="D7886" s="1" t="str">
        <f>"06436"</f>
        <v>06436</v>
      </c>
      <c r="E7886" s="1" t="s">
        <v>46</v>
      </c>
      <c r="F7886" s="1">
        <v>16</v>
      </c>
      <c r="G7886" s="1">
        <v>10</v>
      </c>
      <c r="H7886" s="1">
        <v>0</v>
      </c>
      <c r="I7886" s="1" t="s">
        <v>15380</v>
      </c>
      <c r="K7886" s="1" t="str">
        <f t="shared" si="498"/>
        <v>ㄑ</v>
      </c>
      <c r="L7886" s="1" t="str">
        <f t="shared" si="499"/>
        <v>ㄧ</v>
      </c>
      <c r="M7886" s="1" t="str">
        <f t="shared" si="496"/>
        <v>ㄡ</v>
      </c>
      <c r="P7886" s="1" t="s">
        <v>20</v>
      </c>
      <c r="R7886" s="1" t="s">
        <v>15381</v>
      </c>
      <c r="V7886" s="1" t="s">
        <v>15382</v>
      </c>
      <c r="AR7886" s="1" t="str">
        <f t="shared" si="497"/>
        <v>| [ㄑㄧㄡˇ](ㄑㄧㄡˇ.md) | [糗](糗.md) |  | qiǔ | [名]
1.乾糧。《孟子．盡心下》：「舜之飯糗茹草也，若將終身焉。」唐．柳宗元〈零陵三亭記〉：「雞豚糗醑，得及宗族。」
2.姓。如漢代有糗宗。
[動]
黏在一起。如：「麵煮好不吃，一會兒就糗了！」
[形]
形容當場出醜，不知所措的樣子。如：「好糗」、「糗呆了」。 |</v>
      </c>
    </row>
    <row r="7887" spans="1:44" hidden="1">
      <c r="A7887" s="1" t="s">
        <v>15383</v>
      </c>
      <c r="C7887" s="1">
        <v>1</v>
      </c>
      <c r="D7887" s="1" t="str">
        <f>"06437"</f>
        <v>06437</v>
      </c>
      <c r="E7887" s="1" t="s">
        <v>286</v>
      </c>
      <c r="F7887" s="1">
        <v>3</v>
      </c>
      <c r="G7887" s="1">
        <v>1</v>
      </c>
      <c r="H7887" s="1">
        <v>0</v>
      </c>
      <c r="I7887" s="1" t="s">
        <v>15384</v>
      </c>
      <c r="K7887" s="1" t="str">
        <f t="shared" si="498"/>
        <v>ㄑ</v>
      </c>
      <c r="L7887" s="1" t="str">
        <f t="shared" si="499"/>
        <v>ㄧ</v>
      </c>
      <c r="M7887" s="1" t="str">
        <f t="shared" si="496"/>
        <v>ㄢ</v>
      </c>
      <c r="P7887" s="1" t="s">
        <v>20</v>
      </c>
      <c r="R7887" s="1" t="s">
        <v>15385</v>
      </c>
      <c r="V7887" s="1" t="s">
        <v>15386</v>
      </c>
      <c r="AR7887" s="1" t="str">
        <f t="shared" si="497"/>
        <v>| [ㄑㄧㄢ](ㄑㄧㄢ.md) | [千](千.md) |  | qiān | [名]
1.數目字。十的百倍。《說文解字．十部》：「千，十百也。」大寫作「仟」。
2.姓。如漢代有千獻。
[形]
眾多。如：「千方百計」、「千山萬水」。《老子》第六四章：「千里之行，始於足下。」唐．李白〈將進酒〉：「天生我材必有用，千金散盡還復來。」 |</v>
      </c>
    </row>
    <row r="7888" spans="1:44" hidden="1">
      <c r="A7888" s="1" t="s">
        <v>15387</v>
      </c>
      <c r="C7888" s="1">
        <v>1</v>
      </c>
      <c r="D7888" s="1" t="str">
        <f>"06438"</f>
        <v>06438</v>
      </c>
      <c r="E7888" s="1" t="s">
        <v>114</v>
      </c>
      <c r="F7888" s="1">
        <v>5</v>
      </c>
      <c r="G7888" s="1">
        <v>3</v>
      </c>
      <c r="H7888" s="1">
        <v>0</v>
      </c>
      <c r="I7888" s="1" t="s">
        <v>15384</v>
      </c>
      <c r="K7888" s="1" t="str">
        <f t="shared" si="498"/>
        <v>ㄑ</v>
      </c>
      <c r="L7888" s="1" t="str">
        <f t="shared" si="499"/>
        <v>ㄧ</v>
      </c>
      <c r="M7888" s="1" t="str">
        <f t="shared" si="496"/>
        <v>ㄢ</v>
      </c>
      <c r="P7888" s="1" t="s">
        <v>20</v>
      </c>
      <c r="R7888" s="1" t="s">
        <v>15385</v>
      </c>
      <c r="V7888" s="1" t="s">
        <v>15388</v>
      </c>
      <c r="AR7888" s="1" t="str">
        <f t="shared" si="497"/>
        <v>| [ㄑㄧㄢ](ㄑㄧㄢ.md) | [仟](仟.md) |  | qiān | [名]
1.千的大寫。
2.職官名。古代軍隊中一千人的指揮者。《史記．卷四八．陳涉世家》：「躡足行伍之閒，俛仰仟佰之中。」唐．司馬貞．索隱：「仟佰，謂千人百人之長也。」
3.田間的小路。通「阡」。《漢書．卷二四．食貨志上》：「壞井田，開仟伯。」唐．顏師古．注：「仟伯，田間之道也。南北曰仟，東西曰伯。」 |</v>
      </c>
    </row>
    <row r="7889" spans="1:44" hidden="1">
      <c r="A7889" s="1" t="s">
        <v>15389</v>
      </c>
      <c r="C7889" s="1">
        <v>1</v>
      </c>
      <c r="D7889" s="1" t="str">
        <f>"06439"</f>
        <v>06439</v>
      </c>
      <c r="E7889" s="1" t="s">
        <v>24</v>
      </c>
      <c r="F7889" s="1">
        <v>6</v>
      </c>
      <c r="G7889" s="1">
        <v>3</v>
      </c>
      <c r="H7889" s="1">
        <v>0</v>
      </c>
      <c r="I7889" s="1" t="s">
        <v>15384</v>
      </c>
      <c r="K7889" s="1" t="str">
        <f t="shared" si="498"/>
        <v>ㄑ</v>
      </c>
      <c r="L7889" s="1" t="str">
        <f t="shared" si="499"/>
        <v>ㄧ</v>
      </c>
      <c r="M7889" s="1" t="str">
        <f t="shared" si="496"/>
        <v>ㄢ</v>
      </c>
      <c r="P7889" s="1" t="s">
        <v>20</v>
      </c>
      <c r="R7889" s="1" t="s">
        <v>15385</v>
      </c>
      <c r="V7889" s="1" t="s">
        <v>15390</v>
      </c>
      <c r="AR7889" s="1" t="str">
        <f t="shared" si="497"/>
        <v>| [ㄑㄧㄢ](ㄑㄧㄢ.md) | [扦](扦.md) |  | qiān | [名]
細長而一端尖銳的棒形器物。俗稱為「扦子」，用來插物。如：「牙扦」、「鐵扦」
[動]
1.插、刺。如：「魚刺扦進牙縫裡。」
2.栽植法中的插枝法。如：「扦插」。明．徐光啟《農政全書．卷三七．種植．種法》：「於正二月上旬，取樹木嫩枝扦插，勝於種核。」 |</v>
      </c>
    </row>
    <row r="7890" spans="1:44" hidden="1">
      <c r="A7890" s="1" t="s">
        <v>15391</v>
      </c>
      <c r="C7890" s="1">
        <v>1</v>
      </c>
      <c r="D7890" s="1" t="str">
        <f>"06440"</f>
        <v>06440</v>
      </c>
      <c r="E7890" s="1" t="s">
        <v>691</v>
      </c>
      <c r="F7890" s="1">
        <v>6</v>
      </c>
      <c r="G7890" s="1">
        <v>3</v>
      </c>
      <c r="H7890" s="1">
        <v>0</v>
      </c>
      <c r="I7890" s="1" t="s">
        <v>15384</v>
      </c>
      <c r="K7890" s="1" t="str">
        <f t="shared" si="498"/>
        <v>ㄑ</v>
      </c>
      <c r="L7890" s="1" t="str">
        <f t="shared" si="499"/>
        <v>ㄧ</v>
      </c>
      <c r="M7890" s="1" t="str">
        <f t="shared" si="496"/>
        <v>ㄢ</v>
      </c>
      <c r="P7890" s="1" t="s">
        <v>20</v>
      </c>
      <c r="R7890" s="1" t="s">
        <v>15385</v>
      </c>
      <c r="V7890" s="1" t="s">
        <v>15392</v>
      </c>
      <c r="AR7890" s="1" t="str">
        <f t="shared" si="497"/>
        <v>| [ㄑㄧㄢ](ㄑㄧㄢ.md) | [阡](阡.md) |  | qiān | [名]
1.田間南北向的小路。另有一說為東西向。《史記．卷五．秦本紀》：「為田開阡陌。」司馬貞索隱引《風俗通》曰：「南北曰阡，東西曰陌。河東以東西為阡，南北為陌。」三國魏．曹植〈送應氏詩〉二首之一：「遊子久不歸，不識陌與阡。」後泛指小路。元．關漢卿《竇娥冤》第三折：「要什麼素車白馬，斷送出古陌荒阡。」
2.墓前的道路。宋．歐陽修〈瀧岡阡表〉：「始克表於其阡。」
3.姓。如唐代有阡能。 |</v>
      </c>
    </row>
    <row r="7891" spans="1:44" hidden="1">
      <c r="A7891" s="1" t="s">
        <v>15393</v>
      </c>
      <c r="C7891" s="1">
        <v>1</v>
      </c>
      <c r="D7891" s="1" t="str">
        <f>"06441"</f>
        <v>06441</v>
      </c>
      <c r="E7891" s="1" t="s">
        <v>37</v>
      </c>
      <c r="F7891" s="1">
        <v>7</v>
      </c>
      <c r="G7891" s="1">
        <v>3</v>
      </c>
      <c r="H7891" s="1">
        <v>0</v>
      </c>
      <c r="I7891" s="1" t="s">
        <v>15384</v>
      </c>
      <c r="K7891" s="1" t="str">
        <f t="shared" si="498"/>
        <v>ㄑ</v>
      </c>
      <c r="L7891" s="1" t="str">
        <f t="shared" si="499"/>
        <v>ㄧ</v>
      </c>
      <c r="M7891" s="1" t="str">
        <f t="shared" si="496"/>
        <v>ㄢ</v>
      </c>
      <c r="P7891" s="1" t="s">
        <v>20</v>
      </c>
      <c r="R7891" s="1" t="s">
        <v>15385</v>
      </c>
      <c r="V7891" s="1" t="s">
        <v>15394</v>
      </c>
      <c r="AR7891" s="1" t="str">
        <f t="shared" si="497"/>
        <v>| [ㄑㄧㄢ](ㄑㄧㄢ.md) | [芊](芊.md) |  | qiān | 參見「芊芊」條。 |</v>
      </c>
    </row>
    <row r="7892" spans="1:44" hidden="1">
      <c r="A7892" s="1" t="s">
        <v>15395</v>
      </c>
      <c r="C7892" s="1">
        <v>1</v>
      </c>
      <c r="D7892" s="1" t="str">
        <f>"06442"</f>
        <v>06442</v>
      </c>
      <c r="E7892" s="1" t="s">
        <v>129</v>
      </c>
      <c r="F7892" s="1">
        <v>7</v>
      </c>
      <c r="G7892" s="1">
        <v>4</v>
      </c>
      <c r="H7892" s="1">
        <v>0</v>
      </c>
      <c r="I7892" s="1" t="s">
        <v>15384</v>
      </c>
      <c r="K7892" s="1" t="str">
        <f t="shared" si="498"/>
        <v>ㄑ</v>
      </c>
      <c r="L7892" s="1" t="str">
        <f t="shared" si="499"/>
        <v>ㄧ</v>
      </c>
      <c r="M7892" s="1" t="str">
        <f t="shared" si="496"/>
        <v>ㄢ</v>
      </c>
      <c r="P7892" s="1" t="s">
        <v>20</v>
      </c>
      <c r="R7892" s="1" t="s">
        <v>15385</v>
      </c>
      <c r="V7892" s="1" t="s">
        <v>15396</v>
      </c>
      <c r="AR7892" s="1" t="str">
        <f t="shared" si="497"/>
        <v>| [ㄑㄧㄢ](ㄑㄧㄢ.md) | [汧](汧.md) |  | qiān | [名]
水泉溢出所形成的沼澤。《爾雅．釋水》：「汧，出不流。」晉．郭璞．注：「水流潛出便自停成汙池。」 |</v>
      </c>
    </row>
    <row r="7893" spans="1:44" hidden="1">
      <c r="A7893" s="1" t="s">
        <v>15397</v>
      </c>
      <c r="C7893" s="1">
        <v>1</v>
      </c>
      <c r="D7893" s="1" t="str">
        <f>"06443"</f>
        <v>06443</v>
      </c>
      <c r="E7893" s="1" t="s">
        <v>8899</v>
      </c>
      <c r="F7893" s="1">
        <v>8</v>
      </c>
      <c r="G7893" s="1">
        <v>2</v>
      </c>
      <c r="H7893" s="1">
        <v>0</v>
      </c>
      <c r="I7893" s="1" t="s">
        <v>15384</v>
      </c>
      <c r="K7893" s="1" t="str">
        <f t="shared" si="498"/>
        <v>ㄑ</v>
      </c>
      <c r="L7893" s="1" t="str">
        <f t="shared" si="499"/>
        <v>ㄧ</v>
      </c>
      <c r="M7893" s="1" t="str">
        <f t="shared" ref="M7893:M7956" si="500">MID(I7893, 3, 1)</f>
        <v>ㄢ</v>
      </c>
      <c r="P7893" s="1" t="s">
        <v>20</v>
      </c>
      <c r="R7893" s="1" t="s">
        <v>15385</v>
      </c>
      <c r="V7893" s="1" t="s">
        <v>15398</v>
      </c>
      <c r="AR7893" s="1" t="str">
        <f t="shared" si="497"/>
        <v>| [ㄑㄧㄢ](ㄑㄧㄢ.md) | [臤](臤.md) |  | qiān | [形]
堅固。《說文解字．臤部》：「臤，堅也。」 |</v>
      </c>
    </row>
    <row r="7894" spans="1:44" hidden="1">
      <c r="A7894" s="1" t="s">
        <v>15399</v>
      </c>
      <c r="C7894" s="1">
        <v>1</v>
      </c>
      <c r="D7894" s="1" t="str">
        <f>"06444"</f>
        <v>06444</v>
      </c>
      <c r="E7894" s="1" t="s">
        <v>24</v>
      </c>
      <c r="F7894" s="1">
        <v>12</v>
      </c>
      <c r="G7894" s="1">
        <v>8</v>
      </c>
      <c r="H7894" s="1">
        <v>0</v>
      </c>
      <c r="I7894" s="1" t="s">
        <v>15384</v>
      </c>
      <c r="K7894" s="1" t="str">
        <f t="shared" si="498"/>
        <v>ㄑ</v>
      </c>
      <c r="L7894" s="1" t="str">
        <f t="shared" si="499"/>
        <v>ㄧ</v>
      </c>
      <c r="M7894" s="1" t="str">
        <f t="shared" si="500"/>
        <v>ㄢ</v>
      </c>
      <c r="P7894" s="1" t="s">
        <v>20</v>
      </c>
      <c r="R7894" s="1" t="s">
        <v>15385</v>
      </c>
      <c r="V7894" s="1" t="s">
        <v>15400</v>
      </c>
      <c r="AR7894" s="1" t="str">
        <f t="shared" si="497"/>
        <v>| [ㄑㄧㄢ](ㄑㄧㄢ.md) | [掔](掔.md) |  | qiān | [動]
1.用手握緊。《說文解字．手部》「掔」字．清．段玉裁．注：「掔之言堅也，緊也，謂手持之固也。」《墨子．迎敵祠》：「令命昏緯狗、纂馬、掔緯。」
2.牽引。通「牽」。《史記．卷四三．鄭世家》：「楚王入自皇門，鄭襄公肉袒掔羊以迎。」
[形]
厚實。《爾雅．釋詁下》：「掔，厚也。」晉．郭璞．注：「掔然，厚貌。」 |</v>
      </c>
    </row>
    <row r="7895" spans="1:44" hidden="1">
      <c r="A7895" s="1" t="s">
        <v>15401</v>
      </c>
      <c r="C7895" s="1">
        <v>1</v>
      </c>
      <c r="D7895" s="1" t="str">
        <f>"06445"</f>
        <v>06445</v>
      </c>
      <c r="E7895" s="1" t="s">
        <v>250</v>
      </c>
      <c r="F7895" s="1">
        <v>14</v>
      </c>
      <c r="G7895" s="1">
        <v>11</v>
      </c>
      <c r="H7895" s="1">
        <v>0</v>
      </c>
      <c r="I7895" s="1" t="s">
        <v>15384</v>
      </c>
      <c r="K7895" s="1" t="str">
        <f t="shared" si="498"/>
        <v>ㄑ</v>
      </c>
      <c r="L7895" s="1" t="str">
        <f t="shared" si="499"/>
        <v>ㄧ</v>
      </c>
      <c r="M7895" s="1" t="str">
        <f t="shared" si="500"/>
        <v>ㄢ</v>
      </c>
      <c r="P7895" s="1" t="s">
        <v>20</v>
      </c>
      <c r="R7895" s="1" t="s">
        <v>15385</v>
      </c>
      <c r="V7895" s="1" t="s">
        <v>15402</v>
      </c>
      <c r="AR7895" s="1" t="str">
        <f t="shared" si="497"/>
        <v>| [ㄑㄧㄢ](ㄑㄧㄢ.md) | [慳](慳.md) |  | qiān | [形]
吝嗇。如：「慳吝」、「寒慳」。唐．元稹〈臺中鞫獄憶開元觀舊事呈損之兼贈周兄四十韻〉：「漸大官漸貴，漸富心漸慳。」
[名]
吝嗇的人。《南史．卷一六．王玄謨傳》：「劉秀之儉吝，常呼為老慳。」
[動]
1.阻礙、磨難。元．貫雲石〈一枝花．柳垂翡翠條套．梁州〉曲：「常言道好事多慳，陡恁的千難萬難。」明．湯顯祖《紫釵記》第四二齣：「這恩愛前慳後慳，這姻緣左難右難。」
2.欠缺、缺少。如：「緣慳一面，兩人至今仍互不相識。」 |</v>
      </c>
    </row>
    <row r="7896" spans="1:44" hidden="1">
      <c r="A7896" s="1" t="s">
        <v>15403</v>
      </c>
      <c r="C7896" s="1">
        <v>1</v>
      </c>
      <c r="D7896" s="1" t="str">
        <f>"06446"</f>
        <v>06446</v>
      </c>
      <c r="E7896" s="1" t="s">
        <v>518</v>
      </c>
      <c r="F7896" s="1">
        <v>11</v>
      </c>
      <c r="G7896" s="1">
        <v>7</v>
      </c>
      <c r="H7896" s="1">
        <v>0</v>
      </c>
      <c r="I7896" s="1" t="s">
        <v>15384</v>
      </c>
      <c r="K7896" s="1" t="str">
        <f t="shared" si="498"/>
        <v>ㄑ</v>
      </c>
      <c r="L7896" s="1" t="str">
        <f t="shared" si="499"/>
        <v>ㄧ</v>
      </c>
      <c r="M7896" s="1" t="str">
        <f t="shared" si="500"/>
        <v>ㄢ</v>
      </c>
      <c r="P7896" s="1" t="s">
        <v>20</v>
      </c>
      <c r="R7896" s="1" t="s">
        <v>15385</v>
      </c>
      <c r="V7896" s="1" t="s">
        <v>15404</v>
      </c>
      <c r="AR7896" s="1" t="str">
        <f t="shared" si="497"/>
        <v>| [ㄑㄧㄢ](ㄑㄧㄢ.md) | [牽](牽.md) |  | qiān | [動]
1.拉、挽引。如：「牽手」、「順手牽羊」。《孟子．梁惠王上》：「有牽牛過堂下者。」唐．杜甫〈兵車行〉：「牽衣頓足闌道哭，哭聲直上于雲霄。」
2.拘束、受制。如：「牽制」、「拘牽」。《呂氏春秋．離俗覽．離俗》：「不牽於勢。」《文選．鄒陽．獄中上書自明》：「此二國豈拘於俗，牽於世，繫奇偏之辭哉？」
3.連帶、涉及。如：「牽涉」、「牽連」。唐．元稹《鶯鶯傳》：「長安行樂之地，觸緒牽情。」唐．韋嗣立〈省刑罰疏〉：「楊豫之後，刑獄漸興，用法之伍，務於窮竟，連坐相牽，數年不絕。」
[名]
姓。如三國時魏國有牽招。 |</v>
      </c>
    </row>
    <row r="7897" spans="1:44" hidden="1">
      <c r="A7897" s="1" t="s">
        <v>10989</v>
      </c>
      <c r="C7897" s="1">
        <v>1</v>
      </c>
      <c r="D7897" s="1" t="str">
        <f>"06447"</f>
        <v>06447</v>
      </c>
      <c r="E7897" s="1" t="s">
        <v>190</v>
      </c>
      <c r="F7897" s="1">
        <v>12</v>
      </c>
      <c r="G7897" s="1">
        <v>9</v>
      </c>
      <c r="H7897" s="1">
        <v>1</v>
      </c>
      <c r="I7897" s="1" t="s">
        <v>15384</v>
      </c>
      <c r="K7897" s="1" t="str">
        <f t="shared" si="498"/>
        <v>ㄑ</v>
      </c>
      <c r="L7897" s="1" t="str">
        <f t="shared" si="499"/>
        <v>ㄧ</v>
      </c>
      <c r="M7897" s="1" t="str">
        <f t="shared" si="500"/>
        <v>ㄢ</v>
      </c>
      <c r="P7897" s="1" t="s">
        <v>20</v>
      </c>
      <c r="R7897" s="1" t="s">
        <v>15385</v>
      </c>
      <c r="V7897" s="1" t="s">
        <v>15405</v>
      </c>
      <c r="W7897" s="1" t="s">
        <v>15406</v>
      </c>
      <c r="AR7897" s="1" t="str">
        <f t="shared" si="497"/>
        <v>| [ㄑㄧㄢ](ㄑㄧㄢ.md) | [嵌](嵌.md) |  | qiān | [動]
把東西填入空隙。如：「鑲嵌」、「嵌石」。
[形]
險峻。南朝梁．沈約〈江南曲〉：「但令舟楫渡，寧計路嶄嵌。」唐．盧照鄰〈五悲文．悲昔遊〉：「因嵌巖以為室，就芬芳以列筵。」 |</v>
      </c>
    </row>
    <row r="7898" spans="1:44" hidden="1">
      <c r="A7898" s="1" t="s">
        <v>15407</v>
      </c>
      <c r="C7898" s="1">
        <v>1</v>
      </c>
      <c r="D7898" s="1" t="str">
        <f>"06448"</f>
        <v>06448</v>
      </c>
      <c r="E7898" s="1" t="s">
        <v>28</v>
      </c>
      <c r="F7898" s="1">
        <v>13</v>
      </c>
      <c r="G7898" s="1">
        <v>10</v>
      </c>
      <c r="H7898" s="1">
        <v>1</v>
      </c>
      <c r="I7898" s="1" t="s">
        <v>15384</v>
      </c>
      <c r="K7898" s="1" t="str">
        <f t="shared" si="498"/>
        <v>ㄑ</v>
      </c>
      <c r="L7898" s="1" t="str">
        <f t="shared" si="499"/>
        <v>ㄧ</v>
      </c>
      <c r="M7898" s="1" t="str">
        <f t="shared" si="500"/>
        <v>ㄢ</v>
      </c>
      <c r="P7898" s="1" t="s">
        <v>20</v>
      </c>
      <c r="R7898" s="1" t="s">
        <v>15385</v>
      </c>
      <c r="V7898" s="1" t="s">
        <v>15408</v>
      </c>
      <c r="W7898" s="1" t="s">
        <v>15409</v>
      </c>
      <c r="AR7898" s="1" t="str">
        <f t="shared" si="497"/>
        <v>| [ㄑㄧㄢ](ㄑㄧㄢ.md) | [嗛](嗛.md) |  | qiān | [形]
虛心而不自大。同「謙」。《漢書．卷五七．司馬相如傳下》：「陛下嗛讓而弗發也。」 |</v>
      </c>
    </row>
    <row r="7899" spans="1:44" hidden="1">
      <c r="A7899" s="1" t="s">
        <v>15410</v>
      </c>
      <c r="C7899" s="1">
        <v>1</v>
      </c>
      <c r="D7899" s="1" t="str">
        <f>"06449"</f>
        <v>06449</v>
      </c>
      <c r="E7899" s="1" t="s">
        <v>331</v>
      </c>
      <c r="F7899" s="1">
        <v>17</v>
      </c>
      <c r="G7899" s="1">
        <v>10</v>
      </c>
      <c r="H7899" s="1">
        <v>1</v>
      </c>
      <c r="I7899" s="1" t="s">
        <v>15384</v>
      </c>
      <c r="K7899" s="1" t="str">
        <f t="shared" si="498"/>
        <v>ㄑ</v>
      </c>
      <c r="L7899" s="1" t="str">
        <f t="shared" si="499"/>
        <v>ㄧ</v>
      </c>
      <c r="M7899" s="1" t="str">
        <f t="shared" si="500"/>
        <v>ㄢ</v>
      </c>
      <c r="P7899" s="1" t="s">
        <v>20</v>
      </c>
      <c r="R7899" s="1" t="s">
        <v>15385</v>
      </c>
      <c r="V7899" s="1" t="s">
        <v>15411</v>
      </c>
      <c r="W7899" s="1" t="s">
        <v>15412</v>
      </c>
      <c r="AR7899" s="1" t="str">
        <f t="shared" si="497"/>
        <v>| [ㄑㄧㄢ](ㄑㄧㄢ.md) | [謙](謙.md) |  | qiān | [形]
敬讓而不自大。如：「謙虛」、「謙卑」、「謙和」。《書經．大禹謨》：「滿招損，謙受益。」唐．魏徵〈論時政疏〉：「念高危，則思謙沖以自牧。」
[名]
《易經》卦名。六十四卦之一。艮（☶）下坤（☷）上。象內止外順而終有成之義。 |</v>
      </c>
    </row>
    <row r="7900" spans="1:44" hidden="1">
      <c r="A7900" s="1" t="s">
        <v>15413</v>
      </c>
      <c r="C7900" s="1">
        <v>1</v>
      </c>
      <c r="D7900" s="1" t="str">
        <f>"06450"</f>
        <v>06450</v>
      </c>
      <c r="E7900" s="1" t="s">
        <v>55</v>
      </c>
      <c r="F7900" s="1">
        <v>13</v>
      </c>
      <c r="G7900" s="1">
        <v>5</v>
      </c>
      <c r="H7900" s="1">
        <v>1</v>
      </c>
      <c r="I7900" s="1" t="s">
        <v>15384</v>
      </c>
      <c r="K7900" s="1" t="str">
        <f t="shared" si="498"/>
        <v>ㄑ</v>
      </c>
      <c r="L7900" s="1" t="str">
        <f t="shared" si="499"/>
        <v>ㄧ</v>
      </c>
      <c r="M7900" s="1" t="str">
        <f t="shared" si="500"/>
        <v>ㄢ</v>
      </c>
      <c r="P7900" s="1" t="s">
        <v>20</v>
      </c>
      <c r="R7900" s="1" t="s">
        <v>15385</v>
      </c>
      <c r="V7900" s="1" t="s">
        <v>15414</v>
      </c>
      <c r="W7900" s="1" t="s">
        <v>15415</v>
      </c>
      <c r="AR7900" s="1" t="str">
        <f t="shared" si="497"/>
        <v>| [ㄑㄧㄢ](ㄑㄧㄢ.md) | [鉛](鉛.md) |  | qiān | [名]
（lead，Pb）化學元素。原子序82。金屬元素之一。色青質軟有延展性，置於空氣中則氧化迅速。為電的不良導體，抗腐蝕性強，但具有累積毒性。可與其他金屬化合而製成蓄電池、電纜外皮、防X射線的材料等，用途甚廣。 |</v>
      </c>
    </row>
    <row r="7901" spans="1:44" hidden="1">
      <c r="A7901" s="1" t="s">
        <v>15416</v>
      </c>
      <c r="C7901" s="1">
        <v>1</v>
      </c>
      <c r="D7901" s="1" t="str">
        <f>"06451"</f>
        <v>06451</v>
      </c>
      <c r="E7901" s="1" t="s">
        <v>114</v>
      </c>
      <c r="F7901" s="1">
        <v>13</v>
      </c>
      <c r="G7901" s="1">
        <v>11</v>
      </c>
      <c r="H7901" s="1">
        <v>0</v>
      </c>
      <c r="I7901" s="1" t="s">
        <v>15384</v>
      </c>
      <c r="K7901" s="1" t="str">
        <f t="shared" si="498"/>
        <v>ㄑ</v>
      </c>
      <c r="L7901" s="1" t="str">
        <f t="shared" si="499"/>
        <v>ㄧ</v>
      </c>
      <c r="M7901" s="1" t="str">
        <f t="shared" si="500"/>
        <v>ㄢ</v>
      </c>
      <c r="P7901" s="1" t="s">
        <v>20</v>
      </c>
      <c r="R7901" s="1" t="s">
        <v>15385</v>
      </c>
      <c r="V7901" s="1" t="s">
        <v>15417</v>
      </c>
      <c r="AR7901" s="1" t="str">
        <f t="shared" si="497"/>
        <v>| [ㄑㄧㄢ](ㄑㄧㄢ.md) | [僉](僉.md) |  | qiān | [副]
皆、全部。《書經．堯典》「僉曰：『於！鯀哉。』」句下唐．孔穎達．正義：「僉，皆也。」《三國志．卷四一．蜀書．張裔傳》：「此賢愚之所以僉忘其身者也。」
[代]
眾人、大家的代稱。《楚辭．屈原．天問》：「僉曰：『何憂？』」漢．王逸．注：「僉，眾也。」
[名]
姓。如明代有僉陽。 |</v>
      </c>
    </row>
    <row r="7902" spans="1:44" hidden="1">
      <c r="A7902" s="1" t="s">
        <v>15418</v>
      </c>
      <c r="C7902" s="1">
        <v>1</v>
      </c>
      <c r="D7902" s="1" t="str">
        <f>"06452"</f>
        <v>06452</v>
      </c>
      <c r="E7902" s="1" t="s">
        <v>49</v>
      </c>
      <c r="F7902" s="1">
        <v>19</v>
      </c>
      <c r="G7902" s="1">
        <v>13</v>
      </c>
      <c r="H7902" s="1">
        <v>0</v>
      </c>
      <c r="I7902" s="1" t="s">
        <v>15384</v>
      </c>
      <c r="K7902" s="1" t="str">
        <f t="shared" si="498"/>
        <v>ㄑ</v>
      </c>
      <c r="L7902" s="1" t="str">
        <f t="shared" si="499"/>
        <v>ㄧ</v>
      </c>
      <c r="M7902" s="1" t="str">
        <f t="shared" si="500"/>
        <v>ㄢ</v>
      </c>
      <c r="P7902" s="1" t="s">
        <v>20</v>
      </c>
      <c r="R7902" s="1" t="s">
        <v>15385</v>
      </c>
      <c r="V7902" s="1" t="s">
        <v>15419</v>
      </c>
      <c r="AR7902" s="1" t="str">
        <f t="shared" si="497"/>
        <v>| [ㄑㄧㄢ](ㄑㄧㄢ.md) | [簽](簽.md) |  | qiān | [動]
在文書上題字、題名，以示負責或作為紀念。如：「簽名」、「簽字」、「簽押」。
[名]
作為標示之用的小紙條。通「籤」。如：「標簽」、「浮簽」、「簽條」。 |</v>
      </c>
    </row>
    <row r="7903" spans="1:44" hidden="1">
      <c r="A7903" s="1" t="s">
        <v>15420</v>
      </c>
      <c r="C7903" s="1">
        <v>1</v>
      </c>
      <c r="D7903" s="1" t="str">
        <f>"06453"</f>
        <v>06453</v>
      </c>
      <c r="E7903" s="1" t="s">
        <v>250</v>
      </c>
      <c r="F7903" s="1">
        <v>13</v>
      </c>
      <c r="G7903" s="1">
        <v>9</v>
      </c>
      <c r="H7903" s="1">
        <v>0</v>
      </c>
      <c r="I7903" s="1" t="s">
        <v>15384</v>
      </c>
      <c r="K7903" s="1" t="str">
        <f t="shared" si="498"/>
        <v>ㄑ</v>
      </c>
      <c r="L7903" s="1" t="str">
        <f t="shared" si="499"/>
        <v>ㄧ</v>
      </c>
      <c r="M7903" s="1" t="str">
        <f t="shared" si="500"/>
        <v>ㄢ</v>
      </c>
      <c r="P7903" s="1" t="s">
        <v>20</v>
      </c>
      <c r="R7903" s="1" t="s">
        <v>15385</v>
      </c>
      <c r="V7903" s="1" t="s">
        <v>15421</v>
      </c>
      <c r="AR7903" s="1" t="str">
        <f t="shared" si="497"/>
        <v>| [ㄑㄧㄢ](ㄑㄧㄢ.md) | [愆](愆.md) |  | qiān | [名]
過失、罪過。如：「愆尤」、「罪愆」。《論語．季氏》：「侍於君子有三愆。」《三國志．卷三五．蜀書．諸葛亮傳》：「街亭之役，咎由馬謖，而君引愆，深自貶抑。」
[動]
耽擱、錯過。《文選．謝混．遊西池詩》：「美人愆歲月，遲暮獨如何？」《聊齋志異．卷一一．王者》：「途中被雨，日暮愆程。」
[形]
過期的。《國語．吳語》：「舍其愆令，輕其征賦。」 |</v>
      </c>
    </row>
    <row r="7904" spans="1:44" hidden="1">
      <c r="A7904" s="1" t="s">
        <v>15422</v>
      </c>
      <c r="C7904" s="1">
        <v>1</v>
      </c>
      <c r="D7904" s="1" t="str">
        <f>"06454"</f>
        <v>06454</v>
      </c>
      <c r="E7904" s="1" t="s">
        <v>24</v>
      </c>
      <c r="F7904" s="1">
        <v>14</v>
      </c>
      <c r="G7904" s="1">
        <v>10</v>
      </c>
      <c r="H7904" s="1">
        <v>0</v>
      </c>
      <c r="I7904" s="1" t="s">
        <v>15384</v>
      </c>
      <c r="K7904" s="1" t="str">
        <f t="shared" si="498"/>
        <v>ㄑ</v>
      </c>
      <c r="L7904" s="1" t="str">
        <f t="shared" si="499"/>
        <v>ㄧ</v>
      </c>
      <c r="M7904" s="1" t="str">
        <f t="shared" si="500"/>
        <v>ㄢ</v>
      </c>
      <c r="P7904" s="1" t="s">
        <v>20</v>
      </c>
      <c r="R7904" s="1" t="s">
        <v>15385</v>
      </c>
      <c r="V7904" s="1" t="s">
        <v>15423</v>
      </c>
      <c r="AR7904" s="1" t="str">
        <f t="shared" si="497"/>
        <v>| [ㄑㄧㄢ](ㄑㄧㄢ.md) | [搴](搴.md) |  | qiān | [動]
1.拔取、採取。《楚辭．屈原．九歌．湘君》：「采薜荔兮水中，搴芙蓉兮木末。」《漢書．卷六二．司馬遷傳》：「攻城野戰，有斬將搴旗之功。」
2.扛舉。《西遊記》第六〇回：「沒奈何，只得搴在肩上，找舊路而回。」
3.揭、撩。晉．陶淵明〈閑情賦〉：「搴朱幃而正坐，汎清瑟以自欣。」唐．孟浩然〈清明日宴梅道士山房〉詩：「林臥愁春盡，搴帷覽物華。」
[名]
姓。如漢代有搴揚。 |</v>
      </c>
    </row>
    <row r="7905" spans="1:44" hidden="1">
      <c r="A7905" s="1" t="s">
        <v>15424</v>
      </c>
      <c r="C7905" s="1">
        <v>1</v>
      </c>
      <c r="D7905" s="1" t="str">
        <f>"06455"</f>
        <v>06455</v>
      </c>
      <c r="E7905" s="1" t="s">
        <v>340</v>
      </c>
      <c r="F7905" s="1">
        <v>16</v>
      </c>
      <c r="G7905" s="1">
        <v>10</v>
      </c>
      <c r="H7905" s="1">
        <v>0</v>
      </c>
      <c r="I7905" s="1" t="s">
        <v>15384</v>
      </c>
      <c r="K7905" s="1" t="str">
        <f t="shared" si="498"/>
        <v>ㄑ</v>
      </c>
      <c r="L7905" s="1" t="str">
        <f t="shared" si="499"/>
        <v>ㄧ</v>
      </c>
      <c r="M7905" s="1" t="str">
        <f t="shared" si="500"/>
        <v>ㄢ</v>
      </c>
      <c r="P7905" s="1" t="s">
        <v>20</v>
      </c>
      <c r="R7905" s="1" t="s">
        <v>15385</v>
      </c>
      <c r="V7905" s="1" t="s">
        <v>15425</v>
      </c>
      <c r="AR7905" s="1" t="str">
        <f t="shared" si="497"/>
        <v>| [ㄑㄧㄢ](ㄑㄧㄢ.md) | [褰](褰.md) |  | qiān | [名]
套褲。《說文解字．衣部》：「褰，褲也。」《左傳．昭公二十五年》：「公在乾侯，徵褰與襦。」
[動]
1.提起、揭起。《詩經．鄭風．褰裳》：「子惠思我，褰裳涉溱。」唐．孟浩然〈題長安主人壁〉詩：「枕席琴書滿，褰帷遠岫連。」
2.開、散開。《文選．孫綽．遊天台山賦》：「爾乃羲和亭午，遊氣高褰。」北魏．酈道元《水經注．江水注》：「自非煙褰雨霽，不辨見此遠山矣。」 |</v>
      </c>
    </row>
    <row r="7906" spans="1:44" hidden="1">
      <c r="A7906" s="1" t="s">
        <v>13942</v>
      </c>
      <c r="C7906" s="1">
        <v>1</v>
      </c>
      <c r="D7906" s="1" t="str">
        <f>"06456"</f>
        <v>06456</v>
      </c>
      <c r="E7906" s="1" t="s">
        <v>319</v>
      </c>
      <c r="F7906" s="1">
        <v>20</v>
      </c>
      <c r="G7906" s="1">
        <v>10</v>
      </c>
      <c r="H7906" s="1">
        <v>1</v>
      </c>
      <c r="I7906" s="1" t="s">
        <v>15384</v>
      </c>
      <c r="K7906" s="1" t="str">
        <f t="shared" si="498"/>
        <v>ㄑ</v>
      </c>
      <c r="L7906" s="1" t="str">
        <f t="shared" si="499"/>
        <v>ㄧ</v>
      </c>
      <c r="M7906" s="1" t="str">
        <f t="shared" si="500"/>
        <v>ㄢ</v>
      </c>
      <c r="P7906" s="1" t="s">
        <v>20</v>
      </c>
      <c r="R7906" s="1" t="s">
        <v>15385</v>
      </c>
      <c r="V7906" s="1" t="s">
        <v>15426</v>
      </c>
      <c r="W7906" s="1" t="s">
        <v>15427</v>
      </c>
      <c r="AR7906" s="1" t="str">
        <f t="shared" si="497"/>
        <v>| [ㄑㄧㄢ](ㄑㄧㄢ.md) | [騫](騫.md) |  | qiān | [動]
1.虧損、損壞。《詩經．小雅．天保》：「如南山之壽，不騫不崩。」
2.高舉。唐．李華〈含元殿賦〉：「進而仰之，騫龍首而張鳳翼。」
3.飛起。唐．杜甫〈寄岳州賈司馬六丈巴州嚴八使君兩閣老五十韻〉：「如公盡雄俊，志在必騰騫。」
4.拔取。通「搴」。《漢書．卷九〇．酷吏傳．楊樸傳》：「將軍之功，獨有先破石門、尋陿，非有斬將騫旗之實也。」
5.錯過、延誤。通「愆」。《文選．劉琨．扶風歌》：「惟昔李騫期，寄在匈奴庭。」
[名]
1.過錯。通「愆」。《荀子．正名》：「長夜漫兮，永思騫兮。」
2.姓。如漢代有騫包。 |</v>
      </c>
    </row>
    <row r="7907" spans="1:44" hidden="1">
      <c r="A7907" s="1" t="s">
        <v>15428</v>
      </c>
      <c r="C7907" s="1">
        <v>1</v>
      </c>
      <c r="D7907" s="1" t="str">
        <f>"06457"</f>
        <v>06457</v>
      </c>
      <c r="E7907" s="1" t="s">
        <v>558</v>
      </c>
      <c r="F7907" s="1">
        <v>15</v>
      </c>
      <c r="G7907" s="1">
        <v>11</v>
      </c>
      <c r="H7907" s="1">
        <v>0</v>
      </c>
      <c r="I7907" s="1" t="s">
        <v>15384</v>
      </c>
      <c r="K7907" s="1" t="str">
        <f t="shared" si="498"/>
        <v>ㄑ</v>
      </c>
      <c r="L7907" s="1" t="str">
        <f t="shared" si="499"/>
        <v>ㄧ</v>
      </c>
      <c r="M7907" s="1" t="str">
        <f t="shared" si="500"/>
        <v>ㄢ</v>
      </c>
      <c r="P7907" s="1" t="s">
        <v>20</v>
      </c>
      <c r="R7907" s="1" t="s">
        <v>15385</v>
      </c>
      <c r="V7907" s="1" t="s">
        <v>15429</v>
      </c>
      <c r="AR7907" s="1" t="str">
        <f t="shared" si="497"/>
        <v>| [ㄑㄧㄢ](ㄑㄧㄢ.md) | [遷](遷.md) |  | qiān | [動]
1.變換地方。如：「遷居」、「遷移」。《書經．盤庚上》：「盤庚五遷，將治亳殷。」《楚辭．屈原．九章．哀郢》：「方仲春而東遷。」
2.改變、轉移。如：「見異思遷」、「事過境遷」。《論語．雍也》：「不遷怒，不貳過。」《文選．陸機．文賦》：「其為物也多姿，其為體也屢遷。」
3.晉升。《漢書．卷八一．張禹傳》：「由是遷光祿大夫。」《文選．嵇康．與山巨源絕交書》：「間聞足下遷，惕然不喜。」
4.貶謫、降職。《史記．卷九十六．張丞相傳》：「吾極知其左遷。」宋．柳宗元〈哭連州凌員外司馬〉詩：「出守烏江滸，老遷湟水湄。」
[形]
被貶的。如：「遷客騷人」。 |</v>
      </c>
    </row>
    <row r="7908" spans="1:44" hidden="1">
      <c r="A7908" s="1" t="s">
        <v>15430</v>
      </c>
      <c r="C7908" s="1">
        <v>1</v>
      </c>
      <c r="D7908" s="1" t="str">
        <f>"06458"</f>
        <v>06458</v>
      </c>
      <c r="E7908" s="1" t="s">
        <v>96</v>
      </c>
      <c r="F7908" s="1">
        <v>24</v>
      </c>
      <c r="G7908" s="1">
        <v>15</v>
      </c>
      <c r="H7908" s="1">
        <v>0</v>
      </c>
      <c r="I7908" s="1" t="s">
        <v>15384</v>
      </c>
      <c r="K7908" s="1" t="str">
        <f t="shared" si="498"/>
        <v>ㄑ</v>
      </c>
      <c r="L7908" s="1" t="str">
        <f t="shared" si="499"/>
        <v>ㄧ</v>
      </c>
      <c r="M7908" s="1" t="str">
        <f t="shared" si="500"/>
        <v>ㄢ</v>
      </c>
      <c r="P7908" s="1" t="s">
        <v>20</v>
      </c>
      <c r="R7908" s="1" t="s">
        <v>15385</v>
      </c>
      <c r="V7908" s="1" t="s">
        <v>15431</v>
      </c>
      <c r="AR7908" s="1" t="str">
        <f t="shared" si="497"/>
        <v>| [ㄑㄧㄢ](ㄑㄧㄢ.md) | [韆](韆.md) |  | qiān | 參見「鞦韆」條。 |</v>
      </c>
    </row>
    <row r="7909" spans="1:44" hidden="1">
      <c r="A7909" s="1" t="s">
        <v>15432</v>
      </c>
      <c r="C7909" s="1">
        <v>1</v>
      </c>
      <c r="D7909" s="1" t="str">
        <f>"06459"</f>
        <v>06459</v>
      </c>
      <c r="E7909" s="1" t="s">
        <v>55</v>
      </c>
      <c r="F7909" s="1">
        <v>15</v>
      </c>
      <c r="G7909" s="1">
        <v>7</v>
      </c>
      <c r="H7909" s="1">
        <v>1</v>
      </c>
      <c r="I7909" s="1" t="s">
        <v>15384</v>
      </c>
      <c r="K7909" s="1" t="str">
        <f t="shared" si="498"/>
        <v>ㄑ</v>
      </c>
      <c r="L7909" s="1" t="str">
        <f t="shared" si="499"/>
        <v>ㄧ</v>
      </c>
      <c r="M7909" s="1" t="str">
        <f t="shared" si="500"/>
        <v>ㄢ</v>
      </c>
      <c r="P7909" s="1" t="s">
        <v>20</v>
      </c>
      <c r="R7909" s="1" t="s">
        <v>15385</v>
      </c>
      <c r="V7909" s="1" t="s">
        <v>15433</v>
      </c>
      <c r="W7909" s="1" t="s">
        <v>15434</v>
      </c>
      <c r="AR7909" s="1" t="str">
        <f t="shared" si="497"/>
        <v>| [ㄑㄧㄢ](ㄑㄧㄢ.md) | [鋟](鋟.md) |  | qiān | [形]
尖銳。《集韻．平聲．鹽韻》：「鋟，《博雅》：銳也。」
[動]
雕刻。宋．陸子虡〈劍南詩稿跋〉：「門人請以鋟梓。」《清史稿．卷二七．天文志二》：「圈內規面及上側面皆鋟二十四時，時各四刻。」 |</v>
      </c>
    </row>
    <row r="7910" spans="1:44" hidden="1">
      <c r="A7910" s="1" t="s">
        <v>15435</v>
      </c>
      <c r="C7910" s="1">
        <v>1</v>
      </c>
      <c r="D7910" s="1" t="str">
        <f>"06460"</f>
        <v>06460</v>
      </c>
      <c r="E7910" s="1" t="s">
        <v>272</v>
      </c>
      <c r="F7910" s="1">
        <v>19</v>
      </c>
      <c r="G7910" s="1">
        <v>8</v>
      </c>
      <c r="H7910" s="1">
        <v>0</v>
      </c>
      <c r="I7910" s="1" t="s">
        <v>15384</v>
      </c>
      <c r="K7910" s="1" t="str">
        <f t="shared" si="498"/>
        <v>ㄑ</v>
      </c>
      <c r="L7910" s="1" t="str">
        <f t="shared" si="499"/>
        <v>ㄧ</v>
      </c>
      <c r="M7910" s="1" t="str">
        <f t="shared" si="500"/>
        <v>ㄢ</v>
      </c>
      <c r="P7910" s="1" t="s">
        <v>20</v>
      </c>
      <c r="R7910" s="1" t="s">
        <v>15385</v>
      </c>
      <c r="V7910" s="1" t="s">
        <v>15436</v>
      </c>
      <c r="AR7910" s="1" t="str">
        <f t="shared" si="497"/>
        <v>| [ㄑㄧㄢ](ㄑㄧㄢ.md) | [鵮](鵮.md) |  | qiān | [動]
1.鳥啄食東西。《廣韻．平聲．咸韻》：「鵮，鳥啄物也。」唐．章孝標〈鷹〉詩：「可惜忍飢寒日暮，向人鵮斷碧絲絛。」
2.比喻用言語諷刺人。如：「兩句話就鵮得他臉紅。」 |</v>
      </c>
    </row>
    <row r="7911" spans="1:44" hidden="1">
      <c r="A7911" s="1" t="s">
        <v>15437</v>
      </c>
      <c r="C7911" s="1">
        <v>1</v>
      </c>
      <c r="D7911" s="1" t="str">
        <f>"06461"</f>
        <v>06461</v>
      </c>
      <c r="E7911" s="1" t="s">
        <v>49</v>
      </c>
      <c r="F7911" s="1">
        <v>23</v>
      </c>
      <c r="G7911" s="1">
        <v>17</v>
      </c>
      <c r="H7911" s="1">
        <v>0</v>
      </c>
      <c r="I7911" s="1" t="s">
        <v>15384</v>
      </c>
      <c r="K7911" s="1" t="str">
        <f t="shared" si="498"/>
        <v>ㄑ</v>
      </c>
      <c r="L7911" s="1" t="str">
        <f t="shared" si="499"/>
        <v>ㄧ</v>
      </c>
      <c r="M7911" s="1" t="str">
        <f t="shared" si="500"/>
        <v>ㄢ</v>
      </c>
      <c r="P7911" s="1" t="s">
        <v>20</v>
      </c>
      <c r="R7911" s="1" t="s">
        <v>15385</v>
      </c>
      <c r="V7911" s="1" t="s">
        <v>15438</v>
      </c>
      <c r="AR7911" s="1" t="str">
        <f t="shared" si="497"/>
        <v>| [ㄑㄧㄢ](ㄑㄧㄢ.md) | [籤](籤.md) |  | qiān | [名]
1.一種占卜用具。用來求神問佛、占卜吉凶的細長竹條。如：「抽籤」、「求籤」。
2.可書寫文字，作為標記之用的紙片。如：「書籤」、「標籤」。
3.用竹子或木材製成的尖細條狀物。通「扦」。如：「牙籤」、「竹籤」。
4.一種賭博用具。其上刻有骨牌點，視點數多寡以決勝負。也稱為「籤子」、「籤兒」。 |</v>
      </c>
    </row>
    <row r="7912" spans="1:44" hidden="1">
      <c r="A7912" s="1" t="s">
        <v>15439</v>
      </c>
      <c r="C7912" s="1">
        <v>1</v>
      </c>
      <c r="D7912" s="1" t="str">
        <f>"06462"</f>
        <v>06462</v>
      </c>
      <c r="E7912" s="1" t="s">
        <v>190</v>
      </c>
      <c r="F7912" s="1">
        <v>7</v>
      </c>
      <c r="G7912" s="1">
        <v>4</v>
      </c>
      <c r="H7912" s="1">
        <v>0</v>
      </c>
      <c r="I7912" s="1" t="s">
        <v>15440</v>
      </c>
      <c r="K7912" s="1" t="str">
        <f t="shared" si="498"/>
        <v>ㄑ</v>
      </c>
      <c r="L7912" s="1" t="str">
        <f t="shared" si="499"/>
        <v>ㄧ</v>
      </c>
      <c r="M7912" s="1" t="str">
        <f t="shared" si="500"/>
        <v>ㄢ</v>
      </c>
      <c r="P7912" s="1" t="s">
        <v>20</v>
      </c>
      <c r="R7912" s="1" t="s">
        <v>15441</v>
      </c>
      <c r="V7912" s="1" t="s">
        <v>15442</v>
      </c>
      <c r="AR7912" s="1" t="str">
        <f t="shared" si="497"/>
        <v>| [ㄑㄧㄢˊ](ㄑㄧㄢˊ.md) | [岒](岒.md) |  | qián | [形]
岒峨：高下不齊的樣子。《楚辭．東方朔．七諫．怨世》：「世沉淖而難論兮，俗岒峨而嵾嵯。」漢．王逸．注：「岒峨、嵾嵯，不齊貌。」 |</v>
      </c>
    </row>
    <row r="7913" spans="1:44" hidden="1">
      <c r="A7913" s="1" t="s">
        <v>15443</v>
      </c>
      <c r="C7913" s="1">
        <v>1</v>
      </c>
      <c r="D7913" s="1" t="str">
        <f>"06463"</f>
        <v>06463</v>
      </c>
      <c r="E7913" s="1" t="s">
        <v>55</v>
      </c>
      <c r="F7913" s="1">
        <v>12</v>
      </c>
      <c r="G7913" s="1">
        <v>4</v>
      </c>
      <c r="H7913" s="1">
        <v>0</v>
      </c>
      <c r="I7913" s="1" t="s">
        <v>15440</v>
      </c>
      <c r="K7913" s="1" t="str">
        <f t="shared" si="498"/>
        <v>ㄑ</v>
      </c>
      <c r="L7913" s="1" t="str">
        <f t="shared" si="499"/>
        <v>ㄧ</v>
      </c>
      <c r="M7913" s="1" t="str">
        <f t="shared" si="500"/>
        <v>ㄢ</v>
      </c>
      <c r="P7913" s="1" t="s">
        <v>20</v>
      </c>
      <c r="R7913" s="1" t="s">
        <v>15441</v>
      </c>
      <c r="V7913" s="1" t="s">
        <v>15444</v>
      </c>
      <c r="AR7913" s="1" t="str">
        <f t="shared" si="497"/>
        <v>| [ㄑㄧㄢˊ](ㄑㄧㄢˊ.md) | [鈐](鈐.md) |  | qián | [名]
1.車轄。車軸頭上用來拴住車輪的鐵鍵。《玉篇．金部》：「鈐，車轄也。」
2.鎖、關鍵。參見「鈐鍵」條。
3.圖章。如：「鈐記」。《官場現形記》第四四回：「預選吉日是第二天臘月十九，接鈐任事。」
4.烘茶葉的器具。如：「茶鈐」。
[動]
1.用印、蓋章。清．楊引傳〈浮生六記序〉：「鈐於簡端。」
2.管束、鎮壓。唐．呂溫〈故太子少保贈尚書左僕射京兆韋府君神道碑〉：「仁護鰥惸，智鈐豪右。」《紅樓夢》第七九回：「須要拿出些威風來，纔鈐壓得住人。」 |</v>
      </c>
    </row>
    <row r="7914" spans="1:44" hidden="1">
      <c r="A7914" s="1" t="s">
        <v>15445</v>
      </c>
      <c r="C7914" s="1">
        <v>1</v>
      </c>
      <c r="D7914" s="1" t="str">
        <f>"06464"</f>
        <v>06464</v>
      </c>
      <c r="E7914" s="1" t="s">
        <v>2777</v>
      </c>
      <c r="F7914" s="1">
        <v>16</v>
      </c>
      <c r="G7914" s="1">
        <v>4</v>
      </c>
      <c r="H7914" s="1">
        <v>0</v>
      </c>
      <c r="I7914" s="1" t="s">
        <v>15440</v>
      </c>
      <c r="K7914" s="1" t="str">
        <f t="shared" si="498"/>
        <v>ㄑ</v>
      </c>
      <c r="L7914" s="1" t="str">
        <f t="shared" si="499"/>
        <v>ㄧ</v>
      </c>
      <c r="M7914" s="1" t="str">
        <f t="shared" si="500"/>
        <v>ㄢ</v>
      </c>
      <c r="P7914" s="1" t="s">
        <v>20</v>
      </c>
      <c r="R7914" s="1" t="s">
        <v>15441</v>
      </c>
      <c r="V7914" s="1" t="s">
        <v>15446</v>
      </c>
      <c r="AR7914" s="1" t="str">
        <f t="shared" si="497"/>
        <v>| [ㄑㄧㄢˊ](ㄑㄧㄢˊ.md) | [黔](黔.md) |  | qián | [名]
1.黑色。清．王念孫《廣雅疏證．卷八上．釋器》：「黔，黑也。」《左傳．襄公十七年》：「澤門之皙，實與我役；邑中之黔，實慰我心。」
2.大陸地區貴州省的簡稱。貴州省在戰國時屬楚黔中地，故稱為「黔」。
3.姓。如春秋時齊國有黔敖。
[動]
晒黑、熏黑。《莊子．天運》：「夫鵠不日浴而白，烏不日黔而黑。」唐．陸龜蒙〈秋日遣懷十六韻寄道侶〉詩：「故疾因秋召，塵容畏日黔。」
[形]
黑色的。《淮南子．脩務》：「孔子無黔突，墨子無暖席。」 |</v>
      </c>
    </row>
    <row r="7915" spans="1:44" hidden="1">
      <c r="A7915" s="1" t="s">
        <v>15447</v>
      </c>
      <c r="C7915" s="1">
        <v>1</v>
      </c>
      <c r="D7915" s="1" t="str">
        <f>"06465"</f>
        <v>06465</v>
      </c>
      <c r="E7915" s="1" t="s">
        <v>24</v>
      </c>
      <c r="F7915" s="1">
        <v>8</v>
      </c>
      <c r="G7915" s="1">
        <v>5</v>
      </c>
      <c r="H7915" s="1">
        <v>0</v>
      </c>
      <c r="I7915" s="1" t="s">
        <v>15440</v>
      </c>
      <c r="K7915" s="1" t="str">
        <f t="shared" si="498"/>
        <v>ㄑ</v>
      </c>
      <c r="L7915" s="1" t="str">
        <f t="shared" si="499"/>
        <v>ㄧ</v>
      </c>
      <c r="M7915" s="1" t="str">
        <f t="shared" si="500"/>
        <v>ㄢ</v>
      </c>
      <c r="P7915" s="1" t="s">
        <v>20</v>
      </c>
      <c r="R7915" s="1" t="s">
        <v>15441</v>
      </c>
      <c r="V7915" s="1" t="s">
        <v>15448</v>
      </c>
      <c r="AR7915" s="1" t="str">
        <f t="shared" si="497"/>
        <v>| [ㄑㄧㄢˊ](ㄑㄧㄢˊ.md) | [拑](拑.md) |  | qián | [動]
1.脅持、挾持。如：「拑制」。《說文解字．手部》：「拑，脅持也。」清．段玉裁．注：「謂脅制而持之也。」《戰國策．燕策二》：「蚌方出曝，而鷸啄其肉，蚌合而拑其喙。」
2.以木橫置於馬口，使馬不能食。《文選．顏延年．陽給事誄》：「卒無半菽，馬實拑秣。」
3.閉口。《史記．卷六．秦始皇本紀．太史公曰》：「故使天下之士，傾耳而聽，重足而立，拑口而不言。」《紅樓夢》第二二回：「今日賈政在席，也是拑口禁言。」 |</v>
      </c>
    </row>
    <row r="7916" spans="1:44" hidden="1">
      <c r="A7916" s="1" t="s">
        <v>9878</v>
      </c>
      <c r="C7916" s="1">
        <v>1</v>
      </c>
      <c r="D7916" s="1" t="str">
        <f>"06466"</f>
        <v>06466</v>
      </c>
      <c r="E7916" s="1" t="s">
        <v>139</v>
      </c>
      <c r="F7916" s="1">
        <v>9</v>
      </c>
      <c r="G7916" s="1">
        <v>5</v>
      </c>
      <c r="H7916" s="1">
        <v>2</v>
      </c>
      <c r="I7916" s="1" t="s">
        <v>15440</v>
      </c>
      <c r="K7916" s="1" t="str">
        <f t="shared" si="498"/>
        <v>ㄑ</v>
      </c>
      <c r="L7916" s="1" t="str">
        <f t="shared" si="499"/>
        <v>ㄧ</v>
      </c>
      <c r="M7916" s="1" t="str">
        <f t="shared" si="500"/>
        <v>ㄢ</v>
      </c>
      <c r="P7916" s="1" t="s">
        <v>20</v>
      </c>
      <c r="R7916" s="1" t="s">
        <v>15441</v>
      </c>
      <c r="V7916" s="1" t="s">
        <v>15449</v>
      </c>
      <c r="W7916" s="1" t="s">
        <v>15450</v>
      </c>
      <c r="AR7916" s="1" t="str">
        <f t="shared" si="497"/>
        <v>| [ㄑㄧㄢˊ](ㄑㄧㄢˊ.md) | [柑](柑.md) |  | qián | [動]
置橫木於馬口，使不能食。通「拑」。《公羊傳．宣公十五年》：「柑馬而秣之。」漢．何休．解詁：「柑者，以木銜其口，不欲令食粟，示有畜積。」 |</v>
      </c>
    </row>
    <row r="7917" spans="1:44" hidden="1">
      <c r="A7917" s="1" t="s">
        <v>15451</v>
      </c>
      <c r="C7917" s="1">
        <v>1</v>
      </c>
      <c r="D7917" s="1" t="str">
        <f>"06467"</f>
        <v>06467</v>
      </c>
      <c r="E7917" s="1" t="s">
        <v>55</v>
      </c>
      <c r="F7917" s="1">
        <v>13</v>
      </c>
      <c r="G7917" s="1">
        <v>5</v>
      </c>
      <c r="H7917" s="1">
        <v>0</v>
      </c>
      <c r="I7917" s="1" t="s">
        <v>15440</v>
      </c>
      <c r="K7917" s="1" t="str">
        <f t="shared" si="498"/>
        <v>ㄑ</v>
      </c>
      <c r="L7917" s="1" t="str">
        <f t="shared" si="499"/>
        <v>ㄧ</v>
      </c>
      <c r="M7917" s="1" t="str">
        <f t="shared" si="500"/>
        <v>ㄢ</v>
      </c>
      <c r="P7917" s="1" t="s">
        <v>20</v>
      </c>
      <c r="R7917" s="1" t="s">
        <v>15441</v>
      </c>
      <c r="V7917" s="1" t="s">
        <v>15452</v>
      </c>
      <c r="AR7917" s="1" t="str">
        <f t="shared" si="497"/>
        <v>| [ㄑㄧㄢˊ](ㄑㄧㄢˊ.md) | [鉗](鉗.md) |  | qián | [名]
1.一種古代的刑具。用來鎖住犯人脖子的鐵器。《漢書．卷六六．陳萬年傳》：「或私解脫鉗釱，衣服不如法，輒加罪笞。」《舊唐書．卷五〇．刑法志》：「又繫囚之具，有枷、杻、鉗、鎖，皆有長短廣狹之制，量罪輕重，節級用之。」
2.夾東西的用具。通「箝」。如：「火鉗」、「老虎鉗」。
[動]
1.用鐵器鎖住犯人的脖子。《史記．卷一〇〇．季布傳》：「迺髡鉗季布，衣褐衣，置柳車中。」《漢書．卷三六．楚元王劉交傳》：「楚人將鉗我於市。」
2.閉口。通「拑」、「箝」。《莊子．田子方》：「口鉗而不欲言。」《文選．潘岳．西征賦》：「假讒逆以天權，鉗眾口而寄坐。」
[形]
惡。《呂氏春秋．士容論．審時》：「小米鉗而不香。」 |</v>
      </c>
    </row>
    <row r="7918" spans="1:44" hidden="1">
      <c r="A7918" s="1" t="s">
        <v>15453</v>
      </c>
      <c r="C7918" s="1">
        <v>1</v>
      </c>
      <c r="D7918" s="1" t="str">
        <f>"06468"</f>
        <v>06468</v>
      </c>
      <c r="E7918" s="1" t="s">
        <v>49</v>
      </c>
      <c r="F7918" s="1">
        <v>14</v>
      </c>
      <c r="G7918" s="1">
        <v>8</v>
      </c>
      <c r="H7918" s="1">
        <v>0</v>
      </c>
      <c r="I7918" s="1" t="s">
        <v>15440</v>
      </c>
      <c r="K7918" s="1" t="str">
        <f t="shared" si="498"/>
        <v>ㄑ</v>
      </c>
      <c r="L7918" s="1" t="str">
        <f t="shared" si="499"/>
        <v>ㄧ</v>
      </c>
      <c r="M7918" s="1" t="str">
        <f t="shared" si="500"/>
        <v>ㄢ</v>
      </c>
      <c r="P7918" s="1" t="s">
        <v>20</v>
      </c>
      <c r="R7918" s="1" t="s">
        <v>15441</v>
      </c>
      <c r="V7918" s="1" t="s">
        <v>15454</v>
      </c>
      <c r="AR7918" s="1" t="str">
        <f t="shared" si="497"/>
        <v>| [ㄑㄧㄢˊ](ㄑㄧㄢˊ.md) | [箝](箝.md) |  | qián | [名]
夾東西的用具。如：「箝子」、「火箝」。
[動]
1.夾住。如：「箝出燒紅的煤炭。」
2.閉口。如：「箝口」、「箝語」。 |</v>
      </c>
    </row>
    <row r="7919" spans="1:44" hidden="1">
      <c r="A7919" s="1" t="s">
        <v>15455</v>
      </c>
      <c r="C7919" s="1">
        <v>1</v>
      </c>
      <c r="D7919" s="1" t="str">
        <f>"06469"</f>
        <v>06469</v>
      </c>
      <c r="E7919" s="1" t="s">
        <v>2777</v>
      </c>
      <c r="F7919" s="1">
        <v>17</v>
      </c>
      <c r="G7919" s="1">
        <v>5</v>
      </c>
      <c r="H7919" s="1">
        <v>0</v>
      </c>
      <c r="I7919" s="1" t="s">
        <v>15440</v>
      </c>
      <c r="K7919" s="1" t="str">
        <f t="shared" si="498"/>
        <v>ㄑ</v>
      </c>
      <c r="L7919" s="1" t="str">
        <f t="shared" si="499"/>
        <v>ㄧ</v>
      </c>
      <c r="M7919" s="1" t="str">
        <f t="shared" si="500"/>
        <v>ㄢ</v>
      </c>
      <c r="P7919" s="1" t="s">
        <v>20</v>
      </c>
      <c r="R7919" s="1" t="s">
        <v>15441</v>
      </c>
      <c r="V7919" s="1" t="s">
        <v>15456</v>
      </c>
      <c r="AR7919" s="1" t="str">
        <f t="shared" si="497"/>
        <v>| [ㄑㄧㄢˊ](ㄑㄧㄢˊ.md) | [黚](黚.md) |  | qián | [名]
1.淺黃黑色。《說文解字．黑部》：「黚，淺黃黑也。」
2.河流名。在今大陸地區四川省。《漢書．卷二八．地理志上》：「溫水南至鄨入黚水，黚水亦南至鄨入江。」 |</v>
      </c>
    </row>
    <row r="7920" spans="1:44" hidden="1">
      <c r="A7920" s="1" t="s">
        <v>15457</v>
      </c>
      <c r="C7920" s="1">
        <v>1</v>
      </c>
      <c r="D7920" s="1" t="str">
        <f>"06470"</f>
        <v>06470</v>
      </c>
      <c r="E7920" s="1" t="s">
        <v>185</v>
      </c>
      <c r="F7920" s="1">
        <v>9</v>
      </c>
      <c r="G7920" s="1">
        <v>7</v>
      </c>
      <c r="H7920" s="1">
        <v>0</v>
      </c>
      <c r="I7920" s="1" t="s">
        <v>15440</v>
      </c>
      <c r="K7920" s="1" t="str">
        <f t="shared" si="498"/>
        <v>ㄑ</v>
      </c>
      <c r="L7920" s="1" t="str">
        <f t="shared" si="499"/>
        <v>ㄧ</v>
      </c>
      <c r="M7920" s="1" t="str">
        <f t="shared" si="500"/>
        <v>ㄢ</v>
      </c>
      <c r="P7920" s="1" t="s">
        <v>20</v>
      </c>
      <c r="R7920" s="1" t="s">
        <v>15441</v>
      </c>
      <c r="V7920" s="1" t="s">
        <v>15458</v>
      </c>
      <c r="AR7920" s="1" t="str">
        <f t="shared" si="497"/>
        <v>| [ㄑㄧㄢˊ](ㄑㄧㄢˊ.md) | [前](前.md) |  | qián | [形]
1.在正面的、臉所向的一面。與「後」相對。如：「前門」、「前方」、「面前」。《論語．子罕》：「瞻之在前，忽焉在後。」唐．李白〈靜夜思〉詩：「床前明月光，疑是地上霜。」
2.次序在先的。如：「前三名」、「請大家坐到前排來。」
3.過去的、較早的。與「後」相對。如：「前天」、「前人種樹，後人乘涼。」《史記．卷六．秦始皇本紀》云：「前事之不忘，後事之師也。」
4.已成歷史的。如：「前清」、「前蘇聯」。
5.前任的簡稱。如：「前妻」、「前總理」。
6.未來的。如：「前程」、「前途」、「前景看好」。
[動]
向前走。如：「勇往直前」、「畏縮不前」。唐．韓愈〈左遷至藍關示姪孫湘〉詩：「雲橫秦嶺家何在？雪擁藍關馬不前。」 |</v>
      </c>
    </row>
    <row r="7921" spans="1:44" hidden="1">
      <c r="A7921" s="1" t="s">
        <v>15459</v>
      </c>
      <c r="C7921" s="1">
        <v>1</v>
      </c>
      <c r="D7921" s="1" t="str">
        <f>"06471"</f>
        <v>06471</v>
      </c>
      <c r="E7921" s="1" t="s">
        <v>4563</v>
      </c>
      <c r="F7921" s="1">
        <v>10</v>
      </c>
      <c r="G7921" s="1">
        <v>3</v>
      </c>
      <c r="H7921" s="1">
        <v>1</v>
      </c>
      <c r="I7921" s="1" t="s">
        <v>15440</v>
      </c>
      <c r="K7921" s="1" t="str">
        <f t="shared" si="498"/>
        <v>ㄑ</v>
      </c>
      <c r="L7921" s="1" t="str">
        <f t="shared" si="499"/>
        <v>ㄧ</v>
      </c>
      <c r="M7921" s="1" t="str">
        <f t="shared" si="500"/>
        <v>ㄢ</v>
      </c>
      <c r="P7921" s="1" t="s">
        <v>20</v>
      </c>
      <c r="R7921" s="1" t="s">
        <v>15441</v>
      </c>
      <c r="V7921" s="1" t="s">
        <v>15460</v>
      </c>
      <c r="W7921" s="1" t="s">
        <v>15461</v>
      </c>
      <c r="AR7921" s="1" t="str">
        <f t="shared" si="497"/>
        <v>| [ㄑㄧㄢˊ](ㄑㄧㄢˊ.md) | [赶](赶.md) |  | qián | [動]
1.動物翹著尾巴跑。《說文解字．走部》：「赶，舉尾走也。」
2.馬奔馳。《集韻．平聲．仙韻》：「赶，馬走。」 |</v>
      </c>
    </row>
    <row r="7922" spans="1:44" hidden="1">
      <c r="A7922" s="1" t="s">
        <v>15462</v>
      </c>
      <c r="C7922" s="1">
        <v>1</v>
      </c>
      <c r="D7922" s="1" t="str">
        <f>"06472"</f>
        <v>06472</v>
      </c>
      <c r="E7922" s="1" t="s">
        <v>660</v>
      </c>
      <c r="F7922" s="1">
        <v>10</v>
      </c>
      <c r="G7922" s="1">
        <v>4</v>
      </c>
      <c r="H7922" s="1">
        <v>0</v>
      </c>
      <c r="I7922" s="1" t="s">
        <v>15440</v>
      </c>
      <c r="K7922" s="1" t="str">
        <f t="shared" si="498"/>
        <v>ㄑ</v>
      </c>
      <c r="L7922" s="1" t="str">
        <f t="shared" si="499"/>
        <v>ㄧ</v>
      </c>
      <c r="M7922" s="1" t="str">
        <f t="shared" si="500"/>
        <v>ㄢ</v>
      </c>
      <c r="P7922" s="1" t="s">
        <v>20</v>
      </c>
      <c r="R7922" s="1" t="s">
        <v>15441</v>
      </c>
      <c r="V7922" s="1" t="s">
        <v>15463</v>
      </c>
      <c r="AR7922" s="1" t="str">
        <f t="shared" si="497"/>
        <v>| [ㄑㄧㄢˊ](ㄑㄧㄢˊ.md) | [虔](虔.md) |  | qián | [形]
恭敬有誠意的。如：「虔誠」、「虔敬」。《左傳．成公．十六年》：「虔卜於先君也。」
[動]
1.殺害。漢．揚雄《方言》卷三：「虔、散，殺也。東齊曰散。青、徐、淮、楚之間曰虔。」《左傳．成公十三年》：「芟夷我農功，虔劉我邊陲。」
2.強取、掠奪。《漢書．卷六．武帝紀》：「將百姓所安殊路，而撟虔吏因乘勢以侵蒸庶邪？」顏師古注引韋昭曰：「凡稱詐為矯，強取為虔。」 |</v>
      </c>
    </row>
    <row r="7923" spans="1:44" hidden="1">
      <c r="A7923" s="1" t="s">
        <v>9885</v>
      </c>
      <c r="C7923" s="1">
        <v>1</v>
      </c>
      <c r="D7923" s="1" t="str">
        <f>"06473"</f>
        <v>06473</v>
      </c>
      <c r="E7923" s="1" t="s">
        <v>3480</v>
      </c>
      <c r="F7923" s="1">
        <v>11</v>
      </c>
      <c r="G7923" s="1">
        <v>10</v>
      </c>
      <c r="H7923" s="1">
        <v>1</v>
      </c>
      <c r="I7923" s="1" t="s">
        <v>15440</v>
      </c>
      <c r="K7923" s="1" t="str">
        <f t="shared" si="498"/>
        <v>ㄑ</v>
      </c>
      <c r="L7923" s="1" t="str">
        <f t="shared" si="499"/>
        <v>ㄧ</v>
      </c>
      <c r="M7923" s="1" t="str">
        <f t="shared" si="500"/>
        <v>ㄢ</v>
      </c>
      <c r="P7923" s="1" t="s">
        <v>20</v>
      </c>
      <c r="R7923" s="1" t="s">
        <v>15441</v>
      </c>
      <c r="V7923" s="1" t="s">
        <v>15464</v>
      </c>
      <c r="W7923" s="1" t="s">
        <v>15465</v>
      </c>
      <c r="AR7923" s="1" t="str">
        <f t="shared" si="497"/>
        <v>| [ㄑㄧㄢˊ](ㄑㄧㄢˊ.md) | [乾](乾.md) |  | qián | [名]
1.《易經》卦名：(1)八卦之一。卦形是☰，代表天、陽等之義。(2)六十四卦之一。乾（☰）下乾（☰）上。象徵君子應自強不息，努力永不懈怠之義。
2.姓。如唐代有乾彥思。
[形]
陽剛的、男性的。如：「乾造」、「乾宅」。《易經．繫辭上》：「乾道成男，坤道成女。」 |</v>
      </c>
    </row>
    <row r="7924" spans="1:44" hidden="1">
      <c r="A7924" s="1" t="s">
        <v>15466</v>
      </c>
      <c r="C7924" s="1">
        <v>1</v>
      </c>
      <c r="D7924" s="1" t="str">
        <f>"06474"</f>
        <v>06474</v>
      </c>
      <c r="E7924" s="1" t="s">
        <v>132</v>
      </c>
      <c r="F7924" s="1">
        <v>14</v>
      </c>
      <c r="G7924" s="1">
        <v>11</v>
      </c>
      <c r="H7924" s="1">
        <v>0</v>
      </c>
      <c r="I7924" s="1" t="s">
        <v>15440</v>
      </c>
      <c r="K7924" s="1" t="str">
        <f t="shared" si="498"/>
        <v>ㄑ</v>
      </c>
      <c r="L7924" s="1" t="str">
        <f t="shared" si="499"/>
        <v>ㄧ</v>
      </c>
      <c r="M7924" s="1" t="str">
        <f t="shared" si="500"/>
        <v>ㄢ</v>
      </c>
      <c r="P7924" s="1" t="s">
        <v>20</v>
      </c>
      <c r="R7924" s="1" t="s">
        <v>15441</v>
      </c>
      <c r="V7924" s="1" t="s">
        <v>15467</v>
      </c>
      <c r="AR7924" s="1" t="str">
        <f t="shared" si="497"/>
        <v>| [ㄑㄧㄢˊ](ㄑㄧㄢˊ.md) | [墘](墘.md) |  | qián | [名]_x000D_
臺灣地名用字，指某處的邊緣、岸、畔。如：「埔墘」、「港墘」。 |</v>
      </c>
    </row>
    <row r="7925" spans="1:44" hidden="1">
      <c r="A7925" s="1" t="s">
        <v>15468</v>
      </c>
      <c r="C7925" s="1">
        <v>1</v>
      </c>
      <c r="D7925" s="1" t="str">
        <f>"06475"</f>
        <v>06475</v>
      </c>
      <c r="E7925" s="1" t="s">
        <v>24</v>
      </c>
      <c r="F7925" s="1">
        <v>11</v>
      </c>
      <c r="G7925" s="1">
        <v>8</v>
      </c>
      <c r="H7925" s="1">
        <v>0</v>
      </c>
      <c r="I7925" s="1" t="s">
        <v>15440</v>
      </c>
      <c r="K7925" s="1" t="str">
        <f t="shared" si="498"/>
        <v>ㄑ</v>
      </c>
      <c r="L7925" s="1" t="str">
        <f t="shared" si="499"/>
        <v>ㄧ</v>
      </c>
      <c r="M7925" s="1" t="str">
        <f t="shared" si="500"/>
        <v>ㄢ</v>
      </c>
      <c r="P7925" s="1" t="s">
        <v>20</v>
      </c>
      <c r="R7925" s="1" t="s">
        <v>15441</v>
      </c>
      <c r="V7925" s="1" t="s">
        <v>15469</v>
      </c>
      <c r="AR7925" s="1" t="str">
        <f t="shared" si="497"/>
        <v>| [ㄑㄧㄢˊ](ㄑㄧㄢˊ.md) | [掮](掮.md) |  | qián | [動]
用肩扛東西。《儒林外史》第一四回：「掮著一把傘，手裡拿著一個衣包。」 |</v>
      </c>
    </row>
    <row r="7926" spans="1:44" hidden="1">
      <c r="A7926" s="1" t="s">
        <v>13969</v>
      </c>
      <c r="C7926" s="1">
        <v>1</v>
      </c>
      <c r="D7926" s="1" t="str">
        <f>"06476"</f>
        <v>06476</v>
      </c>
      <c r="E7926" s="1" t="s">
        <v>24</v>
      </c>
      <c r="F7926" s="1">
        <v>12</v>
      </c>
      <c r="G7926" s="1">
        <v>9</v>
      </c>
      <c r="H7926" s="1">
        <v>1</v>
      </c>
      <c r="I7926" s="1" t="s">
        <v>15440</v>
      </c>
      <c r="K7926" s="1" t="str">
        <f t="shared" si="498"/>
        <v>ㄑ</v>
      </c>
      <c r="L7926" s="1" t="str">
        <f t="shared" si="499"/>
        <v>ㄧ</v>
      </c>
      <c r="M7926" s="1" t="str">
        <f t="shared" si="500"/>
        <v>ㄢ</v>
      </c>
      <c r="P7926" s="1" t="s">
        <v>20</v>
      </c>
      <c r="R7926" s="1" t="s">
        <v>15441</v>
      </c>
      <c r="V7926" s="1" t="s">
        <v>15470</v>
      </c>
      <c r="W7926" s="1" t="s">
        <v>15471</v>
      </c>
      <c r="AR7926" s="1" t="str">
        <f t="shared" si="497"/>
        <v>| [ㄑㄧㄢˊ](ㄑㄧㄢˊ.md) | [揵](揵.md) |  | qián | [動]
1.揚、舉。《集韻．平聲．仙韻》：「揵，舉也。」《文選．司馬相如．上林賦》：「揵鰭掉尾，振鱗奮翼。」李善注引郭璞曰：「揵，舉也。」
2.用肩扛東西。《字彙．手部》：「揵，以肩舉物也。」《後漢書．卷二九．輿服志上》：「持棨戟為前列，揵弓韣九鞬。」
3.豎立。《後漢書．卷二八下．馮衍傳》：「揵六枳而為籬兮，築蕙若而為室。」唐．章懷太子．注：「揵，立也。」 |</v>
      </c>
    </row>
    <row r="7927" spans="1:44" hidden="1">
      <c r="A7927" s="1" t="s">
        <v>13864</v>
      </c>
      <c r="C7927" s="1">
        <v>1</v>
      </c>
      <c r="D7927" s="1" t="str">
        <f>"06476A"</f>
        <v>06476A</v>
      </c>
      <c r="E7927" s="1" t="s">
        <v>518</v>
      </c>
      <c r="F7927" s="1">
        <v>13</v>
      </c>
      <c r="G7927" s="1">
        <v>9</v>
      </c>
      <c r="H7927" s="1">
        <v>2</v>
      </c>
      <c r="I7927" s="1" t="s">
        <v>15440</v>
      </c>
      <c r="K7927" s="1" t="str">
        <f t="shared" si="498"/>
        <v>ㄑ</v>
      </c>
      <c r="L7927" s="1" t="str">
        <f t="shared" si="499"/>
        <v>ㄧ</v>
      </c>
      <c r="M7927" s="1" t="str">
        <f t="shared" si="500"/>
        <v>ㄢ</v>
      </c>
      <c r="P7927" s="1" t="s">
        <v>20</v>
      </c>
      <c r="R7927" s="1" t="s">
        <v>15441</v>
      </c>
      <c r="V7927" s="1" t="s">
        <v>15472</v>
      </c>
      <c r="W7927" s="1" t="s">
        <v>15473</v>
      </c>
      <c r="AR7927" s="1" t="str">
        <f t="shared" si="497"/>
        <v>| [ㄑㄧㄢˊ](ㄑㄧㄢˊ.md) | [犍](犍.md) |  | qián | [名]
地名用字：(1)如大陸地區四川犍為縣北的犍為山，一名大鹿山。(2)如大陸地區四川省的犍為縣。 |</v>
      </c>
    </row>
    <row r="7928" spans="1:44" hidden="1">
      <c r="A7928" s="1" t="s">
        <v>15474</v>
      </c>
      <c r="C7928" s="1">
        <v>1</v>
      </c>
      <c r="D7928" s="1" t="str">
        <f>"06477"</f>
        <v>06477</v>
      </c>
      <c r="E7928" s="1" t="s">
        <v>129</v>
      </c>
      <c r="F7928" s="1">
        <v>15</v>
      </c>
      <c r="G7928" s="1">
        <v>12</v>
      </c>
      <c r="H7928" s="1">
        <v>0</v>
      </c>
      <c r="I7928" s="1" t="s">
        <v>15440</v>
      </c>
      <c r="K7928" s="1" t="str">
        <f t="shared" si="498"/>
        <v>ㄑ</v>
      </c>
      <c r="L7928" s="1" t="str">
        <f t="shared" si="499"/>
        <v>ㄧ</v>
      </c>
      <c r="M7928" s="1" t="str">
        <f t="shared" si="500"/>
        <v>ㄢ</v>
      </c>
      <c r="P7928" s="1" t="s">
        <v>20</v>
      </c>
      <c r="R7928" s="1" t="s">
        <v>15441</v>
      </c>
      <c r="V7928" s="1" t="s">
        <v>15475</v>
      </c>
      <c r="AR7928" s="1" t="str">
        <f t="shared" si="497"/>
        <v>| [ㄑㄧㄢˊ](ㄑㄧㄢˊ.md) | [潛](潛.md) |  | qián | [動]
1.入水，在水面下活動。如：「潛水」、「鳥飛魚潛」。《左傳．哀公十七年》：「越子以三軍潛涉，當吳中軍而鼓之。」
2.深藏、隱藏。如：「潛藏」、「潛伏」。唐．杜甫〈奉贈韋左丞丈二十二韻〉：「殘杯與冷炙，到處潛悲辛。」宋．范仲淹〈岳陽樓記〉：「日星隱曜，山岳潛形。」
[形]
隱藏的。《易經．乾卦．初九》：「潛龍勿用。」宋．蘇軾〈赤壁賦〉：「舞幽壑之潛蛟，泣孤舟之嫠婦。」
[副]
祕密的、暗中的。如：「潛心默禱」。晉．陶淵明《搜神後記》卷五：「後以雞鳴出去，平早潛歸。」唐．杜甫〈哀江頭〉詩：「少陵野老吞聲哭，春日潛行曲江曲。」
[名]
《詩經．周頌》的篇名。共一章。根據〈詩序〉：「〈潛〉，季冬薦魚，春獻鮪也。」指季冬獻魚，春獻鮪，以祀祖先之詩。本章二句為：「猗與漆沮，潛有多魚。」 |</v>
      </c>
    </row>
    <row r="7929" spans="1:44" hidden="1">
      <c r="A7929" s="1" t="s">
        <v>15476</v>
      </c>
      <c r="C7929" s="1">
        <v>1</v>
      </c>
      <c r="D7929" s="1" t="str">
        <f>"06478"</f>
        <v>06478</v>
      </c>
      <c r="E7929" s="1" t="s">
        <v>129</v>
      </c>
      <c r="F7929" s="1">
        <v>21</v>
      </c>
      <c r="G7929" s="1">
        <v>18</v>
      </c>
      <c r="H7929" s="1">
        <v>0</v>
      </c>
      <c r="I7929" s="1" t="s">
        <v>15440</v>
      </c>
      <c r="K7929" s="1" t="str">
        <f t="shared" si="498"/>
        <v>ㄑ</v>
      </c>
      <c r="L7929" s="1" t="str">
        <f t="shared" si="499"/>
        <v>ㄧ</v>
      </c>
      <c r="M7929" s="1" t="str">
        <f t="shared" si="500"/>
        <v>ㄢ</v>
      </c>
      <c r="P7929" s="1" t="s">
        <v>20</v>
      </c>
      <c r="R7929" s="1" t="s">
        <v>15441</v>
      </c>
      <c r="V7929" s="1" t="s">
        <v>15477</v>
      </c>
      <c r="AR7929" s="1" t="str">
        <f t="shared" si="497"/>
        <v>| [ㄑㄧㄢˊ](ㄑㄧㄢˊ.md) | [灊](灊.md) |  | qián | [名]
1.參見「灊水」條。
2.縣名。故城在今大陸地區安徽省霍山縣東北三十里。《讀史方輿紀要．卷二六．江南八．廬州府》：「灊城，春秋時楚之潛邑，……漢置灊縣，屬廬江郡。」 |</v>
      </c>
    </row>
    <row r="7930" spans="1:44" hidden="1">
      <c r="A7930" s="1" t="s">
        <v>15478</v>
      </c>
      <c r="C7930" s="1">
        <v>1</v>
      </c>
      <c r="D7930" s="1" t="str">
        <f>"06479"</f>
        <v>06479</v>
      </c>
      <c r="E7930" s="1" t="s">
        <v>336</v>
      </c>
      <c r="F7930" s="1">
        <v>16</v>
      </c>
      <c r="G7930" s="1">
        <v>12</v>
      </c>
      <c r="H7930" s="1">
        <v>0</v>
      </c>
      <c r="I7930" s="1" t="s">
        <v>15440</v>
      </c>
      <c r="K7930" s="1" t="str">
        <f t="shared" si="498"/>
        <v>ㄑ</v>
      </c>
      <c r="L7930" s="1" t="str">
        <f t="shared" si="499"/>
        <v>ㄧ</v>
      </c>
      <c r="M7930" s="1" t="str">
        <f t="shared" si="500"/>
        <v>ㄢ</v>
      </c>
      <c r="P7930" s="1" t="s">
        <v>20</v>
      </c>
      <c r="R7930" s="1" t="s">
        <v>15441</v>
      </c>
      <c r="V7930" s="1" t="s">
        <v>15479</v>
      </c>
      <c r="AR7930" s="1" t="str">
        <f t="shared" si="497"/>
        <v>| [ㄑㄧㄢˊ](ㄑㄧㄢˊ.md) | [燂](燂.md) |  | qián | [動]
1.燒熱。《說文解字．火部》：「燂，火熱也。」《禮記．內則》：「五日則燂湯請浴，三日具沐其間。」
2.烤熟。《集韻．平聲．侵韻》：「燂，火孰物。」《周禮．冬官考工記．弓人》：「撟角欲孰於火而無燂。」 |</v>
      </c>
    </row>
    <row r="7931" spans="1:44" hidden="1">
      <c r="A7931" s="1" t="s">
        <v>13918</v>
      </c>
      <c r="C7931" s="1">
        <v>1</v>
      </c>
      <c r="D7931" s="1" t="str">
        <f>"06480"</f>
        <v>06480</v>
      </c>
      <c r="E7931" s="1" t="s">
        <v>55</v>
      </c>
      <c r="F7931" s="1">
        <v>16</v>
      </c>
      <c r="G7931" s="1">
        <v>8</v>
      </c>
      <c r="H7931" s="1">
        <v>1</v>
      </c>
      <c r="I7931" s="1" t="s">
        <v>15440</v>
      </c>
      <c r="K7931" s="1" t="str">
        <f t="shared" si="498"/>
        <v>ㄑ</v>
      </c>
      <c r="L7931" s="1" t="str">
        <f t="shared" si="499"/>
        <v>ㄧ</v>
      </c>
      <c r="M7931" s="1" t="str">
        <f t="shared" si="500"/>
        <v>ㄢ</v>
      </c>
      <c r="P7931" s="1" t="s">
        <v>20</v>
      </c>
      <c r="R7931" s="1" t="s">
        <v>15441</v>
      </c>
      <c r="V7931" s="1" t="s">
        <v>15480</v>
      </c>
      <c r="W7931" s="1" t="s">
        <v>15481</v>
      </c>
      <c r="AR7931" s="1" t="str">
        <f t="shared" si="497"/>
        <v>| [ㄑㄧㄢˊ](ㄑㄧㄢˊ.md) | [錢](錢.md) |  | qián | [名]
1.貨幣的通稱。如：「錢幣」、「銅錢」、「五銖錢」。
2.泛指錢財。如：「值錢」、「有錢有勢」。《宋史．卷三六五．岳飛傳》：「文臣不愛錢，武臣不惜死，天下太平矣。」
3.費用、款項。如：「車錢」、「飯錢」、「價錢」、「會錢」。
4.形狀像錢的東西。如：「榆錢」、「地錢」。《文選．沈約．冬節後至丞相第詣世子車中詩》：「賓階綠錢滿，客位紫苔生。」
5.量詞。計算重量的單位。公制一錢等於百分之一公斤，一臺錢等於十分之一臺兩。
6.姓。如清代有錢大昕。
[形]
裝錢用的。如：「錢包」、「錢櫃」、「錢筒」。 |</v>
      </c>
    </row>
    <row r="7932" spans="1:44" hidden="1">
      <c r="A7932" s="1" t="s">
        <v>14005</v>
      </c>
      <c r="C7932" s="1">
        <v>1</v>
      </c>
      <c r="D7932" s="1" t="str">
        <f>"06481"</f>
        <v>06481</v>
      </c>
      <c r="E7932" s="1" t="s">
        <v>679</v>
      </c>
      <c r="F7932" s="1">
        <v>17</v>
      </c>
      <c r="G7932" s="1">
        <v>11</v>
      </c>
      <c r="H7932" s="1">
        <v>2</v>
      </c>
      <c r="I7932" s="1" t="s">
        <v>15440</v>
      </c>
      <c r="K7932" s="1" t="str">
        <f t="shared" si="498"/>
        <v>ㄑ</v>
      </c>
      <c r="L7932" s="1" t="str">
        <f t="shared" si="499"/>
        <v>ㄧ</v>
      </c>
      <c r="M7932" s="1" t="str">
        <f t="shared" si="500"/>
        <v>ㄢ</v>
      </c>
      <c r="P7932" s="1" t="s">
        <v>110</v>
      </c>
      <c r="R7932" s="1" t="s">
        <v>15441</v>
      </c>
      <c r="V7932" s="1" t="s">
        <v>111</v>
      </c>
      <c r="W7932" s="1" t="s">
        <v>15482</v>
      </c>
      <c r="AR7932" s="1" t="str">
        <f t="shared" si="497"/>
        <v>| [ㄑㄧㄢˊ](ㄑㄧㄢˊ.md) | [螹](螹.md) |  | qián | (一)之又音。 |</v>
      </c>
    </row>
    <row r="7933" spans="1:44" hidden="1">
      <c r="A7933" s="1" t="s">
        <v>13815</v>
      </c>
      <c r="C7933" s="1">
        <v>1</v>
      </c>
      <c r="D7933" s="1" t="str">
        <f>"06482"</f>
        <v>06482</v>
      </c>
      <c r="E7933" s="1" t="s">
        <v>129</v>
      </c>
      <c r="F7933" s="1">
        <v>11</v>
      </c>
      <c r="G7933" s="1">
        <v>8</v>
      </c>
      <c r="H7933" s="1">
        <v>1</v>
      </c>
      <c r="I7933" s="1" t="s">
        <v>15483</v>
      </c>
      <c r="K7933" s="1" t="str">
        <f t="shared" si="498"/>
        <v>ㄑ</v>
      </c>
      <c r="L7933" s="1" t="str">
        <f t="shared" si="499"/>
        <v>ㄧ</v>
      </c>
      <c r="M7933" s="1" t="str">
        <f t="shared" si="500"/>
        <v>ㄢ</v>
      </c>
      <c r="P7933" s="1" t="s">
        <v>20</v>
      </c>
      <c r="R7933" s="1" t="s">
        <v>15484</v>
      </c>
      <c r="V7933" s="1" t="s">
        <v>15485</v>
      </c>
      <c r="W7933" s="1" t="s">
        <v>15486</v>
      </c>
      <c r="AR7933" s="1" t="str">
        <f t="shared" si="497"/>
        <v>| [ㄑㄧㄢˇ](ㄑㄧㄢˇ.md) | [淺](淺.md) |  | qiǎn | [形]
1.水不深。如：「淺海」、「龍困淺灘」。《詩經．邶風．匏有苦葉》：「深則厲，淺則揭。」唐．韋應物〈授衣還田里〉詩：「山明始重疊，川淺更逶迤。」
2.上下、內外的距離小。如：「這院子很淺。」唐．王周〈過武寧縣〉詩：「岸回驚水急，山淺見天多。」
3.時間不長、不久。如：「時日尚淺」、「享國日淺」。唐．祖詠〈家園夜坐寄郭微〉詩：「月出夜方淺，水涼池更深。」
4.不深厚。如：「情深緣淺」、「交淺言深」。
5.簡明容易了解。如：「淺白」、「淺顯易懂」。漢．王充《論衡．自紀》：「何以為辯？喻深以淺。」
6.學識智謀粗陋、程度低。如：「淺薄」、「膚淺」、「才疏學淺」。《後漢書．卷二八上．桓譚傳》：「自子貢以下，不得而聞，況後世淺儒，能通之乎？」
7.顏色淡。如：「淺黃」、「淺綠」。《儒林外史》第四回：「烏紗帽，淺色員領。」
[副]
少量、稍微。如：「淺嚐」、「淺酌」、「淺笑」、「淺斟低唱」。
[名]
姓。如漢代有淺密。 |</v>
      </c>
    </row>
    <row r="7934" spans="1:44" hidden="1">
      <c r="A7934" s="1" t="s">
        <v>15407</v>
      </c>
      <c r="C7934" s="1">
        <v>1</v>
      </c>
      <c r="D7934" s="1" t="str">
        <f>"06483"</f>
        <v>06483</v>
      </c>
      <c r="E7934" s="1" t="s">
        <v>28</v>
      </c>
      <c r="F7934" s="1">
        <v>13</v>
      </c>
      <c r="G7934" s="1">
        <v>10</v>
      </c>
      <c r="H7934" s="1">
        <v>3</v>
      </c>
      <c r="I7934" s="1" t="s">
        <v>15483</v>
      </c>
      <c r="K7934" s="1" t="str">
        <f t="shared" si="498"/>
        <v>ㄑ</v>
      </c>
      <c r="L7934" s="1" t="str">
        <f t="shared" si="499"/>
        <v>ㄧ</v>
      </c>
      <c r="M7934" s="1" t="str">
        <f t="shared" si="500"/>
        <v>ㄢ</v>
      </c>
      <c r="P7934" s="1" t="s">
        <v>20</v>
      </c>
      <c r="R7934" s="1" t="s">
        <v>15484</v>
      </c>
      <c r="V7934" s="1" t="s">
        <v>15487</v>
      </c>
      <c r="W7934" s="1" t="s">
        <v>15488</v>
      </c>
      <c r="AR7934" s="1" t="str">
        <f t="shared" si="497"/>
        <v>| [ㄑㄧㄢˇ](ㄑㄧㄢˇ.md) | [嗛](嗛.md) |  | qiǎn | [名]
1.猴類頰裡貯放食物的地方。《廣韻．上聲．忝韻》：「嗛，猿藏食處。」唐．柳宗元〈憎王孫文．序〉：「竊取人食，皆知自實其嗛。」
2.參見「嗛嗛」條。 |</v>
      </c>
    </row>
    <row r="7935" spans="1:44" hidden="1">
      <c r="A7935" s="1" t="s">
        <v>15489</v>
      </c>
      <c r="C7935" s="1">
        <v>1</v>
      </c>
      <c r="D7935" s="1" t="str">
        <f>"06484"</f>
        <v>06484</v>
      </c>
      <c r="E7935" s="1" t="s">
        <v>558</v>
      </c>
      <c r="F7935" s="1">
        <v>14</v>
      </c>
      <c r="G7935" s="1">
        <v>10</v>
      </c>
      <c r="H7935" s="1">
        <v>0</v>
      </c>
      <c r="I7935" s="1" t="s">
        <v>15483</v>
      </c>
      <c r="K7935" s="1" t="str">
        <f t="shared" si="498"/>
        <v>ㄑ</v>
      </c>
      <c r="L7935" s="1" t="str">
        <f t="shared" si="499"/>
        <v>ㄧ</v>
      </c>
      <c r="M7935" s="1" t="str">
        <f t="shared" si="500"/>
        <v>ㄢ</v>
      </c>
      <c r="P7935" s="1" t="s">
        <v>20</v>
      </c>
      <c r="R7935" s="1" t="s">
        <v>15484</v>
      </c>
      <c r="V7935" s="1" t="s">
        <v>15490</v>
      </c>
      <c r="AR7935" s="1" t="str">
        <f t="shared" si="497"/>
        <v>| [ㄑㄧㄢˇ](ㄑㄧㄢˇ.md) | [遣](遣.md) |  | qiǎn | [動]
1.差使、派發。如：「差遣」、「先遣部隊」、「調兵遣將」。《墨子．非儒下》：「乃遣子貢之齊，因南郭惠子，以見田常。」
2.釋放、放走。如：「遣散」。《後漢書．卷一．光武帝紀上》：「輒平遣囚徒，除王莽苛政，復漢官名。」
3.放逐、貶謫。漢．王符《潛夫論．賢難》：「及太子問疾，帝令吮癰，有難之色，帝不悅而遣太子。」唐．韓愈〈柳子厚墓誌銘〉：「中山劉夢得禹錫亦在遣中。」
4.排解、消除。如：「消遣」、「排遣」。唐．杜甫〈白水縣崔少府十九翁高齋三十韻〉：「始知賢主人，贈此遣愁寂。」《紅樓夢》第五回：「趁著這奈何天、傷懷日、寂寥時，試遣愚衷。」
5.使、令。元．翁森〈四時讀書樂〉詩：「蹉跎莫遣韶光老，人生惟有讀書好。」 |</v>
      </c>
    </row>
    <row r="7936" spans="1:44" hidden="1">
      <c r="A7936" s="1" t="s">
        <v>15491</v>
      </c>
      <c r="C7936" s="1">
        <v>1</v>
      </c>
      <c r="D7936" s="1" t="str">
        <f>"06485"</f>
        <v>06485</v>
      </c>
      <c r="E7936" s="1" t="s">
        <v>725</v>
      </c>
      <c r="F7936" s="1">
        <v>20</v>
      </c>
      <c r="G7936" s="1">
        <v>14</v>
      </c>
      <c r="H7936" s="1">
        <v>0</v>
      </c>
      <c r="I7936" s="1" t="s">
        <v>15483</v>
      </c>
      <c r="K7936" s="1" t="str">
        <f t="shared" si="498"/>
        <v>ㄑ</v>
      </c>
      <c r="L7936" s="1" t="str">
        <f t="shared" si="499"/>
        <v>ㄧ</v>
      </c>
      <c r="M7936" s="1" t="str">
        <f t="shared" si="500"/>
        <v>ㄢ</v>
      </c>
      <c r="P7936" s="1" t="s">
        <v>20</v>
      </c>
      <c r="R7936" s="1" t="s">
        <v>15484</v>
      </c>
      <c r="V7936" s="1" t="s">
        <v>15492</v>
      </c>
      <c r="AR7936" s="1" t="str">
        <f t="shared" si="497"/>
        <v>| [ㄑㄧㄢˇ](ㄑㄧㄢˇ.md) | [繾](繾.md) |  | qiǎn | 參見「繾綣」條。 |</v>
      </c>
    </row>
    <row r="7937" spans="1:44" hidden="1">
      <c r="A7937" s="1" t="s">
        <v>15493</v>
      </c>
      <c r="C7937" s="1">
        <v>1</v>
      </c>
      <c r="D7937" s="1" t="str">
        <f>"06486"</f>
        <v>06486</v>
      </c>
      <c r="E7937" s="1" t="s">
        <v>331</v>
      </c>
      <c r="F7937" s="1">
        <v>21</v>
      </c>
      <c r="G7937" s="1">
        <v>14</v>
      </c>
      <c r="H7937" s="1">
        <v>0</v>
      </c>
      <c r="I7937" s="1" t="s">
        <v>15483</v>
      </c>
      <c r="K7937" s="1" t="str">
        <f t="shared" si="498"/>
        <v>ㄑ</v>
      </c>
      <c r="L7937" s="1" t="str">
        <f t="shared" si="499"/>
        <v>ㄧ</v>
      </c>
      <c r="M7937" s="1" t="str">
        <f t="shared" si="500"/>
        <v>ㄢ</v>
      </c>
      <c r="P7937" s="1" t="s">
        <v>20</v>
      </c>
      <c r="R7937" s="1" t="s">
        <v>15484</v>
      </c>
      <c r="V7937" s="1" t="s">
        <v>15494</v>
      </c>
      <c r="AR7937" s="1" t="str">
        <f t="shared" si="497"/>
        <v>| [ㄑㄧㄢˇ](ㄑㄧㄢˇ.md) | [譴](譴.md) |  | qiǎn | [動]
1.責備。如：「天譴」、「譴責」。漢．王充《論衡．自紀》：「文貴夫順合眾心，不違人意，百人讀之莫譴，千人聞之莫怪。」
2.因罪受罰或被貶。如：「譴謫」。《元史．卷一七四．張孔孫傳》：「濫官放譴，不可復加任用。」
[名]
罪過。《北史．卷四〇．李彪傳》：「臣有大譴，則白冠氂纓盤水加劍，造室而請死。」明．湯顯祖《南柯記》第二三齣：「怎那經文呵，明寫著外面無干，偏則是女人之譴？」 |</v>
      </c>
    </row>
    <row r="7938" spans="1:44" hidden="1">
      <c r="A7938" s="1" t="s">
        <v>15495</v>
      </c>
      <c r="C7938" s="1">
        <v>1</v>
      </c>
      <c r="D7938" s="1" t="str">
        <f>"06487"</f>
        <v>06487</v>
      </c>
      <c r="E7938" s="1" t="s">
        <v>1908</v>
      </c>
      <c r="F7938" s="1">
        <v>4</v>
      </c>
      <c r="G7938" s="1">
        <v>0</v>
      </c>
      <c r="H7938" s="1">
        <v>0</v>
      </c>
      <c r="I7938" s="1" t="s">
        <v>15496</v>
      </c>
      <c r="K7938" s="1" t="str">
        <f t="shared" si="498"/>
        <v>ㄑ</v>
      </c>
      <c r="L7938" s="1" t="str">
        <f t="shared" si="499"/>
        <v>ㄧ</v>
      </c>
      <c r="M7938" s="1" t="str">
        <f t="shared" si="500"/>
        <v>ㄢ</v>
      </c>
      <c r="P7938" s="1" t="s">
        <v>20</v>
      </c>
      <c r="R7938" s="1" t="s">
        <v>15497</v>
      </c>
      <c r="V7938" s="1" t="s">
        <v>15498</v>
      </c>
      <c r="AR7938" s="1" t="str">
        <f t="shared" si="497"/>
        <v>| [ㄑㄧㄢˋ](ㄑㄧㄢˋ.md) | [欠](欠.md) |  | qiàn | [動]
1.累的時候，張嘴呵氣。如：「呵欠」。《儀禮．士相見禮》：「君子欠伸。」漢．鄭玄．注：「志倦則欠，體倦則伸。」
2.肢體稍上提移。如：「欠身」。《紅樓夢》第九七回：「那黛玉卻又把身子欠起，紫鵑只得兩隻手來扶著他。」
3.借人財物未還或該給而未給。如：「欠帳」、「欠薪水」。《紅樓夢》第五回：「欠命的命已還，欠淚的淚已盡。」
4.缺少。如：「你還欠多少？」、「這盤菜欠點兒鹽。」
[副]
不夠、缺乏。語氣較「不」稍委婉。如：「欠安」、「欠妥」、「欠考慮」。
[名]
1.債務。如：「舊欠未清」。
2.二一四部首之一。 |</v>
      </c>
    </row>
    <row r="7939" spans="1:44" hidden="1">
      <c r="A7939" s="1" t="s">
        <v>15499</v>
      </c>
      <c r="C7939" s="1">
        <v>1</v>
      </c>
      <c r="D7939" s="1" t="str">
        <f>"06488"</f>
        <v>06488</v>
      </c>
      <c r="E7939" s="1" t="s">
        <v>37</v>
      </c>
      <c r="F7939" s="1">
        <v>8</v>
      </c>
      <c r="G7939" s="1">
        <v>4</v>
      </c>
      <c r="H7939" s="1">
        <v>0</v>
      </c>
      <c r="I7939" s="1" t="s">
        <v>15496</v>
      </c>
      <c r="K7939" s="1" t="str">
        <f t="shared" si="498"/>
        <v>ㄑ</v>
      </c>
      <c r="L7939" s="1" t="str">
        <f t="shared" si="499"/>
        <v>ㄧ</v>
      </c>
      <c r="M7939" s="1" t="str">
        <f t="shared" si="500"/>
        <v>ㄢ</v>
      </c>
      <c r="P7939" s="1" t="s">
        <v>20</v>
      </c>
      <c r="R7939" s="1" t="s">
        <v>15497</v>
      </c>
      <c r="V7939" s="1" t="s">
        <v>15500</v>
      </c>
      <c r="AR7939" s="1" t="str">
        <f t="shared" ref="AR7939:AR8002" si="501">"| ["&amp;I7939&amp;"]("&amp;I7939&amp;".md) | ["&amp;A7939&amp;"]("&amp;A7939&amp;".md) | "&amp;" | "&amp;R7939&amp;" | "&amp;V7939&amp;" |"</f>
        <v>| [ㄑㄧㄢˋ](ㄑㄧㄢˋ.md) | [芡](芡.md) |  | qiàn | [名]_x000D_
1.植物名。睡蓮科，一年生草本。生於水中，葉圓大有刺。夏日莖端開紫花，花謝，結刺球，內有芡實數十枚。也稱為「雞頭」。_x000D_
2.芡實製成的粉末。加水後遇熱會糊化，烹飪時，可使湯汁變得濃稠。後泛指可用熱水調成糊狀的各種澱粉，如太白粉、玉米粉、藕粉、樹薯粉等。 |</v>
      </c>
    </row>
    <row r="7940" spans="1:44" hidden="1">
      <c r="A7940" s="1" t="s">
        <v>10989</v>
      </c>
      <c r="C7940" s="1">
        <v>1</v>
      </c>
      <c r="D7940" s="1" t="str">
        <f>"06489"</f>
        <v>06489</v>
      </c>
      <c r="E7940" s="1" t="s">
        <v>190</v>
      </c>
      <c r="F7940" s="1">
        <v>12</v>
      </c>
      <c r="G7940" s="1">
        <v>9</v>
      </c>
      <c r="H7940" s="1">
        <v>2</v>
      </c>
      <c r="I7940" s="1" t="s">
        <v>15496</v>
      </c>
      <c r="K7940" s="1" t="str">
        <f t="shared" ref="K7940:K8003" si="502">LEFT(I7940, 1)</f>
        <v>ㄑ</v>
      </c>
      <c r="L7940" s="1" t="str">
        <f t="shared" ref="L7940:L8003" si="503">MID(I7940, 2, 1)</f>
        <v>ㄧ</v>
      </c>
      <c r="M7940" s="1" t="str">
        <f t="shared" si="500"/>
        <v>ㄢ</v>
      </c>
      <c r="P7940" s="1" t="s">
        <v>20</v>
      </c>
      <c r="R7940" s="1" t="s">
        <v>15497</v>
      </c>
      <c r="V7940" s="1" t="s">
        <v>15501</v>
      </c>
      <c r="W7940" s="1" t="s">
        <v>15502</v>
      </c>
      <c r="AR7940" s="1" t="str">
        <f t="shared" si="501"/>
        <v>| [ㄑㄧㄢˋ](ㄑㄧㄢˋ.md) | [嵌](嵌.md) |  | qiàn | [形]
山林深邃的樣子。如：「嵌巉」、「嵌巖」。 |</v>
      </c>
    </row>
    <row r="7941" spans="1:44" hidden="1">
      <c r="A7941" s="1" t="s">
        <v>15503</v>
      </c>
      <c r="C7941" s="1">
        <v>1</v>
      </c>
      <c r="D7941" s="1" t="str">
        <f>"06490"</f>
        <v>06490</v>
      </c>
      <c r="E7941" s="1" t="s">
        <v>114</v>
      </c>
      <c r="F7941" s="1">
        <v>9</v>
      </c>
      <c r="G7941" s="1">
        <v>7</v>
      </c>
      <c r="H7941" s="1">
        <v>1</v>
      </c>
      <c r="I7941" s="1" t="s">
        <v>15496</v>
      </c>
      <c r="K7941" s="1" t="str">
        <f t="shared" si="502"/>
        <v>ㄑ</v>
      </c>
      <c r="L7941" s="1" t="str">
        <f t="shared" si="503"/>
        <v>ㄧ</v>
      </c>
      <c r="M7941" s="1" t="str">
        <f t="shared" si="500"/>
        <v>ㄢ</v>
      </c>
      <c r="P7941" s="1" t="s">
        <v>20</v>
      </c>
      <c r="R7941" s="1" t="s">
        <v>15497</v>
      </c>
      <c r="V7941" s="1" t="s">
        <v>15504</v>
      </c>
      <c r="W7941" s="1" t="s">
        <v>15505</v>
      </c>
      <c r="AR7941" s="1" t="str">
        <f t="shared" si="501"/>
        <v>| [ㄑㄧㄢˋ](ㄑㄧㄢˋ.md) | [俔](俔.md) |  | qiàn | [動]
譬喻。《廣韻．上聲．銑韻》：「俔，譬喻。」《詩經．大雅．大明》：「大邦有子，俔天之妹。」 |</v>
      </c>
    </row>
    <row r="7942" spans="1:44" hidden="1">
      <c r="A7942" s="1" t="s">
        <v>15506</v>
      </c>
      <c r="C7942" s="1">
        <v>1</v>
      </c>
      <c r="D7942" s="1" t="str">
        <f>"06491"</f>
        <v>06491</v>
      </c>
      <c r="E7942" s="1" t="s">
        <v>37</v>
      </c>
      <c r="F7942" s="1">
        <v>10</v>
      </c>
      <c r="G7942" s="1">
        <v>6</v>
      </c>
      <c r="H7942" s="1">
        <v>0</v>
      </c>
      <c r="I7942" s="1" t="s">
        <v>15496</v>
      </c>
      <c r="K7942" s="1" t="str">
        <f t="shared" si="502"/>
        <v>ㄑ</v>
      </c>
      <c r="L7942" s="1" t="str">
        <f t="shared" si="503"/>
        <v>ㄧ</v>
      </c>
      <c r="M7942" s="1" t="str">
        <f t="shared" si="500"/>
        <v>ㄢ</v>
      </c>
      <c r="P7942" s="1" t="s">
        <v>20</v>
      </c>
      <c r="R7942" s="1" t="s">
        <v>15497</v>
      </c>
      <c r="V7942" s="1" t="s">
        <v>15507</v>
      </c>
      <c r="AR7942" s="1" t="str">
        <f t="shared" si="501"/>
        <v>| [ㄑㄧㄢˋ](ㄑㄧㄢˋ.md) | [茜](茜.md) |  | qiàn | [名]
植物名。茜草科，茜草屬，「茜草」之古稱，參見「茜草」條。《醒世姻緣傳》第六回：「誰家茜草茜的，也會落色來？」
[動]
染成紅色。《醒世姻緣傳》第六回：「誰家茜草茜的，也會落色來？」
[形]
紅色的。唐．李商隱〈和鄭愚贈汝陽王孫家箏妓〉詩：「茜袖捧瓊姿，皎日丹霞起。」宋．劉子翬〈石榴〉詩：「庭榴結實墊芳叢，一夜飛霜染茜容。」 |</v>
      </c>
    </row>
    <row r="7943" spans="1:44" hidden="1">
      <c r="A7943" s="1" t="s">
        <v>15508</v>
      </c>
      <c r="C7943" s="1">
        <v>1</v>
      </c>
      <c r="D7943" s="1" t="str">
        <f>"06492"</f>
        <v>06492</v>
      </c>
      <c r="E7943" s="1" t="s">
        <v>114</v>
      </c>
      <c r="F7943" s="1">
        <v>10</v>
      </c>
      <c r="G7943" s="1">
        <v>8</v>
      </c>
      <c r="H7943" s="1">
        <v>0</v>
      </c>
      <c r="I7943" s="1" t="s">
        <v>15496</v>
      </c>
      <c r="K7943" s="1" t="str">
        <f t="shared" si="502"/>
        <v>ㄑ</v>
      </c>
      <c r="L7943" s="1" t="str">
        <f t="shared" si="503"/>
        <v>ㄧ</v>
      </c>
      <c r="M7943" s="1" t="str">
        <f t="shared" si="500"/>
        <v>ㄢ</v>
      </c>
      <c r="P7943" s="1" t="s">
        <v>20</v>
      </c>
      <c r="R7943" s="1" t="s">
        <v>15497</v>
      </c>
      <c r="V7943" s="1" t="s">
        <v>15509</v>
      </c>
      <c r="AR7943" s="1" t="str">
        <f t="shared" si="501"/>
        <v>| [ㄑㄧㄢˋ](ㄑㄧㄢˋ.md) | [倩](倩.md) |  | qiàn | [名]
1.古時男子的美稱。《漢書．卷八九．循吏傳．朱邑傳》：「昔陳平雖賢，須魏倩而後進。」唐．顏師古．注：「倩，士之美稱，故云魏倩也。」
2.女婿。如：「賢倩」、「妹倩」。《史記．卷一〇五．扁鵲倉公傳》：「黃氏諸倩見建家京下方石，即弄之。」
[形]
美好。如：「巧笑倩兮」、「倩女」。《紅樓夢》第三七回：「芳心一點嬌無力，倩影三更月有痕。」
[動]
請人代為做事。唐．杜甫〈九日藍田崔氏莊〉詩：「羞將短髮還吹帽，笑倩旁人為正冠。」宋．黃庭堅〈即席〉詩：「不當愛一醉，倒倩路人扶。」 |</v>
      </c>
    </row>
    <row r="7944" spans="1:44" hidden="1">
      <c r="A7944" s="1" t="s">
        <v>15510</v>
      </c>
      <c r="C7944" s="1">
        <v>1</v>
      </c>
      <c r="D7944" s="1" t="str">
        <f>"06493"</f>
        <v>06493</v>
      </c>
      <c r="E7944" s="1" t="s">
        <v>37</v>
      </c>
      <c r="F7944" s="1">
        <v>14</v>
      </c>
      <c r="G7944" s="1">
        <v>10</v>
      </c>
      <c r="H7944" s="1">
        <v>0</v>
      </c>
      <c r="I7944" s="1" t="s">
        <v>15496</v>
      </c>
      <c r="K7944" s="1" t="str">
        <f t="shared" si="502"/>
        <v>ㄑ</v>
      </c>
      <c r="L7944" s="1" t="str">
        <f t="shared" si="503"/>
        <v>ㄧ</v>
      </c>
      <c r="M7944" s="1" t="str">
        <f t="shared" si="500"/>
        <v>ㄢ</v>
      </c>
      <c r="P7944" s="1" t="s">
        <v>20</v>
      </c>
      <c r="R7944" s="1" t="s">
        <v>15497</v>
      </c>
      <c r="V7944" s="1" t="s">
        <v>15511</v>
      </c>
      <c r="AR7944" s="1" t="str">
        <f t="shared" si="501"/>
        <v>| [ㄑㄧㄢˋ](ㄑㄧㄢˋ.md) | [蒨](蒨.md) |  | qiàn | [名]
茜草的別名。參見「茜草」條。
[形]
1.紅色的。同「茜」。《三國志．卷三〇．魏書．東夷傳》：「蒨絳五十匹，紺青五十匹，答汝所獻貢直。」宋．范成大〈四時田園雜興〉詩六〇首之七：「寒食花枝插滿頭，蒨裙青袂幾扁舟。」
2.參見「蒨蒨」條。 |</v>
      </c>
    </row>
    <row r="7945" spans="1:44" hidden="1">
      <c r="A7945" s="1" t="s">
        <v>14237</v>
      </c>
      <c r="C7945" s="1">
        <v>1</v>
      </c>
      <c r="D7945" s="1" t="str">
        <f>"06494"</f>
        <v>06494</v>
      </c>
      <c r="E7945" s="1" t="s">
        <v>49</v>
      </c>
      <c r="F7945" s="1">
        <v>14</v>
      </c>
      <c r="G7945" s="1">
        <v>8</v>
      </c>
      <c r="H7945" s="1">
        <v>2</v>
      </c>
      <c r="I7945" s="1" t="s">
        <v>15496</v>
      </c>
      <c r="K7945" s="1" t="str">
        <f t="shared" si="502"/>
        <v>ㄑ</v>
      </c>
      <c r="L7945" s="1" t="str">
        <f t="shared" si="503"/>
        <v>ㄧ</v>
      </c>
      <c r="M7945" s="1" t="str">
        <f t="shared" si="500"/>
        <v>ㄢ</v>
      </c>
      <c r="P7945" s="1" t="s">
        <v>20</v>
      </c>
      <c r="R7945" s="1" t="s">
        <v>15497</v>
      </c>
      <c r="V7945" s="1" t="s">
        <v>15512</v>
      </c>
      <c r="W7945" s="1" t="s">
        <v>15513</v>
      </c>
      <c r="AR7945" s="1" t="str">
        <f t="shared" si="501"/>
        <v>| [ㄑㄧㄢˋ](ㄑㄧㄢˋ.md) | [箐](箐.md) |  | qiàn | [動]
拉開竹製的弓弩。《集韻．去聲．霰韻》：「箐，張竹弓弩曰箐。」
[名]
大陸滇黔地區稱大竹林或樹木叢生的山谷為「箐」。明．徐弘祖《徐霞客遊記．卷五下．滇遊日記三》：「又有一庵，前臨危箐，後倚峭峰。」 |</v>
      </c>
    </row>
    <row r="7946" spans="1:44" hidden="1">
      <c r="A7946" s="1" t="s">
        <v>15514</v>
      </c>
      <c r="C7946" s="1">
        <v>1</v>
      </c>
      <c r="D7946" s="1" t="str">
        <f>"06495"</f>
        <v>06495</v>
      </c>
      <c r="E7946" s="1" t="s">
        <v>725</v>
      </c>
      <c r="F7946" s="1">
        <v>14</v>
      </c>
      <c r="G7946" s="1">
        <v>8</v>
      </c>
      <c r="H7946" s="1">
        <v>0</v>
      </c>
      <c r="I7946" s="1" t="s">
        <v>15496</v>
      </c>
      <c r="K7946" s="1" t="str">
        <f t="shared" si="502"/>
        <v>ㄑ</v>
      </c>
      <c r="L7946" s="1" t="str">
        <f t="shared" si="503"/>
        <v>ㄧ</v>
      </c>
      <c r="M7946" s="1" t="str">
        <f t="shared" si="500"/>
        <v>ㄢ</v>
      </c>
      <c r="P7946" s="1" t="s">
        <v>20</v>
      </c>
      <c r="R7946" s="1" t="s">
        <v>15497</v>
      </c>
      <c r="V7946" s="1" t="s">
        <v>15515</v>
      </c>
      <c r="AR7946" s="1" t="str">
        <f t="shared" si="501"/>
        <v>| [ㄑㄧㄢˋ](ㄑㄧㄢˋ.md) | [綪](綪.md) |  | qiàn | [名]
紅色的絲織品。《說文解字．糸部》：「綪，赤繒也。」《左傳．定公四年》：「分康叔以大路、少帛、綪茷。」 |</v>
      </c>
    </row>
    <row r="7947" spans="1:44" hidden="1">
      <c r="A7947" s="1" t="s">
        <v>15516</v>
      </c>
      <c r="C7947" s="1">
        <v>1</v>
      </c>
      <c r="D7947" s="1" t="str">
        <f>"06496"</f>
        <v>06496</v>
      </c>
      <c r="E7947" s="1" t="s">
        <v>114</v>
      </c>
      <c r="F7947" s="1">
        <v>12</v>
      </c>
      <c r="G7947" s="1">
        <v>10</v>
      </c>
      <c r="H7947" s="1">
        <v>0</v>
      </c>
      <c r="I7947" s="1" t="s">
        <v>15496</v>
      </c>
      <c r="K7947" s="1" t="str">
        <f t="shared" si="502"/>
        <v>ㄑ</v>
      </c>
      <c r="L7947" s="1" t="str">
        <f t="shared" si="503"/>
        <v>ㄧ</v>
      </c>
      <c r="M7947" s="1" t="str">
        <f t="shared" si="500"/>
        <v>ㄢ</v>
      </c>
      <c r="P7947" s="1" t="s">
        <v>20</v>
      </c>
      <c r="R7947" s="1" t="s">
        <v>15497</v>
      </c>
      <c r="V7947" s="1" t="s">
        <v>15517</v>
      </c>
      <c r="AR7947" s="1" t="str">
        <f t="shared" si="501"/>
        <v>| [ㄑㄧㄢˋ](ㄑㄧㄢˋ.md) | [傔](傔.md) |  | qiàn | [名]
侍從。《玉篇．人部》：「傔，侍從也。」《新唐書．卷一三五．封常清傳》：「嘗出軍，奏傔從三十餘人。」
[動]
滿足。《呂氏春秋．季秋紀．知士》：「揆吾家苟可以傔劑貌辨者，吾無辭為也。」 |</v>
      </c>
    </row>
    <row r="7948" spans="1:44" hidden="1">
      <c r="A7948" s="1" t="s">
        <v>15183</v>
      </c>
      <c r="C7948" s="1">
        <v>1</v>
      </c>
      <c r="D7948" s="1" t="str">
        <f>"06497"</f>
        <v>06497</v>
      </c>
      <c r="E7948" s="1" t="s">
        <v>250</v>
      </c>
      <c r="F7948" s="1">
        <v>13</v>
      </c>
      <c r="G7948" s="1">
        <v>10</v>
      </c>
      <c r="H7948" s="1">
        <v>1</v>
      </c>
      <c r="I7948" s="1" t="s">
        <v>15496</v>
      </c>
      <c r="K7948" s="1" t="str">
        <f t="shared" si="502"/>
        <v>ㄑ</v>
      </c>
      <c r="L7948" s="1" t="str">
        <f t="shared" si="503"/>
        <v>ㄧ</v>
      </c>
      <c r="M7948" s="1" t="str">
        <f t="shared" si="500"/>
        <v>ㄢ</v>
      </c>
      <c r="P7948" s="1" t="s">
        <v>20</v>
      </c>
      <c r="R7948" s="1" t="s">
        <v>15497</v>
      </c>
      <c r="V7948" s="1" t="s">
        <v>15518</v>
      </c>
      <c r="W7948" s="1" t="s">
        <v>15519</v>
      </c>
      <c r="AR7948" s="1" t="str">
        <f t="shared" si="501"/>
        <v>| [ㄑㄧㄢˋ](ㄑㄧㄢˋ.md) | [慊](慊.md) |  | qiàn | [動]
1.不滿、怨恨。《玉篇．心部》：「慊，切齒恨也。」《禮記．坊記》：「貧不至於約，貴不慊於上，故亂益亡。」
2.不足、缺乏。《孟子．公孫丑下》：「彼以其爵，我以吾義，吾何慊乎哉？」 |</v>
      </c>
    </row>
    <row r="7949" spans="1:44" hidden="1">
      <c r="A7949" s="1" t="s">
        <v>15407</v>
      </c>
      <c r="C7949" s="1">
        <v>1</v>
      </c>
      <c r="D7949" s="1" t="str">
        <f>"06498"</f>
        <v>06498</v>
      </c>
      <c r="E7949" s="1" t="s">
        <v>28</v>
      </c>
      <c r="F7949" s="1">
        <v>13</v>
      </c>
      <c r="G7949" s="1">
        <v>10</v>
      </c>
      <c r="H7949" s="1">
        <v>4</v>
      </c>
      <c r="I7949" s="1" t="s">
        <v>15496</v>
      </c>
      <c r="K7949" s="1" t="str">
        <f t="shared" si="502"/>
        <v>ㄑ</v>
      </c>
      <c r="L7949" s="1" t="str">
        <f t="shared" si="503"/>
        <v>ㄧ</v>
      </c>
      <c r="M7949" s="1" t="str">
        <f t="shared" si="500"/>
        <v>ㄢ</v>
      </c>
      <c r="P7949" s="1" t="s">
        <v>20</v>
      </c>
      <c r="R7949" s="1" t="s">
        <v>15497</v>
      </c>
      <c r="V7949" s="1" t="s">
        <v>15520</v>
      </c>
      <c r="W7949" s="1" t="s">
        <v>15521</v>
      </c>
      <c r="AR7949" s="1" t="str">
        <f t="shared" si="501"/>
        <v>| [ㄑㄧㄢˋ](ㄑㄧㄢˋ.md) | [嗛](嗛.md) |  | qiàn | [形]
稻穀收成不好。通「歉」。《穀梁傳．襄公二十四年》：「一穀不升謂之嗛。」晉．范甯．集解：「嗛，不足貌。」 |</v>
      </c>
    </row>
    <row r="7950" spans="1:44" hidden="1">
      <c r="A7950" s="1" t="s">
        <v>15522</v>
      </c>
      <c r="C7950" s="1">
        <v>1</v>
      </c>
      <c r="D7950" s="1" t="str">
        <f>"06499"</f>
        <v>06499</v>
      </c>
      <c r="E7950" s="1" t="s">
        <v>1908</v>
      </c>
      <c r="F7950" s="1">
        <v>14</v>
      </c>
      <c r="G7950" s="1">
        <v>10</v>
      </c>
      <c r="H7950" s="1">
        <v>0</v>
      </c>
      <c r="I7950" s="1" t="s">
        <v>15496</v>
      </c>
      <c r="K7950" s="1" t="str">
        <f t="shared" si="502"/>
        <v>ㄑ</v>
      </c>
      <c r="L7950" s="1" t="str">
        <f t="shared" si="503"/>
        <v>ㄧ</v>
      </c>
      <c r="M7950" s="1" t="str">
        <f t="shared" si="500"/>
        <v>ㄢ</v>
      </c>
      <c r="P7950" s="1" t="s">
        <v>20</v>
      </c>
      <c r="R7950" s="1" t="s">
        <v>15497</v>
      </c>
      <c r="V7950" s="1" t="s">
        <v>15523</v>
      </c>
      <c r="AR7950" s="1" t="str">
        <f t="shared" si="501"/>
        <v>| [ㄑㄧㄢˋ](ㄑㄧㄢˋ.md) | [歉](歉.md) |  | qiàn | [形]
農作物收成不好。如：「歉收」、「歉年」。《宋史．卷三四七．黃廉傳》：「是使民遇豐年而思歉歲也。」
[名]
對不起別人的心情。如：「抱歉」、「道歉」。 |</v>
      </c>
    </row>
    <row r="7951" spans="1:44" hidden="1">
      <c r="A7951" s="1" t="s">
        <v>15410</v>
      </c>
      <c r="C7951" s="1">
        <v>1</v>
      </c>
      <c r="D7951" s="1" t="str">
        <f>"06500"</f>
        <v>06500</v>
      </c>
      <c r="E7951" s="1" t="s">
        <v>331</v>
      </c>
      <c r="F7951" s="1">
        <v>17</v>
      </c>
      <c r="G7951" s="1">
        <v>10</v>
      </c>
      <c r="H7951" s="1">
        <v>2</v>
      </c>
      <c r="I7951" s="1" t="s">
        <v>15496</v>
      </c>
      <c r="K7951" s="1" t="str">
        <f t="shared" si="502"/>
        <v>ㄑ</v>
      </c>
      <c r="L7951" s="1" t="str">
        <f t="shared" si="503"/>
        <v>ㄧ</v>
      </c>
      <c r="M7951" s="1" t="str">
        <f t="shared" si="500"/>
        <v>ㄢ</v>
      </c>
      <c r="P7951" s="1" t="s">
        <v>20</v>
      </c>
      <c r="R7951" s="1" t="s">
        <v>15497</v>
      </c>
      <c r="V7951" s="1" t="s">
        <v>15524</v>
      </c>
      <c r="W7951" s="1" t="s">
        <v>15525</v>
      </c>
      <c r="AR7951" s="1" t="str">
        <f t="shared" si="501"/>
        <v>| [ㄑㄧㄢˋ](ㄑㄧㄢˋ.md) | [謙](謙.md) |  | qiàn | [形]
滿足。通「愜」。《禮記．大學》：「此之謂自謙。」 |</v>
      </c>
    </row>
    <row r="7952" spans="1:44" hidden="1">
      <c r="A7952" s="1" t="s">
        <v>15526</v>
      </c>
      <c r="C7952" s="1">
        <v>1</v>
      </c>
      <c r="D7952" s="1" t="str">
        <f>"06501"</f>
        <v>06501</v>
      </c>
      <c r="E7952" s="1" t="s">
        <v>132</v>
      </c>
      <c r="F7952" s="1">
        <v>14</v>
      </c>
      <c r="G7952" s="1">
        <v>11</v>
      </c>
      <c r="H7952" s="1">
        <v>0</v>
      </c>
      <c r="I7952" s="1" t="s">
        <v>15496</v>
      </c>
      <c r="K7952" s="1" t="str">
        <f t="shared" si="502"/>
        <v>ㄑ</v>
      </c>
      <c r="L7952" s="1" t="str">
        <f t="shared" si="503"/>
        <v>ㄧ</v>
      </c>
      <c r="M7952" s="1" t="str">
        <f t="shared" si="500"/>
        <v>ㄢ</v>
      </c>
      <c r="P7952" s="1" t="s">
        <v>20</v>
      </c>
      <c r="R7952" s="1" t="s">
        <v>15497</v>
      </c>
      <c r="V7952" s="1" t="s">
        <v>15527</v>
      </c>
      <c r="AR7952" s="1" t="str">
        <f t="shared" si="501"/>
        <v>| [ㄑㄧㄢˋ](ㄑㄧㄢˋ.md) | [塹](塹.md) |  | qiàn | [名]
1.坑、壕溝。亦指護城河。如：「溝塹」。《史記．卷八．高祖本紀》：「使高壘深塹，勿與戰。」《三國志．卷四七．吳書．吳主權傳》：「夏四月，大赦，詔諸郡縣治城郭，起譙樓，穿塹發渠，以備盜賊。」
2.險阻的地形。《南史．卷七七．恩倖傳．孔範傳》：「長江天塹，古來限隔。」
3.喻困難。如：「不經一塹，不長一智。」
4.參見「地塹」條。
[動]
挖溝。《左傳．昭公十七年》：「使隨人與後至者守之，環而塹之。」 |</v>
      </c>
    </row>
    <row r="7953" spans="1:44" hidden="1">
      <c r="A7953" s="1" t="s">
        <v>15528</v>
      </c>
      <c r="C7953" s="1">
        <v>1</v>
      </c>
      <c r="D7953" s="1" t="str">
        <f>"06502"</f>
        <v>06502</v>
      </c>
      <c r="E7953" s="1" t="s">
        <v>139</v>
      </c>
      <c r="F7953" s="1">
        <v>15</v>
      </c>
      <c r="G7953" s="1">
        <v>11</v>
      </c>
      <c r="H7953" s="1">
        <v>0</v>
      </c>
      <c r="I7953" s="1" t="s">
        <v>15496</v>
      </c>
      <c r="K7953" s="1" t="str">
        <f t="shared" si="502"/>
        <v>ㄑ</v>
      </c>
      <c r="L7953" s="1" t="str">
        <f t="shared" si="503"/>
        <v>ㄧ</v>
      </c>
      <c r="M7953" s="1" t="str">
        <f t="shared" si="500"/>
        <v>ㄢ</v>
      </c>
      <c r="P7953" s="1" t="s">
        <v>20</v>
      </c>
      <c r="R7953" s="1" t="s">
        <v>15497</v>
      </c>
      <c r="V7953" s="1" t="s">
        <v>15529</v>
      </c>
      <c r="AR7953" s="1" t="str">
        <f t="shared" si="501"/>
        <v>| [ㄑㄧㄢˋ](ㄑㄧㄢˋ.md) | [槧](槧.md) |  | qiàn | [名]
1.古時記事寫字用的木板。如：「懷鉛提槧」。漢．王充《論衡．量知》：「斷木為槧，析之為板，力加刮削，乃成奏牘。」
2.書札、書簡。宋．王令〈贈別晏成績懋父太祝〉詩：「幸因西南風，時作寄我槧。」
3.古書的版本。如：「古槧」、「宋槧」、「元槧」。宋．黃伯思《東觀餘論．卷下．跋洛陽所得杜少陵詩後》：「所錄杜子美詩，頗與今行槧本小異。」 |</v>
      </c>
    </row>
    <row r="7954" spans="1:44" hidden="1">
      <c r="A7954" s="1" t="s">
        <v>15530</v>
      </c>
      <c r="C7954" s="1">
        <v>1</v>
      </c>
      <c r="D7954" s="1" t="str">
        <f>"06503"</f>
        <v>06503</v>
      </c>
      <c r="E7954" s="1" t="s">
        <v>725</v>
      </c>
      <c r="F7954" s="1">
        <v>17</v>
      </c>
      <c r="G7954" s="1">
        <v>11</v>
      </c>
      <c r="H7954" s="1">
        <v>0</v>
      </c>
      <c r="I7954" s="1" t="s">
        <v>15496</v>
      </c>
      <c r="K7954" s="1" t="str">
        <f t="shared" si="502"/>
        <v>ㄑ</v>
      </c>
      <c r="L7954" s="1" t="str">
        <f t="shared" si="503"/>
        <v>ㄧ</v>
      </c>
      <c r="M7954" s="1" t="str">
        <f t="shared" si="500"/>
        <v>ㄢ</v>
      </c>
      <c r="P7954" s="1" t="s">
        <v>20</v>
      </c>
      <c r="R7954" s="1" t="s">
        <v>15497</v>
      </c>
      <c r="V7954" s="1" t="s">
        <v>15531</v>
      </c>
      <c r="AR7954" s="1" t="str">
        <f t="shared" si="501"/>
        <v>| [ㄑㄧㄢˋ](ㄑㄧㄢˋ.md) | [縴](縴.md) |  | qiàn | [名]
拉船前進的粗繩。如：「拉縴」、「縴繩」。《初刻拍案驚奇》卷一：「船上人見他這等模樣，都笑道：『文先生那裡又跎了縴來？』」 |</v>
      </c>
    </row>
    <row r="7955" spans="1:44" hidden="1">
      <c r="A7955" s="1" t="s">
        <v>15935</v>
      </c>
      <c r="C7955" s="1">
        <v>1</v>
      </c>
      <c r="D7955" s="1" t="str">
        <f>"06678"</f>
        <v>06678</v>
      </c>
      <c r="E7955" s="1" t="s">
        <v>103</v>
      </c>
      <c r="F7955" s="1">
        <v>9</v>
      </c>
      <c r="G7955" s="1">
        <v>6</v>
      </c>
      <c r="H7955" s="1">
        <v>0</v>
      </c>
      <c r="I7955" s="1" t="s">
        <v>15936</v>
      </c>
      <c r="K7955" s="1" t="str">
        <f t="shared" si="502"/>
        <v>ㄑ</v>
      </c>
      <c r="L7955" s="1" t="str">
        <f t="shared" si="503"/>
        <v>ㄩ</v>
      </c>
      <c r="M7955" s="1" t="str">
        <f t="shared" si="500"/>
        <v>ㄢ</v>
      </c>
      <c r="P7955" s="1" t="s">
        <v>20</v>
      </c>
      <c r="R7955" s="1" t="s">
        <v>15937</v>
      </c>
      <c r="V7955" s="1" t="s">
        <v>15938</v>
      </c>
      <c r="AR7955" s="1" t="str">
        <f t="shared" si="501"/>
        <v>| [ㄑㄩㄢ](ㄑㄩㄢ.md) | [弮](弮.md) |  | quān | [名]
弩的弓弦。《集韻．平聲．仙韻》：「絭，弩絭，或從弓。」宋．辛棄疾〈美芹十論．守淮〉：「臣竊謂解雜亂紛糾者不控弮，救鬥者不搏撠。」 |</v>
      </c>
    </row>
    <row r="7956" spans="1:44" hidden="1">
      <c r="A7956" s="1" t="s">
        <v>14691</v>
      </c>
      <c r="C7956" s="1">
        <v>1</v>
      </c>
      <c r="D7956" s="1" t="str">
        <f>"06679"</f>
        <v>06679</v>
      </c>
      <c r="E7956" s="1" t="s">
        <v>2557</v>
      </c>
      <c r="F7956" s="1">
        <v>11</v>
      </c>
      <c r="G7956" s="1">
        <v>8</v>
      </c>
      <c r="H7956" s="1">
        <v>1</v>
      </c>
      <c r="I7956" s="1" t="s">
        <v>15936</v>
      </c>
      <c r="K7956" s="1" t="str">
        <f t="shared" si="502"/>
        <v>ㄑ</v>
      </c>
      <c r="L7956" s="1" t="str">
        <f t="shared" si="503"/>
        <v>ㄩ</v>
      </c>
      <c r="M7956" s="1" t="str">
        <f t="shared" si="500"/>
        <v>ㄢ</v>
      </c>
      <c r="P7956" s="1" t="s">
        <v>20</v>
      </c>
      <c r="R7956" s="1" t="s">
        <v>15937</v>
      </c>
      <c r="V7956" s="1" t="s">
        <v>15939</v>
      </c>
      <c r="W7956" s="1" t="s">
        <v>15940</v>
      </c>
      <c r="AR7956" s="1" t="str">
        <f t="shared" si="501"/>
        <v>| [ㄑㄩㄢ](ㄑㄩㄢ.md) | [圈](圈.md) |  | quān | [名]
1.外圓中空的東西或形狀。如：「項圈」、「花圈」。
2.指特定的行業範疇。如：「電影圈」、「圈內人」。
3.量詞。計算環繞次數的單位。如：「三圈鐵絲」、「繞場一圈」。
[動]
1.把四周包圍、環繞起來。如：「把這塊地圈起來。」
2.畫圈作記號。如：「圈點」、「圈選」。 |</v>
      </c>
    </row>
    <row r="7957" spans="1:44" hidden="1">
      <c r="A7957" s="1" t="s">
        <v>15941</v>
      </c>
      <c r="C7957" s="1">
        <v>1</v>
      </c>
      <c r="D7957" s="1" t="str">
        <f>"06680"</f>
        <v>06680</v>
      </c>
      <c r="E7957" s="1" t="s">
        <v>139</v>
      </c>
      <c r="F7957" s="1">
        <v>12</v>
      </c>
      <c r="G7957" s="1">
        <v>8</v>
      </c>
      <c r="H7957" s="1">
        <v>0</v>
      </c>
      <c r="I7957" s="1" t="s">
        <v>15936</v>
      </c>
      <c r="K7957" s="1" t="str">
        <f t="shared" si="502"/>
        <v>ㄑ</v>
      </c>
      <c r="L7957" s="1" t="str">
        <f t="shared" si="503"/>
        <v>ㄩ</v>
      </c>
      <c r="M7957" s="1" t="str">
        <f t="shared" ref="M7957:M8020" si="504">MID(I7957, 3, 1)</f>
        <v>ㄢ</v>
      </c>
      <c r="P7957" s="1" t="s">
        <v>20</v>
      </c>
      <c r="R7957" s="1" t="s">
        <v>15937</v>
      </c>
      <c r="V7957" s="1" t="s">
        <v>15942</v>
      </c>
      <c r="AR7957" s="1" t="str">
        <f t="shared" si="501"/>
        <v>| [ㄑㄩㄢ](ㄑㄩㄢ.md) | [棬](棬.md) |  | quān | [名]
曲木製成的盂。《廣韻．平聲．仙韻》：「棬，器，似升，屈木作。」《孟子．告子上》：「子能順杞柳之性而以為桮棬乎？」《舊唐書．卷七．中宗本紀》：「幸臨渭亭修禊飲，賜群官柳棬以辟惡。」 |</v>
      </c>
    </row>
    <row r="7958" spans="1:44" hidden="1">
      <c r="A7958" s="1" t="s">
        <v>15943</v>
      </c>
      <c r="C7958" s="1">
        <v>1</v>
      </c>
      <c r="D7958" s="1" t="str">
        <f>"06681"</f>
        <v>06681</v>
      </c>
      <c r="E7958" s="1" t="s">
        <v>250</v>
      </c>
      <c r="F7958" s="1">
        <v>10</v>
      </c>
      <c r="G7958" s="1">
        <v>7</v>
      </c>
      <c r="H7958" s="1">
        <v>0</v>
      </c>
      <c r="I7958" s="1" t="s">
        <v>15936</v>
      </c>
      <c r="K7958" s="1" t="str">
        <f t="shared" si="502"/>
        <v>ㄑ</v>
      </c>
      <c r="L7958" s="1" t="str">
        <f t="shared" si="503"/>
        <v>ㄩ</v>
      </c>
      <c r="M7958" s="1" t="str">
        <f t="shared" si="504"/>
        <v>ㄢ</v>
      </c>
      <c r="P7958" s="1" t="s">
        <v>20</v>
      </c>
      <c r="R7958" s="1" t="s">
        <v>15937</v>
      </c>
      <c r="V7958" s="1" t="s">
        <v>15944</v>
      </c>
      <c r="AR7958" s="1" t="str">
        <f t="shared" si="501"/>
        <v>| [ㄑㄩㄢ](ㄑㄩㄢ.md) | [悛](悛.md) |  | quān | [動]
悔改。如：「怙惡不悛」。唐．白居易〈策林一．十六議祥瑞〉：「故王者不懼妖之不滅，而懼過之不悛。」明．陸灼《艾子後語．凍兒譎諫》：「每加榎楚而不悛。」 |</v>
      </c>
    </row>
    <row r="7959" spans="1:44" hidden="1">
      <c r="A7959" s="1" t="s">
        <v>15945</v>
      </c>
      <c r="C7959" s="1">
        <v>1</v>
      </c>
      <c r="D7959" s="1" t="str">
        <f>"06682"</f>
        <v>06682</v>
      </c>
      <c r="E7959" s="1" t="s">
        <v>7132</v>
      </c>
      <c r="F7959" s="1">
        <v>6</v>
      </c>
      <c r="G7959" s="1">
        <v>4</v>
      </c>
      <c r="H7959" s="1">
        <v>0</v>
      </c>
      <c r="I7959" s="1" t="s">
        <v>15946</v>
      </c>
      <c r="K7959" s="1" t="str">
        <f t="shared" si="502"/>
        <v>ㄑ</v>
      </c>
      <c r="L7959" s="1" t="str">
        <f t="shared" si="503"/>
        <v>ㄩ</v>
      </c>
      <c r="M7959" s="1" t="str">
        <f t="shared" si="504"/>
        <v>ㄢ</v>
      </c>
      <c r="P7959" s="1" t="s">
        <v>20</v>
      </c>
      <c r="R7959" s="1" t="s">
        <v>15947</v>
      </c>
      <c r="V7959" s="1" t="s">
        <v>15948</v>
      </c>
      <c r="AR7959" s="1" t="str">
        <f t="shared" si="501"/>
        <v>| [ㄑㄩㄢˊ](ㄑㄩㄢˊ.md) | [全](全.md) |  | quán | [形]
1.完備、不缺。如：「齊全」、「文武雙全」。宋．蘇軾〈水調歌頭．明月幾時有〉詞：「人有悲歡離合，月有陰晴圓缺，此事古難全。」
2.整個的。如：「全家」、「全人類」、「全神貫注」、「全軍覆沒」。《漢書．卷五一．枚乘傳》：「今漢據全秦之地，兼六國之眾。」
[副]
皆、都。如：「全自動化」、「將課文全背下來！」、「這事全靠你幫忙了！」宋．辛棄疾〈西江月．醉裡且貪歡笑〉詞：「近來始覺古人書，信著全無是處。」
[動]
使完整而沒有缺憾。如：「保全」、「苟全」、「顧全大局」。《文選．司馬遷．報任少卿書》：「今舉事一不當，而全軀保妻子之臣，隨而媒孽其短，僕誠私心痛之。」
[名]
姓。如清代有全祖望。 |</v>
      </c>
    </row>
    <row r="7960" spans="1:44" hidden="1">
      <c r="A7960" s="1" t="s">
        <v>15949</v>
      </c>
      <c r="C7960" s="1">
        <v>1</v>
      </c>
      <c r="D7960" s="1" t="str">
        <f>"06683"</f>
        <v>06683</v>
      </c>
      <c r="E7960" s="1" t="s">
        <v>114</v>
      </c>
      <c r="F7960" s="1">
        <v>8</v>
      </c>
      <c r="G7960" s="1">
        <v>6</v>
      </c>
      <c r="H7960" s="1">
        <v>0</v>
      </c>
      <c r="I7960" s="1" t="s">
        <v>15946</v>
      </c>
      <c r="K7960" s="1" t="str">
        <f t="shared" si="502"/>
        <v>ㄑ</v>
      </c>
      <c r="L7960" s="1" t="str">
        <f t="shared" si="503"/>
        <v>ㄩ</v>
      </c>
      <c r="M7960" s="1" t="str">
        <f t="shared" si="504"/>
        <v>ㄢ</v>
      </c>
      <c r="P7960" s="1" t="s">
        <v>20</v>
      </c>
      <c r="R7960" s="1" t="s">
        <v>15947</v>
      </c>
      <c r="V7960" s="1" t="s">
        <v>15950</v>
      </c>
      <c r="AR7960" s="1" t="str">
        <f t="shared" si="501"/>
        <v>| [ㄑㄩㄢˊ](ㄑㄩㄢˊ.md) | [佺](佺.md) |  | quán | [名]
偓佺：古代傳說中的仙人。《說文解字．人部》：「偓，偓佺，古仙人名也。」《史記．卷一一七．司馬相如傳》：「靈圉燕於閒觀，偓佺之倫暴於南容。」裴駰集解引《漢書音義》曰：「偓佺，仙人名也。」 |</v>
      </c>
    </row>
    <row r="7961" spans="1:44" hidden="1">
      <c r="A7961" s="1" t="s">
        <v>15951</v>
      </c>
      <c r="C7961" s="1">
        <v>1</v>
      </c>
      <c r="D7961" s="1" t="str">
        <f>"06684"</f>
        <v>06684</v>
      </c>
      <c r="E7961" s="1" t="s">
        <v>37</v>
      </c>
      <c r="F7961" s="1">
        <v>10</v>
      </c>
      <c r="G7961" s="1">
        <v>6</v>
      </c>
      <c r="H7961" s="1">
        <v>0</v>
      </c>
      <c r="I7961" s="1" t="s">
        <v>15946</v>
      </c>
      <c r="K7961" s="1" t="str">
        <f t="shared" si="502"/>
        <v>ㄑ</v>
      </c>
      <c r="L7961" s="1" t="str">
        <f t="shared" si="503"/>
        <v>ㄩ</v>
      </c>
      <c r="M7961" s="1" t="str">
        <f t="shared" si="504"/>
        <v>ㄢ</v>
      </c>
      <c r="P7961" s="1" t="s">
        <v>20</v>
      </c>
      <c r="R7961" s="1" t="s">
        <v>15947</v>
      </c>
      <c r="V7961" s="1" t="s">
        <v>15952</v>
      </c>
      <c r="AR7961" s="1" t="str">
        <f t="shared" si="501"/>
        <v>| [ㄑㄩㄢˊ](ㄑㄩㄢˊ.md) | [荃](荃.md) |  | quán | [名]
一種香草。《玉篇．艸部》：「荃，香草也。」《楚辭．屈原．離騷》：「荃不察余之中情兮，反信讒而齌怒。」 |</v>
      </c>
    </row>
    <row r="7962" spans="1:44" hidden="1">
      <c r="A7962" s="1" t="s">
        <v>15953</v>
      </c>
      <c r="C7962" s="1">
        <v>1</v>
      </c>
      <c r="D7962" s="1" t="str">
        <f>"06685"</f>
        <v>06685</v>
      </c>
      <c r="E7962" s="1" t="s">
        <v>518</v>
      </c>
      <c r="F7962" s="1">
        <v>10</v>
      </c>
      <c r="G7962" s="1">
        <v>6</v>
      </c>
      <c r="H7962" s="1">
        <v>0</v>
      </c>
      <c r="I7962" s="1" t="s">
        <v>15946</v>
      </c>
      <c r="K7962" s="1" t="str">
        <f t="shared" si="502"/>
        <v>ㄑ</v>
      </c>
      <c r="L7962" s="1" t="str">
        <f t="shared" si="503"/>
        <v>ㄩ</v>
      </c>
      <c r="M7962" s="1" t="str">
        <f t="shared" si="504"/>
        <v>ㄢ</v>
      </c>
      <c r="P7962" s="1" t="s">
        <v>20</v>
      </c>
      <c r="R7962" s="1" t="s">
        <v>15947</v>
      </c>
      <c r="V7962" s="1" t="s">
        <v>15954</v>
      </c>
      <c r="AR7962" s="1" t="str">
        <f t="shared" si="501"/>
        <v>| [ㄑㄩㄢˊ](ㄑㄩㄢˊ.md) | [牷](牷.md) |  | quán | [名]
1.純色的牛。《說文解字．牛部》：「牷，牛純色。」
2.完整的牲體。《書經．微子》：「今殷民乃攘竊神祇之犧牷牲。」 |</v>
      </c>
    </row>
    <row r="7963" spans="1:44" hidden="1">
      <c r="A7963" s="1" t="s">
        <v>15955</v>
      </c>
      <c r="C7963" s="1">
        <v>1</v>
      </c>
      <c r="D7963" s="1" t="str">
        <f>"06686"</f>
        <v>06686</v>
      </c>
      <c r="E7963" s="1" t="s">
        <v>40</v>
      </c>
      <c r="F7963" s="1">
        <v>11</v>
      </c>
      <c r="G7963" s="1">
        <v>6</v>
      </c>
      <c r="H7963" s="1">
        <v>0</v>
      </c>
      <c r="I7963" s="1" t="s">
        <v>15946</v>
      </c>
      <c r="K7963" s="1" t="str">
        <f t="shared" si="502"/>
        <v>ㄑ</v>
      </c>
      <c r="L7963" s="1" t="str">
        <f t="shared" si="503"/>
        <v>ㄩ</v>
      </c>
      <c r="M7963" s="1" t="str">
        <f t="shared" si="504"/>
        <v>ㄢ</v>
      </c>
      <c r="P7963" s="1" t="s">
        <v>20</v>
      </c>
      <c r="R7963" s="1" t="s">
        <v>15947</v>
      </c>
      <c r="V7963" s="1" t="s">
        <v>15956</v>
      </c>
      <c r="AR7963" s="1" t="str">
        <f t="shared" si="501"/>
        <v>| [ㄑㄩㄢˊ](ㄑㄩㄢˊ.md) | [痊](痊.md) |  | quán | [動]
病除、康復。如：「痊癒」。南朝宋．謝靈運〈辨宗論．荅王衛軍問〉：「譬如藥驗者疾易痊。」 |</v>
      </c>
    </row>
    <row r="7964" spans="1:44" hidden="1">
      <c r="A7964" s="1" t="s">
        <v>15957</v>
      </c>
      <c r="C7964" s="1">
        <v>1</v>
      </c>
      <c r="D7964" s="1" t="str">
        <f>"06687"</f>
        <v>06687</v>
      </c>
      <c r="E7964" s="1" t="s">
        <v>49</v>
      </c>
      <c r="F7964" s="1">
        <v>12</v>
      </c>
      <c r="G7964" s="1">
        <v>6</v>
      </c>
      <c r="H7964" s="1">
        <v>0</v>
      </c>
      <c r="I7964" s="1" t="s">
        <v>15946</v>
      </c>
      <c r="K7964" s="1" t="str">
        <f t="shared" si="502"/>
        <v>ㄑ</v>
      </c>
      <c r="L7964" s="1" t="str">
        <f t="shared" si="503"/>
        <v>ㄩ</v>
      </c>
      <c r="M7964" s="1" t="str">
        <f t="shared" si="504"/>
        <v>ㄢ</v>
      </c>
      <c r="P7964" s="1" t="s">
        <v>20</v>
      </c>
      <c r="R7964" s="1" t="s">
        <v>15947</v>
      </c>
      <c r="V7964" s="1" t="s">
        <v>15958</v>
      </c>
      <c r="AR7964" s="1" t="str">
        <f t="shared" si="501"/>
        <v>| [ㄑㄩㄢˊ](ㄑㄩㄢˊ.md) | [筌](筌.md) |  | quán | [名]
捕魚的竹器。《廣韻．平聲．先韻》：「筌，取魚竹器。」《莊子．外物》：「筌者所以在魚，得魚而忘筌。」《文選．嵇康．贈秀才入軍詩五首之四》：「嘉彼釣叟，得魚忘筌。」 |</v>
      </c>
    </row>
    <row r="7965" spans="1:44" hidden="1">
      <c r="A7965" s="1" t="s">
        <v>15959</v>
      </c>
      <c r="C7965" s="1">
        <v>1</v>
      </c>
      <c r="D7965" s="1" t="str">
        <f>"06688"</f>
        <v>06688</v>
      </c>
      <c r="E7965" s="1" t="s">
        <v>331</v>
      </c>
      <c r="F7965" s="1">
        <v>13</v>
      </c>
      <c r="G7965" s="1">
        <v>6</v>
      </c>
      <c r="H7965" s="1">
        <v>0</v>
      </c>
      <c r="I7965" s="1" t="s">
        <v>15946</v>
      </c>
      <c r="K7965" s="1" t="str">
        <f t="shared" si="502"/>
        <v>ㄑ</v>
      </c>
      <c r="L7965" s="1" t="str">
        <f t="shared" si="503"/>
        <v>ㄩ</v>
      </c>
      <c r="M7965" s="1" t="str">
        <f t="shared" si="504"/>
        <v>ㄢ</v>
      </c>
      <c r="P7965" s="1" t="s">
        <v>20</v>
      </c>
      <c r="R7965" s="1" t="s">
        <v>15947</v>
      </c>
      <c r="V7965" s="1" t="s">
        <v>15960</v>
      </c>
      <c r="AR7965" s="1" t="str">
        <f t="shared" si="501"/>
        <v>| [ㄑㄩㄢˊ](ㄑㄩㄢˊ.md) | [詮](詮.md) |  | quán | [動]
解釋、評說事理。如：「詮釋」。《晉書．卷四五．武陔傳》：「文帝甚親重之，數與詮論時人。」唐．元稹〈解秋〉詩一〇首之一〇：「我懷有時極，此意何由詮！」
[名]
真理。《淮南子．兵略》：「發必中詮，言必合數。」唐．杜甫〈秋日夔州詠懷寄鄭監李賓客一百韻〉：「落帆追宿昔，衣褐向真詮。」 |</v>
      </c>
    </row>
    <row r="7966" spans="1:44" hidden="1">
      <c r="A7966" s="1" t="s">
        <v>15961</v>
      </c>
      <c r="C7966" s="1">
        <v>1</v>
      </c>
      <c r="D7966" s="1" t="str">
        <f>"06689"</f>
        <v>06689</v>
      </c>
      <c r="E7966" s="1" t="s">
        <v>71</v>
      </c>
      <c r="F7966" s="1">
        <v>13</v>
      </c>
      <c r="G7966" s="1">
        <v>6</v>
      </c>
      <c r="H7966" s="1">
        <v>0</v>
      </c>
      <c r="I7966" s="1" t="s">
        <v>15946</v>
      </c>
      <c r="K7966" s="1" t="str">
        <f t="shared" si="502"/>
        <v>ㄑ</v>
      </c>
      <c r="L7966" s="1" t="str">
        <f t="shared" si="503"/>
        <v>ㄩ</v>
      </c>
      <c r="M7966" s="1" t="str">
        <f t="shared" si="504"/>
        <v>ㄢ</v>
      </c>
      <c r="P7966" s="1" t="s">
        <v>20</v>
      </c>
      <c r="R7966" s="1" t="s">
        <v>15947</v>
      </c>
      <c r="V7966" s="1" t="s">
        <v>15962</v>
      </c>
      <c r="AR7966" s="1" t="str">
        <f t="shared" si="501"/>
        <v>| [ㄑㄩㄢˊ](ㄑㄩㄢˊ.md) | [輇](輇.md) |  | quán | [名]
沒有輻的車輪。《說文解字．車部》：「輇，無輻也。」
[動]
衡量。《集韻．平聲．仙韻》：「輇，量度也。」清．朱鶴齡〈吳弘人示余漢槎秋笳集感而有作〉詩：「方今網羅開，輇材咸得試。」 |</v>
      </c>
    </row>
    <row r="7967" spans="1:44" hidden="1">
      <c r="A7967" s="1" t="s">
        <v>15963</v>
      </c>
      <c r="C7967" s="1">
        <v>1</v>
      </c>
      <c r="D7967" s="1" t="str">
        <f>"06690"</f>
        <v>06690</v>
      </c>
      <c r="E7967" s="1" t="s">
        <v>77</v>
      </c>
      <c r="F7967" s="1">
        <v>13</v>
      </c>
      <c r="G7967" s="1">
        <v>6</v>
      </c>
      <c r="H7967" s="1">
        <v>0</v>
      </c>
      <c r="I7967" s="1" t="s">
        <v>15946</v>
      </c>
      <c r="K7967" s="1" t="str">
        <f t="shared" si="502"/>
        <v>ㄑ</v>
      </c>
      <c r="L7967" s="1" t="str">
        <f t="shared" si="503"/>
        <v>ㄩ</v>
      </c>
      <c r="M7967" s="1" t="str">
        <f t="shared" si="504"/>
        <v>ㄢ</v>
      </c>
      <c r="P7967" s="1" t="s">
        <v>20</v>
      </c>
      <c r="R7967" s="1" t="s">
        <v>15947</v>
      </c>
      <c r="V7967" s="1" t="s">
        <v>15964</v>
      </c>
      <c r="AR7967" s="1" t="str">
        <f t="shared" si="501"/>
        <v>| [ㄑㄩㄢˊ](ㄑㄩㄢˊ.md) | [跧](跧.md) |  | quán | [動]
1.踢。《說文解字．足部》：「跧，蹴也。」
2.踡曲、蹲伏。《文選．王延壽．魯靈光殿賦》：「狡兔跧伏於柎側，猿狖攀椽而相追。」 |</v>
      </c>
    </row>
    <row r="7968" spans="1:44" hidden="1">
      <c r="A7968" s="1" t="s">
        <v>15965</v>
      </c>
      <c r="C7968" s="1">
        <v>1</v>
      </c>
      <c r="D7968" s="1" t="str">
        <f>"06691"</f>
        <v>06691</v>
      </c>
      <c r="E7968" s="1" t="s">
        <v>55</v>
      </c>
      <c r="F7968" s="1">
        <v>14</v>
      </c>
      <c r="G7968" s="1">
        <v>6</v>
      </c>
      <c r="H7968" s="1">
        <v>0</v>
      </c>
      <c r="I7968" s="1" t="s">
        <v>15946</v>
      </c>
      <c r="K7968" s="1" t="str">
        <f t="shared" si="502"/>
        <v>ㄑ</v>
      </c>
      <c r="L7968" s="1" t="str">
        <f t="shared" si="503"/>
        <v>ㄩ</v>
      </c>
      <c r="M7968" s="1" t="str">
        <f t="shared" si="504"/>
        <v>ㄢ</v>
      </c>
      <c r="P7968" s="1" t="s">
        <v>20</v>
      </c>
      <c r="R7968" s="1" t="s">
        <v>15947</v>
      </c>
      <c r="V7968" s="1" t="s">
        <v>15966</v>
      </c>
      <c r="AR7968" s="1" t="str">
        <f t="shared" si="501"/>
        <v>| [ㄑㄩㄢˊ](ㄑㄩㄢˊ.md) | [銓](銓.md) |  | quán | [動]_x000D_
1.衡量。《國語．吳語》：「不智，則不知民之極，無以銓度天下之眾寡。」漢．王充《論衡．對作》：「故《論衡》者，所以銓輕重之言，立真偽之平。」_x000D_
2.選擇官吏。如：「銓敘」、「銓選」。《魏書．卷八．世宗紀》：「而中正所銓，但存門第，吏部彞倫，仍不才舉。」_x000D_
[名]_x000D_
姓。如漢代有銓徵。 |</v>
      </c>
    </row>
    <row r="7969" spans="1:44" hidden="1">
      <c r="A7969" s="1" t="s">
        <v>15967</v>
      </c>
      <c r="C7969" s="1">
        <v>1</v>
      </c>
      <c r="D7969" s="1" t="str">
        <f>"06692"</f>
        <v>06692</v>
      </c>
      <c r="E7969" s="1" t="s">
        <v>1462</v>
      </c>
      <c r="F7969" s="1">
        <v>17</v>
      </c>
      <c r="G7969" s="1">
        <v>10</v>
      </c>
      <c r="H7969" s="1">
        <v>0</v>
      </c>
      <c r="I7969" s="1" t="s">
        <v>15946</v>
      </c>
      <c r="K7969" s="1" t="str">
        <f t="shared" si="502"/>
        <v>ㄑ</v>
      </c>
      <c r="L7969" s="1" t="str">
        <f t="shared" si="503"/>
        <v>ㄩ</v>
      </c>
      <c r="M7969" s="1" t="str">
        <f t="shared" si="504"/>
        <v>ㄢ</v>
      </c>
      <c r="P7969" s="1" t="s">
        <v>20</v>
      </c>
      <c r="R7969" s="1" t="s">
        <v>15947</v>
      </c>
      <c r="V7969" s="1" t="s">
        <v>15968</v>
      </c>
      <c r="AR7969" s="1" t="str">
        <f t="shared" si="501"/>
        <v>| [ㄑㄩㄢˊ](ㄑㄩㄢˊ.md) | [醛](醛.md) |  | quán | [名]
一種含羰基的有機化合物。羰基的碳原子一端接氫原子，另一端接氫原子或烴基。係一級醇氧化之初產物。如：「甲醛」、「乙醛」。 |</v>
      </c>
    </row>
    <row r="7970" spans="1:44" hidden="1">
      <c r="A7970" s="1" t="s">
        <v>14700</v>
      </c>
      <c r="C7970" s="1">
        <v>1</v>
      </c>
      <c r="D7970" s="1" t="str">
        <f>"06693"</f>
        <v>06693</v>
      </c>
      <c r="E7970" s="1" t="s">
        <v>2954</v>
      </c>
      <c r="F7970" s="1">
        <v>8</v>
      </c>
      <c r="G7970" s="1">
        <v>6</v>
      </c>
      <c r="H7970" s="1">
        <v>3</v>
      </c>
      <c r="I7970" s="1" t="s">
        <v>15946</v>
      </c>
      <c r="K7970" s="1" t="str">
        <f t="shared" si="502"/>
        <v>ㄑ</v>
      </c>
      <c r="L7970" s="1" t="str">
        <f t="shared" si="503"/>
        <v>ㄩ</v>
      </c>
      <c r="M7970" s="1" t="str">
        <f t="shared" si="504"/>
        <v>ㄢ</v>
      </c>
      <c r="P7970" s="1" t="s">
        <v>20</v>
      </c>
      <c r="R7970" s="1" t="s">
        <v>15947</v>
      </c>
      <c r="V7970" s="1" t="s">
        <v>15969</v>
      </c>
      <c r="W7970" s="1" t="s">
        <v>15970</v>
      </c>
      <c r="AR7970" s="1" t="str">
        <f t="shared" si="501"/>
        <v>| [ㄑㄩㄢˊ](ㄑㄩㄢˊ.md) | [卷](卷.md) |  | quán | [形]
1.彎曲的。如：「卷枝」、「卷曲」。
2.好。《詩經．陳風．澤陂》：「有美一人，碩大且卷。」漢．毛亨．傳：「卷，好貌。」 |</v>
      </c>
    </row>
    <row r="7971" spans="1:44" hidden="1">
      <c r="A7971" s="1" t="s">
        <v>15971</v>
      </c>
      <c r="C7971" s="1">
        <v>1</v>
      </c>
      <c r="D7971" s="1" t="str">
        <f>"06694"</f>
        <v>06694</v>
      </c>
      <c r="E7971" s="1" t="s">
        <v>24</v>
      </c>
      <c r="F7971" s="1">
        <v>10</v>
      </c>
      <c r="G7971" s="1">
        <v>6</v>
      </c>
      <c r="H7971" s="1">
        <v>0</v>
      </c>
      <c r="I7971" s="1" t="s">
        <v>15946</v>
      </c>
      <c r="K7971" s="1" t="str">
        <f t="shared" si="502"/>
        <v>ㄑ</v>
      </c>
      <c r="L7971" s="1" t="str">
        <f t="shared" si="503"/>
        <v>ㄩ</v>
      </c>
      <c r="M7971" s="1" t="str">
        <f t="shared" si="504"/>
        <v>ㄢ</v>
      </c>
      <c r="P7971" s="1" t="s">
        <v>20</v>
      </c>
      <c r="R7971" s="1" t="s">
        <v>15947</v>
      </c>
      <c r="V7971" s="1" t="s">
        <v>15972</v>
      </c>
      <c r="AR7971" s="1" t="str">
        <f t="shared" si="501"/>
        <v>| [ㄑㄩㄢˊ](ㄑㄩㄢˊ.md) | [拳](拳.md) |  | quán | [名]
1.手屈指捲握成的形狀。如：「雙手握拳。」、「揮拳打人。」
2.一種徒手搏擊的武術。如：「打拳」、「太極拳」、「少林拳」。
3.量詞。計算拳頭出擊的單位。如：「他連揮三拳，全部落空。」
4.姓。如春秋時衛國有拳彌。
[動]
彎曲。如：「拳起腿來。」北齊．顏之推《顏氏家訓．勉學》：「時又患疥，手不得拳，膝不得屈。」唐．柳宗元〈種樹郭橐駝傳〉：「他植者則不然，根拳而土易。」 |</v>
      </c>
    </row>
    <row r="7972" spans="1:44" hidden="1">
      <c r="A7972" s="1" t="s">
        <v>15973</v>
      </c>
      <c r="C7972" s="1">
        <v>1</v>
      </c>
      <c r="D7972" s="1" t="str">
        <f>"06695"</f>
        <v>06695</v>
      </c>
      <c r="E7972" s="1" t="s">
        <v>250</v>
      </c>
      <c r="F7972" s="1">
        <v>11</v>
      </c>
      <c r="G7972" s="1">
        <v>8</v>
      </c>
      <c r="H7972" s="1">
        <v>0</v>
      </c>
      <c r="I7972" s="1" t="s">
        <v>15946</v>
      </c>
      <c r="K7972" s="1" t="str">
        <f t="shared" si="502"/>
        <v>ㄑ</v>
      </c>
      <c r="L7972" s="1" t="str">
        <f t="shared" si="503"/>
        <v>ㄩ</v>
      </c>
      <c r="M7972" s="1" t="str">
        <f t="shared" si="504"/>
        <v>ㄢ</v>
      </c>
      <c r="P7972" s="1" t="s">
        <v>20</v>
      </c>
      <c r="R7972" s="1" t="s">
        <v>15947</v>
      </c>
      <c r="V7972" s="1" t="s">
        <v>15974</v>
      </c>
      <c r="AR7972" s="1" t="str">
        <f t="shared" si="501"/>
        <v>| [ㄑㄩㄢˊ](ㄑㄩㄢˊ.md) | [惓](惓.md) |  | quán | 參見「惓惓」條。 |</v>
      </c>
    </row>
    <row r="7973" spans="1:44" hidden="1">
      <c r="A7973" s="1" t="s">
        <v>15975</v>
      </c>
      <c r="C7973" s="1">
        <v>1</v>
      </c>
      <c r="D7973" s="1" t="str">
        <f>"06696"</f>
        <v>06696</v>
      </c>
      <c r="E7973" s="1" t="s">
        <v>679</v>
      </c>
      <c r="F7973" s="1">
        <v>14</v>
      </c>
      <c r="G7973" s="1">
        <v>8</v>
      </c>
      <c r="H7973" s="1">
        <v>0</v>
      </c>
      <c r="I7973" s="1" t="s">
        <v>15946</v>
      </c>
      <c r="K7973" s="1" t="str">
        <f t="shared" si="502"/>
        <v>ㄑ</v>
      </c>
      <c r="L7973" s="1" t="str">
        <f t="shared" si="503"/>
        <v>ㄩ</v>
      </c>
      <c r="M7973" s="1" t="str">
        <f t="shared" si="504"/>
        <v>ㄢ</v>
      </c>
      <c r="P7973" s="1" t="s">
        <v>20</v>
      </c>
      <c r="R7973" s="1" t="s">
        <v>15947</v>
      </c>
      <c r="V7973" s="1" t="s">
        <v>15976</v>
      </c>
      <c r="AR7973" s="1" t="str">
        <f t="shared" si="501"/>
        <v>| [ㄑㄩㄢˊ](ㄑㄩㄢˊ.md) | [蜷](蜷.md) |  | quán | [形]
爬蟲身體扭曲的樣子。《廣韻．平聲．先韻》：「蜷，蟲形詰屈。」
[動]
縮伏、屈曲。如：「小貓吃飽後，蜷在沙發上睡著了。」 |</v>
      </c>
    </row>
    <row r="7974" spans="1:44" hidden="1">
      <c r="A7974" s="1" t="s">
        <v>15977</v>
      </c>
      <c r="C7974" s="1">
        <v>1</v>
      </c>
      <c r="D7974" s="1" t="str">
        <f>"06697"</f>
        <v>06697</v>
      </c>
      <c r="E7974" s="1" t="s">
        <v>77</v>
      </c>
      <c r="F7974" s="1">
        <v>15</v>
      </c>
      <c r="G7974" s="1">
        <v>8</v>
      </c>
      <c r="H7974" s="1">
        <v>0</v>
      </c>
      <c r="I7974" s="1" t="s">
        <v>15946</v>
      </c>
      <c r="K7974" s="1" t="str">
        <f t="shared" si="502"/>
        <v>ㄑ</v>
      </c>
      <c r="L7974" s="1" t="str">
        <f t="shared" si="503"/>
        <v>ㄩ</v>
      </c>
      <c r="M7974" s="1" t="str">
        <f t="shared" si="504"/>
        <v>ㄢ</v>
      </c>
      <c r="P7974" s="1" t="s">
        <v>20</v>
      </c>
      <c r="R7974" s="1" t="s">
        <v>15947</v>
      </c>
      <c r="V7974" s="1" t="s">
        <v>15978</v>
      </c>
      <c r="AR7974" s="1" t="str">
        <f t="shared" si="501"/>
        <v>| [ㄑㄩㄢˊ](ㄑㄩㄢˊ.md) | [踡](踡.md) |  | quán | [動]
縮伏、拳曲。明．李時珍《本草綱目．卷五一．獸部．風貍》：「晝則踡服不動如蝟，夜則因風騰躍甚捷。」《聊齋志異．卷二．蓮香》：「踡其體不盈二尺。」 |</v>
      </c>
    </row>
    <row r="7975" spans="1:44" hidden="1">
      <c r="A7975" s="1" t="s">
        <v>15979</v>
      </c>
      <c r="C7975" s="1">
        <v>1</v>
      </c>
      <c r="D7975" s="1" t="str">
        <f>"06698"</f>
        <v>06698</v>
      </c>
      <c r="E7975" s="1" t="s">
        <v>1078</v>
      </c>
      <c r="F7975" s="1">
        <v>18</v>
      </c>
      <c r="G7975" s="1">
        <v>8</v>
      </c>
      <c r="H7975" s="1">
        <v>0</v>
      </c>
      <c r="I7975" s="1" t="s">
        <v>15946</v>
      </c>
      <c r="K7975" s="1" t="str">
        <f t="shared" si="502"/>
        <v>ㄑ</v>
      </c>
      <c r="L7975" s="1" t="str">
        <f t="shared" si="503"/>
        <v>ㄩ</v>
      </c>
      <c r="M7975" s="1" t="str">
        <f t="shared" si="504"/>
        <v>ㄢ</v>
      </c>
      <c r="P7975" s="1" t="s">
        <v>20</v>
      </c>
      <c r="R7975" s="1" t="s">
        <v>15947</v>
      </c>
      <c r="V7975" s="1" t="s">
        <v>15980</v>
      </c>
      <c r="AR7975" s="1" t="str">
        <f t="shared" si="501"/>
        <v>| [ㄑㄩㄢˊ](ㄑㄩㄢˊ.md) | [鬈](鬈.md) |  | quán | [形]
毛髮卷曲的。如：「鬈髮」、「鬈毛狗」、「鬈獅異獸」。 |</v>
      </c>
    </row>
    <row r="7976" spans="1:44" hidden="1">
      <c r="A7976" s="1" t="s">
        <v>15981</v>
      </c>
      <c r="C7976" s="1">
        <v>1</v>
      </c>
      <c r="D7976" s="1" t="str">
        <f>"06699"</f>
        <v>06699</v>
      </c>
      <c r="E7976" s="1" t="s">
        <v>129</v>
      </c>
      <c r="F7976" s="1">
        <v>9</v>
      </c>
      <c r="G7976" s="1">
        <v>5</v>
      </c>
      <c r="H7976" s="1">
        <v>0</v>
      </c>
      <c r="I7976" s="1" t="s">
        <v>15946</v>
      </c>
      <c r="K7976" s="1" t="str">
        <f t="shared" si="502"/>
        <v>ㄑ</v>
      </c>
      <c r="L7976" s="1" t="str">
        <f t="shared" si="503"/>
        <v>ㄩ</v>
      </c>
      <c r="M7976" s="1" t="str">
        <f t="shared" si="504"/>
        <v>ㄢ</v>
      </c>
      <c r="P7976" s="1" t="s">
        <v>20</v>
      </c>
      <c r="R7976" s="1" t="s">
        <v>15947</v>
      </c>
      <c r="V7976" s="1" t="s">
        <v>15982</v>
      </c>
      <c r="AR7976" s="1" t="str">
        <f t="shared" si="501"/>
        <v>| [ㄑㄩㄢˊ](ㄑㄩㄢˊ.md) | [泉](泉.md) |  | quán | [名]
1.水的源頭。《文選．曹冏．六代論》：「夫泉竭則流涸。」宋．歐陽修〈醉翁亭記〉：「峰回路轉，有亭翼然，臨於泉上者，醉翁亭也。」
2.地下水。宋．蘇軾〈潮州韓文公廟碑〉：「譬如鑿井得泉，而曰水專在是，豈理也哉？」
3.人死後所在的地方。如：「黃泉」、「九泉」。《文選．王粲．七哀詩二首之一》：「悟彼下泉人，喟然傷心肝。」唐．白居易〈夜遇微之於峽中〉詩：「往事渺茫都似夢，舊遊流落半歸泉。」
4.古代的錢幣。錢的流行像泉水一樣，故稱為「泉」。如：「泉布」、「刀泉」、「貨泉」。《管子．輕重丁》：「凡稱貸之家，出泉參千萬，出粟參數千萬鍾。」
5.姓。如唐代有泉男生。 |</v>
      </c>
    </row>
    <row r="7977" spans="1:44" hidden="1">
      <c r="A7977" s="1" t="s">
        <v>15983</v>
      </c>
      <c r="C7977" s="1">
        <v>1</v>
      </c>
      <c r="D7977" s="1" t="str">
        <f>"06700"</f>
        <v>06700</v>
      </c>
      <c r="E7977" s="1" t="s">
        <v>725</v>
      </c>
      <c r="F7977" s="1">
        <v>16</v>
      </c>
      <c r="G7977" s="1">
        <v>10</v>
      </c>
      <c r="H7977" s="1">
        <v>0</v>
      </c>
      <c r="I7977" s="1" t="s">
        <v>15946</v>
      </c>
      <c r="K7977" s="1" t="str">
        <f t="shared" si="502"/>
        <v>ㄑ</v>
      </c>
      <c r="L7977" s="1" t="str">
        <f t="shared" si="503"/>
        <v>ㄩ</v>
      </c>
      <c r="M7977" s="1" t="str">
        <f t="shared" si="504"/>
        <v>ㄢ</v>
      </c>
      <c r="P7977" s="1" t="s">
        <v>20</v>
      </c>
      <c r="R7977" s="1" t="s">
        <v>15947</v>
      </c>
      <c r="V7977" s="1" t="s">
        <v>15984</v>
      </c>
      <c r="AR7977" s="1" t="str">
        <f t="shared" si="501"/>
        <v>| [ㄑㄩㄢˊ](ㄑㄩㄢˊ.md) | [縓](縓.md) |  | quán | [名]
只染色一次的赤黃色絲帛。《說文解字．糸部》：「縓，帛赤黃色也。一染謂之縓。」 |</v>
      </c>
    </row>
    <row r="7978" spans="1:44" hidden="1">
      <c r="A7978" s="1" t="s">
        <v>15985</v>
      </c>
      <c r="C7978" s="1">
        <v>1</v>
      </c>
      <c r="D7978" s="1" t="str">
        <f>"06701"</f>
        <v>06701</v>
      </c>
      <c r="E7978" s="1" t="s">
        <v>139</v>
      </c>
      <c r="F7978" s="1">
        <v>22</v>
      </c>
      <c r="G7978" s="1">
        <v>18</v>
      </c>
      <c r="H7978" s="1">
        <v>0</v>
      </c>
      <c r="I7978" s="1" t="s">
        <v>15946</v>
      </c>
      <c r="K7978" s="1" t="str">
        <f t="shared" si="502"/>
        <v>ㄑ</v>
      </c>
      <c r="L7978" s="1" t="str">
        <f t="shared" si="503"/>
        <v>ㄩ</v>
      </c>
      <c r="M7978" s="1" t="str">
        <f t="shared" si="504"/>
        <v>ㄢ</v>
      </c>
      <c r="P7978" s="1" t="s">
        <v>20</v>
      </c>
      <c r="R7978" s="1" t="s">
        <v>15947</v>
      </c>
      <c r="V7978" s="1" t="s">
        <v>15986</v>
      </c>
      <c r="AR7978" s="1" t="str">
        <f t="shared" si="501"/>
        <v>| [ㄑㄩㄢˊ](ㄑㄩㄢˊ.md) | [權](權.md) |  | quán | [名]
1.古代稱測量重量的砝碼或秤錘。以鐵或銅製成。《論語．堯曰》：「謹權量，審法度。」《莊子．胠篋》：「為之權衡以稱之。」
2.變通的理念。如：「通權達變」。《孟子．離婁上》：「男女授受不親，禮也；嫂溺援之以手者，權也。」《儒林外史》第四回：「禮有經，亦有權，想沒有甚麼行不得處。」
3.勢力。如：「權力」、「大權在握」。《文選．賈誼．過秦論》：「然秦以區區之地，致萬乘之權，招八州而朝同列，百有餘年矣。」
4.因自然或人為環境（如法律規定）所產生的力量與利益。如：「人權」、「政權」、「投票權」、「土地所有權」。
5.姓。如唐代有權德輿。
[動]
衡量。《孟子．梁惠王上》：「權然後知輕重，度然後知長短。」
[副]
暫且。如：「權充」。南朝梁．沈約〈晉書選舉志九品論〉：「漢末喪亂，魏武時始創，軍中倉卒，權立九品。」《水滸傳》第八六回：「盧俊義道：『軍士廝殺了一日，神思困倦，且就這里權歇一宵，暫停戰馬，明日卻尋歸路。』」 |</v>
      </c>
    </row>
    <row r="7979" spans="1:44" hidden="1">
      <c r="A7979" s="1" t="s">
        <v>15987</v>
      </c>
      <c r="C7979" s="1">
        <v>1</v>
      </c>
      <c r="D7979" s="1" t="str">
        <f>"06702"</f>
        <v>06702</v>
      </c>
      <c r="E7979" s="1" t="s">
        <v>684</v>
      </c>
      <c r="F7979" s="1">
        <v>27</v>
      </c>
      <c r="G7979" s="1">
        <v>18</v>
      </c>
      <c r="H7979" s="1">
        <v>0</v>
      </c>
      <c r="I7979" s="1" t="s">
        <v>15946</v>
      </c>
      <c r="K7979" s="1" t="str">
        <f t="shared" si="502"/>
        <v>ㄑ</v>
      </c>
      <c r="L7979" s="1" t="str">
        <f t="shared" si="503"/>
        <v>ㄩ</v>
      </c>
      <c r="M7979" s="1" t="str">
        <f t="shared" si="504"/>
        <v>ㄢ</v>
      </c>
      <c r="P7979" s="1" t="s">
        <v>20</v>
      </c>
      <c r="R7979" s="1" t="s">
        <v>15947</v>
      </c>
      <c r="V7979" s="1" t="s">
        <v>15988</v>
      </c>
      <c r="AR7979" s="1" t="str">
        <f t="shared" si="501"/>
        <v>| [ㄑㄩㄢˊ](ㄑㄩㄢˊ.md) | [顴](顴.md) |  | quán | [名]
眼睛下方，腮上突起的部分。如：「顴骨」。《北齊書．卷一．神武帝紀上》：「長頭高顴。」 |</v>
      </c>
    </row>
    <row r="7980" spans="1:44" hidden="1">
      <c r="A7980" s="1" t="s">
        <v>15989</v>
      </c>
      <c r="C7980" s="1">
        <v>1</v>
      </c>
      <c r="D7980" s="1" t="str">
        <f>"06703"</f>
        <v>06703</v>
      </c>
      <c r="E7980" s="1" t="s">
        <v>198</v>
      </c>
      <c r="F7980" s="1">
        <v>4</v>
      </c>
      <c r="G7980" s="1">
        <v>0</v>
      </c>
      <c r="H7980" s="1">
        <v>0</v>
      </c>
      <c r="I7980" s="1" t="s">
        <v>15990</v>
      </c>
      <c r="K7980" s="1" t="str">
        <f t="shared" si="502"/>
        <v>ㄑ</v>
      </c>
      <c r="L7980" s="1" t="str">
        <f t="shared" si="503"/>
        <v>ㄩ</v>
      </c>
      <c r="M7980" s="1" t="str">
        <f t="shared" si="504"/>
        <v>ㄢ</v>
      </c>
      <c r="P7980" s="1" t="s">
        <v>20</v>
      </c>
      <c r="R7980" s="1" t="s">
        <v>15991</v>
      </c>
      <c r="V7980" s="1" t="s">
        <v>15992</v>
      </c>
      <c r="AR7980" s="1" t="str">
        <f t="shared" si="501"/>
        <v>| [ㄑㄩㄢˇ](ㄑㄩㄢˇ.md) | [犬](犬.md) |  | quǎn | [名]
1.動物名。即狗。哺乳綱食肉目。嗅覺、聽覺異常敏銳，馴化後，可守衛門戶或幫助打獵。
2.二一四部首之一。 |</v>
      </c>
    </row>
    <row r="7981" spans="1:44" hidden="1">
      <c r="A7981" s="1" t="s">
        <v>15993</v>
      </c>
      <c r="C7981" s="1">
        <v>1</v>
      </c>
      <c r="D7981" s="1" t="str">
        <f>"06704"</f>
        <v>06704</v>
      </c>
      <c r="E7981" s="1" t="s">
        <v>753</v>
      </c>
      <c r="F7981" s="1">
        <v>9</v>
      </c>
      <c r="G7981" s="1">
        <v>4</v>
      </c>
      <c r="H7981" s="1">
        <v>0</v>
      </c>
      <c r="I7981" s="1" t="s">
        <v>15990</v>
      </c>
      <c r="K7981" s="1" t="str">
        <f t="shared" si="502"/>
        <v>ㄑ</v>
      </c>
      <c r="L7981" s="1" t="str">
        <f t="shared" si="503"/>
        <v>ㄩ</v>
      </c>
      <c r="M7981" s="1" t="str">
        <f t="shared" si="504"/>
        <v>ㄢ</v>
      </c>
      <c r="P7981" s="1" t="s">
        <v>20</v>
      </c>
      <c r="R7981" s="1" t="s">
        <v>15991</v>
      </c>
      <c r="V7981" s="1" t="s">
        <v>15994</v>
      </c>
      <c r="AR7981" s="1" t="str">
        <f t="shared" si="501"/>
        <v>| [ㄑㄩㄢˇ](ㄑㄩㄢˇ.md) | [畎](畎.md) |  | quǎn | [名]
1.田間的小溝。《字彙．田部》：「畎，田中溝廣尺深尺曰畎。」《書經．益稷》：「予決九川距四海，濬畎澮，距川。」宋．陸游〈村居遣興〉詩：「築陂濬畎更相勉。」
2.山谷通水的地方。《書經．禹貢》：「岱畎，絲、枲、鉛、松、怪石。」漢．孔安國．傳：「畎，谷也。……岱山之谷出此五物，皆貢之。」 |</v>
      </c>
    </row>
    <row r="7982" spans="1:44" hidden="1">
      <c r="A7982" s="1" t="s">
        <v>15995</v>
      </c>
      <c r="C7982" s="1">
        <v>1</v>
      </c>
      <c r="D7982" s="1" t="str">
        <f>"06705"</f>
        <v>06705</v>
      </c>
      <c r="E7982" s="1" t="s">
        <v>753</v>
      </c>
      <c r="F7982" s="1">
        <v>8</v>
      </c>
      <c r="G7982" s="1">
        <v>3</v>
      </c>
      <c r="H7982" s="1">
        <v>0</v>
      </c>
      <c r="I7982" s="1" t="s">
        <v>15990</v>
      </c>
      <c r="K7982" s="1" t="str">
        <f t="shared" si="502"/>
        <v>ㄑ</v>
      </c>
      <c r="L7982" s="1" t="str">
        <f t="shared" si="503"/>
        <v>ㄩ</v>
      </c>
      <c r="M7982" s="1" t="str">
        <f t="shared" si="504"/>
        <v>ㄢ</v>
      </c>
      <c r="P7982" s="1" t="s">
        <v>20</v>
      </c>
      <c r="R7982" s="1" t="s">
        <v>15991</v>
      </c>
      <c r="V7982" s="1" t="s">
        <v>15996</v>
      </c>
      <c r="AR7982" s="1" t="str">
        <f t="shared" si="501"/>
        <v>| [ㄑㄩㄢˇ](ㄑㄩㄢˇ.md) | [甽](甽.md) |  | quǎn | [名]
田間的小水溝。同「畎」。《呂氏春秋．士容論．辯士》：「畝欲廣以平，甽欲小以深。」《文選．王融．永明九年策秀才文》：「清甽泠風，述遵無廢。」 |</v>
      </c>
    </row>
    <row r="7983" spans="1:44" hidden="1">
      <c r="A7983" s="1" t="s">
        <v>15997</v>
      </c>
      <c r="C7983" s="1">
        <v>1</v>
      </c>
      <c r="D7983" s="1" t="str">
        <f>"06706"</f>
        <v>06706</v>
      </c>
      <c r="E7983" s="1" t="s">
        <v>725</v>
      </c>
      <c r="F7983" s="1">
        <v>14</v>
      </c>
      <c r="G7983" s="1">
        <v>8</v>
      </c>
      <c r="H7983" s="1">
        <v>0</v>
      </c>
      <c r="I7983" s="1" t="s">
        <v>15990</v>
      </c>
      <c r="K7983" s="1" t="str">
        <f t="shared" si="502"/>
        <v>ㄑ</v>
      </c>
      <c r="L7983" s="1" t="str">
        <f t="shared" si="503"/>
        <v>ㄩ</v>
      </c>
      <c r="M7983" s="1" t="str">
        <f t="shared" si="504"/>
        <v>ㄢ</v>
      </c>
      <c r="P7983" s="1" t="s">
        <v>20</v>
      </c>
      <c r="R7983" s="1" t="s">
        <v>15991</v>
      </c>
      <c r="V7983" s="1" t="s">
        <v>15492</v>
      </c>
      <c r="AR7983" s="1" t="str">
        <f t="shared" si="501"/>
        <v>| [ㄑㄩㄢˇ](ㄑㄩㄢˇ.md) | [綣](綣.md) |  | quǎn | 參見「繾綣」條。 |</v>
      </c>
    </row>
    <row r="7984" spans="1:44" hidden="1">
      <c r="A7984" s="1" t="s">
        <v>15998</v>
      </c>
      <c r="C7984" s="1">
        <v>1</v>
      </c>
      <c r="D7984" s="1" t="str">
        <f>"06707"</f>
        <v>06707</v>
      </c>
      <c r="E7984" s="1" t="s">
        <v>185</v>
      </c>
      <c r="F7984" s="1">
        <v>8</v>
      </c>
      <c r="G7984" s="1">
        <v>6</v>
      </c>
      <c r="H7984" s="1">
        <v>0</v>
      </c>
      <c r="I7984" s="1" t="s">
        <v>15999</v>
      </c>
      <c r="K7984" s="1" t="str">
        <f t="shared" si="502"/>
        <v>ㄑ</v>
      </c>
      <c r="L7984" s="1" t="str">
        <f t="shared" si="503"/>
        <v>ㄩ</v>
      </c>
      <c r="M7984" s="1" t="str">
        <f t="shared" si="504"/>
        <v>ㄢ</v>
      </c>
      <c r="P7984" s="1" t="s">
        <v>20</v>
      </c>
      <c r="R7984" s="1" t="s">
        <v>16000</v>
      </c>
      <c r="V7984" s="1" t="s">
        <v>16001</v>
      </c>
      <c r="AR7984" s="1" t="str">
        <f t="shared" si="501"/>
        <v>| [ㄑㄩㄢˋ](ㄑㄩㄢˋ.md) | [券](券.md) |  | quàn | [名]
1.古代的一種契約。如：「鐵券」、「買地券」。北齊．顏之推《顏氏家訓．勉學》：「鄴下諺云：『博士買驢，書券三紙，未有驢字。』」
2.具有價值，可以買賣、抵押或轉讓的票據。如：「債券」、「禮券」、「證券」。
3.可作憑證的紙票。如：「入場券」、「優待券」、「購物點券」。 |</v>
      </c>
    </row>
    <row r="7985" spans="1:44" hidden="1">
      <c r="A7985" s="1" t="s">
        <v>14691</v>
      </c>
      <c r="C7985" s="1">
        <v>1</v>
      </c>
      <c r="D7985" s="1" t="str">
        <f>"06708"</f>
        <v>06708</v>
      </c>
      <c r="E7985" s="1" t="s">
        <v>2557</v>
      </c>
      <c r="F7985" s="1">
        <v>11</v>
      </c>
      <c r="G7985" s="1">
        <v>8</v>
      </c>
      <c r="H7985" s="1">
        <v>2</v>
      </c>
      <c r="I7985" s="1" t="s">
        <v>15999</v>
      </c>
      <c r="K7985" s="1" t="str">
        <f t="shared" si="502"/>
        <v>ㄑ</v>
      </c>
      <c r="L7985" s="1" t="str">
        <f t="shared" si="503"/>
        <v>ㄩ</v>
      </c>
      <c r="M7985" s="1" t="str">
        <f t="shared" si="504"/>
        <v>ㄢ</v>
      </c>
      <c r="P7985" s="1" t="s">
        <v>20</v>
      </c>
      <c r="R7985" s="1" t="s">
        <v>16000</v>
      </c>
      <c r="V7985" s="1" t="s">
        <v>16002</v>
      </c>
      <c r="W7985" s="1" t="s">
        <v>16003</v>
      </c>
      <c r="AR7985" s="1" t="str">
        <f t="shared" si="501"/>
        <v>| [ㄑㄩㄢˋ](ㄑㄩㄢˋ.md) | [圈](圈.md) |  | quàn | 參見「圈兒」、「圈子」等條。 |</v>
      </c>
    </row>
    <row r="7986" spans="1:44" hidden="1">
      <c r="A7986" s="1" t="s">
        <v>16004</v>
      </c>
      <c r="C7986" s="1">
        <v>1</v>
      </c>
      <c r="D7986" s="1" t="str">
        <f>"06709"</f>
        <v>06709</v>
      </c>
      <c r="E7986" s="1" t="s">
        <v>245</v>
      </c>
      <c r="F7986" s="1">
        <v>20</v>
      </c>
      <c r="G7986" s="1">
        <v>18</v>
      </c>
      <c r="H7986" s="1">
        <v>0</v>
      </c>
      <c r="I7986" s="1" t="s">
        <v>15999</v>
      </c>
      <c r="K7986" s="1" t="str">
        <f t="shared" si="502"/>
        <v>ㄑ</v>
      </c>
      <c r="L7986" s="1" t="str">
        <f t="shared" si="503"/>
        <v>ㄩ</v>
      </c>
      <c r="M7986" s="1" t="str">
        <f t="shared" si="504"/>
        <v>ㄢ</v>
      </c>
      <c r="P7986" s="1" t="s">
        <v>20</v>
      </c>
      <c r="R7986" s="1" t="s">
        <v>16000</v>
      </c>
      <c r="V7986" s="1" t="s">
        <v>16005</v>
      </c>
      <c r="AR7986" s="1" t="str">
        <f t="shared" si="501"/>
        <v>| [ㄑㄩㄢˋ](ㄑㄩㄢˋ.md) | [勸](勸.md) |  | quàn | [動]
1.鼓勵、獎勵。《左傳．成公二年》：「所以懲不敬，勸有功也。」《國語．越語上》：「果行，國人皆勸，父勉其子，兄勉其弟，婦勉其夫。」
2.善言開導他人。如：「勸告」、「規勸」、「勸誡」、「勸導」。《史記．卷六八．商君列傳》：「勸秦王顯巖穴之士。」唐．王維〈渭城曲〉：「勸君更盡一杯酒，西出陽關無故人。」 |</v>
      </c>
    </row>
    <row r="7987" spans="1:44" hidden="1">
      <c r="A7987" s="1" t="s">
        <v>15532</v>
      </c>
      <c r="C7987" s="1">
        <v>1</v>
      </c>
      <c r="D7987" s="1" t="str">
        <f>"06504"</f>
        <v>06504</v>
      </c>
      <c r="E7987" s="1" t="s">
        <v>114</v>
      </c>
      <c r="F7987" s="1">
        <v>9</v>
      </c>
      <c r="G7987" s="1">
        <v>7</v>
      </c>
      <c r="H7987" s="1">
        <v>0</v>
      </c>
      <c r="I7987" s="1" t="s">
        <v>15533</v>
      </c>
      <c r="K7987" s="1" t="str">
        <f t="shared" si="502"/>
        <v>ㄑ</v>
      </c>
      <c r="L7987" s="1" t="str">
        <f t="shared" si="503"/>
        <v>ㄧ</v>
      </c>
      <c r="M7987" s="1" t="str">
        <f t="shared" si="504"/>
        <v>ㄣ</v>
      </c>
      <c r="P7987" s="1" t="s">
        <v>20</v>
      </c>
      <c r="R7987" s="1" t="s">
        <v>15534</v>
      </c>
      <c r="V7987" s="1" t="s">
        <v>15535</v>
      </c>
      <c r="AR7987" s="1" t="str">
        <f t="shared" si="501"/>
        <v>| [ㄑㄧㄣ](ㄑㄧㄣ.md) | [侵](侵.md) |  | qīn | [動]
1.強力進犯。如：「侵略」、「侵犯」、「侵占」、「入侵」。《左傳．僖公四年》：「齊侯以諸侯之師侵蔡。」《史記．卷一二四．游俠傳．序》：「豪暴侵淩孤弱，恣欲自快。」
2.逼近。唐．杜牧〈旅宿〉詩：「遠夢歸侵曉，家書到隔年。」宋．陸游〈秋夜讀書每以二鼓盡為節〉詩：「白髮無情侵老境，青燈有味似兒時。」
3.親近。《水滸傳》第三二回：「相貌堂堂強壯士，未侵女色少年郎。」 |</v>
      </c>
    </row>
    <row r="7988" spans="1:44" hidden="1">
      <c r="A7988" s="1" t="s">
        <v>15536</v>
      </c>
      <c r="C7988" s="1">
        <v>1</v>
      </c>
      <c r="D7988" s="1" t="str">
        <f>"06505"</f>
        <v>06505</v>
      </c>
      <c r="E7988" s="1" t="s">
        <v>319</v>
      </c>
      <c r="F7988" s="1">
        <v>17</v>
      </c>
      <c r="G7988" s="1">
        <v>7</v>
      </c>
      <c r="H7988" s="1">
        <v>0</v>
      </c>
      <c r="I7988" s="1" t="s">
        <v>15533</v>
      </c>
      <c r="K7988" s="1" t="str">
        <f t="shared" si="502"/>
        <v>ㄑ</v>
      </c>
      <c r="L7988" s="1" t="str">
        <f t="shared" si="503"/>
        <v>ㄧ</v>
      </c>
      <c r="M7988" s="1" t="str">
        <f t="shared" si="504"/>
        <v>ㄣ</v>
      </c>
      <c r="P7988" s="1" t="s">
        <v>20</v>
      </c>
      <c r="R7988" s="1" t="s">
        <v>15534</v>
      </c>
      <c r="V7988" s="1" t="s">
        <v>15537</v>
      </c>
      <c r="AR7988" s="1" t="str">
        <f t="shared" si="501"/>
        <v>| [ㄑㄧㄣ](ㄑㄧㄣ.md) | [駸](駸.md) |  | qīn | 參見「駸駸」條。 |</v>
      </c>
    </row>
    <row r="7989" spans="1:44" hidden="1">
      <c r="A7989" s="1" t="s">
        <v>15538</v>
      </c>
      <c r="C7989" s="1">
        <v>1</v>
      </c>
      <c r="D7989" s="1" t="str">
        <f>"06506"</f>
        <v>06506</v>
      </c>
      <c r="E7989" s="1" t="s">
        <v>340</v>
      </c>
      <c r="F7989" s="1">
        <v>10</v>
      </c>
      <c r="G7989" s="1">
        <v>4</v>
      </c>
      <c r="H7989" s="1">
        <v>1</v>
      </c>
      <c r="I7989" s="1" t="s">
        <v>15533</v>
      </c>
      <c r="K7989" s="1" t="str">
        <f t="shared" si="502"/>
        <v>ㄑ</v>
      </c>
      <c r="L7989" s="1" t="str">
        <f t="shared" si="503"/>
        <v>ㄧ</v>
      </c>
      <c r="M7989" s="1" t="str">
        <f t="shared" si="504"/>
        <v>ㄣ</v>
      </c>
      <c r="P7989" s="1" t="s">
        <v>20</v>
      </c>
      <c r="R7989" s="1" t="s">
        <v>15534</v>
      </c>
      <c r="V7989" s="1" t="s">
        <v>15539</v>
      </c>
      <c r="W7989" s="1" t="s">
        <v>15540</v>
      </c>
      <c r="AR7989" s="1" t="str">
        <f t="shared" si="501"/>
        <v>| [ㄑㄧㄣ](ㄑㄧㄣ.md) | [衾](衾.md) |  | qīn | [名]
1.大被子。《詩經．召南．小星》：「肅肅宵征，抱衾同裯。」唐．白居易〈長恨歌〉：「鴛鴦瓦冷霜華重，翡翠衾寒誰與共？」
2.殮屍用的被子。《孝經．喪親章》：「為之棺椁衣衾而舉之。」《孟子．梁惠王下》：「謂棺槨衣衾之美也。」 |</v>
      </c>
    </row>
    <row r="7990" spans="1:44" hidden="1">
      <c r="A7990" s="1" t="s">
        <v>15541</v>
      </c>
      <c r="C7990" s="1">
        <v>1</v>
      </c>
      <c r="D7990" s="1" t="str">
        <f>"06507"</f>
        <v>06507</v>
      </c>
      <c r="E7990" s="1" t="s">
        <v>1908</v>
      </c>
      <c r="F7990" s="1">
        <v>12</v>
      </c>
      <c r="G7990" s="1">
        <v>8</v>
      </c>
      <c r="H7990" s="1">
        <v>0</v>
      </c>
      <c r="I7990" s="1" t="s">
        <v>15533</v>
      </c>
      <c r="K7990" s="1" t="str">
        <f t="shared" si="502"/>
        <v>ㄑ</v>
      </c>
      <c r="L7990" s="1" t="str">
        <f t="shared" si="503"/>
        <v>ㄧ</v>
      </c>
      <c r="M7990" s="1" t="str">
        <f t="shared" si="504"/>
        <v>ㄣ</v>
      </c>
      <c r="P7990" s="1" t="s">
        <v>20</v>
      </c>
      <c r="R7990" s="1" t="s">
        <v>15534</v>
      </c>
      <c r="V7990" s="1" t="s">
        <v>15542</v>
      </c>
      <c r="AR7990" s="1" t="str">
        <f t="shared" si="501"/>
        <v>| [ㄑㄧㄣ](ㄑㄧㄣ.md) | [欽](欽.md) |  | qīn | [動]
尊敬、佩服。如：「欽佩」、「欽服」。南朝梁．劉勰《文心雕龍．祝盟》：「毖祀欽明，祝史惟談。」唐．李白〈經下邳圯橋懷張子房〉詩：「我來圯橋上，懷古欽英風。」
[名]
1.古代對皇帝尊稱的用語。如：「欽命」、「欽此」。《清史稿．卷一〇八．選舉志三》：「按應試人數多寡，欽定中額。」
2.姓。如清代有欽善。 |</v>
      </c>
    </row>
    <row r="7991" spans="1:44" hidden="1">
      <c r="A7991" s="1" t="s">
        <v>15543</v>
      </c>
      <c r="C7991" s="1">
        <v>1</v>
      </c>
      <c r="D7991" s="1" t="str">
        <f>"06508"</f>
        <v>06508</v>
      </c>
      <c r="E7991" s="1" t="s">
        <v>447</v>
      </c>
      <c r="F7991" s="1">
        <v>15</v>
      </c>
      <c r="G7991" s="1">
        <v>12</v>
      </c>
      <c r="H7991" s="1">
        <v>0</v>
      </c>
      <c r="I7991" s="1" t="s">
        <v>15533</v>
      </c>
      <c r="K7991" s="1" t="str">
        <f t="shared" si="502"/>
        <v>ㄑ</v>
      </c>
      <c r="L7991" s="1" t="str">
        <f t="shared" si="503"/>
        <v>ㄧ</v>
      </c>
      <c r="M7991" s="1" t="str">
        <f t="shared" si="504"/>
        <v>ㄣ</v>
      </c>
      <c r="P7991" s="1" t="s">
        <v>20</v>
      </c>
      <c r="R7991" s="1" t="s">
        <v>15534</v>
      </c>
      <c r="V7991" s="1" t="s">
        <v>15544</v>
      </c>
      <c r="AR7991" s="1" t="str">
        <f t="shared" si="501"/>
        <v>| [ㄑㄧㄣ](ㄑㄧㄣ.md) | [廞](廞.md) |  | qīn | [動]
1.陳設。《說文解字．广部》：「廞，陳輿服於庭也。」《周禮．天官．司裘》：「大喪，廞裘飾皮車。」
2.興、作，指事情的開始、興起。《周禮．春官．笙師》：「大喪，廞其樂器；及葬，奉而藏之。」 |</v>
      </c>
    </row>
    <row r="7992" spans="1:44" hidden="1">
      <c r="A7992" s="1" t="s">
        <v>15545</v>
      </c>
      <c r="C7992" s="1">
        <v>1</v>
      </c>
      <c r="D7992" s="1" t="str">
        <f>"06509"</f>
        <v>06509</v>
      </c>
      <c r="E7992" s="1" t="s">
        <v>190</v>
      </c>
      <c r="F7992" s="1">
        <v>15</v>
      </c>
      <c r="G7992" s="1">
        <v>12</v>
      </c>
      <c r="H7992" s="1">
        <v>0</v>
      </c>
      <c r="I7992" s="1" t="s">
        <v>15533</v>
      </c>
      <c r="K7992" s="1" t="str">
        <f t="shared" si="502"/>
        <v>ㄑ</v>
      </c>
      <c r="L7992" s="1" t="str">
        <f t="shared" si="503"/>
        <v>ㄧ</v>
      </c>
      <c r="M7992" s="1" t="str">
        <f t="shared" si="504"/>
        <v>ㄣ</v>
      </c>
      <c r="P7992" s="1" t="s">
        <v>20</v>
      </c>
      <c r="R7992" s="1" t="s">
        <v>15534</v>
      </c>
      <c r="V7992" s="1" t="s">
        <v>15546</v>
      </c>
      <c r="AR7992" s="1" t="str">
        <f t="shared" si="501"/>
        <v>| [ㄑㄧㄣ](ㄑㄧㄣ.md) | [嶔](嶔.md) |  | qīn | 參見「嶔崎」、「嶔崟」等條。 |</v>
      </c>
    </row>
    <row r="7993" spans="1:44" hidden="1">
      <c r="A7993" s="1" t="s">
        <v>15547</v>
      </c>
      <c r="C7993" s="1">
        <v>1</v>
      </c>
      <c r="D7993" s="1" t="str">
        <f>"06510"</f>
        <v>06510</v>
      </c>
      <c r="E7993" s="1" t="s">
        <v>2233</v>
      </c>
      <c r="F7993" s="1">
        <v>16</v>
      </c>
      <c r="G7993" s="1">
        <v>9</v>
      </c>
      <c r="H7993" s="1">
        <v>1</v>
      </c>
      <c r="I7993" s="1" t="s">
        <v>15533</v>
      </c>
      <c r="K7993" s="1" t="str">
        <f t="shared" si="502"/>
        <v>ㄑ</v>
      </c>
      <c r="L7993" s="1" t="str">
        <f t="shared" si="503"/>
        <v>ㄧ</v>
      </c>
      <c r="M7993" s="1" t="str">
        <f t="shared" si="504"/>
        <v>ㄣ</v>
      </c>
      <c r="P7993" s="1" t="s">
        <v>20</v>
      </c>
      <c r="R7993" s="1" t="s">
        <v>15534</v>
      </c>
      <c r="V7993" s="1" t="s">
        <v>15548</v>
      </c>
      <c r="W7993" s="1" t="s">
        <v>15549</v>
      </c>
      <c r="AR7993" s="1" t="str">
        <f t="shared" si="501"/>
        <v>| [ㄑㄧㄣ](ㄑㄧㄣ.md) | [親](親.md) |  | qīn | [名]
1.父母。亦單指父親或母親。如：「雙親」、「慈親」。《禮記．奔喪》：「始聞親喪。」《史記．卷九三．盧綰傳》：「盧綰親與高祖太上皇相愛，及生男，高祖、盧綰同日生。」
2.泛稱和自己有血緣或因婚姻而建立親戚關係的人。如：「近親」、「姻親」。唐．杜甫〈送遠〉詩：「親朋盡一哭，鞍馬去孤城。」
3.婚姻。如：「結親」、「成親」。
4.新娘。如：「娶親」、「迎親」。《兒女英雄傳》第二八回：「話表送親的張姑娘合褚大娘子扶著何玉鳳姑娘上了轎。」
5.關係密切，可以信任的人。《左傳．僖公二十四年》：「惠懷無親，內外棄之。」
6.情誼。《荀子．非相》：「夫禽獸有父子，而無父子之親。」
7.姓。如周代有親弗。
[動]
1.接近。《論語．學而》：「汎愛眾而親仁。」《孟子．離婁上》：「男女授受不親，禮也；嫂溺援之以手者，權也。」
2.愛。如：「相親相愛」。《孟子．滕文公上》：「人之親其兄之子，為若親其鄰之赤子乎？」
3.接吻，或用面部接觸。如：「低下頭去親一親孩子。」《儒林外史》第一四回：「戴著斗笠親嘴──差著一帽子。」
[形]
1.本人的、自己的。如：「親自」、「親手」、「親眼目睹」。
2.有直接血統關係的。如：「親兄弟」、「親姊妹」、「親骨肉」。
3.關係密切的、值得信任的。《孟子．梁惠王下》：「王無親臣矣。」
[副]
本身直接參與處理。如：「親理家務」。宋．范成大〈巖桂〉詩三首之二：「越城芳徑手親栽，紅淺黃深次第開。」 |</v>
      </c>
    </row>
    <row r="7994" spans="1:44" hidden="1">
      <c r="A7994" s="1" t="s">
        <v>15550</v>
      </c>
      <c r="C7994" s="1">
        <v>1</v>
      </c>
      <c r="D7994" s="1" t="str">
        <f>"06511"</f>
        <v>06511</v>
      </c>
      <c r="E7994" s="1" t="s">
        <v>37</v>
      </c>
      <c r="F7994" s="1">
        <v>8</v>
      </c>
      <c r="G7994" s="1">
        <v>4</v>
      </c>
      <c r="H7994" s="1">
        <v>0</v>
      </c>
      <c r="I7994" s="1" t="s">
        <v>15551</v>
      </c>
      <c r="K7994" s="1" t="str">
        <f t="shared" si="502"/>
        <v>ㄑ</v>
      </c>
      <c r="L7994" s="1" t="str">
        <f t="shared" si="503"/>
        <v>ㄧ</v>
      </c>
      <c r="M7994" s="1" t="str">
        <f t="shared" si="504"/>
        <v>ㄣ</v>
      </c>
      <c r="P7994" s="1" t="s">
        <v>20</v>
      </c>
      <c r="R7994" s="1" t="s">
        <v>15552</v>
      </c>
      <c r="V7994" s="1" t="s">
        <v>15553</v>
      </c>
      <c r="AR7994" s="1" t="str">
        <f t="shared" si="501"/>
        <v>| [ㄑㄧㄣˊ](ㄑㄧㄣˊ.md) | [芩](芩.md) |  | qín | [名]
1.一種蔓生草類。《說文解字．艸部》：「芩，艸也。」《詩經．小雅．鹿鳴》：「呦呦鹿鳴，食野之芩。」唐．孔穎達．正義：「陸璣云：『莖如釵股，葉如竹，蔓生。』」
2.一種藥草。參見「黃芩」條。 |</v>
      </c>
    </row>
    <row r="7995" spans="1:44" hidden="1">
      <c r="A7995" s="1" t="s">
        <v>10499</v>
      </c>
      <c r="C7995" s="1">
        <v>1</v>
      </c>
      <c r="D7995" s="1" t="str">
        <f>"06512"</f>
        <v>06512</v>
      </c>
      <c r="E7995" s="1" t="s">
        <v>2930</v>
      </c>
      <c r="F7995" s="1">
        <v>9</v>
      </c>
      <c r="G7995" s="1">
        <v>4</v>
      </c>
      <c r="H7995" s="1">
        <v>3</v>
      </c>
      <c r="I7995" s="1" t="s">
        <v>15551</v>
      </c>
      <c r="K7995" s="1" t="str">
        <f t="shared" si="502"/>
        <v>ㄑ</v>
      </c>
      <c r="L7995" s="1" t="str">
        <f t="shared" si="503"/>
        <v>ㄧ</v>
      </c>
      <c r="M7995" s="1" t="str">
        <f t="shared" si="504"/>
        <v>ㄣ</v>
      </c>
      <c r="P7995" s="1" t="s">
        <v>20</v>
      </c>
      <c r="R7995" s="1" t="s">
        <v>15552</v>
      </c>
      <c r="V7995" s="1" t="s">
        <v>15554</v>
      </c>
      <c r="W7995" s="1" t="s">
        <v>15555</v>
      </c>
      <c r="AR7995" s="1" t="str">
        <f t="shared" si="501"/>
        <v>| [ㄑㄧㄣˊ](ㄑㄧㄣˊ.md) | [矜](矜.md) |  | qín | [名]
矛或戟的木柄。《文選．賈誼．過秦論》：「鉏櫌棘矜，非銛於鉤戟長鎩也。」 |</v>
      </c>
    </row>
    <row r="7996" spans="1:44" hidden="1">
      <c r="A7996" s="1" t="s">
        <v>15538</v>
      </c>
      <c r="C7996" s="1">
        <v>1</v>
      </c>
      <c r="D7996" s="1" t="str">
        <f>"06513"</f>
        <v>06513</v>
      </c>
      <c r="E7996" s="1" t="s">
        <v>340</v>
      </c>
      <c r="F7996" s="1">
        <v>10</v>
      </c>
      <c r="G7996" s="1">
        <v>4</v>
      </c>
      <c r="H7996" s="1">
        <v>2</v>
      </c>
      <c r="I7996" s="1" t="s">
        <v>15551</v>
      </c>
      <c r="K7996" s="1" t="str">
        <f t="shared" si="502"/>
        <v>ㄑ</v>
      </c>
      <c r="L7996" s="1" t="str">
        <f t="shared" si="503"/>
        <v>ㄧ</v>
      </c>
      <c r="M7996" s="1" t="str">
        <f t="shared" si="504"/>
        <v>ㄣ</v>
      </c>
      <c r="P7996" s="1" t="s">
        <v>110</v>
      </c>
      <c r="R7996" s="1" t="s">
        <v>15552</v>
      </c>
      <c r="V7996" s="1" t="s">
        <v>111</v>
      </c>
      <c r="W7996" s="1" t="s">
        <v>15556</v>
      </c>
      <c r="AR7996" s="1" t="str">
        <f t="shared" si="501"/>
        <v>| [ㄑㄧㄣˊ](ㄑㄧㄣˊ.md) | [衾](衾.md) |  | qín | (一)之又音。 |</v>
      </c>
    </row>
    <row r="7997" spans="1:44" hidden="1">
      <c r="A7997" s="1" t="s">
        <v>15557</v>
      </c>
      <c r="C7997" s="1">
        <v>1</v>
      </c>
      <c r="D7997" s="1" t="str">
        <f>"06514"</f>
        <v>06514</v>
      </c>
      <c r="E7997" s="1" t="s">
        <v>142</v>
      </c>
      <c r="F7997" s="1">
        <v>12</v>
      </c>
      <c r="G7997" s="1">
        <v>8</v>
      </c>
      <c r="H7997" s="1">
        <v>0</v>
      </c>
      <c r="I7997" s="1" t="s">
        <v>15551</v>
      </c>
      <c r="K7997" s="1" t="str">
        <f t="shared" si="502"/>
        <v>ㄑ</v>
      </c>
      <c r="L7997" s="1" t="str">
        <f t="shared" si="503"/>
        <v>ㄧ</v>
      </c>
      <c r="M7997" s="1" t="str">
        <f t="shared" si="504"/>
        <v>ㄣ</v>
      </c>
      <c r="P7997" s="1" t="s">
        <v>20</v>
      </c>
      <c r="R7997" s="1" t="s">
        <v>15552</v>
      </c>
      <c r="V7997" s="1" t="s">
        <v>15558</v>
      </c>
      <c r="AR7997" s="1" t="str">
        <f t="shared" si="501"/>
        <v>| [ㄑㄧㄣˊ](ㄑㄧㄣˊ.md) | [琴](琴.md) |  | qín | [名]
1.樂器名。最早指瑤琴（古琴）。
2.今泛指樂器類別總稱：(1)國樂器中的古琴、七弦琴、月琴、揚琴、胡琴等。(2)西洋樂器中的鋼琴、口琴、手風琴、管風琴等。
3.姓。如明代有琴彭。
[動]
彈琴。《孟子．萬章上》：「象往入舜宮，舜在床琴。」 |</v>
      </c>
    </row>
    <row r="7998" spans="1:44" hidden="1">
      <c r="A7998" s="1" t="s">
        <v>15559</v>
      </c>
      <c r="C7998" s="1">
        <v>1</v>
      </c>
      <c r="D7998" s="1" t="str">
        <f>"06515"</f>
        <v>06515</v>
      </c>
      <c r="E7998" s="1" t="s">
        <v>37</v>
      </c>
      <c r="F7998" s="1">
        <v>8</v>
      </c>
      <c r="G7998" s="1">
        <v>4</v>
      </c>
      <c r="H7998" s="1">
        <v>0</v>
      </c>
      <c r="I7998" s="1" t="s">
        <v>15551</v>
      </c>
      <c r="K7998" s="1" t="str">
        <f t="shared" si="502"/>
        <v>ㄑ</v>
      </c>
      <c r="L7998" s="1" t="str">
        <f t="shared" si="503"/>
        <v>ㄧ</v>
      </c>
      <c r="M7998" s="1" t="str">
        <f t="shared" si="504"/>
        <v>ㄣ</v>
      </c>
      <c r="P7998" s="1" t="s">
        <v>20</v>
      </c>
      <c r="R7998" s="1" t="s">
        <v>15552</v>
      </c>
      <c r="V7998" s="1" t="s">
        <v>15560</v>
      </c>
      <c r="AR7998" s="1" t="str">
        <f t="shared" si="501"/>
        <v>| [ㄑㄧㄣˊ](ㄑㄧㄣˊ.md) | [芹](芹.md) |  | qín | 參見「芹菜」條。 |</v>
      </c>
    </row>
    <row r="7999" spans="1:44" hidden="1">
      <c r="A7999" s="1" t="s">
        <v>15561</v>
      </c>
      <c r="C7999" s="1">
        <v>1</v>
      </c>
      <c r="D7999" s="1" t="str">
        <f>"06516"</f>
        <v>06516</v>
      </c>
      <c r="E7999" s="1" t="s">
        <v>429</v>
      </c>
      <c r="F7999" s="1">
        <v>10</v>
      </c>
      <c r="G7999" s="1">
        <v>5</v>
      </c>
      <c r="H7999" s="1">
        <v>0</v>
      </c>
      <c r="I7999" s="1" t="s">
        <v>15551</v>
      </c>
      <c r="K7999" s="1" t="str">
        <f t="shared" si="502"/>
        <v>ㄑ</v>
      </c>
      <c r="L7999" s="1" t="str">
        <f t="shared" si="503"/>
        <v>ㄧ</v>
      </c>
      <c r="M7999" s="1" t="str">
        <f t="shared" si="504"/>
        <v>ㄣ</v>
      </c>
      <c r="P7999" s="1" t="s">
        <v>20</v>
      </c>
      <c r="R7999" s="1" t="s">
        <v>15552</v>
      </c>
      <c r="V7999" s="1" t="s">
        <v>15562</v>
      </c>
      <c r="AR7999" s="1" t="str">
        <f t="shared" si="501"/>
        <v>| [ㄑㄧㄣˊ](ㄑㄧㄣˊ.md) | [秦](秦.md) |  | qín | [名]
1.朝代名。參見「秦朝」條。
2.漢代西域諸民族稱中國為「秦」。《漢書．卷九六．西域傳下．渠犂》：「匈奴縛馬前後足，置城下，馳言『秦人，我丐若馬』。」唐．顏師古．注：「謂中國人為秦人，習故言也。」
3.大陸地區陝西省的簡稱。
4.姓。如宋代有秦觀。 |</v>
      </c>
    </row>
    <row r="8000" spans="1:44" hidden="1">
      <c r="A8000" s="1" t="s">
        <v>15563</v>
      </c>
      <c r="C8000" s="1">
        <v>1</v>
      </c>
      <c r="D8000" s="1" t="str">
        <f>"06517"</f>
        <v>06517</v>
      </c>
      <c r="E8000" s="1" t="s">
        <v>37</v>
      </c>
      <c r="F8000" s="1">
        <v>14</v>
      </c>
      <c r="G8000" s="1">
        <v>10</v>
      </c>
      <c r="H8000" s="1">
        <v>2</v>
      </c>
      <c r="I8000" s="1" t="s">
        <v>15551</v>
      </c>
      <c r="K8000" s="1" t="str">
        <f t="shared" si="502"/>
        <v>ㄑ</v>
      </c>
      <c r="L8000" s="1" t="str">
        <f t="shared" si="503"/>
        <v>ㄧ</v>
      </c>
      <c r="M8000" s="1" t="str">
        <f t="shared" si="504"/>
        <v>ㄣ</v>
      </c>
      <c r="P8000" s="1" t="s">
        <v>20</v>
      </c>
      <c r="R8000" s="1" t="s">
        <v>15552</v>
      </c>
      <c r="V8000" s="1" t="s">
        <v>15564</v>
      </c>
      <c r="W8000" s="1" t="s">
        <v>15565</v>
      </c>
      <c r="AR8000" s="1" t="str">
        <f t="shared" si="501"/>
        <v>| [ㄑㄧㄣˊ](ㄑㄧㄣˊ.md) | [蓁](蓁.md) |  | qín | 參見「蓁椒」條。 |</v>
      </c>
    </row>
    <row r="8001" spans="1:44" hidden="1">
      <c r="A8001" s="1" t="s">
        <v>15566</v>
      </c>
      <c r="C8001" s="1">
        <v>1</v>
      </c>
      <c r="D8001" s="1" t="str">
        <f>"06518"</f>
        <v>06518</v>
      </c>
      <c r="E8001" s="1" t="s">
        <v>679</v>
      </c>
      <c r="F8001" s="1">
        <v>16</v>
      </c>
      <c r="G8001" s="1">
        <v>10</v>
      </c>
      <c r="H8001" s="1">
        <v>0</v>
      </c>
      <c r="I8001" s="1" t="s">
        <v>15551</v>
      </c>
      <c r="K8001" s="1" t="str">
        <f t="shared" si="502"/>
        <v>ㄑ</v>
      </c>
      <c r="L8001" s="1" t="str">
        <f t="shared" si="503"/>
        <v>ㄧ</v>
      </c>
      <c r="M8001" s="1" t="str">
        <f t="shared" si="504"/>
        <v>ㄣ</v>
      </c>
      <c r="P8001" s="1" t="s">
        <v>20</v>
      </c>
      <c r="R8001" s="1" t="s">
        <v>15552</v>
      </c>
      <c r="V8001" s="1" t="s">
        <v>15567</v>
      </c>
      <c r="AR8001" s="1" t="str">
        <f t="shared" si="501"/>
        <v>| [ㄑㄧㄣˊ](ㄑㄧㄣˊ.md) | [螓](螓.md) |  | qín | [名]
一種頭方而闊的小蟬，有文彩。《爾雅．釋蟲》：「蚻，蜻蜻。」晉．郭璞．注：「如蟬而小。《方言》云：『有文者謂之螓。』」《詩經．衛風．碩人》：「螓首蛾眉。」唐．孔穎達．正義：「此蟲額廣而且方。」 |</v>
      </c>
    </row>
    <row r="8002" spans="1:44" hidden="1">
      <c r="A8002" s="1" t="s">
        <v>6230</v>
      </c>
      <c r="C8002" s="1">
        <v>1</v>
      </c>
      <c r="D8002" s="1" t="str">
        <f>"06519"</f>
        <v>06519</v>
      </c>
      <c r="E8002" s="1" t="s">
        <v>4317</v>
      </c>
      <c r="F8002" s="1">
        <v>12</v>
      </c>
      <c r="G8002" s="1">
        <v>6</v>
      </c>
      <c r="H8002" s="1">
        <v>2</v>
      </c>
      <c r="I8002" s="1" t="s">
        <v>15551</v>
      </c>
      <c r="K8002" s="1" t="str">
        <f t="shared" si="502"/>
        <v>ㄑ</v>
      </c>
      <c r="L8002" s="1" t="str">
        <f t="shared" si="503"/>
        <v>ㄧ</v>
      </c>
      <c r="M8002" s="1" t="str">
        <f t="shared" si="504"/>
        <v>ㄣ</v>
      </c>
      <c r="P8002" s="1" t="s">
        <v>20</v>
      </c>
      <c r="R8002" s="1" t="s">
        <v>15552</v>
      </c>
      <c r="V8002" s="1" t="s">
        <v>15568</v>
      </c>
      <c r="W8002" s="1" t="s">
        <v>15569</v>
      </c>
      <c r="AR8002" s="1" t="str">
        <f t="shared" si="501"/>
        <v>| [ㄑㄧㄣˊ](ㄑㄧㄣˊ.md) | [覃](覃.md) |  | qín | [名]
姓。如明代有覃應充。 |</v>
      </c>
    </row>
    <row r="8003" spans="1:44" hidden="1">
      <c r="A8003" s="1" t="s">
        <v>15570</v>
      </c>
      <c r="C8003" s="1">
        <v>1</v>
      </c>
      <c r="D8003" s="1" t="str">
        <f>"06520"</f>
        <v>06520</v>
      </c>
      <c r="E8003" s="1" t="s">
        <v>245</v>
      </c>
      <c r="F8003" s="1">
        <v>13</v>
      </c>
      <c r="G8003" s="1">
        <v>11</v>
      </c>
      <c r="H8003" s="1">
        <v>0</v>
      </c>
      <c r="I8003" s="1" t="s">
        <v>15551</v>
      </c>
      <c r="K8003" s="1" t="str">
        <f t="shared" si="502"/>
        <v>ㄑ</v>
      </c>
      <c r="L8003" s="1" t="str">
        <f t="shared" si="503"/>
        <v>ㄧ</v>
      </c>
      <c r="M8003" s="1" t="str">
        <f t="shared" si="504"/>
        <v>ㄣ</v>
      </c>
      <c r="P8003" s="1" t="s">
        <v>20</v>
      </c>
      <c r="R8003" s="1" t="s">
        <v>15552</v>
      </c>
      <c r="V8003" s="1" t="s">
        <v>15571</v>
      </c>
      <c r="AR8003" s="1" t="str">
        <f t="shared" ref="AR8003:AR8066" si="505">"| ["&amp;I8003&amp;"]("&amp;I8003&amp;".md) | ["&amp;A8003&amp;"]("&amp;A8003&amp;".md) | "&amp;" | "&amp;R8003&amp;" | "&amp;V8003&amp;" |"</f>
        <v>| [ㄑㄧㄣˊ](ㄑㄧㄣˊ.md) | [勤](勤.md) |  | qín | [動]
1.使擔負徭役、使勞動。《左傳．僖公三十三年》：「秦違蹇叔，而以貪勤民。」《國語．周語下》：「勤百姓以為己名，其殃大矣。」
2.努力從事。《論語．微子》：「四體不勤，五穀不分。」
3.幫助化解危難。《國語．晉語二》：「秦人勤我矣。」《後漢書．卷七十四上．袁紹傳》：「不聞勤王之師而但擅相討伐。」
[副]
1.盡心盡力的做。如：「勤耕」、「勤讀」。
2.經常、常常。如：「勤換洗」、「她洗澡洗得很勤。」唐．白居易〈送楊八給事赴常州〉詩：「須勤念黎庶，莫苦憶交親。」
[名]
1.勞苦的事。《燕丹子．卷下》：「軻出衛都，望燕路，歷險不以為勤，望遠不以為遐。」晉．陶淵明〈詠三良詩〉：「服勤盡歲月，常恐功愈微。」
2.職務、工作。如：「內勤」、「值勤」、「地勤」。
3.姓。如唐代有勤曾。
[形]
誠懇、周到。如：「殷勤」。 |</v>
      </c>
    </row>
    <row r="8004" spans="1:44" hidden="1">
      <c r="A8004" s="1" t="s">
        <v>14072</v>
      </c>
      <c r="C8004" s="1">
        <v>1</v>
      </c>
      <c r="D8004" s="1" t="str">
        <f>"06521"</f>
        <v>06521</v>
      </c>
      <c r="E8004" s="1" t="s">
        <v>447</v>
      </c>
      <c r="F8004" s="1">
        <v>14</v>
      </c>
      <c r="G8004" s="1">
        <v>11</v>
      </c>
      <c r="H8004" s="1">
        <v>3</v>
      </c>
      <c r="I8004" s="1" t="s">
        <v>15551</v>
      </c>
      <c r="K8004" s="1" t="str">
        <f t="shared" ref="K8004:K8067" si="506">LEFT(I8004, 1)</f>
        <v>ㄑ</v>
      </c>
      <c r="L8004" s="1" t="str">
        <f t="shared" ref="L8004:L8067" si="507">MID(I8004, 2, 1)</f>
        <v>ㄧ</v>
      </c>
      <c r="M8004" s="1" t="str">
        <f t="shared" si="504"/>
        <v>ㄣ</v>
      </c>
      <c r="P8004" s="1" t="s">
        <v>20</v>
      </c>
      <c r="R8004" s="1" t="s">
        <v>15552</v>
      </c>
      <c r="V8004" s="1" t="s">
        <v>15572</v>
      </c>
      <c r="W8004" s="1" t="s">
        <v>15573</v>
      </c>
      <c r="AR8004" s="1" t="str">
        <f t="shared" si="505"/>
        <v>| [ㄑㄧㄣˊ](ㄑㄧㄣˊ.md) | [廑](廑.md) |  | qín | [名]
辛勤的情形。通「勤」。《文選．揚雄．長楊賦》：「其廑至矣，而功不圖。」
[形]
勤勞。通「勤」。《漢書．卷四．文帝紀》：「今廑身從事，而有租稅之賦。」 |</v>
      </c>
    </row>
    <row r="8005" spans="1:44" hidden="1">
      <c r="A8005" s="1" t="s">
        <v>15574</v>
      </c>
      <c r="C8005" s="1">
        <v>1</v>
      </c>
      <c r="D8005" s="1" t="str">
        <f>"06522"</f>
        <v>06522</v>
      </c>
      <c r="E8005" s="1" t="s">
        <v>250</v>
      </c>
      <c r="F8005" s="1">
        <v>14</v>
      </c>
      <c r="G8005" s="1">
        <v>11</v>
      </c>
      <c r="H8005" s="1">
        <v>0</v>
      </c>
      <c r="I8005" s="1" t="s">
        <v>15551</v>
      </c>
      <c r="K8005" s="1" t="str">
        <f t="shared" si="506"/>
        <v>ㄑ</v>
      </c>
      <c r="L8005" s="1" t="str">
        <f t="shared" si="507"/>
        <v>ㄧ</v>
      </c>
      <c r="M8005" s="1" t="str">
        <f t="shared" si="504"/>
        <v>ㄣ</v>
      </c>
      <c r="P8005" s="1" t="s">
        <v>20</v>
      </c>
      <c r="R8005" s="1" t="s">
        <v>15552</v>
      </c>
      <c r="V8005" s="1" t="s">
        <v>15575</v>
      </c>
      <c r="AR8005" s="1" t="str">
        <f t="shared" si="505"/>
        <v>| [ㄑㄧㄣˊ](ㄑㄧㄣˊ.md) | [慬](慬.md) |  | qín | [名]
勇氣、勇敢。《淮南子．說山》：「立慬者非學鬥爭也，慬立而生不讓。」唐．柳宗元〈唐故特進贈開府儀同三司揚州大都督南府君睢陽廟碑〉：「所以出奇以恥敵，立慬以怒寇。」 |</v>
      </c>
    </row>
    <row r="8006" spans="1:44" hidden="1">
      <c r="A8006" s="1" t="s">
        <v>15576</v>
      </c>
      <c r="C8006" s="1">
        <v>1</v>
      </c>
      <c r="D8006" s="1" t="str">
        <f>"06523"</f>
        <v>06523</v>
      </c>
      <c r="E8006" s="1" t="s">
        <v>250</v>
      </c>
      <c r="F8006" s="1">
        <v>17</v>
      </c>
      <c r="G8006" s="1">
        <v>13</v>
      </c>
      <c r="H8006" s="1">
        <v>0</v>
      </c>
      <c r="I8006" s="1" t="s">
        <v>15551</v>
      </c>
      <c r="K8006" s="1" t="str">
        <f t="shared" si="506"/>
        <v>ㄑ</v>
      </c>
      <c r="L8006" s="1" t="str">
        <f t="shared" si="507"/>
        <v>ㄧ</v>
      </c>
      <c r="M8006" s="1" t="str">
        <f t="shared" si="504"/>
        <v>ㄣ</v>
      </c>
      <c r="P8006" s="1" t="s">
        <v>20</v>
      </c>
      <c r="R8006" s="1" t="s">
        <v>15552</v>
      </c>
      <c r="V8006" s="1" t="s">
        <v>15577</v>
      </c>
      <c r="AR8006" s="1" t="str">
        <f t="shared" si="505"/>
        <v>| [ㄑㄧㄣˊ](ㄑㄧㄣˊ.md) | [懃](懃.md) |  | qín | [動]
努力。通「勤」。晉．支遁〈座右銘〉：「懃之懃之，至道非彌。」
[形]
待人誠懇周到。通「勤」。如：「慇懃」、「懃懇」。宋．蘇舜欽〈和韓三謁歐陽九之作〉詩：「韓子我所佳，招我懃有謂。」
[名]
姓。如宋代有懃鉉。 |</v>
      </c>
    </row>
    <row r="8007" spans="1:44" hidden="1">
      <c r="A8007" s="1" t="s">
        <v>15578</v>
      </c>
      <c r="C8007" s="1">
        <v>1</v>
      </c>
      <c r="D8007" s="1" t="str">
        <f>"06524"</f>
        <v>06524</v>
      </c>
      <c r="E8007" s="1" t="s">
        <v>15579</v>
      </c>
      <c r="F8007" s="1">
        <v>13</v>
      </c>
      <c r="G8007" s="1">
        <v>8</v>
      </c>
      <c r="H8007" s="1">
        <v>0</v>
      </c>
      <c r="I8007" s="1" t="s">
        <v>15551</v>
      </c>
      <c r="K8007" s="1" t="str">
        <f t="shared" si="506"/>
        <v>ㄑ</v>
      </c>
      <c r="L8007" s="1" t="str">
        <f t="shared" si="507"/>
        <v>ㄧ</v>
      </c>
      <c r="M8007" s="1" t="str">
        <f t="shared" si="504"/>
        <v>ㄣ</v>
      </c>
      <c r="P8007" s="1" t="s">
        <v>20</v>
      </c>
      <c r="R8007" s="1" t="s">
        <v>15552</v>
      </c>
      <c r="V8007" s="1" t="s">
        <v>15580</v>
      </c>
      <c r="AR8007" s="1" t="str">
        <f t="shared" si="505"/>
        <v>| [ㄑㄧㄣˊ](ㄑㄧㄣˊ.md) | [禽](禽.md) |  | qín | [名]
1.鳥類的總稱。《爾雅．釋鳥》：「二足而羽謂之禽。」如：「家禽」、「飛禽」。《文選．謝靈運．登池上樓詩》：「池塘生春草，園柳變鳴禽。」
2.姓。如漢代有禽堅。
[動]
捕捉。通「擒」。《史記．卷九二．淮陰侯傳》：「陛下不能將兵，而善將將，此乃信之所以為陛下禽也。」 |</v>
      </c>
    </row>
    <row r="8008" spans="1:44" hidden="1">
      <c r="A8008" s="1" t="s">
        <v>15581</v>
      </c>
      <c r="C8008" s="1">
        <v>1</v>
      </c>
      <c r="D8008" s="1" t="str">
        <f>"06525"</f>
        <v>06525</v>
      </c>
      <c r="E8008" s="1" t="s">
        <v>24</v>
      </c>
      <c r="F8008" s="1">
        <v>16</v>
      </c>
      <c r="G8008" s="1">
        <v>13</v>
      </c>
      <c r="H8008" s="1">
        <v>0</v>
      </c>
      <c r="I8008" s="1" t="s">
        <v>15551</v>
      </c>
      <c r="K8008" s="1" t="str">
        <f t="shared" si="506"/>
        <v>ㄑ</v>
      </c>
      <c r="L8008" s="1" t="str">
        <f t="shared" si="507"/>
        <v>ㄧ</v>
      </c>
      <c r="M8008" s="1" t="str">
        <f t="shared" si="504"/>
        <v>ㄣ</v>
      </c>
      <c r="P8008" s="1" t="s">
        <v>20</v>
      </c>
      <c r="R8008" s="1" t="s">
        <v>15552</v>
      </c>
      <c r="V8008" s="1" t="s">
        <v>15582</v>
      </c>
      <c r="AR8008" s="1" t="str">
        <f t="shared" si="505"/>
        <v>| [ㄑㄧㄣˊ](ㄑㄧㄣˊ.md) | [擒](擒.md) |  | qín | [動]
捕捉。如：「欲擒故縱」、「擒賊先擒王」。《韓非子．存韓》：「是我兵未出，而勁韓以威擒。」《三國演義》第九〇回：「驅巨獸六破蠻兵，燒藤甲七擒孟獲。」 |</v>
      </c>
    </row>
    <row r="8009" spans="1:44" hidden="1">
      <c r="A8009" s="1" t="s">
        <v>15583</v>
      </c>
      <c r="C8009" s="1">
        <v>1</v>
      </c>
      <c r="D8009" s="1" t="str">
        <f>"06526"</f>
        <v>06526</v>
      </c>
      <c r="E8009" s="1" t="s">
        <v>28</v>
      </c>
      <c r="F8009" s="1">
        <v>16</v>
      </c>
      <c r="G8009" s="1">
        <v>13</v>
      </c>
      <c r="H8009" s="1">
        <v>0</v>
      </c>
      <c r="I8009" s="1" t="s">
        <v>15551</v>
      </c>
      <c r="K8009" s="1" t="str">
        <f t="shared" si="506"/>
        <v>ㄑ</v>
      </c>
      <c r="L8009" s="1" t="str">
        <f t="shared" si="507"/>
        <v>ㄧ</v>
      </c>
      <c r="M8009" s="1" t="str">
        <f t="shared" si="504"/>
        <v>ㄣ</v>
      </c>
      <c r="P8009" s="1" t="s">
        <v>20</v>
      </c>
      <c r="R8009" s="1" t="s">
        <v>15552</v>
      </c>
      <c r="V8009" s="1" t="s">
        <v>15584</v>
      </c>
      <c r="AR8009" s="1" t="str">
        <f t="shared" si="505"/>
        <v>| [ㄑㄧㄣˊ](ㄑㄧㄣˊ.md) | [噙](噙.md) |  | qín | [動]
含著。如：「她眼裡噙著淚水。」《西遊記》第一一回：「頭頂一對南瓜，袖帶黃錢，口噙藥物。」 |</v>
      </c>
    </row>
    <row r="8010" spans="1:44" hidden="1">
      <c r="A8010" s="1" t="s">
        <v>15585</v>
      </c>
      <c r="C8010" s="1">
        <v>1</v>
      </c>
      <c r="D8010" s="1" t="str">
        <f>"06527"</f>
        <v>06527</v>
      </c>
      <c r="E8010" s="1" t="s">
        <v>139</v>
      </c>
      <c r="F8010" s="1">
        <v>17</v>
      </c>
      <c r="G8010" s="1">
        <v>13</v>
      </c>
      <c r="H8010" s="1">
        <v>0</v>
      </c>
      <c r="I8010" s="1" t="s">
        <v>15551</v>
      </c>
      <c r="K8010" s="1" t="str">
        <f t="shared" si="506"/>
        <v>ㄑ</v>
      </c>
      <c r="L8010" s="1" t="str">
        <f t="shared" si="507"/>
        <v>ㄧ</v>
      </c>
      <c r="M8010" s="1" t="str">
        <f t="shared" si="504"/>
        <v>ㄣ</v>
      </c>
      <c r="P8010" s="1" t="s">
        <v>20</v>
      </c>
      <c r="R8010" s="1" t="s">
        <v>15552</v>
      </c>
      <c r="V8010" s="1" t="s">
        <v>15586</v>
      </c>
      <c r="AR8010" s="1" t="str">
        <f t="shared" si="505"/>
        <v>| [ㄑㄧㄣˊ](ㄑㄧㄣˊ.md) | [檎](檎.md) |  | qín | [名]
植物名。薔薇科蘋果屬，落葉小喬木。葉卵形或橢圓形，細銳鋸齒緣。繖房花序具花四至七朵，花瓣淡紅色。梨果卵形或近球形，先端漸狹，宿存萼隆起，質略硬，似蘋果而小，可食。因果味香甘，能招禽鳥，故稱為「林檎」。俗稱為「花紅」、「沙果」。 |</v>
      </c>
    </row>
    <row r="8011" spans="1:44" hidden="1">
      <c r="A8011" s="1" t="s">
        <v>15587</v>
      </c>
      <c r="C8011" s="1">
        <v>1</v>
      </c>
      <c r="D8011" s="1" t="str">
        <f>"06528"</f>
        <v>06528</v>
      </c>
      <c r="E8011" s="1" t="s">
        <v>624</v>
      </c>
      <c r="F8011" s="1">
        <v>14</v>
      </c>
      <c r="G8011" s="1">
        <v>11</v>
      </c>
      <c r="H8011" s="1">
        <v>0</v>
      </c>
      <c r="I8011" s="1" t="s">
        <v>15588</v>
      </c>
      <c r="K8011" s="1" t="str">
        <f t="shared" si="506"/>
        <v>ㄑ</v>
      </c>
      <c r="L8011" s="1" t="str">
        <f t="shared" si="507"/>
        <v>ㄧ</v>
      </c>
      <c r="M8011" s="1" t="str">
        <f t="shared" si="504"/>
        <v>ㄣ</v>
      </c>
      <c r="P8011" s="1" t="s">
        <v>20</v>
      </c>
      <c r="R8011" s="1" t="s">
        <v>15589</v>
      </c>
      <c r="V8011" s="1" t="s">
        <v>15590</v>
      </c>
      <c r="AR8011" s="1" t="str">
        <f t="shared" si="505"/>
        <v>| [ㄑㄧㄣˇ](ㄑㄧㄣˇ.md) | [寢](寢.md) |  | qǐn | [動]
1.睡覺、臥息。如：「小寢」。《論語．公冶長》：「宰予晝寢。」
2.躺臥。《左傳．襄公二十一年》：「臣食其肉而寢處其皮矣。」
3.停止。《新唐書．卷一七三．裴度傳》：「汲黯在朝，淮南寢謀。」《三國演義》第一一五回：「今聞鄧艾善能用兵，因此寢其事矣。」
4.隱瞞。唐．元稹《鶯鶯傳》：「誠欲寢其詞，則保人之姦，不義。」
[形]
1.像動物趴著的樣子。《荀子．解蔽》：「冥冥而行者，見寢石以為伏虎也。」
2.相貌醜陋。《史記．卷一〇七．武安侯傳》：「武安者，貌寢，生貴甚。」清．魏禧〈大鐵椎傳〉：「時座上有健啖客，貌甚寢。」
[名]
1.臥室、居室。如：「寢室」、「正寢」。《左傳．昭公十八年》：「子大叔之廟在道南，其寢在道北。」
2.宗廟收藏祖先衣冠的地方。亦泛指宗廟。《呂氏春秋．孟春紀．孟春》：「執爵于太寢。」《禮記．月令》：「寢廟畢備。」唐．孔穎達．正義：「寢，衣冠所藏之處。」
3.古代帝王的墳墓。如：「陵寢」。 |</v>
      </c>
    </row>
    <row r="8012" spans="1:44" hidden="1">
      <c r="A8012" s="1" t="s">
        <v>15432</v>
      </c>
      <c r="C8012" s="1">
        <v>1</v>
      </c>
      <c r="D8012" s="1" t="str">
        <f>"06529"</f>
        <v>06529</v>
      </c>
      <c r="E8012" s="1" t="s">
        <v>55</v>
      </c>
      <c r="F8012" s="1">
        <v>15</v>
      </c>
      <c r="G8012" s="1">
        <v>7</v>
      </c>
      <c r="H8012" s="1">
        <v>2</v>
      </c>
      <c r="I8012" s="1" t="s">
        <v>15588</v>
      </c>
      <c r="K8012" s="1" t="str">
        <f t="shared" si="506"/>
        <v>ㄑ</v>
      </c>
      <c r="L8012" s="1" t="str">
        <f t="shared" si="507"/>
        <v>ㄧ</v>
      </c>
      <c r="M8012" s="1" t="str">
        <f t="shared" si="504"/>
        <v>ㄣ</v>
      </c>
      <c r="P8012" s="1" t="s">
        <v>110</v>
      </c>
      <c r="R8012" s="1" t="s">
        <v>15589</v>
      </c>
      <c r="V8012" s="1" t="s">
        <v>111</v>
      </c>
      <c r="W8012" s="1" t="s">
        <v>15591</v>
      </c>
      <c r="AR8012" s="1" t="str">
        <f t="shared" si="505"/>
        <v>| [ㄑㄧㄣˇ](ㄑㄧㄣˇ.md) | [鋟](鋟.md) |  | qǐn | (一)之又音。 |</v>
      </c>
    </row>
    <row r="8013" spans="1:44" hidden="1">
      <c r="A8013" s="1" t="s">
        <v>15592</v>
      </c>
      <c r="C8013" s="1">
        <v>1</v>
      </c>
      <c r="D8013" s="1" t="str">
        <f>"06530"</f>
        <v>06530</v>
      </c>
      <c r="E8013" s="1" t="s">
        <v>679</v>
      </c>
      <c r="F8013" s="1">
        <v>17</v>
      </c>
      <c r="G8013" s="1">
        <v>11</v>
      </c>
      <c r="H8013" s="1">
        <v>0</v>
      </c>
      <c r="I8013" s="1" t="s">
        <v>15588</v>
      </c>
      <c r="K8013" s="1" t="str">
        <f t="shared" si="506"/>
        <v>ㄑ</v>
      </c>
      <c r="L8013" s="1" t="str">
        <f t="shared" si="507"/>
        <v>ㄧ</v>
      </c>
      <c r="M8013" s="1" t="str">
        <f t="shared" si="504"/>
        <v>ㄣ</v>
      </c>
      <c r="P8013" s="1" t="s">
        <v>20</v>
      </c>
      <c r="R8013" s="1" t="s">
        <v>15589</v>
      </c>
      <c r="V8013" s="1" t="s">
        <v>15593</v>
      </c>
      <c r="AR8013" s="1" t="str">
        <f t="shared" si="505"/>
        <v>| [ㄑㄧㄣˇ](ㄑㄧㄣˇ.md) | [螼](螼.md) |  | qǐn | [名]
動物名。即蚯蚓。環形動物門貧毛綱。體軟，有環節。沒有眼睛、耳朵，但對光、熱、觸覺都很靈敏。能分解腐植土，供植物使用。 |</v>
      </c>
    </row>
    <row r="8014" spans="1:44" hidden="1">
      <c r="A8014" s="1" t="s">
        <v>15594</v>
      </c>
      <c r="C8014" s="1">
        <v>1</v>
      </c>
      <c r="D8014" s="1" t="str">
        <f>"06531"</f>
        <v>06531</v>
      </c>
      <c r="E8014" s="1" t="s">
        <v>129</v>
      </c>
      <c r="F8014" s="1">
        <v>7</v>
      </c>
      <c r="G8014" s="1">
        <v>4</v>
      </c>
      <c r="H8014" s="1">
        <v>0</v>
      </c>
      <c r="I8014" s="1" t="s">
        <v>15595</v>
      </c>
      <c r="K8014" s="1" t="str">
        <f t="shared" si="506"/>
        <v>ㄑ</v>
      </c>
      <c r="L8014" s="1" t="str">
        <f t="shared" si="507"/>
        <v>ㄧ</v>
      </c>
      <c r="M8014" s="1" t="str">
        <f t="shared" si="504"/>
        <v>ㄣ</v>
      </c>
      <c r="P8014" s="1" t="s">
        <v>20</v>
      </c>
      <c r="R8014" s="1" t="s">
        <v>15596</v>
      </c>
      <c r="V8014" s="1" t="s">
        <v>15597</v>
      </c>
      <c r="AR8014" s="1" t="str">
        <f t="shared" si="505"/>
        <v>| [ㄑㄧㄣˋ](ㄑㄧㄣˋ.md) | [沁](沁.md) |  | qìn | [動]
1.滲入、滲進。如：「沁骨」、「沁入心脾」。唐．孫欣〈奉試冷井詩〉：「仙闈井初鑿，靈液沁成泉。」
2.汲水。唐．韓愈、孟郊〈同宿聯句〉：「義泉雖至近，盜索不敢沁。」
[名]
河川名。源出於大陸地區山西省沁源縣北，東南流至河南省武涉縣折南注入黃河。 |</v>
      </c>
    </row>
    <row r="8015" spans="1:44" hidden="1">
      <c r="A8015" s="1" t="s">
        <v>15598</v>
      </c>
      <c r="C8015" s="1">
        <v>1</v>
      </c>
      <c r="D8015" s="1" t="str">
        <f>"06532"</f>
        <v>06532</v>
      </c>
      <c r="E8015" s="1" t="s">
        <v>250</v>
      </c>
      <c r="F8015" s="1">
        <v>10</v>
      </c>
      <c r="G8015" s="1">
        <v>6</v>
      </c>
      <c r="H8015" s="1">
        <v>0</v>
      </c>
      <c r="I8015" s="1" t="s">
        <v>15595</v>
      </c>
      <c r="K8015" s="1" t="str">
        <f t="shared" si="506"/>
        <v>ㄑ</v>
      </c>
      <c r="L8015" s="1" t="str">
        <f t="shared" si="507"/>
        <v>ㄧ</v>
      </c>
      <c r="M8015" s="1" t="str">
        <f t="shared" si="504"/>
        <v>ㄣ</v>
      </c>
      <c r="P8015" s="1" t="s">
        <v>20</v>
      </c>
      <c r="R8015" s="1" t="s">
        <v>15596</v>
      </c>
      <c r="V8015" s="1" t="s">
        <v>15599</v>
      </c>
      <c r="AR8015" s="1" t="str">
        <f t="shared" si="505"/>
        <v>| [ㄑㄧㄣˋ](ㄑㄧㄣˋ.md) | [𢙈](𢙈.md) |  | qìn | [動]
狗嘔吐。通「唚」。《集韻．去聲．沁韻》：「𢙈，犬吐。」 |</v>
      </c>
    </row>
    <row r="8016" spans="1:44" hidden="1">
      <c r="A8016" s="1" t="s">
        <v>15600</v>
      </c>
      <c r="C8016" s="1">
        <v>1</v>
      </c>
      <c r="D8016" s="1" t="str">
        <f>"06533"</f>
        <v>06533</v>
      </c>
      <c r="E8016" s="1" t="s">
        <v>28</v>
      </c>
      <c r="F8016" s="1">
        <v>10</v>
      </c>
      <c r="G8016" s="1">
        <v>7</v>
      </c>
      <c r="H8016" s="1">
        <v>0</v>
      </c>
      <c r="I8016" s="1" t="s">
        <v>15595</v>
      </c>
      <c r="K8016" s="1" t="str">
        <f t="shared" si="506"/>
        <v>ㄑ</v>
      </c>
      <c r="L8016" s="1" t="str">
        <f t="shared" si="507"/>
        <v>ㄧ</v>
      </c>
      <c r="M8016" s="1" t="str">
        <f t="shared" si="504"/>
        <v>ㄣ</v>
      </c>
      <c r="P8016" s="1" t="s">
        <v>20</v>
      </c>
      <c r="R8016" s="1" t="s">
        <v>15596</v>
      </c>
      <c r="V8016" s="1" t="s">
        <v>15601</v>
      </c>
      <c r="AR8016" s="1" t="str">
        <f t="shared" si="505"/>
        <v>| [ㄑㄧㄣˋ](ㄑㄧㄣˋ.md) | [唚](唚.md) |  | qìn | [動]
1.大陸地區北方人稱牲畜嘔吐為「唚」。如：「貓唚了。」
2.用髒話亂罵。如：「滿嘴胡唚」。《紅樓夢》第七回：「少胡說，那是醉漢嘴裡混唚！」 |</v>
      </c>
    </row>
    <row r="8017" spans="1:44" hidden="1">
      <c r="A8017" s="1" t="s">
        <v>15602</v>
      </c>
      <c r="C8017" s="1">
        <v>1</v>
      </c>
      <c r="D8017" s="1" t="str">
        <f>"06534"</f>
        <v>06534</v>
      </c>
      <c r="E8017" s="1" t="s">
        <v>24</v>
      </c>
      <c r="F8017" s="1">
        <v>15</v>
      </c>
      <c r="G8017" s="1">
        <v>12</v>
      </c>
      <c r="H8017" s="1">
        <v>0</v>
      </c>
      <c r="I8017" s="1" t="s">
        <v>15595</v>
      </c>
      <c r="K8017" s="1" t="str">
        <f t="shared" si="506"/>
        <v>ㄑ</v>
      </c>
      <c r="L8017" s="1" t="str">
        <f t="shared" si="507"/>
        <v>ㄧ</v>
      </c>
      <c r="M8017" s="1" t="str">
        <f t="shared" si="504"/>
        <v>ㄣ</v>
      </c>
      <c r="P8017" s="1" t="s">
        <v>20</v>
      </c>
      <c r="R8017" s="1" t="s">
        <v>15596</v>
      </c>
      <c r="V8017" s="1" t="s">
        <v>15603</v>
      </c>
      <c r="AR8017" s="1" t="str">
        <f t="shared" si="505"/>
        <v>| [ㄑㄧㄣˋ](ㄑㄧㄣˋ.md) | [撳](撳.md) |  | qìn | [動]
用手按。如：「撳門鈴」、「將人撳倒在地」。《老殘遊記》第一〇回：「勝姑將小鈴取出，左手撳了四個，右手撳了三個。」 |</v>
      </c>
    </row>
    <row r="8018" spans="1:44" hidden="1">
      <c r="A8018" s="1" t="s">
        <v>16006</v>
      </c>
      <c r="C8018" s="1">
        <v>1</v>
      </c>
      <c r="D8018" s="1" t="str">
        <f>"06710"</f>
        <v>06710</v>
      </c>
      <c r="E8018" s="1" t="s">
        <v>558</v>
      </c>
      <c r="F8018" s="1">
        <v>11</v>
      </c>
      <c r="G8018" s="1">
        <v>7</v>
      </c>
      <c r="H8018" s="1">
        <v>0</v>
      </c>
      <c r="I8018" s="1" t="s">
        <v>16007</v>
      </c>
      <c r="K8018" s="1" t="str">
        <f t="shared" si="506"/>
        <v>ㄑ</v>
      </c>
      <c r="L8018" s="1" t="str">
        <f t="shared" si="507"/>
        <v>ㄩ</v>
      </c>
      <c r="M8018" s="1" t="str">
        <f t="shared" si="504"/>
        <v>ㄣ</v>
      </c>
      <c r="P8018" s="1" t="s">
        <v>20</v>
      </c>
      <c r="R8018" s="1" t="s">
        <v>16008</v>
      </c>
      <c r="V8018" s="1" t="s">
        <v>16009</v>
      </c>
      <c r="AR8018" s="1" t="str">
        <f t="shared" si="505"/>
        <v>| [ㄑㄩㄣ](ㄑㄩㄣ.md) | [逡](逡.md) |  | qūn | [動]
1.往復、循環。《說文解字．辵部》：「逡，復也。」清．段玉裁．注：「《方言》：『躔、逡，循也。日運為躔，月運為逡。』」
2.退卻。《玉篇．辵部》：「逡，退也，卻也。」《漢書．卷五八．公孫弘傳》：「有功者上，無功者下，則群臣逡。」 |</v>
      </c>
    </row>
    <row r="8019" spans="1:44" hidden="1">
      <c r="A8019" s="1" t="s">
        <v>16010</v>
      </c>
      <c r="C8019" s="1">
        <v>1</v>
      </c>
      <c r="D8019" s="1" t="str">
        <f>"06711"</f>
        <v>06711</v>
      </c>
      <c r="E8019" s="1" t="s">
        <v>77</v>
      </c>
      <c r="F8019" s="1">
        <v>14</v>
      </c>
      <c r="G8019" s="1">
        <v>7</v>
      </c>
      <c r="H8019" s="1">
        <v>2</v>
      </c>
      <c r="I8019" s="1" t="s">
        <v>16007</v>
      </c>
      <c r="K8019" s="1" t="str">
        <f t="shared" si="506"/>
        <v>ㄑ</v>
      </c>
      <c r="L8019" s="1" t="str">
        <f t="shared" si="507"/>
        <v>ㄩ</v>
      </c>
      <c r="M8019" s="1" t="str">
        <f t="shared" si="504"/>
        <v>ㄣ</v>
      </c>
      <c r="P8019" s="1" t="s">
        <v>20</v>
      </c>
      <c r="R8019" s="1" t="s">
        <v>16008</v>
      </c>
      <c r="V8019" s="1" t="s">
        <v>16011</v>
      </c>
      <c r="W8019" s="1" t="s">
        <v>16012</v>
      </c>
      <c r="AR8019" s="1" t="str">
        <f t="shared" si="505"/>
        <v>| [ㄑㄩㄣ](ㄑㄩㄣ.md) | [踆](踆.md) |  | qūn | [動]
退、止。《文選．張衡．東京賦》：「千官萬品，已事而踆。」唐．李善．注：「已，止也。踆，退也。謂品秩官僚等，並止事而退還也。」
[形]
踆踆：(1)鳥獸行走的樣子。《文選．張衡．西京賦》：「怪獸陸梁，大雀踆踆。」唐．李善．注：「踆踆，大雀容也。」唐．杜甫〈封西岳賦〉：「麒麟踆踆而在郊，鳳凰蔚跂而來遊。」(2)腳步遲緩的樣子。唐．杜甫〈奉贈韋左丞丈二十二韻〉：「焉能心怏怏，祗是走踆踆。」 |</v>
      </c>
    </row>
    <row r="8020" spans="1:44" hidden="1">
      <c r="A8020" s="1" t="s">
        <v>16013</v>
      </c>
      <c r="C8020" s="1">
        <v>1</v>
      </c>
      <c r="D8020" s="1" t="str">
        <f>"06712"</f>
        <v>06712</v>
      </c>
      <c r="E8020" s="1" t="s">
        <v>340</v>
      </c>
      <c r="F8020" s="1">
        <v>13</v>
      </c>
      <c r="G8020" s="1">
        <v>7</v>
      </c>
      <c r="H8020" s="1">
        <v>0</v>
      </c>
      <c r="I8020" s="1" t="s">
        <v>16014</v>
      </c>
      <c r="K8020" s="1" t="str">
        <f t="shared" si="506"/>
        <v>ㄑ</v>
      </c>
      <c r="L8020" s="1" t="str">
        <f t="shared" si="507"/>
        <v>ㄩ</v>
      </c>
      <c r="M8020" s="1" t="str">
        <f t="shared" si="504"/>
        <v>ㄣ</v>
      </c>
      <c r="P8020" s="1" t="s">
        <v>20</v>
      </c>
      <c r="R8020" s="1" t="s">
        <v>16015</v>
      </c>
      <c r="V8020" s="1" t="s">
        <v>16016</v>
      </c>
      <c r="AR8020" s="1" t="str">
        <f t="shared" si="505"/>
        <v>| [ㄑㄩㄣˊ](ㄑㄩㄣˊ.md) | [裙](裙.md) |  | qún | [名]
1.古時下裳的通稱，今指裙子。漢．劉熙《釋名．釋衣服》：「裙，下群也。連接裾幅也。」如：「窄裙」、「百褶裙」。
2.鱉甲的邊緣。明．張自烈《正字通．衣部》：「裙，鱉甲邊曰裙。」 |</v>
      </c>
    </row>
    <row r="8021" spans="1:44" hidden="1">
      <c r="A8021" s="1" t="s">
        <v>16017</v>
      </c>
      <c r="C8021" s="1">
        <v>1</v>
      </c>
      <c r="D8021" s="1" t="str">
        <f>"06713"</f>
        <v>06713</v>
      </c>
      <c r="E8021" s="1" t="s">
        <v>43</v>
      </c>
      <c r="F8021" s="1">
        <v>13</v>
      </c>
      <c r="G8021" s="1">
        <v>7</v>
      </c>
      <c r="H8021" s="1">
        <v>0</v>
      </c>
      <c r="I8021" s="1" t="s">
        <v>16014</v>
      </c>
      <c r="K8021" s="1" t="str">
        <f t="shared" si="506"/>
        <v>ㄑ</v>
      </c>
      <c r="L8021" s="1" t="str">
        <f t="shared" si="507"/>
        <v>ㄩ</v>
      </c>
      <c r="M8021" s="1" t="str">
        <f t="shared" ref="M8021:M8084" si="508">MID(I8021, 3, 1)</f>
        <v>ㄣ</v>
      </c>
      <c r="P8021" s="1" t="s">
        <v>20</v>
      </c>
      <c r="R8021" s="1" t="s">
        <v>16015</v>
      </c>
      <c r="V8021" s="1" t="s">
        <v>16018</v>
      </c>
      <c r="AR8021" s="1" t="str">
        <f t="shared" si="505"/>
        <v>| [ㄑㄩㄣˊ](ㄑㄩㄣˊ.md) | [群](群.md) |  | qún | [名]_x000D_
1.相聚一起的人或物。如：「鳥群」、「三五成群」、「鶴立雞群」。《禮記．檀弓上》：「吾離群而索居，亦已久矣。」唐．白居易〈與元九書〉：「群分而氣同，形異而情一。」_x000D_
2.群育的簡稱。如：「德、智、體、群、美，五育並重。」_x000D_
3.量詞。計算群聚的人或物的單位。如：「一群牛」、「一群小孩」。《紅樓夢》第二七回：「只見寶釵出來了，寶玉、襲人一群人都送了出來。」_x000D_
[動]_x000D_
聚集、聚合。《國語．齊語》：「令夫士，群萃而州處。」《荀子．勸學》：「草木疇生，禽獸群焉，物各從其類也。」_x000D_
[形]_x000D_
1.眾多。如：「群英」、「群經諸子」。《禮記．中庸》：「體群臣也。」唐．王勃〈滕王閣序〉：「登高作賦，是所望於群公。」_x000D_
2.成群的。如：「群島」、「群峰」、「群居」。_x000D_
[副]_x000D_
群集、成群。如：「群起而攻之。」《楚辭．屈原．九章．懷沙》：「邑犬之群吠兮，吠所怪也。」 |</v>
      </c>
    </row>
    <row r="8022" spans="1:44" hidden="1">
      <c r="A8022" s="1" t="s">
        <v>14762</v>
      </c>
      <c r="C8022" s="1">
        <v>1</v>
      </c>
      <c r="D8022" s="1" t="str">
        <f>"06714"</f>
        <v>06714</v>
      </c>
      <c r="E8022" s="1" t="s">
        <v>1190</v>
      </c>
      <c r="F8022" s="1">
        <v>16</v>
      </c>
      <c r="G8022" s="1">
        <v>5</v>
      </c>
      <c r="H8022" s="1">
        <v>2</v>
      </c>
      <c r="I8022" s="1" t="s">
        <v>16014</v>
      </c>
      <c r="K8022" s="1" t="str">
        <f t="shared" si="506"/>
        <v>ㄑ</v>
      </c>
      <c r="L8022" s="1" t="str">
        <f t="shared" si="507"/>
        <v>ㄩ</v>
      </c>
      <c r="M8022" s="1" t="str">
        <f t="shared" si="508"/>
        <v>ㄣ</v>
      </c>
      <c r="P8022" s="1" t="s">
        <v>20</v>
      </c>
      <c r="R8022" s="1" t="s">
        <v>16015</v>
      </c>
      <c r="V8022" s="1" t="s">
        <v>16019</v>
      </c>
      <c r="W8022" s="1" t="s">
        <v>16020</v>
      </c>
      <c r="AR8022" s="1" t="str">
        <f t="shared" si="505"/>
        <v>| [ㄑㄩㄣˊ](ㄑㄩㄣˊ.md) | [麇](麇.md) |  | qún | [副]
成群。如：「麇集」。《左傳．昭公五年》：「求諸侯而麇至。」晉．杜預．注：「麇，群也。」 |</v>
      </c>
    </row>
    <row r="8023" spans="1:44" hidden="1">
      <c r="A8023" s="1" t="s">
        <v>15604</v>
      </c>
      <c r="C8023" s="1">
        <v>1</v>
      </c>
      <c r="D8023" s="1" t="str">
        <f>"06535"</f>
        <v>06535</v>
      </c>
      <c r="E8023" s="1" t="s">
        <v>43</v>
      </c>
      <c r="F8023" s="1">
        <v>8</v>
      </c>
      <c r="G8023" s="1">
        <v>2</v>
      </c>
      <c r="H8023" s="1">
        <v>0</v>
      </c>
      <c r="I8023" s="1" t="s">
        <v>15605</v>
      </c>
      <c r="K8023" s="1" t="str">
        <f t="shared" si="506"/>
        <v>ㄑ</v>
      </c>
      <c r="L8023" s="1" t="str">
        <f t="shared" si="507"/>
        <v>ㄧ</v>
      </c>
      <c r="M8023" s="1" t="str">
        <f t="shared" si="508"/>
        <v>ㄤ</v>
      </c>
      <c r="P8023" s="1" t="s">
        <v>20</v>
      </c>
      <c r="R8023" s="1" t="s">
        <v>15606</v>
      </c>
      <c r="V8023" s="1" t="s">
        <v>15607</v>
      </c>
      <c r="AR8023" s="1" t="str">
        <f t="shared" si="505"/>
        <v>| [ㄑㄧㄤ](ㄑㄧㄤ.md) | [羌](羌.md) |  | qiāng | [名]
1.中國西北少數民族之一。舊稱為西戎，分布在今大陸地區青海、甘肅、四川一帶。
2.動物名。鹿科麂屬。全身披褐色短毛，雄羌頭上長角，形體大小及吠聲似狗。行動隱密敏捷，常出沒在清晨及傍晚時的山地濃密林區，以野菜、鮮草、嫩葉為食。
3.姓。如晉代有羌迪。
[助]
句首發語詞，無義。《楚辭．屈原．離騷》：「羌內恕己以量人兮，各興心而嫉妒。」漢．王逸．注：「羌，楚人語詞也。」
[連]
乃、卻、反而。表示轉折、並列或假設。《楚辭．屈原．離騷》：「曰黃昏以為期兮，羌中道而改路。」《文選．王延壽．魯靈光殿賦》：「邈希世而特出，羌瑰譎而鴻紛。」 |</v>
      </c>
    </row>
    <row r="8024" spans="1:44" hidden="1">
      <c r="A8024" s="1" t="s">
        <v>15608</v>
      </c>
      <c r="C8024" s="1">
        <v>1</v>
      </c>
      <c r="D8024" s="1" t="str">
        <f>"06536"</f>
        <v>06536</v>
      </c>
      <c r="E8024" s="1" t="s">
        <v>679</v>
      </c>
      <c r="F8024" s="1">
        <v>14</v>
      </c>
      <c r="G8024" s="1">
        <v>8</v>
      </c>
      <c r="H8024" s="1">
        <v>0</v>
      </c>
      <c r="I8024" s="1" t="s">
        <v>15605</v>
      </c>
      <c r="K8024" s="1" t="str">
        <f t="shared" si="506"/>
        <v>ㄑ</v>
      </c>
      <c r="L8024" s="1" t="str">
        <f t="shared" si="507"/>
        <v>ㄧ</v>
      </c>
      <c r="M8024" s="1" t="str">
        <f t="shared" si="508"/>
        <v>ㄤ</v>
      </c>
      <c r="P8024" s="1" t="s">
        <v>20</v>
      </c>
      <c r="R8024" s="1" t="s">
        <v>15606</v>
      </c>
      <c r="V8024" s="1" t="s">
        <v>15609</v>
      </c>
      <c r="AR8024" s="1" t="str">
        <f t="shared" si="505"/>
        <v>| [ㄑㄧㄤ](ㄑㄧㄤ.md) | [蜣](蜣.md) |  | qiāng | 參見「蜣螂」條。 |</v>
      </c>
    </row>
    <row r="8025" spans="1:44" hidden="1">
      <c r="A8025" s="1" t="s">
        <v>14154</v>
      </c>
      <c r="C8025" s="1">
        <v>1</v>
      </c>
      <c r="D8025" s="1" t="str">
        <f>"06537"</f>
        <v>06537</v>
      </c>
      <c r="E8025" s="1" t="s">
        <v>169</v>
      </c>
      <c r="F8025" s="1">
        <v>8</v>
      </c>
      <c r="G8025" s="1">
        <v>3</v>
      </c>
      <c r="H8025" s="1">
        <v>1</v>
      </c>
      <c r="I8025" s="1" t="s">
        <v>15605</v>
      </c>
      <c r="K8025" s="1" t="str">
        <f t="shared" si="506"/>
        <v>ㄑ</v>
      </c>
      <c r="L8025" s="1" t="str">
        <f t="shared" si="507"/>
        <v>ㄧ</v>
      </c>
      <c r="M8025" s="1" t="str">
        <f t="shared" si="508"/>
        <v>ㄤ</v>
      </c>
      <c r="P8025" s="1" t="s">
        <v>20</v>
      </c>
      <c r="R8025" s="1" t="s">
        <v>15606</v>
      </c>
      <c r="V8025" s="1" t="s">
        <v>15610</v>
      </c>
      <c r="W8025" s="1" t="s">
        <v>15611</v>
      </c>
      <c r="AR8025" s="1" t="str">
        <f t="shared" si="505"/>
        <v>| [ㄑㄧㄤ](ㄑㄧㄤ.md) | [矼](矼.md) |  | qiāng | [形]
誠實的樣子。《莊子．人間世》：「且德厚信矼，未達人氣。」 |</v>
      </c>
    </row>
    <row r="8026" spans="1:44" hidden="1">
      <c r="A8026" s="1" t="s">
        <v>15612</v>
      </c>
      <c r="C8026" s="1">
        <v>1</v>
      </c>
      <c r="D8026" s="1" t="str">
        <f>"06538"</f>
        <v>06538</v>
      </c>
      <c r="E8026" s="1" t="s">
        <v>4517</v>
      </c>
      <c r="F8026" s="1">
        <v>8</v>
      </c>
      <c r="G8026" s="1">
        <v>4</v>
      </c>
      <c r="H8026" s="1">
        <v>0</v>
      </c>
      <c r="I8026" s="1" t="s">
        <v>15605</v>
      </c>
      <c r="K8026" s="1" t="str">
        <f t="shared" si="506"/>
        <v>ㄑ</v>
      </c>
      <c r="L8026" s="1" t="str">
        <f t="shared" si="507"/>
        <v>ㄧ</v>
      </c>
      <c r="M8026" s="1" t="str">
        <f t="shared" si="508"/>
        <v>ㄤ</v>
      </c>
      <c r="P8026" s="1" t="s">
        <v>20</v>
      </c>
      <c r="R8026" s="1" t="s">
        <v>15606</v>
      </c>
      <c r="V8026" s="1" t="s">
        <v>15613</v>
      </c>
      <c r="AR8026" s="1" t="str">
        <f t="shared" si="505"/>
        <v>| [ㄑㄧㄤ](ㄑㄧㄤ.md) | [斨](斨.md) |  | qiāng | [名]
一種方孔的斧頭。《說文解字．斤部》：「斨，方銎斧也。」《詩經．豳風．七月》：「取彼斧斨，以伐遠揚。」 |</v>
      </c>
    </row>
    <row r="8027" spans="1:44" hidden="1">
      <c r="A8027" s="1" t="s">
        <v>14163</v>
      </c>
      <c r="C8027" s="1">
        <v>1</v>
      </c>
      <c r="D8027" s="1" t="str">
        <f>"06539"</f>
        <v>06539</v>
      </c>
      <c r="E8027" s="1" t="s">
        <v>1595</v>
      </c>
      <c r="F8027" s="1">
        <v>11</v>
      </c>
      <c r="G8027" s="1">
        <v>8</v>
      </c>
      <c r="H8027" s="1">
        <v>3</v>
      </c>
      <c r="I8027" s="1" t="s">
        <v>15605</v>
      </c>
      <c r="K8027" s="1" t="str">
        <f t="shared" si="506"/>
        <v>ㄑ</v>
      </c>
      <c r="L8027" s="1" t="str">
        <f t="shared" si="507"/>
        <v>ㄧ</v>
      </c>
      <c r="M8027" s="1" t="str">
        <f t="shared" si="508"/>
        <v>ㄤ</v>
      </c>
      <c r="P8027" s="1" t="s">
        <v>20</v>
      </c>
      <c r="R8027" s="1" t="s">
        <v>15606</v>
      </c>
      <c r="V8027" s="1" t="s">
        <v>15614</v>
      </c>
      <c r="W8027" s="1" t="s">
        <v>15615</v>
      </c>
      <c r="AR8027" s="1" t="str">
        <f t="shared" si="505"/>
        <v>| [ㄑㄧㄤ](ㄑㄧㄤ.md) | [將](將.md) |  | qiāng | [動]
請求。《詩經．衛風．氓》：「將子無怒，秋以為期。」《聊齋志異．卷三．連瑣》：「將伯之助，義不敢忘。」 |</v>
      </c>
    </row>
    <row r="8028" spans="1:44" hidden="1">
      <c r="A8028" s="1" t="s">
        <v>15616</v>
      </c>
      <c r="C8028" s="1">
        <v>1</v>
      </c>
      <c r="D8028" s="1" t="str">
        <f>"06540"</f>
        <v>06540</v>
      </c>
      <c r="E8028" s="1" t="s">
        <v>77</v>
      </c>
      <c r="F8028" s="1">
        <v>18</v>
      </c>
      <c r="G8028" s="1">
        <v>11</v>
      </c>
      <c r="H8028" s="1">
        <v>1</v>
      </c>
      <c r="I8028" s="1" t="s">
        <v>15605</v>
      </c>
      <c r="K8028" s="1" t="str">
        <f t="shared" si="506"/>
        <v>ㄑ</v>
      </c>
      <c r="L8028" s="1" t="str">
        <f t="shared" si="507"/>
        <v>ㄧ</v>
      </c>
      <c r="M8028" s="1" t="str">
        <f t="shared" si="508"/>
        <v>ㄤ</v>
      </c>
      <c r="P8028" s="1" t="s">
        <v>20</v>
      </c>
      <c r="R8028" s="1" t="s">
        <v>15606</v>
      </c>
      <c r="V8028" s="1" t="s">
        <v>15617</v>
      </c>
      <c r="W8028" s="1" t="s">
        <v>15618</v>
      </c>
      <c r="AR8028" s="1" t="str">
        <f t="shared" si="505"/>
        <v>| [ㄑㄧㄤ](ㄑㄧㄤ.md) | [蹡](蹡.md) |  | qiāng | [動]
行走。《西遊記》第二〇回：「八戒調過頭來，把耳朵擺了幾擺，長嘴伸了一伸，嚇得那些人東倒西歪，亂蹡亂跌。」 |</v>
      </c>
    </row>
    <row r="8029" spans="1:44" hidden="1">
      <c r="A8029" s="1" t="s">
        <v>15619</v>
      </c>
      <c r="C8029" s="1">
        <v>1</v>
      </c>
      <c r="D8029" s="1" t="str">
        <f>"06541"</f>
        <v>06541</v>
      </c>
      <c r="E8029" s="1" t="s">
        <v>55</v>
      </c>
      <c r="F8029" s="1">
        <v>19</v>
      </c>
      <c r="G8029" s="1">
        <v>11</v>
      </c>
      <c r="H8029" s="1">
        <v>0</v>
      </c>
      <c r="I8029" s="1" t="s">
        <v>15605</v>
      </c>
      <c r="K8029" s="1" t="str">
        <f t="shared" si="506"/>
        <v>ㄑ</v>
      </c>
      <c r="L8029" s="1" t="str">
        <f t="shared" si="507"/>
        <v>ㄧ</v>
      </c>
      <c r="M8029" s="1" t="str">
        <f t="shared" si="508"/>
        <v>ㄤ</v>
      </c>
      <c r="P8029" s="1" t="s">
        <v>20</v>
      </c>
      <c r="R8029" s="1" t="s">
        <v>15606</v>
      </c>
      <c r="V8029" s="1" t="s">
        <v>15620</v>
      </c>
      <c r="AR8029" s="1" t="str">
        <f t="shared" si="505"/>
        <v>| [ㄑㄧㄤ](ㄑㄧㄤ.md) | [鏘](鏘.md) |  | qiāng | [擬]
形容撞擊金石的聲音。如：「鼕鼕鏘鏘」。《禮記．玉藻》：「進則揖之，退則揚之，然後玉鏘鳴也。」 |</v>
      </c>
    </row>
    <row r="8030" spans="1:44" hidden="1">
      <c r="A8030" s="1" t="s">
        <v>15621</v>
      </c>
      <c r="C8030" s="1">
        <v>1</v>
      </c>
      <c r="D8030" s="1" t="str">
        <f>"06542"</f>
        <v>06542</v>
      </c>
      <c r="E8030" s="1" t="s">
        <v>139</v>
      </c>
      <c r="F8030" s="1">
        <v>12</v>
      </c>
      <c r="G8030" s="1">
        <v>8</v>
      </c>
      <c r="H8030" s="1">
        <v>0</v>
      </c>
      <c r="I8030" s="1" t="s">
        <v>15605</v>
      </c>
      <c r="K8030" s="1" t="str">
        <f t="shared" si="506"/>
        <v>ㄑ</v>
      </c>
      <c r="L8030" s="1" t="str">
        <f t="shared" si="507"/>
        <v>ㄧ</v>
      </c>
      <c r="M8030" s="1" t="str">
        <f t="shared" si="508"/>
        <v>ㄤ</v>
      </c>
      <c r="P8030" s="1" t="s">
        <v>20</v>
      </c>
      <c r="R8030" s="1" t="s">
        <v>15606</v>
      </c>
      <c r="V8030" s="1" t="s">
        <v>15622</v>
      </c>
      <c r="AR8030" s="1" t="str">
        <f t="shared" si="505"/>
        <v>| [ㄑㄧㄤ](ㄑㄧㄤ.md) | [椌](椌.md) |  | qiāng | 樂器名，打擊樂器。古代樂器。形似桶，中空。《禮記．樂記》：「然後聖人作為鞀、鼓、椌、楬、壎、箎，此六者，德音之音也。」 |</v>
      </c>
    </row>
    <row r="8031" spans="1:44" hidden="1">
      <c r="A8031" s="1" t="s">
        <v>15623</v>
      </c>
      <c r="C8031" s="1">
        <v>1</v>
      </c>
      <c r="D8031" s="1" t="str">
        <f>"06543"</f>
        <v>06543</v>
      </c>
      <c r="E8031" s="1" t="s">
        <v>68</v>
      </c>
      <c r="F8031" s="1">
        <v>12</v>
      </c>
      <c r="G8031" s="1">
        <v>8</v>
      </c>
      <c r="H8031" s="1">
        <v>0</v>
      </c>
      <c r="I8031" s="1" t="s">
        <v>15605</v>
      </c>
      <c r="K8031" s="1" t="str">
        <f t="shared" si="506"/>
        <v>ㄑ</v>
      </c>
      <c r="L8031" s="1" t="str">
        <f t="shared" si="507"/>
        <v>ㄧ</v>
      </c>
      <c r="M8031" s="1" t="str">
        <f t="shared" si="508"/>
        <v>ㄤ</v>
      </c>
      <c r="P8031" s="1" t="s">
        <v>20</v>
      </c>
      <c r="R8031" s="1" t="s">
        <v>15606</v>
      </c>
      <c r="V8031" s="1" t="s">
        <v>15624</v>
      </c>
      <c r="AR8031" s="1" t="str">
        <f t="shared" si="505"/>
        <v>| [ㄑㄧㄤ](ㄑㄧㄤ.md) | [腔](腔.md) |  | qiāng | [名]
1.動物體內如口、胸、腹等中空處。如：「體腔」、「口腔」、「胸腔」、「腹腔」、「鼻腔」。
2.曲調。如：「崑腔」、「秦腔」。
3.口音、說話的聲調和語氣。如：「廣東腔」、「裝腔作勢」。《儒林外史．第一一回》：「三間東倒西歪屋，一個南腔北調人。」
4.話。如：「幫腔」、「開腔」、「搭腔」。 |</v>
      </c>
    </row>
    <row r="8032" spans="1:44" hidden="1">
      <c r="A8032" s="1" t="s">
        <v>15625</v>
      </c>
      <c r="C8032" s="1">
        <v>1</v>
      </c>
      <c r="D8032" s="1" t="str">
        <f>"06544"</f>
        <v>06544</v>
      </c>
      <c r="E8032" s="1" t="s">
        <v>24</v>
      </c>
      <c r="F8032" s="1">
        <v>13</v>
      </c>
      <c r="G8032" s="1">
        <v>10</v>
      </c>
      <c r="H8032" s="1">
        <v>2</v>
      </c>
      <c r="I8032" s="1" t="s">
        <v>15605</v>
      </c>
      <c r="K8032" s="1" t="str">
        <f t="shared" si="506"/>
        <v>ㄑ</v>
      </c>
      <c r="L8032" s="1" t="str">
        <f t="shared" si="507"/>
        <v>ㄧ</v>
      </c>
      <c r="M8032" s="1" t="str">
        <f t="shared" si="508"/>
        <v>ㄤ</v>
      </c>
      <c r="P8032" s="1" t="s">
        <v>20</v>
      </c>
      <c r="R8032" s="1" t="s">
        <v>15606</v>
      </c>
      <c r="V8032" s="1" t="s">
        <v>15626</v>
      </c>
      <c r="W8032" s="1" t="s">
        <v>15627</v>
      </c>
      <c r="AR8032" s="1" t="str">
        <f t="shared" si="505"/>
        <v>| [ㄑㄧㄤ](ㄑㄧㄤ.md) | [搶](搶.md) |  | qiāng | [動]
1.碰撞、觸碰。如：「呼天搶地」。《戰國策．魏策四》：「布衣之怒亦免冠徒跣，以頭搶地爾。」
2.迎、逆。元．李文蔚《燕青博魚．楔子》：「則我這白氈帽半搶風。」
3.推、拉。元．李文蔚《燕青博魚．楔子》：「小僂儸！將燕青搶出去。」《警世通言．卷九．李謫仙醉草嚇蠻書》：「喝令將李白推搶出去。」 |</v>
      </c>
    </row>
    <row r="8033" spans="1:44" hidden="1">
      <c r="A8033" s="1" t="s">
        <v>15628</v>
      </c>
      <c r="C8033" s="1">
        <v>1</v>
      </c>
      <c r="D8033" s="1" t="str">
        <f>"06545"</f>
        <v>06545</v>
      </c>
      <c r="E8033" s="1" t="s">
        <v>28</v>
      </c>
      <c r="F8033" s="1">
        <v>13</v>
      </c>
      <c r="G8033" s="1">
        <v>10</v>
      </c>
      <c r="H8033" s="1">
        <v>1</v>
      </c>
      <c r="I8033" s="1" t="s">
        <v>15605</v>
      </c>
      <c r="K8033" s="1" t="str">
        <f t="shared" si="506"/>
        <v>ㄑ</v>
      </c>
      <c r="L8033" s="1" t="str">
        <f t="shared" si="507"/>
        <v>ㄧ</v>
      </c>
      <c r="M8033" s="1" t="str">
        <f t="shared" si="508"/>
        <v>ㄤ</v>
      </c>
      <c r="P8033" s="1" t="s">
        <v>20</v>
      </c>
      <c r="R8033" s="1" t="s">
        <v>15606</v>
      </c>
      <c r="V8033" s="1" t="s">
        <v>15629</v>
      </c>
      <c r="W8033" s="1" t="s">
        <v>15630</v>
      </c>
      <c r="AR8033" s="1" t="str">
        <f t="shared" si="505"/>
        <v>| [ㄑㄧㄤ](ㄑㄧㄤ.md) | [嗆](嗆.md) |  | qiāng | [動]
因異物進入氣管，而引起噴出、猛烈咳嗽等動作。如：「慢慢吃，別嗆著了！」 |</v>
      </c>
    </row>
    <row r="8034" spans="1:44" hidden="1">
      <c r="A8034" s="1" t="s">
        <v>15631</v>
      </c>
      <c r="C8034" s="1">
        <v>1</v>
      </c>
      <c r="D8034" s="1" t="str">
        <f>"06546"</f>
        <v>06546</v>
      </c>
      <c r="E8034" s="1" t="s">
        <v>142</v>
      </c>
      <c r="F8034" s="1">
        <v>14</v>
      </c>
      <c r="G8034" s="1">
        <v>10</v>
      </c>
      <c r="H8034" s="1">
        <v>0</v>
      </c>
      <c r="I8034" s="1" t="s">
        <v>15605</v>
      </c>
      <c r="K8034" s="1" t="str">
        <f t="shared" si="506"/>
        <v>ㄑ</v>
      </c>
      <c r="L8034" s="1" t="str">
        <f t="shared" si="507"/>
        <v>ㄧ</v>
      </c>
      <c r="M8034" s="1" t="str">
        <f t="shared" si="508"/>
        <v>ㄤ</v>
      </c>
      <c r="P8034" s="1" t="s">
        <v>20</v>
      </c>
      <c r="R8034" s="1" t="s">
        <v>15606</v>
      </c>
      <c r="V8034" s="1" t="s">
        <v>15632</v>
      </c>
      <c r="AR8034" s="1" t="str">
        <f t="shared" si="505"/>
        <v>| [ㄑㄧㄤ](ㄑㄧㄤ.md) | [瑲](瑲.md) |  | qiāng | [擬]
1.形容玉石相撞擊的聲音。《詩經．小雅．采芑》：「朱芾斯皇，有瑲蔥珩。」
2.形容音樂聲。《荀子．富國》：「鐘鼓喤喤，管磬瑲瑲。」
3.形容鈴聲。《詩經．小雅．采芑》：「方叔率止，約軧錯衡，八鸞瑲瑲。」 |</v>
      </c>
    </row>
    <row r="8035" spans="1:44" hidden="1">
      <c r="A8035" s="1" t="s">
        <v>15633</v>
      </c>
      <c r="C8035" s="1">
        <v>1</v>
      </c>
      <c r="D8035" s="1" t="str">
        <f>"06547"</f>
        <v>06547</v>
      </c>
      <c r="E8035" s="1" t="s">
        <v>139</v>
      </c>
      <c r="F8035" s="1">
        <v>14</v>
      </c>
      <c r="G8035" s="1">
        <v>10</v>
      </c>
      <c r="H8035" s="1">
        <v>1</v>
      </c>
      <c r="I8035" s="1" t="s">
        <v>15605</v>
      </c>
      <c r="K8035" s="1" t="str">
        <f t="shared" si="506"/>
        <v>ㄑ</v>
      </c>
      <c r="L8035" s="1" t="str">
        <f t="shared" si="507"/>
        <v>ㄧ</v>
      </c>
      <c r="M8035" s="1" t="str">
        <f t="shared" si="508"/>
        <v>ㄤ</v>
      </c>
      <c r="P8035" s="1" t="s">
        <v>20</v>
      </c>
      <c r="R8035" s="1" t="s">
        <v>15606</v>
      </c>
      <c r="V8035" s="1" t="s">
        <v>15634</v>
      </c>
      <c r="W8035" s="1" t="s">
        <v>15635</v>
      </c>
      <c r="AR8035" s="1" t="str">
        <f t="shared" si="505"/>
        <v>| [ㄑㄧㄤ](ㄑㄧㄤ.md) | [槍](槍.md) |  | qiāng | [名]_x000D_
1.武器名：(1)長棍一端嵌以尖銳的金屬頭，可用以刺擊。如：「長槍」。(2)可發射子彈以射擊目標的武器。口徑一般在十一厘米以下。如：「步槍」、「手槍」、「散彈槍」、「槍炮彈藥」。_x000D_
2.形狀像槍的器物。如：「焊槍」、「煙槍」、「水槍」、「電子槍」。_x000D_
3.量詞。計算槍枝發射的單位。如：「他連開三槍才打中目標。」_x000D_
4.姓。如漢代有槍傳。_x000D_
[動]_x000D_
碰撞。通「搶」。《莊子．逍遙遊》：「我決起而飛，槍榆、枋，時則不至而控於地而已矣，奚以之九萬里而南為？」漢．司馬遷〈報任少卿書〉：「見獄吏則頭槍地，視徒隸則心惕息。」 |</v>
      </c>
    </row>
    <row r="8036" spans="1:44" hidden="1">
      <c r="A8036" s="1" t="s">
        <v>15636</v>
      </c>
      <c r="C8036" s="1">
        <v>1</v>
      </c>
      <c r="D8036" s="1" t="str">
        <f>"06548"</f>
        <v>06548</v>
      </c>
      <c r="E8036" s="1" t="s">
        <v>4785</v>
      </c>
      <c r="F8036" s="1">
        <v>14</v>
      </c>
      <c r="G8036" s="1">
        <v>10</v>
      </c>
      <c r="H8036" s="1">
        <v>2</v>
      </c>
      <c r="I8036" s="1" t="s">
        <v>15605</v>
      </c>
      <c r="K8036" s="1" t="str">
        <f t="shared" si="506"/>
        <v>ㄑ</v>
      </c>
      <c r="L8036" s="1" t="str">
        <f t="shared" si="507"/>
        <v>ㄧ</v>
      </c>
      <c r="M8036" s="1" t="str">
        <f t="shared" si="508"/>
        <v>ㄤ</v>
      </c>
      <c r="P8036" s="1" t="s">
        <v>20</v>
      </c>
      <c r="R8036" s="1" t="s">
        <v>15606</v>
      </c>
      <c r="V8036" s="1" t="s">
        <v>15637</v>
      </c>
      <c r="W8036" s="1" t="s">
        <v>15638</v>
      </c>
      <c r="AR8036" s="1" t="str">
        <f t="shared" si="505"/>
        <v>| [ㄑㄧㄤ](ㄑㄧㄤ.md) | [戧](戧.md) |  | qiāng | [動]
逆、不順。如：「戧風」、「戧口」、「戧轍兒走」。
[副]
意見牴觸、不合。《儒林外史》第四三回：「幾句就同雷太守說戧了。」 |</v>
      </c>
    </row>
    <row r="8037" spans="1:44" hidden="1">
      <c r="A8037" s="1" t="s">
        <v>15639</v>
      </c>
      <c r="C8037" s="1">
        <v>1</v>
      </c>
      <c r="D8037" s="1" t="str">
        <f>"06549"</f>
        <v>06549</v>
      </c>
      <c r="E8037" s="1" t="s">
        <v>712</v>
      </c>
      <c r="F8037" s="1">
        <v>14</v>
      </c>
      <c r="G8037" s="1">
        <v>10</v>
      </c>
      <c r="H8037" s="1">
        <v>0</v>
      </c>
      <c r="I8037" s="1" t="s">
        <v>15605</v>
      </c>
      <c r="K8037" s="1" t="str">
        <f t="shared" si="506"/>
        <v>ㄑ</v>
      </c>
      <c r="L8037" s="1" t="str">
        <f t="shared" si="507"/>
        <v>ㄧ</v>
      </c>
      <c r="M8037" s="1" t="str">
        <f t="shared" si="508"/>
        <v>ㄤ</v>
      </c>
      <c r="P8037" s="1" t="s">
        <v>20</v>
      </c>
      <c r="R8037" s="1" t="s">
        <v>15606</v>
      </c>
      <c r="V8037" s="1" t="s">
        <v>15640</v>
      </c>
      <c r="AR8037" s="1" t="str">
        <f t="shared" si="505"/>
        <v>| [ㄑㄧㄤ](ㄑㄧㄤ.md) | [牄](牄.md) |  | qiāng | [擬]
形容鳥獸覓食的聲音。《說文解字．倉部》：「牄，鳥獸來食聲也。」 |</v>
      </c>
    </row>
    <row r="8038" spans="1:44" hidden="1">
      <c r="A8038" s="1" t="s">
        <v>15641</v>
      </c>
      <c r="C8038" s="1">
        <v>1</v>
      </c>
      <c r="D8038" s="1" t="str">
        <f>"06550"</f>
        <v>06550</v>
      </c>
      <c r="E8038" s="1" t="s">
        <v>77</v>
      </c>
      <c r="F8038" s="1">
        <v>17</v>
      </c>
      <c r="G8038" s="1">
        <v>10</v>
      </c>
      <c r="H8038" s="1">
        <v>1</v>
      </c>
      <c r="I8038" s="1" t="s">
        <v>15605</v>
      </c>
      <c r="K8038" s="1" t="str">
        <f t="shared" si="506"/>
        <v>ㄑ</v>
      </c>
      <c r="L8038" s="1" t="str">
        <f t="shared" si="507"/>
        <v>ㄧ</v>
      </c>
      <c r="M8038" s="1" t="str">
        <f t="shared" si="508"/>
        <v>ㄤ</v>
      </c>
      <c r="P8038" s="1" t="s">
        <v>20</v>
      </c>
      <c r="R8038" s="1" t="s">
        <v>15606</v>
      </c>
      <c r="V8038" s="1" t="s">
        <v>15642</v>
      </c>
      <c r="W8038" s="1" t="s">
        <v>15643</v>
      </c>
      <c r="AR8038" s="1" t="str">
        <f t="shared" si="505"/>
        <v>| [ㄑㄧㄤ](ㄑㄧㄤ.md) | [蹌](蹌.md) |  | qiāng | [動]
1.走動、行走。南朝宋．鮑照〈舞鶴賦〉：「始連軒以鳳蹌，終宛轉而龍躍。」
2.闖。《京本通俗小說．志誠張主管》：「張主管開房門，那人蹌將入來，閃身已在燈光背後。」
[形]
行走有節奏威儀。《詩經．齊風．猗嗟》：「巧趨蹌兮，射則臧兮。」 |</v>
      </c>
    </row>
    <row r="8039" spans="1:44" hidden="1">
      <c r="A8039" s="1" t="s">
        <v>15644</v>
      </c>
      <c r="C8039" s="1">
        <v>1</v>
      </c>
      <c r="D8039" s="1" t="str">
        <f>"06551"</f>
        <v>06551</v>
      </c>
      <c r="E8039" s="1" t="s">
        <v>55</v>
      </c>
      <c r="F8039" s="1">
        <v>18</v>
      </c>
      <c r="G8039" s="1">
        <v>10</v>
      </c>
      <c r="H8039" s="1">
        <v>1</v>
      </c>
      <c r="I8039" s="1" t="s">
        <v>15605</v>
      </c>
      <c r="K8039" s="1" t="str">
        <f t="shared" si="506"/>
        <v>ㄑ</v>
      </c>
      <c r="L8039" s="1" t="str">
        <f t="shared" si="507"/>
        <v>ㄧ</v>
      </c>
      <c r="M8039" s="1" t="str">
        <f t="shared" si="508"/>
        <v>ㄤ</v>
      </c>
      <c r="P8039" s="1" t="s">
        <v>20</v>
      </c>
      <c r="R8039" s="1" t="s">
        <v>15606</v>
      </c>
      <c r="V8039" s="1" t="s">
        <v>15645</v>
      </c>
      <c r="W8039" s="1" t="s">
        <v>15646</v>
      </c>
      <c r="AR8039" s="1" t="str">
        <f t="shared" si="505"/>
        <v>| [ㄑㄧㄤ](ㄑㄧㄤ.md) | [鎗](鎗.md) |  | qiāng | [名]
武器名：(1)長柄一端裝有尖銳的金屬頭，可用於刺擊。通「槍」。《儒林外史》第一二回：「刀、鎗、劍、戟，都還略有些講究。」(2)可發射子彈以射擊目標的武器。通「槍」。如：「手鎗」、「步鎗」、「機關鎗」。 |</v>
      </c>
    </row>
    <row r="8040" spans="1:44" hidden="1">
      <c r="A8040" s="1" t="s">
        <v>15647</v>
      </c>
      <c r="C8040" s="1">
        <v>1</v>
      </c>
      <c r="D8040" s="1" t="str">
        <f>"06552"</f>
        <v>06552</v>
      </c>
      <c r="E8040" s="1" t="s">
        <v>55</v>
      </c>
      <c r="F8040" s="1">
        <v>16</v>
      </c>
      <c r="G8040" s="1">
        <v>8</v>
      </c>
      <c r="H8040" s="1">
        <v>0</v>
      </c>
      <c r="I8040" s="1" t="s">
        <v>15605</v>
      </c>
      <c r="K8040" s="1" t="str">
        <f t="shared" si="506"/>
        <v>ㄑ</v>
      </c>
      <c r="L8040" s="1" t="str">
        <f t="shared" si="507"/>
        <v>ㄧ</v>
      </c>
      <c r="M8040" s="1" t="str">
        <f t="shared" si="508"/>
        <v>ㄤ</v>
      </c>
      <c r="P8040" s="1" t="s">
        <v>20</v>
      </c>
      <c r="R8040" s="1" t="s">
        <v>15606</v>
      </c>
      <c r="V8040" s="1" t="s">
        <v>15648</v>
      </c>
      <c r="AR8040" s="1" t="str">
        <f t="shared" si="505"/>
        <v>| [ㄑㄧㄤ](ㄑㄧㄤ.md) | [錆](錆.md) |  | qiāng | 參見「錆色」條。 |</v>
      </c>
    </row>
    <row r="8041" spans="1:44" hidden="1">
      <c r="A8041" s="1" t="s">
        <v>15649</v>
      </c>
      <c r="C8041" s="1">
        <v>1</v>
      </c>
      <c r="D8041" s="1" t="str">
        <f>"06553"</f>
        <v>06553</v>
      </c>
      <c r="E8041" s="1" t="s">
        <v>55</v>
      </c>
      <c r="F8041" s="1">
        <v>19</v>
      </c>
      <c r="G8041" s="1">
        <v>11</v>
      </c>
      <c r="H8041" s="1">
        <v>2</v>
      </c>
      <c r="I8041" s="1" t="s">
        <v>15605</v>
      </c>
      <c r="K8041" s="1" t="str">
        <f t="shared" si="506"/>
        <v>ㄑ</v>
      </c>
      <c r="L8041" s="1" t="str">
        <f t="shared" si="507"/>
        <v>ㄧ</v>
      </c>
      <c r="M8041" s="1" t="str">
        <f t="shared" si="508"/>
        <v>ㄤ</v>
      </c>
      <c r="P8041" s="1" t="s">
        <v>20</v>
      </c>
      <c r="R8041" s="1" t="s">
        <v>15606</v>
      </c>
      <c r="V8041" s="1" t="s">
        <v>15650</v>
      </c>
      <c r="W8041" s="1" t="s">
        <v>15651</v>
      </c>
      <c r="AR8041" s="1" t="str">
        <f t="shared" si="505"/>
        <v>| [ㄑㄧㄤ](ㄑㄧㄤ.md) | [鏹](鏹.md) |  | qiāng | 參見「鏹水」條。 |</v>
      </c>
    </row>
    <row r="8042" spans="1:44" hidden="1">
      <c r="A8042" s="1" t="s">
        <v>711</v>
      </c>
      <c r="C8042" s="1">
        <v>1</v>
      </c>
      <c r="D8042" s="1" t="str">
        <f>"06554"</f>
        <v>06554</v>
      </c>
      <c r="E8042" s="1" t="s">
        <v>712</v>
      </c>
      <c r="F8042" s="1">
        <v>4</v>
      </c>
      <c r="G8042" s="1">
        <v>0</v>
      </c>
      <c r="H8042" s="1">
        <v>1</v>
      </c>
      <c r="I8042" s="1" t="s">
        <v>15652</v>
      </c>
      <c r="K8042" s="1" t="str">
        <f t="shared" si="506"/>
        <v>ㄑ</v>
      </c>
      <c r="L8042" s="1" t="str">
        <f t="shared" si="507"/>
        <v>ㄧ</v>
      </c>
      <c r="M8042" s="1" t="str">
        <f t="shared" si="508"/>
        <v>ㄤ</v>
      </c>
      <c r="P8042" s="1" t="s">
        <v>20</v>
      </c>
      <c r="R8042" s="1" t="s">
        <v>15653</v>
      </c>
      <c r="V8042" s="1" t="s">
        <v>15654</v>
      </c>
      <c r="W8042" s="1" t="s">
        <v>15655</v>
      </c>
      <c r="AR8042" s="1" t="str">
        <f t="shared" si="505"/>
        <v>| [ㄑㄧㄤˊ](ㄑㄧㄤˊ.md) | [爿](爿.md) |  | qiáng | [名]
1.木頭劈成兩半，左半塊稱為「爿」。
2.二一四部首之一。 |</v>
      </c>
    </row>
    <row r="8043" spans="1:44" hidden="1">
      <c r="A8043" s="1" t="s">
        <v>15656</v>
      </c>
      <c r="C8043" s="1">
        <v>1</v>
      </c>
      <c r="D8043" s="1" t="str">
        <f>"06555"</f>
        <v>06555</v>
      </c>
      <c r="E8043" s="1" t="s">
        <v>4785</v>
      </c>
      <c r="F8043" s="1">
        <v>8</v>
      </c>
      <c r="G8043" s="1">
        <v>4</v>
      </c>
      <c r="H8043" s="1">
        <v>0</v>
      </c>
      <c r="I8043" s="1" t="s">
        <v>15652</v>
      </c>
      <c r="K8043" s="1" t="str">
        <f t="shared" si="506"/>
        <v>ㄑ</v>
      </c>
      <c r="L8043" s="1" t="str">
        <f t="shared" si="507"/>
        <v>ㄧ</v>
      </c>
      <c r="M8043" s="1" t="str">
        <f t="shared" si="508"/>
        <v>ㄤ</v>
      </c>
      <c r="P8043" s="1" t="s">
        <v>20</v>
      </c>
      <c r="R8043" s="1" t="s">
        <v>15653</v>
      </c>
      <c r="V8043" s="1" t="s">
        <v>15657</v>
      </c>
      <c r="AR8043" s="1" t="str">
        <f t="shared" si="505"/>
        <v>| [ㄑㄧㄤˊ](ㄑㄧㄤˊ.md) | [戕](戕.md) |  | qiáng | [動]
殺害、傷害。如：「自戕」、「戕害」。《孟子．告子上》：「將戕賊杞柳，而後以為桮棬也。」漢．曹操〈蒿里行〉：「勢利使人爭，嗣還自相戕。」 |</v>
      </c>
    </row>
    <row r="8044" spans="1:44" hidden="1">
      <c r="A8044" s="1" t="s">
        <v>14209</v>
      </c>
      <c r="C8044" s="1">
        <v>1</v>
      </c>
      <c r="D8044" s="1" t="str">
        <f>"06556"</f>
        <v>06556</v>
      </c>
      <c r="E8044" s="1" t="s">
        <v>103</v>
      </c>
      <c r="F8044" s="1">
        <v>11</v>
      </c>
      <c r="G8044" s="1">
        <v>8</v>
      </c>
      <c r="H8044" s="1">
        <v>1</v>
      </c>
      <c r="I8044" s="1" t="s">
        <v>15652</v>
      </c>
      <c r="K8044" s="1" t="str">
        <f t="shared" si="506"/>
        <v>ㄑ</v>
      </c>
      <c r="L8044" s="1" t="str">
        <f t="shared" si="507"/>
        <v>ㄧ</v>
      </c>
      <c r="M8044" s="1" t="str">
        <f t="shared" si="508"/>
        <v>ㄤ</v>
      </c>
      <c r="P8044" s="1" t="s">
        <v>20</v>
      </c>
      <c r="R8044" s="1" t="s">
        <v>15653</v>
      </c>
      <c r="V8044" s="1" t="s">
        <v>15658</v>
      </c>
      <c r="W8044" s="1" t="s">
        <v>15659</v>
      </c>
      <c r="AR8044" s="1" t="str">
        <f t="shared" si="505"/>
        <v>| [ㄑㄧㄤˊ](ㄑㄧㄤˊ.md) | [強](強.md) |  | qiáng | [形]
1.健壯、盛大、有力。如：「強壯」、「身強力壯」。唐．柳宗元〈愈膏肓疾賦〉：「外強中乾，精氣內傷。」
2.剛毅、堅毅。如：「頑強」。《孟子．告子下》：「樂正子強乎？」《韓非子．孤憤》：「能法之士，必強毅而勁直。」
3.堅硬。漢．王充《論衡．狀留》：「後彼春榮之木，其材強勁，車以為軸。」
4.橫暴。如：「強盜」。《紅樓夢》第一一二回：「和眾強徒打了照面，各自分頭奔南海而去。」
5.勝、優越。宋．張先〈菩薩蠻．牡丹含露真珠顆〉詞：「含笑問檀郎，花強妾貌強？」
6.有餘、略多。南朝梁．無名氏〈木蘭詩〉二首之一：「策勛十二轉，賞賜百千強。」
[名]
1.具有威權勢力的人或團體。如：「列強」、「豪強」。
2.姓。如清代有強行健。
[動]
加強。如：「強身」、「自強不息」。 |</v>
      </c>
    </row>
    <row r="8045" spans="1:44" hidden="1">
      <c r="A8045" s="1" t="s">
        <v>15660</v>
      </c>
      <c r="C8045" s="1">
        <v>1</v>
      </c>
      <c r="D8045" s="1" t="str">
        <f>"06557"</f>
        <v>06557</v>
      </c>
      <c r="E8045" s="1" t="s">
        <v>447</v>
      </c>
      <c r="F8045" s="1">
        <v>16</v>
      </c>
      <c r="G8045" s="1">
        <v>13</v>
      </c>
      <c r="H8045" s="1">
        <v>0</v>
      </c>
      <c r="I8045" s="1" t="s">
        <v>15652</v>
      </c>
      <c r="K8045" s="1" t="str">
        <f t="shared" si="506"/>
        <v>ㄑ</v>
      </c>
      <c r="L8045" s="1" t="str">
        <f t="shared" si="507"/>
        <v>ㄧ</v>
      </c>
      <c r="M8045" s="1" t="str">
        <f t="shared" si="508"/>
        <v>ㄤ</v>
      </c>
      <c r="P8045" s="1" t="s">
        <v>20</v>
      </c>
      <c r="R8045" s="1" t="s">
        <v>15653</v>
      </c>
      <c r="V8045" s="1" t="s">
        <v>15661</v>
      </c>
      <c r="AR8045" s="1" t="str">
        <f t="shared" si="505"/>
        <v>| [ㄑㄧㄤˊ](ㄑㄧㄤˊ.md) | [廧](廧.md) |  | qiáng | [名]
用磚、石等砌成，可作間隔或屏障的建築。通「牆」。《墨子．經說上》：「廧外之利害，未可知也。」《漢書．卷五一．鄒陽傳》：「今人主沉諂諛之辭，牽帷廧之制。」 |</v>
      </c>
    </row>
    <row r="8046" spans="1:44" hidden="1">
      <c r="A8046" s="1" t="s">
        <v>15662</v>
      </c>
      <c r="C8046" s="1">
        <v>1</v>
      </c>
      <c r="D8046" s="1" t="str">
        <f>"06558"</f>
        <v>06558</v>
      </c>
      <c r="E8046" s="1" t="s">
        <v>534</v>
      </c>
      <c r="F8046" s="1">
        <v>16</v>
      </c>
      <c r="G8046" s="1">
        <v>13</v>
      </c>
      <c r="H8046" s="1">
        <v>0</v>
      </c>
      <c r="I8046" s="1" t="s">
        <v>15652</v>
      </c>
      <c r="K8046" s="1" t="str">
        <f t="shared" si="506"/>
        <v>ㄑ</v>
      </c>
      <c r="L8046" s="1" t="str">
        <f t="shared" si="507"/>
        <v>ㄧ</v>
      </c>
      <c r="M8046" s="1" t="str">
        <f t="shared" si="508"/>
        <v>ㄤ</v>
      </c>
      <c r="P8046" s="1" t="s">
        <v>20</v>
      </c>
      <c r="R8046" s="1" t="s">
        <v>15653</v>
      </c>
      <c r="V8046" s="1" t="s">
        <v>15663</v>
      </c>
      <c r="AR8046" s="1" t="str">
        <f t="shared" si="505"/>
        <v>| [ㄑㄧㄤˊ](ㄑㄧㄤˊ.md) | [嬙](嬙.md) |  | qiáng | [名]
古代宮廷中的女官。唐．杜牧〈阿房宮賦〉：「妃嬪媵嬙。」 |</v>
      </c>
    </row>
    <row r="8047" spans="1:44" hidden="1">
      <c r="A8047" s="1" t="s">
        <v>15664</v>
      </c>
      <c r="C8047" s="1">
        <v>1</v>
      </c>
      <c r="D8047" s="1" t="str">
        <f>"06559"</f>
        <v>06559</v>
      </c>
      <c r="E8047" s="1" t="s">
        <v>139</v>
      </c>
      <c r="F8047" s="1">
        <v>17</v>
      </c>
      <c r="G8047" s="1">
        <v>13</v>
      </c>
      <c r="H8047" s="1">
        <v>0</v>
      </c>
      <c r="I8047" s="1" t="s">
        <v>15652</v>
      </c>
      <c r="K8047" s="1" t="str">
        <f t="shared" si="506"/>
        <v>ㄑ</v>
      </c>
      <c r="L8047" s="1" t="str">
        <f t="shared" si="507"/>
        <v>ㄧ</v>
      </c>
      <c r="M8047" s="1" t="str">
        <f t="shared" si="508"/>
        <v>ㄤ</v>
      </c>
      <c r="P8047" s="1" t="s">
        <v>20</v>
      </c>
      <c r="R8047" s="1" t="s">
        <v>15653</v>
      </c>
      <c r="V8047" s="1" t="s">
        <v>15665</v>
      </c>
      <c r="AR8047" s="1" t="str">
        <f t="shared" si="505"/>
        <v>| [ㄑㄧㄤˊ](ㄑㄧㄤˊ.md) | [檣](檣.md) |  | qiáng | [名]
船的桅桿。宋．范仲淹〈岳陽樓記〉：「商旅不行，檣傾楫摧。」《三國演義》第四五回：「一同登舟，駕起帆檣，迤邐望夏口而進。」 |</v>
      </c>
    </row>
    <row r="8048" spans="1:44" hidden="1">
      <c r="A8048" s="1" t="s">
        <v>15666</v>
      </c>
      <c r="C8048" s="1">
        <v>1</v>
      </c>
      <c r="D8048" s="1" t="str">
        <f>"06560"</f>
        <v>06560</v>
      </c>
      <c r="E8048" s="1" t="s">
        <v>37</v>
      </c>
      <c r="F8048" s="1">
        <v>17</v>
      </c>
      <c r="G8048" s="1">
        <v>13</v>
      </c>
      <c r="H8048" s="1">
        <v>0</v>
      </c>
      <c r="I8048" s="1" t="s">
        <v>15652</v>
      </c>
      <c r="K8048" s="1" t="str">
        <f t="shared" si="506"/>
        <v>ㄑ</v>
      </c>
      <c r="L8048" s="1" t="str">
        <f t="shared" si="507"/>
        <v>ㄧ</v>
      </c>
      <c r="M8048" s="1" t="str">
        <f t="shared" si="508"/>
        <v>ㄤ</v>
      </c>
      <c r="P8048" s="1" t="s">
        <v>20</v>
      </c>
      <c r="R8048" s="1" t="s">
        <v>15653</v>
      </c>
      <c r="V8048" s="1" t="s">
        <v>15667</v>
      </c>
      <c r="AR8048" s="1" t="str">
        <f t="shared" si="505"/>
        <v>| [ㄑㄧㄤˊ](ㄑㄧㄤˊ.md) | [薔](薔.md) |  | qiáng | 參見「薔薇」條。 |</v>
      </c>
    </row>
    <row r="8049" spans="1:44" hidden="1">
      <c r="A8049" s="1" t="s">
        <v>15668</v>
      </c>
      <c r="C8049" s="1">
        <v>1</v>
      </c>
      <c r="D8049" s="1" t="str">
        <f>"06561"</f>
        <v>06561</v>
      </c>
      <c r="E8049" s="1" t="s">
        <v>712</v>
      </c>
      <c r="F8049" s="1">
        <v>17</v>
      </c>
      <c r="G8049" s="1">
        <v>13</v>
      </c>
      <c r="H8049" s="1">
        <v>0</v>
      </c>
      <c r="I8049" s="1" t="s">
        <v>15652</v>
      </c>
      <c r="K8049" s="1" t="str">
        <f t="shared" si="506"/>
        <v>ㄑ</v>
      </c>
      <c r="L8049" s="1" t="str">
        <f t="shared" si="507"/>
        <v>ㄧ</v>
      </c>
      <c r="M8049" s="1" t="str">
        <f t="shared" si="508"/>
        <v>ㄤ</v>
      </c>
      <c r="P8049" s="1" t="s">
        <v>20</v>
      </c>
      <c r="R8049" s="1" t="s">
        <v>15653</v>
      </c>
      <c r="V8049" s="1" t="s">
        <v>15669</v>
      </c>
      <c r="AR8049" s="1" t="str">
        <f t="shared" si="505"/>
        <v>| [ㄑㄧㄤˊ](ㄑㄧㄤˊ.md) | [牆](牆.md) |  | qiáng | [名]
1.用磚、石等砌成，可作間隔或屏障的建築。如：「宮牆」、「城牆」、「圍牆」。《論語．公冶長》：「朽木不可雕也，糞土之牆不可杇也。」宋．張先〈青門引．乍暖還輕冷〉詞：「那堪更被明月，隔牆送過秋千影。」
2.泛指由人或物組合成像牆的部分。如：「人牆」、「電視牆」。 |</v>
      </c>
    </row>
    <row r="8050" spans="1:44" hidden="1">
      <c r="A8050" s="1" t="s">
        <v>15670</v>
      </c>
      <c r="C8050" s="1">
        <v>1</v>
      </c>
      <c r="D8050" s="1" t="str">
        <f>"06562"</f>
        <v>06562</v>
      </c>
      <c r="E8050" s="1" t="s">
        <v>37</v>
      </c>
      <c r="F8050" s="1">
        <v>21</v>
      </c>
      <c r="G8050" s="1">
        <v>17</v>
      </c>
      <c r="H8050" s="1">
        <v>0</v>
      </c>
      <c r="I8050" s="1" t="s">
        <v>15652</v>
      </c>
      <c r="K8050" s="1" t="str">
        <f t="shared" si="506"/>
        <v>ㄑ</v>
      </c>
      <c r="L8050" s="1" t="str">
        <f t="shared" si="507"/>
        <v>ㄧ</v>
      </c>
      <c r="M8050" s="1" t="str">
        <f t="shared" si="508"/>
        <v>ㄤ</v>
      </c>
      <c r="P8050" s="1" t="s">
        <v>20</v>
      </c>
      <c r="R8050" s="1" t="s">
        <v>15653</v>
      </c>
      <c r="V8050" s="1" t="s">
        <v>15671</v>
      </c>
      <c r="AR8050" s="1" t="str">
        <f t="shared" si="505"/>
        <v>| [ㄑㄧㄤˊ](ㄑㄧㄤˊ.md) | [蘠](蘠.md) |  | qiáng | 參見「蘠蘼」條。 |</v>
      </c>
    </row>
    <row r="8051" spans="1:44" hidden="1">
      <c r="A8051" s="1" t="s">
        <v>15672</v>
      </c>
      <c r="C8051" s="1">
        <v>1</v>
      </c>
      <c r="D8051" s="1" t="str">
        <f>"06563"</f>
        <v>06563</v>
      </c>
      <c r="E8051" s="1" t="s">
        <v>103</v>
      </c>
      <c r="F8051" s="1">
        <v>16</v>
      </c>
      <c r="G8051" s="1">
        <v>13</v>
      </c>
      <c r="H8051" s="1">
        <v>1</v>
      </c>
      <c r="I8051" s="1" t="s">
        <v>15652</v>
      </c>
      <c r="K8051" s="1" t="str">
        <f t="shared" si="506"/>
        <v>ㄑ</v>
      </c>
      <c r="L8051" s="1" t="str">
        <f t="shared" si="507"/>
        <v>ㄧ</v>
      </c>
      <c r="M8051" s="1" t="str">
        <f t="shared" si="508"/>
        <v>ㄤ</v>
      </c>
      <c r="P8051" s="1" t="s">
        <v>20</v>
      </c>
      <c r="R8051" s="1" t="s">
        <v>15653</v>
      </c>
      <c r="V8051" s="1" t="s">
        <v>15673</v>
      </c>
      <c r="W8051" s="1" t="s">
        <v>15674</v>
      </c>
      <c r="AR8051" s="1" t="str">
        <f t="shared" si="505"/>
        <v>| [ㄑㄧㄤˊ](ㄑㄧㄤˊ.md) | [彊](彊.md) |  | qiáng | [名]
1.硬弓。《說文解字．弓部》：「彊，弓有力也。」
2.姓。如漢代有彊華。
[形]
壯盛、健壯。同「強」。《書經．洪範》：「身其康彊。」《墨子．脩身》：「故君子力事日彊，願欲日逾，設壯日盛。」
[動]
加強。同「強」。《荀子．天論》：「彊本而節用，則天不能貧。」 |</v>
      </c>
    </row>
    <row r="8052" spans="1:44" hidden="1">
      <c r="A8052" s="1" t="s">
        <v>14209</v>
      </c>
      <c r="C8052" s="1">
        <v>1</v>
      </c>
      <c r="D8052" s="1" t="str">
        <f>"06564"</f>
        <v>06564</v>
      </c>
      <c r="E8052" s="1" t="s">
        <v>103</v>
      </c>
      <c r="F8052" s="1">
        <v>11</v>
      </c>
      <c r="G8052" s="1">
        <v>8</v>
      </c>
      <c r="H8052" s="1">
        <v>2</v>
      </c>
      <c r="I8052" s="1" t="s">
        <v>15675</v>
      </c>
      <c r="K8052" s="1" t="str">
        <f t="shared" si="506"/>
        <v>ㄑ</v>
      </c>
      <c r="L8052" s="1" t="str">
        <f t="shared" si="507"/>
        <v>ㄧ</v>
      </c>
      <c r="M8052" s="1" t="str">
        <f t="shared" si="508"/>
        <v>ㄤ</v>
      </c>
      <c r="P8052" s="1" t="s">
        <v>20</v>
      </c>
      <c r="R8052" s="1" t="s">
        <v>15676</v>
      </c>
      <c r="V8052" s="1" t="s">
        <v>15677</v>
      </c>
      <c r="W8052" s="1" t="s">
        <v>15678</v>
      </c>
      <c r="AR8052" s="1" t="str">
        <f t="shared" si="505"/>
        <v>| [ㄑㄧㄤˇ](ㄑㄧㄤˇ.md) | [強](強.md) |  | qiǎng | [動]
迫使、使用強力。如：「勉強」、「強迫」、「強人所難」、「強詞奪理」。《孟子．離婁上》：「是由惡醉而強酒。」《儒林外史》第二九回：「這原是他情願的事，又沒有那個強他。」
[副]
竭力、勉力。《孟子．梁惠王下》：「君如彼何哉？強為善而已矣。」 |</v>
      </c>
    </row>
    <row r="8053" spans="1:44" hidden="1">
      <c r="A8053" s="1" t="s">
        <v>15679</v>
      </c>
      <c r="C8053" s="1">
        <v>1</v>
      </c>
      <c r="D8053" s="1" t="str">
        <f>"06565"</f>
        <v>06565</v>
      </c>
      <c r="E8053" s="1" t="s">
        <v>340</v>
      </c>
      <c r="F8053" s="1">
        <v>17</v>
      </c>
      <c r="G8053" s="1">
        <v>11</v>
      </c>
      <c r="H8053" s="1">
        <v>0</v>
      </c>
      <c r="I8053" s="1" t="s">
        <v>15675</v>
      </c>
      <c r="K8053" s="1" t="str">
        <f t="shared" si="506"/>
        <v>ㄑ</v>
      </c>
      <c r="L8053" s="1" t="str">
        <f t="shared" si="507"/>
        <v>ㄧ</v>
      </c>
      <c r="M8053" s="1" t="str">
        <f t="shared" si="508"/>
        <v>ㄤ</v>
      </c>
      <c r="P8053" s="1" t="s">
        <v>20</v>
      </c>
      <c r="R8053" s="1" t="s">
        <v>15676</v>
      </c>
      <c r="V8053" s="1" t="s">
        <v>15680</v>
      </c>
      <c r="AR8053" s="1" t="str">
        <f t="shared" si="505"/>
        <v>| [ㄑㄧㄤˇ](ㄑㄧㄤˇ.md) | [襁](襁.md) |  | qiǎng | [名]
背負嬰兒用的布巾。《說文解字．衣部》：「襁，負兒衣。」《玉篇．衣部》：「襁，襁褓，負兒衣也，織縷為之，……以負兒於背上也。」
[動]
背負。《論語．子路》：「夫如是，則四方之民，襁負其子而至矣。」 |</v>
      </c>
    </row>
    <row r="8054" spans="1:44" hidden="1">
      <c r="A8054" s="1" t="s">
        <v>15681</v>
      </c>
      <c r="C8054" s="1">
        <v>1</v>
      </c>
      <c r="D8054" s="1" t="str">
        <f>"06566"</f>
        <v>06566</v>
      </c>
      <c r="E8054" s="1" t="s">
        <v>725</v>
      </c>
      <c r="F8054" s="1">
        <v>17</v>
      </c>
      <c r="G8054" s="1">
        <v>11</v>
      </c>
      <c r="H8054" s="1">
        <v>0</v>
      </c>
      <c r="I8054" s="1" t="s">
        <v>15675</v>
      </c>
      <c r="K8054" s="1" t="str">
        <f t="shared" si="506"/>
        <v>ㄑ</v>
      </c>
      <c r="L8054" s="1" t="str">
        <f t="shared" si="507"/>
        <v>ㄧ</v>
      </c>
      <c r="M8054" s="1" t="str">
        <f t="shared" si="508"/>
        <v>ㄤ</v>
      </c>
      <c r="P8054" s="1" t="s">
        <v>20</v>
      </c>
      <c r="R8054" s="1" t="s">
        <v>15676</v>
      </c>
      <c r="V8054" s="1" t="s">
        <v>15682</v>
      </c>
      <c r="AR8054" s="1" t="str">
        <f t="shared" si="505"/>
        <v>| [ㄑㄧㄤˇ](ㄑㄧㄤˇ.md) | [繈](繈.md) |  | qiǎng | [名]
1.古代串錢的繩索，泛指錢幣。《玉篇．系部》：「繈，錢貫也。」《管子．國蓄》：「歲適凶，則市糴釜十繈。」《漢書．卷二四．食貨志下》：「千室之邑必有千鐘之臧，臧繈百萬。」
2.繩索。《漢書．卷五八．兒寬傳》：「大家牛車，小車擔負，輸租繈屬不絕。」唐．顏師古．注：「繈，索也。」
3.背嬰兒的布巾。通「襁」。《墨子．明鬼下》：「鮑幼弱，在荷繈之中。」 |</v>
      </c>
    </row>
    <row r="8055" spans="1:44" hidden="1">
      <c r="A8055" s="1" t="s">
        <v>15649</v>
      </c>
      <c r="C8055" s="1">
        <v>1</v>
      </c>
      <c r="D8055" s="1" t="str">
        <f>"06567"</f>
        <v>06567</v>
      </c>
      <c r="E8055" s="1" t="s">
        <v>55</v>
      </c>
      <c r="F8055" s="1">
        <v>19</v>
      </c>
      <c r="G8055" s="1">
        <v>11</v>
      </c>
      <c r="H8055" s="1">
        <v>1</v>
      </c>
      <c r="I8055" s="1" t="s">
        <v>15675</v>
      </c>
      <c r="K8055" s="1" t="str">
        <f t="shared" si="506"/>
        <v>ㄑ</v>
      </c>
      <c r="L8055" s="1" t="str">
        <f t="shared" si="507"/>
        <v>ㄧ</v>
      </c>
      <c r="M8055" s="1" t="str">
        <f t="shared" si="508"/>
        <v>ㄤ</v>
      </c>
      <c r="P8055" s="1" t="s">
        <v>20</v>
      </c>
      <c r="R8055" s="1" t="s">
        <v>15676</v>
      </c>
      <c r="V8055" s="1" t="s">
        <v>15683</v>
      </c>
      <c r="W8055" s="1" t="s">
        <v>15684</v>
      </c>
      <c r="AR8055" s="1" t="str">
        <f t="shared" si="505"/>
        <v>| [ㄑㄧㄤˇ](ㄑㄧㄤˇ.md) | [鏹](鏹.md) |  | qiǎng | [名]
1.古代串錢的繩索，泛指錢幣。同「繈」。《文選．左思．蜀都賦》：「藏鏹巨萬。」唐．白居易〈贖雞〉詩：「與爾鏹三百，小惠何足論。」
2.金銀。如：「白鏹」。《南史．卷七〇．循吏傳．郭祖琛傳》：「累金積鏹，侍列如仙，不田不商，何故而爾？」 |</v>
      </c>
    </row>
    <row r="8056" spans="1:44" hidden="1">
      <c r="A8056" s="1" t="s">
        <v>11101</v>
      </c>
      <c r="C8056" s="1">
        <v>1</v>
      </c>
      <c r="D8056" s="1" t="str">
        <f>"06568"</f>
        <v>06568</v>
      </c>
      <c r="E8056" s="1" t="s">
        <v>43</v>
      </c>
      <c r="F8056" s="1">
        <v>13</v>
      </c>
      <c r="G8056" s="1">
        <v>7</v>
      </c>
      <c r="H8056" s="1">
        <v>1</v>
      </c>
      <c r="I8056" s="1" t="s">
        <v>15675</v>
      </c>
      <c r="K8056" s="1" t="str">
        <f t="shared" si="506"/>
        <v>ㄑ</v>
      </c>
      <c r="L8056" s="1" t="str">
        <f t="shared" si="507"/>
        <v>ㄧ</v>
      </c>
      <c r="M8056" s="1" t="str">
        <f t="shared" si="508"/>
        <v>ㄤ</v>
      </c>
      <c r="P8056" s="1" t="s">
        <v>20</v>
      </c>
      <c r="R8056" s="1" t="s">
        <v>15676</v>
      </c>
      <c r="V8056" s="1" t="s">
        <v>15685</v>
      </c>
      <c r="W8056" s="1" t="s">
        <v>15686</v>
      </c>
      <c r="AR8056" s="1" t="str">
        <f t="shared" si="505"/>
        <v>| [ㄑㄧㄤˇ](ㄑㄧㄤˇ.md) | [羥](羥.md) |  | qiǎng | [名]
一種由氫、氧原子組成的原子團。參見「羥基」條。 |</v>
      </c>
    </row>
    <row r="8057" spans="1:44" hidden="1">
      <c r="A8057" s="1" t="s">
        <v>15625</v>
      </c>
      <c r="C8057" s="1">
        <v>1</v>
      </c>
      <c r="D8057" s="1" t="str">
        <f>"06569"</f>
        <v>06569</v>
      </c>
      <c r="E8057" s="1" t="s">
        <v>24</v>
      </c>
      <c r="F8057" s="1">
        <v>13</v>
      </c>
      <c r="G8057" s="1">
        <v>10</v>
      </c>
      <c r="H8057" s="1">
        <v>1</v>
      </c>
      <c r="I8057" s="1" t="s">
        <v>15675</v>
      </c>
      <c r="K8057" s="1" t="str">
        <f t="shared" si="506"/>
        <v>ㄑ</v>
      </c>
      <c r="L8057" s="1" t="str">
        <f t="shared" si="507"/>
        <v>ㄧ</v>
      </c>
      <c r="M8057" s="1" t="str">
        <f t="shared" si="508"/>
        <v>ㄤ</v>
      </c>
      <c r="P8057" s="1" t="s">
        <v>20</v>
      </c>
      <c r="R8057" s="1" t="s">
        <v>15676</v>
      </c>
      <c r="V8057" s="1" t="s">
        <v>15687</v>
      </c>
      <c r="W8057" s="1" t="s">
        <v>15688</v>
      </c>
      <c r="AR8057" s="1" t="str">
        <f t="shared" si="505"/>
        <v>| [ㄑㄧㄤˇ](ㄑㄧㄤˇ.md) | [搶](搶.md) |  | qiǎng | [動]
1.奪取。如：「搶劫」、「搶錢」。《老殘遊記》第四回：「那強盜竟在府城裡面搶了一家子。」
2.皮膚受擦傷。如：「不小心搶破了一塊皮。」
3.刮磨刀剪的刃端，使其鋒利。如：「剪子新搶過，快多了！」
[副]
爭先的、趕緊的。如：「搶購」、「搶修」、「搶著說話」。《京本通俗小說．錯斬崔寧》：「劉官人不捨，搶出門來。」 |</v>
      </c>
    </row>
    <row r="8058" spans="1:44" hidden="1">
      <c r="A8058" s="1" t="s">
        <v>15672</v>
      </c>
      <c r="C8058" s="1">
        <v>1</v>
      </c>
      <c r="D8058" s="1" t="str">
        <f>"06570"</f>
        <v>06570</v>
      </c>
      <c r="E8058" s="1" t="s">
        <v>103</v>
      </c>
      <c r="F8058" s="1">
        <v>16</v>
      </c>
      <c r="G8058" s="1">
        <v>13</v>
      </c>
      <c r="H8058" s="1">
        <v>2</v>
      </c>
      <c r="I8058" s="1" t="s">
        <v>15675</v>
      </c>
      <c r="K8058" s="1" t="str">
        <f t="shared" si="506"/>
        <v>ㄑ</v>
      </c>
      <c r="L8058" s="1" t="str">
        <f t="shared" si="507"/>
        <v>ㄧ</v>
      </c>
      <c r="M8058" s="1" t="str">
        <f t="shared" si="508"/>
        <v>ㄤ</v>
      </c>
      <c r="P8058" s="1" t="s">
        <v>20</v>
      </c>
      <c r="R8058" s="1" t="s">
        <v>15676</v>
      </c>
      <c r="V8058" s="1" t="s">
        <v>15689</v>
      </c>
      <c r="W8058" s="1" t="s">
        <v>15690</v>
      </c>
      <c r="AR8058" s="1" t="str">
        <f t="shared" si="505"/>
        <v>| [ㄑㄧㄤˇ](ㄑㄧㄤˇ.md) | [彊](彊.md) |  | qiǎng | [動]
迫使、使用強力。同「強」。《晏子春秋．內篇．問上》：「任人之長，不彊其短。」
[副]
盡力、竭力。同「強」。《淮南子．脩務》：「名可務立，功可彊成。」漢．高誘．注：「彊，勉也。」 |</v>
      </c>
    </row>
    <row r="8059" spans="1:44" hidden="1">
      <c r="A8059" s="1" t="s">
        <v>15628</v>
      </c>
      <c r="C8059" s="1">
        <v>1</v>
      </c>
      <c r="D8059" s="1" t="str">
        <f>"06571"</f>
        <v>06571</v>
      </c>
      <c r="E8059" s="1" t="s">
        <v>28</v>
      </c>
      <c r="F8059" s="1">
        <v>13</v>
      </c>
      <c r="G8059" s="1">
        <v>10</v>
      </c>
      <c r="H8059" s="1">
        <v>2</v>
      </c>
      <c r="I8059" s="1" t="s">
        <v>15691</v>
      </c>
      <c r="K8059" s="1" t="str">
        <f t="shared" si="506"/>
        <v>ㄑ</v>
      </c>
      <c r="L8059" s="1" t="str">
        <f t="shared" si="507"/>
        <v>ㄧ</v>
      </c>
      <c r="M8059" s="1" t="str">
        <f t="shared" si="508"/>
        <v>ㄤ</v>
      </c>
      <c r="P8059" s="1" t="s">
        <v>20</v>
      </c>
      <c r="R8059" s="1" t="s">
        <v>15692</v>
      </c>
      <c r="V8059" s="1" t="s">
        <v>15693</v>
      </c>
      <c r="W8059" s="1" t="s">
        <v>15694</v>
      </c>
      <c r="AR8059" s="1" t="str">
        <f t="shared" si="505"/>
        <v>| [ㄑㄧㄤˋ](ㄑㄧㄤˋ.md) | [嗆](嗆.md) |  | qiàng | [動]
煙氣或味道刺激鼻腔，使人感覺不舒服。如：「嗆鼻」、「滿屋子的藥水味，嗆得人難受。」 |</v>
      </c>
    </row>
    <row r="8060" spans="1:44" hidden="1">
      <c r="A8060" s="1" t="s">
        <v>15695</v>
      </c>
      <c r="C8060" s="1">
        <v>1</v>
      </c>
      <c r="D8060" s="1" t="str">
        <f>"06572"</f>
        <v>06572</v>
      </c>
      <c r="E8060" s="1" t="s">
        <v>336</v>
      </c>
      <c r="F8060" s="1">
        <v>14</v>
      </c>
      <c r="G8060" s="1">
        <v>10</v>
      </c>
      <c r="H8060" s="1">
        <v>0</v>
      </c>
      <c r="I8060" s="1" t="s">
        <v>15691</v>
      </c>
      <c r="K8060" s="1" t="str">
        <f t="shared" si="506"/>
        <v>ㄑ</v>
      </c>
      <c r="L8060" s="1" t="str">
        <f t="shared" si="507"/>
        <v>ㄧ</v>
      </c>
      <c r="M8060" s="1" t="str">
        <f t="shared" si="508"/>
        <v>ㄤ</v>
      </c>
      <c r="P8060" s="1" t="s">
        <v>20</v>
      </c>
      <c r="R8060" s="1" t="s">
        <v>15692</v>
      </c>
      <c r="V8060" s="1" t="s">
        <v>15696</v>
      </c>
      <c r="AR8060" s="1" t="str">
        <f t="shared" si="505"/>
        <v>| [ㄑㄧㄤˋ](ㄑㄧㄤˋ.md) | [熗](熗.md) |  | qiàng | [動]
1.烹飪方法：(1)將未經火煮的生食，用酒、醋或味濃的佐料，直悶到熟。(2)菜用沸水略煮過後，與醬油、醋等調味料攪拌。(3)將肉、蔥花等用熱油略炒，再加入佐料水煮。
2.刺激性的氣體或味道衝入鼻腔，使人感覺不舒服。通「嗆」。元．李好古《張生煮海》第三折：「聞不得鼻口內乾煙熗。」 |</v>
      </c>
    </row>
    <row r="8061" spans="1:44" hidden="1">
      <c r="A8061" s="1" t="s">
        <v>15636</v>
      </c>
      <c r="C8061" s="1">
        <v>1</v>
      </c>
      <c r="D8061" s="1" t="str">
        <f>"06573"</f>
        <v>06573</v>
      </c>
      <c r="E8061" s="1" t="s">
        <v>4785</v>
      </c>
      <c r="F8061" s="1">
        <v>14</v>
      </c>
      <c r="G8061" s="1">
        <v>10</v>
      </c>
      <c r="H8061" s="1">
        <v>1</v>
      </c>
      <c r="I8061" s="1" t="s">
        <v>15691</v>
      </c>
      <c r="K8061" s="1" t="str">
        <f t="shared" si="506"/>
        <v>ㄑ</v>
      </c>
      <c r="L8061" s="1" t="str">
        <f t="shared" si="507"/>
        <v>ㄧ</v>
      </c>
      <c r="M8061" s="1" t="str">
        <f t="shared" si="508"/>
        <v>ㄤ</v>
      </c>
      <c r="P8061" s="1" t="s">
        <v>20</v>
      </c>
      <c r="R8061" s="1" t="s">
        <v>15692</v>
      </c>
      <c r="V8061" s="1" t="s">
        <v>15697</v>
      </c>
      <c r="W8061" s="1" t="s">
        <v>15698</v>
      </c>
      <c r="AR8061" s="1" t="str">
        <f t="shared" si="505"/>
        <v>| [ㄑㄧㄤˋ](ㄑㄧㄤˋ.md) | [戧](戧.md) |  | qiàng | [動]
1.支撐。如：「這堵危牆，應該戧上兩根木頭。」
2.參見「戧金」條。 |</v>
      </c>
    </row>
    <row r="8062" spans="1:44" hidden="1">
      <c r="A8062" s="1" t="s">
        <v>15641</v>
      </c>
      <c r="C8062" s="1">
        <v>1</v>
      </c>
      <c r="D8062" s="1" t="str">
        <f>"06574"</f>
        <v>06574</v>
      </c>
      <c r="E8062" s="1" t="s">
        <v>77</v>
      </c>
      <c r="F8062" s="1">
        <v>17</v>
      </c>
      <c r="G8062" s="1">
        <v>10</v>
      </c>
      <c r="H8062" s="1">
        <v>2</v>
      </c>
      <c r="I8062" s="1" t="s">
        <v>15691</v>
      </c>
      <c r="K8062" s="1" t="str">
        <f t="shared" si="506"/>
        <v>ㄑ</v>
      </c>
      <c r="L8062" s="1" t="str">
        <f t="shared" si="507"/>
        <v>ㄧ</v>
      </c>
      <c r="M8062" s="1" t="str">
        <f t="shared" si="508"/>
        <v>ㄤ</v>
      </c>
      <c r="P8062" s="1" t="s">
        <v>20</v>
      </c>
      <c r="R8062" s="1" t="s">
        <v>15692</v>
      </c>
      <c r="V8062" s="1" t="s">
        <v>8981</v>
      </c>
      <c r="W8062" s="1" t="s">
        <v>15699</v>
      </c>
      <c r="AR8062" s="1" t="str">
        <f t="shared" si="505"/>
        <v>| [ㄑㄧㄤˋ](ㄑㄧㄤˋ.md) | [蹌](蹌.md) |  | qiàng | 參見「踉蹌」條。 |</v>
      </c>
    </row>
    <row r="8063" spans="1:44" hidden="1">
      <c r="A8063" s="1" t="s">
        <v>15616</v>
      </c>
      <c r="C8063" s="1">
        <v>1</v>
      </c>
      <c r="D8063" s="1" t="str">
        <f>"06575"</f>
        <v>06575</v>
      </c>
      <c r="E8063" s="1" t="s">
        <v>77</v>
      </c>
      <c r="F8063" s="1">
        <v>18</v>
      </c>
      <c r="G8063" s="1">
        <v>11</v>
      </c>
      <c r="H8063" s="1">
        <v>2</v>
      </c>
      <c r="I8063" s="1" t="s">
        <v>15691</v>
      </c>
      <c r="K8063" s="1" t="str">
        <f t="shared" si="506"/>
        <v>ㄑ</v>
      </c>
      <c r="L8063" s="1" t="str">
        <f t="shared" si="507"/>
        <v>ㄧ</v>
      </c>
      <c r="M8063" s="1" t="str">
        <f t="shared" si="508"/>
        <v>ㄤ</v>
      </c>
      <c r="P8063" s="1" t="s">
        <v>20</v>
      </c>
      <c r="R8063" s="1" t="s">
        <v>15692</v>
      </c>
      <c r="V8063" s="1" t="s">
        <v>15700</v>
      </c>
      <c r="W8063" s="1" t="s">
        <v>15701</v>
      </c>
      <c r="AR8063" s="1" t="str">
        <f t="shared" si="505"/>
        <v>| [ㄑㄧㄤˋ](ㄑㄧㄤˋ.md) | [蹡](蹡.md) |  | qiàng | 參見「踉蹡」條。 |</v>
      </c>
    </row>
    <row r="8064" spans="1:44" hidden="1">
      <c r="A8064" s="1" t="s">
        <v>14228</v>
      </c>
      <c r="C8064" s="1">
        <v>1</v>
      </c>
      <c r="D8064" s="1" t="str">
        <f>"06576"</f>
        <v>06576</v>
      </c>
      <c r="E8064" s="1" t="s">
        <v>5514</v>
      </c>
      <c r="F8064" s="1">
        <v>8</v>
      </c>
      <c r="G8064" s="1">
        <v>0</v>
      </c>
      <c r="H8064" s="1">
        <v>1</v>
      </c>
      <c r="I8064" s="1" t="s">
        <v>15702</v>
      </c>
      <c r="K8064" s="1" t="str">
        <f t="shared" si="506"/>
        <v>ㄑ</v>
      </c>
      <c r="L8064" s="1" t="str">
        <f t="shared" si="507"/>
        <v>ㄧ</v>
      </c>
      <c r="M8064" s="1" t="str">
        <f t="shared" si="508"/>
        <v>ㄥ</v>
      </c>
      <c r="P8064" s="1" t="s">
        <v>20</v>
      </c>
      <c r="R8064" s="1" t="s">
        <v>15703</v>
      </c>
      <c r="V8064" s="1" t="s">
        <v>15704</v>
      </c>
      <c r="W8064" s="1" t="s">
        <v>15705</v>
      </c>
      <c r="AR8064" s="1" t="str">
        <f t="shared" si="505"/>
        <v>| [ㄑㄧㄥ](ㄑㄧㄥ.md) | [青](青.md) |  | qīng | [名]
1.顏色：(1)綠色。唐．劉禹錫〈陋室銘〉：「苔痕上階綠，草色入簾青。」(2)藍色。《荀子．勸學》：「青取之於藍，而青於藍。」(3)黑色。如：「玄青」。
2.綠色的草木、山脈。如：「踏青」、「萬年青」、「青黃不接」。唐．柳宗元〈始得西山宴游記〉：「縈青繚白，外與天際。」
3.竹皮。如：「汗青」。
4.地名簡稱：(1)大陸地區青海省簡稱。如：「青藏鐵路」。(2)青島市簡稱。如：「青鹽鐵路」。
5.二一四部首之一。
[形]
1.綠色的。如：「青山綠水」、「山青水秀」。
2.藍色的。如：「青天白日」。
3.黑色的。如：「青布」、「青衣」。唐．李白〈將進酒〉：「君不見高堂明鏡悲白髮，朝如青絲暮成雪。」
4.年輕的。如：「青年」、「青春」。 |</v>
      </c>
    </row>
    <row r="8065" spans="1:44" hidden="1">
      <c r="A8065" s="1" t="s">
        <v>15706</v>
      </c>
      <c r="C8065" s="1">
        <v>1</v>
      </c>
      <c r="D8065" s="1" t="str">
        <f>"06577"</f>
        <v>06577</v>
      </c>
      <c r="E8065" s="1" t="s">
        <v>129</v>
      </c>
      <c r="F8065" s="1">
        <v>11</v>
      </c>
      <c r="G8065" s="1">
        <v>8</v>
      </c>
      <c r="H8065" s="1">
        <v>0</v>
      </c>
      <c r="I8065" s="1" t="s">
        <v>15702</v>
      </c>
      <c r="K8065" s="1" t="str">
        <f t="shared" si="506"/>
        <v>ㄑ</v>
      </c>
      <c r="L8065" s="1" t="str">
        <f t="shared" si="507"/>
        <v>ㄧ</v>
      </c>
      <c r="M8065" s="1" t="str">
        <f t="shared" si="508"/>
        <v>ㄥ</v>
      </c>
      <c r="P8065" s="1" t="s">
        <v>20</v>
      </c>
      <c r="R8065" s="1" t="s">
        <v>15703</v>
      </c>
      <c r="V8065" s="1" t="s">
        <v>15707</v>
      </c>
      <c r="AR8065" s="1" t="str">
        <f t="shared" si="505"/>
        <v>| [ㄑㄧㄥ](ㄑㄧㄥ.md) | [清](清.md) |  | qīng | [形]
1.澄淨、純潔。與「濁」相對。如：「清潔」、「清澈」。《詩經．魏風．伐檀》：「河水清且漣猗。」
2.高潔、廉潔。如：「清望」、「清廉」、「清士」。元．鄭廷玉《冤家債主》第四折：「法正天須順，官清民自安。」
3.寂靜。如：「冷清」、「清靜」。
4.秀美。如：「眉清目秀」。唐．杜甫〈戲為六絕句〉六首之五：「不薄今人愛古人，清詞麗句必為鄰。」
5.安定、太平。如：「清平盛世」。《文選．曹植．送應氏詩二首之一》：「清時難屢得，嘉會不可常。」
[副]
1.單純的。如：「清一色」、「清唱」。
2.淨盡、一點也不留。如：「債還清了。」、「書款付清了。」
3.詳細、明白。如：「點清數目」、「查清戶口」、「謄清作文」。
[動]
1.使乾淨、使整齊。如：「清洗」、「清理」、「清除」。
2.整頓。如：「清黨」、「肅清」。
3.結帳。如：「清帳」、「清算」、「結清餘欠」。
4.點檢（清楚）。如：「清點」、「清倉」。《儒林外史》第六回：「你們各人管的田房、利息帳目，都連夜攢造清完，先送與我逐細看過。」
[名]
1.朝代名。參見「清朝」條。
2.參見「血清」條。
3.姓。如宋代有清賢。 |</v>
      </c>
    </row>
    <row r="8066" spans="1:44" hidden="1">
      <c r="A8066" s="1" t="s">
        <v>15708</v>
      </c>
      <c r="C8066" s="1">
        <v>1</v>
      </c>
      <c r="D8066" s="1" t="str">
        <f>"06578"</f>
        <v>06578</v>
      </c>
      <c r="E8066" s="1" t="s">
        <v>2557</v>
      </c>
      <c r="F8066" s="1">
        <v>11</v>
      </c>
      <c r="G8066" s="1">
        <v>8</v>
      </c>
      <c r="H8066" s="1">
        <v>0</v>
      </c>
      <c r="I8066" s="1" t="s">
        <v>15702</v>
      </c>
      <c r="K8066" s="1" t="str">
        <f t="shared" si="506"/>
        <v>ㄑ</v>
      </c>
      <c r="L8066" s="1" t="str">
        <f t="shared" si="507"/>
        <v>ㄧ</v>
      </c>
      <c r="M8066" s="1" t="str">
        <f t="shared" si="508"/>
        <v>ㄥ</v>
      </c>
      <c r="P8066" s="1" t="s">
        <v>20</v>
      </c>
      <c r="R8066" s="1" t="s">
        <v>15703</v>
      </c>
      <c r="V8066" s="1" t="s">
        <v>15709</v>
      </c>
      <c r="AR8066" s="1" t="str">
        <f t="shared" si="505"/>
        <v>| [ㄑㄧㄥ](ㄑㄧㄥ.md) | [圊](圊.md) |  | qīng | [名]
廁所。如：「圊圂」、「圊肥」。《新唐書．卷一〇〇．權萬紀傳》：「斬首，殊支體，投圊中。」 |</v>
      </c>
    </row>
    <row r="8067" spans="1:44" hidden="1">
      <c r="A8067" s="1" t="s">
        <v>15710</v>
      </c>
      <c r="C8067" s="1">
        <v>1</v>
      </c>
      <c r="D8067" s="1" t="str">
        <f>"06579"</f>
        <v>06579</v>
      </c>
      <c r="E8067" s="1" t="s">
        <v>2228</v>
      </c>
      <c r="F8067" s="1">
        <v>12</v>
      </c>
      <c r="G8067" s="1">
        <v>8</v>
      </c>
      <c r="H8067" s="1">
        <v>0</v>
      </c>
      <c r="I8067" s="1" t="s">
        <v>15702</v>
      </c>
      <c r="K8067" s="1" t="str">
        <f t="shared" si="506"/>
        <v>ㄑ</v>
      </c>
      <c r="L8067" s="1" t="str">
        <f t="shared" si="507"/>
        <v>ㄧ</v>
      </c>
      <c r="M8067" s="1" t="str">
        <f t="shared" si="508"/>
        <v>ㄥ</v>
      </c>
      <c r="P8067" s="1" t="s">
        <v>20</v>
      </c>
      <c r="R8067" s="1" t="s">
        <v>15703</v>
      </c>
      <c r="V8067" s="1" t="s">
        <v>15711</v>
      </c>
      <c r="AR8067" s="1" t="str">
        <f t="shared" ref="AR8067:AR8130" si="509">"| ["&amp;I8067&amp;"]("&amp;I8067&amp;".md) | ["&amp;A8067&amp;"]("&amp;A8067&amp;".md) | "&amp;" | "&amp;R8067&amp;" | "&amp;V8067&amp;" |"</f>
        <v>| [ㄑㄧㄥ](ㄑㄧㄥ.md) | [氰](氰.md) |  | qīng | [名]
碳氮化合物。一種無色、有苦杏仁臭味的氣體。能溶於水、酒精和乙醚中，毒性極強，燃燒時呈淡紫色火焰。可由加熱的氰化汞或氰化鉀與硫酸銅的混合液製成。可用於有機合成及軍用毒氣等。 |</v>
      </c>
    </row>
    <row r="8068" spans="1:44" hidden="1">
      <c r="A8068" s="1" t="s">
        <v>15712</v>
      </c>
      <c r="C8068" s="1">
        <v>1</v>
      </c>
      <c r="D8068" s="1" t="str">
        <f>"06580"</f>
        <v>06580</v>
      </c>
      <c r="E8068" s="1" t="s">
        <v>679</v>
      </c>
      <c r="F8068" s="1">
        <v>14</v>
      </c>
      <c r="G8068" s="1">
        <v>8</v>
      </c>
      <c r="H8068" s="1">
        <v>0</v>
      </c>
      <c r="I8068" s="1" t="s">
        <v>15702</v>
      </c>
      <c r="K8068" s="1" t="str">
        <f t="shared" ref="K8068:K8110" si="510">LEFT(I8068, 1)</f>
        <v>ㄑ</v>
      </c>
      <c r="L8068" s="1" t="str">
        <f t="shared" ref="L8068:L8110" si="511">MID(I8068, 2, 1)</f>
        <v>ㄧ</v>
      </c>
      <c r="M8068" s="1" t="str">
        <f t="shared" si="508"/>
        <v>ㄥ</v>
      </c>
      <c r="P8068" s="1" t="s">
        <v>20</v>
      </c>
      <c r="R8068" s="1" t="s">
        <v>15703</v>
      </c>
      <c r="V8068" s="1" t="s">
        <v>15713</v>
      </c>
      <c r="AR8068" s="1" t="str">
        <f t="shared" si="509"/>
        <v>| [ㄑㄧㄥ](ㄑㄧㄥ.md) | [蜻](蜻.md) |  | qīng | 參見「蜻蜓」、「蜻蛉」等條。 |</v>
      </c>
    </row>
    <row r="8069" spans="1:44" hidden="1">
      <c r="A8069" s="1" t="s">
        <v>15714</v>
      </c>
      <c r="C8069" s="1">
        <v>1</v>
      </c>
      <c r="D8069" s="1" t="str">
        <f>"06581"</f>
        <v>06581</v>
      </c>
      <c r="E8069" s="1" t="s">
        <v>331</v>
      </c>
      <c r="F8069" s="1">
        <v>15</v>
      </c>
      <c r="G8069" s="1">
        <v>8</v>
      </c>
      <c r="H8069" s="1">
        <v>2</v>
      </c>
      <c r="I8069" s="1" t="s">
        <v>15702</v>
      </c>
      <c r="K8069" s="1" t="str">
        <f t="shared" si="510"/>
        <v>ㄑ</v>
      </c>
      <c r="L8069" s="1" t="str">
        <f t="shared" si="511"/>
        <v>ㄧ</v>
      </c>
      <c r="M8069" s="1" t="str">
        <f t="shared" si="508"/>
        <v>ㄥ</v>
      </c>
      <c r="P8069" s="1" t="s">
        <v>20</v>
      </c>
      <c r="R8069" s="1" t="s">
        <v>15703</v>
      </c>
      <c r="V8069" s="1" t="s">
        <v>15715</v>
      </c>
      <c r="W8069" s="1" t="s">
        <v>15716</v>
      </c>
      <c r="AR8069" s="1" t="str">
        <f t="shared" si="509"/>
        <v>| [ㄑㄧㄥ](ㄑㄧㄥ.md) | [請](請.md) |  | qīng | 參見「請室」條。 |</v>
      </c>
    </row>
    <row r="8070" spans="1:44" hidden="1">
      <c r="A8070" s="1" t="s">
        <v>15717</v>
      </c>
      <c r="C8070" s="1">
        <v>1</v>
      </c>
      <c r="D8070" s="1" t="str">
        <f>"06582"</f>
        <v>06582</v>
      </c>
      <c r="E8070" s="1" t="s">
        <v>156</v>
      </c>
      <c r="F8070" s="1">
        <v>19</v>
      </c>
      <c r="G8070" s="1">
        <v>8</v>
      </c>
      <c r="H8070" s="1">
        <v>1</v>
      </c>
      <c r="I8070" s="1" t="s">
        <v>15702</v>
      </c>
      <c r="K8070" s="1" t="str">
        <f t="shared" si="510"/>
        <v>ㄑ</v>
      </c>
      <c r="L8070" s="1" t="str">
        <f t="shared" si="511"/>
        <v>ㄧ</v>
      </c>
      <c r="M8070" s="1" t="str">
        <f t="shared" si="508"/>
        <v>ㄥ</v>
      </c>
      <c r="P8070" s="1" t="s">
        <v>20</v>
      </c>
      <c r="R8070" s="1" t="s">
        <v>15703</v>
      </c>
      <c r="V8070" s="1" t="s">
        <v>15718</v>
      </c>
      <c r="W8070" s="1" t="s">
        <v>15719</v>
      </c>
      <c r="AR8070" s="1" t="str">
        <f t="shared" si="509"/>
        <v>| [ㄑㄧㄥ](ㄑㄧㄥ.md) | [鯖](鯖.md) |  | qīng | [名]
動物名。脊椎動物亞門鱸形目。體呈梭型，側扁。頭尖口大，密生小齒，鱗圓細小。背鰭有前後兩個，背部青綠，有波浪狀花紋，腹部銀白。主依嗅覺找尋食物，為一種重要的經濟性魚類。也稱為「青花魚」。 |</v>
      </c>
    </row>
    <row r="8071" spans="1:44" hidden="1">
      <c r="A8071" s="1" t="s">
        <v>15720</v>
      </c>
      <c r="C8071" s="1">
        <v>1</v>
      </c>
      <c r="D8071" s="1" t="str">
        <f>"06583"</f>
        <v>06583</v>
      </c>
      <c r="E8071" s="1" t="s">
        <v>2954</v>
      </c>
      <c r="F8071" s="1">
        <v>10</v>
      </c>
      <c r="G8071" s="1">
        <v>8</v>
      </c>
      <c r="H8071" s="1">
        <v>0</v>
      </c>
      <c r="I8071" s="1" t="s">
        <v>15702</v>
      </c>
      <c r="K8071" s="1" t="str">
        <f t="shared" si="510"/>
        <v>ㄑ</v>
      </c>
      <c r="L8071" s="1" t="str">
        <f t="shared" si="511"/>
        <v>ㄧ</v>
      </c>
      <c r="M8071" s="1" t="str">
        <f t="shared" si="508"/>
        <v>ㄥ</v>
      </c>
      <c r="P8071" s="1" t="s">
        <v>20</v>
      </c>
      <c r="R8071" s="1" t="s">
        <v>15703</v>
      </c>
      <c r="V8071" s="1" t="s">
        <v>15721</v>
      </c>
      <c r="AR8071" s="1" t="str">
        <f t="shared" si="509"/>
        <v>| [ㄑㄧㄥ](ㄑㄧㄥ.md) | [卿](卿.md) |  | qīng | [名]_x000D_
1.職官名。古代指位在大夫之上的官爵。如：「上卿」、「公卿」。_x000D_
2.對人的尊稱。《史記．卷八六．刺客列傳．荊軻》：「衛人謂之慶卿。」_x000D_
3.姓。如清代有卿祖培。_x000D_
[代]_x000D_
1.君對臣的美稱。宋．岳飛〈良馬對〉：「卿得良馬否？」_x000D_
2.對同輩的敬稱。同「您」。唐．杜甫〈惜別行送向卿〉詩：「卿家兄弟功名震。」_x000D_
3.夫妻的相稱或專指夫對妻的稱呼。《樂府詩集．卷七三．雜曲歌辭十三．古辭．焦仲卿妻》：「我自不驅卿，逼迫有阿母。」 |</v>
      </c>
    </row>
    <row r="8072" spans="1:44" hidden="1">
      <c r="A8072" s="1" t="s">
        <v>15724</v>
      </c>
      <c r="C8072" s="1">
        <v>1</v>
      </c>
      <c r="D8072" s="1" t="str">
        <f>"06585"</f>
        <v>06585</v>
      </c>
      <c r="E8072" s="1" t="s">
        <v>2228</v>
      </c>
      <c r="F8072" s="1">
        <v>11</v>
      </c>
      <c r="G8072" s="1">
        <v>7</v>
      </c>
      <c r="H8072" s="1">
        <v>0</v>
      </c>
      <c r="I8072" s="1" t="s">
        <v>15702</v>
      </c>
      <c r="K8072" s="1" t="str">
        <f t="shared" si="510"/>
        <v>ㄑ</v>
      </c>
      <c r="L8072" s="1" t="str">
        <f t="shared" si="511"/>
        <v>ㄧ</v>
      </c>
      <c r="M8072" s="1" t="str">
        <f t="shared" si="508"/>
        <v>ㄥ</v>
      </c>
      <c r="P8072" s="1" t="s">
        <v>20</v>
      </c>
      <c r="R8072" s="1" t="s">
        <v>15703</v>
      </c>
      <c r="V8072" s="1" t="s">
        <v>15725</v>
      </c>
      <c r="AR8072" s="1" t="str">
        <f t="shared" si="509"/>
        <v>| [ㄑㄧㄥ](ㄑㄧㄥ.md) | [氫](氫.md) |  | qīng | [名]
（hydrogen，H）化學元素。原子序1。為無色、無臭、無味的雙原子分子氣體（H₂），是物質中最輕者，能自燃而不助燃，化學性質活潑，能與許多非金屬和金屬直接化合。氫的沸點很低，很難液化，液態氫可作火箭推進器燃料，但難製造與儲存。在化學工業上常用作還原劑，並可作燃料與氧燃燒產生高溫和水。 |</v>
      </c>
    </row>
    <row r="8073" spans="1:44" hidden="1">
      <c r="A8073" s="1" t="s">
        <v>15726</v>
      </c>
      <c r="C8073" s="1">
        <v>1</v>
      </c>
      <c r="D8073" s="1" t="str">
        <f>"06586"</f>
        <v>06586</v>
      </c>
      <c r="E8073" s="1" t="s">
        <v>71</v>
      </c>
      <c r="F8073" s="1">
        <v>14</v>
      </c>
      <c r="G8073" s="1">
        <v>7</v>
      </c>
      <c r="H8073" s="1">
        <v>0</v>
      </c>
      <c r="I8073" s="1" t="s">
        <v>15702</v>
      </c>
      <c r="K8073" s="1" t="str">
        <f t="shared" si="510"/>
        <v>ㄑ</v>
      </c>
      <c r="L8073" s="1" t="str">
        <f t="shared" si="511"/>
        <v>ㄧ</v>
      </c>
      <c r="M8073" s="1" t="str">
        <f t="shared" si="508"/>
        <v>ㄥ</v>
      </c>
      <c r="P8073" s="1" t="s">
        <v>20</v>
      </c>
      <c r="R8073" s="1" t="s">
        <v>15703</v>
      </c>
      <c r="V8073" s="1" t="s">
        <v>15727</v>
      </c>
      <c r="AR8073" s="1" t="str">
        <f t="shared" si="509"/>
        <v>| [ㄑㄧㄥ](ㄑㄧㄥ.md) | [輕](輕.md) |  | qīng | [動]
1.鄙夷、不在乎。如：「輕生」、「輕敵」。《文選．曹丕．典論論文》：「文人相輕。」宋．蘇軾〈教戰守策〉：「輕霜露而狎風雨，是故寒暑不能為之毒。」
2.比……為輕。《文選．司馬遷．報任少卿書》：「人固有一死，或重於太山，或輕於鴻毛。」
[形]
1.分量小。與「重」相對。如：「棉花比鐵輕。」《楚辭．屈原．卜居》：「蟬翼為重，千鈞為輕。」
2.程度淺。如：「罰得輕」、「病情輕」。南朝梁．簡文帝〈與蕭臨川書〉：「零雨送秋，輕寒迎節。」
3.數量少。如：「年紀輕」、「工作輕」。
4.卑賤、不重要的。如：「人微言輕」。《孟子．盡心下》：「民為貴，社稷次之，君為輕。」
5.方便、簡單的。如：「輕便」、「輕而易舉」。
6.靈巧快捷。如：「輕車」、「輕舟」。唐．王維〈觀獵〉詩：「草枯鷹眼疾，雪盡馬蹄輕。」
7.沒有負擔和壓迫的。如：「無債一身輕。」
8.細微、柔弱。如：「雲淡風輕」、「輕聲細語」。元．白樸〈天淨沙．孤村落日殘霞〉曲：「孤村落日殘霞，輕煙老樹寒鴉。」
9.舒緩。如：「輕音樂」。
10. 隨便、不莊重。如：「輕浮」、「輕佻」、「輕率」。宋．王安石〈示長安君〉詩：「少年離別意非輕，老去相逢亦愴情。」
[副]
1.輕微的、不使力的。如：「微風輕拂」。唐．白居易〈琵琶行〉：「輕攏慢撚抹復挑。」宋．華岳〈江上雙舟催發〉詩：「後帆招手呼前帆，晝鼓輕敲總催發。」
2.不在乎的。如：「輕視」、「輕慢」。 |</v>
      </c>
    </row>
    <row r="8074" spans="1:44" hidden="1">
      <c r="A8074" s="1" t="s">
        <v>15728</v>
      </c>
      <c r="C8074" s="1">
        <v>1</v>
      </c>
      <c r="D8074" s="1" t="str">
        <f>"06587"</f>
        <v>06587</v>
      </c>
      <c r="E8074" s="1" t="s">
        <v>684</v>
      </c>
      <c r="F8074" s="1">
        <v>11</v>
      </c>
      <c r="G8074" s="1">
        <v>2</v>
      </c>
      <c r="H8074" s="1">
        <v>1</v>
      </c>
      <c r="I8074" s="1" t="s">
        <v>15702</v>
      </c>
      <c r="K8074" s="1" t="str">
        <f t="shared" si="510"/>
        <v>ㄑ</v>
      </c>
      <c r="L8074" s="1" t="str">
        <f t="shared" si="511"/>
        <v>ㄧ</v>
      </c>
      <c r="M8074" s="1" t="str">
        <f t="shared" si="508"/>
        <v>ㄥ</v>
      </c>
      <c r="P8074" s="1" t="s">
        <v>20</v>
      </c>
      <c r="R8074" s="1" t="s">
        <v>15703</v>
      </c>
      <c r="V8074" s="1" t="s">
        <v>15729</v>
      </c>
      <c r="W8074" s="1" t="s">
        <v>15730</v>
      </c>
      <c r="AR8074" s="1" t="str">
        <f t="shared" si="509"/>
        <v>| [ㄑㄧㄥ](ㄑㄧㄥ.md) | [頃](頃.md) |  | qīng | [形]
斜、側。通「傾」。《漢書．卷六四下．王襃傳》：「不單頃耳而聽已聰。」 |</v>
      </c>
    </row>
    <row r="8075" spans="1:44" hidden="1">
      <c r="A8075" s="1" t="s">
        <v>11106</v>
      </c>
      <c r="C8075" s="1">
        <v>1</v>
      </c>
      <c r="D8075" s="1" t="str">
        <f>"06588"</f>
        <v>06588</v>
      </c>
      <c r="E8075" s="1" t="s">
        <v>114</v>
      </c>
      <c r="F8075" s="1">
        <v>13</v>
      </c>
      <c r="G8075" s="1">
        <v>11</v>
      </c>
      <c r="H8075" s="1">
        <v>1</v>
      </c>
      <c r="I8075" s="1" t="s">
        <v>15702</v>
      </c>
      <c r="K8075" s="1" t="str">
        <f t="shared" si="510"/>
        <v>ㄑ</v>
      </c>
      <c r="L8075" s="1" t="str">
        <f t="shared" si="511"/>
        <v>ㄧ</v>
      </c>
      <c r="M8075" s="1" t="str">
        <f t="shared" si="508"/>
        <v>ㄥ</v>
      </c>
      <c r="P8075" s="1" t="s">
        <v>20</v>
      </c>
      <c r="R8075" s="1" t="s">
        <v>15703</v>
      </c>
      <c r="V8075" s="1" t="s">
        <v>15731</v>
      </c>
      <c r="W8075" s="1" t="s">
        <v>15732</v>
      </c>
      <c r="AR8075" s="1" t="str">
        <f t="shared" si="509"/>
        <v>| [ㄑㄧㄥ](ㄑㄧㄥ.md) | [傾](傾.md) |  | qīng | [動]
1.偏向一邊、歪向、斜向。如：「傾斜」、「傾向一邊」、「向右傾」。
2.坍塌。如：「傾墜」。《文選．丘遲．與陳伯之書》：「高臺未傾，愛妾尚在。」
3.完全倒出。如：「傾酒」、「傾囊相授」、「傾箱倒櫃」。
4.佩服、仰慕。如：「傾心」。《史記．卷一一七．司馬相如傳》：「一坐盡傾。」唐．李白〈代別情人〉詩：「我悅子容豔，子傾我文章。」
5.壓倒、勝過。如：「傾國傾城」。《史記．卷一〇七．魏其武安侯傳》：「欲以傾魏其諸將相。」
6.競爭。漢．鼂錯〈論貴粟疏〉：「因其富厚，交通王侯，力過吏埶，以利相傾。」
7.覆滅。如：「傾覆」。《荀子．儒效》：「齊一天下而莫能傾。」
[副]
完全的、毫不保留的。如：「傾聽」、「傾訴」。 |</v>
      </c>
    </row>
    <row r="8076" spans="1:44" hidden="1">
      <c r="A8076" s="1" t="s">
        <v>15733</v>
      </c>
      <c r="C8076" s="1">
        <v>1</v>
      </c>
      <c r="D8076" s="1" t="str">
        <f>"06589"</f>
        <v>06589</v>
      </c>
      <c r="E8076" s="1" t="s">
        <v>245</v>
      </c>
      <c r="F8076" s="1">
        <v>10</v>
      </c>
      <c r="G8076" s="1">
        <v>8</v>
      </c>
      <c r="H8076" s="1">
        <v>0</v>
      </c>
      <c r="I8076" s="1" t="s">
        <v>15734</v>
      </c>
      <c r="K8076" s="1" t="str">
        <f t="shared" si="510"/>
        <v>ㄑ</v>
      </c>
      <c r="L8076" s="1" t="str">
        <f t="shared" si="511"/>
        <v>ㄧ</v>
      </c>
      <c r="M8076" s="1" t="str">
        <f t="shared" si="508"/>
        <v>ㄥ</v>
      </c>
      <c r="P8076" s="1" t="s">
        <v>20</v>
      </c>
      <c r="R8076" s="1" t="s">
        <v>15735</v>
      </c>
      <c r="V8076" s="1" t="s">
        <v>15736</v>
      </c>
      <c r="AR8076" s="1" t="str">
        <f t="shared" si="509"/>
        <v>| [ㄑㄧㄥˊ](ㄑㄧㄥˊ.md) | [勍](勍.md) |  | qíng | [形]
強勁、強大。《說文解字．力部》：「勍，彊也。」《左傳．僖公二十二年》：「勍敵之人，隘而不列，天贊我也。」 |</v>
      </c>
    </row>
    <row r="8077" spans="1:44" hidden="1">
      <c r="A8077" s="1" t="s">
        <v>15737</v>
      </c>
      <c r="C8077" s="1">
        <v>1</v>
      </c>
      <c r="D8077" s="1" t="str">
        <f>"06590"</f>
        <v>06590</v>
      </c>
      <c r="E8077" s="1" t="s">
        <v>2777</v>
      </c>
      <c r="F8077" s="1">
        <v>20</v>
      </c>
      <c r="G8077" s="1">
        <v>8</v>
      </c>
      <c r="H8077" s="1">
        <v>0</v>
      </c>
      <c r="I8077" s="1" t="s">
        <v>15734</v>
      </c>
      <c r="K8077" s="1" t="str">
        <f t="shared" si="510"/>
        <v>ㄑ</v>
      </c>
      <c r="L8077" s="1" t="str">
        <f t="shared" si="511"/>
        <v>ㄧ</v>
      </c>
      <c r="M8077" s="1" t="str">
        <f t="shared" si="508"/>
        <v>ㄥ</v>
      </c>
      <c r="P8077" s="1" t="s">
        <v>20</v>
      </c>
      <c r="R8077" s="1" t="s">
        <v>15735</v>
      </c>
      <c r="V8077" s="1" t="s">
        <v>15738</v>
      </c>
      <c r="AR8077" s="1" t="str">
        <f t="shared" si="509"/>
        <v>| [ㄑㄧㄥˊ](ㄑㄧㄥˊ.md) | [黥](黥.md) |  | qíng | [動]
古代的一種刑罰，在犯人臉上刺字塗墨。後亦用於奴婢、士兵，以防其逃跑。《史記．卷六五．孫子吳起傳》：「臏至，龐涓恐其賢于己，疾之，則以法刑斷其兩足而黥之，欲隱勿見。」《南史．卷五一．梁宗室傳上．臨川靖惠王宏傳》：「蓄奴僮數百，皆黥其面。」 |</v>
      </c>
    </row>
    <row r="8078" spans="1:44" hidden="1">
      <c r="A8078" s="1" t="s">
        <v>15739</v>
      </c>
      <c r="C8078" s="1">
        <v>1</v>
      </c>
      <c r="D8078" s="1" t="str">
        <f>"06591"</f>
        <v>06591</v>
      </c>
      <c r="E8078" s="1" t="s">
        <v>250</v>
      </c>
      <c r="F8078" s="1">
        <v>11</v>
      </c>
      <c r="G8078" s="1">
        <v>8</v>
      </c>
      <c r="H8078" s="1">
        <v>0</v>
      </c>
      <c r="I8078" s="1" t="s">
        <v>15734</v>
      </c>
      <c r="K8078" s="1" t="str">
        <f t="shared" si="510"/>
        <v>ㄑ</v>
      </c>
      <c r="L8078" s="1" t="str">
        <f t="shared" si="511"/>
        <v>ㄧ</v>
      </c>
      <c r="M8078" s="1" t="str">
        <f t="shared" si="508"/>
        <v>ㄥ</v>
      </c>
      <c r="P8078" s="1" t="s">
        <v>20</v>
      </c>
      <c r="R8078" s="1" t="s">
        <v>15735</v>
      </c>
      <c r="V8078" s="1" t="s">
        <v>15740</v>
      </c>
      <c r="AR8078" s="1" t="str">
        <f t="shared" si="509"/>
        <v>| [ㄑㄧㄥˊ](ㄑㄧㄥˊ.md) | [情](情.md) |  | qíng | [名]
1.心理上發於自然的意念，或因外界事物刺激所引發的心理狀態。如：「感情」、「溫情」。《禮記．禮運》：「何謂人情？喜、怒、哀、懼、愛、惡、欲七者，弗學而能。」唐．白居易〈琵琶行〉：「轉軸撥弦三兩聲，未成曲調先有情。」
2.人與人之間的愛戀。如：「愛情」、「痴情」、「談情說愛」。宋．秦觀〈鵲橋仙．纖雲弄巧〉詞：「兩情若是久長時，又豈在朝朝暮暮。」
3.友誼、情分。如：「交情」、「人情世故」。唐．李白〈贈汪倫〉詩：「桃花潭水深千尺，不及汪倫送我情。」
4.面子。如：「情面」、「求情」、「說情」。
5.實際的狀況、內容。如：「實情」、「病情」、「行情」。
[形]
有關愛情的。如：「情人」、「情痴」。
[副]
分明、明明。《紅樓夢》第四回：「薛蟠見母親如此說，情知扭不過的。」 |</v>
      </c>
    </row>
    <row r="8079" spans="1:44" hidden="1">
      <c r="A8079" s="1" t="s">
        <v>15741</v>
      </c>
      <c r="C8079" s="1">
        <v>1</v>
      </c>
      <c r="D8079" s="1" t="str">
        <f>"06592"</f>
        <v>06592</v>
      </c>
      <c r="E8079" s="1" t="s">
        <v>646</v>
      </c>
      <c r="F8079" s="1">
        <v>12</v>
      </c>
      <c r="G8079" s="1">
        <v>8</v>
      </c>
      <c r="H8079" s="1">
        <v>0</v>
      </c>
      <c r="I8079" s="1" t="s">
        <v>15734</v>
      </c>
      <c r="K8079" s="1" t="str">
        <f t="shared" si="510"/>
        <v>ㄑ</v>
      </c>
      <c r="L8079" s="1" t="str">
        <f t="shared" si="511"/>
        <v>ㄧ</v>
      </c>
      <c r="M8079" s="1" t="str">
        <f t="shared" si="508"/>
        <v>ㄥ</v>
      </c>
      <c r="P8079" s="1" t="s">
        <v>20</v>
      </c>
      <c r="R8079" s="1" t="s">
        <v>15735</v>
      </c>
      <c r="V8079" s="1" t="s">
        <v>15742</v>
      </c>
      <c r="AR8079" s="1" t="str">
        <f t="shared" si="509"/>
        <v>| [ㄑㄧㄥˊ](ㄑㄧㄥˊ.md) | [晴](晴.md) |  | qíng | [動]
雨雪停止。《文選．潘岳．閑居賦》：「微雨新晴，六合清朗。」元．張可久〈人月圓．梅花渾似真真面〉曲：「雪晴天氣，松腰玉瘦，泉眼冰寒。」
[名]
清朗無雲的天氣。如：「秋晴」、「陰晴」。唐．劉禹錫〈竹枝詞〉二首之一：「東邊日出西邊雨，道是無晴卻有晴。」
[形]
晴朗的。如：「晴天霹靂」、「晴空萬里」。唐．李白〈秋登宣城謝朓北樓〉詩：「江城如畫裡，山曉望晴空。」唐．賈島〈送人適越〉詩：「晴湖勝鏡碧，寒柳似金黃。」 |</v>
      </c>
    </row>
    <row r="8080" spans="1:44" hidden="1">
      <c r="A8080" s="1" t="s">
        <v>15714</v>
      </c>
      <c r="C8080" s="1">
        <v>1</v>
      </c>
      <c r="D8080" s="1" t="str">
        <f>"06593"</f>
        <v>06593</v>
      </c>
      <c r="E8080" s="1" t="s">
        <v>331</v>
      </c>
      <c r="F8080" s="1">
        <v>15</v>
      </c>
      <c r="G8080" s="1">
        <v>8</v>
      </c>
      <c r="H8080" s="1">
        <v>3</v>
      </c>
      <c r="I8080" s="1" t="s">
        <v>15734</v>
      </c>
      <c r="K8080" s="1" t="str">
        <f t="shared" si="510"/>
        <v>ㄑ</v>
      </c>
      <c r="L8080" s="1" t="str">
        <f t="shared" si="511"/>
        <v>ㄧ</v>
      </c>
      <c r="M8080" s="1" t="str">
        <f t="shared" si="508"/>
        <v>ㄥ</v>
      </c>
      <c r="P8080" s="1" t="s">
        <v>20</v>
      </c>
      <c r="R8080" s="1" t="s">
        <v>15735</v>
      </c>
      <c r="V8080" s="1" t="s">
        <v>15743</v>
      </c>
      <c r="W8080" s="1" t="s">
        <v>15744</v>
      </c>
      <c r="AR8080" s="1" t="str">
        <f t="shared" si="509"/>
        <v>| [ㄑㄧㄥˊ](ㄑㄧㄥˊ.md) | [請](請.md) |  | qíng | [名]
實際的狀況、內容。通「情」。《荀子．成相》：「聽之經，明其請。」
[動]
承受、取得。通「擎」。元．吳昌齡《東坡夢》第二折：「俺躲人間是非，您請皇家富貴。」元．狄君厚《介子推》第三折：「怎肯教驪姬賊子請了天下。」 |</v>
      </c>
    </row>
    <row r="8081" spans="1:44" hidden="1">
      <c r="A8081" s="1" t="s">
        <v>15745</v>
      </c>
      <c r="C8081" s="1">
        <v>1</v>
      </c>
      <c r="D8081" s="1" t="str">
        <f>"06594"</f>
        <v>06594</v>
      </c>
      <c r="E8081" s="1" t="s">
        <v>1372</v>
      </c>
      <c r="F8081" s="1">
        <v>11</v>
      </c>
      <c r="G8081" s="1">
        <v>7</v>
      </c>
      <c r="H8081" s="1">
        <v>0</v>
      </c>
      <c r="I8081" s="1" t="s">
        <v>15734</v>
      </c>
      <c r="K8081" s="1" t="str">
        <f t="shared" si="510"/>
        <v>ㄑ</v>
      </c>
      <c r="L8081" s="1" t="str">
        <f t="shared" si="511"/>
        <v>ㄧ</v>
      </c>
      <c r="M8081" s="1" t="str">
        <f t="shared" si="508"/>
        <v>ㄥ</v>
      </c>
      <c r="P8081" s="1" t="s">
        <v>20</v>
      </c>
      <c r="R8081" s="1" t="s">
        <v>15735</v>
      </c>
      <c r="V8081" s="1" t="s">
        <v>15746</v>
      </c>
      <c r="AR8081" s="1" t="str">
        <f t="shared" si="509"/>
        <v>| [ㄑㄧㄥˊ](ㄑㄧㄥˊ.md) | [殑](殑.md) |  | qíng | [動]
疲困欲死。明．劉基〈贈道士蔣玉壺長歌〉：「洞晃曭朗眩遙瞪，瘁肌砭髓魂欲殑。」 |</v>
      </c>
    </row>
    <row r="8082" spans="1:44" hidden="1">
      <c r="A8082" s="1" t="s">
        <v>15747</v>
      </c>
      <c r="C8082" s="1">
        <v>1</v>
      </c>
      <c r="D8082" s="1" t="str">
        <f>"06595"</f>
        <v>06595</v>
      </c>
      <c r="E8082" s="1" t="s">
        <v>139</v>
      </c>
      <c r="F8082" s="1">
        <v>17</v>
      </c>
      <c r="G8082" s="1">
        <v>13</v>
      </c>
      <c r="H8082" s="1">
        <v>0</v>
      </c>
      <c r="I8082" s="1" t="s">
        <v>15734</v>
      </c>
      <c r="K8082" s="1" t="str">
        <f t="shared" si="510"/>
        <v>ㄑ</v>
      </c>
      <c r="L8082" s="1" t="str">
        <f t="shared" si="511"/>
        <v>ㄧ</v>
      </c>
      <c r="M8082" s="1" t="str">
        <f t="shared" si="508"/>
        <v>ㄥ</v>
      </c>
      <c r="P8082" s="1" t="s">
        <v>20</v>
      </c>
      <c r="R8082" s="1" t="s">
        <v>15735</v>
      </c>
      <c r="V8082" s="1" t="s">
        <v>15748</v>
      </c>
      <c r="AR8082" s="1" t="str">
        <f t="shared" si="509"/>
        <v>| [ㄑㄧㄥˊ](ㄑㄧㄥˊ.md) | [檠](檠.md) |  | qíng | [名]
1.輔正弓弩的器具。《淮南子．脩務》：「故弓待檠而後能調，劍待砥而後能利。」漢．劉向〈勸學〉：「操弓不返於檠，木受繩則直。」
2.燈架、燭臺。宋．蘇軾〈姪安節遠來夜坐〉詩三首之二：「夢斷酒醒山雨絕，笑看飢鼠上燈檠。」
3.燈。北周．庾信〈對燭賦〉：「蓮帳寒檠窗拂曙，筠籠熏火香盈絮。」元．翁森〈四時讀書樂〉詩四首之三：「近床賴有短檠在，對此讀書功更倍。」
[動]
1.矯正。《漢書．卷五四．蘇建傳》：「武能網紡繳、檠弓弩。」
2.拿、托。通「擎」。《喻世明言．卷一七．單符郎全州佳偶》：「空手忽檠雙塊玉，汙泥挺出並頭蓮。」 |</v>
      </c>
    </row>
    <row r="8083" spans="1:44" hidden="1">
      <c r="A8083" s="1" t="s">
        <v>15749</v>
      </c>
      <c r="C8083" s="1">
        <v>1</v>
      </c>
      <c r="D8083" s="1" t="str">
        <f>"06596"</f>
        <v>06596</v>
      </c>
      <c r="E8083" s="1" t="s">
        <v>24</v>
      </c>
      <c r="F8083" s="1">
        <v>17</v>
      </c>
      <c r="G8083" s="1">
        <v>13</v>
      </c>
      <c r="H8083" s="1">
        <v>0</v>
      </c>
      <c r="I8083" s="1" t="s">
        <v>15734</v>
      </c>
      <c r="K8083" s="1" t="str">
        <f t="shared" si="510"/>
        <v>ㄑ</v>
      </c>
      <c r="L8083" s="1" t="str">
        <f t="shared" si="511"/>
        <v>ㄧ</v>
      </c>
      <c r="M8083" s="1" t="str">
        <f t="shared" si="508"/>
        <v>ㄥ</v>
      </c>
      <c r="P8083" s="1" t="s">
        <v>20</v>
      </c>
      <c r="R8083" s="1" t="s">
        <v>15735</v>
      </c>
      <c r="V8083" s="1" t="s">
        <v>15750</v>
      </c>
      <c r="AR8083" s="1" t="str">
        <f t="shared" si="509"/>
        <v>| [ㄑㄧㄥˊ](ㄑㄧㄥˊ.md) | [擎](擎.md) |  | qíng | [動]
1.高舉、支撐。清．王念孫《廣雅疏證．卷一下．釋詁》：「擎，舉。」如：「一柱擎天」。唐．張說〈姚文貞公神道碑〉：「八柱擎天，高明之位定。」
2.持、拿。南朝宋．劉義慶《世說新語．紕漏》：「婢擎金澡盤盛水，瑠璃碗盛澡豆。」唐．杜甫〈正月三日歸溪上有作簡院內諸公〉詩：「藥許鄰人斸，書從稚子擎。」
3.承受、接受。如：「做事勤快點，不要老是想擎現成的。」 |</v>
      </c>
    </row>
    <row r="8084" spans="1:44" hidden="1">
      <c r="A8084" s="1" t="s">
        <v>15728</v>
      </c>
      <c r="C8084" s="1">
        <v>1</v>
      </c>
      <c r="D8084" s="1" t="str">
        <f>"06597"</f>
        <v>06597</v>
      </c>
      <c r="E8084" s="1" t="s">
        <v>684</v>
      </c>
      <c r="F8084" s="1">
        <v>11</v>
      </c>
      <c r="G8084" s="1">
        <v>2</v>
      </c>
      <c r="H8084" s="1">
        <v>2</v>
      </c>
      <c r="I8084" s="1" t="s">
        <v>15751</v>
      </c>
      <c r="K8084" s="1" t="str">
        <f t="shared" si="510"/>
        <v>ㄑ</v>
      </c>
      <c r="L8084" s="1" t="str">
        <f t="shared" si="511"/>
        <v>ㄧ</v>
      </c>
      <c r="M8084" s="1" t="str">
        <f t="shared" si="508"/>
        <v>ㄥ</v>
      </c>
      <c r="P8084" s="1" t="s">
        <v>20</v>
      </c>
      <c r="R8084" s="1" t="s">
        <v>15752</v>
      </c>
      <c r="V8084" s="1" t="s">
        <v>15753</v>
      </c>
      <c r="W8084" s="1" t="s">
        <v>15754</v>
      </c>
      <c r="AR8084" s="1" t="str">
        <f t="shared" si="509"/>
        <v>| [ㄑㄧㄥˇ](ㄑㄧㄥˇ.md) | [頃](頃.md) |  | qǐng | [名]
1.量詞。表示面積的單位。在公制中一頃等於一百畝。也稱為「公頃」。
2.過去的時間。唐．杜甫〈奉贈李八丈判官〉詩：「頃來樹嘉政，皆已傳眾口。」
[形]
近。如：「頃年以來」。
[副]
1.短時間。如：「頃刻」、「少頃」、「有頃」、「俄頃」。
2.剛才。如：「頃聞佳音」、「頃接來書」。
3.左右，指大約的時間。如：「民國二十年頃」。 |</v>
      </c>
    </row>
    <row r="8085" spans="1:44" hidden="1">
      <c r="A8085" s="1" t="s">
        <v>15755</v>
      </c>
      <c r="C8085" s="1">
        <v>1</v>
      </c>
      <c r="D8085" s="1" t="str">
        <f>"06598"</f>
        <v>06598</v>
      </c>
      <c r="E8085" s="1" t="s">
        <v>447</v>
      </c>
      <c r="F8085" s="1">
        <v>14</v>
      </c>
      <c r="G8085" s="1">
        <v>11</v>
      </c>
      <c r="H8085" s="1">
        <v>0</v>
      </c>
      <c r="I8085" s="1" t="s">
        <v>15751</v>
      </c>
      <c r="K8085" s="1" t="str">
        <f t="shared" si="510"/>
        <v>ㄑ</v>
      </c>
      <c r="L8085" s="1" t="str">
        <f t="shared" si="511"/>
        <v>ㄧ</v>
      </c>
      <c r="M8085" s="1" t="str">
        <f t="shared" ref="M8085:M8110" si="512">MID(I8085, 3, 1)</f>
        <v>ㄥ</v>
      </c>
      <c r="P8085" s="1" t="s">
        <v>20</v>
      </c>
      <c r="R8085" s="1" t="s">
        <v>15752</v>
      </c>
      <c r="V8085" s="1" t="s">
        <v>15756</v>
      </c>
      <c r="AR8085" s="1" t="str">
        <f t="shared" si="509"/>
        <v>| [ㄑㄧㄥˇ](ㄑㄧㄥˇ.md) | [廎](廎.md) |  | qǐng | [名]
小廳堂。《說文解字．高部》：「廎，小堂也。」 |</v>
      </c>
    </row>
    <row r="8086" spans="1:44" hidden="1">
      <c r="A8086" s="1" t="s">
        <v>15714</v>
      </c>
      <c r="C8086" s="1">
        <v>1</v>
      </c>
      <c r="D8086" s="1" t="str">
        <f>"06599"</f>
        <v>06599</v>
      </c>
      <c r="E8086" s="1" t="s">
        <v>331</v>
      </c>
      <c r="F8086" s="1">
        <v>15</v>
      </c>
      <c r="G8086" s="1">
        <v>8</v>
      </c>
      <c r="H8086" s="1">
        <v>1</v>
      </c>
      <c r="I8086" s="1" t="s">
        <v>15751</v>
      </c>
      <c r="K8086" s="1" t="str">
        <f t="shared" si="510"/>
        <v>ㄑ</v>
      </c>
      <c r="L8086" s="1" t="str">
        <f t="shared" si="511"/>
        <v>ㄧ</v>
      </c>
      <c r="M8086" s="1" t="str">
        <f t="shared" si="512"/>
        <v>ㄥ</v>
      </c>
      <c r="P8086" s="1" t="s">
        <v>20</v>
      </c>
      <c r="R8086" s="1" t="s">
        <v>15752</v>
      </c>
      <c r="V8086" s="1" t="s">
        <v>15757</v>
      </c>
      <c r="W8086" s="1" t="s">
        <v>15758</v>
      </c>
      <c r="AR8086" s="1" t="str">
        <f t="shared" si="509"/>
        <v>| [ㄑㄧㄥˇ](ㄑㄧㄥˇ.md) | [請](請.md) |  | qǐng | [動]
1.懇求、乞求。如：「請人幫忙。」、「請求」、「請假」。《隋書．卷七〇．李密傳》：「密初辭不受，諸將等固請，乃從之。」
2.延聘。如：「請大夫」、「請家教」、「聘請」。
3.邀約。如：「請客」、「邀請」、「宴請」。
4.祈求批示。如：「呈請」、「報請」。
5.詢問。《聊齋志異．卷一．王成》：「王請直，答以千金。」
6.問候。如：「請安」。《史記．卷九七．陸賈傳》：「陸生往請，直入坐。」
7.迎置神明。如：「請神」、「請了一尊佛像回家去供著。」
[副]
對人有所要求的敬詞。如：「請問」、「請教」、「請讓一讓路。」《孟子．梁惠王上》：「王好戰，請以戰喻。」 |</v>
      </c>
    </row>
    <row r="8087" spans="1:44" hidden="1">
      <c r="A8087" s="1" t="s">
        <v>15048</v>
      </c>
      <c r="C8087" s="1">
        <v>1</v>
      </c>
      <c r="D8087" s="1" t="str">
        <f>"06600"</f>
        <v>06600</v>
      </c>
      <c r="E8087" s="1" t="s">
        <v>725</v>
      </c>
      <c r="F8087" s="1">
        <v>14</v>
      </c>
      <c r="G8087" s="1">
        <v>8</v>
      </c>
      <c r="H8087" s="1">
        <v>2</v>
      </c>
      <c r="I8087" s="1" t="s">
        <v>15759</v>
      </c>
      <c r="K8087" s="1" t="str">
        <f t="shared" si="510"/>
        <v>ㄑ</v>
      </c>
      <c r="L8087" s="1" t="str">
        <f t="shared" si="511"/>
        <v>ㄧ</v>
      </c>
      <c r="M8087" s="1" t="str">
        <f t="shared" si="512"/>
        <v>ㄥ</v>
      </c>
      <c r="P8087" s="1" t="s">
        <v>20</v>
      </c>
      <c r="R8087" s="1" t="s">
        <v>15760</v>
      </c>
      <c r="V8087" s="1" t="s">
        <v>15761</v>
      </c>
      <c r="W8087" s="1" t="s">
        <v>15762</v>
      </c>
      <c r="AR8087" s="1" t="str">
        <f t="shared" si="509"/>
        <v>| [ㄑㄧㄥˋ](ㄑㄧㄥˋ.md) | [綮](綮.md) |  | qìng | [名]
筋骨接合處。《集韻．去聲．徑韻》：「綮，肯綮，筋肉結處也。」《莊子．養生主》：「因其固然，技經肯綮之未嘗。」 |</v>
      </c>
    </row>
    <row r="8088" spans="1:44" hidden="1">
      <c r="A8088" s="1" t="s">
        <v>15763</v>
      </c>
      <c r="C8088" s="1">
        <v>1</v>
      </c>
      <c r="D8088" s="1" t="str">
        <f>"06601"</f>
        <v>06601</v>
      </c>
      <c r="E8088" s="1" t="s">
        <v>250</v>
      </c>
      <c r="F8088" s="1">
        <v>15</v>
      </c>
      <c r="G8088" s="1">
        <v>11</v>
      </c>
      <c r="H8088" s="1">
        <v>0</v>
      </c>
      <c r="I8088" s="1" t="s">
        <v>15759</v>
      </c>
      <c r="K8088" s="1" t="str">
        <f t="shared" si="510"/>
        <v>ㄑ</v>
      </c>
      <c r="L8088" s="1" t="str">
        <f t="shared" si="511"/>
        <v>ㄧ</v>
      </c>
      <c r="M8088" s="1" t="str">
        <f t="shared" si="512"/>
        <v>ㄥ</v>
      </c>
      <c r="P8088" s="1" t="s">
        <v>20</v>
      </c>
      <c r="R8088" s="1" t="s">
        <v>15760</v>
      </c>
      <c r="V8088" s="1" t="s">
        <v>15764</v>
      </c>
      <c r="AR8088" s="1" t="str">
        <f t="shared" si="509"/>
        <v>| [ㄑㄧㄥˋ](ㄑㄧㄥˋ.md) | [慶](慶.md) |  | qìng | [名]
1.可喜可賀的事情。如：「校慶」、「七十大慶」、「雙十國慶」。《國語．周語下》：「晉國有憂未嘗不戚，有慶未嘗不怡。」
2.福澤。《易經．坤卦．文言曰》：「積善之家，必有餘慶。」《魏書．卷六七．崔光傳》：「修德延賢，消災集慶。」
3.德、善。《書經．呂刑》：「一人有慶，兆民賴之。」漢．孔安國．傳：「天子有善，則兆民賴之。」
4.姓。如漢代有慶鴻。
[動]
賀喜。如：「慶祝」、「慶賀」、「慶功宴」。《國語．魯語下》：「固慶其喜而弔其憂。」 |</v>
      </c>
    </row>
    <row r="8089" spans="1:44" hidden="1">
      <c r="A8089" s="1" t="s">
        <v>15547</v>
      </c>
      <c r="C8089" s="1">
        <v>1</v>
      </c>
      <c r="D8089" s="1" t="str">
        <f>"06602"</f>
        <v>06602</v>
      </c>
      <c r="E8089" s="1" t="s">
        <v>2233</v>
      </c>
      <c r="F8089" s="1">
        <v>16</v>
      </c>
      <c r="G8089" s="1">
        <v>9</v>
      </c>
      <c r="H8089" s="1">
        <v>2</v>
      </c>
      <c r="I8089" s="1" t="s">
        <v>15759</v>
      </c>
      <c r="K8089" s="1" t="str">
        <f t="shared" si="510"/>
        <v>ㄑ</v>
      </c>
      <c r="L8089" s="1" t="str">
        <f t="shared" si="511"/>
        <v>ㄧ</v>
      </c>
      <c r="M8089" s="1" t="str">
        <f t="shared" si="512"/>
        <v>ㄥ</v>
      </c>
      <c r="P8089" s="1" t="s">
        <v>20</v>
      </c>
      <c r="R8089" s="1" t="s">
        <v>15760</v>
      </c>
      <c r="V8089" s="1" t="s">
        <v>15765</v>
      </c>
      <c r="W8089" s="1" t="s">
        <v>15766</v>
      </c>
      <c r="AR8089" s="1" t="str">
        <f t="shared" si="509"/>
        <v>| [ㄑㄧㄥˋ](ㄑㄧㄥˋ.md) | [親](親.md) |  | qìng | 參見「親家」條。 |</v>
      </c>
    </row>
    <row r="8090" spans="1:44" hidden="1">
      <c r="A8090" s="1" t="s">
        <v>15767</v>
      </c>
      <c r="C8090" s="1">
        <v>1</v>
      </c>
      <c r="D8090" s="1" t="str">
        <f>"06603"</f>
        <v>06603</v>
      </c>
      <c r="E8090" s="1" t="s">
        <v>169</v>
      </c>
      <c r="F8090" s="1">
        <v>16</v>
      </c>
      <c r="G8090" s="1">
        <v>11</v>
      </c>
      <c r="H8090" s="1">
        <v>0</v>
      </c>
      <c r="I8090" s="1" t="s">
        <v>15759</v>
      </c>
      <c r="K8090" s="1" t="str">
        <f t="shared" si="510"/>
        <v>ㄑ</v>
      </c>
      <c r="L8090" s="1" t="str">
        <f t="shared" si="511"/>
        <v>ㄧ</v>
      </c>
      <c r="M8090" s="1" t="str">
        <f t="shared" si="512"/>
        <v>ㄥ</v>
      </c>
      <c r="P8090" s="1" t="s">
        <v>20</v>
      </c>
      <c r="R8090" s="1" t="s">
        <v>15760</v>
      </c>
      <c r="V8090" s="1" t="s">
        <v>15768</v>
      </c>
      <c r="AR8090" s="1" t="str">
        <f t="shared" si="509"/>
        <v>| [ㄑㄧㄥˋ](ㄑㄧㄥˋ.md) | [磬](磬.md) |  | qìng | [名]
樂器名，打擊樂器：(1)古代用玉石或金屬製成的打擊樂器。形狀像曲尺，可懸掛在架上。數量不一，有單一的特磬，也有成組排列的編磬。(2)古同「罄」。中空銅製，形狀像缽。寺觀禮佛時所敲奏的樂器。僧人於誦經、法會等活動時敲擊。 |</v>
      </c>
    </row>
    <row r="8091" spans="1:44" hidden="1">
      <c r="A8091" s="1" t="s">
        <v>15769</v>
      </c>
      <c r="C8091" s="1">
        <v>1</v>
      </c>
      <c r="D8091" s="1" t="str">
        <f>"06604"</f>
        <v>06604</v>
      </c>
      <c r="E8091" s="1" t="s">
        <v>175</v>
      </c>
      <c r="F8091" s="1">
        <v>17</v>
      </c>
      <c r="G8091" s="1">
        <v>11</v>
      </c>
      <c r="H8091" s="1">
        <v>0</v>
      </c>
      <c r="I8091" s="1" t="s">
        <v>15759</v>
      </c>
      <c r="K8091" s="1" t="str">
        <f t="shared" si="510"/>
        <v>ㄑ</v>
      </c>
      <c r="L8091" s="1" t="str">
        <f t="shared" si="511"/>
        <v>ㄧ</v>
      </c>
      <c r="M8091" s="1" t="str">
        <f t="shared" si="512"/>
        <v>ㄥ</v>
      </c>
      <c r="P8091" s="1" t="s">
        <v>20</v>
      </c>
      <c r="R8091" s="1" t="s">
        <v>15760</v>
      </c>
      <c r="V8091" s="1" t="s">
        <v>15770</v>
      </c>
      <c r="AR8091" s="1" t="str">
        <f t="shared" si="509"/>
        <v>| [ㄑㄧㄥˋ](ㄑㄧㄥˋ.md) | [罄](罄.md) |  | qìng | [名]
樂器名，打擊樂器。中空銅製，形狀像缽。寺觀禮佛時所敲奏的樂器。僧人於誦經、法會等活動時敲擊。古同「磬」。
[形]
器皿中空無一物。《說文解字．缶部》：「罄，器中空也。」《詩經．小雅．蓼莪》：「缾之罄矣，維罍之恥。」
[動]
盡、用完。如：「罄其所有」、「罄竹難書」。《梁書．卷四八．儒林列傳．范縝》：「粟罄於惰遊，貨殫於泥木。」 |</v>
      </c>
    </row>
    <row r="8092" spans="1:44" hidden="1">
      <c r="A8092" s="1" t="s">
        <v>15771</v>
      </c>
      <c r="C8092" s="1">
        <v>1</v>
      </c>
      <c r="D8092" s="1" t="str">
        <f>"06605"</f>
        <v>06605</v>
      </c>
      <c r="E8092" s="1" t="s">
        <v>331</v>
      </c>
      <c r="F8092" s="1">
        <v>18</v>
      </c>
      <c r="G8092" s="1">
        <v>11</v>
      </c>
      <c r="H8092" s="1">
        <v>0</v>
      </c>
      <c r="I8092" s="1" t="s">
        <v>15759</v>
      </c>
      <c r="K8092" s="1" t="str">
        <f t="shared" si="510"/>
        <v>ㄑ</v>
      </c>
      <c r="L8092" s="1" t="str">
        <f t="shared" si="511"/>
        <v>ㄧ</v>
      </c>
      <c r="M8092" s="1" t="str">
        <f t="shared" si="512"/>
        <v>ㄥ</v>
      </c>
      <c r="P8092" s="1" t="s">
        <v>20</v>
      </c>
      <c r="R8092" s="1" t="s">
        <v>15760</v>
      </c>
      <c r="V8092" s="1" t="s">
        <v>15772</v>
      </c>
      <c r="AR8092" s="1" t="str">
        <f t="shared" si="509"/>
        <v>| [ㄑㄧㄥˋ](ㄑㄧㄥˋ.md) | [謦](謦.md) |  | qìng | 參見「謦欬」條。 |</v>
      </c>
    </row>
    <row r="8093" spans="1:44" hidden="1">
      <c r="A8093" s="1" t="s">
        <v>16021</v>
      </c>
      <c r="C8093" s="1">
        <v>1</v>
      </c>
      <c r="D8093" s="1" t="str">
        <f>"06715"</f>
        <v>06715</v>
      </c>
      <c r="E8093" s="1" t="s">
        <v>37</v>
      </c>
      <c r="F8093" s="1">
        <v>7</v>
      </c>
      <c r="G8093" s="1">
        <v>3</v>
      </c>
      <c r="H8093" s="1">
        <v>1</v>
      </c>
      <c r="I8093" s="1" t="s">
        <v>16022</v>
      </c>
      <c r="K8093" s="1" t="str">
        <f t="shared" si="510"/>
        <v>ㄑ</v>
      </c>
      <c r="L8093" s="1" t="str">
        <f t="shared" si="511"/>
        <v>ㄩ</v>
      </c>
      <c r="M8093" s="1" t="str">
        <f t="shared" si="512"/>
        <v>ㄥ</v>
      </c>
      <c r="P8093" s="1" t="s">
        <v>186</v>
      </c>
      <c r="R8093" s="1" t="s">
        <v>16023</v>
      </c>
      <c r="V8093" s="1" t="s">
        <v>16024</v>
      </c>
      <c r="W8093" s="1" t="s">
        <v>16025</v>
      </c>
      <c r="AR8093" s="1" t="str">
        <f t="shared" si="509"/>
        <v>| [ㄑㄩㄥ](ㄑㄩㄥ.md) | [芎](芎.md) |  | qiōng | 參見「芎藭」條。 |</v>
      </c>
    </row>
    <row r="8094" spans="1:44" hidden="1">
      <c r="A8094" s="1" t="s">
        <v>16026</v>
      </c>
      <c r="C8094" s="1">
        <v>1</v>
      </c>
      <c r="D8094" s="1" t="str">
        <f>"06716"</f>
        <v>06716</v>
      </c>
      <c r="E8094" s="1" t="s">
        <v>1274</v>
      </c>
      <c r="F8094" s="1">
        <v>8</v>
      </c>
      <c r="G8094" s="1">
        <v>3</v>
      </c>
      <c r="H8094" s="1">
        <v>1</v>
      </c>
      <c r="I8094" s="1" t="s">
        <v>16022</v>
      </c>
      <c r="K8094" s="1" t="str">
        <f t="shared" si="510"/>
        <v>ㄑ</v>
      </c>
      <c r="L8094" s="1" t="str">
        <f t="shared" si="511"/>
        <v>ㄩ</v>
      </c>
      <c r="M8094" s="1" t="str">
        <f t="shared" si="512"/>
        <v>ㄥ</v>
      </c>
      <c r="P8094" s="1" t="s">
        <v>20</v>
      </c>
      <c r="R8094" s="1" t="s">
        <v>16023</v>
      </c>
      <c r="V8094" s="1" t="s">
        <v>16027</v>
      </c>
      <c r="W8094" s="1" t="s">
        <v>16028</v>
      </c>
      <c r="AR8094" s="1" t="str">
        <f t="shared" si="509"/>
        <v>| [ㄑㄩㄥ](ㄑㄩㄥ.md) | [穹](穹.md) |  | qiōng | [動]
窮盡。《說文解字．穴部》：「穹，窮也。」《詩經．豳風．七月》：「穹窒熏鼠，塞向墐戶。」唐．孔穎達．正義：「故穹為窮，言窮盡塞其窟穴也。」
[形]
1.高大。如：「穹石」。《文選．司馬相如．長門賦》：「正殿塊以造天兮，鬱並起而穹崇。」
2.深。《文選．班固．西都賦》：「其陽則崇山隱天，幽林穹谷。」
3.中間隆起四邊下垂的樣子。《周禮．冬官考工記．韗人》：「穹者三之一。」鄭玄注引鄭司農云：「（穹）謂鼓木腹穹隆者，居鼓三之一也。」
[名]
天空。如：「蒼穹」、「清穹」。唐．李白〈暮春於江夏送張祖監丞之東都序〉：「手弄白日，頂摩青穹。」 |</v>
      </c>
    </row>
    <row r="8095" spans="1:44" hidden="1">
      <c r="A8095" s="1" t="s">
        <v>16029</v>
      </c>
      <c r="C8095" s="1">
        <v>1</v>
      </c>
      <c r="D8095" s="1" t="str">
        <f>"06717"</f>
        <v>06717</v>
      </c>
      <c r="E8095" s="1" t="s">
        <v>55</v>
      </c>
      <c r="F8095" s="1">
        <v>14</v>
      </c>
      <c r="G8095" s="1">
        <v>6</v>
      </c>
      <c r="H8095" s="1">
        <v>0</v>
      </c>
      <c r="I8095" s="1" t="s">
        <v>16022</v>
      </c>
      <c r="K8095" s="1" t="str">
        <f t="shared" si="510"/>
        <v>ㄑ</v>
      </c>
      <c r="L8095" s="1" t="str">
        <f t="shared" si="511"/>
        <v>ㄩ</v>
      </c>
      <c r="M8095" s="1" t="str">
        <f t="shared" si="512"/>
        <v>ㄥ</v>
      </c>
      <c r="P8095" s="1" t="s">
        <v>20</v>
      </c>
      <c r="R8095" s="1" t="s">
        <v>16023</v>
      </c>
      <c r="V8095" s="1" t="s">
        <v>16030</v>
      </c>
      <c r="AR8095" s="1" t="str">
        <f t="shared" si="509"/>
        <v>| [ㄑㄩㄥ](ㄑㄩㄥ.md) | [銎](銎.md) |  | qiōng | [名]
1.斧上裝柄的部分。《說文解字．金部》：「銎，斤斧穿也。」清．段玉裁．注：「謂斤斧之孔所以受柄者。」
2.戈矛之類的刀刃下口。《清史稿．卷一〇〇．樂志七》：「蓄銳淬戈銎，選堅製兜鍪。」 |</v>
      </c>
    </row>
    <row r="8096" spans="1:44" hidden="1">
      <c r="A8096" s="1" t="s">
        <v>16031</v>
      </c>
      <c r="C8096" s="1">
        <v>1</v>
      </c>
      <c r="D8096" s="1" t="str">
        <f>"06718"</f>
        <v>06718</v>
      </c>
      <c r="E8096" s="1" t="s">
        <v>256</v>
      </c>
      <c r="F8096" s="1">
        <v>6</v>
      </c>
      <c r="G8096" s="1">
        <v>3</v>
      </c>
      <c r="H8096" s="1">
        <v>0</v>
      </c>
      <c r="I8096" s="1" t="s">
        <v>16032</v>
      </c>
      <c r="K8096" s="1" t="str">
        <f t="shared" si="510"/>
        <v>ㄑ</v>
      </c>
      <c r="L8096" s="1" t="str">
        <f t="shared" si="511"/>
        <v>ㄩ</v>
      </c>
      <c r="M8096" s="1" t="str">
        <f t="shared" si="512"/>
        <v>ㄥ</v>
      </c>
      <c r="P8096" s="1" t="s">
        <v>20</v>
      </c>
      <c r="R8096" s="1" t="s">
        <v>16033</v>
      </c>
      <c r="V8096" s="1" t="s">
        <v>16034</v>
      </c>
      <c r="AR8096" s="1" t="str">
        <f t="shared" si="509"/>
        <v>| [ㄑㄩㄥˊ](ㄑㄩㄥˊ.md) | [邛](邛.md) |  | qióng | [名]
1.小土山。《詩經．陳風．防有鵲巢》：「防有鵲巢，邛有旨苕。」漢．毛亨．傳：「邛，丘也。」唐．孔穎達．正義：「美草多生於高丘也。」
2.勞、病。《詩經．小雅．小旻》：「我視謀猶，亦孔之邛。」漢．毛亨．傳：「邛，病也。」
3.參見「邛崍山」條。
4.姓。如周代有邛疏。 |</v>
      </c>
    </row>
    <row r="8097" spans="1:44" hidden="1">
      <c r="A8097" s="1" t="s">
        <v>16035</v>
      </c>
      <c r="C8097" s="1">
        <v>1</v>
      </c>
      <c r="D8097" s="1" t="str">
        <f>"06719"</f>
        <v>06719</v>
      </c>
      <c r="E8097" s="1" t="s">
        <v>49</v>
      </c>
      <c r="F8097" s="1">
        <v>12</v>
      </c>
      <c r="G8097" s="1">
        <v>6</v>
      </c>
      <c r="H8097" s="1">
        <v>0</v>
      </c>
      <c r="I8097" s="1" t="s">
        <v>16032</v>
      </c>
      <c r="K8097" s="1" t="str">
        <f t="shared" si="510"/>
        <v>ㄑ</v>
      </c>
      <c r="L8097" s="1" t="str">
        <f t="shared" si="511"/>
        <v>ㄩ</v>
      </c>
      <c r="M8097" s="1" t="str">
        <f t="shared" si="512"/>
        <v>ㄥ</v>
      </c>
      <c r="P8097" s="1" t="s">
        <v>20</v>
      </c>
      <c r="R8097" s="1" t="s">
        <v>16033</v>
      </c>
      <c r="V8097" s="1" t="s">
        <v>16036</v>
      </c>
      <c r="AR8097" s="1" t="str">
        <f t="shared" si="509"/>
        <v>| [ㄑㄩㄥˊ](ㄑㄩㄥˊ.md) | [筇](筇.md) |  | qióng | [名]
1.一種竹子。實心節高，適於作枴杖。晉．常璩《華陽國志．卷二．漢中志》：「琉璃、火浣之布、蒲桃之酒、筇竹、蒟醬，殊方奇玩，盈於市朝。」宋．吳自牧《夢粱錄．卷一八．花之品》：「三弄笛聲風過耳，一枝筇影月隨身。」
2.竹杖。因筇竹可為杖，故稱杖為「筇」。唐．韓偓〈江岸閒步〉詩：「一手攜書一杖筇，出門何處覓情通。」《西遊記》第一四回：「那裡面有一老者，扶筇而出。」 |</v>
      </c>
    </row>
    <row r="8098" spans="1:44" hidden="1">
      <c r="A8098" s="1" t="s">
        <v>16021</v>
      </c>
      <c r="C8098" s="1">
        <v>1</v>
      </c>
      <c r="D8098" s="1" t="str">
        <f>"06720"</f>
        <v>06720</v>
      </c>
      <c r="E8098" s="1" t="s">
        <v>37</v>
      </c>
      <c r="F8098" s="1">
        <v>7</v>
      </c>
      <c r="G8098" s="1">
        <v>3</v>
      </c>
      <c r="H8098" s="1">
        <v>2</v>
      </c>
      <c r="I8098" s="1" t="s">
        <v>16032</v>
      </c>
      <c r="K8098" s="1" t="str">
        <f t="shared" si="510"/>
        <v>ㄑ</v>
      </c>
      <c r="L8098" s="1" t="str">
        <f t="shared" si="511"/>
        <v>ㄩ</v>
      </c>
      <c r="M8098" s="1" t="str">
        <f t="shared" si="512"/>
        <v>ㄥ</v>
      </c>
      <c r="P8098" s="1" t="s">
        <v>110</v>
      </c>
      <c r="R8098" s="1" t="s">
        <v>16033</v>
      </c>
      <c r="V8098" s="1" t="s">
        <v>111</v>
      </c>
      <c r="W8098" s="1" t="s">
        <v>16037</v>
      </c>
      <c r="AR8098" s="1" t="str">
        <f t="shared" si="509"/>
        <v>| [ㄑㄩㄥˊ](ㄑㄩㄥˊ.md) | [芎](芎.md) |  | qióng | (一)之又音。 |</v>
      </c>
    </row>
    <row r="8099" spans="1:44" hidden="1">
      <c r="A8099" s="1" t="s">
        <v>16026</v>
      </c>
      <c r="C8099" s="1">
        <v>1</v>
      </c>
      <c r="D8099" s="1" t="str">
        <f>"06721"</f>
        <v>06721</v>
      </c>
      <c r="E8099" s="1" t="s">
        <v>1274</v>
      </c>
      <c r="F8099" s="1">
        <v>8</v>
      </c>
      <c r="G8099" s="1">
        <v>3</v>
      </c>
      <c r="H8099" s="1">
        <v>2</v>
      </c>
      <c r="I8099" s="1" t="s">
        <v>16032</v>
      </c>
      <c r="K8099" s="1" t="str">
        <f t="shared" si="510"/>
        <v>ㄑ</v>
      </c>
      <c r="L8099" s="1" t="str">
        <f t="shared" si="511"/>
        <v>ㄩ</v>
      </c>
      <c r="M8099" s="1" t="str">
        <f t="shared" si="512"/>
        <v>ㄥ</v>
      </c>
      <c r="P8099" s="1" t="s">
        <v>110</v>
      </c>
      <c r="R8099" s="1" t="s">
        <v>16033</v>
      </c>
      <c r="V8099" s="1" t="s">
        <v>111</v>
      </c>
      <c r="W8099" s="1" t="s">
        <v>16038</v>
      </c>
      <c r="AR8099" s="1" t="str">
        <f t="shared" si="509"/>
        <v>| [ㄑㄩㄥˊ](ㄑㄩㄥˊ.md) | [穹](穹.md) |  | qióng | (一)之又音。 |</v>
      </c>
    </row>
    <row r="8100" spans="1:44" hidden="1">
      <c r="A8100" s="1" t="s">
        <v>16039</v>
      </c>
      <c r="C8100" s="1">
        <v>1</v>
      </c>
      <c r="D8100" s="1" t="str">
        <f>"06722"</f>
        <v>06722</v>
      </c>
      <c r="E8100" s="1" t="s">
        <v>250</v>
      </c>
      <c r="F8100" s="1">
        <v>12</v>
      </c>
      <c r="G8100" s="1">
        <v>9</v>
      </c>
      <c r="H8100" s="1">
        <v>0</v>
      </c>
      <c r="I8100" s="1" t="s">
        <v>16032</v>
      </c>
      <c r="K8100" s="1" t="str">
        <f t="shared" si="510"/>
        <v>ㄑ</v>
      </c>
      <c r="L8100" s="1" t="str">
        <f t="shared" si="511"/>
        <v>ㄩ</v>
      </c>
      <c r="M8100" s="1" t="str">
        <f t="shared" si="512"/>
        <v>ㄥ</v>
      </c>
      <c r="P8100" s="1" t="s">
        <v>20</v>
      </c>
      <c r="R8100" s="1" t="s">
        <v>16033</v>
      </c>
      <c r="V8100" s="1" t="s">
        <v>16040</v>
      </c>
      <c r="AR8100" s="1" t="str">
        <f t="shared" si="509"/>
        <v>| [ㄑㄩㄥˊ](ㄑㄩㄥˊ.md) | [惸](惸.md) |  | qióng | [名]
沒有兄弟的人。《周禮．秋官．大司寇》：「凡遠、近、惸、獨、老、幼之欲有復於上，而其長弗達者，立於肺石。」漢．鄭玄．注：「無兄弟曰惸。」
[形]
1.孤獨。《詩經．小雅．正月》：「哿矣富人，哀此惸獨。」
2.憂愁。參見「惸惸」條。 |</v>
      </c>
    </row>
    <row r="8101" spans="1:44" hidden="1">
      <c r="A8101" s="1" t="s">
        <v>16041</v>
      </c>
      <c r="C8101" s="1">
        <v>1</v>
      </c>
      <c r="D8101" s="1" t="str">
        <f>"06723"</f>
        <v>06723</v>
      </c>
      <c r="E8101" s="1" t="s">
        <v>679</v>
      </c>
      <c r="F8101" s="1">
        <v>12</v>
      </c>
      <c r="G8101" s="1">
        <v>6</v>
      </c>
      <c r="H8101" s="1">
        <v>0</v>
      </c>
      <c r="I8101" s="1" t="s">
        <v>16032</v>
      </c>
      <c r="K8101" s="1" t="str">
        <f t="shared" si="510"/>
        <v>ㄑ</v>
      </c>
      <c r="L8101" s="1" t="str">
        <f t="shared" si="511"/>
        <v>ㄩ</v>
      </c>
      <c r="M8101" s="1" t="str">
        <f t="shared" si="512"/>
        <v>ㄥ</v>
      </c>
      <c r="P8101" s="1" t="s">
        <v>20</v>
      </c>
      <c r="R8101" s="1" t="s">
        <v>16033</v>
      </c>
      <c r="V8101" s="1" t="s">
        <v>16042</v>
      </c>
      <c r="AR8101" s="1" t="str">
        <f t="shared" si="509"/>
        <v>| [ㄑㄩㄥˊ](ㄑㄩㄥˊ.md) | [蛩](蛩.md) |  | qióng | [名]
蟋蟀的別名。參見「蟋蟀」條。 |</v>
      </c>
    </row>
    <row r="8102" spans="1:44" hidden="1">
      <c r="A8102" s="1" t="s">
        <v>16043</v>
      </c>
      <c r="C8102" s="1">
        <v>1</v>
      </c>
      <c r="D8102" s="1" t="str">
        <f>"06724"</f>
        <v>06724</v>
      </c>
      <c r="E8102" s="1" t="s">
        <v>77</v>
      </c>
      <c r="F8102" s="1">
        <v>13</v>
      </c>
      <c r="G8102" s="1">
        <v>6</v>
      </c>
      <c r="H8102" s="1">
        <v>0</v>
      </c>
      <c r="I8102" s="1" t="s">
        <v>16032</v>
      </c>
      <c r="K8102" s="1" t="str">
        <f t="shared" si="510"/>
        <v>ㄑ</v>
      </c>
      <c r="L8102" s="1" t="str">
        <f t="shared" si="511"/>
        <v>ㄩ</v>
      </c>
      <c r="M8102" s="1" t="str">
        <f t="shared" si="512"/>
        <v>ㄥ</v>
      </c>
      <c r="P8102" s="1" t="s">
        <v>20</v>
      </c>
      <c r="R8102" s="1" t="s">
        <v>16033</v>
      </c>
      <c r="V8102" s="1" t="s">
        <v>16044</v>
      </c>
      <c r="AR8102" s="1" t="str">
        <f t="shared" si="509"/>
        <v>| [ㄑㄩㄥˊ](ㄑㄩㄥˊ.md) | [跫](跫.md) |  | qióng | [擬]
形容腳步聲。《莊子．徐无鬼》：「聞人足音跫然而喜矣。」 |</v>
      </c>
    </row>
    <row r="8103" spans="1:44" hidden="1">
      <c r="A8103" s="1" t="s">
        <v>16045</v>
      </c>
      <c r="C8103" s="1">
        <v>1</v>
      </c>
      <c r="D8103" s="1" t="str">
        <f>"06725"</f>
        <v>06725</v>
      </c>
      <c r="E8103" s="1" t="s">
        <v>336</v>
      </c>
      <c r="F8103" s="1">
        <v>13</v>
      </c>
      <c r="G8103" s="1">
        <v>9</v>
      </c>
      <c r="H8103" s="1">
        <v>0</v>
      </c>
      <c r="I8103" s="1" t="s">
        <v>16032</v>
      </c>
      <c r="K8103" s="1" t="str">
        <f t="shared" si="510"/>
        <v>ㄑ</v>
      </c>
      <c r="L8103" s="1" t="str">
        <f t="shared" si="511"/>
        <v>ㄩ</v>
      </c>
      <c r="M8103" s="1" t="str">
        <f t="shared" si="512"/>
        <v>ㄥ</v>
      </c>
      <c r="P8103" s="1" t="s">
        <v>20</v>
      </c>
      <c r="R8103" s="1" t="s">
        <v>16033</v>
      </c>
      <c r="V8103" s="1" t="s">
        <v>16046</v>
      </c>
      <c r="AR8103" s="1" t="str">
        <f t="shared" si="509"/>
        <v>| [ㄑㄩㄥˊ](ㄑㄩㄥˊ.md) | [煢](煢.md) |  | qióng | [形]
1.鳥回轉疾飛。《說文解字．卂部》：「煢，回疾也。」清．段玉裁．注：「煢，回轉之疾飛也。」
2.憂愁。《玉篇．卂部》：「煢，憂思也。」《漢書．卷九七．外戚傳上．孝武李夫人》：「神煢煢以遙思兮，精浮游而出疆。」
3.孤獨無依的樣子。如：「煢煢」、「煢獨」。 |</v>
      </c>
    </row>
    <row r="8104" spans="1:44" hidden="1">
      <c r="A8104" s="1" t="s">
        <v>16047</v>
      </c>
      <c r="C8104" s="1">
        <v>1</v>
      </c>
      <c r="D8104" s="1" t="str">
        <f>"06726"</f>
        <v>06726</v>
      </c>
      <c r="E8104" s="1" t="s">
        <v>1274</v>
      </c>
      <c r="F8104" s="1">
        <v>15</v>
      </c>
      <c r="G8104" s="1">
        <v>10</v>
      </c>
      <c r="H8104" s="1">
        <v>0</v>
      </c>
      <c r="I8104" s="1" t="s">
        <v>16032</v>
      </c>
      <c r="K8104" s="1" t="str">
        <f t="shared" si="510"/>
        <v>ㄑ</v>
      </c>
      <c r="L8104" s="1" t="str">
        <f t="shared" si="511"/>
        <v>ㄩ</v>
      </c>
      <c r="M8104" s="1" t="str">
        <f t="shared" si="512"/>
        <v>ㄥ</v>
      </c>
      <c r="P8104" s="1" t="s">
        <v>20</v>
      </c>
      <c r="R8104" s="1" t="s">
        <v>16033</v>
      </c>
      <c r="V8104" s="1" t="s">
        <v>16048</v>
      </c>
      <c r="AR8104" s="1" t="str">
        <f t="shared" si="509"/>
        <v>| [ㄑㄩㄥˊ](ㄑㄩㄥˊ.md) | [窮](窮.md) |  | qióng | [形]_x000D_
1.終極、盡頭。如：「理屈詞窮」、「層出不窮」。《晉書．卷五二．列傳．阮种》：「德逮群生，澤被區宇，聲施無窮，而典垂百代。」_x000D_
2.貧乏、貧寒。如：「窮漢」、「窮酸」、「貧窮」。《荀子．大略》：「多有之者富，少有之者貧，至無有者窮。」《儒林外史》第五回：「況他又心慈，見那些窮親戚，自己喫不成，也要把人喫；穿不成的，也要把人穿。」_x000D_
3.困阨、不顯達。《論語．衛靈公》：「君子亦有窮乎？」《孟子．盡心上》：「窮則獨善其身，達則兼善天下。」《醒世恆言．卷二〇．張廷秀逃生救父》：「繇來白屋出公卿，到底窮通未可憑。」_x000D_
4.荒僻、偏遠。如：「窮鄉僻壤」、「深山窮谷」。《淮南子．脩務》：「段干木不趨勢利，懷君子之道，隱處窮巷，聲施千里。」唐．劉得仁〈塞上行作〉詩：「鄉井從離別，窮邊觸目愁。」宋．陸游〈夜讀兵書〉詩：「孤燈耿霜夕，窮山讀兵書。」_x000D_
[名]_x000D_
貧困。《論語．衛靈公》：「君子固窮，小人窮斯濫矣。」_x000D_
[動]_x000D_
詳細追究、徹底探究。《易經．說卦》：「窮理盡性，以至於命。」《禮記．月令》：「物勒工名以考其誠，功有不當必行其罪，以窮其情。」晉．陶淵明〈桃花源記〉：「復前行，欲窮其林。」宋．張耒〈送畢公叔奉詔赴陝西〉詩：「文如翻河注浩渺，學有要會窮根荄。」_x000D_
[副]_x000D_
1.徹底。如「窮追不捨」。《後漢書．卷五四．楊震列傳》：「震少好學，受《歐陽尚書》於太常桓郁，明經博覽，無不窮究。」南朝梁．任昉〈彈奏曹景宗〉：「遂令孤城窮守，力屈凶威。」清．唐孫華〈鷹坊歌與夏重愷功同賦〉：「白山黑水出異產，在昔遼代曾窮搜。」_x000D_
2.極端、非常。如：「窮奢極侈」。《晉書．卷二八．五行志中》：「至元康末，窮凶極亂，僵屍流血之應也。」《宋史．卷三一三．列傳．文彥博》：「彥博雖窮貴極富，而平居接物謙下，尊德樂善，如恐不及。」_x000D_
3.徒然、白白地。如：「窮開心」。《金瓶梅詞話》第八八回：「不知我終日窮忙的是些甚麼。」 |</v>
      </c>
    </row>
    <row r="8105" spans="1:44" hidden="1">
      <c r="A8105" s="1" t="s">
        <v>16049</v>
      </c>
      <c r="C8105" s="1">
        <v>1</v>
      </c>
      <c r="D8105" s="1" t="str">
        <f>"06727"</f>
        <v>06727</v>
      </c>
      <c r="E8105" s="1" t="s">
        <v>37</v>
      </c>
      <c r="F8105" s="1">
        <v>19</v>
      </c>
      <c r="G8105" s="1">
        <v>15</v>
      </c>
      <c r="H8105" s="1">
        <v>0</v>
      </c>
      <c r="I8105" s="1" t="s">
        <v>16032</v>
      </c>
      <c r="K8105" s="1" t="str">
        <f t="shared" si="510"/>
        <v>ㄑ</v>
      </c>
      <c r="L8105" s="1" t="str">
        <f t="shared" si="511"/>
        <v>ㄩ</v>
      </c>
      <c r="M8105" s="1" t="str">
        <f t="shared" si="512"/>
        <v>ㄥ</v>
      </c>
      <c r="P8105" s="1" t="s">
        <v>20</v>
      </c>
      <c r="R8105" s="1" t="s">
        <v>16033</v>
      </c>
      <c r="V8105" s="1" t="s">
        <v>16024</v>
      </c>
      <c r="AR8105" s="1" t="str">
        <f t="shared" si="509"/>
        <v>| [ㄑㄩㄥˊ](ㄑㄩㄥˊ.md) | [藭](藭.md) |  | qióng | 參見「芎藭」條。 |</v>
      </c>
    </row>
    <row r="8106" spans="1:44" hidden="1">
      <c r="A8106" s="1" t="s">
        <v>16050</v>
      </c>
      <c r="C8106" s="1">
        <v>1</v>
      </c>
      <c r="D8106" s="1" t="str">
        <f>"06728"</f>
        <v>06728</v>
      </c>
      <c r="E8106" s="1" t="s">
        <v>1015</v>
      </c>
      <c r="F8106" s="1">
        <v>15</v>
      </c>
      <c r="G8106" s="1">
        <v>10</v>
      </c>
      <c r="H8106" s="1">
        <v>0</v>
      </c>
      <c r="I8106" s="1" t="s">
        <v>16032</v>
      </c>
      <c r="K8106" s="1" t="str">
        <f t="shared" si="510"/>
        <v>ㄑ</v>
      </c>
      <c r="L8106" s="1" t="str">
        <f t="shared" si="511"/>
        <v>ㄩ</v>
      </c>
      <c r="M8106" s="1" t="str">
        <f t="shared" si="512"/>
        <v>ㄥ</v>
      </c>
      <c r="P8106" s="1" t="s">
        <v>20</v>
      </c>
      <c r="R8106" s="1" t="s">
        <v>16033</v>
      </c>
      <c r="V8106" s="1" t="s">
        <v>16051</v>
      </c>
      <c r="AR8106" s="1" t="str">
        <f t="shared" si="509"/>
        <v>| [ㄑㄩㄥˊ](ㄑㄩㄥˊ.md) | [瞏](瞏.md) |  | qióng | [形]
1.受驚而兩眼直視的樣子。《說文解字．目部》：「瞏，目驚視也。」
2.孤獨無依的樣子。明．張自烈《正字通．目部》：「瞏，無所依也。」 |</v>
      </c>
    </row>
    <row r="8107" spans="1:44" hidden="1">
      <c r="A8107" s="1" t="s">
        <v>16052</v>
      </c>
      <c r="C8107" s="1">
        <v>1</v>
      </c>
      <c r="D8107" s="1" t="str">
        <f>"06729"</f>
        <v>06729</v>
      </c>
      <c r="E8107" s="1" t="s">
        <v>142</v>
      </c>
      <c r="F8107" s="1">
        <v>16</v>
      </c>
      <c r="G8107" s="1">
        <v>12</v>
      </c>
      <c r="H8107" s="1">
        <v>0</v>
      </c>
      <c r="I8107" s="1" t="s">
        <v>16032</v>
      </c>
      <c r="K8107" s="1" t="str">
        <f t="shared" si="510"/>
        <v>ㄑ</v>
      </c>
      <c r="L8107" s="1" t="str">
        <f t="shared" si="511"/>
        <v>ㄩ</v>
      </c>
      <c r="M8107" s="1" t="str">
        <f t="shared" si="512"/>
        <v>ㄥ</v>
      </c>
      <c r="P8107" s="1" t="s">
        <v>20</v>
      </c>
      <c r="R8107" s="1" t="s">
        <v>16033</v>
      </c>
      <c r="V8107" s="1" t="s">
        <v>16053</v>
      </c>
      <c r="AR8107" s="1" t="str">
        <f t="shared" si="509"/>
        <v>| [ㄑㄩㄥˊ](ㄑㄩㄥˊ.md) | [璚](璚.md) |  | qióng | [名]
一種美玉。同「瓊」。《說文解字．玉部》：「璚，瓊或從矞。」 |</v>
      </c>
    </row>
    <row r="8108" spans="1:44" hidden="1">
      <c r="A8108" s="1" t="s">
        <v>12529</v>
      </c>
      <c r="C8108" s="1">
        <v>1</v>
      </c>
      <c r="D8108" s="1" t="str">
        <f>"06730"</f>
        <v>06730</v>
      </c>
      <c r="E8108" s="1" t="s">
        <v>534</v>
      </c>
      <c r="F8108" s="1">
        <v>16</v>
      </c>
      <c r="G8108" s="1">
        <v>13</v>
      </c>
      <c r="H8108" s="1">
        <v>1</v>
      </c>
      <c r="I8108" s="1" t="s">
        <v>16032</v>
      </c>
      <c r="K8108" s="1" t="str">
        <f t="shared" si="510"/>
        <v>ㄑ</v>
      </c>
      <c r="L8108" s="1" t="str">
        <f t="shared" si="511"/>
        <v>ㄩ</v>
      </c>
      <c r="M8108" s="1" t="str">
        <f t="shared" si="512"/>
        <v>ㄥ</v>
      </c>
      <c r="P8108" s="1" t="s">
        <v>20</v>
      </c>
      <c r="R8108" s="1" t="s">
        <v>16033</v>
      </c>
      <c r="V8108" s="1" t="s">
        <v>16054</v>
      </c>
      <c r="W8108" s="1" t="s">
        <v>16055</v>
      </c>
      <c r="AR8108" s="1" t="str">
        <f t="shared" si="509"/>
        <v>| [ㄑㄩㄥˊ](ㄑㄩㄥˊ.md) | [嬛](嬛.md) |  | qióng | [形]
孤獨。同「惸」、「煢」。《集韻．平聲．清韻》：「嬛，獨也。或作惸。通作煢。」《詩經．大雅．閔予小子》：「閔予小子，遭家不造，嬛嬛在疚。」漢．鄭玄．箋：「家道未成嬛嬛然，孤特在憂病之中。」 |</v>
      </c>
    </row>
    <row r="8109" spans="1:44" hidden="1">
      <c r="A8109" s="1" t="s">
        <v>16056</v>
      </c>
      <c r="C8109" s="1">
        <v>1</v>
      </c>
      <c r="D8109" s="1" t="str">
        <f>"06731"</f>
        <v>06731</v>
      </c>
      <c r="E8109" s="1" t="s">
        <v>142</v>
      </c>
      <c r="F8109" s="1">
        <v>19</v>
      </c>
      <c r="G8109" s="1">
        <v>15</v>
      </c>
      <c r="H8109" s="1">
        <v>0</v>
      </c>
      <c r="I8109" s="1" t="s">
        <v>16032</v>
      </c>
      <c r="K8109" s="1" t="str">
        <f t="shared" si="510"/>
        <v>ㄑ</v>
      </c>
      <c r="L8109" s="1" t="str">
        <f t="shared" si="511"/>
        <v>ㄩ</v>
      </c>
      <c r="M8109" s="1" t="str">
        <f t="shared" si="512"/>
        <v>ㄥ</v>
      </c>
      <c r="P8109" s="1" t="s">
        <v>20</v>
      </c>
      <c r="R8109" s="1" t="s">
        <v>16033</v>
      </c>
      <c r="V8109" s="1" t="s">
        <v>16057</v>
      </c>
      <c r="AR8109" s="1" t="str">
        <f t="shared" si="509"/>
        <v>| [ㄑㄩㄥˊ](ㄑㄩㄥˊ.md) | [瓊](瓊.md) |  | qióng | [名]
1.一種美玉。《廣韻．平聲．清韻》：「瓊，玉名。」《詩經．衛風．木瓜》：「投我以木瓜，報之以瓊琚。」漢．毛亨．傳：「瓊，玉之美者。」
2.骰子。《後漢書．卷三四．梁統傳》「六博」句下章懷太子注引鮑宏博經曰：「用十二棋，六棋白，六棋黑。所擲頭謂之瓊。」
[形]
美好的、精美的。如：「瓊漿」、「瓊樓玉宇」。《紅樓夢》第三五回：「只因那寶玉聞得傅試有個妹子，名喚傅秋芳，也是個瓊閏秀玉。」 |</v>
      </c>
    </row>
    <row r="8110" spans="1:44" hidden="1">
      <c r="A8110" s="1" t="s">
        <v>16058</v>
      </c>
      <c r="C8110" s="1">
        <v>1</v>
      </c>
      <c r="D8110" s="1" t="str">
        <f>"06732"</f>
        <v>06732</v>
      </c>
      <c r="E8110" s="1" t="s">
        <v>37</v>
      </c>
      <c r="F8110" s="1">
        <v>19</v>
      </c>
      <c r="G8110" s="1">
        <v>15</v>
      </c>
      <c r="H8110" s="1">
        <v>0</v>
      </c>
      <c r="I8110" s="1" t="s">
        <v>16032</v>
      </c>
      <c r="K8110" s="1" t="str">
        <f t="shared" si="510"/>
        <v>ㄑ</v>
      </c>
      <c r="L8110" s="1" t="str">
        <f t="shared" si="511"/>
        <v>ㄩ</v>
      </c>
      <c r="M8110" s="1" t="str">
        <f t="shared" si="512"/>
        <v>ㄥ</v>
      </c>
      <c r="P8110" s="1" t="s">
        <v>20</v>
      </c>
      <c r="R8110" s="1" t="s">
        <v>16033</v>
      </c>
      <c r="V8110" s="1" t="s">
        <v>16059</v>
      </c>
      <c r="AR8110" s="1" t="str">
        <f t="shared" si="509"/>
        <v>| [ㄑㄩㄥˊ](ㄑㄩㄥˊ.md) | [藑](藑.md) |  | qióng | 參見「藑茅」條。 |</v>
      </c>
    </row>
    <row r="8111" spans="1:44" hidden="1">
      <c r="A8111" s="1" t="s">
        <v>14851</v>
      </c>
      <c r="C8111" s="1">
        <v>1</v>
      </c>
      <c r="D8111" s="1" t="str">
        <f>"06201"</f>
        <v>06201</v>
      </c>
      <c r="E8111" s="1" t="s">
        <v>28</v>
      </c>
      <c r="F8111" s="1">
        <v>11</v>
      </c>
      <c r="G8111" s="1">
        <v>8</v>
      </c>
      <c r="H8111" s="1">
        <v>2</v>
      </c>
      <c r="I8111" s="1" t="s">
        <v>14852</v>
      </c>
      <c r="J8111" s="2" t="s">
        <v>30559</v>
      </c>
      <c r="K8111" s="1" t="s">
        <v>30570</v>
      </c>
      <c r="L8111" s="1" t="s">
        <v>30571</v>
      </c>
      <c r="P8111" s="1" t="s">
        <v>20</v>
      </c>
      <c r="R8111" s="1" t="s">
        <v>14853</v>
      </c>
      <c r="V8111" s="1" t="s">
        <v>14854</v>
      </c>
      <c r="W8111" s="1" t="s">
        <v>14855</v>
      </c>
      <c r="AR8111" s="1" t="str">
        <f t="shared" si="509"/>
        <v>| [˙ㄑ](˙ㄑ.md) | [啐](啐.md) |  | q | [歎]
表示輕蔑或斥責。如：「啐！你臉皮真厚！」 |</v>
      </c>
    </row>
    <row r="8112" spans="1:44" hidden="1">
      <c r="A8112" s="1" t="s">
        <v>15027</v>
      </c>
      <c r="C8112" s="1">
        <v>1</v>
      </c>
      <c r="D8112" s="1" t="str">
        <f>"06292"</f>
        <v>06292</v>
      </c>
      <c r="E8112" s="1" t="s">
        <v>3480</v>
      </c>
      <c r="F8112" s="1">
        <v>3</v>
      </c>
      <c r="G8112" s="1">
        <v>2</v>
      </c>
      <c r="H8112" s="1">
        <v>2</v>
      </c>
      <c r="I8112" s="1" t="s">
        <v>15055</v>
      </c>
      <c r="K8112" s="1" t="str">
        <f t="shared" ref="K8112:K8175" si="513">LEFT(I8112, 1)</f>
        <v>ㄑ</v>
      </c>
      <c r="L8112" s="1" t="str">
        <f t="shared" ref="L8112:L8175" si="514">MID(I8112, 2, 1)</f>
        <v>ㄧ</v>
      </c>
      <c r="N8112" s="3" t="s">
        <v>30574</v>
      </c>
      <c r="O8112" s="3"/>
      <c r="P8112" s="1" t="s">
        <v>20</v>
      </c>
      <c r="R8112" s="1" t="s">
        <v>15056</v>
      </c>
      <c r="V8112" s="1" t="s">
        <v>15057</v>
      </c>
      <c r="W8112" s="1" t="s">
        <v>15058</v>
      </c>
      <c r="AR8112" s="1" t="str">
        <f t="shared" si="509"/>
        <v>| [ㄑㄧˋ](ㄑㄧˋ.md) | [乞](乞.md) |  | qì | [動]
給與。《集韻．去聲．未韻》：「乞，與也。」《漢書．卷六四上．朱買臣傳》：「妻自經死，買臣乞其夫錢，令葬。」宋．范成大〈四時田園雜興〉詩六〇首之五八：「長官頭腦冬烘甚，乞汝青銅買酒迴。」 |</v>
      </c>
    </row>
    <row r="8113" spans="1:44" hidden="1">
      <c r="A8113" s="1" t="s">
        <v>15059</v>
      </c>
      <c r="C8113" s="1">
        <v>1</v>
      </c>
      <c r="D8113" s="1" t="str">
        <f>"06293"</f>
        <v>06293</v>
      </c>
      <c r="E8113" s="1" t="s">
        <v>114</v>
      </c>
      <c r="F8113" s="1">
        <v>5</v>
      </c>
      <c r="G8113" s="1">
        <v>3</v>
      </c>
      <c r="H8113" s="1">
        <v>2</v>
      </c>
      <c r="I8113" s="1" t="s">
        <v>15055</v>
      </c>
      <c r="K8113" s="1" t="str">
        <f t="shared" si="513"/>
        <v>ㄑ</v>
      </c>
      <c r="L8113" s="1" t="str">
        <f t="shared" si="514"/>
        <v>ㄧ</v>
      </c>
      <c r="N8113" s="3" t="s">
        <v>30574</v>
      </c>
      <c r="O8113" s="3"/>
      <c r="P8113" s="1" t="s">
        <v>20</v>
      </c>
      <c r="R8113" s="1" t="s">
        <v>15056</v>
      </c>
      <c r="V8113" s="1" t="s">
        <v>15060</v>
      </c>
      <c r="W8113" s="1" t="s">
        <v>15061</v>
      </c>
      <c r="AR8113" s="1" t="str">
        <f t="shared" si="509"/>
        <v>| [ㄑㄧˋ](ㄑㄧˋ.md) | [仡](仡.md) |  | qì | 參見「仡佬族」條。 |</v>
      </c>
    </row>
    <row r="8114" spans="1:44" hidden="1">
      <c r="A8114" s="1" t="s">
        <v>15062</v>
      </c>
      <c r="C8114" s="1">
        <v>1</v>
      </c>
      <c r="D8114" s="1" t="str">
        <f>"06294"</f>
        <v>06294</v>
      </c>
      <c r="E8114" s="1" t="s">
        <v>129</v>
      </c>
      <c r="F8114" s="1">
        <v>6</v>
      </c>
      <c r="G8114" s="1">
        <v>3</v>
      </c>
      <c r="H8114" s="1">
        <v>0</v>
      </c>
      <c r="I8114" s="1" t="s">
        <v>15055</v>
      </c>
      <c r="K8114" s="1" t="str">
        <f t="shared" si="513"/>
        <v>ㄑ</v>
      </c>
      <c r="L8114" s="1" t="str">
        <f t="shared" si="514"/>
        <v>ㄧ</v>
      </c>
      <c r="N8114" s="3" t="s">
        <v>30574</v>
      </c>
      <c r="O8114" s="3"/>
      <c r="P8114" s="1" t="s">
        <v>20</v>
      </c>
      <c r="R8114" s="1" t="s">
        <v>15056</v>
      </c>
      <c r="V8114" s="1" t="s">
        <v>15063</v>
      </c>
      <c r="AR8114" s="1" t="str">
        <f t="shared" si="509"/>
        <v>| [ㄑㄧˋ](ㄑㄧˋ.md) | [汔](汔.md) |  | qì | [動]
使乾涸。《抱朴子．外篇．詰鮑》：「其不汔淵剖珠，傾巖刊玉。」
[副]
幾乎、將近。《詩經．大雅．民勞》：「民亦勞止，汔可小康。」漢．鄭玄．箋：「汔，幾也。」 |</v>
      </c>
    </row>
    <row r="8115" spans="1:44" hidden="1">
      <c r="A8115" s="1" t="s">
        <v>15064</v>
      </c>
      <c r="C8115" s="1">
        <v>1</v>
      </c>
      <c r="D8115" s="1" t="str">
        <f>"06295"</f>
        <v>06295</v>
      </c>
      <c r="E8115" s="1" t="s">
        <v>198</v>
      </c>
      <c r="F8115" s="1">
        <v>6</v>
      </c>
      <c r="G8115" s="1">
        <v>3</v>
      </c>
      <c r="H8115" s="1">
        <v>0</v>
      </c>
      <c r="I8115" s="1" t="s">
        <v>15055</v>
      </c>
      <c r="K8115" s="1" t="str">
        <f t="shared" si="513"/>
        <v>ㄑ</v>
      </c>
      <c r="L8115" s="1" t="str">
        <f t="shared" si="514"/>
        <v>ㄧ</v>
      </c>
      <c r="N8115" s="3" t="s">
        <v>30574</v>
      </c>
      <c r="O8115" s="3"/>
      <c r="P8115" s="1" t="s">
        <v>20</v>
      </c>
      <c r="R8115" s="1" t="s">
        <v>15056</v>
      </c>
      <c r="V8115" s="1" t="s">
        <v>15065</v>
      </c>
      <c r="AR8115" s="1" t="str">
        <f t="shared" si="509"/>
        <v>| [ㄑㄧˋ](ㄑㄧˋ.md) | [犵](犵.md) |  | qì | 參見「犵黨」、「犵狫族」條。 |</v>
      </c>
    </row>
    <row r="8116" spans="1:44" hidden="1">
      <c r="A8116" s="1" t="s">
        <v>15066</v>
      </c>
      <c r="C8116" s="1">
        <v>1</v>
      </c>
      <c r="D8116" s="1" t="str">
        <f>"06296"</f>
        <v>06296</v>
      </c>
      <c r="E8116" s="1" t="s">
        <v>558</v>
      </c>
      <c r="F8116" s="1">
        <v>7</v>
      </c>
      <c r="G8116" s="1">
        <v>3</v>
      </c>
      <c r="H8116" s="1">
        <v>0</v>
      </c>
      <c r="I8116" s="1" t="s">
        <v>15055</v>
      </c>
      <c r="K8116" s="1" t="str">
        <f t="shared" si="513"/>
        <v>ㄑ</v>
      </c>
      <c r="L8116" s="1" t="str">
        <f t="shared" si="514"/>
        <v>ㄧ</v>
      </c>
      <c r="N8116" s="3" t="s">
        <v>30574</v>
      </c>
      <c r="O8116" s="3"/>
      <c r="P8116" s="1" t="s">
        <v>20</v>
      </c>
      <c r="R8116" s="1" t="s">
        <v>15056</v>
      </c>
      <c r="V8116" s="1" t="s">
        <v>15067</v>
      </c>
      <c r="AR8116" s="1" t="str">
        <f t="shared" si="509"/>
        <v>| [ㄑㄧˋ](ㄑㄧˋ.md) | [迄](迄.md) |  | qì | [動]
至、到。如：「迄今」。《詩經．大雅．生民》：「后稷肇祀，庶無罪悔，以迄于今。」《漢書．卷三〇．藝文志》：「迄孝武世，書缺簡脫，禮壞樂崩。」
[副]
始終、一直。如：「迄無音訊」。《後漢書．卷七〇．孔融傳》：「融負其高氣，志在靖難，而才疏意廣，迄無成功。」《聊齋志異．卷四．促織》：「於敗堵叢草處，探石發穴，靡計不施，迄無濟。」 |</v>
      </c>
    </row>
    <row r="8117" spans="1:44" hidden="1">
      <c r="A8117" s="1" t="s">
        <v>15068</v>
      </c>
      <c r="C8117" s="1">
        <v>1</v>
      </c>
      <c r="D8117" s="1" t="str">
        <f>"06297"</f>
        <v>06297</v>
      </c>
      <c r="E8117" s="1" t="s">
        <v>331</v>
      </c>
      <c r="F8117" s="1">
        <v>10</v>
      </c>
      <c r="G8117" s="1">
        <v>3</v>
      </c>
      <c r="H8117" s="1">
        <v>0</v>
      </c>
      <c r="I8117" s="1" t="s">
        <v>15055</v>
      </c>
      <c r="K8117" s="1" t="str">
        <f t="shared" si="513"/>
        <v>ㄑ</v>
      </c>
      <c r="L8117" s="1" t="str">
        <f t="shared" si="514"/>
        <v>ㄧ</v>
      </c>
      <c r="N8117" s="3" t="s">
        <v>30574</v>
      </c>
      <c r="O8117" s="3"/>
      <c r="P8117" s="1" t="s">
        <v>20</v>
      </c>
      <c r="R8117" s="1" t="s">
        <v>15056</v>
      </c>
      <c r="V8117" s="1" t="s">
        <v>15069</v>
      </c>
      <c r="AR8117" s="1" t="str">
        <f t="shared" si="509"/>
        <v>| [ㄑㄧˋ](ㄑㄧˋ.md) | [訖](訖.md) |  | qì | [動]
1.終止、斷絕。《說文解字．言部》：「訖，止也。」《書經．西伯戡黎》：「天既訖我殷命，格人元龜，罔敢知吉。」唐．元稹〈樂府古題序〉：「〈詩〉訖於周，〈離騷〉訖於楚。」
2.至、到。通「迄」。漢．馬援〈誡兄子嚴敦書〉：「訖今，季良尚未可知，郡將下車軛切齒。」唐．白居易〈與元九書〉：「又自武德訖元和，因事立題，題為新樂府者，共一百五十首。」
[副]
1.完畢、終了。如：「付訖」、「驗訖」、「收訖」。
2.皆、都。《續漢書志．第四．禮儀志上》：「陽氣布暢，萬物訖出。」 |</v>
      </c>
    </row>
    <row r="8118" spans="1:44" hidden="1">
      <c r="A8118" s="1" t="s">
        <v>15070</v>
      </c>
      <c r="C8118" s="1">
        <v>1</v>
      </c>
      <c r="D8118" s="1" t="str">
        <f>"06298"</f>
        <v>06298</v>
      </c>
      <c r="E8118" s="1" t="s">
        <v>2228</v>
      </c>
      <c r="F8118" s="1">
        <v>4</v>
      </c>
      <c r="G8118" s="1">
        <v>0</v>
      </c>
      <c r="H8118" s="1">
        <v>0</v>
      </c>
      <c r="I8118" s="1" t="s">
        <v>15055</v>
      </c>
      <c r="K8118" s="1" t="str">
        <f t="shared" si="513"/>
        <v>ㄑ</v>
      </c>
      <c r="L8118" s="1" t="str">
        <f t="shared" si="514"/>
        <v>ㄧ</v>
      </c>
      <c r="N8118" s="3" t="s">
        <v>30574</v>
      </c>
      <c r="O8118" s="3"/>
      <c r="P8118" s="1" t="s">
        <v>20</v>
      </c>
      <c r="R8118" s="1" t="s">
        <v>15056</v>
      </c>
      <c r="V8118" s="1" t="s">
        <v>15071</v>
      </c>
      <c r="AR8118" s="1" t="str">
        <f t="shared" si="509"/>
        <v>| [ㄑㄧˋ](ㄑㄧˋ.md) | [气](气.md) |  | qì | [名]
1.雲氣。《說文解字．气部》：「气，雲氣也。」清．段玉裁．注：「气本雲氣，引申為凡氣之稱。」
2.二一四部首之一。 |</v>
      </c>
    </row>
    <row r="8119" spans="1:44" hidden="1">
      <c r="A8119" s="1" t="s">
        <v>15072</v>
      </c>
      <c r="C8119" s="1">
        <v>1</v>
      </c>
      <c r="D8119" s="1" t="str">
        <f>"06299"</f>
        <v>06299</v>
      </c>
      <c r="E8119" s="1" t="s">
        <v>129</v>
      </c>
      <c r="F8119" s="1">
        <v>7</v>
      </c>
      <c r="G8119" s="1">
        <v>4</v>
      </c>
      <c r="H8119" s="1">
        <v>0</v>
      </c>
      <c r="I8119" s="1" t="s">
        <v>15055</v>
      </c>
      <c r="K8119" s="1" t="str">
        <f t="shared" si="513"/>
        <v>ㄑ</v>
      </c>
      <c r="L8119" s="1" t="str">
        <f t="shared" si="514"/>
        <v>ㄧ</v>
      </c>
      <c r="N8119" s="3" t="s">
        <v>30574</v>
      </c>
      <c r="O8119" s="3"/>
      <c r="P8119" s="1" t="s">
        <v>20</v>
      </c>
      <c r="R8119" s="1" t="s">
        <v>15056</v>
      </c>
      <c r="V8119" s="1" t="s">
        <v>15073</v>
      </c>
      <c r="AR8119" s="1" t="str">
        <f t="shared" si="509"/>
        <v>| [ㄑㄧˋ](ㄑㄧˋ.md) | [汽](汽.md) |  | qì | [名]
1.水蒸氣。
2.參見「汽水」、「汽油」等條。 |</v>
      </c>
    </row>
    <row r="8120" spans="1:44" hidden="1">
      <c r="A8120" s="1" t="s">
        <v>15074</v>
      </c>
      <c r="C8120" s="1">
        <v>1</v>
      </c>
      <c r="D8120" s="1" t="str">
        <f>"06300"</f>
        <v>06300</v>
      </c>
      <c r="E8120" s="1" t="s">
        <v>2228</v>
      </c>
      <c r="F8120" s="1">
        <v>10</v>
      </c>
      <c r="G8120" s="1">
        <v>6</v>
      </c>
      <c r="H8120" s="1">
        <v>0</v>
      </c>
      <c r="I8120" s="1" t="s">
        <v>15055</v>
      </c>
      <c r="K8120" s="1" t="str">
        <f t="shared" si="513"/>
        <v>ㄑ</v>
      </c>
      <c r="L8120" s="1" t="str">
        <f t="shared" si="514"/>
        <v>ㄧ</v>
      </c>
      <c r="N8120" s="3" t="s">
        <v>30574</v>
      </c>
      <c r="O8120" s="3"/>
      <c r="P8120" s="1" t="s">
        <v>20</v>
      </c>
      <c r="R8120" s="1" t="s">
        <v>15056</v>
      </c>
      <c r="V8120" s="1" t="s">
        <v>15075</v>
      </c>
      <c r="AR8120" s="1" t="str">
        <f t="shared" si="509"/>
        <v>| [ㄑㄧˋ](ㄑㄧˋ.md) | [氣](氣.md) |  | qì | [名]
1.物體三態之一，有別於固體、液體，沒有固定的形狀、體積，能自由流散的物體。如：「空氣」、「水蒸氣」。
2.特指空氣。如：「大氣」。
3.人或動物的呼吸。如：「岔氣」、「氣息奄奄」、「屏氣凝神」。
4.自然界陰晴、冷暖的現象。如：「天氣」、「秋高氣爽」。三國魏．曹植〈泰山梁甫行〉：「八方各異氣，千里殊風雨。」
5.人的情緒或表現出來的精神狀態。如：「脾氣」、「垂頭喪氣」。
6.人內在的才華或表現於行為作風。如：「才氣」、「驕氣」、「客氣」。
7.味道。如：「氣味」、「香氣」、「臭氣」。
8.中醫指充塞於人體中的一種生物能。如：「血氣」、「元氣」。
9.相學上指人的勢道、運命。如：「氣運」、「晦氣」、「氣數」。
[動]
發怒、憤怒。如：「氣惱」、「氣死人！」元．張國賓《合汗衫》第二折：「氣的來有眼如盲，有口似啞。」 |</v>
      </c>
    </row>
    <row r="8121" spans="1:44" hidden="1">
      <c r="A8121" s="1" t="s">
        <v>15076</v>
      </c>
      <c r="C8121" s="1">
        <v>1</v>
      </c>
      <c r="D8121" s="1" t="str">
        <f>"06301"</f>
        <v>06301</v>
      </c>
      <c r="E8121" s="1" t="s">
        <v>114</v>
      </c>
      <c r="F8121" s="1">
        <v>6</v>
      </c>
      <c r="G8121" s="1">
        <v>4</v>
      </c>
      <c r="H8121" s="1">
        <v>0</v>
      </c>
      <c r="I8121" s="1" t="s">
        <v>15055</v>
      </c>
      <c r="K8121" s="1" t="str">
        <f t="shared" si="513"/>
        <v>ㄑ</v>
      </c>
      <c r="L8121" s="1" t="str">
        <f t="shared" si="514"/>
        <v>ㄧ</v>
      </c>
      <c r="N8121" s="3" t="s">
        <v>30574</v>
      </c>
      <c r="O8121" s="3"/>
      <c r="P8121" s="1" t="s">
        <v>20</v>
      </c>
      <c r="R8121" s="1" t="s">
        <v>15056</v>
      </c>
      <c r="V8121" s="1" t="s">
        <v>15077</v>
      </c>
      <c r="AR8121" s="1" t="str">
        <f t="shared" si="509"/>
        <v>| [ㄑㄧˋ](ㄑㄧˋ.md) | [企](企.md) |  | qì | [動]
1.踮著腳尖，把腳後跟提起來。《漢書．卷一．高帝紀上》：「吏卒皆山東之人，日夜企而望歸。」《文選．謝靈運．從斤竹澗越嶺溪行詩》：「企石挹飛泉，攀林摘葉卷。」
2.盼望。如：「企盼」、「企望」。 |</v>
      </c>
    </row>
    <row r="8122" spans="1:44" hidden="1">
      <c r="A8122" s="1" t="s">
        <v>15078</v>
      </c>
      <c r="C8122" s="1">
        <v>1</v>
      </c>
      <c r="D8122" s="1" t="str">
        <f>"06302"</f>
        <v>06302</v>
      </c>
      <c r="E8122" s="1" t="s">
        <v>129</v>
      </c>
      <c r="F8122" s="1">
        <v>8</v>
      </c>
      <c r="G8122" s="1">
        <v>5</v>
      </c>
      <c r="H8122" s="1">
        <v>0</v>
      </c>
      <c r="I8122" s="1" t="s">
        <v>15055</v>
      </c>
      <c r="K8122" s="1" t="str">
        <f t="shared" si="513"/>
        <v>ㄑ</v>
      </c>
      <c r="L8122" s="1" t="str">
        <f t="shared" si="514"/>
        <v>ㄧ</v>
      </c>
      <c r="N8122" s="3" t="s">
        <v>30574</v>
      </c>
      <c r="O8122" s="3"/>
      <c r="P8122" s="1" t="s">
        <v>20</v>
      </c>
      <c r="R8122" s="1" t="s">
        <v>15056</v>
      </c>
      <c r="V8122" s="1" t="s">
        <v>15079</v>
      </c>
      <c r="AR8122" s="1" t="str">
        <f t="shared" si="509"/>
        <v>| [ㄑㄧˋ](ㄑㄧˋ.md) | [泣](泣.md) |  | qì | [動]
只掉眼淚而不出聲的哭，或指低聲的哭。如：「泣血」、「泣不成聲」。《史記．卷七七．魏公子傳》：「公子畏死邪？何泣也？」宋．陸游〈夜泊水村〉詩：「老子猶堪絕大漠，諸君何至泣新亭？」
[名]
眼淚。如：「暗自飲泣」、「泣下如雨」。《史記．卷七．項羽本紀》：「項王泣數行下。」 |</v>
      </c>
    </row>
    <row r="8123" spans="1:44" hidden="1">
      <c r="A8123" s="1" t="s">
        <v>14865</v>
      </c>
      <c r="C8123" s="1">
        <v>1</v>
      </c>
      <c r="D8123" s="1" t="str">
        <f>"06303"</f>
        <v>06303</v>
      </c>
      <c r="E8123" s="1" t="s">
        <v>534</v>
      </c>
      <c r="F8123" s="1">
        <v>8</v>
      </c>
      <c r="G8123" s="1">
        <v>5</v>
      </c>
      <c r="H8123" s="1">
        <v>2</v>
      </c>
      <c r="I8123" s="1" t="s">
        <v>15055</v>
      </c>
      <c r="K8123" s="1" t="str">
        <f t="shared" si="513"/>
        <v>ㄑ</v>
      </c>
      <c r="L8123" s="1" t="str">
        <f t="shared" si="514"/>
        <v>ㄧ</v>
      </c>
      <c r="N8123" s="3" t="s">
        <v>30574</v>
      </c>
      <c r="O8123" s="3"/>
      <c r="P8123" s="1" t="s">
        <v>20</v>
      </c>
      <c r="R8123" s="1" t="s">
        <v>15056</v>
      </c>
      <c r="V8123" s="1" t="s">
        <v>15080</v>
      </c>
      <c r="W8123" s="1" t="s">
        <v>15081</v>
      </c>
      <c r="AR8123" s="1" t="str">
        <f t="shared" si="509"/>
        <v>| [ㄑㄧˋ](ㄑㄧˋ.md) | [妻](妻.md) |  | qì | [動]
1.嫁給男子為配偶。《論語．公冶長》：「邦無道免於刑戮，以其兄之子妻之。」《史記．卷一二三．大宛傳》：「漢遣宗室女江都翁主往妻烏孫。」
2.娶女子為配偶。《孟子．萬章上》：「好色，人之所欲，妻帝之二女，而不足以解憂。」 |</v>
      </c>
    </row>
    <row r="8124" spans="1:44" hidden="1">
      <c r="A8124" s="1" t="s">
        <v>15082</v>
      </c>
      <c r="C8124" s="1">
        <v>1</v>
      </c>
      <c r="D8124" s="1" t="str">
        <f>"06304"</f>
        <v>06304</v>
      </c>
      <c r="E8124" s="1" t="s">
        <v>563</v>
      </c>
      <c r="F8124" s="1">
        <v>9</v>
      </c>
      <c r="G8124" s="1">
        <v>6</v>
      </c>
      <c r="H8124" s="1">
        <v>1</v>
      </c>
      <c r="I8124" s="1" t="s">
        <v>15055</v>
      </c>
      <c r="K8124" s="1" t="str">
        <f t="shared" si="513"/>
        <v>ㄑ</v>
      </c>
      <c r="L8124" s="1" t="str">
        <f t="shared" si="514"/>
        <v>ㄧ</v>
      </c>
      <c r="N8124" s="3" t="s">
        <v>30574</v>
      </c>
      <c r="O8124" s="3"/>
      <c r="P8124" s="1" t="s">
        <v>20</v>
      </c>
      <c r="R8124" s="1" t="s">
        <v>15056</v>
      </c>
      <c r="V8124" s="1" t="s">
        <v>15083</v>
      </c>
      <c r="W8124" s="1" t="s">
        <v>15084</v>
      </c>
      <c r="AR8124" s="1" t="str">
        <f t="shared" si="509"/>
        <v>| [ㄑㄧˋ](ㄑㄧˋ.md) | [契](契.md) |  | qì | [動]
1.刻。如：「契刻」、「契舟求劍」。《詩經．大雅．綿》：「爰始爰謀，爰契我龜」。《淮南子．齊俗》：「故胡人彈骨，越人契臂，中國歃血也。」
2.投合、切合。如：「相契」、「契合」。《新唐書．卷九三．李勣傳》：「其用兵多籌算，料敵應變，皆契事機。」
[名]
1.刻出來的文字。如：「契文」、「殷契」。
2.合同、合約。如：「地契」、「房契」。《韓非子．主道》：「符契之所合，賞罰之所生也」。
3.志趣相投的朋友。晉．陶淵明〈桃花源詩〉：「願言躡輕風，高舉尋吾契。」唐．武元衡〈至櫟陽崇道寺聞嚴十少府趨侍〉詩：「松筠自古多年契，風月懷賢此夜心。」 |</v>
      </c>
    </row>
    <row r="8125" spans="1:44" hidden="1">
      <c r="A8125" s="1" t="s">
        <v>15085</v>
      </c>
      <c r="C8125" s="1">
        <v>1</v>
      </c>
      <c r="D8125" s="1" t="str">
        <f>"06305"</f>
        <v>06305</v>
      </c>
      <c r="E8125" s="1" t="s">
        <v>139</v>
      </c>
      <c r="F8125" s="1">
        <v>10</v>
      </c>
      <c r="G8125" s="1">
        <v>6</v>
      </c>
      <c r="H8125" s="1">
        <v>0</v>
      </c>
      <c r="I8125" s="1" t="s">
        <v>15055</v>
      </c>
      <c r="K8125" s="1" t="str">
        <f t="shared" si="513"/>
        <v>ㄑ</v>
      </c>
      <c r="L8125" s="1" t="str">
        <f t="shared" si="514"/>
        <v>ㄧ</v>
      </c>
      <c r="N8125" s="3" t="s">
        <v>30574</v>
      </c>
      <c r="O8125" s="3"/>
      <c r="P8125" s="1" t="s">
        <v>20</v>
      </c>
      <c r="R8125" s="1" t="s">
        <v>15056</v>
      </c>
      <c r="V8125" s="1" t="s">
        <v>15086</v>
      </c>
      <c r="AR8125" s="1" t="str">
        <f t="shared" si="509"/>
        <v>| [ㄑㄧˋ](ㄑㄧˋ.md) | [栔](栔.md) |  | qì | [動]
鏤刻。《說文解字．㓞部》：「栔，刻也。」 |</v>
      </c>
    </row>
    <row r="8126" spans="1:44" hidden="1">
      <c r="A8126" s="1" t="s">
        <v>13169</v>
      </c>
      <c r="C8126" s="1">
        <v>1</v>
      </c>
      <c r="D8126" s="1" t="str">
        <f>"06306"</f>
        <v>06306</v>
      </c>
      <c r="E8126" s="1" t="s">
        <v>40</v>
      </c>
      <c r="F8126" s="1">
        <v>14</v>
      </c>
      <c r="G8126" s="1">
        <v>9</v>
      </c>
      <c r="H8126" s="1">
        <v>3</v>
      </c>
      <c r="I8126" s="1" t="s">
        <v>15055</v>
      </c>
      <c r="K8126" s="1" t="str">
        <f t="shared" si="513"/>
        <v>ㄑ</v>
      </c>
      <c r="L8126" s="1" t="str">
        <f t="shared" si="514"/>
        <v>ㄧ</v>
      </c>
      <c r="N8126" s="3" t="s">
        <v>30574</v>
      </c>
      <c r="O8126" s="3"/>
      <c r="P8126" s="1" t="s">
        <v>20</v>
      </c>
      <c r="R8126" s="1" t="s">
        <v>15056</v>
      </c>
      <c r="V8126" s="1" t="s">
        <v>15087</v>
      </c>
      <c r="W8126" s="1" t="s">
        <v>15088</v>
      </c>
      <c r="AR8126" s="1" t="str">
        <f t="shared" si="509"/>
        <v>| [ㄑㄧˋ](ㄑㄧˋ.md) | [瘈](瘈.md) |  | qì | 參見「瘈瘲」條。 |</v>
      </c>
    </row>
    <row r="8127" spans="1:44" hidden="1">
      <c r="A8127" s="1" t="s">
        <v>15089</v>
      </c>
      <c r="C8127" s="1">
        <v>1</v>
      </c>
      <c r="D8127" s="1" t="str">
        <f>"06307"</f>
        <v>06307</v>
      </c>
      <c r="E8127" s="1" t="s">
        <v>169</v>
      </c>
      <c r="F8127" s="1">
        <v>9</v>
      </c>
      <c r="G8127" s="1">
        <v>4</v>
      </c>
      <c r="H8127" s="1">
        <v>1</v>
      </c>
      <c r="I8127" s="1" t="s">
        <v>15055</v>
      </c>
      <c r="K8127" s="1" t="str">
        <f t="shared" si="513"/>
        <v>ㄑ</v>
      </c>
      <c r="L8127" s="1" t="str">
        <f t="shared" si="514"/>
        <v>ㄧ</v>
      </c>
      <c r="N8127" s="3" t="s">
        <v>30574</v>
      </c>
      <c r="O8127" s="3"/>
      <c r="P8127" s="1" t="s">
        <v>20</v>
      </c>
      <c r="R8127" s="1" t="s">
        <v>15056</v>
      </c>
      <c r="V8127" s="1" t="s">
        <v>15090</v>
      </c>
      <c r="W8127" s="1" t="s">
        <v>15091</v>
      </c>
      <c r="AR8127" s="1" t="str">
        <f t="shared" si="509"/>
        <v>| [ㄑㄧˋ](ㄑㄧˋ.md) | [砌](砌.md) |  | qì | [名]
臺階。唐．白居易〈新樂府．杏為梁〉：「碧砌紅軒色未乾，去年身歿今移主。」五代十國南唐．李煜〈虞美人．春花秋月何時了〉詞：「雕闌玉砌應猶在，只是朱顏改。」
[動]
1.堆疊。如：「砌牆」、「堆砌」。明．李雯〈鵲踏枝．慘碧愁黃無氣力〉詞：「慘碧愁黃無氣力，做盡秋聲，砌滿闌干側。」清．姚鼐〈登泰山記〉：「四十五里，道皆砌石為磴。」
2.連綴、拼湊。《水滸傳》第六七回：「披一付熊皮砌就嵌縫沿邊烏油鎧甲。」 |</v>
      </c>
    </row>
    <row r="8128" spans="1:44" hidden="1">
      <c r="A8128" s="1" t="s">
        <v>12985</v>
      </c>
      <c r="C8128" s="1">
        <v>1</v>
      </c>
      <c r="D8128" s="1" t="str">
        <f>"06308"</f>
        <v>06308</v>
      </c>
      <c r="E8128" s="1" t="s">
        <v>9954</v>
      </c>
      <c r="F8128" s="1">
        <v>9</v>
      </c>
      <c r="G8128" s="1">
        <v>7</v>
      </c>
      <c r="H8128" s="1">
        <v>2</v>
      </c>
      <c r="I8128" s="1" t="s">
        <v>15055</v>
      </c>
      <c r="K8128" s="1" t="str">
        <f t="shared" si="513"/>
        <v>ㄑ</v>
      </c>
      <c r="L8128" s="1" t="str">
        <f t="shared" si="514"/>
        <v>ㄧ</v>
      </c>
      <c r="N8128" s="3" t="s">
        <v>30574</v>
      </c>
      <c r="O8128" s="3"/>
      <c r="P8128" s="1" t="s">
        <v>20</v>
      </c>
      <c r="R8128" s="1" t="s">
        <v>15056</v>
      </c>
      <c r="V8128" s="1" t="s">
        <v>15092</v>
      </c>
      <c r="W8128" s="1" t="s">
        <v>15093</v>
      </c>
      <c r="AR8128" s="1" t="str">
        <f t="shared" si="509"/>
        <v>| [ㄑㄧˋ](ㄑㄧˋ.md) | [亟](亟.md) |  | qì | [副]
屢次、每每。《左傳．隱公元年》：「亟請於武公。」《論語．陽貨》：「好從事而亟失時。」 |</v>
      </c>
    </row>
    <row r="8129" spans="1:44" hidden="1">
      <c r="A8129" s="1" t="s">
        <v>15094</v>
      </c>
      <c r="C8129" s="1">
        <v>1</v>
      </c>
      <c r="D8129" s="1" t="str">
        <f>"06309"</f>
        <v>06309</v>
      </c>
      <c r="E8129" s="1" t="s">
        <v>139</v>
      </c>
      <c r="F8129" s="1">
        <v>11</v>
      </c>
      <c r="G8129" s="1">
        <v>7</v>
      </c>
      <c r="H8129" s="1">
        <v>0</v>
      </c>
      <c r="I8129" s="1" t="s">
        <v>15055</v>
      </c>
      <c r="K8129" s="1" t="str">
        <f t="shared" si="513"/>
        <v>ㄑ</v>
      </c>
      <c r="L8129" s="1" t="str">
        <f t="shared" si="514"/>
        <v>ㄧ</v>
      </c>
      <c r="N8129" s="3" t="s">
        <v>30574</v>
      </c>
      <c r="O8129" s="3"/>
      <c r="P8129" s="1" t="s">
        <v>20</v>
      </c>
      <c r="R8129" s="1" t="s">
        <v>15056</v>
      </c>
      <c r="V8129" s="1" t="s">
        <v>15095</v>
      </c>
      <c r="AR8129" s="1" t="str">
        <f t="shared" si="509"/>
        <v>| [ㄑㄧˋ](ㄑㄧˋ.md) | [棄](棄.md) |  | qì | [動]
拋開、捨去。如：「放棄」、「丟棄」、「廢棄」、「棄置」。《孟子．盡心上》：「舜視棄天下，猶棄敝蹝也。」唐．李白〈宣州謝朓樓餞別校書叔雲〉詩：「棄我去者昨日之日不可留，亂我心者今日之日多煩憂。」
[名]
人名。周代始祖后稷。相傳他的母親姜原生他以後，曾把他棄置道旁，故以為名。 |</v>
      </c>
    </row>
    <row r="8130" spans="1:44" hidden="1">
      <c r="A8130" s="1" t="s">
        <v>14954</v>
      </c>
      <c r="C8130" s="1">
        <v>1</v>
      </c>
      <c r="D8130" s="1" t="str">
        <f>"06310"</f>
        <v>06310</v>
      </c>
      <c r="E8130" s="1" t="s">
        <v>77</v>
      </c>
      <c r="F8130" s="1">
        <v>11</v>
      </c>
      <c r="G8130" s="1">
        <v>4</v>
      </c>
      <c r="H8130" s="1">
        <v>2</v>
      </c>
      <c r="I8130" s="1" t="s">
        <v>15055</v>
      </c>
      <c r="K8130" s="1" t="str">
        <f t="shared" si="513"/>
        <v>ㄑ</v>
      </c>
      <c r="L8130" s="1" t="str">
        <f t="shared" si="514"/>
        <v>ㄧ</v>
      </c>
      <c r="N8130" s="3" t="s">
        <v>30574</v>
      </c>
      <c r="O8130" s="3"/>
      <c r="P8130" s="1" t="s">
        <v>20</v>
      </c>
      <c r="R8130" s="1" t="s">
        <v>15056</v>
      </c>
      <c r="V8130" s="1" t="s">
        <v>15096</v>
      </c>
      <c r="W8130" s="1" t="s">
        <v>15097</v>
      </c>
      <c r="AR8130" s="1" t="str">
        <f t="shared" si="509"/>
        <v>| [ㄑㄧˋ](ㄑㄧˋ.md) | [跂](跂.md) |  | qì | [動]
踮腳、提起腳跟。通「企」。《詩經．衛風．河廣》：「誰謂宋遠，跂予望之。」《荀子．勸學》：「吾嘗跂而望矣，不如登高之博見也。」 |</v>
      </c>
    </row>
    <row r="8131" spans="1:44" hidden="1">
      <c r="A8131" s="1" t="s">
        <v>10889</v>
      </c>
      <c r="C8131" s="1">
        <v>1</v>
      </c>
      <c r="D8131" s="1" t="str">
        <f>"06311"</f>
        <v>06311</v>
      </c>
      <c r="E8131" s="1" t="s">
        <v>250</v>
      </c>
      <c r="F8131" s="1">
        <v>12</v>
      </c>
      <c r="G8131" s="1">
        <v>9</v>
      </c>
      <c r="H8131" s="1">
        <v>1</v>
      </c>
      <c r="I8131" s="1" t="s">
        <v>15055</v>
      </c>
      <c r="K8131" s="1" t="str">
        <f t="shared" si="513"/>
        <v>ㄑ</v>
      </c>
      <c r="L8131" s="1" t="str">
        <f t="shared" si="514"/>
        <v>ㄧ</v>
      </c>
      <c r="N8131" s="3" t="s">
        <v>30574</v>
      </c>
      <c r="O8131" s="3"/>
      <c r="P8131" s="1" t="s">
        <v>20</v>
      </c>
      <c r="R8131" s="1" t="s">
        <v>15056</v>
      </c>
      <c r="V8131" s="1" t="s">
        <v>15098</v>
      </c>
      <c r="W8131" s="1" t="s">
        <v>15099</v>
      </c>
      <c r="AR8131" s="1" t="str">
        <f t="shared" ref="AR8131:AR8194" si="515">"| ["&amp;I8131&amp;"]("&amp;I8131&amp;".md) | ["&amp;A8131&amp;"]("&amp;A8131&amp;".md) | "&amp;" | "&amp;R8131&amp;" | "&amp;V8131&amp;" |"</f>
        <v>| [ㄑㄧˋ](ㄑㄧˋ.md) | [愒](愒.md) |  | qì | [動]
休息。同「憩」。《詩經．大雅．民勞》：「民亦勞止，汔可小愒。」南朝宋．劉義慶《世說新語．假譎》：「有一客姥，居店賣食。帝過愒之。」 |</v>
      </c>
    </row>
    <row r="8132" spans="1:44" hidden="1">
      <c r="A8132" s="1" t="s">
        <v>13381</v>
      </c>
      <c r="C8132" s="1">
        <v>1</v>
      </c>
      <c r="D8132" s="1" t="str">
        <f>"06312"</f>
        <v>06312</v>
      </c>
      <c r="E8132" s="1" t="s">
        <v>24</v>
      </c>
      <c r="F8132" s="1">
        <v>12</v>
      </c>
      <c r="G8132" s="1">
        <v>9</v>
      </c>
      <c r="H8132" s="1">
        <v>2</v>
      </c>
      <c r="I8132" s="1" t="s">
        <v>15055</v>
      </c>
      <c r="K8132" s="1" t="str">
        <f t="shared" si="513"/>
        <v>ㄑ</v>
      </c>
      <c r="L8132" s="1" t="str">
        <f t="shared" si="514"/>
        <v>ㄧ</v>
      </c>
      <c r="N8132" s="3" t="s">
        <v>30574</v>
      </c>
      <c r="O8132" s="3"/>
      <c r="P8132" s="1" t="s">
        <v>20</v>
      </c>
      <c r="R8132" s="1" t="s">
        <v>15056</v>
      </c>
      <c r="V8132" s="1" t="s">
        <v>15100</v>
      </c>
      <c r="W8132" s="1" t="s">
        <v>15101</v>
      </c>
      <c r="AR8132" s="1" t="str">
        <f t="shared" si="515"/>
        <v>| [ㄑㄧˋ](ㄑㄧˋ.md) | [揭](揭.md) |  | qì | [動]
提起衣襟。《詩經．邶風．匏有苦葉》：「深則厲，淺則揭。」明．徐弘祖《徐霞客遊記．卷四下．黔遊日記二》：「道中水漫數寸，仍揭而溯之。」 |</v>
      </c>
    </row>
    <row r="8133" spans="1:44" hidden="1">
      <c r="A8133" s="1" t="s">
        <v>15102</v>
      </c>
      <c r="C8133" s="1">
        <v>1</v>
      </c>
      <c r="D8133" s="1" t="str">
        <f>"06313"</f>
        <v>06313</v>
      </c>
      <c r="E8133" s="1" t="s">
        <v>37</v>
      </c>
      <c r="F8133" s="1">
        <v>13</v>
      </c>
      <c r="G8133" s="1">
        <v>9</v>
      </c>
      <c r="H8133" s="1">
        <v>0</v>
      </c>
      <c r="I8133" s="1" t="s">
        <v>15055</v>
      </c>
      <c r="K8133" s="1" t="str">
        <f t="shared" si="513"/>
        <v>ㄑ</v>
      </c>
      <c r="L8133" s="1" t="str">
        <f t="shared" si="514"/>
        <v>ㄧ</v>
      </c>
      <c r="N8133" s="3" t="s">
        <v>30574</v>
      </c>
      <c r="O8133" s="3"/>
      <c r="P8133" s="1" t="s">
        <v>20</v>
      </c>
      <c r="R8133" s="1" t="s">
        <v>15056</v>
      </c>
      <c r="V8133" s="1" t="s">
        <v>15103</v>
      </c>
      <c r="AR8133" s="1" t="str">
        <f t="shared" si="515"/>
        <v>| [ㄑㄧˋ](ㄑㄧˋ.md) | [葺](葺.md) |  | qì | [動]
1.以茅草覆蓋房頂。《楚辭．屈原．九歌．湘夫人》：「築室兮水中，葺之兮荷蓋。」
2.修補。如：「修葺」。《左傳．昭公二十三年》：「叔孫所館者，雖一日，必葺其牆屋。」
3.累積、重疊。《楚辭．屈原．九章．悲回風》：「魚葺鱗以自別兮，蛟龍隱其文章。」 |</v>
      </c>
    </row>
    <row r="8134" spans="1:44" hidden="1">
      <c r="A8134" s="1" t="s">
        <v>14920</v>
      </c>
      <c r="C8134" s="1">
        <v>1</v>
      </c>
      <c r="D8134" s="1" t="str">
        <f>"06314"</f>
        <v>06314</v>
      </c>
      <c r="E8134" s="1" t="s">
        <v>725</v>
      </c>
      <c r="F8134" s="1">
        <v>15</v>
      </c>
      <c r="G8134" s="1">
        <v>9</v>
      </c>
      <c r="H8134" s="1">
        <v>1</v>
      </c>
      <c r="I8134" s="1" t="s">
        <v>15055</v>
      </c>
      <c r="K8134" s="1" t="str">
        <f t="shared" si="513"/>
        <v>ㄑ</v>
      </c>
      <c r="L8134" s="1" t="str">
        <f t="shared" si="514"/>
        <v>ㄧ</v>
      </c>
      <c r="N8134" s="3" t="s">
        <v>30574</v>
      </c>
      <c r="O8134" s="3"/>
      <c r="P8134" s="1" t="s">
        <v>20</v>
      </c>
      <c r="R8134" s="1" t="s">
        <v>15056</v>
      </c>
      <c r="V8134" s="1" t="s">
        <v>15104</v>
      </c>
      <c r="W8134" s="1" t="s">
        <v>15105</v>
      </c>
      <c r="AR8134" s="1" t="str">
        <f t="shared" si="515"/>
        <v>| [ㄑㄧˋ](ㄑㄧˋ.md) | [緝](緝.md) |  | qì | [動]
1.將麻捻搓成線。《說文解字．糸部》：「緝，績也。」清．段玉裁．注：「凡麻枲……析其皮如絲而撚之，而𠟪之，而續之，而後為縷，是曰績，亦曰緝。」如：「緝麻」、「緝績」。宋．蘇軾〈次子由詩相慶〉詩：「六子晨耕簞瓢出，眾婦夜緝燈火共。」明．歸有光〈先妣事略〉：「入城，則緝纑，燈火熒熒，每至夜分。」
2.縫衣邊。如：「緝邊」。《儀禮．喪服》：「斬衰……《傳》曰斬者何不緝也。」
3.搜捕、捉拿。如：「緝凶」、「通緝」、「緝私」。
4.聚合。《後漢書．卷六六．陳蕃等傳．贊曰》：「人謀雖緝，幽運未當。」《文選．顏延之．陽給事誄》：「難立乎將卒之間，以緝華裔之眾。」 |</v>
      </c>
    </row>
    <row r="8135" spans="1:44" hidden="1">
      <c r="A8135" s="1" t="s">
        <v>15106</v>
      </c>
      <c r="C8135" s="1">
        <v>1</v>
      </c>
      <c r="D8135" s="1" t="str">
        <f>"06315"</f>
        <v>06315</v>
      </c>
      <c r="E8135" s="1" t="s">
        <v>250</v>
      </c>
      <c r="F8135" s="1">
        <v>16</v>
      </c>
      <c r="G8135" s="1">
        <v>12</v>
      </c>
      <c r="H8135" s="1">
        <v>0</v>
      </c>
      <c r="I8135" s="1" t="s">
        <v>15055</v>
      </c>
      <c r="K8135" s="1" t="str">
        <f t="shared" si="513"/>
        <v>ㄑ</v>
      </c>
      <c r="L8135" s="1" t="str">
        <f t="shared" si="514"/>
        <v>ㄧ</v>
      </c>
      <c r="N8135" s="3" t="s">
        <v>30574</v>
      </c>
      <c r="O8135" s="3"/>
      <c r="P8135" s="1" t="s">
        <v>20</v>
      </c>
      <c r="R8135" s="1" t="s">
        <v>15056</v>
      </c>
      <c r="V8135" s="1" t="s">
        <v>15107</v>
      </c>
      <c r="AR8135" s="1" t="str">
        <f t="shared" si="515"/>
        <v>| [ㄑㄧˋ](ㄑㄧˋ.md) | [憩](憩.md) |  | qì | [動]
休息。如：「休憩」、「小憩」。晉．陶淵明〈閑情賦〉：「坦萬慮以存誠，憩遙情于八遐。」唐．李白〈下終南山過斛斯山人宿置酒〉詩：「歡言得所憩，美酒聊共揮。」 |</v>
      </c>
    </row>
    <row r="8136" spans="1:44" hidden="1">
      <c r="A8136" s="1" t="s">
        <v>15108</v>
      </c>
      <c r="C8136" s="1">
        <v>1</v>
      </c>
      <c r="D8136" s="1" t="str">
        <f>"06316"</f>
        <v>06316</v>
      </c>
      <c r="E8136" s="1" t="s">
        <v>169</v>
      </c>
      <c r="F8136" s="1">
        <v>16</v>
      </c>
      <c r="G8136" s="1">
        <v>11</v>
      </c>
      <c r="H8136" s="1">
        <v>0</v>
      </c>
      <c r="I8136" s="1" t="s">
        <v>15055</v>
      </c>
      <c r="K8136" s="1" t="str">
        <f t="shared" si="513"/>
        <v>ㄑ</v>
      </c>
      <c r="L8136" s="1" t="str">
        <f t="shared" si="514"/>
        <v>ㄧ</v>
      </c>
      <c r="N8136" s="3" t="s">
        <v>30574</v>
      </c>
      <c r="O8136" s="3"/>
      <c r="P8136" s="1" t="s">
        <v>20</v>
      </c>
      <c r="R8136" s="1" t="s">
        <v>15056</v>
      </c>
      <c r="V8136" s="1" t="s">
        <v>15109</v>
      </c>
      <c r="AR8136" s="1" t="str">
        <f t="shared" si="515"/>
        <v>| [ㄑㄧˋ](ㄑㄧˋ.md) | [磧](磧.md) |  | qì | [名]
1.淺水中露出的砂石。《說文解字．石部》：「磧，水陼有石者。」清．段玉裁．注：「陼丘，水中高者也。《三蒼》曰：『磧，水中沙堆也。』」
2.沙漠。唐．杜甫〈送人從軍〉詩：「今君渡沙磧，累月斷人煙。」宋．陸游〈塞上曲〉：「茫茫大磧吁可嗟，莫春積雪草未芽。」
3.地理學上指由冰河帶來的礫泥和沙礫等堆積物，或由這些堆積物所形成的各種地形。如：「冰磧丘」、「冰磧平原」。 |</v>
      </c>
    </row>
    <row r="8137" spans="1:44" hidden="1">
      <c r="A8137" s="1" t="s">
        <v>15110</v>
      </c>
      <c r="C8137" s="1">
        <v>1</v>
      </c>
      <c r="D8137" s="1" t="str">
        <f>"06317"</f>
        <v>06317</v>
      </c>
      <c r="E8137" s="1" t="s">
        <v>28</v>
      </c>
      <c r="F8137" s="1">
        <v>16</v>
      </c>
      <c r="G8137" s="1">
        <v>13</v>
      </c>
      <c r="H8137" s="1">
        <v>0</v>
      </c>
      <c r="I8137" s="1" t="s">
        <v>15055</v>
      </c>
      <c r="K8137" s="1" t="str">
        <f t="shared" si="513"/>
        <v>ㄑ</v>
      </c>
      <c r="L8137" s="1" t="str">
        <f t="shared" si="514"/>
        <v>ㄧ</v>
      </c>
      <c r="N8137" s="3" t="s">
        <v>30574</v>
      </c>
      <c r="O8137" s="3"/>
      <c r="P8137" s="1" t="s">
        <v>20</v>
      </c>
      <c r="R8137" s="1" t="s">
        <v>15056</v>
      </c>
      <c r="V8137" s="1" t="s">
        <v>15111</v>
      </c>
      <c r="AR8137" s="1" t="str">
        <f t="shared" si="515"/>
        <v>| [ㄑㄧˋ](ㄑㄧˋ.md) | [器](器.md) |  | qì | [名]
1.用具的總稱。如：「陶器」、「容器」、「兵器」、「投鼠忌器」。《易經．繫辭上》：「以制器者尚其象，以卜筮者尚其占。」《論語．衛靈公》：「工欲善其事，必先利其器。」
2.度量、胸懷。如：「器度寬廣」、「器量弘深」。《論語．八佾》：「管仲之器小哉？」
3.才能、能力。如：「大器晚成」。《三國志．卷三五．蜀書．諸葛亮傳》：「亮之器能政理，抑亦管蕭之亞匹也。」
4.器官。如：「生殖器」。
5.姓。如商代有器氏尊。
[動]
重視、看重。如：「器重」。《後漢書．卷四六．陳寵傳》：「自在樞機，謝遣門人，拒絕知友，唯在公家而已，朝廷器之。」 |</v>
      </c>
    </row>
    <row r="8138" spans="1:44" hidden="1">
      <c r="A8138" s="1" t="s">
        <v>15112</v>
      </c>
      <c r="C8138" s="1">
        <v>1</v>
      </c>
      <c r="D8138" s="1" t="str">
        <f>"06318"</f>
        <v>06318</v>
      </c>
      <c r="E8138" s="1" t="s">
        <v>679</v>
      </c>
      <c r="F8138" s="1">
        <v>19</v>
      </c>
      <c r="G8138" s="1">
        <v>13</v>
      </c>
      <c r="H8138" s="1">
        <v>0</v>
      </c>
      <c r="I8138" s="1" t="s">
        <v>15055</v>
      </c>
      <c r="K8138" s="1" t="str">
        <f t="shared" si="513"/>
        <v>ㄑ</v>
      </c>
      <c r="L8138" s="1" t="str">
        <f t="shared" si="514"/>
        <v>ㄧ</v>
      </c>
      <c r="N8138" s="3" t="s">
        <v>30574</v>
      </c>
      <c r="O8138" s="3"/>
      <c r="P8138" s="1" t="s">
        <v>20</v>
      </c>
      <c r="R8138" s="1" t="s">
        <v>15056</v>
      </c>
      <c r="V8138" s="1" t="s">
        <v>15113</v>
      </c>
      <c r="AR8138" s="1" t="str">
        <f t="shared" si="515"/>
        <v>| [ㄑㄧˋ](ㄑㄧˋ.md) | [蟿](蟿.md) |  | qì | 參見「蟿螽」條。 |</v>
      </c>
    </row>
    <row r="8139" spans="1:44" hidden="1">
      <c r="A8139" s="1" t="s">
        <v>15114</v>
      </c>
      <c r="C8139" s="1">
        <v>1</v>
      </c>
      <c r="D8139" s="1" t="str">
        <f>"06319"</f>
        <v>06319</v>
      </c>
      <c r="E8139" s="1" t="s">
        <v>55</v>
      </c>
      <c r="F8139" s="1">
        <v>19</v>
      </c>
      <c r="G8139" s="1">
        <v>11</v>
      </c>
      <c r="H8139" s="1">
        <v>0</v>
      </c>
      <c r="I8139" s="1" t="s">
        <v>15055</v>
      </c>
      <c r="K8139" s="1" t="str">
        <f t="shared" si="513"/>
        <v>ㄑ</v>
      </c>
      <c r="L8139" s="1" t="str">
        <f t="shared" si="514"/>
        <v>ㄧ</v>
      </c>
      <c r="N8139" s="3" t="s">
        <v>30574</v>
      </c>
      <c r="O8139" s="3"/>
      <c r="P8139" s="1" t="s">
        <v>20</v>
      </c>
      <c r="R8139" s="1" t="s">
        <v>15056</v>
      </c>
      <c r="V8139" s="1" t="s">
        <v>15115</v>
      </c>
      <c r="AR8139" s="1" t="str">
        <f t="shared" si="515"/>
        <v>| [ㄑㄧˋ](ㄑㄧˋ.md) | [鏚](鏚.md) |  | qì | [名]
斧頭。《左傳．昭公十二年》：「君王命剝圭以為鏚柲。」《隋書．卷四二．李德林傳》：「雖時屬大道，偃兵舞鏚。」 |</v>
      </c>
    </row>
    <row r="8140" spans="1:44" hidden="1">
      <c r="A8140" s="1" t="s">
        <v>14923</v>
      </c>
      <c r="C8140" s="1">
        <v>1</v>
      </c>
      <c r="D8140" s="1" t="str">
        <f>"06231"</f>
        <v>06231</v>
      </c>
      <c r="E8140" s="1" t="s">
        <v>9954</v>
      </c>
      <c r="F8140" s="1">
        <v>4</v>
      </c>
      <c r="G8140" s="1">
        <v>2</v>
      </c>
      <c r="H8140" s="1">
        <v>0</v>
      </c>
      <c r="I8140" s="1" t="s">
        <v>14924</v>
      </c>
      <c r="K8140" s="1" t="str">
        <f t="shared" si="513"/>
        <v>ㄑ</v>
      </c>
      <c r="L8140" s="1" t="str">
        <f t="shared" si="514"/>
        <v>ㄧ</v>
      </c>
      <c r="N8140" s="3" t="s">
        <v>30575</v>
      </c>
      <c r="O8140" s="3"/>
      <c r="P8140" s="1" t="s">
        <v>20</v>
      </c>
      <c r="R8140" s="1" t="s">
        <v>14925</v>
      </c>
      <c r="V8140" s="1" t="s">
        <v>14926</v>
      </c>
      <c r="AR8140" s="1" t="str">
        <f t="shared" si="515"/>
        <v>| [ㄑㄧˊ](ㄑㄧˊ.md) | [亓](亓.md) |  | qí | [名]
1.其的古字。《集韻．平聲．之韻》：「其，古作亓。」
2.姓。如唐代有亓志紹。 |</v>
      </c>
    </row>
    <row r="8141" spans="1:44" hidden="1">
      <c r="A8141" s="1" t="s">
        <v>14927</v>
      </c>
      <c r="C8141" s="1">
        <v>1</v>
      </c>
      <c r="D8141" s="1" t="str">
        <f>"06232"</f>
        <v>06232</v>
      </c>
      <c r="E8141" s="1" t="s">
        <v>825</v>
      </c>
      <c r="F8141" s="1">
        <v>5</v>
      </c>
      <c r="G8141" s="1">
        <v>0</v>
      </c>
      <c r="H8141" s="1">
        <v>1</v>
      </c>
      <c r="I8141" s="1" t="s">
        <v>14924</v>
      </c>
      <c r="K8141" s="1" t="str">
        <f t="shared" si="513"/>
        <v>ㄑ</v>
      </c>
      <c r="L8141" s="1" t="str">
        <f t="shared" si="514"/>
        <v>ㄧ</v>
      </c>
      <c r="N8141" s="3" t="s">
        <v>30575</v>
      </c>
      <c r="O8141" s="3"/>
      <c r="P8141" s="1" t="s">
        <v>20</v>
      </c>
      <c r="R8141" s="1" t="s">
        <v>14925</v>
      </c>
      <c r="V8141" s="1" t="s">
        <v>14928</v>
      </c>
      <c r="W8141" s="1" t="s">
        <v>14929</v>
      </c>
      <c r="AR8141" s="1" t="str">
        <f t="shared" si="515"/>
        <v>| [ㄑㄧˊ](ㄑㄧˊ.md) | [示](示.md) |  | qí | [名]
地神。通「祇」。《集韻．平聲．支韻》：「祇，《說文》：『地祇，提出萬物者也。』古作示。」《周禮．春官．大宗伯》：「大宗伯之職，掌建邦之天神人鬼地示之禮。」漢．鄭玄．注：「示，音祇，本或作祇。」 |</v>
      </c>
    </row>
    <row r="8142" spans="1:44" hidden="1">
      <c r="A8142" s="1" t="s">
        <v>14930</v>
      </c>
      <c r="C8142" s="1">
        <v>1</v>
      </c>
      <c r="D8142" s="1" t="str">
        <f>"06233"</f>
        <v>06233</v>
      </c>
      <c r="E8142" s="1" t="s">
        <v>825</v>
      </c>
      <c r="F8142" s="1">
        <v>8</v>
      </c>
      <c r="G8142" s="1">
        <v>3</v>
      </c>
      <c r="H8142" s="1">
        <v>0</v>
      </c>
      <c r="I8142" s="1" t="s">
        <v>14924</v>
      </c>
      <c r="K8142" s="1" t="str">
        <f t="shared" si="513"/>
        <v>ㄑ</v>
      </c>
      <c r="L8142" s="1" t="str">
        <f t="shared" si="514"/>
        <v>ㄧ</v>
      </c>
      <c r="N8142" s="3" t="s">
        <v>30575</v>
      </c>
      <c r="O8142" s="3"/>
      <c r="P8142" s="1" t="s">
        <v>20</v>
      </c>
      <c r="R8142" s="1" t="s">
        <v>14925</v>
      </c>
      <c r="V8142" s="1" t="s">
        <v>14931</v>
      </c>
      <c r="AR8142" s="1" t="str">
        <f t="shared" si="515"/>
        <v>| [ㄑㄧˊ](ㄑㄧˊ.md) | [祁](祁.md) |  | qí | [形]
大。《集韻．平聲．支韻》：「祁，一曰大也。」《書經．君牙》：「冬祁寒，小民亦唯曰：『怨咨。』」漢．孔安國．傳：「冬大寒。」唐．杜甫〈木皮嶺〉詩：「汗流被我體，祁寒為之暄。」
[名]
1.地名。春秋時秦國邑名，故址在今大陸地區陝西省澄城縣境內。
2.姓。如春秋時晉國有祁溪。 |</v>
      </c>
    </row>
    <row r="8143" spans="1:44" hidden="1">
      <c r="A8143" s="1" t="s">
        <v>14932</v>
      </c>
      <c r="C8143" s="1">
        <v>1</v>
      </c>
      <c r="D8143" s="1" t="str">
        <f>"06234"</f>
        <v>06234</v>
      </c>
      <c r="E8143" s="1" t="s">
        <v>132</v>
      </c>
      <c r="F8143" s="1">
        <v>7</v>
      </c>
      <c r="G8143" s="1">
        <v>4</v>
      </c>
      <c r="H8143" s="1">
        <v>1</v>
      </c>
      <c r="I8143" s="1" t="s">
        <v>14924</v>
      </c>
      <c r="K8143" s="1" t="str">
        <f t="shared" si="513"/>
        <v>ㄑ</v>
      </c>
      <c r="L8143" s="1" t="str">
        <f t="shared" si="514"/>
        <v>ㄧ</v>
      </c>
      <c r="N8143" s="3" t="s">
        <v>30575</v>
      </c>
      <c r="O8143" s="3"/>
      <c r="P8143" s="1" t="s">
        <v>20</v>
      </c>
      <c r="R8143" s="1" t="s">
        <v>14925</v>
      </c>
      <c r="V8143" s="1" t="s">
        <v>14933</v>
      </c>
      <c r="W8143" s="1" t="s">
        <v>14934</v>
      </c>
      <c r="AR8143" s="1" t="str">
        <f t="shared" si="515"/>
        <v>| [ㄑㄧˊ](ㄑㄧˊ.md) | [圻](圻.md) |  | qí | [名]
1.京畿四周一千里以內的地方。《書經．畢命》：「申畫郊圻，慎固封守，以康四海。」漢．孔安國．傳：「京圻安則四海安矣。」《逸周書．卷八．職方解》：「方千里曰王圻，其外方五百里為侯服。」
2.面積千里之地。《左傳．昭公二十三年》：「今土數圻，而郢是城，不亦難乎？」晉．杜預．注：「方千里為圻。」 |</v>
      </c>
    </row>
    <row r="8144" spans="1:44" hidden="1">
      <c r="A8144" s="1" t="s">
        <v>14283</v>
      </c>
      <c r="C8144" s="1">
        <v>1</v>
      </c>
      <c r="D8144" s="1" t="str">
        <f>"06235"</f>
        <v>06235</v>
      </c>
      <c r="E8144" s="1" t="s">
        <v>68</v>
      </c>
      <c r="F8144" s="1">
        <v>8</v>
      </c>
      <c r="G8144" s="1">
        <v>4</v>
      </c>
      <c r="H8144" s="1">
        <v>1</v>
      </c>
      <c r="I8144" s="1" t="s">
        <v>14924</v>
      </c>
      <c r="K8144" s="1" t="str">
        <f t="shared" si="513"/>
        <v>ㄑ</v>
      </c>
      <c r="L8144" s="1" t="str">
        <f t="shared" si="514"/>
        <v>ㄧ</v>
      </c>
      <c r="N8144" s="3" t="s">
        <v>30575</v>
      </c>
      <c r="O8144" s="3"/>
      <c r="P8144" s="1" t="s">
        <v>20</v>
      </c>
      <c r="R8144" s="1" t="s">
        <v>14925</v>
      </c>
      <c r="V8144" s="1" t="s">
        <v>14935</v>
      </c>
      <c r="W8144" s="1" t="s">
        <v>14936</v>
      </c>
      <c r="AR8144" s="1" t="str">
        <f t="shared" si="515"/>
        <v>| [ㄑㄧˊ](ㄑㄧˊ.md) | [肵](肵.md) |  | qí | [名]
肵俎：古時祭祀時盛舌心的俎版。《儀禮．特牲饋食禮》：「佐食升肵俎，鼏之，設于阼階西。」漢．鄭玄．注：「肵，謂心舌之俎也。」 |</v>
      </c>
    </row>
    <row r="8145" spans="1:44" hidden="1">
      <c r="A8145" s="1" t="s">
        <v>14937</v>
      </c>
      <c r="C8145" s="1">
        <v>1</v>
      </c>
      <c r="D8145" s="1" t="str">
        <f>"06236"</f>
        <v>06236</v>
      </c>
      <c r="E8145" s="1" t="s">
        <v>825</v>
      </c>
      <c r="F8145" s="1">
        <v>9</v>
      </c>
      <c r="G8145" s="1">
        <v>4</v>
      </c>
      <c r="H8145" s="1">
        <v>0</v>
      </c>
      <c r="I8145" s="1" t="s">
        <v>14924</v>
      </c>
      <c r="K8145" s="1" t="str">
        <f t="shared" si="513"/>
        <v>ㄑ</v>
      </c>
      <c r="L8145" s="1" t="str">
        <f t="shared" si="514"/>
        <v>ㄧ</v>
      </c>
      <c r="N8145" s="3" t="s">
        <v>30575</v>
      </c>
      <c r="O8145" s="3"/>
      <c r="P8145" s="1" t="s">
        <v>20</v>
      </c>
      <c r="R8145" s="1" t="s">
        <v>14925</v>
      </c>
      <c r="V8145" s="1" t="s">
        <v>14938</v>
      </c>
      <c r="AR8145" s="1" t="str">
        <f t="shared" si="515"/>
        <v>| [ㄑㄧˊ](ㄑㄧˊ.md) | [祈](祈.md) |  | qí | [動]
1.向神明求福。如：「祈禱」、「祈福」。《說文解字．示部》：「祈，求福也。」《詩經．周頌．噫嘻．序》：「〈噫嘻〉，春夏祈穀于上帝也。」漢．鄭玄．注：「祈，猶禱也，求也。」《禮記．月令》：「以祠宗廟社稷之靈，以為民祈福。」
2.請、求。如：「祈求」、「祈請」。《詩經．小雅．賓之初筵》：「發彼有的，以祈爾爵。」漢．毛亨．傳：「祈，求也。」《呂氏春秋．孟冬紀．安死》：「憚耕稼采薪之勞，不肯官人事，而祈美衣侈食之樂。」
[名]
1.京城千里之地。通「圻」、「畿」。《詩經．小雅．祈父．序》：「〈祈父〉，刺宣王也。」漢．鄭玄．箋：「祈、圻、畿同。」
2.姓。如晉代有祈嘉，元代有祈望芳。 |</v>
      </c>
    </row>
    <row r="8146" spans="1:44" hidden="1">
      <c r="A8146" s="1" t="s">
        <v>14939</v>
      </c>
      <c r="C8146" s="1">
        <v>1</v>
      </c>
      <c r="D8146" s="1" t="str">
        <f>"06237"</f>
        <v>06237</v>
      </c>
      <c r="E8146" s="1" t="s">
        <v>800</v>
      </c>
      <c r="F8146" s="1">
        <v>10</v>
      </c>
      <c r="G8146" s="1">
        <v>6</v>
      </c>
      <c r="H8146" s="1">
        <v>0</v>
      </c>
      <c r="I8146" s="1" t="s">
        <v>14924</v>
      </c>
      <c r="K8146" s="1" t="str">
        <f t="shared" si="513"/>
        <v>ㄑ</v>
      </c>
      <c r="L8146" s="1" t="str">
        <f t="shared" si="514"/>
        <v>ㄧ</v>
      </c>
      <c r="N8146" s="3" t="s">
        <v>30575</v>
      </c>
      <c r="O8146" s="3"/>
      <c r="P8146" s="1" t="s">
        <v>20</v>
      </c>
      <c r="R8146" s="1" t="s">
        <v>14925</v>
      </c>
      <c r="V8146" s="1" t="s">
        <v>14940</v>
      </c>
      <c r="AR8146" s="1" t="str">
        <f t="shared" si="515"/>
        <v>| [ㄑㄧˊ](ㄑㄧˊ.md) | [旂](旂.md) |  | qí | [名]
1.一種在旗旒上畫龍，並在旗竿竿頭繫鈴作為裝飾的旗子。《爾雅．釋天》：「注旄首曰旌，有鈴曰旂。」晉．郭璞．注：「縣鈴於竿頭，畫蛟龍於旒。」《孟子．萬章下》：「庶人以旃，士以旂。」漢．趙岐．注：「旂，旌有鈴者。」
2.泛指各種旗幟。《爾雅．釋天》：「旌旂。」宋．邢昺．疏：「旌旂者，九旗之名雖異，旌旂為之摠稱，故以此題之。」《左傳．僖公五年》：「均服振振，取虢之旂。」 |</v>
      </c>
    </row>
    <row r="8147" spans="1:44" hidden="1">
      <c r="A8147" s="1" t="s">
        <v>14941</v>
      </c>
      <c r="C8147" s="1">
        <v>1</v>
      </c>
      <c r="D8147" s="1" t="str">
        <f>"06238"</f>
        <v>06238</v>
      </c>
      <c r="E8147" s="1" t="s">
        <v>684</v>
      </c>
      <c r="F8147" s="1">
        <v>13</v>
      </c>
      <c r="G8147" s="1">
        <v>4</v>
      </c>
      <c r="H8147" s="1">
        <v>0</v>
      </c>
      <c r="I8147" s="1" t="s">
        <v>14924</v>
      </c>
      <c r="K8147" s="1" t="str">
        <f t="shared" si="513"/>
        <v>ㄑ</v>
      </c>
      <c r="L8147" s="1" t="str">
        <f t="shared" si="514"/>
        <v>ㄧ</v>
      </c>
      <c r="N8147" s="3" t="s">
        <v>30575</v>
      </c>
      <c r="O8147" s="3"/>
      <c r="P8147" s="1" t="s">
        <v>20</v>
      </c>
      <c r="R8147" s="1" t="s">
        <v>14925</v>
      </c>
      <c r="V8147" s="1" t="s">
        <v>14942</v>
      </c>
      <c r="AR8147" s="1" t="str">
        <f t="shared" si="515"/>
        <v>| [ㄑㄧˊ](ㄑㄧˊ.md) | [頎](頎.md) |  | qí | [形]
身材修長、高大的樣子。《集韻．平聲．微韻》：「頎，一曰長貌。」《詩經．衛風．碩人》：「碩人其頎，衣錦褧衣。」漢．毛亨．傳：「頎，長貌。」 |</v>
      </c>
    </row>
    <row r="8148" spans="1:44" hidden="1">
      <c r="A8148" s="1" t="s">
        <v>14943</v>
      </c>
      <c r="C8148" s="1">
        <v>1</v>
      </c>
      <c r="D8148" s="1" t="str">
        <f>"06239"</f>
        <v>06239</v>
      </c>
      <c r="E8148" s="1" t="s">
        <v>37</v>
      </c>
      <c r="F8148" s="1">
        <v>20</v>
      </c>
      <c r="G8148" s="1">
        <v>16</v>
      </c>
      <c r="H8148" s="1">
        <v>0</v>
      </c>
      <c r="I8148" s="1" t="s">
        <v>14924</v>
      </c>
      <c r="K8148" s="1" t="str">
        <f t="shared" si="513"/>
        <v>ㄑ</v>
      </c>
      <c r="L8148" s="1" t="str">
        <f t="shared" si="514"/>
        <v>ㄧ</v>
      </c>
      <c r="N8148" s="3" t="s">
        <v>30575</v>
      </c>
      <c r="O8148" s="3"/>
      <c r="P8148" s="1" t="s">
        <v>20</v>
      </c>
      <c r="R8148" s="1" t="s">
        <v>14925</v>
      </c>
      <c r="V8148" s="1" t="s">
        <v>14944</v>
      </c>
      <c r="AR8148" s="1" t="str">
        <f t="shared" si="515"/>
        <v>| [ㄑㄧˊ](ㄑㄧˊ.md) | [蘄](蘄.md) |  | qí | [動]
祈求。通「祈」。《說文解字．艸部》「蘄」字．清．段玉裁．注：「古鐘鼎款識多借為祈字。」《莊子．養生主》：「不蘄畜乎樊中，神雖王，不善也。」晉．郭象．注：「蘄，求也。」唐．韓愈〈答李翊書〉：「將蘄至於古之立言者，則無望其速成，無誘於勢利。」
[名]
姓。如漢代有蘄良。 |</v>
      </c>
    </row>
    <row r="8149" spans="1:44" hidden="1">
      <c r="A8149" s="1" t="s">
        <v>14945</v>
      </c>
      <c r="C8149" s="1">
        <v>1</v>
      </c>
      <c r="D8149" s="1" t="str">
        <f>"06240"</f>
        <v>06240</v>
      </c>
      <c r="E8149" s="1" t="s">
        <v>190</v>
      </c>
      <c r="F8149" s="1">
        <v>7</v>
      </c>
      <c r="G8149" s="1">
        <v>4</v>
      </c>
      <c r="H8149" s="1">
        <v>0</v>
      </c>
      <c r="I8149" s="1" t="s">
        <v>14924</v>
      </c>
      <c r="K8149" s="1" t="str">
        <f t="shared" si="513"/>
        <v>ㄑ</v>
      </c>
      <c r="L8149" s="1" t="str">
        <f t="shared" si="514"/>
        <v>ㄧ</v>
      </c>
      <c r="N8149" s="3" t="s">
        <v>30575</v>
      </c>
      <c r="O8149" s="3"/>
      <c r="P8149" s="1" t="s">
        <v>20</v>
      </c>
      <c r="R8149" s="1" t="s">
        <v>14925</v>
      </c>
      <c r="V8149" s="1" t="s">
        <v>14946</v>
      </c>
      <c r="AR8149" s="1" t="str">
        <f t="shared" si="515"/>
        <v>| [ㄑㄧˊ](ㄑㄧˊ.md) | [岐](岐.md) |  | qí | [名]
1.參見「岐山」條。
2.事物的分支。通「歧」。《後漢書．卷三一．張堪傳》：「桑無附枝，麥穗兩岐。」
3.姓。如晉代有岐盛。
[形]
分岔的。通「歧」。《呂氏春秋．慎行論．疑似》：「此愚人之所大惑，而聖人之所加慮也，故墨子見岐道而哭之。」 |</v>
      </c>
    </row>
    <row r="8150" spans="1:44" hidden="1">
      <c r="A8150" s="1" t="s">
        <v>14947</v>
      </c>
      <c r="C8150" s="1">
        <v>1</v>
      </c>
      <c r="D8150" s="1" t="str">
        <f>"06241"</f>
        <v>06241</v>
      </c>
      <c r="E8150" s="1" t="s">
        <v>139</v>
      </c>
      <c r="F8150" s="1">
        <v>8</v>
      </c>
      <c r="G8150" s="1">
        <v>4</v>
      </c>
      <c r="H8150" s="1">
        <v>2</v>
      </c>
      <c r="I8150" s="1" t="s">
        <v>14924</v>
      </c>
      <c r="K8150" s="1" t="str">
        <f t="shared" si="513"/>
        <v>ㄑ</v>
      </c>
      <c r="L8150" s="1" t="str">
        <f t="shared" si="514"/>
        <v>ㄧ</v>
      </c>
      <c r="N8150" s="3" t="s">
        <v>30575</v>
      </c>
      <c r="O8150" s="3"/>
      <c r="P8150" s="1" t="s">
        <v>20</v>
      </c>
      <c r="R8150" s="1" t="s">
        <v>14925</v>
      </c>
      <c r="V8150" s="1" t="s">
        <v>14948</v>
      </c>
      <c r="W8150" s="1" t="s">
        <v>14949</v>
      </c>
      <c r="AR8150" s="1" t="str">
        <f t="shared" si="515"/>
        <v>| [ㄑㄧˊ](ㄑㄧˊ.md) | [枝](枝.md) |  | qí | [名]
多出的腳趾。同「跂」。如：「駢拇枝指」。《集韻．平聲．支韻》：「跂，《說文》：『足多指也。』或作枝。」 |</v>
      </c>
    </row>
    <row r="8151" spans="1:44" hidden="1">
      <c r="A8151" s="1" t="s">
        <v>14950</v>
      </c>
      <c r="C8151" s="1">
        <v>1</v>
      </c>
      <c r="D8151" s="1" t="str">
        <f>"06242"</f>
        <v>06242</v>
      </c>
      <c r="E8151" s="1" t="s">
        <v>1495</v>
      </c>
      <c r="F8151" s="1">
        <v>8</v>
      </c>
      <c r="G8151" s="1">
        <v>4</v>
      </c>
      <c r="H8151" s="1">
        <v>0</v>
      </c>
      <c r="I8151" s="1" t="s">
        <v>14924</v>
      </c>
      <c r="K8151" s="1" t="str">
        <f t="shared" si="513"/>
        <v>ㄑ</v>
      </c>
      <c r="L8151" s="1" t="str">
        <f t="shared" si="514"/>
        <v>ㄧ</v>
      </c>
      <c r="N8151" s="3" t="s">
        <v>30575</v>
      </c>
      <c r="O8151" s="3"/>
      <c r="P8151" s="1" t="s">
        <v>20</v>
      </c>
      <c r="R8151" s="1" t="s">
        <v>14925</v>
      </c>
      <c r="V8151" s="1" t="s">
        <v>14951</v>
      </c>
      <c r="AR8151" s="1" t="str">
        <f t="shared" si="515"/>
        <v>| [ㄑㄧˊ](ㄑㄧˊ.md) | [歧](歧.md) |  | qí | [名]
分岔的道路。《列子．說符》：「大道以多歧亡羊，學者以多方喪生。」《文選．左思．蜀都賦》：「羲和假道於峻歧，陽鳥迴翼乎高標。」
[形]
分岔不一致的、有差別的。如：「歧義」。《文選．曹植．美女篇》：「美女妖且閑，采桑歧路間。」南朝梁．劉勰《文心雕龍．詮賦》：「賦自詩出，分歧異派。」 |</v>
      </c>
    </row>
    <row r="8152" spans="1:44" hidden="1">
      <c r="A8152" s="1" t="s">
        <v>14952</v>
      </c>
      <c r="C8152" s="1">
        <v>1</v>
      </c>
      <c r="D8152" s="1" t="str">
        <f>"06243"</f>
        <v>06243</v>
      </c>
      <c r="E8152" s="1" t="s">
        <v>679</v>
      </c>
      <c r="F8152" s="1">
        <v>10</v>
      </c>
      <c r="G8152" s="1">
        <v>4</v>
      </c>
      <c r="H8152" s="1">
        <v>0</v>
      </c>
      <c r="I8152" s="1" t="s">
        <v>14924</v>
      </c>
      <c r="K8152" s="1" t="str">
        <f t="shared" si="513"/>
        <v>ㄑ</v>
      </c>
      <c r="L8152" s="1" t="str">
        <f t="shared" si="514"/>
        <v>ㄧ</v>
      </c>
      <c r="N8152" s="3" t="s">
        <v>30575</v>
      </c>
      <c r="O8152" s="3"/>
      <c r="P8152" s="1" t="s">
        <v>20</v>
      </c>
      <c r="R8152" s="1" t="s">
        <v>14925</v>
      </c>
      <c r="V8152" s="1" t="s">
        <v>14953</v>
      </c>
      <c r="AR8152" s="1" t="str">
        <f t="shared" si="515"/>
        <v>| [ㄑㄧˊ](ㄑㄧˊ.md) | [蚑](蚑.md) |  | qí | [副]
動物爬行徐緩的樣子。《淮南子．俶真》：「蠉飛蝡動，蚑行噲息。」《文選．嵇康．琴賦》：「感天地以致和，況蚑行之眾類。」 |</v>
      </c>
    </row>
    <row r="8153" spans="1:44" hidden="1">
      <c r="A8153" s="1" t="s">
        <v>14954</v>
      </c>
      <c r="C8153" s="1">
        <v>1</v>
      </c>
      <c r="D8153" s="1" t="str">
        <f>"06244"</f>
        <v>06244</v>
      </c>
      <c r="E8153" s="1" t="s">
        <v>77</v>
      </c>
      <c r="F8153" s="1">
        <v>11</v>
      </c>
      <c r="G8153" s="1">
        <v>4</v>
      </c>
      <c r="H8153" s="1">
        <v>1</v>
      </c>
      <c r="I8153" s="1" t="s">
        <v>14924</v>
      </c>
      <c r="K8153" s="1" t="str">
        <f t="shared" si="513"/>
        <v>ㄑ</v>
      </c>
      <c r="L8153" s="1" t="str">
        <f t="shared" si="514"/>
        <v>ㄧ</v>
      </c>
      <c r="N8153" s="3" t="s">
        <v>30575</v>
      </c>
      <c r="O8153" s="3"/>
      <c r="P8153" s="1" t="s">
        <v>20</v>
      </c>
      <c r="R8153" s="1" t="s">
        <v>14925</v>
      </c>
      <c r="V8153" s="1" t="s">
        <v>14955</v>
      </c>
      <c r="W8153" s="1" t="s">
        <v>14956</v>
      </c>
      <c r="AR8153" s="1" t="str">
        <f t="shared" si="515"/>
        <v>| [ㄑㄧˊ](ㄑㄧˊ.md) | [跂](跂.md) |  | qí | [名]
腳上多出的腳趾頭。《說文解字．足部》：「跂，足多指也。」《莊子．駢拇》：「故合者不為駢，而枝者不為跂。」
[副]
蟲爬行徐緩的樣子。通「蚑」。《史記．卷一一〇．匈奴列傳》：「跂行喙息蠕動之類，莫不就安利而辟危殆。」 |</v>
      </c>
    </row>
    <row r="8154" spans="1:44" hidden="1">
      <c r="A8154" s="1" t="s">
        <v>12835</v>
      </c>
      <c r="C8154" s="1">
        <v>1</v>
      </c>
      <c r="D8154" s="1" t="str">
        <f>"06245"</f>
        <v>06245</v>
      </c>
      <c r="E8154" s="1" t="s">
        <v>18</v>
      </c>
      <c r="F8154" s="1">
        <v>8</v>
      </c>
      <c r="G8154" s="1">
        <v>6</v>
      </c>
      <c r="H8154" s="1">
        <v>1</v>
      </c>
      <c r="I8154" s="1" t="s">
        <v>14924</v>
      </c>
      <c r="K8154" s="1" t="str">
        <f t="shared" si="513"/>
        <v>ㄑ</v>
      </c>
      <c r="L8154" s="1" t="str">
        <f t="shared" si="514"/>
        <v>ㄧ</v>
      </c>
      <c r="N8154" s="3" t="s">
        <v>30575</v>
      </c>
      <c r="O8154" s="3"/>
      <c r="P8154" s="1" t="s">
        <v>20</v>
      </c>
      <c r="R8154" s="1" t="s">
        <v>14925</v>
      </c>
      <c r="V8154" s="1" t="s">
        <v>14957</v>
      </c>
      <c r="W8154" s="1" t="s">
        <v>14958</v>
      </c>
      <c r="AR8154" s="1" t="str">
        <f t="shared" si="515"/>
        <v>| [ㄑㄧˊ](ㄑㄧˊ.md) | [其](其.md) |  | qí | [代]
1.他、他們。用於第三人稱。如：「聽其自然」、「任其自生自滅」。《孟子．萬章上》：「親之，欲其貴也。」唐．韓愈〈師說〉：「余嘉其能行古道，作〈師說〉以貽之。」
2.他的、他們的。如：「人盡其才」、「各得其所」。晉．陶淵明〈五柳先生傳〉：「亦不詳其姓氏。」
[形]
這個、那樣，表示指示。如：「查無其事」、「不厭其煩」。《文選．司馬遷．報任少卿書》：「藏諸名山，傳之其人。」
[副]
1.殆、大概，表示揣測。《禮記．檀弓上》：「吾今日其庶幾乎？」唐．柳宗元〈封建論〉：「勢之來，其生人之初乎！」
2.將，表示時間。《左傳．莊公二十二年》：「五世其昌，並于正卿。」《管子．小匡》：「教訓不善，政事其不治。」
3.豈、難道，表示反詰。《左傳．僖公十年》：「欲加之罪，其無辭乎？」唐．韓愈〈祭十二郎文〉：「如吾之衰者，其能久存乎？」
4.可、應該，表示期望。《左傳．隱公三年》：「吾子其無廢先君之功！」《戰國策．魏策四》：「寡人欲以五百里之地易安陵，安陵君其許寡人。」
[連]
1.若、如果，表示假設。《荀子．勸學》：「蘭槐之根是為芷，其漸之滫，君之不近，庶人不服。」宋．蘇軾〈留侯論〉：「彼其能有所忍也，然後可以就大事。」
2.還是、或是，表示選擇。《莊子．養生主》：「是何人也？惡乎介也？天與？其人與？」《史記．卷四三．趙世家》：「秦誠愛趙乎？其實憎齊乎？物之甚者，賢主察之，秦非愛趙而憎齊也。」
[助]
1.發語詞，無義。《史記．卷八．高祖本紀》：「其以沛為朕湯沐邑。」
2.然，語中助詞。《詩經．秦風．小戎》：「言念君子，溫其如玉。」
3.表示語氣的加強。如：「尤其」、「極其」。
[名]
姓。如漢代有其石。 |</v>
      </c>
    </row>
    <row r="8155" spans="1:44" hidden="1">
      <c r="A8155" s="1" t="s">
        <v>14959</v>
      </c>
      <c r="C8155" s="1">
        <v>1</v>
      </c>
      <c r="D8155" s="1" t="str">
        <f>"06246"</f>
        <v>06246</v>
      </c>
      <c r="E8155" s="1" t="s">
        <v>129</v>
      </c>
      <c r="F8155" s="1">
        <v>11</v>
      </c>
      <c r="G8155" s="1">
        <v>8</v>
      </c>
      <c r="H8155" s="1">
        <v>0</v>
      </c>
      <c r="I8155" s="1" t="s">
        <v>14924</v>
      </c>
      <c r="K8155" s="1" t="str">
        <f t="shared" si="513"/>
        <v>ㄑ</v>
      </c>
      <c r="L8155" s="1" t="str">
        <f t="shared" si="514"/>
        <v>ㄧ</v>
      </c>
      <c r="N8155" s="3" t="s">
        <v>30575</v>
      </c>
      <c r="O8155" s="3"/>
      <c r="P8155" s="1" t="s">
        <v>20</v>
      </c>
      <c r="R8155" s="1" t="s">
        <v>14925</v>
      </c>
      <c r="V8155" s="1" t="s">
        <v>14960</v>
      </c>
      <c r="AR8155" s="1" t="str">
        <f t="shared" si="515"/>
        <v>| [ㄑㄧˊ](ㄑㄧˊ.md) | [淇](淇.md) |  | qí | 參見「淇水」條。 |</v>
      </c>
    </row>
    <row r="8156" spans="1:44" hidden="1">
      <c r="A8156" s="1" t="s">
        <v>14961</v>
      </c>
      <c r="C8156" s="1">
        <v>1</v>
      </c>
      <c r="D8156" s="1" t="str">
        <f>"06247"</f>
        <v>06247</v>
      </c>
      <c r="E8156" s="1" t="s">
        <v>142</v>
      </c>
      <c r="F8156" s="1">
        <v>12</v>
      </c>
      <c r="G8156" s="1">
        <v>8</v>
      </c>
      <c r="H8156" s="1">
        <v>0</v>
      </c>
      <c r="I8156" s="1" t="s">
        <v>14924</v>
      </c>
      <c r="K8156" s="1" t="str">
        <f t="shared" si="513"/>
        <v>ㄑ</v>
      </c>
      <c r="L8156" s="1" t="str">
        <f t="shared" si="514"/>
        <v>ㄧ</v>
      </c>
      <c r="N8156" s="3" t="s">
        <v>30575</v>
      </c>
      <c r="O8156" s="3"/>
      <c r="P8156" s="1" t="s">
        <v>20</v>
      </c>
      <c r="R8156" s="1" t="s">
        <v>14925</v>
      </c>
      <c r="V8156" s="1" t="s">
        <v>14962</v>
      </c>
      <c r="AR8156" s="1" t="str">
        <f t="shared" si="515"/>
        <v>| [ㄑㄧˊ](ㄑㄧˊ.md) | [琪](琪.md) |  | qí | [名]
一種美玉。《玉篇．玉部》：「琪，玉屬。」《北史．卷一二．隋煬帝本紀》：「上常服皮弁，十有二琪。」 |</v>
      </c>
    </row>
    <row r="8157" spans="1:44" hidden="1">
      <c r="A8157" s="1" t="s">
        <v>12840</v>
      </c>
      <c r="C8157" s="1">
        <v>1</v>
      </c>
      <c r="D8157" s="1" t="str">
        <f>"06248"</f>
        <v>06248</v>
      </c>
      <c r="E8157" s="1" t="s">
        <v>2014</v>
      </c>
      <c r="F8157" s="1">
        <v>12</v>
      </c>
      <c r="G8157" s="1">
        <v>8</v>
      </c>
      <c r="H8157" s="1">
        <v>1</v>
      </c>
      <c r="I8157" s="1" t="s">
        <v>14924</v>
      </c>
      <c r="K8157" s="1" t="str">
        <f t="shared" si="513"/>
        <v>ㄑ</v>
      </c>
      <c r="L8157" s="1" t="str">
        <f t="shared" si="514"/>
        <v>ㄧ</v>
      </c>
      <c r="N8157" s="3" t="s">
        <v>30575</v>
      </c>
      <c r="O8157" s="3"/>
      <c r="P8157" s="1" t="s">
        <v>20</v>
      </c>
      <c r="R8157" s="1" t="s">
        <v>14925</v>
      </c>
      <c r="V8157" s="1" t="s">
        <v>14963</v>
      </c>
      <c r="W8157" s="1" t="s">
        <v>14964</v>
      </c>
      <c r="AR8157" s="1" t="str">
        <f t="shared" si="515"/>
        <v>| [ㄑㄧˊ](ㄑㄧˊ.md) | [期](期.md) |  | qí | [動]
1.約定。如：「不期而遇」。《史記．卷七．項羽本紀》：「項羽乃與期洹水南殷虛上。」三國魏．曹丕〈秋胡行〉：「朝與佳人期，日夕殊不來。」
2.希冀、盼望。如：「期待」、「期望」。宋．歐陽修〈縱囚論〉：「是以君子之難能，期小人之尤者必能也。」元．關漢卿《竇娥冤》第三折：「你道是天公不可期，人心不可憐，不知皇天也肯從人願。」
[名]
1.時、日，或經約定的時、日。如：「時期」、「日期」、「限期」、「後會有期」。唐．李益〈江南詞〉：「嫁得瞿塘賈，朝朝誤妾期。」元．白樸《牆頭馬上．第二折》：「我今日與小姐赴期去來。」
2.一段時間。如：「假期」、「學期」、「潛伏期」、「危險期」。
3.限度。《詩經．小雅．南山有臺》：「樂只君子，萬壽無期。」唐．白居易〈長恨歌〉：「天長地久有時盡，此恨綿綿無絕期。」
4.量詞。計算事物分期的單位。如：「訓練計畫一年分為四期。」、「這本雜誌已出版五卷六十期。」 |</v>
      </c>
    </row>
    <row r="8158" spans="1:44" hidden="1">
      <c r="A8158" s="1" t="s">
        <v>12843</v>
      </c>
      <c r="C8158" s="1">
        <v>1</v>
      </c>
      <c r="D8158" s="1" t="str">
        <f>"06249"</f>
        <v>06249</v>
      </c>
      <c r="E8158" s="1" t="s">
        <v>139</v>
      </c>
      <c r="F8158" s="1">
        <v>12</v>
      </c>
      <c r="G8158" s="1">
        <v>8</v>
      </c>
      <c r="H8158" s="1">
        <v>1</v>
      </c>
      <c r="I8158" s="1" t="s">
        <v>14924</v>
      </c>
      <c r="K8158" s="1" t="str">
        <f t="shared" si="513"/>
        <v>ㄑ</v>
      </c>
      <c r="L8158" s="1" t="str">
        <f t="shared" si="514"/>
        <v>ㄧ</v>
      </c>
      <c r="N8158" s="3" t="s">
        <v>30575</v>
      </c>
      <c r="O8158" s="3"/>
      <c r="P8158" s="1" t="s">
        <v>20</v>
      </c>
      <c r="R8158" s="1" t="s">
        <v>14925</v>
      </c>
      <c r="V8158" s="1" t="s">
        <v>14965</v>
      </c>
      <c r="W8158" s="1" t="s">
        <v>14966</v>
      </c>
      <c r="AR8158" s="1" t="str">
        <f t="shared" si="515"/>
        <v>| [ㄑㄧˊ](ㄑㄧˊ.md) | [棋](棋.md) |  | qí | [名]
一種遊戲。有棋盤、棋子，下棋者依規則移動棋子，以定勝負。有跳棋、圍棋、象棋、五子棋、西洋棋等多種玩法。 |</v>
      </c>
    </row>
    <row r="8159" spans="1:44" hidden="1">
      <c r="A8159" s="1" t="s">
        <v>12846</v>
      </c>
      <c r="C8159" s="1">
        <v>1</v>
      </c>
      <c r="D8159" s="1" t="str">
        <f>"06250"</f>
        <v>06250</v>
      </c>
      <c r="E8159" s="1" t="s">
        <v>37</v>
      </c>
      <c r="F8159" s="1">
        <v>12</v>
      </c>
      <c r="G8159" s="1">
        <v>8</v>
      </c>
      <c r="H8159" s="1">
        <v>1</v>
      </c>
      <c r="I8159" s="1" t="s">
        <v>14924</v>
      </c>
      <c r="K8159" s="1" t="str">
        <f t="shared" si="513"/>
        <v>ㄑ</v>
      </c>
      <c r="L8159" s="1" t="str">
        <f t="shared" si="514"/>
        <v>ㄧ</v>
      </c>
      <c r="N8159" s="3" t="s">
        <v>30575</v>
      </c>
      <c r="O8159" s="3"/>
      <c r="P8159" s="1" t="s">
        <v>20</v>
      </c>
      <c r="R8159" s="1" t="s">
        <v>14925</v>
      </c>
      <c r="V8159" s="1" t="s">
        <v>14967</v>
      </c>
      <c r="W8159" s="1" t="s">
        <v>14968</v>
      </c>
      <c r="AR8159" s="1" t="str">
        <f t="shared" si="515"/>
        <v>| [ㄑㄧˊ](ㄑㄧˊ.md) | [萁](萁.md) |  | qí | [名]
豆莖。《漢書．卷六六．楊敞傳》：「田彼南山，蕪穢不治；種一頃豆，落而為萁。」南朝宋．劉義慶《世說新語．文學》：「萁在釜下然，豆在釜中泣。本自同根生，相煎何太急？」 |</v>
      </c>
    </row>
    <row r="8160" spans="1:44" hidden="1">
      <c r="A8160" s="1" t="s">
        <v>14969</v>
      </c>
      <c r="C8160" s="1">
        <v>1</v>
      </c>
      <c r="D8160" s="1" t="str">
        <f>"06251"</f>
        <v>06251</v>
      </c>
      <c r="E8160" s="1" t="s">
        <v>825</v>
      </c>
      <c r="F8160" s="1">
        <v>13</v>
      </c>
      <c r="G8160" s="1">
        <v>8</v>
      </c>
      <c r="H8160" s="1">
        <v>0</v>
      </c>
      <c r="I8160" s="1" t="s">
        <v>14924</v>
      </c>
      <c r="K8160" s="1" t="str">
        <f t="shared" si="513"/>
        <v>ㄑ</v>
      </c>
      <c r="L8160" s="1" t="str">
        <f t="shared" si="514"/>
        <v>ㄧ</v>
      </c>
      <c r="N8160" s="3" t="s">
        <v>30575</v>
      </c>
      <c r="O8160" s="3"/>
      <c r="P8160" s="1" t="s">
        <v>20</v>
      </c>
      <c r="R8160" s="1" t="s">
        <v>14925</v>
      </c>
      <c r="V8160" s="1" t="s">
        <v>14970</v>
      </c>
      <c r="AR8160" s="1" t="str">
        <f t="shared" si="515"/>
        <v>| [ㄑㄧˊ](ㄑㄧˊ.md) | [祺](祺.md) |  | qí | [名]
安泰無憂。常用於書信結尾時的祝頌語。如：「即頌暑祺」、「順候近祺」。
[形]
吉祥。《詩經．大雅．行葦》：「壽考維祺，以介景福。」 |</v>
      </c>
    </row>
    <row r="8161" spans="1:44" hidden="1">
      <c r="A8161" s="1" t="s">
        <v>14971</v>
      </c>
      <c r="C8161" s="1">
        <v>1</v>
      </c>
      <c r="D8161" s="1" t="str">
        <f>"06252"</f>
        <v>06252</v>
      </c>
      <c r="E8161" s="1" t="s">
        <v>800</v>
      </c>
      <c r="F8161" s="1">
        <v>14</v>
      </c>
      <c r="G8161" s="1">
        <v>10</v>
      </c>
      <c r="H8161" s="1">
        <v>0</v>
      </c>
      <c r="I8161" s="1" t="s">
        <v>14924</v>
      </c>
      <c r="K8161" s="1" t="str">
        <f t="shared" si="513"/>
        <v>ㄑ</v>
      </c>
      <c r="L8161" s="1" t="str">
        <f t="shared" si="514"/>
        <v>ㄧ</v>
      </c>
      <c r="N8161" s="3" t="s">
        <v>30575</v>
      </c>
      <c r="O8161" s="3"/>
      <c r="P8161" s="1" t="s">
        <v>20</v>
      </c>
      <c r="R8161" s="1" t="s">
        <v>14925</v>
      </c>
      <c r="V8161" s="1" t="s">
        <v>14972</v>
      </c>
      <c r="AR8161" s="1" t="str">
        <f t="shared" si="515"/>
        <v>| [ㄑㄧˊ](ㄑㄧˊ.md) | [旗](旗.md) |  | qí | [名]
1.裝在竿上，有特別圖案，作為某種標幟或號令的布帛或紙。如：「國旗」、「旌旗」、「令旗」、「搖旗吶喊」。《文選．賈誼．過秦論》：「斬木為兵，揭竿為旗，天下雲集而響應。」宋．王安石〈桂枝香．登臨送目〉詞：「歸帆去棹殘陽裡，背西風、酒旗斜矗。」
2.清代軍隊的部署單位。參見「八旗」條。
3.清代蒙古的行政區域。相當於「縣」。參見「盟旗制度」條。
4.姓。如漢代有旗光。 |</v>
      </c>
    </row>
    <row r="8162" spans="1:44" hidden="1">
      <c r="A8162" s="1" t="s">
        <v>14973</v>
      </c>
      <c r="C8162" s="1">
        <v>1</v>
      </c>
      <c r="D8162" s="1" t="str">
        <f>"06253"</f>
        <v>06253</v>
      </c>
      <c r="E8162" s="1" t="s">
        <v>725</v>
      </c>
      <c r="F8162" s="1">
        <v>14</v>
      </c>
      <c r="G8162" s="1">
        <v>8</v>
      </c>
      <c r="H8162" s="1">
        <v>0</v>
      </c>
      <c r="I8162" s="1" t="s">
        <v>14924</v>
      </c>
      <c r="K8162" s="1" t="str">
        <f t="shared" si="513"/>
        <v>ㄑ</v>
      </c>
      <c r="L8162" s="1" t="str">
        <f t="shared" si="514"/>
        <v>ㄧ</v>
      </c>
      <c r="N8162" s="3" t="s">
        <v>30575</v>
      </c>
      <c r="O8162" s="3"/>
      <c r="P8162" s="1" t="s">
        <v>20</v>
      </c>
      <c r="R8162" s="1" t="s">
        <v>14925</v>
      </c>
      <c r="V8162" s="1" t="s">
        <v>14974</v>
      </c>
      <c r="AR8162" s="1" t="str">
        <f t="shared" si="515"/>
        <v>| [ㄑㄧˊ](ㄑㄧˊ.md) | [綦](綦.md) |  | qí | [形]
青黑色的。《書經．顧命》：「四人綦弁，執戈上刃。」孔穎達正義引鄭玄曰：「青黑曰綦。」《詩經．鄭風．出其東門》：「縞衣綦巾，聊樂我員。」
[名]
1.鞋帶。《儀禮．士喪禮》：「夏葛履，冬白屨，皆繶緇絇，純組綦繫于踵。」
2.足印、印跡。《漢書．卷九七．外戚傳下．孝成班倢伃傳》：「俯視兮丹墀，思兮履綦。」《文選．張協．雜詩一〇首之三》：「案無蕭氏牘，庭無貢公綦。」
3.姓。如宋代有綦崇禮。
[動]
極、甚。宋．蘇軾〈禮義信足以成德論〉：「綦大而至天子，綦小而至農夫，各有其分不可亂也。」《聊齋志異．卷一．焦螟》：「家人受虐已久，銜恨綦深。」 |</v>
      </c>
    </row>
    <row r="8163" spans="1:44" hidden="1">
      <c r="A8163" s="1" t="s">
        <v>14975</v>
      </c>
      <c r="C8163" s="1">
        <v>1</v>
      </c>
      <c r="D8163" s="1" t="str">
        <f>"06254"</f>
        <v>06254</v>
      </c>
      <c r="E8163" s="1" t="s">
        <v>679</v>
      </c>
      <c r="F8163" s="1">
        <v>14</v>
      </c>
      <c r="G8163" s="1">
        <v>8</v>
      </c>
      <c r="H8163" s="1">
        <v>0</v>
      </c>
      <c r="I8163" s="1" t="s">
        <v>14924</v>
      </c>
      <c r="K8163" s="1" t="str">
        <f t="shared" si="513"/>
        <v>ㄑ</v>
      </c>
      <c r="L8163" s="1" t="str">
        <f t="shared" si="514"/>
        <v>ㄧ</v>
      </c>
      <c r="N8163" s="3" t="s">
        <v>30575</v>
      </c>
      <c r="O8163" s="3"/>
      <c r="P8163" s="1" t="s">
        <v>20</v>
      </c>
      <c r="R8163" s="1" t="s">
        <v>14925</v>
      </c>
      <c r="V8163" s="1" t="s">
        <v>14976</v>
      </c>
      <c r="AR8163" s="1" t="str">
        <f t="shared" si="515"/>
        <v>| [ㄑㄧˊ](ㄑㄧˊ.md) | [蜞](蜞.md) |  | qí | 參見「蟛蜞」條。 |</v>
      </c>
    </row>
    <row r="8164" spans="1:44" hidden="1">
      <c r="A8164" s="1" t="s">
        <v>14977</v>
      </c>
      <c r="C8164" s="1">
        <v>1</v>
      </c>
      <c r="D8164" s="1" t="str">
        <f>"06255"</f>
        <v>06255</v>
      </c>
      <c r="E8164" s="1" t="s">
        <v>319</v>
      </c>
      <c r="F8164" s="1">
        <v>18</v>
      </c>
      <c r="G8164" s="1">
        <v>8</v>
      </c>
      <c r="H8164" s="1">
        <v>0</v>
      </c>
      <c r="I8164" s="1" t="s">
        <v>14924</v>
      </c>
      <c r="K8164" s="1" t="str">
        <f t="shared" si="513"/>
        <v>ㄑ</v>
      </c>
      <c r="L8164" s="1" t="str">
        <f t="shared" si="514"/>
        <v>ㄧ</v>
      </c>
      <c r="N8164" s="3" t="s">
        <v>30575</v>
      </c>
      <c r="O8164" s="3"/>
      <c r="P8164" s="1" t="s">
        <v>20</v>
      </c>
      <c r="R8164" s="1" t="s">
        <v>14925</v>
      </c>
      <c r="V8164" s="1" t="s">
        <v>14978</v>
      </c>
      <c r="AR8164" s="1" t="str">
        <f t="shared" si="515"/>
        <v>| [ㄑㄧˊ](ㄑㄧˊ.md) | [騏](騏.md) |  | qí | [名]
1.青黑色的馬。《說文解字．馬部》：「騏，馬青驪文如綦也。」《詩經．魯頌．駉》：「有騂有騏，以車伾伾。」《文選．左思．吳都賦》：「六軍袀服，四騏龍驤。」
2.姓。如春秋時楚國有騏瘠夫，漢代有騏殷。 |</v>
      </c>
    </row>
    <row r="8165" spans="1:44" hidden="1">
      <c r="A8165" s="1" t="s">
        <v>14979</v>
      </c>
      <c r="C8165" s="1">
        <v>1</v>
      </c>
      <c r="D8165" s="1" t="str">
        <f>"06256"</f>
        <v>06256</v>
      </c>
      <c r="E8165" s="1" t="s">
        <v>1190</v>
      </c>
      <c r="F8165" s="1">
        <v>19</v>
      </c>
      <c r="G8165" s="1">
        <v>8</v>
      </c>
      <c r="H8165" s="1">
        <v>0</v>
      </c>
      <c r="I8165" s="1" t="s">
        <v>14924</v>
      </c>
      <c r="K8165" s="1" t="str">
        <f t="shared" si="513"/>
        <v>ㄑ</v>
      </c>
      <c r="L8165" s="1" t="str">
        <f t="shared" si="514"/>
        <v>ㄧ</v>
      </c>
      <c r="N8165" s="3" t="s">
        <v>30575</v>
      </c>
      <c r="O8165" s="3"/>
      <c r="P8165" s="1" t="s">
        <v>20</v>
      </c>
      <c r="R8165" s="1" t="s">
        <v>14925</v>
      </c>
      <c r="V8165" s="1" t="s">
        <v>14980</v>
      </c>
      <c r="AR8165" s="1" t="str">
        <f t="shared" si="515"/>
        <v>| [ㄑㄧˊ](ㄑㄧˊ.md) | [麒](麒.md) |  | qí | 參見「麒麟」條。 |</v>
      </c>
    </row>
    <row r="8166" spans="1:44" hidden="1">
      <c r="A8166" s="1" t="s">
        <v>12853</v>
      </c>
      <c r="C8166" s="1">
        <v>1</v>
      </c>
      <c r="D8166" s="1" t="str">
        <f>"06257"</f>
        <v>06257</v>
      </c>
      <c r="E8166" s="1" t="s">
        <v>563</v>
      </c>
      <c r="F8166" s="1">
        <v>8</v>
      </c>
      <c r="G8166" s="1">
        <v>5</v>
      </c>
      <c r="H8166" s="1">
        <v>1</v>
      </c>
      <c r="I8166" s="1" t="s">
        <v>14924</v>
      </c>
      <c r="K8166" s="1" t="str">
        <f t="shared" si="513"/>
        <v>ㄑ</v>
      </c>
      <c r="L8166" s="1" t="str">
        <f t="shared" si="514"/>
        <v>ㄧ</v>
      </c>
      <c r="N8166" s="3" t="s">
        <v>30575</v>
      </c>
      <c r="O8166" s="3"/>
      <c r="P8166" s="1" t="s">
        <v>20</v>
      </c>
      <c r="R8166" s="1" t="s">
        <v>14925</v>
      </c>
      <c r="V8166" s="1" t="s">
        <v>14981</v>
      </c>
      <c r="W8166" s="1" t="s">
        <v>14982</v>
      </c>
      <c r="AR8166" s="1" t="str">
        <f t="shared" si="515"/>
        <v>| [ㄑㄧˊ](ㄑㄧˊ.md) | [奇](奇.md) |  | qí | [形]
1.特別、不尋常。如：「奇文」、「奇人奇事」、「稀奇古怪」、「奇貨可居」。《文選．古詩十九首．庭中有奇樹》：「庭中有奇樹，綠葉發華滋。」唐．杜荀鶴〈投李大夫〉詩：「自小癖於詩，篇篇恨不奇。」
2.出人意表、難以揣測。如：「奇計」、「奇謀怪略」。
3.善、美好。《樂府詩集．卷七三．雜曲歌辭十三．古辭．焦仲卿妻》：「今日違情義，恐此事非奇。」宋．蘇軾〈飲湖上初晴後雨〉詩二首之二：「水光瀲灩晴方好，山色空濛雨亦奇。」
[動]
驚異、視為特殊。《三國志．卷二一．魏書．王粲傳》：「獻帝西遷，粲徙長安，左中郎將蔡邕見而奇之。」唐．杜光庭《虯髯客傳》：「文靜素奇其人，一旦聞有客善相，遽致使迎之。」
[副]
極、甚。《鏡花緣》第一二回：「小吃上完，方及正餚，菜既奇豐，碗亦奇大。」
[名]
特殊或奇險的事物。如：「出奇制勝」。《老子》第五七章：「以正治國，以奇用兵。」明．袁宏道〈袁中郎遊記．靈隱〉：「撮奇搜勝，物無遁形。」 |</v>
      </c>
    </row>
    <row r="8167" spans="1:44" hidden="1">
      <c r="A8167" s="1" t="s">
        <v>14983</v>
      </c>
      <c r="C8167" s="1">
        <v>1</v>
      </c>
      <c r="D8167" s="1" t="str">
        <f>"06258"</f>
        <v>06258</v>
      </c>
      <c r="E8167" s="1" t="s">
        <v>132</v>
      </c>
      <c r="F8167" s="1">
        <v>11</v>
      </c>
      <c r="G8167" s="1">
        <v>8</v>
      </c>
      <c r="H8167" s="1">
        <v>0</v>
      </c>
      <c r="I8167" s="1" t="s">
        <v>14924</v>
      </c>
      <c r="K8167" s="1" t="str">
        <f t="shared" si="513"/>
        <v>ㄑ</v>
      </c>
      <c r="L8167" s="1" t="str">
        <f t="shared" si="514"/>
        <v>ㄧ</v>
      </c>
      <c r="N8167" s="3" t="s">
        <v>30575</v>
      </c>
      <c r="O8167" s="3"/>
      <c r="P8167" s="1" t="s">
        <v>20</v>
      </c>
      <c r="R8167" s="1" t="s">
        <v>14925</v>
      </c>
      <c r="V8167" s="1" t="s">
        <v>14984</v>
      </c>
      <c r="AR8167" s="1" t="str">
        <f t="shared" si="515"/>
        <v>| [ㄑㄧˊ](ㄑㄧˊ.md) | [埼](埼.md) |  | qí | [名]
彎曲的海岸。《文選．司馬相如．上林賦》：「赴隘陿之口，觸穹口，激堆埼，沸乎暴怒。」 |</v>
      </c>
    </row>
    <row r="8168" spans="1:44" hidden="1">
      <c r="A8168" s="1" t="s">
        <v>14985</v>
      </c>
      <c r="C8168" s="1">
        <v>1</v>
      </c>
      <c r="D8168" s="1" t="str">
        <f>"06259"</f>
        <v>06259</v>
      </c>
      <c r="E8168" s="1" t="s">
        <v>190</v>
      </c>
      <c r="F8168" s="1">
        <v>11</v>
      </c>
      <c r="G8168" s="1">
        <v>8</v>
      </c>
      <c r="H8168" s="1">
        <v>0</v>
      </c>
      <c r="I8168" s="1" t="s">
        <v>14924</v>
      </c>
      <c r="K8168" s="1" t="str">
        <f t="shared" si="513"/>
        <v>ㄑ</v>
      </c>
      <c r="L8168" s="1" t="str">
        <f t="shared" si="514"/>
        <v>ㄧ</v>
      </c>
      <c r="N8168" s="3" t="s">
        <v>30575</v>
      </c>
      <c r="O8168" s="3"/>
      <c r="P8168" s="1" t="s">
        <v>20</v>
      </c>
      <c r="R8168" s="1" t="s">
        <v>14925</v>
      </c>
      <c r="V8168" s="1" t="s">
        <v>14986</v>
      </c>
      <c r="AR8168" s="1" t="str">
        <f t="shared" si="515"/>
        <v>| [ㄑㄧˊ](ㄑㄧˊ.md) | [崎](崎.md) |  | qí | 參見「崎嶇」條。 |</v>
      </c>
    </row>
    <row r="8169" spans="1:44" hidden="1">
      <c r="A8169" s="1" t="s">
        <v>14987</v>
      </c>
      <c r="C8169" s="1">
        <v>1</v>
      </c>
      <c r="D8169" s="1" t="str">
        <f>"06260"</f>
        <v>06260</v>
      </c>
      <c r="E8169" s="1" t="s">
        <v>142</v>
      </c>
      <c r="F8169" s="1">
        <v>12</v>
      </c>
      <c r="G8169" s="1">
        <v>8</v>
      </c>
      <c r="H8169" s="1">
        <v>0</v>
      </c>
      <c r="I8169" s="1" t="s">
        <v>14924</v>
      </c>
      <c r="K8169" s="1" t="str">
        <f t="shared" si="513"/>
        <v>ㄑ</v>
      </c>
      <c r="L8169" s="1" t="str">
        <f t="shared" si="514"/>
        <v>ㄧ</v>
      </c>
      <c r="N8169" s="3" t="s">
        <v>30575</v>
      </c>
      <c r="O8169" s="3"/>
      <c r="P8169" s="1" t="s">
        <v>20</v>
      </c>
      <c r="R8169" s="1" t="s">
        <v>14925</v>
      </c>
      <c r="V8169" s="1" t="s">
        <v>14988</v>
      </c>
      <c r="AR8169" s="1" t="str">
        <f t="shared" si="515"/>
        <v>| [ㄑㄧˊ](ㄑㄧˊ.md) | [琦](琦.md) |  | qí | [名]
一種美玉。《楚辭．宋玉．招魂》：「纂組綺縞，結琦璜些。」宋．洪興祖．補注：「琦，玉名。」《抱朴子．外篇．博喻》：「溝澮之中，無宵朗之琦。」
[形]
1.美好的、不凡的。《文選．宋玉．對楚王問》：「夫聖人瑰意琦行，超然獨處。」《後漢書．卷四九．仲長統傳》：「琦賂寶貨，巨室不能容。」
2.奇異的。《荀子．非十二子》：「好治怪說，玩琦辭。」 |</v>
      </c>
    </row>
    <row r="8170" spans="1:44" hidden="1">
      <c r="A8170" s="1" t="s">
        <v>14989</v>
      </c>
      <c r="C8170" s="1">
        <v>1</v>
      </c>
      <c r="D8170" s="1" t="str">
        <f>"06261"</f>
        <v>06261</v>
      </c>
      <c r="E8170" s="1" t="s">
        <v>169</v>
      </c>
      <c r="F8170" s="1">
        <v>13</v>
      </c>
      <c r="G8170" s="1">
        <v>8</v>
      </c>
      <c r="H8170" s="1">
        <v>0</v>
      </c>
      <c r="I8170" s="1" t="s">
        <v>14924</v>
      </c>
      <c r="K8170" s="1" t="str">
        <f t="shared" si="513"/>
        <v>ㄑ</v>
      </c>
      <c r="L8170" s="1" t="str">
        <f t="shared" si="514"/>
        <v>ㄧ</v>
      </c>
      <c r="N8170" s="3" t="s">
        <v>30575</v>
      </c>
      <c r="O8170" s="3"/>
      <c r="P8170" s="1" t="s">
        <v>20</v>
      </c>
      <c r="R8170" s="1" t="s">
        <v>14925</v>
      </c>
      <c r="V8170" s="1" t="s">
        <v>14990</v>
      </c>
      <c r="AR8170" s="1" t="str">
        <f t="shared" si="515"/>
        <v>| [ㄑㄧˊ](ㄑㄧˊ.md) | [碕](碕.md) |  | qí | [名]
曲折的堤岸。《玉篇．石部》：「碕，曲岸頭。」《楚辭．劉向．九歎．離世》：「遵江曲之逶移兮，觸石碕而衡遊。」《漢書．卷八七．揚雄傳上》：「探巖排碕，薄索蛟螭。」
[形]
彎曲。南朝宋．鮑照〈登大雷岸與妹書〉：「碪石為之摧碎，碕岸為之齏落。」 |</v>
      </c>
    </row>
    <row r="8171" spans="1:44" hidden="1">
      <c r="A8171" s="1" t="s">
        <v>13078</v>
      </c>
      <c r="C8171" s="1">
        <v>1</v>
      </c>
      <c r="D8171" s="1" t="str">
        <f>"06262"</f>
        <v>06262</v>
      </c>
      <c r="E8171" s="1" t="s">
        <v>77</v>
      </c>
      <c r="F8171" s="1">
        <v>15</v>
      </c>
      <c r="G8171" s="1">
        <v>8</v>
      </c>
      <c r="H8171" s="1">
        <v>3</v>
      </c>
      <c r="I8171" s="1" t="s">
        <v>14924</v>
      </c>
      <c r="K8171" s="1" t="str">
        <f t="shared" si="513"/>
        <v>ㄑ</v>
      </c>
      <c r="L8171" s="1" t="str">
        <f t="shared" si="514"/>
        <v>ㄧ</v>
      </c>
      <c r="N8171" s="3" t="s">
        <v>30575</v>
      </c>
      <c r="O8171" s="3"/>
      <c r="P8171" s="1" t="s">
        <v>20</v>
      </c>
      <c r="R8171" s="1" t="s">
        <v>14925</v>
      </c>
      <c r="V8171" s="1" t="s">
        <v>14991</v>
      </c>
      <c r="W8171" s="1" t="s">
        <v>14992</v>
      </c>
      <c r="AR8171" s="1" t="str">
        <f t="shared" si="515"/>
        <v>| [ㄑㄧˊ](ㄑㄧˊ.md) | [踦](踦.md) |  | qí | [形]
傾斜不平。通「崎」。《文選．左思．魏都賦》：「山阜猥積而踦𨄅。」 |</v>
      </c>
    </row>
    <row r="8172" spans="1:44" hidden="1">
      <c r="A8172" s="1" t="s">
        <v>14993</v>
      </c>
      <c r="C8172" s="1">
        <v>1</v>
      </c>
      <c r="D8172" s="1" t="str">
        <f>"06263"</f>
        <v>06263</v>
      </c>
      <c r="E8172" s="1" t="s">
        <v>55</v>
      </c>
      <c r="F8172" s="1">
        <v>16</v>
      </c>
      <c r="G8172" s="1">
        <v>8</v>
      </c>
      <c r="H8172" s="1">
        <v>0</v>
      </c>
      <c r="I8172" s="1" t="s">
        <v>14924</v>
      </c>
      <c r="K8172" s="1" t="str">
        <f t="shared" si="513"/>
        <v>ㄑ</v>
      </c>
      <c r="L8172" s="1" t="str">
        <f t="shared" si="514"/>
        <v>ㄧ</v>
      </c>
      <c r="N8172" s="3" t="s">
        <v>30575</v>
      </c>
      <c r="O8172" s="3"/>
      <c r="P8172" s="1" t="s">
        <v>20</v>
      </c>
      <c r="R8172" s="1" t="s">
        <v>14925</v>
      </c>
      <c r="V8172" s="1" t="s">
        <v>14994</v>
      </c>
      <c r="AR8172" s="1" t="str">
        <f t="shared" si="515"/>
        <v>| [ㄑㄧˊ](ㄑㄧˊ.md) | [錡](錡.md) |  | qí | [名]
1.一種鑿子。《詩經．豳風．破斧》：「既破我斧，又缺我錡。」
2.一種盛物的器具，底有三足。《詩經．召南．采蘋》：「于以湘之，維錡及釜。」漢．毛亨．傳：「錡，釜屬。有足曰錡，無足曰釜。」《左傳．隱公三年》：「筐筥錡釜之器，潢汙行潦之水，可薦於鬼神，可羞於王公。」
3.姓。如漢代有錡華。 |</v>
      </c>
    </row>
    <row r="8173" spans="1:44" hidden="1">
      <c r="A8173" s="1" t="s">
        <v>13154</v>
      </c>
      <c r="C8173" s="1">
        <v>1</v>
      </c>
      <c r="D8173" s="1" t="str">
        <f>"06264"</f>
        <v>06264</v>
      </c>
      <c r="E8173" s="1" t="s">
        <v>319</v>
      </c>
      <c r="F8173" s="1">
        <v>18</v>
      </c>
      <c r="G8173" s="1">
        <v>8</v>
      </c>
      <c r="H8173" s="1">
        <v>1</v>
      </c>
      <c r="I8173" s="1" t="s">
        <v>14924</v>
      </c>
      <c r="K8173" s="1" t="str">
        <f t="shared" si="513"/>
        <v>ㄑ</v>
      </c>
      <c r="L8173" s="1" t="str">
        <f t="shared" si="514"/>
        <v>ㄧ</v>
      </c>
      <c r="N8173" s="3" t="s">
        <v>30575</v>
      </c>
      <c r="O8173" s="3"/>
      <c r="P8173" s="1" t="s">
        <v>20</v>
      </c>
      <c r="R8173" s="1" t="s">
        <v>14925</v>
      </c>
      <c r="V8173" s="1" t="s">
        <v>14995</v>
      </c>
      <c r="W8173" s="1" t="s">
        <v>14996</v>
      </c>
      <c r="AR8173" s="1" t="str">
        <f t="shared" si="515"/>
        <v>| [ㄑㄧˊ](ㄑㄧˊ.md) | [騎](騎.md) |  | qí | [動]
1.跨坐在動物或其他物體的上面。如：「騎馬」、「騎車」、「騎虎難下」。《史記．卷七．項羽本紀》：「項王乃上馬騎。」唐．李賀〈苦畫短〉詩：「誰似任公子，雲中騎碧驢。」
2.兼跨兩處。如：「騎縫章」。宋．陸游〈村社禱晴有應〉詩：「爽氣收回騎月雨，快風散盡滿天雲。」 |</v>
      </c>
    </row>
    <row r="8174" spans="1:44" hidden="1">
      <c r="A8174" s="1" t="s">
        <v>14997</v>
      </c>
      <c r="C8174" s="1">
        <v>1</v>
      </c>
      <c r="D8174" s="1" t="str">
        <f>"06265"</f>
        <v>06265</v>
      </c>
      <c r="E8174" s="1" t="s">
        <v>37</v>
      </c>
      <c r="F8174" s="1">
        <v>8</v>
      </c>
      <c r="G8174" s="1">
        <v>4</v>
      </c>
      <c r="H8174" s="1">
        <v>0</v>
      </c>
      <c r="I8174" s="1" t="s">
        <v>14924</v>
      </c>
      <c r="K8174" s="1" t="str">
        <f t="shared" si="513"/>
        <v>ㄑ</v>
      </c>
      <c r="L8174" s="1" t="str">
        <f t="shared" si="514"/>
        <v>ㄧ</v>
      </c>
      <c r="N8174" s="3" t="s">
        <v>30575</v>
      </c>
      <c r="O8174" s="3"/>
      <c r="P8174" s="1" t="s">
        <v>20</v>
      </c>
      <c r="R8174" s="1" t="s">
        <v>14925</v>
      </c>
      <c r="V8174" s="1" t="s">
        <v>14998</v>
      </c>
      <c r="AR8174" s="1" t="str">
        <f t="shared" si="515"/>
        <v>| [ㄑㄧˊ](ㄑㄧˊ.md) | [芪](芪.md) |  | qí | 參見「黃芪」條。 |</v>
      </c>
    </row>
    <row r="8175" spans="1:44" hidden="1">
      <c r="A8175" s="1" t="s">
        <v>14999</v>
      </c>
      <c r="C8175" s="1">
        <v>1</v>
      </c>
      <c r="D8175" s="1" t="str">
        <f>"06266"</f>
        <v>06266</v>
      </c>
      <c r="E8175" s="1" t="s">
        <v>825</v>
      </c>
      <c r="F8175" s="1">
        <v>9</v>
      </c>
      <c r="G8175" s="1">
        <v>4</v>
      </c>
      <c r="H8175" s="1">
        <v>1</v>
      </c>
      <c r="I8175" s="1" t="s">
        <v>14924</v>
      </c>
      <c r="K8175" s="1" t="str">
        <f t="shared" si="513"/>
        <v>ㄑ</v>
      </c>
      <c r="L8175" s="1" t="str">
        <f t="shared" si="514"/>
        <v>ㄧ</v>
      </c>
      <c r="N8175" s="3" t="s">
        <v>30575</v>
      </c>
      <c r="O8175" s="3"/>
      <c r="P8175" s="1" t="s">
        <v>20</v>
      </c>
      <c r="R8175" s="1" t="s">
        <v>14925</v>
      </c>
      <c r="V8175" s="1" t="s">
        <v>15000</v>
      </c>
      <c r="W8175" s="1" t="s">
        <v>15001</v>
      </c>
      <c r="AR8175" s="1" t="str">
        <f t="shared" si="515"/>
        <v>| [ㄑㄧˊ](ㄑㄧˊ.md) | [祇](祇.md) |  | qí | [名]
地神。《說文解字．示部》：「祇，地祇，提出萬物者也。」如：「神祇」。
[動]
安心。《詩經．小雅．何人斯》：「壹者之來，俾我祇也。」漢．鄭玄．箋：「一者之來見我，我則知之，是使我心安也。」
[形]
大。《易經．繫辭下》：「不遠復，無祇悔。」 |</v>
      </c>
    </row>
    <row r="8176" spans="1:44" hidden="1">
      <c r="A8176" s="1" t="s">
        <v>15002</v>
      </c>
      <c r="C8176" s="1">
        <v>1</v>
      </c>
      <c r="D8176" s="1" t="str">
        <f>"06267"</f>
        <v>06267</v>
      </c>
      <c r="E8176" s="1" t="s">
        <v>340</v>
      </c>
      <c r="F8176" s="1">
        <v>10</v>
      </c>
      <c r="G8176" s="1">
        <v>4</v>
      </c>
      <c r="H8176" s="1">
        <v>1</v>
      </c>
      <c r="I8176" s="1" t="s">
        <v>14924</v>
      </c>
      <c r="K8176" s="1" t="str">
        <f t="shared" ref="K8176:K8239" si="516">LEFT(I8176, 1)</f>
        <v>ㄑ</v>
      </c>
      <c r="L8176" s="1" t="str">
        <f t="shared" ref="L8176:L8239" si="517">MID(I8176, 2, 1)</f>
        <v>ㄧ</v>
      </c>
      <c r="N8176" s="3" t="s">
        <v>30575</v>
      </c>
      <c r="O8176" s="3"/>
      <c r="P8176" s="1" t="s">
        <v>20</v>
      </c>
      <c r="R8176" s="1" t="s">
        <v>14925</v>
      </c>
      <c r="V8176" s="1" t="s">
        <v>15003</v>
      </c>
      <c r="W8176" s="1" t="s">
        <v>15004</v>
      </c>
      <c r="AR8176" s="1" t="str">
        <f t="shared" si="515"/>
        <v>| [ㄑㄧˊ](ㄑㄧˊ.md) | [衹](衹.md) |  | qí | [名]
僧尼所穿的衣服，如袈裟之類。《廣韻．平聲．支韻》：「衹，衹衼，尼法衣。」 |</v>
      </c>
    </row>
    <row r="8177" spans="1:44" hidden="1">
      <c r="A8177" s="1" t="s">
        <v>15005</v>
      </c>
      <c r="C8177" s="1">
        <v>1</v>
      </c>
      <c r="D8177" s="1" t="str">
        <f>"06268"</f>
        <v>06268</v>
      </c>
      <c r="E8177" s="1" t="s">
        <v>114</v>
      </c>
      <c r="F8177" s="1">
        <v>9</v>
      </c>
      <c r="G8177" s="1">
        <v>7</v>
      </c>
      <c r="H8177" s="1">
        <v>2</v>
      </c>
      <c r="I8177" s="1" t="s">
        <v>14924</v>
      </c>
      <c r="K8177" s="1" t="str">
        <f t="shared" si="516"/>
        <v>ㄑ</v>
      </c>
      <c r="L8177" s="1" t="str">
        <f t="shared" si="517"/>
        <v>ㄧ</v>
      </c>
      <c r="N8177" s="3" t="s">
        <v>30575</v>
      </c>
      <c r="O8177" s="3"/>
      <c r="P8177" s="1" t="s">
        <v>20</v>
      </c>
      <c r="R8177" s="1" t="s">
        <v>14925</v>
      </c>
      <c r="V8177" s="1" t="s">
        <v>2696</v>
      </c>
      <c r="W8177" s="1" t="s">
        <v>15006</v>
      </c>
      <c r="AR8177" s="1" t="str">
        <f t="shared" si="515"/>
        <v>| [ㄑㄧˊ](ㄑㄧˊ.md) | [俟](俟.md) |  | qí | 參見「万俟」條。 |</v>
      </c>
    </row>
    <row r="8178" spans="1:44" hidden="1">
      <c r="A8178" s="1" t="s">
        <v>15007</v>
      </c>
      <c r="C8178" s="1">
        <v>1</v>
      </c>
      <c r="D8178" s="1" t="str">
        <f>"06269"</f>
        <v>06269</v>
      </c>
      <c r="E8178" s="1" t="s">
        <v>2975</v>
      </c>
      <c r="F8178" s="1">
        <v>10</v>
      </c>
      <c r="G8178" s="1">
        <v>4</v>
      </c>
      <c r="H8178" s="1">
        <v>0</v>
      </c>
      <c r="I8178" s="1" t="s">
        <v>14924</v>
      </c>
      <c r="K8178" s="1" t="str">
        <f t="shared" si="516"/>
        <v>ㄑ</v>
      </c>
      <c r="L8178" s="1" t="str">
        <f t="shared" si="517"/>
        <v>ㄧ</v>
      </c>
      <c r="N8178" s="3" t="s">
        <v>30575</v>
      </c>
      <c r="O8178" s="3"/>
      <c r="P8178" s="1" t="s">
        <v>20</v>
      </c>
      <c r="R8178" s="1" t="s">
        <v>14925</v>
      </c>
      <c r="V8178" s="1" t="s">
        <v>15008</v>
      </c>
      <c r="AR8178" s="1" t="str">
        <f t="shared" si="515"/>
        <v>| [ㄑㄧˊ](ㄑㄧˊ.md) | [耆](耆.md) |  | qí | [名]_x000D_
本指六十歲的老人，後為對老人的通稱。《孟子．梁惠王下》：「乃屬其耆老而告之。」《禮記．曲禮上》：「六十曰耆。」_x000D_
[形]_x000D_
強橫。《左傳．昭公二十三年》：「不僭不貪，不懦不耆；完其守備，以待不虞。」 |</v>
      </c>
    </row>
    <row r="8179" spans="1:44" hidden="1">
      <c r="A8179" s="1" t="s">
        <v>15009</v>
      </c>
      <c r="C8179" s="1">
        <v>1</v>
      </c>
      <c r="D8179" s="1" t="str">
        <f>"06270"</f>
        <v>06270</v>
      </c>
      <c r="E8179" s="1" t="s">
        <v>156</v>
      </c>
      <c r="F8179" s="1">
        <v>17</v>
      </c>
      <c r="G8179" s="1">
        <v>6</v>
      </c>
      <c r="H8179" s="1">
        <v>0</v>
      </c>
      <c r="I8179" s="1" t="s">
        <v>14924</v>
      </c>
      <c r="K8179" s="1" t="str">
        <f t="shared" si="516"/>
        <v>ㄑ</v>
      </c>
      <c r="L8179" s="1" t="str">
        <f t="shared" si="517"/>
        <v>ㄧ</v>
      </c>
      <c r="N8179" s="3" t="s">
        <v>30575</v>
      </c>
      <c r="O8179" s="3"/>
      <c r="P8179" s="1" t="s">
        <v>20</v>
      </c>
      <c r="R8179" s="1" t="s">
        <v>14925</v>
      </c>
      <c r="V8179" s="1" t="s">
        <v>15010</v>
      </c>
      <c r="AR8179" s="1" t="str">
        <f t="shared" si="515"/>
        <v>| [ㄑㄧˊ](ㄑㄧˊ.md) | [鮨](鮨.md) |  | qí | [名]
魚醬。《說文解字．魚部》：「鮨，魚䏽醬也，出蜀中。」《爾雅．釋器》：「肉謂之羹，魚謂之鮨。」 |</v>
      </c>
    </row>
    <row r="8180" spans="1:44" hidden="1">
      <c r="A8180" s="1" t="s">
        <v>15011</v>
      </c>
      <c r="C8180" s="1">
        <v>1</v>
      </c>
      <c r="D8180" s="1" t="str">
        <f>"06271"</f>
        <v>06271</v>
      </c>
      <c r="E8180" s="1" t="s">
        <v>1078</v>
      </c>
      <c r="F8180" s="1">
        <v>20</v>
      </c>
      <c r="G8180" s="1">
        <v>10</v>
      </c>
      <c r="H8180" s="1">
        <v>0</v>
      </c>
      <c r="I8180" s="1" t="s">
        <v>14924</v>
      </c>
      <c r="K8180" s="1" t="str">
        <f t="shared" si="516"/>
        <v>ㄑ</v>
      </c>
      <c r="L8180" s="1" t="str">
        <f t="shared" si="517"/>
        <v>ㄧ</v>
      </c>
      <c r="N8180" s="3" t="s">
        <v>30575</v>
      </c>
      <c r="O8180" s="3"/>
      <c r="P8180" s="1" t="s">
        <v>20</v>
      </c>
      <c r="R8180" s="1" t="s">
        <v>14925</v>
      </c>
      <c r="V8180" s="1" t="s">
        <v>15012</v>
      </c>
      <c r="AR8180" s="1" t="str">
        <f t="shared" si="515"/>
        <v>| [ㄑㄧˊ](ㄑㄧˊ.md) | [鬐](鬐.md) |  | qí | [名]
1.馬頸上的長毛。《尉繚子．制談》：「猶良驥騄駬之駛，彼駕駑馬鬐興角逐，何能紹吾氣哉！」《聊齋志異．卷四．驅怪》：「毛周其體，長如馬鬐。」
2.魚脊上的鰭。《儀禮．士虞禮》：「載猶進柢，魚進鬐。」《莊子．外物》：「已而大魚食之，牽巨鉤錎沒而下，鶩揚而奮鬐，白波若山，海水震蕩。」 |</v>
      </c>
    </row>
    <row r="8181" spans="1:44" hidden="1">
      <c r="A8181" s="1" t="s">
        <v>15013</v>
      </c>
      <c r="C8181" s="1">
        <v>1</v>
      </c>
      <c r="D8181" s="1" t="str">
        <f>"06272"</f>
        <v>06272</v>
      </c>
      <c r="E8181" s="1" t="s">
        <v>156</v>
      </c>
      <c r="F8181" s="1">
        <v>21</v>
      </c>
      <c r="G8181" s="1">
        <v>10</v>
      </c>
      <c r="H8181" s="1">
        <v>0</v>
      </c>
      <c r="I8181" s="1" t="s">
        <v>14924</v>
      </c>
      <c r="K8181" s="1" t="str">
        <f t="shared" si="516"/>
        <v>ㄑ</v>
      </c>
      <c r="L8181" s="1" t="str">
        <f t="shared" si="517"/>
        <v>ㄧ</v>
      </c>
      <c r="N8181" s="3" t="s">
        <v>30575</v>
      </c>
      <c r="O8181" s="3"/>
      <c r="P8181" s="1" t="s">
        <v>20</v>
      </c>
      <c r="R8181" s="1" t="s">
        <v>14925</v>
      </c>
      <c r="V8181" s="1" t="s">
        <v>15014</v>
      </c>
      <c r="AR8181" s="1" t="str">
        <f t="shared" si="515"/>
        <v>| [ㄑㄧˊ](ㄑㄧˊ.md) | [鰭](鰭.md) |  | qí | [名]
魚類和其他水生脊椎動物的楫狀游泳器官，由刺狀的硬骨或軟骨間所張膜質而成。有調節運動速度、變換游泳方向以及保護身體的作用。依其所在的部位，有胸鰭、腹鰭、脊鰭、臀鰭、尾鰭。 |</v>
      </c>
    </row>
    <row r="8182" spans="1:44" hidden="1">
      <c r="A8182" s="1" t="s">
        <v>15015</v>
      </c>
      <c r="C8182" s="1">
        <v>1</v>
      </c>
      <c r="D8182" s="1" t="str">
        <f>"06273"</f>
        <v>06273</v>
      </c>
      <c r="E8182" s="1" t="s">
        <v>753</v>
      </c>
      <c r="F8182" s="1">
        <v>11</v>
      </c>
      <c r="G8182" s="1">
        <v>6</v>
      </c>
      <c r="H8182" s="1">
        <v>2</v>
      </c>
      <c r="I8182" s="1" t="s">
        <v>14924</v>
      </c>
      <c r="K8182" s="1" t="str">
        <f t="shared" si="516"/>
        <v>ㄑ</v>
      </c>
      <c r="L8182" s="1" t="str">
        <f t="shared" si="517"/>
        <v>ㄧ</v>
      </c>
      <c r="N8182" s="3" t="s">
        <v>30575</v>
      </c>
      <c r="O8182" s="3"/>
      <c r="P8182" s="1" t="s">
        <v>388</v>
      </c>
      <c r="R8182" s="1" t="s">
        <v>14925</v>
      </c>
      <c r="V8182" s="1" t="s">
        <v>407</v>
      </c>
      <c r="W8182" s="1" t="s">
        <v>15016</v>
      </c>
      <c r="AR8182" s="1" t="str">
        <f t="shared" si="515"/>
        <v>| [ㄑㄧˊ](ㄑㄧˊ.md) | [畦](畦.md) |  | qí | (一)之語音。 |</v>
      </c>
    </row>
    <row r="8183" spans="1:44" hidden="1">
      <c r="A8183" s="1" t="s">
        <v>13172</v>
      </c>
      <c r="C8183" s="1">
        <v>1</v>
      </c>
      <c r="D8183" s="1" t="str">
        <f>"06274"</f>
        <v>06274</v>
      </c>
      <c r="E8183" s="1" t="s">
        <v>12924</v>
      </c>
      <c r="F8183" s="1">
        <v>14</v>
      </c>
      <c r="G8183" s="1">
        <v>0</v>
      </c>
      <c r="H8183" s="1">
        <v>1</v>
      </c>
      <c r="I8183" s="1" t="s">
        <v>14924</v>
      </c>
      <c r="K8183" s="1" t="str">
        <f t="shared" si="516"/>
        <v>ㄑ</v>
      </c>
      <c r="L8183" s="1" t="str">
        <f t="shared" si="517"/>
        <v>ㄧ</v>
      </c>
      <c r="N8183" s="3" t="s">
        <v>30575</v>
      </c>
      <c r="O8183" s="3"/>
      <c r="P8183" s="1" t="s">
        <v>20</v>
      </c>
      <c r="R8183" s="1" t="s">
        <v>14925</v>
      </c>
      <c r="V8183" s="1" t="s">
        <v>15017</v>
      </c>
      <c r="W8183" s="1" t="s">
        <v>15018</v>
      </c>
      <c r="AR8183" s="1" t="str">
        <f t="shared" si="515"/>
        <v>| [ㄑㄧˊ](ㄑㄧˊ.md) | [齊](齊.md) |  | qí | [形]
1.平整、整齊。如：「修齊」、「良莠不齊」、「參差不齊」。唐．韋莊〈臺城〉詩：「江雨霏霏江草齊，六朝如夢鳥空啼。」
2.完備。如：「齊全」、「齊備」。《荀子．王霸》：「無它故焉，四者齊也。」唐．韓翃〈送客之潞府〉詩：「佳期別在春山裡，應是人參五葉齊。」
[動]
1.整治、整理。《禮記．大學》：「欲治其國者，先齊其家。」
2.使同等、一致。如：「齊名」。《文選．古詩十九首．今日良宴會》：「齊心同所願，含意俱未伸。」唐．杜牧〈阿房宮賦〉：「一日之內，一宮之間，而氣候不齊。」
3.達到同樣高度或長度。如：「水齊腰際」。宋．周邦彥〈夜飛鵲．河橋送人處〉詞：「兔葵燕麥，向殘陽、欲與人齊。」
[副]
共同、同時。如：「齊唱」、「齊步」、「並駕齊驅」、「百花齊放」。唐．王勃〈滕王閣序〉：「落霞與孤鶩齊飛，秋水共長天一色。」清．譚嗣同〈有感〉詩：「四萬萬人齊下淚，天涯何處是神州。」
[名]
1.聲韻學上齊齒呼的簡稱。如：「開、齊、合、撮」。
2.國名。戰國七雄之一，故址在今大陸地區山東省北部、河北省東南部一帶。
3.朝代名。參見「南齊」、「北齊」等條。
4.姓。如明代有齊德成。
5.二一四部首之一。 |</v>
      </c>
    </row>
    <row r="8184" spans="1:44" hidden="1">
      <c r="A8184" s="1" t="s">
        <v>15019</v>
      </c>
      <c r="C8184" s="1">
        <v>1</v>
      </c>
      <c r="D8184" s="1" t="str">
        <f>"06275"</f>
        <v>06275</v>
      </c>
      <c r="E8184" s="1" t="s">
        <v>250</v>
      </c>
      <c r="F8184" s="1">
        <v>17</v>
      </c>
      <c r="G8184" s="1">
        <v>14</v>
      </c>
      <c r="H8184" s="1">
        <v>0</v>
      </c>
      <c r="I8184" s="1" t="s">
        <v>14924</v>
      </c>
      <c r="K8184" s="1" t="str">
        <f t="shared" si="516"/>
        <v>ㄑ</v>
      </c>
      <c r="L8184" s="1" t="str">
        <f t="shared" si="517"/>
        <v>ㄧ</v>
      </c>
      <c r="N8184" s="3" t="s">
        <v>30575</v>
      </c>
      <c r="O8184" s="3"/>
      <c r="P8184" s="1" t="s">
        <v>20</v>
      </c>
      <c r="R8184" s="1" t="s">
        <v>14925</v>
      </c>
      <c r="V8184" s="1" t="s">
        <v>15020</v>
      </c>
      <c r="AR8184" s="1" t="str">
        <f t="shared" si="515"/>
        <v>| [ㄑㄧˊ](ㄑㄧˊ.md) | [懠](懠.md) |  | qí | [動]
憤怒。《爾雅．釋言》：「懠，怒也。」《詩經．大雅．板》：「天之方懠，無為夸毗。」 |</v>
      </c>
    </row>
    <row r="8185" spans="1:44" hidden="1">
      <c r="A8185" s="1" t="s">
        <v>13183</v>
      </c>
      <c r="C8185" s="1">
        <v>1</v>
      </c>
      <c r="D8185" s="1" t="str">
        <f>"06276"</f>
        <v>06276</v>
      </c>
      <c r="E8185" s="1" t="s">
        <v>37</v>
      </c>
      <c r="F8185" s="1">
        <v>18</v>
      </c>
      <c r="G8185" s="1">
        <v>14</v>
      </c>
      <c r="H8185" s="1">
        <v>2</v>
      </c>
      <c r="I8185" s="1" t="s">
        <v>14924</v>
      </c>
      <c r="K8185" s="1" t="str">
        <f t="shared" si="516"/>
        <v>ㄑ</v>
      </c>
      <c r="L8185" s="1" t="str">
        <f t="shared" si="517"/>
        <v>ㄧ</v>
      </c>
      <c r="N8185" s="3" t="s">
        <v>30575</v>
      </c>
      <c r="O8185" s="3"/>
      <c r="P8185" s="1" t="s">
        <v>20</v>
      </c>
      <c r="R8185" s="1" t="s">
        <v>14925</v>
      </c>
      <c r="V8185" s="1" t="s">
        <v>886</v>
      </c>
      <c r="W8185" s="1" t="s">
        <v>15021</v>
      </c>
      <c r="AR8185" s="1" t="str">
        <f t="shared" si="515"/>
        <v>| [ㄑㄧˊ](ㄑㄧˊ.md) | [薺](薺.md) |  | qí | 參見「荸薺」條。 |</v>
      </c>
    </row>
    <row r="8186" spans="1:44" hidden="1">
      <c r="A8186" s="1" t="s">
        <v>15022</v>
      </c>
      <c r="C8186" s="1">
        <v>1</v>
      </c>
      <c r="D8186" s="1" t="str">
        <f>"06277"</f>
        <v>06277</v>
      </c>
      <c r="E8186" s="1" t="s">
        <v>68</v>
      </c>
      <c r="F8186" s="1">
        <v>18</v>
      </c>
      <c r="G8186" s="1">
        <v>14</v>
      </c>
      <c r="H8186" s="1">
        <v>0</v>
      </c>
      <c r="I8186" s="1" t="s">
        <v>14924</v>
      </c>
      <c r="K8186" s="1" t="str">
        <f t="shared" si="516"/>
        <v>ㄑ</v>
      </c>
      <c r="L8186" s="1" t="str">
        <f t="shared" si="517"/>
        <v>ㄧ</v>
      </c>
      <c r="N8186" s="3" t="s">
        <v>30575</v>
      </c>
      <c r="O8186" s="3"/>
      <c r="P8186" s="1" t="s">
        <v>20</v>
      </c>
      <c r="R8186" s="1" t="s">
        <v>14925</v>
      </c>
      <c r="V8186" s="1" t="s">
        <v>15023</v>
      </c>
      <c r="AR8186" s="1" t="str">
        <f t="shared" si="515"/>
        <v>| [ㄑㄧˊ](ㄑㄧˊ.md) | [臍](臍.md) |  | qí | [名]
1.肚臍。人和其他哺乳動物的腹面中央，由臍帶脫落後所形成的凹陷處。
2.螃蟹腹下的硬殼。雄的尖形，稱為「尖臍」；雌的圓形，稱為「團臍」。
3.物體中央凹凸處。如：「瓜臍」。 |</v>
      </c>
    </row>
    <row r="8187" spans="1:44" hidden="1">
      <c r="A8187" s="1" t="s">
        <v>15024</v>
      </c>
      <c r="C8187" s="1">
        <v>1</v>
      </c>
      <c r="D8187" s="1" t="str">
        <f>"06278"</f>
        <v>06278</v>
      </c>
      <c r="E8187" s="1" t="s">
        <v>679</v>
      </c>
      <c r="F8187" s="1">
        <v>20</v>
      </c>
      <c r="G8187" s="1">
        <v>14</v>
      </c>
      <c r="H8187" s="1">
        <v>0</v>
      </c>
      <c r="I8187" s="1" t="s">
        <v>14924</v>
      </c>
      <c r="K8187" s="1" t="str">
        <f t="shared" si="516"/>
        <v>ㄑ</v>
      </c>
      <c r="L8187" s="1" t="str">
        <f t="shared" si="517"/>
        <v>ㄧ</v>
      </c>
      <c r="N8187" s="3" t="s">
        <v>30575</v>
      </c>
      <c r="O8187" s="3"/>
      <c r="P8187" s="1" t="s">
        <v>20</v>
      </c>
      <c r="R8187" s="1" t="s">
        <v>14925</v>
      </c>
      <c r="V8187" s="1" t="s">
        <v>15025</v>
      </c>
      <c r="AR8187" s="1" t="str">
        <f t="shared" si="515"/>
        <v>| [ㄑㄧˊ](ㄑㄧˊ.md) | [蠐](蠐.md) |  | qí | 參見「蠐螬」條。 |</v>
      </c>
    </row>
    <row r="8188" spans="1:44" hidden="1">
      <c r="A8188" s="1" t="s">
        <v>12890</v>
      </c>
      <c r="C8188" s="1">
        <v>1</v>
      </c>
      <c r="D8188" s="1" t="str">
        <f>"06279"</f>
        <v>06279</v>
      </c>
      <c r="E8188" s="1" t="s">
        <v>753</v>
      </c>
      <c r="F8188" s="1">
        <v>15</v>
      </c>
      <c r="G8188" s="1">
        <v>10</v>
      </c>
      <c r="H8188" s="1">
        <v>2</v>
      </c>
      <c r="I8188" s="1" t="s">
        <v>14924</v>
      </c>
      <c r="K8188" s="1" t="str">
        <f t="shared" si="516"/>
        <v>ㄑ</v>
      </c>
      <c r="L8188" s="1" t="str">
        <f t="shared" si="517"/>
        <v>ㄧ</v>
      </c>
      <c r="N8188" s="3" t="s">
        <v>30575</v>
      </c>
      <c r="O8188" s="3"/>
      <c r="P8188" s="1" t="s">
        <v>110</v>
      </c>
      <c r="R8188" s="1" t="s">
        <v>14925</v>
      </c>
      <c r="V8188" s="1" t="s">
        <v>111</v>
      </c>
      <c r="W8188" s="1" t="s">
        <v>15026</v>
      </c>
      <c r="AR8188" s="1" t="str">
        <f t="shared" si="515"/>
        <v>| [ㄑㄧˊ](ㄑㄧˊ.md) | [畿](畿.md) |  | qí | (一)之又音。 |</v>
      </c>
    </row>
    <row r="8189" spans="1:44" hidden="1">
      <c r="A8189" s="1" t="s">
        <v>15027</v>
      </c>
      <c r="C8189" s="1">
        <v>1</v>
      </c>
      <c r="D8189" s="1" t="str">
        <f>"06280"</f>
        <v>06280</v>
      </c>
      <c r="E8189" s="1" t="s">
        <v>3480</v>
      </c>
      <c r="F8189" s="1">
        <v>3</v>
      </c>
      <c r="G8189" s="1">
        <v>2</v>
      </c>
      <c r="H8189" s="1">
        <v>1</v>
      </c>
      <c r="I8189" s="1" t="s">
        <v>15028</v>
      </c>
      <c r="K8189" s="1" t="str">
        <f t="shared" si="516"/>
        <v>ㄑ</v>
      </c>
      <c r="L8189" s="1" t="str">
        <f t="shared" si="517"/>
        <v>ㄧ</v>
      </c>
      <c r="N8189" s="3" t="s">
        <v>30576</v>
      </c>
      <c r="O8189" s="3"/>
      <c r="P8189" s="1" t="s">
        <v>20</v>
      </c>
      <c r="R8189" s="1" t="s">
        <v>15029</v>
      </c>
      <c r="V8189" s="1" t="s">
        <v>15030</v>
      </c>
      <c r="W8189" s="1" t="s">
        <v>15031</v>
      </c>
      <c r="AR8189" s="1" t="str">
        <f t="shared" si="515"/>
        <v>| [ㄑㄧˇ](ㄑㄧˇ.md) | [乞](乞.md) |  | qǐ | [動]_x000D_
1.求、討取。如：「乞巧」、「乞討」、「搖尾乞憐」。《論語．公冶長》：「乞諸其鄰而與之。」《史記．卷八六．刺客列傳．豫讓》：「行乞於市，其妻不識也。」_x000D_
2.引申為希冀、盼望的意思。晉．李密〈陳情表〉：「烏鳥私情，願乞終養。」唐．白居易〈楊柳枝詞〉八首之七：「小樹不禁攀折苦，乞君留取兩三條。」_x000D_
[名]_x000D_
1.乞丐，討飯的人。《列子．黃帝》：「自此以後，范氏門徒路遇乞兒馬醫，弗敢辱也。」明．袁宏道〈山居小話〉：「余疑其為女乞，而問曰：『爾有丈夫乎？』乞微笑。」_x000D_
2.姓。如明代有乞賢。 |</v>
      </c>
    </row>
    <row r="8190" spans="1:44" hidden="1">
      <c r="A8190" s="1" t="s">
        <v>15032</v>
      </c>
      <c r="C8190" s="1">
        <v>1</v>
      </c>
      <c r="D8190" s="1" t="str">
        <f>"06281"</f>
        <v>06281</v>
      </c>
      <c r="E8190" s="1" t="s">
        <v>190</v>
      </c>
      <c r="F8190" s="1">
        <v>6</v>
      </c>
      <c r="G8190" s="1">
        <v>3</v>
      </c>
      <c r="H8190" s="1">
        <v>0</v>
      </c>
      <c r="I8190" s="1" t="s">
        <v>15028</v>
      </c>
      <c r="K8190" s="1" t="str">
        <f t="shared" si="516"/>
        <v>ㄑ</v>
      </c>
      <c r="L8190" s="1" t="str">
        <f t="shared" si="517"/>
        <v>ㄧ</v>
      </c>
      <c r="N8190" s="3" t="s">
        <v>30576</v>
      </c>
      <c r="O8190" s="3"/>
      <c r="P8190" s="1" t="s">
        <v>20</v>
      </c>
      <c r="R8190" s="1" t="s">
        <v>15029</v>
      </c>
      <c r="V8190" s="1" t="s">
        <v>15033</v>
      </c>
      <c r="AR8190" s="1" t="str">
        <f t="shared" si="515"/>
        <v>| [ㄑㄧˇ](ㄑㄧˇ.md) | [屺](屺.md) |  | qǐ | [名]
不長草木的山。《說文解字．山部》：「屺，山無艸木也。」《詩經．魏風．陟岵》：「陟彼屺兮，瞻望母兮。」 |</v>
      </c>
    </row>
    <row r="8191" spans="1:44" hidden="1">
      <c r="A8191" s="1" t="s">
        <v>15034</v>
      </c>
      <c r="C8191" s="1">
        <v>1</v>
      </c>
      <c r="D8191" s="1" t="str">
        <f>"06282"</f>
        <v>06282</v>
      </c>
      <c r="E8191" s="1" t="s">
        <v>139</v>
      </c>
      <c r="F8191" s="1">
        <v>7</v>
      </c>
      <c r="G8191" s="1">
        <v>3</v>
      </c>
      <c r="H8191" s="1">
        <v>0</v>
      </c>
      <c r="I8191" s="1" t="s">
        <v>15028</v>
      </c>
      <c r="K8191" s="1" t="str">
        <f t="shared" si="516"/>
        <v>ㄑ</v>
      </c>
      <c r="L8191" s="1" t="str">
        <f t="shared" si="517"/>
        <v>ㄧ</v>
      </c>
      <c r="N8191" s="3" t="s">
        <v>30576</v>
      </c>
      <c r="O8191" s="3"/>
      <c r="P8191" s="1" t="s">
        <v>20</v>
      </c>
      <c r="R8191" s="1" t="s">
        <v>15029</v>
      </c>
      <c r="V8191" s="1" t="s">
        <v>15035</v>
      </c>
      <c r="AR8191" s="1" t="str">
        <f t="shared" si="515"/>
        <v>| [ㄑㄧˇ](ㄑㄧˇ.md) | [杞](杞.md) |  | qǐ | [名]
1.參見「枸杞」、「杞柳」等條。
2.國名。周朝所分封的諸侯國。姒姓。故城在今大陸地區河南省杞縣。
3.姓。如春秋時齊國有杞梁。 |</v>
      </c>
    </row>
    <row r="8192" spans="1:44" hidden="1">
      <c r="A8192" s="1" t="s">
        <v>15036</v>
      </c>
      <c r="C8192" s="1">
        <v>1</v>
      </c>
      <c r="D8192" s="1" t="str">
        <f>"06283"</f>
        <v>06283</v>
      </c>
      <c r="E8192" s="1" t="s">
        <v>37</v>
      </c>
      <c r="F8192" s="1">
        <v>7</v>
      </c>
      <c r="G8192" s="1">
        <v>3</v>
      </c>
      <c r="H8192" s="1">
        <v>0</v>
      </c>
      <c r="I8192" s="1" t="s">
        <v>15028</v>
      </c>
      <c r="K8192" s="1" t="str">
        <f t="shared" si="516"/>
        <v>ㄑ</v>
      </c>
      <c r="L8192" s="1" t="str">
        <f t="shared" si="517"/>
        <v>ㄧ</v>
      </c>
      <c r="N8192" s="3" t="s">
        <v>30576</v>
      </c>
      <c r="O8192" s="3"/>
      <c r="P8192" s="1" t="s">
        <v>20</v>
      </c>
      <c r="R8192" s="1" t="s">
        <v>15029</v>
      </c>
      <c r="V8192" s="1" t="s">
        <v>15037</v>
      </c>
      <c r="AR8192" s="1" t="str">
        <f t="shared" si="515"/>
        <v>| [ㄑㄧˇ](ㄑㄧˇ.md) | [芑](芑.md) |  | qǐ | [名]
植物名：(1)禾本科黍屬，「穄子」、「稷」之古稱。參見「穄子」條。(2)菊科苦苣菜屬，「苦苣菜」、「苦菜」之古稱。《詩經．小雅．采芑》：「薄言采芑，于彼新田。」參見「苦菜」條。 |</v>
      </c>
    </row>
    <row r="8193" spans="1:44" hidden="1">
      <c r="A8193" s="1" t="s">
        <v>15038</v>
      </c>
      <c r="C8193" s="1">
        <v>1</v>
      </c>
      <c r="D8193" s="1" t="str">
        <f>"06284"</f>
        <v>06284</v>
      </c>
      <c r="E8193" s="1" t="s">
        <v>4563</v>
      </c>
      <c r="F8193" s="1">
        <v>10</v>
      </c>
      <c r="G8193" s="1">
        <v>3</v>
      </c>
      <c r="H8193" s="1">
        <v>0</v>
      </c>
      <c r="I8193" s="1" t="s">
        <v>15028</v>
      </c>
      <c r="K8193" s="1" t="str">
        <f t="shared" si="516"/>
        <v>ㄑ</v>
      </c>
      <c r="L8193" s="1" t="str">
        <f t="shared" si="517"/>
        <v>ㄧ</v>
      </c>
      <c r="N8193" s="3" t="s">
        <v>30576</v>
      </c>
      <c r="O8193" s="3"/>
      <c r="P8193" s="1" t="s">
        <v>20</v>
      </c>
      <c r="R8193" s="1" t="s">
        <v>15029</v>
      </c>
      <c r="V8193" s="1" t="s">
        <v>15039</v>
      </c>
      <c r="AR8193" s="1" t="str">
        <f t="shared" si="515"/>
        <v>| [ㄑㄧˇ](ㄑㄧˇ.md) | [起](起.md) |  | qǐ | [動]_x000D_
1.站立、坐起。如：「起立」、「起來」。《禮記．曲禮上》：「請業則起，請益則起。」唐．白居易〈與元微之書〉：「垂死病中驚坐起，闇風吹雨入寒窗。」_x000D_
2.起床、離開床鋪。如：「早睡早起」。《孟子．盡心上》：「雞鳴而起，孳孳為善者，舜之徒也。」《禮記．內則》：「孺子蚤寢晏起，唯所欲食無時。」_x000D_
3.始、開始。如：「起迄點」、「起筆」、「從今起」、「萬事起頭難」。《漢書．卷一〇〇．敘傳下》：「以述《漢書》，起元高祖。」_x000D_
4.發動、產生。如：「起疑」、「起風」、「肅然起敬」。《呂氏春秋．貴直論．直諫》：「百邪悉起。」漢．高祖〈大風歌〉：「大風起兮雲飛揚，威加海內兮歸故鄉。」_x000D_
5.復甦、痊癒、好轉。如：「起死回生」、「一病不起」。《國語．吳語》：「君王之於越也，繄起死人而肉白骨也。」_x000D_
6.取出。如：「起貨」、「起贓」、「起出凶刀一把。」_x000D_
7.出仕、舉用。如：「起用」、「東山再起」。《戰國策．秦策二》：「召公孫顯於韓，起樗里子於國。」宋．辛棄疾〈水龍吟．老來曾識淵明〉詞：「甚東山何事，當時也道，為蒼生起。」_x000D_
8.擬訂。如：「起草章程」、「起個大綱」。_x000D_
9.出身。《漢書．卷三九．蕭何曹參傳．曹參》：「蕭何、曹參皆起秦刀筆吏，當時錄錄未有奇節。」_x000D_
10.建築、建立。如：「白手起家」、「平地起高樓」。《三國志．卷四七．吳書．吳主權傳》：「治城郭，起譙樓。」_x000D_
[名]_x000D_
1.詩文首句、首聯或首段。《通俗編．文學》引范德機〈詩法〉：「作詩有四法，起要平直，承宜舂容，轉要變化，合要淵永。」_x000D_
2.量詞：(1)計算分批的人的單位。相當於「群」。如：「店裡來了兩起客人。」《紅樓夢》第四四回：「且平兒又是個極聰明極清俊的上等女孩兒，比不得那起俗蠢拙物。」(2)計算事件發生的單位。如：「高速公路上發生了數起連環車禍。」「警方最近偵破了一起擄人勒索案。」_x000D_
[助]_x000D_
1.置於動詞之後，表示及、到的意思。如：「想起往事，真是不勝感慨！」「只要談起女友，他便眉開眼笑。」_x000D_
2.置於動詞之後，表示足夠或不夠的意思。如：「經得起現實的考驗。」「承受不起輿論壓力。」 |</v>
      </c>
    </row>
    <row r="8194" spans="1:44" hidden="1">
      <c r="A8194" s="1" t="s">
        <v>10858</v>
      </c>
      <c r="C8194" s="1">
        <v>1</v>
      </c>
      <c r="D8194" s="1" t="str">
        <f>"06285"</f>
        <v>06285</v>
      </c>
      <c r="E8194" s="1" t="s">
        <v>4293</v>
      </c>
      <c r="F8194" s="1">
        <v>10</v>
      </c>
      <c r="G8194" s="1">
        <v>3</v>
      </c>
      <c r="H8194" s="1">
        <v>1</v>
      </c>
      <c r="I8194" s="1" t="s">
        <v>15028</v>
      </c>
      <c r="K8194" s="1" t="str">
        <f t="shared" si="516"/>
        <v>ㄑ</v>
      </c>
      <c r="L8194" s="1" t="str">
        <f t="shared" si="517"/>
        <v>ㄧ</v>
      </c>
      <c r="N8194" s="3" t="s">
        <v>30576</v>
      </c>
      <c r="O8194" s="3"/>
      <c r="P8194" s="1" t="s">
        <v>20</v>
      </c>
      <c r="R8194" s="1" t="s">
        <v>15029</v>
      </c>
      <c r="V8194" s="1" t="s">
        <v>15040</v>
      </c>
      <c r="W8194" s="1" t="s">
        <v>15041</v>
      </c>
      <c r="AR8194" s="1" t="str">
        <f t="shared" si="515"/>
        <v>| [ㄑㄧˇ](ㄑㄧˇ.md) | [豈](豈.md) |  | qǐ | [副]
1.難道、怎麼，表示反詰。如：「豈敢」、「豈有此理」。《詩經．鄭風．褰裳》：「子不我思，豈無他士？」唐．李白〈答王十二寒夜獨酌有懷〉詩：「曾參豈是殺人者，讒言三及慈母驚。」
2.是否、是不是，表示揣度、推測。《莊子．外物》：「我，東海之波臣也。君豈有斗升之水而活我哉？」《三國志．卷三五．蜀書．諸葛亮傳》：「諸葛孔明者，臥龍也，將軍豈願見之乎？」
3.其，表示期望或命令。《國語．吳語》：「天王豈辱裁之？」《漢書．卷七四．魏相丙吉傳．丙吉》：「願將軍詳大議，參以蓍龜，豈宜褒顯？」 |</v>
      </c>
    </row>
    <row r="8195" spans="1:44" hidden="1">
      <c r="A8195" s="1" t="s">
        <v>15042</v>
      </c>
      <c r="C8195" s="1">
        <v>1</v>
      </c>
      <c r="D8195" s="1" t="str">
        <f>"06286"</f>
        <v>06286</v>
      </c>
      <c r="E8195" s="1" t="s">
        <v>426</v>
      </c>
      <c r="F8195" s="1">
        <v>11</v>
      </c>
      <c r="G8195" s="1">
        <v>7</v>
      </c>
      <c r="H8195" s="1">
        <v>0</v>
      </c>
      <c r="I8195" s="1" t="s">
        <v>15028</v>
      </c>
      <c r="K8195" s="1" t="str">
        <f t="shared" si="516"/>
        <v>ㄑ</v>
      </c>
      <c r="L8195" s="1" t="str">
        <f t="shared" si="517"/>
        <v>ㄧ</v>
      </c>
      <c r="N8195" s="3" t="s">
        <v>30576</v>
      </c>
      <c r="O8195" s="3"/>
      <c r="P8195" s="1" t="s">
        <v>20</v>
      </c>
      <c r="R8195" s="1" t="s">
        <v>15029</v>
      </c>
      <c r="V8195" s="1" t="s">
        <v>15043</v>
      </c>
      <c r="AR8195" s="1" t="str">
        <f t="shared" ref="AR8195:AR8258" si="518">"| ["&amp;I8195&amp;"]("&amp;I8195&amp;".md) | ["&amp;A8195&amp;"]("&amp;A8195&amp;".md) | "&amp;" | "&amp;R8195&amp;" | "&amp;V8195&amp;" |"</f>
        <v>| [ㄑㄧˇ](ㄑㄧˇ.md) | [啟](啟.md) |  | qǐ | [動]
1.打開、展開。如：「開啟」、「啟齒」。《書經．金縢》：「啟籥見書。」《左傳．襄公二十五年》：「門啟而入，枕尸股而哭。」宋．劉克莊〈苦寒行〉：「長安城中多熱官，朱門日高未啟關。」
2.開導、教導。如：「啟發」、「啟蒙」。《論語．述而》：「不憤不啟，不悱不發。」
3.動身、開始。如：「啟程」、「啟行」、「啟動」。
4.陳述、告訴。如：「啟稟」、「啟奏」。《樂府詩集．卷七三．雜曲歌辭十三．古辭．焦仲卿妻》：「府吏得聞之，堂上啟阿母。」唐．元稹《鶯鶯傳》：「是用托短章，願自陳啟。」
5.開闢、開拓。《南史．卷一．宋武帝本紀》：「編戶歲滋，疆宇日啟。」《文選．潘勗．冊魏公九錫文》：「大啟南陽，世作盟主。」
[名]
1.古代稱官信為「啟」，今用來通稱書信。如：「小啟」、「謝啟」。
2.人名。夏禹之子。禹曾讓位於益，但人民懷念禹的功績，乃擁戴啟繼位，開君主世襲之風。
3.姓。如五代十國時後燕有啟崙。 |</v>
      </c>
    </row>
    <row r="8196" spans="1:44" hidden="1">
      <c r="A8196" s="1" t="s">
        <v>15044</v>
      </c>
      <c r="C8196" s="1">
        <v>1</v>
      </c>
      <c r="D8196" s="1" t="str">
        <f>"06287"</f>
        <v>06287</v>
      </c>
      <c r="E8196" s="1" t="s">
        <v>139</v>
      </c>
      <c r="F8196" s="1">
        <v>12</v>
      </c>
      <c r="G8196" s="1">
        <v>8</v>
      </c>
      <c r="H8196" s="1">
        <v>0</v>
      </c>
      <c r="I8196" s="1" t="s">
        <v>15028</v>
      </c>
      <c r="K8196" s="1" t="str">
        <f t="shared" si="516"/>
        <v>ㄑ</v>
      </c>
      <c r="L8196" s="1" t="str">
        <f t="shared" si="517"/>
        <v>ㄧ</v>
      </c>
      <c r="N8196" s="3" t="s">
        <v>30576</v>
      </c>
      <c r="O8196" s="3"/>
      <c r="P8196" s="1" t="s">
        <v>20</v>
      </c>
      <c r="R8196" s="1" t="s">
        <v>15029</v>
      </c>
      <c r="V8196" s="1" t="s">
        <v>15045</v>
      </c>
      <c r="AR8196" s="1" t="str">
        <f t="shared" si="518"/>
        <v>| [ㄑㄧˇ](ㄑㄧˇ.md) | [棨](棨.md) |  | qǐ | [名]
1.古時一種通行的憑證，以木頭刻成，形狀像戟。《說文解字．木部》：「棨，傳，信也。」漢．李尤〈印銘〉：「赤紱在報，非印不明；棨、傳、符、節，非印不行。」《宋書．卷一五．禮志二》：「皇太子夜開諸門，墨令，銀字棨傳令信。」
2.古代官吏出行時用作前導的一種儀仗。通常以木製成，形狀似戟，上有赤黑色的繒衣套住。《漢書．卷七六．韓延壽傳》：「延壽衣黃紈方領，駕四馬，傅總，建幢棨，植羽葆，鼓車歌車。」 |</v>
      </c>
    </row>
    <row r="8197" spans="1:44" hidden="1">
      <c r="A8197" s="1" t="s">
        <v>15046</v>
      </c>
      <c r="C8197" s="1">
        <v>1</v>
      </c>
      <c r="D8197" s="1" t="str">
        <f>"06288"</f>
        <v>06288</v>
      </c>
      <c r="E8197" s="1" t="s">
        <v>68</v>
      </c>
      <c r="F8197" s="1">
        <v>12</v>
      </c>
      <c r="G8197" s="1">
        <v>8</v>
      </c>
      <c r="H8197" s="1">
        <v>0</v>
      </c>
      <c r="I8197" s="1" t="s">
        <v>15028</v>
      </c>
      <c r="K8197" s="1" t="str">
        <f t="shared" si="516"/>
        <v>ㄑ</v>
      </c>
      <c r="L8197" s="1" t="str">
        <f t="shared" si="517"/>
        <v>ㄧ</v>
      </c>
      <c r="N8197" s="3" t="s">
        <v>30576</v>
      </c>
      <c r="O8197" s="3"/>
      <c r="P8197" s="1" t="s">
        <v>20</v>
      </c>
      <c r="R8197" s="1" t="s">
        <v>15029</v>
      </c>
      <c r="V8197" s="1" t="s">
        <v>15047</v>
      </c>
      <c r="AR8197" s="1" t="str">
        <f t="shared" si="518"/>
        <v>| [ㄑㄧˇ](ㄑㄧˇ.md) | [䏿](䏿.md) |  | qǐ | [名]
小腿後肥大的部分。俗稱為「腿肚子」。清．王念孫《廣雅疏證．卷六下．釋親》：「䏿，腨也。」 |</v>
      </c>
    </row>
    <row r="8198" spans="1:44" hidden="1">
      <c r="A8198" s="1" t="s">
        <v>15048</v>
      </c>
      <c r="C8198" s="1">
        <v>1</v>
      </c>
      <c r="D8198" s="1" t="str">
        <f>"06289"</f>
        <v>06289</v>
      </c>
      <c r="E8198" s="1" t="s">
        <v>725</v>
      </c>
      <c r="F8198" s="1">
        <v>14</v>
      </c>
      <c r="G8198" s="1">
        <v>8</v>
      </c>
      <c r="H8198" s="1">
        <v>1</v>
      </c>
      <c r="I8198" s="1" t="s">
        <v>15028</v>
      </c>
      <c r="K8198" s="1" t="str">
        <f t="shared" si="516"/>
        <v>ㄑ</v>
      </c>
      <c r="L8198" s="1" t="str">
        <f t="shared" si="517"/>
        <v>ㄧ</v>
      </c>
      <c r="N8198" s="3" t="s">
        <v>30576</v>
      </c>
      <c r="O8198" s="3"/>
      <c r="P8198" s="1" t="s">
        <v>20</v>
      </c>
      <c r="R8198" s="1" t="s">
        <v>15029</v>
      </c>
      <c r="V8198" s="1" t="s">
        <v>15049</v>
      </c>
      <c r="W8198" s="1" t="s">
        <v>15050</v>
      </c>
      <c r="AR8198" s="1" t="str">
        <f t="shared" si="518"/>
        <v>| [ㄑㄧˇ](ㄑㄧˇ.md) | [綮](綮.md) |  | qǐ | [名]
1.細緻的絲織品。《說文解字．糸部》：「綮，致繒也。」清．段玉裁．注：「凡細膩曰致，今之緻字也。」
2.古代官吏出行時用作前導的儀仗，戟上覆有赤黑色的繒衣套子。通「棨」。如：「綮戟」。 |</v>
      </c>
    </row>
    <row r="8199" spans="1:44" hidden="1">
      <c r="A8199" s="1" t="s">
        <v>15051</v>
      </c>
      <c r="C8199" s="1">
        <v>1</v>
      </c>
      <c r="D8199" s="1" t="str">
        <f>"06290"</f>
        <v>06290</v>
      </c>
      <c r="E8199" s="1" t="s">
        <v>725</v>
      </c>
      <c r="F8199" s="1">
        <v>14</v>
      </c>
      <c r="G8199" s="1">
        <v>8</v>
      </c>
      <c r="H8199" s="1">
        <v>0</v>
      </c>
      <c r="I8199" s="1" t="s">
        <v>15028</v>
      </c>
      <c r="K8199" s="1" t="str">
        <f t="shared" si="516"/>
        <v>ㄑ</v>
      </c>
      <c r="L8199" s="1" t="str">
        <f t="shared" si="517"/>
        <v>ㄧ</v>
      </c>
      <c r="N8199" s="3" t="s">
        <v>30576</v>
      </c>
      <c r="O8199" s="3"/>
      <c r="P8199" s="1" t="s">
        <v>20</v>
      </c>
      <c r="R8199" s="1" t="s">
        <v>15029</v>
      </c>
      <c r="V8199" s="1" t="s">
        <v>15052</v>
      </c>
      <c r="AR8199" s="1" t="str">
        <f t="shared" si="518"/>
        <v>| [ㄑㄧˇ](ㄑㄧˇ.md) | [綺](綺.md) |  | qǐ | [名]
1.織有傾斜花紋的絲織品。《說文解字．糸部》：「綺，文繒也。」清．段玉裁．注：「謂繒之有文者也。」《文選．古詩十九首．客從遠方來》：「客從遠方來，遺我一端綺。」唐．白居易〈與元九書〉：「然則餘霞散成綺，澄江淨如練。」
2.姓。如漢代有綺里季。
[形]
華麗、美麗。如：「綺麗」、「綺室」。《文選．江淹．雜體詩．魏文帝》：「高文一何綺？小儒安足為？」唐．王維〈雜詩〉三首之二：「來日綺窗前，寒梅著花未？」 |</v>
      </c>
    </row>
    <row r="8200" spans="1:44" hidden="1">
      <c r="A8200" s="1" t="s">
        <v>12882</v>
      </c>
      <c r="C8200" s="1">
        <v>1</v>
      </c>
      <c r="D8200" s="1" t="str">
        <f>"06291"</f>
        <v>06291</v>
      </c>
      <c r="E8200" s="1" t="s">
        <v>429</v>
      </c>
      <c r="F8200" s="1">
        <v>15</v>
      </c>
      <c r="G8200" s="1">
        <v>10</v>
      </c>
      <c r="H8200" s="1">
        <v>2</v>
      </c>
      <c r="I8200" s="1" t="s">
        <v>15028</v>
      </c>
      <c r="K8200" s="1" t="str">
        <f t="shared" si="516"/>
        <v>ㄑ</v>
      </c>
      <c r="L8200" s="1" t="str">
        <f t="shared" si="517"/>
        <v>ㄧ</v>
      </c>
      <c r="N8200" s="3" t="s">
        <v>30576</v>
      </c>
      <c r="O8200" s="3"/>
      <c r="P8200" s="1" t="s">
        <v>20</v>
      </c>
      <c r="R8200" s="1" t="s">
        <v>15029</v>
      </c>
      <c r="V8200" s="1" t="s">
        <v>15053</v>
      </c>
      <c r="W8200" s="1" t="s">
        <v>15054</v>
      </c>
      <c r="AR8200" s="1" t="str">
        <f t="shared" si="518"/>
        <v>| [ㄑㄧˇ](ㄑㄧˇ.md) | [稽](稽.md) |  | qǐ | 參見「稽首」、「稽顙」等條。 |</v>
      </c>
    </row>
    <row r="8201" spans="1:44" hidden="1">
      <c r="A8201" s="1" t="s">
        <v>15872</v>
      </c>
      <c r="C8201" s="1">
        <v>1</v>
      </c>
      <c r="D8201" s="1" t="str">
        <f>"06650"</f>
        <v>06650</v>
      </c>
      <c r="E8201" s="1" t="s">
        <v>14794</v>
      </c>
      <c r="F8201" s="1">
        <v>5</v>
      </c>
      <c r="G8201" s="1">
        <v>3</v>
      </c>
      <c r="H8201" s="1">
        <v>0</v>
      </c>
      <c r="I8201" s="1" t="s">
        <v>15873</v>
      </c>
      <c r="K8201" s="1" t="str">
        <f t="shared" si="516"/>
        <v>ㄑ</v>
      </c>
      <c r="L8201" s="1" t="str">
        <f t="shared" si="517"/>
        <v>ㄩ</v>
      </c>
      <c r="N8201" s="3" t="s">
        <v>30574</v>
      </c>
      <c r="O8201" s="3"/>
      <c r="P8201" s="1" t="s">
        <v>20</v>
      </c>
      <c r="R8201" s="1" t="s">
        <v>15874</v>
      </c>
      <c r="V8201" s="1" t="s">
        <v>15875</v>
      </c>
      <c r="AR8201" s="1" t="str">
        <f t="shared" si="518"/>
        <v>| [ㄑㄩˋ](ㄑㄩˋ.md) | [去](去.md) |  | qù | [動]
1.往、到。與「來」相對。如：「去學校」、「去郊遊」、「去餐館吃飯」。唐．李白〈贈韋祕書子春〉詩二首之二：「終與安社稷，功成去五湖。」
2.離開。如：「去職」。《漢書．卷八五．何武傳》：「去後常見思。」
3.死亡。明．湯顯祖《牡丹亭》第二七齣：「杜衙小姐去三年，待與招魂上九天。」
4.距離。如：「去古已遠。」唐．李白〈蜀道難〉：「連峰去天不盈尺，枯松倒挂倚絕壁。」
5.送、發出。如：「去信」、「去電報」。
6.除掉。如：「去一層皮。」宋．沈括《夢溪筆談．卷三．辯證一》：「不求去礙，而欲見不顛倒，難矣哉！」
7.放棄。《莊子．大宗師》：「離形去知。」《漢書．卷九四．匈奴傳上》：「得漢食物皆去之，以視不如重酪之便美也。」
8.失掉。如：「大勢已去」。《史記．卷八七．李斯傳》：「胥人者，去其幾也。」
[形]
過去的。如：「去年」。《文選．曹操．短歌行》：「譬如朝露，去日苦多。」
[助]
表示事情的進行。相當於「啊」、「了」。如：「他睡覺去了。」、「他上班去了。」唐．李賀〈沙路曲〉：「斷燼遺香褭翠煙，燭騎啼烏上天去。」宋．蘇軾〈海棠〉詩：「只恐夜深花睡去，故燒高燭照紅妝。」
[名]
1.平上去入四聲之一。參見「去聲」條。
2.姓。如漢代有去卑。 |</v>
      </c>
    </row>
    <row r="8202" spans="1:44" hidden="1">
      <c r="A8202" s="1" t="s">
        <v>15867</v>
      </c>
      <c r="C8202" s="1">
        <v>1</v>
      </c>
      <c r="D8202" s="1" t="str">
        <f>"06651"</f>
        <v>06651</v>
      </c>
      <c r="E8202" s="1" t="s">
        <v>2743</v>
      </c>
      <c r="F8202" s="1">
        <v>16</v>
      </c>
      <c r="G8202" s="1">
        <v>5</v>
      </c>
      <c r="H8202" s="1">
        <v>1</v>
      </c>
      <c r="I8202" s="1" t="s">
        <v>15873</v>
      </c>
      <c r="K8202" s="1" t="str">
        <f t="shared" si="516"/>
        <v>ㄑ</v>
      </c>
      <c r="L8202" s="1" t="str">
        <f t="shared" si="517"/>
        <v>ㄩ</v>
      </c>
      <c r="N8202" s="3" t="s">
        <v>30574</v>
      </c>
      <c r="O8202" s="3"/>
      <c r="P8202" s="1" t="s">
        <v>20</v>
      </c>
      <c r="R8202" s="1" t="s">
        <v>15874</v>
      </c>
      <c r="V8202" s="1" t="s">
        <v>15876</v>
      </c>
      <c r="W8202" s="1" t="s">
        <v>15877</v>
      </c>
      <c r="AR8202" s="1" t="str">
        <f t="shared" si="518"/>
        <v>| [ㄑㄩˋ](ㄑㄩˋ.md) | [麮](麮.md) |  | qù | [名]
麥粥。《荀子．富國》：「夏日則與之瓜麮。」 |</v>
      </c>
    </row>
    <row r="8203" spans="1:44" hidden="1">
      <c r="A8203" s="1" t="s">
        <v>15864</v>
      </c>
      <c r="C8203" s="1">
        <v>1</v>
      </c>
      <c r="D8203" s="1" t="str">
        <f>"06652"</f>
        <v>06652</v>
      </c>
      <c r="E8203" s="1" t="s">
        <v>534</v>
      </c>
      <c r="F8203" s="1">
        <v>11</v>
      </c>
      <c r="G8203" s="1">
        <v>8</v>
      </c>
      <c r="H8203" s="1">
        <v>2</v>
      </c>
      <c r="I8203" s="1" t="s">
        <v>15873</v>
      </c>
      <c r="K8203" s="1" t="str">
        <f t="shared" si="516"/>
        <v>ㄑ</v>
      </c>
      <c r="L8203" s="1" t="str">
        <f t="shared" si="517"/>
        <v>ㄩ</v>
      </c>
      <c r="N8203" s="3" t="s">
        <v>30574</v>
      </c>
      <c r="O8203" s="3"/>
      <c r="P8203" s="1" t="s">
        <v>186</v>
      </c>
      <c r="R8203" s="1" t="s">
        <v>15874</v>
      </c>
      <c r="V8203" s="1" t="s">
        <v>206</v>
      </c>
      <c r="W8203" s="1" t="s">
        <v>15878</v>
      </c>
      <c r="AR8203" s="1" t="str">
        <f t="shared" si="518"/>
        <v>| [ㄑㄩˋ](ㄑㄩˋ.md) | [娶](娶.md) |  | qù | (一)之讀音。 |</v>
      </c>
    </row>
    <row r="8204" spans="1:44" hidden="1">
      <c r="A8204" s="1" t="s">
        <v>15879</v>
      </c>
      <c r="C8204" s="1">
        <v>1</v>
      </c>
      <c r="D8204" s="1" t="str">
        <f>"06653"</f>
        <v>06653</v>
      </c>
      <c r="E8204" s="1" t="s">
        <v>4563</v>
      </c>
      <c r="F8204" s="1">
        <v>15</v>
      </c>
      <c r="G8204" s="1">
        <v>8</v>
      </c>
      <c r="H8204" s="1">
        <v>1</v>
      </c>
      <c r="I8204" s="1" t="s">
        <v>15873</v>
      </c>
      <c r="K8204" s="1" t="str">
        <f t="shared" si="516"/>
        <v>ㄑ</v>
      </c>
      <c r="L8204" s="1" t="str">
        <f t="shared" si="517"/>
        <v>ㄩ</v>
      </c>
      <c r="N8204" s="3" t="s">
        <v>30574</v>
      </c>
      <c r="O8204" s="3"/>
      <c r="P8204" s="1" t="s">
        <v>20</v>
      </c>
      <c r="R8204" s="1" t="s">
        <v>15874</v>
      </c>
      <c r="V8204" s="1" t="s">
        <v>15880</v>
      </c>
      <c r="W8204" s="1" t="s">
        <v>15881</v>
      </c>
      <c r="AR8204" s="1" t="str">
        <f t="shared" si="518"/>
        <v>| [ㄑㄩˋ](ㄑㄩˋ.md) | [趣](趣.md) |  | qù | [名]
1.興味。如：「趣味」、「雅趣」、「有趣」、「相映成趣」。唐．李白〈月下獨酌〉詩四首之三：「但得酒中趣，勿為醒者傳。」
2.行動或意志的傾向。如：「志趣」。
3.旨意、意味。如：「旨趣」。《列子．湯問》：「曲每奏，鍾子期輒窮其趣。」
[形]
有興味的。如：「趣事」、「趣聞」。
[動]
行動歸向。通「趨」。《列子．力命》：「農赴時，商趣利。」晉．王羲之〈三月三日蘭亭詩序〉：「雖趣舍萬殊，靜躁不同。」 |</v>
      </c>
    </row>
    <row r="8205" spans="1:44" hidden="1">
      <c r="A8205" s="1" t="s">
        <v>14896</v>
      </c>
      <c r="C8205" s="1">
        <v>1</v>
      </c>
      <c r="D8205" s="1" t="str">
        <f>"06654"</f>
        <v>06654</v>
      </c>
      <c r="E8205" s="1" t="s">
        <v>129</v>
      </c>
      <c r="F8205" s="1">
        <v>14</v>
      </c>
      <c r="G8205" s="1">
        <v>11</v>
      </c>
      <c r="H8205" s="1">
        <v>2</v>
      </c>
      <c r="I8205" s="1" t="s">
        <v>15873</v>
      </c>
      <c r="K8205" s="1" t="str">
        <f t="shared" si="516"/>
        <v>ㄑ</v>
      </c>
      <c r="L8205" s="1" t="str">
        <f t="shared" si="517"/>
        <v>ㄩ</v>
      </c>
      <c r="N8205" s="3" t="s">
        <v>30574</v>
      </c>
      <c r="O8205" s="3"/>
      <c r="P8205" s="1" t="s">
        <v>20</v>
      </c>
      <c r="R8205" s="1" t="s">
        <v>15874</v>
      </c>
      <c r="V8205" s="1" t="s">
        <v>15882</v>
      </c>
      <c r="W8205" s="1" t="s">
        <v>15883</v>
      </c>
      <c r="AR8205" s="1" t="str">
        <f t="shared" si="518"/>
        <v>| [ㄑㄩˋ](ㄑㄩˋ.md) | [漆](漆.md) |  | qù | (一)[形]之語音。 |</v>
      </c>
    </row>
    <row r="8206" spans="1:44" hidden="1">
      <c r="A8206" s="1" t="s">
        <v>15884</v>
      </c>
      <c r="C8206" s="1">
        <v>1</v>
      </c>
      <c r="D8206" s="1" t="str">
        <f>"06655"</f>
        <v>06655</v>
      </c>
      <c r="E8206" s="1" t="s">
        <v>709</v>
      </c>
      <c r="F8206" s="1">
        <v>17</v>
      </c>
      <c r="G8206" s="1">
        <v>9</v>
      </c>
      <c r="H8206" s="1">
        <v>0</v>
      </c>
      <c r="I8206" s="1" t="s">
        <v>15873</v>
      </c>
      <c r="K8206" s="1" t="str">
        <f t="shared" si="516"/>
        <v>ㄑ</v>
      </c>
      <c r="L8206" s="1" t="str">
        <f t="shared" si="517"/>
        <v>ㄩ</v>
      </c>
      <c r="N8206" s="3" t="s">
        <v>30574</v>
      </c>
      <c r="O8206" s="3"/>
      <c r="P8206" s="1" t="s">
        <v>20</v>
      </c>
      <c r="R8206" s="1" t="s">
        <v>15874</v>
      </c>
      <c r="V8206" s="1" t="s">
        <v>15885</v>
      </c>
      <c r="AR8206" s="1" t="str">
        <f t="shared" si="518"/>
        <v>| [ㄑㄩˋ](ㄑㄩˋ.md) | [闃](闃.md) |  | qù | [形]
寂靜無聲。如：「闃寂」。《文選．王粲．登樓賦》：「原野闃其無人兮。」清．林紓〈蒼霞精舍後軒記〉：「鳥雀下集，庭墀闃無人聲。」 |</v>
      </c>
    </row>
    <row r="8207" spans="1:44" hidden="1">
      <c r="A8207" s="1" t="s">
        <v>15886</v>
      </c>
      <c r="C8207" s="1">
        <v>1</v>
      </c>
      <c r="D8207" s="1" t="str">
        <f>"06656"</f>
        <v>06656</v>
      </c>
      <c r="E8207" s="1" t="s">
        <v>2233</v>
      </c>
      <c r="F8207" s="1">
        <v>19</v>
      </c>
      <c r="G8207" s="1">
        <v>12</v>
      </c>
      <c r="H8207" s="1">
        <v>0</v>
      </c>
      <c r="I8207" s="1" t="s">
        <v>15873</v>
      </c>
      <c r="K8207" s="1" t="str">
        <f t="shared" si="516"/>
        <v>ㄑ</v>
      </c>
      <c r="L8207" s="1" t="str">
        <f t="shared" si="517"/>
        <v>ㄩ</v>
      </c>
      <c r="N8207" s="3" t="s">
        <v>30574</v>
      </c>
      <c r="O8207" s="3"/>
      <c r="P8207" s="1" t="s">
        <v>20</v>
      </c>
      <c r="R8207" s="1" t="s">
        <v>15874</v>
      </c>
      <c r="V8207" s="1" t="s">
        <v>15887</v>
      </c>
      <c r="AR8207" s="1" t="str">
        <f t="shared" si="518"/>
        <v>| [ㄑㄩˋ](ㄑㄩˋ.md) | [覷](覷.md) |  | qù | [動]
1.窺伺、偷看。如：「覷探」。《聊齋志異．卷一．賈兒》：「兒覷室無人，自發藥裹，竊盈掬而懷之。」
2.看。如：「冷眼相覷」、「面面相覷」。元．鄭光祖《倩女離魂》第二折：「我覷這萬水千山，都只在一時半霎。」
3.瞇著眼注視。如：「妳老是覷著眼看東西，小心近視加深。」《紅樓夢》第四〇回：「劉姥姥也覷著眼看個不了。」 |</v>
      </c>
    </row>
    <row r="8208" spans="1:44" hidden="1">
      <c r="A8208" s="1" t="s">
        <v>15820</v>
      </c>
      <c r="C8208" s="1">
        <v>1</v>
      </c>
      <c r="D8208" s="1" t="str">
        <f>"06626"</f>
        <v>06626</v>
      </c>
      <c r="E8208" s="1" t="s">
        <v>245</v>
      </c>
      <c r="F8208" s="1">
        <v>7</v>
      </c>
      <c r="G8208" s="1">
        <v>5</v>
      </c>
      <c r="H8208" s="1">
        <v>0</v>
      </c>
      <c r="I8208" s="1" t="s">
        <v>15821</v>
      </c>
      <c r="K8208" s="1" t="str">
        <f t="shared" si="516"/>
        <v>ㄑ</v>
      </c>
      <c r="L8208" s="1" t="str">
        <f t="shared" si="517"/>
        <v>ㄩ</v>
      </c>
      <c r="N8208" s="3" t="s">
        <v>30575</v>
      </c>
      <c r="O8208" s="3"/>
      <c r="P8208" s="1" t="s">
        <v>20</v>
      </c>
      <c r="R8208" s="1" t="s">
        <v>15822</v>
      </c>
      <c r="V8208" s="1" t="s">
        <v>15823</v>
      </c>
      <c r="AR8208" s="1" t="str">
        <f t="shared" si="518"/>
        <v>| [ㄑㄩˊ](ㄑㄩˊ.md) | [劬](劬.md) |  | qú | [動]
勤勞、勞苦。如：「劬學」、「劬勞」。《聊齋志異．卷二．聶小倩》：「甯妻病廢，母劬不可堪。」 |</v>
      </c>
    </row>
    <row r="8209" spans="1:44" hidden="1">
      <c r="A8209" s="1" t="s">
        <v>15824</v>
      </c>
      <c r="C8209" s="1">
        <v>1</v>
      </c>
      <c r="D8209" s="1" t="str">
        <f>"06627"</f>
        <v>06627</v>
      </c>
      <c r="E8209" s="1" t="s">
        <v>68</v>
      </c>
      <c r="F8209" s="1">
        <v>9</v>
      </c>
      <c r="G8209" s="1">
        <v>5</v>
      </c>
      <c r="H8209" s="1">
        <v>0</v>
      </c>
      <c r="I8209" s="1" t="s">
        <v>15821</v>
      </c>
      <c r="K8209" s="1" t="str">
        <f t="shared" si="516"/>
        <v>ㄑ</v>
      </c>
      <c r="L8209" s="1" t="str">
        <f t="shared" si="517"/>
        <v>ㄩ</v>
      </c>
      <c r="N8209" s="3" t="s">
        <v>30575</v>
      </c>
      <c r="O8209" s="3"/>
      <c r="P8209" s="1" t="s">
        <v>20</v>
      </c>
      <c r="R8209" s="1" t="s">
        <v>15822</v>
      </c>
      <c r="V8209" s="1" t="s">
        <v>15825</v>
      </c>
      <c r="AR8209" s="1" t="str">
        <f t="shared" si="518"/>
        <v>| [ㄑㄩˊ](ㄑㄩˊ.md) | [胊](胊.md) |  | qú | [名]
1.乾肉及其彎曲的部分。《說文解字．肉部》：「胊，脯挺也。」《儀禮．士虞禮》：「胊在南。」漢．鄭玄．注：「胊，脯及乾肉之屈也。」
2.姓。如漢代有胊邴。
[形]
遠。《管子．侈靡》：「古之祭，……有時而胊。」唐．尹知章．注：「胊，遠也。」 |</v>
      </c>
    </row>
    <row r="8210" spans="1:44" hidden="1">
      <c r="A8210" s="1" t="s">
        <v>15826</v>
      </c>
      <c r="C8210" s="1">
        <v>1</v>
      </c>
      <c r="D8210" s="1" t="str">
        <f>"06628"</f>
        <v>06628</v>
      </c>
      <c r="E8210" s="1" t="s">
        <v>725</v>
      </c>
      <c r="F8210" s="1">
        <v>11</v>
      </c>
      <c r="G8210" s="1">
        <v>5</v>
      </c>
      <c r="H8210" s="1">
        <v>0</v>
      </c>
      <c r="I8210" s="1" t="s">
        <v>15821</v>
      </c>
      <c r="K8210" s="1" t="str">
        <f t="shared" si="516"/>
        <v>ㄑ</v>
      </c>
      <c r="L8210" s="1" t="str">
        <f t="shared" si="517"/>
        <v>ㄩ</v>
      </c>
      <c r="N8210" s="3" t="s">
        <v>30575</v>
      </c>
      <c r="O8210" s="3"/>
      <c r="P8210" s="1" t="s">
        <v>20</v>
      </c>
      <c r="R8210" s="1" t="s">
        <v>15822</v>
      </c>
      <c r="V8210" s="1" t="s">
        <v>15827</v>
      </c>
      <c r="AR8210" s="1" t="str">
        <f t="shared" si="518"/>
        <v>| [ㄑㄩˊ](ㄑㄩˊ.md) | [絇](絇.md) |  | qú | [名]
1.用布縷絲麻搓編成的繩索。唐．皇甫湜〈諭業〉：「淺闢庸種無嘉苗，頹絇疏織無良帛。」
2.古代鞋頭的裝飾品。《禮記．檀弓上》：「繩屨無絇。」
3.姓。如宋代有絇紡。 |</v>
      </c>
    </row>
    <row r="8211" spans="1:44" hidden="1">
      <c r="A8211" s="1" t="s">
        <v>15828</v>
      </c>
      <c r="C8211" s="1">
        <v>1</v>
      </c>
      <c r="D8211" s="1" t="str">
        <f>"06629"</f>
        <v>06629</v>
      </c>
      <c r="E8211" s="1" t="s">
        <v>71</v>
      </c>
      <c r="F8211" s="1">
        <v>12</v>
      </c>
      <c r="G8211" s="1">
        <v>5</v>
      </c>
      <c r="H8211" s="1">
        <v>0</v>
      </c>
      <c r="I8211" s="1" t="s">
        <v>15821</v>
      </c>
      <c r="K8211" s="1" t="str">
        <f t="shared" si="516"/>
        <v>ㄑ</v>
      </c>
      <c r="L8211" s="1" t="str">
        <f t="shared" si="517"/>
        <v>ㄩ</v>
      </c>
      <c r="N8211" s="3" t="s">
        <v>30575</v>
      </c>
      <c r="O8211" s="3"/>
      <c r="P8211" s="1" t="s">
        <v>20</v>
      </c>
      <c r="R8211" s="1" t="s">
        <v>15822</v>
      </c>
      <c r="V8211" s="1" t="s">
        <v>15829</v>
      </c>
      <c r="AR8211" s="1" t="str">
        <f t="shared" si="518"/>
        <v>| [ㄑㄩˊ](ㄑㄩˊ.md) | [軥](軥.md) |  | qú | [名]
車軛兩邊下卷以利於繫革帶的部分。《說文解字．車部》：「軥，軛下曲者。」清．段玉裁．注：「軛木上平而下為兩坳，加於兩服馬之頸是曰軥。」《左傳．襄公十四年》：「射兩軥而還。」唐．孔穎達．正義：「服虔云：『車軛兩邊叉馬頸者。』」 |</v>
      </c>
    </row>
    <row r="8212" spans="1:44" hidden="1">
      <c r="A8212" s="1" t="s">
        <v>15830</v>
      </c>
      <c r="C8212" s="1">
        <v>1</v>
      </c>
      <c r="D8212" s="1" t="str">
        <f>"06630"</f>
        <v>06630</v>
      </c>
      <c r="E8212" s="1" t="s">
        <v>272</v>
      </c>
      <c r="F8212" s="1">
        <v>16</v>
      </c>
      <c r="G8212" s="1">
        <v>5</v>
      </c>
      <c r="H8212" s="1">
        <v>0</v>
      </c>
      <c r="I8212" s="1" t="s">
        <v>15821</v>
      </c>
      <c r="K8212" s="1" t="str">
        <f t="shared" si="516"/>
        <v>ㄑ</v>
      </c>
      <c r="L8212" s="1" t="str">
        <f t="shared" si="517"/>
        <v>ㄩ</v>
      </c>
      <c r="N8212" s="3" t="s">
        <v>30575</v>
      </c>
      <c r="O8212" s="3"/>
      <c r="P8212" s="1" t="s">
        <v>20</v>
      </c>
      <c r="R8212" s="1" t="s">
        <v>15822</v>
      </c>
      <c r="V8212" s="1" t="s">
        <v>15831</v>
      </c>
      <c r="AR8212" s="1" t="str">
        <f t="shared" si="518"/>
        <v>| [ㄑㄩˊ](ㄑㄩˊ.md) | [鴝](鴝.md) |  | qú | 動物名。鶇亞科。身體小，尾巴長，羽毛美麗，嘴短而尖，鳴聲悅耳。如藍歌鴝、紅尾鴝、短翅鴝。 |</v>
      </c>
    </row>
    <row r="8213" spans="1:44" hidden="1">
      <c r="A8213" s="1" t="s">
        <v>15832</v>
      </c>
      <c r="C8213" s="1">
        <v>1</v>
      </c>
      <c r="D8213" s="1" t="str">
        <f>"06631"</f>
        <v>06631</v>
      </c>
      <c r="E8213" s="1" t="s">
        <v>86</v>
      </c>
      <c r="F8213" s="1">
        <v>18</v>
      </c>
      <c r="G8213" s="1">
        <v>5</v>
      </c>
      <c r="H8213" s="1">
        <v>0</v>
      </c>
      <c r="I8213" s="1" t="s">
        <v>15821</v>
      </c>
      <c r="K8213" s="1" t="str">
        <f t="shared" si="516"/>
        <v>ㄑ</v>
      </c>
      <c r="L8213" s="1" t="str">
        <f t="shared" si="517"/>
        <v>ㄩ</v>
      </c>
      <c r="N8213" s="3" t="s">
        <v>30575</v>
      </c>
      <c r="O8213" s="3"/>
      <c r="P8213" s="1" t="s">
        <v>20</v>
      </c>
      <c r="R8213" s="1" t="s">
        <v>15822</v>
      </c>
      <c r="V8213" s="1" t="s">
        <v>14242</v>
      </c>
      <c r="AR8213" s="1" t="str">
        <f t="shared" si="518"/>
        <v>| [ㄑㄩˊ](ㄑㄩˊ.md) | [鼩](鼩.md) |  | qú | 參見「鼩鼱」條。 |</v>
      </c>
    </row>
    <row r="8214" spans="1:44" hidden="1">
      <c r="A8214" s="1" t="s">
        <v>15833</v>
      </c>
      <c r="C8214" s="1">
        <v>1</v>
      </c>
      <c r="D8214" s="1" t="str">
        <f>"06632"</f>
        <v>06632</v>
      </c>
      <c r="E8214" s="1" t="s">
        <v>129</v>
      </c>
      <c r="F8214" s="1">
        <v>12</v>
      </c>
      <c r="G8214" s="1">
        <v>9</v>
      </c>
      <c r="H8214" s="1">
        <v>0</v>
      </c>
      <c r="I8214" s="1" t="s">
        <v>15821</v>
      </c>
      <c r="K8214" s="1" t="str">
        <f t="shared" si="516"/>
        <v>ㄑ</v>
      </c>
      <c r="L8214" s="1" t="str">
        <f t="shared" si="517"/>
        <v>ㄩ</v>
      </c>
      <c r="N8214" s="3" t="s">
        <v>30575</v>
      </c>
      <c r="O8214" s="3"/>
      <c r="P8214" s="1" t="s">
        <v>20</v>
      </c>
      <c r="R8214" s="1" t="s">
        <v>15822</v>
      </c>
      <c r="V8214" s="1" t="s">
        <v>15834</v>
      </c>
      <c r="AR8214" s="1" t="str">
        <f t="shared" si="518"/>
        <v>| [ㄑㄩˊ](ㄑㄩˊ.md) | [渠](渠.md) |  | qú | [名]_x000D_
1.人工挖掘的水道。如：「河渠」、「溝渠」、「水到渠成」。南朝宋．鮑照〈河清頌并序〉：「鳴禽躍魚，滌穢河渠，至祥也。」清．王筠《說文句讀》卷二一：「河者天生之，渠者人鑿之。」_x000D_
2.姓。如漢代有渠參。_x000D_
[代]_x000D_
他，它，指第三人稱。如：「渠等」。《金史．卷六八．列傳．歡都》：「君相之位，皆渠輩為之，奈何？」宋．朱熹〈觀書有感〉詩二首之一：「問渠那得清如許，為有源頭活水來。」_x000D_
[形]_x000D_
1.大、位列首要的。如：「渠酋」、「渠首」。《史記．卷一一七．司馬相如列傳》：「用興法誅其渠帥，巴蜀民大驚恐。」《新唐書．卷一一〇．諸夷蕃將列傳．李多祚》：「討黑水靺鞨，誘其渠長，置酒高會，因醉斬之，擊破其眾。」_x000D_
2.參見「渠渠」條。 |</v>
      </c>
    </row>
    <row r="8215" spans="1:44" hidden="1">
      <c r="A8215" s="1" t="s">
        <v>15835</v>
      </c>
      <c r="C8215" s="1">
        <v>1</v>
      </c>
      <c r="D8215" s="1" t="str">
        <f>"06633"</f>
        <v>06633</v>
      </c>
      <c r="E8215" s="1" t="s">
        <v>37</v>
      </c>
      <c r="F8215" s="1">
        <v>16</v>
      </c>
      <c r="G8215" s="1">
        <v>12</v>
      </c>
      <c r="H8215" s="1">
        <v>0</v>
      </c>
      <c r="I8215" s="1" t="s">
        <v>15821</v>
      </c>
      <c r="K8215" s="1" t="str">
        <f t="shared" si="516"/>
        <v>ㄑ</v>
      </c>
      <c r="L8215" s="1" t="str">
        <f t="shared" si="517"/>
        <v>ㄩ</v>
      </c>
      <c r="N8215" s="3" t="s">
        <v>30575</v>
      </c>
      <c r="O8215" s="3"/>
      <c r="P8215" s="1" t="s">
        <v>20</v>
      </c>
      <c r="R8215" s="1" t="s">
        <v>15822</v>
      </c>
      <c r="V8215" s="1" t="s">
        <v>15836</v>
      </c>
      <c r="AR8215" s="1" t="str">
        <f t="shared" si="518"/>
        <v>| [ㄑㄩˊ](ㄑㄩˊ.md) | [蕖](蕖.md) |  | qú | 參見「芙蕖」、「蒗蕖」等條。 |</v>
      </c>
    </row>
    <row r="8216" spans="1:44" hidden="1">
      <c r="A8216" s="1" t="s">
        <v>15837</v>
      </c>
      <c r="C8216" s="1">
        <v>1</v>
      </c>
      <c r="D8216" s="1" t="str">
        <f>"06634"</f>
        <v>06634</v>
      </c>
      <c r="E8216" s="1" t="s">
        <v>169</v>
      </c>
      <c r="F8216" s="1">
        <v>17</v>
      </c>
      <c r="G8216" s="1">
        <v>12</v>
      </c>
      <c r="H8216" s="1">
        <v>0</v>
      </c>
      <c r="I8216" s="1" t="s">
        <v>15821</v>
      </c>
      <c r="K8216" s="1" t="str">
        <f t="shared" si="516"/>
        <v>ㄑ</v>
      </c>
      <c r="L8216" s="1" t="str">
        <f t="shared" si="517"/>
        <v>ㄩ</v>
      </c>
      <c r="N8216" s="3" t="s">
        <v>30575</v>
      </c>
      <c r="O8216" s="3"/>
      <c r="P8216" s="1" t="s">
        <v>20</v>
      </c>
      <c r="R8216" s="1" t="s">
        <v>15822</v>
      </c>
      <c r="V8216" s="1" t="s">
        <v>15838</v>
      </c>
      <c r="AR8216" s="1" t="str">
        <f t="shared" si="518"/>
        <v>| [ㄑㄩˊ](ㄑㄩˊ.md) | [磲](磲.md) |  | qú | 參見「硨磲」條。 |</v>
      </c>
    </row>
    <row r="8217" spans="1:44" hidden="1">
      <c r="A8217" s="1" t="s">
        <v>15839</v>
      </c>
      <c r="C8217" s="1">
        <v>1</v>
      </c>
      <c r="D8217" s="1" t="str">
        <f>"06635"</f>
        <v>06635</v>
      </c>
      <c r="E8217" s="1" t="s">
        <v>142</v>
      </c>
      <c r="F8217" s="1">
        <v>17</v>
      </c>
      <c r="G8217" s="1">
        <v>13</v>
      </c>
      <c r="H8217" s="1">
        <v>0</v>
      </c>
      <c r="I8217" s="1" t="s">
        <v>15821</v>
      </c>
      <c r="K8217" s="1" t="str">
        <f t="shared" si="516"/>
        <v>ㄑ</v>
      </c>
      <c r="L8217" s="1" t="str">
        <f t="shared" si="517"/>
        <v>ㄩ</v>
      </c>
      <c r="N8217" s="3" t="s">
        <v>30575</v>
      </c>
      <c r="O8217" s="3"/>
      <c r="P8217" s="1" t="s">
        <v>20</v>
      </c>
      <c r="R8217" s="1" t="s">
        <v>15822</v>
      </c>
      <c r="V8217" s="1" t="s">
        <v>15840</v>
      </c>
      <c r="AR8217" s="1" t="str">
        <f t="shared" si="518"/>
        <v>| [ㄑㄩˊ](ㄑㄩˊ.md) | [璩](璩.md) |  | qú | [名]
1.像環的玉器。清．鄭珍《說文新附考》卷一：「璩，環屬。」
2.姓。如漢代有璩光岳。 |</v>
      </c>
    </row>
    <row r="8218" spans="1:44" hidden="1">
      <c r="A8218" s="1" t="s">
        <v>15841</v>
      </c>
      <c r="C8218" s="1">
        <v>1</v>
      </c>
      <c r="D8218" s="1" t="str">
        <f>"06636"</f>
        <v>06636</v>
      </c>
      <c r="E8218" s="1" t="s">
        <v>37</v>
      </c>
      <c r="F8218" s="1">
        <v>21</v>
      </c>
      <c r="G8218" s="1">
        <v>17</v>
      </c>
      <c r="H8218" s="1">
        <v>0</v>
      </c>
      <c r="I8218" s="1" t="s">
        <v>15821</v>
      </c>
      <c r="K8218" s="1" t="str">
        <f t="shared" si="516"/>
        <v>ㄑ</v>
      </c>
      <c r="L8218" s="1" t="str">
        <f t="shared" si="517"/>
        <v>ㄩ</v>
      </c>
      <c r="N8218" s="3" t="s">
        <v>30575</v>
      </c>
      <c r="O8218" s="3"/>
      <c r="P8218" s="1" t="s">
        <v>20</v>
      </c>
      <c r="R8218" s="1" t="s">
        <v>15822</v>
      </c>
      <c r="V8218" s="1" t="s">
        <v>15842</v>
      </c>
      <c r="AR8218" s="1" t="str">
        <f t="shared" si="518"/>
        <v>| [ㄑㄩˊ](ㄑㄩˊ.md) | [蘧](蘧.md) |  | qú | [名]
1.蘧麥：植物名。即瞿麥。石竹科石竹屬，多年生草本。莖高約五十公分。葉對生，披針狀線形，無柄。夏秋季開花，一至二朵頂生，偶近枝端腋生，淡紅色或帶紫色，花瓣邊緣絲狀裂至中部或中上部。蒴果圓筒形，頂端四裂。可供觀賞，亦可入藥。《爾雅．釋草》：「大菊，蘧麥。」晉．郭璞．注：「一名麥句薑，即瞿麥。」
2.姓。如春秋時衛國有蘧伯玉。
[副]
驚喜。《莊子．大宗師》：「成然寐，蘧然覺。」唐．成玄英．疏：「蘧然，是驚喜之貌。」 |</v>
      </c>
    </row>
    <row r="8219" spans="1:44" hidden="1">
      <c r="A8219" s="1" t="s">
        <v>14465</v>
      </c>
      <c r="C8219" s="1">
        <v>1</v>
      </c>
      <c r="D8219" s="1" t="str">
        <f>"06637"</f>
        <v>06637</v>
      </c>
      <c r="E8219" s="1" t="s">
        <v>49</v>
      </c>
      <c r="F8219" s="1">
        <v>23</v>
      </c>
      <c r="G8219" s="1">
        <v>17</v>
      </c>
      <c r="H8219" s="1">
        <v>1</v>
      </c>
      <c r="I8219" s="1" t="s">
        <v>15821</v>
      </c>
      <c r="K8219" s="1" t="str">
        <f t="shared" si="516"/>
        <v>ㄑ</v>
      </c>
      <c r="L8219" s="1" t="str">
        <f t="shared" si="517"/>
        <v>ㄩ</v>
      </c>
      <c r="N8219" s="3" t="s">
        <v>30575</v>
      </c>
      <c r="O8219" s="3"/>
      <c r="P8219" s="1" t="s">
        <v>20</v>
      </c>
      <c r="R8219" s="1" t="s">
        <v>15822</v>
      </c>
      <c r="V8219" s="1" t="s">
        <v>15843</v>
      </c>
      <c r="W8219" s="1" t="s">
        <v>15844</v>
      </c>
      <c r="AR8219" s="1" t="str">
        <f t="shared" si="518"/>
        <v>| [ㄑㄩˊ](ㄑㄩˊ.md) | [籧](籧.md) |  | qú | 參見「籧篨」條。 |</v>
      </c>
    </row>
    <row r="8220" spans="1:44" hidden="1">
      <c r="A8220" s="1" t="s">
        <v>14515</v>
      </c>
      <c r="C8220" s="1">
        <v>1</v>
      </c>
      <c r="D8220" s="1" t="str">
        <f>"06638"</f>
        <v>06638</v>
      </c>
      <c r="E8220" s="1" t="s">
        <v>1015</v>
      </c>
      <c r="F8220" s="1">
        <v>18</v>
      </c>
      <c r="G8220" s="1">
        <v>13</v>
      </c>
      <c r="H8220" s="1">
        <v>2</v>
      </c>
      <c r="I8220" s="1" t="s">
        <v>15821</v>
      </c>
      <c r="K8220" s="1" t="str">
        <f t="shared" si="516"/>
        <v>ㄑ</v>
      </c>
      <c r="L8220" s="1" t="str">
        <f t="shared" si="517"/>
        <v>ㄩ</v>
      </c>
      <c r="N8220" s="3" t="s">
        <v>30575</v>
      </c>
      <c r="O8220" s="3"/>
      <c r="P8220" s="1" t="s">
        <v>110</v>
      </c>
      <c r="R8220" s="1" t="s">
        <v>15822</v>
      </c>
      <c r="V8220" s="1" t="s">
        <v>111</v>
      </c>
      <c r="W8220" s="1" t="s">
        <v>15845</v>
      </c>
      <c r="AR8220" s="1" t="str">
        <f t="shared" si="518"/>
        <v>| [ㄑㄩˊ](ㄑㄩˊ.md) | [瞿](瞿.md) |  | qú | (一)之又音。 |</v>
      </c>
    </row>
    <row r="8221" spans="1:44" hidden="1">
      <c r="A8221" s="1" t="s">
        <v>15846</v>
      </c>
      <c r="C8221" s="1">
        <v>1</v>
      </c>
      <c r="D8221" s="1" t="str">
        <f>"06639"</f>
        <v>06639</v>
      </c>
      <c r="E8221" s="1" t="s">
        <v>1703</v>
      </c>
      <c r="F8221" s="1">
        <v>22</v>
      </c>
      <c r="G8221" s="1">
        <v>18</v>
      </c>
      <c r="H8221" s="1">
        <v>0</v>
      </c>
      <c r="I8221" s="1" t="s">
        <v>15821</v>
      </c>
      <c r="K8221" s="1" t="str">
        <f t="shared" si="516"/>
        <v>ㄑ</v>
      </c>
      <c r="L8221" s="1" t="str">
        <f t="shared" si="517"/>
        <v>ㄩ</v>
      </c>
      <c r="N8221" s="3" t="s">
        <v>30575</v>
      </c>
      <c r="O8221" s="3"/>
      <c r="P8221" s="1" t="s">
        <v>20</v>
      </c>
      <c r="R8221" s="1" t="s">
        <v>15822</v>
      </c>
      <c r="V8221" s="1" t="s">
        <v>15847</v>
      </c>
      <c r="AR8221" s="1" t="str">
        <f t="shared" si="518"/>
        <v>| [ㄑㄩˊ](ㄑㄩˊ.md) | [氍](氍.md) |  | qú | 參見「氍毹」條。 |</v>
      </c>
    </row>
    <row r="8222" spans="1:44" hidden="1">
      <c r="A8222" s="1" t="s">
        <v>15848</v>
      </c>
      <c r="C8222" s="1">
        <v>1</v>
      </c>
      <c r="D8222" s="1" t="str">
        <f>"06640"</f>
        <v>06640</v>
      </c>
      <c r="E8222" s="1" t="s">
        <v>68</v>
      </c>
      <c r="F8222" s="1">
        <v>22</v>
      </c>
      <c r="G8222" s="1">
        <v>18</v>
      </c>
      <c r="H8222" s="1">
        <v>0</v>
      </c>
      <c r="I8222" s="1" t="s">
        <v>15821</v>
      </c>
      <c r="K8222" s="1" t="str">
        <f t="shared" si="516"/>
        <v>ㄑ</v>
      </c>
      <c r="L8222" s="1" t="str">
        <f t="shared" si="517"/>
        <v>ㄩ</v>
      </c>
      <c r="N8222" s="3" t="s">
        <v>30575</v>
      </c>
      <c r="O8222" s="3"/>
      <c r="P8222" s="1" t="s">
        <v>20</v>
      </c>
      <c r="R8222" s="1" t="s">
        <v>15822</v>
      </c>
      <c r="V8222" s="1" t="s">
        <v>15849</v>
      </c>
      <c r="AR8222" s="1" t="str">
        <f t="shared" si="518"/>
        <v>| [ㄑㄩˊ](ㄑㄩˊ.md) | [臞](臞.md) |  | qú | [形]
清瘦、瘦弱。《廣韻．去聲．遇韻》：「臞，瘦。」《史記．卷一一七．司馬相如傳》：「形容甚臞。」宋．陸游〈雪夜作〉詩：「君勿輕臞儒，有志事竟成。」 |</v>
      </c>
    </row>
    <row r="8223" spans="1:44" hidden="1">
      <c r="A8223" s="1" t="s">
        <v>15850</v>
      </c>
      <c r="C8223" s="1">
        <v>1</v>
      </c>
      <c r="D8223" s="1" t="str">
        <f>"06641"</f>
        <v>06641</v>
      </c>
      <c r="E8223" s="1" t="s">
        <v>679</v>
      </c>
      <c r="F8223" s="1">
        <v>24</v>
      </c>
      <c r="G8223" s="1">
        <v>18</v>
      </c>
      <c r="H8223" s="1">
        <v>0</v>
      </c>
      <c r="I8223" s="1" t="s">
        <v>15821</v>
      </c>
      <c r="K8223" s="1" t="str">
        <f t="shared" si="516"/>
        <v>ㄑ</v>
      </c>
      <c r="L8223" s="1" t="str">
        <f t="shared" si="517"/>
        <v>ㄩ</v>
      </c>
      <c r="N8223" s="3" t="s">
        <v>30575</v>
      </c>
      <c r="O8223" s="3"/>
      <c r="P8223" s="1" t="s">
        <v>20</v>
      </c>
      <c r="R8223" s="1" t="s">
        <v>15822</v>
      </c>
      <c r="V8223" s="1" t="s">
        <v>15851</v>
      </c>
      <c r="AR8223" s="1" t="str">
        <f t="shared" si="518"/>
        <v>| [ㄑㄩˊ](ㄑㄩˊ.md) | [蠷](蠷.md) |  | qú | 參見「蠷蝚」、「蠷螋」等條。 |</v>
      </c>
    </row>
    <row r="8224" spans="1:44" hidden="1">
      <c r="A8224" s="1" t="s">
        <v>15852</v>
      </c>
      <c r="C8224" s="1">
        <v>1</v>
      </c>
      <c r="D8224" s="1" t="str">
        <f>"06642"</f>
        <v>06642</v>
      </c>
      <c r="E8224" s="1" t="s">
        <v>7105</v>
      </c>
      <c r="F8224" s="1">
        <v>24</v>
      </c>
      <c r="G8224" s="1">
        <v>18</v>
      </c>
      <c r="H8224" s="1">
        <v>0</v>
      </c>
      <c r="I8224" s="1" t="s">
        <v>15821</v>
      </c>
      <c r="K8224" s="1" t="str">
        <f t="shared" si="516"/>
        <v>ㄑ</v>
      </c>
      <c r="L8224" s="1" t="str">
        <f t="shared" si="517"/>
        <v>ㄩ</v>
      </c>
      <c r="N8224" s="3" t="s">
        <v>30575</v>
      </c>
      <c r="O8224" s="3"/>
      <c r="P8224" s="1" t="s">
        <v>20</v>
      </c>
      <c r="R8224" s="1" t="s">
        <v>15822</v>
      </c>
      <c r="V8224" s="1" t="s">
        <v>15853</v>
      </c>
      <c r="AR8224" s="1" t="str">
        <f t="shared" si="518"/>
        <v>| [ㄑㄩˊ](ㄑㄩˊ.md) | [衢](衢.md) |  | qú | [名]
1.四通八達的大路。如：「通衢」、「康衢」。《荀子．勸學》：「行衢道者不至，事兩君者不容。」唐．駱賓王〈與博昌父老書〉：「所恨企予望之，經途密邇，佇中衢而空軫，巾下澤而莫因。」
2.姓。如明代有衢道。 |</v>
      </c>
    </row>
    <row r="8225" spans="1:44" hidden="1">
      <c r="A8225" s="1" t="s">
        <v>15854</v>
      </c>
      <c r="C8225" s="1">
        <v>1</v>
      </c>
      <c r="D8225" s="1" t="str">
        <f>"06643"</f>
        <v>06643</v>
      </c>
      <c r="E8225" s="1" t="s">
        <v>77</v>
      </c>
      <c r="F8225" s="1">
        <v>25</v>
      </c>
      <c r="G8225" s="1">
        <v>18</v>
      </c>
      <c r="H8225" s="1">
        <v>0</v>
      </c>
      <c r="I8225" s="1" t="s">
        <v>15821</v>
      </c>
      <c r="K8225" s="1" t="str">
        <f t="shared" si="516"/>
        <v>ㄑ</v>
      </c>
      <c r="L8225" s="1" t="str">
        <f t="shared" si="517"/>
        <v>ㄩ</v>
      </c>
      <c r="N8225" s="3" t="s">
        <v>30575</v>
      </c>
      <c r="O8225" s="3"/>
      <c r="P8225" s="1" t="s">
        <v>20</v>
      </c>
      <c r="R8225" s="1" t="s">
        <v>15822</v>
      </c>
      <c r="V8225" s="1" t="s">
        <v>15855</v>
      </c>
      <c r="AR8225" s="1" t="str">
        <f t="shared" si="518"/>
        <v>| [ㄑㄩˊ](ㄑㄩˊ.md) | [躣](躣.md) |  | qú | [形]
走路的樣子。《說文解字．足部》：「躣，行貌。」《楚辭．宋玉．九辯》：「左朱雀之茇茇兮，右蒼龍之躣躣。」 |</v>
      </c>
    </row>
    <row r="8226" spans="1:44" hidden="1">
      <c r="A8226" s="1" t="s">
        <v>15856</v>
      </c>
      <c r="C8226" s="1">
        <v>1</v>
      </c>
      <c r="D8226" s="1" t="str">
        <f>"06644"</f>
        <v>06644</v>
      </c>
      <c r="E8226" s="1" t="s">
        <v>2743</v>
      </c>
      <c r="F8226" s="1">
        <v>19</v>
      </c>
      <c r="G8226" s="1">
        <v>8</v>
      </c>
      <c r="H8226" s="1">
        <v>0</v>
      </c>
      <c r="I8226" s="1" t="s">
        <v>15821</v>
      </c>
      <c r="K8226" s="1" t="str">
        <f t="shared" si="516"/>
        <v>ㄑ</v>
      </c>
      <c r="L8226" s="1" t="str">
        <f t="shared" si="517"/>
        <v>ㄩ</v>
      </c>
      <c r="N8226" s="3" t="s">
        <v>30575</v>
      </c>
      <c r="O8226" s="3"/>
      <c r="P8226" s="1" t="s">
        <v>20</v>
      </c>
      <c r="R8226" s="1" t="s">
        <v>15822</v>
      </c>
      <c r="V8226" s="1" t="s">
        <v>15857</v>
      </c>
      <c r="AR8226" s="1" t="str">
        <f t="shared" si="518"/>
        <v>| [ㄑㄩˊ](ㄑㄩˊ.md) | [麴](麴.md) |  | qú | [名]
1.把麥子或白米蒸過，加入麴種混合，使麴菌繁殖、發酵後再晒乾，稱為「麴」。可用來釀酒。宋．蘇軾〈少年遊．銀塘朱檻麴塵波〉詞：「銀塘朱檻麴塵波，圓綠卷新荷。」也稱為「酒母」、「酒麴」。
2.姓。如晉代有麴崇裕。 |</v>
      </c>
    </row>
    <row r="8227" spans="1:44" hidden="1">
      <c r="A8227" s="1" t="s">
        <v>15777</v>
      </c>
      <c r="C8227" s="1">
        <v>1</v>
      </c>
      <c r="D8227" s="1" t="str">
        <f>"06645"</f>
        <v>06645</v>
      </c>
      <c r="E8227" s="1" t="s">
        <v>6488</v>
      </c>
      <c r="F8227" s="1">
        <v>6</v>
      </c>
      <c r="G8227" s="1">
        <v>2</v>
      </c>
      <c r="H8227" s="1">
        <v>2</v>
      </c>
      <c r="I8227" s="1" t="s">
        <v>15858</v>
      </c>
      <c r="K8227" s="1" t="str">
        <f t="shared" si="516"/>
        <v>ㄑ</v>
      </c>
      <c r="L8227" s="1" t="str">
        <f t="shared" si="517"/>
        <v>ㄩ</v>
      </c>
      <c r="N8227" s="3" t="s">
        <v>30576</v>
      </c>
      <c r="O8227" s="3"/>
      <c r="P8227" s="1" t="s">
        <v>20</v>
      </c>
      <c r="R8227" s="1" t="s">
        <v>15859</v>
      </c>
      <c r="V8227" s="1" t="s">
        <v>15860</v>
      </c>
      <c r="W8227" s="1" t="s">
        <v>15861</v>
      </c>
      <c r="AR8227" s="1" t="str">
        <f t="shared" si="518"/>
        <v>| [ㄑㄩˇ](ㄑㄩˇ.md) | [曲](曲.md) |  | qǔ | [名]
1.樂歌。如：「歌曲」、「小曲」、「舞曲」、「曲高和寡」。唐．杜甫〈贈花卿〉詩：「此曲祗應天上有，人間能得幾回聞？」
2.文體名。中國古典韻文之一。元時最盛行，故稱為「元曲」。分散曲、劇曲二種。
3.量詞。計算歌曲、樂曲的單位。如：「高歌一曲」。五代十國南唐．李煜〈一斛珠．晚妝初過〉詞：「一曲清歌，暫引櫻桃破。」 |</v>
      </c>
    </row>
    <row r="8228" spans="1:44" hidden="1">
      <c r="A8228" s="1" t="s">
        <v>15862</v>
      </c>
      <c r="C8228" s="1">
        <v>1</v>
      </c>
      <c r="D8228" s="1" t="str">
        <f>"06646"</f>
        <v>06646</v>
      </c>
      <c r="E8228" s="1" t="s">
        <v>1880</v>
      </c>
      <c r="F8228" s="1">
        <v>8</v>
      </c>
      <c r="G8228" s="1">
        <v>6</v>
      </c>
      <c r="H8228" s="1">
        <v>0</v>
      </c>
      <c r="I8228" s="1" t="s">
        <v>15858</v>
      </c>
      <c r="K8228" s="1" t="str">
        <f t="shared" si="516"/>
        <v>ㄑ</v>
      </c>
      <c r="L8228" s="1" t="str">
        <f t="shared" si="517"/>
        <v>ㄩ</v>
      </c>
      <c r="N8228" s="3" t="s">
        <v>30576</v>
      </c>
      <c r="O8228" s="3"/>
      <c r="P8228" s="1" t="s">
        <v>20</v>
      </c>
      <c r="R8228" s="1" t="s">
        <v>15859</v>
      </c>
      <c r="V8228" s="1" t="s">
        <v>15863</v>
      </c>
      <c r="AR8228" s="1" t="str">
        <f t="shared" si="518"/>
        <v>| [ㄑㄩˇ](ㄑㄩˇ.md) | [取](取.md) |  | qǔ | [動]
1.拿。如：「取款」、「各取所需」、「探囊取物」。唐．常建〈宿五度溪仙人得道處〉詩：「前溪遇新月，聊取玉琴彈。」
2.得到。如：「取樂」、「取暖」、「取信於人」。
3.接受、收受。如：「分文不取」。《孟子．離婁下》：「可以取，可以無取，取傷廉。」
4.捕捉。《詩經．豳風．七月》：「取彼狐貍，為公子裘。」
5.選擇。如：「取士」、「取景」、「取道」、「取名」。《三國演義》第六三回：「統令魏延為先鋒，取南小路而進。」
6.求、尋求。如：「自取滅亡」。《文選．張衡．西京賦》：「列爵十四，競媚取榮。」
7.迎娶。通「娶」。《詩經．豳風．伐柯》：「取妻如何？匪媒不得。」《史記．卷三三．魯周公世家》：「莊公取齊女為夫人曰哀姜。」
[助]
置於動詞後，表示動作的進行。唐．杜秋娘〈金縷衣〉詩：「勸君莫惜金縷衣，勸君惜取少年時。」
[名]
姓。如宋代有取希作。 |</v>
      </c>
    </row>
    <row r="8229" spans="1:44" hidden="1">
      <c r="A8229" s="1" t="s">
        <v>15864</v>
      </c>
      <c r="C8229" s="1">
        <v>1</v>
      </c>
      <c r="D8229" s="1" t="str">
        <f>"06647"</f>
        <v>06647</v>
      </c>
      <c r="E8229" s="1" t="s">
        <v>534</v>
      </c>
      <c r="F8229" s="1">
        <v>11</v>
      </c>
      <c r="G8229" s="1">
        <v>8</v>
      </c>
      <c r="H8229" s="1">
        <v>1</v>
      </c>
      <c r="I8229" s="1" t="s">
        <v>15858</v>
      </c>
      <c r="K8229" s="1" t="str">
        <f t="shared" si="516"/>
        <v>ㄑ</v>
      </c>
      <c r="L8229" s="1" t="str">
        <f t="shared" si="517"/>
        <v>ㄩ</v>
      </c>
      <c r="N8229" s="3" t="s">
        <v>30576</v>
      </c>
      <c r="O8229" s="3"/>
      <c r="P8229" s="1" t="s">
        <v>388</v>
      </c>
      <c r="R8229" s="1" t="s">
        <v>15859</v>
      </c>
      <c r="V8229" s="1" t="s">
        <v>15865</v>
      </c>
      <c r="W8229" s="1" t="s">
        <v>15866</v>
      </c>
      <c r="AR8229" s="1" t="str">
        <f t="shared" si="518"/>
        <v>| [ㄑㄩˇ](ㄑㄩˇ.md) | [娶](娶.md) |  | qǔ | [動]
男子迎接女子過門成親。如：「嫁娶」、「娶老婆」、「娶妻娶德」。南朝宋．劉義慶《世說新語．文學》：「裴散騎娶王太尉女。」 |</v>
      </c>
    </row>
    <row r="8230" spans="1:44" hidden="1">
      <c r="A8230" s="1" t="s">
        <v>15867</v>
      </c>
      <c r="C8230" s="1">
        <v>1</v>
      </c>
      <c r="D8230" s="1" t="str">
        <f>"06648"</f>
        <v>06648</v>
      </c>
      <c r="E8230" s="1" t="s">
        <v>2743</v>
      </c>
      <c r="F8230" s="1">
        <v>16</v>
      </c>
      <c r="G8230" s="1">
        <v>5</v>
      </c>
      <c r="H8230" s="1">
        <v>2</v>
      </c>
      <c r="I8230" s="1" t="s">
        <v>15858</v>
      </c>
      <c r="K8230" s="1" t="str">
        <f t="shared" si="516"/>
        <v>ㄑ</v>
      </c>
      <c r="L8230" s="1" t="str">
        <f t="shared" si="517"/>
        <v>ㄩ</v>
      </c>
      <c r="N8230" s="3" t="s">
        <v>30576</v>
      </c>
      <c r="O8230" s="3"/>
      <c r="P8230" s="1" t="s">
        <v>20</v>
      </c>
      <c r="R8230" s="1" t="s">
        <v>15859</v>
      </c>
      <c r="V8230" s="1" t="s">
        <v>15868</v>
      </c>
      <c r="W8230" s="1" t="s">
        <v>15869</v>
      </c>
      <c r="AR8230" s="1" t="str">
        <f t="shared" si="518"/>
        <v>| [ㄑㄩˇ](ㄑㄩˇ.md) | [麮](麮.md) |  | qǔ | [名]
烏麮：一種葉大花白，可供食用的植物。清．王念孫《廣雅疏證．卷一〇上．釋草》：「烏麮，葍也。」疏證：「郭注云：『大葉白華，根如指，正白可啖。』」 |</v>
      </c>
    </row>
    <row r="8231" spans="1:44" hidden="1">
      <c r="A8231" s="1" t="s">
        <v>15870</v>
      </c>
      <c r="C8231" s="1">
        <v>1</v>
      </c>
      <c r="D8231" s="1" t="str">
        <f>"06649"</f>
        <v>06649</v>
      </c>
      <c r="E8231" s="1" t="s">
        <v>592</v>
      </c>
      <c r="F8231" s="1">
        <v>24</v>
      </c>
      <c r="G8231" s="1">
        <v>9</v>
      </c>
      <c r="H8231" s="1">
        <v>0</v>
      </c>
      <c r="I8231" s="1" t="s">
        <v>15858</v>
      </c>
      <c r="K8231" s="1" t="str">
        <f t="shared" si="516"/>
        <v>ㄑ</v>
      </c>
      <c r="L8231" s="1" t="str">
        <f t="shared" si="517"/>
        <v>ㄩ</v>
      </c>
      <c r="N8231" s="3" t="s">
        <v>30576</v>
      </c>
      <c r="O8231" s="3"/>
      <c r="P8231" s="1" t="s">
        <v>20</v>
      </c>
      <c r="R8231" s="1" t="s">
        <v>15859</v>
      </c>
      <c r="V8231" s="1" t="s">
        <v>15871</v>
      </c>
      <c r="AR8231" s="1" t="str">
        <f t="shared" si="518"/>
        <v>| [ㄑㄩˇ](ㄑㄩˇ.md) | [齲](齲.md) |  | qǔ | 參見「齲齒」條。 |</v>
      </c>
    </row>
    <row r="8232" spans="1:44" hidden="1">
      <c r="A8232" s="1" t="s">
        <v>16060</v>
      </c>
      <c r="C8232" s="1">
        <v>1</v>
      </c>
      <c r="D8232" s="1" t="str">
        <f>"06733"</f>
        <v>06733</v>
      </c>
      <c r="E8232" s="1" t="s">
        <v>18</v>
      </c>
      <c r="F8232" s="1">
        <v>4</v>
      </c>
      <c r="G8232" s="1">
        <v>2</v>
      </c>
      <c r="H8232" s="1">
        <v>0</v>
      </c>
      <c r="I8232" s="1" t="s">
        <v>16061</v>
      </c>
      <c r="K8232" s="1" t="str">
        <f t="shared" si="516"/>
        <v>ㄒ</v>
      </c>
      <c r="L8232" s="1" t="str">
        <f t="shared" si="517"/>
        <v>ㄧ</v>
      </c>
      <c r="M8232" s="1" t="str">
        <f t="shared" ref="M8232:M8295" si="519">MID(I8232, 3, 1)</f>
        <v/>
      </c>
      <c r="P8232" s="1" t="s">
        <v>20</v>
      </c>
      <c r="R8232" s="1" t="s">
        <v>16062</v>
      </c>
      <c r="V8232" s="1" t="s">
        <v>16063</v>
      </c>
      <c r="AR8232" s="1" t="str">
        <f t="shared" si="518"/>
        <v>| [ㄒㄧ](ㄒㄧ.md) | [兮](兮.md) |  | xī | [助]
用於句中或句末，相當於「啊」：(1)表示感嘆的語氣。《詩經．唐風．綢繆》：「子兮子兮，如此良人何？」《史記．卷七．項羽本紀》：「力拔山兮氣蓋世，時不利兮騅不逝。」(2)表示贊嘆、肯定的語氣。《詩經．鄭風．羔裘》：「彼其之子，邦之彥兮。」 |</v>
      </c>
    </row>
    <row r="8233" spans="1:44" hidden="1">
      <c r="A8233" s="1" t="s">
        <v>16064</v>
      </c>
      <c r="C8233" s="1">
        <v>1</v>
      </c>
      <c r="D8233" s="1" t="str">
        <f>"06734"</f>
        <v>06734</v>
      </c>
      <c r="E8233" s="1" t="s">
        <v>4317</v>
      </c>
      <c r="F8233" s="1">
        <v>6</v>
      </c>
      <c r="G8233" s="1">
        <v>0</v>
      </c>
      <c r="H8233" s="1">
        <v>0</v>
      </c>
      <c r="I8233" s="1" t="s">
        <v>16061</v>
      </c>
      <c r="K8233" s="1" t="str">
        <f t="shared" si="516"/>
        <v>ㄒ</v>
      </c>
      <c r="L8233" s="1" t="str">
        <f t="shared" si="517"/>
        <v>ㄧ</v>
      </c>
      <c r="M8233" s="1" t="str">
        <f t="shared" si="519"/>
        <v/>
      </c>
      <c r="P8233" s="1" t="s">
        <v>20</v>
      </c>
      <c r="R8233" s="1" t="s">
        <v>16062</v>
      </c>
      <c r="V8233" s="1" t="s">
        <v>16065</v>
      </c>
      <c r="AR8233" s="1" t="str">
        <f t="shared" si="518"/>
        <v>| [ㄒㄧ](ㄒㄧ.md) | [西](西.md) |  | xī | [名]
1.方位名。為日落的一方，與「東」相對。如：「由西往東」。
2.稱歐美西方國家。如：「中西合併」。
3.西班牙的簡稱。
4.姓。如明代有西鳴岐。
[形]
1.西邊的。如：「日落西山」。
2.西方國家的、歐美國家的。如：「西服」、「西餐」、「西裝」、「西醫」。 |</v>
      </c>
    </row>
    <row r="8234" spans="1:44" hidden="1">
      <c r="A8234" s="1" t="s">
        <v>16066</v>
      </c>
      <c r="C8234" s="1">
        <v>1</v>
      </c>
      <c r="D8234" s="1" t="str">
        <f>"06735"</f>
        <v>06735</v>
      </c>
      <c r="E8234" s="1" t="s">
        <v>250</v>
      </c>
      <c r="F8234" s="1">
        <v>9</v>
      </c>
      <c r="G8234" s="1">
        <v>6</v>
      </c>
      <c r="H8234" s="1">
        <v>0</v>
      </c>
      <c r="I8234" s="1" t="s">
        <v>16061</v>
      </c>
      <c r="K8234" s="1" t="str">
        <f t="shared" si="516"/>
        <v>ㄒ</v>
      </c>
      <c r="L8234" s="1" t="str">
        <f t="shared" si="517"/>
        <v>ㄧ</v>
      </c>
      <c r="M8234" s="1" t="str">
        <f t="shared" si="519"/>
        <v/>
      </c>
      <c r="P8234" s="1" t="s">
        <v>20</v>
      </c>
      <c r="R8234" s="1" t="s">
        <v>16062</v>
      </c>
      <c r="V8234" s="1" t="s">
        <v>16067</v>
      </c>
      <c r="AR8234" s="1" t="str">
        <f t="shared" si="518"/>
        <v>| [ㄒㄧ](ㄒㄧ.md) | [恓](恓.md) |  | xī | 參見「恓惶」條。 |</v>
      </c>
    </row>
    <row r="8235" spans="1:44" hidden="1">
      <c r="A8235" s="1" t="s">
        <v>14879</v>
      </c>
      <c r="C8235" s="1">
        <v>1</v>
      </c>
      <c r="D8235" s="1" t="str">
        <f>"06736"</f>
        <v>06736</v>
      </c>
      <c r="E8235" s="1" t="s">
        <v>139</v>
      </c>
      <c r="F8235" s="1">
        <v>10</v>
      </c>
      <c r="G8235" s="1">
        <v>6</v>
      </c>
      <c r="H8235" s="1">
        <v>1</v>
      </c>
      <c r="I8235" s="1" t="s">
        <v>16061</v>
      </c>
      <c r="K8235" s="1" t="str">
        <f t="shared" si="516"/>
        <v>ㄒ</v>
      </c>
      <c r="L8235" s="1" t="str">
        <f t="shared" si="517"/>
        <v>ㄧ</v>
      </c>
      <c r="M8235" s="1" t="str">
        <f t="shared" si="519"/>
        <v/>
      </c>
      <c r="P8235" s="1" t="s">
        <v>20</v>
      </c>
      <c r="R8235" s="1" t="s">
        <v>16062</v>
      </c>
      <c r="V8235" s="1" t="s">
        <v>16068</v>
      </c>
      <c r="W8235" s="1" t="s">
        <v>16069</v>
      </c>
      <c r="AR8235" s="1" t="str">
        <f t="shared" si="518"/>
        <v>| [ㄒㄧ](ㄒㄧ.md) | [栖](栖.md) |  | xī | [副]
參見「栖栖」條。
[動]
停留、休息。通「棲」。《莊子．盜跖》：「晝拾橡栗，暮栖木上。」 |</v>
      </c>
    </row>
    <row r="8236" spans="1:44" hidden="1">
      <c r="A8236" s="1" t="s">
        <v>16070</v>
      </c>
      <c r="C8236" s="1">
        <v>1</v>
      </c>
      <c r="D8236" s="1" t="str">
        <f>"06737"</f>
        <v>06737</v>
      </c>
      <c r="E8236" s="1" t="s">
        <v>2228</v>
      </c>
      <c r="F8236" s="1">
        <v>10</v>
      </c>
      <c r="G8236" s="1">
        <v>6</v>
      </c>
      <c r="H8236" s="1">
        <v>0</v>
      </c>
      <c r="I8236" s="1" t="s">
        <v>16061</v>
      </c>
      <c r="K8236" s="1" t="str">
        <f t="shared" si="516"/>
        <v>ㄒ</v>
      </c>
      <c r="L8236" s="1" t="str">
        <f t="shared" si="517"/>
        <v>ㄧ</v>
      </c>
      <c r="M8236" s="1" t="str">
        <f t="shared" si="519"/>
        <v/>
      </c>
      <c r="P8236" s="1" t="s">
        <v>20</v>
      </c>
      <c r="R8236" s="1" t="s">
        <v>16062</v>
      </c>
      <c r="V8236" s="1" t="s">
        <v>16071</v>
      </c>
      <c r="AR8236" s="1" t="str">
        <f t="shared" si="518"/>
        <v>| [ㄒㄧ](ㄒㄧ.md) | [氥](氥.md) |  | xī | [名]
化學元素。氙的舊譯。 |</v>
      </c>
    </row>
    <row r="8237" spans="1:44" hidden="1">
      <c r="A8237" s="1" t="s">
        <v>16072</v>
      </c>
      <c r="C8237" s="1">
        <v>1</v>
      </c>
      <c r="D8237" s="1" t="str">
        <f>"06738"</f>
        <v>06738</v>
      </c>
      <c r="E8237" s="1" t="s">
        <v>169</v>
      </c>
      <c r="F8237" s="1">
        <v>11</v>
      </c>
      <c r="G8237" s="1">
        <v>6</v>
      </c>
      <c r="H8237" s="1">
        <v>0</v>
      </c>
      <c r="I8237" s="1" t="s">
        <v>16061</v>
      </c>
      <c r="K8237" s="1" t="str">
        <f t="shared" si="516"/>
        <v>ㄒ</v>
      </c>
      <c r="L8237" s="1" t="str">
        <f t="shared" si="517"/>
        <v>ㄧ</v>
      </c>
      <c r="M8237" s="1" t="str">
        <f t="shared" si="519"/>
        <v/>
      </c>
      <c r="P8237" s="1" t="s">
        <v>20</v>
      </c>
      <c r="R8237" s="1" t="s">
        <v>16062</v>
      </c>
      <c r="V8237" s="1" t="s">
        <v>16073</v>
      </c>
      <c r="AR8237" s="1" t="str">
        <f t="shared" si="518"/>
        <v>| [ㄒㄧ](ㄒㄧ.md) | [硒](硒.md) |  | xī | [名]
（selenium，Se）化學元素。原子序34。非金屬元素之一。有毒，有結晶硒及非結晶硒之分。結晶硒為鐵灰色，非結晶硒為暗紅色。用於分析化學、冶金學和光電管等。 |</v>
      </c>
    </row>
    <row r="8238" spans="1:44" hidden="1">
      <c r="A8238" s="1" t="s">
        <v>16074</v>
      </c>
      <c r="C8238" s="1">
        <v>1</v>
      </c>
      <c r="D8238" s="1" t="str">
        <f>"06739"</f>
        <v>06739</v>
      </c>
      <c r="E8238" s="1" t="s">
        <v>46</v>
      </c>
      <c r="F8238" s="1">
        <v>12</v>
      </c>
      <c r="G8238" s="1">
        <v>6</v>
      </c>
      <c r="H8238" s="1">
        <v>0</v>
      </c>
      <c r="I8238" s="1" t="s">
        <v>16061</v>
      </c>
      <c r="K8238" s="1" t="str">
        <f t="shared" si="516"/>
        <v>ㄒ</v>
      </c>
      <c r="L8238" s="1" t="str">
        <f t="shared" si="517"/>
        <v>ㄧ</v>
      </c>
      <c r="M8238" s="1" t="str">
        <f t="shared" si="519"/>
        <v/>
      </c>
      <c r="P8238" s="1" t="s">
        <v>20</v>
      </c>
      <c r="R8238" s="1" t="s">
        <v>16062</v>
      </c>
      <c r="V8238" s="1" t="s">
        <v>16075</v>
      </c>
      <c r="AR8238" s="1" t="str">
        <f t="shared" si="518"/>
        <v>| [ㄒㄧ](ㄒㄧ.md) | [粞](粞.md) |  | xī | [名]
碎米。《玉篇．米部》：「粞，碎米。」宋．蘇軾〈吳中田婦歎〉：「汗流肩赬載入市，價賤乞與如糠粞。」宋．陸游〈老雞〉詩：「碓下糠粞幸不乏，何妨相倚過餘生。」 |</v>
      </c>
    </row>
    <row r="8239" spans="1:44" hidden="1">
      <c r="A8239" s="1" t="s">
        <v>16076</v>
      </c>
      <c r="C8239" s="1">
        <v>1</v>
      </c>
      <c r="D8239" s="1" t="str">
        <f>"06740"</f>
        <v>06740</v>
      </c>
      <c r="E8239" s="1" t="s">
        <v>24</v>
      </c>
      <c r="F8239" s="1">
        <v>7</v>
      </c>
      <c r="G8239" s="1">
        <v>4</v>
      </c>
      <c r="H8239" s="1">
        <v>0</v>
      </c>
      <c r="I8239" s="1" t="s">
        <v>16061</v>
      </c>
      <c r="K8239" s="1" t="str">
        <f t="shared" si="516"/>
        <v>ㄒ</v>
      </c>
      <c r="L8239" s="1" t="str">
        <f t="shared" si="517"/>
        <v>ㄧ</v>
      </c>
      <c r="M8239" s="1" t="str">
        <f t="shared" si="519"/>
        <v/>
      </c>
      <c r="P8239" s="1" t="s">
        <v>20</v>
      </c>
      <c r="R8239" s="1" t="s">
        <v>16062</v>
      </c>
      <c r="V8239" s="1" t="s">
        <v>16077</v>
      </c>
      <c r="AR8239" s="1" t="str">
        <f t="shared" si="518"/>
        <v>| [ㄒㄧ](ㄒㄧ.md) | [扱](扱.md) |  | xī | [動]
1.收斂、收取。《禮記．曲禮上》：「以箕自鄉而扱之。」漢．鄭玄．注：「扱，謂收糞時也。箕去棄物以鄉尊者則不恭。」
2.到、及。《儀禮．士昏禮》：「婦拜扱地。」漢．鄭玄．注：「扱地，手至地也。」 |</v>
      </c>
    </row>
    <row r="8240" spans="1:44" hidden="1">
      <c r="A8240" s="1" t="s">
        <v>16078</v>
      </c>
      <c r="C8240" s="1">
        <v>1</v>
      </c>
      <c r="D8240" s="1" t="str">
        <f>"06741"</f>
        <v>06741</v>
      </c>
      <c r="E8240" s="1" t="s">
        <v>28</v>
      </c>
      <c r="F8240" s="1">
        <v>7</v>
      </c>
      <c r="G8240" s="1">
        <v>4</v>
      </c>
      <c r="H8240" s="1">
        <v>0</v>
      </c>
      <c r="I8240" s="1" t="s">
        <v>16061</v>
      </c>
      <c r="K8240" s="1" t="str">
        <f t="shared" ref="K8240:K8303" si="520">LEFT(I8240, 1)</f>
        <v>ㄒ</v>
      </c>
      <c r="L8240" s="1" t="str">
        <f t="shared" ref="L8240:L8303" si="521">MID(I8240, 2, 1)</f>
        <v>ㄧ</v>
      </c>
      <c r="M8240" s="1" t="str">
        <f t="shared" si="519"/>
        <v/>
      </c>
      <c r="P8240" s="1" t="s">
        <v>20</v>
      </c>
      <c r="R8240" s="1" t="s">
        <v>16062</v>
      </c>
      <c r="V8240" s="1" t="s">
        <v>16079</v>
      </c>
      <c r="AR8240" s="1" t="str">
        <f t="shared" si="518"/>
        <v>| [ㄒㄧ](ㄒㄧ.md) | [吸](吸.md) |  | xī | [動]
1.用口或鼻將氣體引入體內。如：「吸氣」、「吸菸」。《莊子．逍遙遊》：「不食五穀，吸風飲露。」
2.飲、喝。《楚辭．屈原．九章．悲回風》：「吸湛露之浮源兮，漱凝霜之雰雰。」宋．陸游〈醉歌〉：「方我吸酒時，江山入胸中。」
3.攝取、容納。如：「吸取經驗」、「吸收養分」。唐．張九齡〈登南嶽事畢謁司馬道士〉詩：「吸精反自然，鍊藥求不死。」 |</v>
      </c>
    </row>
    <row r="8241" spans="1:44" hidden="1">
      <c r="A8241" s="1" t="s">
        <v>16080</v>
      </c>
      <c r="C8241" s="1">
        <v>1</v>
      </c>
      <c r="D8241" s="1" t="str">
        <f>"06742"</f>
        <v>06742</v>
      </c>
      <c r="E8241" s="1" t="s">
        <v>222</v>
      </c>
      <c r="F8241" s="1">
        <v>7</v>
      </c>
      <c r="G8241" s="1">
        <v>4</v>
      </c>
      <c r="H8241" s="1">
        <v>0</v>
      </c>
      <c r="I8241" s="1" t="s">
        <v>16061</v>
      </c>
      <c r="K8241" s="1" t="str">
        <f t="shared" si="520"/>
        <v>ㄒ</v>
      </c>
      <c r="L8241" s="1" t="str">
        <f t="shared" si="521"/>
        <v>ㄧ</v>
      </c>
      <c r="M8241" s="1" t="str">
        <f t="shared" si="519"/>
        <v/>
      </c>
      <c r="P8241" s="1" t="s">
        <v>20</v>
      </c>
      <c r="R8241" s="1" t="s">
        <v>16062</v>
      </c>
      <c r="V8241" s="1" t="s">
        <v>16081</v>
      </c>
      <c r="AR8241" s="1" t="str">
        <f t="shared" si="518"/>
        <v>| [ㄒㄧ](ㄒㄧ.md) | [希](希.md) |  | xī | [形]
少有、不多。通「稀」。如：「希罕」、「物以希為貴」、「人生七十古來希」。《論語．公冶長》：「不念舊惡，怨是用希。」
[動]
1.渴望、懇求。如：「希求」、「希冀」。《後漢書．卷二三．竇融傳》：「憲威權震朝庭，公卿希旨，奏憲位次太傅下，三公上。」北齊．顏之推《顏氏家訓．文章》：「必有盛才重譽改革體裁者，實吾所希。」
2.仰慕。《文選．左思．詠史詩八首之三》：「吾希段干木，偃息藩魏君；吾慕魯仲連，談笑卻秦軍。」
3.止、漸歇。《論語．先進》：「鼓瑟希，鏗爾，舍瑟而作。」
[名]
姓。如宋代有希繢。 |</v>
      </c>
    </row>
    <row r="8242" spans="1:44" hidden="1">
      <c r="A8242" s="1" t="s">
        <v>16082</v>
      </c>
      <c r="C8242" s="1">
        <v>1</v>
      </c>
      <c r="D8242" s="1" t="str">
        <f>"06743"</f>
        <v>06743</v>
      </c>
      <c r="E8242" s="1" t="s">
        <v>129</v>
      </c>
      <c r="F8242" s="1">
        <v>10</v>
      </c>
      <c r="G8242" s="1">
        <v>7</v>
      </c>
      <c r="H8242" s="1">
        <v>0</v>
      </c>
      <c r="I8242" s="1" t="s">
        <v>16061</v>
      </c>
      <c r="K8242" s="1" t="str">
        <f t="shared" si="520"/>
        <v>ㄒ</v>
      </c>
      <c r="L8242" s="1" t="str">
        <f t="shared" si="521"/>
        <v>ㄧ</v>
      </c>
      <c r="M8242" s="1" t="str">
        <f t="shared" si="519"/>
        <v/>
      </c>
      <c r="P8242" s="1" t="s">
        <v>20</v>
      </c>
      <c r="R8242" s="1" t="s">
        <v>16062</v>
      </c>
      <c r="V8242" s="1" t="s">
        <v>16083</v>
      </c>
      <c r="AR8242" s="1" t="str">
        <f t="shared" si="518"/>
        <v>| [ㄒㄧ](ㄒㄧ.md) | [浠](浠.md) |  | xī | 參見「浠水」條。 |</v>
      </c>
    </row>
    <row r="8243" spans="1:44" hidden="1">
      <c r="A8243" s="1" t="s">
        <v>16084</v>
      </c>
      <c r="C8243" s="1">
        <v>1</v>
      </c>
      <c r="D8243" s="1" t="str">
        <f>"06744"</f>
        <v>06744</v>
      </c>
      <c r="E8243" s="1" t="s">
        <v>250</v>
      </c>
      <c r="F8243" s="1">
        <v>10</v>
      </c>
      <c r="G8243" s="1">
        <v>7</v>
      </c>
      <c r="H8243" s="1">
        <v>0</v>
      </c>
      <c r="I8243" s="1" t="s">
        <v>16061</v>
      </c>
      <c r="K8243" s="1" t="str">
        <f t="shared" si="520"/>
        <v>ㄒ</v>
      </c>
      <c r="L8243" s="1" t="str">
        <f t="shared" si="521"/>
        <v>ㄧ</v>
      </c>
      <c r="M8243" s="1" t="str">
        <f t="shared" si="519"/>
        <v/>
      </c>
      <c r="P8243" s="1" t="s">
        <v>20</v>
      </c>
      <c r="R8243" s="1" t="s">
        <v>16062</v>
      </c>
      <c r="V8243" s="1" t="s">
        <v>16085</v>
      </c>
      <c r="AR8243" s="1" t="str">
        <f t="shared" si="518"/>
        <v>| [ㄒㄧ](ㄒㄧ.md) | [悕](悕.md) |  | xī | [動]
1.想念。《玉篇．心部》：「悕，念也，願也。」
2.悲痛。《廣韻．平聲．微韻》：「悕，悲也。」《公羊傳．成公十六年》：「在招丘悕矣。」 |</v>
      </c>
    </row>
    <row r="8244" spans="1:44" hidden="1">
      <c r="A8244" s="1" t="s">
        <v>16086</v>
      </c>
      <c r="C8244" s="1">
        <v>1</v>
      </c>
      <c r="D8244" s="1" t="str">
        <f>"06745"</f>
        <v>06745</v>
      </c>
      <c r="E8244" s="1" t="s">
        <v>28</v>
      </c>
      <c r="F8244" s="1">
        <v>10</v>
      </c>
      <c r="G8244" s="1">
        <v>7</v>
      </c>
      <c r="H8244" s="1">
        <v>0</v>
      </c>
      <c r="I8244" s="1" t="s">
        <v>16061</v>
      </c>
      <c r="K8244" s="1" t="str">
        <f t="shared" si="520"/>
        <v>ㄒ</v>
      </c>
      <c r="L8244" s="1" t="str">
        <f t="shared" si="521"/>
        <v>ㄧ</v>
      </c>
      <c r="M8244" s="1" t="str">
        <f t="shared" si="519"/>
        <v/>
      </c>
      <c r="P8244" s="1" t="s">
        <v>20</v>
      </c>
      <c r="R8244" s="1" t="s">
        <v>16062</v>
      </c>
      <c r="V8244" s="1" t="s">
        <v>16087</v>
      </c>
      <c r="AR8244" s="1" t="str">
        <f t="shared" si="518"/>
        <v>| [ㄒㄧ](ㄒㄧ.md) | [唏](唏.md) |  | xī | [動]
哀嘆、哀痛而不哭的樣子。通「欷」。漢．揚雄《方言》卷一：「唏，痛也，哀而不泣曰『唏』。於方則楚言哀曰『唏』。」《淮南子．說山》：「紂為象箸而箕子唏，魯以偶人葬而孔子嘆。」
[擬]
1.形容笑聲。《西遊記》第五回：「四個健將，領眾叩迎那大聖，哽哽咽咽大哭三聲，又唏唏哈哈大笑三聲。」
2.形容物體滑落，撞擊地面所發出的聲音。如：「一個不小心，盤子唏哩嘩啦的碎了滿地。」 |</v>
      </c>
    </row>
    <row r="8245" spans="1:44" hidden="1">
      <c r="A8245" s="1" t="s">
        <v>16088</v>
      </c>
      <c r="C8245" s="1">
        <v>1</v>
      </c>
      <c r="D8245" s="1" t="str">
        <f>"06746"</f>
        <v>06746</v>
      </c>
      <c r="E8245" s="1" t="s">
        <v>198</v>
      </c>
      <c r="F8245" s="1">
        <v>10</v>
      </c>
      <c r="G8245" s="1">
        <v>7</v>
      </c>
      <c r="H8245" s="1">
        <v>0</v>
      </c>
      <c r="I8245" s="1" t="s">
        <v>16061</v>
      </c>
      <c r="K8245" s="1" t="str">
        <f t="shared" si="520"/>
        <v>ㄒ</v>
      </c>
      <c r="L8245" s="1" t="str">
        <f t="shared" si="521"/>
        <v>ㄧ</v>
      </c>
      <c r="M8245" s="1" t="str">
        <f t="shared" si="519"/>
        <v/>
      </c>
      <c r="P8245" s="1" t="s">
        <v>20</v>
      </c>
      <c r="R8245" s="1" t="s">
        <v>16062</v>
      </c>
      <c r="V8245" s="1" t="s">
        <v>16089</v>
      </c>
      <c r="AR8245" s="1" t="str">
        <f t="shared" si="518"/>
        <v>| [ㄒㄧ](ㄒㄧ.md) | [狶](狶.md) |  | xī | [名]
豬。同「豨」。《莊子．知北遊》：「正獲之問於監市履狶也，每下愈況。」晉．郭象．注：「狶，大豕也。」唐．柳宗元〈招海賈文〉：「反齗叉牙踔嶔崖，蛇首狶鬣虎豹皮。」 |</v>
      </c>
    </row>
    <row r="8246" spans="1:44" hidden="1">
      <c r="A8246" s="1" t="s">
        <v>16090</v>
      </c>
      <c r="C8246" s="1">
        <v>1</v>
      </c>
      <c r="D8246" s="1" t="str">
        <f>"06747"</f>
        <v>06747</v>
      </c>
      <c r="E8246" s="1" t="s">
        <v>336</v>
      </c>
      <c r="F8246" s="1">
        <v>11</v>
      </c>
      <c r="G8246" s="1">
        <v>7</v>
      </c>
      <c r="H8246" s="1">
        <v>0</v>
      </c>
      <c r="I8246" s="1" t="s">
        <v>16061</v>
      </c>
      <c r="K8246" s="1" t="str">
        <f t="shared" si="520"/>
        <v>ㄒ</v>
      </c>
      <c r="L8246" s="1" t="str">
        <f t="shared" si="521"/>
        <v>ㄧ</v>
      </c>
      <c r="M8246" s="1" t="str">
        <f t="shared" si="519"/>
        <v/>
      </c>
      <c r="P8246" s="1" t="s">
        <v>20</v>
      </c>
      <c r="R8246" s="1" t="s">
        <v>16062</v>
      </c>
      <c r="V8246" s="1" t="s">
        <v>16091</v>
      </c>
      <c r="AR8246" s="1" t="str">
        <f t="shared" si="518"/>
        <v>| [ㄒㄧ](ㄒㄧ.md) | [烯](烯.md) |  | xī | [名]
有機化合物的一類。含有雙鍵的不飽和烴，化性活潑，可進行加成、聚合和氧化等反應。烯類可由石油煉製。可用於燃料、合成原料及塑膠工業。 |</v>
      </c>
    </row>
    <row r="8247" spans="1:44" hidden="1">
      <c r="A8247" s="1" t="s">
        <v>16092</v>
      </c>
      <c r="C8247" s="1">
        <v>1</v>
      </c>
      <c r="D8247" s="1" t="str">
        <f>"06748"</f>
        <v>06748</v>
      </c>
      <c r="E8247" s="1" t="s">
        <v>646</v>
      </c>
      <c r="F8247" s="1">
        <v>11</v>
      </c>
      <c r="G8247" s="1">
        <v>7</v>
      </c>
      <c r="H8247" s="1">
        <v>0</v>
      </c>
      <c r="I8247" s="1" t="s">
        <v>16061</v>
      </c>
      <c r="K8247" s="1" t="str">
        <f t="shared" si="520"/>
        <v>ㄒ</v>
      </c>
      <c r="L8247" s="1" t="str">
        <f t="shared" si="521"/>
        <v>ㄧ</v>
      </c>
      <c r="M8247" s="1" t="str">
        <f t="shared" si="519"/>
        <v/>
      </c>
      <c r="P8247" s="1" t="s">
        <v>20</v>
      </c>
      <c r="R8247" s="1" t="s">
        <v>16062</v>
      </c>
      <c r="V8247" s="1" t="s">
        <v>16093</v>
      </c>
      <c r="AR8247" s="1" t="str">
        <f t="shared" si="518"/>
        <v>| [ㄒㄧ](ㄒㄧ.md) | [晞](晞.md) |  | xī | [動]
1.蒸發、乾燥。《詩經．秦風．蒹葭》：「蒹葭萋萋，白露未晞。」宋．賀鑄〈鷓鴣天．重過閶門萬事非〉詞：「原上草，露初晞，舊棲新壟兩依依。」
2.晒、弄乾。《楚辭．屈原．九歌．少司命》：「與女沐兮咸池，晞女髮兮陽之阿。」晉．嵇含〈悅晴詩〉：「翔鳳晞輕翮，應龍曝纖鬐。」
3.消散。《楚辭．王逸．九思．疾世》：「時昢昢兮旦旦，塵莫莫兮未晞。」漢．曹操〈祀故太尉橋玄文〉：「靈幽體翳，邈哉晞矣。」
4.破曉、露出曙光。《詩經．齊風．東方未明》：「東方未晞，顛倒衣裳。」唐．孔穎達．正義：「晞，謂將旦之時，日之光氣始升。」 |</v>
      </c>
    </row>
    <row r="8248" spans="1:44" hidden="1">
      <c r="A8248" s="1" t="s">
        <v>16094</v>
      </c>
      <c r="C8248" s="1">
        <v>1</v>
      </c>
      <c r="D8248" s="1" t="str">
        <f>"06749"</f>
        <v>06749</v>
      </c>
      <c r="E8248" s="1" t="s">
        <v>1908</v>
      </c>
      <c r="F8248" s="1">
        <v>11</v>
      </c>
      <c r="G8248" s="1">
        <v>7</v>
      </c>
      <c r="H8248" s="1">
        <v>0</v>
      </c>
      <c r="I8248" s="1" t="s">
        <v>16061</v>
      </c>
      <c r="K8248" s="1" t="str">
        <f t="shared" si="520"/>
        <v>ㄒ</v>
      </c>
      <c r="L8248" s="1" t="str">
        <f t="shared" si="521"/>
        <v>ㄧ</v>
      </c>
      <c r="M8248" s="1" t="str">
        <f t="shared" si="519"/>
        <v/>
      </c>
      <c r="P8248" s="1" t="s">
        <v>20</v>
      </c>
      <c r="R8248" s="1" t="s">
        <v>16062</v>
      </c>
      <c r="V8248" s="1" t="s">
        <v>16095</v>
      </c>
      <c r="AR8248" s="1" t="str">
        <f t="shared" si="518"/>
        <v>| [ㄒㄧ](ㄒㄧ.md) | [欷](欷.md) |  | xī | [動]
抽泣、悲嘆。《說文解字．欠部》：「欷，歔也。」如：「欷吁」、「欷歔」。《資治通鑑．卷一七．漢紀九．武帝建元三年》：「上置酒，勝聞樂聲而泣。上問其故，對曰：『悲者不可為累欷，思者不可為嘆息。』」 |</v>
      </c>
    </row>
    <row r="8249" spans="1:44" hidden="1">
      <c r="A8249" s="1" t="s">
        <v>16096</v>
      </c>
      <c r="C8249" s="1">
        <v>1</v>
      </c>
      <c r="D8249" s="1" t="str">
        <f>"06750"</f>
        <v>06750</v>
      </c>
      <c r="E8249" s="1" t="s">
        <v>1015</v>
      </c>
      <c r="F8249" s="1">
        <v>12</v>
      </c>
      <c r="G8249" s="1">
        <v>7</v>
      </c>
      <c r="H8249" s="1">
        <v>0</v>
      </c>
      <c r="I8249" s="1" t="s">
        <v>16061</v>
      </c>
      <c r="K8249" s="1" t="str">
        <f t="shared" si="520"/>
        <v>ㄒ</v>
      </c>
      <c r="L8249" s="1" t="str">
        <f t="shared" si="521"/>
        <v>ㄧ</v>
      </c>
      <c r="M8249" s="1" t="str">
        <f t="shared" si="519"/>
        <v/>
      </c>
      <c r="P8249" s="1" t="s">
        <v>20</v>
      </c>
      <c r="R8249" s="1" t="s">
        <v>16062</v>
      </c>
      <c r="V8249" s="1" t="s">
        <v>16097</v>
      </c>
      <c r="AR8249" s="1" t="str">
        <f t="shared" si="518"/>
        <v>| [ㄒㄧ](ㄒㄧ.md) | [睎](睎.md) |  | xī | [動]
1.看、望。《文選．古詩十九首．凜凜歲云暮》：「眄睞以適意，引領遙相睎。」《文選．班固．西都賦》：「於是睎秦嶺，睋北阜。」
2.仰慕。唐．柳宗元〈貞符詩．序〉：「人皆漻然休然，相睎以生，相持以成。」宋．曾鞏〈寄歐陽舍人書〉：「其追睎祖德，而思所以傳之之繇。」 |</v>
      </c>
    </row>
    <row r="8250" spans="1:44" hidden="1">
      <c r="A8250" s="1" t="s">
        <v>16098</v>
      </c>
      <c r="C8250" s="1">
        <v>1</v>
      </c>
      <c r="D8250" s="1" t="str">
        <f>"06751"</f>
        <v>06751</v>
      </c>
      <c r="E8250" s="1" t="s">
        <v>429</v>
      </c>
      <c r="F8250" s="1">
        <v>12</v>
      </c>
      <c r="G8250" s="1">
        <v>7</v>
      </c>
      <c r="H8250" s="1">
        <v>0</v>
      </c>
      <c r="I8250" s="1" t="s">
        <v>16061</v>
      </c>
      <c r="K8250" s="1" t="str">
        <f t="shared" si="520"/>
        <v>ㄒ</v>
      </c>
      <c r="L8250" s="1" t="str">
        <f t="shared" si="521"/>
        <v>ㄧ</v>
      </c>
      <c r="M8250" s="1" t="str">
        <f t="shared" si="519"/>
        <v/>
      </c>
      <c r="P8250" s="1" t="s">
        <v>20</v>
      </c>
      <c r="R8250" s="1" t="s">
        <v>16062</v>
      </c>
      <c r="V8250" s="1" t="s">
        <v>16099</v>
      </c>
      <c r="AR8250" s="1" t="str">
        <f t="shared" si="518"/>
        <v>| [ㄒㄧ](ㄒㄧ.md) | [稀](稀.md) |  | xī | [形]
1.疏、不密。如：「地廣人稀」。《文選．曹操．短歌行》：「月明星稀，烏鵲南飛。」
2.少、不多。如：「稀罕」、「稀有動物」。唐．杜甫〈曲江〉詩二首之二：「酒債尋常行處有，人生七十古來稀。」
3.不濃、不稠。如：「稀薄」、「稀飯」、「和稀泥」。宋．蘇軾〈次韻田國博部夫南京見寄二絕〉之二：「火冷餳稀杏粥稠，青裙縞袂餉田頭。」
4.隱約、不清楚。唐．韓愈〈山石〉詩：「僧言古壁佛畫好，以火來照所見稀。」
[副]
很、甚。如：「稀爛」、「稀鬆平常」。《老殘遊記》第八回：「我這隻腳還是稀軟稀軟，立不起來。」《二十年目睹之怪現狀》第九三回：「那稀髒的，人家外國人的輪船肯裝麼？」 |</v>
      </c>
    </row>
    <row r="8251" spans="1:44" hidden="1">
      <c r="A8251" s="1" t="s">
        <v>16100</v>
      </c>
      <c r="C8251" s="1">
        <v>1</v>
      </c>
      <c r="D8251" s="1" t="str">
        <f>"06752"</f>
        <v>06752</v>
      </c>
      <c r="E8251" s="1" t="s">
        <v>52</v>
      </c>
      <c r="F8251" s="1">
        <v>14</v>
      </c>
      <c r="G8251" s="1">
        <v>7</v>
      </c>
      <c r="H8251" s="1">
        <v>0</v>
      </c>
      <c r="I8251" s="1" t="s">
        <v>16061</v>
      </c>
      <c r="K8251" s="1" t="str">
        <f t="shared" si="520"/>
        <v>ㄒ</v>
      </c>
      <c r="L8251" s="1" t="str">
        <f t="shared" si="521"/>
        <v>ㄧ</v>
      </c>
      <c r="M8251" s="1" t="str">
        <f t="shared" si="519"/>
        <v/>
      </c>
      <c r="P8251" s="1" t="s">
        <v>20</v>
      </c>
      <c r="R8251" s="1" t="s">
        <v>16062</v>
      </c>
      <c r="V8251" s="1" t="s">
        <v>16101</v>
      </c>
      <c r="AR8251" s="1" t="str">
        <f t="shared" si="518"/>
        <v>| [ㄒㄧ](ㄒㄧ.md) | [豨](豨.md) |  | xī | [名]
豬。《墨子．耕柱》：「言則稱於湯文，行則譬於狗豨。」《淮南子．本經》：「封豨、脩蛇，皆為民害。」 |</v>
      </c>
    </row>
    <row r="8252" spans="1:44" hidden="1">
      <c r="A8252" s="1" t="s">
        <v>16102</v>
      </c>
      <c r="C8252" s="1">
        <v>1</v>
      </c>
      <c r="D8252" s="1" t="str">
        <f>"06753"</f>
        <v>06753</v>
      </c>
      <c r="E8252" s="1" t="s">
        <v>139</v>
      </c>
      <c r="F8252" s="1">
        <v>8</v>
      </c>
      <c r="G8252" s="1">
        <v>4</v>
      </c>
      <c r="H8252" s="1">
        <v>0</v>
      </c>
      <c r="I8252" s="1" t="s">
        <v>16061</v>
      </c>
      <c r="K8252" s="1" t="str">
        <f t="shared" si="520"/>
        <v>ㄒ</v>
      </c>
      <c r="L8252" s="1" t="str">
        <f t="shared" si="521"/>
        <v>ㄧ</v>
      </c>
      <c r="M8252" s="1" t="str">
        <f t="shared" si="519"/>
        <v/>
      </c>
      <c r="P8252" s="1" t="s">
        <v>20</v>
      </c>
      <c r="R8252" s="1" t="s">
        <v>16062</v>
      </c>
      <c r="V8252" s="1" t="s">
        <v>16103</v>
      </c>
      <c r="AR8252" s="1" t="str">
        <f t="shared" si="518"/>
        <v>| [ㄒㄧ](ㄒㄧ.md) | [析](析.md) |  | xī | [動]
1.剖開、劈開。《詩經．齊風．南山》：「析薪如之何？匪斧不克。」《文選．鄒陽．獄中上書自明》：「剖心析肝相信，豈移於浮辭哉？」
2.分開、離散。如：「分崩離析」、「條分縷析」。《漢書．卷三〇．藝文志》：「五經乖析，儒學寖衰。」《文選．王讚．雜詩》：「胡寧久分析，靡靡忽至今。」
3.解釋、辨釋。如：「解析」、「辨析」、「析疑」。晉．陶淵明〈移居〉詩二首之二：「奇文共欣賞，疑義相與析。」 |</v>
      </c>
    </row>
    <row r="8253" spans="1:44" hidden="1">
      <c r="A8253" s="1" t="s">
        <v>16104</v>
      </c>
      <c r="C8253" s="1">
        <v>1</v>
      </c>
      <c r="D8253" s="1" t="str">
        <f>"06754"</f>
        <v>06754</v>
      </c>
      <c r="E8253" s="1" t="s">
        <v>129</v>
      </c>
      <c r="F8253" s="1">
        <v>11</v>
      </c>
      <c r="G8253" s="1">
        <v>8</v>
      </c>
      <c r="H8253" s="1">
        <v>0</v>
      </c>
      <c r="I8253" s="1" t="s">
        <v>16061</v>
      </c>
      <c r="K8253" s="1" t="str">
        <f t="shared" si="520"/>
        <v>ㄒ</v>
      </c>
      <c r="L8253" s="1" t="str">
        <f t="shared" si="521"/>
        <v>ㄧ</v>
      </c>
      <c r="M8253" s="1" t="str">
        <f t="shared" si="519"/>
        <v/>
      </c>
      <c r="P8253" s="1" t="s">
        <v>20</v>
      </c>
      <c r="R8253" s="1" t="s">
        <v>16062</v>
      </c>
      <c r="V8253" s="1" t="s">
        <v>16105</v>
      </c>
      <c r="AR8253" s="1" t="str">
        <f t="shared" si="518"/>
        <v>| [ㄒㄧ](ㄒㄧ.md) | [淅](淅.md) |  | xī | [動]
淘米。《說文解字．水部》：「淅，汏米也。」《儀禮．士喪禮》：「淅米于堂。」
[名]
洗過的米。《孟子．萬章下》：「孔子之去齊，接淅而行。」漢．趙岐．注：「淅，漬米也。」 |</v>
      </c>
    </row>
    <row r="8254" spans="1:44" hidden="1">
      <c r="A8254" s="1" t="s">
        <v>16106</v>
      </c>
      <c r="C8254" s="1">
        <v>1</v>
      </c>
      <c r="D8254" s="1" t="str">
        <f>"06755"</f>
        <v>06755</v>
      </c>
      <c r="E8254" s="1" t="s">
        <v>331</v>
      </c>
      <c r="F8254" s="1">
        <v>11</v>
      </c>
      <c r="G8254" s="1">
        <v>4</v>
      </c>
      <c r="H8254" s="1">
        <v>2</v>
      </c>
      <c r="I8254" s="1" t="s">
        <v>16061</v>
      </c>
      <c r="K8254" s="1" t="str">
        <f t="shared" si="520"/>
        <v>ㄒ</v>
      </c>
      <c r="L8254" s="1" t="str">
        <f t="shared" si="521"/>
        <v>ㄧ</v>
      </c>
      <c r="M8254" s="1" t="str">
        <f t="shared" si="519"/>
        <v/>
      </c>
      <c r="P8254" s="1" t="s">
        <v>20</v>
      </c>
      <c r="R8254" s="1" t="s">
        <v>16062</v>
      </c>
      <c r="V8254" s="1" t="s">
        <v>16107</v>
      </c>
      <c r="W8254" s="1" t="s">
        <v>16108</v>
      </c>
      <c r="AR8254" s="1" t="str">
        <f t="shared" si="518"/>
        <v>| [ㄒㄧ](ㄒㄧ.md) | [訢](訢.md) |  | xī | [動]
感應、融合。《禮記．樂記》：「天地訢合，陰陽相得。」 |</v>
      </c>
    </row>
    <row r="8255" spans="1:44" hidden="1">
      <c r="A8255" s="1" t="s">
        <v>16109</v>
      </c>
      <c r="C8255" s="1">
        <v>1</v>
      </c>
      <c r="D8255" s="1" t="str">
        <f>"06756"</f>
        <v>06756</v>
      </c>
      <c r="E8255" s="1" t="s">
        <v>646</v>
      </c>
      <c r="F8255" s="1">
        <v>12</v>
      </c>
      <c r="G8255" s="1">
        <v>8</v>
      </c>
      <c r="H8255" s="1">
        <v>0</v>
      </c>
      <c r="I8255" s="1" t="s">
        <v>16061</v>
      </c>
      <c r="K8255" s="1" t="str">
        <f t="shared" si="520"/>
        <v>ㄒ</v>
      </c>
      <c r="L8255" s="1" t="str">
        <f t="shared" si="521"/>
        <v>ㄧ</v>
      </c>
      <c r="M8255" s="1" t="str">
        <f t="shared" si="519"/>
        <v/>
      </c>
      <c r="P8255" s="1" t="s">
        <v>20</v>
      </c>
      <c r="R8255" s="1" t="s">
        <v>16062</v>
      </c>
      <c r="V8255" s="1" t="s">
        <v>16110</v>
      </c>
      <c r="AR8255" s="1" t="str">
        <f t="shared" si="518"/>
        <v>| [ㄒㄧ](ㄒㄧ.md) | [晰](晰.md) |  | xī | [形]
清楚、明白。如：「清晰」、「明晰」。南朝梁．劉勰《文心雕龍．徵聖》：「書契斷決以象夬，文章昭晰以象離，此明理以立體也。」 |</v>
      </c>
    </row>
    <row r="8256" spans="1:44" hidden="1">
      <c r="A8256" s="1" t="s">
        <v>16111</v>
      </c>
      <c r="C8256" s="1">
        <v>1</v>
      </c>
      <c r="D8256" s="1" t="str">
        <f>"06757"</f>
        <v>06757</v>
      </c>
      <c r="E8256" s="1" t="s">
        <v>205</v>
      </c>
      <c r="F8256" s="1">
        <v>13</v>
      </c>
      <c r="G8256" s="1">
        <v>8</v>
      </c>
      <c r="H8256" s="1">
        <v>0</v>
      </c>
      <c r="I8256" s="1" t="s">
        <v>16061</v>
      </c>
      <c r="K8256" s="1" t="str">
        <f t="shared" si="520"/>
        <v>ㄒ</v>
      </c>
      <c r="L8256" s="1" t="str">
        <f t="shared" si="521"/>
        <v>ㄧ</v>
      </c>
      <c r="M8256" s="1" t="str">
        <f t="shared" si="519"/>
        <v/>
      </c>
      <c r="P8256" s="1" t="s">
        <v>20</v>
      </c>
      <c r="R8256" s="1" t="s">
        <v>16062</v>
      </c>
      <c r="V8256" s="1" t="s">
        <v>16112</v>
      </c>
      <c r="AR8256" s="1" t="str">
        <f t="shared" si="518"/>
        <v>| [ㄒㄧ](ㄒㄧ.md) | [皙](皙.md) |  | xī | [形]
皮膚白。《左傳．昭公二十六年》：「有君子白皙，鬒鬚眉甚口。」宋．秦觀〈陳令舉妙奴〉詩：「肌膚皙白髮腳長，含語未發先有香。」 |</v>
      </c>
    </row>
    <row r="8257" spans="1:44" hidden="1">
      <c r="A8257" s="1" t="s">
        <v>16113</v>
      </c>
      <c r="C8257" s="1">
        <v>1</v>
      </c>
      <c r="D8257" s="1" t="str">
        <f>"06758"</f>
        <v>06758</v>
      </c>
      <c r="E8257" s="1" t="s">
        <v>679</v>
      </c>
      <c r="F8257" s="1">
        <v>14</v>
      </c>
      <c r="G8257" s="1">
        <v>8</v>
      </c>
      <c r="H8257" s="1">
        <v>0</v>
      </c>
      <c r="I8257" s="1" t="s">
        <v>16061</v>
      </c>
      <c r="K8257" s="1" t="str">
        <f t="shared" si="520"/>
        <v>ㄒ</v>
      </c>
      <c r="L8257" s="1" t="str">
        <f t="shared" si="521"/>
        <v>ㄧ</v>
      </c>
      <c r="M8257" s="1" t="str">
        <f t="shared" si="519"/>
        <v/>
      </c>
      <c r="P8257" s="1" t="s">
        <v>20</v>
      </c>
      <c r="R8257" s="1" t="s">
        <v>16062</v>
      </c>
      <c r="V8257" s="1" t="s">
        <v>16114</v>
      </c>
      <c r="AR8257" s="1" t="str">
        <f t="shared" si="518"/>
        <v>| [ㄒㄧ](ㄒㄧ.md) | [蜥](蜥.md) |  | xī | 參見「蜥蜴」條。 |</v>
      </c>
    </row>
    <row r="8258" spans="1:44" hidden="1">
      <c r="A8258" s="1" t="s">
        <v>16115</v>
      </c>
      <c r="C8258" s="1">
        <v>1</v>
      </c>
      <c r="D8258" s="1" t="str">
        <f>"06759"</f>
        <v>06759</v>
      </c>
      <c r="E8258" s="1" t="s">
        <v>871</v>
      </c>
      <c r="F8258" s="1">
        <v>9</v>
      </c>
      <c r="G8258" s="1">
        <v>6</v>
      </c>
      <c r="H8258" s="1">
        <v>2</v>
      </c>
      <c r="I8258" s="1" t="s">
        <v>16061</v>
      </c>
      <c r="K8258" s="1" t="str">
        <f t="shared" si="520"/>
        <v>ㄒ</v>
      </c>
      <c r="L8258" s="1" t="str">
        <f t="shared" si="521"/>
        <v>ㄧ</v>
      </c>
      <c r="M8258" s="1" t="str">
        <f t="shared" si="519"/>
        <v/>
      </c>
      <c r="P8258" s="1" t="s">
        <v>20</v>
      </c>
      <c r="R8258" s="1" t="s">
        <v>16062</v>
      </c>
      <c r="V8258" s="1" t="s">
        <v>16116</v>
      </c>
      <c r="W8258" s="1" t="s">
        <v>16117</v>
      </c>
      <c r="AR8258" s="1" t="str">
        <f t="shared" si="518"/>
        <v>| [ㄒㄧ](ㄒㄧ.md) | [屎](屎.md) |  | xī | 參見「殿屎」條。 |</v>
      </c>
    </row>
    <row r="8259" spans="1:44" hidden="1">
      <c r="A8259" s="1" t="s">
        <v>16118</v>
      </c>
      <c r="C8259" s="1">
        <v>1</v>
      </c>
      <c r="D8259" s="1" t="str">
        <f>"06760"</f>
        <v>06760</v>
      </c>
      <c r="E8259" s="1" t="s">
        <v>563</v>
      </c>
      <c r="F8259" s="1">
        <v>10</v>
      </c>
      <c r="G8259" s="1">
        <v>7</v>
      </c>
      <c r="H8259" s="1">
        <v>0</v>
      </c>
      <c r="I8259" s="1" t="s">
        <v>16061</v>
      </c>
      <c r="K8259" s="1" t="str">
        <f t="shared" si="520"/>
        <v>ㄒ</v>
      </c>
      <c r="L8259" s="1" t="str">
        <f t="shared" si="521"/>
        <v>ㄧ</v>
      </c>
      <c r="M8259" s="1" t="str">
        <f t="shared" si="519"/>
        <v/>
      </c>
      <c r="P8259" s="1" t="s">
        <v>20</v>
      </c>
      <c r="R8259" s="1" t="s">
        <v>16062</v>
      </c>
      <c r="V8259" s="1" t="s">
        <v>16119</v>
      </c>
      <c r="AR8259" s="1" t="str">
        <f t="shared" ref="AR8259:AR8322" si="522">"| ["&amp;I8259&amp;"]("&amp;I8259&amp;".md) | ["&amp;A8259&amp;"]("&amp;A8259&amp;".md) | "&amp;" | "&amp;R8259&amp;" | "&amp;V8259&amp;" |"</f>
        <v>| [ㄒㄧ](ㄒㄧ.md) | [奚](奚.md) |  | xī | [名]
1.奴隸、僕役。如：「奚僮」、「小奚」。《周禮．天官．冢宰》：「酒人俺十人，女酒三十人，奚三百人。」漢．鄭玄．注：「古者從坐男女，沒入縣官為奴，其少才知以為奚。今之侍史、官婢，或曰：『奚，宦女。』」
2.中國古代北方少數民族之一。屬東胡族，本名「庫莫奚」，至隋朝始稱為「奚」。其地東北接契丹，西毗突厥，南臨白浪河，北接霫國。後為契丹所併。
3.地名。春秋時魯地，為奚仲之邑。故址在今大陸地區山東省滕縣東南。
4.姓。如明代有奚銘。
[副]
為何、為什麼。表示疑問的語氣。《論語．為政》：「或謂孔子曰：『子奚不為政？』」《韓非子．和氏》：「子奚哭之悲也？」 |</v>
      </c>
    </row>
    <row r="8260" spans="1:44" hidden="1">
      <c r="A8260" s="1" t="s">
        <v>16120</v>
      </c>
      <c r="C8260" s="1">
        <v>1</v>
      </c>
      <c r="D8260" s="1" t="str">
        <f>"06761"</f>
        <v>06761</v>
      </c>
      <c r="E8260" s="1" t="s">
        <v>114</v>
      </c>
      <c r="F8260" s="1">
        <v>12</v>
      </c>
      <c r="G8260" s="1">
        <v>10</v>
      </c>
      <c r="H8260" s="1">
        <v>1</v>
      </c>
      <c r="I8260" s="1" t="s">
        <v>16061</v>
      </c>
      <c r="K8260" s="1" t="str">
        <f t="shared" si="520"/>
        <v>ㄒ</v>
      </c>
      <c r="L8260" s="1" t="str">
        <f t="shared" si="521"/>
        <v>ㄧ</v>
      </c>
      <c r="M8260" s="1" t="str">
        <f t="shared" si="519"/>
        <v/>
      </c>
      <c r="P8260" s="1" t="s">
        <v>20</v>
      </c>
      <c r="R8260" s="1" t="s">
        <v>16062</v>
      </c>
      <c r="V8260" s="1" t="s">
        <v>16121</v>
      </c>
      <c r="W8260" s="1" t="s">
        <v>16122</v>
      </c>
      <c r="AR8260" s="1" t="str">
        <f t="shared" si="522"/>
        <v>| [ㄒㄧ](ㄒㄧ.md) | [傒](傒.md) |  | xī | [名]
1.稱江西人為「傒」。《南史．卷四七．胡諧之傳》：「胡諧之，豫章南昌人也。……上方欲獎以貴族盛姻，以諧之家人語傒音不正，乃遣宮內四五人往諧之家教子女語。」
2.人名用字。如春秋時代齊國有高傒。 |</v>
      </c>
    </row>
    <row r="8261" spans="1:44" hidden="1">
      <c r="A8261" s="1" t="s">
        <v>14910</v>
      </c>
      <c r="C8261" s="1">
        <v>1</v>
      </c>
      <c r="D8261" s="1" t="str">
        <f>"06762"</f>
        <v>06762</v>
      </c>
      <c r="E8261" s="1" t="s">
        <v>129</v>
      </c>
      <c r="F8261" s="1">
        <v>13</v>
      </c>
      <c r="G8261" s="1">
        <v>10</v>
      </c>
      <c r="H8261" s="1">
        <v>1</v>
      </c>
      <c r="I8261" s="1" t="s">
        <v>16061</v>
      </c>
      <c r="K8261" s="1" t="str">
        <f t="shared" si="520"/>
        <v>ㄒ</v>
      </c>
      <c r="L8261" s="1" t="str">
        <f t="shared" si="521"/>
        <v>ㄧ</v>
      </c>
      <c r="M8261" s="1" t="str">
        <f t="shared" si="519"/>
        <v/>
      </c>
      <c r="P8261" s="1" t="s">
        <v>20</v>
      </c>
      <c r="R8261" s="1" t="s">
        <v>16062</v>
      </c>
      <c r="V8261" s="1" t="s">
        <v>16123</v>
      </c>
      <c r="W8261" s="1" t="s">
        <v>16124</v>
      </c>
      <c r="AR8261" s="1" t="str">
        <f t="shared" si="522"/>
        <v>| [ㄒㄧ](ㄒㄧ.md) | [溪](溪.md) |  | xī | [名]
山間的小河流。後泛指小河。晉．陶淵明〈桃花源記〉：「緣溪行，忘路之遠近。」唐．杜甫〈玉華宮〉詩：「溪回松風長，蒼鼠竄古瓦。」 |</v>
      </c>
    </row>
    <row r="8262" spans="1:44" hidden="1">
      <c r="A8262" s="1" t="s">
        <v>16125</v>
      </c>
      <c r="C8262" s="1">
        <v>1</v>
      </c>
      <c r="D8262" s="1" t="str">
        <f>"06763"</f>
        <v>06763</v>
      </c>
      <c r="E8262" s="1" t="s">
        <v>234</v>
      </c>
      <c r="F8262" s="1">
        <v>13</v>
      </c>
      <c r="G8262" s="1">
        <v>10</v>
      </c>
      <c r="H8262" s="1">
        <v>0</v>
      </c>
      <c r="I8262" s="1" t="s">
        <v>16061</v>
      </c>
      <c r="K8262" s="1" t="str">
        <f t="shared" si="520"/>
        <v>ㄒ</v>
      </c>
      <c r="L8262" s="1" t="str">
        <f t="shared" si="521"/>
        <v>ㄧ</v>
      </c>
      <c r="M8262" s="1" t="str">
        <f t="shared" si="519"/>
        <v/>
      </c>
      <c r="P8262" s="1" t="s">
        <v>20</v>
      </c>
      <c r="R8262" s="1" t="s">
        <v>16062</v>
      </c>
      <c r="V8262" s="1" t="s">
        <v>16126</v>
      </c>
      <c r="AR8262" s="1" t="str">
        <f t="shared" si="522"/>
        <v>| [ㄒㄧ](ㄒㄧ.md) | [徯](徯.md) |  | xī | [動]
等待。《說文解字．彳部》：「徯，待也。」《書經．仲虺之誥》：「徯予后，后來其蘇。」漢．孔安國．傳：「徯，有所望也。」
[名]
小路。通「蹊」。如：「徯徑」。《漢書．卷九一．貨殖傳．序》：「鷹隼未擊，矰弋不施於徯隧。」 |</v>
      </c>
    </row>
    <row r="8263" spans="1:44" hidden="1">
      <c r="A8263" s="1" t="s">
        <v>14912</v>
      </c>
      <c r="C8263" s="1">
        <v>1</v>
      </c>
      <c r="D8263" s="1" t="str">
        <f>"06764"</f>
        <v>06764</v>
      </c>
      <c r="E8263" s="1" t="s">
        <v>169</v>
      </c>
      <c r="F8263" s="1">
        <v>15</v>
      </c>
      <c r="G8263" s="1">
        <v>10</v>
      </c>
      <c r="H8263" s="1">
        <v>1</v>
      </c>
      <c r="I8263" s="1" t="s">
        <v>16061</v>
      </c>
      <c r="K8263" s="1" t="str">
        <f t="shared" si="520"/>
        <v>ㄒ</v>
      </c>
      <c r="L8263" s="1" t="str">
        <f t="shared" si="521"/>
        <v>ㄧ</v>
      </c>
      <c r="M8263" s="1" t="str">
        <f t="shared" si="519"/>
        <v/>
      </c>
      <c r="P8263" s="1" t="s">
        <v>20</v>
      </c>
      <c r="R8263" s="1" t="s">
        <v>16062</v>
      </c>
      <c r="V8263" s="1" t="s">
        <v>16127</v>
      </c>
      <c r="W8263" s="1" t="s">
        <v>16128</v>
      </c>
      <c r="AR8263" s="1" t="str">
        <f t="shared" si="522"/>
        <v>| [ㄒㄧ](ㄒㄧ.md) | [磎](磎.md) |  | xī | [名]
山間的小水溝。《文選．馬融．長笛賦》：「託九成之孤岑兮，臨萬仞之石磎。」《文選．曹植．七啟》：「於是磎填谷塞，榛藪平夷。」 |</v>
      </c>
    </row>
    <row r="8264" spans="1:44" hidden="1">
      <c r="A8264" s="1" t="s">
        <v>16129</v>
      </c>
      <c r="C8264" s="1">
        <v>1</v>
      </c>
      <c r="D8264" s="1" t="str">
        <f>"06765"</f>
        <v>06765</v>
      </c>
      <c r="E8264" s="1" t="s">
        <v>679</v>
      </c>
      <c r="F8264" s="1">
        <v>16</v>
      </c>
      <c r="G8264" s="1">
        <v>10</v>
      </c>
      <c r="H8264" s="1">
        <v>0</v>
      </c>
      <c r="I8264" s="1" t="s">
        <v>16061</v>
      </c>
      <c r="K8264" s="1" t="str">
        <f t="shared" si="520"/>
        <v>ㄒ</v>
      </c>
      <c r="L8264" s="1" t="str">
        <f t="shared" si="521"/>
        <v>ㄧ</v>
      </c>
      <c r="M8264" s="1" t="str">
        <f t="shared" si="519"/>
        <v/>
      </c>
      <c r="P8264" s="1" t="s">
        <v>20</v>
      </c>
      <c r="R8264" s="1" t="s">
        <v>16062</v>
      </c>
      <c r="V8264" s="1" t="s">
        <v>16130</v>
      </c>
      <c r="AR8264" s="1" t="str">
        <f t="shared" si="522"/>
        <v>| [ㄒㄧ](ㄒㄧ.md) | [螇](螇.md) |  | xī | 參見「螇蚸」條。 |</v>
      </c>
    </row>
    <row r="8265" spans="1:44" hidden="1">
      <c r="A8265" s="1" t="s">
        <v>16131</v>
      </c>
      <c r="C8265" s="1">
        <v>1</v>
      </c>
      <c r="D8265" s="1" t="str">
        <f>"06766"</f>
        <v>06766</v>
      </c>
      <c r="E8265" s="1" t="s">
        <v>77</v>
      </c>
      <c r="F8265" s="1">
        <v>17</v>
      </c>
      <c r="G8265" s="1">
        <v>10</v>
      </c>
      <c r="H8265" s="1">
        <v>0</v>
      </c>
      <c r="I8265" s="1" t="s">
        <v>16061</v>
      </c>
      <c r="K8265" s="1" t="str">
        <f t="shared" si="520"/>
        <v>ㄒ</v>
      </c>
      <c r="L8265" s="1" t="str">
        <f t="shared" si="521"/>
        <v>ㄧ</v>
      </c>
      <c r="M8265" s="1" t="str">
        <f t="shared" si="519"/>
        <v/>
      </c>
      <c r="P8265" s="1" t="s">
        <v>20</v>
      </c>
      <c r="R8265" s="1" t="s">
        <v>16062</v>
      </c>
      <c r="V8265" s="1" t="s">
        <v>16132</v>
      </c>
      <c r="AR8265" s="1" t="str">
        <f t="shared" si="522"/>
        <v>| [ㄒㄧ](ㄒㄧ.md) | [蹊](蹊.md) |  | xī | [名]
小路。如：「幽蹊」、「荒蹊」。《史記．卷一〇九．李將軍傳．太史公曰》：「桃李不言，下自成蹊。」《文選．曹植．贈白馬王彪詩》：「欲還絕無蹊，攬轡止踟躕。」 |</v>
      </c>
    </row>
    <row r="8266" spans="1:44" hidden="1">
      <c r="A8266" s="1" t="s">
        <v>16133</v>
      </c>
      <c r="C8266" s="1">
        <v>1</v>
      </c>
      <c r="D8266" s="1" t="str">
        <f>"06767"</f>
        <v>06767</v>
      </c>
      <c r="E8266" s="1" t="s">
        <v>537</v>
      </c>
      <c r="F8266" s="1">
        <v>17</v>
      </c>
      <c r="G8266" s="1">
        <v>10</v>
      </c>
      <c r="H8266" s="1">
        <v>0</v>
      </c>
      <c r="I8266" s="1" t="s">
        <v>16061</v>
      </c>
      <c r="K8266" s="1" t="str">
        <f t="shared" si="520"/>
        <v>ㄒ</v>
      </c>
      <c r="L8266" s="1" t="str">
        <f t="shared" si="521"/>
        <v>ㄧ</v>
      </c>
      <c r="M8266" s="1" t="str">
        <f t="shared" si="519"/>
        <v/>
      </c>
      <c r="P8266" s="1" t="s">
        <v>20</v>
      </c>
      <c r="R8266" s="1" t="s">
        <v>16062</v>
      </c>
      <c r="V8266" s="1" t="s">
        <v>16134</v>
      </c>
      <c r="AR8266" s="1" t="str">
        <f t="shared" si="522"/>
        <v>| [ㄒㄧ](ㄒㄧ.md) | [貕](貕.md) |  | xī | [名]
小豬。漢．揚雄《方言》卷八：「豬，北燕朝鮮之間謂之豭，關東西或謂之彘，或謂之豕，南楚謂之豨。其子或謂之豚，或謂之貕。吳揚之間謂之豬子。」 |</v>
      </c>
    </row>
    <row r="8267" spans="1:44" hidden="1">
      <c r="A8267" s="1" t="s">
        <v>14914</v>
      </c>
      <c r="C8267" s="1">
        <v>1</v>
      </c>
      <c r="D8267" s="1" t="str">
        <f>"06768"</f>
        <v>06768</v>
      </c>
      <c r="E8267" s="1" t="s">
        <v>10156</v>
      </c>
      <c r="F8267" s="1">
        <v>17</v>
      </c>
      <c r="G8267" s="1">
        <v>10</v>
      </c>
      <c r="H8267" s="1">
        <v>1</v>
      </c>
      <c r="I8267" s="1" t="s">
        <v>16061</v>
      </c>
      <c r="K8267" s="1" t="str">
        <f t="shared" si="520"/>
        <v>ㄒ</v>
      </c>
      <c r="L8267" s="1" t="str">
        <f t="shared" si="521"/>
        <v>ㄧ</v>
      </c>
      <c r="M8267" s="1" t="str">
        <f t="shared" si="519"/>
        <v/>
      </c>
      <c r="P8267" s="1" t="s">
        <v>20</v>
      </c>
      <c r="R8267" s="1" t="s">
        <v>16062</v>
      </c>
      <c r="V8267" s="1" t="s">
        <v>16135</v>
      </c>
      <c r="W8267" s="1" t="s">
        <v>16136</v>
      </c>
      <c r="AR8267" s="1" t="str">
        <f t="shared" si="522"/>
        <v>| [ㄒㄧ](ㄒㄧ.md) | [谿](谿.md) |  | xī | [名]
1.山谷。《荀子．勸學》：「不臨深谿，不知地之厚也。」《漢書．卷二五．郊祀志下》：「又至雲陽，行谿谷中，阨陜且百里。」
2.山間的河流。同「溪」。《新唐書．卷九三．李勣傳》：「固請戰，遂度谿擊之。」《文選．左思．蜀都賦》：「山阜相屬，含谿懷谷。」
3.姓。如古代有賢人谿工。 |</v>
      </c>
    </row>
    <row r="8268" spans="1:44" hidden="1">
      <c r="A8268" s="1" t="s">
        <v>16137</v>
      </c>
      <c r="C8268" s="1">
        <v>1</v>
      </c>
      <c r="D8268" s="1" t="str">
        <f>"06769"</f>
        <v>06769</v>
      </c>
      <c r="E8268" s="1" t="s">
        <v>86</v>
      </c>
      <c r="F8268" s="1">
        <v>23</v>
      </c>
      <c r="G8268" s="1">
        <v>10</v>
      </c>
      <c r="H8268" s="1">
        <v>0</v>
      </c>
      <c r="I8268" s="1" t="s">
        <v>16061</v>
      </c>
      <c r="K8268" s="1" t="str">
        <f t="shared" si="520"/>
        <v>ㄒ</v>
      </c>
      <c r="L8268" s="1" t="str">
        <f t="shared" si="521"/>
        <v>ㄧ</v>
      </c>
      <c r="M8268" s="1" t="str">
        <f t="shared" si="519"/>
        <v/>
      </c>
      <c r="P8268" s="1" t="s">
        <v>20</v>
      </c>
      <c r="R8268" s="1" t="s">
        <v>16062</v>
      </c>
      <c r="V8268" s="1" t="s">
        <v>16138</v>
      </c>
      <c r="AR8268" s="1" t="str">
        <f t="shared" si="522"/>
        <v>| [ㄒㄧ](ㄒㄧ.md) | [鼷](鼷.md) |  | xī | [名]
動物名。哺乳綱齧齒目。體型小，尾長，背面黃褐色，腹面黃色，背腹間無明顯界限。古代稱為「甘口鼠」。《玉篇．鼠部》：「鼷，小鼠也。螫毒食人及鳥獸皆不痛。今之甘口鼠也。」 |</v>
      </c>
    </row>
    <row r="8269" spans="1:44" hidden="1">
      <c r="A8269" s="1" t="s">
        <v>14916</v>
      </c>
      <c r="C8269" s="1">
        <v>1</v>
      </c>
      <c r="D8269" s="1" t="str">
        <f>"06770"</f>
        <v>06770</v>
      </c>
      <c r="E8269" s="1" t="s">
        <v>272</v>
      </c>
      <c r="F8269" s="1">
        <v>24</v>
      </c>
      <c r="G8269" s="1">
        <v>13</v>
      </c>
      <c r="H8269" s="1">
        <v>1</v>
      </c>
      <c r="I8269" s="1" t="s">
        <v>16061</v>
      </c>
      <c r="K8269" s="1" t="str">
        <f t="shared" si="520"/>
        <v>ㄒ</v>
      </c>
      <c r="L8269" s="1" t="str">
        <f t="shared" si="521"/>
        <v>ㄧ</v>
      </c>
      <c r="M8269" s="1" t="str">
        <f t="shared" si="519"/>
        <v/>
      </c>
      <c r="P8269" s="1" t="s">
        <v>20</v>
      </c>
      <c r="R8269" s="1" t="s">
        <v>16062</v>
      </c>
      <c r="V8269" s="1" t="s">
        <v>16139</v>
      </c>
      <c r="W8269" s="1" t="s">
        <v>16140</v>
      </c>
      <c r="AR8269" s="1" t="str">
        <f t="shared" si="522"/>
        <v>| [ㄒㄧ](ㄒㄧ.md) | [鸂](鸂.md) |  | xī | 參見「鸂鶒」條。 |</v>
      </c>
    </row>
    <row r="8270" spans="1:44" hidden="1">
      <c r="A8270" s="1" t="s">
        <v>16141</v>
      </c>
      <c r="C8270" s="1">
        <v>1</v>
      </c>
      <c r="D8270" s="1" t="str">
        <f>"06771"</f>
        <v>06771</v>
      </c>
      <c r="E8270" s="1" t="s">
        <v>534</v>
      </c>
      <c r="F8270" s="1">
        <v>10</v>
      </c>
      <c r="G8270" s="1">
        <v>7</v>
      </c>
      <c r="H8270" s="1">
        <v>0</v>
      </c>
      <c r="I8270" s="1" t="s">
        <v>16061</v>
      </c>
      <c r="K8270" s="1" t="str">
        <f t="shared" si="520"/>
        <v>ㄒ</v>
      </c>
      <c r="L8270" s="1" t="str">
        <f t="shared" si="521"/>
        <v>ㄧ</v>
      </c>
      <c r="M8270" s="1" t="str">
        <f t="shared" si="519"/>
        <v/>
      </c>
      <c r="P8270" s="1" t="s">
        <v>20</v>
      </c>
      <c r="R8270" s="1" t="s">
        <v>16062</v>
      </c>
      <c r="V8270" s="1" t="s">
        <v>16142</v>
      </c>
      <c r="AR8270" s="1" t="str">
        <f t="shared" si="522"/>
        <v>| [ㄒㄧ](ㄒㄧ.md) | [娭](娭.md) |  | xī | [動]
1.嬉戲、玩樂。《說文解字．女部》：「娭，戲也。」清．朱筠〈後哨鹿賦〉：「予不敢晏而娭，以弛予祖考之武事。」
2.移動、飛舞。《楚辭．宋玉．招魂》：「美人既醉，朱顏酡些，娭光眇視，目曾波些。」唐．皮日休〈悲摯獸〉：「苕花紛然，不吹而飛，若有物娭。」
[形]
喜悅、喜樂。唐．元結〈處規〉：「但如山林不見吾是非，吾將娭而往也。」 |</v>
      </c>
    </row>
    <row r="8271" spans="1:44" hidden="1">
      <c r="A8271" s="1" t="s">
        <v>16143</v>
      </c>
      <c r="C8271" s="1">
        <v>1</v>
      </c>
      <c r="D8271" s="1" t="str">
        <f>"06772"</f>
        <v>06772</v>
      </c>
      <c r="E8271" s="1" t="s">
        <v>331</v>
      </c>
      <c r="F8271" s="1">
        <v>14</v>
      </c>
      <c r="G8271" s="1">
        <v>7</v>
      </c>
      <c r="H8271" s="1">
        <v>1</v>
      </c>
      <c r="I8271" s="1" t="s">
        <v>16061</v>
      </c>
      <c r="K8271" s="1" t="str">
        <f t="shared" si="520"/>
        <v>ㄒ</v>
      </c>
      <c r="L8271" s="1" t="str">
        <f t="shared" si="521"/>
        <v>ㄧ</v>
      </c>
      <c r="M8271" s="1" t="str">
        <f t="shared" si="519"/>
        <v/>
      </c>
      <c r="P8271" s="1" t="s">
        <v>20</v>
      </c>
      <c r="R8271" s="1" t="s">
        <v>16062</v>
      </c>
      <c r="V8271" s="1" t="s">
        <v>16144</v>
      </c>
      <c r="W8271" s="1" t="s">
        <v>16145</v>
      </c>
      <c r="AR8271" s="1" t="str">
        <f t="shared" si="522"/>
        <v>| [ㄒㄧ](ㄒㄧ.md) | [誒](誒.md) |  | xī | [歎]
對可惡、可惜的事情所發出的嘆息聲。《說文解字．言部》：「誒，可惡之辭。」《漢書．卷七三．韋賢傳》：「在予小子，勤誒厥生。」唐．顏師古．注：「誒，嘆聲。」
[副]
大聲狂笑的。《楚辭．屈原．大招》：「豕首縱目，被髮鬤只；長爪踞牙，誒笑狂只。」 |</v>
      </c>
    </row>
    <row r="8272" spans="1:44" hidden="1">
      <c r="A8272" s="1" t="s">
        <v>15015</v>
      </c>
      <c r="C8272" s="1">
        <v>1</v>
      </c>
      <c r="D8272" s="1" t="str">
        <f>"06773"</f>
        <v>06773</v>
      </c>
      <c r="E8272" s="1" t="s">
        <v>753</v>
      </c>
      <c r="F8272" s="1">
        <v>11</v>
      </c>
      <c r="G8272" s="1">
        <v>6</v>
      </c>
      <c r="H8272" s="1">
        <v>1</v>
      </c>
      <c r="I8272" s="1" t="s">
        <v>16061</v>
      </c>
      <c r="K8272" s="1" t="str">
        <f t="shared" si="520"/>
        <v>ㄒ</v>
      </c>
      <c r="L8272" s="1" t="str">
        <f t="shared" si="521"/>
        <v>ㄧ</v>
      </c>
      <c r="M8272" s="1" t="str">
        <f t="shared" si="519"/>
        <v/>
      </c>
      <c r="P8272" s="1" t="s">
        <v>186</v>
      </c>
      <c r="R8272" s="1" t="s">
        <v>16062</v>
      </c>
      <c r="V8272" s="1" t="s">
        <v>16146</v>
      </c>
      <c r="W8272" s="1" t="s">
        <v>16147</v>
      </c>
      <c r="AR8272" s="1" t="str">
        <f t="shared" si="522"/>
        <v>| [ㄒㄧ](ㄒㄧ.md) | [畦](畦.md) |  | xī | [名]
1.量詞：(1)古代計算面積的單位。五十畝為一畦。《說文解字．田部》：「畦，田五十畝曰畦。」(2)計算園圃種植分區的單位。如：「千畦薑韭」。明．徐光啟《農政全書．卷五．田制．農桑訣田制》：「內皆種蔬，先作長生韭一二百畦，時新菜二三十種。」
2.可供種植排列整齊的一塊塊長方形田地。宋．王安石〈書湖陰先生壁〉詩二首之一：「茆簷長掃淨無苔，花木成畦手自栽。」
3.借指菜園、田園。如：「菜畦」、「荒畦」。《列子．天瑞》：「拾遺穗於故畦，並歌並進。」
4.姓。如漢代有畦覩。
[動]
分區種植。《楚辭．屈原．離騷》：「畦留夷與揭車兮，雜杜衡與芳芷。」唐．杜甫〈種萵苣〉詩：「堂下可以畦，呼童對經始。」 |</v>
      </c>
    </row>
    <row r="8273" spans="1:44" hidden="1">
      <c r="A8273" s="1" t="s">
        <v>16148</v>
      </c>
      <c r="C8273" s="1">
        <v>1</v>
      </c>
      <c r="D8273" s="1" t="str">
        <f>"06774"</f>
        <v>06774</v>
      </c>
      <c r="E8273" s="1" t="s">
        <v>250</v>
      </c>
      <c r="F8273" s="1">
        <v>11</v>
      </c>
      <c r="G8273" s="1">
        <v>7</v>
      </c>
      <c r="H8273" s="1">
        <v>0</v>
      </c>
      <c r="I8273" s="1" t="s">
        <v>16061</v>
      </c>
      <c r="K8273" s="1" t="str">
        <f t="shared" si="520"/>
        <v>ㄒ</v>
      </c>
      <c r="L8273" s="1" t="str">
        <f t="shared" si="521"/>
        <v>ㄧ</v>
      </c>
      <c r="M8273" s="1" t="str">
        <f t="shared" si="519"/>
        <v/>
      </c>
      <c r="P8273" s="1" t="s">
        <v>20</v>
      </c>
      <c r="R8273" s="1" t="s">
        <v>16062</v>
      </c>
      <c r="V8273" s="1" t="s">
        <v>16149</v>
      </c>
      <c r="AR8273" s="1" t="str">
        <f t="shared" si="522"/>
        <v>| [ㄒㄧ](ㄒㄧ.md) | [悉](悉.md) |  | xī | [副]
全部。《書經．盤庚上》：「王命眾，悉至于庭。」《文選．沈約．宋書謝靈運傳論》：「兩句之中，輕重悉異。」
[形]
詳盡、詳細。漢．賈誼〈說積貯〉：「古之治天下，至孅至悉也。」《聊齋志異．卷一一．樂仲》：「言女大歸日、再醮日及生子年月，歷歷甚悉。」
[動]
1.竭盡、用盡。《戰國策．韓策一》：「料大王之卒，悉之不過三十萬。」《新唐書．卷一九三．忠義傳下．龐堅傳》：「賊將阿史那承慶悉銳攻之，傳城百里，樹木皆刊。」
2.知道。如：「得悉」、「洞悉」、「熟悉」、「敬悉」。南朝梁．蕭統〈文選序〉：「隨時變改，難可詳悉。」唐．杜甫〈客夜〉詩：「老妻書數紙，應悉未歸情。」
[名]
姓。如上古時代有悉諸。 |</v>
      </c>
    </row>
    <row r="8274" spans="1:44" hidden="1">
      <c r="A8274" s="1" t="s">
        <v>16150</v>
      </c>
      <c r="C8274" s="1">
        <v>1</v>
      </c>
      <c r="D8274" s="1" t="str">
        <f>"06775"</f>
        <v>06775</v>
      </c>
      <c r="E8274" s="1" t="s">
        <v>1274</v>
      </c>
      <c r="F8274" s="1">
        <v>16</v>
      </c>
      <c r="G8274" s="1">
        <v>11</v>
      </c>
      <c r="H8274" s="1">
        <v>0</v>
      </c>
      <c r="I8274" s="1" t="s">
        <v>16061</v>
      </c>
      <c r="K8274" s="1" t="str">
        <f t="shared" si="520"/>
        <v>ㄒ</v>
      </c>
      <c r="L8274" s="1" t="str">
        <f t="shared" si="521"/>
        <v>ㄧ</v>
      </c>
      <c r="M8274" s="1" t="str">
        <f t="shared" si="519"/>
        <v/>
      </c>
      <c r="P8274" s="1" t="s">
        <v>20</v>
      </c>
      <c r="R8274" s="1" t="s">
        <v>16062</v>
      </c>
      <c r="V8274" s="1" t="s">
        <v>16151</v>
      </c>
      <c r="AR8274" s="1" t="str">
        <f t="shared" si="522"/>
        <v>| [ㄒㄧ](ㄒㄧ.md) | [窸](窸.md) |  | xī | 參見「窸窣」條。 |</v>
      </c>
    </row>
    <row r="8275" spans="1:44" hidden="1">
      <c r="A8275" s="1" t="s">
        <v>16152</v>
      </c>
      <c r="C8275" s="1">
        <v>1</v>
      </c>
      <c r="D8275" s="1" t="str">
        <f>"06776"</f>
        <v>06776</v>
      </c>
      <c r="E8275" s="1" t="s">
        <v>679</v>
      </c>
      <c r="F8275" s="1">
        <v>17</v>
      </c>
      <c r="G8275" s="1">
        <v>11</v>
      </c>
      <c r="H8275" s="1">
        <v>0</v>
      </c>
      <c r="I8275" s="1" t="s">
        <v>16061</v>
      </c>
      <c r="K8275" s="1" t="str">
        <f t="shared" si="520"/>
        <v>ㄒ</v>
      </c>
      <c r="L8275" s="1" t="str">
        <f t="shared" si="521"/>
        <v>ㄧ</v>
      </c>
      <c r="M8275" s="1" t="str">
        <f t="shared" si="519"/>
        <v/>
      </c>
      <c r="P8275" s="1" t="s">
        <v>20</v>
      </c>
      <c r="R8275" s="1" t="s">
        <v>16062</v>
      </c>
      <c r="V8275" s="1" t="s">
        <v>16153</v>
      </c>
      <c r="AR8275" s="1" t="str">
        <f t="shared" si="522"/>
        <v>| [ㄒㄧ](ㄒㄧ.md) | [蟋](蟋.md) |  | xī | 參見「蟋蟀」條。 |</v>
      </c>
    </row>
    <row r="8276" spans="1:44" hidden="1">
      <c r="A8276" s="1" t="s">
        <v>14874</v>
      </c>
      <c r="C8276" s="1">
        <v>1</v>
      </c>
      <c r="D8276" s="1" t="str">
        <f>"06777"</f>
        <v>06777</v>
      </c>
      <c r="E8276" s="1" t="s">
        <v>139</v>
      </c>
      <c r="F8276" s="1">
        <v>12</v>
      </c>
      <c r="G8276" s="1">
        <v>8</v>
      </c>
      <c r="H8276" s="1">
        <v>2</v>
      </c>
      <c r="I8276" s="1" t="s">
        <v>16061</v>
      </c>
      <c r="K8276" s="1" t="str">
        <f t="shared" si="520"/>
        <v>ㄒ</v>
      </c>
      <c r="L8276" s="1" t="str">
        <f t="shared" si="521"/>
        <v>ㄧ</v>
      </c>
      <c r="M8276" s="1" t="str">
        <f t="shared" si="519"/>
        <v/>
      </c>
      <c r="P8276" s="1" t="s">
        <v>110</v>
      </c>
      <c r="R8276" s="1" t="s">
        <v>16062</v>
      </c>
      <c r="V8276" s="1" t="s">
        <v>111</v>
      </c>
      <c r="W8276" s="1" t="s">
        <v>16154</v>
      </c>
      <c r="AR8276" s="1" t="str">
        <f t="shared" si="522"/>
        <v>| [ㄒㄧ](ㄒㄧ.md) | [棲](棲.md) |  | xī | (一)之又音。 |</v>
      </c>
    </row>
    <row r="8277" spans="1:44" hidden="1">
      <c r="A8277" s="1" t="s">
        <v>16155</v>
      </c>
      <c r="C8277" s="1">
        <v>1</v>
      </c>
      <c r="D8277" s="1" t="str">
        <f>"06778"</f>
        <v>06778</v>
      </c>
      <c r="E8277" s="1" t="s">
        <v>518</v>
      </c>
      <c r="F8277" s="1">
        <v>12</v>
      </c>
      <c r="G8277" s="1">
        <v>8</v>
      </c>
      <c r="H8277" s="1">
        <v>0</v>
      </c>
      <c r="I8277" s="1" t="s">
        <v>16061</v>
      </c>
      <c r="K8277" s="1" t="str">
        <f t="shared" si="520"/>
        <v>ㄒ</v>
      </c>
      <c r="L8277" s="1" t="str">
        <f t="shared" si="521"/>
        <v>ㄧ</v>
      </c>
      <c r="M8277" s="1" t="str">
        <f t="shared" si="519"/>
        <v/>
      </c>
      <c r="P8277" s="1" t="s">
        <v>20</v>
      </c>
      <c r="R8277" s="1" t="s">
        <v>16062</v>
      </c>
      <c r="V8277" s="1" t="s">
        <v>16156</v>
      </c>
      <c r="AR8277" s="1" t="str">
        <f t="shared" si="522"/>
        <v>| [ㄒㄧ](ㄒㄧ.md) | [犀](犀.md) |  | xī | [名]
動物名。脊椎動物門哺乳綱奇蹄目。體型碩大，外形似牛。頭略成三角形，頸短。鼻上有一或二個角，可入藥，亦可作武器。四肢粗大，每蹄有三趾。皮粗而厚，色微黑，全身幾乎無毛。以草、樹葉、嫩枝為食，產於亞洲與非洲的熱帶森林。也稱為「犀牛」。
[形]
堅利、銳利。如：「犀利」。《漢書．卷五九．張衡傳》：「雖有犀舟勁楫，猶人涉卬否，有須者也。」 |</v>
      </c>
    </row>
    <row r="8278" spans="1:44" hidden="1">
      <c r="A8278" s="1" t="s">
        <v>16157</v>
      </c>
      <c r="C8278" s="1">
        <v>1</v>
      </c>
      <c r="D8278" s="1" t="str">
        <f>"06779"</f>
        <v>06779</v>
      </c>
      <c r="E8278" s="1" t="s">
        <v>139</v>
      </c>
      <c r="F8278" s="1">
        <v>16</v>
      </c>
      <c r="G8278" s="1">
        <v>12</v>
      </c>
      <c r="H8278" s="1">
        <v>1</v>
      </c>
      <c r="I8278" s="1" t="s">
        <v>16061</v>
      </c>
      <c r="K8278" s="1" t="str">
        <f t="shared" si="520"/>
        <v>ㄒ</v>
      </c>
      <c r="L8278" s="1" t="str">
        <f t="shared" si="521"/>
        <v>ㄧ</v>
      </c>
      <c r="M8278" s="1" t="str">
        <f t="shared" si="519"/>
        <v/>
      </c>
      <c r="P8278" s="1" t="s">
        <v>20</v>
      </c>
      <c r="R8278" s="1" t="s">
        <v>16062</v>
      </c>
      <c r="V8278" s="1" t="s">
        <v>16158</v>
      </c>
      <c r="W8278" s="1" t="s">
        <v>16159</v>
      </c>
      <c r="AR8278" s="1" t="str">
        <f t="shared" si="522"/>
        <v>| [ㄒㄧ](ㄒㄧ.md) | [樨](樨.md) |  | xī | 參見「木樨」條。 |</v>
      </c>
    </row>
    <row r="8279" spans="1:44" hidden="1">
      <c r="A8279" s="1" t="s">
        <v>16160</v>
      </c>
      <c r="C8279" s="1">
        <v>1</v>
      </c>
      <c r="D8279" s="1" t="str">
        <f>"06780"</f>
        <v>06780</v>
      </c>
      <c r="E8279" s="1" t="s">
        <v>534</v>
      </c>
      <c r="F8279" s="1">
        <v>13</v>
      </c>
      <c r="G8279" s="1">
        <v>10</v>
      </c>
      <c r="H8279" s="1">
        <v>0</v>
      </c>
      <c r="I8279" s="1" t="s">
        <v>16061</v>
      </c>
      <c r="K8279" s="1" t="str">
        <f t="shared" si="520"/>
        <v>ㄒ</v>
      </c>
      <c r="L8279" s="1" t="str">
        <f t="shared" si="521"/>
        <v>ㄧ</v>
      </c>
      <c r="M8279" s="1" t="str">
        <f t="shared" si="519"/>
        <v/>
      </c>
      <c r="P8279" s="1" t="s">
        <v>20</v>
      </c>
      <c r="R8279" s="1" t="s">
        <v>16062</v>
      </c>
      <c r="V8279" s="1" t="s">
        <v>16161</v>
      </c>
      <c r="AR8279" s="1" t="str">
        <f t="shared" si="522"/>
        <v>| [ㄒㄧ](ㄒㄧ.md) | [媐](媐.md) |  | xī | [副]
喜悅、快樂。《說文解字．女部》：「媐，說樂也。」清．汪琬〈中峰曉菴了法師塔銘〉：「相從媐遨，酬對無間。」 |</v>
      </c>
    </row>
    <row r="8280" spans="1:44" hidden="1">
      <c r="A8280" s="1" t="s">
        <v>16162</v>
      </c>
      <c r="C8280" s="1">
        <v>1</v>
      </c>
      <c r="D8280" s="1" t="str">
        <f>"06781"</f>
        <v>06781</v>
      </c>
      <c r="E8280" s="1" t="s">
        <v>336</v>
      </c>
      <c r="F8280" s="1">
        <v>14</v>
      </c>
      <c r="G8280" s="1">
        <v>10</v>
      </c>
      <c r="H8280" s="1">
        <v>1</v>
      </c>
      <c r="I8280" s="1" t="s">
        <v>16061</v>
      </c>
      <c r="K8280" s="1" t="str">
        <f t="shared" si="520"/>
        <v>ㄒ</v>
      </c>
      <c r="L8280" s="1" t="str">
        <f t="shared" si="521"/>
        <v>ㄧ</v>
      </c>
      <c r="M8280" s="1" t="str">
        <f t="shared" si="519"/>
        <v/>
      </c>
      <c r="P8280" s="1" t="s">
        <v>20</v>
      </c>
      <c r="R8280" s="1" t="s">
        <v>16062</v>
      </c>
      <c r="V8280" s="1" t="s">
        <v>16163</v>
      </c>
      <c r="W8280" s="1" t="s">
        <v>16164</v>
      </c>
      <c r="AR8280" s="1" t="str">
        <f t="shared" si="522"/>
        <v>| [ㄒㄧ](ㄒㄧ.md) | [熙](熙.md) |  | xī | [形]
1.光明。如：「熙明」、「光熙」。《晉書．卷七二．郭璞傳》：「窟泉之潛不思雲翬，熙冰之采不羨旭晞。」
2.和樂。《後漢書．卷五十四．楊震傳》：「天下咸服，以致雍熙。」唐．白居易〈與元九書〉：「上下通而一氣泰，憂樂合而百志熙。」
[動]
1.興起、興盛。《後漢書．卷六九．竇武傳》：「是以君臣並熙，名奮百世。」晉．盧諶〈贈劉琨詩〉：「濬哲惟皇，紹熙有晉。」
2.開拓、光大。《書經．舜典》：「咨四岳，有能奮庸熙帝之載。」《後漢書．卷四八．爰延傳》：「使積善日熙，佞惡消殄，則乾災可除。」
3.嬉戲。通「嬉」。《莊子．馬蹄》：「含哺而熙，鼓腹而遊。」《文選．宋玉．登徒子好色賦》：「出咸陽，熙邯鄲，從容鄭、衛、溱、洧之閒。」唐．李善．注：「熙，戲也。」 |</v>
      </c>
    </row>
    <row r="8281" spans="1:44" hidden="1">
      <c r="A8281" s="1" t="s">
        <v>16165</v>
      </c>
      <c r="C8281" s="1">
        <v>1</v>
      </c>
      <c r="D8281" s="1" t="str">
        <f>"06782"</f>
        <v>06782</v>
      </c>
      <c r="E8281" s="1" t="s">
        <v>114</v>
      </c>
      <c r="F8281" s="1">
        <v>14</v>
      </c>
      <c r="G8281" s="1">
        <v>12</v>
      </c>
      <c r="H8281" s="1">
        <v>0</v>
      </c>
      <c r="I8281" s="1" t="s">
        <v>16061</v>
      </c>
      <c r="K8281" s="1" t="str">
        <f t="shared" si="520"/>
        <v>ㄒ</v>
      </c>
      <c r="L8281" s="1" t="str">
        <f t="shared" si="521"/>
        <v>ㄧ</v>
      </c>
      <c r="M8281" s="1" t="str">
        <f t="shared" si="519"/>
        <v/>
      </c>
      <c r="P8281" s="1" t="s">
        <v>20</v>
      </c>
      <c r="R8281" s="1" t="s">
        <v>16062</v>
      </c>
      <c r="V8281" s="1" t="s">
        <v>16166</v>
      </c>
      <c r="AR8281" s="1" t="str">
        <f t="shared" si="522"/>
        <v>| [ㄒㄧ](ㄒㄧ.md) | [僖](僖.md) |  | xī | [形]
喜樂。《說文解字．人部》：「僖，樂也。」
[名]
1.諡號。如：「魯僖公」、「晉僖公」。
2.姓。如春秋時曹國有僖負羈。 |</v>
      </c>
    </row>
    <row r="8282" spans="1:44" hidden="1">
      <c r="A8282" s="1" t="s">
        <v>16167</v>
      </c>
      <c r="C8282" s="1">
        <v>1</v>
      </c>
      <c r="D8282" s="1" t="str">
        <f>"06783"</f>
        <v>06783</v>
      </c>
      <c r="E8282" s="1" t="s">
        <v>28</v>
      </c>
      <c r="F8282" s="1">
        <v>15</v>
      </c>
      <c r="G8282" s="1">
        <v>12</v>
      </c>
      <c r="H8282" s="1">
        <v>0</v>
      </c>
      <c r="I8282" s="1" t="s">
        <v>16061</v>
      </c>
      <c r="K8282" s="1" t="str">
        <f t="shared" si="520"/>
        <v>ㄒ</v>
      </c>
      <c r="L8282" s="1" t="str">
        <f t="shared" si="521"/>
        <v>ㄧ</v>
      </c>
      <c r="M8282" s="1" t="str">
        <f t="shared" si="519"/>
        <v/>
      </c>
      <c r="P8282" s="1" t="s">
        <v>20</v>
      </c>
      <c r="R8282" s="1" t="s">
        <v>16062</v>
      </c>
      <c r="V8282" s="1" t="s">
        <v>16168</v>
      </c>
      <c r="AR8282" s="1" t="str">
        <f t="shared" si="522"/>
        <v>| [ㄒㄧ](ㄒㄧ.md) | [嘻](嘻.md) |  | xī | [歎]
1.表示讚美嘆賞的語氣。《詩經．周頌．噫嘻》：「噫嘻成王！既昭假爾。」唐．孔穎達．正義：「噫、嘻皆為歎聲……謂作者有所裒多美大而為聲以歎之。」
2.表示悲恨傷痛的語氣。《禮記．檀弓上》：「伯魚之母死，期而猶哭。……夫子曰：『嘻，其甚也！』」《史記．卷七〇．張儀傳》：「其妻曰：『嘻！子毋讀書游說，安得此辱乎？』」
3.表示驚懼忿怒的語氣。《呂氏春秋．恃君覽．行論》：「莊王方削袂，聞之曰：『嘻！』投袂而起。」
[擬]
形容笑聲。《易經．家人卦．九三》：「婦子嘻嘻，終吝。」《西遊記》第八三回：「行者口裡嘻嘻嗄嗄。」 |</v>
      </c>
    </row>
    <row r="8283" spans="1:44" hidden="1">
      <c r="A8283" s="1" t="s">
        <v>16169</v>
      </c>
      <c r="C8283" s="1">
        <v>1</v>
      </c>
      <c r="D8283" s="1" t="str">
        <f>"06784"</f>
        <v>06784</v>
      </c>
      <c r="E8283" s="1" t="s">
        <v>534</v>
      </c>
      <c r="F8283" s="1">
        <v>15</v>
      </c>
      <c r="G8283" s="1">
        <v>12</v>
      </c>
      <c r="H8283" s="1">
        <v>0</v>
      </c>
      <c r="I8283" s="1" t="s">
        <v>16061</v>
      </c>
      <c r="K8283" s="1" t="str">
        <f t="shared" si="520"/>
        <v>ㄒ</v>
      </c>
      <c r="L8283" s="1" t="str">
        <f t="shared" si="521"/>
        <v>ㄧ</v>
      </c>
      <c r="M8283" s="1" t="str">
        <f t="shared" si="519"/>
        <v/>
      </c>
      <c r="P8283" s="1" t="s">
        <v>20</v>
      </c>
      <c r="R8283" s="1" t="s">
        <v>16062</v>
      </c>
      <c r="V8283" s="1" t="s">
        <v>16170</v>
      </c>
      <c r="AR8283" s="1" t="str">
        <f t="shared" si="522"/>
        <v>| [ㄒㄧ](ㄒㄧ.md) | [嬉](嬉.md) |  | xī | [動]
遊戲、玩耍。如：「嬉戲」。《文選．張衡．歸田賦》：「諒天道之微昧，追漁父以同嬉。」唐．韓愈〈進學解〉：「業精于勤荒于嬉，行成于思毀于隨。」 |</v>
      </c>
    </row>
    <row r="8284" spans="1:44" hidden="1">
      <c r="A8284" s="1" t="s">
        <v>16171</v>
      </c>
      <c r="C8284" s="1">
        <v>1</v>
      </c>
      <c r="D8284" s="1" t="str">
        <f>"06785"</f>
        <v>06785</v>
      </c>
      <c r="E8284" s="1" t="s">
        <v>336</v>
      </c>
      <c r="F8284" s="1">
        <v>16</v>
      </c>
      <c r="G8284" s="1">
        <v>12</v>
      </c>
      <c r="H8284" s="1">
        <v>0</v>
      </c>
      <c r="I8284" s="1" t="s">
        <v>16061</v>
      </c>
      <c r="K8284" s="1" t="str">
        <f t="shared" si="520"/>
        <v>ㄒ</v>
      </c>
      <c r="L8284" s="1" t="str">
        <f t="shared" si="521"/>
        <v>ㄧ</v>
      </c>
      <c r="M8284" s="1" t="str">
        <f t="shared" si="519"/>
        <v/>
      </c>
      <c r="P8284" s="1" t="s">
        <v>20</v>
      </c>
      <c r="R8284" s="1" t="s">
        <v>16062</v>
      </c>
      <c r="V8284" s="1" t="s">
        <v>16172</v>
      </c>
      <c r="AR8284" s="1" t="str">
        <f t="shared" si="522"/>
        <v>| [ㄒㄧ](ㄒㄧ.md) | [熹](熹.md) |  | xī | [形]
明亮、光明。晉．陶淵明〈歸去來辭〉：「問征夫以前路，恨晨光之熹微。」 |</v>
      </c>
    </row>
    <row r="8285" spans="1:44" hidden="1">
      <c r="A8285" s="1" t="s">
        <v>16173</v>
      </c>
      <c r="C8285" s="1">
        <v>1</v>
      </c>
      <c r="D8285" s="1" t="str">
        <f>"06786"</f>
        <v>06786</v>
      </c>
      <c r="E8285" s="1" t="s">
        <v>825</v>
      </c>
      <c r="F8285" s="1">
        <v>17</v>
      </c>
      <c r="G8285" s="1">
        <v>12</v>
      </c>
      <c r="H8285" s="1">
        <v>1</v>
      </c>
      <c r="I8285" s="1" t="s">
        <v>16061</v>
      </c>
      <c r="K8285" s="1" t="str">
        <f t="shared" si="520"/>
        <v>ㄒ</v>
      </c>
      <c r="L8285" s="1" t="str">
        <f t="shared" si="521"/>
        <v>ㄧ</v>
      </c>
      <c r="M8285" s="1" t="str">
        <f t="shared" si="519"/>
        <v/>
      </c>
      <c r="P8285" s="1" t="s">
        <v>20</v>
      </c>
      <c r="R8285" s="1" t="s">
        <v>16062</v>
      </c>
      <c r="V8285" s="1" t="s">
        <v>16174</v>
      </c>
      <c r="W8285" s="1" t="s">
        <v>16175</v>
      </c>
      <c r="AR8285" s="1" t="str">
        <f t="shared" si="522"/>
        <v>| [ㄒㄧ](ㄒㄧ.md) | [禧](禧.md) |  | xī | [名]
福祉、吉祥。《廣韻．平聲．之韻》：「禧，福也，吉也。」如：「鴻禧」、「恭賀新禧」。 |</v>
      </c>
    </row>
    <row r="8286" spans="1:44" hidden="1">
      <c r="A8286" s="1" t="s">
        <v>16176</v>
      </c>
      <c r="C8286" s="1">
        <v>1</v>
      </c>
      <c r="D8286" s="1" t="str">
        <f>"06787"</f>
        <v>06787</v>
      </c>
      <c r="E8286" s="1" t="s">
        <v>331</v>
      </c>
      <c r="F8286" s="1">
        <v>19</v>
      </c>
      <c r="G8286" s="1">
        <v>12</v>
      </c>
      <c r="H8286" s="1">
        <v>0</v>
      </c>
      <c r="I8286" s="1" t="s">
        <v>16061</v>
      </c>
      <c r="K8286" s="1" t="str">
        <f t="shared" si="520"/>
        <v>ㄒ</v>
      </c>
      <c r="L8286" s="1" t="str">
        <f t="shared" si="521"/>
        <v>ㄧ</v>
      </c>
      <c r="M8286" s="1" t="str">
        <f t="shared" si="519"/>
        <v/>
      </c>
      <c r="P8286" s="1" t="s">
        <v>20</v>
      </c>
      <c r="R8286" s="1" t="s">
        <v>16062</v>
      </c>
      <c r="V8286" s="1" t="s">
        <v>16177</v>
      </c>
      <c r="AR8286" s="1" t="str">
        <f t="shared" si="522"/>
        <v>| [ㄒㄧ](ㄒㄧ.md) | [譆](譆.md) |  | xī | [歎]
表示悲嘆或驚嘆的語氣。通「嘻」。《莊子．養生主》：「譆！善哉，技蓋至此乎？」 |</v>
      </c>
    </row>
    <row r="8287" spans="1:44" hidden="1">
      <c r="A8287" s="1" t="s">
        <v>16178</v>
      </c>
      <c r="C8287" s="1">
        <v>1</v>
      </c>
      <c r="D8287" s="1" t="str">
        <f>"06788"</f>
        <v>06788</v>
      </c>
      <c r="E8287" s="1" t="s">
        <v>193</v>
      </c>
      <c r="F8287" s="1">
        <v>20</v>
      </c>
      <c r="G8287" s="1">
        <v>12</v>
      </c>
      <c r="H8287" s="1">
        <v>1</v>
      </c>
      <c r="I8287" s="1" t="s">
        <v>16061</v>
      </c>
      <c r="K8287" s="1" t="str">
        <f t="shared" si="520"/>
        <v>ㄒ</v>
      </c>
      <c r="L8287" s="1" t="str">
        <f t="shared" si="521"/>
        <v>ㄧ</v>
      </c>
      <c r="M8287" s="1" t="str">
        <f t="shared" si="519"/>
        <v/>
      </c>
      <c r="P8287" s="1" t="s">
        <v>20</v>
      </c>
      <c r="R8287" s="1" t="s">
        <v>16062</v>
      </c>
      <c r="V8287" s="1" t="s">
        <v>16179</v>
      </c>
      <c r="W8287" s="1" t="s">
        <v>16180</v>
      </c>
      <c r="AR8287" s="1" t="str">
        <f t="shared" si="522"/>
        <v>| [ㄒㄧ](ㄒㄧ.md) | [饎](饎.md) |  | xī | [名]
酒食。《爾雅．釋訓》：「饎，酒食也。」《詩經．小雅．天保》：「吉蠲為饎，是用孝享。」
[動]
炊煮、煮熟。《儀禮．特牲饋食禮》：「饎爨在西壁。」漢．鄭玄．注：「饎，炊也。」《初刻拍案驚奇》卷六：「攪入一兩樣，不按君臣的藥末，饎起成糕。」 |</v>
      </c>
    </row>
    <row r="8288" spans="1:44" hidden="1">
      <c r="A8288" s="1" t="s">
        <v>16181</v>
      </c>
      <c r="C8288" s="1">
        <v>1</v>
      </c>
      <c r="D8288" s="1" t="str">
        <f>"06789"</f>
        <v>06789</v>
      </c>
      <c r="E8288" s="1" t="s">
        <v>24</v>
      </c>
      <c r="F8288" s="1">
        <v>15</v>
      </c>
      <c r="G8288" s="1">
        <v>12</v>
      </c>
      <c r="H8288" s="1">
        <v>2</v>
      </c>
      <c r="I8288" s="1" t="s">
        <v>16061</v>
      </c>
      <c r="K8288" s="1" t="str">
        <f t="shared" si="520"/>
        <v>ㄒ</v>
      </c>
      <c r="L8288" s="1" t="str">
        <f t="shared" si="521"/>
        <v>ㄧ</v>
      </c>
      <c r="M8288" s="1" t="str">
        <f t="shared" si="519"/>
        <v/>
      </c>
      <c r="P8288" s="1" t="s">
        <v>20</v>
      </c>
      <c r="R8288" s="1" t="s">
        <v>16062</v>
      </c>
      <c r="V8288" s="1" t="s">
        <v>16182</v>
      </c>
      <c r="W8288" s="1" t="s">
        <v>16183</v>
      </c>
      <c r="AR8288" s="1" t="str">
        <f t="shared" si="522"/>
        <v>| [ㄒㄧ](ㄒㄧ.md) | [撕](撕.md) |  | xī | 參見「提撕」條。 |</v>
      </c>
    </row>
    <row r="8289" spans="1:44" hidden="1">
      <c r="A8289" s="1" t="s">
        <v>16184</v>
      </c>
      <c r="C8289" s="1">
        <v>1</v>
      </c>
      <c r="D8289" s="1" t="str">
        <f>"06790"</f>
        <v>06790</v>
      </c>
      <c r="E8289" s="1" t="s">
        <v>28</v>
      </c>
      <c r="F8289" s="1">
        <v>15</v>
      </c>
      <c r="G8289" s="1">
        <v>12</v>
      </c>
      <c r="H8289" s="1">
        <v>0</v>
      </c>
      <c r="I8289" s="1" t="s">
        <v>16061</v>
      </c>
      <c r="K8289" s="1" t="str">
        <f t="shared" si="520"/>
        <v>ㄒ</v>
      </c>
      <c r="L8289" s="1" t="str">
        <f t="shared" si="521"/>
        <v>ㄧ</v>
      </c>
      <c r="M8289" s="1" t="str">
        <f t="shared" si="519"/>
        <v/>
      </c>
      <c r="P8289" s="1" t="s">
        <v>20</v>
      </c>
      <c r="R8289" s="1" t="s">
        <v>16062</v>
      </c>
      <c r="V8289" s="1" t="s">
        <v>16185</v>
      </c>
      <c r="AR8289" s="1" t="str">
        <f t="shared" si="522"/>
        <v>| [ㄒㄧ](ㄒㄧ.md) | [噏](噏.md) |  | xī | [動]
引入、收取。同「吸」。《漢書．卷八七．揚雄傳上》：「噏清雲之流瑕兮，飲若木之露英。」《文選．木華．海賦》：「噓噏百川，洗滌淮漢。」 |</v>
      </c>
    </row>
    <row r="8290" spans="1:44" hidden="1">
      <c r="A8290" s="1" t="s">
        <v>16186</v>
      </c>
      <c r="C8290" s="1">
        <v>1</v>
      </c>
      <c r="D8290" s="1" t="str">
        <f>"06791"</f>
        <v>06791</v>
      </c>
      <c r="E8290" s="1" t="s">
        <v>68</v>
      </c>
      <c r="F8290" s="1">
        <v>15</v>
      </c>
      <c r="G8290" s="1">
        <v>11</v>
      </c>
      <c r="H8290" s="1">
        <v>0</v>
      </c>
      <c r="I8290" s="1" t="s">
        <v>16061</v>
      </c>
      <c r="K8290" s="1" t="str">
        <f t="shared" si="520"/>
        <v>ㄒ</v>
      </c>
      <c r="L8290" s="1" t="str">
        <f t="shared" si="521"/>
        <v>ㄧ</v>
      </c>
      <c r="M8290" s="1" t="str">
        <f t="shared" si="519"/>
        <v/>
      </c>
      <c r="P8290" s="1" t="s">
        <v>20</v>
      </c>
      <c r="R8290" s="1" t="s">
        <v>16062</v>
      </c>
      <c r="V8290" s="1" t="s">
        <v>16187</v>
      </c>
      <c r="AR8290" s="1" t="str">
        <f t="shared" si="522"/>
        <v>| [ㄒㄧ](ㄒㄧ.md) | [膝](膝.md) |  | xī | [名]
連接大腿與小腿的可動關節。如：「屈膝」、「抱膝」、「膝蓋」。
[動]
跪。《聊齋志異．卷七．金和尚》：「膝席者皆垂手執兒孫禮。」 |</v>
      </c>
    </row>
    <row r="8291" spans="1:44" hidden="1">
      <c r="A8291" s="1" t="s">
        <v>16188</v>
      </c>
      <c r="C8291" s="1">
        <v>1</v>
      </c>
      <c r="D8291" s="1" t="str">
        <f>"06792"</f>
        <v>06792</v>
      </c>
      <c r="E8291" s="1" t="s">
        <v>43</v>
      </c>
      <c r="F8291" s="1">
        <v>16</v>
      </c>
      <c r="G8291" s="1">
        <v>10</v>
      </c>
      <c r="H8291" s="1">
        <v>0</v>
      </c>
      <c r="I8291" s="1" t="s">
        <v>16061</v>
      </c>
      <c r="K8291" s="1" t="str">
        <f t="shared" si="520"/>
        <v>ㄒ</v>
      </c>
      <c r="L8291" s="1" t="str">
        <f t="shared" si="521"/>
        <v>ㄧ</v>
      </c>
      <c r="M8291" s="1" t="str">
        <f t="shared" si="519"/>
        <v/>
      </c>
      <c r="P8291" s="1" t="s">
        <v>20</v>
      </c>
      <c r="R8291" s="1" t="s">
        <v>16062</v>
      </c>
      <c r="V8291" s="1" t="s">
        <v>16189</v>
      </c>
      <c r="AR8291" s="1" t="str">
        <f t="shared" si="522"/>
        <v>| [ㄒㄧ](ㄒㄧ.md) | [羲](羲.md) |  | xī | [名]
1.參見「伏羲氏」條。
2.姓。如上古時代有羲仲。 |</v>
      </c>
    </row>
    <row r="8292" spans="1:44" hidden="1">
      <c r="A8292" s="1" t="s">
        <v>16190</v>
      </c>
      <c r="C8292" s="1">
        <v>1</v>
      </c>
      <c r="D8292" s="1" t="str">
        <f>"06793"</f>
        <v>06793</v>
      </c>
      <c r="E8292" s="1" t="s">
        <v>646</v>
      </c>
      <c r="F8292" s="1">
        <v>20</v>
      </c>
      <c r="G8292" s="1">
        <v>16</v>
      </c>
      <c r="H8292" s="1">
        <v>0</v>
      </c>
      <c r="I8292" s="1" t="s">
        <v>16061</v>
      </c>
      <c r="K8292" s="1" t="str">
        <f t="shared" si="520"/>
        <v>ㄒ</v>
      </c>
      <c r="L8292" s="1" t="str">
        <f t="shared" si="521"/>
        <v>ㄧ</v>
      </c>
      <c r="M8292" s="1" t="str">
        <f t="shared" si="519"/>
        <v/>
      </c>
      <c r="P8292" s="1" t="s">
        <v>20</v>
      </c>
      <c r="R8292" s="1" t="s">
        <v>16062</v>
      </c>
      <c r="V8292" s="1" t="s">
        <v>16191</v>
      </c>
      <c r="AR8292" s="1" t="str">
        <f t="shared" si="522"/>
        <v>| [ㄒㄧ](ㄒㄧ.md) | [曦](曦.md) |  | xī | [名]
日色、日光。如：「晨曦」、「曙曦」。北魏．酈道元《水經注．江水注》：「重巖疊嶂，隱天蔽日，自非停午夜分，不見曦月。」《聊齋志異．卷四．促織》：「東曦既駕，僵臥長愁。」 |</v>
      </c>
    </row>
    <row r="8293" spans="1:44" hidden="1">
      <c r="A8293" s="1" t="s">
        <v>16192</v>
      </c>
      <c r="C8293" s="1">
        <v>1</v>
      </c>
      <c r="D8293" s="1" t="str">
        <f>"06794"</f>
        <v>06794</v>
      </c>
      <c r="E8293" s="1" t="s">
        <v>518</v>
      </c>
      <c r="F8293" s="1">
        <v>20</v>
      </c>
      <c r="G8293" s="1">
        <v>16</v>
      </c>
      <c r="H8293" s="1">
        <v>0</v>
      </c>
      <c r="I8293" s="1" t="s">
        <v>16061</v>
      </c>
      <c r="K8293" s="1" t="str">
        <f t="shared" si="520"/>
        <v>ㄒ</v>
      </c>
      <c r="L8293" s="1" t="str">
        <f t="shared" si="521"/>
        <v>ㄧ</v>
      </c>
      <c r="M8293" s="1" t="str">
        <f t="shared" si="519"/>
        <v/>
      </c>
      <c r="P8293" s="1" t="s">
        <v>20</v>
      </c>
      <c r="R8293" s="1" t="s">
        <v>16062</v>
      </c>
      <c r="V8293" s="1" t="s">
        <v>16193</v>
      </c>
      <c r="AR8293" s="1" t="str">
        <f t="shared" si="522"/>
        <v>| [ㄒㄧ](ㄒㄧ.md) | [犧](犧.md) |  | xī | [名]
古代供宗廟祭祀用的純色牲畜。《詩經．魯頌．閟宮》：「皇皇后帝，皇祖后稷，享以騂犧。」唐．韓愈〈寄崔二十六立之〉詩：「孤豚眠糞壤，不慕太廟犧。」 |</v>
      </c>
    </row>
    <row r="8294" spans="1:44" hidden="1">
      <c r="A8294" s="1" t="s">
        <v>16194</v>
      </c>
      <c r="C8294" s="1">
        <v>1</v>
      </c>
      <c r="D8294" s="1" t="str">
        <f>"06795"</f>
        <v>06795</v>
      </c>
      <c r="E8294" s="1" t="s">
        <v>679</v>
      </c>
      <c r="F8294" s="1">
        <v>16</v>
      </c>
      <c r="G8294" s="1">
        <v>10</v>
      </c>
      <c r="H8294" s="1">
        <v>0</v>
      </c>
      <c r="I8294" s="1" t="s">
        <v>16061</v>
      </c>
      <c r="K8294" s="1" t="str">
        <f t="shared" si="520"/>
        <v>ㄒ</v>
      </c>
      <c r="L8294" s="1" t="str">
        <f t="shared" si="521"/>
        <v>ㄧ</v>
      </c>
      <c r="M8294" s="1" t="str">
        <f t="shared" si="519"/>
        <v/>
      </c>
      <c r="P8294" s="1" t="s">
        <v>20</v>
      </c>
      <c r="R8294" s="1" t="s">
        <v>16062</v>
      </c>
      <c r="V8294" s="1" t="s">
        <v>16195</v>
      </c>
      <c r="AR8294" s="1" t="str">
        <f t="shared" si="522"/>
        <v>| [ㄒㄧ](ㄒㄧ.md) | [螅](螅.md) |  | xī | 參見「水螅」條。 |</v>
      </c>
    </row>
    <row r="8295" spans="1:44" hidden="1">
      <c r="A8295" s="1" t="s">
        <v>8365</v>
      </c>
      <c r="C8295" s="1">
        <v>1</v>
      </c>
      <c r="D8295" s="1" t="str">
        <f>"06796"</f>
        <v>06796</v>
      </c>
      <c r="E8295" s="1" t="s">
        <v>8366</v>
      </c>
      <c r="F8295" s="1">
        <v>18</v>
      </c>
      <c r="G8295" s="1">
        <v>11</v>
      </c>
      <c r="H8295" s="1">
        <v>2</v>
      </c>
      <c r="I8295" s="1" t="s">
        <v>16061</v>
      </c>
      <c r="K8295" s="1" t="str">
        <f t="shared" si="520"/>
        <v>ㄒ</v>
      </c>
      <c r="L8295" s="1" t="str">
        <f t="shared" si="521"/>
        <v>ㄧ</v>
      </c>
      <c r="M8295" s="1" t="str">
        <f t="shared" si="519"/>
        <v/>
      </c>
      <c r="P8295" s="1" t="s">
        <v>20</v>
      </c>
      <c r="R8295" s="1" t="s">
        <v>16062</v>
      </c>
      <c r="V8295" s="1" t="s">
        <v>16196</v>
      </c>
      <c r="W8295" s="1" t="s">
        <v>16197</v>
      </c>
      <c r="AR8295" s="1" t="str">
        <f t="shared" si="522"/>
        <v>| [ㄒㄧ](ㄒㄧ.md) | [釐](釐.md) |  | xī | [名]
福氣、吉祥。通「禧」。如：「春釐」、「恭賀年釐」。《史記．卷一〇．孝文本紀》：「今吾聞祠官祝釐，皆歸福朕躬，不為百姓，朕甚愧之。」南朝梁．蕭統〈陶淵明集序〉：「或懷釐而謁帝，或披褐而負薪。」 |</v>
      </c>
    </row>
    <row r="8296" spans="1:44" hidden="1">
      <c r="A8296" s="1" t="s">
        <v>16198</v>
      </c>
      <c r="C8296" s="1">
        <v>1</v>
      </c>
      <c r="D8296" s="1" t="str">
        <f>"06797"</f>
        <v>06797</v>
      </c>
      <c r="E8296" s="1" t="s">
        <v>1462</v>
      </c>
      <c r="F8296" s="1">
        <v>18</v>
      </c>
      <c r="G8296" s="1">
        <v>11</v>
      </c>
      <c r="H8296" s="1">
        <v>0</v>
      </c>
      <c r="I8296" s="1" t="s">
        <v>16061</v>
      </c>
      <c r="K8296" s="1" t="str">
        <f t="shared" si="520"/>
        <v>ㄒ</v>
      </c>
      <c r="L8296" s="1" t="str">
        <f t="shared" si="521"/>
        <v>ㄧ</v>
      </c>
      <c r="M8296" s="1" t="str">
        <f t="shared" ref="M8296:M8359" si="523">MID(I8296, 3, 1)</f>
        <v/>
      </c>
      <c r="P8296" s="1" t="s">
        <v>20</v>
      </c>
      <c r="R8296" s="1" t="s">
        <v>16062</v>
      </c>
      <c r="V8296" s="1" t="s">
        <v>16199</v>
      </c>
      <c r="AR8296" s="1" t="str">
        <f t="shared" si="522"/>
        <v>| [ㄒㄧ](ㄒㄧ.md) | [醯](醯.md) |  | xī | [名]
醋。《荀子．勸學》：「樹成蔭而眾鳥息焉，醯酸而蜹聚焉。」宋．陸游〈夜歸〉詩：「食儉鹽醯薄，年衰氣力微。」 |</v>
      </c>
    </row>
    <row r="8297" spans="1:44" hidden="1">
      <c r="A8297" s="1" t="s">
        <v>16200</v>
      </c>
      <c r="C8297" s="1">
        <v>1</v>
      </c>
      <c r="D8297" s="1" t="str">
        <f>"06798"</f>
        <v>06798</v>
      </c>
      <c r="E8297" s="1" t="s">
        <v>28</v>
      </c>
      <c r="F8297" s="1">
        <v>20</v>
      </c>
      <c r="G8297" s="1">
        <v>17</v>
      </c>
      <c r="H8297" s="1">
        <v>0</v>
      </c>
      <c r="I8297" s="1" t="s">
        <v>16061</v>
      </c>
      <c r="K8297" s="1" t="str">
        <f t="shared" si="520"/>
        <v>ㄒ</v>
      </c>
      <c r="L8297" s="1" t="str">
        <f t="shared" si="521"/>
        <v>ㄧ</v>
      </c>
      <c r="M8297" s="1" t="str">
        <f t="shared" si="523"/>
        <v/>
      </c>
      <c r="P8297" s="1" t="s">
        <v>20</v>
      </c>
      <c r="R8297" s="1" t="s">
        <v>16062</v>
      </c>
      <c r="V8297" s="1" t="s">
        <v>16201</v>
      </c>
      <c r="AR8297" s="1" t="str">
        <f t="shared" si="522"/>
        <v>| [ㄒㄧ](ㄒㄧ.md) | [嚱](嚱.md) |  | xī | [歎]
表示感嘆。《集韻．平聲．支韻》：「嚱，鳴戲，歎辭。」唐．李白〈蜀道難〉：「噫吁嚱危乎高哉！蜀道之難難於上青天。」 |</v>
      </c>
    </row>
    <row r="8298" spans="1:44" hidden="1">
      <c r="A8298" s="1" t="s">
        <v>16202</v>
      </c>
      <c r="C8298" s="1">
        <v>1</v>
      </c>
      <c r="D8298" s="1" t="str">
        <f>"06799"</f>
        <v>06799</v>
      </c>
      <c r="E8298" s="1" t="s">
        <v>190</v>
      </c>
      <c r="F8298" s="1">
        <v>20</v>
      </c>
      <c r="G8298" s="1">
        <v>17</v>
      </c>
      <c r="H8298" s="1">
        <v>0</v>
      </c>
      <c r="I8298" s="1" t="s">
        <v>16061</v>
      </c>
      <c r="K8298" s="1" t="str">
        <f t="shared" si="520"/>
        <v>ㄒ</v>
      </c>
      <c r="L8298" s="1" t="str">
        <f t="shared" si="521"/>
        <v>ㄧ</v>
      </c>
      <c r="M8298" s="1" t="str">
        <f t="shared" si="523"/>
        <v/>
      </c>
      <c r="P8298" s="1" t="s">
        <v>20</v>
      </c>
      <c r="R8298" s="1" t="s">
        <v>16062</v>
      </c>
      <c r="V8298" s="1" t="s">
        <v>16203</v>
      </c>
      <c r="AR8298" s="1" t="str">
        <f t="shared" si="522"/>
        <v>| [ㄒㄧ](ㄒㄧ.md) | [巇](巇.md) |  | xī | [形]
危險。如：「嶔巇」、「險巇」。《文選．王襃．洞簫賦》：「趨巇道兮。」唐．李善．注：「巇道，嶮巇之道。」
[名]
間隙，可乘的機會。漢．揚雄《法言．重黎》：「巇可抵乎？」唐．韓愈〈釋言〉：「弱於才而腐於力，不能奔走乘機抵巇以要權利。」 |</v>
      </c>
    </row>
    <row r="8299" spans="1:44" hidden="1">
      <c r="A8299" s="1" t="s">
        <v>16204</v>
      </c>
      <c r="C8299" s="1">
        <v>1</v>
      </c>
      <c r="D8299" s="1" t="str">
        <f>"06800"</f>
        <v>06800</v>
      </c>
      <c r="E8299" s="1" t="s">
        <v>24</v>
      </c>
      <c r="F8299" s="1">
        <v>21</v>
      </c>
      <c r="G8299" s="1">
        <v>18</v>
      </c>
      <c r="H8299" s="1">
        <v>1</v>
      </c>
      <c r="I8299" s="1" t="s">
        <v>16061</v>
      </c>
      <c r="K8299" s="1" t="str">
        <f t="shared" si="520"/>
        <v>ㄒ</v>
      </c>
      <c r="L8299" s="1" t="str">
        <f t="shared" si="521"/>
        <v>ㄧ</v>
      </c>
      <c r="M8299" s="1" t="str">
        <f t="shared" si="523"/>
        <v/>
      </c>
      <c r="P8299" s="1" t="s">
        <v>186</v>
      </c>
      <c r="R8299" s="1" t="s">
        <v>16062</v>
      </c>
      <c r="V8299" s="1" t="s">
        <v>16205</v>
      </c>
      <c r="W8299" s="1" t="s">
        <v>16206</v>
      </c>
      <c r="AR8299" s="1" t="str">
        <f t="shared" si="522"/>
        <v>| [ㄒㄧ](ㄒㄧ.md) | [攜](攜.md) |  | xī | [動]
1.帶著。如：「攜帶」、「攜伴參加」。《南史．卷六二．徐摛傳》：「自晉以來，尚書官僚，皆攜家屬居省。」
2.拿、提。如：「攜物」。唐．李賀〈金銅仙人辭漢歌〉：「攜盤獨出月荒涼，渭城已遠波聲小。」《封神演義》第五回：「手攜水火花籃，意欲往虎兒崖前採藥。」
3.拉。如：「攜手」、「扶老攜幼」。《淮南子．覽冥》：「相攜於道，奮首於路。」 |</v>
      </c>
    </row>
    <row r="8300" spans="1:44" hidden="1">
      <c r="A8300" s="1" t="s">
        <v>16207</v>
      </c>
      <c r="C8300" s="1">
        <v>1</v>
      </c>
      <c r="D8300" s="1" t="str">
        <f>"06801"</f>
        <v>06801</v>
      </c>
      <c r="E8300" s="1" t="s">
        <v>256</v>
      </c>
      <c r="F8300" s="1">
        <v>21</v>
      </c>
      <c r="G8300" s="1">
        <v>18</v>
      </c>
      <c r="H8300" s="1">
        <v>0</v>
      </c>
      <c r="I8300" s="1" t="s">
        <v>16061</v>
      </c>
      <c r="K8300" s="1" t="str">
        <f t="shared" si="520"/>
        <v>ㄒ</v>
      </c>
      <c r="L8300" s="1" t="str">
        <f t="shared" si="521"/>
        <v>ㄧ</v>
      </c>
      <c r="M8300" s="1" t="str">
        <f t="shared" si="523"/>
        <v/>
      </c>
      <c r="P8300" s="1" t="s">
        <v>20</v>
      </c>
      <c r="R8300" s="1" t="s">
        <v>16062</v>
      </c>
      <c r="V8300" s="1" t="s">
        <v>16208</v>
      </c>
      <c r="AR8300" s="1" t="str">
        <f t="shared" si="522"/>
        <v>| [ㄒㄧ](ㄒㄧ.md) | [酅](酅.md) |  | xī | [名]
地名。春秋時齊邑。故址在今大陸地區山東省東阿縣西南。 |</v>
      </c>
    </row>
    <row r="8301" spans="1:44" hidden="1">
      <c r="A8301" s="1" t="s">
        <v>16209</v>
      </c>
      <c r="C8301" s="1">
        <v>1</v>
      </c>
      <c r="D8301" s="1" t="str">
        <f>"06802"</f>
        <v>06802</v>
      </c>
      <c r="E8301" s="1" t="s">
        <v>679</v>
      </c>
      <c r="F8301" s="1">
        <v>24</v>
      </c>
      <c r="G8301" s="1">
        <v>18</v>
      </c>
      <c r="H8301" s="1">
        <v>0</v>
      </c>
      <c r="I8301" s="1" t="s">
        <v>16061</v>
      </c>
      <c r="K8301" s="1" t="str">
        <f t="shared" si="520"/>
        <v>ㄒ</v>
      </c>
      <c r="L8301" s="1" t="str">
        <f t="shared" si="521"/>
        <v>ㄧ</v>
      </c>
      <c r="M8301" s="1" t="str">
        <f t="shared" si="523"/>
        <v/>
      </c>
      <c r="P8301" s="1" t="s">
        <v>20</v>
      </c>
      <c r="R8301" s="1" t="s">
        <v>16062</v>
      </c>
      <c r="V8301" s="1" t="s">
        <v>16210</v>
      </c>
      <c r="AR8301" s="1" t="str">
        <f t="shared" si="522"/>
        <v>| [ㄒㄧ](ㄒㄧ.md) | [蠵](蠵.md) |  | xī | 參見「蠵龜」條。 |</v>
      </c>
    </row>
    <row r="8302" spans="1:44" hidden="1">
      <c r="A8302" s="1" t="s">
        <v>16211</v>
      </c>
      <c r="C8302" s="1">
        <v>1</v>
      </c>
      <c r="D8302" s="1" t="str">
        <f>"06803"</f>
        <v>06803</v>
      </c>
      <c r="E8302" s="1" t="s">
        <v>1117</v>
      </c>
      <c r="F8302" s="1">
        <v>25</v>
      </c>
      <c r="G8302" s="1">
        <v>18</v>
      </c>
      <c r="H8302" s="1">
        <v>0</v>
      </c>
      <c r="I8302" s="1" t="s">
        <v>16061</v>
      </c>
      <c r="K8302" s="1" t="str">
        <f t="shared" si="520"/>
        <v>ㄒ</v>
      </c>
      <c r="L8302" s="1" t="str">
        <f t="shared" si="521"/>
        <v>ㄧ</v>
      </c>
      <c r="M8302" s="1" t="str">
        <f t="shared" si="523"/>
        <v/>
      </c>
      <c r="P8302" s="1" t="s">
        <v>20</v>
      </c>
      <c r="R8302" s="1" t="s">
        <v>16062</v>
      </c>
      <c r="V8302" s="1" t="s">
        <v>16212</v>
      </c>
      <c r="AR8302" s="1" t="str">
        <f t="shared" si="522"/>
        <v>| [ㄒㄧ](ㄒㄧ.md) | [觿](觿.md) |  | xī | [名]
用獸骨製成的錐子。可解開繩結，亦可作為佩飾。《玉篇．角部》：「觿，形如錐，以象骨為之，以解結也。」如：「解觿」。 |</v>
      </c>
    </row>
    <row r="8303" spans="1:44" hidden="1">
      <c r="A8303" s="1" t="s">
        <v>17227</v>
      </c>
      <c r="C8303" s="1">
        <v>1</v>
      </c>
      <c r="D8303" s="1" t="str">
        <f>"07260"</f>
        <v>07260</v>
      </c>
      <c r="E8303" s="1" t="s">
        <v>9954</v>
      </c>
      <c r="F8303" s="1">
        <v>3</v>
      </c>
      <c r="G8303" s="1">
        <v>1</v>
      </c>
      <c r="H8303" s="1">
        <v>2</v>
      </c>
      <c r="I8303" s="1" t="s">
        <v>17228</v>
      </c>
      <c r="K8303" s="1" t="str">
        <f t="shared" si="520"/>
        <v>ㄒ</v>
      </c>
      <c r="L8303" s="1" t="str">
        <f t="shared" si="521"/>
        <v>ㄩ</v>
      </c>
      <c r="M8303" s="1" t="str">
        <f t="shared" si="523"/>
        <v/>
      </c>
      <c r="P8303" s="1" t="s">
        <v>20</v>
      </c>
      <c r="R8303" s="1" t="s">
        <v>17229</v>
      </c>
      <c r="V8303" s="1" t="s">
        <v>17230</v>
      </c>
      <c r="W8303" s="1" t="s">
        <v>17231</v>
      </c>
      <c r="AR8303" s="1" t="str">
        <f t="shared" si="522"/>
        <v>| [ㄒㄩ](ㄒㄩ.md) | [于](于.md) |  | xū | [歎]
表示感嘆的意思。通「吁」。《詩經．周南．麟之趾》：「于嗟麟兮。」 |</v>
      </c>
    </row>
    <row r="8304" spans="1:44" hidden="1">
      <c r="A8304" s="1" t="s">
        <v>17232</v>
      </c>
      <c r="C8304" s="1">
        <v>1</v>
      </c>
      <c r="D8304" s="1" t="str">
        <f>"07261"</f>
        <v>07261</v>
      </c>
      <c r="E8304" s="1" t="s">
        <v>28</v>
      </c>
      <c r="F8304" s="1">
        <v>6</v>
      </c>
      <c r="G8304" s="1">
        <v>3</v>
      </c>
      <c r="H8304" s="1">
        <v>0</v>
      </c>
      <c r="I8304" s="1" t="s">
        <v>17228</v>
      </c>
      <c r="K8304" s="1" t="str">
        <f t="shared" ref="K8304:K8367" si="524">LEFT(I8304, 1)</f>
        <v>ㄒ</v>
      </c>
      <c r="L8304" s="1" t="str">
        <f t="shared" ref="L8304:L8367" si="525">MID(I8304, 2, 1)</f>
        <v>ㄩ</v>
      </c>
      <c r="M8304" s="1" t="str">
        <f t="shared" si="523"/>
        <v/>
      </c>
      <c r="P8304" s="1" t="s">
        <v>20</v>
      </c>
      <c r="R8304" s="1" t="s">
        <v>17229</v>
      </c>
      <c r="V8304" s="1" t="s">
        <v>17233</v>
      </c>
      <c r="AR8304" s="1" t="str">
        <f t="shared" si="522"/>
        <v>| [ㄒㄩ](ㄒㄩ.md) | [吁](吁.md) |  | xū | [歎]
表示驚嘆、疑怪的意思。《玉篇．口部》：「吁，疑怪之辭，驚語也。」《文選．張衡．東京賦》：「吁！漢帝之德，侯其褘而。」唐．韓愈〈進學解〉：「吁！子來前！夫大木為杗，細木為桷。」
[動]
嘆息。如：「長吁短嘆」。唐．李白〈古風〉詩五九首之五六：「獻君君按劍，懷寶空長吁。」宋．劉宰〈野犬行〉：「過者且勿嘆，聞者且莫吁。」
[形]
憂愁。《詩經．周南．卷耳》：「我僕痡矣，云何吁矣。」 |</v>
      </c>
    </row>
    <row r="8305" spans="1:44" hidden="1">
      <c r="A8305" s="1" t="s">
        <v>17234</v>
      </c>
      <c r="C8305" s="1">
        <v>1</v>
      </c>
      <c r="D8305" s="1" t="str">
        <f>"07262"</f>
        <v>07262</v>
      </c>
      <c r="E8305" s="1" t="s">
        <v>646</v>
      </c>
      <c r="F8305" s="1">
        <v>7</v>
      </c>
      <c r="G8305" s="1">
        <v>3</v>
      </c>
      <c r="H8305" s="1">
        <v>0</v>
      </c>
      <c r="I8305" s="1" t="s">
        <v>17228</v>
      </c>
      <c r="K8305" s="1" t="str">
        <f t="shared" si="524"/>
        <v>ㄒ</v>
      </c>
      <c r="L8305" s="1" t="str">
        <f t="shared" si="525"/>
        <v>ㄩ</v>
      </c>
      <c r="M8305" s="1" t="str">
        <f t="shared" si="523"/>
        <v/>
      </c>
      <c r="P8305" s="1" t="s">
        <v>20</v>
      </c>
      <c r="R8305" s="1" t="s">
        <v>17229</v>
      </c>
      <c r="V8305" s="1" t="s">
        <v>17235</v>
      </c>
      <c r="AR8305" s="1" t="str">
        <f t="shared" si="522"/>
        <v>| [ㄒㄩ](ㄒㄩ.md) | [旴](旴.md) |  | xū | [形]
太陽剛出來的樣子。《廣韻．平聲．虞韻》：「旴，日始出貌。」 |</v>
      </c>
    </row>
    <row r="8306" spans="1:44" hidden="1">
      <c r="A8306" s="1" t="s">
        <v>17236</v>
      </c>
      <c r="C8306" s="1">
        <v>1</v>
      </c>
      <c r="D8306" s="1" t="str">
        <f>"07263"</f>
        <v>07263</v>
      </c>
      <c r="E8306" s="1" t="s">
        <v>1015</v>
      </c>
      <c r="F8306" s="1">
        <v>8</v>
      </c>
      <c r="G8306" s="1">
        <v>3</v>
      </c>
      <c r="H8306" s="1">
        <v>0</v>
      </c>
      <c r="I8306" s="1" t="s">
        <v>17228</v>
      </c>
      <c r="K8306" s="1" t="str">
        <f t="shared" si="524"/>
        <v>ㄒ</v>
      </c>
      <c r="L8306" s="1" t="str">
        <f t="shared" si="525"/>
        <v>ㄩ</v>
      </c>
      <c r="M8306" s="1" t="str">
        <f t="shared" si="523"/>
        <v/>
      </c>
      <c r="P8306" s="1" t="s">
        <v>20</v>
      </c>
      <c r="R8306" s="1" t="s">
        <v>17229</v>
      </c>
      <c r="V8306" s="1" t="s">
        <v>17237</v>
      </c>
      <c r="AR8306" s="1" t="str">
        <f t="shared" si="522"/>
        <v>| [ㄒㄩ](ㄒㄩ.md) | [盱](盱.md) |  | xū | [動]
睜開眼睛凝視。唐．韓愈〈謁衡嶽廟遂宿嶽寺題門樓〉詩：「廟令老人識神意，睢盱偵伺能鞠躬。」
[形]
1.大的。通「訏」。《漢書．卷八五．谷永傳》：「又廣盱營表，發人冢墓，斷截骸骨，暴揚尸柩。」顏師古注引晉灼曰：「盱，大也。」
2.憂愁。《詩經．小雅．都人士》：「我不見兮，云何盱矣。」
[名]
姓。如晉代有盱烈。 |</v>
      </c>
    </row>
    <row r="8307" spans="1:44" hidden="1">
      <c r="A8307" s="1" t="s">
        <v>17238</v>
      </c>
      <c r="C8307" s="1">
        <v>1</v>
      </c>
      <c r="D8307" s="1" t="str">
        <f>"07264"</f>
        <v>07264</v>
      </c>
      <c r="E8307" s="1" t="s">
        <v>331</v>
      </c>
      <c r="F8307" s="1">
        <v>10</v>
      </c>
      <c r="G8307" s="1">
        <v>3</v>
      </c>
      <c r="H8307" s="1">
        <v>0</v>
      </c>
      <c r="I8307" s="1" t="s">
        <v>17228</v>
      </c>
      <c r="K8307" s="1" t="str">
        <f t="shared" si="524"/>
        <v>ㄒ</v>
      </c>
      <c r="L8307" s="1" t="str">
        <f t="shared" si="525"/>
        <v>ㄩ</v>
      </c>
      <c r="M8307" s="1" t="str">
        <f t="shared" si="523"/>
        <v/>
      </c>
      <c r="P8307" s="1" t="s">
        <v>20</v>
      </c>
      <c r="R8307" s="1" t="s">
        <v>17229</v>
      </c>
      <c r="V8307" s="1" t="s">
        <v>17239</v>
      </c>
      <c r="AR8307" s="1" t="str">
        <f t="shared" si="522"/>
        <v>| [ㄒㄩ](ㄒㄩ.md) | [訏](訏.md) |  | xū | [形]
1.詭詐。《說文解字．言部》：「訏，詭訛也。」
2.大。《廣韻．平聲．虞韻》：「訏，大也。」《詩經．鄭風．溱洧》：「洧之外，洵訏且樂。」
[名]
誇大的言論。明．張自烈《正字通．言部》：「訏，大言也。」 |</v>
      </c>
    </row>
    <row r="8308" spans="1:44" hidden="1">
      <c r="A8308" s="1" t="s">
        <v>17240</v>
      </c>
      <c r="C8308" s="1">
        <v>1</v>
      </c>
      <c r="D8308" s="1" t="str">
        <f>"07265"</f>
        <v>07265</v>
      </c>
      <c r="E8308" s="1" t="s">
        <v>4785</v>
      </c>
      <c r="F8308" s="1">
        <v>6</v>
      </c>
      <c r="G8308" s="1">
        <v>2</v>
      </c>
      <c r="H8308" s="1">
        <v>0</v>
      </c>
      <c r="I8308" s="1" t="s">
        <v>17228</v>
      </c>
      <c r="K8308" s="1" t="str">
        <f t="shared" si="524"/>
        <v>ㄒ</v>
      </c>
      <c r="L8308" s="1" t="str">
        <f t="shared" si="525"/>
        <v>ㄩ</v>
      </c>
      <c r="M8308" s="1" t="str">
        <f t="shared" si="523"/>
        <v/>
      </c>
      <c r="P8308" s="1" t="s">
        <v>20</v>
      </c>
      <c r="R8308" s="1" t="s">
        <v>17229</v>
      </c>
      <c r="V8308" s="1" t="s">
        <v>17241</v>
      </c>
      <c r="AR8308" s="1" t="str">
        <f t="shared" si="522"/>
        <v>| [ㄒㄩ](ㄒㄩ.md) | [戌](戌.md) |  | xū | [名]
1.地支的第十一位。
2.時辰名。約當晚上七時到九時。 |</v>
      </c>
    </row>
    <row r="8309" spans="1:44" hidden="1">
      <c r="A8309" s="1" t="s">
        <v>17242</v>
      </c>
      <c r="C8309" s="1">
        <v>1</v>
      </c>
      <c r="D8309" s="1" t="str">
        <f>"07266"</f>
        <v>07266</v>
      </c>
      <c r="E8309" s="1" t="s">
        <v>1908</v>
      </c>
      <c r="F8309" s="1">
        <v>9</v>
      </c>
      <c r="G8309" s="1">
        <v>5</v>
      </c>
      <c r="H8309" s="1">
        <v>0</v>
      </c>
      <c r="I8309" s="1" t="s">
        <v>17228</v>
      </c>
      <c r="K8309" s="1" t="str">
        <f t="shared" si="524"/>
        <v>ㄒ</v>
      </c>
      <c r="L8309" s="1" t="str">
        <f t="shared" si="525"/>
        <v>ㄩ</v>
      </c>
      <c r="M8309" s="1" t="str">
        <f t="shared" si="523"/>
        <v/>
      </c>
      <c r="P8309" s="1" t="s">
        <v>20</v>
      </c>
      <c r="R8309" s="1" t="s">
        <v>17229</v>
      </c>
      <c r="V8309" s="1" t="s">
        <v>17243</v>
      </c>
      <c r="AR8309" s="1" t="str">
        <f t="shared" si="522"/>
        <v>| [ㄒㄩ](ㄒㄩ.md) | [欨](欨.md) |  | xū | [動]
吹氣。《說文解字．欠部》：「欨，吹也。」
[形]
欣喜。《文選．嵇康．琴賦》：「其康樂者聞之，則欨愉懽釋，抃舞踊溢。」 |</v>
      </c>
    </row>
    <row r="8310" spans="1:44" hidden="1">
      <c r="A8310" s="1" t="s">
        <v>17244</v>
      </c>
      <c r="C8310" s="1">
        <v>1</v>
      </c>
      <c r="D8310" s="1" t="str">
        <f>"07267"</f>
        <v>07267</v>
      </c>
      <c r="E8310" s="1" t="s">
        <v>68</v>
      </c>
      <c r="F8310" s="1">
        <v>9</v>
      </c>
      <c r="G8310" s="1">
        <v>5</v>
      </c>
      <c r="H8310" s="1">
        <v>0</v>
      </c>
      <c r="I8310" s="1" t="s">
        <v>17228</v>
      </c>
      <c r="K8310" s="1" t="str">
        <f t="shared" si="524"/>
        <v>ㄒ</v>
      </c>
      <c r="L8310" s="1" t="str">
        <f t="shared" si="525"/>
        <v>ㄩ</v>
      </c>
      <c r="M8310" s="1" t="str">
        <f t="shared" si="523"/>
        <v/>
      </c>
      <c r="P8310" s="1" t="s">
        <v>20</v>
      </c>
      <c r="R8310" s="1" t="s">
        <v>17229</v>
      </c>
      <c r="V8310" s="1" t="s">
        <v>17245</v>
      </c>
      <c r="AR8310" s="1" t="str">
        <f t="shared" si="522"/>
        <v>| [ㄒㄩ](ㄒㄩ.md) | [胥](胥.md) |  | xū | [名]
1.古代掌管捉捕盜賊的官，後泛指小吏。如：「胥吏」。唐．柳宗元〈封建論〉：「是故有里胥而後有縣大夫。」宋．梅堯臣〈田家語〉詩：「里胥扣我門，日夕苦煎促。」
2.姓。如春秋時晉有胥甲。
[動]
1.等待。《孟子．萬章上》：「帝將胥天下而遷之焉。」《史記．卷四十三．趙世家》：「左師觸龍言願見太后，太后盛氣而胥之。」
2.視察。《詩經．大雅．公劉》：「于胥斯原，既庶既繁。」
[副]
1.相、互相。《書經．大誥》：「惟大艱人，誕鄰胥伐于厥室。」《公羊傳．桓公三年》：「胥命者何？相命也。」
2.皆、都。《詩經．小雅．角弓》：「爾之教矣，民胥傚矣。」南朝梁．劉勰《文心雕龍．原道》：「天文斯觀，民胥以傚。」
[助]
語末助詞。表示語氣。《詩經．大雅．韓奕》：「籩豆有且，侯氏燕胥。」 |</v>
      </c>
    </row>
    <row r="8311" spans="1:44" hidden="1">
      <c r="A8311" s="1" t="s">
        <v>17246</v>
      </c>
      <c r="C8311" s="1">
        <v>1</v>
      </c>
      <c r="D8311" s="1" t="str">
        <f>"07268"</f>
        <v>07268</v>
      </c>
      <c r="E8311" s="1" t="s">
        <v>24</v>
      </c>
      <c r="F8311" s="1">
        <v>12</v>
      </c>
      <c r="G8311" s="1">
        <v>9</v>
      </c>
      <c r="H8311" s="1">
        <v>0</v>
      </c>
      <c r="I8311" s="1" t="s">
        <v>17228</v>
      </c>
      <c r="K8311" s="1" t="str">
        <f t="shared" si="524"/>
        <v>ㄒ</v>
      </c>
      <c r="L8311" s="1" t="str">
        <f t="shared" si="525"/>
        <v>ㄩ</v>
      </c>
      <c r="M8311" s="1" t="str">
        <f t="shared" si="523"/>
        <v/>
      </c>
      <c r="P8311" s="1" t="s">
        <v>20</v>
      </c>
      <c r="R8311" s="1" t="s">
        <v>17229</v>
      </c>
      <c r="V8311" s="1" t="s">
        <v>17247</v>
      </c>
      <c r="AR8311" s="1" t="str">
        <f t="shared" si="522"/>
        <v>| [ㄒㄩ](ㄒㄩ.md) | [揟](揟.md) |  | xū | [動]
濾除水中雜質。《說文解字．手部》：「揟，取水沮也。」清．段玉裁．注：「沮，今之渣字……取水渣者，必浚之漉之，如釃酒然。」 |</v>
      </c>
    </row>
    <row r="8312" spans="1:44" hidden="1">
      <c r="A8312" s="1" t="s">
        <v>17248</v>
      </c>
      <c r="C8312" s="1">
        <v>1</v>
      </c>
      <c r="D8312" s="1" t="str">
        <f>"07269"</f>
        <v>07269</v>
      </c>
      <c r="E8312" s="1" t="s">
        <v>139</v>
      </c>
      <c r="F8312" s="1">
        <v>13</v>
      </c>
      <c r="G8312" s="1">
        <v>9</v>
      </c>
      <c r="H8312" s="1">
        <v>0</v>
      </c>
      <c r="I8312" s="1" t="s">
        <v>17228</v>
      </c>
      <c r="K8312" s="1" t="str">
        <f t="shared" si="524"/>
        <v>ㄒ</v>
      </c>
      <c r="L8312" s="1" t="str">
        <f t="shared" si="525"/>
        <v>ㄩ</v>
      </c>
      <c r="M8312" s="1" t="str">
        <f t="shared" si="523"/>
        <v/>
      </c>
      <c r="P8312" s="1" t="s">
        <v>20</v>
      </c>
      <c r="R8312" s="1" t="s">
        <v>17229</v>
      </c>
      <c r="V8312" s="1" t="s">
        <v>17249</v>
      </c>
      <c r="AR8312" s="1" t="str">
        <f t="shared" si="522"/>
        <v>| [ㄒㄩ](ㄒㄩ.md) | [楈](楈.md) |  | xū | 參見「楈枒」條。 |</v>
      </c>
    </row>
    <row r="8313" spans="1:44" hidden="1">
      <c r="A8313" s="1" t="s">
        <v>17250</v>
      </c>
      <c r="C8313" s="1">
        <v>1</v>
      </c>
      <c r="D8313" s="1" t="str">
        <f>"07270"</f>
        <v>07270</v>
      </c>
      <c r="E8313" s="1" t="s">
        <v>429</v>
      </c>
      <c r="F8313" s="1">
        <v>14</v>
      </c>
      <c r="G8313" s="1">
        <v>9</v>
      </c>
      <c r="H8313" s="1">
        <v>0</v>
      </c>
      <c r="I8313" s="1" t="s">
        <v>17228</v>
      </c>
      <c r="K8313" s="1" t="str">
        <f t="shared" si="524"/>
        <v>ㄒ</v>
      </c>
      <c r="L8313" s="1" t="str">
        <f t="shared" si="525"/>
        <v>ㄩ</v>
      </c>
      <c r="M8313" s="1" t="str">
        <f t="shared" si="523"/>
        <v/>
      </c>
      <c r="P8313" s="1" t="s">
        <v>20</v>
      </c>
      <c r="R8313" s="1" t="s">
        <v>17229</v>
      </c>
      <c r="V8313" s="1" t="s">
        <v>17251</v>
      </c>
      <c r="AR8313" s="1" t="str">
        <f t="shared" si="522"/>
        <v>| [ㄒㄩ](ㄒㄩ.md) | [稰](稰.md) |  | xū | [名]
晚熟的稻。《字彙．禾部》：「稰，熟穫曰稰，即今晚稻。」《禮記．內則》：「稻、粱、白黍、黃粱、稰、穛。」漢．鄭玄．注：「熟穫曰稰，生穫曰穛。」 |</v>
      </c>
    </row>
    <row r="8314" spans="1:44" hidden="1">
      <c r="A8314" s="1" t="s">
        <v>17252</v>
      </c>
      <c r="C8314" s="1">
        <v>1</v>
      </c>
      <c r="D8314" s="1" t="str">
        <f>"07271"</f>
        <v>07271</v>
      </c>
      <c r="E8314" s="1" t="s">
        <v>660</v>
      </c>
      <c r="F8314" s="1">
        <v>12</v>
      </c>
      <c r="G8314" s="1">
        <v>6</v>
      </c>
      <c r="H8314" s="1">
        <v>0</v>
      </c>
      <c r="I8314" s="1" t="s">
        <v>17228</v>
      </c>
      <c r="K8314" s="1" t="str">
        <f t="shared" si="524"/>
        <v>ㄒ</v>
      </c>
      <c r="L8314" s="1" t="str">
        <f t="shared" si="525"/>
        <v>ㄩ</v>
      </c>
      <c r="M8314" s="1" t="str">
        <f t="shared" si="523"/>
        <v/>
      </c>
      <c r="P8314" s="1" t="s">
        <v>20</v>
      </c>
      <c r="R8314" s="1" t="s">
        <v>17229</v>
      </c>
      <c r="V8314" s="1" t="s">
        <v>17253</v>
      </c>
      <c r="AR8314" s="1" t="str">
        <f t="shared" si="522"/>
        <v>| [ㄒㄩ](ㄒㄩ.md) | [虛](虛.md) |  | xū | [名]
1.大丘、土山。通「墟」。《說文解字．丘部》：「虛，大丘也。」《詩經．鄘風．定之方中》：「升彼虛矣，以望楚矣。」
2.空間、處所。《莊子．秋水》：「井蛙不可以語於海者，拘於虛也。」
3.孔穴、空隙。《淮南子．氾論》：「若循虛而出入，則亦無能履也。」漢．高誘．注：「虛，孔竅也。」
4.弱勢。如：「趁虛而入。」
5.天空。唐．劉禹錫〈八月十五日夜桃源玩月〉詩：「碧虛無雲風不起，山上長松山下水。」宋．蘇軾〈赤壁賦〉：「浩浩乎如馮虛御風，而不知其所止。」
6.方位。《易經．繫辭下》：「為道也屢遷，變動不居，周流六虛。」
7.星宿名。二十八星宿之一，為北方玄武七宿的第四宿。
8.星官名，虛宿之首，由兩顆星組成，在西方分屬寶瓶與小馬座。《晉書．卷一一．天文志上》：「虛二星，冢宰之官也，主北方邑居廟堂祭祀祝禱事，又主死喪哭泣。」
[動]
空缺、空出。如：「虛位以待」。《史記．卷七七．魏公子列傳》：「公子從車騎，虛左，自迎夷門侯生。」唐．李商隱〈賈生〉詩：「可憐夜半虛前席，不問蒼生問鬼神。」
[形]
1.空。如：「盈虛」、「空虛」。唐．姚合〈莊居野行〉詩：「我倉常空虛，我田生蒺藜。」
2.不自滿、不驕傲。如：「虛心」、「虛懷若谷」。《晉書．卷五八．列傳．周訪》：「性謙虛，未嘗論功伐。」
3.衰弱。如：「氣虛」、「身體虛弱」、「她的身子很虛。」
4.不真實的。如：「虛名」。唐．白居易〈長恨歌〉：「忽聞海上有仙山，山在虛無縹緲間。」
5.心愧氣餒而膽怯。如：「膽虛」、「作賊心虛。」
[副]
白白的、空的、徒然。如：「彈無虛發」、「虛晃一招」。唐．李商隱〈安定城樓〉詩：「賈生年少虛垂淚，王粲春來更遠遊。」 |</v>
      </c>
    </row>
    <row r="8315" spans="1:44" hidden="1">
      <c r="A8315" s="1" t="s">
        <v>17254</v>
      </c>
      <c r="C8315" s="1">
        <v>1</v>
      </c>
      <c r="D8315" s="1" t="str">
        <f>"07272"</f>
        <v>07272</v>
      </c>
      <c r="E8315" s="1" t="s">
        <v>132</v>
      </c>
      <c r="F8315" s="1">
        <v>15</v>
      </c>
      <c r="G8315" s="1">
        <v>12</v>
      </c>
      <c r="H8315" s="1">
        <v>0</v>
      </c>
      <c r="I8315" s="1" t="s">
        <v>17228</v>
      </c>
      <c r="K8315" s="1" t="str">
        <f t="shared" si="524"/>
        <v>ㄒ</v>
      </c>
      <c r="L8315" s="1" t="str">
        <f t="shared" si="525"/>
        <v>ㄩ</v>
      </c>
      <c r="M8315" s="1" t="str">
        <f t="shared" si="523"/>
        <v/>
      </c>
      <c r="P8315" s="1" t="s">
        <v>20</v>
      </c>
      <c r="R8315" s="1" t="s">
        <v>17229</v>
      </c>
      <c r="V8315" s="1" t="s">
        <v>17255</v>
      </c>
      <c r="AR8315" s="1" t="str">
        <f t="shared" si="522"/>
        <v>| [ㄒㄩ](ㄒㄩ.md) | [墟](墟.md) |  | xū | [名]
1.大土堆。《孔子家語．卷六．執轡》：「墟土之人大，沙土之人細。」唐．韓愈〈圬者王承福傳〉：「有一至者焉，又往過之，則為墟矣。」
2.荒廢的城市、村落。如：「廢墟」、「殷墟」。《戰國策．齊策六》：「破燕兵，復齊墟。」明．梅鼎祚《玉合記》第二十七齣：「閭里成墟，門庭易主。」
3.泛指村莊、村落。晉．陶淵明〈歸園田居〉詩五首之一：「曖曖遠人村，依依墟里煙。」唐．王維〈渭川田家〉詩：「斜光照墟落，窮巷牛羊歸。」
4.農村定期的市集。如：「牛墟」、「趕墟」。
[動]
毀滅。《史記．卷四十一．越王句踐世家》：「王不聽諫，後三年吳其墟乎！」 |</v>
      </c>
    </row>
    <row r="8316" spans="1:44" hidden="1">
      <c r="A8316" s="1" t="s">
        <v>17256</v>
      </c>
      <c r="C8316" s="1">
        <v>1</v>
      </c>
      <c r="D8316" s="1" t="str">
        <f>"07273"</f>
        <v>07273</v>
      </c>
      <c r="E8316" s="1" t="s">
        <v>28</v>
      </c>
      <c r="F8316" s="1">
        <v>15</v>
      </c>
      <c r="G8316" s="1">
        <v>12</v>
      </c>
      <c r="H8316" s="1">
        <v>0</v>
      </c>
      <c r="I8316" s="1" t="s">
        <v>17228</v>
      </c>
      <c r="K8316" s="1" t="str">
        <f t="shared" si="524"/>
        <v>ㄒ</v>
      </c>
      <c r="L8316" s="1" t="str">
        <f t="shared" si="525"/>
        <v>ㄩ</v>
      </c>
      <c r="M8316" s="1" t="str">
        <f t="shared" si="523"/>
        <v/>
      </c>
      <c r="P8316" s="1" t="s">
        <v>20</v>
      </c>
      <c r="R8316" s="1" t="s">
        <v>17229</v>
      </c>
      <c r="V8316" s="1" t="s">
        <v>17257</v>
      </c>
      <c r="AR8316" s="1" t="str">
        <f t="shared" si="522"/>
        <v>| [ㄒㄩ](ㄒㄩ.md) | [噓](噓.md) |  | xū | [動]
1.緩緩吐氣。《莊子．齊物論》：「南郭子綦隱机而坐，仰天而噓。」唐．韓愈〈雜說〉：「龍，噓氣成雲，雲固弗靈於龍也。」
2.嘆氣、感嘆。如：「唏噓不已」。
3.讚美、稱讚。如：「自我吹噓」。
4.問候。如：「噓寒問暖」。
5.被火或熱氣熏炙。如：「小心！別噓著手了。」
[形]
鄙斥或警惕的。如：「噓聲四起」。
[歎]
表示制止或驅逐的意思。如：「噓！別出聲。」 |</v>
      </c>
    </row>
    <row r="8317" spans="1:44" hidden="1">
      <c r="A8317" s="1" t="s">
        <v>17258</v>
      </c>
      <c r="C8317" s="1">
        <v>1</v>
      </c>
      <c r="D8317" s="1" t="str">
        <f>"07274"</f>
        <v>07274</v>
      </c>
      <c r="E8317" s="1" t="s">
        <v>1908</v>
      </c>
      <c r="F8317" s="1">
        <v>16</v>
      </c>
      <c r="G8317" s="1">
        <v>12</v>
      </c>
      <c r="H8317" s="1">
        <v>0</v>
      </c>
      <c r="I8317" s="1" t="s">
        <v>17228</v>
      </c>
      <c r="K8317" s="1" t="str">
        <f t="shared" si="524"/>
        <v>ㄒ</v>
      </c>
      <c r="L8317" s="1" t="str">
        <f t="shared" si="525"/>
        <v>ㄩ</v>
      </c>
      <c r="M8317" s="1" t="str">
        <f t="shared" si="523"/>
        <v/>
      </c>
      <c r="P8317" s="1" t="s">
        <v>20</v>
      </c>
      <c r="R8317" s="1" t="s">
        <v>17229</v>
      </c>
      <c r="V8317" s="1" t="s">
        <v>17259</v>
      </c>
      <c r="AR8317" s="1" t="str">
        <f t="shared" si="522"/>
        <v>| [ㄒㄩ](ㄒㄩ.md) | [歔](歔.md) |  | xū | [動]
1.張口或由鼻孔出氣。《老子》第二十九章：「故物或行或隨，或歔或吹。」
2.嘆息、抽氣。唐．杜甫〈羌村〉詩：「鄰人滿牆頭，感歎亦歔欷。」 |</v>
      </c>
    </row>
    <row r="8318" spans="1:44" hidden="1">
      <c r="A8318" s="1" t="s">
        <v>17260</v>
      </c>
      <c r="C8318" s="1">
        <v>1</v>
      </c>
      <c r="D8318" s="1" t="str">
        <f>"07275"</f>
        <v>07275</v>
      </c>
      <c r="E8318" s="1" t="s">
        <v>684</v>
      </c>
      <c r="F8318" s="1">
        <v>12</v>
      </c>
      <c r="G8318" s="1">
        <v>3</v>
      </c>
      <c r="H8318" s="1">
        <v>0</v>
      </c>
      <c r="I8318" s="1" t="s">
        <v>17228</v>
      </c>
      <c r="K8318" s="1" t="str">
        <f t="shared" si="524"/>
        <v>ㄒ</v>
      </c>
      <c r="L8318" s="1" t="str">
        <f t="shared" si="525"/>
        <v>ㄩ</v>
      </c>
      <c r="M8318" s="1" t="str">
        <f t="shared" si="523"/>
        <v/>
      </c>
      <c r="P8318" s="1" t="s">
        <v>20</v>
      </c>
      <c r="R8318" s="1" t="s">
        <v>17229</v>
      </c>
      <c r="V8318" s="1" t="s">
        <v>17261</v>
      </c>
      <c r="AR8318" s="1" t="str">
        <f t="shared" si="522"/>
        <v>| [ㄒㄩ](ㄒㄩ.md) | [須](須.md) |  | xū | [名]_x000D_
1.生在下巴的鬍子。後泛指鬍鬚、動物的觸鬚。通「鬚」。《說文解字．須部》：「須，頤下毛也。」《漢書．卷一．高帝紀上》：「高祖為人，隆準而龍顏，美須髯。」漢．司馬相如〈子虛賦〉：「乘彫玉之輿，靡魚須之橈旃。」宋．黃庭堅〈南安巖主定應大師真贊〉：「白帽素履，須髮皤皤。壽八十二，與世同波。」_x000D_
2.片刻、短暫的時間。《荀子．王制》：「賢能不待次而舉，罷不能不待須而廢。」《禮記．中庸》：「道也者，不可須臾離也。」三國魏．曹植〈贈白馬王彪〉詩：「變故在斯須，百年誰能持？」_x000D_
3.姓。如戰國時魏有須賈。_x000D_
[動]_x000D_
1.等待。《左傳．成公二年》：「師敗矣，子不少須，眾懼盡。」《後漢書．卷四七．班梁列傳．班超》：「長史亦於此西歸，可須夜鼓聲而發。」_x000D_
2.遲緩、延緩。《荀子．禮論》：「故天子七月，諸侯五月，大夫三月，皆使其須足以容事。」王先謙集解引王引之曰：「須者，遲也，《論語》：『樊須字遲』。其期使足以容事也。」_x000D_
3.需要、需求。《韓非子．解老》：「夫君子取情而去貌，好質而惡飾。夫恃貌而論情者，其情惡也；須飾而論質者，其質衰也。」唐．杜甫〈客從〉詩：「緘之篋笥久，以俟公家須。」_x000D_
4.止。《書經．五子之歌．序》：「太康失邦，昆弟五人，須於洛汭。」清．孫星衍．注：「須，馬云：『止也。』」_x000D_
5.用。漢．王充《論衡．自紀》：「且禮有所不待，事有所不須。」宋．蘇軾〈與范子豐〉詩六首之六：「昏嫁所須，不可奈何。」_x000D_
6.是。宋．王安石〈見鸚鵡戲作〉詩：「直須強學人間語，舉世無人解鳥言。」元．王實甫《麗春堂》第二折：「我與那左丞相是兄弟，我和你須叔姪。」_x000D_
[副]_x000D_
1.應當、一定、必要。唐．李白〈將進酒〉：「人生得意須盡歡，莫使金樽空對月。」唐．杜甫〈聞官軍收河南河北〉詩：「白日放歌須縱酒，青春作伴好還鄉。」_x000D_
2.終究。唐．王建〈歲晚自感〉詩：「一向破除愁不盡，百方回避老須來。」宋．楊萬里〈前苦寒歌〉：「勸君莫出君須出，冰脫君髯折君骨。」_x000D_
3.可、可是。表示加強語氣。《水滸傳》第二一回：「我須不曾冤你做賊。」《二刻拍案驚奇》卷二九：「我須不識字，寫不得。」_x000D_
4.大概。《董西廂》卷一：「聞說貴州天下沒，有甚希奇景物？你須知處。」_x000D_
[連]_x000D_
但，但是。表示轉折。宋．朱敦儒〈水調歌頭．中秋一輪月〉詞：「都緣人意，須道今夕別般明。」《三國演義》第五二回：「今公子在江夏，須不在這裡。」 |</v>
      </c>
    </row>
    <row r="8319" spans="1:44" hidden="1">
      <c r="A8319" s="1" t="s">
        <v>17262</v>
      </c>
      <c r="C8319" s="1">
        <v>1</v>
      </c>
      <c r="D8319" s="1" t="str">
        <f>"07276"</f>
        <v>07276</v>
      </c>
      <c r="E8319" s="1" t="s">
        <v>534</v>
      </c>
      <c r="F8319" s="1">
        <v>15</v>
      </c>
      <c r="G8319" s="1">
        <v>12</v>
      </c>
      <c r="H8319" s="1">
        <v>0</v>
      </c>
      <c r="I8319" s="1" t="s">
        <v>17228</v>
      </c>
      <c r="K8319" s="1" t="str">
        <f t="shared" si="524"/>
        <v>ㄒ</v>
      </c>
      <c r="L8319" s="1" t="str">
        <f t="shared" si="525"/>
        <v>ㄩ</v>
      </c>
      <c r="M8319" s="1" t="str">
        <f t="shared" si="523"/>
        <v/>
      </c>
      <c r="P8319" s="1" t="s">
        <v>20</v>
      </c>
      <c r="R8319" s="1" t="s">
        <v>17229</v>
      </c>
      <c r="V8319" s="1" t="s">
        <v>17263</v>
      </c>
      <c r="AR8319" s="1" t="str">
        <f t="shared" si="522"/>
        <v>| [ㄒㄩ](ㄒㄩ.md) | [嬃](嬃.md) |  | xū | [名]
古時楚人對姊姊的稱呼。《楚辭．屈原．離騷》：「女嬃之嬋媛兮，申申其詈予。」漢．王逸．注：「女嬃，屈原姊也。」 |</v>
      </c>
    </row>
    <row r="8320" spans="1:44" hidden="1">
      <c r="A8320" s="1" t="s">
        <v>17264</v>
      </c>
      <c r="C8320" s="1">
        <v>1</v>
      </c>
      <c r="D8320" s="1" t="str">
        <f>"07277"</f>
        <v>07277</v>
      </c>
      <c r="E8320" s="1" t="s">
        <v>1078</v>
      </c>
      <c r="F8320" s="1">
        <v>22</v>
      </c>
      <c r="G8320" s="1">
        <v>12</v>
      </c>
      <c r="H8320" s="1">
        <v>0</v>
      </c>
      <c r="I8320" s="1" t="s">
        <v>17228</v>
      </c>
      <c r="K8320" s="1" t="str">
        <f t="shared" si="524"/>
        <v>ㄒ</v>
      </c>
      <c r="L8320" s="1" t="str">
        <f t="shared" si="525"/>
        <v>ㄩ</v>
      </c>
      <c r="M8320" s="1" t="str">
        <f t="shared" si="523"/>
        <v/>
      </c>
      <c r="P8320" s="1" t="s">
        <v>20</v>
      </c>
      <c r="R8320" s="1" t="s">
        <v>17229</v>
      </c>
      <c r="V8320" s="1" t="s">
        <v>17265</v>
      </c>
      <c r="AR8320" s="1" t="str">
        <f t="shared" si="522"/>
        <v>| [ㄒㄩ](ㄒㄩ.md) | [鬚](鬚.md) |  | xū | [名]
1.生在下巴或嘴邊的毛。如：「鬍鬚」、「捋鬚」、「鬚髯」。唐．李華〈弔古戰場文〉：「積雪沒脛，堅冰在鬚。」元．劉時中〈端正好．既官府甚清明套．六煞〉：「常想著半江春水翻風浪，愁得一夜秋霜染鬢鬚。」
2.動物的觸鬚。如：「羊鬚」、「鼠鬚」、「捋虎鬚」。唐．韓偓〈已涼〉詩：「八尺龍鬚方錦褥，已涼天氣未寒時。」
3.植物的芒、花蕊或細根。如：「參鬚」、「花鬚」。晉．潘岳〈芙蓉賦〉：「丹煇拂紅，飛鬚垂的。」
[形]
疏細像鬚的。如：「鬚根」。 |</v>
      </c>
    </row>
    <row r="8321" spans="1:44" hidden="1">
      <c r="A8321" s="1" t="s">
        <v>17266</v>
      </c>
      <c r="C8321" s="1">
        <v>1</v>
      </c>
      <c r="D8321" s="1" t="str">
        <f>"07278"</f>
        <v>07278</v>
      </c>
      <c r="E8321" s="1" t="s">
        <v>125</v>
      </c>
      <c r="F8321" s="1">
        <v>14</v>
      </c>
      <c r="G8321" s="1">
        <v>6</v>
      </c>
      <c r="H8321" s="1">
        <v>1</v>
      </c>
      <c r="I8321" s="1" t="s">
        <v>17228</v>
      </c>
      <c r="K8321" s="1" t="str">
        <f t="shared" si="524"/>
        <v>ㄒ</v>
      </c>
      <c r="L8321" s="1" t="str">
        <f t="shared" si="525"/>
        <v>ㄩ</v>
      </c>
      <c r="M8321" s="1" t="str">
        <f t="shared" si="523"/>
        <v/>
      </c>
      <c r="P8321" s="1" t="s">
        <v>20</v>
      </c>
      <c r="R8321" s="1" t="s">
        <v>17229</v>
      </c>
      <c r="V8321" s="1" t="s">
        <v>17267</v>
      </c>
      <c r="W8321" s="1" t="s">
        <v>17268</v>
      </c>
      <c r="AR8321" s="1" t="str">
        <f t="shared" si="522"/>
        <v>| [ㄒㄩ](ㄒㄩ.md) | [需](需.md) |  | xū | [動]_x000D_
1.等待。《說文解字．雨部》：「需，䇓也。」清．段玉裁．注：「䇓者，待也。」《易經．需卦．象曰》：「需于郊，不犯難行也。」_x000D_
2.有所欲求。如：「需求」、「需索」、「需要」。_x000D_
3.對事物有所欲求。清．李漁《閒情偶寄．卷一三．種植部．藤本．素馨》：「素馨一種，花之最弱者也，無一枝一莖不需扶植，予嘗謂之『可憐花』。」《文明小史》第一回：「他見我們地方官以禮相待，就是有點需索。」_x000D_
[名]_x000D_
1.遲疑。《左傳．哀公四年》：「需，事之賊也。」晉．杜預．注：「言需疑則害事。」南朝梁．劉勰《文心雕龍．附會》：「率故多尤，需為事賊。」_x000D_
2.費用、給用。《三國演義》第一三回：「糧食軍需，謹當應付。」《文明小史》第五一回：「饒鴻生卻毫不介意，趕著寫信到家裡匯出二萬銀子，以備路上不時之需。」_x000D_
3.《易經》卦名。六十四卦之一。乾（☰）下坎（☵）上。象有險在前，需待乃進之義。 |</v>
      </c>
    </row>
    <row r="8322" spans="1:44" hidden="1">
      <c r="A8322" s="1" t="s">
        <v>17269</v>
      </c>
      <c r="C8322" s="1">
        <v>1</v>
      </c>
      <c r="D8322" s="1" t="str">
        <f>"07279"</f>
        <v>07279</v>
      </c>
      <c r="E8322" s="1" t="s">
        <v>725</v>
      </c>
      <c r="F8322" s="1">
        <v>20</v>
      </c>
      <c r="G8322" s="1">
        <v>14</v>
      </c>
      <c r="H8322" s="1">
        <v>1</v>
      </c>
      <c r="I8322" s="1" t="s">
        <v>17228</v>
      </c>
      <c r="K8322" s="1" t="str">
        <f t="shared" si="524"/>
        <v>ㄒ</v>
      </c>
      <c r="L8322" s="1" t="str">
        <f t="shared" si="525"/>
        <v>ㄩ</v>
      </c>
      <c r="M8322" s="1" t="str">
        <f t="shared" si="523"/>
        <v/>
      </c>
      <c r="P8322" s="1" t="s">
        <v>20</v>
      </c>
      <c r="R8322" s="1" t="s">
        <v>17229</v>
      </c>
      <c r="V8322" s="1" t="s">
        <v>17270</v>
      </c>
      <c r="W8322" s="1" t="s">
        <v>17271</v>
      </c>
      <c r="AR8322" s="1" t="str">
        <f t="shared" si="522"/>
        <v>| [ㄒㄩ](ㄒㄩ.md) | [繻](繻.md) |  | xū | [名]
1.彩色的絲織品。《說文解字．糸部》：「繻，繒采色也。」
2.精緻細密的絲織品。《抱朴子．外篇．疾謬》：「舉足不離綺繻紈褲之側，游步不去勢利酒客之門。」
3.古代以割裂的繻，作為出入關隘的憑證。《漢書．卷六十四．終軍傳下》：「步入關，關吏予軍繻。」顏師古注引蘇林曰：「繻，帛邊也。舊關出入皆以傳，傳須（煩），因裂繻頭合以為符信也。」唐．元稹〈奉和權相公行次臨闕驛逢鄭僕射相公歸朝俄頃分途因以奉贈詩十四韻〉：「棧閣纔傾蓋，關門已合繻。」 |</v>
      </c>
    </row>
    <row r="8323" spans="1:44" hidden="1">
      <c r="A8323" s="1" t="s">
        <v>17272</v>
      </c>
      <c r="C8323" s="1">
        <v>1</v>
      </c>
      <c r="D8323" s="1" t="str">
        <f>"07280"</f>
        <v>07280</v>
      </c>
      <c r="E8323" s="1" t="s">
        <v>28</v>
      </c>
      <c r="F8323" s="1">
        <v>14</v>
      </c>
      <c r="G8323" s="1">
        <v>11</v>
      </c>
      <c r="H8323" s="1">
        <v>4</v>
      </c>
      <c r="I8323" s="1" t="s">
        <v>17228</v>
      </c>
      <c r="K8323" s="1" t="str">
        <f t="shared" si="524"/>
        <v>ㄒ</v>
      </c>
      <c r="L8323" s="1" t="str">
        <f t="shared" si="525"/>
        <v>ㄩ</v>
      </c>
      <c r="M8323" s="1" t="str">
        <f t="shared" si="523"/>
        <v/>
      </c>
      <c r="P8323" s="1" t="s">
        <v>20</v>
      </c>
      <c r="R8323" s="1" t="s">
        <v>17229</v>
      </c>
      <c r="V8323" s="1" t="s">
        <v>17273</v>
      </c>
      <c r="W8323" s="1" t="s">
        <v>17274</v>
      </c>
      <c r="AR8323" s="1" t="str">
        <f t="shared" ref="AR8323:AR8386" si="526">"| ["&amp;I8323&amp;"]("&amp;I8323&amp;".md) | ["&amp;A8323&amp;"]("&amp;A8323&amp;".md) | "&amp;" | "&amp;R8323&amp;" | "&amp;V8323&amp;" |"</f>
        <v>| [ㄒㄩ](ㄒㄩ.md) | [嘔](嘔.md) |  | xū | [動]
張口呵氣使溫暖。通「煦」。《文選．揚雄．劇秦美新》：「玄黃剖判，上下相嘔。」
[形]
參見「嘔嘔」條。 |</v>
      </c>
    </row>
    <row r="8324" spans="1:44" hidden="1">
      <c r="A8324" s="1" t="s">
        <v>16157</v>
      </c>
      <c r="C8324" s="1">
        <v>1</v>
      </c>
      <c r="D8324" s="1" t="str">
        <f>"07281"</f>
        <v>07281</v>
      </c>
      <c r="E8324" s="1" t="s">
        <v>139</v>
      </c>
      <c r="F8324" s="1">
        <v>16</v>
      </c>
      <c r="G8324" s="1">
        <v>12</v>
      </c>
      <c r="H8324" s="1">
        <v>2</v>
      </c>
      <c r="I8324" s="1" t="s">
        <v>17228</v>
      </c>
      <c r="K8324" s="1" t="str">
        <f t="shared" si="524"/>
        <v>ㄒ</v>
      </c>
      <c r="L8324" s="1" t="str">
        <f t="shared" si="525"/>
        <v>ㄩ</v>
      </c>
      <c r="M8324" s="1" t="str">
        <f t="shared" si="523"/>
        <v/>
      </c>
      <c r="P8324" s="1" t="s">
        <v>110</v>
      </c>
      <c r="R8324" s="1" t="s">
        <v>17229</v>
      </c>
      <c r="V8324" s="1" t="s">
        <v>111</v>
      </c>
      <c r="W8324" s="1" t="s">
        <v>17275</v>
      </c>
      <c r="AR8324" s="1" t="str">
        <f t="shared" si="526"/>
        <v>| [ㄒㄩ](ㄒㄩ.md) | [樨](樨.md) |  | xū | (一)之又音。 |</v>
      </c>
    </row>
    <row r="8325" spans="1:44" hidden="1">
      <c r="A8325" s="1" t="s">
        <v>17276</v>
      </c>
      <c r="C8325" s="1">
        <v>1</v>
      </c>
      <c r="D8325" s="1" t="str">
        <f>"07282"</f>
        <v>07282</v>
      </c>
      <c r="E8325" s="1" t="s">
        <v>331</v>
      </c>
      <c r="F8325" s="1">
        <v>18</v>
      </c>
      <c r="G8325" s="1">
        <v>11</v>
      </c>
      <c r="H8325" s="1">
        <v>2</v>
      </c>
      <c r="I8325" s="1" t="s">
        <v>17228</v>
      </c>
      <c r="K8325" s="1" t="str">
        <f t="shared" si="524"/>
        <v>ㄒ</v>
      </c>
      <c r="L8325" s="1" t="str">
        <f t="shared" si="525"/>
        <v>ㄩ</v>
      </c>
      <c r="M8325" s="1" t="str">
        <f t="shared" si="523"/>
        <v/>
      </c>
      <c r="P8325" s="1" t="s">
        <v>20</v>
      </c>
      <c r="R8325" s="1" t="s">
        <v>17229</v>
      </c>
      <c r="V8325" s="1" t="s">
        <v>17277</v>
      </c>
      <c r="W8325" s="1" t="s">
        <v>17278</v>
      </c>
      <c r="AR8325" s="1" t="str">
        <f t="shared" si="526"/>
        <v>| [ㄒㄩ](ㄒㄩ.md) | [謣](謣.md) |  | xū | 參見「輿謣」條。 |</v>
      </c>
    </row>
    <row r="8326" spans="1:44" hidden="1">
      <c r="A8326" s="1" t="s">
        <v>16379</v>
      </c>
      <c r="C8326" s="1">
        <v>1</v>
      </c>
      <c r="D8326" s="1" t="str">
        <f>"06882"</f>
        <v>06882</v>
      </c>
      <c r="E8326" s="1" t="s">
        <v>28</v>
      </c>
      <c r="F8326" s="1">
        <v>7</v>
      </c>
      <c r="G8326" s="1">
        <v>4</v>
      </c>
      <c r="H8326" s="1">
        <v>2</v>
      </c>
      <c r="I8326" s="1" t="s">
        <v>16380</v>
      </c>
      <c r="K8326" s="1" t="str">
        <f t="shared" si="524"/>
        <v>ㄒ</v>
      </c>
      <c r="L8326" s="1" t="str">
        <f t="shared" si="525"/>
        <v>ㄧ</v>
      </c>
      <c r="M8326" s="1" t="str">
        <f t="shared" si="523"/>
        <v>ㄚ</v>
      </c>
      <c r="P8326" s="1" t="s">
        <v>20</v>
      </c>
      <c r="R8326" s="1" t="s">
        <v>16381</v>
      </c>
      <c r="V8326" s="1" t="s">
        <v>16382</v>
      </c>
      <c r="W8326" s="1" t="s">
        <v>16383</v>
      </c>
      <c r="AR8326" s="1" t="str">
        <f t="shared" si="526"/>
        <v>| [ㄒㄧㄚ](ㄒㄧㄚ.md) | [呀](呀.md) |  | xiā | [形]
1.張口的樣子。唐．韓愈〈月蝕詩〉：「月蝕于汝頭，汝口開呀呀。」
2.空闊的。唐．孟郊〈石淙〉詩一〇首之四：「磴雪入呀谷，掬星灑遙天。」 |</v>
      </c>
    </row>
    <row r="8327" spans="1:44" hidden="1">
      <c r="A8327" s="1" t="s">
        <v>16384</v>
      </c>
      <c r="C8327" s="1">
        <v>1</v>
      </c>
      <c r="D8327" s="1" t="str">
        <f>"06883"</f>
        <v>06883</v>
      </c>
      <c r="E8327" s="1" t="s">
        <v>190</v>
      </c>
      <c r="F8327" s="1">
        <v>7</v>
      </c>
      <c r="G8327" s="1">
        <v>4</v>
      </c>
      <c r="H8327" s="1">
        <v>0</v>
      </c>
      <c r="I8327" s="1" t="s">
        <v>16380</v>
      </c>
      <c r="K8327" s="1" t="str">
        <f t="shared" si="524"/>
        <v>ㄒ</v>
      </c>
      <c r="L8327" s="1" t="str">
        <f t="shared" si="525"/>
        <v>ㄧ</v>
      </c>
      <c r="M8327" s="1" t="str">
        <f t="shared" si="523"/>
        <v>ㄚ</v>
      </c>
      <c r="P8327" s="1" t="s">
        <v>20</v>
      </c>
      <c r="R8327" s="1" t="s">
        <v>16381</v>
      </c>
      <c r="V8327" s="1" t="s">
        <v>16385</v>
      </c>
      <c r="AR8327" s="1" t="str">
        <f t="shared" si="526"/>
        <v>| [ㄒㄧㄚ](ㄒㄧㄚ.md) | [岈](岈.md) |  | xiā | 1.山谷深邃的樣子。明．烏斯道〈愛山水軒記〉：「蒿目而坐，矯首而思，則見夫岈而有容，隆而可陟，窅而莫窮。」_x000D_
2.山勢高聳的樣子。元．郝經〈蘆臺記〉：「建康諸山，隔江岈出，參差披拂，雲容水影，閃鑠蕩漾。」明．唐桂芳〈三峰精舍記〉：「前列三峰，岈互起伏，故榜曰『三峰精舍』，用懷吾先父兄焉。」 |</v>
      </c>
    </row>
    <row r="8328" spans="1:44" hidden="1">
      <c r="A8328" s="1" t="s">
        <v>11486</v>
      </c>
      <c r="C8328" s="1">
        <v>1</v>
      </c>
      <c r="D8328" s="1" t="str">
        <f>"06884"</f>
        <v>06884</v>
      </c>
      <c r="E8328" s="1" t="s">
        <v>679</v>
      </c>
      <c r="F8328" s="1">
        <v>15</v>
      </c>
      <c r="G8328" s="1">
        <v>9</v>
      </c>
      <c r="H8328" s="1">
        <v>1</v>
      </c>
      <c r="I8328" s="1" t="s">
        <v>16380</v>
      </c>
      <c r="K8328" s="1" t="str">
        <f t="shared" si="524"/>
        <v>ㄒ</v>
      </c>
      <c r="L8328" s="1" t="str">
        <f t="shared" si="525"/>
        <v>ㄧ</v>
      </c>
      <c r="M8328" s="1" t="str">
        <f t="shared" si="523"/>
        <v>ㄚ</v>
      </c>
      <c r="P8328" s="1" t="s">
        <v>20</v>
      </c>
      <c r="R8328" s="1" t="s">
        <v>16381</v>
      </c>
      <c r="V8328" s="1" t="s">
        <v>16386</v>
      </c>
      <c r="W8328" s="1" t="s">
        <v>16387</v>
      </c>
      <c r="AR8328" s="1" t="str">
        <f t="shared" si="526"/>
        <v>| [ㄒㄧㄚ](ㄒㄧㄚ.md) | [蝦](蝦.md) |  | xiā | [名]
動物名。節肢動物門甲殼綱。長尾，分頭、胸、腹三部，頭部有長短兩對觸鬚；胸部有步腳五對；腹部狹長分為數個環節，每一環節有橈腳一對，供游泳之用。生活於水中，種類頗多，均可食。俗稱為「蝦子」。 |</v>
      </c>
    </row>
    <row r="8329" spans="1:44" hidden="1">
      <c r="A8329" s="1" t="s">
        <v>16388</v>
      </c>
      <c r="C8329" s="1">
        <v>1</v>
      </c>
      <c r="D8329" s="1" t="str">
        <f>"06885"</f>
        <v>06885</v>
      </c>
      <c r="E8329" s="1" t="s">
        <v>1015</v>
      </c>
      <c r="F8329" s="1">
        <v>15</v>
      </c>
      <c r="G8329" s="1">
        <v>10</v>
      </c>
      <c r="H8329" s="1">
        <v>0</v>
      </c>
      <c r="I8329" s="1" t="s">
        <v>16380</v>
      </c>
      <c r="K8329" s="1" t="str">
        <f t="shared" si="524"/>
        <v>ㄒ</v>
      </c>
      <c r="L8329" s="1" t="str">
        <f t="shared" si="525"/>
        <v>ㄧ</v>
      </c>
      <c r="M8329" s="1" t="str">
        <f t="shared" si="523"/>
        <v>ㄚ</v>
      </c>
      <c r="P8329" s="1" t="s">
        <v>20</v>
      </c>
      <c r="R8329" s="1" t="s">
        <v>16381</v>
      </c>
      <c r="V8329" s="1" t="s">
        <v>16389</v>
      </c>
      <c r="AR8329" s="1" t="str">
        <f t="shared" si="526"/>
        <v>| [ㄒㄧㄚ](ㄒㄧㄚ.md) | [瞎](瞎.md) |  | xiā | [動]
眼睛失去視力，看不見。如：「眼瞎了。」
[形]
眼睛看不見的。如：「瞎貓碰上死耗子。」
[名]
目盲、失明的人。唐．孟郊〈寄張籍〉詩：「西明寺後窮瞎張太祝，縱爾有眼誰爾珍。」
[副]
胡亂、盲目。如：「瞎扯」、「瞎操心」、「瞎搞一場」。《儒林外史》第一七回：「接過詩來，雖然不懂，做看完了，瞎贊一回。」《紅樓夢》第七回：「沒良心的忘八羔子！瞎充管家！」 |</v>
      </c>
    </row>
    <row r="8330" spans="1:44" hidden="1">
      <c r="A8330" s="1" t="s">
        <v>16390</v>
      </c>
      <c r="C8330" s="1">
        <v>1</v>
      </c>
      <c r="D8330" s="1" t="str">
        <f>"06886"</f>
        <v>06886</v>
      </c>
      <c r="E8330" s="1" t="s">
        <v>3892</v>
      </c>
      <c r="F8330" s="1">
        <v>7</v>
      </c>
      <c r="G8330" s="1">
        <v>5</v>
      </c>
      <c r="H8330" s="1">
        <v>0</v>
      </c>
      <c r="I8330" s="1" t="s">
        <v>16391</v>
      </c>
      <c r="K8330" s="1" t="str">
        <f t="shared" si="524"/>
        <v>ㄒ</v>
      </c>
      <c r="L8330" s="1" t="str">
        <f t="shared" si="525"/>
        <v>ㄧ</v>
      </c>
      <c r="M8330" s="1" t="str">
        <f t="shared" si="523"/>
        <v>ㄚ</v>
      </c>
      <c r="P8330" s="1" t="s">
        <v>20</v>
      </c>
      <c r="R8330" s="1" t="s">
        <v>16392</v>
      </c>
      <c r="V8330" s="1" t="s">
        <v>16393</v>
      </c>
      <c r="AR8330" s="1" t="str">
        <f t="shared" si="526"/>
        <v>| [ㄒㄧㄚˊ](ㄒㄧㄚˊ.md) | [匣](匣.md) |  | xiá | [名]
1.收藏器物的小箱子。如：「木匣」、「鏡匣」。《戰國策．燕策三》：「荊軻奉樊於期頭函，而秦舞陽奉地圖匣，以次進。」宋．陸游〈長歌行〉：「國讎未報壯士老，匣中寶劍夜有聲。」
2.牢籠、囚牢。通「柙」。《五代史平話．梁史．卷上》：「（朱溫）被地分投解徐州，送左獄禁勘，恰與劉文政同匣。是夜三更，風雨驟作，溫打開匣，脫了枷，同那劉文政躍身從氣樓走出。」 |</v>
      </c>
    </row>
    <row r="8331" spans="1:44" hidden="1">
      <c r="A8331" s="1" t="s">
        <v>16394</v>
      </c>
      <c r="C8331" s="1">
        <v>1</v>
      </c>
      <c r="D8331" s="1" t="str">
        <f>"06887"</f>
        <v>06887</v>
      </c>
      <c r="E8331" s="1" t="s">
        <v>28</v>
      </c>
      <c r="F8331" s="1">
        <v>8</v>
      </c>
      <c r="G8331" s="1">
        <v>5</v>
      </c>
      <c r="H8331" s="1">
        <v>0</v>
      </c>
      <c r="I8331" s="1" t="s">
        <v>16391</v>
      </c>
      <c r="K8331" s="1" t="str">
        <f t="shared" si="524"/>
        <v>ㄒ</v>
      </c>
      <c r="L8331" s="1" t="str">
        <f t="shared" si="525"/>
        <v>ㄧ</v>
      </c>
      <c r="M8331" s="1" t="str">
        <f t="shared" si="523"/>
        <v>ㄚ</v>
      </c>
      <c r="P8331" s="1" t="s">
        <v>20</v>
      </c>
      <c r="R8331" s="1" t="s">
        <v>16392</v>
      </c>
      <c r="V8331" s="1" t="s">
        <v>16395</v>
      </c>
      <c r="AR8331" s="1" t="str">
        <f t="shared" si="526"/>
        <v>| [ㄒㄧㄚˊ](ㄒㄧㄚˊ.md) | [呷](呷.md) |  | xiá | [動]
喝、飲。如：「呷茶」。宋．鄭震〈飲馬長城窟〉詩：「朝呷一口水，暮破千重關。」《儒林外史》第二〇回：「勉強呷了兩口湯，仍舊面朝床裡睡下。」 |</v>
      </c>
    </row>
    <row r="8332" spans="1:44" hidden="1">
      <c r="A8332" s="1" t="s">
        <v>16396</v>
      </c>
      <c r="C8332" s="1">
        <v>1</v>
      </c>
      <c r="D8332" s="1" t="str">
        <f>"06888"</f>
        <v>06888</v>
      </c>
      <c r="E8332" s="1" t="s">
        <v>198</v>
      </c>
      <c r="F8332" s="1">
        <v>8</v>
      </c>
      <c r="G8332" s="1">
        <v>5</v>
      </c>
      <c r="H8332" s="1">
        <v>0</v>
      </c>
      <c r="I8332" s="1" t="s">
        <v>16391</v>
      </c>
      <c r="K8332" s="1" t="str">
        <f t="shared" si="524"/>
        <v>ㄒ</v>
      </c>
      <c r="L8332" s="1" t="str">
        <f t="shared" si="525"/>
        <v>ㄧ</v>
      </c>
      <c r="M8332" s="1" t="str">
        <f t="shared" si="523"/>
        <v>ㄚ</v>
      </c>
      <c r="P8332" s="1" t="s">
        <v>20</v>
      </c>
      <c r="R8332" s="1" t="s">
        <v>16392</v>
      </c>
      <c r="V8332" s="1" t="s">
        <v>16397</v>
      </c>
      <c r="AR8332" s="1" t="str">
        <f t="shared" si="526"/>
        <v>| [ㄒㄧㄚˊ](ㄒㄧㄚˊ.md) | [狎](狎.md) |  | xiá | [動]_x000D_
1.親近。如：「狎昵」。《禮記．曲禮上》：「賢者，狎而敬之，畏而愛之。」三國魏．曹植〈贈丁翼〉詩：「我豈狎異人，朋友與我俱。」_x000D_
2.熟習、習慣。《國語．周語中》：「未狎君政，故未承命。」宋．蘇軾〈八月十五日看潮五絕〉五首之四：「吳兒生長狎濤淵，冒利輕生不自憐。」_x000D_
3.輕慢、輕忽。如：「狎侮」。《左傳．昭公二十年》：「水懦弱，民狎而翫之，則多死焉。」《論語．季氏》：「狎大人，侮聖人之言。」_x000D_
4.戲弄、嬉戲。如：「狎妓」。《左傳．襄公六年》：「宋華弱與樂轡少相狎。」唐．柳宗元〈三戒．臨江之麋〉：「麋麑稍大，忘己之麋也，以為犬良我友，抵觸偃仆益狎。」 |</v>
      </c>
    </row>
    <row r="8333" spans="1:44" hidden="1">
      <c r="A8333" s="1" t="s">
        <v>16398</v>
      </c>
      <c r="C8333" s="1">
        <v>1</v>
      </c>
      <c r="D8333" s="1" t="str">
        <f>"06889"</f>
        <v>06889</v>
      </c>
      <c r="E8333" s="1" t="s">
        <v>139</v>
      </c>
      <c r="F8333" s="1">
        <v>9</v>
      </c>
      <c r="G8333" s="1">
        <v>5</v>
      </c>
      <c r="H8333" s="1">
        <v>0</v>
      </c>
      <c r="I8333" s="1" t="s">
        <v>16391</v>
      </c>
      <c r="K8333" s="1" t="str">
        <f t="shared" si="524"/>
        <v>ㄒ</v>
      </c>
      <c r="L8333" s="1" t="str">
        <f t="shared" si="525"/>
        <v>ㄧ</v>
      </c>
      <c r="M8333" s="1" t="str">
        <f t="shared" si="523"/>
        <v>ㄚ</v>
      </c>
      <c r="P8333" s="1" t="s">
        <v>20</v>
      </c>
      <c r="R8333" s="1" t="s">
        <v>16392</v>
      </c>
      <c r="V8333" s="1" t="s">
        <v>16399</v>
      </c>
      <c r="AR8333" s="1" t="str">
        <f t="shared" si="526"/>
        <v>| [ㄒㄧㄚˊ](ㄒㄧㄚˊ.md) | [柙](柙.md) |  | xiá | [名]
1.關獸畜的檻籠。《說文解字．木部》：「柙，檻也，所以臧虎兕也。」《論語．季氏》：「虎兕出於柙，龜玉毀於櫝中。」
2.箱子。通「匣」。《漢書．卷一二．平帝紀》：「乙未，義陵寑神衣在柙中。」唐．顏師古．注：「柙，匱也。」
[動]
將犯人關在囚車押送。《管子．小匡》：「於是魯君乃不殺，遂生束縛而柙以予齊。」 |</v>
      </c>
    </row>
    <row r="8334" spans="1:44" hidden="1">
      <c r="A8334" s="1" t="s">
        <v>16400</v>
      </c>
      <c r="C8334" s="1">
        <v>1</v>
      </c>
      <c r="D8334" s="1" t="str">
        <f>"06890"</f>
        <v>06890</v>
      </c>
      <c r="E8334" s="1" t="s">
        <v>256</v>
      </c>
      <c r="F8334" s="1">
        <v>7</v>
      </c>
      <c r="G8334" s="1">
        <v>4</v>
      </c>
      <c r="H8334" s="1">
        <v>2</v>
      </c>
      <c r="I8334" s="1" t="s">
        <v>16391</v>
      </c>
      <c r="K8334" s="1" t="str">
        <f t="shared" si="524"/>
        <v>ㄒ</v>
      </c>
      <c r="L8334" s="1" t="str">
        <f t="shared" si="525"/>
        <v>ㄧ</v>
      </c>
      <c r="M8334" s="1" t="str">
        <f t="shared" si="523"/>
        <v>ㄚ</v>
      </c>
      <c r="P8334" s="1" t="s">
        <v>110</v>
      </c>
      <c r="R8334" s="1" t="s">
        <v>16392</v>
      </c>
      <c r="V8334" s="1" t="s">
        <v>111</v>
      </c>
      <c r="W8334" s="1" t="s">
        <v>16401</v>
      </c>
      <c r="AR8334" s="1" t="str">
        <f t="shared" si="526"/>
        <v>| [ㄒㄧㄚˊ](ㄒㄧㄚˊ.md) | [邪](邪.md) |  | xiá | (一)之又音。 |</v>
      </c>
    </row>
    <row r="8335" spans="1:44" hidden="1">
      <c r="A8335" s="1" t="s">
        <v>15126</v>
      </c>
      <c r="C8335" s="1">
        <v>1</v>
      </c>
      <c r="D8335" s="1" t="str">
        <f>"06891"</f>
        <v>06891</v>
      </c>
      <c r="E8335" s="1" t="s">
        <v>129</v>
      </c>
      <c r="F8335" s="1">
        <v>9</v>
      </c>
      <c r="G8335" s="1">
        <v>6</v>
      </c>
      <c r="H8335" s="1">
        <v>2</v>
      </c>
      <c r="I8335" s="1" t="s">
        <v>16391</v>
      </c>
      <c r="K8335" s="1" t="str">
        <f t="shared" si="524"/>
        <v>ㄒ</v>
      </c>
      <c r="L8335" s="1" t="str">
        <f t="shared" si="525"/>
        <v>ㄧ</v>
      </c>
      <c r="M8335" s="1" t="str">
        <f t="shared" si="523"/>
        <v>ㄚ</v>
      </c>
      <c r="P8335" s="1" t="s">
        <v>110</v>
      </c>
      <c r="R8335" s="1" t="s">
        <v>16392</v>
      </c>
      <c r="V8335" s="1" t="s">
        <v>111</v>
      </c>
      <c r="W8335" s="1" t="s">
        <v>16402</v>
      </c>
      <c r="AR8335" s="1" t="str">
        <f t="shared" si="526"/>
        <v>| [ㄒㄧㄚˊ](ㄒㄧㄚˊ.md) | [洽](洽.md) |  | xiá | (一)之又音。 |</v>
      </c>
    </row>
    <row r="8336" spans="1:44" hidden="1">
      <c r="A8336" s="1" t="s">
        <v>16403</v>
      </c>
      <c r="C8336" s="1">
        <v>1</v>
      </c>
      <c r="D8336" s="1" t="str">
        <f>"06892"</f>
        <v>06892</v>
      </c>
      <c r="E8336" s="1" t="s">
        <v>139</v>
      </c>
      <c r="F8336" s="1">
        <v>10</v>
      </c>
      <c r="G8336" s="1">
        <v>6</v>
      </c>
      <c r="H8336" s="1">
        <v>0</v>
      </c>
      <c r="I8336" s="1" t="s">
        <v>16391</v>
      </c>
      <c r="K8336" s="1" t="str">
        <f t="shared" si="524"/>
        <v>ㄒ</v>
      </c>
      <c r="L8336" s="1" t="str">
        <f t="shared" si="525"/>
        <v>ㄧ</v>
      </c>
      <c r="M8336" s="1" t="str">
        <f t="shared" si="523"/>
        <v>ㄚ</v>
      </c>
      <c r="P8336" s="1" t="s">
        <v>20</v>
      </c>
      <c r="R8336" s="1" t="s">
        <v>16392</v>
      </c>
      <c r="V8336" s="1" t="s">
        <v>16404</v>
      </c>
      <c r="AR8336" s="1" t="str">
        <f t="shared" si="526"/>
        <v>| [ㄒㄧㄚˊ](ㄒㄧㄚˊ.md) | [㭘](㭘.md) |  | xiá | [名]
劍匣、劍鞘。《說文解字．木部》：「㭘，劍柙也。」清．王念孫《廣雅疏證．卷八上．釋器》：「㭘，劍削也。」疏證：「凡刀劍室通謂之削，字或作鞘。」 |</v>
      </c>
    </row>
    <row r="8337" spans="1:44" hidden="1">
      <c r="A8337" s="1" t="s">
        <v>16405</v>
      </c>
      <c r="C8337" s="1">
        <v>1</v>
      </c>
      <c r="D8337" s="1" t="str">
        <f>"06893"</f>
        <v>06893</v>
      </c>
      <c r="E8337" s="1" t="s">
        <v>825</v>
      </c>
      <c r="F8337" s="1">
        <v>11</v>
      </c>
      <c r="G8337" s="1">
        <v>6</v>
      </c>
      <c r="H8337" s="1">
        <v>0</v>
      </c>
      <c r="I8337" s="1" t="s">
        <v>16391</v>
      </c>
      <c r="K8337" s="1" t="str">
        <f t="shared" si="524"/>
        <v>ㄒ</v>
      </c>
      <c r="L8337" s="1" t="str">
        <f t="shared" si="525"/>
        <v>ㄧ</v>
      </c>
      <c r="M8337" s="1" t="str">
        <f t="shared" si="523"/>
        <v>ㄚ</v>
      </c>
      <c r="P8337" s="1" t="s">
        <v>20</v>
      </c>
      <c r="R8337" s="1" t="s">
        <v>16392</v>
      </c>
      <c r="V8337" s="1" t="s">
        <v>16406</v>
      </c>
      <c r="AR8337" s="1" t="str">
        <f t="shared" si="526"/>
        <v>| [ㄒㄧㄚˊ](ㄒㄧㄚˊ.md) | [祫](祫.md) |  | xiá | [名]
古代在太廟中合祭遠近祖先的祭祀，每三年舉行一次。《說文解字．示部》：「祫，大合祭先祖親疏遠近也。《周禮》曰：『三歲一祫。』」《公羊傳．文公二年》：「大祫者何？合祭也。」 |</v>
      </c>
    </row>
    <row r="8338" spans="1:44" hidden="1">
      <c r="A8338" s="1" t="s">
        <v>13273</v>
      </c>
      <c r="C8338" s="1">
        <v>1</v>
      </c>
      <c r="D8338" s="1" t="str">
        <f>"06894"</f>
        <v>06894</v>
      </c>
      <c r="E8338" s="1" t="s">
        <v>114</v>
      </c>
      <c r="F8338" s="1">
        <v>9</v>
      </c>
      <c r="G8338" s="1">
        <v>7</v>
      </c>
      <c r="H8338" s="1">
        <v>1</v>
      </c>
      <c r="I8338" s="1" t="s">
        <v>16391</v>
      </c>
      <c r="K8338" s="1" t="str">
        <f t="shared" si="524"/>
        <v>ㄒ</v>
      </c>
      <c r="L8338" s="1" t="str">
        <f t="shared" si="525"/>
        <v>ㄧ</v>
      </c>
      <c r="M8338" s="1" t="str">
        <f t="shared" si="523"/>
        <v>ㄚ</v>
      </c>
      <c r="P8338" s="1" t="s">
        <v>20</v>
      </c>
      <c r="R8338" s="1" t="s">
        <v>16392</v>
      </c>
      <c r="V8338" s="1" t="s">
        <v>16407</v>
      </c>
      <c r="W8338" s="1" t="s">
        <v>16408</v>
      </c>
      <c r="AR8338" s="1" t="str">
        <f t="shared" si="526"/>
        <v>| [ㄒㄧㄚˊ](ㄒㄧㄚˊ.md) | [俠](俠.md) |  | xiá | [名]
1.見義勇為、抑強扶弱的人。如：「豪俠」、「游俠」。《史記．卷一二四．游俠傳．序》：「匹夫之俠，湮滅不見。」《新唐書．卷八四．李密傳》：「任城大俠徐師仁來歸。」
2.見義勇為的事。如：「行俠仗義」。《文選．王僧達．和琅邪王依古詩》：「少年好馳俠，旅宦遊關源。」
3.姓。如戰國時韓國有俠累。
[形]
濟弱抑強、見義勇為的。如：「俠義」、「俠客」、「俠氣」、「俠骨柔情」。 |</v>
      </c>
    </row>
    <row r="8339" spans="1:44" hidden="1">
      <c r="A8339" s="1" t="s">
        <v>13278</v>
      </c>
      <c r="C8339" s="1">
        <v>1</v>
      </c>
      <c r="D8339" s="1" t="str">
        <f>"06895"</f>
        <v>06895</v>
      </c>
      <c r="E8339" s="1" t="s">
        <v>24</v>
      </c>
      <c r="F8339" s="1">
        <v>10</v>
      </c>
      <c r="G8339" s="1">
        <v>7</v>
      </c>
      <c r="H8339" s="1">
        <v>2</v>
      </c>
      <c r="I8339" s="1" t="s">
        <v>16391</v>
      </c>
      <c r="K8339" s="1" t="str">
        <f t="shared" si="524"/>
        <v>ㄒ</v>
      </c>
      <c r="L8339" s="1" t="str">
        <f t="shared" si="525"/>
        <v>ㄧ</v>
      </c>
      <c r="M8339" s="1" t="str">
        <f t="shared" si="523"/>
        <v>ㄚ</v>
      </c>
      <c r="P8339" s="1" t="s">
        <v>110</v>
      </c>
      <c r="R8339" s="1" t="s">
        <v>16392</v>
      </c>
      <c r="V8339" s="1" t="s">
        <v>111</v>
      </c>
      <c r="W8339" s="1" t="s">
        <v>16409</v>
      </c>
      <c r="AR8339" s="1" t="str">
        <f t="shared" si="526"/>
        <v>| [ㄒㄧㄚˊ](ㄒㄧㄚˊ.md) | [挾](挾.md) |  | xiá | (一)之又音。 |</v>
      </c>
    </row>
    <row r="8340" spans="1:44" hidden="1">
      <c r="A8340" s="1" t="s">
        <v>16410</v>
      </c>
      <c r="C8340" s="1">
        <v>1</v>
      </c>
      <c r="D8340" s="1" t="str">
        <f>"06896"</f>
        <v>06896</v>
      </c>
      <c r="E8340" s="1" t="s">
        <v>190</v>
      </c>
      <c r="F8340" s="1">
        <v>10</v>
      </c>
      <c r="G8340" s="1">
        <v>7</v>
      </c>
      <c r="H8340" s="1">
        <v>0</v>
      </c>
      <c r="I8340" s="1" t="s">
        <v>16391</v>
      </c>
      <c r="K8340" s="1" t="str">
        <f t="shared" si="524"/>
        <v>ㄒ</v>
      </c>
      <c r="L8340" s="1" t="str">
        <f t="shared" si="525"/>
        <v>ㄧ</v>
      </c>
      <c r="M8340" s="1" t="str">
        <f t="shared" si="523"/>
        <v>ㄚ</v>
      </c>
      <c r="P8340" s="1" t="s">
        <v>20</v>
      </c>
      <c r="R8340" s="1" t="s">
        <v>16392</v>
      </c>
      <c r="V8340" s="1" t="s">
        <v>16411</v>
      </c>
      <c r="AR8340" s="1" t="str">
        <f t="shared" si="526"/>
        <v>| [ㄒㄧㄚˊ](ㄒㄧㄚˊ.md) | [峽](峽.md) |  | xiá | [名]
1.兩山所夾的狹長水道。多用於地名。如：「三峽」、「巫峽」、「瞿塘峽」。唐．杜甫〈季秋蘇五弟纓江樓夜宴崔十二評事韋少府姪〉詩三首之一：「峽險江驚急，樓高月迥明。」
2.兩山之間。如：「巴拿馬地峽」。《淮南子．原道》：「逍遙于廣澤之中，而仿洋于山峽之旁。」唐．王維〈桃源行〉：「峽裡誰知有人事？世中遙望空雲山。」
3.陸塊之間的狹長海道。如：「臺灣海峽」、「英吉利海峽」、「直布羅陀海峽」。 |</v>
      </c>
    </row>
    <row r="8341" spans="1:44" hidden="1">
      <c r="A8341" s="1" t="s">
        <v>16412</v>
      </c>
      <c r="C8341" s="1">
        <v>1</v>
      </c>
      <c r="D8341" s="1" t="str">
        <f>"06897"</f>
        <v>06897</v>
      </c>
      <c r="E8341" s="1" t="s">
        <v>198</v>
      </c>
      <c r="F8341" s="1">
        <v>10</v>
      </c>
      <c r="G8341" s="1">
        <v>7</v>
      </c>
      <c r="H8341" s="1">
        <v>0</v>
      </c>
      <c r="I8341" s="1" t="s">
        <v>16391</v>
      </c>
      <c r="K8341" s="1" t="str">
        <f t="shared" si="524"/>
        <v>ㄒ</v>
      </c>
      <c r="L8341" s="1" t="str">
        <f t="shared" si="525"/>
        <v>ㄧ</v>
      </c>
      <c r="M8341" s="1" t="str">
        <f t="shared" si="523"/>
        <v>ㄚ</v>
      </c>
      <c r="P8341" s="1" t="s">
        <v>20</v>
      </c>
      <c r="R8341" s="1" t="s">
        <v>16392</v>
      </c>
      <c r="V8341" s="1" t="s">
        <v>16413</v>
      </c>
      <c r="AR8341" s="1" t="str">
        <f t="shared" si="526"/>
        <v>| [ㄒㄧㄚˊ](ㄒㄧㄚˊ.md) | [狹](狹.md) |  | xiá | [形]
1.窄小、不寬廣。如：「狹窄」、「地狹人稠」、「狹路相逢」。《史記．卷五三．蕭相世家》：「長安地狹，上林中多空地。」
2.小、少。《史記．卷一二六．滑稽傳．淳于髡傳》：「臣見其所持者狹，而所欲者奢，故笑之。」 |</v>
      </c>
    </row>
    <row r="8342" spans="1:44" hidden="1">
      <c r="A8342" s="1" t="s">
        <v>16414</v>
      </c>
      <c r="C8342" s="1">
        <v>1</v>
      </c>
      <c r="D8342" s="1" t="str">
        <f>"06898"</f>
        <v>06898</v>
      </c>
      <c r="E8342" s="1" t="s">
        <v>691</v>
      </c>
      <c r="F8342" s="1">
        <v>10</v>
      </c>
      <c r="G8342" s="1">
        <v>7</v>
      </c>
      <c r="H8342" s="1">
        <v>0</v>
      </c>
      <c r="I8342" s="1" t="s">
        <v>16391</v>
      </c>
      <c r="K8342" s="1" t="str">
        <f t="shared" si="524"/>
        <v>ㄒ</v>
      </c>
      <c r="L8342" s="1" t="str">
        <f t="shared" si="525"/>
        <v>ㄧ</v>
      </c>
      <c r="M8342" s="1" t="str">
        <f t="shared" si="523"/>
        <v>ㄚ</v>
      </c>
      <c r="P8342" s="1" t="s">
        <v>20</v>
      </c>
      <c r="R8342" s="1" t="s">
        <v>16392</v>
      </c>
      <c r="V8342" s="1" t="s">
        <v>16415</v>
      </c>
      <c r="AR8342" s="1" t="str">
        <f t="shared" si="526"/>
        <v>| [ㄒㄧㄚˊ](ㄒㄧㄚˊ.md) | [陜](陜.md) |  | xiá | [形]
窄、不寬廣。同「狹」。《說文解字．𨸏部》：「陜，隘也。」《史記．卷六五．孫子吳起傳》：「馬陵道陜，而旁多阻隘，可伏兵。」唐．柳宗元〈永州龍興室東邱記〉：「水亭陜室，曲有奧趣。」 |</v>
      </c>
    </row>
    <row r="8343" spans="1:44" hidden="1">
      <c r="A8343" s="1" t="s">
        <v>16416</v>
      </c>
      <c r="C8343" s="1">
        <v>1</v>
      </c>
      <c r="D8343" s="1" t="str">
        <f>"06899"</f>
        <v>06899</v>
      </c>
      <c r="E8343" s="1" t="s">
        <v>169</v>
      </c>
      <c r="F8343" s="1">
        <v>12</v>
      </c>
      <c r="G8343" s="1">
        <v>7</v>
      </c>
      <c r="H8343" s="1">
        <v>0</v>
      </c>
      <c r="I8343" s="1" t="s">
        <v>16391</v>
      </c>
      <c r="K8343" s="1" t="str">
        <f t="shared" si="524"/>
        <v>ㄒ</v>
      </c>
      <c r="L8343" s="1" t="str">
        <f t="shared" si="525"/>
        <v>ㄧ</v>
      </c>
      <c r="M8343" s="1" t="str">
        <f t="shared" si="523"/>
        <v>ㄚ</v>
      </c>
      <c r="P8343" s="1" t="s">
        <v>20</v>
      </c>
      <c r="R8343" s="1" t="s">
        <v>16392</v>
      </c>
      <c r="V8343" s="1" t="s">
        <v>16417</v>
      </c>
      <c r="AR8343" s="1" t="str">
        <f t="shared" si="526"/>
        <v>| [ㄒㄧㄚˊ](ㄒㄧㄚˊ.md) | [硤](硤.md) |  | xiá | [名]
1.兩山之間的溪谷。同「峽」。唐．杜甫〈鐵堂峽〉詩：「硤形藏堂隍，壁色立積鐵。」
2.參見「硤石鎮」條。
[形]
狹窄。通「狹」。《淮南子．兵略》：「硤路津關，大山名塞。」 |</v>
      </c>
    </row>
    <row r="8344" spans="1:44" hidden="1">
      <c r="A8344" s="1" t="s">
        <v>16418</v>
      </c>
      <c r="C8344" s="1">
        <v>1</v>
      </c>
      <c r="D8344" s="1" t="str">
        <f>"06900"</f>
        <v>06900</v>
      </c>
      <c r="E8344" s="1" t="s">
        <v>4869</v>
      </c>
      <c r="F8344" s="1">
        <v>11</v>
      </c>
      <c r="G8344" s="1">
        <v>7</v>
      </c>
      <c r="H8344" s="1">
        <v>2</v>
      </c>
      <c r="I8344" s="1" t="s">
        <v>16391</v>
      </c>
      <c r="K8344" s="1" t="str">
        <f t="shared" si="524"/>
        <v>ㄒ</v>
      </c>
      <c r="L8344" s="1" t="str">
        <f t="shared" si="525"/>
        <v>ㄧ</v>
      </c>
      <c r="M8344" s="1" t="str">
        <f t="shared" si="523"/>
        <v>ㄚ</v>
      </c>
      <c r="P8344" s="1" t="s">
        <v>110</v>
      </c>
      <c r="R8344" s="1" t="s">
        <v>16392</v>
      </c>
      <c r="V8344" s="1" t="s">
        <v>111</v>
      </c>
      <c r="W8344" s="1" t="s">
        <v>16419</v>
      </c>
      <c r="AR8344" s="1" t="str">
        <f t="shared" si="526"/>
        <v>| [ㄒㄧㄚˊ](ㄒㄧㄚˊ.md) | [斜](斜.md) |  | xiá | (一)之又音。 |</v>
      </c>
    </row>
    <row r="8345" spans="1:44" hidden="1">
      <c r="A8345" s="1" t="s">
        <v>16420</v>
      </c>
      <c r="C8345" s="1">
        <v>1</v>
      </c>
      <c r="D8345" s="1" t="str">
        <f>"06901"</f>
        <v>06901</v>
      </c>
      <c r="E8345" s="1" t="s">
        <v>142</v>
      </c>
      <c r="F8345" s="1">
        <v>13</v>
      </c>
      <c r="G8345" s="1">
        <v>9</v>
      </c>
      <c r="H8345" s="1">
        <v>0</v>
      </c>
      <c r="I8345" s="1" t="s">
        <v>16391</v>
      </c>
      <c r="K8345" s="1" t="str">
        <f t="shared" si="524"/>
        <v>ㄒ</v>
      </c>
      <c r="L8345" s="1" t="str">
        <f t="shared" si="525"/>
        <v>ㄧ</v>
      </c>
      <c r="M8345" s="1" t="str">
        <f t="shared" si="523"/>
        <v>ㄚ</v>
      </c>
      <c r="P8345" s="1" t="s">
        <v>20</v>
      </c>
      <c r="R8345" s="1" t="s">
        <v>16392</v>
      </c>
      <c r="V8345" s="1" t="s">
        <v>16421</v>
      </c>
      <c r="AR8345" s="1" t="str">
        <f t="shared" si="526"/>
        <v>| [ㄒㄧㄚˊ](ㄒㄧㄚˊ.md) | [瑕](瑕.md) |  | xiá | [名]
1.玉上的斑點。如：「白璧無瑕」、「瑕不掩瑜」。《史記．卷八一．廉頗藺相如傳》：「璧有瑕，請指示王。」元．鄭光祖《倩女離魂》第二折：「玩冰壺瀲灩天上下，似一片碧玉無瑕。」
2.過失、缺點。晉．庾亮〈讓中書監表〉：「苟無大瑕，猶或見容。」唐．陳章甫〈與吏部孫員外書〉：「不以小瑕棄大美。」
3.間隙、空隙。《管子．制分》：「故凡用兵書，攻堅則軔，乘瑕則神。」《西遊記》第五五回：「行者自門瑕處鑽將進去。」 |</v>
      </c>
    </row>
    <row r="8346" spans="1:44" hidden="1">
      <c r="A8346" s="1" t="s">
        <v>16422</v>
      </c>
      <c r="C8346" s="1">
        <v>1</v>
      </c>
      <c r="D8346" s="1" t="str">
        <f>"06902"</f>
        <v>06902</v>
      </c>
      <c r="E8346" s="1" t="s">
        <v>646</v>
      </c>
      <c r="F8346" s="1">
        <v>13</v>
      </c>
      <c r="G8346" s="1">
        <v>9</v>
      </c>
      <c r="H8346" s="1">
        <v>1</v>
      </c>
      <c r="I8346" s="1" t="s">
        <v>16391</v>
      </c>
      <c r="K8346" s="1" t="str">
        <f t="shared" si="524"/>
        <v>ㄒ</v>
      </c>
      <c r="L8346" s="1" t="str">
        <f t="shared" si="525"/>
        <v>ㄧ</v>
      </c>
      <c r="M8346" s="1" t="str">
        <f t="shared" si="523"/>
        <v>ㄚ</v>
      </c>
      <c r="P8346" s="1" t="s">
        <v>20</v>
      </c>
      <c r="R8346" s="1" t="s">
        <v>16392</v>
      </c>
      <c r="V8346" s="1" t="s">
        <v>16423</v>
      </c>
      <c r="W8346" s="1" t="s">
        <v>16424</v>
      </c>
      <c r="AR8346" s="1" t="str">
        <f t="shared" si="526"/>
        <v>| [ㄒㄧㄚˊ](ㄒㄧㄚˊ.md) | [暇](暇.md) |  | xiá | [名]
空閒。如：「閒暇」、「應接不暇」、「自顧不暇」。《孟子．梁惠王上》：「此惟救死而恐不贍，奚暇治禮義哉？」唐．韓愈〈與于襄陽書〉：「雖遇其人，未暇禮耶。」
[形]
從容、悠閒。南朝宋．劉義慶《世說新語．任誕》：「謝便起舞，神意甚暇。」 |</v>
      </c>
    </row>
    <row r="8347" spans="1:44" hidden="1">
      <c r="A8347" s="1" t="s">
        <v>16425</v>
      </c>
      <c r="C8347" s="1">
        <v>1</v>
      </c>
      <c r="D8347" s="1" t="str">
        <f>"06903"</f>
        <v>06903</v>
      </c>
      <c r="E8347" s="1" t="s">
        <v>558</v>
      </c>
      <c r="F8347" s="1">
        <v>13</v>
      </c>
      <c r="G8347" s="1">
        <v>9</v>
      </c>
      <c r="H8347" s="1">
        <v>0</v>
      </c>
      <c r="I8347" s="1" t="s">
        <v>16391</v>
      </c>
      <c r="K8347" s="1" t="str">
        <f t="shared" si="524"/>
        <v>ㄒ</v>
      </c>
      <c r="L8347" s="1" t="str">
        <f t="shared" si="525"/>
        <v>ㄧ</v>
      </c>
      <c r="M8347" s="1" t="str">
        <f t="shared" si="523"/>
        <v>ㄚ</v>
      </c>
      <c r="P8347" s="1" t="s">
        <v>20</v>
      </c>
      <c r="R8347" s="1" t="s">
        <v>16392</v>
      </c>
      <c r="V8347" s="1" t="s">
        <v>16426</v>
      </c>
      <c r="AR8347" s="1" t="str">
        <f t="shared" si="526"/>
        <v>| [ㄒㄧㄚˊ](ㄒㄧㄚˊ.md) | [遐](遐.md) |  | xiá | [名]
遠方。《書經．太甲下》：「若升高，必自下；若陟遐，必自邇。」
[動]
逝去、遠去。《文選．張衡．東京賦》：「俟閶風而西遐，致恭祀乎高祖。」
[形]
1.遙遠。如：「遐荒」、「遐國」。
2.長久、遠大。如：「遐壽」、「松鶴遐齡」。《詩經．小雅．天保》：「降爾遐福，維日不足。」唐．太宗〈九嵕山卜陵詔〉：「末代以來，明辟蓋寡，靡不矜黃屋之尊，慮白駒之過，並多拘忌，希慕遐年。」
[副]
1.遠、疏遠。如：「遐布」、「遐眺」、「遐棄」。
2.何、胡。通「胡」。《詩經．小雅．南山有臺》：「樂只君子，遐不眉壽。」 |</v>
      </c>
    </row>
    <row r="8348" spans="1:44" hidden="1">
      <c r="A8348" s="1" t="s">
        <v>16427</v>
      </c>
      <c r="C8348" s="1">
        <v>1</v>
      </c>
      <c r="D8348" s="1" t="str">
        <f>"06904"</f>
        <v>06904</v>
      </c>
      <c r="E8348" s="1" t="s">
        <v>6340</v>
      </c>
      <c r="F8348" s="1">
        <v>16</v>
      </c>
      <c r="G8348" s="1">
        <v>9</v>
      </c>
      <c r="H8348" s="1">
        <v>0</v>
      </c>
      <c r="I8348" s="1" t="s">
        <v>16391</v>
      </c>
      <c r="K8348" s="1" t="str">
        <f t="shared" si="524"/>
        <v>ㄒ</v>
      </c>
      <c r="L8348" s="1" t="str">
        <f t="shared" si="525"/>
        <v>ㄧ</v>
      </c>
      <c r="M8348" s="1" t="str">
        <f t="shared" si="523"/>
        <v>ㄚ</v>
      </c>
      <c r="P8348" s="1" t="s">
        <v>20</v>
      </c>
      <c r="R8348" s="1" t="s">
        <v>16392</v>
      </c>
      <c r="V8348" s="1" t="s">
        <v>16428</v>
      </c>
      <c r="AR8348" s="1" t="str">
        <f t="shared" si="526"/>
        <v>| [ㄒㄧㄚˊ](ㄒㄧㄚˊ.md) | [赮](赮.md) |  | xiá | [名]
朝霞、彩霞。《玉篇．赤部》：「赮，東方赤色也，亦霞。」唐．柳宗元〈同劉二十八院長述舊言懷感時書事奉寄澧州張員外使君五十二韻之作因其韻增至八十通贈二君子〉詩：「金爐仄流月，紫殿啟晨赮。」
[形]
紅色的。《集韻．平聲．麻韻》：「赮，赤色。」南朝梁．江淹〈翡翠賦〉：「今乃依赮火之絕垠，出赤縣之紘州。」 |</v>
      </c>
    </row>
    <row r="8349" spans="1:44" hidden="1">
      <c r="A8349" s="1" t="s">
        <v>16429</v>
      </c>
      <c r="C8349" s="1">
        <v>1</v>
      </c>
      <c r="D8349" s="1" t="str">
        <f>"06905"</f>
        <v>06905</v>
      </c>
      <c r="E8349" s="1" t="s">
        <v>125</v>
      </c>
      <c r="F8349" s="1">
        <v>17</v>
      </c>
      <c r="G8349" s="1">
        <v>9</v>
      </c>
      <c r="H8349" s="1">
        <v>0</v>
      </c>
      <c r="I8349" s="1" t="s">
        <v>16391</v>
      </c>
      <c r="K8349" s="1" t="str">
        <f t="shared" si="524"/>
        <v>ㄒ</v>
      </c>
      <c r="L8349" s="1" t="str">
        <f t="shared" si="525"/>
        <v>ㄧ</v>
      </c>
      <c r="M8349" s="1" t="str">
        <f t="shared" si="523"/>
        <v>ㄚ</v>
      </c>
      <c r="P8349" s="1" t="s">
        <v>20</v>
      </c>
      <c r="R8349" s="1" t="s">
        <v>16392</v>
      </c>
      <c r="V8349" s="1" t="s">
        <v>16430</v>
      </c>
      <c r="AR8349" s="1" t="str">
        <f t="shared" si="526"/>
        <v>| [ㄒㄧㄚˊ](ㄒㄧㄚˊ.md) | [霞](霞.md) |  | xiá | [名]
陽光照在雲層上所映出的紅色光彩。如：「朝霞」、「晚霞」。唐．王勃〈滕王閣序〉：「落霞與孤鶩齊飛，秋水共長天一色。」
[形]
彩色的。如：「霞光」、「霞杯」、「鳳冠霞帔」。 |</v>
      </c>
    </row>
    <row r="8350" spans="1:44" hidden="1">
      <c r="A8350" s="1" t="s">
        <v>16431</v>
      </c>
      <c r="C8350" s="1">
        <v>1</v>
      </c>
      <c r="D8350" s="1" t="str">
        <f>"06906"</f>
        <v>06906</v>
      </c>
      <c r="E8350" s="1" t="s">
        <v>37</v>
      </c>
      <c r="F8350" s="1">
        <v>17</v>
      </c>
      <c r="G8350" s="1">
        <v>13</v>
      </c>
      <c r="H8350" s="1">
        <v>0</v>
      </c>
      <c r="I8350" s="1" t="s">
        <v>16391</v>
      </c>
      <c r="K8350" s="1" t="str">
        <f t="shared" si="524"/>
        <v>ㄒ</v>
      </c>
      <c r="L8350" s="1" t="str">
        <f t="shared" si="525"/>
        <v>ㄧ</v>
      </c>
      <c r="M8350" s="1" t="str">
        <f t="shared" si="523"/>
        <v>ㄚ</v>
      </c>
      <c r="P8350" s="1" t="s">
        <v>20</v>
      </c>
      <c r="R8350" s="1" t="s">
        <v>16392</v>
      </c>
      <c r="V8350" s="1" t="s">
        <v>16432</v>
      </c>
      <c r="AR8350" s="1" t="str">
        <f t="shared" si="526"/>
        <v>| [ㄒㄧㄚˊ](ㄒㄧㄚˊ.md) | [蕸](蕸.md) |  | xiá | [名]
荷葉。《玉篇．艸部》：「蕸，荷葉也。」 |</v>
      </c>
    </row>
    <row r="8351" spans="1:44" hidden="1">
      <c r="A8351" s="1" t="s">
        <v>12189</v>
      </c>
      <c r="C8351" s="1">
        <v>1</v>
      </c>
      <c r="D8351" s="1" t="str">
        <f>"06907"</f>
        <v>06907</v>
      </c>
      <c r="E8351" s="1" t="s">
        <v>24</v>
      </c>
      <c r="F8351" s="1">
        <v>13</v>
      </c>
      <c r="G8351" s="1">
        <v>10</v>
      </c>
      <c r="H8351" s="1">
        <v>1</v>
      </c>
      <c r="I8351" s="1" t="s">
        <v>16391</v>
      </c>
      <c r="K8351" s="1" t="str">
        <f t="shared" si="524"/>
        <v>ㄒ</v>
      </c>
      <c r="L8351" s="1" t="str">
        <f t="shared" si="525"/>
        <v>ㄧ</v>
      </c>
      <c r="M8351" s="1" t="str">
        <f t="shared" si="523"/>
        <v>ㄚ</v>
      </c>
      <c r="P8351" s="1" t="s">
        <v>20</v>
      </c>
      <c r="R8351" s="1" t="s">
        <v>16392</v>
      </c>
      <c r="V8351" s="1" t="s">
        <v>16433</v>
      </c>
      <c r="W8351" s="1" t="s">
        <v>16434</v>
      </c>
      <c r="AR8351" s="1" t="str">
        <f t="shared" si="526"/>
        <v>| [ㄒㄧㄚˊ](ㄒㄧㄚˊ.md) | [搳](搳.md) |  | xiá | [動]
搔。清．王念孫《廣雅疏證．卷二下．釋詁》：「搳，搔也。」 |</v>
      </c>
    </row>
    <row r="8352" spans="1:44" hidden="1">
      <c r="A8352" s="1" t="s">
        <v>16435</v>
      </c>
      <c r="C8352" s="1">
        <v>1</v>
      </c>
      <c r="D8352" s="1" t="str">
        <f>"06908"</f>
        <v>06908</v>
      </c>
      <c r="E8352" s="1" t="s">
        <v>71</v>
      </c>
      <c r="F8352" s="1">
        <v>17</v>
      </c>
      <c r="G8352" s="1">
        <v>10</v>
      </c>
      <c r="H8352" s="1">
        <v>0</v>
      </c>
      <c r="I8352" s="1" t="s">
        <v>16391</v>
      </c>
      <c r="K8352" s="1" t="str">
        <f t="shared" si="524"/>
        <v>ㄒ</v>
      </c>
      <c r="L8352" s="1" t="str">
        <f t="shared" si="525"/>
        <v>ㄧ</v>
      </c>
      <c r="M8352" s="1" t="str">
        <f t="shared" si="523"/>
        <v>ㄚ</v>
      </c>
      <c r="P8352" s="1" t="s">
        <v>20</v>
      </c>
      <c r="R8352" s="1" t="s">
        <v>16392</v>
      </c>
      <c r="V8352" s="1" t="s">
        <v>16436</v>
      </c>
      <c r="AR8352" s="1" t="str">
        <f t="shared" si="526"/>
        <v>| [ㄒㄧㄚˊ](ㄒㄧㄚˊ.md) | [轄](轄.md) |  | xiá | [名]
貫穿車軸的金屬鍵，以防輪子脫落。《漢書．卷九二．游俠傳．陳遵傳》：「取客車轄投井中。」
[動]
管理、治理。如：「管轄」。《紅樓夢》第七三回：「（住兒媳婦）和這兩個丫頭在臥房裡大嚷大叫，二姐姐竟不能轄治。」 |</v>
      </c>
    </row>
    <row r="8353" spans="1:44" hidden="1">
      <c r="A8353" s="1" t="s">
        <v>16437</v>
      </c>
      <c r="C8353" s="1">
        <v>1</v>
      </c>
      <c r="D8353" s="1" t="str">
        <f>"06909"</f>
        <v>06909</v>
      </c>
      <c r="E8353" s="1" t="s">
        <v>16438</v>
      </c>
      <c r="F8353" s="1">
        <v>13</v>
      </c>
      <c r="G8353" s="1">
        <v>7</v>
      </c>
      <c r="H8353" s="1">
        <v>0</v>
      </c>
      <c r="I8353" s="1" t="s">
        <v>16391</v>
      </c>
      <c r="K8353" s="1" t="str">
        <f t="shared" si="524"/>
        <v>ㄒ</v>
      </c>
      <c r="L8353" s="1" t="str">
        <f t="shared" si="525"/>
        <v>ㄧ</v>
      </c>
      <c r="M8353" s="1" t="str">
        <f t="shared" si="523"/>
        <v>ㄚ</v>
      </c>
      <c r="P8353" s="1" t="s">
        <v>20</v>
      </c>
      <c r="R8353" s="1" t="s">
        <v>16392</v>
      </c>
      <c r="V8353" s="1" t="s">
        <v>16439</v>
      </c>
      <c r="AR8353" s="1" t="str">
        <f t="shared" si="526"/>
        <v>| [ㄒㄧㄚˊ](ㄒㄧㄚˊ.md) | [舝](舝.md) |  | xiá | [名]
貫穿車軸頭的金屬鍵，以防輪子脫落。同「轄」。《說文解字．舛部》：「舝，車軸耑鍵也。」清．段玉裁．注：「以鐵豎貫軸頭而制轂如鍵閉然。」《詩經．小雅．車舝》：「間關車之舝兮，思孌季女逝兮。」 |</v>
      </c>
    </row>
    <row r="8354" spans="1:44" hidden="1">
      <c r="A8354" s="1" t="s">
        <v>16440</v>
      </c>
      <c r="C8354" s="1">
        <v>1</v>
      </c>
      <c r="D8354" s="1" t="str">
        <f>"06910"</f>
        <v>06910</v>
      </c>
      <c r="E8354" s="1" t="s">
        <v>2777</v>
      </c>
      <c r="F8354" s="1">
        <v>18</v>
      </c>
      <c r="G8354" s="1">
        <v>6</v>
      </c>
      <c r="H8354" s="1">
        <v>0</v>
      </c>
      <c r="I8354" s="1" t="s">
        <v>16391</v>
      </c>
      <c r="K8354" s="1" t="str">
        <f t="shared" si="524"/>
        <v>ㄒ</v>
      </c>
      <c r="L8354" s="1" t="str">
        <f t="shared" si="525"/>
        <v>ㄧ</v>
      </c>
      <c r="M8354" s="1" t="str">
        <f t="shared" si="523"/>
        <v>ㄚ</v>
      </c>
      <c r="P8354" s="1" t="s">
        <v>20</v>
      </c>
      <c r="R8354" s="1" t="s">
        <v>16392</v>
      </c>
      <c r="V8354" s="1" t="s">
        <v>16441</v>
      </c>
      <c r="AR8354" s="1" t="str">
        <f t="shared" si="526"/>
        <v>| [ㄒㄧㄚˊ](ㄒㄧㄚˊ.md) | [黠](黠.md) |  | xiá | [形]
1.聰明、機靈。如：「慧黠」、「黠智」。北齊．顏之推《顏氏家訓．教子》：「此黠兒也，當有所成。」明．徐弘祖《徐霞客遊記．卷三下．粵西遊日記二》：「余急呼其中一黠者，攜餘炬，令導為劉公洞遊。」
2.奸詐、狡猾。如：「黠鼠」、「狡黠」、「黠獪」。《後漢書．卷二．顯宗孝明帝紀》：「人冤不能理，吏黠不能禁。」 |</v>
      </c>
    </row>
    <row r="8355" spans="1:44" hidden="1">
      <c r="A8355" s="1" t="s">
        <v>16442</v>
      </c>
      <c r="C8355" s="1">
        <v>1</v>
      </c>
      <c r="D8355" s="1" t="str">
        <f>"06911"</f>
        <v>06911</v>
      </c>
      <c r="E8355" s="1" t="s">
        <v>789</v>
      </c>
      <c r="F8355" s="1">
        <v>3</v>
      </c>
      <c r="G8355" s="1">
        <v>2</v>
      </c>
      <c r="H8355" s="1">
        <v>0</v>
      </c>
      <c r="I8355" s="1" t="s">
        <v>16443</v>
      </c>
      <c r="K8355" s="1" t="str">
        <f t="shared" si="524"/>
        <v>ㄒ</v>
      </c>
      <c r="L8355" s="1" t="str">
        <f t="shared" si="525"/>
        <v>ㄧ</v>
      </c>
      <c r="M8355" s="1" t="str">
        <f t="shared" si="523"/>
        <v>ㄚ</v>
      </c>
      <c r="P8355" s="1" t="s">
        <v>20</v>
      </c>
      <c r="R8355" s="1" t="s">
        <v>16444</v>
      </c>
      <c r="V8355" s="1" t="s">
        <v>16445</v>
      </c>
      <c r="AR8355" s="1" t="str">
        <f t="shared" si="526"/>
        <v>| [ㄒㄧㄚˋ](ㄒㄧㄚˋ.md) | [下](下.md) |  | xià | [名]
1.低處、底部。與「上」相對。如：「底下」。《孟子．梁惠王上》：「猶水之就下。」
2.稱隸屬於人者、地位較低者。如：「部下」、「手下」、「屬下」、「名下」。《文選．曹冏．六代論》：「建置不久，則輕下慢上。」
3.內、裡面。如：「心下」、「言下之意」、「意下如何」、「不在話下」。
4.方面。如：「四下看一看」。《清平山堂話本．柳耆卿詩酒翫江樓記》：「兩下相思不相見，知他相會是何年。」
5.在某個期間或時節。如：「目下」、「時下」、「年下」、「眼下」。《紅樓夢》第三一回：「大節下怎麼好好的哭起來？難道是為爭粽子吃，爭惱了不成？」
6.量詞。計算動作次數的單位。如：「打十下手心」、「做五十下伏地挺身」。《紅樓夢》第四七回：「用拳頭向他身上擂了幾下。」
[動]
1.由高至低、降落。如：「下雨」、「下山」、「下墜」、「順流而下」。《文選．左思．招隱詩二首之二》：「經始東山廬，果下自成榛。」
2.攻克。如：「不戰而下」、「連下三城」。《史記．卷八〇．樂毅傳》：「齊城不下者，兩城耳。」《三國演義》第一二回：「可引得勝之兵攻之，一鼓可下。」
3.放入、投入。如：「下麵」、「下毒藥」、「下調味料」、「下網捕魚」。
4.進入。如：「下水」、「下場比賽」。《儒林外史》第四二回：「我家太老爺做著貴州的都督府，我是回來下場的。」
5.拆卸、除去。如：「下貨」。《儒林外史》第一六回：「過三日再不出，叫人來摘門下瓦。」
6.離去、退場。如：「鞠躬下臺」、「你上場換他下來。」
7.結束工作或學習。如：「下課」、「下班」、「下工了」。
8.頒布、傳達。如：「下詔」、「下命令」。《漢書．卷四．文帝紀》：「吾詔書數下，歲勸民種樹。」
9.投送。如：「下狀」、「下書」、「下帖」、「下戰書」。
10.從事、使用。如：「下棋」、「下刀」、「下筆如有神」。
11.往、到。如：「南下」、「下鄉視察」。唐．李白〈黃鶴樓送孟浩然之廣陵〉詩：「故人西辭黃鶴樓，煙花三月下揚州。」
12.輕視。宋．蘇軾〈劉愷丁鴻孰賢論〉：「此范氏之所以賢鴻而下愷也。」
13.謙抑、謙讓。如：「禮賢下士」。《三國志．卷五八．吳書．陸遜傳》：「臣雖駑懦，竊慕相如，寇恂相下之義，以濟國事。」
14.生、生產。如：「母雞下蛋」。
15.住宿、留宿。如：「下榻」。元．王實甫《西廂記．第一本．第一折》：「官人要下呵，俺這裡有乾淨的店。」
16.做出某種說明、決定。如：「下定義」、「下結論」。
17.低於、少於。如：「不下於」、「每年參加各種考試的人數不下二十萬人。」
[形]
1.等級低。如：「下品」、「下策」、「下級」。
2.在後面的。如：「下次」、「下文」、「下月」、「下冊」、「下半年」。
3.身分微賤的。如：「下人」、「下吏」。
4.自謙之詞。如：「下官」、「下懷」、「下愚」。
[副]
1.表示動作完成或結束。如：「躺下」、「坐下」、「打下基礎」、「立下決心」。
2.降低身分。如：「下嫁」、「不恥下問」。
3.容納。如：「還坐得下嗎？」「情人眼裡容不下一粒沙子。」 |</v>
      </c>
    </row>
    <row r="8356" spans="1:44" hidden="1">
      <c r="A8356" s="1" t="s">
        <v>16446</v>
      </c>
      <c r="C8356" s="1">
        <v>1</v>
      </c>
      <c r="D8356" s="1" t="str">
        <f>"06912"</f>
        <v>06912</v>
      </c>
      <c r="E8356" s="1" t="s">
        <v>4317</v>
      </c>
      <c r="F8356" s="1">
        <v>6</v>
      </c>
      <c r="G8356" s="1">
        <v>0</v>
      </c>
      <c r="H8356" s="1">
        <v>2</v>
      </c>
      <c r="I8356" s="1" t="s">
        <v>16443</v>
      </c>
      <c r="K8356" s="1" t="str">
        <f t="shared" si="524"/>
        <v>ㄒ</v>
      </c>
      <c r="L8356" s="1" t="str">
        <f t="shared" si="525"/>
        <v>ㄧ</v>
      </c>
      <c r="M8356" s="1" t="str">
        <f t="shared" si="523"/>
        <v>ㄚ</v>
      </c>
      <c r="P8356" s="1" t="s">
        <v>110</v>
      </c>
      <c r="R8356" s="1" t="s">
        <v>16444</v>
      </c>
      <c r="V8356" s="1" t="s">
        <v>111</v>
      </c>
      <c r="W8356" s="1" t="s">
        <v>16447</v>
      </c>
      <c r="AR8356" s="1" t="str">
        <f t="shared" si="526"/>
        <v>| [ㄒㄧㄚˋ](ㄒㄧㄚˋ.md) | [襾](襾.md) |  | xià | (一)之又音。 |</v>
      </c>
    </row>
    <row r="8357" spans="1:44" hidden="1">
      <c r="A8357" s="1" t="s">
        <v>13322</v>
      </c>
      <c r="C8357" s="1">
        <v>1</v>
      </c>
      <c r="D8357" s="1" t="str">
        <f>"06913"</f>
        <v>06913</v>
      </c>
      <c r="E8357" s="1" t="s">
        <v>3981</v>
      </c>
      <c r="F8357" s="1">
        <v>10</v>
      </c>
      <c r="G8357" s="1">
        <v>7</v>
      </c>
      <c r="H8357" s="1">
        <v>1</v>
      </c>
      <c r="I8357" s="1" t="s">
        <v>16443</v>
      </c>
      <c r="K8357" s="1" t="str">
        <f t="shared" si="524"/>
        <v>ㄒ</v>
      </c>
      <c r="L8357" s="1" t="str">
        <f t="shared" si="525"/>
        <v>ㄧ</v>
      </c>
      <c r="M8357" s="1" t="str">
        <f t="shared" si="523"/>
        <v>ㄚ</v>
      </c>
      <c r="P8357" s="1" t="s">
        <v>20</v>
      </c>
      <c r="R8357" s="1" t="s">
        <v>16444</v>
      </c>
      <c r="V8357" s="1" t="s">
        <v>16448</v>
      </c>
      <c r="W8357" s="1" t="s">
        <v>16449</v>
      </c>
      <c r="AR8357" s="1" t="str">
        <f t="shared" si="526"/>
        <v>| [ㄒㄧㄚˋ](ㄒㄧㄚˋ.md) | [夏](夏.md) |  | xià | [名]
1.一年四季中的第二季。農曆指立夏至立秋的時期。一般而言氣溫較熱，若以北半球氣候而論，大概指從五月或六月至八月或九月的期間。如：「炎夏」、「盛夏」。
2.泛指中國。如：「華夏」。《書經．舜典》：「蠻夷猾夏。」
3.五彩的顏色。《周禮．天官．染人》：「秋染夏。」漢．鄭玄．注：「染夏者，染五色。」
4.高大的房屋。通「廈」。《楚辭．王襃．九懷．陶壅》：「息陽城兮廣夏，衰色罔兮中怠。」
5.朝代名。參見「夏朝」條。
6.姓。如漢代有夏牟。
[形]
高大。《詩經．秦風．權輿》：「於我乎，夏屋渠渠，今也每食無餘。」 |</v>
      </c>
    </row>
    <row r="8358" spans="1:44" hidden="1">
      <c r="A8358" s="1" t="s">
        <v>16450</v>
      </c>
      <c r="C8358" s="1">
        <v>1</v>
      </c>
      <c r="D8358" s="1" t="str">
        <f>"06914"</f>
        <v>06914</v>
      </c>
      <c r="E8358" s="1" t="s">
        <v>447</v>
      </c>
      <c r="F8358" s="1">
        <v>13</v>
      </c>
      <c r="G8358" s="1">
        <v>10</v>
      </c>
      <c r="H8358" s="1">
        <v>1</v>
      </c>
      <c r="I8358" s="1" t="s">
        <v>16443</v>
      </c>
      <c r="K8358" s="1" t="str">
        <f t="shared" si="524"/>
        <v>ㄒ</v>
      </c>
      <c r="L8358" s="1" t="str">
        <f t="shared" si="525"/>
        <v>ㄧ</v>
      </c>
      <c r="M8358" s="1" t="str">
        <f t="shared" si="523"/>
        <v>ㄚ</v>
      </c>
      <c r="P8358" s="1" t="s">
        <v>186</v>
      </c>
      <c r="R8358" s="1" t="s">
        <v>16444</v>
      </c>
      <c r="V8358" s="1" t="s">
        <v>16451</v>
      </c>
      <c r="W8358" s="1" t="s">
        <v>16452</v>
      </c>
      <c r="AR8358" s="1" t="str">
        <f t="shared" si="526"/>
        <v>| [ㄒㄧㄚˋ](ㄒㄧㄚˋ.md) | [廈](廈.md) |  | xià | [名]
1.高大的房屋。如：「華廈」、「高樓大廈」。唐．杜甫〈茅屋為秋風所破歌〉：「安得廣廈千萬間，大庇天下寒士俱歡顏。」
2.房屋後面突出的部分。如：「前廊後廈」。 |</v>
      </c>
    </row>
    <row r="8359" spans="1:44" hidden="1">
      <c r="A8359" s="1" t="s">
        <v>16453</v>
      </c>
      <c r="C8359" s="1">
        <v>1</v>
      </c>
      <c r="D8359" s="1" t="str">
        <f>"06915"</f>
        <v>06915</v>
      </c>
      <c r="E8359" s="1" t="s">
        <v>336</v>
      </c>
      <c r="F8359" s="1">
        <v>13</v>
      </c>
      <c r="G8359" s="1">
        <v>9</v>
      </c>
      <c r="H8359" s="1">
        <v>0</v>
      </c>
      <c r="I8359" s="1" t="s">
        <v>16443</v>
      </c>
      <c r="K8359" s="1" t="str">
        <f t="shared" si="524"/>
        <v>ㄒ</v>
      </c>
      <c r="L8359" s="1" t="str">
        <f t="shared" si="525"/>
        <v>ㄧ</v>
      </c>
      <c r="M8359" s="1" t="str">
        <f t="shared" si="523"/>
        <v>ㄚ</v>
      </c>
      <c r="P8359" s="1" t="s">
        <v>20</v>
      </c>
      <c r="R8359" s="1" t="s">
        <v>16444</v>
      </c>
      <c r="V8359" s="1" t="s">
        <v>16454</v>
      </c>
      <c r="AR8359" s="1" t="str">
        <f t="shared" si="526"/>
        <v>| [ㄒㄧㄚˋ](ㄒㄧㄚˋ.md) | [煆](煆.md) |  | xià | [名]
火氣、熱氣。唐．柳宗元〈同劉二十八院長述舊言懷感時書事奉寄澧州張員外使君五十二韻之作因其韻增至八十通贈二君子〉詩：「瘴氛恆積潤，訛火亟生煆。」 |</v>
      </c>
    </row>
    <row r="8360" spans="1:44" hidden="1">
      <c r="A8360" s="1" t="s">
        <v>16422</v>
      </c>
      <c r="C8360" s="1">
        <v>1</v>
      </c>
      <c r="D8360" s="1" t="str">
        <f>"06916"</f>
        <v>06916</v>
      </c>
      <c r="E8360" s="1" t="s">
        <v>646</v>
      </c>
      <c r="F8360" s="1">
        <v>13</v>
      </c>
      <c r="G8360" s="1">
        <v>9</v>
      </c>
      <c r="H8360" s="1">
        <v>2</v>
      </c>
      <c r="I8360" s="1" t="s">
        <v>16443</v>
      </c>
      <c r="K8360" s="1" t="str">
        <f t="shared" si="524"/>
        <v>ㄒ</v>
      </c>
      <c r="L8360" s="1" t="str">
        <f t="shared" si="525"/>
        <v>ㄧ</v>
      </c>
      <c r="M8360" s="1" t="str">
        <f t="shared" ref="M8360:M8423" si="527">MID(I8360, 3, 1)</f>
        <v>ㄚ</v>
      </c>
      <c r="P8360" s="1" t="s">
        <v>110</v>
      </c>
      <c r="R8360" s="1" t="s">
        <v>16444</v>
      </c>
      <c r="V8360" s="1" t="s">
        <v>111</v>
      </c>
      <c r="W8360" s="1" t="s">
        <v>16455</v>
      </c>
      <c r="AR8360" s="1" t="str">
        <f t="shared" si="526"/>
        <v>| [ㄒㄧㄚˋ](ㄒㄧㄚˋ.md) | [暇](暇.md) |  | xià | (一)之又音。 |</v>
      </c>
    </row>
    <row r="8361" spans="1:44" hidden="1">
      <c r="A8361" s="1" t="s">
        <v>16456</v>
      </c>
      <c r="C8361" s="1">
        <v>1</v>
      </c>
      <c r="D8361" s="1" t="str">
        <f>"06917"</f>
        <v>06917</v>
      </c>
      <c r="E8361" s="1" t="s">
        <v>331</v>
      </c>
      <c r="F8361" s="1">
        <v>15</v>
      </c>
      <c r="G8361" s="1">
        <v>8</v>
      </c>
      <c r="H8361" s="1">
        <v>0</v>
      </c>
      <c r="I8361" s="1" t="s">
        <v>16443</v>
      </c>
      <c r="K8361" s="1" t="str">
        <f t="shared" si="524"/>
        <v>ㄒ</v>
      </c>
      <c r="L8361" s="1" t="str">
        <f t="shared" si="525"/>
        <v>ㄧ</v>
      </c>
      <c r="M8361" s="1" t="str">
        <f t="shared" si="527"/>
        <v>ㄚ</v>
      </c>
      <c r="P8361" s="1" t="s">
        <v>20</v>
      </c>
      <c r="R8361" s="1" t="s">
        <v>16444</v>
      </c>
      <c r="V8361" s="1" t="s">
        <v>16457</v>
      </c>
      <c r="AR8361" s="1" t="str">
        <f t="shared" si="526"/>
        <v>| [ㄒㄧㄚˋ](ㄒㄧㄚˋ.md) | [諕](諕.md) |  | xià | [動]
1.欺瞞、欺騙。明．湯顯祖《牡丹亭》第四八齣：「則道畫幀兒怎放的個人迴避？做的事瞞神諕鬼。」
2.恐嚇、使人害怕。同「唬」、「嚇」。如：「別諕我，我可是吃軟不吃硬的！」元．關漢卿《望江亭》第四折：「諕的他半晌只茫然，又無那八棒十枷罪，止不過三交兩句言。」 |</v>
      </c>
    </row>
    <row r="8362" spans="1:44" hidden="1">
      <c r="A8362" s="1" t="s">
        <v>11585</v>
      </c>
      <c r="C8362" s="1">
        <v>1</v>
      </c>
      <c r="D8362" s="1" t="str">
        <f>"06918"</f>
        <v>06918</v>
      </c>
      <c r="E8362" s="1" t="s">
        <v>28</v>
      </c>
      <c r="F8362" s="1">
        <v>17</v>
      </c>
      <c r="G8362" s="1">
        <v>14</v>
      </c>
      <c r="H8362" s="1">
        <v>2</v>
      </c>
      <c r="I8362" s="1" t="s">
        <v>16443</v>
      </c>
      <c r="K8362" s="1" t="str">
        <f t="shared" si="524"/>
        <v>ㄒ</v>
      </c>
      <c r="L8362" s="1" t="str">
        <f t="shared" si="525"/>
        <v>ㄧ</v>
      </c>
      <c r="M8362" s="1" t="str">
        <f t="shared" si="527"/>
        <v>ㄚ</v>
      </c>
      <c r="P8362" s="1" t="s">
        <v>20</v>
      </c>
      <c r="R8362" s="1" t="s">
        <v>16444</v>
      </c>
      <c r="V8362" s="1" t="s">
        <v>16458</v>
      </c>
      <c r="W8362" s="1" t="s">
        <v>16459</v>
      </c>
      <c r="AR8362" s="1" t="str">
        <f t="shared" si="526"/>
        <v>| [ㄒㄧㄚˋ](ㄒㄧㄚˋ.md) | [嚇](嚇.md) |  | xià | [動]
害怕、使人害怕。如：「嚇唬」、「驚嚇」、「嚇了一跳」。《紅樓夢》第一七、一八回：「嚇的寶玉倒退，不敢再說。」 |</v>
      </c>
    </row>
    <row r="8363" spans="1:44" hidden="1">
      <c r="A8363" s="1" t="s">
        <v>16460</v>
      </c>
      <c r="C8363" s="1">
        <v>1</v>
      </c>
      <c r="D8363" s="1" t="str">
        <f>"06919"</f>
        <v>06919</v>
      </c>
      <c r="E8363" s="1" t="s">
        <v>175</v>
      </c>
      <c r="F8363" s="1">
        <v>17</v>
      </c>
      <c r="G8363" s="1">
        <v>11</v>
      </c>
      <c r="H8363" s="1">
        <v>0</v>
      </c>
      <c r="I8363" s="1" t="s">
        <v>16443</v>
      </c>
      <c r="K8363" s="1" t="str">
        <f t="shared" si="524"/>
        <v>ㄒ</v>
      </c>
      <c r="L8363" s="1" t="str">
        <f t="shared" si="525"/>
        <v>ㄧ</v>
      </c>
      <c r="M8363" s="1" t="str">
        <f t="shared" si="527"/>
        <v>ㄚ</v>
      </c>
      <c r="P8363" s="1" t="s">
        <v>20</v>
      </c>
      <c r="R8363" s="1" t="s">
        <v>16444</v>
      </c>
      <c r="V8363" s="1" t="s">
        <v>16461</v>
      </c>
      <c r="AR8363" s="1" t="str">
        <f t="shared" si="526"/>
        <v>| [ㄒㄧㄚˋ](ㄒㄧㄚˋ.md) | [罅](罅.md) |  | xià | [動]
分開、裂開。《說文解字．缶部》：「罅，裂也。」明．徐弘祖《徐霞客遊記．卷三上．粵西遊日記一》：「其山甚薄，上穹如合掌，中罅。」
[名]
1.空隙、隙縫。如：「石罅」、「巖罅」。唐．姚合〈寄楊茂卿校書〉詩：「黃河凍欲合，船入冰罅行。」清．王士禎〈蝶戀花．涼夜沉沉花漏凍〉詞：「此際閒愁郎不共，月移窗罅春寒重。」
2.事情的漏洞、缺陷。唐．韓愈〈進學解〉：「補苴罅漏，張皇幽眇。」清．葉燮《原詩．卷二．內篇下》：「不使有毫髮之罅，而物得以乘我焉。」 |</v>
      </c>
    </row>
    <row r="8364" spans="1:44" hidden="1">
      <c r="A8364" s="1" t="s">
        <v>16462</v>
      </c>
      <c r="C8364" s="1">
        <v>1</v>
      </c>
      <c r="D8364" s="1" t="str">
        <f>"06920"</f>
        <v>06920</v>
      </c>
      <c r="E8364" s="1" t="s">
        <v>9954</v>
      </c>
      <c r="F8364" s="1">
        <v>8</v>
      </c>
      <c r="G8364" s="1">
        <v>6</v>
      </c>
      <c r="H8364" s="1">
        <v>1</v>
      </c>
      <c r="I8364" s="1" t="s">
        <v>16463</v>
      </c>
      <c r="K8364" s="1" t="str">
        <f t="shared" si="524"/>
        <v>ㄒ</v>
      </c>
      <c r="L8364" s="1" t="str">
        <f t="shared" si="525"/>
        <v>ㄧ</v>
      </c>
      <c r="M8364" s="1" t="str">
        <f t="shared" si="527"/>
        <v>ㄝ</v>
      </c>
      <c r="P8364" s="1" t="s">
        <v>20</v>
      </c>
      <c r="R8364" s="1" t="s">
        <v>16464</v>
      </c>
      <c r="V8364" s="1" t="s">
        <v>16465</v>
      </c>
      <c r="W8364" s="1" t="s">
        <v>16466</v>
      </c>
      <c r="AR8364" s="1" t="str">
        <f t="shared" si="526"/>
        <v>| [ㄒㄧㄝ](ㄒㄧㄝ.md) | [些](些.md) |  | xiē | [副]
1.少量、一點。如：「些微」、「些許」、「些須」。《水滸傳》第四一回：「城裡並無些動靜。」
2.用於形容詞後面，表示比較下少許的差別。如：「多些」、「簡單些」、「方便些」、「容易些」。
[名]
量詞。計算事物不確定數量的單位。如：「這些人」、「有些事情」、「買些金子」。《水滸傳》第四回：「老兒和這小廝上街來買了些鮮魚、嫩雞。」 |</v>
      </c>
    </row>
    <row r="8365" spans="1:44" hidden="1">
      <c r="A8365" s="1" t="s">
        <v>16467</v>
      </c>
      <c r="C8365" s="1">
        <v>1</v>
      </c>
      <c r="D8365" s="1" t="str">
        <f>"06921"</f>
        <v>06921</v>
      </c>
      <c r="E8365" s="1" t="s">
        <v>24</v>
      </c>
      <c r="F8365" s="1">
        <v>12</v>
      </c>
      <c r="G8365" s="1">
        <v>9</v>
      </c>
      <c r="H8365" s="1">
        <v>0</v>
      </c>
      <c r="I8365" s="1" t="s">
        <v>16463</v>
      </c>
      <c r="K8365" s="1" t="str">
        <f t="shared" si="524"/>
        <v>ㄒ</v>
      </c>
      <c r="L8365" s="1" t="str">
        <f t="shared" si="525"/>
        <v>ㄧ</v>
      </c>
      <c r="M8365" s="1" t="str">
        <f t="shared" si="527"/>
        <v>ㄝ</v>
      </c>
      <c r="P8365" s="1" t="s">
        <v>20</v>
      </c>
      <c r="R8365" s="1" t="s">
        <v>16464</v>
      </c>
      <c r="V8365" s="1" t="s">
        <v>16468</v>
      </c>
      <c r="AR8365" s="1" t="str">
        <f t="shared" si="526"/>
        <v>| [ㄒㄧㄝ](ㄒㄧㄝ.md) | [揳](揳.md) |  | xiē | [動]
捶打進去。如：「牆上的釘子鬆了，拿鐵錘把它揳進去。」 |</v>
      </c>
    </row>
    <row r="8366" spans="1:44" hidden="1">
      <c r="A8366" s="1" t="s">
        <v>16469</v>
      </c>
      <c r="C8366" s="1">
        <v>1</v>
      </c>
      <c r="D8366" s="1" t="str">
        <f>"06922"</f>
        <v>06922</v>
      </c>
      <c r="E8366" s="1" t="s">
        <v>139</v>
      </c>
      <c r="F8366" s="1">
        <v>13</v>
      </c>
      <c r="G8366" s="1">
        <v>9</v>
      </c>
      <c r="H8366" s="1">
        <v>2</v>
      </c>
      <c r="I8366" s="1" t="s">
        <v>16463</v>
      </c>
      <c r="K8366" s="1" t="str">
        <f t="shared" si="524"/>
        <v>ㄒ</v>
      </c>
      <c r="L8366" s="1" t="str">
        <f t="shared" si="525"/>
        <v>ㄧ</v>
      </c>
      <c r="M8366" s="1" t="str">
        <f t="shared" si="527"/>
        <v>ㄝ</v>
      </c>
      <c r="P8366" s="1" t="s">
        <v>110</v>
      </c>
      <c r="R8366" s="1" t="s">
        <v>16464</v>
      </c>
      <c r="V8366" s="1" t="s">
        <v>111</v>
      </c>
      <c r="W8366" s="1" t="s">
        <v>16470</v>
      </c>
      <c r="AR8366" s="1" t="str">
        <f t="shared" si="526"/>
        <v>| [ㄒㄧㄝ](ㄒㄧㄝ.md) | [楔](楔.md) |  | xiē | (一)之又音。 |</v>
      </c>
    </row>
    <row r="8367" spans="1:44" hidden="1">
      <c r="A8367" s="1" t="s">
        <v>11594</v>
      </c>
      <c r="C8367" s="1">
        <v>1</v>
      </c>
      <c r="D8367" s="1" t="str">
        <f>"06923"</f>
        <v>06923</v>
      </c>
      <c r="E8367" s="1" t="s">
        <v>198</v>
      </c>
      <c r="F8367" s="1">
        <v>12</v>
      </c>
      <c r="G8367" s="1">
        <v>9</v>
      </c>
      <c r="H8367" s="1">
        <v>1</v>
      </c>
      <c r="I8367" s="1" t="s">
        <v>16463</v>
      </c>
      <c r="K8367" s="1" t="str">
        <f t="shared" si="524"/>
        <v>ㄒ</v>
      </c>
      <c r="L8367" s="1" t="str">
        <f t="shared" si="525"/>
        <v>ㄧ</v>
      </c>
      <c r="M8367" s="1" t="str">
        <f t="shared" si="527"/>
        <v>ㄝ</v>
      </c>
      <c r="P8367" s="1" t="s">
        <v>20</v>
      </c>
      <c r="R8367" s="1" t="s">
        <v>16464</v>
      </c>
      <c r="V8367" s="1" t="s">
        <v>16471</v>
      </c>
      <c r="W8367" s="1" t="s">
        <v>16472</v>
      </c>
      <c r="AR8367" s="1" t="str">
        <f t="shared" si="526"/>
        <v>| [ㄒㄧㄝ](ㄒㄧㄝ.md) | [猲](猲.md) |  | xiē | [名]
猲獢：一種短嘴的獵狗。《爾雅．釋畜》：「（犬）長喙，獫；短喙，猲獢。」宋．邢昺．疏：「犬長口者名獫，短口者名猲獢。」 |</v>
      </c>
    </row>
    <row r="8368" spans="1:44" hidden="1">
      <c r="A8368" s="1" t="s">
        <v>16473</v>
      </c>
      <c r="C8368" s="1">
        <v>1</v>
      </c>
      <c r="D8368" s="1" t="str">
        <f>"06924"</f>
        <v>06924</v>
      </c>
      <c r="E8368" s="1" t="s">
        <v>1908</v>
      </c>
      <c r="F8368" s="1">
        <v>13</v>
      </c>
      <c r="G8368" s="1">
        <v>9</v>
      </c>
      <c r="H8368" s="1">
        <v>0</v>
      </c>
      <c r="I8368" s="1" t="s">
        <v>16463</v>
      </c>
      <c r="K8368" s="1" t="str">
        <f t="shared" ref="K8368:K8431" si="528">LEFT(I8368, 1)</f>
        <v>ㄒ</v>
      </c>
      <c r="L8368" s="1" t="str">
        <f t="shared" ref="L8368:L8431" si="529">MID(I8368, 2, 1)</f>
        <v>ㄧ</v>
      </c>
      <c r="M8368" s="1" t="str">
        <f t="shared" si="527"/>
        <v>ㄝ</v>
      </c>
      <c r="P8368" s="1" t="s">
        <v>20</v>
      </c>
      <c r="R8368" s="1" t="s">
        <v>16464</v>
      </c>
      <c r="V8368" s="1" t="s">
        <v>16474</v>
      </c>
      <c r="AR8368" s="1" t="str">
        <f t="shared" si="526"/>
        <v>| [ㄒㄧㄝ](ㄒㄧㄝ.md) | [歇](歇.md) |  | xiē | [動]
1.休息。《說文解字．欠部》：「歇，息也。」如：「這事不急，您歇會兒再做。」唐．孟浩然〈秋登蘭山寄張五〉詩：「時見歸村人，沙行渡頭歇。」
2.停止。如：「歇業」、「歇手」。宋．岳飛〈滿江紅．怒髮衝冠〉詞：「憑欄處，瀟瀟雨歇。」
3.睡覺、住宿。如：「安歇」、「歇宿」。《水滸傳》第三二回：「當夜直吃到五更，叫小嘍囉伏侍宋江歇了。」《紅樓夢》第四四回：「平兒就在李紈處歇了一夜。」
4.竭盡、凋零、衰敗。南朝齊．謝朓〈王孫遊〉詩：「無論君不歸，君歸芳已歇。」唐．李賀〈傷心行〉：「燈青蘭膏歇，落照飛蛾舞。」
5.氣味消散。《文選．顏延之．和謝監靈運詩》：「芬馥歇蘭若，清越奪琳珪。」
[名]
量詞：(1)計算動作次數的單位。相當於「番」、「次」。《董西廂》卷五：「送下階來欲待別，又囑付兩三歇。」(2)計算時段的單位。《水滸傳》第四回：「下得亭子，松樹根邊又坐了半歇。」 |</v>
      </c>
    </row>
    <row r="8369" spans="1:44" hidden="1">
      <c r="A8369" s="1" t="s">
        <v>16475</v>
      </c>
      <c r="C8369" s="1">
        <v>1</v>
      </c>
      <c r="D8369" s="1" t="str">
        <f>"06925"</f>
        <v>06925</v>
      </c>
      <c r="E8369" s="1" t="s">
        <v>679</v>
      </c>
      <c r="F8369" s="1">
        <v>19</v>
      </c>
      <c r="G8369" s="1">
        <v>13</v>
      </c>
      <c r="H8369" s="1">
        <v>0</v>
      </c>
      <c r="I8369" s="1" t="s">
        <v>16463</v>
      </c>
      <c r="K8369" s="1" t="str">
        <f t="shared" si="528"/>
        <v>ㄒ</v>
      </c>
      <c r="L8369" s="1" t="str">
        <f t="shared" si="529"/>
        <v>ㄧ</v>
      </c>
      <c r="M8369" s="1" t="str">
        <f t="shared" si="527"/>
        <v>ㄝ</v>
      </c>
      <c r="P8369" s="1" t="s">
        <v>20</v>
      </c>
      <c r="R8369" s="1" t="s">
        <v>16464</v>
      </c>
      <c r="V8369" s="1" t="s">
        <v>16476</v>
      </c>
      <c r="AR8369" s="1" t="str">
        <f t="shared" si="526"/>
        <v>| [ㄒㄧㄝ](ㄒㄧㄝ.md) | [蠍](蠍.md) |  | xiē | [名]
動物名。一種毒蟲。節肢動物門蜘蛛屬。長三、四寸，青黑色。顎上有觸鬚一對，下腮有螯。胸甚短，腹部狹長，分成十三節。尾末有毒鉤，供禦敵或捕食。也稱為「蠍子」。 |</v>
      </c>
    </row>
    <row r="8370" spans="1:44" hidden="1">
      <c r="A8370" s="1" t="s">
        <v>16477</v>
      </c>
      <c r="C8370" s="1">
        <v>1</v>
      </c>
      <c r="D8370" s="1" t="str">
        <f>"06926"</f>
        <v>06926</v>
      </c>
      <c r="E8370" s="1" t="s">
        <v>245</v>
      </c>
      <c r="F8370" s="1">
        <v>6</v>
      </c>
      <c r="G8370" s="1">
        <v>4</v>
      </c>
      <c r="H8370" s="1">
        <v>0</v>
      </c>
      <c r="I8370" s="1" t="s">
        <v>16478</v>
      </c>
      <c r="K8370" s="1" t="str">
        <f t="shared" si="528"/>
        <v>ㄒ</v>
      </c>
      <c r="L8370" s="1" t="str">
        <f t="shared" si="529"/>
        <v>ㄧ</v>
      </c>
      <c r="M8370" s="1" t="str">
        <f t="shared" si="527"/>
        <v>ㄝ</v>
      </c>
      <c r="P8370" s="1" t="s">
        <v>20</v>
      </c>
      <c r="R8370" s="1" t="s">
        <v>16479</v>
      </c>
      <c r="V8370" s="1" t="s">
        <v>16480</v>
      </c>
      <c r="AR8370" s="1" t="str">
        <f t="shared" si="526"/>
        <v>| [ㄒㄧㄝˊ](ㄒㄧㄝˊ.md) | [劦](劦.md) |  | xié | [動]
合力、同力。《說文解字．劦部》：「劦，同力也。」 |</v>
      </c>
    </row>
    <row r="8371" spans="1:44" hidden="1">
      <c r="A8371" s="1" t="s">
        <v>16481</v>
      </c>
      <c r="C8371" s="1">
        <v>1</v>
      </c>
      <c r="D8371" s="1" t="str">
        <f>"06927"</f>
        <v>06927</v>
      </c>
      <c r="E8371" s="1" t="s">
        <v>286</v>
      </c>
      <c r="F8371" s="1">
        <v>8</v>
      </c>
      <c r="G8371" s="1">
        <v>6</v>
      </c>
      <c r="H8371" s="1">
        <v>0</v>
      </c>
      <c r="I8371" s="1" t="s">
        <v>16478</v>
      </c>
      <c r="K8371" s="1" t="str">
        <f t="shared" si="528"/>
        <v>ㄒ</v>
      </c>
      <c r="L8371" s="1" t="str">
        <f t="shared" si="529"/>
        <v>ㄧ</v>
      </c>
      <c r="M8371" s="1" t="str">
        <f t="shared" si="527"/>
        <v>ㄝ</v>
      </c>
      <c r="P8371" s="1" t="s">
        <v>20</v>
      </c>
      <c r="R8371" s="1" t="s">
        <v>16479</v>
      </c>
      <c r="V8371" s="1" t="s">
        <v>16482</v>
      </c>
      <c r="AR8371" s="1" t="str">
        <f t="shared" si="526"/>
        <v>| [ㄒㄧㄝˊ](ㄒㄧㄝˊ.md) | [協](協.md) |  | xié | [動]
1.和合。如：「協同」、「同心協力」。《三國志．卷一九．魏書．陳思王植傳》：「臣聞天地協氣而萬物生，君臣合德而庶政成。」
2.輔助、幫助。如：「協助」、「協理」。
3.服從、悅服。如：「協服」。《國語．齊語》：「大國慚媿，小國附協。」
[副]
共同。如：「協議」、「協商」、「協調」。 |</v>
      </c>
    </row>
    <row r="8372" spans="1:44" hidden="1">
      <c r="A8372" s="1" t="s">
        <v>16483</v>
      </c>
      <c r="C8372" s="1">
        <v>1</v>
      </c>
      <c r="D8372" s="1" t="str">
        <f>"06928"</f>
        <v>06928</v>
      </c>
      <c r="E8372" s="1" t="s">
        <v>68</v>
      </c>
      <c r="F8372" s="1">
        <v>10</v>
      </c>
      <c r="G8372" s="1">
        <v>6</v>
      </c>
      <c r="H8372" s="1">
        <v>0</v>
      </c>
      <c r="I8372" s="1" t="s">
        <v>16478</v>
      </c>
      <c r="K8372" s="1" t="str">
        <f t="shared" si="528"/>
        <v>ㄒ</v>
      </c>
      <c r="L8372" s="1" t="str">
        <f t="shared" si="529"/>
        <v>ㄧ</v>
      </c>
      <c r="M8372" s="1" t="str">
        <f t="shared" si="527"/>
        <v>ㄝ</v>
      </c>
      <c r="P8372" s="1" t="s">
        <v>20</v>
      </c>
      <c r="R8372" s="1" t="s">
        <v>16479</v>
      </c>
      <c r="V8372" s="1" t="s">
        <v>16484</v>
      </c>
      <c r="AR8372" s="1" t="str">
        <f t="shared" si="526"/>
        <v>| [ㄒㄧㄝˊ](ㄒㄧㄝˊ.md) | [脅](脅.md) |  | xié | [名]
1.胸部兩側，由腋下至肋骨盡處的部位。亦指肋骨。《說文解字．肉部》：「脅，兩膀也。」《楚辭．屈原．天問》：「平脅曼膚，何以肥之？」《史記．卷七九．范雎蔡澤傳》：「魏齊大怒，使舍人笞擊睢，折脅摺齒。」
2.側、旁邊。漢．劉熙《釋名．釋車》：「脅驅，在服馬外脅也。」唐．顧況〈廣陵白沙大雲寺碑〉：「滄海之脅，有白沙之墟焉。」
[動]
1.以威力逼迫。如：「威脅」。《禮記．樂記》：「強者脅弱，眾者暴寡。」《漢書．卷七〇．常惠傳》：「使使脅求公主。」
2.收斂、收縮。《墨子．兼愛中》：「楚靈王好士細要，故靈王之臣，皆以一飯為節，脅息然後帶。」《文選．司馬相如．長門賦》：「翡翠脅翼而來萃兮，鷥鳳翔而北南。」 |</v>
      </c>
    </row>
    <row r="8373" spans="1:44" hidden="1">
      <c r="A8373" s="1" t="s">
        <v>16485</v>
      </c>
      <c r="C8373" s="1">
        <v>1</v>
      </c>
      <c r="D8373" s="1" t="str">
        <f>"06929"</f>
        <v>06929</v>
      </c>
      <c r="E8373" s="1" t="s">
        <v>28</v>
      </c>
      <c r="F8373" s="1">
        <v>13</v>
      </c>
      <c r="G8373" s="1">
        <v>10</v>
      </c>
      <c r="H8373" s="1">
        <v>0</v>
      </c>
      <c r="I8373" s="1" t="s">
        <v>16478</v>
      </c>
      <c r="K8373" s="1" t="str">
        <f t="shared" si="528"/>
        <v>ㄒ</v>
      </c>
      <c r="L8373" s="1" t="str">
        <f t="shared" si="529"/>
        <v>ㄧ</v>
      </c>
      <c r="M8373" s="1" t="str">
        <f t="shared" si="527"/>
        <v>ㄝ</v>
      </c>
      <c r="P8373" s="1" t="s">
        <v>20</v>
      </c>
      <c r="R8373" s="1" t="s">
        <v>16479</v>
      </c>
      <c r="V8373" s="1" t="s">
        <v>16486</v>
      </c>
      <c r="AR8373" s="1" t="str">
        <f t="shared" si="526"/>
        <v>| [ㄒㄧㄝˊ](ㄒㄧㄝˊ.md) | [嗋](嗋.md) |  | xié | [動]
1.合、閉。《莊子．天運》：「予口張而不能嗋，予又何規老聃哉。」
2.呼吸。如：「嗋呷」。 |</v>
      </c>
    </row>
    <row r="8374" spans="1:44" hidden="1">
      <c r="A8374" s="1" t="s">
        <v>16487</v>
      </c>
      <c r="C8374" s="1">
        <v>1</v>
      </c>
      <c r="D8374" s="1" t="str">
        <f>"06930"</f>
        <v>06930</v>
      </c>
      <c r="E8374" s="1" t="s">
        <v>245</v>
      </c>
      <c r="F8374" s="1">
        <v>15</v>
      </c>
      <c r="G8374" s="1">
        <v>13</v>
      </c>
      <c r="H8374" s="1">
        <v>0</v>
      </c>
      <c r="I8374" s="1" t="s">
        <v>16478</v>
      </c>
      <c r="K8374" s="1" t="str">
        <f t="shared" si="528"/>
        <v>ㄒ</v>
      </c>
      <c r="L8374" s="1" t="str">
        <f t="shared" si="529"/>
        <v>ㄧ</v>
      </c>
      <c r="M8374" s="1" t="str">
        <f t="shared" si="527"/>
        <v>ㄝ</v>
      </c>
      <c r="P8374" s="1" t="s">
        <v>20</v>
      </c>
      <c r="R8374" s="1" t="s">
        <v>16479</v>
      </c>
      <c r="V8374" s="1" t="s">
        <v>16488</v>
      </c>
      <c r="AR8374" s="1" t="str">
        <f t="shared" si="526"/>
        <v>| [ㄒㄧㄝˊ](ㄒㄧㄝˊ.md) | [勰](勰.md) |  | xié | [形]
和協。《爾雅．釋詁》：「勰，和也。」 |</v>
      </c>
    </row>
    <row r="8375" spans="1:44" hidden="1">
      <c r="A8375" s="1" t="s">
        <v>16400</v>
      </c>
      <c r="C8375" s="1">
        <v>1</v>
      </c>
      <c r="D8375" s="1" t="str">
        <f>"06931"</f>
        <v>06931</v>
      </c>
      <c r="E8375" s="1" t="s">
        <v>256</v>
      </c>
      <c r="F8375" s="1">
        <v>7</v>
      </c>
      <c r="G8375" s="1">
        <v>4</v>
      </c>
      <c r="H8375" s="1">
        <v>1</v>
      </c>
      <c r="I8375" s="1" t="s">
        <v>16478</v>
      </c>
      <c r="K8375" s="1" t="str">
        <f t="shared" si="528"/>
        <v>ㄒ</v>
      </c>
      <c r="L8375" s="1" t="str">
        <f t="shared" si="529"/>
        <v>ㄧ</v>
      </c>
      <c r="M8375" s="1" t="str">
        <f t="shared" si="527"/>
        <v>ㄝ</v>
      </c>
      <c r="P8375" s="1" t="s">
        <v>20</v>
      </c>
      <c r="R8375" s="1" t="s">
        <v>16479</v>
      </c>
      <c r="V8375" s="1" t="s">
        <v>16489</v>
      </c>
      <c r="W8375" s="1" t="s">
        <v>16490</v>
      </c>
      <c r="AR8375" s="1" t="str">
        <f t="shared" si="526"/>
        <v>| [ㄒㄧㄝˊ](ㄒㄧㄝˊ.md) | [邪](邪.md) |  | xié | [形]
1.不正當的。如：「邪念」、「邪心」、「邪惡」。宋．王安石〈答司馬諫議論〉：「闢邪說，難壬人，不為拒諫。」
2.奇怪、異於正常的。如：「邪事」、「邪門」、「邪魔」。《兒女英雄傳》第六回：「這可是邪的！難道那小子有這麼大神通不成？」
3.偏斜不正的。通「斜」。《詩經．小雅．采菽》：「赤芾在股，邪幅在下。」
[名]
1.不正當的思想或行為。如：「改邪歸正」、「奸邪」。《論語．為政》：「詩三百，一言以蔽之，曰思無邪。」
2.人事無法理解的怪異事件。如：「中邪」、「驅邪」、「百邪不侵」。
3.中醫稱足以傷人致病的四時之氣或環境因素。如：「風邪」、「寒邪」。 |</v>
      </c>
    </row>
    <row r="8376" spans="1:44" hidden="1">
      <c r="A8376" s="1" t="s">
        <v>16491</v>
      </c>
      <c r="C8376" s="1">
        <v>1</v>
      </c>
      <c r="D8376" s="1" t="str">
        <f>"06932"</f>
        <v>06932</v>
      </c>
      <c r="E8376" s="1" t="s">
        <v>684</v>
      </c>
      <c r="F8376" s="1">
        <v>9</v>
      </c>
      <c r="G8376" s="1">
        <v>0</v>
      </c>
      <c r="H8376" s="1">
        <v>1</v>
      </c>
      <c r="I8376" s="1" t="s">
        <v>16478</v>
      </c>
      <c r="K8376" s="1" t="str">
        <f t="shared" si="528"/>
        <v>ㄒ</v>
      </c>
      <c r="L8376" s="1" t="str">
        <f t="shared" si="529"/>
        <v>ㄧ</v>
      </c>
      <c r="M8376" s="1" t="str">
        <f t="shared" si="527"/>
        <v>ㄝ</v>
      </c>
      <c r="P8376" s="1" t="s">
        <v>20</v>
      </c>
      <c r="R8376" s="1" t="s">
        <v>16479</v>
      </c>
      <c r="V8376" s="1" t="s">
        <v>16492</v>
      </c>
      <c r="W8376" s="1" t="s">
        <v>16493</v>
      </c>
      <c r="AR8376" s="1" t="str">
        <f t="shared" si="526"/>
        <v>| [ㄒㄧㄝˊ](ㄒㄧㄝˊ.md) | [頁](頁.md) |  | xié | [名]
頭部。《說文解字．頁部》：「頁，頭也。」 |</v>
      </c>
    </row>
    <row r="8377" spans="1:44" hidden="1">
      <c r="A8377" s="1" t="s">
        <v>13418</v>
      </c>
      <c r="C8377" s="1">
        <v>1</v>
      </c>
      <c r="D8377" s="1" t="str">
        <f>"06933"</f>
        <v>06933</v>
      </c>
      <c r="E8377" s="1" t="s">
        <v>684</v>
      </c>
      <c r="F8377" s="1">
        <v>15</v>
      </c>
      <c r="G8377" s="1">
        <v>6</v>
      </c>
      <c r="H8377" s="1">
        <v>1</v>
      </c>
      <c r="I8377" s="1" t="s">
        <v>16478</v>
      </c>
      <c r="K8377" s="1" t="str">
        <f t="shared" si="528"/>
        <v>ㄒ</v>
      </c>
      <c r="L8377" s="1" t="str">
        <f t="shared" si="529"/>
        <v>ㄧ</v>
      </c>
      <c r="M8377" s="1" t="str">
        <f t="shared" si="527"/>
        <v>ㄝ</v>
      </c>
      <c r="P8377" s="1" t="s">
        <v>20</v>
      </c>
      <c r="R8377" s="1" t="s">
        <v>16479</v>
      </c>
      <c r="V8377" s="1" t="s">
        <v>16494</v>
      </c>
      <c r="W8377" s="1" t="s">
        <v>16495</v>
      </c>
      <c r="AR8377" s="1" t="str">
        <f t="shared" si="526"/>
        <v>| [ㄒㄧㄝˊ](ㄒㄧㄝˊ.md) | [頡](頡.md) |  | xié | [名]
1.伸長、僵直的脖子。《說文解字．頁部》：「頡，直項也。」
2.一種形狀像青狗的野獸。《山海經．中山經》：「東南流注于汝水，其中多人魚，多蛟，多頡。」晉．郭璞．注：「（頡）如青狗。」
3.姓。如古代有賢者頡衛。
[動]
向上飛。《廣韻．入聲．屑韻》：「頡，詩傳云：『飛而上曰頡。』」《詩經．邶風．燕燕》：「燕燕于飛，頡之頏之。」 |</v>
      </c>
    </row>
    <row r="8378" spans="1:44" hidden="1">
      <c r="A8378" s="1" t="s">
        <v>13423</v>
      </c>
      <c r="C8378" s="1">
        <v>1</v>
      </c>
      <c r="D8378" s="1" t="str">
        <f>"06934"</f>
        <v>06934</v>
      </c>
      <c r="E8378" s="1" t="s">
        <v>24</v>
      </c>
      <c r="F8378" s="1">
        <v>18</v>
      </c>
      <c r="G8378" s="1">
        <v>15</v>
      </c>
      <c r="H8378" s="1">
        <v>2</v>
      </c>
      <c r="I8378" s="1" t="s">
        <v>16478</v>
      </c>
      <c r="K8378" s="1" t="str">
        <f t="shared" si="528"/>
        <v>ㄒ</v>
      </c>
      <c r="L8378" s="1" t="str">
        <f t="shared" si="529"/>
        <v>ㄧ</v>
      </c>
      <c r="M8378" s="1" t="str">
        <f t="shared" si="527"/>
        <v>ㄝ</v>
      </c>
      <c r="P8378" s="1" t="s">
        <v>110</v>
      </c>
      <c r="R8378" s="1" t="s">
        <v>16479</v>
      </c>
      <c r="V8378" s="1" t="s">
        <v>111</v>
      </c>
      <c r="W8378" s="1" t="s">
        <v>16496</v>
      </c>
      <c r="AR8378" s="1" t="str">
        <f t="shared" si="526"/>
        <v>| [ㄒㄧㄝˊ](ㄒㄧㄝˊ.md) | [擷](擷.md) |  | xié | (一)之又音。 |</v>
      </c>
    </row>
    <row r="8379" spans="1:44" hidden="1">
      <c r="A8379" s="1" t="s">
        <v>16497</v>
      </c>
      <c r="C8379" s="1">
        <v>1</v>
      </c>
      <c r="D8379" s="1" t="str">
        <f>"06935"</f>
        <v>06935</v>
      </c>
      <c r="E8379" s="1" t="s">
        <v>340</v>
      </c>
      <c r="F8379" s="1">
        <v>21</v>
      </c>
      <c r="G8379" s="1">
        <v>15</v>
      </c>
      <c r="H8379" s="1">
        <v>0</v>
      </c>
      <c r="I8379" s="1" t="s">
        <v>16478</v>
      </c>
      <c r="K8379" s="1" t="str">
        <f t="shared" si="528"/>
        <v>ㄒ</v>
      </c>
      <c r="L8379" s="1" t="str">
        <f t="shared" si="529"/>
        <v>ㄧ</v>
      </c>
      <c r="M8379" s="1" t="str">
        <f t="shared" si="527"/>
        <v>ㄝ</v>
      </c>
      <c r="P8379" s="1" t="s">
        <v>20</v>
      </c>
      <c r="R8379" s="1" t="s">
        <v>16479</v>
      </c>
      <c r="V8379" s="1" t="s">
        <v>16498</v>
      </c>
      <c r="AR8379" s="1" t="str">
        <f t="shared" si="526"/>
        <v>| [ㄒㄧㄝˊ](ㄒㄧㄝˊ.md) | [襭](襭.md) |  | xié | [動]
用衣服的下襬兜圍東西。《廣韻．入聲．屑韻》：「襭，以衣衽盛物也。」《詩經．周南．芣苢》：「采采芣苢，薄言襭之。」 |</v>
      </c>
    </row>
    <row r="8380" spans="1:44" hidden="1">
      <c r="A8380" s="1" t="s">
        <v>16499</v>
      </c>
      <c r="C8380" s="1">
        <v>1</v>
      </c>
      <c r="D8380" s="1" t="str">
        <f>"06936"</f>
        <v>06936</v>
      </c>
      <c r="E8380" s="1" t="s">
        <v>725</v>
      </c>
      <c r="F8380" s="1">
        <v>21</v>
      </c>
      <c r="G8380" s="1">
        <v>15</v>
      </c>
      <c r="H8380" s="1">
        <v>0</v>
      </c>
      <c r="I8380" s="1" t="s">
        <v>16478</v>
      </c>
      <c r="K8380" s="1" t="str">
        <f t="shared" si="528"/>
        <v>ㄒ</v>
      </c>
      <c r="L8380" s="1" t="str">
        <f t="shared" si="529"/>
        <v>ㄧ</v>
      </c>
      <c r="M8380" s="1" t="str">
        <f t="shared" si="527"/>
        <v>ㄝ</v>
      </c>
      <c r="P8380" s="1" t="s">
        <v>20</v>
      </c>
      <c r="R8380" s="1" t="s">
        <v>16479</v>
      </c>
      <c r="V8380" s="1" t="s">
        <v>16500</v>
      </c>
      <c r="AR8380" s="1" t="str">
        <f t="shared" si="526"/>
        <v>| [ㄒㄧㄝˊ](ㄒㄧㄝˊ.md) | [纈](纈.md) |  | xié | [名]
1.有花紋的絲織品。唐．薛濤〈海棠溪〉詩：「人世不思靈卉異，競將紅纈染輕紗。」
2.眼花時所見的星點。宋．蘇舜欽〈奉酬公素學士見招之作〉詩：「神迷耳熱眼生纈，嚼盡寶壓狂醒消。」 |</v>
      </c>
    </row>
    <row r="8381" spans="1:44" hidden="1">
      <c r="A8381" s="1" t="s">
        <v>13278</v>
      </c>
      <c r="C8381" s="1">
        <v>1</v>
      </c>
      <c r="D8381" s="1" t="str">
        <f>"06937"</f>
        <v>06937</v>
      </c>
      <c r="E8381" s="1" t="s">
        <v>24</v>
      </c>
      <c r="F8381" s="1">
        <v>10</v>
      </c>
      <c r="G8381" s="1">
        <v>7</v>
      </c>
      <c r="H8381" s="1">
        <v>1</v>
      </c>
      <c r="I8381" s="1" t="s">
        <v>16478</v>
      </c>
      <c r="K8381" s="1" t="str">
        <f t="shared" si="528"/>
        <v>ㄒ</v>
      </c>
      <c r="L8381" s="1" t="str">
        <f t="shared" si="529"/>
        <v>ㄧ</v>
      </c>
      <c r="M8381" s="1" t="str">
        <f t="shared" si="527"/>
        <v>ㄝ</v>
      </c>
      <c r="P8381" s="1" t="s">
        <v>20</v>
      </c>
      <c r="R8381" s="1" t="s">
        <v>16479</v>
      </c>
      <c r="V8381" s="1" t="s">
        <v>16501</v>
      </c>
      <c r="W8381" s="1" t="s">
        <v>16502</v>
      </c>
      <c r="AR8381" s="1" t="str">
        <f t="shared" si="526"/>
        <v>| [ㄒㄧㄝˊ](ㄒㄧㄝˊ.md) | [挾](挾.md) |  | xié | [動]
1.夾在腋下、懷夾。《國語．齊語》：「時雨既至，挾其槍、刈、耨、鎛，以旦暮從事於田野。」《孟子．梁惠王上》：「挾太山以超北海。」
2.從旁箝夾。《文選．王粲．登樓賦》：「挾清漳之通浦兮，倚曲沮之長洲。」
3.脅持。如：「要挾」。《三國志．卷三五．蜀書．諸葛亮傳》：「挾天子而令諸侯。」《水滸傳》第三六回：「若是如此來挾我，只是逼宋江性命，我自不如死了。」
4.持握、持有。《戰國策．趙策四》：「位尊而無功，奉厚而無勞，而挾重器多也。」《楚辭．屈原．九歌．國殤》：「帶長劍兮挾秦弓，首身離兮心不懲。」
5.倚仗、倚持。如：「挾恃」。《孟子．萬章下》：「不挾長，不挾貴。」清．洪昇《長生殿》第三〇齣：「況且弟兄姊妹挾勢弄權，罪惡滔天。」
6.夾帶、夾雜。宋．辛棄疾〈浣溪沙．梅子熟時到幾回〉詞：「晚雲挾雨喚歸來。」
7.懷藏、隱藏。如：「挾怨」。《漢書．卷五六．董仲舒傳》：「秦繼其後，獨不能改，又益甚之，重禁文學，不得挾書。」元．關漢卿《望江亭》第二折：「挾這讎氣，朦朧奏過聖人，要標取我的首級。」 |</v>
      </c>
    </row>
    <row r="8382" spans="1:44" hidden="1">
      <c r="A8382" s="1" t="s">
        <v>13360</v>
      </c>
      <c r="C8382" s="1">
        <v>1</v>
      </c>
      <c r="D8382" s="1" t="str">
        <f>"06938"</f>
        <v>06938</v>
      </c>
      <c r="E8382" s="1" t="s">
        <v>114</v>
      </c>
      <c r="F8382" s="1">
        <v>11</v>
      </c>
      <c r="G8382" s="1">
        <v>9</v>
      </c>
      <c r="H8382" s="1">
        <v>1</v>
      </c>
      <c r="I8382" s="1" t="s">
        <v>16478</v>
      </c>
      <c r="K8382" s="1" t="str">
        <f t="shared" si="528"/>
        <v>ㄒ</v>
      </c>
      <c r="L8382" s="1" t="str">
        <f t="shared" si="529"/>
        <v>ㄧ</v>
      </c>
      <c r="M8382" s="1" t="str">
        <f t="shared" si="527"/>
        <v>ㄝ</v>
      </c>
      <c r="P8382" s="1" t="s">
        <v>20</v>
      </c>
      <c r="R8382" s="1" t="s">
        <v>16479</v>
      </c>
      <c r="V8382" s="1" t="s">
        <v>16503</v>
      </c>
      <c r="W8382" s="1" t="s">
        <v>16504</v>
      </c>
      <c r="AR8382" s="1" t="str">
        <f t="shared" si="526"/>
        <v>| [ㄒㄧㄝˊ](ㄒㄧㄝˊ.md) | [偕](偕.md) |  | xié | [副]
1.共同、一起。如：「偕行」、「偕入」。《詩經．邶風．擊鼓》：「執子之手，與子偕老。」《孟子．梁惠王上》：「古之人，與民偕樂，故能樂也。」
2.皆、全部。宋．范仲淹〈岳陽樓記〉：「登斯樓也，則有心曠神怡、寵辱偕忘、把酒臨風，其喜洋洋者矣。」
[動]
1.劃一、齊一。《管子．幼官》：「修道路，偕度量，一稱數。」
2.比並、較量。唐．柳宗元〈衡山中院大律師塔銘．序〉：「受學之眾，他莫能偕也。」《太平廣記．卷五三．金可記》：「精勤為事，人不可偕也。」 |</v>
      </c>
    </row>
    <row r="8383" spans="1:44" hidden="1">
      <c r="A8383" s="1" t="s">
        <v>16505</v>
      </c>
      <c r="C8383" s="1">
        <v>1</v>
      </c>
      <c r="D8383" s="1" t="str">
        <f>"06939"</f>
        <v>06939</v>
      </c>
      <c r="E8383" s="1" t="s">
        <v>331</v>
      </c>
      <c r="F8383" s="1">
        <v>16</v>
      </c>
      <c r="G8383" s="1">
        <v>9</v>
      </c>
      <c r="H8383" s="1">
        <v>0</v>
      </c>
      <c r="I8383" s="1" t="s">
        <v>16478</v>
      </c>
      <c r="K8383" s="1" t="str">
        <f t="shared" si="528"/>
        <v>ㄒ</v>
      </c>
      <c r="L8383" s="1" t="str">
        <f t="shared" si="529"/>
        <v>ㄧ</v>
      </c>
      <c r="M8383" s="1" t="str">
        <f t="shared" si="527"/>
        <v>ㄝ</v>
      </c>
      <c r="P8383" s="1" t="s">
        <v>20</v>
      </c>
      <c r="R8383" s="1" t="s">
        <v>16479</v>
      </c>
      <c r="V8383" s="1" t="s">
        <v>16506</v>
      </c>
      <c r="AR8383" s="1" t="str">
        <f t="shared" si="526"/>
        <v>| [ㄒㄧㄝˊ](ㄒㄧㄝˊ.md) | [諧](諧.md) |  | xié | [動]
1.和合、調和。《書經．舜典》：「八音克諧，無相奪倫。」《左傳．襄公十一年》：「如樂之和，無所不諧。」
2.辦成、說妥。《董西廂》卷三：「願先生變雅操為和聲，以詞挑之，事必諧矣。」《鏡花緣》第一五回：「老師如攜門生信去，此事斷無不諧。」
3.商議、協調。《後漢書．卷七八．宦者傳．張讓傳》：「當之官者，皆先至西園諧價，然後得去。」
[形]
滑稽、戲謔。如：「詼諧」。《漢書．卷六五．東方朔傳》：「上以朔口諧辭給，好作問之。」 |</v>
      </c>
    </row>
    <row r="8384" spans="1:44" hidden="1">
      <c r="A8384" s="1" t="s">
        <v>16507</v>
      </c>
      <c r="C8384" s="1">
        <v>1</v>
      </c>
      <c r="D8384" s="1" t="str">
        <f>"06940"</f>
        <v>06940</v>
      </c>
      <c r="E8384" s="1" t="s">
        <v>11513</v>
      </c>
      <c r="F8384" s="1">
        <v>26</v>
      </c>
      <c r="G8384" s="1">
        <v>9</v>
      </c>
      <c r="H8384" s="1">
        <v>0</v>
      </c>
      <c r="I8384" s="1" t="s">
        <v>16478</v>
      </c>
      <c r="K8384" s="1" t="str">
        <f t="shared" si="528"/>
        <v>ㄒ</v>
      </c>
      <c r="L8384" s="1" t="str">
        <f t="shared" si="529"/>
        <v>ㄧ</v>
      </c>
      <c r="M8384" s="1" t="str">
        <f t="shared" si="527"/>
        <v>ㄝ</v>
      </c>
      <c r="P8384" s="1" t="s">
        <v>20</v>
      </c>
      <c r="R8384" s="1" t="s">
        <v>16479</v>
      </c>
      <c r="V8384" s="1" t="s">
        <v>16508</v>
      </c>
      <c r="AR8384" s="1" t="str">
        <f t="shared" si="526"/>
        <v>| [ㄒㄧㄝˊ](ㄒㄧㄝˊ.md) | [龤](龤.md) |  | xié | [形]
樂音和諧。同「諧」。《說文解字．龠部》：「龤，樂龢也。」清．段玉裁．注：「龤龢作諧和者，皆古今字。」 |</v>
      </c>
    </row>
    <row r="8385" spans="1:44" hidden="1">
      <c r="A8385" s="1" t="s">
        <v>16418</v>
      </c>
      <c r="C8385" s="1">
        <v>1</v>
      </c>
      <c r="D8385" s="1" t="str">
        <f>"06941"</f>
        <v>06941</v>
      </c>
      <c r="E8385" s="1" t="s">
        <v>4869</v>
      </c>
      <c r="F8385" s="1">
        <v>11</v>
      </c>
      <c r="G8385" s="1">
        <v>7</v>
      </c>
      <c r="H8385" s="1">
        <v>1</v>
      </c>
      <c r="I8385" s="1" t="s">
        <v>16478</v>
      </c>
      <c r="K8385" s="1" t="str">
        <f t="shared" si="528"/>
        <v>ㄒ</v>
      </c>
      <c r="L8385" s="1" t="str">
        <f t="shared" si="529"/>
        <v>ㄧ</v>
      </c>
      <c r="M8385" s="1" t="str">
        <f t="shared" si="527"/>
        <v>ㄝ</v>
      </c>
      <c r="P8385" s="1" t="s">
        <v>20</v>
      </c>
      <c r="R8385" s="1" t="s">
        <v>16479</v>
      </c>
      <c r="V8385" s="1" t="s">
        <v>16509</v>
      </c>
      <c r="W8385" s="1" t="s">
        <v>16510</v>
      </c>
      <c r="AR8385" s="1" t="str">
        <f t="shared" si="526"/>
        <v>| [ㄒㄧㄝˊ](ㄒㄧㄝˊ.md) | [斜](斜.md) |  | xié | [形]
不正、傾側。如：「斜角」、「斜坡」、「斜線」。宋．辛棄疾〈永遇樂．千古江山〉詞：「斜陽草樹，尋常巷陌，人道寄奴曾住。」
[動]
非水平或垂直方向的移動。《文選．賈誼．鵩鳥賦》：「庚子日斜兮，鵩集予舍。」唐．杜甫〈水檻遣興〉詩二首之一：「細雨魚兒出，微風燕子斜。」
[名]
地名用字。常用於地勢傾斜的地方。如：「玉鉤斜」、「內人斜」、「陳陶斜」。 |</v>
      </c>
    </row>
    <row r="8386" spans="1:44" hidden="1">
      <c r="A8386" s="1" t="s">
        <v>13480</v>
      </c>
      <c r="C8386" s="1">
        <v>1</v>
      </c>
      <c r="D8386" s="1" t="str">
        <f>"06942"</f>
        <v>06942</v>
      </c>
      <c r="E8386" s="1" t="s">
        <v>725</v>
      </c>
      <c r="F8386" s="1">
        <v>12</v>
      </c>
      <c r="G8386" s="1">
        <v>6</v>
      </c>
      <c r="H8386" s="1">
        <v>2</v>
      </c>
      <c r="I8386" s="1" t="s">
        <v>16478</v>
      </c>
      <c r="K8386" s="1" t="str">
        <f t="shared" si="528"/>
        <v>ㄒ</v>
      </c>
      <c r="L8386" s="1" t="str">
        <f t="shared" si="529"/>
        <v>ㄧ</v>
      </c>
      <c r="M8386" s="1" t="str">
        <f t="shared" si="527"/>
        <v>ㄝ</v>
      </c>
      <c r="P8386" s="1" t="s">
        <v>20</v>
      </c>
      <c r="R8386" s="1" t="s">
        <v>16479</v>
      </c>
      <c r="V8386" s="1" t="s">
        <v>16511</v>
      </c>
      <c r="W8386" s="1" t="s">
        <v>16512</v>
      </c>
      <c r="AR8386" s="1" t="str">
        <f t="shared" si="526"/>
        <v>| [ㄒㄧㄝˊ](ㄒㄧㄝˊ.md) | [絜](絜.md) |  | xié | [動]
1.用繩子測量寬度。《集韻．入聲．屑韻》：「絜，約束知大小也。」《莊子．人間世》：「匠石之齊，至於曲轅，見櫟社樹，其大蔽數千牛，絜之百圍。」
2.審度、比較。《文選．賈誼．過秦論》：「與陳涉度長絜大，比權量力。」 |</v>
      </c>
    </row>
    <row r="8387" spans="1:44" hidden="1">
      <c r="A8387" s="1" t="s">
        <v>16513</v>
      </c>
      <c r="C8387" s="1">
        <v>1</v>
      </c>
      <c r="D8387" s="1" t="str">
        <f>"06943"</f>
        <v>06943</v>
      </c>
      <c r="E8387" s="1" t="s">
        <v>96</v>
      </c>
      <c r="F8387" s="1">
        <v>15</v>
      </c>
      <c r="G8387" s="1">
        <v>6</v>
      </c>
      <c r="H8387" s="1">
        <v>0</v>
      </c>
      <c r="I8387" s="1" t="s">
        <v>16478</v>
      </c>
      <c r="K8387" s="1" t="str">
        <f t="shared" si="528"/>
        <v>ㄒ</v>
      </c>
      <c r="L8387" s="1" t="str">
        <f t="shared" si="529"/>
        <v>ㄧ</v>
      </c>
      <c r="M8387" s="1" t="str">
        <f t="shared" si="527"/>
        <v>ㄝ</v>
      </c>
      <c r="P8387" s="1" t="s">
        <v>20</v>
      </c>
      <c r="R8387" s="1" t="s">
        <v>16479</v>
      </c>
      <c r="V8387" s="1" t="s">
        <v>16514</v>
      </c>
      <c r="AR8387" s="1" t="str">
        <f t="shared" ref="AR8387:AR8450" si="530">"| ["&amp;I8387&amp;"]("&amp;I8387&amp;".md) | ["&amp;A8387&amp;"]("&amp;A8387&amp;".md) | "&amp;" | "&amp;R8387&amp;" | "&amp;V8387&amp;" |"</f>
        <v>| [ㄒㄧㄝˊ](ㄒㄧㄝˊ.md) | [鞋](鞋.md) |  | xié | [名]
腳上的穿著物。低筒、用以保護足部，便於行走。如：「皮鞋」、「球鞋」、「繡花鞋」。 |</v>
      </c>
    </row>
    <row r="8388" spans="1:44" hidden="1">
      <c r="A8388" s="1" t="s">
        <v>10384</v>
      </c>
      <c r="C8388" s="1">
        <v>1</v>
      </c>
      <c r="D8388" s="1" t="str">
        <f>"06944"</f>
        <v>06944</v>
      </c>
      <c r="E8388" s="1" t="s">
        <v>156</v>
      </c>
      <c r="F8388" s="1">
        <v>17</v>
      </c>
      <c r="G8388" s="1">
        <v>6</v>
      </c>
      <c r="H8388" s="1">
        <v>2</v>
      </c>
      <c r="I8388" s="1" t="s">
        <v>16478</v>
      </c>
      <c r="K8388" s="1" t="str">
        <f t="shared" si="528"/>
        <v>ㄒ</v>
      </c>
      <c r="L8388" s="1" t="str">
        <f t="shared" si="529"/>
        <v>ㄧ</v>
      </c>
      <c r="M8388" s="1" t="str">
        <f t="shared" si="527"/>
        <v>ㄝ</v>
      </c>
      <c r="P8388" s="1" t="s">
        <v>20</v>
      </c>
      <c r="R8388" s="1" t="s">
        <v>16479</v>
      </c>
      <c r="V8388" s="1" t="s">
        <v>16515</v>
      </c>
      <c r="W8388" s="1" t="s">
        <v>16516</v>
      </c>
      <c r="AR8388" s="1" t="str">
        <f t="shared" si="530"/>
        <v>| [ㄒㄧㄝˊ](ㄒㄧㄝˊ.md) | [鮭](鮭.md) |  | xié | [名]
魚類菜餚的總稱。參見「鮭菜」條。 |</v>
      </c>
    </row>
    <row r="8389" spans="1:44" hidden="1">
      <c r="A8389" s="1" t="s">
        <v>16204</v>
      </c>
      <c r="C8389" s="1">
        <v>1</v>
      </c>
      <c r="D8389" s="1" t="str">
        <f>"06945"</f>
        <v>06945</v>
      </c>
      <c r="E8389" s="1" t="s">
        <v>24</v>
      </c>
      <c r="F8389" s="1">
        <v>21</v>
      </c>
      <c r="G8389" s="1">
        <v>18</v>
      </c>
      <c r="H8389" s="1">
        <v>2</v>
      </c>
      <c r="I8389" s="1" t="s">
        <v>16478</v>
      </c>
      <c r="K8389" s="1" t="str">
        <f t="shared" si="528"/>
        <v>ㄒ</v>
      </c>
      <c r="L8389" s="1" t="str">
        <f t="shared" si="529"/>
        <v>ㄧ</v>
      </c>
      <c r="M8389" s="1" t="str">
        <f t="shared" si="527"/>
        <v>ㄝ</v>
      </c>
      <c r="P8389" s="1" t="s">
        <v>388</v>
      </c>
      <c r="R8389" s="1" t="s">
        <v>16479</v>
      </c>
      <c r="V8389" s="1" t="s">
        <v>407</v>
      </c>
      <c r="W8389" s="1" t="s">
        <v>16517</v>
      </c>
      <c r="AR8389" s="1" t="str">
        <f t="shared" si="530"/>
        <v>| [ㄒㄧㄝˊ](ㄒㄧㄝˊ.md) | [攜](攜.md) |  | xié | (一)之語音。 |</v>
      </c>
    </row>
    <row r="8390" spans="1:44" hidden="1">
      <c r="A8390" s="1" t="s">
        <v>16518</v>
      </c>
      <c r="C8390" s="1">
        <v>1</v>
      </c>
      <c r="D8390" s="1" t="str">
        <f>"06946"</f>
        <v>06946</v>
      </c>
      <c r="E8390" s="1" t="s">
        <v>1681</v>
      </c>
      <c r="F8390" s="1">
        <v>6</v>
      </c>
      <c r="G8390" s="1">
        <v>0</v>
      </c>
      <c r="H8390" s="1">
        <v>1</v>
      </c>
      <c r="I8390" s="1" t="s">
        <v>16519</v>
      </c>
      <c r="K8390" s="1" t="str">
        <f t="shared" si="528"/>
        <v>ㄒ</v>
      </c>
      <c r="L8390" s="1" t="str">
        <f t="shared" si="529"/>
        <v>ㄧ</v>
      </c>
      <c r="M8390" s="1" t="str">
        <f t="shared" si="527"/>
        <v>ㄝ</v>
      </c>
      <c r="P8390" s="1" t="s">
        <v>388</v>
      </c>
      <c r="R8390" s="1" t="s">
        <v>16520</v>
      </c>
      <c r="V8390" s="1" t="s">
        <v>16521</v>
      </c>
      <c r="W8390" s="1" t="s">
        <v>16522</v>
      </c>
      <c r="AR8390" s="1" t="str">
        <f t="shared" si="530"/>
        <v>| [ㄒㄧㄝˇ](ㄒㄧㄝˇ.md) | [血](血.md) |  | xiě | [名]
1.動物循環系統的體液之一，可循流全身，輸送氧、養分及代謝物。英文為blood。
2.眼淚。漢．李陵〈答蘇武書〉：「天地為陵震怒，戰士為陵飲血。」唐．顧況〈傷子〉詩：「老夫哭愛子，日暮千行血。」
3.二一四部首之一。
[動]
用鮮血沾染。《荀子．議兵》：「兵不血刃，遠邇來服。」
[形]
1.有血緣關係的。如：「血統」、「血親」。
2.剛強、熱烈。如：「血性男兒」、「血氣方剛」。《儒林外史》第一四回：「像你這樣血心為朋友，難道我們當差的心不是肉做的？」 |</v>
      </c>
    </row>
    <row r="8391" spans="1:44" hidden="1">
      <c r="A8391" s="1" t="s">
        <v>16523</v>
      </c>
      <c r="C8391" s="1">
        <v>1</v>
      </c>
      <c r="D8391" s="1" t="str">
        <f>"06947"</f>
        <v>06947</v>
      </c>
      <c r="E8391" s="1" t="s">
        <v>624</v>
      </c>
      <c r="F8391" s="1">
        <v>15</v>
      </c>
      <c r="G8391" s="1">
        <v>12</v>
      </c>
      <c r="H8391" s="1">
        <v>1</v>
      </c>
      <c r="I8391" s="1" t="s">
        <v>16519</v>
      </c>
      <c r="K8391" s="1" t="str">
        <f t="shared" si="528"/>
        <v>ㄒ</v>
      </c>
      <c r="L8391" s="1" t="str">
        <f t="shared" si="529"/>
        <v>ㄧ</v>
      </c>
      <c r="M8391" s="1" t="str">
        <f t="shared" si="527"/>
        <v>ㄝ</v>
      </c>
      <c r="P8391" s="1" t="s">
        <v>20</v>
      </c>
      <c r="R8391" s="1" t="s">
        <v>16520</v>
      </c>
      <c r="V8391" s="1" t="s">
        <v>16524</v>
      </c>
      <c r="W8391" s="1" t="s">
        <v>16525</v>
      </c>
      <c r="AR8391" s="1" t="str">
        <f t="shared" si="530"/>
        <v>| [ㄒㄧㄝˇ](ㄒㄧㄝˇ.md) | [寫](寫.md) |  | xiě | [動]
1.放置、移置。《說文解字．宀部》：「寫，置物也。」《禮記．曲禮上》：「御食於君，君賜餘器之溉者不寫，其餘皆寫。」
2.拿筆記錄文字。如：「寫字」、「默寫」、「寫稿子」、「寫對聯」。
3.描繪、描寫。如：「寫景」、「寫生」。《文選．江淹．別賦》：「誰能摹暫離之狀，寫永訣之情者乎？」《聊齋志異．卷一二．寄生》：「遂以五可之容顏髮膚，神情態度，口寫而生狀之。」
4.抄錄。《漢書．卷三〇．藝文志》：「建藏書之策，置寫書之官。」《晉書．卷九二．文苑傳．左思傳》：「於是豪貴之家競相傳寫，洛陽為之紙貴。」
5.訂約租賃。《警世通言．卷一一．蘇知縣羅衫再合》：「聽得說有個少年知縣換船到任，寫了哥子的船。」
6.傾訴、舒洩。《詩經．邶風．泉水》：「駕言出遊，以寫我憂。」唐．李白〈冬夜醉宿龍門覺起言志〉詩：「富貴未可期，殷憂向誰寫。」 |</v>
      </c>
    </row>
    <row r="8392" spans="1:44" hidden="1">
      <c r="A8392" s="1" t="s">
        <v>16526</v>
      </c>
      <c r="C8392" s="1">
        <v>1</v>
      </c>
      <c r="D8392" s="1" t="str">
        <f>"06948"</f>
        <v>06948</v>
      </c>
      <c r="E8392" s="1" t="s">
        <v>679</v>
      </c>
      <c r="F8392" s="1">
        <v>19</v>
      </c>
      <c r="G8392" s="1">
        <v>13</v>
      </c>
      <c r="H8392" s="1">
        <v>2</v>
      </c>
      <c r="I8392" s="1" t="s">
        <v>16519</v>
      </c>
      <c r="K8392" s="1" t="str">
        <f t="shared" si="528"/>
        <v>ㄒ</v>
      </c>
      <c r="L8392" s="1" t="str">
        <f t="shared" si="529"/>
        <v>ㄧ</v>
      </c>
      <c r="M8392" s="1" t="str">
        <f t="shared" si="527"/>
        <v>ㄝ</v>
      </c>
      <c r="P8392" s="1" t="s">
        <v>110</v>
      </c>
      <c r="R8392" s="1" t="s">
        <v>16520</v>
      </c>
      <c r="V8392" s="1" t="s">
        <v>111</v>
      </c>
      <c r="W8392" s="1" t="s">
        <v>16527</v>
      </c>
      <c r="AR8392" s="1" t="str">
        <f t="shared" si="530"/>
        <v>| [ㄒㄧㄝˇ](ㄒㄧㄝˇ.md) | [蟹](蟹.md) |  | xiě | (一)之又音。 |</v>
      </c>
    </row>
    <row r="8393" spans="1:44" hidden="1">
      <c r="A8393" s="1" t="s">
        <v>5703</v>
      </c>
      <c r="C8393" s="1">
        <v>1</v>
      </c>
      <c r="D8393" s="1" t="str">
        <f>"06949"</f>
        <v>06949</v>
      </c>
      <c r="E8393" s="1" t="s">
        <v>336</v>
      </c>
      <c r="F8393" s="1">
        <v>7</v>
      </c>
      <c r="G8393" s="1">
        <v>3</v>
      </c>
      <c r="H8393" s="1">
        <v>1</v>
      </c>
      <c r="I8393" s="1" t="s">
        <v>16528</v>
      </c>
      <c r="K8393" s="1" t="str">
        <f t="shared" si="528"/>
        <v>ㄒ</v>
      </c>
      <c r="L8393" s="1" t="str">
        <f t="shared" si="529"/>
        <v>ㄧ</v>
      </c>
      <c r="M8393" s="1" t="str">
        <f t="shared" si="527"/>
        <v>ㄝ</v>
      </c>
      <c r="P8393" s="1" t="s">
        <v>20</v>
      </c>
      <c r="R8393" s="1" t="s">
        <v>16529</v>
      </c>
      <c r="V8393" s="1" t="s">
        <v>16530</v>
      </c>
      <c r="W8393" s="1" t="s">
        <v>16531</v>
      </c>
      <c r="AR8393" s="1" t="str">
        <f t="shared" si="530"/>
        <v>| [ㄒㄧㄝˋ](ㄒㄧㄝˋ.md) | [灺](灺.md) |  | xiè | [名]
燈燭燒剩的殘餘物。唐．元稹〈通州丁溪館夜別李景信〉詩三首之二：「離床別臉睡還開，燈灺暗飄珠蔌蔌。」唐．李商隱〈聞歌〉：「此聲腸斷非今日，香灺燈光奈爾何。」 |</v>
      </c>
    </row>
    <row r="8394" spans="1:44" hidden="1">
      <c r="A8394" s="1" t="s">
        <v>16532</v>
      </c>
      <c r="C8394" s="1">
        <v>1</v>
      </c>
      <c r="D8394" s="1" t="str">
        <f>"06950"</f>
        <v>06950</v>
      </c>
      <c r="E8394" s="1" t="s">
        <v>129</v>
      </c>
      <c r="F8394" s="1">
        <v>8</v>
      </c>
      <c r="G8394" s="1">
        <v>5</v>
      </c>
      <c r="H8394" s="1">
        <v>1</v>
      </c>
      <c r="I8394" s="1" t="s">
        <v>16528</v>
      </c>
      <c r="K8394" s="1" t="str">
        <f t="shared" si="528"/>
        <v>ㄒ</v>
      </c>
      <c r="L8394" s="1" t="str">
        <f t="shared" si="529"/>
        <v>ㄧ</v>
      </c>
      <c r="M8394" s="1" t="str">
        <f t="shared" si="527"/>
        <v>ㄝ</v>
      </c>
      <c r="P8394" s="1" t="s">
        <v>20</v>
      </c>
      <c r="R8394" s="1" t="s">
        <v>16529</v>
      </c>
      <c r="V8394" s="1" t="s">
        <v>16533</v>
      </c>
      <c r="W8394" s="1" t="s">
        <v>16534</v>
      </c>
      <c r="AR8394" s="1" t="str">
        <f t="shared" si="530"/>
        <v>| [ㄒㄧㄝˋ](ㄒㄧㄝˋ.md) | [泄](泄.md) |  | xiè | [動]_x000D_
1.液體或氣體等排出、漏出。如：「排泄」。《莊子．秋水》：「天下之水，莫大於海，萬川歸之，不知何時止，而不盈；尾閭泄之，不知何時已，而不虛。」《禮記．月令》：「是月也，生氣方盛，陽氣發泄，句者畢出，萌者盡達，不可以內。」唐．杜甫〈北征〉詩：「老夫情懷惡，嘔泄臥數日。」《初刻拍案驚奇》卷一七：「又有時夢見師父來爭風，染成遺精夢泄癆瘵之病，未幾身死。」_x000D_
2.透露、露出。如：「泄露」、「泄密」。《管子．君臣下》：「古者有二言：牆有耳、伏寇在側。牆有耳者，微謀外泄之謂也。」《史記．卷一〇五．扁鵲倉公列傳．扁鵲》：「我有禁方，年老，欲傳與公，公毋泄。」_x000D_
3.發散。如：「泄恨」、「泄憤」。宋．張孝祥〈代總得居士與葉參政〉：「師退，虜復取之，即盡屠其人，以泄憤怒。然民終不悔。」_x000D_
[名]_x000D_
1.中醫上指肌肉失去收縮功能的症狀。漢．張機《金匱要略方論．卷上．中風歷節病脈證并治．桂枝芍藥知母湯方》：「味酸則傷筋，筋傷則緩，名曰泄。」_x000D_
2.姓。如春秋時魯國有泄柳。 |</v>
      </c>
    </row>
    <row r="8395" spans="1:44" hidden="1">
      <c r="A8395" s="1" t="s">
        <v>16535</v>
      </c>
      <c r="C8395" s="1">
        <v>1</v>
      </c>
      <c r="D8395" s="1" t="str">
        <f>"06951"</f>
        <v>06951</v>
      </c>
      <c r="E8395" s="1" t="s">
        <v>725</v>
      </c>
      <c r="F8395" s="1">
        <v>11</v>
      </c>
      <c r="G8395" s="1">
        <v>5</v>
      </c>
      <c r="H8395" s="1">
        <v>0</v>
      </c>
      <c r="I8395" s="1" t="s">
        <v>16528</v>
      </c>
      <c r="K8395" s="1" t="str">
        <f t="shared" si="528"/>
        <v>ㄒ</v>
      </c>
      <c r="L8395" s="1" t="str">
        <f t="shared" si="529"/>
        <v>ㄧ</v>
      </c>
      <c r="M8395" s="1" t="str">
        <f t="shared" si="527"/>
        <v>ㄝ</v>
      </c>
      <c r="P8395" s="1" t="s">
        <v>20</v>
      </c>
      <c r="R8395" s="1" t="s">
        <v>16529</v>
      </c>
      <c r="V8395" s="1" t="s">
        <v>16536</v>
      </c>
      <c r="AR8395" s="1" t="str">
        <f t="shared" si="530"/>
        <v>| [ㄒㄧㄝˋ](ㄒㄧㄝˋ.md) | [紲](紲.md) |  | xiè | [名]
拘繫用的繩索。《韓非子．說疑》：「或在山林藪澤巖穴之間，或在囹圄紲紲纏索之中。」《漢書．卷六二．司馬遷傳》：「十年而遭李陵之禍，幽於纍紲。」
[動]
拘繫、捆綁。《漢書．卷九九．王莽傳下》：「是猶紲韓盧而責之獲也。」《文選．張衡．東京賦》：「掃項軍於垓下，紲子嬰於軹塗。」 |</v>
      </c>
    </row>
    <row r="8396" spans="1:44" hidden="1">
      <c r="A8396" s="1" t="s">
        <v>16537</v>
      </c>
      <c r="C8396" s="1">
        <v>1</v>
      </c>
      <c r="D8396" s="1" t="str">
        <f>"06952"</f>
        <v>06952</v>
      </c>
      <c r="E8396" s="1" t="s">
        <v>129</v>
      </c>
      <c r="F8396" s="1">
        <v>12</v>
      </c>
      <c r="G8396" s="1">
        <v>9</v>
      </c>
      <c r="H8396" s="1">
        <v>0</v>
      </c>
      <c r="I8396" s="1" t="s">
        <v>16528</v>
      </c>
      <c r="K8396" s="1" t="str">
        <f t="shared" si="528"/>
        <v>ㄒ</v>
      </c>
      <c r="L8396" s="1" t="str">
        <f t="shared" si="529"/>
        <v>ㄧ</v>
      </c>
      <c r="M8396" s="1" t="str">
        <f t="shared" si="527"/>
        <v>ㄝ</v>
      </c>
      <c r="P8396" s="1" t="s">
        <v>20</v>
      </c>
      <c r="R8396" s="1" t="s">
        <v>16529</v>
      </c>
      <c r="V8396" s="1" t="s">
        <v>16538</v>
      </c>
      <c r="AR8396" s="1" t="str">
        <f t="shared" si="530"/>
        <v>| [ㄒㄧㄝˋ](ㄒㄧㄝˋ.md) | [渫](渫.md) |  | xiè | [動]
1.清除汙泥。《易經．井卦．九三》：「井渫不食，為我心惻。」《太平廣記．卷四二三．崔道樞》：「因井渫，得鯉魚一頭長五尺。」
2.分散、發散。漢．鼂錯〈論貴粟疏〉：「如此，富人有爵，農民有錢，粟有所渫 。」
3.停歇、止息。三國魏．曹植〈七啟〉：「於是為歡未渫，白日西頹。」
[名]
1.汙濁、汙穢。《漢書．卷六四下．嚴朱吾丘主父徐嚴終王賈傳．王襃》引漢．王襃〈聖主得賢臣頌〉：「去卑辱奧渫而升本朝，離疏釋蹻而享膏粱。」唐．韓愈〈江西觀察使韋公墓誌銘〉：「人去渫汙，氣益蘇。」
2.姓。如明代有渫升。 |</v>
      </c>
    </row>
    <row r="8397" spans="1:44" hidden="1">
      <c r="A8397" s="1" t="s">
        <v>16539</v>
      </c>
      <c r="C8397" s="1">
        <v>1</v>
      </c>
      <c r="D8397" s="1" t="str">
        <f>"06953"</f>
        <v>06953</v>
      </c>
      <c r="E8397" s="1" t="s">
        <v>534</v>
      </c>
      <c r="F8397" s="1">
        <v>12</v>
      </c>
      <c r="G8397" s="1">
        <v>9</v>
      </c>
      <c r="H8397" s="1">
        <v>0</v>
      </c>
      <c r="I8397" s="1" t="s">
        <v>16528</v>
      </c>
      <c r="K8397" s="1" t="str">
        <f t="shared" si="528"/>
        <v>ㄒ</v>
      </c>
      <c r="L8397" s="1" t="str">
        <f t="shared" si="529"/>
        <v>ㄧ</v>
      </c>
      <c r="M8397" s="1" t="str">
        <f t="shared" si="527"/>
        <v>ㄝ</v>
      </c>
      <c r="P8397" s="1" t="s">
        <v>20</v>
      </c>
      <c r="R8397" s="1" t="s">
        <v>16529</v>
      </c>
      <c r="V8397" s="1" t="s">
        <v>16540</v>
      </c>
      <c r="AR8397" s="1" t="str">
        <f t="shared" si="530"/>
        <v>| [ㄒㄧㄝˋ](ㄒㄧㄝˋ.md) | [媟](媟.md) |  | xiè | [動]
輕侮、不尊重。如：「媟慢」。《晉書．卷六九．周顗傳》：「雖時輩親狎，莫能媟也。」
[形]
汙穢、骯髒。如：「淫媟」。唐．杜牧〈唐故平盧節度巡官隴西李府君墓誌銘〉：「淫言媟語。」 |</v>
      </c>
    </row>
    <row r="8398" spans="1:44" hidden="1">
      <c r="A8398" s="1" t="s">
        <v>16541</v>
      </c>
      <c r="C8398" s="1">
        <v>1</v>
      </c>
      <c r="D8398" s="1" t="str">
        <f>"06954"</f>
        <v>06954</v>
      </c>
      <c r="E8398" s="1" t="s">
        <v>871</v>
      </c>
      <c r="F8398" s="1">
        <v>15</v>
      </c>
      <c r="G8398" s="1">
        <v>12</v>
      </c>
      <c r="H8398" s="1">
        <v>0</v>
      </c>
      <c r="I8398" s="1" t="s">
        <v>16528</v>
      </c>
      <c r="K8398" s="1" t="str">
        <f t="shared" si="528"/>
        <v>ㄒ</v>
      </c>
      <c r="L8398" s="1" t="str">
        <f t="shared" si="529"/>
        <v>ㄧ</v>
      </c>
      <c r="M8398" s="1" t="str">
        <f t="shared" si="527"/>
        <v>ㄝ</v>
      </c>
      <c r="P8398" s="1" t="s">
        <v>20</v>
      </c>
      <c r="R8398" s="1" t="s">
        <v>16529</v>
      </c>
      <c r="V8398" s="1" t="s">
        <v>16542</v>
      </c>
      <c r="AR8398" s="1" t="str">
        <f t="shared" si="530"/>
        <v>| [ㄒㄧㄝˋ](ㄒㄧㄝˋ.md) | [屧](屧.md) |  | xiè | [名]
1.木屐。《廣韻．入聲．帖韻》：「屧，屐也。」唐．段公路《北戶錄．卷三．抱木屧》：「抱木產水中，……今潮洲、新洲多刳之為屧。」
2.古代鞋下高起的木底。《南史．卷七三．孝義傳上．江泌傳》：「泌少貧，晝日斫屧為業，夜讀書隨月光。」 |</v>
      </c>
    </row>
    <row r="8399" spans="1:44" hidden="1">
      <c r="A8399" s="1" t="s">
        <v>16543</v>
      </c>
      <c r="C8399" s="1">
        <v>1</v>
      </c>
      <c r="D8399" s="1" t="str">
        <f>"06955"</f>
        <v>06955</v>
      </c>
      <c r="E8399" s="1" t="s">
        <v>2954</v>
      </c>
      <c r="F8399" s="1">
        <v>8</v>
      </c>
      <c r="G8399" s="1">
        <v>6</v>
      </c>
      <c r="H8399" s="1">
        <v>0</v>
      </c>
      <c r="I8399" s="1" t="s">
        <v>16528</v>
      </c>
      <c r="K8399" s="1" t="str">
        <f t="shared" si="528"/>
        <v>ㄒ</v>
      </c>
      <c r="L8399" s="1" t="str">
        <f t="shared" si="529"/>
        <v>ㄧ</v>
      </c>
      <c r="M8399" s="1" t="str">
        <f t="shared" si="527"/>
        <v>ㄝ</v>
      </c>
      <c r="P8399" s="1" t="s">
        <v>20</v>
      </c>
      <c r="R8399" s="1" t="s">
        <v>16529</v>
      </c>
      <c r="V8399" s="1" t="s">
        <v>16544</v>
      </c>
      <c r="AR8399" s="1" t="str">
        <f t="shared" si="530"/>
        <v>| [ㄒㄧㄝˋ](ㄒㄧㄝˋ.md) | [卸](卸.md) |  | xiè | [動]
1.把東西拿下或去除。如：「卸貨」、「卸妝」、「拆卸」、「卸下行李」。唐．李中〈維舟秋浦逢故人張矩同泊〉詩：「卸帆清夜碧江濱，冉冉涼風動白蘋。」
2.解除、推託。如：「卸職」、「卸任」、「推卸責任」。
3.凋謝、凋零。《清平山堂話本．西湖三塔記》：「春開楊柳，秋卸梧桐。」 |</v>
      </c>
    </row>
    <row r="8400" spans="1:44" hidden="1">
      <c r="A8400" s="1" t="s">
        <v>16545</v>
      </c>
      <c r="C8400" s="1">
        <v>1</v>
      </c>
      <c r="D8400" s="1" t="str">
        <f>"06956"</f>
        <v>06956</v>
      </c>
      <c r="E8400" s="1" t="s">
        <v>129</v>
      </c>
      <c r="F8400" s="1">
        <v>9</v>
      </c>
      <c r="G8400" s="1">
        <v>6</v>
      </c>
      <c r="H8400" s="1">
        <v>1</v>
      </c>
      <c r="I8400" s="1" t="s">
        <v>16528</v>
      </c>
      <c r="K8400" s="1" t="str">
        <f t="shared" si="528"/>
        <v>ㄒ</v>
      </c>
      <c r="L8400" s="1" t="str">
        <f t="shared" si="529"/>
        <v>ㄧ</v>
      </c>
      <c r="M8400" s="1" t="str">
        <f t="shared" si="527"/>
        <v>ㄝ</v>
      </c>
      <c r="P8400" s="1" t="s">
        <v>20</v>
      </c>
      <c r="R8400" s="1" t="s">
        <v>16529</v>
      </c>
      <c r="V8400" s="1" t="s">
        <v>16546</v>
      </c>
      <c r="W8400" s="1" t="s">
        <v>16547</v>
      </c>
      <c r="AR8400" s="1" t="str">
        <f t="shared" si="530"/>
        <v>| [ㄒㄧㄝˋ](ㄒㄧㄝˋ.md) | [洩](洩.md) |  | xiè | [動]
1.液體排放、氣體散逸。如：「洩洪」、「瓦斯外洩」。
2.發散、發抒。如：「洩恨」、「發洩」。《聊齋志異．卷八．夢狼》：「我等來，為一邑之民洩冤憤耳。」
3.透露、露出。如：「洩密」、「洩底」、「洩露」。 |</v>
      </c>
    </row>
    <row r="8401" spans="1:44" hidden="1">
      <c r="A8401" s="1" t="s">
        <v>16548</v>
      </c>
      <c r="C8401" s="1">
        <v>1</v>
      </c>
      <c r="D8401" s="1" t="str">
        <f>"06957"</f>
        <v>06957</v>
      </c>
      <c r="E8401" s="1" t="s">
        <v>725</v>
      </c>
      <c r="F8401" s="1">
        <v>12</v>
      </c>
      <c r="G8401" s="1">
        <v>6</v>
      </c>
      <c r="H8401" s="1">
        <v>0</v>
      </c>
      <c r="I8401" s="1" t="s">
        <v>16528</v>
      </c>
      <c r="K8401" s="1" t="str">
        <f t="shared" si="528"/>
        <v>ㄒ</v>
      </c>
      <c r="L8401" s="1" t="str">
        <f t="shared" si="529"/>
        <v>ㄧ</v>
      </c>
      <c r="M8401" s="1" t="str">
        <f t="shared" si="527"/>
        <v>ㄝ</v>
      </c>
      <c r="P8401" s="1" t="s">
        <v>20</v>
      </c>
      <c r="R8401" s="1" t="s">
        <v>16529</v>
      </c>
      <c r="V8401" s="1" t="s">
        <v>16549</v>
      </c>
      <c r="AR8401" s="1" t="str">
        <f t="shared" si="530"/>
        <v>| [ㄒㄧㄝˋ](ㄒㄧㄝˋ.md) | [絏](絏.md) |  | xiè | [名]
拘繫牽引用的繩索、韁繩。同「紲」。《左傳．僖公二十四年》：「臣負羈絏，從君巡於天下。」 |</v>
      </c>
    </row>
    <row r="8402" spans="1:44" hidden="1">
      <c r="A8402" s="1" t="s">
        <v>15082</v>
      </c>
      <c r="C8402" s="1">
        <v>1</v>
      </c>
      <c r="D8402" s="1" t="str">
        <f>"06958"</f>
        <v>06958</v>
      </c>
      <c r="E8402" s="1" t="s">
        <v>563</v>
      </c>
      <c r="F8402" s="1">
        <v>9</v>
      </c>
      <c r="G8402" s="1">
        <v>6</v>
      </c>
      <c r="H8402" s="1">
        <v>3</v>
      </c>
      <c r="I8402" s="1" t="s">
        <v>16528</v>
      </c>
      <c r="K8402" s="1" t="str">
        <f t="shared" si="528"/>
        <v>ㄒ</v>
      </c>
      <c r="L8402" s="1" t="str">
        <f t="shared" si="529"/>
        <v>ㄧ</v>
      </c>
      <c r="M8402" s="1" t="str">
        <f t="shared" si="527"/>
        <v>ㄝ</v>
      </c>
      <c r="P8402" s="1" t="s">
        <v>20</v>
      </c>
      <c r="R8402" s="1" t="s">
        <v>16529</v>
      </c>
      <c r="V8402" s="1" t="s">
        <v>16550</v>
      </c>
      <c r="W8402" s="1" t="s">
        <v>16551</v>
      </c>
      <c r="AR8402" s="1" t="str">
        <f t="shared" si="530"/>
        <v>| [ㄒㄧㄝˋ](ㄒㄧㄝˋ.md) | [契](契.md) |  | xiè | [名]
人名。殷代始祖。高辛氏的兒子，堯時為司徒，封於商。也作「偰」。 |</v>
      </c>
    </row>
    <row r="8403" spans="1:44" hidden="1">
      <c r="A8403" s="1" t="s">
        <v>16552</v>
      </c>
      <c r="C8403" s="1">
        <v>1</v>
      </c>
      <c r="D8403" s="1" t="str">
        <f>"06959"</f>
        <v>06959</v>
      </c>
      <c r="E8403" s="1" t="s">
        <v>114</v>
      </c>
      <c r="F8403" s="1">
        <v>11</v>
      </c>
      <c r="G8403" s="1">
        <v>9</v>
      </c>
      <c r="H8403" s="1">
        <v>0</v>
      </c>
      <c r="I8403" s="1" t="s">
        <v>16528</v>
      </c>
      <c r="K8403" s="1" t="str">
        <f t="shared" si="528"/>
        <v>ㄒ</v>
      </c>
      <c r="L8403" s="1" t="str">
        <f t="shared" si="529"/>
        <v>ㄧ</v>
      </c>
      <c r="M8403" s="1" t="str">
        <f t="shared" si="527"/>
        <v>ㄝ</v>
      </c>
      <c r="P8403" s="1" t="s">
        <v>20</v>
      </c>
      <c r="R8403" s="1" t="s">
        <v>16529</v>
      </c>
      <c r="V8403" s="1" t="s">
        <v>16553</v>
      </c>
      <c r="AR8403" s="1" t="str">
        <f t="shared" si="530"/>
        <v>| [ㄒㄧㄝˋ](ㄒㄧㄝˋ.md) | [偰](偰.md) |  | xiè | [名]
1.人名。相傳為堯的臣子，殷人的祖先。《說文解字．人部》：「偰，高辛氏之子，為堯司徒，殷之先也。」也作「契」。
2.姓。如元代有偰傒斯。 |</v>
      </c>
    </row>
    <row r="8404" spans="1:44" hidden="1">
      <c r="A8404" s="1" t="s">
        <v>16469</v>
      </c>
      <c r="C8404" s="1">
        <v>1</v>
      </c>
      <c r="D8404" s="1" t="str">
        <f>"06960"</f>
        <v>06960</v>
      </c>
      <c r="E8404" s="1" t="s">
        <v>139</v>
      </c>
      <c r="F8404" s="1">
        <v>13</v>
      </c>
      <c r="G8404" s="1">
        <v>9</v>
      </c>
      <c r="H8404" s="1">
        <v>1</v>
      </c>
      <c r="I8404" s="1" t="s">
        <v>16528</v>
      </c>
      <c r="K8404" s="1" t="str">
        <f t="shared" si="528"/>
        <v>ㄒ</v>
      </c>
      <c r="L8404" s="1" t="str">
        <f t="shared" si="529"/>
        <v>ㄧ</v>
      </c>
      <c r="M8404" s="1" t="str">
        <f t="shared" si="527"/>
        <v>ㄝ</v>
      </c>
      <c r="P8404" s="1" t="s">
        <v>20</v>
      </c>
      <c r="R8404" s="1" t="s">
        <v>16529</v>
      </c>
      <c r="V8404" s="1" t="s">
        <v>16554</v>
      </c>
      <c r="W8404" s="1" t="s">
        <v>16555</v>
      </c>
      <c r="AR8404" s="1" t="str">
        <f t="shared" si="530"/>
        <v>| [ㄒㄧㄝˋ](ㄒㄧㄝˋ.md) | [楔](楔.md) |  | xiè | [名]
1.植物名。薔薇科李屬，「櫻桃」之古稱，參見「櫻桃」條。《爾雅．釋木》：「楔，荊桃」晉．郭璞．注：「今櫻桃。」即櫻桃。
2.門兩旁的木柱。唐．韓愈〈進學解〉：「椳闑扂楔，各得其宜。」
3.上平厚、下尖扁的木塊。塞在榫頭縫隙中，使之固定。如：「木楔」。《淮南子．主術》：「大者以為舟航柱梁，小者以為楫楔。」 |</v>
      </c>
    </row>
    <row r="8405" spans="1:44" hidden="1">
      <c r="A8405" s="1" t="s">
        <v>16556</v>
      </c>
      <c r="C8405" s="1">
        <v>1</v>
      </c>
      <c r="D8405" s="1" t="str">
        <f>"06961"</f>
        <v>06961</v>
      </c>
      <c r="E8405" s="1" t="s">
        <v>871</v>
      </c>
      <c r="F8405" s="1">
        <v>10</v>
      </c>
      <c r="G8405" s="1">
        <v>7</v>
      </c>
      <c r="H8405" s="1">
        <v>0</v>
      </c>
      <c r="I8405" s="1" t="s">
        <v>16528</v>
      </c>
      <c r="K8405" s="1" t="str">
        <f t="shared" si="528"/>
        <v>ㄒ</v>
      </c>
      <c r="L8405" s="1" t="str">
        <f t="shared" si="529"/>
        <v>ㄧ</v>
      </c>
      <c r="M8405" s="1" t="str">
        <f t="shared" si="527"/>
        <v>ㄝ</v>
      </c>
      <c r="P8405" s="1" t="s">
        <v>20</v>
      </c>
      <c r="R8405" s="1" t="s">
        <v>16529</v>
      </c>
      <c r="V8405" s="1" t="s">
        <v>16557</v>
      </c>
      <c r="AR8405" s="1" t="str">
        <f t="shared" si="530"/>
        <v>| [ㄒㄧㄝˋ](ㄒㄧㄝˋ.md) | [屑](屑.md) |  | xiè | [名]
碎末、粉碴。如：「木屑」、「鐵屑」、「粉筆屑」。
[動]
1.研磨成碎片。《禮記．內則》：「屑桂與薑。」
2.顧惜、在乎。《後漢書．卷二四．馬援傳》：「盡心納忠，不屑毀譽。」
3.認為值得的。多與「不」連用，有輕視之意。如：「不屑一顧」。
[形]
細碎的、微小的。《管子．地員》：「五沙之狀，粟焉如屑塵厲。」《文選．木華．海賦》：「崩雲屑雨，浤浤汩汩。」 |</v>
      </c>
    </row>
    <row r="8406" spans="1:44" hidden="1">
      <c r="A8406" s="1" t="s">
        <v>13521</v>
      </c>
      <c r="C8406" s="1">
        <v>1</v>
      </c>
      <c r="D8406" s="1" t="str">
        <f>"06962"</f>
        <v>06962</v>
      </c>
      <c r="E8406" s="1" t="s">
        <v>139</v>
      </c>
      <c r="F8406" s="1">
        <v>11</v>
      </c>
      <c r="G8406" s="1">
        <v>7</v>
      </c>
      <c r="H8406" s="1">
        <v>1</v>
      </c>
      <c r="I8406" s="1" t="s">
        <v>16528</v>
      </c>
      <c r="K8406" s="1" t="str">
        <f t="shared" si="528"/>
        <v>ㄒ</v>
      </c>
      <c r="L8406" s="1" t="str">
        <f t="shared" si="529"/>
        <v>ㄧ</v>
      </c>
      <c r="M8406" s="1" t="str">
        <f t="shared" si="527"/>
        <v>ㄝ</v>
      </c>
      <c r="P8406" s="1" t="s">
        <v>20</v>
      </c>
      <c r="R8406" s="1" t="s">
        <v>16529</v>
      </c>
      <c r="V8406" s="1" t="s">
        <v>16558</v>
      </c>
      <c r="W8406" s="1" t="s">
        <v>16559</v>
      </c>
      <c r="AR8406" s="1" t="str">
        <f t="shared" si="530"/>
        <v>| [ㄒㄧㄝˋ](ㄒㄧㄝˋ.md) | [械](械.md) |  | xiè | [名]
1.鐐銬、枷等刑具。《漢書．卷六六．公孫賀傳》：「南山之竹不足受我辭，斜谷之木不足為我械。」《新唐書．卷二〇九．酷吏傳．來俊臣傳》：「凡囚至，先布械于前示囚，莫不震懼，皆自誣服。」
2.兵器、武器。如：「軍械」、「繳械」。《墨子．公輸》：「子墨子解帶為城，以牒為械。」《紅樓夢》第一〇二回：「起先晚上不敢行走，以致鳥獸逼人，甚至日裡也是約伴持械而行。」
3.器物、用具的總稱。如：「器械」、「機械」。《莊子．天地》：「有械於此，一日浸百畦，用力甚寡，而見功多，夫子不欲乎？」 |</v>
      </c>
    </row>
    <row r="8407" spans="1:44" hidden="1">
      <c r="A8407" s="1" t="s">
        <v>16560</v>
      </c>
      <c r="C8407" s="1">
        <v>1</v>
      </c>
      <c r="D8407" s="1" t="str">
        <f>"06963"</f>
        <v>06963</v>
      </c>
      <c r="E8407" s="1" t="s">
        <v>319</v>
      </c>
      <c r="F8407" s="1">
        <v>17</v>
      </c>
      <c r="G8407" s="1">
        <v>7</v>
      </c>
      <c r="H8407" s="1">
        <v>0</v>
      </c>
      <c r="I8407" s="1" t="s">
        <v>16528</v>
      </c>
      <c r="K8407" s="1" t="str">
        <f t="shared" si="528"/>
        <v>ㄒ</v>
      </c>
      <c r="L8407" s="1" t="str">
        <f t="shared" si="529"/>
        <v>ㄧ</v>
      </c>
      <c r="M8407" s="1" t="str">
        <f t="shared" si="527"/>
        <v>ㄝ</v>
      </c>
      <c r="P8407" s="1" t="s">
        <v>20</v>
      </c>
      <c r="R8407" s="1" t="s">
        <v>16529</v>
      </c>
      <c r="V8407" s="1" t="s">
        <v>16561</v>
      </c>
      <c r="AR8407" s="1" t="str">
        <f t="shared" si="530"/>
        <v>| [ㄒㄧㄝˋ](ㄒㄧㄝˋ.md) | [駴](駴.md) |  | xiè | [動]
1.如疾雷般擊鼓。《周禮．夏官．大司馬》：「及所弊，鼓皆駴，車徒皆譟。」漢．鄭玄．注：「疾雷擊鼓曰駴。」
2.驚異。通「駭」。《墨子．號令》：「讙囂駴眾，其罪殺。」清．孫詒讓．注：「畢云：『駴，駭字異文。』」 |</v>
      </c>
    </row>
    <row r="8408" spans="1:44" hidden="1">
      <c r="A8408" s="1" t="s">
        <v>16562</v>
      </c>
      <c r="C8408" s="1">
        <v>1</v>
      </c>
      <c r="D8408" s="1" t="str">
        <f>"06964"</f>
        <v>06964</v>
      </c>
      <c r="E8408" s="1" t="s">
        <v>15579</v>
      </c>
      <c r="F8408" s="1">
        <v>12</v>
      </c>
      <c r="G8408" s="1">
        <v>7</v>
      </c>
      <c r="H8408" s="1">
        <v>0</v>
      </c>
      <c r="I8408" s="1" t="s">
        <v>16528</v>
      </c>
      <c r="K8408" s="1" t="str">
        <f t="shared" si="528"/>
        <v>ㄒ</v>
      </c>
      <c r="L8408" s="1" t="str">
        <f t="shared" si="529"/>
        <v>ㄧ</v>
      </c>
      <c r="M8408" s="1" t="str">
        <f t="shared" si="527"/>
        <v>ㄝ</v>
      </c>
      <c r="P8408" s="1" t="s">
        <v>20</v>
      </c>
      <c r="R8408" s="1" t="s">
        <v>16529</v>
      </c>
      <c r="V8408" s="1" t="s">
        <v>16563</v>
      </c>
      <c r="AR8408" s="1" t="str">
        <f t="shared" si="530"/>
        <v>| [ㄒㄧㄝˋ](ㄒㄧㄝˋ.md) | [禼](禼.md) |  | xiè | [名]
1.一種昆蟲。《說文解字．禸部》：「禼，蟲也。」
2.人名。「契」的古字。《廣韻．入聲．薛韻》：「禼，殷祖也，或作偰，又作契。」 |</v>
      </c>
    </row>
    <row r="8409" spans="1:44" hidden="1">
      <c r="A8409" s="1" t="s">
        <v>13496</v>
      </c>
      <c r="C8409" s="1">
        <v>1</v>
      </c>
      <c r="D8409" s="1" t="str">
        <f>"06965"</f>
        <v>06965</v>
      </c>
      <c r="E8409" s="1" t="s">
        <v>1117</v>
      </c>
      <c r="F8409" s="1">
        <v>13</v>
      </c>
      <c r="G8409" s="1">
        <v>6</v>
      </c>
      <c r="H8409" s="1">
        <v>3</v>
      </c>
      <c r="I8409" s="1" t="s">
        <v>16528</v>
      </c>
      <c r="K8409" s="1" t="str">
        <f t="shared" si="528"/>
        <v>ㄒ</v>
      </c>
      <c r="L8409" s="1" t="str">
        <f t="shared" si="529"/>
        <v>ㄧ</v>
      </c>
      <c r="M8409" s="1" t="str">
        <f t="shared" si="527"/>
        <v>ㄝ</v>
      </c>
      <c r="P8409" s="1" t="s">
        <v>20</v>
      </c>
      <c r="R8409" s="1" t="s">
        <v>16529</v>
      </c>
      <c r="V8409" s="1" t="s">
        <v>16564</v>
      </c>
      <c r="W8409" s="1" t="s">
        <v>16565</v>
      </c>
      <c r="AR8409" s="1" t="str">
        <f t="shared" si="530"/>
        <v>| [ㄒㄧㄝˋ](ㄒㄧㄝˋ.md) | [解](解.md) |  | xiè | [動]
鬆懈、懈怠。《禮記．雜記下》：「三日不怠，三月不解。」《漢書．卷六九．趙充國傳》：「虜久屯聚，解弛。」
[名]
1.參見「解縣」條。
2.姓。如春秋時晉國有解狐。 |</v>
      </c>
    </row>
    <row r="8410" spans="1:44" hidden="1">
      <c r="A8410" s="1" t="s">
        <v>16566</v>
      </c>
      <c r="C8410" s="1">
        <v>1</v>
      </c>
      <c r="D8410" s="1" t="str">
        <f>"06966"</f>
        <v>06966</v>
      </c>
      <c r="E8410" s="1" t="s">
        <v>129</v>
      </c>
      <c r="F8410" s="1">
        <v>16</v>
      </c>
      <c r="G8410" s="1">
        <v>13</v>
      </c>
      <c r="H8410" s="1">
        <v>0</v>
      </c>
      <c r="I8410" s="1" t="s">
        <v>16528</v>
      </c>
      <c r="K8410" s="1" t="str">
        <f t="shared" si="528"/>
        <v>ㄒ</v>
      </c>
      <c r="L8410" s="1" t="str">
        <f t="shared" si="529"/>
        <v>ㄧ</v>
      </c>
      <c r="M8410" s="1" t="str">
        <f t="shared" si="527"/>
        <v>ㄝ</v>
      </c>
      <c r="P8410" s="1" t="s">
        <v>20</v>
      </c>
      <c r="R8410" s="1" t="s">
        <v>16529</v>
      </c>
      <c r="V8410" s="1" t="s">
        <v>16567</v>
      </c>
      <c r="AR8410" s="1" t="str">
        <f t="shared" si="530"/>
        <v>| [ㄒㄧㄝˋ](ㄒㄧㄝˋ.md) | [澥](澥.md) |  | xiè | [名]
伸入陸地的海。古稱渤海為「勃澥」。《史記．卷一一七．司馬相如傳》：「浮勃澥。」裴駰集解引《漢書音義》：「海別枝名也。」司馬貞索隱引〈齊都賦〉：「海傍曰勃，斷水曰澥。」
[動]
北平方言。指加水使糊狀物或膠狀物由稠變稀。如：「漿糊澥了。」 |</v>
      </c>
    </row>
    <row r="8411" spans="1:44" hidden="1">
      <c r="A8411" s="1" t="s">
        <v>13539</v>
      </c>
      <c r="C8411" s="1">
        <v>1</v>
      </c>
      <c r="D8411" s="1" t="str">
        <f>"06967"</f>
        <v>06967</v>
      </c>
      <c r="E8411" s="1" t="s">
        <v>447</v>
      </c>
      <c r="F8411" s="1">
        <v>16</v>
      </c>
      <c r="G8411" s="1">
        <v>13</v>
      </c>
      <c r="H8411" s="1">
        <v>1</v>
      </c>
      <c r="I8411" s="1" t="s">
        <v>16528</v>
      </c>
      <c r="K8411" s="1" t="str">
        <f t="shared" si="528"/>
        <v>ㄒ</v>
      </c>
      <c r="L8411" s="1" t="str">
        <f t="shared" si="529"/>
        <v>ㄧ</v>
      </c>
      <c r="M8411" s="1" t="str">
        <f t="shared" si="527"/>
        <v>ㄝ</v>
      </c>
      <c r="P8411" s="1" t="s">
        <v>20</v>
      </c>
      <c r="R8411" s="1" t="s">
        <v>16529</v>
      </c>
      <c r="V8411" s="1" t="s">
        <v>16568</v>
      </c>
      <c r="W8411" s="1" t="s">
        <v>16569</v>
      </c>
      <c r="AR8411" s="1" t="str">
        <f t="shared" si="530"/>
        <v>| [ㄒㄧㄝˋ](ㄒㄧㄝˋ.md) | [廨](廨.md) |  | xiè | [名]
官署，古代官吏辦公的地方。如：「官廨」、「公廨」。漢．王充《論衡．感虛》：「猶地有郵亭，為長吏廨也。」 |</v>
      </c>
    </row>
    <row r="8412" spans="1:44" hidden="1">
      <c r="A8412" s="1" t="s">
        <v>16570</v>
      </c>
      <c r="C8412" s="1">
        <v>1</v>
      </c>
      <c r="D8412" s="1" t="str">
        <f>"06968"</f>
        <v>06968</v>
      </c>
      <c r="E8412" s="1" t="s">
        <v>250</v>
      </c>
      <c r="F8412" s="1">
        <v>16</v>
      </c>
      <c r="G8412" s="1">
        <v>13</v>
      </c>
      <c r="H8412" s="1">
        <v>0</v>
      </c>
      <c r="I8412" s="1" t="s">
        <v>16528</v>
      </c>
      <c r="K8412" s="1" t="str">
        <f t="shared" si="528"/>
        <v>ㄒ</v>
      </c>
      <c r="L8412" s="1" t="str">
        <f t="shared" si="529"/>
        <v>ㄧ</v>
      </c>
      <c r="M8412" s="1" t="str">
        <f t="shared" si="527"/>
        <v>ㄝ</v>
      </c>
      <c r="P8412" s="1" t="s">
        <v>20</v>
      </c>
      <c r="R8412" s="1" t="s">
        <v>16529</v>
      </c>
      <c r="V8412" s="1" t="s">
        <v>16571</v>
      </c>
      <c r="AR8412" s="1" t="str">
        <f t="shared" si="530"/>
        <v>| [ㄒㄧㄝˋ](ㄒㄧㄝˋ.md) | [懈](懈.md) |  | xiè | [動]
怠惰、弛緩不振。《說文解字．心部》：「懈，怠也。」如：「鬆懈」。《孝經．卿大夫章》：「夙夜匪懈。」《文選．諸葛亮．出師表》：「然侍衛之臣，不懈於內。」 |</v>
      </c>
    </row>
    <row r="8413" spans="1:44" hidden="1">
      <c r="A8413" s="1" t="s">
        <v>16572</v>
      </c>
      <c r="C8413" s="1">
        <v>1</v>
      </c>
      <c r="D8413" s="1" t="str">
        <f>"06969"</f>
        <v>06969</v>
      </c>
      <c r="E8413" s="1" t="s">
        <v>190</v>
      </c>
      <c r="F8413" s="1">
        <v>16</v>
      </c>
      <c r="G8413" s="1">
        <v>13</v>
      </c>
      <c r="H8413" s="1">
        <v>0</v>
      </c>
      <c r="I8413" s="1" t="s">
        <v>16528</v>
      </c>
      <c r="K8413" s="1" t="str">
        <f t="shared" si="528"/>
        <v>ㄒ</v>
      </c>
      <c r="L8413" s="1" t="str">
        <f t="shared" si="529"/>
        <v>ㄧ</v>
      </c>
      <c r="M8413" s="1" t="str">
        <f t="shared" si="527"/>
        <v>ㄝ</v>
      </c>
      <c r="P8413" s="1" t="s">
        <v>20</v>
      </c>
      <c r="R8413" s="1" t="s">
        <v>16529</v>
      </c>
      <c r="V8413" s="1" t="s">
        <v>16573</v>
      </c>
      <c r="AR8413" s="1" t="str">
        <f t="shared" si="530"/>
        <v>| [ㄒㄧㄝˋ](ㄒㄧㄝˋ.md) | [嶰](嶰.md) |  | xiè | [名]
山澗。《後漢書．卷六〇上．馬融傳》：「窮浚谷，底幽嶰。」 |</v>
      </c>
    </row>
    <row r="8414" spans="1:44" hidden="1">
      <c r="A8414" s="1" t="s">
        <v>16574</v>
      </c>
      <c r="C8414" s="1">
        <v>1</v>
      </c>
      <c r="D8414" s="1" t="str">
        <f>"06970"</f>
        <v>06970</v>
      </c>
      <c r="E8414" s="1" t="s">
        <v>198</v>
      </c>
      <c r="F8414" s="1">
        <v>16</v>
      </c>
      <c r="G8414" s="1">
        <v>13</v>
      </c>
      <c r="H8414" s="1">
        <v>0</v>
      </c>
      <c r="I8414" s="1" t="s">
        <v>16528</v>
      </c>
      <c r="K8414" s="1" t="str">
        <f t="shared" si="528"/>
        <v>ㄒ</v>
      </c>
      <c r="L8414" s="1" t="str">
        <f t="shared" si="529"/>
        <v>ㄧ</v>
      </c>
      <c r="M8414" s="1" t="str">
        <f t="shared" si="527"/>
        <v>ㄝ</v>
      </c>
      <c r="P8414" s="1" t="s">
        <v>20</v>
      </c>
      <c r="R8414" s="1" t="s">
        <v>16529</v>
      </c>
      <c r="V8414" s="1" t="s">
        <v>16575</v>
      </c>
      <c r="AR8414" s="1" t="str">
        <f t="shared" si="530"/>
        <v>| [ㄒㄧㄝˋ](ㄒㄧㄝˋ.md) | [獬](獬.md) |  | xiè | 參見「獬豸」條。 |</v>
      </c>
    </row>
    <row r="8415" spans="1:44" hidden="1">
      <c r="A8415" s="1" t="s">
        <v>13389</v>
      </c>
      <c r="C8415" s="1">
        <v>1</v>
      </c>
      <c r="D8415" s="1" t="str">
        <f>"06971"</f>
        <v>06971</v>
      </c>
      <c r="E8415" s="1" t="s">
        <v>37</v>
      </c>
      <c r="F8415" s="1">
        <v>17</v>
      </c>
      <c r="G8415" s="1">
        <v>13</v>
      </c>
      <c r="H8415" s="1">
        <v>1</v>
      </c>
      <c r="I8415" s="1" t="s">
        <v>16528</v>
      </c>
      <c r="K8415" s="1" t="str">
        <f t="shared" si="528"/>
        <v>ㄒ</v>
      </c>
      <c r="L8415" s="1" t="str">
        <f t="shared" si="529"/>
        <v>ㄧ</v>
      </c>
      <c r="M8415" s="1" t="str">
        <f t="shared" si="527"/>
        <v>ㄝ</v>
      </c>
      <c r="P8415" s="1" t="s">
        <v>20</v>
      </c>
      <c r="R8415" s="1" t="s">
        <v>16529</v>
      </c>
      <c r="V8415" s="1" t="s">
        <v>9818</v>
      </c>
      <c r="W8415" s="1" t="s">
        <v>16576</v>
      </c>
      <c r="AR8415" s="1" t="str">
        <f t="shared" si="530"/>
        <v>| [ㄒㄧㄝˋ](ㄒㄧㄝˋ.md) | [薢](薢.md) |  | xiè | 參見「薢茩」條。 |</v>
      </c>
    </row>
    <row r="8416" spans="1:44" hidden="1">
      <c r="A8416" s="1" t="s">
        <v>16577</v>
      </c>
      <c r="C8416" s="1">
        <v>1</v>
      </c>
      <c r="D8416" s="1" t="str">
        <f>"06972"</f>
        <v>06972</v>
      </c>
      <c r="E8416" s="1" t="s">
        <v>558</v>
      </c>
      <c r="F8416" s="1">
        <v>17</v>
      </c>
      <c r="G8416" s="1">
        <v>13</v>
      </c>
      <c r="H8416" s="1">
        <v>0</v>
      </c>
      <c r="I8416" s="1" t="s">
        <v>16528</v>
      </c>
      <c r="K8416" s="1" t="str">
        <f t="shared" si="528"/>
        <v>ㄒ</v>
      </c>
      <c r="L8416" s="1" t="str">
        <f t="shared" si="529"/>
        <v>ㄧ</v>
      </c>
      <c r="M8416" s="1" t="str">
        <f t="shared" si="527"/>
        <v>ㄝ</v>
      </c>
      <c r="P8416" s="1" t="s">
        <v>20</v>
      </c>
      <c r="R8416" s="1" t="s">
        <v>16529</v>
      </c>
      <c r="V8416" s="1" t="s">
        <v>11771</v>
      </c>
      <c r="AR8416" s="1" t="str">
        <f t="shared" si="530"/>
        <v>| [ㄒㄧㄝˋ](ㄒㄧㄝˋ.md) | [邂](邂.md) |  | xiè | 參見「邂逅」條。 |</v>
      </c>
    </row>
    <row r="8417" spans="1:44" hidden="1">
      <c r="A8417" s="1" t="s">
        <v>16526</v>
      </c>
      <c r="C8417" s="1">
        <v>1</v>
      </c>
      <c r="D8417" s="1" t="str">
        <f>"06973"</f>
        <v>06973</v>
      </c>
      <c r="E8417" s="1" t="s">
        <v>679</v>
      </c>
      <c r="F8417" s="1">
        <v>19</v>
      </c>
      <c r="G8417" s="1">
        <v>13</v>
      </c>
      <c r="H8417" s="1">
        <v>1</v>
      </c>
      <c r="I8417" s="1" t="s">
        <v>16528</v>
      </c>
      <c r="K8417" s="1" t="str">
        <f t="shared" si="528"/>
        <v>ㄒ</v>
      </c>
      <c r="L8417" s="1" t="str">
        <f t="shared" si="529"/>
        <v>ㄧ</v>
      </c>
      <c r="M8417" s="1" t="str">
        <f t="shared" si="527"/>
        <v>ㄝ</v>
      </c>
      <c r="P8417" s="1" t="s">
        <v>20</v>
      </c>
      <c r="R8417" s="1" t="s">
        <v>16529</v>
      </c>
      <c r="V8417" s="1" t="s">
        <v>16578</v>
      </c>
      <c r="W8417" s="1" t="s">
        <v>16579</v>
      </c>
      <c r="AR8417" s="1" t="str">
        <f t="shared" si="530"/>
        <v>| [ㄒㄧㄝˋ](ㄒㄧㄝˋ.md) | [蟹](蟹.md) |  | xiè | [名]
動物名。節肢動物門甲殼綱。全身被有甲殼，頭胸多扁平而廣闊，有五對足，第一對變形為螯，橫行甚速。腹部分數節屈折於胸部之下，俗稱為「臍」，雄的臍尖，雌的臍圓。鹹、淡水皆產，種類甚多。 |</v>
      </c>
    </row>
    <row r="8418" spans="1:44" hidden="1">
      <c r="A8418" s="1" t="s">
        <v>16580</v>
      </c>
      <c r="C8418" s="1">
        <v>1</v>
      </c>
      <c r="D8418" s="1" t="str">
        <f>"06974"</f>
        <v>06974</v>
      </c>
      <c r="E8418" s="1" t="s">
        <v>139</v>
      </c>
      <c r="F8418" s="1">
        <v>14</v>
      </c>
      <c r="G8418" s="1">
        <v>10</v>
      </c>
      <c r="H8418" s="1">
        <v>0</v>
      </c>
      <c r="I8418" s="1" t="s">
        <v>16528</v>
      </c>
      <c r="K8418" s="1" t="str">
        <f t="shared" si="528"/>
        <v>ㄒ</v>
      </c>
      <c r="L8418" s="1" t="str">
        <f t="shared" si="529"/>
        <v>ㄧ</v>
      </c>
      <c r="M8418" s="1" t="str">
        <f t="shared" si="527"/>
        <v>ㄝ</v>
      </c>
      <c r="P8418" s="1" t="s">
        <v>20</v>
      </c>
      <c r="R8418" s="1" t="s">
        <v>16529</v>
      </c>
      <c r="V8418" s="1" t="s">
        <v>16581</v>
      </c>
      <c r="AR8418" s="1" t="str">
        <f t="shared" si="530"/>
        <v>| [ㄒㄧㄝˋ](ㄒㄧㄝˋ.md) | [榭](榭.md) |  | xiè | [名]
建築在臺上的房屋。如：「水榭」、「歌臺舞榭」。宋．秦觀〈滿庭芳．曉色雲開〉詞：「古臺芳榭，飛燕蹴紅英。」 |</v>
      </c>
    </row>
    <row r="8419" spans="1:44" hidden="1">
      <c r="A8419" s="1" t="s">
        <v>16582</v>
      </c>
      <c r="C8419" s="1">
        <v>1</v>
      </c>
      <c r="D8419" s="1" t="str">
        <f>"06975"</f>
        <v>06975</v>
      </c>
      <c r="E8419" s="1" t="s">
        <v>331</v>
      </c>
      <c r="F8419" s="1">
        <v>17</v>
      </c>
      <c r="G8419" s="1">
        <v>10</v>
      </c>
      <c r="H8419" s="1">
        <v>0</v>
      </c>
      <c r="I8419" s="1" t="s">
        <v>16528</v>
      </c>
      <c r="K8419" s="1" t="str">
        <f t="shared" si="528"/>
        <v>ㄒ</v>
      </c>
      <c r="L8419" s="1" t="str">
        <f t="shared" si="529"/>
        <v>ㄧ</v>
      </c>
      <c r="M8419" s="1" t="str">
        <f t="shared" si="527"/>
        <v>ㄝ</v>
      </c>
      <c r="P8419" s="1" t="s">
        <v>20</v>
      </c>
      <c r="R8419" s="1" t="s">
        <v>16529</v>
      </c>
      <c r="V8419" s="1" t="s">
        <v>16583</v>
      </c>
      <c r="AR8419" s="1" t="str">
        <f t="shared" si="530"/>
        <v>| [ㄒㄧㄝˋ](ㄒㄧㄝˋ.md) | [謝](謝.md) |  | xiè | [動]_x000D_
1.辭去、推卻、拒絕。《說文解字．言部》：「謝，辭去也。」如：「婉謝」、「敬謝不敏」、「閉門謝客」。《禮記．曲禮上》：「大夫七十而致事，若不得謝，則必賜之几杖。」_x000D_
2.辭別、告別。如：「謝世」。晉．劉琨〈扶風歌〉：「揮手長相謝，哽咽不能言。」唐．白居易〈長恨歌〉：「含情凝睇謝君王，一別音容兩渺茫。」_x000D_
3.凋零、消逝。如：「凋謝」。晉．潘岳〈悼亡〉詩三首之一：「荏苒冬春謝，寒暑忽流易。」唐．杜牧〈留贈〉詩：「不用鏡前空有淚，薔薇花謝即歸來。」_x000D_
4.表示感激、酬答。如：「感謝」、「道謝」、「謝天謝地」。《史記．卷七．項羽本紀》：「噲拜謝，起，立而飲之。」《儒林外史》第三三回：「他前日進了學，我來賀他，他謝了我二十四兩銀子。」_x000D_
5.賠罪、認錯。如：「謝罪」。《史記．卷七．項羽本紀》：「旦日不可不蚤自來謝項王。」_x000D_
6.告訴。《史記．卷八九．張耳陳餘列傳》：「有廝養卒謝其舍中曰：『吾為公說燕，與趙王載歸。』」《樂府詩集．卷七三．雜曲歌辭一三．古辭．焦仲卿妻》：「多謝後世人，戒之慎勿忘。」_x000D_
7.詢問、問候。《樂府詩集．卷二八．相和歌辭三．古辭．陌上桑》：「使君謝羅敷：『寧可共載不？』」_x000D_
8.更換、替代。如：「新陳代謝」。《莊子．秋水》：「何少何多，是謂謝施。」唐．成玄英．疏：「謝，代也。」《淮南子．兵略》：「輪轉而無窮，象日月之運行，若春秋有代謝，若日月有晝夜，終而復始，明而復晦，莫能得其紀。」_x000D_
[名]_x000D_
姓。如南朝宋有謝靈運。 |</v>
      </c>
    </row>
    <row r="8420" spans="1:44" hidden="1">
      <c r="A8420" s="1" t="s">
        <v>16523</v>
      </c>
      <c r="C8420" s="1">
        <v>1</v>
      </c>
      <c r="D8420" s="1" t="str">
        <f>"06976"</f>
        <v>06976</v>
      </c>
      <c r="E8420" s="1" t="s">
        <v>624</v>
      </c>
      <c r="F8420" s="1">
        <v>15</v>
      </c>
      <c r="G8420" s="1">
        <v>12</v>
      </c>
      <c r="H8420" s="1">
        <v>2</v>
      </c>
      <c r="I8420" s="1" t="s">
        <v>16528</v>
      </c>
      <c r="K8420" s="1" t="str">
        <f t="shared" si="528"/>
        <v>ㄒ</v>
      </c>
      <c r="L8420" s="1" t="str">
        <f t="shared" si="529"/>
        <v>ㄧ</v>
      </c>
      <c r="M8420" s="1" t="str">
        <f t="shared" si="527"/>
        <v>ㄝ</v>
      </c>
      <c r="P8420" s="1" t="s">
        <v>20</v>
      </c>
      <c r="R8420" s="1" t="s">
        <v>16529</v>
      </c>
      <c r="V8420" s="1" t="s">
        <v>16584</v>
      </c>
      <c r="W8420" s="1" t="s">
        <v>16585</v>
      </c>
      <c r="AR8420" s="1" t="str">
        <f t="shared" si="530"/>
        <v>| [ㄒㄧㄝˋ](ㄒㄧㄝˋ.md) | [寫](寫.md) |  | xiè | [動]
拆卸。通「卸」。《後漢書．卷六五．皇甫規傳》：「有旋車完封，寫之權門。」《晉書．卷五五．潘岳傳》：「疲牛必投，乘涼近進，發槅寫鞍，皆有所憩。」
[形]
參見「寫意兒」條。 |</v>
      </c>
    </row>
    <row r="8421" spans="1:44" hidden="1">
      <c r="A8421" s="1" t="s">
        <v>16586</v>
      </c>
      <c r="C8421" s="1">
        <v>1</v>
      </c>
      <c r="D8421" s="1" t="str">
        <f>"06977"</f>
        <v>06977</v>
      </c>
      <c r="E8421" s="1" t="s">
        <v>129</v>
      </c>
      <c r="F8421" s="1">
        <v>18</v>
      </c>
      <c r="G8421" s="1">
        <v>15</v>
      </c>
      <c r="H8421" s="1">
        <v>0</v>
      </c>
      <c r="I8421" s="1" t="s">
        <v>16528</v>
      </c>
      <c r="K8421" s="1" t="str">
        <f t="shared" si="528"/>
        <v>ㄒ</v>
      </c>
      <c r="L8421" s="1" t="str">
        <f t="shared" si="529"/>
        <v>ㄧ</v>
      </c>
      <c r="M8421" s="1" t="str">
        <f t="shared" si="527"/>
        <v>ㄝ</v>
      </c>
      <c r="P8421" s="1" t="s">
        <v>20</v>
      </c>
      <c r="R8421" s="1" t="s">
        <v>16529</v>
      </c>
      <c r="V8421" s="1" t="s">
        <v>16587</v>
      </c>
      <c r="AR8421" s="1" t="str">
        <f t="shared" si="530"/>
        <v>| [ㄒㄧㄝˋ](ㄒㄧㄝˋ.md) | [瀉](瀉.md) |  | xiè | [動]
1.水向下急流。如：「傾瀉」、「一瀉千里」。宋．陸游〈雨夜〉詩：「急雨如河瀉瓦溝。」
2.拉肚子。如：「腹瀉」、「上吐下瀉」。 |</v>
      </c>
    </row>
    <row r="8422" spans="1:44" hidden="1">
      <c r="A8422" s="1" t="s">
        <v>16588</v>
      </c>
      <c r="C8422" s="1">
        <v>1</v>
      </c>
      <c r="D8422" s="1" t="str">
        <f>"06978"</f>
        <v>06978</v>
      </c>
      <c r="E8422" s="1" t="s">
        <v>13764</v>
      </c>
      <c r="F8422" s="1">
        <v>16</v>
      </c>
      <c r="G8422" s="1">
        <v>7</v>
      </c>
      <c r="H8422" s="1">
        <v>0</v>
      </c>
      <c r="I8422" s="1" t="s">
        <v>16528</v>
      </c>
      <c r="K8422" s="1" t="str">
        <f t="shared" si="528"/>
        <v>ㄒ</v>
      </c>
      <c r="L8422" s="1" t="str">
        <f t="shared" si="529"/>
        <v>ㄧ</v>
      </c>
      <c r="M8422" s="1" t="str">
        <f t="shared" si="527"/>
        <v>ㄝ</v>
      </c>
      <c r="P8422" s="1" t="s">
        <v>20</v>
      </c>
      <c r="R8422" s="1" t="s">
        <v>16529</v>
      </c>
      <c r="V8422" s="1" t="s">
        <v>16589</v>
      </c>
      <c r="AR8422" s="1" t="str">
        <f t="shared" si="530"/>
        <v>| [ㄒㄧㄝˋ](ㄒㄧㄝˋ.md) | [韰](韰.md) |  | xiè | [形]
褊狹。《集韻．去聲．怪韻》：「韰，陿也。」《文選．左思．魏都賦》：「風俗以韰果為嫿，人物以戕害為藝。」唐．李善．注：「應劭曰：『韰，狹也。』」 |</v>
      </c>
    </row>
    <row r="8423" spans="1:44" hidden="1">
      <c r="A8423" s="1" t="s">
        <v>16590</v>
      </c>
      <c r="C8423" s="1">
        <v>1</v>
      </c>
      <c r="D8423" s="1" t="str">
        <f>"06979"</f>
        <v>06979</v>
      </c>
      <c r="E8423" s="1" t="s">
        <v>37</v>
      </c>
      <c r="F8423" s="1">
        <v>17</v>
      </c>
      <c r="G8423" s="1">
        <v>13</v>
      </c>
      <c r="H8423" s="1">
        <v>0</v>
      </c>
      <c r="I8423" s="1" t="s">
        <v>16528</v>
      </c>
      <c r="K8423" s="1" t="str">
        <f t="shared" si="528"/>
        <v>ㄒ</v>
      </c>
      <c r="L8423" s="1" t="str">
        <f t="shared" si="529"/>
        <v>ㄧ</v>
      </c>
      <c r="M8423" s="1" t="str">
        <f t="shared" si="527"/>
        <v>ㄝ</v>
      </c>
      <c r="P8423" s="1" t="s">
        <v>20</v>
      </c>
      <c r="R8423" s="1" t="s">
        <v>16529</v>
      </c>
      <c r="V8423" s="1" t="s">
        <v>16591</v>
      </c>
      <c r="AR8423" s="1" t="str">
        <f t="shared" si="530"/>
        <v>| [ㄒㄧㄝˋ](ㄒㄧㄝˋ.md) | [薤](薤.md) |  | xiè | [名]
植物名。百合科蔥屬。「薤白」之簡稱，參見「薤白」條。 |</v>
      </c>
    </row>
    <row r="8424" spans="1:44" hidden="1">
      <c r="A8424" s="1" t="s">
        <v>16592</v>
      </c>
      <c r="C8424" s="1">
        <v>1</v>
      </c>
      <c r="D8424" s="1" t="str">
        <f>"06980"</f>
        <v>06980</v>
      </c>
      <c r="E8424" s="1" t="s">
        <v>129</v>
      </c>
      <c r="F8424" s="1">
        <v>19</v>
      </c>
      <c r="G8424" s="1">
        <v>16</v>
      </c>
      <c r="H8424" s="1">
        <v>0</v>
      </c>
      <c r="I8424" s="1" t="s">
        <v>16528</v>
      </c>
      <c r="K8424" s="1" t="str">
        <f t="shared" si="528"/>
        <v>ㄒ</v>
      </c>
      <c r="L8424" s="1" t="str">
        <f t="shared" si="529"/>
        <v>ㄧ</v>
      </c>
      <c r="M8424" s="1" t="str">
        <f t="shared" ref="M8424:M8487" si="531">MID(I8424, 3, 1)</f>
        <v>ㄝ</v>
      </c>
      <c r="P8424" s="1" t="s">
        <v>20</v>
      </c>
      <c r="R8424" s="1" t="s">
        <v>16529</v>
      </c>
      <c r="V8424" s="1" t="s">
        <v>16593</v>
      </c>
      <c r="AR8424" s="1" t="str">
        <f t="shared" si="530"/>
        <v>| [ㄒㄧㄝˋ](ㄒㄧㄝˋ.md) | [瀣](瀣.md) |  | xiè | 參見「沆瀣」條。 |</v>
      </c>
    </row>
    <row r="8425" spans="1:44" hidden="1">
      <c r="A8425" s="1" t="s">
        <v>16594</v>
      </c>
      <c r="C8425" s="1">
        <v>1</v>
      </c>
      <c r="D8425" s="1" t="str">
        <f>"06981"</f>
        <v>06981</v>
      </c>
      <c r="E8425" s="1" t="s">
        <v>336</v>
      </c>
      <c r="F8425" s="1">
        <v>17</v>
      </c>
      <c r="G8425" s="1">
        <v>13</v>
      </c>
      <c r="H8425" s="1">
        <v>0</v>
      </c>
      <c r="I8425" s="1" t="s">
        <v>16528</v>
      </c>
      <c r="K8425" s="1" t="str">
        <f t="shared" si="528"/>
        <v>ㄒ</v>
      </c>
      <c r="L8425" s="1" t="str">
        <f t="shared" si="529"/>
        <v>ㄧ</v>
      </c>
      <c r="M8425" s="1" t="str">
        <f t="shared" si="531"/>
        <v>ㄝ</v>
      </c>
      <c r="P8425" s="1" t="s">
        <v>20</v>
      </c>
      <c r="R8425" s="1" t="s">
        <v>16529</v>
      </c>
      <c r="V8425" s="1" t="s">
        <v>16595</v>
      </c>
      <c r="AR8425" s="1" t="str">
        <f t="shared" si="530"/>
        <v>| [ㄒㄧㄝˋ](ㄒㄧㄝˋ.md) | [燮](燮.md) |  | xiè | [動]
調和。如：「燮理陰陽」。《文選．張衡．東京賦》：「北燮丁令，南諧越裳。」
[名]
姓。如宋代有燮玄圖。 |</v>
      </c>
    </row>
    <row r="8426" spans="1:44" hidden="1">
      <c r="A8426" s="1" t="s">
        <v>16596</v>
      </c>
      <c r="C8426" s="1">
        <v>1</v>
      </c>
      <c r="D8426" s="1" t="str">
        <f>"06982"</f>
        <v>06982</v>
      </c>
      <c r="E8426" s="1" t="s">
        <v>77</v>
      </c>
      <c r="F8426" s="1">
        <v>24</v>
      </c>
      <c r="G8426" s="1">
        <v>17</v>
      </c>
      <c r="H8426" s="1">
        <v>0</v>
      </c>
      <c r="I8426" s="1" t="s">
        <v>16528</v>
      </c>
      <c r="K8426" s="1" t="str">
        <f t="shared" si="528"/>
        <v>ㄒ</v>
      </c>
      <c r="L8426" s="1" t="str">
        <f t="shared" si="529"/>
        <v>ㄧ</v>
      </c>
      <c r="M8426" s="1" t="str">
        <f t="shared" si="531"/>
        <v>ㄝ</v>
      </c>
      <c r="P8426" s="1" t="s">
        <v>20</v>
      </c>
      <c r="R8426" s="1" t="s">
        <v>16529</v>
      </c>
      <c r="V8426" s="1" t="s">
        <v>16597</v>
      </c>
      <c r="AR8426" s="1" t="str">
        <f t="shared" si="530"/>
        <v>| [ㄒㄧㄝˋ](ㄒㄧㄝˋ.md) | [躞](躞.md) |  | xiè | [名]
卷軸的軸心。宋．米芾《書史》：「嗟爾方來眼須洗，玉躞金題半歸米。」 |</v>
      </c>
    </row>
    <row r="8427" spans="1:44" hidden="1">
      <c r="A8427" s="1" t="s">
        <v>16598</v>
      </c>
      <c r="C8427" s="1">
        <v>1</v>
      </c>
      <c r="D8427" s="1" t="str">
        <f>"06983"</f>
        <v>06983</v>
      </c>
      <c r="E8427" s="1" t="s">
        <v>340</v>
      </c>
      <c r="F8427" s="1">
        <v>17</v>
      </c>
      <c r="G8427" s="1">
        <v>11</v>
      </c>
      <c r="H8427" s="1">
        <v>0</v>
      </c>
      <c r="I8427" s="1" t="s">
        <v>16528</v>
      </c>
      <c r="K8427" s="1" t="str">
        <f t="shared" si="528"/>
        <v>ㄒ</v>
      </c>
      <c r="L8427" s="1" t="str">
        <f t="shared" si="529"/>
        <v>ㄧ</v>
      </c>
      <c r="M8427" s="1" t="str">
        <f t="shared" si="531"/>
        <v>ㄝ</v>
      </c>
      <c r="P8427" s="1" t="s">
        <v>20</v>
      </c>
      <c r="R8427" s="1" t="s">
        <v>16529</v>
      </c>
      <c r="V8427" s="1" t="s">
        <v>16599</v>
      </c>
      <c r="AR8427" s="1" t="str">
        <f t="shared" si="530"/>
        <v>| [ㄒㄧㄝˋ](ㄒㄧㄝˋ.md) | [褻](褻.md) |  | xiè | [名]
貼身的衣服。《漢書．卷一〇〇．敘傳上》：「思有短褐之褻。」
[動]
輕慢、不莊重。如：「褻瀆」、「褻狎」、「褻慢」。《禮記．表記》：「無禮不相見也，欲民之毋相褻也。」唐．杜甫〈八哀詩．故祕書少監武功蘇公源明〉：「反為後輩褻，予實苦懷緬。」
[形]
1.汙穢、不清潔的。如：「褻器」、「穢褻」。
2.親近的、熟識的。《論語．鄉黨》：「見齊衰者，雖狎，必變。見冕者與瞽者，雖褻，必以貌。」《禮記．檀弓下》：「調也，君之褻臣也。」 |</v>
      </c>
    </row>
    <row r="8428" spans="1:44" hidden="1">
      <c r="A8428" s="1" t="s">
        <v>16600</v>
      </c>
      <c r="C8428" s="1">
        <v>1</v>
      </c>
      <c r="D8428" s="1" t="str">
        <f>"06984"</f>
        <v>06984</v>
      </c>
      <c r="E8428" s="1" t="s">
        <v>592</v>
      </c>
      <c r="F8428" s="1">
        <v>19</v>
      </c>
      <c r="G8428" s="1">
        <v>4</v>
      </c>
      <c r="H8428" s="1">
        <v>0</v>
      </c>
      <c r="I8428" s="1" t="s">
        <v>16528</v>
      </c>
      <c r="K8428" s="1" t="str">
        <f t="shared" si="528"/>
        <v>ㄒ</v>
      </c>
      <c r="L8428" s="1" t="str">
        <f t="shared" si="529"/>
        <v>ㄧ</v>
      </c>
      <c r="M8428" s="1" t="str">
        <f t="shared" si="531"/>
        <v>ㄝ</v>
      </c>
      <c r="P8428" s="1" t="s">
        <v>20</v>
      </c>
      <c r="R8428" s="1" t="s">
        <v>16529</v>
      </c>
      <c r="V8428" s="1" t="s">
        <v>16601</v>
      </c>
      <c r="AR8428" s="1" t="str">
        <f t="shared" si="530"/>
        <v>| [ㄒㄧㄝˋ](ㄒㄧㄝˋ.md) | [齘](齘.md) |  | xiè | [動]
上下牙齒互相摩擦。《說文解字．齒部》：「齘，齒相切也。」清．段玉裁．注：「謂上下齒緊相摩切也。」
[形]
參差不密合。《周禮．冬官考工記．函人》：「舉而視之，欲其豐也；衣之，欲其無齘也。」唐．賈公彥．疏：「釋曰：『人之齒齘前卻不齊，札葉參差與齒齘相似，故以齘為喻。』」 |</v>
      </c>
    </row>
    <row r="8429" spans="1:44" hidden="1">
      <c r="A8429" s="1" t="s">
        <v>17385</v>
      </c>
      <c r="C8429" s="1">
        <v>1</v>
      </c>
      <c r="D8429" s="1" t="str">
        <f>"07331"</f>
        <v>07331</v>
      </c>
      <c r="E8429" s="1" t="s">
        <v>96</v>
      </c>
      <c r="F8429" s="1">
        <v>13</v>
      </c>
      <c r="G8429" s="1">
        <v>4</v>
      </c>
      <c r="H8429" s="1">
        <v>0</v>
      </c>
      <c r="I8429" s="1" t="s">
        <v>17386</v>
      </c>
      <c r="K8429" s="1" t="str">
        <f t="shared" si="528"/>
        <v>ㄒ</v>
      </c>
      <c r="L8429" s="1" t="str">
        <f t="shared" si="529"/>
        <v>ㄩ</v>
      </c>
      <c r="M8429" s="1" t="str">
        <f t="shared" si="531"/>
        <v>ㄝ</v>
      </c>
      <c r="P8429" s="1" t="s">
        <v>20</v>
      </c>
      <c r="R8429" s="1" t="s">
        <v>17387</v>
      </c>
      <c r="V8429" s="1" t="s">
        <v>17388</v>
      </c>
      <c r="AR8429" s="1" t="str">
        <f t="shared" si="530"/>
        <v>| [ㄒㄩㄝ](ㄒㄩㄝ.md) | [靴](靴.md) |  | xuē | [名]
長筒的鞋子。如：「皮靴」、「雨靴」、「馬靴」。也稱為「靴子」。 |</v>
      </c>
    </row>
    <row r="8430" spans="1:44" hidden="1">
      <c r="A8430" s="1" t="s">
        <v>14632</v>
      </c>
      <c r="C8430" s="1">
        <v>1</v>
      </c>
      <c r="D8430" s="1" t="str">
        <f>"07332"</f>
        <v>07332</v>
      </c>
      <c r="E8430" s="1" t="s">
        <v>28</v>
      </c>
      <c r="F8430" s="1">
        <v>16</v>
      </c>
      <c r="G8430" s="1">
        <v>13</v>
      </c>
      <c r="H8430" s="1">
        <v>2</v>
      </c>
      <c r="I8430" s="1" t="s">
        <v>17386</v>
      </c>
      <c r="K8430" s="1" t="str">
        <f t="shared" si="528"/>
        <v>ㄒ</v>
      </c>
      <c r="L8430" s="1" t="str">
        <f t="shared" si="529"/>
        <v>ㄩ</v>
      </c>
      <c r="M8430" s="1" t="str">
        <f t="shared" si="531"/>
        <v>ㄝ</v>
      </c>
      <c r="P8430" s="1" t="s">
        <v>20</v>
      </c>
      <c r="R8430" s="1" t="s">
        <v>17387</v>
      </c>
      <c r="V8430" s="1" t="s">
        <v>17389</v>
      </c>
      <c r="W8430" s="1" t="s">
        <v>17390</v>
      </c>
      <c r="AR8430" s="1" t="str">
        <f t="shared" si="530"/>
        <v>| [ㄒㄩㄝ](ㄒㄩㄝ.md) | [噱](噱.md) |  | xuē | [形]
令人發笑的。如：「噱頭」。 |</v>
      </c>
    </row>
    <row r="8431" spans="1:44" hidden="1">
      <c r="A8431" s="1" t="s">
        <v>17391</v>
      </c>
      <c r="C8431" s="1">
        <v>1</v>
      </c>
      <c r="D8431" s="1" t="str">
        <f>"07333"</f>
        <v>07333</v>
      </c>
      <c r="E8431" s="1" t="s">
        <v>37</v>
      </c>
      <c r="F8431" s="1">
        <v>17</v>
      </c>
      <c r="G8431" s="1">
        <v>13</v>
      </c>
      <c r="H8431" s="1">
        <v>0</v>
      </c>
      <c r="I8431" s="1" t="s">
        <v>17386</v>
      </c>
      <c r="K8431" s="1" t="str">
        <f t="shared" si="528"/>
        <v>ㄒ</v>
      </c>
      <c r="L8431" s="1" t="str">
        <f t="shared" si="529"/>
        <v>ㄩ</v>
      </c>
      <c r="M8431" s="1" t="str">
        <f t="shared" si="531"/>
        <v>ㄝ</v>
      </c>
      <c r="P8431" s="1" t="s">
        <v>20</v>
      </c>
      <c r="R8431" s="1" t="s">
        <v>17387</v>
      </c>
      <c r="V8431" s="1" t="s">
        <v>17392</v>
      </c>
      <c r="AR8431" s="1" t="str">
        <f t="shared" si="530"/>
        <v>| [ㄒㄩㄝ](ㄒㄩㄝ.md) | [薛](薛.md) |  | xuē | [名]
1.國名。故址約在今大陸地區山東省滕縣東南。
2.姓。如唐代有薛仁貴。 |</v>
      </c>
    </row>
    <row r="8432" spans="1:44" hidden="1">
      <c r="A8432" s="1" t="s">
        <v>17393</v>
      </c>
      <c r="C8432" s="1">
        <v>1</v>
      </c>
      <c r="D8432" s="1" t="str">
        <f>"07334"</f>
        <v>07334</v>
      </c>
      <c r="E8432" s="1" t="s">
        <v>1274</v>
      </c>
      <c r="F8432" s="1">
        <v>5</v>
      </c>
      <c r="G8432" s="1">
        <v>0</v>
      </c>
      <c r="H8432" s="1">
        <v>2</v>
      </c>
      <c r="I8432" s="1" t="s">
        <v>17394</v>
      </c>
      <c r="K8432" s="1" t="str">
        <f t="shared" ref="K8432:K8495" si="532">LEFT(I8432, 1)</f>
        <v>ㄒ</v>
      </c>
      <c r="L8432" s="1" t="str">
        <f t="shared" ref="L8432:L8495" si="533">MID(I8432, 2, 1)</f>
        <v>ㄩ</v>
      </c>
      <c r="M8432" s="1" t="str">
        <f t="shared" si="531"/>
        <v>ㄝ</v>
      </c>
      <c r="P8432" s="1" t="s">
        <v>110</v>
      </c>
      <c r="R8432" s="1" t="s">
        <v>17395</v>
      </c>
      <c r="V8432" s="1" t="s">
        <v>111</v>
      </c>
      <c r="W8432" s="1" t="s">
        <v>17396</v>
      </c>
      <c r="AR8432" s="1" t="str">
        <f t="shared" si="530"/>
        <v>| [ㄒㄩㄝˊ](ㄒㄩㄝˊ.md) | [穴](穴.md) |  | xué | (一)之又音。 |</v>
      </c>
    </row>
    <row r="8433" spans="1:44" hidden="1">
      <c r="A8433" s="1" t="s">
        <v>17397</v>
      </c>
      <c r="C8433" s="1">
        <v>1</v>
      </c>
      <c r="D8433" s="1" t="str">
        <f>"07335"</f>
        <v>07335</v>
      </c>
      <c r="E8433" s="1" t="s">
        <v>77</v>
      </c>
      <c r="F8433" s="1">
        <v>14</v>
      </c>
      <c r="G8433" s="1">
        <v>7</v>
      </c>
      <c r="H8433" s="1">
        <v>2</v>
      </c>
      <c r="I8433" s="1" t="s">
        <v>17394</v>
      </c>
      <c r="K8433" s="1" t="str">
        <f t="shared" si="532"/>
        <v>ㄒ</v>
      </c>
      <c r="L8433" s="1" t="str">
        <f t="shared" si="533"/>
        <v>ㄩ</v>
      </c>
      <c r="M8433" s="1" t="str">
        <f t="shared" si="531"/>
        <v>ㄝ</v>
      </c>
      <c r="P8433" s="1" t="s">
        <v>20</v>
      </c>
      <c r="R8433" s="1" t="s">
        <v>17395</v>
      </c>
      <c r="V8433" s="1" t="s">
        <v>17398</v>
      </c>
      <c r="W8433" s="1" t="s">
        <v>17399</v>
      </c>
      <c r="AR8433" s="1" t="str">
        <f t="shared" si="530"/>
        <v>| [ㄒㄩㄝˊ](ㄒㄩㄝˊ.md) | [踅](踅.md) |  | xué | [動]
1.盤旋。元．王實甫《西廂記．第四本．第四折》：「四野風來，左右亂踅。」明．朱權《卓文君》第二折：「碧天邊夕陽漸斜，疏林外昏鴉亂踅。」
2.轉、折轉。《喻世明言．卷一．蔣興哥重會珍珠衫》：「忙踅出來，道：『大官人，老身且不敢稱謝。』」《水滸傳》第六回：「智深提了禪杖，踅過後面。」
3.來回的走。《金瓶梅》第二回：「這婆子正開門，在茶局子裡整理茶鍋，張見西門慶踅過幾遍。」《老殘遊記》第二回：「搖著串鈴滿街踅了一趟，虛應一應故事。」 |</v>
      </c>
    </row>
    <row r="8434" spans="1:44" hidden="1">
      <c r="A8434" s="1" t="s">
        <v>17400</v>
      </c>
      <c r="C8434" s="1">
        <v>1</v>
      </c>
      <c r="D8434" s="1" t="str">
        <f>"07336"</f>
        <v>07336</v>
      </c>
      <c r="E8434" s="1" t="s">
        <v>241</v>
      </c>
      <c r="F8434" s="1">
        <v>16</v>
      </c>
      <c r="G8434" s="1">
        <v>13</v>
      </c>
      <c r="H8434" s="1">
        <v>0</v>
      </c>
      <c r="I8434" s="1" t="s">
        <v>17394</v>
      </c>
      <c r="K8434" s="1" t="str">
        <f t="shared" si="532"/>
        <v>ㄒ</v>
      </c>
      <c r="L8434" s="1" t="str">
        <f t="shared" si="533"/>
        <v>ㄩ</v>
      </c>
      <c r="M8434" s="1" t="str">
        <f t="shared" si="531"/>
        <v>ㄝ</v>
      </c>
      <c r="P8434" s="1" t="s">
        <v>20</v>
      </c>
      <c r="R8434" s="1" t="s">
        <v>17395</v>
      </c>
      <c r="V8434" s="1" t="s">
        <v>17401</v>
      </c>
      <c r="AR8434" s="1" t="str">
        <f t="shared" si="530"/>
        <v>| [ㄒㄩㄝˊ](ㄒㄩㄝˊ.md) | [學](學.md) |  | xué | [動]
1.覺悟、領會。《玉篇．子部》：「學，覺也。」《書經．說命下》：「學于古訓乃有獲。」
2.研習、學習。如：「學技術」、「學而不厭」。《論語．子張》：「仕而優則學，學而優則仕。」《禮記．學記》：「玉不琢，不成器；人不學，不知道。」
3.模仿、仿效。如：「學話」、「學雞叫」。《晉書．卷九十四．隱逸傳．戴逵傳》：「是猶美西施而學其顰眉。」《醒世恆言．卷八．喬太守亂點鴛鴦譜》：「劉公把他言語學了一遍。」
[名]
1.學校、求學的地方。如：「小學」、「中學」、「大學」。《禮記．學記》：「比年入學。」唐．韓愈〈進學解〉：「國子先生晨入太學，招諸生立館下。」
2.學問、學識。如：「求學」、「治學」、「品學兼優」、「才疏學淺」。唐．柳宗元．與韓愈論史官書：「今學如退之，辭如退之。」
3.學說、學問派系。如：「宋學」、「漢學」、「儒學」。《史記．卷六三．老子韓非列傳．老子》：「老子脩道德，其學以自隱無名為務。」
4.學科、有系統而專門的知識。如：「哲學」、「醫學」、「文學」、「經濟學」。 |</v>
      </c>
    </row>
    <row r="8435" spans="1:44" hidden="1">
      <c r="A8435" s="1" t="s">
        <v>16717</v>
      </c>
      <c r="C8435" s="1">
        <v>1</v>
      </c>
      <c r="D8435" s="1" t="str">
        <f>"07337"</f>
        <v>07337</v>
      </c>
      <c r="E8435" s="1" t="s">
        <v>129</v>
      </c>
      <c r="F8435" s="1">
        <v>17</v>
      </c>
      <c r="G8435" s="1">
        <v>13</v>
      </c>
      <c r="H8435" s="1">
        <v>1</v>
      </c>
      <c r="I8435" s="1" t="s">
        <v>17394</v>
      </c>
      <c r="K8435" s="1" t="str">
        <f t="shared" si="532"/>
        <v>ㄒ</v>
      </c>
      <c r="L8435" s="1" t="str">
        <f t="shared" si="533"/>
        <v>ㄩ</v>
      </c>
      <c r="M8435" s="1" t="str">
        <f t="shared" si="531"/>
        <v>ㄝ</v>
      </c>
      <c r="P8435" s="1" t="s">
        <v>20</v>
      </c>
      <c r="R8435" s="1" t="s">
        <v>17395</v>
      </c>
      <c r="V8435" s="1" t="s">
        <v>17402</v>
      </c>
      <c r="W8435" s="1" t="s">
        <v>17403</v>
      </c>
      <c r="AR8435" s="1" t="str">
        <f t="shared" si="530"/>
        <v>| [ㄒㄩㄝˊ](ㄒㄩㄝˊ.md) | [澩](澩.md) |  | xué | [名]
1.夏季有水，冬季沒水的溪、澤。《說文解字．水部》：「澩，夏有水冬無水曰澩。」
2.乾枯的泉水。《廣韻．入聲．覺韻》：「澩，涸泉。」
3.河川名。渭水的支流。清．王念孫《廣雅疏證．卷九下．釋水》：「水自渭出為澩。」 |</v>
      </c>
    </row>
    <row r="8436" spans="1:44" hidden="1">
      <c r="A8436" s="1" t="s">
        <v>17404</v>
      </c>
      <c r="C8436" s="1">
        <v>1</v>
      </c>
      <c r="D8436" s="1" t="str">
        <f>"07338"</f>
        <v>07338</v>
      </c>
      <c r="E8436" s="1" t="s">
        <v>1117</v>
      </c>
      <c r="F8436" s="1">
        <v>20</v>
      </c>
      <c r="G8436" s="1">
        <v>13</v>
      </c>
      <c r="H8436" s="1">
        <v>0</v>
      </c>
      <c r="I8436" s="1" t="s">
        <v>17394</v>
      </c>
      <c r="K8436" s="1" t="str">
        <f t="shared" si="532"/>
        <v>ㄒ</v>
      </c>
      <c r="L8436" s="1" t="str">
        <f t="shared" si="533"/>
        <v>ㄩ</v>
      </c>
      <c r="M8436" s="1" t="str">
        <f t="shared" si="531"/>
        <v>ㄝ</v>
      </c>
      <c r="P8436" s="1" t="s">
        <v>20</v>
      </c>
      <c r="R8436" s="1" t="s">
        <v>17395</v>
      </c>
      <c r="V8436" s="1" t="s">
        <v>17405</v>
      </c>
      <c r="AR8436" s="1" t="str">
        <f t="shared" si="530"/>
        <v>| [ㄒㄩㄝˊ](ㄒㄩㄝˊ.md) | [觷](觷.md) |  | xué | [動]
整治獸角，使成為器物。《爾雅．釋器》：「象謂之鵠，角謂之觷。」晉．郭璞．注：「五者皆治樸之名，謂治其樸，俱未成器，有此五名也。」 |</v>
      </c>
    </row>
    <row r="8437" spans="1:44" hidden="1">
      <c r="A8437" s="1" t="s">
        <v>17406</v>
      </c>
      <c r="C8437" s="1">
        <v>1</v>
      </c>
      <c r="D8437" s="1" t="str">
        <f>"07339"</f>
        <v>07339</v>
      </c>
      <c r="E8437" s="1" t="s">
        <v>272</v>
      </c>
      <c r="F8437" s="1">
        <v>24</v>
      </c>
      <c r="G8437" s="1">
        <v>13</v>
      </c>
      <c r="H8437" s="1">
        <v>0</v>
      </c>
      <c r="I8437" s="1" t="s">
        <v>17394</v>
      </c>
      <c r="K8437" s="1" t="str">
        <f t="shared" si="532"/>
        <v>ㄒ</v>
      </c>
      <c r="L8437" s="1" t="str">
        <f t="shared" si="533"/>
        <v>ㄩ</v>
      </c>
      <c r="M8437" s="1" t="str">
        <f t="shared" si="531"/>
        <v>ㄝ</v>
      </c>
      <c r="P8437" s="1" t="s">
        <v>20</v>
      </c>
      <c r="R8437" s="1" t="s">
        <v>17395</v>
      </c>
      <c r="V8437" s="1" t="s">
        <v>17407</v>
      </c>
      <c r="AR8437" s="1" t="str">
        <f t="shared" si="530"/>
        <v>| [ㄒㄩㄝˊ](ㄒㄩㄝˊ.md) | [鷽](鷽.md) |  | xué | [名]
動物名： (1)雀形目。似鵲，毛色黑而有文采，嘴、腳為紅色，尾巴長，性凶悍。也稱為「山鵲」。(2)鳴禽類。形與文鳥相似，雄鳥頭部黑色，嘴圓錐狀，頰至喉側深紅色，背灰色，胸腹赤色，翼與尾黑色。雌鳥毛色淡，頰至喉側深紅色。 |</v>
      </c>
    </row>
    <row r="8438" spans="1:44" hidden="1">
      <c r="A8438" s="1" t="s">
        <v>5361</v>
      </c>
      <c r="C8438" s="1">
        <v>1</v>
      </c>
      <c r="D8438" s="1" t="str">
        <f>"07339A"</f>
        <v>07339A</v>
      </c>
      <c r="E8438" s="1" t="s">
        <v>340</v>
      </c>
      <c r="F8438" s="1">
        <v>17</v>
      </c>
      <c r="G8438" s="1">
        <v>11</v>
      </c>
      <c r="H8438" s="1">
        <v>2</v>
      </c>
      <c r="I8438" s="1" t="s">
        <v>17394</v>
      </c>
      <c r="K8438" s="1" t="str">
        <f t="shared" si="532"/>
        <v>ㄒ</v>
      </c>
      <c r="L8438" s="1" t="str">
        <f t="shared" si="533"/>
        <v>ㄩ</v>
      </c>
      <c r="M8438" s="1" t="str">
        <f t="shared" si="531"/>
        <v>ㄝ</v>
      </c>
      <c r="P8438" s="1" t="s">
        <v>20</v>
      </c>
      <c r="R8438" s="1" t="s">
        <v>17395</v>
      </c>
      <c r="V8438" s="1" t="s">
        <v>17408</v>
      </c>
      <c r="W8438" s="1" t="s">
        <v>17409</v>
      </c>
      <c r="AR8438" s="1" t="str">
        <f t="shared" si="530"/>
        <v>| [ㄒㄩㄝˊ](ㄒㄩㄝˊ.md) | [褶](褶.md) |  | xué | [名]_x000D_
古代一種騎馬時所穿的衣服。《集韻．入聲．緝韻》：「褶，褲褶，騎服。」《三國志．卷一二．魏書．崔毛徐何刑鮑司馬傳．崔琰》：「唯世子燔翳捐褶，以塞眾望，不令老臣獲罪於天。」《晉書．卷二五．輿服志》：「黑褲褶將一人，騎校、鞀角各一人。」 |</v>
      </c>
    </row>
    <row r="8439" spans="1:44" hidden="1">
      <c r="A8439" s="1" t="s">
        <v>17410</v>
      </c>
      <c r="C8439" s="1">
        <v>1</v>
      </c>
      <c r="D8439" s="1" t="str">
        <f>"07340"</f>
        <v>07340</v>
      </c>
      <c r="E8439" s="1" t="s">
        <v>125</v>
      </c>
      <c r="F8439" s="1">
        <v>11</v>
      </c>
      <c r="G8439" s="1">
        <v>3</v>
      </c>
      <c r="H8439" s="1">
        <v>1</v>
      </c>
      <c r="I8439" s="1" t="s">
        <v>17411</v>
      </c>
      <c r="K8439" s="1" t="str">
        <f t="shared" si="532"/>
        <v>ㄒ</v>
      </c>
      <c r="L8439" s="1" t="str">
        <f t="shared" si="533"/>
        <v>ㄩ</v>
      </c>
      <c r="M8439" s="1" t="str">
        <f t="shared" si="531"/>
        <v>ㄝ</v>
      </c>
      <c r="P8439" s="1" t="s">
        <v>20</v>
      </c>
      <c r="R8439" s="1" t="s">
        <v>17412</v>
      </c>
      <c r="V8439" s="1" t="s">
        <v>17413</v>
      </c>
      <c r="W8439" s="1" t="s">
        <v>17414</v>
      </c>
      <c r="AR8439" s="1" t="str">
        <f t="shared" si="530"/>
        <v>| [ㄒㄩㄝˇ](ㄒㄩㄝˇ.md) | [雪](雪.md) |  | xuě | [名]_x000D_
水汽在零度以下所凝結成的六角形白色晶體。如：「白雪」、「冰雪」、「下雪」、「積雪」。_x000D_
[動]_x000D_
1.下雪、降雪。南朝宋．劉義慶《世說新語．文學》：「于時始雪，五處俱賀。」唐．白居易〈問劉十九〉詩：「晚來天欲雪，能飲一杯無？」_x000D_
2.擦拭。《呂氏春秋．恃君覽．觀表》：「吳起雪泣而應之曰：『子弗識也。』」唐．杜甫〈陪諸貴公子丈八溝攜妓納涼晚際遇雨〉詩二首之一：「公子調冰水，佳人雪藕絲。」_x000D_
3.洗刷、洗清、清除。如：「雪恥」、「昭雪」、「洗雪冤情」。《呂氏春秋．不苟論．不苟》：「繆公能令人臣時立其正義，故雪殽之恥，而西至河雍也。」唐．李白〈獨漉篇〉：「國恥未雪，何由成名。」_x000D_
[形]_x000D_
如雪般白色的。如：「雪白」。隋．盧思道〈孤鴻賦〉：「振雪羽而臨風，掩霜毛而候旭。」 |</v>
      </c>
    </row>
    <row r="8440" spans="1:44" hidden="1">
      <c r="A8440" s="1" t="s">
        <v>17415</v>
      </c>
      <c r="C8440" s="1">
        <v>1</v>
      </c>
      <c r="D8440" s="1" t="str">
        <f>"07341"</f>
        <v>07341</v>
      </c>
      <c r="E8440" s="1" t="s">
        <v>156</v>
      </c>
      <c r="F8440" s="1">
        <v>22</v>
      </c>
      <c r="G8440" s="1">
        <v>11</v>
      </c>
      <c r="H8440" s="1">
        <v>0</v>
      </c>
      <c r="I8440" s="1" t="s">
        <v>17411</v>
      </c>
      <c r="K8440" s="1" t="str">
        <f t="shared" si="532"/>
        <v>ㄒ</v>
      </c>
      <c r="L8440" s="1" t="str">
        <f t="shared" si="533"/>
        <v>ㄩ</v>
      </c>
      <c r="M8440" s="1" t="str">
        <f t="shared" si="531"/>
        <v>ㄝ</v>
      </c>
      <c r="P8440" s="1" t="s">
        <v>20</v>
      </c>
      <c r="R8440" s="1" t="s">
        <v>17412</v>
      </c>
      <c r="V8440" s="1" t="s">
        <v>17416</v>
      </c>
      <c r="AR8440" s="1" t="str">
        <f t="shared" si="530"/>
        <v>| [ㄒㄩㄝˇ](ㄒㄩㄝˇ.md) | [鱈](鱈.md) |  | xuě | [名]
動物名。脊椎動物亞門硬骨魚綱條鰭亞綱。產於寒冷的深海，體長三尺餘。口大，鱗細，下頜有一觸鬚。肉白似雪，肝含脂量高，可製魚肝油。也稱為「鰵魚」。 |</v>
      </c>
    </row>
    <row r="8441" spans="1:44" hidden="1">
      <c r="A8441" s="1" t="s">
        <v>17393</v>
      </c>
      <c r="C8441" s="1">
        <v>1</v>
      </c>
      <c r="D8441" s="1" t="str">
        <f>"07342"</f>
        <v>07342</v>
      </c>
      <c r="E8441" s="1" t="s">
        <v>1274</v>
      </c>
      <c r="F8441" s="1">
        <v>5</v>
      </c>
      <c r="G8441" s="1">
        <v>0</v>
      </c>
      <c r="H8441" s="1">
        <v>1</v>
      </c>
      <c r="I8441" s="1" t="s">
        <v>17417</v>
      </c>
      <c r="K8441" s="1" t="str">
        <f t="shared" si="532"/>
        <v>ㄒ</v>
      </c>
      <c r="L8441" s="1" t="str">
        <f t="shared" si="533"/>
        <v>ㄩ</v>
      </c>
      <c r="M8441" s="1" t="str">
        <f t="shared" si="531"/>
        <v>ㄝ</v>
      </c>
      <c r="P8441" s="1" t="s">
        <v>20</v>
      </c>
      <c r="R8441" s="1" t="s">
        <v>17418</v>
      </c>
      <c r="V8441" s="1" t="s">
        <v>17419</v>
      </c>
      <c r="W8441" s="1" t="s">
        <v>17420</v>
      </c>
      <c r="AR8441" s="1" t="str">
        <f t="shared" si="530"/>
        <v>| [ㄒㄩㄝˋ](ㄒㄩㄝˋ.md) | [穴](穴.md) |  | xuè | [名]
1.人居的土室。《詩經．大雅．綿》：「陶復陶穴，未有室家。」
2.洞窟，泛指地上或建築物的坑、洞。如：「洞穴」、「幽穴」、「巖穴」。《文選．宋玉．風賦》：「空穴來風。」
3.墳墓、墓坑。如：「墓穴」。《詩經．王風．大車》：「穀則異室，死則同穴。」唐．元稹〈遣悲懷〉詩三首之三：「同穴窅冥何所望，他生緣會更難期。」
4.窩巢。如：「巢穴」、「兔穴」、「犁庭掃穴」、「不入虎穴，焉得虎子？」。唐．杜甫〈自京赴奉先縣詠懷五百字〉詩：「顧惟螻蟻輩，但自求其穴。」
5.中醫稱人體經脈會聚的要害，多為密集的神經末稍或較粗的神經纖維經過處。如：「經穴」、「太陽穴」。
6.二一四部首之一。
[動]
挖鑿。《墨子．備穴》：「敢問古人有善攻者，穴工而入，縛柱施火，以壞吾城。」《新五代史．卷三九．雜傳．劉守光傳》：「能穴地為道以攻城。」 |</v>
      </c>
    </row>
    <row r="8442" spans="1:44" hidden="1">
      <c r="A8442" s="1" t="s">
        <v>17421</v>
      </c>
      <c r="C8442" s="1">
        <v>1</v>
      </c>
      <c r="D8442" s="1" t="str">
        <f>"07343"</f>
        <v>07343</v>
      </c>
      <c r="E8442" s="1" t="s">
        <v>129</v>
      </c>
      <c r="F8442" s="1">
        <v>8</v>
      </c>
      <c r="G8442" s="1">
        <v>5</v>
      </c>
      <c r="H8442" s="1">
        <v>0</v>
      </c>
      <c r="I8442" s="1" t="s">
        <v>17417</v>
      </c>
      <c r="K8442" s="1" t="str">
        <f t="shared" si="532"/>
        <v>ㄒ</v>
      </c>
      <c r="L8442" s="1" t="str">
        <f t="shared" si="533"/>
        <v>ㄩ</v>
      </c>
      <c r="M8442" s="1" t="str">
        <f t="shared" si="531"/>
        <v>ㄝ</v>
      </c>
      <c r="P8442" s="1" t="s">
        <v>20</v>
      </c>
      <c r="R8442" s="1" t="s">
        <v>17418</v>
      </c>
      <c r="V8442" s="1" t="s">
        <v>17422</v>
      </c>
      <c r="AR8442" s="1" t="str">
        <f t="shared" si="530"/>
        <v>| [ㄒㄩㄝˋ](ㄒㄩㄝˋ.md) | [泬](泬.md) |  | xuè | [動]
水自孔穴中迅速噴出。《說文解字．水部》：「泬，水從孔穴疾出也。」
[形]
空曠的。《楚辭．宋玉．九辯》：「泬寥兮天高而氣清。」《文選．江淹．雜體詩．謝臨川》：「乳竇既滴瀝，丹井復寥泬。」 |</v>
      </c>
    </row>
    <row r="8443" spans="1:44" hidden="1">
      <c r="A8443" s="1" t="s">
        <v>16518</v>
      </c>
      <c r="C8443" s="1">
        <v>1</v>
      </c>
      <c r="D8443" s="1" t="str">
        <f>"07344"</f>
        <v>07344</v>
      </c>
      <c r="E8443" s="1" t="s">
        <v>1681</v>
      </c>
      <c r="F8443" s="1">
        <v>6</v>
      </c>
      <c r="G8443" s="1">
        <v>0</v>
      </c>
      <c r="H8443" s="1">
        <v>2</v>
      </c>
      <c r="I8443" s="1" t="s">
        <v>17417</v>
      </c>
      <c r="K8443" s="1" t="str">
        <f t="shared" si="532"/>
        <v>ㄒ</v>
      </c>
      <c r="L8443" s="1" t="str">
        <f t="shared" si="533"/>
        <v>ㄩ</v>
      </c>
      <c r="M8443" s="1" t="str">
        <f t="shared" si="531"/>
        <v>ㄝ</v>
      </c>
      <c r="P8443" s="1" t="s">
        <v>186</v>
      </c>
      <c r="R8443" s="1" t="s">
        <v>17418</v>
      </c>
      <c r="V8443" s="1" t="s">
        <v>206</v>
      </c>
      <c r="W8443" s="1" t="s">
        <v>17423</v>
      </c>
      <c r="AR8443" s="1" t="str">
        <f t="shared" si="530"/>
        <v>| [ㄒㄩㄝˋ](ㄒㄩㄝˋ.md) | [血](血.md) |  | xuè | (一)之讀音。 |</v>
      </c>
    </row>
    <row r="8444" spans="1:44" hidden="1">
      <c r="A8444" s="1" t="s">
        <v>17424</v>
      </c>
      <c r="C8444" s="1">
        <v>1</v>
      </c>
      <c r="D8444" s="1" t="str">
        <f>"07345"</f>
        <v>07345</v>
      </c>
      <c r="E8444" s="1" t="s">
        <v>28</v>
      </c>
      <c r="F8444" s="1">
        <v>7</v>
      </c>
      <c r="G8444" s="1">
        <v>4</v>
      </c>
      <c r="H8444" s="1">
        <v>0</v>
      </c>
      <c r="I8444" s="1" t="s">
        <v>17417</v>
      </c>
      <c r="K8444" s="1" t="str">
        <f t="shared" si="532"/>
        <v>ㄒ</v>
      </c>
      <c r="L8444" s="1" t="str">
        <f t="shared" si="533"/>
        <v>ㄩ</v>
      </c>
      <c r="M8444" s="1" t="str">
        <f t="shared" si="531"/>
        <v>ㄝ</v>
      </c>
      <c r="P8444" s="1" t="s">
        <v>20</v>
      </c>
      <c r="R8444" s="1" t="s">
        <v>17418</v>
      </c>
      <c r="V8444" s="1" t="s">
        <v>17425</v>
      </c>
      <c r="AR8444" s="1" t="str">
        <f t="shared" si="530"/>
        <v>| [ㄒㄩㄝˋ](ㄒㄩㄝˋ.md) | [吷](吷.md) |  | xuè | [動]
發出小聲音。宋．蘇軾〈好事近．煙外倚危樓〉詞：「莫問世間何事，與劍頭微吷。」 |</v>
      </c>
    </row>
    <row r="8445" spans="1:44" hidden="1">
      <c r="A8445" s="1" t="s">
        <v>16610</v>
      </c>
      <c r="C8445" s="1">
        <v>1</v>
      </c>
      <c r="D8445" s="1" t="str">
        <f>"07346"</f>
        <v>07346</v>
      </c>
      <c r="E8445" s="1" t="s">
        <v>185</v>
      </c>
      <c r="F8445" s="1">
        <v>9</v>
      </c>
      <c r="G8445" s="1">
        <v>7</v>
      </c>
      <c r="H8445" s="1">
        <v>1</v>
      </c>
      <c r="I8445" s="1" t="s">
        <v>17417</v>
      </c>
      <c r="K8445" s="1" t="str">
        <f t="shared" si="532"/>
        <v>ㄒ</v>
      </c>
      <c r="L8445" s="1" t="str">
        <f t="shared" si="533"/>
        <v>ㄩ</v>
      </c>
      <c r="M8445" s="1" t="str">
        <f t="shared" si="531"/>
        <v>ㄝ</v>
      </c>
      <c r="P8445" s="1" t="s">
        <v>186</v>
      </c>
      <c r="R8445" s="1" t="s">
        <v>17418</v>
      </c>
      <c r="V8445" s="1" t="s">
        <v>17426</v>
      </c>
      <c r="W8445" s="1" t="s">
        <v>17427</v>
      </c>
      <c r="AR8445" s="1" t="str">
        <f t="shared" si="530"/>
        <v>| [ㄒㄩㄝˋ](ㄒㄩㄝˋ.md) | [削](削.md) |  | xuè | [動]
1.用刀斜刮除去物體表層。如：「削皮」、「削鉛筆」。《禮記．曲禮上》：「為天子削瓜者副之。」
2.分割。《戰國策．齊策一》：「夫齊，削地而封田嬰，是其所以弱也。」
3.減弱。如：「削滅」、「削弱」、「國勢日削」。《孟子．告子下》：「魯之削也滋甚。」漢．應劭《風俗通義．卷一．六國》：「魏不用公子無忌，故國削以至於亡。」
4.刪除。如：「削職」。《史記．卷四七．孔子世家》：「至於為春秋，筆則筆，削則削。」《資治通鑑．卷二三六．唐紀五十二．順宗永貞元年》：「俱文珍等惡其專權，削去翰林之職。」
5.搜括。如：「剝削」。明．余繼登《典故紀聞》卷一二：「非盜府庫之錢糧則削生民之膏血。」
6.責怪。如：「他剛剛被老師削了一頓。」 |</v>
      </c>
    </row>
    <row r="8446" spans="1:44" hidden="1">
      <c r="A8446" s="1" t="s">
        <v>17428</v>
      </c>
      <c r="C8446" s="1">
        <v>1</v>
      </c>
      <c r="D8446" s="1" t="str">
        <f>"07347"</f>
        <v>07347</v>
      </c>
      <c r="E8446" s="1" t="s">
        <v>336</v>
      </c>
      <c r="F8446" s="1">
        <v>10</v>
      </c>
      <c r="G8446" s="1">
        <v>6</v>
      </c>
      <c r="H8446" s="1">
        <v>0</v>
      </c>
      <c r="I8446" s="1" t="s">
        <v>17417</v>
      </c>
      <c r="K8446" s="1" t="str">
        <f t="shared" si="532"/>
        <v>ㄒ</v>
      </c>
      <c r="L8446" s="1" t="str">
        <f t="shared" si="533"/>
        <v>ㄩ</v>
      </c>
      <c r="M8446" s="1" t="str">
        <f t="shared" si="531"/>
        <v>ㄝ</v>
      </c>
      <c r="P8446" s="1" t="s">
        <v>20</v>
      </c>
      <c r="R8446" s="1" t="s">
        <v>17418</v>
      </c>
      <c r="V8446" s="1" t="s">
        <v>17429</v>
      </c>
      <c r="AR8446" s="1" t="str">
        <f t="shared" si="530"/>
        <v>| [ㄒㄩㄝˋ](ㄒㄩㄝˋ.md) | [烕](烕.md) |  | xuè | [動]
消滅、滅亡。通「滅」。《詩經．小雅．正月》：「褒以烕之。」《文選．潘岳．西征賦》：「赫赫宗周，烕為亡國。」 |</v>
      </c>
    </row>
    <row r="8447" spans="1:44" hidden="1">
      <c r="A8447" s="1" t="s">
        <v>17410</v>
      </c>
      <c r="C8447" s="1">
        <v>1</v>
      </c>
      <c r="D8447" s="1" t="str">
        <f>"07348"</f>
        <v>07348</v>
      </c>
      <c r="E8447" s="1" t="s">
        <v>125</v>
      </c>
      <c r="F8447" s="1">
        <v>11</v>
      </c>
      <c r="G8447" s="1">
        <v>3</v>
      </c>
      <c r="H8447" s="1">
        <v>2</v>
      </c>
      <c r="I8447" s="1" t="s">
        <v>17417</v>
      </c>
      <c r="K8447" s="1" t="str">
        <f t="shared" si="532"/>
        <v>ㄒ</v>
      </c>
      <c r="L8447" s="1" t="str">
        <f t="shared" si="533"/>
        <v>ㄩ</v>
      </c>
      <c r="M8447" s="1" t="str">
        <f t="shared" si="531"/>
        <v>ㄝ</v>
      </c>
      <c r="P8447" s="1" t="s">
        <v>20</v>
      </c>
      <c r="R8447" s="1" t="s">
        <v>17418</v>
      </c>
      <c r="V8447" s="1" t="s">
        <v>17430</v>
      </c>
      <c r="W8447" s="1" t="s">
        <v>17431</v>
      </c>
      <c r="AR8447" s="1" t="str">
        <f t="shared" si="530"/>
        <v>| [ㄒㄩㄝˋ](ㄒㄩㄝˋ.md) | [雪](雪.md) |  | xuè | 「雪白」的「雪」的又音。 |</v>
      </c>
    </row>
    <row r="8448" spans="1:44" hidden="1">
      <c r="A8448" s="1" t="s">
        <v>17432</v>
      </c>
      <c r="C8448" s="1">
        <v>1</v>
      </c>
      <c r="D8448" s="1" t="str">
        <f>"07349"</f>
        <v>07349</v>
      </c>
      <c r="E8448" s="1" t="s">
        <v>331</v>
      </c>
      <c r="F8448" s="1">
        <v>17</v>
      </c>
      <c r="G8448" s="1">
        <v>10</v>
      </c>
      <c r="H8448" s="1">
        <v>0</v>
      </c>
      <c r="I8448" s="1" t="s">
        <v>17417</v>
      </c>
      <c r="K8448" s="1" t="str">
        <f t="shared" si="532"/>
        <v>ㄒ</v>
      </c>
      <c r="L8448" s="1" t="str">
        <f t="shared" si="533"/>
        <v>ㄩ</v>
      </c>
      <c r="M8448" s="1" t="str">
        <f t="shared" si="531"/>
        <v>ㄝ</v>
      </c>
      <c r="P8448" s="1" t="s">
        <v>20</v>
      </c>
      <c r="R8448" s="1" t="s">
        <v>17418</v>
      </c>
      <c r="V8448" s="1" t="s">
        <v>17433</v>
      </c>
      <c r="AR8448" s="1" t="str">
        <f t="shared" si="530"/>
        <v>| [ㄒㄩㄝˋ](ㄒㄩㄝˋ.md) | [謞](謞.md) |  | xuè | 參見「謞謞」條。 |</v>
      </c>
    </row>
    <row r="8449" spans="1:44" hidden="1">
      <c r="A8449" s="1" t="s">
        <v>11667</v>
      </c>
      <c r="C8449" s="1">
        <v>1</v>
      </c>
      <c r="D8449" s="1" t="str">
        <f>"06985"</f>
        <v>06985</v>
      </c>
      <c r="E8449" s="1" t="s">
        <v>28</v>
      </c>
      <c r="F8449" s="1">
        <v>8</v>
      </c>
      <c r="G8449" s="1">
        <v>5</v>
      </c>
      <c r="H8449" s="1">
        <v>1</v>
      </c>
      <c r="I8449" s="1" t="s">
        <v>16602</v>
      </c>
      <c r="K8449" s="1" t="str">
        <f t="shared" si="532"/>
        <v>ㄒ</v>
      </c>
      <c r="L8449" s="1" t="str">
        <f t="shared" si="533"/>
        <v>ㄧ</v>
      </c>
      <c r="M8449" s="1" t="str">
        <f t="shared" si="531"/>
        <v>ㄠ</v>
      </c>
      <c r="P8449" s="1" t="s">
        <v>20</v>
      </c>
      <c r="R8449" s="1" t="s">
        <v>16603</v>
      </c>
      <c r="V8449" s="1" t="s">
        <v>16604</v>
      </c>
      <c r="W8449" s="1" t="s">
        <v>16605</v>
      </c>
      <c r="AR8449" s="1" t="str">
        <f t="shared" si="530"/>
        <v>| [ㄒㄧㄠ](ㄒㄧㄠ.md) | [呺](呺.md) |  | xiāo | [形]
外大而中空、虛大。《集韻．平聲．宵韻》：「呺，呺然，虛大貌。」《莊子．逍遙遊》：「非不呺然大也，吾為其無用而揞之。」 |</v>
      </c>
    </row>
    <row r="8450" spans="1:44" hidden="1">
      <c r="A8450" s="1" t="s">
        <v>16606</v>
      </c>
      <c r="C8450" s="1">
        <v>1</v>
      </c>
      <c r="D8450" s="1" t="str">
        <f>"06986"</f>
        <v>06986</v>
      </c>
      <c r="E8450" s="1" t="s">
        <v>139</v>
      </c>
      <c r="F8450" s="1">
        <v>9</v>
      </c>
      <c r="G8450" s="1">
        <v>5</v>
      </c>
      <c r="H8450" s="1">
        <v>0</v>
      </c>
      <c r="I8450" s="1" t="s">
        <v>16602</v>
      </c>
      <c r="K8450" s="1" t="str">
        <f t="shared" si="532"/>
        <v>ㄒ</v>
      </c>
      <c r="L8450" s="1" t="str">
        <f t="shared" si="533"/>
        <v>ㄧ</v>
      </c>
      <c r="M8450" s="1" t="str">
        <f t="shared" si="531"/>
        <v>ㄠ</v>
      </c>
      <c r="P8450" s="1" t="s">
        <v>20</v>
      </c>
      <c r="R8450" s="1" t="s">
        <v>16603</v>
      </c>
      <c r="V8450" s="1" t="s">
        <v>16607</v>
      </c>
      <c r="AR8450" s="1" t="str">
        <f t="shared" si="530"/>
        <v>| [ㄒㄧㄠ](ㄒㄧㄠ.md) | [枵](枵.md) |  | xiāo | [形]
空虛、空腹。如：「枵腹從公」。《新唐書．卷九〇．殷開山傳》：「公等勿與爭，糧盡眾枵，乃可圖。」 |</v>
      </c>
    </row>
    <row r="8451" spans="1:44" hidden="1">
      <c r="A8451" s="1" t="s">
        <v>16608</v>
      </c>
      <c r="C8451" s="1">
        <v>1</v>
      </c>
      <c r="D8451" s="1" t="str">
        <f>"06987"</f>
        <v>06987</v>
      </c>
      <c r="E8451" s="1" t="s">
        <v>272</v>
      </c>
      <c r="F8451" s="1">
        <v>16</v>
      </c>
      <c r="G8451" s="1">
        <v>5</v>
      </c>
      <c r="H8451" s="1">
        <v>0</v>
      </c>
      <c r="I8451" s="1" t="s">
        <v>16602</v>
      </c>
      <c r="K8451" s="1" t="str">
        <f t="shared" si="532"/>
        <v>ㄒ</v>
      </c>
      <c r="L8451" s="1" t="str">
        <f t="shared" si="533"/>
        <v>ㄧ</v>
      </c>
      <c r="M8451" s="1" t="str">
        <f t="shared" si="531"/>
        <v>ㄠ</v>
      </c>
      <c r="P8451" s="1" t="s">
        <v>20</v>
      </c>
      <c r="R8451" s="1" t="s">
        <v>16603</v>
      </c>
      <c r="V8451" s="1" t="s">
        <v>16609</v>
      </c>
      <c r="AR8451" s="1" t="str">
        <f t="shared" ref="AR8451:AR8514" si="534">"| ["&amp;I8451&amp;"]("&amp;I8451&amp;".md) | ["&amp;A8451&amp;"]("&amp;A8451&amp;".md) | "&amp;" | "&amp;R8451&amp;" | "&amp;V8451&amp;" |"</f>
        <v>| [ㄒㄧㄠ](ㄒㄧㄠ.md) | [鴞](鴞.md) |  | xiāo | [名]
鴞形目鳥類的統稱。通「梟」。雙眼巨大而渾圓，其羽毛的表面似天鵝絨，故飛行無聲，利於獵物。肉食，多為夜行性的猛禽。 |</v>
      </c>
    </row>
    <row r="8452" spans="1:44" hidden="1">
      <c r="A8452" s="1" t="s">
        <v>16610</v>
      </c>
      <c r="C8452" s="1">
        <v>1</v>
      </c>
      <c r="D8452" s="1" t="str">
        <f>"06988"</f>
        <v>06988</v>
      </c>
      <c r="E8452" s="1" t="s">
        <v>185</v>
      </c>
      <c r="F8452" s="1">
        <v>9</v>
      </c>
      <c r="G8452" s="1">
        <v>7</v>
      </c>
      <c r="H8452" s="1">
        <v>2</v>
      </c>
      <c r="I8452" s="1" t="s">
        <v>16602</v>
      </c>
      <c r="K8452" s="1" t="str">
        <f t="shared" si="532"/>
        <v>ㄒ</v>
      </c>
      <c r="L8452" s="1" t="str">
        <f t="shared" si="533"/>
        <v>ㄧ</v>
      </c>
      <c r="M8452" s="1" t="str">
        <f t="shared" si="531"/>
        <v>ㄠ</v>
      </c>
      <c r="P8452" s="1" t="s">
        <v>388</v>
      </c>
      <c r="R8452" s="1" t="s">
        <v>16603</v>
      </c>
      <c r="V8452" s="1" t="s">
        <v>407</v>
      </c>
      <c r="W8452" s="1" t="s">
        <v>16611</v>
      </c>
      <c r="AR8452" s="1" t="str">
        <f t="shared" si="534"/>
        <v>| [ㄒㄧㄠ](ㄒㄧㄠ.md) | [削](削.md) |  | xiāo | (一)之語音。 |</v>
      </c>
    </row>
    <row r="8453" spans="1:44" hidden="1">
      <c r="A8453" s="1" t="s">
        <v>16612</v>
      </c>
      <c r="C8453" s="1">
        <v>1</v>
      </c>
      <c r="D8453" s="1" t="str">
        <f>"06989"</f>
        <v>06989</v>
      </c>
      <c r="E8453" s="1" t="s">
        <v>129</v>
      </c>
      <c r="F8453" s="1">
        <v>10</v>
      </c>
      <c r="G8453" s="1">
        <v>7</v>
      </c>
      <c r="H8453" s="1">
        <v>0</v>
      </c>
      <c r="I8453" s="1" t="s">
        <v>16602</v>
      </c>
      <c r="K8453" s="1" t="str">
        <f t="shared" si="532"/>
        <v>ㄒ</v>
      </c>
      <c r="L8453" s="1" t="str">
        <f t="shared" si="533"/>
        <v>ㄧ</v>
      </c>
      <c r="M8453" s="1" t="str">
        <f t="shared" si="531"/>
        <v>ㄠ</v>
      </c>
      <c r="P8453" s="1" t="s">
        <v>20</v>
      </c>
      <c r="R8453" s="1" t="s">
        <v>16603</v>
      </c>
      <c r="V8453" s="1" t="s">
        <v>16613</v>
      </c>
      <c r="AR8453" s="1" t="str">
        <f t="shared" si="534"/>
        <v>| [ㄒㄧㄠ](ㄒㄧㄠ.md) | [消](消.md) |  | xiāo | [動]
1.除去。如：「消滅」、「消毒」。《孟子．滕文公下》：「鳥獸之害人者消，然後人得平土而居之。」宋．陸游〈秋夜懷吳中〉詩：「正是浮家泛宅時，巴酒不能消客恨。」
2.散失。如：「消失」、「煙消雲散」、「香消玉殞」。清．納蘭性德〈翦湘雲．電急流光〉詞：「欲譜頻年離恨，言已盡，恨未消。」
3.減退、衰退。如：「此消彼長」。《易經．泰卦》：「《彖》曰：君子道長，小人道消也。」
4.排遣、打發。如：「消遣」。三國魏．曹植〈感節賦〉：「登高墉以永望，冀消日以忘憂。」明．劉榮嗣〈有感〉詩：「捫舌藏身消永日，隨日曝背倚前簷。」
5.耗損、耗費。如：「消費」、「消耗」。
6.溶解。如：「冰消瓦解」。《禮記．月令》：「雪不降，冰凍消釋。」
7.享受。如：「消受」。元．喬吉《金錢記》第一折：「沒福消軒馬駟車，大纛高牙。」清．孔尚任《桃花扇》第七齣：「世兄有福，消此尤物。」
8.需要。如：「不消說」、「只消一天」。《西遊記》第二回：「那裡消一個時辰，早看見花果山水簾洞。」《醒世姻緣傳》第五〇回：「明早我還有小事，不消在府等我，索性明早晚上些罷。」
9.禁得住、禁得起。宋．辛棄疾〈摸魚兒．更能消〉詞：「更能消，幾番風雨？匆匆春又歸去。」元．王實甫《西廂記．第二本．第一折》：「羅衣寬褪，能消幾度黃昏？」
10.配得、值得。唐．司空圖〈淮西〉詩：「莫誇十萬兵威盛，消個忠良效順無。」宋．柳永〈蝶戀花．獨倚危樓風細細〉詞：「衣帶漸寬終不悔，為伊消得人憔悴。」
[名]
音訊、訊息。如：「消息」。元．關漢卿《救風塵》第三折：「兩頭往來，傳消寄信都是我。」 |</v>
      </c>
    </row>
    <row r="8454" spans="1:44" hidden="1">
      <c r="A8454" s="1" t="s">
        <v>16614</v>
      </c>
      <c r="C8454" s="1">
        <v>1</v>
      </c>
      <c r="D8454" s="1" t="str">
        <f>"06990"</f>
        <v>06990</v>
      </c>
      <c r="E8454" s="1" t="s">
        <v>624</v>
      </c>
      <c r="F8454" s="1">
        <v>10</v>
      </c>
      <c r="G8454" s="1">
        <v>7</v>
      </c>
      <c r="H8454" s="1">
        <v>0</v>
      </c>
      <c r="I8454" s="1" t="s">
        <v>16602</v>
      </c>
      <c r="K8454" s="1" t="str">
        <f t="shared" si="532"/>
        <v>ㄒ</v>
      </c>
      <c r="L8454" s="1" t="str">
        <f t="shared" si="533"/>
        <v>ㄧ</v>
      </c>
      <c r="M8454" s="1" t="str">
        <f t="shared" si="531"/>
        <v>ㄠ</v>
      </c>
      <c r="P8454" s="1" t="s">
        <v>20</v>
      </c>
      <c r="R8454" s="1" t="s">
        <v>16603</v>
      </c>
      <c r="V8454" s="1" t="s">
        <v>16615</v>
      </c>
      <c r="AR8454" s="1" t="str">
        <f t="shared" si="534"/>
        <v>| [ㄒㄧㄠ](ㄒㄧㄠ.md) | [宵](宵.md) |  | xiāo | [名]
夜、夜晚。如：「良宵苦短」、「通宵達旦」、「春宵一刻值千金」。《文選．潘岳．懷舊賦》：「宵展轉而不寐，驟長歎以達晨。」唐．李白〈塞下曲〉六首之一：「曉戰隨金鼓，宵眠抱玉鞍。」
[形]
細小。通「小」。《禮記．學記》：「宵雅肄三，官其始也。」漢．鄭玄．注：「宵之言小也。」《史記．卷六〇．三王世家》：「毋侗好軼，毋邇宵人，維法維則。」 |</v>
      </c>
    </row>
    <row r="8455" spans="1:44" hidden="1">
      <c r="A8455" s="1" t="s">
        <v>16616</v>
      </c>
      <c r="C8455" s="1">
        <v>1</v>
      </c>
      <c r="D8455" s="1" t="str">
        <f>"06991"</f>
        <v>06991</v>
      </c>
      <c r="E8455" s="1" t="s">
        <v>558</v>
      </c>
      <c r="F8455" s="1">
        <v>11</v>
      </c>
      <c r="G8455" s="1">
        <v>7</v>
      </c>
      <c r="H8455" s="1">
        <v>0</v>
      </c>
      <c r="I8455" s="1" t="s">
        <v>16602</v>
      </c>
      <c r="K8455" s="1" t="str">
        <f t="shared" si="532"/>
        <v>ㄒ</v>
      </c>
      <c r="L8455" s="1" t="str">
        <f t="shared" si="533"/>
        <v>ㄧ</v>
      </c>
      <c r="M8455" s="1" t="str">
        <f t="shared" si="531"/>
        <v>ㄠ</v>
      </c>
      <c r="P8455" s="1" t="s">
        <v>20</v>
      </c>
      <c r="R8455" s="1" t="s">
        <v>16603</v>
      </c>
      <c r="V8455" s="1" t="s">
        <v>16617</v>
      </c>
      <c r="AR8455" s="1" t="str">
        <f t="shared" si="534"/>
        <v>| [ㄒㄧㄠ](ㄒㄧㄠ.md) | [逍](逍.md) |  | xiāo | 參見「逍遙」條。 |</v>
      </c>
    </row>
    <row r="8456" spans="1:44" hidden="1">
      <c r="A8456" s="1" t="s">
        <v>16618</v>
      </c>
      <c r="C8456" s="1">
        <v>1</v>
      </c>
      <c r="D8456" s="1" t="str">
        <f>"06992"</f>
        <v>06992</v>
      </c>
      <c r="E8456" s="1" t="s">
        <v>169</v>
      </c>
      <c r="F8456" s="1">
        <v>12</v>
      </c>
      <c r="G8456" s="1">
        <v>7</v>
      </c>
      <c r="H8456" s="1">
        <v>0</v>
      </c>
      <c r="I8456" s="1" t="s">
        <v>16602</v>
      </c>
      <c r="K8456" s="1" t="str">
        <f t="shared" si="532"/>
        <v>ㄒ</v>
      </c>
      <c r="L8456" s="1" t="str">
        <f t="shared" si="533"/>
        <v>ㄧ</v>
      </c>
      <c r="M8456" s="1" t="str">
        <f t="shared" si="531"/>
        <v>ㄠ</v>
      </c>
      <c r="P8456" s="1" t="s">
        <v>20</v>
      </c>
      <c r="R8456" s="1" t="s">
        <v>16603</v>
      </c>
      <c r="V8456" s="1" t="s">
        <v>16619</v>
      </c>
      <c r="AR8456" s="1" t="str">
        <f t="shared" si="534"/>
        <v>| [ㄒㄧㄠ](ㄒㄧㄠ.md) | [硝](硝.md) |  | xiāo | [名]
1.一種礦石。結晶體色白而透明，有玻璃光澤。可供藥用，並製火藥、肥料、蠟燭等。
2.塗製皮革所用的原料，俗稱為「皮硝」。
[動]
用硝塗製皮革使柔軟。如：「這張皮革還沒硝呢！」《西遊記》第九二回：「一壁廂叫屠子宰剝犀牛之皮，硝熟燻乾，製造鎧甲。」 |</v>
      </c>
    </row>
    <row r="8457" spans="1:44" hidden="1">
      <c r="A8457" s="1" t="s">
        <v>16620</v>
      </c>
      <c r="C8457" s="1">
        <v>1</v>
      </c>
      <c r="D8457" s="1" t="str">
        <f>"06993"</f>
        <v>06993</v>
      </c>
      <c r="E8457" s="1" t="s">
        <v>24</v>
      </c>
      <c r="F8457" s="1">
        <v>13</v>
      </c>
      <c r="G8457" s="1">
        <v>9</v>
      </c>
      <c r="H8457" s="1">
        <v>0</v>
      </c>
      <c r="I8457" s="1" t="s">
        <v>16602</v>
      </c>
      <c r="K8457" s="1" t="str">
        <f t="shared" si="532"/>
        <v>ㄒ</v>
      </c>
      <c r="L8457" s="1" t="str">
        <f t="shared" si="533"/>
        <v>ㄧ</v>
      </c>
      <c r="M8457" s="1" t="str">
        <f t="shared" si="531"/>
        <v>ㄠ</v>
      </c>
      <c r="P8457" s="1" t="s">
        <v>20</v>
      </c>
      <c r="R8457" s="1" t="s">
        <v>16603</v>
      </c>
      <c r="V8457" s="1" t="s">
        <v>16621</v>
      </c>
      <c r="AR8457" s="1" t="str">
        <f t="shared" si="534"/>
        <v>| [ㄒㄧㄠ](ㄒㄧㄠ.md) | [揱](揱.md) |  | xiāo | [形]
細長削尖的樣子。《周禮．冬官考工記．輪人》：「望其輻，欲其揱爾而纖也。」漢．鄭玄．注：「揱、纖，殺小貌也。」 |</v>
      </c>
    </row>
    <row r="8458" spans="1:44" hidden="1">
      <c r="A8458" s="1" t="s">
        <v>16622</v>
      </c>
      <c r="C8458" s="1">
        <v>1</v>
      </c>
      <c r="D8458" s="1" t="str">
        <f>"06994"</f>
        <v>06994</v>
      </c>
      <c r="E8458" s="1" t="s">
        <v>679</v>
      </c>
      <c r="F8458" s="1">
        <v>13</v>
      </c>
      <c r="G8458" s="1">
        <v>7</v>
      </c>
      <c r="H8458" s="1">
        <v>1</v>
      </c>
      <c r="I8458" s="1" t="s">
        <v>16602</v>
      </c>
      <c r="K8458" s="1" t="str">
        <f t="shared" si="532"/>
        <v>ㄒ</v>
      </c>
      <c r="L8458" s="1" t="str">
        <f t="shared" si="533"/>
        <v>ㄧ</v>
      </c>
      <c r="M8458" s="1" t="str">
        <f t="shared" si="531"/>
        <v>ㄠ</v>
      </c>
      <c r="P8458" s="1" t="s">
        <v>20</v>
      </c>
      <c r="R8458" s="1" t="s">
        <v>16603</v>
      </c>
      <c r="V8458" s="1" t="s">
        <v>2274</v>
      </c>
      <c r="W8458" s="1" t="s">
        <v>16623</v>
      </c>
      <c r="AR8458" s="1" t="str">
        <f t="shared" si="534"/>
        <v>| [ㄒㄧㄠ](ㄒㄧㄠ.md) | [蛸](蛸.md) |  | xiāo | 參見「螵蛸」條。 |</v>
      </c>
    </row>
    <row r="8459" spans="1:44" hidden="1">
      <c r="A8459" s="1" t="s">
        <v>16624</v>
      </c>
      <c r="C8459" s="1">
        <v>1</v>
      </c>
      <c r="D8459" s="1" t="str">
        <f>"06995"</f>
        <v>06995</v>
      </c>
      <c r="E8459" s="1" t="s">
        <v>725</v>
      </c>
      <c r="F8459" s="1">
        <v>13</v>
      </c>
      <c r="G8459" s="1">
        <v>7</v>
      </c>
      <c r="H8459" s="1">
        <v>0</v>
      </c>
      <c r="I8459" s="1" t="s">
        <v>16602</v>
      </c>
      <c r="K8459" s="1" t="str">
        <f t="shared" si="532"/>
        <v>ㄒ</v>
      </c>
      <c r="L8459" s="1" t="str">
        <f t="shared" si="533"/>
        <v>ㄧ</v>
      </c>
      <c r="M8459" s="1" t="str">
        <f t="shared" si="531"/>
        <v>ㄠ</v>
      </c>
      <c r="P8459" s="1" t="s">
        <v>20</v>
      </c>
      <c r="R8459" s="1" t="s">
        <v>16603</v>
      </c>
      <c r="V8459" s="1" t="s">
        <v>16625</v>
      </c>
      <c r="AR8459" s="1" t="str">
        <f t="shared" si="534"/>
        <v>| [ㄒㄧㄠ](ㄒㄧㄠ.md) | [綃](綃.md) |  | xiāo | [名]
1.生絲。《說文解字．糸部》：「綃，生絲也。」
2.用生絲織成的絲織品。唐．白居易〈琵琶行〉：「五陵年少爭纏頭，一曲紅綃不知數。」唐．陳鴻《長恨傳》：「見一人冠金蓮，披紫綃，佩紅玉，曳鳳舄，左右侍者七八人。」 |</v>
      </c>
    </row>
    <row r="8460" spans="1:44" hidden="1">
      <c r="A8460" s="1" t="s">
        <v>16626</v>
      </c>
      <c r="C8460" s="1">
        <v>1</v>
      </c>
      <c r="D8460" s="1" t="str">
        <f>"06996"</f>
        <v>06996</v>
      </c>
      <c r="E8460" s="1" t="s">
        <v>125</v>
      </c>
      <c r="F8460" s="1">
        <v>15</v>
      </c>
      <c r="G8460" s="1">
        <v>7</v>
      </c>
      <c r="H8460" s="1">
        <v>0</v>
      </c>
      <c r="I8460" s="1" t="s">
        <v>16602</v>
      </c>
      <c r="K8460" s="1" t="str">
        <f t="shared" si="532"/>
        <v>ㄒ</v>
      </c>
      <c r="L8460" s="1" t="str">
        <f t="shared" si="533"/>
        <v>ㄧ</v>
      </c>
      <c r="M8460" s="1" t="str">
        <f t="shared" si="531"/>
        <v>ㄠ</v>
      </c>
      <c r="P8460" s="1" t="s">
        <v>20</v>
      </c>
      <c r="R8460" s="1" t="s">
        <v>16603</v>
      </c>
      <c r="V8460" s="1" t="s">
        <v>16627</v>
      </c>
      <c r="AR8460" s="1" t="str">
        <f t="shared" si="534"/>
        <v>| [ㄒㄧㄠ](ㄒㄧㄠ.md) | [霄](霄.md) |  | xiāo | [名]
1.天空。如：「響徹雲霄」、「九霄雲外」。《文選．陸機．挽歌詩三首之二》：「廣霄何寥廓，大暮安可晨。」宋．張孝祥〈浣溪沙．霜日明霄水蘸空〉詞：「霜日明霄水蘸空，鳴鞘聲裡繡旗紅。」
2.雲、高空雲氣。《文選．張衡．思玄賦》：「涉清霄而升遐兮。」唐．高適〈同群公秋登琴臺〉詩：「萬象歸白帝，平川橫赤霄。」
3.夜、晚間。通「宵」。《左傳．襄公十年》：「（鄭子矯）霄涉潁與楚人盟。」晉．杜預．注：「夜渡畏晉知之。」《呂氏春秋．季夏紀．明理》：「有晝盲，有霄見。」
4.姓。如戰國時代有霄略。 |</v>
      </c>
    </row>
    <row r="8461" spans="1:44" hidden="1">
      <c r="A8461" s="1" t="s">
        <v>16628</v>
      </c>
      <c r="C8461" s="1">
        <v>1</v>
      </c>
      <c r="D8461" s="1" t="str">
        <f>"06997"</f>
        <v>06997</v>
      </c>
      <c r="E8461" s="1" t="s">
        <v>55</v>
      </c>
      <c r="F8461" s="1">
        <v>15</v>
      </c>
      <c r="G8461" s="1">
        <v>7</v>
      </c>
      <c r="H8461" s="1">
        <v>0</v>
      </c>
      <c r="I8461" s="1" t="s">
        <v>16602</v>
      </c>
      <c r="K8461" s="1" t="str">
        <f t="shared" si="532"/>
        <v>ㄒ</v>
      </c>
      <c r="L8461" s="1" t="str">
        <f t="shared" si="533"/>
        <v>ㄧ</v>
      </c>
      <c r="M8461" s="1" t="str">
        <f t="shared" si="531"/>
        <v>ㄠ</v>
      </c>
      <c r="P8461" s="1" t="s">
        <v>20</v>
      </c>
      <c r="R8461" s="1" t="s">
        <v>16603</v>
      </c>
      <c r="V8461" s="1" t="s">
        <v>16629</v>
      </c>
      <c r="AR8461" s="1" t="str">
        <f t="shared" si="534"/>
        <v>| [ㄒㄧㄠ](ㄒㄧㄠ.md) | [銷](銷.md) |  | xiāo | [動]
1.鎔化金屬。《說文解字．金部》：「銷，鑠金也。」如：「銷鎔」、「銷鑠」。《史記．卷六．秦始皇本紀》：「收天下兵，聚之咸陽，銷以為鍾鐻，金人十二，重各千石，置廷宮中。」
2.耗盡、毀壞。《漢書．卷七二．龔勝傳》：「薰以香自燒，膏以明自銷。」《文選．鄒陽．獄中上書自明》：「眾口鑠金，積毀銷骨。」
3.耗費、削弱。《莊子．則陽》：「其聲銷，其志無窮。」元．鄭廷玉《冤家債主》第三折：「典了莊宅，賣了田土，銷乏了幾多錢物。」
4.去、除去。如：「註銷」、「報銷」、「撤銷」。唐．駱賓王〈送吳七遊蜀〉詩：「霧銷山望迥，風高野聽喧。」《官場現形記》第四回：「黃道臺，上院銷假。」
5.抒發、排遣。《文選．王粲．登樓賦》：「聊暇日以銷憂。」
6.出售（貨物）。如：「銷售」、「推銷」。《老殘遊記》第七回：「這千家詩還算一半是冷貨，一年不過銷百把部。」 |</v>
      </c>
    </row>
    <row r="8462" spans="1:44" hidden="1">
      <c r="A8462" s="1" t="s">
        <v>16630</v>
      </c>
      <c r="C8462" s="1">
        <v>1</v>
      </c>
      <c r="D8462" s="1" t="str">
        <f>"06998"</f>
        <v>06998</v>
      </c>
      <c r="E8462" s="1" t="s">
        <v>83</v>
      </c>
      <c r="F8462" s="1">
        <v>17</v>
      </c>
      <c r="G8462" s="1">
        <v>7</v>
      </c>
      <c r="H8462" s="1">
        <v>0</v>
      </c>
      <c r="I8462" s="1" t="s">
        <v>16602</v>
      </c>
      <c r="K8462" s="1" t="str">
        <f t="shared" si="532"/>
        <v>ㄒ</v>
      </c>
      <c r="L8462" s="1" t="str">
        <f t="shared" si="533"/>
        <v>ㄧ</v>
      </c>
      <c r="M8462" s="1" t="str">
        <f t="shared" si="531"/>
        <v>ㄠ</v>
      </c>
      <c r="P8462" s="1" t="s">
        <v>20</v>
      </c>
      <c r="R8462" s="1" t="s">
        <v>16603</v>
      </c>
      <c r="V8462" s="1" t="s">
        <v>16631</v>
      </c>
      <c r="AR8462" s="1" t="str">
        <f t="shared" si="534"/>
        <v>| [ㄒㄧㄠ](ㄒㄧㄠ.md) | [魈](魈.md) |  | xiāo | 參見「山魈」條。 |</v>
      </c>
    </row>
    <row r="8463" spans="1:44" hidden="1">
      <c r="A8463" s="1" t="s">
        <v>16632</v>
      </c>
      <c r="C8463" s="1">
        <v>1</v>
      </c>
      <c r="D8463" s="1" t="str">
        <f>"06999"</f>
        <v>06999</v>
      </c>
      <c r="E8463" s="1" t="s">
        <v>28</v>
      </c>
      <c r="F8463" s="1">
        <v>10</v>
      </c>
      <c r="G8463" s="1">
        <v>7</v>
      </c>
      <c r="H8463" s="1">
        <v>1</v>
      </c>
      <c r="I8463" s="1" t="s">
        <v>16602</v>
      </c>
      <c r="K8463" s="1" t="str">
        <f t="shared" si="532"/>
        <v>ㄒ</v>
      </c>
      <c r="L8463" s="1" t="str">
        <f t="shared" si="533"/>
        <v>ㄧ</v>
      </c>
      <c r="M8463" s="1" t="str">
        <f t="shared" si="531"/>
        <v>ㄠ</v>
      </c>
      <c r="P8463" s="1" t="s">
        <v>20</v>
      </c>
      <c r="R8463" s="1" t="s">
        <v>16603</v>
      </c>
      <c r="V8463" s="1" t="s">
        <v>16633</v>
      </c>
      <c r="W8463" s="1" t="s">
        <v>16634</v>
      </c>
      <c r="AR8463" s="1" t="str">
        <f t="shared" si="534"/>
        <v>| [ㄒㄧㄠ](ㄒㄧㄠ.md) | [哮](哮.md) |  | xiāo | [動]
吼叫。如：「怒哮」、「大肆咆哮」。《新唐書．卷一七三．裴度傳》：「猛虎自哮躍山林。」宋．陸游〈呂氏子夔郎求詩〉：「果能哮吼如獅子，一瓣香應嗣放翁。」
[名]
參見「哮喘」條。 |</v>
      </c>
    </row>
    <row r="8464" spans="1:44" hidden="1">
      <c r="A8464" s="1" t="s">
        <v>16635</v>
      </c>
      <c r="C8464" s="1">
        <v>1</v>
      </c>
      <c r="D8464" s="1" t="str">
        <f>"07000"</f>
        <v>07000</v>
      </c>
      <c r="E8464" s="1" t="s">
        <v>336</v>
      </c>
      <c r="F8464" s="1">
        <v>10</v>
      </c>
      <c r="G8464" s="1">
        <v>6</v>
      </c>
      <c r="H8464" s="1">
        <v>0</v>
      </c>
      <c r="I8464" s="1" t="s">
        <v>16602</v>
      </c>
      <c r="K8464" s="1" t="str">
        <f t="shared" si="532"/>
        <v>ㄒ</v>
      </c>
      <c r="L8464" s="1" t="str">
        <f t="shared" si="533"/>
        <v>ㄧ</v>
      </c>
      <c r="M8464" s="1" t="str">
        <f t="shared" si="531"/>
        <v>ㄠ</v>
      </c>
      <c r="P8464" s="1" t="s">
        <v>20</v>
      </c>
      <c r="R8464" s="1" t="s">
        <v>16603</v>
      </c>
      <c r="V8464" s="1" t="s">
        <v>16636</v>
      </c>
      <c r="AR8464" s="1" t="str">
        <f t="shared" si="534"/>
        <v>| [ㄒㄧㄠ](ㄒㄧㄠ.md) | [烋](烋.md) |  | xiāo | 參見「炰烋」條。 |</v>
      </c>
    </row>
    <row r="8465" spans="1:44" hidden="1">
      <c r="A8465" s="1" t="s">
        <v>16637</v>
      </c>
      <c r="C8465" s="1">
        <v>1</v>
      </c>
      <c r="D8465" s="1" t="str">
        <f>"07001"</f>
        <v>07001</v>
      </c>
      <c r="E8465" s="1" t="s">
        <v>660</v>
      </c>
      <c r="F8465" s="1">
        <v>10</v>
      </c>
      <c r="G8465" s="1">
        <v>4</v>
      </c>
      <c r="H8465" s="1">
        <v>0</v>
      </c>
      <c r="I8465" s="1" t="s">
        <v>16602</v>
      </c>
      <c r="K8465" s="1" t="str">
        <f t="shared" si="532"/>
        <v>ㄒ</v>
      </c>
      <c r="L8465" s="1" t="str">
        <f t="shared" si="533"/>
        <v>ㄧ</v>
      </c>
      <c r="M8465" s="1" t="str">
        <f t="shared" si="531"/>
        <v>ㄠ</v>
      </c>
      <c r="P8465" s="1" t="s">
        <v>20</v>
      </c>
      <c r="R8465" s="1" t="s">
        <v>16603</v>
      </c>
      <c r="V8465" s="1" t="s">
        <v>16638</v>
      </c>
      <c r="AR8465" s="1" t="str">
        <f t="shared" si="534"/>
        <v>| [ㄒㄧㄠ](ㄒㄧㄠ.md) | [虓](虓.md) |  | xiāo | [動]
1.猛虎怒吼。《說文解字．虎部》：「虓，虎鳴也。」漢．揚雄《太玄經．卷三．眾卦》：「虎虓振廞。」
2.敲擊。通「敲」。《呂氏春秋．孝行覽．必己》：「船人怒而以楫虓其頭。」
[形]
凶悍、勇猛。《後漢書．卷五一．龐參傳》：「非惟兩主有明叡之姿，抑亦捍城有虓虎之助。」《新唐書．卷一〇五．褚遂良傳》：「虓士爪臣，氣力未衰。」 |</v>
      </c>
    </row>
    <row r="8466" spans="1:44" hidden="1">
      <c r="A8466" s="1" t="s">
        <v>16639</v>
      </c>
      <c r="C8466" s="1">
        <v>1</v>
      </c>
      <c r="D8466" s="1" t="str">
        <f>"07002"</f>
        <v>07002</v>
      </c>
      <c r="E8466" s="1" t="s">
        <v>198</v>
      </c>
      <c r="F8466" s="1">
        <v>11</v>
      </c>
      <c r="G8466" s="1">
        <v>8</v>
      </c>
      <c r="H8466" s="1">
        <v>0</v>
      </c>
      <c r="I8466" s="1" t="s">
        <v>16602</v>
      </c>
      <c r="K8466" s="1" t="str">
        <f t="shared" si="532"/>
        <v>ㄒ</v>
      </c>
      <c r="L8466" s="1" t="str">
        <f t="shared" si="533"/>
        <v>ㄧ</v>
      </c>
      <c r="M8466" s="1" t="str">
        <f t="shared" si="531"/>
        <v>ㄠ</v>
      </c>
      <c r="P8466" s="1" t="s">
        <v>20</v>
      </c>
      <c r="R8466" s="1" t="s">
        <v>16603</v>
      </c>
      <c r="V8466" s="1" t="s">
        <v>16640</v>
      </c>
      <c r="AR8466" s="1" t="str">
        <f t="shared" si="534"/>
        <v>| [ㄒㄧㄠ](ㄒㄧㄠ.md) | [猇](猇.md) |  | xiāo | [擬]
形容老虎的吼聲。《玉篇．犬部》：「猇，虎欲齧人聲也。」
[形]
粗俗、粗野。《紅樓夢》第八七回：「兼之猇聲狺語，旦暮無休。」 |</v>
      </c>
    </row>
    <row r="8467" spans="1:44" hidden="1">
      <c r="A8467" s="1" t="s">
        <v>16641</v>
      </c>
      <c r="C8467" s="1">
        <v>1</v>
      </c>
      <c r="D8467" s="1" t="str">
        <f>"07003"</f>
        <v>07003</v>
      </c>
      <c r="E8467" s="1" t="s">
        <v>139</v>
      </c>
      <c r="F8467" s="1">
        <v>11</v>
      </c>
      <c r="G8467" s="1">
        <v>7</v>
      </c>
      <c r="H8467" s="1">
        <v>0</v>
      </c>
      <c r="I8467" s="1" t="s">
        <v>16602</v>
      </c>
      <c r="K8467" s="1" t="str">
        <f t="shared" si="532"/>
        <v>ㄒ</v>
      </c>
      <c r="L8467" s="1" t="str">
        <f t="shared" si="533"/>
        <v>ㄧ</v>
      </c>
      <c r="M8467" s="1" t="str">
        <f t="shared" si="531"/>
        <v>ㄠ</v>
      </c>
      <c r="P8467" s="1" t="s">
        <v>20</v>
      </c>
      <c r="R8467" s="1" t="s">
        <v>16603</v>
      </c>
      <c r="V8467" s="1" t="s">
        <v>16642</v>
      </c>
      <c r="AR8467" s="1" t="str">
        <f t="shared" si="534"/>
        <v>| [ㄒㄧㄠ](ㄒㄧㄠ.md) | [梟](梟.md) |  | xiāo | [名]
1.鳥綱鴟鴞科鳥類的總稱。《說文解字．木部》：「梟，不孝鳥也。」明．張自烈《正字通．木部》：「梟，鳥生炎州，母嫗子百日，羽翼長，從母索食，食母而飛。關西名流離。又土梟，鷹身貓面，穴土而居。」
2.魁首。《淮南子．原道》：「為天下梟。」漢．王充《論衡．別通》：「東成令董仲綬，知為儒梟，海內稱通。」
3.違法犯禁以圖暴利的人。如：「私梟」、「毒梟」。
4.山顛。《管子．地員》：「其山之梟，多桔符榆。」
[動]
1.斬首懸頭於木上。如：「梟首示眾」。《史記．卷八．高祖本紀》：「梟故塞王欣頭櫟陽市。」漢．曹操〈讓縣自明本志令〉：「幸而破紹，梟其二子。」
2.斬除、消滅。《三國志．卷三二．蜀書．先主備傳》：「寇賊不梟，國難未已。」
[形]
驍勇雄健。如：「梟雄」。《漢書．卷一．高帝紀上》：「北貉、燕人來，致梟騎助漢。」 |</v>
      </c>
    </row>
    <row r="8468" spans="1:44" hidden="1">
      <c r="A8468" s="1" t="s">
        <v>16643</v>
      </c>
      <c r="C8468" s="1">
        <v>1</v>
      </c>
      <c r="D8468" s="1" t="str">
        <f>"07004"</f>
        <v>07004</v>
      </c>
      <c r="E8468" s="1" t="s">
        <v>2271</v>
      </c>
      <c r="F8468" s="1">
        <v>13</v>
      </c>
      <c r="G8468" s="1">
        <v>7</v>
      </c>
      <c r="H8468" s="1">
        <v>1</v>
      </c>
      <c r="I8468" s="1" t="s">
        <v>16602</v>
      </c>
      <c r="K8468" s="1" t="str">
        <f t="shared" si="532"/>
        <v>ㄒ</v>
      </c>
      <c r="L8468" s="1" t="str">
        <f t="shared" si="533"/>
        <v>ㄧ</v>
      </c>
      <c r="M8468" s="1" t="str">
        <f t="shared" si="531"/>
        <v>ㄠ</v>
      </c>
      <c r="P8468" s="1" t="s">
        <v>20</v>
      </c>
      <c r="R8468" s="1" t="s">
        <v>16603</v>
      </c>
      <c r="V8468" s="1" t="s">
        <v>16644</v>
      </c>
      <c r="W8468" s="1" t="s">
        <v>16645</v>
      </c>
      <c r="AR8468" s="1" t="str">
        <f t="shared" si="534"/>
        <v>| [ㄒㄧㄠ](ㄒㄧㄠ.md) | [翛](翛.md) |  | xiāo | 參見「翛翛」條。 |</v>
      </c>
    </row>
    <row r="8469" spans="1:44" hidden="1">
      <c r="A8469" s="1" t="s">
        <v>16646</v>
      </c>
      <c r="C8469" s="1">
        <v>1</v>
      </c>
      <c r="D8469" s="1" t="str">
        <f>"07005"</f>
        <v>07005</v>
      </c>
      <c r="E8469" s="1" t="s">
        <v>1908</v>
      </c>
      <c r="F8469" s="1">
        <v>14</v>
      </c>
      <c r="G8469" s="1">
        <v>10</v>
      </c>
      <c r="H8469" s="1">
        <v>0</v>
      </c>
      <c r="I8469" s="1" t="s">
        <v>16602</v>
      </c>
      <c r="K8469" s="1" t="str">
        <f t="shared" si="532"/>
        <v>ㄒ</v>
      </c>
      <c r="L8469" s="1" t="str">
        <f t="shared" si="533"/>
        <v>ㄧ</v>
      </c>
      <c r="M8469" s="1" t="str">
        <f t="shared" si="531"/>
        <v>ㄠ</v>
      </c>
      <c r="P8469" s="1" t="s">
        <v>20</v>
      </c>
      <c r="R8469" s="1" t="s">
        <v>16603</v>
      </c>
      <c r="V8469" s="1" t="s">
        <v>16647</v>
      </c>
      <c r="AR8469" s="1" t="str">
        <f t="shared" si="534"/>
        <v>| [ㄒㄧㄠ](ㄒㄧㄠ.md) | [歊](歊.md) |  | xiāo | [形]
氣上升的樣子。《說文解字．欠部》：「歊，歊歊，氣上出貌。」《漢書．卷八七．揚雄傳下》：「泰山之高不嶕嶢，則不能浡滃雲而散歊蒸。」 |</v>
      </c>
    </row>
    <row r="8470" spans="1:44" hidden="1">
      <c r="A8470" s="1" t="s">
        <v>16648</v>
      </c>
      <c r="C8470" s="1">
        <v>1</v>
      </c>
      <c r="D8470" s="1" t="str">
        <f>"07006"</f>
        <v>07006</v>
      </c>
      <c r="E8470" s="1" t="s">
        <v>28</v>
      </c>
      <c r="F8470" s="1">
        <v>14</v>
      </c>
      <c r="G8470" s="1">
        <v>11</v>
      </c>
      <c r="H8470" s="1">
        <v>0</v>
      </c>
      <c r="I8470" s="1" t="s">
        <v>16602</v>
      </c>
      <c r="K8470" s="1" t="str">
        <f t="shared" si="532"/>
        <v>ㄒ</v>
      </c>
      <c r="L8470" s="1" t="str">
        <f t="shared" si="533"/>
        <v>ㄧ</v>
      </c>
      <c r="M8470" s="1" t="str">
        <f t="shared" si="531"/>
        <v>ㄠ</v>
      </c>
      <c r="P8470" s="1" t="s">
        <v>20</v>
      </c>
      <c r="R8470" s="1" t="s">
        <v>16603</v>
      </c>
      <c r="V8470" s="1" t="s">
        <v>16649</v>
      </c>
      <c r="AR8470" s="1" t="str">
        <f t="shared" si="534"/>
        <v>| [ㄒㄧㄠ](ㄒㄧㄠ.md) | [嘐](嘐.md) |  | xiāo | 參見「嘐嘐」條。 |</v>
      </c>
    </row>
    <row r="8471" spans="1:44" hidden="1">
      <c r="A8471" s="1" t="s">
        <v>16650</v>
      </c>
      <c r="C8471" s="1">
        <v>1</v>
      </c>
      <c r="D8471" s="1" t="str">
        <f>"07007"</f>
        <v>07007</v>
      </c>
      <c r="E8471" s="1" t="s">
        <v>129</v>
      </c>
      <c r="F8471" s="1">
        <v>15</v>
      </c>
      <c r="G8471" s="1">
        <v>12</v>
      </c>
      <c r="H8471" s="1">
        <v>0</v>
      </c>
      <c r="I8471" s="1" t="s">
        <v>16602</v>
      </c>
      <c r="K8471" s="1" t="str">
        <f t="shared" si="532"/>
        <v>ㄒ</v>
      </c>
      <c r="L8471" s="1" t="str">
        <f t="shared" si="533"/>
        <v>ㄧ</v>
      </c>
      <c r="M8471" s="1" t="str">
        <f t="shared" si="531"/>
        <v>ㄠ</v>
      </c>
      <c r="P8471" s="1" t="s">
        <v>20</v>
      </c>
      <c r="R8471" s="1" t="s">
        <v>16603</v>
      </c>
      <c r="V8471" s="1" t="s">
        <v>16651</v>
      </c>
      <c r="AR8471" s="1" t="str">
        <f t="shared" si="534"/>
        <v>| [ㄒㄧㄠ](ㄒㄧㄠ.md) | [潚](潚.md) |  | xiāo | [形]
水深清澈的樣子。《說文解字．水部》：「潚，深清也。」
[名]
河川名。即瀟水。源出湖南省寧遠縣九疑山，至零陵縣流入湘水。 |</v>
      </c>
    </row>
    <row r="8472" spans="1:44" hidden="1">
      <c r="A8472" s="1" t="s">
        <v>16652</v>
      </c>
      <c r="C8472" s="1">
        <v>1</v>
      </c>
      <c r="D8472" s="1" t="str">
        <f>"07008"</f>
        <v>07008</v>
      </c>
      <c r="E8472" s="1" t="s">
        <v>37</v>
      </c>
      <c r="F8472" s="1">
        <v>16</v>
      </c>
      <c r="G8472" s="1">
        <v>12</v>
      </c>
      <c r="H8472" s="1">
        <v>0</v>
      </c>
      <c r="I8472" s="1" t="s">
        <v>16602</v>
      </c>
      <c r="K8472" s="1" t="str">
        <f t="shared" si="532"/>
        <v>ㄒ</v>
      </c>
      <c r="L8472" s="1" t="str">
        <f t="shared" si="533"/>
        <v>ㄧ</v>
      </c>
      <c r="M8472" s="1" t="str">
        <f t="shared" si="531"/>
        <v>ㄠ</v>
      </c>
      <c r="P8472" s="1" t="s">
        <v>20</v>
      </c>
      <c r="R8472" s="1" t="s">
        <v>16603</v>
      </c>
      <c r="V8472" s="1" t="s">
        <v>16653</v>
      </c>
      <c r="AR8472" s="1" t="str">
        <f t="shared" si="534"/>
        <v>| [ㄒㄧㄠ](ㄒㄧㄠ.md) | [蕭](蕭.md) |  | xiāo | [名]
1.一種香草。即艾蒿。《說文解字．艸部》：「蕭，艾蒿也。」《詩經．王風．采葛》：「彼采蕭兮，一日不見，如三秋兮。」唐．孔穎達．正義：「陸璣云：『今人所謂荻蒿者是也。』」
2.姓。如南朝梁有蕭統。
[形]
1.寂寥、冷清。如：「蕭索」、「蕭瑟」、「景氣蕭條」。晉．劉伶〈北芒客舍詩〉：「蚊蚋歸豐草，枯葉散蕭林。」
2.莊嚴、恭謹。通「肅」。《論語．季氏》：「吾恐季孫之憂，不在顓臾，而在蕭牆之內。」三國魏．何晏．集解：「鄭曰：『蕭之言肅也，牆謂屏也，君臣相見之禮，至屏而加肅敬焉，是以謂之蕭牆。』」 |</v>
      </c>
    </row>
    <row r="8473" spans="1:44" hidden="1">
      <c r="A8473" s="1" t="s">
        <v>16654</v>
      </c>
      <c r="C8473" s="1">
        <v>1</v>
      </c>
      <c r="D8473" s="1" t="str">
        <f>"07009"</f>
        <v>07009</v>
      </c>
      <c r="E8473" s="1" t="s">
        <v>49</v>
      </c>
      <c r="F8473" s="1">
        <v>18</v>
      </c>
      <c r="G8473" s="1">
        <v>12</v>
      </c>
      <c r="H8473" s="1">
        <v>0</v>
      </c>
      <c r="I8473" s="1" t="s">
        <v>16602</v>
      </c>
      <c r="K8473" s="1" t="str">
        <f t="shared" si="532"/>
        <v>ㄒ</v>
      </c>
      <c r="L8473" s="1" t="str">
        <f t="shared" si="533"/>
        <v>ㄧ</v>
      </c>
      <c r="M8473" s="1" t="str">
        <f t="shared" si="531"/>
        <v>ㄠ</v>
      </c>
      <c r="P8473" s="1" t="s">
        <v>20</v>
      </c>
      <c r="R8473" s="1" t="s">
        <v>16603</v>
      </c>
      <c r="V8473" s="1" t="s">
        <v>16655</v>
      </c>
      <c r="AR8473" s="1" t="str">
        <f t="shared" si="534"/>
        <v>| [ㄒㄧㄠ](ㄒㄧㄠ.md) | [簫](簫.md) |  | xiāo | [名]
樂器名，吹管樂器。竹製，直吹：(1)以一組長短參差的細竹管依音階高低緊密排列而成，一管一音。吹嘴有兩種，一種是哨子型，一種是邊稜音，都通稱為「排簫」。古代亦名為「鳳簫」。(2)「琴簫」之簡稱。單管，管身細長，直吹，常與古琴合奏。(3)今日所稱之「簫」為單管直吹，吹孔為V字形口。其正面五孔，背面一孔。今常用於獨奏與合奏。也稱為「洞簫」。 |</v>
      </c>
    </row>
    <row r="8474" spans="1:44" hidden="1">
      <c r="A8474" s="1" t="s">
        <v>16656</v>
      </c>
      <c r="C8474" s="1">
        <v>1</v>
      </c>
      <c r="D8474" s="1" t="str">
        <f>"07010"</f>
        <v>07010</v>
      </c>
      <c r="E8474" s="1" t="s">
        <v>129</v>
      </c>
      <c r="F8474" s="1">
        <v>19</v>
      </c>
      <c r="G8474" s="1">
        <v>16</v>
      </c>
      <c r="H8474" s="1">
        <v>0</v>
      </c>
      <c r="I8474" s="1" t="s">
        <v>16602</v>
      </c>
      <c r="K8474" s="1" t="str">
        <f t="shared" si="532"/>
        <v>ㄒ</v>
      </c>
      <c r="L8474" s="1" t="str">
        <f t="shared" si="533"/>
        <v>ㄧ</v>
      </c>
      <c r="M8474" s="1" t="str">
        <f t="shared" si="531"/>
        <v>ㄠ</v>
      </c>
      <c r="P8474" s="1" t="s">
        <v>20</v>
      </c>
      <c r="R8474" s="1" t="s">
        <v>16603</v>
      </c>
      <c r="V8474" s="1" t="s">
        <v>16657</v>
      </c>
      <c r="AR8474" s="1" t="str">
        <f t="shared" si="534"/>
        <v>| [ㄒㄧㄠ](ㄒㄧㄠ.md) | [瀟](瀟.md) |  | xiāo | [名]
參見「瀟水」條。
[形]
風雨狂急的樣子。如：「風雨瀟瀟」。宋．岳飛〈滿江紅．怒髮衝冠〉詞：「憑欄處、瀟瀟雨歇。」 |</v>
      </c>
    </row>
    <row r="8475" spans="1:44" hidden="1">
      <c r="A8475" s="1" t="s">
        <v>16658</v>
      </c>
      <c r="C8475" s="1">
        <v>1</v>
      </c>
      <c r="D8475" s="1" t="str">
        <f>"07011"</f>
        <v>07011</v>
      </c>
      <c r="E8475" s="1" t="s">
        <v>679</v>
      </c>
      <c r="F8475" s="1">
        <v>22</v>
      </c>
      <c r="G8475" s="1">
        <v>16</v>
      </c>
      <c r="H8475" s="1">
        <v>0</v>
      </c>
      <c r="I8475" s="1" t="s">
        <v>16602</v>
      </c>
      <c r="K8475" s="1" t="str">
        <f t="shared" si="532"/>
        <v>ㄒ</v>
      </c>
      <c r="L8475" s="1" t="str">
        <f t="shared" si="533"/>
        <v>ㄧ</v>
      </c>
      <c r="M8475" s="1" t="str">
        <f t="shared" si="531"/>
        <v>ㄠ</v>
      </c>
      <c r="P8475" s="1" t="s">
        <v>20</v>
      </c>
      <c r="R8475" s="1" t="s">
        <v>16603</v>
      </c>
      <c r="V8475" s="1" t="s">
        <v>16659</v>
      </c>
      <c r="AR8475" s="1" t="str">
        <f t="shared" si="534"/>
        <v>| [ㄒㄧㄠ](ㄒㄧㄠ.md) | [蠨](蠨.md) |  | xiāo | 參見「蠨蛸」條。 |</v>
      </c>
    </row>
    <row r="8476" spans="1:44" hidden="1">
      <c r="A8476" s="1" t="s">
        <v>16660</v>
      </c>
      <c r="C8476" s="1">
        <v>1</v>
      </c>
      <c r="D8476" s="1" t="str">
        <f>"07012"</f>
        <v>07012</v>
      </c>
      <c r="E8476" s="1" t="s">
        <v>28</v>
      </c>
      <c r="F8476" s="1">
        <v>15</v>
      </c>
      <c r="G8476" s="1">
        <v>12</v>
      </c>
      <c r="H8476" s="1">
        <v>0</v>
      </c>
      <c r="I8476" s="1" t="s">
        <v>16602</v>
      </c>
      <c r="K8476" s="1" t="str">
        <f t="shared" si="532"/>
        <v>ㄒ</v>
      </c>
      <c r="L8476" s="1" t="str">
        <f t="shared" si="533"/>
        <v>ㄧ</v>
      </c>
      <c r="M8476" s="1" t="str">
        <f t="shared" si="531"/>
        <v>ㄠ</v>
      </c>
      <c r="P8476" s="1" t="s">
        <v>20</v>
      </c>
      <c r="R8476" s="1" t="s">
        <v>16603</v>
      </c>
      <c r="V8476" s="1" t="s">
        <v>16661</v>
      </c>
      <c r="AR8476" s="1" t="str">
        <f t="shared" si="534"/>
        <v>| [ㄒㄧㄠ](ㄒㄧㄠ.md) | [嘵](嘵.md) |  | xiāo | 參見「嘵嘵」條。 |</v>
      </c>
    </row>
    <row r="8477" spans="1:44" hidden="1">
      <c r="A8477" s="1" t="s">
        <v>16662</v>
      </c>
      <c r="C8477" s="1">
        <v>1</v>
      </c>
      <c r="D8477" s="1" t="str">
        <f>"07013"</f>
        <v>07013</v>
      </c>
      <c r="E8477" s="1" t="s">
        <v>68</v>
      </c>
      <c r="F8477" s="1">
        <v>16</v>
      </c>
      <c r="G8477" s="1">
        <v>12</v>
      </c>
      <c r="H8477" s="1">
        <v>0</v>
      </c>
      <c r="I8477" s="1" t="s">
        <v>16602</v>
      </c>
      <c r="K8477" s="1" t="str">
        <f t="shared" si="532"/>
        <v>ㄒ</v>
      </c>
      <c r="L8477" s="1" t="str">
        <f t="shared" si="533"/>
        <v>ㄧ</v>
      </c>
      <c r="M8477" s="1" t="str">
        <f t="shared" si="531"/>
        <v>ㄠ</v>
      </c>
      <c r="P8477" s="1" t="s">
        <v>20</v>
      </c>
      <c r="R8477" s="1" t="s">
        <v>16603</v>
      </c>
      <c r="V8477" s="1" t="s">
        <v>16663</v>
      </c>
      <c r="AR8477" s="1" t="str">
        <f t="shared" si="534"/>
        <v>| [ㄒㄧㄠ](ㄒㄧㄠ.md) | [膮](膮.md) |  | xiāo | [名]
豬肉羹。《說文解字．肉部》：「膮，豕肉羹也。」 |</v>
      </c>
    </row>
    <row r="8478" spans="1:44" hidden="1">
      <c r="A8478" s="1" t="s">
        <v>16664</v>
      </c>
      <c r="C8478" s="1">
        <v>1</v>
      </c>
      <c r="D8478" s="1" t="str">
        <f>"07014"</f>
        <v>07014</v>
      </c>
      <c r="E8478" s="1" t="s">
        <v>319</v>
      </c>
      <c r="F8478" s="1">
        <v>22</v>
      </c>
      <c r="G8478" s="1">
        <v>12</v>
      </c>
      <c r="H8478" s="1">
        <v>0</v>
      </c>
      <c r="I8478" s="1" t="s">
        <v>16602</v>
      </c>
      <c r="K8478" s="1" t="str">
        <f t="shared" si="532"/>
        <v>ㄒ</v>
      </c>
      <c r="L8478" s="1" t="str">
        <f t="shared" si="533"/>
        <v>ㄧ</v>
      </c>
      <c r="M8478" s="1" t="str">
        <f t="shared" si="531"/>
        <v>ㄠ</v>
      </c>
      <c r="P8478" s="1" t="s">
        <v>20</v>
      </c>
      <c r="R8478" s="1" t="s">
        <v>16603</v>
      </c>
      <c r="V8478" s="1" t="s">
        <v>16665</v>
      </c>
      <c r="AR8478" s="1" t="str">
        <f t="shared" si="534"/>
        <v>| [ㄒㄧㄠ](ㄒㄧㄠ.md) | [驍](驍.md) |  | xiāo | [名]
良馬。《說文解字．馬部》：「驍，良馬也。」《文選．顏延之．赭白馬賦》：「料武藝、品驍騰。」
[形]
勇武剛健。如：「驍勇」、「驍悍」。《史記．卷一〇八．韓長孺傳》：「衛尉李廣為驍騎將軍。」 |</v>
      </c>
    </row>
    <row r="8479" spans="1:44" hidden="1">
      <c r="A8479" s="1" t="s">
        <v>16666</v>
      </c>
      <c r="C8479" s="1">
        <v>1</v>
      </c>
      <c r="D8479" s="1" t="str">
        <f>"07015"</f>
        <v>07015</v>
      </c>
      <c r="E8479" s="1" t="s">
        <v>283</v>
      </c>
      <c r="F8479" s="1">
        <v>22</v>
      </c>
      <c r="G8479" s="1">
        <v>12</v>
      </c>
      <c r="H8479" s="1">
        <v>0</v>
      </c>
      <c r="I8479" s="1" t="s">
        <v>16602</v>
      </c>
      <c r="K8479" s="1" t="str">
        <f t="shared" si="532"/>
        <v>ㄒ</v>
      </c>
      <c r="L8479" s="1" t="str">
        <f t="shared" si="533"/>
        <v>ㄧ</v>
      </c>
      <c r="M8479" s="1" t="str">
        <f t="shared" si="531"/>
        <v>ㄠ</v>
      </c>
      <c r="P8479" s="1" t="s">
        <v>20</v>
      </c>
      <c r="R8479" s="1" t="s">
        <v>16603</v>
      </c>
      <c r="V8479" s="1" t="s">
        <v>16667</v>
      </c>
      <c r="AR8479" s="1" t="str">
        <f t="shared" si="534"/>
        <v>| [ㄒㄧㄠ](ㄒㄧㄠ.md) | [髐](髐.md) |  | xiāo | [副]
骷髏骨暴露的樣子。南朝梁．武帝〈收斂道死詔〉：「髐然路隅，往往而有。」唐．柳宗元〈掩役夫張進骸〉詩：「髐然暴百骸，散亂不復支。」 |</v>
      </c>
    </row>
    <row r="8480" spans="1:44" hidden="1">
      <c r="A8480" s="1" t="s">
        <v>16668</v>
      </c>
      <c r="C8480" s="1">
        <v>1</v>
      </c>
      <c r="D8480" s="1" t="str">
        <f>"07016"</f>
        <v>07016</v>
      </c>
      <c r="E8480" s="1" t="s">
        <v>28</v>
      </c>
      <c r="F8480" s="1">
        <v>21</v>
      </c>
      <c r="G8480" s="1">
        <v>18</v>
      </c>
      <c r="H8480" s="1">
        <v>0</v>
      </c>
      <c r="I8480" s="1" t="s">
        <v>16602</v>
      </c>
      <c r="K8480" s="1" t="str">
        <f t="shared" si="532"/>
        <v>ㄒ</v>
      </c>
      <c r="L8480" s="1" t="str">
        <f t="shared" si="533"/>
        <v>ㄧ</v>
      </c>
      <c r="M8480" s="1" t="str">
        <f t="shared" si="531"/>
        <v>ㄠ</v>
      </c>
      <c r="P8480" s="1" t="s">
        <v>20</v>
      </c>
      <c r="R8480" s="1" t="s">
        <v>16603</v>
      </c>
      <c r="V8480" s="1" t="s">
        <v>16669</v>
      </c>
      <c r="AR8480" s="1" t="str">
        <f t="shared" si="534"/>
        <v>| [ㄒㄧㄠ](ㄒㄧㄠ.md) | [囂](囂.md) |  | xiāo | [動]
嘈雜、喧譁。如：「喧囂」、「叫囂」、「甚囂塵上」。《左傳．成公十六年》：「陳不違晦，在陳而囂。」晉．杜預．注：「囂，喧譁也。」
[形]
放肆。如：「囂張」。唐．柳宗元〈憎王孫文．序〉：「王孫之德躁以囂，勃諍號呶。」 |</v>
      </c>
    </row>
    <row r="8481" spans="1:44" hidden="1">
      <c r="A8481" s="1" t="s">
        <v>16670</v>
      </c>
      <c r="C8481" s="1">
        <v>1</v>
      </c>
      <c r="D8481" s="1" t="str">
        <f>"07017"</f>
        <v>07017</v>
      </c>
      <c r="E8481" s="1" t="s">
        <v>16671</v>
      </c>
      <c r="F8481" s="1">
        <v>4</v>
      </c>
      <c r="G8481" s="1">
        <v>0</v>
      </c>
      <c r="H8481" s="1">
        <v>2</v>
      </c>
      <c r="I8481" s="1" t="s">
        <v>16672</v>
      </c>
      <c r="K8481" s="1" t="str">
        <f t="shared" si="532"/>
        <v>ㄒ</v>
      </c>
      <c r="L8481" s="1" t="str">
        <f t="shared" si="533"/>
        <v>ㄧ</v>
      </c>
      <c r="M8481" s="1" t="str">
        <f t="shared" si="531"/>
        <v>ㄠ</v>
      </c>
      <c r="P8481" s="1" t="s">
        <v>186</v>
      </c>
      <c r="R8481" s="1" t="s">
        <v>16673</v>
      </c>
      <c r="V8481" s="1" t="s">
        <v>206</v>
      </c>
      <c r="W8481" s="1" t="s">
        <v>16674</v>
      </c>
      <c r="AR8481" s="1" t="str">
        <f t="shared" si="534"/>
        <v>| [ㄒㄧㄠˊ](ㄒㄧㄠˊ.md) | [爻](爻.md) |  | xiáo | (一)之讀音。 |</v>
      </c>
    </row>
    <row r="8482" spans="1:44" hidden="1">
      <c r="A8482" s="1" t="s">
        <v>16675</v>
      </c>
      <c r="C8482" s="1">
        <v>1</v>
      </c>
      <c r="D8482" s="1" t="str">
        <f>"07018"</f>
        <v>07018</v>
      </c>
      <c r="E8482" s="1" t="s">
        <v>68</v>
      </c>
      <c r="F8482" s="1">
        <v>8</v>
      </c>
      <c r="G8482" s="1">
        <v>4</v>
      </c>
      <c r="H8482" s="1">
        <v>2</v>
      </c>
      <c r="I8482" s="1" t="s">
        <v>16672</v>
      </c>
      <c r="K8482" s="1" t="str">
        <f t="shared" si="532"/>
        <v>ㄒ</v>
      </c>
      <c r="L8482" s="1" t="str">
        <f t="shared" si="533"/>
        <v>ㄧ</v>
      </c>
      <c r="M8482" s="1" t="str">
        <f t="shared" si="531"/>
        <v>ㄠ</v>
      </c>
      <c r="P8482" s="1" t="s">
        <v>110</v>
      </c>
      <c r="R8482" s="1" t="s">
        <v>16673</v>
      </c>
      <c r="V8482" s="1" t="s">
        <v>111</v>
      </c>
      <c r="W8482" s="1" t="s">
        <v>16676</v>
      </c>
      <c r="AR8482" s="1" t="str">
        <f t="shared" si="534"/>
        <v>| [ㄒㄧㄠˊ](ㄒㄧㄠˊ.md) | [肴](肴.md) |  | xiáo | (一)之又音。 |</v>
      </c>
    </row>
    <row r="8483" spans="1:44" hidden="1">
      <c r="A8483" s="1" t="s">
        <v>16677</v>
      </c>
      <c r="C8483" s="1">
        <v>1</v>
      </c>
      <c r="D8483" s="1" t="str">
        <f>"07019"</f>
        <v>07019</v>
      </c>
      <c r="E8483" s="1" t="s">
        <v>193</v>
      </c>
      <c r="F8483" s="1">
        <v>16</v>
      </c>
      <c r="G8483" s="1">
        <v>8</v>
      </c>
      <c r="H8483" s="1">
        <v>2</v>
      </c>
      <c r="I8483" s="1" t="s">
        <v>16672</v>
      </c>
      <c r="K8483" s="1" t="str">
        <f t="shared" si="532"/>
        <v>ㄒ</v>
      </c>
      <c r="L8483" s="1" t="str">
        <f t="shared" si="533"/>
        <v>ㄧ</v>
      </c>
      <c r="M8483" s="1" t="str">
        <f t="shared" si="531"/>
        <v>ㄠ</v>
      </c>
      <c r="P8483" s="1" t="s">
        <v>110</v>
      </c>
      <c r="R8483" s="1" t="s">
        <v>16673</v>
      </c>
      <c r="V8483" s="1" t="s">
        <v>111</v>
      </c>
      <c r="W8483" s="1" t="s">
        <v>16678</v>
      </c>
      <c r="AR8483" s="1" t="str">
        <f t="shared" si="534"/>
        <v>| [ㄒㄧㄠˊ](ㄒㄧㄠˊ.md) | [餚](餚.md) |  | xiáo | (一)之又音。 |</v>
      </c>
    </row>
    <row r="8484" spans="1:44" hidden="1">
      <c r="A8484" s="1" t="s">
        <v>16679</v>
      </c>
      <c r="C8484" s="1">
        <v>1</v>
      </c>
      <c r="D8484" s="1" t="str">
        <f>"07020"</f>
        <v>07020</v>
      </c>
      <c r="E8484" s="1" t="s">
        <v>129</v>
      </c>
      <c r="F8484" s="1">
        <v>9</v>
      </c>
      <c r="G8484" s="1">
        <v>6</v>
      </c>
      <c r="H8484" s="1">
        <v>0</v>
      </c>
      <c r="I8484" s="1" t="s">
        <v>16672</v>
      </c>
      <c r="K8484" s="1" t="str">
        <f t="shared" si="532"/>
        <v>ㄒ</v>
      </c>
      <c r="L8484" s="1" t="str">
        <f t="shared" si="533"/>
        <v>ㄧ</v>
      </c>
      <c r="M8484" s="1" t="str">
        <f t="shared" si="531"/>
        <v>ㄠ</v>
      </c>
      <c r="P8484" s="1" t="s">
        <v>20</v>
      </c>
      <c r="R8484" s="1" t="s">
        <v>16673</v>
      </c>
      <c r="V8484" s="1" t="s">
        <v>16680</v>
      </c>
      <c r="AR8484" s="1" t="str">
        <f t="shared" si="534"/>
        <v>| [ㄒㄧㄠˊ](ㄒㄧㄠˊ.md) | [洨](洨.md) |  | xiáo | [名]
1.河川名。源出大陸地區河北省獲鹿縣西南井陘山，向東流經欒城、趙縣，注入寧晉泊。
2.縣名。漢代設置，約在今大陸地區安徽省靈壁縣南方五十里，許慎曾任縣長。 |</v>
      </c>
    </row>
    <row r="8485" spans="1:44" hidden="1">
      <c r="A8485" s="1" t="s">
        <v>16681</v>
      </c>
      <c r="C8485" s="1">
        <v>1</v>
      </c>
      <c r="D8485" s="1" t="str">
        <f>"07021"</f>
        <v>07021</v>
      </c>
      <c r="E8485" s="1" t="s">
        <v>49</v>
      </c>
      <c r="F8485" s="1">
        <v>10</v>
      </c>
      <c r="G8485" s="1">
        <v>4</v>
      </c>
      <c r="H8485" s="1">
        <v>0</v>
      </c>
      <c r="I8485" s="1" t="s">
        <v>16672</v>
      </c>
      <c r="K8485" s="1" t="str">
        <f t="shared" si="532"/>
        <v>ㄒ</v>
      </c>
      <c r="L8485" s="1" t="str">
        <f t="shared" si="533"/>
        <v>ㄧ</v>
      </c>
      <c r="M8485" s="1" t="str">
        <f t="shared" si="531"/>
        <v>ㄠ</v>
      </c>
      <c r="P8485" s="1" t="s">
        <v>20</v>
      </c>
      <c r="R8485" s="1" t="s">
        <v>16673</v>
      </c>
      <c r="V8485" s="1" t="s">
        <v>16682</v>
      </c>
      <c r="AR8485" s="1" t="str">
        <f t="shared" si="534"/>
        <v>| [ㄒㄧㄠˊ](ㄒㄧㄠˊ.md) | [笅](笅.md) |  | xiáo | 1.樂器名，吹管樂器。小排簫，古名小簫。同「筊」。《廣韻．平聲．肴韻》：「笅，小簫，一十六管。」
2.竹索。同「筊」。《集韻．平聲．爻韻》：「筊，《說文》：『竹索也。』或從爻。」 |</v>
      </c>
    </row>
    <row r="8486" spans="1:44" hidden="1">
      <c r="A8486" s="1" t="s">
        <v>16683</v>
      </c>
      <c r="C8486" s="1">
        <v>1</v>
      </c>
      <c r="D8486" s="1" t="str">
        <f>"07022"</f>
        <v>07022</v>
      </c>
      <c r="E8486" s="1" t="s">
        <v>13811</v>
      </c>
      <c r="F8486" s="1">
        <v>3</v>
      </c>
      <c r="G8486" s="1">
        <v>0</v>
      </c>
      <c r="H8486" s="1">
        <v>0</v>
      </c>
      <c r="I8486" s="1" t="s">
        <v>16684</v>
      </c>
      <c r="K8486" s="1" t="str">
        <f t="shared" si="532"/>
        <v>ㄒ</v>
      </c>
      <c r="L8486" s="1" t="str">
        <f t="shared" si="533"/>
        <v>ㄧ</v>
      </c>
      <c r="M8486" s="1" t="str">
        <f t="shared" si="531"/>
        <v>ㄠ</v>
      </c>
      <c r="P8486" s="1" t="s">
        <v>20</v>
      </c>
      <c r="R8486" s="1" t="s">
        <v>16685</v>
      </c>
      <c r="V8486" s="1" t="s">
        <v>16686</v>
      </c>
      <c r="AR8486" s="1" t="str">
        <f t="shared" si="534"/>
        <v>| [ㄒㄧㄠˇ](ㄒㄧㄠˇ.md) | [小](小.md) |  | xiǎo | [形]
與「大」相對：(1)體積、數量、力量等方面不大的。如：「小城」、「小人物」。《荀子．勸學》：「不積小流，無以成江海。」唐．韓愈〈原道〉：「坐井而觀天，曰：『天小者，非天小也。』」(2)年輕、幼稚的。如：「年紀小」、「小伙子」。《晉書．九二．文苑傳．趙至傳》：「我小，未能榮養。」(3)排行最後或地位較低的。如：「小官」、「這兩位是我二弟和小妹。」、「小妹！請你把帳單拿過來。」(4)對自己或與自己有關的人事物的謙稱。如：「恕小民直言。」、「小的不敢！」、「小店」、「小兒」。
[名]
1.邪惡的人、壞人。《漢書．卷八九．循吏傳．龔遂傳》：「今大王親近群小，漸漬邪惡所習。」
2.小孩、年幼者。如：「一家老小」。《詩經．小雅．楚茨》：「既醉既飽，小大稽首」。
3.妾。如：「嫁給人家當小的。」明．湯顯祖《牡丹亭》第二五齣：「你可知老相公年來因少男兒，常有娶小之意。」
4.二一四部首之一。
[動]
輕視。《左傳．桓公十三年》：「將自用也，必小羅。」唐．李白〈送長沙陳太守〉詩二首之二：「莫小二千石，當安遠俗人。」
[副]
稍微。表示程度不深。如：「牛刀小試」、「不無小補」。
[助]
詞頭，表對年紀輕者的暱稱。如：「小王」、「小老弟」。 |</v>
      </c>
    </row>
    <row r="8487" spans="1:44" hidden="1">
      <c r="A8487" s="1" t="s">
        <v>16687</v>
      </c>
      <c r="C8487" s="1">
        <v>1</v>
      </c>
      <c r="D8487" s="1" t="str">
        <f>"07023"</f>
        <v>07023</v>
      </c>
      <c r="E8487" s="1" t="s">
        <v>49</v>
      </c>
      <c r="F8487" s="1">
        <v>13</v>
      </c>
      <c r="G8487" s="1">
        <v>7</v>
      </c>
      <c r="H8487" s="1">
        <v>0</v>
      </c>
      <c r="I8487" s="1" t="s">
        <v>16684</v>
      </c>
      <c r="K8487" s="1" t="str">
        <f t="shared" si="532"/>
        <v>ㄒ</v>
      </c>
      <c r="L8487" s="1" t="str">
        <f t="shared" si="533"/>
        <v>ㄧ</v>
      </c>
      <c r="M8487" s="1" t="str">
        <f t="shared" si="531"/>
        <v>ㄠ</v>
      </c>
      <c r="P8487" s="1" t="s">
        <v>20</v>
      </c>
      <c r="R8487" s="1" t="s">
        <v>16685</v>
      </c>
      <c r="V8487" s="1" t="s">
        <v>16688</v>
      </c>
      <c r="AR8487" s="1" t="str">
        <f t="shared" si="534"/>
        <v>| [ㄒㄧㄠˇ](ㄒㄧㄠˇ.md) | [筱](筱.md) |  | xiǎo | [名]
小竹子。《說文解字．竹部》：「筱，箭屬。小竹也。」 |</v>
      </c>
    </row>
    <row r="8488" spans="1:44" hidden="1">
      <c r="A8488" s="1" t="s">
        <v>16689</v>
      </c>
      <c r="C8488" s="1">
        <v>1</v>
      </c>
      <c r="D8488" s="1" t="str">
        <f>"07024"</f>
        <v>07024</v>
      </c>
      <c r="E8488" s="1" t="s">
        <v>49</v>
      </c>
      <c r="F8488" s="1">
        <v>17</v>
      </c>
      <c r="G8488" s="1">
        <v>11</v>
      </c>
      <c r="H8488" s="1">
        <v>0</v>
      </c>
      <c r="I8488" s="1" t="s">
        <v>16684</v>
      </c>
      <c r="K8488" s="1" t="str">
        <f t="shared" si="532"/>
        <v>ㄒ</v>
      </c>
      <c r="L8488" s="1" t="str">
        <f t="shared" si="533"/>
        <v>ㄧ</v>
      </c>
      <c r="M8488" s="1" t="str">
        <f t="shared" ref="M8488:M8551" si="535">MID(I8488, 3, 1)</f>
        <v>ㄠ</v>
      </c>
      <c r="P8488" s="1" t="s">
        <v>20</v>
      </c>
      <c r="R8488" s="1" t="s">
        <v>16685</v>
      </c>
      <c r="V8488" s="1" t="s">
        <v>16690</v>
      </c>
      <c r="AR8488" s="1" t="str">
        <f t="shared" si="534"/>
        <v>| [ㄒㄧㄠˇ](ㄒㄧㄠˇ.md) | [篠](篠.md) |  | xiǎo | [名]_x000D_
1.細竹。同「筱」。南朝梁．沈約〈休沐寄懷〉詩：「紫籜開綠篠，白鳥映青疇。」_x000D_
2.竹子做的各種器具。《書經．禹貢》：「篠簜既敷，厥草惟夭，厥木惟喬。」漢．孔安國．傳：「篠，竹箭。簜，大竹。」北周．庾信〈奉和永豐殿下言志〉詩一〇首之九：「漢陰逢荷篠，緇林見杖拏。」 |</v>
      </c>
    </row>
    <row r="8489" spans="1:44" hidden="1">
      <c r="A8489" s="1" t="s">
        <v>16691</v>
      </c>
      <c r="C8489" s="1">
        <v>1</v>
      </c>
      <c r="D8489" s="1" t="str">
        <f>"07025"</f>
        <v>07025</v>
      </c>
      <c r="E8489" s="1" t="s">
        <v>646</v>
      </c>
      <c r="F8489" s="1">
        <v>16</v>
      </c>
      <c r="G8489" s="1">
        <v>12</v>
      </c>
      <c r="H8489" s="1">
        <v>0</v>
      </c>
      <c r="I8489" s="1" t="s">
        <v>16684</v>
      </c>
      <c r="K8489" s="1" t="str">
        <f t="shared" si="532"/>
        <v>ㄒ</v>
      </c>
      <c r="L8489" s="1" t="str">
        <f t="shared" si="533"/>
        <v>ㄧ</v>
      </c>
      <c r="M8489" s="1" t="str">
        <f t="shared" si="535"/>
        <v>ㄠ</v>
      </c>
      <c r="P8489" s="1" t="s">
        <v>20</v>
      </c>
      <c r="R8489" s="1" t="s">
        <v>16685</v>
      </c>
      <c r="V8489" s="1" t="s">
        <v>16692</v>
      </c>
      <c r="AR8489" s="1" t="str">
        <f t="shared" si="534"/>
        <v>| [ㄒㄧㄠˇ](ㄒㄧㄠˇ.md) | [曉](曉.md) |  | xiǎo | [名]
1.天剛亮的時刻。如：「破曉」、「拂曉」。元．王實甫《西廂記．第四本．第三折》：「曉來誰染霜林醉？總是離人淚。」
2.姓。如明代有曉枝。
[形]
清晨的。如：「曉霧」、「盧溝曉月」。唐．李商隱〈常娥〉詩：「長河漸落曉星沉。」
[動]
1.知道、明白。如：「知曉」、「洞曉」、「家喻戶曉」。漢．王充《論衡．變虛》：「人不曉天所為，天安能知人所行。」
2.告知。如：「曉以利害」。《漢書．卷六二．司馬遷傳》：「以曉左右。」 |</v>
      </c>
    </row>
    <row r="8490" spans="1:44" hidden="1">
      <c r="A8490" s="1" t="s">
        <v>16693</v>
      </c>
      <c r="C8490" s="1">
        <v>1</v>
      </c>
      <c r="D8490" s="1" t="str">
        <f>"07026"</f>
        <v>07026</v>
      </c>
      <c r="E8490" s="1" t="s">
        <v>331</v>
      </c>
      <c r="F8490" s="1">
        <v>17</v>
      </c>
      <c r="G8490" s="1">
        <v>10</v>
      </c>
      <c r="H8490" s="1">
        <v>0</v>
      </c>
      <c r="I8490" s="1" t="s">
        <v>16684</v>
      </c>
      <c r="K8490" s="1" t="str">
        <f t="shared" si="532"/>
        <v>ㄒ</v>
      </c>
      <c r="L8490" s="1" t="str">
        <f t="shared" si="533"/>
        <v>ㄧ</v>
      </c>
      <c r="M8490" s="1" t="str">
        <f t="shared" si="535"/>
        <v>ㄠ</v>
      </c>
      <c r="P8490" s="1" t="s">
        <v>20</v>
      </c>
      <c r="R8490" s="1" t="s">
        <v>16685</v>
      </c>
      <c r="V8490" s="1" t="s">
        <v>16694</v>
      </c>
      <c r="AR8490" s="1" t="str">
        <f t="shared" si="534"/>
        <v>| [ㄒㄧㄠˇ](ㄒㄧㄠˇ.md) | [謏](謏.md) |  | xiǎo | [形]
小的、微不足道的。《玉篇．言部》：「謏，小也。」唐．柳宗元〈為樊左丞讓官表〉：「臣實謏才，謬登清貫。」 |</v>
      </c>
    </row>
    <row r="8491" spans="1:44" hidden="1">
      <c r="A8491" s="1" t="s">
        <v>16695</v>
      </c>
      <c r="C8491" s="1">
        <v>1</v>
      </c>
      <c r="D8491" s="1" t="str">
        <f>"07027"</f>
        <v>07027</v>
      </c>
      <c r="E8491" s="1" t="s">
        <v>241</v>
      </c>
      <c r="F8491" s="1">
        <v>7</v>
      </c>
      <c r="G8491" s="1">
        <v>4</v>
      </c>
      <c r="H8491" s="1">
        <v>0</v>
      </c>
      <c r="I8491" s="1" t="s">
        <v>16696</v>
      </c>
      <c r="K8491" s="1" t="str">
        <f t="shared" si="532"/>
        <v>ㄒ</v>
      </c>
      <c r="L8491" s="1" t="str">
        <f t="shared" si="533"/>
        <v>ㄧ</v>
      </c>
      <c r="M8491" s="1" t="str">
        <f t="shared" si="535"/>
        <v>ㄠ</v>
      </c>
      <c r="P8491" s="1" t="s">
        <v>20</v>
      </c>
      <c r="R8491" s="1" t="s">
        <v>16697</v>
      </c>
      <c r="V8491" s="1" t="s">
        <v>16698</v>
      </c>
      <c r="AR8491" s="1" t="str">
        <f t="shared" si="534"/>
        <v>| [ㄒㄧㄠˋ](ㄒㄧㄠˋ.md) | [孝](孝.md) |  | xiào | [動]
盡心奉養父母。如：「孝順」、「孝敬」。《論語．學而》：「弟子入則孝，出則弟。」
[形]
有孝心的。如：「孝子」、「孝女」。
[名]
1.善事父母的道理、方法。如：「忠孝傳家」。《孝經．開宗明義章》：「夫孝，德之本也。」
2.居喪的禮儀。如：「守孝」。《北史．卷二四．崔逞傳》：「後喪母，居喪哀毀骨立。人云：『崔九作孝，風吹即倒。』」
3.居喪時所穿的素服。如：「戴孝」、「穿孝」。《紅樓夢》第一一五回：「恰又忙著脫孝，家中無人，又叫了賈芸來照應大夫。」
4.姓。如宋代有孝發。 |</v>
      </c>
    </row>
    <row r="8492" spans="1:44" hidden="1">
      <c r="A8492" s="1" t="s">
        <v>16632</v>
      </c>
      <c r="C8492" s="1">
        <v>1</v>
      </c>
      <c r="D8492" s="1" t="str">
        <f>"07028"</f>
        <v>07028</v>
      </c>
      <c r="E8492" s="1" t="s">
        <v>28</v>
      </c>
      <c r="F8492" s="1">
        <v>10</v>
      </c>
      <c r="G8492" s="1">
        <v>7</v>
      </c>
      <c r="H8492" s="1">
        <v>2</v>
      </c>
      <c r="I8492" s="1" t="s">
        <v>16696</v>
      </c>
      <c r="K8492" s="1" t="str">
        <f t="shared" si="532"/>
        <v>ㄒ</v>
      </c>
      <c r="L8492" s="1" t="str">
        <f t="shared" si="533"/>
        <v>ㄧ</v>
      </c>
      <c r="M8492" s="1" t="str">
        <f t="shared" si="535"/>
        <v>ㄠ</v>
      </c>
      <c r="P8492" s="1" t="s">
        <v>20</v>
      </c>
      <c r="R8492" s="1" t="s">
        <v>16697</v>
      </c>
      <c r="V8492" s="1" t="s">
        <v>16699</v>
      </c>
      <c r="W8492" s="1" t="s">
        <v>16700</v>
      </c>
      <c r="AR8492" s="1" t="str">
        <f t="shared" si="534"/>
        <v>| [ㄒㄧㄠˋ](ㄒㄧㄠˋ.md) | [哮](哮.md) |  | xiào | [動]
高聲呼喚。《集韻．去聲．效韻》：「哮，呼也。」如：「他大聲叫哮，希望有人聽到。」、「他正與對山的人呼哮著。」 |</v>
      </c>
    </row>
    <row r="8493" spans="1:44" hidden="1">
      <c r="A8493" s="1" t="s">
        <v>13685</v>
      </c>
      <c r="C8493" s="1">
        <v>1</v>
      </c>
      <c r="D8493" s="1" t="str">
        <f>"07029"</f>
        <v>07029</v>
      </c>
      <c r="E8493" s="1" t="s">
        <v>1462</v>
      </c>
      <c r="F8493" s="1">
        <v>14</v>
      </c>
      <c r="G8493" s="1">
        <v>7</v>
      </c>
      <c r="H8493" s="1">
        <v>1</v>
      </c>
      <c r="I8493" s="1" t="s">
        <v>16696</v>
      </c>
      <c r="K8493" s="1" t="str">
        <f t="shared" si="532"/>
        <v>ㄒ</v>
      </c>
      <c r="L8493" s="1" t="str">
        <f t="shared" si="533"/>
        <v>ㄧ</v>
      </c>
      <c r="M8493" s="1" t="str">
        <f t="shared" si="535"/>
        <v>ㄠ</v>
      </c>
      <c r="P8493" s="1" t="s">
        <v>20</v>
      </c>
      <c r="R8493" s="1" t="s">
        <v>16697</v>
      </c>
      <c r="V8493" s="1" t="s">
        <v>16701</v>
      </c>
      <c r="W8493" s="1" t="s">
        <v>16702</v>
      </c>
      <c r="AR8493" s="1" t="str">
        <f t="shared" si="534"/>
        <v>| [ㄒㄧㄠˋ](ㄒㄧㄠˋ.md) | [酵](酵.md) |  | xiào | 參見「發酵」、「酵母」、「酵素」等條。 |</v>
      </c>
    </row>
    <row r="8494" spans="1:44" hidden="1">
      <c r="A8494" s="1" t="s">
        <v>16703</v>
      </c>
      <c r="C8494" s="1">
        <v>1</v>
      </c>
      <c r="D8494" s="1" t="str">
        <f>"07030"</f>
        <v>07030</v>
      </c>
      <c r="E8494" s="1" t="s">
        <v>68</v>
      </c>
      <c r="F8494" s="1">
        <v>7</v>
      </c>
      <c r="G8494" s="1">
        <v>3</v>
      </c>
      <c r="H8494" s="1">
        <v>0</v>
      </c>
      <c r="I8494" s="1" t="s">
        <v>16696</v>
      </c>
      <c r="K8494" s="1" t="str">
        <f t="shared" si="532"/>
        <v>ㄒ</v>
      </c>
      <c r="L8494" s="1" t="str">
        <f t="shared" si="533"/>
        <v>ㄧ</v>
      </c>
      <c r="M8494" s="1" t="str">
        <f t="shared" si="535"/>
        <v>ㄠ</v>
      </c>
      <c r="P8494" s="1" t="s">
        <v>20</v>
      </c>
      <c r="R8494" s="1" t="s">
        <v>16697</v>
      </c>
      <c r="V8494" s="1" t="s">
        <v>16704</v>
      </c>
      <c r="AR8494" s="1" t="str">
        <f t="shared" si="534"/>
        <v>| [ㄒㄧㄠˋ](ㄒㄧㄠˋ.md) | [肖](肖.md) |  | xiào | [動]
1.相似、相像。《說文解字．肉部》：「肖，骨肉相似也。不似其先，故曰不肖也。」如：「不肖」、「唯妙唯肖」。宋．蘇軾〈影答形〉詩：「我依月燈出，相肖兩奇絕。」
2.比擬、仿效。漢．揚雄《法言．學行》：「七十子之肖仲尼也。」清．紀昀《閱微草堂筆記．卷五．灤陽消夏錄五》：「以牛角作曲管，肖鶉聲吹之。」
[名]
姓。如元朝有肖乃台。 |</v>
      </c>
    </row>
    <row r="8495" spans="1:44" hidden="1">
      <c r="A8495" s="1" t="s">
        <v>16705</v>
      </c>
      <c r="C8495" s="1">
        <v>1</v>
      </c>
      <c r="D8495" s="1" t="str">
        <f>"07031"</f>
        <v>07031</v>
      </c>
      <c r="E8495" s="1" t="s">
        <v>250</v>
      </c>
      <c r="F8495" s="1">
        <v>9</v>
      </c>
      <c r="G8495" s="1">
        <v>6</v>
      </c>
      <c r="H8495" s="1">
        <v>0</v>
      </c>
      <c r="I8495" s="1" t="s">
        <v>16696</v>
      </c>
      <c r="K8495" s="1" t="str">
        <f t="shared" si="532"/>
        <v>ㄒ</v>
      </c>
      <c r="L8495" s="1" t="str">
        <f t="shared" si="533"/>
        <v>ㄧ</v>
      </c>
      <c r="M8495" s="1" t="str">
        <f t="shared" si="535"/>
        <v>ㄠ</v>
      </c>
      <c r="P8495" s="1" t="s">
        <v>20</v>
      </c>
      <c r="R8495" s="1" t="s">
        <v>16697</v>
      </c>
      <c r="V8495" s="1" t="s">
        <v>16706</v>
      </c>
      <c r="AR8495" s="1" t="str">
        <f t="shared" si="534"/>
        <v>| [ㄒㄧㄠˋ](ㄒㄧㄠˋ.md) | [恔](恔.md) |  | xiào | [形]
快慰。漢．揚雄《方言》卷三：「恔，快也。……東齊海岱之間曰恔。」《孟子．公孫丑下》：「且比化者，無使土親膚，於人心獨無恔乎？」 |</v>
      </c>
    </row>
    <row r="8496" spans="1:44" hidden="1">
      <c r="A8496" s="1" t="s">
        <v>16707</v>
      </c>
      <c r="C8496" s="1">
        <v>1</v>
      </c>
      <c r="D8496" s="1" t="str">
        <f>"07032"</f>
        <v>07032</v>
      </c>
      <c r="E8496" s="1" t="s">
        <v>426</v>
      </c>
      <c r="F8496" s="1">
        <v>10</v>
      </c>
      <c r="G8496" s="1">
        <v>6</v>
      </c>
      <c r="H8496" s="1">
        <v>0</v>
      </c>
      <c r="I8496" s="1" t="s">
        <v>16696</v>
      </c>
      <c r="K8496" s="1" t="str">
        <f t="shared" ref="K8496:K8559" si="536">LEFT(I8496, 1)</f>
        <v>ㄒ</v>
      </c>
      <c r="L8496" s="1" t="str">
        <f t="shared" ref="L8496:L8559" si="537">MID(I8496, 2, 1)</f>
        <v>ㄧ</v>
      </c>
      <c r="M8496" s="1" t="str">
        <f t="shared" si="535"/>
        <v>ㄠ</v>
      </c>
      <c r="P8496" s="1" t="s">
        <v>20</v>
      </c>
      <c r="R8496" s="1" t="s">
        <v>16697</v>
      </c>
      <c r="V8496" s="1" t="s">
        <v>16708</v>
      </c>
      <c r="AR8496" s="1" t="str">
        <f t="shared" si="534"/>
        <v>| [ㄒㄧㄠˋ](ㄒㄧㄠˋ.md) | [效](效.md) |  | xiào | [動]
1.摹仿。如：「東施效顰」、「上行下效」。唐．王勃〈滕王閣序〉：「阮籍猖狂，豈效窮途之哭？」
2.致送、奉獻。如：「效勞」、「效力」、「效忠」。《韓非子．五蠹》：「獻圖則地削，效璽則名卑。」《文選．司馬遷．報任少卿書》：「誠欲效其款款之愚。」
[名]
1.功用。如：「功效」、「藥效」、「見效」。《淮南子．脩務》：「夫聖人之心，日夜不忘於欲利人，其澤之所及者，效亦大矣。」《紅樓夢》第一一回：「今日頭眩的略好些，別的仍不見怎麼樣大見效。」
2.徵驗。《淮南子．脩務》：「哭者，悲之效也。」漢．王充《論衡．雷虛》：「夫論雷之為火有五驗，言雷為天怒無一效。」 |</v>
      </c>
    </row>
    <row r="8497" spans="1:44" hidden="1">
      <c r="A8497" s="1" t="s">
        <v>13678</v>
      </c>
      <c r="C8497" s="1">
        <v>1</v>
      </c>
      <c r="D8497" s="1" t="str">
        <f>"07033"</f>
        <v>07033</v>
      </c>
      <c r="E8497" s="1" t="s">
        <v>139</v>
      </c>
      <c r="F8497" s="1">
        <v>10</v>
      </c>
      <c r="G8497" s="1">
        <v>6</v>
      </c>
      <c r="H8497" s="1">
        <v>1</v>
      </c>
      <c r="I8497" s="1" t="s">
        <v>16696</v>
      </c>
      <c r="K8497" s="1" t="str">
        <f t="shared" si="536"/>
        <v>ㄒ</v>
      </c>
      <c r="L8497" s="1" t="str">
        <f t="shared" si="537"/>
        <v>ㄧ</v>
      </c>
      <c r="M8497" s="1" t="str">
        <f t="shared" si="535"/>
        <v>ㄠ</v>
      </c>
      <c r="P8497" s="1" t="s">
        <v>20</v>
      </c>
      <c r="R8497" s="1" t="s">
        <v>16697</v>
      </c>
      <c r="V8497" s="1" t="s">
        <v>16709</v>
      </c>
      <c r="W8497" s="1" t="s">
        <v>16710</v>
      </c>
      <c r="AR8497" s="1" t="str">
        <f t="shared" si="534"/>
        <v>| [ㄒㄧㄠˋ](ㄒㄧㄠˋ.md) | [校](校.md) |  | xiào | [名]
1.施教求學的地方。如：「學校」、「補校」、「夜校」。
2.中級軍官的名稱，分上校、中校、少校三級。
3.姓。如唐代有校桀。 |</v>
      </c>
    </row>
    <row r="8498" spans="1:44" hidden="1">
      <c r="A8498" s="1" t="s">
        <v>16711</v>
      </c>
      <c r="C8498" s="1">
        <v>1</v>
      </c>
      <c r="D8498" s="1" t="str">
        <f>"07034"</f>
        <v>07034</v>
      </c>
      <c r="E8498" s="1" t="s">
        <v>114</v>
      </c>
      <c r="F8498" s="1">
        <v>12</v>
      </c>
      <c r="G8498" s="1">
        <v>10</v>
      </c>
      <c r="H8498" s="1">
        <v>0</v>
      </c>
      <c r="I8498" s="1" t="s">
        <v>16696</v>
      </c>
      <c r="K8498" s="1" t="str">
        <f t="shared" si="536"/>
        <v>ㄒ</v>
      </c>
      <c r="L8498" s="1" t="str">
        <f t="shared" si="537"/>
        <v>ㄧ</v>
      </c>
      <c r="M8498" s="1" t="str">
        <f t="shared" si="535"/>
        <v>ㄠ</v>
      </c>
      <c r="P8498" s="1" t="s">
        <v>20</v>
      </c>
      <c r="R8498" s="1" t="s">
        <v>16697</v>
      </c>
      <c r="V8498" s="1" t="s">
        <v>16712</v>
      </c>
      <c r="AR8498" s="1" t="str">
        <f t="shared" si="534"/>
        <v>| [ㄒㄧㄠˋ](ㄒㄧㄠˋ.md) | [傚](傚.md) |  | xiào | [動]
摹仿、效法。同「效」。如：「仿傚」。《詩經．小雅．鹿鳴》：「君子是則是傚。」《漢書．卷三七．季布傳》：「使後為人臣無傚丁公也。」 |</v>
      </c>
    </row>
    <row r="8499" spans="1:44" hidden="1">
      <c r="A8499" s="1" t="s">
        <v>16713</v>
      </c>
      <c r="C8499" s="1">
        <v>1</v>
      </c>
      <c r="D8499" s="1" t="str">
        <f>"07035"</f>
        <v>07035</v>
      </c>
      <c r="E8499" s="1" t="s">
        <v>49</v>
      </c>
      <c r="F8499" s="1">
        <v>10</v>
      </c>
      <c r="G8499" s="1">
        <v>4</v>
      </c>
      <c r="H8499" s="1">
        <v>0</v>
      </c>
      <c r="I8499" s="1" t="s">
        <v>16696</v>
      </c>
      <c r="K8499" s="1" t="str">
        <f t="shared" si="536"/>
        <v>ㄒ</v>
      </c>
      <c r="L8499" s="1" t="str">
        <f t="shared" si="537"/>
        <v>ㄧ</v>
      </c>
      <c r="M8499" s="1" t="str">
        <f t="shared" si="535"/>
        <v>ㄠ</v>
      </c>
      <c r="P8499" s="1" t="s">
        <v>20</v>
      </c>
      <c r="R8499" s="1" t="s">
        <v>16697</v>
      </c>
      <c r="V8499" s="1" t="s">
        <v>16714</v>
      </c>
      <c r="AR8499" s="1" t="str">
        <f t="shared" si="534"/>
        <v>| [ㄒㄧㄠˋ](ㄒㄧㄠˋ.md) | [笑](笑.md) |  | xiào | [動]
1.因欣喜而在臉上露出快樂表情，或發出喜悅的聲音。如：「玩笑」、「嬉笑」、「微笑」。《論語．憲問》：「樂然後笑，人不厭其笑。」
2.譏笑、嘲笑。如：「見笑」、「恥笑」。《孟子．梁惠王上》：「以五十步笑百步，則何如？」唐．韓愈〈調張籍〉詩：「蚍蜉撼大樹，可笑不自量。」
[副]
致贈時，希望對方接受的敬辭。如：「笑納」。《水滸傳》第二回：「特地使小校送些薄禮，酬謝大郎不殺之恩，不要推卻，望乞笑留。」 |</v>
      </c>
    </row>
    <row r="8500" spans="1:44" hidden="1">
      <c r="A8500" s="1" t="s">
        <v>16715</v>
      </c>
      <c r="C8500" s="1">
        <v>1</v>
      </c>
      <c r="D8500" s="1" t="str">
        <f>"07036"</f>
        <v>07036</v>
      </c>
      <c r="E8500" s="1" t="s">
        <v>28</v>
      </c>
      <c r="F8500" s="1">
        <v>15</v>
      </c>
      <c r="G8500" s="1">
        <v>12</v>
      </c>
      <c r="H8500" s="1">
        <v>0</v>
      </c>
      <c r="I8500" s="1" t="s">
        <v>16696</v>
      </c>
      <c r="K8500" s="1" t="str">
        <f t="shared" si="536"/>
        <v>ㄒ</v>
      </c>
      <c r="L8500" s="1" t="str">
        <f t="shared" si="537"/>
        <v>ㄧ</v>
      </c>
      <c r="M8500" s="1" t="str">
        <f t="shared" si="535"/>
        <v>ㄠ</v>
      </c>
      <c r="P8500" s="1" t="s">
        <v>20</v>
      </c>
      <c r="R8500" s="1" t="s">
        <v>16697</v>
      </c>
      <c r="V8500" s="1" t="s">
        <v>16716</v>
      </c>
      <c r="AR8500" s="1" t="str">
        <f t="shared" si="534"/>
        <v>| [ㄒㄧㄠˋ](ㄒㄧㄠˋ.md) | [嘯](嘯.md) |  | xiào | [動]
1.撮口吹出聲音、或發出高昂悠長的聲響。《詩經．召南．江有汜》：「之子歸，不我過。不我過，其嘯也歌。」唐．王維〈竹里館〉詩：「獨坐幽篁裡，彈琴復長嘯。」
2.鳥類野獸長聲鳴叫。如：「虎嘯」、「猿嘯」。唐．柳宗元〈憎王孫文．序〉：「既熟，嘯呼群萃，然後食衎衎焉。」宋．陸游〈春夜讀書感懷〉詩：「荒林梟獨嘯，野水鵝群鳴。」
3.呼喚、號召。如：「嘯聚」。南朝齊．陸厥〈奉答內兄希叔〉詩五首之二：「鳧鵠嘯儔侶，荷芰始參差。」《新唐書．卷二一五．突厥傳上》：「伏念敗，乃嘯亡散，保總材山，又治黑沙城。」
[名]
人為或自然所發出高亢宏大的聲響。如：「風嘯」。 |</v>
      </c>
    </row>
    <row r="8501" spans="1:44" hidden="1">
      <c r="A8501" s="1" t="s">
        <v>16717</v>
      </c>
      <c r="C8501" s="1">
        <v>1</v>
      </c>
      <c r="D8501" s="1" t="str">
        <f>"07037"</f>
        <v>07037</v>
      </c>
      <c r="E8501" s="1" t="s">
        <v>129</v>
      </c>
      <c r="F8501" s="1">
        <v>17</v>
      </c>
      <c r="G8501" s="1">
        <v>13</v>
      </c>
      <c r="H8501" s="1">
        <v>2</v>
      </c>
      <c r="I8501" s="1" t="s">
        <v>16696</v>
      </c>
      <c r="K8501" s="1" t="str">
        <f t="shared" si="536"/>
        <v>ㄒ</v>
      </c>
      <c r="L8501" s="1" t="str">
        <f t="shared" si="537"/>
        <v>ㄧ</v>
      </c>
      <c r="M8501" s="1" t="str">
        <f t="shared" si="535"/>
        <v>ㄠ</v>
      </c>
      <c r="P8501" s="1" t="s">
        <v>20</v>
      </c>
      <c r="R8501" s="1" t="s">
        <v>16697</v>
      </c>
      <c r="V8501" s="1" t="s">
        <v>16718</v>
      </c>
      <c r="W8501" s="1" t="s">
        <v>16719</v>
      </c>
      <c r="AR8501" s="1" t="str">
        <f t="shared" si="534"/>
        <v>| [ㄒㄧㄠˋ](ㄒㄧㄠˋ.md) | [澩](澩.md) |  | xiào | [擬]
形容波浪激盪的聲音。《文選．郭璞．江賦》：「砯巖鼓作，漰湱澩灂。」唐．李善．注：「漰湱澩灂，皆大波相激之聲也。」 |</v>
      </c>
    </row>
    <row r="8502" spans="1:44" hidden="1">
      <c r="A8502" s="1" t="s">
        <v>16720</v>
      </c>
      <c r="C8502" s="1">
        <v>1</v>
      </c>
      <c r="D8502" s="1" t="str">
        <f>"07038"</f>
        <v>07038</v>
      </c>
      <c r="E8502" s="1" t="s">
        <v>114</v>
      </c>
      <c r="F8502" s="1">
        <v>6</v>
      </c>
      <c r="G8502" s="1">
        <v>4</v>
      </c>
      <c r="H8502" s="1">
        <v>1</v>
      </c>
      <c r="I8502" s="1" t="s">
        <v>16721</v>
      </c>
      <c r="K8502" s="1" t="str">
        <f t="shared" si="536"/>
        <v>ㄒ</v>
      </c>
      <c r="L8502" s="1" t="str">
        <f t="shared" si="537"/>
        <v>ㄧ</v>
      </c>
      <c r="M8502" s="1" t="str">
        <f t="shared" si="535"/>
        <v>ㄡ</v>
      </c>
      <c r="P8502" s="1" t="s">
        <v>20</v>
      </c>
      <c r="R8502" s="1" t="s">
        <v>16722</v>
      </c>
      <c r="V8502" s="1" t="s">
        <v>16723</v>
      </c>
      <c r="W8502" s="1" t="s">
        <v>16724</v>
      </c>
      <c r="AR8502" s="1" t="str">
        <f t="shared" si="534"/>
        <v>| [ㄒㄧㄡ](ㄒㄧㄡ.md) | [休](休.md) |  | xiū | [動]
1.歇息。如：「休養」、「休憩」。《詩經．周南．漢廣》：「南有喬木，不可休息。」宋．歐陽修〈醉翁亭記〉：「行者休於樹。」
2.停歇、終止。如：「休會」、「休學」。宋．李清照〈鳳凰臺上憶吹簫．香冷金猊〉詞：「生怕閒愁暗恨，多少事、欲說還休。」《水滸傳》第五一回：「若孩兒有些好歹，老身性命也便休了。」
3.辭退官職、工作。如：「退休」。唐．杜甫〈旅夜書懷〉詩：「名豈文章著，官因老病休。」唐．白居易〈自問〉詩：「宦途氣味已諳盡，五十不休何日休？」
4.丈夫主動向妻子解除婚約。《水滸傳》第八回：「我不曾有半些兒點汙，如何把我休了？」《紅樓夢》第六八回：「如今指名提我，要休我。」
5.喜悅、快樂。《詩經．小雅．菁菁》：「既見君子，我心則休。」《新唐書．卷九六．杜如晦傳》：「休戚與我均，何所避？」
[副]
不要、不可。如：「休想」、「休問」。唐．杜甫〈戲贈友〉詩二首之二：「勸君休歎恨，未必不為福。」元．王實甫《西廂記．第一本．第一折》：「這的是兜率宮，休猜做了離恨天。」
[形]
美好。如：「休兆」、「休德」。唐．柳宗元〈與邕州李域中丞論陸卓啟〉：「累仕所至，必有休聲。」
[名]
1.福祿、吉慶。《左傳．襄公二十八年》：「以禮承天之休。」《戰國策．魏策四》：「休祲降於天，與臣而將四矣。」
2.姓。漢封楚元王之子為休侯，後以邑為氏。
[助]
用於句尾，相當於「罷」、「了」。宋．李清照〈玉樓春．紅酥肯放瓊苞碎〉詞：「要來小酌便來休，未必明朝風不起。」宋．呂勝己〈南鄉子．斗笠棹扁舟〉詞：「笑道漁翁太拙休。」 |</v>
      </c>
    </row>
    <row r="8503" spans="1:44" hidden="1">
      <c r="A8503" s="1" t="s">
        <v>16725</v>
      </c>
      <c r="C8503" s="1">
        <v>1</v>
      </c>
      <c r="D8503" s="1" t="str">
        <f>"07039"</f>
        <v>07039</v>
      </c>
      <c r="E8503" s="1" t="s">
        <v>447</v>
      </c>
      <c r="F8503" s="1">
        <v>9</v>
      </c>
      <c r="G8503" s="1">
        <v>6</v>
      </c>
      <c r="H8503" s="1">
        <v>0</v>
      </c>
      <c r="I8503" s="1" t="s">
        <v>16721</v>
      </c>
      <c r="K8503" s="1" t="str">
        <f t="shared" si="536"/>
        <v>ㄒ</v>
      </c>
      <c r="L8503" s="1" t="str">
        <f t="shared" si="537"/>
        <v>ㄧ</v>
      </c>
      <c r="M8503" s="1" t="str">
        <f t="shared" si="535"/>
        <v>ㄡ</v>
      </c>
      <c r="P8503" s="1" t="s">
        <v>20</v>
      </c>
      <c r="R8503" s="1" t="s">
        <v>16722</v>
      </c>
      <c r="V8503" s="1" t="s">
        <v>16726</v>
      </c>
      <c r="AR8503" s="1" t="str">
        <f t="shared" si="534"/>
        <v>| [ㄒㄧㄡ](ㄒㄧㄡ.md) | [庥](庥.md) |  | xiū | [動]
1.休息。同「休」。《說文解字．木部》：「休，息止也。庥，休或從广。」
2.庇蔭、保護。《玉篇．广部》：「庥，庇庥也。」唐．韓愈〈潮州祭神文〉：「山川之神，克庥于人。」
[名]
樹蔭。《爾雅．釋言》：「庥，廕也。」晉．郭璞．注：「今俗語呼樹廕為庥。」 |</v>
      </c>
    </row>
    <row r="8504" spans="1:44" hidden="1">
      <c r="A8504" s="1" t="s">
        <v>16727</v>
      </c>
      <c r="C8504" s="1">
        <v>1</v>
      </c>
      <c r="D8504" s="1" t="str">
        <f>"07040"</f>
        <v>07040</v>
      </c>
      <c r="E8504" s="1" t="s">
        <v>28</v>
      </c>
      <c r="F8504" s="1">
        <v>9</v>
      </c>
      <c r="G8504" s="1">
        <v>6</v>
      </c>
      <c r="H8504" s="1">
        <v>1</v>
      </c>
      <c r="I8504" s="1" t="s">
        <v>16721</v>
      </c>
      <c r="K8504" s="1" t="str">
        <f t="shared" si="536"/>
        <v>ㄒ</v>
      </c>
      <c r="L8504" s="1" t="str">
        <f t="shared" si="537"/>
        <v>ㄧ</v>
      </c>
      <c r="M8504" s="1" t="str">
        <f t="shared" si="535"/>
        <v>ㄡ</v>
      </c>
      <c r="P8504" s="1" t="s">
        <v>20</v>
      </c>
      <c r="R8504" s="1" t="s">
        <v>16722</v>
      </c>
      <c r="V8504" s="1" t="s">
        <v>16728</v>
      </c>
      <c r="W8504" s="1" t="s">
        <v>16729</v>
      </c>
      <c r="AR8504" s="1" t="str">
        <f t="shared" si="534"/>
        <v>| [ㄒㄧㄡ](ㄒㄧㄡ.md) | [咻](咻.md) |  | xiū | [動]
喧嚷、吵鬧。《孟子．滕文公下》：「一齊人傅之，眾楚人咻之。」唐．柳宗元〈六逆論〉：「明者慨然將定其是非，則拘儒瞽生相與群而咻之，以為狂為怪。」
[擬]
1.形容喘氣聲或動物的叫聲。宋．蘇軾〈江上值雪〉詩：「草中咻咻有寒兔，孤隼下擊千夫馳。」清．紀昀《閱微草堂筆記．卷五．灤陽消夏錄五》：「其一往來窗外，氣咻咻然，至雞鳴乃寂。」
2.形容箭或炮竹發射的聲音。如：「只聽見咻的一聲，箭已落在靶的正中心。」 |</v>
      </c>
    </row>
    <row r="8505" spans="1:44" hidden="1">
      <c r="A8505" s="1" t="s">
        <v>16730</v>
      </c>
      <c r="C8505" s="1">
        <v>1</v>
      </c>
      <c r="D8505" s="1" t="str">
        <f>"07041"</f>
        <v>07041</v>
      </c>
      <c r="E8505" s="1" t="s">
        <v>537</v>
      </c>
      <c r="F8505" s="1">
        <v>13</v>
      </c>
      <c r="G8505" s="1">
        <v>6</v>
      </c>
      <c r="H8505" s="1">
        <v>0</v>
      </c>
      <c r="I8505" s="1" t="s">
        <v>16721</v>
      </c>
      <c r="K8505" s="1" t="str">
        <f t="shared" si="536"/>
        <v>ㄒ</v>
      </c>
      <c r="L8505" s="1" t="str">
        <f t="shared" si="537"/>
        <v>ㄧ</v>
      </c>
      <c r="M8505" s="1" t="str">
        <f t="shared" si="535"/>
        <v>ㄡ</v>
      </c>
      <c r="P8505" s="1" t="s">
        <v>20</v>
      </c>
      <c r="R8505" s="1" t="s">
        <v>16722</v>
      </c>
      <c r="V8505" s="1" t="s">
        <v>16731</v>
      </c>
      <c r="AR8505" s="1" t="str">
        <f t="shared" si="534"/>
        <v>| [ㄒㄧㄡ](ㄒㄧㄡ.md) | [貅](貅.md) |  | xiū | [名]
1.傳說中的猛獸。《玉篇．豸部》：「貅，猛獸。」
2.比喻勇猛的軍隊。《史記．卷一．五帝本紀》：「教熊羆貔貅貙虎，以與炎帝戰於阪泉之野。」唐．張守節．正義：「言教士卒習戰，以猛獸之名名之，用威敵也。」 |</v>
      </c>
    </row>
    <row r="8506" spans="1:44" hidden="1">
      <c r="A8506" s="1" t="s">
        <v>16732</v>
      </c>
      <c r="C8506" s="1">
        <v>1</v>
      </c>
      <c r="D8506" s="1" t="str">
        <f>"07042"</f>
        <v>07042</v>
      </c>
      <c r="E8506" s="1" t="s">
        <v>1078</v>
      </c>
      <c r="F8506" s="1">
        <v>16</v>
      </c>
      <c r="G8506" s="1">
        <v>6</v>
      </c>
      <c r="H8506" s="1">
        <v>0</v>
      </c>
      <c r="I8506" s="1" t="s">
        <v>16721</v>
      </c>
      <c r="K8506" s="1" t="str">
        <f t="shared" si="536"/>
        <v>ㄒ</v>
      </c>
      <c r="L8506" s="1" t="str">
        <f t="shared" si="537"/>
        <v>ㄧ</v>
      </c>
      <c r="M8506" s="1" t="str">
        <f t="shared" si="535"/>
        <v>ㄡ</v>
      </c>
      <c r="P8506" s="1" t="s">
        <v>20</v>
      </c>
      <c r="R8506" s="1" t="s">
        <v>16722</v>
      </c>
      <c r="V8506" s="1" t="s">
        <v>16733</v>
      </c>
      <c r="AR8506" s="1" t="str">
        <f t="shared" si="534"/>
        <v>| [ㄒㄧㄡ](ㄒㄧㄡ.md) | [髹](髹.md) |  | xiū | [名]
赤黑漆。《玉篇．髟部》：「髹，赤黑漆也。」《儀禮．鄉射禮》：「福髹橫而拳之，南面坐而奠之。」漢．鄭玄．注：「髹，赤黑漆也。」
[形]
1.紅黑色的。《韓非子．外儲說左上》：「君觀之，與髹筴者同狀。」《文選．何晏．景福殿賦》：「於是列髹彤之繡桷，垂琬琰之文璫。」
2.頭髮雜亂的樣子。唐．劉兼〈送二郎君歸長安〉詩：「荷衣曉挂慚官吏，菱鏡秋窺訝鬢髹。」
[動]
將漆塗在器具上。《漢書．卷九七．外戚傳下．孝成趙皇后傳》：「其中庭彤朱，而殿上髹漆。」唐．顏師古．注：「以漆漆物謂之髹。」 |</v>
      </c>
    </row>
    <row r="8507" spans="1:44" hidden="1">
      <c r="A8507" s="1" t="s">
        <v>16734</v>
      </c>
      <c r="C8507" s="1">
        <v>1</v>
      </c>
      <c r="D8507" s="1" t="str">
        <f>"07043"</f>
        <v>07043</v>
      </c>
      <c r="E8507" s="1" t="s">
        <v>272</v>
      </c>
      <c r="F8507" s="1">
        <v>17</v>
      </c>
      <c r="G8507" s="1">
        <v>6</v>
      </c>
      <c r="H8507" s="1">
        <v>0</v>
      </c>
      <c r="I8507" s="1" t="s">
        <v>16721</v>
      </c>
      <c r="K8507" s="1" t="str">
        <f t="shared" si="536"/>
        <v>ㄒ</v>
      </c>
      <c r="L8507" s="1" t="str">
        <f t="shared" si="537"/>
        <v>ㄧ</v>
      </c>
      <c r="M8507" s="1" t="str">
        <f t="shared" si="535"/>
        <v>ㄡ</v>
      </c>
      <c r="P8507" s="1" t="s">
        <v>20</v>
      </c>
      <c r="R8507" s="1" t="s">
        <v>16722</v>
      </c>
      <c r="V8507" s="1" t="s">
        <v>16735</v>
      </c>
      <c r="AR8507" s="1" t="str">
        <f t="shared" si="534"/>
        <v>| [ㄒㄧㄡ](ㄒㄧㄡ.md) | [鵂](鵂.md) |  | xiū | 參見「鵂鶹」條。 |</v>
      </c>
    </row>
    <row r="8508" spans="1:44" hidden="1">
      <c r="A8508" s="1" t="s">
        <v>16736</v>
      </c>
      <c r="C8508" s="1">
        <v>1</v>
      </c>
      <c r="D8508" s="1" t="str">
        <f>"07044"</f>
        <v>07044</v>
      </c>
      <c r="E8508" s="1" t="s">
        <v>114</v>
      </c>
      <c r="F8508" s="1">
        <v>10</v>
      </c>
      <c r="G8508" s="1">
        <v>8</v>
      </c>
      <c r="H8508" s="1">
        <v>0</v>
      </c>
      <c r="I8508" s="1" t="s">
        <v>16721</v>
      </c>
      <c r="K8508" s="1" t="str">
        <f t="shared" si="536"/>
        <v>ㄒ</v>
      </c>
      <c r="L8508" s="1" t="str">
        <f t="shared" si="537"/>
        <v>ㄧ</v>
      </c>
      <c r="M8508" s="1" t="str">
        <f t="shared" si="535"/>
        <v>ㄡ</v>
      </c>
      <c r="P8508" s="1" t="s">
        <v>20</v>
      </c>
      <c r="R8508" s="1" t="s">
        <v>16722</v>
      </c>
      <c r="V8508" s="1" t="s">
        <v>16737</v>
      </c>
      <c r="AR8508" s="1" t="str">
        <f t="shared" si="534"/>
        <v>| [ㄒㄧㄡ](ㄒㄧㄡ.md) | [修](修.md) |  | xiū | [動]
1.裝扮、裝飾。如：「修飾」。《楚辭．屈原．九歌．湘君》：「美要眇兮宜修。」唐．李中〈春閨辭〉二首之一：「塵昏菱鑑懶修容，雙臉桃花落盡紅。」
2.整治、修理，使恢復、合用。如：「整修」、「維修」。《儒林外史》第二五回：「因家裡有幾件樂器壞了，要借重老爹修一修。」
3.建造、興建。如：「修水庫」、「修築道路」。宋．范仲淹〈岳陽樓記〉：「乃重修岳陽樓。」
4.涵養、鍛鍊。如：「修身養性」、「修心」。《文選．陸機．五等論》：「修己安民，良士之所希及。」
5.學習、研究。如：「自修」、「進修」。《韓非子．五蠹》：「今修文學，習言談。」
6.著述、撰寫。如：「修史」。《文選．劉歆．移書讓太常博士》：「修易序書，制作春秋。」南朝宋．劉義慶《世說新語．雅量》：「修書累紙，意寄殷勤。」
7.削、剪。如：「修指甲」、「修鉛筆」。
[形]
1.長、高、遠。如：「修長」。宋．蘇軾〈滿江紅．東武南城〉詞：「到如今、修竹滿山陰，空陳跡！」
2.善、美好。唐．韓愈〈進學解〉：「行雖修而不顯於眾。」
[名]
1.有賢德的人。南朝梁．劉勰《文心雕龍．宗經》：「後進追取而非晚，前修文用而未先。」
2.姓。如晉代有修肅。 |</v>
      </c>
    </row>
    <row r="8509" spans="1:44" hidden="1">
      <c r="A8509" s="1" t="s">
        <v>16738</v>
      </c>
      <c r="C8509" s="1">
        <v>1</v>
      </c>
      <c r="D8509" s="1" t="str">
        <f>"07045"</f>
        <v>07045</v>
      </c>
      <c r="E8509" s="1" t="s">
        <v>68</v>
      </c>
      <c r="F8509" s="1">
        <v>11</v>
      </c>
      <c r="G8509" s="1">
        <v>7</v>
      </c>
      <c r="H8509" s="1">
        <v>0</v>
      </c>
      <c r="I8509" s="1" t="s">
        <v>16721</v>
      </c>
      <c r="K8509" s="1" t="str">
        <f t="shared" si="536"/>
        <v>ㄒ</v>
      </c>
      <c r="L8509" s="1" t="str">
        <f t="shared" si="537"/>
        <v>ㄧ</v>
      </c>
      <c r="M8509" s="1" t="str">
        <f t="shared" si="535"/>
        <v>ㄡ</v>
      </c>
      <c r="P8509" s="1" t="s">
        <v>20</v>
      </c>
      <c r="R8509" s="1" t="s">
        <v>16722</v>
      </c>
      <c r="V8509" s="1" t="s">
        <v>16739</v>
      </c>
      <c r="AR8509" s="1" t="str">
        <f t="shared" si="534"/>
        <v>| [ㄒㄧㄡ](ㄒㄧㄡ.md) | [脩](脩.md) |  | xiū | [名]
1.乾肉條。《周禮．天官．膳夫》：「凡肉脩之頒賜，皆掌之。」
2.參見「束脩」條。
3.姓。如漢代有脩炳。
[動]
1.乾枯、枯萎。《詩經．王風．中谷有蓷》：「中谷有蓷，暵其脩矣。」
2.研習。通「修」。《史記．卷六三．老子韓非傳》：「老子脩道德。」
3.打掃、洗滌。《禮記．中庸》：「春秋脩其祖廟，陳其宗器。」漢．鄭玄．注：「脩，謂掃糞也。」
[形]
1.長、久、遠。通「修」。《楚辭．屈原．離騷》：「路曼曼其脩遠兮，吾將上下而求索。」《文選．潘岳．西征賦》：「生有脩短之命。」
2.美善。《楚辭．屈原．離騷》：「老冉冉其將至兮，恐脩名之不立。」《文選．張衡．思玄賦》：「伊中情之信脩兮。」 |</v>
      </c>
    </row>
    <row r="8510" spans="1:44" hidden="1">
      <c r="A8510" s="1" t="s">
        <v>16740</v>
      </c>
      <c r="C8510" s="1">
        <v>1</v>
      </c>
      <c r="D8510" s="1" t="str">
        <f>"07046"</f>
        <v>07046</v>
      </c>
      <c r="E8510" s="1" t="s">
        <v>43</v>
      </c>
      <c r="F8510" s="1">
        <v>11</v>
      </c>
      <c r="G8510" s="1">
        <v>5</v>
      </c>
      <c r="H8510" s="1">
        <v>0</v>
      </c>
      <c r="I8510" s="1" t="s">
        <v>16721</v>
      </c>
      <c r="K8510" s="1" t="str">
        <f t="shared" si="536"/>
        <v>ㄒ</v>
      </c>
      <c r="L8510" s="1" t="str">
        <f t="shared" si="537"/>
        <v>ㄧ</v>
      </c>
      <c r="M8510" s="1" t="str">
        <f t="shared" si="535"/>
        <v>ㄡ</v>
      </c>
      <c r="P8510" s="1" t="s">
        <v>20</v>
      </c>
      <c r="R8510" s="1" t="s">
        <v>16722</v>
      </c>
      <c r="V8510" s="1" t="s">
        <v>16741</v>
      </c>
      <c r="AR8510" s="1" t="str">
        <f t="shared" si="534"/>
        <v>| [ㄒㄧㄡ](ㄒㄧㄡ.md) | [羞](羞.md) |  | xiū | [動]
1.進貢、進獻。《說文解字．丑部》：「羞，進獻也。」《禮記．月令》：「以雛嘗黍，羞以含桃，先薦寢廟。」
2.侮辱，使人難堪。如：「羞辱」。《漢書．卷四．文帝紀》：「以羞先帝之遺德。」
3.感到恥辱。如：「他那大逆不道的行徑，使大夥都羞與為伍。」
4.害怕、慚愧。如：「羞於見人」。《後漢書．卷一一．劉玄傳》：「素懦弱，羞愧流汗，舉手不能言。」唐．錢起〈贈闕下裴舍人〉詩：「獻賦十年猶未遇，羞將白髮對華簪。」
5.害臊、難為情，或使難為情。如：「害羞」。如：「不要再羞他了，他的臉已經紅到耳根了。」
[名]
1.精緻美味的食物。同「饈」。如：「珍羞」、「時羞」。《文選．枚乘．七發》：「旨酒嘉肴，羞炰膾炙，以御賓客。」
2.羞怯的神情。如：「含羞」。唐．李商隱〈無題〉詩二首之一：「扇裁月魄羞難掩，車走雷聲語未通。」
3.恥辱。如：「蒙羞」。《文選．李陵．答蘇武書》：「復勾踐之讎，報魯國之羞。」 |</v>
      </c>
    </row>
    <row r="8511" spans="1:44" hidden="1">
      <c r="A8511" s="1" t="s">
        <v>16742</v>
      </c>
      <c r="C8511" s="1">
        <v>1</v>
      </c>
      <c r="D8511" s="1" t="str">
        <f>"07047"</f>
        <v>07047</v>
      </c>
      <c r="E8511" s="1" t="s">
        <v>193</v>
      </c>
      <c r="F8511" s="1">
        <v>19</v>
      </c>
      <c r="G8511" s="1">
        <v>11</v>
      </c>
      <c r="H8511" s="1">
        <v>0</v>
      </c>
      <c r="I8511" s="1" t="s">
        <v>16721</v>
      </c>
      <c r="K8511" s="1" t="str">
        <f t="shared" si="536"/>
        <v>ㄒ</v>
      </c>
      <c r="L8511" s="1" t="str">
        <f t="shared" si="537"/>
        <v>ㄧ</v>
      </c>
      <c r="M8511" s="1" t="str">
        <f t="shared" si="535"/>
        <v>ㄡ</v>
      </c>
      <c r="P8511" s="1" t="s">
        <v>20</v>
      </c>
      <c r="R8511" s="1" t="s">
        <v>16722</v>
      </c>
      <c r="V8511" s="1" t="s">
        <v>16743</v>
      </c>
      <c r="AR8511" s="1" t="str">
        <f t="shared" si="534"/>
        <v>| [ㄒㄧㄡ](ㄒㄧㄡ.md) | [饈](饈.md) |  | xiū | [動]
進獻。《集韻．平聲．尤韻》：「饈，進獻也，一曰致滋味。」
[名]
1.美味的食物。如：「珍饈」。《福惠全書．卷一一．刑名部．詞訟》：「饈餚豐列，樽榼橫陳。」
2.膳食。《聊齋志異．卷七．仙人島》：「酒既行，珍肴雜錯，入口甘芳，並異常饈。」 |</v>
      </c>
    </row>
    <row r="8512" spans="1:44" hidden="1">
      <c r="A8512" s="1" t="s">
        <v>16744</v>
      </c>
      <c r="C8512" s="1">
        <v>1</v>
      </c>
      <c r="D8512" s="1" t="str">
        <f>"07048"</f>
        <v>07048</v>
      </c>
      <c r="E8512" s="1" t="s">
        <v>139</v>
      </c>
      <c r="F8512" s="1">
        <v>6</v>
      </c>
      <c r="G8512" s="1">
        <v>2</v>
      </c>
      <c r="H8512" s="1">
        <v>0</v>
      </c>
      <c r="I8512" s="1" t="s">
        <v>16745</v>
      </c>
      <c r="K8512" s="1" t="str">
        <f t="shared" si="536"/>
        <v>ㄒ</v>
      </c>
      <c r="L8512" s="1" t="str">
        <f t="shared" si="537"/>
        <v>ㄧ</v>
      </c>
      <c r="M8512" s="1" t="str">
        <f t="shared" si="535"/>
        <v>ㄡ</v>
      </c>
      <c r="P8512" s="1" t="s">
        <v>20</v>
      </c>
      <c r="R8512" s="1" t="s">
        <v>16746</v>
      </c>
      <c r="V8512" s="1" t="s">
        <v>16747</v>
      </c>
      <c r="AR8512" s="1" t="str">
        <f t="shared" si="534"/>
        <v>| [ㄒㄧㄡˇ](ㄒㄧㄡˇ.md) | [朽](朽.md) |  | xiǔ | [動]
1.腐爛、敗壞。如：「朽壞」。宋．蘇軾〈淮陰侯廟記〉：「將軍則與草木同朽，麋鹿俱死。」
2.磨滅。如：「永垂不朽」。《左傳．襄公二十四年》：「太上有立德……，雖久不廢，此之謂不朽。」
[形]
1.敗壞的。如：「衰朽」。《論語．公冶長》：「朽木不可雕也，糞土之牆不可杇也。」
2.衰老。如：「老朽」、「年朽齒落」。《三國志．卷九．魏書．曹真傳》：「臣雖朽邁，敢忘往言？」唐．李賀〈贈陳商〉詩：「長安有男兒，二十心已朽。」
[名]
泛指腐敗的東西。《晉書．卷七〇．甘卓傳》：「將軍之舉武昌，若摧枯拉朽，何所顧慮乎！」 |</v>
      </c>
    </row>
    <row r="8513" spans="1:44" hidden="1">
      <c r="A8513" s="1" t="s">
        <v>16720</v>
      </c>
      <c r="C8513" s="1">
        <v>1</v>
      </c>
      <c r="D8513" s="1" t="str">
        <f>"07049"</f>
        <v>07049</v>
      </c>
      <c r="E8513" s="1" t="s">
        <v>114</v>
      </c>
      <c r="F8513" s="1">
        <v>6</v>
      </c>
      <c r="G8513" s="1">
        <v>4</v>
      </c>
      <c r="H8513" s="1">
        <v>3</v>
      </c>
      <c r="I8513" s="1" t="s">
        <v>16745</v>
      </c>
      <c r="K8513" s="1" t="str">
        <f t="shared" si="536"/>
        <v>ㄒ</v>
      </c>
      <c r="L8513" s="1" t="str">
        <f t="shared" si="537"/>
        <v>ㄧ</v>
      </c>
      <c r="M8513" s="1" t="str">
        <f t="shared" si="535"/>
        <v>ㄡ</v>
      </c>
      <c r="P8513" s="1" t="s">
        <v>20</v>
      </c>
      <c r="R8513" s="1" t="s">
        <v>16746</v>
      </c>
      <c r="V8513" s="1" t="s">
        <v>16748</v>
      </c>
      <c r="W8513" s="1" t="s">
        <v>16749</v>
      </c>
      <c r="AR8513" s="1" t="str">
        <f t="shared" si="534"/>
        <v>| [ㄒㄧㄡˇ](ㄒㄧㄡˇ.md) | [休](休.md) |  | xiǔ | 參見「休屠」條。 |</v>
      </c>
    </row>
    <row r="8514" spans="1:44" hidden="1">
      <c r="A8514" s="1" t="s">
        <v>16750</v>
      </c>
      <c r="C8514" s="1">
        <v>1</v>
      </c>
      <c r="D8514" s="1" t="str">
        <f>"07050"</f>
        <v>07050</v>
      </c>
      <c r="E8514" s="1" t="s">
        <v>624</v>
      </c>
      <c r="F8514" s="1">
        <v>11</v>
      </c>
      <c r="G8514" s="1">
        <v>8</v>
      </c>
      <c r="H8514" s="1">
        <v>3</v>
      </c>
      <c r="I8514" s="1" t="s">
        <v>16745</v>
      </c>
      <c r="K8514" s="1" t="str">
        <f t="shared" si="536"/>
        <v>ㄒ</v>
      </c>
      <c r="L8514" s="1" t="str">
        <f t="shared" si="537"/>
        <v>ㄧ</v>
      </c>
      <c r="M8514" s="1" t="str">
        <f t="shared" si="535"/>
        <v>ㄡ</v>
      </c>
      <c r="P8514" s="1" t="s">
        <v>20</v>
      </c>
      <c r="R8514" s="1" t="s">
        <v>16746</v>
      </c>
      <c r="V8514" s="1" t="s">
        <v>16751</v>
      </c>
      <c r="W8514" s="1" t="s">
        <v>16752</v>
      </c>
      <c r="AR8514" s="1" t="str">
        <f t="shared" si="534"/>
        <v>| [ㄒㄧㄡˇ](ㄒㄧㄡˇ.md) | [宿](宿.md) |  | xiǔ | [名]
夜晚。如：「整宿」。《紅樓夢》第四八回：「商議已定，一宿無話。」 |</v>
      </c>
    </row>
    <row r="8515" spans="1:44" hidden="1">
      <c r="A8515" s="1" t="s">
        <v>16753</v>
      </c>
      <c r="C8515" s="1">
        <v>1</v>
      </c>
      <c r="D8515" s="1" t="str">
        <f>"07051"</f>
        <v>07051</v>
      </c>
      <c r="E8515" s="1" t="s">
        <v>129</v>
      </c>
      <c r="F8515" s="1">
        <v>14</v>
      </c>
      <c r="G8515" s="1">
        <v>11</v>
      </c>
      <c r="H8515" s="1">
        <v>0</v>
      </c>
      <c r="I8515" s="1" t="s">
        <v>16745</v>
      </c>
      <c r="K8515" s="1" t="str">
        <f t="shared" si="536"/>
        <v>ㄒ</v>
      </c>
      <c r="L8515" s="1" t="str">
        <f t="shared" si="537"/>
        <v>ㄧ</v>
      </c>
      <c r="M8515" s="1" t="str">
        <f t="shared" si="535"/>
        <v>ㄡ</v>
      </c>
      <c r="P8515" s="1" t="s">
        <v>20</v>
      </c>
      <c r="R8515" s="1" t="s">
        <v>16746</v>
      </c>
      <c r="V8515" s="1" t="s">
        <v>16754</v>
      </c>
      <c r="AR8515" s="1" t="str">
        <f t="shared" ref="AR8515:AR8578" si="538">"| ["&amp;I8515&amp;"]("&amp;I8515&amp;".md) | ["&amp;A8515&amp;"]("&amp;A8515&amp;".md) | "&amp;" | "&amp;R8515&amp;" | "&amp;V8515&amp;" |"</f>
        <v>| [ㄒㄧㄡˇ](ㄒㄧㄡˇ.md) | [滫](滫.md) |  | xiǔ | [名]
1.酸臭的淘米水。《說文解字．水部》：「滫，久泔也。」
2.泛指骯髒、惡臭的水。《荀子．勸學》：「蘭槐之根是為芷，其漸之滫，君子不近，庶人不服。」 |</v>
      </c>
    </row>
    <row r="8516" spans="1:44" hidden="1">
      <c r="A8516" s="1" t="s">
        <v>16755</v>
      </c>
      <c r="C8516" s="1">
        <v>1</v>
      </c>
      <c r="D8516" s="1" t="str">
        <f>"07052"</f>
        <v>07052</v>
      </c>
      <c r="E8516" s="1" t="s">
        <v>429</v>
      </c>
      <c r="F8516" s="1">
        <v>7</v>
      </c>
      <c r="G8516" s="1">
        <v>2</v>
      </c>
      <c r="H8516" s="1">
        <v>0</v>
      </c>
      <c r="I8516" s="1" t="s">
        <v>16756</v>
      </c>
      <c r="K8516" s="1" t="str">
        <f t="shared" si="536"/>
        <v>ㄒ</v>
      </c>
      <c r="L8516" s="1" t="str">
        <f t="shared" si="537"/>
        <v>ㄧ</v>
      </c>
      <c r="M8516" s="1" t="str">
        <f t="shared" si="535"/>
        <v>ㄡ</v>
      </c>
      <c r="P8516" s="1" t="s">
        <v>20</v>
      </c>
      <c r="R8516" s="1" t="s">
        <v>16757</v>
      </c>
      <c r="V8516" s="1" t="s">
        <v>16758</v>
      </c>
      <c r="AR8516" s="1" t="str">
        <f t="shared" si="538"/>
        <v>| [ㄒㄧㄡˋ](ㄒㄧㄡˋ.md) | [秀](秀.md) |  | xiù | [動]
1.稻麥等穀類吐穗開花。《詩經．大雅．生民》：「實發實秀，實堅實好。」唐．聶夷中〈田家〉詩二首之一：「六月禾未秀，官家已修倉。」
2.泛指草木開花。唐．杜甫〈九日寄岑參〉詩：「是節東籬菊，紛披為誰秀？」
3.生長、成長。晉．顧愷之〈神情〉詩：「冬嶺秀寒松。」
4.表現、表演。為英語show的音譯。如：「秀一下」。
[名]
1.草木的花。漢．武帝〈秋風辭〉：「蘭有秀兮菊有芳。」《文選．張協．七命》：「方疏含秀，圓井吐葩。」
2.才智傑出的人。如：「後起之秀」。《晉書．卷六五．王導傳》：「顧榮、賀循、紀贍、周玘，皆南土之秀。」
3.演出、表演。如：「做秀」、「一場秀」。
4.姓。如春秋時宋有秀老。
[形]
1.草木繁茂。《宋史．卷六五．五行志．木志》：「漢陽軍有插榴枝於石罅，秀茂成陰。」宋．歐陽修〈醉翁亭記〉：「佳木秀而繁陰。」
2.清麗、俊美。如：「娟秀」、「清秀」、「山明水秀」。唐．韓愈〈送李愿歸盤谷序〉：「清聲而便體，秀外而惠中。」
3.優異、傑出。如：「優秀」、「一枝獨秀」。《國語．齊語》：「秀民之能為士者，必足賴也。」《漢書．卷四八．賈誼傳》：「河南守吳公聞其秀材，召置門下，甚幸愛。」 |</v>
      </c>
    </row>
    <row r="8517" spans="1:44" hidden="1">
      <c r="A8517" s="1" t="s">
        <v>16759</v>
      </c>
      <c r="C8517" s="1">
        <v>1</v>
      </c>
      <c r="D8517" s="1" t="str">
        <f>"07053"</f>
        <v>07053</v>
      </c>
      <c r="E8517" s="1" t="s">
        <v>142</v>
      </c>
      <c r="F8517" s="1">
        <v>11</v>
      </c>
      <c r="G8517" s="1">
        <v>7</v>
      </c>
      <c r="H8517" s="1">
        <v>0</v>
      </c>
      <c r="I8517" s="1" t="s">
        <v>16756</v>
      </c>
      <c r="K8517" s="1" t="str">
        <f t="shared" si="536"/>
        <v>ㄒ</v>
      </c>
      <c r="L8517" s="1" t="str">
        <f t="shared" si="537"/>
        <v>ㄧ</v>
      </c>
      <c r="M8517" s="1" t="str">
        <f t="shared" si="535"/>
        <v>ㄡ</v>
      </c>
      <c r="P8517" s="1" t="s">
        <v>20</v>
      </c>
      <c r="R8517" s="1" t="s">
        <v>16757</v>
      </c>
      <c r="V8517" s="1" t="s">
        <v>16760</v>
      </c>
      <c r="AR8517" s="1" t="str">
        <f t="shared" si="538"/>
        <v>| [ㄒㄧㄡˋ](ㄒㄧㄡˋ.md) | [琇](琇.md) |  | xiù | [名]
1.美石。《詩經．小雅．都人士》：「彼都人士，充耳琇實。」漢．毛亨．傳：「琇，美石也。」唐．蕭穎士〈江有楓篇〉一〇章之七：「彼鄭之子，如琇如英。」
2.秀美。通「秀」。清．王念孫《廣雅疏證．卷一上．釋詁》：「琇，美也。」 |</v>
      </c>
    </row>
    <row r="8518" spans="1:44" hidden="1">
      <c r="A8518" s="1" t="s">
        <v>16761</v>
      </c>
      <c r="C8518" s="1">
        <v>1</v>
      </c>
      <c r="D8518" s="1" t="str">
        <f>"07054"</f>
        <v>07054</v>
      </c>
      <c r="E8518" s="1" t="s">
        <v>190</v>
      </c>
      <c r="F8518" s="1">
        <v>8</v>
      </c>
      <c r="G8518" s="1">
        <v>5</v>
      </c>
      <c r="H8518" s="1">
        <v>0</v>
      </c>
      <c r="I8518" s="1" t="s">
        <v>16756</v>
      </c>
      <c r="K8518" s="1" t="str">
        <f t="shared" si="536"/>
        <v>ㄒ</v>
      </c>
      <c r="L8518" s="1" t="str">
        <f t="shared" si="537"/>
        <v>ㄧ</v>
      </c>
      <c r="M8518" s="1" t="str">
        <f t="shared" si="535"/>
        <v>ㄡ</v>
      </c>
      <c r="P8518" s="1" t="s">
        <v>20</v>
      </c>
      <c r="R8518" s="1" t="s">
        <v>16757</v>
      </c>
      <c r="V8518" s="1" t="s">
        <v>16762</v>
      </c>
      <c r="AR8518" s="1" t="str">
        <f t="shared" si="538"/>
        <v>| [ㄒㄧㄡˋ](ㄒㄧㄡˋ.md) | [岫](岫.md) |  | xiù | [名]_x000D_
1.山洞、岩洞。晉．嵇康〈幽憤〉詩：「採薇山阿，散髮巖岫。永嘯長吟，頤性養壽。」晉．張協〈雜詩〉一〇首之九：「荒庭寂以閉，幽岫峭且深。」_x000D_
2.峰巒。晉．陶淵明〈歸去來辭〉：「雲無心以出岫，鳥倦飛而知還。」南朝齊．謝朓〈郡內高齋閑坐答呂法曹詩〉：「窗中列遠岫，庭際俯喬林。」唐．杜甫〈江梅〉詩：「故園不可見，巫岫鬱嵯峨。」 |</v>
      </c>
    </row>
    <row r="8519" spans="1:44" hidden="1">
      <c r="A8519" s="1" t="s">
        <v>16763</v>
      </c>
      <c r="C8519" s="1">
        <v>1</v>
      </c>
      <c r="D8519" s="1" t="str">
        <f>"07055"</f>
        <v>07055</v>
      </c>
      <c r="E8519" s="1" t="s">
        <v>340</v>
      </c>
      <c r="F8519" s="1">
        <v>11</v>
      </c>
      <c r="G8519" s="1">
        <v>5</v>
      </c>
      <c r="H8519" s="1">
        <v>0</v>
      </c>
      <c r="I8519" s="1" t="s">
        <v>16756</v>
      </c>
      <c r="K8519" s="1" t="str">
        <f t="shared" si="536"/>
        <v>ㄒ</v>
      </c>
      <c r="L8519" s="1" t="str">
        <f t="shared" si="537"/>
        <v>ㄧ</v>
      </c>
      <c r="M8519" s="1" t="str">
        <f t="shared" si="535"/>
        <v>ㄡ</v>
      </c>
      <c r="P8519" s="1" t="s">
        <v>20</v>
      </c>
      <c r="R8519" s="1" t="s">
        <v>16757</v>
      </c>
      <c r="V8519" s="1" t="s">
        <v>16764</v>
      </c>
      <c r="AR8519" s="1" t="str">
        <f t="shared" si="538"/>
        <v>| [ㄒㄧㄡˋ](ㄒㄧㄡˋ.md) | [袖](袖.md) |  | xiù | [名]_x000D_
衣服套在胳膊的部分。如：「袖子」。《韓非子．五蠹》：「長袖善舞。」三國魏．曹植〈美女篇〉：「攘袖見素手，皓腕約金環。」_x000D_
[動]_x000D_
把東西藏在袖子裡。《史記．卷七七．魏公子列傳》：「朱亥袖四十斤鐵椎，椎殺晉鄙。」唐．韓愈〈試大理評事王君墓誌銘〉：「我得一卷書，麤若告身者，我袖以往，翁見未必視。」 |</v>
      </c>
    </row>
    <row r="8520" spans="1:44" hidden="1">
      <c r="A8520" s="1" t="s">
        <v>16765</v>
      </c>
      <c r="C8520" s="1">
        <v>1</v>
      </c>
      <c r="D8520" s="1" t="str">
        <f>"07056"</f>
        <v>07056</v>
      </c>
      <c r="E8520" s="1" t="s">
        <v>7438</v>
      </c>
      <c r="F8520" s="1">
        <v>10</v>
      </c>
      <c r="G8520" s="1">
        <v>4</v>
      </c>
      <c r="H8520" s="1">
        <v>2</v>
      </c>
      <c r="I8520" s="1" t="s">
        <v>16756</v>
      </c>
      <c r="K8520" s="1" t="str">
        <f t="shared" si="536"/>
        <v>ㄒ</v>
      </c>
      <c r="L8520" s="1" t="str">
        <f t="shared" si="537"/>
        <v>ㄧ</v>
      </c>
      <c r="M8520" s="1" t="str">
        <f t="shared" si="535"/>
        <v>ㄡ</v>
      </c>
      <c r="P8520" s="1" t="s">
        <v>20</v>
      </c>
      <c r="R8520" s="1" t="s">
        <v>16757</v>
      </c>
      <c r="V8520" s="1" t="s">
        <v>16766</v>
      </c>
      <c r="W8520" s="1" t="s">
        <v>16767</v>
      </c>
      <c r="AR8520" s="1" t="str">
        <f t="shared" si="538"/>
        <v>| [ㄒㄧㄡˋ](ㄒㄧㄡˋ.md) | [臭](臭.md) |  | xiù | [名]
氣味。如：「水是一種無色無臭的液體。」《易經．繫辭上》：「其臭如蘭。」
[動]
聞。通「嗅」。《荀子．禮論》：「三臭之，不食也。」 |</v>
      </c>
    </row>
    <row r="8521" spans="1:44" hidden="1">
      <c r="A8521" s="1" t="s">
        <v>16768</v>
      </c>
      <c r="C8521" s="1">
        <v>1</v>
      </c>
      <c r="D8521" s="1" t="str">
        <f>"07057"</f>
        <v>07057</v>
      </c>
      <c r="E8521" s="1" t="s">
        <v>129</v>
      </c>
      <c r="F8521" s="1">
        <v>13</v>
      </c>
      <c r="G8521" s="1">
        <v>10</v>
      </c>
      <c r="H8521" s="1">
        <v>0</v>
      </c>
      <c r="I8521" s="1" t="s">
        <v>16756</v>
      </c>
      <c r="K8521" s="1" t="str">
        <f t="shared" si="536"/>
        <v>ㄒ</v>
      </c>
      <c r="L8521" s="1" t="str">
        <f t="shared" si="537"/>
        <v>ㄧ</v>
      </c>
      <c r="M8521" s="1" t="str">
        <f t="shared" si="535"/>
        <v>ㄡ</v>
      </c>
      <c r="P8521" s="1" t="s">
        <v>20</v>
      </c>
      <c r="R8521" s="1" t="s">
        <v>16757</v>
      </c>
      <c r="V8521" s="1" t="s">
        <v>16769</v>
      </c>
      <c r="AR8521" s="1" t="str">
        <f t="shared" si="538"/>
        <v>| [ㄒㄧㄡˋ](ㄒㄧㄡˋ.md) | [溴](溴.md) |  | xiù | [名]
（bromine，Br）化學元素。原子序35。非金屬元素之一。屬於鹵素。深紅棕色液體，具毒性及刺激性，能腐蝕皮膚與黏膜。化性活潑，常與大部分元素化合。可用來製造藥物、染料等。 |</v>
      </c>
    </row>
    <row r="8522" spans="1:44" hidden="1">
      <c r="A8522" s="1" t="s">
        <v>16770</v>
      </c>
      <c r="C8522" s="1">
        <v>1</v>
      </c>
      <c r="D8522" s="1" t="str">
        <f>"07058"</f>
        <v>07058</v>
      </c>
      <c r="E8522" s="1" t="s">
        <v>28</v>
      </c>
      <c r="F8522" s="1">
        <v>13</v>
      </c>
      <c r="G8522" s="1">
        <v>10</v>
      </c>
      <c r="H8522" s="1">
        <v>0</v>
      </c>
      <c r="I8522" s="1" t="s">
        <v>16756</v>
      </c>
      <c r="K8522" s="1" t="str">
        <f t="shared" si="536"/>
        <v>ㄒ</v>
      </c>
      <c r="L8522" s="1" t="str">
        <f t="shared" si="537"/>
        <v>ㄧ</v>
      </c>
      <c r="M8522" s="1" t="str">
        <f t="shared" si="535"/>
        <v>ㄡ</v>
      </c>
      <c r="P8522" s="1" t="s">
        <v>20</v>
      </c>
      <c r="R8522" s="1" t="s">
        <v>16757</v>
      </c>
      <c r="V8522" s="1" t="s">
        <v>16771</v>
      </c>
      <c r="AR8522" s="1" t="str">
        <f t="shared" si="538"/>
        <v>| [ㄒㄧㄡˋ](ㄒㄧㄡˋ.md) | [嗅](嗅.md) |  | xiù | [動]
用鼻子聞氣味。《莊子．人間世》：「嗅之，則使人狂酲，三日而不已。」宋．蘇軾．次韻子由所居六詠．之四：「何以娛醉客，時嗅砌下花。」 |</v>
      </c>
    </row>
    <row r="8523" spans="1:44" hidden="1">
      <c r="A8523" s="1" t="s">
        <v>16772</v>
      </c>
      <c r="C8523" s="1">
        <v>1</v>
      </c>
      <c r="D8523" s="1" t="str">
        <f>"07059"</f>
        <v>07059</v>
      </c>
      <c r="E8523" s="1" t="s">
        <v>1372</v>
      </c>
      <c r="F8523" s="1">
        <v>14</v>
      </c>
      <c r="G8523" s="1">
        <v>10</v>
      </c>
      <c r="H8523" s="1">
        <v>2</v>
      </c>
      <c r="I8523" s="1" t="s">
        <v>16756</v>
      </c>
      <c r="K8523" s="1" t="str">
        <f t="shared" si="536"/>
        <v>ㄒ</v>
      </c>
      <c r="L8523" s="1" t="str">
        <f t="shared" si="537"/>
        <v>ㄧ</v>
      </c>
      <c r="M8523" s="1" t="str">
        <f t="shared" si="535"/>
        <v>ㄡ</v>
      </c>
      <c r="P8523" s="1" t="s">
        <v>110</v>
      </c>
      <c r="R8523" s="1" t="s">
        <v>16757</v>
      </c>
      <c r="V8523" s="1" t="s">
        <v>111</v>
      </c>
      <c r="W8523" s="1" t="s">
        <v>16773</v>
      </c>
      <c r="AR8523" s="1" t="str">
        <f t="shared" si="538"/>
        <v>| [ㄒㄧㄡˋ](ㄒㄧㄡˋ.md) | [殠](殠.md) |  | xiù | (一)之又音。 |</v>
      </c>
    </row>
    <row r="8524" spans="1:44" hidden="1">
      <c r="A8524" s="1" t="s">
        <v>16750</v>
      </c>
      <c r="C8524" s="1">
        <v>1</v>
      </c>
      <c r="D8524" s="1" t="str">
        <f>"07060"</f>
        <v>07060</v>
      </c>
      <c r="E8524" s="1" t="s">
        <v>624</v>
      </c>
      <c r="F8524" s="1">
        <v>11</v>
      </c>
      <c r="G8524" s="1">
        <v>8</v>
      </c>
      <c r="H8524" s="1">
        <v>2</v>
      </c>
      <c r="I8524" s="1" t="s">
        <v>16756</v>
      </c>
      <c r="K8524" s="1" t="str">
        <f t="shared" si="536"/>
        <v>ㄒ</v>
      </c>
      <c r="L8524" s="1" t="str">
        <f t="shared" si="537"/>
        <v>ㄧ</v>
      </c>
      <c r="M8524" s="1" t="str">
        <f t="shared" si="535"/>
        <v>ㄡ</v>
      </c>
      <c r="P8524" s="1" t="s">
        <v>20</v>
      </c>
      <c r="R8524" s="1" t="s">
        <v>16757</v>
      </c>
      <c r="V8524" s="1" t="s">
        <v>16774</v>
      </c>
      <c r="W8524" s="1" t="s">
        <v>16775</v>
      </c>
      <c r="AR8524" s="1" t="str">
        <f t="shared" si="538"/>
        <v>| [ㄒㄧㄡˋ](ㄒㄧㄡˋ.md) | [宿](宿.md) |  | xiù | [名]
星座。如：「星宿」、「二十八宿」。漢．王充《論衡．祀義》：「天有列宿，地有宅舍。」 |</v>
      </c>
    </row>
    <row r="8525" spans="1:44" hidden="1">
      <c r="A8525" s="1" t="s">
        <v>16776</v>
      </c>
      <c r="C8525" s="1">
        <v>1</v>
      </c>
      <c r="D8525" s="1" t="str">
        <f>"07061"</f>
        <v>07061</v>
      </c>
      <c r="E8525" s="1" t="s">
        <v>340</v>
      </c>
      <c r="F8525" s="1">
        <v>15</v>
      </c>
      <c r="G8525" s="1">
        <v>9</v>
      </c>
      <c r="H8525" s="1">
        <v>2</v>
      </c>
      <c r="I8525" s="1" t="s">
        <v>16756</v>
      </c>
      <c r="K8525" s="1" t="str">
        <f t="shared" si="536"/>
        <v>ㄒ</v>
      </c>
      <c r="L8525" s="1" t="str">
        <f t="shared" si="537"/>
        <v>ㄧ</v>
      </c>
      <c r="M8525" s="1" t="str">
        <f t="shared" si="535"/>
        <v>ㄡ</v>
      </c>
      <c r="P8525" s="1" t="s">
        <v>20</v>
      </c>
      <c r="R8525" s="1" t="s">
        <v>16757</v>
      </c>
      <c r="V8525" s="1" t="s">
        <v>16777</v>
      </c>
      <c r="W8525" s="1" t="s">
        <v>16778</v>
      </c>
      <c r="AR8525" s="1" t="str">
        <f t="shared" si="538"/>
        <v>| [ㄒㄧㄡˋ](ㄒㄧㄡˋ.md) | [褎](褎.md) |  | xiù | [名]
衣袖。《說文解字．衣部》：「褎，袂也。」《詩經．唐風．羔裘》：「羔裘豹褎，自我人究究。」 |</v>
      </c>
    </row>
    <row r="8526" spans="1:44" hidden="1">
      <c r="A8526" s="1" t="s">
        <v>16779</v>
      </c>
      <c r="C8526" s="1">
        <v>1</v>
      </c>
      <c r="D8526" s="1" t="str">
        <f>"07062"</f>
        <v>07062</v>
      </c>
      <c r="E8526" s="1" t="s">
        <v>725</v>
      </c>
      <c r="F8526" s="1">
        <v>18</v>
      </c>
      <c r="G8526" s="1">
        <v>12</v>
      </c>
      <c r="H8526" s="1">
        <v>0</v>
      </c>
      <c r="I8526" s="1" t="s">
        <v>16756</v>
      </c>
      <c r="K8526" s="1" t="str">
        <f t="shared" si="536"/>
        <v>ㄒ</v>
      </c>
      <c r="L8526" s="1" t="str">
        <f t="shared" si="537"/>
        <v>ㄧ</v>
      </c>
      <c r="M8526" s="1" t="str">
        <f t="shared" si="535"/>
        <v>ㄡ</v>
      </c>
      <c r="P8526" s="1" t="s">
        <v>20</v>
      </c>
      <c r="R8526" s="1" t="s">
        <v>16757</v>
      </c>
      <c r="V8526" s="1" t="s">
        <v>16780</v>
      </c>
      <c r="AR8526" s="1" t="str">
        <f t="shared" si="538"/>
        <v>| [ㄒㄧㄡˋ](ㄒㄧㄡˋ.md) | [繡](繡.md) |  | xiù | [名]
1.刺有各種彩色花紋的絲織品。如：「湘繡」、「蘇繡」。《史記．卷一一〇．匈奴傳》：「繡十匹，錦三十匹。」
2.姓。如漢代有繡君實。
[動]
用彩色絲線在綢緞上刺上各種花紋。如：「刺繡」、「繡一個荷包。」唐．李白〈贈裴司馬〉詩：「翡翠黃金縷，繡成歌舞衣。」
[形]
1.刺有彩紋的。如：「繡帽」、「繡帳」。唐．陸龜蒙〈陌上桑〉詩：「鄰娃盡著繡襠襦，獨自提筐採蠶葉。」
2.華麗精美的。《南史．卷一二．后妃傳．論曰》：「花梁繡柱。」 |</v>
      </c>
    </row>
    <row r="8527" spans="1:44" hidden="1">
      <c r="A8527" s="1" t="s">
        <v>16781</v>
      </c>
      <c r="C8527" s="1">
        <v>1</v>
      </c>
      <c r="D8527" s="1" t="str">
        <f>"07063"</f>
        <v>07063</v>
      </c>
      <c r="E8527" s="1" t="s">
        <v>55</v>
      </c>
      <c r="F8527" s="1">
        <v>20</v>
      </c>
      <c r="G8527" s="1">
        <v>12</v>
      </c>
      <c r="H8527" s="1">
        <v>0</v>
      </c>
      <c r="I8527" s="1" t="s">
        <v>16756</v>
      </c>
      <c r="K8527" s="1" t="str">
        <f t="shared" si="536"/>
        <v>ㄒ</v>
      </c>
      <c r="L8527" s="1" t="str">
        <f t="shared" si="537"/>
        <v>ㄧ</v>
      </c>
      <c r="M8527" s="1" t="str">
        <f t="shared" si="535"/>
        <v>ㄡ</v>
      </c>
      <c r="P8527" s="1" t="s">
        <v>20</v>
      </c>
      <c r="R8527" s="1" t="s">
        <v>16757</v>
      </c>
      <c r="V8527" s="1" t="s">
        <v>16782</v>
      </c>
      <c r="AR8527" s="1" t="str">
        <f t="shared" si="538"/>
        <v>| [ㄒㄧㄡˋ](ㄒㄧㄡˋ.md) | [鏽](鏽.md) |  | xiù | [名]
金屬表面所生的氧化物。如：「鐵鏽」、「銅鏽」。
[動]
1.生鏽。《清史稿．卷一四〇．兵志十一》：「機器今已到鄂，置閒必至鏽壞。」
2.恭敬。通「肅」。《墨子．非樂上》：「大人鏽然奏而獨聽之，將何樂得焉哉。」 |</v>
      </c>
    </row>
    <row r="8528" spans="1:44" hidden="1">
      <c r="A8528" s="1" t="s">
        <v>16783</v>
      </c>
      <c r="C8528" s="1">
        <v>1</v>
      </c>
      <c r="D8528" s="1" t="str">
        <f>"07064"</f>
        <v>07064</v>
      </c>
      <c r="E8528" s="1" t="s">
        <v>114</v>
      </c>
      <c r="F8528" s="1">
        <v>5</v>
      </c>
      <c r="G8528" s="1">
        <v>3</v>
      </c>
      <c r="H8528" s="1">
        <v>0</v>
      </c>
      <c r="I8528" s="1" t="s">
        <v>16784</v>
      </c>
      <c r="K8528" s="1" t="str">
        <f t="shared" si="536"/>
        <v>ㄒ</v>
      </c>
      <c r="L8528" s="1" t="str">
        <f t="shared" si="537"/>
        <v>ㄧ</v>
      </c>
      <c r="M8528" s="1" t="str">
        <f t="shared" si="535"/>
        <v>ㄢ</v>
      </c>
      <c r="P8528" s="1" t="s">
        <v>20</v>
      </c>
      <c r="R8528" s="1" t="s">
        <v>16785</v>
      </c>
      <c r="V8528" s="1" t="s">
        <v>16786</v>
      </c>
      <c r="AR8528" s="1" t="str">
        <f t="shared" si="538"/>
        <v>| [ㄒㄧㄢ](ㄒㄧㄢ.md) | [仙](仙.md) |  | xiān | [名]
1.經修煉後長生不老、超脫塵俗的人。如：「神仙」、「八仙過海」、「修道成仙」。唐．李白〈廬山謠寄盧侍御虛舟〉詩：「五嶽尋仙不辭遠，一生好入名山遊。」
2.性情或行為超凡不俗的人。如：「詩仙」、「劍仙」。唐．杜甫．〈飲中八僊歌〉：「天子呼來不上船，自稱臣是酒中仙。」
3.姓。如宋代有仙源明。
[形]
1.神仙的、仙人的。如：「仙宮」、「仙居」、「仙丹」。《文選．張衡．西京賦》：「含利颬颬，化為仙車。」
2.輕飄、輕盈。《文選．何敬祖．雜詩》：「心虛體自輕，飄颻若仙步。」唐．杜甫〈覽鏡呈柏中丞〉詩：「起晚堪從事，行遲更覺仙。」
3.超俗不凡。如：「仙容」、「仙品」、「仙才」。唐．白居易〈琵琶行〉：「今夜聞君琵琶語，如聽仙樂耳暫明。」
[副]
稱死的婉辭。如：「仙化」、「仙去」、「仙逝」。 |</v>
      </c>
    </row>
    <row r="8529" spans="1:44" hidden="1">
      <c r="A8529" s="1" t="s">
        <v>16787</v>
      </c>
      <c r="C8529" s="1">
        <v>1</v>
      </c>
      <c r="D8529" s="1" t="str">
        <f>"07065"</f>
        <v>07065</v>
      </c>
      <c r="E8529" s="1" t="s">
        <v>2228</v>
      </c>
      <c r="F8529" s="1">
        <v>7</v>
      </c>
      <c r="G8529" s="1">
        <v>3</v>
      </c>
      <c r="H8529" s="1">
        <v>0</v>
      </c>
      <c r="I8529" s="1" t="s">
        <v>16784</v>
      </c>
      <c r="K8529" s="1" t="str">
        <f t="shared" si="536"/>
        <v>ㄒ</v>
      </c>
      <c r="L8529" s="1" t="str">
        <f t="shared" si="537"/>
        <v>ㄧ</v>
      </c>
      <c r="M8529" s="1" t="str">
        <f t="shared" si="535"/>
        <v>ㄢ</v>
      </c>
      <c r="P8529" s="1" t="s">
        <v>20</v>
      </c>
      <c r="R8529" s="1" t="s">
        <v>16785</v>
      </c>
      <c r="V8529" s="1" t="s">
        <v>16788</v>
      </c>
      <c r="AR8529" s="1" t="str">
        <f t="shared" si="538"/>
        <v>| [ㄒㄧㄢ](ㄒㄧㄢ.md) | [氙](氙.md) |  | xiān | [名]
（xenon，Xe）化學元素。原子序54。一種稀有的鈍氣元素。化性極不活潑，但能與氟、氧形成化合物。無色無臭，在空氣中含量極微，具有極高的感光性，可用作燈管、放電管等的填充劑。 |</v>
      </c>
    </row>
    <row r="8530" spans="1:44" hidden="1">
      <c r="A8530" s="1" t="s">
        <v>16789</v>
      </c>
      <c r="C8530" s="1">
        <v>1</v>
      </c>
      <c r="D8530" s="1" t="str">
        <f>"07066"</f>
        <v>07066</v>
      </c>
      <c r="E8530" s="1" t="s">
        <v>429</v>
      </c>
      <c r="F8530" s="1">
        <v>8</v>
      </c>
      <c r="G8530" s="1">
        <v>3</v>
      </c>
      <c r="H8530" s="1">
        <v>0</v>
      </c>
      <c r="I8530" s="1" t="s">
        <v>16784</v>
      </c>
      <c r="K8530" s="1" t="str">
        <f t="shared" si="536"/>
        <v>ㄒ</v>
      </c>
      <c r="L8530" s="1" t="str">
        <f t="shared" si="537"/>
        <v>ㄧ</v>
      </c>
      <c r="M8530" s="1" t="str">
        <f t="shared" si="535"/>
        <v>ㄢ</v>
      </c>
      <c r="P8530" s="1" t="s">
        <v>20</v>
      </c>
      <c r="R8530" s="1" t="s">
        <v>16785</v>
      </c>
      <c r="V8530" s="1" t="s">
        <v>16790</v>
      </c>
      <c r="AR8530" s="1" t="str">
        <f t="shared" si="538"/>
        <v>| [ㄒㄧㄢ](ㄒㄧㄢ.md) | [秈](秈.md) |  | xiān | [名]
一種稻米類型。葉片較寬大且長，色淡綠，莖稈較高。穀粒呈細長或扁形，穎上細毛少而短，米飯煮起來較為乾硬。秈稻一般學術上稱為「印度型稻」，其直鏈性澱粉在百分之二十五以上。臺灣俗稱的「在來米」，即屬於秈稻類型的米。 |</v>
      </c>
    </row>
    <row r="8531" spans="1:44" hidden="1">
      <c r="A8531" s="1" t="s">
        <v>16791</v>
      </c>
      <c r="C8531" s="1">
        <v>1</v>
      </c>
      <c r="D8531" s="1" t="str">
        <f>"07067"</f>
        <v>07067</v>
      </c>
      <c r="E8531" s="1" t="s">
        <v>3581</v>
      </c>
      <c r="F8531" s="1">
        <v>6</v>
      </c>
      <c r="G8531" s="1">
        <v>4</v>
      </c>
      <c r="H8531" s="1">
        <v>1</v>
      </c>
      <c r="I8531" s="1" t="s">
        <v>16784</v>
      </c>
      <c r="K8531" s="1" t="str">
        <f t="shared" si="536"/>
        <v>ㄒ</v>
      </c>
      <c r="L8531" s="1" t="str">
        <f t="shared" si="537"/>
        <v>ㄧ</v>
      </c>
      <c r="M8531" s="1" t="str">
        <f t="shared" si="535"/>
        <v>ㄢ</v>
      </c>
      <c r="P8531" s="1" t="s">
        <v>20</v>
      </c>
      <c r="R8531" s="1" t="s">
        <v>16785</v>
      </c>
      <c r="V8531" s="1" t="s">
        <v>16792</v>
      </c>
      <c r="W8531" s="1" t="s">
        <v>16793</v>
      </c>
      <c r="AR8531" s="1" t="str">
        <f t="shared" si="538"/>
        <v>| [ㄒㄧㄢ](ㄒㄧㄢ.md) | [先](先.md) |  | xiān | [名]
1.祖先。《文選．司馬遷．報任少卿書》：「行莫醜於辱先，詬莫大於宮刑。」
2.首要的事務。《禮記．學記》：「建國君民，教學為先。」
3.原先、先前。《紅樓夢》第七二回：「這兩日比先又添了些病，所以支持不住。」
4.先生的簡稱。《漢書．卷六七．梅福傳》：「夫叔孫先非不忠也。」
5.姓。如春秋時晉國有先軫。
[形]
對已去世者的尊稱。如：「先父」、「先人」、「先聖先賢」、「革命先烈」。
[副]
1.時間或次序在前。如：「先發制人」、「近水樓臺先得月」。《論語．衛靈公》：「工欲善其事，必先利其器。」宋．蘇軾〈惠崇春江晚景〉詩二首之一：「春江水暖鴨先知。」
2.暫時。如：「你先不要慌，我們慢慢想辦法來解決。」
[動]
1.倡導、先行。《論語．子路》：「衛君待子而為政，子將奚先？」《文選．曹植．求自試表》：「突刃觸鋒，為士卒先。」
2.時間居前。唐．韓愈〈師說〉：「生乎吾前，其聞道也，固先乎吾，吾從而師之。」
3.事前聯繫、介紹。《漢書．卷四三．酈食其傳》：「此真吾所願從游，莫為我先。」 |</v>
      </c>
    </row>
    <row r="8532" spans="1:44" hidden="1">
      <c r="A8532" s="1" t="s">
        <v>16794</v>
      </c>
      <c r="C8532" s="1">
        <v>1</v>
      </c>
      <c r="D8532" s="1" t="str">
        <f>"07068"</f>
        <v>07068</v>
      </c>
      <c r="E8532" s="1" t="s">
        <v>250</v>
      </c>
      <c r="F8532" s="1">
        <v>7</v>
      </c>
      <c r="G8532" s="1">
        <v>4</v>
      </c>
      <c r="H8532" s="1">
        <v>0</v>
      </c>
      <c r="I8532" s="1" t="s">
        <v>16784</v>
      </c>
      <c r="K8532" s="1" t="str">
        <f t="shared" si="536"/>
        <v>ㄒ</v>
      </c>
      <c r="L8532" s="1" t="str">
        <f t="shared" si="537"/>
        <v>ㄧ</v>
      </c>
      <c r="M8532" s="1" t="str">
        <f t="shared" si="535"/>
        <v>ㄢ</v>
      </c>
      <c r="P8532" s="1" t="s">
        <v>20</v>
      </c>
      <c r="R8532" s="1" t="s">
        <v>16785</v>
      </c>
      <c r="V8532" s="1" t="s">
        <v>16795</v>
      </c>
      <c r="AR8532" s="1" t="str">
        <f t="shared" si="538"/>
        <v>| [ㄒㄧㄢ](ㄒㄧㄢ.md) | [忺](忺.md) |  | xiān | [動]_x000D_
1.欲、想要。宋．李清照〈聲聲慢．尋尋覓覓〉詞：「滿地黃花堆積，憔悴損，如今有誰忺摘。」《清平山堂話本．簡貼和尚》：「淡畫眉兒斜插梳，不忺拈弄繡工夫。」_x000D_
2.喜悅、高興。唐．韋應物〈寄二嚴〉詩：「絲竹久已懶，今日遇君忺。」 |</v>
      </c>
    </row>
    <row r="8533" spans="1:44" hidden="1">
      <c r="A8533" s="1" t="s">
        <v>16796</v>
      </c>
      <c r="C8533" s="1">
        <v>1</v>
      </c>
      <c r="D8533" s="1" t="str">
        <f>"07069"</f>
        <v>07069</v>
      </c>
      <c r="E8533" s="1" t="s">
        <v>139</v>
      </c>
      <c r="F8533" s="1">
        <v>8</v>
      </c>
      <c r="G8533" s="1">
        <v>4</v>
      </c>
      <c r="H8533" s="1">
        <v>0</v>
      </c>
      <c r="I8533" s="1" t="s">
        <v>16784</v>
      </c>
      <c r="K8533" s="1" t="str">
        <f t="shared" si="536"/>
        <v>ㄒ</v>
      </c>
      <c r="L8533" s="1" t="str">
        <f t="shared" si="537"/>
        <v>ㄧ</v>
      </c>
      <c r="M8533" s="1" t="str">
        <f t="shared" si="535"/>
        <v>ㄢ</v>
      </c>
      <c r="P8533" s="1" t="s">
        <v>20</v>
      </c>
      <c r="R8533" s="1" t="s">
        <v>16785</v>
      </c>
      <c r="V8533" s="1" t="s">
        <v>16797</v>
      </c>
      <c r="AR8533" s="1" t="str">
        <f t="shared" si="538"/>
        <v>| [ㄒㄧㄢ](ㄒㄧㄢ.md) | [杴](杴.md) |  | xiān | [名]
一種農具。似鍬，前端方闊。有鐵杴，用於耕土；木杴，用於拌散肥料或鏟取穀物。明．徐光啟《農政全書．卷二一．農器．圖譜一》：「杴，臿屬。但其首方闊，柄無短拐，此與鍬臿異也。鍛鐵為首，謂之鐵杴，惟宜土工。剡木為首，謂之木杴，可㩍穀物。又有鐵刃木杴，裁割田間塍埂。」 |</v>
      </c>
    </row>
    <row r="8534" spans="1:44" hidden="1">
      <c r="A8534" s="1" t="s">
        <v>16798</v>
      </c>
      <c r="C8534" s="1">
        <v>1</v>
      </c>
      <c r="D8534" s="1" t="str">
        <f>"07070"</f>
        <v>07070</v>
      </c>
      <c r="E8534" s="1" t="s">
        <v>24</v>
      </c>
      <c r="F8534" s="1">
        <v>11</v>
      </c>
      <c r="G8534" s="1">
        <v>8</v>
      </c>
      <c r="H8534" s="1">
        <v>0</v>
      </c>
      <c r="I8534" s="1" t="s">
        <v>16784</v>
      </c>
      <c r="K8534" s="1" t="str">
        <f t="shared" si="536"/>
        <v>ㄒ</v>
      </c>
      <c r="L8534" s="1" t="str">
        <f t="shared" si="537"/>
        <v>ㄧ</v>
      </c>
      <c r="M8534" s="1" t="str">
        <f t="shared" si="535"/>
        <v>ㄢ</v>
      </c>
      <c r="P8534" s="1" t="s">
        <v>20</v>
      </c>
      <c r="R8534" s="1" t="s">
        <v>16785</v>
      </c>
      <c r="V8534" s="1" t="s">
        <v>16799</v>
      </c>
      <c r="AR8534" s="1" t="str">
        <f t="shared" si="538"/>
        <v>| [ㄒㄧㄢ](ㄒㄧㄢ.md) | [掀](掀.md) |  | xiān | [動]
1.舉起、揭開、打開。如：「掀窗簾」、「掀開鍋蓋」、「掀起蓋頭。」《左傳．成公十六年》：「乃掀公以出於淖。」《紅樓夢》第六〇回：「連忙上前來打簾子，將掀起時，只見芳官自外帶笑跑出。」
2.吹翻、翻動。如：「颱風把屋頂都掀了。」唐．白居易〈風雨晚泊〉詩：「青苔撲地連春雨，白浪掀天盡日風。」宋．陸游〈幽事絕句〉六首之三：「昨夕風掀屋，今朝雨壞牆。」
3.拋甩。如：「掀下馬來。」《儒林外史》第四七回：「當下叫小廝搬出三十錠大元寶來，望桌上一掀。」
[形]
翹。如：「掀尾」。《三國演義》第五七回：「權見其人濃眉掀鼻，黑面短髯，形容古怪，心中不喜。」 |</v>
      </c>
    </row>
    <row r="8535" spans="1:44" hidden="1">
      <c r="A8535" s="1" t="s">
        <v>16800</v>
      </c>
      <c r="C8535" s="1">
        <v>1</v>
      </c>
      <c r="D8535" s="1" t="str">
        <f>"07071"</f>
        <v>07071</v>
      </c>
      <c r="E8535" s="1" t="s">
        <v>534</v>
      </c>
      <c r="F8535" s="1">
        <v>8</v>
      </c>
      <c r="G8535" s="1">
        <v>5</v>
      </c>
      <c r="H8535" s="1">
        <v>2</v>
      </c>
      <c r="I8535" s="1" t="s">
        <v>16784</v>
      </c>
      <c r="K8535" s="1" t="str">
        <f t="shared" si="536"/>
        <v>ㄒ</v>
      </c>
      <c r="L8535" s="1" t="str">
        <f t="shared" si="537"/>
        <v>ㄧ</v>
      </c>
      <c r="M8535" s="1" t="str">
        <f t="shared" si="535"/>
        <v>ㄢ</v>
      </c>
      <c r="P8535" s="1" t="s">
        <v>110</v>
      </c>
      <c r="R8535" s="1" t="s">
        <v>16785</v>
      </c>
      <c r="V8535" s="1" t="s">
        <v>111</v>
      </c>
      <c r="W8535" s="1" t="s">
        <v>16801</v>
      </c>
      <c r="AR8535" s="1" t="str">
        <f t="shared" si="538"/>
        <v>| [ㄒㄧㄢ](ㄒㄧㄢ.md) | [姍](姍.md) |  | xiān | (一)之又音。 |</v>
      </c>
    </row>
    <row r="8536" spans="1:44" hidden="1">
      <c r="A8536" s="1" t="s">
        <v>16802</v>
      </c>
      <c r="C8536" s="1">
        <v>1</v>
      </c>
      <c r="D8536" s="1" t="str">
        <f>"07072"</f>
        <v>07072</v>
      </c>
      <c r="E8536" s="1" t="s">
        <v>825</v>
      </c>
      <c r="F8536" s="1">
        <v>9</v>
      </c>
      <c r="G8536" s="1">
        <v>4</v>
      </c>
      <c r="H8536" s="1">
        <v>0</v>
      </c>
      <c r="I8536" s="1" t="s">
        <v>16784</v>
      </c>
      <c r="K8536" s="1" t="str">
        <f t="shared" si="536"/>
        <v>ㄒ</v>
      </c>
      <c r="L8536" s="1" t="str">
        <f t="shared" si="537"/>
        <v>ㄧ</v>
      </c>
      <c r="M8536" s="1" t="str">
        <f t="shared" si="535"/>
        <v>ㄢ</v>
      </c>
      <c r="P8536" s="1" t="s">
        <v>20</v>
      </c>
      <c r="R8536" s="1" t="s">
        <v>16785</v>
      </c>
      <c r="V8536" s="1" t="s">
        <v>16803</v>
      </c>
      <c r="AR8536" s="1" t="str">
        <f t="shared" si="538"/>
        <v>| [ㄒㄧㄢ](ㄒㄧㄢ.md) | [祆](祆.md) |  | xiān | [名]
1.參見「祆教」條。
2.祆教諸神的統稱。
3.指祆教徒。 |</v>
      </c>
    </row>
    <row r="8537" spans="1:44" hidden="1">
      <c r="A8537" s="1" t="s">
        <v>16804</v>
      </c>
      <c r="C8537" s="1">
        <v>1</v>
      </c>
      <c r="D8537" s="1" t="str">
        <f>"07073"</f>
        <v>07073</v>
      </c>
      <c r="E8537" s="1" t="s">
        <v>114</v>
      </c>
      <c r="F8537" s="1">
        <v>13</v>
      </c>
      <c r="G8537" s="1">
        <v>11</v>
      </c>
      <c r="H8537" s="1">
        <v>0</v>
      </c>
      <c r="I8537" s="1" t="s">
        <v>16784</v>
      </c>
      <c r="K8537" s="1" t="str">
        <f t="shared" si="536"/>
        <v>ㄒ</v>
      </c>
      <c r="L8537" s="1" t="str">
        <f t="shared" si="537"/>
        <v>ㄧ</v>
      </c>
      <c r="M8537" s="1" t="str">
        <f t="shared" si="535"/>
        <v>ㄢ</v>
      </c>
      <c r="P8537" s="1" t="s">
        <v>20</v>
      </c>
      <c r="R8537" s="1" t="s">
        <v>16785</v>
      </c>
      <c r="V8537" s="1" t="s">
        <v>16805</v>
      </c>
      <c r="AR8537" s="1" t="str">
        <f t="shared" si="538"/>
        <v>| [ㄒㄧㄢ](ㄒㄧㄢ.md) | [僊](僊.md) |  | xiān | [名]
經修煉後長生不老的人。同「仙」。如：「成僊」、「神僊」。《洛陽伽藍記．卷一．瑤光寺》：「丹楹刻桷，圖寫列僊。」 |</v>
      </c>
    </row>
    <row r="8538" spans="1:44" hidden="1">
      <c r="A8538" s="1" t="s">
        <v>16806</v>
      </c>
      <c r="C8538" s="1">
        <v>1</v>
      </c>
      <c r="D8538" s="1" t="str">
        <f>"07074"</f>
        <v>07074</v>
      </c>
      <c r="E8538" s="1" t="s">
        <v>340</v>
      </c>
      <c r="F8538" s="1">
        <v>17</v>
      </c>
      <c r="G8538" s="1">
        <v>11</v>
      </c>
      <c r="H8538" s="1">
        <v>0</v>
      </c>
      <c r="I8538" s="1" t="s">
        <v>16784</v>
      </c>
      <c r="K8538" s="1" t="str">
        <f t="shared" si="536"/>
        <v>ㄒ</v>
      </c>
      <c r="L8538" s="1" t="str">
        <f t="shared" si="537"/>
        <v>ㄧ</v>
      </c>
      <c r="M8538" s="1" t="str">
        <f t="shared" si="535"/>
        <v>ㄢ</v>
      </c>
      <c r="P8538" s="1" t="s">
        <v>20</v>
      </c>
      <c r="R8538" s="1" t="s">
        <v>16785</v>
      </c>
      <c r="V8538" s="1" t="s">
        <v>2363</v>
      </c>
      <c r="AR8538" s="1" t="str">
        <f t="shared" si="538"/>
        <v>| [ㄒㄧㄢ](ㄒㄧㄢ.md) | [褼](褼.md) |  | xiān | 參見「褊褼」條。 |</v>
      </c>
    </row>
    <row r="8539" spans="1:44" hidden="1">
      <c r="A8539" s="1" t="s">
        <v>16807</v>
      </c>
      <c r="C8539" s="1">
        <v>1</v>
      </c>
      <c r="D8539" s="1" t="str">
        <f>"07075"</f>
        <v>07075</v>
      </c>
      <c r="E8539" s="1" t="s">
        <v>77</v>
      </c>
      <c r="F8539" s="1">
        <v>22</v>
      </c>
      <c r="G8539" s="1">
        <v>15</v>
      </c>
      <c r="H8539" s="1">
        <v>0</v>
      </c>
      <c r="I8539" s="1" t="s">
        <v>16784</v>
      </c>
      <c r="K8539" s="1" t="str">
        <f t="shared" si="536"/>
        <v>ㄒ</v>
      </c>
      <c r="L8539" s="1" t="str">
        <f t="shared" si="537"/>
        <v>ㄧ</v>
      </c>
      <c r="M8539" s="1" t="str">
        <f t="shared" si="535"/>
        <v>ㄢ</v>
      </c>
      <c r="P8539" s="1" t="s">
        <v>20</v>
      </c>
      <c r="R8539" s="1" t="s">
        <v>16785</v>
      </c>
      <c r="V8539" s="1" t="s">
        <v>16808</v>
      </c>
      <c r="AR8539" s="1" t="str">
        <f t="shared" si="538"/>
        <v>| [ㄒㄧㄢ](ㄒㄧㄢ.md) | [躚](躚.md) |  | xiān | 參見「蹁躚」、「躚躚」條。 |</v>
      </c>
    </row>
    <row r="8540" spans="1:44" hidden="1">
      <c r="A8540" s="1" t="s">
        <v>16809</v>
      </c>
      <c r="C8540" s="1">
        <v>1</v>
      </c>
      <c r="D8540" s="1" t="str">
        <f>"07076"</f>
        <v>07076</v>
      </c>
      <c r="E8540" s="1" t="s">
        <v>725</v>
      </c>
      <c r="F8540" s="1">
        <v>13</v>
      </c>
      <c r="G8540" s="1">
        <v>7</v>
      </c>
      <c r="H8540" s="1">
        <v>0</v>
      </c>
      <c r="I8540" s="1" t="s">
        <v>16784</v>
      </c>
      <c r="K8540" s="1" t="str">
        <f t="shared" si="536"/>
        <v>ㄒ</v>
      </c>
      <c r="L8540" s="1" t="str">
        <f t="shared" si="537"/>
        <v>ㄧ</v>
      </c>
      <c r="M8540" s="1" t="str">
        <f t="shared" si="535"/>
        <v>ㄢ</v>
      </c>
      <c r="P8540" s="1" t="s">
        <v>20</v>
      </c>
      <c r="R8540" s="1" t="s">
        <v>16785</v>
      </c>
      <c r="V8540" s="1" t="s">
        <v>16810</v>
      </c>
      <c r="AR8540" s="1" t="str">
        <f t="shared" si="538"/>
        <v>| [ㄒㄧㄢ](ㄒㄧㄢ.md) | [綅](綅.md) |  | xiān | [名]
黑經白緯相間的絲織品。《玉篇．糸部》：「綅，黑經白緯也。」 |</v>
      </c>
    </row>
    <row r="8541" spans="1:44" hidden="1">
      <c r="A8541" s="1" t="s">
        <v>16811</v>
      </c>
      <c r="C8541" s="1">
        <v>1</v>
      </c>
      <c r="D8541" s="1" t="str">
        <f>"07077"</f>
        <v>07077</v>
      </c>
      <c r="E8541" s="1" t="s">
        <v>28</v>
      </c>
      <c r="F8541" s="1">
        <v>14</v>
      </c>
      <c r="G8541" s="1">
        <v>11</v>
      </c>
      <c r="H8541" s="1">
        <v>0</v>
      </c>
      <c r="I8541" s="1" t="s">
        <v>16784</v>
      </c>
      <c r="K8541" s="1" t="str">
        <f t="shared" si="536"/>
        <v>ㄒ</v>
      </c>
      <c r="L8541" s="1" t="str">
        <f t="shared" si="537"/>
        <v>ㄧ</v>
      </c>
      <c r="M8541" s="1" t="str">
        <f t="shared" si="535"/>
        <v>ㄢ</v>
      </c>
      <c r="P8541" s="1" t="s">
        <v>20</v>
      </c>
      <c r="R8541" s="1" t="s">
        <v>16785</v>
      </c>
      <c r="V8541" s="1" t="s">
        <v>16812</v>
      </c>
      <c r="AR8541" s="1" t="str">
        <f t="shared" si="538"/>
        <v>| [ㄒㄧㄢ](ㄒㄧㄢ.md) | [嘕](嘕.md) |  | xiān | [副]
笑的樣子。如：「嘕然一笑」。《楚辭．屈原．大招》：「靨輔奇牙，宜笑嘕只。」 |</v>
      </c>
    </row>
    <row r="8542" spans="1:44" hidden="1">
      <c r="A8542" s="1" t="s">
        <v>16813</v>
      </c>
      <c r="C8542" s="1">
        <v>1</v>
      </c>
      <c r="D8542" s="1" t="str">
        <f>"07078"</f>
        <v>07078</v>
      </c>
      <c r="E8542" s="1" t="s">
        <v>55</v>
      </c>
      <c r="F8542" s="1">
        <v>14</v>
      </c>
      <c r="G8542" s="1">
        <v>6</v>
      </c>
      <c r="H8542" s="1">
        <v>0</v>
      </c>
      <c r="I8542" s="1" t="s">
        <v>16784</v>
      </c>
      <c r="K8542" s="1" t="str">
        <f t="shared" si="536"/>
        <v>ㄒ</v>
      </c>
      <c r="L8542" s="1" t="str">
        <f t="shared" si="537"/>
        <v>ㄧ</v>
      </c>
      <c r="M8542" s="1" t="str">
        <f t="shared" si="535"/>
        <v>ㄢ</v>
      </c>
      <c r="P8542" s="1" t="s">
        <v>20</v>
      </c>
      <c r="R8542" s="1" t="s">
        <v>16785</v>
      </c>
      <c r="V8542" s="1" t="s">
        <v>16814</v>
      </c>
      <c r="AR8542" s="1" t="str">
        <f t="shared" si="538"/>
        <v>| [ㄒㄧㄢ](ㄒㄧㄢ.md) | [銛](銛.md) |  | xiān | [名]
1.挖土的器具。段注本《說文解字．金部》：「銛，臿屬。」漢．王充《論衡．幸偶》：「或為劍戟，或為鋒銛。」
2.捕魚的器具。《廣韻．平聲．鹽韻》：「銛，《纂文》曰：『鐵有距，施竹頭以擲魚，為銛也。』」
3.姓。如宋代有銛朴翁。
[形]
鋒利、銳利。唐．元稹〈開元觀閒居酬吳士矩侍御三十韻〉：「結盟金劍重，斬魅寶刀銛。」《聊齋志異．卷二．紅玉》：「一短刀，銛利如霜。」 |</v>
      </c>
    </row>
    <row r="8543" spans="1:44" hidden="1">
      <c r="A8543" s="1" t="s">
        <v>16815</v>
      </c>
      <c r="C8543" s="1">
        <v>1</v>
      </c>
      <c r="D8543" s="1" t="str">
        <f>"07079"</f>
        <v>07079</v>
      </c>
      <c r="E8543" s="1" t="s">
        <v>250</v>
      </c>
      <c r="F8543" s="1">
        <v>16</v>
      </c>
      <c r="G8543" s="1">
        <v>13</v>
      </c>
      <c r="H8543" s="1">
        <v>0</v>
      </c>
      <c r="I8543" s="1" t="s">
        <v>16784</v>
      </c>
      <c r="K8543" s="1" t="str">
        <f t="shared" si="536"/>
        <v>ㄒ</v>
      </c>
      <c r="L8543" s="1" t="str">
        <f t="shared" si="537"/>
        <v>ㄧ</v>
      </c>
      <c r="M8543" s="1" t="str">
        <f t="shared" si="535"/>
        <v>ㄢ</v>
      </c>
      <c r="P8543" s="1" t="s">
        <v>20</v>
      </c>
      <c r="R8543" s="1" t="s">
        <v>16785</v>
      </c>
      <c r="V8543" s="1" t="s">
        <v>16816</v>
      </c>
      <c r="AR8543" s="1" t="str">
        <f t="shared" si="538"/>
        <v>| [ㄒㄧㄢ](ㄒㄧㄢ.md) | [憸](憸.md) |  | xiān | [形]
奸邪、諂佞。《書經．冏命》：「爾無昵于憸人。」唐．韓愈〈苦寒〉詩：「賢能日登御，黜彼傲與憸。」 |</v>
      </c>
    </row>
    <row r="8544" spans="1:44" hidden="1">
      <c r="A8544" s="1" t="s">
        <v>16817</v>
      </c>
      <c r="C8544" s="1">
        <v>1</v>
      </c>
      <c r="D8544" s="1" t="str">
        <f>"07080"</f>
        <v>07080</v>
      </c>
      <c r="E8544" s="1" t="s">
        <v>646</v>
      </c>
      <c r="F8544" s="1">
        <v>16</v>
      </c>
      <c r="G8544" s="1">
        <v>12</v>
      </c>
      <c r="H8544" s="1">
        <v>0</v>
      </c>
      <c r="I8544" s="1" t="s">
        <v>16784</v>
      </c>
      <c r="K8544" s="1" t="str">
        <f t="shared" si="536"/>
        <v>ㄒ</v>
      </c>
      <c r="L8544" s="1" t="str">
        <f t="shared" si="537"/>
        <v>ㄧ</v>
      </c>
      <c r="M8544" s="1" t="str">
        <f t="shared" si="535"/>
        <v>ㄢ</v>
      </c>
      <c r="P8544" s="1" t="s">
        <v>20</v>
      </c>
      <c r="R8544" s="1" t="s">
        <v>16785</v>
      </c>
      <c r="V8544" s="1" t="s">
        <v>16818</v>
      </c>
      <c r="AR8544" s="1" t="str">
        <f t="shared" si="538"/>
        <v>| [ㄒㄧㄢ](ㄒㄧㄢ.md) | [暹](暹.md) |  | xiān | [動]
日光升起。宋．王安石〈和平甫舟中望九華山〉詩二首之一：「臥送秋月沒，起看朝日暹。」
[名]
參見「暹羅」條。 |</v>
      </c>
    </row>
    <row r="8545" spans="1:44" hidden="1">
      <c r="A8545" s="1" t="s">
        <v>6225</v>
      </c>
      <c r="C8545" s="1">
        <v>1</v>
      </c>
      <c r="D8545" s="1" t="str">
        <f>"07081"</f>
        <v>07081</v>
      </c>
      <c r="E8545" s="1" t="s">
        <v>55</v>
      </c>
      <c r="F8545" s="1">
        <v>16</v>
      </c>
      <c r="G8545" s="1">
        <v>8</v>
      </c>
      <c r="H8545" s="1">
        <v>2</v>
      </c>
      <c r="I8545" s="1" t="s">
        <v>16784</v>
      </c>
      <c r="K8545" s="1" t="str">
        <f t="shared" si="536"/>
        <v>ㄒ</v>
      </c>
      <c r="L8545" s="1" t="str">
        <f t="shared" si="537"/>
        <v>ㄧ</v>
      </c>
      <c r="M8545" s="1" t="str">
        <f t="shared" si="535"/>
        <v>ㄢ</v>
      </c>
      <c r="P8545" s="1" t="s">
        <v>20</v>
      </c>
      <c r="R8545" s="1" t="s">
        <v>16785</v>
      </c>
      <c r="V8545" s="1" t="s">
        <v>16819</v>
      </c>
      <c r="W8545" s="1" t="s">
        <v>16820</v>
      </c>
      <c r="AR8545" s="1" t="str">
        <f t="shared" si="538"/>
        <v>| [ㄒㄧㄢ](ㄒㄧㄢ.md) | [錟](錟.md) |  | xiān | [形]
鋒利。《史記．卷六九．蘇秦傳》：「彊弩在前，錟戈在後。」 |</v>
      </c>
    </row>
    <row r="8546" spans="1:44" hidden="1">
      <c r="A8546" s="1" t="s">
        <v>16821</v>
      </c>
      <c r="C8546" s="1">
        <v>1</v>
      </c>
      <c r="D8546" s="1" t="str">
        <f>"07082"</f>
        <v>07082</v>
      </c>
      <c r="E8546" s="1" t="s">
        <v>156</v>
      </c>
      <c r="F8546" s="1">
        <v>17</v>
      </c>
      <c r="G8546" s="1">
        <v>6</v>
      </c>
      <c r="H8546" s="1">
        <v>1</v>
      </c>
      <c r="I8546" s="1" t="s">
        <v>16784</v>
      </c>
      <c r="K8546" s="1" t="str">
        <f t="shared" si="536"/>
        <v>ㄒ</v>
      </c>
      <c r="L8546" s="1" t="str">
        <f t="shared" si="537"/>
        <v>ㄧ</v>
      </c>
      <c r="M8546" s="1" t="str">
        <f t="shared" si="535"/>
        <v>ㄢ</v>
      </c>
      <c r="P8546" s="1" t="s">
        <v>20</v>
      </c>
      <c r="R8546" s="1" t="s">
        <v>16785</v>
      </c>
      <c r="V8546" s="1" t="s">
        <v>16822</v>
      </c>
      <c r="W8546" s="1" t="s">
        <v>16823</v>
      </c>
      <c r="AR8546" s="1" t="str">
        <f t="shared" si="538"/>
        <v>| [ㄒㄧㄢ](ㄒㄧㄢ.md) | [鮮](鮮.md) |  | xiān | [名]_x000D_
1.魚類。《老子》第六〇章：「治大國若烹小鮮。」宋．張元幹〈水調歌頭．平日幾經過〉詞：「調鼎他年事，妙手看烹鮮。」_x000D_
2.活魚。唐．韓愈、孟郊〈城南聯句〉：「修箭褭金餌，群鮮沸池羹。」_x000D_
3.剛宰殺的禽畜等肉品。晉．左思〈蜀都賦〉：「割芳鮮，飲御酣。」_x000D_
4.泛稱新鮮美味的食物。如：「海鮮」、「嘗鮮」、「時鮮」。《紅樓夢》第七回：「咱們送他的，趁著他家有年下送鮮的船去，一併都交給他們帶了去罷。」_x000D_
5.姓。如五代時後蜀有鮮思明。_x000D_
[形]_x000D_
1.剛宰殺的。漢．枚乘〈七發〉：「薄耆之炙，鮮鯉之鱠。」_x000D_
2.滋味甜美。如：「這湯真鮮。」唐．權德輿〈拜昭陵過咸陽墅〉詩：「村盤既羅列，雞黍皆珍鮮。」_x000D_
3.新鮮的、清新的。如：「鮮嫩」、「鮮花」。晉．陶淵明〈桃花源記〉：「芳草鮮美，落英繽紛。」_x000D_
4.色彩亮麗耀眼。如：「色彩鮮明」。唐．李白〈古風〉詩五九首之二六：「碧荷生幽泉，朝日豔且鮮。」唐．張藉〈白紵歌〉：「皎皎白紵白且鮮，將作春衣稱少年。」_x000D_
5.新奇、有趣、好玩。如：「他的話很鮮。」「乍聽這個主意很鮮，其實沒啥新意！」 |</v>
      </c>
    </row>
    <row r="8547" spans="1:44" hidden="1">
      <c r="A8547" s="1" t="s">
        <v>16824</v>
      </c>
      <c r="C8547" s="1">
        <v>1</v>
      </c>
      <c r="D8547" s="1" t="str">
        <f>"07083"</f>
        <v>07083</v>
      </c>
      <c r="E8547" s="1" t="s">
        <v>24</v>
      </c>
      <c r="F8547" s="1">
        <v>20</v>
      </c>
      <c r="G8547" s="1">
        <v>17</v>
      </c>
      <c r="H8547" s="1">
        <v>0</v>
      </c>
      <c r="I8547" s="1" t="s">
        <v>16784</v>
      </c>
      <c r="K8547" s="1" t="str">
        <f t="shared" si="536"/>
        <v>ㄒ</v>
      </c>
      <c r="L8547" s="1" t="str">
        <f t="shared" si="537"/>
        <v>ㄧ</v>
      </c>
      <c r="M8547" s="1" t="str">
        <f t="shared" si="535"/>
        <v>ㄢ</v>
      </c>
      <c r="P8547" s="1" t="s">
        <v>20</v>
      </c>
      <c r="R8547" s="1" t="s">
        <v>16785</v>
      </c>
      <c r="V8547" s="1" t="s">
        <v>16825</v>
      </c>
      <c r="AR8547" s="1" t="str">
        <f t="shared" si="538"/>
        <v>| [ㄒㄧㄢ](ㄒㄧㄢ.md) | [攕](攕.md) |  | xiān | [形]
纖細柔美。通「纖」、「孅」。《說文解字．手部》：「攕，好手貌。《詩》曰：『攕攕女手。』」 |</v>
      </c>
    </row>
    <row r="8548" spans="1:44" hidden="1">
      <c r="A8548" s="1" t="s">
        <v>16826</v>
      </c>
      <c r="C8548" s="1">
        <v>1</v>
      </c>
      <c r="D8548" s="1" t="str">
        <f>"07084"</f>
        <v>07084</v>
      </c>
      <c r="E8548" s="1" t="s">
        <v>534</v>
      </c>
      <c r="F8548" s="1">
        <v>20</v>
      </c>
      <c r="G8548" s="1">
        <v>17</v>
      </c>
      <c r="H8548" s="1">
        <v>0</v>
      </c>
      <c r="I8548" s="1" t="s">
        <v>16784</v>
      </c>
      <c r="K8548" s="1" t="str">
        <f t="shared" si="536"/>
        <v>ㄒ</v>
      </c>
      <c r="L8548" s="1" t="str">
        <f t="shared" si="537"/>
        <v>ㄧ</v>
      </c>
      <c r="M8548" s="1" t="str">
        <f t="shared" si="535"/>
        <v>ㄢ</v>
      </c>
      <c r="P8548" s="1" t="s">
        <v>20</v>
      </c>
      <c r="R8548" s="1" t="s">
        <v>16785</v>
      </c>
      <c r="V8548" s="1" t="s">
        <v>16827</v>
      </c>
      <c r="AR8548" s="1" t="str">
        <f t="shared" si="538"/>
        <v>| [ㄒㄧㄢ](ㄒㄧㄢ.md) | [孅](孅.md) |  | xiān | [形]
1.細小、細微。通「纖」。《漢書．卷二四．食貨志》：「古之治天下，至孅至悉。」
2.柔細、纖巧。《文選．司馬相如．上林賦》：「柔橈嫚嫚，嫵媚孅弱。」 |</v>
      </c>
    </row>
    <row r="8549" spans="1:44" hidden="1">
      <c r="A8549" s="1" t="s">
        <v>16828</v>
      </c>
      <c r="C8549" s="1">
        <v>1</v>
      </c>
      <c r="D8549" s="1" t="str">
        <f>"07085"</f>
        <v>07085</v>
      </c>
      <c r="E8549" s="1" t="s">
        <v>340</v>
      </c>
      <c r="F8549" s="1">
        <v>23</v>
      </c>
      <c r="G8549" s="1">
        <v>17</v>
      </c>
      <c r="H8549" s="1">
        <v>0</v>
      </c>
      <c r="I8549" s="1" t="s">
        <v>16784</v>
      </c>
      <c r="K8549" s="1" t="str">
        <f t="shared" si="536"/>
        <v>ㄒ</v>
      </c>
      <c r="L8549" s="1" t="str">
        <f t="shared" si="537"/>
        <v>ㄧ</v>
      </c>
      <c r="M8549" s="1" t="str">
        <f t="shared" si="535"/>
        <v>ㄢ</v>
      </c>
      <c r="P8549" s="1" t="s">
        <v>20</v>
      </c>
      <c r="R8549" s="1" t="s">
        <v>16785</v>
      </c>
      <c r="V8549" s="1" t="s">
        <v>16829</v>
      </c>
      <c r="AR8549" s="1" t="str">
        <f t="shared" si="538"/>
        <v>| [ㄒㄧㄢ](ㄒㄧㄢ.md) | [襳](襳.md) |  | xiān | [名]
1.小襦、短襖。《玉篇．衣部》：「襳，小襦也，襌襦也。」
2.飾於婦人上衣的長帶。《文選．司馬相如．子虛賦》：「蜚襳垂髾。」李善注引司馬彪曰：「襳，褂飾也。」 |</v>
      </c>
    </row>
    <row r="8550" spans="1:44" hidden="1">
      <c r="A8550" s="1" t="s">
        <v>16830</v>
      </c>
      <c r="C8550" s="1">
        <v>1</v>
      </c>
      <c r="D8550" s="1" t="str">
        <f>"07086"</f>
        <v>07086</v>
      </c>
      <c r="E8550" s="1" t="s">
        <v>725</v>
      </c>
      <c r="F8550" s="1">
        <v>23</v>
      </c>
      <c r="G8550" s="1">
        <v>17</v>
      </c>
      <c r="H8550" s="1">
        <v>0</v>
      </c>
      <c r="I8550" s="1" t="s">
        <v>16784</v>
      </c>
      <c r="K8550" s="1" t="str">
        <f t="shared" si="536"/>
        <v>ㄒ</v>
      </c>
      <c r="L8550" s="1" t="str">
        <f t="shared" si="537"/>
        <v>ㄧ</v>
      </c>
      <c r="M8550" s="1" t="str">
        <f t="shared" si="535"/>
        <v>ㄢ</v>
      </c>
      <c r="P8550" s="1" t="s">
        <v>20</v>
      </c>
      <c r="R8550" s="1" t="s">
        <v>16785</v>
      </c>
      <c r="V8550" s="1" t="s">
        <v>16831</v>
      </c>
      <c r="AR8550" s="1" t="str">
        <f t="shared" si="538"/>
        <v>| [ㄒㄧㄢ](ㄒㄧㄢ.md) | [纖](纖.md) |  | xiān | [形]
1.細小、輕微。如：「纖細」、「纖塵不染」。《文選．馬融．長笛賦》：「微風纖妙，若存若亡。」唐．王勃〈滕王閣序〉：「爽籟發而清風生，纖歌凝而白雲遏。」
2.柔美細長。如：「纖手」。晉．陸機〈日出東南隅行〉：「馥馥芳袖揮，泠泠纖指彈。」
3.節儉、吝嗇。《管子．五輔》：「纖嗇省用，以備饑饉。」《史記．卷一二九．貨殖傳》：「周人既纖，而師史尤甚。」
[名]
精美細緻的絲織品。《楚辭．宋玉．招魂》：「被文服纖，麗而不奇些。」《文選．班固．東都賦》：「恥纖靡而不服，賤奇麗而弗珍。」 |</v>
      </c>
    </row>
    <row r="8551" spans="1:44" hidden="1">
      <c r="A8551" s="1" t="s">
        <v>16832</v>
      </c>
      <c r="C8551" s="1">
        <v>1</v>
      </c>
      <c r="D8551" s="1" t="str">
        <f>"07087"</f>
        <v>07087</v>
      </c>
      <c r="E8551" s="1" t="s">
        <v>272</v>
      </c>
      <c r="F8551" s="1">
        <v>21</v>
      </c>
      <c r="G8551" s="1">
        <v>10</v>
      </c>
      <c r="H8551" s="1">
        <v>0</v>
      </c>
      <c r="I8551" s="1" t="s">
        <v>16784</v>
      </c>
      <c r="K8551" s="1" t="str">
        <f t="shared" si="536"/>
        <v>ㄒ</v>
      </c>
      <c r="L8551" s="1" t="str">
        <f t="shared" si="537"/>
        <v>ㄧ</v>
      </c>
      <c r="M8551" s="1" t="str">
        <f t="shared" si="535"/>
        <v>ㄢ</v>
      </c>
      <c r="P8551" s="1" t="s">
        <v>20</v>
      </c>
      <c r="R8551" s="1" t="s">
        <v>16785</v>
      </c>
      <c r="V8551" s="1" t="s">
        <v>16833</v>
      </c>
      <c r="AR8551" s="1" t="str">
        <f t="shared" si="538"/>
        <v>| [ㄒㄧㄢ](ㄒㄧㄢ.md) | [鶱](鶱.md) |  | xiān | [形]
鳥飛翔的樣子。唐．獨孤及〈代書寄上裴六冀劉二潁〉詩：「鶱鶱兩黃鵠，何處遊青冥。」 |</v>
      </c>
    </row>
    <row r="8552" spans="1:44" hidden="1">
      <c r="A8552" s="1" t="s">
        <v>16834</v>
      </c>
      <c r="C8552" s="1">
        <v>1</v>
      </c>
      <c r="D8552" s="1" t="str">
        <f>"07088"</f>
        <v>07088</v>
      </c>
      <c r="E8552" s="1" t="s">
        <v>103</v>
      </c>
      <c r="F8552" s="1">
        <v>8</v>
      </c>
      <c r="G8552" s="1">
        <v>5</v>
      </c>
      <c r="H8552" s="1">
        <v>0</v>
      </c>
      <c r="I8552" s="1" t="s">
        <v>16835</v>
      </c>
      <c r="K8552" s="1" t="str">
        <f t="shared" si="536"/>
        <v>ㄒ</v>
      </c>
      <c r="L8552" s="1" t="str">
        <f t="shared" si="537"/>
        <v>ㄧ</v>
      </c>
      <c r="M8552" s="1" t="str">
        <f t="shared" ref="M8552:M8615" si="539">MID(I8552, 3, 1)</f>
        <v>ㄢ</v>
      </c>
      <c r="P8552" s="1" t="s">
        <v>20</v>
      </c>
      <c r="R8552" s="1" t="s">
        <v>16836</v>
      </c>
      <c r="V8552" s="1" t="s">
        <v>16837</v>
      </c>
      <c r="AR8552" s="1" t="str">
        <f t="shared" si="538"/>
        <v>| [ㄒㄧㄢˊ](ㄒㄧㄢˊ.md) | [弦](弦.md) |  | xián | [名] 
1.緊繫在弓上的索、線，具有彈性。即弓弦。如：「箭在弦上不得不發。」《史記．卷一〇九．李將軍列傳》：「度不中不發，發即應弦而倒。」
2.張於樂器上的絲、線，可用於彈奏發出樂音。如：「琴弦」、「箏弦」。
3.半圓形的月亮。如：「上弦」、「下弦」。唐．杜甫〈初月〉詩：「光細弦初上，影斜輪未安。」
4.弦樂或弦樂器的簡稱。如：「弦歌不輟」。晉．王羲之〈三月三日蘭亭詩序〉：「雖無絲竹管弦之盛。」
5.數學上指圓或曲線上任意兩點的連接線段。
6.姓。如春秋時鄭國有弦高。
7.比喻妻子。如：「斷弦」、「續弦」。
[動]
1.彈奏弦樂器。《莊子．讓王》：「上漏下溼，匡坐而弦。」
2.彎曲。《易經．繫辭下》：「弦木為弧，剡木為矢。」 |</v>
      </c>
    </row>
    <row r="8553" spans="1:44" hidden="1">
      <c r="A8553" s="1" t="s">
        <v>16838</v>
      </c>
      <c r="C8553" s="1">
        <v>1</v>
      </c>
      <c r="D8553" s="1" t="str">
        <f>"07089"</f>
        <v>07089</v>
      </c>
      <c r="E8553" s="1" t="s">
        <v>40</v>
      </c>
      <c r="F8553" s="1">
        <v>10</v>
      </c>
      <c r="G8553" s="1">
        <v>5</v>
      </c>
      <c r="H8553" s="1">
        <v>0</v>
      </c>
      <c r="I8553" s="1" t="s">
        <v>16835</v>
      </c>
      <c r="K8553" s="1" t="str">
        <f t="shared" si="536"/>
        <v>ㄒ</v>
      </c>
      <c r="L8553" s="1" t="str">
        <f t="shared" si="537"/>
        <v>ㄧ</v>
      </c>
      <c r="M8553" s="1" t="str">
        <f t="shared" si="539"/>
        <v>ㄢ</v>
      </c>
      <c r="P8553" s="1" t="s">
        <v>20</v>
      </c>
      <c r="R8553" s="1" t="s">
        <v>16836</v>
      </c>
      <c r="V8553" s="1" t="s">
        <v>16839</v>
      </c>
      <c r="AR8553" s="1" t="str">
        <f t="shared" si="538"/>
        <v>| [ㄒㄧㄢˊ](ㄒㄧㄢˊ.md) | [痃](痃.md) |  | xián | [名]
中醫上指肚臍兩旁突起的條狀硬塊，形如弓弦，大小不一。 |</v>
      </c>
    </row>
    <row r="8554" spans="1:44" hidden="1">
      <c r="A8554" s="1" t="s">
        <v>16840</v>
      </c>
      <c r="C8554" s="1">
        <v>1</v>
      </c>
      <c r="D8554" s="1" t="str">
        <f>"07090"</f>
        <v>07090</v>
      </c>
      <c r="E8554" s="1" t="s">
        <v>679</v>
      </c>
      <c r="F8554" s="1">
        <v>11</v>
      </c>
      <c r="G8554" s="1">
        <v>5</v>
      </c>
      <c r="H8554" s="1">
        <v>0</v>
      </c>
      <c r="I8554" s="1" t="s">
        <v>16835</v>
      </c>
      <c r="K8554" s="1" t="str">
        <f t="shared" si="536"/>
        <v>ㄒ</v>
      </c>
      <c r="L8554" s="1" t="str">
        <f t="shared" si="537"/>
        <v>ㄧ</v>
      </c>
      <c r="M8554" s="1" t="str">
        <f t="shared" si="539"/>
        <v>ㄢ</v>
      </c>
      <c r="P8554" s="1" t="s">
        <v>20</v>
      </c>
      <c r="R8554" s="1" t="s">
        <v>16836</v>
      </c>
      <c r="V8554" s="1" t="s">
        <v>16841</v>
      </c>
      <c r="AR8554" s="1" t="str">
        <f t="shared" si="538"/>
        <v>| [ㄒㄧㄢˊ](ㄒㄧㄢˊ.md) | [蚿](蚿.md) |  | xián | [名]
馬蚿：動物名。即馬陸。節肢動物門倍足綱。由許多環節組成，每一體節具二對腳。一受干擾即捲縮成一團。生活於潮溼處，以腐植質為食。明．李時珍《本草綱目．卷四二．蟲部．馬陸》：「馬陸，馬蚿。」 |</v>
      </c>
    </row>
    <row r="8555" spans="1:44" hidden="1">
      <c r="A8555" s="1" t="s">
        <v>16842</v>
      </c>
      <c r="C8555" s="1">
        <v>1</v>
      </c>
      <c r="D8555" s="1" t="str">
        <f>"07091"</f>
        <v>07091</v>
      </c>
      <c r="E8555" s="1" t="s">
        <v>181</v>
      </c>
      <c r="F8555" s="1">
        <v>11</v>
      </c>
      <c r="G8555" s="1">
        <v>5</v>
      </c>
      <c r="H8555" s="1">
        <v>0</v>
      </c>
      <c r="I8555" s="1" t="s">
        <v>16835</v>
      </c>
      <c r="K8555" s="1" t="str">
        <f t="shared" si="536"/>
        <v>ㄒ</v>
      </c>
      <c r="L8555" s="1" t="str">
        <f t="shared" si="537"/>
        <v>ㄧ</v>
      </c>
      <c r="M8555" s="1" t="str">
        <f t="shared" si="539"/>
        <v>ㄢ</v>
      </c>
      <c r="P8555" s="1" t="s">
        <v>20</v>
      </c>
      <c r="R8555" s="1" t="s">
        <v>16836</v>
      </c>
      <c r="V8555" s="1" t="s">
        <v>16843</v>
      </c>
      <c r="AR8555" s="1" t="str">
        <f t="shared" si="538"/>
        <v>| [ㄒㄧㄢˊ](ㄒㄧㄢˊ.md) | [舷](舷.md) |  | xián | [名]
船、飛機的兩側邊緣。如：「左舷」、「右舷」。唐．杜甫〈破船〉詩：「船舷不重扣，埋沒已經秋。」宋．蘇軾〈赤壁賦〉：「於是飲酒樂甚，扣舷而歌之。」 |</v>
      </c>
    </row>
    <row r="8556" spans="1:44" hidden="1">
      <c r="A8556" s="1" t="s">
        <v>16844</v>
      </c>
      <c r="C8556" s="1">
        <v>1</v>
      </c>
      <c r="D8556" s="1" t="str">
        <f>"07092"</f>
        <v>07092</v>
      </c>
      <c r="E8556" s="1" t="s">
        <v>725</v>
      </c>
      <c r="F8556" s="1">
        <v>11</v>
      </c>
      <c r="G8556" s="1">
        <v>5</v>
      </c>
      <c r="H8556" s="1">
        <v>0</v>
      </c>
      <c r="I8556" s="1" t="s">
        <v>16835</v>
      </c>
      <c r="K8556" s="1" t="str">
        <f t="shared" si="536"/>
        <v>ㄒ</v>
      </c>
      <c r="L8556" s="1" t="str">
        <f t="shared" si="537"/>
        <v>ㄧ</v>
      </c>
      <c r="M8556" s="1" t="str">
        <f t="shared" si="539"/>
        <v>ㄢ</v>
      </c>
      <c r="P8556" s="1" t="s">
        <v>20</v>
      </c>
      <c r="R8556" s="1" t="s">
        <v>16836</v>
      </c>
      <c r="V8556" s="1" t="s">
        <v>16845</v>
      </c>
      <c r="AR8556" s="1" t="str">
        <f t="shared" si="538"/>
        <v>| [ㄒㄧㄢˊ](ㄒㄧㄢˊ.md) | [絃](絃.md) |  | xián | [名]
1.裝於樂器以彈奏發聲的絲、線。同「弦」。唐．李商隱〈錦瑟〉詩：「錦瑟無端五十絃，一絃一柱思華年。」
2.弦樂器。同「弦」。三國魏．嵇康〈聲無哀樂論〉：「故哀思之情表於金石，安樂之象形於管絃也。」
3.音調、音律。唐．李頎〈聽董大彈胡笳聲兼寄語弄房給事〉詩：「先拂商絃後角羽，四郊秋葉驚摵摵。」
4.比喻為妻子。參見「續絃」條。 |</v>
      </c>
    </row>
    <row r="8557" spans="1:44" hidden="1">
      <c r="A8557" s="1" t="s">
        <v>16846</v>
      </c>
      <c r="C8557" s="1">
        <v>1</v>
      </c>
      <c r="D8557" s="1" t="str">
        <f>"07093"</f>
        <v>07093</v>
      </c>
      <c r="E8557" s="1" t="s">
        <v>28</v>
      </c>
      <c r="F8557" s="1">
        <v>9</v>
      </c>
      <c r="G8557" s="1">
        <v>6</v>
      </c>
      <c r="H8557" s="1">
        <v>0</v>
      </c>
      <c r="I8557" s="1" t="s">
        <v>16835</v>
      </c>
      <c r="K8557" s="1" t="str">
        <f t="shared" si="536"/>
        <v>ㄒ</v>
      </c>
      <c r="L8557" s="1" t="str">
        <f t="shared" si="537"/>
        <v>ㄧ</v>
      </c>
      <c r="M8557" s="1" t="str">
        <f t="shared" si="539"/>
        <v>ㄢ</v>
      </c>
      <c r="P8557" s="1" t="s">
        <v>20</v>
      </c>
      <c r="R8557" s="1" t="s">
        <v>16836</v>
      </c>
      <c r="V8557" s="1" t="s">
        <v>16847</v>
      </c>
      <c r="AR8557" s="1" t="str">
        <f t="shared" si="538"/>
        <v>| [ㄒㄧㄢˊ](ㄒㄧㄢˊ.md) | [咸](咸.md) |  | xián | [副]
都、皆、全。如：「老少咸宜」。《書經．舜典》：「殛鯀于羽山，四罪而天下咸服。」唐．王昌齡〈塞下曲〉四首之二：「昔日長城戰，咸言意氣高。」
[動]
1.普及、遍及。《國語．魯語》：「小賜不咸，獨恭不優。」
2.和睦。《左傳．僖公二十四年》：「昔周公弔二叔之不咸，故封建親戚以蕃屏周。」
[名]
1.《易經》卦名。六十四卦之一。艮（☶）下兌（☱）上。表示山澤相感應之象。
2.姓。如漢代有咸宣。 |</v>
      </c>
    </row>
    <row r="8558" spans="1:44" hidden="1">
      <c r="A8558" s="1" t="s">
        <v>16848</v>
      </c>
      <c r="C8558" s="1">
        <v>1</v>
      </c>
      <c r="D8558" s="1" t="str">
        <f>"07094"</f>
        <v>07094</v>
      </c>
      <c r="E8558" s="1" t="s">
        <v>331</v>
      </c>
      <c r="F8558" s="1">
        <v>16</v>
      </c>
      <c r="G8558" s="1">
        <v>9</v>
      </c>
      <c r="H8558" s="1">
        <v>0</v>
      </c>
      <c r="I8558" s="1" t="s">
        <v>16835</v>
      </c>
      <c r="K8558" s="1" t="str">
        <f t="shared" si="536"/>
        <v>ㄒ</v>
      </c>
      <c r="L8558" s="1" t="str">
        <f t="shared" si="537"/>
        <v>ㄧ</v>
      </c>
      <c r="M8558" s="1" t="str">
        <f t="shared" si="539"/>
        <v>ㄢ</v>
      </c>
      <c r="P8558" s="1" t="s">
        <v>20</v>
      </c>
      <c r="R8558" s="1" t="s">
        <v>16836</v>
      </c>
      <c r="V8558" s="1" t="s">
        <v>16849</v>
      </c>
      <c r="AR8558" s="1" t="str">
        <f t="shared" si="538"/>
        <v>| [ㄒㄧㄢˊ](ㄒㄧㄢˊ.md) | [諴](諴.md) |  | xián | [動]
和、融洽。《書經．召誥》：「其丕能諴于小民，今休。」唐．孔穎達．正義：「若其大能和同於天下小民，則成今之美。」
[形]
真誠的、誠心的。《書經．大禹謨》：「至諴感神，矧茲有苗！」 |</v>
      </c>
    </row>
    <row r="8559" spans="1:44" hidden="1">
      <c r="A8559" s="1" t="s">
        <v>16850</v>
      </c>
      <c r="C8559" s="1">
        <v>1</v>
      </c>
      <c r="D8559" s="1" t="str">
        <f>"07095"</f>
        <v>07095</v>
      </c>
      <c r="E8559" s="1" t="s">
        <v>9124</v>
      </c>
      <c r="F8559" s="1">
        <v>20</v>
      </c>
      <c r="G8559" s="1">
        <v>9</v>
      </c>
      <c r="H8559" s="1">
        <v>0</v>
      </c>
      <c r="I8559" s="1" t="s">
        <v>16835</v>
      </c>
      <c r="K8559" s="1" t="str">
        <f t="shared" si="536"/>
        <v>ㄒ</v>
      </c>
      <c r="L8559" s="1" t="str">
        <f t="shared" si="537"/>
        <v>ㄧ</v>
      </c>
      <c r="M8559" s="1" t="str">
        <f t="shared" si="539"/>
        <v>ㄢ</v>
      </c>
      <c r="P8559" s="1" t="s">
        <v>20</v>
      </c>
      <c r="R8559" s="1" t="s">
        <v>16836</v>
      </c>
      <c r="V8559" s="1" t="s">
        <v>16851</v>
      </c>
      <c r="AR8559" s="1" t="str">
        <f t="shared" si="538"/>
        <v>| [ㄒㄧㄢˊ](ㄒㄧㄢˊ.md) | [鹹](鹹.md) |  | xián | [形]_x000D_
1.含鹽分或鹽味的。如：「鹹魚」、「鹹水湖」、「東西很鹹。」_x000D_
2.吝嗇、小氣。如：「他是有名的鐵公雞，鹹得很！」_x000D_
[名]_x000D_
1.鹽味。如：「酸甜苦辣鹹」。《荀子．正名》：「甘苦鹹淡，辛酸奇味，以口異。」_x000D_
2.地名：(1)春秋時魯地，約在今大陸地區山東省曹縣境。(2)春秋時衛地，約在今大陸地區河北省濮陽縣東南。 |</v>
      </c>
    </row>
    <row r="8560" spans="1:44" hidden="1">
      <c r="A8560" s="1" t="s">
        <v>16852</v>
      </c>
      <c r="C8560" s="1">
        <v>1</v>
      </c>
      <c r="D8560" s="1" t="str">
        <f>"07096"</f>
        <v>07096</v>
      </c>
      <c r="E8560" s="1" t="s">
        <v>129</v>
      </c>
      <c r="F8560" s="1">
        <v>11</v>
      </c>
      <c r="G8560" s="1">
        <v>8</v>
      </c>
      <c r="H8560" s="1">
        <v>1</v>
      </c>
      <c r="I8560" s="1" t="s">
        <v>16835</v>
      </c>
      <c r="K8560" s="1" t="str">
        <f t="shared" ref="K8560:K8623" si="540">LEFT(I8560, 1)</f>
        <v>ㄒ</v>
      </c>
      <c r="L8560" s="1" t="str">
        <f t="shared" ref="L8560:L8623" si="541">MID(I8560, 2, 1)</f>
        <v>ㄧ</v>
      </c>
      <c r="M8560" s="1" t="str">
        <f t="shared" si="539"/>
        <v>ㄢ</v>
      </c>
      <c r="P8560" s="1" t="s">
        <v>20</v>
      </c>
      <c r="R8560" s="1" t="s">
        <v>16836</v>
      </c>
      <c r="V8560" s="1" t="s">
        <v>16853</v>
      </c>
      <c r="W8560" s="1" t="s">
        <v>16854</v>
      </c>
      <c r="AR8560" s="1" t="str">
        <f t="shared" si="538"/>
        <v>| [ㄒㄧㄢˊ](ㄒㄧㄢˊ.md) | [涎](涎.md) |  | xián | [名]
1.唾液、口水。如：「垂涎三尺」。宋．陸游〈記夢〉詩：「君知夢覺本無異，勿為畫餅流饞涎。」
2.黏汁、黏液。宋．蘇軾〈和蔣夔寄茶〉詩：「廚中蒸粟堆飯甕，大杓更取酸生涎。」
[動]
欲求、貪求。《清史稿．卷四二二．袁希祖傳》：「即天長、六合之賊，亦涎其利。」
[形]
厚著臉皮不以為恥。《紅樓夢》第二四回：「便猴上身去，涎皮笑道。」 |</v>
      </c>
    </row>
    <row r="8561" spans="1:44" hidden="1">
      <c r="A8561" s="1" t="s">
        <v>16855</v>
      </c>
      <c r="C8561" s="1">
        <v>1</v>
      </c>
      <c r="D8561" s="1" t="str">
        <f>"07097"</f>
        <v>07097</v>
      </c>
      <c r="E8561" s="1" t="s">
        <v>28</v>
      </c>
      <c r="F8561" s="1">
        <v>11</v>
      </c>
      <c r="G8561" s="1">
        <v>8</v>
      </c>
      <c r="H8561" s="1">
        <v>0</v>
      </c>
      <c r="I8561" s="1" t="s">
        <v>16835</v>
      </c>
      <c r="K8561" s="1" t="str">
        <f t="shared" si="540"/>
        <v>ㄒ</v>
      </c>
      <c r="L8561" s="1" t="str">
        <f t="shared" si="541"/>
        <v>ㄧ</v>
      </c>
      <c r="M8561" s="1" t="str">
        <f t="shared" si="539"/>
        <v>ㄢ</v>
      </c>
      <c r="P8561" s="1" t="s">
        <v>20</v>
      </c>
      <c r="R8561" s="1" t="s">
        <v>16836</v>
      </c>
      <c r="V8561" s="1" t="s">
        <v>16856</v>
      </c>
      <c r="AR8561" s="1" t="str">
        <f t="shared" si="538"/>
        <v>| [ㄒㄧㄢˊ](ㄒㄧㄢˊ.md) | [啣](啣.md) |  | xián | [動]
1.用嘴巴含著。通「銜」。如：「馬啣草」、「燕子啣泥」。《兒女英雄傳》第七回：「我張金鳳生必啣環，死當結草。」
2.懷藏在心中。通「銜」。如：「啣恨」。《西遊記》第六二回：「國王疑僧盜寶，啣冤取罪，上下難明。」 |</v>
      </c>
    </row>
    <row r="8562" spans="1:44" hidden="1">
      <c r="A8562" s="1" t="s">
        <v>16857</v>
      </c>
      <c r="C8562" s="1">
        <v>1</v>
      </c>
      <c r="D8562" s="1" t="str">
        <f>"07098"</f>
        <v>07098</v>
      </c>
      <c r="E8562" s="1" t="s">
        <v>709</v>
      </c>
      <c r="F8562" s="1">
        <v>12</v>
      </c>
      <c r="G8562" s="1">
        <v>4</v>
      </c>
      <c r="H8562" s="1">
        <v>0</v>
      </c>
      <c r="I8562" s="1" t="s">
        <v>16835</v>
      </c>
      <c r="K8562" s="1" t="str">
        <f t="shared" si="540"/>
        <v>ㄒ</v>
      </c>
      <c r="L8562" s="1" t="str">
        <f t="shared" si="541"/>
        <v>ㄧ</v>
      </c>
      <c r="M8562" s="1" t="str">
        <f t="shared" si="539"/>
        <v>ㄢ</v>
      </c>
      <c r="P8562" s="1" t="s">
        <v>20</v>
      </c>
      <c r="R8562" s="1" t="s">
        <v>16836</v>
      </c>
      <c r="V8562" s="1" t="s">
        <v>16858</v>
      </c>
      <c r="AR8562" s="1" t="str">
        <f t="shared" si="538"/>
        <v>| [ㄒㄧㄢˊ](ㄒㄧㄢˊ.md) | [閑](閑.md) |  | xián | [名]
1.柵欄、木欄。《說文解字．門部》：「閑，闌也。」《漢書．卷四八．賈誼傳》：「今民賣僮者，為之繡衣絲履偏諸緣，內之閑中。」
2.養馬的地方。即馬廄。《周禮．夏官．校人》：「天子十有二閑，馬六種。」
3.比喻規範、法度。《論語．子張》：「大德不踰閑，小德出入可也。」
[動]
1.防範、阻止。《書經．畢命》：「雖收放心，閑之惟艱。」唐．劉禹錫〈天論上〉：「建極閑邪，人之能也。」
2.熟習、通曉。通「嫻」。《孟子．滕文公下》：「閑先聖之道。」《後漢書．卷二四．馬援傳》：「閑於進對。」
[形]
1.空暇無事。通「閒」。如：「悠閑」、「空閑」。 |</v>
      </c>
    </row>
    <row r="8563" spans="1:44" hidden="1">
      <c r="A8563" s="1" t="s">
        <v>13855</v>
      </c>
      <c r="C8563" s="1">
        <v>1</v>
      </c>
      <c r="D8563" s="1" t="str">
        <f>"07099"</f>
        <v>07099</v>
      </c>
      <c r="E8563" s="1" t="s">
        <v>709</v>
      </c>
      <c r="F8563" s="1">
        <v>12</v>
      </c>
      <c r="G8563" s="1">
        <v>4</v>
      </c>
      <c r="H8563" s="1">
        <v>1</v>
      </c>
      <c r="I8563" s="1" t="s">
        <v>16835</v>
      </c>
      <c r="K8563" s="1" t="str">
        <f t="shared" si="540"/>
        <v>ㄒ</v>
      </c>
      <c r="L8563" s="1" t="str">
        <f t="shared" si="541"/>
        <v>ㄧ</v>
      </c>
      <c r="M8563" s="1" t="str">
        <f t="shared" si="539"/>
        <v>ㄢ</v>
      </c>
      <c r="P8563" s="1" t="s">
        <v>20</v>
      </c>
      <c r="R8563" s="1" t="s">
        <v>16836</v>
      </c>
      <c r="V8563" s="1" t="s">
        <v>16859</v>
      </c>
      <c r="W8563" s="1" t="s">
        <v>16860</v>
      </c>
      <c r="AR8563" s="1" t="str">
        <f t="shared" si="538"/>
        <v>| [ㄒㄧㄢˊ](ㄒㄧㄢˊ.md) | [閒](閒.md) |  | xián | [名]
1.空暇無事的時候。如：「農閒」、「忙中偷閒」、「偷得浮生半日閒」。
2.閒散輕簡的職務。如：「投閒置散」。
[形]
1.空暇無事。如：「空閒」、「閒暇」。
2.安靜悠閒。如：「閒情逸致」、「閒雲野鶴」、「日子過得十分安閒自在。」
3.與正事無關的、不緊要的。如：「閒書」、「閒錢」、「閒差事」、「閒人免進」。宋．辛棄疾〈新荷葉．春色如愁〉詞：「閒愁幾許？更晚風、特地吹衣。」
[副]
隨意的、不經心的。如：「閒扯」、「閒聊」、「閒逛」、「閒話家常」。 |</v>
      </c>
    </row>
    <row r="8564" spans="1:44" hidden="1">
      <c r="A8564" s="1" t="s">
        <v>16861</v>
      </c>
      <c r="C8564" s="1">
        <v>1</v>
      </c>
      <c r="D8564" s="1" t="str">
        <f>"07100"</f>
        <v>07100</v>
      </c>
      <c r="E8564" s="1" t="s">
        <v>250</v>
      </c>
      <c r="F8564" s="1">
        <v>15</v>
      </c>
      <c r="G8564" s="1">
        <v>12</v>
      </c>
      <c r="H8564" s="1">
        <v>1</v>
      </c>
      <c r="I8564" s="1" t="s">
        <v>16835</v>
      </c>
      <c r="K8564" s="1" t="str">
        <f t="shared" si="540"/>
        <v>ㄒ</v>
      </c>
      <c r="L8564" s="1" t="str">
        <f t="shared" si="541"/>
        <v>ㄧ</v>
      </c>
      <c r="M8564" s="1" t="str">
        <f t="shared" si="539"/>
        <v>ㄢ</v>
      </c>
      <c r="P8564" s="1" t="s">
        <v>20</v>
      </c>
      <c r="R8564" s="1" t="s">
        <v>16836</v>
      </c>
      <c r="V8564" s="1" t="s">
        <v>16862</v>
      </c>
      <c r="W8564" s="1" t="s">
        <v>16863</v>
      </c>
      <c r="AR8564" s="1" t="str">
        <f t="shared" si="538"/>
        <v>| [ㄒㄧㄢˊ](ㄒㄧㄢˊ.md) | [憪](憪.md) |  | xián | [形]
閒適自得。唐．柳宗元〈酬韶州裴曹長使君寄道州呂八大使因以見示二十韻〉：「循省誠知懼，安排祗自憪。」 |</v>
      </c>
    </row>
    <row r="8565" spans="1:44" hidden="1">
      <c r="A8565" s="1" t="s">
        <v>16864</v>
      </c>
      <c r="C8565" s="1">
        <v>1</v>
      </c>
      <c r="D8565" s="1" t="str">
        <f>"07101"</f>
        <v>07101</v>
      </c>
      <c r="E8565" s="1" t="s">
        <v>534</v>
      </c>
      <c r="F8565" s="1">
        <v>15</v>
      </c>
      <c r="G8565" s="1">
        <v>12</v>
      </c>
      <c r="H8565" s="1">
        <v>0</v>
      </c>
      <c r="I8565" s="1" t="s">
        <v>16835</v>
      </c>
      <c r="K8565" s="1" t="str">
        <f t="shared" si="540"/>
        <v>ㄒ</v>
      </c>
      <c r="L8565" s="1" t="str">
        <f t="shared" si="541"/>
        <v>ㄧ</v>
      </c>
      <c r="M8565" s="1" t="str">
        <f t="shared" si="539"/>
        <v>ㄢ</v>
      </c>
      <c r="P8565" s="1" t="s">
        <v>20</v>
      </c>
      <c r="R8565" s="1" t="s">
        <v>16836</v>
      </c>
      <c r="V8565" s="1" t="s">
        <v>16865</v>
      </c>
      <c r="AR8565" s="1" t="str">
        <f t="shared" si="538"/>
        <v>| [ㄒㄧㄢˊ](ㄒㄧㄢˊ.md) | [嫻](嫻.md) |  | xián | [動]
熟習、熟練。如：「嫻熟」。《史記．卷八四．屈原賈生傳》：「博聞彊志，明於治亂，嫻於辭令。」
[形]
文靜優雅。如：「嫻靜」、「嫻雅」。三國魏．曹植〈靜思賦〉：「夫何美女之嫻妖，紅顏曄而流光。」 |</v>
      </c>
    </row>
    <row r="8566" spans="1:44" hidden="1">
      <c r="A8566" s="1" t="s">
        <v>16866</v>
      </c>
      <c r="C8566" s="1">
        <v>1</v>
      </c>
      <c r="D8566" s="1" t="str">
        <f>"07102"</f>
        <v>07102</v>
      </c>
      <c r="E8566" s="1" t="s">
        <v>40</v>
      </c>
      <c r="F8566" s="1">
        <v>17</v>
      </c>
      <c r="G8566" s="1">
        <v>12</v>
      </c>
      <c r="H8566" s="1">
        <v>0</v>
      </c>
      <c r="I8566" s="1" t="s">
        <v>16835</v>
      </c>
      <c r="K8566" s="1" t="str">
        <f t="shared" si="540"/>
        <v>ㄒ</v>
      </c>
      <c r="L8566" s="1" t="str">
        <f t="shared" si="541"/>
        <v>ㄧ</v>
      </c>
      <c r="M8566" s="1" t="str">
        <f t="shared" si="539"/>
        <v>ㄢ</v>
      </c>
      <c r="P8566" s="1" t="s">
        <v>20</v>
      </c>
      <c r="R8566" s="1" t="s">
        <v>16836</v>
      </c>
      <c r="V8566" s="1" t="s">
        <v>16867</v>
      </c>
      <c r="AR8566" s="1" t="str">
        <f t="shared" si="538"/>
        <v>| [ㄒㄧㄢˊ](ㄒㄧㄢˊ.md) | [癇](癇.md) |  | xián | 參見「癲癇」條。 |</v>
      </c>
    </row>
    <row r="8567" spans="1:44" hidden="1">
      <c r="A8567" s="1" t="s">
        <v>16868</v>
      </c>
      <c r="C8567" s="1">
        <v>1</v>
      </c>
      <c r="D8567" s="1" t="str">
        <f>"07103"</f>
        <v>07103</v>
      </c>
      <c r="E8567" s="1" t="s">
        <v>272</v>
      </c>
      <c r="F8567" s="1">
        <v>23</v>
      </c>
      <c r="G8567" s="1">
        <v>12</v>
      </c>
      <c r="H8567" s="1">
        <v>0</v>
      </c>
      <c r="I8567" s="1" t="s">
        <v>16835</v>
      </c>
      <c r="K8567" s="1" t="str">
        <f t="shared" si="540"/>
        <v>ㄒ</v>
      </c>
      <c r="L8567" s="1" t="str">
        <f t="shared" si="541"/>
        <v>ㄧ</v>
      </c>
      <c r="M8567" s="1" t="str">
        <f t="shared" si="539"/>
        <v>ㄢ</v>
      </c>
      <c r="P8567" s="1" t="s">
        <v>20</v>
      </c>
      <c r="R8567" s="1" t="s">
        <v>16836</v>
      </c>
      <c r="V8567" s="1" t="s">
        <v>16869</v>
      </c>
      <c r="AR8567" s="1" t="str">
        <f t="shared" si="538"/>
        <v>| [ㄒㄧㄢˊ](ㄒㄧㄢˊ.md) | [鷳](鷳.md) |  | xián | [名]
動物名。鳥綱雞形目雉科。似錦雞，尾長，冠黑色，上半部羽毛為白色，腹部呈藍黑色，雌鳥全身棕綠色。產於大陸地區南部。俗稱為「白鷳」。 |</v>
      </c>
    </row>
    <row r="8568" spans="1:44" hidden="1">
      <c r="A8568" s="1" t="s">
        <v>15407</v>
      </c>
      <c r="C8568" s="1">
        <v>1</v>
      </c>
      <c r="D8568" s="1" t="str">
        <f>"07104"</f>
        <v>07104</v>
      </c>
      <c r="E8568" s="1" t="s">
        <v>28</v>
      </c>
      <c r="F8568" s="1">
        <v>13</v>
      </c>
      <c r="G8568" s="1">
        <v>10</v>
      </c>
      <c r="H8568" s="1">
        <v>2</v>
      </c>
      <c r="I8568" s="1" t="s">
        <v>16835</v>
      </c>
      <c r="K8568" s="1" t="str">
        <f t="shared" si="540"/>
        <v>ㄒ</v>
      </c>
      <c r="L8568" s="1" t="str">
        <f t="shared" si="541"/>
        <v>ㄧ</v>
      </c>
      <c r="M8568" s="1" t="str">
        <f t="shared" si="539"/>
        <v>ㄢ</v>
      </c>
      <c r="P8568" s="1" t="s">
        <v>20</v>
      </c>
      <c r="R8568" s="1" t="s">
        <v>16836</v>
      </c>
      <c r="V8568" s="1" t="s">
        <v>16870</v>
      </c>
      <c r="W8568" s="1" t="s">
        <v>16871</v>
      </c>
      <c r="AR8568" s="1" t="str">
        <f t="shared" si="538"/>
        <v>| [ㄒㄧㄢˊ](ㄒㄧㄢˊ.md) | [嗛](嗛.md) |  | xián | [動]
1.嘴裡叼著東西。《說文解字．口部》：「嗛，口有所銜也。」《史記．卷一二三．大宛傳》：「烏嗛肉蜚其上，狼往乳之。」
2.懷恨。《史記．卷四九．外戚世家》：「景帝恚，心嗛之而未發也。」《清史稿．卷三二二．錢灃傳》：「和坤素惡灃，至是尤深嗛之。」 |</v>
      </c>
    </row>
    <row r="8569" spans="1:44" hidden="1">
      <c r="A8569" s="1" t="s">
        <v>16872</v>
      </c>
      <c r="C8569" s="1">
        <v>1</v>
      </c>
      <c r="D8569" s="1" t="str">
        <f>"07105"</f>
        <v>07105</v>
      </c>
      <c r="E8569" s="1" t="s">
        <v>534</v>
      </c>
      <c r="F8569" s="1">
        <v>13</v>
      </c>
      <c r="G8569" s="1">
        <v>10</v>
      </c>
      <c r="H8569" s="1">
        <v>0</v>
      </c>
      <c r="I8569" s="1" t="s">
        <v>16835</v>
      </c>
      <c r="K8569" s="1" t="str">
        <f t="shared" si="540"/>
        <v>ㄒ</v>
      </c>
      <c r="L8569" s="1" t="str">
        <f t="shared" si="541"/>
        <v>ㄧ</v>
      </c>
      <c r="M8569" s="1" t="str">
        <f t="shared" si="539"/>
        <v>ㄢ</v>
      </c>
      <c r="P8569" s="1" t="s">
        <v>20</v>
      </c>
      <c r="R8569" s="1" t="s">
        <v>16836</v>
      </c>
      <c r="V8569" s="1" t="s">
        <v>16873</v>
      </c>
      <c r="AR8569" s="1" t="str">
        <f t="shared" si="538"/>
        <v>| [ㄒㄧㄢˊ](ㄒㄧㄢˊ.md) | [嫌](嫌.md) |  | xián | [名]
1.怨隙、仇怨。如：「盡釋前嫌」。《鏡花緣》第二回：「只顧為著遊戲小事，角口生嫌，豈料後來許多因果，莫不從此而萌。」
2.處於可疑的地位。如：「避嫌」。《文選．沈約．恩倖傳論》：「外無逼主之嫌，內有專用之功。」《喻世明言．卷二八．李秀卿義結黃貞女》：「但在先有兄弟之好，今後有男女之嫌。」
[動]
1.厭惡、討厭。如：「嫌棄」、「嫌貧愛富」、「這小孩很惹人嫌。」《後漢書．卷五二．崔駰傳》：「論者嫌其銅臭。」《紅樓夢》第一九回：「只知嫌人家髒。」
2.猜疑、懷疑。漢．王充《論衡．自紀》：「獄者嫌辜，卿決疑事。」《二刻拍案驚奇》卷三八：「我那知這事，卻來嫌我！」
3.近似。《荀子．禮論》：「一朝而喪其嚴親，而所以送葬之者不哀不敬，則嫌於禽獸矣。」 |</v>
      </c>
    </row>
    <row r="8570" spans="1:44" hidden="1">
      <c r="A8570" s="1" t="s">
        <v>16874</v>
      </c>
      <c r="C8570" s="1">
        <v>1</v>
      </c>
      <c r="D8570" s="1" t="str">
        <f>"07106"</f>
        <v>07106</v>
      </c>
      <c r="E8570" s="1" t="s">
        <v>55</v>
      </c>
      <c r="F8570" s="1">
        <v>14</v>
      </c>
      <c r="G8570" s="1">
        <v>6</v>
      </c>
      <c r="H8570" s="1">
        <v>0</v>
      </c>
      <c r="I8570" s="1" t="s">
        <v>16835</v>
      </c>
      <c r="K8570" s="1" t="str">
        <f t="shared" si="540"/>
        <v>ㄒ</v>
      </c>
      <c r="L8570" s="1" t="str">
        <f t="shared" si="541"/>
        <v>ㄧ</v>
      </c>
      <c r="M8570" s="1" t="str">
        <f t="shared" si="539"/>
        <v>ㄢ</v>
      </c>
      <c r="P8570" s="1" t="s">
        <v>20</v>
      </c>
      <c r="R8570" s="1" t="s">
        <v>16836</v>
      </c>
      <c r="V8570" s="1" t="s">
        <v>16875</v>
      </c>
      <c r="AR8570" s="1" t="str">
        <f t="shared" si="538"/>
        <v>| [ㄒㄧㄢˊ](ㄒㄧㄢˊ.md) | [銜](銜.md) |  | xián | [名]
1.裝在馬口用來控制馬匹的鐵製用具。《楚辭．屈原．九章．惜往日》：「乘騏驥而馳騁兮，無轡銜而自載。」《戰國策．秦策一》：「伏軾撙銜，橫歷天下。」
2.官階、職稱。如：「官銜」、「頭銜」、「職銜」。
[動]
1.用嘴含物或叼物。《周禮．夏官．大司馬》：「遂鼓行，徒銜枚而進。」晉．陶淵明〈讀山海經〉詩一三首之一〇：「精衛銜微木，將以填滄海。」
2.奉、接受。《管子．形勢》：「銜命者，君之尊也。」《禮記．檀弓上》：「銜君命而使，雖遇之不鬥。」
3.懷藏在心。如：「含悲銜恨」。《後漢書．卷四〇．班彪傳下》：「兢大怒，畏憲不敢發，心銜之。」唐．韓愈〈祭十二郎文〉：「季父愈聞汝喪之七日，乃能銜哀致誠。」
4.感激、感謝。《管子．形勢》：「法立而民樂之，令出而民銜之。」晉．陶淵明〈乞食詩〉：「銜戢知何謝，冥報以相貽。」
5.連接、相連。如：「銜接」。《水滸傳》第八六回：「且把糧車首尾相銜，權做寨柵。」 |</v>
      </c>
    </row>
    <row r="8571" spans="1:44" hidden="1">
      <c r="A8571" s="1" t="s">
        <v>16876</v>
      </c>
      <c r="C8571" s="1">
        <v>1</v>
      </c>
      <c r="D8571" s="1" t="str">
        <f>"07107"</f>
        <v>07107</v>
      </c>
      <c r="E8571" s="1" t="s">
        <v>505</v>
      </c>
      <c r="F8571" s="1">
        <v>15</v>
      </c>
      <c r="G8571" s="1">
        <v>8</v>
      </c>
      <c r="H8571" s="1">
        <v>1</v>
      </c>
      <c r="I8571" s="1" t="s">
        <v>16835</v>
      </c>
      <c r="K8571" s="1" t="str">
        <f t="shared" si="540"/>
        <v>ㄒ</v>
      </c>
      <c r="L8571" s="1" t="str">
        <f t="shared" si="541"/>
        <v>ㄧ</v>
      </c>
      <c r="M8571" s="1" t="str">
        <f t="shared" si="539"/>
        <v>ㄢ</v>
      </c>
      <c r="P8571" s="1" t="s">
        <v>20</v>
      </c>
      <c r="R8571" s="1" t="s">
        <v>16836</v>
      </c>
      <c r="V8571" s="1" t="s">
        <v>16877</v>
      </c>
      <c r="W8571" s="1" t="s">
        <v>16878</v>
      </c>
      <c r="AR8571" s="1" t="str">
        <f t="shared" si="538"/>
        <v>| [ㄒㄧㄢˊ](ㄒㄧㄢˊ.md) | [賢](賢.md) |  | xián | [名]
有才能德行的人。如：「聖賢」、「選賢與能」、「見賢思齊」。
[形]
1.良善的、有才能德行的。如：「賢妻良母」、「賢君」、「賢臣」。
2.對輩分相同或較低的人的敬稱。如：「賢侄」、「賢弟」、「賢昆仲」、「賢伉儷」。
[動]
1.尊崇、重視。《禮記．大學》：「君子賢其賢而親其親。」《新唐書．卷一二四．姚崇傳》：「崇奏決若流，武后賢之。」
2.勝過、超過。《儀禮．鄉射禮》：「若右勝則曰右賢於左。」唐．韓愈〈師說〉：「師不必賢於弟子。」
[代]
你，第二人稱的敬稱。同「公」、「君」。宋．吳潛〈望江南．家山好〉詞：「自古幾番成與敗，從來百種醜和妍。細算不由賢。」《劉知遠諸宮調．第二》：「生時節是你妻，便死也是賢婦。」 |</v>
      </c>
    </row>
    <row r="8572" spans="1:44" hidden="1">
      <c r="A8572" s="1" t="s">
        <v>16261</v>
      </c>
      <c r="C8572" s="1">
        <v>1</v>
      </c>
      <c r="D8572" s="1" t="str">
        <f>"07108"</f>
        <v>07108</v>
      </c>
      <c r="E8572" s="1" t="s">
        <v>129</v>
      </c>
      <c r="F8572" s="1">
        <v>9</v>
      </c>
      <c r="G8572" s="1">
        <v>6</v>
      </c>
      <c r="H8572" s="1">
        <v>3</v>
      </c>
      <c r="I8572" s="1" t="s">
        <v>16879</v>
      </c>
      <c r="K8572" s="1" t="str">
        <f t="shared" si="540"/>
        <v>ㄒ</v>
      </c>
      <c r="L8572" s="1" t="str">
        <f t="shared" si="541"/>
        <v>ㄧ</v>
      </c>
      <c r="M8572" s="1" t="str">
        <f t="shared" si="539"/>
        <v>ㄢ</v>
      </c>
      <c r="P8572" s="1" t="s">
        <v>20</v>
      </c>
      <c r="R8572" s="1" t="s">
        <v>16880</v>
      </c>
      <c r="V8572" s="1" t="s">
        <v>16881</v>
      </c>
      <c r="W8572" s="1" t="s">
        <v>16882</v>
      </c>
      <c r="AR8572" s="1" t="str">
        <f t="shared" si="538"/>
        <v>| [ㄒㄧㄢˇ](ㄒㄧㄢˇ.md) | [洒](洒.md) |  | xiǎn | [形]
1.深峻。《爾雅．釋丘》：「望厓洒而高岸。」
2.肅敬。《禮記．玉藻》：「君子之飲酒也，受一爵而色洒如也。」 |</v>
      </c>
    </row>
    <row r="8573" spans="1:44" hidden="1">
      <c r="A8573" s="1" t="s">
        <v>16266</v>
      </c>
      <c r="C8573" s="1">
        <v>1</v>
      </c>
      <c r="D8573" s="1" t="str">
        <f>"07109"</f>
        <v>07109</v>
      </c>
      <c r="E8573" s="1" t="s">
        <v>129</v>
      </c>
      <c r="F8573" s="1">
        <v>9</v>
      </c>
      <c r="G8573" s="1">
        <v>6</v>
      </c>
      <c r="H8573" s="1">
        <v>2</v>
      </c>
      <c r="I8573" s="1" t="s">
        <v>16879</v>
      </c>
      <c r="K8573" s="1" t="str">
        <f t="shared" si="540"/>
        <v>ㄒ</v>
      </c>
      <c r="L8573" s="1" t="str">
        <f t="shared" si="541"/>
        <v>ㄧ</v>
      </c>
      <c r="M8573" s="1" t="str">
        <f t="shared" si="539"/>
        <v>ㄢ</v>
      </c>
      <c r="P8573" s="1" t="s">
        <v>20</v>
      </c>
      <c r="R8573" s="1" t="s">
        <v>16880</v>
      </c>
      <c r="V8573" s="1" t="s">
        <v>16883</v>
      </c>
      <c r="W8573" s="1" t="s">
        <v>16884</v>
      </c>
      <c r="AR8573" s="1" t="str">
        <f t="shared" si="538"/>
        <v>| [ㄒㄧㄢˇ](ㄒㄧㄢˇ.md) | [洗](洗.md) |  | xiǎn | [名]
1.植物名。即大棗。鼠李科棗屬，落葉喬木。葉互生，卵形，邊緣具鈍鋸齒。夏季開淡綠色花，成聚繖花序。核果呈長橢圓形，成熟時為金紅色。《爾雅．釋木》：「洗，大棗。」
2.姓。如明代有洗光。 |</v>
      </c>
    </row>
    <row r="8574" spans="1:44" hidden="1">
      <c r="A8574" s="1" t="s">
        <v>16885</v>
      </c>
      <c r="C8574" s="1">
        <v>1</v>
      </c>
      <c r="D8574" s="1" t="str">
        <f>"07110"</f>
        <v>07110</v>
      </c>
      <c r="E8574" s="1" t="s">
        <v>534</v>
      </c>
      <c r="F8574" s="1">
        <v>9</v>
      </c>
      <c r="G8574" s="1">
        <v>6</v>
      </c>
      <c r="H8574" s="1">
        <v>0</v>
      </c>
      <c r="I8574" s="1" t="s">
        <v>16879</v>
      </c>
      <c r="K8574" s="1" t="str">
        <f t="shared" si="540"/>
        <v>ㄒ</v>
      </c>
      <c r="L8574" s="1" t="str">
        <f t="shared" si="541"/>
        <v>ㄧ</v>
      </c>
      <c r="M8574" s="1" t="str">
        <f t="shared" si="539"/>
        <v>ㄢ</v>
      </c>
      <c r="P8574" s="1" t="s">
        <v>20</v>
      </c>
      <c r="R8574" s="1" t="s">
        <v>16880</v>
      </c>
      <c r="V8574" s="1" t="s">
        <v>16886</v>
      </c>
      <c r="AR8574" s="1" t="str">
        <f t="shared" si="538"/>
        <v>| [ㄒㄧㄢˇ](ㄒㄧㄢˇ.md) | [姺](姺.md) |  | xiǎn | [名]
國名。商朝封國之一，故址相傳在今山東曹縣北方的莘塜集。也稱為「有侁氏」或「有莘氏」。 |</v>
      </c>
    </row>
    <row r="8575" spans="1:44" hidden="1">
      <c r="A8575" s="1" t="s">
        <v>16887</v>
      </c>
      <c r="C8575" s="1">
        <v>1</v>
      </c>
      <c r="D8575" s="1" t="str">
        <f>"07111"</f>
        <v>07111</v>
      </c>
      <c r="E8575" s="1" t="s">
        <v>1703</v>
      </c>
      <c r="F8575" s="1">
        <v>10</v>
      </c>
      <c r="G8575" s="1">
        <v>6</v>
      </c>
      <c r="H8575" s="1">
        <v>0</v>
      </c>
      <c r="I8575" s="1" t="s">
        <v>16879</v>
      </c>
      <c r="K8575" s="1" t="str">
        <f t="shared" si="540"/>
        <v>ㄒ</v>
      </c>
      <c r="L8575" s="1" t="str">
        <f t="shared" si="541"/>
        <v>ㄧ</v>
      </c>
      <c r="M8575" s="1" t="str">
        <f t="shared" si="539"/>
        <v>ㄢ</v>
      </c>
      <c r="P8575" s="1" t="s">
        <v>20</v>
      </c>
      <c r="R8575" s="1" t="s">
        <v>16880</v>
      </c>
      <c r="V8575" s="1" t="s">
        <v>16888</v>
      </c>
      <c r="AR8575" s="1" t="str">
        <f t="shared" si="538"/>
        <v>| [ㄒㄧㄢˇ](ㄒㄧㄢˇ.md) | [毨](毨.md) |  | xiǎn | [形]
羽毛新生，整齊美麗的樣子。《書經．堯典》：「厥民夷，鳥獸毛毨。」 |</v>
      </c>
    </row>
    <row r="8576" spans="1:44" hidden="1">
      <c r="A8576" s="1" t="s">
        <v>16889</v>
      </c>
      <c r="C8576" s="1">
        <v>1</v>
      </c>
      <c r="D8576" s="1" t="str">
        <f>"07112"</f>
        <v>07112</v>
      </c>
      <c r="E8576" s="1" t="s">
        <v>49</v>
      </c>
      <c r="F8576" s="1">
        <v>12</v>
      </c>
      <c r="G8576" s="1">
        <v>6</v>
      </c>
      <c r="H8576" s="1">
        <v>0</v>
      </c>
      <c r="I8576" s="1" t="s">
        <v>16879</v>
      </c>
      <c r="K8576" s="1" t="str">
        <f t="shared" si="540"/>
        <v>ㄒ</v>
      </c>
      <c r="L8576" s="1" t="str">
        <f t="shared" si="541"/>
        <v>ㄧ</v>
      </c>
      <c r="M8576" s="1" t="str">
        <f t="shared" si="539"/>
        <v>ㄢ</v>
      </c>
      <c r="P8576" s="1" t="s">
        <v>20</v>
      </c>
      <c r="R8576" s="1" t="s">
        <v>16880</v>
      </c>
      <c r="V8576" s="1" t="s">
        <v>16890</v>
      </c>
      <c r="AR8576" s="1" t="str">
        <f t="shared" si="538"/>
        <v>| [ㄒㄧㄢˇ](ㄒㄧㄢˇ.md) | [筅](筅.md) |  | xiǎn | 參見「筅帚」條。 |</v>
      </c>
    </row>
    <row r="8577" spans="1:44" hidden="1">
      <c r="A8577" s="1" t="s">
        <v>16891</v>
      </c>
      <c r="C8577" s="1">
        <v>1</v>
      </c>
      <c r="D8577" s="1" t="str">
        <f>"07113"</f>
        <v>07113</v>
      </c>
      <c r="E8577" s="1" t="s">
        <v>77</v>
      </c>
      <c r="F8577" s="1">
        <v>13</v>
      </c>
      <c r="G8577" s="1">
        <v>6</v>
      </c>
      <c r="H8577" s="1">
        <v>0</v>
      </c>
      <c r="I8577" s="1" t="s">
        <v>16879</v>
      </c>
      <c r="K8577" s="1" t="str">
        <f t="shared" si="540"/>
        <v>ㄒ</v>
      </c>
      <c r="L8577" s="1" t="str">
        <f t="shared" si="541"/>
        <v>ㄧ</v>
      </c>
      <c r="M8577" s="1" t="str">
        <f t="shared" si="539"/>
        <v>ㄢ</v>
      </c>
      <c r="P8577" s="1" t="s">
        <v>20</v>
      </c>
      <c r="R8577" s="1" t="s">
        <v>16880</v>
      </c>
      <c r="V8577" s="1" t="s">
        <v>16892</v>
      </c>
      <c r="AR8577" s="1" t="str">
        <f t="shared" si="538"/>
        <v>| [ㄒㄧㄢˇ](ㄒㄧㄢˇ.md) | [跣](跣.md) |  | xiǎn | [副]
光腳、赤腳。《淮南子．脩務》：「於是乃贏糧跣走，跋涉谷行。」 |</v>
      </c>
    </row>
    <row r="8578" spans="1:44" hidden="1">
      <c r="A8578" s="1" t="s">
        <v>16893</v>
      </c>
      <c r="C8578" s="1">
        <v>1</v>
      </c>
      <c r="D8578" s="1" t="str">
        <f>"07114"</f>
        <v>07114</v>
      </c>
      <c r="E8578" s="1" t="s">
        <v>55</v>
      </c>
      <c r="F8578" s="1">
        <v>14</v>
      </c>
      <c r="G8578" s="1">
        <v>6</v>
      </c>
      <c r="H8578" s="1">
        <v>0</v>
      </c>
      <c r="I8578" s="1" t="s">
        <v>16879</v>
      </c>
      <c r="K8578" s="1" t="str">
        <f t="shared" si="540"/>
        <v>ㄒ</v>
      </c>
      <c r="L8578" s="1" t="str">
        <f t="shared" si="541"/>
        <v>ㄧ</v>
      </c>
      <c r="M8578" s="1" t="str">
        <f t="shared" si="539"/>
        <v>ㄢ</v>
      </c>
      <c r="P8578" s="1" t="s">
        <v>20</v>
      </c>
      <c r="R8578" s="1" t="s">
        <v>16880</v>
      </c>
      <c r="V8578" s="1" t="s">
        <v>16894</v>
      </c>
      <c r="AR8578" s="1" t="str">
        <f t="shared" si="538"/>
        <v>| [ㄒㄧㄢˇ](ㄒㄧㄢˇ.md) | [銑](銑.md) |  | xiǎn | [名]
1.最有光澤的金屬。《說文解字．金部》：「銑，金之澤者。」《文選．江淹．齊故司徒右長史檀超墓銘》：「惟金有銑，惟玉有瑤。」
2.鐘的兩角。《說文解字．金部》：「銑，一曰鐘兩角謂之銑。」《周禮．冬官考工記．鳧氏》：「鳧氏為鍾，兩欒謂之銑。」唐．賈公彥．疏：「欒、銑一物，俱謂鍾兩角。古之樂器應律之鍾，狀如今之鈴，不圜，故有兩角也。」
3.參見「銑鐵」、「銑鋧」、「銑床」等條。 |</v>
      </c>
    </row>
    <row r="8579" spans="1:44" hidden="1">
      <c r="A8579" s="1" t="s">
        <v>16895</v>
      </c>
      <c r="C8579" s="1">
        <v>1</v>
      </c>
      <c r="D8579" s="1" t="str">
        <f>"07115"</f>
        <v>07115</v>
      </c>
      <c r="E8579" s="1" t="s">
        <v>55</v>
      </c>
      <c r="F8579" s="1">
        <v>17</v>
      </c>
      <c r="G8579" s="1">
        <v>9</v>
      </c>
      <c r="H8579" s="1">
        <v>0</v>
      </c>
      <c r="I8579" s="1" t="s">
        <v>16879</v>
      </c>
      <c r="K8579" s="1" t="str">
        <f t="shared" si="540"/>
        <v>ㄒ</v>
      </c>
      <c r="L8579" s="1" t="str">
        <f t="shared" si="541"/>
        <v>ㄧ</v>
      </c>
      <c r="M8579" s="1" t="str">
        <f t="shared" si="539"/>
        <v>ㄢ</v>
      </c>
      <c r="P8579" s="1" t="s">
        <v>20</v>
      </c>
      <c r="R8579" s="1" t="s">
        <v>16880</v>
      </c>
      <c r="V8579" s="1" t="s">
        <v>16896</v>
      </c>
      <c r="AR8579" s="1" t="str">
        <f t="shared" ref="AR8579:AR8642" si="542">"| ["&amp;I8579&amp;"]("&amp;I8579&amp;".md) | ["&amp;A8579&amp;"]("&amp;A8579&amp;".md) | "&amp;" | "&amp;R8579&amp;" | "&amp;V8579&amp;" |"</f>
        <v>| [ㄒㄧㄢˇ](ㄒㄧㄢˇ.md) | [鍌](鍌.md) |  | xiǎn | [名]
人名用字。如唐代有竇維鍌。 |</v>
      </c>
    </row>
    <row r="8580" spans="1:44" hidden="1">
      <c r="A8580" s="1" t="s">
        <v>16897</v>
      </c>
      <c r="C8580" s="1">
        <v>1</v>
      </c>
      <c r="D8580" s="1" t="str">
        <f>"07116"</f>
        <v>07116</v>
      </c>
      <c r="E8580" s="1" t="s">
        <v>13811</v>
      </c>
      <c r="F8580" s="1">
        <v>13</v>
      </c>
      <c r="G8580" s="1">
        <v>10</v>
      </c>
      <c r="H8580" s="1">
        <v>0</v>
      </c>
      <c r="I8580" s="1" t="s">
        <v>16879</v>
      </c>
      <c r="K8580" s="1" t="str">
        <f t="shared" si="540"/>
        <v>ㄒ</v>
      </c>
      <c r="L8580" s="1" t="str">
        <f t="shared" si="541"/>
        <v>ㄧ</v>
      </c>
      <c r="M8580" s="1" t="str">
        <f t="shared" si="539"/>
        <v>ㄢ</v>
      </c>
      <c r="P8580" s="1" t="s">
        <v>20</v>
      </c>
      <c r="R8580" s="1" t="s">
        <v>16880</v>
      </c>
      <c r="V8580" s="1" t="s">
        <v>16898</v>
      </c>
      <c r="AR8580" s="1" t="str">
        <f t="shared" si="542"/>
        <v>| [ㄒㄧㄢˇ](ㄒㄧㄢˇ.md) | [尟](尟.md) |  | xiǎn | [副]
少。同「鮮」。《文選．陸機．歎逝賦》：「戚貌瘁而尟歡。」清．汪中〈先母鄒孺人靈表〉：「蓋終其身，尟一日之歡焉。」 |</v>
      </c>
    </row>
    <row r="8581" spans="1:44" hidden="1">
      <c r="A8581" s="1" t="s">
        <v>16899</v>
      </c>
      <c r="C8581" s="1">
        <v>1</v>
      </c>
      <c r="D8581" s="1" t="str">
        <f>"07117"</f>
        <v>07117</v>
      </c>
      <c r="E8581" s="1" t="s">
        <v>679</v>
      </c>
      <c r="F8581" s="1">
        <v>13</v>
      </c>
      <c r="G8581" s="1">
        <v>7</v>
      </c>
      <c r="H8581" s="1">
        <v>0</v>
      </c>
      <c r="I8581" s="1" t="s">
        <v>16879</v>
      </c>
      <c r="K8581" s="1" t="str">
        <f t="shared" si="540"/>
        <v>ㄒ</v>
      </c>
      <c r="L8581" s="1" t="str">
        <f t="shared" si="541"/>
        <v>ㄧ</v>
      </c>
      <c r="M8581" s="1" t="str">
        <f t="shared" si="539"/>
        <v>ㄢ</v>
      </c>
      <c r="P8581" s="1" t="s">
        <v>20</v>
      </c>
      <c r="R8581" s="1" t="s">
        <v>16880</v>
      </c>
      <c r="V8581" s="1" t="s">
        <v>16900</v>
      </c>
      <c r="AR8581" s="1" t="str">
        <f t="shared" si="542"/>
        <v>| [ㄒㄧㄢˇ](ㄒㄧㄢˇ.md) | [蜆](蜆.md) |  | xiǎn | [名]
動物名：(1)瓣鰓綱蜆科。似小蛤蜊，介殼為二等邊三角形，表面有輪紋，色外褐內紫。肉可食，介殼磨粉可入藥。生活在淡水中。也稱為「扁螺」。(2)一種蝶類的幼蟲。頭赤身黑，吐絲自懸於枝葉或簷壁間。也稱為「縊蟲」、「縊女」。 |</v>
      </c>
    </row>
    <row r="8582" spans="1:44" hidden="1">
      <c r="A8582" s="1" t="s">
        <v>16901</v>
      </c>
      <c r="C8582" s="1">
        <v>1</v>
      </c>
      <c r="D8582" s="1" t="str">
        <f>"07118"</f>
        <v>07118</v>
      </c>
      <c r="E8582" s="1" t="s">
        <v>55</v>
      </c>
      <c r="F8582" s="1">
        <v>15</v>
      </c>
      <c r="G8582" s="1">
        <v>7</v>
      </c>
      <c r="H8582" s="1">
        <v>0</v>
      </c>
      <c r="I8582" s="1" t="s">
        <v>16879</v>
      </c>
      <c r="K8582" s="1" t="str">
        <f t="shared" si="540"/>
        <v>ㄒ</v>
      </c>
      <c r="L8582" s="1" t="str">
        <f t="shared" si="541"/>
        <v>ㄧ</v>
      </c>
      <c r="M8582" s="1" t="str">
        <f t="shared" si="539"/>
        <v>ㄢ</v>
      </c>
      <c r="P8582" s="1" t="s">
        <v>20</v>
      </c>
      <c r="R8582" s="1" t="s">
        <v>16880</v>
      </c>
      <c r="V8582" s="1" t="s">
        <v>16902</v>
      </c>
      <c r="AR8582" s="1" t="str">
        <f t="shared" si="542"/>
        <v>| [ㄒㄧㄢˇ](ㄒㄧㄢˇ.md) | [鋧](鋧.md) |  | xiǎn | 參見「銑鋧」條。 |</v>
      </c>
    </row>
    <row r="8583" spans="1:44" hidden="1">
      <c r="A8583" s="1" t="s">
        <v>16903</v>
      </c>
      <c r="C8583" s="1">
        <v>1</v>
      </c>
      <c r="D8583" s="1" t="str">
        <f>"07119"</f>
        <v>07119</v>
      </c>
      <c r="E8583" s="1" t="s">
        <v>190</v>
      </c>
      <c r="F8583" s="1">
        <v>16</v>
      </c>
      <c r="G8583" s="1">
        <v>13</v>
      </c>
      <c r="H8583" s="1">
        <v>0</v>
      </c>
      <c r="I8583" s="1" t="s">
        <v>16879</v>
      </c>
      <c r="K8583" s="1" t="str">
        <f t="shared" si="540"/>
        <v>ㄒ</v>
      </c>
      <c r="L8583" s="1" t="str">
        <f t="shared" si="541"/>
        <v>ㄧ</v>
      </c>
      <c r="M8583" s="1" t="str">
        <f t="shared" si="539"/>
        <v>ㄢ</v>
      </c>
      <c r="P8583" s="1" t="s">
        <v>20</v>
      </c>
      <c r="R8583" s="1" t="s">
        <v>16880</v>
      </c>
      <c r="V8583" s="1" t="s">
        <v>16904</v>
      </c>
      <c r="AR8583" s="1" t="str">
        <f t="shared" si="542"/>
        <v>| [ㄒㄧㄢˇ](ㄒㄧㄢˇ.md) | [嶮](嶮.md) |  | xiǎn | [形]
1.地勢險惡難行。《後漢書．卷二四．馬援傳》：「從壺頭則路近而水嶮，從充則塗夷而運遠。」
2.高峻。《文選．郭璞．江賦》：「壯天地之嶮介。」
[副]
險些、差一點。元．關漢卿《單刀會》第一折：「嶮諕殺許褚、張遼。」明．湯顯祖《牡丹亭》第七齣：「桃李門牆，嶮把負荊人諕煞。」 |</v>
      </c>
    </row>
    <row r="8584" spans="1:44" hidden="1">
      <c r="A8584" s="1" t="s">
        <v>16905</v>
      </c>
      <c r="C8584" s="1">
        <v>1</v>
      </c>
      <c r="D8584" s="1" t="str">
        <f>"07120"</f>
        <v>07120</v>
      </c>
      <c r="E8584" s="1" t="s">
        <v>198</v>
      </c>
      <c r="F8584" s="1">
        <v>16</v>
      </c>
      <c r="G8584" s="1">
        <v>13</v>
      </c>
      <c r="H8584" s="1">
        <v>0</v>
      </c>
      <c r="I8584" s="1" t="s">
        <v>16879</v>
      </c>
      <c r="K8584" s="1" t="str">
        <f t="shared" si="540"/>
        <v>ㄒ</v>
      </c>
      <c r="L8584" s="1" t="str">
        <f t="shared" si="541"/>
        <v>ㄧ</v>
      </c>
      <c r="M8584" s="1" t="str">
        <f t="shared" si="539"/>
        <v>ㄢ</v>
      </c>
      <c r="P8584" s="1" t="s">
        <v>20</v>
      </c>
      <c r="R8584" s="1" t="s">
        <v>16880</v>
      </c>
      <c r="V8584" s="1" t="s">
        <v>16906</v>
      </c>
      <c r="AR8584" s="1" t="str">
        <f t="shared" si="542"/>
        <v>| [ㄒㄧㄢˇ](ㄒㄧㄢˇ.md) | [獫](獫.md) |  | xiǎn | [名]
一種長嘴的狗。《說文解字．犬部》：「獫，長喙犬。」 |</v>
      </c>
    </row>
    <row r="8585" spans="1:44" hidden="1">
      <c r="A8585" s="1" t="s">
        <v>16907</v>
      </c>
      <c r="C8585" s="1">
        <v>1</v>
      </c>
      <c r="D8585" s="1" t="str">
        <f>"07121"</f>
        <v>07121</v>
      </c>
      <c r="E8585" s="1" t="s">
        <v>691</v>
      </c>
      <c r="F8585" s="1">
        <v>16</v>
      </c>
      <c r="G8585" s="1">
        <v>13</v>
      </c>
      <c r="H8585" s="1">
        <v>0</v>
      </c>
      <c r="I8585" s="1" t="s">
        <v>16879</v>
      </c>
      <c r="K8585" s="1" t="str">
        <f t="shared" si="540"/>
        <v>ㄒ</v>
      </c>
      <c r="L8585" s="1" t="str">
        <f t="shared" si="541"/>
        <v>ㄧ</v>
      </c>
      <c r="M8585" s="1" t="str">
        <f t="shared" si="539"/>
        <v>ㄢ</v>
      </c>
      <c r="P8585" s="1" t="s">
        <v>20</v>
      </c>
      <c r="R8585" s="1" t="s">
        <v>16880</v>
      </c>
      <c r="V8585" s="1" t="s">
        <v>16908</v>
      </c>
      <c r="AR8585" s="1" t="str">
        <f t="shared" si="542"/>
        <v>| [ㄒㄧㄢˇ](ㄒㄧㄢˇ.md) | [險](險.md) |  | xiǎn | [名]
1.地勢險惡的要塞。如：「天險」、「重險」、「無險可守」。《孟子．公孫丑下》：「固國不以山谿之險。」唐．杜甫〈上白帝城〉詩：「公孫初恃險，躍馬意何長。」
2.無法預料安危成敗的事或可能。如：「冒險」、「風險很大」、「鋌而走險」。《禮記．中庸》：「故君子居易以俟命，小人行險以徼幸。」
3.保險的簡稱。參見「保險」條。如：「壽險」、「火險」、「長期照護險」、「第三人責任險」。
[形]
1.地勢艱危的。如：「險道」、「險坡」。唐．韓愈〈八月十五夜贈張功曹〉詩：「同時輩流多上道，天路幽險難追攀。」
2.危急。如：「險局」、「險象環生」、「脫離險境」。
3.邪惡狠毒、陰沉難測。如：「險詐」、「陰險」、「奸險」。《三國志．卷五〇．吳書．妃嬪傳．吳主權潘夫人》：「性險妒容媚，自始至卒，譖害袁夫人等甚眾。」
[副]
幾乎、差一點。如：「險勝」、「險遭毒手」、「險被活埋」。元．王實甫《西廂記．第四本．第三折》：「眼底空留意，尋思起就裡，險化做望夫石。」 |</v>
      </c>
    </row>
    <row r="8586" spans="1:44" hidden="1">
      <c r="A8586" s="1" t="s">
        <v>16909</v>
      </c>
      <c r="C8586" s="1">
        <v>1</v>
      </c>
      <c r="D8586" s="1" t="str">
        <f>"07122"</f>
        <v>07122</v>
      </c>
      <c r="E8586" s="1" t="s">
        <v>331</v>
      </c>
      <c r="F8586" s="1">
        <v>20</v>
      </c>
      <c r="G8586" s="1">
        <v>13</v>
      </c>
      <c r="H8586" s="1">
        <v>0</v>
      </c>
      <c r="I8586" s="1" t="s">
        <v>16879</v>
      </c>
      <c r="K8586" s="1" t="str">
        <f t="shared" si="540"/>
        <v>ㄒ</v>
      </c>
      <c r="L8586" s="1" t="str">
        <f t="shared" si="541"/>
        <v>ㄧ</v>
      </c>
      <c r="M8586" s="1" t="str">
        <f t="shared" si="539"/>
        <v>ㄢ</v>
      </c>
      <c r="P8586" s="1" t="s">
        <v>20</v>
      </c>
      <c r="R8586" s="1" t="s">
        <v>16880</v>
      </c>
      <c r="V8586" s="1" t="s">
        <v>16910</v>
      </c>
      <c r="AR8586" s="1" t="str">
        <f t="shared" si="542"/>
        <v>| [ㄒㄧㄢˇ](ㄒㄧㄢˇ.md) | [譣](譣.md) |  | xiǎn | [動]
問。《說文解字．言部》：「譣，問也。《周書》曰：『勿以譣人。』」 |</v>
      </c>
    </row>
    <row r="8587" spans="1:44" hidden="1">
      <c r="A8587" s="1" t="s">
        <v>16821</v>
      </c>
      <c r="C8587" s="1">
        <v>1</v>
      </c>
      <c r="D8587" s="1" t="str">
        <f>"07123"</f>
        <v>07123</v>
      </c>
      <c r="E8587" s="1" t="s">
        <v>156</v>
      </c>
      <c r="F8587" s="1">
        <v>17</v>
      </c>
      <c r="G8587" s="1">
        <v>6</v>
      </c>
      <c r="H8587" s="1">
        <v>2</v>
      </c>
      <c r="I8587" s="1" t="s">
        <v>16879</v>
      </c>
      <c r="K8587" s="1" t="str">
        <f t="shared" si="540"/>
        <v>ㄒ</v>
      </c>
      <c r="L8587" s="1" t="str">
        <f t="shared" si="541"/>
        <v>ㄧ</v>
      </c>
      <c r="M8587" s="1" t="str">
        <f t="shared" si="539"/>
        <v>ㄢ</v>
      </c>
      <c r="P8587" s="1" t="s">
        <v>20</v>
      </c>
      <c r="R8587" s="1" t="s">
        <v>16880</v>
      </c>
      <c r="V8587" s="1" t="s">
        <v>16911</v>
      </c>
      <c r="W8587" s="1" t="s">
        <v>16912</v>
      </c>
      <c r="AR8587" s="1" t="str">
        <f t="shared" si="542"/>
        <v>| [ㄒㄧㄢˇ](ㄒㄧㄢˇ.md) | [鮮](鮮.md) |  | xiǎn | [副]_x000D_
少。如：「鮮見」。《論語．學而》：「子曰：『巧言令色，鮮矣仁。』」三國魏．曹丕〈典論論文〉：「夫人善于自見，鮮能備善。」宋．周敦頤〈愛蓮說〉：「菊之愛，陶後鮮有聞。」_x000D_
[形]_x000D_
早死、夭折。《左傳．昭公五年》：「葬鮮者自西門。」 |</v>
      </c>
    </row>
    <row r="8588" spans="1:44" hidden="1">
      <c r="A8588" s="1" t="s">
        <v>16913</v>
      </c>
      <c r="C8588" s="1">
        <v>1</v>
      </c>
      <c r="D8588" s="1" t="str">
        <f>"07124"</f>
        <v>07124</v>
      </c>
      <c r="E8588" s="1" t="s">
        <v>37</v>
      </c>
      <c r="F8588" s="1">
        <v>21</v>
      </c>
      <c r="G8588" s="1">
        <v>17</v>
      </c>
      <c r="H8588" s="1">
        <v>0</v>
      </c>
      <c r="I8588" s="1" t="s">
        <v>16879</v>
      </c>
      <c r="K8588" s="1" t="str">
        <f t="shared" si="540"/>
        <v>ㄒ</v>
      </c>
      <c r="L8588" s="1" t="str">
        <f t="shared" si="541"/>
        <v>ㄧ</v>
      </c>
      <c r="M8588" s="1" t="str">
        <f t="shared" si="539"/>
        <v>ㄢ</v>
      </c>
      <c r="P8588" s="1" t="s">
        <v>20</v>
      </c>
      <c r="R8588" s="1" t="s">
        <v>16880</v>
      </c>
      <c r="V8588" s="1" t="s">
        <v>16914</v>
      </c>
      <c r="AR8588" s="1" t="str">
        <f t="shared" si="542"/>
        <v>| [ㄒㄧㄢˇ](ㄒㄧㄢˇ.md) | [蘚](蘚.md) |  | xiǎn | [名]
蘚苔植物中「蘚類」之泛稱。配子體葉狀，大抵皆橫臥於地上。有適應陸生的構造。下表皮無氣孔，但有用以吸收及附著的假根。此類植物生長在陰溼地區，分布極廣，高山、極地、岩壁、牆垣或樹皮上，均可見蹤跡。參見「蘚類」條。 |</v>
      </c>
    </row>
    <row r="8589" spans="1:44" hidden="1">
      <c r="A8589" s="1" t="s">
        <v>16915</v>
      </c>
      <c r="C8589" s="1">
        <v>1</v>
      </c>
      <c r="D8589" s="1" t="str">
        <f>"07125"</f>
        <v>07125</v>
      </c>
      <c r="E8589" s="1" t="s">
        <v>40</v>
      </c>
      <c r="F8589" s="1">
        <v>22</v>
      </c>
      <c r="G8589" s="1">
        <v>17</v>
      </c>
      <c r="H8589" s="1">
        <v>1</v>
      </c>
      <c r="I8589" s="1" t="s">
        <v>16879</v>
      </c>
      <c r="K8589" s="1" t="str">
        <f t="shared" si="540"/>
        <v>ㄒ</v>
      </c>
      <c r="L8589" s="1" t="str">
        <f t="shared" si="541"/>
        <v>ㄧ</v>
      </c>
      <c r="M8589" s="1" t="str">
        <f t="shared" si="539"/>
        <v>ㄢ</v>
      </c>
      <c r="P8589" s="1" t="s">
        <v>186</v>
      </c>
      <c r="R8589" s="1" t="s">
        <v>16880</v>
      </c>
      <c r="V8589" s="1" t="s">
        <v>16916</v>
      </c>
      <c r="W8589" s="1" t="s">
        <v>16917</v>
      </c>
      <c r="AR8589" s="1" t="str">
        <f t="shared" si="542"/>
        <v>| [ㄒㄧㄢˇ](ㄒㄧㄢˇ.md) | [癬](癬.md) |  | xiǎn | [名]
多種皮膚病的共用名詞。一般指皮膚、指甲、毛髮的黴菌感染，會傳染。如白癬、頭癬、甲癬、腳癬。但也可用於形容其他會有白色鱗狀皮屑的皮膚病，如疥癬、乾癬、魚鱗癬、牛皮癬。 |</v>
      </c>
    </row>
    <row r="8590" spans="1:44" hidden="1">
      <c r="A8590" s="1" t="s">
        <v>16918</v>
      </c>
      <c r="C8590" s="1">
        <v>1</v>
      </c>
      <c r="D8590" s="1" t="str">
        <f>"07126"</f>
        <v>07126</v>
      </c>
      <c r="E8590" s="1" t="s">
        <v>198</v>
      </c>
      <c r="F8590" s="1">
        <v>17</v>
      </c>
      <c r="G8590" s="1">
        <v>14</v>
      </c>
      <c r="H8590" s="1">
        <v>0</v>
      </c>
      <c r="I8590" s="1" t="s">
        <v>16879</v>
      </c>
      <c r="K8590" s="1" t="str">
        <f t="shared" si="540"/>
        <v>ㄒ</v>
      </c>
      <c r="L8590" s="1" t="str">
        <f t="shared" si="541"/>
        <v>ㄧ</v>
      </c>
      <c r="M8590" s="1" t="str">
        <f t="shared" si="539"/>
        <v>ㄢ</v>
      </c>
      <c r="P8590" s="1" t="s">
        <v>20</v>
      </c>
      <c r="R8590" s="1" t="s">
        <v>16880</v>
      </c>
      <c r="V8590" s="1" t="s">
        <v>16919</v>
      </c>
      <c r="AR8590" s="1" t="str">
        <f t="shared" si="542"/>
        <v>| [ㄒㄧㄢˇ](ㄒㄧㄢˇ.md) | [獮](獮.md) |  | xiǎn | [名]
古代狩獵因四季之不同，而名稱各異，秋天稱為「獮」。《爾雅．釋天》：「秋獵為獮。」《周禮．春官．肆師》：「獮之日，蒞卜來歲之戒。」漢．鄭玄．注：「秋田為獮。」
[動]
殺。《文選．張衡．西京賦》：「白日未及移其晷，已獮其什七八。」明．徐弘祖《徐霞客遊記．卷一〇上．滇遊日記十二》：「大候州土官俸貞與之濟逆，遂并雉獮之。」 |</v>
      </c>
    </row>
    <row r="8591" spans="1:44" hidden="1">
      <c r="A8591" s="1" t="s">
        <v>16920</v>
      </c>
      <c r="C8591" s="1">
        <v>1</v>
      </c>
      <c r="D8591" s="1" t="str">
        <f>"07127"</f>
        <v>07127</v>
      </c>
      <c r="E8591" s="1" t="s">
        <v>336</v>
      </c>
      <c r="F8591" s="1">
        <v>18</v>
      </c>
      <c r="G8591" s="1">
        <v>14</v>
      </c>
      <c r="H8591" s="1">
        <v>0</v>
      </c>
      <c r="I8591" s="1" t="s">
        <v>16879</v>
      </c>
      <c r="K8591" s="1" t="str">
        <f t="shared" si="540"/>
        <v>ㄒ</v>
      </c>
      <c r="L8591" s="1" t="str">
        <f t="shared" si="541"/>
        <v>ㄧ</v>
      </c>
      <c r="M8591" s="1" t="str">
        <f t="shared" si="539"/>
        <v>ㄢ</v>
      </c>
      <c r="P8591" s="1" t="s">
        <v>20</v>
      </c>
      <c r="R8591" s="1" t="s">
        <v>16880</v>
      </c>
      <c r="V8591" s="1" t="s">
        <v>16921</v>
      </c>
      <c r="AR8591" s="1" t="str">
        <f t="shared" si="542"/>
        <v>| [ㄒㄧㄢˇ](ㄒㄧㄢˇ.md) | [燹](燹.md) |  | xiǎn | [名]
1.火、野火。《說文解字．火部》：「燹，火也。」
2.戰爭所引起的焚燒破壞。明．張自烈《正字通．火部》：「燹，兵火曰燹。」明．高啟〈次韻楊孟載早春見寄〉詩：「久聞離亂今始見，煙火高低變烽燹。」
[動]
焚燒。《紅樓夢》第七八回：「及聞槥棺被燹，慚違共穴之盟。」 |</v>
      </c>
    </row>
    <row r="8592" spans="1:44" hidden="1">
      <c r="A8592" s="1" t="s">
        <v>16922</v>
      </c>
      <c r="C8592" s="1">
        <v>1</v>
      </c>
      <c r="D8592" s="1" t="str">
        <f>"07128"</f>
        <v>07128</v>
      </c>
      <c r="E8592" s="1" t="s">
        <v>222</v>
      </c>
      <c r="F8592" s="1">
        <v>19</v>
      </c>
      <c r="G8592" s="1">
        <v>16</v>
      </c>
      <c r="H8592" s="1">
        <v>0</v>
      </c>
      <c r="I8592" s="1" t="s">
        <v>16879</v>
      </c>
      <c r="K8592" s="1" t="str">
        <f t="shared" si="540"/>
        <v>ㄒ</v>
      </c>
      <c r="L8592" s="1" t="str">
        <f t="shared" si="541"/>
        <v>ㄧ</v>
      </c>
      <c r="M8592" s="1" t="str">
        <f t="shared" si="539"/>
        <v>ㄢ</v>
      </c>
      <c r="P8592" s="1" t="s">
        <v>20</v>
      </c>
      <c r="R8592" s="1" t="s">
        <v>16880</v>
      </c>
      <c r="V8592" s="1" t="s">
        <v>16923</v>
      </c>
      <c r="AR8592" s="1" t="str">
        <f t="shared" si="542"/>
        <v>| [ㄒㄧㄢˇ](ㄒㄧㄢˇ.md) | [幰](幰.md) |  | xiǎn | [名]
1.馬車上的帷幔。《文選．潘岳．藉田賦》：「微風生於輕幰。」
2.借指馬車。南朝梁．劉遵〈度關山〉詩：「路狹幰難回。」《聊齋志異．卷四．辛十四娘》：「躧屣出窺，則繡幰已駐於庭。」 |</v>
      </c>
    </row>
    <row r="8593" spans="1:44" hidden="1">
      <c r="A8593" s="1" t="s">
        <v>16924</v>
      </c>
      <c r="C8593" s="1">
        <v>1</v>
      </c>
      <c r="D8593" s="1" t="str">
        <f>"07129"</f>
        <v>07129</v>
      </c>
      <c r="E8593" s="1" t="s">
        <v>96</v>
      </c>
      <c r="F8593" s="1">
        <v>23</v>
      </c>
      <c r="G8593" s="1">
        <v>14</v>
      </c>
      <c r="H8593" s="1">
        <v>0</v>
      </c>
      <c r="I8593" s="1" t="s">
        <v>16879</v>
      </c>
      <c r="K8593" s="1" t="str">
        <f t="shared" si="540"/>
        <v>ㄒ</v>
      </c>
      <c r="L8593" s="1" t="str">
        <f t="shared" si="541"/>
        <v>ㄧ</v>
      </c>
      <c r="M8593" s="1" t="str">
        <f t="shared" si="539"/>
        <v>ㄢ</v>
      </c>
      <c r="P8593" s="1" t="s">
        <v>20</v>
      </c>
      <c r="R8593" s="1" t="s">
        <v>16880</v>
      </c>
      <c r="V8593" s="1" t="s">
        <v>16925</v>
      </c>
      <c r="AR8593" s="1" t="str">
        <f t="shared" si="542"/>
        <v>| [ㄒㄧㄢˇ](ㄒㄧㄢˇ.md) | [韅](韅.md) |  | xiǎn | [名]
繞在馬腹下，用來縛繫馬鞍的皮帶。《史記．卷二四．禮書》：「寢兕持虎，鮫韅彌龍，所以養威也。」裴駰集解引徐廣曰：「韅者，當馬腋之革。」唐．司馬貞．索隱：「韅，馬腹帶也。」 |</v>
      </c>
    </row>
    <row r="8594" spans="1:44" hidden="1">
      <c r="A8594" s="1" t="s">
        <v>16926</v>
      </c>
      <c r="C8594" s="1">
        <v>1</v>
      </c>
      <c r="D8594" s="1" t="str">
        <f>"07130"</f>
        <v>07130</v>
      </c>
      <c r="E8594" s="1" t="s">
        <v>684</v>
      </c>
      <c r="F8594" s="1">
        <v>23</v>
      </c>
      <c r="G8594" s="1">
        <v>14</v>
      </c>
      <c r="H8594" s="1">
        <v>0</v>
      </c>
      <c r="I8594" s="1" t="s">
        <v>16879</v>
      </c>
      <c r="K8594" s="1" t="str">
        <f t="shared" si="540"/>
        <v>ㄒ</v>
      </c>
      <c r="L8594" s="1" t="str">
        <f t="shared" si="541"/>
        <v>ㄧ</v>
      </c>
      <c r="M8594" s="1" t="str">
        <f t="shared" si="539"/>
        <v>ㄢ</v>
      </c>
      <c r="P8594" s="1" t="s">
        <v>20</v>
      </c>
      <c r="R8594" s="1" t="s">
        <v>16880</v>
      </c>
      <c r="V8594" s="1" t="s">
        <v>16927</v>
      </c>
      <c r="AR8594" s="1" t="str">
        <f t="shared" si="542"/>
        <v>| [ㄒㄧㄢˇ](ㄒㄧㄢˇ.md) | [顯](顯.md) |  | xiǎn | [動]
1.表露、表現。如：「顯現」、「大顯身手」。《詩經．大雅．大明》：「造舟為梁，不顯其光。」
2.榮耀、光耀。如：「顯揚」。《孝經．開宗明義章》：「立身行道，揚名於後世，以顯父母。」
[形]
1.昭著、明白、清楚。如：「明顯」、「顯而易見」。南朝梁．劉勰《文心雕龍．檄移》：「陸機之移百官，言約而事顯，武移之要者也。」
2.有名望、有地位的。如：「顯貴」、「顯要」。《孟子．離婁下》：「問其與飲食者，盡富貴也，而未嘗有顯者來。」
3.尊稱已故的直系親人。如：「顯考」、「顯妣」。
[名]
姓。如周代有顯甫。 |</v>
      </c>
    </row>
    <row r="8595" spans="1:44" hidden="1">
      <c r="A8595" s="1" t="s">
        <v>16928</v>
      </c>
      <c r="C8595" s="1">
        <v>1</v>
      </c>
      <c r="D8595" s="1" t="str">
        <f>"07131"</f>
        <v>07131</v>
      </c>
      <c r="E8595" s="1" t="s">
        <v>198</v>
      </c>
      <c r="F8595" s="1">
        <v>23</v>
      </c>
      <c r="G8595" s="1">
        <v>20</v>
      </c>
      <c r="H8595" s="1">
        <v>0</v>
      </c>
      <c r="I8595" s="1" t="s">
        <v>16879</v>
      </c>
      <c r="K8595" s="1" t="str">
        <f t="shared" si="540"/>
        <v>ㄒ</v>
      </c>
      <c r="L8595" s="1" t="str">
        <f t="shared" si="541"/>
        <v>ㄧ</v>
      </c>
      <c r="M8595" s="1" t="str">
        <f t="shared" si="539"/>
        <v>ㄢ</v>
      </c>
      <c r="P8595" s="1" t="s">
        <v>20</v>
      </c>
      <c r="R8595" s="1" t="s">
        <v>16880</v>
      </c>
      <c r="V8595" s="1" t="s">
        <v>16929</v>
      </c>
      <c r="AR8595" s="1" t="str">
        <f t="shared" si="542"/>
        <v>| [ㄒㄧㄢˇ](ㄒㄧㄢˇ.md) | [玁](玁.md) |  | xiǎn | 參見「玁狁」條。 |</v>
      </c>
    </row>
    <row r="8596" spans="1:44" hidden="1">
      <c r="A8596" s="1" t="s">
        <v>16791</v>
      </c>
      <c r="C8596" s="1">
        <v>1</v>
      </c>
      <c r="D8596" s="1" t="str">
        <f>"07132"</f>
        <v>07132</v>
      </c>
      <c r="E8596" s="1" t="s">
        <v>3581</v>
      </c>
      <c r="F8596" s="1">
        <v>6</v>
      </c>
      <c r="G8596" s="1">
        <v>4</v>
      </c>
      <c r="H8596" s="1">
        <v>2</v>
      </c>
      <c r="I8596" s="1" t="s">
        <v>16930</v>
      </c>
      <c r="K8596" s="1" t="str">
        <f t="shared" si="540"/>
        <v>ㄒ</v>
      </c>
      <c r="L8596" s="1" t="str">
        <f t="shared" si="541"/>
        <v>ㄧ</v>
      </c>
      <c r="M8596" s="1" t="str">
        <f t="shared" si="539"/>
        <v>ㄢ</v>
      </c>
      <c r="P8596" s="1" t="s">
        <v>20</v>
      </c>
      <c r="R8596" s="1" t="s">
        <v>16931</v>
      </c>
      <c r="V8596" s="1" t="s">
        <v>16932</v>
      </c>
      <c r="W8596" s="1" t="s">
        <v>16933</v>
      </c>
      <c r="AR8596" s="1" t="str">
        <f t="shared" si="542"/>
        <v>| [ㄒㄧㄢˋ](ㄒㄧㄢˋ.md) | [先](先.md) |  | xiàn | [動]
1.不當超前而超前。《孟子．告子下》：「徐行後長者謂之弟，疾行先長者謂之不弟。」
2.領導、率導。《禮記．郊特牲》：「天先乎地，君先乎臣。」 |</v>
      </c>
    </row>
    <row r="8597" spans="1:44" hidden="1">
      <c r="A8597" s="1" t="s">
        <v>13958</v>
      </c>
      <c r="C8597" s="1">
        <v>1</v>
      </c>
      <c r="D8597" s="1" t="str">
        <f>"07133"</f>
        <v>07133</v>
      </c>
      <c r="E8597" s="1" t="s">
        <v>2233</v>
      </c>
      <c r="F8597" s="1">
        <v>7</v>
      </c>
      <c r="G8597" s="1">
        <v>0</v>
      </c>
      <c r="H8597" s="1">
        <v>2</v>
      </c>
      <c r="I8597" s="1" t="s">
        <v>16930</v>
      </c>
      <c r="K8597" s="1" t="str">
        <f t="shared" si="540"/>
        <v>ㄒ</v>
      </c>
      <c r="L8597" s="1" t="str">
        <f t="shared" si="541"/>
        <v>ㄧ</v>
      </c>
      <c r="M8597" s="1" t="str">
        <f t="shared" si="539"/>
        <v>ㄢ</v>
      </c>
      <c r="P8597" s="1" t="s">
        <v>20</v>
      </c>
      <c r="R8597" s="1" t="s">
        <v>16931</v>
      </c>
      <c r="V8597" s="1" t="s">
        <v>16934</v>
      </c>
      <c r="W8597" s="1" t="s">
        <v>16935</v>
      </c>
      <c r="AR8597" s="1" t="str">
        <f t="shared" si="542"/>
        <v>| [ㄒㄧㄢˋ](ㄒㄧㄢˋ.md) | [見](見.md) |  | xiàn | [動]_x000D_
1.顯露、顯出。同「現」。如：「情見乎辭」。《戰國策．燕策三》：「圖窮而匕首見。」唐．杜甫〈茅屋為秋風所破歌〉：「嗚呼！何時眼前突兀見此屋，吾廬獨破受凍死亦足！」_x000D_
2.舉荐、介紹。《左傳．昭公二十年》：「齊豹見宗魯於公孟。」《三國志．卷二一．魏書．王衛二劉傅傳．王粲》：「進以謙名公之胄，欲與為婚，見其二子，使擇焉。」_x000D_
[形]_x000D_
1.現在。同「現」。元．孟漢卿《魔合羅》第三折：「供狀人劉玉娘，見年三十五歲。」_x000D_
2.現有的。同「現」。《戰國策．韓策一》：「見卒不過二十萬而已矣。」《史記．卷七．項羽本紀》：「士卒食芋菽，軍無見糧。」_x000D_
[名]_x000D_
古代棺木上的裝飾。《儀禮．既夕禮》：「藏器於旁加見。」漢．鄭玄．注：「見，棺飾也。」 |</v>
      </c>
    </row>
    <row r="8598" spans="1:44" hidden="1">
      <c r="A8598" s="1" t="s">
        <v>15503</v>
      </c>
      <c r="C8598" s="1">
        <v>1</v>
      </c>
      <c r="D8598" s="1" t="str">
        <f>"07134"</f>
        <v>07134</v>
      </c>
      <c r="E8598" s="1" t="s">
        <v>114</v>
      </c>
      <c r="F8598" s="1">
        <v>9</v>
      </c>
      <c r="G8598" s="1">
        <v>7</v>
      </c>
      <c r="H8598" s="1">
        <v>2</v>
      </c>
      <c r="I8598" s="1" t="s">
        <v>16930</v>
      </c>
      <c r="K8598" s="1" t="str">
        <f t="shared" si="540"/>
        <v>ㄒ</v>
      </c>
      <c r="L8598" s="1" t="str">
        <f t="shared" si="541"/>
        <v>ㄧ</v>
      </c>
      <c r="M8598" s="1" t="str">
        <f t="shared" si="539"/>
        <v>ㄢ</v>
      </c>
      <c r="P8598" s="1" t="s">
        <v>20</v>
      </c>
      <c r="R8598" s="1" t="s">
        <v>16931</v>
      </c>
      <c r="V8598" s="1" t="s">
        <v>16936</v>
      </c>
      <c r="W8598" s="1" t="s">
        <v>16937</v>
      </c>
      <c r="AR8598" s="1" t="str">
        <f t="shared" si="542"/>
        <v>| [ㄒㄧㄢˋ](ㄒㄧㄢˋ.md) | [俔](俔.md) |  | xiàn | [名]
古代船上用來觀測風向的羽毛。《淮南子．齊俗》：「辟若俔之見風也，無須臾之閒定矣。」漢．高誘．注：「俔，候風者也。」
[形]
恐懼的樣子。通「睍」。參見「俔俔」條。 |</v>
      </c>
    </row>
    <row r="8599" spans="1:44" hidden="1">
      <c r="A8599" s="1" t="s">
        <v>16938</v>
      </c>
      <c r="C8599" s="1">
        <v>1</v>
      </c>
      <c r="D8599" s="1" t="str">
        <f>"07135"</f>
        <v>07135</v>
      </c>
      <c r="E8599" s="1" t="s">
        <v>190</v>
      </c>
      <c r="F8599" s="1">
        <v>10</v>
      </c>
      <c r="G8599" s="1">
        <v>7</v>
      </c>
      <c r="H8599" s="1">
        <v>0</v>
      </c>
      <c r="I8599" s="1" t="s">
        <v>16930</v>
      </c>
      <c r="K8599" s="1" t="str">
        <f t="shared" si="540"/>
        <v>ㄒ</v>
      </c>
      <c r="L8599" s="1" t="str">
        <f t="shared" si="541"/>
        <v>ㄧ</v>
      </c>
      <c r="M8599" s="1" t="str">
        <f t="shared" si="539"/>
        <v>ㄢ</v>
      </c>
      <c r="P8599" s="1" t="s">
        <v>20</v>
      </c>
      <c r="R8599" s="1" t="s">
        <v>16931</v>
      </c>
      <c r="V8599" s="1" t="s">
        <v>16939</v>
      </c>
      <c r="AR8599" s="1" t="str">
        <f t="shared" si="542"/>
        <v>| [ㄒㄧㄢˋ](ㄒㄧㄢˋ.md) | [峴](峴.md) |  | xiàn | [名]
小而險峻的山嶺。《文選．謝靈運．從斤竹澗越嶺溪行詩》：「逶迤傍隈隩，苕遞陟陘峴。」 |</v>
      </c>
    </row>
    <row r="8600" spans="1:44" hidden="1">
      <c r="A8600" s="1" t="s">
        <v>16940</v>
      </c>
      <c r="C8600" s="1">
        <v>1</v>
      </c>
      <c r="D8600" s="1" t="str">
        <f>"07136"</f>
        <v>07136</v>
      </c>
      <c r="E8600" s="1" t="s">
        <v>142</v>
      </c>
      <c r="F8600" s="1">
        <v>11</v>
      </c>
      <c r="G8600" s="1">
        <v>7</v>
      </c>
      <c r="H8600" s="1">
        <v>0</v>
      </c>
      <c r="I8600" s="1" t="s">
        <v>16930</v>
      </c>
      <c r="K8600" s="1" t="str">
        <f t="shared" si="540"/>
        <v>ㄒ</v>
      </c>
      <c r="L8600" s="1" t="str">
        <f t="shared" si="541"/>
        <v>ㄧ</v>
      </c>
      <c r="M8600" s="1" t="str">
        <f t="shared" si="539"/>
        <v>ㄢ</v>
      </c>
      <c r="P8600" s="1" t="s">
        <v>20</v>
      </c>
      <c r="R8600" s="1" t="s">
        <v>16931</v>
      </c>
      <c r="V8600" s="1" t="s">
        <v>16941</v>
      </c>
      <c r="AR8600" s="1" t="str">
        <f t="shared" si="542"/>
        <v>| [ㄒㄧㄢˋ](ㄒㄧㄢˋ.md) | [現](現.md) |  | xiàn | [動]
顯出、顯露。如：「顯現」、「呈現」、「湧現」。元．王實甫《西廂記．第一本．第一折》：「我道是南海水月觀音現。」
[副]
當時、此刻、即時。如：「現買現賣」、「現做現吃」。《三國演義》第一回：「卓問三人現居何職。」
[形]
1.目前的、當前的。如：「現代」、「現世報」。南朝梁．武帝〈立神明成佛義記〉：「生滅遷變，酬於往因；善惡交謝，生乎現境。」
2.實有的、目前有的。如：「現金」、「現貨」。《儒林外史》第一一回：「要我這個爐，須是三百兩現銀子。」
[名]
現金、現款的簡稱。如：「兌現」、「付現」、「貼現」。 |</v>
      </c>
    </row>
    <row r="8601" spans="1:44" hidden="1">
      <c r="A8601" s="1" t="s">
        <v>16942</v>
      </c>
      <c r="C8601" s="1">
        <v>1</v>
      </c>
      <c r="D8601" s="1" t="str">
        <f>"07137"</f>
        <v>07137</v>
      </c>
      <c r="E8601" s="1" t="s">
        <v>37</v>
      </c>
      <c r="F8601" s="1">
        <v>11</v>
      </c>
      <c r="G8601" s="1">
        <v>7</v>
      </c>
      <c r="H8601" s="1">
        <v>0</v>
      </c>
      <c r="I8601" s="1" t="s">
        <v>16930</v>
      </c>
      <c r="K8601" s="1" t="str">
        <f t="shared" si="540"/>
        <v>ㄒ</v>
      </c>
      <c r="L8601" s="1" t="str">
        <f t="shared" si="541"/>
        <v>ㄧ</v>
      </c>
      <c r="M8601" s="1" t="str">
        <f t="shared" si="539"/>
        <v>ㄢ</v>
      </c>
      <c r="P8601" s="1" t="s">
        <v>20</v>
      </c>
      <c r="R8601" s="1" t="s">
        <v>16931</v>
      </c>
      <c r="V8601" s="1" t="s">
        <v>16943</v>
      </c>
      <c r="AR8601" s="1" t="str">
        <f t="shared" si="542"/>
        <v>| [ㄒㄧㄢˋ](ㄒㄧㄢˋ.md) | [莧](莧.md) |  | xiàn | [名]
植物名。莧科莧屬。「莧菜」之古稱。參見「莧菜」條。 |</v>
      </c>
    </row>
    <row r="8602" spans="1:44" hidden="1">
      <c r="A8602" s="1" t="s">
        <v>16944</v>
      </c>
      <c r="C8602" s="1">
        <v>1</v>
      </c>
      <c r="D8602" s="1" t="str">
        <f>"07138"</f>
        <v>07138</v>
      </c>
      <c r="E8602" s="1" t="s">
        <v>646</v>
      </c>
      <c r="F8602" s="1">
        <v>11</v>
      </c>
      <c r="G8602" s="1">
        <v>7</v>
      </c>
      <c r="H8602" s="1">
        <v>0</v>
      </c>
      <c r="I8602" s="1" t="s">
        <v>16930</v>
      </c>
      <c r="K8602" s="1" t="str">
        <f t="shared" si="540"/>
        <v>ㄒ</v>
      </c>
      <c r="L8602" s="1" t="str">
        <f t="shared" si="541"/>
        <v>ㄧ</v>
      </c>
      <c r="M8602" s="1" t="str">
        <f t="shared" si="539"/>
        <v>ㄢ</v>
      </c>
      <c r="P8602" s="1" t="s">
        <v>20</v>
      </c>
      <c r="R8602" s="1" t="s">
        <v>16931</v>
      </c>
      <c r="V8602" s="1" t="s">
        <v>16945</v>
      </c>
      <c r="AR8602" s="1" t="str">
        <f t="shared" si="542"/>
        <v>| [ㄒㄧㄢˋ](ㄒㄧㄢˋ.md) | [晛](晛.md) |  | xiàn | [名]
陽光、日光。《詩經．小雅．角弓》：「雨雪瀌瀌，見晛曰消。」 |</v>
      </c>
    </row>
    <row r="8603" spans="1:44" hidden="1">
      <c r="A8603" s="1" t="s">
        <v>16946</v>
      </c>
      <c r="C8603" s="1">
        <v>1</v>
      </c>
      <c r="D8603" s="1" t="str">
        <f>"07139"</f>
        <v>07139</v>
      </c>
      <c r="E8603" s="1" t="s">
        <v>1015</v>
      </c>
      <c r="F8603" s="1">
        <v>12</v>
      </c>
      <c r="G8603" s="1">
        <v>7</v>
      </c>
      <c r="H8603" s="1">
        <v>0</v>
      </c>
      <c r="I8603" s="1" t="s">
        <v>16930</v>
      </c>
      <c r="K8603" s="1" t="str">
        <f t="shared" si="540"/>
        <v>ㄒ</v>
      </c>
      <c r="L8603" s="1" t="str">
        <f t="shared" si="541"/>
        <v>ㄧ</v>
      </c>
      <c r="M8603" s="1" t="str">
        <f t="shared" si="539"/>
        <v>ㄢ</v>
      </c>
      <c r="P8603" s="1" t="s">
        <v>20</v>
      </c>
      <c r="R8603" s="1" t="s">
        <v>16931</v>
      </c>
      <c r="V8603" s="1" t="s">
        <v>16947</v>
      </c>
      <c r="AR8603" s="1" t="str">
        <f t="shared" si="542"/>
        <v>| [ㄒㄧㄢˋ](ㄒㄧㄢˋ.md) | [睍](睍.md) |  | xiàn | [形]
1.眼睛突出的樣子。《說文解字．目部》：「睍，目出貌也。」
2.眼睛小。《廣韻．上聲．銑韻》：「睍，小目貌。」
3.參見「睍睍」條。 |</v>
      </c>
    </row>
    <row r="8604" spans="1:44" hidden="1">
      <c r="A8604" s="1" t="s">
        <v>16948</v>
      </c>
      <c r="C8604" s="1">
        <v>1</v>
      </c>
      <c r="D8604" s="1" t="str">
        <f>"07140"</f>
        <v>07140</v>
      </c>
      <c r="E8604" s="1" t="s">
        <v>691</v>
      </c>
      <c r="F8604" s="1">
        <v>9</v>
      </c>
      <c r="G8604" s="1">
        <v>6</v>
      </c>
      <c r="H8604" s="1">
        <v>0</v>
      </c>
      <c r="I8604" s="1" t="s">
        <v>16930</v>
      </c>
      <c r="K8604" s="1" t="str">
        <f t="shared" si="540"/>
        <v>ㄒ</v>
      </c>
      <c r="L8604" s="1" t="str">
        <f t="shared" si="541"/>
        <v>ㄧ</v>
      </c>
      <c r="M8604" s="1" t="str">
        <f t="shared" si="539"/>
        <v>ㄢ</v>
      </c>
      <c r="P8604" s="1" t="s">
        <v>20</v>
      </c>
      <c r="R8604" s="1" t="s">
        <v>16931</v>
      </c>
      <c r="V8604" s="1" t="s">
        <v>16949</v>
      </c>
      <c r="AR8604" s="1" t="str">
        <f t="shared" si="542"/>
        <v>| [ㄒㄧㄢˋ](ㄒㄧㄢˋ.md) | [限](限.md) |  | xiàn | [名]
1.險阻、要塞。《說文解字．𨸏部》：「限，阻也。」《戰國策．秦策一》：「南有巫山黔中之限，東有肴函之固。」
2.門檻。如：「門限」、「戶限」。《後漢書．卷一八．臧宮傳》：「會屬縣送委輸車數百乘至，宮夜使鋸斷城門限。」
3.指定的範圍、止境。如：「期限」、「界限」、「下限」、「無限」、「有限」。《晉書．卷四七．傅玄傳》：「六年之限，日月淺近，不周黜陟。」
[動]
限制、不許超越。如：「人數不限」、「不可限量」、「限五月完工。」《文選．曹丕．燕歌行》：「牽牛織女遙相望，爾獨何辜限河梁。」唐．岑參〈寄左省杜拾遺〉詩：「聯步趨丹陛，分曹限紫微。」 |</v>
      </c>
    </row>
    <row r="8605" spans="1:44" hidden="1">
      <c r="A8605" s="1" t="s">
        <v>16950</v>
      </c>
      <c r="C8605" s="1">
        <v>1</v>
      </c>
      <c r="D8605" s="1" t="str">
        <f>"07141"</f>
        <v>07141</v>
      </c>
      <c r="E8605" s="1" t="s">
        <v>691</v>
      </c>
      <c r="F8605" s="1">
        <v>11</v>
      </c>
      <c r="G8605" s="1">
        <v>8</v>
      </c>
      <c r="H8605" s="1">
        <v>0</v>
      </c>
      <c r="I8605" s="1" t="s">
        <v>16930</v>
      </c>
      <c r="K8605" s="1" t="str">
        <f t="shared" si="540"/>
        <v>ㄒ</v>
      </c>
      <c r="L8605" s="1" t="str">
        <f t="shared" si="541"/>
        <v>ㄧ</v>
      </c>
      <c r="M8605" s="1" t="str">
        <f t="shared" si="539"/>
        <v>ㄢ</v>
      </c>
      <c r="P8605" s="1" t="s">
        <v>20</v>
      </c>
      <c r="R8605" s="1" t="s">
        <v>16931</v>
      </c>
      <c r="V8605" s="1" t="s">
        <v>16951</v>
      </c>
      <c r="AR8605" s="1" t="str">
        <f t="shared" si="542"/>
        <v>| [ㄒㄧㄢˋ](ㄒㄧㄢˋ.md) | [陷](陷.md) |  | xiàn | [名]
1.地下坑穴，泛指害人的陰謀。如：「陷阱」。《韓非子．六反》：「犯而誅之，是為民設陷也。」
2.缺點、過失。如：「缺陷」。《國語．魯語下》：「齊閭丘來盟，子服景伯戒宰人曰：『陷而入於恭。』」三國吳．韋昭．注：「陷，猶過失也。」
[動]
1.沒入、沉入。如：「沉陷」、「越陷越深」、「陷入泥中」。唐．李洞〈題竹溪禪院〉詩：「風搖缾影碎，沙陷履痕端。」
2.設計害人。如：「誣陷」、「構陷」、「陷害」。《史記．卷一一二．酷吏傳．張湯傳》：「然謀陷湯罪者，三長史也。」《三國演義》第一回：「遂於他事陷邕於罪。」
3.攻占、被攻占。如：「攻陷」、「失陷」、「淪陷」。唐．元結〈大唐中興頌．序〉：「天寶十四載，安祿山陷洛陽。」唐．韓愈〈張中丞傳後敘〉：「及城陷，賊縛廵等數十人坐。」 |</v>
      </c>
    </row>
    <row r="8606" spans="1:44" hidden="1">
      <c r="A8606" s="1" t="s">
        <v>16952</v>
      </c>
      <c r="C8606" s="1">
        <v>1</v>
      </c>
      <c r="D8606" s="1" t="str">
        <f>"07142"</f>
        <v>07142</v>
      </c>
      <c r="E8606" s="1" t="s">
        <v>193</v>
      </c>
      <c r="F8606" s="1">
        <v>16</v>
      </c>
      <c r="G8606" s="1">
        <v>8</v>
      </c>
      <c r="H8606" s="1">
        <v>0</v>
      </c>
      <c r="I8606" s="1" t="s">
        <v>16930</v>
      </c>
      <c r="K8606" s="1" t="str">
        <f t="shared" si="540"/>
        <v>ㄒ</v>
      </c>
      <c r="L8606" s="1" t="str">
        <f t="shared" si="541"/>
        <v>ㄧ</v>
      </c>
      <c r="M8606" s="1" t="str">
        <f t="shared" si="539"/>
        <v>ㄢ</v>
      </c>
      <c r="P8606" s="1" t="s">
        <v>20</v>
      </c>
      <c r="R8606" s="1" t="s">
        <v>16931</v>
      </c>
      <c r="V8606" s="1" t="s">
        <v>16953</v>
      </c>
      <c r="AR8606" s="1" t="str">
        <f t="shared" si="542"/>
        <v>| [ㄒㄧㄢˋ](ㄒㄧㄢˋ.md) | [餡](餡.md) |  | xiàn | [名]
包在米、麵等食物中的作料。如：「豆沙餡」、「餃子餡」。明．張自烈《正字通．食部》：「餡，凡米麵食物坎其中實以雜味曰餡。」《紅樓夢》第一一回：「昨日老太太賞的那棗泥餡的山藥糕，我倒吃了兩塊。」 |</v>
      </c>
    </row>
    <row r="8607" spans="1:44" hidden="1">
      <c r="A8607" s="1" t="s">
        <v>16954</v>
      </c>
      <c r="C8607" s="1">
        <v>1</v>
      </c>
      <c r="D8607" s="1" t="str">
        <f>"07143"</f>
        <v>07143</v>
      </c>
      <c r="E8607" s="1" t="s">
        <v>43</v>
      </c>
      <c r="F8607" s="1">
        <v>13</v>
      </c>
      <c r="G8607" s="1">
        <v>7</v>
      </c>
      <c r="H8607" s="1">
        <v>0</v>
      </c>
      <c r="I8607" s="1" t="s">
        <v>16930</v>
      </c>
      <c r="K8607" s="1" t="str">
        <f t="shared" si="540"/>
        <v>ㄒ</v>
      </c>
      <c r="L8607" s="1" t="str">
        <f t="shared" si="541"/>
        <v>ㄧ</v>
      </c>
      <c r="M8607" s="1" t="str">
        <f t="shared" si="539"/>
        <v>ㄢ</v>
      </c>
      <c r="P8607" s="1" t="s">
        <v>20</v>
      </c>
      <c r="R8607" s="1" t="s">
        <v>16931</v>
      </c>
      <c r="V8607" s="1" t="s">
        <v>16955</v>
      </c>
      <c r="AR8607" s="1" t="str">
        <f t="shared" si="542"/>
        <v>| [ㄒㄧㄢˋ](ㄒㄧㄢˋ.md) | [羨](羨.md) |  | xiàn | [動]
1.因內心喜愛而渴望得到。如：「欣羨」、「欽羨」、「只羨鴛鴦不羨仙。」《淮南子．說林》：「臨河而羨魚，不如歸家織網。」
2.超過、超越。《史記．卷一一七．司馬相如傳》：「德隆乎三皇，功羨於五帝。」
[名]
剩餘、盈餘。《詩經．小雅．十月之交》：「四方有羨，我獨居憂。」
[形]
超過的、剩餘的。《晏子春秋．內篇．問上》：「內妾無羨食，外臣無羨祿。」 |</v>
      </c>
    </row>
    <row r="8608" spans="1:44" hidden="1">
      <c r="A8608" s="1" t="s">
        <v>16956</v>
      </c>
      <c r="C8608" s="1">
        <v>1</v>
      </c>
      <c r="D8608" s="1" t="str">
        <f>"07144"</f>
        <v>07144</v>
      </c>
      <c r="E8608" s="1" t="s">
        <v>68</v>
      </c>
      <c r="F8608" s="1">
        <v>13</v>
      </c>
      <c r="G8608" s="1">
        <v>9</v>
      </c>
      <c r="H8608" s="1">
        <v>0</v>
      </c>
      <c r="I8608" s="1" t="s">
        <v>16930</v>
      </c>
      <c r="K8608" s="1" t="str">
        <f t="shared" si="540"/>
        <v>ㄒ</v>
      </c>
      <c r="L8608" s="1" t="str">
        <f t="shared" si="541"/>
        <v>ㄧ</v>
      </c>
      <c r="M8608" s="1" t="str">
        <f t="shared" si="539"/>
        <v>ㄢ</v>
      </c>
      <c r="P8608" s="1" t="s">
        <v>20</v>
      </c>
      <c r="R8608" s="1" t="s">
        <v>16931</v>
      </c>
      <c r="V8608" s="1" t="s">
        <v>16957</v>
      </c>
      <c r="AR8608" s="1" t="str">
        <f t="shared" si="542"/>
        <v>| [ㄒㄧㄢˋ](ㄒㄧㄢˋ.md) | [腺](腺.md) |  | xiàn | [名]
動物體分泌化學物質的構造，可分為外分泌腺，如乳腺、汗腺、唾液腺等；內分泌腺，如腎上腺、腦垂腺等。有些植物的花含有蜜腺。 |</v>
      </c>
    </row>
    <row r="8609" spans="1:44" hidden="1">
      <c r="A8609" s="1" t="s">
        <v>16958</v>
      </c>
      <c r="C8609" s="1">
        <v>1</v>
      </c>
      <c r="D8609" s="1" t="str">
        <f>"07145"</f>
        <v>07145</v>
      </c>
      <c r="E8609" s="1" t="s">
        <v>725</v>
      </c>
      <c r="F8609" s="1">
        <v>15</v>
      </c>
      <c r="G8609" s="1">
        <v>9</v>
      </c>
      <c r="H8609" s="1">
        <v>0</v>
      </c>
      <c r="I8609" s="1" t="s">
        <v>16930</v>
      </c>
      <c r="K8609" s="1" t="str">
        <f t="shared" si="540"/>
        <v>ㄒ</v>
      </c>
      <c r="L8609" s="1" t="str">
        <f t="shared" si="541"/>
        <v>ㄧ</v>
      </c>
      <c r="M8609" s="1" t="str">
        <f t="shared" si="539"/>
        <v>ㄢ</v>
      </c>
      <c r="P8609" s="1" t="s">
        <v>20</v>
      </c>
      <c r="R8609" s="1" t="s">
        <v>16931</v>
      </c>
      <c r="V8609" s="1" t="s">
        <v>16959</v>
      </c>
      <c r="AR8609" s="1" t="str">
        <f t="shared" si="542"/>
        <v>| [ㄒㄧㄢˋ](ㄒㄧㄢˋ.md) | [線](線.md) |  | xiàn | [名] 
1.用棉、麻、絲、金屬等製成的細縷或細長物，可隨意彎折。如：「毛線」、「電線」、「穿針引線」。
2.比喻像線一般細長的東西。如：「光線」、「射線」。
3.幾何學上，指點移動，其軌跡所形成的圖形。是「面」的界，有位置與長度，無厚度與高度。如：「直線」、「曲線」、「折線」。
4.交通路徑。如：「航線」、「路線」、「縱貫線」、「運輸線」。
5.邊緣、邊界。如：「前線」、「防線」、「海岸線」。
6.比喻將要接近的某種界限。如：「死亡線」、「生命線」。
7.祕密尋求關於人、事、物的門路。如：「眼線」、「內線」、「線索」。《儒林外史》第三四回：「他原是賊頭趙大一路做線的。」
8.量詞。計算線路數量的單位。如：「本公司共有五線電話。」 |</v>
      </c>
    </row>
    <row r="8610" spans="1:44" hidden="1">
      <c r="A8610" s="1" t="s">
        <v>16960</v>
      </c>
      <c r="C8610" s="1">
        <v>1</v>
      </c>
      <c r="D8610" s="1" t="str">
        <f>"07146"</f>
        <v>07146</v>
      </c>
      <c r="E8610" s="1" t="s">
        <v>114</v>
      </c>
      <c r="F8610" s="1">
        <v>14</v>
      </c>
      <c r="G8610" s="1">
        <v>12</v>
      </c>
      <c r="H8610" s="1">
        <v>0</v>
      </c>
      <c r="I8610" s="1" t="s">
        <v>16930</v>
      </c>
      <c r="K8610" s="1" t="str">
        <f t="shared" si="540"/>
        <v>ㄒ</v>
      </c>
      <c r="L8610" s="1" t="str">
        <f t="shared" si="541"/>
        <v>ㄧ</v>
      </c>
      <c r="M8610" s="1" t="str">
        <f t="shared" si="539"/>
        <v>ㄢ</v>
      </c>
      <c r="P8610" s="1" t="s">
        <v>20</v>
      </c>
      <c r="R8610" s="1" t="s">
        <v>16931</v>
      </c>
      <c r="V8610" s="1" t="s">
        <v>16961</v>
      </c>
      <c r="AR8610" s="1" t="str">
        <f t="shared" si="542"/>
        <v>| [ㄒㄧㄢˋ](ㄒㄧㄢˋ.md) | [僩](僩.md) |  | xiàn | [形]
1.威武勇猛。《說文解字．人部》：「僩，武貌。」《廣韻．上聲．潸韻》：「僩，武猛貌。」
2.胸襟寬大開闊。《荀子．榮辱》：「陋者俄且僩也，愚者俄且知也。」 |</v>
      </c>
    </row>
    <row r="8611" spans="1:44" hidden="1">
      <c r="A8611" s="1" t="s">
        <v>16861</v>
      </c>
      <c r="C8611" s="1">
        <v>1</v>
      </c>
      <c r="D8611" s="1" t="str">
        <f>"07147"</f>
        <v>07147</v>
      </c>
      <c r="E8611" s="1" t="s">
        <v>250</v>
      </c>
      <c r="F8611" s="1">
        <v>15</v>
      </c>
      <c r="G8611" s="1">
        <v>12</v>
      </c>
      <c r="H8611" s="1">
        <v>2</v>
      </c>
      <c r="I8611" s="1" t="s">
        <v>16930</v>
      </c>
      <c r="K8611" s="1" t="str">
        <f t="shared" si="540"/>
        <v>ㄒ</v>
      </c>
      <c r="L8611" s="1" t="str">
        <f t="shared" si="541"/>
        <v>ㄧ</v>
      </c>
      <c r="M8611" s="1" t="str">
        <f t="shared" si="539"/>
        <v>ㄢ</v>
      </c>
      <c r="P8611" s="1" t="s">
        <v>20</v>
      </c>
      <c r="R8611" s="1" t="s">
        <v>16931</v>
      </c>
      <c r="V8611" s="1" t="s">
        <v>16962</v>
      </c>
      <c r="W8611" s="1" t="s">
        <v>16963</v>
      </c>
      <c r="AR8611" s="1" t="str">
        <f t="shared" si="542"/>
        <v>| [ㄒㄧㄢˋ](ㄒㄧㄢˋ.md) | [憪](憪.md) |  | xiàn | [副]
1.不安。《史記．卷一〇．孝文本紀》：「朕既不能遠德，故憪然念外人之有非。」《聊齋志異．卷四．羅剎海市》：「馬至是孤立，憪然不自安。」
2.忿怒的樣子。《新唐書．卷一六八．王叔文傳》：「憪然謂天下無人。」 |</v>
      </c>
    </row>
    <row r="8612" spans="1:44" hidden="1">
      <c r="A8612" s="1" t="s">
        <v>16876</v>
      </c>
      <c r="C8612" s="1">
        <v>1</v>
      </c>
      <c r="D8612" s="1" t="str">
        <f>"07148"</f>
        <v>07148</v>
      </c>
      <c r="E8612" s="1" t="s">
        <v>505</v>
      </c>
      <c r="F8612" s="1">
        <v>15</v>
      </c>
      <c r="G8612" s="1">
        <v>8</v>
      </c>
      <c r="H8612" s="1">
        <v>2</v>
      </c>
      <c r="I8612" s="1" t="s">
        <v>16930</v>
      </c>
      <c r="K8612" s="1" t="str">
        <f t="shared" si="540"/>
        <v>ㄒ</v>
      </c>
      <c r="L8612" s="1" t="str">
        <f t="shared" si="541"/>
        <v>ㄧ</v>
      </c>
      <c r="M8612" s="1" t="str">
        <f t="shared" si="539"/>
        <v>ㄢ</v>
      </c>
      <c r="P8612" s="1" t="s">
        <v>20</v>
      </c>
      <c r="R8612" s="1" t="s">
        <v>16931</v>
      </c>
      <c r="V8612" s="1" t="s">
        <v>16964</v>
      </c>
      <c r="W8612" s="1" t="s">
        <v>16965</v>
      </c>
      <c r="AR8612" s="1" t="str">
        <f t="shared" si="542"/>
        <v>| [ㄒㄧㄢˋ](ㄒㄧㄢˋ.md) | [賢](賢.md) |  | xiàn | [名]
大孔。《周禮．冬官考工記．輪人》：「五分其轂之長，去一以為賢。」 |</v>
      </c>
    </row>
    <row r="8613" spans="1:44" hidden="1">
      <c r="A8613" s="1" t="s">
        <v>16966</v>
      </c>
      <c r="C8613" s="1">
        <v>1</v>
      </c>
      <c r="D8613" s="1" t="str">
        <f>"07149"</f>
        <v>07149</v>
      </c>
      <c r="E8613" s="1" t="s">
        <v>250</v>
      </c>
      <c r="F8613" s="1">
        <v>16</v>
      </c>
      <c r="G8613" s="1">
        <v>12</v>
      </c>
      <c r="H8613" s="1">
        <v>0</v>
      </c>
      <c r="I8613" s="1" t="s">
        <v>16930</v>
      </c>
      <c r="K8613" s="1" t="str">
        <f t="shared" si="540"/>
        <v>ㄒ</v>
      </c>
      <c r="L8613" s="1" t="str">
        <f t="shared" si="541"/>
        <v>ㄧ</v>
      </c>
      <c r="M8613" s="1" t="str">
        <f t="shared" si="539"/>
        <v>ㄢ</v>
      </c>
      <c r="P8613" s="1" t="s">
        <v>20</v>
      </c>
      <c r="R8613" s="1" t="s">
        <v>16931</v>
      </c>
      <c r="V8613" s="1" t="s">
        <v>16967</v>
      </c>
      <c r="AR8613" s="1" t="str">
        <f t="shared" si="542"/>
        <v>| [ㄒㄧㄢˋ](ㄒㄧㄢˋ.md) | [憲](憲.md) |  | xiàn | [名]
1.法令。如：「公憲」、「邦憲」。《韓非子．定法》：「憲令著於官府。」
2.典範。《書經．蔡仲之命》：「爾乃邁跡自身，克勤無怠，以垂憲乃後。」《詩經．小雅．六月》：「文武吉甫，萬邦為憲。」
3.憲法的簡稱。如：「立憲」、「制憲」、「違憲」、「修憲」、「行憲」。
4.舊時下屬對上司的尊稱。如：「大憲」、「上憲」。《聊齋志異．卷二．紅玉》：「乃詳諸憲，代生解免，竟釋生。」
[動]
1.頒布、公布。《周禮．秋官．小司寇》：「乃宣布于四方，憲刑禁。」宋．王安石〈原教〉：「藏于府，憲于市。」
2.效法。《書經．說命》：「惟天聰明，惟聖時憲。」《文選．班固．東都賦》：「憲章稽古。」 |</v>
      </c>
    </row>
    <row r="8614" spans="1:44" hidden="1">
      <c r="A8614" s="1" t="s">
        <v>16968</v>
      </c>
      <c r="C8614" s="1">
        <v>1</v>
      </c>
      <c r="D8614" s="1" t="str">
        <f>"07150"</f>
        <v>07150</v>
      </c>
      <c r="E8614" s="1" t="s">
        <v>725</v>
      </c>
      <c r="F8614" s="1">
        <v>16</v>
      </c>
      <c r="G8614" s="1">
        <v>10</v>
      </c>
      <c r="H8614" s="1">
        <v>1</v>
      </c>
      <c r="I8614" s="1" t="s">
        <v>16930</v>
      </c>
      <c r="K8614" s="1" t="str">
        <f t="shared" si="540"/>
        <v>ㄒ</v>
      </c>
      <c r="L8614" s="1" t="str">
        <f t="shared" si="541"/>
        <v>ㄧ</v>
      </c>
      <c r="M8614" s="1" t="str">
        <f t="shared" si="539"/>
        <v>ㄢ</v>
      </c>
      <c r="P8614" s="1" t="s">
        <v>20</v>
      </c>
      <c r="R8614" s="1" t="s">
        <v>16931</v>
      </c>
      <c r="V8614" s="1" t="s">
        <v>16969</v>
      </c>
      <c r="W8614" s="1" t="s">
        <v>16970</v>
      </c>
      <c r="AR8614" s="1" t="str">
        <f t="shared" si="542"/>
        <v>| [ㄒㄧㄢˋ](ㄒㄧㄢˋ.md) | [縣](縣.md) |  | xiàn | [名]
1.地方政府的行政區域名稱。舊時隸屬州、府、道，今在省之下、鄉鎮之上。如：「雲林縣」、「嘉義縣」。
2.古代天子統治的區域。即王畿。《禮記．王制》：「天子之縣內，方百里之國九。」《史記．卷六．秦始皇本紀》：「宇縣之中，順承聖意。」 |</v>
      </c>
    </row>
    <row r="8615" spans="1:44" hidden="1">
      <c r="A8615" s="1" t="s">
        <v>16971</v>
      </c>
      <c r="C8615" s="1">
        <v>1</v>
      </c>
      <c r="D8615" s="1" t="str">
        <f>"07151"</f>
        <v>07151</v>
      </c>
      <c r="E8615" s="1" t="s">
        <v>125</v>
      </c>
      <c r="F8615" s="1">
        <v>20</v>
      </c>
      <c r="G8615" s="1">
        <v>12</v>
      </c>
      <c r="H8615" s="1">
        <v>0</v>
      </c>
      <c r="I8615" s="1" t="s">
        <v>16930</v>
      </c>
      <c r="K8615" s="1" t="str">
        <f t="shared" si="540"/>
        <v>ㄒ</v>
      </c>
      <c r="L8615" s="1" t="str">
        <f t="shared" si="541"/>
        <v>ㄧ</v>
      </c>
      <c r="M8615" s="1" t="str">
        <f t="shared" si="539"/>
        <v>ㄢ</v>
      </c>
      <c r="P8615" s="1" t="s">
        <v>20</v>
      </c>
      <c r="R8615" s="1" t="s">
        <v>16931</v>
      </c>
      <c r="V8615" s="1" t="s">
        <v>16972</v>
      </c>
      <c r="AR8615" s="1" t="str">
        <f t="shared" si="542"/>
        <v>| [ㄒㄧㄢˋ](ㄒㄧㄢˋ.md) | [霰](霰.md) |  | xiàn | [名]
雨點遇冷空氣凝成的雪珠，降落時呈白色不透明的小冰粒，常呈球形或圓錐形，多降於下雪之前。如：「雨霰」、「霜霰」。宋．歐陽修〈玉樓春．春山斂黛低歌扇〉詞：「洛城春色待君來，莫到落花飛似霰。」清．孔尚任《桃花扇》第二八齣：「正飛綿作雪，落紅成霰。」 |</v>
      </c>
    </row>
    <row r="8616" spans="1:44" hidden="1">
      <c r="A8616" s="1" t="s">
        <v>16973</v>
      </c>
      <c r="C8616" s="1">
        <v>1</v>
      </c>
      <c r="D8616" s="1" t="str">
        <f>"07152"</f>
        <v>07152</v>
      </c>
      <c r="E8616" s="1" t="s">
        <v>198</v>
      </c>
      <c r="F8616" s="1">
        <v>20</v>
      </c>
      <c r="G8616" s="1">
        <v>16</v>
      </c>
      <c r="H8616" s="1">
        <v>0</v>
      </c>
      <c r="I8616" s="1" t="s">
        <v>16930</v>
      </c>
      <c r="K8616" s="1" t="str">
        <f t="shared" si="540"/>
        <v>ㄒ</v>
      </c>
      <c r="L8616" s="1" t="str">
        <f t="shared" si="541"/>
        <v>ㄧ</v>
      </c>
      <c r="M8616" s="1" t="str">
        <f t="shared" ref="M8616:M8679" si="543">MID(I8616, 3, 1)</f>
        <v>ㄢ</v>
      </c>
      <c r="P8616" s="1" t="s">
        <v>20</v>
      </c>
      <c r="R8616" s="1" t="s">
        <v>16931</v>
      </c>
      <c r="V8616" s="1" t="s">
        <v>16974</v>
      </c>
      <c r="AR8616" s="1" t="str">
        <f t="shared" si="542"/>
        <v>| [ㄒㄧㄢˋ](ㄒㄧㄢˋ.md) | [獻](獻.md) |  | xiàn | [動]
1.奉上、進奉。如：「貢獻」、「呈獻」、「捐獻」、「犧牲奉獻」。唐．杜甫〈病橘〉詩：「憶昔南海使，奔騰獻荔枝。」
2.表演。如：「獻技」、「獻藝」。
3.故意顯露、表現。如：「獻媚」、「獻寶」、「獻殷勤」。
[名]
賢人、有才德的人。《書經．益稷》：「萬邦黎獻，共惟帝臣。」唐．韓愈〈處州孔子廟碑〉：「乃新斯宮，神降其獻，講讀有常，不誡用勸。」 |</v>
      </c>
    </row>
    <row r="8617" spans="1:44" hidden="1">
      <c r="A8617" s="1" t="s">
        <v>17434</v>
      </c>
      <c r="C8617" s="1">
        <v>1</v>
      </c>
      <c r="D8617" s="1" t="str">
        <f>"07350"</f>
        <v>07350</v>
      </c>
      <c r="E8617" s="1" t="s">
        <v>624</v>
      </c>
      <c r="F8617" s="1">
        <v>9</v>
      </c>
      <c r="G8617" s="1">
        <v>6</v>
      </c>
      <c r="H8617" s="1">
        <v>0</v>
      </c>
      <c r="I8617" s="1" t="s">
        <v>17435</v>
      </c>
      <c r="K8617" s="1" t="str">
        <f t="shared" si="540"/>
        <v>ㄒ</v>
      </c>
      <c r="L8617" s="1" t="str">
        <f t="shared" si="541"/>
        <v>ㄩ</v>
      </c>
      <c r="M8617" s="1" t="str">
        <f t="shared" si="543"/>
        <v>ㄢ</v>
      </c>
      <c r="P8617" s="1" t="s">
        <v>20</v>
      </c>
      <c r="R8617" s="1" t="s">
        <v>17436</v>
      </c>
      <c r="V8617" s="1" t="s">
        <v>17437</v>
      </c>
      <c r="AR8617" s="1" t="str">
        <f t="shared" si="542"/>
        <v>| [ㄒㄩㄢ](ㄒㄩㄢ.md) | [宣](宣.md) |  | xuān | [動]
1.散播、發揚。如：「宣傳」。《書經．皋陶謨》：「日宣三德。」唐．柳宗元〈斬曲几文〉：「諂諛宜惕，正直宜宣。」
2.發散、疏通。如：「宣洩怨氣」。《左傳．昭公元年》：「宣汾、洮，障大澤。」
3.表達、說明。如：「心照不宣」。《國語．周語上》：「夫民慮之於心，而宣之於口。」宋．蘇軾〈賀蔣發運啟〉：「忽移書之見及，欣感之幸，筆舌難宣。」
4.知道、明白。《左傳．僖公二十七年》：「民未知信，未宣其用。」
5.以君王的命令傳召臣下。《資治通鑑．卷六五．漢紀五十七．獻帝建安十三年》：「肅宣權旨，論天下事勢，致殷勤之意。」《鏡花緣》第四回：「剛才奴婢已向各花宣過聖意。」
[副]
遍。《管子．小匡》：「公宣問其鄉里而有考驗。」《文選．揚雄．劇秦美新》：「煥炳照曜，靡不宣臻。」
[名]
姓。如明代有宣仲庸。 |</v>
      </c>
    </row>
    <row r="8618" spans="1:44" hidden="1">
      <c r="A8618" s="1" t="s">
        <v>17438</v>
      </c>
      <c r="C8618" s="1">
        <v>1</v>
      </c>
      <c r="D8618" s="1" t="str">
        <f>"07351"</f>
        <v>07351</v>
      </c>
      <c r="E8618" s="1" t="s">
        <v>646</v>
      </c>
      <c r="F8618" s="1">
        <v>10</v>
      </c>
      <c r="G8618" s="1">
        <v>6</v>
      </c>
      <c r="H8618" s="1">
        <v>0</v>
      </c>
      <c r="I8618" s="1" t="s">
        <v>17435</v>
      </c>
      <c r="K8618" s="1" t="str">
        <f t="shared" si="540"/>
        <v>ㄒ</v>
      </c>
      <c r="L8618" s="1" t="str">
        <f t="shared" si="541"/>
        <v>ㄩ</v>
      </c>
      <c r="M8618" s="1" t="str">
        <f t="shared" si="543"/>
        <v>ㄢ</v>
      </c>
      <c r="P8618" s="1" t="s">
        <v>20</v>
      </c>
      <c r="R8618" s="1" t="s">
        <v>17436</v>
      </c>
      <c r="V8618" s="1" t="s">
        <v>17439</v>
      </c>
      <c r="AR8618" s="1" t="str">
        <f t="shared" si="542"/>
        <v>| [ㄒㄩㄢ](ㄒㄩㄢ.md) | [晅](晅.md) |  | xuān | [名]
日氣。《集韻．平聲．元韻》：「晅，日氣也。」
[動]
晒乾。明．張自烈《正字通．日部》：「晅，日氣曝也。」 |</v>
      </c>
    </row>
    <row r="8619" spans="1:44" hidden="1">
      <c r="A8619" s="1" t="s">
        <v>17440</v>
      </c>
      <c r="C8619" s="1">
        <v>1</v>
      </c>
      <c r="D8619" s="1" t="str">
        <f>"07352"</f>
        <v>07352</v>
      </c>
      <c r="E8619" s="1" t="s">
        <v>24</v>
      </c>
      <c r="F8619" s="1">
        <v>12</v>
      </c>
      <c r="G8619" s="1">
        <v>9</v>
      </c>
      <c r="H8619" s="1">
        <v>0</v>
      </c>
      <c r="I8619" s="1" t="s">
        <v>17435</v>
      </c>
      <c r="K8619" s="1" t="str">
        <f t="shared" si="540"/>
        <v>ㄒ</v>
      </c>
      <c r="L8619" s="1" t="str">
        <f t="shared" si="541"/>
        <v>ㄩ</v>
      </c>
      <c r="M8619" s="1" t="str">
        <f t="shared" si="543"/>
        <v>ㄢ</v>
      </c>
      <c r="P8619" s="1" t="s">
        <v>20</v>
      </c>
      <c r="R8619" s="1" t="s">
        <v>17436</v>
      </c>
      <c r="V8619" s="1" t="s">
        <v>17441</v>
      </c>
      <c r="AR8619" s="1" t="str">
        <f t="shared" si="542"/>
        <v>| [ㄒㄩㄢ](ㄒㄩㄢ.md) | [揎](揎.md) |  | xuān | [動]
1.捲起袖子，露出胳膊。如：「揎拳捋袖」。宋．蘇軾〈四時詞〉四首之二：「玉腕半揎雲碧袖，樓前知有斷腸人。」《警世通言．卷二五．桂員外途窮懺悔》：「那小官人且羞且怒，揎衣露臂，面赤高聲。」
2.徒手擊人。如：「他竟然動手揎人。」
3.用手推。如：「先把這些不要的東西揎到一旁。」
4.譴責、責備。《程乙本紅樓夢》第五八回：「他排揎我，我就打得。」 |</v>
      </c>
    </row>
    <row r="8620" spans="1:44" hidden="1">
      <c r="A8620" s="1" t="s">
        <v>17442</v>
      </c>
      <c r="C8620" s="1">
        <v>1</v>
      </c>
      <c r="D8620" s="1" t="str">
        <f>"07353"</f>
        <v>07353</v>
      </c>
      <c r="E8620" s="1" t="s">
        <v>28</v>
      </c>
      <c r="F8620" s="1">
        <v>12</v>
      </c>
      <c r="G8620" s="1">
        <v>9</v>
      </c>
      <c r="H8620" s="1">
        <v>0</v>
      </c>
      <c r="I8620" s="1" t="s">
        <v>17435</v>
      </c>
      <c r="K8620" s="1" t="str">
        <f t="shared" si="540"/>
        <v>ㄒ</v>
      </c>
      <c r="L8620" s="1" t="str">
        <f t="shared" si="541"/>
        <v>ㄩ</v>
      </c>
      <c r="M8620" s="1" t="str">
        <f t="shared" si="543"/>
        <v>ㄢ</v>
      </c>
      <c r="P8620" s="1" t="s">
        <v>20</v>
      </c>
      <c r="R8620" s="1" t="s">
        <v>17436</v>
      </c>
      <c r="V8620" s="1" t="s">
        <v>17443</v>
      </c>
      <c r="AR8620" s="1" t="str">
        <f t="shared" si="542"/>
        <v>| [ㄒㄩㄢ](ㄒㄩㄢ.md) | [喧](喧.md) |  | xuān | [動]
大聲說話。如：「喧譁」、「喧鬧」。唐．孟浩然〈夜歸鹿門歌〉：「山寺鐘鳴晝已昏，漁梁渡頭爭渡喧。」《聊齋志異．卷二．張誠》：「馬騰於槽，人喧於室，居然大家矣。」
[形]
顯赫盛大的。《禮記．大學》：「赫兮喧兮者，威儀也。」 |</v>
      </c>
    </row>
    <row r="8621" spans="1:44" hidden="1">
      <c r="A8621" s="1" t="s">
        <v>17444</v>
      </c>
      <c r="C8621" s="1">
        <v>1</v>
      </c>
      <c r="D8621" s="1" t="str">
        <f>"07354"</f>
        <v>07354</v>
      </c>
      <c r="E8621" s="1" t="s">
        <v>142</v>
      </c>
      <c r="F8621" s="1">
        <v>13</v>
      </c>
      <c r="G8621" s="1">
        <v>9</v>
      </c>
      <c r="H8621" s="1">
        <v>0</v>
      </c>
      <c r="I8621" s="1" t="s">
        <v>17435</v>
      </c>
      <c r="K8621" s="1" t="str">
        <f t="shared" si="540"/>
        <v>ㄒ</v>
      </c>
      <c r="L8621" s="1" t="str">
        <f t="shared" si="541"/>
        <v>ㄩ</v>
      </c>
      <c r="M8621" s="1" t="str">
        <f t="shared" si="543"/>
        <v>ㄢ</v>
      </c>
      <c r="P8621" s="1" t="s">
        <v>20</v>
      </c>
      <c r="R8621" s="1" t="s">
        <v>17436</v>
      </c>
      <c r="V8621" s="1" t="s">
        <v>17445</v>
      </c>
      <c r="AR8621" s="1" t="str">
        <f t="shared" si="542"/>
        <v>| [ㄒㄩㄢ](ㄒㄩㄢ.md) | [瑄](瑄.md) |  | xuān | [名]
六寸大的玉璧。《漢書．卷二五．郊祀志上》：「有司奉瑄玉嘉牲薦饗。」 |</v>
      </c>
    </row>
    <row r="8622" spans="1:44" hidden="1">
      <c r="A8622" s="1" t="s">
        <v>17446</v>
      </c>
      <c r="C8622" s="1">
        <v>1</v>
      </c>
      <c r="D8622" s="1" t="str">
        <f>"07355"</f>
        <v>07355</v>
      </c>
      <c r="E8622" s="1" t="s">
        <v>37</v>
      </c>
      <c r="F8622" s="1">
        <v>13</v>
      </c>
      <c r="G8622" s="1">
        <v>9</v>
      </c>
      <c r="H8622" s="1">
        <v>0</v>
      </c>
      <c r="I8622" s="1" t="s">
        <v>17435</v>
      </c>
      <c r="K8622" s="1" t="str">
        <f t="shared" si="540"/>
        <v>ㄒ</v>
      </c>
      <c r="L8622" s="1" t="str">
        <f t="shared" si="541"/>
        <v>ㄩ</v>
      </c>
      <c r="M8622" s="1" t="str">
        <f t="shared" si="543"/>
        <v>ㄢ</v>
      </c>
      <c r="P8622" s="1" t="s">
        <v>20</v>
      </c>
      <c r="R8622" s="1" t="s">
        <v>17436</v>
      </c>
      <c r="V8622" s="1" t="s">
        <v>17447</v>
      </c>
      <c r="AR8622" s="1" t="str">
        <f t="shared" si="542"/>
        <v>| [ㄒㄩㄢ](ㄒㄩㄢ.md) | [萱](萱.md) |  | xuān | [名]
植物名。百合科萱草屬，「萱草」之簡稱，參見「萱草」條。 |</v>
      </c>
    </row>
    <row r="8623" spans="1:44" hidden="1">
      <c r="A8623" s="1" t="s">
        <v>17448</v>
      </c>
      <c r="C8623" s="1">
        <v>1</v>
      </c>
      <c r="D8623" s="1" t="str">
        <f>"07356"</f>
        <v>07356</v>
      </c>
      <c r="E8623" s="1" t="s">
        <v>646</v>
      </c>
      <c r="F8623" s="1">
        <v>13</v>
      </c>
      <c r="G8623" s="1">
        <v>9</v>
      </c>
      <c r="H8623" s="1">
        <v>0</v>
      </c>
      <c r="I8623" s="1" t="s">
        <v>17435</v>
      </c>
      <c r="K8623" s="1" t="str">
        <f t="shared" si="540"/>
        <v>ㄒ</v>
      </c>
      <c r="L8623" s="1" t="str">
        <f t="shared" si="541"/>
        <v>ㄩ</v>
      </c>
      <c r="M8623" s="1" t="str">
        <f t="shared" si="543"/>
        <v>ㄢ</v>
      </c>
      <c r="P8623" s="1" t="s">
        <v>20</v>
      </c>
      <c r="R8623" s="1" t="s">
        <v>17436</v>
      </c>
      <c r="V8623" s="1" t="s">
        <v>17449</v>
      </c>
      <c r="AR8623" s="1" t="str">
        <f t="shared" si="542"/>
        <v>| [ㄒㄩㄢ](ㄒㄩㄢ.md) | [暄](暄.md) |  | xuān | [動]
參見「寒暄」條。
[形]
1.溫暖的。元．李文蔚《燕青博魚》第三折：「天氣暄熱，我來這裡歇涼。」
2.北平方言。指鬆軟、不實的。如：「這饅頭很暄，蠻好吃的！」 |</v>
      </c>
    </row>
    <row r="8624" spans="1:44" hidden="1">
      <c r="A8624" s="1" t="s">
        <v>17450</v>
      </c>
      <c r="C8624" s="1">
        <v>1</v>
      </c>
      <c r="D8624" s="1" t="str">
        <f>"07357"</f>
        <v>07357</v>
      </c>
      <c r="E8624" s="1" t="s">
        <v>679</v>
      </c>
      <c r="F8624" s="1">
        <v>15</v>
      </c>
      <c r="G8624" s="1">
        <v>9</v>
      </c>
      <c r="H8624" s="1">
        <v>0</v>
      </c>
      <c r="I8624" s="1" t="s">
        <v>17435</v>
      </c>
      <c r="K8624" s="1" t="str">
        <f t="shared" ref="K8624:K8687" si="544">LEFT(I8624, 1)</f>
        <v>ㄒ</v>
      </c>
      <c r="L8624" s="1" t="str">
        <f t="shared" ref="L8624:L8687" si="545">MID(I8624, 2, 1)</f>
        <v>ㄩ</v>
      </c>
      <c r="M8624" s="1" t="str">
        <f t="shared" si="543"/>
        <v>ㄢ</v>
      </c>
      <c r="P8624" s="1" t="s">
        <v>20</v>
      </c>
      <c r="R8624" s="1" t="s">
        <v>17436</v>
      </c>
      <c r="V8624" s="1" t="s">
        <v>17451</v>
      </c>
      <c r="AR8624" s="1" t="str">
        <f t="shared" si="542"/>
        <v>| [ㄒㄩㄢ](ㄒㄩㄢ.md) | [蝖](蝖.md) |  | xuān | [形]
蟲行動的樣子。《韓詩外傳》卷七：「蝖飛蠕動，各樂其性。」 |</v>
      </c>
    </row>
    <row r="8625" spans="1:44" hidden="1">
      <c r="A8625" s="1" t="s">
        <v>17452</v>
      </c>
      <c r="C8625" s="1">
        <v>1</v>
      </c>
      <c r="D8625" s="1" t="str">
        <f>"07358"</f>
        <v>07358</v>
      </c>
      <c r="E8625" s="1" t="s">
        <v>331</v>
      </c>
      <c r="F8625" s="1">
        <v>16</v>
      </c>
      <c r="G8625" s="1">
        <v>9</v>
      </c>
      <c r="H8625" s="1">
        <v>0</v>
      </c>
      <c r="I8625" s="1" t="s">
        <v>17435</v>
      </c>
      <c r="K8625" s="1" t="str">
        <f t="shared" si="544"/>
        <v>ㄒ</v>
      </c>
      <c r="L8625" s="1" t="str">
        <f t="shared" si="545"/>
        <v>ㄩ</v>
      </c>
      <c r="M8625" s="1" t="str">
        <f t="shared" si="543"/>
        <v>ㄢ</v>
      </c>
      <c r="P8625" s="1" t="s">
        <v>20</v>
      </c>
      <c r="R8625" s="1" t="s">
        <v>17436</v>
      </c>
      <c r="V8625" s="1" t="s">
        <v>17453</v>
      </c>
      <c r="AR8625" s="1" t="str">
        <f t="shared" si="542"/>
        <v>| [ㄒㄩㄢ](ㄒㄩㄢ.md) | [諠](諠.md) |  | xuān | [動]
1.嘈雜、吵鬧。通「喧」。《樂府詩集．卷四一．相和歌辭十六．南朝宋．鮑照．東武吟行》：「主人且勿諠，賤子歌一言。」
2.忘記。通「諼」。《禮記．大學》：「有斐君子，終不可諠兮。」《漢書．卷一〇〇．敘傳上》：「朝貞觀而夕化兮，猶諠己而遺形。」顏師古注引應劭曰：「諠，忘也。」 |</v>
      </c>
    </row>
    <row r="8626" spans="1:44" hidden="1">
      <c r="A8626" s="1" t="s">
        <v>17454</v>
      </c>
      <c r="C8626" s="1">
        <v>1</v>
      </c>
      <c r="D8626" s="1" t="str">
        <f>"07359"</f>
        <v>07359</v>
      </c>
      <c r="E8626" s="1" t="s">
        <v>71</v>
      </c>
      <c r="F8626" s="1">
        <v>10</v>
      </c>
      <c r="G8626" s="1">
        <v>3</v>
      </c>
      <c r="H8626" s="1">
        <v>0</v>
      </c>
      <c r="I8626" s="1" t="s">
        <v>17435</v>
      </c>
      <c r="K8626" s="1" t="str">
        <f t="shared" si="544"/>
        <v>ㄒ</v>
      </c>
      <c r="L8626" s="1" t="str">
        <f t="shared" si="545"/>
        <v>ㄩ</v>
      </c>
      <c r="M8626" s="1" t="str">
        <f t="shared" si="543"/>
        <v>ㄢ</v>
      </c>
      <c r="P8626" s="1" t="s">
        <v>20</v>
      </c>
      <c r="R8626" s="1" t="s">
        <v>17436</v>
      </c>
      <c r="V8626" s="1" t="s">
        <v>17455</v>
      </c>
      <c r="AR8626" s="1" t="str">
        <f t="shared" si="542"/>
        <v>| [ㄒㄩㄢ](ㄒㄩㄢ.md) | [軒](軒.md) |  | xuān | [名]
1.古代一種有篷、有屏蔽的車子，多為貴族所乘。《左傳．閔公二年》：「衛懿公好鶴，鶴有乘軒者。」《文選．江淹．別賦》：「龍馬銀鞍，朱軒繡軸。」
2.車子的通稱。唐．李白〈博平鄭太守見訪贈別〉詩：「去去桃花源，何時見歸軒。」
3.車前高起的部分。《詩經．小雅．六月》：「戎車既安，如輊如軒。」
4.廳堂前後高起的屋簷。如：「翻軒」。《文選．沈約．應王中丞思遠詠月詩》：「網軒映珠綴，應門照綠苔。」唐．張銑．注：「軒，屋簷也。以網及珠綴而飾之。」
5.窗子。晉．陶淵明〈閒情賦〉：「曲調將半，景落西軒。」唐．孟浩然〈過故人莊〉詩：「開軒面場圃，把酒話桑麻。」
6.長廊。唐．柳宗元〈永州龍興寺西軒記〉：「於是鑿西墉以為戶，戶之外為軒。」
7.小房間。宋．朱熹〈高士軒記〉：「獨西北隅一軒，為亢爽可喜。」《紅樓夢》第一一回：「遙望東南，建幾處依山之榭；縱觀西北，結三間臨水之軒。」
8.姓。如漢代有軒如。
[動]
高飛。《文選．顏延之．五君詠五首之五》：「交呂既鴻軒，攀嵇亦鳳舉。」
[形]
高。如：「氣宇軒昂」。《紅樓夢》第二回：「裡面廳殿樓閣，也都還崢嶸軒峻。」 |</v>
      </c>
    </row>
    <row r="8627" spans="1:44" hidden="1">
      <c r="A8627" s="1" t="s">
        <v>17456</v>
      </c>
      <c r="C8627" s="1">
        <v>1</v>
      </c>
      <c r="D8627" s="1" t="str">
        <f>"07360"</f>
        <v>07360</v>
      </c>
      <c r="E8627" s="1" t="s">
        <v>37</v>
      </c>
      <c r="F8627" s="1">
        <v>13</v>
      </c>
      <c r="G8627" s="1">
        <v>9</v>
      </c>
      <c r="H8627" s="1">
        <v>0</v>
      </c>
      <c r="I8627" s="1" t="s">
        <v>17435</v>
      </c>
      <c r="K8627" s="1" t="str">
        <f t="shared" si="544"/>
        <v>ㄒ</v>
      </c>
      <c r="L8627" s="1" t="str">
        <f t="shared" si="545"/>
        <v>ㄩ</v>
      </c>
      <c r="M8627" s="1" t="str">
        <f t="shared" si="543"/>
        <v>ㄢ</v>
      </c>
      <c r="P8627" s="1" t="s">
        <v>20</v>
      </c>
      <c r="R8627" s="1" t="s">
        <v>17436</v>
      </c>
      <c r="V8627" s="1" t="s">
        <v>17457</v>
      </c>
      <c r="AR8627" s="1" t="str">
        <f t="shared" si="542"/>
        <v>| [ㄒㄩㄢ](ㄒㄩㄢ.md) | [萲](萲.md) |  | xuān | 同「萱」。 |</v>
      </c>
    </row>
    <row r="8628" spans="1:44" hidden="1">
      <c r="A8628" s="1" t="s">
        <v>7712</v>
      </c>
      <c r="C8628" s="1">
        <v>1</v>
      </c>
      <c r="D8628" s="1" t="str">
        <f>"07361"</f>
        <v>07361</v>
      </c>
      <c r="E8628" s="1" t="s">
        <v>646</v>
      </c>
      <c r="F8628" s="1">
        <v>13</v>
      </c>
      <c r="G8628" s="1">
        <v>9</v>
      </c>
      <c r="H8628" s="1">
        <v>2</v>
      </c>
      <c r="I8628" s="1" t="s">
        <v>17435</v>
      </c>
      <c r="K8628" s="1" t="str">
        <f t="shared" si="544"/>
        <v>ㄒ</v>
      </c>
      <c r="L8628" s="1" t="str">
        <f t="shared" si="545"/>
        <v>ㄩ</v>
      </c>
      <c r="M8628" s="1" t="str">
        <f t="shared" si="543"/>
        <v>ㄢ</v>
      </c>
      <c r="P8628" s="1" t="s">
        <v>20</v>
      </c>
      <c r="R8628" s="1" t="s">
        <v>17436</v>
      </c>
      <c r="V8628" s="1" t="s">
        <v>17458</v>
      </c>
      <c r="W8628" s="1" t="s">
        <v>17459</v>
      </c>
      <c r="AR8628" s="1" t="str">
        <f t="shared" si="542"/>
        <v>| [ㄒㄩㄢ](ㄒㄩㄢ.md) | [暖](暖.md) |  | xuān | 參見「暖暖」、「暖姝」條。 |</v>
      </c>
    </row>
    <row r="8629" spans="1:44" hidden="1">
      <c r="A8629" s="1" t="s">
        <v>17460</v>
      </c>
      <c r="C8629" s="1">
        <v>1</v>
      </c>
      <c r="D8629" s="1" t="str">
        <f>"07362"</f>
        <v>07362</v>
      </c>
      <c r="E8629" s="1" t="s">
        <v>331</v>
      </c>
      <c r="F8629" s="1">
        <v>16</v>
      </c>
      <c r="G8629" s="1">
        <v>9</v>
      </c>
      <c r="H8629" s="1">
        <v>1</v>
      </c>
      <c r="I8629" s="1" t="s">
        <v>17435</v>
      </c>
      <c r="K8629" s="1" t="str">
        <f t="shared" si="544"/>
        <v>ㄒ</v>
      </c>
      <c r="L8629" s="1" t="str">
        <f t="shared" si="545"/>
        <v>ㄩ</v>
      </c>
      <c r="M8629" s="1" t="str">
        <f t="shared" si="543"/>
        <v>ㄢ</v>
      </c>
      <c r="P8629" s="1" t="s">
        <v>20</v>
      </c>
      <c r="R8629" s="1" t="s">
        <v>17436</v>
      </c>
      <c r="V8629" s="1" t="s">
        <v>17461</v>
      </c>
      <c r="W8629" s="1" t="s">
        <v>17462</v>
      </c>
      <c r="AR8629" s="1" t="str">
        <f t="shared" si="542"/>
        <v>| [ㄒㄩㄢ](ㄒㄩㄢ.md) | [諼](諼.md) |  | xuān | [動]
1.欺詐。《公羊傳．襄公二十五年》：「曷為不言入于衛，諼君以弒也。」
2.忘記。《詩經．衛風．考槃》：「獨寐寤言，永矢弗諼。」唐．白居易〈贈元稹〉詩：「之子異於是，久要誓不諼。」 |</v>
      </c>
    </row>
    <row r="8630" spans="1:44" hidden="1">
      <c r="A8630" s="1" t="s">
        <v>17463</v>
      </c>
      <c r="C8630" s="1">
        <v>1</v>
      </c>
      <c r="D8630" s="1" t="str">
        <f>"07363"</f>
        <v>07363</v>
      </c>
      <c r="E8630" s="1" t="s">
        <v>114</v>
      </c>
      <c r="F8630" s="1">
        <v>15</v>
      </c>
      <c r="G8630" s="1">
        <v>13</v>
      </c>
      <c r="H8630" s="1">
        <v>0</v>
      </c>
      <c r="I8630" s="1" t="s">
        <v>17435</v>
      </c>
      <c r="K8630" s="1" t="str">
        <f t="shared" si="544"/>
        <v>ㄒ</v>
      </c>
      <c r="L8630" s="1" t="str">
        <f t="shared" si="545"/>
        <v>ㄩ</v>
      </c>
      <c r="M8630" s="1" t="str">
        <f t="shared" si="543"/>
        <v>ㄢ</v>
      </c>
      <c r="P8630" s="1" t="s">
        <v>20</v>
      </c>
      <c r="R8630" s="1" t="s">
        <v>17436</v>
      </c>
      <c r="V8630" s="1" t="s">
        <v>17464</v>
      </c>
      <c r="AR8630" s="1" t="str">
        <f t="shared" si="542"/>
        <v>| [ㄒㄩㄢ](ㄒㄩㄢ.md) | [儇](儇.md) |  | xuān | [形]
慧黠而輕薄。如：「儇薄」。《楚辭．屈原．九章．惜誦》：「忘儇媚以背眾兮，待明君其知之。」 |</v>
      </c>
    </row>
    <row r="8631" spans="1:44" hidden="1">
      <c r="A8631" s="1" t="s">
        <v>17465</v>
      </c>
      <c r="C8631" s="1">
        <v>1</v>
      </c>
      <c r="D8631" s="1" t="str">
        <f>"07364"</f>
        <v>07364</v>
      </c>
      <c r="E8631" s="1" t="s">
        <v>250</v>
      </c>
      <c r="F8631" s="1">
        <v>16</v>
      </c>
      <c r="G8631" s="1">
        <v>13</v>
      </c>
      <c r="H8631" s="1">
        <v>0</v>
      </c>
      <c r="I8631" s="1" t="s">
        <v>17435</v>
      </c>
      <c r="K8631" s="1" t="str">
        <f t="shared" si="544"/>
        <v>ㄒ</v>
      </c>
      <c r="L8631" s="1" t="str">
        <f t="shared" si="545"/>
        <v>ㄩ</v>
      </c>
      <c r="M8631" s="1" t="str">
        <f t="shared" si="543"/>
        <v>ㄢ</v>
      </c>
      <c r="P8631" s="1" t="s">
        <v>20</v>
      </c>
      <c r="R8631" s="1" t="s">
        <v>17436</v>
      </c>
      <c r="V8631" s="1" t="s">
        <v>17466</v>
      </c>
      <c r="AR8631" s="1" t="str">
        <f t="shared" si="542"/>
        <v>| [ㄒㄩㄢ](ㄒㄩㄢ.md) | [懁](懁.md) |  | xuān | [形]
急躁。《玉篇．心部》：「懁，心急也。」《莊子．列禦寇》：「有貌愿而益，有長若不肖，有順懁而達，有堅而縵，有緩而釬。」《史記．卷一二九．貨殖傳》：「民俗懁急，仰機利而食。」 |</v>
      </c>
    </row>
    <row r="8632" spans="1:44" hidden="1">
      <c r="A8632" s="1" t="s">
        <v>12529</v>
      </c>
      <c r="C8632" s="1">
        <v>1</v>
      </c>
      <c r="D8632" s="1" t="str">
        <f>"07365"</f>
        <v>07365</v>
      </c>
      <c r="E8632" s="1" t="s">
        <v>534</v>
      </c>
      <c r="F8632" s="1">
        <v>16</v>
      </c>
      <c r="G8632" s="1">
        <v>13</v>
      </c>
      <c r="H8632" s="1">
        <v>2</v>
      </c>
      <c r="I8632" s="1" t="s">
        <v>17435</v>
      </c>
      <c r="K8632" s="1" t="str">
        <f t="shared" si="544"/>
        <v>ㄒ</v>
      </c>
      <c r="L8632" s="1" t="str">
        <f t="shared" si="545"/>
        <v>ㄩ</v>
      </c>
      <c r="M8632" s="1" t="str">
        <f t="shared" si="543"/>
        <v>ㄢ</v>
      </c>
      <c r="P8632" s="1" t="s">
        <v>20</v>
      </c>
      <c r="R8632" s="1" t="s">
        <v>17436</v>
      </c>
      <c r="V8632" s="1" t="s">
        <v>17467</v>
      </c>
      <c r="W8632" s="1" t="s">
        <v>17468</v>
      </c>
      <c r="AR8632" s="1" t="str">
        <f t="shared" si="542"/>
        <v>| [ㄒㄩㄢ](ㄒㄩㄢ.md) | [嬛](嬛.md) |  | xuān | [形]
便嬛：輕飄美麗的樣子。《廣韻．平聲．仙韻》：「嬛，便嬛，輕麗貌。」《文選．司馬相如．上林賦》：「靚妝刻飾，便嬛綽約。」 |</v>
      </c>
    </row>
    <row r="8633" spans="1:44" hidden="1">
      <c r="A8633" s="1" t="s">
        <v>17469</v>
      </c>
      <c r="C8633" s="1">
        <v>1</v>
      </c>
      <c r="D8633" s="1" t="str">
        <f>"07366"</f>
        <v>07366</v>
      </c>
      <c r="E8633" s="1" t="s">
        <v>679</v>
      </c>
      <c r="F8633" s="1">
        <v>19</v>
      </c>
      <c r="G8633" s="1">
        <v>13</v>
      </c>
      <c r="H8633" s="1">
        <v>0</v>
      </c>
      <c r="I8633" s="1" t="s">
        <v>17435</v>
      </c>
      <c r="K8633" s="1" t="str">
        <f t="shared" si="544"/>
        <v>ㄒ</v>
      </c>
      <c r="L8633" s="1" t="str">
        <f t="shared" si="545"/>
        <v>ㄩ</v>
      </c>
      <c r="M8633" s="1" t="str">
        <f t="shared" si="543"/>
        <v>ㄢ</v>
      </c>
      <c r="P8633" s="1" t="s">
        <v>20</v>
      </c>
      <c r="R8633" s="1" t="s">
        <v>17436</v>
      </c>
      <c r="V8633" s="1" t="s">
        <v>17470</v>
      </c>
      <c r="AR8633" s="1" t="str">
        <f t="shared" si="542"/>
        <v>| [ㄒㄩㄢ](ㄒㄩㄢ.md) | [蠉](蠉.md) |  | xuān | [形]
蟲行動的樣子。《說文解字．虫部》：「蠉，蟲行也。」《淮南子．原道》：「跂行喙息，蠉飛蠕動。」漢．高誘．注：「蟲行動貌。」
[名]
一種井中小蟲。《爾雅．釋魚》：「蜎，蠉。」晉．郭璞．注：「井中小蛣蟩，赤蟲。」 |</v>
      </c>
    </row>
    <row r="8634" spans="1:44" hidden="1">
      <c r="A8634" s="1" t="s">
        <v>17471</v>
      </c>
      <c r="C8634" s="1">
        <v>1</v>
      </c>
      <c r="D8634" s="1" t="str">
        <f>"07367"</f>
        <v>07367</v>
      </c>
      <c r="E8634" s="1" t="s">
        <v>2271</v>
      </c>
      <c r="F8634" s="1">
        <v>19</v>
      </c>
      <c r="G8634" s="1">
        <v>13</v>
      </c>
      <c r="H8634" s="1">
        <v>0</v>
      </c>
      <c r="I8634" s="1" t="s">
        <v>17435</v>
      </c>
      <c r="K8634" s="1" t="str">
        <f t="shared" si="544"/>
        <v>ㄒ</v>
      </c>
      <c r="L8634" s="1" t="str">
        <f t="shared" si="545"/>
        <v>ㄩ</v>
      </c>
      <c r="M8634" s="1" t="str">
        <f t="shared" si="543"/>
        <v>ㄢ</v>
      </c>
      <c r="P8634" s="1" t="s">
        <v>20</v>
      </c>
      <c r="R8634" s="1" t="s">
        <v>17436</v>
      </c>
      <c r="V8634" s="1" t="s">
        <v>17472</v>
      </c>
      <c r="AR8634" s="1" t="str">
        <f t="shared" si="542"/>
        <v>| [ㄒㄩㄢ](ㄒㄩㄢ.md) | [翾](翾.md) |  | xuān | [動]
低飛。《說文解字．虫部》：「翾，小飛也。」
[形]
1.急速、快速。《文選．張衡．思玄賦》：「翾鳥舉而魚躍兮，將往走乎八荒。」
2.急躁、輕浮。通「懁」。《荀子．不苟》：「喜則輕而翾，憂則挫而懾，通則驕而偏。」
[名]
飛鳥。南朝宋．鮑照〈謝隨恩被原表〉：「仁道毓物，澤洎翾走。」《隋書．卷十三．音樂志上》：「碧鱗朱尾獻嘉鮮，紅毛綠翼墜輕翾。」 |</v>
      </c>
    </row>
    <row r="8635" spans="1:44" hidden="1">
      <c r="A8635" s="1" t="s">
        <v>17473</v>
      </c>
      <c r="C8635" s="1">
        <v>1</v>
      </c>
      <c r="D8635" s="1" t="str">
        <f>"07368"</f>
        <v>07368</v>
      </c>
      <c r="E8635" s="1" t="s">
        <v>132</v>
      </c>
      <c r="F8635" s="1">
        <v>17</v>
      </c>
      <c r="G8635" s="1">
        <v>14</v>
      </c>
      <c r="H8635" s="1">
        <v>2</v>
      </c>
      <c r="I8635" s="1" t="s">
        <v>17435</v>
      </c>
      <c r="K8635" s="1" t="str">
        <f t="shared" si="544"/>
        <v>ㄒ</v>
      </c>
      <c r="L8635" s="1" t="str">
        <f t="shared" si="545"/>
        <v>ㄩ</v>
      </c>
      <c r="M8635" s="1" t="str">
        <f t="shared" si="543"/>
        <v>ㄢ</v>
      </c>
      <c r="P8635" s="1" t="s">
        <v>110</v>
      </c>
      <c r="R8635" s="1" t="s">
        <v>17436</v>
      </c>
      <c r="V8635" s="1" t="s">
        <v>111</v>
      </c>
      <c r="W8635" s="1" t="s">
        <v>17474</v>
      </c>
      <c r="AR8635" s="1" t="str">
        <f t="shared" si="542"/>
        <v>| [ㄒㄩㄢ](ㄒㄩㄢ.md) | [壎](壎.md) |  | xuān | (一)之又音。 |</v>
      </c>
    </row>
    <row r="8636" spans="1:44" hidden="1">
      <c r="A8636" s="1" t="s">
        <v>17475</v>
      </c>
      <c r="C8636" s="1">
        <v>1</v>
      </c>
      <c r="D8636" s="1" t="str">
        <f>"07369"</f>
        <v>07369</v>
      </c>
      <c r="E8636" s="1" t="s">
        <v>1015</v>
      </c>
      <c r="F8636" s="1">
        <v>20</v>
      </c>
      <c r="G8636" s="1">
        <v>15</v>
      </c>
      <c r="H8636" s="1">
        <v>1</v>
      </c>
      <c r="I8636" s="1" t="s">
        <v>17435</v>
      </c>
      <c r="K8636" s="1" t="str">
        <f t="shared" si="544"/>
        <v>ㄒ</v>
      </c>
      <c r="L8636" s="1" t="str">
        <f t="shared" si="545"/>
        <v>ㄩ</v>
      </c>
      <c r="M8636" s="1" t="str">
        <f t="shared" si="543"/>
        <v>ㄢ</v>
      </c>
      <c r="P8636" s="1" t="s">
        <v>20</v>
      </c>
      <c r="R8636" s="1" t="s">
        <v>17436</v>
      </c>
      <c r="V8636" s="1" t="s">
        <v>17476</v>
      </c>
      <c r="W8636" s="1" t="s">
        <v>17477</v>
      </c>
      <c r="AR8636" s="1" t="str">
        <f t="shared" si="542"/>
        <v>| [ㄒㄩㄢ](ㄒㄩㄢ.md) | [矎](矎.md) |  | xuān | [形]
眼睛直視的樣子。《字彙．目部》：「矎，直視貌。」 |</v>
      </c>
    </row>
    <row r="8637" spans="1:44" hidden="1">
      <c r="A8637" s="1" t="s">
        <v>17478</v>
      </c>
      <c r="C8637" s="1">
        <v>1</v>
      </c>
      <c r="D8637" s="1" t="str">
        <f>"07370"</f>
        <v>07370</v>
      </c>
      <c r="E8637" s="1" t="s">
        <v>9085</v>
      </c>
      <c r="F8637" s="1">
        <v>5</v>
      </c>
      <c r="G8637" s="1">
        <v>0</v>
      </c>
      <c r="H8637" s="1">
        <v>0</v>
      </c>
      <c r="I8637" s="1" t="s">
        <v>17479</v>
      </c>
      <c r="K8637" s="1" t="str">
        <f t="shared" si="544"/>
        <v>ㄒ</v>
      </c>
      <c r="L8637" s="1" t="str">
        <f t="shared" si="545"/>
        <v>ㄩ</v>
      </c>
      <c r="M8637" s="1" t="str">
        <f t="shared" si="543"/>
        <v>ㄢ</v>
      </c>
      <c r="P8637" s="1" t="s">
        <v>20</v>
      </c>
      <c r="R8637" s="1" t="s">
        <v>17480</v>
      </c>
      <c r="V8637" s="1" t="s">
        <v>17481</v>
      </c>
      <c r="AR8637" s="1" t="str">
        <f t="shared" si="542"/>
        <v>| [ㄒㄩㄢˊ](ㄒㄩㄢˊ.md) | [玄](玄.md) |  | xuán | [形]
1.黑色的。如：「玄狐」。唐．駱賓王〈在獄詠蟬〉詩：「那堪玄鬢影，來對白頭吟。」宋．蘇軾〈後赤壁賦〉：「玄裳縞衣，戛然長鳴。」
2.深遠奧妙的。如：「玄妙」、「玄理」、「玄機」。《老子》第一章：「玄之又玄，眾妙之門。」
3.虛偽、不可靠的。如：「玄虛」、「這話太玄了，不要相信。」
[名]
1.天。《文選．張衡．東京賦》：「祈福乎上玄，思所以為虔。」
2.指魏晉玄學。參見「玄學」條。
3.姓。如漢代有玄俗。
4.二一四部首之一。 |</v>
      </c>
    </row>
    <row r="8638" spans="1:44" hidden="1">
      <c r="A8638" s="1" t="s">
        <v>17482</v>
      </c>
      <c r="C8638" s="1">
        <v>1</v>
      </c>
      <c r="D8638" s="1" t="str">
        <f>"07371"</f>
        <v>07371</v>
      </c>
      <c r="E8638" s="1" t="s">
        <v>800</v>
      </c>
      <c r="F8638" s="1">
        <v>11</v>
      </c>
      <c r="G8638" s="1">
        <v>7</v>
      </c>
      <c r="H8638" s="1">
        <v>1</v>
      </c>
      <c r="I8638" s="1" t="s">
        <v>17479</v>
      </c>
      <c r="K8638" s="1" t="str">
        <f t="shared" si="544"/>
        <v>ㄒ</v>
      </c>
      <c r="L8638" s="1" t="str">
        <f t="shared" si="545"/>
        <v>ㄩ</v>
      </c>
      <c r="M8638" s="1" t="str">
        <f t="shared" si="543"/>
        <v>ㄢ</v>
      </c>
      <c r="P8638" s="1" t="s">
        <v>20</v>
      </c>
      <c r="R8638" s="1" t="s">
        <v>17480</v>
      </c>
      <c r="V8638" s="1" t="s">
        <v>17483</v>
      </c>
      <c r="W8638" s="1" t="s">
        <v>17484</v>
      </c>
      <c r="AR8638" s="1" t="str">
        <f t="shared" si="542"/>
        <v>| [ㄒㄩㄢˊ](ㄒㄩㄢˊ.md) | [旋](旋.md) |  | xuán | [動]
1.繞著轉動。如：「盤旋」、「回旋」。唐．白居易〈長恨歌〉：「天旋日轉迴龍馭，到此躊躇不能去。」
2.回、歸。如：「凱旋歸來」。唐．李商隱〈行次西郊作一百韻〉：「玉輦望南斗，未知何日旋。」宋．汪藻〈己酉亂後寄常州使君姪〉詩：「草草官軍渡，悠悠敵騎旋。」
3.小便。唐．韓愈〈張中丞傳後敘〉：「及城陷，賊縛巡等數十人坐，且將戮，巡起旋。」
[副]
1.立刻、很快的。如：「旋即」。唐．岑參〈走馬川行奉送出師西征〉詩：「馬毛帶雪汗氣蒸，五花連錢旋作冰。」宋．蘇軾〈浣溪沙．旋抹紅妝看使君〉詞：「旋抹紅妝看使君，三三五五棘籬門，相挨踏破蒨羅裙。」
2.又、再。宋．晁補之〈八六子．喜秋晴〉詞：「醉休醒，醒來舊愁旋生。」
[連]
表示同時做兩件事。唐．章碣〈陪浙西王侍郎夜宴〉詩：「旋看歌舞旋傳杯。」 |</v>
      </c>
    </row>
    <row r="8639" spans="1:44" hidden="1">
      <c r="A8639" s="1" t="s">
        <v>17485</v>
      </c>
      <c r="C8639" s="1">
        <v>1</v>
      </c>
      <c r="D8639" s="1" t="str">
        <f>"07372"</f>
        <v>07372</v>
      </c>
      <c r="E8639" s="1" t="s">
        <v>129</v>
      </c>
      <c r="F8639" s="1">
        <v>14</v>
      </c>
      <c r="G8639" s="1">
        <v>11</v>
      </c>
      <c r="H8639" s="1">
        <v>1</v>
      </c>
      <c r="I8639" s="1" t="s">
        <v>17479</v>
      </c>
      <c r="K8639" s="1" t="str">
        <f t="shared" si="544"/>
        <v>ㄒ</v>
      </c>
      <c r="L8639" s="1" t="str">
        <f t="shared" si="545"/>
        <v>ㄩ</v>
      </c>
      <c r="M8639" s="1" t="str">
        <f t="shared" si="543"/>
        <v>ㄢ</v>
      </c>
      <c r="P8639" s="1" t="s">
        <v>20</v>
      </c>
      <c r="R8639" s="1" t="s">
        <v>17480</v>
      </c>
      <c r="V8639" s="1" t="s">
        <v>17486</v>
      </c>
      <c r="W8639" s="1" t="s">
        <v>17487</v>
      </c>
      <c r="AR8639" s="1" t="str">
        <f t="shared" si="542"/>
        <v>| [ㄒㄩㄢˊ](ㄒㄩㄢˊ.md) | [漩](漩.md) |  | xuán | [名]
水流旋轉所形成中心較低的地方。如：「漩渦」。唐．杜甫〈最能行〉：「欹帆側柂入波濤，撇漩捎濆無險阻。」
[動]
流水旋轉。唐．元稹〈遭風二十韻〉：「龍歸窟穴深潭漩，蜃作波濤古岸頹。」 |</v>
      </c>
    </row>
    <row r="8640" spans="1:44" hidden="1">
      <c r="A8640" s="1" t="s">
        <v>17488</v>
      </c>
      <c r="C8640" s="1">
        <v>1</v>
      </c>
      <c r="D8640" s="1" t="str">
        <f>"07373"</f>
        <v>07373</v>
      </c>
      <c r="E8640" s="1" t="s">
        <v>142</v>
      </c>
      <c r="F8640" s="1">
        <v>15</v>
      </c>
      <c r="G8640" s="1">
        <v>11</v>
      </c>
      <c r="H8640" s="1">
        <v>0</v>
      </c>
      <c r="I8640" s="1" t="s">
        <v>17479</v>
      </c>
      <c r="K8640" s="1" t="str">
        <f t="shared" si="544"/>
        <v>ㄒ</v>
      </c>
      <c r="L8640" s="1" t="str">
        <f t="shared" si="545"/>
        <v>ㄩ</v>
      </c>
      <c r="M8640" s="1" t="str">
        <f t="shared" si="543"/>
        <v>ㄢ</v>
      </c>
      <c r="P8640" s="1" t="s">
        <v>20</v>
      </c>
      <c r="R8640" s="1" t="s">
        <v>17480</v>
      </c>
      <c r="V8640" s="1" t="s">
        <v>17489</v>
      </c>
      <c r="AR8640" s="1" t="str">
        <f t="shared" si="542"/>
        <v>| [ㄒㄩㄢˊ](ㄒㄩㄢˊ.md) | [璇](璇.md) |  | xuán | [名]
1.美玉。《山海經．大荒西經》：「爰有甘華、甘柤、白柳、視肉、三騅、璇瑰。」
2.星名。北斗七星的第二顆，在西方為大熊座β星。也稱為「天璇」。
[形]
如美玉般的。如：「璇宮」。南朝宋．鮑照〈蕪城賦〉：「璇淵碧樹，弋林釣渚之館。」 |</v>
      </c>
    </row>
    <row r="8641" spans="1:44" hidden="1">
      <c r="A8641" s="1" t="s">
        <v>16968</v>
      </c>
      <c r="C8641" s="1">
        <v>1</v>
      </c>
      <c r="D8641" s="1" t="str">
        <f>"07374"</f>
        <v>07374</v>
      </c>
      <c r="E8641" s="1" t="s">
        <v>725</v>
      </c>
      <c r="F8641" s="1">
        <v>16</v>
      </c>
      <c r="G8641" s="1">
        <v>10</v>
      </c>
      <c r="H8641" s="1">
        <v>2</v>
      </c>
      <c r="I8641" s="1" t="s">
        <v>17479</v>
      </c>
      <c r="K8641" s="1" t="str">
        <f t="shared" si="544"/>
        <v>ㄒ</v>
      </c>
      <c r="L8641" s="1" t="str">
        <f t="shared" si="545"/>
        <v>ㄩ</v>
      </c>
      <c r="M8641" s="1" t="str">
        <f t="shared" si="543"/>
        <v>ㄢ</v>
      </c>
      <c r="P8641" s="1" t="s">
        <v>20</v>
      </c>
      <c r="R8641" s="1" t="s">
        <v>17480</v>
      </c>
      <c r="V8641" s="1" t="s">
        <v>17490</v>
      </c>
      <c r="W8641" s="1" t="s">
        <v>17491</v>
      </c>
      <c r="AR8641" s="1" t="str">
        <f t="shared" si="542"/>
        <v>| [ㄒㄩㄢˊ](ㄒㄩㄢˊ.md) | [縣](縣.md) |  | xuán | [動]
1.繫、掛。同「懸」。《莊子．外物》：「心若縣於天地之閒。」《史記．卷六十九．蘇秦傳》：「心搖搖然如縣旌而無所終薄。」
2.出示、揭示。同「懸」。《周禮．春官．小宗伯》：「縣衰冠之式于路門之外。」《三國志．卷五二．吳書．步騭傳》：「縣賞以顯善。」
[副]
遠、差距大。同「懸」。《漢書．卷一．高帝紀下》：「帶河阻山，縣隔千里。」 |</v>
      </c>
    </row>
    <row r="8642" spans="1:44" hidden="1">
      <c r="A8642" s="1" t="s">
        <v>17492</v>
      </c>
      <c r="C8642" s="1">
        <v>1</v>
      </c>
      <c r="D8642" s="1" t="str">
        <f>"07375"</f>
        <v>07375</v>
      </c>
      <c r="E8642" s="1" t="s">
        <v>250</v>
      </c>
      <c r="F8642" s="1">
        <v>20</v>
      </c>
      <c r="G8642" s="1">
        <v>16</v>
      </c>
      <c r="H8642" s="1">
        <v>0</v>
      </c>
      <c r="I8642" s="1" t="s">
        <v>17479</v>
      </c>
      <c r="K8642" s="1" t="str">
        <f t="shared" si="544"/>
        <v>ㄒ</v>
      </c>
      <c r="L8642" s="1" t="str">
        <f t="shared" si="545"/>
        <v>ㄩ</v>
      </c>
      <c r="M8642" s="1" t="str">
        <f t="shared" si="543"/>
        <v>ㄢ</v>
      </c>
      <c r="P8642" s="1" t="s">
        <v>20</v>
      </c>
      <c r="R8642" s="1" t="s">
        <v>17480</v>
      </c>
      <c r="V8642" s="1" t="s">
        <v>17493</v>
      </c>
      <c r="AR8642" s="1" t="str">
        <f t="shared" si="542"/>
        <v>| [ㄒㄩㄢˊ](ㄒㄩㄢˊ.md) | [懸](懸.md) |  | xuán | [動]
1.掛、繫。如：「懸壺濟世」。《後漢書．卷八二．方術傳下．費長房傳》：「又臥於空室，以朽索懸萬斤石於心上。」宋．張耒〈海州道中〉詩二首之二：「逃屋無人草滿家，纍纍秋蔓懸寒瓜。」
2.牽掛、掛念。如：「懸念」、「懸思」。唐．李白〈聞丹丘子於城北營石門幽居〉詩：「心懸萬里外，影滯兩鄉隔。」《紅樓夢》第二七回：「你昨兒可告了我不曾？教我懸了一夜的心。」
3.公示、公布。如：「懸賞」。《孫子．九地》：「施無法之賞，懸無政之令。」
[形]
1.高掛的。如：「懸泉」、「懸瀑」。
2.差別大、距離遠。如：「懸殊」。
3.久延不決的。如：「懸案」。《韓非子．亡徵》：「藏怒而弗發，懸罪而弗誅，使臣陰憎而愈憂懼。」
[副]
憑空、無依據。如：「懸想」。唐．柳宗元〈復杜溫夫書〉：「吾性騃滯，多所未甚諭，安敢懸斷是且非耶？」 |</v>
      </c>
    </row>
    <row r="8643" spans="1:44" hidden="1">
      <c r="A8643" s="1" t="s">
        <v>11628</v>
      </c>
      <c r="C8643" s="1">
        <v>1</v>
      </c>
      <c r="D8643" s="1" t="str">
        <f>"07376"</f>
        <v>07376</v>
      </c>
      <c r="E8643" s="1" t="s">
        <v>558</v>
      </c>
      <c r="F8643" s="1">
        <v>17</v>
      </c>
      <c r="G8643" s="1">
        <v>13</v>
      </c>
      <c r="H8643" s="1">
        <v>2</v>
      </c>
      <c r="I8643" s="1" t="s">
        <v>17479</v>
      </c>
      <c r="K8643" s="1" t="str">
        <f t="shared" si="544"/>
        <v>ㄒ</v>
      </c>
      <c r="L8643" s="1" t="str">
        <f t="shared" si="545"/>
        <v>ㄩ</v>
      </c>
      <c r="M8643" s="1" t="str">
        <f t="shared" si="543"/>
        <v>ㄢ</v>
      </c>
      <c r="P8643" s="1" t="s">
        <v>20</v>
      </c>
      <c r="R8643" s="1" t="s">
        <v>17480</v>
      </c>
      <c r="V8643" s="1" t="s">
        <v>17494</v>
      </c>
      <c r="W8643" s="1" t="s">
        <v>17495</v>
      </c>
      <c r="AR8643" s="1" t="str">
        <f t="shared" ref="AR8643:AR8706" si="546">"| ["&amp;I8643&amp;"]("&amp;I8643&amp;".md) | ["&amp;A8643&amp;"]("&amp;A8643&amp;".md) | "&amp;" | "&amp;R8643&amp;" | "&amp;V8643&amp;" |"</f>
        <v>| [ㄒㄩㄢˊ](ㄒㄩㄢˊ.md) | [還](還.md) |  | xuán | [動]_x000D_
旋轉。通「旋」。《莊子．庚桑楚》：「夫尋常之溝，巨魚無所還其體。」《文選．曹植．美女篇》：「羅衣何飄颻，輕裾隨風還。」_x000D_
[形]_x000D_
輕巧便捷。《詩經．齊風．還》：「子之還兮，遭我乎峱之間兮。」_x000D_
[副]_x000D_
隨即、立刻。《禮記．檀弓下》：「還葬而無椁。」唐．王維〈觀獵〉詩：「忽過新豐市，還歸細柳營。」_x000D_
[名]_x000D_
《詩經．齊風》的篇名。共三章。根據〈詩序〉：「〈還〉，刺荒也。」或亦指為稱美獵者之詩。首章二句為：「子之還兮，遭我乎峱之閒兮。」 |</v>
      </c>
    </row>
    <row r="8644" spans="1:44" hidden="1">
      <c r="A8644" s="1" t="s">
        <v>17496</v>
      </c>
      <c r="C8644" s="1">
        <v>1</v>
      </c>
      <c r="D8644" s="1" t="str">
        <f>"07377"</f>
        <v>07377</v>
      </c>
      <c r="E8644" s="1" t="s">
        <v>142</v>
      </c>
      <c r="F8644" s="1">
        <v>18</v>
      </c>
      <c r="G8644" s="1">
        <v>14</v>
      </c>
      <c r="H8644" s="1">
        <v>0</v>
      </c>
      <c r="I8644" s="1" t="s">
        <v>17479</v>
      </c>
      <c r="K8644" s="1" t="str">
        <f t="shared" si="544"/>
        <v>ㄒ</v>
      </c>
      <c r="L8644" s="1" t="str">
        <f t="shared" si="545"/>
        <v>ㄩ</v>
      </c>
      <c r="M8644" s="1" t="str">
        <f t="shared" si="543"/>
        <v>ㄢ</v>
      </c>
      <c r="P8644" s="1" t="s">
        <v>20</v>
      </c>
      <c r="R8644" s="1" t="s">
        <v>17480</v>
      </c>
      <c r="V8644" s="1" t="s">
        <v>17497</v>
      </c>
      <c r="AR8644" s="1" t="str">
        <f t="shared" si="546"/>
        <v>| [ㄒㄩㄢˊ](ㄒㄩㄢˊ.md) | [璿](璿.md) |  | xuán | [名]
美玉。《山海經．海內經》：「三水出焉，爰有黃金璿瑰。」 |</v>
      </c>
    </row>
    <row r="8645" spans="1:44" hidden="1">
      <c r="A8645" s="1" t="s">
        <v>17498</v>
      </c>
      <c r="C8645" s="1">
        <v>1</v>
      </c>
      <c r="D8645" s="1" t="str">
        <f>"07378"</f>
        <v>07378</v>
      </c>
      <c r="E8645" s="1" t="s">
        <v>28</v>
      </c>
      <c r="F8645" s="1">
        <v>9</v>
      </c>
      <c r="G8645" s="1">
        <v>6</v>
      </c>
      <c r="H8645" s="1">
        <v>0</v>
      </c>
      <c r="I8645" s="1" t="s">
        <v>17499</v>
      </c>
      <c r="K8645" s="1" t="str">
        <f t="shared" si="544"/>
        <v>ㄒ</v>
      </c>
      <c r="L8645" s="1" t="str">
        <f t="shared" si="545"/>
        <v>ㄩ</v>
      </c>
      <c r="M8645" s="1" t="str">
        <f t="shared" si="543"/>
        <v>ㄢ</v>
      </c>
      <c r="P8645" s="1" t="s">
        <v>20</v>
      </c>
      <c r="R8645" s="1" t="s">
        <v>17500</v>
      </c>
      <c r="V8645" s="1" t="s">
        <v>17501</v>
      </c>
      <c r="AR8645" s="1" t="str">
        <f t="shared" si="546"/>
        <v>| [ㄒㄩㄢˇ](ㄒㄩㄢˇ.md) | [咺](咺.md) |  | xuǎn | [形]
1.哭泣不止。唐．皮日休〈九風系述．遇謗〉：「聲咺唏以無音兮，氣鬱悒而空噎。」
2.威儀顯著、煥發。《詩經．衛風．淇奧》：「瑟兮僩兮，赫兮咺兮。」 |</v>
      </c>
    </row>
    <row r="8646" spans="1:44" hidden="1">
      <c r="A8646" s="1" t="s">
        <v>17502</v>
      </c>
      <c r="C8646" s="1">
        <v>1</v>
      </c>
      <c r="D8646" s="1" t="str">
        <f>"07379"</f>
        <v>07379</v>
      </c>
      <c r="E8646" s="1" t="s">
        <v>336</v>
      </c>
      <c r="F8646" s="1">
        <v>10</v>
      </c>
      <c r="G8646" s="1">
        <v>6</v>
      </c>
      <c r="H8646" s="1">
        <v>0</v>
      </c>
      <c r="I8646" s="1" t="s">
        <v>17499</v>
      </c>
      <c r="K8646" s="1" t="str">
        <f t="shared" si="544"/>
        <v>ㄒ</v>
      </c>
      <c r="L8646" s="1" t="str">
        <f t="shared" si="545"/>
        <v>ㄩ</v>
      </c>
      <c r="M8646" s="1" t="str">
        <f t="shared" si="543"/>
        <v>ㄢ</v>
      </c>
      <c r="P8646" s="1" t="s">
        <v>20</v>
      </c>
      <c r="R8646" s="1" t="s">
        <v>17500</v>
      </c>
      <c r="V8646" s="1" t="s">
        <v>17503</v>
      </c>
      <c r="AR8646" s="1" t="str">
        <f t="shared" si="546"/>
        <v>| [ㄒㄩㄢˇ](ㄒㄩㄢˇ.md) | [烜](烜.md) |  | xuǎn | [形]
1.火勢旺盛。《玉篇．火部》：「烜，火盛貌。」
2.明亮、顯著。《爾雅．釋訓》：「赫兮烜兮，威儀也。」
[動]
1.晒乾。《易經．說卦》：「雨以潤之，日以烜之。」
2.照亮。《劉知遠諸宮調．第一二》：「他又不通個名目，把小李村圍住，烜天地燒著草垛。」清．王夫之〈九昭〉：「華鐙烜於永夜兮，羽蓋飄而陰晝。」 |</v>
      </c>
    </row>
    <row r="8647" spans="1:44" hidden="1">
      <c r="A8647" s="1" t="s">
        <v>17504</v>
      </c>
      <c r="C8647" s="1">
        <v>1</v>
      </c>
      <c r="D8647" s="1" t="str">
        <f>"07380"</f>
        <v>07380</v>
      </c>
      <c r="E8647" s="1" t="s">
        <v>558</v>
      </c>
      <c r="F8647" s="1">
        <v>16</v>
      </c>
      <c r="G8647" s="1">
        <v>12</v>
      </c>
      <c r="H8647" s="1">
        <v>0</v>
      </c>
      <c r="I8647" s="1" t="s">
        <v>17499</v>
      </c>
      <c r="K8647" s="1" t="str">
        <f t="shared" si="544"/>
        <v>ㄒ</v>
      </c>
      <c r="L8647" s="1" t="str">
        <f t="shared" si="545"/>
        <v>ㄩ</v>
      </c>
      <c r="M8647" s="1" t="str">
        <f t="shared" si="543"/>
        <v>ㄢ</v>
      </c>
      <c r="P8647" s="1" t="s">
        <v>20</v>
      </c>
      <c r="R8647" s="1" t="s">
        <v>17500</v>
      </c>
      <c r="V8647" s="1" t="s">
        <v>17505</v>
      </c>
      <c r="AR8647" s="1" t="str">
        <f t="shared" si="546"/>
        <v>| [ㄒㄩㄢˇ](ㄒㄩㄢˇ.md) | [選](選.md) |  | xuǎn | [動]
1.遣送、放逐。《左傳．昭公元年》：「秦后子有寵於桓，如二君於景。其母曰：『弗去，懼選。』」
2.挑揀、擇取。如：「選擇」、「挑選」。《荀子．儒效》：「遂選馬而進。」《禮記．禮運》：「選賢與能，講信修睦。」
[名]
1.挑選編輯成冊的作品。如：《詩選》、《文選》、《小說選》。
2.被挑中的人或物。如：「人選」、「一時之選」。《宋史．卷四七一．姦臣傳一．呂惠卿傳》：「先蒐補守兵而出其選以戰，隨屯置將，具條約上之。」
3.特指選舉活動。如：「普選」、「年底大選」。
[形]
精選的、精良的。《史記．卷七十七．魏公子傳》：「得選兵八萬人。」 |</v>
      </c>
    </row>
    <row r="8648" spans="1:44" hidden="1">
      <c r="A8648" s="1" t="s">
        <v>16915</v>
      </c>
      <c r="C8648" s="1">
        <v>1</v>
      </c>
      <c r="D8648" s="1" t="str">
        <f>"07381"</f>
        <v>07381</v>
      </c>
      <c r="E8648" s="1" t="s">
        <v>40</v>
      </c>
      <c r="F8648" s="1">
        <v>22</v>
      </c>
      <c r="G8648" s="1">
        <v>17</v>
      </c>
      <c r="H8648" s="1">
        <v>2</v>
      </c>
      <c r="I8648" s="1" t="s">
        <v>17499</v>
      </c>
      <c r="K8648" s="1" t="str">
        <f t="shared" si="544"/>
        <v>ㄒ</v>
      </c>
      <c r="L8648" s="1" t="str">
        <f t="shared" si="545"/>
        <v>ㄩ</v>
      </c>
      <c r="M8648" s="1" t="str">
        <f t="shared" si="543"/>
        <v>ㄢ</v>
      </c>
      <c r="P8648" s="1" t="s">
        <v>388</v>
      </c>
      <c r="R8648" s="1" t="s">
        <v>17500</v>
      </c>
      <c r="V8648" s="1" t="s">
        <v>407</v>
      </c>
      <c r="W8648" s="1" t="s">
        <v>17506</v>
      </c>
      <c r="AR8648" s="1" t="str">
        <f t="shared" si="546"/>
        <v>| [ㄒㄩㄢˇ](ㄒㄩㄢˇ.md) | [癬](癬.md) |  | xuǎn | (一)之語音。 |</v>
      </c>
    </row>
    <row r="8649" spans="1:44" hidden="1">
      <c r="A8649" s="1" t="s">
        <v>17507</v>
      </c>
      <c r="C8649" s="1">
        <v>1</v>
      </c>
      <c r="D8649" s="1" t="str">
        <f>"07382"</f>
        <v>07382</v>
      </c>
      <c r="E8649" s="1" t="s">
        <v>129</v>
      </c>
      <c r="F8649" s="1">
        <v>8</v>
      </c>
      <c r="G8649" s="1">
        <v>5</v>
      </c>
      <c r="H8649" s="1">
        <v>0</v>
      </c>
      <c r="I8649" s="1" t="s">
        <v>17508</v>
      </c>
      <c r="K8649" s="1" t="str">
        <f t="shared" si="544"/>
        <v>ㄒ</v>
      </c>
      <c r="L8649" s="1" t="str">
        <f t="shared" si="545"/>
        <v>ㄩ</v>
      </c>
      <c r="M8649" s="1" t="str">
        <f t="shared" si="543"/>
        <v>ㄢ</v>
      </c>
      <c r="P8649" s="1" t="s">
        <v>20</v>
      </c>
      <c r="R8649" s="1" t="s">
        <v>17509</v>
      </c>
      <c r="V8649" s="1" t="s">
        <v>17510</v>
      </c>
      <c r="AR8649" s="1" t="str">
        <f t="shared" si="546"/>
        <v>| [ㄒㄩㄢˋ](ㄒㄩㄢˋ.md) | [泫](泫.md) |  | xuàn | [動]_x000D_
淚水或露水滴垂。《呂氏春秋．季秋紀．知士》：「靜郭君泫而曰：『不可，吾弗忍為也。』」南朝宋．謝靈運〈從斤竹澗越嶺溪行〉詩：「巖下雲方合，花上露猶泫。」_x000D_
[形]_x000D_
露珠晶瑩發亮。南朝宋．謝惠連〈泛湖歸出樓中翫月〉詩：「斐斐氣幕岫，泫泫露盈條。」_x000D_
[副]_x000D_
流淚的樣子。晉．潘岳〈懷舊賦〉：「步庭廡以徘徊，涕泫流而霑巾。」 |</v>
      </c>
    </row>
    <row r="8650" spans="1:44" hidden="1">
      <c r="A8650" s="1" t="s">
        <v>17511</v>
      </c>
      <c r="C8650" s="1">
        <v>1</v>
      </c>
      <c r="D8650" s="1" t="str">
        <f>"07383"</f>
        <v>07383</v>
      </c>
      <c r="E8650" s="1" t="s">
        <v>336</v>
      </c>
      <c r="F8650" s="1">
        <v>9</v>
      </c>
      <c r="G8650" s="1">
        <v>5</v>
      </c>
      <c r="H8650" s="1">
        <v>0</v>
      </c>
      <c r="I8650" s="1" t="s">
        <v>17508</v>
      </c>
      <c r="K8650" s="1" t="str">
        <f t="shared" si="544"/>
        <v>ㄒ</v>
      </c>
      <c r="L8650" s="1" t="str">
        <f t="shared" si="545"/>
        <v>ㄩ</v>
      </c>
      <c r="M8650" s="1" t="str">
        <f t="shared" si="543"/>
        <v>ㄢ</v>
      </c>
      <c r="P8650" s="1" t="s">
        <v>20</v>
      </c>
      <c r="R8650" s="1" t="s">
        <v>17509</v>
      </c>
      <c r="V8650" s="1" t="s">
        <v>17512</v>
      </c>
      <c r="AR8650" s="1" t="str">
        <f t="shared" si="546"/>
        <v>| [ㄒㄩㄢˋ](ㄒㄩㄢˋ.md) | [炫](炫.md) |  | xuàn | [形]
光彩閃耀的樣子。如：「炫炫」。《文選．司馬相如．長門賦》：「五色炫以相曜兮，爛耀耀而成光。」
[動]
1.照耀、照亮。如：「光彩炫目」。《文選．左思．吳都賦》：「光色炫晃。」
2.誇耀、顯示。如：「炫耀」、「自炫其力」。南朝梁．劉勰《文心雕龍．頌讚》：「降及品物，炫辭作翫。」 |</v>
      </c>
    </row>
    <row r="8651" spans="1:44" hidden="1">
      <c r="A8651" s="1" t="s">
        <v>17513</v>
      </c>
      <c r="C8651" s="1">
        <v>1</v>
      </c>
      <c r="D8651" s="1" t="str">
        <f>"07384"</f>
        <v>07384</v>
      </c>
      <c r="E8651" s="1" t="s">
        <v>646</v>
      </c>
      <c r="F8651" s="1">
        <v>9</v>
      </c>
      <c r="G8651" s="1">
        <v>5</v>
      </c>
      <c r="H8651" s="1">
        <v>0</v>
      </c>
      <c r="I8651" s="1" t="s">
        <v>17508</v>
      </c>
      <c r="K8651" s="1" t="str">
        <f t="shared" si="544"/>
        <v>ㄒ</v>
      </c>
      <c r="L8651" s="1" t="str">
        <f t="shared" si="545"/>
        <v>ㄩ</v>
      </c>
      <c r="M8651" s="1" t="str">
        <f t="shared" si="543"/>
        <v>ㄢ</v>
      </c>
      <c r="P8651" s="1" t="s">
        <v>20</v>
      </c>
      <c r="R8651" s="1" t="s">
        <v>17509</v>
      </c>
      <c r="V8651" s="1" t="s">
        <v>17514</v>
      </c>
      <c r="AR8651" s="1" t="str">
        <f t="shared" si="546"/>
        <v>| [ㄒㄩㄢˋ](ㄒㄩㄢˋ.md) | [昡](昡.md) |  | xuàn | [名]
日光。《集韻．去聲．霰韻》：「昡，日光。」
[形]
光彩耀眼。漢．陸賈《新語．至德》：「刻桷丹楹，昡曜靡麗。」
[動]
迷惑、欺惑。《楚辭．屈原．離騷》：「世幽昧以昡曜兮，孰云察余之善惡。」 |</v>
      </c>
    </row>
    <row r="8652" spans="1:44" hidden="1">
      <c r="A8652" s="1" t="s">
        <v>17515</v>
      </c>
      <c r="C8652" s="1">
        <v>1</v>
      </c>
      <c r="D8652" s="1" t="str">
        <f>"07385"</f>
        <v>07385</v>
      </c>
      <c r="E8652" s="1" t="s">
        <v>1015</v>
      </c>
      <c r="F8652" s="1">
        <v>10</v>
      </c>
      <c r="G8652" s="1">
        <v>5</v>
      </c>
      <c r="H8652" s="1">
        <v>0</v>
      </c>
      <c r="I8652" s="1" t="s">
        <v>17508</v>
      </c>
      <c r="K8652" s="1" t="str">
        <f t="shared" si="544"/>
        <v>ㄒ</v>
      </c>
      <c r="L8652" s="1" t="str">
        <f t="shared" si="545"/>
        <v>ㄩ</v>
      </c>
      <c r="M8652" s="1" t="str">
        <f t="shared" si="543"/>
        <v>ㄢ</v>
      </c>
      <c r="P8652" s="1" t="s">
        <v>20</v>
      </c>
      <c r="R8652" s="1" t="s">
        <v>17509</v>
      </c>
      <c r="V8652" s="1" t="s">
        <v>17516</v>
      </c>
      <c r="AR8652" s="1" t="str">
        <f t="shared" si="546"/>
        <v>| [ㄒㄩㄢˋ](ㄒㄩㄢˋ.md) | [眩](眩.md) |  | xuàn | [動]
1.眼睛昏花，看東西晃動不定。如：「頭暈目眩」。漢．劉熙《釋名．釋疾病》：「眩，縣也。目視動亂，如縣物搖搖然不定也。」《戰國策．燕策三》：「左右既前斬荊軻，秦王目眩良久。」
2.迷惑。如：「眩於名利」、「以術眩人」。《禮記．中庸》：「敬大臣則不眩。」《漢書．卷九．元帝紀》：「且俗儒不達時宜，好是古非今，使人眩於名實，不知所守。」
3.照耀、照亮。通「炫」。如：「眩目」。《楚辭．劉向．九歎．惜賢》：「揚精華以眩燿兮。」漢．王逸．注：「眩，燿，光貌。一作耀。」 |</v>
      </c>
    </row>
    <row r="8653" spans="1:44" hidden="1">
      <c r="A8653" s="1" t="s">
        <v>17517</v>
      </c>
      <c r="C8653" s="1">
        <v>1</v>
      </c>
      <c r="D8653" s="1" t="str">
        <f>"07386"</f>
        <v>07386</v>
      </c>
      <c r="E8653" s="1" t="s">
        <v>340</v>
      </c>
      <c r="F8653" s="1">
        <v>11</v>
      </c>
      <c r="G8653" s="1">
        <v>5</v>
      </c>
      <c r="H8653" s="1">
        <v>0</v>
      </c>
      <c r="I8653" s="1" t="s">
        <v>17508</v>
      </c>
      <c r="K8653" s="1" t="str">
        <f t="shared" si="544"/>
        <v>ㄒ</v>
      </c>
      <c r="L8653" s="1" t="str">
        <f t="shared" si="545"/>
        <v>ㄩ</v>
      </c>
      <c r="M8653" s="1" t="str">
        <f t="shared" si="543"/>
        <v>ㄢ</v>
      </c>
      <c r="P8653" s="1" t="s">
        <v>20</v>
      </c>
      <c r="R8653" s="1" t="s">
        <v>17509</v>
      </c>
      <c r="V8653" s="1" t="s">
        <v>17518</v>
      </c>
      <c r="AR8653" s="1" t="str">
        <f t="shared" si="546"/>
        <v>| [ㄒㄩㄢˋ](ㄒㄩㄢˋ.md) | [袨](袨.md) |  | xuàn | [名]
黑色的衣服。《玉篇．衣部》：「袨，黑衣也。」
[形]
華麗隆盛的。《文選．左思．蜀都賦》：「都人士女，袨服靚妝。」李善注引蘇林曰：「袨服，謂盛服也。」 |</v>
      </c>
    </row>
    <row r="8654" spans="1:44" hidden="1">
      <c r="A8654" s="1" t="s">
        <v>17519</v>
      </c>
      <c r="C8654" s="1">
        <v>1</v>
      </c>
      <c r="D8654" s="1" t="str">
        <f>"07387"</f>
        <v>07387</v>
      </c>
      <c r="E8654" s="1" t="s">
        <v>7105</v>
      </c>
      <c r="F8654" s="1">
        <v>11</v>
      </c>
      <c r="G8654" s="1">
        <v>5</v>
      </c>
      <c r="H8654" s="1">
        <v>0</v>
      </c>
      <c r="I8654" s="1" t="s">
        <v>17508</v>
      </c>
      <c r="K8654" s="1" t="str">
        <f t="shared" si="544"/>
        <v>ㄒ</v>
      </c>
      <c r="L8654" s="1" t="str">
        <f t="shared" si="545"/>
        <v>ㄩ</v>
      </c>
      <c r="M8654" s="1" t="str">
        <f t="shared" si="543"/>
        <v>ㄢ</v>
      </c>
      <c r="P8654" s="1" t="s">
        <v>20</v>
      </c>
      <c r="R8654" s="1" t="s">
        <v>17509</v>
      </c>
      <c r="V8654" s="1" t="s">
        <v>17520</v>
      </c>
      <c r="AR8654" s="1" t="str">
        <f t="shared" si="546"/>
        <v>| [ㄒㄩㄢˋ](ㄒㄩㄢˋ.md) | [衒](衒.md) |  | xuàn | [動]
1.沿街叫賣、販賣。《楚辭．屈原．天問》：「妖夫曳衒，何號于市？」宋．蘇軾〈種茶〉詩：「千團輸太官，百餅衒私鬥。」
2.炫示、誇耀。如：「自衒」。唐．柳宗元〈梓人傳〉：「不衒能，不矜名。」
[形]
自我誇耀推薦的。如：「衒女」、「衒士」。 |</v>
      </c>
    </row>
    <row r="8655" spans="1:44" hidden="1">
      <c r="A8655" s="1" t="s">
        <v>17521</v>
      </c>
      <c r="C8655" s="1">
        <v>1</v>
      </c>
      <c r="D8655" s="1" t="str">
        <f>"07388"</f>
        <v>07388</v>
      </c>
      <c r="E8655" s="1" t="s">
        <v>55</v>
      </c>
      <c r="F8655" s="1">
        <v>13</v>
      </c>
      <c r="G8655" s="1">
        <v>5</v>
      </c>
      <c r="H8655" s="1">
        <v>0</v>
      </c>
      <c r="I8655" s="1" t="s">
        <v>17508</v>
      </c>
      <c r="K8655" s="1" t="str">
        <f t="shared" si="544"/>
        <v>ㄒ</v>
      </c>
      <c r="L8655" s="1" t="str">
        <f t="shared" si="545"/>
        <v>ㄩ</v>
      </c>
      <c r="M8655" s="1" t="str">
        <f t="shared" si="543"/>
        <v>ㄢ</v>
      </c>
      <c r="P8655" s="1" t="s">
        <v>20</v>
      </c>
      <c r="R8655" s="1" t="s">
        <v>17509</v>
      </c>
      <c r="V8655" s="1" t="s">
        <v>17522</v>
      </c>
      <c r="AR8655" s="1" t="str">
        <f t="shared" si="546"/>
        <v>| [ㄒㄩㄢˋ](ㄒㄩㄢˋ.md) | [鉉](鉉.md) |  | xuàn | [名]
橫貫鼎耳用以扛鼎的棍形工具。《說文解字．金部》：「鉉，所以舉鼎也。」《易經．鼎卦．六五》：「鼎黃耳金鉉。」唐．孔穎達．正義：「鉉，所以貫鼎而舉之。」 |</v>
      </c>
    </row>
    <row r="8656" spans="1:44" hidden="1">
      <c r="A8656" s="1" t="s">
        <v>17482</v>
      </c>
      <c r="C8656" s="1">
        <v>1</v>
      </c>
      <c r="D8656" s="1" t="str">
        <f>"07389"</f>
        <v>07389</v>
      </c>
      <c r="E8656" s="1" t="s">
        <v>800</v>
      </c>
      <c r="F8656" s="1">
        <v>11</v>
      </c>
      <c r="G8656" s="1">
        <v>7</v>
      </c>
      <c r="H8656" s="1">
        <v>2</v>
      </c>
      <c r="I8656" s="1" t="s">
        <v>17508</v>
      </c>
      <c r="K8656" s="1" t="str">
        <f t="shared" si="544"/>
        <v>ㄒ</v>
      </c>
      <c r="L8656" s="1" t="str">
        <f t="shared" si="545"/>
        <v>ㄩ</v>
      </c>
      <c r="M8656" s="1" t="str">
        <f t="shared" si="543"/>
        <v>ㄢ</v>
      </c>
      <c r="P8656" s="1" t="s">
        <v>20</v>
      </c>
      <c r="R8656" s="1" t="s">
        <v>17509</v>
      </c>
      <c r="V8656" s="1" t="s">
        <v>17523</v>
      </c>
      <c r="W8656" s="1" t="s">
        <v>17524</v>
      </c>
      <c r="AR8656" s="1" t="str">
        <f t="shared" si="546"/>
        <v>| [ㄒㄩㄢˋ](ㄒㄩㄢˋ.md) | [旋](旋.md) |  | xuàn | [形]
打轉的。如：「旋風」、「旋球」。
[動]
溫酒。通「鏇」。《水滸傳》第五回：「那莊客旋了一壺酒。」
[副]
表動作是臨時、現時的。唐．杜荀鶴〈山中寡婦〉詩：「時挑野菜和根煮，旋斫生柴帶葉燒。」元．喬吉〈滿庭芳．活魚旋打〉曲：「活魚旋打，沽些村酒，問那人家。」 |</v>
      </c>
    </row>
    <row r="8657" spans="1:44" hidden="1">
      <c r="A8657" s="1" t="s">
        <v>17485</v>
      </c>
      <c r="C8657" s="1">
        <v>1</v>
      </c>
      <c r="D8657" s="1" t="str">
        <f>"07390"</f>
        <v>07390</v>
      </c>
      <c r="E8657" s="1" t="s">
        <v>129</v>
      </c>
      <c r="F8657" s="1">
        <v>14</v>
      </c>
      <c r="G8657" s="1">
        <v>11</v>
      </c>
      <c r="H8657" s="1">
        <v>2</v>
      </c>
      <c r="I8657" s="1" t="s">
        <v>17508</v>
      </c>
      <c r="K8657" s="1" t="str">
        <f t="shared" si="544"/>
        <v>ㄒ</v>
      </c>
      <c r="L8657" s="1" t="str">
        <f t="shared" si="545"/>
        <v>ㄩ</v>
      </c>
      <c r="M8657" s="1" t="str">
        <f t="shared" si="543"/>
        <v>ㄢ</v>
      </c>
      <c r="P8657" s="1" t="s">
        <v>110</v>
      </c>
      <c r="R8657" s="1" t="s">
        <v>17509</v>
      </c>
      <c r="V8657" s="1" t="s">
        <v>111</v>
      </c>
      <c r="W8657" s="1" t="s">
        <v>17525</v>
      </c>
      <c r="AR8657" s="1" t="str">
        <f t="shared" si="546"/>
        <v>| [ㄒㄩㄢˋ](ㄒㄩㄢˋ.md) | [漩](漩.md) |  | xuàn | (一)之又音。 |</v>
      </c>
    </row>
    <row r="8658" spans="1:44" hidden="1">
      <c r="A8658" s="1" t="s">
        <v>17526</v>
      </c>
      <c r="C8658" s="1">
        <v>1</v>
      </c>
      <c r="D8658" s="1" t="str">
        <f>"07391"</f>
        <v>07391</v>
      </c>
      <c r="E8658" s="1" t="s">
        <v>55</v>
      </c>
      <c r="F8658" s="1">
        <v>19</v>
      </c>
      <c r="G8658" s="1">
        <v>11</v>
      </c>
      <c r="H8658" s="1">
        <v>0</v>
      </c>
      <c r="I8658" s="1" t="s">
        <v>17508</v>
      </c>
      <c r="K8658" s="1" t="str">
        <f t="shared" si="544"/>
        <v>ㄒ</v>
      </c>
      <c r="L8658" s="1" t="str">
        <f t="shared" si="545"/>
        <v>ㄩ</v>
      </c>
      <c r="M8658" s="1" t="str">
        <f t="shared" si="543"/>
        <v>ㄢ</v>
      </c>
      <c r="P8658" s="1" t="s">
        <v>20</v>
      </c>
      <c r="R8658" s="1" t="s">
        <v>17509</v>
      </c>
      <c r="V8658" s="1" t="s">
        <v>17527</v>
      </c>
      <c r="AR8658" s="1" t="str">
        <f t="shared" si="546"/>
        <v>| [ㄒㄩㄢˋ](ㄒㄩㄢˋ.md) | [鏇](鏇.md) |  | xuàn | [名]
1.圓形的爐子。《說文解字．金部》：「鏇，圓鑪也。」
2.溫酒器。如：「金鏇」、「酒鏇」。元．戴侗《六書故．卷四．地理》：「鏇，溫器也，旋之湯中，以溫酒與洎者也。」也稱為「鏇子」。
3.銅錫盤。明．馮夢龍《古今譚概．妖異部．鏇中佛像》：「常熟丘郡家食櫥內，錫鏇置熟雞半隻。」
[動]
1.用鏇子溫酒。《水滸傳》第七二回：「你自去與我鏇一杯熱酒來吃。」
2.以機器或刀旋轉著削切。如：「鏇陀螺」、「鏇螺絲釘」、「把蘿蔔皮鏇下來」。 |</v>
      </c>
    </row>
    <row r="8659" spans="1:44" hidden="1">
      <c r="A8659" s="1" t="s">
        <v>17528</v>
      </c>
      <c r="C8659" s="1">
        <v>1</v>
      </c>
      <c r="D8659" s="1" t="str">
        <f>"07392"</f>
        <v>07392</v>
      </c>
      <c r="E8659" s="1" t="s">
        <v>1015</v>
      </c>
      <c r="F8659" s="1">
        <v>11</v>
      </c>
      <c r="G8659" s="1">
        <v>6</v>
      </c>
      <c r="H8659" s="1">
        <v>0</v>
      </c>
      <c r="I8659" s="1" t="s">
        <v>17508</v>
      </c>
      <c r="K8659" s="1" t="str">
        <f t="shared" si="544"/>
        <v>ㄒ</v>
      </c>
      <c r="L8659" s="1" t="str">
        <f t="shared" si="545"/>
        <v>ㄩ</v>
      </c>
      <c r="M8659" s="1" t="str">
        <f t="shared" si="543"/>
        <v>ㄢ</v>
      </c>
      <c r="P8659" s="1" t="s">
        <v>20</v>
      </c>
      <c r="R8659" s="1" t="s">
        <v>17509</v>
      </c>
      <c r="V8659" s="1" t="s">
        <v>17529</v>
      </c>
      <c r="AR8659" s="1" t="str">
        <f t="shared" si="546"/>
        <v>| [ㄒㄩㄢˋ](ㄒㄩㄢˋ.md) | [眴](眴.md) |  | xuàn | [動]
1.轉動眼睛以示意。《史記．卷七．項羽本紀》：「須臾，梁眴籍曰：『可行矣！』」
2.目眩。通「眩」。《文選．班固．西都賦》：「攀井幹而未半，目眴轉而意迷。」 |</v>
      </c>
    </row>
    <row r="8660" spans="1:44" hidden="1">
      <c r="A8660" s="1" t="s">
        <v>17530</v>
      </c>
      <c r="C8660" s="1">
        <v>1</v>
      </c>
      <c r="D8660" s="1" t="str">
        <f>"07393"</f>
        <v>07393</v>
      </c>
      <c r="E8660" s="1" t="s">
        <v>725</v>
      </c>
      <c r="F8660" s="1">
        <v>12</v>
      </c>
      <c r="G8660" s="1">
        <v>6</v>
      </c>
      <c r="H8660" s="1">
        <v>0</v>
      </c>
      <c r="I8660" s="1" t="s">
        <v>17508</v>
      </c>
      <c r="K8660" s="1" t="str">
        <f t="shared" si="544"/>
        <v>ㄒ</v>
      </c>
      <c r="L8660" s="1" t="str">
        <f t="shared" si="545"/>
        <v>ㄩ</v>
      </c>
      <c r="M8660" s="1" t="str">
        <f t="shared" si="543"/>
        <v>ㄢ</v>
      </c>
      <c r="P8660" s="1" t="s">
        <v>20</v>
      </c>
      <c r="R8660" s="1" t="s">
        <v>17509</v>
      </c>
      <c r="V8660" s="1" t="s">
        <v>17531</v>
      </c>
      <c r="AR8660" s="1" t="str">
        <f t="shared" si="546"/>
        <v>| [ㄒㄩㄢˋ](ㄒㄩㄢˋ.md) | [絢](絢.md) |  | xuàn | [形]
文綵華麗。南朝梁．江淹〈為始安王拜兗州刺史章〉：「絢服騰炤，懋冊凝芬。」
[動]
1.點綴、照耀。《文選．左思．蜀都賦》：「幽思絢道德，摛藻掞天庭。」唐．劉禹錫〈省試風光草際浮〉詩：「含煙絢碧彩，帶露如珠綴。」
2.迷惑、迷亂。《清平山堂話本．刎頸鴛鴦會》：「故色絢於目，情感於心，情色相生，心目相視。」 |</v>
      </c>
    </row>
    <row r="8661" spans="1:44" hidden="1">
      <c r="A8661" s="1" t="s">
        <v>17532</v>
      </c>
      <c r="C8661" s="1">
        <v>1</v>
      </c>
      <c r="D8661" s="1" t="str">
        <f>"07394"</f>
        <v>07394</v>
      </c>
      <c r="E8661" s="1" t="s">
        <v>129</v>
      </c>
      <c r="F8661" s="1">
        <v>12</v>
      </c>
      <c r="G8661" s="1">
        <v>9</v>
      </c>
      <c r="H8661" s="1">
        <v>0</v>
      </c>
      <c r="I8661" s="1" t="s">
        <v>17508</v>
      </c>
      <c r="K8661" s="1" t="str">
        <f t="shared" si="544"/>
        <v>ㄒ</v>
      </c>
      <c r="L8661" s="1" t="str">
        <f t="shared" si="545"/>
        <v>ㄩ</v>
      </c>
      <c r="M8661" s="1" t="str">
        <f t="shared" si="543"/>
        <v>ㄢ</v>
      </c>
      <c r="P8661" s="1" t="s">
        <v>20</v>
      </c>
      <c r="R8661" s="1" t="s">
        <v>17509</v>
      </c>
      <c r="V8661" s="1" t="s">
        <v>17533</v>
      </c>
      <c r="AR8661" s="1" t="str">
        <f t="shared" si="546"/>
        <v>| [ㄒㄩㄢˋ](ㄒㄩㄢˋ.md) | [渲](渲.md) |  | xuàn | [名]
國畫的一種畫法。畫家塗上墨或顏料後，再用水淋擦，使顏色濃淡適宜。 |</v>
      </c>
    </row>
    <row r="8662" spans="1:44" hidden="1">
      <c r="A8662" s="1" t="s">
        <v>17534</v>
      </c>
      <c r="C8662" s="1">
        <v>1</v>
      </c>
      <c r="D8662" s="1" t="str">
        <f>"07395"</f>
        <v>07395</v>
      </c>
      <c r="E8662" s="1" t="s">
        <v>139</v>
      </c>
      <c r="F8662" s="1">
        <v>13</v>
      </c>
      <c r="G8662" s="1">
        <v>9</v>
      </c>
      <c r="H8662" s="1">
        <v>0</v>
      </c>
      <c r="I8662" s="1" t="s">
        <v>17508</v>
      </c>
      <c r="K8662" s="1" t="str">
        <f t="shared" si="544"/>
        <v>ㄒ</v>
      </c>
      <c r="L8662" s="1" t="str">
        <f t="shared" si="545"/>
        <v>ㄩ</v>
      </c>
      <c r="M8662" s="1" t="str">
        <f t="shared" si="543"/>
        <v>ㄢ</v>
      </c>
      <c r="P8662" s="1" t="s">
        <v>20</v>
      </c>
      <c r="R8662" s="1" t="s">
        <v>17509</v>
      </c>
      <c r="V8662" s="1" t="s">
        <v>17535</v>
      </c>
      <c r="AR8662" s="1" t="str">
        <f t="shared" si="546"/>
        <v>| [ㄒㄩㄢˋ](ㄒㄩㄢˋ.md) | [楦](楦.md) |  | xuàn | [名]
做鞋的木質模型。宋．吳自牧《夢粱錄．卷一三．諸色雜買》：「油杆杖、榾轆、鞋楦。」
[動]
1.用鞋樣器撐填鞋子，以保持鞋樣不變或撐大鞋子。如：「新鞋小了一點，要楦一楦。」
2.用紙或乾草等填塞物體的空隙。如：「為了防止瓷器在搬動時震碎，最好把箱子的空隙楦好。」 |</v>
      </c>
    </row>
    <row r="8663" spans="1:44" hidden="1">
      <c r="A8663" s="1" t="s">
        <v>17536</v>
      </c>
      <c r="C8663" s="1">
        <v>1</v>
      </c>
      <c r="D8663" s="1" t="str">
        <f>"07396"</f>
        <v>07396</v>
      </c>
      <c r="E8663" s="1" t="s">
        <v>139</v>
      </c>
      <c r="F8663" s="1">
        <v>13</v>
      </c>
      <c r="G8663" s="1">
        <v>9</v>
      </c>
      <c r="H8663" s="1">
        <v>0</v>
      </c>
      <c r="I8663" s="1" t="s">
        <v>17508</v>
      </c>
      <c r="K8663" s="1" t="str">
        <f t="shared" si="544"/>
        <v>ㄒ</v>
      </c>
      <c r="L8663" s="1" t="str">
        <f t="shared" si="545"/>
        <v>ㄩ</v>
      </c>
      <c r="M8663" s="1" t="str">
        <f t="shared" si="543"/>
        <v>ㄢ</v>
      </c>
      <c r="P8663" s="1" t="s">
        <v>20</v>
      </c>
      <c r="R8663" s="1" t="s">
        <v>17509</v>
      </c>
      <c r="V8663" s="1" t="s">
        <v>17537</v>
      </c>
      <c r="AR8663" s="1" t="str">
        <f t="shared" si="546"/>
        <v>| [ㄒㄩㄢˋ](ㄒㄩㄢˋ.md) | [楥](楥.md) |  | xuàn | [名]
製鞋的木質模型。同「楦」。《說文解字．木部》：「楥，履法也。」 |</v>
      </c>
    </row>
    <row r="8664" spans="1:44" hidden="1">
      <c r="A8664" s="1" t="s">
        <v>17475</v>
      </c>
      <c r="C8664" s="1">
        <v>1</v>
      </c>
      <c r="D8664" s="1" t="str">
        <f>"07397"</f>
        <v>07397</v>
      </c>
      <c r="E8664" s="1" t="s">
        <v>1015</v>
      </c>
      <c r="F8664" s="1">
        <v>20</v>
      </c>
      <c r="G8664" s="1">
        <v>15</v>
      </c>
      <c r="H8664" s="1">
        <v>2</v>
      </c>
      <c r="I8664" s="1" t="s">
        <v>17508</v>
      </c>
      <c r="K8664" s="1" t="str">
        <f t="shared" si="544"/>
        <v>ㄒ</v>
      </c>
      <c r="L8664" s="1" t="str">
        <f t="shared" si="545"/>
        <v>ㄩ</v>
      </c>
      <c r="M8664" s="1" t="str">
        <f t="shared" si="543"/>
        <v>ㄢ</v>
      </c>
      <c r="P8664" s="1" t="s">
        <v>20</v>
      </c>
      <c r="R8664" s="1" t="s">
        <v>17509</v>
      </c>
      <c r="V8664" s="1" t="s">
        <v>17538</v>
      </c>
      <c r="W8664" s="1" t="s">
        <v>17539</v>
      </c>
      <c r="AR8664" s="1" t="str">
        <f t="shared" si="546"/>
        <v>| [ㄒㄩㄢˋ](ㄒㄩㄢˋ.md) | [矎](矎.md) |  | xuàn | 參見「矎矎」條。 |</v>
      </c>
    </row>
    <row r="8665" spans="1:44" hidden="1">
      <c r="A8665" s="1" t="s">
        <v>16975</v>
      </c>
      <c r="C8665" s="1">
        <v>1</v>
      </c>
      <c r="D8665" s="1" t="str">
        <f>"07153"</f>
        <v>07153</v>
      </c>
      <c r="E8665" s="1" t="s">
        <v>250</v>
      </c>
      <c r="F8665" s="1">
        <v>4</v>
      </c>
      <c r="G8665" s="1">
        <v>0</v>
      </c>
      <c r="H8665" s="1">
        <v>0</v>
      </c>
      <c r="I8665" s="1" t="s">
        <v>16976</v>
      </c>
      <c r="K8665" s="1" t="str">
        <f t="shared" si="544"/>
        <v>ㄒ</v>
      </c>
      <c r="L8665" s="1" t="str">
        <f t="shared" si="545"/>
        <v>ㄧ</v>
      </c>
      <c r="M8665" s="1" t="str">
        <f t="shared" si="543"/>
        <v>ㄣ</v>
      </c>
      <c r="P8665" s="1" t="s">
        <v>20</v>
      </c>
      <c r="R8665" s="1" t="s">
        <v>16977</v>
      </c>
      <c r="V8665" s="1" t="s">
        <v>16978</v>
      </c>
      <c r="AR8665" s="1" t="str">
        <f t="shared" si="546"/>
        <v>| [ㄒㄧㄣ](ㄒㄧㄣ.md) | [心](心.md) |  | xīn | [名]
1.內臟之一。參見「心臟」條。
2.我國古代認為心主管思維，故相沿以為腦的代稱。如：「用心」、「勞心勞力」。《孟子．告子上》：「心之官則思。」
3.思想、意念、感情。如：「傷心」、「心中不安」、「心情煩悶」。三國魏．曹丕〈與吳質書〉：「東望於邑，裁書敘心。」唐．柳宗元〈始得西山宴游記〉：「心凝形釋。」
4.思慮、謀畫。如：「有心人」、「有口無心」。《呂氏春秋．審應覽．精諭》：「紂雖多心，弗能知矣。」
5.性情。如：「心性」。《韓非子．觀行》：「西門豹之性急，故佩韋以自緩，董安于之心緩，故佩弦以自急。」
6.平面或物體的中央或內部。如：「江心」、「掌心」、「圓心」。唐．劉禹錫〈洞庭秋月行〉：「洞庭秋月生湖心，層波萬頃如鎔金。」
7.植物的花蕊或苗尖。如：「花心」。南朝梁．簡文帝〈上巳侍宴林光殿曲水詩〉：「林花初墮蔕，池荷欲吐心。」
8.星宿名。二十八星宿之一，東方蒼龍七宿的第五宿。
9.星官名，心宿之首，共有三顆星，在西方屬天蠍座。《詩經．唐風．綢繆》：「三星在天。」漢．鄭玄．箋：「三星，謂心星也。」《晉書．卷一一．天文志上》：「心三星，天王正位也。」
10.二一四部首之一。 |</v>
      </c>
    </row>
    <row r="8666" spans="1:44" hidden="1">
      <c r="A8666" s="1" t="s">
        <v>16979</v>
      </c>
      <c r="C8666" s="1">
        <v>1</v>
      </c>
      <c r="D8666" s="1" t="str">
        <f>"07154"</f>
        <v>07154</v>
      </c>
      <c r="E8666" s="1" t="s">
        <v>37</v>
      </c>
      <c r="F8666" s="1">
        <v>8</v>
      </c>
      <c r="G8666" s="1">
        <v>4</v>
      </c>
      <c r="H8666" s="1">
        <v>1</v>
      </c>
      <c r="I8666" s="1" t="s">
        <v>16976</v>
      </c>
      <c r="K8666" s="1" t="str">
        <f t="shared" si="544"/>
        <v>ㄒ</v>
      </c>
      <c r="L8666" s="1" t="str">
        <f t="shared" si="545"/>
        <v>ㄧ</v>
      </c>
      <c r="M8666" s="1" t="str">
        <f t="shared" si="543"/>
        <v>ㄣ</v>
      </c>
      <c r="P8666" s="1" t="s">
        <v>20</v>
      </c>
      <c r="R8666" s="1" t="s">
        <v>16977</v>
      </c>
      <c r="V8666" s="1" t="s">
        <v>16980</v>
      </c>
      <c r="W8666" s="1" t="s">
        <v>16981</v>
      </c>
      <c r="AR8666" s="1" t="str">
        <f t="shared" si="546"/>
        <v>| [ㄒㄧㄣ](ㄒㄧㄣ.md) | [芯](芯.md) |  | xīn | [名]
燈心草莖中可用來點燈的莖髓。元．戴侗《六書故．卷一三．人》：「凡函畜于中者，皆謂之心，草木華葉之心，是也，（別作芯）。」 |</v>
      </c>
    </row>
    <row r="8667" spans="1:44" hidden="1">
      <c r="A8667" s="1" t="s">
        <v>16982</v>
      </c>
      <c r="C8667" s="1">
        <v>1</v>
      </c>
      <c r="D8667" s="1" t="str">
        <f>"07155"</f>
        <v>07155</v>
      </c>
      <c r="E8667" s="1" t="s">
        <v>732</v>
      </c>
      <c r="F8667" s="1">
        <v>7</v>
      </c>
      <c r="G8667" s="1">
        <v>0</v>
      </c>
      <c r="H8667" s="1">
        <v>0</v>
      </c>
      <c r="I8667" s="1" t="s">
        <v>16976</v>
      </c>
      <c r="K8667" s="1" t="str">
        <f t="shared" si="544"/>
        <v>ㄒ</v>
      </c>
      <c r="L8667" s="1" t="str">
        <f t="shared" si="545"/>
        <v>ㄧ</v>
      </c>
      <c r="M8667" s="1" t="str">
        <f t="shared" si="543"/>
        <v>ㄣ</v>
      </c>
      <c r="P8667" s="1" t="s">
        <v>20</v>
      </c>
      <c r="R8667" s="1" t="s">
        <v>16977</v>
      </c>
      <c r="V8667" s="1" t="s">
        <v>16983</v>
      </c>
      <c r="AR8667" s="1" t="str">
        <f t="shared" si="546"/>
        <v>| [ㄒㄧㄣ](ㄒㄧㄣ.md) | [辛](辛.md) |  | xīn | [名]
1.辣的味道。宋．蘇軾〈再和次韻曾子開從駕〉詩二首之一：「最後數篇君莫厭，搗殘椒桂有餘辛。」
2.帶有刺激味道的蔬菜。如蔥、蒜等。明．李時珍《本草綱目．卷二六．菜部．韭》：「頌曰：『昔人正月節食五辛以辟癘氣，謂韭、薤、蔥、蒜、薑也。』」
3.天干中的第八位。
4.姓。如宋代有辛棄疾。
5.二一四部首之一。
[形]
1.辣味的。如：「辛味」。《文選．左思．蜀都賦》：「甘蔗辛薑。」
2.勞苦、勞累。如：「艱辛」。唐．李紳〈古風〉詩二首之二：「誰知盤中餐，粒粒皆辛苦！」
3.悲傷痛苦的。如：「辛酸淚」。唐．杜甫〈自京赴奉先縣詠懷五百字〉詩：「撫跡猶酸辛，平人固騷屑。」 |</v>
      </c>
    </row>
    <row r="8668" spans="1:44" hidden="1">
      <c r="A8668" s="1" t="s">
        <v>16984</v>
      </c>
      <c r="C8668" s="1">
        <v>1</v>
      </c>
      <c r="D8668" s="1" t="str">
        <f>"07156"</f>
        <v>07156</v>
      </c>
      <c r="E8668" s="1" t="s">
        <v>37</v>
      </c>
      <c r="F8668" s="1">
        <v>11</v>
      </c>
      <c r="G8668" s="1">
        <v>7</v>
      </c>
      <c r="H8668" s="1">
        <v>2</v>
      </c>
      <c r="I8668" s="1" t="s">
        <v>16976</v>
      </c>
      <c r="K8668" s="1" t="str">
        <f t="shared" si="544"/>
        <v>ㄒ</v>
      </c>
      <c r="L8668" s="1" t="str">
        <f t="shared" si="545"/>
        <v>ㄧ</v>
      </c>
      <c r="M8668" s="1" t="str">
        <f t="shared" si="543"/>
        <v>ㄣ</v>
      </c>
      <c r="P8668" s="1" t="s">
        <v>110</v>
      </c>
      <c r="R8668" s="1" t="s">
        <v>16977</v>
      </c>
      <c r="V8668" s="1" t="s">
        <v>111</v>
      </c>
      <c r="W8668" s="1" t="s">
        <v>16985</v>
      </c>
      <c r="AR8668" s="1" t="str">
        <f t="shared" si="546"/>
        <v>| [ㄒㄧㄣ](ㄒㄧㄣ.md) | [莘](莘.md) |  | xīn | (一)之又音。 |</v>
      </c>
    </row>
    <row r="8669" spans="1:44" hidden="1">
      <c r="A8669" s="1" t="s">
        <v>16986</v>
      </c>
      <c r="C8669" s="1">
        <v>1</v>
      </c>
      <c r="D8669" s="1" t="str">
        <f>"07157"</f>
        <v>07157</v>
      </c>
      <c r="E8669" s="1" t="s">
        <v>55</v>
      </c>
      <c r="F8669" s="1">
        <v>15</v>
      </c>
      <c r="G8669" s="1">
        <v>7</v>
      </c>
      <c r="H8669" s="1">
        <v>0</v>
      </c>
      <c r="I8669" s="1" t="s">
        <v>16976</v>
      </c>
      <c r="K8669" s="1" t="str">
        <f t="shared" si="544"/>
        <v>ㄒ</v>
      </c>
      <c r="L8669" s="1" t="str">
        <f t="shared" si="545"/>
        <v>ㄧ</v>
      </c>
      <c r="M8669" s="1" t="str">
        <f t="shared" si="543"/>
        <v>ㄣ</v>
      </c>
      <c r="P8669" s="1" t="s">
        <v>20</v>
      </c>
      <c r="R8669" s="1" t="s">
        <v>16977</v>
      </c>
      <c r="V8669" s="1" t="s">
        <v>16987</v>
      </c>
      <c r="AR8669" s="1" t="str">
        <f t="shared" si="546"/>
        <v>| [ㄒㄧㄣ](ㄒㄧㄣ.md) | [鋅](鋅.md) |  | xīn | [名]
（zinc，Zn）化學元素。原子序30。為白色中帶藍灰色的有光澤金屬。自然界中鋅均以化合物形式存於礦石中。將礦石加熱，使鋅變成氧化鋅，自礦石中析出，再以碳還原，即得純鋅。在常溫下極脆且硬。用途很廣，鋅板可鋪屋頂及製造器具；鍍鋅於鐵的表面可防鏽；亦可用於製造乾電池及各種合金。 |</v>
      </c>
    </row>
    <row r="8670" spans="1:44" hidden="1">
      <c r="A8670" s="1" t="s">
        <v>16988</v>
      </c>
      <c r="C8670" s="1">
        <v>1</v>
      </c>
      <c r="D8670" s="1" t="str">
        <f>"07158"</f>
        <v>07158</v>
      </c>
      <c r="E8670" s="1" t="s">
        <v>250</v>
      </c>
      <c r="F8670" s="1">
        <v>7</v>
      </c>
      <c r="G8670" s="1">
        <v>4</v>
      </c>
      <c r="H8670" s="1">
        <v>0</v>
      </c>
      <c r="I8670" s="1" t="s">
        <v>16976</v>
      </c>
      <c r="K8670" s="1" t="str">
        <f t="shared" si="544"/>
        <v>ㄒ</v>
      </c>
      <c r="L8670" s="1" t="str">
        <f t="shared" si="545"/>
        <v>ㄧ</v>
      </c>
      <c r="M8670" s="1" t="str">
        <f t="shared" si="543"/>
        <v>ㄣ</v>
      </c>
      <c r="P8670" s="1" t="s">
        <v>20</v>
      </c>
      <c r="R8670" s="1" t="s">
        <v>16977</v>
      </c>
      <c r="V8670" s="1" t="s">
        <v>16989</v>
      </c>
      <c r="AR8670" s="1" t="str">
        <f t="shared" si="546"/>
        <v>| [ㄒㄧㄣ](ㄒㄧㄣ.md) | [忻](忻.md) |  | xīn | [形]
喜悅。通「欣」。《玉篇．欣部》：「忻，喜也。」《董西廂》卷六：「適鶯聞人語親，忻喜之容見於面。」 |</v>
      </c>
    </row>
    <row r="8671" spans="1:44" hidden="1">
      <c r="A8671" s="1" t="s">
        <v>16990</v>
      </c>
      <c r="C8671" s="1">
        <v>1</v>
      </c>
      <c r="D8671" s="1" t="str">
        <f>"07159"</f>
        <v>07159</v>
      </c>
      <c r="E8671" s="1" t="s">
        <v>336</v>
      </c>
      <c r="F8671" s="1">
        <v>8</v>
      </c>
      <c r="G8671" s="1">
        <v>4</v>
      </c>
      <c r="H8671" s="1">
        <v>0</v>
      </c>
      <c r="I8671" s="1" t="s">
        <v>16976</v>
      </c>
      <c r="K8671" s="1" t="str">
        <f t="shared" si="544"/>
        <v>ㄒ</v>
      </c>
      <c r="L8671" s="1" t="str">
        <f t="shared" si="545"/>
        <v>ㄧ</v>
      </c>
      <c r="M8671" s="1" t="str">
        <f t="shared" si="543"/>
        <v>ㄣ</v>
      </c>
      <c r="P8671" s="1" t="s">
        <v>20</v>
      </c>
      <c r="R8671" s="1" t="s">
        <v>16977</v>
      </c>
      <c r="V8671" s="1" t="s">
        <v>16991</v>
      </c>
      <c r="AR8671" s="1" t="str">
        <f t="shared" si="546"/>
        <v>| [ㄒㄧㄣ](ㄒㄧㄣ.md) | [炘](炘.md) |  | xīn | 參見「炘炘」條。 |</v>
      </c>
    </row>
    <row r="8672" spans="1:44" hidden="1">
      <c r="A8672" s="1" t="s">
        <v>16992</v>
      </c>
      <c r="C8672" s="1">
        <v>1</v>
      </c>
      <c r="D8672" s="1" t="str">
        <f>"07160"</f>
        <v>07160</v>
      </c>
      <c r="E8672" s="1" t="s">
        <v>646</v>
      </c>
      <c r="F8672" s="1">
        <v>8</v>
      </c>
      <c r="G8672" s="1">
        <v>4</v>
      </c>
      <c r="H8672" s="1">
        <v>0</v>
      </c>
      <c r="I8672" s="1" t="s">
        <v>16976</v>
      </c>
      <c r="K8672" s="1" t="str">
        <f t="shared" si="544"/>
        <v>ㄒ</v>
      </c>
      <c r="L8672" s="1" t="str">
        <f t="shared" si="545"/>
        <v>ㄧ</v>
      </c>
      <c r="M8672" s="1" t="str">
        <f t="shared" si="543"/>
        <v>ㄣ</v>
      </c>
      <c r="P8672" s="1" t="s">
        <v>20</v>
      </c>
      <c r="R8672" s="1" t="s">
        <v>16977</v>
      </c>
      <c r="V8672" s="1" t="s">
        <v>16993</v>
      </c>
      <c r="AR8672" s="1" t="str">
        <f t="shared" si="546"/>
        <v>| [ㄒㄧㄣ](ㄒㄧㄣ.md) | [昕](昕.md) |  | xīn | [名]
太陽快出來的時候。《儀禮．士昏禮》：「凡行事，必用昏昕。」 |</v>
      </c>
    </row>
    <row r="8673" spans="1:44" hidden="1">
      <c r="A8673" s="1" t="s">
        <v>16994</v>
      </c>
      <c r="C8673" s="1">
        <v>1</v>
      </c>
      <c r="D8673" s="1" t="str">
        <f>"07161"</f>
        <v>07161</v>
      </c>
      <c r="E8673" s="1" t="s">
        <v>1908</v>
      </c>
      <c r="F8673" s="1">
        <v>8</v>
      </c>
      <c r="G8673" s="1">
        <v>4</v>
      </c>
      <c r="H8673" s="1">
        <v>0</v>
      </c>
      <c r="I8673" s="1" t="s">
        <v>16976</v>
      </c>
      <c r="K8673" s="1" t="str">
        <f t="shared" si="544"/>
        <v>ㄒ</v>
      </c>
      <c r="L8673" s="1" t="str">
        <f t="shared" si="545"/>
        <v>ㄧ</v>
      </c>
      <c r="M8673" s="1" t="str">
        <f t="shared" si="543"/>
        <v>ㄣ</v>
      </c>
      <c r="P8673" s="1" t="s">
        <v>20</v>
      </c>
      <c r="R8673" s="1" t="s">
        <v>16977</v>
      </c>
      <c r="V8673" s="1" t="s">
        <v>16995</v>
      </c>
      <c r="AR8673" s="1" t="str">
        <f t="shared" si="546"/>
        <v>| [ㄒㄧㄣ](ㄒㄧㄣ.md) | [欣](欣.md) |  | xīn | [動]
悅服、愛戴。《國語．晉語二》：「庶幾曰諸侯義而撫之，百姓欣而奉之，國可以固。」
[副]
喜樂。如：「欣慰」、「欣然忘憂」。《莊子．秋水》：「於是焉，河伯欣然自喜，以天下之美為盡在己。」
[名]
姓。如五代時有欣彪。 |</v>
      </c>
    </row>
    <row r="8674" spans="1:44" hidden="1">
      <c r="A8674" s="1" t="s">
        <v>16106</v>
      </c>
      <c r="C8674" s="1">
        <v>1</v>
      </c>
      <c r="D8674" s="1" t="str">
        <f>"07162"</f>
        <v>07162</v>
      </c>
      <c r="E8674" s="1" t="s">
        <v>331</v>
      </c>
      <c r="F8674" s="1">
        <v>11</v>
      </c>
      <c r="G8674" s="1">
        <v>4</v>
      </c>
      <c r="H8674" s="1">
        <v>1</v>
      </c>
      <c r="I8674" s="1" t="s">
        <v>16976</v>
      </c>
      <c r="K8674" s="1" t="str">
        <f t="shared" si="544"/>
        <v>ㄒ</v>
      </c>
      <c r="L8674" s="1" t="str">
        <f t="shared" si="545"/>
        <v>ㄧ</v>
      </c>
      <c r="M8674" s="1" t="str">
        <f t="shared" si="543"/>
        <v>ㄣ</v>
      </c>
      <c r="P8674" s="1" t="s">
        <v>20</v>
      </c>
      <c r="R8674" s="1" t="s">
        <v>16977</v>
      </c>
      <c r="V8674" s="1" t="s">
        <v>16996</v>
      </c>
      <c r="W8674" s="1" t="s">
        <v>16997</v>
      </c>
      <c r="AR8674" s="1" t="str">
        <f t="shared" si="546"/>
        <v>| [ㄒㄧㄣ](ㄒㄧㄣ.md) | [訢](訢.md) |  | xīn | [副]
喜樂。通「欣」。《孟子．盡心上》：「終身訢然，樂而忘天下。」
[名]
姓。如漢代有訢梵。 |</v>
      </c>
    </row>
    <row r="8675" spans="1:44" hidden="1">
      <c r="A8675" s="1" t="s">
        <v>16998</v>
      </c>
      <c r="C8675" s="1">
        <v>1</v>
      </c>
      <c r="D8675" s="1" t="str">
        <f>"07163"</f>
        <v>07163</v>
      </c>
      <c r="E8675" s="1" t="s">
        <v>4517</v>
      </c>
      <c r="F8675" s="1">
        <v>13</v>
      </c>
      <c r="G8675" s="1">
        <v>9</v>
      </c>
      <c r="H8675" s="1">
        <v>0</v>
      </c>
      <c r="I8675" s="1" t="s">
        <v>16976</v>
      </c>
      <c r="K8675" s="1" t="str">
        <f t="shared" si="544"/>
        <v>ㄒ</v>
      </c>
      <c r="L8675" s="1" t="str">
        <f t="shared" si="545"/>
        <v>ㄧ</v>
      </c>
      <c r="M8675" s="1" t="str">
        <f t="shared" si="543"/>
        <v>ㄣ</v>
      </c>
      <c r="P8675" s="1" t="s">
        <v>20</v>
      </c>
      <c r="R8675" s="1" t="s">
        <v>16977</v>
      </c>
      <c r="V8675" s="1" t="s">
        <v>16999</v>
      </c>
      <c r="AR8675" s="1" t="str">
        <f t="shared" si="546"/>
        <v>| [ㄒㄧㄣ](ㄒㄧㄣ.md) | [新](新.md) |  | xīn | [形]
1.沒有使用過的。與「舊」相對。如：「新辦法」、「新衣」、「新筆」。
2.剛開始的、始出現的。如：「新芽」、「新生兒」、「新品種」。
[名]
1.泛指一切新的人、事、物、知識等。如：「履新」、「汰舊換新」、「溫故知新」。
2.剛收成的農作物。《禮記．月令》：「是月也，農乃登穀，天子嘗新。」《新唐書．卷一一八．宋務光傳》：「家無接新之儲，國乏俟荒之蓄。」
3.朝代名。參見「新莽」條。
4.姓。如春秋時晉國有新穆子。
[動]
改進或使改變，而成為新的、好的。如：「改過自新」、「一新耳目」。《書經．胤征》：「舊染汙俗，咸與惟新。」《禮記．大學》：「苟日新、日日新、又日新。」
[副]
不久前、剛才。如：「新寫的字」、「新買的衣服」。《荀子．不苟》：「新浴者振其衣，新沐者彈其冠。」 |</v>
      </c>
    </row>
    <row r="8676" spans="1:44" hidden="1">
      <c r="A8676" s="1" t="s">
        <v>17000</v>
      </c>
      <c r="C8676" s="1">
        <v>1</v>
      </c>
      <c r="D8676" s="1" t="str">
        <f>"07164"</f>
        <v>07164</v>
      </c>
      <c r="E8676" s="1" t="s">
        <v>37</v>
      </c>
      <c r="F8676" s="1">
        <v>17</v>
      </c>
      <c r="G8676" s="1">
        <v>13</v>
      </c>
      <c r="H8676" s="1">
        <v>0</v>
      </c>
      <c r="I8676" s="1" t="s">
        <v>16976</v>
      </c>
      <c r="K8676" s="1" t="str">
        <f t="shared" si="544"/>
        <v>ㄒ</v>
      </c>
      <c r="L8676" s="1" t="str">
        <f t="shared" si="545"/>
        <v>ㄧ</v>
      </c>
      <c r="M8676" s="1" t="str">
        <f t="shared" si="543"/>
        <v>ㄣ</v>
      </c>
      <c r="P8676" s="1" t="s">
        <v>20</v>
      </c>
      <c r="R8676" s="1" t="s">
        <v>16977</v>
      </c>
      <c r="V8676" s="1" t="s">
        <v>17001</v>
      </c>
      <c r="AR8676" s="1" t="str">
        <f t="shared" si="546"/>
        <v>| [ㄒㄧㄣ](ㄒㄧㄣ.md) | [薪](薪.md) |  | xīn | [名]
1.柴草、柴火。如：「杯水車薪」、「臥薪嘗膽」、「釜底抽薪。」
2.工作的酬金。如：「月薪」、「年薪」、「底薪」。 |</v>
      </c>
    </row>
    <row r="8677" spans="1:44" hidden="1">
      <c r="A8677" s="1" t="s">
        <v>17002</v>
      </c>
      <c r="C8677" s="1">
        <v>1</v>
      </c>
      <c r="D8677" s="1" t="str">
        <f>"07165"</f>
        <v>07165</v>
      </c>
      <c r="E8677" s="1" t="s">
        <v>1908</v>
      </c>
      <c r="F8677" s="1">
        <v>13</v>
      </c>
      <c r="G8677" s="1">
        <v>9</v>
      </c>
      <c r="H8677" s="1">
        <v>0</v>
      </c>
      <c r="I8677" s="1" t="s">
        <v>16976</v>
      </c>
      <c r="K8677" s="1" t="str">
        <f t="shared" si="544"/>
        <v>ㄒ</v>
      </c>
      <c r="L8677" s="1" t="str">
        <f t="shared" si="545"/>
        <v>ㄧ</v>
      </c>
      <c r="M8677" s="1" t="str">
        <f t="shared" si="543"/>
        <v>ㄣ</v>
      </c>
      <c r="P8677" s="1" t="s">
        <v>20</v>
      </c>
      <c r="R8677" s="1" t="s">
        <v>16977</v>
      </c>
      <c r="V8677" s="1" t="s">
        <v>17003</v>
      </c>
      <c r="AR8677" s="1" t="str">
        <f t="shared" si="546"/>
        <v>| [ㄒㄧㄣ](ㄒㄧㄣ.md) | [歆](歆.md) |  | xīn | [動]
1.祭祀時鬼神享用祭品的香氣稱為「歆」。《左傳．僖公三十一年》：「鬼神非其族類，不歆其祀。」晉．杜預．注：「歆，猶饗也。」唐．李賀〈神弦〉詩：「呼星召鬼歆杯盤，山魅食時人森寒。」
2.感動。《詩經．大雅．生民》：「履帝武敏歆，攸介攸止。」漢．鄭玄．注：「心體歆歆然，其左右所止住，如有人道感己者也。」
3.悅服。《國語．周語下》：「以言德於民，民歆而德之。」三國吳．韋昭．注：「歆，猶嘉服也。」
4.羨慕。如：「歆慕」。《詩經．大雅．皇矣》：「無然畔援，無然歆羨。」《新唐書．卷一一六．王綝傳》：「士人歆其寵。」 |</v>
      </c>
    </row>
    <row r="8678" spans="1:44" hidden="1">
      <c r="A8678" s="1" t="s">
        <v>17004</v>
      </c>
      <c r="C8678" s="1">
        <v>1</v>
      </c>
      <c r="D8678" s="1" t="str">
        <f>"07166"</f>
        <v>07166</v>
      </c>
      <c r="E8678" s="1" t="s">
        <v>269</v>
      </c>
      <c r="F8678" s="1">
        <v>20</v>
      </c>
      <c r="G8678" s="1">
        <v>11</v>
      </c>
      <c r="H8678" s="1">
        <v>1</v>
      </c>
      <c r="I8678" s="1" t="s">
        <v>16976</v>
      </c>
      <c r="K8678" s="1" t="str">
        <f t="shared" si="544"/>
        <v>ㄒ</v>
      </c>
      <c r="L8678" s="1" t="str">
        <f t="shared" si="545"/>
        <v>ㄧ</v>
      </c>
      <c r="M8678" s="1" t="str">
        <f t="shared" si="543"/>
        <v>ㄣ</v>
      </c>
      <c r="P8678" s="1" t="s">
        <v>20</v>
      </c>
      <c r="R8678" s="1" t="s">
        <v>16977</v>
      </c>
      <c r="V8678" s="1" t="s">
        <v>17005</v>
      </c>
      <c r="W8678" s="1" t="s">
        <v>17006</v>
      </c>
      <c r="AR8678" s="1" t="str">
        <f t="shared" si="546"/>
        <v>| [ㄒㄧㄣ](ㄒㄧㄣ.md) | [馨](馨.md) |  | xīn | [名]
1.散播到遠方的香氣。《楚辭．屈原．九歌．山鬼》：「被石蘭兮帶杜衡，析芳馨兮遺所思。」唐．劉兼〈蓮塘霽望〉詩：「新秋菡萏發紅英，向晚風飄滿郡馨。」
2.流傳後世的功德名聲。如：「德馨遠播」。《晉書．卷一一三．苻堅載記上》：「化盛隆周，垂馨千祀。」
[助]
常置於形容詞或副詞之後，表示讚美的語氣。同「般」、「樣」。南朝宋．劉義慶《世說新語．文學》：「田舍兒，強學人作爾馨語。」 |</v>
      </c>
    </row>
    <row r="8679" spans="1:44" hidden="1">
      <c r="A8679" s="1" t="s">
        <v>17007</v>
      </c>
      <c r="C8679" s="1">
        <v>1</v>
      </c>
      <c r="D8679" s="1" t="str">
        <f>"07167"</f>
        <v>07167</v>
      </c>
      <c r="E8679" s="1" t="s">
        <v>55</v>
      </c>
      <c r="F8679" s="1">
        <v>24</v>
      </c>
      <c r="G8679" s="1">
        <v>16</v>
      </c>
      <c r="H8679" s="1">
        <v>0</v>
      </c>
      <c r="I8679" s="1" t="s">
        <v>16976</v>
      </c>
      <c r="K8679" s="1" t="str">
        <f t="shared" si="544"/>
        <v>ㄒ</v>
      </c>
      <c r="L8679" s="1" t="str">
        <f t="shared" si="545"/>
        <v>ㄧ</v>
      </c>
      <c r="M8679" s="1" t="str">
        <f t="shared" si="543"/>
        <v>ㄣ</v>
      </c>
      <c r="P8679" s="1" t="s">
        <v>20</v>
      </c>
      <c r="R8679" s="1" t="s">
        <v>16977</v>
      </c>
      <c r="V8679" s="1" t="s">
        <v>17008</v>
      </c>
      <c r="AR8679" s="1" t="str">
        <f t="shared" si="546"/>
        <v>| [ㄒㄧㄣ](ㄒㄧㄣ.md) | [鑫](鑫.md) |  | xīn | [形]
興盛、多財。常用於人名或店名。 |</v>
      </c>
    </row>
    <row r="8680" spans="1:44" hidden="1">
      <c r="A8680" s="1" t="s">
        <v>17009</v>
      </c>
      <c r="C8680" s="1">
        <v>1</v>
      </c>
      <c r="D8680" s="1" t="str">
        <f>"07168"</f>
        <v>07168</v>
      </c>
      <c r="E8680" s="1" t="s">
        <v>1595</v>
      </c>
      <c r="F8680" s="1">
        <v>12</v>
      </c>
      <c r="G8680" s="1">
        <v>9</v>
      </c>
      <c r="H8680" s="1">
        <v>2</v>
      </c>
      <c r="I8680" s="1" t="s">
        <v>17010</v>
      </c>
      <c r="K8680" s="1" t="str">
        <f t="shared" si="544"/>
        <v>ㄒ</v>
      </c>
      <c r="L8680" s="1" t="str">
        <f t="shared" si="545"/>
        <v>ㄧ</v>
      </c>
      <c r="M8680" s="1" t="str">
        <f t="shared" ref="M8680:M8743" si="547">MID(I8680, 3, 1)</f>
        <v>ㄣ</v>
      </c>
      <c r="P8680" s="1" t="s">
        <v>20</v>
      </c>
      <c r="R8680" s="1" t="s">
        <v>17011</v>
      </c>
      <c r="V8680" s="1" t="s">
        <v>17012</v>
      </c>
      <c r="W8680" s="1" t="s">
        <v>17013</v>
      </c>
      <c r="AR8680" s="1" t="str">
        <f t="shared" si="546"/>
        <v>| [ㄒㄧㄣˊ](ㄒㄧㄣˊ.md) | [尋](尋.md) |  | xín | [動]
吳語。指乞討、賺取。如：「尋錢」。 |</v>
      </c>
    </row>
    <row r="8681" spans="1:44" hidden="1">
      <c r="A8681" s="1" t="s">
        <v>17014</v>
      </c>
      <c r="C8681" s="1">
        <v>1</v>
      </c>
      <c r="D8681" s="1" t="str">
        <f>"07169"</f>
        <v>07169</v>
      </c>
      <c r="E8681" s="1" t="s">
        <v>256</v>
      </c>
      <c r="F8681" s="1">
        <v>15</v>
      </c>
      <c r="G8681" s="1">
        <v>12</v>
      </c>
      <c r="H8681" s="1">
        <v>0</v>
      </c>
      <c r="I8681" s="1" t="s">
        <v>17010</v>
      </c>
      <c r="K8681" s="1" t="str">
        <f t="shared" si="544"/>
        <v>ㄒ</v>
      </c>
      <c r="L8681" s="1" t="str">
        <f t="shared" si="545"/>
        <v>ㄧ</v>
      </c>
      <c r="M8681" s="1" t="str">
        <f t="shared" si="547"/>
        <v>ㄣ</v>
      </c>
      <c r="P8681" s="1" t="s">
        <v>20</v>
      </c>
      <c r="R8681" s="1" t="s">
        <v>17011</v>
      </c>
      <c r="V8681" s="1" t="s">
        <v>17015</v>
      </c>
      <c r="AR8681" s="1" t="str">
        <f t="shared" si="546"/>
        <v>| [ㄒㄧㄣˊ](ㄒㄧㄣˊ.md) | [鄩](鄩.md) |  | xín | [名]
地名。春秋時周邑名，故址約在今大陸地區河南省鞏縣西南。 |</v>
      </c>
    </row>
    <row r="8682" spans="1:44" hidden="1">
      <c r="A8682" s="1" t="s">
        <v>17016</v>
      </c>
      <c r="C8682" s="1">
        <v>1</v>
      </c>
      <c r="D8682" s="1" t="str">
        <f>"07170"</f>
        <v>07170</v>
      </c>
      <c r="E8682" s="1" t="s">
        <v>275</v>
      </c>
      <c r="F8682" s="1">
        <v>18</v>
      </c>
      <c r="G8682" s="1">
        <v>8</v>
      </c>
      <c r="H8682" s="1">
        <v>0</v>
      </c>
      <c r="I8682" s="1" t="s">
        <v>17010</v>
      </c>
      <c r="K8682" s="1" t="str">
        <f t="shared" si="544"/>
        <v>ㄒ</v>
      </c>
      <c r="L8682" s="1" t="str">
        <f t="shared" si="545"/>
        <v>ㄧ</v>
      </c>
      <c r="M8682" s="1" t="str">
        <f t="shared" si="547"/>
        <v>ㄣ</v>
      </c>
      <c r="P8682" s="1" t="s">
        <v>20</v>
      </c>
      <c r="R8682" s="1" t="s">
        <v>17011</v>
      </c>
      <c r="V8682" s="1" t="s">
        <v>17017</v>
      </c>
      <c r="AR8682" s="1" t="str">
        <f t="shared" si="546"/>
        <v>| [ㄒㄧㄣˊ](ㄒㄧㄣˊ.md) | [鬵](鬵.md) |  | xín | [形]
鼎一類的炊具。形似甑而上大下小。後亦泛指鍋子。《說文解字．鬲部》：「鬵，一曰鼎大上小下若甑曰鬵。」《詩經．檜風．匪風》：「誰能亨魚？溉之釜鬵。」《聊齋志異．卷一〇．阿纖》：「雖有宿肴，苦少烹鬵，勿嫌冷啜也。」 |</v>
      </c>
    </row>
    <row r="8683" spans="1:44" hidden="1">
      <c r="A8683" s="1" t="s">
        <v>17018</v>
      </c>
      <c r="C8683" s="1">
        <v>1</v>
      </c>
      <c r="D8683" s="1" t="str">
        <f>"07171"</f>
        <v>07171</v>
      </c>
      <c r="E8683" s="1" t="s">
        <v>114</v>
      </c>
      <c r="F8683" s="1">
        <v>6</v>
      </c>
      <c r="G8683" s="1">
        <v>4</v>
      </c>
      <c r="H8683" s="1">
        <v>0</v>
      </c>
      <c r="I8683" s="1" t="s">
        <v>17019</v>
      </c>
      <c r="K8683" s="1" t="str">
        <f t="shared" si="544"/>
        <v>ㄒ</v>
      </c>
      <c r="L8683" s="1" t="str">
        <f t="shared" si="545"/>
        <v>ㄧ</v>
      </c>
      <c r="M8683" s="1" t="str">
        <f t="shared" si="547"/>
        <v>ㄣ</v>
      </c>
      <c r="P8683" s="1" t="s">
        <v>20</v>
      </c>
      <c r="R8683" s="1" t="s">
        <v>17020</v>
      </c>
      <c r="V8683" s="1" t="s">
        <v>17021</v>
      </c>
      <c r="AR8683" s="1" t="str">
        <f t="shared" si="546"/>
        <v>| [ㄒㄧㄣˇ](ㄒㄧㄣˇ.md) | [伈](伈.md) |  | xǐn | 參見「伈伈」條。 |</v>
      </c>
    </row>
    <row r="8684" spans="1:44" hidden="1">
      <c r="A8684" s="1" t="s">
        <v>17022</v>
      </c>
      <c r="C8684" s="1">
        <v>1</v>
      </c>
      <c r="D8684" s="1" t="str">
        <f>"07172"</f>
        <v>07172</v>
      </c>
      <c r="E8684" s="1" t="s">
        <v>2557</v>
      </c>
      <c r="F8684" s="1">
        <v>6</v>
      </c>
      <c r="G8684" s="1">
        <v>3</v>
      </c>
      <c r="H8684" s="1">
        <v>0</v>
      </c>
      <c r="I8684" s="1" t="s">
        <v>17023</v>
      </c>
      <c r="K8684" s="1" t="str">
        <f t="shared" si="544"/>
        <v>ㄒ</v>
      </c>
      <c r="L8684" s="1" t="str">
        <f t="shared" si="545"/>
        <v>ㄧ</v>
      </c>
      <c r="M8684" s="1" t="str">
        <f t="shared" si="547"/>
        <v>ㄣ</v>
      </c>
      <c r="P8684" s="1" t="s">
        <v>20</v>
      </c>
      <c r="R8684" s="1" t="s">
        <v>17024</v>
      </c>
      <c r="V8684" s="1" t="s">
        <v>17025</v>
      </c>
      <c r="AR8684" s="1" t="str">
        <f t="shared" si="546"/>
        <v>| [ㄒㄧㄣˋ](ㄒㄧㄣˋ.md) | [囟](囟.md) |  | xìn | 參見「囟門」條。 |</v>
      </c>
    </row>
    <row r="8685" spans="1:44" hidden="1">
      <c r="A8685" s="1" t="s">
        <v>16979</v>
      </c>
      <c r="C8685" s="1">
        <v>1</v>
      </c>
      <c r="D8685" s="1" t="str">
        <f>"07173"</f>
        <v>07173</v>
      </c>
      <c r="E8685" s="1" t="s">
        <v>37</v>
      </c>
      <c r="F8685" s="1">
        <v>8</v>
      </c>
      <c r="G8685" s="1">
        <v>4</v>
      </c>
      <c r="H8685" s="1">
        <v>2</v>
      </c>
      <c r="I8685" s="1" t="s">
        <v>17023</v>
      </c>
      <c r="K8685" s="1" t="str">
        <f t="shared" si="544"/>
        <v>ㄒ</v>
      </c>
      <c r="L8685" s="1" t="str">
        <f t="shared" si="545"/>
        <v>ㄧ</v>
      </c>
      <c r="M8685" s="1" t="str">
        <f t="shared" si="547"/>
        <v>ㄣ</v>
      </c>
      <c r="P8685" s="1" t="s">
        <v>20</v>
      </c>
      <c r="R8685" s="1" t="s">
        <v>17024</v>
      </c>
      <c r="V8685" s="1" t="s">
        <v>17026</v>
      </c>
      <c r="W8685" s="1" t="s">
        <v>17027</v>
      </c>
      <c r="AR8685" s="1" t="str">
        <f t="shared" si="546"/>
        <v>| [ㄒㄧㄣˋ](ㄒㄧㄣˋ.md) | [芯](芯.md) |  | xìn | [名]
物體的中心部分。如：「蠟芯兒」、「芯子」。 |</v>
      </c>
    </row>
    <row r="8686" spans="1:44" hidden="1">
      <c r="A8686" s="1" t="s">
        <v>17028</v>
      </c>
      <c r="C8686" s="1">
        <v>1</v>
      </c>
      <c r="D8686" s="1" t="str">
        <f>"07174"</f>
        <v>07174</v>
      </c>
      <c r="E8686" s="1" t="s">
        <v>114</v>
      </c>
      <c r="F8686" s="1">
        <v>9</v>
      </c>
      <c r="G8686" s="1">
        <v>7</v>
      </c>
      <c r="H8686" s="1">
        <v>1</v>
      </c>
      <c r="I8686" s="1" t="s">
        <v>17023</v>
      </c>
      <c r="K8686" s="1" t="str">
        <f t="shared" si="544"/>
        <v>ㄒ</v>
      </c>
      <c r="L8686" s="1" t="str">
        <f t="shared" si="545"/>
        <v>ㄧ</v>
      </c>
      <c r="M8686" s="1" t="str">
        <f t="shared" si="547"/>
        <v>ㄣ</v>
      </c>
      <c r="P8686" s="1" t="s">
        <v>20</v>
      </c>
      <c r="R8686" s="1" t="s">
        <v>17024</v>
      </c>
      <c r="V8686" s="1" t="s">
        <v>17029</v>
      </c>
      <c r="W8686" s="1" t="s">
        <v>17030</v>
      </c>
      <c r="AR8686" s="1" t="str">
        <f t="shared" si="546"/>
        <v>| [ㄒㄧㄣˋ](ㄒㄧㄣˋ.md) | [信](信.md) |  | xìn | [名]
1.誠實不欺。如：「講信修睦」。《論語．為政》：「人而無信，不知其可也。」
2.書札、書簡。如：「書信」、「平信」、「掛號信」。
3.消息、音訊。如：「音信」、「凶信」、「口信」。
4.使者、送信件的人。南朝宋．劉義慶《世說新語．文學》：「司空鄭沖馳遣信就阮籍求文。」
5.符契、憑證。如：「印信」。《後漢書．卷九〇．烏桓鮮卑傳》：「大人有所召呼，則刻木為信，雖無文字，而部眾不敢違犯。」
6.姓。如宋代有信世昌。
[動]
1.聽從、不懷疑。如：「相信」、「深信不疑」、「不可置信」。
2.敬仰、崇奉。如：「信奉」、「信教」。南朝梁．劉勰《文心雕龍．正緯》：「至於光武之世，篤信斯術。」
3.知曉、知道。宋．晏殊〈漁家傲．畫鼓聲中昏又曉〉詞：「須信道，人間萬事何時了？」《聊齋志異．卷七．青蛾》：「我父母皆仙人，何可以貌信其年歲乎？」
4.連宿兩晚。如：「信宿」。《左傳．襄公十八年》：「信于城下而還。」晉．杜預．注：「信，再宿也。」
[副]
1.確實、的確、果真。《孟子．公孫丑上》：「信能行此五者，則鄰國之民，仰之若父母矣。」唐．柳宗元〈遊石角過小嶺至長烏村〉詩：「為農信可樂，居寵真虛榮。」
2.隨意、任憑。如：「信口開河」、「信手拈來」。唐．白居易〈琵琶行〉：「低眉信手續續彈，說盡心中無限事。」 |</v>
      </c>
    </row>
    <row r="8687" spans="1:44" hidden="1">
      <c r="A8687" s="1" t="s">
        <v>17031</v>
      </c>
      <c r="C8687" s="1">
        <v>1</v>
      </c>
      <c r="D8687" s="1" t="str">
        <f>"07175"</f>
        <v>07175</v>
      </c>
      <c r="E8687" s="1" t="s">
        <v>336</v>
      </c>
      <c r="F8687" s="1">
        <v>12</v>
      </c>
      <c r="G8687" s="1">
        <v>8</v>
      </c>
      <c r="H8687" s="1">
        <v>0</v>
      </c>
      <c r="I8687" s="1" t="s">
        <v>17023</v>
      </c>
      <c r="K8687" s="1" t="str">
        <f t="shared" si="544"/>
        <v>ㄒ</v>
      </c>
      <c r="L8687" s="1" t="str">
        <f t="shared" si="545"/>
        <v>ㄧ</v>
      </c>
      <c r="M8687" s="1" t="str">
        <f t="shared" si="547"/>
        <v>ㄣ</v>
      </c>
      <c r="P8687" s="1" t="s">
        <v>20</v>
      </c>
      <c r="R8687" s="1" t="s">
        <v>17024</v>
      </c>
      <c r="V8687" s="1" t="s">
        <v>17032</v>
      </c>
      <c r="AR8687" s="1" t="str">
        <f t="shared" si="546"/>
        <v>| [ㄒㄧㄣˋ](ㄒㄧㄣˋ.md) | [焮](焮.md) |  | xìn | [名]
火氣。《廣韻．去聲．焮韻》：「焮，火氣。」
[動]
炙、燒。唐．杜甫〈火〉詩：「勢欲焚崑崙，火彌焮洲渚。」宋．范成大〈大熱泊樂溫有懷商卿德稱〉詩：「瘴風如火焮，嵐月似煙昏。」 |</v>
      </c>
    </row>
    <row r="8688" spans="1:44" hidden="1">
      <c r="A8688" s="1" t="s">
        <v>17033</v>
      </c>
      <c r="C8688" s="1">
        <v>1</v>
      </c>
      <c r="D8688" s="1" t="str">
        <f>"07176"</f>
        <v>07176</v>
      </c>
      <c r="E8688" s="1" t="s">
        <v>37</v>
      </c>
      <c r="F8688" s="1">
        <v>16</v>
      </c>
      <c r="G8688" s="1">
        <v>12</v>
      </c>
      <c r="H8688" s="1">
        <v>2</v>
      </c>
      <c r="I8688" s="1" t="s">
        <v>17023</v>
      </c>
      <c r="K8688" s="1" t="str">
        <f t="shared" ref="K8688:K8751" si="548">LEFT(I8688, 1)</f>
        <v>ㄒ</v>
      </c>
      <c r="L8688" s="1" t="str">
        <f t="shared" ref="L8688:L8751" si="549">MID(I8688, 2, 1)</f>
        <v>ㄧ</v>
      </c>
      <c r="M8688" s="1" t="str">
        <f t="shared" si="547"/>
        <v>ㄣ</v>
      </c>
      <c r="P8688" s="1" t="s">
        <v>110</v>
      </c>
      <c r="R8688" s="1" t="s">
        <v>17024</v>
      </c>
      <c r="V8688" s="1" t="s">
        <v>111</v>
      </c>
      <c r="W8688" s="1" t="s">
        <v>17034</v>
      </c>
      <c r="AR8688" s="1" t="str">
        <f t="shared" si="546"/>
        <v>| [ㄒㄧㄣˋ](ㄒㄧㄣˋ.md) | [蕈](蕈.md) |  | xìn | (一)之又音。 |</v>
      </c>
    </row>
    <row r="8689" spans="1:44" hidden="1">
      <c r="A8689" s="1" t="s">
        <v>17035</v>
      </c>
      <c r="C8689" s="1">
        <v>1</v>
      </c>
      <c r="D8689" s="1" t="str">
        <f>"07177"</f>
        <v>07177</v>
      </c>
      <c r="E8689" s="1" t="s">
        <v>13771</v>
      </c>
      <c r="F8689" s="1">
        <v>19</v>
      </c>
      <c r="G8689" s="1">
        <v>12</v>
      </c>
      <c r="H8689" s="1">
        <v>0</v>
      </c>
      <c r="I8689" s="1" t="s">
        <v>17023</v>
      </c>
      <c r="K8689" s="1" t="str">
        <f t="shared" si="548"/>
        <v>ㄒ</v>
      </c>
      <c r="L8689" s="1" t="str">
        <f t="shared" si="549"/>
        <v>ㄧ</v>
      </c>
      <c r="M8689" s="1" t="str">
        <f t="shared" si="547"/>
        <v>ㄣ</v>
      </c>
      <c r="P8689" s="1" t="s">
        <v>20</v>
      </c>
      <c r="R8689" s="1" t="s">
        <v>17024</v>
      </c>
      <c r="V8689" s="1" t="s">
        <v>17036</v>
      </c>
      <c r="AR8689" s="1" t="str">
        <f t="shared" si="546"/>
        <v>| [ㄒㄧㄣˋ](ㄒㄧㄣˋ.md) | [舋](舋.md) |  | xìn | [名]
1.裂痕、縫隙。《周禮．春官．大卜》「一曰玉兆，二曰瓦兆，三曰原兆」句下漢．鄭玄．注：「兆者，灼龜發於火，其形可占者，其象似玉瓦原之舋鏬。」
2.嫌隙、爭端。《戰國策．韓策三》：「故君收韓，可以無舋。」
3.罪過、過錯。《文選．曹植．上責躬應詔詩表》：「臣自抱舋歸藩。」唐．韓愈〈潮州刺史謝上表〉：「而臣負罪嬰舋，自拘海島。」 |</v>
      </c>
    </row>
    <row r="8690" spans="1:44" hidden="1">
      <c r="A8690" s="1" t="s">
        <v>17037</v>
      </c>
      <c r="C8690" s="1">
        <v>1</v>
      </c>
      <c r="D8690" s="1" t="str">
        <f>"07178"</f>
        <v>07178</v>
      </c>
      <c r="E8690" s="1" t="s">
        <v>1462</v>
      </c>
      <c r="F8690" s="1">
        <v>25</v>
      </c>
      <c r="G8690" s="1">
        <v>18</v>
      </c>
      <c r="H8690" s="1">
        <v>0</v>
      </c>
      <c r="I8690" s="1" t="s">
        <v>17023</v>
      </c>
      <c r="K8690" s="1" t="str">
        <f t="shared" si="548"/>
        <v>ㄒ</v>
      </c>
      <c r="L8690" s="1" t="str">
        <f t="shared" si="549"/>
        <v>ㄧ</v>
      </c>
      <c r="M8690" s="1" t="str">
        <f t="shared" si="547"/>
        <v>ㄣ</v>
      </c>
      <c r="P8690" s="1" t="s">
        <v>20</v>
      </c>
      <c r="R8690" s="1" t="s">
        <v>17024</v>
      </c>
      <c r="V8690" s="1" t="s">
        <v>17038</v>
      </c>
      <c r="AR8690" s="1" t="str">
        <f t="shared" si="546"/>
        <v>| [ㄒㄧㄣˋ](ㄒㄧㄣˋ.md) | [釁](釁.md) |  | xìn | [動]
1.古代祭祀時，把牲畜的血塗在器皿上，用來祭祀神靈稱為「釁」。《孟子．梁惠王上》：「將以釁鐘。」宋．陸游〈雪中忽起從戎之興戲作〉詩四首之二：「獸奔鳥散何勞逐，直斬單于釁寶刀。」
2.塗、熏。《國語．齊語》：「比至，三釁，三浴之。」《漢書．卷四八．賈誼傳》：「豫讓釁面吞炭。」
3.奮動。《左傳．襄公二十六年》：「夫小人之性，釁於勇。」
[名]
1.裂痕、縫隙。《續漢書志．第一．律曆志上》：「候氣之法，為室三重，戶閉，塗釁必周，密布緹縵。」明．宋應星《天工開物．卷中．鐘》：「若相承遇緩，則先入之質欲凍，後者不粘，釁所由生也。」
2.徵兆、禍兆。《國語．魯語上》：「若鮑氏有釁，吾不圖矣。」《三國志．卷五八．吳書．陸遜傳》：「近覽劉氏傾覆之釁。」
3.嫌隙、爭端。如：「挑釁」、「尋釁」。
4.過失、罪過。《左傳．莊公十四年》：「人無釁焉，妖不自作。」
5.姓。如春秋時魯國有釁夏。 |</v>
      </c>
    </row>
    <row r="8691" spans="1:44" hidden="1">
      <c r="A8691" s="1" t="s">
        <v>17540</v>
      </c>
      <c r="C8691" s="1">
        <v>1</v>
      </c>
      <c r="D8691" s="1" t="str">
        <f>"07398"</f>
        <v>07398</v>
      </c>
      <c r="E8691" s="1" t="s">
        <v>336</v>
      </c>
      <c r="F8691" s="1">
        <v>11</v>
      </c>
      <c r="G8691" s="1">
        <v>7</v>
      </c>
      <c r="H8691" s="1">
        <v>0</v>
      </c>
      <c r="I8691" s="1" t="s">
        <v>17541</v>
      </c>
      <c r="K8691" s="1" t="str">
        <f t="shared" si="548"/>
        <v>ㄒ</v>
      </c>
      <c r="L8691" s="1" t="str">
        <f t="shared" si="549"/>
        <v>ㄩ</v>
      </c>
      <c r="M8691" s="1" t="str">
        <f t="shared" si="547"/>
        <v>ㄣ</v>
      </c>
      <c r="P8691" s="1" t="s">
        <v>20</v>
      </c>
      <c r="R8691" s="1" t="s">
        <v>17542</v>
      </c>
      <c r="V8691" s="1" t="s">
        <v>17543</v>
      </c>
      <c r="AR8691" s="1" t="str">
        <f t="shared" si="546"/>
        <v>| [ㄒㄩㄣ](ㄒㄩㄣ.md) | [焄](焄.md) |  | xūn | [動]
煙火向上冒。通「熏」。《玉篇．火部》：「焄，火上出也。亦作熏。」宋．蘇軾〈子由生日以檀香觀音像及新合印香銀篆盤為壽〉詩：「此心實與香俱焄，聞思大士應已聞。」
[名]
香、臭的氣味。《禮記．祭義》：「焄蒿悽愴，此百物之精也。」唐．孔穎達．正義：「焄，謂香臭也，言百物之氣，或香或臭。」宋．蘇轍〈次韻子瞻生日見寄〉詩：「憂愁真能散凄焄，萬事過耳今不聞。」 |</v>
      </c>
    </row>
    <row r="8692" spans="1:44" hidden="1">
      <c r="A8692" s="1" t="s">
        <v>17544</v>
      </c>
      <c r="C8692" s="1">
        <v>1</v>
      </c>
      <c r="D8692" s="1" t="str">
        <f>"07399"</f>
        <v>07399</v>
      </c>
      <c r="E8692" s="1" t="s">
        <v>245</v>
      </c>
      <c r="F8692" s="1">
        <v>12</v>
      </c>
      <c r="G8692" s="1">
        <v>10</v>
      </c>
      <c r="H8692" s="1">
        <v>0</v>
      </c>
      <c r="I8692" s="1" t="s">
        <v>17541</v>
      </c>
      <c r="K8692" s="1" t="str">
        <f t="shared" si="548"/>
        <v>ㄒ</v>
      </c>
      <c r="L8692" s="1" t="str">
        <f t="shared" si="549"/>
        <v>ㄩ</v>
      </c>
      <c r="M8692" s="1" t="str">
        <f t="shared" si="547"/>
        <v>ㄣ</v>
      </c>
      <c r="P8692" s="1" t="s">
        <v>20</v>
      </c>
      <c r="R8692" s="1" t="s">
        <v>17542</v>
      </c>
      <c r="V8692" s="1" t="s">
        <v>17545</v>
      </c>
      <c r="AR8692" s="1" t="str">
        <f t="shared" si="546"/>
        <v>| [ㄒㄩㄣ](ㄒㄩㄣ.md) | [勛](勛.md) |  | xūn | [名]
功績、功勞。如：「屢建奇勛」。唐．高適〈燕歌行〉：「相看白刃血紛紛，死節從來豈顧勛！」 |</v>
      </c>
    </row>
    <row r="8693" spans="1:44" hidden="1">
      <c r="A8693" s="1" t="s">
        <v>12613</v>
      </c>
      <c r="C8693" s="1">
        <v>1</v>
      </c>
      <c r="D8693" s="1" t="str">
        <f>"07400"</f>
        <v>07400</v>
      </c>
      <c r="E8693" s="1" t="s">
        <v>37</v>
      </c>
      <c r="F8693" s="1">
        <v>13</v>
      </c>
      <c r="G8693" s="1">
        <v>9</v>
      </c>
      <c r="H8693" s="1">
        <v>2</v>
      </c>
      <c r="I8693" s="1" t="s">
        <v>17541</v>
      </c>
      <c r="K8693" s="1" t="str">
        <f t="shared" si="548"/>
        <v>ㄒ</v>
      </c>
      <c r="L8693" s="1" t="str">
        <f t="shared" si="549"/>
        <v>ㄩ</v>
      </c>
      <c r="M8693" s="1" t="str">
        <f t="shared" si="547"/>
        <v>ㄣ</v>
      </c>
      <c r="P8693" s="1" t="s">
        <v>20</v>
      </c>
      <c r="R8693" s="1" t="s">
        <v>17542</v>
      </c>
      <c r="V8693" s="1" t="s">
        <v>17546</v>
      </c>
      <c r="W8693" s="1" t="s">
        <v>17547</v>
      </c>
      <c r="AR8693" s="1" t="str">
        <f t="shared" si="546"/>
        <v>| [ㄒㄩㄣ](ㄒㄩㄣ.md) | [葷](葷.md) |  | xūn | 參見「葷粥」、「葷允」等條。 |</v>
      </c>
    </row>
    <row r="8694" spans="1:44" hidden="1">
      <c r="A8694" s="1" t="s">
        <v>17548</v>
      </c>
      <c r="C8694" s="1">
        <v>1</v>
      </c>
      <c r="D8694" s="1" t="str">
        <f>"07401"</f>
        <v>07401</v>
      </c>
      <c r="E8694" s="1" t="s">
        <v>1274</v>
      </c>
      <c r="F8694" s="1">
        <v>14</v>
      </c>
      <c r="G8694" s="1">
        <v>9</v>
      </c>
      <c r="H8694" s="1">
        <v>2</v>
      </c>
      <c r="I8694" s="1" t="s">
        <v>17541</v>
      </c>
      <c r="K8694" s="1" t="str">
        <f t="shared" si="548"/>
        <v>ㄒ</v>
      </c>
      <c r="L8694" s="1" t="str">
        <f t="shared" si="549"/>
        <v>ㄩ</v>
      </c>
      <c r="M8694" s="1" t="str">
        <f t="shared" si="547"/>
        <v>ㄣ</v>
      </c>
      <c r="P8694" s="1" t="s">
        <v>20</v>
      </c>
      <c r="R8694" s="1" t="s">
        <v>17542</v>
      </c>
      <c r="V8694" s="1" t="s">
        <v>17549</v>
      </c>
      <c r="W8694" s="1" t="s">
        <v>17550</v>
      </c>
      <c r="AR8694" s="1" t="str">
        <f t="shared" si="546"/>
        <v>| [ㄒㄩㄣ](ㄒㄩㄣ.md) | [窨](窨.md) |  | xūn | [動]
將茉莉花等放入茶葉中，使茶葉染上花的香味。同「熏」。 |</v>
      </c>
    </row>
    <row r="8695" spans="1:44" hidden="1">
      <c r="A8695" s="1" t="s">
        <v>17551</v>
      </c>
      <c r="C8695" s="1">
        <v>1</v>
      </c>
      <c r="D8695" s="1" t="str">
        <f>"07402"</f>
        <v>07402</v>
      </c>
      <c r="E8695" s="1" t="s">
        <v>336</v>
      </c>
      <c r="F8695" s="1">
        <v>14</v>
      </c>
      <c r="G8695" s="1">
        <v>10</v>
      </c>
      <c r="H8695" s="1">
        <v>1</v>
      </c>
      <c r="I8695" s="1" t="s">
        <v>17541</v>
      </c>
      <c r="K8695" s="1" t="str">
        <f t="shared" si="548"/>
        <v>ㄒ</v>
      </c>
      <c r="L8695" s="1" t="str">
        <f t="shared" si="549"/>
        <v>ㄩ</v>
      </c>
      <c r="M8695" s="1" t="str">
        <f t="shared" si="547"/>
        <v>ㄣ</v>
      </c>
      <c r="P8695" s="1" t="s">
        <v>20</v>
      </c>
      <c r="R8695" s="1" t="s">
        <v>17542</v>
      </c>
      <c r="V8695" s="1" t="s">
        <v>17552</v>
      </c>
      <c r="W8695" s="1" t="s">
        <v>17553</v>
      </c>
      <c r="AR8695" s="1" t="str">
        <f t="shared" si="546"/>
        <v>| [ㄒㄩㄣ](ㄒㄩㄣ.md) | [熏](熏.md) |  | xūn | [動]
1.煙火向上冒。《說文解字．屮部》：「熏，火煙上出也。」
2.用煙燻。《詩經．豳風．七月》：「穹窒熏鼠，塞向墐戶。」唐．李商隱〈無題〉詩四首之一：「蠟照半籠金翡翠，麝熏微度繡芙蓉。」
3.（煙、氣等）侵襲。如：「臭氣熏人」。《樂府詩集．卷六五．雜曲歌辭五．南朝宋．鮑照．苦熱行》：「瘴氣晝熏體，菵露夜霑衣。」唐．韓愈〈八月十五夜贈張功曹〉詩：「下床畏蛇食畏藥，海氣溼蟄熏腥臊。」
4.用香料塗身。唐．韓愈〈答呂毉山人書〉：「方將坐足下，三浴而三熏之。」
5.一種烹飪方法。以松枝、木炭、茶葉等的火煙燒烤食物，使其具有特殊的風味。如：「熏魚」。
[形]
暖和的。如：「熏風」。
[副]
和悅的。參見「熏熏」條。 |</v>
      </c>
    </row>
    <row r="8696" spans="1:44" hidden="1">
      <c r="A8696" s="1" t="s">
        <v>17473</v>
      </c>
      <c r="C8696" s="1">
        <v>1</v>
      </c>
      <c r="D8696" s="1" t="str">
        <f>"07403"</f>
        <v>07403</v>
      </c>
      <c r="E8696" s="1" t="s">
        <v>132</v>
      </c>
      <c r="F8696" s="1">
        <v>17</v>
      </c>
      <c r="G8696" s="1">
        <v>14</v>
      </c>
      <c r="H8696" s="1">
        <v>1</v>
      </c>
      <c r="I8696" s="1" t="s">
        <v>17541</v>
      </c>
      <c r="K8696" s="1" t="str">
        <f t="shared" si="548"/>
        <v>ㄒ</v>
      </c>
      <c r="L8696" s="1" t="str">
        <f t="shared" si="549"/>
        <v>ㄩ</v>
      </c>
      <c r="M8696" s="1" t="str">
        <f t="shared" si="547"/>
        <v>ㄣ</v>
      </c>
      <c r="P8696" s="1" t="s">
        <v>20</v>
      </c>
      <c r="R8696" s="1" t="s">
        <v>17542</v>
      </c>
      <c r="V8696" s="1" t="s">
        <v>17554</v>
      </c>
      <c r="W8696" s="1" t="s">
        <v>17555</v>
      </c>
      <c r="AR8696" s="1" t="str">
        <f t="shared" si="546"/>
        <v>| [ㄒㄩㄣ](ㄒㄩㄣ.md) | [壎](壎.md) |  | xūn | [名]
樂器名，吹管樂器。新石器時代已出土，形狀有橢圓形、管狀、魚形、蛙形、圓形等形狀不一，且音孔數多為一至五。今多為平底卵形，大小不一，吹孔在頂端，音孔數多為八至十一，雙手捧之而吹。以陶製為主，亦有石製、骨製，相傳為伏羲所創。《詩經．小雅．何人斯》：「伯氏吹壎，仲氏吹篪。」 |</v>
      </c>
    </row>
    <row r="8697" spans="1:44" hidden="1">
      <c r="A8697" s="1" t="s">
        <v>17556</v>
      </c>
      <c r="C8697" s="1">
        <v>1</v>
      </c>
      <c r="D8697" s="1" t="str">
        <f>"07404"</f>
        <v>07404</v>
      </c>
      <c r="E8697" s="1" t="s">
        <v>198</v>
      </c>
      <c r="F8697" s="1">
        <v>17</v>
      </c>
      <c r="G8697" s="1">
        <v>14</v>
      </c>
      <c r="H8697" s="1">
        <v>0</v>
      </c>
      <c r="I8697" s="1" t="s">
        <v>17541</v>
      </c>
      <c r="K8697" s="1" t="str">
        <f t="shared" si="548"/>
        <v>ㄒ</v>
      </c>
      <c r="L8697" s="1" t="str">
        <f t="shared" si="549"/>
        <v>ㄩ</v>
      </c>
      <c r="M8697" s="1" t="str">
        <f t="shared" si="547"/>
        <v>ㄣ</v>
      </c>
      <c r="P8697" s="1" t="s">
        <v>20</v>
      </c>
      <c r="R8697" s="1" t="s">
        <v>17542</v>
      </c>
      <c r="V8697" s="1" t="s">
        <v>17557</v>
      </c>
      <c r="AR8697" s="1" t="str">
        <f t="shared" si="546"/>
        <v>| [ㄒㄩㄣ](ㄒㄩㄣ.md) | [獯](獯.md) |  | xūn | 參見「獯鬻」條。 |</v>
      </c>
    </row>
    <row r="8698" spans="1:44" hidden="1">
      <c r="A8698" s="1" t="s">
        <v>17558</v>
      </c>
      <c r="C8698" s="1">
        <v>1</v>
      </c>
      <c r="D8698" s="1" t="str">
        <f>"07405"</f>
        <v>07405</v>
      </c>
      <c r="E8698" s="1" t="s">
        <v>336</v>
      </c>
      <c r="F8698" s="1">
        <v>18</v>
      </c>
      <c r="G8698" s="1">
        <v>14</v>
      </c>
      <c r="H8698" s="1">
        <v>0</v>
      </c>
      <c r="I8698" s="1" t="s">
        <v>17541</v>
      </c>
      <c r="K8698" s="1" t="str">
        <f t="shared" si="548"/>
        <v>ㄒ</v>
      </c>
      <c r="L8698" s="1" t="str">
        <f t="shared" si="549"/>
        <v>ㄩ</v>
      </c>
      <c r="M8698" s="1" t="str">
        <f t="shared" si="547"/>
        <v>ㄣ</v>
      </c>
      <c r="P8698" s="1" t="s">
        <v>20</v>
      </c>
      <c r="R8698" s="1" t="s">
        <v>17542</v>
      </c>
      <c r="V8698" s="1" t="s">
        <v>17559</v>
      </c>
      <c r="AR8698" s="1" t="str">
        <f t="shared" si="546"/>
        <v>| [ㄒㄩㄣ](ㄒㄩㄣ.md) | [燻](燻.md) |  | xūn | [動]
1.煙火向上升。同「熏」。如：「煙火燻天」。
2.以火煙熏物。漢．王充《論衡．命祿》：「越王翳逃山中，至誠不願自冀得代。越人燻其穴，遂不得免，彊立為君。」
3.一種烹飪方法。以松枝、木炭、茶葉等的火煙燒烤食物，使其具有特殊的風味。如：「燻肉」、「燻鴨」、「燻雞」、「燻魚」。 |</v>
      </c>
    </row>
    <row r="8699" spans="1:44" hidden="1">
      <c r="A8699" s="1" t="s">
        <v>17560</v>
      </c>
      <c r="C8699" s="1">
        <v>1</v>
      </c>
      <c r="D8699" s="1" t="str">
        <f>"07406"</f>
        <v>07406</v>
      </c>
      <c r="E8699" s="1" t="s">
        <v>37</v>
      </c>
      <c r="F8699" s="1">
        <v>18</v>
      </c>
      <c r="G8699" s="1">
        <v>14</v>
      </c>
      <c r="H8699" s="1">
        <v>0</v>
      </c>
      <c r="I8699" s="1" t="s">
        <v>17541</v>
      </c>
      <c r="K8699" s="1" t="str">
        <f t="shared" si="548"/>
        <v>ㄒ</v>
      </c>
      <c r="L8699" s="1" t="str">
        <f t="shared" si="549"/>
        <v>ㄩ</v>
      </c>
      <c r="M8699" s="1" t="str">
        <f t="shared" si="547"/>
        <v>ㄣ</v>
      </c>
      <c r="P8699" s="1" t="s">
        <v>20</v>
      </c>
      <c r="R8699" s="1" t="s">
        <v>17542</v>
      </c>
      <c r="V8699" s="1" t="s">
        <v>17561</v>
      </c>
      <c r="AR8699" s="1" t="str">
        <f t="shared" si="546"/>
        <v>| [ㄒㄩㄣ](ㄒㄩㄣ.md) | [薰](薰.md) |  | xūn | [名]_x000D_
1.植物名。報春科珍珠茉屬，「佩蘭」、「薰草」之古稱。參見「佩蘭」條。_x000D_
2.香氣。宋．歐陽修〈踏莎行．候館梅殘〉詞：「候館梅殘，溪橋柳細。草薰風暖搖征轡。」_x000D_
3.煙氣。晉．陸機〈演連珠〉詩五〇首之二四：「尋煙染芬，薰息猶芳。」_x000D_
[動]_x000D_
1.以火灼炙、燒灼。通「熏」。如：「薰魚」、「薰肉」、「利欲薰心」。晉．潘岳〈馬汧督誄〉：「將穿響作內焚穬火薰之，潛氐殲焉。」_x000D_
2.感染、感化。如：「薰陶」。唐．韓愈〈爭臣論〉：「晉之鄙人薰其德而善良者幾千人。」宋．程頤〈論經筵第一劄子〉：「今士大夫家善教弟子者，亦必延名德端方之士，與之居處，使之薰染成性。」_x000D_
3.教訓。《兒女英雄傳》第三〇回：「他那意思，想著要把乾綱振起來，薰她一薰。」_x000D_
[形]_x000D_
溫暖的、和煦的。唐．白居易〈首夏南池獨酌〉詩：「薰風自南至，吹我池上林。」 |</v>
      </c>
    </row>
    <row r="8700" spans="1:44" hidden="1">
      <c r="A8700" s="1" t="s">
        <v>17562</v>
      </c>
      <c r="C8700" s="1">
        <v>1</v>
      </c>
      <c r="D8700" s="1" t="str">
        <f>"07407"</f>
        <v>07407</v>
      </c>
      <c r="E8700" s="1" t="s">
        <v>646</v>
      </c>
      <c r="F8700" s="1">
        <v>18</v>
      </c>
      <c r="G8700" s="1">
        <v>14</v>
      </c>
      <c r="H8700" s="1">
        <v>0</v>
      </c>
      <c r="I8700" s="1" t="s">
        <v>17541</v>
      </c>
      <c r="K8700" s="1" t="str">
        <f t="shared" si="548"/>
        <v>ㄒ</v>
      </c>
      <c r="L8700" s="1" t="str">
        <f t="shared" si="549"/>
        <v>ㄩ</v>
      </c>
      <c r="M8700" s="1" t="str">
        <f t="shared" si="547"/>
        <v>ㄣ</v>
      </c>
      <c r="P8700" s="1" t="s">
        <v>20</v>
      </c>
      <c r="R8700" s="1" t="s">
        <v>17542</v>
      </c>
      <c r="V8700" s="1" t="s">
        <v>17563</v>
      </c>
      <c r="AR8700" s="1" t="str">
        <f t="shared" si="546"/>
        <v>| [ㄒㄩㄣ](ㄒㄩㄣ.md) | [曛](曛.md) |  | xūn | [名]
1.黃昏時刻。《玉篇．日部》：「曛，黃昏時。」南朝宋．鮑照〈行京口至竹里詩〉：「斯志逢凋嚴，孤遊值曛逼。」
2.日落的餘暉。唐．孫逖〈下京口埭夜行〉詩：「孤帆度綠氛，寒浦落紅曛。」
[形]
昏暗。唐．李華〈弔古戰場文〉：「黯兮慘悴，風悲日曛。」唐．高適〈別董大〉詩二首之一：「千里黃雲白日曛，北風吹雁雪紛紛。」 |</v>
      </c>
    </row>
    <row r="8701" spans="1:44" hidden="1">
      <c r="A8701" s="1" t="s">
        <v>17564</v>
      </c>
      <c r="C8701" s="1">
        <v>1</v>
      </c>
      <c r="D8701" s="1" t="str">
        <f>"07408"</f>
        <v>07408</v>
      </c>
      <c r="E8701" s="1" t="s">
        <v>68</v>
      </c>
      <c r="F8701" s="1">
        <v>18</v>
      </c>
      <c r="G8701" s="1">
        <v>14</v>
      </c>
      <c r="H8701" s="1">
        <v>0</v>
      </c>
      <c r="I8701" s="1" t="s">
        <v>17541</v>
      </c>
      <c r="K8701" s="1" t="str">
        <f t="shared" si="548"/>
        <v>ㄒ</v>
      </c>
      <c r="L8701" s="1" t="str">
        <f t="shared" si="549"/>
        <v>ㄩ</v>
      </c>
      <c r="M8701" s="1" t="str">
        <f t="shared" si="547"/>
        <v>ㄣ</v>
      </c>
      <c r="P8701" s="1" t="s">
        <v>20</v>
      </c>
      <c r="R8701" s="1" t="s">
        <v>17542</v>
      </c>
      <c r="V8701" s="1" t="s">
        <v>17565</v>
      </c>
      <c r="AR8701" s="1" t="str">
        <f t="shared" si="546"/>
        <v>| [ㄒㄩㄣ](ㄒㄩㄣ.md) | [臐](臐.md) |  | xūn | [名]
羊肉羹。《廣韻．去聲．問韻》：「臐，羊羹。」《儀禮．公食大夫禮》：「膷以東，臐膮牛炙。」漢．鄭玄．注：「膷、臐、膮，今時臛也。牛曰膷、羊曰臐、豕曰膮。」 |</v>
      </c>
    </row>
    <row r="8702" spans="1:44" hidden="1">
      <c r="A8702" s="1" t="s">
        <v>17566</v>
      </c>
      <c r="C8702" s="1">
        <v>1</v>
      </c>
      <c r="D8702" s="1" t="str">
        <f>"07409"</f>
        <v>07409</v>
      </c>
      <c r="E8702" s="1" t="s">
        <v>725</v>
      </c>
      <c r="F8702" s="1">
        <v>20</v>
      </c>
      <c r="G8702" s="1">
        <v>14</v>
      </c>
      <c r="H8702" s="1">
        <v>0</v>
      </c>
      <c r="I8702" s="1" t="s">
        <v>17541</v>
      </c>
      <c r="K8702" s="1" t="str">
        <f t="shared" si="548"/>
        <v>ㄒ</v>
      </c>
      <c r="L8702" s="1" t="str">
        <f t="shared" si="549"/>
        <v>ㄩ</v>
      </c>
      <c r="M8702" s="1" t="str">
        <f t="shared" si="547"/>
        <v>ㄣ</v>
      </c>
      <c r="P8702" s="1" t="s">
        <v>20</v>
      </c>
      <c r="R8702" s="1" t="s">
        <v>17542</v>
      </c>
      <c r="V8702" s="1" t="s">
        <v>17567</v>
      </c>
      <c r="AR8702" s="1" t="str">
        <f t="shared" si="546"/>
        <v>| [ㄒㄩㄣ](ㄒㄩㄣ.md) | [纁](纁.md) |  | xūn | [形]
淺紅色。《儀禮．士冠禮》：「服纁裳。」漢．鄭玄．注：「纁裳，淺絳裳，凡染絳一入謂之縓，再入謂之赬，三入謂之纁，朱則四入與。」
[名]
落日的餘暉。《楚辭．屈原．九章．思美人》：「指嶓冢之西隈兮，與纁黃以為期。」 |</v>
      </c>
    </row>
    <row r="8703" spans="1:44" hidden="1">
      <c r="A8703" s="1" t="s">
        <v>17568</v>
      </c>
      <c r="C8703" s="1">
        <v>1</v>
      </c>
      <c r="D8703" s="1" t="str">
        <f>"07410"</f>
        <v>07410</v>
      </c>
      <c r="E8703" s="1" t="s">
        <v>1462</v>
      </c>
      <c r="F8703" s="1">
        <v>21</v>
      </c>
      <c r="G8703" s="1">
        <v>14</v>
      </c>
      <c r="H8703" s="1">
        <v>0</v>
      </c>
      <c r="I8703" s="1" t="s">
        <v>17541</v>
      </c>
      <c r="K8703" s="1" t="str">
        <f t="shared" si="548"/>
        <v>ㄒ</v>
      </c>
      <c r="L8703" s="1" t="str">
        <f t="shared" si="549"/>
        <v>ㄩ</v>
      </c>
      <c r="M8703" s="1" t="str">
        <f t="shared" si="547"/>
        <v>ㄣ</v>
      </c>
      <c r="P8703" s="1" t="s">
        <v>20</v>
      </c>
      <c r="R8703" s="1" t="s">
        <v>17542</v>
      </c>
      <c r="V8703" s="1" t="s">
        <v>17569</v>
      </c>
      <c r="AR8703" s="1" t="str">
        <f t="shared" si="546"/>
        <v>| [ㄒㄩㄣ](ㄒㄩㄣ.md) | [醺](醺.md) |  | xūn | [動]
1.酒醉。如：「微醺」。唐．杜甫〈留別賈嚴二閣老兩院補闕〉詩：「去遠留詩別，愁多任酒醺。」
2.感染、暈染。如：「醺染」。宋．蔡伸〈臨江仙．昨夜中秋今夕望〉詞：「醉紅醺臉髻鬟偏。翠裙輕皺，端的為留仙。」 |</v>
      </c>
    </row>
    <row r="8704" spans="1:44" hidden="1">
      <c r="A8704" s="1" t="s">
        <v>17570</v>
      </c>
      <c r="C8704" s="1">
        <v>1</v>
      </c>
      <c r="D8704" s="1" t="str">
        <f>"07411"</f>
        <v>07411</v>
      </c>
      <c r="E8704" s="1" t="s">
        <v>646</v>
      </c>
      <c r="F8704" s="1">
        <v>6</v>
      </c>
      <c r="G8704" s="1">
        <v>2</v>
      </c>
      <c r="H8704" s="1">
        <v>0</v>
      </c>
      <c r="I8704" s="1" t="s">
        <v>17571</v>
      </c>
      <c r="K8704" s="1" t="str">
        <f t="shared" si="548"/>
        <v>ㄒ</v>
      </c>
      <c r="L8704" s="1" t="str">
        <f t="shared" si="549"/>
        <v>ㄩ</v>
      </c>
      <c r="M8704" s="1" t="str">
        <f t="shared" si="547"/>
        <v>ㄣ</v>
      </c>
      <c r="P8704" s="1" t="s">
        <v>20</v>
      </c>
      <c r="R8704" s="1" t="s">
        <v>17572</v>
      </c>
      <c r="V8704" s="1" t="s">
        <v>17573</v>
      </c>
      <c r="AR8704" s="1" t="str">
        <f t="shared" si="546"/>
        <v>| [ㄒㄩㄣˊ](ㄒㄩㄣˊ.md) | [旬](旬.md) |  | xún | [名]
1.十天。如：「一旬」、「上旬」、「下旬」。唐．柳宗元〈鈷鉧潭西小邱記〉：「不匝旬而得異地者二，雖古好事之士，或未能至焉。」
2.十年。如：「六旬」、「九旬老父」。唐．白居易〈偶吟自慰兼呈夢得〉詩：「且喜同年滿七旬，莫嫌衰病莫嫌貧。」
[形]
滿、足。《漢書．卷八四．翟方進傳》：「方進旬歲間免兩司隸，朝廷由是憚之。」《三國志．卷一一．魏書．涼茂傳》：「旬月之間，襁負而至者千餘家。」 |</v>
      </c>
    </row>
    <row r="8705" spans="1:44" hidden="1">
      <c r="A8705" s="1" t="s">
        <v>17574</v>
      </c>
      <c r="C8705" s="1">
        <v>1</v>
      </c>
      <c r="D8705" s="1" t="str">
        <f>"07412"</f>
        <v>07412</v>
      </c>
      <c r="E8705" s="1" t="s">
        <v>129</v>
      </c>
      <c r="F8705" s="1">
        <v>9</v>
      </c>
      <c r="G8705" s="1">
        <v>6</v>
      </c>
      <c r="H8705" s="1">
        <v>0</v>
      </c>
      <c r="I8705" s="1" t="s">
        <v>17571</v>
      </c>
      <c r="K8705" s="1" t="str">
        <f t="shared" si="548"/>
        <v>ㄒ</v>
      </c>
      <c r="L8705" s="1" t="str">
        <f t="shared" si="549"/>
        <v>ㄩ</v>
      </c>
      <c r="M8705" s="1" t="str">
        <f t="shared" si="547"/>
        <v>ㄣ</v>
      </c>
      <c r="P8705" s="1" t="s">
        <v>20</v>
      </c>
      <c r="R8705" s="1" t="s">
        <v>17572</v>
      </c>
      <c r="V8705" s="1" t="s">
        <v>17575</v>
      </c>
      <c r="AR8705" s="1" t="str">
        <f t="shared" si="546"/>
        <v>| [ㄒㄩㄣˊ](ㄒㄩㄣˊ.md) | [洵](洵.md) |  | xún | [名]
河川名。古代濄水的分支。約在今大陸地區山西省太原市境內。《爾雅．釋水》：「濄為洵。」晉．郭璞．注：「大水溢出別為小水之名。」
[形]
疏遠。《詩經．邶風．擊鼓》：「于嗟洵兮，不我信兮。」
[副]
真實、確實。如：「洵屬可貴」。《詩經．邶風．靜女》：「自牧歸荑，洵美且異。」唐．韓愈〈復志賦〉：「非夫子之洵美兮，吾何為乎浚之都。」 |</v>
      </c>
    </row>
    <row r="8706" spans="1:44" hidden="1">
      <c r="A8706" s="1" t="s">
        <v>17576</v>
      </c>
      <c r="C8706" s="1">
        <v>1</v>
      </c>
      <c r="D8706" s="1" t="str">
        <f>"07413"</f>
        <v>07413</v>
      </c>
      <c r="E8706" s="1" t="s">
        <v>250</v>
      </c>
      <c r="F8706" s="1">
        <v>9</v>
      </c>
      <c r="G8706" s="1">
        <v>6</v>
      </c>
      <c r="H8706" s="1">
        <v>0</v>
      </c>
      <c r="I8706" s="1" t="s">
        <v>17571</v>
      </c>
      <c r="K8706" s="1" t="str">
        <f t="shared" si="548"/>
        <v>ㄒ</v>
      </c>
      <c r="L8706" s="1" t="str">
        <f t="shared" si="549"/>
        <v>ㄩ</v>
      </c>
      <c r="M8706" s="1" t="str">
        <f t="shared" si="547"/>
        <v>ㄣ</v>
      </c>
      <c r="P8706" s="1" t="s">
        <v>20</v>
      </c>
      <c r="R8706" s="1" t="s">
        <v>17572</v>
      </c>
      <c r="V8706" s="1" t="s">
        <v>17577</v>
      </c>
      <c r="AR8706" s="1" t="str">
        <f t="shared" si="546"/>
        <v>| [ㄒㄩㄣˊ](ㄒㄩㄣˊ.md) | [恂](恂.md) |  | xún | [動]
1.相信、信任。《列子．周穆王》：「黃帝、孔丘孰辨之哉？且恂士師之言可也。」
2.恐懼、害怕。《莊子．齊物論》：「木處則惴慄恂懼，猿猴然乎哉？」
3.通暢、暢達。《莊子．知北遊》：「思慮恂達，耳目聰明。」
[副]
急猝。《莊子．徐无鬼》：「眾狙見之，恂然棄而走。」 |</v>
      </c>
    </row>
    <row r="8707" spans="1:44" hidden="1">
      <c r="A8707" s="1" t="s">
        <v>17578</v>
      </c>
      <c r="C8707" s="1">
        <v>1</v>
      </c>
      <c r="D8707" s="1" t="str">
        <f>"07414"</f>
        <v>07414</v>
      </c>
      <c r="E8707" s="1" t="s">
        <v>190</v>
      </c>
      <c r="F8707" s="1">
        <v>9</v>
      </c>
      <c r="G8707" s="1">
        <v>6</v>
      </c>
      <c r="H8707" s="1">
        <v>0</v>
      </c>
      <c r="I8707" s="1" t="s">
        <v>17571</v>
      </c>
      <c r="K8707" s="1" t="str">
        <f t="shared" si="548"/>
        <v>ㄒ</v>
      </c>
      <c r="L8707" s="1" t="str">
        <f t="shared" si="549"/>
        <v>ㄩ</v>
      </c>
      <c r="M8707" s="1" t="str">
        <f t="shared" si="547"/>
        <v>ㄣ</v>
      </c>
      <c r="P8707" s="1" t="s">
        <v>20</v>
      </c>
      <c r="R8707" s="1" t="s">
        <v>17572</v>
      </c>
      <c r="V8707" s="1" t="s">
        <v>8878</v>
      </c>
      <c r="AR8707" s="1" t="str">
        <f t="shared" ref="AR8707:AR8770" si="550">"| ["&amp;I8707&amp;"]("&amp;I8707&amp;".md) | ["&amp;A8707&amp;"]("&amp;A8707&amp;".md) | "&amp;" | "&amp;R8707&amp;" | "&amp;V8707&amp;" |"</f>
        <v>| [ㄒㄩㄣˊ](ㄒㄩㄣˊ.md) | [峋](峋.md) |  | xún | 參見「嶙峋」條。 |</v>
      </c>
    </row>
    <row r="8708" spans="1:44" hidden="1">
      <c r="A8708" s="1" t="s">
        <v>17579</v>
      </c>
      <c r="C8708" s="1">
        <v>1</v>
      </c>
      <c r="D8708" s="1" t="str">
        <f>"07415"</f>
        <v>07415</v>
      </c>
      <c r="E8708" s="1" t="s">
        <v>234</v>
      </c>
      <c r="F8708" s="1">
        <v>9</v>
      </c>
      <c r="G8708" s="1">
        <v>6</v>
      </c>
      <c r="H8708" s="1">
        <v>2</v>
      </c>
      <c r="I8708" s="1" t="s">
        <v>17571</v>
      </c>
      <c r="K8708" s="1" t="str">
        <f t="shared" si="548"/>
        <v>ㄒ</v>
      </c>
      <c r="L8708" s="1" t="str">
        <f t="shared" si="549"/>
        <v>ㄩ</v>
      </c>
      <c r="M8708" s="1" t="str">
        <f t="shared" si="547"/>
        <v>ㄣ</v>
      </c>
      <c r="P8708" s="1" t="s">
        <v>20</v>
      </c>
      <c r="R8708" s="1" t="s">
        <v>17572</v>
      </c>
      <c r="V8708" s="1" t="s">
        <v>17580</v>
      </c>
      <c r="W8708" s="1" t="s">
        <v>17581</v>
      </c>
      <c r="AR8708" s="1" t="str">
        <f t="shared" si="550"/>
        <v>| [ㄒㄩㄣˊ](ㄒㄩㄣˊ.md) | [徇](徇.md) |  | xún | [動]
1.使。《莊子．人間世》：「夫徇耳目內通而外於心知。」
2.營求、謀求。如：「徇私」。《史記．卷七．項羽本紀》：「今不恤士卒而徇其私，非社稷之臣。」 |</v>
      </c>
    </row>
    <row r="8709" spans="1:44" hidden="1">
      <c r="A8709" s="1" t="s">
        <v>17582</v>
      </c>
      <c r="C8709" s="1">
        <v>1</v>
      </c>
      <c r="D8709" s="1" t="str">
        <f>"07416"</f>
        <v>07416</v>
      </c>
      <c r="E8709" s="1" t="s">
        <v>256</v>
      </c>
      <c r="F8709" s="1">
        <v>9</v>
      </c>
      <c r="G8709" s="1">
        <v>6</v>
      </c>
      <c r="H8709" s="1">
        <v>2</v>
      </c>
      <c r="I8709" s="1" t="s">
        <v>17571</v>
      </c>
      <c r="K8709" s="1" t="str">
        <f t="shared" si="548"/>
        <v>ㄒ</v>
      </c>
      <c r="L8709" s="1" t="str">
        <f t="shared" si="549"/>
        <v>ㄩ</v>
      </c>
      <c r="M8709" s="1" t="str">
        <f t="shared" si="547"/>
        <v>ㄣ</v>
      </c>
      <c r="P8709" s="1" t="s">
        <v>20</v>
      </c>
      <c r="R8709" s="1" t="s">
        <v>17572</v>
      </c>
      <c r="V8709" s="1" t="s">
        <v>17583</v>
      </c>
      <c r="W8709" s="1" t="s">
        <v>17584</v>
      </c>
      <c r="AR8709" s="1" t="str">
        <f t="shared" si="550"/>
        <v>| [ㄒㄩㄣˊ](ㄒㄩㄣˊ.md) | [郇](郇.md) |  | xún | [名]
1.國名。周代諸侯國，姬姓，周文王子封於此。春秋時為晉所滅。故城約在今大陸地區山西省猗氏縣西南。
2.姓。如東漢時有郇越。 |</v>
      </c>
    </row>
    <row r="8710" spans="1:44" hidden="1">
      <c r="A8710" s="1" t="s">
        <v>17585</v>
      </c>
      <c r="C8710" s="1">
        <v>1</v>
      </c>
      <c r="D8710" s="1" t="str">
        <f>"07417"</f>
        <v>07417</v>
      </c>
      <c r="E8710" s="1" t="s">
        <v>142</v>
      </c>
      <c r="F8710" s="1">
        <v>10</v>
      </c>
      <c r="G8710" s="1">
        <v>6</v>
      </c>
      <c r="H8710" s="1">
        <v>0</v>
      </c>
      <c r="I8710" s="1" t="s">
        <v>17571</v>
      </c>
      <c r="K8710" s="1" t="str">
        <f t="shared" si="548"/>
        <v>ㄒ</v>
      </c>
      <c r="L8710" s="1" t="str">
        <f t="shared" si="549"/>
        <v>ㄩ</v>
      </c>
      <c r="M8710" s="1" t="str">
        <f t="shared" si="547"/>
        <v>ㄣ</v>
      </c>
      <c r="P8710" s="1" t="s">
        <v>20</v>
      </c>
      <c r="R8710" s="1" t="s">
        <v>17572</v>
      </c>
      <c r="V8710" s="1" t="s">
        <v>17586</v>
      </c>
      <c r="AR8710" s="1" t="str">
        <f t="shared" si="550"/>
        <v>| [ㄒㄩㄣˊ](ㄒㄩㄣˊ.md) | [珣](珣.md) |  | xún | [名]
一種玉石。《說文解字．玉部》：「珣，醫無閭珣玗綦，《周書》所謂夷玉也。」 |</v>
      </c>
    </row>
    <row r="8711" spans="1:44" hidden="1">
      <c r="A8711" s="1" t="s">
        <v>17587</v>
      </c>
      <c r="C8711" s="1">
        <v>1</v>
      </c>
      <c r="D8711" s="1" t="str">
        <f>"07418"</f>
        <v>07418</v>
      </c>
      <c r="E8711" s="1" t="s">
        <v>139</v>
      </c>
      <c r="F8711" s="1">
        <v>10</v>
      </c>
      <c r="G8711" s="1">
        <v>6</v>
      </c>
      <c r="H8711" s="1">
        <v>0</v>
      </c>
      <c r="I8711" s="1" t="s">
        <v>17571</v>
      </c>
      <c r="K8711" s="1" t="str">
        <f t="shared" si="548"/>
        <v>ㄒ</v>
      </c>
      <c r="L8711" s="1" t="str">
        <f t="shared" si="549"/>
        <v>ㄩ</v>
      </c>
      <c r="M8711" s="1" t="str">
        <f t="shared" si="547"/>
        <v>ㄣ</v>
      </c>
      <c r="P8711" s="1" t="s">
        <v>20</v>
      </c>
      <c r="R8711" s="1" t="s">
        <v>17572</v>
      </c>
      <c r="V8711" s="1" t="s">
        <v>17588</v>
      </c>
      <c r="AR8711" s="1" t="str">
        <f t="shared" si="550"/>
        <v>| [ㄒㄩㄣˊ](ㄒㄩㄣˊ.md) | [栒](栒.md) |  | xún | [名]
1.古代懸掛鐘、鼓、磬的架上橫木。參見「栒虡」條。
2.樹木的枝幹。《山海經．北山經》：「其木多栒，其草多芍藥、芎藭。」 |</v>
      </c>
    </row>
    <row r="8712" spans="1:44" hidden="1">
      <c r="A8712" s="1" t="s">
        <v>17589</v>
      </c>
      <c r="C8712" s="1">
        <v>1</v>
      </c>
      <c r="D8712" s="1" t="str">
        <f>"07419"</f>
        <v>07419</v>
      </c>
      <c r="E8712" s="1" t="s">
        <v>37</v>
      </c>
      <c r="F8712" s="1">
        <v>10</v>
      </c>
      <c r="G8712" s="1">
        <v>6</v>
      </c>
      <c r="H8712" s="1">
        <v>0</v>
      </c>
      <c r="I8712" s="1" t="s">
        <v>17571</v>
      </c>
      <c r="K8712" s="1" t="str">
        <f t="shared" si="548"/>
        <v>ㄒ</v>
      </c>
      <c r="L8712" s="1" t="str">
        <f t="shared" si="549"/>
        <v>ㄩ</v>
      </c>
      <c r="M8712" s="1" t="str">
        <f t="shared" si="547"/>
        <v>ㄣ</v>
      </c>
      <c r="P8712" s="1" t="s">
        <v>20</v>
      </c>
      <c r="R8712" s="1" t="s">
        <v>17572</v>
      </c>
      <c r="V8712" s="1" t="s">
        <v>17590</v>
      </c>
      <c r="AR8712" s="1" t="str">
        <f t="shared" si="550"/>
        <v>| [ㄒㄩㄣˊ](ㄒㄩㄣˊ.md) | [荀](荀.md) |  | xún | [名]
1.國名。周代諸侯國，春秋時為晉所滅，故城約在今大陸地區山西省新絳縣西。
2.一種草。也稱為「荀草」。《山海經．中山經》：「青要之山有草焉，其狀如葌，而方莖黃華赤實，其本如稿本，名曰荀草，服之美人色。」
3.姓。如戰國時趙國有荀況。 |</v>
      </c>
    </row>
    <row r="8713" spans="1:44" hidden="1">
      <c r="A8713" s="1" t="s">
        <v>17591</v>
      </c>
      <c r="C8713" s="1">
        <v>1</v>
      </c>
      <c r="D8713" s="1" t="str">
        <f>"07420"</f>
        <v>07420</v>
      </c>
      <c r="E8713" s="1" t="s">
        <v>331</v>
      </c>
      <c r="F8713" s="1">
        <v>13</v>
      </c>
      <c r="G8713" s="1">
        <v>6</v>
      </c>
      <c r="H8713" s="1">
        <v>0</v>
      </c>
      <c r="I8713" s="1" t="s">
        <v>17571</v>
      </c>
      <c r="K8713" s="1" t="str">
        <f t="shared" si="548"/>
        <v>ㄒ</v>
      </c>
      <c r="L8713" s="1" t="str">
        <f t="shared" si="549"/>
        <v>ㄩ</v>
      </c>
      <c r="M8713" s="1" t="str">
        <f t="shared" si="547"/>
        <v>ㄣ</v>
      </c>
      <c r="P8713" s="1" t="s">
        <v>20</v>
      </c>
      <c r="R8713" s="1" t="s">
        <v>17572</v>
      </c>
      <c r="V8713" s="1" t="s">
        <v>17592</v>
      </c>
      <c r="AR8713" s="1" t="str">
        <f t="shared" si="550"/>
        <v>| [ㄒㄩㄣˊ](ㄒㄩㄣˊ.md) | [詢](詢.md) |  | xún | [動]
查問、徵求意見。如：「諮詢」、「質詢」、「詢問」。《書經．舜典》：「詢于四岳。」《文選．張衡．東京賦》：「訪萬機，詢朝政。」 |</v>
      </c>
    </row>
    <row r="8714" spans="1:44" hidden="1">
      <c r="A8714" s="1" t="s">
        <v>17593</v>
      </c>
      <c r="C8714" s="1">
        <v>1</v>
      </c>
      <c r="D8714" s="1" t="str">
        <f>"07421"</f>
        <v>07421</v>
      </c>
      <c r="E8714" s="1" t="s">
        <v>558</v>
      </c>
      <c r="F8714" s="1">
        <v>7</v>
      </c>
      <c r="G8714" s="1">
        <v>3</v>
      </c>
      <c r="H8714" s="1">
        <v>0</v>
      </c>
      <c r="I8714" s="1" t="s">
        <v>17571</v>
      </c>
      <c r="K8714" s="1" t="str">
        <f t="shared" si="548"/>
        <v>ㄒ</v>
      </c>
      <c r="L8714" s="1" t="str">
        <f t="shared" si="549"/>
        <v>ㄩ</v>
      </c>
      <c r="M8714" s="1" t="str">
        <f t="shared" si="547"/>
        <v>ㄣ</v>
      </c>
      <c r="P8714" s="1" t="s">
        <v>20</v>
      </c>
      <c r="R8714" s="1" t="s">
        <v>17572</v>
      </c>
      <c r="V8714" s="1" t="s">
        <v>17594</v>
      </c>
      <c r="AR8714" s="1" t="str">
        <f t="shared" si="550"/>
        <v>| [ㄒㄩㄣˊ](ㄒㄩㄣˊ.md) | [巡](巡.md) |  | xún | [動]
往來查看。如：「巡視」、「巡察」。《左傳．襄公三十一年》：「諸侯兵至，甸設庭燎，僕人巡宮。」
[名]
量詞。計算酌酒奉客的單位。如：「酒過三巡」。《紅樓夢》第五四回：「你也去斟一巡酒，豈不好？」 |</v>
      </c>
    </row>
    <row r="8715" spans="1:44" hidden="1">
      <c r="A8715" s="1" t="s">
        <v>17595</v>
      </c>
      <c r="C8715" s="1">
        <v>1</v>
      </c>
      <c r="D8715" s="1" t="str">
        <f>"07422"</f>
        <v>07422</v>
      </c>
      <c r="E8715" s="1" t="s">
        <v>725</v>
      </c>
      <c r="F8715" s="1">
        <v>9</v>
      </c>
      <c r="G8715" s="1">
        <v>3</v>
      </c>
      <c r="H8715" s="1">
        <v>0</v>
      </c>
      <c r="I8715" s="1" t="s">
        <v>17571</v>
      </c>
      <c r="K8715" s="1" t="str">
        <f t="shared" si="548"/>
        <v>ㄒ</v>
      </c>
      <c r="L8715" s="1" t="str">
        <f t="shared" si="549"/>
        <v>ㄩ</v>
      </c>
      <c r="M8715" s="1" t="str">
        <f t="shared" si="547"/>
        <v>ㄣ</v>
      </c>
      <c r="P8715" s="1" t="s">
        <v>20</v>
      </c>
      <c r="R8715" s="1" t="s">
        <v>17572</v>
      </c>
      <c r="V8715" s="1" t="s">
        <v>17596</v>
      </c>
      <c r="AR8715" s="1" t="str">
        <f t="shared" si="550"/>
        <v>| [ㄒㄩㄣˊ](ㄒㄩㄣˊ.md) | [紃](紃.md) |  | xún | [名]
用彩色絲線編成的圓形繩帶。《說文解字．糸部》：「紃，圜采也。」清．段玉裁．注：「圜采，以采線辮之，其體圜也。」《禮記．內則》：「織紝組紃。」唐．孔穎達．正義：「組是綬也。然則薄闊為組，似繩者為紃。」 |</v>
      </c>
    </row>
    <row r="8716" spans="1:44" hidden="1">
      <c r="A8716" s="1" t="s">
        <v>17597</v>
      </c>
      <c r="C8716" s="1">
        <v>1</v>
      </c>
      <c r="D8716" s="1" t="str">
        <f>"07423"</f>
        <v>07423</v>
      </c>
      <c r="E8716" s="1" t="s">
        <v>319</v>
      </c>
      <c r="F8716" s="1">
        <v>13</v>
      </c>
      <c r="G8716" s="1">
        <v>3</v>
      </c>
      <c r="H8716" s="1">
        <v>1</v>
      </c>
      <c r="I8716" s="1" t="s">
        <v>17571</v>
      </c>
      <c r="K8716" s="1" t="str">
        <f t="shared" si="548"/>
        <v>ㄒ</v>
      </c>
      <c r="L8716" s="1" t="str">
        <f t="shared" si="549"/>
        <v>ㄩ</v>
      </c>
      <c r="M8716" s="1" t="str">
        <f t="shared" si="547"/>
        <v>ㄣ</v>
      </c>
      <c r="P8716" s="1" t="s">
        <v>20</v>
      </c>
      <c r="R8716" s="1" t="s">
        <v>17572</v>
      </c>
      <c r="V8716" s="1" t="s">
        <v>17598</v>
      </c>
      <c r="W8716" s="1" t="s">
        <v>17599</v>
      </c>
      <c r="AR8716" s="1" t="str">
        <f t="shared" si="550"/>
        <v>| [ㄒㄩㄣˊ](ㄒㄩㄣˊ.md) | [馴](馴.md) |  | xún | [動]_x000D_
1.馬順服。《說文解字．馬部》：「馴，馬順也。」《淮南子．說林》：「馬先馴而後求良。」_x000D_
2.使順服。如：「馴養」、「馴服」、「野性難馴」。漢．枚乘〈七發〉：「將為太子馴騏驥之馬，駕飛軨之輿。」唐．韓愈〈送惠師〉詩：「江魚不池活，野鳥難籠馴。」_x000D_
[形]_x000D_
1.順服的、溫和的。如：「溫馴」、「桀驁不馴」。宋．蘇軾〈放鶴亭記〉：「山人有二鶴，甚馴而善飛。」_x000D_
2.善良的。《漢書．卷四六．萬石衞直周張傳．萬石君石奮》：「以馴行孝謹，官至二千石。」_x000D_
[副]_x000D_
逐漸、漸進。《易經．坤卦》：「《象》曰：馴致其道，至堅冰也。」《宋史．卷三五七．列傳．譚世勣》：「小惡不懲，將馴至大患。」 |</v>
      </c>
    </row>
    <row r="8717" spans="1:44" hidden="1">
      <c r="A8717" s="1" t="s">
        <v>17600</v>
      </c>
      <c r="C8717" s="1">
        <v>1</v>
      </c>
      <c r="D8717" s="1" t="str">
        <f>"07424"</f>
        <v>07424</v>
      </c>
      <c r="E8717" s="1" t="s">
        <v>234</v>
      </c>
      <c r="F8717" s="1">
        <v>12</v>
      </c>
      <c r="G8717" s="1">
        <v>9</v>
      </c>
      <c r="H8717" s="1">
        <v>0</v>
      </c>
      <c r="I8717" s="1" t="s">
        <v>17571</v>
      </c>
      <c r="K8717" s="1" t="str">
        <f t="shared" si="548"/>
        <v>ㄒ</v>
      </c>
      <c r="L8717" s="1" t="str">
        <f t="shared" si="549"/>
        <v>ㄩ</v>
      </c>
      <c r="M8717" s="1" t="str">
        <f t="shared" si="547"/>
        <v>ㄣ</v>
      </c>
      <c r="P8717" s="1" t="s">
        <v>20</v>
      </c>
      <c r="R8717" s="1" t="s">
        <v>17572</v>
      </c>
      <c r="V8717" s="1" t="s">
        <v>17601</v>
      </c>
      <c r="AR8717" s="1" t="str">
        <f t="shared" si="550"/>
        <v>| [ㄒㄩㄣˊ](ㄒㄩㄣˊ.md) | [循](循.md) |  | xún | [動]
1.沿著、順著。《左傳．昭公七年》：「循牆而走。」《淮南子．本經》：「五星循軌而不失其行。」
2.遵守、依照。如：「依循」、「循規蹈矩」。《禮記．射義》：「卿大夫循法為節。」
3.撫摩。《韓非子．說林下》：「其一人舉踶馬，其一人從後而循之，三撫其尻而馬不踶。」《漢書．卷五四．李廣傳》：「數數自循其刀環，握其足。」
4.巡視。通「巡」。《墨子．迎敵祠》：「縣師受事，出葆，循溝防。」《禮記．月令》：「循行國邑，周視原野。」
[形]
善良守法的。如：「循吏」。
[副]
逐漸、漸漸。如：「循循善誘」。《聊齋志異．卷一．青鳳》：「蓋循循善教，有師範焉。」
[名]
姓。如南朝時梁有循景智。 |</v>
      </c>
    </row>
    <row r="8718" spans="1:44" hidden="1">
      <c r="A8718" s="1" t="s">
        <v>17009</v>
      </c>
      <c r="C8718" s="1">
        <v>1</v>
      </c>
      <c r="D8718" s="1" t="str">
        <f>"07425"</f>
        <v>07425</v>
      </c>
      <c r="E8718" s="1" t="s">
        <v>1595</v>
      </c>
      <c r="F8718" s="1">
        <v>12</v>
      </c>
      <c r="G8718" s="1">
        <v>9</v>
      </c>
      <c r="H8718" s="1">
        <v>1</v>
      </c>
      <c r="I8718" s="1" t="s">
        <v>17571</v>
      </c>
      <c r="K8718" s="1" t="str">
        <f t="shared" si="548"/>
        <v>ㄒ</v>
      </c>
      <c r="L8718" s="1" t="str">
        <f t="shared" si="549"/>
        <v>ㄩ</v>
      </c>
      <c r="M8718" s="1" t="str">
        <f t="shared" si="547"/>
        <v>ㄣ</v>
      </c>
      <c r="P8718" s="1" t="s">
        <v>20</v>
      </c>
      <c r="R8718" s="1" t="s">
        <v>17572</v>
      </c>
      <c r="V8718" s="1" t="s">
        <v>17602</v>
      </c>
      <c r="W8718" s="1" t="s">
        <v>17603</v>
      </c>
      <c r="AR8718" s="1" t="str">
        <f t="shared" si="550"/>
        <v>| [ㄒㄩㄣˊ](ㄒㄩㄣˊ.md) | [尋](尋.md) |  | xún | [名]
1.古代八尺稱為「一尋」。《詩經．魯頌．閟宮》：「是斷是度，是尋是尺。」宋．文天祥〈正氣歌〉：「室廣八尺，深可四尋。」
2.姓。如晉代有尋會。
[動]
1.找、探求。如：「找尋」。唐．韋應物〈寄全椒山中道士〉詩：「落葉滿空山，何處尋行跡。」
2.接續、繼續。《文選．向秀．思舊賦》：「聽鳴笛之慷慨兮，妙聲絕而復尋。」《梁書．卷三三．劉孝綽傳》：「殿下降情白屋，存問相尋。」
3.攀爬、攀緣。《文選．張衡．西京賦》：「烏獲扛鼎，都盧尋橦。」
4.動用、使用。《左傳．昭公元年》：「日尋干戈，以相征討。」《孔子家語．卷三．觀周》：「毫末不扎，將尋斧柯。」
5.重溫、重申。《左傳．哀公十二年》：「若可尋也，亦可寒也。」宋．王禹偁〈答黃宗旦書〉：「生復辱書惠文，以尋前好。」
[副]
1.經常、時常。唐．杜甫〈江南逢李龜年〉詩：「岐王宅裡尋常見，崔九堂前幾度聞。」
2.不久、隨即。《樂府詩集．卷七三．雜曲歌辭十三．古辭．焦仲卿妻》：「媒人去數日，尋遣丞請還。」《文選．李密．陳情表》：「尋蒙國恩，除臣洗馬。」
3.普通、一般。唐．劉禹錫〈烏衣巷〉詩：「舊時王謝堂前燕，飛入尋常百姓家。」唐．白居易〈新樂府．繚綾〉：「繚綾織成費功績，莫比尋常繒與帛。」 |</v>
      </c>
    </row>
    <row r="8719" spans="1:44" hidden="1">
      <c r="A8719" s="1" t="s">
        <v>17604</v>
      </c>
      <c r="C8719" s="1">
        <v>1</v>
      </c>
      <c r="D8719" s="1" t="str">
        <f>"07426"</f>
        <v>07426</v>
      </c>
      <c r="E8719" s="1" t="s">
        <v>129</v>
      </c>
      <c r="F8719" s="1">
        <v>15</v>
      </c>
      <c r="G8719" s="1">
        <v>12</v>
      </c>
      <c r="H8719" s="1">
        <v>0</v>
      </c>
      <c r="I8719" s="1" t="s">
        <v>17571</v>
      </c>
      <c r="K8719" s="1" t="str">
        <f t="shared" si="548"/>
        <v>ㄒ</v>
      </c>
      <c r="L8719" s="1" t="str">
        <f t="shared" si="549"/>
        <v>ㄩ</v>
      </c>
      <c r="M8719" s="1" t="str">
        <f t="shared" si="547"/>
        <v>ㄣ</v>
      </c>
      <c r="P8719" s="1" t="s">
        <v>20</v>
      </c>
      <c r="R8719" s="1" t="s">
        <v>17572</v>
      </c>
      <c r="V8719" s="1" t="s">
        <v>17605</v>
      </c>
      <c r="AR8719" s="1" t="str">
        <f t="shared" si="550"/>
        <v>| [ㄒㄩㄣˊ](ㄒㄩㄣˊ.md) | [潯](潯.md) |  | xún | [名]
1.水邊。《淮南子．原道》：「游於江潯海裔，馳要褭，建翠蓋。」唐．杜甫〈風疾舟中伏枕書懷三十六韻奉呈湖南親友〉詩：「城府開青旭，松筠起碧潯。」
2.大陸地區江西省九江縣的別稱。如：「南潯鐵路」。 |</v>
      </c>
    </row>
    <row r="8720" spans="1:44" hidden="1">
      <c r="A8720" s="1" t="s">
        <v>17606</v>
      </c>
      <c r="C8720" s="1">
        <v>1</v>
      </c>
      <c r="D8720" s="1" t="str">
        <f>"07427"</f>
        <v>07427</v>
      </c>
      <c r="E8720" s="1" t="s">
        <v>24</v>
      </c>
      <c r="F8720" s="1">
        <v>15</v>
      </c>
      <c r="G8720" s="1">
        <v>12</v>
      </c>
      <c r="H8720" s="1">
        <v>0</v>
      </c>
      <c r="I8720" s="1" t="s">
        <v>17571</v>
      </c>
      <c r="K8720" s="1" t="str">
        <f t="shared" si="548"/>
        <v>ㄒ</v>
      </c>
      <c r="L8720" s="1" t="str">
        <f t="shared" si="549"/>
        <v>ㄩ</v>
      </c>
      <c r="M8720" s="1" t="str">
        <f t="shared" si="547"/>
        <v>ㄣ</v>
      </c>
      <c r="P8720" s="1" t="s">
        <v>20</v>
      </c>
      <c r="R8720" s="1" t="s">
        <v>17572</v>
      </c>
      <c r="V8720" s="1" t="s">
        <v>17607</v>
      </c>
      <c r="AR8720" s="1" t="str">
        <f t="shared" si="550"/>
        <v>| [ㄒㄩㄣˊ](ㄒㄩㄣˊ.md) | [撏](撏.md) |  | xún | [動]
拉扯、拔取。如：「撏毛」、「撏綿扯絮」。唐．賈島〈原居即事言懷贈孫員外〉詩：「鑷撏白髮斷，兵阻尺書傳。」 |</v>
      </c>
    </row>
    <row r="8721" spans="1:44" hidden="1">
      <c r="A8721" s="1" t="s">
        <v>17608</v>
      </c>
      <c r="C8721" s="1">
        <v>1</v>
      </c>
      <c r="D8721" s="1" t="str">
        <f>"07428"</f>
        <v>07428</v>
      </c>
      <c r="E8721" s="1" t="s">
        <v>28</v>
      </c>
      <c r="F8721" s="1">
        <v>15</v>
      </c>
      <c r="G8721" s="1">
        <v>12</v>
      </c>
      <c r="H8721" s="1">
        <v>0</v>
      </c>
      <c r="I8721" s="1" t="s">
        <v>17571</v>
      </c>
      <c r="K8721" s="1" t="str">
        <f t="shared" si="548"/>
        <v>ㄒ</v>
      </c>
      <c r="L8721" s="1" t="str">
        <f t="shared" si="549"/>
        <v>ㄩ</v>
      </c>
      <c r="M8721" s="1" t="str">
        <f t="shared" si="547"/>
        <v>ㄣ</v>
      </c>
      <c r="P8721" s="1" t="s">
        <v>20</v>
      </c>
      <c r="R8721" s="1" t="s">
        <v>17572</v>
      </c>
      <c r="V8721" s="1" t="s">
        <v>17609</v>
      </c>
      <c r="AR8721" s="1" t="str">
        <f t="shared" si="550"/>
        <v>| [ㄒㄩㄣˊ](ㄒㄩㄣˊ.md) | [噚](噚.md) |  | xún | [名]
量詞。英制的長度單位，其英文原名為fathom，通常用於測量水深。一噚等於六英尺，合一點八二八八米（公尺）。 |</v>
      </c>
    </row>
    <row r="8722" spans="1:44" hidden="1">
      <c r="A8722" s="1" t="s">
        <v>17610</v>
      </c>
      <c r="C8722" s="1">
        <v>1</v>
      </c>
      <c r="D8722" s="1" t="str">
        <f>"07429"</f>
        <v>07429</v>
      </c>
      <c r="E8722" s="1" t="s">
        <v>336</v>
      </c>
      <c r="F8722" s="1">
        <v>16</v>
      </c>
      <c r="G8722" s="1">
        <v>12</v>
      </c>
      <c r="H8722" s="1">
        <v>0</v>
      </c>
      <c r="I8722" s="1" t="s">
        <v>17571</v>
      </c>
      <c r="K8722" s="1" t="str">
        <f t="shared" si="548"/>
        <v>ㄒ</v>
      </c>
      <c r="L8722" s="1" t="str">
        <f t="shared" si="549"/>
        <v>ㄩ</v>
      </c>
      <c r="M8722" s="1" t="str">
        <f t="shared" si="547"/>
        <v>ㄣ</v>
      </c>
      <c r="P8722" s="1" t="s">
        <v>20</v>
      </c>
      <c r="R8722" s="1" t="s">
        <v>17572</v>
      </c>
      <c r="V8722" s="1" t="s">
        <v>17611</v>
      </c>
      <c r="AR8722" s="1" t="str">
        <f t="shared" si="550"/>
        <v>| [ㄒㄩㄣˊ](ㄒㄩㄣˊ.md) | [燖](燖.md) |  | xún | [動]
1.將冷卻的熟食溫熱。通「燅」。《集韻．平聲．侵韻》：「燂，火孰物。或作燖、燅。」
2.將肉沉於湯中。《集韻．平聲．鹽韻》：「燖，沉肉於湯也。」宋．沈括《夢溪筆談．卷三．辯證一》：「祭禮有腥、燖、熟三獻。」
3.以熱水燙後去毛。如：「揚湯燖毛」。北魏．酈道元《水經注．溳水注》：「溫水出竟陵之新陽縣東澤中……其熱可以燖雞。」 |</v>
      </c>
    </row>
    <row r="8723" spans="1:44" hidden="1">
      <c r="A8723" s="1" t="s">
        <v>6259</v>
      </c>
      <c r="C8723" s="1">
        <v>1</v>
      </c>
      <c r="D8723" s="1" t="str">
        <f>"07430"</f>
        <v>07430</v>
      </c>
      <c r="E8723" s="1" t="s">
        <v>37</v>
      </c>
      <c r="F8723" s="1">
        <v>16</v>
      </c>
      <c r="G8723" s="1">
        <v>12</v>
      </c>
      <c r="H8723" s="1">
        <v>2</v>
      </c>
      <c r="I8723" s="1" t="s">
        <v>17571</v>
      </c>
      <c r="K8723" s="1" t="str">
        <f t="shared" si="548"/>
        <v>ㄒ</v>
      </c>
      <c r="L8723" s="1" t="str">
        <f t="shared" si="549"/>
        <v>ㄩ</v>
      </c>
      <c r="M8723" s="1" t="str">
        <f t="shared" si="547"/>
        <v>ㄣ</v>
      </c>
      <c r="P8723" s="1" t="s">
        <v>20</v>
      </c>
      <c r="R8723" s="1" t="s">
        <v>17572</v>
      </c>
      <c r="V8723" s="1" t="s">
        <v>17612</v>
      </c>
      <c r="W8723" s="1" t="s">
        <v>17613</v>
      </c>
      <c r="AR8723" s="1" t="str">
        <f t="shared" si="550"/>
        <v>| [ㄒㄩㄣˊ](ㄒㄩㄣˊ.md) | [蕁](蕁.md) |  | xún | 參見「蕁麻」條。 |</v>
      </c>
    </row>
    <row r="8724" spans="1:44" hidden="1">
      <c r="A8724" s="1" t="s">
        <v>17614</v>
      </c>
      <c r="C8724" s="1">
        <v>1</v>
      </c>
      <c r="D8724" s="1" t="str">
        <f>"07431"</f>
        <v>07431</v>
      </c>
      <c r="E8724" s="1" t="s">
        <v>679</v>
      </c>
      <c r="F8724" s="1">
        <v>18</v>
      </c>
      <c r="G8724" s="1">
        <v>12</v>
      </c>
      <c r="H8724" s="1">
        <v>0</v>
      </c>
      <c r="I8724" s="1" t="s">
        <v>17571</v>
      </c>
      <c r="K8724" s="1" t="str">
        <f t="shared" si="548"/>
        <v>ㄒ</v>
      </c>
      <c r="L8724" s="1" t="str">
        <f t="shared" si="549"/>
        <v>ㄩ</v>
      </c>
      <c r="M8724" s="1" t="str">
        <f t="shared" si="547"/>
        <v>ㄣ</v>
      </c>
      <c r="P8724" s="1" t="s">
        <v>20</v>
      </c>
      <c r="R8724" s="1" t="s">
        <v>17572</v>
      </c>
      <c r="V8724" s="1" t="s">
        <v>17615</v>
      </c>
      <c r="AR8724" s="1" t="str">
        <f t="shared" si="550"/>
        <v>| [ㄒㄩㄣˊ](ㄒㄩㄣˊ.md) | [蟳](蟳.md) |  | xún | [名]
動物名。甲殼綱十足目。頭胸甲橫卵圓形，表面隆起，前側緣左右各有六顆銳齒。螯足強大，足上各節背、腹緣均具有剛毛，第四對足扁平似槳，適於游泳。腹部密被著軟毛。棲息於水草、泥沙的淺海海底，或潛伏於石頭下。分布於韓國、日本與大陸地區沿海。可供食用。 |</v>
      </c>
    </row>
    <row r="8725" spans="1:44" hidden="1">
      <c r="A8725" s="1" t="s">
        <v>17616</v>
      </c>
      <c r="C8725" s="1">
        <v>1</v>
      </c>
      <c r="D8725" s="1" t="str">
        <f>"07432"</f>
        <v>07432</v>
      </c>
      <c r="E8725" s="1" t="s">
        <v>156</v>
      </c>
      <c r="F8725" s="1">
        <v>23</v>
      </c>
      <c r="G8725" s="1">
        <v>12</v>
      </c>
      <c r="H8725" s="1">
        <v>0</v>
      </c>
      <c r="I8725" s="1" t="s">
        <v>17571</v>
      </c>
      <c r="K8725" s="1" t="str">
        <f t="shared" si="548"/>
        <v>ㄒ</v>
      </c>
      <c r="L8725" s="1" t="str">
        <f t="shared" si="549"/>
        <v>ㄩ</v>
      </c>
      <c r="M8725" s="1" t="str">
        <f t="shared" si="547"/>
        <v>ㄣ</v>
      </c>
      <c r="P8725" s="1" t="s">
        <v>20</v>
      </c>
      <c r="R8725" s="1" t="s">
        <v>17572</v>
      </c>
      <c r="V8725" s="1" t="s">
        <v>17617</v>
      </c>
      <c r="AR8725" s="1" t="str">
        <f t="shared" si="550"/>
        <v>| [ㄒㄩㄣˊ](ㄒㄩㄣˊ.md) | [鱘](鱘.md) |  | xún | [名]
動物名。脊椎動物亞門硬骨魚綱鱘目。體長呈紡綞形，體色青黃，腹白，體上有五列縱行骨板。口小，嘴尖長，下有觸鬚四根，用於探物。左右鰓膜不相連，尾鰭上大而下小。生活於淡水或江河近海處，夏季繁殖時溯至河流上游產卵。肉可食，卵可製成魚子醬，鰾可做魚膠，為重要的經濟性魚類。大陸地區有長江鱘、中國鱘、東北鱘等三種。 |</v>
      </c>
    </row>
    <row r="8726" spans="1:44" hidden="1">
      <c r="A8726" s="1" t="s">
        <v>17618</v>
      </c>
      <c r="C8726" s="1">
        <v>1</v>
      </c>
      <c r="D8726" s="1" t="str">
        <f>"07433"</f>
        <v>07433</v>
      </c>
      <c r="E8726" s="1" t="s">
        <v>286</v>
      </c>
      <c r="F8726" s="1">
        <v>3</v>
      </c>
      <c r="G8726" s="1">
        <v>1</v>
      </c>
      <c r="H8726" s="1">
        <v>0</v>
      </c>
      <c r="I8726" s="1" t="s">
        <v>17619</v>
      </c>
      <c r="K8726" s="1" t="str">
        <f t="shared" si="548"/>
        <v>ㄒ</v>
      </c>
      <c r="L8726" s="1" t="str">
        <f t="shared" si="549"/>
        <v>ㄩ</v>
      </c>
      <c r="M8726" s="1" t="str">
        <f t="shared" si="547"/>
        <v>ㄣ</v>
      </c>
      <c r="P8726" s="1" t="s">
        <v>20</v>
      </c>
      <c r="R8726" s="1" t="s">
        <v>17620</v>
      </c>
      <c r="V8726" s="1" t="s">
        <v>17621</v>
      </c>
      <c r="AR8726" s="1" t="str">
        <f t="shared" si="550"/>
        <v>| [ㄒㄩㄣˋ](ㄒㄩㄣˋ.md) | [卂](卂.md) |  | xùn | [動]
快速飛行。《說文解字．卂部》：「卂，疾飛也。」 |</v>
      </c>
    </row>
    <row r="8727" spans="1:44" hidden="1">
      <c r="A8727" s="1" t="s">
        <v>17622</v>
      </c>
      <c r="C8727" s="1">
        <v>1</v>
      </c>
      <c r="D8727" s="1" t="str">
        <f>"07434"</f>
        <v>07434</v>
      </c>
      <c r="E8727" s="1" t="s">
        <v>129</v>
      </c>
      <c r="F8727" s="1">
        <v>6</v>
      </c>
      <c r="G8727" s="1">
        <v>3</v>
      </c>
      <c r="H8727" s="1">
        <v>0</v>
      </c>
      <c r="I8727" s="1" t="s">
        <v>17619</v>
      </c>
      <c r="K8727" s="1" t="str">
        <f t="shared" si="548"/>
        <v>ㄒ</v>
      </c>
      <c r="L8727" s="1" t="str">
        <f t="shared" si="549"/>
        <v>ㄩ</v>
      </c>
      <c r="M8727" s="1" t="str">
        <f t="shared" si="547"/>
        <v>ㄣ</v>
      </c>
      <c r="P8727" s="1" t="s">
        <v>20</v>
      </c>
      <c r="R8727" s="1" t="s">
        <v>17620</v>
      </c>
      <c r="V8727" s="1" t="s">
        <v>17623</v>
      </c>
      <c r="AR8727" s="1" t="str">
        <f t="shared" si="550"/>
        <v>| [ㄒㄩㄣˋ](ㄒㄩㄣˋ.md) | [汛](汛.md) |  | xùn | [動]
灑。如：「汛掃」。《說文解字．水部》：「汛，灑也。」《文選．揚雄．劇秦美新》：「況盡汛掃前聖數千載功業，專用己之私，而能享祐者哉！」
[名]
1.河流江海定期的漲水。如：「潮汛」、「秋汛」、「桃花汛」。《老殘遊記》第一三回：「大汛到咧！大汛到咧！」
2.婦女的月經。如：「月汛」、「天癸汛」。 |</v>
      </c>
    </row>
    <row r="8728" spans="1:44" hidden="1">
      <c r="A8728" s="1" t="s">
        <v>17624</v>
      </c>
      <c r="C8728" s="1">
        <v>1</v>
      </c>
      <c r="D8728" s="1" t="str">
        <f>"07435"</f>
        <v>07435</v>
      </c>
      <c r="E8728" s="1" t="s">
        <v>558</v>
      </c>
      <c r="F8728" s="1">
        <v>7</v>
      </c>
      <c r="G8728" s="1">
        <v>3</v>
      </c>
      <c r="H8728" s="1">
        <v>0</v>
      </c>
      <c r="I8728" s="1" t="s">
        <v>17619</v>
      </c>
      <c r="K8728" s="1" t="str">
        <f t="shared" si="548"/>
        <v>ㄒ</v>
      </c>
      <c r="L8728" s="1" t="str">
        <f t="shared" si="549"/>
        <v>ㄩ</v>
      </c>
      <c r="M8728" s="1" t="str">
        <f t="shared" si="547"/>
        <v>ㄣ</v>
      </c>
      <c r="P8728" s="1" t="s">
        <v>20</v>
      </c>
      <c r="R8728" s="1" t="s">
        <v>17620</v>
      </c>
      <c r="V8728" s="1" t="s">
        <v>17625</v>
      </c>
      <c r="AR8728" s="1" t="str">
        <f t="shared" si="550"/>
        <v>| [ㄒㄩㄣˋ](ㄒㄩㄣˋ.md) | [迅](迅.md) |  | xùn | [形]
快速的。如：「迅風」、「迅速」。《論語．鄉黨》：「有盛饌必變色而作，迅雷風烈必變。」
[副]
快速的。如：「迅駛」。《漢書．卷二九．溝洫志》：「河湯湯兮激潺湲，北渡回兮迅流難。」 |</v>
      </c>
    </row>
    <row r="8729" spans="1:44" hidden="1">
      <c r="A8729" s="1" t="s">
        <v>17626</v>
      </c>
      <c r="C8729" s="1">
        <v>1</v>
      </c>
      <c r="D8729" s="1" t="str">
        <f>"07436"</f>
        <v>07436</v>
      </c>
      <c r="E8729" s="1" t="s">
        <v>331</v>
      </c>
      <c r="F8729" s="1">
        <v>10</v>
      </c>
      <c r="G8729" s="1">
        <v>3</v>
      </c>
      <c r="H8729" s="1">
        <v>0</v>
      </c>
      <c r="I8729" s="1" t="s">
        <v>17619</v>
      </c>
      <c r="K8729" s="1" t="str">
        <f t="shared" si="548"/>
        <v>ㄒ</v>
      </c>
      <c r="L8729" s="1" t="str">
        <f t="shared" si="549"/>
        <v>ㄩ</v>
      </c>
      <c r="M8729" s="1" t="str">
        <f t="shared" si="547"/>
        <v>ㄣ</v>
      </c>
      <c r="P8729" s="1" t="s">
        <v>20</v>
      </c>
      <c r="R8729" s="1" t="s">
        <v>17620</v>
      </c>
      <c r="V8729" s="1" t="s">
        <v>17627</v>
      </c>
      <c r="AR8729" s="1" t="str">
        <f t="shared" si="550"/>
        <v>| [ㄒㄩㄣˋ](ㄒㄩㄣˋ.md) | [訊](訊.md) |  | xùn | [動]
1.詢問。《說文解字．言部》：「訊，問也。」《詩經．小雅．正月》：「召彼故老，訊之占夢。」《文選．陸機．文賦》：「其始也，皆收視反聽，耽思傍訊。」
2.審問。如：「審訊」、「偵訊」。《莊子．列禦寇》：「宵人之離外刑者，金木訊之。」《文選．鄒陽．獄中上書自明》：「左右不明，卒從吏訊，為世所疑。」
3.責問、指責。《國語．吳語》：「吳王還自伐齊，乃訊申胥。」
4.諫告、告訴。《詩經．陳風．墓門》：「夫也不良，歌以訊之。」三國魏．嵇康〈四言贈兄秀才入軍〉詩一八章之一一：「仰訊高雲，俯託輕波。」
[名]
消息、信息。如：「喜訊」、「問訊」。唐．元稹〈酬樂天早春閑遊西湖〉詩：「故交音訊少，歸夢往來頻。」 |</v>
      </c>
    </row>
    <row r="8730" spans="1:44" hidden="1">
      <c r="A8730" s="1" t="s">
        <v>17628</v>
      </c>
      <c r="C8730" s="1">
        <v>1</v>
      </c>
      <c r="D8730" s="1" t="str">
        <f>"07437"</f>
        <v>07437</v>
      </c>
      <c r="E8730" s="1" t="s">
        <v>114</v>
      </c>
      <c r="F8730" s="1">
        <v>8</v>
      </c>
      <c r="G8730" s="1">
        <v>6</v>
      </c>
      <c r="H8730" s="1">
        <v>0</v>
      </c>
      <c r="I8730" s="1" t="s">
        <v>17619</v>
      </c>
      <c r="K8730" s="1" t="str">
        <f t="shared" si="548"/>
        <v>ㄒ</v>
      </c>
      <c r="L8730" s="1" t="str">
        <f t="shared" si="549"/>
        <v>ㄩ</v>
      </c>
      <c r="M8730" s="1" t="str">
        <f t="shared" si="547"/>
        <v>ㄣ</v>
      </c>
      <c r="P8730" s="1" t="s">
        <v>20</v>
      </c>
      <c r="R8730" s="1" t="s">
        <v>17620</v>
      </c>
      <c r="V8730" s="1" t="s">
        <v>17629</v>
      </c>
      <c r="AR8730" s="1" t="str">
        <f t="shared" si="550"/>
        <v>| [ㄒㄩㄣˋ](ㄒㄩㄣˋ.md) | [侚](侚.md) |  | xùn | [形]
敏捷、疾速。《說文解字．人部》：「侚，疾也。」
[動]
為達某種目的、理想而犧牲生命。通「徇」、「殉」。《敦煌變文集新書．卷二．長興四年中興殿應聖節講經文》：「弟子常欲齋戒不煞，迫以身侚物，不獲從志。」 |</v>
      </c>
    </row>
    <row r="8731" spans="1:44" hidden="1">
      <c r="A8731" s="1" t="s">
        <v>17579</v>
      </c>
      <c r="C8731" s="1">
        <v>1</v>
      </c>
      <c r="D8731" s="1" t="str">
        <f>"07438"</f>
        <v>07438</v>
      </c>
      <c r="E8731" s="1" t="s">
        <v>234</v>
      </c>
      <c r="F8731" s="1">
        <v>9</v>
      </c>
      <c r="G8731" s="1">
        <v>6</v>
      </c>
      <c r="H8731" s="1">
        <v>1</v>
      </c>
      <c r="I8731" s="1" t="s">
        <v>17619</v>
      </c>
      <c r="K8731" s="1" t="str">
        <f t="shared" si="548"/>
        <v>ㄒ</v>
      </c>
      <c r="L8731" s="1" t="str">
        <f t="shared" si="549"/>
        <v>ㄩ</v>
      </c>
      <c r="M8731" s="1" t="str">
        <f t="shared" si="547"/>
        <v>ㄣ</v>
      </c>
      <c r="P8731" s="1" t="s">
        <v>20</v>
      </c>
      <c r="R8731" s="1" t="s">
        <v>17620</v>
      </c>
      <c r="V8731" s="1" t="s">
        <v>17630</v>
      </c>
      <c r="W8731" s="1" t="s">
        <v>17631</v>
      </c>
      <c r="AR8731" s="1" t="str">
        <f t="shared" si="550"/>
        <v>| [ㄒㄩㄣˋ](ㄒㄩㄣˋ.md) | [徇](徇.md) |  | xùn | [動]
1.巡行時示眾並宣布號令。《左傳．桓公十三年》：「莫傲使徇于師曰：『諫者有刑。』」《史記．卷六五．孫子吳起傳》：「遂斬隊長二人以徇。」
2.攻占、掠取。《史記．卷七．項羽本紀》：「籍為裨將，徇下縣。」《後漢書．卷一．光武帝紀上》：「光武別與諸將徇昆陽、定陵、郾，皆下之。」
3.順從。《左傳．文公十一年》：「郕大子朱儒自安於夫鍾，國人弗徇。」清．張爾岐〈辨志〉：「耽口體之養，徇耳目之娛。」
4.為達某種目的、理想而犧牲生命。通「殉」。《漢書．卷四八．賈誼傳》：「貪夫徇財，烈士徇名。」《文選．司馬遷．報任少卿書》：「常思奮不顧身，以徇國家之急。」
[形]
迅速。通「侚」。如：「徇蒙」。《墨子．公孟》：「身體強良，思慮徇通。」 |</v>
      </c>
    </row>
    <row r="8732" spans="1:44" hidden="1">
      <c r="A8732" s="1" t="s">
        <v>17632</v>
      </c>
      <c r="C8732" s="1">
        <v>1</v>
      </c>
      <c r="D8732" s="1" t="str">
        <f>"07439"</f>
        <v>07439</v>
      </c>
      <c r="E8732" s="1" t="s">
        <v>558</v>
      </c>
      <c r="F8732" s="1">
        <v>10</v>
      </c>
      <c r="G8732" s="1">
        <v>6</v>
      </c>
      <c r="H8732" s="1">
        <v>0</v>
      </c>
      <c r="I8732" s="1" t="s">
        <v>17619</v>
      </c>
      <c r="K8732" s="1" t="str">
        <f t="shared" si="548"/>
        <v>ㄒ</v>
      </c>
      <c r="L8732" s="1" t="str">
        <f t="shared" si="549"/>
        <v>ㄩ</v>
      </c>
      <c r="M8732" s="1" t="str">
        <f t="shared" si="547"/>
        <v>ㄣ</v>
      </c>
      <c r="P8732" s="1" t="s">
        <v>20</v>
      </c>
      <c r="R8732" s="1" t="s">
        <v>17620</v>
      </c>
      <c r="V8732" s="1" t="s">
        <v>17633</v>
      </c>
      <c r="AR8732" s="1" t="str">
        <f t="shared" si="550"/>
        <v>| [ㄒㄩㄣˋ](ㄒㄩㄣˋ.md) | [迿](迿.md) |  | xùn | [動]_x000D_
爭先、搶鋒頭。《公羊傳．定公四年》：「朋友相衛而不相迿。」漢．何休．解詁：「迿，出表詞，猶先也。」 |</v>
      </c>
    </row>
    <row r="8733" spans="1:44" hidden="1">
      <c r="A8733" s="1" t="s">
        <v>17634</v>
      </c>
      <c r="C8733" s="1">
        <v>1</v>
      </c>
      <c r="D8733" s="1" t="str">
        <f>"07440"</f>
        <v>07440</v>
      </c>
      <c r="E8733" s="1" t="s">
        <v>1372</v>
      </c>
      <c r="F8733" s="1">
        <v>10</v>
      </c>
      <c r="G8733" s="1">
        <v>6</v>
      </c>
      <c r="H8733" s="1">
        <v>0</v>
      </c>
      <c r="I8733" s="1" t="s">
        <v>17619</v>
      </c>
      <c r="K8733" s="1" t="str">
        <f t="shared" si="548"/>
        <v>ㄒ</v>
      </c>
      <c r="L8733" s="1" t="str">
        <f t="shared" si="549"/>
        <v>ㄩ</v>
      </c>
      <c r="M8733" s="1" t="str">
        <f t="shared" si="547"/>
        <v>ㄣ</v>
      </c>
      <c r="P8733" s="1" t="s">
        <v>20</v>
      </c>
      <c r="R8733" s="1" t="s">
        <v>17620</v>
      </c>
      <c r="V8733" s="1" t="s">
        <v>17635</v>
      </c>
      <c r="AR8733" s="1" t="str">
        <f t="shared" si="550"/>
        <v>| [ㄒㄩㄣˋ](ㄒㄩㄣˋ.md) | [殉](殉.md) |  | xùn | [動]
1.用人或器物陪葬。《禮記．檀弓下》：「陳子車死於衛，其妻與其家大夫謀以殉葬。」南朝梁．劉勰《文心雕龍．哀弔》：「昔三良殉秦，百夫莫贖。」
2.為達某種目的、理想而犧牲生命。如：「殉國」、「殉職」。《孟子．盡心上》：「天下有道，以道殉身；天下無道，以身殉道。」《文選．江淹．雜體詩．鮑參軍》：「殉義非為利。」
3.貪求、追求。《文選．陸機．豪士賦序》：「游子殉高位於生前，志士思垂名於身後。」 |</v>
      </c>
    </row>
    <row r="8734" spans="1:44" hidden="1">
      <c r="A8734" s="1" t="s">
        <v>17636</v>
      </c>
      <c r="C8734" s="1">
        <v>1</v>
      </c>
      <c r="D8734" s="1" t="str">
        <f>"07441"</f>
        <v>07441</v>
      </c>
      <c r="E8734" s="1" t="s">
        <v>331</v>
      </c>
      <c r="F8734" s="1">
        <v>10</v>
      </c>
      <c r="G8734" s="1">
        <v>3</v>
      </c>
      <c r="H8734" s="1">
        <v>0</v>
      </c>
      <c r="I8734" s="1" t="s">
        <v>17619</v>
      </c>
      <c r="K8734" s="1" t="str">
        <f t="shared" si="548"/>
        <v>ㄒ</v>
      </c>
      <c r="L8734" s="1" t="str">
        <f t="shared" si="549"/>
        <v>ㄩ</v>
      </c>
      <c r="M8734" s="1" t="str">
        <f t="shared" si="547"/>
        <v>ㄣ</v>
      </c>
      <c r="P8734" s="1" t="s">
        <v>20</v>
      </c>
      <c r="R8734" s="1" t="s">
        <v>17620</v>
      </c>
      <c r="V8734" s="1" t="s">
        <v>17637</v>
      </c>
      <c r="AR8734" s="1" t="str">
        <f t="shared" si="550"/>
        <v>| [ㄒㄩㄣˋ](ㄒㄩㄣˋ.md) | [訓](訓.md) |  | xùn | [動]
1.說教、教誨。如：「教訓」、「訓誡」。《左傳．桓公十三年》：「訓諸司以德。」
2.教練、操練。如：「訓練」。《晉書．卷三十四．羊祜傳》：「祜善甲訓卒，廣為戒備。」《宋史．卷三六一．張浚傳》：「訓新集之兵，當方張之敵。」
3.順從、服從。漢．揚雄《法言．修身》：「上士之耳訓乎德，下士之耳順乎己。」
4.解釋文字的意義。參見「訓詁」條。
[名]
1.教訓、告誡。如：「庭訓」。《詩經．大雅．烝民》：「古訓是式，威儀是力。」《國語．周語下》：「啟先王之遺訓，省其典圖刑法。」
2.法則、典則。《書經．胤征》：「聖有謨訓，明徵定保。」
3.姓。如明代有訓濬。 |</v>
      </c>
    </row>
    <row r="8735" spans="1:44" hidden="1">
      <c r="A8735" s="1" t="s">
        <v>17597</v>
      </c>
      <c r="C8735" s="1">
        <v>1</v>
      </c>
      <c r="D8735" s="1" t="str">
        <f>"07442"</f>
        <v>07442</v>
      </c>
      <c r="E8735" s="1" t="s">
        <v>319</v>
      </c>
      <c r="F8735" s="1">
        <v>13</v>
      </c>
      <c r="G8735" s="1">
        <v>3</v>
      </c>
      <c r="H8735" s="1">
        <v>2</v>
      </c>
      <c r="I8735" s="1" t="s">
        <v>17619</v>
      </c>
      <c r="K8735" s="1" t="str">
        <f t="shared" si="548"/>
        <v>ㄒ</v>
      </c>
      <c r="L8735" s="1" t="str">
        <f t="shared" si="549"/>
        <v>ㄩ</v>
      </c>
      <c r="M8735" s="1" t="str">
        <f t="shared" si="547"/>
        <v>ㄣ</v>
      </c>
      <c r="P8735" s="1" t="s">
        <v>20</v>
      </c>
      <c r="R8735" s="1" t="s">
        <v>17620</v>
      </c>
      <c r="V8735" s="1" t="s">
        <v>17638</v>
      </c>
      <c r="W8735" s="1" t="s">
        <v>17639</v>
      </c>
      <c r="AR8735" s="1" t="str">
        <f t="shared" si="550"/>
        <v>| [ㄒㄩㄣˋ](ㄒㄩㄣˋ.md) | [馴](馴.md) |  | xùn | [動]
教誨、教導。通「訓」。《史記．卷一〇．孝文本紀》：「今列侯多居長安，邑遠，吏卒給輸費苦，而列侯亦無由教馴其民。」 |</v>
      </c>
    </row>
    <row r="8736" spans="1:44" hidden="1">
      <c r="A8736" s="1" t="s">
        <v>17640</v>
      </c>
      <c r="C8736" s="1">
        <v>1</v>
      </c>
      <c r="D8736" s="1" t="str">
        <f>"07443"</f>
        <v>07443</v>
      </c>
      <c r="E8736" s="1" t="s">
        <v>241</v>
      </c>
      <c r="F8736" s="1">
        <v>10</v>
      </c>
      <c r="G8736" s="1">
        <v>7</v>
      </c>
      <c r="H8736" s="1">
        <v>2</v>
      </c>
      <c r="I8736" s="1" t="s">
        <v>17619</v>
      </c>
      <c r="K8736" s="1" t="str">
        <f t="shared" si="548"/>
        <v>ㄒ</v>
      </c>
      <c r="L8736" s="1" t="str">
        <f t="shared" si="549"/>
        <v>ㄩ</v>
      </c>
      <c r="M8736" s="1" t="str">
        <f t="shared" si="547"/>
        <v>ㄣ</v>
      </c>
      <c r="P8736" s="1" t="s">
        <v>20</v>
      </c>
      <c r="R8736" s="1" t="s">
        <v>17620</v>
      </c>
      <c r="V8736" s="1" t="s">
        <v>17641</v>
      </c>
      <c r="W8736" s="1" t="s">
        <v>17642</v>
      </c>
      <c r="AR8736" s="1" t="str">
        <f t="shared" si="550"/>
        <v>| [ㄒㄩㄣˋ](ㄒㄩㄣˋ.md) | [孫](孫.md) |  | xùn | [形]
謙卑、恭順。《禮記．緇衣》：「民有孫心。」《論語．陽貨》：「近之則不孫，遠之則怨。」
[動]
遁逃、流亡。《春秋．莊公元年》：「夫人孫于齊。」 |</v>
      </c>
    </row>
    <row r="8737" spans="1:44" hidden="1">
      <c r="A8737" s="1" t="s">
        <v>17643</v>
      </c>
      <c r="C8737" s="1">
        <v>1</v>
      </c>
      <c r="D8737" s="1" t="str">
        <f>"07444"</f>
        <v>07444</v>
      </c>
      <c r="E8737" s="1" t="s">
        <v>558</v>
      </c>
      <c r="F8737" s="1">
        <v>14</v>
      </c>
      <c r="G8737" s="1">
        <v>10</v>
      </c>
      <c r="H8737" s="1">
        <v>1</v>
      </c>
      <c r="I8737" s="1" t="s">
        <v>17619</v>
      </c>
      <c r="K8737" s="1" t="str">
        <f t="shared" si="548"/>
        <v>ㄒ</v>
      </c>
      <c r="L8737" s="1" t="str">
        <f t="shared" si="549"/>
        <v>ㄩ</v>
      </c>
      <c r="M8737" s="1" t="str">
        <f t="shared" si="547"/>
        <v>ㄣ</v>
      </c>
      <c r="P8737" s="1" t="s">
        <v>20</v>
      </c>
      <c r="R8737" s="1" t="s">
        <v>17620</v>
      </c>
      <c r="V8737" s="1" t="s">
        <v>17644</v>
      </c>
      <c r="W8737" s="1" t="s">
        <v>17645</v>
      </c>
      <c r="AR8737" s="1" t="str">
        <f t="shared" si="550"/>
        <v>| [ㄒㄩㄣˋ](ㄒㄩㄣˋ.md) | [遜](遜.md) |  | xùn | [動]
1.逃避。《書經．微子》：「我其發出狂，吾家耄遜于荒。」《文選．揚雄．劇秦美新》：「是耆儒碩老，抱其書而遠遜。」
2.退讓。如：「遜國」。《後漢書．卷九．孝獻帝紀》：「皇帝遜位，魏王丕稱天子。」
3.謙恭。如：「謙遜」、「出言不遜」。《宋史．卷三一四．范仲淹傳》：「元昊答書語不遜，仲淹對來使焚之。」
4.比不上、不及。如：「略遜一籌」。明．徐弘祖《徐霞客遊記．卷三上．粵西遊日記二》：「北望山半，亦有洞南向，高少遜北巔。」
[形]
差勁。如：「你真遜，這種題目也考不及格。」
[名]
姓。如唐代有遜揆，清代有遜柱。 |</v>
      </c>
    </row>
    <row r="8738" spans="1:44" hidden="1">
      <c r="A8738" s="1" t="s">
        <v>17646</v>
      </c>
      <c r="C8738" s="1">
        <v>1</v>
      </c>
      <c r="D8738" s="1" t="str">
        <f>"07445"</f>
        <v>07445</v>
      </c>
      <c r="E8738" s="1" t="s">
        <v>31</v>
      </c>
      <c r="F8738" s="1">
        <v>12</v>
      </c>
      <c r="G8738" s="1">
        <v>9</v>
      </c>
      <c r="H8738" s="1">
        <v>1</v>
      </c>
      <c r="I8738" s="1" t="s">
        <v>17619</v>
      </c>
      <c r="K8738" s="1" t="str">
        <f t="shared" si="548"/>
        <v>ㄒ</v>
      </c>
      <c r="L8738" s="1" t="str">
        <f t="shared" si="549"/>
        <v>ㄩ</v>
      </c>
      <c r="M8738" s="1" t="str">
        <f t="shared" si="547"/>
        <v>ㄣ</v>
      </c>
      <c r="P8738" s="1" t="s">
        <v>20</v>
      </c>
      <c r="R8738" s="1" t="s">
        <v>17620</v>
      </c>
      <c r="V8738" s="1" t="s">
        <v>17647</v>
      </c>
      <c r="W8738" s="1" t="s">
        <v>17648</v>
      </c>
      <c r="AR8738" s="1" t="str">
        <f t="shared" si="550"/>
        <v>| [ㄒㄩㄣˋ](ㄒㄩㄣˋ.md) | [巽](巽.md) |  | xùn | [名]
《易經》卦名：(1)八卦之一。卦形☴。代表風。(2)六十四卦之一。巽下（☴）巽上（☴）。象上下皆順，不相違逆，風行無所不入之義。
[動]
辭讓。通「遜」。《書經．堯典》：「汝能庸命，巽朕位。」
[形]
卑順、謙恭。《論語．子罕》：「巽與之言，能無說乎？」唐．韓愈〈答魏博田僕射書〉：「位望益尊，謙巽滋甚。」 |</v>
      </c>
    </row>
    <row r="8739" spans="1:44" hidden="1">
      <c r="A8739" s="1" t="s">
        <v>17649</v>
      </c>
      <c r="C8739" s="1">
        <v>1</v>
      </c>
      <c r="D8739" s="1" t="str">
        <f>"07446"</f>
        <v>07446</v>
      </c>
      <c r="E8739" s="1" t="s">
        <v>129</v>
      </c>
      <c r="F8739" s="1">
        <v>15</v>
      </c>
      <c r="G8739" s="1">
        <v>12</v>
      </c>
      <c r="H8739" s="1">
        <v>2</v>
      </c>
      <c r="I8739" s="1" t="s">
        <v>17619</v>
      </c>
      <c r="K8739" s="1" t="str">
        <f t="shared" si="548"/>
        <v>ㄒ</v>
      </c>
      <c r="L8739" s="1" t="str">
        <f t="shared" si="549"/>
        <v>ㄩ</v>
      </c>
      <c r="M8739" s="1" t="str">
        <f t="shared" si="547"/>
        <v>ㄣ</v>
      </c>
      <c r="P8739" s="1" t="s">
        <v>110</v>
      </c>
      <c r="R8739" s="1" t="s">
        <v>17620</v>
      </c>
      <c r="V8739" s="1" t="s">
        <v>111</v>
      </c>
      <c r="W8739" s="1" t="s">
        <v>17650</v>
      </c>
      <c r="AR8739" s="1" t="str">
        <f t="shared" si="550"/>
        <v>| [ㄒㄩㄣˋ](ㄒㄩㄣˋ.md) | [潠](潠.md) |  | xùn | (一)之又音。 |</v>
      </c>
    </row>
    <row r="8740" spans="1:44" hidden="1">
      <c r="A8740" s="1" t="s">
        <v>17651</v>
      </c>
      <c r="C8740" s="1">
        <v>1</v>
      </c>
      <c r="D8740" s="1" t="str">
        <f>"07447"</f>
        <v>07447</v>
      </c>
      <c r="E8740" s="1" t="s">
        <v>28</v>
      </c>
      <c r="F8740" s="1">
        <v>15</v>
      </c>
      <c r="G8740" s="1">
        <v>12</v>
      </c>
      <c r="H8740" s="1">
        <v>1</v>
      </c>
      <c r="I8740" s="1" t="s">
        <v>17619</v>
      </c>
      <c r="K8740" s="1" t="str">
        <f t="shared" si="548"/>
        <v>ㄒ</v>
      </c>
      <c r="L8740" s="1" t="str">
        <f t="shared" si="549"/>
        <v>ㄩ</v>
      </c>
      <c r="M8740" s="1" t="str">
        <f t="shared" si="547"/>
        <v>ㄣ</v>
      </c>
      <c r="P8740" s="1" t="s">
        <v>20</v>
      </c>
      <c r="R8740" s="1" t="s">
        <v>17620</v>
      </c>
      <c r="V8740" s="1" t="s">
        <v>17652</v>
      </c>
      <c r="W8740" s="1" t="s">
        <v>17653</v>
      </c>
      <c r="AR8740" s="1" t="str">
        <f t="shared" si="550"/>
        <v>| [ㄒㄩㄣˋ](ㄒㄩㄣˋ.md) | [噀](噀.md) |  | xùn | [動]
將水含在口中噴出去。泛指噴射。《後漢書．卷五七．欒巴傳》「所在有績，徵拜尚書」句下章懷太子注引《神仙傳》：「巴獨後到，又飲酒西南噀之。」元．喬吉〈水仙子．風吹絲雨噀窗紗〉曲：「風吹絲雨噀窗紗，苔和酥泥葬落花。」 |</v>
      </c>
    </row>
    <row r="8741" spans="1:44" hidden="1">
      <c r="A8741" s="1" t="s">
        <v>17551</v>
      </c>
      <c r="C8741" s="1">
        <v>1</v>
      </c>
      <c r="D8741" s="1" t="str">
        <f>"07448"</f>
        <v>07448</v>
      </c>
      <c r="E8741" s="1" t="s">
        <v>336</v>
      </c>
      <c r="F8741" s="1">
        <v>14</v>
      </c>
      <c r="G8741" s="1">
        <v>10</v>
      </c>
      <c r="H8741" s="1">
        <v>2</v>
      </c>
      <c r="I8741" s="1" t="s">
        <v>17619</v>
      </c>
      <c r="K8741" s="1" t="str">
        <f t="shared" si="548"/>
        <v>ㄒ</v>
      </c>
      <c r="L8741" s="1" t="str">
        <f t="shared" si="549"/>
        <v>ㄩ</v>
      </c>
      <c r="M8741" s="1" t="str">
        <f t="shared" si="547"/>
        <v>ㄣ</v>
      </c>
      <c r="P8741" s="1" t="s">
        <v>20</v>
      </c>
      <c r="R8741" s="1" t="s">
        <v>17620</v>
      </c>
      <c r="V8741" s="1" t="s">
        <v>17654</v>
      </c>
      <c r="W8741" s="1" t="s">
        <v>17655</v>
      </c>
      <c r="AR8741" s="1" t="str">
        <f t="shared" si="550"/>
        <v>| [ㄒㄩㄣˋ](ㄒㄩㄣˋ.md) | [熏](熏.md) |  | xùn | [動]
窒息而中毒。如：「小心不要被煤氣熏著了。」
[形]
聲名狼藉。如：「這個人都熏了，誰也不願與他共事。」 |</v>
      </c>
    </row>
    <row r="8742" spans="1:44" hidden="1">
      <c r="A8742" s="1" t="s">
        <v>17033</v>
      </c>
      <c r="C8742" s="1">
        <v>1</v>
      </c>
      <c r="D8742" s="1" t="str">
        <f>"07449"</f>
        <v>07449</v>
      </c>
      <c r="E8742" s="1" t="s">
        <v>37</v>
      </c>
      <c r="F8742" s="1">
        <v>16</v>
      </c>
      <c r="G8742" s="1">
        <v>12</v>
      </c>
      <c r="H8742" s="1">
        <v>1</v>
      </c>
      <c r="I8742" s="1" t="s">
        <v>17619</v>
      </c>
      <c r="K8742" s="1" t="str">
        <f t="shared" si="548"/>
        <v>ㄒ</v>
      </c>
      <c r="L8742" s="1" t="str">
        <f t="shared" si="549"/>
        <v>ㄩ</v>
      </c>
      <c r="M8742" s="1" t="str">
        <f t="shared" si="547"/>
        <v>ㄣ</v>
      </c>
      <c r="P8742" s="1" t="s">
        <v>20</v>
      </c>
      <c r="R8742" s="1" t="s">
        <v>17620</v>
      </c>
      <c r="V8742" s="1" t="s">
        <v>17656</v>
      </c>
      <c r="W8742" s="1" t="s">
        <v>17657</v>
      </c>
      <c r="AR8742" s="1" t="str">
        <f t="shared" si="550"/>
        <v>| [ㄒㄩㄣˋ](ㄒㄩㄣˋ.md) | [蕈](蕈.md) |  | xùn | [名]
一種寄生在木上的隱花植物。種類很多，多成傘形。顏色鮮豔的蕈類通常含有劇毒，無毒的則鮮美可食。如松蕈、香蕈等。 |</v>
      </c>
    </row>
    <row r="8743" spans="1:44" hidden="1">
      <c r="A8743" s="1" t="s">
        <v>17039</v>
      </c>
      <c r="C8743" s="1">
        <v>1</v>
      </c>
      <c r="D8743" s="1" t="str">
        <f>"07179"</f>
        <v>07179</v>
      </c>
      <c r="E8743" s="1" t="s">
        <v>205</v>
      </c>
      <c r="F8743" s="1">
        <v>7</v>
      </c>
      <c r="G8743" s="1">
        <v>2</v>
      </c>
      <c r="H8743" s="1">
        <v>0</v>
      </c>
      <c r="I8743" s="1" t="s">
        <v>17040</v>
      </c>
      <c r="K8743" s="1" t="str">
        <f t="shared" si="548"/>
        <v>ㄒ</v>
      </c>
      <c r="L8743" s="1" t="str">
        <f t="shared" si="549"/>
        <v>ㄧ</v>
      </c>
      <c r="M8743" s="1" t="str">
        <f t="shared" si="547"/>
        <v>ㄤ</v>
      </c>
      <c r="P8743" s="1" t="s">
        <v>20</v>
      </c>
      <c r="R8743" s="1" t="s">
        <v>17041</v>
      </c>
      <c r="V8743" s="1" t="s">
        <v>17042</v>
      </c>
      <c r="AR8743" s="1" t="str">
        <f t="shared" si="550"/>
        <v>| [ㄒㄧㄤ](ㄒㄧㄤ.md) | [皀](皀.md) |  | xiāng | [名]
穀類的香氣。《說文解字．皀部》：「皀，穀之馨香也。象嘉穀在裹中之形，匕所以扱之。」 |</v>
      </c>
    </row>
    <row r="8744" spans="1:44" hidden="1">
      <c r="A8744" s="1" t="s">
        <v>17043</v>
      </c>
      <c r="C8744" s="1">
        <v>1</v>
      </c>
      <c r="D8744" s="1" t="str">
        <f>"07180"</f>
        <v>07180</v>
      </c>
      <c r="E8744" s="1" t="s">
        <v>1015</v>
      </c>
      <c r="F8744" s="1">
        <v>9</v>
      </c>
      <c r="G8744" s="1">
        <v>4</v>
      </c>
      <c r="H8744" s="1">
        <v>1</v>
      </c>
      <c r="I8744" s="1" t="s">
        <v>17040</v>
      </c>
      <c r="K8744" s="1" t="str">
        <f t="shared" si="548"/>
        <v>ㄒ</v>
      </c>
      <c r="L8744" s="1" t="str">
        <f t="shared" si="549"/>
        <v>ㄧ</v>
      </c>
      <c r="M8744" s="1" t="str">
        <f t="shared" ref="M8744:M8807" si="551">MID(I8744, 3, 1)</f>
        <v>ㄤ</v>
      </c>
      <c r="P8744" s="1" t="s">
        <v>20</v>
      </c>
      <c r="R8744" s="1" t="s">
        <v>17041</v>
      </c>
      <c r="V8744" s="1" t="s">
        <v>17044</v>
      </c>
      <c r="W8744" s="1" t="s">
        <v>17045</v>
      </c>
      <c r="AR8744" s="1" t="str">
        <f t="shared" si="550"/>
        <v>| [ㄒㄧㄤ](ㄒㄧㄤ.md) | [相](相.md) |  | xiāng | [副]
1.交互，指兩方面都進行的。如：「互相」、「守望相助」、「兩地相思」、「相得益彰」。《莊子．大宗師》：「四人相視而笑，莫逆於心，遂相與為友。」唐．崔護〈題都城南莊〉詩：「去年今日此門中，人面桃花相映紅。」
2.彼此，強調雙方比較後的差異。如：「相異」、「相像」、「旗鼓相當」。《三國演義》第五七回：「某之所學，與公瑾大不相同。」
[助]
由交互的意義演變為單方面的意義，表示動作是由一方對另一方進行。如：「有事相煩」、「實不相瞞」。《三國志．卷五四．吳書．魯肅傳》：「孤持鞍下馬相迎，足以顯卿未？」
[名]
姓。如明代有相世芳。 |</v>
      </c>
    </row>
    <row r="8745" spans="1:44" hidden="1">
      <c r="A8745" s="1" t="s">
        <v>17046</v>
      </c>
      <c r="C8745" s="1">
        <v>1</v>
      </c>
      <c r="D8745" s="1" t="str">
        <f>"07181"</f>
        <v>07181</v>
      </c>
      <c r="E8745" s="1" t="s">
        <v>129</v>
      </c>
      <c r="F8745" s="1">
        <v>12</v>
      </c>
      <c r="G8745" s="1">
        <v>9</v>
      </c>
      <c r="H8745" s="1">
        <v>0</v>
      </c>
      <c r="I8745" s="1" t="s">
        <v>17040</v>
      </c>
      <c r="K8745" s="1" t="str">
        <f t="shared" si="548"/>
        <v>ㄒ</v>
      </c>
      <c r="L8745" s="1" t="str">
        <f t="shared" si="549"/>
        <v>ㄧ</v>
      </c>
      <c r="M8745" s="1" t="str">
        <f t="shared" si="551"/>
        <v>ㄤ</v>
      </c>
      <c r="P8745" s="1" t="s">
        <v>20</v>
      </c>
      <c r="R8745" s="1" t="s">
        <v>17041</v>
      </c>
      <c r="V8745" s="1" t="s">
        <v>17047</v>
      </c>
      <c r="AR8745" s="1" t="str">
        <f t="shared" si="550"/>
        <v>| [ㄒㄧㄤ](ㄒㄧㄤ.md) | [湘](湘.md) |  | xiāng | [名]
1.參見「湘江」條。
2.大陸地區湖南省的簡稱。
[動]
烹煮。《詩經．召南．采蘋》：「于以湘之，維錡及釜。」宋．蘇軾〈元修菜〉詩：「烝之復湘之，香色蔚其饛。」 |</v>
      </c>
    </row>
    <row r="8746" spans="1:44" hidden="1">
      <c r="A8746" s="1" t="s">
        <v>17048</v>
      </c>
      <c r="C8746" s="1">
        <v>1</v>
      </c>
      <c r="D8746" s="1" t="str">
        <f>"07182"</f>
        <v>07182</v>
      </c>
      <c r="E8746" s="1" t="s">
        <v>447</v>
      </c>
      <c r="F8746" s="1">
        <v>12</v>
      </c>
      <c r="G8746" s="1">
        <v>9</v>
      </c>
      <c r="H8746" s="1">
        <v>0</v>
      </c>
      <c r="I8746" s="1" t="s">
        <v>17040</v>
      </c>
      <c r="K8746" s="1" t="str">
        <f t="shared" si="548"/>
        <v>ㄒ</v>
      </c>
      <c r="L8746" s="1" t="str">
        <f t="shared" si="549"/>
        <v>ㄧ</v>
      </c>
      <c r="M8746" s="1" t="str">
        <f t="shared" si="551"/>
        <v>ㄤ</v>
      </c>
      <c r="P8746" s="1" t="s">
        <v>20</v>
      </c>
      <c r="R8746" s="1" t="s">
        <v>17041</v>
      </c>
      <c r="V8746" s="1" t="s">
        <v>17049</v>
      </c>
      <c r="AR8746" s="1" t="str">
        <f t="shared" si="550"/>
        <v>| [ㄒㄧㄤ](ㄒㄧㄤ.md) | [廂](廂.md) |  | xiāng | [名]
1.正屋兩側的房間。如：「廂房」、「廂屋」。《樂府詩集．卷三四．相和歌辭九．古辭．相逢行》：「音聲何噰噰，鶴鳴東西廂。」元．王實甫《西廂記．第三本．第二折》：「月暗西廂，鳳去秦樓。」
2.靠近城市的地區。如：「城廂」、「關廂」。《水滸傳》第一〇三回：「城中坊廂里正，逐一排門搜捉凶人王慶。」
3.邊、旁、方面。多用於舊小說、戲曲。如：「這廂有禮」、「一廂情願」。明．湯顯祖《南柯記》第四二齣：「怕不是我身廂有什麼纏魂不定？」
4.戲院等娛樂場所裡另外隔間的特別座位。如：「包廂」。
5.箱篋。通「箱」。如：「車廂」。《水滸傳》第一〇三回：「相公需教把火來放在弓廂裡，不住的焙，方好。」 |</v>
      </c>
    </row>
    <row r="8747" spans="1:44" hidden="1">
      <c r="A8747" s="1" t="s">
        <v>17050</v>
      </c>
      <c r="C8747" s="1">
        <v>1</v>
      </c>
      <c r="D8747" s="1" t="str">
        <f>"07183"</f>
        <v>07183</v>
      </c>
      <c r="E8747" s="1" t="s">
        <v>49</v>
      </c>
      <c r="F8747" s="1">
        <v>15</v>
      </c>
      <c r="G8747" s="1">
        <v>9</v>
      </c>
      <c r="H8747" s="1">
        <v>0</v>
      </c>
      <c r="I8747" s="1" t="s">
        <v>17040</v>
      </c>
      <c r="K8747" s="1" t="str">
        <f t="shared" si="548"/>
        <v>ㄒ</v>
      </c>
      <c r="L8747" s="1" t="str">
        <f t="shared" si="549"/>
        <v>ㄧ</v>
      </c>
      <c r="M8747" s="1" t="str">
        <f t="shared" si="551"/>
        <v>ㄤ</v>
      </c>
      <c r="P8747" s="1" t="s">
        <v>20</v>
      </c>
      <c r="R8747" s="1" t="s">
        <v>17041</v>
      </c>
      <c r="V8747" s="1" t="s">
        <v>17051</v>
      </c>
      <c r="AR8747" s="1" t="str">
        <f t="shared" si="550"/>
        <v>| [ㄒㄧㄤ](ㄒㄧㄤ.md) | [箱](箱.md) |  | xiāng | [名]
1.車內載人或存放東西的地方。《說文解字．竹部》：「箱，大車牝服也。」段玉裁注引鄭司農云：「牝服謂車箱。」如：「車箱」。《隋書．卷六八．何稠傳》：「舊制，五輅於轅上起箱，天子與參乘同在箱內。」
2.收納東西的器具。如：「封箱」、「紙箱」。《樂府詩集．卷七三．雜曲歌辭十三．古辭．焦仲卿妻》：「箱簾六七十，綠碧青絲繩。」《醒世姻緣傳》第五回：「這班人挑了箱，喚到衙內扮戲上壽。」
3.正屋兩旁的房間。通「廂」。《儀禮．公食大夫禮》：「公揖，退于箱。」《文選．傅玄．雜詩》：「蟬鳴高樹間，野鳥號東箱。」
4.倉庫。《詩經．小雅．甫田》：「乃求千斯倉，及求萬斯箱。」唐．皮日休〈橡媼歎〉：「持之納於官，私室無倉箱。」
5.量詞。計算箱裝物的單位。如：「兩箱衣服」、「三箱水果」。 |</v>
      </c>
    </row>
    <row r="8748" spans="1:44" hidden="1">
      <c r="A8748" s="1" t="s">
        <v>17052</v>
      </c>
      <c r="C8748" s="1">
        <v>1</v>
      </c>
      <c r="D8748" s="1" t="str">
        <f>"07184"</f>
        <v>07184</v>
      </c>
      <c r="E8748" s="1" t="s">
        <v>725</v>
      </c>
      <c r="F8748" s="1">
        <v>15</v>
      </c>
      <c r="G8748" s="1">
        <v>9</v>
      </c>
      <c r="H8748" s="1">
        <v>0</v>
      </c>
      <c r="I8748" s="1" t="s">
        <v>17040</v>
      </c>
      <c r="K8748" s="1" t="str">
        <f t="shared" si="548"/>
        <v>ㄒ</v>
      </c>
      <c r="L8748" s="1" t="str">
        <f t="shared" si="549"/>
        <v>ㄧ</v>
      </c>
      <c r="M8748" s="1" t="str">
        <f t="shared" si="551"/>
        <v>ㄤ</v>
      </c>
      <c r="P8748" s="1" t="s">
        <v>20</v>
      </c>
      <c r="R8748" s="1" t="s">
        <v>17041</v>
      </c>
      <c r="V8748" s="1" t="s">
        <v>17053</v>
      </c>
      <c r="AR8748" s="1" t="str">
        <f t="shared" si="550"/>
        <v>| [ㄒㄧㄤ](ㄒㄧㄤ.md) | [緗](緗.md) |  | xiāng | [名]
淺黃色的絲織品。《後漢書．卷三〇．輿服志下》：「賈人，緗縹而已。」
[形]
淺黃色的。如：「緗荷」、「緗梅」。《樂府詩集．卷二八．相和歌辭三．古辭．陌上桑》：「緗綺為下裙，紫綺為上襦。」 |</v>
      </c>
    </row>
    <row r="8749" spans="1:44" hidden="1">
      <c r="A8749" s="1" t="s">
        <v>17054</v>
      </c>
      <c r="C8749" s="1">
        <v>1</v>
      </c>
      <c r="D8749" s="1" t="str">
        <f>"07185"</f>
        <v>07185</v>
      </c>
      <c r="E8749" s="1" t="s">
        <v>269</v>
      </c>
      <c r="F8749" s="1">
        <v>9</v>
      </c>
      <c r="G8749" s="1">
        <v>0</v>
      </c>
      <c r="H8749" s="1">
        <v>0</v>
      </c>
      <c r="I8749" s="1" t="s">
        <v>17040</v>
      </c>
      <c r="K8749" s="1" t="str">
        <f t="shared" si="548"/>
        <v>ㄒ</v>
      </c>
      <c r="L8749" s="1" t="str">
        <f t="shared" si="549"/>
        <v>ㄧ</v>
      </c>
      <c r="M8749" s="1" t="str">
        <f t="shared" si="551"/>
        <v>ㄤ</v>
      </c>
      <c r="P8749" s="1" t="s">
        <v>20</v>
      </c>
      <c r="R8749" s="1" t="s">
        <v>17041</v>
      </c>
      <c r="V8749" s="1" t="s">
        <v>17055</v>
      </c>
      <c r="AR8749" s="1" t="str">
        <f t="shared" si="550"/>
        <v>| [ㄒㄧㄤ](ㄒㄧㄤ.md) | [香](香.md) |  | xiāng | [名]
1.芬芳美好的氣味。如：「花香」、「書香」、「粉香」。
2.用香料製成棒、線、球、餅的東西，可供拜祭鬼神或驅除蚊蟲。如：「線香」、「檀香」、「燒香」、「蚊香」、「焚香操琴」。
3.比喻女子。如：「憐香惜玉」、「香消玉殞」。
4.姓。如戰國時齊國有香居。
5.二一四部首之一。
[動]
親吻。如：「香一香臉」、「香一下好嗎？」
[形]
1.氣味美好。如：「香茗」、「香泉」、「這飯很香。」唐．杜甫〈古柏行〉：「香葉曾經宿鸞鳳。」
2.與女性有關的。如：「香閨」、「香魂」、「香汗淋漓」。元．王德信〈十二月過堯民歌．自別後遙山隱隱〉曲：「今春，香肌瘦幾分，摟帶寬三寸。」
[副]
酣暢。如：「吃得很香」、「睡得很香」。 |</v>
      </c>
    </row>
    <row r="8750" spans="1:44" hidden="1">
      <c r="A8750" s="1" t="s">
        <v>17056</v>
      </c>
      <c r="C8750" s="1">
        <v>1</v>
      </c>
      <c r="D8750" s="1" t="str">
        <f>"07186"</f>
        <v>07186</v>
      </c>
      <c r="E8750" s="1" t="s">
        <v>181</v>
      </c>
      <c r="F8750" s="1">
        <v>9</v>
      </c>
      <c r="G8750" s="1">
        <v>3</v>
      </c>
      <c r="H8750" s="1">
        <v>0</v>
      </c>
      <c r="I8750" s="1" t="s">
        <v>17040</v>
      </c>
      <c r="K8750" s="1" t="str">
        <f t="shared" si="548"/>
        <v>ㄒ</v>
      </c>
      <c r="L8750" s="1" t="str">
        <f t="shared" si="549"/>
        <v>ㄧ</v>
      </c>
      <c r="M8750" s="1" t="str">
        <f t="shared" si="551"/>
        <v>ㄤ</v>
      </c>
      <c r="P8750" s="1" t="s">
        <v>20</v>
      </c>
      <c r="R8750" s="1" t="s">
        <v>17041</v>
      </c>
      <c r="V8750" s="1" t="s">
        <v>17057</v>
      </c>
      <c r="AR8750" s="1" t="str">
        <f t="shared" si="550"/>
        <v>| [ㄒㄧㄤ](ㄒㄧㄤ.md) | [舡](舡.md) |  | xiāng | [名]
船。《文選．漢武帝．秋風辭》：「泛樓舡兮濟汾河，橫中流兮揚素波。」元．關漢卿《單刀會》第四折：「令江上相候，見舡到便來報我知道。」 |</v>
      </c>
    </row>
    <row r="8751" spans="1:44" hidden="1">
      <c r="A8751" s="1" t="s">
        <v>17058</v>
      </c>
      <c r="C8751" s="1">
        <v>1</v>
      </c>
      <c r="D8751" s="1" t="str">
        <f>"07187"</f>
        <v>07187</v>
      </c>
      <c r="E8751" s="1" t="s">
        <v>256</v>
      </c>
      <c r="F8751" s="1">
        <v>12</v>
      </c>
      <c r="G8751" s="1">
        <v>9</v>
      </c>
      <c r="H8751" s="1">
        <v>1</v>
      </c>
      <c r="I8751" s="1" t="s">
        <v>17040</v>
      </c>
      <c r="K8751" s="1" t="str">
        <f t="shared" si="548"/>
        <v>ㄒ</v>
      </c>
      <c r="L8751" s="1" t="str">
        <f t="shared" si="549"/>
        <v>ㄧ</v>
      </c>
      <c r="M8751" s="1" t="str">
        <f t="shared" si="551"/>
        <v>ㄤ</v>
      </c>
      <c r="P8751" s="1" t="s">
        <v>20</v>
      </c>
      <c r="R8751" s="1" t="s">
        <v>17041</v>
      </c>
      <c r="V8751" s="1" t="s">
        <v>17059</v>
      </c>
      <c r="W8751" s="1" t="s">
        <v>17060</v>
      </c>
      <c r="AR8751" s="1" t="str">
        <f t="shared" si="550"/>
        <v>| [ㄒㄧㄤ](ㄒㄧㄤ.md) | [鄉](鄉.md) |  | xiāng | [名]_x000D_
1.地方政府的行政區域名稱。在縣之下，村之上。如：「鄉鎮」。_x000D_
2.城鎮以外耕地較多，人口較不稠密的地區。如：「鄉村」、「窮鄉僻壤」。_x000D_
3.泛指地區、處所。漢．曹操〈卻東西門行〉：「鴻雁出塞北，乃在無人鄉。」唐．陳子昂〈麈尾賦〉：「始居幽山之藪，食乎豐草之鄉。」_x000D_
4.祖籍、出生地或長期居住過的地方。如：「家鄉」。唐．李白〈靜夜思〉詩：「舉頭望明月，低頭思故鄉。」_x000D_
5.稱來自同省縣的人。如：「同鄉」、「老鄉」。_x000D_
6.某種境界或狀態。如：「醉鄉」、「夢鄉」、「溫柔鄉」。_x000D_
[形]_x000D_
1.同一鄉里的。如：「鄉親」、「鄉兄」。_x000D_
2.故鄉所有的或所出產的。如：「鄉產」、「鄉味」。唐．賀知章〈回鄉偶書〉詩二首之一：「少小離家老大回，鄉音無改鬢毛衰。」 |</v>
      </c>
    </row>
    <row r="8752" spans="1:44" hidden="1">
      <c r="A8752" s="1" t="s">
        <v>17061</v>
      </c>
      <c r="C8752" s="1">
        <v>1</v>
      </c>
      <c r="D8752" s="1" t="str">
        <f>"07188"</f>
        <v>07188</v>
      </c>
      <c r="E8752" s="1" t="s">
        <v>37</v>
      </c>
      <c r="F8752" s="1">
        <v>16</v>
      </c>
      <c r="G8752" s="1">
        <v>12</v>
      </c>
      <c r="H8752" s="1">
        <v>0</v>
      </c>
      <c r="I8752" s="1" t="s">
        <v>17040</v>
      </c>
      <c r="K8752" s="1" t="str">
        <f t="shared" ref="K8752:K8815" si="552">LEFT(I8752, 1)</f>
        <v>ㄒ</v>
      </c>
      <c r="L8752" s="1" t="str">
        <f t="shared" ref="L8752:L8815" si="553">MID(I8752, 2, 1)</f>
        <v>ㄧ</v>
      </c>
      <c r="M8752" s="1" t="str">
        <f t="shared" si="551"/>
        <v>ㄤ</v>
      </c>
      <c r="P8752" s="1" t="s">
        <v>20</v>
      </c>
      <c r="R8752" s="1" t="s">
        <v>17041</v>
      </c>
      <c r="V8752" s="1" t="s">
        <v>17062</v>
      </c>
      <c r="AR8752" s="1" t="str">
        <f t="shared" si="550"/>
        <v>| [ㄒㄧㄤ](ㄒㄧㄤ.md) | [薌](薌.md) |  | xiāng | [名]
1.穀類馨香的氣味。《玉篇．艸部》：「薌，穀氣。」
2.用來調味的香菜。《禮記．內則》：「魴鱮烝雛燒，雉薌無蓼。」漢．鄭玄．注：「薌，蘇荏之屬也。」
[動]
使香美。《禮記．內則》：「鉅鑊湯，以小鼎薌脯於其中。」 |</v>
      </c>
    </row>
    <row r="8753" spans="1:44" hidden="1">
      <c r="A8753" s="1" t="s">
        <v>17063</v>
      </c>
      <c r="C8753" s="1">
        <v>1</v>
      </c>
      <c r="D8753" s="1" t="str">
        <f>"07189"</f>
        <v>07189</v>
      </c>
      <c r="E8753" s="1" t="s">
        <v>68</v>
      </c>
      <c r="F8753" s="1">
        <v>16</v>
      </c>
      <c r="G8753" s="1">
        <v>12</v>
      </c>
      <c r="H8753" s="1">
        <v>0</v>
      </c>
      <c r="I8753" s="1" t="s">
        <v>17040</v>
      </c>
      <c r="K8753" s="1" t="str">
        <f t="shared" si="552"/>
        <v>ㄒ</v>
      </c>
      <c r="L8753" s="1" t="str">
        <f t="shared" si="553"/>
        <v>ㄧ</v>
      </c>
      <c r="M8753" s="1" t="str">
        <f t="shared" si="551"/>
        <v>ㄤ</v>
      </c>
      <c r="P8753" s="1" t="s">
        <v>20</v>
      </c>
      <c r="R8753" s="1" t="s">
        <v>17041</v>
      </c>
      <c r="V8753" s="1" t="s">
        <v>17064</v>
      </c>
      <c r="AR8753" s="1" t="str">
        <f t="shared" si="550"/>
        <v>| [ㄒㄧㄤ](ㄒㄧㄤ.md) | [膷](膷.md) |  | xiāng | [名]
牛肉羹。《廣韻．平聲．陽韻》：「膷，牛羹。」《禮記．內則》：「膳、膷、臐、膮。」 |</v>
      </c>
    </row>
    <row r="8754" spans="1:44" hidden="1">
      <c r="A8754" s="1" t="s">
        <v>17065</v>
      </c>
      <c r="C8754" s="1">
        <v>1</v>
      </c>
      <c r="D8754" s="1" t="str">
        <f>"07190"</f>
        <v>07190</v>
      </c>
      <c r="E8754" s="1" t="s">
        <v>340</v>
      </c>
      <c r="F8754" s="1">
        <v>17</v>
      </c>
      <c r="G8754" s="1">
        <v>11</v>
      </c>
      <c r="H8754" s="1">
        <v>0</v>
      </c>
      <c r="I8754" s="1" t="s">
        <v>17040</v>
      </c>
      <c r="K8754" s="1" t="str">
        <f t="shared" si="552"/>
        <v>ㄒ</v>
      </c>
      <c r="L8754" s="1" t="str">
        <f t="shared" si="553"/>
        <v>ㄧ</v>
      </c>
      <c r="M8754" s="1" t="str">
        <f t="shared" si="551"/>
        <v>ㄤ</v>
      </c>
      <c r="P8754" s="1" t="s">
        <v>20</v>
      </c>
      <c r="R8754" s="1" t="s">
        <v>17041</v>
      </c>
      <c r="V8754" s="1" t="s">
        <v>17066</v>
      </c>
      <c r="AR8754" s="1" t="str">
        <f t="shared" si="550"/>
        <v>| [ㄒㄧㄤ](ㄒㄧㄤ.md) | [襄](襄.md) |  | xiāng | [動]
1.完成、成就。如：「共襄盛舉」。《左傳．定公十五年》：「葬定公，雨，不克襄事，禮也。」
2.上、登越。《書經．堯典》：「湯湯洪水方割，蕩蕩懷山襄陵。」
3.除去。《詩經．鄘風．牆有茨》：「牆有茨，不可襄也。」
[副]
輔助。如：「襄助」、「襄理」、「襄贊元首」。
[名]
姓。如漢代有襄楷。 |</v>
      </c>
    </row>
    <row r="8755" spans="1:44" hidden="1">
      <c r="A8755" s="1" t="s">
        <v>17067</v>
      </c>
      <c r="C8755" s="1">
        <v>1</v>
      </c>
      <c r="D8755" s="1" t="str">
        <f>"07191"</f>
        <v>07191</v>
      </c>
      <c r="E8755" s="1" t="s">
        <v>245</v>
      </c>
      <c r="F8755" s="1">
        <v>19</v>
      </c>
      <c r="G8755" s="1">
        <v>17</v>
      </c>
      <c r="H8755" s="1">
        <v>2</v>
      </c>
      <c r="I8755" s="1" t="s">
        <v>17040</v>
      </c>
      <c r="K8755" s="1" t="str">
        <f t="shared" si="552"/>
        <v>ㄒ</v>
      </c>
      <c r="L8755" s="1" t="str">
        <f t="shared" si="553"/>
        <v>ㄧ</v>
      </c>
      <c r="M8755" s="1" t="str">
        <f t="shared" si="551"/>
        <v>ㄤ</v>
      </c>
      <c r="P8755" s="1" t="s">
        <v>20</v>
      </c>
      <c r="R8755" s="1" t="s">
        <v>17041</v>
      </c>
      <c r="V8755" s="1" t="s">
        <v>17068</v>
      </c>
      <c r="W8755" s="1" t="s">
        <v>17069</v>
      </c>
      <c r="AR8755" s="1" t="str">
        <f t="shared" si="550"/>
        <v>| [ㄒㄧㄤ](ㄒㄧㄤ.md) | [勷](勷.md) |  | xiāng | [動]
成就、完成。同「襄」。如：「共勷盛舉」。 |</v>
      </c>
    </row>
    <row r="8756" spans="1:44" hidden="1">
      <c r="A8756" s="1" t="s">
        <v>17070</v>
      </c>
      <c r="C8756" s="1">
        <v>1</v>
      </c>
      <c r="D8756" s="1" t="str">
        <f>"07192"</f>
        <v>07192</v>
      </c>
      <c r="E8756" s="1" t="s">
        <v>142</v>
      </c>
      <c r="F8756" s="1">
        <v>21</v>
      </c>
      <c r="G8756" s="1">
        <v>17</v>
      </c>
      <c r="H8756" s="1">
        <v>0</v>
      </c>
      <c r="I8756" s="1" t="s">
        <v>17040</v>
      </c>
      <c r="K8756" s="1" t="str">
        <f t="shared" si="552"/>
        <v>ㄒ</v>
      </c>
      <c r="L8756" s="1" t="str">
        <f t="shared" si="553"/>
        <v>ㄧ</v>
      </c>
      <c r="M8756" s="1" t="str">
        <f t="shared" si="551"/>
        <v>ㄤ</v>
      </c>
      <c r="P8756" s="1" t="s">
        <v>20</v>
      </c>
      <c r="R8756" s="1" t="s">
        <v>17041</v>
      </c>
      <c r="V8756" s="1" t="s">
        <v>17071</v>
      </c>
      <c r="AR8756" s="1" t="str">
        <f t="shared" si="550"/>
        <v>| [ㄒㄧㄤ](ㄒㄧㄤ.md) | [瓖](瓖.md) |  | xiāng | [名]
馬帶上的玉飾。《文選．張衡．東京賦》：「鉤膺玉瓖。」三國吳．薛綜．注：「瓖，馬帶玦以玉飾也。」
[動]
鑲嵌。同「鑲」。明．方以智《物理小識．卷八．器用類．裝潢法》：「故縣壁不瓦，瓖攢必俟天潤。」 |</v>
      </c>
    </row>
    <row r="8757" spans="1:44" hidden="1">
      <c r="A8757" s="1" t="s">
        <v>17072</v>
      </c>
      <c r="C8757" s="1">
        <v>1</v>
      </c>
      <c r="D8757" s="1" t="str">
        <f>"07193"</f>
        <v>07193</v>
      </c>
      <c r="E8757" s="1" t="s">
        <v>725</v>
      </c>
      <c r="F8757" s="1">
        <v>23</v>
      </c>
      <c r="G8757" s="1">
        <v>17</v>
      </c>
      <c r="H8757" s="1">
        <v>0</v>
      </c>
      <c r="I8757" s="1" t="s">
        <v>17040</v>
      </c>
      <c r="K8757" s="1" t="str">
        <f t="shared" si="552"/>
        <v>ㄒ</v>
      </c>
      <c r="L8757" s="1" t="str">
        <f t="shared" si="553"/>
        <v>ㄧ</v>
      </c>
      <c r="M8757" s="1" t="str">
        <f t="shared" si="551"/>
        <v>ㄤ</v>
      </c>
      <c r="P8757" s="1" t="s">
        <v>20</v>
      </c>
      <c r="R8757" s="1" t="s">
        <v>17041</v>
      </c>
      <c r="V8757" s="1" t="s">
        <v>17073</v>
      </c>
      <c r="AR8757" s="1" t="str">
        <f t="shared" si="550"/>
        <v>| [ㄒㄧㄤ](ㄒㄧㄤ.md) | [纕](纕.md) |  | xiāng | [名]
佩帶。《楚辭．屈原．離騷》：「既替余以蕙纕兮，又申之以攬茝。」 |</v>
      </c>
    </row>
    <row r="8758" spans="1:44" hidden="1">
      <c r="A8758" s="1" t="s">
        <v>17074</v>
      </c>
      <c r="C8758" s="1">
        <v>1</v>
      </c>
      <c r="D8758" s="1" t="str">
        <f>"07194"</f>
        <v>07194</v>
      </c>
      <c r="E8758" s="1" t="s">
        <v>55</v>
      </c>
      <c r="F8758" s="1">
        <v>25</v>
      </c>
      <c r="G8758" s="1">
        <v>17</v>
      </c>
      <c r="H8758" s="1">
        <v>1</v>
      </c>
      <c r="I8758" s="1" t="s">
        <v>17040</v>
      </c>
      <c r="K8758" s="1" t="str">
        <f t="shared" si="552"/>
        <v>ㄒ</v>
      </c>
      <c r="L8758" s="1" t="str">
        <f t="shared" si="553"/>
        <v>ㄧ</v>
      </c>
      <c r="M8758" s="1" t="str">
        <f t="shared" si="551"/>
        <v>ㄤ</v>
      </c>
      <c r="P8758" s="1" t="s">
        <v>20</v>
      </c>
      <c r="R8758" s="1" t="s">
        <v>17041</v>
      </c>
      <c r="V8758" s="1" t="s">
        <v>17075</v>
      </c>
      <c r="W8758" s="1" t="s">
        <v>17076</v>
      </c>
      <c r="AR8758" s="1" t="str">
        <f t="shared" si="550"/>
        <v>| [ㄒㄧㄤ](ㄒㄧㄤ.md) | [鑲](鑲.md) |  | xiāng | [名]
武器名。古代一種類似劍的兵器。漢．劉熙《釋名．釋兵》：「鉤鑲，兩頭曰鉤，中央曰鑲，或推鑲，或鉤引，用之之宜也。」
[動]
把東西嵌入、配製在另一物體的中間或邊緣。如：「鑲邊」、「鑲牙齒」、「鑲寶石的戒指。」 |</v>
      </c>
    </row>
    <row r="8759" spans="1:44" hidden="1">
      <c r="A8759" s="1" t="s">
        <v>17077</v>
      </c>
      <c r="C8759" s="1">
        <v>1</v>
      </c>
      <c r="D8759" s="1" t="str">
        <f>"07195"</f>
        <v>07195</v>
      </c>
      <c r="E8759" s="1" t="s">
        <v>319</v>
      </c>
      <c r="F8759" s="1">
        <v>27</v>
      </c>
      <c r="G8759" s="1">
        <v>17</v>
      </c>
      <c r="H8759" s="1">
        <v>0</v>
      </c>
      <c r="I8759" s="1" t="s">
        <v>17040</v>
      </c>
      <c r="K8759" s="1" t="str">
        <f t="shared" si="552"/>
        <v>ㄒ</v>
      </c>
      <c r="L8759" s="1" t="str">
        <f t="shared" si="553"/>
        <v>ㄧ</v>
      </c>
      <c r="M8759" s="1" t="str">
        <f t="shared" si="551"/>
        <v>ㄤ</v>
      </c>
      <c r="P8759" s="1" t="s">
        <v>20</v>
      </c>
      <c r="R8759" s="1" t="s">
        <v>17041</v>
      </c>
      <c r="V8759" s="1" t="s">
        <v>17078</v>
      </c>
      <c r="AR8759" s="1" t="str">
        <f t="shared" si="550"/>
        <v>| [ㄒㄧㄤ](ㄒㄧㄤ.md) | [驤](驤.md) |  | xiāng | [名]
後右足白色的馬。《爾雅．釋畜》：「後右足白，驤。」
[動]
1.奔馳、跳躍。三國魏．曹植〈五遊詠〉：「華蓋芬晻藹，六龍仰天驤。」唐．杜甫〈韋諷錄事宅觀曹將軍畫馬圖〉詩：「騰驤磊落三萬匹，皆與此圖筋骨同。」
2.高舉。《文選．嵇康．琴賦》：「披重壤以誕載兮，參辰極而高驤。」 |</v>
      </c>
    </row>
    <row r="8760" spans="1:44" hidden="1">
      <c r="A8760" s="1" t="s">
        <v>17079</v>
      </c>
      <c r="C8760" s="1">
        <v>1</v>
      </c>
      <c r="D8760" s="1" t="str">
        <f>"07196"</f>
        <v>07196</v>
      </c>
      <c r="E8760" s="1" t="s">
        <v>43</v>
      </c>
      <c r="F8760" s="1">
        <v>6</v>
      </c>
      <c r="G8760" s="1">
        <v>0</v>
      </c>
      <c r="H8760" s="1">
        <v>2</v>
      </c>
      <c r="I8760" s="1" t="s">
        <v>17080</v>
      </c>
      <c r="K8760" s="1" t="str">
        <f t="shared" si="552"/>
        <v>ㄒ</v>
      </c>
      <c r="L8760" s="1" t="str">
        <f t="shared" si="553"/>
        <v>ㄧ</v>
      </c>
      <c r="M8760" s="1" t="str">
        <f t="shared" si="551"/>
        <v>ㄤ</v>
      </c>
      <c r="P8760" s="1" t="s">
        <v>20</v>
      </c>
      <c r="R8760" s="1" t="s">
        <v>17081</v>
      </c>
      <c r="V8760" s="1" t="s">
        <v>17082</v>
      </c>
      <c r="W8760" s="1" t="s">
        <v>17083</v>
      </c>
      <c r="AR8760" s="1" t="str">
        <f t="shared" si="550"/>
        <v>| [ㄒㄧㄤˊ](ㄒㄧㄤˊ.md) | [羊](羊.md) |  | xiáng | [形]
吉利、吉祥。通「祥」。如：「吉羊如意」。 |</v>
      </c>
    </row>
    <row r="8761" spans="1:44" hidden="1">
      <c r="A8761" s="1" t="s">
        <v>17084</v>
      </c>
      <c r="C8761" s="1">
        <v>1</v>
      </c>
      <c r="D8761" s="1" t="str">
        <f>"07197"</f>
        <v>07197</v>
      </c>
      <c r="E8761" s="1" t="s">
        <v>447</v>
      </c>
      <c r="F8761" s="1">
        <v>9</v>
      </c>
      <c r="G8761" s="1">
        <v>6</v>
      </c>
      <c r="H8761" s="1">
        <v>0</v>
      </c>
      <c r="I8761" s="1" t="s">
        <v>17080</v>
      </c>
      <c r="K8761" s="1" t="str">
        <f t="shared" si="552"/>
        <v>ㄒ</v>
      </c>
      <c r="L8761" s="1" t="str">
        <f t="shared" si="553"/>
        <v>ㄧ</v>
      </c>
      <c r="M8761" s="1" t="str">
        <f t="shared" si="551"/>
        <v>ㄤ</v>
      </c>
      <c r="P8761" s="1" t="s">
        <v>20</v>
      </c>
      <c r="R8761" s="1" t="s">
        <v>17081</v>
      </c>
      <c r="V8761" s="1" t="s">
        <v>17085</v>
      </c>
      <c r="AR8761" s="1" t="str">
        <f t="shared" si="550"/>
        <v>| [ㄒㄧㄤˊ](ㄒㄧㄤˊ.md) | [庠](庠.md) |  | xiáng | [名]
古代的學校名稱。如：「郡庠」、「邑庠」。《孟子．滕文公上》：「夏曰校，殷曰序，周曰庠，學則三代共之，皆所以明人倫也。」《荀子．大略》：「立大學，設庠序，脩六禮，明十教，所以道之也。」 |</v>
      </c>
    </row>
    <row r="8762" spans="1:44" hidden="1">
      <c r="A8762" s="1" t="s">
        <v>17086</v>
      </c>
      <c r="C8762" s="1">
        <v>1</v>
      </c>
      <c r="D8762" s="1" t="str">
        <f>"07198"</f>
        <v>07198</v>
      </c>
      <c r="E8762" s="1" t="s">
        <v>825</v>
      </c>
      <c r="F8762" s="1">
        <v>11</v>
      </c>
      <c r="G8762" s="1">
        <v>6</v>
      </c>
      <c r="H8762" s="1">
        <v>0</v>
      </c>
      <c r="I8762" s="1" t="s">
        <v>17080</v>
      </c>
      <c r="K8762" s="1" t="str">
        <f t="shared" si="552"/>
        <v>ㄒ</v>
      </c>
      <c r="L8762" s="1" t="str">
        <f t="shared" si="553"/>
        <v>ㄧ</v>
      </c>
      <c r="M8762" s="1" t="str">
        <f t="shared" si="551"/>
        <v>ㄤ</v>
      </c>
      <c r="P8762" s="1" t="s">
        <v>20</v>
      </c>
      <c r="R8762" s="1" t="s">
        <v>17081</v>
      </c>
      <c r="V8762" s="1" t="s">
        <v>17087</v>
      </c>
      <c r="AR8762" s="1" t="str">
        <f t="shared" si="550"/>
        <v>| [ㄒㄧㄤˊ](ㄒㄧㄤˊ.md) | [祥](祥.md) |  | xiáng | [名]
1.泛指一切福善吉利的事物。《書經．伊訓》：「作善，降之百祥。」《漢書．卷八．宣帝紀》：「神光並見，咸受禎祥。」
2.吉凶的徵兆。亦偏指吉兆或凶兆。《書經．咸有一德》：「亳有祥，桑、穀共生于朝。」唐．孔穎達．正義：「祥是惡事先見之徵。」《左傳．僖公十六年》：「是何祥也？吉凶焉在？」
3.古代喪禮祭祀的名稱。父母之喪，周年祭稱為「小祥」；兩周年祭稱為「大祥」。
4.姓。如清代有祥厚。
[形]
1.吉利的。如：「祥雲」、「祥瑞」、「吉祥如意」。《老子》第三一章：「夫佳兵者不祥之器。」
2.良善平和。如：「慈祥」、「祥和社會」。
[動]
依從、遵循。《淮南子．氾論》：「得於人理，順於天地，祥於鬼神，則可以正治矣。」 |</v>
      </c>
    </row>
    <row r="8763" spans="1:44" hidden="1">
      <c r="A8763" s="1" t="s">
        <v>17088</v>
      </c>
      <c r="C8763" s="1">
        <v>1</v>
      </c>
      <c r="D8763" s="1" t="str">
        <f>"07199"</f>
        <v>07199</v>
      </c>
      <c r="E8763" s="1" t="s">
        <v>2271</v>
      </c>
      <c r="F8763" s="1">
        <v>12</v>
      </c>
      <c r="G8763" s="1">
        <v>6</v>
      </c>
      <c r="H8763" s="1">
        <v>0</v>
      </c>
      <c r="I8763" s="1" t="s">
        <v>17080</v>
      </c>
      <c r="K8763" s="1" t="str">
        <f t="shared" si="552"/>
        <v>ㄒ</v>
      </c>
      <c r="L8763" s="1" t="str">
        <f t="shared" si="553"/>
        <v>ㄧ</v>
      </c>
      <c r="M8763" s="1" t="str">
        <f t="shared" si="551"/>
        <v>ㄤ</v>
      </c>
      <c r="P8763" s="1" t="s">
        <v>20</v>
      </c>
      <c r="R8763" s="1" t="s">
        <v>17081</v>
      </c>
      <c r="V8763" s="1" t="s">
        <v>17089</v>
      </c>
      <c r="AR8763" s="1" t="str">
        <f t="shared" si="550"/>
        <v>| [ㄒㄧㄤˊ](ㄒㄧㄤˊ.md) | [翔](翔.md) |  | xiáng | [動]
1.繞圈飛行。如：「飛翔」、「滑翔」。
2.張開雙臂行走。形如鳥翼舒展，故稱為「翔」。《禮記．曲禮上》：「室中不翔，並坐不橫肱。」漢．鄭玄．注：「行而張拱曰翔。」
3.棲息、棲止。漢．桓寬《鹽鐵論．未通》：「故代馬依北風，飛鳥翔故巢，莫不哀其生。」漢．禰衡〈鸚鵡賦〉：「飛不妄集，翔必擇林。」
[形]
1.詳細確實。通「詳」。《漢書．卷九六．西域傳．序》：「其土地山川王侯戶數道里遠近翔實矣。」
2.吉祥。通「祥」。《易經．豐卦．象曰》：「豐其屋，天際翔也。」漢．王充《論衡．是應》：「翔風起，甘露降。」
[副]
上升、高漲。《漢書．卷二四．食貨志上》：「穀賈翔貴。」 |</v>
      </c>
    </row>
    <row r="8764" spans="1:44" hidden="1">
      <c r="A8764" s="1" t="s">
        <v>17090</v>
      </c>
      <c r="C8764" s="1">
        <v>1</v>
      </c>
      <c r="D8764" s="1" t="str">
        <f>"07200"</f>
        <v>07200</v>
      </c>
      <c r="E8764" s="1" t="s">
        <v>331</v>
      </c>
      <c r="F8764" s="1">
        <v>13</v>
      </c>
      <c r="G8764" s="1">
        <v>6</v>
      </c>
      <c r="H8764" s="1">
        <v>0</v>
      </c>
      <c r="I8764" s="1" t="s">
        <v>17080</v>
      </c>
      <c r="K8764" s="1" t="str">
        <f t="shared" si="552"/>
        <v>ㄒ</v>
      </c>
      <c r="L8764" s="1" t="str">
        <f t="shared" si="553"/>
        <v>ㄧ</v>
      </c>
      <c r="M8764" s="1" t="str">
        <f t="shared" si="551"/>
        <v>ㄤ</v>
      </c>
      <c r="P8764" s="1" t="s">
        <v>20</v>
      </c>
      <c r="R8764" s="1" t="s">
        <v>17081</v>
      </c>
      <c r="V8764" s="1" t="s">
        <v>17091</v>
      </c>
      <c r="AR8764" s="1" t="str">
        <f t="shared" si="550"/>
        <v>| [ㄒㄧㄤˊ](ㄒㄧㄤˊ.md) | [詳](詳.md) |  | xiáng | [動]
1.審察議斷。《書經．蔡仲之命》：「詳乃視聽。」《資治通鑑．卷七七．魏紀九．元帝景元元年》：「禍殆不測，宜見重詳。」
2.明白、知道。《樂府詩集．卷七三．雜曲歌辭十三．古辭．焦仲卿妻》：「果不如先願，又非君所詳。」晉．陶淵明〈五柳先生傳〉：「先生不知何許人也，亦不詳其姓字。」
3.細述、陳述。如：「內詳」。《詩經．鄘風．牆有茨》：「中冓之言，不可詳也。」《隋書．卷一八．律曆志下》：「古史所詳，事有紛互。」
[副]
審慎、仔細、周全。如：「詳察」、「詳談」。《漢書．卷六．武帝紀》：「故詳延天下方聞之士，咸薦諸朝。」
[形]
1.完備、仔細。清．曾國藩〈聖哲畫像記〉：「班志較詳矣，而斷代為書，無以觀其會通。」
2.從容、莊重。如：「安詳」。《文選．宋玉．神女賦》：「性沉詳而不煩。」
[名]
古代官吏上呈長官的文書。元．孟漢卿《魔合羅》第三折：「這的是打家劫盜勘完的贓，這個是犯界茶鹽取定的詳。」 |</v>
      </c>
    </row>
    <row r="8765" spans="1:44" hidden="1">
      <c r="A8765" s="1" t="s">
        <v>14202</v>
      </c>
      <c r="C8765" s="1">
        <v>1</v>
      </c>
      <c r="D8765" s="1" t="str">
        <f>"07201"</f>
        <v>07201</v>
      </c>
      <c r="E8765" s="1" t="s">
        <v>691</v>
      </c>
      <c r="F8765" s="1">
        <v>9</v>
      </c>
      <c r="G8765" s="1">
        <v>6</v>
      </c>
      <c r="H8765" s="1">
        <v>2</v>
      </c>
      <c r="I8765" s="1" t="s">
        <v>17080</v>
      </c>
      <c r="K8765" s="1" t="str">
        <f t="shared" si="552"/>
        <v>ㄒ</v>
      </c>
      <c r="L8765" s="1" t="str">
        <f t="shared" si="553"/>
        <v>ㄧ</v>
      </c>
      <c r="M8765" s="1" t="str">
        <f t="shared" si="551"/>
        <v>ㄤ</v>
      </c>
      <c r="P8765" s="1" t="s">
        <v>20</v>
      </c>
      <c r="R8765" s="1" t="s">
        <v>17081</v>
      </c>
      <c r="V8765" s="1" t="s">
        <v>17092</v>
      </c>
      <c r="W8765" s="1" t="s">
        <v>17093</v>
      </c>
      <c r="AR8765" s="1" t="str">
        <f t="shared" si="550"/>
        <v>| [ㄒㄧㄤˊ](ㄒㄧㄤˊ.md) | [降](降.md) |  | xiáng | [動]
1.屈服、服從。如：「投降」、「寧死不降」。《春秋．莊公八年》：「夏，師及齊師圍郕，郕降于齊師。」
2.制服、馴服。如：「降龍伏虎」、「一物降一物」。唐．杜甫〈秦州雜詩〉二〇首之三：「降虜兼千帳，居人有萬家。」 |</v>
      </c>
    </row>
    <row r="8766" spans="1:44" hidden="1">
      <c r="A8766" s="1" t="s">
        <v>17094</v>
      </c>
      <c r="C8766" s="1">
        <v>1</v>
      </c>
      <c r="D8766" s="1" t="str">
        <f>"07202"</f>
        <v>07202</v>
      </c>
      <c r="E8766" s="1" t="s">
        <v>139</v>
      </c>
      <c r="F8766" s="1">
        <v>10</v>
      </c>
      <c r="G8766" s="1">
        <v>6</v>
      </c>
      <c r="H8766" s="1">
        <v>0</v>
      </c>
      <c r="I8766" s="1" t="s">
        <v>17080</v>
      </c>
      <c r="K8766" s="1" t="str">
        <f t="shared" si="552"/>
        <v>ㄒ</v>
      </c>
      <c r="L8766" s="1" t="str">
        <f t="shared" si="553"/>
        <v>ㄧ</v>
      </c>
      <c r="M8766" s="1" t="str">
        <f t="shared" si="551"/>
        <v>ㄤ</v>
      </c>
      <c r="P8766" s="1" t="s">
        <v>20</v>
      </c>
      <c r="R8766" s="1" t="s">
        <v>17081</v>
      </c>
      <c r="V8766" s="1" t="s">
        <v>17095</v>
      </c>
      <c r="AR8766" s="1" t="str">
        <f t="shared" si="550"/>
        <v>| [ㄒㄧㄤˊ](ㄒㄧㄤˊ.md) | [栙](栙.md) |  | xiáng | 參見「栙䉶」條。 |</v>
      </c>
    </row>
    <row r="8767" spans="1:44" hidden="1">
      <c r="A8767" s="1" t="s">
        <v>17096</v>
      </c>
      <c r="C8767" s="1">
        <v>1</v>
      </c>
      <c r="D8767" s="1" t="str">
        <f>"07203"</f>
        <v>07203</v>
      </c>
      <c r="E8767" s="1" t="s">
        <v>367</v>
      </c>
      <c r="F8767" s="1">
        <v>8</v>
      </c>
      <c r="G8767" s="1">
        <v>6</v>
      </c>
      <c r="H8767" s="1">
        <v>0</v>
      </c>
      <c r="I8767" s="1" t="s">
        <v>17097</v>
      </c>
      <c r="K8767" s="1" t="str">
        <f t="shared" si="552"/>
        <v>ㄒ</v>
      </c>
      <c r="L8767" s="1" t="str">
        <f t="shared" si="553"/>
        <v>ㄧ</v>
      </c>
      <c r="M8767" s="1" t="str">
        <f t="shared" si="551"/>
        <v>ㄤ</v>
      </c>
      <c r="P8767" s="1" t="s">
        <v>20</v>
      </c>
      <c r="R8767" s="1" t="s">
        <v>17098</v>
      </c>
      <c r="V8767" s="1" t="s">
        <v>17099</v>
      </c>
      <c r="AR8767" s="1" t="str">
        <f t="shared" si="550"/>
        <v>| [ㄒㄧㄤˇ](ㄒㄧㄤˇ.md) | [享](享.md) |  | xiǎng | [動]
1.進貢、進獻。《詩經．商頌．殷武》：「自彼氐羌，莫敢不來享。」《禮記．曲禮下》：「五官致貢曰享。」
2.祭祀、供奉。《新唐書．卷一一．禮樂志一》：「孟春吉亥，享先農，遂以耕籍。」《西遊記》第三回：「殺牛宰馬，祭天享地。」
3.設宴請客。唐．韓愈〈送湖南李正字序〉：「日為酒殺羊享賓客。」
4.受用、擁有。如：「享譽」、「坐享其成」、「有福同享」。《左傳．僖公二十三年》：「保君父之命，而享其生祿。」元．關漢卿《竇娥冤》第三折：「為善的受貧窮更命短，造惡的享富貴又壽延。」 |</v>
      </c>
    </row>
    <row r="8768" spans="1:44" hidden="1">
      <c r="A8768" s="1" t="s">
        <v>17100</v>
      </c>
      <c r="C8768" s="1">
        <v>1</v>
      </c>
      <c r="D8768" s="1" t="str">
        <f>"07204"</f>
        <v>07204</v>
      </c>
      <c r="E8768" s="1" t="s">
        <v>250</v>
      </c>
      <c r="F8768" s="1">
        <v>13</v>
      </c>
      <c r="G8768" s="1">
        <v>9</v>
      </c>
      <c r="H8768" s="1">
        <v>0</v>
      </c>
      <c r="I8768" s="1" t="s">
        <v>17097</v>
      </c>
      <c r="K8768" s="1" t="str">
        <f t="shared" si="552"/>
        <v>ㄒ</v>
      </c>
      <c r="L8768" s="1" t="str">
        <f t="shared" si="553"/>
        <v>ㄧ</v>
      </c>
      <c r="M8768" s="1" t="str">
        <f t="shared" si="551"/>
        <v>ㄤ</v>
      </c>
      <c r="P8768" s="1" t="s">
        <v>20</v>
      </c>
      <c r="R8768" s="1" t="s">
        <v>17098</v>
      </c>
      <c r="V8768" s="1" t="s">
        <v>17101</v>
      </c>
      <c r="AR8768" s="1" t="str">
        <f t="shared" si="550"/>
        <v>| [ㄒㄧㄤˇ](ㄒㄧㄤˇ.md) | [想](想.md) |  | xiǎng | [動]
1.思索、思考。如：「想辦法」、「想不出所以然」。元．馬致遠〈夜行船．酒病花愁何日徹套．離亭宴煞〉：「煮酒燒紅葉，想人生有限杯，渾幾個重陽節。」
2.欲、要、打算、希望。如：「想結婚」、「想出國」。《文選．劉琨．勸進表》：「四海想中興之美，群生懷來蘇之望。」
3.推測、猜度。如：「料想」、「推想」、「猜想」。《後漢書．卷七〇．孔融傳》：「以今度之，想當然耳。」
4.認為、覺得。如：「你想這樣對不對？」、「我想你應該回家一趟。」
5.思念、懷念。如：「想念」。《文選．李陵．答蘇武書》：「望風懷想，能不依依？」唐．杜甫〈客居〉詩：「覽物想故國，十年別荒村。」
6.似、像。唐．李白〈清平調〉三首之一：「雲想衣裳花想容，春風拂檻露華濃。」唐．杜甫〈東屯月夜〉詩：「數驚聞雀噪，暫睡想猿蹲。」
[名]
念頭、意念。如：「夢想」、「理想」、「不作此想」。《文選．孔稚珪．北山移文》：「蕭灑出塵之想。」 |</v>
      </c>
    </row>
    <row r="8769" spans="1:44" hidden="1">
      <c r="A8769" s="1" t="s">
        <v>17102</v>
      </c>
      <c r="C8769" s="1">
        <v>1</v>
      </c>
      <c r="D8769" s="1" t="str">
        <f>"07205"</f>
        <v>07205</v>
      </c>
      <c r="E8769" s="1" t="s">
        <v>193</v>
      </c>
      <c r="F8769" s="1">
        <v>14</v>
      </c>
      <c r="G8769" s="1">
        <v>6</v>
      </c>
      <c r="H8769" s="1">
        <v>0</v>
      </c>
      <c r="I8769" s="1" t="s">
        <v>17097</v>
      </c>
      <c r="K8769" s="1" t="str">
        <f t="shared" si="552"/>
        <v>ㄒ</v>
      </c>
      <c r="L8769" s="1" t="str">
        <f t="shared" si="553"/>
        <v>ㄧ</v>
      </c>
      <c r="M8769" s="1" t="str">
        <f t="shared" si="551"/>
        <v>ㄤ</v>
      </c>
      <c r="P8769" s="1" t="s">
        <v>20</v>
      </c>
      <c r="R8769" s="1" t="s">
        <v>17098</v>
      </c>
      <c r="V8769" s="1" t="s">
        <v>17103</v>
      </c>
      <c r="AR8769" s="1" t="str">
        <f t="shared" si="550"/>
        <v>| [ㄒㄧㄤˇ](ㄒㄧㄤˇ.md) | [餉](餉.md) |  | xiǎng | [動]
1.送食物給人。《孟子．滕文公下》：「有童子以黍肉餉，殺而奪之。」唐．王維〈積雨輞川莊作〉詩：「積雨空林煙火遲，蒸藜炊黍餉東菑。」
2.餽贈、贈送。《三國志．卷二．魏書．文帝紀》「號曰『皇覽』」句下裴松之注引胡沖《吳曆》曰：「帝以素書所著典論及詩賦餉孫權。」
[名]
1.軍警的錢糧、俸給。如：「發餉」、「領餉」、「關餉」。《聊齋志異．卷一一．王者》：「湖南巡撫某公，遣州佐押解餉六十萬赴京。」
2.短暫、不久的時間。通「晌」。唐．韓愈〈醉贈張祕書〉詩：「雖得一餉樂，有如聚飛蚊。」 |</v>
      </c>
    </row>
    <row r="8770" spans="1:44" hidden="1">
      <c r="A8770" s="1" t="s">
        <v>17104</v>
      </c>
      <c r="C8770" s="1">
        <v>1</v>
      </c>
      <c r="D8770" s="1" t="str">
        <f>"07206"</f>
        <v>07206</v>
      </c>
      <c r="E8770" s="1" t="s">
        <v>156</v>
      </c>
      <c r="F8770" s="1">
        <v>19</v>
      </c>
      <c r="G8770" s="1">
        <v>8</v>
      </c>
      <c r="H8770" s="1">
        <v>0</v>
      </c>
      <c r="I8770" s="1" t="s">
        <v>17097</v>
      </c>
      <c r="K8770" s="1" t="str">
        <f t="shared" si="552"/>
        <v>ㄒ</v>
      </c>
      <c r="L8770" s="1" t="str">
        <f t="shared" si="553"/>
        <v>ㄧ</v>
      </c>
      <c r="M8770" s="1" t="str">
        <f t="shared" si="551"/>
        <v>ㄤ</v>
      </c>
      <c r="P8770" s="1" t="s">
        <v>20</v>
      </c>
      <c r="R8770" s="1" t="s">
        <v>17098</v>
      </c>
      <c r="V8770" s="1" t="s">
        <v>17105</v>
      </c>
      <c r="AR8770" s="1" t="str">
        <f t="shared" si="550"/>
        <v>| [ㄒㄧㄤˇ](ㄒㄧㄤˇ.md) | [鯗](鯗.md) |  | xiǎng | [名]
晒乾的魚。如：「鹹鯗」、「白鯗」。晉．王羲之〈雜帖五〉：「石首鯗食之，消瓜成水。」 |</v>
      </c>
    </row>
    <row r="8771" spans="1:44" hidden="1">
      <c r="A8771" s="1" t="s">
        <v>17106</v>
      </c>
      <c r="C8771" s="1">
        <v>1</v>
      </c>
      <c r="D8771" s="1" t="str">
        <f>"07207"</f>
        <v>07207</v>
      </c>
      <c r="E8771" s="1" t="s">
        <v>14314</v>
      </c>
      <c r="F8771" s="1">
        <v>21</v>
      </c>
      <c r="G8771" s="1">
        <v>12</v>
      </c>
      <c r="H8771" s="1">
        <v>0</v>
      </c>
      <c r="I8771" s="1" t="s">
        <v>17097</v>
      </c>
      <c r="K8771" s="1" t="str">
        <f t="shared" si="552"/>
        <v>ㄒ</v>
      </c>
      <c r="L8771" s="1" t="str">
        <f t="shared" si="553"/>
        <v>ㄧ</v>
      </c>
      <c r="M8771" s="1" t="str">
        <f t="shared" si="551"/>
        <v>ㄤ</v>
      </c>
      <c r="P8771" s="1" t="s">
        <v>20</v>
      </c>
      <c r="R8771" s="1" t="s">
        <v>17098</v>
      </c>
      <c r="V8771" s="1" t="s">
        <v>17107</v>
      </c>
      <c r="AR8771" s="1" t="str">
        <f t="shared" ref="AR8771:AR8834" si="554">"| ["&amp;I8771&amp;"]("&amp;I8771&amp;".md) | ["&amp;A8771&amp;"]("&amp;A8771&amp;".md) | "&amp;" | "&amp;R8771&amp;" | "&amp;V8771&amp;" |"</f>
        <v>| [ㄒㄧㄤˇ](ㄒㄧㄤˇ.md) | [響](響.md) |  | xiǎng | [名]_x000D_
1.回聲。《淮南子．主術》：「天下從之，如響之應聲。」唐．李白〈聽蜀僧濬彈琴〉詩：「客心洗流水，餘響入霜鐘。」_x000D_
2.聲音。如：「聲響」、「不同凡響」。唐．駱賓王〈在獄詠蟬〉詩：「露重飛難進，風多響易沉。」清．紀昀《閱微草堂筆記．卷一四．槐西雜志四》：「一女拈笛欲吹，瞥見人影，以笛指之，遽僵如束縛，然耳目猶能視聽，俄清響透雲，曼聲動魄。」_x000D_
3.音訊、訊息。三國魏．鄧艾〈報後主降書〉：「銜命來征，思聞嘉響。」_x000D_
[量]_x000D_
計算聲音發出的次數。如：「外國元首來訪，鳴放禮炮二十一響。」《二刻拍案驚奇》卷三六：「王甲夫妻夜裡睡覺，只聽得竹床栗喇有聲。撲的一響，像似甚重物跌下地來的光景。」《文明小史》第四六回：「這才恍然大悟，剛才嘣嘣嘣幾響，想是磕頭了。勞航芥不覺大笑。」_x000D_
[動]_x000D_
發出聲音。如：「不聲不響」。南朝梁．吳均〈與顧章書〉：「蟬吟鶴唳，水響猿啼。」《封神演義》第三八回：「言還未畢，只聽得後面鼓響，旗旛開處，走出四樣異獸。」《好逑傳》第一六回：「鼓不打不響，鐘不撞不鳴。」_x000D_
[形]_x000D_
1.能發出聲音的。如：「響板」。《西遊記》第一二回：「唐王大駕，早到寺前。吩咐住了音樂響器。下了車輦，引著多官，拜佛拈香。」《儒林外史》第三四回：「響箭過處，就有無數騎馬的從林子裡奔出來。」_x000D_
2.聲音宏亮。如：「鞭炮放得真響。」「他口哨吹得很響。」《醒世恆言．卷七．錢秀才錯占鳳凰儔》：「高贊叫樂人住了吹打，聽時，一片風聲，吹得怪響，眾皆愕然。」_x000D_
3.有名、名氣大的。如：「名字很響」、「響噹噹的人物。」《儒林外史》第四五回：「仁大典方六房裡，都是我們五門四關廂裡錚錚響的鄉紳。」_x000D_
4.有影響力的。如：「他話說得很響。」 |</v>
      </c>
    </row>
    <row r="8772" spans="1:44" hidden="1">
      <c r="A8772" s="1" t="s">
        <v>17108</v>
      </c>
      <c r="C8772" s="1">
        <v>1</v>
      </c>
      <c r="D8772" s="1" t="str">
        <f>"07208"</f>
        <v>07208</v>
      </c>
      <c r="E8772" s="1" t="s">
        <v>193</v>
      </c>
      <c r="F8772" s="1">
        <v>21</v>
      </c>
      <c r="G8772" s="1">
        <v>12</v>
      </c>
      <c r="H8772" s="1">
        <v>0</v>
      </c>
      <c r="I8772" s="1" t="s">
        <v>17097</v>
      </c>
      <c r="K8772" s="1" t="str">
        <f t="shared" si="552"/>
        <v>ㄒ</v>
      </c>
      <c r="L8772" s="1" t="str">
        <f t="shared" si="553"/>
        <v>ㄧ</v>
      </c>
      <c r="M8772" s="1" t="str">
        <f t="shared" si="551"/>
        <v>ㄤ</v>
      </c>
      <c r="P8772" s="1" t="s">
        <v>20</v>
      </c>
      <c r="R8772" s="1" t="s">
        <v>17098</v>
      </c>
      <c r="V8772" s="1" t="s">
        <v>17109</v>
      </c>
      <c r="AR8772" s="1" t="str">
        <f t="shared" si="554"/>
        <v>| [ㄒㄧㄤˇ](ㄒㄧㄤˇ.md) | [饗](饗.md) |  | xiǎng | [動]
1.以盛宴款待賓客。泛指供人享用。如：「宴饗」、「饗客」、「以饗讀者」。《公羊傳．莊公四年》：「夫人姜氏饗齊侯于祝丘。」《史記．卷七．項羽本紀》：「旦日饗士卒，為擊破沛公軍。」
2.祭祀。通「享」。三國魏．曹植〈精微篇〉：「備禮饗神祇，為君求福先。」
3.受用、享用。《史記．卷二九．河渠書》：「此渠皆可行舟，有餘則用溉浸，百姓饗其利。」《晉書．卷四．惠帝紀》：「豈在予一人獨饗其慶，宗廟社稷實有賴焉。」
[名]
祭禮。如：「大饗」、「饗禮」。《禮記．月令》：「以共皇天上帝社稷之饗。」 |</v>
      </c>
    </row>
    <row r="8773" spans="1:44" hidden="1">
      <c r="A8773" s="1" t="s">
        <v>17110</v>
      </c>
      <c r="C8773" s="1">
        <v>1</v>
      </c>
      <c r="D8773" s="1" t="str">
        <f>"07209"</f>
        <v>07209</v>
      </c>
      <c r="E8773" s="1" t="s">
        <v>193</v>
      </c>
      <c r="F8773" s="1">
        <v>25</v>
      </c>
      <c r="G8773" s="1">
        <v>17</v>
      </c>
      <c r="H8773" s="1">
        <v>0</v>
      </c>
      <c r="I8773" s="1" t="s">
        <v>17097</v>
      </c>
      <c r="K8773" s="1" t="str">
        <f t="shared" si="552"/>
        <v>ㄒ</v>
      </c>
      <c r="L8773" s="1" t="str">
        <f t="shared" si="553"/>
        <v>ㄧ</v>
      </c>
      <c r="M8773" s="1" t="str">
        <f t="shared" si="551"/>
        <v>ㄤ</v>
      </c>
      <c r="P8773" s="1" t="s">
        <v>20</v>
      </c>
      <c r="R8773" s="1" t="s">
        <v>17098</v>
      </c>
      <c r="V8773" s="1" t="s">
        <v>17111</v>
      </c>
      <c r="AR8773" s="1" t="str">
        <f t="shared" si="554"/>
        <v>| [ㄒㄧㄤˇ](ㄒㄧㄤˇ.md) | [饟](饟.md) |  | xiǎng | [動]
送食物與人。同「餉」。《詩經．周頌．良耜》：「其饟伊黍，其笠伊糾。」
[名]
軍警的薪俸、糧食。同「餉」。《史記．卷八．高祖本紀》：「丁壯苦軍旅，老弱罷轉饟。」《北史．卷七二．李德林傳》：「諸大將授尉遲迥饟金。」 |</v>
      </c>
    </row>
    <row r="8774" spans="1:44" hidden="1">
      <c r="A8774" s="1" t="s">
        <v>17112</v>
      </c>
      <c r="C8774" s="1">
        <v>1</v>
      </c>
      <c r="D8774" s="1" t="str">
        <f>"07210"</f>
        <v>07210</v>
      </c>
      <c r="E8774" s="1" t="s">
        <v>28</v>
      </c>
      <c r="F8774" s="1">
        <v>6</v>
      </c>
      <c r="G8774" s="1">
        <v>3</v>
      </c>
      <c r="H8774" s="1">
        <v>0</v>
      </c>
      <c r="I8774" s="1" t="s">
        <v>17113</v>
      </c>
      <c r="K8774" s="1" t="str">
        <f t="shared" si="552"/>
        <v>ㄒ</v>
      </c>
      <c r="L8774" s="1" t="str">
        <f t="shared" si="553"/>
        <v>ㄧ</v>
      </c>
      <c r="M8774" s="1" t="str">
        <f t="shared" si="551"/>
        <v>ㄤ</v>
      </c>
      <c r="P8774" s="1" t="s">
        <v>20</v>
      </c>
      <c r="R8774" s="1" t="s">
        <v>17114</v>
      </c>
      <c r="V8774" s="1" t="s">
        <v>17115</v>
      </c>
      <c r="AR8774" s="1" t="str">
        <f t="shared" si="554"/>
        <v>| [ㄒㄧㄤˋ](ㄒㄧㄤˋ.md) | [向](向.md) |  | xiàng | [名]
1.北面的窗戶。《說文解字．宀部》：「向，北出牖也。」《詩經．豳風．七月》：「穹窒熏鼠，塞向墐戶。」
2.方位。如：「方向」、「暈頭轉向」。明．徐弘祖《徐霞客遊記．卷四下．黔遊日記》：「南北向皆有脊中亙。」
3.意志之歸趨。如：「志向」、「意向」。
4.國名。周代諸侯國之一。故址約在今大陸地區山東省莒縣南。
5.姓。如晉代有向秀。
[動]
1.對著、朝著。如：「向陽」、「相向」。唐．劉長卿〈餞別王十一南遊〉詩：「飛鳥沒何處，青山空向人。」
2.崇尚、景仰。如：「人心向背」。《史記．卷一二〇．汲黯傳》：「上方向儒術，尊公孫弘。」《新唐書．卷一九七．循吏傳．賈敦頤傳》：「咸亨初，敦實為洛州長史，亦寬惠，人心懷向。」
3.偏袒、偏愛。如：「爸爸總是向著小妹。」
4.臨近、接近。如：「向晚」。唐．白居易〈東坡種花〉詩二首之二：「東坡春向暮，樹木今何如？」
[形]
昔日、從前。晉．陶淵明〈桃花源記〉：「既出，得其船，便扶向路，處處誌之。」唐．白居易〈琵琶行〉：「淒淒不似向前聲。」
[副]
1.一直以來、從來。如：「向來」、「向有研究」。《三國演義》第一四回：「臣向蒙國恩，刻思圖報。」
2.方才、剛才。《金史．卷八五．世宗諸子傳．永功傳》：「向見年少婦人自水邊小徑去矣。」
[介]
表動作的方向、對象。如：「向前看」、「向人請教」。 |</v>
      </c>
    </row>
    <row r="8775" spans="1:44" hidden="1">
      <c r="A8775" s="1" t="s">
        <v>17116</v>
      </c>
      <c r="C8775" s="1">
        <v>1</v>
      </c>
      <c r="D8775" s="1" t="str">
        <f>"07211"</f>
        <v>07211</v>
      </c>
      <c r="E8775" s="1" t="s">
        <v>31</v>
      </c>
      <c r="F8775" s="1">
        <v>9</v>
      </c>
      <c r="G8775" s="1">
        <v>6</v>
      </c>
      <c r="H8775" s="1">
        <v>0</v>
      </c>
      <c r="I8775" s="1" t="s">
        <v>17113</v>
      </c>
      <c r="K8775" s="1" t="str">
        <f t="shared" si="552"/>
        <v>ㄒ</v>
      </c>
      <c r="L8775" s="1" t="str">
        <f t="shared" si="553"/>
        <v>ㄧ</v>
      </c>
      <c r="M8775" s="1" t="str">
        <f t="shared" si="551"/>
        <v>ㄤ</v>
      </c>
      <c r="P8775" s="1" t="s">
        <v>20</v>
      </c>
      <c r="R8775" s="1" t="s">
        <v>17114</v>
      </c>
      <c r="V8775" s="1" t="s">
        <v>17117</v>
      </c>
      <c r="AR8775" s="1" t="str">
        <f t="shared" si="554"/>
        <v>| [ㄒㄧㄤˋ](ㄒㄧㄤˋ.md) | [巷](巷.md) |  | xiàng | [名]
大街旁的小通道。如：「大街小巷」、「街頭巷尾」。也稱為「巷子」、「巷兒」。
[副]
街巷之間的。如：「巷戰」、「街談巷議」。 |</v>
      </c>
    </row>
    <row r="8776" spans="1:44" hidden="1">
      <c r="A8776" s="1" t="s">
        <v>17043</v>
      </c>
      <c r="C8776" s="1">
        <v>1</v>
      </c>
      <c r="D8776" s="1" t="str">
        <f>"07212"</f>
        <v>07212</v>
      </c>
      <c r="E8776" s="1" t="s">
        <v>1015</v>
      </c>
      <c r="F8776" s="1">
        <v>9</v>
      </c>
      <c r="G8776" s="1">
        <v>4</v>
      </c>
      <c r="H8776" s="1">
        <v>2</v>
      </c>
      <c r="I8776" s="1" t="s">
        <v>17113</v>
      </c>
      <c r="K8776" s="1" t="str">
        <f t="shared" si="552"/>
        <v>ㄒ</v>
      </c>
      <c r="L8776" s="1" t="str">
        <f t="shared" si="553"/>
        <v>ㄧ</v>
      </c>
      <c r="M8776" s="1" t="str">
        <f t="shared" si="551"/>
        <v>ㄤ</v>
      </c>
      <c r="P8776" s="1" t="s">
        <v>20</v>
      </c>
      <c r="R8776" s="1" t="s">
        <v>17114</v>
      </c>
      <c r="V8776" s="1" t="s">
        <v>17118</v>
      </c>
      <c r="W8776" s="1" t="s">
        <v>17119</v>
      </c>
      <c r="AR8776" s="1" t="str">
        <f t="shared" si="554"/>
        <v>| [ㄒㄧㄤˋ](ㄒㄧㄤˋ.md) | [相](相.md) |  | xiàng | [動]
1.審視、察看。《說文解字．目部》：「相，省視也。」《左傳．隱公十一年》：「量力而行之，相時而動，無累後人。」《喻世明言．卷四〇．沈小霞相會出師表》：「又見沈鍊一表非俗，立住了腳，相了一回。」
2.占視、辨察，以斷吉凶禍福。如：「相字」。《周禮．地官．大司徒》：「以相民宅，而知其利害。」《史記．卷九二．淮陰侯傳》：「相君之面，不過封侯，又危不安。」
3.輔佐、幫助。如：「相夫教子」。《易經．泰卦．象曰》：「輔相天地之宜。」《書經．大誥》：「周公相成王。」
4.掌管、治理。《左傳．昭公九年》：「陳水屬也，火水妃也，而楚所相也。」唐．柳宗元〈梓人傳〉：「是足為佐天子、相天下法矣，物莫近乎此也。」
5.挑選、選擇。《三國演義》第六五回：「良禽相木而棲，賢臣擇主而事。」
[名]
1.容貌、外形、模樣。如：「長相」、「福相」、「吃相」、「窘相」、「窮酸相」。《西遊記》第三五回：「（孫行者）現了本相。」
2.職官名：(1)百官之長，輔佐國君治理國政的人。如：「宰相」、「丞相」、「相國」。(2)古代典禮中，輔導行禮的人。如：「儐相」。《論語．先進》：「宗廟之事，如會同，端章甫，願為小相焉。」
3.攙扶瞎子的人。《荀子．成相》：「人主無賢，如瞽無相。」
4.樂器名。似鼓，敲擊以控制音樂節拍。《禮記．樂記》：「始奏以文，復亂以武，治亂以相。」漢．鄭玄．注：「相，即拊也，亦以節樂。拊者以韋為表，裝之以糠。糠，一名相，因以名焉。」 |</v>
      </c>
    </row>
    <row r="8777" spans="1:44" hidden="1">
      <c r="A8777" s="1" t="s">
        <v>17120</v>
      </c>
      <c r="C8777" s="1">
        <v>1</v>
      </c>
      <c r="D8777" s="1" t="str">
        <f>"07213"</f>
        <v>07213</v>
      </c>
      <c r="E8777" s="1" t="s">
        <v>684</v>
      </c>
      <c r="F8777" s="1">
        <v>12</v>
      </c>
      <c r="G8777" s="1">
        <v>3</v>
      </c>
      <c r="H8777" s="1">
        <v>0</v>
      </c>
      <c r="I8777" s="1" t="s">
        <v>17113</v>
      </c>
      <c r="K8777" s="1" t="str">
        <f t="shared" si="552"/>
        <v>ㄒ</v>
      </c>
      <c r="L8777" s="1" t="str">
        <f t="shared" si="553"/>
        <v>ㄧ</v>
      </c>
      <c r="M8777" s="1" t="str">
        <f t="shared" si="551"/>
        <v>ㄤ</v>
      </c>
      <c r="P8777" s="1" t="s">
        <v>20</v>
      </c>
      <c r="R8777" s="1" t="s">
        <v>17114</v>
      </c>
      <c r="V8777" s="1" t="s">
        <v>17121</v>
      </c>
      <c r="AR8777" s="1" t="str">
        <f t="shared" si="554"/>
        <v>| [ㄒㄧㄤˋ](ㄒㄧㄤˋ.md) | [項](項.md) |  | xiàng | [名]
1.頸的後部。如：「秀髮垂項」、「望其項背」。《史記．卷一〇七．魏其武安侯傳》：「籍福起為謝，案灌夫項，令謝。」
2.脖子。《左傳．成公十六年》：「王召養由基，與之兩矢，使射呂錡，中項，伏弢。」唐．駱賓王〈詠鵝〉詩：「鵝鵝鵝，曲項向天歌。」
3.條款、種類。如：「注意事項」、「逐項討論」、「這項內容有待商榷。」
4.經費。如：「款項」、「用項」。
5.量詞。計算事物分類或件數的單位。如：「女子七項運動」、「十項建設」。
6.姓。如秦代有項羽。
[形]
肥大。《詩經．小雅．節南山》：「駕彼四牡，四牡項領。」漢．毛亨．傳：「項，大也。」 |</v>
      </c>
    </row>
    <row r="8778" spans="1:44" hidden="1">
      <c r="A8778" s="1" t="s">
        <v>17122</v>
      </c>
      <c r="C8778" s="1">
        <v>1</v>
      </c>
      <c r="D8778" s="1" t="str">
        <f>"07214"</f>
        <v>07214</v>
      </c>
      <c r="E8778" s="1" t="s">
        <v>175</v>
      </c>
      <c r="F8778" s="1">
        <v>12</v>
      </c>
      <c r="G8778" s="1">
        <v>6</v>
      </c>
      <c r="H8778" s="1">
        <v>0</v>
      </c>
      <c r="I8778" s="1" t="s">
        <v>17113</v>
      </c>
      <c r="K8778" s="1" t="str">
        <f t="shared" si="552"/>
        <v>ㄒ</v>
      </c>
      <c r="L8778" s="1" t="str">
        <f t="shared" si="553"/>
        <v>ㄧ</v>
      </c>
      <c r="M8778" s="1" t="str">
        <f t="shared" si="551"/>
        <v>ㄤ</v>
      </c>
      <c r="P8778" s="1" t="s">
        <v>20</v>
      </c>
      <c r="R8778" s="1" t="s">
        <v>17114</v>
      </c>
      <c r="V8778" s="1" t="s">
        <v>17123</v>
      </c>
      <c r="AR8778" s="1" t="str">
        <f t="shared" si="554"/>
        <v>| [ㄒㄧㄤˋ](ㄒㄧㄤˋ.md) | [缿](缿.md) |  | xiàng | [名]
1.存錢用的瓦製或竹製器具，口小，易入難出。《說文解字．缶部》：「缿，受錢器也。古以瓦，今以竹。」
2.古代收受告密文書的器具。《玉篇．缶部》：「缿，如瓨，可受板書筩，令密事。」《漢書．卷七六．趙廣漢傳》：「教吏為缿筩，及得投書，削其主名，而託以為豪桀大姓子弟所言。」唐．劉禹錫〈答饒州元使君書〉：「缿筩之機或行，則姦不敢欺，此政之助也。」 |</v>
      </c>
    </row>
    <row r="8779" spans="1:44" hidden="1">
      <c r="A8779" s="1" t="s">
        <v>17124</v>
      </c>
      <c r="C8779" s="1">
        <v>1</v>
      </c>
      <c r="D8779" s="1" t="str">
        <f>"07215"</f>
        <v>07215</v>
      </c>
      <c r="E8779" s="1" t="s">
        <v>55</v>
      </c>
      <c r="F8779" s="1">
        <v>14</v>
      </c>
      <c r="G8779" s="1">
        <v>6</v>
      </c>
      <c r="H8779" s="1">
        <v>0</v>
      </c>
      <c r="I8779" s="1" t="s">
        <v>17113</v>
      </c>
      <c r="K8779" s="1" t="str">
        <f t="shared" si="552"/>
        <v>ㄒ</v>
      </c>
      <c r="L8779" s="1" t="str">
        <f t="shared" si="553"/>
        <v>ㄧ</v>
      </c>
      <c r="M8779" s="1" t="str">
        <f t="shared" si="551"/>
        <v>ㄤ</v>
      </c>
      <c r="P8779" s="1" t="s">
        <v>20</v>
      </c>
      <c r="R8779" s="1" t="s">
        <v>17114</v>
      </c>
      <c r="V8779" s="1" t="s">
        <v>17125</v>
      </c>
      <c r="AR8779" s="1" t="str">
        <f t="shared" si="554"/>
        <v>| [ㄒㄧㄤˋ](ㄒㄧㄤˋ.md) | [銗](銗.md) |  | xiàng | [名]
古代用來收受告密文書的器具。同「缿」。《史記．卷一二二．酷吏傳．楊僕傳》：「吏苛察，盜賊惡少年投銗購告言姦。」 |</v>
      </c>
    </row>
    <row r="8780" spans="1:44" hidden="1">
      <c r="A8780" s="1" t="s">
        <v>17126</v>
      </c>
      <c r="C8780" s="1">
        <v>1</v>
      </c>
      <c r="D8780" s="1" t="str">
        <f>"07216"</f>
        <v>07216</v>
      </c>
      <c r="E8780" s="1" t="s">
        <v>52</v>
      </c>
      <c r="F8780" s="1">
        <v>12</v>
      </c>
      <c r="G8780" s="1">
        <v>5</v>
      </c>
      <c r="H8780" s="1">
        <v>0</v>
      </c>
      <c r="I8780" s="1" t="s">
        <v>17113</v>
      </c>
      <c r="K8780" s="1" t="str">
        <f t="shared" si="552"/>
        <v>ㄒ</v>
      </c>
      <c r="L8780" s="1" t="str">
        <f t="shared" si="553"/>
        <v>ㄧ</v>
      </c>
      <c r="M8780" s="1" t="str">
        <f t="shared" si="551"/>
        <v>ㄤ</v>
      </c>
      <c r="P8780" s="1" t="s">
        <v>20</v>
      </c>
      <c r="R8780" s="1" t="s">
        <v>17114</v>
      </c>
      <c r="V8780" s="1" t="s">
        <v>17127</v>
      </c>
      <c r="AR8780" s="1" t="str">
        <f t="shared" si="554"/>
        <v>| [ㄒㄧㄤˋ](ㄒㄧㄤˋ.md) | [象](象.md) |  | xiàng | [名]
1.動物名。哺乳綱長鼻目。力強，性溫馴。皮厚，毛少，耳大，鼻長圓筒狀，能伸捲自如，有一對長門牙自口伸出。產於印度、非洲等熱帶地區。現生存者有非洲象與亞洲象二種，前者凶野難馴，後者則溫馴。俗稱為「大象」。
2.形狀、樣子、狀態。如：「景象」、「圖象」、「天象」、「氣象」。
3.法令、法律。《國語．齊語》：「設象以為民紀，式權以相應。」
4.《易經》十翼之一。參見「象傳」條。
5.古代一種執干戈作擊刺狀的舞蹈。《詩經．周頌．維清．序》：「〈維清〉，奏象舞也。」漢．鄭玄．箋：「象舞，象用兵時刺伐之舞，武王制焉。」
6.姓。如秦代有象武。
[動]
1.相似。通「像」。唐．李白〈古風〉詩五九首之三：「額鼻象五嶽，揚波噴雲雷。」
2.摹擬、效法。《左傳．襄公三十一年》：「君有君之威儀，其臣畏而愛之，則而象之，故能有其國家。」《漢書．卷三〇．藝文志》：「教之六書，謂象形、象事、象意、象聲、轉注、假借。」 |</v>
      </c>
    </row>
    <row r="8781" spans="1:44" hidden="1">
      <c r="A8781" s="1" t="s">
        <v>17128</v>
      </c>
      <c r="C8781" s="1">
        <v>1</v>
      </c>
      <c r="D8781" s="1" t="str">
        <f>"07217"</f>
        <v>07217</v>
      </c>
      <c r="E8781" s="1" t="s">
        <v>114</v>
      </c>
      <c r="F8781" s="1">
        <v>14</v>
      </c>
      <c r="G8781" s="1">
        <v>12</v>
      </c>
      <c r="H8781" s="1">
        <v>0</v>
      </c>
      <c r="I8781" s="1" t="s">
        <v>17113</v>
      </c>
      <c r="K8781" s="1" t="str">
        <f t="shared" si="552"/>
        <v>ㄒ</v>
      </c>
      <c r="L8781" s="1" t="str">
        <f t="shared" si="553"/>
        <v>ㄧ</v>
      </c>
      <c r="M8781" s="1" t="str">
        <f t="shared" si="551"/>
        <v>ㄤ</v>
      </c>
      <c r="P8781" s="1" t="s">
        <v>20</v>
      </c>
      <c r="R8781" s="1" t="s">
        <v>17114</v>
      </c>
      <c r="V8781" s="1" t="s">
        <v>17129</v>
      </c>
      <c r="AR8781" s="1" t="str">
        <f t="shared" si="554"/>
        <v>| [ㄒㄧㄤˋ](ㄒㄧㄤˋ.md) | [像](像.md) |  | xiàng | [名]
1.形貌、模樣。《淮南子．主術》：「此皆有充於內而成像於外。」元．王實甫《西廂記．第一本．第四折》：「外像兒風流，青春年少；內性兒聰明，冠世才學。」
2.人物的圖畫或雕塑。如：「人像」、「畫像」、「雕像」。
[動]
1.相似。如：「他的眼睛像父親。」漢．王充《論衡．非韓》：「作為操止，像類賢行，以取升進。」
2.如、比如，推測或譬喻之詞。如：「像他這樣的人，並不可靠。」、「像今天的事，就是最好的例子。」 |</v>
      </c>
    </row>
    <row r="8782" spans="1:44" hidden="1">
      <c r="A8782" s="1" t="s">
        <v>17130</v>
      </c>
      <c r="C8782" s="1">
        <v>1</v>
      </c>
      <c r="D8782" s="1" t="str">
        <f>"07218"</f>
        <v>07218</v>
      </c>
      <c r="E8782" s="1" t="s">
        <v>139</v>
      </c>
      <c r="F8782" s="1">
        <v>16</v>
      </c>
      <c r="G8782" s="1">
        <v>12</v>
      </c>
      <c r="H8782" s="1">
        <v>0</v>
      </c>
      <c r="I8782" s="1" t="s">
        <v>17113</v>
      </c>
      <c r="K8782" s="1" t="str">
        <f t="shared" si="552"/>
        <v>ㄒ</v>
      </c>
      <c r="L8782" s="1" t="str">
        <f t="shared" si="553"/>
        <v>ㄧ</v>
      </c>
      <c r="M8782" s="1" t="str">
        <f t="shared" si="551"/>
        <v>ㄤ</v>
      </c>
      <c r="P8782" s="1" t="s">
        <v>20</v>
      </c>
      <c r="R8782" s="1" t="s">
        <v>17114</v>
      </c>
      <c r="V8782" s="1" t="s">
        <v>17131</v>
      </c>
      <c r="AR8782" s="1" t="str">
        <f t="shared" si="554"/>
        <v>| [ㄒㄧㄤˋ](ㄒㄧㄤˋ.md) | [橡](橡.md) |  | xiàng | [名]
櫟樹的果實。俗稱為「橡子」。參見「橡實」條。 |</v>
      </c>
    </row>
    <row r="8783" spans="1:44" hidden="1">
      <c r="A8783" s="1" t="s">
        <v>17058</v>
      </c>
      <c r="C8783" s="1">
        <v>1</v>
      </c>
      <c r="D8783" s="1" t="str">
        <f>"07219"</f>
        <v>07219</v>
      </c>
      <c r="E8783" s="1" t="s">
        <v>256</v>
      </c>
      <c r="F8783" s="1">
        <v>12</v>
      </c>
      <c r="G8783" s="1">
        <v>9</v>
      </c>
      <c r="H8783" s="1">
        <v>2</v>
      </c>
      <c r="I8783" s="1" t="s">
        <v>17113</v>
      </c>
      <c r="K8783" s="1" t="str">
        <f t="shared" si="552"/>
        <v>ㄒ</v>
      </c>
      <c r="L8783" s="1" t="str">
        <f t="shared" si="553"/>
        <v>ㄧ</v>
      </c>
      <c r="M8783" s="1" t="str">
        <f t="shared" si="551"/>
        <v>ㄤ</v>
      </c>
      <c r="P8783" s="1" t="s">
        <v>20</v>
      </c>
      <c r="R8783" s="1" t="s">
        <v>17114</v>
      </c>
      <c r="V8783" s="1" t="s">
        <v>17132</v>
      </c>
      <c r="W8783" s="1" t="s">
        <v>17133</v>
      </c>
      <c r="AR8783" s="1" t="str">
        <f t="shared" si="554"/>
        <v>| [ㄒㄧㄤˋ](ㄒㄧㄤˋ.md) | [鄉](鄉.md) |  | xiàng | [名]
1.從前、往日。《荀子．正論》：「天下厭然，與鄉無以異也。」
2.方位、方向。《韓非子．內儲說上》：「夫矢來有鄉，則積鐵以備一鄉。」
[動]
1.朝向、面向。《左傳．僖公三十三年》：「秦伯素服郊次，鄉師而哭。」《漢書．卷四〇．張良傳》：「雒陽東有成皋，西有殽黽，背河鄉雒，其固亦足恃。」
2.趨向、傾向。同「嚮」。《漢書．卷一〇．成帝紀》：「民彌惰怠，鄉本者少，趨末者眾，將何以矯之？」
[副]
昔日、以前。《論語．顏淵》：「鄉也，吾見於夫子而問知。」 |</v>
      </c>
    </row>
    <row r="8784" spans="1:44" hidden="1">
      <c r="A8784" s="1" t="s">
        <v>17134</v>
      </c>
      <c r="C8784" s="1">
        <v>1</v>
      </c>
      <c r="D8784" s="1" t="str">
        <f>"07220"</f>
        <v>07220</v>
      </c>
      <c r="E8784" s="1" t="s">
        <v>646</v>
      </c>
      <c r="F8784" s="1">
        <v>16</v>
      </c>
      <c r="G8784" s="1">
        <v>12</v>
      </c>
      <c r="H8784" s="1">
        <v>0</v>
      </c>
      <c r="I8784" s="1" t="s">
        <v>17113</v>
      </c>
      <c r="K8784" s="1" t="str">
        <f t="shared" si="552"/>
        <v>ㄒ</v>
      </c>
      <c r="L8784" s="1" t="str">
        <f t="shared" si="553"/>
        <v>ㄧ</v>
      </c>
      <c r="M8784" s="1" t="str">
        <f t="shared" si="551"/>
        <v>ㄤ</v>
      </c>
      <c r="P8784" s="1" t="s">
        <v>20</v>
      </c>
      <c r="R8784" s="1" t="s">
        <v>17114</v>
      </c>
      <c r="V8784" s="1" t="s">
        <v>17135</v>
      </c>
      <c r="AR8784" s="1" t="str">
        <f t="shared" si="554"/>
        <v>| [ㄒㄧㄤˋ](ㄒㄧㄤˋ.md) | [曏](曏.md) |  | xiàng | [副]
從前、往昔。通「向」。《儀禮．士相見禮》：「曏者，吾子辱使某見，請還摯於將命者。」漢．鄭玄．注：「曏，曩也。」
[動]
明、表明。《莊子．秋水》：「證曏今故，故遙而不悶，掇而不跂，知時無止。」 |</v>
      </c>
    </row>
    <row r="8785" spans="1:44" hidden="1">
      <c r="A8785" s="1" t="s">
        <v>17136</v>
      </c>
      <c r="C8785" s="1">
        <v>1</v>
      </c>
      <c r="D8785" s="1" t="str">
        <f>"07221"</f>
        <v>07221</v>
      </c>
      <c r="E8785" s="1" t="s">
        <v>679</v>
      </c>
      <c r="F8785" s="1">
        <v>18</v>
      </c>
      <c r="G8785" s="1">
        <v>12</v>
      </c>
      <c r="H8785" s="1">
        <v>0</v>
      </c>
      <c r="I8785" s="1" t="s">
        <v>17113</v>
      </c>
      <c r="K8785" s="1" t="str">
        <f t="shared" si="552"/>
        <v>ㄒ</v>
      </c>
      <c r="L8785" s="1" t="str">
        <f t="shared" si="553"/>
        <v>ㄧ</v>
      </c>
      <c r="M8785" s="1" t="str">
        <f t="shared" si="551"/>
        <v>ㄤ</v>
      </c>
      <c r="P8785" s="1" t="s">
        <v>20</v>
      </c>
      <c r="R8785" s="1" t="s">
        <v>17114</v>
      </c>
      <c r="V8785" s="1" t="s">
        <v>17137</v>
      </c>
      <c r="AR8785" s="1" t="str">
        <f t="shared" si="554"/>
        <v>| [ㄒㄧㄤˋ](ㄒㄧㄤˋ.md) | [蠁](蠁.md) |  | xiàng | [名]
蛹中蟲。《廣韻．上聲．養韻》：「蠁，蛹中蟲也。」 |</v>
      </c>
    </row>
    <row r="8786" spans="1:44" hidden="1">
      <c r="A8786" s="1" t="s">
        <v>17138</v>
      </c>
      <c r="C8786" s="1">
        <v>1</v>
      </c>
      <c r="D8786" s="1" t="str">
        <f>"07222"</f>
        <v>07222</v>
      </c>
      <c r="E8786" s="1" t="s">
        <v>28</v>
      </c>
      <c r="F8786" s="1">
        <v>18</v>
      </c>
      <c r="G8786" s="1">
        <v>15</v>
      </c>
      <c r="H8786" s="1">
        <v>0</v>
      </c>
      <c r="I8786" s="1" t="s">
        <v>17113</v>
      </c>
      <c r="K8786" s="1" t="str">
        <f t="shared" si="552"/>
        <v>ㄒ</v>
      </c>
      <c r="L8786" s="1" t="str">
        <f t="shared" si="553"/>
        <v>ㄧ</v>
      </c>
      <c r="M8786" s="1" t="str">
        <f t="shared" si="551"/>
        <v>ㄤ</v>
      </c>
      <c r="P8786" s="1" t="s">
        <v>20</v>
      </c>
      <c r="R8786" s="1" t="s">
        <v>17114</v>
      </c>
      <c r="V8786" s="1" t="s">
        <v>17139</v>
      </c>
      <c r="AR8786" s="1" t="str">
        <f t="shared" si="554"/>
        <v>| [ㄒㄧㄤˋ](ㄒㄧㄤˋ.md) | [嚮](嚮.md) |  | xiàng | [動]
1.面對。通「向」。唐．柳宗元〈梓人傳〉：「或執斧斤，或執刀鋸，皆環立嚮之。」
2.傾向。《史記．卷四七．孔子世家》：「雖不能至，然心嚮往之。」
3.引導。如：「嚮導」。
[副]
從前。漢．劉向《說苑．卷一．君道》：「嚮使宋人不聞君子之語，則年穀未豐而國未寧。」唐．柳宗元〈始得西山宴游記〉：「然後知吾嚮之未始游，游於是乎始。」 |</v>
      </c>
    </row>
    <row r="8787" spans="1:44" hidden="1">
      <c r="A8787" s="1" t="s">
        <v>17140</v>
      </c>
      <c r="C8787" s="1">
        <v>1</v>
      </c>
      <c r="D8787" s="1" t="str">
        <f>"07223"</f>
        <v>07223</v>
      </c>
      <c r="E8787" s="1" t="s">
        <v>139</v>
      </c>
      <c r="F8787" s="1">
        <v>15</v>
      </c>
      <c r="G8787" s="1">
        <v>11</v>
      </c>
      <c r="H8787" s="1">
        <v>2</v>
      </c>
      <c r="I8787" s="1" t="s">
        <v>17113</v>
      </c>
      <c r="K8787" s="1" t="str">
        <f t="shared" si="552"/>
        <v>ㄒ</v>
      </c>
      <c r="L8787" s="1" t="str">
        <f t="shared" si="553"/>
        <v>ㄧ</v>
      </c>
      <c r="M8787" s="1" t="str">
        <f t="shared" si="551"/>
        <v>ㄤ</v>
      </c>
      <c r="P8787" s="1" t="s">
        <v>20</v>
      </c>
      <c r="R8787" s="1" t="s">
        <v>17114</v>
      </c>
      <c r="V8787" s="1" t="s">
        <v>17141</v>
      </c>
      <c r="W8787" s="1" t="s">
        <v>17142</v>
      </c>
      <c r="AR8787" s="1" t="str">
        <f t="shared" si="554"/>
        <v>| [ㄒㄧㄤˋ](ㄒㄧㄤˋ.md) | [樣](樣.md) |  | xiàng | 同「橡」。 |</v>
      </c>
    </row>
    <row r="8788" spans="1:44" hidden="1">
      <c r="A8788" s="1" t="s">
        <v>17143</v>
      </c>
      <c r="C8788" s="1">
        <v>1</v>
      </c>
      <c r="D8788" s="1" t="str">
        <f>"07224"</f>
        <v>07224</v>
      </c>
      <c r="E8788" s="1" t="s">
        <v>198</v>
      </c>
      <c r="F8788" s="1">
        <v>8</v>
      </c>
      <c r="G8788" s="1">
        <v>5</v>
      </c>
      <c r="H8788" s="1">
        <v>2</v>
      </c>
      <c r="I8788" s="1" t="s">
        <v>17144</v>
      </c>
      <c r="K8788" s="1" t="str">
        <f t="shared" si="552"/>
        <v>ㄒ</v>
      </c>
      <c r="L8788" s="1" t="str">
        <f t="shared" si="553"/>
        <v>ㄧ</v>
      </c>
      <c r="M8788" s="1" t="str">
        <f t="shared" si="551"/>
        <v>ㄥ</v>
      </c>
      <c r="P8788" s="1" t="s">
        <v>20</v>
      </c>
      <c r="R8788" s="1" t="s">
        <v>17145</v>
      </c>
      <c r="V8788" s="1" t="s">
        <v>17146</v>
      </c>
      <c r="W8788" s="1" t="s">
        <v>17147</v>
      </c>
      <c r="AR8788" s="1" t="str">
        <f t="shared" si="554"/>
        <v>| [ㄒㄧㄥ](ㄒㄧㄥ.md) | [狌](狌.md) |  | xīng | [名]_x000D_
同「猩」。參見「猩猩」條。《山海經．南山經》：「有獸焉，其狀如禺而白耳，伏行人走，其名曰狌狌，食之善走。」清．卞永譽《式古堂書畫彙考．卷二九．書二十九．袁華．泉南兩義士歌》：「重樓複閣山之隅，鳥道百折非一涂。雲旂晝下狌蝯呼，鉤輈格磔啼鷓鴣。」 |</v>
      </c>
    </row>
    <row r="8789" spans="1:44" hidden="1">
      <c r="A8789" s="1" t="s">
        <v>17148</v>
      </c>
      <c r="C8789" s="1">
        <v>1</v>
      </c>
      <c r="D8789" s="1" t="str">
        <f>"07225"</f>
        <v>07225</v>
      </c>
      <c r="E8789" s="1" t="s">
        <v>646</v>
      </c>
      <c r="F8789" s="1">
        <v>9</v>
      </c>
      <c r="G8789" s="1">
        <v>5</v>
      </c>
      <c r="H8789" s="1">
        <v>0</v>
      </c>
      <c r="I8789" s="1" t="s">
        <v>17144</v>
      </c>
      <c r="K8789" s="1" t="str">
        <f t="shared" si="552"/>
        <v>ㄒ</v>
      </c>
      <c r="L8789" s="1" t="str">
        <f t="shared" si="553"/>
        <v>ㄧ</v>
      </c>
      <c r="M8789" s="1" t="str">
        <f t="shared" si="551"/>
        <v>ㄥ</v>
      </c>
      <c r="P8789" s="1" t="s">
        <v>20</v>
      </c>
      <c r="R8789" s="1" t="s">
        <v>17145</v>
      </c>
      <c r="V8789" s="1" t="s">
        <v>17149</v>
      </c>
      <c r="AR8789" s="1" t="str">
        <f t="shared" si="554"/>
        <v>| [ㄒㄧㄥ](ㄒㄧㄥ.md) | [星](星.md) |  | xīng | [名]
1.宇宙中會發光或反射光的天體。如：「恆星」、「行星」、「哈雷彗星」、「月明星稀」。唐．杜甫〈旅夜書懷〉詩：「星垂平野闊，月湧大江流。」唐．李商隱〈常娥〉詩：「雲母屏風燭影深，長河漸落曉星沉。」
2.比喻細碎或發亮的東西。如：「油星水點」、「眼冒金星」。唐．孟郊〈寒溪〉詩九首之四：「篙工磓玉星，一路隨迸螢。」
3.比喻為人所崇拜、注目，或是某事的主要人物。如：「歌星」、「明星」、「影視紅星」、「救星」、「壽星」。
4.鑲在秤桿上，用以標誌斤、兩、錢的小點。如：「秤星」。唐．賈島〈贈牛山人〉詩：「鑿石養蜂休買蜜，坐山秤藥不爭星。」
5.姓。如春秋時有星子韋。
[形]
1.細微、細小。如：「零星」、「星火燎原」。唐．盧照鄰〈晚渡渭橋寄示京邑遊好〉詩：「長虹掩釣浦，落雁下星洲。」
2.色白如星。南朝齊．謝朓〈詠風詩〉：「時拂孤鸞鏡，星鬢視參差。」
[副]
1.量多且四處散布。如：「星羅棋布」。《文選．班固．西都賦》：「列卒周匝，星羅雲布。」
2.如流星般疾速。《三國志．卷五八．吳書．陸遜傳》：「舳艫千里，星奔電邁，俄然行至。」晉．潘岳〈世祖武帝皇帝誄〉：「羽檄星馳，鉦鼓日戒。」 |</v>
      </c>
    </row>
    <row r="8790" spans="1:44" hidden="1">
      <c r="A8790" s="1" t="s">
        <v>17150</v>
      </c>
      <c r="C8790" s="1">
        <v>1</v>
      </c>
      <c r="D8790" s="1" t="str">
        <f>"07226"</f>
        <v>07226</v>
      </c>
      <c r="E8790" s="1" t="s">
        <v>250</v>
      </c>
      <c r="F8790" s="1">
        <v>12</v>
      </c>
      <c r="G8790" s="1">
        <v>9</v>
      </c>
      <c r="H8790" s="1">
        <v>1</v>
      </c>
      <c r="I8790" s="1" t="s">
        <v>17144</v>
      </c>
      <c r="K8790" s="1" t="str">
        <f t="shared" si="552"/>
        <v>ㄒ</v>
      </c>
      <c r="L8790" s="1" t="str">
        <f t="shared" si="553"/>
        <v>ㄧ</v>
      </c>
      <c r="M8790" s="1" t="str">
        <f t="shared" si="551"/>
        <v>ㄥ</v>
      </c>
      <c r="P8790" s="1" t="s">
        <v>20</v>
      </c>
      <c r="R8790" s="1" t="s">
        <v>17145</v>
      </c>
      <c r="V8790" s="1" t="s">
        <v>17151</v>
      </c>
      <c r="W8790" s="1" t="s">
        <v>17152</v>
      </c>
      <c r="AR8790" s="1" t="str">
        <f t="shared" si="554"/>
        <v>| [ㄒㄧㄥ](ㄒㄧㄥ.md) | [惺](惺.md) |  | xīng | 參見「惺惺」、「惺忪」等條。 |</v>
      </c>
    </row>
    <row r="8791" spans="1:44" hidden="1">
      <c r="A8791" s="1" t="s">
        <v>17153</v>
      </c>
      <c r="C8791" s="1">
        <v>1</v>
      </c>
      <c r="D8791" s="1" t="str">
        <f>"07227"</f>
        <v>07227</v>
      </c>
      <c r="E8791" s="1" t="s">
        <v>198</v>
      </c>
      <c r="F8791" s="1">
        <v>12</v>
      </c>
      <c r="G8791" s="1">
        <v>9</v>
      </c>
      <c r="H8791" s="1">
        <v>0</v>
      </c>
      <c r="I8791" s="1" t="s">
        <v>17144</v>
      </c>
      <c r="K8791" s="1" t="str">
        <f t="shared" si="552"/>
        <v>ㄒ</v>
      </c>
      <c r="L8791" s="1" t="str">
        <f t="shared" si="553"/>
        <v>ㄧ</v>
      </c>
      <c r="M8791" s="1" t="str">
        <f t="shared" si="551"/>
        <v>ㄥ</v>
      </c>
      <c r="P8791" s="1" t="s">
        <v>20</v>
      </c>
      <c r="R8791" s="1" t="s">
        <v>17145</v>
      </c>
      <c r="V8791" s="1" t="s">
        <v>17154</v>
      </c>
      <c r="AR8791" s="1" t="str">
        <f t="shared" si="554"/>
        <v>| [ㄒㄧㄥ](ㄒㄧㄥ.md) | [猩](猩.md) |  | xīng | [名]
參見「猩猩」條。
[形]
色紅如猩血。唐．韓偓〈已涼〉詩：「碧闌杆外繡簾垂，猩色屏風畫折枝。」《紅樓夢》第一回：「俄而大轎內抬著一個烏紗猩袍的官府過去。」 |</v>
      </c>
    </row>
    <row r="8792" spans="1:44" hidden="1">
      <c r="A8792" s="1" t="s">
        <v>17155</v>
      </c>
      <c r="C8792" s="1">
        <v>1</v>
      </c>
      <c r="D8792" s="1" t="str">
        <f>"07228"</f>
        <v>07228</v>
      </c>
      <c r="E8792" s="1" t="s">
        <v>68</v>
      </c>
      <c r="F8792" s="1">
        <v>13</v>
      </c>
      <c r="G8792" s="1">
        <v>9</v>
      </c>
      <c r="H8792" s="1">
        <v>0</v>
      </c>
      <c r="I8792" s="1" t="s">
        <v>17144</v>
      </c>
      <c r="K8792" s="1" t="str">
        <f t="shared" si="552"/>
        <v>ㄒ</v>
      </c>
      <c r="L8792" s="1" t="str">
        <f t="shared" si="553"/>
        <v>ㄧ</v>
      </c>
      <c r="M8792" s="1" t="str">
        <f t="shared" si="551"/>
        <v>ㄥ</v>
      </c>
      <c r="P8792" s="1" t="s">
        <v>20</v>
      </c>
      <c r="R8792" s="1" t="s">
        <v>17145</v>
      </c>
      <c r="V8792" s="1" t="s">
        <v>17156</v>
      </c>
      <c r="AR8792" s="1" t="str">
        <f t="shared" si="554"/>
        <v>| [ㄒㄧㄥ](ㄒㄧㄥ.md) | [腥](腥.md) |  | xīng | [名]
1.生肉。《論語．鄉黨》：「君賜腥，必熟而薦之。」
2.魚、肉所發出的刺鼻氣味。如：「腥膻」、「葷腥」。
[形]
1.氣味刺鼻難聞。如：「腥臭」。漢．王充《論衡．量知》：「粟未為米，米未成飯，氣腥未熟，食之傷人。」
2.汙穢、醜惡。《國語．周語上》：「其政腥臊，馨香不登。」 |</v>
      </c>
    </row>
    <row r="8793" spans="1:44" hidden="1">
      <c r="A8793" s="1" t="s">
        <v>17157</v>
      </c>
      <c r="C8793" s="1">
        <v>1</v>
      </c>
      <c r="D8793" s="1" t="str">
        <f>"07229"</f>
        <v>07229</v>
      </c>
      <c r="E8793" s="1" t="s">
        <v>1462</v>
      </c>
      <c r="F8793" s="1">
        <v>16</v>
      </c>
      <c r="G8793" s="1">
        <v>9</v>
      </c>
      <c r="H8793" s="1">
        <v>2</v>
      </c>
      <c r="I8793" s="1" t="s">
        <v>17144</v>
      </c>
      <c r="K8793" s="1" t="str">
        <f t="shared" si="552"/>
        <v>ㄒ</v>
      </c>
      <c r="L8793" s="1" t="str">
        <f t="shared" si="553"/>
        <v>ㄧ</v>
      </c>
      <c r="M8793" s="1" t="str">
        <f t="shared" si="551"/>
        <v>ㄥ</v>
      </c>
      <c r="P8793" s="1" t="s">
        <v>110</v>
      </c>
      <c r="R8793" s="1" t="s">
        <v>17145</v>
      </c>
      <c r="V8793" s="1" t="s">
        <v>111</v>
      </c>
      <c r="W8793" s="1" t="s">
        <v>17158</v>
      </c>
      <c r="AR8793" s="1" t="str">
        <f t="shared" si="554"/>
        <v>| [ㄒㄧㄥ](ㄒㄧㄥ.md) | [醒](醒.md) |  | xīng | (一)之又音。 |</v>
      </c>
    </row>
    <row r="8794" spans="1:44" hidden="1">
      <c r="A8794" s="1" t="s">
        <v>17159</v>
      </c>
      <c r="C8794" s="1">
        <v>1</v>
      </c>
      <c r="D8794" s="1" t="str">
        <f>"07230"</f>
        <v>07230</v>
      </c>
      <c r="E8794" s="1" t="s">
        <v>13771</v>
      </c>
      <c r="F8794" s="1">
        <v>16</v>
      </c>
      <c r="G8794" s="1">
        <v>9</v>
      </c>
      <c r="H8794" s="1">
        <v>1</v>
      </c>
      <c r="I8794" s="1" t="s">
        <v>17144</v>
      </c>
      <c r="K8794" s="1" t="str">
        <f t="shared" si="552"/>
        <v>ㄒ</v>
      </c>
      <c r="L8794" s="1" t="str">
        <f t="shared" si="553"/>
        <v>ㄧ</v>
      </c>
      <c r="M8794" s="1" t="str">
        <f t="shared" si="551"/>
        <v>ㄥ</v>
      </c>
      <c r="P8794" s="1" t="s">
        <v>20</v>
      </c>
      <c r="R8794" s="1" t="s">
        <v>17145</v>
      </c>
      <c r="V8794" s="1" t="s">
        <v>17160</v>
      </c>
      <c r="W8794" s="1" t="s">
        <v>17161</v>
      </c>
      <c r="AR8794" s="1" t="str">
        <f t="shared" si="554"/>
        <v>| [ㄒㄧㄥ](ㄒㄧㄥ.md) | [興](興.md) |  | xīng | [動]
1.事情的發生或出現。如：「興起」。《呂氏春秋．孝行覽．義賞》：「姦偽賊亂貪戾之道興。」《史記．卷二四．樂書》：「而淫樂興焉。」
2.發動。如：「興師問罪」。《左傳．哀公二十六年》：「大尹興空澤之士千甲。」
3.創立、建造。如：「興辦」、「興建」、「興學」。唐．韓愈〈與孟尚書書〉：「及秦滅漢興且百年。」
4.流行、盛行。如：「現在時興健康食品。」《紅樓夢》第二七回：「然閨中更興這件風俗。」
5.起來、起身。《詩經．衛風．氓》：「夙興夜寐，靡有朝矣。」《論語．衛靈公》：「從者病，莫能興。」
[形]
昌盛。如：「興隆」、「興盛」。
[名]
姓。如漢代有興渠。 |</v>
      </c>
    </row>
    <row r="8795" spans="1:44" hidden="1">
      <c r="A8795" s="1" t="s">
        <v>17162</v>
      </c>
      <c r="C8795" s="1">
        <v>1</v>
      </c>
      <c r="D8795" s="1" t="str">
        <f>"07231"</f>
        <v>07231</v>
      </c>
      <c r="E8795" s="1" t="s">
        <v>319</v>
      </c>
      <c r="F8795" s="1">
        <v>17</v>
      </c>
      <c r="G8795" s="1">
        <v>7</v>
      </c>
      <c r="H8795" s="1">
        <v>0</v>
      </c>
      <c r="I8795" s="1" t="s">
        <v>17144</v>
      </c>
      <c r="K8795" s="1" t="str">
        <f t="shared" si="552"/>
        <v>ㄒ</v>
      </c>
      <c r="L8795" s="1" t="str">
        <f t="shared" si="553"/>
        <v>ㄧ</v>
      </c>
      <c r="M8795" s="1" t="str">
        <f t="shared" si="551"/>
        <v>ㄥ</v>
      </c>
      <c r="P8795" s="1" t="s">
        <v>20</v>
      </c>
      <c r="R8795" s="1" t="s">
        <v>17145</v>
      </c>
      <c r="V8795" s="1" t="s">
        <v>17163</v>
      </c>
      <c r="AR8795" s="1" t="str">
        <f t="shared" si="554"/>
        <v>| [ㄒㄧㄥ](ㄒㄧㄥ.md) | [騂](騂.md) |  | xīng | [名]_x000D_
紅色毛的馬。《廣韻．平聲．清韻》：「騂，馬赤色也。」《詩經．魯頌．駉》：「有騂有騏，以車伾伾。」_x000D_
[形]_x000D_
紅色的。《論語．雍也》：「犁牛之子騂且角。」唐．杜甫〈遣興〉詩五首之二：「騂弓金爪鏑，白馬蹴微雪。」 |</v>
      </c>
    </row>
    <row r="8796" spans="1:44" hidden="1">
      <c r="A8796" s="1" t="s">
        <v>17004</v>
      </c>
      <c r="C8796" s="1">
        <v>1</v>
      </c>
      <c r="D8796" s="1" t="str">
        <f>"07232"</f>
        <v>07232</v>
      </c>
      <c r="E8796" s="1" t="s">
        <v>269</v>
      </c>
      <c r="F8796" s="1">
        <v>20</v>
      </c>
      <c r="G8796" s="1">
        <v>11</v>
      </c>
      <c r="H8796" s="1">
        <v>2</v>
      </c>
      <c r="I8796" s="1" t="s">
        <v>17144</v>
      </c>
      <c r="K8796" s="1" t="str">
        <f t="shared" si="552"/>
        <v>ㄒ</v>
      </c>
      <c r="L8796" s="1" t="str">
        <f t="shared" si="553"/>
        <v>ㄧ</v>
      </c>
      <c r="M8796" s="1" t="str">
        <f t="shared" si="551"/>
        <v>ㄥ</v>
      </c>
      <c r="P8796" s="1" t="s">
        <v>110</v>
      </c>
      <c r="R8796" s="1" t="s">
        <v>17145</v>
      </c>
      <c r="V8796" s="1" t="s">
        <v>111</v>
      </c>
      <c r="W8796" s="1" t="s">
        <v>17164</v>
      </c>
      <c r="AR8796" s="1" t="str">
        <f t="shared" si="554"/>
        <v>| [ㄒㄧㄥ](ㄒㄧㄥ.md) | [馨](馨.md) |  | xīng | (一)之又音。 |</v>
      </c>
    </row>
    <row r="8797" spans="1:44" hidden="1">
      <c r="A8797" s="1" t="s">
        <v>17165</v>
      </c>
      <c r="C8797" s="1">
        <v>1</v>
      </c>
      <c r="D8797" s="1" t="str">
        <f>"07233"</f>
        <v>07233</v>
      </c>
      <c r="E8797" s="1" t="s">
        <v>185</v>
      </c>
      <c r="F8797" s="1">
        <v>6</v>
      </c>
      <c r="G8797" s="1">
        <v>4</v>
      </c>
      <c r="H8797" s="1">
        <v>0</v>
      </c>
      <c r="I8797" s="1" t="s">
        <v>17166</v>
      </c>
      <c r="K8797" s="1" t="str">
        <f t="shared" si="552"/>
        <v>ㄒ</v>
      </c>
      <c r="L8797" s="1" t="str">
        <f t="shared" si="553"/>
        <v>ㄧ</v>
      </c>
      <c r="M8797" s="1" t="str">
        <f t="shared" si="551"/>
        <v>ㄥ</v>
      </c>
      <c r="P8797" s="1" t="s">
        <v>20</v>
      </c>
      <c r="R8797" s="1" t="s">
        <v>17167</v>
      </c>
      <c r="V8797" s="1" t="s">
        <v>17168</v>
      </c>
      <c r="AR8797" s="1" t="str">
        <f t="shared" si="554"/>
        <v>| [ㄒㄧㄥˊ](ㄒㄧㄥˊ.md) | [刑](刑.md) |  | xíng | [名]_x000D_
1.法律上處罰罪犯方法的總稱。如：「刑罰」、「死刑」、「徒刑」。《論語．為政》：「道之以政，齊之以刑，民免而無恥。」_x000D_
2.常法、典範。通「型」。《詩經．大雅．抑》：「罔敷求先王，克共明刑。」_x000D_
[動]_x000D_
1.殺害。《史記．卷八六．刺客列傳．聶政》：「重自刑以絕從。」《呂氏春秋．慎大覽．順說》：「刑人之父子。」_x000D_
2.取法、效法。《禮記．禮運》：「刑仁講讓，示民有常。」_x000D_
3.正。通「型」。《詩經．大雅．思齊》：「刑于寡妻，至于兄弟，以御于家邦。」 |</v>
      </c>
    </row>
    <row r="8798" spans="1:44" hidden="1">
      <c r="A8798" s="1" t="s">
        <v>17169</v>
      </c>
      <c r="C8798" s="1">
        <v>1</v>
      </c>
      <c r="D8798" s="1" t="str">
        <f>"07234"</f>
        <v>07234</v>
      </c>
      <c r="E8798" s="1" t="s">
        <v>1335</v>
      </c>
      <c r="F8798" s="1">
        <v>7</v>
      </c>
      <c r="G8798" s="1">
        <v>4</v>
      </c>
      <c r="H8798" s="1">
        <v>0</v>
      </c>
      <c r="I8798" s="1" t="s">
        <v>17166</v>
      </c>
      <c r="K8798" s="1" t="str">
        <f t="shared" si="552"/>
        <v>ㄒ</v>
      </c>
      <c r="L8798" s="1" t="str">
        <f t="shared" si="553"/>
        <v>ㄧ</v>
      </c>
      <c r="M8798" s="1" t="str">
        <f t="shared" si="551"/>
        <v>ㄥ</v>
      </c>
      <c r="P8798" s="1" t="s">
        <v>20</v>
      </c>
      <c r="R8798" s="1" t="s">
        <v>17167</v>
      </c>
      <c r="V8798" s="1" t="s">
        <v>17170</v>
      </c>
      <c r="AR8798" s="1" t="str">
        <f t="shared" si="554"/>
        <v>| [ㄒㄧㄥˊ](ㄒㄧㄥˊ.md) | [形](形.md) |  | xíng | [名]
1.實體、身體。如：「有形」、「無形」、「形影不離」。《呂氏春秋．先識覽．去宥》：「人之老也，形益衰，而智益盛。」
2.樣子、樣貌。如：「圓形」、「形象」、「形態」、「形容」。《孫子．虛實》：「故兵無常勢，水無常形。」《晉書．卷一一四．苻堅載記下》：「又北望八公山上草木，皆類人形。」
3.狀況。如：「情形」。
4.地勢。如：「地形」、「形勢」。《史記．卷八．高祖本紀》：「秦，形勝之國，帶山之險。」
[動]
1.表現、顯現。如：「喜形於色」、「形之於外」。《禮記．樂記》：「感於物而動，故形於聲。」南朝梁．蕭統〈文選序〉：「情動於中而形於言。」
2.構成、變成。《管子．牧民》：「惟有道者，能備患於未形也，故禍不萌。」
3.描寫。如：「形容」、「難以形於筆墨」。
4.比較、對照。如：「相形見絀」。《淮南子．齊俗》：「故高下之相傾也，短脩之相形也，亦明矣。」 |</v>
      </c>
    </row>
    <row r="8799" spans="1:44" hidden="1">
      <c r="A8799" s="1" t="s">
        <v>17171</v>
      </c>
      <c r="C8799" s="1">
        <v>1</v>
      </c>
      <c r="D8799" s="1" t="str">
        <f>"07235"</f>
        <v>07235</v>
      </c>
      <c r="E8799" s="1" t="s">
        <v>256</v>
      </c>
      <c r="F8799" s="1">
        <v>7</v>
      </c>
      <c r="G8799" s="1">
        <v>4</v>
      </c>
      <c r="H8799" s="1">
        <v>0</v>
      </c>
      <c r="I8799" s="1" t="s">
        <v>17166</v>
      </c>
      <c r="K8799" s="1" t="str">
        <f t="shared" si="552"/>
        <v>ㄒ</v>
      </c>
      <c r="L8799" s="1" t="str">
        <f t="shared" si="553"/>
        <v>ㄧ</v>
      </c>
      <c r="M8799" s="1" t="str">
        <f t="shared" si="551"/>
        <v>ㄥ</v>
      </c>
      <c r="P8799" s="1" t="s">
        <v>20</v>
      </c>
      <c r="R8799" s="1" t="s">
        <v>17167</v>
      </c>
      <c r="V8799" s="1" t="s">
        <v>17172</v>
      </c>
      <c r="AR8799" s="1" t="str">
        <f t="shared" si="554"/>
        <v>| [ㄒㄧㄥˊ](ㄒㄧㄥˊ.md) | [邢](邢.md) |  | xíng | [名]
1.國名。春秋時之邢國，為周公子的封地，故址約在今大陸地區河北省邢臺縣。
2.姓。如宋代有邢昺。 |</v>
      </c>
    </row>
    <row r="8800" spans="1:44" hidden="1">
      <c r="A8800" s="1" t="s">
        <v>17173</v>
      </c>
      <c r="C8800" s="1">
        <v>1</v>
      </c>
      <c r="D8800" s="1" t="str">
        <f>"07236"</f>
        <v>07236</v>
      </c>
      <c r="E8800" s="1" t="s">
        <v>132</v>
      </c>
      <c r="F8800" s="1">
        <v>9</v>
      </c>
      <c r="G8800" s="1">
        <v>6</v>
      </c>
      <c r="H8800" s="1">
        <v>0</v>
      </c>
      <c r="I8800" s="1" t="s">
        <v>17166</v>
      </c>
      <c r="K8800" s="1" t="str">
        <f t="shared" si="552"/>
        <v>ㄒ</v>
      </c>
      <c r="L8800" s="1" t="str">
        <f t="shared" si="553"/>
        <v>ㄧ</v>
      </c>
      <c r="M8800" s="1" t="str">
        <f t="shared" si="551"/>
        <v>ㄥ</v>
      </c>
      <c r="P8800" s="1" t="s">
        <v>20</v>
      </c>
      <c r="R8800" s="1" t="s">
        <v>17167</v>
      </c>
      <c r="V8800" s="1" t="s">
        <v>17174</v>
      </c>
      <c r="AR8800" s="1" t="str">
        <f t="shared" si="554"/>
        <v>| [ㄒㄧㄥˊ](ㄒㄧㄥˊ.md) | [型](型.md) |  | xíng | [名]
1.鑄造器物的模子。如：「模型」、「紙型」。《淮南子．脩務》：「明鏡之始下型，矇然未見形容。」
2.典範、法式。如：「典型」。
3.式樣、種類。如：「血型」、「新型」、「髮型」、「臉型」、「流線型」。 |</v>
      </c>
    </row>
    <row r="8801" spans="1:44" hidden="1">
      <c r="A8801" s="1" t="s">
        <v>17175</v>
      </c>
      <c r="C8801" s="1">
        <v>1</v>
      </c>
      <c r="D8801" s="1" t="str">
        <f>"07237"</f>
        <v>07237</v>
      </c>
      <c r="E8801" s="1" t="s">
        <v>169</v>
      </c>
      <c r="F8801" s="1">
        <v>11</v>
      </c>
      <c r="G8801" s="1">
        <v>6</v>
      </c>
      <c r="H8801" s="1">
        <v>0</v>
      </c>
      <c r="I8801" s="1" t="s">
        <v>17166</v>
      </c>
      <c r="K8801" s="1" t="str">
        <f t="shared" si="552"/>
        <v>ㄒ</v>
      </c>
      <c r="L8801" s="1" t="str">
        <f t="shared" si="553"/>
        <v>ㄧ</v>
      </c>
      <c r="M8801" s="1" t="str">
        <f t="shared" si="551"/>
        <v>ㄥ</v>
      </c>
      <c r="P8801" s="1" t="s">
        <v>20</v>
      </c>
      <c r="R8801" s="1" t="s">
        <v>17167</v>
      </c>
      <c r="V8801" s="1" t="s">
        <v>17176</v>
      </c>
      <c r="AR8801" s="1" t="str">
        <f t="shared" si="554"/>
        <v>| [ㄒㄧㄥˊ](ㄒㄧㄥˊ.md) | [硎](硎.md) |  | xíng | [名]
磨刀石。《莊子．養生主》：「今臣之刀，十九年矣，所解數千牛矣，而刀刃若新發於硎。」《聊齋志異．卷二．巧娘》：「發硎新試，其快可知。」 |</v>
      </c>
    </row>
    <row r="8802" spans="1:44" hidden="1">
      <c r="A8802" s="1" t="s">
        <v>13807</v>
      </c>
      <c r="C8802" s="1">
        <v>1</v>
      </c>
      <c r="D8802" s="1" t="str">
        <f>"07238"</f>
        <v>07238</v>
      </c>
      <c r="E8802" s="1" t="s">
        <v>55</v>
      </c>
      <c r="F8802" s="1">
        <v>12</v>
      </c>
      <c r="G8802" s="1">
        <v>4</v>
      </c>
      <c r="H8802" s="1">
        <v>1</v>
      </c>
      <c r="I8802" s="1" t="s">
        <v>17166</v>
      </c>
      <c r="K8802" s="1" t="str">
        <f t="shared" si="552"/>
        <v>ㄒ</v>
      </c>
      <c r="L8802" s="1" t="str">
        <f t="shared" si="553"/>
        <v>ㄧ</v>
      </c>
      <c r="M8802" s="1" t="str">
        <f t="shared" si="551"/>
        <v>ㄥ</v>
      </c>
      <c r="P8802" s="1" t="s">
        <v>20</v>
      </c>
      <c r="R8802" s="1" t="s">
        <v>17167</v>
      </c>
      <c r="V8802" s="1" t="s">
        <v>17177</v>
      </c>
      <c r="W8802" s="1" t="s">
        <v>17178</v>
      </c>
      <c r="AR8802" s="1" t="str">
        <f t="shared" si="554"/>
        <v>| [ㄒㄧㄥˊ](ㄒㄧㄥˊ.md) | [鈃](鈃.md) |  | xíng | [名]
1.古代的一種酒器。外形似鐘，長頸。《說文解字．金部》：「鈃，似鍾而長頸。」清．段玉裁．注：「古酒鍾有腹有頸，蓋大其下，小其上也。」
2.古代用來盛羹湯的器具。通「鉶」。《新唐書．卷一一．禮樂志一》：「簋、鈃、籩、豆在堂上，俱東側階之北。」 |</v>
      </c>
    </row>
    <row r="8803" spans="1:44" hidden="1">
      <c r="A8803" s="1" t="s">
        <v>17179</v>
      </c>
      <c r="C8803" s="1">
        <v>1</v>
      </c>
      <c r="D8803" s="1" t="str">
        <f>"07239"</f>
        <v>07239</v>
      </c>
      <c r="E8803" s="1" t="s">
        <v>55</v>
      </c>
      <c r="F8803" s="1">
        <v>14</v>
      </c>
      <c r="G8803" s="1">
        <v>6</v>
      </c>
      <c r="H8803" s="1">
        <v>0</v>
      </c>
      <c r="I8803" s="1" t="s">
        <v>17166</v>
      </c>
      <c r="K8803" s="1" t="str">
        <f t="shared" si="552"/>
        <v>ㄒ</v>
      </c>
      <c r="L8803" s="1" t="str">
        <f t="shared" si="553"/>
        <v>ㄧ</v>
      </c>
      <c r="M8803" s="1" t="str">
        <f t="shared" si="551"/>
        <v>ㄥ</v>
      </c>
      <c r="P8803" s="1" t="s">
        <v>20</v>
      </c>
      <c r="R8803" s="1" t="s">
        <v>17167</v>
      </c>
      <c r="V8803" s="1" t="s">
        <v>17180</v>
      </c>
      <c r="AR8803" s="1" t="str">
        <f t="shared" si="554"/>
        <v>| [ㄒㄧㄥˊ](ㄒㄧㄥˊ.md) | [鉶](鉶.md) |  | xíng | [名]
1.古代祭祀時，用來盛菜和羹的器皿。形如小鼎，兩耳三足，有蓋。《廣韻．平聲．青韻》：「鉶，祭器。」《禮記．禮運》：「實其簠、簋、籩、豆、鉶、羹。」漢．鄭玄．注：「鈃本又作鉶，盛和羹器，形如小鼎。」
2.菜羹。《儀禮．士虞禮》：「設一鉶于豆南，佐食出立于戶西。」漢．鄭玄．注：「鉶，菜羹也。」 |</v>
      </c>
    </row>
    <row r="8804" spans="1:44" hidden="1">
      <c r="A8804" s="1" t="s">
        <v>11927</v>
      </c>
      <c r="C8804" s="1">
        <v>1</v>
      </c>
      <c r="D8804" s="1" t="str">
        <f>"07240"</f>
        <v>07240</v>
      </c>
      <c r="E8804" s="1" t="s">
        <v>7105</v>
      </c>
      <c r="F8804" s="1">
        <v>6</v>
      </c>
      <c r="G8804" s="1">
        <v>0</v>
      </c>
      <c r="H8804" s="1">
        <v>1</v>
      </c>
      <c r="I8804" s="1" t="s">
        <v>17166</v>
      </c>
      <c r="K8804" s="1" t="str">
        <f t="shared" si="552"/>
        <v>ㄒ</v>
      </c>
      <c r="L8804" s="1" t="str">
        <f t="shared" si="553"/>
        <v>ㄧ</v>
      </c>
      <c r="M8804" s="1" t="str">
        <f t="shared" si="551"/>
        <v>ㄥ</v>
      </c>
      <c r="P8804" s="1" t="s">
        <v>20</v>
      </c>
      <c r="R8804" s="1" t="s">
        <v>17167</v>
      </c>
      <c r="V8804" s="1" t="s">
        <v>17181</v>
      </c>
      <c r="W8804" s="1" t="s">
        <v>17182</v>
      </c>
      <c r="AR8804" s="1" t="str">
        <f t="shared" si="554"/>
        <v>| [ㄒㄧㄥˊ](ㄒㄧㄥˊ.md) | [行](行.md) |  | xíng | [動]_x000D_
1.走、走路。如：「直行」、「寸步難行」、「錦衣夜行」。《論語．述而》：「三人行，必有我師焉？」唐．王維〈終南別業〉詩：「行到水窮處，坐看雲起時。」_x000D_
2.往。《詩經．秦風．無衣》：「脩我甲兵，與子偕行。」唐．杜甫〈奉濟驛重送嚴公四韻〉：「幾時杯重把，昨夜月同行。」_x000D_
3.移動、流動。如：「運行」。《易經．乾卦》：「《象》曰：『天行健，君子以自強不息。』」唐．杜甫〈夢李白〉詩二首之二：「浮雲終日行，遊子久不至。」_x000D_
4.流通。如：「流行」、「風行一時」、「通行全國」、「發行報刊」。《左傳．襄公二十五年》：「言之無文，行而不遠。」_x000D_
5.做、從事。如：「行醫」、「行善」。《左傳．隱公元年》：「多行不義必自斃。」_x000D_
6.實施、實行。《易經．繫辭上》：「推而行之謂之通。」唐．孔穎達．正義：「因推此以可變而施行之，謂之通也。」《老子》第四一章：「上士聞道，勤而行之。」_x000D_
7.同意、允許。多用於徵詢意見。如：「今天中午我想吃麵，行不行？」《小五義》第二一回：「蔣爺說：『咱們到底說下個時候。』柳爺說：『限你三晝夜的工夫，行不行？』」_x000D_
8.經歷、經過。《管子．問》：「城粟軍糧，其可以行幾何年也？」唐．房玄齡．注：「行，由經也。」_x000D_
9.出嫁。《詩經．邶風．泉水》：「女子有行，遠父母兄弟。」_x000D_
[名]_x000D_
1.道路。《詩經．小雅．小弁》：「行有死人，尚或墐之。」_x000D_
2.路程。《老子》第六四章：「九層之臺，起於累土；千里之行，始於足下。」_x000D_
3.行為。《荀子．不苟》：「庸言必信之，庸行必慎之。」《禮記．樂記》：「禮以道其志，樂以和其聲，政以一其行，刑以防其姦。」_x000D_
4.行書的簡稱。如：「行草」、「行楷」。_x000D_
5.一種樂府和古詩的體裁。如：〈短歌行〉、〈琵琶行〉、〈飲馬長城窟行〉。_x000D_
6.量詞。計算酌酒奉客的單位。漢．揚雄《法言．修身》：「賓主百拜，而酒三行。」宋．司馬光〈訓儉示康〉：「客至未嘗不置酒，或三行五行，多不過七行。」_x000D_
7.姓。如漢代有行宏。_x000D_
8.二一四部首之一。_x000D_
[形]_x000D_
1.能幹、幹練。如：「你真行。」「他在這方面行得很。」_x000D_
2.可以、恰當。如：「他這篇文章寫得還行。」「做事只要盡心盡力就行了。」《朱子語類．卷三三．論語一五．雍也篇四》：「如讀書，要理會得透徹；做事，亦要做得行。」_x000D_
[副]_x000D_
不久、將要。如：「行將就木」。唐．元稹〈遣悲懷〉詩三首之二：「衣裳已施行看盡，針線猶存未忍開。」_x000D_
[連]_x000D_
且、又。三國魏．曹丕〈與吳質書〉：「既痛逝者，行自念也。」 |</v>
      </c>
    </row>
    <row r="8805" spans="1:44" hidden="1">
      <c r="A8805" s="1" t="s">
        <v>17183</v>
      </c>
      <c r="C8805" s="1">
        <v>1</v>
      </c>
      <c r="D8805" s="1" t="str">
        <f>"07241"</f>
        <v>07241</v>
      </c>
      <c r="E8805" s="1" t="s">
        <v>534</v>
      </c>
      <c r="F8805" s="1">
        <v>10</v>
      </c>
      <c r="G8805" s="1">
        <v>7</v>
      </c>
      <c r="H8805" s="1">
        <v>0</v>
      </c>
      <c r="I8805" s="1" t="s">
        <v>17166</v>
      </c>
      <c r="K8805" s="1" t="str">
        <f t="shared" si="552"/>
        <v>ㄒ</v>
      </c>
      <c r="L8805" s="1" t="str">
        <f t="shared" si="553"/>
        <v>ㄧ</v>
      </c>
      <c r="M8805" s="1" t="str">
        <f t="shared" si="551"/>
        <v>ㄥ</v>
      </c>
      <c r="P8805" s="1" t="s">
        <v>20</v>
      </c>
      <c r="R8805" s="1" t="s">
        <v>17167</v>
      </c>
      <c r="V8805" s="1" t="s">
        <v>17184</v>
      </c>
      <c r="AR8805" s="1" t="str">
        <f t="shared" si="554"/>
        <v>| [ㄒㄧㄥˊ](ㄒㄧㄥˊ.md) | [娙](娙.md) |  | xíng | [形]
女子身材修長美好。《說文解字．女部》：「娙，長好也。」《廣韻．平韻．青韻》：「娙，女長貌。」 |</v>
      </c>
    </row>
    <row r="8806" spans="1:44" hidden="1">
      <c r="A8806" s="1" t="s">
        <v>17185</v>
      </c>
      <c r="C8806" s="1">
        <v>1</v>
      </c>
      <c r="D8806" s="1" t="str">
        <f>"07242"</f>
        <v>07242</v>
      </c>
      <c r="E8806" s="1" t="s">
        <v>691</v>
      </c>
      <c r="F8806" s="1">
        <v>10</v>
      </c>
      <c r="G8806" s="1">
        <v>7</v>
      </c>
      <c r="H8806" s="1">
        <v>0</v>
      </c>
      <c r="I8806" s="1" t="s">
        <v>17166</v>
      </c>
      <c r="K8806" s="1" t="str">
        <f t="shared" si="552"/>
        <v>ㄒ</v>
      </c>
      <c r="L8806" s="1" t="str">
        <f t="shared" si="553"/>
        <v>ㄧ</v>
      </c>
      <c r="M8806" s="1" t="str">
        <f t="shared" si="551"/>
        <v>ㄥ</v>
      </c>
      <c r="P8806" s="1" t="s">
        <v>20</v>
      </c>
      <c r="R8806" s="1" t="s">
        <v>17167</v>
      </c>
      <c r="V8806" s="1" t="s">
        <v>17186</v>
      </c>
      <c r="AR8806" s="1" t="str">
        <f t="shared" si="554"/>
        <v>| [ㄒㄧㄥˊ](ㄒㄧㄥˊ.md) | [陘](陘.md) |  | xíng | [名]
1.山脈中斷的地方。《爾雅．釋山》：「山絕，陘。」宋．邢昺．疏：「謂山形連延中忽斷絕者。」《文選．謝靈運．從斤竹澗越嶺溪行》：「逶迤傍隈隩，苕遞陟陘峴。」宋．王安石〈雨花臺〉詩：「盤互長干有絕陘，并包佳麗入江亭。」
2.灶的邊緣，可放置器物的地方。清．王念孫《廣雅疏證．卷七上．釋宮》：「寤謂之灶，其脣謂陘。」《禮記．月令》「其祀灶」句下唐．孔穎達．正義：「灶陘，謂灶邊承器之物，以土為之。」 |</v>
      </c>
    </row>
    <row r="8807" spans="1:44" hidden="1">
      <c r="A8807" s="1" t="s">
        <v>17187</v>
      </c>
      <c r="C8807" s="1">
        <v>1</v>
      </c>
      <c r="D8807" s="1" t="str">
        <f>"07243"</f>
        <v>07243</v>
      </c>
      <c r="E8807" s="1" t="s">
        <v>129</v>
      </c>
      <c r="F8807" s="1">
        <v>14</v>
      </c>
      <c r="G8807" s="1">
        <v>10</v>
      </c>
      <c r="H8807" s="1">
        <v>1</v>
      </c>
      <c r="I8807" s="1" t="s">
        <v>17166</v>
      </c>
      <c r="K8807" s="1" t="str">
        <f t="shared" si="552"/>
        <v>ㄒ</v>
      </c>
      <c r="L8807" s="1" t="str">
        <f t="shared" si="553"/>
        <v>ㄧ</v>
      </c>
      <c r="M8807" s="1" t="str">
        <f t="shared" si="551"/>
        <v>ㄥ</v>
      </c>
      <c r="P8807" s="1" t="s">
        <v>20</v>
      </c>
      <c r="R8807" s="1" t="s">
        <v>17167</v>
      </c>
      <c r="V8807" s="1" t="s">
        <v>17188</v>
      </c>
      <c r="W8807" s="1" t="s">
        <v>17189</v>
      </c>
      <c r="AR8807" s="1" t="str">
        <f t="shared" si="554"/>
        <v>| [ㄒㄧㄥˊ](ㄒㄧㄥˊ.md) | [滎](滎.md) |  | xíng | [名]
古代的沼澤名稱。漢朝時已堙塞為平地，約在今大陸地區河南省滎澤縣治南。 |</v>
      </c>
    </row>
    <row r="8808" spans="1:44" hidden="1">
      <c r="A8808" s="1" t="s">
        <v>6354</v>
      </c>
      <c r="C8808" s="1">
        <v>1</v>
      </c>
      <c r="D8808" s="1" t="str">
        <f>"07244"</f>
        <v>07244</v>
      </c>
      <c r="E8808" s="1" t="s">
        <v>193</v>
      </c>
      <c r="F8808" s="1">
        <v>17</v>
      </c>
      <c r="G8808" s="1">
        <v>9</v>
      </c>
      <c r="H8808" s="1">
        <v>1</v>
      </c>
      <c r="I8808" s="1" t="s">
        <v>17166</v>
      </c>
      <c r="K8808" s="1" t="str">
        <f t="shared" si="552"/>
        <v>ㄒ</v>
      </c>
      <c r="L8808" s="1" t="str">
        <f t="shared" si="553"/>
        <v>ㄧ</v>
      </c>
      <c r="M8808" s="1" t="str">
        <f t="shared" ref="M8808:M8837" si="555">MID(I8808, 3, 1)</f>
        <v>ㄥ</v>
      </c>
      <c r="P8808" s="1" t="s">
        <v>20</v>
      </c>
      <c r="R8808" s="1" t="s">
        <v>17167</v>
      </c>
      <c r="V8808" s="1" t="s">
        <v>17190</v>
      </c>
      <c r="W8808" s="1" t="s">
        <v>17191</v>
      </c>
      <c r="AR8808" s="1" t="str">
        <f t="shared" si="554"/>
        <v>| [ㄒㄧㄥˊ](ㄒㄧㄥˊ.md) | [餳](餳.md) |  | xíng | [名]
麥芽糖。明．李時珍《本草綱目．卷二五．穀部．飴糖》：「《集解》：韓保昇曰：『飴，即軟糖也，北人謂之餳。』時珍曰：『飴餳用麥糱或穀芽同諸米熬煎而成，古人寒食多食餳，故醫方亦收用之。』」
[形]
1.麵團或糖塊變軟。如：「這塊糖餳了，不好吃。」、「這塊麵團有點餳。」
2.眼睛半睜半閉或呆滯無神。如：「他眼睛有點兒餳，想是睏了。」 |</v>
      </c>
    </row>
    <row r="8809" spans="1:44" hidden="1">
      <c r="A8809" s="1" t="s">
        <v>17192</v>
      </c>
      <c r="C8809" s="1">
        <v>1</v>
      </c>
      <c r="D8809" s="1" t="str">
        <f>"07245"</f>
        <v>07245</v>
      </c>
      <c r="E8809" s="1" t="s">
        <v>1015</v>
      </c>
      <c r="F8809" s="1">
        <v>9</v>
      </c>
      <c r="G8809" s="1">
        <v>4</v>
      </c>
      <c r="H8809" s="1">
        <v>2</v>
      </c>
      <c r="I8809" s="1" t="s">
        <v>17193</v>
      </c>
      <c r="K8809" s="1" t="str">
        <f t="shared" si="552"/>
        <v>ㄒ</v>
      </c>
      <c r="L8809" s="1" t="str">
        <f t="shared" si="553"/>
        <v>ㄧ</v>
      </c>
      <c r="M8809" s="1" t="str">
        <f t="shared" si="555"/>
        <v>ㄥ</v>
      </c>
      <c r="P8809" s="1" t="s">
        <v>20</v>
      </c>
      <c r="R8809" s="1" t="s">
        <v>17194</v>
      </c>
      <c r="V8809" s="1" t="s">
        <v>17195</v>
      </c>
      <c r="W8809" s="1" t="s">
        <v>17196</v>
      </c>
      <c r="AR8809" s="1" t="str">
        <f t="shared" si="554"/>
        <v>| [ㄒㄧㄥˇ](ㄒㄧㄥˇ.md) | [省](省.md) |  | xǐng | [動]
1.檢討、審察。如：「內省」、「反省」。《論語．學而》：「吾日三省吾身。」
2.探望、問候。如：「晨昏定省」。《紅樓夢》第八三回：「前兒貴妃娘娘省親回來，我們還親見他帶了幾車金銀回來。」
3.明瞭、領悟。《史記．卷五五．留侯世家》：「良為他人言，皆不省。」元．王實甫《西廂記．第一本．第三折》：「雖然是眼角兒傳情，喒兩個口不言，心自省。」
4.考校。《禮記．中庸》：「日省月試。」
5.記得、記住。如：「記省」。元．孫仲章《勘頭巾．楔子》：「全不省上青驄，只記得金鍾漫捧，直勸我喫的到喉嚨。」 |</v>
      </c>
    </row>
    <row r="8810" spans="1:44" hidden="1">
      <c r="A8810" s="1" t="s">
        <v>17150</v>
      </c>
      <c r="C8810" s="1">
        <v>1</v>
      </c>
      <c r="D8810" s="1" t="str">
        <f>"07246"</f>
        <v>07246</v>
      </c>
      <c r="E8810" s="1" t="s">
        <v>250</v>
      </c>
      <c r="F8810" s="1">
        <v>12</v>
      </c>
      <c r="G8810" s="1">
        <v>9</v>
      </c>
      <c r="H8810" s="1">
        <v>2</v>
      </c>
      <c r="I8810" s="1" t="s">
        <v>17193</v>
      </c>
      <c r="K8810" s="1" t="str">
        <f t="shared" si="552"/>
        <v>ㄒ</v>
      </c>
      <c r="L8810" s="1" t="str">
        <f t="shared" si="553"/>
        <v>ㄧ</v>
      </c>
      <c r="M8810" s="1" t="str">
        <f t="shared" si="555"/>
        <v>ㄥ</v>
      </c>
      <c r="P8810" s="1" t="s">
        <v>20</v>
      </c>
      <c r="R8810" s="1" t="s">
        <v>17194</v>
      </c>
      <c r="V8810" s="1" t="s">
        <v>17197</v>
      </c>
      <c r="W8810" s="1" t="s">
        <v>17198</v>
      </c>
      <c r="AR8810" s="1" t="str">
        <f t="shared" si="554"/>
        <v>| [ㄒㄧㄥˇ](ㄒㄧㄥˇ.md) | [惺](惺.md) |  | xǐng | [動]
覺悟、清醒。《廣韻．上聲．靜韻》：「惺，惺悟。」《抱朴子．內篇．極言》：「始皇惺悟，信世間之必有仙道。」 |</v>
      </c>
    </row>
    <row r="8811" spans="1:44" hidden="1">
      <c r="A8811" s="1" t="s">
        <v>17157</v>
      </c>
      <c r="C8811" s="1">
        <v>1</v>
      </c>
      <c r="D8811" s="1" t="str">
        <f>"07247"</f>
        <v>07247</v>
      </c>
      <c r="E8811" s="1" t="s">
        <v>1462</v>
      </c>
      <c r="F8811" s="1">
        <v>16</v>
      </c>
      <c r="G8811" s="1">
        <v>9</v>
      </c>
      <c r="H8811" s="1">
        <v>1</v>
      </c>
      <c r="I8811" s="1" t="s">
        <v>17193</v>
      </c>
      <c r="K8811" s="1" t="str">
        <f t="shared" si="552"/>
        <v>ㄒ</v>
      </c>
      <c r="L8811" s="1" t="str">
        <f t="shared" si="553"/>
        <v>ㄧ</v>
      </c>
      <c r="M8811" s="1" t="str">
        <f t="shared" si="555"/>
        <v>ㄥ</v>
      </c>
      <c r="P8811" s="1" t="s">
        <v>20</v>
      </c>
      <c r="R8811" s="1" t="s">
        <v>17194</v>
      </c>
      <c r="V8811" s="1" t="s">
        <v>17199</v>
      </c>
      <c r="W8811" s="1" t="s">
        <v>17200</v>
      </c>
      <c r="AR8811" s="1" t="str">
        <f t="shared" si="554"/>
        <v>| [ㄒㄧㄥˇ](ㄒㄧㄥˇ.md) | [醒](醒.md) |  | xǐng | [動]
1.酒醉或昏迷後恢復正常。如：「甦醒」、「清醒」。《左傳．僖公二十三年》：「醉而遣之。醒，以戈逐子犯。」
2.睡眠狀態結束或尚未入睡。如：「你還醒著嗎？」。唐．韓愈〈東都遇春〉詩：「朝曦入牖來，鳥喚昏不醒。」
3.覺悟、明白。如：「覺醒」、「醒悟」。
[形]
顯明、清楚。如：「醒目」、「醒眼」。 |</v>
      </c>
    </row>
    <row r="8812" spans="1:44" hidden="1">
      <c r="A8812" s="1" t="s">
        <v>17201</v>
      </c>
      <c r="C8812" s="1">
        <v>1</v>
      </c>
      <c r="D8812" s="1" t="str">
        <f>"07248"</f>
        <v>07248</v>
      </c>
      <c r="E8812" s="1" t="s">
        <v>24</v>
      </c>
      <c r="F8812" s="1">
        <v>17</v>
      </c>
      <c r="G8812" s="1">
        <v>14</v>
      </c>
      <c r="H8812" s="1">
        <v>0</v>
      </c>
      <c r="I8812" s="1" t="s">
        <v>17193</v>
      </c>
      <c r="K8812" s="1" t="str">
        <f t="shared" si="552"/>
        <v>ㄒ</v>
      </c>
      <c r="L8812" s="1" t="str">
        <f t="shared" si="553"/>
        <v>ㄧ</v>
      </c>
      <c r="M8812" s="1" t="str">
        <f t="shared" si="555"/>
        <v>ㄥ</v>
      </c>
      <c r="P8812" s="1" t="s">
        <v>20</v>
      </c>
      <c r="R8812" s="1" t="s">
        <v>17194</v>
      </c>
      <c r="V8812" s="1" t="s">
        <v>17202</v>
      </c>
      <c r="AR8812" s="1" t="str">
        <f t="shared" si="554"/>
        <v>| [ㄒㄧㄥˇ](ㄒㄧㄥˇ.md) | [擤](擤.md) |  | xǐng | [動]_x000D_
按壓或捏住鼻子，用力出氣，以排除鼻中異物。如：「擤鼻涕」。《五音集韻．上聲．梗韻》：「擤，捻鼻中齈也。」《俗書刊誤．卷一一．俗用雜字》：「手捻鼻膿曰擤。」 |</v>
      </c>
    </row>
    <row r="8813" spans="1:44" hidden="1">
      <c r="A8813" s="1" t="s">
        <v>11927</v>
      </c>
      <c r="C8813" s="1">
        <v>1</v>
      </c>
      <c r="D8813" s="1" t="str">
        <f>"07249"</f>
        <v>07249</v>
      </c>
      <c r="E8813" s="1" t="s">
        <v>7105</v>
      </c>
      <c r="F8813" s="1">
        <v>6</v>
      </c>
      <c r="G8813" s="1">
        <v>0</v>
      </c>
      <c r="H8813" s="1">
        <v>2</v>
      </c>
      <c r="I8813" s="1" t="s">
        <v>17203</v>
      </c>
      <c r="K8813" s="1" t="str">
        <f t="shared" si="552"/>
        <v>ㄒ</v>
      </c>
      <c r="L8813" s="1" t="str">
        <f t="shared" si="553"/>
        <v>ㄧ</v>
      </c>
      <c r="M8813" s="1" t="str">
        <f t="shared" si="555"/>
        <v>ㄥ</v>
      </c>
      <c r="P8813" s="1" t="s">
        <v>20</v>
      </c>
      <c r="R8813" s="1" t="s">
        <v>17204</v>
      </c>
      <c r="V8813" s="1" t="s">
        <v>17205</v>
      </c>
      <c r="W8813" s="1" t="s">
        <v>17206</v>
      </c>
      <c r="AR8813" s="1" t="str">
        <f t="shared" si="554"/>
        <v>| [ㄒㄧㄥˋ](ㄒㄧㄥˋ.md) | [行](行.md) |  | xìng | [名]
行為舉止。如：「品行」、「操行」、「獸行」、「德行」。《論語．公冶長》：「聽其言而觀其行。」 |</v>
      </c>
    </row>
    <row r="8814" spans="1:44" hidden="1">
      <c r="A8814" s="1" t="s">
        <v>17207</v>
      </c>
      <c r="C8814" s="1">
        <v>1</v>
      </c>
      <c r="D8814" s="1" t="str">
        <f>"07250"</f>
        <v>07250</v>
      </c>
      <c r="E8814" s="1" t="s">
        <v>37</v>
      </c>
      <c r="F8814" s="1">
        <v>10</v>
      </c>
      <c r="G8814" s="1">
        <v>6</v>
      </c>
      <c r="H8814" s="1">
        <v>0</v>
      </c>
      <c r="I8814" s="1" t="s">
        <v>17203</v>
      </c>
      <c r="K8814" s="1" t="str">
        <f t="shared" si="552"/>
        <v>ㄒ</v>
      </c>
      <c r="L8814" s="1" t="str">
        <f t="shared" si="553"/>
        <v>ㄧ</v>
      </c>
      <c r="M8814" s="1" t="str">
        <f t="shared" si="555"/>
        <v>ㄥ</v>
      </c>
      <c r="P8814" s="1" t="s">
        <v>20</v>
      </c>
      <c r="R8814" s="1" t="s">
        <v>17204</v>
      </c>
      <c r="V8814" s="1" t="s">
        <v>17208</v>
      </c>
      <c r="AR8814" s="1" t="str">
        <f t="shared" si="554"/>
        <v>| [ㄒㄧㄥˋ](ㄒㄧㄥˋ.md) | [荇](荇.md) |  | xìng | 參見「荇菜」條。 |</v>
      </c>
    </row>
    <row r="8815" spans="1:44" hidden="1">
      <c r="A8815" s="1" t="s">
        <v>17209</v>
      </c>
      <c r="C8815" s="1">
        <v>1</v>
      </c>
      <c r="D8815" s="1" t="str">
        <f>"07251"</f>
        <v>07251</v>
      </c>
      <c r="E8815" s="1" t="s">
        <v>139</v>
      </c>
      <c r="F8815" s="1">
        <v>7</v>
      </c>
      <c r="G8815" s="1">
        <v>3</v>
      </c>
      <c r="H8815" s="1">
        <v>0</v>
      </c>
      <c r="I8815" s="1" t="s">
        <v>17203</v>
      </c>
      <c r="K8815" s="1" t="str">
        <f t="shared" si="552"/>
        <v>ㄒ</v>
      </c>
      <c r="L8815" s="1" t="str">
        <f t="shared" si="553"/>
        <v>ㄧ</v>
      </c>
      <c r="M8815" s="1" t="str">
        <f t="shared" si="555"/>
        <v>ㄥ</v>
      </c>
      <c r="P8815" s="1" t="s">
        <v>20</v>
      </c>
      <c r="R8815" s="1" t="s">
        <v>17204</v>
      </c>
      <c r="V8815" s="1" t="s">
        <v>17210</v>
      </c>
      <c r="AR8815" s="1" t="str">
        <f t="shared" si="554"/>
        <v>| [ㄒㄧㄥˋ](ㄒㄧㄥˋ.md) | [杏](杏.md) |  | xìng | [名]
植物名。薔薇科李屬，落葉喬木。樹皮帶赤色。葉芽側生，葉卵形。三月開花，花常單生，白色或淡紅色、葉像梅。核果扁圓形，淡黃色，肥厚、味稍酸。核仁，可食亦可入藥。花與果實也稱為「杏」。 |</v>
      </c>
    </row>
    <row r="8816" spans="1:44" hidden="1">
      <c r="A8816" s="1" t="s">
        <v>17211</v>
      </c>
      <c r="C8816" s="1">
        <v>1</v>
      </c>
      <c r="D8816" s="1" t="str">
        <f>"07252"</f>
        <v>07252</v>
      </c>
      <c r="E8816" s="1" t="s">
        <v>37</v>
      </c>
      <c r="F8816" s="1">
        <v>11</v>
      </c>
      <c r="G8816" s="1">
        <v>7</v>
      </c>
      <c r="H8816" s="1">
        <v>0</v>
      </c>
      <c r="I8816" s="1" t="s">
        <v>17203</v>
      </c>
      <c r="K8816" s="1" t="str">
        <f t="shared" ref="K8816:K8879" si="556">LEFT(I8816, 1)</f>
        <v>ㄒ</v>
      </c>
      <c r="L8816" s="1" t="str">
        <f t="shared" ref="L8816:L8879" si="557">MID(I8816, 2, 1)</f>
        <v>ㄧ</v>
      </c>
      <c r="M8816" s="1" t="str">
        <f t="shared" si="555"/>
        <v>ㄥ</v>
      </c>
      <c r="P8816" s="1" t="s">
        <v>20</v>
      </c>
      <c r="R8816" s="1" t="s">
        <v>17204</v>
      </c>
      <c r="V8816" s="1" t="s">
        <v>17212</v>
      </c>
      <c r="AR8816" s="1" t="str">
        <f t="shared" si="554"/>
        <v>| [ㄒㄧㄥˋ](ㄒㄧㄥˋ.md) | [莕](莕.md) |  | xìng | 參見「莕菜」條。 |</v>
      </c>
    </row>
    <row r="8817" spans="1:44" hidden="1">
      <c r="A8817" s="1" t="s">
        <v>17213</v>
      </c>
      <c r="C8817" s="1">
        <v>1</v>
      </c>
      <c r="D8817" s="1" t="str">
        <f>"07253"</f>
        <v>07253</v>
      </c>
      <c r="E8817" s="1" t="s">
        <v>250</v>
      </c>
      <c r="F8817" s="1">
        <v>8</v>
      </c>
      <c r="G8817" s="1">
        <v>5</v>
      </c>
      <c r="H8817" s="1">
        <v>0</v>
      </c>
      <c r="I8817" s="1" t="s">
        <v>17203</v>
      </c>
      <c r="K8817" s="1" t="str">
        <f t="shared" si="556"/>
        <v>ㄒ</v>
      </c>
      <c r="L8817" s="1" t="str">
        <f t="shared" si="557"/>
        <v>ㄧ</v>
      </c>
      <c r="M8817" s="1" t="str">
        <f t="shared" si="555"/>
        <v>ㄥ</v>
      </c>
      <c r="P8817" s="1" t="s">
        <v>20</v>
      </c>
      <c r="R8817" s="1" t="s">
        <v>17204</v>
      </c>
      <c r="V8817" s="1" t="s">
        <v>17214</v>
      </c>
      <c r="AR8817" s="1" t="str">
        <f t="shared" si="554"/>
        <v>| [ㄒㄧㄥˋ](ㄒㄧㄥˋ.md) | [性](性.md) |  | xìng | [名]
1.人或物自然具有的本質、本能。如：「本性」、「人性」、「獸性」。《論語．陽貨》：「性相近也，習相遠也。」《荀子．正名》：「生之所以然者謂之性。」
2.事物的特質或功能。如：「毒性」、「藥性」、「磁性」、「韌性」。《左傳．昭公二十五年》：「則天之明，因地之性。」
3.生物的種別或事物的類別。如：「男性」、「雌性」、「陰性」、「陽性」。
4.生命。如：「性命」。《左傳．昭公八年》：「怨讟並作，莫保其性。」宋．辛棄疾〈滿江紅．漢水東流〉詞：「馬革裹屍當自誓，蛾眉伐性休重說。」
5.生殖或情慾。如：「性器官」、「性生活」、「性行為」。
6.脾氣、性情。如：「任性」、「率性而為」。《水滸傳》第一九回：「兄長性直，只是一勇。你道王倫肯收留我們？」
7.範圍、方式。如：「全國性」、「全面性」、「綜合性」、「臨時性」。 |</v>
      </c>
    </row>
    <row r="8818" spans="1:44" hidden="1">
      <c r="A8818" s="1" t="s">
        <v>17215</v>
      </c>
      <c r="C8818" s="1">
        <v>1</v>
      </c>
      <c r="D8818" s="1" t="str">
        <f>"07254"</f>
        <v>07254</v>
      </c>
      <c r="E8818" s="1" t="s">
        <v>534</v>
      </c>
      <c r="F8818" s="1">
        <v>8</v>
      </c>
      <c r="G8818" s="1">
        <v>5</v>
      </c>
      <c r="H8818" s="1">
        <v>0</v>
      </c>
      <c r="I8818" s="1" t="s">
        <v>17203</v>
      </c>
      <c r="K8818" s="1" t="str">
        <f t="shared" si="556"/>
        <v>ㄒ</v>
      </c>
      <c r="L8818" s="1" t="str">
        <f t="shared" si="557"/>
        <v>ㄧ</v>
      </c>
      <c r="M8818" s="1" t="str">
        <f t="shared" si="555"/>
        <v>ㄥ</v>
      </c>
      <c r="P8818" s="1" t="s">
        <v>20</v>
      </c>
      <c r="R8818" s="1" t="s">
        <v>17204</v>
      </c>
      <c r="V8818" s="1" t="s">
        <v>17216</v>
      </c>
      <c r="AR8818" s="1" t="str">
        <f t="shared" si="554"/>
        <v>| [ㄒㄧㄥˋ](ㄒㄧㄥˋ.md) | [姓](姓.md) |  | xìng | [名]
1.表示個人所屬家族及區別家族系統的符號。如：「姓氏」、「貴姓」、「百家姓」。唐．杜甫〈哀王孫〉詩：「問之不肯道姓名，但道困苦乞為奴。」元．睢景臣〈哨遍．社長排門告示套．尾〉：「白甚麼改了姓，更了名，喚做漢高祖。」
2.姓。如漢代有姓偉。 |</v>
      </c>
    </row>
    <row r="8819" spans="1:44" hidden="1">
      <c r="A8819" s="1" t="s">
        <v>17217</v>
      </c>
      <c r="C8819" s="1">
        <v>1</v>
      </c>
      <c r="D8819" s="1" t="str">
        <f>"07255"</f>
        <v>07255</v>
      </c>
      <c r="E8819" s="1" t="s">
        <v>1386</v>
      </c>
      <c r="F8819" s="1">
        <v>8</v>
      </c>
      <c r="G8819" s="1">
        <v>5</v>
      </c>
      <c r="H8819" s="1">
        <v>0</v>
      </c>
      <c r="I8819" s="1" t="s">
        <v>17203</v>
      </c>
      <c r="K8819" s="1" t="str">
        <f t="shared" si="556"/>
        <v>ㄒ</v>
      </c>
      <c r="L8819" s="1" t="str">
        <f t="shared" si="557"/>
        <v>ㄧ</v>
      </c>
      <c r="M8819" s="1" t="str">
        <f t="shared" si="555"/>
        <v>ㄥ</v>
      </c>
      <c r="P8819" s="1" t="s">
        <v>20</v>
      </c>
      <c r="R8819" s="1" t="s">
        <v>17204</v>
      </c>
      <c r="V8819" s="1" t="s">
        <v>17218</v>
      </c>
      <c r="AR8819" s="1" t="str">
        <f t="shared" si="554"/>
        <v>| [ㄒㄧㄥˋ](ㄒㄧㄥˋ.md) | [幸](幸.md) |  | xìng | [名]
1.福分。如：「榮幸」、「三生有幸」。唐．司空圖〈修史亭〉詩三首之二：「甘心七十且酣歌，自算平生幸已多。」
2.姓。如晉代有幸靈。
[副]
1.意外獲得的。如：「萬幸」。《元史．卷二六．仁宗本紀三》：「諸犯贓罪已款伏及當鞫而幸免者，悉付元問官以竟其罪。」
2.多虧。如：「幸蒙厚愛」、「幸有大家鼎力相助。」《文選．江淹．雜體詩．王侍中》：「去鄉三十載，幸遭天下平。」
[動]
1.高興。如：「慶幸」、「欣幸」、「幸災樂禍」。《公羊傳．宣公十五年》：「小人見人之厄則幸之。」
2.希冀、盼望。《後漢書．卷二九．鮑永傳》：「臣事更始，不能令全，慚以其眾幸富貴，故悉罷之。」
3.舊稱帝王皇族親臨某地。如：「巡幸」、「臨幸」。《紅樓夢》第二三回：「話說賈元春自那日幸大觀園回宮去後，……又命在大觀園勒石，為千古風流雅事。」 |</v>
      </c>
    </row>
    <row r="8820" spans="1:44" hidden="1">
      <c r="A8820" s="1" t="s">
        <v>17219</v>
      </c>
      <c r="C8820" s="1">
        <v>1</v>
      </c>
      <c r="D8820" s="1" t="str">
        <f>"07256"</f>
        <v>07256</v>
      </c>
      <c r="E8820" s="1" t="s">
        <v>114</v>
      </c>
      <c r="F8820" s="1">
        <v>10</v>
      </c>
      <c r="G8820" s="1">
        <v>8</v>
      </c>
      <c r="H8820" s="1">
        <v>0</v>
      </c>
      <c r="I8820" s="1" t="s">
        <v>17203</v>
      </c>
      <c r="K8820" s="1" t="str">
        <f t="shared" si="556"/>
        <v>ㄒ</v>
      </c>
      <c r="L8820" s="1" t="str">
        <f t="shared" si="557"/>
        <v>ㄧ</v>
      </c>
      <c r="M8820" s="1" t="str">
        <f t="shared" si="555"/>
        <v>ㄥ</v>
      </c>
      <c r="P8820" s="1" t="s">
        <v>20</v>
      </c>
      <c r="R8820" s="1" t="s">
        <v>17204</v>
      </c>
      <c r="V8820" s="1" t="s">
        <v>17220</v>
      </c>
      <c r="AR8820" s="1" t="str">
        <f t="shared" si="554"/>
        <v>| [ㄒㄧㄥˋ](ㄒㄧㄥˋ.md) | [倖](倖.md) |  | xìng | [名]
親信、佞臣。《宋史．卷三八三．虞允文傳》：「自古人主大權，不移於奸臣，則落於近倖。」
[副]
意外獲得的。同「幸」。如：「僥倖」、「倖存」、「倖免於難」。《儒林外史》第三五回：「但不由進士出身，驟躋卿貳，我朝祖宗，無此法度，且開天下以倖進之心。」
[形]
親近的。如：「倖臣」。 |</v>
      </c>
    </row>
    <row r="8821" spans="1:44" hidden="1">
      <c r="A8821" s="1" t="s">
        <v>17221</v>
      </c>
      <c r="C8821" s="1">
        <v>1</v>
      </c>
      <c r="D8821" s="1" t="str">
        <f>"07257"</f>
        <v>07257</v>
      </c>
      <c r="E8821" s="1" t="s">
        <v>250</v>
      </c>
      <c r="F8821" s="1">
        <v>11</v>
      </c>
      <c r="G8821" s="1">
        <v>8</v>
      </c>
      <c r="H8821" s="1">
        <v>0</v>
      </c>
      <c r="I8821" s="1" t="s">
        <v>17203</v>
      </c>
      <c r="K8821" s="1" t="str">
        <f t="shared" si="556"/>
        <v>ㄒ</v>
      </c>
      <c r="L8821" s="1" t="str">
        <f t="shared" si="557"/>
        <v>ㄧ</v>
      </c>
      <c r="M8821" s="1" t="str">
        <f t="shared" si="555"/>
        <v>ㄥ</v>
      </c>
      <c r="P8821" s="1" t="s">
        <v>20</v>
      </c>
      <c r="R8821" s="1" t="s">
        <v>17204</v>
      </c>
      <c r="V8821" s="1" t="s">
        <v>17222</v>
      </c>
      <c r="AR8821" s="1" t="str">
        <f t="shared" si="554"/>
        <v>| [ㄒㄧㄥˋ](ㄒㄧㄥˋ.md) | [悻](悻.md) |  | xìng | [形]
1.參見「悻悻」條。
2.任性、固執。唐．柳宗元〈東明張先生墓誌〉：「盪莽狠悻，道之非耶？」宋．蘇軾〈次韻答章傳道見贈〉詩：「仄聞長者言，悻直非養壽。」 |</v>
      </c>
    </row>
    <row r="8822" spans="1:44" hidden="1">
      <c r="A8822" s="1" t="s">
        <v>17223</v>
      </c>
      <c r="C8822" s="1">
        <v>1</v>
      </c>
      <c r="D8822" s="1" t="str">
        <f>"07258"</f>
        <v>07258</v>
      </c>
      <c r="E8822" s="1" t="s">
        <v>534</v>
      </c>
      <c r="F8822" s="1">
        <v>11</v>
      </c>
      <c r="G8822" s="1">
        <v>8</v>
      </c>
      <c r="H8822" s="1">
        <v>0</v>
      </c>
      <c r="I8822" s="1" t="s">
        <v>17203</v>
      </c>
      <c r="K8822" s="1" t="str">
        <f t="shared" si="556"/>
        <v>ㄒ</v>
      </c>
      <c r="L8822" s="1" t="str">
        <f t="shared" si="557"/>
        <v>ㄧ</v>
      </c>
      <c r="M8822" s="1" t="str">
        <f t="shared" si="555"/>
        <v>ㄥ</v>
      </c>
      <c r="P8822" s="1" t="s">
        <v>20</v>
      </c>
      <c r="R8822" s="1" t="s">
        <v>17204</v>
      </c>
      <c r="V8822" s="1" t="s">
        <v>17224</v>
      </c>
      <c r="AR8822" s="1" t="str">
        <f t="shared" si="554"/>
        <v>| [ㄒㄧㄥˋ](ㄒㄧㄥˋ.md) | [婞](婞.md) |  | xìng | [形]
任性、固執。《楚辭．屈原．離騷》：「鮌婞直以亡身兮，終然殀乎羽之野。」《文選．王僧達．祭顏光祿文》：「性婞剛潔。」 |</v>
      </c>
    </row>
    <row r="8823" spans="1:44" hidden="1">
      <c r="A8823" s="1" t="s">
        <v>17159</v>
      </c>
      <c r="C8823" s="1">
        <v>1</v>
      </c>
      <c r="D8823" s="1" t="str">
        <f>"07259"</f>
        <v>07259</v>
      </c>
      <c r="E8823" s="1" t="s">
        <v>13771</v>
      </c>
      <c r="F8823" s="1">
        <v>16</v>
      </c>
      <c r="G8823" s="1">
        <v>9</v>
      </c>
      <c r="H8823" s="1">
        <v>2</v>
      </c>
      <c r="I8823" s="1" t="s">
        <v>17203</v>
      </c>
      <c r="K8823" s="1" t="str">
        <f t="shared" si="556"/>
        <v>ㄒ</v>
      </c>
      <c r="L8823" s="1" t="str">
        <f t="shared" si="557"/>
        <v>ㄧ</v>
      </c>
      <c r="M8823" s="1" t="str">
        <f t="shared" si="555"/>
        <v>ㄥ</v>
      </c>
      <c r="P8823" s="1" t="s">
        <v>20</v>
      </c>
      <c r="R8823" s="1" t="s">
        <v>17204</v>
      </c>
      <c r="V8823" s="1" t="s">
        <v>17225</v>
      </c>
      <c r="W8823" s="1" t="s">
        <v>17226</v>
      </c>
      <c r="AR8823" s="1" t="str">
        <f t="shared" si="554"/>
        <v>| [ㄒㄧㄥˋ](ㄒㄧㄥˋ.md) | [興](興.md) |  | xìng | [名]_x000D_
1.情致、趣味。如：「助興」、「詩興」、「酒興正濃」。《晉書．卷八〇．列傳．王羲之》：「乘興而行，興盡而反。」_x000D_
2.《詩》六義之一。藉他事引領此事的詩歌作法。《周禮．春官宗伯．大師》：「教六詩：曰風，曰賦，曰比，曰興，曰雅，曰頌。」_x000D_
[動]_x000D_
1.快樂、喜悅。如：「高興」。《紅樓夢》第四三回：「你瞧他興的這樣兒。」_x000D_
2.喜歡、喜愛。《禮記．學記》：「不興其藝，不能樂學。」_x000D_
3.比喻。《論語．陽貨》：「詩可以興，可以觀，可以群，可以怨。」 |</v>
      </c>
    </row>
    <row r="8824" spans="1:44" hidden="1">
      <c r="A8824" s="1" t="s">
        <v>17658</v>
      </c>
      <c r="C8824" s="1">
        <v>1</v>
      </c>
      <c r="D8824" s="1" t="str">
        <f>"07450"</f>
        <v>07450</v>
      </c>
      <c r="E8824" s="1" t="s">
        <v>5293</v>
      </c>
      <c r="F8824" s="1">
        <v>4</v>
      </c>
      <c r="G8824" s="1">
        <v>2</v>
      </c>
      <c r="H8824" s="1">
        <v>0</v>
      </c>
      <c r="I8824" s="1" t="s">
        <v>17659</v>
      </c>
      <c r="K8824" s="1" t="str">
        <f t="shared" si="556"/>
        <v>ㄒ</v>
      </c>
      <c r="L8824" s="1" t="str">
        <f t="shared" si="557"/>
        <v>ㄩ</v>
      </c>
      <c r="M8824" s="1" t="str">
        <f t="shared" si="555"/>
        <v>ㄥ</v>
      </c>
      <c r="P8824" s="1" t="s">
        <v>20</v>
      </c>
      <c r="R8824" s="1" t="s">
        <v>17660</v>
      </c>
      <c r="V8824" s="1" t="s">
        <v>17661</v>
      </c>
      <c r="AR8824" s="1" t="str">
        <f t="shared" si="554"/>
        <v>| [ㄒㄩㄥ](ㄒㄩㄥ.md) | [凶](凶.md) |  | xiōng | [形]
1.惡、殘暴。如：「凶惡殘暴」。《書經．泰誓中》：「凶人為不善，亦惟日不足。」
2.不吉利的、不吉祥的。如：「凶兆」、「凶信」。
3.收成不好的、鬧饑荒的。如：「凶年」、「凶歲」。
4.厲害、激烈。如：「雨勢很凶」、「哭得很凶」、「鬧得很凶」。
[名]
1.不祥、災禍。如：「趨吉避凶」。《詩經．王風．兔爰》：「我生之後，逢此百凶，尚寐無聰。」
2.殘暴的惡人。《隋書．卷七〇．李密傳》：「宜當廓清天下，誅剪群凶。」漢．曹操〈蒿里行〉：「關東有義士，興兵討群凶。」
[動]
恐懼、懼怕。通「兇」。《國語．晉語一》：「敵入而凶，救敗不暇。」 |</v>
      </c>
    </row>
    <row r="8825" spans="1:44" hidden="1">
      <c r="A8825" s="1" t="s">
        <v>17662</v>
      </c>
      <c r="C8825" s="1">
        <v>1</v>
      </c>
      <c r="D8825" s="1" t="str">
        <f>"07451"</f>
        <v>07451</v>
      </c>
      <c r="E8825" s="1" t="s">
        <v>3581</v>
      </c>
      <c r="F8825" s="1">
        <v>6</v>
      </c>
      <c r="G8825" s="1">
        <v>4</v>
      </c>
      <c r="H8825" s="1">
        <v>0</v>
      </c>
      <c r="I8825" s="1" t="s">
        <v>17659</v>
      </c>
      <c r="K8825" s="1" t="str">
        <f t="shared" si="556"/>
        <v>ㄒ</v>
      </c>
      <c r="L8825" s="1" t="str">
        <f t="shared" si="557"/>
        <v>ㄩ</v>
      </c>
      <c r="M8825" s="1" t="str">
        <f t="shared" si="555"/>
        <v>ㄥ</v>
      </c>
      <c r="P8825" s="1" t="s">
        <v>20</v>
      </c>
      <c r="R8825" s="1" t="s">
        <v>17660</v>
      </c>
      <c r="V8825" s="1" t="s">
        <v>17663</v>
      </c>
      <c r="AR8825" s="1" t="str">
        <f t="shared" si="554"/>
        <v>| [ㄒㄩㄥ](ㄒㄩㄥ.md) | [兇](兇.md) |  | xiōng | [動]
驚擾、恐懼不安。《左傳．僖公二十八年》：「曹人兇懼。」
[形]
凶惡。通「凶」。南朝宋．劉義慶《世說新語．自新》：「周處年少時，兇彊俠氣，為鄉里所患。」 |</v>
      </c>
    </row>
    <row r="8826" spans="1:44" hidden="1">
      <c r="A8826" s="1" t="s">
        <v>17664</v>
      </c>
      <c r="C8826" s="1">
        <v>1</v>
      </c>
      <c r="D8826" s="1" t="str">
        <f>"07452"</f>
        <v>07452</v>
      </c>
      <c r="E8826" s="1" t="s">
        <v>570</v>
      </c>
      <c r="F8826" s="1">
        <v>6</v>
      </c>
      <c r="G8826" s="1">
        <v>4</v>
      </c>
      <c r="H8826" s="1">
        <v>0</v>
      </c>
      <c r="I8826" s="1" t="s">
        <v>17659</v>
      </c>
      <c r="K8826" s="1" t="str">
        <f t="shared" si="556"/>
        <v>ㄒ</v>
      </c>
      <c r="L8826" s="1" t="str">
        <f t="shared" si="557"/>
        <v>ㄩ</v>
      </c>
      <c r="M8826" s="1" t="str">
        <f t="shared" si="555"/>
        <v>ㄥ</v>
      </c>
      <c r="P8826" s="1" t="s">
        <v>20</v>
      </c>
      <c r="R8826" s="1" t="s">
        <v>17660</v>
      </c>
      <c r="V8826" s="1" t="s">
        <v>17665</v>
      </c>
      <c r="AR8826" s="1" t="str">
        <f t="shared" si="554"/>
        <v>| [ㄒㄩㄥ](ㄒㄩㄥ.md) | [匈](匈.md) |  | xiōng | [名]
1.身體前面頸下腹上的部分。為胸的本字。《管子．任法》：「是以官無私論，士無私議，民無私說，皆虛其匈以聽於上。」《文選．吳質．答魏太子牋》：「猶欲觸匈奮首。」
2.中國古代的北方民族。參見「匈奴」條。
3.匈牙利共和國的簡稱。
[動]
喧擾不安。《漢書．卷一．高帝紀下》：「天下匈匈，勞苦數歲。」 |</v>
      </c>
    </row>
    <row r="8827" spans="1:44" hidden="1">
      <c r="A8827" s="1" t="s">
        <v>17666</v>
      </c>
      <c r="C8827" s="1">
        <v>1</v>
      </c>
      <c r="D8827" s="1" t="str">
        <f>"07453"</f>
        <v>07453</v>
      </c>
      <c r="E8827" s="1" t="s">
        <v>250</v>
      </c>
      <c r="F8827" s="1">
        <v>7</v>
      </c>
      <c r="G8827" s="1">
        <v>4</v>
      </c>
      <c r="H8827" s="1">
        <v>0</v>
      </c>
      <c r="I8827" s="1" t="s">
        <v>17659</v>
      </c>
      <c r="K8827" s="1" t="str">
        <f t="shared" si="556"/>
        <v>ㄒ</v>
      </c>
      <c r="L8827" s="1" t="str">
        <f t="shared" si="557"/>
        <v>ㄩ</v>
      </c>
      <c r="M8827" s="1" t="str">
        <f t="shared" si="555"/>
        <v>ㄥ</v>
      </c>
      <c r="P8827" s="1" t="s">
        <v>20</v>
      </c>
      <c r="R8827" s="1" t="s">
        <v>17660</v>
      </c>
      <c r="V8827" s="1" t="s">
        <v>17667</v>
      </c>
      <c r="AR8827" s="1" t="str">
        <f t="shared" si="554"/>
        <v>| [ㄒㄩㄥ](ㄒㄩㄥ.md) | [忷](忷.md) |  | xiōng | [動]
恐懼、喧擾不安。《資治通鑑．卷一三四．宋紀十六．順帝昇明元年》：「朝廷聞之，忷懼。」 |</v>
      </c>
    </row>
    <row r="8828" spans="1:44" hidden="1">
      <c r="A8828" s="1" t="s">
        <v>17668</v>
      </c>
      <c r="C8828" s="1">
        <v>1</v>
      </c>
      <c r="D8828" s="1" t="str">
        <f>"07454"</f>
        <v>07454</v>
      </c>
      <c r="E8828" s="1" t="s">
        <v>129</v>
      </c>
      <c r="F8828" s="1">
        <v>9</v>
      </c>
      <c r="G8828" s="1">
        <v>6</v>
      </c>
      <c r="H8828" s="1">
        <v>0</v>
      </c>
      <c r="I8828" s="1" t="s">
        <v>17659</v>
      </c>
      <c r="K8828" s="1" t="str">
        <f t="shared" si="556"/>
        <v>ㄒ</v>
      </c>
      <c r="L8828" s="1" t="str">
        <f t="shared" si="557"/>
        <v>ㄩ</v>
      </c>
      <c r="M8828" s="1" t="str">
        <f t="shared" si="555"/>
        <v>ㄥ</v>
      </c>
      <c r="P8828" s="1" t="s">
        <v>20</v>
      </c>
      <c r="R8828" s="1" t="s">
        <v>17660</v>
      </c>
      <c r="V8828" s="1" t="s">
        <v>17669</v>
      </c>
      <c r="AR8828" s="1" t="str">
        <f t="shared" si="554"/>
        <v>| [ㄒㄩㄥ](ㄒㄩㄥ.md) | [洶](洶.md) |  | xiōng | 參見「洶動」、「洶涌」等條。 |</v>
      </c>
    </row>
    <row r="8829" spans="1:44" hidden="1">
      <c r="A8829" s="1" t="s">
        <v>17670</v>
      </c>
      <c r="C8829" s="1">
        <v>1</v>
      </c>
      <c r="D8829" s="1" t="str">
        <f>"07455"</f>
        <v>07455</v>
      </c>
      <c r="E8829" s="1" t="s">
        <v>250</v>
      </c>
      <c r="F8829" s="1">
        <v>9</v>
      </c>
      <c r="G8829" s="1">
        <v>6</v>
      </c>
      <c r="H8829" s="1">
        <v>0</v>
      </c>
      <c r="I8829" s="1" t="s">
        <v>17659</v>
      </c>
      <c r="K8829" s="1" t="str">
        <f t="shared" si="556"/>
        <v>ㄒ</v>
      </c>
      <c r="L8829" s="1" t="str">
        <f t="shared" si="557"/>
        <v>ㄩ</v>
      </c>
      <c r="M8829" s="1" t="str">
        <f t="shared" si="555"/>
        <v>ㄥ</v>
      </c>
      <c r="P8829" s="1" t="s">
        <v>20</v>
      </c>
      <c r="R8829" s="1" t="s">
        <v>17660</v>
      </c>
      <c r="V8829" s="1" t="s">
        <v>17671</v>
      </c>
      <c r="AR8829" s="1" t="str">
        <f t="shared" si="554"/>
        <v>| [ㄒㄩㄥ](ㄒㄩㄥ.md) | [恟](恟.md) |  | xiōng | [動]
驚恐、懼怕。唐．柳宗元〈佩韋賦〉：「恟驚怛而躑躅兮。」《新唐書．卷一六八．王叔文傳》：「斬執誼與不附己者，聞者恟懼。」 |</v>
      </c>
    </row>
    <row r="8830" spans="1:44" hidden="1">
      <c r="A8830" s="1" t="s">
        <v>17672</v>
      </c>
      <c r="C8830" s="1">
        <v>1</v>
      </c>
      <c r="D8830" s="1" t="str">
        <f>"07456"</f>
        <v>07456</v>
      </c>
      <c r="E8830" s="1" t="s">
        <v>28</v>
      </c>
      <c r="F8830" s="1">
        <v>9</v>
      </c>
      <c r="G8830" s="1">
        <v>6</v>
      </c>
      <c r="H8830" s="1">
        <v>0</v>
      </c>
      <c r="I8830" s="1" t="s">
        <v>17659</v>
      </c>
      <c r="K8830" s="1" t="str">
        <f t="shared" si="556"/>
        <v>ㄒ</v>
      </c>
      <c r="L8830" s="1" t="str">
        <f t="shared" si="557"/>
        <v>ㄩ</v>
      </c>
      <c r="M8830" s="1" t="str">
        <f t="shared" si="555"/>
        <v>ㄥ</v>
      </c>
      <c r="P8830" s="1" t="s">
        <v>20</v>
      </c>
      <c r="R8830" s="1" t="s">
        <v>17660</v>
      </c>
      <c r="V8830" s="1" t="s">
        <v>17673</v>
      </c>
      <c r="AR8830" s="1" t="str">
        <f t="shared" si="554"/>
        <v>| [ㄒㄩㄥ](ㄒㄩㄥ.md) | [哅](哅.md) |  | xiōng | [名]
哅哅：喧嚷的聲音。《荀子．解蔽》：「掩耳而聽者，聽漠漠而以為哅哅。」 |</v>
      </c>
    </row>
    <row r="8831" spans="1:44" hidden="1">
      <c r="A8831" s="1" t="s">
        <v>17674</v>
      </c>
      <c r="C8831" s="1">
        <v>1</v>
      </c>
      <c r="D8831" s="1" t="str">
        <f>"07457"</f>
        <v>07457</v>
      </c>
      <c r="E8831" s="1" t="s">
        <v>68</v>
      </c>
      <c r="F8831" s="1">
        <v>10</v>
      </c>
      <c r="G8831" s="1">
        <v>6</v>
      </c>
      <c r="H8831" s="1">
        <v>0</v>
      </c>
      <c r="I8831" s="1" t="s">
        <v>17659</v>
      </c>
      <c r="K8831" s="1" t="str">
        <f t="shared" si="556"/>
        <v>ㄒ</v>
      </c>
      <c r="L8831" s="1" t="str">
        <f t="shared" si="557"/>
        <v>ㄩ</v>
      </c>
      <c r="M8831" s="1" t="str">
        <f t="shared" si="555"/>
        <v>ㄥ</v>
      </c>
      <c r="P8831" s="1" t="s">
        <v>20</v>
      </c>
      <c r="R8831" s="1" t="s">
        <v>17660</v>
      </c>
      <c r="V8831" s="1" t="s">
        <v>17675</v>
      </c>
      <c r="AR8831" s="1" t="str">
        <f t="shared" si="554"/>
        <v>| [ㄒㄩㄥ](ㄒㄩㄥ.md) | [胸](胸.md) |  | xiōng | [名]
1.身體前面頸下腹上的部分。如：「挺胸」。
2.心中、內心。如：「胸有大志」。宋．蘇軾〈篔簹谷偃竹記〉：「畫竹必先得成竹於胸中。」
3.指人的氣量、懷抱。如：「心胸狹窄」。 |</v>
      </c>
    </row>
    <row r="8832" spans="1:44" hidden="1">
      <c r="A8832" s="1" t="s">
        <v>17676</v>
      </c>
      <c r="C8832" s="1">
        <v>1</v>
      </c>
      <c r="D8832" s="1" t="str">
        <f>"07458"</f>
        <v>07458</v>
      </c>
      <c r="E8832" s="1" t="s">
        <v>3581</v>
      </c>
      <c r="F8832" s="1">
        <v>5</v>
      </c>
      <c r="G8832" s="1">
        <v>3</v>
      </c>
      <c r="H8832" s="1">
        <v>0</v>
      </c>
      <c r="I8832" s="1" t="s">
        <v>17659</v>
      </c>
      <c r="K8832" s="1" t="str">
        <f t="shared" si="556"/>
        <v>ㄒ</v>
      </c>
      <c r="L8832" s="1" t="str">
        <f t="shared" si="557"/>
        <v>ㄩ</v>
      </c>
      <c r="M8832" s="1" t="str">
        <f t="shared" si="555"/>
        <v>ㄥ</v>
      </c>
      <c r="P8832" s="1" t="s">
        <v>20</v>
      </c>
      <c r="R8832" s="1" t="s">
        <v>17660</v>
      </c>
      <c r="V8832" s="1" t="s">
        <v>17677</v>
      </c>
      <c r="AR8832" s="1" t="str">
        <f t="shared" si="554"/>
        <v>| [ㄒㄩㄥ](ㄒㄩㄥ.md) | [兄](兄.md) |  | xiōng | [名]
稱謂：(1)用以稱同胞先出生者。如：「長兄如父」。(2)用以尊稱同輩中比自己年紀大的男性。如：「表兄」。(3)朋友間相互的敬稱。如：「仁兄」、「老兄」。唐．韓愈〈與孟尚書書〉：「辱吾兄眷厚，而不獲承命。」 |</v>
      </c>
    </row>
    <row r="8833" spans="1:44" hidden="1">
      <c r="A8833" s="1" t="s">
        <v>16021</v>
      </c>
      <c r="C8833" s="1">
        <v>1</v>
      </c>
      <c r="D8833" s="1" t="str">
        <f>"07459"</f>
        <v>07459</v>
      </c>
      <c r="E8833" s="1" t="s">
        <v>37</v>
      </c>
      <c r="F8833" s="1">
        <v>7</v>
      </c>
      <c r="G8833" s="1">
        <v>3</v>
      </c>
      <c r="H8833" s="1">
        <v>3</v>
      </c>
      <c r="I8833" s="1" t="s">
        <v>17659</v>
      </c>
      <c r="K8833" s="1" t="str">
        <f t="shared" si="556"/>
        <v>ㄒ</v>
      </c>
      <c r="L8833" s="1" t="str">
        <f t="shared" si="557"/>
        <v>ㄩ</v>
      </c>
      <c r="M8833" s="1" t="str">
        <f t="shared" si="555"/>
        <v>ㄥ</v>
      </c>
      <c r="P8833" s="1" t="s">
        <v>388</v>
      </c>
      <c r="R8833" s="1" t="s">
        <v>17660</v>
      </c>
      <c r="V8833" s="1" t="s">
        <v>407</v>
      </c>
      <c r="W8833" s="1" t="s">
        <v>17678</v>
      </c>
      <c r="AR8833" s="1" t="str">
        <f t="shared" si="554"/>
        <v>| [ㄒㄩㄥ](ㄒㄩㄥ.md) | [芎](芎.md) |  | xiōng | (一)之語音。 |</v>
      </c>
    </row>
    <row r="8834" spans="1:44" hidden="1">
      <c r="A8834" s="1" t="s">
        <v>17679</v>
      </c>
      <c r="C8834" s="1">
        <v>1</v>
      </c>
      <c r="D8834" s="1" t="str">
        <f>"07460"</f>
        <v>07460</v>
      </c>
      <c r="E8834" s="1" t="s">
        <v>5383</v>
      </c>
      <c r="F8834" s="1">
        <v>12</v>
      </c>
      <c r="G8834" s="1">
        <v>4</v>
      </c>
      <c r="H8834" s="1">
        <v>0</v>
      </c>
      <c r="I8834" s="1" t="s">
        <v>17680</v>
      </c>
      <c r="K8834" s="1" t="str">
        <f t="shared" si="556"/>
        <v>ㄒ</v>
      </c>
      <c r="L8834" s="1" t="str">
        <f t="shared" si="557"/>
        <v>ㄩ</v>
      </c>
      <c r="M8834" s="1" t="str">
        <f t="shared" si="555"/>
        <v>ㄥ</v>
      </c>
      <c r="P8834" s="1" t="s">
        <v>20</v>
      </c>
      <c r="R8834" s="1" t="s">
        <v>17681</v>
      </c>
      <c r="V8834" s="1" t="s">
        <v>17682</v>
      </c>
      <c r="AR8834" s="1" t="str">
        <f t="shared" si="554"/>
        <v>| [ㄒㄩㄥˊ](ㄒㄩㄥˊ.md) | [雄](雄.md) |  | xióng | [名]
1.公鳥。唐．杜甫〈義鶻行〉：「雄飛遠求食，雌者鳴辛酸。」
2.勇敢傑出的人或強大的國家。如：「戰國七雄」、「一代梟雄」。《漢書．卷四三．酈食其傳》：「且兩雄不俱立，楚漢久相持不決，百姓騷動，海內搖蕩。」
3.勝利。《史記．卷七．項羽本紀》：「天下匈匈數歲者，徒以吾兩人耳，願與漢王挑戰決雌雄，毋徒苦天下之民父子為也。」
[形]
1.陽性的或指生物中能產生精細胞的。如：「雄鴨」、「雄雞」。《詩經．齊風．南山》：「南山崔崔，雄狐綏綏。」
2.超群的、傑出的。《三國志．卷二二．魏書．陳矯傳》：「雄姿傑出，有王霸之略。」
3.威武有力。如：「雄壯」。唐．劉禹錫〈奉送裴司徒令公自東都留守再命太原〉詩：「行色旌旗動，軍聲鼓角雄。」 |</v>
      </c>
    </row>
    <row r="8835" spans="1:44" hidden="1">
      <c r="A8835" s="1" t="s">
        <v>17683</v>
      </c>
      <c r="C8835" s="1">
        <v>1</v>
      </c>
      <c r="D8835" s="1" t="str">
        <f>"07461"</f>
        <v>07461</v>
      </c>
      <c r="E8835" s="1" t="s">
        <v>336</v>
      </c>
      <c r="F8835" s="1">
        <v>14</v>
      </c>
      <c r="G8835" s="1">
        <v>10</v>
      </c>
      <c r="H8835" s="1">
        <v>0</v>
      </c>
      <c r="I8835" s="1" t="s">
        <v>17680</v>
      </c>
      <c r="K8835" s="1" t="str">
        <f t="shared" si="556"/>
        <v>ㄒ</v>
      </c>
      <c r="L8835" s="1" t="str">
        <f t="shared" si="557"/>
        <v>ㄩ</v>
      </c>
      <c r="M8835" s="1" t="str">
        <f t="shared" si="555"/>
        <v>ㄥ</v>
      </c>
      <c r="P8835" s="1" t="s">
        <v>20</v>
      </c>
      <c r="R8835" s="1" t="s">
        <v>17681</v>
      </c>
      <c r="V8835" s="1" t="s">
        <v>17684</v>
      </c>
      <c r="AR8835" s="1" t="str">
        <f t="shared" ref="AR8835:AR8898" si="558">"| ["&amp;I8835&amp;"]("&amp;I8835&amp;".md) | ["&amp;A8835&amp;"]("&amp;A8835&amp;".md) | "&amp;" | "&amp;R8835&amp;" | "&amp;V8835&amp;" |"</f>
        <v>| [ㄒㄩㄥˊ](ㄒㄩㄥˊ.md) | [熊](熊.md) |  | xióng | [名]
1.動物名。哺乳綱食肉目。頭大，四肢粗短，力氣大。用腳掌走路，能攀登樹木。全身覆濃毛，有冬眠習慣，而以肉食為主，多產於寒帶。
2.姓。如清代有熊成基。 |</v>
      </c>
    </row>
    <row r="8836" spans="1:44" hidden="1">
      <c r="A8836" s="1" t="s">
        <v>17685</v>
      </c>
      <c r="C8836" s="1">
        <v>1</v>
      </c>
      <c r="D8836" s="1" t="str">
        <f>"07462"</f>
        <v>07462</v>
      </c>
      <c r="E8836" s="1" t="s">
        <v>331</v>
      </c>
      <c r="F8836" s="1">
        <v>12</v>
      </c>
      <c r="G8836" s="1">
        <v>5</v>
      </c>
      <c r="H8836" s="1">
        <v>0</v>
      </c>
      <c r="I8836" s="1" t="s">
        <v>17686</v>
      </c>
      <c r="K8836" s="1" t="str">
        <f t="shared" si="556"/>
        <v>ㄒ</v>
      </c>
      <c r="L8836" s="1" t="str">
        <f t="shared" si="557"/>
        <v>ㄩ</v>
      </c>
      <c r="M8836" s="1" t="str">
        <f t="shared" si="555"/>
        <v>ㄥ</v>
      </c>
      <c r="P8836" s="1" t="s">
        <v>20</v>
      </c>
      <c r="R8836" s="1" t="s">
        <v>17687</v>
      </c>
      <c r="V8836" s="1" t="s">
        <v>17688</v>
      </c>
      <c r="AR8836" s="1" t="str">
        <f t="shared" si="558"/>
        <v>| [ㄒㄩㄥˋ](ㄒㄩㄥˋ.md) | [詗](詗.md) |  | xiòng | [動]
刺探、偵察。《史記．卷一一八．淮南王傳》：「王愛陵，常多予金錢，為中詗長安，約結上左右。」《新唐書．卷一二五．張說傳》：「窺詗時事。」 |</v>
      </c>
    </row>
    <row r="8837" spans="1:44" hidden="1">
      <c r="A8837" s="1" t="s">
        <v>17689</v>
      </c>
      <c r="C8837" s="1">
        <v>1</v>
      </c>
      <c r="D8837" s="1" t="str">
        <f>"07463"</f>
        <v>07463</v>
      </c>
      <c r="E8837" s="1" t="s">
        <v>426</v>
      </c>
      <c r="F8837" s="1">
        <v>15</v>
      </c>
      <c r="G8837" s="1">
        <v>11</v>
      </c>
      <c r="H8837" s="1">
        <v>0</v>
      </c>
      <c r="I8837" s="1" t="s">
        <v>17686</v>
      </c>
      <c r="K8837" s="1" t="str">
        <f t="shared" si="556"/>
        <v>ㄒ</v>
      </c>
      <c r="L8837" s="1" t="str">
        <f t="shared" si="557"/>
        <v>ㄩ</v>
      </c>
      <c r="M8837" s="1" t="str">
        <f t="shared" si="555"/>
        <v>ㄥ</v>
      </c>
      <c r="P8837" s="1" t="s">
        <v>20</v>
      </c>
      <c r="R8837" s="1" t="s">
        <v>17687</v>
      </c>
      <c r="V8837" s="1" t="s">
        <v>17690</v>
      </c>
      <c r="AR8837" s="1" t="str">
        <f t="shared" si="558"/>
        <v>| [ㄒㄩㄥˋ](ㄒㄩㄥˋ.md) | [敻](敻.md) |  | xiòng | [動]
營求。《說文解字．𥄎部》：「敻，營求也。」
[副]
廣闊遙遠。《穀梁傳．文公十四年》：「過宋鄭滕薛，敻入千乘之國，欲變人之主。」唐．李華〈弔古戰場文〉：「浩浩乎平沙無垠，敻不見人。」 |</v>
      </c>
    </row>
    <row r="8838" spans="1:44" hidden="1">
      <c r="A8838" s="1" t="s">
        <v>16297</v>
      </c>
      <c r="C8838" s="1">
        <v>1</v>
      </c>
      <c r="D8838" s="1" t="str">
        <f>"06842"</f>
        <v>06842</v>
      </c>
      <c r="E8838" s="1" t="s">
        <v>1258</v>
      </c>
      <c r="F8838" s="1">
        <v>2</v>
      </c>
      <c r="G8838" s="1">
        <v>0</v>
      </c>
      <c r="H8838" s="1">
        <v>0</v>
      </c>
      <c r="I8838" s="1" t="s">
        <v>16298</v>
      </c>
      <c r="K8838" s="1" t="str">
        <f t="shared" si="556"/>
        <v>ㄒ</v>
      </c>
      <c r="L8838" s="1" t="str">
        <f t="shared" si="557"/>
        <v>ㄧ</v>
      </c>
      <c r="N8838" s="3" t="s">
        <v>30574</v>
      </c>
      <c r="O8838" s="3"/>
      <c r="P8838" s="1" t="s">
        <v>20</v>
      </c>
      <c r="R8838" s="1" t="s">
        <v>16299</v>
      </c>
      <c r="V8838" s="1" t="s">
        <v>16300</v>
      </c>
      <c r="AR8838" s="1" t="str">
        <f t="shared" si="558"/>
        <v>| [ㄒㄧˋ](ㄒㄧˋ.md) | [匸](匸.md) |  | xì | [動]
隱藏。《廣韻．上聲．薺韻》：「匸，有所藏也。」
[名]
二一四部首之一。 |</v>
      </c>
    </row>
    <row r="8839" spans="1:44" hidden="1">
      <c r="A8839" s="1" t="s">
        <v>16301</v>
      </c>
      <c r="C8839" s="1">
        <v>1</v>
      </c>
      <c r="D8839" s="1" t="str">
        <f>"06843"</f>
        <v>06843</v>
      </c>
      <c r="E8839" s="1" t="s">
        <v>3347</v>
      </c>
      <c r="F8839" s="1">
        <v>3</v>
      </c>
      <c r="G8839" s="1">
        <v>0</v>
      </c>
      <c r="H8839" s="1">
        <v>0</v>
      </c>
      <c r="I8839" s="1" t="s">
        <v>16298</v>
      </c>
      <c r="K8839" s="1" t="str">
        <f t="shared" si="556"/>
        <v>ㄒ</v>
      </c>
      <c r="L8839" s="1" t="str">
        <f t="shared" si="557"/>
        <v>ㄧ</v>
      </c>
      <c r="N8839" s="3" t="s">
        <v>30574</v>
      </c>
      <c r="O8839" s="3"/>
      <c r="P8839" s="1" t="s">
        <v>20</v>
      </c>
      <c r="R8839" s="1" t="s">
        <v>16299</v>
      </c>
      <c r="V8839" s="1" t="s">
        <v>16302</v>
      </c>
      <c r="AR8839" s="1" t="str">
        <f t="shared" si="558"/>
        <v>| [ㄒㄧˋ](ㄒㄧˋ.md) | [夕](夕.md) |  | xì | [名]
1.傍晚、日落時分。如：「朝不保夕」。《周禮．天官．宮正》：「為之版以待，夕擊柝而比之。」
2.泛指夜晚。如：「終夕不寐」、「一夕長談」。唐．杜甫〈贈衛八處士〉詩：「今夕復何夕，共此燈燭光。」清．洪昇《長生殿》第二齣：「此夕歡娛，風清月朗，笑他夢雨暗高唐。」
3.二一四部首之一。 |</v>
      </c>
    </row>
    <row r="8840" spans="1:44" hidden="1">
      <c r="A8840" s="1" t="s">
        <v>16303</v>
      </c>
      <c r="C8840" s="1">
        <v>1</v>
      </c>
      <c r="D8840" s="1" t="str">
        <f>"06844"</f>
        <v>06844</v>
      </c>
      <c r="E8840" s="1" t="s">
        <v>129</v>
      </c>
      <c r="F8840" s="1">
        <v>6</v>
      </c>
      <c r="G8840" s="1">
        <v>3</v>
      </c>
      <c r="H8840" s="1">
        <v>0</v>
      </c>
      <c r="I8840" s="1" t="s">
        <v>16298</v>
      </c>
      <c r="K8840" s="1" t="str">
        <f t="shared" si="556"/>
        <v>ㄒ</v>
      </c>
      <c r="L8840" s="1" t="str">
        <f t="shared" si="557"/>
        <v>ㄧ</v>
      </c>
      <c r="N8840" s="3" t="s">
        <v>30574</v>
      </c>
      <c r="O8840" s="3"/>
      <c r="P8840" s="1" t="s">
        <v>20</v>
      </c>
      <c r="R8840" s="1" t="s">
        <v>16299</v>
      </c>
      <c r="V8840" s="1" t="s">
        <v>16304</v>
      </c>
      <c r="AR8840" s="1" t="str">
        <f t="shared" si="558"/>
        <v>| [ㄒㄧˋ](ㄒㄧˋ.md) | [汐](汐.md) |  | xì | [名]
夜間海水面漲起的現象。早潮稱為「潮」，晚潮稱為「汐」。 |</v>
      </c>
    </row>
    <row r="8841" spans="1:44" hidden="1">
      <c r="A8841" s="1" t="s">
        <v>16305</v>
      </c>
      <c r="C8841" s="1">
        <v>1</v>
      </c>
      <c r="D8841" s="1" t="str">
        <f>"06845"</f>
        <v>06845</v>
      </c>
      <c r="E8841" s="1" t="s">
        <v>1274</v>
      </c>
      <c r="F8841" s="1">
        <v>8</v>
      </c>
      <c r="G8841" s="1">
        <v>3</v>
      </c>
      <c r="H8841" s="1">
        <v>0</v>
      </c>
      <c r="I8841" s="1" t="s">
        <v>16298</v>
      </c>
      <c r="K8841" s="1" t="str">
        <f t="shared" si="556"/>
        <v>ㄒ</v>
      </c>
      <c r="L8841" s="1" t="str">
        <f t="shared" si="557"/>
        <v>ㄧ</v>
      </c>
      <c r="N8841" s="3" t="s">
        <v>30574</v>
      </c>
      <c r="O8841" s="3"/>
      <c r="P8841" s="1" t="s">
        <v>20</v>
      </c>
      <c r="R8841" s="1" t="s">
        <v>16299</v>
      </c>
      <c r="V8841" s="1" t="s">
        <v>16306</v>
      </c>
      <c r="AR8841" s="1" t="str">
        <f t="shared" si="558"/>
        <v>| [ㄒㄧˋ](ㄒㄧˋ.md) | [穸](穸.md) |  | xì | 參見「窀穸」條。 |</v>
      </c>
    </row>
    <row r="8842" spans="1:44" hidden="1">
      <c r="A8842" s="1" t="s">
        <v>16307</v>
      </c>
      <c r="C8842" s="1">
        <v>1</v>
      </c>
      <c r="D8842" s="1" t="str">
        <f>"06846"</f>
        <v>06846</v>
      </c>
      <c r="E8842" s="1" t="s">
        <v>169</v>
      </c>
      <c r="F8842" s="1">
        <v>8</v>
      </c>
      <c r="G8842" s="1">
        <v>3</v>
      </c>
      <c r="H8842" s="1">
        <v>0</v>
      </c>
      <c r="I8842" s="1" t="s">
        <v>16298</v>
      </c>
      <c r="K8842" s="1" t="str">
        <f t="shared" si="556"/>
        <v>ㄒ</v>
      </c>
      <c r="L8842" s="1" t="str">
        <f t="shared" si="557"/>
        <v>ㄧ</v>
      </c>
      <c r="N8842" s="3" t="s">
        <v>30574</v>
      </c>
      <c r="O8842" s="3"/>
      <c r="P8842" s="1" t="s">
        <v>20</v>
      </c>
      <c r="R8842" s="1" t="s">
        <v>16299</v>
      </c>
      <c r="V8842" s="1" t="s">
        <v>16308</v>
      </c>
      <c r="AR8842" s="1" t="str">
        <f t="shared" si="558"/>
        <v>| [ㄒㄧˋ](ㄒㄧˋ.md) | [矽](矽.md) |  | xì | [名]
（silicon，Si）化學元素。原子序14。類金屬元素之一。溶於鹼、硝酸與氫氟酸的混合液中，但不溶於水、硝酸及鹽酸。化性與碳相似。有結晶矽與非結晶矽兩種。前者為針狀或板片狀之結晶，色灰有光澤，於空氣中加熱亦不會起化學變化；後者為褐色粉末，於空氣中燃燒可產生二氧化矽。矽是重要的半導體材料，主要用於電子零件上。其化合物如矽鋼、矽銅、矽酸鹽等，用途廣泛。大陸地區譯為硅。 |</v>
      </c>
    </row>
    <row r="8843" spans="1:44" hidden="1">
      <c r="A8843" s="1" t="s">
        <v>16309</v>
      </c>
      <c r="C8843" s="1">
        <v>1</v>
      </c>
      <c r="D8843" s="1" t="str">
        <f>"06847"</f>
        <v>06847</v>
      </c>
      <c r="E8843" s="1" t="s">
        <v>286</v>
      </c>
      <c r="F8843" s="1">
        <v>5</v>
      </c>
      <c r="G8843" s="1">
        <v>3</v>
      </c>
      <c r="H8843" s="1">
        <v>0</v>
      </c>
      <c r="I8843" s="1" t="s">
        <v>16298</v>
      </c>
      <c r="K8843" s="1" t="str">
        <f t="shared" si="556"/>
        <v>ㄒ</v>
      </c>
      <c r="L8843" s="1" t="str">
        <f t="shared" si="557"/>
        <v>ㄧ</v>
      </c>
      <c r="N8843" s="3" t="s">
        <v>30574</v>
      </c>
      <c r="O8843" s="3"/>
      <c r="P8843" s="1" t="s">
        <v>20</v>
      </c>
      <c r="R8843" s="1" t="s">
        <v>16299</v>
      </c>
      <c r="V8843" s="1" t="s">
        <v>16310</v>
      </c>
      <c r="AR8843" s="1" t="str">
        <f t="shared" si="558"/>
        <v>| [ㄒㄧˋ](ㄒㄧˋ.md) | [卌](卌.md) |  | xì | [名]
四十。《廣韻．入聲．緝韻》：「卌，《說文》云：『數名。』今直以為四十字。」 |</v>
      </c>
    </row>
    <row r="8844" spans="1:44" hidden="1">
      <c r="A8844" s="1" t="s">
        <v>16311</v>
      </c>
      <c r="C8844" s="1">
        <v>1</v>
      </c>
      <c r="D8844" s="1" t="str">
        <f>"06848"</f>
        <v>06848</v>
      </c>
      <c r="E8844" s="1" t="s">
        <v>24</v>
      </c>
      <c r="F8844" s="1">
        <v>6</v>
      </c>
      <c r="G8844" s="1">
        <v>3</v>
      </c>
      <c r="H8844" s="1">
        <v>0</v>
      </c>
      <c r="I8844" s="1" t="s">
        <v>16298</v>
      </c>
      <c r="K8844" s="1" t="str">
        <f t="shared" si="556"/>
        <v>ㄒ</v>
      </c>
      <c r="L8844" s="1" t="str">
        <f t="shared" si="557"/>
        <v>ㄧ</v>
      </c>
      <c r="N8844" s="3" t="s">
        <v>30574</v>
      </c>
      <c r="O8844" s="3"/>
      <c r="P8844" s="1" t="s">
        <v>20</v>
      </c>
      <c r="R8844" s="1" t="s">
        <v>16299</v>
      </c>
      <c r="V8844" s="1" t="s">
        <v>16312</v>
      </c>
      <c r="AR8844" s="1" t="str">
        <f t="shared" si="558"/>
        <v>| [ㄒㄧˋ](ㄒㄧˋ.md) | [扢](扢.md) |  | xì | [副]
奮然起舞的樣子。《集韻．入聲．迄韻》：「奮舞貌。」《莊子．讓王》：「子路扢然執干而舞。」 |</v>
      </c>
    </row>
    <row r="8845" spans="1:44" hidden="1">
      <c r="A8845" s="1" t="s">
        <v>16313</v>
      </c>
      <c r="C8845" s="1">
        <v>1</v>
      </c>
      <c r="D8845" s="1" t="str">
        <f>"06849"</f>
        <v>06849</v>
      </c>
      <c r="E8845" s="1" t="s">
        <v>46</v>
      </c>
      <c r="F8845" s="1">
        <v>9</v>
      </c>
      <c r="G8845" s="1">
        <v>3</v>
      </c>
      <c r="H8845" s="1">
        <v>0</v>
      </c>
      <c r="I8845" s="1" t="s">
        <v>16298</v>
      </c>
      <c r="K8845" s="1" t="str">
        <f t="shared" si="556"/>
        <v>ㄒ</v>
      </c>
      <c r="L8845" s="1" t="str">
        <f t="shared" si="557"/>
        <v>ㄧ</v>
      </c>
      <c r="N8845" s="3" t="s">
        <v>30574</v>
      </c>
      <c r="O8845" s="3"/>
      <c r="P8845" s="1" t="s">
        <v>20</v>
      </c>
      <c r="R8845" s="1" t="s">
        <v>16299</v>
      </c>
      <c r="V8845" s="1" t="s">
        <v>16314</v>
      </c>
      <c r="AR8845" s="1" t="str">
        <f t="shared" si="558"/>
        <v>| [ㄒㄧˋ](ㄒㄧˋ.md) | [籺](籺.md) |  | xì | [名]
糠中細碎的米屑。唐．杜甫〈驅豎子摘蒼耳〉詩：「亂世誅求急，黎民糠籺窄。」 |</v>
      </c>
    </row>
    <row r="8846" spans="1:44" hidden="1">
      <c r="A8846" s="1" t="s">
        <v>16315</v>
      </c>
      <c r="C8846" s="1">
        <v>1</v>
      </c>
      <c r="D8846" s="1" t="str">
        <f>"06850"</f>
        <v>06850</v>
      </c>
      <c r="E8846" s="1" t="s">
        <v>725</v>
      </c>
      <c r="F8846" s="1">
        <v>7</v>
      </c>
      <c r="G8846" s="1">
        <v>1</v>
      </c>
      <c r="H8846" s="1">
        <v>0</v>
      </c>
      <c r="I8846" s="1" t="s">
        <v>16298</v>
      </c>
      <c r="K8846" s="1" t="str">
        <f t="shared" si="556"/>
        <v>ㄒ</v>
      </c>
      <c r="L8846" s="1" t="str">
        <f t="shared" si="557"/>
        <v>ㄧ</v>
      </c>
      <c r="N8846" s="3" t="s">
        <v>30574</v>
      </c>
      <c r="O8846" s="3"/>
      <c r="P8846" s="1" t="s">
        <v>20</v>
      </c>
      <c r="R8846" s="1" t="s">
        <v>16299</v>
      </c>
      <c r="V8846" s="1" t="s">
        <v>16316</v>
      </c>
      <c r="AR8846" s="1" t="str">
        <f t="shared" si="558"/>
        <v>| [ㄒㄧˋ](ㄒㄧˋ.md) | [系](系.md) |  | xì | [動]
1.懸繫。《說文解字．糸部》：「系，懸也。」三國魏．曹植〈輔臣論〉：「群言系于口，而研覈是非。」
2.接續、繼承。《文選．班固．東都賦》：「系唐統，接漢緒。」
[名]
1.有一定秩序及聯屬關係的整體或組織。如：「世系」、「太陽系」、「直系血親」、「中古音系」。《新唐書．卷二〇三．文藝傳下．李賀傳》：「李賀字長吉，系出鄭王後。」
2.大學中所分的學術科別。如：「中文系」、「哲學系」、「物理系」。
3.姓。如春秋時楚國有系益。 |</v>
      </c>
    </row>
    <row r="8847" spans="1:44" hidden="1">
      <c r="A8847" s="1" t="s">
        <v>16317</v>
      </c>
      <c r="C8847" s="1">
        <v>1</v>
      </c>
      <c r="D8847" s="1" t="str">
        <f>"06851"</f>
        <v>06851</v>
      </c>
      <c r="E8847" s="1" t="s">
        <v>114</v>
      </c>
      <c r="F8847" s="1">
        <v>9</v>
      </c>
      <c r="G8847" s="1">
        <v>7</v>
      </c>
      <c r="H8847" s="1">
        <v>0</v>
      </c>
      <c r="I8847" s="1" t="s">
        <v>16298</v>
      </c>
      <c r="K8847" s="1" t="str">
        <f t="shared" si="556"/>
        <v>ㄒ</v>
      </c>
      <c r="L8847" s="1" t="str">
        <f t="shared" si="557"/>
        <v>ㄧ</v>
      </c>
      <c r="N8847" s="3" t="s">
        <v>30574</v>
      </c>
      <c r="O8847" s="3"/>
      <c r="P8847" s="1" t="s">
        <v>20</v>
      </c>
      <c r="R8847" s="1" t="s">
        <v>16299</v>
      </c>
      <c r="V8847" s="1" t="s">
        <v>16318</v>
      </c>
      <c r="AR8847" s="1" t="str">
        <f t="shared" si="558"/>
        <v>| [ㄒㄧˋ](ㄒㄧˋ.md) | [係](係.md) |  | xì | [動]_x000D_
1.綑綁。通「繫」。《國語．越語》：「將焚宗廟，係妻孥。」漢．賈誼〈過秦論〉：「百越之君，俛首係頸。」_x000D_
2.關連、牽涉。如：「此事關係眾人的前途，務必謹慎處理才是！」。唐．李商隱〈韓碑〉詩：「古者世稱大手筆，此事不係于職司。」_x000D_
3.是。如：「確係」、「實係」。《喻世明言．卷二六．沈小官一鳥害七命》：「這畜生只除天上有，果係世間無。」_x000D_
[名]_x000D_
繫物的繩子。《樂府詩集．卷二八．相和歌辭三．古辭．陌上桑》：「青絲為籠係，桂枝為籠鉤。」 |</v>
      </c>
    </row>
    <row r="8848" spans="1:44" hidden="1">
      <c r="A8848" s="1" t="s">
        <v>13206</v>
      </c>
      <c r="C8848" s="1">
        <v>1</v>
      </c>
      <c r="D8848" s="1" t="str">
        <f>"06852"</f>
        <v>06852</v>
      </c>
      <c r="E8848" s="1" t="s">
        <v>725</v>
      </c>
      <c r="F8848" s="1">
        <v>19</v>
      </c>
      <c r="G8848" s="1">
        <v>13</v>
      </c>
      <c r="H8848" s="1">
        <v>1</v>
      </c>
      <c r="I8848" s="1" t="s">
        <v>16298</v>
      </c>
      <c r="K8848" s="1" t="str">
        <f t="shared" si="556"/>
        <v>ㄒ</v>
      </c>
      <c r="L8848" s="1" t="str">
        <f t="shared" si="557"/>
        <v>ㄧ</v>
      </c>
      <c r="N8848" s="3" t="s">
        <v>30574</v>
      </c>
      <c r="O8848" s="3"/>
      <c r="P8848" s="1" t="s">
        <v>20</v>
      </c>
      <c r="R8848" s="1" t="s">
        <v>16299</v>
      </c>
      <c r="V8848" s="1" t="s">
        <v>16319</v>
      </c>
      <c r="W8848" s="1" t="s">
        <v>16320</v>
      </c>
      <c r="AR8848" s="1" t="str">
        <f t="shared" si="558"/>
        <v>| [ㄒㄧˋ](ㄒㄧˋ.md) | [繫](繫.md) |  | xì | [動]
1.聯綴、連接。如：「聯繫」、「維繫」。《周禮．天官．大宰》：「以九兩繫邦國之名。」
2.逮捕、監禁。《漢書．卷七六．王章傳》：「書遂上，果下廷尉獄，妻子皆收繫。」元．關漢卿《裴度還帶》第二折：「累及好人，無故繫獄。」
3.懸掛、牽掛。如：「繫念」。《論語．陽貨》：「吾豈匏瓜也哉？焉能繫而不食？」《儒林外史》第一六回：「科第居來，心只繫乎兩榜。」 |</v>
      </c>
    </row>
    <row r="8849" spans="1:44" hidden="1">
      <c r="A8849" s="1" t="s">
        <v>16321</v>
      </c>
      <c r="C8849" s="1">
        <v>1</v>
      </c>
      <c r="D8849" s="1" t="str">
        <f>"06853"</f>
        <v>06853</v>
      </c>
      <c r="E8849" s="1" t="s">
        <v>534</v>
      </c>
      <c r="F8849" s="1">
        <v>7</v>
      </c>
      <c r="G8849" s="1">
        <v>4</v>
      </c>
      <c r="H8849" s="1">
        <v>0</v>
      </c>
      <c r="I8849" s="1" t="s">
        <v>16298</v>
      </c>
      <c r="K8849" s="1" t="str">
        <f t="shared" si="556"/>
        <v>ㄒ</v>
      </c>
      <c r="L8849" s="1" t="str">
        <f t="shared" si="557"/>
        <v>ㄧ</v>
      </c>
      <c r="N8849" s="3" t="s">
        <v>30574</v>
      </c>
      <c r="O8849" s="3"/>
      <c r="P8849" s="1" t="s">
        <v>20</v>
      </c>
      <c r="R8849" s="1" t="s">
        <v>16299</v>
      </c>
      <c r="V8849" s="1" t="s">
        <v>16322</v>
      </c>
      <c r="AR8849" s="1" t="str">
        <f t="shared" si="558"/>
        <v>| [ㄒㄧˋ](ㄒㄧˋ.md) | [妎](妎.md) |  | xì | [動]
妒忌。宋．羅泌《路史．卷五．前紀五．因提紀》：「與物相友，人無妎物之心，而物亦無傷人之意。」 |</v>
      </c>
    </row>
    <row r="8850" spans="1:44" hidden="1">
      <c r="A8850" s="1" t="s">
        <v>16323</v>
      </c>
      <c r="C8850" s="1">
        <v>1</v>
      </c>
      <c r="D8850" s="1" t="str">
        <f>"06854"</f>
        <v>06854</v>
      </c>
      <c r="E8850" s="1" t="s">
        <v>68</v>
      </c>
      <c r="F8850" s="1">
        <v>8</v>
      </c>
      <c r="G8850" s="1">
        <v>4</v>
      </c>
      <c r="H8850" s="1">
        <v>0</v>
      </c>
      <c r="I8850" s="1" t="s">
        <v>16298</v>
      </c>
      <c r="K8850" s="1" t="str">
        <f t="shared" si="556"/>
        <v>ㄒ</v>
      </c>
      <c r="L8850" s="1" t="str">
        <f t="shared" si="557"/>
        <v>ㄧ</v>
      </c>
      <c r="N8850" s="3" t="s">
        <v>30574</v>
      </c>
      <c r="O8850" s="3"/>
      <c r="P8850" s="1" t="s">
        <v>20</v>
      </c>
      <c r="R8850" s="1" t="s">
        <v>16299</v>
      </c>
      <c r="V8850" s="1" t="s">
        <v>16324</v>
      </c>
      <c r="AR8850" s="1" t="str">
        <f t="shared" si="558"/>
        <v>| [ㄒㄧˋ](ㄒㄧˋ.md) | [肸](肸.md) |  | xì | 參見「肸肸」、「肸蠁」等條。 |</v>
      </c>
    </row>
    <row r="8851" spans="1:44" hidden="1">
      <c r="A8851" s="1" t="s">
        <v>16325</v>
      </c>
      <c r="C8851" s="1">
        <v>1</v>
      </c>
      <c r="D8851" s="1" t="str">
        <f>"06855"</f>
        <v>06855</v>
      </c>
      <c r="E8851" s="1" t="s">
        <v>1015</v>
      </c>
      <c r="F8851" s="1">
        <v>9</v>
      </c>
      <c r="G8851" s="1">
        <v>4</v>
      </c>
      <c r="H8851" s="1">
        <v>0</v>
      </c>
      <c r="I8851" s="1" t="s">
        <v>16298</v>
      </c>
      <c r="K8851" s="1" t="str">
        <f t="shared" si="556"/>
        <v>ㄒ</v>
      </c>
      <c r="L8851" s="1" t="str">
        <f t="shared" si="557"/>
        <v>ㄧ</v>
      </c>
      <c r="N8851" s="3" t="s">
        <v>30574</v>
      </c>
      <c r="O8851" s="3"/>
      <c r="P8851" s="1" t="s">
        <v>20</v>
      </c>
      <c r="R8851" s="1" t="s">
        <v>16299</v>
      </c>
      <c r="V8851" s="1" t="s">
        <v>16326</v>
      </c>
      <c r="AR8851" s="1" t="str">
        <f t="shared" si="558"/>
        <v>| [ㄒㄧˋ](ㄒㄧˋ.md) | [盻](盻.md) |  | xì | [動]
看、瞪。《三國志．卷一八．魏書．許褚傳》：「褚瞋目盻之，超不敢動。」
[形]
勤苦不休息的樣子。參見「盻盻」條。 |</v>
      </c>
    </row>
    <row r="8852" spans="1:44" hidden="1">
      <c r="A8852" s="1" t="s">
        <v>5314</v>
      </c>
      <c r="C8852" s="1">
        <v>1</v>
      </c>
      <c r="D8852" s="1" t="str">
        <f>"06856"</f>
        <v>06856</v>
      </c>
      <c r="E8852" s="1" t="s">
        <v>28</v>
      </c>
      <c r="F8852" s="1">
        <v>9</v>
      </c>
      <c r="G8852" s="1">
        <v>6</v>
      </c>
      <c r="H8852" s="1">
        <v>1</v>
      </c>
      <c r="I8852" s="1" t="s">
        <v>16298</v>
      </c>
      <c r="K8852" s="1" t="str">
        <f t="shared" si="556"/>
        <v>ㄒ</v>
      </c>
      <c r="L8852" s="1" t="str">
        <f t="shared" si="557"/>
        <v>ㄧ</v>
      </c>
      <c r="N8852" s="3" t="s">
        <v>30574</v>
      </c>
      <c r="O8852" s="3"/>
      <c r="P8852" s="1" t="s">
        <v>20</v>
      </c>
      <c r="R8852" s="1" t="s">
        <v>16299</v>
      </c>
      <c r="V8852" s="1" t="s">
        <v>16327</v>
      </c>
      <c r="W8852" s="1" t="s">
        <v>16328</v>
      </c>
      <c r="AR8852" s="1" t="str">
        <f t="shared" si="558"/>
        <v>| [ㄒㄧˋ](ㄒㄧˋ.md) | [咥](咥.md) |  | xì | [擬]
形容發笑聲。《詩經．衛風．氓》：「兄弟不知，咥其笑矣。」唐．儲光義〈田家雜興〉詩八首之五：「安知負薪者，咥咥笑輕薄。」 |</v>
      </c>
    </row>
    <row r="8853" spans="1:44" hidden="1">
      <c r="A8853" s="1" t="s">
        <v>16329</v>
      </c>
      <c r="C8853" s="1">
        <v>1</v>
      </c>
      <c r="D8853" s="1" t="str">
        <f>"06857"</f>
        <v>06857</v>
      </c>
      <c r="E8853" s="1" t="s">
        <v>256</v>
      </c>
      <c r="F8853" s="1">
        <v>10</v>
      </c>
      <c r="G8853" s="1">
        <v>7</v>
      </c>
      <c r="H8853" s="1">
        <v>0</v>
      </c>
      <c r="I8853" s="1" t="s">
        <v>16298</v>
      </c>
      <c r="K8853" s="1" t="str">
        <f t="shared" si="556"/>
        <v>ㄒ</v>
      </c>
      <c r="L8853" s="1" t="str">
        <f t="shared" si="557"/>
        <v>ㄧ</v>
      </c>
      <c r="N8853" s="3" t="s">
        <v>30574</v>
      </c>
      <c r="O8853" s="3"/>
      <c r="P8853" s="1" t="s">
        <v>20</v>
      </c>
      <c r="R8853" s="1" t="s">
        <v>16299</v>
      </c>
      <c r="V8853" s="1" t="s">
        <v>16330</v>
      </c>
      <c r="AR8853" s="1" t="str">
        <f t="shared" si="558"/>
        <v>| [ㄒㄧˋ](ㄒㄧˋ.md) | [郤](郤.md) |  | xì | [名]
1.孔隙。通「隙」。《莊子．知北遊》：「人生天地之間，若白駒之過郤。」
2.姓。如春秋時晉國有郤缺。 |</v>
      </c>
    </row>
    <row r="8854" spans="1:44" hidden="1">
      <c r="A8854" s="1" t="s">
        <v>16331</v>
      </c>
      <c r="C8854" s="1">
        <v>1</v>
      </c>
      <c r="D8854" s="1" t="str">
        <f>"06858"</f>
        <v>06858</v>
      </c>
      <c r="E8854" s="1" t="s">
        <v>725</v>
      </c>
      <c r="F8854" s="1">
        <v>13</v>
      </c>
      <c r="G8854" s="1">
        <v>7</v>
      </c>
      <c r="H8854" s="1">
        <v>0</v>
      </c>
      <c r="I8854" s="1" t="s">
        <v>16298</v>
      </c>
      <c r="K8854" s="1" t="str">
        <f t="shared" si="556"/>
        <v>ㄒ</v>
      </c>
      <c r="L8854" s="1" t="str">
        <f t="shared" si="557"/>
        <v>ㄧ</v>
      </c>
      <c r="N8854" s="3" t="s">
        <v>30574</v>
      </c>
      <c r="O8854" s="3"/>
      <c r="P8854" s="1" t="s">
        <v>20</v>
      </c>
      <c r="R8854" s="1" t="s">
        <v>16299</v>
      </c>
      <c r="V8854" s="1" t="s">
        <v>16332</v>
      </c>
      <c r="AR8854" s="1" t="str">
        <f t="shared" si="558"/>
        <v>| [ㄒㄧˋ](ㄒㄧˋ.md) | [綌](綌.md) |  | xì | [名]
粗葛布。《詩經．周南．葛覃》：「為絺為綌，服之無斁。」 |</v>
      </c>
    </row>
    <row r="8855" spans="1:44" hidden="1">
      <c r="A8855" s="1" t="s">
        <v>16333</v>
      </c>
      <c r="C8855" s="1">
        <v>1</v>
      </c>
      <c r="D8855" s="1" t="str">
        <f>"06859"</f>
        <v>06859</v>
      </c>
      <c r="E8855" s="1" t="s">
        <v>13771</v>
      </c>
      <c r="F8855" s="1">
        <v>12</v>
      </c>
      <c r="G8855" s="1">
        <v>6</v>
      </c>
      <c r="H8855" s="1">
        <v>0</v>
      </c>
      <c r="I8855" s="1" t="s">
        <v>16298</v>
      </c>
      <c r="K8855" s="1" t="str">
        <f t="shared" si="556"/>
        <v>ㄒ</v>
      </c>
      <c r="L8855" s="1" t="str">
        <f t="shared" si="557"/>
        <v>ㄧ</v>
      </c>
      <c r="N8855" s="3" t="s">
        <v>30574</v>
      </c>
      <c r="O8855" s="3"/>
      <c r="P8855" s="1" t="s">
        <v>20</v>
      </c>
      <c r="R8855" s="1" t="s">
        <v>16299</v>
      </c>
      <c r="V8855" s="1" t="s">
        <v>16334</v>
      </c>
      <c r="AR8855" s="1" t="str">
        <f t="shared" si="558"/>
        <v>| [ㄒㄧˋ](ㄒㄧˋ.md) | [舄](舄.md) |  | xì | [名]_x000D_
1.鞋子。《太平廣記．卷四八六．長恨傳》：「珮紅玉，曳鳳舄。」宋．無名氏《梅妃傳》：「御榻下有婦女遺舄。」_x000D_
2.鹹而貧瘠的土地。通「潟」。《文選．木華．海賦》：「襄陵廣舄。」 |</v>
      </c>
    </row>
    <row r="8856" spans="1:44" hidden="1">
      <c r="A8856" s="1" t="s">
        <v>16335</v>
      </c>
      <c r="C8856" s="1">
        <v>1</v>
      </c>
      <c r="D8856" s="1" t="str">
        <f>"06860"</f>
        <v>06860</v>
      </c>
      <c r="E8856" s="1" t="s">
        <v>129</v>
      </c>
      <c r="F8856" s="1">
        <v>15</v>
      </c>
      <c r="G8856" s="1">
        <v>12</v>
      </c>
      <c r="H8856" s="1">
        <v>0</v>
      </c>
      <c r="I8856" s="1" t="s">
        <v>16298</v>
      </c>
      <c r="K8856" s="1" t="str">
        <f t="shared" si="556"/>
        <v>ㄒ</v>
      </c>
      <c r="L8856" s="1" t="str">
        <f t="shared" si="557"/>
        <v>ㄧ</v>
      </c>
      <c r="N8856" s="3" t="s">
        <v>30574</v>
      </c>
      <c r="O8856" s="3"/>
      <c r="P8856" s="1" t="s">
        <v>20</v>
      </c>
      <c r="R8856" s="1" t="s">
        <v>16299</v>
      </c>
      <c r="V8856" s="1" t="s">
        <v>16336</v>
      </c>
      <c r="AR8856" s="1" t="str">
        <f t="shared" si="558"/>
        <v>| [ㄒㄧˋ](ㄒㄧˋ.md) | [潟](潟.md) |  | xì | [名]
鹹而薄瘠的土地。《漢書．卷二八．地理志上》：「厥土白墳，海瀕廣潟。」唐．顏師古．注：「潟，鹵鹹之地。」 |</v>
      </c>
    </row>
    <row r="8857" spans="1:44" hidden="1">
      <c r="A8857" s="1" t="s">
        <v>16337</v>
      </c>
      <c r="C8857" s="1">
        <v>1</v>
      </c>
      <c r="D8857" s="1" t="str">
        <f>"06861"</f>
        <v>06861</v>
      </c>
      <c r="E8857" s="1" t="s">
        <v>37</v>
      </c>
      <c r="F8857" s="1">
        <v>16</v>
      </c>
      <c r="G8857" s="1">
        <v>12</v>
      </c>
      <c r="H8857" s="1">
        <v>0</v>
      </c>
      <c r="I8857" s="1" t="s">
        <v>16298</v>
      </c>
      <c r="K8857" s="1" t="str">
        <f t="shared" si="556"/>
        <v>ㄒ</v>
      </c>
      <c r="L8857" s="1" t="str">
        <f t="shared" si="557"/>
        <v>ㄧ</v>
      </c>
      <c r="N8857" s="3" t="s">
        <v>30574</v>
      </c>
      <c r="O8857" s="3"/>
      <c r="P8857" s="1" t="s">
        <v>20</v>
      </c>
      <c r="R8857" s="1" t="s">
        <v>16299</v>
      </c>
      <c r="V8857" s="1" t="s">
        <v>16338</v>
      </c>
      <c r="AR8857" s="1" t="str">
        <f t="shared" si="558"/>
        <v>| [ㄒㄧˋ](ㄒㄧˋ.md) | [蕮](蕮.md) |  | xì | [名]
植物名：(1)馬蕮：即車前。車前科車前屬，多年生草本。葉呈闊卵形，長葉柄。夏天開淡紫色花，花冠為漏斗狀。果實為蓋果，嫩葉可食。《玉篇．艸部》：「蕮，馬蕮，車前。」(2)澤蕮：即蕍。澤瀉科澤潟屬，多年生草本。長於水澤中。葉呈橢圓形，具長柄，叢生。花小，白色，果實為球形瘦果。根莖可為利尿劑。《爾雅．釋草》：「蕍，蕮。」晉．郭璞．注：「蕍，一名蕮，即藥草澤蕮也。」 |</v>
      </c>
    </row>
    <row r="8858" spans="1:44" hidden="1">
      <c r="A8858" s="1" t="s">
        <v>16339</v>
      </c>
      <c r="C8858" s="1">
        <v>1</v>
      </c>
      <c r="D8858" s="1" t="str">
        <f>"06862"</f>
        <v>06862</v>
      </c>
      <c r="E8858" s="1" t="s">
        <v>169</v>
      </c>
      <c r="F8858" s="1">
        <v>17</v>
      </c>
      <c r="G8858" s="1">
        <v>12</v>
      </c>
      <c r="H8858" s="1">
        <v>0</v>
      </c>
      <c r="I8858" s="1" t="s">
        <v>16298</v>
      </c>
      <c r="K8858" s="1" t="str">
        <f t="shared" si="556"/>
        <v>ㄒ</v>
      </c>
      <c r="L8858" s="1" t="str">
        <f t="shared" si="557"/>
        <v>ㄧ</v>
      </c>
      <c r="N8858" s="3" t="s">
        <v>30574</v>
      </c>
      <c r="O8858" s="3"/>
      <c r="P8858" s="1" t="s">
        <v>20</v>
      </c>
      <c r="R8858" s="1" t="s">
        <v>16299</v>
      </c>
      <c r="V8858" s="1" t="s">
        <v>16340</v>
      </c>
      <c r="AR8858" s="1" t="str">
        <f t="shared" si="558"/>
        <v>| [ㄒㄧˋ](ㄒㄧˋ.md) | [磶](磶.md) |  | xì | [名]
柱下的礎石。《文選．張衡．西京賦》：「雕楹玉磶，繡栭雲楣。」唐．盧照鄰〈同雀少監作雙槿樹賦．序〉：「故疾雷作而蟄蟲飛，浮雲興而石磶潤，不可廢也。」 |</v>
      </c>
    </row>
    <row r="8859" spans="1:44" hidden="1">
      <c r="A8859" s="1" t="s">
        <v>16341</v>
      </c>
      <c r="C8859" s="1">
        <v>1</v>
      </c>
      <c r="D8859" s="1" t="str">
        <f>"06863"</f>
        <v>06863</v>
      </c>
      <c r="E8859" s="1" t="s">
        <v>725</v>
      </c>
      <c r="F8859" s="1">
        <v>11</v>
      </c>
      <c r="G8859" s="1">
        <v>5</v>
      </c>
      <c r="H8859" s="1">
        <v>0</v>
      </c>
      <c r="I8859" s="1" t="s">
        <v>16298</v>
      </c>
      <c r="K8859" s="1" t="str">
        <f t="shared" si="556"/>
        <v>ㄒ</v>
      </c>
      <c r="L8859" s="1" t="str">
        <f t="shared" si="557"/>
        <v>ㄧ</v>
      </c>
      <c r="N8859" s="3" t="s">
        <v>30574</v>
      </c>
      <c r="O8859" s="3"/>
      <c r="P8859" s="1" t="s">
        <v>20</v>
      </c>
      <c r="R8859" s="1" t="s">
        <v>16299</v>
      </c>
      <c r="V8859" s="1" t="s">
        <v>16342</v>
      </c>
      <c r="AR8859" s="1" t="str">
        <f t="shared" si="558"/>
        <v>| [ㄒㄧˋ](ㄒㄧˋ.md) | [細](細.md) |  | xì | [形]
1.微小。如：「細沙」、「細鹽」。《書經．旅獒》：「不矜細行，終累大德。」唐．杜甫〈水檻遣心〉詩二首之一：「細雨魚兒出，微風燕子斜。」
2.纖小、柔弱。如：「細線」、「細竹」。《韓非子．二柄》：「楚靈王好細腰，而國中多餓人。」唐．杜甫〈旅夜書懷〉詩：「細草微風岸，危檣獨夜舟。」
3.精緻、精美。如：「細瓷」、「細布」。
4.周密。如：「膽大心細」。
5.瑣碎、不重要的。如：「細節」、「細故」。唐．裴守真〈請重耕織表〉：「煩徭細役，並出其中。」
[副]
1.慢慢的。如：「細嚼慢嚥」。
2.深入的、詳盡的。如：「細看」、「細究」、「精打細算」。唐．杜甫〈春日憶李白〉詩：「何時一尊酒，重與細論文。」 |</v>
      </c>
    </row>
    <row r="8860" spans="1:44" hidden="1">
      <c r="A8860" s="1" t="s">
        <v>16120</v>
      </c>
      <c r="C8860" s="1">
        <v>1</v>
      </c>
      <c r="D8860" s="1" t="str">
        <f>"06864"</f>
        <v>06864</v>
      </c>
      <c r="E8860" s="1" t="s">
        <v>114</v>
      </c>
      <c r="F8860" s="1">
        <v>12</v>
      </c>
      <c r="G8860" s="1">
        <v>10</v>
      </c>
      <c r="H8860" s="1">
        <v>2</v>
      </c>
      <c r="I8860" s="1" t="s">
        <v>16298</v>
      </c>
      <c r="K8860" s="1" t="str">
        <f t="shared" si="556"/>
        <v>ㄒ</v>
      </c>
      <c r="L8860" s="1" t="str">
        <f t="shared" si="557"/>
        <v>ㄧ</v>
      </c>
      <c r="N8860" s="3" t="s">
        <v>30574</v>
      </c>
      <c r="O8860" s="3"/>
      <c r="P8860" s="1" t="s">
        <v>20</v>
      </c>
      <c r="R8860" s="1" t="s">
        <v>16299</v>
      </c>
      <c r="V8860" s="1" t="s">
        <v>16343</v>
      </c>
      <c r="W8860" s="1" t="s">
        <v>16344</v>
      </c>
      <c r="AR8860" s="1" t="str">
        <f t="shared" si="558"/>
        <v>| [ㄒㄧˋ](ㄒㄧˋ.md) | [傒](傒.md) |  | xì | [動]
囚禁、拘捕。通「繫」。《淮南子．本經》：「驅人之牛馬，傒人之子女。」 |</v>
      </c>
    </row>
    <row r="8861" spans="1:44" hidden="1">
      <c r="A8861" s="1" t="s">
        <v>16345</v>
      </c>
      <c r="C8861" s="1">
        <v>1</v>
      </c>
      <c r="D8861" s="1" t="str">
        <f>"06865"</f>
        <v>06865</v>
      </c>
      <c r="E8861" s="1" t="s">
        <v>2271</v>
      </c>
      <c r="F8861" s="1">
        <v>12</v>
      </c>
      <c r="G8861" s="1">
        <v>6</v>
      </c>
      <c r="H8861" s="1">
        <v>0</v>
      </c>
      <c r="I8861" s="1" t="s">
        <v>16298</v>
      </c>
      <c r="K8861" s="1" t="str">
        <f t="shared" si="556"/>
        <v>ㄒ</v>
      </c>
      <c r="L8861" s="1" t="str">
        <f t="shared" si="557"/>
        <v>ㄧ</v>
      </c>
      <c r="N8861" s="3" t="s">
        <v>30574</v>
      </c>
      <c r="O8861" s="3"/>
      <c r="P8861" s="1" t="s">
        <v>20</v>
      </c>
      <c r="R8861" s="1" t="s">
        <v>16299</v>
      </c>
      <c r="V8861" s="1" t="s">
        <v>16346</v>
      </c>
      <c r="AR8861" s="1" t="str">
        <f t="shared" si="558"/>
        <v>| [ㄒㄧˋ](ㄒㄧˋ.md) | [翕](翕.md) |  | xì | [動]
1.和好。《詩經．小雅．常棣》：「兄弟既翕，和樂且湛。」《史記．卷六．秦始皇本紀》：「臣但恐諸侯合從，翕而出不意。」
2.收斂、收縮。《易經．繫辭上》：「夫坤其靜也翕。」《文選．枚乘．七發》：「飛馬聞之，翕翼而不能去。」
3.吸引。通「吸」。《詩經．小雅．大東》：「維南有箕，載翕其舌。」唐．李白〈早過漆林渡寄萬巨〉詩：「漏流昔吞翕，沓浪競奔注。」
4.聚集。南朝宋．劉義慶《世說新語．排調》：「翕集家門，傾動人物。」
[副]
和諧順服的樣子。參見「翕然」條。 |</v>
      </c>
    </row>
    <row r="8862" spans="1:44" hidden="1">
      <c r="A8862" s="1" t="s">
        <v>16347</v>
      </c>
      <c r="C8862" s="1">
        <v>1</v>
      </c>
      <c r="D8862" s="1" t="str">
        <f>"06866"</f>
        <v>06866</v>
      </c>
      <c r="E8862" s="1" t="s">
        <v>129</v>
      </c>
      <c r="F8862" s="1">
        <v>15</v>
      </c>
      <c r="G8862" s="1">
        <v>12</v>
      </c>
      <c r="H8862" s="1">
        <v>0</v>
      </c>
      <c r="I8862" s="1" t="s">
        <v>16298</v>
      </c>
      <c r="K8862" s="1" t="str">
        <f t="shared" si="556"/>
        <v>ㄒ</v>
      </c>
      <c r="L8862" s="1" t="str">
        <f t="shared" si="557"/>
        <v>ㄧ</v>
      </c>
      <c r="N8862" s="3" t="s">
        <v>30574</v>
      </c>
      <c r="O8862" s="3"/>
      <c r="P8862" s="1" t="s">
        <v>20</v>
      </c>
      <c r="R8862" s="1" t="s">
        <v>16299</v>
      </c>
      <c r="V8862" s="1" t="s">
        <v>16348</v>
      </c>
      <c r="AR8862" s="1" t="str">
        <f t="shared" si="558"/>
        <v>| [ㄒㄧˋ](ㄒㄧˋ.md) | [潝](潝.md) |  | xì | [形]
水流快速的樣子。《廣韻．入聲．緝韻》：「潝，水流貌。」 |</v>
      </c>
    </row>
    <row r="8863" spans="1:44" hidden="1">
      <c r="A8863" s="1" t="s">
        <v>16349</v>
      </c>
      <c r="C8863" s="1">
        <v>1</v>
      </c>
      <c r="D8863" s="1" t="str">
        <f>"06867"</f>
        <v>06867</v>
      </c>
      <c r="E8863" s="1" t="s">
        <v>1908</v>
      </c>
      <c r="F8863" s="1">
        <v>16</v>
      </c>
      <c r="G8863" s="1">
        <v>12</v>
      </c>
      <c r="H8863" s="1">
        <v>1</v>
      </c>
      <c r="I8863" s="1" t="s">
        <v>16298</v>
      </c>
      <c r="K8863" s="1" t="str">
        <f t="shared" si="556"/>
        <v>ㄒ</v>
      </c>
      <c r="L8863" s="1" t="str">
        <f t="shared" si="557"/>
        <v>ㄧ</v>
      </c>
      <c r="N8863" s="3" t="s">
        <v>30574</v>
      </c>
      <c r="O8863" s="3"/>
      <c r="P8863" s="1" t="s">
        <v>20</v>
      </c>
      <c r="R8863" s="1" t="s">
        <v>16299</v>
      </c>
      <c r="V8863" s="1" t="s">
        <v>16350</v>
      </c>
      <c r="W8863" s="1" t="s">
        <v>16351</v>
      </c>
      <c r="AR8863" s="1" t="str">
        <f t="shared" si="558"/>
        <v>| [ㄒㄧˋ](ㄒㄧˋ.md) | [歙](歙.md) |  | xì | [動]
1.吸、吸入。南朝宋．鮑照〈石帆銘〉：「吐湘引漢，歙蠡吞沱。」
2.收藏、收斂。《老子》第三六章：「將欲歙之，必固張之。」《淮南子．兵略》：「（用兵之道）為之以歙，而應之以張。」
[副]
一致、完全。《漢書．卷八一．匡衡傳》：「將軍誠召置莫府，學士歙然歸仁。」 |</v>
      </c>
    </row>
    <row r="8864" spans="1:44" hidden="1">
      <c r="A8864" s="1" t="s">
        <v>6003</v>
      </c>
      <c r="C8864" s="1">
        <v>1</v>
      </c>
      <c r="D8864" s="1" t="str">
        <f>"06868"</f>
        <v>06868</v>
      </c>
      <c r="E8864" s="1" t="s">
        <v>709</v>
      </c>
      <c r="F8864" s="1">
        <v>20</v>
      </c>
      <c r="G8864" s="1">
        <v>12</v>
      </c>
      <c r="H8864" s="1">
        <v>1</v>
      </c>
      <c r="I8864" s="1" t="s">
        <v>16298</v>
      </c>
      <c r="K8864" s="1" t="str">
        <f t="shared" si="556"/>
        <v>ㄒ</v>
      </c>
      <c r="L8864" s="1" t="str">
        <f t="shared" si="557"/>
        <v>ㄧ</v>
      </c>
      <c r="N8864" s="3" t="s">
        <v>30574</v>
      </c>
      <c r="O8864" s="3"/>
      <c r="P8864" s="1" t="s">
        <v>20</v>
      </c>
      <c r="R8864" s="1" t="s">
        <v>16299</v>
      </c>
      <c r="V8864" s="1" t="s">
        <v>16352</v>
      </c>
      <c r="W8864" s="1" t="s">
        <v>16353</v>
      </c>
      <c r="AR8864" s="1" t="str">
        <f t="shared" si="558"/>
        <v>| [ㄒㄧˋ](ㄒㄧˋ.md) | [闟](闟.md) |  | xì | [副]
1.突然。《管子．小問》：「桓公北伐孤竹，未至卑耳之谿十里，闟然止，瞠然視。」
2.安定。《史記．卷一一〇．匈奴傳》：「寢兵、休卒、養馬，世世昌樂，闟然更始。」 |</v>
      </c>
    </row>
    <row r="8865" spans="1:44" hidden="1">
      <c r="A8865" s="1" t="s">
        <v>13103</v>
      </c>
      <c r="C8865" s="1">
        <v>1</v>
      </c>
      <c r="D8865" s="1" t="str">
        <f>"06869"</f>
        <v>06869</v>
      </c>
      <c r="E8865" s="1" t="s">
        <v>132</v>
      </c>
      <c r="F8865" s="1">
        <v>12</v>
      </c>
      <c r="G8865" s="1">
        <v>9</v>
      </c>
      <c r="H8865" s="1">
        <v>2</v>
      </c>
      <c r="I8865" s="1" t="s">
        <v>16298</v>
      </c>
      <c r="K8865" s="1" t="str">
        <f t="shared" si="556"/>
        <v>ㄒ</v>
      </c>
      <c r="L8865" s="1" t="str">
        <f t="shared" si="557"/>
        <v>ㄧ</v>
      </c>
      <c r="N8865" s="3" t="s">
        <v>30574</v>
      </c>
      <c r="O8865" s="3"/>
      <c r="P8865" s="1" t="s">
        <v>110</v>
      </c>
      <c r="R8865" s="1" t="s">
        <v>16299</v>
      </c>
      <c r="V8865" s="1" t="s">
        <v>111</v>
      </c>
      <c r="W8865" s="1" t="s">
        <v>16354</v>
      </c>
      <c r="AR8865" s="1" t="str">
        <f t="shared" si="558"/>
        <v>| [ㄒㄧˋ](ㄒㄧˋ.md) | [塈](塈.md) |  | xì | (一)之又音。 |</v>
      </c>
    </row>
    <row r="8866" spans="1:44" hidden="1">
      <c r="A8866" s="1" t="s">
        <v>10894</v>
      </c>
      <c r="C8866" s="1">
        <v>1</v>
      </c>
      <c r="D8866" s="1" t="str">
        <f>"06870"</f>
        <v>06870</v>
      </c>
      <c r="E8866" s="1" t="s">
        <v>250</v>
      </c>
      <c r="F8866" s="1">
        <v>13</v>
      </c>
      <c r="G8866" s="1">
        <v>10</v>
      </c>
      <c r="H8866" s="1">
        <v>2</v>
      </c>
      <c r="I8866" s="1" t="s">
        <v>16298</v>
      </c>
      <c r="K8866" s="1" t="str">
        <f t="shared" si="556"/>
        <v>ㄒ</v>
      </c>
      <c r="L8866" s="1" t="str">
        <f t="shared" si="557"/>
        <v>ㄧ</v>
      </c>
      <c r="N8866" s="3" t="s">
        <v>30574</v>
      </c>
      <c r="O8866" s="3"/>
      <c r="P8866" s="1" t="s">
        <v>20</v>
      </c>
      <c r="R8866" s="1" t="s">
        <v>16299</v>
      </c>
      <c r="V8866" s="1" t="s">
        <v>16355</v>
      </c>
      <c r="W8866" s="1" t="s">
        <v>16356</v>
      </c>
      <c r="AR8866" s="1" t="str">
        <f t="shared" si="558"/>
        <v>| [ㄒㄧˋ](ㄒㄧˋ.md) | [愾](愾.md) |  | xì | [動]
長聲嘆息。《詩經．曹風．下泉》：「愾我寤歎，念彼周京。」 |</v>
      </c>
    </row>
    <row r="8867" spans="1:44" hidden="1">
      <c r="A8867" s="1" t="s">
        <v>16357</v>
      </c>
      <c r="C8867" s="1">
        <v>1</v>
      </c>
      <c r="D8867" s="1" t="str">
        <f>"06871"</f>
        <v>06871</v>
      </c>
      <c r="E8867" s="1" t="s">
        <v>193</v>
      </c>
      <c r="F8867" s="1">
        <v>18</v>
      </c>
      <c r="G8867" s="1">
        <v>10</v>
      </c>
      <c r="H8867" s="1">
        <v>0</v>
      </c>
      <c r="I8867" s="1" t="s">
        <v>16298</v>
      </c>
      <c r="K8867" s="1" t="str">
        <f t="shared" si="556"/>
        <v>ㄒ</v>
      </c>
      <c r="L8867" s="1" t="str">
        <f t="shared" si="557"/>
        <v>ㄧ</v>
      </c>
      <c r="N8867" s="3" t="s">
        <v>30574</v>
      </c>
      <c r="O8867" s="3"/>
      <c r="P8867" s="1" t="s">
        <v>20</v>
      </c>
      <c r="R8867" s="1" t="s">
        <v>16299</v>
      </c>
      <c r="V8867" s="1" t="s">
        <v>16358</v>
      </c>
      <c r="AR8867" s="1" t="str">
        <f t="shared" si="558"/>
        <v>| [ㄒㄧˋ](ㄒㄧˋ.md) | [餼](餼.md) |  | xì | [名]
送人的米糧、穀糧。《國語．周語中》：「廩人獻餼，司馬陳芻。」
[動]
餽贈。《左傳．僖公十五年》：「是歲晉又饑，秦伯又餼之粟。」《南史．卷三三．何承天傳》：「及聞遜卒，命迎其柩而殯藏焉，并餼其妻子。」
[形]
活的，供宰殺祭祀用的。如：「餼羊」。 |</v>
      </c>
    </row>
    <row r="8868" spans="1:44" hidden="1">
      <c r="A8868" s="1" t="s">
        <v>16359</v>
      </c>
      <c r="C8868" s="1">
        <v>1</v>
      </c>
      <c r="D8868" s="1" t="str">
        <f>"06872"</f>
        <v>06872</v>
      </c>
      <c r="E8868" s="1" t="s">
        <v>6340</v>
      </c>
      <c r="F8868" s="1">
        <v>13</v>
      </c>
      <c r="G8868" s="1">
        <v>6</v>
      </c>
      <c r="H8868" s="1">
        <v>0</v>
      </c>
      <c r="I8868" s="1" t="s">
        <v>16298</v>
      </c>
      <c r="K8868" s="1" t="str">
        <f t="shared" si="556"/>
        <v>ㄒ</v>
      </c>
      <c r="L8868" s="1" t="str">
        <f t="shared" si="557"/>
        <v>ㄧ</v>
      </c>
      <c r="N8868" s="3" t="s">
        <v>30574</v>
      </c>
      <c r="O8868" s="3"/>
      <c r="P8868" s="1" t="s">
        <v>20</v>
      </c>
      <c r="R8868" s="1" t="s">
        <v>16299</v>
      </c>
      <c r="V8868" s="1" t="s">
        <v>16360</v>
      </c>
      <c r="AR8868" s="1" t="str">
        <f t="shared" si="558"/>
        <v>| [ㄒㄧˋ](ㄒㄧˋ.md) | [赩](赩.md) |  | xì | [形]
大紅色。《文選．左思．蜀都賦》：「丹沙赩熾出其坂，蜜房郁毓被其阜。」 |</v>
      </c>
    </row>
    <row r="8869" spans="1:44" hidden="1">
      <c r="A8869" s="1" t="s">
        <v>16361</v>
      </c>
      <c r="C8869" s="1">
        <v>1</v>
      </c>
      <c r="D8869" s="1" t="str">
        <f>"06873"</f>
        <v>06873</v>
      </c>
      <c r="E8869" s="1" t="s">
        <v>256</v>
      </c>
      <c r="F8869" s="1">
        <v>13</v>
      </c>
      <c r="G8869" s="1">
        <v>10</v>
      </c>
      <c r="H8869" s="1">
        <v>0</v>
      </c>
      <c r="I8869" s="1" t="s">
        <v>16298</v>
      </c>
      <c r="K8869" s="1" t="str">
        <f t="shared" si="556"/>
        <v>ㄒ</v>
      </c>
      <c r="L8869" s="1" t="str">
        <f t="shared" si="557"/>
        <v>ㄧ</v>
      </c>
      <c r="N8869" s="3" t="s">
        <v>30574</v>
      </c>
      <c r="O8869" s="3"/>
      <c r="P8869" s="1" t="s">
        <v>20</v>
      </c>
      <c r="R8869" s="1" t="s">
        <v>16299</v>
      </c>
      <c r="V8869" s="1" t="s">
        <v>16362</v>
      </c>
      <c r="AR8869" s="1" t="str">
        <f t="shared" si="558"/>
        <v>| [ㄒㄧˋ](ㄒㄧˋ.md) | [鄎](鄎.md) |  | xì | [名]
國名。春秋時的國家，故址在今河南省息縣境內，後為楚所滅。也稱為「息國」。 |</v>
      </c>
    </row>
    <row r="8870" spans="1:44" hidden="1">
      <c r="A8870" s="1" t="s">
        <v>16363</v>
      </c>
      <c r="C8870" s="1">
        <v>1</v>
      </c>
      <c r="D8870" s="1" t="str">
        <f>"06874"</f>
        <v>06874</v>
      </c>
      <c r="E8870" s="1" t="s">
        <v>825</v>
      </c>
      <c r="F8870" s="1">
        <v>14</v>
      </c>
      <c r="G8870" s="1">
        <v>9</v>
      </c>
      <c r="H8870" s="1">
        <v>0</v>
      </c>
      <c r="I8870" s="1" t="s">
        <v>16298</v>
      </c>
      <c r="K8870" s="1" t="str">
        <f t="shared" si="556"/>
        <v>ㄒ</v>
      </c>
      <c r="L8870" s="1" t="str">
        <f t="shared" si="557"/>
        <v>ㄧ</v>
      </c>
      <c r="N8870" s="3" t="s">
        <v>30574</v>
      </c>
      <c r="O8870" s="3"/>
      <c r="P8870" s="1" t="s">
        <v>20</v>
      </c>
      <c r="R8870" s="1" t="s">
        <v>16299</v>
      </c>
      <c r="V8870" s="1" t="s">
        <v>16364</v>
      </c>
      <c r="AR8870" s="1" t="str">
        <f t="shared" si="558"/>
        <v>| [ㄒㄧˋ](ㄒㄧˋ.md) | [禊](禊.md) |  | xì | [名]
古代一種驅除不祥的祭祀。於春秋兩季，在水邊舉行。如：「春禊」、「秋禊」。晉．王羲之〈三月三日蘭亭詩序〉：「暮春之初，會于會稽山陰之蘭亭，修禊事也。」 |</v>
      </c>
    </row>
    <row r="8871" spans="1:44" hidden="1">
      <c r="A8871" s="1" t="s">
        <v>16365</v>
      </c>
      <c r="C8871" s="1">
        <v>1</v>
      </c>
      <c r="D8871" s="1" t="str">
        <f>"06875"</f>
        <v>06875</v>
      </c>
      <c r="E8871" s="1" t="s">
        <v>725</v>
      </c>
      <c r="F8871" s="1">
        <v>14</v>
      </c>
      <c r="G8871" s="1">
        <v>8</v>
      </c>
      <c r="H8871" s="1">
        <v>0</v>
      </c>
      <c r="I8871" s="1" t="s">
        <v>16298</v>
      </c>
      <c r="K8871" s="1" t="str">
        <f t="shared" si="556"/>
        <v>ㄒ</v>
      </c>
      <c r="L8871" s="1" t="str">
        <f t="shared" si="557"/>
        <v>ㄧ</v>
      </c>
      <c r="N8871" s="3" t="s">
        <v>30574</v>
      </c>
      <c r="O8871" s="3"/>
      <c r="P8871" s="1" t="s">
        <v>20</v>
      </c>
      <c r="R8871" s="1" t="s">
        <v>16299</v>
      </c>
      <c r="V8871" s="1" t="s">
        <v>16366</v>
      </c>
      <c r="AR8871" s="1" t="str">
        <f t="shared" si="558"/>
        <v>| [ㄒㄧˋ](ㄒㄧˋ.md) | [緆](緆.md) |  | xì | [名]
1.細麻布。《說文解字．糸部》：「緆，細布也。」《文選．司馬相如．子虛賦》：「於是鄭女曼姬，被阿緆，揄紵縞。」
2.裙子下緣的邊飾。《儀禮．既夕禮》：「縓綼緆。」漢．鄭玄．注：「飾裳在幅曰綼，在下曰緆。」 |</v>
      </c>
    </row>
    <row r="8872" spans="1:44" hidden="1">
      <c r="A8872" s="1" t="s">
        <v>16367</v>
      </c>
      <c r="C8872" s="1">
        <v>1</v>
      </c>
      <c r="D8872" s="1" t="str">
        <f>"06876"</f>
        <v>06876</v>
      </c>
      <c r="E8872" s="1" t="s">
        <v>691</v>
      </c>
      <c r="F8872" s="1">
        <v>14</v>
      </c>
      <c r="G8872" s="1">
        <v>11</v>
      </c>
      <c r="H8872" s="1">
        <v>0</v>
      </c>
      <c r="I8872" s="1" t="s">
        <v>16298</v>
      </c>
      <c r="K8872" s="1" t="str">
        <f t="shared" si="556"/>
        <v>ㄒ</v>
      </c>
      <c r="L8872" s="1" t="str">
        <f t="shared" si="557"/>
        <v>ㄧ</v>
      </c>
      <c r="N8872" s="3" t="s">
        <v>30574</v>
      </c>
      <c r="O8872" s="3"/>
      <c r="P8872" s="1" t="s">
        <v>20</v>
      </c>
      <c r="R8872" s="1" t="s">
        <v>16299</v>
      </c>
      <c r="V8872" s="1" t="s">
        <v>16368</v>
      </c>
      <c r="AR8872" s="1" t="str">
        <f t="shared" si="558"/>
        <v>| [ㄒㄧˋ](ㄒㄧˋ.md) | [隙](隙.md) |  | xì | [名]
1.裂縫、孔穴。如：「孔隙」、「縫隙」。《商君書．修權》：「蠹眾而木折，隙大而牆壞。」
2.空暇、閒暇。如：「農隙」。唐．柳宗元〈始得西山宴游記〉：「其隙也，則施施而行，漫漫而游。」宋．蘇軾〈教戰守策〉：「秋冬之隙，致民田獵以講武。」
3.漏洞、機會。如：「乘隙而入」。唐．德宗〈西平王李晟東渭橋紀功碑〉：「覷隙乘便，餌誘貪卒。」
4.仇怨。如：「嫌隙」。《史記．卷八二．田單傳》：「惠王立，與樂毅有隙。」南朝宋．鮑照〈代貧賤苦愁行〉：「或以一金恨，便成百年隙。」
[形]
1.空著的。如：「隙地」。
2.不完整、不足。《孫子．謀攻》：「夫將者，國之輔也；輔周則國必強，輔隙則國必弱。」 |</v>
      </c>
    </row>
    <row r="8873" spans="1:44" hidden="1">
      <c r="A8873" s="1" t="s">
        <v>16369</v>
      </c>
      <c r="C8873" s="1">
        <v>1</v>
      </c>
      <c r="D8873" s="1" t="str">
        <f>"06877"</f>
        <v>06877</v>
      </c>
      <c r="E8873" s="1" t="s">
        <v>660</v>
      </c>
      <c r="F8873" s="1">
        <v>18</v>
      </c>
      <c r="G8873" s="1">
        <v>12</v>
      </c>
      <c r="H8873" s="1">
        <v>0</v>
      </c>
      <c r="I8873" s="1" t="s">
        <v>16298</v>
      </c>
      <c r="K8873" s="1" t="str">
        <f t="shared" si="556"/>
        <v>ㄒ</v>
      </c>
      <c r="L8873" s="1" t="str">
        <f t="shared" si="557"/>
        <v>ㄧ</v>
      </c>
      <c r="N8873" s="3" t="s">
        <v>30574</v>
      </c>
      <c r="O8873" s="3"/>
      <c r="P8873" s="1" t="s">
        <v>20</v>
      </c>
      <c r="R8873" s="1" t="s">
        <v>16299</v>
      </c>
      <c r="V8873" s="1" t="s">
        <v>16370</v>
      </c>
      <c r="AR8873" s="1" t="str">
        <f t="shared" si="558"/>
        <v>| [ㄒㄧˋ](ㄒㄧˋ.md) | [虩](虩.md) |  | xì | [形]
恐懼的樣子。參見「虩虩」條。
[名]
動物名。即蠅虎。蛛形綱跳蛛科蠅虎屬。體小，周身有細毛。足短且壯。於白天活動，善跳躍，捕食蠅類。《說文解字．虍部》：「虩，蠅虎也。」 |</v>
      </c>
    </row>
    <row r="8874" spans="1:44" hidden="1">
      <c r="A8874" s="1" t="s">
        <v>12042</v>
      </c>
      <c r="C8874" s="1">
        <v>1</v>
      </c>
      <c r="D8874" s="1" t="str">
        <f>"06878"</f>
        <v>06878</v>
      </c>
      <c r="E8874" s="1" t="s">
        <v>4785</v>
      </c>
      <c r="F8874" s="1">
        <v>17</v>
      </c>
      <c r="G8874" s="1">
        <v>13</v>
      </c>
      <c r="H8874" s="1">
        <v>1</v>
      </c>
      <c r="I8874" s="1" t="s">
        <v>16298</v>
      </c>
      <c r="K8874" s="1" t="str">
        <f t="shared" si="556"/>
        <v>ㄒ</v>
      </c>
      <c r="L8874" s="1" t="str">
        <f t="shared" si="557"/>
        <v>ㄧ</v>
      </c>
      <c r="N8874" s="3" t="s">
        <v>30574</v>
      </c>
      <c r="O8874" s="3"/>
      <c r="P8874" s="1" t="s">
        <v>20</v>
      </c>
      <c r="R8874" s="1" t="s">
        <v>16299</v>
      </c>
      <c r="V8874" s="1" t="s">
        <v>16371</v>
      </c>
      <c r="W8874" s="1" t="s">
        <v>16372</v>
      </c>
      <c r="AR8874" s="1" t="str">
        <f t="shared" si="558"/>
        <v>| [ㄒㄧˋ](ㄒㄧˋ.md) | [戲](戲.md) |  | xì | [動]
1.玩耍、嬉遊。如：「嬉戲」、「遊戲人間」。《韓非子．外儲說左上》：「夫嬰兒相與戲也，以塵為飯，以塗為羹。」《三國演義》第一回：「玄德幼時，與鄉中小兒戲於樹下。」
2.開玩笑、嘲弄。如：「戲弄」。《論語．陽貨》：「前言戲之耳！」《國語．晉語九》：「智襄子戲韓康子而侮段規。」
[名]
1.一種以言語、表情或歌舞等傳達意念的表演。如：「演戲」、「唱戲」、「京戲」、「猴戲」、「布袋戲」、「歌仔戲」。
2.姓。如三國時魏國有戲志才。 |</v>
      </c>
    </row>
    <row r="8875" spans="1:44" hidden="1">
      <c r="A8875" s="1" t="s">
        <v>16373</v>
      </c>
      <c r="C8875" s="1">
        <v>1</v>
      </c>
      <c r="D8875" s="1" t="str">
        <f>"06879"</f>
        <v>06879</v>
      </c>
      <c r="E8875" s="1" t="s">
        <v>4894</v>
      </c>
      <c r="F8875" s="1">
        <v>18</v>
      </c>
      <c r="G8875" s="1">
        <v>8</v>
      </c>
      <c r="H8875" s="1">
        <v>0</v>
      </c>
      <c r="I8875" s="1" t="s">
        <v>16298</v>
      </c>
      <c r="K8875" s="1" t="str">
        <f t="shared" si="556"/>
        <v>ㄒ</v>
      </c>
      <c r="L8875" s="1" t="str">
        <f t="shared" si="557"/>
        <v>ㄧ</v>
      </c>
      <c r="N8875" s="3" t="s">
        <v>30574</v>
      </c>
      <c r="O8875" s="3"/>
      <c r="P8875" s="1" t="s">
        <v>20</v>
      </c>
      <c r="R8875" s="1" t="s">
        <v>16299</v>
      </c>
      <c r="V8875" s="1" t="s">
        <v>16374</v>
      </c>
      <c r="AR8875" s="1" t="str">
        <f t="shared" si="558"/>
        <v>| [ㄒㄧˋ](ㄒㄧˋ.md) | [鬩](鬩.md) |  | xì | [動]
互相爭訟。《左傳．僖公二十四年》：「兄弟鬩于牆，外禦其侮。」 |</v>
      </c>
    </row>
    <row r="8876" spans="1:44" hidden="1">
      <c r="A8876" s="1" t="s">
        <v>16375</v>
      </c>
      <c r="C8876" s="1">
        <v>1</v>
      </c>
      <c r="D8876" s="1" t="str">
        <f>"06880"</f>
        <v>06880</v>
      </c>
      <c r="E8876" s="1" t="s">
        <v>1681</v>
      </c>
      <c r="F8876" s="1">
        <v>24</v>
      </c>
      <c r="G8876" s="1">
        <v>18</v>
      </c>
      <c r="H8876" s="1">
        <v>0</v>
      </c>
      <c r="I8876" s="1" t="s">
        <v>16298</v>
      </c>
      <c r="K8876" s="1" t="str">
        <f t="shared" si="556"/>
        <v>ㄒ</v>
      </c>
      <c r="L8876" s="1" t="str">
        <f t="shared" si="557"/>
        <v>ㄧ</v>
      </c>
      <c r="N8876" s="3" t="s">
        <v>30574</v>
      </c>
      <c r="O8876" s="3"/>
      <c r="P8876" s="1" t="s">
        <v>20</v>
      </c>
      <c r="R8876" s="1" t="s">
        <v>16299</v>
      </c>
      <c r="V8876" s="1" t="s">
        <v>16376</v>
      </c>
      <c r="AR8876" s="1" t="str">
        <f t="shared" si="558"/>
        <v>| [ㄒㄧˋ](ㄒㄧˋ.md) | [衋](衋.md) |  | xì | [副]_x000D_
傷痛的樣子。《書經．酒誥》：「誕惟厥縱淫泆于非彞，用燕喪威儀，民罔不衋傷心。」 |</v>
      </c>
    </row>
    <row r="8877" spans="1:44" hidden="1">
      <c r="A8877" s="1" t="s">
        <v>16377</v>
      </c>
      <c r="C8877" s="1">
        <v>1</v>
      </c>
      <c r="D8877" s="1" t="str">
        <f>"06881"</f>
        <v>06881</v>
      </c>
      <c r="E8877" s="1" t="s">
        <v>871</v>
      </c>
      <c r="F8877" s="1">
        <v>24</v>
      </c>
      <c r="G8877" s="1">
        <v>21</v>
      </c>
      <c r="H8877" s="1">
        <v>0</v>
      </c>
      <c r="I8877" s="1" t="s">
        <v>16298</v>
      </c>
      <c r="K8877" s="1" t="str">
        <f t="shared" si="556"/>
        <v>ㄒ</v>
      </c>
      <c r="L8877" s="1" t="str">
        <f t="shared" si="557"/>
        <v>ㄧ</v>
      </c>
      <c r="N8877" s="3" t="s">
        <v>30574</v>
      </c>
      <c r="O8877" s="3"/>
      <c r="P8877" s="1" t="s">
        <v>20</v>
      </c>
      <c r="R8877" s="1" t="s">
        <v>16299</v>
      </c>
      <c r="V8877" s="1" t="s">
        <v>16378</v>
      </c>
      <c r="AR8877" s="1" t="str">
        <f t="shared" si="558"/>
        <v>| [ㄒㄧˋ](ㄒㄧˋ.md) | [屭](屭.md) |  | xì | 參見「贔屭」、「屭屭」等條。 |</v>
      </c>
    </row>
    <row r="8878" spans="1:44" hidden="1">
      <c r="A8878" s="1" t="s">
        <v>16213</v>
      </c>
      <c r="C8878" s="1">
        <v>1</v>
      </c>
      <c r="D8878" s="1" t="str">
        <f>"06804"</f>
        <v>06804</v>
      </c>
      <c r="E8878" s="1" t="s">
        <v>646</v>
      </c>
      <c r="F8878" s="1">
        <v>8</v>
      </c>
      <c r="G8878" s="1">
        <v>4</v>
      </c>
      <c r="H8878" s="1">
        <v>1</v>
      </c>
      <c r="I8878" s="1" t="s">
        <v>16214</v>
      </c>
      <c r="K8878" s="1" t="str">
        <f t="shared" si="556"/>
        <v>ㄒ</v>
      </c>
      <c r="L8878" s="1" t="str">
        <f t="shared" si="557"/>
        <v>ㄧ</v>
      </c>
      <c r="N8878" s="3" t="s">
        <v>30575</v>
      </c>
      <c r="O8878" s="3"/>
      <c r="P8878" s="1" t="s">
        <v>20</v>
      </c>
      <c r="R8878" s="1" t="s">
        <v>16215</v>
      </c>
      <c r="V8878" s="1" t="s">
        <v>16216</v>
      </c>
      <c r="W8878" s="1" t="s">
        <v>16217</v>
      </c>
      <c r="AR8878" s="1" t="str">
        <f t="shared" si="558"/>
        <v>| [ㄒㄧˊ](ㄒㄧˊ.md) | [昔](昔.md) |  | xí | [形]
過去的、從前的。如：「昔日」。唐．崔顥〈黃鶴樓〉詩：「昔人已乘黃鶴去，此地空餘黃鶴樓。」
[名]
1.夜晚。通「夕」。《左傳．哀公四年》：「為一昔之期，襲梁及霍。」《文選．古樂府．飲馬長城窟行》：「遠道不可思，夙昔夢見之。」
2.姓。如漢代有昔登。 |</v>
      </c>
    </row>
    <row r="8879" spans="1:44" hidden="1">
      <c r="A8879" s="1" t="s">
        <v>16218</v>
      </c>
      <c r="C8879" s="1">
        <v>1</v>
      </c>
      <c r="D8879" s="1" t="str">
        <f>"06805"</f>
        <v>06805</v>
      </c>
      <c r="E8879" s="1" t="s">
        <v>250</v>
      </c>
      <c r="F8879" s="1">
        <v>11</v>
      </c>
      <c r="G8879" s="1">
        <v>8</v>
      </c>
      <c r="H8879" s="1">
        <v>0</v>
      </c>
      <c r="I8879" s="1" t="s">
        <v>16214</v>
      </c>
      <c r="K8879" s="1" t="str">
        <f t="shared" si="556"/>
        <v>ㄒ</v>
      </c>
      <c r="L8879" s="1" t="str">
        <f t="shared" si="557"/>
        <v>ㄧ</v>
      </c>
      <c r="N8879" s="3" t="s">
        <v>30575</v>
      </c>
      <c r="O8879" s="3"/>
      <c r="P8879" s="1" t="s">
        <v>20</v>
      </c>
      <c r="R8879" s="1" t="s">
        <v>16215</v>
      </c>
      <c r="V8879" s="1" t="s">
        <v>16219</v>
      </c>
      <c r="AR8879" s="1" t="str">
        <f t="shared" si="558"/>
        <v>| [ㄒㄧˊ](ㄒㄧˊ.md) | [惜](惜.md) |  | xí | [動]
1.愛憐、珍視、捨不得。如：「惜福」、「吝惜」、「愛惜」、「死不足惜」、「憐香惜玉」。唐．白居易〈日長〉詩：「愛水多櫂舟，惜花不掃地。」
2.悲痛、哀傷。如：「痛惜」。《文選．陸機．歎逝賦》：「望湯谷以企予，惜此景之屢戢。」《聊齋志異．卷八．張貢士》：「猶述其曲文，惜不能全憶。」 |</v>
      </c>
    </row>
    <row r="8880" spans="1:44" hidden="1">
      <c r="A8880" s="1" t="s">
        <v>16220</v>
      </c>
      <c r="C8880" s="1">
        <v>1</v>
      </c>
      <c r="D8880" s="1" t="str">
        <f>"06806"</f>
        <v>06806</v>
      </c>
      <c r="E8880" s="1" t="s">
        <v>68</v>
      </c>
      <c r="F8880" s="1">
        <v>12</v>
      </c>
      <c r="G8880" s="1">
        <v>8</v>
      </c>
      <c r="H8880" s="1">
        <v>1</v>
      </c>
      <c r="I8880" s="1" t="s">
        <v>16214</v>
      </c>
      <c r="K8880" s="1" t="str">
        <f t="shared" ref="K8880:K8943" si="559">LEFT(I8880, 1)</f>
        <v>ㄒ</v>
      </c>
      <c r="L8880" s="1" t="str">
        <f t="shared" ref="L8880:L8943" si="560">MID(I8880, 2, 1)</f>
        <v>ㄧ</v>
      </c>
      <c r="N8880" s="3" t="s">
        <v>30575</v>
      </c>
      <c r="O8880" s="3"/>
      <c r="P8880" s="1" t="s">
        <v>20</v>
      </c>
      <c r="R8880" s="1" t="s">
        <v>16215</v>
      </c>
      <c r="V8880" s="1" t="s">
        <v>16221</v>
      </c>
      <c r="W8880" s="1" t="s">
        <v>16222</v>
      </c>
      <c r="AR8880" s="1" t="str">
        <f t="shared" si="558"/>
        <v>| [ㄒㄧˊ](ㄒㄧˊ.md) | [腊](腊.md) |  | xí | [名]_x000D_
1.乾肉。《易經．噬嗑卦．六三》：「噬腊肉，遇毒。」《金史．卷八．世宗本紀下》：「遼主聞民間乏食，謂何不食乾腊。」_x000D_
2.乾裂的皮膚。《山海經．西山經》：「（錢來之山）有獸焉，其狀如羊而馬尾，名曰羬羊，其脂可以已腊。」_x000D_
[動]_x000D_
製成肉乾。《莊子．外物》：「任公子若得魚，離而腊之。」唐．柳宗元〈捕蛇者說〉：「然得而腊之以為餌，可以已大風、攣踠、瘻、癘，去死肌、殺三蟲。」_x000D_
[副]_x000D_
極、很。《國語．周語下》：「高位寔疾顛，味厚寔腊毒。」三國吳．韋昭．注：「腊，亟也。」 |</v>
      </c>
    </row>
    <row r="8881" spans="1:44" hidden="1">
      <c r="A8881" s="1" t="s">
        <v>16223</v>
      </c>
      <c r="C8881" s="1">
        <v>1</v>
      </c>
      <c r="D8881" s="1" t="str">
        <f>"06807"</f>
        <v>06807</v>
      </c>
      <c r="E8881" s="1" t="s">
        <v>222</v>
      </c>
      <c r="F8881" s="1">
        <v>10</v>
      </c>
      <c r="G8881" s="1">
        <v>7</v>
      </c>
      <c r="H8881" s="1">
        <v>0</v>
      </c>
      <c r="I8881" s="1" t="s">
        <v>16214</v>
      </c>
      <c r="K8881" s="1" t="str">
        <f t="shared" si="559"/>
        <v>ㄒ</v>
      </c>
      <c r="L8881" s="1" t="str">
        <f t="shared" si="560"/>
        <v>ㄧ</v>
      </c>
      <c r="N8881" s="3" t="s">
        <v>30575</v>
      </c>
      <c r="O8881" s="3"/>
      <c r="P8881" s="1" t="s">
        <v>20</v>
      </c>
      <c r="R8881" s="1" t="s">
        <v>16215</v>
      </c>
      <c r="V8881" s="1" t="s">
        <v>16224</v>
      </c>
      <c r="AR8881" s="1" t="str">
        <f t="shared" si="558"/>
        <v>| [ㄒㄧˊ](ㄒㄧˊ.md) | [席](席.md) |  | xí | [名]
1.用草莖、竹篾等編成的墊子，可坐臥。如：「草席」、「竹席」、「涼席」。《文選．曹植．求自試表》：「而寢不安席，食不遑味。」
2.座位。如：「就席」、「入席」。《漢書．卷六八．霍光傳》：「田延年前，離席按劍。」
3.職位。如：「法席」、「教席」、「首席」。《文明小史》第一三回：「每一個人替他們安置一席，倒也不難。」
4.成桌的酒和飯菜。如：「酒席」、「筵席」。《紅樓夢》第五四回：「眾媳婦們忙撤去殘席，……另外又添換了果饌擺好。」
5.船帆。《文選．木華．海賦》：「維長綃，挂帆席。」唐．李善．注：「《釋名》曰：『隨風張幔曰帆。』或以席為之，故曰帆席也。」《文選．謝靈運．遊赤石進帆海詩》：「揚帆采石華，挂席拾海月。」
6.量詞：(1)計算談話次數的單位。如：「聽君一席話，勝讀十年書。」(2)計算議會席次或名額的單位。如：「這次立委選舉在野黨共取得三席。」
7.姓。如晉代有席坦。
[動]
憑藉。《漢書．卷三六．楚元王劉交傳》：「呂產、呂祿，席太后之寵。」《新唐書．卷九六．房玄齡傳》：「常恐諸子驕侈，席勢凌人。」
[副]
全面。《史記．卷九〇．魏豹彭越傳．太史公曰》：「然已席捲千里，南面稱孤。」 |</v>
      </c>
    </row>
    <row r="8882" spans="1:44" hidden="1">
      <c r="A8882" s="1" t="s">
        <v>16225</v>
      </c>
      <c r="C8882" s="1">
        <v>1</v>
      </c>
      <c r="D8882" s="1" t="str">
        <f>"06808"</f>
        <v>06808</v>
      </c>
      <c r="E8882" s="1" t="s">
        <v>37</v>
      </c>
      <c r="F8882" s="1">
        <v>14</v>
      </c>
      <c r="G8882" s="1">
        <v>10</v>
      </c>
      <c r="H8882" s="1">
        <v>0</v>
      </c>
      <c r="I8882" s="1" t="s">
        <v>16214</v>
      </c>
      <c r="K8882" s="1" t="str">
        <f t="shared" si="559"/>
        <v>ㄒ</v>
      </c>
      <c r="L8882" s="1" t="str">
        <f t="shared" si="560"/>
        <v>ㄧ</v>
      </c>
      <c r="N8882" s="3" t="s">
        <v>30575</v>
      </c>
      <c r="O8882" s="3"/>
      <c r="P8882" s="1" t="s">
        <v>20</v>
      </c>
      <c r="R8882" s="1" t="s">
        <v>16215</v>
      </c>
      <c r="V8882" s="1" t="s">
        <v>16226</v>
      </c>
      <c r="AR8882" s="1" t="str">
        <f t="shared" si="558"/>
        <v>| [ㄒㄧˊ](ㄒㄧˊ.md) | [蓆](蓆.md) |  | xí | [名]
用竹片、草莖等編成的墊子，可鋪設坐臥。通「席」。如：「草蓆」、「竹蓆」。
[形]
寬大。《詩經．鄭風．緇衣》：「緇衣之蓆兮，敝，予又改作兮。」 |</v>
      </c>
    </row>
    <row r="8883" spans="1:44" hidden="1">
      <c r="A8883" s="1" t="s">
        <v>16227</v>
      </c>
      <c r="C8883" s="1">
        <v>1</v>
      </c>
      <c r="D8883" s="1" t="str">
        <f>"06809"</f>
        <v>06809</v>
      </c>
      <c r="E8883" s="1" t="s">
        <v>250</v>
      </c>
      <c r="F8883" s="1">
        <v>10</v>
      </c>
      <c r="G8883" s="1">
        <v>6</v>
      </c>
      <c r="H8883" s="1">
        <v>0</v>
      </c>
      <c r="I8883" s="1" t="s">
        <v>16214</v>
      </c>
      <c r="K8883" s="1" t="str">
        <f t="shared" si="559"/>
        <v>ㄒ</v>
      </c>
      <c r="L8883" s="1" t="str">
        <f t="shared" si="560"/>
        <v>ㄧ</v>
      </c>
      <c r="N8883" s="3" t="s">
        <v>30575</v>
      </c>
      <c r="O8883" s="3"/>
      <c r="P8883" s="1" t="s">
        <v>20</v>
      </c>
      <c r="R8883" s="1" t="s">
        <v>16215</v>
      </c>
      <c r="V8883" s="1" t="s">
        <v>16228</v>
      </c>
      <c r="AR8883" s="1" t="str">
        <f t="shared" si="558"/>
        <v>| [ㄒㄧˊ](ㄒㄧˊ.md) | [息](息.md) |  | xí | [名]
1.呼吸時出入的氣。如：「窒息」、「奄奄一息」、「一息尚存」。《聊齋志異．卷七．青娥》：「略聞香息，心願竊慰。」
2.子女、兒子。如：「子息」。《戰國策．趙策四》：「老臣賤息舒祺，最少，不肖。」《聊齋志異．卷二．嬰寧》：「弱息僅存，亦為庶產。」
3.利錢。如：「利息」、「月息」、「年息」。《史記．卷七五．孟嘗君傳》：「貧不能與息者，取其券而燒之。」
4.音訊、音信。如：「消息」、「信息」。
5.贅肉。通「瘜」。《黃帝素問靈樞經．卷一．邪氣藏府病形篇》：「若鼻息肉不通，緩甚為多汗，微緩為痿瘻偏風。」
6.姓。如明代有息隆泰。
[動]
1.呼吸、喘氣。《漢書．卷五四．蘇建傳》：「武氣絕，半日復息。」
2.休憩、放鬆身心。如：「歇息」、「休息」。《孟子．梁惠王下》：「飢者弗食，勞者弗息。」
3.停止、消失。如：「止息」、「息怒」、「川流不息」。《漢書．卷四八．賈誼傳》：「百姓素樸，獄訟衰息。」
4.繁殖、滋長。《荀子．大略》：「有國之君，不息牛羊。」《戰國策．齊策四》：「振困窮，補不足，是助王息其民者也。」 |</v>
      </c>
    </row>
    <row r="8884" spans="1:44" hidden="1">
      <c r="A8884" s="1" t="s">
        <v>16229</v>
      </c>
      <c r="C8884" s="1">
        <v>1</v>
      </c>
      <c r="D8884" s="1" t="str">
        <f>"06810"</f>
        <v>06810</v>
      </c>
      <c r="E8884" s="1" t="s">
        <v>534</v>
      </c>
      <c r="F8884" s="1">
        <v>13</v>
      </c>
      <c r="G8884" s="1">
        <v>10</v>
      </c>
      <c r="H8884" s="1">
        <v>0</v>
      </c>
      <c r="I8884" s="1" t="s">
        <v>16214</v>
      </c>
      <c r="K8884" s="1" t="str">
        <f t="shared" si="559"/>
        <v>ㄒ</v>
      </c>
      <c r="L8884" s="1" t="str">
        <f t="shared" si="560"/>
        <v>ㄧ</v>
      </c>
      <c r="N8884" s="3" t="s">
        <v>30575</v>
      </c>
      <c r="O8884" s="3"/>
      <c r="P8884" s="1" t="s">
        <v>20</v>
      </c>
      <c r="R8884" s="1" t="s">
        <v>16215</v>
      </c>
      <c r="V8884" s="1" t="s">
        <v>16230</v>
      </c>
      <c r="AR8884" s="1" t="str">
        <f t="shared" si="558"/>
        <v>| [ㄒㄧˊ](ㄒㄧˊ.md) | [媳](媳.md) |  | xí | [名]
稱謂：(1)稱兒子的妻子。《字彙．女部》：「媳，俗謂子婦為媳。」如：「婆媳」。(2)泛稱弟弟或晚輩的妻子。如：「孫媳」、「姪媳」、「弟媳」。 |</v>
      </c>
    </row>
    <row r="8885" spans="1:44" hidden="1">
      <c r="A8885" s="1" t="s">
        <v>16231</v>
      </c>
      <c r="C8885" s="1">
        <v>1</v>
      </c>
      <c r="D8885" s="1" t="str">
        <f>"06811"</f>
        <v>06811</v>
      </c>
      <c r="E8885" s="1" t="s">
        <v>336</v>
      </c>
      <c r="F8885" s="1">
        <v>14</v>
      </c>
      <c r="G8885" s="1">
        <v>10</v>
      </c>
      <c r="H8885" s="1">
        <v>0</v>
      </c>
      <c r="I8885" s="1" t="s">
        <v>16214</v>
      </c>
      <c r="K8885" s="1" t="str">
        <f t="shared" si="559"/>
        <v>ㄒ</v>
      </c>
      <c r="L8885" s="1" t="str">
        <f t="shared" si="560"/>
        <v>ㄧ</v>
      </c>
      <c r="N8885" s="3" t="s">
        <v>30575</v>
      </c>
      <c r="O8885" s="3"/>
      <c r="P8885" s="1" t="s">
        <v>20</v>
      </c>
      <c r="R8885" s="1" t="s">
        <v>16215</v>
      </c>
      <c r="V8885" s="1" t="s">
        <v>16232</v>
      </c>
      <c r="AR8885" s="1" t="str">
        <f t="shared" si="558"/>
        <v>| [ㄒㄧˊ](ㄒㄧˊ.md) | [熄](熄.md) |  | xí | [動]
1.火滅。如：「熄燈」、「熄火」、「把菸蒂熄滅」。《孟子．告子上》：「猶以一杯水救一車薪之火也，不熄，則謂水不勝火。」
2.消亡。《孟子．離婁下》：「王者之跡熄而詩亡，詩亡然後春秋作。」 |</v>
      </c>
    </row>
    <row r="8886" spans="1:44" hidden="1">
      <c r="A8886" s="1" t="s">
        <v>16233</v>
      </c>
      <c r="C8886" s="1">
        <v>1</v>
      </c>
      <c r="D8886" s="1" t="str">
        <f>"06812"</f>
        <v>06812</v>
      </c>
      <c r="E8886" s="1" t="s">
        <v>55</v>
      </c>
      <c r="F8886" s="1">
        <v>18</v>
      </c>
      <c r="G8886" s="1">
        <v>10</v>
      </c>
      <c r="H8886" s="1">
        <v>0</v>
      </c>
      <c r="I8886" s="1" t="s">
        <v>16214</v>
      </c>
      <c r="K8886" s="1" t="str">
        <f t="shared" si="559"/>
        <v>ㄒ</v>
      </c>
      <c r="L8886" s="1" t="str">
        <f t="shared" si="560"/>
        <v>ㄧ</v>
      </c>
      <c r="N8886" s="3" t="s">
        <v>30575</v>
      </c>
      <c r="O8886" s="3"/>
      <c r="P8886" s="1" t="s">
        <v>20</v>
      </c>
      <c r="R8886" s="1" t="s">
        <v>16215</v>
      </c>
      <c r="V8886" s="1" t="s">
        <v>16234</v>
      </c>
      <c r="AR8886" s="1" t="str">
        <f t="shared" si="558"/>
        <v>| [ㄒㄧˊ](ㄒㄧˊ.md) | [鎴](鎴.md) |  | xí | [名]
化學元素。鍶的舊譯。 |</v>
      </c>
    </row>
    <row r="8887" spans="1:44" hidden="1">
      <c r="A8887" s="1" t="s">
        <v>16235</v>
      </c>
      <c r="C8887" s="1">
        <v>1</v>
      </c>
      <c r="D8887" s="1" t="str">
        <f>"06813"</f>
        <v>06813</v>
      </c>
      <c r="E8887" s="1" t="s">
        <v>2271</v>
      </c>
      <c r="F8887" s="1">
        <v>11</v>
      </c>
      <c r="G8887" s="1">
        <v>5</v>
      </c>
      <c r="H8887" s="1">
        <v>0</v>
      </c>
      <c r="I8887" s="1" t="s">
        <v>16214</v>
      </c>
      <c r="K8887" s="1" t="str">
        <f t="shared" si="559"/>
        <v>ㄒ</v>
      </c>
      <c r="L8887" s="1" t="str">
        <f t="shared" si="560"/>
        <v>ㄧ</v>
      </c>
      <c r="N8887" s="3" t="s">
        <v>30575</v>
      </c>
      <c r="O8887" s="3"/>
      <c r="P8887" s="1" t="s">
        <v>20</v>
      </c>
      <c r="R8887" s="1" t="s">
        <v>16215</v>
      </c>
      <c r="V8887" s="1" t="s">
        <v>16236</v>
      </c>
      <c r="AR8887" s="1" t="str">
        <f t="shared" si="558"/>
        <v>| [ㄒㄧˊ](ㄒㄧˊ.md) | [習](習.md) |  | xí | [動]
1.鳥類頻頻拍動翅膀試飛。《說文解字．習部》：「習，數飛也。」元．戴侗《六書故．卷一九．動物》：「習，鳥肄飛也。……引之則凡數數扇闔者，皆謂之習。」
2.反覆演練、鑽研。如：「溫習」、「研習」。《論語．學而》：「學而時習之，不亦說乎？」
3.熟悉，通曉。《戰國策．秦策五》：「嘗無師傅所教學，不習於誦。」《管子．正世》：「明於治亂之道，習於人事之終始者也。」
[名]
1.反覆拍動翅膀的動作。《禮記．月令》：「鷹乃學習，腐草為螢。」
2.積久養成的慣性行為。如：「舊習」、「惡習」、「積習難改」。《論語．陽貨》：「性相近也，習相遠也。」
3.親信、親狎的人。《禮記．月令》：「雖有貴戚近習，毋有不禁。」《後漢書．卷六．孝順帝等紀．贊曰》：「匪砥匪革，終淪嬖習。」
4.姓。如明代有習經。
[副]
時常、常常。《漢書．卷五六．董仲舒傳》：「習聞其號，未燭厥理。」《後漢書．卷六一．黃瓊傳》：「瓊隨父在臺閣，習見故事。」 |</v>
      </c>
    </row>
    <row r="8888" spans="1:44" hidden="1">
      <c r="A8888" s="1" t="s">
        <v>16237</v>
      </c>
      <c r="C8888" s="1">
        <v>1</v>
      </c>
      <c r="D8888" s="1" t="str">
        <f>"06814"</f>
        <v>06814</v>
      </c>
      <c r="E8888" s="1" t="s">
        <v>190</v>
      </c>
      <c r="F8888" s="1">
        <v>14</v>
      </c>
      <c r="G8888" s="1">
        <v>11</v>
      </c>
      <c r="H8888" s="1">
        <v>0</v>
      </c>
      <c r="I8888" s="1" t="s">
        <v>16214</v>
      </c>
      <c r="K8888" s="1" t="str">
        <f t="shared" si="559"/>
        <v>ㄒ</v>
      </c>
      <c r="L8888" s="1" t="str">
        <f t="shared" si="560"/>
        <v>ㄧ</v>
      </c>
      <c r="N8888" s="3" t="s">
        <v>30575</v>
      </c>
      <c r="O8888" s="3"/>
      <c r="P8888" s="1" t="s">
        <v>20</v>
      </c>
      <c r="R8888" s="1" t="s">
        <v>16215</v>
      </c>
      <c r="V8888" s="1" t="s">
        <v>16238</v>
      </c>
      <c r="AR8888" s="1" t="str">
        <f t="shared" si="558"/>
        <v>| [ㄒㄧˊ](ㄒㄧˊ.md) | [嶍](嶍.md) |  | xí | 參見「嶍峨」條。 |</v>
      </c>
    </row>
    <row r="8889" spans="1:44" hidden="1">
      <c r="A8889" s="1" t="s">
        <v>5361</v>
      </c>
      <c r="C8889" s="1">
        <v>1</v>
      </c>
      <c r="D8889" s="1" t="str">
        <f>"06815"</f>
        <v>06815</v>
      </c>
      <c r="E8889" s="1" t="s">
        <v>340</v>
      </c>
      <c r="F8889" s="1">
        <v>17</v>
      </c>
      <c r="G8889" s="1">
        <v>11</v>
      </c>
      <c r="H8889" s="1">
        <v>4</v>
      </c>
      <c r="I8889" s="1" t="s">
        <v>16214</v>
      </c>
      <c r="K8889" s="1" t="str">
        <f t="shared" si="559"/>
        <v>ㄒ</v>
      </c>
      <c r="L8889" s="1" t="str">
        <f t="shared" si="560"/>
        <v>ㄧ</v>
      </c>
      <c r="N8889" s="3" t="s">
        <v>30575</v>
      </c>
      <c r="O8889" s="3"/>
      <c r="P8889" s="1" t="s">
        <v>110</v>
      </c>
      <c r="R8889" s="1" t="s">
        <v>16215</v>
      </c>
      <c r="V8889" s="1" t="s">
        <v>1633</v>
      </c>
      <c r="W8889" s="1" t="s">
        <v>16239</v>
      </c>
      <c r="AR8889" s="1" t="str">
        <f t="shared" si="558"/>
        <v>| [ㄒㄧˊ](ㄒㄧˊ.md) | [褶](褶.md) |  | xí | (二)之又音。 |</v>
      </c>
    </row>
    <row r="8890" spans="1:44" hidden="1">
      <c r="A8890" s="1" t="s">
        <v>16240</v>
      </c>
      <c r="C8890" s="1">
        <v>1</v>
      </c>
      <c r="D8890" s="1" t="str">
        <f>"06816"</f>
        <v>06816</v>
      </c>
      <c r="E8890" s="1" t="s">
        <v>331</v>
      </c>
      <c r="F8890" s="1">
        <v>18</v>
      </c>
      <c r="G8890" s="1">
        <v>11</v>
      </c>
      <c r="H8890" s="1">
        <v>0</v>
      </c>
      <c r="I8890" s="1" t="s">
        <v>16214</v>
      </c>
      <c r="K8890" s="1" t="str">
        <f t="shared" si="559"/>
        <v>ㄒ</v>
      </c>
      <c r="L8890" s="1" t="str">
        <f t="shared" si="560"/>
        <v>ㄧ</v>
      </c>
      <c r="N8890" s="3" t="s">
        <v>30575</v>
      </c>
      <c r="O8890" s="3"/>
      <c r="P8890" s="1" t="s">
        <v>20</v>
      </c>
      <c r="R8890" s="1" t="s">
        <v>16215</v>
      </c>
      <c r="V8890" s="1" t="s">
        <v>16241</v>
      </c>
      <c r="AR8890" s="1" t="str">
        <f t="shared" si="558"/>
        <v>| [ㄒㄧˊ](ㄒㄧˊ.md) | [謵](謵.md) |  | xí | [動]
1.用言辭威嚇，使人恐懼。《說文解字．言部》：「謵，言謵讋也。」
2.責備。《莊子．庚桑楚》：「夫復謵不餽而忘人，忘人，因以為天人矣。」 |</v>
      </c>
    </row>
    <row r="8891" spans="1:44" hidden="1">
      <c r="A8891" s="1" t="s">
        <v>16242</v>
      </c>
      <c r="C8891" s="1">
        <v>1</v>
      </c>
      <c r="D8891" s="1" t="str">
        <f>"06817"</f>
        <v>06817</v>
      </c>
      <c r="E8891" s="1" t="s">
        <v>1161</v>
      </c>
      <c r="F8891" s="1">
        <v>20</v>
      </c>
      <c r="G8891" s="1">
        <v>11</v>
      </c>
      <c r="H8891" s="1">
        <v>0</v>
      </c>
      <c r="I8891" s="1" t="s">
        <v>16214</v>
      </c>
      <c r="K8891" s="1" t="str">
        <f t="shared" si="559"/>
        <v>ㄒ</v>
      </c>
      <c r="L8891" s="1" t="str">
        <f t="shared" si="560"/>
        <v>ㄧ</v>
      </c>
      <c r="N8891" s="3" t="s">
        <v>30575</v>
      </c>
      <c r="O8891" s="3"/>
      <c r="P8891" s="1" t="s">
        <v>20</v>
      </c>
      <c r="R8891" s="1" t="s">
        <v>16215</v>
      </c>
      <c r="V8891" s="1" t="s">
        <v>16243</v>
      </c>
      <c r="AR8891" s="1" t="str">
        <f t="shared" si="558"/>
        <v>| [ㄒㄧˊ](ㄒㄧˊ.md) | [飁](飁.md) |  | xí | 參見「颯飁」條。 |</v>
      </c>
    </row>
    <row r="8892" spans="1:44" hidden="1">
      <c r="A8892" s="1" t="s">
        <v>16244</v>
      </c>
      <c r="C8892" s="1">
        <v>1</v>
      </c>
      <c r="D8892" s="1" t="str">
        <f>"06818"</f>
        <v>06818</v>
      </c>
      <c r="E8892" s="1" t="s">
        <v>156</v>
      </c>
      <c r="F8892" s="1">
        <v>22</v>
      </c>
      <c r="G8892" s="1">
        <v>11</v>
      </c>
      <c r="H8892" s="1">
        <v>0</v>
      </c>
      <c r="I8892" s="1" t="s">
        <v>16214</v>
      </c>
      <c r="K8892" s="1" t="str">
        <f t="shared" si="559"/>
        <v>ㄒ</v>
      </c>
      <c r="L8892" s="1" t="str">
        <f t="shared" si="560"/>
        <v>ㄧ</v>
      </c>
      <c r="N8892" s="3" t="s">
        <v>30575</v>
      </c>
      <c r="O8892" s="3"/>
      <c r="P8892" s="1" t="s">
        <v>20</v>
      </c>
      <c r="R8892" s="1" t="s">
        <v>16215</v>
      </c>
      <c r="V8892" s="1" t="s">
        <v>16245</v>
      </c>
      <c r="AR8892" s="1" t="str">
        <f t="shared" si="558"/>
        <v>| [ㄒㄧˊ](ㄒㄧˊ.md) | [鰼](鰼.md) |  | xí | [名]
泥鰍。《爾雅．釋魚》：「鰼，鰍。」晉．郭璞．注：「今泥鰍。」 |</v>
      </c>
    </row>
    <row r="8893" spans="1:44" hidden="1">
      <c r="A8893" s="1" t="s">
        <v>6476</v>
      </c>
      <c r="C8893" s="1">
        <v>1</v>
      </c>
      <c r="D8893" s="1" t="str">
        <f>"06819"</f>
        <v>06819</v>
      </c>
      <c r="E8893" s="1" t="s">
        <v>340</v>
      </c>
      <c r="F8893" s="1">
        <v>14</v>
      </c>
      <c r="G8893" s="1">
        <v>8</v>
      </c>
      <c r="H8893" s="1">
        <v>2</v>
      </c>
      <c r="I8893" s="1" t="s">
        <v>16214</v>
      </c>
      <c r="K8893" s="1" t="str">
        <f t="shared" si="559"/>
        <v>ㄒ</v>
      </c>
      <c r="L8893" s="1" t="str">
        <f t="shared" si="560"/>
        <v>ㄧ</v>
      </c>
      <c r="N8893" s="3" t="s">
        <v>30575</v>
      </c>
      <c r="O8893" s="3"/>
      <c r="P8893" s="1" t="s">
        <v>20</v>
      </c>
      <c r="R8893" s="1" t="s">
        <v>16215</v>
      </c>
      <c r="V8893" s="1" t="s">
        <v>16246</v>
      </c>
      <c r="W8893" s="1" t="s">
        <v>16247</v>
      </c>
      <c r="AR8893" s="1" t="str">
        <f t="shared" si="558"/>
        <v>| [ㄒㄧˊ](ㄒㄧˊ.md) | [裼](裼.md) |  | xí | [名]
古代加在皮裘外面的長衣，相當於現在的披風。《孟子．公孫丑上》：「雖袒裼裸裎於我側，爾焉能浼我哉！」
[動]
1.穿上長衣。《禮記．玉藻》：「不文飾也，不裼。」
2.袒露，脫去上衣露出身體。《史記．卷七〇．張儀傳》：「秦人捐甲，徒裼以趨敵。」唐．司馬貞．索隱：「裼，袒也。謂袒而見肉也。」 |</v>
      </c>
    </row>
    <row r="8894" spans="1:44" hidden="1">
      <c r="A8894" s="1" t="s">
        <v>16248</v>
      </c>
      <c r="C8894" s="1">
        <v>1</v>
      </c>
      <c r="D8894" s="1" t="str">
        <f>"06820"</f>
        <v>06820</v>
      </c>
      <c r="E8894" s="1" t="s">
        <v>55</v>
      </c>
      <c r="F8894" s="1">
        <v>16</v>
      </c>
      <c r="G8894" s="1">
        <v>8</v>
      </c>
      <c r="H8894" s="1">
        <v>0</v>
      </c>
      <c r="I8894" s="1" t="s">
        <v>16214</v>
      </c>
      <c r="K8894" s="1" t="str">
        <f t="shared" si="559"/>
        <v>ㄒ</v>
      </c>
      <c r="L8894" s="1" t="str">
        <f t="shared" si="560"/>
        <v>ㄧ</v>
      </c>
      <c r="N8894" s="3" t="s">
        <v>30575</v>
      </c>
      <c r="O8894" s="3"/>
      <c r="P8894" s="1" t="s">
        <v>20</v>
      </c>
      <c r="R8894" s="1" t="s">
        <v>16215</v>
      </c>
      <c r="V8894" s="1" t="s">
        <v>16249</v>
      </c>
      <c r="AR8894" s="1" t="str">
        <f t="shared" si="558"/>
        <v>| [ㄒㄧˊ](ㄒㄧˊ.md) | [錫](錫.md) |  | xí | [名]
1.（tin，Sn）化學元素。原子序50。色白似銀，富延展性，質地軟但較鉛堅韌。在空氣中不易氧化，能溶於酸或熱的氫氧化鉀溶液，但不溶於水。常用來焊接、鍍鐵與製造合金。
2.細布。通「緆」。《列子．周穆王》：「衣阿錫，曳齊紈。」晉．左思〈嬌女詩〉：「脂膩漫白袖，煙薰染阿錫。」
3.和尚所用錫杖的簡稱。北周．庾信〈秦州天水郡麥積崖佛龕銘．序〉：「是以飛錫遙來，度杯遠至。」唐．李中〈送紹明上人之毘陵〉詩：「聽蟬離古寺，攜錫上扁舟。」
4.姓。如漢代有錫光。
[動]
賜與、賜給。通「賜」。《書經．仲虺之誥》：「天乃錫王勇智，表正萬邦。」《左傳．隱公元年》：「孝子不匱，永錫爾類。」
[形]
錫製的。如：「錫壺」、「錫罐」。 |</v>
      </c>
    </row>
    <row r="8895" spans="1:44" hidden="1">
      <c r="A8895" s="1" t="s">
        <v>16250</v>
      </c>
      <c r="C8895" s="1">
        <v>1</v>
      </c>
      <c r="D8895" s="1" t="str">
        <f>"06821"</f>
        <v>06821</v>
      </c>
      <c r="E8895" s="1" t="s">
        <v>2233</v>
      </c>
      <c r="F8895" s="1">
        <v>14</v>
      </c>
      <c r="G8895" s="1">
        <v>7</v>
      </c>
      <c r="H8895" s="1">
        <v>0</v>
      </c>
      <c r="I8895" s="1" t="s">
        <v>16214</v>
      </c>
      <c r="K8895" s="1" t="str">
        <f t="shared" si="559"/>
        <v>ㄒ</v>
      </c>
      <c r="L8895" s="1" t="str">
        <f t="shared" si="560"/>
        <v>ㄧ</v>
      </c>
      <c r="N8895" s="3" t="s">
        <v>30575</v>
      </c>
      <c r="O8895" s="3"/>
      <c r="P8895" s="1" t="s">
        <v>20</v>
      </c>
      <c r="R8895" s="1" t="s">
        <v>16215</v>
      </c>
      <c r="V8895" s="1" t="s">
        <v>16251</v>
      </c>
      <c r="AR8895" s="1" t="str">
        <f t="shared" si="558"/>
        <v>| [ㄒㄧˊ](ㄒㄧˊ.md) | [覡](覡.md) |  | xí | [名]
替人向鬼神祝禱的男巫。《說文解字．巫部》：「能齋肅事神明者，在男曰覡，在女曰巫。」《後漢書．卷五九．張衡傳》：「或察龜策之占、巫覡之言。」 |</v>
      </c>
    </row>
    <row r="8896" spans="1:44" hidden="1">
      <c r="A8896" s="1" t="s">
        <v>16252</v>
      </c>
      <c r="C8896" s="1">
        <v>1</v>
      </c>
      <c r="D8896" s="1" t="str">
        <f>"06822"</f>
        <v>06822</v>
      </c>
      <c r="E8896" s="1" t="s">
        <v>129</v>
      </c>
      <c r="F8896" s="1">
        <v>17</v>
      </c>
      <c r="G8896" s="1">
        <v>14</v>
      </c>
      <c r="H8896" s="1">
        <v>2</v>
      </c>
      <c r="I8896" s="1" t="s">
        <v>16214</v>
      </c>
      <c r="K8896" s="1" t="str">
        <f t="shared" si="559"/>
        <v>ㄒ</v>
      </c>
      <c r="L8896" s="1" t="str">
        <f t="shared" si="560"/>
        <v>ㄧ</v>
      </c>
      <c r="N8896" s="3" t="s">
        <v>30575</v>
      </c>
      <c r="O8896" s="3"/>
      <c r="P8896" s="1" t="s">
        <v>20</v>
      </c>
      <c r="R8896" s="1" t="s">
        <v>16215</v>
      </c>
      <c r="V8896" s="1" t="s">
        <v>16253</v>
      </c>
      <c r="W8896" s="1" t="s">
        <v>16254</v>
      </c>
      <c r="AR8896" s="1" t="str">
        <f t="shared" si="558"/>
        <v>| [ㄒㄧˊ](ㄒㄧˊ.md) | [濕](濕.md) |  | xí | [名]
低溼的地方。《集韻．入聲．緝韻》：「隰，《說文》：『坂下溼也。』或作濕。」 |</v>
      </c>
    </row>
    <row r="8897" spans="1:44" hidden="1">
      <c r="A8897" s="1" t="s">
        <v>16255</v>
      </c>
      <c r="C8897" s="1">
        <v>1</v>
      </c>
      <c r="D8897" s="1" t="str">
        <f>"06823"</f>
        <v>06823</v>
      </c>
      <c r="E8897" s="1" t="s">
        <v>691</v>
      </c>
      <c r="F8897" s="1">
        <v>17</v>
      </c>
      <c r="G8897" s="1">
        <v>14</v>
      </c>
      <c r="H8897" s="1">
        <v>0</v>
      </c>
      <c r="I8897" s="1" t="s">
        <v>16214</v>
      </c>
      <c r="K8897" s="1" t="str">
        <f t="shared" si="559"/>
        <v>ㄒ</v>
      </c>
      <c r="L8897" s="1" t="str">
        <f t="shared" si="560"/>
        <v>ㄧ</v>
      </c>
      <c r="N8897" s="3" t="s">
        <v>30575</v>
      </c>
      <c r="O8897" s="3"/>
      <c r="P8897" s="1" t="s">
        <v>20</v>
      </c>
      <c r="R8897" s="1" t="s">
        <v>16215</v>
      </c>
      <c r="V8897" s="1" t="s">
        <v>16256</v>
      </c>
      <c r="AR8897" s="1" t="str">
        <f t="shared" si="558"/>
        <v>| [ㄒㄧˊ](ㄒㄧˊ.md) | [隰](隰.md) |  | xí | [名]
1.低溼的地方。《說文解字．阜部》：「隰，阪下濕也。」《書經．禹貢》：「原隰厎績，至于豬野。」南朝宋．謝惠連〈雪賦〉：「眄隰則萬頃同縞，瞻山則千巖俱白。」
2.水邊。《左傳．桓公三年》：「曲沃武公伐翼，……，逐翼侯于汾隰。」
3.新開墾的土地。《詩經．周頌．載芟》：「千耦其耘，徂隰徂畛。」漢．鄭玄．箋：「隰謂新發田也。」
4.姓。如春秋時齊國有隰朋。 |</v>
      </c>
    </row>
    <row r="8898" spans="1:44" hidden="1">
      <c r="A8898" s="1" t="s">
        <v>16257</v>
      </c>
      <c r="C8898" s="1">
        <v>1</v>
      </c>
      <c r="D8898" s="1" t="str">
        <f>"06824"</f>
        <v>06824</v>
      </c>
      <c r="E8898" s="1" t="s">
        <v>139</v>
      </c>
      <c r="F8898" s="1">
        <v>17</v>
      </c>
      <c r="G8898" s="1">
        <v>13</v>
      </c>
      <c r="H8898" s="1">
        <v>0</v>
      </c>
      <c r="I8898" s="1" t="s">
        <v>16214</v>
      </c>
      <c r="K8898" s="1" t="str">
        <f t="shared" si="559"/>
        <v>ㄒ</v>
      </c>
      <c r="L8898" s="1" t="str">
        <f t="shared" si="560"/>
        <v>ㄧ</v>
      </c>
      <c r="N8898" s="3" t="s">
        <v>30575</v>
      </c>
      <c r="O8898" s="3"/>
      <c r="P8898" s="1" t="s">
        <v>20</v>
      </c>
      <c r="R8898" s="1" t="s">
        <v>16215</v>
      </c>
      <c r="V8898" s="1" t="s">
        <v>16258</v>
      </c>
      <c r="AR8898" s="1" t="str">
        <f t="shared" si="558"/>
        <v>| [ㄒㄧˊ](ㄒㄧˊ.md) | [檄](檄.md) |  | xí | [名]
古代用於徵召、聲討等的官方文書。《史記．卷九二．淮陰侯傳》：「今大王舉而東，三秦可傳檄而定也。」《文選．曹植．白馬篇》：「羽檄從北來，厲馬登高堤。」
[動]
用檄文飭令、告知等。《聊齋志異．卷一一．王者》：「於是急檄屬官，設法補解訖。」《儒林外史》第五回：「湯知縣把這情由細細寫了個稟帖，稟知按察司。按察司行文書檄了知縣去。」 |</v>
      </c>
    </row>
    <row r="8899" spans="1:44" hidden="1">
      <c r="A8899" s="1" t="s">
        <v>16259</v>
      </c>
      <c r="C8899" s="1">
        <v>1</v>
      </c>
      <c r="D8899" s="1" t="str">
        <f>"06825"</f>
        <v>06825</v>
      </c>
      <c r="E8899" s="1" t="s">
        <v>340</v>
      </c>
      <c r="F8899" s="1">
        <v>22</v>
      </c>
      <c r="G8899" s="1">
        <v>16</v>
      </c>
      <c r="H8899" s="1">
        <v>0</v>
      </c>
      <c r="I8899" s="1" t="s">
        <v>16214</v>
      </c>
      <c r="K8899" s="1" t="str">
        <f t="shared" si="559"/>
        <v>ㄒ</v>
      </c>
      <c r="L8899" s="1" t="str">
        <f t="shared" si="560"/>
        <v>ㄧ</v>
      </c>
      <c r="N8899" s="3" t="s">
        <v>30575</v>
      </c>
      <c r="O8899" s="3"/>
      <c r="P8899" s="1" t="s">
        <v>20</v>
      </c>
      <c r="R8899" s="1" t="s">
        <v>16215</v>
      </c>
      <c r="V8899" s="1" t="s">
        <v>16260</v>
      </c>
      <c r="AR8899" s="1" t="str">
        <f t="shared" ref="AR8899:AR8962" si="561">"| ["&amp;I8899&amp;"]("&amp;I8899&amp;".md) | ["&amp;A8899&amp;"]("&amp;A8899&amp;".md) | "&amp;" | "&amp;R8899&amp;" | "&amp;V8899&amp;" |"</f>
        <v>| [ㄒㄧˊ](ㄒㄧˊ.md) | [襲](襲.md) |  | xí | [名]
1.死者所穿的衣服，衣襟在左。《說文解字．衣部》：「襲，左衽袍。」
2.量詞。計算成套的衣服或被褥的單位。《史記．卷四三．趙世家》：「賜相國衣二襲。」《漢書．卷七．昭帝紀》：「有不幸者，賜衣被一襲。」
3.姓。如晉代有襲元之。
[動]
1.為死者穿衣服。漢．劉熙《釋名．釋喪制》：「衣尸曰襲。襲，匝也。以衣周匝，覆衣之也。」
2.加一件外衣。《禮記．內則》：「寒不敢襲，癢不敢搔。」
3.穿上。《文選．司馬相如．上林賦》：「襲朝服，乘法駕。」宋．蘇軾〈和陶歸去來兮辭〉：「豈襲裘而念葛，蓋得稱而喪微。」
4.重複、重疊。《左傳．哀公十年》：「吾卜於此起兵，事不再令，卜不襲吉。」《淮南子．氾論》：「此聖人所以重仁襲恩。」
5.因循。如：「沿襲」、「因襲」。《史記．卷二四．樂書》：「五帝三王，樂各殊名，示不相襲。」《文選．陸機．文賦》：「或襲故而彌新，或沿濁而更清。」
6.繼承、接受。如：「世襲」。《左傳．昭公二十八年》：「故襲天祿，子孫賴之。」
7.趁人不備而攻擊。如：「偷襲」、「侵襲」。《左傳．莊公二十九年》：「凡師有鐘鼓曰伐，無曰侵，輕曰襲。」
8.及至、撲向。如：「春風襲面」、「涼意襲人」。《楚辭．屈原．九歌．少司命》：「綠葉兮素枝，芳菲菲兮襲予。」
9.調和。《淮南子．天文》：「天地之襲精為陰陽。」漢．高誘．注：「襲，合也；精，氣也。」 |</v>
      </c>
    </row>
    <row r="8900" spans="1:44" hidden="1">
      <c r="A8900" s="1" t="s">
        <v>30544</v>
      </c>
      <c r="C8900" s="1">
        <v>1</v>
      </c>
      <c r="D8900" s="1" t="str">
        <f>"119060039"</f>
        <v>119060039</v>
      </c>
      <c r="E8900" s="1" t="s">
        <v>40</v>
      </c>
      <c r="F8900" s="1">
        <v>15</v>
      </c>
      <c r="G8900" s="1">
        <v>10</v>
      </c>
      <c r="H8900" s="1">
        <v>0</v>
      </c>
      <c r="I8900" s="1" t="s">
        <v>16214</v>
      </c>
      <c r="K8900" s="1" t="str">
        <f t="shared" si="559"/>
        <v>ㄒ</v>
      </c>
      <c r="L8900" s="1" t="str">
        <f t="shared" si="560"/>
        <v>ㄧ</v>
      </c>
      <c r="N8900" s="3" t="s">
        <v>30575</v>
      </c>
      <c r="O8900" s="3"/>
      <c r="P8900" s="1" t="s">
        <v>20</v>
      </c>
      <c r="R8900" s="1" t="s">
        <v>16215</v>
      </c>
      <c r="V8900" s="1" t="s">
        <v>30545</v>
      </c>
      <c r="AR8900" s="1" t="str">
        <f t="shared" si="561"/>
        <v>| [ㄒㄧˊ](ㄒㄧˊ.md) | [瘜](瘜.md) |  | xí | 一種因黏膜異常而形成的突起物。多發生在鼻腔或腸道內。病因不明，僅知有遺傳性和非遺傳性之分。段注本《說文解字．疒部》：「瘜，寄肉也。」清．段玉裁．注：「息肉即瘜肉。」 |</v>
      </c>
    </row>
    <row r="8901" spans="1:44" hidden="1">
      <c r="A8901" s="1" t="s">
        <v>16261</v>
      </c>
      <c r="C8901" s="1">
        <v>1</v>
      </c>
      <c r="D8901" s="1" t="str">
        <f>"06826"</f>
        <v>06826</v>
      </c>
      <c r="E8901" s="1" t="s">
        <v>129</v>
      </c>
      <c r="F8901" s="1">
        <v>9</v>
      </c>
      <c r="G8901" s="1">
        <v>6</v>
      </c>
      <c r="H8901" s="1">
        <v>2</v>
      </c>
      <c r="I8901" s="1" t="s">
        <v>16262</v>
      </c>
      <c r="K8901" s="1" t="str">
        <f t="shared" si="559"/>
        <v>ㄒ</v>
      </c>
      <c r="L8901" s="1" t="str">
        <f t="shared" si="560"/>
        <v>ㄧ</v>
      </c>
      <c r="N8901" s="3" t="s">
        <v>30576</v>
      </c>
      <c r="O8901" s="3"/>
      <c r="P8901" s="1" t="s">
        <v>20</v>
      </c>
      <c r="R8901" s="1" t="s">
        <v>16263</v>
      </c>
      <c r="V8901" s="1" t="s">
        <v>16264</v>
      </c>
      <c r="W8901" s="1" t="s">
        <v>16265</v>
      </c>
      <c r="AR8901" s="1" t="str">
        <f t="shared" si="561"/>
        <v>| [ㄒㄧˇ](ㄒㄧˇ.md) | [洒](洒.md) |  | xǐ | [動]
洗滌。同「洗」。《說文解字．水部》：「洒，滌也。」《孟子．梁惠王上》：「南辱於楚，寡人恥之，願比死者壹洒之。」 |</v>
      </c>
    </row>
    <row r="8902" spans="1:44" hidden="1">
      <c r="A8902" s="1" t="s">
        <v>16266</v>
      </c>
      <c r="C8902" s="1">
        <v>1</v>
      </c>
      <c r="D8902" s="1" t="str">
        <f>"06827"</f>
        <v>06827</v>
      </c>
      <c r="E8902" s="1" t="s">
        <v>129</v>
      </c>
      <c r="F8902" s="1">
        <v>9</v>
      </c>
      <c r="G8902" s="1">
        <v>6</v>
      </c>
      <c r="H8902" s="1">
        <v>1</v>
      </c>
      <c r="I8902" s="1" t="s">
        <v>16262</v>
      </c>
      <c r="K8902" s="1" t="str">
        <f t="shared" si="559"/>
        <v>ㄒ</v>
      </c>
      <c r="L8902" s="1" t="str">
        <f t="shared" si="560"/>
        <v>ㄧ</v>
      </c>
      <c r="N8902" s="3" t="s">
        <v>30576</v>
      </c>
      <c r="O8902" s="3"/>
      <c r="P8902" s="1" t="s">
        <v>20</v>
      </c>
      <c r="R8902" s="1" t="s">
        <v>16263</v>
      </c>
      <c r="V8902" s="1" t="s">
        <v>16267</v>
      </c>
      <c r="W8902" s="1" t="s">
        <v>16268</v>
      </c>
      <c r="AR8902" s="1" t="str">
        <f t="shared" si="561"/>
        <v>| [ㄒㄧˇ](ㄒㄧˇ.md) | [洗](洗.md) |  | xǐ | [動]_x000D_
1.以水或溶劑滌除汙穢、汙垢。如：「洗衣」、「洗碗」、「一貧如洗」。《詩經．大雅．行葦》：「或獻或酢，洗爵奠斝。」《西遊記》第四八回：「只見陳家老者，著兩個僮僕，掃開道路，又兩個送出熱湯洗面。」_x000D_
2.清除、洗雪。如：「洗罪」。《後漢書．卷六五．皇甫張段列傳．段熲》：「洗雪百年之逋負，以慰忠將之亡魂。」《宋史．卷四〇四．列傳．劉穎》：「就遷提刑，以洗冤澤物為任，間詣獄，察不應繫者縱遣之。」_x000D_
3.殺光、搶盡。《舊唐書．卷二〇〇下．列傳．黃巢》：「賊怒坊市百姓迎王師，乃下令洗城，丈夫丁壯，殺戮殆盡，流血成渠。」《三朝北盟會編．卷二四二．炎興下帙》：「朕兵未行，輒撓其後。雖匹夫匹婦不可留，即遣都舍音將兵萬人於大名，多與少盡洗之。」《三國演義》第六四回：「四更前後，走到歷城下，守門者只道姜敘兵回，大開門接入。超從城南門邊殺起，盡洗城中百姓。」_x000D_
4.把牌重新整理。《紅樓夢》第四七回：「賈母規矩是鴛鴦代洗牌，因和薛姨媽說笑，不見鴛鴦動手，賈母道：『你怎麼惱了，連牌也不替我洗？』」_x000D_
5.用藥水處理，使相片顯影。如：「洗照片」。_x000D_
6.透過手段，將非法、不正當的轉變成合法、正當的。如：「洗錢」、「黑道洗白」。_x000D_
[名]_x000D_
1.古代用以盛水的盥洗器具，似今日的臉盆。《儀禮．士冠禮》：「夙興設洗，直于東榮。」唐．柳宗元〈監祭使壁記〉：「樽、彞、罍、洗、俎豆、醆斝之器，必潔於壇堂之上。」_x000D_
2.用以清洗毛筆的器皿。明．高濂《遵生八牋．卷一五．燕閒清賞牋中．論文房器具．筆洗》：「今用作洗。玉有鉢盂洗、長方洗、玉環洗，或素或花，工巧擬古。」清．梁廷枏《海國四說．粵道貢國說．卷五．𠸄咭唎國一》：「大普洱茶團二，刮膘吉慶一架，青玉全枝葵花洗一，瑪瑙葵花碗一。」 |</v>
      </c>
    </row>
    <row r="8903" spans="1:44" hidden="1">
      <c r="A8903" s="1" t="s">
        <v>16269</v>
      </c>
      <c r="C8903" s="1">
        <v>1</v>
      </c>
      <c r="D8903" s="1" t="str">
        <f>"06828"</f>
        <v>06828</v>
      </c>
      <c r="E8903" s="1" t="s">
        <v>139</v>
      </c>
      <c r="F8903" s="1">
        <v>9</v>
      </c>
      <c r="G8903" s="1">
        <v>5</v>
      </c>
      <c r="H8903" s="1">
        <v>0</v>
      </c>
      <c r="I8903" s="1" t="s">
        <v>16262</v>
      </c>
      <c r="K8903" s="1" t="str">
        <f t="shared" si="559"/>
        <v>ㄒ</v>
      </c>
      <c r="L8903" s="1" t="str">
        <f t="shared" si="560"/>
        <v>ㄧ</v>
      </c>
      <c r="N8903" s="3" t="s">
        <v>30576</v>
      </c>
      <c r="O8903" s="3"/>
      <c r="P8903" s="1" t="s">
        <v>20</v>
      </c>
      <c r="R8903" s="1" t="s">
        <v>16263</v>
      </c>
      <c r="V8903" s="1" t="s">
        <v>16270</v>
      </c>
      <c r="AR8903" s="1" t="str">
        <f t="shared" si="561"/>
        <v>| [ㄒㄧˇ](ㄒㄧˇ.md) | [枲](枲.md) |  | xǐ | [名]
不結子實的大麻。其莖皮纖維可織夏布。清．朱駿聲《說文通訓定聲．頤部》：「枲，麻也。牡麻無實者，夏至開花，榮而不實，亦曰夏麻。」《文選．干寶．晉紀論晉武帝革命》：「未嘗知女工絲枲之業，中饋酒食之事也。」 |</v>
      </c>
    </row>
    <row r="8904" spans="1:44" hidden="1">
      <c r="A8904" s="1" t="s">
        <v>16271</v>
      </c>
      <c r="C8904" s="1">
        <v>1</v>
      </c>
      <c r="D8904" s="1" t="str">
        <f>"06829"</f>
        <v>06829</v>
      </c>
      <c r="E8904" s="1" t="s">
        <v>234</v>
      </c>
      <c r="F8904" s="1">
        <v>11</v>
      </c>
      <c r="G8904" s="1">
        <v>8</v>
      </c>
      <c r="H8904" s="1">
        <v>0</v>
      </c>
      <c r="I8904" s="1" t="s">
        <v>16262</v>
      </c>
      <c r="K8904" s="1" t="str">
        <f t="shared" si="559"/>
        <v>ㄒ</v>
      </c>
      <c r="L8904" s="1" t="str">
        <f t="shared" si="560"/>
        <v>ㄧ</v>
      </c>
      <c r="N8904" s="3" t="s">
        <v>30576</v>
      </c>
      <c r="O8904" s="3"/>
      <c r="P8904" s="1" t="s">
        <v>20</v>
      </c>
      <c r="R8904" s="1" t="s">
        <v>16263</v>
      </c>
      <c r="V8904" s="1" t="s">
        <v>16272</v>
      </c>
      <c r="AR8904" s="1" t="str">
        <f t="shared" si="561"/>
        <v>| [ㄒㄧˇ](ㄒㄧˇ.md) | [徙](徙.md) |  | xǐ | [動]
遷移、移轉。如：「遷徙」。《老子》第八〇章：「使民重死而不遠徙。」《史記．卷三．殷本紀》：「殷民咨胥皆怨，不欲徙。」 |</v>
      </c>
    </row>
    <row r="8905" spans="1:44" hidden="1">
      <c r="A8905" s="1" t="s">
        <v>16273</v>
      </c>
      <c r="C8905" s="1">
        <v>1</v>
      </c>
      <c r="D8905" s="1" t="str">
        <f>"06830"</f>
        <v>06830</v>
      </c>
      <c r="E8905" s="1" t="s">
        <v>871</v>
      </c>
      <c r="F8905" s="1">
        <v>14</v>
      </c>
      <c r="G8905" s="1">
        <v>11</v>
      </c>
      <c r="H8905" s="1">
        <v>0</v>
      </c>
      <c r="I8905" s="1" t="s">
        <v>16262</v>
      </c>
      <c r="K8905" s="1" t="str">
        <f t="shared" si="559"/>
        <v>ㄒ</v>
      </c>
      <c r="L8905" s="1" t="str">
        <f t="shared" si="560"/>
        <v>ㄧ</v>
      </c>
      <c r="N8905" s="3" t="s">
        <v>30576</v>
      </c>
      <c r="O8905" s="3"/>
      <c r="P8905" s="1" t="s">
        <v>20</v>
      </c>
      <c r="R8905" s="1" t="s">
        <v>16263</v>
      </c>
      <c r="V8905" s="1" t="s">
        <v>16274</v>
      </c>
      <c r="AR8905" s="1" t="str">
        <f t="shared" si="561"/>
        <v>| [ㄒㄧˇ](ㄒㄧˇ.md) | [屣](屣.md) |  | xǐ | [名]
鞋子。如：「敝屣」。南朝梁．蕭統〈陶淵明集序〉：「輕之若脫屣，視之若鴻毛。」
[動]
1.拖著鞋走路。《後漢書．卷五二．崔駰傳》：「駰由此候憲，憲屣履迎門。」唐．章懷太子．注：「屣履，謂納履曳之而行，言匆遽也。」
2.放下、拋棄。《文選．孔稚珪．北山移文》：「芥千金而不眄，屣萬乘其如脫。」 |</v>
      </c>
    </row>
    <row r="8906" spans="1:44" hidden="1">
      <c r="A8906" s="1" t="s">
        <v>16275</v>
      </c>
      <c r="C8906" s="1">
        <v>1</v>
      </c>
      <c r="D8906" s="1" t="str">
        <f>"06831"</f>
        <v>06831</v>
      </c>
      <c r="E8906" s="1" t="s">
        <v>37</v>
      </c>
      <c r="F8906" s="1">
        <v>15</v>
      </c>
      <c r="G8906" s="1">
        <v>11</v>
      </c>
      <c r="H8906" s="1">
        <v>0</v>
      </c>
      <c r="I8906" s="1" t="s">
        <v>16262</v>
      </c>
      <c r="K8906" s="1" t="str">
        <f t="shared" si="559"/>
        <v>ㄒ</v>
      </c>
      <c r="L8906" s="1" t="str">
        <f t="shared" si="560"/>
        <v>ㄧ</v>
      </c>
      <c r="N8906" s="3" t="s">
        <v>30576</v>
      </c>
      <c r="O8906" s="3"/>
      <c r="P8906" s="1" t="s">
        <v>20</v>
      </c>
      <c r="R8906" s="1" t="s">
        <v>16263</v>
      </c>
      <c r="V8906" s="1" t="s">
        <v>16276</v>
      </c>
      <c r="AR8906" s="1" t="str">
        <f t="shared" si="561"/>
        <v>| [ㄒㄧˇ](ㄒㄧˇ.md) | [蓰](蓰.md) |  | xǐ | [名]
1.古書上的一種草。《集韻．上聲．紙韻》：「蓰，艸名。」
2.五倍。《集韻．上聲．紙韻》：「五倍曰蓰。」《孟子．滕文公上》：「或相倍蓰，或相什佰。」 |</v>
      </c>
    </row>
    <row r="8907" spans="1:44" hidden="1">
      <c r="A8907" s="1" t="s">
        <v>16277</v>
      </c>
      <c r="C8907" s="1">
        <v>1</v>
      </c>
      <c r="D8907" s="1" t="str">
        <f>"06832"</f>
        <v>06832</v>
      </c>
      <c r="E8907" s="1" t="s">
        <v>77</v>
      </c>
      <c r="F8907" s="1">
        <v>18</v>
      </c>
      <c r="G8907" s="1">
        <v>11</v>
      </c>
      <c r="H8907" s="1">
        <v>0</v>
      </c>
      <c r="I8907" s="1" t="s">
        <v>16262</v>
      </c>
      <c r="K8907" s="1" t="str">
        <f t="shared" si="559"/>
        <v>ㄒ</v>
      </c>
      <c r="L8907" s="1" t="str">
        <f t="shared" si="560"/>
        <v>ㄧ</v>
      </c>
      <c r="N8907" s="3" t="s">
        <v>30576</v>
      </c>
      <c r="O8907" s="3"/>
      <c r="P8907" s="1" t="s">
        <v>20</v>
      </c>
      <c r="R8907" s="1" t="s">
        <v>16263</v>
      </c>
      <c r="V8907" s="1" t="s">
        <v>16278</v>
      </c>
      <c r="AR8907" s="1" t="str">
        <f t="shared" si="561"/>
        <v>| [ㄒㄧˇ](ㄒㄧˇ.md) | [蹝](蹝.md) |  | xǐ | [名]
草鞋。《孟子．盡心上》：「舜視棄天下，猶棄敝蹝也。」
[動]
踩、踏。《文選．司馬相如．長門賦》：「舒息悒而增欷兮，蹝履起而彷徨。」 |</v>
      </c>
    </row>
    <row r="8908" spans="1:44" hidden="1">
      <c r="A8908" s="1" t="s">
        <v>16279</v>
      </c>
      <c r="C8908" s="1">
        <v>1</v>
      </c>
      <c r="D8908" s="1" t="str">
        <f>"06833"</f>
        <v>06833</v>
      </c>
      <c r="E8908" s="1" t="s">
        <v>28</v>
      </c>
      <c r="F8908" s="1">
        <v>12</v>
      </c>
      <c r="G8908" s="1">
        <v>9</v>
      </c>
      <c r="H8908" s="1">
        <v>0</v>
      </c>
      <c r="I8908" s="1" t="s">
        <v>16262</v>
      </c>
      <c r="K8908" s="1" t="str">
        <f t="shared" si="559"/>
        <v>ㄒ</v>
      </c>
      <c r="L8908" s="1" t="str">
        <f t="shared" si="560"/>
        <v>ㄧ</v>
      </c>
      <c r="N8908" s="3" t="s">
        <v>30576</v>
      </c>
      <c r="O8908" s="3"/>
      <c r="P8908" s="1" t="s">
        <v>20</v>
      </c>
      <c r="R8908" s="1" t="s">
        <v>16263</v>
      </c>
      <c r="V8908" s="1" t="s">
        <v>16280</v>
      </c>
      <c r="AR8908" s="1" t="str">
        <f t="shared" si="561"/>
        <v>| [ㄒㄧˇ](ㄒㄧˇ.md) | [喜](喜.md) |  | xǐ | [動]
1.愛好。如：「喜愛」、「好大喜功」、「喜出望外」。《史記．卷四七．孔子世家》：「孔子晚而喜易。」
2.感到歡樂。《詩經．小雅．菁菁》：「既見君子，我心則喜。」
[名]
1.吉祥的事。如：「道喜」、「賀喜」。《國語．魯語下》：「夫義人者，固慶其喜而弔其憂，況畏而服焉？」
2.稱婦人懷孕。如：「有喜」、「害喜」。《紅樓夢》第一〇回：「叫大夫瞧了，又說並不是喜。」
3.舊時稱小孩出痘子為「喜」。《紅樓夢》第二一回：「姐兒發熱，是見喜了，並非別病。」
4.姓。如元代有喜同。
[形]
1.高興的、快樂的。如：「欣喜」、「歡喜」、「喜訊」。
2.結婚的。如：「喜帖」、「喜宴」、「喜酒」、「喜餅」。 |</v>
      </c>
    </row>
    <row r="8909" spans="1:44" hidden="1">
      <c r="A8909" s="1" t="s">
        <v>16281</v>
      </c>
      <c r="C8909" s="1">
        <v>1</v>
      </c>
      <c r="D8909" s="1" t="str">
        <f>"06834"</f>
        <v>06834</v>
      </c>
      <c r="E8909" s="1" t="s">
        <v>250</v>
      </c>
      <c r="F8909" s="1">
        <v>16</v>
      </c>
      <c r="G8909" s="1">
        <v>12</v>
      </c>
      <c r="H8909" s="1">
        <v>0</v>
      </c>
      <c r="I8909" s="1" t="s">
        <v>16262</v>
      </c>
      <c r="K8909" s="1" t="str">
        <f t="shared" si="559"/>
        <v>ㄒ</v>
      </c>
      <c r="L8909" s="1" t="str">
        <f t="shared" si="560"/>
        <v>ㄧ</v>
      </c>
      <c r="N8909" s="3" t="s">
        <v>30576</v>
      </c>
      <c r="O8909" s="3"/>
      <c r="P8909" s="1" t="s">
        <v>20</v>
      </c>
      <c r="R8909" s="1" t="s">
        <v>16263</v>
      </c>
      <c r="V8909" s="1" t="s">
        <v>16282</v>
      </c>
      <c r="AR8909" s="1" t="str">
        <f t="shared" si="561"/>
        <v>| [ㄒㄧˇ](ㄒㄧˇ.md) | [憙](憙.md) |  | xǐ | [動]
喜好、愛好。《穀梁傳．桓公六年》：「陳侯憙獵，淫獵于蔡，與蔡人爭禽。」《樂府詩集．卷二八．相和歌辭三．古辭．陌上桑》：「羅敷憙蠶桑，採桑城南隅。」
[名]
自得其樂的感覺。宋．陸游〈開東園路北至山腳因治路傍隙地雜植花草〉詩六首之四：「今朝有憙誰能識，不用人扶亦自行。」 |</v>
      </c>
    </row>
    <row r="8910" spans="1:44" hidden="1">
      <c r="A8910" s="1" t="s">
        <v>16173</v>
      </c>
      <c r="C8910" s="1">
        <v>1</v>
      </c>
      <c r="D8910" s="1" t="str">
        <f>"06835"</f>
        <v>06835</v>
      </c>
      <c r="E8910" s="1" t="s">
        <v>825</v>
      </c>
      <c r="F8910" s="1">
        <v>17</v>
      </c>
      <c r="G8910" s="1">
        <v>12</v>
      </c>
      <c r="H8910" s="1">
        <v>2</v>
      </c>
      <c r="I8910" s="1" t="s">
        <v>16262</v>
      </c>
      <c r="K8910" s="1" t="str">
        <f t="shared" si="559"/>
        <v>ㄒ</v>
      </c>
      <c r="L8910" s="1" t="str">
        <f t="shared" si="560"/>
        <v>ㄧ</v>
      </c>
      <c r="N8910" s="3" t="s">
        <v>30576</v>
      </c>
      <c r="O8910" s="3"/>
      <c r="P8910" s="1" t="s">
        <v>110</v>
      </c>
      <c r="R8910" s="1" t="s">
        <v>16263</v>
      </c>
      <c r="V8910" s="1" t="s">
        <v>111</v>
      </c>
      <c r="W8910" s="1" t="s">
        <v>16283</v>
      </c>
      <c r="AR8910" s="1" t="str">
        <f t="shared" si="561"/>
        <v>| [ㄒㄧˇ](ㄒㄧˇ.md) | [禧](禧.md) |  | xǐ | (一)之又音。 |</v>
      </c>
    </row>
    <row r="8911" spans="1:44" hidden="1">
      <c r="A8911" s="1" t="s">
        <v>16284</v>
      </c>
      <c r="C8911" s="1">
        <v>1</v>
      </c>
      <c r="D8911" s="1" t="str">
        <f>"06836"</f>
        <v>06836</v>
      </c>
      <c r="E8911" s="1" t="s">
        <v>679</v>
      </c>
      <c r="F8911" s="1">
        <v>18</v>
      </c>
      <c r="G8911" s="1">
        <v>12</v>
      </c>
      <c r="H8911" s="1">
        <v>0</v>
      </c>
      <c r="I8911" s="1" t="s">
        <v>16262</v>
      </c>
      <c r="K8911" s="1" t="str">
        <f t="shared" si="559"/>
        <v>ㄒ</v>
      </c>
      <c r="L8911" s="1" t="str">
        <f t="shared" si="560"/>
        <v>ㄧ</v>
      </c>
      <c r="N8911" s="3" t="s">
        <v>30576</v>
      </c>
      <c r="O8911" s="3"/>
      <c r="P8911" s="1" t="s">
        <v>20</v>
      </c>
      <c r="R8911" s="1" t="s">
        <v>16263</v>
      </c>
      <c r="V8911" s="1" t="s">
        <v>16285</v>
      </c>
      <c r="AR8911" s="1" t="str">
        <f t="shared" si="561"/>
        <v>| [ㄒㄧˇ](ㄒㄧˇ.md) | [蟢](蟢.md) |  | xǐ | [名]
動物名。蛛形綱蠨蛸科蠨蛸屬。體細長，暗褐色，螫肢長。常棲息於水邊草叢或樹間，結網成車輪狀。《集韻．上聲．止韻》：「蟢，蟢子，蟲名。蠨蛸也。」 |</v>
      </c>
    </row>
    <row r="8912" spans="1:44" hidden="1">
      <c r="A8912" s="1" t="s">
        <v>16286</v>
      </c>
      <c r="C8912" s="1">
        <v>1</v>
      </c>
      <c r="D8912" s="1" t="str">
        <f>"06837"</f>
        <v>06837</v>
      </c>
      <c r="E8912" s="1" t="s">
        <v>37</v>
      </c>
      <c r="F8912" s="1">
        <v>13</v>
      </c>
      <c r="G8912" s="1">
        <v>9</v>
      </c>
      <c r="H8912" s="1">
        <v>0</v>
      </c>
      <c r="I8912" s="1" t="s">
        <v>16262</v>
      </c>
      <c r="K8912" s="1" t="str">
        <f t="shared" si="559"/>
        <v>ㄒ</v>
      </c>
      <c r="L8912" s="1" t="str">
        <f t="shared" si="560"/>
        <v>ㄧ</v>
      </c>
      <c r="N8912" s="3" t="s">
        <v>30576</v>
      </c>
      <c r="O8912" s="3"/>
      <c r="P8912" s="1" t="s">
        <v>20</v>
      </c>
      <c r="R8912" s="1" t="s">
        <v>16263</v>
      </c>
      <c r="V8912" s="1" t="s">
        <v>16287</v>
      </c>
      <c r="AR8912" s="1" t="str">
        <f t="shared" si="561"/>
        <v>| [ㄒㄧˇ](ㄒㄧˇ.md) | [葸](葸.md) |  | xǐ | [動]
畏懼、退縮。《論語．泰伯》：「恭而無禮則勞，慎而無禮則葸。」
[形]
面無表情的樣子。《大戴禮記．曾子立事》：「人言善而色葸焉，近於不說其言。」 |</v>
      </c>
    </row>
    <row r="8913" spans="1:44" hidden="1">
      <c r="A8913" s="1" t="s">
        <v>16288</v>
      </c>
      <c r="C8913" s="1">
        <v>1</v>
      </c>
      <c r="D8913" s="1" t="str">
        <f>"06838"</f>
        <v>06838</v>
      </c>
      <c r="E8913" s="1" t="s">
        <v>331</v>
      </c>
      <c r="F8913" s="1">
        <v>16</v>
      </c>
      <c r="G8913" s="1">
        <v>9</v>
      </c>
      <c r="H8913" s="1">
        <v>0</v>
      </c>
      <c r="I8913" s="1" t="s">
        <v>16262</v>
      </c>
      <c r="K8913" s="1" t="str">
        <f t="shared" si="559"/>
        <v>ㄒ</v>
      </c>
      <c r="L8913" s="1" t="str">
        <f t="shared" si="560"/>
        <v>ㄧ</v>
      </c>
      <c r="N8913" s="3" t="s">
        <v>30576</v>
      </c>
      <c r="O8913" s="3"/>
      <c r="P8913" s="1" t="s">
        <v>20</v>
      </c>
      <c r="R8913" s="1" t="s">
        <v>16263</v>
      </c>
      <c r="V8913" s="1" t="s">
        <v>16289</v>
      </c>
      <c r="AR8913" s="1" t="str">
        <f t="shared" si="561"/>
        <v>| [ㄒㄧˇ](ㄒㄧˇ.md) | [諰](諰.md) |  | xǐ | 參見「諰諰」條。 |</v>
      </c>
    </row>
    <row r="8914" spans="1:44" hidden="1">
      <c r="A8914" s="1" t="s">
        <v>16290</v>
      </c>
      <c r="C8914" s="1">
        <v>1</v>
      </c>
      <c r="D8914" s="1" t="str">
        <f>"06839"</f>
        <v>06839</v>
      </c>
      <c r="E8914" s="1" t="s">
        <v>156</v>
      </c>
      <c r="F8914" s="1">
        <v>20</v>
      </c>
      <c r="G8914" s="1">
        <v>9</v>
      </c>
      <c r="H8914" s="1">
        <v>2</v>
      </c>
      <c r="I8914" s="1" t="s">
        <v>16262</v>
      </c>
      <c r="K8914" s="1" t="str">
        <f t="shared" si="559"/>
        <v>ㄒ</v>
      </c>
      <c r="L8914" s="1" t="str">
        <f t="shared" si="560"/>
        <v>ㄧ</v>
      </c>
      <c r="N8914" s="3" t="s">
        <v>30576</v>
      </c>
      <c r="O8914" s="3"/>
      <c r="P8914" s="1" t="s">
        <v>20</v>
      </c>
      <c r="R8914" s="1" t="s">
        <v>16263</v>
      </c>
      <c r="V8914" s="1" t="s">
        <v>16291</v>
      </c>
      <c r="W8914" s="1" t="s">
        <v>16292</v>
      </c>
      <c r="AR8914" s="1" t="str">
        <f t="shared" si="561"/>
        <v>| [ㄒㄧˇ](ㄒㄧˇ.md) | [鰓](鰓.md) |  | xǐ | 參見「鰓鰓」條。 |</v>
      </c>
    </row>
    <row r="8915" spans="1:44" hidden="1">
      <c r="A8915" s="1" t="s">
        <v>16293</v>
      </c>
      <c r="C8915" s="1">
        <v>1</v>
      </c>
      <c r="D8915" s="1" t="str">
        <f>"06840"</f>
        <v>06840</v>
      </c>
      <c r="E8915" s="1" t="s">
        <v>142</v>
      </c>
      <c r="F8915" s="1">
        <v>19</v>
      </c>
      <c r="G8915" s="1">
        <v>14</v>
      </c>
      <c r="H8915" s="1">
        <v>0</v>
      </c>
      <c r="I8915" s="1" t="s">
        <v>16262</v>
      </c>
      <c r="K8915" s="1" t="str">
        <f t="shared" si="559"/>
        <v>ㄒ</v>
      </c>
      <c r="L8915" s="1" t="str">
        <f t="shared" si="560"/>
        <v>ㄧ</v>
      </c>
      <c r="N8915" s="3" t="s">
        <v>30576</v>
      </c>
      <c r="O8915" s="3"/>
      <c r="P8915" s="1" t="s">
        <v>20</v>
      </c>
      <c r="R8915" s="1" t="s">
        <v>16263</v>
      </c>
      <c r="V8915" s="1" t="s">
        <v>16294</v>
      </c>
      <c r="AR8915" s="1" t="str">
        <f t="shared" si="561"/>
        <v>| [ㄒㄧˇ](ㄒㄧˇ.md) | [璽](璽.md) |  | xǐ | [名]
1.印信、印章。秦以前泛指諸侯、卿大夫、從吏的印章，秦以後則專指帝王的印章。如：「玉璽」。《韓非子．外儲說左下》：「願請璽復以治鄴。」《文選．張衡．西京賦》：「降尊就卑，懷璽藏紱。」
2.姓。如明代有璽書。 |</v>
      </c>
    </row>
    <row r="8916" spans="1:44" hidden="1">
      <c r="A8916" s="1" t="s">
        <v>16295</v>
      </c>
      <c r="C8916" s="1">
        <v>1</v>
      </c>
      <c r="D8916" s="1" t="str">
        <f>"06841"</f>
        <v>06841</v>
      </c>
      <c r="E8916" s="1" t="s">
        <v>77</v>
      </c>
      <c r="F8916" s="1">
        <v>26</v>
      </c>
      <c r="G8916" s="1">
        <v>19</v>
      </c>
      <c r="H8916" s="1">
        <v>0</v>
      </c>
      <c r="I8916" s="1" t="s">
        <v>16262</v>
      </c>
      <c r="K8916" s="1" t="str">
        <f t="shared" si="559"/>
        <v>ㄒ</v>
      </c>
      <c r="L8916" s="1" t="str">
        <f t="shared" si="560"/>
        <v>ㄧ</v>
      </c>
      <c r="N8916" s="3" t="s">
        <v>30576</v>
      </c>
      <c r="O8916" s="3"/>
      <c r="P8916" s="1" t="s">
        <v>20</v>
      </c>
      <c r="R8916" s="1" t="s">
        <v>16263</v>
      </c>
      <c r="V8916" s="1" t="s">
        <v>16296</v>
      </c>
      <c r="AR8916" s="1" t="str">
        <f t="shared" si="561"/>
        <v>| [ㄒㄧˇ](ㄒㄧˇ.md) | [躧](躧.md) |  | xǐ | [名]
1.舞鞋。《說文解字．足部》：「躧，舞履也。」
2.草鞋。《戰國策．燕策一》：「燕趙之棄齊也，猶釋敝躧。」漢．劉向《說苑．卷一四．至公》：「去天下若遺躧。」
3.沒有跟的鞋子。《漢書．卷二八．地理志下》：「女子彈弦跕躧。」唐．顏師古．注：「躧字與屣同。屣謂小履之無跟者也。」
[動]
1.拖著鞋走。同「屣」。《漢書．卷七一．雋不疑傳》：「勝之躧履起迎。」唐．顏師古．注：「躧謂納履未正，曳之而行。」
2.踩、踏。《水滸傳》第三二回：「看不見地下，躧了一條絆腳索。」《西遊記》第一七回：「我推倒了黑風山，躧平了黑風洞。」 |</v>
      </c>
    </row>
    <row r="8917" spans="1:44" hidden="1">
      <c r="A8917" s="1" t="s">
        <v>17322</v>
      </c>
      <c r="C8917" s="1">
        <v>1</v>
      </c>
      <c r="D8917" s="1" t="str">
        <f>"07302"</f>
        <v>07302</v>
      </c>
      <c r="E8917" s="1" t="s">
        <v>646</v>
      </c>
      <c r="F8917" s="1">
        <v>6</v>
      </c>
      <c r="G8917" s="1">
        <v>2</v>
      </c>
      <c r="H8917" s="1">
        <v>0</v>
      </c>
      <c r="I8917" s="1" t="s">
        <v>17323</v>
      </c>
      <c r="K8917" s="1" t="str">
        <f t="shared" si="559"/>
        <v>ㄒ</v>
      </c>
      <c r="L8917" s="1" t="str">
        <f t="shared" si="560"/>
        <v>ㄩ</v>
      </c>
      <c r="N8917" s="3" t="s">
        <v>30574</v>
      </c>
      <c r="O8917" s="3"/>
      <c r="P8917" s="1" t="s">
        <v>20</v>
      </c>
      <c r="R8917" s="1" t="s">
        <v>17324</v>
      </c>
      <c r="V8917" s="1" t="s">
        <v>17325</v>
      </c>
      <c r="AR8917" s="1" t="str">
        <f t="shared" si="561"/>
        <v>| [ㄒㄩˋ](ㄒㄩˋ.md) | [旭](旭.md) |  | xù | [形]
1.太陽剛升起的樣子。《說文解字．日部》：「旭，日旦出貌。」如：「旭日」、「旭光」。
2.日、月光亮的樣子。
[名]
剛升起的太陽。如：「朝旭」、「迎旭而舞」。 |</v>
      </c>
    </row>
    <row r="8918" spans="1:44" hidden="1">
      <c r="A8918" s="1" t="s">
        <v>17326</v>
      </c>
      <c r="C8918" s="1">
        <v>1</v>
      </c>
      <c r="D8918" s="1" t="str">
        <f>"07303"</f>
        <v>07303</v>
      </c>
      <c r="E8918" s="1" t="s">
        <v>447</v>
      </c>
      <c r="F8918" s="1">
        <v>7</v>
      </c>
      <c r="G8918" s="1">
        <v>4</v>
      </c>
      <c r="H8918" s="1">
        <v>0</v>
      </c>
      <c r="I8918" s="1" t="s">
        <v>17323</v>
      </c>
      <c r="K8918" s="1" t="str">
        <f t="shared" si="559"/>
        <v>ㄒ</v>
      </c>
      <c r="L8918" s="1" t="str">
        <f t="shared" si="560"/>
        <v>ㄩ</v>
      </c>
      <c r="N8918" s="3" t="s">
        <v>30574</v>
      </c>
      <c r="O8918" s="3"/>
      <c r="P8918" s="1" t="s">
        <v>20</v>
      </c>
      <c r="R8918" s="1" t="s">
        <v>17324</v>
      </c>
      <c r="V8918" s="1" t="s">
        <v>17327</v>
      </c>
      <c r="AR8918" s="1" t="str">
        <f t="shared" si="561"/>
        <v>| [ㄒㄩˋ](ㄒㄩˋ.md) | [序](序.md) |  | xù | [名]
1.廳堂的東西牆。《說文解字．广部》：「序，東西牆也。」《儀禮．士冠禮》：「主人玄端爵韠，立于阼階下，直東序西面。」
2.古代的學校名稱。如：「鄉序」。《孟子．梁惠王上》：「謹庠序之教，申之以孝悌之義。」
3.排列的次第。如：「順序」、「次序」。《儀禮．鄉飲酒禮》：「眾賓序升，即席。」《隋書．卷十三．音樂志上．序》：「樂失其序，則親疏亂。」
4.文體名：(1)通常放在正文前，概說、評述作品內容。南朝梁．劉勰《文心雕龍．詮賦》：「序以建言，首引情本。」(2)通常臨別贈言的文章稱為「序」，創始於唐。如韓愈有〈送孟東野序〉、〈送李愿歸盤谷序〉等。唐．韓愈〈送水陸運使韓侍御歸所治序〉：「聞其歸，皆相勉為詩以推大之，而屬余為序。」
5.季節。《文選．江淹．雜體詩．謝僕射》：「淒淒節序高，寥寥心悟永。」《紅樓夢》第八十七回：「（永）回憶海棠結社，序屬清秋。」
[形]
開頭的。如：「序曲」、「序幕」。 |</v>
      </c>
    </row>
    <row r="8919" spans="1:44" hidden="1">
      <c r="A8919" s="1" t="s">
        <v>17328</v>
      </c>
      <c r="C8919" s="1">
        <v>1</v>
      </c>
      <c r="D8919" s="1" t="str">
        <f>"07304"</f>
        <v>07304</v>
      </c>
      <c r="E8919" s="1" t="s">
        <v>37</v>
      </c>
      <c r="F8919" s="1">
        <v>8</v>
      </c>
      <c r="G8919" s="1">
        <v>4</v>
      </c>
      <c r="H8919" s="1">
        <v>1</v>
      </c>
      <c r="I8919" s="1" t="s">
        <v>17323</v>
      </c>
      <c r="K8919" s="1" t="str">
        <f t="shared" si="559"/>
        <v>ㄒ</v>
      </c>
      <c r="L8919" s="1" t="str">
        <f t="shared" si="560"/>
        <v>ㄩ</v>
      </c>
      <c r="N8919" s="3" t="s">
        <v>30574</v>
      </c>
      <c r="O8919" s="3"/>
      <c r="P8919" s="1" t="s">
        <v>20</v>
      </c>
      <c r="R8919" s="1" t="s">
        <v>17324</v>
      </c>
      <c r="V8919" s="1" t="s">
        <v>17329</v>
      </c>
      <c r="W8919" s="1" t="s">
        <v>17330</v>
      </c>
      <c r="AR8919" s="1" t="str">
        <f t="shared" si="561"/>
        <v>| [ㄒㄩˋ](ㄒㄩˋ.md) | [芧](芧.md) |  | xù | 參見「芧栗」條。 |</v>
      </c>
    </row>
    <row r="8920" spans="1:44" hidden="1">
      <c r="A8920" s="1" t="s">
        <v>17331</v>
      </c>
      <c r="C8920" s="1">
        <v>1</v>
      </c>
      <c r="D8920" s="1" t="str">
        <f>"07305"</f>
        <v>07305</v>
      </c>
      <c r="E8920" s="1" t="s">
        <v>114</v>
      </c>
      <c r="F8920" s="1">
        <v>8</v>
      </c>
      <c r="G8920" s="1">
        <v>6</v>
      </c>
      <c r="H8920" s="1">
        <v>0</v>
      </c>
      <c r="I8920" s="1" t="s">
        <v>17323</v>
      </c>
      <c r="K8920" s="1" t="str">
        <f t="shared" si="559"/>
        <v>ㄒ</v>
      </c>
      <c r="L8920" s="1" t="str">
        <f t="shared" si="560"/>
        <v>ㄩ</v>
      </c>
      <c r="N8920" s="3" t="s">
        <v>30574</v>
      </c>
      <c r="O8920" s="3"/>
      <c r="P8920" s="1" t="s">
        <v>20</v>
      </c>
      <c r="R8920" s="1" t="s">
        <v>17324</v>
      </c>
      <c r="V8920" s="1" t="s">
        <v>17332</v>
      </c>
      <c r="AR8920" s="1" t="str">
        <f t="shared" si="561"/>
        <v>| [ㄒㄩˋ](ㄒㄩˋ.md) | [侐](侐.md) |  | xù | [形]
清靜。《詩經．魯頌．閟宮》：「閟宮有侐。」 |</v>
      </c>
    </row>
    <row r="8921" spans="1:44" hidden="1">
      <c r="A8921" s="1" t="s">
        <v>17333</v>
      </c>
      <c r="C8921" s="1">
        <v>1</v>
      </c>
      <c r="D8921" s="1" t="str">
        <f>"07306"</f>
        <v>07306</v>
      </c>
      <c r="E8921" s="1" t="s">
        <v>2954</v>
      </c>
      <c r="F8921" s="1">
        <v>8</v>
      </c>
      <c r="G8921" s="1">
        <v>6</v>
      </c>
      <c r="H8921" s="1">
        <v>0</v>
      </c>
      <c r="I8921" s="1" t="s">
        <v>17323</v>
      </c>
      <c r="K8921" s="1" t="str">
        <f t="shared" si="559"/>
        <v>ㄒ</v>
      </c>
      <c r="L8921" s="1" t="str">
        <f t="shared" si="560"/>
        <v>ㄩ</v>
      </c>
      <c r="N8921" s="3" t="s">
        <v>30574</v>
      </c>
      <c r="O8921" s="3"/>
      <c r="P8921" s="1" t="s">
        <v>20</v>
      </c>
      <c r="R8921" s="1" t="s">
        <v>17324</v>
      </c>
      <c r="V8921" s="1" t="s">
        <v>17334</v>
      </c>
      <c r="AR8921" s="1" t="str">
        <f t="shared" si="561"/>
        <v>| [ㄒㄩˋ](ㄒㄩˋ.md) | [卹](卹.md) |  | xù | [動]
1.憂慮。同「恤」。《新唐書．卷九十六．杜如晦傳》：「人不卹無官，患才不副。」
2.賑救。《後漢書．卷三十五．張純傳》：「贍卹宗親。」《三國志．卷十六．魏書．任峻傳》：「於饑荒之際，收卹朋友孤遺。」
3.撫慰、憐惜。如：「撫卹」、「憐孤卹寡」。《詩經．唐風．羔裘．序》：「不卹其民也。」《漢書．卷三十一．陳勝項籍傳》：「今不卹士卒而徇私，非社稷之臣也。」
[形]
驚恐、害怕的樣子。《文選．枚乘．七發》：「徒觀水力之所到，則卹然足以駭矣。」 |</v>
      </c>
    </row>
    <row r="8922" spans="1:44" hidden="1">
      <c r="A8922" s="1" t="s">
        <v>17335</v>
      </c>
      <c r="C8922" s="1">
        <v>1</v>
      </c>
      <c r="D8922" s="1" t="str">
        <f>"07307"</f>
        <v>07307</v>
      </c>
      <c r="E8922" s="1" t="s">
        <v>129</v>
      </c>
      <c r="F8922" s="1">
        <v>9</v>
      </c>
      <c r="G8922" s="1">
        <v>6</v>
      </c>
      <c r="H8922" s="1">
        <v>0</v>
      </c>
      <c r="I8922" s="1" t="s">
        <v>17323</v>
      </c>
      <c r="K8922" s="1" t="str">
        <f t="shared" si="559"/>
        <v>ㄒ</v>
      </c>
      <c r="L8922" s="1" t="str">
        <f t="shared" si="560"/>
        <v>ㄩ</v>
      </c>
      <c r="N8922" s="3" t="s">
        <v>30574</v>
      </c>
      <c r="O8922" s="3"/>
      <c r="P8922" s="1" t="s">
        <v>20</v>
      </c>
      <c r="R8922" s="1" t="s">
        <v>17324</v>
      </c>
      <c r="V8922" s="1" t="s">
        <v>17336</v>
      </c>
      <c r="AR8922" s="1" t="str">
        <f t="shared" si="561"/>
        <v>| [ㄒㄩˋ](ㄒㄩˋ.md) | [洫](洫.md) |  | xù | [名]
1.田間的水道。《周禮．地官．遂人》：「凡治野，夫間有遂，……百夫有洫，洫上有涂。」《左傳．襄公十年》：「子駟為田洫。」
2.泛指溝渠。如：「溝洫」。《文選．鮑照．蕪城賦》：「劃崇墉，刳濬洫，圖修世以休命。」
3.護城河。《文選．張衡．西京賦》：「經城洫，營郭郛。」
[動]
1.虛、空出。《管子．小稱》：「滿者洫之，虛者實之。」
2.敗壞。《莊子．則陽》：「所行之備而不洫。」 |</v>
      </c>
    </row>
    <row r="8923" spans="1:44" hidden="1">
      <c r="A8923" s="1" t="s">
        <v>17337</v>
      </c>
      <c r="C8923" s="1">
        <v>1</v>
      </c>
      <c r="D8923" s="1" t="str">
        <f>"07308"</f>
        <v>07308</v>
      </c>
      <c r="E8923" s="1" t="s">
        <v>250</v>
      </c>
      <c r="F8923" s="1">
        <v>9</v>
      </c>
      <c r="G8923" s="1">
        <v>6</v>
      </c>
      <c r="H8923" s="1">
        <v>0</v>
      </c>
      <c r="I8923" s="1" t="s">
        <v>17323</v>
      </c>
      <c r="K8923" s="1" t="str">
        <f t="shared" si="559"/>
        <v>ㄒ</v>
      </c>
      <c r="L8923" s="1" t="str">
        <f t="shared" si="560"/>
        <v>ㄩ</v>
      </c>
      <c r="N8923" s="3" t="s">
        <v>30574</v>
      </c>
      <c r="O8923" s="3"/>
      <c r="P8923" s="1" t="s">
        <v>20</v>
      </c>
      <c r="R8923" s="1" t="s">
        <v>17324</v>
      </c>
      <c r="V8923" s="1" t="s">
        <v>17338</v>
      </c>
      <c r="AR8923" s="1" t="str">
        <f t="shared" si="561"/>
        <v>| [ㄒㄩˋ](ㄒㄩˋ.md) | [恤](恤.md) |  | xù | [動]
1.憂心、顧慮。《易經．晉卦．六五》：「失得勿恤，往吉無不利。」《國語．周語上》：「勤恤民隱而除其害。」
2.憐憫。如：「體恤」、「憐恤」。唐．沈佺期〈移禁司刑〉詩：「司寇宜哀獄，臺庭幸恤辜。」
3.賑濟、救濟。《周禮．地官．典瑞》：「珍圭以徵守，以恤凶荒。」南朝梁．沈約〈南郊恩詔〉：「京師三縣尤窮之民，詳加賑恤。」
[名]
姓。如春秋時魯有恤由。 |</v>
      </c>
    </row>
    <row r="8924" spans="1:44" hidden="1">
      <c r="A8924" s="1" t="s">
        <v>17339</v>
      </c>
      <c r="C8924" s="1">
        <v>1</v>
      </c>
      <c r="D8924" s="1" t="str">
        <f>"07309"</f>
        <v>07309</v>
      </c>
      <c r="E8924" s="1" t="s">
        <v>1372</v>
      </c>
      <c r="F8924" s="1">
        <v>10</v>
      </c>
      <c r="G8924" s="1">
        <v>6</v>
      </c>
      <c r="H8924" s="1">
        <v>0</v>
      </c>
      <c r="I8924" s="1" t="s">
        <v>17323</v>
      </c>
      <c r="K8924" s="1" t="str">
        <f t="shared" si="559"/>
        <v>ㄒ</v>
      </c>
      <c r="L8924" s="1" t="str">
        <f t="shared" si="560"/>
        <v>ㄩ</v>
      </c>
      <c r="N8924" s="3" t="s">
        <v>30574</v>
      </c>
      <c r="O8924" s="3"/>
      <c r="P8924" s="1" t="s">
        <v>20</v>
      </c>
      <c r="R8924" s="1" t="s">
        <v>17324</v>
      </c>
      <c r="V8924" s="1" t="s">
        <v>17340</v>
      </c>
      <c r="AR8924" s="1" t="str">
        <f t="shared" si="561"/>
        <v>| [ㄒㄩˋ](ㄒㄩˋ.md) | [殈](殈.md) |  | xù | [動]
鳥卵尚未孵化就破裂。《廣韻．平聲．錫韻》：「殈，鳥卵破也。」《禮記．樂記》：「胎生者不殰，而卵生者不殈，則樂之道歸焉耳。」 |</v>
      </c>
    </row>
    <row r="8925" spans="1:44" hidden="1">
      <c r="A8925" s="1" t="s">
        <v>17341</v>
      </c>
      <c r="C8925" s="1">
        <v>1</v>
      </c>
      <c r="D8925" s="1" t="str">
        <f>"07310"</f>
        <v>07310</v>
      </c>
      <c r="E8925" s="1" t="s">
        <v>753</v>
      </c>
      <c r="F8925" s="1">
        <v>10</v>
      </c>
      <c r="G8925" s="1">
        <v>5</v>
      </c>
      <c r="H8925" s="1">
        <v>2</v>
      </c>
      <c r="I8925" s="1" t="s">
        <v>17323</v>
      </c>
      <c r="K8925" s="1" t="str">
        <f t="shared" si="559"/>
        <v>ㄒ</v>
      </c>
      <c r="L8925" s="1" t="str">
        <f t="shared" si="560"/>
        <v>ㄩ</v>
      </c>
      <c r="N8925" s="3" t="s">
        <v>30574</v>
      </c>
      <c r="O8925" s="3"/>
      <c r="P8925" s="1" t="s">
        <v>20</v>
      </c>
      <c r="R8925" s="1" t="s">
        <v>17324</v>
      </c>
      <c r="V8925" s="1" t="s">
        <v>17342</v>
      </c>
      <c r="W8925" s="1" t="s">
        <v>17343</v>
      </c>
      <c r="AR8925" s="1" t="str">
        <f t="shared" si="561"/>
        <v>| [ㄒㄩˋ](ㄒㄩˋ.md) | [畜](畜.md) |  | xù | [動]
1.飼養。《禮記．大學》：「伐冰之家，不畜牛羊。」南朝宋．鮑照〈紹古辭〉七首之三：「徒畜巧言鳥，不解心款曲。」
2.養育。《詩經．邶風．日月》：「父兮母兮，畜我不卒。」《孟子．梁惠王上》：「仰不足以事父母，俯不足以畜妻子。」
3.培養。《易經．大畜．象曰》：「君子以多識前言往行，以畜其德。」
4.順從、順服。唐．柳宗元〈封建論〉：「其情，私也，私其一己之威也，私其盡臣畜於我也。」
5.收容、容許。《左傳．襄公二十六年》：「獲罪於兩君，天下誰畜？」《漢書．卷六十八．霍光傳》：「威震主者不畜。」
6.保留、收藏。《禮記．儒行》：「易祿而難畜也。」《金史．卷六十四．后妃傳．世宗昭德皇后傳》：「睿宗沒後，世宗寶畜之。」
7.儲存、積聚。通「蓄」。《韓非子．五蠹》：「既畜王資，而承敵國之舋。」
[名]
姓。如漢代有畜意。 |</v>
      </c>
    </row>
    <row r="8926" spans="1:44" hidden="1">
      <c r="A8926" s="1" t="s">
        <v>17344</v>
      </c>
      <c r="C8926" s="1">
        <v>1</v>
      </c>
      <c r="D8926" s="1" t="str">
        <f>"07311"</f>
        <v>07311</v>
      </c>
      <c r="E8926" s="1" t="s">
        <v>250</v>
      </c>
      <c r="F8926" s="1">
        <v>13</v>
      </c>
      <c r="G8926" s="1">
        <v>10</v>
      </c>
      <c r="H8926" s="1">
        <v>0</v>
      </c>
      <c r="I8926" s="1" t="s">
        <v>17323</v>
      </c>
      <c r="K8926" s="1" t="str">
        <f t="shared" si="559"/>
        <v>ㄒ</v>
      </c>
      <c r="L8926" s="1" t="str">
        <f t="shared" si="560"/>
        <v>ㄩ</v>
      </c>
      <c r="N8926" s="3" t="s">
        <v>30574</v>
      </c>
      <c r="O8926" s="3"/>
      <c r="P8926" s="1" t="s">
        <v>20</v>
      </c>
      <c r="R8926" s="1" t="s">
        <v>17324</v>
      </c>
      <c r="V8926" s="1" t="s">
        <v>17345</v>
      </c>
      <c r="AR8926" s="1" t="str">
        <f t="shared" si="561"/>
        <v>| [ㄒㄩˋ](ㄒㄩˋ.md) | [慉](慉.md) |  | xù | [動]
1.起、扶持。《詩經．邶風．谷風》：「不我能慉，反以我為讎。」
2.蓄積、積聚。南朝齊．王融〈畫漢武北伐圖上疏〉：「臣聞情慉自中，事符則感。」《三國志．卷三八．蜀書．許靖傳》「情義款至」句下裴松之注引《魏略》：「久闊情慉，非夫筆墨所能寫陳。」 |</v>
      </c>
    </row>
    <row r="8927" spans="1:44" hidden="1">
      <c r="A8927" s="1" t="s">
        <v>17346</v>
      </c>
      <c r="C8927" s="1">
        <v>1</v>
      </c>
      <c r="D8927" s="1" t="str">
        <f>"07312"</f>
        <v>07312</v>
      </c>
      <c r="E8927" s="1" t="s">
        <v>37</v>
      </c>
      <c r="F8927" s="1">
        <v>14</v>
      </c>
      <c r="G8927" s="1">
        <v>10</v>
      </c>
      <c r="H8927" s="1">
        <v>0</v>
      </c>
      <c r="I8927" s="1" t="s">
        <v>17323</v>
      </c>
      <c r="K8927" s="1" t="str">
        <f t="shared" si="559"/>
        <v>ㄒ</v>
      </c>
      <c r="L8927" s="1" t="str">
        <f t="shared" si="560"/>
        <v>ㄩ</v>
      </c>
      <c r="N8927" s="3" t="s">
        <v>30574</v>
      </c>
      <c r="O8927" s="3"/>
      <c r="P8927" s="1" t="s">
        <v>20</v>
      </c>
      <c r="R8927" s="1" t="s">
        <v>17324</v>
      </c>
      <c r="V8927" s="1" t="s">
        <v>17347</v>
      </c>
      <c r="AR8927" s="1" t="str">
        <f t="shared" si="561"/>
        <v>| [ㄒㄩˋ](ㄒㄩˋ.md) | [蓄](蓄.md) |  | xù | [動]
1.儲藏、儲存。如：「蓄水池」、「儲蓄」。《詩經．邶風．谷風》：「我有旨蓄，亦以御冬。」《新五代史．卷二二．梁臣傳．劉鄩傳》：「將軍蓄米，將療饑乎？將破敵乎？」
2.蘊藏、不表露。如：「含蓄」、「蓄意」。
3.留著。如：「蓄髮」、「爺爺蓄了一臉的絡腮鬍。」
4.等待。《後漢書．卷五十九．張衡傳》：「盍遠跡以飛聲兮，孰謂時之可蓄？」 |</v>
      </c>
    </row>
    <row r="8928" spans="1:44" hidden="1">
      <c r="A8928" s="1" t="s">
        <v>17348</v>
      </c>
      <c r="C8928" s="1">
        <v>1</v>
      </c>
      <c r="D8928" s="1" t="str">
        <f>"07313"</f>
        <v>07313</v>
      </c>
      <c r="E8928" s="1" t="s">
        <v>129</v>
      </c>
      <c r="F8928" s="1">
        <v>11</v>
      </c>
      <c r="G8928" s="1">
        <v>8</v>
      </c>
      <c r="H8928" s="1">
        <v>2</v>
      </c>
      <c r="I8928" s="1" t="s">
        <v>17323</v>
      </c>
      <c r="K8928" s="1" t="str">
        <f t="shared" si="559"/>
        <v>ㄒ</v>
      </c>
      <c r="L8928" s="1" t="str">
        <f t="shared" si="560"/>
        <v>ㄩ</v>
      </c>
      <c r="N8928" s="3" t="s">
        <v>30574</v>
      </c>
      <c r="O8928" s="3"/>
      <c r="P8928" s="1" t="s">
        <v>20</v>
      </c>
      <c r="R8928" s="1" t="s">
        <v>17324</v>
      </c>
      <c r="V8928" s="1" t="s">
        <v>17349</v>
      </c>
      <c r="W8928" s="1" t="s">
        <v>17350</v>
      </c>
      <c r="AR8928" s="1" t="str">
        <f t="shared" si="561"/>
        <v>| [ㄒㄩˋ](ㄒㄩˋ.md) | [淢](淢.md) |  | xù | [名]
溝渠。《詩經．大雅．文王有聲》：「築城伊淢，作豐伊匹。」《史記．卷二．夏本紀》：「卑宮室，致費於溝淢。」 |</v>
      </c>
    </row>
    <row r="8929" spans="1:44" hidden="1">
      <c r="A8929" s="1" t="s">
        <v>10310</v>
      </c>
      <c r="C8929" s="1">
        <v>1</v>
      </c>
      <c r="D8929" s="1" t="str">
        <f>"07314"</f>
        <v>07314</v>
      </c>
      <c r="E8929" s="1" t="s">
        <v>10311</v>
      </c>
      <c r="F8929" s="1">
        <v>17</v>
      </c>
      <c r="G8929" s="1">
        <v>8</v>
      </c>
      <c r="H8929" s="1">
        <v>2</v>
      </c>
      <c r="I8929" s="1" t="s">
        <v>17323</v>
      </c>
      <c r="K8929" s="1" t="str">
        <f t="shared" si="559"/>
        <v>ㄒ</v>
      </c>
      <c r="L8929" s="1" t="str">
        <f t="shared" si="560"/>
        <v>ㄩ</v>
      </c>
      <c r="N8929" s="3" t="s">
        <v>30574</v>
      </c>
      <c r="O8929" s="3"/>
      <c r="P8929" s="1" t="s">
        <v>20</v>
      </c>
      <c r="R8929" s="1" t="s">
        <v>17324</v>
      </c>
      <c r="V8929" s="1" t="s">
        <v>17351</v>
      </c>
      <c r="W8929" s="1" t="s">
        <v>17352</v>
      </c>
      <c r="AR8929" s="1" t="str">
        <f t="shared" si="561"/>
        <v>| [ㄒㄩˋ](ㄒㄩˋ.md) | [馘](馘.md) |  | xù | [名]
臉面。《莊子．列禦寇》：「槁項黃馘者，商之所短也。」 |</v>
      </c>
    </row>
    <row r="8930" spans="1:44" hidden="1">
      <c r="A8930" s="1" t="s">
        <v>17353</v>
      </c>
      <c r="C8930" s="1">
        <v>1</v>
      </c>
      <c r="D8930" s="1" t="str">
        <f>"07315"</f>
        <v>07315</v>
      </c>
      <c r="E8930" s="1" t="s">
        <v>1462</v>
      </c>
      <c r="F8930" s="1">
        <v>11</v>
      </c>
      <c r="G8930" s="1">
        <v>4</v>
      </c>
      <c r="H8930" s="1">
        <v>0</v>
      </c>
      <c r="I8930" s="1" t="s">
        <v>17323</v>
      </c>
      <c r="K8930" s="1" t="str">
        <f t="shared" si="559"/>
        <v>ㄒ</v>
      </c>
      <c r="L8930" s="1" t="str">
        <f t="shared" si="560"/>
        <v>ㄩ</v>
      </c>
      <c r="N8930" s="3" t="s">
        <v>30574</v>
      </c>
      <c r="O8930" s="3"/>
      <c r="P8930" s="1" t="s">
        <v>20</v>
      </c>
      <c r="R8930" s="1" t="s">
        <v>17324</v>
      </c>
      <c r="V8930" s="1" t="s">
        <v>17354</v>
      </c>
      <c r="AR8930" s="1" t="str">
        <f t="shared" si="561"/>
        <v>| [ㄒㄩˋ](ㄒㄩˋ.md) | [酗](酗.md) |  | xù | [動]
發酒瘋，因酒醉而發怒。如：「酗酒」。《書經．無逸》：「無若殷王受之迷亂，酗于酒德哉！」《北史．卷七二．牛弘傳》：「弟弼，好酒而酗，嘗醉射殺弘駕車牛。」 |</v>
      </c>
    </row>
    <row r="8931" spans="1:44" hidden="1">
      <c r="A8931" s="1" t="s">
        <v>17355</v>
      </c>
      <c r="C8931" s="1">
        <v>1</v>
      </c>
      <c r="D8931" s="1" t="str">
        <f>"07316"</f>
        <v>07316</v>
      </c>
      <c r="E8931" s="1" t="s">
        <v>6488</v>
      </c>
      <c r="F8931" s="1">
        <v>11</v>
      </c>
      <c r="G8931" s="1">
        <v>7</v>
      </c>
      <c r="H8931" s="1">
        <v>0</v>
      </c>
      <c r="I8931" s="1" t="s">
        <v>17323</v>
      </c>
      <c r="K8931" s="1" t="str">
        <f t="shared" si="559"/>
        <v>ㄒ</v>
      </c>
      <c r="L8931" s="1" t="str">
        <f t="shared" si="560"/>
        <v>ㄩ</v>
      </c>
      <c r="N8931" s="3" t="s">
        <v>30574</v>
      </c>
      <c r="O8931" s="3"/>
      <c r="P8931" s="1" t="s">
        <v>20</v>
      </c>
      <c r="R8931" s="1" t="s">
        <v>17324</v>
      </c>
      <c r="V8931" s="1" t="s">
        <v>17356</v>
      </c>
      <c r="AR8931" s="1" t="str">
        <f t="shared" si="561"/>
        <v>| [ㄒㄩˋ](ㄒㄩˋ.md) | [勗](勗.md) |  | xù | [動]
鼓舞、勉勵。如：「勗勉」。漢．蔡琰〈悲憤詩〉：「託命於新人，竭心自勗厲。」 |</v>
      </c>
    </row>
    <row r="8932" spans="1:44" hidden="1">
      <c r="A8932" s="1" t="s">
        <v>17357</v>
      </c>
      <c r="C8932" s="1">
        <v>1</v>
      </c>
      <c r="D8932" s="1" t="str">
        <f>"07317"</f>
        <v>07317</v>
      </c>
      <c r="E8932" s="1" t="s">
        <v>426</v>
      </c>
      <c r="F8932" s="1">
        <v>11</v>
      </c>
      <c r="G8932" s="1">
        <v>7</v>
      </c>
      <c r="H8932" s="1">
        <v>0</v>
      </c>
      <c r="I8932" s="1" t="s">
        <v>17323</v>
      </c>
      <c r="K8932" s="1" t="str">
        <f t="shared" si="559"/>
        <v>ㄒ</v>
      </c>
      <c r="L8932" s="1" t="str">
        <f t="shared" si="560"/>
        <v>ㄩ</v>
      </c>
      <c r="N8932" s="3" t="s">
        <v>30574</v>
      </c>
      <c r="O8932" s="3"/>
      <c r="P8932" s="1" t="s">
        <v>20</v>
      </c>
      <c r="R8932" s="1" t="s">
        <v>17324</v>
      </c>
      <c r="V8932" s="1" t="s">
        <v>17358</v>
      </c>
      <c r="AR8932" s="1" t="str">
        <f t="shared" si="561"/>
        <v>| [ㄒㄩˋ](ㄒㄩˋ.md) | [敘](敘.md) |  | xù | [名]
1.次第、順序。《周禮．天官．小宰》：「以官府之六敘正群吏。」《淮南子．本經》：「四時不失其敘。」
2.放於正文之前，用以說明全書要點的。同「序」。如：〈說文解字敘〉。
[動]
1.陳述、說明。如：「敘述」、「面敘」。《國語．晉語三》：「紀言以敘之，述意以導之。」
2.評議授職等級或獎勵勛功。如：「銓敘」、「獎敘」。《晉書．卷七〇．應詹傳》：「直以舊望登敘。」《北史．卷三九．薛安都傳》：「在南以武力見敘，遇宋孝武起江州，遂以為將。」
3.聚會、話家常。如：「小敘一番」。
4.安排次序。《周禮．天官．司書》：「以周知入出百物，以敘其財，受其幣，使入于職幣。」三國魏．曹植〈社頌〉：「建國承家，莫不修敘。」
5.發抒情思。晉．王羲之〈三月三日蘭亭詩序〉：「一觴一詠，亦足以暢敘幽情。」 |</v>
      </c>
    </row>
    <row r="8933" spans="1:44" hidden="1">
      <c r="A8933" s="1" t="s">
        <v>17359</v>
      </c>
      <c r="C8933" s="1">
        <v>1</v>
      </c>
      <c r="D8933" s="1" t="str">
        <f>"07318"</f>
        <v>07318</v>
      </c>
      <c r="E8933" s="1" t="s">
        <v>129</v>
      </c>
      <c r="F8933" s="1">
        <v>14</v>
      </c>
      <c r="G8933" s="1">
        <v>11</v>
      </c>
      <c r="H8933" s="1">
        <v>0</v>
      </c>
      <c r="I8933" s="1" t="s">
        <v>17323</v>
      </c>
      <c r="K8933" s="1" t="str">
        <f t="shared" si="559"/>
        <v>ㄒ</v>
      </c>
      <c r="L8933" s="1" t="str">
        <f t="shared" si="560"/>
        <v>ㄩ</v>
      </c>
      <c r="N8933" s="3" t="s">
        <v>30574</v>
      </c>
      <c r="O8933" s="3"/>
      <c r="P8933" s="1" t="s">
        <v>20</v>
      </c>
      <c r="R8933" s="1" t="s">
        <v>17324</v>
      </c>
      <c r="V8933" s="1" t="s">
        <v>17360</v>
      </c>
      <c r="AR8933" s="1" t="str">
        <f t="shared" si="561"/>
        <v>| [ㄒㄩˋ](ㄒㄩˋ.md) | [漵](漵.md) |  | xù | [名]
1.水邊。南朝齊．王融〈淥水曲〉：「日霽沙漵明，風泉動華燭。」宋．柳永〈早梅芳．海霞紅〉詞：「芰荷浦漵，楊柳汀洲，映虹橋倒影。」
2.參見「漵水」條。 |</v>
      </c>
    </row>
    <row r="8934" spans="1:44" hidden="1">
      <c r="A8934" s="1" t="s">
        <v>12031</v>
      </c>
      <c r="C8934" s="1">
        <v>1</v>
      </c>
      <c r="D8934" s="1" t="str">
        <f>"07319"</f>
        <v>07319</v>
      </c>
      <c r="E8934" s="1" t="s">
        <v>1908</v>
      </c>
      <c r="F8934" s="1">
        <v>12</v>
      </c>
      <c r="G8934" s="1">
        <v>8</v>
      </c>
      <c r="H8934" s="1">
        <v>3</v>
      </c>
      <c r="I8934" s="1" t="s">
        <v>17323</v>
      </c>
      <c r="K8934" s="1" t="str">
        <f t="shared" si="559"/>
        <v>ㄒ</v>
      </c>
      <c r="L8934" s="1" t="str">
        <f t="shared" si="560"/>
        <v>ㄩ</v>
      </c>
      <c r="N8934" s="3" t="s">
        <v>30574</v>
      </c>
      <c r="O8934" s="3"/>
      <c r="P8934" s="1" t="s">
        <v>20</v>
      </c>
      <c r="R8934" s="1" t="s">
        <v>17324</v>
      </c>
      <c r="V8934" s="1" t="s">
        <v>17361</v>
      </c>
      <c r="W8934" s="1" t="s">
        <v>17362</v>
      </c>
      <c r="AR8934" s="1" t="str">
        <f t="shared" si="561"/>
        <v>| [ㄒㄩˋ](ㄒㄩˋ.md) | [欻](欻.md) |  | xù | [動]
有所吹起。《說文解字．欠部》：「欻，有所吹起。」 |</v>
      </c>
    </row>
    <row r="8935" spans="1:44" hidden="1">
      <c r="A8935" s="1" t="s">
        <v>17363</v>
      </c>
      <c r="C8935" s="1">
        <v>1</v>
      </c>
      <c r="D8935" s="1" t="str">
        <f>"07320"</f>
        <v>07320</v>
      </c>
      <c r="E8935" s="1" t="s">
        <v>331</v>
      </c>
      <c r="F8935" s="1">
        <v>12</v>
      </c>
      <c r="G8935" s="1">
        <v>5</v>
      </c>
      <c r="H8935" s="1">
        <v>0</v>
      </c>
      <c r="I8935" s="1" t="s">
        <v>17323</v>
      </c>
      <c r="K8935" s="1" t="str">
        <f t="shared" si="559"/>
        <v>ㄒ</v>
      </c>
      <c r="L8935" s="1" t="str">
        <f t="shared" si="560"/>
        <v>ㄩ</v>
      </c>
      <c r="N8935" s="3" t="s">
        <v>30574</v>
      </c>
      <c r="O8935" s="3"/>
      <c r="P8935" s="1" t="s">
        <v>20</v>
      </c>
      <c r="R8935" s="1" t="s">
        <v>17324</v>
      </c>
      <c r="V8935" s="1" t="s">
        <v>17364</v>
      </c>
      <c r="AR8935" s="1" t="str">
        <f t="shared" si="561"/>
        <v>| [ㄒㄩˋ](ㄒㄩˋ.md) | [訹](訹.md) |  | xù | [動]
1.迷惑、引誘。《說文解字．言部》：「訹，誘也。」《漢書．卷五二．韓安國傳》：「今大王列在諸侯，訹浮臣邪說，犯上禁，橈明法。」
2.脅迫、恐嚇。《宋史．卷三六五．岳飛傳》：「淮西之役，俊以前途糧乏訹飛，飛不為止。」 |</v>
      </c>
    </row>
    <row r="8936" spans="1:44" hidden="1">
      <c r="A8936" s="1" t="s">
        <v>17365</v>
      </c>
      <c r="C8936" s="1">
        <v>1</v>
      </c>
      <c r="D8936" s="1" t="str">
        <f>"07321"</f>
        <v>07321</v>
      </c>
      <c r="E8936" s="1" t="s">
        <v>534</v>
      </c>
      <c r="F8936" s="1">
        <v>12</v>
      </c>
      <c r="G8936" s="1">
        <v>9</v>
      </c>
      <c r="H8936" s="1">
        <v>0</v>
      </c>
      <c r="I8936" s="1" t="s">
        <v>17323</v>
      </c>
      <c r="K8936" s="1" t="str">
        <f t="shared" si="559"/>
        <v>ㄒ</v>
      </c>
      <c r="L8936" s="1" t="str">
        <f t="shared" si="560"/>
        <v>ㄩ</v>
      </c>
      <c r="N8936" s="3" t="s">
        <v>30574</v>
      </c>
      <c r="O8936" s="3"/>
      <c r="P8936" s="1" t="s">
        <v>20</v>
      </c>
      <c r="R8936" s="1" t="s">
        <v>17324</v>
      </c>
      <c r="V8936" s="1" t="s">
        <v>17366</v>
      </c>
      <c r="AR8936" s="1" t="str">
        <f t="shared" si="561"/>
        <v>| [ㄒㄩˋ](ㄒㄩˋ.md) | [婿](婿.md) |  | xù | [名]
稱謂：(1)稱女兒的丈夫。如：「女婿」、「賢婿」、「乘龍快婿」。南朝宋．劉義慶《世說新語．文學》：「裴散騎娶王太尉女，婚後三日，諸婿大會。」(2)妻子稱呼自己丈夫為「婿」。如：「夫婿」。唐．李商隱〈為有〉詩：「無端嫁得金龜婿，辜負香衾事早朝。」 |</v>
      </c>
    </row>
    <row r="8937" spans="1:44" hidden="1">
      <c r="A8937" s="1" t="s">
        <v>17367</v>
      </c>
      <c r="C8937" s="1">
        <v>1</v>
      </c>
      <c r="D8937" s="1" t="str">
        <f>"07322"</f>
        <v>07322</v>
      </c>
      <c r="E8937" s="1" t="s">
        <v>725</v>
      </c>
      <c r="F8937" s="1">
        <v>12</v>
      </c>
      <c r="G8937" s="1">
        <v>6</v>
      </c>
      <c r="H8937" s="1">
        <v>0</v>
      </c>
      <c r="I8937" s="1" t="s">
        <v>17323</v>
      </c>
      <c r="K8937" s="1" t="str">
        <f t="shared" si="559"/>
        <v>ㄒ</v>
      </c>
      <c r="L8937" s="1" t="str">
        <f t="shared" si="560"/>
        <v>ㄩ</v>
      </c>
      <c r="N8937" s="3" t="s">
        <v>30574</v>
      </c>
      <c r="O8937" s="3"/>
      <c r="P8937" s="1" t="s">
        <v>20</v>
      </c>
      <c r="R8937" s="1" t="s">
        <v>17324</v>
      </c>
      <c r="V8937" s="1" t="s">
        <v>17368</v>
      </c>
      <c r="AR8937" s="1" t="str">
        <f t="shared" si="561"/>
        <v>| [ㄒㄩˋ](ㄒㄩˋ.md) | [絮](絮.md) |  | xù | [名]
1.粗製棉。《說文解字．糸部》：「絮，敝綿也。」《漢書．卷四．文帝紀》：「其九十以上，又賜帛，人二疋，絮三斤。」
2.彈鬆的棉花。如：「被絮」、「棉絮」。
3.附在植物上的茸毛。如：「柳絮」、「蘆絮」。
4.姓。如漢代有絮舜。
[動]
將棉花均勻的塞進衣物裡。如：「絮棉襖」、「絮褥子」。唐．李白〈子夜吳歌．冬歌〉：「明朝驛使發，一夜絮征袍。」
[形]
形容說話囉嗦、沒有重點。如：「絮叨」、「絮絮不休」。
[副]
厭煩、嫌惡。《紅樓夢》第三四回：「只拿那糖醃的玫瑰滷子和了，吃了半碗，又嫌吃絮了，不香甜。」 |</v>
      </c>
    </row>
    <row r="8938" spans="1:44" hidden="1">
      <c r="A8938" s="1" t="s">
        <v>17369</v>
      </c>
      <c r="C8938" s="1">
        <v>1</v>
      </c>
      <c r="D8938" s="1" t="str">
        <f>"07323"</f>
        <v>07323</v>
      </c>
      <c r="E8938" s="1" t="s">
        <v>684</v>
      </c>
      <c r="F8938" s="1">
        <v>13</v>
      </c>
      <c r="G8938" s="1">
        <v>4</v>
      </c>
      <c r="H8938" s="1">
        <v>0</v>
      </c>
      <c r="I8938" s="1" t="s">
        <v>17323</v>
      </c>
      <c r="K8938" s="1" t="str">
        <f t="shared" si="559"/>
        <v>ㄒ</v>
      </c>
      <c r="L8938" s="1" t="str">
        <f t="shared" si="560"/>
        <v>ㄩ</v>
      </c>
      <c r="N8938" s="3" t="s">
        <v>30574</v>
      </c>
      <c r="O8938" s="3"/>
      <c r="P8938" s="1" t="s">
        <v>20</v>
      </c>
      <c r="R8938" s="1" t="s">
        <v>17324</v>
      </c>
      <c r="V8938" s="1" t="s">
        <v>17370</v>
      </c>
      <c r="AR8938" s="1" t="str">
        <f t="shared" si="561"/>
        <v>| [ㄒㄩˋ](ㄒㄩˋ.md) | [頊](頊.md) |  | xù | 參見「頊頊」、「顓頊」等條。 |</v>
      </c>
    </row>
    <row r="8939" spans="1:44" hidden="1">
      <c r="A8939" s="1" t="s">
        <v>17371</v>
      </c>
      <c r="C8939" s="1">
        <v>1</v>
      </c>
      <c r="D8939" s="1" t="str">
        <f>"07324"</f>
        <v>07324</v>
      </c>
      <c r="E8939" s="1" t="s">
        <v>725</v>
      </c>
      <c r="F8939" s="1">
        <v>14</v>
      </c>
      <c r="G8939" s="1">
        <v>8</v>
      </c>
      <c r="H8939" s="1">
        <v>0</v>
      </c>
      <c r="I8939" s="1" t="s">
        <v>17323</v>
      </c>
      <c r="K8939" s="1" t="str">
        <f t="shared" si="559"/>
        <v>ㄒ</v>
      </c>
      <c r="L8939" s="1" t="str">
        <f t="shared" si="560"/>
        <v>ㄩ</v>
      </c>
      <c r="N8939" s="3" t="s">
        <v>30574</v>
      </c>
      <c r="O8939" s="3"/>
      <c r="P8939" s="1" t="s">
        <v>20</v>
      </c>
      <c r="R8939" s="1" t="s">
        <v>17324</v>
      </c>
      <c r="V8939" s="1" t="s">
        <v>17372</v>
      </c>
      <c r="AR8939" s="1" t="str">
        <f t="shared" si="561"/>
        <v>| [ㄒㄩˋ](ㄒㄩˋ.md) | [緒](緒.md) |  | xù | [名]
1.由繭抽絲的端頭。如：「絲緒」。《文選．張衡．南都賦》：「白鶴飛兮繭曳緒。」
2.事物的開端。如：「千頭萬緒」、「端緒」。唐．韓愈〈進學解〉：「尋墜緒之茫茫，獨旁搜而遠紹。」
3.次序。如：「一切就緒」。《莊子．山木》：「進不敢為前，退不敢為後，食不敢先嘗，必取其緒。」
4.心念、心境。如：「情緒」、「愁緒」。南朝宋．謝靈運〈長歌行〉：「覽物起悲緒，顧已識憂端。」
5.事業。如：「緒業」。唐．沈迴〈武侯廟碑銘〉：「先主纘緒，天下三分。」明．徐弘祖《徐霞客遊記．卷七下．滇遊日記七》：「眾大之中，以小者為主，所以黃峰為木氏開千代之緒也。」 |</v>
      </c>
    </row>
    <row r="8940" spans="1:44" hidden="1">
      <c r="A8940" s="1" t="s">
        <v>17373</v>
      </c>
      <c r="C8940" s="1">
        <v>1</v>
      </c>
      <c r="D8940" s="1" t="str">
        <f>"07325"</f>
        <v>07325</v>
      </c>
      <c r="E8940" s="1" t="s">
        <v>83</v>
      </c>
      <c r="F8940" s="1">
        <v>15</v>
      </c>
      <c r="G8940" s="1">
        <v>5</v>
      </c>
      <c r="H8940" s="1">
        <v>0</v>
      </c>
      <c r="I8940" s="1" t="s">
        <v>17323</v>
      </c>
      <c r="K8940" s="1" t="str">
        <f t="shared" si="559"/>
        <v>ㄒ</v>
      </c>
      <c r="L8940" s="1" t="str">
        <f t="shared" si="560"/>
        <v>ㄩ</v>
      </c>
      <c r="N8940" s="3" t="s">
        <v>30574</v>
      </c>
      <c r="O8940" s="3"/>
      <c r="P8940" s="1" t="s">
        <v>20</v>
      </c>
      <c r="R8940" s="1" t="s">
        <v>17324</v>
      </c>
      <c r="V8940" s="1" t="s">
        <v>17374</v>
      </c>
      <c r="AR8940" s="1" t="str">
        <f t="shared" si="561"/>
        <v>| [ㄒㄩˋ](ㄒㄩˋ.md) | [魆](魆.md) |  | xù | [形]
昏暗的樣子。如：「魆黑」。
[副]
1.猝然、突然。《初刻拍案驚奇》卷二：「應捕魆地跳將出來。」
2.悄悄、暗地。明．葉憲祖《鸞鎞記》第二一齣：「誰家一俊豪，將奴魆地瞧。」明．凌濛初《紅拂記》第一齣：「瞑子裡落空他，魆地裡，追隨你。」 |</v>
      </c>
    </row>
    <row r="8941" spans="1:44" hidden="1">
      <c r="A8941" s="1" t="s">
        <v>17375</v>
      </c>
      <c r="C8941" s="1">
        <v>1</v>
      </c>
      <c r="D8941" s="1" t="str">
        <f>"07326"</f>
        <v>07326</v>
      </c>
      <c r="E8941" s="1" t="s">
        <v>198</v>
      </c>
      <c r="F8941" s="1">
        <v>15</v>
      </c>
      <c r="G8941" s="1">
        <v>12</v>
      </c>
      <c r="H8941" s="1">
        <v>0</v>
      </c>
      <c r="I8941" s="1" t="s">
        <v>17323</v>
      </c>
      <c r="K8941" s="1" t="str">
        <f t="shared" si="559"/>
        <v>ㄒ</v>
      </c>
      <c r="L8941" s="1" t="str">
        <f t="shared" si="560"/>
        <v>ㄩ</v>
      </c>
      <c r="N8941" s="3" t="s">
        <v>30574</v>
      </c>
      <c r="O8941" s="3"/>
      <c r="P8941" s="1" t="s">
        <v>20</v>
      </c>
      <c r="R8941" s="1" t="s">
        <v>17324</v>
      </c>
      <c r="V8941" s="1" t="s">
        <v>17376</v>
      </c>
      <c r="AR8941" s="1" t="str">
        <f t="shared" si="561"/>
        <v>| [ㄒㄩˋ](ㄒㄩˋ.md) | [獝](獝.md) |  | xù | [形]
1.鳥獸驚恐飛散的樣子。《集韻．入聲．質韻》：「矞，驚遽貌，或作獝。」《禮記．禮運》：「鳳以為畜，故鳥不獝。」
2.狂放。如：「狂獝」。 |</v>
      </c>
    </row>
    <row r="8942" spans="1:44" hidden="1">
      <c r="A8942" s="1" t="s">
        <v>17377</v>
      </c>
      <c r="C8942" s="1">
        <v>1</v>
      </c>
      <c r="D8942" s="1" t="str">
        <f>"07327"</f>
        <v>07327</v>
      </c>
      <c r="E8942" s="1" t="s">
        <v>37</v>
      </c>
      <c r="F8942" s="1">
        <v>18</v>
      </c>
      <c r="G8942" s="1">
        <v>14</v>
      </c>
      <c r="H8942" s="1">
        <v>0</v>
      </c>
      <c r="I8942" s="1" t="s">
        <v>17323</v>
      </c>
      <c r="K8942" s="1" t="str">
        <f t="shared" si="559"/>
        <v>ㄒ</v>
      </c>
      <c r="L8942" s="1" t="str">
        <f t="shared" si="560"/>
        <v>ㄩ</v>
      </c>
      <c r="N8942" s="3" t="s">
        <v>30574</v>
      </c>
      <c r="O8942" s="3"/>
      <c r="P8942" s="1" t="s">
        <v>20</v>
      </c>
      <c r="R8942" s="1" t="s">
        <v>17324</v>
      </c>
      <c r="V8942" s="1" t="s">
        <v>17378</v>
      </c>
      <c r="AR8942" s="1" t="str">
        <f t="shared" si="561"/>
        <v>| [ㄒㄩˋ](ㄒㄩˋ.md) | [藇](藇.md) |  | xù | [形]
美好的樣子。《詩經．小雅．伐木》：「伐木許許，釃酒有藇。」漢．毛亨．傳：「藇，美貌。」 |</v>
      </c>
    </row>
    <row r="8943" spans="1:44" hidden="1">
      <c r="A8943" s="1" t="s">
        <v>17379</v>
      </c>
      <c r="C8943" s="1">
        <v>1</v>
      </c>
      <c r="D8943" s="1" t="str">
        <f>"07328"</f>
        <v>07328</v>
      </c>
      <c r="E8943" s="1" t="s">
        <v>156</v>
      </c>
      <c r="F8943" s="1">
        <v>25</v>
      </c>
      <c r="G8943" s="1">
        <v>14</v>
      </c>
      <c r="H8943" s="1">
        <v>0</v>
      </c>
      <c r="I8943" s="1" t="s">
        <v>17323</v>
      </c>
      <c r="K8943" s="1" t="str">
        <f t="shared" si="559"/>
        <v>ㄒ</v>
      </c>
      <c r="L8943" s="1" t="str">
        <f t="shared" si="560"/>
        <v>ㄩ</v>
      </c>
      <c r="N8943" s="3" t="s">
        <v>30574</v>
      </c>
      <c r="O8943" s="3"/>
      <c r="P8943" s="1" t="s">
        <v>20</v>
      </c>
      <c r="R8943" s="1" t="s">
        <v>17324</v>
      </c>
      <c r="V8943" s="1" t="s">
        <v>17380</v>
      </c>
      <c r="AR8943" s="1" t="str">
        <f t="shared" si="561"/>
        <v>| [ㄒㄩˋ](ㄒㄩˋ.md) | [鱮](鱮.md) |  | xù | [名]
鰱魚的別名。參見「鰱魚」條。 |</v>
      </c>
    </row>
    <row r="8944" spans="1:44" hidden="1">
      <c r="A8944" s="1" t="s">
        <v>17381</v>
      </c>
      <c r="C8944" s="1">
        <v>1</v>
      </c>
      <c r="D8944" s="1" t="str">
        <f>"07329"</f>
        <v>07329</v>
      </c>
      <c r="E8944" s="1" t="s">
        <v>37</v>
      </c>
      <c r="F8944" s="1">
        <v>19</v>
      </c>
      <c r="G8944" s="1">
        <v>15</v>
      </c>
      <c r="H8944" s="1">
        <v>0</v>
      </c>
      <c r="I8944" s="1" t="s">
        <v>17323</v>
      </c>
      <c r="K8944" s="1" t="str">
        <f t="shared" ref="K8944:K9007" si="562">LEFT(I8944, 1)</f>
        <v>ㄒ</v>
      </c>
      <c r="L8944" s="1" t="str">
        <f t="shared" ref="L8944:L9007" si="563">MID(I8944, 2, 1)</f>
        <v>ㄩ</v>
      </c>
      <c r="N8944" s="3" t="s">
        <v>30574</v>
      </c>
      <c r="O8944" s="3"/>
      <c r="P8944" s="1" t="s">
        <v>20</v>
      </c>
      <c r="R8944" s="1" t="s">
        <v>17324</v>
      </c>
      <c r="V8944" s="1" t="s">
        <v>17382</v>
      </c>
      <c r="AR8944" s="1" t="str">
        <f t="shared" si="561"/>
        <v>| [ㄒㄩˋ](ㄒㄩˋ.md) | [藚](藚.md) |  | xù | 植物名。澤瀉科澤瀉屬，「澤瀉」之古稱。參見「澤瀉」條。 |</v>
      </c>
    </row>
    <row r="8945" spans="1:44" hidden="1">
      <c r="A8945" s="1" t="s">
        <v>17383</v>
      </c>
      <c r="C8945" s="1">
        <v>1</v>
      </c>
      <c r="D8945" s="1" t="str">
        <f>"07330"</f>
        <v>07330</v>
      </c>
      <c r="E8945" s="1" t="s">
        <v>725</v>
      </c>
      <c r="F8945" s="1">
        <v>21</v>
      </c>
      <c r="G8945" s="1">
        <v>15</v>
      </c>
      <c r="H8945" s="1">
        <v>0</v>
      </c>
      <c r="I8945" s="1" t="s">
        <v>17323</v>
      </c>
      <c r="K8945" s="1" t="str">
        <f t="shared" si="562"/>
        <v>ㄒ</v>
      </c>
      <c r="L8945" s="1" t="str">
        <f t="shared" si="563"/>
        <v>ㄩ</v>
      </c>
      <c r="N8945" s="3" t="s">
        <v>30574</v>
      </c>
      <c r="O8945" s="3"/>
      <c r="P8945" s="1" t="s">
        <v>20</v>
      </c>
      <c r="R8945" s="1" t="s">
        <v>17324</v>
      </c>
      <c r="V8945" s="1" t="s">
        <v>17384</v>
      </c>
      <c r="AR8945" s="1" t="str">
        <f t="shared" si="561"/>
        <v>| [ㄒㄩˋ](ㄒㄩˋ.md) | [續](續.md) |  | xù | [動]
1.接連不斷，或接在原來的之後。如：「連續」、「接續」。
2.承繼、繼世。如：「嗣續」。《史記．卷六．秦始皇本紀》：「及至秦王，續六世之餘烈，振長策而御宇內。」
3.添加、補充。如：「續杯」、「熱水瓶內再續些水吧！」
[名]
1.辦事的程序。如：「手續」。
2.舊事重演。《史記．卷七．項羽本紀》：「而聽細說，欲誅有功之人，此亡秦之續耳。」
3.姓。如漢代有續相如。 |</v>
      </c>
    </row>
    <row r="8946" spans="1:44" hidden="1">
      <c r="A8946" s="1" t="s">
        <v>16400</v>
      </c>
      <c r="C8946" s="1">
        <v>1</v>
      </c>
      <c r="D8946" s="1" t="str">
        <f>"07283"</f>
        <v>07283</v>
      </c>
      <c r="E8946" s="1" t="s">
        <v>256</v>
      </c>
      <c r="F8946" s="1">
        <v>7</v>
      </c>
      <c r="G8946" s="1">
        <v>4</v>
      </c>
      <c r="H8946" s="1">
        <v>5</v>
      </c>
      <c r="I8946" s="1" t="s">
        <v>17279</v>
      </c>
      <c r="K8946" s="1" t="str">
        <f t="shared" si="562"/>
        <v>ㄒ</v>
      </c>
      <c r="L8946" s="1" t="str">
        <f t="shared" si="563"/>
        <v>ㄩ</v>
      </c>
      <c r="N8946" s="3" t="s">
        <v>30575</v>
      </c>
      <c r="O8946" s="3"/>
      <c r="P8946" s="1" t="s">
        <v>20</v>
      </c>
      <c r="R8946" s="1" t="s">
        <v>17280</v>
      </c>
      <c r="V8946" s="1" t="s">
        <v>17281</v>
      </c>
      <c r="W8946" s="1" t="s">
        <v>17282</v>
      </c>
      <c r="AR8946" s="1" t="str">
        <f t="shared" si="561"/>
        <v>| [ㄒㄩˊ](ㄒㄩˊ.md) | [邪](邪.md) |  | xú | [副]
慢慢的。通「徐」。《詩經．邶風．北風》：「其虛其邪，既亟只且。」漢．鄭玄．箋：「邪，讀如徐，言今在位之人其故威儀虛徐寬仁者，今皆以為急刻之行矣，所以當去以此也。」 |</v>
      </c>
    </row>
    <row r="8947" spans="1:44" hidden="1">
      <c r="A8947" s="1" t="s">
        <v>17283</v>
      </c>
      <c r="C8947" s="1">
        <v>1</v>
      </c>
      <c r="D8947" s="1" t="str">
        <f>"07284"</f>
        <v>07284</v>
      </c>
      <c r="E8947" s="1" t="s">
        <v>114</v>
      </c>
      <c r="F8947" s="1">
        <v>7</v>
      </c>
      <c r="G8947" s="1">
        <v>5</v>
      </c>
      <c r="H8947" s="1">
        <v>2</v>
      </c>
      <c r="I8947" s="1" t="s">
        <v>17279</v>
      </c>
      <c r="K8947" s="1" t="str">
        <f t="shared" si="562"/>
        <v>ㄒ</v>
      </c>
      <c r="L8947" s="1" t="str">
        <f t="shared" si="563"/>
        <v>ㄩ</v>
      </c>
      <c r="N8947" s="3" t="s">
        <v>30575</v>
      </c>
      <c r="O8947" s="3"/>
      <c r="P8947" s="1" t="s">
        <v>20</v>
      </c>
      <c r="R8947" s="1" t="s">
        <v>17280</v>
      </c>
      <c r="V8947" s="1" t="s">
        <v>17284</v>
      </c>
      <c r="W8947" s="1" t="s">
        <v>17285</v>
      </c>
      <c r="AR8947" s="1" t="str">
        <f t="shared" si="561"/>
        <v>| [ㄒㄩˊ](ㄒㄩˊ.md) | [余](余.md) |  | xú | 參見「余余」、「余吾鎮」等條。 |</v>
      </c>
    </row>
    <row r="8948" spans="1:44" hidden="1">
      <c r="A8948" s="1" t="s">
        <v>17286</v>
      </c>
      <c r="C8948" s="1">
        <v>1</v>
      </c>
      <c r="D8948" s="1" t="str">
        <f>"07285"</f>
        <v>07285</v>
      </c>
      <c r="E8948" s="1" t="s">
        <v>234</v>
      </c>
      <c r="F8948" s="1">
        <v>10</v>
      </c>
      <c r="G8948" s="1">
        <v>7</v>
      </c>
      <c r="H8948" s="1">
        <v>0</v>
      </c>
      <c r="I8948" s="1" t="s">
        <v>17279</v>
      </c>
      <c r="K8948" s="1" t="str">
        <f t="shared" si="562"/>
        <v>ㄒ</v>
      </c>
      <c r="L8948" s="1" t="str">
        <f t="shared" si="563"/>
        <v>ㄩ</v>
      </c>
      <c r="N8948" s="3" t="s">
        <v>30575</v>
      </c>
      <c r="O8948" s="3"/>
      <c r="P8948" s="1" t="s">
        <v>20</v>
      </c>
      <c r="R8948" s="1" t="s">
        <v>17280</v>
      </c>
      <c r="V8948" s="1" t="s">
        <v>17287</v>
      </c>
      <c r="AR8948" s="1" t="str">
        <f t="shared" si="561"/>
        <v>| [ㄒㄩˊ](ㄒㄩˊ.md) | [徐](徐.md) |  | xú | [副]
緩慢。宋．蘇軾〈赤壁賦〉：「清風徐來，水波不興。」宋．宗澤〈早發〉詩：「眼中形勢胸中策，緩步徐行靜不譁。」
[名]
1.大陸地區徐州的省稱。
2.國名。周朝初年徐族所建，為吳國所滅。故址約在今大陸地區安徽省泗縣北。
3.姓。如明代有徐光啟。 |</v>
      </c>
    </row>
    <row r="8949" spans="1:44" hidden="1">
      <c r="A8949" s="1" t="s">
        <v>16720</v>
      </c>
      <c r="C8949" s="1">
        <v>1</v>
      </c>
      <c r="D8949" s="1" t="str">
        <f>"07286"</f>
        <v>07286</v>
      </c>
      <c r="E8949" s="1" t="s">
        <v>114</v>
      </c>
      <c r="F8949" s="1">
        <v>6</v>
      </c>
      <c r="G8949" s="1">
        <v>4</v>
      </c>
      <c r="H8949" s="1">
        <v>2</v>
      </c>
      <c r="I8949" s="1" t="s">
        <v>17288</v>
      </c>
      <c r="K8949" s="1" t="str">
        <f t="shared" si="562"/>
        <v>ㄒ</v>
      </c>
      <c r="L8949" s="1" t="str">
        <f t="shared" si="563"/>
        <v>ㄩ</v>
      </c>
      <c r="N8949" s="3" t="s">
        <v>30576</v>
      </c>
      <c r="O8949" s="3"/>
      <c r="P8949" s="1" t="s">
        <v>20</v>
      </c>
      <c r="R8949" s="1" t="s">
        <v>17289</v>
      </c>
      <c r="V8949" s="1" t="s">
        <v>17290</v>
      </c>
      <c r="W8949" s="1" t="s">
        <v>17291</v>
      </c>
      <c r="AR8949" s="1" t="str">
        <f t="shared" si="561"/>
        <v>| [ㄒㄩˇ](ㄒㄩˇ.md) | [休](休.md) |  | xǔ | [動]
1.使溫暖。通「煦」。《周禮．冬官考工記．弓人》：「夫角之末，蹙於腦而休於氣。」
2.發出痛念、憐惜的聲音。《左傳．昭公三年》：「民人痛疾，而或燠休之。」《三國志．卷十四．魏書．蔣濟傳》：「先料其民力而燠休之。」 |</v>
      </c>
    </row>
    <row r="8950" spans="1:44" hidden="1">
      <c r="A8950" s="1" t="s">
        <v>16727</v>
      </c>
      <c r="C8950" s="1">
        <v>1</v>
      </c>
      <c r="D8950" s="1" t="str">
        <f>"07287"</f>
        <v>07287</v>
      </c>
      <c r="E8950" s="1" t="s">
        <v>28</v>
      </c>
      <c r="F8950" s="1">
        <v>9</v>
      </c>
      <c r="G8950" s="1">
        <v>6</v>
      </c>
      <c r="H8950" s="1">
        <v>2</v>
      </c>
      <c r="I8950" s="1" t="s">
        <v>17288</v>
      </c>
      <c r="K8950" s="1" t="str">
        <f t="shared" si="562"/>
        <v>ㄒ</v>
      </c>
      <c r="L8950" s="1" t="str">
        <f t="shared" si="563"/>
        <v>ㄩ</v>
      </c>
      <c r="N8950" s="3" t="s">
        <v>30576</v>
      </c>
      <c r="O8950" s="3"/>
      <c r="P8950" s="1" t="s">
        <v>20</v>
      </c>
      <c r="R8950" s="1" t="s">
        <v>17289</v>
      </c>
      <c r="V8950" s="1" t="s">
        <v>17292</v>
      </c>
      <c r="W8950" s="1" t="s">
        <v>17293</v>
      </c>
      <c r="AR8950" s="1" t="str">
        <f t="shared" si="561"/>
        <v>| [ㄒㄩˇ](ㄒㄩˇ.md) | [咻](咻.md) |  | xǔ | 參見「噢咻」條。 |</v>
      </c>
    </row>
    <row r="8951" spans="1:44" hidden="1">
      <c r="A8951" s="1" t="s">
        <v>11735</v>
      </c>
      <c r="C8951" s="1">
        <v>1</v>
      </c>
      <c r="D8951" s="1" t="str">
        <f>"07288"</f>
        <v>07288</v>
      </c>
      <c r="E8951" s="1" t="s">
        <v>28</v>
      </c>
      <c r="F8951" s="1">
        <v>8</v>
      </c>
      <c r="G8951" s="1">
        <v>5</v>
      </c>
      <c r="H8951" s="1">
        <v>1</v>
      </c>
      <c r="I8951" s="1" t="s">
        <v>17288</v>
      </c>
      <c r="K8951" s="1" t="str">
        <f t="shared" si="562"/>
        <v>ㄒ</v>
      </c>
      <c r="L8951" s="1" t="str">
        <f t="shared" si="563"/>
        <v>ㄩ</v>
      </c>
      <c r="N8951" s="3" t="s">
        <v>30576</v>
      </c>
      <c r="O8951" s="3"/>
      <c r="P8951" s="1" t="s">
        <v>20</v>
      </c>
      <c r="R8951" s="1" t="s">
        <v>17289</v>
      </c>
      <c r="V8951" s="1" t="s">
        <v>17294</v>
      </c>
      <c r="W8951" s="1" t="s">
        <v>17295</v>
      </c>
      <c r="AR8951" s="1" t="str">
        <f t="shared" si="561"/>
        <v>| [ㄒㄩˇ](ㄒㄩˇ.md) | [呴](呴.md) |  | xǔ | [動]
1.呼氣、吹氣。見《玉篇．口部》。《文選．王襃．聖主得賢臣頌》：「何必偃仰詘信若彭祖，呴噓呼吸如喬松。」
2.張口哈氣使對方溫潤。《莊子．天運》：「相呴以溼，相濡以沫。」 |</v>
      </c>
    </row>
    <row r="8952" spans="1:44" hidden="1">
      <c r="A8952" s="1" t="s">
        <v>17296</v>
      </c>
      <c r="C8952" s="1">
        <v>1</v>
      </c>
      <c r="D8952" s="1" t="str">
        <f>"07289"</f>
        <v>07289</v>
      </c>
      <c r="E8952" s="1" t="s">
        <v>534</v>
      </c>
      <c r="F8952" s="1">
        <v>8</v>
      </c>
      <c r="G8952" s="1">
        <v>5</v>
      </c>
      <c r="H8952" s="1">
        <v>0</v>
      </c>
      <c r="I8952" s="1" t="s">
        <v>17288</v>
      </c>
      <c r="K8952" s="1" t="str">
        <f t="shared" si="562"/>
        <v>ㄒ</v>
      </c>
      <c r="L8952" s="1" t="str">
        <f t="shared" si="563"/>
        <v>ㄩ</v>
      </c>
      <c r="N8952" s="3" t="s">
        <v>30576</v>
      </c>
      <c r="O8952" s="3"/>
      <c r="P8952" s="1" t="s">
        <v>20</v>
      </c>
      <c r="R8952" s="1" t="s">
        <v>17289</v>
      </c>
      <c r="V8952" s="1" t="s">
        <v>17297</v>
      </c>
      <c r="AR8952" s="1" t="str">
        <f t="shared" si="561"/>
        <v>| [ㄒㄩˇ](ㄒㄩˇ.md) | [姁](姁.md) |  | xǔ | 參見「姁姁」條。 |</v>
      </c>
    </row>
    <row r="8953" spans="1:44" hidden="1">
      <c r="A8953" s="1" t="s">
        <v>17298</v>
      </c>
      <c r="C8953" s="1">
        <v>1</v>
      </c>
      <c r="D8953" s="1" t="str">
        <f>"07290"</f>
        <v>07290</v>
      </c>
      <c r="E8953" s="1" t="s">
        <v>646</v>
      </c>
      <c r="F8953" s="1">
        <v>9</v>
      </c>
      <c r="G8953" s="1">
        <v>5</v>
      </c>
      <c r="H8953" s="1">
        <v>0</v>
      </c>
      <c r="I8953" s="1" t="s">
        <v>17288</v>
      </c>
      <c r="K8953" s="1" t="str">
        <f t="shared" si="562"/>
        <v>ㄒ</v>
      </c>
      <c r="L8953" s="1" t="str">
        <f t="shared" si="563"/>
        <v>ㄩ</v>
      </c>
      <c r="N8953" s="3" t="s">
        <v>30576</v>
      </c>
      <c r="O8953" s="3"/>
      <c r="P8953" s="1" t="s">
        <v>20</v>
      </c>
      <c r="R8953" s="1" t="s">
        <v>17289</v>
      </c>
      <c r="V8953" s="1" t="s">
        <v>17299</v>
      </c>
      <c r="AR8953" s="1" t="str">
        <f t="shared" si="561"/>
        <v>| [ㄒㄩˇ](ㄒㄩˇ.md) | [昫](昫.md) |  | xǔ | [形]
溫暖。同「煦」。《說文解字．日部》：「昫，日出溫也。」 |</v>
      </c>
    </row>
    <row r="8954" spans="1:44" hidden="1">
      <c r="A8954" s="1" t="s">
        <v>17300</v>
      </c>
      <c r="C8954" s="1">
        <v>1</v>
      </c>
      <c r="D8954" s="1" t="str">
        <f>"07291"</f>
        <v>07291</v>
      </c>
      <c r="E8954" s="1" t="s">
        <v>28</v>
      </c>
      <c r="F8954" s="1">
        <v>12</v>
      </c>
      <c r="G8954" s="1">
        <v>9</v>
      </c>
      <c r="H8954" s="1">
        <v>0</v>
      </c>
      <c r="I8954" s="1" t="s">
        <v>17288</v>
      </c>
      <c r="K8954" s="1" t="str">
        <f t="shared" si="562"/>
        <v>ㄒ</v>
      </c>
      <c r="L8954" s="1" t="str">
        <f t="shared" si="563"/>
        <v>ㄩ</v>
      </c>
      <c r="N8954" s="3" t="s">
        <v>30576</v>
      </c>
      <c r="O8954" s="3"/>
      <c r="P8954" s="1" t="s">
        <v>20</v>
      </c>
      <c r="R8954" s="1" t="s">
        <v>17289</v>
      </c>
      <c r="V8954" s="1" t="s">
        <v>17301</v>
      </c>
      <c r="AR8954" s="1" t="str">
        <f t="shared" si="561"/>
        <v>| [ㄒㄩˇ](ㄒㄩˇ.md) | [喣](喣.md) |  | xǔ | [動]
1.呈示。《廣韻．上聲．麌韻》：「喣，呈示。」
2.吹氣、呼氣。《漢書．卷五十三．景十三王傳．中山靖王劉勝傳》：「夫眾喣漂山，聚蚊成雷。」 |</v>
      </c>
    </row>
    <row r="8955" spans="1:44" hidden="1">
      <c r="A8955" s="1" t="s">
        <v>17302</v>
      </c>
      <c r="C8955" s="1">
        <v>1</v>
      </c>
      <c r="D8955" s="1" t="str">
        <f>"07292"</f>
        <v>07292</v>
      </c>
      <c r="E8955" s="1" t="s">
        <v>336</v>
      </c>
      <c r="F8955" s="1">
        <v>13</v>
      </c>
      <c r="G8955" s="1">
        <v>9</v>
      </c>
      <c r="H8955" s="1">
        <v>0</v>
      </c>
      <c r="I8955" s="1" t="s">
        <v>17288</v>
      </c>
      <c r="K8955" s="1" t="str">
        <f t="shared" si="562"/>
        <v>ㄒ</v>
      </c>
      <c r="L8955" s="1" t="str">
        <f t="shared" si="563"/>
        <v>ㄩ</v>
      </c>
      <c r="N8955" s="3" t="s">
        <v>30576</v>
      </c>
      <c r="O8955" s="3"/>
      <c r="P8955" s="1" t="s">
        <v>20</v>
      </c>
      <c r="R8955" s="1" t="s">
        <v>17289</v>
      </c>
      <c r="V8955" s="1" t="s">
        <v>17303</v>
      </c>
      <c r="AR8955" s="1" t="str">
        <f t="shared" si="561"/>
        <v>| [ㄒㄩˇ](ㄒㄩˇ.md) | [煦](煦.md) |  | xǔ | [形]
溫暖、溫潤。如：「和煦」、「煦日初升」。明．文震亨《長物志．卷一．室廬》：「蘊隆則颯然而寒，凜冽則煦然而燠。」
[名]
恩惠。唐．玄宗〈誡勵宗室詔〉：「堂姪餘慶，承煦紹宗。」宋．歐陽修〈豐樂亭記〉：「而孰知上之功德，休養生息，涵煦於百年之深也！」
[動]
眼睛轉動。《孔子家語．卷六．本命》：「及生三月而微煦，然後有見。」 |</v>
      </c>
    </row>
    <row r="8956" spans="1:44" hidden="1">
      <c r="A8956" s="1" t="s">
        <v>17304</v>
      </c>
      <c r="C8956" s="1">
        <v>1</v>
      </c>
      <c r="D8956" s="1" t="str">
        <f>"07293"</f>
        <v>07293</v>
      </c>
      <c r="E8956" s="1" t="s">
        <v>139</v>
      </c>
      <c r="F8956" s="1">
        <v>10</v>
      </c>
      <c r="G8956" s="1">
        <v>6</v>
      </c>
      <c r="H8956" s="1">
        <v>0</v>
      </c>
      <c r="I8956" s="1" t="s">
        <v>17288</v>
      </c>
      <c r="K8956" s="1" t="str">
        <f t="shared" si="562"/>
        <v>ㄒ</v>
      </c>
      <c r="L8956" s="1" t="str">
        <f t="shared" si="563"/>
        <v>ㄩ</v>
      </c>
      <c r="N8956" s="3" t="s">
        <v>30576</v>
      </c>
      <c r="O8956" s="3"/>
      <c r="P8956" s="1" t="s">
        <v>20</v>
      </c>
      <c r="R8956" s="1" t="s">
        <v>17289</v>
      </c>
      <c r="V8956" s="1" t="s">
        <v>17305</v>
      </c>
      <c r="AR8956" s="1" t="str">
        <f t="shared" si="561"/>
        <v>| [ㄒㄩˇ](ㄒㄩˇ.md) | [栩](栩.md) |  | xǔ | [名]
櫟的別名。參見「櫟」條。
[形]
參見「栩栩」條。 |</v>
      </c>
    </row>
    <row r="8957" spans="1:44" hidden="1">
      <c r="A8957" s="1" t="s">
        <v>17306</v>
      </c>
      <c r="C8957" s="1">
        <v>1</v>
      </c>
      <c r="D8957" s="1" t="str">
        <f>"07294"</f>
        <v>07294</v>
      </c>
      <c r="E8957" s="1" t="s">
        <v>331</v>
      </c>
      <c r="F8957" s="1">
        <v>13</v>
      </c>
      <c r="G8957" s="1">
        <v>6</v>
      </c>
      <c r="H8957" s="1">
        <v>0</v>
      </c>
      <c r="I8957" s="1" t="s">
        <v>17288</v>
      </c>
      <c r="K8957" s="1" t="str">
        <f t="shared" si="562"/>
        <v>ㄒ</v>
      </c>
      <c r="L8957" s="1" t="str">
        <f t="shared" si="563"/>
        <v>ㄩ</v>
      </c>
      <c r="N8957" s="3" t="s">
        <v>30576</v>
      </c>
      <c r="O8957" s="3"/>
      <c r="P8957" s="1" t="s">
        <v>20</v>
      </c>
      <c r="R8957" s="1" t="s">
        <v>17289</v>
      </c>
      <c r="V8957" s="1" t="s">
        <v>17307</v>
      </c>
      <c r="AR8957" s="1" t="str">
        <f t="shared" si="561"/>
        <v>| [ㄒㄩˇ](ㄒㄩˇ.md) | [詡](詡.md) |  | xǔ | [動]
1.誇口、說大話。《說文解字．言部》：「詡，大言也。」如：「自詡」。《新唐書．卷七十六．后妃傳上．楊貴妃傳》：「見它第有勝者，輒壞復造，務以瑰侈相夸詡。」
2.普及。《禮記．禮器》：「德發揚，詡萬物。」漢．鄭玄．注：「詡，猶普也，遍也。」
[形]
嫵媚。宋．黃庭堅〈次韻寄晁以道〉詩：「不聞犯齋牧，猶聞畫眉詡。」 |</v>
      </c>
    </row>
    <row r="8958" spans="1:44" hidden="1">
      <c r="A8958" s="1" t="s">
        <v>17308</v>
      </c>
      <c r="C8958" s="1">
        <v>1</v>
      </c>
      <c r="D8958" s="1" t="str">
        <f>"07295"</f>
        <v>07295</v>
      </c>
      <c r="E8958" s="1" t="s">
        <v>2729</v>
      </c>
      <c r="F8958" s="1">
        <v>10</v>
      </c>
      <c r="G8958" s="1">
        <v>8</v>
      </c>
      <c r="H8958" s="1">
        <v>0</v>
      </c>
      <c r="I8958" s="1" t="s">
        <v>17288</v>
      </c>
      <c r="K8958" s="1" t="str">
        <f t="shared" si="562"/>
        <v>ㄒ</v>
      </c>
      <c r="L8958" s="1" t="str">
        <f t="shared" si="563"/>
        <v>ㄩ</v>
      </c>
      <c r="N8958" s="3" t="s">
        <v>30576</v>
      </c>
      <c r="O8958" s="3"/>
      <c r="P8958" s="1" t="s">
        <v>20</v>
      </c>
      <c r="R8958" s="1" t="s">
        <v>17289</v>
      </c>
      <c r="V8958" s="1" t="s">
        <v>17309</v>
      </c>
      <c r="AR8958" s="1" t="str">
        <f t="shared" si="561"/>
        <v>| [ㄒㄩˇ](ㄒㄩˇ.md) | [冔](冔.md) |  | xǔ | [名]
殷代的冠名。《儀禮．士冠禮》：「周弁、殷冔、夏收。」 |</v>
      </c>
    </row>
    <row r="8959" spans="1:44" hidden="1">
      <c r="A8959" s="1" t="s">
        <v>12103</v>
      </c>
      <c r="C8959" s="1">
        <v>1</v>
      </c>
      <c r="D8959" s="1" t="str">
        <f>"07296"</f>
        <v>07296</v>
      </c>
      <c r="E8959" s="1" t="s">
        <v>331</v>
      </c>
      <c r="F8959" s="1">
        <v>11</v>
      </c>
      <c r="G8959" s="1">
        <v>4</v>
      </c>
      <c r="H8959" s="1">
        <v>1</v>
      </c>
      <c r="I8959" s="1" t="s">
        <v>17288</v>
      </c>
      <c r="K8959" s="1" t="str">
        <f t="shared" si="562"/>
        <v>ㄒ</v>
      </c>
      <c r="L8959" s="1" t="str">
        <f t="shared" si="563"/>
        <v>ㄩ</v>
      </c>
      <c r="N8959" s="3" t="s">
        <v>30576</v>
      </c>
      <c r="O8959" s="3"/>
      <c r="P8959" s="1" t="s">
        <v>20</v>
      </c>
      <c r="R8959" s="1" t="s">
        <v>17289</v>
      </c>
      <c r="V8959" s="1" t="s">
        <v>17310</v>
      </c>
      <c r="W8959" s="1" t="s">
        <v>17311</v>
      </c>
      <c r="AR8959" s="1" t="str">
        <f t="shared" si="561"/>
        <v>| [ㄒㄩˇ](ㄒㄩˇ.md) | [許](許.md) |  | xǔ | [動]_x000D_
1.答應、應允。如：「許可」、「允許」。《左傳．閔公二年》：「及密，使公子魚請，不許。」《董西廂》卷六：「雖然昨夜見許，未足取信。」_x000D_
2.奉獻、給予。《史記．卷八六．刺客列傳．聶政》：「老母在，政身未敢以許人也。」宋．陸游〈觀長安城圖〉詩：「許國雖堅鬢已斑，山南經歲望南山。」_x000D_
3.允諾婚事。如：「許配」、「許嫁」。《三國演義》第七三回：「其女尚幼，未許字人。」《紅樓夢》第六四回：「把我二姨兒許給皇糧莊頭張家，指腹為婚。」_x000D_
4.稱讚。如：「稱許」、「讚許」。《三國志．卷三五．蜀書．諸葛亮傳》：「每自比於管仲、樂毅，時人莫之許也。」_x000D_
5.相信。《孟子．梁惠王上》：「明足以察秋毫之末，而不見輿薪，則王許之乎？」漢．趙岐．注：「許，信也。」_x000D_
6.期待。如：「期許」。《孟子．公孫丑上》：「夫子當路於齊，管仲晏子之功可復許乎？」宋．陸游〈書憤〉詩：「塞上長城空自許，鏡中衰鬢已先斑。」_x000D_
[名]_x000D_
1.處所。晉．陶淵明〈五柳先生傳〉：「先生不知何許人也，亦不詳其姓字。」宋．梅堯臣〈魯山山行〉詩：「人家在何許？雲外一聲雞。」_x000D_
2.表示約略估計的數量。如：「些許」、「少許」。《後漢書．卷七一．皇甫嵩朱儁列傳．皇甫嵩》：「赴河死者，五萬許人。」唐．柳宗元〈至小邱西小石潭記〉：「潭中魚可百許頭，皆若空遊無所依。」_x000D_
3.國名。周時所分封的諸侯國，姜姓，後滅於楚。故址約在今大陸地區河南省許昌縣東。_x000D_
4.地名。即今大陸地區河南省許昌縣。_x000D_
5.姓。如漢代有許慎。_x000D_
[副]_x000D_
1.可能。如：「或許」、「也許」。《樂府詩集．卷四六．清商曲辭三．無名氏．懊憹歌十四首之二》：「撢如陌上鼓，許是儂歡歸。」_x000D_
2.這麼、如此。如：「許多」。宋．蘇軾〈次韻答文與可見寄〉詩：「世間那有千尋竹，月落庭空影許長。」宋．朱熹〈觀書有感〉詩：「問渠那得清如許，為有源頭活水來。」_x000D_
3.表示疑問，相當於「何」、「什麼」。唐．杜審言〈贈蘇綰書記〉詩：「知君書記本翩翩，為許從容赴朔邊？」_x000D_
[助]_x000D_
語尾助詞，表示感嘆之義，相當於「啊」。唐．韓愈〈感春〉詩四首之一：「三杯取醉不復論，一生長恨奈何許！」 |</v>
      </c>
    </row>
    <row r="8960" spans="1:44" hidden="1">
      <c r="A8960" s="1" t="s">
        <v>17312</v>
      </c>
      <c r="C8960" s="1">
        <v>1</v>
      </c>
      <c r="D8960" s="1" t="str">
        <f>"07297"</f>
        <v>07297</v>
      </c>
      <c r="E8960" s="1" t="s">
        <v>129</v>
      </c>
      <c r="F8960" s="1">
        <v>12</v>
      </c>
      <c r="G8960" s="1">
        <v>9</v>
      </c>
      <c r="H8960" s="1">
        <v>0</v>
      </c>
      <c r="I8960" s="1" t="s">
        <v>17288</v>
      </c>
      <c r="K8960" s="1" t="str">
        <f t="shared" si="562"/>
        <v>ㄒ</v>
      </c>
      <c r="L8960" s="1" t="str">
        <f t="shared" si="563"/>
        <v>ㄩ</v>
      </c>
      <c r="N8960" s="3" t="s">
        <v>30576</v>
      </c>
      <c r="O8960" s="3"/>
      <c r="P8960" s="1" t="s">
        <v>20</v>
      </c>
      <c r="R8960" s="1" t="s">
        <v>17289</v>
      </c>
      <c r="V8960" s="1" t="s">
        <v>17313</v>
      </c>
      <c r="AR8960" s="1" t="str">
        <f t="shared" si="561"/>
        <v>| [ㄒㄩˇ](ㄒㄩˇ.md) | [湑](湑.md) |  | xǔ | [動]
1.濾除酒渣。《詩經．小雅．伐木》「釃酒有藇」句下漢．毛亨．傳：「以筐曰釃，以藪曰湑。」《儀禮．士冠禮》：「旨酒既湑，嘉薦伊脯。」
2.顯露、露出。《詩經．小雅．蓼蕭》：「蓼彼蕭斯，零露湑兮。」元．王翰〈龍山月夜飲酒分韻得樹字〉詩：「晴峰餘靄收，密竹殘露湑。」
[形]
1.美。《文選．左思．吳都賦》：「樂湑衎其方域，列仙集其土地。」
2.茂密繁盛。《詩經．小雅．裳裳者華》：「裳裳者華，其葉湑兮。」漢．毛亨．傳：「湑，盛貌。」 |</v>
      </c>
    </row>
    <row r="8961" spans="1:44" hidden="1">
      <c r="A8961" s="1" t="s">
        <v>17314</v>
      </c>
      <c r="C8961" s="1">
        <v>1</v>
      </c>
      <c r="D8961" s="1" t="str">
        <f>"07298"</f>
        <v>07298</v>
      </c>
      <c r="E8961" s="1" t="s">
        <v>46</v>
      </c>
      <c r="F8961" s="1">
        <v>15</v>
      </c>
      <c r="G8961" s="1">
        <v>9</v>
      </c>
      <c r="H8961" s="1">
        <v>0</v>
      </c>
      <c r="I8961" s="1" t="s">
        <v>17288</v>
      </c>
      <c r="K8961" s="1" t="str">
        <f t="shared" si="562"/>
        <v>ㄒ</v>
      </c>
      <c r="L8961" s="1" t="str">
        <f t="shared" si="563"/>
        <v>ㄩ</v>
      </c>
      <c r="N8961" s="3" t="s">
        <v>30576</v>
      </c>
      <c r="O8961" s="3"/>
      <c r="P8961" s="1" t="s">
        <v>20</v>
      </c>
      <c r="R8961" s="1" t="s">
        <v>17289</v>
      </c>
      <c r="V8961" s="1" t="s">
        <v>17315</v>
      </c>
      <c r="AR8961" s="1" t="str">
        <f t="shared" si="561"/>
        <v>| [ㄒㄩˇ](ㄒㄩˇ.md) | [糈](糈.md) |  | xǔ | [名]
1.糧食。《說文解字．米部》：「糈，糧也。」如：「餉糈」。《史記．卷一二九．貨殖傳》：「醫方諸食技術之人，焦神極能，為重糈也。」
2.祭祀神的精米。《楚辭．屈原．離騷》：「巫咸將夕降兮，懷椒糈而要之。」《史記．卷一二七．褚少孫補．日者傳》：「夫卜而有不審，不見奪糈。」唐．司馬貞．索隱：「糈者，卜求神之米也。」 |</v>
      </c>
    </row>
    <row r="8962" spans="1:44" hidden="1">
      <c r="A8962" s="1" t="s">
        <v>17316</v>
      </c>
      <c r="C8962" s="1">
        <v>1</v>
      </c>
      <c r="D8962" s="1" t="str">
        <f>"07299"</f>
        <v>07299</v>
      </c>
      <c r="E8962" s="1" t="s">
        <v>331</v>
      </c>
      <c r="F8962" s="1">
        <v>16</v>
      </c>
      <c r="G8962" s="1">
        <v>9</v>
      </c>
      <c r="H8962" s="1">
        <v>0</v>
      </c>
      <c r="I8962" s="1" t="s">
        <v>17288</v>
      </c>
      <c r="K8962" s="1" t="str">
        <f t="shared" si="562"/>
        <v>ㄒ</v>
      </c>
      <c r="L8962" s="1" t="str">
        <f t="shared" si="563"/>
        <v>ㄩ</v>
      </c>
      <c r="N8962" s="3" t="s">
        <v>30576</v>
      </c>
      <c r="O8962" s="3"/>
      <c r="P8962" s="1" t="s">
        <v>20</v>
      </c>
      <c r="R8962" s="1" t="s">
        <v>17289</v>
      </c>
      <c r="V8962" s="1" t="s">
        <v>17317</v>
      </c>
      <c r="AR8962" s="1" t="str">
        <f t="shared" si="561"/>
        <v>| [ㄒㄩˇ](ㄒㄩˇ.md) | [諝](諝.md) |  | xǔ | [名]
1.才智。《說文解字．言部》：「諝，知也。」《周禮．秋官．大行人》「屬象胥」句下唐．賈公彥．疏：「胥讀為諝者，欲取諝為才智之意也。」《文選．陸機．辯亡論上》：「謀無遺諝，舉不失策。」
2.計謀。《淮南子．本經》：「比周朋黨，設詐諝。」漢．高誘．注：「諝，謀也。」 |</v>
      </c>
    </row>
    <row r="8963" spans="1:44" hidden="1">
      <c r="A8963" s="1" t="s">
        <v>17318</v>
      </c>
      <c r="C8963" s="1">
        <v>1</v>
      </c>
      <c r="D8963" s="1" t="str">
        <f>"07300"</f>
        <v>07300</v>
      </c>
      <c r="E8963" s="1" t="s">
        <v>1462</v>
      </c>
      <c r="F8963" s="1">
        <v>16</v>
      </c>
      <c r="G8963" s="1">
        <v>9</v>
      </c>
      <c r="H8963" s="1">
        <v>0</v>
      </c>
      <c r="I8963" s="1" t="s">
        <v>17288</v>
      </c>
      <c r="K8963" s="1" t="str">
        <f t="shared" si="562"/>
        <v>ㄒ</v>
      </c>
      <c r="L8963" s="1" t="str">
        <f t="shared" si="563"/>
        <v>ㄩ</v>
      </c>
      <c r="N8963" s="3" t="s">
        <v>30576</v>
      </c>
      <c r="O8963" s="3"/>
      <c r="P8963" s="1" t="s">
        <v>20</v>
      </c>
      <c r="R8963" s="1" t="s">
        <v>17289</v>
      </c>
      <c r="V8963" s="1" t="s">
        <v>17319</v>
      </c>
      <c r="AR8963" s="1" t="str">
        <f t="shared" ref="AR8963:AR9026" si="564">"| ["&amp;I8963&amp;"]("&amp;I8963&amp;".md) | ["&amp;A8963&amp;"]("&amp;A8963&amp;".md) | "&amp;" | "&amp;R8963&amp;" | "&amp;V8963&amp;" |"</f>
        <v>| [ㄒㄩˇ](ㄒㄩˇ.md) | [醑](醑.md) |  | xǔ | [名]
美酒。《玉篇．酉部》：「醑，美酒也。」如：「椒醑」、「清醑」。《文選．謝靈運．夜宿石門詩》：「妙物莫為賞，芳醑誰與伐？」
[動]
濾酒、去除酒糟。《廣韻．上聲．語韻》：「醑，簏酒。」 |</v>
      </c>
    </row>
    <row r="8964" spans="1:44" hidden="1">
      <c r="A8964" s="1" t="s">
        <v>17320</v>
      </c>
      <c r="C8964" s="1">
        <v>1</v>
      </c>
      <c r="D8964" s="1" t="str">
        <f>"07301"</f>
        <v>07301</v>
      </c>
      <c r="E8964" s="1" t="s">
        <v>256</v>
      </c>
      <c r="F8964" s="1">
        <v>15</v>
      </c>
      <c r="G8964" s="1">
        <v>12</v>
      </c>
      <c r="H8964" s="1">
        <v>0</v>
      </c>
      <c r="I8964" s="1" t="s">
        <v>17288</v>
      </c>
      <c r="K8964" s="1" t="str">
        <f t="shared" si="562"/>
        <v>ㄒ</v>
      </c>
      <c r="L8964" s="1" t="str">
        <f t="shared" si="563"/>
        <v>ㄩ</v>
      </c>
      <c r="N8964" s="3" t="s">
        <v>30576</v>
      </c>
      <c r="O8964" s="3"/>
      <c r="P8964" s="1" t="s">
        <v>20</v>
      </c>
      <c r="R8964" s="1" t="s">
        <v>17289</v>
      </c>
      <c r="V8964" s="1" t="s">
        <v>17321</v>
      </c>
      <c r="AR8964" s="1" t="str">
        <f t="shared" si="564"/>
        <v>| [ㄒㄩˇ](ㄒㄩˇ.md) | [鄦](鄦.md) |  | xǔ | [名]
國名。即許國，為周初所分封的諸侯國。故址約在今大陸地區河南省許昌縣東。《說文解字．邑部》「鄦」字．清．段玉裁．注：「鄦、許古今字，……今河南許州州東三十里，有故許昌城。」 |</v>
      </c>
    </row>
    <row r="8965" spans="1:44" hidden="1">
      <c r="A8965" s="1" t="s">
        <v>17691</v>
      </c>
      <c r="C8965" s="1">
        <v>1</v>
      </c>
      <c r="D8965" s="1" t="str">
        <f>"07464"</f>
        <v>07464</v>
      </c>
      <c r="E8965" s="1" t="s">
        <v>1663</v>
      </c>
      <c r="F8965" s="1">
        <v>4</v>
      </c>
      <c r="G8965" s="1">
        <v>3</v>
      </c>
      <c r="H8965" s="1">
        <v>0</v>
      </c>
      <c r="I8965" s="1" t="s">
        <v>17692</v>
      </c>
      <c r="K8965" s="1" t="str">
        <f t="shared" si="562"/>
        <v>ㄓ</v>
      </c>
      <c r="L8965" s="1" t="str">
        <f t="shared" si="563"/>
        <v/>
      </c>
      <c r="M8965" s="1" t="str">
        <f t="shared" ref="M8965:M9028" si="565">MID(I8965, 3, 1)</f>
        <v/>
      </c>
      <c r="P8965" s="1" t="s">
        <v>20</v>
      </c>
      <c r="R8965" s="1" t="s">
        <v>17693</v>
      </c>
      <c r="V8965" s="1" t="s">
        <v>17694</v>
      </c>
      <c r="AR8965" s="1" t="str">
        <f t="shared" si="564"/>
        <v>| [ㄓ](ㄓ.md) | [之](之.md) |  | zhī | [介]
1.的、底。《論語．公冶長》：「夫子之文章。」《左傳．襄公十四年》：「余弟死，而子來，是而子殺余之弟也。」
2.於。《易經．比卦．象曰》：「比之匪人，不亦傷乎？」《禮記．大學》：「人之其所親愛而辟焉。」
3.諸、之於。《孟子．滕文公上》：「禹疏九河，瀹濟、漯而注諸海；決汝、漢，排淮、泗而注之江。」
[連]
1.與、及。《書經．立政》：「文王罔攸兼于庶言、庶獄、庶慎，惟有司之牧夫。」《呂氏春秋．仲夏紀．適音》：「樂之弗樂者，心也。」
2.而。《戰國策．秦策二》：「臣恐王為臣之投杼也。」
3.若、如果。《書經．盤庚上》：「邦之臧，惟汝眾，邦之不臧，惟予一人有佚罰。」《論語．子張》：「我之大賢與，於人何所不容？我之不賢與，人將拒我，如之何其拒人也？」
4.則。《左傳．僖公九年》：「東略之不知，西則否矣。」《呂氏春秋．仲春紀．功名》：「故民無常處，見利之聚，無之去。」
[助]
用於強調或補足語氣，無義。《書經．西伯戡黎》：「殷之即喪！指乃功，不無戮于爾邦？」《史記．卷四八．陳涉世家》：「悵恨久之。」
[代]
1.他、彼。《書經．皋陶謨》：「安民則惠，黎民懷之。」《論語．顏淵》：「愛之欲其生。」
2.其、他的。《武王伐紂平話．卷中》：「紂王令推上法場，斬之老母。」清．王士禎《池北偶談．卷二四．談異五．女化男》：「乃以聘禮還之夫家。」
3.此、這個。《詩經．邶風．日月》：「乃如之人兮，逝不古處。」《莊子．知北遊》：「知以之言也，問乎狂屈。」
[動]
1.往。如唐朝李白有〈黃鶴樓送孟浩然之廣陵〉詩。《詩經．鄘風．載馳》：「百爾所思，不如我所之。」
2.至、到。《西京雜記》卷五：「此自少之多，自微至著也。」
3.是、為。《公羊傳．宣公十五年》：「吾見子之君子也，是以告情于子也。」漢．揚雄《法言．吾子》：「羊質而虎皮，見草而說，見豺而戰，忘其皮之虎也。」
4.取用。《戰國策．齊策三》：「故物舍其所長，之其所短，堯亦有所不及矣。」
[名]
姓。如漢代有之馬宇。 |</v>
      </c>
    </row>
    <row r="8966" spans="1:44" hidden="1">
      <c r="A8966" s="1" t="s">
        <v>17695</v>
      </c>
      <c r="C8966" s="1">
        <v>1</v>
      </c>
      <c r="D8966" s="1" t="str">
        <f>"07465"</f>
        <v>07465</v>
      </c>
      <c r="E8966" s="1" t="s">
        <v>37</v>
      </c>
      <c r="F8966" s="1">
        <v>8</v>
      </c>
      <c r="G8966" s="1">
        <v>4</v>
      </c>
      <c r="H8966" s="1">
        <v>0</v>
      </c>
      <c r="I8966" s="1" t="s">
        <v>17692</v>
      </c>
      <c r="K8966" s="1" t="str">
        <f t="shared" si="562"/>
        <v>ㄓ</v>
      </c>
      <c r="L8966" s="1" t="str">
        <f t="shared" si="563"/>
        <v/>
      </c>
      <c r="M8966" s="1" t="str">
        <f t="shared" si="565"/>
        <v/>
      </c>
      <c r="P8966" s="1" t="s">
        <v>20</v>
      </c>
      <c r="R8966" s="1" t="s">
        <v>17693</v>
      </c>
      <c r="V8966" s="1" t="s">
        <v>17696</v>
      </c>
      <c r="AR8966" s="1" t="str">
        <f t="shared" si="564"/>
        <v>| [ㄓ](ㄓ.md) | [芝](芝.md) |  | zhī | [名]
植物名。多孔菌科靈芝屬。「靈芝」之簡稱，參見「靈芝」條。 |</v>
      </c>
    </row>
    <row r="8967" spans="1:44" hidden="1">
      <c r="A8967" s="1" t="s">
        <v>17697</v>
      </c>
      <c r="C8967" s="1">
        <v>1</v>
      </c>
      <c r="D8967" s="1" t="str">
        <f>"07466"</f>
        <v>07466</v>
      </c>
      <c r="E8967" s="1" t="s">
        <v>14908</v>
      </c>
      <c r="F8967" s="1">
        <v>4</v>
      </c>
      <c r="G8967" s="1">
        <v>0</v>
      </c>
      <c r="H8967" s="1">
        <v>0</v>
      </c>
      <c r="I8967" s="1" t="s">
        <v>17692</v>
      </c>
      <c r="K8967" s="1" t="str">
        <f t="shared" si="562"/>
        <v>ㄓ</v>
      </c>
      <c r="L8967" s="1" t="str">
        <f t="shared" si="563"/>
        <v/>
      </c>
      <c r="M8967" s="1" t="str">
        <f t="shared" si="565"/>
        <v/>
      </c>
      <c r="P8967" s="1" t="s">
        <v>20</v>
      </c>
      <c r="R8967" s="1" t="s">
        <v>17693</v>
      </c>
      <c r="V8967" s="1" t="s">
        <v>17698</v>
      </c>
      <c r="AR8967" s="1" t="str">
        <f t="shared" si="564"/>
        <v>| [ㄓ](ㄓ.md) | [支](支.md) |  | zhī | [名]_x000D_
1.草木的枝條。通「枝」。《詩經．衛風．芄蘭》：「芄蘭之支，童子佩觿。」《漢書．卷四九．爰盎鼂錯傳．鼂錯》：「屮木蒙蘢，支葉茂接。」_x000D_
2.旁系、分出的派別。如：「旁支」、「分支」。《清史稿．卷一五七．邦交志五》：「中國亦允由德州至正定府及由兗州府或幹路中之他處過濟寧州至開封府兩支路，於十五年內由中國自行籌辦，並聲明儻用洋款，須向德華公司商借。」_x000D_
3.手腳。通「肢」。《易經．坤卦．文言》：「美在其中而暢於四支。」_x000D_
4.地支的簡稱。《史記．卷二六．曆書》：「焉逢攝提格太初元年。」司馬貞索隱引《爾雅》：「歲陰者，子、丑、寅、卯、辰、巳、午、未、申、酉、戌、亥十二支是也。」_x000D_
5.量詞：(1)計算隊伍的單位。如：「一支軍隊」、「兩支隊伍」。(2)計算歌曲、樂曲或舞蹈的單位。如：「兩支歌曲」、「一支新舞」。《紅樓夢》第二二回：「這個人悟了。都是我的不是，都是我昨兒一支曲子惹出來的。」(3)計算細長或桿狀物體的單位。《紅樓夢》第二七回：「迎春又令丫鬟炷了一支『夢甜香』。」《老殘遊記》第三回：「穿了件紫棕熟羅棉大襖，手裡捧了一支洋白銅二馬車水煙袋。」《孽海花》第三四回：「一手在衣袋裡，掏出一支防身的小手鎗，拔步往前就沖。」(4)計算綿紗精細程度的單位。支數愈多，紗質愈細。如：「八十支紗」。(5)計算燈光強度的單位。如：「四十支光」。_x000D_
6.姓。如唐代有支叔才。_x000D_
7.二一四部首之一。_x000D_
[動]_x000D_
1.撐持、維持。《國語．越語下》：「皆知其資財之不足以支長久也。」《水滸傳》第九九回：「我這威勝萬山環列，糧草足支二年。」_x000D_
2.承受、受得住。如：「體力不支」、「樂不可支」。_x000D_
3.付款。如：「收支」、「開支」。_x000D_
4.領取。如：「預支」、「先支了一個月的薪水。」_x000D_
5.調度、分配、遣走。如：「支配」、「把他支走了。」_x000D_
[形]_x000D_
別出的、由總體分出來的。如：「支店」、「支行」。 |</v>
      </c>
    </row>
    <row r="8968" spans="1:44" hidden="1">
      <c r="A8968" s="1" t="s">
        <v>17699</v>
      </c>
      <c r="C8968" s="1">
        <v>1</v>
      </c>
      <c r="D8968" s="1" t="str">
        <f>"07466A"</f>
        <v>07466A</v>
      </c>
      <c r="E8968" s="1" t="s">
        <v>28</v>
      </c>
      <c r="F8968" s="1">
        <v>7</v>
      </c>
      <c r="G8968" s="1">
        <v>4</v>
      </c>
      <c r="H8968" s="1">
        <v>0</v>
      </c>
      <c r="I8968" s="1" t="s">
        <v>17692</v>
      </c>
      <c r="K8968" s="1" t="str">
        <f t="shared" si="562"/>
        <v>ㄓ</v>
      </c>
      <c r="L8968" s="1" t="str">
        <f t="shared" si="563"/>
        <v/>
      </c>
      <c r="M8968" s="1" t="str">
        <f t="shared" si="565"/>
        <v/>
      </c>
      <c r="P8968" s="1" t="s">
        <v>20</v>
      </c>
      <c r="R8968" s="1" t="s">
        <v>17693</v>
      </c>
      <c r="V8968" s="1" t="s">
        <v>17700</v>
      </c>
      <c r="AR8968" s="1" t="str">
        <f t="shared" si="564"/>
        <v>| [ㄓ](ㄓ.md) | [吱](吱.md) |  | zhī | [擬]
形容小動物或細碎尖銳的聲音。如：「小松鼠在樹上吱吱的叫。」《兒女英雄傳》第一一回：「一句話未完，只聽得山腰裡吱的一聲這頭響箭，一直射在半空裡去。」或讀為ㄗ zī。 |</v>
      </c>
    </row>
    <row r="8969" spans="1:44" hidden="1">
      <c r="A8969" s="1" t="s">
        <v>14947</v>
      </c>
      <c r="C8969" s="1">
        <v>1</v>
      </c>
      <c r="D8969" s="1" t="str">
        <f>"07467"</f>
        <v>07467</v>
      </c>
      <c r="E8969" s="1" t="s">
        <v>139</v>
      </c>
      <c r="F8969" s="1">
        <v>8</v>
      </c>
      <c r="G8969" s="1">
        <v>4</v>
      </c>
      <c r="H8969" s="1">
        <v>1</v>
      </c>
      <c r="I8969" s="1" t="s">
        <v>17692</v>
      </c>
      <c r="K8969" s="1" t="str">
        <f t="shared" si="562"/>
        <v>ㄓ</v>
      </c>
      <c r="L8969" s="1" t="str">
        <f t="shared" si="563"/>
        <v/>
      </c>
      <c r="M8969" s="1" t="str">
        <f t="shared" si="565"/>
        <v/>
      </c>
      <c r="P8969" s="1" t="s">
        <v>20</v>
      </c>
      <c r="R8969" s="1" t="s">
        <v>17693</v>
      </c>
      <c r="V8969" s="1" t="s">
        <v>17701</v>
      </c>
      <c r="W8969" s="1" t="s">
        <v>17702</v>
      </c>
      <c r="AR8969" s="1" t="str">
        <f t="shared" si="564"/>
        <v>| [ㄓ](ㄓ.md) | [枝](枝.md) |  | zhī | [名]_x000D_
1.樹幹從旁生出的枝條。《說文解字．木部》：「枝，木別生條也。」如：「枝幹」、「枯枝」、「嫩枝」。《莊子．逍遙遊》：「鷦鷯巢於深林，不過一枝；偃鼠飲河，不過滿腹。」_x000D_
2.凡自同一本源而分出者。《左傳．莊公六年》：「《詩》云：『本枝百世。』」《荀子．儒效》：「故以枝代主而非越也。」_x000D_
3.四肢。通「肢」。《莊子．大宗師》：「墮枝體，黜聰明，離形去知。」_x000D_
4.量詞：（1）計算植物的單位。如：「一枝花」。唐．白居易〈長恨歌〉：「玉容寂寞淚闌干，梨花一枝春帶雨。」宋．葉紹翁〈遊園不值〉詩：「春色滿園關不住，一枝紅杏出牆來。」（2）計算細長物體的單位。如：「三枝毛筆」。元．鄭光祖《智勇定齊》第二折：「潑毛團帶著我一枝金鈚箭走了也。……眾人跟著某，務要趕上。」《水滸傳》第三回：「鬅鬆雲髻，插一枝青玉簪兒。」《蕩寇志》第一回：「左首將台上，豎著一枝沖霄拔地的黃漆旗竿，上有一面杏黃旗。」（3）計算隊伍的單位。《三寶太監西洋記通俗演義》第三七回：「元帥老爺吩咐旗牌官撥出一枝軍馬，跟隨鄭護衛出陣成功。」_x000D_
5.姓。如漢代有枝百英。_x000D_
[形]_x000D_
不中肯的、不一致的。《易經．繫辭下》：「中心疑者，其辭枝。」 |</v>
      </c>
    </row>
    <row r="8970" spans="1:44" hidden="1">
      <c r="A8970" s="1" t="s">
        <v>17703</v>
      </c>
      <c r="C8970" s="1">
        <v>1</v>
      </c>
      <c r="D8970" s="1" t="str">
        <f>"07468"</f>
        <v>07468</v>
      </c>
      <c r="E8970" s="1" t="s">
        <v>68</v>
      </c>
      <c r="F8970" s="1">
        <v>8</v>
      </c>
      <c r="G8970" s="1">
        <v>4</v>
      </c>
      <c r="H8970" s="1">
        <v>0</v>
      </c>
      <c r="I8970" s="1" t="s">
        <v>17692</v>
      </c>
      <c r="K8970" s="1" t="str">
        <f t="shared" si="562"/>
        <v>ㄓ</v>
      </c>
      <c r="L8970" s="1" t="str">
        <f t="shared" si="563"/>
        <v/>
      </c>
      <c r="M8970" s="1" t="str">
        <f t="shared" si="565"/>
        <v/>
      </c>
      <c r="P8970" s="1" t="s">
        <v>20</v>
      </c>
      <c r="R8970" s="1" t="s">
        <v>17693</v>
      </c>
      <c r="V8970" s="1" t="s">
        <v>17704</v>
      </c>
      <c r="AR8970" s="1" t="str">
        <f t="shared" si="564"/>
        <v>| [ㄓ](ㄓ.md) | [肢](肢.md) |  | zhī | [名]
人或動物的手腳。如：「肢體」、「四肢」。《孟子．盡心下》：「四肢之於安佚也，性也。」 |</v>
      </c>
    </row>
    <row r="8971" spans="1:44" hidden="1">
      <c r="A8971" s="1" t="s">
        <v>17705</v>
      </c>
      <c r="C8971" s="1">
        <v>1</v>
      </c>
      <c r="D8971" s="1" t="str">
        <f>"07469"</f>
        <v>07469</v>
      </c>
      <c r="E8971" s="1" t="s">
        <v>272</v>
      </c>
      <c r="F8971" s="1">
        <v>15</v>
      </c>
      <c r="G8971" s="1">
        <v>4</v>
      </c>
      <c r="H8971" s="1">
        <v>0</v>
      </c>
      <c r="I8971" s="1" t="s">
        <v>17692</v>
      </c>
      <c r="K8971" s="1" t="str">
        <f t="shared" si="562"/>
        <v>ㄓ</v>
      </c>
      <c r="L8971" s="1" t="str">
        <f t="shared" si="563"/>
        <v/>
      </c>
      <c r="M8971" s="1" t="str">
        <f t="shared" si="565"/>
        <v/>
      </c>
      <c r="P8971" s="1" t="s">
        <v>20</v>
      </c>
      <c r="R8971" s="1" t="s">
        <v>17693</v>
      </c>
      <c r="V8971" s="1" t="s">
        <v>17706</v>
      </c>
      <c r="AR8971" s="1" t="str">
        <f t="shared" si="564"/>
        <v>| [ㄓ](ㄓ.md) | [鳷](鳷.md) |  | zhī | 參見「鳷鵲」條。 |</v>
      </c>
    </row>
    <row r="8972" spans="1:44" hidden="1">
      <c r="A8972" s="1" t="s">
        <v>17707</v>
      </c>
      <c r="C8972" s="1">
        <v>1</v>
      </c>
      <c r="D8972" s="1" t="str">
        <f>"07470"</f>
        <v>07470</v>
      </c>
      <c r="E8972" s="1" t="s">
        <v>3195</v>
      </c>
      <c r="F8972" s="1">
        <v>4</v>
      </c>
      <c r="G8972" s="1">
        <v>0</v>
      </c>
      <c r="H8972" s="1">
        <v>2</v>
      </c>
      <c r="I8972" s="1" t="s">
        <v>17692</v>
      </c>
      <c r="K8972" s="1" t="str">
        <f t="shared" si="562"/>
        <v>ㄓ</v>
      </c>
      <c r="L8972" s="1" t="str">
        <f t="shared" si="563"/>
        <v/>
      </c>
      <c r="M8972" s="1" t="str">
        <f t="shared" si="565"/>
        <v/>
      </c>
      <c r="P8972" s="1" t="s">
        <v>20</v>
      </c>
      <c r="R8972" s="1" t="s">
        <v>17693</v>
      </c>
      <c r="V8972" s="1" t="s">
        <v>17708</v>
      </c>
      <c r="W8972" s="1" t="s">
        <v>17709</v>
      </c>
      <c r="AR8972" s="1" t="str">
        <f t="shared" si="564"/>
        <v>| [ㄓ](ㄓ.md) | [氏](氏.md) |  | zhī | 參見「月氏」條。 |</v>
      </c>
    </row>
    <row r="8973" spans="1:44" hidden="1">
      <c r="A8973" s="1" t="s">
        <v>17710</v>
      </c>
      <c r="C8973" s="1">
        <v>1</v>
      </c>
      <c r="D8973" s="1" t="str">
        <f>"07471"</f>
        <v>07471</v>
      </c>
      <c r="E8973" s="1" t="s">
        <v>40</v>
      </c>
      <c r="F8973" s="1">
        <v>9</v>
      </c>
      <c r="G8973" s="1">
        <v>4</v>
      </c>
      <c r="H8973" s="1">
        <v>0</v>
      </c>
      <c r="I8973" s="1" t="s">
        <v>17692</v>
      </c>
      <c r="K8973" s="1" t="str">
        <f t="shared" si="562"/>
        <v>ㄓ</v>
      </c>
      <c r="L8973" s="1" t="str">
        <f t="shared" si="563"/>
        <v/>
      </c>
      <c r="M8973" s="1" t="str">
        <f t="shared" si="565"/>
        <v/>
      </c>
      <c r="P8973" s="1" t="s">
        <v>20</v>
      </c>
      <c r="R8973" s="1" t="s">
        <v>17693</v>
      </c>
      <c r="V8973" s="1" t="s">
        <v>17711</v>
      </c>
      <c r="AR8973" s="1" t="str">
        <f t="shared" si="564"/>
        <v>| [ㄓ](ㄓ.md) | [疧](疧.md) |  | zhī | [動]
生病。《說文解字．疒部》：「疧，病不翅也。」 |</v>
      </c>
    </row>
    <row r="8974" spans="1:44" hidden="1">
      <c r="A8974" s="1" t="s">
        <v>14999</v>
      </c>
      <c r="C8974" s="1">
        <v>1</v>
      </c>
      <c r="D8974" s="1" t="str">
        <f>"07472"</f>
        <v>07472</v>
      </c>
      <c r="E8974" s="1" t="s">
        <v>825</v>
      </c>
      <c r="F8974" s="1">
        <v>9</v>
      </c>
      <c r="G8974" s="1">
        <v>4</v>
      </c>
      <c r="H8974" s="1">
        <v>2</v>
      </c>
      <c r="I8974" s="1" t="s">
        <v>17692</v>
      </c>
      <c r="K8974" s="1" t="str">
        <f t="shared" si="562"/>
        <v>ㄓ</v>
      </c>
      <c r="L8974" s="1" t="str">
        <f t="shared" si="563"/>
        <v/>
      </c>
      <c r="M8974" s="1" t="str">
        <f t="shared" si="565"/>
        <v/>
      </c>
      <c r="P8974" s="1" t="s">
        <v>20</v>
      </c>
      <c r="R8974" s="1" t="s">
        <v>17693</v>
      </c>
      <c r="V8974" s="1" t="s">
        <v>17712</v>
      </c>
      <c r="W8974" s="1" t="s">
        <v>17713</v>
      </c>
      <c r="AR8974" s="1" t="str">
        <f t="shared" si="564"/>
        <v>| [ㄓ](ㄓ.md) | [祇](祇.md) |  | zhī | [副]
正、恰、只。《詩經．小雅．何人斯》：「胡逝我梁，祇攪我心。」三國魏．曹丕〈煌煌京洛行〉：「多言寡誠，祇令事敗。」或讀為ㄓˇ zhǐ。 |</v>
      </c>
    </row>
    <row r="8975" spans="1:44" hidden="1">
      <c r="A8975" s="1" t="s">
        <v>17714</v>
      </c>
      <c r="C8975" s="1">
        <v>1</v>
      </c>
      <c r="D8975" s="1" t="str">
        <f>"07473"</f>
        <v>07473</v>
      </c>
      <c r="E8975" s="1" t="s">
        <v>429</v>
      </c>
      <c r="F8975" s="1">
        <v>9</v>
      </c>
      <c r="G8975" s="1">
        <v>4</v>
      </c>
      <c r="H8975" s="1">
        <v>0</v>
      </c>
      <c r="I8975" s="1" t="s">
        <v>17692</v>
      </c>
      <c r="K8975" s="1" t="str">
        <f t="shared" si="562"/>
        <v>ㄓ</v>
      </c>
      <c r="L8975" s="1" t="str">
        <f t="shared" si="563"/>
        <v/>
      </c>
      <c r="M8975" s="1" t="str">
        <f t="shared" si="565"/>
        <v/>
      </c>
      <c r="P8975" s="1" t="s">
        <v>20</v>
      </c>
      <c r="R8975" s="1" t="s">
        <v>17693</v>
      </c>
      <c r="V8975" s="1" t="s">
        <v>17715</v>
      </c>
      <c r="AR8975" s="1" t="str">
        <f t="shared" si="564"/>
        <v>| [ㄓ](ㄓ.md) | [秖](秖.md) |  | zhī | [動]
穀物開始成熟。《玉篇．禾部》：「秖，穀始熟也。」 |</v>
      </c>
    </row>
    <row r="8976" spans="1:44" hidden="1">
      <c r="A8976" s="1" t="s">
        <v>17716</v>
      </c>
      <c r="C8976" s="1">
        <v>1</v>
      </c>
      <c r="D8976" s="1" t="str">
        <f>"07474"</f>
        <v>07474</v>
      </c>
      <c r="E8976" s="1" t="s">
        <v>68</v>
      </c>
      <c r="F8976" s="1">
        <v>9</v>
      </c>
      <c r="G8976" s="1">
        <v>5</v>
      </c>
      <c r="H8976" s="1">
        <v>0</v>
      </c>
      <c r="I8976" s="1" t="s">
        <v>17692</v>
      </c>
      <c r="K8976" s="1" t="str">
        <f t="shared" si="562"/>
        <v>ㄓ</v>
      </c>
      <c r="L8976" s="1" t="str">
        <f t="shared" si="563"/>
        <v/>
      </c>
      <c r="M8976" s="1" t="str">
        <f t="shared" si="565"/>
        <v/>
      </c>
      <c r="P8976" s="1" t="s">
        <v>20</v>
      </c>
      <c r="R8976" s="1" t="s">
        <v>17693</v>
      </c>
      <c r="V8976" s="1" t="s">
        <v>17717</v>
      </c>
      <c r="AR8976" s="1" t="str">
        <f t="shared" si="564"/>
        <v>| [ㄓ](ㄓ.md) | [胝](胝.md) |  | zhī | [名]
手、腳掌因磨擦所產生的厚皮。如：「胼胝」。《文選．任昉．百辟勸進今上牋》：「雖累繭救宋，重胝存楚，居今觀古，曾何足云。」 |</v>
      </c>
    </row>
    <row r="8977" spans="1:44" hidden="1">
      <c r="A8977" s="1" t="s">
        <v>15002</v>
      </c>
      <c r="C8977" s="1">
        <v>1</v>
      </c>
      <c r="D8977" s="1" t="str">
        <f>"07475"</f>
        <v>07475</v>
      </c>
      <c r="E8977" s="1" t="s">
        <v>340</v>
      </c>
      <c r="F8977" s="1">
        <v>10</v>
      </c>
      <c r="G8977" s="1">
        <v>4</v>
      </c>
      <c r="H8977" s="1">
        <v>2</v>
      </c>
      <c r="I8977" s="1" t="s">
        <v>17692</v>
      </c>
      <c r="K8977" s="1" t="str">
        <f t="shared" si="562"/>
        <v>ㄓ</v>
      </c>
      <c r="L8977" s="1" t="str">
        <f t="shared" si="563"/>
        <v/>
      </c>
      <c r="M8977" s="1" t="str">
        <f t="shared" si="565"/>
        <v/>
      </c>
      <c r="P8977" s="1" t="s">
        <v>20</v>
      </c>
      <c r="R8977" s="1" t="s">
        <v>17693</v>
      </c>
      <c r="V8977" s="1" t="s">
        <v>17718</v>
      </c>
      <c r="W8977" s="1" t="s">
        <v>17719</v>
      </c>
      <c r="AR8977" s="1" t="str">
        <f t="shared" si="564"/>
        <v>| [ㄓ](ㄓ.md) | [衹](衹.md) |  | zhī | [副]
但、正好。同「祇」。《左傳．僖公十五年》：「晉未可滅，而殺其君，衹以成惡。」 |</v>
      </c>
    </row>
    <row r="8978" spans="1:44" hidden="1">
      <c r="A8978" s="1" t="s">
        <v>17720</v>
      </c>
      <c r="C8978" s="1">
        <v>1</v>
      </c>
      <c r="D8978" s="1" t="str">
        <f>"07476"</f>
        <v>07476</v>
      </c>
      <c r="E8978" s="1" t="s">
        <v>825</v>
      </c>
      <c r="F8978" s="1">
        <v>10</v>
      </c>
      <c r="G8978" s="1">
        <v>5</v>
      </c>
      <c r="H8978" s="1">
        <v>0</v>
      </c>
      <c r="I8978" s="1" t="s">
        <v>17692</v>
      </c>
      <c r="K8978" s="1" t="str">
        <f t="shared" si="562"/>
        <v>ㄓ</v>
      </c>
      <c r="L8978" s="1" t="str">
        <f t="shared" si="563"/>
        <v/>
      </c>
      <c r="M8978" s="1" t="str">
        <f t="shared" si="565"/>
        <v/>
      </c>
      <c r="P8978" s="1" t="s">
        <v>20</v>
      </c>
      <c r="R8978" s="1" t="s">
        <v>17693</v>
      </c>
      <c r="V8978" s="1" t="s">
        <v>17721</v>
      </c>
      <c r="AR8978" s="1" t="str">
        <f t="shared" si="564"/>
        <v>| [ㄓ](ㄓ.md) | [祗](祗.md) |  | zhī | [副]
1.恭敬的。如：「祗頌學祺」、「祗請尊安」。《南史．卷四〇．黃回傳》：「回既貴，祗事戴明寶甚謹。」
2.適、僅、只。唐．張若虛〈春江花月夜〉詩：「人生代代無窮已，江月年年祗相似。」 |</v>
      </c>
    </row>
    <row r="8979" spans="1:44" hidden="1">
      <c r="A8979" s="1" t="s">
        <v>17722</v>
      </c>
      <c r="C8979" s="1">
        <v>1</v>
      </c>
      <c r="D8979" s="1" t="str">
        <f>"07477"</f>
        <v>07477</v>
      </c>
      <c r="E8979" s="1" t="s">
        <v>129</v>
      </c>
      <c r="F8979" s="1">
        <v>5</v>
      </c>
      <c r="G8979" s="1">
        <v>2</v>
      </c>
      <c r="H8979" s="1">
        <v>0</v>
      </c>
      <c r="I8979" s="1" t="s">
        <v>17692</v>
      </c>
      <c r="K8979" s="1" t="str">
        <f t="shared" si="562"/>
        <v>ㄓ</v>
      </c>
      <c r="L8979" s="1" t="str">
        <f t="shared" si="563"/>
        <v/>
      </c>
      <c r="M8979" s="1" t="str">
        <f t="shared" si="565"/>
        <v/>
      </c>
      <c r="P8979" s="1" t="s">
        <v>20</v>
      </c>
      <c r="R8979" s="1" t="s">
        <v>17693</v>
      </c>
      <c r="V8979" s="1" t="s">
        <v>17723</v>
      </c>
      <c r="AR8979" s="1" t="str">
        <f t="shared" si="564"/>
        <v>| [ㄓ](ㄓ.md) | [汁](汁.md) |  | zhī | [名]
物體中所含的水分、液體。如：「肉汁」、「果汁」。也稱為「汁水兒」、「汁兒」。 |</v>
      </c>
    </row>
    <row r="8980" spans="1:44" hidden="1">
      <c r="A8980" s="1" t="s">
        <v>17724</v>
      </c>
      <c r="C8980" s="1">
        <v>1</v>
      </c>
      <c r="D8980" s="1" t="str">
        <f>"07478"</f>
        <v>07478</v>
      </c>
      <c r="E8980" s="1" t="s">
        <v>28</v>
      </c>
      <c r="F8980" s="1">
        <v>5</v>
      </c>
      <c r="G8980" s="1">
        <v>2</v>
      </c>
      <c r="H8980" s="1">
        <v>2</v>
      </c>
      <c r="I8980" s="1" t="s">
        <v>17692</v>
      </c>
      <c r="K8980" s="1" t="str">
        <f t="shared" si="562"/>
        <v>ㄓ</v>
      </c>
      <c r="L8980" s="1" t="str">
        <f t="shared" si="563"/>
        <v/>
      </c>
      <c r="M8980" s="1" t="str">
        <f t="shared" si="565"/>
        <v/>
      </c>
      <c r="P8980" s="1" t="s">
        <v>20</v>
      </c>
      <c r="R8980" s="1" t="s">
        <v>17693</v>
      </c>
      <c r="V8980" s="1" t="s">
        <v>17725</v>
      </c>
      <c r="W8980" s="1" t="s">
        <v>17726</v>
      </c>
      <c r="AR8980" s="1" t="str">
        <f t="shared" si="564"/>
        <v>| [ㄓ](ㄓ.md) | [只](只.md) |  | zhī | [名]_x000D_
量詞：同「隻」。(1)計算成對物品的單一部分。元．鄭光祖《王粲登樓》第四折：「住者，兩只手撈菱相似。」《兒女英雄傳》第一七回：「所以姑娘起先聽著鄧九公、褚一官合那莊客三人說話，還不在意，不過睜著兩只小眼睛兒，撥瞪兒撥瞪兒的在一旁聽熱鬧兒。」(2)計算船隻的單位。如：「一只小船」。《石點頭．卷八．貪婪漢六院賣風流》：「前日有個客人，一只小船，裝了些布匹，一時貪小，不去投稅，徑從張家橋轉關。」(3)計算物體件數的單位。如：「一只戒指」。《負曝閑談》第九回：「四喜袋裡別的不打緊，只有一只五卡利的金鋼鑽戒指，要值到一千塊洋錢。」 |</v>
      </c>
    </row>
    <row r="8981" spans="1:44" hidden="1">
      <c r="A8981" s="1" t="s">
        <v>17727</v>
      </c>
      <c r="C8981" s="1">
        <v>1</v>
      </c>
      <c r="D8981" s="1" t="str">
        <f>"07479"</f>
        <v>07479</v>
      </c>
      <c r="E8981" s="1" t="s">
        <v>68</v>
      </c>
      <c r="F8981" s="1">
        <v>9</v>
      </c>
      <c r="G8981" s="1">
        <v>5</v>
      </c>
      <c r="H8981" s="1">
        <v>0</v>
      </c>
      <c r="I8981" s="1" t="s">
        <v>17692</v>
      </c>
      <c r="K8981" s="1" t="str">
        <f t="shared" si="562"/>
        <v>ㄓ</v>
      </c>
      <c r="L8981" s="1" t="str">
        <f t="shared" si="563"/>
        <v/>
      </c>
      <c r="M8981" s="1" t="str">
        <f t="shared" si="565"/>
        <v/>
      </c>
      <c r="P8981" s="1" t="s">
        <v>20</v>
      </c>
      <c r="R8981" s="1" t="s">
        <v>17693</v>
      </c>
      <c r="V8981" s="1" t="s">
        <v>17728</v>
      </c>
      <c r="AR8981" s="1" t="str">
        <f t="shared" si="564"/>
        <v>| [ㄓ](ㄓ.md) | [胑](胑.md) |  | zhī | [名]
人的手腳。同「肢」。《荀子．君道》：「塊然獨坐而天下從之如一體，如四胑之從心。」《淮南子．脩務》：「四胑不動，思慮不用，事治求澹者，未之聞也。」 |</v>
      </c>
    </row>
    <row r="8982" spans="1:44" hidden="1">
      <c r="A8982" s="1" t="s">
        <v>17729</v>
      </c>
      <c r="C8982" s="1">
        <v>1</v>
      </c>
      <c r="D8982" s="1" t="str">
        <f>"07480"</f>
        <v>07480</v>
      </c>
      <c r="E8982" s="1" t="s">
        <v>2954</v>
      </c>
      <c r="F8982" s="1">
        <v>5</v>
      </c>
      <c r="G8982" s="1">
        <v>3</v>
      </c>
      <c r="H8982" s="1">
        <v>0</v>
      </c>
      <c r="I8982" s="1" t="s">
        <v>17692</v>
      </c>
      <c r="K8982" s="1" t="str">
        <f t="shared" si="562"/>
        <v>ㄓ</v>
      </c>
      <c r="L8982" s="1" t="str">
        <f t="shared" si="563"/>
        <v/>
      </c>
      <c r="M8982" s="1" t="str">
        <f t="shared" si="565"/>
        <v/>
      </c>
      <c r="P8982" s="1" t="s">
        <v>20</v>
      </c>
      <c r="R8982" s="1" t="s">
        <v>17693</v>
      </c>
      <c r="V8982" s="1" t="s">
        <v>17730</v>
      </c>
      <c r="AR8982" s="1" t="str">
        <f t="shared" si="564"/>
        <v>| [ㄓ](ㄓ.md) | [卮](卮.md) |  | zhī | [名]
1.古代盛酒的器具。《史記．卷八．高祖本紀》：「高祖奉玉卮，起為太上皇壽。」宋．蘇軾〈南鄉子．寒雀滿疏籬〉詞：「忽見客來花下坐，驚飛。蹋散芳英落酒卮。」
2.量詞。古代計算酒器所裝液體的單位。相當於「杯」。《初刻拍案驚奇》卷六：「官人感夫人盛情，特備一卮酒謝夫人。」 |</v>
      </c>
    </row>
    <row r="8983" spans="1:44" hidden="1">
      <c r="A8983" s="1" t="s">
        <v>17731</v>
      </c>
      <c r="C8983" s="1">
        <v>1</v>
      </c>
      <c r="D8983" s="1" t="str">
        <f>"07481"</f>
        <v>07481</v>
      </c>
      <c r="E8983" s="1" t="s">
        <v>122</v>
      </c>
      <c r="F8983" s="1">
        <v>8</v>
      </c>
      <c r="G8983" s="1">
        <v>3</v>
      </c>
      <c r="H8983" s="1">
        <v>1</v>
      </c>
      <c r="I8983" s="1" t="s">
        <v>17692</v>
      </c>
      <c r="K8983" s="1" t="str">
        <f t="shared" si="562"/>
        <v>ㄓ</v>
      </c>
      <c r="L8983" s="1" t="str">
        <f t="shared" si="563"/>
        <v/>
      </c>
      <c r="M8983" s="1" t="str">
        <f t="shared" si="565"/>
        <v/>
      </c>
      <c r="P8983" s="1" t="s">
        <v>20</v>
      </c>
      <c r="R8983" s="1" t="s">
        <v>17693</v>
      </c>
      <c r="V8983" s="1" t="s">
        <v>17732</v>
      </c>
      <c r="W8983" s="1" t="s">
        <v>17733</v>
      </c>
      <c r="AR8983" s="1" t="str">
        <f t="shared" si="564"/>
        <v>| [ㄓ](ㄓ.md) | [知](知.md) |  | zhī | [動]
1.明白、了解、察覺。如：「相知相許」。唐．李紳〈古風〉詩二首之二：「誰知盤中餐，粒粒皆辛苦。」
2.識別、區別。《禮記．樂記》：「知樂則幾於禮矣。」《淮南子．脩務》：「孿子之相似者，唯其母能知之。」
3.相交、交往。《左傳．昭公四年》：「公孫明知叔孫於齊。」《荀子．不苟》：「君子易知而難狎。」
4.招待、禮遇、賞識。《南史．卷一九．謝靈運傳》：「自謂才能宜參權要，既不見知，常懷慎惋。」唐．岑參〈北庭西郊候封大夫受降回軍獻上〉詩：「何幸一書生，忽蒙國士知。」
5.掌管、主持。《國語．越語》：「有能助寡人謀而退吳者，吾與之共知越國之政。」《新唐書．卷八五．王世充傳》：「帝愛昵之，拜江都通守，兼知宮監事。」
[名]
1.識見、學問。如：「求知」、「真知灼見」。《論語．子罕》：「吾有知乎哉？無知也。」
2.意識、感覺。《荀子．王制》：「草木有生而無知。」漢．范縝〈神滅論〉：「手等亦應能有痛癢之知。」
3.知己、朋友。如：「故知」、「舊雨新知」。 |</v>
      </c>
    </row>
    <row r="8984" spans="1:44" hidden="1">
      <c r="A8984" s="1" t="s">
        <v>17734</v>
      </c>
      <c r="C8984" s="1">
        <v>1</v>
      </c>
      <c r="D8984" s="1" t="str">
        <f>"07482"</f>
        <v>07482</v>
      </c>
      <c r="E8984" s="1" t="s">
        <v>679</v>
      </c>
      <c r="F8984" s="1">
        <v>14</v>
      </c>
      <c r="G8984" s="1">
        <v>8</v>
      </c>
      <c r="H8984" s="1">
        <v>0</v>
      </c>
      <c r="I8984" s="1" t="s">
        <v>17692</v>
      </c>
      <c r="K8984" s="1" t="str">
        <f t="shared" si="562"/>
        <v>ㄓ</v>
      </c>
      <c r="L8984" s="1" t="str">
        <f t="shared" si="563"/>
        <v/>
      </c>
      <c r="M8984" s="1" t="str">
        <f t="shared" si="565"/>
        <v/>
      </c>
      <c r="P8984" s="1" t="s">
        <v>20</v>
      </c>
      <c r="R8984" s="1" t="s">
        <v>17693</v>
      </c>
      <c r="V8984" s="1" t="s">
        <v>17735</v>
      </c>
      <c r="AR8984" s="1" t="str">
        <f t="shared" si="564"/>
        <v>| [ㄓ](ㄓ.md) | [蜘](蜘.md) |  | zhī | 參見「蜘蛛」條。 |</v>
      </c>
    </row>
    <row r="8985" spans="1:44" hidden="1">
      <c r="A8985" s="1" t="s">
        <v>17736</v>
      </c>
      <c r="C8985" s="1">
        <v>1</v>
      </c>
      <c r="D8985" s="1" t="str">
        <f>"07483"</f>
        <v>07483</v>
      </c>
      <c r="E8985" s="1" t="s">
        <v>5383</v>
      </c>
      <c r="F8985" s="1">
        <v>10</v>
      </c>
      <c r="G8985" s="1">
        <v>2</v>
      </c>
      <c r="H8985" s="1">
        <v>0</v>
      </c>
      <c r="I8985" s="1" t="s">
        <v>17692</v>
      </c>
      <c r="K8985" s="1" t="str">
        <f t="shared" si="562"/>
        <v>ㄓ</v>
      </c>
      <c r="L8985" s="1" t="str">
        <f t="shared" si="563"/>
        <v/>
      </c>
      <c r="M8985" s="1" t="str">
        <f t="shared" si="565"/>
        <v/>
      </c>
      <c r="P8985" s="1" t="s">
        <v>20</v>
      </c>
      <c r="R8985" s="1" t="s">
        <v>17693</v>
      </c>
      <c r="V8985" s="1" t="s">
        <v>17737</v>
      </c>
      <c r="AR8985" s="1" t="str">
        <f t="shared" si="564"/>
        <v>| [ㄓ](ㄓ.md) | [隻](隻.md) |  | zhī | [形]_x000D_
1.孤獨的、單獨的。如：「形單影隻」。_x000D_
2.奇數、單一的。《新唐書．卷四八．百官志三》：「隻日，臺院受事；雙日，殿院受事。」_x000D_
3.獨特的、特殊的。如：「獨具隻眼」。宋．陸游〈書志〉詩：「讀書雖復具隻眼，貯酒其如無別腸。」_x000D_
[名]_x000D_
量詞：(1)計算飛禽走獸等動物。如：「一隻雞」、「兩隻兔子」。《初刻拍案驚奇》卷七：「合圍既罷，前驅擒得大角鹿一隻，將付庖廚烹宰。」《儒林外史》第二七回：「如今買一隻板鴨和幾斤肉，再買一尾魚來，託王羽秋老爹來收拾，做個四樣纔好。」(2)計算成對物品的單一部分。如：「一隻襪子」、「睜一隻眼，閉一隻眼。」《警世通言．卷四．拗相公飲恨半山堂》：「&amp;f4ff2_.png;公登了東，覷個空，就左腳脫下一隻方舄，將舄底向土牆上抹得字跡糊塗，方纔罷手。」《老殘遊記》第九回：「那女子伸出一隻白如玉、軟如棉的手來，隔著炕桌子，握著子平的手。」(3)計算船隻的單位。如：「一隻小船」。《警世通言．卷二八．白娘子永鎮雷峰塔》：「正沒擺佈處，只見一個老兒，搖著一隻船過來。」(4)計算樂曲的單位。《金瓶梅》第五四回：「吳銘、李惠立在太湖石邊，輕撥琵琶，漫擎檀板，唱一隻曲。」《清平山堂話本．簡貼和尚》：「當日推出這和尚來，一個書會先生看見，就法場上做了一隻曲兒，喚做南鄉子。」(5)計算物體件數的單位。通「只」。如：「一隻箱子」、「一隻手錶」、「一隻玉鐲」。《警世通言．卷三．王安石三難蘇學士》：「先取白定碗一隻，投陽羨茶一撮於內。」 |</v>
      </c>
    </row>
    <row r="8986" spans="1:44" hidden="1">
      <c r="A8986" s="1" t="s">
        <v>17738</v>
      </c>
      <c r="C8986" s="1">
        <v>1</v>
      </c>
      <c r="D8986" s="1" t="str">
        <f>"07484"</f>
        <v>07484</v>
      </c>
      <c r="E8986" s="1" t="s">
        <v>68</v>
      </c>
      <c r="F8986" s="1">
        <v>10</v>
      </c>
      <c r="G8986" s="1">
        <v>6</v>
      </c>
      <c r="H8986" s="1">
        <v>0</v>
      </c>
      <c r="I8986" s="1" t="s">
        <v>17692</v>
      </c>
      <c r="K8986" s="1" t="str">
        <f t="shared" si="562"/>
        <v>ㄓ</v>
      </c>
      <c r="L8986" s="1" t="str">
        <f t="shared" si="563"/>
        <v/>
      </c>
      <c r="M8986" s="1" t="str">
        <f t="shared" si="565"/>
        <v/>
      </c>
      <c r="P8986" s="1" t="s">
        <v>20</v>
      </c>
      <c r="R8986" s="1" t="s">
        <v>17693</v>
      </c>
      <c r="V8986" s="1" t="s">
        <v>17739</v>
      </c>
      <c r="AR8986" s="1" t="str">
        <f t="shared" si="564"/>
        <v>| [ㄓ](ㄓ.md) | [脂](脂.md) |  | zhī | [名]
1.動植物體內的油質。如：「脂肪」、「羊脂」、「松脂」。
2.胭脂的簡稱。指化妝品。如：「脂粉」、「香脂」。《韓非子．顯學》：「故善毛嗇、西施之美，無益吾面，用脂澤粉黛，則倍其初。」
3.比喻財物。如：「民脂民膏」。
4.姓。如三國時魏國有脂司。
[動]
上油潤滑。《詩經．小雅．何人斯》：「爾之亟行，遑脂爾車。」 |</v>
      </c>
    </row>
    <row r="8987" spans="1:44" hidden="1">
      <c r="A8987" s="1" t="s">
        <v>17740</v>
      </c>
      <c r="C8987" s="1">
        <v>1</v>
      </c>
      <c r="D8987" s="1" t="str">
        <f>"07485"</f>
        <v>07485</v>
      </c>
      <c r="E8987" s="1" t="s">
        <v>139</v>
      </c>
      <c r="F8987" s="1">
        <v>11</v>
      </c>
      <c r="G8987" s="1">
        <v>7</v>
      </c>
      <c r="H8987" s="1">
        <v>0</v>
      </c>
      <c r="I8987" s="1" t="s">
        <v>17692</v>
      </c>
      <c r="K8987" s="1" t="str">
        <f t="shared" si="562"/>
        <v>ㄓ</v>
      </c>
      <c r="L8987" s="1" t="str">
        <f t="shared" si="563"/>
        <v/>
      </c>
      <c r="M8987" s="1" t="str">
        <f t="shared" si="565"/>
        <v/>
      </c>
      <c r="P8987" s="1" t="s">
        <v>20</v>
      </c>
      <c r="R8987" s="1" t="s">
        <v>17693</v>
      </c>
      <c r="V8987" s="1" t="s">
        <v>17741</v>
      </c>
      <c r="AR8987" s="1" t="str">
        <f t="shared" si="564"/>
        <v>| [ㄓ](ㄓ.md) | [梔](梔.md) |  | zhī | [名]
植物名。茜草科梔子屬，「梔子」或「黃梔子」之古稱。參見「梔子」條。
[動]
染色、塗飾。唐．柳宗元〈鞭賈〉：「今之梔其貌，蠟其言，以求賈技於朝。」 |</v>
      </c>
    </row>
    <row r="8988" spans="1:44" hidden="1">
      <c r="A8988" s="1" t="s">
        <v>17742</v>
      </c>
      <c r="C8988" s="1">
        <v>1</v>
      </c>
      <c r="D8988" s="1" t="str">
        <f>"07486"</f>
        <v>07486</v>
      </c>
      <c r="E8988" s="1" t="s">
        <v>24</v>
      </c>
      <c r="F8988" s="1">
        <v>13</v>
      </c>
      <c r="G8988" s="1">
        <v>10</v>
      </c>
      <c r="H8988" s="1">
        <v>0</v>
      </c>
      <c r="I8988" s="1" t="s">
        <v>17692</v>
      </c>
      <c r="K8988" s="1" t="str">
        <f t="shared" si="562"/>
        <v>ㄓ</v>
      </c>
      <c r="L8988" s="1" t="str">
        <f t="shared" si="563"/>
        <v/>
      </c>
      <c r="M8988" s="1" t="str">
        <f t="shared" si="565"/>
        <v/>
      </c>
      <c r="P8988" s="1" t="s">
        <v>20</v>
      </c>
      <c r="R8988" s="1" t="s">
        <v>17693</v>
      </c>
      <c r="V8988" s="1" t="s">
        <v>17743</v>
      </c>
      <c r="AR8988" s="1" t="str">
        <f t="shared" si="564"/>
        <v>| [ㄓ](ㄓ.md) | [搘](搘.md) |  | zhī | [動]
支撐。如：「以木搘牆」、「以手搘頤」。唐．李賀〈春晝〉詩：「越婦搘機，吳蠶作繭。」清．秋瑾《秋瑾女俠遺集．詩．題芝龕記》：「曾有威名振九州，搘撐乾坤女土司。」 |</v>
      </c>
    </row>
    <row r="8989" spans="1:44" hidden="1">
      <c r="A8989" s="1" t="s">
        <v>17744</v>
      </c>
      <c r="C8989" s="1">
        <v>1</v>
      </c>
      <c r="D8989" s="1" t="str">
        <f>"07487"</f>
        <v>07487</v>
      </c>
      <c r="E8989" s="1" t="s">
        <v>139</v>
      </c>
      <c r="F8989" s="1">
        <v>14</v>
      </c>
      <c r="G8989" s="1">
        <v>10</v>
      </c>
      <c r="H8989" s="1">
        <v>0</v>
      </c>
      <c r="I8989" s="1" t="s">
        <v>17692</v>
      </c>
      <c r="K8989" s="1" t="str">
        <f t="shared" si="562"/>
        <v>ㄓ</v>
      </c>
      <c r="L8989" s="1" t="str">
        <f t="shared" si="563"/>
        <v/>
      </c>
      <c r="M8989" s="1" t="str">
        <f t="shared" si="565"/>
        <v/>
      </c>
      <c r="P8989" s="1" t="s">
        <v>20</v>
      </c>
      <c r="R8989" s="1" t="s">
        <v>17693</v>
      </c>
      <c r="V8989" s="1" t="s">
        <v>17745</v>
      </c>
      <c r="AR8989" s="1" t="str">
        <f t="shared" si="564"/>
        <v>| [ㄓ](ㄓ.md) | [榰](榰.md) |  | zhī | [名]
基石、柱腳。《說文解字．木部》：「榰，柱氐也，古用木，今以石。」
[動]
支撐。《爾雅．釋言》：「榰，柱也。」唐．孟郊〈懷南岳隱士〉詩二首之二：「楓梩搘酒甕，鶴蝨落琴床。」 |</v>
      </c>
    </row>
    <row r="8990" spans="1:44" hidden="1">
      <c r="A8990" s="1" t="s">
        <v>17746</v>
      </c>
      <c r="C8990" s="1">
        <v>1</v>
      </c>
      <c r="D8990" s="1" t="str">
        <f>"07488"</f>
        <v>07488</v>
      </c>
      <c r="E8990" s="1" t="s">
        <v>725</v>
      </c>
      <c r="F8990" s="1">
        <v>18</v>
      </c>
      <c r="G8990" s="1">
        <v>12</v>
      </c>
      <c r="H8990" s="1">
        <v>0</v>
      </c>
      <c r="I8990" s="1" t="s">
        <v>17692</v>
      </c>
      <c r="K8990" s="1" t="str">
        <f t="shared" si="562"/>
        <v>ㄓ</v>
      </c>
      <c r="L8990" s="1" t="str">
        <f t="shared" si="563"/>
        <v/>
      </c>
      <c r="M8990" s="1" t="str">
        <f t="shared" si="565"/>
        <v/>
      </c>
      <c r="P8990" s="1" t="s">
        <v>20</v>
      </c>
      <c r="R8990" s="1" t="s">
        <v>17693</v>
      </c>
      <c r="V8990" s="1" t="s">
        <v>17747</v>
      </c>
      <c r="AR8990" s="1" t="str">
        <f t="shared" si="564"/>
        <v>| [ㄓ](ㄓ.md) | [織](織.md) |  | zhī | [動]
1.用絲、麻、棉、毛等物編製物品。如：「編織」、「紡織」、「織布」。
2.結合、組成。如：「組織」、「愛恨交織」。 |</v>
      </c>
    </row>
    <row r="8991" spans="1:44" hidden="1">
      <c r="A8991" s="1" t="s">
        <v>17986</v>
      </c>
      <c r="C8991" s="1">
        <v>1</v>
      </c>
      <c r="D8991" s="1" t="str">
        <f>"07601"</f>
        <v>07601</v>
      </c>
      <c r="E8991" s="1" t="s">
        <v>24</v>
      </c>
      <c r="F8991" s="1">
        <v>4</v>
      </c>
      <c r="G8991" s="1">
        <v>1</v>
      </c>
      <c r="H8991" s="1">
        <v>1</v>
      </c>
      <c r="I8991" s="1" t="s">
        <v>17987</v>
      </c>
      <c r="K8991" s="1" t="str">
        <f t="shared" si="562"/>
        <v>ㄓ</v>
      </c>
      <c r="L8991" s="1" t="str">
        <f t="shared" si="563"/>
        <v>ㄚ</v>
      </c>
      <c r="M8991" s="1" t="str">
        <f t="shared" si="565"/>
        <v/>
      </c>
      <c r="P8991" s="1" t="s">
        <v>20</v>
      </c>
      <c r="R8991" s="1" t="s">
        <v>17988</v>
      </c>
      <c r="V8991" s="1" t="s">
        <v>17989</v>
      </c>
      <c r="W8991" s="1" t="s">
        <v>17990</v>
      </c>
      <c r="AR8991" s="1" t="str">
        <f t="shared" si="564"/>
        <v>| [ㄓㄚ](ㄓㄚ.md) | [扎](扎.md) |  | zhā | [動]
1.刺。如：「扎了一針」、「在臂上扎字」。
2.繡。如：「她擅長扎花。」
3.鑽入、投進。如：「扎進草叢中」、「扎到人群裡」。
4.張開。《紅樓夢》第四一回：「只見劉老老扎手舞腳的仰臥在床上。」
[形]
廣闊、寬闊。如：「扎腦門兒」、「扎肩膀」。 |</v>
      </c>
    </row>
    <row r="8992" spans="1:44" hidden="1">
      <c r="A8992" s="1" t="s">
        <v>17991</v>
      </c>
      <c r="C8992" s="1">
        <v>1</v>
      </c>
      <c r="D8992" s="1" t="str">
        <f>"07602"</f>
        <v>07602</v>
      </c>
      <c r="E8992" s="1" t="s">
        <v>139</v>
      </c>
      <c r="F8992" s="1">
        <v>9</v>
      </c>
      <c r="G8992" s="1">
        <v>5</v>
      </c>
      <c r="H8992" s="1">
        <v>2</v>
      </c>
      <c r="I8992" s="1" t="s">
        <v>17987</v>
      </c>
      <c r="K8992" s="1" t="str">
        <f t="shared" si="562"/>
        <v>ㄓ</v>
      </c>
      <c r="L8992" s="1" t="str">
        <f t="shared" si="563"/>
        <v>ㄚ</v>
      </c>
      <c r="M8992" s="1" t="str">
        <f t="shared" si="565"/>
        <v/>
      </c>
      <c r="P8992" s="1" t="s">
        <v>20</v>
      </c>
      <c r="R8992" s="1" t="s">
        <v>17988</v>
      </c>
      <c r="V8992" s="1" t="s">
        <v>17992</v>
      </c>
      <c r="W8992" s="1" t="s">
        <v>17993</v>
      </c>
      <c r="AR8992" s="1" t="str">
        <f t="shared" si="564"/>
        <v>| [ㄓㄚ](ㄓㄚ.md) | [查](查.md) |  | zhā | [名]
姓。如五代時南唐有查文徽。
[代]
我。同「咱」(一)。《直語補證．查》：「北方人自稱如此。」 |</v>
      </c>
    </row>
    <row r="8993" spans="1:44" hidden="1">
      <c r="A8993" s="1" t="s">
        <v>17994</v>
      </c>
      <c r="C8993" s="1">
        <v>1</v>
      </c>
      <c r="D8993" s="1" t="str">
        <f>"07603"</f>
        <v>07603</v>
      </c>
      <c r="E8993" s="1" t="s">
        <v>129</v>
      </c>
      <c r="F8993" s="1">
        <v>12</v>
      </c>
      <c r="G8993" s="1">
        <v>9</v>
      </c>
      <c r="H8993" s="1">
        <v>1</v>
      </c>
      <c r="I8993" s="1" t="s">
        <v>17987</v>
      </c>
      <c r="K8993" s="1" t="str">
        <f t="shared" si="562"/>
        <v>ㄓ</v>
      </c>
      <c r="L8993" s="1" t="str">
        <f t="shared" si="563"/>
        <v>ㄚ</v>
      </c>
      <c r="M8993" s="1" t="str">
        <f t="shared" si="565"/>
        <v/>
      </c>
      <c r="P8993" s="1" t="s">
        <v>20</v>
      </c>
      <c r="R8993" s="1" t="s">
        <v>17988</v>
      </c>
      <c r="V8993" s="1" t="s">
        <v>17995</v>
      </c>
      <c r="W8993" s="1" t="s">
        <v>17996</v>
      </c>
      <c r="AR8993" s="1" t="str">
        <f t="shared" si="564"/>
        <v>| [ㄓㄚ](ㄓㄚ.md) | [渣](渣.md) |  | zhā | [名]
1.物質除去水分後所剩的部分。如：「豆渣」、「甘蔗渣」。
2.碎塊、碎屑。如：「餅乾渣兒」。
3.沉澱物。如：「沉渣」。 |</v>
      </c>
    </row>
    <row r="8994" spans="1:44" hidden="1">
      <c r="A8994" s="1" t="s">
        <v>17997</v>
      </c>
      <c r="C8994" s="1">
        <v>1</v>
      </c>
      <c r="D8994" s="1" t="str">
        <f>"07604"</f>
        <v>07604</v>
      </c>
      <c r="E8994" s="1" t="s">
        <v>28</v>
      </c>
      <c r="F8994" s="1">
        <v>12</v>
      </c>
      <c r="G8994" s="1">
        <v>9</v>
      </c>
      <c r="H8994" s="1">
        <v>1</v>
      </c>
      <c r="I8994" s="1" t="s">
        <v>17987</v>
      </c>
      <c r="K8994" s="1" t="str">
        <f t="shared" si="562"/>
        <v>ㄓ</v>
      </c>
      <c r="L8994" s="1" t="str">
        <f t="shared" si="563"/>
        <v>ㄚ</v>
      </c>
      <c r="M8994" s="1" t="str">
        <f t="shared" si="565"/>
        <v/>
      </c>
      <c r="P8994" s="1" t="s">
        <v>20</v>
      </c>
      <c r="R8994" s="1" t="s">
        <v>17988</v>
      </c>
      <c r="V8994" s="1" t="s">
        <v>17998</v>
      </c>
      <c r="W8994" s="1" t="s">
        <v>17999</v>
      </c>
      <c r="AR8994" s="1" t="str">
        <f t="shared" si="564"/>
        <v>| [ㄓㄚ](ㄓㄚ.md) | [喳](喳.md) |  | zhā | [歎]
滿州語。為清朝時在下位者對主上的應答聲，相當於國語的「是」、「在」等。
[擬]
參見「喳喳」條。 |</v>
      </c>
    </row>
    <row r="8995" spans="1:44" hidden="1">
      <c r="A8995" s="1" t="s">
        <v>18000</v>
      </c>
      <c r="C8995" s="1">
        <v>1</v>
      </c>
      <c r="D8995" s="1" t="str">
        <f>"07605"</f>
        <v>07605</v>
      </c>
      <c r="E8995" s="1" t="s">
        <v>139</v>
      </c>
      <c r="F8995" s="1">
        <v>13</v>
      </c>
      <c r="G8995" s="1">
        <v>9</v>
      </c>
      <c r="H8995" s="1">
        <v>2</v>
      </c>
      <c r="I8995" s="1" t="s">
        <v>17987</v>
      </c>
      <c r="K8995" s="1" t="str">
        <f t="shared" si="562"/>
        <v>ㄓ</v>
      </c>
      <c r="L8995" s="1" t="str">
        <f t="shared" si="563"/>
        <v>ㄚ</v>
      </c>
      <c r="M8995" s="1" t="str">
        <f t="shared" si="565"/>
        <v/>
      </c>
      <c r="P8995" s="1" t="s">
        <v>20</v>
      </c>
      <c r="R8995" s="1" t="s">
        <v>17988</v>
      </c>
      <c r="V8995" s="1" t="s">
        <v>18001</v>
      </c>
      <c r="W8995" s="1" t="s">
        <v>18002</v>
      </c>
      <c r="AR8995" s="1" t="str">
        <f t="shared" si="564"/>
        <v>| [ㄓㄚ](ㄓㄚ.md) | [楂](楂.md) |  | zhā | 參見「山楂」條。 |</v>
      </c>
    </row>
    <row r="8996" spans="1:44" hidden="1">
      <c r="A8996" s="1" t="s">
        <v>18003</v>
      </c>
      <c r="C8996" s="1">
        <v>1</v>
      </c>
      <c r="D8996" s="1" t="str">
        <f>"07606"</f>
        <v>07606</v>
      </c>
      <c r="E8996" s="1" t="s">
        <v>24</v>
      </c>
      <c r="F8996" s="1">
        <v>14</v>
      </c>
      <c r="G8996" s="1">
        <v>11</v>
      </c>
      <c r="H8996" s="1">
        <v>0</v>
      </c>
      <c r="I8996" s="1" t="s">
        <v>17987</v>
      </c>
      <c r="K8996" s="1" t="str">
        <f t="shared" si="562"/>
        <v>ㄓ</v>
      </c>
      <c r="L8996" s="1" t="str">
        <f t="shared" si="563"/>
        <v>ㄚ</v>
      </c>
      <c r="M8996" s="1" t="str">
        <f t="shared" si="565"/>
        <v/>
      </c>
      <c r="P8996" s="1" t="s">
        <v>20</v>
      </c>
      <c r="R8996" s="1" t="s">
        <v>17988</v>
      </c>
      <c r="V8996" s="1" t="s">
        <v>18004</v>
      </c>
      <c r="AR8996" s="1" t="str">
        <f t="shared" si="564"/>
        <v>| [ㄓㄚ](ㄓㄚ.md) | [摣](摣.md) |  | zhā | [動]
1.用手指撮取東西。清．王念孫《廣雅疏證．卷一上．釋詁》：「摣，取也。」
2.泛指抓取。《文選．張衡．西京賦》：「摣狒蝟，㧗窳狻。」 |</v>
      </c>
    </row>
    <row r="8997" spans="1:44" hidden="1">
      <c r="A8997" s="1" t="s">
        <v>18005</v>
      </c>
      <c r="C8997" s="1">
        <v>1</v>
      </c>
      <c r="D8997" s="1" t="str">
        <f>"07607"</f>
        <v>07607</v>
      </c>
      <c r="E8997" s="1" t="s">
        <v>139</v>
      </c>
      <c r="F8997" s="1">
        <v>15</v>
      </c>
      <c r="G8997" s="1">
        <v>11</v>
      </c>
      <c r="H8997" s="1">
        <v>0</v>
      </c>
      <c r="I8997" s="1" t="s">
        <v>17987</v>
      </c>
      <c r="K8997" s="1" t="str">
        <f t="shared" si="562"/>
        <v>ㄓ</v>
      </c>
      <c r="L8997" s="1" t="str">
        <f t="shared" si="563"/>
        <v>ㄚ</v>
      </c>
      <c r="M8997" s="1" t="str">
        <f t="shared" si="565"/>
        <v/>
      </c>
      <c r="P8997" s="1" t="s">
        <v>20</v>
      </c>
      <c r="R8997" s="1" t="s">
        <v>17988</v>
      </c>
      <c r="V8997" s="1" t="s">
        <v>18006</v>
      </c>
      <c r="AR8997" s="1" t="str">
        <f t="shared" si="564"/>
        <v>| [ㄓㄚ](ㄓㄚ.md) | [樝](樝.md) |  | zhā | 參見「樝子」條。 |</v>
      </c>
    </row>
    <row r="8998" spans="1:44" hidden="1">
      <c r="A8998" s="1" t="s">
        <v>18007</v>
      </c>
      <c r="C8998" s="1">
        <v>1</v>
      </c>
      <c r="D8998" s="1" t="str">
        <f>"07608"</f>
        <v>07608</v>
      </c>
      <c r="E8998" s="1" t="s">
        <v>1792</v>
      </c>
      <c r="F8998" s="1">
        <v>16</v>
      </c>
      <c r="G8998" s="1">
        <v>11</v>
      </c>
      <c r="H8998" s="1">
        <v>0</v>
      </c>
      <c r="I8998" s="1" t="s">
        <v>17987</v>
      </c>
      <c r="K8998" s="1" t="str">
        <f t="shared" si="562"/>
        <v>ㄓ</v>
      </c>
      <c r="L8998" s="1" t="str">
        <f t="shared" si="563"/>
        <v>ㄚ</v>
      </c>
      <c r="M8998" s="1" t="str">
        <f t="shared" si="565"/>
        <v/>
      </c>
      <c r="P8998" s="1" t="s">
        <v>20</v>
      </c>
      <c r="R8998" s="1" t="s">
        <v>17988</v>
      </c>
      <c r="V8998" s="1" t="s">
        <v>18008</v>
      </c>
      <c r="AR8998" s="1" t="str">
        <f t="shared" si="564"/>
        <v>| [ㄓㄚ](ㄓㄚ.md) | [皻](皻.md) |  | zhā | [名]
臉上或鼻上凸起的暗紅色小瘡。 |</v>
      </c>
    </row>
    <row r="8999" spans="1:44" hidden="1">
      <c r="A8999" s="1" t="s">
        <v>18009</v>
      </c>
      <c r="C8999" s="1">
        <v>1</v>
      </c>
      <c r="D8999" s="1" t="str">
        <f>"07609"</f>
        <v>07609</v>
      </c>
      <c r="E8999" s="1" t="s">
        <v>889</v>
      </c>
      <c r="F8999" s="1">
        <v>25</v>
      </c>
      <c r="G8999" s="1">
        <v>11</v>
      </c>
      <c r="H8999" s="1">
        <v>0</v>
      </c>
      <c r="I8999" s="1" t="s">
        <v>17987</v>
      </c>
      <c r="K8999" s="1" t="str">
        <f t="shared" si="562"/>
        <v>ㄓ</v>
      </c>
      <c r="L8999" s="1" t="str">
        <f t="shared" si="563"/>
        <v>ㄚ</v>
      </c>
      <c r="M8999" s="1" t="str">
        <f t="shared" si="565"/>
        <v/>
      </c>
      <c r="P8999" s="1" t="s">
        <v>20</v>
      </c>
      <c r="R8999" s="1" t="s">
        <v>17988</v>
      </c>
      <c r="V8999" s="1" t="s">
        <v>18010</v>
      </c>
      <c r="AR8999" s="1" t="str">
        <f t="shared" si="564"/>
        <v>| [ㄓㄚ](ㄓㄚ.md) | [齇](齇.md) |  | zhā | [名]
鼻上的紅斑。《玉篇．鼻部》：「齇，鼻上皰。」 |</v>
      </c>
    </row>
    <row r="9000" spans="1:44" hidden="1">
      <c r="A9000" s="1" t="s">
        <v>18011</v>
      </c>
      <c r="C9000" s="1">
        <v>1</v>
      </c>
      <c r="D9000" s="1" t="str">
        <f>"07610"</f>
        <v>07610</v>
      </c>
      <c r="E9000" s="1" t="s">
        <v>24</v>
      </c>
      <c r="F9000" s="1">
        <v>9</v>
      </c>
      <c r="G9000" s="1">
        <v>6</v>
      </c>
      <c r="H9000" s="1">
        <v>0</v>
      </c>
      <c r="I9000" s="1" t="s">
        <v>17987</v>
      </c>
      <c r="K9000" s="1" t="str">
        <f t="shared" si="562"/>
        <v>ㄓ</v>
      </c>
      <c r="L9000" s="1" t="str">
        <f t="shared" si="563"/>
        <v>ㄚ</v>
      </c>
      <c r="M9000" s="1" t="str">
        <f t="shared" si="565"/>
        <v/>
      </c>
      <c r="P9000" s="1" t="s">
        <v>20</v>
      </c>
      <c r="R9000" s="1" t="s">
        <v>17988</v>
      </c>
      <c r="V9000" s="1" t="s">
        <v>18012</v>
      </c>
      <c r="AR9000" s="1" t="str">
        <f t="shared" si="564"/>
        <v>| [ㄓㄚ](ㄓㄚ.md) | [挓](挓.md) |  | zhā | 參見「挓挲」條。 |</v>
      </c>
    </row>
    <row r="9001" spans="1:44" hidden="1">
      <c r="A9001" s="1" t="s">
        <v>18013</v>
      </c>
      <c r="C9001" s="1">
        <v>1</v>
      </c>
      <c r="D9001" s="1" t="str">
        <f>"07611"</f>
        <v>07611</v>
      </c>
      <c r="E9001" s="1" t="s">
        <v>563</v>
      </c>
      <c r="F9001" s="1">
        <v>9</v>
      </c>
      <c r="G9001" s="1">
        <v>6</v>
      </c>
      <c r="H9001" s="1">
        <v>1</v>
      </c>
      <c r="I9001" s="1" t="s">
        <v>17987</v>
      </c>
      <c r="K9001" s="1" t="str">
        <f t="shared" si="562"/>
        <v>ㄓ</v>
      </c>
      <c r="L9001" s="1" t="str">
        <f t="shared" si="563"/>
        <v>ㄚ</v>
      </c>
      <c r="M9001" s="1" t="str">
        <f t="shared" si="565"/>
        <v/>
      </c>
      <c r="P9001" s="1" t="s">
        <v>20</v>
      </c>
      <c r="R9001" s="1" t="s">
        <v>17988</v>
      </c>
      <c r="V9001" s="1" t="s">
        <v>18014</v>
      </c>
      <c r="W9001" s="1" t="s">
        <v>18015</v>
      </c>
      <c r="AR9001" s="1" t="str">
        <f t="shared" si="564"/>
        <v>| [ㄓㄚ](ㄓㄚ.md) | [奓](奓.md) |  | zhā | [動]
打開、推開。《莊子．知北遊》：「神農隱几，闔戶晝瞑，妸荷甘日中奓戶而入，曰：『老龍死矣！』」
[名]
地名用字。如大陸地區湖北省有奓河、奓山、奓湖等。 |</v>
      </c>
    </row>
    <row r="9002" spans="1:44" hidden="1">
      <c r="A9002" s="1" t="s">
        <v>18016</v>
      </c>
      <c r="C9002" s="1">
        <v>1</v>
      </c>
      <c r="D9002" s="1" t="str">
        <f>"07612"</f>
        <v>07612</v>
      </c>
      <c r="E9002" s="1" t="s">
        <v>1117</v>
      </c>
      <c r="F9002" s="1">
        <v>15</v>
      </c>
      <c r="G9002" s="1">
        <v>8</v>
      </c>
      <c r="H9002" s="1">
        <v>0</v>
      </c>
      <c r="I9002" s="1" t="s">
        <v>17987</v>
      </c>
      <c r="K9002" s="1" t="str">
        <f t="shared" si="562"/>
        <v>ㄓ</v>
      </c>
      <c r="L9002" s="1" t="str">
        <f t="shared" si="563"/>
        <v>ㄚ</v>
      </c>
      <c r="M9002" s="1" t="str">
        <f t="shared" si="565"/>
        <v/>
      </c>
      <c r="P9002" s="1" t="s">
        <v>20</v>
      </c>
      <c r="R9002" s="1" t="s">
        <v>17988</v>
      </c>
      <c r="V9002" s="1" t="s">
        <v>18017</v>
      </c>
      <c r="AR9002" s="1" t="str">
        <f t="shared" si="564"/>
        <v>| [ㄓㄚ](ㄓㄚ.md) | [觰](觰.md) |  | zhā | [名]
觰拏：傳說中的一種野獸。《說文解字．角部》：「觰，觰拏，獸也。」
[形]
1.大。清．王念孫《廣雅疏證．卷一上．釋詁》：「觰，大也。」
2.參見「觰沙」條。 |</v>
      </c>
    </row>
    <row r="9003" spans="1:44" hidden="1">
      <c r="A9003" s="1" t="s">
        <v>18018</v>
      </c>
      <c r="C9003" s="1">
        <v>1</v>
      </c>
      <c r="D9003" s="1" t="str">
        <f>"07613"</f>
        <v>07613</v>
      </c>
      <c r="E9003" s="1" t="s">
        <v>331</v>
      </c>
      <c r="F9003" s="1">
        <v>18</v>
      </c>
      <c r="G9003" s="1">
        <v>11</v>
      </c>
      <c r="H9003" s="1">
        <v>0</v>
      </c>
      <c r="I9003" s="1" t="s">
        <v>17987</v>
      </c>
      <c r="K9003" s="1" t="str">
        <f t="shared" si="562"/>
        <v>ㄓ</v>
      </c>
      <c r="L9003" s="1" t="str">
        <f t="shared" si="563"/>
        <v>ㄚ</v>
      </c>
      <c r="M9003" s="1" t="str">
        <f t="shared" si="565"/>
        <v/>
      </c>
      <c r="P9003" s="1" t="s">
        <v>20</v>
      </c>
      <c r="R9003" s="1" t="s">
        <v>17988</v>
      </c>
      <c r="V9003" s="1" t="s">
        <v>18019</v>
      </c>
      <c r="AR9003" s="1" t="str">
        <f t="shared" si="564"/>
        <v>| [ㄓㄚ](ㄓㄚ.md) | [譇](譇.md) |  | zhā | [形]
譇拏：文辭隱晦難懂。《說文解字．言部》：「譇，譇拏，羞窮也。」清．段玉裁．注：「羞窮者，謂羞澀辭窮而支離牽引，是曰譇拏。」 |</v>
      </c>
    </row>
    <row r="9004" spans="1:44" hidden="1">
      <c r="A9004" s="1" t="s">
        <v>18110</v>
      </c>
      <c r="C9004" s="1">
        <v>1</v>
      </c>
      <c r="D9004" s="1" t="str">
        <f>"07651"</f>
        <v>07651</v>
      </c>
      <c r="E9004" s="1" t="s">
        <v>24</v>
      </c>
      <c r="F9004" s="1">
        <v>7</v>
      </c>
      <c r="G9004" s="1">
        <v>4</v>
      </c>
      <c r="H9004" s="1">
        <v>3</v>
      </c>
      <c r="I9004" s="1" t="s">
        <v>18111</v>
      </c>
      <c r="K9004" s="1" t="str">
        <f t="shared" si="562"/>
        <v>ㄓ</v>
      </c>
      <c r="L9004" s="1" t="str">
        <f t="shared" si="563"/>
        <v>ㄜ</v>
      </c>
      <c r="M9004" s="1" t="str">
        <f t="shared" si="565"/>
        <v/>
      </c>
      <c r="P9004" s="1" t="s">
        <v>20</v>
      </c>
      <c r="R9004" s="1" t="s">
        <v>18112</v>
      </c>
      <c r="V9004" s="1" t="s">
        <v>18113</v>
      </c>
      <c r="W9004" s="1" t="s">
        <v>18114</v>
      </c>
      <c r="AR9004" s="1" t="str">
        <f t="shared" si="564"/>
        <v>| [ㄓㄜ](ㄓㄜ.md) | [折](折.md) |  | zhē | [動]
1.翻轉、迴旋。如：「折跟頭」、「折騰」、「折返」。
2.倒出。如：「一筐子的梨都折了。」 |</v>
      </c>
    </row>
    <row r="9005" spans="1:44" hidden="1">
      <c r="A9005" s="1" t="s">
        <v>18115</v>
      </c>
      <c r="C9005" s="1">
        <v>1</v>
      </c>
      <c r="D9005" s="1" t="str">
        <f>"07652"</f>
        <v>07652</v>
      </c>
      <c r="E9005" s="1" t="s">
        <v>106</v>
      </c>
      <c r="F9005" s="1">
        <v>12</v>
      </c>
      <c r="G9005" s="1">
        <v>8</v>
      </c>
      <c r="H9005" s="1">
        <v>0</v>
      </c>
      <c r="I9005" s="1" t="s">
        <v>18111</v>
      </c>
      <c r="K9005" s="1" t="str">
        <f t="shared" si="562"/>
        <v>ㄓ</v>
      </c>
      <c r="L9005" s="1" t="str">
        <f t="shared" si="563"/>
        <v>ㄜ</v>
      </c>
      <c r="M9005" s="1" t="str">
        <f t="shared" si="565"/>
        <v/>
      </c>
      <c r="P9005" s="1" t="s">
        <v>20</v>
      </c>
      <c r="R9005" s="1" t="s">
        <v>18112</v>
      </c>
      <c r="V9005" s="1" t="s">
        <v>18116</v>
      </c>
      <c r="AR9005" s="1" t="str">
        <f t="shared" si="564"/>
        <v>| [ㄓㄜ](ㄓㄜ.md) | [㸙](㸙.md) |  | zhē | [名]
父親。清．王念孫《廣雅疏證．卷六下．釋親》：「㸙，父也。」《新唐書．卷二〇七．宦者傳上．高力士傳》：「肅宗在東宮，兄事力士，它王、公主呼為翂，戚里諸家尊曰㸙。」 |</v>
      </c>
    </row>
    <row r="9006" spans="1:44" hidden="1">
      <c r="A9006" s="1" t="s">
        <v>18117</v>
      </c>
      <c r="C9006" s="1">
        <v>1</v>
      </c>
      <c r="D9006" s="1" t="str">
        <f>"07653"</f>
        <v>07653</v>
      </c>
      <c r="E9006" s="1" t="s">
        <v>28</v>
      </c>
      <c r="F9006" s="1">
        <v>14</v>
      </c>
      <c r="G9006" s="1">
        <v>11</v>
      </c>
      <c r="H9006" s="1">
        <v>2</v>
      </c>
      <c r="I9006" s="1" t="s">
        <v>18111</v>
      </c>
      <c r="K9006" s="1" t="str">
        <f t="shared" si="562"/>
        <v>ㄓ</v>
      </c>
      <c r="L9006" s="1" t="str">
        <f t="shared" si="563"/>
        <v>ㄜ</v>
      </c>
      <c r="M9006" s="1" t="str">
        <f t="shared" si="565"/>
        <v/>
      </c>
      <c r="P9006" s="1" t="s">
        <v>20</v>
      </c>
      <c r="R9006" s="1" t="s">
        <v>18112</v>
      </c>
      <c r="V9006" s="1" t="s">
        <v>18118</v>
      </c>
      <c r="W9006" s="1" t="s">
        <v>18119</v>
      </c>
      <c r="AR9006" s="1" t="str">
        <f t="shared" si="564"/>
        <v>| [ㄓㄜ](ㄓㄜ.md) | [嗻](嗻.md) |  | zhē | 參見「唓嗻」條。 |</v>
      </c>
    </row>
    <row r="9007" spans="1:44" hidden="1">
      <c r="A9007" s="1" t="s">
        <v>18120</v>
      </c>
      <c r="C9007" s="1">
        <v>1</v>
      </c>
      <c r="D9007" s="1" t="str">
        <f>"07654"</f>
        <v>07654</v>
      </c>
      <c r="E9007" s="1" t="s">
        <v>558</v>
      </c>
      <c r="F9007" s="1">
        <v>15</v>
      </c>
      <c r="G9007" s="1">
        <v>11</v>
      </c>
      <c r="H9007" s="1">
        <v>1</v>
      </c>
      <c r="I9007" s="1" t="s">
        <v>18111</v>
      </c>
      <c r="K9007" s="1" t="str">
        <f t="shared" si="562"/>
        <v>ㄓ</v>
      </c>
      <c r="L9007" s="1" t="str">
        <f t="shared" si="563"/>
        <v>ㄜ</v>
      </c>
      <c r="M9007" s="1" t="str">
        <f t="shared" si="565"/>
        <v/>
      </c>
      <c r="P9007" s="1" t="s">
        <v>20</v>
      </c>
      <c r="R9007" s="1" t="s">
        <v>18112</v>
      </c>
      <c r="V9007" s="1" t="s">
        <v>18121</v>
      </c>
      <c r="W9007" s="1" t="s">
        <v>18122</v>
      </c>
      <c r="AR9007" s="1" t="str">
        <f t="shared" si="564"/>
        <v>| [ㄓㄜ](ㄓㄜ.md) | [遮](遮.md) |  | zhē | [動]
1.阻擋、攔阻。如：「遮擋」。《說文解字．辵部》：「遮，遏也。」《後漢書．卷四七．班超傳》：「超伏兵遮擊，盡殺之，持其使首以示謝。」
2.掩蓋、掩蔽。如：「遮蓋」、「遮掩」。唐．白居易〈琵琶行〉：「千呼萬喚始出來，猶抱琵琶半遮面。」
[代]
此。通「這」。宋．陸游〈點絳脣．采藥歸來〉詞：「江湖上，遮回疏放，作個閒人樣。」 |</v>
      </c>
    </row>
    <row r="9008" spans="1:44" hidden="1">
      <c r="A9008" s="1" t="s">
        <v>18123</v>
      </c>
      <c r="C9008" s="1">
        <v>1</v>
      </c>
      <c r="D9008" s="1" t="str">
        <f>"07655"</f>
        <v>07655</v>
      </c>
      <c r="E9008" s="1" t="s">
        <v>679</v>
      </c>
      <c r="F9008" s="1">
        <v>17</v>
      </c>
      <c r="G9008" s="1">
        <v>11</v>
      </c>
      <c r="H9008" s="1">
        <v>1</v>
      </c>
      <c r="I9008" s="1" t="s">
        <v>18111</v>
      </c>
      <c r="K9008" s="1" t="str">
        <f t="shared" ref="K9008:K9071" si="566">LEFT(I9008, 1)</f>
        <v>ㄓ</v>
      </c>
      <c r="L9008" s="1" t="str">
        <f t="shared" ref="L9008:L9071" si="567">MID(I9008, 2, 1)</f>
        <v>ㄜ</v>
      </c>
      <c r="M9008" s="1" t="str">
        <f t="shared" si="565"/>
        <v/>
      </c>
      <c r="P9008" s="1" t="s">
        <v>388</v>
      </c>
      <c r="R9008" s="1" t="s">
        <v>18112</v>
      </c>
      <c r="V9008" s="1" t="s">
        <v>18124</v>
      </c>
      <c r="W9008" s="1" t="s">
        <v>18125</v>
      </c>
      <c r="AR9008" s="1" t="str">
        <f t="shared" si="564"/>
        <v>| [ㄓㄜ](ㄓㄜ.md) | [螫](螫.md) |  | zhē | [動]
含有毒腺的蛇、蟲等用牙或針鉤刺人畜。如：「要是被蠍子螫了，可不能馬虎處理！」《三國志．卷二九．魏書．方技傳．華佗傳》：「彭城夫人夜之廁，蠆螫其手，呻呼無賴。」 |</v>
      </c>
    </row>
    <row r="9009" spans="1:44" hidden="1">
      <c r="A9009" s="1" t="s">
        <v>13172</v>
      </c>
      <c r="C9009" s="1">
        <v>1</v>
      </c>
      <c r="D9009" s="1" t="str">
        <f>"07690"</f>
        <v>07690</v>
      </c>
      <c r="E9009" s="1" t="s">
        <v>12924</v>
      </c>
      <c r="F9009" s="1">
        <v>14</v>
      </c>
      <c r="G9009" s="1">
        <v>0</v>
      </c>
      <c r="H9009" s="1">
        <v>2</v>
      </c>
      <c r="I9009" s="1" t="s">
        <v>18204</v>
      </c>
      <c r="K9009" s="1" t="str">
        <f t="shared" si="566"/>
        <v>ㄓ</v>
      </c>
      <c r="L9009" s="1" t="str">
        <f t="shared" si="567"/>
        <v>ㄞ</v>
      </c>
      <c r="M9009" s="1" t="str">
        <f t="shared" si="565"/>
        <v/>
      </c>
      <c r="P9009" s="1" t="s">
        <v>20</v>
      </c>
      <c r="R9009" s="1" t="s">
        <v>18205</v>
      </c>
      <c r="V9009" s="1" t="s">
        <v>18206</v>
      </c>
      <c r="W9009" s="1" t="s">
        <v>18207</v>
      </c>
      <c r="AR9009" s="1" t="str">
        <f t="shared" si="564"/>
        <v>| [ㄓㄞ](ㄓㄞ.md) | [齊](齊.md) |  | zhāi | [動]
祭祀前戒絕嗜欲、潔淨身心，以示虔誠。同「齋」。《莊子．達生》：「臣將為鐻，未嘗敢以耗氣也，必齊以靜心。」
[形]
肅敬、莊重。如：「齊肅」。《詩經．大雅．思齊》：「思齊文王，所以聖也。」《論語．鄉黨》：「祭必齊如也。」 |</v>
      </c>
    </row>
    <row r="9010" spans="1:44" hidden="1">
      <c r="A9010" s="1" t="s">
        <v>18208</v>
      </c>
      <c r="C9010" s="1">
        <v>1</v>
      </c>
      <c r="D9010" s="1" t="str">
        <f>"07691"</f>
        <v>07691</v>
      </c>
      <c r="E9010" s="1" t="s">
        <v>12924</v>
      </c>
      <c r="F9010" s="1">
        <v>17</v>
      </c>
      <c r="G9010" s="1">
        <v>3</v>
      </c>
      <c r="H9010" s="1">
        <v>0</v>
      </c>
      <c r="I9010" s="1" t="s">
        <v>18204</v>
      </c>
      <c r="K9010" s="1" t="str">
        <f t="shared" si="566"/>
        <v>ㄓ</v>
      </c>
      <c r="L9010" s="1" t="str">
        <f t="shared" si="567"/>
        <v>ㄞ</v>
      </c>
      <c r="M9010" s="1" t="str">
        <f t="shared" si="565"/>
        <v/>
      </c>
      <c r="P9010" s="1" t="s">
        <v>20</v>
      </c>
      <c r="R9010" s="1" t="s">
        <v>18205</v>
      </c>
      <c r="V9010" s="1" t="s">
        <v>18209</v>
      </c>
      <c r="AR9010" s="1" t="str">
        <f t="shared" si="564"/>
        <v>| [ㄓㄞ](ㄓㄞ.md) | [齋](齋.md) |  | zhāi | [動]
1.祭祀前沐浴素食，清心寡欲，潔淨身心以示虔誠。《說文解字．示部》：「齋，戒潔也。」如：「齋戒」。《論語．述而》：「子之所慎：齋、戰、疾。」
2.布施飯菜給僧侶。《舊唐書．卷一三．德宗紀下》：「賜馬十匹，令於諸寺齋僧。」
[名]
1.素食、僧侶的飲食。如：「結齋」。《西遊記》第二〇回：「茶罷，又吩咐辦齋。」
2.僧侶誦經祈福的活動。如：「作齋」、「起齋」。
3.書房、學舍。如：「書齋」。《宋史．卷一五七．選舉志三》：「太學置八十齋，齋各五楹，容三十人。」
4.商店的名號。如：「采芝齋」、「榮寶齋」。 |</v>
      </c>
    </row>
    <row r="9011" spans="1:44" hidden="1">
      <c r="A9011" s="1" t="s">
        <v>6492</v>
      </c>
      <c r="C9011" s="1">
        <v>1</v>
      </c>
      <c r="D9011" s="1" t="str">
        <f>"07692"</f>
        <v>07692</v>
      </c>
      <c r="E9011" s="1" t="s">
        <v>24</v>
      </c>
      <c r="F9011" s="1">
        <v>14</v>
      </c>
      <c r="G9011" s="1">
        <v>11</v>
      </c>
      <c r="H9011" s="1">
        <v>1</v>
      </c>
      <c r="I9011" s="1" t="s">
        <v>18204</v>
      </c>
      <c r="K9011" s="1" t="str">
        <f t="shared" si="566"/>
        <v>ㄓ</v>
      </c>
      <c r="L9011" s="1" t="str">
        <f t="shared" si="567"/>
        <v>ㄞ</v>
      </c>
      <c r="M9011" s="1" t="str">
        <f t="shared" si="565"/>
        <v/>
      </c>
      <c r="P9011" s="1" t="s">
        <v>20</v>
      </c>
      <c r="R9011" s="1" t="s">
        <v>18205</v>
      </c>
      <c r="V9011" s="1" t="s">
        <v>18210</v>
      </c>
      <c r="W9011" s="1" t="s">
        <v>18211</v>
      </c>
      <c r="AR9011" s="1" t="str">
        <f t="shared" si="564"/>
        <v>| [ㄓㄞ](ㄓㄞ.md) | [摘](摘.md) |  | zhāi | [動]
1.用手採取。如：「摘花」、「摘下」、「摘取」、「採摘」。《劉知遠諸宮調．第一二》：「掉下剛刀，摘了弓箭，脫卻袍凱。」
2.選取。如：「摘錄」。唐．李賀〈南園〉詩一三首之六：「尋章摘句老雕蟲，曉月當簾挂玉弓。」
3.指出、批評。如：「指摘」。明．王世貞《藝苑巵言》卷一：「詩不能無疵，雖三百篇亦有之，人自不敢摘耳。」
4.借貸。如：「東摘西借」。《官話指南．卷二．官商吐屬》：「因為我們今兒個有點兒緊用項，找您摘給我們幾百塊錢用。」 |</v>
      </c>
    </row>
    <row r="9012" spans="1:44" hidden="1">
      <c r="A9012" s="1" t="s">
        <v>18247</v>
      </c>
      <c r="C9012" s="1">
        <v>1</v>
      </c>
      <c r="D9012" s="1" t="str">
        <f>"07705"</f>
        <v>07705</v>
      </c>
      <c r="E9012" s="1" t="s">
        <v>24</v>
      </c>
      <c r="F9012" s="1">
        <v>7</v>
      </c>
      <c r="G9012" s="1">
        <v>4</v>
      </c>
      <c r="H9012" s="1">
        <v>2</v>
      </c>
      <c r="I9012" s="1" t="s">
        <v>18248</v>
      </c>
      <c r="K9012" s="1" t="str">
        <f t="shared" si="566"/>
        <v>ㄓ</v>
      </c>
      <c r="L9012" s="1" t="str">
        <f t="shared" si="567"/>
        <v>ㄠ</v>
      </c>
      <c r="M9012" s="1" t="str">
        <f t="shared" si="565"/>
        <v/>
      </c>
      <c r="P9012" s="1" t="s">
        <v>186</v>
      </c>
      <c r="R9012" s="1" t="s">
        <v>18249</v>
      </c>
      <c r="V9012" s="1" t="s">
        <v>206</v>
      </c>
      <c r="W9012" s="1" t="s">
        <v>18250</v>
      </c>
      <c r="AR9012" s="1" t="str">
        <f t="shared" si="564"/>
        <v>| [ㄓㄠ](ㄓㄠ.md) | [抓](抓.md) |  | zhāo | (一)之讀音。 |</v>
      </c>
    </row>
    <row r="9013" spans="1:44" hidden="1">
      <c r="A9013" s="1" t="s">
        <v>15220</v>
      </c>
      <c r="C9013" s="1">
        <v>1</v>
      </c>
      <c r="D9013" s="1" t="str">
        <f>"07706"</f>
        <v>07706</v>
      </c>
      <c r="E9013" s="1" t="s">
        <v>24</v>
      </c>
      <c r="F9013" s="1">
        <v>8</v>
      </c>
      <c r="G9013" s="1">
        <v>5</v>
      </c>
      <c r="H9013" s="1">
        <v>1</v>
      </c>
      <c r="I9013" s="1" t="s">
        <v>18248</v>
      </c>
      <c r="K9013" s="1" t="str">
        <f t="shared" si="566"/>
        <v>ㄓ</v>
      </c>
      <c r="L9013" s="1" t="str">
        <f t="shared" si="567"/>
        <v>ㄠ</v>
      </c>
      <c r="M9013" s="1" t="str">
        <f t="shared" si="565"/>
        <v/>
      </c>
      <c r="P9013" s="1" t="s">
        <v>20</v>
      </c>
      <c r="R9013" s="1" t="s">
        <v>18249</v>
      </c>
      <c r="V9013" s="1" t="s">
        <v>18251</v>
      </c>
      <c r="W9013" s="1" t="s">
        <v>18252</v>
      </c>
      <c r="AR9013" s="1" t="str">
        <f t="shared" si="564"/>
        <v>| [ㄓㄠ](ㄓㄠ.md) | [招](招.md) |  | zhāo | [動]
1.打手勢以示意人過來。如：「招手」、「招之即來，揮之即去」。
2.用廣告、通知等公開方式使人來。如：「招生」、「招考」、「招標」。
3.逗、惹、引。如：「招禍」、「招惹」、「別招你媽生氣！」、「餅乾屑會招來螞蟻。」《書經．大禹謨》：「滿招損，謙受益，時乃天道。」《紅樓夢》第一一回：「你別在這裡只管這們著，倒招的媳婦也心裡不好。」
4.北平方言。指傳染。如：「這病招人，要小心！」
5.承認罪狀。如：「招認」、「不打自招」、「這廝口風緊得很，怎麼逼都不招。」
6.進用。《文選．左思．詠史詩八首之二》：「馮公豈不偉，白首不見招。」
7.使入贅。如：「招婿」。元．無名氏《鴛鴦被》第一折：「或招或嫁，可不好那！」
8.尋找。《文選．左思．招隱詩二首之一》：「杖策招隱士，荒塗橫古今。」
[名]
1.箭靶。《呂氏春秋．孟春紀．本生》：「萬人操弓，共射其一招，招無不中。」
2.武技、手段。如：「絕招」、「耍花招」。
3.明顯的標幟。如：「招牌」、「酒招」、「市招」。
4.量詞。計算招術的單位。如：「一招妙計」、「雙方交手三十招仍未分出勝負。」 |</v>
      </c>
    </row>
    <row r="9014" spans="1:44" hidden="1">
      <c r="A9014" s="1" t="s">
        <v>18253</v>
      </c>
      <c r="C9014" s="1">
        <v>1</v>
      </c>
      <c r="D9014" s="1" t="str">
        <f>"07707"</f>
        <v>07707</v>
      </c>
      <c r="E9014" s="1" t="s">
        <v>646</v>
      </c>
      <c r="F9014" s="1">
        <v>9</v>
      </c>
      <c r="G9014" s="1">
        <v>5</v>
      </c>
      <c r="H9014" s="1">
        <v>0</v>
      </c>
      <c r="I9014" s="1" t="s">
        <v>18248</v>
      </c>
      <c r="K9014" s="1" t="str">
        <f t="shared" si="566"/>
        <v>ㄓ</v>
      </c>
      <c r="L9014" s="1" t="str">
        <f t="shared" si="567"/>
        <v>ㄠ</v>
      </c>
      <c r="M9014" s="1" t="str">
        <f t="shared" si="565"/>
        <v/>
      </c>
      <c r="P9014" s="1" t="s">
        <v>20</v>
      </c>
      <c r="R9014" s="1" t="s">
        <v>18249</v>
      </c>
      <c r="V9014" s="1" t="s">
        <v>18254</v>
      </c>
      <c r="AR9014" s="1" t="str">
        <f t="shared" si="564"/>
        <v>| [ㄓㄠ](ㄓㄠ.md) | [昭](昭.md) |  | zhāo | [形]
1.明亮、光明。《詩經．大雅．抑》：「昊天孔昭，我生靡樂。」
2.明顯的。如：「天理昭昭」。
[名]
1.光線。《呂氏春秋．審分覽．任數》：「目之見也藉於昭，心之知也藉於理。」
2.古代祖先宗廟的排列次序。始祖廟居中，左為昭，右為穆。《左傳．僖公五年》：「大伯、虞仲，大王之昭也。」
3.姓。如戰國時楚國有昭奚恤。
[動]
顯揚、使彰明。《左傳．定公四年》：「以昭周公之明德。」《文選．諸葛亮．出師表》：「論其刑賞，以昭陛下平明之理。」 |</v>
      </c>
    </row>
    <row r="9015" spans="1:44" hidden="1">
      <c r="A9015" s="1" t="s">
        <v>18255</v>
      </c>
      <c r="C9015" s="1">
        <v>1</v>
      </c>
      <c r="D9015" s="1" t="str">
        <f>"07708"</f>
        <v>07708</v>
      </c>
      <c r="E9015" s="1" t="s">
        <v>55</v>
      </c>
      <c r="F9015" s="1">
        <v>10</v>
      </c>
      <c r="G9015" s="1">
        <v>2</v>
      </c>
      <c r="H9015" s="1">
        <v>0</v>
      </c>
      <c r="I9015" s="1" t="s">
        <v>18248</v>
      </c>
      <c r="K9015" s="1" t="str">
        <f t="shared" si="566"/>
        <v>ㄓ</v>
      </c>
      <c r="L9015" s="1" t="str">
        <f t="shared" si="567"/>
        <v>ㄠ</v>
      </c>
      <c r="M9015" s="1" t="str">
        <f t="shared" si="565"/>
        <v/>
      </c>
      <c r="P9015" s="1" t="s">
        <v>20</v>
      </c>
      <c r="R9015" s="1" t="s">
        <v>18249</v>
      </c>
      <c r="V9015" s="1" t="s">
        <v>18256</v>
      </c>
      <c r="AR9015" s="1" t="str">
        <f t="shared" si="564"/>
        <v>| [ㄓㄠ](ㄓㄠ.md) | [釗](釗.md) |  | zhāo | [動]
1.削去、磨損稜角。《說文解字．刀部》：「釗，刓也。」
2.勉勵、勸勉。如：「勉釗」。《廣韻．平聲．宵韻》：「釗，……勉也。」 |</v>
      </c>
    </row>
    <row r="9016" spans="1:44" hidden="1">
      <c r="A9016" s="1" t="s">
        <v>18199</v>
      </c>
      <c r="C9016" s="1">
        <v>1</v>
      </c>
      <c r="D9016" s="1" t="str">
        <f>"07709"</f>
        <v>07709</v>
      </c>
      <c r="E9016" s="1" t="s">
        <v>37</v>
      </c>
      <c r="F9016" s="1">
        <v>12</v>
      </c>
      <c r="G9016" s="1">
        <v>8</v>
      </c>
      <c r="H9016" s="1">
        <v>4</v>
      </c>
      <c r="I9016" s="1" t="s">
        <v>18248</v>
      </c>
      <c r="K9016" s="1" t="str">
        <f t="shared" si="566"/>
        <v>ㄓ</v>
      </c>
      <c r="L9016" s="1" t="str">
        <f t="shared" si="567"/>
        <v>ㄠ</v>
      </c>
      <c r="M9016" s="1" t="str">
        <f t="shared" si="565"/>
        <v/>
      </c>
      <c r="P9016" s="1" t="s">
        <v>20</v>
      </c>
      <c r="R9016" s="1" t="s">
        <v>18249</v>
      </c>
      <c r="V9016" s="1" t="s">
        <v>18257</v>
      </c>
      <c r="W9016" s="1" t="s">
        <v>18258</v>
      </c>
      <c r="AR9016" s="1" t="str">
        <f t="shared" si="564"/>
        <v>| [ㄓㄠ](ㄓㄠ.md) | [著](著.md) |  | zhāo | [名]
計策、方法。《水滸傳》第二回：「三十六著，走為上著。」
[動]
1.放置。晉．陶淵明〈晉故征西大將軍長史孟府君傳〉：「文成示溫，溫以著坐處。」
2.受。如：「著風」、「著涼」。
3.發生。如：「著急」、「著慌」。
[副]
北方方言。指意見相合、同意。如：「著哇！這正合我意。」 |</v>
      </c>
    </row>
    <row r="9017" spans="1:44" hidden="1">
      <c r="A9017" s="1" t="s">
        <v>18259</v>
      </c>
      <c r="C9017" s="1">
        <v>1</v>
      </c>
      <c r="D9017" s="1" t="str">
        <f>"07710"</f>
        <v>07710</v>
      </c>
      <c r="E9017" s="1" t="s">
        <v>2014</v>
      </c>
      <c r="F9017" s="1">
        <v>12</v>
      </c>
      <c r="G9017" s="1">
        <v>8</v>
      </c>
      <c r="H9017" s="1">
        <v>1</v>
      </c>
      <c r="I9017" s="1" t="s">
        <v>18248</v>
      </c>
      <c r="K9017" s="1" t="str">
        <f t="shared" si="566"/>
        <v>ㄓ</v>
      </c>
      <c r="L9017" s="1" t="str">
        <f t="shared" si="567"/>
        <v>ㄠ</v>
      </c>
      <c r="M9017" s="1" t="str">
        <f t="shared" si="565"/>
        <v/>
      </c>
      <c r="P9017" s="1" t="s">
        <v>20</v>
      </c>
      <c r="R9017" s="1" t="s">
        <v>18249</v>
      </c>
      <c r="V9017" s="1" t="s">
        <v>18260</v>
      </c>
      <c r="W9017" s="1" t="s">
        <v>18261</v>
      </c>
      <c r="AR9017" s="1" t="str">
        <f t="shared" si="564"/>
        <v>| [ㄓㄠ](ㄓㄠ.md) | [朝](朝.md) |  | zhāo | [名]
1.早晨。如：「春朝」。《詩經．小雅．何草不黃》：「哀我征夫，朝夕不暇。」《論語．里仁》：「朝聞道，夕死可矣。」
2.日、天。如：「有朝一日」、「成功在今朝」。《孟子．告子下》：「雖與之天下，不能一朝居也。」
3.姓。如隋代有朝景煥。
[形]
有活力的。如：「朝氣蓬勃」。 |</v>
      </c>
    </row>
    <row r="9018" spans="1:44" hidden="1">
      <c r="A9018" s="1" t="s">
        <v>18262</v>
      </c>
      <c r="C9018" s="1">
        <v>1</v>
      </c>
      <c r="D9018" s="1" t="str">
        <f>"07711"</f>
        <v>07711</v>
      </c>
      <c r="E9018" s="1" t="s">
        <v>28</v>
      </c>
      <c r="F9018" s="1">
        <v>15</v>
      </c>
      <c r="G9018" s="1">
        <v>12</v>
      </c>
      <c r="H9018" s="1">
        <v>2</v>
      </c>
      <c r="I9018" s="1" t="s">
        <v>18248</v>
      </c>
      <c r="K9018" s="1" t="str">
        <f t="shared" si="566"/>
        <v>ㄓ</v>
      </c>
      <c r="L9018" s="1" t="str">
        <f t="shared" si="567"/>
        <v>ㄠ</v>
      </c>
      <c r="M9018" s="1" t="str">
        <f t="shared" si="565"/>
        <v/>
      </c>
      <c r="P9018" s="1" t="s">
        <v>20</v>
      </c>
      <c r="R9018" s="1" t="s">
        <v>18249</v>
      </c>
      <c r="V9018" s="1" t="s">
        <v>18263</v>
      </c>
      <c r="W9018" s="1" t="s">
        <v>18264</v>
      </c>
      <c r="AR9018" s="1" t="str">
        <f t="shared" si="564"/>
        <v>| [ㄓㄠ](ㄓㄠ.md) | [嘲](嘲.md) |  | zhāo | [動]
1.(一)之讀音。
2.鳥鳴。如：「林鳥嘲嘲」。 |</v>
      </c>
    </row>
    <row r="9019" spans="1:44" hidden="1">
      <c r="A9019" s="1" t="s">
        <v>18315</v>
      </c>
      <c r="C9019" s="1">
        <v>1</v>
      </c>
      <c r="D9019" s="1" t="str">
        <f>"07732"</f>
        <v>07732</v>
      </c>
      <c r="E9019" s="1" t="s">
        <v>10354</v>
      </c>
      <c r="F9019" s="1">
        <v>6</v>
      </c>
      <c r="G9019" s="1">
        <v>3</v>
      </c>
      <c r="H9019" s="1">
        <v>0</v>
      </c>
      <c r="I9019" s="1" t="s">
        <v>18316</v>
      </c>
      <c r="K9019" s="1" t="str">
        <f t="shared" si="566"/>
        <v>ㄓ</v>
      </c>
      <c r="L9019" s="1" t="str">
        <f t="shared" si="567"/>
        <v>ㄡ</v>
      </c>
      <c r="M9019" s="1" t="str">
        <f t="shared" si="565"/>
        <v/>
      </c>
      <c r="P9019" s="1" t="s">
        <v>20</v>
      </c>
      <c r="R9019" s="1" t="s">
        <v>18317</v>
      </c>
      <c r="V9019" s="1" t="s">
        <v>18318</v>
      </c>
      <c r="AR9019" s="1" t="str">
        <f t="shared" si="564"/>
        <v>| [ㄓㄡ](ㄓㄡ.md) | [州](州.md) |  | zhōu | [名]
1.水面上的陸塊。同「洲」。《漢書．卷二八．地理志下》：「自合浦徐聞南入海，得大州，東西南北方千里。」
2.行政區域劃分的名稱。如：「蘇州」、「加州」。唐．白居易〈琵琶行〉：「座中泣下誰最多？江州司馬青衫濕。」
3.姓。如春秋時晉國有州綽。
[副]
穩固。《國語．齊語》：「令夫士，群萃而州處。」 |</v>
      </c>
    </row>
    <row r="9020" spans="1:44" hidden="1">
      <c r="A9020" s="1" t="s">
        <v>18319</v>
      </c>
      <c r="C9020" s="1">
        <v>1</v>
      </c>
      <c r="D9020" s="1" t="str">
        <f>"07733"</f>
        <v>07733</v>
      </c>
      <c r="E9020" s="1" t="s">
        <v>129</v>
      </c>
      <c r="F9020" s="1">
        <v>9</v>
      </c>
      <c r="G9020" s="1">
        <v>6</v>
      </c>
      <c r="H9020" s="1">
        <v>0</v>
      </c>
      <c r="I9020" s="1" t="s">
        <v>18316</v>
      </c>
      <c r="K9020" s="1" t="str">
        <f t="shared" si="566"/>
        <v>ㄓ</v>
      </c>
      <c r="L9020" s="1" t="str">
        <f t="shared" si="567"/>
        <v>ㄡ</v>
      </c>
      <c r="M9020" s="1" t="str">
        <f t="shared" si="565"/>
        <v/>
      </c>
      <c r="P9020" s="1" t="s">
        <v>20</v>
      </c>
      <c r="R9020" s="1" t="s">
        <v>18317</v>
      </c>
      <c r="V9020" s="1" t="s">
        <v>18320</v>
      </c>
      <c r="AR9020" s="1" t="str">
        <f t="shared" si="564"/>
        <v>| [ㄓㄡ](ㄓㄡ.md) | [洲](洲.md) |  | zhōu | [名]
1.水上的陸塊。如：「沙洲」。《詩經．周南．關雎》：「關關雎鳩，在河之洲。」
2.地理學上稱地球上的大塊陸地為「洲」。如：「亞洲」、「歐洲」。 |</v>
      </c>
    </row>
    <row r="9021" spans="1:44" hidden="1">
      <c r="A9021" s="1" t="s">
        <v>18321</v>
      </c>
      <c r="C9021" s="1">
        <v>1</v>
      </c>
      <c r="D9021" s="1" t="str">
        <f>"07734"</f>
        <v>07734</v>
      </c>
      <c r="E9021" s="1" t="s">
        <v>28</v>
      </c>
      <c r="F9021" s="1">
        <v>12</v>
      </c>
      <c r="G9021" s="1">
        <v>9</v>
      </c>
      <c r="H9021" s="1">
        <v>1</v>
      </c>
      <c r="I9021" s="1" t="s">
        <v>18316</v>
      </c>
      <c r="K9021" s="1" t="str">
        <f t="shared" si="566"/>
        <v>ㄓ</v>
      </c>
      <c r="L9021" s="1" t="str">
        <f t="shared" si="567"/>
        <v>ㄡ</v>
      </c>
      <c r="M9021" s="1" t="str">
        <f t="shared" si="565"/>
        <v/>
      </c>
      <c r="P9021" s="1" t="s">
        <v>20</v>
      </c>
      <c r="R9021" s="1" t="s">
        <v>18317</v>
      </c>
      <c r="V9021" s="1" t="s">
        <v>18322</v>
      </c>
      <c r="W9021" s="1" t="s">
        <v>18323</v>
      </c>
      <c r="AR9021" s="1" t="str">
        <f t="shared" si="564"/>
        <v>| [ㄓㄡ](ㄓㄡ.md) | [喌](喌.md) |  | zhōu | [擬]
叫雞的聲音。《說文解字．吅部》：「喌，呼雞重言之。」清．段玉裁．注：「雞聲喌喌，故人效其聲呼之。」《警世通言．卷四．拗相公飲恨半山堂》：「婢又呼雞：『喌，喌，喌，喌，王安石來。』群雞俱至。」 |</v>
      </c>
    </row>
    <row r="9022" spans="1:44" hidden="1">
      <c r="A9022" s="1" t="s">
        <v>18324</v>
      </c>
      <c r="C9022" s="1">
        <v>1</v>
      </c>
      <c r="D9022" s="1" t="str">
        <f>"07735"</f>
        <v>07735</v>
      </c>
      <c r="E9022" s="1" t="s">
        <v>181</v>
      </c>
      <c r="F9022" s="1">
        <v>6</v>
      </c>
      <c r="G9022" s="1">
        <v>0</v>
      </c>
      <c r="H9022" s="1">
        <v>0</v>
      </c>
      <c r="I9022" s="1" t="s">
        <v>18316</v>
      </c>
      <c r="K9022" s="1" t="str">
        <f t="shared" si="566"/>
        <v>ㄓ</v>
      </c>
      <c r="L9022" s="1" t="str">
        <f t="shared" si="567"/>
        <v>ㄡ</v>
      </c>
      <c r="M9022" s="1" t="str">
        <f t="shared" si="565"/>
        <v/>
      </c>
      <c r="P9022" s="1" t="s">
        <v>20</v>
      </c>
      <c r="R9022" s="1" t="s">
        <v>18317</v>
      </c>
      <c r="V9022" s="1" t="s">
        <v>18325</v>
      </c>
      <c r="AR9022" s="1" t="str">
        <f t="shared" si="564"/>
        <v>| [ㄓㄡ](ㄓㄡ.md) | [舟](舟.md) |  | zhōu | [名]
1.船。如：「輕舟」、「一葉扁舟」、「逆水行舟」。《詩經．邶風．二子乘舟》：「二子乘舟，汎汎其景。」
2.姓。如春秋時虢國有舟之僑。
3.二一四部首之一。
[動]
乘船。《禮記．祭義》：「壹舉足而不敢忘父母，是故道而不徑，舟而不游。」 |</v>
      </c>
    </row>
    <row r="9023" spans="1:44" hidden="1">
      <c r="A9023" s="1" t="s">
        <v>18326</v>
      </c>
      <c r="C9023" s="1">
        <v>1</v>
      </c>
      <c r="D9023" s="1" t="str">
        <f>"07736"</f>
        <v>07736</v>
      </c>
      <c r="E9023" s="1" t="s">
        <v>114</v>
      </c>
      <c r="F9023" s="1">
        <v>8</v>
      </c>
      <c r="G9023" s="1">
        <v>6</v>
      </c>
      <c r="H9023" s="1">
        <v>0</v>
      </c>
      <c r="I9023" s="1" t="s">
        <v>18316</v>
      </c>
      <c r="K9023" s="1" t="str">
        <f t="shared" si="566"/>
        <v>ㄓ</v>
      </c>
      <c r="L9023" s="1" t="str">
        <f t="shared" si="567"/>
        <v>ㄡ</v>
      </c>
      <c r="M9023" s="1" t="str">
        <f t="shared" si="565"/>
        <v/>
      </c>
      <c r="P9023" s="1" t="s">
        <v>20</v>
      </c>
      <c r="R9023" s="1" t="s">
        <v>18317</v>
      </c>
      <c r="V9023" s="1" t="s">
        <v>18327</v>
      </c>
      <c r="AR9023" s="1" t="str">
        <f t="shared" si="564"/>
        <v>| [ㄓㄡ](ㄓㄡ.md) | [侜](侜.md) |  | zhōu | [動]
欺騙。通「譸」。《爾雅．釋訓》：「侜張，誑也。」《詩經．陳風．防有鵲巢》：「誰侜予美？」漢．鄭玄．箋：「誰侜張誑欺我所美之人乎？」 |</v>
      </c>
    </row>
    <row r="9024" spans="1:44" hidden="1">
      <c r="A9024" s="1" t="s">
        <v>18328</v>
      </c>
      <c r="C9024" s="1">
        <v>1</v>
      </c>
      <c r="D9024" s="1" t="str">
        <f>"07737"</f>
        <v>07737</v>
      </c>
      <c r="E9024" s="1" t="s">
        <v>71</v>
      </c>
      <c r="F9024" s="1">
        <v>13</v>
      </c>
      <c r="G9024" s="1">
        <v>6</v>
      </c>
      <c r="H9024" s="1">
        <v>0</v>
      </c>
      <c r="I9024" s="1" t="s">
        <v>18316</v>
      </c>
      <c r="K9024" s="1" t="str">
        <f t="shared" si="566"/>
        <v>ㄓ</v>
      </c>
      <c r="L9024" s="1" t="str">
        <f t="shared" si="567"/>
        <v>ㄡ</v>
      </c>
      <c r="M9024" s="1" t="str">
        <f t="shared" si="565"/>
        <v/>
      </c>
      <c r="P9024" s="1" t="s">
        <v>20</v>
      </c>
      <c r="R9024" s="1" t="s">
        <v>18317</v>
      </c>
      <c r="V9024" s="1" t="s">
        <v>18329</v>
      </c>
      <c r="AR9024" s="1" t="str">
        <f t="shared" si="564"/>
        <v>| [ㄓㄡ](ㄓㄡ.md) | [輈](輈.md) |  | zhōu | [名]
古代馬車上駕駛座居中一根彎起的木頭。《文選．張衡．思玄賦》：「魂眷眷而屢顧兮，馬倚輈而徘徊。」 |</v>
      </c>
    </row>
    <row r="9025" spans="1:44" hidden="1">
      <c r="A9025" s="1" t="s">
        <v>18330</v>
      </c>
      <c r="C9025" s="1">
        <v>1</v>
      </c>
      <c r="D9025" s="1" t="str">
        <f>"07738"</f>
        <v>07738</v>
      </c>
      <c r="E9025" s="1" t="s">
        <v>272</v>
      </c>
      <c r="F9025" s="1">
        <v>17</v>
      </c>
      <c r="G9025" s="1">
        <v>6</v>
      </c>
      <c r="H9025" s="1">
        <v>0</v>
      </c>
      <c r="I9025" s="1" t="s">
        <v>18316</v>
      </c>
      <c r="K9025" s="1" t="str">
        <f t="shared" si="566"/>
        <v>ㄓ</v>
      </c>
      <c r="L9025" s="1" t="str">
        <f t="shared" si="567"/>
        <v>ㄡ</v>
      </c>
      <c r="M9025" s="1" t="str">
        <f t="shared" si="565"/>
        <v/>
      </c>
      <c r="P9025" s="1" t="s">
        <v>20</v>
      </c>
      <c r="R9025" s="1" t="s">
        <v>18317</v>
      </c>
      <c r="V9025" s="1" t="s">
        <v>18331</v>
      </c>
      <c r="AR9025" s="1" t="str">
        <f t="shared" si="564"/>
        <v>| [ㄓㄡ](ㄓㄡ.md) | [鵃](鵃.md) |  | zhōu | 參見「鶻鵃」條。 |</v>
      </c>
    </row>
    <row r="9026" spans="1:44" hidden="1">
      <c r="A9026" s="1" t="s">
        <v>18332</v>
      </c>
      <c r="C9026" s="1">
        <v>1</v>
      </c>
      <c r="D9026" s="1" t="str">
        <f>"07739"</f>
        <v>07739</v>
      </c>
      <c r="E9026" s="1" t="s">
        <v>28</v>
      </c>
      <c r="F9026" s="1">
        <v>8</v>
      </c>
      <c r="G9026" s="1">
        <v>5</v>
      </c>
      <c r="H9026" s="1">
        <v>0</v>
      </c>
      <c r="I9026" s="1" t="s">
        <v>18316</v>
      </c>
      <c r="K9026" s="1" t="str">
        <f t="shared" si="566"/>
        <v>ㄓ</v>
      </c>
      <c r="L9026" s="1" t="str">
        <f t="shared" si="567"/>
        <v>ㄡ</v>
      </c>
      <c r="M9026" s="1" t="str">
        <f t="shared" si="565"/>
        <v/>
      </c>
      <c r="P9026" s="1" t="s">
        <v>20</v>
      </c>
      <c r="R9026" s="1" t="s">
        <v>18317</v>
      </c>
      <c r="V9026" s="1" t="s">
        <v>18333</v>
      </c>
      <c r="AR9026" s="1" t="str">
        <f t="shared" si="564"/>
        <v>| [ㄓㄡ](ㄓㄡ.md) | [周](周.md) |  | zhōu | [形]
1.完密、嚴謹。如：「周密」、「周詳」。《左傳．昭公四年》：「其藏之也周。」《說文解字．口部》：「周，密也。」唐．劉知幾《史通．卷五．補註》：「范曄之刪後漢也，簡而且周，疏而不漏，蓋云備矣。」
2.完備、充足。《左傳．文公三年》：「君子是以知秦穆公之為君也，舉人之周也。」《紅樓夢》第六四回：「後來不料遭了官司，敗落了家產，弄得衣食不周，那裡還娶得起媳婦呢？」
3.全部、整個。清．紀昀《閱微草堂筆記．卷二．濼陽消夏錄》：「見數物似人似獸，周身麟皴，班駁如古松。」
[名]
1.朝代名：(1)參見「周朝」條。(2)參見「北周」條。(3)唐朝武則天稱帝，改國號為「周」。(4)參見「後周」條。
2.環繞區域的外圍部分。如：「圓周」、「周圍」。北魏．酈道元《水經注．穀水注》：「池東西千步，南北千一百步，四周有塘。」
3.量詞。計算環繞次數的單位。如：「環島一周」、「繞場兩周」。
4.滿一年。通「週」。如：「周年」、「周歲」。
5.一星期。如：「周末」。
6.姓。如明代有周順昌。
[動]
1.環繞。如：「周而復始」。《楚辭．屈原．九歌．湘君》：「鳥次兮屋上，水周兮堂下。」
2.救濟、援助。通「賙」。如：「周濟」。《三國志．卷五八．吳書．陸遜傳》：「夷王梅賾等並帥支黨來附遜，遜傾財帛，周贍經卹。」宋．吳自牧《夢粱錄．卷一八．恤貧濟老》：「富家沿門親察其孤苦艱難，遇夜以碎金銀或錢會插于門縫，以周其苦。」
[副]
普遍、全、都。如：「眾所周知」。《易經．繫辭上》：「知周乎萬物，而道濟天下。」宋．蘇軾〈上神宗皇帝書〉：「以古揆今，則似內重，共惟祖宗所以預圖而深計，固非小臣所能臆度而周知。」 |</v>
      </c>
    </row>
    <row r="9027" spans="1:44" hidden="1">
      <c r="A9027" s="1" t="s">
        <v>18334</v>
      </c>
      <c r="C9027" s="1">
        <v>1</v>
      </c>
      <c r="D9027" s="1" t="str">
        <f>"07740"</f>
        <v>07740</v>
      </c>
      <c r="E9027" s="1" t="s">
        <v>28</v>
      </c>
      <c r="F9027" s="1">
        <v>11</v>
      </c>
      <c r="G9027" s="1">
        <v>8</v>
      </c>
      <c r="H9027" s="1">
        <v>1</v>
      </c>
      <c r="I9027" s="1" t="s">
        <v>18316</v>
      </c>
      <c r="K9027" s="1" t="str">
        <f t="shared" si="566"/>
        <v>ㄓ</v>
      </c>
      <c r="L9027" s="1" t="str">
        <f t="shared" si="567"/>
        <v>ㄡ</v>
      </c>
      <c r="M9027" s="1" t="str">
        <f t="shared" si="565"/>
        <v/>
      </c>
      <c r="P9027" s="1" t="s">
        <v>20</v>
      </c>
      <c r="R9027" s="1" t="s">
        <v>18317</v>
      </c>
      <c r="V9027" s="1" t="s">
        <v>18335</v>
      </c>
      <c r="W9027" s="1" t="s">
        <v>18336</v>
      </c>
      <c r="AR9027" s="1" t="str">
        <f t="shared" ref="AR9027:AR9090" si="568">"| ["&amp;I9027&amp;"]("&amp;I9027&amp;".md) | ["&amp;A9027&amp;"]("&amp;A9027&amp;".md) | "&amp;" | "&amp;R9027&amp;" | "&amp;V9027&amp;" |"</f>
        <v>| [ㄓㄡ](ㄓㄡ.md) | [啁](啁.md) |  | zhōu | 參見「啁啾」、「啁噍」等條。 |</v>
      </c>
    </row>
    <row r="9028" spans="1:44" hidden="1">
      <c r="A9028" s="1" t="s">
        <v>18337</v>
      </c>
      <c r="C9028" s="1">
        <v>1</v>
      </c>
      <c r="D9028" s="1" t="str">
        <f>"07741"</f>
        <v>07741</v>
      </c>
      <c r="E9028" s="1" t="s">
        <v>558</v>
      </c>
      <c r="F9028" s="1">
        <v>12</v>
      </c>
      <c r="G9028" s="1">
        <v>8</v>
      </c>
      <c r="H9028" s="1">
        <v>0</v>
      </c>
      <c r="I9028" s="1" t="s">
        <v>18316</v>
      </c>
      <c r="K9028" s="1" t="str">
        <f t="shared" si="566"/>
        <v>ㄓ</v>
      </c>
      <c r="L9028" s="1" t="str">
        <f t="shared" si="567"/>
        <v>ㄡ</v>
      </c>
      <c r="M9028" s="1" t="str">
        <f t="shared" si="565"/>
        <v/>
      </c>
      <c r="P9028" s="1" t="s">
        <v>20</v>
      </c>
      <c r="R9028" s="1" t="s">
        <v>18317</v>
      </c>
      <c r="V9028" s="1" t="s">
        <v>18338</v>
      </c>
      <c r="AR9028" s="1" t="str">
        <f t="shared" si="568"/>
        <v>| [ㄓㄡ](ㄓㄡ.md) | [週](週.md) |  | zhōu | [名]
1.滿一年。如：「週歲」。《野叟曝言》第一七回：「爹爹知恩報恩，寫下遺囑，昨日才過週年，你就翻爹爹的招嗎？」
2.星期。如：「週末」。
3.量詞。計算時間的單位。一週等於一星期。如：「歷時四週」。
4.環繞區域的外圍部分。同「周」。《三國演義》第二〇回：「與天子獵於許田，軍士排開圍場，週廣二百餘里。」《初刻拍案驚奇》卷一五：「我如今添造房屋，修理得錦錦簇簇，週迴花木，栽植得整整齊齊。」
[動]
環繞循迴。通「周」。《紅樓夢》第一三回：「嬸嬸好痴也。否極泰來，榮辱自古週而復始，豈人力能可常保的。」
[形]
1.一星期一次的。如：「週刊」。
2.全部、整個。通「周」。《兒女英雄傳》第四〇回：「一痛快，不覺收了眼淚，嗤的一笑，立刻頭就不暈了，心寬體胖，週身的衣裳也合了折兒了。」
[副]
普遍、全、都。通「周」。如：「眾所週知」。明．徐弘祖《徐霞客遊記．卷九上．滇遊日記十》：「嘉靖壬子，城外週鑿城隍，至正南迤東，竁地丈許，有絡石，工役斲截之。」 |</v>
      </c>
    </row>
    <row r="9029" spans="1:44" hidden="1">
      <c r="A9029" s="1" t="s">
        <v>4839</v>
      </c>
      <c r="C9029" s="1">
        <v>1</v>
      </c>
      <c r="D9029" s="1" t="str">
        <f>"07742"</f>
        <v>07742</v>
      </c>
      <c r="E9029" s="1" t="s">
        <v>2271</v>
      </c>
      <c r="F9029" s="1">
        <v>14</v>
      </c>
      <c r="G9029" s="1">
        <v>8</v>
      </c>
      <c r="H9029" s="1">
        <v>2</v>
      </c>
      <c r="I9029" s="1" t="s">
        <v>18316</v>
      </c>
      <c r="K9029" s="1" t="str">
        <f t="shared" si="566"/>
        <v>ㄓ</v>
      </c>
      <c r="L9029" s="1" t="str">
        <f t="shared" si="567"/>
        <v>ㄡ</v>
      </c>
      <c r="M9029" s="1" t="str">
        <f t="shared" ref="M9029:M9092" si="569">MID(I9029, 3, 1)</f>
        <v/>
      </c>
      <c r="P9029" s="1" t="s">
        <v>20</v>
      </c>
      <c r="R9029" s="1" t="s">
        <v>18317</v>
      </c>
      <c r="V9029" s="1" t="s">
        <v>18339</v>
      </c>
      <c r="W9029" s="1" t="s">
        <v>18340</v>
      </c>
      <c r="AR9029" s="1" t="str">
        <f t="shared" si="568"/>
        <v>| [ㄓㄡ](ㄓㄡ.md) | [翢](翢.md) |  | zhōu | [名]
翢翢：古代的一種鳥。《韓非子．說林下》：「鳥有翢翢者，重首而尾屈。」 |</v>
      </c>
    </row>
    <row r="9030" spans="1:44" hidden="1">
      <c r="A9030" s="1" t="s">
        <v>18341</v>
      </c>
      <c r="C9030" s="1">
        <v>1</v>
      </c>
      <c r="D9030" s="1" t="str">
        <f>"07743"</f>
        <v>07743</v>
      </c>
      <c r="E9030" s="1" t="s">
        <v>71</v>
      </c>
      <c r="F9030" s="1">
        <v>15</v>
      </c>
      <c r="G9030" s="1">
        <v>8</v>
      </c>
      <c r="H9030" s="1">
        <v>0</v>
      </c>
      <c r="I9030" s="1" t="s">
        <v>18316</v>
      </c>
      <c r="K9030" s="1" t="str">
        <f t="shared" si="566"/>
        <v>ㄓ</v>
      </c>
      <c r="L9030" s="1" t="str">
        <f t="shared" si="567"/>
        <v>ㄡ</v>
      </c>
      <c r="M9030" s="1" t="str">
        <f t="shared" si="569"/>
        <v/>
      </c>
      <c r="P9030" s="1" t="s">
        <v>20</v>
      </c>
      <c r="R9030" s="1" t="s">
        <v>18317</v>
      </c>
      <c r="V9030" s="1" t="s">
        <v>18342</v>
      </c>
      <c r="AR9030" s="1" t="str">
        <f t="shared" si="568"/>
        <v>| [ㄓㄡ](ㄓㄡ.md) | [輖](輖.md) |  | zhōu | 參見「軒輖」條。 |</v>
      </c>
    </row>
    <row r="9031" spans="1:44" hidden="1">
      <c r="A9031" s="1" t="s">
        <v>18343</v>
      </c>
      <c r="C9031" s="1">
        <v>1</v>
      </c>
      <c r="D9031" s="1" t="str">
        <f>"07744"</f>
        <v>07744</v>
      </c>
      <c r="E9031" s="1" t="s">
        <v>505</v>
      </c>
      <c r="F9031" s="1">
        <v>15</v>
      </c>
      <c r="G9031" s="1">
        <v>8</v>
      </c>
      <c r="H9031" s="1">
        <v>0</v>
      </c>
      <c r="I9031" s="1" t="s">
        <v>18316</v>
      </c>
      <c r="K9031" s="1" t="str">
        <f t="shared" si="566"/>
        <v>ㄓ</v>
      </c>
      <c r="L9031" s="1" t="str">
        <f t="shared" si="567"/>
        <v>ㄡ</v>
      </c>
      <c r="M9031" s="1" t="str">
        <f t="shared" si="569"/>
        <v/>
      </c>
      <c r="P9031" s="1" t="s">
        <v>20</v>
      </c>
      <c r="R9031" s="1" t="s">
        <v>18317</v>
      </c>
      <c r="V9031" s="1" t="s">
        <v>18344</v>
      </c>
      <c r="AR9031" s="1" t="str">
        <f t="shared" si="568"/>
        <v>| [ㄓㄡ](ㄓㄡ.md) | [賙](賙.md) |  | zhōu | [動]
以財物濟助他人。《水滸傳》第一八回：「濟人貧苦，賙人之急。」 |</v>
      </c>
    </row>
    <row r="9032" spans="1:44" hidden="1">
      <c r="A9032" s="1" t="s">
        <v>18345</v>
      </c>
      <c r="C9032" s="1">
        <v>1</v>
      </c>
      <c r="D9032" s="1" t="str">
        <f>"07745"</f>
        <v>07745</v>
      </c>
      <c r="E9032" s="1" t="s">
        <v>46</v>
      </c>
      <c r="F9032" s="1">
        <v>12</v>
      </c>
      <c r="G9032" s="1">
        <v>6</v>
      </c>
      <c r="H9032" s="1">
        <v>1</v>
      </c>
      <c r="I9032" s="1" t="s">
        <v>18316</v>
      </c>
      <c r="K9032" s="1" t="str">
        <f t="shared" si="566"/>
        <v>ㄓ</v>
      </c>
      <c r="L9032" s="1" t="str">
        <f t="shared" si="567"/>
        <v>ㄡ</v>
      </c>
      <c r="M9032" s="1" t="str">
        <f t="shared" si="569"/>
        <v/>
      </c>
      <c r="P9032" s="1" t="s">
        <v>388</v>
      </c>
      <c r="R9032" s="1" t="s">
        <v>18317</v>
      </c>
      <c r="V9032" s="1" t="s">
        <v>18346</v>
      </c>
      <c r="W9032" s="1" t="s">
        <v>18347</v>
      </c>
      <c r="AR9032" s="1" t="str">
        <f t="shared" si="568"/>
        <v>| [ㄓㄡ](ㄓㄡ.md) | [粥](粥.md) |  | zhōu | [名]
稀飯。指用米、小米或玉米等穀類熬煮成的黏稠食物。如：「白粥」、「廣東粥」、「牛肉粥」。也稱為「糜」。 |</v>
      </c>
    </row>
    <row r="9033" spans="1:44" hidden="1">
      <c r="A9033" s="1" t="s">
        <v>18348</v>
      </c>
      <c r="C9033" s="1">
        <v>1</v>
      </c>
      <c r="D9033" s="1" t="str">
        <f>"07746"</f>
        <v>07746</v>
      </c>
      <c r="E9033" s="1" t="s">
        <v>438</v>
      </c>
      <c r="F9033" s="1">
        <v>17</v>
      </c>
      <c r="G9033" s="1">
        <v>12</v>
      </c>
      <c r="H9033" s="1">
        <v>0</v>
      </c>
      <c r="I9033" s="1" t="s">
        <v>18316</v>
      </c>
      <c r="K9033" s="1" t="str">
        <f t="shared" si="566"/>
        <v>ㄓ</v>
      </c>
      <c r="L9033" s="1" t="str">
        <f t="shared" si="567"/>
        <v>ㄡ</v>
      </c>
      <c r="M9033" s="1" t="str">
        <f t="shared" si="569"/>
        <v/>
      </c>
      <c r="P9033" s="1" t="s">
        <v>20</v>
      </c>
      <c r="R9033" s="1" t="s">
        <v>18317</v>
      </c>
      <c r="V9033" s="1" t="s">
        <v>18349</v>
      </c>
      <c r="AR9033" s="1" t="str">
        <f t="shared" si="568"/>
        <v>| [ㄓㄡ](ㄓㄡ.md) | [盩](盩.md) |  | zhōu | [動]
引擊。《說文解字．㚔部》：「盩，引擊也。」清．段玉裁．注：「引而擊之也。」 |</v>
      </c>
    </row>
    <row r="9034" spans="1:44" hidden="1">
      <c r="A9034" s="1" t="s">
        <v>18350</v>
      </c>
      <c r="C9034" s="1">
        <v>1</v>
      </c>
      <c r="D9034" s="1" t="str">
        <f>"07747"</f>
        <v>07747</v>
      </c>
      <c r="E9034" s="1" t="s">
        <v>331</v>
      </c>
      <c r="F9034" s="1">
        <v>21</v>
      </c>
      <c r="G9034" s="1">
        <v>14</v>
      </c>
      <c r="H9034" s="1">
        <v>0</v>
      </c>
      <c r="I9034" s="1" t="s">
        <v>18316</v>
      </c>
      <c r="K9034" s="1" t="str">
        <f t="shared" si="566"/>
        <v>ㄓ</v>
      </c>
      <c r="L9034" s="1" t="str">
        <f t="shared" si="567"/>
        <v>ㄡ</v>
      </c>
      <c r="M9034" s="1" t="str">
        <f t="shared" si="569"/>
        <v/>
      </c>
      <c r="P9034" s="1" t="s">
        <v>20</v>
      </c>
      <c r="R9034" s="1" t="s">
        <v>18317</v>
      </c>
      <c r="V9034" s="1" t="s">
        <v>18351</v>
      </c>
      <c r="AR9034" s="1" t="str">
        <f t="shared" si="568"/>
        <v>| [ㄓㄡ](ㄓㄡ.md) | [譸](譸.md) |  | zhōu | [動]
1.揣測、忖度。《後漢書．卷五八．虞詡傳》：「以詡譸之，知其無能為也。」
2.參見「譸張」條。 |</v>
      </c>
    </row>
    <row r="9035" spans="1:44" hidden="1">
      <c r="A9035" s="1" t="s">
        <v>18405</v>
      </c>
      <c r="C9035" s="1">
        <v>1</v>
      </c>
      <c r="D9035" s="1" t="str">
        <f>"07770"</f>
        <v>07770</v>
      </c>
      <c r="E9035" s="1" t="s">
        <v>1279</v>
      </c>
      <c r="F9035" s="1">
        <v>5</v>
      </c>
      <c r="G9035" s="1">
        <v>3</v>
      </c>
      <c r="H9035" s="1">
        <v>1</v>
      </c>
      <c r="I9035" s="1" t="s">
        <v>18406</v>
      </c>
      <c r="K9035" s="1" t="str">
        <f t="shared" si="566"/>
        <v>ㄓ</v>
      </c>
      <c r="L9035" s="1" t="str">
        <f t="shared" si="567"/>
        <v>ㄢ</v>
      </c>
      <c r="M9035" s="1" t="str">
        <f t="shared" si="569"/>
        <v/>
      </c>
      <c r="P9035" s="1" t="s">
        <v>20</v>
      </c>
      <c r="R9035" s="1" t="s">
        <v>18407</v>
      </c>
      <c r="V9035" s="1" t="s">
        <v>18408</v>
      </c>
      <c r="W9035" s="1" t="s">
        <v>18409</v>
      </c>
      <c r="AR9035" s="1" t="str">
        <f t="shared" si="568"/>
        <v>| [ㄓㄢ](ㄓㄢ.md) | [占](占.md) |  | zhān | [動]
1.根據徵兆以推知吉凶。《周禮．春官．占人》：「凡卜簭，君占體，大夫占色，史占墨，卜人占坼。」
2.視察、配合。《後漢書．卷六五．段熲傳》：「臣動兵涉夏，連獲甘澍，歲時豐稔，人無疵疫，上占天心，不為災傷。」
3.(二)之又音。 |</v>
      </c>
    </row>
    <row r="9036" spans="1:44" hidden="1">
      <c r="A9036" s="1" t="s">
        <v>18410</v>
      </c>
      <c r="C9036" s="1">
        <v>1</v>
      </c>
      <c r="D9036" s="1" t="str">
        <f>"07771"</f>
        <v>07771</v>
      </c>
      <c r="E9036" s="1" t="s">
        <v>114</v>
      </c>
      <c r="F9036" s="1">
        <v>7</v>
      </c>
      <c r="G9036" s="1">
        <v>5</v>
      </c>
      <c r="H9036" s="1">
        <v>2</v>
      </c>
      <c r="I9036" s="1" t="s">
        <v>18406</v>
      </c>
      <c r="K9036" s="1" t="str">
        <f t="shared" si="566"/>
        <v>ㄓ</v>
      </c>
      <c r="L9036" s="1" t="str">
        <f t="shared" si="567"/>
        <v>ㄢ</v>
      </c>
      <c r="M9036" s="1" t="str">
        <f t="shared" si="569"/>
        <v/>
      </c>
      <c r="P9036" s="1" t="s">
        <v>20</v>
      </c>
      <c r="R9036" s="1" t="s">
        <v>18407</v>
      </c>
      <c r="V9036" s="1" t="s">
        <v>18411</v>
      </c>
      <c r="W9036" s="1" t="s">
        <v>18412</v>
      </c>
      <c r="AR9036" s="1" t="str">
        <f t="shared" si="568"/>
        <v>| [ㄓㄢ](ㄓㄢ.md) | [佔](佔.md) |  | zhān | [動]
窺視。同「覘」。《集韻．平聲．鹽韻》：「覘，闚也。或作佔。」
[形]
看得見的、表面的。《禮記．學記》：「今之教者，呻其佔畢，多其訊。」 |</v>
      </c>
    </row>
    <row r="9037" spans="1:44" hidden="1">
      <c r="A9037" s="1" t="s">
        <v>18413</v>
      </c>
      <c r="C9037" s="1">
        <v>1</v>
      </c>
      <c r="D9037" s="1" t="str">
        <f>"07772"</f>
        <v>07772</v>
      </c>
      <c r="E9037" s="1" t="s">
        <v>129</v>
      </c>
      <c r="F9037" s="1">
        <v>8</v>
      </c>
      <c r="G9037" s="1">
        <v>5</v>
      </c>
      <c r="H9037" s="1">
        <v>0</v>
      </c>
      <c r="I9037" s="1" t="s">
        <v>18406</v>
      </c>
      <c r="K9037" s="1" t="str">
        <f t="shared" si="566"/>
        <v>ㄓ</v>
      </c>
      <c r="L9037" s="1" t="str">
        <f t="shared" si="567"/>
        <v>ㄢ</v>
      </c>
      <c r="M9037" s="1" t="str">
        <f t="shared" si="569"/>
        <v/>
      </c>
      <c r="P9037" s="1" t="s">
        <v>20</v>
      </c>
      <c r="R9037" s="1" t="s">
        <v>18407</v>
      </c>
      <c r="V9037" s="1" t="s">
        <v>18414</v>
      </c>
      <c r="AR9037" s="1" t="str">
        <f t="shared" si="568"/>
        <v>| [ㄓㄢ](ㄓㄢ.md) | [沾](沾.md) |  | zhān | [動]
1.浸溼。唐．劉長卿〈餞別王十一南遊〉詩：「望君煙水闊，揮手淚霑巾。」宋．文同〈早晴至報恩山寺〉詩：「山石巉巉磴道微，拂松穿竹露沾衣。」
2.接觸、接近。如：「滴酒不沾」、「這些話一點也沾不上邊。」
3.感染、染上。如：「沾染惡習」。
4.藉別人的關係而得到好處、利益。如：「沾光」、「沾便宜」。
5.帶、有。如：「我和他既不沾親，也不帶故。」 |</v>
      </c>
    </row>
    <row r="9038" spans="1:44" hidden="1">
      <c r="A9038" s="1" t="s">
        <v>6509</v>
      </c>
      <c r="C9038" s="1">
        <v>1</v>
      </c>
      <c r="D9038" s="1" t="str">
        <f>"07773"</f>
        <v>07773</v>
      </c>
      <c r="E9038" s="1" t="s">
        <v>250</v>
      </c>
      <c r="F9038" s="1">
        <v>8</v>
      </c>
      <c r="G9038" s="1">
        <v>5</v>
      </c>
      <c r="H9038" s="1">
        <v>2</v>
      </c>
      <c r="I9038" s="1" t="s">
        <v>18406</v>
      </c>
      <c r="K9038" s="1" t="str">
        <f t="shared" si="566"/>
        <v>ㄓ</v>
      </c>
      <c r="L9038" s="1" t="str">
        <f t="shared" si="567"/>
        <v>ㄢ</v>
      </c>
      <c r="M9038" s="1" t="str">
        <f t="shared" si="569"/>
        <v/>
      </c>
      <c r="P9038" s="1" t="s">
        <v>20</v>
      </c>
      <c r="R9038" s="1" t="s">
        <v>18407</v>
      </c>
      <c r="V9038" s="1" t="s">
        <v>18415</v>
      </c>
      <c r="W9038" s="1" t="s">
        <v>18416</v>
      </c>
      <c r="AR9038" s="1" t="str">
        <f t="shared" si="568"/>
        <v>| [ㄓㄢ](ㄓㄢ.md) | [怗](怗.md) |  | zhān | 參見「怗懘」條。 |</v>
      </c>
    </row>
    <row r="9039" spans="1:44" hidden="1">
      <c r="A9039" s="1" t="s">
        <v>18417</v>
      </c>
      <c r="C9039" s="1">
        <v>1</v>
      </c>
      <c r="D9039" s="1" t="str">
        <f>"07774"</f>
        <v>07774</v>
      </c>
      <c r="E9039" s="1" t="s">
        <v>331</v>
      </c>
      <c r="F9039" s="1">
        <v>12</v>
      </c>
      <c r="G9039" s="1">
        <v>5</v>
      </c>
      <c r="H9039" s="1">
        <v>0</v>
      </c>
      <c r="I9039" s="1" t="s">
        <v>18406</v>
      </c>
      <c r="K9039" s="1" t="str">
        <f t="shared" si="566"/>
        <v>ㄓ</v>
      </c>
      <c r="L9039" s="1" t="str">
        <f t="shared" si="567"/>
        <v>ㄢ</v>
      </c>
      <c r="M9039" s="1" t="str">
        <f t="shared" si="569"/>
        <v/>
      </c>
      <c r="P9039" s="1" t="s">
        <v>20</v>
      </c>
      <c r="R9039" s="1" t="s">
        <v>18407</v>
      </c>
      <c r="V9039" s="1" t="s">
        <v>18418</v>
      </c>
      <c r="AR9039" s="1" t="str">
        <f t="shared" si="568"/>
        <v>| [ㄓㄢ](ㄓㄢ.md) | [詀](詀.md) |  | zhān | [形]
1.話多。《玉篇．言部》：「詀，多言。」
2.低聲細語。《廣韻．平聲．咸韻》：「詀，諵語聲。」 |</v>
      </c>
    </row>
    <row r="9040" spans="1:44" hidden="1">
      <c r="A9040" s="1" t="s">
        <v>18419</v>
      </c>
      <c r="C9040" s="1">
        <v>1</v>
      </c>
      <c r="D9040" s="1" t="str">
        <f>"07775"</f>
        <v>07775</v>
      </c>
      <c r="E9040" s="1" t="s">
        <v>2233</v>
      </c>
      <c r="F9040" s="1">
        <v>12</v>
      </c>
      <c r="G9040" s="1">
        <v>5</v>
      </c>
      <c r="H9040" s="1">
        <v>0</v>
      </c>
      <c r="I9040" s="1" t="s">
        <v>18406</v>
      </c>
      <c r="K9040" s="1" t="str">
        <f t="shared" si="566"/>
        <v>ㄓ</v>
      </c>
      <c r="L9040" s="1" t="str">
        <f t="shared" si="567"/>
        <v>ㄢ</v>
      </c>
      <c r="M9040" s="1" t="str">
        <f t="shared" si="569"/>
        <v/>
      </c>
      <c r="P9040" s="1" t="s">
        <v>20</v>
      </c>
      <c r="R9040" s="1" t="s">
        <v>18407</v>
      </c>
      <c r="V9040" s="1" t="s">
        <v>18420</v>
      </c>
      <c r="AR9040" s="1" t="str">
        <f t="shared" si="568"/>
        <v>| [ㄓㄢ](ㄓㄢ.md) | [覘](覘.md) |  | zhān | [動]
窺視、觀察。《左傳．成公十七年》：「公使覘之，信。」南朝梁．劉勰《文心雕龍．樂府》：「是以師曠覘風於盛衰，季札鑒微於興廢，精之至也。」 |</v>
      </c>
    </row>
    <row r="9041" spans="1:44" hidden="1">
      <c r="A9041" s="1" t="s">
        <v>18421</v>
      </c>
      <c r="C9041" s="1">
        <v>1</v>
      </c>
      <c r="D9041" s="1" t="str">
        <f>"07776"</f>
        <v>07776</v>
      </c>
      <c r="E9041" s="1" t="s">
        <v>125</v>
      </c>
      <c r="F9041" s="1">
        <v>16</v>
      </c>
      <c r="G9041" s="1">
        <v>8</v>
      </c>
      <c r="H9041" s="1">
        <v>0</v>
      </c>
      <c r="I9041" s="1" t="s">
        <v>18406</v>
      </c>
      <c r="K9041" s="1" t="str">
        <f t="shared" si="566"/>
        <v>ㄓ</v>
      </c>
      <c r="L9041" s="1" t="str">
        <f t="shared" si="567"/>
        <v>ㄢ</v>
      </c>
      <c r="M9041" s="1" t="str">
        <f t="shared" si="569"/>
        <v/>
      </c>
      <c r="P9041" s="1" t="s">
        <v>20</v>
      </c>
      <c r="R9041" s="1" t="s">
        <v>18407</v>
      </c>
      <c r="V9041" s="1" t="s">
        <v>18422</v>
      </c>
      <c r="AR9041" s="1" t="str">
        <f t="shared" si="568"/>
        <v>| [ㄓㄢ](ㄓㄢ.md) | [霑](霑.md) |  | zhān | [動]
1.浸溼、沾溼。同「沾」。《文選．江淹．恨賦》：「此人但聞悲風汩起，血下霑衿。」
2.比喻受人恩惠。如：「霑恩」、「法雨均霑」。 |</v>
      </c>
    </row>
    <row r="9042" spans="1:44" hidden="1">
      <c r="A9042" s="1" t="s">
        <v>18423</v>
      </c>
      <c r="C9042" s="1">
        <v>1</v>
      </c>
      <c r="D9042" s="1" t="str">
        <f>"07777"</f>
        <v>07777</v>
      </c>
      <c r="E9042" s="1" t="s">
        <v>800</v>
      </c>
      <c r="F9042" s="1">
        <v>10</v>
      </c>
      <c r="G9042" s="1">
        <v>6</v>
      </c>
      <c r="H9042" s="1">
        <v>0</v>
      </c>
      <c r="I9042" s="1" t="s">
        <v>18406</v>
      </c>
      <c r="K9042" s="1" t="str">
        <f t="shared" si="566"/>
        <v>ㄓ</v>
      </c>
      <c r="L9042" s="1" t="str">
        <f t="shared" si="567"/>
        <v>ㄢ</v>
      </c>
      <c r="M9042" s="1" t="str">
        <f t="shared" si="569"/>
        <v/>
      </c>
      <c r="P9042" s="1" t="s">
        <v>20</v>
      </c>
      <c r="R9042" s="1" t="s">
        <v>18407</v>
      </c>
      <c r="V9042" s="1" t="s">
        <v>18424</v>
      </c>
      <c r="AR9042" s="1" t="str">
        <f t="shared" si="568"/>
        <v>| [ㄓㄢ](ㄓㄢ.md) | [旃](旃.md) |  | zhān | [名]
1.曲柄的旗子。《說文解字．㫃部》：「旃，旗曲柄也，所以旃表士眾。」《文選．司馬相如．子虛賦》：「乘彫玉之輿，靡魚須之橈旃。」
2.泛指旗子、旌旗。唐．李白〈贈宣城宇文太守兼呈崔侍御〉詩：「良圖掃沙漠，別夢繞旌旃。」
3.毛織品。通「氈」。漢．桓寬《鹽鐵論．本議》：「江南之柟梓竹箭，燕、齊之魚鹽旃裘。」《史記．卷一一〇．匈奴傳》：「自君王以下，咸食畜肉，衣其皮革，被旃裘。」
[助]
之焉二字的合讀。《詩經．唐風．采苓》：「人之為言，苟亦無信，舍旃舍旃，苟亦無人。」 |</v>
      </c>
    </row>
    <row r="9043" spans="1:44" hidden="1">
      <c r="A9043" s="1" t="s">
        <v>18425</v>
      </c>
      <c r="C9043" s="1">
        <v>1</v>
      </c>
      <c r="D9043" s="1" t="str">
        <f>"07778"</f>
        <v>07778</v>
      </c>
      <c r="E9043" s="1" t="s">
        <v>139</v>
      </c>
      <c r="F9043" s="1">
        <v>10</v>
      </c>
      <c r="G9043" s="1">
        <v>6</v>
      </c>
      <c r="H9043" s="1">
        <v>0</v>
      </c>
      <c r="I9043" s="1" t="s">
        <v>18406</v>
      </c>
      <c r="K9043" s="1" t="str">
        <f t="shared" si="566"/>
        <v>ㄓ</v>
      </c>
      <c r="L9043" s="1" t="str">
        <f t="shared" si="567"/>
        <v>ㄢ</v>
      </c>
      <c r="M9043" s="1" t="str">
        <f t="shared" si="569"/>
        <v/>
      </c>
      <c r="P9043" s="1" t="s">
        <v>20</v>
      </c>
      <c r="R9043" s="1" t="s">
        <v>18407</v>
      </c>
      <c r="V9043" s="1" t="s">
        <v>18426</v>
      </c>
      <c r="AR9043" s="1" t="str">
        <f t="shared" si="568"/>
        <v>| [ㄓㄢ](ㄓㄢ.md) | [栴](栴.md) |  | zhān | 參見「檀香」、「栴檀」等條。 |</v>
      </c>
    </row>
    <row r="9044" spans="1:44" hidden="1">
      <c r="A9044" s="1" t="s">
        <v>18427</v>
      </c>
      <c r="C9044" s="1">
        <v>1</v>
      </c>
      <c r="D9044" s="1" t="str">
        <f>"07779"</f>
        <v>07779</v>
      </c>
      <c r="E9044" s="1" t="s">
        <v>331</v>
      </c>
      <c r="F9044" s="1">
        <v>13</v>
      </c>
      <c r="G9044" s="1">
        <v>6</v>
      </c>
      <c r="H9044" s="1">
        <v>0</v>
      </c>
      <c r="I9044" s="1" t="s">
        <v>18406</v>
      </c>
      <c r="K9044" s="1" t="str">
        <f t="shared" si="566"/>
        <v>ㄓ</v>
      </c>
      <c r="L9044" s="1" t="str">
        <f t="shared" si="567"/>
        <v>ㄢ</v>
      </c>
      <c r="M9044" s="1" t="str">
        <f t="shared" si="569"/>
        <v/>
      </c>
      <c r="P9044" s="1" t="s">
        <v>20</v>
      </c>
      <c r="R9044" s="1" t="s">
        <v>18407</v>
      </c>
      <c r="V9044" s="1" t="s">
        <v>18428</v>
      </c>
      <c r="AR9044" s="1" t="str">
        <f t="shared" si="568"/>
        <v>| [ㄓㄢ](ㄓㄢ.md) | [詹](詹.md) |  | zhān | [形]
話多。《說文解字．八部》：「詹，多言也。」
[動]
1.至、到達。《詩經．小雅．采綠》：「五日為期，六日不詹。」《文選．張衡．思玄賦》：「黃靈詹而訪命兮，樛天道其焉如。」
2.視。通「瞻」。《詩經．魯頌．閟宮》：「泰山巖巖，魯邦所詹。」《史記．卷四．周本紀》：「粵詹雒伊，毋遠天室。」
3.管理。《史記．卷一一．孝景本紀》：「長信詹事為長信少府。」
4.選定。如：「謹詹於某月某日舉行婚禮。」
[名]
姓。如清代有詹天佑。 |</v>
      </c>
    </row>
    <row r="9045" spans="1:44" hidden="1">
      <c r="A9045" s="1" t="s">
        <v>18429</v>
      </c>
      <c r="C9045" s="1">
        <v>1</v>
      </c>
      <c r="D9045" s="1" t="str">
        <f>"07780"</f>
        <v>07780</v>
      </c>
      <c r="E9045" s="1" t="s">
        <v>37</v>
      </c>
      <c r="F9045" s="1">
        <v>17</v>
      </c>
      <c r="G9045" s="1">
        <v>13</v>
      </c>
      <c r="H9045" s="1">
        <v>0</v>
      </c>
      <c r="I9045" s="1" t="s">
        <v>18406</v>
      </c>
      <c r="K9045" s="1" t="str">
        <f t="shared" si="566"/>
        <v>ㄓ</v>
      </c>
      <c r="L9045" s="1" t="str">
        <f t="shared" si="567"/>
        <v>ㄢ</v>
      </c>
      <c r="M9045" s="1" t="str">
        <f t="shared" si="569"/>
        <v/>
      </c>
      <c r="P9045" s="1" t="s">
        <v>20</v>
      </c>
      <c r="R9045" s="1" t="s">
        <v>18407</v>
      </c>
      <c r="V9045" s="1" t="s">
        <v>18430</v>
      </c>
      <c r="AR9045" s="1" t="str">
        <f t="shared" si="568"/>
        <v>| [ㄓㄢ](ㄓㄢ.md) | [薝](薝.md) |  | zhān | 參見「薝蔔」條。 |</v>
      </c>
    </row>
    <row r="9046" spans="1:44" hidden="1">
      <c r="A9046" s="1" t="s">
        <v>18431</v>
      </c>
      <c r="C9046" s="1">
        <v>1</v>
      </c>
      <c r="D9046" s="1" t="str">
        <f>"07781"</f>
        <v>07781</v>
      </c>
      <c r="E9046" s="1" t="s">
        <v>1015</v>
      </c>
      <c r="F9046" s="1">
        <v>18</v>
      </c>
      <c r="G9046" s="1">
        <v>13</v>
      </c>
      <c r="H9046" s="1">
        <v>0</v>
      </c>
      <c r="I9046" s="1" t="s">
        <v>18406</v>
      </c>
      <c r="K9046" s="1" t="str">
        <f t="shared" si="566"/>
        <v>ㄓ</v>
      </c>
      <c r="L9046" s="1" t="str">
        <f t="shared" si="567"/>
        <v>ㄢ</v>
      </c>
      <c r="M9046" s="1" t="str">
        <f t="shared" si="569"/>
        <v/>
      </c>
      <c r="P9046" s="1" t="s">
        <v>20</v>
      </c>
      <c r="R9046" s="1" t="s">
        <v>18407</v>
      </c>
      <c r="V9046" s="1" t="s">
        <v>18432</v>
      </c>
      <c r="AR9046" s="1" t="str">
        <f t="shared" si="568"/>
        <v>| [ㄓㄢ](ㄓㄢ.md) | [瞻](瞻.md) |  | zhān | [動]
1.向上或向前看。《詩經．邶風．雄雉》：「瞻彼日月，悠悠我思。」《楚辭．屈原．離騷》：「瞻前而顧後兮，相觀民之計極。」
2.仰望。如：「瞻仰」。《詩經．大雅．桑柔》：「維此惠君，民人所瞻。」 |</v>
      </c>
    </row>
    <row r="9047" spans="1:44" hidden="1">
      <c r="A9047" s="1" t="s">
        <v>18433</v>
      </c>
      <c r="C9047" s="1">
        <v>1</v>
      </c>
      <c r="D9047" s="1" t="str">
        <f>"07782"</f>
        <v>07782</v>
      </c>
      <c r="E9047" s="1" t="s">
        <v>331</v>
      </c>
      <c r="F9047" s="1">
        <v>20</v>
      </c>
      <c r="G9047" s="1">
        <v>13</v>
      </c>
      <c r="H9047" s="1">
        <v>0</v>
      </c>
      <c r="I9047" s="1" t="s">
        <v>18406</v>
      </c>
      <c r="K9047" s="1" t="str">
        <f t="shared" si="566"/>
        <v>ㄓ</v>
      </c>
      <c r="L9047" s="1" t="str">
        <f t="shared" si="567"/>
        <v>ㄢ</v>
      </c>
      <c r="M9047" s="1" t="str">
        <f t="shared" si="569"/>
        <v/>
      </c>
      <c r="P9047" s="1" t="s">
        <v>20</v>
      </c>
      <c r="R9047" s="1" t="s">
        <v>18407</v>
      </c>
      <c r="V9047" s="1" t="s">
        <v>18434</v>
      </c>
      <c r="AR9047" s="1" t="str">
        <f t="shared" si="568"/>
        <v>| [ㄓㄢ](ㄓㄢ.md) | [譫](譫.md) |  | zhān | [形]
話多。《集韻．平聲．鹽韻》：「譫，多言。」
[動]
參見「譫語」條。 |</v>
      </c>
    </row>
    <row r="9048" spans="1:44" hidden="1">
      <c r="A9048" s="1" t="s">
        <v>18435</v>
      </c>
      <c r="C9048" s="1">
        <v>1</v>
      </c>
      <c r="D9048" s="1" t="str">
        <f>"07783"</f>
        <v>07783</v>
      </c>
      <c r="E9048" s="1" t="s">
        <v>558</v>
      </c>
      <c r="F9048" s="1">
        <v>17</v>
      </c>
      <c r="G9048" s="1">
        <v>13</v>
      </c>
      <c r="H9048" s="1">
        <v>0</v>
      </c>
      <c r="I9048" s="1" t="s">
        <v>18406</v>
      </c>
      <c r="K9048" s="1" t="str">
        <f t="shared" si="566"/>
        <v>ㄓ</v>
      </c>
      <c r="L9048" s="1" t="str">
        <f t="shared" si="567"/>
        <v>ㄢ</v>
      </c>
      <c r="M9048" s="1" t="str">
        <f t="shared" si="569"/>
        <v/>
      </c>
      <c r="P9048" s="1" t="s">
        <v>20</v>
      </c>
      <c r="R9048" s="1" t="s">
        <v>18407</v>
      </c>
      <c r="V9048" s="1" t="s">
        <v>18436</v>
      </c>
      <c r="AR9048" s="1" t="str">
        <f t="shared" si="568"/>
        <v>| [ㄓㄢ](ㄓㄢ.md) | [邅](邅.md) |  | zhān | [動]
轉、改變。《楚辭．屈原．九歌．湘君》：「駕飛龍兮北征，邅吾道兮洞庭。」
[形]
參見「屯邅」、「邅回」等條。 |</v>
      </c>
    </row>
    <row r="9049" spans="1:44" hidden="1">
      <c r="A9049" s="1" t="s">
        <v>18437</v>
      </c>
      <c r="C9049" s="1">
        <v>1</v>
      </c>
      <c r="D9049" s="1" t="str">
        <f>"07784"</f>
        <v>07784</v>
      </c>
      <c r="E9049" s="1" t="s">
        <v>1703</v>
      </c>
      <c r="F9049" s="1">
        <v>17</v>
      </c>
      <c r="G9049" s="1">
        <v>13</v>
      </c>
      <c r="H9049" s="1">
        <v>0</v>
      </c>
      <c r="I9049" s="1" t="s">
        <v>18406</v>
      </c>
      <c r="K9049" s="1" t="str">
        <f t="shared" si="566"/>
        <v>ㄓ</v>
      </c>
      <c r="L9049" s="1" t="str">
        <f t="shared" si="567"/>
        <v>ㄢ</v>
      </c>
      <c r="M9049" s="1" t="str">
        <f t="shared" si="569"/>
        <v/>
      </c>
      <c r="P9049" s="1" t="s">
        <v>20</v>
      </c>
      <c r="R9049" s="1" t="s">
        <v>18407</v>
      </c>
      <c r="V9049" s="1" t="s">
        <v>18438</v>
      </c>
      <c r="AR9049" s="1" t="str">
        <f t="shared" si="568"/>
        <v>| [ㄓㄢ](ㄓㄢ.md) | [氈](氈.md) |  | zhān | [名]
用獸毛加膠汁壓製成的織物，可做墊褥或鞋帽等。如：「毛氈」、「床氈」。《梁書．卷三六．江革傳》：「乃脫所著襦，並手割半氈與革充臥具而去。」 |</v>
      </c>
    </row>
    <row r="9050" spans="1:44" hidden="1">
      <c r="A9050" s="1" t="s">
        <v>18439</v>
      </c>
      <c r="C9050" s="1">
        <v>1</v>
      </c>
      <c r="D9050" s="1" t="str">
        <f>"07785"</f>
        <v>07785</v>
      </c>
      <c r="E9050" s="1" t="s">
        <v>193</v>
      </c>
      <c r="F9050" s="1">
        <v>21</v>
      </c>
      <c r="G9050" s="1">
        <v>13</v>
      </c>
      <c r="H9050" s="1">
        <v>0</v>
      </c>
      <c r="I9050" s="1" t="s">
        <v>18406</v>
      </c>
      <c r="K9050" s="1" t="str">
        <f t="shared" si="566"/>
        <v>ㄓ</v>
      </c>
      <c r="L9050" s="1" t="str">
        <f t="shared" si="567"/>
        <v>ㄢ</v>
      </c>
      <c r="M9050" s="1" t="str">
        <f t="shared" si="569"/>
        <v/>
      </c>
      <c r="P9050" s="1" t="s">
        <v>20</v>
      </c>
      <c r="R9050" s="1" t="s">
        <v>18407</v>
      </c>
      <c r="V9050" s="1" t="s">
        <v>18440</v>
      </c>
      <c r="AR9050" s="1" t="str">
        <f t="shared" si="568"/>
        <v>| [ㄓㄢ](ㄓㄢ.md) | [饘](饘.md) |  | zhān | [名]
濃稠的粥。《禮記．檀弓上》：「饘粥之食。」唐．皮日休〈三羞〉詩三首之三：「朝食有麥饘，晨起有布衣。」 |</v>
      </c>
    </row>
    <row r="9051" spans="1:44" hidden="1">
      <c r="A9051" s="1" t="s">
        <v>18441</v>
      </c>
      <c r="C9051" s="1">
        <v>1</v>
      </c>
      <c r="D9051" s="1" t="str">
        <f>"07786"</f>
        <v>07786</v>
      </c>
      <c r="E9051" s="1" t="s">
        <v>272</v>
      </c>
      <c r="F9051" s="1">
        <v>24</v>
      </c>
      <c r="G9051" s="1">
        <v>13</v>
      </c>
      <c r="H9051" s="1">
        <v>0</v>
      </c>
      <c r="I9051" s="1" t="s">
        <v>18406</v>
      </c>
      <c r="K9051" s="1" t="str">
        <f t="shared" si="566"/>
        <v>ㄓ</v>
      </c>
      <c r="L9051" s="1" t="str">
        <f t="shared" si="567"/>
        <v>ㄢ</v>
      </c>
      <c r="M9051" s="1" t="str">
        <f t="shared" si="569"/>
        <v/>
      </c>
      <c r="P9051" s="1" t="s">
        <v>20</v>
      </c>
      <c r="R9051" s="1" t="s">
        <v>18407</v>
      </c>
      <c r="V9051" s="1" t="s">
        <v>18442</v>
      </c>
      <c r="AR9051" s="1" t="str">
        <f t="shared" si="568"/>
        <v>| [ㄓㄢ](ㄓㄢ.md) | [鸇](鸇.md) |  | zhān | [名]
動物名。一種猛禽，形似鷂，羽色青黃，常襲擊鳩、鴿、燕雀等做為獵物。 |</v>
      </c>
    </row>
    <row r="9052" spans="1:44" hidden="1">
      <c r="A9052" s="1" t="s">
        <v>18443</v>
      </c>
      <c r="C9052" s="1">
        <v>1</v>
      </c>
      <c r="D9052" s="1" t="str">
        <f>"07787"</f>
        <v>07787</v>
      </c>
      <c r="E9052" s="1" t="s">
        <v>156</v>
      </c>
      <c r="F9052" s="1">
        <v>24</v>
      </c>
      <c r="G9052" s="1">
        <v>13</v>
      </c>
      <c r="H9052" s="1">
        <v>1</v>
      </c>
      <c r="I9052" s="1" t="s">
        <v>18406</v>
      </c>
      <c r="K9052" s="1" t="str">
        <f t="shared" si="566"/>
        <v>ㄓ</v>
      </c>
      <c r="L9052" s="1" t="str">
        <f t="shared" si="567"/>
        <v>ㄢ</v>
      </c>
      <c r="M9052" s="1" t="str">
        <f t="shared" si="569"/>
        <v/>
      </c>
      <c r="P9052" s="1" t="s">
        <v>20</v>
      </c>
      <c r="R9052" s="1" t="s">
        <v>18407</v>
      </c>
      <c r="V9052" s="1" t="s">
        <v>18444</v>
      </c>
      <c r="W9052" s="1" t="s">
        <v>18445</v>
      </c>
      <c r="AR9052" s="1" t="str">
        <f t="shared" si="568"/>
        <v>| [ㄓㄢ](ㄓㄢ.md) | [鱣](鱣.md) |  | zhān | [名]
一種無鱗的大魚。《爾雅．釋魚》「鱣」句下晉．郭璞．注：「鱣，大魚。似鱘而短鼻，口在頷下，體有邪行甲，無鱗，肉黃，大者長二、三丈，今江東呼為黃魚。」 |</v>
      </c>
    </row>
    <row r="9053" spans="1:44" hidden="1">
      <c r="A9053" s="1" t="s">
        <v>18510</v>
      </c>
      <c r="C9053" s="1">
        <v>1</v>
      </c>
      <c r="D9053" s="1" t="str">
        <f>"07815"</f>
        <v>07815</v>
      </c>
      <c r="E9053" s="1" t="s">
        <v>142</v>
      </c>
      <c r="F9053" s="1">
        <v>9</v>
      </c>
      <c r="G9053" s="1">
        <v>5</v>
      </c>
      <c r="H9053" s="1">
        <v>0</v>
      </c>
      <c r="I9053" s="1" t="s">
        <v>18511</v>
      </c>
      <c r="K9053" s="1" t="str">
        <f t="shared" si="566"/>
        <v>ㄓ</v>
      </c>
      <c r="L9053" s="1" t="str">
        <f t="shared" si="567"/>
        <v>ㄣ</v>
      </c>
      <c r="M9053" s="1" t="str">
        <f t="shared" si="569"/>
        <v/>
      </c>
      <c r="P9053" s="1" t="s">
        <v>20</v>
      </c>
      <c r="R9053" s="1" t="s">
        <v>18512</v>
      </c>
      <c r="V9053" s="1" t="s">
        <v>18513</v>
      </c>
      <c r="AR9053" s="1" t="str">
        <f t="shared" si="568"/>
        <v>| [ㄓㄣ](ㄓㄣ.md) | [珍](珍.md) |  | zhēn | [形]
寶貴、奇特稀有的。如：「珍味」、「珍品」、「珍禽異獸」。
[名]
1.稀有貴重的寶物。如：「奇珍異寶」。《警世通言．卷三二．杜十娘怒沉百寶箱》：「遇春啟匣觀看，內皆明珠異寶，無價之珍。」
2.美味的食物。如：「山珍海味」。唐．杜甫〈麗人行〉：「黃門飛鞚不動塵，御廚絡繹送八珍。」
[動]
愛惜、重視。如：「敝帚自珍」。唐．李白〈古風〉詩五九首之一：「自從建安來，綺麗不足珍。」
[副]
妥慎、審慎。如：「珍藏」、「珍惜」。 |</v>
      </c>
    </row>
    <row r="9054" spans="1:44" hidden="1">
      <c r="A9054" s="1" t="s">
        <v>18514</v>
      </c>
      <c r="C9054" s="1">
        <v>1</v>
      </c>
      <c r="D9054" s="1" t="str">
        <f>"07816"</f>
        <v>07816</v>
      </c>
      <c r="E9054" s="1" t="s">
        <v>68</v>
      </c>
      <c r="F9054" s="1">
        <v>9</v>
      </c>
      <c r="G9054" s="1">
        <v>5</v>
      </c>
      <c r="H9054" s="1">
        <v>1</v>
      </c>
      <c r="I9054" s="1" t="s">
        <v>18511</v>
      </c>
      <c r="K9054" s="1" t="str">
        <f t="shared" si="566"/>
        <v>ㄓ</v>
      </c>
      <c r="L9054" s="1" t="str">
        <f t="shared" si="567"/>
        <v>ㄣ</v>
      </c>
      <c r="M9054" s="1" t="str">
        <f t="shared" si="569"/>
        <v/>
      </c>
      <c r="P9054" s="1" t="s">
        <v>20</v>
      </c>
      <c r="R9054" s="1" t="s">
        <v>18512</v>
      </c>
      <c r="V9054" s="1" t="s">
        <v>18515</v>
      </c>
      <c r="W9054" s="1" t="s">
        <v>18516</v>
      </c>
      <c r="AR9054" s="1" t="str">
        <f t="shared" si="568"/>
        <v>| [ㄓㄣ](ㄓㄣ.md) | [胗](胗.md) |  | zhēn | [名]
鳥類的胃。如：「雞胗」、「鴨胗」。也稱為「胗兒」。 |</v>
      </c>
    </row>
    <row r="9055" spans="1:44" hidden="1">
      <c r="A9055" s="1" t="s">
        <v>18517</v>
      </c>
      <c r="C9055" s="1">
        <v>1</v>
      </c>
      <c r="D9055" s="1" t="str">
        <f>"07817"</f>
        <v>07817</v>
      </c>
      <c r="E9055" s="1" t="s">
        <v>331</v>
      </c>
      <c r="F9055" s="1">
        <v>12</v>
      </c>
      <c r="G9055" s="1">
        <v>5</v>
      </c>
      <c r="H9055" s="1">
        <v>2</v>
      </c>
      <c r="I9055" s="1" t="s">
        <v>18511</v>
      </c>
      <c r="K9055" s="1" t="str">
        <f t="shared" si="566"/>
        <v>ㄓ</v>
      </c>
      <c r="L9055" s="1" t="str">
        <f t="shared" si="567"/>
        <v>ㄣ</v>
      </c>
      <c r="M9055" s="1" t="str">
        <f t="shared" si="569"/>
        <v/>
      </c>
      <c r="P9055" s="1" t="s">
        <v>110</v>
      </c>
      <c r="R9055" s="1" t="s">
        <v>18512</v>
      </c>
      <c r="V9055" s="1" t="s">
        <v>111</v>
      </c>
      <c r="W9055" s="1" t="s">
        <v>18518</v>
      </c>
      <c r="AR9055" s="1" t="str">
        <f t="shared" si="568"/>
        <v>| [ㄓㄣ](ㄓㄣ.md) | [診](診.md) |  | zhēn | (一)之又音。 |</v>
      </c>
    </row>
    <row r="9056" spans="1:44" hidden="1">
      <c r="A9056" s="1" t="s">
        <v>18519</v>
      </c>
      <c r="C9056" s="1">
        <v>1</v>
      </c>
      <c r="D9056" s="1" t="str">
        <f>"07818"</f>
        <v>07818</v>
      </c>
      <c r="E9056" s="1" t="s">
        <v>505</v>
      </c>
      <c r="F9056" s="1">
        <v>9</v>
      </c>
      <c r="G9056" s="1">
        <v>2</v>
      </c>
      <c r="H9056" s="1">
        <v>0</v>
      </c>
      <c r="I9056" s="1" t="s">
        <v>18511</v>
      </c>
      <c r="K9056" s="1" t="str">
        <f t="shared" si="566"/>
        <v>ㄓ</v>
      </c>
      <c r="L9056" s="1" t="str">
        <f t="shared" si="567"/>
        <v>ㄣ</v>
      </c>
      <c r="M9056" s="1" t="str">
        <f t="shared" si="569"/>
        <v/>
      </c>
      <c r="P9056" s="1" t="s">
        <v>20</v>
      </c>
      <c r="R9056" s="1" t="s">
        <v>18512</v>
      </c>
      <c r="V9056" s="1" t="s">
        <v>18520</v>
      </c>
      <c r="AR9056" s="1" t="str">
        <f t="shared" si="568"/>
        <v>| [ㄓㄣ](ㄓㄣ.md) | [貞](貞.md) |  | zhēn | [名]_x000D_
1.卜問之事。《周禮．春官宗伯．大卜》：「凡國大貞，卜立君，卜大封。」_x000D_
2.指女子不失身、不改嫁的行為。唐．劉叉〈古怨〉詩：「君莫嫌醜婦，醜婦死守貞。」_x000D_
[形]_x000D_
1.守正道的、效忠的。如：「貞士」、「貞臣」。《荀子．子道》：「子從父命，孝乎？臣從君命，貞乎？」_x000D_
2.堅定的、穩固的。如：「貞石」、「貞木」。_x000D_
[動]_x000D_
卜問。《周禮．春官宗伯．天府》：「季冬，陳玉，以貞來歲之媺惡」。 |</v>
      </c>
    </row>
    <row r="9057" spans="1:44" hidden="1">
      <c r="A9057" s="1" t="s">
        <v>18521</v>
      </c>
      <c r="C9057" s="1">
        <v>1</v>
      </c>
      <c r="D9057" s="1" t="str">
        <f>"07819"</f>
        <v>07819</v>
      </c>
      <c r="E9057" s="1" t="s">
        <v>114</v>
      </c>
      <c r="F9057" s="1">
        <v>11</v>
      </c>
      <c r="G9057" s="1">
        <v>9</v>
      </c>
      <c r="H9057" s="1">
        <v>0</v>
      </c>
      <c r="I9057" s="1" t="s">
        <v>18511</v>
      </c>
      <c r="K9057" s="1" t="str">
        <f t="shared" si="566"/>
        <v>ㄓ</v>
      </c>
      <c r="L9057" s="1" t="str">
        <f t="shared" si="567"/>
        <v>ㄣ</v>
      </c>
      <c r="M9057" s="1" t="str">
        <f t="shared" si="569"/>
        <v/>
      </c>
      <c r="P9057" s="1" t="s">
        <v>20</v>
      </c>
      <c r="R9057" s="1" t="s">
        <v>18512</v>
      </c>
      <c r="V9057" s="1" t="s">
        <v>18522</v>
      </c>
      <c r="AR9057" s="1" t="str">
        <f t="shared" si="568"/>
        <v>| [ㄓㄣ](ㄓㄣ.md) | [偵](偵.md) |  | zhēn | [動]
暗中察看、伺探。如：「偵查」、「偵測」。《後漢書．卷五五．章帝八王傳．清河孝王慶傳》：「外令兄弟求其纖過，內使御者偵伺得失。」《文選．潘岳．馬汧督誄》：「子命穴浚塹，寘壺鐳瓶甒以偵之。」 |</v>
      </c>
    </row>
    <row r="9058" spans="1:44" hidden="1">
      <c r="A9058" s="1" t="s">
        <v>18523</v>
      </c>
      <c r="C9058" s="1">
        <v>1</v>
      </c>
      <c r="D9058" s="1" t="str">
        <f>"07820"</f>
        <v>07820</v>
      </c>
      <c r="E9058" s="1" t="s">
        <v>129</v>
      </c>
      <c r="F9058" s="1">
        <v>12</v>
      </c>
      <c r="G9058" s="1">
        <v>9</v>
      </c>
      <c r="H9058" s="1">
        <v>0</v>
      </c>
      <c r="I9058" s="1" t="s">
        <v>18511</v>
      </c>
      <c r="K9058" s="1" t="str">
        <f t="shared" si="566"/>
        <v>ㄓ</v>
      </c>
      <c r="L9058" s="1" t="str">
        <f t="shared" si="567"/>
        <v>ㄣ</v>
      </c>
      <c r="M9058" s="1" t="str">
        <f t="shared" si="569"/>
        <v/>
      </c>
      <c r="P9058" s="1" t="s">
        <v>20</v>
      </c>
      <c r="R9058" s="1" t="s">
        <v>18512</v>
      </c>
      <c r="V9058" s="1" t="s">
        <v>18524</v>
      </c>
      <c r="AR9058" s="1" t="str">
        <f t="shared" si="568"/>
        <v>| [ㄓㄣ](ㄓㄣ.md) | [湞](湞.md) |  | zhēn | 參見「湞水」條。 |</v>
      </c>
    </row>
    <row r="9059" spans="1:44" hidden="1">
      <c r="A9059" s="1" t="s">
        <v>18525</v>
      </c>
      <c r="C9059" s="1">
        <v>1</v>
      </c>
      <c r="D9059" s="1" t="str">
        <f>"07821"</f>
        <v>07821</v>
      </c>
      <c r="E9059" s="1" t="s">
        <v>139</v>
      </c>
      <c r="F9059" s="1">
        <v>13</v>
      </c>
      <c r="G9059" s="1">
        <v>9</v>
      </c>
      <c r="H9059" s="1">
        <v>0</v>
      </c>
      <c r="I9059" s="1" t="s">
        <v>18511</v>
      </c>
      <c r="K9059" s="1" t="str">
        <f t="shared" si="566"/>
        <v>ㄓ</v>
      </c>
      <c r="L9059" s="1" t="str">
        <f t="shared" si="567"/>
        <v>ㄣ</v>
      </c>
      <c r="M9059" s="1" t="str">
        <f t="shared" si="569"/>
        <v/>
      </c>
      <c r="P9059" s="1" t="s">
        <v>20</v>
      </c>
      <c r="R9059" s="1" t="s">
        <v>18512</v>
      </c>
      <c r="V9059" s="1" t="s">
        <v>18526</v>
      </c>
      <c r="AR9059" s="1" t="str">
        <f t="shared" si="568"/>
        <v>| [ㄓㄣ](ㄓㄣ.md) | [楨](楨.md) |  | zhēn | [名]
1.古代築牆時立在兩端的木柱。《爾雅．釋詁下》：「楨，榦也。」清．郝懿行．義疏：「舍人曰：『楨，正也。築牆所立兩木也。』」
2.支柱、主幹。《詩經．大雅．文王》：「王國克生，維周之楨。」唐．皮日休〈文中子碑〉：「先生門人，為唐之楨。」
3.植物名。木犀科女貞屬，常綠灌木或喬木。高丈餘，葉卵形，質厚而有光澤。圓錐花序頂生，夏日開花，花冠白色，裂片四枚，花冠筒與裂片近等長，雄蕊二枚。核果橢圓而黑，可入藥。也稱為「女貞」、「貞木」。 |</v>
      </c>
    </row>
    <row r="9060" spans="1:44" hidden="1">
      <c r="A9060" s="1" t="s">
        <v>18527</v>
      </c>
      <c r="C9060" s="1">
        <v>1</v>
      </c>
      <c r="D9060" s="1" t="str">
        <f>"07822"</f>
        <v>07822</v>
      </c>
      <c r="E9060" s="1" t="s">
        <v>825</v>
      </c>
      <c r="F9060" s="1">
        <v>14</v>
      </c>
      <c r="G9060" s="1">
        <v>9</v>
      </c>
      <c r="H9060" s="1">
        <v>0</v>
      </c>
      <c r="I9060" s="1" t="s">
        <v>18511</v>
      </c>
      <c r="K9060" s="1" t="str">
        <f t="shared" si="566"/>
        <v>ㄓ</v>
      </c>
      <c r="L9060" s="1" t="str">
        <f t="shared" si="567"/>
        <v>ㄣ</v>
      </c>
      <c r="M9060" s="1" t="str">
        <f t="shared" si="569"/>
        <v/>
      </c>
      <c r="P9060" s="1" t="s">
        <v>20</v>
      </c>
      <c r="R9060" s="1" t="s">
        <v>18512</v>
      </c>
      <c r="V9060" s="1" t="s">
        <v>18528</v>
      </c>
      <c r="AR9060" s="1" t="str">
        <f t="shared" si="568"/>
        <v>| [ㄓㄣ](ㄓㄣ.md) | [禎](禎.md) |  | zhēn | [名]
吉祥、吉兆。《詩經．周頌．維清》：「迄用有成，維周之禎。」《文選．張衡．思玄賦》：「懼筮氏之長短兮，鑽東龜以觀禎。」 |</v>
      </c>
    </row>
    <row r="9061" spans="1:44" hidden="1">
      <c r="A9061" s="1" t="s">
        <v>18529</v>
      </c>
      <c r="C9061" s="1">
        <v>1</v>
      </c>
      <c r="D9061" s="1" t="str">
        <f>"07823"</f>
        <v>07823</v>
      </c>
      <c r="E9061" s="1" t="s">
        <v>24</v>
      </c>
      <c r="F9061" s="1">
        <v>10</v>
      </c>
      <c r="G9061" s="1">
        <v>7</v>
      </c>
      <c r="H9061" s="1">
        <v>2</v>
      </c>
      <c r="I9061" s="1" t="s">
        <v>18511</v>
      </c>
      <c r="K9061" s="1" t="str">
        <f t="shared" si="566"/>
        <v>ㄓ</v>
      </c>
      <c r="L9061" s="1" t="str">
        <f t="shared" si="567"/>
        <v>ㄣ</v>
      </c>
      <c r="M9061" s="1" t="str">
        <f t="shared" si="569"/>
        <v/>
      </c>
      <c r="P9061" s="1" t="s">
        <v>20</v>
      </c>
      <c r="R9061" s="1" t="s">
        <v>18512</v>
      </c>
      <c r="V9061" s="1" t="s">
        <v>18530</v>
      </c>
      <c r="W9061" s="1" t="s">
        <v>18531</v>
      </c>
      <c r="AR9061" s="1" t="str">
        <f t="shared" si="568"/>
        <v>| [ㄓㄣ](ㄓㄣ.md) | [振](振.md) |  | zhēn | 參見「振振」(二)條。 |</v>
      </c>
    </row>
    <row r="9062" spans="1:44" hidden="1">
      <c r="A9062" s="1" t="s">
        <v>18532</v>
      </c>
      <c r="C9062" s="1">
        <v>1</v>
      </c>
      <c r="D9062" s="1" t="str">
        <f>"07824"</f>
        <v>07824</v>
      </c>
      <c r="E9062" s="1" t="s">
        <v>1015</v>
      </c>
      <c r="F9062" s="1">
        <v>10</v>
      </c>
      <c r="G9062" s="1">
        <v>5</v>
      </c>
      <c r="H9062" s="1">
        <v>0</v>
      </c>
      <c r="I9062" s="1" t="s">
        <v>18511</v>
      </c>
      <c r="K9062" s="1" t="str">
        <f t="shared" si="566"/>
        <v>ㄓ</v>
      </c>
      <c r="L9062" s="1" t="str">
        <f t="shared" si="567"/>
        <v>ㄣ</v>
      </c>
      <c r="M9062" s="1" t="str">
        <f t="shared" si="569"/>
        <v/>
      </c>
      <c r="P9062" s="1" t="s">
        <v>20</v>
      </c>
      <c r="R9062" s="1" t="s">
        <v>18512</v>
      </c>
      <c r="V9062" s="1" t="s">
        <v>18533</v>
      </c>
      <c r="AR9062" s="1" t="str">
        <f t="shared" si="568"/>
        <v>| [ㄓㄣ](ㄓㄣ.md) | [真](真.md) |  | zhēn | [形]
純正的、不虛假的。如：「真面目」、「真心誠意」。《莊子．田子方》：「其為人也真。」
[副]
的確、實在。如：「真好」、「真棒」。《漢書．卷九四．匈奴傳下》：「唯北狄為不然，真中國之堅敵也。」
[名]
1.道家稱得道成仙的人。如：「太乙真人」、「真人不露相」。《紅樓夢．第二五回》：「魘魔法叔嫂逢五鬼，紅樓夢通靈遇雙真。」
2.自然、本性。如：「天真」。《莊子．秋水》：「謹守而勿失，是謂反其真。」
3.肖像、畫像。如：「寫真」、「留真」。
4.實授的官職。《漢書．卷一二．平帝紀》：「吏在位二百石以上，一切滿秩如真。」
5.姓。如漢代有真玄菟。 |</v>
      </c>
    </row>
    <row r="9063" spans="1:44" hidden="1">
      <c r="A9063" s="1" t="s">
        <v>18534</v>
      </c>
      <c r="C9063" s="1">
        <v>1</v>
      </c>
      <c r="D9063" s="1" t="str">
        <f>"07825"</f>
        <v>07825</v>
      </c>
      <c r="E9063" s="1" t="s">
        <v>825</v>
      </c>
      <c r="F9063" s="1">
        <v>15</v>
      </c>
      <c r="G9063" s="1">
        <v>10</v>
      </c>
      <c r="H9063" s="1">
        <v>0</v>
      </c>
      <c r="I9063" s="1" t="s">
        <v>18511</v>
      </c>
      <c r="K9063" s="1" t="str">
        <f t="shared" si="566"/>
        <v>ㄓ</v>
      </c>
      <c r="L9063" s="1" t="str">
        <f t="shared" si="567"/>
        <v>ㄣ</v>
      </c>
      <c r="M9063" s="1" t="str">
        <f t="shared" si="569"/>
        <v/>
      </c>
      <c r="P9063" s="1" t="s">
        <v>20</v>
      </c>
      <c r="R9063" s="1" t="s">
        <v>18512</v>
      </c>
      <c r="V9063" s="1" t="s">
        <v>18535</v>
      </c>
      <c r="AR9063" s="1" t="str">
        <f t="shared" si="568"/>
        <v>| [ㄓㄣ](ㄓㄣ.md) | [禛](禛.md) |  | zhēn | [動]
以真誠感動神明而受到福祐。《說文解字．示部》：「禛，以真受福也。」 |</v>
      </c>
    </row>
    <row r="9064" spans="1:44" hidden="1">
      <c r="A9064" s="1" t="s">
        <v>18536</v>
      </c>
      <c r="C9064" s="1">
        <v>1</v>
      </c>
      <c r="D9064" s="1" t="str">
        <f>"07826"</f>
        <v>07826</v>
      </c>
      <c r="E9064" s="1" t="s">
        <v>169</v>
      </c>
      <c r="F9064" s="1">
        <v>10</v>
      </c>
      <c r="G9064" s="1">
        <v>5</v>
      </c>
      <c r="H9064" s="1">
        <v>0</v>
      </c>
      <c r="I9064" s="1" t="s">
        <v>18511</v>
      </c>
      <c r="K9064" s="1" t="str">
        <f t="shared" si="566"/>
        <v>ㄓ</v>
      </c>
      <c r="L9064" s="1" t="str">
        <f t="shared" si="567"/>
        <v>ㄣ</v>
      </c>
      <c r="M9064" s="1" t="str">
        <f t="shared" si="569"/>
        <v/>
      </c>
      <c r="P9064" s="1" t="s">
        <v>20</v>
      </c>
      <c r="R9064" s="1" t="s">
        <v>18512</v>
      </c>
      <c r="V9064" s="1" t="s">
        <v>18537</v>
      </c>
      <c r="AR9064" s="1" t="str">
        <f t="shared" si="568"/>
        <v>| [ㄓㄣ](ㄓㄣ.md) | [砧](砧.md) |  | zhēn | [名]_x000D_
1.古代製衣前擊搗布帛或搗洗衣物時，墊在布帛、衣物下方的石板。唐．白居易〈太湖石〉詩：「磨刀不如礪，擣帛不如砧。」元．王禎《農書．農器圖譜．集一八．織紝門》：「蓋古之女子對立，各執一杵，上下搗練於砧，其丁東之聲，互相應荅。今易作臥杵，對坐搗之，又便且速，易成帛也。」清．林朝崧〈搗衣澗〉詩：「滿簾紅日起來遲，已有新妝到水湄；一片砧聲和笑語，引人清曉隔花窺。」_x000D_
2.切菜時所墊的板子。如：「砧板」、「肉砧」。唐．竇牟〈奉使至邢州贈李八使君〉詩：「南畝行春罷，西樓待客初。甕頭開綠蟻，砧下落紅魚。」宋．歐陽修〈憎蒼蠅賦〉：「杯盂殘瀝，砧几餘腥。」_x000D_
3.參見「砧鑕」條。 |</v>
      </c>
    </row>
    <row r="9065" spans="1:44" hidden="1">
      <c r="A9065" s="1" t="s">
        <v>18538</v>
      </c>
      <c r="C9065" s="1">
        <v>1</v>
      </c>
      <c r="D9065" s="1" t="str">
        <f>"07827"</f>
        <v>07827</v>
      </c>
      <c r="E9065" s="1" t="s">
        <v>55</v>
      </c>
      <c r="F9065" s="1">
        <v>10</v>
      </c>
      <c r="G9065" s="1">
        <v>2</v>
      </c>
      <c r="H9065" s="1">
        <v>0</v>
      </c>
      <c r="I9065" s="1" t="s">
        <v>18511</v>
      </c>
      <c r="K9065" s="1" t="str">
        <f t="shared" si="566"/>
        <v>ㄓ</v>
      </c>
      <c r="L9065" s="1" t="str">
        <f t="shared" si="567"/>
        <v>ㄣ</v>
      </c>
      <c r="M9065" s="1" t="str">
        <f t="shared" si="569"/>
        <v/>
      </c>
      <c r="P9065" s="1" t="s">
        <v>20</v>
      </c>
      <c r="R9065" s="1" t="s">
        <v>18512</v>
      </c>
      <c r="V9065" s="1" t="s">
        <v>18539</v>
      </c>
      <c r="AR9065" s="1" t="str">
        <f t="shared" si="568"/>
        <v>| [ㄓㄣ](ㄓㄣ.md) | [針](針.md) |  | zhēn | [名]
1.用來引線縫紉、刺繡或編結的工具。如：「繡花針」、「毛線針」。
2.尖銳似針形的東西。如：「大頭針」、「別針」、「松針」。
3.量詞：(1)計算注射藥劑的單位。如：「今天打了一針止痛劑。」(2)計算針灸或縫合次數的單位。如：「扎了三針」、「傷口縫了兩針。」
[動]
1.縫。《淮南子．說山》：「針成幕，蔂成城，事之成敗，必由小生，言有漸也。」
2.刺。如：「他拿針針我。」
3.用針刺人的經絡來治病。如：「針灸」。《三國志．卷二九．魏書．方技傳．華佗傳》：「太祖苦頭風，每發，心亂目眩，佗針鬲，隨手而差。」 |</v>
      </c>
    </row>
    <row r="9066" spans="1:44" hidden="1">
      <c r="A9066" s="1" t="s">
        <v>18540</v>
      </c>
      <c r="C9066" s="1">
        <v>1</v>
      </c>
      <c r="D9066" s="1" t="str">
        <f>"07827A"</f>
        <v>07827A</v>
      </c>
      <c r="E9066" s="1" t="s">
        <v>28</v>
      </c>
      <c r="F9066" s="1">
        <v>10</v>
      </c>
      <c r="G9066" s="1">
        <v>7</v>
      </c>
      <c r="H9066" s="1">
        <v>2</v>
      </c>
      <c r="I9066" s="1" t="s">
        <v>18511</v>
      </c>
      <c r="K9066" s="1" t="str">
        <f t="shared" si="566"/>
        <v>ㄓ</v>
      </c>
      <c r="L9066" s="1" t="str">
        <f t="shared" si="567"/>
        <v>ㄣ</v>
      </c>
      <c r="M9066" s="1" t="str">
        <f t="shared" si="569"/>
        <v/>
      </c>
      <c r="P9066" s="1" t="s">
        <v>20</v>
      </c>
      <c r="R9066" s="1" t="s">
        <v>18512</v>
      </c>
      <c r="V9066" s="1" t="s">
        <v>18541</v>
      </c>
      <c r="W9066" s="1" t="s">
        <v>18542</v>
      </c>
      <c r="AR9066" s="1" t="str">
        <f t="shared" si="568"/>
        <v>| [ㄓㄣ](ㄓㄣ.md) | [唇](唇.md) |  | zhēn | [形]
驚駭。《說文解字．口部》：「唇，驚也，從口辰聲。」 |</v>
      </c>
    </row>
    <row r="9067" spans="1:44" hidden="1">
      <c r="A9067" s="1" t="s">
        <v>18543</v>
      </c>
      <c r="C9067" s="1">
        <v>1</v>
      </c>
      <c r="D9067" s="1" t="str">
        <f>"07828"</f>
        <v>07828</v>
      </c>
      <c r="E9067" s="1" t="s">
        <v>129</v>
      </c>
      <c r="F9067" s="1">
        <v>13</v>
      </c>
      <c r="G9067" s="1">
        <v>10</v>
      </c>
      <c r="H9067" s="1">
        <v>0</v>
      </c>
      <c r="I9067" s="1" t="s">
        <v>18511</v>
      </c>
      <c r="K9067" s="1" t="str">
        <f t="shared" si="566"/>
        <v>ㄓ</v>
      </c>
      <c r="L9067" s="1" t="str">
        <f t="shared" si="567"/>
        <v>ㄣ</v>
      </c>
      <c r="M9067" s="1" t="str">
        <f t="shared" si="569"/>
        <v/>
      </c>
      <c r="P9067" s="1" t="s">
        <v>20</v>
      </c>
      <c r="R9067" s="1" t="s">
        <v>18512</v>
      </c>
      <c r="V9067" s="1" t="s">
        <v>18544</v>
      </c>
      <c r="AR9067" s="1" t="str">
        <f t="shared" si="568"/>
        <v>| [ㄓㄣ](ㄓㄣ.md) | [溱](溱.md) |  | zhēn | 參見「溱水」、「溱溱」等條。 |</v>
      </c>
    </row>
    <row r="9068" spans="1:44" hidden="1">
      <c r="A9068" s="1" t="s">
        <v>18545</v>
      </c>
      <c r="C9068" s="1">
        <v>1</v>
      </c>
      <c r="D9068" s="1" t="str">
        <f>"07829"</f>
        <v>07829</v>
      </c>
      <c r="E9068" s="1" t="s">
        <v>198</v>
      </c>
      <c r="F9068" s="1">
        <v>13</v>
      </c>
      <c r="G9068" s="1">
        <v>10</v>
      </c>
      <c r="H9068" s="1">
        <v>0</v>
      </c>
      <c r="I9068" s="1" t="s">
        <v>18511</v>
      </c>
      <c r="K9068" s="1" t="str">
        <f t="shared" si="566"/>
        <v>ㄓ</v>
      </c>
      <c r="L9068" s="1" t="str">
        <f t="shared" si="567"/>
        <v>ㄣ</v>
      </c>
      <c r="M9068" s="1" t="str">
        <f t="shared" si="569"/>
        <v/>
      </c>
      <c r="P9068" s="1" t="s">
        <v>20</v>
      </c>
      <c r="R9068" s="1" t="s">
        <v>18512</v>
      </c>
      <c r="V9068" s="1" t="s">
        <v>18546</v>
      </c>
      <c r="AR9068" s="1" t="str">
        <f t="shared" si="568"/>
        <v>| [ㄓㄣ](ㄓㄣ.md) | [獉](獉.md) |  | zhēn | 榛狉亦作獉狉。參見「榛狉」條。 |</v>
      </c>
    </row>
    <row r="9069" spans="1:44" hidden="1">
      <c r="A9069" s="1" t="s">
        <v>18547</v>
      </c>
      <c r="C9069" s="1">
        <v>1</v>
      </c>
      <c r="D9069" s="1" t="str">
        <f>"07830"</f>
        <v>07830</v>
      </c>
      <c r="E9069" s="1" t="s">
        <v>139</v>
      </c>
      <c r="F9069" s="1">
        <v>14</v>
      </c>
      <c r="G9069" s="1">
        <v>10</v>
      </c>
      <c r="H9069" s="1">
        <v>0</v>
      </c>
      <c r="I9069" s="1" t="s">
        <v>18511</v>
      </c>
      <c r="K9069" s="1" t="str">
        <f t="shared" si="566"/>
        <v>ㄓ</v>
      </c>
      <c r="L9069" s="1" t="str">
        <f t="shared" si="567"/>
        <v>ㄣ</v>
      </c>
      <c r="M9069" s="1" t="str">
        <f t="shared" si="569"/>
        <v/>
      </c>
      <c r="P9069" s="1" t="s">
        <v>20</v>
      </c>
      <c r="R9069" s="1" t="s">
        <v>18512</v>
      </c>
      <c r="V9069" s="1" t="s">
        <v>18548</v>
      </c>
      <c r="AR9069" s="1" t="str">
        <f t="shared" si="568"/>
        <v>| [ㄓㄣ](ㄓㄣ.md) | [榛](榛.md) |  | zhēn | [名]
1.植物名。榛木科榛木屬，落葉喬木。葉互生，卵形或倒卵形，葉緣鋸齒狀。雄柔荑花序二至五個簇生，雌花序頭狀，春日開花。堅果卵圓形，與果苞近等長。果仁可食，亦可榨油。果實也稱為「榛」。
2.叢生的草木。《晉書．卷五一．列傳．皇甫謐》：「披榛採蘭，并收蒿艾。」明．湯顯祖《牡丹亭》第三五齣：「只見半亭瓦礫，滿地荊榛。」 |</v>
      </c>
    </row>
    <row r="9070" spans="1:44" hidden="1">
      <c r="A9070" s="1" t="s">
        <v>15563</v>
      </c>
      <c r="C9070" s="1">
        <v>1</v>
      </c>
      <c r="D9070" s="1" t="str">
        <f>"07831"</f>
        <v>07831</v>
      </c>
      <c r="E9070" s="1" t="s">
        <v>37</v>
      </c>
      <c r="F9070" s="1">
        <v>14</v>
      </c>
      <c r="G9070" s="1">
        <v>10</v>
      </c>
      <c r="H9070" s="1">
        <v>1</v>
      </c>
      <c r="I9070" s="1" t="s">
        <v>18511</v>
      </c>
      <c r="K9070" s="1" t="str">
        <f t="shared" si="566"/>
        <v>ㄓ</v>
      </c>
      <c r="L9070" s="1" t="str">
        <f t="shared" si="567"/>
        <v>ㄣ</v>
      </c>
      <c r="M9070" s="1" t="str">
        <f t="shared" si="569"/>
        <v/>
      </c>
      <c r="P9070" s="1" t="s">
        <v>20</v>
      </c>
      <c r="R9070" s="1" t="s">
        <v>18512</v>
      </c>
      <c r="V9070" s="1" t="s">
        <v>18549</v>
      </c>
      <c r="W9070" s="1" t="s">
        <v>18550</v>
      </c>
      <c r="AR9070" s="1" t="str">
        <f t="shared" si="568"/>
        <v>| [ㄓㄣ](ㄓㄣ.md) | [蓁](蓁.md) |  | zhēn | [形]
1.草葉茂盛的樣子。《說文解字．艸部》：「蓁，艸盛貌。」《文選．曹冏．六代論》：「宗廟焚為灰燼，宮室變蓁藪。」
2.眾多聚集的樣子。《楚辭．宋玉．招魂》：「蝮蛇蓁蓁。」
[名]
叢生的草木。同「榛」。《莊子．徐无鬼》：「眾狙見之，恂然棄而走，逃於深蓁。」唐．柳宗元〈始得西山宴游記〉：「斫蓁莽，焚茅茷。」 |</v>
      </c>
    </row>
    <row r="9071" spans="1:44" hidden="1">
      <c r="A9071" s="1" t="s">
        <v>18551</v>
      </c>
      <c r="C9071" s="1">
        <v>1</v>
      </c>
      <c r="D9071" s="1" t="str">
        <f>"07832"</f>
        <v>07832</v>
      </c>
      <c r="E9071" s="1" t="s">
        <v>5320</v>
      </c>
      <c r="F9071" s="1">
        <v>16</v>
      </c>
      <c r="G9071" s="1">
        <v>10</v>
      </c>
      <c r="H9071" s="1">
        <v>0</v>
      </c>
      <c r="I9071" s="1" t="s">
        <v>18511</v>
      </c>
      <c r="K9071" s="1" t="str">
        <f t="shared" si="566"/>
        <v>ㄓ</v>
      </c>
      <c r="L9071" s="1" t="str">
        <f t="shared" si="567"/>
        <v>ㄣ</v>
      </c>
      <c r="M9071" s="1" t="str">
        <f t="shared" si="569"/>
        <v/>
      </c>
      <c r="P9071" s="1" t="s">
        <v>20</v>
      </c>
      <c r="R9071" s="1" t="s">
        <v>18512</v>
      </c>
      <c r="V9071" s="1" t="s">
        <v>18552</v>
      </c>
      <c r="AR9071" s="1" t="str">
        <f t="shared" si="568"/>
        <v>| [ㄓㄣ](ㄓㄣ.md) | [臻](臻.md) |  | zhēn | [動]
至、及、達到。如：「臻於完美」。《周禮．冬官考工記．𣓨氏》：「時文思索，允臻其極。」 |</v>
      </c>
    </row>
    <row r="9072" spans="1:44" hidden="1">
      <c r="A9072" s="1" t="s">
        <v>18553</v>
      </c>
      <c r="C9072" s="1">
        <v>1</v>
      </c>
      <c r="D9072" s="1" t="str">
        <f>"07833"</f>
        <v>07833</v>
      </c>
      <c r="E9072" s="1" t="s">
        <v>142</v>
      </c>
      <c r="F9072" s="1">
        <v>13</v>
      </c>
      <c r="G9072" s="1">
        <v>9</v>
      </c>
      <c r="H9072" s="1">
        <v>0</v>
      </c>
      <c r="I9072" s="1" t="s">
        <v>18511</v>
      </c>
      <c r="K9072" s="1" t="str">
        <f t="shared" ref="K9072:K9135" si="570">LEFT(I9072, 1)</f>
        <v>ㄓ</v>
      </c>
      <c r="L9072" s="1" t="str">
        <f t="shared" ref="L9072:L9132" si="571">MID(I9072, 2, 1)</f>
        <v>ㄣ</v>
      </c>
      <c r="M9072" s="1" t="str">
        <f t="shared" si="569"/>
        <v/>
      </c>
      <c r="P9072" s="1" t="s">
        <v>20</v>
      </c>
      <c r="R9072" s="1" t="s">
        <v>18512</v>
      </c>
      <c r="V9072" s="1" t="s">
        <v>18554</v>
      </c>
      <c r="AR9072" s="1" t="str">
        <f t="shared" si="568"/>
        <v>| [ㄓㄣ](ㄓㄣ.md) | [瑊](瑊.md) |  | zhēn | [形]
像美玉一般的。《山海經．中山經》：「其上多赤金，其下多瑊石。」 |</v>
      </c>
    </row>
    <row r="9073" spans="1:44" hidden="1">
      <c r="A9073" s="1" t="s">
        <v>18555</v>
      </c>
      <c r="C9073" s="1">
        <v>1</v>
      </c>
      <c r="D9073" s="1" t="str">
        <f>"07834"</f>
        <v>07834</v>
      </c>
      <c r="E9073" s="1" t="s">
        <v>37</v>
      </c>
      <c r="F9073" s="1">
        <v>13</v>
      </c>
      <c r="G9073" s="1">
        <v>9</v>
      </c>
      <c r="H9073" s="1">
        <v>0</v>
      </c>
      <c r="I9073" s="1" t="s">
        <v>18511</v>
      </c>
      <c r="K9073" s="1" t="str">
        <f t="shared" si="570"/>
        <v>ㄓ</v>
      </c>
      <c r="L9073" s="1" t="str">
        <f t="shared" si="571"/>
        <v>ㄣ</v>
      </c>
      <c r="M9073" s="1" t="str">
        <f t="shared" si="569"/>
        <v/>
      </c>
      <c r="P9073" s="1" t="s">
        <v>20</v>
      </c>
      <c r="R9073" s="1" t="s">
        <v>18512</v>
      </c>
      <c r="V9073" s="1" t="s">
        <v>18556</v>
      </c>
      <c r="AR9073" s="1" t="str">
        <f t="shared" si="568"/>
        <v>| [ㄓㄣ](ㄓㄣ.md) | [葴](葴.md) |  | zhēn | [名]
植物名：(1)即馬藍。爵床科板藍屬，多年生草本。莖自根叢生，方形，節粗大，葉橢圓形，深綠色。穗狀花序直立，花冠藍綠色，短圓柱狀，先端五淺裂。蒴果棍棒形。莖葉可製成藍色染料。《爾雅．釋草》：「葴，馬藍。」(2)茄科酸漿屬，「酸漿」之古稱，參見「酸漿」條。(3)十字花科菘藍屬，「菘藍」、「藍」之古稱，參見「藍」條。 |</v>
      </c>
    </row>
    <row r="9074" spans="1:44" hidden="1">
      <c r="A9074" s="1" t="s">
        <v>18557</v>
      </c>
      <c r="C9074" s="1">
        <v>1</v>
      </c>
      <c r="D9074" s="1" t="str">
        <f>"07835"</f>
        <v>07835</v>
      </c>
      <c r="E9074" s="1" t="s">
        <v>49</v>
      </c>
      <c r="F9074" s="1">
        <v>15</v>
      </c>
      <c r="G9074" s="1">
        <v>9</v>
      </c>
      <c r="H9074" s="1">
        <v>0</v>
      </c>
      <c r="I9074" s="1" t="s">
        <v>18511</v>
      </c>
      <c r="K9074" s="1" t="str">
        <f t="shared" si="570"/>
        <v>ㄓ</v>
      </c>
      <c r="L9074" s="1" t="str">
        <f t="shared" si="571"/>
        <v>ㄣ</v>
      </c>
      <c r="M9074" s="1" t="str">
        <f t="shared" si="569"/>
        <v/>
      </c>
      <c r="P9074" s="1" t="s">
        <v>20</v>
      </c>
      <c r="R9074" s="1" t="s">
        <v>18512</v>
      </c>
      <c r="V9074" s="1" t="s">
        <v>18558</v>
      </c>
      <c r="AR9074" s="1" t="str">
        <f t="shared" si="568"/>
        <v>| [ㄓㄣ](ㄓㄣ.md) | [箴](箴.md) |  | zhēn | [名]
1.文體名。以表達規勸性質為主題。《漢書．卷八七．揚雄傳下．贊曰》：「箴莫善於虞箴，作州箴。」南朝梁．劉勰《文心雕龍．銘箴》：「箴者，所以攻疾防患，喻針石也。」
2.中醫用來刺入穴道，以達到醫療效果的針狀物。《漢書．卷三〇．藝文志》：「醫經者，……而用度箴石湯火所施，調百藥齊和之所宜。」
[動]
規戒、勸諫。《左傳．昭公二十六年》：「父慈而教，子孝而箴。」 |</v>
      </c>
    </row>
    <row r="9075" spans="1:44" hidden="1">
      <c r="A9075" s="1" t="s">
        <v>18559</v>
      </c>
      <c r="C9075" s="1">
        <v>1</v>
      </c>
      <c r="D9075" s="1" t="str">
        <f>"07836"</f>
        <v>07836</v>
      </c>
      <c r="E9075" s="1" t="s">
        <v>55</v>
      </c>
      <c r="F9075" s="1">
        <v>17</v>
      </c>
      <c r="G9075" s="1">
        <v>9</v>
      </c>
      <c r="H9075" s="1">
        <v>0</v>
      </c>
      <c r="I9075" s="1" t="s">
        <v>18511</v>
      </c>
      <c r="K9075" s="1" t="str">
        <f t="shared" si="570"/>
        <v>ㄓ</v>
      </c>
      <c r="L9075" s="1" t="str">
        <f t="shared" si="571"/>
        <v>ㄣ</v>
      </c>
      <c r="M9075" s="1" t="str">
        <f t="shared" si="569"/>
        <v/>
      </c>
      <c r="P9075" s="1" t="s">
        <v>20</v>
      </c>
      <c r="R9075" s="1" t="s">
        <v>18512</v>
      </c>
      <c r="V9075" s="1" t="s">
        <v>18560</v>
      </c>
      <c r="AR9075" s="1" t="str">
        <f t="shared" si="568"/>
        <v>| [ㄓㄣ](ㄓㄣ.md) | [鍼](鍼.md) |  | zhēn | [名]
1.縫布帛的工具。同「針」。《說文解字．金部》：「鍼，所以縫也。」北齊．顏之推《顏氏家訓．風操》：「男則用弓矢紙筆，女則用刀尺鍼縷。」
2.古代以砭石為材質的醫療用具。《後漢書．卷八〇．文苑傳下．趙壹傳》：「然而糒脯出乎車軨，鍼石運乎手爪。」明．湯顯祖《牡丹亭》第一八齣：「少不得情栽了竅髓鍼難入。」
[動]
刺。《漢書．卷五三．景十三王傳．廣川惠王劉越傳》：「笞問昭平，不服，以鐵鍼鍼之，彊服。」 |</v>
      </c>
    </row>
    <row r="9076" spans="1:44" hidden="1">
      <c r="A9076" s="1" t="s">
        <v>18561</v>
      </c>
      <c r="C9076" s="1">
        <v>1</v>
      </c>
      <c r="D9076" s="1" t="str">
        <f>"07837"</f>
        <v>07837</v>
      </c>
      <c r="E9076" s="1" t="s">
        <v>4869</v>
      </c>
      <c r="F9076" s="1">
        <v>13</v>
      </c>
      <c r="G9076" s="1">
        <v>9</v>
      </c>
      <c r="H9076" s="1">
        <v>0</v>
      </c>
      <c r="I9076" s="1" t="s">
        <v>18511</v>
      </c>
      <c r="K9076" s="1" t="str">
        <f t="shared" si="570"/>
        <v>ㄓ</v>
      </c>
      <c r="L9076" s="1" t="str">
        <f t="shared" si="571"/>
        <v>ㄣ</v>
      </c>
      <c r="M9076" s="1" t="str">
        <f t="shared" si="569"/>
        <v/>
      </c>
      <c r="P9076" s="1" t="s">
        <v>20</v>
      </c>
      <c r="R9076" s="1" t="s">
        <v>18512</v>
      </c>
      <c r="V9076" s="1" t="s">
        <v>18562</v>
      </c>
      <c r="AR9076" s="1" t="str">
        <f t="shared" si="568"/>
        <v>| [ㄓㄣ](ㄓㄣ.md) | [斟](斟.md) |  | zhēn | [動]_x000D_
1.注入、添加。如：「斟酒」、「斟茶」。唐．李白〈悲歌行〉：「主人有酒且莫斟，聽我一曲悲來吟。」_x000D_
2.滴。宋．范成大〈宜齋雨中〉詩：「映竹千絲舞，垂簷一線斟。」_x000D_
3.審度、考慮。參見「斟酌」條。_x000D_
[名]_x000D_
1.飲料、汁液。《史記．卷七〇．張儀傳》：「於是酒酣樂，進熱啜，廚人進斟，因反斗以擊代王，殺之，王腦塗地。」_x000D_
2.姓。如漢代有斟尚。 |</v>
      </c>
    </row>
    <row r="9077" spans="1:44" hidden="1">
      <c r="A9077" s="1" t="s">
        <v>18563</v>
      </c>
      <c r="C9077" s="1">
        <v>1</v>
      </c>
      <c r="D9077" s="1" t="str">
        <f>"07838"</f>
        <v>07838</v>
      </c>
      <c r="E9077" s="1" t="s">
        <v>139</v>
      </c>
      <c r="F9077" s="1">
        <v>13</v>
      </c>
      <c r="G9077" s="1">
        <v>9</v>
      </c>
      <c r="H9077" s="1">
        <v>1</v>
      </c>
      <c r="I9077" s="1" t="s">
        <v>18511</v>
      </c>
      <c r="K9077" s="1" t="str">
        <f t="shared" si="570"/>
        <v>ㄓ</v>
      </c>
      <c r="L9077" s="1" t="str">
        <f t="shared" si="571"/>
        <v>ㄣ</v>
      </c>
      <c r="M9077" s="1" t="str">
        <f t="shared" si="569"/>
        <v/>
      </c>
      <c r="P9077" s="1" t="s">
        <v>20</v>
      </c>
      <c r="R9077" s="1" t="s">
        <v>18512</v>
      </c>
      <c r="V9077" s="1" t="s">
        <v>18564</v>
      </c>
      <c r="W9077" s="1" t="s">
        <v>18565</v>
      </c>
      <c r="AR9077" s="1" t="str">
        <f t="shared" si="568"/>
        <v>| [ㄓㄣ](ㄓㄣ.md) | [椹](椹.md) |  | zhēn | 同「砧」。 |</v>
      </c>
    </row>
    <row r="9078" spans="1:44" hidden="1">
      <c r="A9078" s="1" t="s">
        <v>11017</v>
      </c>
      <c r="C9078" s="1">
        <v>1</v>
      </c>
      <c r="D9078" s="1" t="str">
        <f>"07839"</f>
        <v>07839</v>
      </c>
      <c r="E9078" s="1" t="s">
        <v>169</v>
      </c>
      <c r="F9078" s="1">
        <v>14</v>
      </c>
      <c r="G9078" s="1">
        <v>9</v>
      </c>
      <c r="H9078" s="1">
        <v>2</v>
      </c>
      <c r="I9078" s="1" t="s">
        <v>18511</v>
      </c>
      <c r="K9078" s="1" t="str">
        <f t="shared" si="570"/>
        <v>ㄓ</v>
      </c>
      <c r="L9078" s="1" t="str">
        <f t="shared" si="571"/>
        <v>ㄣ</v>
      </c>
      <c r="M9078" s="1" t="str">
        <f t="shared" si="569"/>
        <v/>
      </c>
      <c r="P9078" s="1" t="s">
        <v>20</v>
      </c>
      <c r="R9078" s="1" t="s">
        <v>18512</v>
      </c>
      <c r="V9078" s="1" t="s">
        <v>18564</v>
      </c>
      <c r="W9078" s="1" t="s">
        <v>18566</v>
      </c>
      <c r="AR9078" s="1" t="str">
        <f t="shared" si="568"/>
        <v>| [ㄓㄣ](ㄓㄣ.md) | [碪](碪.md) |  | zhēn | 同「砧」。 |</v>
      </c>
    </row>
    <row r="9079" spans="1:44" hidden="1">
      <c r="A9079" s="1" t="s">
        <v>18567</v>
      </c>
      <c r="C9079" s="1">
        <v>1</v>
      </c>
      <c r="D9079" s="1" t="str">
        <f>"07840"</f>
        <v>07840</v>
      </c>
      <c r="E9079" s="1" t="s">
        <v>1824</v>
      </c>
      <c r="F9079" s="1">
        <v>14</v>
      </c>
      <c r="G9079" s="1">
        <v>9</v>
      </c>
      <c r="H9079" s="1">
        <v>0</v>
      </c>
      <c r="I9079" s="1" t="s">
        <v>18511</v>
      </c>
      <c r="K9079" s="1" t="str">
        <f t="shared" si="570"/>
        <v>ㄓ</v>
      </c>
      <c r="L9079" s="1" t="str">
        <f t="shared" si="571"/>
        <v>ㄣ</v>
      </c>
      <c r="M9079" s="1" t="str">
        <f t="shared" si="569"/>
        <v/>
      </c>
      <c r="P9079" s="1" t="s">
        <v>20</v>
      </c>
      <c r="R9079" s="1" t="s">
        <v>18512</v>
      </c>
      <c r="V9079" s="1" t="s">
        <v>18568</v>
      </c>
      <c r="AR9079" s="1" t="str">
        <f t="shared" si="568"/>
        <v>| [ㄓㄣ](ㄓㄣ.md) | [甄](甄.md) |  | zhēn | [動]
1.製造陶器。參見「甄陶」條。
2.察別、薦舉、選拔。如：「甄選」。《抱朴子．外篇．正郭》：「雖頗甄無名之士於草萊，指未剖之璞於丘園。」唐．高宗〈令舉猛士敕〉：「有膂力雄果弓馬灼然者，咸宜甄採。」
[名]
姓。如明代有甄誼。 |</v>
      </c>
    </row>
    <row r="9080" spans="1:44" hidden="1">
      <c r="A9080" s="1" t="s">
        <v>18646</v>
      </c>
      <c r="C9080" s="1">
        <v>1</v>
      </c>
      <c r="D9080" s="1" t="str">
        <f>"07876"</f>
        <v>07876</v>
      </c>
      <c r="E9080" s="1" t="s">
        <v>14314</v>
      </c>
      <c r="F9080" s="1">
        <v>11</v>
      </c>
      <c r="G9080" s="1">
        <v>2</v>
      </c>
      <c r="H9080" s="1">
        <v>0</v>
      </c>
      <c r="I9080" s="1" t="s">
        <v>18647</v>
      </c>
      <c r="K9080" s="1" t="str">
        <f t="shared" si="570"/>
        <v>ㄓ</v>
      </c>
      <c r="L9080" s="1" t="str">
        <f t="shared" si="571"/>
        <v>ㄤ</v>
      </c>
      <c r="M9080" s="1" t="str">
        <f t="shared" si="569"/>
        <v/>
      </c>
      <c r="P9080" s="1" t="s">
        <v>20</v>
      </c>
      <c r="R9080" s="1" t="s">
        <v>18648</v>
      </c>
      <c r="V9080" s="1" t="s">
        <v>18649</v>
      </c>
      <c r="AR9080" s="1" t="str">
        <f t="shared" si="568"/>
        <v>| [ㄓㄤ](ㄓㄤ.md) | [章](章.md) |  | zhāng | [名]
1.成篇的文字。如：「文章」、「出口成章」、「下筆成章」。
2.文體名。古代臣子上奏國君的文書。漢．蔡邕《獨斷．卷上》：「凡群臣尚書於天子者有四名：一曰章，二曰奏，三曰表，四曰駁議。」南朝梁．劉勰《文心雕龍．章表》：「章以謝恩，奏以按劾，表以陳請，議以執異。」
3.量詞。計算書、文等段落的單位。如：「全書共分二十五章。」
4.文采、花彩。《左傳．僖公二十四年》：「目不別五色之章為昧，心不則德義之經為頑。」唐．柳宗元〈捕蛇者說〉：「永州之野，產異蛇，黑質而白章。」
5.條理、次序。如：「雜亂無章」。唐．韓愈〈送孟東野序〉：「其為言也，亂雜而無章。」
6.法規、條例。如：「規章」。《史記．卷八．高祖本紀》：「與父老約法三章。」
7.印信。如：「私章」、「圖章」。
8.標識、標記。如：「徽章」、「勛章」、「臂章」。
9.姓。如漢代有章明。
[動]
表揚、顯揚。《禮記．緇衣》：「有國者章善𤺺惡，以示民厚，則民情不貳。」《史記．卷三七．衛康叔世家》：「舉康叔為周司寇，賜衛寶祭器，以章有德。」 |</v>
      </c>
    </row>
    <row r="9081" spans="1:44" hidden="1">
      <c r="A9081" s="1" t="s">
        <v>18650</v>
      </c>
      <c r="C9081" s="1">
        <v>1</v>
      </c>
      <c r="D9081" s="1" t="str">
        <f>"07877"</f>
        <v>07877</v>
      </c>
      <c r="E9081" s="1" t="s">
        <v>129</v>
      </c>
      <c r="F9081" s="1">
        <v>14</v>
      </c>
      <c r="G9081" s="1">
        <v>11</v>
      </c>
      <c r="H9081" s="1">
        <v>0</v>
      </c>
      <c r="I9081" s="1" t="s">
        <v>18647</v>
      </c>
      <c r="K9081" s="1" t="str">
        <f t="shared" si="570"/>
        <v>ㄓ</v>
      </c>
      <c r="L9081" s="1" t="str">
        <f t="shared" si="571"/>
        <v>ㄤ</v>
      </c>
      <c r="M9081" s="1" t="str">
        <f t="shared" si="569"/>
        <v/>
      </c>
      <c r="P9081" s="1" t="s">
        <v>20</v>
      </c>
      <c r="R9081" s="1" t="s">
        <v>18648</v>
      </c>
      <c r="V9081" s="1" t="s">
        <v>18651</v>
      </c>
      <c r="AR9081" s="1" t="str">
        <f t="shared" si="568"/>
        <v>| [ㄓㄤ](ㄓㄤ.md) | [漳](漳.md) |  | zhāng | 參見「漳江」條。 |</v>
      </c>
    </row>
    <row r="9082" spans="1:44" hidden="1">
      <c r="A9082" s="1" t="s">
        <v>18652</v>
      </c>
      <c r="C9082" s="1">
        <v>1</v>
      </c>
      <c r="D9082" s="1" t="str">
        <f>"07878"</f>
        <v>07878</v>
      </c>
      <c r="E9082" s="1" t="s">
        <v>1335</v>
      </c>
      <c r="F9082" s="1">
        <v>14</v>
      </c>
      <c r="G9082" s="1">
        <v>11</v>
      </c>
      <c r="H9082" s="1">
        <v>0</v>
      </c>
      <c r="I9082" s="1" t="s">
        <v>18647</v>
      </c>
      <c r="K9082" s="1" t="str">
        <f t="shared" si="570"/>
        <v>ㄓ</v>
      </c>
      <c r="L9082" s="1" t="str">
        <f t="shared" si="571"/>
        <v>ㄤ</v>
      </c>
      <c r="M9082" s="1" t="str">
        <f t="shared" si="569"/>
        <v/>
      </c>
      <c r="P9082" s="1" t="s">
        <v>20</v>
      </c>
      <c r="R9082" s="1" t="s">
        <v>18648</v>
      </c>
      <c r="V9082" s="1" t="s">
        <v>18653</v>
      </c>
      <c r="AR9082" s="1" t="str">
        <f t="shared" si="568"/>
        <v>| [ㄓㄤ](ㄓㄤ.md) | [彰](彰.md) |  | zhāng | [形]
明顯。《書經．仲虺之誥》：「克寬克仁，彰信兆民。」漢．王充《論衡．書解》：「德彌彰者人彌明。」
[動]
表露、宣揚。《書經．畢命》：「彰善癉惡，樹之風聲。」漢．王充《論衡．自紀》：「好自周，不肯自彰。」
[名]
姓。如漢代有彰章。 |</v>
      </c>
    </row>
    <row r="9083" spans="1:44" hidden="1">
      <c r="A9083" s="1" t="s">
        <v>18654</v>
      </c>
      <c r="C9083" s="1">
        <v>1</v>
      </c>
      <c r="D9083" s="1" t="str">
        <f>"07879"</f>
        <v>07879</v>
      </c>
      <c r="E9083" s="1" t="s">
        <v>256</v>
      </c>
      <c r="F9083" s="1">
        <v>14</v>
      </c>
      <c r="G9083" s="1">
        <v>11</v>
      </c>
      <c r="H9083" s="1">
        <v>0</v>
      </c>
      <c r="I9083" s="1" t="s">
        <v>18647</v>
      </c>
      <c r="K9083" s="1" t="str">
        <f t="shared" si="570"/>
        <v>ㄓ</v>
      </c>
      <c r="L9083" s="1" t="str">
        <f t="shared" si="571"/>
        <v>ㄤ</v>
      </c>
      <c r="M9083" s="1" t="str">
        <f t="shared" si="569"/>
        <v/>
      </c>
      <c r="P9083" s="1" t="s">
        <v>20</v>
      </c>
      <c r="R9083" s="1" t="s">
        <v>18648</v>
      </c>
      <c r="V9083" s="1" t="s">
        <v>18655</v>
      </c>
      <c r="AR9083" s="1" t="str">
        <f t="shared" si="568"/>
        <v>| [ㄓㄤ](ㄓㄤ.md) | [鄣](鄣.md) |  | zhāng | [名]
國名。春秋時周朝屬國。故址約在今大陸地區山東省東平縣東。 |</v>
      </c>
    </row>
    <row r="9084" spans="1:44" hidden="1">
      <c r="A9084" s="1" t="s">
        <v>18656</v>
      </c>
      <c r="C9084" s="1">
        <v>1</v>
      </c>
      <c r="D9084" s="1" t="str">
        <f>"07880"</f>
        <v>07880</v>
      </c>
      <c r="E9084" s="1" t="s">
        <v>250</v>
      </c>
      <c r="F9084" s="1">
        <v>14</v>
      </c>
      <c r="G9084" s="1">
        <v>11</v>
      </c>
      <c r="H9084" s="1">
        <v>0</v>
      </c>
      <c r="I9084" s="1" t="s">
        <v>18647</v>
      </c>
      <c r="K9084" s="1" t="str">
        <f t="shared" si="570"/>
        <v>ㄓ</v>
      </c>
      <c r="L9084" s="1" t="str">
        <f t="shared" si="571"/>
        <v>ㄤ</v>
      </c>
      <c r="M9084" s="1" t="str">
        <f t="shared" si="569"/>
        <v/>
      </c>
      <c r="P9084" s="1" t="s">
        <v>20</v>
      </c>
      <c r="R9084" s="1" t="s">
        <v>18648</v>
      </c>
      <c r="V9084" s="1" t="s">
        <v>18657</v>
      </c>
      <c r="AR9084" s="1" t="str">
        <f t="shared" si="568"/>
        <v>| [ㄓㄤ](ㄓㄤ.md) | [慞](慞.md) |  | zhāng | 參見「慞惶」條。 |</v>
      </c>
    </row>
    <row r="9085" spans="1:44" hidden="1">
      <c r="A9085" s="1" t="s">
        <v>18658</v>
      </c>
      <c r="C9085" s="1">
        <v>1</v>
      </c>
      <c r="D9085" s="1" t="str">
        <f>"07881"</f>
        <v>07881</v>
      </c>
      <c r="E9085" s="1" t="s">
        <v>198</v>
      </c>
      <c r="F9085" s="1">
        <v>14</v>
      </c>
      <c r="G9085" s="1">
        <v>11</v>
      </c>
      <c r="H9085" s="1">
        <v>0</v>
      </c>
      <c r="I9085" s="1" t="s">
        <v>18647</v>
      </c>
      <c r="K9085" s="1" t="str">
        <f t="shared" si="570"/>
        <v>ㄓ</v>
      </c>
      <c r="L9085" s="1" t="str">
        <f t="shared" si="571"/>
        <v>ㄤ</v>
      </c>
      <c r="M9085" s="1" t="str">
        <f t="shared" si="569"/>
        <v/>
      </c>
      <c r="P9085" s="1" t="s">
        <v>20</v>
      </c>
      <c r="R9085" s="1" t="s">
        <v>18648</v>
      </c>
      <c r="V9085" s="1" t="s">
        <v>18659</v>
      </c>
      <c r="AR9085" s="1" t="str">
        <f t="shared" si="568"/>
        <v>| [ㄓㄤ](ㄓㄤ.md) | [獐](獐.md) |  | zhāng | [名]
動物名。哺乳綱偶蹄目。體形似鹿而較小，無角，毛粗長而呈褐色。性機警，善跳躍。肉可食，皮細軟，可制革為工業用品。 |</v>
      </c>
    </row>
    <row r="9086" spans="1:44" hidden="1">
      <c r="A9086" s="1" t="s">
        <v>18660</v>
      </c>
      <c r="C9086" s="1">
        <v>1</v>
      </c>
      <c r="D9086" s="1" t="str">
        <f>"07882"</f>
        <v>07882</v>
      </c>
      <c r="E9086" s="1" t="s">
        <v>534</v>
      </c>
      <c r="F9086" s="1">
        <v>14</v>
      </c>
      <c r="G9086" s="1">
        <v>11</v>
      </c>
      <c r="H9086" s="1">
        <v>0</v>
      </c>
      <c r="I9086" s="1" t="s">
        <v>18647</v>
      </c>
      <c r="K9086" s="1" t="str">
        <f t="shared" si="570"/>
        <v>ㄓ</v>
      </c>
      <c r="L9086" s="1" t="str">
        <f t="shared" si="571"/>
        <v>ㄤ</v>
      </c>
      <c r="M9086" s="1" t="str">
        <f t="shared" si="569"/>
        <v/>
      </c>
      <c r="P9086" s="1" t="s">
        <v>20</v>
      </c>
      <c r="R9086" s="1" t="s">
        <v>18648</v>
      </c>
      <c r="V9086" s="1" t="s">
        <v>18661</v>
      </c>
      <c r="AR9086" s="1" t="str">
        <f t="shared" si="568"/>
        <v>| [ㄓㄤ](ㄓㄤ.md) | [嫜](嫜.md) |  | zhāng | 參見「嫜姑」、「姑嫜」等條。 |</v>
      </c>
    </row>
    <row r="9087" spans="1:44" hidden="1">
      <c r="A9087" s="1" t="s">
        <v>18662</v>
      </c>
      <c r="C9087" s="1">
        <v>1</v>
      </c>
      <c r="D9087" s="1" t="str">
        <f>"07883"</f>
        <v>07883</v>
      </c>
      <c r="E9087" s="1" t="s">
        <v>142</v>
      </c>
      <c r="F9087" s="1">
        <v>15</v>
      </c>
      <c r="G9087" s="1">
        <v>11</v>
      </c>
      <c r="H9087" s="1">
        <v>0</v>
      </c>
      <c r="I9087" s="1" t="s">
        <v>18647</v>
      </c>
      <c r="K9087" s="1" t="str">
        <f t="shared" si="570"/>
        <v>ㄓ</v>
      </c>
      <c r="L9087" s="1" t="str">
        <f t="shared" si="571"/>
        <v>ㄤ</v>
      </c>
      <c r="M9087" s="1" t="str">
        <f t="shared" si="569"/>
        <v/>
      </c>
      <c r="P9087" s="1" t="s">
        <v>20</v>
      </c>
      <c r="R9087" s="1" t="s">
        <v>18648</v>
      </c>
      <c r="V9087" s="1" t="s">
        <v>18663</v>
      </c>
      <c r="AR9087" s="1" t="str">
        <f t="shared" si="568"/>
        <v>| [ㄓㄤ](ㄓㄤ.md) | [璋](璋.md) |  | zhāng | [名]
玉器，形如半圭。《詩經．小雅．斯干》：「乃生男子，……，載弄之璋。」《周禮．春官．大宗伯》：「以赤璋禮南方。」 |</v>
      </c>
    </row>
    <row r="9088" spans="1:44" hidden="1">
      <c r="A9088" s="1" t="s">
        <v>18664</v>
      </c>
      <c r="C9088" s="1">
        <v>1</v>
      </c>
      <c r="D9088" s="1" t="str">
        <f>"07884"</f>
        <v>07884</v>
      </c>
      <c r="E9088" s="1" t="s">
        <v>139</v>
      </c>
      <c r="F9088" s="1">
        <v>15</v>
      </c>
      <c r="G9088" s="1">
        <v>11</v>
      </c>
      <c r="H9088" s="1">
        <v>0</v>
      </c>
      <c r="I9088" s="1" t="s">
        <v>18647</v>
      </c>
      <c r="K9088" s="1" t="str">
        <f t="shared" si="570"/>
        <v>ㄓ</v>
      </c>
      <c r="L9088" s="1" t="str">
        <f t="shared" si="571"/>
        <v>ㄤ</v>
      </c>
      <c r="M9088" s="1" t="str">
        <f t="shared" si="569"/>
        <v/>
      </c>
      <c r="P9088" s="1" t="s">
        <v>20</v>
      </c>
      <c r="R9088" s="1" t="s">
        <v>18648</v>
      </c>
      <c r="V9088" s="1" t="s">
        <v>18665</v>
      </c>
      <c r="AR9088" s="1" t="str">
        <f t="shared" si="568"/>
        <v>| [ㄓㄤ](ㄓㄤ.md) | [樟](樟.md) |  | zhāng | [名]
植物名。樟科樟屬，常綠喬木。全株有香氣。葉卵形或橢圓形，花小而色淡黃。果實成熟時為紫黑色，豌豆般大小，可煎為樟腦，有強心、解熱、殺蟲的功效。其材質硬而聳直，紋理細緻，可供建築、雕刻等使用。 |</v>
      </c>
    </row>
    <row r="9089" spans="1:44" hidden="1">
      <c r="A9089" s="1" t="s">
        <v>18666</v>
      </c>
      <c r="C9089" s="1">
        <v>1</v>
      </c>
      <c r="D9089" s="1" t="str">
        <f>"07885"</f>
        <v>07885</v>
      </c>
      <c r="E9089" s="1" t="s">
        <v>679</v>
      </c>
      <c r="F9089" s="1">
        <v>17</v>
      </c>
      <c r="G9089" s="1">
        <v>11</v>
      </c>
      <c r="H9089" s="1">
        <v>0</v>
      </c>
      <c r="I9089" s="1" t="s">
        <v>18647</v>
      </c>
      <c r="K9089" s="1" t="str">
        <f t="shared" si="570"/>
        <v>ㄓ</v>
      </c>
      <c r="L9089" s="1" t="str">
        <f t="shared" si="571"/>
        <v>ㄤ</v>
      </c>
      <c r="M9089" s="1" t="str">
        <f t="shared" si="569"/>
        <v/>
      </c>
      <c r="P9089" s="1" t="s">
        <v>20</v>
      </c>
      <c r="R9089" s="1" t="s">
        <v>18648</v>
      </c>
      <c r="V9089" s="1" t="s">
        <v>18667</v>
      </c>
      <c r="AR9089" s="1" t="str">
        <f t="shared" si="568"/>
        <v>| [ㄓㄤ](ㄓㄤ.md) | [蟑](蟑.md) |  | zhāng | 參見「蟑螂」條。 |</v>
      </c>
    </row>
    <row r="9090" spans="1:44" hidden="1">
      <c r="A9090" s="1" t="s">
        <v>18668</v>
      </c>
      <c r="C9090" s="1">
        <v>1</v>
      </c>
      <c r="D9090" s="1" t="str">
        <f>"07886"</f>
        <v>07886</v>
      </c>
      <c r="E9090" s="1" t="s">
        <v>156</v>
      </c>
      <c r="F9090" s="1">
        <v>22</v>
      </c>
      <c r="G9090" s="1">
        <v>11</v>
      </c>
      <c r="H9090" s="1">
        <v>0</v>
      </c>
      <c r="I9090" s="1" t="s">
        <v>18647</v>
      </c>
      <c r="K9090" s="1" t="str">
        <f t="shared" si="570"/>
        <v>ㄓ</v>
      </c>
      <c r="L9090" s="1" t="str">
        <f t="shared" si="571"/>
        <v>ㄤ</v>
      </c>
      <c r="M9090" s="1" t="str">
        <f t="shared" si="569"/>
        <v/>
      </c>
      <c r="P9090" s="1" t="s">
        <v>20</v>
      </c>
      <c r="R9090" s="1" t="s">
        <v>18648</v>
      </c>
      <c r="V9090" s="1" t="s">
        <v>18669</v>
      </c>
      <c r="AR9090" s="1" t="str">
        <f t="shared" si="568"/>
        <v>| [ㄓㄤ](ㄓㄤ.md) | [鱆](鱆.md) |  | zhāng | [名]
動物名。頭足綱章魚科。球形，似烏賊而大，有八腕，體內有墨囊。多棲息於淺海、軟泥或岩礁處，肉肥厚鮮美，營養豐富。也稱為「八帶魚」、「八腳章魚」、「八腳魚」、「章魚」。 |</v>
      </c>
    </row>
    <row r="9091" spans="1:44" hidden="1">
      <c r="A9091" s="1" t="s">
        <v>18670</v>
      </c>
      <c r="C9091" s="1">
        <v>1</v>
      </c>
      <c r="D9091" s="1" t="str">
        <f>"07887"</f>
        <v>07887</v>
      </c>
      <c r="E9091" s="1" t="s">
        <v>103</v>
      </c>
      <c r="F9091" s="1">
        <v>11</v>
      </c>
      <c r="G9091" s="1">
        <v>8</v>
      </c>
      <c r="H9091" s="1">
        <v>1</v>
      </c>
      <c r="I9091" s="1" t="s">
        <v>18647</v>
      </c>
      <c r="K9091" s="1" t="str">
        <f t="shared" si="570"/>
        <v>ㄓ</v>
      </c>
      <c r="L9091" s="1" t="str">
        <f t="shared" si="571"/>
        <v>ㄤ</v>
      </c>
      <c r="M9091" s="1" t="str">
        <f t="shared" si="569"/>
        <v/>
      </c>
      <c r="P9091" s="1" t="s">
        <v>20</v>
      </c>
      <c r="R9091" s="1" t="s">
        <v>18648</v>
      </c>
      <c r="V9091" s="1" t="s">
        <v>18671</v>
      </c>
      <c r="W9091" s="1" t="s">
        <v>18672</v>
      </c>
      <c r="AR9091" s="1" t="str">
        <f t="shared" ref="AR9091:AR9154" si="572">"| ["&amp;I9091&amp;"]("&amp;I9091&amp;".md) | ["&amp;A9091&amp;"]("&amp;A9091&amp;".md) | "&amp;" | "&amp;R9091&amp;" | "&amp;V9091&amp;" |"</f>
        <v>| [ㄓㄤ](ㄓㄤ.md) | [張](張.md) |  | zhāng | [名]_x000D_
1.量詞：(1)計算某些可張開物體的單位。如：「一張弓」、「兩張嘴」。(2)計算平面物品的單位。如：「一張紙」、「兩張桌子」、「三張薄餅」。_x000D_
2.想法、主意。如：「主張」。《清平山堂話本．簡貼和尚》：「那婆子聽得叫，失張失志，出去迎接來叫的官人。」_x000D_
3.姓。如戰國時魏國有張儀，漢代有張良。_x000D_
[動]_x000D_
1.拉開弓弦。《詩經．小雅．吉日》：「既張我弓，既挾我矢。」《漢書．卷七六．趙尹韓張兩王傳．王尊》：「使騎吏五人張弓射殺之。」_x000D_
2.安裝琴弦。《漢書．卷五六．董仲舒傳》：「竊譬之琴瑟不調，甚者必解而更張之，乃可鼓也。」_x000D_
3.展開。《老子》第三六章：「將欲歙之，必固張之。」《史記．卷八一．廉頗藺相如列傳》：「相如張目叱之，左右皆靡。」_x000D_
4.自誇、誇大。如：「誇張」。晉．皇甫謐〈三都賦序〉：「虛張異類，托有于無。」_x000D_
5.擴大。如：「明目張膽」。《新唐書．卷一三六．列傳．李光弼》：「大軍鼓譟以張吾氣。」_x000D_
6.陳設、設置。《史記．卷八．高祖本紀》：「又與秦軍戰於藍田南，益張疑兵旗幟。」《三國演義》第三四回：「當日殺牛宰馬，大張筵席。」_x000D_
7.設網以捕捉鳥獸。《公羊傳．隱公五年》：「百金之魚，公張之。」漢．王襃〈僮約〉：「黏雀張烏，結網捕魚。」_x000D_
8.窺探。如：「東張西望」。《水滸傳》第二回：「只見一個人，探頭探腦，在那裡張望。」_x000D_
[形]_x000D_
大。《詩經．大雅．韓奕》：「四牡奕奕，孔脩且張。」 |</v>
      </c>
    </row>
    <row r="9092" spans="1:44" hidden="1">
      <c r="A9092" s="1" t="s">
        <v>18673</v>
      </c>
      <c r="C9092" s="1">
        <v>1</v>
      </c>
      <c r="D9092" s="1" t="str">
        <f>"07888"</f>
        <v>07888</v>
      </c>
      <c r="E9092" s="1" t="s">
        <v>46</v>
      </c>
      <c r="F9092" s="1">
        <v>14</v>
      </c>
      <c r="G9092" s="1">
        <v>8</v>
      </c>
      <c r="H9092" s="1">
        <v>0</v>
      </c>
      <c r="I9092" s="1" t="s">
        <v>18647</v>
      </c>
      <c r="K9092" s="1" t="str">
        <f t="shared" si="570"/>
        <v>ㄓ</v>
      </c>
      <c r="L9092" s="1" t="str">
        <f t="shared" si="571"/>
        <v>ㄤ</v>
      </c>
      <c r="M9092" s="1" t="str">
        <f t="shared" si="569"/>
        <v/>
      </c>
      <c r="P9092" s="1" t="s">
        <v>20</v>
      </c>
      <c r="R9092" s="1" t="s">
        <v>18648</v>
      </c>
      <c r="V9092" s="1" t="s">
        <v>18674</v>
      </c>
      <c r="AR9092" s="1" t="str">
        <f t="shared" si="572"/>
        <v>| [ㄓㄤ](ㄓㄤ.md) | [粻](粻.md) |  | zhāng | [名]
米糧。《詩經．大雅．崧高》：「以峙其粻，式遄其行。」 |</v>
      </c>
    </row>
    <row r="9093" spans="1:44" hidden="1">
      <c r="A9093" s="1" t="s">
        <v>18675</v>
      </c>
      <c r="C9093" s="1">
        <v>1</v>
      </c>
      <c r="D9093" s="1" t="str">
        <f>"07889"</f>
        <v>07889</v>
      </c>
      <c r="E9093" s="1" t="s">
        <v>193</v>
      </c>
      <c r="F9093" s="1">
        <v>16</v>
      </c>
      <c r="G9093" s="1">
        <v>8</v>
      </c>
      <c r="H9093" s="1">
        <v>0</v>
      </c>
      <c r="I9093" s="1" t="s">
        <v>18647</v>
      </c>
      <c r="K9093" s="1" t="str">
        <f t="shared" si="570"/>
        <v>ㄓ</v>
      </c>
      <c r="L9093" s="1" t="str">
        <f t="shared" si="571"/>
        <v>ㄤ</v>
      </c>
      <c r="M9093" s="1" t="str">
        <f t="shared" ref="M9093:M9156" si="573">MID(I9093, 3, 1)</f>
        <v/>
      </c>
      <c r="P9093" s="1" t="s">
        <v>20</v>
      </c>
      <c r="R9093" s="1" t="s">
        <v>18648</v>
      </c>
      <c r="V9093" s="1" t="s">
        <v>12692</v>
      </c>
      <c r="AR9093" s="1" t="str">
        <f t="shared" si="572"/>
        <v>| [ㄓㄤ](ㄓㄤ.md) | [餦](餦.md) |  | zhāng | 參見「餦餭」條。 |</v>
      </c>
    </row>
    <row r="9094" spans="1:44" hidden="1">
      <c r="A9094" s="1" t="s">
        <v>5520</v>
      </c>
      <c r="C9094" s="1">
        <v>1</v>
      </c>
      <c r="D9094" s="1" t="str">
        <f>"07907"</f>
        <v>07907</v>
      </c>
      <c r="E9094" s="1" t="s">
        <v>789</v>
      </c>
      <c r="F9094" s="1">
        <v>2</v>
      </c>
      <c r="G9094" s="1">
        <v>1</v>
      </c>
      <c r="H9094" s="1">
        <v>2</v>
      </c>
      <c r="I9094" s="1" t="s">
        <v>18716</v>
      </c>
      <c r="K9094" s="1" t="str">
        <f t="shared" si="570"/>
        <v>ㄓ</v>
      </c>
      <c r="L9094" s="1" t="str">
        <f t="shared" si="571"/>
        <v>ㄥ</v>
      </c>
      <c r="M9094" s="1" t="str">
        <f t="shared" si="573"/>
        <v/>
      </c>
      <c r="P9094" s="1" t="s">
        <v>20</v>
      </c>
      <c r="R9094" s="1" t="s">
        <v>18717</v>
      </c>
      <c r="V9094" s="1" t="s">
        <v>18718</v>
      </c>
      <c r="W9094" s="1" t="s">
        <v>18719</v>
      </c>
      <c r="AR9094" s="1" t="str">
        <f t="shared" si="572"/>
        <v>| [ㄓㄥ](ㄓㄥ.md) | [丁](丁.md) |  | zhēng | 參見「丁丁」條。 |</v>
      </c>
    </row>
    <row r="9095" spans="1:44" hidden="1">
      <c r="A9095" s="1" t="s">
        <v>18720</v>
      </c>
      <c r="C9095" s="1">
        <v>1</v>
      </c>
      <c r="D9095" s="1" t="str">
        <f>"07908"</f>
        <v>07908</v>
      </c>
      <c r="E9095" s="1" t="s">
        <v>1495</v>
      </c>
      <c r="F9095" s="1">
        <v>5</v>
      </c>
      <c r="G9095" s="1">
        <v>1</v>
      </c>
      <c r="H9095" s="1">
        <v>2</v>
      </c>
      <c r="I9095" s="1" t="s">
        <v>18716</v>
      </c>
      <c r="K9095" s="1" t="str">
        <f t="shared" si="570"/>
        <v>ㄓ</v>
      </c>
      <c r="L9095" s="1" t="str">
        <f t="shared" si="571"/>
        <v>ㄥ</v>
      </c>
      <c r="M9095" s="1" t="str">
        <f t="shared" si="573"/>
        <v/>
      </c>
      <c r="P9095" s="1" t="s">
        <v>20</v>
      </c>
      <c r="R9095" s="1" t="s">
        <v>18717</v>
      </c>
      <c r="V9095" s="1" t="s">
        <v>18721</v>
      </c>
      <c r="W9095" s="1" t="s">
        <v>18722</v>
      </c>
      <c r="AR9095" s="1" t="str">
        <f t="shared" si="572"/>
        <v>| [ㄓㄥ](ㄓㄥ.md) | [正](正.md) |  | zhēng | 參見「正月」條。 |</v>
      </c>
    </row>
    <row r="9096" spans="1:44" hidden="1">
      <c r="A9096" s="1" t="s">
        <v>8298</v>
      </c>
      <c r="C9096" s="1">
        <v>1</v>
      </c>
      <c r="D9096" s="1" t="str">
        <f>"07909"</f>
        <v>07909</v>
      </c>
      <c r="E9096" s="1" t="s">
        <v>250</v>
      </c>
      <c r="F9096" s="1">
        <v>8</v>
      </c>
      <c r="G9096" s="1">
        <v>5</v>
      </c>
      <c r="H9096" s="1">
        <v>1</v>
      </c>
      <c r="I9096" s="1" t="s">
        <v>18716</v>
      </c>
      <c r="K9096" s="1" t="str">
        <f t="shared" si="570"/>
        <v>ㄓ</v>
      </c>
      <c r="L9096" s="1" t="str">
        <f t="shared" si="571"/>
        <v>ㄥ</v>
      </c>
      <c r="M9096" s="1" t="str">
        <f t="shared" si="573"/>
        <v/>
      </c>
      <c r="P9096" s="1" t="s">
        <v>20</v>
      </c>
      <c r="R9096" s="1" t="s">
        <v>18717</v>
      </c>
      <c r="V9096" s="1" t="s">
        <v>18723</v>
      </c>
      <c r="W9096" s="1" t="s">
        <v>18724</v>
      </c>
      <c r="AR9096" s="1" t="str">
        <f t="shared" si="572"/>
        <v>| [ㄓㄥ](ㄓㄥ.md) | [怔](怔.md) |  | zhēng | 驚恐不安的樣子。如：「怔忪」、「怔營」。 |</v>
      </c>
    </row>
    <row r="9097" spans="1:44" hidden="1">
      <c r="A9097" s="1" t="s">
        <v>18725</v>
      </c>
      <c r="C9097" s="1">
        <v>1</v>
      </c>
      <c r="D9097" s="1" t="str">
        <f>"07910"</f>
        <v>07910</v>
      </c>
      <c r="E9097" s="1" t="s">
        <v>234</v>
      </c>
      <c r="F9097" s="1">
        <v>8</v>
      </c>
      <c r="G9097" s="1">
        <v>5</v>
      </c>
      <c r="H9097" s="1">
        <v>0</v>
      </c>
      <c r="I9097" s="1" t="s">
        <v>18716</v>
      </c>
      <c r="K9097" s="1" t="str">
        <f t="shared" si="570"/>
        <v>ㄓ</v>
      </c>
      <c r="L9097" s="1" t="str">
        <f t="shared" si="571"/>
        <v>ㄥ</v>
      </c>
      <c r="M9097" s="1" t="str">
        <f t="shared" si="573"/>
        <v/>
      </c>
      <c r="P9097" s="1" t="s">
        <v>20</v>
      </c>
      <c r="R9097" s="1" t="s">
        <v>18717</v>
      </c>
      <c r="V9097" s="1" t="s">
        <v>18726</v>
      </c>
      <c r="AR9097" s="1" t="str">
        <f t="shared" si="572"/>
        <v>| [ㄓㄥ](ㄓㄥ.md) | [征](征.md) |  | zhēng | [動]
1.遠行。如：「長征」、「遠征」。《詩經．小雅．小明》：「我征徂西，至于艽野。」
2.討伐。如：「征伐」、「征戍」、「南征北討」。《漢書．卷七．武帝紀》：「遣貳師將軍李廣利，發天下謫民西征大宛。」唐．王翰〈涼州詞〉二首之一：「醉臥沙場君莫笑，古來征戰幾人回。」
3.課徵。如：「征稅」、「橫征暴斂」。
4.強取、爭奪。《孟子．梁惠王上》：「上下交征利，而國危矣。」
[名]
1.賦稅。《孟子．盡心下》：「有布縷之征，粟米之征，力役之征。」
2.姓。如宋代有征集。 |</v>
      </c>
    </row>
    <row r="9098" spans="1:44" hidden="1">
      <c r="A9098" s="1" t="s">
        <v>18727</v>
      </c>
      <c r="C9098" s="1">
        <v>1</v>
      </c>
      <c r="D9098" s="1" t="str">
        <f>"07911"</f>
        <v>07911</v>
      </c>
      <c r="E9098" s="1" t="s">
        <v>55</v>
      </c>
      <c r="F9098" s="1">
        <v>13</v>
      </c>
      <c r="G9098" s="1">
        <v>5</v>
      </c>
      <c r="H9098" s="1">
        <v>0</v>
      </c>
      <c r="I9098" s="1" t="s">
        <v>18716</v>
      </c>
      <c r="K9098" s="1" t="str">
        <f t="shared" si="570"/>
        <v>ㄓ</v>
      </c>
      <c r="L9098" s="1" t="str">
        <f t="shared" si="571"/>
        <v>ㄥ</v>
      </c>
      <c r="M9098" s="1" t="str">
        <f t="shared" si="573"/>
        <v/>
      </c>
      <c r="P9098" s="1" t="s">
        <v>20</v>
      </c>
      <c r="R9098" s="1" t="s">
        <v>18717</v>
      </c>
      <c r="V9098" s="1" t="s">
        <v>18728</v>
      </c>
      <c r="AR9098" s="1" t="str">
        <f t="shared" si="572"/>
        <v>| [ㄓㄥ](ㄓㄥ.md) | [鉦](鉦.md) |  | zhēng | [名]
樂器名，打擊樂器。銅製，屬鐲鐃之類。形似鐘而狹長，有長柄可執，是古代行軍樂器，用來調整或停止步伐。古代鳴金收兵，鉦為鳴金樂器之一。《說文解字．金部》：「鉦，鐃也。似鈴，柄中，上下通。」《詩經．小雅．采芑》：「方叔率止，鉦人伐鼓。」漢．毛亨．傳：「伐，擊也。鉦以靜之，鼓以動之。」漢．張衡〈東京賦〉：「戎士介而揚揮，戴金鉦而建黃鉞。」 |</v>
      </c>
    </row>
    <row r="9099" spans="1:44" hidden="1">
      <c r="A9099" s="1" t="s">
        <v>18729</v>
      </c>
      <c r="C9099" s="1">
        <v>1</v>
      </c>
      <c r="D9099" s="1" t="str">
        <f>"07912"</f>
        <v>07912</v>
      </c>
      <c r="E9099" s="1" t="s">
        <v>1533</v>
      </c>
      <c r="F9099" s="1">
        <v>8</v>
      </c>
      <c r="G9099" s="1">
        <v>4</v>
      </c>
      <c r="H9099" s="1">
        <v>0</v>
      </c>
      <c r="I9099" s="1" t="s">
        <v>18716</v>
      </c>
      <c r="K9099" s="1" t="str">
        <f t="shared" si="570"/>
        <v>ㄓ</v>
      </c>
      <c r="L9099" s="1" t="str">
        <f t="shared" si="571"/>
        <v>ㄥ</v>
      </c>
      <c r="M9099" s="1" t="str">
        <f t="shared" si="573"/>
        <v/>
      </c>
      <c r="P9099" s="1" t="s">
        <v>20</v>
      </c>
      <c r="R9099" s="1" t="s">
        <v>18717</v>
      </c>
      <c r="V9099" s="1" t="s">
        <v>18730</v>
      </c>
      <c r="AR9099" s="1" t="str">
        <f t="shared" si="572"/>
        <v>| [ㄓㄥ](ㄓㄥ.md) | [爭](爭.md) |  | zhēng | [動]
1.奪取、互不相讓。《左傳．隱公十一年》：「公孫閼與潁考叔爭車，潁考叔挾輈以走。」《北史．卷二二．長孫道生傳》：「嘗有二鵰，飛而爭肉，因以箭兩隻與晟，請射取之。」
2.較量、競爭。《書經．大禹謨》：「汝惟不矜，天下莫與汝爭能。汝惟不伐，天下莫與汝爭功。」
3.辯論。如：「據理力爭」。《左傳．昭公六年》：「民知爭端矣，將棄禮而徵於書。」《史記．卷五五．留侯世家》：「此難以口舌爭也。」
4.相差、差別。唐．杜荀鶴〈自遣〉詩：「百年身後一丘土，貧富高低爭幾多。」《水滸傳》第六九回：「我這行院人家坑陷了千千萬萬的人，豈爭他一個？」
5.規勸。同「諍」。《呂氏春秋．仲春紀．功名》：「關龍逢、王子比干能以要領之死，爭其上之過。」
[副]
如何。同「怎」。唐．韓偓〈哭花〉詩：「若是有情爭不哭，夜來風雨葬西施。」元．鍾嗣成〈一枝花．生居天地間套．梁州〉曲：「爭奈灰容土貌，缺齒重頤。」 |</v>
      </c>
    </row>
    <row r="9100" spans="1:44" hidden="1">
      <c r="A9100" s="1" t="s">
        <v>18731</v>
      </c>
      <c r="C9100" s="1">
        <v>1</v>
      </c>
      <c r="D9100" s="1" t="str">
        <f>"07913"</f>
        <v>07913</v>
      </c>
      <c r="E9100" s="1" t="s">
        <v>24</v>
      </c>
      <c r="F9100" s="1">
        <v>11</v>
      </c>
      <c r="G9100" s="1">
        <v>8</v>
      </c>
      <c r="H9100" s="1">
        <v>1</v>
      </c>
      <c r="I9100" s="1" t="s">
        <v>18716</v>
      </c>
      <c r="K9100" s="1" t="str">
        <f t="shared" si="570"/>
        <v>ㄓ</v>
      </c>
      <c r="L9100" s="1" t="str">
        <f t="shared" si="571"/>
        <v>ㄥ</v>
      </c>
      <c r="M9100" s="1" t="str">
        <f t="shared" si="573"/>
        <v/>
      </c>
      <c r="P9100" s="1" t="s">
        <v>20</v>
      </c>
      <c r="R9100" s="1" t="s">
        <v>18717</v>
      </c>
      <c r="V9100" s="1" t="s">
        <v>18732</v>
      </c>
      <c r="W9100" s="1" t="s">
        <v>18733</v>
      </c>
      <c r="AR9100" s="1" t="str">
        <f t="shared" si="572"/>
        <v>| [ㄓㄥ](ㄓㄥ.md) | [掙](掙.md) |  | zhēng | [動]
1.用力支撐。《水滸傳》第八回：「林冲掙的起來，被枷礙了，曲身不得。」《儒林外史》第五回：「及到天氣和暖，又勉強進些飲食，掙起來家前屋後走走。」
2.用力拉扯。如：「掙脫」、「掙斷」。《西遊記》第六九回：「那獃子左掙右掙，掙不得脫手。」
3.爭奪。如：「掙面子」、「掙光榮」。 |</v>
      </c>
    </row>
    <row r="9101" spans="1:44" hidden="1">
      <c r="A9101" s="1" t="s">
        <v>18734</v>
      </c>
      <c r="C9101" s="1">
        <v>1</v>
      </c>
      <c r="D9101" s="1" t="str">
        <f>"07914"</f>
        <v>07914</v>
      </c>
      <c r="E9101" s="1" t="s">
        <v>190</v>
      </c>
      <c r="F9101" s="1">
        <v>11</v>
      </c>
      <c r="G9101" s="1">
        <v>8</v>
      </c>
      <c r="H9101" s="1">
        <v>1</v>
      </c>
      <c r="I9101" s="1" t="s">
        <v>18716</v>
      </c>
      <c r="K9101" s="1" t="str">
        <f t="shared" si="570"/>
        <v>ㄓ</v>
      </c>
      <c r="L9101" s="1" t="str">
        <f t="shared" si="571"/>
        <v>ㄥ</v>
      </c>
      <c r="M9101" s="1" t="str">
        <f t="shared" si="573"/>
        <v/>
      </c>
      <c r="P9101" s="1" t="s">
        <v>20</v>
      </c>
      <c r="R9101" s="1" t="s">
        <v>18717</v>
      </c>
      <c r="V9101" s="1" t="s">
        <v>18735</v>
      </c>
      <c r="W9101" s="1" t="s">
        <v>18736</v>
      </c>
      <c r="AR9101" s="1" t="str">
        <f t="shared" si="572"/>
        <v>| [ㄓㄥ](ㄓㄥ.md) | [崢](崢.md) |  | zhēng | 參見「崢嶸」條。 |</v>
      </c>
    </row>
    <row r="9102" spans="1:44" hidden="1">
      <c r="A9102" s="1" t="s">
        <v>18737</v>
      </c>
      <c r="C9102" s="1">
        <v>1</v>
      </c>
      <c r="D9102" s="1" t="str">
        <f>"07915"</f>
        <v>07915</v>
      </c>
      <c r="E9102" s="1" t="s">
        <v>198</v>
      </c>
      <c r="F9102" s="1">
        <v>11</v>
      </c>
      <c r="G9102" s="1">
        <v>8</v>
      </c>
      <c r="H9102" s="1">
        <v>0</v>
      </c>
      <c r="I9102" s="1" t="s">
        <v>18716</v>
      </c>
      <c r="K9102" s="1" t="str">
        <f t="shared" si="570"/>
        <v>ㄓ</v>
      </c>
      <c r="L9102" s="1" t="str">
        <f t="shared" si="571"/>
        <v>ㄥ</v>
      </c>
      <c r="M9102" s="1" t="str">
        <f t="shared" si="573"/>
        <v/>
      </c>
      <c r="P9102" s="1" t="s">
        <v>20</v>
      </c>
      <c r="R9102" s="1" t="s">
        <v>18717</v>
      </c>
      <c r="V9102" s="1" t="s">
        <v>18738</v>
      </c>
      <c r="AR9102" s="1" t="str">
        <f t="shared" si="572"/>
        <v>| [ㄓㄥ](ㄓㄥ.md) | [猙](猙.md) |  | zhēng | 參見「猙獰」條。 |</v>
      </c>
    </row>
    <row r="9103" spans="1:44" hidden="1">
      <c r="A9103" s="1" t="s">
        <v>18739</v>
      </c>
      <c r="C9103" s="1">
        <v>1</v>
      </c>
      <c r="D9103" s="1" t="str">
        <f>"07916"</f>
        <v>07916</v>
      </c>
      <c r="E9103" s="1" t="s">
        <v>1015</v>
      </c>
      <c r="F9103" s="1">
        <v>13</v>
      </c>
      <c r="G9103" s="1">
        <v>8</v>
      </c>
      <c r="H9103" s="1">
        <v>0</v>
      </c>
      <c r="I9103" s="1" t="s">
        <v>18716</v>
      </c>
      <c r="K9103" s="1" t="str">
        <f t="shared" si="570"/>
        <v>ㄓ</v>
      </c>
      <c r="L9103" s="1" t="str">
        <f t="shared" si="571"/>
        <v>ㄥ</v>
      </c>
      <c r="M9103" s="1" t="str">
        <f t="shared" si="573"/>
        <v/>
      </c>
      <c r="P9103" s="1" t="s">
        <v>20</v>
      </c>
      <c r="R9103" s="1" t="s">
        <v>18717</v>
      </c>
      <c r="V9103" s="1" t="s">
        <v>18740</v>
      </c>
      <c r="AR9103" s="1" t="str">
        <f t="shared" si="572"/>
        <v>| [ㄓㄥ](ㄓㄥ.md) | [睜](睜.md) |  | zhēng | [動]
張開眼睛。如：「睜眼說瞎話」。《兒女英雄傳》第六回：「安公子甦醒過來，一睜眼，見自己依然綁在柱上。」 |</v>
      </c>
    </row>
    <row r="9104" spans="1:44" hidden="1">
      <c r="A9104" s="1" t="s">
        <v>18741</v>
      </c>
      <c r="C9104" s="1">
        <v>1</v>
      </c>
      <c r="D9104" s="1" t="str">
        <f>"07917"</f>
        <v>07917</v>
      </c>
      <c r="E9104" s="1" t="s">
        <v>49</v>
      </c>
      <c r="F9104" s="1">
        <v>14</v>
      </c>
      <c r="G9104" s="1">
        <v>8</v>
      </c>
      <c r="H9104" s="1">
        <v>0</v>
      </c>
      <c r="I9104" s="1" t="s">
        <v>18716</v>
      </c>
      <c r="K9104" s="1" t="str">
        <f t="shared" si="570"/>
        <v>ㄓ</v>
      </c>
      <c r="L9104" s="1" t="str">
        <f t="shared" si="571"/>
        <v>ㄥ</v>
      </c>
      <c r="M9104" s="1" t="str">
        <f t="shared" si="573"/>
        <v/>
      </c>
      <c r="P9104" s="1" t="s">
        <v>20</v>
      </c>
      <c r="R9104" s="1" t="s">
        <v>18717</v>
      </c>
      <c r="V9104" s="1" t="s">
        <v>18742</v>
      </c>
      <c r="AR9104" s="1" t="str">
        <f t="shared" si="572"/>
        <v>| [ㄓㄥ](ㄓㄥ.md) | [箏](箏.md) |  | zhēng | 1.樂器名。參見「古箏」條。
2.參見「風箏」條。 |</v>
      </c>
    </row>
    <row r="9105" spans="1:44" hidden="1">
      <c r="A9105" s="1" t="s">
        <v>18743</v>
      </c>
      <c r="C9105" s="1">
        <v>1</v>
      </c>
      <c r="D9105" s="1" t="str">
        <f>"07918"</f>
        <v>07918</v>
      </c>
      <c r="E9105" s="1" t="s">
        <v>331</v>
      </c>
      <c r="F9105" s="1">
        <v>15</v>
      </c>
      <c r="G9105" s="1">
        <v>8</v>
      </c>
      <c r="H9105" s="1">
        <v>0</v>
      </c>
      <c r="I9105" s="1" t="s">
        <v>18716</v>
      </c>
      <c r="K9105" s="1" t="str">
        <f t="shared" si="570"/>
        <v>ㄓ</v>
      </c>
      <c r="L9105" s="1" t="str">
        <f t="shared" si="571"/>
        <v>ㄥ</v>
      </c>
      <c r="M9105" s="1" t="str">
        <f t="shared" si="573"/>
        <v/>
      </c>
      <c r="P9105" s="1" t="s">
        <v>20</v>
      </c>
      <c r="R9105" s="1" t="s">
        <v>18717</v>
      </c>
      <c r="V9105" s="1" t="s">
        <v>18744</v>
      </c>
      <c r="AR9105" s="1" t="str">
        <f t="shared" si="572"/>
        <v>| [ㄓㄥ](ㄓㄥ.md) | [諍](諍.md) |  | zhēng | [動]
1.以直言糾正、規勸。如：「諫諍」、「力諍」。《新唐書．卷一六四．崔玄亮傳》：「玄亮率諫官叩延英苦諍，反復數百言。」
2.競爭、爭執。《戰國策．秦策二》：「有兩虎諍人而鬥者，管莊子將刺之。」 |</v>
      </c>
    </row>
    <row r="9106" spans="1:44" hidden="1">
      <c r="A9106" s="1" t="s">
        <v>18745</v>
      </c>
      <c r="C9106" s="1">
        <v>1</v>
      </c>
      <c r="D9106" s="1" t="str">
        <f>"07919"</f>
        <v>07919</v>
      </c>
      <c r="E9106" s="1" t="s">
        <v>55</v>
      </c>
      <c r="F9106" s="1">
        <v>16</v>
      </c>
      <c r="G9106" s="1">
        <v>8</v>
      </c>
      <c r="H9106" s="1">
        <v>0</v>
      </c>
      <c r="I9106" s="1" t="s">
        <v>18716</v>
      </c>
      <c r="K9106" s="1" t="str">
        <f t="shared" si="570"/>
        <v>ㄓ</v>
      </c>
      <c r="L9106" s="1" t="str">
        <f t="shared" si="571"/>
        <v>ㄥ</v>
      </c>
      <c r="M9106" s="1" t="str">
        <f t="shared" si="573"/>
        <v/>
      </c>
      <c r="P9106" s="1" t="s">
        <v>20</v>
      </c>
      <c r="R9106" s="1" t="s">
        <v>18717</v>
      </c>
      <c r="V9106" s="1" t="s">
        <v>18746</v>
      </c>
      <c r="AR9106" s="1" t="str">
        <f t="shared" si="572"/>
        <v>| [ㄓㄥ](ㄓㄥ.md) | [錚](錚.md) |  | zhēng | [擬]
形容金屬、玉石相撞的聲音。《說文解字．金部》：「錚，金聲也。」唐．白居易〈夢仙〉詩：「羽衣忽飄飄，玉鸞俄錚錚。」
[名]
樂器名，打擊樂器。即「鉦」，銅製，形似鐘而狹長，為古代軍中使用的樂器之一，行軍作戰時可用來調整步伐或收兵。《文獻通考．卷一三四．樂考七．鼓吹鉦》：「然鉦錚一也，特其名異也。」 |</v>
      </c>
    </row>
    <row r="9107" spans="1:44" hidden="1">
      <c r="A9107" s="1" t="s">
        <v>18747</v>
      </c>
      <c r="C9107" s="1">
        <v>1</v>
      </c>
      <c r="D9107" s="1" t="str">
        <f>"07920"</f>
        <v>07920</v>
      </c>
      <c r="E9107" s="1" t="s">
        <v>1078</v>
      </c>
      <c r="F9107" s="1">
        <v>18</v>
      </c>
      <c r="G9107" s="1">
        <v>8</v>
      </c>
      <c r="H9107" s="1">
        <v>0</v>
      </c>
      <c r="I9107" s="1" t="s">
        <v>18716</v>
      </c>
      <c r="K9107" s="1" t="str">
        <f t="shared" si="570"/>
        <v>ㄓ</v>
      </c>
      <c r="L9107" s="1" t="str">
        <f t="shared" si="571"/>
        <v>ㄥ</v>
      </c>
      <c r="M9107" s="1" t="str">
        <f t="shared" si="573"/>
        <v/>
      </c>
      <c r="P9107" s="1" t="s">
        <v>20</v>
      </c>
      <c r="R9107" s="1" t="s">
        <v>18717</v>
      </c>
      <c r="V9107" s="1" t="s">
        <v>7625</v>
      </c>
      <c r="AR9107" s="1" t="str">
        <f t="shared" si="572"/>
        <v>| [ㄓㄥ](ㄓㄥ.md) | [鬇](鬇.md) |  | zhēng | 參見「鬇鬡」條。 |</v>
      </c>
    </row>
    <row r="9108" spans="1:44" hidden="1">
      <c r="A9108" s="1" t="s">
        <v>18748</v>
      </c>
      <c r="C9108" s="1">
        <v>1</v>
      </c>
      <c r="D9108" s="1" t="str">
        <f>"07921"</f>
        <v>07921</v>
      </c>
      <c r="E9108" s="1" t="s">
        <v>336</v>
      </c>
      <c r="F9108" s="1">
        <v>10</v>
      </c>
      <c r="G9108" s="1">
        <v>6</v>
      </c>
      <c r="H9108" s="1">
        <v>0</v>
      </c>
      <c r="I9108" s="1" t="s">
        <v>18716</v>
      </c>
      <c r="K9108" s="1" t="str">
        <f t="shared" si="570"/>
        <v>ㄓ</v>
      </c>
      <c r="L9108" s="1" t="str">
        <f t="shared" si="571"/>
        <v>ㄥ</v>
      </c>
      <c r="M9108" s="1" t="str">
        <f t="shared" si="573"/>
        <v/>
      </c>
      <c r="P9108" s="1" t="s">
        <v>20</v>
      </c>
      <c r="R9108" s="1" t="s">
        <v>18717</v>
      </c>
      <c r="V9108" s="1" t="s">
        <v>18749</v>
      </c>
      <c r="AR9108" s="1" t="str">
        <f t="shared" si="572"/>
        <v>| [ㄓㄥ](ㄓㄥ.md) | [烝](烝.md) |  | zhēng | [動]
1.火氣上升。《墨子．節用中》：「逮夏，下潤溼上熏烝。」
2.用熱水氣蒸東西。通「蒸」。如：「烝魚」、「烝飯」。宋．蘇軾〈酒經〉：「吾始取麵而起肥之，和之以薑液，烝之使十裂。」
3.上淫，與長輩婦女姦通。《左傳．桓公十六年》：「衛宣公烝于夷姜。」《遼史．卷一一二．逆臣傳上．耶律滑哥傳》：「性陰險，初烝其父妾，懼事彰，與剋蕭臺哂等共害其父。」
[形]
眾多。《詩經．大雅．烝民》：「天生烝民，有物有則。」唐．杜甫〈無家別〉詩：「人生無家別，何以為烝黎？」
[名]
古代冬天的祭祀。《書經．洛誥》：「戊辰，王在新邑，烝祭歲。」《禮記．王制》：「天子諸侯宗廟之祭，春曰礿，夏曰禘，秋曰嘗，冬曰烝。」
[助]
發語詞，置於句首。《詩經．豳風．東山》：「蜎蜎者蠋，烝在桑野。」 |</v>
      </c>
    </row>
    <row r="9109" spans="1:44" hidden="1">
      <c r="A9109" s="1" t="s">
        <v>18750</v>
      </c>
      <c r="C9109" s="1">
        <v>1</v>
      </c>
      <c r="D9109" s="1" t="str">
        <f>"07922"</f>
        <v>07922</v>
      </c>
      <c r="E9109" s="1" t="s">
        <v>68</v>
      </c>
      <c r="F9109" s="1">
        <v>10</v>
      </c>
      <c r="G9109" s="1">
        <v>6</v>
      </c>
      <c r="H9109" s="1">
        <v>0</v>
      </c>
      <c r="I9109" s="1" t="s">
        <v>18716</v>
      </c>
      <c r="K9109" s="1" t="str">
        <f t="shared" si="570"/>
        <v>ㄓ</v>
      </c>
      <c r="L9109" s="1" t="str">
        <f t="shared" si="571"/>
        <v>ㄥ</v>
      </c>
      <c r="M9109" s="1" t="str">
        <f t="shared" si="573"/>
        <v/>
      </c>
      <c r="P9109" s="1" t="s">
        <v>20</v>
      </c>
      <c r="R9109" s="1" t="s">
        <v>18717</v>
      </c>
      <c r="V9109" s="1" t="s">
        <v>18751</v>
      </c>
      <c r="AR9109" s="1" t="str">
        <f t="shared" si="572"/>
        <v>| [ㄓㄥ](ㄓㄥ.md) | [脀](脀.md) |  | zhēng | [名]
盛裝在鼎俎中的熟肉。明．張自烈《正字通．肉部》：「鼎俎之實，凡牲烹熟，體解骨切而載諸鼎，骨折臠割而升之俎者，皆曰脀。」 |</v>
      </c>
    </row>
    <row r="9110" spans="1:44" hidden="1">
      <c r="A9110" s="1" t="s">
        <v>18752</v>
      </c>
      <c r="C9110" s="1">
        <v>1</v>
      </c>
      <c r="D9110" s="1" t="str">
        <f>"07923"</f>
        <v>07923</v>
      </c>
      <c r="E9110" s="1" t="s">
        <v>37</v>
      </c>
      <c r="F9110" s="1">
        <v>14</v>
      </c>
      <c r="G9110" s="1">
        <v>10</v>
      </c>
      <c r="H9110" s="1">
        <v>0</v>
      </c>
      <c r="I9110" s="1" t="s">
        <v>18716</v>
      </c>
      <c r="K9110" s="1" t="str">
        <f t="shared" si="570"/>
        <v>ㄓ</v>
      </c>
      <c r="L9110" s="1" t="str">
        <f t="shared" si="571"/>
        <v>ㄥ</v>
      </c>
      <c r="M9110" s="1" t="str">
        <f t="shared" si="573"/>
        <v/>
      </c>
      <c r="P9110" s="1" t="s">
        <v>20</v>
      </c>
      <c r="R9110" s="1" t="s">
        <v>18717</v>
      </c>
      <c r="V9110" s="1" t="s">
        <v>18753</v>
      </c>
      <c r="AR9110" s="1" t="str">
        <f t="shared" si="572"/>
        <v>| [ㄓㄥ](ㄓㄥ.md) | [蒸](蒸.md) |  | zhēng | [動]
1.熱氣上升。如：「蒸發」。《國語．周語上》：「陽氣俱蒸，土膏其動。」
2.利用水蒸汽的熱力把食物煮熟。如：「蒸魚」。漢．王充《論衡．幸偶》：「蒸穀為飯，釀飯為酒。」 |</v>
      </c>
    </row>
    <row r="9111" spans="1:44" hidden="1">
      <c r="A9111" s="1" t="s">
        <v>17857</v>
      </c>
      <c r="C9111" s="1">
        <v>1</v>
      </c>
      <c r="D9111" s="1" t="str">
        <f>"07924"</f>
        <v>07924</v>
      </c>
      <c r="E9111" s="1" t="s">
        <v>234</v>
      </c>
      <c r="F9111" s="1">
        <v>15</v>
      </c>
      <c r="G9111" s="1">
        <v>12</v>
      </c>
      <c r="H9111" s="1">
        <v>1</v>
      </c>
      <c r="I9111" s="1" t="s">
        <v>18716</v>
      </c>
      <c r="K9111" s="1" t="str">
        <f t="shared" si="570"/>
        <v>ㄓ</v>
      </c>
      <c r="L9111" s="1" t="str">
        <f t="shared" si="571"/>
        <v>ㄥ</v>
      </c>
      <c r="M9111" s="1" t="str">
        <f t="shared" si="573"/>
        <v/>
      </c>
      <c r="P9111" s="1" t="s">
        <v>20</v>
      </c>
      <c r="R9111" s="1" t="s">
        <v>18717</v>
      </c>
      <c r="V9111" s="1" t="s">
        <v>18754</v>
      </c>
      <c r="W9111" s="1" t="s">
        <v>18755</v>
      </c>
      <c r="AR9111" s="1" t="str">
        <f t="shared" si="572"/>
        <v>| [ㄓㄥ](ㄓㄥ.md) | [徵](徵.md) |  | zhēng | [動]
1.召集。如：「徵兵」。《史記．卷一．五帝本紀》：「於是黃帝乃徵師諸侯，與蚩尤戰於涿鹿之野。」
2.責問、詢問。如：「徵詢意見」。《左傳．僖公四年》：「王祭不共，無以縮酒，寡人是徵。」明．徐弘祖《徐霞客遊記．卷九上．滇遊日記十》：「即徵其地名，據云：為鳳田總府莊。」
3.驗證、證明。《論語．八佾》：「夏禮吾能言之，杞不足徵也。」
4.公開尋求、招請。如：「徵婚」、「徵文」、「誠徵女工」。
5.課取、收取。如：「徵稅」。《周禮．地官．閭師》：「以歲時徵野之貢賦。」《左傳．昭公二十年》：「布常無藝，徵斂無度。」
[名]
1.預兆、跡象。如：「吉徵」、「凶徵」。《史記．卷四．周本紀》：「夫國必依山川，山崩川竭，亡國之徵也。」
2.姓。如三國時吳國有徵崇。 |</v>
      </c>
    </row>
    <row r="9112" spans="1:44" hidden="1">
      <c r="A9112" s="1" t="s">
        <v>18756</v>
      </c>
      <c r="C9112" s="1">
        <v>1</v>
      </c>
      <c r="D9112" s="1" t="str">
        <f>"07925"</f>
        <v>07925</v>
      </c>
      <c r="E9112" s="1" t="s">
        <v>40</v>
      </c>
      <c r="F9112" s="1">
        <v>20</v>
      </c>
      <c r="G9112" s="1">
        <v>15</v>
      </c>
      <c r="H9112" s="1">
        <v>0</v>
      </c>
      <c r="I9112" s="1" t="s">
        <v>18716</v>
      </c>
      <c r="K9112" s="1" t="str">
        <f t="shared" si="570"/>
        <v>ㄓ</v>
      </c>
      <c r="L9112" s="1" t="str">
        <f t="shared" si="571"/>
        <v>ㄥ</v>
      </c>
      <c r="M9112" s="1" t="str">
        <f t="shared" si="573"/>
        <v/>
      </c>
      <c r="P9112" s="1" t="s">
        <v>20</v>
      </c>
      <c r="R9112" s="1" t="s">
        <v>18717</v>
      </c>
      <c r="V9112" s="1" t="s">
        <v>18757</v>
      </c>
      <c r="AR9112" s="1" t="str">
        <f t="shared" si="572"/>
        <v>| [ㄓㄥ](ㄓㄥ.md) | [癥](癥.md) |  | zhēng | [名]
一種腹中結硬塊的病症。《玉篇．疒部》：「癥，腹結病也。」 |</v>
      </c>
    </row>
    <row r="9113" spans="1:44" hidden="1">
      <c r="A9113" s="1" t="s">
        <v>15717</v>
      </c>
      <c r="C9113" s="1">
        <v>1</v>
      </c>
      <c r="D9113" s="1" t="str">
        <f>"07926"</f>
        <v>07926</v>
      </c>
      <c r="E9113" s="1" t="s">
        <v>156</v>
      </c>
      <c r="F9113" s="1">
        <v>19</v>
      </c>
      <c r="G9113" s="1">
        <v>8</v>
      </c>
      <c r="H9113" s="1">
        <v>2</v>
      </c>
      <c r="I9113" s="1" t="s">
        <v>18716</v>
      </c>
      <c r="K9113" s="1" t="str">
        <f t="shared" si="570"/>
        <v>ㄓ</v>
      </c>
      <c r="L9113" s="1" t="str">
        <f t="shared" si="571"/>
        <v>ㄥ</v>
      </c>
      <c r="M9113" s="1" t="str">
        <f t="shared" si="573"/>
        <v/>
      </c>
      <c r="P9113" s="1" t="s">
        <v>20</v>
      </c>
      <c r="R9113" s="1" t="s">
        <v>18717</v>
      </c>
      <c r="V9113" s="1" t="s">
        <v>18758</v>
      </c>
      <c r="W9113" s="1" t="s">
        <v>18759</v>
      </c>
      <c r="AR9113" s="1" t="str">
        <f t="shared" si="572"/>
        <v>| [ㄓㄥ](ㄓㄥ.md) | [鯖](鯖.md) |  | zhēng | [名]
魚與肉調製成的雜燴菜。如：「五侯鯖」。唐．韓愈、孟郊〈城南聯句〉：「惡嚼㗘腥鯖。」 |</v>
      </c>
    </row>
    <row r="9114" spans="1:44" hidden="1">
      <c r="A9114" s="1" t="s">
        <v>18787</v>
      </c>
      <c r="C9114" s="1">
        <v>1</v>
      </c>
      <c r="D9114" s="1" t="str">
        <f>"07938"</f>
        <v>07938</v>
      </c>
      <c r="E9114" s="1" t="s">
        <v>139</v>
      </c>
      <c r="F9114" s="1">
        <v>6</v>
      </c>
      <c r="G9114" s="1">
        <v>2</v>
      </c>
      <c r="H9114" s="1">
        <v>1</v>
      </c>
      <c r="I9114" s="1" t="s">
        <v>18788</v>
      </c>
      <c r="K9114" s="1" t="str">
        <f t="shared" si="570"/>
        <v>ㄓ</v>
      </c>
      <c r="L9114" s="1" t="str">
        <f t="shared" si="571"/>
        <v>ㄨ</v>
      </c>
      <c r="M9114" s="1" t="str">
        <f t="shared" si="573"/>
        <v/>
      </c>
      <c r="P9114" s="1" t="s">
        <v>20</v>
      </c>
      <c r="R9114" s="1" t="s">
        <v>18789</v>
      </c>
      <c r="V9114" s="1" t="s">
        <v>18790</v>
      </c>
      <c r="W9114" s="1" t="s">
        <v>18791</v>
      </c>
      <c r="AR9114" s="1" t="str">
        <f t="shared" si="572"/>
        <v>| [ㄓㄨ](ㄓㄨ.md) | [朱](朱.md) |  | zhū | [名]
1.大紅色。《論語．陽貨》：「惡紫之奪朱也，惡鄭聲之亂雅樂也。」宋．孟元老《東京夢華錄．卷一．大內》：「大內正門宣德樓列五門，門皆金釘朱漆，壁皆磚石間甃，鐫鏤龍鳳飛雲之狀。」
2.姓。如明代有太祖朱元璋。 |</v>
      </c>
    </row>
    <row r="9115" spans="1:44" hidden="1">
      <c r="A9115" s="1" t="s">
        <v>18792</v>
      </c>
      <c r="C9115" s="1">
        <v>1</v>
      </c>
      <c r="D9115" s="1" t="str">
        <f>"07939"</f>
        <v>07939</v>
      </c>
      <c r="E9115" s="1" t="s">
        <v>114</v>
      </c>
      <c r="F9115" s="1">
        <v>8</v>
      </c>
      <c r="G9115" s="1">
        <v>6</v>
      </c>
      <c r="H9115" s="1">
        <v>0</v>
      </c>
      <c r="I9115" s="1" t="s">
        <v>18788</v>
      </c>
      <c r="K9115" s="1" t="str">
        <f t="shared" si="570"/>
        <v>ㄓ</v>
      </c>
      <c r="L9115" s="1" t="str">
        <f t="shared" si="571"/>
        <v>ㄨ</v>
      </c>
      <c r="M9115" s="1" t="str">
        <f t="shared" si="573"/>
        <v/>
      </c>
      <c r="P9115" s="1" t="s">
        <v>20</v>
      </c>
      <c r="R9115" s="1" t="s">
        <v>18789</v>
      </c>
      <c r="V9115" s="1" t="s">
        <v>18793</v>
      </c>
      <c r="AR9115" s="1" t="str">
        <f t="shared" si="572"/>
        <v>| [ㄓㄨ](ㄓㄨ.md) | [侏](侏.md) |  | zhū | 參見「侏儒」條。 |</v>
      </c>
    </row>
    <row r="9116" spans="1:44" hidden="1">
      <c r="A9116" s="1" t="s">
        <v>18794</v>
      </c>
      <c r="C9116" s="1">
        <v>1</v>
      </c>
      <c r="D9116" s="1" t="str">
        <f>"07940"</f>
        <v>07940</v>
      </c>
      <c r="E9116" s="1" t="s">
        <v>129</v>
      </c>
      <c r="F9116" s="1">
        <v>9</v>
      </c>
      <c r="G9116" s="1">
        <v>6</v>
      </c>
      <c r="H9116" s="1">
        <v>1</v>
      </c>
      <c r="I9116" s="1" t="s">
        <v>18788</v>
      </c>
      <c r="K9116" s="1" t="str">
        <f t="shared" si="570"/>
        <v>ㄓ</v>
      </c>
      <c r="L9116" s="1" t="str">
        <f t="shared" si="571"/>
        <v>ㄨ</v>
      </c>
      <c r="M9116" s="1" t="str">
        <f t="shared" si="573"/>
        <v/>
      </c>
      <c r="P9116" s="1" t="s">
        <v>20</v>
      </c>
      <c r="R9116" s="1" t="s">
        <v>18789</v>
      </c>
      <c r="V9116" s="1" t="s">
        <v>18795</v>
      </c>
      <c r="W9116" s="1" t="s">
        <v>18796</v>
      </c>
      <c r="AR9116" s="1" t="str">
        <f t="shared" si="572"/>
        <v>| [ㄓㄨ](ㄓㄨ.md) | [洙](洙.md) |  | zhū | [名]
河川名。泗水的支流，一源出大陸地區山東省費縣北，西流入泗水；一源出曲阜縣北，南流合沂水注入泗水。 |</v>
      </c>
    </row>
    <row r="9117" spans="1:44" hidden="1">
      <c r="A9117" s="1" t="s">
        <v>18797</v>
      </c>
      <c r="C9117" s="1">
        <v>1</v>
      </c>
      <c r="D9117" s="1" t="str">
        <f>"07941"</f>
        <v>07941</v>
      </c>
      <c r="E9117" s="1" t="s">
        <v>256</v>
      </c>
      <c r="F9117" s="1">
        <v>9</v>
      </c>
      <c r="G9117" s="1">
        <v>6</v>
      </c>
      <c r="H9117" s="1">
        <v>0</v>
      </c>
      <c r="I9117" s="1" t="s">
        <v>18788</v>
      </c>
      <c r="K9117" s="1" t="str">
        <f t="shared" si="570"/>
        <v>ㄓ</v>
      </c>
      <c r="L9117" s="1" t="str">
        <f t="shared" si="571"/>
        <v>ㄨ</v>
      </c>
      <c r="M9117" s="1" t="str">
        <f t="shared" si="573"/>
        <v/>
      </c>
      <c r="P9117" s="1" t="s">
        <v>20</v>
      </c>
      <c r="R9117" s="1" t="s">
        <v>18789</v>
      </c>
      <c r="V9117" s="1" t="s">
        <v>18798</v>
      </c>
      <c r="AR9117" s="1" t="str">
        <f t="shared" si="572"/>
        <v>| [ㄓㄨ](ㄓㄨ.md) | [邾](邾.md) |  | zhū | [名]
1.國名。春秋時邾國，故城在今大陸地區山東省鄒縣，至戰國改稱為「鄒」，後滅於楚。也稱為「邾婁」。
2.姓。如上古時代顓頊的後裔，周時封於邾，後皆以國為氏。 |</v>
      </c>
    </row>
    <row r="9118" spans="1:44" hidden="1">
      <c r="A9118" s="1" t="s">
        <v>18799</v>
      </c>
      <c r="C9118" s="1">
        <v>1</v>
      </c>
      <c r="D9118" s="1" t="str">
        <f>"07942"</f>
        <v>07942</v>
      </c>
      <c r="E9118" s="1" t="s">
        <v>142</v>
      </c>
      <c r="F9118" s="1">
        <v>10</v>
      </c>
      <c r="G9118" s="1">
        <v>6</v>
      </c>
      <c r="H9118" s="1">
        <v>0</v>
      </c>
      <c r="I9118" s="1" t="s">
        <v>18788</v>
      </c>
      <c r="K9118" s="1" t="str">
        <f t="shared" si="570"/>
        <v>ㄓ</v>
      </c>
      <c r="L9118" s="1" t="str">
        <f t="shared" si="571"/>
        <v>ㄨ</v>
      </c>
      <c r="M9118" s="1" t="str">
        <f t="shared" si="573"/>
        <v/>
      </c>
      <c r="P9118" s="1" t="s">
        <v>20</v>
      </c>
      <c r="R9118" s="1" t="s">
        <v>18789</v>
      </c>
      <c r="V9118" s="1" t="s">
        <v>18800</v>
      </c>
      <c r="AR9118" s="1" t="str">
        <f t="shared" si="572"/>
        <v>| [ㄓㄨ](ㄓㄨ.md) | [珠](珠.md) |  | zhū | [名]
1.蚌殼內所生的圓形物質。當砂粒竄進蚌殼內，蚌體受到刺激，常用膜緣摩擦，而所分泌的珍珠質，就附在物體表面，漸久漸大，即形成珠。《書經．禹貢》：「泗濱浮磬，淮、夷蠙珠暨魚。」
2.泛稱圓形的顆粒。如：「彈珠」、「眼珠」。北周．庾信〈和靈法師遊昆明池〉詩二首之二：「碎珠縈斷菊，殘絲繞折蓮。」 |</v>
      </c>
    </row>
    <row r="9119" spans="1:44" hidden="1">
      <c r="A9119" s="1" t="s">
        <v>18801</v>
      </c>
      <c r="C9119" s="1">
        <v>1</v>
      </c>
      <c r="D9119" s="1" t="str">
        <f>"07943"</f>
        <v>07943</v>
      </c>
      <c r="E9119" s="1" t="s">
        <v>139</v>
      </c>
      <c r="F9119" s="1">
        <v>10</v>
      </c>
      <c r="G9119" s="1">
        <v>6</v>
      </c>
      <c r="H9119" s="1">
        <v>0</v>
      </c>
      <c r="I9119" s="1" t="s">
        <v>18788</v>
      </c>
      <c r="K9119" s="1" t="str">
        <f t="shared" si="570"/>
        <v>ㄓ</v>
      </c>
      <c r="L9119" s="1" t="str">
        <f t="shared" si="571"/>
        <v>ㄨ</v>
      </c>
      <c r="M9119" s="1" t="str">
        <f t="shared" si="573"/>
        <v/>
      </c>
      <c r="P9119" s="1" t="s">
        <v>20</v>
      </c>
      <c r="R9119" s="1" t="s">
        <v>18789</v>
      </c>
      <c r="V9119" s="1" t="s">
        <v>18802</v>
      </c>
      <c r="AR9119" s="1" t="str">
        <f t="shared" si="572"/>
        <v>| [ㄓㄨ](ㄓㄨ.md) | [株](株.md) |  | zhū | [名]
1.樹木露在地面上的根部。如：「守株待兔」。《韓非子．五蠹》：「田中有株，兔走觸株，折頸而死。」唐．駱賓王〈上李少常啟〉：「賓王蟠木朽株，散樗賤質。」
2.量詞。計算花草樹木的單位。唐．韓愈〈示兒〉詩：「庭內無所有，高樹八九株。」 |</v>
      </c>
    </row>
    <row r="9120" spans="1:44" hidden="1">
      <c r="A9120" s="1" t="s">
        <v>18803</v>
      </c>
      <c r="C9120" s="1">
        <v>1</v>
      </c>
      <c r="D9120" s="1" t="str">
        <f>"07944"</f>
        <v>07944</v>
      </c>
      <c r="E9120" s="1" t="s">
        <v>37</v>
      </c>
      <c r="F9120" s="1">
        <v>10</v>
      </c>
      <c r="G9120" s="1">
        <v>6</v>
      </c>
      <c r="H9120" s="1">
        <v>0</v>
      </c>
      <c r="I9120" s="1" t="s">
        <v>18788</v>
      </c>
      <c r="K9120" s="1" t="str">
        <f t="shared" si="570"/>
        <v>ㄓ</v>
      </c>
      <c r="L9120" s="1" t="str">
        <f t="shared" si="571"/>
        <v>ㄨ</v>
      </c>
      <c r="M9120" s="1" t="str">
        <f t="shared" si="573"/>
        <v/>
      </c>
      <c r="P9120" s="1" t="s">
        <v>20</v>
      </c>
      <c r="R9120" s="1" t="s">
        <v>18789</v>
      </c>
      <c r="V9120" s="1" t="s">
        <v>18804</v>
      </c>
      <c r="AR9120" s="1" t="str">
        <f t="shared" si="572"/>
        <v>| [ㄓㄨ](ㄓㄨ.md) | [茱](茱.md) |  | zhū | 參見「茱萸」條。 |</v>
      </c>
    </row>
    <row r="9121" spans="1:44" hidden="1">
      <c r="A9121" s="1" t="s">
        <v>18805</v>
      </c>
      <c r="C9121" s="1">
        <v>1</v>
      </c>
      <c r="D9121" s="1" t="str">
        <f>"07945"</f>
        <v>07945</v>
      </c>
      <c r="E9121" s="1" t="s">
        <v>169</v>
      </c>
      <c r="F9121" s="1">
        <v>11</v>
      </c>
      <c r="G9121" s="1">
        <v>6</v>
      </c>
      <c r="H9121" s="1">
        <v>0</v>
      </c>
      <c r="I9121" s="1" t="s">
        <v>18788</v>
      </c>
      <c r="K9121" s="1" t="str">
        <f t="shared" si="570"/>
        <v>ㄓ</v>
      </c>
      <c r="L9121" s="1" t="str">
        <f t="shared" si="571"/>
        <v>ㄨ</v>
      </c>
      <c r="M9121" s="1" t="str">
        <f t="shared" si="573"/>
        <v/>
      </c>
      <c r="P9121" s="1" t="s">
        <v>20</v>
      </c>
      <c r="R9121" s="1" t="s">
        <v>18789</v>
      </c>
      <c r="V9121" s="1" t="s">
        <v>18806</v>
      </c>
      <c r="AR9121" s="1" t="str">
        <f t="shared" si="572"/>
        <v>| [ㄓㄨ](ㄓㄨ.md) | [硃](硃.md) |  | zhū | 參見「硃砂」條。 |</v>
      </c>
    </row>
    <row r="9122" spans="1:44" hidden="1">
      <c r="A9122" s="1" t="s">
        <v>18807</v>
      </c>
      <c r="C9122" s="1">
        <v>1</v>
      </c>
      <c r="D9122" s="1" t="str">
        <f>"07946"</f>
        <v>07946</v>
      </c>
      <c r="E9122" s="1" t="s">
        <v>340</v>
      </c>
      <c r="F9122" s="1">
        <v>12</v>
      </c>
      <c r="G9122" s="1">
        <v>6</v>
      </c>
      <c r="H9122" s="1">
        <v>0</v>
      </c>
      <c r="I9122" s="1" t="s">
        <v>18788</v>
      </c>
      <c r="K9122" s="1" t="str">
        <f t="shared" si="570"/>
        <v>ㄓ</v>
      </c>
      <c r="L9122" s="1" t="str">
        <f t="shared" si="571"/>
        <v>ㄨ</v>
      </c>
      <c r="M9122" s="1" t="str">
        <f t="shared" si="573"/>
        <v/>
      </c>
      <c r="P9122" s="1" t="s">
        <v>20</v>
      </c>
      <c r="R9122" s="1" t="s">
        <v>18789</v>
      </c>
      <c r="V9122" s="1" t="s">
        <v>18808</v>
      </c>
      <c r="AR9122" s="1" t="str">
        <f t="shared" si="572"/>
        <v>| [ㄓㄨ](ㄓㄨ.md) | [袾](袾.md) |  | zhū | [名]
衣身、衣服中間的布料。清．王念孫《廣雅疏證．卷七下．釋器》：「袾，裑也。」疏證：「裑謂衣中也。字通作身。」
[形]
紅色的。《荀子．富國》：「故天子袾裷衣冕，諸侯玄裷衣冕。」唐．楊倞．注：「袾，古朱字。」 |</v>
      </c>
    </row>
    <row r="9123" spans="1:44" hidden="1">
      <c r="A9123" s="1" t="s">
        <v>18809</v>
      </c>
      <c r="C9123" s="1">
        <v>1</v>
      </c>
      <c r="D9123" s="1" t="str">
        <f>"07947"</f>
        <v>07947</v>
      </c>
      <c r="E9123" s="1" t="s">
        <v>679</v>
      </c>
      <c r="F9123" s="1">
        <v>12</v>
      </c>
      <c r="G9123" s="1">
        <v>6</v>
      </c>
      <c r="H9123" s="1">
        <v>0</v>
      </c>
      <c r="I9123" s="1" t="s">
        <v>18788</v>
      </c>
      <c r="K9123" s="1" t="str">
        <f t="shared" si="570"/>
        <v>ㄓ</v>
      </c>
      <c r="L9123" s="1" t="str">
        <f t="shared" si="571"/>
        <v>ㄨ</v>
      </c>
      <c r="M9123" s="1" t="str">
        <f t="shared" si="573"/>
        <v/>
      </c>
      <c r="P9123" s="1" t="s">
        <v>20</v>
      </c>
      <c r="R9123" s="1" t="s">
        <v>18789</v>
      </c>
      <c r="V9123" s="1" t="s">
        <v>17735</v>
      </c>
      <c r="AR9123" s="1" t="str">
        <f t="shared" si="572"/>
        <v>| [ㄓㄨ](ㄓㄨ.md) | [蛛](蛛.md) |  | zhū | 參見「蜘蛛」條。 |</v>
      </c>
    </row>
    <row r="9124" spans="1:44" hidden="1">
      <c r="A9124" s="1" t="s">
        <v>18810</v>
      </c>
      <c r="C9124" s="1">
        <v>1</v>
      </c>
      <c r="D9124" s="1" t="str">
        <f>"07948"</f>
        <v>07948</v>
      </c>
      <c r="E9124" s="1" t="s">
        <v>331</v>
      </c>
      <c r="F9124" s="1">
        <v>13</v>
      </c>
      <c r="G9124" s="1">
        <v>6</v>
      </c>
      <c r="H9124" s="1">
        <v>0</v>
      </c>
      <c r="I9124" s="1" t="s">
        <v>18788</v>
      </c>
      <c r="K9124" s="1" t="str">
        <f t="shared" si="570"/>
        <v>ㄓ</v>
      </c>
      <c r="L9124" s="1" t="str">
        <f t="shared" si="571"/>
        <v>ㄨ</v>
      </c>
      <c r="M9124" s="1" t="str">
        <f t="shared" si="573"/>
        <v/>
      </c>
      <c r="P9124" s="1" t="s">
        <v>20</v>
      </c>
      <c r="R9124" s="1" t="s">
        <v>18789</v>
      </c>
      <c r="V9124" s="1" t="s">
        <v>18811</v>
      </c>
      <c r="AR9124" s="1" t="str">
        <f t="shared" si="572"/>
        <v>| [ㄓㄨ](ㄓㄨ.md) | [誅](誅.md) |  | zhū | [動]
1.討伐。《孟子．梁惠王下》：「誅其君而弔其民。」漢．曹操〈封功臣令〉：「吾起義兵，誅暴亂。」
2.殺戮。如：「人不為己，天誅地滅。」、「亂臣賊子，人人得而誅之。」
3.消除、剷除。《國語．晉語六》：「以惠誅怨，以忍去過。」《史記．卷六．秦始皇本紀》：「誅亂除害，興利致福。」
4.懲罰、懲治。《韓非子．姦劫弒臣》：「聖人之治國也，賞不加於無功，而誅必行於有罪者也。」
5.責備、譴責。如：「口誅筆伐」。《論語．公冶長》：「朽木不可雕也，糞土之牆不可杇也，於予與何誅？」
6.要求。《左傳．莊公八年》：「傷足，喪屨。反，誅屨於徒人費。弗得，鞭之，見血。」《資治通鑑．卷二六．漢紀十八．宣帝神爵元年》：「今上下僭差，人人自制，是以貪財誅利，不畏死亡。」 |</v>
      </c>
    </row>
    <row r="9125" spans="1:44" hidden="1">
      <c r="A9125" s="1" t="s">
        <v>18812</v>
      </c>
      <c r="C9125" s="1">
        <v>1</v>
      </c>
      <c r="D9125" s="1" t="str">
        <f>"07949"</f>
        <v>07949</v>
      </c>
      <c r="E9125" s="1" t="s">
        <v>77</v>
      </c>
      <c r="F9125" s="1">
        <v>13</v>
      </c>
      <c r="G9125" s="1">
        <v>6</v>
      </c>
      <c r="H9125" s="1">
        <v>0</v>
      </c>
      <c r="I9125" s="1" t="s">
        <v>18788</v>
      </c>
      <c r="K9125" s="1" t="str">
        <f t="shared" si="570"/>
        <v>ㄓ</v>
      </c>
      <c r="L9125" s="1" t="str">
        <f t="shared" si="571"/>
        <v>ㄨ</v>
      </c>
      <c r="M9125" s="1" t="str">
        <f t="shared" si="573"/>
        <v/>
      </c>
      <c r="P9125" s="1" t="s">
        <v>20</v>
      </c>
      <c r="R9125" s="1" t="s">
        <v>18789</v>
      </c>
      <c r="V9125" s="1" t="s">
        <v>18813</v>
      </c>
      <c r="AR9125" s="1" t="str">
        <f t="shared" si="572"/>
        <v>| [ㄓㄨ](ㄓㄨ.md) | [跦](跦.md) |  | zhū | 參見「跦跦」條。 |</v>
      </c>
    </row>
    <row r="9126" spans="1:44" hidden="1">
      <c r="A9126" s="1" t="s">
        <v>18814</v>
      </c>
      <c r="C9126" s="1">
        <v>1</v>
      </c>
      <c r="D9126" s="1" t="str">
        <f>"07950"</f>
        <v>07950</v>
      </c>
      <c r="E9126" s="1" t="s">
        <v>55</v>
      </c>
      <c r="F9126" s="1">
        <v>14</v>
      </c>
      <c r="G9126" s="1">
        <v>6</v>
      </c>
      <c r="H9126" s="1">
        <v>0</v>
      </c>
      <c r="I9126" s="1" t="s">
        <v>18788</v>
      </c>
      <c r="K9126" s="1" t="str">
        <f t="shared" si="570"/>
        <v>ㄓ</v>
      </c>
      <c r="L9126" s="1" t="str">
        <f t="shared" si="571"/>
        <v>ㄨ</v>
      </c>
      <c r="M9126" s="1" t="str">
        <f t="shared" si="573"/>
        <v/>
      </c>
      <c r="P9126" s="1" t="s">
        <v>20</v>
      </c>
      <c r="R9126" s="1" t="s">
        <v>18789</v>
      </c>
      <c r="V9126" s="1" t="s">
        <v>18815</v>
      </c>
      <c r="AR9126" s="1" t="str">
        <f t="shared" si="572"/>
        <v>| [ㄓㄨ](ㄓㄨ.md) | [銖](銖.md) |  | zhū | [名]
1.量詞。古代計算重量的單位。六銖為一錙，八銖為一錘，二十四銖為一兩。《淮南子．說山》：「有千金之璧，而無錙錘之礛諸。」漢．高誘．注：「六銖曰錙，八銖曰錘。」《漢書．卷二一．律曆志上》：「二十四銖為兩，十六兩為斤。」
2.姓。如明代有銖鉉。
[形]
參見「錙銖」條。 |</v>
      </c>
    </row>
    <row r="9127" spans="1:44" hidden="1">
      <c r="A9127" s="1" t="s">
        <v>18816</v>
      </c>
      <c r="C9127" s="1">
        <v>1</v>
      </c>
      <c r="D9127" s="1" t="str">
        <f>"07951"</f>
        <v>07951</v>
      </c>
      <c r="E9127" s="1" t="s">
        <v>331</v>
      </c>
      <c r="F9127" s="1">
        <v>15</v>
      </c>
      <c r="G9127" s="1">
        <v>8</v>
      </c>
      <c r="H9127" s="1">
        <v>0</v>
      </c>
      <c r="I9127" s="1" t="s">
        <v>18788</v>
      </c>
      <c r="K9127" s="1" t="str">
        <f t="shared" si="570"/>
        <v>ㄓ</v>
      </c>
      <c r="L9127" s="1" t="str">
        <f t="shared" si="571"/>
        <v>ㄨ</v>
      </c>
      <c r="M9127" s="1" t="str">
        <f t="shared" si="573"/>
        <v/>
      </c>
      <c r="P9127" s="1" t="s">
        <v>20</v>
      </c>
      <c r="R9127" s="1" t="s">
        <v>18789</v>
      </c>
      <c r="V9127" s="1" t="s">
        <v>18817</v>
      </c>
      <c r="AR9127" s="1" t="str">
        <f t="shared" si="572"/>
        <v>| [ㄓㄨ](ㄓㄨ.md) | [諸](諸.md) |  | zhū | [形]_x000D_
1.眾多、各個。如：「諸事」、「諸子百家」、「諸善男子，善女人」。_x000D_
2.所有、一切。《後漢書．卷三．肅宗孝章帝紀》：「諸以前妖惡禁錮者，一皆蠲除之，以明棄咎之路。」《明史．卷二．太祖本紀》：「諸遭亂為人奴隸者復為民。」_x000D_
[代、介]_x000D_
之於二字的合音。「之」是代詞，「於」是介詞。如：「付諸行動」。《論語．衛靈公》：「子張書諸紳。」_x000D_
[代、助]_x000D_
之乎二字的合音。「之」是代詞，「乎」是助詞。《論語．子罕》：「有美玉於斯，韞櫝而藏諸？求善賈而沽諸？」_x000D_
[介]_x000D_
於。《禮記．祭義》：「是故君子合諸天道，春禘秋嘗。」_x000D_
[代]_x000D_
他、之。《論語．學而》：「告諸往而知來者。」_x000D_
[名]_x000D_
姓。如明代有諸茂卿。 |</v>
      </c>
    </row>
    <row r="9128" spans="1:44" hidden="1">
      <c r="A9128" s="1" t="s">
        <v>18818</v>
      </c>
      <c r="C9128" s="1">
        <v>1</v>
      </c>
      <c r="D9128" s="1" t="str">
        <f>"07952"</f>
        <v>07952</v>
      </c>
      <c r="E9128" s="1" t="s">
        <v>52</v>
      </c>
      <c r="F9128" s="1">
        <v>15</v>
      </c>
      <c r="G9128" s="1">
        <v>8</v>
      </c>
      <c r="H9128" s="1">
        <v>0</v>
      </c>
      <c r="I9128" s="1" t="s">
        <v>18788</v>
      </c>
      <c r="K9128" s="1" t="str">
        <f t="shared" si="570"/>
        <v>ㄓ</v>
      </c>
      <c r="L9128" s="1" t="str">
        <f t="shared" si="571"/>
        <v>ㄨ</v>
      </c>
      <c r="M9128" s="1" t="str">
        <f t="shared" si="573"/>
        <v/>
      </c>
      <c r="P9128" s="1" t="s">
        <v>20</v>
      </c>
      <c r="R9128" s="1" t="s">
        <v>18789</v>
      </c>
      <c r="V9128" s="1" t="s">
        <v>18819</v>
      </c>
      <c r="AR9128" s="1" t="str">
        <f t="shared" si="572"/>
        <v>| [ㄓㄨ](ㄓㄨ.md) | [豬](豬.md) |  | zhū | [名]
1.動物名。哺乳類偶蹄目豬科。頭大，眼小，耳大，四肢短小，軀體肥滿，鼻與口吻皆長。肉可食，皮可製革，鬃毛可製刷子等。
2.水流停聚的地方。通「瀦」。《左傳．襄公二十五年》：「數疆潦，規偃豬。」 |</v>
      </c>
    </row>
    <row r="9129" spans="1:44" hidden="1">
      <c r="A9129" s="1" t="s">
        <v>18820</v>
      </c>
      <c r="C9129" s="1">
        <v>1</v>
      </c>
      <c r="D9129" s="1" t="str">
        <f>"07953"</f>
        <v>07953</v>
      </c>
      <c r="E9129" s="1" t="s">
        <v>129</v>
      </c>
      <c r="F9129" s="1">
        <v>18</v>
      </c>
      <c r="G9129" s="1">
        <v>15</v>
      </c>
      <c r="H9129" s="1">
        <v>0</v>
      </c>
      <c r="I9129" s="1" t="s">
        <v>18788</v>
      </c>
      <c r="K9129" s="1" t="str">
        <f t="shared" si="570"/>
        <v>ㄓ</v>
      </c>
      <c r="L9129" s="1" t="str">
        <f t="shared" si="571"/>
        <v>ㄨ</v>
      </c>
      <c r="M9129" s="1" t="str">
        <f t="shared" si="573"/>
        <v/>
      </c>
      <c r="P9129" s="1" t="s">
        <v>20</v>
      </c>
      <c r="R9129" s="1" t="s">
        <v>18789</v>
      </c>
      <c r="V9129" s="1" t="s">
        <v>18821</v>
      </c>
      <c r="AR9129" s="1" t="str">
        <f t="shared" si="572"/>
        <v>| [ㄓㄨ](ㄓㄨ.md) | [瀦](瀦.md) |  | zhū | [名]
水流停聚的地方。唐．韓愈〈岳陽樓別竇司直〉詩：「瀦為七百里，吞納各殊狀。」
[動]
蓄積、積聚。《新唐書．卷四一．地理志五》：「瀦溪水殖稻。」 |</v>
      </c>
    </row>
    <row r="9130" spans="1:44" hidden="1">
      <c r="A9130" s="1" t="s">
        <v>18822</v>
      </c>
      <c r="C9130" s="1">
        <v>1</v>
      </c>
      <c r="D9130" s="1" t="str">
        <f>"07954"</f>
        <v>07954</v>
      </c>
      <c r="E9130" s="1" t="s">
        <v>139</v>
      </c>
      <c r="F9130" s="1">
        <v>19</v>
      </c>
      <c r="G9130" s="1">
        <v>15</v>
      </c>
      <c r="H9130" s="1">
        <v>0</v>
      </c>
      <c r="I9130" s="1" t="s">
        <v>18788</v>
      </c>
      <c r="K9130" s="1" t="str">
        <f t="shared" si="570"/>
        <v>ㄓ</v>
      </c>
      <c r="L9130" s="1" t="str">
        <f t="shared" si="571"/>
        <v>ㄨ</v>
      </c>
      <c r="M9130" s="1" t="str">
        <f t="shared" si="573"/>
        <v/>
      </c>
      <c r="P9130" s="1" t="s">
        <v>20</v>
      </c>
      <c r="R9130" s="1" t="s">
        <v>18789</v>
      </c>
      <c r="V9130" s="1" t="s">
        <v>18823</v>
      </c>
      <c r="AR9130" s="1" t="str">
        <f t="shared" si="572"/>
        <v>| [ㄓㄨ](ㄓㄨ.md) | [櫧](櫧.md) |  | zhū | [名]
植物名。殼斗科青剛櫟及苦櫧屬，包括小葉青剛（麵櫧）、苦櫧、甜櫧、米櫧等數種此二屬樹木之通稱。常綠喬木。樹幹為灰褐色，略光滑，有不明顯的縱向細紋。材質堅實，可作舟車棟梁之用。其種子與樹皮、葉入藥有止渴、破惡血、治洩痢等功效。 |</v>
      </c>
    </row>
    <row r="9131" spans="1:44" hidden="1">
      <c r="A9131" s="1" t="s">
        <v>18824</v>
      </c>
      <c r="C9131" s="1">
        <v>1</v>
      </c>
      <c r="D9131" s="1" t="str">
        <f>"07955"</f>
        <v>07955</v>
      </c>
      <c r="E9131" s="1" t="s">
        <v>139</v>
      </c>
      <c r="F9131" s="1">
        <v>19</v>
      </c>
      <c r="G9131" s="1">
        <v>15</v>
      </c>
      <c r="H9131" s="1">
        <v>0</v>
      </c>
      <c r="I9131" s="1" t="s">
        <v>18788</v>
      </c>
      <c r="K9131" s="1" t="str">
        <f t="shared" si="570"/>
        <v>ㄓ</v>
      </c>
      <c r="L9131" s="1" t="str">
        <f t="shared" si="571"/>
        <v>ㄨ</v>
      </c>
      <c r="M9131" s="1" t="str">
        <f t="shared" si="573"/>
        <v/>
      </c>
      <c r="P9131" s="1" t="s">
        <v>20</v>
      </c>
      <c r="R9131" s="1" t="s">
        <v>18789</v>
      </c>
      <c r="V9131" s="1" t="s">
        <v>18825</v>
      </c>
      <c r="AR9131" s="1" t="str">
        <f t="shared" si="572"/>
        <v>| [ㄓㄨ](ㄓㄨ.md) | [櫫](櫫.md) |  | zhū | [名]
小木樁。清．王念孫《廣雅疏證．卷七上．釋宮》：「櫫，杙也。」
[動]
有所表識、記號。《廣韻．平聲．魚韻》：「櫫，揭櫫，有所表識。」 |</v>
      </c>
    </row>
    <row r="9132" spans="1:44" hidden="1">
      <c r="A9132" s="1" t="s">
        <v>18826</v>
      </c>
      <c r="C9132" s="1">
        <v>1</v>
      </c>
      <c r="D9132" s="1" t="str">
        <f>"07956"</f>
        <v>07956</v>
      </c>
      <c r="E9132" s="1" t="s">
        <v>37</v>
      </c>
      <c r="F9132" s="1">
        <v>19</v>
      </c>
      <c r="G9132" s="1">
        <v>15</v>
      </c>
      <c r="H9132" s="1">
        <v>1</v>
      </c>
      <c r="I9132" s="1" t="s">
        <v>18788</v>
      </c>
      <c r="K9132" s="1" t="str">
        <f t="shared" si="570"/>
        <v>ㄓ</v>
      </c>
      <c r="L9132" s="1" t="str">
        <f t="shared" si="571"/>
        <v>ㄨ</v>
      </c>
      <c r="M9132" s="1" t="str">
        <f t="shared" si="573"/>
        <v/>
      </c>
      <c r="P9132" s="1" t="s">
        <v>20</v>
      </c>
      <c r="R9132" s="1" t="s">
        <v>18789</v>
      </c>
      <c r="V9132" s="1" t="s">
        <v>18827</v>
      </c>
      <c r="W9132" s="1" t="s">
        <v>18828</v>
      </c>
      <c r="AR9132" s="1" t="str">
        <f t="shared" si="572"/>
        <v>| [ㄓㄨ](ㄓㄨ.md) | [藷](藷.md) |  | zhū | 參見「藷蔗」條。 |</v>
      </c>
    </row>
    <row r="9133" spans="1:44" hidden="1">
      <c r="A9133" s="1" t="s">
        <v>17860</v>
      </c>
      <c r="C9133" s="1">
        <v>1</v>
      </c>
      <c r="D9133" s="1" t="str">
        <f>"07540"</f>
        <v>07540</v>
      </c>
      <c r="E9133" s="1" t="s">
        <v>5320</v>
      </c>
      <c r="F9133" s="1">
        <v>6</v>
      </c>
      <c r="G9133" s="1">
        <v>0</v>
      </c>
      <c r="H9133" s="1">
        <v>0</v>
      </c>
      <c r="I9133" s="1" t="s">
        <v>17861</v>
      </c>
      <c r="K9133" s="1" t="str">
        <f t="shared" si="570"/>
        <v>ㄓ</v>
      </c>
      <c r="M9133" s="1" t="str">
        <f t="shared" si="573"/>
        <v/>
      </c>
      <c r="N9133" s="3" t="s">
        <v>30574</v>
      </c>
      <c r="O9133" s="3"/>
      <c r="P9133" s="1" t="s">
        <v>20</v>
      </c>
      <c r="R9133" s="1" t="s">
        <v>17862</v>
      </c>
      <c r="V9133" s="1" t="s">
        <v>17863</v>
      </c>
      <c r="AR9133" s="1" t="str">
        <f t="shared" si="572"/>
        <v>| [ㄓˋ](ㄓˋ.md) | [至](至.md) |  | zhì | [動]
到達、來到。《論語．子罕》：「鳳鳥不至，河不出圖，吾已矣夫。」
[形]
大、完善。《孝經．開宗明義章》：「先王有至德要道。」唐．杜甫〈自京赴奉先縣詠懷五百字〉詩：「臣如忽至理，君豈棄此物。」
[副]
極、甚。《呂氏春秋．雜俗覽．為欲》：「天子至貴也，天下至富也，彭祖至壽也。誠無欲，則是三者不足以勸。」《文選．李密．陳情表》：「今臣亡王國賤俘，至微至陋。」
[連]
表示轉折的語氣。《史記．卷九二．淮陰侯傳》：「諸將易得耳。至如信者，國士無雙。」
[名]
1.二十四節氣之一。如：「冬至」、「夏至」。
2.二一四部首之一。 |</v>
      </c>
    </row>
    <row r="9134" spans="1:44" hidden="1">
      <c r="A9134" s="1" t="s">
        <v>17864</v>
      </c>
      <c r="C9134" s="1">
        <v>1</v>
      </c>
      <c r="D9134" s="1" t="str">
        <f>"07541"</f>
        <v>07541</v>
      </c>
      <c r="E9134" s="1" t="s">
        <v>447</v>
      </c>
      <c r="F9134" s="1">
        <v>9</v>
      </c>
      <c r="G9134" s="1">
        <v>6</v>
      </c>
      <c r="H9134" s="1">
        <v>0</v>
      </c>
      <c r="I9134" s="1" t="s">
        <v>17861</v>
      </c>
      <c r="K9134" s="1" t="str">
        <f t="shared" si="570"/>
        <v>ㄓ</v>
      </c>
      <c r="M9134" s="1" t="str">
        <f t="shared" si="573"/>
        <v/>
      </c>
      <c r="N9134" s="3" t="s">
        <v>30574</v>
      </c>
      <c r="O9134" s="3"/>
      <c r="P9134" s="1" t="s">
        <v>20</v>
      </c>
      <c r="R9134" s="1" t="s">
        <v>17862</v>
      </c>
      <c r="V9134" s="1" t="s">
        <v>17865</v>
      </c>
      <c r="AR9134" s="1" t="str">
        <f t="shared" si="572"/>
        <v>| [ㄓˋ](ㄓˋ.md) | [庢](庢.md) |  | zhì | [動]
阻礙。《說文解字．广部》：「庢，礙止也。」《文選．枚乘．七發》：「發怒庢沓，清升踰跇。」唐．李善．注：「言初發怒，礙止而涌沸。」 |</v>
      </c>
    </row>
    <row r="9135" spans="1:44" hidden="1">
      <c r="A9135" s="1" t="s">
        <v>17866</v>
      </c>
      <c r="C9135" s="1">
        <v>1</v>
      </c>
      <c r="D9135" s="1" t="str">
        <f>"07542"</f>
        <v>07542</v>
      </c>
      <c r="E9135" s="1" t="s">
        <v>5320</v>
      </c>
      <c r="F9135" s="1">
        <v>9</v>
      </c>
      <c r="G9135" s="1">
        <v>3</v>
      </c>
      <c r="H9135" s="1">
        <v>0</v>
      </c>
      <c r="I9135" s="1" t="s">
        <v>17861</v>
      </c>
      <c r="K9135" s="1" t="str">
        <f t="shared" si="570"/>
        <v>ㄓ</v>
      </c>
      <c r="M9135" s="1" t="str">
        <f t="shared" si="573"/>
        <v/>
      </c>
      <c r="N9135" s="3" t="s">
        <v>30574</v>
      </c>
      <c r="O9135" s="3"/>
      <c r="P9135" s="1" t="s">
        <v>20</v>
      </c>
      <c r="R9135" s="1" t="s">
        <v>17862</v>
      </c>
      <c r="V9135" s="1" t="s">
        <v>17867</v>
      </c>
      <c r="AR9135" s="1" t="str">
        <f t="shared" si="572"/>
        <v>| [ㄓˋ](ㄓˋ.md) | [致](致.md) |  | zhì | [動]_x000D_
1.達到。《莊子．外物》：「天地非不廣且大也，人之所用容足耳；然則廁足而墊之，致黃泉，人尚有用乎？」《後漢書．卷六〇上．馬融列傳》：「夫樂而不荒，憂而不困，先王所以平和府藏，頤養精神，致之無疆。」_x000D_
2.給予。《史記．卷四七．孔子世家》：「魯今且郊，如致膰乎大夫，則吾猶可以止。」《晉書．卷四三．列傳．山濤》：「今致錢二十萬、穀二百斛。」_x000D_
3.求取、獲得。《論語．子張》：「百工居肆以成其事，君子學以致其道。」《太平廣記．卷二三三．南方酒》引《投荒雜錄》：「因決陂水，取供賀客，南人謂之女酒。味絕美，居常不可致也。」_x000D_
4.傳達、表示。《詩經．小雅．楚茨》：「工祝致告，徂賚孝孫。」《三國志．卷二四．魏書．韓崔高孫王傳．崔林》：「仗節統事，州郡莫不奉牋致敬。」_x000D_
5.招引、延攬。《易經．需卦．九三》：「需于泥，致寇至。」《漢書．卷三九．蕭何曹參傳．蕭何》：「臣願大王王漢中，養其民以致賢人。」_x000D_
6.召集。《周禮．地官司徒．大司徒》：「若國有大故，則致萬民於王門。」《國語．越語上》：「句踐既許之，乃致其眾而誓之。」宋．蘇軾〈教戰守策〉：「秋冬之隙，致民田獵以講武。」_x000D_
7.奉獻、進獻。《史記．卷四一．越王句踐世家》：「句踐已平吳，乃以兵北渡淮，與齊、晉諸侯會於徐州，致貢於周。」《三國志．卷二〇．魏書．武文世王公傳．鄧哀王沖》：「時孫權曾致巨象，太祖欲知其斤重，訪之群下，咸莫能出其理。」_x000D_
8.歸還、退回。《公羊傳．宣公元年》：「既而曰若此乎，古之道不即人心，退而致仕。」《淮南子．氾論》：「成王既壯，周公屬籍致政，北面委質而臣事之。」_x000D_
9.極盡、窮究。《禮記．大學》：「欲誠其意者，先致其知。」《荀子．禮論》：「故君子上致其隆，下盡其殺，而中處其中，步驟馳騁厲騖不外是矣。」_x000D_
10.竭盡。《論語．學而》：「事父母能竭其力，事君能致其身。」《三國志．卷七．魏書．呂布臧洪傳．臧洪》：「凡我同盟，齊心戮力，以致臣節。」宋．司馬光〈郭子儀單騎退敵〉：「我之將士，必致死與汝戰矣。」_x000D_
11.形成、造成。《文選．卷一九．詩．韋孟．諷諫詩》：「致冰匪霜？致墜匪嫚？」李善注引晉灼曰：「致冰無不先由微霜，致墜無不先由驕慢。」《舊唐書．卷九二．列傳．韋安石》：「其婢久已轉嫁，薛氏使人捕而捶之致死。」_x000D_
[名]_x000D_
1.旨趣、意態。南朝梁．劉勰《文心雕龍．辨騷》：「〈卜居〉標放言之致，〈漁父〉寄獨往之才。」《魏書．卷九三．恩倖列傳．茹皓》：「樹草栽木，頗有野致。」清．楊亨《白門新柳補記．喜齡》：「雖雲鬢蓬鬆，而意態幽閒，大有楚楚可憐之致。」_x000D_
2.事物的道理。晉．袁宏〈三國名臣序贊〉：「所以存亡殊致，始終不同。」南朝梁．王巾〈頭陀寺碑文〉：「是故三才既辨，識妙物之功；萬象已陳，悟太極之致。」_x000D_
3.意志、趨向。三國魏．嵇康〈與山巨源絕交書〉：「故君子百行，殊塗而同致，循性而動，各附所安。」明．張介賓《景岳全書．卷三．傳忠錄下．誤謬論》：「道本一源，理無二致。自一源而萬變，則萬變仍歸於一。」_x000D_
[連]_x000D_
以至於、使得。《後漢書．卷三．肅宗孝章帝紀》：「案不以罪，迫脅無辜，致令自殺者，一歲且多於斷獄。」《三國演義》第四回：「后大罵何進無謀，引賊入京，致有今日之禍。」 |</v>
      </c>
    </row>
    <row r="9136" spans="1:44" hidden="1">
      <c r="A9136" s="1" t="s">
        <v>17868</v>
      </c>
      <c r="C9136" s="1">
        <v>1</v>
      </c>
      <c r="D9136" s="1" t="str">
        <f>"07543"</f>
        <v>07543</v>
      </c>
      <c r="E9136" s="1" t="s">
        <v>256</v>
      </c>
      <c r="F9136" s="1">
        <v>9</v>
      </c>
      <c r="G9136" s="1">
        <v>6</v>
      </c>
      <c r="H9136" s="1">
        <v>0</v>
      </c>
      <c r="I9136" s="1" t="s">
        <v>17861</v>
      </c>
      <c r="K9136" s="1" t="str">
        <f t="shared" ref="K9136:K9199" si="574">LEFT(I9136, 1)</f>
        <v>ㄓ</v>
      </c>
      <c r="M9136" s="1" t="str">
        <f t="shared" si="573"/>
        <v/>
      </c>
      <c r="N9136" s="3" t="s">
        <v>30574</v>
      </c>
      <c r="O9136" s="3"/>
      <c r="P9136" s="1" t="s">
        <v>20</v>
      </c>
      <c r="R9136" s="1" t="s">
        <v>17862</v>
      </c>
      <c r="V9136" s="1" t="s">
        <v>17869</v>
      </c>
      <c r="AR9136" s="1" t="str">
        <f t="shared" si="572"/>
        <v>| [ㄓˋ](ㄓˋ.md) | [郅](郅.md) |  | zhì | [副]
極、至、最。《史記．卷一一七．司馬相如傳》：「文王改制，爰周郅隆。」
[名]
姓。如漢代有郅奇、郅惲。 |</v>
      </c>
    </row>
    <row r="9137" spans="1:44" hidden="1">
      <c r="A9137" s="1" t="s">
        <v>17870</v>
      </c>
      <c r="C9137" s="1">
        <v>1</v>
      </c>
      <c r="D9137" s="1" t="str">
        <f>"07544"</f>
        <v>07544</v>
      </c>
      <c r="E9137" s="1" t="s">
        <v>139</v>
      </c>
      <c r="F9137" s="1">
        <v>10</v>
      </c>
      <c r="G9137" s="1">
        <v>6</v>
      </c>
      <c r="H9137" s="1">
        <v>0</v>
      </c>
      <c r="I9137" s="1" t="s">
        <v>17861</v>
      </c>
      <c r="K9137" s="1" t="str">
        <f t="shared" si="574"/>
        <v>ㄓ</v>
      </c>
      <c r="M9137" s="1" t="str">
        <f t="shared" si="573"/>
        <v/>
      </c>
      <c r="N9137" s="3" t="s">
        <v>30574</v>
      </c>
      <c r="O9137" s="3"/>
      <c r="P9137" s="1" t="s">
        <v>20</v>
      </c>
      <c r="R9137" s="1" t="s">
        <v>17862</v>
      </c>
      <c r="V9137" s="1" t="s">
        <v>17871</v>
      </c>
      <c r="AR9137" s="1" t="str">
        <f t="shared" si="572"/>
        <v>| [ㄓˋ](ㄓˋ.md) | [桎](桎.md) |  | zhì | [名]
古代的一種刑具，即腳鐐。參見「桎梏」條。
[動]
1.窒礙、阻礙。《莊子．達生》：「其靈臺一而不桎。」
2.束縛、監禁。唐．沈佺期〈被彈〉詩：「昆弟兩三人，相次俱囚桎。」 |</v>
      </c>
    </row>
    <row r="9138" spans="1:44" hidden="1">
      <c r="A9138" s="1" t="s">
        <v>17872</v>
      </c>
      <c r="C9138" s="1">
        <v>1</v>
      </c>
      <c r="D9138" s="1" t="str">
        <f>"07545"</f>
        <v>07545</v>
      </c>
      <c r="E9138" s="1" t="s">
        <v>1274</v>
      </c>
      <c r="F9138" s="1">
        <v>11</v>
      </c>
      <c r="G9138" s="1">
        <v>6</v>
      </c>
      <c r="H9138" s="1">
        <v>0</v>
      </c>
      <c r="I9138" s="1" t="s">
        <v>17861</v>
      </c>
      <c r="K9138" s="1" t="str">
        <f t="shared" si="574"/>
        <v>ㄓ</v>
      </c>
      <c r="M9138" s="1" t="str">
        <f t="shared" si="573"/>
        <v/>
      </c>
      <c r="N9138" s="3" t="s">
        <v>30574</v>
      </c>
      <c r="O9138" s="3"/>
      <c r="P9138" s="1" t="s">
        <v>20</v>
      </c>
      <c r="R9138" s="1" t="s">
        <v>17862</v>
      </c>
      <c r="V9138" s="1" t="s">
        <v>17873</v>
      </c>
      <c r="AR9138" s="1" t="str">
        <f t="shared" si="572"/>
        <v>| [ㄓˋ](ㄓˋ.md) | [窒](窒.md) |  | zhì | [名]
1.阻塞、充填。如：「窒息」。《呂氏春秋．季秋紀．季秋》：「季秋行夏令，則其國大水，冬藏殃敗，民多鼽窒。」明．張居正〈辛未會試程策〉：「下流壅則上溢，上源窒則下枯。」
2.抑制、停止。《易經．損卦．象曰》：「君子以懲忿窒慾。」 |</v>
      </c>
    </row>
    <row r="9139" spans="1:44" hidden="1">
      <c r="A9139" s="1" t="s">
        <v>5319</v>
      </c>
      <c r="C9139" s="1">
        <v>1</v>
      </c>
      <c r="D9139" s="1" t="str">
        <f>"07546"</f>
        <v>07546</v>
      </c>
      <c r="E9139" s="1" t="s">
        <v>5320</v>
      </c>
      <c r="F9139" s="1">
        <v>12</v>
      </c>
      <c r="G9139" s="1">
        <v>6</v>
      </c>
      <c r="H9139" s="1">
        <v>2</v>
      </c>
      <c r="I9139" s="1" t="s">
        <v>17861</v>
      </c>
      <c r="K9139" s="1" t="str">
        <f t="shared" si="574"/>
        <v>ㄓ</v>
      </c>
      <c r="M9139" s="1" t="str">
        <f t="shared" si="573"/>
        <v/>
      </c>
      <c r="N9139" s="3" t="s">
        <v>30574</v>
      </c>
      <c r="O9139" s="3"/>
      <c r="P9139" s="1" t="s">
        <v>20</v>
      </c>
      <c r="R9139" s="1" t="s">
        <v>17862</v>
      </c>
      <c r="V9139" s="1" t="s">
        <v>17874</v>
      </c>
      <c r="W9139" s="1" t="s">
        <v>17875</v>
      </c>
      <c r="AR9139" s="1" t="str">
        <f t="shared" si="572"/>
        <v>| [ㄓˋ](ㄓˋ.md) | [臷](臷.md) |  | zhì | [名]
古神話中的國家。《山海經．海外南經》：「臷國在其東，其為人黃，能操弓射蛇。一曰臷國在三毛東。」 |</v>
      </c>
    </row>
    <row r="9140" spans="1:44" hidden="1">
      <c r="A9140" s="1" t="s">
        <v>17876</v>
      </c>
      <c r="C9140" s="1">
        <v>1</v>
      </c>
      <c r="D9140" s="1" t="str">
        <f>"07547"</f>
        <v>07547</v>
      </c>
      <c r="E9140" s="1" t="s">
        <v>679</v>
      </c>
      <c r="F9140" s="1">
        <v>12</v>
      </c>
      <c r="G9140" s="1">
        <v>6</v>
      </c>
      <c r="H9140" s="1">
        <v>0</v>
      </c>
      <c r="I9140" s="1" t="s">
        <v>17861</v>
      </c>
      <c r="K9140" s="1" t="str">
        <f t="shared" si="574"/>
        <v>ㄓ</v>
      </c>
      <c r="M9140" s="1" t="str">
        <f t="shared" si="573"/>
        <v/>
      </c>
      <c r="N9140" s="3" t="s">
        <v>30574</v>
      </c>
      <c r="O9140" s="3"/>
      <c r="P9140" s="1" t="s">
        <v>20</v>
      </c>
      <c r="R9140" s="1" t="s">
        <v>17862</v>
      </c>
      <c r="V9140" s="1" t="s">
        <v>17877</v>
      </c>
      <c r="AR9140" s="1" t="str">
        <f t="shared" si="572"/>
        <v>| [ㄓˋ](ㄓˋ.md) | [蛭](蛭.md) |  | zhì | [名]
環節動物門蛭綱動物的總稱。體扁長柔軟，形似蚯蚓，前後各有一個吸盤，能刺入人畜肌膚中，吸吮血液。生活在淡水或溼潤處。 |</v>
      </c>
    </row>
    <row r="9141" spans="1:44" hidden="1">
      <c r="A9141" s="1" t="s">
        <v>17878</v>
      </c>
      <c r="C9141" s="1">
        <v>1</v>
      </c>
      <c r="D9141" s="1" t="str">
        <f>"07548"</f>
        <v>07548</v>
      </c>
      <c r="E9141" s="1" t="s">
        <v>71</v>
      </c>
      <c r="F9141" s="1">
        <v>13</v>
      </c>
      <c r="G9141" s="1">
        <v>6</v>
      </c>
      <c r="H9141" s="1">
        <v>0</v>
      </c>
      <c r="I9141" s="1" t="s">
        <v>17861</v>
      </c>
      <c r="K9141" s="1" t="str">
        <f t="shared" si="574"/>
        <v>ㄓ</v>
      </c>
      <c r="M9141" s="1" t="str">
        <f t="shared" si="573"/>
        <v/>
      </c>
      <c r="N9141" s="3" t="s">
        <v>30574</v>
      </c>
      <c r="O9141" s="3"/>
      <c r="P9141" s="1" t="s">
        <v>20</v>
      </c>
      <c r="R9141" s="1" t="s">
        <v>17862</v>
      </c>
      <c r="V9141" s="1" t="s">
        <v>17879</v>
      </c>
      <c r="AR9141" s="1" t="str">
        <f t="shared" si="572"/>
        <v>| [ㄓˋ](ㄓˋ.md) | [輊](輊.md) |  | zhì | [名]
車前較低的部分。《詩經．小雅．六月》：「戎車既安，如輊如軒。」 |</v>
      </c>
    </row>
    <row r="9142" spans="1:44" hidden="1">
      <c r="A9142" s="1" t="s">
        <v>17880</v>
      </c>
      <c r="C9142" s="1">
        <v>1</v>
      </c>
      <c r="D9142" s="1" t="str">
        <f>"07549"</f>
        <v>07549</v>
      </c>
      <c r="E9142" s="1" t="s">
        <v>55</v>
      </c>
      <c r="F9142" s="1">
        <v>14</v>
      </c>
      <c r="G9142" s="1">
        <v>6</v>
      </c>
      <c r="H9142" s="1">
        <v>0</v>
      </c>
      <c r="I9142" s="1" t="s">
        <v>17861</v>
      </c>
      <c r="K9142" s="1" t="str">
        <f t="shared" si="574"/>
        <v>ㄓ</v>
      </c>
      <c r="M9142" s="1" t="str">
        <f t="shared" si="573"/>
        <v/>
      </c>
      <c r="N9142" s="3" t="s">
        <v>30574</v>
      </c>
      <c r="O9142" s="3"/>
      <c r="P9142" s="1" t="s">
        <v>20</v>
      </c>
      <c r="R9142" s="1" t="s">
        <v>17862</v>
      </c>
      <c r="V9142" s="1" t="s">
        <v>17881</v>
      </c>
      <c r="AR9142" s="1" t="str">
        <f t="shared" si="572"/>
        <v>| [ㄓˋ](ㄓˋ.md) | [銍](銍.md) |  | zhì | [名]
割稻穀的鐮刀。《說文解字．金部》：「銍，穫禾短鎌也。」《漢書．卷九九．王莽傳中》：「予之西巡，必躬載銍。」
[動]
用鐮刀割。《廣韻．入聲．質韻》：「銍，刈也。」 |</v>
      </c>
    </row>
    <row r="9143" spans="1:44" hidden="1">
      <c r="A9143" s="1" t="s">
        <v>17882</v>
      </c>
      <c r="C9143" s="1">
        <v>1</v>
      </c>
      <c r="D9143" s="1" t="str">
        <f>"07550"</f>
        <v>07550</v>
      </c>
      <c r="E9143" s="1" t="s">
        <v>68</v>
      </c>
      <c r="F9143" s="1">
        <v>15</v>
      </c>
      <c r="G9143" s="1">
        <v>11</v>
      </c>
      <c r="H9143" s="1">
        <v>0</v>
      </c>
      <c r="I9143" s="1" t="s">
        <v>17861</v>
      </c>
      <c r="K9143" s="1" t="str">
        <f t="shared" si="574"/>
        <v>ㄓ</v>
      </c>
      <c r="M9143" s="1" t="str">
        <f t="shared" si="573"/>
        <v/>
      </c>
      <c r="N9143" s="3" t="s">
        <v>30574</v>
      </c>
      <c r="O9143" s="3"/>
      <c r="P9143" s="1" t="s">
        <v>20</v>
      </c>
      <c r="R9143" s="1" t="s">
        <v>17862</v>
      </c>
      <c r="V9143" s="1" t="s">
        <v>17883</v>
      </c>
      <c r="AR9143" s="1" t="str">
        <f t="shared" si="572"/>
        <v>| [ㄓˋ](ㄓˋ.md) | [膣](膣.md) |  | zhì | [名]
女子陰道的通稱。 |</v>
      </c>
    </row>
    <row r="9144" spans="1:44" hidden="1">
      <c r="A9144" s="1" t="s">
        <v>17884</v>
      </c>
      <c r="C9144" s="1">
        <v>1</v>
      </c>
      <c r="D9144" s="1" t="str">
        <f>"07551"</f>
        <v>07551</v>
      </c>
      <c r="E9144" s="1" t="s">
        <v>725</v>
      </c>
      <c r="F9144" s="1">
        <v>15</v>
      </c>
      <c r="G9144" s="1">
        <v>9</v>
      </c>
      <c r="H9144" s="1">
        <v>0</v>
      </c>
      <c r="I9144" s="1" t="s">
        <v>17861</v>
      </c>
      <c r="K9144" s="1" t="str">
        <f t="shared" si="574"/>
        <v>ㄓ</v>
      </c>
      <c r="M9144" s="1" t="str">
        <f t="shared" si="573"/>
        <v/>
      </c>
      <c r="N9144" s="3" t="s">
        <v>30574</v>
      </c>
      <c r="O9144" s="3"/>
      <c r="P9144" s="1" t="s">
        <v>20</v>
      </c>
      <c r="R9144" s="1" t="s">
        <v>17862</v>
      </c>
      <c r="V9144" s="1" t="s">
        <v>17885</v>
      </c>
      <c r="AR9144" s="1" t="str">
        <f t="shared" si="572"/>
        <v>| [ㄓˋ](ㄓˋ.md) | [緻](緻.md) |  | zhì | [名]
細密的絲帛。清．王念孫《廣雅疏證．卷七下．釋器》：「緻，練也。」疏證：「緻，一名細緻。《釋名》云：『細緻，染縑為五色，細且緻，不漏水也。』」
[形]
1.精細、細密。《新唐書．卷二〇三．文藝傳下．崔元翰傳》：「其好學老不倦，用思精緻，馳騁班固、蔡邕間以自名家。」
2.美好。《紅樓夢》第八回：「賈母見秦鍾形容標緻，舉止溫柔。」 |</v>
      </c>
    </row>
    <row r="9145" spans="1:44" hidden="1">
      <c r="A9145" s="1" t="s">
        <v>6868</v>
      </c>
      <c r="C9145" s="1">
        <v>1</v>
      </c>
      <c r="D9145" s="1" t="str">
        <f>"07552"</f>
        <v>07552</v>
      </c>
      <c r="E9145" s="1" t="s">
        <v>691</v>
      </c>
      <c r="F9145" s="1">
        <v>6</v>
      </c>
      <c r="G9145" s="1">
        <v>3</v>
      </c>
      <c r="H9145" s="1">
        <v>2</v>
      </c>
      <c r="I9145" s="1" t="s">
        <v>17861</v>
      </c>
      <c r="K9145" s="1" t="str">
        <f t="shared" si="574"/>
        <v>ㄓ</v>
      </c>
      <c r="M9145" s="1" t="str">
        <f t="shared" si="573"/>
        <v/>
      </c>
      <c r="N9145" s="3" t="s">
        <v>30574</v>
      </c>
      <c r="O9145" s="3"/>
      <c r="P9145" s="1" t="s">
        <v>20</v>
      </c>
      <c r="R9145" s="1" t="s">
        <v>17862</v>
      </c>
      <c r="V9145" s="1" t="s">
        <v>17886</v>
      </c>
      <c r="W9145" s="1" t="s">
        <v>17887</v>
      </c>
      <c r="AR9145" s="1" t="str">
        <f t="shared" si="572"/>
        <v>| [ㄓˋ](ㄓˋ.md) | [阤](阤.md) |  | zhì | [動]
崩塌、毀壞。《漢書．卷六五．東方朔傳》：「宗廟崩阤，國家為虛。」唐．顏師古．注：「阤，穨也。」《文選．張衡．西京賦》：「既定且寧，焉知傾阤。」 |</v>
      </c>
    </row>
    <row r="9146" spans="1:44" hidden="1">
      <c r="A9146" s="1" t="s">
        <v>17888</v>
      </c>
      <c r="C9146" s="1">
        <v>1</v>
      </c>
      <c r="D9146" s="1" t="str">
        <f>"07553"</f>
        <v>07553</v>
      </c>
      <c r="E9146" s="1" t="s">
        <v>250</v>
      </c>
      <c r="F9146" s="1">
        <v>7</v>
      </c>
      <c r="G9146" s="1">
        <v>4</v>
      </c>
      <c r="H9146" s="1">
        <v>0</v>
      </c>
      <c r="I9146" s="1" t="s">
        <v>17861</v>
      </c>
      <c r="K9146" s="1" t="str">
        <f t="shared" si="574"/>
        <v>ㄓ</v>
      </c>
      <c r="M9146" s="1" t="str">
        <f t="shared" si="573"/>
        <v/>
      </c>
      <c r="N9146" s="3" t="s">
        <v>30574</v>
      </c>
      <c r="O9146" s="3"/>
      <c r="P9146" s="1" t="s">
        <v>20</v>
      </c>
      <c r="R9146" s="1" t="s">
        <v>17862</v>
      </c>
      <c r="V9146" s="1" t="s">
        <v>17889</v>
      </c>
      <c r="AR9146" s="1" t="str">
        <f t="shared" si="572"/>
        <v>| [ㄓˋ](ㄓˋ.md) | [忮](忮.md) |  | zhì | [動]
1.嫉妒。《詩經．邶風．雄雉》：「不忮不求，何用不臧。」
2.違逆。《莊子．天下》：「不累於俗，不飾於物，不苟於人，不忮於眾。」 |</v>
      </c>
    </row>
    <row r="9147" spans="1:44" hidden="1">
      <c r="A9147" s="1" t="s">
        <v>17890</v>
      </c>
      <c r="C9147" s="1">
        <v>1</v>
      </c>
      <c r="D9147" s="1" t="str">
        <f>"07554"</f>
        <v>07554</v>
      </c>
      <c r="E9147" s="1" t="s">
        <v>250</v>
      </c>
      <c r="F9147" s="1">
        <v>7</v>
      </c>
      <c r="G9147" s="1">
        <v>3</v>
      </c>
      <c r="H9147" s="1">
        <v>0</v>
      </c>
      <c r="I9147" s="1" t="s">
        <v>17861</v>
      </c>
      <c r="K9147" s="1" t="str">
        <f t="shared" si="574"/>
        <v>ㄓ</v>
      </c>
      <c r="M9147" s="1" t="str">
        <f t="shared" si="573"/>
        <v/>
      </c>
      <c r="N9147" s="3" t="s">
        <v>30574</v>
      </c>
      <c r="O9147" s="3"/>
      <c r="P9147" s="1" t="s">
        <v>20</v>
      </c>
      <c r="R9147" s="1" t="s">
        <v>17862</v>
      </c>
      <c r="V9147" s="1" t="s">
        <v>17891</v>
      </c>
      <c r="AR9147" s="1" t="str">
        <f t="shared" si="572"/>
        <v>| [ㄓˋ](ㄓˋ.md) | [志](志.md) |  | zhì | [名]
1.意向、抱負、決心。如：「意志」、「志同道合」。《論語．公冶長》：「盍各言爾志。」
2.記錄事物的書。如：「府志」、「三國志」。《周禮．春官．小史》：「小史掌邦國之志。」
3.姓。如元代有志能。
[動]
1.記載、記錄。通「誌」。《周禮．春官．保章氏》：「掌天星，以志日月星辰之變動。」
2.牢記。如：「永志不忘」。《荀子．子道》：「孔子曰：『由志之，吾語汝。』」 |</v>
      </c>
    </row>
    <row r="9148" spans="1:44" hidden="1">
      <c r="A9148" s="1" t="s">
        <v>17892</v>
      </c>
      <c r="C9148" s="1">
        <v>1</v>
      </c>
      <c r="D9148" s="1" t="str">
        <f>"07555"</f>
        <v>07555</v>
      </c>
      <c r="E9148" s="1" t="s">
        <v>40</v>
      </c>
      <c r="F9148" s="1">
        <v>12</v>
      </c>
      <c r="G9148" s="1">
        <v>7</v>
      </c>
      <c r="H9148" s="1">
        <v>0</v>
      </c>
      <c r="I9148" s="1" t="s">
        <v>17861</v>
      </c>
      <c r="K9148" s="1" t="str">
        <f t="shared" si="574"/>
        <v>ㄓ</v>
      </c>
      <c r="M9148" s="1" t="str">
        <f t="shared" si="573"/>
        <v/>
      </c>
      <c r="N9148" s="3" t="s">
        <v>30574</v>
      </c>
      <c r="O9148" s="3"/>
      <c r="P9148" s="1" t="s">
        <v>20</v>
      </c>
      <c r="R9148" s="1" t="s">
        <v>17862</v>
      </c>
      <c r="V9148" s="1" t="s">
        <v>17893</v>
      </c>
      <c r="AR9148" s="1" t="str">
        <f t="shared" si="572"/>
        <v>| [ㄓˋ](ㄓˋ.md) | [痣](痣.md) |  | zhì | 皮膚上所自發產生的局部性斑點或突起，可能是色素細胞或血管性、表皮性或其他皮膚組織的增生。 |</v>
      </c>
    </row>
    <row r="9149" spans="1:44" hidden="1">
      <c r="A9149" s="1" t="s">
        <v>17894</v>
      </c>
      <c r="C9149" s="1">
        <v>1</v>
      </c>
      <c r="D9149" s="1" t="str">
        <f>"07556"</f>
        <v>07556</v>
      </c>
      <c r="E9149" s="1" t="s">
        <v>331</v>
      </c>
      <c r="F9149" s="1">
        <v>14</v>
      </c>
      <c r="G9149" s="1">
        <v>7</v>
      </c>
      <c r="H9149" s="1">
        <v>0</v>
      </c>
      <c r="I9149" s="1" t="s">
        <v>17861</v>
      </c>
      <c r="K9149" s="1" t="str">
        <f t="shared" si="574"/>
        <v>ㄓ</v>
      </c>
      <c r="M9149" s="1" t="str">
        <f t="shared" si="573"/>
        <v/>
      </c>
      <c r="N9149" s="3" t="s">
        <v>30574</v>
      </c>
      <c r="O9149" s="3"/>
      <c r="P9149" s="1" t="s">
        <v>20</v>
      </c>
      <c r="R9149" s="1" t="s">
        <v>17862</v>
      </c>
      <c r="V9149" s="1" t="s">
        <v>17895</v>
      </c>
      <c r="AR9149" s="1" t="str">
        <f t="shared" si="572"/>
        <v>| [ㄓˋ](ㄓˋ.md) | [誌](誌.md) |  | zhì | [動]
1.記住、記憶。如：「永誌不忘」。《新唐書．卷一〇二．褚亮傳》：「亮少警敏，博見圖史，一經目輒誌于心。」
2.記錄、記載。《列子．楊朱》：「太古之事滅矣，孰誌之哉？」《聊齋志異．卷九．邵臨淄》：「邑有賢宰，里無悍婦矣。誌之，以補循吏傳之所不及者。」
3.表示。如：「誌哀」、「誌慶」。
[名]
1.文體名。一種記事文。如：「碑誌」、「讀書誌」。
2.標識、記號。《南齊書．卷五五．孝義傳．韓係伯傳》：「襄陽土俗，鄰居種桑樹於界上為誌。」
3.皮膚上所生的微凸小點。通「痣」。《南齊書．卷四二．江祐傳》：「高宗胛上有赤誌。」唐．段成式《酉陽雜俎．卷二．玉格》：「額三理，腹三誌。」 |</v>
      </c>
    </row>
    <row r="9150" spans="1:44" hidden="1">
      <c r="A9150" s="1" t="s">
        <v>17896</v>
      </c>
      <c r="C9150" s="1">
        <v>1</v>
      </c>
      <c r="D9150" s="1" t="str">
        <f>"07557"</f>
        <v>07557</v>
      </c>
      <c r="E9150" s="1" t="s">
        <v>537</v>
      </c>
      <c r="F9150" s="1">
        <v>7</v>
      </c>
      <c r="G9150" s="1">
        <v>0</v>
      </c>
      <c r="H9150" s="1">
        <v>0</v>
      </c>
      <c r="I9150" s="1" t="s">
        <v>17861</v>
      </c>
      <c r="K9150" s="1" t="str">
        <f t="shared" si="574"/>
        <v>ㄓ</v>
      </c>
      <c r="M9150" s="1" t="str">
        <f t="shared" si="573"/>
        <v/>
      </c>
      <c r="N9150" s="3" t="s">
        <v>30574</v>
      </c>
      <c r="O9150" s="3"/>
      <c r="P9150" s="1" t="s">
        <v>20</v>
      </c>
      <c r="R9150" s="1" t="s">
        <v>17862</v>
      </c>
      <c r="V9150" s="1" t="s">
        <v>17897</v>
      </c>
      <c r="AR9150" s="1" t="str">
        <f t="shared" si="572"/>
        <v>| [ㄓˋ](ㄓˋ.md) | [豸](豸.md) |  | zhì | [名]
1.爬蟲類的總稱。《說文解字．豸部》：「豸，獸長脊，行豸豸然，欲有所司殺形。」
2.參見「獬豸」條。
3.辦法。《左傳．宣公十七年》：「使郤逞其志，庶有豸乎！」
4.二一四部首之一。 |</v>
      </c>
    </row>
    <row r="9151" spans="1:44" hidden="1">
      <c r="A9151" s="1" t="s">
        <v>17898</v>
      </c>
      <c r="C9151" s="1">
        <v>1</v>
      </c>
      <c r="D9151" s="1" t="str">
        <f>"07558"</f>
        <v>07558</v>
      </c>
      <c r="E9151" s="1" t="s">
        <v>129</v>
      </c>
      <c r="F9151" s="1">
        <v>8</v>
      </c>
      <c r="G9151" s="1">
        <v>5</v>
      </c>
      <c r="H9151" s="1">
        <v>1</v>
      </c>
      <c r="I9151" s="1" t="s">
        <v>17861</v>
      </c>
      <c r="K9151" s="1" t="str">
        <f t="shared" si="574"/>
        <v>ㄓ</v>
      </c>
      <c r="M9151" s="1" t="str">
        <f t="shared" si="573"/>
        <v/>
      </c>
      <c r="N9151" s="3" t="s">
        <v>30574</v>
      </c>
      <c r="O9151" s="3"/>
      <c r="P9151" s="1" t="s">
        <v>20</v>
      </c>
      <c r="R9151" s="1" t="s">
        <v>17862</v>
      </c>
      <c r="V9151" s="1" t="s">
        <v>17899</v>
      </c>
      <c r="W9151" s="1" t="s">
        <v>17900</v>
      </c>
      <c r="AR9151" s="1" t="str">
        <f t="shared" si="572"/>
        <v>| [ㄓˋ](ㄓˋ.md) | [治](治.md) |  | zhì | [動]_x000D_
1.管理、統理。如：「統治」、「治理」。《易經．繫辭下》：「上古結繩而治，後世聖人易之以書契。」《禮記．大學》：「古之欲明明德於天下者，先治其國。」_x000D_
2.診療。如：「治療」、「治癒」、「醫治」。《韓非子．喻老》：「故良醫之治病也，攻之於腠理。」《老殘遊記》第一回：「來了一個搖串鈴的道士，說是曾受異人傳授，能治百病。」_x000D_
3.整理、修建。如：「治水」、「整治」。《孟子．告子下》：「丹之治水也，愈於禹。」《漢書．卷六九．趙充國辛慶忌傳．趙充國》：「以閒暇時下所伐材，繕治郵亭。」_x000D_
4.修養、修練。《荀子．解蔽》：「仁者之思也恭，聖人之思也樂，此治心之道也。」《淮南子．本經》：「戴圓履方，抱表懷繩，內能治身，外能得人。」_x000D_
5.研究。如：「治學」。《漢書．卷四九．爰盎鼂錯傳．鼂錯》：「齊有伏生，故秦博士，治《尚書》。」_x000D_
6.懲罰。如：「治罪」、「懲治」。三國蜀．諸葛亮〈出師表〉：「願陛下託臣以討賊興復之效，不效，則治臣之罪。」_x000D_
7.經營。如：「治產」。《三國志．卷三五．蜀書．諸葛亮傳》：「隨身衣食，悉仰於官，不別治生，以長尺寸。」_x000D_
[名]_x000D_
指王都或地方官署所在地。如:「縣治」。《梁書．卷六．敬帝本紀》：「庚寅，齊軍水步入丹陽縣。丙申，至秣陵故治。」_x000D_
[形]_x000D_
太平、安定。與「亂」相對。《戰國策．秦策ㄧ》：「以亂攻治者亡，以邪攻正者亡，以逆攻順者亡。」《三國演義》第一回：「子治世之能臣，亂世之奸雄也。」 |</v>
      </c>
    </row>
    <row r="9152" spans="1:44" hidden="1">
      <c r="A9152" s="1" t="s">
        <v>17901</v>
      </c>
      <c r="C9152" s="1">
        <v>1</v>
      </c>
      <c r="D9152" s="1" t="str">
        <f>"07559"</f>
        <v>07559</v>
      </c>
      <c r="E9152" s="1" t="s">
        <v>222</v>
      </c>
      <c r="F9152" s="1">
        <v>8</v>
      </c>
      <c r="G9152" s="1">
        <v>5</v>
      </c>
      <c r="H9152" s="1">
        <v>0</v>
      </c>
      <c r="I9152" s="1" t="s">
        <v>17861</v>
      </c>
      <c r="K9152" s="1" t="str">
        <f t="shared" si="574"/>
        <v>ㄓ</v>
      </c>
      <c r="M9152" s="1" t="str">
        <f t="shared" si="573"/>
        <v/>
      </c>
      <c r="N9152" s="3" t="s">
        <v>30574</v>
      </c>
      <c r="O9152" s="3"/>
      <c r="P9152" s="1" t="s">
        <v>20</v>
      </c>
      <c r="R9152" s="1" t="s">
        <v>17862</v>
      </c>
      <c r="V9152" s="1" t="s">
        <v>17902</v>
      </c>
      <c r="AR9152" s="1" t="str">
        <f t="shared" si="572"/>
        <v>| [ㄓˋ](ㄓˋ.md) | [帙](帙.md) |  | zhì | [名]
1.書、畫的封套。南朝梁．蕭統〈文選序〉：「飛文染翰，則卷盈乎緗帙。」唐．王維〈濟州過趙叟家宴〉詩：「荷鋤修藥圃，散帙曝農書。」
2.套裝書。唐．韓愈〈張中丞傳後敘〉：「嵩驚，以為巡偶熟此卷，因亂抽他帙以試，無不盡然。」
3.量詞。計算函套或包裹書籍的單位。《南史．卷二二．王曇首傳》：「何承天禮論三百卷，儉抄為八帙，又別抄條目為十三卷。」《新唐書．卷八四．李密傳》：「以蒲韉乘牛，挂漢書一帙角上，行且讀。」 |</v>
      </c>
    </row>
    <row r="9153" spans="1:44" hidden="1">
      <c r="A9153" s="1" t="s">
        <v>17903</v>
      </c>
      <c r="C9153" s="1">
        <v>1</v>
      </c>
      <c r="D9153" s="1" t="str">
        <f>"07560"</f>
        <v>07560</v>
      </c>
      <c r="E9153" s="1" t="s">
        <v>429</v>
      </c>
      <c r="F9153" s="1">
        <v>10</v>
      </c>
      <c r="G9153" s="1">
        <v>5</v>
      </c>
      <c r="H9153" s="1">
        <v>0</v>
      </c>
      <c r="I9153" s="1" t="s">
        <v>17861</v>
      </c>
      <c r="K9153" s="1" t="str">
        <f t="shared" si="574"/>
        <v>ㄓ</v>
      </c>
      <c r="M9153" s="1" t="str">
        <f t="shared" si="573"/>
        <v/>
      </c>
      <c r="N9153" s="3" t="s">
        <v>30574</v>
      </c>
      <c r="O9153" s="3"/>
      <c r="P9153" s="1" t="s">
        <v>20</v>
      </c>
      <c r="R9153" s="1" t="s">
        <v>17862</v>
      </c>
      <c r="V9153" s="1" t="s">
        <v>17904</v>
      </c>
      <c r="AR9153" s="1" t="str">
        <f t="shared" si="572"/>
        <v>| [ㄓˋ](ㄓˋ.md) | [秩](秩.md) |  | zhì | [名]
1.官吏的職位、品級。《管子．山至數》：「去其都秩，與其縣秩。」《史記．卷五．秦本紀》：「遂復三人官秩如故。」
2.俸祿。《左傳．莊公十九年》：「王奪子禽、祝跪與詹父田，而收膳夫之秩。」唐．韓愈〈爭臣論〉：「問其祿，則曰下大夫之秩也。」
3.十年為一秩。如：「八秩誕辰」。唐．白居易〈思舊〉詩：「已開第七秩，飽食仍安眠。」宋．蘇軾〈無題〉詩：「六秩行當啟，區中緣更疏。」
[形]
整齊有條理。《明史．卷一三八．陳修傳》：「皆精心籌畫，銓法秩然。」 |</v>
      </c>
    </row>
    <row r="9154" spans="1:44" hidden="1">
      <c r="A9154" s="1" t="s">
        <v>17905</v>
      </c>
      <c r="C9154" s="1">
        <v>1</v>
      </c>
      <c r="D9154" s="1" t="str">
        <f>"07561"</f>
        <v>07561</v>
      </c>
      <c r="E9154" s="1" t="s">
        <v>340</v>
      </c>
      <c r="F9154" s="1">
        <v>11</v>
      </c>
      <c r="G9154" s="1">
        <v>5</v>
      </c>
      <c r="H9154" s="1">
        <v>0</v>
      </c>
      <c r="I9154" s="1" t="s">
        <v>17861</v>
      </c>
      <c r="K9154" s="1" t="str">
        <f t="shared" si="574"/>
        <v>ㄓ</v>
      </c>
      <c r="M9154" s="1" t="str">
        <f t="shared" si="573"/>
        <v/>
      </c>
      <c r="N9154" s="3" t="s">
        <v>30574</v>
      </c>
      <c r="O9154" s="3"/>
      <c r="P9154" s="1" t="s">
        <v>20</v>
      </c>
      <c r="R9154" s="1" t="s">
        <v>17862</v>
      </c>
      <c r="V9154" s="1" t="s">
        <v>17906</v>
      </c>
      <c r="AR9154" s="1" t="str">
        <f t="shared" si="572"/>
        <v>| [ㄓˋ](ㄓˋ.md) | [袠](袠.md) |  | zhì | [名]
1.書的封套。《後漢書．卷三〇上．楊厚傳》：「吾綈袠中，有先祖所傳祕記，為漢家用，爾其修之。」
2.十年。通「秩」。宋．王楙《野客叢書．卷一二．開八袠》：「以十年為一袠，其說見白樂天集中。」 |</v>
      </c>
    </row>
    <row r="9155" spans="1:44" hidden="1">
      <c r="A9155" s="1" t="s">
        <v>17907</v>
      </c>
      <c r="C9155" s="1">
        <v>1</v>
      </c>
      <c r="D9155" s="1" t="str">
        <f>"07562"</f>
        <v>07562</v>
      </c>
      <c r="E9155" s="1" t="s">
        <v>340</v>
      </c>
      <c r="F9155" s="1">
        <v>11</v>
      </c>
      <c r="G9155" s="1">
        <v>5</v>
      </c>
      <c r="H9155" s="1">
        <v>0</v>
      </c>
      <c r="I9155" s="1" t="s">
        <v>17861</v>
      </c>
      <c r="K9155" s="1" t="str">
        <f t="shared" si="574"/>
        <v>ㄓ</v>
      </c>
      <c r="M9155" s="1" t="str">
        <f t="shared" si="573"/>
        <v/>
      </c>
      <c r="N9155" s="3" t="s">
        <v>30574</v>
      </c>
      <c r="O9155" s="3"/>
      <c r="P9155" s="1" t="s">
        <v>20</v>
      </c>
      <c r="R9155" s="1" t="s">
        <v>17862</v>
      </c>
      <c r="V9155" s="1" t="s">
        <v>17908</v>
      </c>
      <c r="AR9155" s="1" t="str">
        <f t="shared" ref="AR9155:AR9218" si="575">"| ["&amp;I9155&amp;"]("&amp;I9155&amp;".md) | ["&amp;A9155&amp;"]("&amp;A9155&amp;".md) | "&amp;" | "&amp;R9155&amp;" | "&amp;V9155&amp;" |"</f>
        <v>| [ㄓˋ](ㄓˋ.md) | [袟](袟.md) |  | zhì | [名]
1.劍匣。《集韻．入聲．質韻》：「袟，劍衣也。」
2.量詞。古代計算函套或包裹書籍的單位。《資治通鑑．卷八九．晉紀十一．愍帝建興二年》：「惟裴憲、荀綽止有書百餘袟，鹽米各十餘斛而已。」 |</v>
      </c>
    </row>
    <row r="9156" spans="1:44" hidden="1">
      <c r="A9156" s="1" t="s">
        <v>17909</v>
      </c>
      <c r="C9156" s="1">
        <v>1</v>
      </c>
      <c r="D9156" s="1" t="str">
        <f>"07563"</f>
        <v>07563</v>
      </c>
      <c r="E9156" s="1" t="s">
        <v>725</v>
      </c>
      <c r="F9156" s="1">
        <v>11</v>
      </c>
      <c r="G9156" s="1">
        <v>5</v>
      </c>
      <c r="H9156" s="1">
        <v>0</v>
      </c>
      <c r="I9156" s="1" t="s">
        <v>17861</v>
      </c>
      <c r="K9156" s="1" t="str">
        <f t="shared" si="574"/>
        <v>ㄓ</v>
      </c>
      <c r="M9156" s="1" t="str">
        <f t="shared" si="573"/>
        <v/>
      </c>
      <c r="N9156" s="3" t="s">
        <v>30574</v>
      </c>
      <c r="O9156" s="3"/>
      <c r="P9156" s="1" t="s">
        <v>20</v>
      </c>
      <c r="R9156" s="1" t="s">
        <v>17862</v>
      </c>
      <c r="V9156" s="1" t="s">
        <v>17910</v>
      </c>
      <c r="AR9156" s="1" t="str">
        <f t="shared" si="575"/>
        <v>| [ㄓˋ](ㄓˋ.md) | [紩](紩.md) |  | zhì | [動]
縫。漢．揚雄《方言》卷四：「以布而無緣，敝而紩之，謂之襤褸。」 |</v>
      </c>
    </row>
    <row r="9157" spans="1:44" hidden="1">
      <c r="A9157" s="1" t="s">
        <v>17911</v>
      </c>
      <c r="C9157" s="1">
        <v>1</v>
      </c>
      <c r="D9157" s="1" t="str">
        <f>"07564"</f>
        <v>07564</v>
      </c>
      <c r="E9157" s="1" t="s">
        <v>185</v>
      </c>
      <c r="F9157" s="1">
        <v>8</v>
      </c>
      <c r="G9157" s="1">
        <v>6</v>
      </c>
      <c r="H9157" s="1">
        <v>0</v>
      </c>
      <c r="I9157" s="1" t="s">
        <v>17861</v>
      </c>
      <c r="K9157" s="1" t="str">
        <f t="shared" si="574"/>
        <v>ㄓ</v>
      </c>
      <c r="M9157" s="1" t="str">
        <f t="shared" ref="M9157:M9220" si="576">MID(I9157, 3, 1)</f>
        <v/>
      </c>
      <c r="N9157" s="3" t="s">
        <v>30574</v>
      </c>
      <c r="O9157" s="3"/>
      <c r="P9157" s="1" t="s">
        <v>20</v>
      </c>
      <c r="R9157" s="1" t="s">
        <v>17862</v>
      </c>
      <c r="V9157" s="1" t="s">
        <v>17912</v>
      </c>
      <c r="AR9157" s="1" t="str">
        <f t="shared" si="575"/>
        <v>| [ㄓˋ](ㄓˋ.md) | [制](制.md) |  | zhì | [名]
1.法度、規定。如：「法制」、「制度」。《禮記．曲禮上》：「越國而問焉，必告之以其制。」
2.父母喪事。如：「守制」、「父制」、「母制」。《紅樓夢》第一一四回：「因在制中，不便行禮。」
[動]
1.製造。同「製」。如：「制作」。《詩經．豳風．東山》：「制彼裳衣，勿士行枚。」
2.訂定、規劃。如：「制禮作樂」、「因地制宜」。
3.管束、阻止。如：「管制」、「限制」。《淮南子．脩務》：「夫馬之為草駒之時，跳躍揚蹄翹尾而走，人不能制。」
4.決斷、裁決。如：「裁制」。《史記．卷六．秦始皇本紀》：「制曰：『可。』」
5.切割。《淮南子．主術》：「賢主之用人也，猶巧工之制木也。」 |</v>
      </c>
    </row>
    <row r="9158" spans="1:44" hidden="1">
      <c r="A9158" s="1" t="s">
        <v>17913</v>
      </c>
      <c r="C9158" s="1">
        <v>1</v>
      </c>
      <c r="D9158" s="1" t="str">
        <f>"07565"</f>
        <v>07565</v>
      </c>
      <c r="E9158" s="1" t="s">
        <v>198</v>
      </c>
      <c r="F9158" s="1">
        <v>11</v>
      </c>
      <c r="G9158" s="1">
        <v>8</v>
      </c>
      <c r="H9158" s="1">
        <v>0</v>
      </c>
      <c r="I9158" s="1" t="s">
        <v>17861</v>
      </c>
      <c r="K9158" s="1" t="str">
        <f t="shared" si="574"/>
        <v>ㄓ</v>
      </c>
      <c r="M9158" s="1" t="str">
        <f t="shared" si="576"/>
        <v/>
      </c>
      <c r="N9158" s="3" t="s">
        <v>30574</v>
      </c>
      <c r="O9158" s="3"/>
      <c r="P9158" s="1" t="s">
        <v>20</v>
      </c>
      <c r="R9158" s="1" t="s">
        <v>17862</v>
      </c>
      <c r="V9158" s="1" t="s">
        <v>17914</v>
      </c>
      <c r="AR9158" s="1" t="str">
        <f t="shared" si="575"/>
        <v>| [ㄓˋ](ㄓˋ.md) | [猘](猘.md) |  | zhì | [形]
發狂的。《淮南子．氾論》：「畏罪而恐誅，則因猘狗之驚，以殺子陽。」
[名]
凶狠、蠻橫。元．郝經〈青州山行〉：「初從霸國後，往往逞兇猘。」 |</v>
      </c>
    </row>
    <row r="9159" spans="1:44" hidden="1">
      <c r="A9159" s="1" t="s">
        <v>17915</v>
      </c>
      <c r="C9159" s="1">
        <v>1</v>
      </c>
      <c r="D9159" s="1" t="str">
        <f>"07566"</f>
        <v>07566</v>
      </c>
      <c r="E9159" s="1" t="s">
        <v>340</v>
      </c>
      <c r="F9159" s="1">
        <v>14</v>
      </c>
      <c r="G9159" s="1">
        <v>8</v>
      </c>
      <c r="H9159" s="1">
        <v>0</v>
      </c>
      <c r="I9159" s="1" t="s">
        <v>17861</v>
      </c>
      <c r="K9159" s="1" t="str">
        <f t="shared" si="574"/>
        <v>ㄓ</v>
      </c>
      <c r="M9159" s="1" t="str">
        <f t="shared" si="576"/>
        <v/>
      </c>
      <c r="N9159" s="3" t="s">
        <v>30574</v>
      </c>
      <c r="O9159" s="3"/>
      <c r="P9159" s="1" t="s">
        <v>20</v>
      </c>
      <c r="R9159" s="1" t="s">
        <v>17862</v>
      </c>
      <c r="V9159" s="1" t="s">
        <v>17916</v>
      </c>
      <c r="AR9159" s="1" t="str">
        <f t="shared" si="575"/>
        <v>| [ㄓˋ](ㄓˋ.md) | [製](製.md) |  | zhì | [動]
1.剪裁。《楚辭．屈原．離騷》：「製芰荷以為衣兮，集芙蓉以為裳。」《後漢書．卷八六．南蠻西南夷傳．南蠻傳》：「好五色衣服，製裁皆有尾形。」
2.造作。《後漢書．卷三二．樊宏傳》：「五穀不登，謂之大侵。大侵之禮，百官備而不製，群神禱而不祠。」《新唐書．卷一六三．柳公綽傳》：「置權量於東西市，使貿易用之，禁私製者。」
[名]
1.詩文、作品。唐．杜甫〈八哀詩．贈祕書監江夏李公邕〉詩：「聲華當健筆，灑落富清製。」
2.法式、樣式。《漢書．卷四三．叔孫通傳》：「通儒服，漢王憎之，乃變其服，服短衣，楚製。漢王喜。」 |</v>
      </c>
    </row>
    <row r="9160" spans="1:44" hidden="1">
      <c r="A9160" s="1" t="s">
        <v>17731</v>
      </c>
      <c r="C9160" s="1">
        <v>1</v>
      </c>
      <c r="D9160" s="1" t="str">
        <f>"07567"</f>
        <v>07567</v>
      </c>
      <c r="E9160" s="1" t="s">
        <v>122</v>
      </c>
      <c r="F9160" s="1">
        <v>8</v>
      </c>
      <c r="G9160" s="1">
        <v>3</v>
      </c>
      <c r="H9160" s="1">
        <v>2</v>
      </c>
      <c r="I9160" s="1" t="s">
        <v>17861</v>
      </c>
      <c r="K9160" s="1" t="str">
        <f t="shared" si="574"/>
        <v>ㄓ</v>
      </c>
      <c r="M9160" s="1" t="str">
        <f t="shared" si="576"/>
        <v/>
      </c>
      <c r="N9160" s="3" t="s">
        <v>30574</v>
      </c>
      <c r="O9160" s="3"/>
      <c r="P9160" s="1" t="s">
        <v>20</v>
      </c>
      <c r="R9160" s="1" t="s">
        <v>17862</v>
      </c>
      <c r="V9160" s="1" t="s">
        <v>17917</v>
      </c>
      <c r="W9160" s="1" t="s">
        <v>17918</v>
      </c>
      <c r="AR9160" s="1" t="str">
        <f t="shared" si="575"/>
        <v>| [ㄓˋ](ㄓˋ.md) | [知](知.md) |  | zhì | [名]
1.智慧。同「智」。《論語．里仁》：「里仁為美，擇不處仁焉得知？」《禮記．中庸》：「知仁勇三者，天下之達德也。」
2.姓。如春秋時晉國有知罃。 |</v>
      </c>
    </row>
    <row r="9161" spans="1:44" hidden="1">
      <c r="A9161" s="1" t="s">
        <v>17919</v>
      </c>
      <c r="C9161" s="1">
        <v>1</v>
      </c>
      <c r="D9161" s="1" t="str">
        <f>"07568"</f>
        <v>07568</v>
      </c>
      <c r="E9161" s="1" t="s">
        <v>646</v>
      </c>
      <c r="F9161" s="1">
        <v>12</v>
      </c>
      <c r="G9161" s="1">
        <v>8</v>
      </c>
      <c r="H9161" s="1">
        <v>0</v>
      </c>
      <c r="I9161" s="1" t="s">
        <v>17861</v>
      </c>
      <c r="K9161" s="1" t="str">
        <f t="shared" si="574"/>
        <v>ㄓ</v>
      </c>
      <c r="M9161" s="1" t="str">
        <f t="shared" si="576"/>
        <v/>
      </c>
      <c r="N9161" s="3" t="s">
        <v>30574</v>
      </c>
      <c r="O9161" s="3"/>
      <c r="P9161" s="1" t="s">
        <v>20</v>
      </c>
      <c r="R9161" s="1" t="s">
        <v>17862</v>
      </c>
      <c r="V9161" s="1" t="s">
        <v>17920</v>
      </c>
      <c r="AR9161" s="1" t="str">
        <f t="shared" si="575"/>
        <v>| [ㄓˋ](ㄓˋ.md) | [智](智.md) |  | zhì | [名]
1.聰明、識略。如：「才智」、「足智多謀」、「大智若愚」。《孟子．公孫丑上》：「是非之心，智之端也。」《史記．卷七．項羽本紀》：「吾寧鬥智，不能鬥力。」
2.姓。如宋代有智浹。
[形]
聰明的、深明事理的。如：「智者千慮，必有一失。」 |</v>
      </c>
    </row>
    <row r="9162" spans="1:44" hidden="1">
      <c r="A9162" s="1" t="s">
        <v>17921</v>
      </c>
      <c r="C9162" s="1">
        <v>1</v>
      </c>
      <c r="D9162" s="1" t="str">
        <f>"07569"</f>
        <v>07569</v>
      </c>
      <c r="E9162" s="1" t="s">
        <v>336</v>
      </c>
      <c r="F9162" s="1">
        <v>8</v>
      </c>
      <c r="G9162" s="1">
        <v>4</v>
      </c>
      <c r="H9162" s="1">
        <v>0</v>
      </c>
      <c r="I9162" s="1" t="s">
        <v>17861</v>
      </c>
      <c r="K9162" s="1" t="str">
        <f t="shared" si="574"/>
        <v>ㄓ</v>
      </c>
      <c r="M9162" s="1" t="str">
        <f t="shared" si="576"/>
        <v/>
      </c>
      <c r="N9162" s="3" t="s">
        <v>30574</v>
      </c>
      <c r="O9162" s="3"/>
      <c r="P9162" s="1" t="s">
        <v>20</v>
      </c>
      <c r="R9162" s="1" t="s">
        <v>17862</v>
      </c>
      <c r="V9162" s="1" t="s">
        <v>17922</v>
      </c>
      <c r="AR9162" s="1" t="str">
        <f t="shared" si="575"/>
        <v>| [ㄓˋ](ㄓˋ.md) | [炙](炙.md) |  | zhì | [動]_x000D_
1.燒烤、燒灼。如：「炙手可熱」。《詩經．小雅．瓠葉》：「有兔斯首，燔之炙之。」_x000D_
2.受薰染、陶冶。《孟子．盡心下》：「非聖人而能若是乎？而況於親炙之者乎？」_x000D_
[名]_x000D_
烤熟的肉食。《史記．卷八六．刺客列傳．專諸》：「酒既酣，公子光詳為足疾，入窟室中，使專諸置匕首魚炙之腹中而進之。」 |</v>
      </c>
    </row>
    <row r="9163" spans="1:44" hidden="1">
      <c r="A9163" s="1" t="s">
        <v>17923</v>
      </c>
      <c r="C9163" s="1">
        <v>1</v>
      </c>
      <c r="D9163" s="1" t="str">
        <f>"07570"</f>
        <v>07570</v>
      </c>
      <c r="E9163" s="1" t="s">
        <v>447</v>
      </c>
      <c r="F9163" s="1">
        <v>9</v>
      </c>
      <c r="G9163" s="1">
        <v>6</v>
      </c>
      <c r="H9163" s="1">
        <v>0</v>
      </c>
      <c r="I9163" s="1" t="s">
        <v>17861</v>
      </c>
      <c r="K9163" s="1" t="str">
        <f t="shared" si="574"/>
        <v>ㄓ</v>
      </c>
      <c r="M9163" s="1" t="str">
        <f t="shared" si="576"/>
        <v/>
      </c>
      <c r="N9163" s="3" t="s">
        <v>30574</v>
      </c>
      <c r="O9163" s="3"/>
      <c r="P9163" s="1" t="s">
        <v>20</v>
      </c>
      <c r="R9163" s="1" t="s">
        <v>17862</v>
      </c>
      <c r="V9163" s="1" t="s">
        <v>17924</v>
      </c>
      <c r="AR9163" s="1" t="str">
        <f t="shared" si="575"/>
        <v>| [ㄓˋ](ㄓˋ.md) | [庤](庤.md) |  | zhì | [動]
1.儲備、儲藏。《說文解字．广部》：「庤，儲置屋下也。」《遼史．卷五九．食貨志上》：「歲秋，社民隨所獲，戶出粟庤倉，社司籍其目。」
2.準備、具備。《詩經．周頌．臣工》：「命我眾人，庤乃錢鎛。」 |</v>
      </c>
    </row>
    <row r="9164" spans="1:44" hidden="1">
      <c r="A9164" s="1" t="s">
        <v>17925</v>
      </c>
      <c r="C9164" s="1">
        <v>1</v>
      </c>
      <c r="D9164" s="1" t="str">
        <f>"07571"</f>
        <v>07571</v>
      </c>
      <c r="E9164" s="1" t="s">
        <v>190</v>
      </c>
      <c r="F9164" s="1">
        <v>9</v>
      </c>
      <c r="G9164" s="1">
        <v>6</v>
      </c>
      <c r="H9164" s="1">
        <v>0</v>
      </c>
      <c r="I9164" s="1" t="s">
        <v>17861</v>
      </c>
      <c r="K9164" s="1" t="str">
        <f t="shared" si="574"/>
        <v>ㄓ</v>
      </c>
      <c r="M9164" s="1" t="str">
        <f t="shared" si="576"/>
        <v/>
      </c>
      <c r="N9164" s="3" t="s">
        <v>30574</v>
      </c>
      <c r="O9164" s="3"/>
      <c r="P9164" s="1" t="s">
        <v>20</v>
      </c>
      <c r="R9164" s="1" t="s">
        <v>17862</v>
      </c>
      <c r="V9164" s="1" t="s">
        <v>17926</v>
      </c>
      <c r="AR9164" s="1" t="str">
        <f t="shared" si="575"/>
        <v>| [ㄓˋ](ㄓˋ.md) | [峙](峙.md) |  | zhì | [動]
聳立、對立。如：「對峙」。《文選．謝惠連．雪賦》：「雪宮建於東國，雪山峙於西域。」《文選．潘岳．為賈謐作贈陸機詩》：「綿綿瓜瓞，六國互峙。」
[名]
水中高土。《文選．張衡．西京賦》：「散似驚波，聚以京峙。」三國吳．薛綜．注：「京，高也。水中有土曰峙。」 |</v>
      </c>
    </row>
    <row r="9165" spans="1:44" hidden="1">
      <c r="A9165" s="1" t="s">
        <v>17927</v>
      </c>
      <c r="C9165" s="1">
        <v>1</v>
      </c>
      <c r="D9165" s="1" t="str">
        <f>"07572"</f>
        <v>07572</v>
      </c>
      <c r="E9165" s="1" t="s">
        <v>40</v>
      </c>
      <c r="F9165" s="1">
        <v>11</v>
      </c>
      <c r="G9165" s="1">
        <v>6</v>
      </c>
      <c r="H9165" s="1">
        <v>0</v>
      </c>
      <c r="I9165" s="1" t="s">
        <v>17861</v>
      </c>
      <c r="K9165" s="1" t="str">
        <f t="shared" si="574"/>
        <v>ㄓ</v>
      </c>
      <c r="M9165" s="1" t="str">
        <f t="shared" si="576"/>
        <v/>
      </c>
      <c r="N9165" s="3" t="s">
        <v>30574</v>
      </c>
      <c r="O9165" s="3"/>
      <c r="P9165" s="1" t="s">
        <v>20</v>
      </c>
      <c r="R9165" s="1" t="s">
        <v>17862</v>
      </c>
      <c r="V9165" s="1" t="s">
        <v>17928</v>
      </c>
      <c r="AR9165" s="1" t="str">
        <f t="shared" si="575"/>
        <v>| [ㄓˋ](ㄓˋ.md) | [痔](痔.md) |  | zhì | [名]
病名。由於肛門或直腸末端的靜脈曲張，而形成的突出塊物。主要分內痔、外痔兩種，症狀為便血、疼痛。也稱為「痔瘡」。 |</v>
      </c>
    </row>
    <row r="9166" spans="1:44" hidden="1">
      <c r="A9166" s="1" t="s">
        <v>17929</v>
      </c>
      <c r="C9166" s="1">
        <v>1</v>
      </c>
      <c r="D9166" s="1" t="str">
        <f>"07573"</f>
        <v>07573</v>
      </c>
      <c r="E9166" s="1" t="s">
        <v>753</v>
      </c>
      <c r="F9166" s="1">
        <v>11</v>
      </c>
      <c r="G9166" s="1">
        <v>6</v>
      </c>
      <c r="H9166" s="1">
        <v>0</v>
      </c>
      <c r="I9166" s="1" t="s">
        <v>17861</v>
      </c>
      <c r="K9166" s="1" t="str">
        <f t="shared" si="574"/>
        <v>ㄓ</v>
      </c>
      <c r="M9166" s="1" t="str">
        <f t="shared" si="576"/>
        <v/>
      </c>
      <c r="N9166" s="3" t="s">
        <v>30574</v>
      </c>
      <c r="O9166" s="3"/>
      <c r="P9166" s="1" t="s">
        <v>20</v>
      </c>
      <c r="R9166" s="1" t="s">
        <v>17862</v>
      </c>
      <c r="V9166" s="1" t="s">
        <v>17930</v>
      </c>
      <c r="AR9166" s="1" t="str">
        <f t="shared" si="575"/>
        <v>| [ㄓˋ](ㄓˋ.md) | [畤](畤.md) |  | zhì | [名]
古代祭祀天地、五帝的祭壇。《史記．卷五．秦本紀》：「祠上帝西畤。」唐．崔顥〈行經華陰〉詩：「河山北枕秦關險，驛樹西連漢畤平。」 |</v>
      </c>
    </row>
    <row r="9167" spans="1:44" hidden="1">
      <c r="A9167" s="1" t="s">
        <v>17931</v>
      </c>
      <c r="C9167" s="1">
        <v>1</v>
      </c>
      <c r="D9167" s="1" t="str">
        <f>"07574"</f>
        <v>07574</v>
      </c>
      <c r="E9167" s="1" t="s">
        <v>77</v>
      </c>
      <c r="F9167" s="1">
        <v>13</v>
      </c>
      <c r="G9167" s="1">
        <v>6</v>
      </c>
      <c r="H9167" s="1">
        <v>0</v>
      </c>
      <c r="I9167" s="1" t="s">
        <v>17861</v>
      </c>
      <c r="K9167" s="1" t="str">
        <f t="shared" si="574"/>
        <v>ㄓ</v>
      </c>
      <c r="M9167" s="1" t="str">
        <f t="shared" si="576"/>
        <v/>
      </c>
      <c r="N9167" s="3" t="s">
        <v>30574</v>
      </c>
      <c r="O9167" s="3"/>
      <c r="P9167" s="1" t="s">
        <v>20</v>
      </c>
      <c r="R9167" s="1" t="s">
        <v>17862</v>
      </c>
      <c r="V9167" s="1" t="s">
        <v>17932</v>
      </c>
      <c r="AR9167" s="1" t="str">
        <f t="shared" si="575"/>
        <v>| [ㄓˋ](ㄓˋ.md) | [跱](跱.md) |  | zhì | [動]
1.留止、佇立。《淮南子．脩務》：「鶴跱而不食，晝吟宵哭。」《續漢書志．第一二．天文志下》：「大將軍何進令司隸校尉袁紹私募兵千餘人，陰跱雒陽城外。」
2.對峙、對立。《三國志．卷五八．吳書．陸遜傳》：「方今英雄棋跱，豺狼闚望。」《晉書．卷五四．陸機傳》：「遂躋天號，鼎跱而立。」
[名]
行館、招待所。《後漢書．卷三．章帝紀》：「丁酉，南巡狩，詔所經道上，郡縣無得設儲跱。」 |</v>
      </c>
    </row>
    <row r="9168" spans="1:44" hidden="1">
      <c r="A9168" s="1" t="s">
        <v>17752</v>
      </c>
      <c r="C9168" s="1">
        <v>1</v>
      </c>
      <c r="D9168" s="1" t="str">
        <f>"07575"</f>
        <v>07575</v>
      </c>
      <c r="E9168" s="1" t="s">
        <v>114</v>
      </c>
      <c r="F9168" s="1">
        <v>10</v>
      </c>
      <c r="G9168" s="1">
        <v>8</v>
      </c>
      <c r="H9168" s="1">
        <v>2</v>
      </c>
      <c r="I9168" s="1" t="s">
        <v>17861</v>
      </c>
      <c r="K9168" s="1" t="str">
        <f t="shared" si="574"/>
        <v>ㄓ</v>
      </c>
      <c r="M9168" s="1" t="str">
        <f t="shared" si="576"/>
        <v/>
      </c>
      <c r="N9168" s="3" t="s">
        <v>30574</v>
      </c>
      <c r="O9168" s="3"/>
      <c r="P9168" s="1" t="s">
        <v>20</v>
      </c>
      <c r="R9168" s="1" t="s">
        <v>17862</v>
      </c>
      <c r="V9168" s="1" t="s">
        <v>17933</v>
      </c>
      <c r="W9168" s="1" t="s">
        <v>17934</v>
      </c>
      <c r="AR9168" s="1" t="str">
        <f t="shared" si="575"/>
        <v>| [ㄓˋ](ㄓˋ.md) | [值](值.md) |  | zhì | [動]
持、拿著。《詩經．陳風．宛丘》：「無冬無夏，值其鷺羽。」 |</v>
      </c>
    </row>
    <row r="9169" spans="1:44" hidden="1">
      <c r="A9169" s="1" t="s">
        <v>17935</v>
      </c>
      <c r="C9169" s="1">
        <v>1</v>
      </c>
      <c r="D9169" s="1" t="str">
        <f>"07576"</f>
        <v>07576</v>
      </c>
      <c r="E9169" s="1" t="s">
        <v>624</v>
      </c>
      <c r="F9169" s="1">
        <v>13</v>
      </c>
      <c r="G9169" s="1">
        <v>10</v>
      </c>
      <c r="H9169" s="1">
        <v>0</v>
      </c>
      <c r="I9169" s="1" t="s">
        <v>17861</v>
      </c>
      <c r="K9169" s="1" t="str">
        <f t="shared" si="574"/>
        <v>ㄓ</v>
      </c>
      <c r="M9169" s="1" t="str">
        <f t="shared" si="576"/>
        <v/>
      </c>
      <c r="N9169" s="3" t="s">
        <v>30574</v>
      </c>
      <c r="O9169" s="3"/>
      <c r="P9169" s="1" t="s">
        <v>20</v>
      </c>
      <c r="R9169" s="1" t="s">
        <v>17862</v>
      </c>
      <c r="V9169" s="1" t="s">
        <v>17936</v>
      </c>
      <c r="AR9169" s="1" t="str">
        <f t="shared" si="575"/>
        <v>| [ㄓˋ](ㄓˋ.md) | [寘](寘.md) |  | zhì | [動]
1.安置、放置。《詩經．小雅．谷風》：「將恐將懼，寘予于懷。」
2.棄置、廢止。《左傳．隱公元年》：「遂寘姜氏于城穎。」
3.盡出。《左傳．昭公三十一年》：「貪冒之民將寘力焉。」
4.滿。漢．揚雄《太玄經．卷三．法》：「繘陸陸，缾寘腹，井潢洋，終不得食。」 |</v>
      </c>
    </row>
    <row r="9170" spans="1:44" hidden="1">
      <c r="A9170" s="1" t="s">
        <v>17937</v>
      </c>
      <c r="C9170" s="1">
        <v>1</v>
      </c>
      <c r="D9170" s="1" t="str">
        <f>"07577"</f>
        <v>07577</v>
      </c>
      <c r="E9170" s="1" t="s">
        <v>118</v>
      </c>
      <c r="F9170" s="1">
        <v>13</v>
      </c>
      <c r="G9170" s="1">
        <v>8</v>
      </c>
      <c r="H9170" s="1">
        <v>0</v>
      </c>
      <c r="I9170" s="1" t="s">
        <v>17861</v>
      </c>
      <c r="K9170" s="1" t="str">
        <f t="shared" si="574"/>
        <v>ㄓ</v>
      </c>
      <c r="M9170" s="1" t="str">
        <f t="shared" si="576"/>
        <v/>
      </c>
      <c r="N9170" s="3" t="s">
        <v>30574</v>
      </c>
      <c r="O9170" s="3"/>
      <c r="P9170" s="1" t="s">
        <v>20</v>
      </c>
      <c r="R9170" s="1" t="s">
        <v>17862</v>
      </c>
      <c r="V9170" s="1" t="s">
        <v>17938</v>
      </c>
      <c r="AR9170" s="1" t="str">
        <f t="shared" si="575"/>
        <v>| [ㄓˋ](ㄓˋ.md) | [置](置.md) |  | zhì | [動]
1.釋放、赦免。《國語．鄭語》：「褒人褒姁有獄，而以為入於王，王遂置之。」《史記．卷一〇六．吳王濞傳》：「擊反虜者，深入多殺為功，斬首捕虜比三百石以上者皆殺之，無有所置。」
2.廢棄。《晏子春秋．內篇．諫上》：「夫以賤匹貴，國之害也；置大立少，亂之本也。」《國語．周語中》：「今以小忿棄之，是以小怨置大德也，無乃不可乎！」
3.安放。如：「本末倒置」。《書經．說命上》：「爰立作柤，王置諸其左右。」
4.建立、設立。《墨子．明鬼下》：「三代之聖王，其始建國營都，日必擇國之正壇，置以為宗廟。」《史記．卷五．秦本紀》：「又攻楚漢中，取地六百里，置漢中郡。」
5.購買、添加。如：「置產」。
[名]
驛車、驛站。《孟子．公孫丑上》：「德之流行，速於置郵而傳命。」宋．蘇軾〈荔枝歎〉：「十里一置飛塵灰，五里一堠兵火催。」 |</v>
      </c>
    </row>
    <row r="9171" spans="1:44" hidden="1">
      <c r="A9171" s="1" t="s">
        <v>17939</v>
      </c>
      <c r="C9171" s="1">
        <v>1</v>
      </c>
      <c r="D9171" s="1" t="str">
        <f>"07578"</f>
        <v>07578</v>
      </c>
      <c r="E9171" s="1" t="s">
        <v>691</v>
      </c>
      <c r="F9171" s="1">
        <v>10</v>
      </c>
      <c r="G9171" s="1">
        <v>7</v>
      </c>
      <c r="H9171" s="1">
        <v>0</v>
      </c>
      <c r="I9171" s="1" t="s">
        <v>17861</v>
      </c>
      <c r="K9171" s="1" t="str">
        <f t="shared" si="574"/>
        <v>ㄓ</v>
      </c>
      <c r="M9171" s="1" t="str">
        <f t="shared" si="576"/>
        <v/>
      </c>
      <c r="N9171" s="3" t="s">
        <v>30574</v>
      </c>
      <c r="O9171" s="3"/>
      <c r="P9171" s="1" t="s">
        <v>20</v>
      </c>
      <c r="R9171" s="1" t="s">
        <v>17862</v>
      </c>
      <c r="V9171" s="1" t="s">
        <v>17940</v>
      </c>
      <c r="AR9171" s="1" t="str">
        <f t="shared" si="575"/>
        <v>| [ㄓˋ](ㄓˋ.md) | [陟](陟.md) |  | zhì | [動]
1.登高、爬上。《詩經．周南．卷耳》：「陟彼高岡。」《後漢書．卷六七．黨錮傳．李膺傳》：「陟岵瞻望，惟日為歲。」
2.升遷、進用。《文選．諸葛亮．出師表》：「陟罰臧否，不宜異同。」 |</v>
      </c>
    </row>
    <row r="9172" spans="1:44" hidden="1">
      <c r="A9172" s="1" t="s">
        <v>17941</v>
      </c>
      <c r="C9172" s="1">
        <v>1</v>
      </c>
      <c r="D9172" s="1" t="str">
        <f>"07579"</f>
        <v>07579</v>
      </c>
      <c r="E9172" s="1" t="s">
        <v>319</v>
      </c>
      <c r="F9172" s="1">
        <v>20</v>
      </c>
      <c r="G9172" s="1">
        <v>10</v>
      </c>
      <c r="H9172" s="1">
        <v>0</v>
      </c>
      <c r="I9172" s="1" t="s">
        <v>17861</v>
      </c>
      <c r="K9172" s="1" t="str">
        <f t="shared" si="574"/>
        <v>ㄓ</v>
      </c>
      <c r="M9172" s="1" t="str">
        <f t="shared" si="576"/>
        <v/>
      </c>
      <c r="N9172" s="3" t="s">
        <v>30574</v>
      </c>
      <c r="O9172" s="3"/>
      <c r="P9172" s="1" t="s">
        <v>20</v>
      </c>
      <c r="R9172" s="1" t="s">
        <v>17862</v>
      </c>
      <c r="V9172" s="1" t="s">
        <v>17942</v>
      </c>
      <c r="AR9172" s="1" t="str">
        <f t="shared" si="575"/>
        <v>| [ㄓˋ](ㄓˋ.md) | [騭](騭.md) |  | zhì | [名]
公馬。《說文解字．馬部》：「騭，牡馬也。」北齊．顏之推《顏氏家訓．書證》：「駉頌既美僖公牧于坰野之事，何限騲騭乎？」
[動]
1.升。《爾雅．釋詁》：「騭，假格陟躋登陞也。」
2.安排、安定。《書經．洪範》：「惟天陰騭下民，相協厥居。」
3.分辨、判定。如：「評騭是非」。 |</v>
      </c>
    </row>
    <row r="9173" spans="1:44" hidden="1">
      <c r="A9173" s="1" t="s">
        <v>17943</v>
      </c>
      <c r="C9173" s="1">
        <v>1</v>
      </c>
      <c r="D9173" s="1" t="str">
        <f>"07580"</f>
        <v>07580</v>
      </c>
      <c r="E9173" s="1" t="s">
        <v>6976</v>
      </c>
      <c r="F9173" s="1">
        <v>12</v>
      </c>
      <c r="G9173" s="1">
        <v>9</v>
      </c>
      <c r="H9173" s="1">
        <v>0</v>
      </c>
      <c r="I9173" s="1" t="s">
        <v>17861</v>
      </c>
      <c r="K9173" s="1" t="str">
        <f t="shared" si="574"/>
        <v>ㄓ</v>
      </c>
      <c r="M9173" s="1" t="str">
        <f t="shared" si="576"/>
        <v/>
      </c>
      <c r="N9173" s="3" t="s">
        <v>30574</v>
      </c>
      <c r="O9173" s="3"/>
      <c r="P9173" s="1" t="s">
        <v>20</v>
      </c>
      <c r="R9173" s="1" t="s">
        <v>17862</v>
      </c>
      <c r="V9173" s="1" t="s">
        <v>17944</v>
      </c>
      <c r="AR9173" s="1" t="str">
        <f t="shared" si="575"/>
        <v>| [ㄓˋ](ㄓˋ.md) | [彘](彘.md) |  | zhì | [名]
豬。如：「野彘」。《孟子．梁惠王上》：「雞、豚、狗、彘之畜，無失其時，七十者可以食肉矣。」《商君書．兵守》：「老弱之軍，使牧牛馬羊彘。」 |</v>
      </c>
    </row>
    <row r="9174" spans="1:44" hidden="1">
      <c r="A9174" s="1" t="s">
        <v>17945</v>
      </c>
      <c r="C9174" s="1">
        <v>1</v>
      </c>
      <c r="D9174" s="1" t="str">
        <f>"07581"</f>
        <v>07581</v>
      </c>
      <c r="E9174" s="1" t="s">
        <v>447</v>
      </c>
      <c r="F9174" s="1">
        <v>13</v>
      </c>
      <c r="G9174" s="1">
        <v>10</v>
      </c>
      <c r="H9174" s="1">
        <v>0</v>
      </c>
      <c r="I9174" s="1" t="s">
        <v>17861</v>
      </c>
      <c r="K9174" s="1" t="str">
        <f t="shared" si="574"/>
        <v>ㄓ</v>
      </c>
      <c r="M9174" s="1" t="str">
        <f t="shared" si="576"/>
        <v/>
      </c>
      <c r="N9174" s="3" t="s">
        <v>30574</v>
      </c>
      <c r="O9174" s="3"/>
      <c r="P9174" s="1" t="s">
        <v>20</v>
      </c>
      <c r="R9174" s="1" t="s">
        <v>17862</v>
      </c>
      <c r="V9174" s="1" t="s">
        <v>17946</v>
      </c>
      <c r="AR9174" s="1" t="str">
        <f t="shared" si="575"/>
        <v>| [ㄓˋ](ㄓˋ.md) | [廌](廌.md) |  | zhì | [名]
古代傳說中的獨角獸。同「豸」。參見「獬豸」條。 |</v>
      </c>
    </row>
    <row r="9175" spans="1:44" hidden="1">
      <c r="A9175" s="1" t="s">
        <v>17947</v>
      </c>
      <c r="C9175" s="1">
        <v>1</v>
      </c>
      <c r="D9175" s="1" t="str">
        <f>"07582"</f>
        <v>07582</v>
      </c>
      <c r="E9175" s="1" t="s">
        <v>5383</v>
      </c>
      <c r="F9175" s="1">
        <v>13</v>
      </c>
      <c r="G9175" s="1">
        <v>5</v>
      </c>
      <c r="H9175" s="1">
        <v>0</v>
      </c>
      <c r="I9175" s="1" t="s">
        <v>17861</v>
      </c>
      <c r="K9175" s="1" t="str">
        <f t="shared" si="574"/>
        <v>ㄓ</v>
      </c>
      <c r="M9175" s="1" t="str">
        <f t="shared" si="576"/>
        <v/>
      </c>
      <c r="N9175" s="3" t="s">
        <v>30574</v>
      </c>
      <c r="O9175" s="3"/>
      <c r="P9175" s="1" t="s">
        <v>20</v>
      </c>
      <c r="R9175" s="1" t="s">
        <v>17862</v>
      </c>
      <c r="V9175" s="1" t="s">
        <v>17948</v>
      </c>
      <c r="AR9175" s="1" t="str">
        <f t="shared" si="575"/>
        <v>| [ㄓˋ](ㄓˋ.md) | [雉](雉.md) |  | zhì | [名]
1.動物名。脊椎動物門鳥綱雞形目。雄雉尾長，羽毛鮮豔美麗，多為赤銅色或深綠色；雌鳥尾稍短，毛灰褐色。俗稱為「野雞」。
2.量詞。古代計算城牆面積的單位。長三丈高一丈為一雉。《左傳．隱公元年》：「都城過百雉，國之害也。」南朝梁．劉勰《文心雕龍．檄移》：「萬雉之城，顛墜於一檄者也。」 |</v>
      </c>
    </row>
    <row r="9176" spans="1:44" hidden="1">
      <c r="A9176" s="1" t="s">
        <v>17949</v>
      </c>
      <c r="C9176" s="1">
        <v>1</v>
      </c>
      <c r="D9176" s="1" t="str">
        <f>"07583"</f>
        <v>07583</v>
      </c>
      <c r="E9176" s="1" t="s">
        <v>429</v>
      </c>
      <c r="F9176" s="1">
        <v>13</v>
      </c>
      <c r="G9176" s="1">
        <v>8</v>
      </c>
      <c r="H9176" s="1">
        <v>0</v>
      </c>
      <c r="I9176" s="1" t="s">
        <v>17861</v>
      </c>
      <c r="K9176" s="1" t="str">
        <f t="shared" si="574"/>
        <v>ㄓ</v>
      </c>
      <c r="M9176" s="1" t="str">
        <f t="shared" si="576"/>
        <v/>
      </c>
      <c r="N9176" s="3" t="s">
        <v>30574</v>
      </c>
      <c r="O9176" s="3"/>
      <c r="P9176" s="1" t="s">
        <v>20</v>
      </c>
      <c r="R9176" s="1" t="s">
        <v>17862</v>
      </c>
      <c r="V9176" s="1" t="s">
        <v>17950</v>
      </c>
      <c r="AR9176" s="1" t="str">
        <f t="shared" si="575"/>
        <v>| [ㄓˋ](ㄓˋ.md) | [稚](稚.md) |  | zhì | [形]
幼小、不成熟。如：「稚氣」、「幼稚」。《文選．陶淵明．歸去來辭》：「僮僕歡迎，稚子候門。」
[名]
孩童、幼童。《孟子．滕文公上》：「使老稚轉乎溝壑。」唐．李白〈下終南山過斛斯山人宿置酒〉詩：「相攜及田家，童稚開荊扉。」 |</v>
      </c>
    </row>
    <row r="9177" spans="1:44" hidden="1">
      <c r="A9177" s="1" t="s">
        <v>17951</v>
      </c>
      <c r="C9177" s="1">
        <v>1</v>
      </c>
      <c r="D9177" s="1" t="str">
        <f>"07584"</f>
        <v>07584</v>
      </c>
      <c r="E9177" s="1" t="s">
        <v>129</v>
      </c>
      <c r="F9177" s="1">
        <v>14</v>
      </c>
      <c r="G9177" s="1">
        <v>11</v>
      </c>
      <c r="H9177" s="1">
        <v>0</v>
      </c>
      <c r="I9177" s="1" t="s">
        <v>17861</v>
      </c>
      <c r="K9177" s="1" t="str">
        <f t="shared" si="574"/>
        <v>ㄓ</v>
      </c>
      <c r="M9177" s="1" t="str">
        <f t="shared" si="576"/>
        <v/>
      </c>
      <c r="N9177" s="3" t="s">
        <v>30574</v>
      </c>
      <c r="O9177" s="3"/>
      <c r="P9177" s="1" t="s">
        <v>20</v>
      </c>
      <c r="R9177" s="1" t="s">
        <v>17862</v>
      </c>
      <c r="V9177" s="1" t="s">
        <v>17952</v>
      </c>
      <c r="AR9177" s="1" t="str">
        <f t="shared" si="575"/>
        <v>| [ㄓˋ](ㄓˋ.md) | [滯](滯.md) |  | zhì | [動]
1.停留、靜止。《淮南子．原道》：「是故能天運地滯，輪轉而無廢。」《文選．何晏．景福殿賦》：「鳥企山峙，若翔若滯。」
2.凝聚、積聚。《周禮．地官．廛人》：「凡珍異之有滯者，斂而入于膳府。」《新唐書．卷九七．魏徵傳》：「尚書省滯訟不決者，詔徵平治。」
[形]
不流通。如：「凝滯」、「積滯」。 |</v>
      </c>
    </row>
    <row r="9178" spans="1:44" hidden="1">
      <c r="A9178" s="1" t="s">
        <v>13169</v>
      </c>
      <c r="C9178" s="1">
        <v>1</v>
      </c>
      <c r="D9178" s="1" t="str">
        <f>"07585"</f>
        <v>07585</v>
      </c>
      <c r="E9178" s="1" t="s">
        <v>40</v>
      </c>
      <c r="F9178" s="1">
        <v>14</v>
      </c>
      <c r="G9178" s="1">
        <v>9</v>
      </c>
      <c r="H9178" s="1">
        <v>2</v>
      </c>
      <c r="I9178" s="1" t="s">
        <v>17861</v>
      </c>
      <c r="K9178" s="1" t="str">
        <f t="shared" si="574"/>
        <v>ㄓ</v>
      </c>
      <c r="M9178" s="1" t="str">
        <f t="shared" si="576"/>
        <v/>
      </c>
      <c r="N9178" s="3" t="s">
        <v>30574</v>
      </c>
      <c r="O9178" s="3"/>
      <c r="P9178" s="1" t="s">
        <v>110</v>
      </c>
      <c r="R9178" s="1" t="s">
        <v>17862</v>
      </c>
      <c r="V9178" s="1" t="s">
        <v>111</v>
      </c>
      <c r="W9178" s="1" t="s">
        <v>17953</v>
      </c>
      <c r="AR9178" s="1" t="str">
        <f t="shared" si="575"/>
        <v>| [ㄓˋ](ㄓˋ.md) | [瘈](瘈.md) |  | zhì | (一)之又音。 |</v>
      </c>
    </row>
    <row r="9179" spans="1:44" hidden="1">
      <c r="A9179" s="1" t="s">
        <v>17954</v>
      </c>
      <c r="C9179" s="1">
        <v>1</v>
      </c>
      <c r="D9179" s="1" t="str">
        <f>"07586"</f>
        <v>07586</v>
      </c>
      <c r="E9179" s="1" t="s">
        <v>2173</v>
      </c>
      <c r="F9179" s="1">
        <v>14</v>
      </c>
      <c r="G9179" s="1">
        <v>9</v>
      </c>
      <c r="H9179" s="1">
        <v>0</v>
      </c>
      <c r="I9179" s="1" t="s">
        <v>17861</v>
      </c>
      <c r="K9179" s="1" t="str">
        <f t="shared" si="574"/>
        <v>ㄓ</v>
      </c>
      <c r="M9179" s="1" t="str">
        <f t="shared" si="576"/>
        <v/>
      </c>
      <c r="N9179" s="3" t="s">
        <v>30574</v>
      </c>
      <c r="O9179" s="3"/>
      <c r="P9179" s="1" t="s">
        <v>20</v>
      </c>
      <c r="R9179" s="1" t="s">
        <v>17862</v>
      </c>
      <c r="V9179" s="1" t="s">
        <v>17955</v>
      </c>
      <c r="AR9179" s="1" t="str">
        <f t="shared" si="575"/>
        <v>| [ㄓˋ](ㄓˋ.md) | [疐](疐.md) |  | zhì | [動]
1.停滯、阻礙不前。《說文解字．叀部》：「疐，礙不行也。」
2.踏住、踩到。《詩經．豳風．狼跋》：「狼跋其胡，載疐其尾。」 |</v>
      </c>
    </row>
    <row r="9180" spans="1:44" hidden="1">
      <c r="A9180" s="1" t="s">
        <v>17956</v>
      </c>
      <c r="C9180" s="1">
        <v>1</v>
      </c>
      <c r="D9180" s="1" t="str">
        <f>"07587"</f>
        <v>07587</v>
      </c>
      <c r="E9180" s="1" t="s">
        <v>250</v>
      </c>
      <c r="F9180" s="1">
        <v>17</v>
      </c>
      <c r="G9180" s="1">
        <v>14</v>
      </c>
      <c r="H9180" s="1">
        <v>0</v>
      </c>
      <c r="I9180" s="1" t="s">
        <v>17861</v>
      </c>
      <c r="K9180" s="1" t="str">
        <f t="shared" si="574"/>
        <v>ㄓ</v>
      </c>
      <c r="M9180" s="1" t="str">
        <f t="shared" si="576"/>
        <v/>
      </c>
      <c r="N9180" s="3" t="s">
        <v>30574</v>
      </c>
      <c r="O9180" s="3"/>
      <c r="P9180" s="1" t="s">
        <v>20</v>
      </c>
      <c r="R9180" s="1" t="s">
        <v>17862</v>
      </c>
      <c r="V9180" s="1" t="s">
        <v>17957</v>
      </c>
      <c r="AR9180" s="1" t="str">
        <f t="shared" si="575"/>
        <v>| [ㄓˋ](ㄓˋ.md) | [懥](懥.md) |  | zhì | [名]
忿怒。《禮記．大學》：「身有所忿懥，則不得其正。」 |</v>
      </c>
    </row>
    <row r="9181" spans="1:44" hidden="1">
      <c r="A9181" s="1" t="s">
        <v>17958</v>
      </c>
      <c r="C9181" s="1">
        <v>1</v>
      </c>
      <c r="D9181" s="1" t="str">
        <f>"07588"</f>
        <v>07588</v>
      </c>
      <c r="E9181" s="1" t="s">
        <v>24</v>
      </c>
      <c r="F9181" s="1">
        <v>15</v>
      </c>
      <c r="G9181" s="1">
        <v>11</v>
      </c>
      <c r="H9181" s="1">
        <v>0</v>
      </c>
      <c r="I9181" s="1" t="s">
        <v>17861</v>
      </c>
      <c r="K9181" s="1" t="str">
        <f t="shared" si="574"/>
        <v>ㄓ</v>
      </c>
      <c r="M9181" s="1" t="str">
        <f t="shared" si="576"/>
        <v/>
      </c>
      <c r="N9181" s="3" t="s">
        <v>30574</v>
      </c>
      <c r="O9181" s="3"/>
      <c r="P9181" s="1" t="s">
        <v>20</v>
      </c>
      <c r="R9181" s="1" t="s">
        <v>17862</v>
      </c>
      <c r="V9181" s="1" t="s">
        <v>17959</v>
      </c>
      <c r="AR9181" s="1" t="str">
        <f t="shared" si="575"/>
        <v>| [ㄓˋ](ㄓˋ.md) | [摯](摯.md) |  | zhì | [形]
1.誠懇。如：「誠摯」、「真摯」。
2.凶狠。通「鷙」。《禮記．曲禮上》：「前有摯獸，則載貔貅。」
[名]
1.古代初次見面時所送的禮物。通「贄」。《禮記．郊特牲》：「執摯以相見。」
2.姓。如晉代有摯虞。 |</v>
      </c>
    </row>
    <row r="9182" spans="1:44" hidden="1">
      <c r="A9182" s="1" t="s">
        <v>17960</v>
      </c>
      <c r="C9182" s="1">
        <v>1</v>
      </c>
      <c r="D9182" s="1" t="str">
        <f>"07589"</f>
        <v>07589</v>
      </c>
      <c r="E9182" s="1" t="s">
        <v>505</v>
      </c>
      <c r="F9182" s="1">
        <v>18</v>
      </c>
      <c r="G9182" s="1">
        <v>11</v>
      </c>
      <c r="H9182" s="1">
        <v>0</v>
      </c>
      <c r="I9182" s="1" t="s">
        <v>17861</v>
      </c>
      <c r="K9182" s="1" t="str">
        <f t="shared" si="574"/>
        <v>ㄓ</v>
      </c>
      <c r="M9182" s="1" t="str">
        <f t="shared" si="576"/>
        <v/>
      </c>
      <c r="N9182" s="3" t="s">
        <v>30574</v>
      </c>
      <c r="O9182" s="3"/>
      <c r="P9182" s="1" t="s">
        <v>20</v>
      </c>
      <c r="R9182" s="1" t="s">
        <v>17862</v>
      </c>
      <c r="V9182" s="1" t="s">
        <v>17961</v>
      </c>
      <c r="AR9182" s="1" t="str">
        <f t="shared" si="575"/>
        <v>| [ㄓˋ](ㄓˋ.md) | [贄](贄.md) |  | zhì | [名]
初次見面時所送的禮物。《書經．舜典》：「修五禮，五玉、三帛、二生，一死贄，如五器。」《聊齋志異．卷二．聶小倩》：「咸執贄以賀，爭拜識之。」 |</v>
      </c>
    </row>
    <row r="9183" spans="1:44" hidden="1">
      <c r="A9183" s="1" t="s">
        <v>17962</v>
      </c>
      <c r="C9183" s="1">
        <v>1</v>
      </c>
      <c r="D9183" s="1" t="str">
        <f>"07590"</f>
        <v>07590</v>
      </c>
      <c r="E9183" s="1" t="s">
        <v>319</v>
      </c>
      <c r="F9183" s="1">
        <v>21</v>
      </c>
      <c r="G9183" s="1">
        <v>11</v>
      </c>
      <c r="H9183" s="1">
        <v>0</v>
      </c>
      <c r="I9183" s="1" t="s">
        <v>17861</v>
      </c>
      <c r="K9183" s="1" t="str">
        <f t="shared" si="574"/>
        <v>ㄓ</v>
      </c>
      <c r="M9183" s="1" t="str">
        <f t="shared" si="576"/>
        <v/>
      </c>
      <c r="N9183" s="3" t="s">
        <v>30574</v>
      </c>
      <c r="O9183" s="3"/>
      <c r="P9183" s="1" t="s">
        <v>20</v>
      </c>
      <c r="R9183" s="1" t="s">
        <v>17862</v>
      </c>
      <c r="V9183" s="1" t="s">
        <v>17963</v>
      </c>
      <c r="AR9183" s="1" t="str">
        <f t="shared" si="575"/>
        <v>| [ㄓˋ](ㄓˋ.md) | [騺](騺.md) |  | zhì | [動]
馬陷泥中，無法移動。《史記．卷三九．晉世家》：「惠公馬騺不行，秦兵至，公窘。」 |</v>
      </c>
    </row>
    <row r="9184" spans="1:44" hidden="1">
      <c r="A9184" s="1" t="s">
        <v>17964</v>
      </c>
      <c r="C9184" s="1">
        <v>1</v>
      </c>
      <c r="D9184" s="1" t="str">
        <f>"07591"</f>
        <v>07591</v>
      </c>
      <c r="E9184" s="1" t="s">
        <v>272</v>
      </c>
      <c r="F9184" s="1">
        <v>22</v>
      </c>
      <c r="G9184" s="1">
        <v>11</v>
      </c>
      <c r="H9184" s="1">
        <v>0</v>
      </c>
      <c r="I9184" s="1" t="s">
        <v>17861</v>
      </c>
      <c r="K9184" s="1" t="str">
        <f t="shared" si="574"/>
        <v>ㄓ</v>
      </c>
      <c r="M9184" s="1" t="str">
        <f t="shared" si="576"/>
        <v/>
      </c>
      <c r="N9184" s="3" t="s">
        <v>30574</v>
      </c>
      <c r="O9184" s="3"/>
      <c r="P9184" s="1" t="s">
        <v>20</v>
      </c>
      <c r="R9184" s="1" t="s">
        <v>17862</v>
      </c>
      <c r="V9184" s="1" t="s">
        <v>17965</v>
      </c>
      <c r="AR9184" s="1" t="str">
        <f t="shared" si="575"/>
        <v>| [ㄓˋ](ㄓˋ.md) | [鷙](鷙.md) |  | zhì | [名]
性情凶猛的鳥。《玉篇．鳥部》：「鷙，猛鳥也。」
[形]
凶狠勇猛。《商君書．畫策》：「虎豹熊羆，鷙而無敵。」《漢書．卷九四．匈奴傳下》：「外國天性忿鷙，形容魁健。」 |</v>
      </c>
    </row>
    <row r="9185" spans="1:44" hidden="1">
      <c r="A9185" s="1" t="s">
        <v>17966</v>
      </c>
      <c r="C9185" s="1">
        <v>1</v>
      </c>
      <c r="D9185" s="1" t="str">
        <f>"07592"</f>
        <v>07592</v>
      </c>
      <c r="E9185" s="1" t="s">
        <v>222</v>
      </c>
      <c r="F9185" s="1">
        <v>15</v>
      </c>
      <c r="G9185" s="1">
        <v>12</v>
      </c>
      <c r="H9185" s="1">
        <v>0</v>
      </c>
      <c r="I9185" s="1" t="s">
        <v>17861</v>
      </c>
      <c r="K9185" s="1" t="str">
        <f t="shared" si="574"/>
        <v>ㄓ</v>
      </c>
      <c r="M9185" s="1" t="str">
        <f t="shared" si="576"/>
        <v/>
      </c>
      <c r="N9185" s="3" t="s">
        <v>30574</v>
      </c>
      <c r="O9185" s="3"/>
      <c r="P9185" s="1" t="s">
        <v>20</v>
      </c>
      <c r="R9185" s="1" t="s">
        <v>17862</v>
      </c>
      <c r="V9185" s="1" t="s">
        <v>17967</v>
      </c>
      <c r="AR9185" s="1" t="str">
        <f t="shared" si="575"/>
        <v>| [ㄓˋ](ㄓˋ.md) | [幟](幟.md) |  | zhì | [名]
1.旌旗、旗子。如：「旗幟」。《史記．卷九二．淮陰侯傳》：「拔趙幟，立漢赤幟。」
2.記號、標記。《後漢書．卷五八．虞詡傳》：「以采綖縫其裙為幟。」 |</v>
      </c>
    </row>
    <row r="9186" spans="1:44" hidden="1">
      <c r="A9186" s="1" t="s">
        <v>17968</v>
      </c>
      <c r="C9186" s="1">
        <v>1</v>
      </c>
      <c r="D9186" s="1" t="str">
        <f>"07593"</f>
        <v>07593</v>
      </c>
      <c r="E9186" s="1" t="s">
        <v>331</v>
      </c>
      <c r="F9186" s="1">
        <v>19</v>
      </c>
      <c r="G9186" s="1">
        <v>12</v>
      </c>
      <c r="H9186" s="1">
        <v>2</v>
      </c>
      <c r="I9186" s="1" t="s">
        <v>17861</v>
      </c>
      <c r="K9186" s="1" t="str">
        <f t="shared" si="574"/>
        <v>ㄓ</v>
      </c>
      <c r="M9186" s="1" t="str">
        <f t="shared" si="576"/>
        <v/>
      </c>
      <c r="N9186" s="3" t="s">
        <v>30574</v>
      </c>
      <c r="O9186" s="3"/>
      <c r="P9186" s="1" t="s">
        <v>20</v>
      </c>
      <c r="R9186" s="1" t="s">
        <v>17862</v>
      </c>
      <c r="V9186" s="1" t="s">
        <v>17969</v>
      </c>
      <c r="W9186" s="1" t="s">
        <v>17970</v>
      </c>
      <c r="AR9186" s="1" t="str">
        <f t="shared" si="575"/>
        <v>| [ㄓˋ](ㄓˋ.md) | [識](識.md) |  | zhì | [動]
記憶、記住。通「誌」。《論語．述而》：「默而識之。」《文選．宋玉．神女賦》：「寐而夢之．寤不自識。」
[名]
標記、記號。通「幟」。《漢書．卷九九．王莽傳下》：「訖無文號旌旗表識，咸怪異之。」 |</v>
      </c>
    </row>
    <row r="9187" spans="1:44" hidden="1">
      <c r="A9187" s="1" t="s">
        <v>17787</v>
      </c>
      <c r="C9187" s="1">
        <v>1</v>
      </c>
      <c r="D9187" s="1" t="str">
        <f>"07594"</f>
        <v>07594</v>
      </c>
      <c r="E9187" s="1" t="s">
        <v>505</v>
      </c>
      <c r="F9187" s="1">
        <v>15</v>
      </c>
      <c r="G9187" s="1">
        <v>8</v>
      </c>
      <c r="H9187" s="1">
        <v>2</v>
      </c>
      <c r="I9187" s="1" t="s">
        <v>17861</v>
      </c>
      <c r="K9187" s="1" t="str">
        <f t="shared" si="574"/>
        <v>ㄓ</v>
      </c>
      <c r="M9187" s="1" t="str">
        <f t="shared" si="576"/>
        <v/>
      </c>
      <c r="N9187" s="3" t="s">
        <v>30574</v>
      </c>
      <c r="O9187" s="3"/>
      <c r="P9187" s="1" t="s">
        <v>20</v>
      </c>
      <c r="R9187" s="1" t="s">
        <v>17862</v>
      </c>
      <c r="V9187" s="1" t="s">
        <v>17971</v>
      </c>
      <c r="W9187" s="1" t="s">
        <v>17972</v>
      </c>
      <c r="AR9187" s="1" t="str">
        <f t="shared" si="575"/>
        <v>| [ㄓˋ](ㄓˋ.md) | [質](質.md) |  | zhì | [動]
用財物或人作保證以為抵押。如：「質押」。《戰國策．趙策四》：「於是為長安君約車百乘，質於齊，齊兵乃出。」
[名]
拜見長輩時奉上的見面禮。通「贄」。《孟子．滕文公下》：「出疆必載質。」漢．趙岐．注：「質，臣所執以見君者也。」《史記．卷八四．屈原賈生傳》：「乃令張儀詳去秦，厚幣委質事楚。」 |</v>
      </c>
    </row>
    <row r="9188" spans="1:44" hidden="1">
      <c r="A9188" s="1" t="s">
        <v>17973</v>
      </c>
      <c r="C9188" s="1">
        <v>1</v>
      </c>
      <c r="D9188" s="1" t="str">
        <f>"07595"</f>
        <v>07595</v>
      </c>
      <c r="E9188" s="1" t="s">
        <v>250</v>
      </c>
      <c r="F9188" s="1">
        <v>18</v>
      </c>
      <c r="G9188" s="1">
        <v>15</v>
      </c>
      <c r="H9188" s="1">
        <v>0</v>
      </c>
      <c r="I9188" s="1" t="s">
        <v>17861</v>
      </c>
      <c r="K9188" s="1" t="str">
        <f t="shared" si="574"/>
        <v>ㄓ</v>
      </c>
      <c r="M9188" s="1" t="str">
        <f t="shared" si="576"/>
        <v/>
      </c>
      <c r="N9188" s="3" t="s">
        <v>30574</v>
      </c>
      <c r="O9188" s="3"/>
      <c r="P9188" s="1" t="s">
        <v>20</v>
      </c>
      <c r="R9188" s="1" t="s">
        <v>17862</v>
      </c>
      <c r="V9188" s="1" t="s">
        <v>17974</v>
      </c>
      <c r="AR9188" s="1" t="str">
        <f t="shared" si="575"/>
        <v>| [ㄓˋ](ㄓˋ.md) | [懫](懫.md) |  | zhì | [形]
忿戾。《書經．多方》：「亦惟有夏之民叼懫。」唐．孔穎達．正義：「忿懫，言忿怒違理也。」 |</v>
      </c>
    </row>
    <row r="9189" spans="1:44" hidden="1">
      <c r="A9189" s="1" t="s">
        <v>17975</v>
      </c>
      <c r="C9189" s="1">
        <v>1</v>
      </c>
      <c r="D9189" s="1" t="str">
        <f>"07596"</f>
        <v>07596</v>
      </c>
      <c r="E9189" s="1" t="s">
        <v>77</v>
      </c>
      <c r="F9189" s="1">
        <v>22</v>
      </c>
      <c r="G9189" s="1">
        <v>15</v>
      </c>
      <c r="H9189" s="1">
        <v>0</v>
      </c>
      <c r="I9189" s="1" t="s">
        <v>17861</v>
      </c>
      <c r="K9189" s="1" t="str">
        <f t="shared" si="574"/>
        <v>ㄓ</v>
      </c>
      <c r="M9189" s="1" t="str">
        <f t="shared" si="576"/>
        <v/>
      </c>
      <c r="N9189" s="3" t="s">
        <v>30574</v>
      </c>
      <c r="O9189" s="3"/>
      <c r="P9189" s="1" t="s">
        <v>20</v>
      </c>
      <c r="R9189" s="1" t="s">
        <v>17862</v>
      </c>
      <c r="V9189" s="1" t="s">
        <v>17976</v>
      </c>
      <c r="AR9189" s="1" t="str">
        <f t="shared" si="575"/>
        <v>| [ㄓˋ](ㄓˋ.md) | [躓](躓.md) |  | zhì | [動]
遇阻礙而跌倒。《左傳．宣公十五年》：「杜回躓而顛，故獲之。」《舊唐書．卷一二七．蔣鎮傳》：「馬躓墮溝澗中，傷足不能進。」
[形]
1.事情不順利。南朝梁．謝靈運〈還舊園作見顏范二中書詩〉：「事躓兩如直，心愜三避賢。」
2.文辭晦澀不順暢。南朝梁．鍾嶸〈詩品序〉：「若專用比興，患在意深，意深則辭躓。」《南史．卷五九．江淹傳》：「自爾淹文章躓矣。」 |</v>
      </c>
    </row>
    <row r="9190" spans="1:44" hidden="1">
      <c r="A9190" s="1" t="s">
        <v>17977</v>
      </c>
      <c r="C9190" s="1">
        <v>1</v>
      </c>
      <c r="D9190" s="1" t="str">
        <f>"07597"</f>
        <v>07597</v>
      </c>
      <c r="E9190" s="1" t="s">
        <v>55</v>
      </c>
      <c r="F9190" s="1">
        <v>23</v>
      </c>
      <c r="G9190" s="1">
        <v>15</v>
      </c>
      <c r="H9190" s="1">
        <v>0</v>
      </c>
      <c r="I9190" s="1" t="s">
        <v>17861</v>
      </c>
      <c r="K9190" s="1" t="str">
        <f t="shared" si="574"/>
        <v>ㄓ</v>
      </c>
      <c r="M9190" s="1" t="str">
        <f t="shared" si="576"/>
        <v/>
      </c>
      <c r="N9190" s="3" t="s">
        <v>30574</v>
      </c>
      <c r="O9190" s="3"/>
      <c r="P9190" s="1" t="s">
        <v>20</v>
      </c>
      <c r="R9190" s="1" t="s">
        <v>17862</v>
      </c>
      <c r="V9190" s="1" t="s">
        <v>17978</v>
      </c>
      <c r="AR9190" s="1" t="str">
        <f t="shared" si="575"/>
        <v>| [ㄓˋ](ㄓˋ.md) | [鑕](鑕.md) |  | zhì | [名]
古代刑具的一種組件。腰斬時，墊在受刑人身下的鐵砧。《公羊傳．昭公二十五年》：「君不忍加之以鈇鑕。」《文選．班彪．王命論》：「然卒潤鑊伏鑕，烹醢分裂。」 |</v>
      </c>
    </row>
    <row r="9191" spans="1:44" hidden="1">
      <c r="A9191" s="1" t="s">
        <v>5283</v>
      </c>
      <c r="C9191" s="1">
        <v>1</v>
      </c>
      <c r="D9191" s="1" t="str">
        <f>"07598"</f>
        <v>07598</v>
      </c>
      <c r="E9191" s="1" t="s">
        <v>77</v>
      </c>
      <c r="F9191" s="1">
        <v>16</v>
      </c>
      <c r="G9191" s="1">
        <v>9</v>
      </c>
      <c r="H9191" s="1">
        <v>2</v>
      </c>
      <c r="I9191" s="1" t="s">
        <v>17861</v>
      </c>
      <c r="K9191" s="1" t="str">
        <f t="shared" si="574"/>
        <v>ㄓ</v>
      </c>
      <c r="M9191" s="1" t="str">
        <f t="shared" si="576"/>
        <v/>
      </c>
      <c r="N9191" s="3" t="s">
        <v>30574</v>
      </c>
      <c r="O9191" s="3"/>
      <c r="P9191" s="1" t="s">
        <v>20</v>
      </c>
      <c r="R9191" s="1" t="s">
        <v>17862</v>
      </c>
      <c r="V9191" s="1" t="s">
        <v>17979</v>
      </c>
      <c r="W9191" s="1" t="s">
        <v>17980</v>
      </c>
      <c r="AR9191" s="1" t="str">
        <f t="shared" si="575"/>
        <v>| [ㄓˋ](ㄓˋ.md) | [踶](踶.md) |  | zhì | 參見「踶跂」條。 |</v>
      </c>
    </row>
    <row r="9192" spans="1:44" hidden="1">
      <c r="A9192" s="1" t="s">
        <v>17981</v>
      </c>
      <c r="C9192" s="1">
        <v>1</v>
      </c>
      <c r="D9192" s="1" t="str">
        <f>"07599"</f>
        <v>07599</v>
      </c>
      <c r="E9192" s="1" t="s">
        <v>558</v>
      </c>
      <c r="F9192" s="1">
        <v>16</v>
      </c>
      <c r="G9192" s="1">
        <v>12</v>
      </c>
      <c r="H9192" s="1">
        <v>2</v>
      </c>
      <c r="I9192" s="1" t="s">
        <v>17861</v>
      </c>
      <c r="K9192" s="1" t="str">
        <f t="shared" si="574"/>
        <v>ㄓ</v>
      </c>
      <c r="M9192" s="1" t="str">
        <f t="shared" si="576"/>
        <v/>
      </c>
      <c r="N9192" s="3" t="s">
        <v>30574</v>
      </c>
      <c r="O9192" s="3"/>
      <c r="P9192" s="1" t="s">
        <v>20</v>
      </c>
      <c r="R9192" s="1" t="s">
        <v>17862</v>
      </c>
      <c r="V9192" s="1" t="s">
        <v>17982</v>
      </c>
      <c r="W9192" s="1" t="s">
        <v>17983</v>
      </c>
      <c r="AR9192" s="1" t="str">
        <f t="shared" si="575"/>
        <v>| [ㄓˋ](ㄓˋ.md) | [遲](遲.md) |  | zhì | [動]
1.等待、期望。《後漢書．卷三．肅宗孝章帝紀》：「朕思遲直士，側席異聞。」南朝宋．謝靈運〈南樓中望所遲客詩〉：「登樓為誰思？臨江遲來客。」
2.一直到、等到。《漢書．卷九七．外戚傳上．高祖呂皇后傳》：「遲帝還，趙王死。」《三國志．卷一七．魏書．張郃傳》：「遲將軍到，亮得無已得陳倉乎！」 |</v>
      </c>
    </row>
    <row r="9193" spans="1:44" hidden="1">
      <c r="A9193" s="1" t="s">
        <v>17984</v>
      </c>
      <c r="C9193" s="1">
        <v>1</v>
      </c>
      <c r="D9193" s="1" t="str">
        <f>"07600"</f>
        <v>07600</v>
      </c>
      <c r="E9193" s="1" t="s">
        <v>1117</v>
      </c>
      <c r="F9193" s="1">
        <v>19</v>
      </c>
      <c r="G9193" s="1">
        <v>12</v>
      </c>
      <c r="H9193" s="1">
        <v>0</v>
      </c>
      <c r="I9193" s="1" t="s">
        <v>17861</v>
      </c>
      <c r="K9193" s="1" t="str">
        <f t="shared" si="574"/>
        <v>ㄓ</v>
      </c>
      <c r="M9193" s="1" t="str">
        <f t="shared" si="576"/>
        <v/>
      </c>
      <c r="N9193" s="3" t="s">
        <v>30574</v>
      </c>
      <c r="O9193" s="3"/>
      <c r="P9193" s="1" t="s">
        <v>20</v>
      </c>
      <c r="R9193" s="1" t="s">
        <v>17862</v>
      </c>
      <c r="V9193" s="1" t="s">
        <v>17985</v>
      </c>
      <c r="AR9193" s="1" t="str">
        <f t="shared" si="575"/>
        <v>| [ㄓˋ](ㄓˋ.md) | [觶](觶.md) |  | zhì | [名]
古代的一種飲酒器具。圓腹、侈口、圈足，形似小瓶，有蓋。《禮記．禮器》：「尊者舉觶，卑者舉角。」南朝宋．鮑照〈擬古詩〉八首之五：「呼我升上席，陳觶發瓢壺。」 |</v>
      </c>
    </row>
    <row r="9194" spans="1:44" hidden="1">
      <c r="A9194" s="1" t="s">
        <v>17748</v>
      </c>
      <c r="C9194" s="1">
        <v>1</v>
      </c>
      <c r="D9194" s="1" t="str">
        <f>"07489"</f>
        <v>07489</v>
      </c>
      <c r="E9194" s="1" t="s">
        <v>1015</v>
      </c>
      <c r="F9194" s="1">
        <v>8</v>
      </c>
      <c r="G9194" s="1">
        <v>3</v>
      </c>
      <c r="H9194" s="1">
        <v>0</v>
      </c>
      <c r="I9194" s="1" t="s">
        <v>17749</v>
      </c>
      <c r="K9194" s="1" t="str">
        <f t="shared" si="574"/>
        <v>ㄓ</v>
      </c>
      <c r="M9194" s="1" t="str">
        <f t="shared" si="576"/>
        <v/>
      </c>
      <c r="N9194" s="3" t="s">
        <v>30575</v>
      </c>
      <c r="O9194" s="3"/>
      <c r="P9194" s="1" t="s">
        <v>20</v>
      </c>
      <c r="R9194" s="1" t="s">
        <v>17750</v>
      </c>
      <c r="V9194" s="1" t="s">
        <v>17751</v>
      </c>
      <c r="AR9194" s="1" t="str">
        <f t="shared" si="575"/>
        <v>| [ㄓˊ](ㄓˊ.md) | [直](直.md) |  | zhí | [形]
1.不彎曲的。如：「筆直」、「直線」。
2.不邪曲，沒有私心的。如：「正直」、「耿直」。
3.縱的、豎的。如：「直行書寫」、「鉛直線」。
4.行為或性格坦白爽快。如：「心直口快」、「直性子」。
5.呆板、僵硬。如：「兩眼發直」、「雙腿僵直」。
[副]
1.但、只、不過。《孟子．梁惠王上》：「直不百步耳，是亦走也。」
2.竟然、居然。金．元好問〈水調歌頭．恨人閒〉詞：「恨人閒、情是何物，直教生死相許？」《水滸傳》第一回：「我直如此有眼不識真師，當面錯過。」
3.沒有間隔的。參見「直達」條。
[動]
1.抵得上。通「值」。《史記．卷三〇．平準書》：「乃以白鹿皮方尺，緣以藻繢，為皮幣，直四十萬。」
2.抵擋。《漢書．卷二三．刑法志》：「魏之武卒不可以直秦之銳士。」
3.當班、站勤。通「值」。《金史．卷一七．哀宗本紀上》：「日二人直，備顧問。」
[名]
1.報酬、酬金。《後漢書．卷四七．班超傳》：「為官寫書，受直以養老母。」
2.姓。如漢代有直不疑。 |</v>
      </c>
    </row>
    <row r="9195" spans="1:44" hidden="1">
      <c r="A9195" s="1" t="s">
        <v>17752</v>
      </c>
      <c r="C9195" s="1">
        <v>1</v>
      </c>
      <c r="D9195" s="1" t="str">
        <f>"07490"</f>
        <v>07490</v>
      </c>
      <c r="E9195" s="1" t="s">
        <v>114</v>
      </c>
      <c r="F9195" s="1">
        <v>10</v>
      </c>
      <c r="G9195" s="1">
        <v>8</v>
      </c>
      <c r="H9195" s="1">
        <v>1</v>
      </c>
      <c r="I9195" s="1" t="s">
        <v>17749</v>
      </c>
      <c r="K9195" s="1" t="str">
        <f t="shared" si="574"/>
        <v>ㄓ</v>
      </c>
      <c r="M9195" s="1" t="str">
        <f t="shared" si="576"/>
        <v/>
      </c>
      <c r="N9195" s="3" t="s">
        <v>30575</v>
      </c>
      <c r="O9195" s="3"/>
      <c r="P9195" s="1" t="s">
        <v>20</v>
      </c>
      <c r="R9195" s="1" t="s">
        <v>17750</v>
      </c>
      <c r="V9195" s="1" t="s">
        <v>17753</v>
      </c>
      <c r="W9195" s="1" t="s">
        <v>17754</v>
      </c>
      <c r="AR9195" s="1" t="str">
        <f t="shared" si="575"/>
        <v>| [ㄓˊ](ㄓˊ.md) | [值](值.md) |  | zhí | [名]
1.價格。如：「價值」。
2.數值的簡稱。如：「平均值」。
[動]
1.面對。《史記．卷一二二．酷吏傳．義縱傳》：「寧見乳虎，無值寧成之怒。」漢．王充《論衡．實知》：「至漢興，長樂在其東，未央宮在其西，武庫正值其墓，竟如所言。」
2.執行勤務。如：「值班」、「值勤」。
3.抵得上。《水滸傳》第六回：「值是值二千貫，只沒個識主。」《紅樓夢》第三一回：「幾把扇子，能值幾何？」 |</v>
      </c>
    </row>
    <row r="9196" spans="1:44" hidden="1">
      <c r="A9196" s="1" t="s">
        <v>17755</v>
      </c>
      <c r="C9196" s="1">
        <v>1</v>
      </c>
      <c r="D9196" s="1" t="str">
        <f>"07491"</f>
        <v>07491</v>
      </c>
      <c r="E9196" s="1" t="s">
        <v>132</v>
      </c>
      <c r="F9196" s="1">
        <v>11</v>
      </c>
      <c r="G9196" s="1">
        <v>8</v>
      </c>
      <c r="H9196" s="1">
        <v>0</v>
      </c>
      <c r="I9196" s="1" t="s">
        <v>17749</v>
      </c>
      <c r="K9196" s="1" t="str">
        <f t="shared" si="574"/>
        <v>ㄓ</v>
      </c>
      <c r="M9196" s="1" t="str">
        <f t="shared" si="576"/>
        <v/>
      </c>
      <c r="N9196" s="3" t="s">
        <v>30575</v>
      </c>
      <c r="O9196" s="3"/>
      <c r="P9196" s="1" t="s">
        <v>20</v>
      </c>
      <c r="R9196" s="1" t="s">
        <v>17750</v>
      </c>
      <c r="V9196" s="1" t="s">
        <v>17756</v>
      </c>
      <c r="AR9196" s="1" t="str">
        <f t="shared" si="575"/>
        <v>| [ㄓˊ](ㄓˊ.md) | [埴](埴.md) |  | zhí | [名]
1.黏土。《書經．禹貢》：「厥土赤埴，墳草木漸包。」《荀子．性惡》：「故陶人埏埴而為器，然則器生於工人之偽，非故生於人之性也。」
2.土地。漢．揚雄《法言．修身》：「擿埴索塗，冥行而已。」 |</v>
      </c>
    </row>
    <row r="9197" spans="1:44" hidden="1">
      <c r="A9197" s="1" t="s">
        <v>17757</v>
      </c>
      <c r="C9197" s="1">
        <v>1</v>
      </c>
      <c r="D9197" s="1" t="str">
        <f>"07492"</f>
        <v>07492</v>
      </c>
      <c r="E9197" s="1" t="s">
        <v>139</v>
      </c>
      <c r="F9197" s="1">
        <v>12</v>
      </c>
      <c r="G9197" s="1">
        <v>8</v>
      </c>
      <c r="H9197" s="1">
        <v>0</v>
      </c>
      <c r="I9197" s="1" t="s">
        <v>17749</v>
      </c>
      <c r="K9197" s="1" t="str">
        <f t="shared" si="574"/>
        <v>ㄓ</v>
      </c>
      <c r="M9197" s="1" t="str">
        <f t="shared" si="576"/>
        <v/>
      </c>
      <c r="N9197" s="3" t="s">
        <v>30575</v>
      </c>
      <c r="O9197" s="3"/>
      <c r="P9197" s="1" t="s">
        <v>20</v>
      </c>
      <c r="R9197" s="1" t="s">
        <v>17750</v>
      </c>
      <c r="V9197" s="1" t="s">
        <v>17758</v>
      </c>
      <c r="AR9197" s="1" t="str">
        <f t="shared" si="575"/>
        <v>| [ㄓˊ](ㄓˊ.md) | [植](植.md) |  | zhí | [名]
1.門外用來加鎖的直木。《爾雅．釋宮》：「植謂之傳，傳謂之突。」《墨子．非儒下》：「孔某為魯司寇，舍公家而奉季孫。季孫相魯君而走，季孫與邑人爭門關，決植。」
2.花草樹木的總稱。如：「植物」。南朝梁．劉勰《文心雕龍．原道》：「傍及萬品，動植皆文。」
[動]
1.放置、擺放。如：「植牙」、「植入晶片」。《書經．金縢》：「植璧秉珪，乃告太王、王季、文王。」
2.栽種、培育。如：「種植」、「培植」。漢．張衡〈東京賦〉：「植華平於春圃，豐朱草於中唐。」
3.樹立。《漢書．卷四八．賈誼傳》：「賢聖逆曳兮，方正倒植。」唐．柳宗元〈與太學諸生喜詣闕畱陽城司業書〉：「始僕少時，嘗有意遊太學，受師說，以植志持身焉。」
4.倚靠。《論語．微子》：「植其杖而芸。」三國魏．何晏．集解：「孔曰：『植，倚也。』」《文苑英華．卷五三五．唐．鄭務．卒史有文學判並對》：「曩者植杖而耘，未常釋卷。」 |</v>
      </c>
    </row>
    <row r="9198" spans="1:44" hidden="1">
      <c r="A9198" s="1" t="s">
        <v>17759</v>
      </c>
      <c r="C9198" s="1">
        <v>1</v>
      </c>
      <c r="D9198" s="1" t="str">
        <f>"07493"</f>
        <v>07493</v>
      </c>
      <c r="E9198" s="1" t="s">
        <v>1372</v>
      </c>
      <c r="F9198" s="1">
        <v>12</v>
      </c>
      <c r="G9198" s="1">
        <v>8</v>
      </c>
      <c r="H9198" s="1">
        <v>0</v>
      </c>
      <c r="I9198" s="1" t="s">
        <v>17749</v>
      </c>
      <c r="K9198" s="1" t="str">
        <f t="shared" si="574"/>
        <v>ㄓ</v>
      </c>
      <c r="M9198" s="1" t="str">
        <f t="shared" si="576"/>
        <v/>
      </c>
      <c r="N9198" s="3" t="s">
        <v>30575</v>
      </c>
      <c r="O9198" s="3"/>
      <c r="P9198" s="1" t="s">
        <v>20</v>
      </c>
      <c r="R9198" s="1" t="s">
        <v>17750</v>
      </c>
      <c r="V9198" s="1" t="s">
        <v>17760</v>
      </c>
      <c r="AR9198" s="1" t="str">
        <f t="shared" si="575"/>
        <v>| [ㄓˊ](ㄓˊ.md) | [殖](殖.md) |  | zhí | [動]
1.生長、孳息。如：「繁殖」、「生殖」。《左傳．隱公六年》：「見惡，如農夫之務去草焉……，絕其本根，勿使能殖。」
2.栽種。如：「墾殖」、「種殖」。《書經．呂刑》：「稷降播種，農殖嘉穀。」
3.經營、生財牟利。如：「貨殖」。《新五代史．卷三九．雜傳．王處直傳》：「父宗善殖財貨，富擬王侯。」
[名]
姓。如春秋時齊國有殖綽。 |</v>
      </c>
    </row>
    <row r="9199" spans="1:44" hidden="1">
      <c r="A9199" s="1" t="s">
        <v>17761</v>
      </c>
      <c r="C9199" s="1">
        <v>1</v>
      </c>
      <c r="D9199" s="1" t="str">
        <f>"07494"</f>
        <v>07494</v>
      </c>
      <c r="E9199" s="1" t="s">
        <v>518</v>
      </c>
      <c r="F9199" s="1">
        <v>12</v>
      </c>
      <c r="G9199" s="1">
        <v>8</v>
      </c>
      <c r="H9199" s="1">
        <v>0</v>
      </c>
      <c r="I9199" s="1" t="s">
        <v>17749</v>
      </c>
      <c r="K9199" s="1" t="str">
        <f t="shared" si="574"/>
        <v>ㄓ</v>
      </c>
      <c r="M9199" s="1" t="str">
        <f t="shared" si="576"/>
        <v/>
      </c>
      <c r="N9199" s="3" t="s">
        <v>30575</v>
      </c>
      <c r="O9199" s="3"/>
      <c r="P9199" s="1" t="s">
        <v>20</v>
      </c>
      <c r="R9199" s="1" t="s">
        <v>17750</v>
      </c>
      <c r="V9199" s="1" t="s">
        <v>17762</v>
      </c>
      <c r="AR9199" s="1" t="str">
        <f t="shared" si="575"/>
        <v>| [ㄓˊ](ㄓˊ.md) | [犆](犆.md) |  | zhí | [動]
緣飾、裝飾。《禮記．玉藻》：「君羔幦虎犆。」漢．鄭玄．注：「犆，讀如直道而行之直，直謂緣也。此君齋車之飾。」 |</v>
      </c>
    </row>
    <row r="9200" spans="1:44" hidden="1">
      <c r="A9200" s="1" t="s">
        <v>17763</v>
      </c>
      <c r="C9200" s="1">
        <v>1</v>
      </c>
      <c r="D9200" s="1" t="str">
        <f>"07495"</f>
        <v>07495</v>
      </c>
      <c r="E9200" s="1" t="s">
        <v>429</v>
      </c>
      <c r="F9200" s="1">
        <v>13</v>
      </c>
      <c r="G9200" s="1">
        <v>8</v>
      </c>
      <c r="H9200" s="1">
        <v>0</v>
      </c>
      <c r="I9200" s="1" t="s">
        <v>17749</v>
      </c>
      <c r="K9200" s="1" t="str">
        <f t="shared" ref="K9200:K9263" si="577">LEFT(I9200, 1)</f>
        <v>ㄓ</v>
      </c>
      <c r="M9200" s="1" t="str">
        <f t="shared" si="576"/>
        <v/>
      </c>
      <c r="N9200" s="3" t="s">
        <v>30575</v>
      </c>
      <c r="O9200" s="3"/>
      <c r="P9200" s="1" t="s">
        <v>20</v>
      </c>
      <c r="R9200" s="1" t="s">
        <v>17750</v>
      </c>
      <c r="V9200" s="1" t="s">
        <v>17764</v>
      </c>
      <c r="AR9200" s="1" t="str">
        <f t="shared" si="575"/>
        <v>| [ㄓˊ](ㄓˊ.md) | [稙](稙.md) |  | zhí | [動]
較早種植。《玉篇．禾部》：「稙，早種也。」《詩經．魯頌．閟宮》：「黍稷重穋，稙穉菽麥。」漢．毛亨．傳：「先種曰稙，後種曰穉。」 |</v>
      </c>
    </row>
    <row r="9201" spans="1:44" hidden="1">
      <c r="A9201" s="1" t="s">
        <v>17765</v>
      </c>
      <c r="C9201" s="1">
        <v>1</v>
      </c>
      <c r="D9201" s="1" t="str">
        <f>"07496"</f>
        <v>07496</v>
      </c>
      <c r="E9201" s="1" t="s">
        <v>114</v>
      </c>
      <c r="F9201" s="1">
        <v>8</v>
      </c>
      <c r="G9201" s="1">
        <v>6</v>
      </c>
      <c r="H9201" s="1">
        <v>0</v>
      </c>
      <c r="I9201" s="1" t="s">
        <v>17749</v>
      </c>
      <c r="K9201" s="1" t="str">
        <f t="shared" si="577"/>
        <v>ㄓ</v>
      </c>
      <c r="M9201" s="1" t="str">
        <f t="shared" si="576"/>
        <v/>
      </c>
      <c r="N9201" s="3" t="s">
        <v>30575</v>
      </c>
      <c r="O9201" s="3"/>
      <c r="P9201" s="1" t="s">
        <v>20</v>
      </c>
      <c r="R9201" s="1" t="s">
        <v>17750</v>
      </c>
      <c r="V9201" s="1" t="s">
        <v>17766</v>
      </c>
      <c r="AR9201" s="1" t="str">
        <f t="shared" si="575"/>
        <v>| [ㄓˊ](ㄓˊ.md) | [侄](侄.md) |  | zhí | [形]
堅固、牢固。《玉篇．人部》：「侄，牢也，堅也。」
[名]
同「姪」。 |</v>
      </c>
    </row>
    <row r="9202" spans="1:44" hidden="1">
      <c r="A9202" s="1" t="s">
        <v>17767</v>
      </c>
      <c r="C9202" s="1">
        <v>1</v>
      </c>
      <c r="D9202" s="1" t="str">
        <f>"07497"</f>
        <v>07497</v>
      </c>
      <c r="E9202" s="1" t="s">
        <v>24</v>
      </c>
      <c r="F9202" s="1">
        <v>9</v>
      </c>
      <c r="G9202" s="1">
        <v>6</v>
      </c>
      <c r="H9202" s="1">
        <v>0</v>
      </c>
      <c r="I9202" s="1" t="s">
        <v>17749</v>
      </c>
      <c r="K9202" s="1" t="str">
        <f t="shared" si="577"/>
        <v>ㄓ</v>
      </c>
      <c r="M9202" s="1" t="str">
        <f t="shared" si="576"/>
        <v/>
      </c>
      <c r="N9202" s="3" t="s">
        <v>30575</v>
      </c>
      <c r="O9202" s="3"/>
      <c r="P9202" s="1" t="s">
        <v>20</v>
      </c>
      <c r="R9202" s="1" t="s">
        <v>17750</v>
      </c>
      <c r="V9202" s="1" t="s">
        <v>17768</v>
      </c>
      <c r="AR9202" s="1" t="str">
        <f t="shared" si="575"/>
        <v>| [ㄓˊ](ㄓˊ.md) | [挃](挃.md) |  | zhí | [名]
參見「挃挃」條。
[動]
撞。《太平廣記．卷三四一．韋浦》：「主人有稚兒戲于門下，乃見歸以手挃其背，稚兒即驚悶絕，食頃不寤。」 |</v>
      </c>
    </row>
    <row r="9203" spans="1:44" hidden="1">
      <c r="A9203" s="1" t="s">
        <v>17769</v>
      </c>
      <c r="C9203" s="1">
        <v>1</v>
      </c>
      <c r="D9203" s="1" t="str">
        <f>"07498"</f>
        <v>07498</v>
      </c>
      <c r="E9203" s="1" t="s">
        <v>534</v>
      </c>
      <c r="F9203" s="1">
        <v>9</v>
      </c>
      <c r="G9203" s="1">
        <v>6</v>
      </c>
      <c r="H9203" s="1">
        <v>0</v>
      </c>
      <c r="I9203" s="1" t="s">
        <v>17749</v>
      </c>
      <c r="K9203" s="1" t="str">
        <f t="shared" si="577"/>
        <v>ㄓ</v>
      </c>
      <c r="M9203" s="1" t="str">
        <f t="shared" si="576"/>
        <v/>
      </c>
      <c r="N9203" s="3" t="s">
        <v>30575</v>
      </c>
      <c r="O9203" s="3"/>
      <c r="P9203" s="1" t="s">
        <v>20</v>
      </c>
      <c r="R9203" s="1" t="s">
        <v>17750</v>
      </c>
      <c r="V9203" s="1" t="s">
        <v>17770</v>
      </c>
      <c r="AR9203" s="1" t="str">
        <f t="shared" si="575"/>
        <v>| [ㄓˊ](ㄓˊ.md) | [姪](姪.md) |  | zhí | [名]
稱謂：(1)用以稱兄弟的子女。如：「姪女」、「姪子」。(2)用以稱親友的子女。如：「賢姪」、「世姪」。(3)對父執輩的自稱。《儒林外史》第三一回：「小姪已經把他令郎、令孫都接在此侍奉湯藥。」 |</v>
      </c>
    </row>
    <row r="9204" spans="1:44" hidden="1">
      <c r="A9204" s="1" t="s">
        <v>5300</v>
      </c>
      <c r="C9204" s="1">
        <v>1</v>
      </c>
      <c r="D9204" s="1" t="str">
        <f>"07499"</f>
        <v>07499</v>
      </c>
      <c r="E9204" s="1" t="s">
        <v>139</v>
      </c>
      <c r="F9204" s="1">
        <v>9</v>
      </c>
      <c r="G9204" s="1">
        <v>5</v>
      </c>
      <c r="H9204" s="1">
        <v>1</v>
      </c>
      <c r="I9204" s="1" t="s">
        <v>17749</v>
      </c>
      <c r="K9204" s="1" t="str">
        <f t="shared" si="577"/>
        <v>ㄓ</v>
      </c>
      <c r="M9204" s="1" t="str">
        <f t="shared" si="576"/>
        <v/>
      </c>
      <c r="N9204" s="3" t="s">
        <v>30575</v>
      </c>
      <c r="O9204" s="3"/>
      <c r="P9204" s="1" t="s">
        <v>20</v>
      </c>
      <c r="R9204" s="1" t="s">
        <v>17750</v>
      </c>
      <c r="V9204" s="1" t="s">
        <v>17771</v>
      </c>
      <c r="W9204" s="1" t="s">
        <v>17772</v>
      </c>
      <c r="AR9204" s="1" t="str">
        <f t="shared" si="575"/>
        <v>| [ㄓˊ](ㄓˊ.md) | [柣](柣.md) |  | zhí | [名]
門檻。即門下所設的橫木。《爾雅．釋宮》：「柣謂之閾，棖謂之楔。」 |</v>
      </c>
    </row>
    <row r="9205" spans="1:44" hidden="1">
      <c r="A9205" s="1" t="s">
        <v>17773</v>
      </c>
      <c r="C9205" s="1">
        <v>1</v>
      </c>
      <c r="D9205" s="1" t="str">
        <f>"07500"</f>
        <v>07500</v>
      </c>
      <c r="E9205" s="1" t="s">
        <v>132</v>
      </c>
      <c r="F9205" s="1">
        <v>11</v>
      </c>
      <c r="G9205" s="1">
        <v>8</v>
      </c>
      <c r="H9205" s="1">
        <v>0</v>
      </c>
      <c r="I9205" s="1" t="s">
        <v>17749</v>
      </c>
      <c r="K9205" s="1" t="str">
        <f t="shared" si="577"/>
        <v>ㄓ</v>
      </c>
      <c r="M9205" s="1" t="str">
        <f t="shared" si="576"/>
        <v/>
      </c>
      <c r="N9205" s="3" t="s">
        <v>30575</v>
      </c>
      <c r="O9205" s="3"/>
      <c r="P9205" s="1" t="s">
        <v>20</v>
      </c>
      <c r="R9205" s="1" t="s">
        <v>17750</v>
      </c>
      <c r="V9205" s="1" t="s">
        <v>17774</v>
      </c>
      <c r="AR9205" s="1" t="str">
        <f t="shared" si="575"/>
        <v>| [ㄓˊ](ㄓˊ.md) | [執](執.md) |  | zhí | [動]
1.拿著、握著。《詩經．邶風．簡兮》：「左手執籥，右手秉翟。」《西遊記》第一三回：「三藏心驚，輪開手，牽衣執袂，滴淚難分。」
2.拘捕、捉拿。《詩經．大雅．常武》：「鋪敦淮濆，仍執醜虜。」《左傳．僖公五年》：「遂襲虞，滅之，執虞公及其大夫井伯。」
3.持守、掌握。如：「擇善固執」。《書經．大禹謨》：「人心惟危，道心惟微，惟精惟一，允執厥中。」
4.堵住、隔絕。《左傳．僖公二十八年》：「子玉使伯棼請戰，曰：『非敢必有功也，願以閒執讒慝之口。』」
5.治理、掌理。如：「執政」。《詩經．豳風．七月》：「嗟我農夫，我稼既同，上入執宮功。」《史記．卷四七．孔子世家》：「季氏亦僭於公室，陪臣執國政，是以魯自大夫以下皆僭離於正道。」
6.實行。如：「執法」。南朝梁．劉勰《文心雕龍．宗經》：「禮以立體，據事制範，章條纖曲，執而後顯，採掇言，莫非寶也。」
7.糾結。《國語．越語上》：「寡人不知其力之不足也，而又與大國執讎，以暴露百姓之骨於中原，此則寡人之罪也。」
[名]
1.好朋友。《禮記．曲禮上》：「見父之執，不謂之進，不敢進；不謂之退，不敢退。」
2.憑證。如：「回執」、「收執」。 |</v>
      </c>
    </row>
    <row r="9206" spans="1:44" hidden="1">
      <c r="A9206" s="1" t="s">
        <v>17775</v>
      </c>
      <c r="C9206" s="1">
        <v>1</v>
      </c>
      <c r="D9206" s="1" t="str">
        <f>"07501"</f>
        <v>07501</v>
      </c>
      <c r="E9206" s="1" t="s">
        <v>679</v>
      </c>
      <c r="F9206" s="1">
        <v>17</v>
      </c>
      <c r="G9206" s="1">
        <v>11</v>
      </c>
      <c r="H9206" s="1">
        <v>1</v>
      </c>
      <c r="I9206" s="1" t="s">
        <v>17749</v>
      </c>
      <c r="K9206" s="1" t="str">
        <f t="shared" si="577"/>
        <v>ㄓ</v>
      </c>
      <c r="M9206" s="1" t="str">
        <f t="shared" si="576"/>
        <v/>
      </c>
      <c r="N9206" s="3" t="s">
        <v>30575</v>
      </c>
      <c r="O9206" s="3"/>
      <c r="P9206" s="1" t="s">
        <v>186</v>
      </c>
      <c r="R9206" s="1" t="s">
        <v>17750</v>
      </c>
      <c r="V9206" s="1" t="s">
        <v>17776</v>
      </c>
      <c r="W9206" s="1" t="s">
        <v>17777</v>
      </c>
      <c r="AR9206" s="1" t="str">
        <f t="shared" si="575"/>
        <v>| [ㄓˊ](ㄓˊ.md) | [蟄](蟄.md) |  | zhí | [動]
1.動物入冬藏伏土中，不飲不食，稱為「蟄」。晉．干寶《搜神記》卷一二：「蟲土閉而蟄，魚淵潛而處。」
2.隱藏潛伏。民國．孫文〈黃花岡烈士事略序〉：「久蟄之人心，乃大興奮。」 |</v>
      </c>
    </row>
    <row r="9207" spans="1:44" hidden="1">
      <c r="A9207" s="1" t="s">
        <v>17778</v>
      </c>
      <c r="C9207" s="1">
        <v>1</v>
      </c>
      <c r="D9207" s="1" t="str">
        <f>"07502"</f>
        <v>07502</v>
      </c>
      <c r="E9207" s="1" t="s">
        <v>725</v>
      </c>
      <c r="F9207" s="1">
        <v>17</v>
      </c>
      <c r="G9207" s="1">
        <v>11</v>
      </c>
      <c r="H9207" s="1">
        <v>0</v>
      </c>
      <c r="I9207" s="1" t="s">
        <v>17749</v>
      </c>
      <c r="K9207" s="1" t="str">
        <f t="shared" si="577"/>
        <v>ㄓ</v>
      </c>
      <c r="M9207" s="1" t="str">
        <f t="shared" si="576"/>
        <v/>
      </c>
      <c r="N9207" s="3" t="s">
        <v>30575</v>
      </c>
      <c r="O9207" s="3"/>
      <c r="P9207" s="1" t="s">
        <v>20</v>
      </c>
      <c r="R9207" s="1" t="s">
        <v>17750</v>
      </c>
      <c r="V9207" s="1" t="s">
        <v>17779</v>
      </c>
      <c r="AR9207" s="1" t="str">
        <f t="shared" si="575"/>
        <v>| [ㄓˊ](ㄓˊ.md) | [縶](縶.md) |  | zhí | [動]
1.拴住馬腳。《廣韻．入聲．緝韻》：「縶，繫馬。」如：「縶馬」。
2.捆綁、繫絆。《莊子．秋水》：「東海之鱉，左足未入，而右膝已縶矣。」宋．洪邁《容齋續筆．卷一二．無用之用》：「今夫飛者以翼為用，縶其足，則不能飛。」
3.拘囚、監禁。漢．李陵〈答蘇武書〉：「昔蕭樊囚縶，韓彭葅醢。」
[名]
繫馬的韁繩。《左傳．成公二年》：「韓厥執縶馬前，再拜稽首。」唐．柳宗元〈答問〉：「而又裹以罪惡，纏以羈縶。」 |</v>
      </c>
    </row>
    <row r="9208" spans="1:44" hidden="1">
      <c r="A9208" s="1" t="s">
        <v>17780</v>
      </c>
      <c r="C9208" s="1">
        <v>1</v>
      </c>
      <c r="D9208" s="1" t="str">
        <f>"07503"</f>
        <v>07503</v>
      </c>
      <c r="E9208" s="1" t="s">
        <v>77</v>
      </c>
      <c r="F9208" s="1">
        <v>12</v>
      </c>
      <c r="G9208" s="1">
        <v>5</v>
      </c>
      <c r="H9208" s="1">
        <v>1</v>
      </c>
      <c r="I9208" s="1" t="s">
        <v>17749</v>
      </c>
      <c r="K9208" s="1" t="str">
        <f t="shared" si="577"/>
        <v>ㄓ</v>
      </c>
      <c r="M9208" s="1" t="str">
        <f t="shared" si="576"/>
        <v/>
      </c>
      <c r="N9208" s="3" t="s">
        <v>30575</v>
      </c>
      <c r="O9208" s="3"/>
      <c r="P9208" s="1" t="s">
        <v>20</v>
      </c>
      <c r="R9208" s="1" t="s">
        <v>17750</v>
      </c>
      <c r="V9208" s="1" t="s">
        <v>17781</v>
      </c>
      <c r="W9208" s="1" t="s">
        <v>17782</v>
      </c>
      <c r="AR9208" s="1" t="str">
        <f t="shared" si="575"/>
        <v>| [ㄓˊ](ㄓˊ.md) | [跖](跖.md) |  | zhí | [名]
1.腳掌。《說文解字．足部》：「跖，足下也。」清．段玉裁．注：「今所謂腳掌也。」唐．韓愈〈祭河南張員外文〉：「夜息南山，同臥一席；守隸防夫，觝頂交跖。」
2.人名用字。春秋時大盜，當時人稱為「盜跖」。 |</v>
      </c>
    </row>
    <row r="9209" spans="1:44" hidden="1">
      <c r="A9209" s="1" t="s">
        <v>17783</v>
      </c>
      <c r="C9209" s="1">
        <v>1</v>
      </c>
      <c r="D9209" s="1" t="str">
        <f>"07504"</f>
        <v>07504</v>
      </c>
      <c r="E9209" s="1" t="s">
        <v>24</v>
      </c>
      <c r="F9209" s="1">
        <v>14</v>
      </c>
      <c r="G9209" s="1">
        <v>11</v>
      </c>
      <c r="H9209" s="1">
        <v>0</v>
      </c>
      <c r="I9209" s="1" t="s">
        <v>17749</v>
      </c>
      <c r="K9209" s="1" t="str">
        <f t="shared" si="577"/>
        <v>ㄓ</v>
      </c>
      <c r="M9209" s="1" t="str">
        <f t="shared" si="576"/>
        <v/>
      </c>
      <c r="N9209" s="3" t="s">
        <v>30575</v>
      </c>
      <c r="O9209" s="3"/>
      <c r="P9209" s="1" t="s">
        <v>20</v>
      </c>
      <c r="R9209" s="1" t="s">
        <v>17750</v>
      </c>
      <c r="V9209" s="1" t="s">
        <v>17784</v>
      </c>
      <c r="AR9209" s="1" t="str">
        <f t="shared" si="575"/>
        <v>| [ㄓˊ](ㄓˊ.md) | [摭](摭.md) |  | zhí | [動]
拾起、摘取。如：「摭拾」、「採摭」。《文選．張衡．思玄賦》：「摭若華而躊躇。」《儒林外史》第二三回：「若說做官，只怕紗帽滿天飛，飛到他頭上，還有人摭了他的去哩！」 |</v>
      </c>
    </row>
    <row r="9210" spans="1:44" hidden="1">
      <c r="A9210" s="1" t="s">
        <v>17785</v>
      </c>
      <c r="C9210" s="1">
        <v>1</v>
      </c>
      <c r="D9210" s="1" t="str">
        <f>"07505"</f>
        <v>07505</v>
      </c>
      <c r="E9210" s="1" t="s">
        <v>77</v>
      </c>
      <c r="F9210" s="1">
        <v>18</v>
      </c>
      <c r="G9210" s="1">
        <v>11</v>
      </c>
      <c r="H9210" s="1">
        <v>0</v>
      </c>
      <c r="I9210" s="1" t="s">
        <v>17749</v>
      </c>
      <c r="K9210" s="1" t="str">
        <f t="shared" si="577"/>
        <v>ㄓ</v>
      </c>
      <c r="M9210" s="1" t="str">
        <f t="shared" si="576"/>
        <v/>
      </c>
      <c r="N9210" s="3" t="s">
        <v>30575</v>
      </c>
      <c r="O9210" s="3"/>
      <c r="P9210" s="1" t="s">
        <v>20</v>
      </c>
      <c r="R9210" s="1" t="s">
        <v>17750</v>
      </c>
      <c r="V9210" s="1" t="s">
        <v>17786</v>
      </c>
      <c r="AR9210" s="1" t="str">
        <f t="shared" si="575"/>
        <v>| [ㄓˊ](ㄓˊ.md) | [蹠](蹠.md) |  | zhí | [名]
腳掌。《戰國策．楚策一》：「於是贏糧潛行，上崢山，踰深谿，蹠穿膝暴。」
[動]
1.踐踏。明．徐弘祖《徐霞客遊記．卷九上．滇遊日記十》：「下午雨少止，濘甚，蹠泥往潘生家，不遇。」
2.到達。《文選．曹植．七啟》：「蹻捷若飛，蹈虛遠蹠。」 |</v>
      </c>
    </row>
    <row r="9211" spans="1:44" hidden="1">
      <c r="A9211" s="1" t="s">
        <v>17787</v>
      </c>
      <c r="C9211" s="1">
        <v>1</v>
      </c>
      <c r="D9211" s="1" t="str">
        <f>"07506"</f>
        <v>07506</v>
      </c>
      <c r="E9211" s="1" t="s">
        <v>505</v>
      </c>
      <c r="F9211" s="1">
        <v>15</v>
      </c>
      <c r="G9211" s="1">
        <v>8</v>
      </c>
      <c r="H9211" s="1">
        <v>1</v>
      </c>
      <c r="I9211" s="1" t="s">
        <v>17749</v>
      </c>
      <c r="K9211" s="1" t="str">
        <f t="shared" si="577"/>
        <v>ㄓ</v>
      </c>
      <c r="M9211" s="1" t="str">
        <f t="shared" si="576"/>
        <v/>
      </c>
      <c r="N9211" s="3" t="s">
        <v>30575</v>
      </c>
      <c r="O9211" s="3"/>
      <c r="P9211" s="1" t="s">
        <v>20</v>
      </c>
      <c r="R9211" s="1" t="s">
        <v>17750</v>
      </c>
      <c r="V9211" s="1" t="s">
        <v>17788</v>
      </c>
      <c r="W9211" s="1" t="s">
        <v>17789</v>
      </c>
      <c r="AR9211" s="1" t="str">
        <f t="shared" si="575"/>
        <v>| [ㄓˊ](ㄓˊ.md) | [質](質.md) |  | zhí | [名]
1.事物的根本、特性。如：「特質」、「流質」。《論語．衛靈公》：「君子義以為質，禮以行之。」《史記．卷二四．樂書》：「中正無邪，禮之質也。」
2.人的天性稟賦。如：「資質」。
3.樸實的本性。如：「文質彬彬」。《論語．雍也》：「質勝文則野，文勝質則史。」《韓非子．解老》：「夫君子取情而去貌，好質而惡飾。」
4.形軀、形體。三國魏．曹植〈愍志賦〉：「豈良時之難俟，痛余質之日虧。」
5.箭靶、標的。《荀子．勸學》：「是故質的張而弓矢至焉。」《後漢書．卷六十上．馬融》：「流矢雨墜，各指所質。」
6.古代的一種刑具。《史記．卷九六．張丞相傳》：「蒼坐法當斬，解衣伏質。」
[動]
詰問。《禮記．中庸》：「質諸鬼神而無疑。」 |</v>
      </c>
    </row>
    <row r="9212" spans="1:44" hidden="1">
      <c r="A9212" s="1" t="s">
        <v>17790</v>
      </c>
      <c r="C9212" s="1">
        <v>1</v>
      </c>
      <c r="D9212" s="1" t="str">
        <f>"07507"</f>
        <v>07507</v>
      </c>
      <c r="E9212" s="1" t="s">
        <v>169</v>
      </c>
      <c r="F9212" s="1">
        <v>20</v>
      </c>
      <c r="G9212" s="1">
        <v>15</v>
      </c>
      <c r="H9212" s="1">
        <v>0</v>
      </c>
      <c r="I9212" s="1" t="s">
        <v>17749</v>
      </c>
      <c r="K9212" s="1" t="str">
        <f t="shared" si="577"/>
        <v>ㄓ</v>
      </c>
      <c r="M9212" s="1" t="str">
        <f t="shared" si="576"/>
        <v/>
      </c>
      <c r="N9212" s="3" t="s">
        <v>30575</v>
      </c>
      <c r="O9212" s="3"/>
      <c r="P9212" s="1" t="s">
        <v>20</v>
      </c>
      <c r="R9212" s="1" t="s">
        <v>17750</v>
      </c>
      <c r="V9212" s="1" t="s">
        <v>17791</v>
      </c>
      <c r="AR9212" s="1" t="str">
        <f t="shared" si="575"/>
        <v>| [ㄓˊ](ㄓˊ.md) | [礩](礩.md) |  | zhí | [名]
支柱下的石頭。明．張自烈《正字通．石部》：「礎，柱下石。礎與礩異名同實。」 |</v>
      </c>
    </row>
    <row r="9213" spans="1:44" hidden="1">
      <c r="A9213" s="1" t="s">
        <v>17792</v>
      </c>
      <c r="C9213" s="1">
        <v>1</v>
      </c>
      <c r="D9213" s="1" t="str">
        <f>"07508"</f>
        <v>07508</v>
      </c>
      <c r="E9213" s="1" t="s">
        <v>139</v>
      </c>
      <c r="F9213" s="1">
        <v>16</v>
      </c>
      <c r="G9213" s="1">
        <v>12</v>
      </c>
      <c r="H9213" s="1">
        <v>0</v>
      </c>
      <c r="I9213" s="1" t="s">
        <v>17749</v>
      </c>
      <c r="K9213" s="1" t="str">
        <f t="shared" si="577"/>
        <v>ㄓ</v>
      </c>
      <c r="M9213" s="1" t="str">
        <f t="shared" si="576"/>
        <v/>
      </c>
      <c r="N9213" s="3" t="s">
        <v>30575</v>
      </c>
      <c r="O9213" s="3"/>
      <c r="P9213" s="1" t="s">
        <v>20</v>
      </c>
      <c r="R9213" s="1" t="s">
        <v>17750</v>
      </c>
      <c r="V9213" s="1" t="s">
        <v>17793</v>
      </c>
      <c r="AR9213" s="1" t="str">
        <f t="shared" si="575"/>
        <v>| [ㄓˊ](ㄓˊ.md) | [樴](樴.md) |  | zhí | [名]
樁子。民國．章太炎《新方言．釋宮》：「樴者，識也。今揚州謂立木為表曰木樴子，立石為表曰石樴子。」 |</v>
      </c>
    </row>
    <row r="9214" spans="1:44" hidden="1">
      <c r="A9214" s="1" t="s">
        <v>17794</v>
      </c>
      <c r="C9214" s="1">
        <v>1</v>
      </c>
      <c r="D9214" s="1" t="str">
        <f>"07509"</f>
        <v>07509</v>
      </c>
      <c r="E9214" s="1" t="s">
        <v>68</v>
      </c>
      <c r="F9214" s="1">
        <v>16</v>
      </c>
      <c r="G9214" s="1">
        <v>12</v>
      </c>
      <c r="H9214" s="1">
        <v>0</v>
      </c>
      <c r="I9214" s="1" t="s">
        <v>17749</v>
      </c>
      <c r="K9214" s="1" t="str">
        <f t="shared" si="577"/>
        <v>ㄓ</v>
      </c>
      <c r="M9214" s="1" t="str">
        <f t="shared" si="576"/>
        <v/>
      </c>
      <c r="N9214" s="3" t="s">
        <v>30575</v>
      </c>
      <c r="O9214" s="3"/>
      <c r="P9214" s="1" t="s">
        <v>20</v>
      </c>
      <c r="R9214" s="1" t="s">
        <v>17750</v>
      </c>
      <c r="V9214" s="1" t="s">
        <v>17795</v>
      </c>
      <c r="AR9214" s="1" t="str">
        <f t="shared" si="575"/>
        <v>| [ㄓˊ](ㄓˊ.md) | [膱](膱.md) |  | zhí | [名]
肉脯、乾肉條。《集韻．入聲．職韻》：「膱，脯脡也，長尺有寸。」《儀禮．鄉射禮》：「薦脯用籩五膱，祭半膱橫於上，醢以豆，出自東房，膱長尺二寸。」 |</v>
      </c>
    </row>
    <row r="9215" spans="1:44" hidden="1">
      <c r="A9215" s="1" t="s">
        <v>17796</v>
      </c>
      <c r="C9215" s="1">
        <v>1</v>
      </c>
      <c r="D9215" s="1" t="str">
        <f>"07510"</f>
        <v>07510</v>
      </c>
      <c r="E9215" s="1" t="s">
        <v>2419</v>
      </c>
      <c r="F9215" s="1">
        <v>18</v>
      </c>
      <c r="G9215" s="1">
        <v>12</v>
      </c>
      <c r="H9215" s="1">
        <v>0</v>
      </c>
      <c r="I9215" s="1" t="s">
        <v>17749</v>
      </c>
      <c r="K9215" s="1" t="str">
        <f t="shared" si="577"/>
        <v>ㄓ</v>
      </c>
      <c r="M9215" s="1" t="str">
        <f t="shared" si="576"/>
        <v/>
      </c>
      <c r="N9215" s="3" t="s">
        <v>30575</v>
      </c>
      <c r="O9215" s="3"/>
      <c r="P9215" s="1" t="s">
        <v>20</v>
      </c>
      <c r="R9215" s="1" t="s">
        <v>17750</v>
      </c>
      <c r="V9215" s="1" t="s">
        <v>17797</v>
      </c>
      <c r="AR9215" s="1" t="str">
        <f t="shared" si="575"/>
        <v>| [ㄓˊ](ㄓˊ.md) | [職](職.md) |  | zhí | [名]
1.工作事務。如：「辭職」、「身居要職」。
2.工作性質的分類。如：「文職」、「武職」、「公職」。
3.下屬對上司的自稱。如：「職等奉命」。《元史．卷六四．河渠志一》：「今卑職至真州，問得造船作頭。」
4.職業學校的簡稱。如：「高職」、「商職」。
5.姓。如漢代有職洪。
[動]
掌管、管理。如：「職掌大權」。
[助]
惟、只，常用於句首。唐．柳宗元〈天爵論〉：「然則聖賢之異愚也，職此而已。」 |</v>
      </c>
    </row>
    <row r="9216" spans="1:44" hidden="1">
      <c r="A9216" s="1" t="s">
        <v>17798</v>
      </c>
      <c r="C9216" s="1">
        <v>1</v>
      </c>
      <c r="D9216" s="1" t="str">
        <f>"07511"</f>
        <v>07511</v>
      </c>
      <c r="E9216" s="1" t="s">
        <v>679</v>
      </c>
      <c r="F9216" s="1">
        <v>18</v>
      </c>
      <c r="G9216" s="1">
        <v>12</v>
      </c>
      <c r="H9216" s="1">
        <v>0</v>
      </c>
      <c r="I9216" s="1" t="s">
        <v>17749</v>
      </c>
      <c r="K9216" s="1" t="str">
        <f t="shared" si="577"/>
        <v>ㄓ</v>
      </c>
      <c r="M9216" s="1" t="str">
        <f t="shared" si="576"/>
        <v/>
      </c>
      <c r="N9216" s="3" t="s">
        <v>30575</v>
      </c>
      <c r="O9216" s="3"/>
      <c r="P9216" s="1" t="s">
        <v>20</v>
      </c>
      <c r="R9216" s="1" t="s">
        <v>17750</v>
      </c>
      <c r="V9216" s="1" t="s">
        <v>17799</v>
      </c>
      <c r="AR9216" s="1" t="str">
        <f t="shared" si="575"/>
        <v>| [ㄓˊ](ㄓˊ.md) | [蟙](蟙.md) |  | zhí | [名]
動物名。即高腳蟹。甲殼綱蛛蟹科。產於日本東京灣以南的深海中。頭胸甲長達三十八公分，形似葫蘆，螯足細而長，達一、二公尺；兩螯足展開，相距達三公尺以上，是世界上最大的蟹。 |</v>
      </c>
    </row>
    <row r="9217" spans="1:44" hidden="1">
      <c r="A9217" s="1" t="s">
        <v>17800</v>
      </c>
      <c r="C9217" s="1">
        <v>1</v>
      </c>
      <c r="D9217" s="1" t="str">
        <f>"07512"</f>
        <v>07512</v>
      </c>
      <c r="E9217" s="1" t="s">
        <v>24</v>
      </c>
      <c r="F9217" s="1">
        <v>18</v>
      </c>
      <c r="G9217" s="1">
        <v>15</v>
      </c>
      <c r="H9217" s="1">
        <v>0</v>
      </c>
      <c r="I9217" s="1" t="s">
        <v>17749</v>
      </c>
      <c r="K9217" s="1" t="str">
        <f t="shared" si="577"/>
        <v>ㄓ</v>
      </c>
      <c r="M9217" s="1" t="str">
        <f t="shared" si="576"/>
        <v/>
      </c>
      <c r="N9217" s="3" t="s">
        <v>30575</v>
      </c>
      <c r="O9217" s="3"/>
      <c r="P9217" s="1" t="s">
        <v>20</v>
      </c>
      <c r="R9217" s="1" t="s">
        <v>17750</v>
      </c>
      <c r="V9217" s="1" t="s">
        <v>17801</v>
      </c>
      <c r="AR9217" s="1" t="str">
        <f t="shared" si="575"/>
        <v>| [ㄓˊ](ㄓˊ.md) | [擲](擲.md) |  | zhí | [動]
1.拋投、丟扔。如：「投擲」、「擲鐵餅」。《晉書．卷五六．孫楚傳》：「卿試擲地，當作金石聲也。」
2.拋棄。如：「棄擲」。晉．陶淵明〈雜詩〉一二首之二：「日月擲人去，有志不獲騁。」
3.跳躍。唐．周賀〈晚題江館〉詩：「澄波月上見魚擲，晚徑葉多聞犬行。」 |</v>
      </c>
    </row>
    <row r="9218" spans="1:44" hidden="1">
      <c r="A9218" s="1" t="s">
        <v>17802</v>
      </c>
      <c r="C9218" s="1">
        <v>1</v>
      </c>
      <c r="D9218" s="1" t="str">
        <f>"07513"</f>
        <v>07513</v>
      </c>
      <c r="E9218" s="1" t="s">
        <v>77</v>
      </c>
      <c r="F9218" s="1">
        <v>22</v>
      </c>
      <c r="G9218" s="1">
        <v>15</v>
      </c>
      <c r="H9218" s="1">
        <v>0</v>
      </c>
      <c r="I9218" s="1" t="s">
        <v>17749</v>
      </c>
      <c r="K9218" s="1" t="str">
        <f t="shared" si="577"/>
        <v>ㄓ</v>
      </c>
      <c r="M9218" s="1" t="str">
        <f t="shared" si="576"/>
        <v/>
      </c>
      <c r="N9218" s="3" t="s">
        <v>30575</v>
      </c>
      <c r="O9218" s="3"/>
      <c r="P9218" s="1" t="s">
        <v>20</v>
      </c>
      <c r="R9218" s="1" t="s">
        <v>17750</v>
      </c>
      <c r="V9218" s="1" t="s">
        <v>17803</v>
      </c>
      <c r="AR9218" s="1" t="str">
        <f t="shared" si="575"/>
        <v>| [ㄓˊ](ㄓˊ.md) | [躑](躑.md) |  | zhí | 參見「躑躅」條。 |</v>
      </c>
    </row>
    <row r="9219" spans="1:44" hidden="1">
      <c r="A9219" s="1" t="s">
        <v>6495</v>
      </c>
      <c r="C9219" s="1">
        <v>1</v>
      </c>
      <c r="D9219" s="1" t="str">
        <f>"07514"</f>
        <v>07514</v>
      </c>
      <c r="E9219" s="1" t="s">
        <v>24</v>
      </c>
      <c r="F9219" s="1">
        <v>18</v>
      </c>
      <c r="G9219" s="1">
        <v>15</v>
      </c>
      <c r="H9219" s="1">
        <v>1</v>
      </c>
      <c r="I9219" s="1" t="s">
        <v>17749</v>
      </c>
      <c r="K9219" s="1" t="str">
        <f t="shared" si="577"/>
        <v>ㄓ</v>
      </c>
      <c r="M9219" s="1" t="str">
        <f t="shared" si="576"/>
        <v/>
      </c>
      <c r="N9219" s="3" t="s">
        <v>30575</v>
      </c>
      <c r="O9219" s="3"/>
      <c r="P9219" s="1" t="s">
        <v>20</v>
      </c>
      <c r="R9219" s="1" t="s">
        <v>17750</v>
      </c>
      <c r="V9219" s="1" t="s">
        <v>17804</v>
      </c>
      <c r="W9219" s="1" t="s">
        <v>17805</v>
      </c>
      <c r="AR9219" s="1" t="str">
        <f t="shared" ref="AR9219:AR9282" si="578">"| ["&amp;I9219&amp;"]("&amp;I9219&amp;".md) | ["&amp;A9219&amp;"]("&amp;A9219&amp;".md) | "&amp;" | "&amp;R9219&amp;" | "&amp;V9219&amp;" |"</f>
        <v>| [ㄓˊ](ㄓˊ.md) | [擿](擿.md) |  | zhí | [動]_x000D_
1.搔。《說文解字．手部》：「擿，搔也。」《列子．黃帝》：「斫撻無傷痛，指擿無痟癢。」_x000D_
2.投。通「擲」。《史記．卷八六．刺客列傳．荊軻》：「乃引其匕首以擿秦王，不中，中桐柱。」_x000D_
[名]_x000D_
髮簪。即搔頭。《續漢書志．第三〇．輿服志下》：「簪以玳瑁為擿。」 |</v>
      </c>
    </row>
    <row r="9220" spans="1:44" hidden="1">
      <c r="A9220" s="1" t="s">
        <v>5191</v>
      </c>
      <c r="C9220" s="1">
        <v>1</v>
      </c>
      <c r="D9220" s="1" t="str">
        <f>"07515"</f>
        <v>07515</v>
      </c>
      <c r="E9220" s="1" t="s">
        <v>77</v>
      </c>
      <c r="F9220" s="1">
        <v>18</v>
      </c>
      <c r="G9220" s="1">
        <v>11</v>
      </c>
      <c r="H9220" s="1">
        <v>1</v>
      </c>
      <c r="I9220" s="1" t="s">
        <v>17749</v>
      </c>
      <c r="K9220" s="1" t="str">
        <f t="shared" si="577"/>
        <v>ㄓ</v>
      </c>
      <c r="M9220" s="1" t="str">
        <f t="shared" si="576"/>
        <v/>
      </c>
      <c r="N9220" s="3" t="s">
        <v>30575</v>
      </c>
      <c r="O9220" s="3"/>
      <c r="P9220" s="1" t="s">
        <v>20</v>
      </c>
      <c r="R9220" s="1" t="s">
        <v>17750</v>
      </c>
      <c r="V9220" s="1" t="s">
        <v>17806</v>
      </c>
      <c r="W9220" s="1" t="s">
        <v>17807</v>
      </c>
      <c r="AR9220" s="1" t="str">
        <f t="shared" si="578"/>
        <v>| [ㄓˊ](ㄓˊ.md) | [蹢](蹢.md) |  | zhí | 參見「蹢躅」條。 |</v>
      </c>
    </row>
    <row r="9221" spans="1:44" hidden="1">
      <c r="A9221" s="1" t="s">
        <v>17808</v>
      </c>
      <c r="C9221" s="1">
        <v>1</v>
      </c>
      <c r="D9221" s="1" t="str">
        <f>"07516"</f>
        <v>07516</v>
      </c>
      <c r="E9221" s="1" t="s">
        <v>10074</v>
      </c>
      <c r="F9221" s="1">
        <v>3</v>
      </c>
      <c r="G9221" s="1">
        <v>0</v>
      </c>
      <c r="H9221" s="1">
        <v>0</v>
      </c>
      <c r="I9221" s="1" t="s">
        <v>17809</v>
      </c>
      <c r="K9221" s="1" t="str">
        <f t="shared" si="577"/>
        <v>ㄓ</v>
      </c>
      <c r="M9221" s="1" t="str">
        <f t="shared" ref="M9221:M9284" si="579">MID(I9221, 3, 1)</f>
        <v/>
      </c>
      <c r="N9221" s="3" t="s">
        <v>30576</v>
      </c>
      <c r="O9221" s="3"/>
      <c r="P9221" s="1" t="s">
        <v>20</v>
      </c>
      <c r="R9221" s="1" t="s">
        <v>17810</v>
      </c>
      <c r="V9221" s="1" t="s">
        <v>17811</v>
      </c>
      <c r="AR9221" s="1" t="str">
        <f t="shared" si="578"/>
        <v>| [ㄓˇ](ㄓˇ.md) | [夂](夂.md) |  | zhǐ | [動]
從後而來。《說文解字．夂部》：「夂，從後至也，象人兩脛，後有致之者。」
[名]
二一四部首之一。 |</v>
      </c>
    </row>
    <row r="9222" spans="1:44" hidden="1">
      <c r="A9222" s="1" t="s">
        <v>17812</v>
      </c>
      <c r="C9222" s="1">
        <v>1</v>
      </c>
      <c r="D9222" s="1" t="str">
        <f>"07517"</f>
        <v>07517</v>
      </c>
      <c r="E9222" s="1" t="s">
        <v>1495</v>
      </c>
      <c r="F9222" s="1">
        <v>4</v>
      </c>
      <c r="G9222" s="1">
        <v>0</v>
      </c>
      <c r="H9222" s="1">
        <v>0</v>
      </c>
      <c r="I9222" s="1" t="s">
        <v>17809</v>
      </c>
      <c r="K9222" s="1" t="str">
        <f t="shared" si="577"/>
        <v>ㄓ</v>
      </c>
      <c r="M9222" s="1" t="str">
        <f t="shared" si="579"/>
        <v/>
      </c>
      <c r="N9222" s="3" t="s">
        <v>30576</v>
      </c>
      <c r="O9222" s="3"/>
      <c r="P9222" s="1" t="s">
        <v>20</v>
      </c>
      <c r="R9222" s="1" t="s">
        <v>17810</v>
      </c>
      <c r="V9222" s="1" t="s">
        <v>17813</v>
      </c>
      <c r="AR9222" s="1" t="str">
        <f t="shared" si="578"/>
        <v>| [ㄓˇ](ㄓˇ.md) | [止](止.md) |  | zhǐ | [動]
1.停住、不動。如：「適可而止」。《易經．艮卦．彖曰》：「時止則止，時行則行，動靜不失其時，其道光明。」
2.達到、安住。《禮記．大學》：「止於至善。」
3.不准、阻擋。《左傳．桓公六年》：「少師歸，請追楚師，隨侯將許之，季梁止之。」《呂氏春秋．季秋紀．知士》：「靜郭君不能止。」
4.居住。《詩經．商頌．玄鳥》：「邦畿千里，惟民所止。」
[名]
1.腳。同「趾」。《漢書．卷二三．刑法志》：「當劓者，笞三百；當斬左止者，笞五百。」
2.儀容行動、威儀。《詩經．鄘風．相鼠》：「相鼠有齒，人而無止；人而無止，不死何俟？」
3.打擊柷的槌子。《爾雅．釋樂》：「所以鼓柷謂之止。」晉．郭璞．注：「柷如漆桶，方二尺四寸，深一尺八寸，中有椎柄，連底桐之，令左右擊，止者其椎名。」
4.二一四部首之一。
[形]
靜的、不動的。《莊子．德充符》：「人莫鑒於流水而鑒於止水。」
[副]
僅、只。如：「不止一回」。唐．杜甫〈無家別〉詩：「內顧無所攜，近行止一身。」
[助]
用於語尾，以加強語氣。《詩經．周頌．良耜》：「百室盈止，婦子寧止。」 |</v>
      </c>
    </row>
    <row r="9223" spans="1:44" hidden="1">
      <c r="A9223" s="1" t="s">
        <v>17814</v>
      </c>
      <c r="C9223" s="1">
        <v>1</v>
      </c>
      <c r="D9223" s="1" t="str">
        <f>"07518"</f>
        <v>07518</v>
      </c>
      <c r="E9223" s="1" t="s">
        <v>129</v>
      </c>
      <c r="F9223" s="1">
        <v>7</v>
      </c>
      <c r="G9223" s="1">
        <v>4</v>
      </c>
      <c r="H9223" s="1">
        <v>0</v>
      </c>
      <c r="I9223" s="1" t="s">
        <v>17809</v>
      </c>
      <c r="K9223" s="1" t="str">
        <f t="shared" si="577"/>
        <v>ㄓ</v>
      </c>
      <c r="M9223" s="1" t="str">
        <f t="shared" si="579"/>
        <v/>
      </c>
      <c r="N9223" s="3" t="s">
        <v>30576</v>
      </c>
      <c r="O9223" s="3"/>
      <c r="P9223" s="1" t="s">
        <v>20</v>
      </c>
      <c r="R9223" s="1" t="s">
        <v>17810</v>
      </c>
      <c r="V9223" s="1" t="s">
        <v>17815</v>
      </c>
      <c r="AR9223" s="1" t="str">
        <f t="shared" si="578"/>
        <v>| [ㄓˇ](ㄓˇ.md) | [沚](沚.md) |  | zhǐ | [名]
凸起水面的小塊陸地。《詩經．召南．采蘩》：「于以采蘩，于沼于沚。」南朝宋．鮑照〈贈傅都曹別詩〉：「輕鴻戲江潭，孤雁集洲沚。」 |</v>
      </c>
    </row>
    <row r="9224" spans="1:44" hidden="1">
      <c r="A9224" s="1" t="s">
        <v>17816</v>
      </c>
      <c r="C9224" s="1">
        <v>1</v>
      </c>
      <c r="D9224" s="1" t="str">
        <f>"07519"</f>
        <v>07519</v>
      </c>
      <c r="E9224" s="1" t="s">
        <v>132</v>
      </c>
      <c r="F9224" s="1">
        <v>7</v>
      </c>
      <c r="G9224" s="1">
        <v>4</v>
      </c>
      <c r="H9224" s="1">
        <v>0</v>
      </c>
      <c r="I9224" s="1" t="s">
        <v>17809</v>
      </c>
      <c r="K9224" s="1" t="str">
        <f t="shared" si="577"/>
        <v>ㄓ</v>
      </c>
      <c r="M9224" s="1" t="str">
        <f t="shared" si="579"/>
        <v/>
      </c>
      <c r="N9224" s="3" t="s">
        <v>30576</v>
      </c>
      <c r="O9224" s="3"/>
      <c r="P9224" s="1" t="s">
        <v>20</v>
      </c>
      <c r="R9224" s="1" t="s">
        <v>17810</v>
      </c>
      <c r="V9224" s="1" t="s">
        <v>17817</v>
      </c>
      <c r="AR9224" s="1" t="str">
        <f t="shared" si="578"/>
        <v>| [ㄓˇ](ㄓˇ.md) | [址](址.md) |  | zhǐ | [名]
1.地基、基礎。唐．劉兼〈長春節〉詩：「太平基址千年永，混一車書萬古存。」
2.地點、處所。如：「住址」、「遺址」、「校址」。 |</v>
      </c>
    </row>
    <row r="9225" spans="1:44" hidden="1">
      <c r="A9225" s="1" t="s">
        <v>17818</v>
      </c>
      <c r="C9225" s="1">
        <v>1</v>
      </c>
      <c r="D9225" s="1" t="str">
        <f>"07520"</f>
        <v>07520</v>
      </c>
      <c r="E9225" s="1" t="s">
        <v>691</v>
      </c>
      <c r="F9225" s="1">
        <v>7</v>
      </c>
      <c r="G9225" s="1">
        <v>4</v>
      </c>
      <c r="H9225" s="1">
        <v>0</v>
      </c>
      <c r="I9225" s="1" t="s">
        <v>17809</v>
      </c>
      <c r="K9225" s="1" t="str">
        <f t="shared" si="577"/>
        <v>ㄓ</v>
      </c>
      <c r="M9225" s="1" t="str">
        <f t="shared" si="579"/>
        <v/>
      </c>
      <c r="N9225" s="3" t="s">
        <v>30576</v>
      </c>
      <c r="O9225" s="3"/>
      <c r="P9225" s="1" t="s">
        <v>20</v>
      </c>
      <c r="R9225" s="1" t="s">
        <v>17810</v>
      </c>
      <c r="V9225" s="1" t="s">
        <v>17819</v>
      </c>
      <c r="AR9225" s="1" t="str">
        <f t="shared" si="578"/>
        <v>| [ㄓˇ](ㄓˇ.md) | [阯](阯.md) |  | zhǐ | [名]
1.地基、山腳。通「址」。《漢書．卷二五．郊祀志上》：「禪泰山下阯，東北肅然山，如祭后土禮。」唐．元稹〈古社〉詩：「古社基阯在，人散社不神。」
2.水中小洲。通「沚」。《文選．張衡．西京賦》：「迺有昆明零沼，黑水玄阯。」 |</v>
      </c>
    </row>
    <row r="9226" spans="1:44" hidden="1">
      <c r="A9226" s="1" t="s">
        <v>17820</v>
      </c>
      <c r="C9226" s="1">
        <v>1</v>
      </c>
      <c r="D9226" s="1" t="str">
        <f>"07521"</f>
        <v>07521</v>
      </c>
      <c r="E9226" s="1" t="s">
        <v>37</v>
      </c>
      <c r="F9226" s="1">
        <v>8</v>
      </c>
      <c r="G9226" s="1">
        <v>4</v>
      </c>
      <c r="H9226" s="1">
        <v>0</v>
      </c>
      <c r="I9226" s="1" t="s">
        <v>17809</v>
      </c>
      <c r="K9226" s="1" t="str">
        <f t="shared" si="577"/>
        <v>ㄓ</v>
      </c>
      <c r="M9226" s="1" t="str">
        <f t="shared" si="579"/>
        <v/>
      </c>
      <c r="N9226" s="3" t="s">
        <v>30576</v>
      </c>
      <c r="O9226" s="3"/>
      <c r="P9226" s="1" t="s">
        <v>20</v>
      </c>
      <c r="R9226" s="1" t="s">
        <v>17810</v>
      </c>
      <c r="V9226" s="1" t="s">
        <v>17821</v>
      </c>
      <c r="AR9226" s="1" t="str">
        <f t="shared" si="578"/>
        <v>| [ㄓˇ](ㄓˇ.md) | [芷](芷.md) |  | zhǐ | 參見「白芷」條。 |</v>
      </c>
    </row>
    <row r="9227" spans="1:44" hidden="1">
      <c r="A9227" s="1" t="s">
        <v>17822</v>
      </c>
      <c r="C9227" s="1">
        <v>1</v>
      </c>
      <c r="D9227" s="1" t="str">
        <f>"07522"</f>
        <v>07522</v>
      </c>
      <c r="E9227" s="1" t="s">
        <v>825</v>
      </c>
      <c r="F9227" s="1">
        <v>9</v>
      </c>
      <c r="G9227" s="1">
        <v>4</v>
      </c>
      <c r="H9227" s="1">
        <v>0</v>
      </c>
      <c r="I9227" s="1" t="s">
        <v>17809</v>
      </c>
      <c r="K9227" s="1" t="str">
        <f t="shared" si="577"/>
        <v>ㄓ</v>
      </c>
      <c r="M9227" s="1" t="str">
        <f t="shared" si="579"/>
        <v/>
      </c>
      <c r="N9227" s="3" t="s">
        <v>30576</v>
      </c>
      <c r="O9227" s="3"/>
      <c r="P9227" s="1" t="s">
        <v>20</v>
      </c>
      <c r="R9227" s="1" t="s">
        <v>17810</v>
      </c>
      <c r="V9227" s="1" t="s">
        <v>17823</v>
      </c>
      <c r="AR9227" s="1" t="str">
        <f t="shared" si="578"/>
        <v>| [ㄓˇ](ㄓˇ.md) | [祉](祉.md) |  | zhǐ | [名]
幸福。如：「福祉」。《詩經．小雅．六月》：「吉甫燕喜，既多受祉。」 |</v>
      </c>
    </row>
    <row r="9228" spans="1:44" hidden="1">
      <c r="A9228" s="1" t="s">
        <v>17824</v>
      </c>
      <c r="C9228" s="1">
        <v>1</v>
      </c>
      <c r="D9228" s="1" t="str">
        <f>"07523"</f>
        <v>07523</v>
      </c>
      <c r="E9228" s="1" t="s">
        <v>77</v>
      </c>
      <c r="F9228" s="1">
        <v>11</v>
      </c>
      <c r="G9228" s="1">
        <v>4</v>
      </c>
      <c r="H9228" s="1">
        <v>0</v>
      </c>
      <c r="I9228" s="1" t="s">
        <v>17809</v>
      </c>
      <c r="K9228" s="1" t="str">
        <f t="shared" si="577"/>
        <v>ㄓ</v>
      </c>
      <c r="M9228" s="1" t="str">
        <f t="shared" si="579"/>
        <v/>
      </c>
      <c r="N9228" s="3" t="s">
        <v>30576</v>
      </c>
      <c r="O9228" s="3"/>
      <c r="P9228" s="1" t="s">
        <v>20</v>
      </c>
      <c r="R9228" s="1" t="s">
        <v>17810</v>
      </c>
      <c r="V9228" s="1" t="s">
        <v>17825</v>
      </c>
      <c r="AR9228" s="1" t="str">
        <f t="shared" si="578"/>
        <v>| [ㄓˇ](ㄓˇ.md) | [趾](趾.md) |  | zhǐ | [名]
1.腳。《左傳．桓公十三年》：「舉趾高，心不固矣。」《聊齋志異．卷一．蛇人》：「停趾愕顧，則二青來也。」
2.腳趾頭。如：「足趾」。明．徐弘祖《徐霞客遊記．卷一上．遊黃山日記》：「上百步雲梯，梯磴插天，足趾及腮。」
3.山腳。《文選．阮籍．詠懷詩一七首之三》：「驅馬舍之去，去上西山趾。」
4.蹤跡。唐．王勃〈觀佛跡寺〉詩：「蓮座神容儼，松崖聖趾餘。」 |</v>
      </c>
    </row>
    <row r="9229" spans="1:44" hidden="1">
      <c r="A9229" s="1" t="s">
        <v>17724</v>
      </c>
      <c r="C9229" s="1">
        <v>1</v>
      </c>
      <c r="D9229" s="1" t="str">
        <f>"07524"</f>
        <v>07524</v>
      </c>
      <c r="E9229" s="1" t="s">
        <v>28</v>
      </c>
      <c r="F9229" s="1">
        <v>5</v>
      </c>
      <c r="G9229" s="1">
        <v>2</v>
      </c>
      <c r="H9229" s="1">
        <v>1</v>
      </c>
      <c r="I9229" s="1" t="s">
        <v>17809</v>
      </c>
      <c r="K9229" s="1" t="str">
        <f t="shared" si="577"/>
        <v>ㄓ</v>
      </c>
      <c r="M9229" s="1" t="str">
        <f t="shared" si="579"/>
        <v/>
      </c>
      <c r="N9229" s="3" t="s">
        <v>30576</v>
      </c>
      <c r="O9229" s="3"/>
      <c r="P9229" s="1" t="s">
        <v>20</v>
      </c>
      <c r="R9229" s="1" t="s">
        <v>17810</v>
      </c>
      <c r="V9229" s="1" t="s">
        <v>17826</v>
      </c>
      <c r="W9229" s="1" t="s">
        <v>17827</v>
      </c>
      <c r="AR9229" s="1" t="str">
        <f t="shared" si="578"/>
        <v>| [ㄓˇ](ㄓˇ.md) | [只](只.md) |  | zhǐ | [副]
1.僅。如：「只此一家，別無分號。」
2.儘。如：「只管去做」。
[連]
但、而。如：「你做得很好，只是少了一點兒變化。」、「他不是不會，只是不用心罷了。」
[助]
語尾助詞，無義。《詩經．鄘風．柏舟》：「母也天只，不諒人只。」《楚辭．屈原．大招》：「青春受謝，白日昭只。」
[名]
姓。如明代有只好仁。 |</v>
      </c>
    </row>
    <row r="9230" spans="1:44" hidden="1">
      <c r="A9230" s="1" t="s">
        <v>13071</v>
      </c>
      <c r="C9230" s="1">
        <v>1</v>
      </c>
      <c r="D9230" s="1" t="str">
        <f>"07525"</f>
        <v>07525</v>
      </c>
      <c r="E9230" s="1" t="s">
        <v>139</v>
      </c>
      <c r="F9230" s="1">
        <v>9</v>
      </c>
      <c r="G9230" s="1">
        <v>5</v>
      </c>
      <c r="H9230" s="1">
        <v>1</v>
      </c>
      <c r="I9230" s="1" t="s">
        <v>17809</v>
      </c>
      <c r="K9230" s="1" t="str">
        <f t="shared" si="577"/>
        <v>ㄓ</v>
      </c>
      <c r="M9230" s="1" t="str">
        <f t="shared" si="579"/>
        <v/>
      </c>
      <c r="N9230" s="3" t="s">
        <v>30576</v>
      </c>
      <c r="O9230" s="3"/>
      <c r="P9230" s="1" t="s">
        <v>20</v>
      </c>
      <c r="R9230" s="1" t="s">
        <v>17810</v>
      </c>
      <c r="V9230" s="1" t="s">
        <v>17828</v>
      </c>
      <c r="W9230" s="1" t="s">
        <v>17829</v>
      </c>
      <c r="AR9230" s="1" t="str">
        <f t="shared" si="578"/>
        <v>| [ㄓˇ](ㄓˇ.md) | [枳](枳.md) |  | zhǐ | [名]
植物名。芸香科枸橘屬，落葉灌木或小喬木。枝多刺，葉柄有翅，三出複葉，小葉卵形。春夏間開五瓣白色花。果實形小而味酸，不堪食，但可入藥，未熟者稱為「枳實」，已熟的稱為「枳殼」，二者性味效用相似，但後者力薄性緩。也稱為「枸橘」、「臭橘」。 |</v>
      </c>
    </row>
    <row r="9231" spans="1:44" hidden="1">
      <c r="A9231" s="1" t="s">
        <v>17830</v>
      </c>
      <c r="C9231" s="1">
        <v>1</v>
      </c>
      <c r="D9231" s="1" t="str">
        <f>"07526"</f>
        <v>07526</v>
      </c>
      <c r="E9231" s="1" t="s">
        <v>28</v>
      </c>
      <c r="F9231" s="1">
        <v>9</v>
      </c>
      <c r="G9231" s="1">
        <v>6</v>
      </c>
      <c r="H9231" s="1">
        <v>0</v>
      </c>
      <c r="I9231" s="1" t="s">
        <v>17809</v>
      </c>
      <c r="K9231" s="1" t="str">
        <f t="shared" si="577"/>
        <v>ㄓ</v>
      </c>
      <c r="M9231" s="1" t="str">
        <f t="shared" si="579"/>
        <v/>
      </c>
      <c r="N9231" s="3" t="s">
        <v>30576</v>
      </c>
      <c r="O9231" s="3"/>
      <c r="P9231" s="1" t="s">
        <v>20</v>
      </c>
      <c r="R9231" s="1" t="s">
        <v>17810</v>
      </c>
      <c r="V9231" s="1" t="s">
        <v>17831</v>
      </c>
      <c r="AR9231" s="1" t="str">
        <f t="shared" si="578"/>
        <v>| [ㄓˇ](ㄓˇ.md) | [咫](咫.md) |  | zhǐ | [名]
古代的長度單位。周制八寸為一咫。《說文解字．尺部》：「咫，中婦人手長八寸，謂之咫，周尺也。」
[形]
距離很短、很近。《呂氏春秋．孝行覽．孝行》：「不虧其身，不損其形，可謂孝矣。君子無行咫步而忘之。」 |</v>
      </c>
    </row>
    <row r="9232" spans="1:44" hidden="1">
      <c r="A9232" s="1" t="s">
        <v>17832</v>
      </c>
      <c r="C9232" s="1">
        <v>1</v>
      </c>
      <c r="D9232" s="1" t="str">
        <f>"07527"</f>
        <v>07527</v>
      </c>
      <c r="E9232" s="1" t="s">
        <v>40</v>
      </c>
      <c r="F9232" s="1">
        <v>10</v>
      </c>
      <c r="G9232" s="1">
        <v>5</v>
      </c>
      <c r="H9232" s="1">
        <v>0</v>
      </c>
      <c r="I9232" s="1" t="s">
        <v>17809</v>
      </c>
      <c r="K9232" s="1" t="str">
        <f t="shared" si="577"/>
        <v>ㄓ</v>
      </c>
      <c r="M9232" s="1" t="str">
        <f t="shared" si="579"/>
        <v/>
      </c>
      <c r="N9232" s="3" t="s">
        <v>30576</v>
      </c>
      <c r="O9232" s="3"/>
      <c r="P9232" s="1" t="s">
        <v>20</v>
      </c>
      <c r="R9232" s="1" t="s">
        <v>17810</v>
      </c>
      <c r="V9232" s="1" t="s">
        <v>17833</v>
      </c>
      <c r="AR9232" s="1" t="str">
        <f t="shared" si="578"/>
        <v>| [ㄓˇ](ㄓˇ.md) | [疻](疻.md) |  | zhǐ | 參見「疻痏」條。 |</v>
      </c>
    </row>
    <row r="9233" spans="1:44" hidden="1">
      <c r="A9233" s="1" t="s">
        <v>17834</v>
      </c>
      <c r="C9233" s="1">
        <v>1</v>
      </c>
      <c r="D9233" s="1" t="str">
        <f>"07528"</f>
        <v>07528</v>
      </c>
      <c r="E9233" s="1" t="s">
        <v>71</v>
      </c>
      <c r="F9233" s="1">
        <v>12</v>
      </c>
      <c r="G9233" s="1">
        <v>5</v>
      </c>
      <c r="H9233" s="1">
        <v>0</v>
      </c>
      <c r="I9233" s="1" t="s">
        <v>17809</v>
      </c>
      <c r="K9233" s="1" t="str">
        <f t="shared" si="577"/>
        <v>ㄓ</v>
      </c>
      <c r="M9233" s="1" t="str">
        <f t="shared" si="579"/>
        <v/>
      </c>
      <c r="N9233" s="3" t="s">
        <v>30576</v>
      </c>
      <c r="O9233" s="3"/>
      <c r="P9233" s="1" t="s">
        <v>20</v>
      </c>
      <c r="R9233" s="1" t="s">
        <v>17810</v>
      </c>
      <c r="V9233" s="1" t="s">
        <v>17835</v>
      </c>
      <c r="AR9233" s="1" t="str">
        <f t="shared" si="578"/>
        <v>| [ㄓˇ](ㄓˇ.md) | [軹](軹.md) |  | zhǐ | [名]
1.貫穿車輪中心圓木的小孔。《說文解字．車部》：「軹，車輪小穿也。」《周禮．冬官考工記．輪人》：「五分其轂之長，去一以為賢，去三以為軹。」
2.車軸的末端。《周禮．冬官考工記．序官》：「六尺有六寸之輪，軹崇三尺有三寸也。」《新唐書．卷一六．禮樂志六》：「祭兩軹及軌前，乃飲。」
3.古代車箱兩旁橫直交錯的木頭。《周禮．冬官考工記．輿人》：「參分較圍，去一以為軹圍。」漢．鄭玄．注：「軹，輢之植者、衡者也。」
[形]
分歧的、歧出的。參見「軹首蛇」條。 |</v>
      </c>
    </row>
    <row r="9234" spans="1:44" hidden="1">
      <c r="A9234" s="1" t="s">
        <v>17836</v>
      </c>
      <c r="C9234" s="1">
        <v>1</v>
      </c>
      <c r="D9234" s="1" t="str">
        <f>"07529"</f>
        <v>07529</v>
      </c>
      <c r="E9234" s="1" t="s">
        <v>646</v>
      </c>
      <c r="F9234" s="1">
        <v>6</v>
      </c>
      <c r="G9234" s="1">
        <v>2</v>
      </c>
      <c r="H9234" s="1">
        <v>0</v>
      </c>
      <c r="I9234" s="1" t="s">
        <v>17809</v>
      </c>
      <c r="K9234" s="1" t="str">
        <f t="shared" si="577"/>
        <v>ㄓ</v>
      </c>
      <c r="M9234" s="1" t="str">
        <f t="shared" si="579"/>
        <v/>
      </c>
      <c r="N9234" s="3" t="s">
        <v>30576</v>
      </c>
      <c r="O9234" s="3"/>
      <c r="P9234" s="1" t="s">
        <v>20</v>
      </c>
      <c r="R9234" s="1" t="s">
        <v>17810</v>
      </c>
      <c r="V9234" s="1" t="s">
        <v>17837</v>
      </c>
      <c r="AR9234" s="1" t="str">
        <f t="shared" si="578"/>
        <v>| [ㄓˇ](ㄓˇ.md) | [旨](旨.md) |  | zhǐ | [名]
1.美味的食品。《論語．陽貨》：「食旨不甘，聞樂不樂。」
2.心意、志趣。通「恉」。如：「宗旨」、「意旨」。唐．韓愈〈答陳商書〉：「辱惠書，語高而旨深，三四讀尚不能通曉。」
3.帝王、長上的命令。如：「聖旨」、「密旨」。《宋史．卷三五八．李綱傳上》：「綱傳旨語左右曰：『敢復有言去者斬！』」
[形]
美好的。《書經．說命中》：「旨哉！說乃言惟服。」《漢書．卷八四．翟方進傳》：「率寧人有旨疆土，況今卜並吉！」 |</v>
      </c>
    </row>
    <row r="9235" spans="1:44" hidden="1">
      <c r="A9235" s="1" t="s">
        <v>17838</v>
      </c>
      <c r="C9235" s="1">
        <v>1</v>
      </c>
      <c r="D9235" s="1" t="str">
        <f>"07530"</f>
        <v>07530</v>
      </c>
      <c r="E9235" s="1" t="s">
        <v>250</v>
      </c>
      <c r="F9235" s="1">
        <v>9</v>
      </c>
      <c r="G9235" s="1">
        <v>6</v>
      </c>
      <c r="H9235" s="1">
        <v>0</v>
      </c>
      <c r="I9235" s="1" t="s">
        <v>17809</v>
      </c>
      <c r="K9235" s="1" t="str">
        <f t="shared" si="577"/>
        <v>ㄓ</v>
      </c>
      <c r="M9235" s="1" t="str">
        <f t="shared" si="579"/>
        <v/>
      </c>
      <c r="N9235" s="3" t="s">
        <v>30576</v>
      </c>
      <c r="O9235" s="3"/>
      <c r="P9235" s="1" t="s">
        <v>20</v>
      </c>
      <c r="R9235" s="1" t="s">
        <v>17810</v>
      </c>
      <c r="V9235" s="1" t="s">
        <v>17839</v>
      </c>
      <c r="AR9235" s="1" t="str">
        <f t="shared" si="578"/>
        <v>| [ㄓˇ](ㄓˇ.md) | [恉](恉.md) |  | zhǐ | [名]
旨意。《說文解字．心部》：「恉，意也。」 |</v>
      </c>
    </row>
    <row r="9236" spans="1:44" hidden="1">
      <c r="A9236" s="1" t="s">
        <v>17840</v>
      </c>
      <c r="C9236" s="1">
        <v>1</v>
      </c>
      <c r="D9236" s="1" t="str">
        <f>"07531"</f>
        <v>07531</v>
      </c>
      <c r="E9236" s="1" t="s">
        <v>24</v>
      </c>
      <c r="F9236" s="1">
        <v>9</v>
      </c>
      <c r="G9236" s="1">
        <v>6</v>
      </c>
      <c r="H9236" s="1">
        <v>0</v>
      </c>
      <c r="I9236" s="1" t="s">
        <v>17809</v>
      </c>
      <c r="K9236" s="1" t="str">
        <f t="shared" si="577"/>
        <v>ㄓ</v>
      </c>
      <c r="M9236" s="1" t="str">
        <f t="shared" si="579"/>
        <v/>
      </c>
      <c r="N9236" s="3" t="s">
        <v>30576</v>
      </c>
      <c r="O9236" s="3"/>
      <c r="P9236" s="1" t="s">
        <v>20</v>
      </c>
      <c r="R9236" s="1" t="s">
        <v>17810</v>
      </c>
      <c r="V9236" s="1" t="s">
        <v>17841</v>
      </c>
      <c r="AR9236" s="1" t="str">
        <f t="shared" si="578"/>
        <v>| [ㄓˇ](ㄓˇ.md) | [指](指.md) |  | zhǐ | [名]
1.手掌前端分支的部分。如：「手指」。唐．白居易〈新樂府．賣炭翁〉：「滿面塵灰煙火色，兩鬢蒼蒼十指黑。」
2.一個指頭的寬度稱為「一指」。如：「三指寬的距離」。
3.用意、主旨。如：「言近指遠」。《書經．盤庚上》：「王播告之脩，不匿厥指。」《孟子．告子下》：「願聞其指。」
[動]
1.用手指示。唐．李白〈陌上贈美人〉詩：「遙指紅樓是妾家。」
2.朝向、對著。如：「時針正指九點。」、「狙擊手把槍管指向甘迺迪。」《呂氏春秋．審分覽．知度》：「非其人而欲有功，譬之若夏至之日而欲夜之長也，射魚指天而欲發之當也。」
3.希望、依賴。如：「指望」、「這老太太就指著她兒子養活呢！」
4.斥責。《呂氏春秋．恃君覽．行論》：「故布衣行此，指於國，不容鄉曲。」《漢書．卷八六．王嘉傳》：「千人所指，無病而死。」
5.直立、翹起來。如：「令人髮指」。《史記．卷七．項羽本紀》：「頭髮上指，目眥盡裂。」 |</v>
      </c>
    </row>
    <row r="9237" spans="1:44" hidden="1">
      <c r="A9237" s="1" t="s">
        <v>17842</v>
      </c>
      <c r="C9237" s="1">
        <v>1</v>
      </c>
      <c r="D9237" s="1" t="str">
        <f>"07532"</f>
        <v>07532</v>
      </c>
      <c r="E9237" s="1" t="s">
        <v>1462</v>
      </c>
      <c r="F9237" s="1">
        <v>13</v>
      </c>
      <c r="G9237" s="1">
        <v>6</v>
      </c>
      <c r="H9237" s="1">
        <v>0</v>
      </c>
      <c r="I9237" s="1" t="s">
        <v>17809</v>
      </c>
      <c r="K9237" s="1" t="str">
        <f t="shared" si="577"/>
        <v>ㄓ</v>
      </c>
      <c r="M9237" s="1" t="str">
        <f t="shared" si="579"/>
        <v/>
      </c>
      <c r="N9237" s="3" t="s">
        <v>30576</v>
      </c>
      <c r="O9237" s="3"/>
      <c r="P9237" s="1" t="s">
        <v>20</v>
      </c>
      <c r="R9237" s="1" t="s">
        <v>17810</v>
      </c>
      <c r="V9237" s="1" t="s">
        <v>17843</v>
      </c>
      <c r="AR9237" s="1" t="str">
        <f t="shared" si="578"/>
        <v>| [ㄓˇ](ㄓˇ.md) | [酯](酯.md) |  | zhǐ | [名]
一種有機化合物，是酸與醇經由脫水反應而得。分子量小者有水果香味；分子量高者是生物體內油脂的主要成分。 |</v>
      </c>
    </row>
    <row r="9238" spans="1:44" hidden="1">
      <c r="A9238" s="1" t="s">
        <v>17844</v>
      </c>
      <c r="C9238" s="1">
        <v>1</v>
      </c>
      <c r="D9238" s="1" t="str">
        <f>"07533"</f>
        <v>07533</v>
      </c>
      <c r="E9238" s="1" t="s">
        <v>132</v>
      </c>
      <c r="F9238" s="1">
        <v>7</v>
      </c>
      <c r="G9238" s="1">
        <v>4</v>
      </c>
      <c r="H9238" s="1">
        <v>0</v>
      </c>
      <c r="I9238" s="1" t="s">
        <v>17809</v>
      </c>
      <c r="K9238" s="1" t="str">
        <f t="shared" si="577"/>
        <v>ㄓ</v>
      </c>
      <c r="M9238" s="1" t="str">
        <f t="shared" si="579"/>
        <v/>
      </c>
      <c r="N9238" s="3" t="s">
        <v>30576</v>
      </c>
      <c r="O9238" s="3"/>
      <c r="P9238" s="1" t="s">
        <v>20</v>
      </c>
      <c r="R9238" s="1" t="s">
        <v>17810</v>
      </c>
      <c r="V9238" s="1" t="s">
        <v>17845</v>
      </c>
      <c r="AR9238" s="1" t="str">
        <f t="shared" si="578"/>
        <v>| [ㄓˇ](ㄓˇ.md) | [坁](坁.md) |  | zhǐ | [動]
止。《左傳．昭公二十九年》：「物乃坁伏，鬱湮不育。」 |</v>
      </c>
    </row>
    <row r="9239" spans="1:44" hidden="1">
      <c r="A9239" s="1" t="s">
        <v>17846</v>
      </c>
      <c r="C9239" s="1">
        <v>1</v>
      </c>
      <c r="D9239" s="1" t="str">
        <f>"07534"</f>
        <v>07534</v>
      </c>
      <c r="E9239" s="1" t="s">
        <v>1941</v>
      </c>
      <c r="F9239" s="1">
        <v>7</v>
      </c>
      <c r="G9239" s="1">
        <v>5</v>
      </c>
      <c r="H9239" s="1">
        <v>1</v>
      </c>
      <c r="I9239" s="1" t="s">
        <v>17809</v>
      </c>
      <c r="K9239" s="1" t="str">
        <f t="shared" si="577"/>
        <v>ㄓ</v>
      </c>
      <c r="M9239" s="1" t="str">
        <f t="shared" si="579"/>
        <v/>
      </c>
      <c r="N9239" s="3" t="s">
        <v>30576</v>
      </c>
      <c r="O9239" s="3"/>
      <c r="P9239" s="1" t="s">
        <v>20</v>
      </c>
      <c r="R9239" s="1" t="s">
        <v>17810</v>
      </c>
      <c r="V9239" s="1" t="s">
        <v>17847</v>
      </c>
      <c r="W9239" s="1" t="s">
        <v>17848</v>
      </c>
      <c r="AR9239" s="1" t="str">
        <f t="shared" si="578"/>
        <v>| [ㄓˇ](ㄓˇ.md) | [厎](厎.md) |  | zhǐ | [動]
定。《廣韻．上聲．止韻》：「厎，定也。」 |</v>
      </c>
    </row>
    <row r="9240" spans="1:44" hidden="1">
      <c r="A9240" s="1" t="s">
        <v>17849</v>
      </c>
      <c r="C9240" s="1">
        <v>1</v>
      </c>
      <c r="D9240" s="1" t="str">
        <f>"07535"</f>
        <v>07535</v>
      </c>
      <c r="E9240" s="1" t="s">
        <v>24</v>
      </c>
      <c r="F9240" s="1">
        <v>7</v>
      </c>
      <c r="G9240" s="1">
        <v>4</v>
      </c>
      <c r="H9240" s="1">
        <v>0</v>
      </c>
      <c r="I9240" s="1" t="s">
        <v>17809</v>
      </c>
      <c r="K9240" s="1" t="str">
        <f t="shared" si="577"/>
        <v>ㄓ</v>
      </c>
      <c r="M9240" s="1" t="str">
        <f t="shared" si="579"/>
        <v/>
      </c>
      <c r="N9240" s="3" t="s">
        <v>30576</v>
      </c>
      <c r="O9240" s="3"/>
      <c r="P9240" s="1" t="s">
        <v>20</v>
      </c>
      <c r="R9240" s="1" t="s">
        <v>17810</v>
      </c>
      <c r="V9240" s="1" t="s">
        <v>17850</v>
      </c>
      <c r="AR9240" s="1" t="str">
        <f t="shared" si="578"/>
        <v>| [ㄓˇ](ㄓˇ.md) | [扺](扺.md) |  | zhǐ | [動]
1.砍擊、拍打。《後漢書．卷一一．劉玄傳》：「起，扺破書案。」
2.投擲。《後漢書．卷六一．黃瓊傳》：「所謂扺金玉於沙礫，碎珪璧於泥塗。」《文選．張衡．東京賦》：「藏金於山，扺璧於谷。」 |</v>
      </c>
    </row>
    <row r="9241" spans="1:44" hidden="1">
      <c r="A9241" s="1" t="s">
        <v>5219</v>
      </c>
      <c r="C9241" s="1">
        <v>1</v>
      </c>
      <c r="D9241" s="1" t="str">
        <f>"07536"</f>
        <v>07536</v>
      </c>
      <c r="E9241" s="1" t="s">
        <v>24</v>
      </c>
      <c r="F9241" s="1">
        <v>8</v>
      </c>
      <c r="G9241" s="1">
        <v>5</v>
      </c>
      <c r="H9241" s="1">
        <v>2</v>
      </c>
      <c r="I9241" s="1" t="s">
        <v>17809</v>
      </c>
      <c r="K9241" s="1" t="str">
        <f t="shared" si="577"/>
        <v>ㄓ</v>
      </c>
      <c r="M9241" s="1" t="str">
        <f t="shared" si="579"/>
        <v/>
      </c>
      <c r="N9241" s="3" t="s">
        <v>30576</v>
      </c>
      <c r="O9241" s="3"/>
      <c r="P9241" s="1" t="s">
        <v>20</v>
      </c>
      <c r="R9241" s="1" t="s">
        <v>17810</v>
      </c>
      <c r="V9241" s="1" t="s">
        <v>17851</v>
      </c>
      <c r="W9241" s="1" t="s">
        <v>17852</v>
      </c>
      <c r="AR9241" s="1" t="str">
        <f t="shared" si="578"/>
        <v>| [ㄓˇ](ㄓˇ.md) | [抵](抵.md) |  | zhǐ | [動]
擊、輕敲。《戰國策．秦策一》：「於是乃摩燕烏集闕，見說趙王於華屋之下，抵掌而談。」南朝宋．鮑照〈擬行路難〉一八首之一：「願君裁悲且減思，聽我抵節行路吟。」 |</v>
      </c>
    </row>
    <row r="9242" spans="1:44" hidden="1">
      <c r="A9242" s="1" t="s">
        <v>17853</v>
      </c>
      <c r="C9242" s="1">
        <v>1</v>
      </c>
      <c r="D9242" s="1" t="str">
        <f>"07537"</f>
        <v>07537</v>
      </c>
      <c r="E9242" s="1" t="s">
        <v>725</v>
      </c>
      <c r="F9242" s="1">
        <v>10</v>
      </c>
      <c r="G9242" s="1">
        <v>4</v>
      </c>
      <c r="H9242" s="1">
        <v>0</v>
      </c>
      <c r="I9242" s="1" t="s">
        <v>17809</v>
      </c>
      <c r="K9242" s="1" t="str">
        <f t="shared" si="577"/>
        <v>ㄓ</v>
      </c>
      <c r="M9242" s="1" t="str">
        <f t="shared" si="579"/>
        <v/>
      </c>
      <c r="N9242" s="3" t="s">
        <v>30576</v>
      </c>
      <c r="O9242" s="3"/>
      <c r="P9242" s="1" t="s">
        <v>20</v>
      </c>
      <c r="R9242" s="1" t="s">
        <v>17810</v>
      </c>
      <c r="V9242" s="1" t="s">
        <v>17854</v>
      </c>
      <c r="AR9242" s="1" t="str">
        <f t="shared" si="578"/>
        <v>| [ㄓˇ](ㄓˇ.md) | [紙](紙.md) |  | zhǐ | [名]
1.日常用品之一。主要原料為植物纖維，可供於書畫、印刷、包裹等用途。
2.量詞。計算文件書信的張數的單位。如：「一紙公文」。 |</v>
      </c>
    </row>
    <row r="9243" spans="1:44" hidden="1">
      <c r="A9243" s="1" t="s">
        <v>17855</v>
      </c>
      <c r="C9243" s="1">
        <v>1</v>
      </c>
      <c r="D9243" s="1" t="str">
        <f>"07538"</f>
        <v>07538</v>
      </c>
      <c r="E9243" s="1" t="s">
        <v>4453</v>
      </c>
      <c r="F9243" s="1">
        <v>12</v>
      </c>
      <c r="G9243" s="1">
        <v>0</v>
      </c>
      <c r="H9243" s="1">
        <v>0</v>
      </c>
      <c r="I9243" s="1" t="s">
        <v>17809</v>
      </c>
      <c r="K9243" s="1" t="str">
        <f t="shared" si="577"/>
        <v>ㄓ</v>
      </c>
      <c r="M9243" s="1" t="str">
        <f t="shared" si="579"/>
        <v/>
      </c>
      <c r="N9243" s="3" t="s">
        <v>30576</v>
      </c>
      <c r="O9243" s="3"/>
      <c r="P9243" s="1" t="s">
        <v>20</v>
      </c>
      <c r="R9243" s="1" t="s">
        <v>17810</v>
      </c>
      <c r="V9243" s="1" t="s">
        <v>17856</v>
      </c>
      <c r="AR9243" s="1" t="str">
        <f t="shared" si="578"/>
        <v>| [ㄓˇ](ㄓˇ.md) | [黹](黹.md) |  | zhǐ | [名]
1.女紅的通稱。指刺繡、縫紉等事。如：「做針黹」。
2.二一四部首之一。 |</v>
      </c>
    </row>
    <row r="9244" spans="1:44" hidden="1">
      <c r="A9244" s="1" t="s">
        <v>17857</v>
      </c>
      <c r="C9244" s="1">
        <v>1</v>
      </c>
      <c r="D9244" s="1" t="str">
        <f>"07539"</f>
        <v>07539</v>
      </c>
      <c r="E9244" s="1" t="s">
        <v>234</v>
      </c>
      <c r="F9244" s="1">
        <v>15</v>
      </c>
      <c r="G9244" s="1">
        <v>12</v>
      </c>
      <c r="H9244" s="1">
        <v>2</v>
      </c>
      <c r="I9244" s="1" t="s">
        <v>17809</v>
      </c>
      <c r="K9244" s="1" t="str">
        <f t="shared" si="577"/>
        <v>ㄓ</v>
      </c>
      <c r="M9244" s="1" t="str">
        <f t="shared" si="579"/>
        <v/>
      </c>
      <c r="N9244" s="3" t="s">
        <v>30576</v>
      </c>
      <c r="O9244" s="3"/>
      <c r="P9244" s="1" t="s">
        <v>20</v>
      </c>
      <c r="R9244" s="1" t="s">
        <v>17810</v>
      </c>
      <c r="V9244" s="1" t="s">
        <v>17858</v>
      </c>
      <c r="W9244" s="1" t="s">
        <v>17859</v>
      </c>
      <c r="AR9244" s="1" t="str">
        <f t="shared" si="578"/>
        <v>| [ㄓˇ](ㄓˇ.md) | [徵](徵.md) |  | zhǐ | [名]
古代五音之一。用來表示音調高低的詞。相當於西樂音階中的sol。《周禮．春官．大師》：「皆文之以五聲：宮、商、角、徵、羽。」元．關漢卿《單刀會》第四折：「五音者，宮、商、角、徵、羽。」 |</v>
      </c>
    </row>
    <row r="9245" spans="1:44" hidden="1">
      <c r="A9245" s="1" t="s">
        <v>18247</v>
      </c>
      <c r="C9245" s="1">
        <v>1</v>
      </c>
      <c r="D9245" s="1" t="str">
        <f>"08019"</f>
        <v>08019</v>
      </c>
      <c r="E9245" s="1" t="s">
        <v>24</v>
      </c>
      <c r="F9245" s="1">
        <v>7</v>
      </c>
      <c r="G9245" s="1">
        <v>4</v>
      </c>
      <c r="H9245" s="1">
        <v>1</v>
      </c>
      <c r="I9245" s="1" t="s">
        <v>18959</v>
      </c>
      <c r="K9245" s="1" t="str">
        <f t="shared" si="577"/>
        <v>ㄓ</v>
      </c>
      <c r="L9245" s="1" t="str">
        <f t="shared" ref="L9245:L9308" si="580">MID(I9245, 2, 1)</f>
        <v>ㄨ</v>
      </c>
      <c r="M9245" s="1" t="str">
        <f t="shared" si="579"/>
        <v>ㄚ</v>
      </c>
      <c r="P9245" s="1" t="s">
        <v>388</v>
      </c>
      <c r="R9245" s="1" t="s">
        <v>18960</v>
      </c>
      <c r="V9245" s="1" t="s">
        <v>18961</v>
      </c>
      <c r="W9245" s="1" t="s">
        <v>18962</v>
      </c>
      <c r="AR9245" s="1" t="str">
        <f t="shared" si="578"/>
        <v>| [ㄓㄨㄚ](ㄓㄨㄚ.md) | [抓](抓.md) |  | zhuā | [動]
1.搔。如：「抓癢」、「抓頭」。
2.用手或爪取物。如：「抓一把花生米。」《文選．枚乘．上書諫吳王》：「十圍之木，始生而櫱，足可搔而絕，手可擢而抓。」
3.捕捉、捉拿。如：「抓賊」、「抓小偷」。
4.把握、掌握。如：「抓住機會」、「抓住要點」。 |</v>
      </c>
    </row>
    <row r="9246" spans="1:44" hidden="1">
      <c r="A9246" s="1" t="s">
        <v>18963</v>
      </c>
      <c r="C9246" s="1">
        <v>1</v>
      </c>
      <c r="D9246" s="1" t="str">
        <f>"08020"</f>
        <v>08020</v>
      </c>
      <c r="E9246" s="1" t="s">
        <v>24</v>
      </c>
      <c r="F9246" s="1">
        <v>16</v>
      </c>
      <c r="G9246" s="1">
        <v>13</v>
      </c>
      <c r="H9246" s="1">
        <v>0</v>
      </c>
      <c r="I9246" s="1" t="s">
        <v>18959</v>
      </c>
      <c r="K9246" s="1" t="str">
        <f t="shared" si="577"/>
        <v>ㄓ</v>
      </c>
      <c r="L9246" s="1" t="str">
        <f t="shared" si="580"/>
        <v>ㄨ</v>
      </c>
      <c r="M9246" s="1" t="str">
        <f t="shared" si="579"/>
        <v>ㄚ</v>
      </c>
      <c r="P9246" s="1" t="s">
        <v>20</v>
      </c>
      <c r="R9246" s="1" t="s">
        <v>18960</v>
      </c>
      <c r="V9246" s="1" t="s">
        <v>18964</v>
      </c>
      <c r="AR9246" s="1" t="str">
        <f t="shared" si="578"/>
        <v>| [ㄓㄨㄚ](ㄓㄨㄚ.md) | [撾](撾.md) |  | zhuā | [動]
1.鞭打、敲擊。如：「撾鼓」。《聊齋志異．卷四．辛十四娘》：「仰見高閎，以策撾門。」
2.抓、抓住。《西遊記》第三三回：「就於雲端裡伸下手來，馬上撾人。」《儒林外史》第一六回：「撾著了這一件，掉了那一件。」 |</v>
      </c>
    </row>
    <row r="9247" spans="1:44" hidden="1">
      <c r="A9247" s="1" t="s">
        <v>18965</v>
      </c>
      <c r="C9247" s="1">
        <v>1</v>
      </c>
      <c r="D9247" s="1" t="str">
        <f>"08021"</f>
        <v>08021</v>
      </c>
      <c r="E9247" s="1" t="s">
        <v>139</v>
      </c>
      <c r="F9247" s="1">
        <v>17</v>
      </c>
      <c r="G9247" s="1">
        <v>13</v>
      </c>
      <c r="H9247" s="1">
        <v>0</v>
      </c>
      <c r="I9247" s="1" t="s">
        <v>18959</v>
      </c>
      <c r="K9247" s="1" t="str">
        <f t="shared" si="577"/>
        <v>ㄓ</v>
      </c>
      <c r="L9247" s="1" t="str">
        <f t="shared" si="580"/>
        <v>ㄨ</v>
      </c>
      <c r="M9247" s="1" t="str">
        <f t="shared" si="579"/>
        <v>ㄚ</v>
      </c>
      <c r="P9247" s="1" t="s">
        <v>20</v>
      </c>
      <c r="R9247" s="1" t="s">
        <v>18960</v>
      </c>
      <c r="V9247" s="1" t="s">
        <v>18966</v>
      </c>
      <c r="AR9247" s="1" t="str">
        <f t="shared" si="578"/>
        <v>| [ㄓㄨㄚ](ㄓㄨㄚ.md) | [檛](檛.md) |  | zhuā | [名]_x000D_
鞭、杖。《左傳．文公十三年》：「贈之以策。」晉．杜預．注：「策，馬檛。」《新五代史．卷六六．十國世家．楚》：「贍怒，以鐵檛擊殺建峯。」_x000D_
[動]_x000D_
擊、敲。《後漢書．卷八二．方術列傳上．段翳》：「生到葭萌，與吏爭度，津吏檛破從者頭。」 |</v>
      </c>
    </row>
    <row r="9248" spans="1:44" hidden="1">
      <c r="A9248" s="1" t="s">
        <v>18967</v>
      </c>
      <c r="C9248" s="1">
        <v>1</v>
      </c>
      <c r="D9248" s="1" t="str">
        <f>"08022"</f>
        <v>08022</v>
      </c>
      <c r="E9248" s="1" t="s">
        <v>1078</v>
      </c>
      <c r="F9248" s="1">
        <v>17</v>
      </c>
      <c r="G9248" s="1">
        <v>7</v>
      </c>
      <c r="H9248" s="1">
        <v>0</v>
      </c>
      <c r="I9248" s="1" t="s">
        <v>18959</v>
      </c>
      <c r="K9248" s="1" t="str">
        <f t="shared" si="577"/>
        <v>ㄓ</v>
      </c>
      <c r="L9248" s="1" t="str">
        <f t="shared" si="580"/>
        <v>ㄨ</v>
      </c>
      <c r="M9248" s="1" t="str">
        <f t="shared" si="579"/>
        <v>ㄚ</v>
      </c>
      <c r="P9248" s="1" t="s">
        <v>20</v>
      </c>
      <c r="R9248" s="1" t="s">
        <v>18960</v>
      </c>
      <c r="V9248" s="1" t="s">
        <v>18968</v>
      </c>
      <c r="AR9248" s="1" t="str">
        <f t="shared" si="578"/>
        <v>| [ㄓㄨㄚ](ㄓㄨㄚ.md) | [髽](髽.md) |  | zhuā | [名]
參見「髽髻」條。
[動]
古代婦女在守喪期間把麻布加在頭髮裡挽成髻。《左傳．襄公四年》：「國人逆喪者皆髽，魯於是乎始髽。」《儀禮．士喪禮》：「婦人髽于室。」 |</v>
      </c>
    </row>
    <row r="9249" spans="1:44" hidden="1">
      <c r="A9249" s="1" t="s">
        <v>18269</v>
      </c>
      <c r="C9249" s="1">
        <v>1</v>
      </c>
      <c r="D9249" s="1" t="str">
        <f>"08023"</f>
        <v>08023</v>
      </c>
      <c r="E9249" s="1" t="s">
        <v>1533</v>
      </c>
      <c r="F9249" s="1">
        <v>4</v>
      </c>
      <c r="G9249" s="1">
        <v>0</v>
      </c>
      <c r="H9249" s="1">
        <v>2</v>
      </c>
      <c r="I9249" s="1" t="s">
        <v>18969</v>
      </c>
      <c r="K9249" s="1" t="str">
        <f t="shared" si="577"/>
        <v>ㄓ</v>
      </c>
      <c r="L9249" s="1" t="str">
        <f t="shared" si="580"/>
        <v>ㄨ</v>
      </c>
      <c r="M9249" s="1" t="str">
        <f t="shared" si="579"/>
        <v>ㄚ</v>
      </c>
      <c r="P9249" s="1" t="s">
        <v>20</v>
      </c>
      <c r="R9249" s="1" t="s">
        <v>18970</v>
      </c>
      <c r="V9249" s="1" t="s">
        <v>18971</v>
      </c>
      <c r="W9249" s="1" t="s">
        <v>18972</v>
      </c>
      <c r="AR9249" s="1" t="str">
        <f t="shared" si="578"/>
        <v>| [ㄓㄨㄚˇ](ㄓㄨㄚˇ.md) | [爪](爪.md) |  | zhuǎ | 參見「爪子」條。 |</v>
      </c>
    </row>
    <row r="9250" spans="1:44" hidden="1">
      <c r="A9250" s="1" t="s">
        <v>18973</v>
      </c>
      <c r="C9250" s="1">
        <v>1</v>
      </c>
      <c r="D9250" s="1" t="str">
        <f>"08024"</f>
        <v>08024</v>
      </c>
      <c r="E9250" s="1" t="s">
        <v>286</v>
      </c>
      <c r="F9250" s="1">
        <v>8</v>
      </c>
      <c r="G9250" s="1">
        <v>6</v>
      </c>
      <c r="H9250" s="1">
        <v>2</v>
      </c>
      <c r="I9250" s="1" t="s">
        <v>18974</v>
      </c>
      <c r="K9250" s="1" t="str">
        <f t="shared" si="577"/>
        <v>ㄓ</v>
      </c>
      <c r="L9250" s="1" t="str">
        <f t="shared" si="580"/>
        <v>ㄨ</v>
      </c>
      <c r="M9250" s="1" t="str">
        <f t="shared" si="579"/>
        <v>ㄛ</v>
      </c>
      <c r="P9250" s="1" t="s">
        <v>20</v>
      </c>
      <c r="R9250" s="1" t="s">
        <v>18975</v>
      </c>
      <c r="V9250" s="1" t="s">
        <v>18976</v>
      </c>
      <c r="W9250" s="1" t="s">
        <v>18977</v>
      </c>
      <c r="AR9250" s="1" t="str">
        <f t="shared" si="578"/>
        <v>| [ㄓㄨㄛ](ㄓㄨㄛ.md) | [卓](卓.md) |  | zhuō | [名]
桌子、几案。同「桌」。宋．史繩祖《學齋佔畢．卷二．飲食衣服今皆變古》：「蓋其席地而坐，不設椅卓，即古之設筵敷席也。」《金史．卷三三．禮志六》：「俟有司置香案酒卓訖。」 |</v>
      </c>
    </row>
    <row r="9251" spans="1:44" hidden="1">
      <c r="A9251" s="1" t="s">
        <v>18978</v>
      </c>
      <c r="C9251" s="1">
        <v>1</v>
      </c>
      <c r="D9251" s="1" t="str">
        <f>"08025"</f>
        <v>08025</v>
      </c>
      <c r="E9251" s="1" t="s">
        <v>139</v>
      </c>
      <c r="F9251" s="1">
        <v>10</v>
      </c>
      <c r="G9251" s="1">
        <v>6</v>
      </c>
      <c r="H9251" s="1">
        <v>0</v>
      </c>
      <c r="I9251" s="1" t="s">
        <v>18974</v>
      </c>
      <c r="K9251" s="1" t="str">
        <f t="shared" si="577"/>
        <v>ㄓ</v>
      </c>
      <c r="L9251" s="1" t="str">
        <f t="shared" si="580"/>
        <v>ㄨ</v>
      </c>
      <c r="M9251" s="1" t="str">
        <f t="shared" si="579"/>
        <v>ㄛ</v>
      </c>
      <c r="P9251" s="1" t="s">
        <v>20</v>
      </c>
      <c r="R9251" s="1" t="s">
        <v>18975</v>
      </c>
      <c r="V9251" s="1" t="s">
        <v>18979</v>
      </c>
      <c r="AR9251" s="1" t="str">
        <f t="shared" si="578"/>
        <v>| [ㄓㄨㄛ](ㄓㄨㄛ.md) | [桌](桌.md) |  | zhuō | [名]
1.可放東西或用來讀書、吃飯的家具。如：「餐桌」、「書桌」。
2.量詞。計算菜餚、酒席、賓客等的單位。如：「五桌菜」、「兩桌酒席」、「三桌客人」。 |</v>
      </c>
    </row>
    <row r="9252" spans="1:44" hidden="1">
      <c r="A9252" s="1" t="s">
        <v>18299</v>
      </c>
      <c r="C9252" s="1">
        <v>1</v>
      </c>
      <c r="D9252" s="1" t="str">
        <f>"08026"</f>
        <v>08026</v>
      </c>
      <c r="E9252" s="1" t="s">
        <v>139</v>
      </c>
      <c r="F9252" s="1">
        <v>12</v>
      </c>
      <c r="G9252" s="1">
        <v>8</v>
      </c>
      <c r="H9252" s="1">
        <v>2</v>
      </c>
      <c r="I9252" s="1" t="s">
        <v>18974</v>
      </c>
      <c r="K9252" s="1" t="str">
        <f t="shared" si="577"/>
        <v>ㄓ</v>
      </c>
      <c r="L9252" s="1" t="str">
        <f t="shared" si="580"/>
        <v>ㄨ</v>
      </c>
      <c r="M9252" s="1" t="str">
        <f t="shared" si="579"/>
        <v>ㄛ</v>
      </c>
      <c r="P9252" s="1" t="s">
        <v>20</v>
      </c>
      <c r="R9252" s="1" t="s">
        <v>18975</v>
      </c>
      <c r="V9252" s="1" t="s">
        <v>18980</v>
      </c>
      <c r="W9252" s="1" t="s">
        <v>18981</v>
      </c>
      <c r="AR9252" s="1" t="str">
        <f t="shared" si="578"/>
        <v>| [ㄓㄨㄛ](ㄓㄨㄛ.md) | [棹](棹.md) |  | zhuō | [名]
可放置東西的家具。同「桌」。如：「方棹」、「圓棹」。 |</v>
      </c>
    </row>
    <row r="9253" spans="1:44" hidden="1">
      <c r="A9253" s="1" t="s">
        <v>18982</v>
      </c>
      <c r="C9253" s="1">
        <v>1</v>
      </c>
      <c r="D9253" s="1" t="str">
        <f>"08027"</f>
        <v>08027</v>
      </c>
      <c r="E9253" s="1" t="s">
        <v>24</v>
      </c>
      <c r="F9253" s="1">
        <v>10</v>
      </c>
      <c r="G9253" s="1">
        <v>7</v>
      </c>
      <c r="H9253" s="1">
        <v>0</v>
      </c>
      <c r="I9253" s="1" t="s">
        <v>18974</v>
      </c>
      <c r="K9253" s="1" t="str">
        <f t="shared" si="577"/>
        <v>ㄓ</v>
      </c>
      <c r="L9253" s="1" t="str">
        <f t="shared" si="580"/>
        <v>ㄨ</v>
      </c>
      <c r="M9253" s="1" t="str">
        <f t="shared" si="579"/>
        <v>ㄛ</v>
      </c>
      <c r="P9253" s="1" t="s">
        <v>20</v>
      </c>
      <c r="R9253" s="1" t="s">
        <v>18975</v>
      </c>
      <c r="V9253" s="1" t="s">
        <v>18983</v>
      </c>
      <c r="AR9253" s="1" t="str">
        <f t="shared" si="578"/>
        <v>| [ㄓㄨㄛ](ㄓㄨㄛ.md) | [捉](捉.md) |  | zhuō | [動]
1.握住、拿。如：「捉襟見肘」。南朝宋．劉義慶《世說新語．容止》：「自以形陋不足雄遠國，使崔季珪代，帝自捉刀立床頭。」
2.逮捕、抓住。如：「捕捉」、「活捉」、「捉賊」、「捕風捉影」、「貓捉老鼠」。
3.戲弄。如：「捉弄」。 |</v>
      </c>
    </row>
    <row r="9254" spans="1:44" hidden="1">
      <c r="A9254" s="1" t="s">
        <v>18984</v>
      </c>
      <c r="C9254" s="1">
        <v>1</v>
      </c>
      <c r="D9254" s="1" t="str">
        <f>"08028"</f>
        <v>08028</v>
      </c>
      <c r="E9254" s="1" t="s">
        <v>129</v>
      </c>
      <c r="F9254" s="1">
        <v>11</v>
      </c>
      <c r="G9254" s="1">
        <v>8</v>
      </c>
      <c r="H9254" s="1">
        <v>2</v>
      </c>
      <c r="I9254" s="1" t="s">
        <v>18974</v>
      </c>
      <c r="K9254" s="1" t="str">
        <f t="shared" si="577"/>
        <v>ㄓ</v>
      </c>
      <c r="L9254" s="1" t="str">
        <f t="shared" si="580"/>
        <v>ㄨ</v>
      </c>
      <c r="M9254" s="1" t="str">
        <f t="shared" si="579"/>
        <v>ㄛ</v>
      </c>
      <c r="P9254" s="1" t="s">
        <v>110</v>
      </c>
      <c r="R9254" s="1" t="s">
        <v>18975</v>
      </c>
      <c r="V9254" s="1" t="s">
        <v>111</v>
      </c>
      <c r="W9254" s="1" t="s">
        <v>18985</v>
      </c>
      <c r="AR9254" s="1" t="str">
        <f t="shared" si="578"/>
        <v>| [ㄓㄨㄛ](ㄓㄨㄛ.md) | [涿](涿.md) |  | zhuō | (一)之又音。 |</v>
      </c>
    </row>
    <row r="9255" spans="1:44" hidden="1">
      <c r="A9255" s="1" t="s">
        <v>18986</v>
      </c>
      <c r="C9255" s="1">
        <v>1</v>
      </c>
      <c r="D9255" s="1" t="str">
        <f>"08028A"</f>
        <v>08028A</v>
      </c>
      <c r="E9255" s="1" t="s">
        <v>570</v>
      </c>
      <c r="F9255" s="1">
        <v>3</v>
      </c>
      <c r="G9255" s="1">
        <v>1</v>
      </c>
      <c r="H9255" s="1">
        <v>2</v>
      </c>
      <c r="I9255" s="1" t="s">
        <v>18987</v>
      </c>
      <c r="K9255" s="1" t="str">
        <f t="shared" si="577"/>
        <v>ㄓ</v>
      </c>
      <c r="L9255" s="1" t="str">
        <f t="shared" si="580"/>
        <v>ㄨ</v>
      </c>
      <c r="M9255" s="1" t="str">
        <f t="shared" si="579"/>
        <v>ㄛ</v>
      </c>
      <c r="P9255" s="1" t="s">
        <v>20</v>
      </c>
      <c r="R9255" s="1" t="s">
        <v>18988</v>
      </c>
      <c r="V9255" s="1" t="s">
        <v>18989</v>
      </c>
      <c r="W9255" s="1" t="s">
        <v>18990</v>
      </c>
      <c r="AR9255" s="1" t="str">
        <f t="shared" si="578"/>
        <v>| [ㄓㄨㄛˊ](ㄓㄨㄛˊ.md) | [勺](勺.md) |  | zhuó | [名]
周公所制作的樂名。《禮記．內則》：「十有三年，學樂，誦詩，舞勺。」漢．鄭玄．注：「先學勺，後學象，文武之次也。」 |</v>
      </c>
    </row>
    <row r="9256" spans="1:44" hidden="1">
      <c r="A9256" s="1" t="s">
        <v>18991</v>
      </c>
      <c r="C9256" s="1">
        <v>1</v>
      </c>
      <c r="D9256" s="1" t="str">
        <f>"08029"</f>
        <v>08029</v>
      </c>
      <c r="E9256" s="1" t="s">
        <v>129</v>
      </c>
      <c r="F9256" s="1">
        <v>6</v>
      </c>
      <c r="G9256" s="1">
        <v>3</v>
      </c>
      <c r="H9256" s="1">
        <v>0</v>
      </c>
      <c r="I9256" s="1" t="s">
        <v>18987</v>
      </c>
      <c r="K9256" s="1" t="str">
        <f t="shared" si="577"/>
        <v>ㄓ</v>
      </c>
      <c r="L9256" s="1" t="str">
        <f t="shared" si="580"/>
        <v>ㄨ</v>
      </c>
      <c r="M9256" s="1" t="str">
        <f t="shared" si="579"/>
        <v>ㄛ</v>
      </c>
      <c r="P9256" s="1" t="s">
        <v>20</v>
      </c>
      <c r="R9256" s="1" t="s">
        <v>18988</v>
      </c>
      <c r="V9256" s="1" t="s">
        <v>18992</v>
      </c>
      <c r="AR9256" s="1" t="str">
        <f t="shared" si="578"/>
        <v>| [ㄓㄨㄛˊ](ㄓㄨㄛˊ.md) | [汋](汋.md) |  | zhuó | [名]
水波激盪的聲音。《說文解字．水部》：「汋，激水聲也。」 |</v>
      </c>
    </row>
    <row r="9257" spans="1:44" hidden="1">
      <c r="A9257" s="1" t="s">
        <v>233</v>
      </c>
      <c r="C9257" s="1">
        <v>1</v>
      </c>
      <c r="D9257" s="1" t="str">
        <f>"08030"</f>
        <v>08030</v>
      </c>
      <c r="E9257" s="1" t="s">
        <v>234</v>
      </c>
      <c r="F9257" s="1">
        <v>6</v>
      </c>
      <c r="G9257" s="1">
        <v>3</v>
      </c>
      <c r="H9257" s="1">
        <v>1</v>
      </c>
      <c r="I9257" s="1" t="s">
        <v>18987</v>
      </c>
      <c r="K9257" s="1" t="str">
        <f t="shared" si="577"/>
        <v>ㄓ</v>
      </c>
      <c r="L9257" s="1" t="str">
        <f t="shared" si="580"/>
        <v>ㄨ</v>
      </c>
      <c r="M9257" s="1" t="str">
        <f t="shared" si="579"/>
        <v>ㄛ</v>
      </c>
      <c r="P9257" s="1" t="s">
        <v>20</v>
      </c>
      <c r="R9257" s="1" t="s">
        <v>18988</v>
      </c>
      <c r="V9257" s="1" t="s">
        <v>18993</v>
      </c>
      <c r="W9257" s="1" t="s">
        <v>18994</v>
      </c>
      <c r="AR9257" s="1" t="str">
        <f t="shared" si="578"/>
        <v>| [ㄓㄨㄛˊ](ㄓㄨㄛˊ.md) | [彴](彴.md) |  | zhuó | [名]
獨木橋。唐．李商隱〈和鄭愚贈汝陽王孫家箏妓二十韻〉：「長彴壓河心，白道連地尾。」宋．蘇軾〈同王勝之遊蔣山〉詩：「略彴橫秋水，浮圖插暮煙。」 |</v>
      </c>
    </row>
    <row r="9258" spans="1:44" hidden="1">
      <c r="A9258" s="1" t="s">
        <v>18995</v>
      </c>
      <c r="C9258" s="1">
        <v>1</v>
      </c>
      <c r="D9258" s="1" t="str">
        <f>"08031"</f>
        <v>08031</v>
      </c>
      <c r="E9258" s="1" t="s">
        <v>336</v>
      </c>
      <c r="F9258" s="1">
        <v>7</v>
      </c>
      <c r="G9258" s="1">
        <v>3</v>
      </c>
      <c r="H9258" s="1">
        <v>0</v>
      </c>
      <c r="I9258" s="1" t="s">
        <v>18987</v>
      </c>
      <c r="K9258" s="1" t="str">
        <f t="shared" si="577"/>
        <v>ㄓ</v>
      </c>
      <c r="L9258" s="1" t="str">
        <f t="shared" si="580"/>
        <v>ㄨ</v>
      </c>
      <c r="M9258" s="1" t="str">
        <f t="shared" si="579"/>
        <v>ㄛ</v>
      </c>
      <c r="P9258" s="1" t="s">
        <v>20</v>
      </c>
      <c r="R9258" s="1" t="s">
        <v>18988</v>
      </c>
      <c r="V9258" s="1" t="s">
        <v>18996</v>
      </c>
      <c r="AR9258" s="1" t="str">
        <f t="shared" si="578"/>
        <v>| [ㄓㄨㄛˊ](ㄓㄨㄛˊ.md) | [灼](灼.md) |  | zhuó | [動]
1.炙、燒。如：「被火灼傷」。《國語．魯語下》：「如龜焉，灼其中，必文於外。」
2.照耀、照亮。清．徐珂《清稗類鈔．盜賊類．盜有徒為賊》：「偕僕掩門戶。以燭灼之，懼有野犬留廚下。」
[形]
1.明顯、明亮。如：「真知灼見」。《文選．曹植．洛神賦》：「遠而望之，皎若太陽升朝霞；迫而察之，灼若芙蕖出淥波。」
2.著急、急躁。如：「焦灼」。 |</v>
      </c>
    </row>
    <row r="9259" spans="1:44" hidden="1">
      <c r="A9259" s="1" t="s">
        <v>18997</v>
      </c>
      <c r="C9259" s="1">
        <v>1</v>
      </c>
      <c r="D9259" s="1" t="str">
        <f>"08032"</f>
        <v>08032</v>
      </c>
      <c r="E9259" s="1" t="s">
        <v>1462</v>
      </c>
      <c r="F9259" s="1">
        <v>10</v>
      </c>
      <c r="G9259" s="1">
        <v>3</v>
      </c>
      <c r="H9259" s="1">
        <v>0</v>
      </c>
      <c r="I9259" s="1" t="s">
        <v>18987</v>
      </c>
      <c r="K9259" s="1" t="str">
        <f t="shared" si="577"/>
        <v>ㄓ</v>
      </c>
      <c r="L9259" s="1" t="str">
        <f t="shared" si="580"/>
        <v>ㄨ</v>
      </c>
      <c r="M9259" s="1" t="str">
        <f t="shared" si="579"/>
        <v>ㄛ</v>
      </c>
      <c r="P9259" s="1" t="s">
        <v>20</v>
      </c>
      <c r="R9259" s="1" t="s">
        <v>18988</v>
      </c>
      <c r="V9259" s="1" t="s">
        <v>18998</v>
      </c>
      <c r="AR9259" s="1" t="str">
        <f t="shared" si="578"/>
        <v>| [ㄓㄨㄛˊ](ㄓㄨㄛˊ.md) | [酌](酌.md) |  | zhuó | [動]
1.斟酒、飲酒。如：「對酌」、「小酌」。《詩經．周南．卷耳》：「我姑酌彼金罍，維以不永懷。」《文選．陶淵明．歸去來辭》：「引壺觴以自酌，眄庭柯以怡顏。」
2.商量、考慮。如：「酌情」、「商酌」。《左傳．成公六年》：「子為大政，將酌於民者也。」南朝梁．劉勰《文心雕龍．神思》：「積學以儲寶，酌理以富才。」
[名]
1.酒席、宴會。如：「喜酌」、「敬備菲酌」。《文選．鮑照．翫月城西門解中詩》：「迴軒駐輕蓋，留酌待情人。」
2.酒。如：「清酌」。唐．王勃〈聖泉宴〉詩：「蘭氣熏山酌，松聲韻野弦。」
3.《詩經．周頌》的篇名。共一章。根據〈詩序〉：「〈酌〉，告成大武也。言能酌先主之道，以養天下也。」指歌頌武王之詩。本章二句為：「於鑠王師，遵養時晦。」 |</v>
      </c>
    </row>
    <row r="9260" spans="1:44" hidden="1">
      <c r="A9260" s="1" t="s">
        <v>18999</v>
      </c>
      <c r="C9260" s="1">
        <v>1</v>
      </c>
      <c r="D9260" s="1" t="str">
        <f>"08033"</f>
        <v>08033</v>
      </c>
      <c r="E9260" s="1" t="s">
        <v>24</v>
      </c>
      <c r="F9260" s="1">
        <v>8</v>
      </c>
      <c r="G9260" s="1">
        <v>5</v>
      </c>
      <c r="H9260" s="1">
        <v>0</v>
      </c>
      <c r="I9260" s="1" t="s">
        <v>18987</v>
      </c>
      <c r="K9260" s="1" t="str">
        <f t="shared" si="577"/>
        <v>ㄓ</v>
      </c>
      <c r="L9260" s="1" t="str">
        <f t="shared" si="580"/>
        <v>ㄨ</v>
      </c>
      <c r="M9260" s="1" t="str">
        <f t="shared" si="579"/>
        <v>ㄛ</v>
      </c>
      <c r="P9260" s="1" t="s">
        <v>20</v>
      </c>
      <c r="R9260" s="1" t="s">
        <v>18988</v>
      </c>
      <c r="V9260" s="1" t="s">
        <v>19000</v>
      </c>
      <c r="AR9260" s="1" t="str">
        <f t="shared" si="578"/>
        <v>| [ㄓㄨㄛˊ](ㄓㄨㄛˊ.md) | [拙](拙.md) |  | zhuó | [形]
1.愚笨、不靈活。如：「笨拙」、「手拙」、「弄巧成拙」。
2.謙稱自己的。如：「拙見」、「拙作」、「拙計」。
3.古樸的、未加修飾的。如：「古拙」、「樸拙」。 |</v>
      </c>
    </row>
    <row r="9261" spans="1:44" hidden="1">
      <c r="A9261" s="1" t="s">
        <v>19001</v>
      </c>
      <c r="C9261" s="1">
        <v>1</v>
      </c>
      <c r="D9261" s="1" t="str">
        <f>"08034"</f>
        <v>08034</v>
      </c>
      <c r="E9261" s="1" t="s">
        <v>37</v>
      </c>
      <c r="F9261" s="1">
        <v>9</v>
      </c>
      <c r="G9261" s="1">
        <v>5</v>
      </c>
      <c r="H9261" s="1">
        <v>0</v>
      </c>
      <c r="I9261" s="1" t="s">
        <v>18987</v>
      </c>
      <c r="K9261" s="1" t="str">
        <f t="shared" si="577"/>
        <v>ㄓ</v>
      </c>
      <c r="L9261" s="1" t="str">
        <f t="shared" si="580"/>
        <v>ㄨ</v>
      </c>
      <c r="M9261" s="1" t="str">
        <f t="shared" si="579"/>
        <v>ㄛ</v>
      </c>
      <c r="P9261" s="1" t="s">
        <v>20</v>
      </c>
      <c r="R9261" s="1" t="s">
        <v>18988</v>
      </c>
      <c r="V9261" s="1" t="s">
        <v>19002</v>
      </c>
      <c r="AR9261" s="1" t="str">
        <f t="shared" si="578"/>
        <v>| [ㄓㄨㄛˊ](ㄓㄨㄛˊ.md) | [茁](茁.md) |  | zhuó | [形]
1.草木初生的樣子。《說文解字．艸部》：「茁，艸初生出地貌。」《詩經．召南．騶虞》：「彼茁者葭，壹發五豝。」唐．孔穎達．正義：「謂草生茁茁然出。」
2.成長。參見「茁壯」條。 |</v>
      </c>
    </row>
    <row r="9262" spans="1:44" hidden="1">
      <c r="A9262" s="1" t="s">
        <v>18973</v>
      </c>
      <c r="C9262" s="1">
        <v>1</v>
      </c>
      <c r="D9262" s="1" t="str">
        <f>"08035"</f>
        <v>08035</v>
      </c>
      <c r="E9262" s="1" t="s">
        <v>286</v>
      </c>
      <c r="F9262" s="1">
        <v>8</v>
      </c>
      <c r="G9262" s="1">
        <v>6</v>
      </c>
      <c r="H9262" s="1">
        <v>1</v>
      </c>
      <c r="I9262" s="1" t="s">
        <v>18987</v>
      </c>
      <c r="K9262" s="1" t="str">
        <f t="shared" si="577"/>
        <v>ㄓ</v>
      </c>
      <c r="L9262" s="1" t="str">
        <f t="shared" si="580"/>
        <v>ㄨ</v>
      </c>
      <c r="M9262" s="1" t="str">
        <f t="shared" si="579"/>
        <v>ㄛ</v>
      </c>
      <c r="P9262" s="1" t="s">
        <v>20</v>
      </c>
      <c r="R9262" s="1" t="s">
        <v>18988</v>
      </c>
      <c r="V9262" s="1" t="s">
        <v>19003</v>
      </c>
      <c r="W9262" s="1" t="s">
        <v>19004</v>
      </c>
      <c r="AR9262" s="1" t="str">
        <f t="shared" si="578"/>
        <v>| [ㄓㄨㄛˊ](ㄓㄨㄛˊ.md) | [卓](卓.md) |  | zhuó | [形]
高超獨特。如：「卓越」、「卓見」。
[副]
挺立出眾的樣子。如：「卓然而立」。《論語．子罕》：「如有所立，卓爾。」
[名]
姓。如漢代有卓茂。 |</v>
      </c>
    </row>
    <row r="9263" spans="1:44" hidden="1">
      <c r="A9263" s="1" t="s">
        <v>19005</v>
      </c>
      <c r="C9263" s="1">
        <v>1</v>
      </c>
      <c r="D9263" s="1" t="str">
        <f>"08036"</f>
        <v>08036</v>
      </c>
      <c r="E9263" s="1" t="s">
        <v>114</v>
      </c>
      <c r="F9263" s="1">
        <v>10</v>
      </c>
      <c r="G9263" s="1">
        <v>8</v>
      </c>
      <c r="H9263" s="1">
        <v>0</v>
      </c>
      <c r="I9263" s="1" t="s">
        <v>18987</v>
      </c>
      <c r="K9263" s="1" t="str">
        <f t="shared" si="577"/>
        <v>ㄓ</v>
      </c>
      <c r="L9263" s="1" t="str">
        <f t="shared" si="580"/>
        <v>ㄨ</v>
      </c>
      <c r="M9263" s="1" t="str">
        <f t="shared" si="579"/>
        <v>ㄛ</v>
      </c>
      <c r="P9263" s="1" t="s">
        <v>20</v>
      </c>
      <c r="R9263" s="1" t="s">
        <v>18988</v>
      </c>
      <c r="V9263" s="1" t="s">
        <v>19006</v>
      </c>
      <c r="AR9263" s="1" t="str">
        <f t="shared" si="578"/>
        <v>| [ㄓㄨㄛˊ](ㄓㄨㄛˊ.md) | [倬](倬.md) |  | zhuó | [形]
大而顯著。《詩經．大雅．雲漢》：「倬彼雲漢，昭回於天。」唐．李德裕〈幽州紀聖功碑銘並序〉：「倬哉！天地應而品物生，君臣應而功業成。」 |</v>
      </c>
    </row>
    <row r="9264" spans="1:44" hidden="1">
      <c r="A9264" s="1" t="s">
        <v>19007</v>
      </c>
      <c r="C9264" s="1">
        <v>1</v>
      </c>
      <c r="D9264" s="1" t="str">
        <f>"08037"</f>
        <v>08037</v>
      </c>
      <c r="E9264" s="1" t="s">
        <v>28</v>
      </c>
      <c r="F9264" s="1">
        <v>11</v>
      </c>
      <c r="G9264" s="1">
        <v>8</v>
      </c>
      <c r="H9264" s="1">
        <v>0</v>
      </c>
      <c r="I9264" s="1" t="s">
        <v>18987</v>
      </c>
      <c r="K9264" s="1" t="str">
        <f t="shared" ref="K9264:K9327" si="581">LEFT(I9264, 1)</f>
        <v>ㄓ</v>
      </c>
      <c r="L9264" s="1" t="str">
        <f t="shared" si="580"/>
        <v>ㄨ</v>
      </c>
      <c r="M9264" s="1" t="str">
        <f t="shared" si="579"/>
        <v>ㄛ</v>
      </c>
      <c r="P9264" s="1" t="s">
        <v>20</v>
      </c>
      <c r="R9264" s="1" t="s">
        <v>18988</v>
      </c>
      <c r="V9264" s="1" t="s">
        <v>19008</v>
      </c>
      <c r="AR9264" s="1" t="str">
        <f t="shared" si="578"/>
        <v>| [ㄓㄨㄛˊ](ㄓㄨㄛˊ.md) | [啅](啅.md) |  | zhuó | [擬]
形容鳥鳴聲。明．張自烈《正字通．口部》：「啅，鳥雀鳴聲。」
[形]
喧鬧的、聒噪的。唐．杜甫〈落日〉詩：「啅雀爭枝墜，飛蟲滿院遊。」 |</v>
      </c>
    </row>
    <row r="9265" spans="1:44" hidden="1">
      <c r="A9265" s="1" t="s">
        <v>19009</v>
      </c>
      <c r="C9265" s="1">
        <v>1</v>
      </c>
      <c r="D9265" s="1" t="str">
        <f>"08038"</f>
        <v>08038</v>
      </c>
      <c r="E9265" s="1" t="s">
        <v>336</v>
      </c>
      <c r="F9265" s="1">
        <v>12</v>
      </c>
      <c r="G9265" s="1">
        <v>8</v>
      </c>
      <c r="H9265" s="1">
        <v>0</v>
      </c>
      <c r="I9265" s="1" t="s">
        <v>18987</v>
      </c>
      <c r="K9265" s="1" t="str">
        <f t="shared" si="581"/>
        <v>ㄓ</v>
      </c>
      <c r="L9265" s="1" t="str">
        <f t="shared" si="580"/>
        <v>ㄨ</v>
      </c>
      <c r="M9265" s="1" t="str">
        <f t="shared" si="579"/>
        <v>ㄛ</v>
      </c>
      <c r="P9265" s="1" t="s">
        <v>20</v>
      </c>
      <c r="R9265" s="1" t="s">
        <v>18988</v>
      </c>
      <c r="V9265" s="1" t="s">
        <v>19010</v>
      </c>
      <c r="AR9265" s="1" t="str">
        <f t="shared" si="578"/>
        <v>| [ㄓㄨㄛˊ](ㄓㄨㄛˊ.md) | [焯](焯.md) |  | zhuó | [形]
光明、顯明。同「灼」。如：「焯燦」、「焯見」。
[動]
照耀。晉．庾闡〈弔賈生文〉：「煥乎若望舒燿景而焯群星，矯乎若翔鸞拊翼而逸宇宙也。」 |</v>
      </c>
    </row>
    <row r="9266" spans="1:44" hidden="1">
      <c r="A9266" s="1" t="s">
        <v>19011</v>
      </c>
      <c r="C9266" s="1">
        <v>1</v>
      </c>
      <c r="D9266" s="1" t="str">
        <f>"08039"</f>
        <v>08039</v>
      </c>
      <c r="E9266" s="1" t="s">
        <v>4563</v>
      </c>
      <c r="F9266" s="1">
        <v>15</v>
      </c>
      <c r="G9266" s="1">
        <v>8</v>
      </c>
      <c r="H9266" s="1">
        <v>1</v>
      </c>
      <c r="I9266" s="1" t="s">
        <v>18987</v>
      </c>
      <c r="K9266" s="1" t="str">
        <f t="shared" si="581"/>
        <v>ㄓ</v>
      </c>
      <c r="L9266" s="1" t="str">
        <f t="shared" si="580"/>
        <v>ㄨ</v>
      </c>
      <c r="M9266" s="1" t="str">
        <f t="shared" si="579"/>
        <v>ㄛ</v>
      </c>
      <c r="P9266" s="1" t="s">
        <v>20</v>
      </c>
      <c r="R9266" s="1" t="s">
        <v>18988</v>
      </c>
      <c r="V9266" s="1" t="s">
        <v>19012</v>
      </c>
      <c r="W9266" s="1" t="s">
        <v>19013</v>
      </c>
      <c r="AR9266" s="1" t="str">
        <f t="shared" si="578"/>
        <v>| [ㄓㄨㄛˊ](ㄓㄨㄛˊ.md) | [趠](趠.md) |  | zhuó | [動]
1.遠走。《說文解字．走部》：「趠，遠也。」《晉書．卷九二．文苑傳．曹毗傳》：「游不踐綽約之室，趠不希騄駬之蹤。」
2.跳躍。《文選．左思．吳都賦》：「狖鼯猓然，騰趠飛超。」《南齊書．卷四一．張融傳》：「雕隼飛而未半，鯤龍趠而不逮。」 |</v>
      </c>
    </row>
    <row r="9267" spans="1:44" hidden="1">
      <c r="A9267" s="1" t="s">
        <v>19014</v>
      </c>
      <c r="C9267" s="1">
        <v>1</v>
      </c>
      <c r="D9267" s="1" t="str">
        <f>"08040"</f>
        <v>08040</v>
      </c>
      <c r="E9267" s="1" t="s">
        <v>77</v>
      </c>
      <c r="F9267" s="1">
        <v>15</v>
      </c>
      <c r="G9267" s="1">
        <v>8</v>
      </c>
      <c r="H9267" s="1">
        <v>0</v>
      </c>
      <c r="I9267" s="1" t="s">
        <v>18987</v>
      </c>
      <c r="K9267" s="1" t="str">
        <f t="shared" si="581"/>
        <v>ㄓ</v>
      </c>
      <c r="L9267" s="1" t="str">
        <f t="shared" si="580"/>
        <v>ㄨ</v>
      </c>
      <c r="M9267" s="1" t="str">
        <f t="shared" si="579"/>
        <v>ㄛ</v>
      </c>
      <c r="P9267" s="1" t="s">
        <v>20</v>
      </c>
      <c r="R9267" s="1" t="s">
        <v>18988</v>
      </c>
      <c r="V9267" s="1" t="s">
        <v>19015</v>
      </c>
      <c r="AR9267" s="1" t="str">
        <f t="shared" si="578"/>
        <v>| [ㄓㄨㄛˊ](ㄓㄨㄛˊ.md) | [踔](踔.md) |  | zhuó | [動]
超越。《集韻．去聲．嘯韻》：「踔，越也。」《後漢書．卷六〇下．蔡邕傳》：「踔宇宙而遺俗兮，眇翩翩而獨征。」
[形]
高遠的、卓然特立的。《漢書．卷八一．孔光傳》：「非有踔絕之能，不相踰越。」 |</v>
      </c>
    </row>
    <row r="9268" spans="1:44" hidden="1">
      <c r="A9268" s="1" t="s">
        <v>19016</v>
      </c>
      <c r="C9268" s="1">
        <v>1</v>
      </c>
      <c r="D9268" s="1" t="str">
        <f>"08041"</f>
        <v>08041</v>
      </c>
      <c r="E9268" s="1" t="s">
        <v>1880</v>
      </c>
      <c r="F9268" s="1">
        <v>8</v>
      </c>
      <c r="G9268" s="1">
        <v>6</v>
      </c>
      <c r="H9268" s="1">
        <v>0</v>
      </c>
      <c r="I9268" s="1" t="s">
        <v>18987</v>
      </c>
      <c r="K9268" s="1" t="str">
        <f t="shared" si="581"/>
        <v>ㄓ</v>
      </c>
      <c r="L9268" s="1" t="str">
        <f t="shared" si="580"/>
        <v>ㄨ</v>
      </c>
      <c r="M9268" s="1" t="str">
        <f t="shared" si="579"/>
        <v>ㄛ</v>
      </c>
      <c r="P9268" s="1" t="s">
        <v>20</v>
      </c>
      <c r="R9268" s="1" t="s">
        <v>18988</v>
      </c>
      <c r="V9268" s="1" t="s">
        <v>19017</v>
      </c>
      <c r="AR9268" s="1" t="str">
        <f t="shared" si="578"/>
        <v>| [ㄓㄨㄛˊ](ㄓㄨㄛˊ.md) | [叕](叕.md) |  | zhuó | [動]
聯、綴。《說文解字．叕部》：「叕，綴聯也。」
[形]
短淺。《淮南子．人間》：「聖人之思脩，愚人之思叕。」 |</v>
      </c>
    </row>
    <row r="9269" spans="1:44" hidden="1">
      <c r="A9269" s="1" t="s">
        <v>19018</v>
      </c>
      <c r="C9269" s="1">
        <v>1</v>
      </c>
      <c r="D9269" s="1" t="str">
        <f>"08042"</f>
        <v>08042</v>
      </c>
      <c r="E9269" s="1" t="s">
        <v>753</v>
      </c>
      <c r="F9269" s="1">
        <v>13</v>
      </c>
      <c r="G9269" s="1">
        <v>8</v>
      </c>
      <c r="H9269" s="1">
        <v>0</v>
      </c>
      <c r="I9269" s="1" t="s">
        <v>18987</v>
      </c>
      <c r="K9269" s="1" t="str">
        <f t="shared" si="581"/>
        <v>ㄓ</v>
      </c>
      <c r="L9269" s="1" t="str">
        <f t="shared" si="580"/>
        <v>ㄨ</v>
      </c>
      <c r="M9269" s="1" t="str">
        <f t="shared" si="579"/>
        <v>ㄛ</v>
      </c>
      <c r="P9269" s="1" t="s">
        <v>20</v>
      </c>
      <c r="R9269" s="1" t="s">
        <v>18988</v>
      </c>
      <c r="V9269" s="1" t="s">
        <v>19019</v>
      </c>
      <c r="AR9269" s="1" t="str">
        <f t="shared" si="578"/>
        <v>| [ㄓㄨㄛˊ](ㄓㄨㄛˊ.md) | [畷](畷.md) |  | zhuó | [名]
田間的小路。《廣韻．入聲．薛韻》：「畷，田間道。」《文選．左思．吳都賦》：「其四野則畛畷無數，膏腴兼倍。」 |</v>
      </c>
    </row>
    <row r="9270" spans="1:44" hidden="1">
      <c r="A9270" s="1" t="s">
        <v>19020</v>
      </c>
      <c r="C9270" s="1">
        <v>1</v>
      </c>
      <c r="D9270" s="1" t="str">
        <f>"08043"</f>
        <v>08043</v>
      </c>
      <c r="E9270" s="1" t="s">
        <v>118</v>
      </c>
      <c r="F9270" s="1">
        <v>13</v>
      </c>
      <c r="G9270" s="1">
        <v>8</v>
      </c>
      <c r="H9270" s="1">
        <v>0</v>
      </c>
      <c r="I9270" s="1" t="s">
        <v>18987</v>
      </c>
      <c r="K9270" s="1" t="str">
        <f t="shared" si="581"/>
        <v>ㄓ</v>
      </c>
      <c r="L9270" s="1" t="str">
        <f t="shared" si="580"/>
        <v>ㄨ</v>
      </c>
      <c r="M9270" s="1" t="str">
        <f t="shared" si="579"/>
        <v>ㄛ</v>
      </c>
      <c r="P9270" s="1" t="s">
        <v>20</v>
      </c>
      <c r="R9270" s="1" t="s">
        <v>18988</v>
      </c>
      <c r="V9270" s="1" t="s">
        <v>19021</v>
      </c>
      <c r="AR9270" s="1" t="str">
        <f t="shared" si="578"/>
        <v>| [ㄓㄨㄛˊ](ㄓㄨㄛˊ.md) | [罬](罬.md) |  | zhuó | [名]
古代一種附有機關的捕鳥網具。《說文解字．网部》：「罬，捕鳥覆車也。」《紅樓夢》第七八回：「孰料鳩鴆其高，鷹鷙翻遭罦罬。」 |</v>
      </c>
    </row>
    <row r="9271" spans="1:44" hidden="1">
      <c r="A9271" s="1" t="s">
        <v>19022</v>
      </c>
      <c r="C9271" s="1">
        <v>1</v>
      </c>
      <c r="D9271" s="1" t="str">
        <f>"08044"</f>
        <v>08044</v>
      </c>
      <c r="E9271" s="1" t="s">
        <v>4517</v>
      </c>
      <c r="F9271" s="1">
        <v>9</v>
      </c>
      <c r="G9271" s="1">
        <v>5</v>
      </c>
      <c r="H9271" s="1">
        <v>0</v>
      </c>
      <c r="I9271" s="1" t="s">
        <v>18987</v>
      </c>
      <c r="K9271" s="1" t="str">
        <f t="shared" si="581"/>
        <v>ㄓ</v>
      </c>
      <c r="L9271" s="1" t="str">
        <f t="shared" si="580"/>
        <v>ㄨ</v>
      </c>
      <c r="M9271" s="1" t="str">
        <f t="shared" si="579"/>
        <v>ㄛ</v>
      </c>
      <c r="P9271" s="1" t="s">
        <v>20</v>
      </c>
      <c r="R9271" s="1" t="s">
        <v>18988</v>
      </c>
      <c r="V9271" s="1" t="s">
        <v>19023</v>
      </c>
      <c r="AR9271" s="1" t="str">
        <f t="shared" si="578"/>
        <v>| [ㄓㄨㄛˊ](ㄓㄨㄛˊ.md) | [斫](斫.md) |  | zhuó | [動]
1.以刀斧砍削。《說文解字．斤部》：「斫，擊也。」清．段玉裁．注：「擊者，攴也。凡斫木、斫地、斫人，皆曰斫矣。」《文選．枚乘．七發》：「龍門之桐，高百尺而無枝……使琴摯斫斬以為琴。」
2.襲擊。《三國志．卷五五．吳書．甘寧傳》：「至二更時，銜枚出斫敵。」 |</v>
      </c>
    </row>
    <row r="9272" spans="1:44" hidden="1">
      <c r="A9272" s="1" t="s">
        <v>19024</v>
      </c>
      <c r="C9272" s="1">
        <v>1</v>
      </c>
      <c r="D9272" s="1" t="str">
        <f>"08045"</f>
        <v>08045</v>
      </c>
      <c r="E9272" s="1" t="s">
        <v>4517</v>
      </c>
      <c r="F9272" s="1">
        <v>12</v>
      </c>
      <c r="G9272" s="1">
        <v>8</v>
      </c>
      <c r="H9272" s="1">
        <v>0</v>
      </c>
      <c r="I9272" s="1" t="s">
        <v>18987</v>
      </c>
      <c r="K9272" s="1" t="str">
        <f t="shared" si="581"/>
        <v>ㄓ</v>
      </c>
      <c r="L9272" s="1" t="str">
        <f t="shared" si="580"/>
        <v>ㄨ</v>
      </c>
      <c r="M9272" s="1" t="str">
        <f t="shared" si="579"/>
        <v>ㄛ</v>
      </c>
      <c r="P9272" s="1" t="s">
        <v>20</v>
      </c>
      <c r="R9272" s="1" t="s">
        <v>18988</v>
      </c>
      <c r="V9272" s="1" t="s">
        <v>19025</v>
      </c>
      <c r="AR9272" s="1" t="str">
        <f t="shared" si="578"/>
        <v>| [ㄓㄨㄛˊ](ㄓㄨㄛˊ.md) | [斮](斮.md) |  | zhuó | [動]
1.砍斷、斬斷。《說文解字．斤部》：「斮，斬也。」《書經．泰誓下》：「斮朝涉之脛。」《楚辭．東方朔．七諫．怨世》：「悲楚人之和氏兮，獻寶玉以為石，遇厲武之不察兮，羌兩足以畢斮。」
2.削除魚鱗。《爾雅．釋器》：「魚曰斮之。」晉．郭璞．注：「謂削鱗也。」 |</v>
      </c>
    </row>
    <row r="9273" spans="1:44" hidden="1">
      <c r="A9273" s="1" t="s">
        <v>19026</v>
      </c>
      <c r="C9273" s="1">
        <v>1</v>
      </c>
      <c r="D9273" s="1" t="str">
        <f>"08046"</f>
        <v>08046</v>
      </c>
      <c r="E9273" s="1" t="s">
        <v>4517</v>
      </c>
      <c r="F9273" s="1">
        <v>15</v>
      </c>
      <c r="G9273" s="1">
        <v>11</v>
      </c>
      <c r="H9273" s="1">
        <v>0</v>
      </c>
      <c r="I9273" s="1" t="s">
        <v>18987</v>
      </c>
      <c r="K9273" s="1" t="str">
        <f t="shared" si="581"/>
        <v>ㄓ</v>
      </c>
      <c r="L9273" s="1" t="str">
        <f t="shared" si="580"/>
        <v>ㄨ</v>
      </c>
      <c r="M9273" s="1" t="str">
        <f t="shared" si="579"/>
        <v>ㄛ</v>
      </c>
      <c r="P9273" s="1" t="s">
        <v>20</v>
      </c>
      <c r="R9273" s="1" t="s">
        <v>18988</v>
      </c>
      <c r="V9273" s="1" t="s">
        <v>19027</v>
      </c>
      <c r="AR9273" s="1" t="str">
        <f t="shared" si="578"/>
        <v>| [ㄓㄨㄛˊ](ㄓㄨㄛˊ.md) | [斲](斲.md) |  | zhuó | [名]
斧頭。《左傳．成公二年》：「孟孫請往賂之，以執斲、執鍼、織紝皆百人。」
[動]
1.砍、削木。《莊子．天道》：「輪扁斲輪於堂下。」《史記．卷一二二．酷吏傳．序》：「漢興，破觚而為圜，斲雕而為朴。」
2.雕飾。《淮南子．本經》：「木工不斲，金器不鏤。」 |</v>
      </c>
    </row>
    <row r="9274" spans="1:44" hidden="1">
      <c r="A9274" s="1" t="s">
        <v>19028</v>
      </c>
      <c r="C9274" s="1">
        <v>1</v>
      </c>
      <c r="D9274" s="1" t="str">
        <f>"08047"</f>
        <v>08047</v>
      </c>
      <c r="E9274" s="1" t="s">
        <v>129</v>
      </c>
      <c r="F9274" s="1">
        <v>10</v>
      </c>
      <c r="G9274" s="1">
        <v>7</v>
      </c>
      <c r="H9274" s="1">
        <v>0</v>
      </c>
      <c r="I9274" s="1" t="s">
        <v>18987</v>
      </c>
      <c r="K9274" s="1" t="str">
        <f t="shared" si="581"/>
        <v>ㄓ</v>
      </c>
      <c r="L9274" s="1" t="str">
        <f t="shared" si="580"/>
        <v>ㄨ</v>
      </c>
      <c r="M9274" s="1" t="str">
        <f t="shared" si="579"/>
        <v>ㄛ</v>
      </c>
      <c r="P9274" s="1" t="s">
        <v>20</v>
      </c>
      <c r="R9274" s="1" t="s">
        <v>18988</v>
      </c>
      <c r="V9274" s="1" t="s">
        <v>19029</v>
      </c>
      <c r="AR9274" s="1" t="str">
        <f t="shared" si="578"/>
        <v>| [ㄓㄨㄛˊ](ㄓㄨㄛˊ.md) | [浞](浞.md) |  | zhuó | 沾溼。《說文解字．水部》：「浞，濡也。」 |</v>
      </c>
    </row>
    <row r="9275" spans="1:44" hidden="1">
      <c r="A9275" s="1" t="s">
        <v>14585</v>
      </c>
      <c r="C9275" s="1">
        <v>1</v>
      </c>
      <c r="D9275" s="1" t="str">
        <f>"08048"</f>
        <v>08048</v>
      </c>
      <c r="E9275" s="1" t="s">
        <v>24</v>
      </c>
      <c r="F9275" s="1">
        <v>10</v>
      </c>
      <c r="G9275" s="1">
        <v>7</v>
      </c>
      <c r="H9275" s="1">
        <v>2</v>
      </c>
      <c r="I9275" s="1" t="s">
        <v>18987</v>
      </c>
      <c r="K9275" s="1" t="str">
        <f t="shared" si="581"/>
        <v>ㄓ</v>
      </c>
      <c r="L9275" s="1" t="str">
        <f t="shared" si="580"/>
        <v>ㄨ</v>
      </c>
      <c r="M9275" s="1" t="str">
        <f t="shared" si="579"/>
        <v>ㄛ</v>
      </c>
      <c r="P9275" s="1" t="s">
        <v>20</v>
      </c>
      <c r="R9275" s="1" t="s">
        <v>18988</v>
      </c>
      <c r="V9275" s="1" t="s">
        <v>19030</v>
      </c>
      <c r="W9275" s="1" t="s">
        <v>19031</v>
      </c>
      <c r="AR9275" s="1" t="str">
        <f t="shared" si="578"/>
        <v>| [ㄓㄨㄛˊ](ㄓㄨㄛˊ.md) | [捔](捔.md) |  | zhuó | [動]
刺。《集韻．入聲．覺韻》：「捔，刺也。」《文選．張衡．西京賦》：「义蔟之所攙捔，徒博之所撞㧙。」 |</v>
      </c>
    </row>
    <row r="9276" spans="1:44" hidden="1">
      <c r="A9276" s="1" t="s">
        <v>6834</v>
      </c>
      <c r="C9276" s="1">
        <v>1</v>
      </c>
      <c r="D9276" s="1" t="str">
        <f>"08049"</f>
        <v>08049</v>
      </c>
      <c r="E9276" s="1" t="s">
        <v>139</v>
      </c>
      <c r="F9276" s="1">
        <v>11</v>
      </c>
      <c r="G9276" s="1">
        <v>7</v>
      </c>
      <c r="H9276" s="1">
        <v>1</v>
      </c>
      <c r="I9276" s="1" t="s">
        <v>18987</v>
      </c>
      <c r="K9276" s="1" t="str">
        <f t="shared" si="581"/>
        <v>ㄓ</v>
      </c>
      <c r="L9276" s="1" t="str">
        <f t="shared" si="580"/>
        <v>ㄨ</v>
      </c>
      <c r="M9276" s="1" t="str">
        <f t="shared" si="579"/>
        <v>ㄛ</v>
      </c>
      <c r="P9276" s="1" t="s">
        <v>20</v>
      </c>
      <c r="R9276" s="1" t="s">
        <v>18988</v>
      </c>
      <c r="V9276" s="1" t="s">
        <v>19032</v>
      </c>
      <c r="W9276" s="1" t="s">
        <v>19033</v>
      </c>
      <c r="AR9276" s="1" t="str">
        <f t="shared" si="578"/>
        <v>| [ㄓㄨㄛˊ](ㄓㄨㄛˊ.md) | [梲](梲.md) |  | zhuó | [名]
梁上的短柱。如：「山節藻梲」。北齊．顏之推《顏氏家訓．勉學》：「問其造屋，不必知楣橫而梲豎也。」《聊齋志異．卷七．金和尚》：「前有廳事，梁楹節梲，繪金碧，射人眼。」 |</v>
      </c>
    </row>
    <row r="9277" spans="1:44" hidden="1">
      <c r="A9277" s="1" t="s">
        <v>18984</v>
      </c>
      <c r="C9277" s="1">
        <v>1</v>
      </c>
      <c r="D9277" s="1" t="str">
        <f>"08049A"</f>
        <v>08049A</v>
      </c>
      <c r="E9277" s="1" t="s">
        <v>129</v>
      </c>
      <c r="F9277" s="1">
        <v>11</v>
      </c>
      <c r="G9277" s="1">
        <v>8</v>
      </c>
      <c r="H9277" s="1">
        <v>1</v>
      </c>
      <c r="I9277" s="1" t="s">
        <v>18987</v>
      </c>
      <c r="K9277" s="1" t="str">
        <f t="shared" si="581"/>
        <v>ㄓ</v>
      </c>
      <c r="L9277" s="1" t="str">
        <f t="shared" si="580"/>
        <v>ㄨ</v>
      </c>
      <c r="M9277" s="1" t="str">
        <f t="shared" si="579"/>
        <v>ㄛ</v>
      </c>
      <c r="P9277" s="1" t="s">
        <v>20</v>
      </c>
      <c r="R9277" s="1" t="s">
        <v>18988</v>
      </c>
      <c r="V9277" s="1" t="s">
        <v>19034</v>
      </c>
      <c r="W9277" s="1" t="s">
        <v>19035</v>
      </c>
      <c r="AR9277" s="1" t="str">
        <f t="shared" si="578"/>
        <v>| [ㄓㄨㄛˊ](ㄓㄨㄛˊ.md) | [涿](涿.md) |  | zhuó | 參見「涿鹿」、「涿郡」等條。 |</v>
      </c>
    </row>
    <row r="9278" spans="1:44" hidden="1">
      <c r="A9278" s="1" t="s">
        <v>19036</v>
      </c>
      <c r="C9278" s="1">
        <v>1</v>
      </c>
      <c r="D9278" s="1" t="str">
        <f>"08050"</f>
        <v>08050</v>
      </c>
      <c r="E9278" s="1" t="s">
        <v>28</v>
      </c>
      <c r="F9278" s="1">
        <v>11</v>
      </c>
      <c r="G9278" s="1">
        <v>8</v>
      </c>
      <c r="H9278" s="1">
        <v>0</v>
      </c>
      <c r="I9278" s="1" t="s">
        <v>18987</v>
      </c>
      <c r="K9278" s="1" t="str">
        <f t="shared" si="581"/>
        <v>ㄓ</v>
      </c>
      <c r="L9278" s="1" t="str">
        <f t="shared" si="580"/>
        <v>ㄨ</v>
      </c>
      <c r="M9278" s="1" t="str">
        <f t="shared" si="579"/>
        <v>ㄛ</v>
      </c>
      <c r="P9278" s="1" t="s">
        <v>20</v>
      </c>
      <c r="R9278" s="1" t="s">
        <v>18988</v>
      </c>
      <c r="V9278" s="1" t="s">
        <v>19037</v>
      </c>
      <c r="AR9278" s="1" t="str">
        <f t="shared" si="578"/>
        <v>| [ㄓㄨㄛˊ](ㄓㄨㄛˊ.md) | [啄](啄.md) |  | zhuó | [動]
鳥類用嘴取食。如：「啄食」、「啄米」。
[名]
1.鳥嘴。《韓詩外傳》卷七：「鳥之美羽勾啄者，鳥畏之。」
2.一種書法筆法。用筆時由右斜向左的一短撇，為永字八法中的第七筆法。 |</v>
      </c>
    </row>
    <row r="9279" spans="1:44" hidden="1">
      <c r="A9279" s="1" t="s">
        <v>19038</v>
      </c>
      <c r="C9279" s="1">
        <v>1</v>
      </c>
      <c r="D9279" s="1" t="str">
        <f>"08051"</f>
        <v>08051</v>
      </c>
      <c r="E9279" s="1" t="s">
        <v>142</v>
      </c>
      <c r="F9279" s="1">
        <v>12</v>
      </c>
      <c r="G9279" s="1">
        <v>8</v>
      </c>
      <c r="H9279" s="1">
        <v>0</v>
      </c>
      <c r="I9279" s="1" t="s">
        <v>18987</v>
      </c>
      <c r="K9279" s="1" t="str">
        <f t="shared" si="581"/>
        <v>ㄓ</v>
      </c>
      <c r="L9279" s="1" t="str">
        <f t="shared" si="580"/>
        <v>ㄨ</v>
      </c>
      <c r="M9279" s="1" t="str">
        <f t="shared" si="579"/>
        <v>ㄛ</v>
      </c>
      <c r="P9279" s="1" t="s">
        <v>20</v>
      </c>
      <c r="R9279" s="1" t="s">
        <v>18988</v>
      </c>
      <c r="V9279" s="1" t="s">
        <v>19039</v>
      </c>
      <c r="AR9279" s="1" t="str">
        <f t="shared" si="578"/>
        <v>| [ㄓㄨㄛˊ](ㄓㄨㄛˊ.md) | [琢](琢.md) |  | zhuó | [動]
1.雕磨玉石。如：「琢磨」、「精雕細琢」。《禮記．學記》：「玉不琢，不成器。」
2.仔細推敲。唐．貫休〈寄匡山紀公〉詩：「寄言無別事，琢句似終身。」 |</v>
      </c>
    </row>
    <row r="9280" spans="1:44" hidden="1">
      <c r="A9280" s="1" t="s">
        <v>19040</v>
      </c>
      <c r="C9280" s="1">
        <v>1</v>
      </c>
      <c r="D9280" s="1" t="str">
        <f>"08052"</f>
        <v>08052</v>
      </c>
      <c r="E9280" s="1" t="s">
        <v>139</v>
      </c>
      <c r="F9280" s="1">
        <v>12</v>
      </c>
      <c r="G9280" s="1">
        <v>8</v>
      </c>
      <c r="H9280" s="1">
        <v>0</v>
      </c>
      <c r="I9280" s="1" t="s">
        <v>18987</v>
      </c>
      <c r="K9280" s="1" t="str">
        <f t="shared" si="581"/>
        <v>ㄓ</v>
      </c>
      <c r="L9280" s="1" t="str">
        <f t="shared" si="580"/>
        <v>ㄨ</v>
      </c>
      <c r="M9280" s="1" t="str">
        <f t="shared" si="579"/>
        <v>ㄛ</v>
      </c>
      <c r="P9280" s="1" t="s">
        <v>20</v>
      </c>
      <c r="R9280" s="1" t="s">
        <v>18988</v>
      </c>
      <c r="V9280" s="1" t="s">
        <v>19041</v>
      </c>
      <c r="AR9280" s="1" t="str">
        <f t="shared" si="578"/>
        <v>| [ㄓㄨㄛˊ](ㄓㄨㄛˊ.md) | [椓](椓.md) |  | zhuó | [名]
古代割去男子生殖器的刑法。即宮刑。《書經．呂刑》：「殺戮無辜，爰始淫為劓、刵、椓、黥。」
[動]
1.擊、砍、敲。《詩經．周南．兔罝》：「肅肅兔罝，椓之丁丁。」《文選．班昭．東征賦》：「諒不登樔而椓蠡兮，得不陳力而相追。」
2.告訴。《左傳．哀公十七年》：「衛侯辭以難，大子又使椓之。」 |</v>
      </c>
    </row>
    <row r="9281" spans="1:44" hidden="1">
      <c r="A9281" s="1" t="s">
        <v>19042</v>
      </c>
      <c r="C9281" s="1">
        <v>1</v>
      </c>
      <c r="D9281" s="1" t="str">
        <f>"08053"</f>
        <v>08053</v>
      </c>
      <c r="E9281" s="1" t="s">
        <v>331</v>
      </c>
      <c r="F9281" s="1">
        <v>15</v>
      </c>
      <c r="G9281" s="1">
        <v>8</v>
      </c>
      <c r="H9281" s="1">
        <v>0</v>
      </c>
      <c r="I9281" s="1" t="s">
        <v>18987</v>
      </c>
      <c r="K9281" s="1" t="str">
        <f t="shared" si="581"/>
        <v>ㄓ</v>
      </c>
      <c r="L9281" s="1" t="str">
        <f t="shared" si="580"/>
        <v>ㄨ</v>
      </c>
      <c r="M9281" s="1" t="str">
        <f t="shared" si="579"/>
        <v>ㄛ</v>
      </c>
      <c r="P9281" s="1" t="s">
        <v>20</v>
      </c>
      <c r="R9281" s="1" t="s">
        <v>18988</v>
      </c>
      <c r="V9281" s="1" t="s">
        <v>19043</v>
      </c>
      <c r="AR9281" s="1" t="str">
        <f t="shared" si="578"/>
        <v>| [ㄓㄨㄛˊ](ㄓㄨㄛˊ.md) | [諑](諑.md) |  | zhuó | [名]
讒言、謠言。《楚辭．屈原．離騷》：「眾女嫉余之娥眉兮，謠諑謂余以善淫。」漢．王逸．注：「諑，猶譖也。」 |</v>
      </c>
    </row>
    <row r="9282" spans="1:44" hidden="1">
      <c r="A9282" s="1" t="s">
        <v>18199</v>
      </c>
      <c r="C9282" s="1">
        <v>1</v>
      </c>
      <c r="D9282" s="1" t="str">
        <f>"08054"</f>
        <v>08054</v>
      </c>
      <c r="E9282" s="1" t="s">
        <v>37</v>
      </c>
      <c r="F9282" s="1">
        <v>12</v>
      </c>
      <c r="G9282" s="1">
        <v>8</v>
      </c>
      <c r="H9282" s="1">
        <v>2</v>
      </c>
      <c r="I9282" s="1" t="s">
        <v>18987</v>
      </c>
      <c r="K9282" s="1" t="str">
        <f t="shared" si="581"/>
        <v>ㄓ</v>
      </c>
      <c r="L9282" s="1" t="str">
        <f t="shared" si="580"/>
        <v>ㄨ</v>
      </c>
      <c r="M9282" s="1" t="str">
        <f t="shared" si="579"/>
        <v>ㄛ</v>
      </c>
      <c r="P9282" s="1" t="s">
        <v>20</v>
      </c>
      <c r="R9282" s="1" t="s">
        <v>18988</v>
      </c>
      <c r="V9282" s="1" t="s">
        <v>19044</v>
      </c>
      <c r="W9282" s="1" t="s">
        <v>19045</v>
      </c>
      <c r="AR9282" s="1" t="str">
        <f t="shared" si="578"/>
        <v>| [ㄓㄨㄛˊ](ㄓㄨㄛˊ.md) | [著](著.md) |  | zhuó | [動]
1.穿上。《樂府詩集．卷七三．雜曲歌辭十三．古辭．焦仲卿妻》：「著我繡裌裙，事事四五通。」唐．李白〈上元夫人〉詩：「裘披青毛錦，身著赤霜袍。」
2.附、接觸。如：「附著」。《國語．晉語四》：「今戾久矣，戾久將底。底著滯淫，誰能興之？」《文選．宋玉．登徒子好色賦》：「著粉則太白，施朱則太赤。」
3.及、到。如：「著陸」。《三國志．卷二六．魏書．田豫傳》：「賊還，果遇惡風，船皆觸山沉沒，波蕩著岸。」唐．沈佺期〈雜詩〉三首之二：「妾家臨渭北，春夢著遼西。」
4.開花或結果。唐．王維〈雜詩〉三首之二：「來日綺窗前，寒梅著花未？」宋．蘇軾〈周教授索枸杞因以詩贈錄呈廣倅蕭大夫〉詩：「春根夏苗秋著子，盡付天隨恥充腹。」
5.命令、差使。元．王實甫《西廂記．第四本．第二折》：「我著你但去處行監坐守，誰著你迤逗的胡行亂走？」《西遊記》第一三回：「接至裡面供給了，著僧綱請往福原等安歇。」
[名]
1.下棋行子。如：「棋高一著」。
2.處事的方法、計策。如：「失著」、「無著」。
3.事情的歸宿。如：「著落」。 |</v>
      </c>
    </row>
    <row r="9283" spans="1:44" hidden="1">
      <c r="A9283" s="1" t="s">
        <v>19046</v>
      </c>
      <c r="C9283" s="1">
        <v>1</v>
      </c>
      <c r="D9283" s="1" t="str">
        <f>"08055"</f>
        <v>08055</v>
      </c>
      <c r="E9283" s="1" t="s">
        <v>825</v>
      </c>
      <c r="F9283" s="1">
        <v>15</v>
      </c>
      <c r="G9283" s="1">
        <v>10</v>
      </c>
      <c r="H9283" s="1">
        <v>0</v>
      </c>
      <c r="I9283" s="1" t="s">
        <v>18987</v>
      </c>
      <c r="K9283" s="1" t="str">
        <f t="shared" si="581"/>
        <v>ㄓ</v>
      </c>
      <c r="L9283" s="1" t="str">
        <f t="shared" si="580"/>
        <v>ㄨ</v>
      </c>
      <c r="M9283" s="1" t="str">
        <f t="shared" si="579"/>
        <v>ㄛ</v>
      </c>
      <c r="P9283" s="1" t="s">
        <v>20</v>
      </c>
      <c r="R9283" s="1" t="s">
        <v>18988</v>
      </c>
      <c r="V9283" s="1" t="s">
        <v>19047</v>
      </c>
      <c r="AR9283" s="1" t="str">
        <f t="shared" ref="AR9283:AR9346" si="582">"| ["&amp;I9283&amp;"]("&amp;I9283&amp;".md) | ["&amp;A9283&amp;"]("&amp;A9283&amp;".md) | "&amp;" | "&amp;R9283&amp;" | "&amp;V9283&amp;" |"</f>
        <v>| [ㄓㄨㄛˊ](ㄓㄨㄛˊ.md) | [禚](禚.md) |  | zhuó | [名]
地名。春秋時齊邑。故地約在今大陸地區山東省長清縣境。 |</v>
      </c>
    </row>
    <row r="9284" spans="1:44" hidden="1">
      <c r="A9284" s="1" t="s">
        <v>19048</v>
      </c>
      <c r="C9284" s="1">
        <v>1</v>
      </c>
      <c r="D9284" s="1" t="str">
        <f>"08056"</f>
        <v>08056</v>
      </c>
      <c r="E9284" s="1" t="s">
        <v>129</v>
      </c>
      <c r="F9284" s="1">
        <v>16</v>
      </c>
      <c r="G9284" s="1">
        <v>13</v>
      </c>
      <c r="H9284" s="1">
        <v>0</v>
      </c>
      <c r="I9284" s="1" t="s">
        <v>18987</v>
      </c>
      <c r="K9284" s="1" t="str">
        <f t="shared" si="581"/>
        <v>ㄓ</v>
      </c>
      <c r="L9284" s="1" t="str">
        <f t="shared" si="580"/>
        <v>ㄨ</v>
      </c>
      <c r="M9284" s="1" t="str">
        <f t="shared" si="579"/>
        <v>ㄛ</v>
      </c>
      <c r="P9284" s="1" t="s">
        <v>20</v>
      </c>
      <c r="R9284" s="1" t="s">
        <v>18988</v>
      </c>
      <c r="V9284" s="1" t="s">
        <v>19049</v>
      </c>
      <c r="AR9284" s="1" t="str">
        <f t="shared" si="582"/>
        <v>| [ㄓㄨㄛˊ](ㄓㄨㄛˊ.md) | [濁](濁.md) |  | zhuó | [形]
1.骯髒、不清潔。如：「汙濁」、「混濁不清」。
2.昏亂、混亂。《楚辭．屈原．漁父》：「舉世皆濁我獨清，眾人皆醉我獨醒。」《史記．卷七六．平原君虞卿傳．太史公曰》：「平原君，翩翩濁世之佳公子也，然未睹大體。」
3.平凡、庸俗。元．馬致遠《黃粱夢》第四折：「你不是凡胎濁骨，迷本性人間受苦。」清．洪昇《長生殿》第一一齣：「想我濁質凡姿，今夕得到月府，好僥倖也！」
4.低沉粗重。如：「濁聲濁氣」、「聲音重濁」。《遼史．卷五四．樂志》：「皆從濁至清，迭更其聲，下益濁，上益清。」
[名]
1.畢星的別名。《爾雅．釋天》：「濁謂之畢。」《史記．卷二五．律書》：「北至於濁。濁者，觸也，言萬物皆觸死也，故曰濁。」
2.姓。如漢代有濁賢。 |</v>
      </c>
    </row>
    <row r="9285" spans="1:44" hidden="1">
      <c r="A9285" s="1" t="s">
        <v>18397</v>
      </c>
      <c r="C9285" s="1">
        <v>1</v>
      </c>
      <c r="D9285" s="1" t="str">
        <f>"08057"</f>
        <v>08057</v>
      </c>
      <c r="E9285" s="1" t="s">
        <v>28</v>
      </c>
      <c r="F9285" s="1">
        <v>16</v>
      </c>
      <c r="G9285" s="1">
        <v>13</v>
      </c>
      <c r="H9285" s="1">
        <v>2</v>
      </c>
      <c r="I9285" s="1" t="s">
        <v>18987</v>
      </c>
      <c r="K9285" s="1" t="str">
        <f t="shared" si="581"/>
        <v>ㄓ</v>
      </c>
      <c r="L9285" s="1" t="str">
        <f t="shared" si="580"/>
        <v>ㄨ</v>
      </c>
      <c r="M9285" s="1" t="str">
        <f t="shared" ref="M9285:M9348" si="583">MID(I9285, 3, 1)</f>
        <v>ㄛ</v>
      </c>
      <c r="P9285" s="1" t="s">
        <v>20</v>
      </c>
      <c r="R9285" s="1" t="s">
        <v>18988</v>
      </c>
      <c r="V9285" s="1" t="s">
        <v>19050</v>
      </c>
      <c r="W9285" s="1" t="s">
        <v>19051</v>
      </c>
      <c r="AR9285" s="1" t="str">
        <f t="shared" si="582"/>
        <v>| [ㄓㄨㄛˊ](ㄓㄨㄛˊ.md) | [噣](噣.md) |  | zhuó | [動]
鳥啄食。同「啄」。《戰國策．楚策四》：「黃雀因是以俯噣白粒，仰棲茂樹，鼓翅奮翼。」 |</v>
      </c>
    </row>
    <row r="9286" spans="1:44" hidden="1">
      <c r="A9286" s="1" t="s">
        <v>19052</v>
      </c>
      <c r="C9286" s="1">
        <v>1</v>
      </c>
      <c r="D9286" s="1" t="str">
        <f>"08058"</f>
        <v>08058</v>
      </c>
      <c r="E9286" s="1" t="s">
        <v>426</v>
      </c>
      <c r="F9286" s="1">
        <v>17</v>
      </c>
      <c r="G9286" s="1">
        <v>13</v>
      </c>
      <c r="H9286" s="1">
        <v>0</v>
      </c>
      <c r="I9286" s="1" t="s">
        <v>18987</v>
      </c>
      <c r="K9286" s="1" t="str">
        <f t="shared" si="581"/>
        <v>ㄓ</v>
      </c>
      <c r="L9286" s="1" t="str">
        <f t="shared" si="580"/>
        <v>ㄨ</v>
      </c>
      <c r="M9286" s="1" t="str">
        <f t="shared" si="583"/>
        <v>ㄛ</v>
      </c>
      <c r="P9286" s="1" t="s">
        <v>20</v>
      </c>
      <c r="R9286" s="1" t="s">
        <v>18988</v>
      </c>
      <c r="V9286" s="1" t="s">
        <v>19053</v>
      </c>
      <c r="AR9286" s="1" t="str">
        <f t="shared" si="582"/>
        <v>| [ㄓㄨㄛˊ](ㄓㄨㄛˊ.md) | [斀](斀.md) |  | zhuó | [名]_x000D_
古代割去男子生殖器的刑法。即宮刑。《說文解字．攴部》：「斀，去陰之刑。」 |</v>
      </c>
    </row>
    <row r="9287" spans="1:44" hidden="1">
      <c r="A9287" s="1" t="s">
        <v>19054</v>
      </c>
      <c r="C9287" s="1">
        <v>1</v>
      </c>
      <c r="D9287" s="1" t="str">
        <f>"08059"</f>
        <v>08059</v>
      </c>
      <c r="E9287" s="1" t="s">
        <v>55</v>
      </c>
      <c r="F9287" s="1">
        <v>21</v>
      </c>
      <c r="G9287" s="1">
        <v>13</v>
      </c>
      <c r="H9287" s="1">
        <v>0</v>
      </c>
      <c r="I9287" s="1" t="s">
        <v>18987</v>
      </c>
      <c r="K9287" s="1" t="str">
        <f t="shared" si="581"/>
        <v>ㄓ</v>
      </c>
      <c r="L9287" s="1" t="str">
        <f t="shared" si="580"/>
        <v>ㄨ</v>
      </c>
      <c r="M9287" s="1" t="str">
        <f t="shared" si="583"/>
        <v>ㄛ</v>
      </c>
      <c r="P9287" s="1" t="s">
        <v>20</v>
      </c>
      <c r="R9287" s="1" t="s">
        <v>18988</v>
      </c>
      <c r="V9287" s="1" t="s">
        <v>19055</v>
      </c>
      <c r="AR9287" s="1" t="str">
        <f t="shared" si="582"/>
        <v>| [ㄓㄨㄛˊ](ㄓㄨㄛˊ.md) | [鐲](鐲.md) |  | zhuó | [名]
1.戴在手腕上的環形裝飾品。如：「玉鐲」、「手鐲」。俗稱為「鐲子」。
2.樂器名，打擊樂器。古代行軍時用以節制隊伍行進步伐的樂器。《周禮．地官．鼓人》：「以金鐲節鼓。」漢．鄭玄．注：「鐲，鉦也。形如小鐘，軍行鳴之，以為鼓節。」 |</v>
      </c>
    </row>
    <row r="9288" spans="1:44" hidden="1">
      <c r="A9288" s="1" t="s">
        <v>19056</v>
      </c>
      <c r="C9288" s="1">
        <v>1</v>
      </c>
      <c r="D9288" s="1" t="str">
        <f>"08060"</f>
        <v>08060</v>
      </c>
      <c r="E9288" s="1" t="s">
        <v>129</v>
      </c>
      <c r="F9288" s="1">
        <v>17</v>
      </c>
      <c r="G9288" s="1">
        <v>14</v>
      </c>
      <c r="H9288" s="1">
        <v>0</v>
      </c>
      <c r="I9288" s="1" t="s">
        <v>18987</v>
      </c>
      <c r="K9288" s="1" t="str">
        <f t="shared" si="581"/>
        <v>ㄓ</v>
      </c>
      <c r="L9288" s="1" t="str">
        <f t="shared" si="580"/>
        <v>ㄨ</v>
      </c>
      <c r="M9288" s="1" t="str">
        <f t="shared" si="583"/>
        <v>ㄛ</v>
      </c>
      <c r="P9288" s="1" t="s">
        <v>20</v>
      </c>
      <c r="R9288" s="1" t="s">
        <v>18988</v>
      </c>
      <c r="V9288" s="1" t="s">
        <v>19057</v>
      </c>
      <c r="AR9288" s="1" t="str">
        <f t="shared" si="582"/>
        <v>| [ㄓㄨㄛˊ](ㄓㄨㄛˊ.md) | [濯](濯.md) |  | zhuó | [動]
洗滌、清洗。《孟子．離婁上》：「滄浪之水清兮，可以濯我纓，滄浪之水濁兮，可以濯我足。」宋．周敦頤〈愛蓮說〉：「予獨愛蓮之出淤泥而不染，濯清漣而不妖。」
[形]
參見「濯濯」條。 |</v>
      </c>
    </row>
    <row r="9289" spans="1:44" hidden="1">
      <c r="A9289" s="1" t="s">
        <v>19058</v>
      </c>
      <c r="C9289" s="1">
        <v>1</v>
      </c>
      <c r="D9289" s="1" t="str">
        <f>"08061"</f>
        <v>08061</v>
      </c>
      <c r="E9289" s="1" t="s">
        <v>24</v>
      </c>
      <c r="F9289" s="1">
        <v>17</v>
      </c>
      <c r="G9289" s="1">
        <v>14</v>
      </c>
      <c r="H9289" s="1">
        <v>0</v>
      </c>
      <c r="I9289" s="1" t="s">
        <v>18987</v>
      </c>
      <c r="K9289" s="1" t="str">
        <f t="shared" si="581"/>
        <v>ㄓ</v>
      </c>
      <c r="L9289" s="1" t="str">
        <f t="shared" si="580"/>
        <v>ㄨ</v>
      </c>
      <c r="M9289" s="1" t="str">
        <f t="shared" si="583"/>
        <v>ㄛ</v>
      </c>
      <c r="P9289" s="1" t="s">
        <v>20</v>
      </c>
      <c r="R9289" s="1" t="s">
        <v>18988</v>
      </c>
      <c r="V9289" s="1" t="s">
        <v>19059</v>
      </c>
      <c r="AR9289" s="1" t="str">
        <f t="shared" si="582"/>
        <v>| [ㄓㄨㄛˊ](ㄓㄨㄛˊ.md) | [擢](擢.md) |  | zhuó | [動]
1.拔取、抽取。宋．蘇軾〈惠州李氏潛珍閣銘〉：「蔚鵞城之南麓，擢仙李之芳根。」
2.提拔、選用。《戰國策．燕策二》：「先王過舉，擢之乎賓客之中，而立之乎群臣之上。」《文選．李密．陳情表》：「過蒙拔擢，寵命優渥。」
3.聳起。《文選．張衡．西京賦》：「徑百常而莖擢。」唐．韓愈、孟郊〈納涼聯句〉：「熙熙炎光流，竦竦高雲擢。」
4.賺取。《醉醒石》第八回：「他在禮部前，見人與人寫扇兒擢錢，他也去寫，不弱於人。」 |</v>
      </c>
    </row>
    <row r="9290" spans="1:44" hidden="1">
      <c r="A9290" s="1" t="s">
        <v>19060</v>
      </c>
      <c r="C9290" s="1">
        <v>1</v>
      </c>
      <c r="D9290" s="1" t="str">
        <f>"08062"</f>
        <v>08062</v>
      </c>
      <c r="E9290" s="1" t="s">
        <v>429</v>
      </c>
      <c r="F9290" s="1">
        <v>17</v>
      </c>
      <c r="G9290" s="1">
        <v>12</v>
      </c>
      <c r="H9290" s="1">
        <v>0</v>
      </c>
      <c r="I9290" s="1" t="s">
        <v>18987</v>
      </c>
      <c r="K9290" s="1" t="str">
        <f t="shared" si="581"/>
        <v>ㄓ</v>
      </c>
      <c r="L9290" s="1" t="str">
        <f t="shared" si="580"/>
        <v>ㄨ</v>
      </c>
      <c r="M9290" s="1" t="str">
        <f t="shared" si="583"/>
        <v>ㄛ</v>
      </c>
      <c r="P9290" s="1" t="s">
        <v>20</v>
      </c>
      <c r="R9290" s="1" t="s">
        <v>18988</v>
      </c>
      <c r="V9290" s="1" t="s">
        <v>19061</v>
      </c>
      <c r="AR9290" s="1" t="str">
        <f t="shared" si="582"/>
        <v>| [ㄓㄨㄛˊ](ㄓㄨㄛˊ.md) | [穛](穛.md) |  | zhuó | [名]
早熟的穀類。《廣韻．入聲．覺韻》：「穛，早熟穀。」《禮記．內則》：「飯：黍稷，稻粱，白黍，黃粱，稰穛。」漢．鄭玄．注：「孰穫曰稰，生穫曰穛。」 |</v>
      </c>
    </row>
    <row r="9291" spans="1:44" hidden="1">
      <c r="A9291" s="1" t="s">
        <v>13667</v>
      </c>
      <c r="C9291" s="1">
        <v>1</v>
      </c>
      <c r="D9291" s="1" t="str">
        <f>"08063"</f>
        <v>08063</v>
      </c>
      <c r="E9291" s="1" t="s">
        <v>725</v>
      </c>
      <c r="F9291" s="1">
        <v>19</v>
      </c>
      <c r="G9291" s="1">
        <v>13</v>
      </c>
      <c r="H9291" s="1">
        <v>2</v>
      </c>
      <c r="I9291" s="1" t="s">
        <v>18987</v>
      </c>
      <c r="K9291" s="1" t="str">
        <f t="shared" si="581"/>
        <v>ㄓ</v>
      </c>
      <c r="L9291" s="1" t="str">
        <f t="shared" si="580"/>
        <v>ㄨ</v>
      </c>
      <c r="M9291" s="1" t="str">
        <f t="shared" si="583"/>
        <v>ㄛ</v>
      </c>
      <c r="P9291" s="1" t="s">
        <v>20</v>
      </c>
      <c r="R9291" s="1" t="s">
        <v>18988</v>
      </c>
      <c r="V9291" s="1" t="s">
        <v>19062</v>
      </c>
      <c r="W9291" s="1" t="s">
        <v>19063</v>
      </c>
      <c r="AR9291" s="1" t="str">
        <f t="shared" si="582"/>
        <v>| [ㄓㄨㄛˊ](ㄓㄨㄛˊ.md) | [繳](繳.md) |  | zhuó | [名]
繫在箭尾的絲繩，隨箭射出後，便於尋找獵物或回收箭枝。《孟子．告子上》：「一心以為有鴻鵠將至，思援弓繳而射之。」唐．崔塗〈孤雁〉詩二首之二：「未必逢矰繳，孤飛自可疑。」 |</v>
      </c>
    </row>
    <row r="9292" spans="1:44" hidden="1">
      <c r="A9292" s="1" t="s">
        <v>13707</v>
      </c>
      <c r="C9292" s="1">
        <v>1</v>
      </c>
      <c r="D9292" s="1" t="str">
        <f>"08064"</f>
        <v>08064</v>
      </c>
      <c r="E9292" s="1" t="s">
        <v>129</v>
      </c>
      <c r="F9292" s="1">
        <v>20</v>
      </c>
      <c r="G9292" s="1">
        <v>17</v>
      </c>
      <c r="H9292" s="1">
        <v>1</v>
      </c>
      <c r="I9292" s="1" t="s">
        <v>18987</v>
      </c>
      <c r="K9292" s="1" t="str">
        <f t="shared" si="581"/>
        <v>ㄓ</v>
      </c>
      <c r="L9292" s="1" t="str">
        <f t="shared" si="580"/>
        <v>ㄨ</v>
      </c>
      <c r="M9292" s="1" t="str">
        <f t="shared" si="583"/>
        <v>ㄛ</v>
      </c>
      <c r="P9292" s="1" t="s">
        <v>20</v>
      </c>
      <c r="R9292" s="1" t="s">
        <v>18988</v>
      </c>
      <c r="V9292" s="1" t="s">
        <v>19064</v>
      </c>
      <c r="W9292" s="1" t="s">
        <v>19065</v>
      </c>
      <c r="AR9292" s="1" t="str">
        <f t="shared" si="582"/>
        <v>| [ㄓㄨㄛˊ](ㄓㄨㄛˊ.md) | [灂](灂.md) |  | zhuó | [擬]
1.形容下雨的聲音。唐．貫林〈酷吏詞〉：「霰雨灂灂，風吼如斸。」
2.形容波浪激盪的聲音。《文選．郭璞．江賦》：「砯巖鼓作，漰湱澩灂。」 |</v>
      </c>
    </row>
    <row r="9293" spans="1:44" hidden="1">
      <c r="A9293" s="1" t="s">
        <v>19066</v>
      </c>
      <c r="C9293" s="1">
        <v>1</v>
      </c>
      <c r="D9293" s="1" t="str">
        <f>"08065"</f>
        <v>08065</v>
      </c>
      <c r="E9293" s="1" t="s">
        <v>272</v>
      </c>
      <c r="F9293" s="1">
        <v>22</v>
      </c>
      <c r="G9293" s="1">
        <v>11</v>
      </c>
      <c r="H9293" s="1">
        <v>0</v>
      </c>
      <c r="I9293" s="1" t="s">
        <v>18987</v>
      </c>
      <c r="K9293" s="1" t="str">
        <f t="shared" si="581"/>
        <v>ㄓ</v>
      </c>
      <c r="L9293" s="1" t="str">
        <f t="shared" si="580"/>
        <v>ㄨ</v>
      </c>
      <c r="M9293" s="1" t="str">
        <f t="shared" si="583"/>
        <v>ㄛ</v>
      </c>
      <c r="P9293" s="1" t="s">
        <v>20</v>
      </c>
      <c r="R9293" s="1" t="s">
        <v>18988</v>
      </c>
      <c r="V9293" s="1" t="s">
        <v>19067</v>
      </c>
      <c r="AR9293" s="1" t="str">
        <f t="shared" si="582"/>
        <v>| [ㄓㄨㄛˊ](ㄓㄨㄛˊ.md) | [鷟](鷟.md) |  | zhuó | 參見「鸑鷟」條。 |</v>
      </c>
    </row>
    <row r="9294" spans="1:44" hidden="1">
      <c r="A9294" s="1" t="s">
        <v>19068</v>
      </c>
      <c r="C9294" s="1">
        <v>1</v>
      </c>
      <c r="D9294" s="1" t="str">
        <f>"08066"</f>
        <v>08066</v>
      </c>
      <c r="E9294" s="1" t="s">
        <v>24</v>
      </c>
      <c r="F9294" s="1">
        <v>9</v>
      </c>
      <c r="G9294" s="1">
        <v>6</v>
      </c>
      <c r="H9294" s="1">
        <v>3</v>
      </c>
      <c r="I9294" s="1" t="s">
        <v>19069</v>
      </c>
      <c r="K9294" s="1" t="str">
        <f t="shared" si="581"/>
        <v>ㄓ</v>
      </c>
      <c r="L9294" s="1" t="str">
        <f t="shared" si="580"/>
        <v>ㄨ</v>
      </c>
      <c r="M9294" s="1" t="str">
        <f t="shared" si="583"/>
        <v>ㄞ</v>
      </c>
      <c r="P9294" s="1" t="s">
        <v>20</v>
      </c>
      <c r="R9294" s="1" t="s">
        <v>19070</v>
      </c>
      <c r="V9294" s="1" t="s">
        <v>19071</v>
      </c>
      <c r="W9294" s="1" t="s">
        <v>19072</v>
      </c>
      <c r="AR9294" s="1" t="str">
        <f t="shared" si="582"/>
        <v>| [ㄓㄨㄞ](ㄓㄨㄞ.md) | [拽](拽.md) |  | zhuāi | [動]
用力投擲。如：「把球拽過去。」
[形]
胳膊受傷或有毛病而無法靈活伸動的樣子。如：「他的胳膊拽了。」 |</v>
      </c>
    </row>
    <row r="9295" spans="1:44" hidden="1">
      <c r="A9295" s="1" t="s">
        <v>19073</v>
      </c>
      <c r="C9295" s="1">
        <v>1</v>
      </c>
      <c r="D9295" s="1" t="str">
        <f>"08067"</f>
        <v>08067</v>
      </c>
      <c r="E9295" s="1" t="s">
        <v>77</v>
      </c>
      <c r="F9295" s="1">
        <v>13</v>
      </c>
      <c r="G9295" s="1">
        <v>6</v>
      </c>
      <c r="H9295" s="1">
        <v>0</v>
      </c>
      <c r="I9295" s="1" t="s">
        <v>19074</v>
      </c>
      <c r="K9295" s="1" t="str">
        <f t="shared" si="581"/>
        <v>ㄓ</v>
      </c>
      <c r="L9295" s="1" t="str">
        <f t="shared" si="580"/>
        <v>ㄨ</v>
      </c>
      <c r="M9295" s="1" t="str">
        <f t="shared" si="583"/>
        <v>ㄞ</v>
      </c>
      <c r="P9295" s="1" t="s">
        <v>20</v>
      </c>
      <c r="R9295" s="1" t="s">
        <v>19075</v>
      </c>
      <c r="V9295" s="1" t="s">
        <v>19076</v>
      </c>
      <c r="AR9295" s="1" t="str">
        <f t="shared" si="582"/>
        <v>| [ㄓㄨㄞˇ](ㄓㄨㄞˇ.md) | [跩](跩.md) |  | zhuǎi | [動]
搖晃不穩、一搖一擺的走路。如：「鴨跩鵝行」。
[形]
得意忘形的樣子。如：「他一有了錢，就好跩喲！」 |</v>
      </c>
    </row>
    <row r="9296" spans="1:44" hidden="1">
      <c r="A9296" s="1" t="s">
        <v>19068</v>
      </c>
      <c r="C9296" s="1">
        <v>1</v>
      </c>
      <c r="D9296" s="1" t="str">
        <f>"08068"</f>
        <v>08068</v>
      </c>
      <c r="E9296" s="1" t="s">
        <v>24</v>
      </c>
      <c r="F9296" s="1">
        <v>9</v>
      </c>
      <c r="G9296" s="1">
        <v>6</v>
      </c>
      <c r="H9296" s="1">
        <v>1</v>
      </c>
      <c r="I9296" s="1" t="s">
        <v>19077</v>
      </c>
      <c r="K9296" s="1" t="str">
        <f t="shared" si="581"/>
        <v>ㄓ</v>
      </c>
      <c r="L9296" s="1" t="str">
        <f t="shared" si="580"/>
        <v>ㄨ</v>
      </c>
      <c r="M9296" s="1" t="str">
        <f t="shared" si="583"/>
        <v>ㄞ</v>
      </c>
      <c r="P9296" s="1" t="s">
        <v>388</v>
      </c>
      <c r="R9296" s="1" t="s">
        <v>19078</v>
      </c>
      <c r="V9296" s="1" t="s">
        <v>19079</v>
      </c>
      <c r="W9296" s="1" t="s">
        <v>19080</v>
      </c>
      <c r="AR9296" s="1" t="str">
        <f t="shared" si="582"/>
        <v>| [ㄓㄨㄞˋ](ㄓㄨㄞˋ.md) | [拽](拽.md) |  | zhuài | [動]
1.拖拉。如：「拽車」、「生拉硬拽」、「拽著不放」。《封神演義》第一六回：「一把拽住那人，就往河裡跑。」
2.牽引。元．關漢卿《魯齋郎》第二折：「我拽滿彈弓，誰想落下彈子來打著張珪家小的，將我千般毀罵。」 |</v>
      </c>
    </row>
    <row r="9297" spans="1:44" hidden="1">
      <c r="A9297" s="1" t="s">
        <v>19081</v>
      </c>
      <c r="C9297" s="1">
        <v>1</v>
      </c>
      <c r="D9297" s="1" t="str">
        <f>"08069"</f>
        <v>08069</v>
      </c>
      <c r="E9297" s="1" t="s">
        <v>5383</v>
      </c>
      <c r="F9297" s="1">
        <v>8</v>
      </c>
      <c r="G9297" s="1">
        <v>0</v>
      </c>
      <c r="H9297" s="1">
        <v>0</v>
      </c>
      <c r="I9297" s="1" t="s">
        <v>19082</v>
      </c>
      <c r="K9297" s="1" t="str">
        <f t="shared" si="581"/>
        <v>ㄓ</v>
      </c>
      <c r="L9297" s="1" t="str">
        <f t="shared" si="580"/>
        <v>ㄨ</v>
      </c>
      <c r="M9297" s="1" t="str">
        <f t="shared" si="583"/>
        <v>ㄟ</v>
      </c>
      <c r="P9297" s="1" t="s">
        <v>20</v>
      </c>
      <c r="R9297" s="1" t="s">
        <v>19083</v>
      </c>
      <c r="V9297" s="1" t="s">
        <v>19084</v>
      </c>
      <c r="AR9297" s="1" t="str">
        <f t="shared" si="582"/>
        <v>| [ㄓㄨㄟ](ㄓㄨㄟ.md) | [隹](隹.md) |  | zhuī | [名]
1.短尾鳥的總稱。《說文解字．隹部》：「隹，鳥之短尾總名也。」
2.二一四部首之一。 |</v>
      </c>
    </row>
    <row r="9298" spans="1:44" hidden="1">
      <c r="A9298" s="1" t="s">
        <v>19085</v>
      </c>
      <c r="C9298" s="1">
        <v>1</v>
      </c>
      <c r="D9298" s="1" t="str">
        <f>"08070"</f>
        <v>08070</v>
      </c>
      <c r="E9298" s="1" t="s">
        <v>139</v>
      </c>
      <c r="F9298" s="1">
        <v>12</v>
      </c>
      <c r="G9298" s="1">
        <v>8</v>
      </c>
      <c r="H9298" s="1">
        <v>1</v>
      </c>
      <c r="I9298" s="1" t="s">
        <v>19082</v>
      </c>
      <c r="K9298" s="1" t="str">
        <f t="shared" si="581"/>
        <v>ㄓ</v>
      </c>
      <c r="L9298" s="1" t="str">
        <f t="shared" si="580"/>
        <v>ㄨ</v>
      </c>
      <c r="M9298" s="1" t="str">
        <f t="shared" si="583"/>
        <v>ㄟ</v>
      </c>
      <c r="P9298" s="1" t="s">
        <v>20</v>
      </c>
      <c r="R9298" s="1" t="s">
        <v>19083</v>
      </c>
      <c r="V9298" s="1" t="s">
        <v>19086</v>
      </c>
      <c r="W9298" s="1" t="s">
        <v>19087</v>
      </c>
      <c r="AR9298" s="1" t="str">
        <f t="shared" si="582"/>
        <v>| [ㄓㄨㄟ](ㄓㄨㄟ.md) | [椎](椎.md) |  | zhuī | [名]
1.敲打東西的器具。如：「鐵椎」。《淮南子．說林》：「椎固有柄，不能自椓」。
2.脊椎骨。參見「椎骨」條。
[動]
搥打、敲擊。《史記．卷七七．魏公子傳》：「椎殺晉鄙。」唐．柳宗元〈段太尉逸事狀〉：「輒奮擊折人手足，椎釜鬲甕盎盈道上」
[形]
樸實笨拙。明．方孝孺〈與采苓先生書〉：「某質性椎鈍，學不篤專，行能無所可取。」 |</v>
      </c>
    </row>
    <row r="9299" spans="1:44" hidden="1">
      <c r="A9299" s="1" t="s">
        <v>19088</v>
      </c>
      <c r="C9299" s="1">
        <v>1</v>
      </c>
      <c r="D9299" s="1" t="str">
        <f>"08071"</f>
        <v>08071</v>
      </c>
      <c r="E9299" s="1" t="s">
        <v>55</v>
      </c>
      <c r="F9299" s="1">
        <v>16</v>
      </c>
      <c r="G9299" s="1">
        <v>8</v>
      </c>
      <c r="H9299" s="1">
        <v>0</v>
      </c>
      <c r="I9299" s="1" t="s">
        <v>19082</v>
      </c>
      <c r="K9299" s="1" t="str">
        <f t="shared" si="581"/>
        <v>ㄓ</v>
      </c>
      <c r="L9299" s="1" t="str">
        <f t="shared" si="580"/>
        <v>ㄨ</v>
      </c>
      <c r="M9299" s="1" t="str">
        <f t="shared" si="583"/>
        <v>ㄟ</v>
      </c>
      <c r="P9299" s="1" t="s">
        <v>20</v>
      </c>
      <c r="R9299" s="1" t="s">
        <v>19083</v>
      </c>
      <c r="V9299" s="1" t="s">
        <v>19089</v>
      </c>
      <c r="AR9299" s="1" t="str">
        <f t="shared" si="582"/>
        <v>| [ㄓㄨㄟ](ㄓㄨㄟ.md) | [錐](錐.md) |  | zhuī | [名]
1.用來鑽孔的尖銳器具。如：「鋼錐」、「利錐」。也稱為「錐子」。
2.尖銳似錐形的東西。如：「冰錐」、「圓錐體」。
[動]
用錐刺。明．袁宏道〈徐文長傳〉：「或以利錐錐其兩耳，深入寸餘。」 |</v>
      </c>
    </row>
    <row r="9300" spans="1:44" hidden="1">
      <c r="A9300" s="1" t="s">
        <v>19090</v>
      </c>
      <c r="C9300" s="1">
        <v>1</v>
      </c>
      <c r="D9300" s="1" t="str">
        <f>"08072"</f>
        <v>08072</v>
      </c>
      <c r="E9300" s="1" t="s">
        <v>319</v>
      </c>
      <c r="F9300" s="1">
        <v>18</v>
      </c>
      <c r="G9300" s="1">
        <v>8</v>
      </c>
      <c r="H9300" s="1">
        <v>0</v>
      </c>
      <c r="I9300" s="1" t="s">
        <v>19082</v>
      </c>
      <c r="K9300" s="1" t="str">
        <f t="shared" si="581"/>
        <v>ㄓ</v>
      </c>
      <c r="L9300" s="1" t="str">
        <f t="shared" si="580"/>
        <v>ㄨ</v>
      </c>
      <c r="M9300" s="1" t="str">
        <f t="shared" si="583"/>
        <v>ㄟ</v>
      </c>
      <c r="P9300" s="1" t="s">
        <v>20</v>
      </c>
      <c r="R9300" s="1" t="s">
        <v>19083</v>
      </c>
      <c r="V9300" s="1" t="s">
        <v>19091</v>
      </c>
      <c r="AR9300" s="1" t="str">
        <f t="shared" si="582"/>
        <v>| [ㄓㄨㄟ](ㄓㄨㄟ.md) | [騅](騅.md) |  | zhuī | [名]
1.毛色蒼白相雜的馬。《爾雅．釋畜》：「蒼白雜毛，騅。」《詩經．魯頌．駧》：「有騅有駓，有騂有騏。」《史記．卷七．項羽本紀》：「力拔山兮氣蓋世，時不利兮騅不逝。」
2.姓。如晉代有騅歂。 |</v>
      </c>
    </row>
    <row r="9301" spans="1:44" hidden="1">
      <c r="A9301" s="1" t="s">
        <v>19092</v>
      </c>
      <c r="C9301" s="1">
        <v>1</v>
      </c>
      <c r="D9301" s="1" t="str">
        <f>"08073"</f>
        <v>08073</v>
      </c>
      <c r="E9301" s="1" t="s">
        <v>272</v>
      </c>
      <c r="F9301" s="1">
        <v>19</v>
      </c>
      <c r="G9301" s="1">
        <v>8</v>
      </c>
      <c r="H9301" s="1">
        <v>0</v>
      </c>
      <c r="I9301" s="1" t="s">
        <v>19082</v>
      </c>
      <c r="K9301" s="1" t="str">
        <f t="shared" si="581"/>
        <v>ㄓ</v>
      </c>
      <c r="L9301" s="1" t="str">
        <f t="shared" si="580"/>
        <v>ㄨ</v>
      </c>
      <c r="M9301" s="1" t="str">
        <f t="shared" si="583"/>
        <v>ㄟ</v>
      </c>
      <c r="P9301" s="1" t="s">
        <v>20</v>
      </c>
      <c r="R9301" s="1" t="s">
        <v>19083</v>
      </c>
      <c r="V9301" s="1" t="s">
        <v>19093</v>
      </c>
      <c r="AR9301" s="1" t="str">
        <f t="shared" si="582"/>
        <v>| [ㄓㄨㄟ](ㄓㄨㄟ.md) | [鵻](鵻.md) |  | zhuī | [名]
古書上的一種鳥。《廣韻．平聲．脂韻》：「鵻，鳥名。」《詩經．小雅．四牡》：「翩翩者鵻，載飛載下，集于苞栩。」 |</v>
      </c>
    </row>
    <row r="9302" spans="1:44" hidden="1">
      <c r="A9302" s="1" t="s">
        <v>5746</v>
      </c>
      <c r="C9302" s="1">
        <v>1</v>
      </c>
      <c r="D9302" s="1" t="str">
        <f>"08074"</f>
        <v>08074</v>
      </c>
      <c r="E9302" s="1" t="s">
        <v>558</v>
      </c>
      <c r="F9302" s="1">
        <v>10</v>
      </c>
      <c r="G9302" s="1">
        <v>6</v>
      </c>
      <c r="H9302" s="1">
        <v>1</v>
      </c>
      <c r="I9302" s="1" t="s">
        <v>19082</v>
      </c>
      <c r="K9302" s="1" t="str">
        <f t="shared" si="581"/>
        <v>ㄓ</v>
      </c>
      <c r="L9302" s="1" t="str">
        <f t="shared" si="580"/>
        <v>ㄨ</v>
      </c>
      <c r="M9302" s="1" t="str">
        <f t="shared" si="583"/>
        <v>ㄟ</v>
      </c>
      <c r="P9302" s="1" t="s">
        <v>20</v>
      </c>
      <c r="R9302" s="1" t="s">
        <v>19083</v>
      </c>
      <c r="V9302" s="1" t="s">
        <v>19094</v>
      </c>
      <c r="W9302" s="1" t="s">
        <v>19095</v>
      </c>
      <c r="AR9302" s="1" t="str">
        <f t="shared" si="582"/>
        <v>| [ㄓㄨㄟ](ㄓㄨㄟ.md) | [追](追.md) |  | zhuī | [動]
1.跟在後面或由後面趕上去。如：「追隨」、「追趕」、「急起直追」。
2.事後補救。《文選．陶淵明．歸去來辭》：「悟以往之不諫，知來者之可追。」
3.尋求、索還。如：「追贓」、「追債」。
4.戀愛求偶。如：「他追張小姐追了三年，終於得償夙願，結為連理。」
[副]
回溯已往。如：「追悼」、「追憶」、「追念」。 |</v>
      </c>
    </row>
    <row r="9303" spans="1:44" hidden="1">
      <c r="A9303" s="1" t="s">
        <v>19096</v>
      </c>
      <c r="C9303" s="1">
        <v>1</v>
      </c>
      <c r="D9303" s="1" t="str">
        <f>"08075"</f>
        <v>08075</v>
      </c>
      <c r="E9303" s="1" t="s">
        <v>250</v>
      </c>
      <c r="F9303" s="1">
        <v>12</v>
      </c>
      <c r="G9303" s="1">
        <v>9</v>
      </c>
      <c r="H9303" s="1">
        <v>0</v>
      </c>
      <c r="I9303" s="1" t="s">
        <v>19097</v>
      </c>
      <c r="K9303" s="1" t="str">
        <f t="shared" si="581"/>
        <v>ㄓ</v>
      </c>
      <c r="L9303" s="1" t="str">
        <f t="shared" si="580"/>
        <v>ㄨ</v>
      </c>
      <c r="M9303" s="1" t="str">
        <f t="shared" si="583"/>
        <v>ㄟ</v>
      </c>
      <c r="P9303" s="1" t="s">
        <v>20</v>
      </c>
      <c r="R9303" s="1" t="s">
        <v>19098</v>
      </c>
      <c r="V9303" s="1" t="s">
        <v>19099</v>
      </c>
      <c r="AR9303" s="1" t="str">
        <f t="shared" si="582"/>
        <v>| [ㄓㄨㄟˋ](ㄓㄨㄟˋ.md) | [惴](惴.md) |  | zhuì | [形]
憂慮、恐懼。《說文解字．心部》：「惴，憂懼也。」如：「惴懼」、「惴畏」。《孟子．公孫丑上》：「自反而不縮，雖褐寬博，吾不惴焉。」《新唐書．卷一六七．裴延齡傳》：「時大旱，人情愁惴。」
[名]
參見「惴耎」條。 |</v>
      </c>
    </row>
    <row r="9304" spans="1:44" hidden="1">
      <c r="A9304" s="1" t="s">
        <v>19100</v>
      </c>
      <c r="C9304" s="1">
        <v>1</v>
      </c>
      <c r="D9304" s="1" t="str">
        <f>"08076"</f>
        <v>08076</v>
      </c>
      <c r="E9304" s="1" t="s">
        <v>68</v>
      </c>
      <c r="F9304" s="1">
        <v>14</v>
      </c>
      <c r="G9304" s="1">
        <v>10</v>
      </c>
      <c r="H9304" s="1">
        <v>0</v>
      </c>
      <c r="I9304" s="1" t="s">
        <v>19097</v>
      </c>
      <c r="K9304" s="1" t="str">
        <f t="shared" si="581"/>
        <v>ㄓ</v>
      </c>
      <c r="L9304" s="1" t="str">
        <f t="shared" si="580"/>
        <v>ㄨ</v>
      </c>
      <c r="M9304" s="1" t="str">
        <f t="shared" si="583"/>
        <v>ㄟ</v>
      </c>
      <c r="P9304" s="1" t="s">
        <v>20</v>
      </c>
      <c r="R9304" s="1" t="s">
        <v>19098</v>
      </c>
      <c r="V9304" s="1" t="s">
        <v>19101</v>
      </c>
      <c r="AR9304" s="1" t="str">
        <f t="shared" si="582"/>
        <v>| [ㄓㄨㄟˋ](ㄓㄨㄟˋ.md) | [膇](膇.md) |  | zhuì | [名]
一種腳浮腫的病。《玉篇．肉部》：「膇，重膇，腿病也。」《左傳．成公六年》：「於是乎有沉溺重膇之疾。」 |</v>
      </c>
    </row>
    <row r="9305" spans="1:44" hidden="1">
      <c r="A9305" s="1" t="s">
        <v>19102</v>
      </c>
      <c r="C9305" s="1">
        <v>1</v>
      </c>
      <c r="D9305" s="1" t="str">
        <f>"08077"</f>
        <v>08077</v>
      </c>
      <c r="E9305" s="1" t="s">
        <v>725</v>
      </c>
      <c r="F9305" s="1">
        <v>16</v>
      </c>
      <c r="G9305" s="1">
        <v>10</v>
      </c>
      <c r="H9305" s="1">
        <v>0</v>
      </c>
      <c r="I9305" s="1" t="s">
        <v>19097</v>
      </c>
      <c r="K9305" s="1" t="str">
        <f t="shared" si="581"/>
        <v>ㄓ</v>
      </c>
      <c r="L9305" s="1" t="str">
        <f t="shared" si="580"/>
        <v>ㄨ</v>
      </c>
      <c r="M9305" s="1" t="str">
        <f t="shared" si="583"/>
        <v>ㄟ</v>
      </c>
      <c r="P9305" s="1" t="s">
        <v>20</v>
      </c>
      <c r="R9305" s="1" t="s">
        <v>19098</v>
      </c>
      <c r="V9305" s="1" t="s">
        <v>19103</v>
      </c>
      <c r="AR9305" s="1" t="str">
        <f t="shared" si="582"/>
        <v>| [ㄓㄨㄟˋ](ㄓㄨㄟˋ.md) | [縋](縋.md) |  | zhuì | [動]
以繩索懸綁物體往下墜送。《說文解字．糸部》：「縋，以繩有所縣也。」《左傳．僖公三十年》：「夜縋而出。」唐．劉禹錫〈機汲記〉：「及泉而修綆下縋，盈器而圓軸上引。」 |</v>
      </c>
    </row>
    <row r="9306" spans="1:44" hidden="1">
      <c r="A9306" s="1" t="s">
        <v>19104</v>
      </c>
      <c r="C9306" s="1">
        <v>1</v>
      </c>
      <c r="D9306" s="1" t="str">
        <f>"08078"</f>
        <v>08078</v>
      </c>
      <c r="E9306" s="1" t="s">
        <v>725</v>
      </c>
      <c r="F9306" s="1">
        <v>14</v>
      </c>
      <c r="G9306" s="1">
        <v>8</v>
      </c>
      <c r="H9306" s="1">
        <v>0</v>
      </c>
      <c r="I9306" s="1" t="s">
        <v>19097</v>
      </c>
      <c r="K9306" s="1" t="str">
        <f t="shared" si="581"/>
        <v>ㄓ</v>
      </c>
      <c r="L9306" s="1" t="str">
        <f t="shared" si="580"/>
        <v>ㄨ</v>
      </c>
      <c r="M9306" s="1" t="str">
        <f t="shared" si="583"/>
        <v>ㄟ</v>
      </c>
      <c r="P9306" s="1" t="s">
        <v>20</v>
      </c>
      <c r="R9306" s="1" t="s">
        <v>19098</v>
      </c>
      <c r="V9306" s="1" t="s">
        <v>19105</v>
      </c>
      <c r="AR9306" s="1" t="str">
        <f t="shared" si="582"/>
        <v>| [ㄓㄨㄟˋ](ㄓㄨㄟˋ.md) | [綴](綴.md) |  | zhuì | [動]
1.縫補。《說文解字．叕部》：「綴，合箸也。」清．段玉裁．注：「聯之以絲也。」《禮記．內則》：「衣裳綻裂，紉箴請補綴。」
2.連結。如：「連綴」、「綴句」。《文選．張衡．西京賦》：「左有崤函重險，桃林之塞，綴以二華。」
3.裝飾。如：「點綴」。《文選．曹植．七啟》：「飾以文犀，雕以翠綠，綴以驪龍之珠，錯以荊山之玉。」 |</v>
      </c>
    </row>
    <row r="9307" spans="1:44" hidden="1">
      <c r="A9307" s="1" t="s">
        <v>19106</v>
      </c>
      <c r="C9307" s="1">
        <v>1</v>
      </c>
      <c r="D9307" s="1" t="str">
        <f>"08079"</f>
        <v>08079</v>
      </c>
      <c r="E9307" s="1" t="s">
        <v>55</v>
      </c>
      <c r="F9307" s="1">
        <v>16</v>
      </c>
      <c r="G9307" s="1">
        <v>8</v>
      </c>
      <c r="H9307" s="1">
        <v>0</v>
      </c>
      <c r="I9307" s="1" t="s">
        <v>19097</v>
      </c>
      <c r="K9307" s="1" t="str">
        <f t="shared" si="581"/>
        <v>ㄓ</v>
      </c>
      <c r="L9307" s="1" t="str">
        <f t="shared" si="580"/>
        <v>ㄨ</v>
      </c>
      <c r="M9307" s="1" t="str">
        <f t="shared" si="583"/>
        <v>ㄟ</v>
      </c>
      <c r="P9307" s="1" t="s">
        <v>20</v>
      </c>
      <c r="R9307" s="1" t="s">
        <v>19098</v>
      </c>
      <c r="V9307" s="1" t="s">
        <v>19107</v>
      </c>
      <c r="AR9307" s="1" t="str">
        <f t="shared" si="582"/>
        <v>| [ㄓㄨㄟˋ](ㄓㄨㄟˋ.md) | [錣](錣.md) |  | zhuì | [名]
1.針。《玉篇．金部》：「錣，針也。」
2.馬鞭前端用來刺馬的鐵針。《淮南子．道應》：「倒杖策，錣上貫頤。」漢．高誘．注：「策，馬捶。端有針，以刺馬，謂之錣。」
3.用來計數的籌碼、工具。《管子．國蓄》：「且君引錣量用，耕田發草，上得其數矣。」 |</v>
      </c>
    </row>
    <row r="9308" spans="1:44" hidden="1">
      <c r="A9308" s="1" t="s">
        <v>19108</v>
      </c>
      <c r="C9308" s="1">
        <v>1</v>
      </c>
      <c r="D9308" s="1" t="str">
        <f>"08080"</f>
        <v>08080</v>
      </c>
      <c r="E9308" s="1" t="s">
        <v>193</v>
      </c>
      <c r="F9308" s="1">
        <v>16</v>
      </c>
      <c r="G9308" s="1">
        <v>8</v>
      </c>
      <c r="H9308" s="1">
        <v>0</v>
      </c>
      <c r="I9308" s="1" t="s">
        <v>19097</v>
      </c>
      <c r="K9308" s="1" t="str">
        <f t="shared" si="581"/>
        <v>ㄓ</v>
      </c>
      <c r="L9308" s="1" t="str">
        <f t="shared" si="580"/>
        <v>ㄨ</v>
      </c>
      <c r="M9308" s="1" t="str">
        <f t="shared" si="583"/>
        <v>ㄟ</v>
      </c>
      <c r="P9308" s="1" t="s">
        <v>20</v>
      </c>
      <c r="R9308" s="1" t="s">
        <v>19098</v>
      </c>
      <c r="V9308" s="1" t="s">
        <v>19109</v>
      </c>
      <c r="AR9308" s="1" t="str">
        <f t="shared" si="582"/>
        <v>| [ㄓㄨㄟˋ](ㄓㄨㄟˋ.md) | [餟](餟.md) |  | zhuì | [動]
1.設壇祭諸神。《史記．卷一二．孝武本紀》：「其下四方地，為餟食群神從者及北斗云。」唐．張守節．正義：「劉伯莊云：『謂繞壇設諸神祭座相連綴也。』」
2.祭時以酒澆地。亦可指祭祀。北齊．顏之推《顏氏家訓．終制》：「親友來餟酹者，一皆拒之。」
3.飲、喝。通「啜」。漢．荀悅《前漢紀．卷八．教皇帝紀下》：「吾每餟食，意未嘗不在鉅鹿下也。」 |</v>
      </c>
    </row>
    <row r="9309" spans="1:44" hidden="1">
      <c r="A9309" s="1" t="s">
        <v>19110</v>
      </c>
      <c r="C9309" s="1">
        <v>1</v>
      </c>
      <c r="D9309" s="1" t="str">
        <f>"08081"</f>
        <v>08081</v>
      </c>
      <c r="E9309" s="1" t="s">
        <v>132</v>
      </c>
      <c r="F9309" s="1">
        <v>15</v>
      </c>
      <c r="G9309" s="1">
        <v>12</v>
      </c>
      <c r="H9309" s="1">
        <v>0</v>
      </c>
      <c r="I9309" s="1" t="s">
        <v>19097</v>
      </c>
      <c r="K9309" s="1" t="str">
        <f t="shared" si="581"/>
        <v>ㄓ</v>
      </c>
      <c r="L9309" s="1" t="str">
        <f t="shared" ref="L9309:L9372" si="584">MID(I9309, 2, 1)</f>
        <v>ㄨ</v>
      </c>
      <c r="M9309" s="1" t="str">
        <f t="shared" si="583"/>
        <v>ㄟ</v>
      </c>
      <c r="P9309" s="1" t="s">
        <v>20</v>
      </c>
      <c r="R9309" s="1" t="s">
        <v>19098</v>
      </c>
      <c r="V9309" s="1" t="s">
        <v>19111</v>
      </c>
      <c r="AR9309" s="1" t="str">
        <f t="shared" si="582"/>
        <v>| [ㄓㄨㄟˋ](ㄓㄨㄟˋ.md) | [墜](墜.md) |  | zhuì | [動]
1.掉落、落下。如：「墜落」、「搖搖欲墜」。
2.喪失。《書經．君奭》：「殷既墜厥命，我有周既受。」《漢書．卷五一．鄒陽傳》：「雖墜言於吳，非其正計也。」
[名]
垂懸的飾品。如：「耳墜」、「扇墜」。 |</v>
      </c>
    </row>
    <row r="9310" spans="1:44" hidden="1">
      <c r="A9310" s="1" t="s">
        <v>19112</v>
      </c>
      <c r="C9310" s="1">
        <v>1</v>
      </c>
      <c r="D9310" s="1" t="str">
        <f>"08082"</f>
        <v>08082</v>
      </c>
      <c r="E9310" s="1" t="s">
        <v>505</v>
      </c>
      <c r="F9310" s="1">
        <v>18</v>
      </c>
      <c r="G9310" s="1">
        <v>11</v>
      </c>
      <c r="H9310" s="1">
        <v>0</v>
      </c>
      <c r="I9310" s="1" t="s">
        <v>19097</v>
      </c>
      <c r="K9310" s="1" t="str">
        <f t="shared" si="581"/>
        <v>ㄓ</v>
      </c>
      <c r="L9310" s="1" t="str">
        <f t="shared" si="584"/>
        <v>ㄨ</v>
      </c>
      <c r="M9310" s="1" t="str">
        <f t="shared" si="583"/>
        <v>ㄟ</v>
      </c>
      <c r="P9310" s="1" t="s">
        <v>20</v>
      </c>
      <c r="R9310" s="1" t="s">
        <v>19098</v>
      </c>
      <c r="V9310" s="1" t="s">
        <v>19113</v>
      </c>
      <c r="AR9310" s="1" t="str">
        <f t="shared" si="582"/>
        <v>| [ㄓㄨㄟˋ](ㄓㄨㄟˋ.md) | [贅](贅.md) |  | zhuì | [動]_x000D_
抵押。《說文解字．貝部》：「贅，以物質錢。」《漢書．卷六四上．嚴朱吾丘主父徐嚴終王賈傳．嚴助》：「間者，數年歲比不登，民待賣爵贅子以接衣食。」_x000D_
[名]_x000D_
1.一種婚姻關係，指男子到女家成婚，並且成為女方家庭成員。如：「招贅」、「入贅」。《漢書．卷四八．賈誼傳》：「家貧子壯則出贅。」_x000D_
2.皮膚上的肉疙瘩。漢．劉熙《釋名．釋疾病》：「贅，屬也。橫生一肉，屬著體也。」唐．柳宗元〈天說〉：「人之血氣敗逆壅底，為癰、瘍、疣、贅、瘻、痔。」_x000D_
[形]_x000D_
多餘、沒有用處。如：「贅言」、「贅疣」、「贅肉」。 |</v>
      </c>
    </row>
    <row r="9311" spans="1:44" hidden="1">
      <c r="A9311" s="1" t="s">
        <v>5777</v>
      </c>
      <c r="C9311" s="1">
        <v>1</v>
      </c>
      <c r="D9311" s="1" t="str">
        <f>"08083"</f>
        <v>08083</v>
      </c>
      <c r="E9311" s="1" t="s">
        <v>5778</v>
      </c>
      <c r="F9311" s="1">
        <v>9</v>
      </c>
      <c r="G9311" s="1">
        <v>3</v>
      </c>
      <c r="H9311" s="1">
        <v>2</v>
      </c>
      <c r="I9311" s="1" t="s">
        <v>19114</v>
      </c>
      <c r="K9311" s="1" t="str">
        <f t="shared" si="581"/>
        <v>ㄓ</v>
      </c>
      <c r="L9311" s="1" t="str">
        <f t="shared" si="584"/>
        <v>ㄨ</v>
      </c>
      <c r="M9311" s="1" t="str">
        <f t="shared" si="583"/>
        <v>ㄢ</v>
      </c>
      <c r="P9311" s="1" t="s">
        <v>20</v>
      </c>
      <c r="R9311" s="1" t="s">
        <v>19115</v>
      </c>
      <c r="V9311" s="1" t="s">
        <v>19116</v>
      </c>
      <c r="W9311" s="1" t="s">
        <v>19117</v>
      </c>
      <c r="AR9311" s="1" t="str">
        <f t="shared" si="582"/>
        <v>| [ㄓㄨㄢ](ㄓㄨㄢ.md) | [耑](耑.md) |  | zhuān | [副]
特地。同「專」。如：「耑送」、「耑達」。 |</v>
      </c>
    </row>
    <row r="9312" spans="1:44" hidden="1">
      <c r="A9312" s="1" t="s">
        <v>19118</v>
      </c>
      <c r="C9312" s="1">
        <v>1</v>
      </c>
      <c r="D9312" s="1" t="str">
        <f>"08084"</f>
        <v>08084</v>
      </c>
      <c r="E9312" s="1" t="s">
        <v>684</v>
      </c>
      <c r="F9312" s="1">
        <v>18</v>
      </c>
      <c r="G9312" s="1">
        <v>9</v>
      </c>
      <c r="H9312" s="1">
        <v>0</v>
      </c>
      <c r="I9312" s="1" t="s">
        <v>19114</v>
      </c>
      <c r="K9312" s="1" t="str">
        <f t="shared" si="581"/>
        <v>ㄓ</v>
      </c>
      <c r="L9312" s="1" t="str">
        <f t="shared" si="584"/>
        <v>ㄨ</v>
      </c>
      <c r="M9312" s="1" t="str">
        <f t="shared" si="583"/>
        <v>ㄢ</v>
      </c>
      <c r="P9312" s="1" t="s">
        <v>20</v>
      </c>
      <c r="R9312" s="1" t="s">
        <v>19115</v>
      </c>
      <c r="V9312" s="1" t="s">
        <v>19119</v>
      </c>
      <c r="AR9312" s="1" t="str">
        <f t="shared" si="582"/>
        <v>| [ㄓㄨㄢ](ㄓㄨㄢ.md) | [顓](顓.md) |  | zhuān | [形]
1.謹慎的樣子。《說文解字．頁部》：「顓，頭顓顓謹貌。」
2.蒙昧、膽怯。《淮南子．覽冥》：「猛獸食顓民，鷙鳥攫老弱。」
[動]
專、擅。通「專」。《漢書．卷六七．梅福傳》：「至元始中，王莽顓政。」
[名]
姓。如古時有顓臾。 |</v>
      </c>
    </row>
    <row r="9313" spans="1:44" hidden="1">
      <c r="A9313" s="1" t="s">
        <v>19120</v>
      </c>
      <c r="C9313" s="1">
        <v>1</v>
      </c>
      <c r="D9313" s="1" t="str">
        <f>"08085"</f>
        <v>08085</v>
      </c>
      <c r="E9313" s="1" t="s">
        <v>1595</v>
      </c>
      <c r="F9313" s="1">
        <v>11</v>
      </c>
      <c r="G9313" s="1">
        <v>8</v>
      </c>
      <c r="H9313" s="1">
        <v>0</v>
      </c>
      <c r="I9313" s="1" t="s">
        <v>19114</v>
      </c>
      <c r="K9313" s="1" t="str">
        <f t="shared" si="581"/>
        <v>ㄓ</v>
      </c>
      <c r="L9313" s="1" t="str">
        <f t="shared" si="584"/>
        <v>ㄨ</v>
      </c>
      <c r="M9313" s="1" t="str">
        <f t="shared" si="583"/>
        <v>ㄢ</v>
      </c>
      <c r="P9313" s="1" t="s">
        <v>20</v>
      </c>
      <c r="R9313" s="1" t="s">
        <v>19115</v>
      </c>
      <c r="V9313" s="1" t="s">
        <v>19121</v>
      </c>
      <c r="AR9313" s="1" t="str">
        <f t="shared" si="582"/>
        <v>| [ㄓㄨㄢ](ㄓㄨㄢ.md) | [專](專.md) |  | zhuān | [形]
1.集中心志、一心一意。如：「專注」。《孟子．告子上》：「今夫奕之為數，小數也，不專心致志，則不得也。」
2.單獨的。如：「專利」、「專美」。
3.特別的。如：「專長」、「專案」。
[動]
獨占、把持。如：「專政」。《左傳．莊公十年》：「衣食所安，弗敢專也，必以分人。」《漢書．卷六八．霍光傳》：「光專權自恣。」
[副]
1.特地。如：「限時專送」。
2.單獨的。如：「專精」、「專攻」。
[名]
姓。如春秋時吳國有專諸。 |</v>
      </c>
    </row>
    <row r="9314" spans="1:44" hidden="1">
      <c r="A9314" s="1" t="s">
        <v>6951</v>
      </c>
      <c r="C9314" s="1">
        <v>1</v>
      </c>
      <c r="D9314" s="1" t="str">
        <f>"08086"</f>
        <v>08086</v>
      </c>
      <c r="E9314" s="1" t="s">
        <v>185</v>
      </c>
      <c r="F9314" s="1">
        <v>13</v>
      </c>
      <c r="G9314" s="1">
        <v>11</v>
      </c>
      <c r="H9314" s="1">
        <v>2</v>
      </c>
      <c r="I9314" s="1" t="s">
        <v>19114</v>
      </c>
      <c r="K9314" s="1" t="str">
        <f t="shared" si="581"/>
        <v>ㄓ</v>
      </c>
      <c r="L9314" s="1" t="str">
        <f t="shared" si="584"/>
        <v>ㄨ</v>
      </c>
      <c r="M9314" s="1" t="str">
        <f t="shared" si="583"/>
        <v>ㄢ</v>
      </c>
      <c r="P9314" s="1" t="s">
        <v>20</v>
      </c>
      <c r="R9314" s="1" t="s">
        <v>19115</v>
      </c>
      <c r="V9314" s="1" t="s">
        <v>19122</v>
      </c>
      <c r="W9314" s="1" t="s">
        <v>19123</v>
      </c>
      <c r="AR9314" s="1" t="str">
        <f t="shared" si="582"/>
        <v>| [ㄓㄨㄢ](ㄓㄨㄢ.md) | [剸](剸.md) |  | zhuān | [副]
獨斷。通「專」。《荀子．榮辱》：「信而不見敬者，好剸行也。」 |</v>
      </c>
    </row>
    <row r="9315" spans="1:44" hidden="1">
      <c r="A9315" s="1" t="s">
        <v>19124</v>
      </c>
      <c r="C9315" s="1">
        <v>1</v>
      </c>
      <c r="D9315" s="1" t="str">
        <f>"08087"</f>
        <v>08087</v>
      </c>
      <c r="E9315" s="1" t="s">
        <v>534</v>
      </c>
      <c r="F9315" s="1">
        <v>14</v>
      </c>
      <c r="G9315" s="1">
        <v>11</v>
      </c>
      <c r="H9315" s="1">
        <v>0</v>
      </c>
      <c r="I9315" s="1" t="s">
        <v>19114</v>
      </c>
      <c r="K9315" s="1" t="str">
        <f t="shared" si="581"/>
        <v>ㄓ</v>
      </c>
      <c r="L9315" s="1" t="str">
        <f t="shared" si="584"/>
        <v>ㄨ</v>
      </c>
      <c r="M9315" s="1" t="str">
        <f t="shared" si="583"/>
        <v>ㄢ</v>
      </c>
      <c r="P9315" s="1" t="s">
        <v>20</v>
      </c>
      <c r="R9315" s="1" t="s">
        <v>19115</v>
      </c>
      <c r="V9315" s="1" t="s">
        <v>19125</v>
      </c>
      <c r="AR9315" s="1" t="str">
        <f t="shared" si="582"/>
        <v>| [ㄓㄨㄢ](ㄓㄨㄢ.md) | [嫥](嫥.md) |  | zhuān | [形]
1.專一。《說文解字．女部》：「嫥，壹也。」清．段玉裁．注：「凡嫥壹字，古如此作，今則專行而嫥廢矣。」
2.可愛。《玉篇．女部》：「嫥，可愛之貌。」 |</v>
      </c>
    </row>
    <row r="9316" spans="1:44" hidden="1">
      <c r="A9316" s="1" t="s">
        <v>19126</v>
      </c>
      <c r="C9316" s="1">
        <v>1</v>
      </c>
      <c r="D9316" s="1" t="str">
        <f>"08088"</f>
        <v>08088</v>
      </c>
      <c r="E9316" s="1" t="s">
        <v>68</v>
      </c>
      <c r="F9316" s="1">
        <v>15</v>
      </c>
      <c r="G9316" s="1">
        <v>11</v>
      </c>
      <c r="H9316" s="1">
        <v>0</v>
      </c>
      <c r="I9316" s="1" t="s">
        <v>19114</v>
      </c>
      <c r="K9316" s="1" t="str">
        <f t="shared" si="581"/>
        <v>ㄓ</v>
      </c>
      <c r="L9316" s="1" t="str">
        <f t="shared" si="584"/>
        <v>ㄨ</v>
      </c>
      <c r="M9316" s="1" t="str">
        <f t="shared" si="583"/>
        <v>ㄢ</v>
      </c>
      <c r="P9316" s="1" t="s">
        <v>20</v>
      </c>
      <c r="R9316" s="1" t="s">
        <v>19115</v>
      </c>
      <c r="V9316" s="1" t="s">
        <v>19127</v>
      </c>
      <c r="AR9316" s="1" t="str">
        <f t="shared" si="582"/>
        <v>| [ㄓㄨㄢ](ㄓㄨㄢ.md) | [膞](膞.md) |  | zhuān | [名]
鳥胃。《廣韻．平聲．仙韻》：「膞，鳥胃也。」 |</v>
      </c>
    </row>
    <row r="9317" spans="1:44" hidden="1">
      <c r="A9317" s="1" t="s">
        <v>19128</v>
      </c>
      <c r="C9317" s="1">
        <v>1</v>
      </c>
      <c r="D9317" s="1" t="str">
        <f>"08089"</f>
        <v>08089</v>
      </c>
      <c r="E9317" s="1" t="s">
        <v>169</v>
      </c>
      <c r="F9317" s="1">
        <v>16</v>
      </c>
      <c r="G9317" s="1">
        <v>11</v>
      </c>
      <c r="H9317" s="1">
        <v>0</v>
      </c>
      <c r="I9317" s="1" t="s">
        <v>19114</v>
      </c>
      <c r="K9317" s="1" t="str">
        <f t="shared" si="581"/>
        <v>ㄓ</v>
      </c>
      <c r="L9317" s="1" t="str">
        <f t="shared" si="584"/>
        <v>ㄨ</v>
      </c>
      <c r="M9317" s="1" t="str">
        <f t="shared" si="583"/>
        <v>ㄢ</v>
      </c>
      <c r="P9317" s="1" t="s">
        <v>20</v>
      </c>
      <c r="R9317" s="1" t="s">
        <v>19115</v>
      </c>
      <c r="V9317" s="1" t="s">
        <v>19129</v>
      </c>
      <c r="AR9317" s="1" t="str">
        <f t="shared" si="582"/>
        <v>| [ㄓㄨㄢ](ㄓㄨㄢ.md) | [磚](磚.md) |  | zhuān | [名]
1.以黏土燒製而成的長方形建築材料。如：「紅磚」、「瓷磚」、「水泥磚」。
2.磚形的物體。如：「茶磚」、「冰磚」、「金磚」。 |</v>
      </c>
    </row>
    <row r="9318" spans="1:44" hidden="1">
      <c r="A9318" s="1" t="s">
        <v>6964</v>
      </c>
      <c r="C9318" s="1">
        <v>1</v>
      </c>
      <c r="D9318" s="1" t="str">
        <f>"08090"</f>
        <v>08090</v>
      </c>
      <c r="E9318" s="1" t="s">
        <v>49</v>
      </c>
      <c r="F9318" s="1">
        <v>17</v>
      </c>
      <c r="G9318" s="1">
        <v>11</v>
      </c>
      <c r="H9318" s="1">
        <v>2</v>
      </c>
      <c r="I9318" s="1" t="s">
        <v>19114</v>
      </c>
      <c r="K9318" s="1" t="str">
        <f t="shared" si="581"/>
        <v>ㄓ</v>
      </c>
      <c r="L9318" s="1" t="str">
        <f t="shared" si="584"/>
        <v>ㄨ</v>
      </c>
      <c r="M9318" s="1" t="str">
        <f t="shared" si="583"/>
        <v>ㄢ</v>
      </c>
      <c r="P9318" s="1" t="s">
        <v>20</v>
      </c>
      <c r="R9318" s="1" t="s">
        <v>19115</v>
      </c>
      <c r="V9318" s="1" t="s">
        <v>19130</v>
      </c>
      <c r="W9318" s="1" t="s">
        <v>19131</v>
      </c>
      <c r="AR9318" s="1" t="str">
        <f t="shared" si="582"/>
        <v>| [ㄓㄨㄢ](ㄓㄨㄢ.md) | [篿](篿.md) |  | zhuān | [名]
古代的一種占卜方法。《楚辭．屈原．離騷》：「索藑茅以筳篿兮，命靈氛為余占之。」漢．王逸．注：「楚人名結草折竹以卜曰篿。」唐．柳宗元〈天對〉：「折篿剡筳，午施旁豎。」 |</v>
      </c>
    </row>
    <row r="9319" spans="1:44" hidden="1">
      <c r="A9319" s="1" t="s">
        <v>19132</v>
      </c>
      <c r="C9319" s="1">
        <v>1</v>
      </c>
      <c r="D9319" s="1" t="str">
        <f>"08091"</f>
        <v>08091</v>
      </c>
      <c r="E9319" s="1" t="s">
        <v>156</v>
      </c>
      <c r="F9319" s="1">
        <v>22</v>
      </c>
      <c r="G9319" s="1">
        <v>11</v>
      </c>
      <c r="H9319" s="1">
        <v>0</v>
      </c>
      <c r="I9319" s="1" t="s">
        <v>19114</v>
      </c>
      <c r="K9319" s="1" t="str">
        <f t="shared" si="581"/>
        <v>ㄓ</v>
      </c>
      <c r="L9319" s="1" t="str">
        <f t="shared" si="584"/>
        <v>ㄨ</v>
      </c>
      <c r="M9319" s="1" t="str">
        <f t="shared" si="583"/>
        <v>ㄢ</v>
      </c>
      <c r="P9319" s="1" t="s">
        <v>20</v>
      </c>
      <c r="R9319" s="1" t="s">
        <v>19115</v>
      </c>
      <c r="V9319" s="1" t="s">
        <v>19133</v>
      </c>
      <c r="AR9319" s="1" t="str">
        <f t="shared" si="582"/>
        <v>| [ㄓㄨㄢ](ㄓㄨㄢ.md) | [鱄](鱄.md) |  | zhuān | [名]
古書上的一種魚。產於洞庭湖，味美。《呂氏春秋．孝行覽．本味》：「魚之美者，洞庭之鱄，東海之鮞。」 |</v>
      </c>
    </row>
    <row r="9320" spans="1:44" hidden="1">
      <c r="A9320" s="1" t="s">
        <v>19134</v>
      </c>
      <c r="C9320" s="1">
        <v>1</v>
      </c>
      <c r="D9320" s="1" t="str">
        <f>"08092"</f>
        <v>08092</v>
      </c>
      <c r="E9320" s="1" t="s">
        <v>5784</v>
      </c>
      <c r="F9320" s="1">
        <v>16</v>
      </c>
      <c r="G9320" s="1">
        <v>11</v>
      </c>
      <c r="H9320" s="1">
        <v>0</v>
      </c>
      <c r="I9320" s="1" t="s">
        <v>19135</v>
      </c>
      <c r="K9320" s="1" t="str">
        <f t="shared" si="581"/>
        <v>ㄓ</v>
      </c>
      <c r="L9320" s="1" t="str">
        <f t="shared" si="584"/>
        <v>ㄨ</v>
      </c>
      <c r="M9320" s="1" t="str">
        <f t="shared" si="583"/>
        <v>ㄢ</v>
      </c>
      <c r="P9320" s="1" t="s">
        <v>20</v>
      </c>
      <c r="R9320" s="1" t="s">
        <v>19136</v>
      </c>
      <c r="V9320" s="1" t="s">
        <v>19137</v>
      </c>
      <c r="AR9320" s="1" t="str">
        <f t="shared" si="582"/>
        <v>| [ㄓㄨㄢˇ](ㄓㄨㄢˇ.md) | [竱](竱.md) |  | zhuǎn | [動]
等、齊。《說文解字．立部》：「竱，等也。」清．段玉裁．注：「等者，齊簡也，故凡齊皆曰等。」《國語．齊語》：「比綴以度，竱本肇末。」 |</v>
      </c>
    </row>
    <row r="9321" spans="1:44" hidden="1">
      <c r="A9321" s="1" t="s">
        <v>19138</v>
      </c>
      <c r="C9321" s="1">
        <v>1</v>
      </c>
      <c r="D9321" s="1" t="str">
        <f>"08093"</f>
        <v>08093</v>
      </c>
      <c r="E9321" s="1" t="s">
        <v>71</v>
      </c>
      <c r="F9321" s="1">
        <v>18</v>
      </c>
      <c r="G9321" s="1">
        <v>11</v>
      </c>
      <c r="H9321" s="1">
        <v>1</v>
      </c>
      <c r="I9321" s="1" t="s">
        <v>19135</v>
      </c>
      <c r="K9321" s="1" t="str">
        <f t="shared" si="581"/>
        <v>ㄓ</v>
      </c>
      <c r="L9321" s="1" t="str">
        <f t="shared" si="584"/>
        <v>ㄨ</v>
      </c>
      <c r="M9321" s="1" t="str">
        <f t="shared" si="583"/>
        <v>ㄢ</v>
      </c>
      <c r="P9321" s="1" t="s">
        <v>20</v>
      </c>
      <c r="R9321" s="1" t="s">
        <v>19136</v>
      </c>
      <c r="V9321" s="1" t="s">
        <v>19139</v>
      </c>
      <c r="W9321" s="1" t="s">
        <v>19140</v>
      </c>
      <c r="AR9321" s="1" t="str">
        <f t="shared" si="582"/>
        <v>| [ㄓㄨㄢˇ](ㄓㄨㄢˇ.md) | [轉](轉.md) |  | zhuǎn | [動]_x000D_
1.變換、改變。如：「轉學」、「轉敗為勝」、「由晴轉陰」。《紅樓夢》第二三回：「寶玉聽了，好似打了個焦雷，登時掃去興頭，臉上轉了顏色。」《文明小史》第三八回：「幸虧逢之為人很有閱歷，不像那初出學堂的學生一味蠻纏的，曉得意見不合，連忙轉過話風。」_x000D_
2.移動。《詩經．邶風．柏舟》：「我心匪石，不可轉也。」唐．杜甫〈八陣圖〉詩：「江流石不轉，遺恨失吞吳。」_x000D_
3.搖動、飄蕩。《樂府詩集．卷七三．雜曲歌辭一三．古辭．焦仲卿妻》：「四角龍子幡，婀娜隨風轉。」宋．王安石〈江寧夾口〉詩三首之一：「江清日暖蘆花轉，秖似春風柳絮時。」_x000D_
4.改換方向。如：「向右轉」、「向後轉」、「轉彎」。《楚辭．屈原．離騷》：「路不周以左轉兮，指西海以為期。」宋．辛棄疾〈西江月．明月別枝驚鵲〉詞：「舊時茅店社林邊，路轉溪橋忽見。」_x000D_
5.返回、回轉。《水滸傳》第一九回：「這幾個都是久慣做公的，四清六活的人，卻怎地也不曉事，如何不著一隻船轉來回報？」《西遊記》第四一回：「他見行者走了，卻纔收了火具，帥群妖，轉於洞內，閉了石門，以為得勝，著小的排宴奏樂，歡笑不題。」_x000D_
6.縈繞、纏繞。南朝梁．王僧孺〈侍宴〉詩：「散漫輕煙轉，霏微商雲散。」唐．溫庭筠〈博山〉詩：「粉蝶團飛花轉影，彩鴛雙泳水生紋。」明．邵璨《香囊記》第三七齣：「我終日裡愁腸九轉，到如今尺素空傳，越教人中心慘然。」_x000D_
7.運輸。《漢書．卷六九．趙充國辛慶忌傳．趙充國》：「今久轉運煩費，傾我不虞之用以澹一隅，臣愚以為不便。」唐．杜甫〈昔遊〉詩：「吳門轉粟帛，泛海陵蓬萊。」_x000D_
8.販賣、出售。《醒世恆言．卷三六．黃秀才徼靈玉馬墜》：「他既不肯接客，留之何益！倘若三不知，做出把戲，倒是老大利害，不如轉貨與人，另尋一個罷！」《儒林外史》第二〇回：「他不管娘子肯與不肯，竟託書店裡人把房子轉了，拿了銀子回來。」_x000D_
9.拋棄。《孟子．梁惠王下》：「凶年饑歲，君之民，老弱轉乎溝壑，壯者散而之四方者，幾千人矣。」《淮南子．主術》：「故生無乏用，死無轉尸。」_x000D_
10.誦讀。《周書．卷四六．孝義列傳．張元》：「遂請七僧，然七燈，七日七夜，轉《藥師經》行道。」《說郛．卷五七下．劉程之》：「程之飲，水甘美。及寤，猶覺異香，發於毛孔。乃自慰曰：『吾淨土之緣至矣。』復請僧轉《法華經》近數百遍。」_x000D_
11.辯解。如：「你這話未免轉得太硬了。」_x000D_
[名]_x000D_
1.詩文章法結構的用語。如：「起、承、轉、合」。明．李東陽《懷麓堂詩話》：「律詩起承轉合，不為無法，但不可泥，泥於法而為之，則撐拄對待，四方八角，無圓活生動之意。」《紅樓夢》第四八回：「不過是起承轉合，當中承轉是兩副對子，平聲對仄聲，虛的對虛的，實的對實的。」_x000D_
2.書法用筆的轉折迴旋。唐．孫過庭《書譜》：「轉謂鉤鐶盤紆之類是也。」宋．姜夔《續書譜．真書》：「轉折者，方圓之法，真多用折，草多用轉。」_x000D_
3.量詞：(1)功績每升一級為一轉。《新唐書．卷二．太宗本紀》：「二月甲午，從伐高麗無功者，皆賜勛一轉。」《樂府詩集．卷二五．橫吹辭曲五．古辭．木蘭詩二首之一》：「策勛十二轉，賞賜百千強。」(2)道士（家）煉丹的次數。唐．鄭壁〈和襲美傷顧道士〉詩：「空留華表千年約，纔畢丹爐九轉功。」元．楊訥《西游記》第九齣：「我盜了太上老君煉就金丹，九轉煉得銅筋鐵骨，火眼金睛。」_x000D_
[副]_x000D_
1.間接傳送。如：「轉交」、「轉送」、「現場實況轉播」。《西遊記》第二九回：「唐僧步行至廟門外，對閣門大使道：『有唐朝僧人，特來面駕，倒換文牒，乞為轉奏轉奏。』」《紅樓夢》第三回：「已修下薦書一封，轉託內兄，務為周旋協佐，方可少盡弟之鄙誠。」_x000D_
2.逐漸、更加。晉．陶淵明〈和劉柴桑〉詩：「谷風轉淒薄，春醪解饑劬。」《南史．卷三三．列傳．范泰》：「本未開史書，政恆覺其不可解耳。既造《後漢》，轉得統緒。」_x000D_
3.反而、反倒。《詩經．小雅．谷風》：「將恐將懼，維予與女。將安將樂，女轉棄予。」《西遊記》第二〇回：「行者舉棒，儘力一下，轉震得自己手疼。」 |</v>
      </c>
    </row>
    <row r="9322" spans="1:44" hidden="1">
      <c r="A9322" s="1" t="s">
        <v>19141</v>
      </c>
      <c r="C9322" s="1">
        <v>1</v>
      </c>
      <c r="D9322" s="1" t="str">
        <f>"08094"</f>
        <v>08094</v>
      </c>
      <c r="E9322" s="1" t="s">
        <v>28</v>
      </c>
      <c r="F9322" s="1">
        <v>21</v>
      </c>
      <c r="G9322" s="1">
        <v>18</v>
      </c>
      <c r="H9322" s="1">
        <v>0</v>
      </c>
      <c r="I9322" s="1" t="s">
        <v>19135</v>
      </c>
      <c r="K9322" s="1" t="str">
        <f t="shared" si="581"/>
        <v>ㄓ</v>
      </c>
      <c r="L9322" s="1" t="str">
        <f t="shared" si="584"/>
        <v>ㄨ</v>
      </c>
      <c r="M9322" s="1" t="str">
        <f t="shared" si="583"/>
        <v>ㄢ</v>
      </c>
      <c r="P9322" s="1" t="s">
        <v>20</v>
      </c>
      <c r="R9322" s="1" t="s">
        <v>19136</v>
      </c>
      <c r="V9322" s="1" t="s">
        <v>19142</v>
      </c>
      <c r="AR9322" s="1" t="str">
        <f t="shared" si="582"/>
        <v>| [ㄓㄨㄢˇ](ㄓㄨㄢˇ.md) | [囀](囀.md) |  | zhuǎn | [動]
鳥鳴。北周．庾信〈春賦〉：「新年鳥聲千種囀，二月楊花滿路飛。」唐．沈佺期〈人日重宴大明宮賜綵縷人勝應制〉詩：「山鳥初來猶怯囀，林花未發已偷新。」 |</v>
      </c>
    </row>
    <row r="9323" spans="1:44" hidden="1">
      <c r="A9323" s="1" t="s">
        <v>19143</v>
      </c>
      <c r="C9323" s="1">
        <v>1</v>
      </c>
      <c r="D9323" s="1" t="str">
        <f>"08095"</f>
        <v>08095</v>
      </c>
      <c r="E9323" s="1" t="s">
        <v>142</v>
      </c>
      <c r="F9323" s="1">
        <v>13</v>
      </c>
      <c r="G9323" s="1">
        <v>9</v>
      </c>
      <c r="H9323" s="1">
        <v>0</v>
      </c>
      <c r="I9323" s="1" t="s">
        <v>19144</v>
      </c>
      <c r="K9323" s="1" t="str">
        <f t="shared" si="581"/>
        <v>ㄓ</v>
      </c>
      <c r="L9323" s="1" t="str">
        <f t="shared" si="584"/>
        <v>ㄨ</v>
      </c>
      <c r="M9323" s="1" t="str">
        <f t="shared" si="583"/>
        <v>ㄢ</v>
      </c>
      <c r="P9323" s="1" t="s">
        <v>20</v>
      </c>
      <c r="R9323" s="1" t="s">
        <v>19145</v>
      </c>
      <c r="V9323" s="1" t="s">
        <v>19146</v>
      </c>
      <c r="AR9323" s="1" t="str">
        <f t="shared" si="582"/>
        <v>| [ㄓㄨㄢˋ](ㄓㄨㄢˋ.md) | [瑑](瑑.md) |  | zhuàn | [名]
玉器上所雕刻的花紋。《說文解字．玉部》：「瑑，圭璧上起兆瑑也。」
[動]
在玉器上雕刻花紋。《漢書．卷五六．董仲舒傳》：「然則常玉不瑑，不成文章；君子不學，不成其德。」《新唐書．卷七六．后妃列傳上．楊貴妃》：「凡充錦繡官及冶瑑金玉者，大抵千人。」 |</v>
      </c>
    </row>
    <row r="9324" spans="1:44" hidden="1">
      <c r="A9324" s="1" t="s">
        <v>19147</v>
      </c>
      <c r="C9324" s="1">
        <v>1</v>
      </c>
      <c r="D9324" s="1" t="str">
        <f>"08096"</f>
        <v>08096</v>
      </c>
      <c r="E9324" s="1" t="s">
        <v>49</v>
      </c>
      <c r="F9324" s="1">
        <v>15</v>
      </c>
      <c r="G9324" s="1">
        <v>9</v>
      </c>
      <c r="H9324" s="1">
        <v>0</v>
      </c>
      <c r="I9324" s="1" t="s">
        <v>19144</v>
      </c>
      <c r="K9324" s="1" t="str">
        <f t="shared" si="581"/>
        <v>ㄓ</v>
      </c>
      <c r="L9324" s="1" t="str">
        <f t="shared" si="584"/>
        <v>ㄨ</v>
      </c>
      <c r="M9324" s="1" t="str">
        <f t="shared" si="583"/>
        <v>ㄢ</v>
      </c>
      <c r="P9324" s="1" t="s">
        <v>20</v>
      </c>
      <c r="R9324" s="1" t="s">
        <v>19145</v>
      </c>
      <c r="V9324" s="1" t="s">
        <v>19148</v>
      </c>
      <c r="AR9324" s="1" t="str">
        <f t="shared" si="582"/>
        <v>| [ㄓㄨㄢˋ](ㄓㄨㄢˋ.md) | [篆](篆.md) |  | zhuàn | [名]
1.一種漢字書體。參見「篆書」條。如：「大篆」、「小篆」。
2.尊稱他人的名字。如：「臺篆」、「雅篆」。
3.印信。如：「接篆」。
[動]
1.用篆體字書寫。《舊唐書．卷一九〇．文苑傳下．李華傳》：「華嘗為魯山令元德秀墓碑，顏真卿書，李陽冰篆額，後人爭模寫之，號為『四絕碑』。」清．龔自珍〈己亥雜詩〉三一五首之一一：「君恩彀向漁樵說，篆墓何須百字長？」
2.刻鏤、銘刻。如：「篆刻」。《聊齋志異．卷二．阿寶》：「深情已篆中心。今已人禽異類，姻好何可復圓？」 |</v>
      </c>
    </row>
    <row r="9325" spans="1:44" hidden="1">
      <c r="A9325" s="1" t="s">
        <v>19149</v>
      </c>
      <c r="C9325" s="1">
        <v>1</v>
      </c>
      <c r="D9325" s="1" t="str">
        <f>"08097"</f>
        <v>08097</v>
      </c>
      <c r="E9325" s="1" t="s">
        <v>114</v>
      </c>
      <c r="F9325" s="1">
        <v>13</v>
      </c>
      <c r="G9325" s="1">
        <v>11</v>
      </c>
      <c r="H9325" s="1">
        <v>2</v>
      </c>
      <c r="I9325" s="1" t="s">
        <v>19144</v>
      </c>
      <c r="K9325" s="1" t="str">
        <f t="shared" si="581"/>
        <v>ㄓ</v>
      </c>
      <c r="L9325" s="1" t="str">
        <f t="shared" si="584"/>
        <v>ㄨ</v>
      </c>
      <c r="M9325" s="1" t="str">
        <f t="shared" si="583"/>
        <v>ㄢ</v>
      </c>
      <c r="P9325" s="1" t="s">
        <v>20</v>
      </c>
      <c r="R9325" s="1" t="s">
        <v>19145</v>
      </c>
      <c r="V9325" s="1" t="s">
        <v>19150</v>
      </c>
      <c r="W9325" s="1" t="s">
        <v>19151</v>
      </c>
      <c r="AR9325" s="1" t="str">
        <f t="shared" si="582"/>
        <v>| [ㄓㄨㄢˋ](ㄓㄨㄢˋ.md) | [傳](傳.md) |  | zhuàn | [名]_x000D_
1.驛站、客舍。《戰國策．齊策五》：「昔者趙氏襲衛，車舍人不休傳。」《後漢書．卷四六．郭陳列傳．陳寵》：「發人修道，繕理亭傳。」_x000D_
2.傳達命令的驛車或官府載人的馬車。《韓非子．喻老》：「天下有道無急患則曰靜，遽傳不用。」唐．李商隱〈籌筆驛〉詩：「徒令上將揮神筆，終見降王走傳車。」_x000D_
3.注釋或解釋經義的文字。如：《易傳》、《左傳》、《公羊傳》。明．歸有光〈陳處士妻王孺人墓誌銘〉：「有赫管彤，於昭汗青。子政作傳，元凱翼經。無微不顯，靡幽不呈。」_x000D_
4.記載某人一生事跡的文字。如：「小傳」、「自傳」。 |</v>
      </c>
    </row>
    <row r="9326" spans="1:44" hidden="1">
      <c r="A9326" s="1" t="s">
        <v>19152</v>
      </c>
      <c r="C9326" s="1">
        <v>1</v>
      </c>
      <c r="D9326" s="1" t="str">
        <f>"08098"</f>
        <v>08098</v>
      </c>
      <c r="E9326" s="1" t="s">
        <v>725</v>
      </c>
      <c r="F9326" s="1">
        <v>17</v>
      </c>
      <c r="G9326" s="1">
        <v>11</v>
      </c>
      <c r="H9326" s="1">
        <v>1</v>
      </c>
      <c r="I9326" s="1" t="s">
        <v>19144</v>
      </c>
      <c r="K9326" s="1" t="str">
        <f t="shared" si="581"/>
        <v>ㄓ</v>
      </c>
      <c r="L9326" s="1" t="str">
        <f t="shared" si="584"/>
        <v>ㄨ</v>
      </c>
      <c r="M9326" s="1" t="str">
        <f t="shared" si="583"/>
        <v>ㄢ</v>
      </c>
      <c r="P9326" s="1" t="s">
        <v>20</v>
      </c>
      <c r="R9326" s="1" t="s">
        <v>19145</v>
      </c>
      <c r="V9326" s="1" t="s">
        <v>19153</v>
      </c>
      <c r="W9326" s="1" t="s">
        <v>19154</v>
      </c>
      <c r="AR9326" s="1" t="str">
        <f t="shared" si="582"/>
        <v>| [ㄓㄨㄢˋ](ㄓㄨㄢˋ.md) | [縳](縳.md) |  | zhuàn | [名]
白色細絹。《說文解字．糸部》：「縳，白鮮卮也。」《集韻．去聲．線韻》：「縳，雙縳，緻繒也，紡熟絲為之。」 |</v>
      </c>
    </row>
    <row r="9327" spans="1:44" hidden="1">
      <c r="A9327" s="1" t="s">
        <v>19138</v>
      </c>
      <c r="C9327" s="1">
        <v>1</v>
      </c>
      <c r="D9327" s="1" t="str">
        <f>"08099"</f>
        <v>08099</v>
      </c>
      <c r="E9327" s="1" t="s">
        <v>71</v>
      </c>
      <c r="F9327" s="1">
        <v>18</v>
      </c>
      <c r="G9327" s="1">
        <v>11</v>
      </c>
      <c r="H9327" s="1">
        <v>2</v>
      </c>
      <c r="I9327" s="1" t="s">
        <v>19144</v>
      </c>
      <c r="K9327" s="1" t="str">
        <f t="shared" si="581"/>
        <v>ㄓ</v>
      </c>
      <c r="L9327" s="1" t="str">
        <f t="shared" si="584"/>
        <v>ㄨ</v>
      </c>
      <c r="M9327" s="1" t="str">
        <f t="shared" si="583"/>
        <v>ㄢ</v>
      </c>
      <c r="P9327" s="1" t="s">
        <v>20</v>
      </c>
      <c r="R9327" s="1" t="s">
        <v>19145</v>
      </c>
      <c r="V9327" s="1" t="s">
        <v>19155</v>
      </c>
      <c r="W9327" s="1" t="s">
        <v>19156</v>
      </c>
      <c r="AR9327" s="1" t="str">
        <f t="shared" si="582"/>
        <v>| [ㄓㄨㄢˋ](ㄓㄨㄢˋ.md) | [轉](轉.md) |  | zhuàn | [動]
1.依固定的軸環繞方向，循環不變。如：「轉圈兒」、「公轉」、「自轉」。
2.巡視、繞。如：「王警衛到牢房轉了一下，看看有無特殊狀況。」 |</v>
      </c>
    </row>
    <row r="9328" spans="1:44" hidden="1">
      <c r="A9328" s="1" t="s">
        <v>19157</v>
      </c>
      <c r="C9328" s="1">
        <v>1</v>
      </c>
      <c r="D9328" s="1" t="str">
        <f>"08100"</f>
        <v>08100</v>
      </c>
      <c r="E9328" s="1" t="s">
        <v>114</v>
      </c>
      <c r="F9328" s="1">
        <v>14</v>
      </c>
      <c r="G9328" s="1">
        <v>12</v>
      </c>
      <c r="H9328" s="1">
        <v>0</v>
      </c>
      <c r="I9328" s="1" t="s">
        <v>19144</v>
      </c>
      <c r="K9328" s="1" t="str">
        <f t="shared" ref="K9328:K9391" si="585">LEFT(I9328, 1)</f>
        <v>ㄓ</v>
      </c>
      <c r="L9328" s="1" t="str">
        <f t="shared" si="584"/>
        <v>ㄨ</v>
      </c>
      <c r="M9328" s="1" t="str">
        <f t="shared" si="583"/>
        <v>ㄢ</v>
      </c>
      <c r="P9328" s="1" t="s">
        <v>20</v>
      </c>
      <c r="R9328" s="1" t="s">
        <v>19145</v>
      </c>
      <c r="V9328" s="1" t="s">
        <v>19158</v>
      </c>
      <c r="AR9328" s="1" t="str">
        <f t="shared" si="582"/>
        <v>| [ㄓㄨㄢˋ](ㄓㄨㄢˋ.md) | [僎](僎.md) |  | zhuàn | [形]
具備。《說文解字．人部》：「僎，具也。」 |</v>
      </c>
    </row>
    <row r="9329" spans="1:44" hidden="1">
      <c r="A9329" s="1" t="s">
        <v>19159</v>
      </c>
      <c r="C9329" s="1">
        <v>1</v>
      </c>
      <c r="D9329" s="1" t="str">
        <f>"08101"</f>
        <v>08101</v>
      </c>
      <c r="E9329" s="1" t="s">
        <v>24</v>
      </c>
      <c r="F9329" s="1">
        <v>15</v>
      </c>
      <c r="G9329" s="1">
        <v>12</v>
      </c>
      <c r="H9329" s="1">
        <v>0</v>
      </c>
      <c r="I9329" s="1" t="s">
        <v>19144</v>
      </c>
      <c r="K9329" s="1" t="str">
        <f t="shared" si="585"/>
        <v>ㄓ</v>
      </c>
      <c r="L9329" s="1" t="str">
        <f t="shared" si="584"/>
        <v>ㄨ</v>
      </c>
      <c r="M9329" s="1" t="str">
        <f t="shared" si="583"/>
        <v>ㄢ</v>
      </c>
      <c r="P9329" s="1" t="s">
        <v>20</v>
      </c>
      <c r="R9329" s="1" t="s">
        <v>19145</v>
      </c>
      <c r="V9329" s="1" t="s">
        <v>19160</v>
      </c>
      <c r="AR9329" s="1" t="str">
        <f t="shared" si="582"/>
        <v>| [ㄓㄨㄢˋ](ㄓㄨㄢˋ.md) | [撰](撰.md) |  | zhuàn | [動]
1.著述。如：「撰文」、「撰稿」。
2.編纂。《文選．曹丕．與吳質書》：「頃撰其遺文，都為一集。」南朝梁．劉勰《文心雕龍．正緯》：「故知前世符命，歷代寶傳，仲尼所撰，序錄而已。」
[名]
1.才志、志趣。《論語．先進》：「鼓瑟希，鏗爾，舍瑟而作，對曰：『異乎三子者之撰。』」
2.天地、陰陽間變化的規律、定數。《易經．繫辭下》：「陰陽合德，而剛柔有體，以體天地之撰。」 |</v>
      </c>
    </row>
    <row r="9330" spans="1:44" hidden="1">
      <c r="A9330" s="1" t="s">
        <v>19161</v>
      </c>
      <c r="C9330" s="1">
        <v>1</v>
      </c>
      <c r="D9330" s="1" t="str">
        <f>"08102"</f>
        <v>08102</v>
      </c>
      <c r="E9330" s="1" t="s">
        <v>331</v>
      </c>
      <c r="F9330" s="1">
        <v>19</v>
      </c>
      <c r="G9330" s="1">
        <v>12</v>
      </c>
      <c r="H9330" s="1">
        <v>0</v>
      </c>
      <c r="I9330" s="1" t="s">
        <v>19144</v>
      </c>
      <c r="K9330" s="1" t="str">
        <f t="shared" si="585"/>
        <v>ㄓ</v>
      </c>
      <c r="L9330" s="1" t="str">
        <f t="shared" si="584"/>
        <v>ㄨ</v>
      </c>
      <c r="M9330" s="1" t="str">
        <f t="shared" si="583"/>
        <v>ㄢ</v>
      </c>
      <c r="P9330" s="1" t="s">
        <v>20</v>
      </c>
      <c r="R9330" s="1" t="s">
        <v>19145</v>
      </c>
      <c r="V9330" s="1" t="s">
        <v>19162</v>
      </c>
      <c r="AR9330" s="1" t="str">
        <f t="shared" si="582"/>
        <v>| [ㄓㄨㄢˋ](ㄓㄨㄢˋ.md) | [譔](譔.md) |  | zhuàn | [動]
1.專心教導。《說文解字．言部》：「譔，專教也。」清．段玉裁．注：「專教者，專壹而教之也。」
2.著述。通「撰」。《禮記．祭統》：「銘者，論譔其先祖之有德善。」《漢書．卷八七．揚雄傳下》：「故人時有問雄者，常用法應之，譔以為十三卷，象『論語』，號曰『法言』。」 |</v>
      </c>
    </row>
    <row r="9331" spans="1:44" hidden="1">
      <c r="A9331" s="1" t="s">
        <v>19163</v>
      </c>
      <c r="C9331" s="1">
        <v>1</v>
      </c>
      <c r="D9331" s="1" t="str">
        <f>"08103"</f>
        <v>08103</v>
      </c>
      <c r="E9331" s="1" t="s">
        <v>193</v>
      </c>
      <c r="F9331" s="1">
        <v>20</v>
      </c>
      <c r="G9331" s="1">
        <v>12</v>
      </c>
      <c r="H9331" s="1">
        <v>0</v>
      </c>
      <c r="I9331" s="1" t="s">
        <v>19144</v>
      </c>
      <c r="K9331" s="1" t="str">
        <f t="shared" si="585"/>
        <v>ㄓ</v>
      </c>
      <c r="L9331" s="1" t="str">
        <f t="shared" si="584"/>
        <v>ㄨ</v>
      </c>
      <c r="M9331" s="1" t="str">
        <f t="shared" si="583"/>
        <v>ㄢ</v>
      </c>
      <c r="P9331" s="1" t="s">
        <v>20</v>
      </c>
      <c r="R9331" s="1" t="s">
        <v>19145</v>
      </c>
      <c r="V9331" s="1" t="s">
        <v>19164</v>
      </c>
      <c r="AR9331" s="1" t="str">
        <f t="shared" si="582"/>
        <v>| [ㄓㄨㄢˋ](ㄓㄨㄢˋ.md) | [饌](饌.md) |  | zhuàn | [動]
1.準備、陳置食物。唐．杜甫〈病後遇王倚飲贈歌〉：「遣人向市賒香粳，喚婦出房親自饌。」
2.吃喝、飲用。《論語．為政》：「有酒食，先生饌。」
3.款待、招待。宋．沈括《夢溪筆談．卷二〇．神奇》：「時方饌客，掌書記朱炎在坐。」清．鄭珍〈江邊老叟〉詩：「路旁偶憩憶當時，主人饌我不受貲。」
[名]
泛指酒食菜餚。《儒林外史》第二回：「今日先生為甚麼不用肴饌？」 |</v>
      </c>
    </row>
    <row r="9332" spans="1:44" hidden="1">
      <c r="A9332" s="1" t="s">
        <v>19165</v>
      </c>
      <c r="C9332" s="1">
        <v>1</v>
      </c>
      <c r="D9332" s="1" t="str">
        <f>"08104"</f>
        <v>08104</v>
      </c>
      <c r="E9332" s="1" t="s">
        <v>49</v>
      </c>
      <c r="F9332" s="1">
        <v>16</v>
      </c>
      <c r="G9332" s="1">
        <v>10</v>
      </c>
      <c r="H9332" s="1">
        <v>1</v>
      </c>
      <c r="I9332" s="1" t="s">
        <v>19144</v>
      </c>
      <c r="K9332" s="1" t="str">
        <f t="shared" si="585"/>
        <v>ㄓ</v>
      </c>
      <c r="L9332" s="1" t="str">
        <f t="shared" si="584"/>
        <v>ㄨ</v>
      </c>
      <c r="M9332" s="1" t="str">
        <f t="shared" si="583"/>
        <v>ㄢ</v>
      </c>
      <c r="P9332" s="1" t="s">
        <v>20</v>
      </c>
      <c r="R9332" s="1" t="s">
        <v>19145</v>
      </c>
      <c r="V9332" s="1" t="s">
        <v>19166</v>
      </c>
      <c r="W9332" s="1" t="s">
        <v>19167</v>
      </c>
      <c r="AR9332" s="1" t="str">
        <f t="shared" si="582"/>
        <v>| [ㄓㄨㄢˋ](ㄓㄨㄢˋ.md) | [篹](篹.md) |  | zhuàn | [動]
1.著述、寫作。同「撰」。《漢書．卷三〇．藝文志》：「夫子既卒，門人相與輯而論篹，故謂之論語。」
2.陳設食物。同「饌」。《漢書．卷九八．元后傳》：「獨置孝元廟故殿以為文母篹食堂。」 |</v>
      </c>
    </row>
    <row r="9333" spans="1:44" hidden="1">
      <c r="A9333" s="1" t="s">
        <v>19168</v>
      </c>
      <c r="C9333" s="1">
        <v>1</v>
      </c>
      <c r="D9333" s="1" t="str">
        <f>"08105"</f>
        <v>08105</v>
      </c>
      <c r="E9333" s="1" t="s">
        <v>505</v>
      </c>
      <c r="F9333" s="1">
        <v>17</v>
      </c>
      <c r="G9333" s="1">
        <v>10</v>
      </c>
      <c r="H9333" s="1">
        <v>1</v>
      </c>
      <c r="I9333" s="1" t="s">
        <v>19144</v>
      </c>
      <c r="K9333" s="1" t="str">
        <f t="shared" si="585"/>
        <v>ㄓ</v>
      </c>
      <c r="L9333" s="1" t="str">
        <f t="shared" si="584"/>
        <v>ㄨ</v>
      </c>
      <c r="M9333" s="1" t="str">
        <f t="shared" si="583"/>
        <v>ㄢ</v>
      </c>
      <c r="P9333" s="1" t="s">
        <v>20</v>
      </c>
      <c r="R9333" s="1" t="s">
        <v>19145</v>
      </c>
      <c r="V9333" s="1" t="s">
        <v>19169</v>
      </c>
      <c r="W9333" s="1" t="s">
        <v>19170</v>
      </c>
      <c r="AR9333" s="1" t="str">
        <f t="shared" si="582"/>
        <v>| [ㄓㄨㄢˋ](ㄓㄨㄢˋ.md) | [賺](賺.md) |  | zhuàn | [動]
獲得、贏得。如：「賺人熱淚」。《警世通言．卷一五．金令史美婢酬秀童》：「我也許過他二十兩銀子，只恨他沒本事賺我的錢。」
[名]
賺詞的簡稱。參見「賺詞」條。 |</v>
      </c>
    </row>
    <row r="9334" spans="1:44" hidden="1">
      <c r="A9334" s="1" t="s">
        <v>30542</v>
      </c>
      <c r="C9334" s="1">
        <v>1</v>
      </c>
      <c r="D9334" s="1" t="str">
        <f>"119060031"</f>
        <v>119060031</v>
      </c>
      <c r="E9334" s="1" t="s">
        <v>132</v>
      </c>
      <c r="F9334" s="1">
        <v>14</v>
      </c>
      <c r="G9334" s="1">
        <v>11</v>
      </c>
      <c r="H9334" s="1">
        <v>0</v>
      </c>
      <c r="I9334" s="1" t="s">
        <v>19114</v>
      </c>
      <c r="K9334" s="1" t="str">
        <f t="shared" si="585"/>
        <v>ㄓ</v>
      </c>
      <c r="L9334" s="1" t="str">
        <f t="shared" si="584"/>
        <v>ㄨ</v>
      </c>
      <c r="M9334" s="1" t="str">
        <f t="shared" si="583"/>
        <v>ㄢ</v>
      </c>
      <c r="P9334" s="1" t="s">
        <v>20</v>
      </c>
      <c r="R9334" s="1" t="s">
        <v>19115</v>
      </c>
      <c r="V9334" s="1" t="s">
        <v>30543</v>
      </c>
      <c r="AR9334" s="1" t="str">
        <f t="shared" si="582"/>
        <v>| [ㄓㄨㄢ](ㄓㄨㄢ.md) | [塼](塼.md) |  | zhuān | 1.陶製紡錘。《詩經．小雅．斯干》：「載弄之瓦。」漢．毛亨．傳：「瓦，紡塼也。」《後漢書．卷八四．列女傳．曹世叔妻》：「古者生女三日，臥之床下，弄之瓦塼，而齋告焉。」
2.用土坯燒成的建材。同「磚」。南朝宋．謝惠連〈祭古冢文并序〉：「東府掘城北塹，入丈餘，得古冢，上無封域，不用塼甓，以木為槨。」《梁書．卷五四．諸夷列傳．海南諸國》：「其國累塼為城，重門樓閣。」 |</v>
      </c>
    </row>
    <row r="9335" spans="1:44" hidden="1">
      <c r="A9335" s="1" t="s">
        <v>6995</v>
      </c>
      <c r="C9335" s="1">
        <v>1</v>
      </c>
      <c r="D9335" s="1" t="str">
        <f>"08106"</f>
        <v>08106</v>
      </c>
      <c r="E9335" s="1" t="s">
        <v>6996</v>
      </c>
      <c r="F9335" s="1">
        <v>4</v>
      </c>
      <c r="G9335" s="1">
        <v>1</v>
      </c>
      <c r="H9335" s="1">
        <v>2</v>
      </c>
      <c r="I9335" s="1" t="s">
        <v>19171</v>
      </c>
      <c r="K9335" s="1" t="str">
        <f t="shared" si="585"/>
        <v>ㄓ</v>
      </c>
      <c r="L9335" s="1" t="str">
        <f t="shared" si="584"/>
        <v>ㄨ</v>
      </c>
      <c r="M9335" s="1" t="str">
        <f t="shared" si="583"/>
        <v>ㄣ</v>
      </c>
      <c r="P9335" s="1" t="s">
        <v>20</v>
      </c>
      <c r="R9335" s="1" t="s">
        <v>19172</v>
      </c>
      <c r="V9335" s="1" t="s">
        <v>19173</v>
      </c>
      <c r="W9335" s="1" t="s">
        <v>19174</v>
      </c>
      <c r="AR9335" s="1" t="str">
        <f t="shared" si="582"/>
        <v>| [ㄓㄨㄣ](ㄓㄨㄣ.md) | [屯](屯.md) |  | zhūn | [名]
1.困難、危難。《西遊記》第三七回：「你的災屯，想應天付，卻與我相類。」
2.《易經》卦名。六十四卦之一。震（☳）下坎（☵）上。象剛柔始交而難生之義。
3.姓。如漢代有屯莫。
[形]
參見「屯邅」條。
[動]
吝惜。《易經．屯卦．九五》：「屯其膏。」宋．蘇軾〈奏戶部拘收度牒狀〉：「不忍小臣惑誤執政，屯膏反汗，虧汙聖德，惜毫毛之費，致丘山之損。」 |</v>
      </c>
    </row>
    <row r="9336" spans="1:44" hidden="1">
      <c r="A9336" s="1" t="s">
        <v>19175</v>
      </c>
      <c r="C9336" s="1">
        <v>1</v>
      </c>
      <c r="D9336" s="1" t="str">
        <f>"08107"</f>
        <v>08107</v>
      </c>
      <c r="E9336" s="1" t="s">
        <v>558</v>
      </c>
      <c r="F9336" s="1">
        <v>8</v>
      </c>
      <c r="G9336" s="1">
        <v>4</v>
      </c>
      <c r="H9336" s="1">
        <v>0</v>
      </c>
      <c r="I9336" s="1" t="s">
        <v>19171</v>
      </c>
      <c r="K9336" s="1" t="str">
        <f t="shared" si="585"/>
        <v>ㄓ</v>
      </c>
      <c r="L9336" s="1" t="str">
        <f t="shared" si="584"/>
        <v>ㄨ</v>
      </c>
      <c r="M9336" s="1" t="str">
        <f t="shared" si="583"/>
        <v>ㄣ</v>
      </c>
      <c r="P9336" s="1" t="s">
        <v>20</v>
      </c>
      <c r="R9336" s="1" t="s">
        <v>19172</v>
      </c>
      <c r="V9336" s="1" t="s">
        <v>19176</v>
      </c>
      <c r="AR9336" s="1" t="str">
        <f t="shared" si="582"/>
        <v>| [ㄓㄨㄣ](ㄓㄨㄣ.md) | [迍](迍.md) |  | zhūn | 參見「迍邅」條。 |</v>
      </c>
    </row>
    <row r="9337" spans="1:44" hidden="1">
      <c r="A9337" s="1" t="s">
        <v>19177</v>
      </c>
      <c r="C9337" s="1">
        <v>1</v>
      </c>
      <c r="D9337" s="1" t="str">
        <f>"08108"</f>
        <v>08108</v>
      </c>
      <c r="E9337" s="1" t="s">
        <v>68</v>
      </c>
      <c r="F9337" s="1">
        <v>8</v>
      </c>
      <c r="G9337" s="1">
        <v>4</v>
      </c>
      <c r="H9337" s="1">
        <v>0</v>
      </c>
      <c r="I9337" s="1" t="s">
        <v>19171</v>
      </c>
      <c r="K9337" s="1" t="str">
        <f t="shared" si="585"/>
        <v>ㄓ</v>
      </c>
      <c r="L9337" s="1" t="str">
        <f t="shared" si="584"/>
        <v>ㄨ</v>
      </c>
      <c r="M9337" s="1" t="str">
        <f t="shared" si="583"/>
        <v>ㄣ</v>
      </c>
      <c r="P9337" s="1" t="s">
        <v>20</v>
      </c>
      <c r="R9337" s="1" t="s">
        <v>19172</v>
      </c>
      <c r="V9337" s="1" t="s">
        <v>19178</v>
      </c>
      <c r="AR9337" s="1" t="str">
        <f t="shared" si="582"/>
        <v>| [ㄓㄨㄣ](ㄓㄨㄣ.md) | [肫](肫.md) |  | zhūn | [名]
鳥類的胃。如：「雞肫」、「鴨肫」。
[形]
參見「肫肫」條。 |</v>
      </c>
    </row>
    <row r="9338" spans="1:44" hidden="1">
      <c r="A9338" s="1" t="s">
        <v>19179</v>
      </c>
      <c r="C9338" s="1">
        <v>1</v>
      </c>
      <c r="D9338" s="1" t="str">
        <f>"08109"</f>
        <v>08109</v>
      </c>
      <c r="E9338" s="1" t="s">
        <v>1274</v>
      </c>
      <c r="F9338" s="1">
        <v>9</v>
      </c>
      <c r="G9338" s="1">
        <v>4</v>
      </c>
      <c r="H9338" s="1">
        <v>0</v>
      </c>
      <c r="I9338" s="1" t="s">
        <v>19171</v>
      </c>
      <c r="K9338" s="1" t="str">
        <f t="shared" si="585"/>
        <v>ㄓ</v>
      </c>
      <c r="L9338" s="1" t="str">
        <f t="shared" si="584"/>
        <v>ㄨ</v>
      </c>
      <c r="M9338" s="1" t="str">
        <f t="shared" si="583"/>
        <v>ㄣ</v>
      </c>
      <c r="P9338" s="1" t="s">
        <v>20</v>
      </c>
      <c r="R9338" s="1" t="s">
        <v>19172</v>
      </c>
      <c r="V9338" s="1" t="s">
        <v>16306</v>
      </c>
      <c r="AR9338" s="1" t="str">
        <f t="shared" si="582"/>
        <v>| [ㄓㄨㄣ](ㄓㄨㄣ.md) | [窀](窀.md) |  | zhūn | 參見「窀穸」條。 |</v>
      </c>
    </row>
    <row r="9339" spans="1:44" hidden="1">
      <c r="A9339" s="1" t="s">
        <v>19180</v>
      </c>
      <c r="C9339" s="1">
        <v>1</v>
      </c>
      <c r="D9339" s="1" t="str">
        <f>"08110"</f>
        <v>08110</v>
      </c>
      <c r="E9339" s="1" t="s">
        <v>331</v>
      </c>
      <c r="F9339" s="1">
        <v>15</v>
      </c>
      <c r="G9339" s="1">
        <v>8</v>
      </c>
      <c r="H9339" s="1">
        <v>0</v>
      </c>
      <c r="I9339" s="1" t="s">
        <v>19171</v>
      </c>
      <c r="K9339" s="1" t="str">
        <f t="shared" si="585"/>
        <v>ㄓ</v>
      </c>
      <c r="L9339" s="1" t="str">
        <f t="shared" si="584"/>
        <v>ㄨ</v>
      </c>
      <c r="M9339" s="1" t="str">
        <f t="shared" si="583"/>
        <v>ㄣ</v>
      </c>
      <c r="P9339" s="1" t="s">
        <v>20</v>
      </c>
      <c r="R9339" s="1" t="s">
        <v>19172</v>
      </c>
      <c r="V9339" s="1" t="s">
        <v>19181</v>
      </c>
      <c r="AR9339" s="1" t="str">
        <f t="shared" si="582"/>
        <v>| [ㄓㄨㄣ](ㄓㄨㄣ.md) | [諄](諄.md) |  | zhūn | [動]
1.叮嚀告諭、懇切勸導。《說文解字．言部》：「諄，告曉之孰也。」《史記．卷一一七．司馬相如傳》：「厥之有章，不必諄諄。」
2.輔佐。《國語．晉語九》：「曾孫蒯聵以諄趙鞅之故，敢昭告于皇祖文王、烈祖康叔、文祖襄公、昭考靈公。」
[形]
1.誨人不倦的樣子。如：「諄諄教誨」。
2.忠誠、謹慎的樣子。唐．韓愈〈送惠師〉詩：「吾嫉惰遊者，憐子愚且諄。」 |</v>
      </c>
    </row>
    <row r="9340" spans="1:44" hidden="1">
      <c r="A9340" s="1" t="s">
        <v>19182</v>
      </c>
      <c r="C9340" s="1">
        <v>1</v>
      </c>
      <c r="D9340" s="1" t="str">
        <f>"08111"</f>
        <v>08111</v>
      </c>
      <c r="E9340" s="1" t="s">
        <v>7105</v>
      </c>
      <c r="F9340" s="1">
        <v>16</v>
      </c>
      <c r="G9340" s="1">
        <v>10</v>
      </c>
      <c r="H9340" s="1">
        <v>0</v>
      </c>
      <c r="I9340" s="1" t="s">
        <v>19171</v>
      </c>
      <c r="K9340" s="1" t="str">
        <f t="shared" si="585"/>
        <v>ㄓ</v>
      </c>
      <c r="L9340" s="1" t="str">
        <f t="shared" si="584"/>
        <v>ㄨ</v>
      </c>
      <c r="M9340" s="1" t="str">
        <f t="shared" si="583"/>
        <v>ㄣ</v>
      </c>
      <c r="P9340" s="1" t="s">
        <v>20</v>
      </c>
      <c r="R9340" s="1" t="s">
        <v>19172</v>
      </c>
      <c r="V9340" s="1" t="s">
        <v>19183</v>
      </c>
      <c r="AR9340" s="1" t="str">
        <f t="shared" si="582"/>
        <v>| [ㄓㄨㄣ](ㄓㄨㄣ.md) | [衠](衠.md) |  | zhūn | [副]
1.真正。元．高文秀《遇上皇》第四折：「朝野裡誰人似俺，衠瞢懂愚濁痴憨。」元．孔文卿《東窗事犯》第四折：「古自想一夜夫妻百夜恩，說的夫人衠愁悶。」
2.儘、全。宋．秦觀〈品令．幸自得〉詞：「衠倚賴臉兒得人惜，放軟頑，道不得。」元．關漢卿《救風塵》第四折：「這廝家豪富，衠一味虛肚腸，不踏著實途路。」 |</v>
      </c>
    </row>
    <row r="9341" spans="1:44" hidden="1">
      <c r="A9341" s="1" t="s">
        <v>19184</v>
      </c>
      <c r="C9341" s="1">
        <v>1</v>
      </c>
      <c r="D9341" s="1" t="str">
        <f>"08112"</f>
        <v>08112</v>
      </c>
      <c r="E9341" s="1" t="s">
        <v>1381</v>
      </c>
      <c r="F9341" s="1">
        <v>10</v>
      </c>
      <c r="G9341" s="1">
        <v>8</v>
      </c>
      <c r="H9341" s="1">
        <v>0</v>
      </c>
      <c r="I9341" s="1" t="s">
        <v>19185</v>
      </c>
      <c r="K9341" s="1" t="str">
        <f t="shared" si="585"/>
        <v>ㄓ</v>
      </c>
      <c r="L9341" s="1" t="str">
        <f t="shared" si="584"/>
        <v>ㄨ</v>
      </c>
      <c r="M9341" s="1" t="str">
        <f t="shared" si="583"/>
        <v>ㄣ</v>
      </c>
      <c r="P9341" s="1" t="s">
        <v>20</v>
      </c>
      <c r="R9341" s="1" t="s">
        <v>19186</v>
      </c>
      <c r="V9341" s="1" t="s">
        <v>19187</v>
      </c>
      <c r="AR9341" s="1" t="str">
        <f t="shared" si="582"/>
        <v>| [ㄓㄨㄣˇ](ㄓㄨㄣˇ.md) | [准](准.md) |  | zhǔn | [動]
1.允許。如：「准許」、「上課不准遲到。」
2.確定。如：「准於某日上任。」
3.依據。如：「准某部公函。」
4.比照。如：「准前例科罪。」
5.折算、相抵。元．關漢卿《竇娥冤．楔子》：「我有心看上他與我家做個媳婦，就准了這四十兩銀子，豈不兩得其便。」
[形]
類比的、將來的。通「準」。如：「准尉」。 |</v>
      </c>
    </row>
    <row r="9342" spans="1:44" hidden="1">
      <c r="A9342" s="1" t="s">
        <v>19188</v>
      </c>
      <c r="C9342" s="1">
        <v>1</v>
      </c>
      <c r="D9342" s="1" t="str">
        <f>"08113"</f>
        <v>08113</v>
      </c>
      <c r="E9342" s="1" t="s">
        <v>5383</v>
      </c>
      <c r="F9342" s="1">
        <v>10</v>
      </c>
      <c r="G9342" s="1">
        <v>2</v>
      </c>
      <c r="H9342" s="1">
        <v>0</v>
      </c>
      <c r="I9342" s="1" t="s">
        <v>19185</v>
      </c>
      <c r="K9342" s="1" t="str">
        <f t="shared" si="585"/>
        <v>ㄓ</v>
      </c>
      <c r="L9342" s="1" t="str">
        <f t="shared" si="584"/>
        <v>ㄨ</v>
      </c>
      <c r="M9342" s="1" t="str">
        <f t="shared" si="583"/>
        <v>ㄣ</v>
      </c>
      <c r="P9342" s="1" t="s">
        <v>20</v>
      </c>
      <c r="R9342" s="1" t="s">
        <v>19186</v>
      </c>
      <c r="V9342" s="1" t="s">
        <v>19189</v>
      </c>
      <c r="AR9342" s="1" t="str">
        <f t="shared" si="582"/>
        <v>| [ㄓㄨㄣˇ](ㄓㄨㄣˇ.md) | [隼](隼.md) |  | zhǔn | [名]_x000D_
動物名。一種鳥類。頭頸部有羽毛，外鼻孔方形，各爪下方有溝，尾為角尾、圓尾或楔。性情敏銳，飛行速度極快，獵人常養來幫助捕獵鳥兔。也稱為「鶻鴒」。 |</v>
      </c>
    </row>
    <row r="9343" spans="1:44" hidden="1">
      <c r="A9343" s="1" t="s">
        <v>19190</v>
      </c>
      <c r="C9343" s="1">
        <v>1</v>
      </c>
      <c r="D9343" s="1" t="str">
        <f>"08114"</f>
        <v>08114</v>
      </c>
      <c r="E9343" s="1" t="s">
        <v>129</v>
      </c>
      <c r="F9343" s="1">
        <v>13</v>
      </c>
      <c r="G9343" s="1">
        <v>10</v>
      </c>
      <c r="H9343" s="1">
        <v>0</v>
      </c>
      <c r="I9343" s="1" t="s">
        <v>19185</v>
      </c>
      <c r="K9343" s="1" t="str">
        <f t="shared" si="585"/>
        <v>ㄓ</v>
      </c>
      <c r="L9343" s="1" t="str">
        <f t="shared" si="584"/>
        <v>ㄨ</v>
      </c>
      <c r="M9343" s="1" t="str">
        <f t="shared" si="583"/>
        <v>ㄣ</v>
      </c>
      <c r="P9343" s="1" t="s">
        <v>20</v>
      </c>
      <c r="R9343" s="1" t="s">
        <v>19186</v>
      </c>
      <c r="V9343" s="1" t="s">
        <v>19191</v>
      </c>
      <c r="AR9343" s="1" t="str">
        <f t="shared" si="582"/>
        <v>| [ㄓㄨㄣˇ](ㄓㄨㄣˇ.md) | [準](準.md) |  | zhǔn | [形]
1.平。《說文解字．水部》：「準，平也。」清．段玉裁．注：「謂水之平也。天下莫平於水。」
2.將來的、即將成為的。如：「準新娘」、「準女婿」、「準博士」。
3.可作為法則的。如：「準則」。
[副]
1.正確、精確。如：「瞄準目標」、「猜得準」。
2.一定、肯定。如：「到時他準會來的！」
[動]
1.取法、仿效。《文選．左思．詠史詩八首之一》：「著論準過秦，作賦擬子虛。」《新唐書．卷八五．竇建德傳》：「始都樂壽，號金城宮，備百官，準開皇故事。」
2.預備。如：「準備」。
3.測量、衡量。《宋史．卷三三八．蘇軾傳》：「軾始至潁，遣吏以水平準之，淮之漲水高於新溝幾一丈。」
4.依照、比照。多用於文書中。如：「準用」。也作「准」。
[名]
1.古代測量水平的器具。《漢書．卷二一．律曆志上》：「準者，所以揆平取正也。」
2.法度、法則。如：「標準」。《漢書．卷六五．東方朔傳》：「以道德為麗，以仁義為準。」
3.箭靶、射的。如：「準的」。
4.鼻子。《史記．卷八．高祖本紀》：「高祖為人，隆準而龍顏。」清．紀昀《閱微草堂筆記．卷五．灤陽消夏錄五》：「所蓄犬，忽人立怒號，兩爪抱持齧婦面，裂其鼻準，併盲其一目。」 |</v>
      </c>
    </row>
    <row r="9344" spans="1:44" hidden="1">
      <c r="A9344" s="1" t="s">
        <v>19192</v>
      </c>
      <c r="C9344" s="1">
        <v>1</v>
      </c>
      <c r="D9344" s="1" t="str">
        <f>"08115"</f>
        <v>08115</v>
      </c>
      <c r="E9344" s="1" t="s">
        <v>725</v>
      </c>
      <c r="F9344" s="1">
        <v>10</v>
      </c>
      <c r="G9344" s="1">
        <v>4</v>
      </c>
      <c r="H9344" s="1">
        <v>2</v>
      </c>
      <c r="I9344" s="1" t="s">
        <v>19185</v>
      </c>
      <c r="K9344" s="1" t="str">
        <f t="shared" si="585"/>
        <v>ㄓ</v>
      </c>
      <c r="L9344" s="1" t="str">
        <f t="shared" si="584"/>
        <v>ㄨ</v>
      </c>
      <c r="M9344" s="1" t="str">
        <f t="shared" si="583"/>
        <v>ㄣ</v>
      </c>
      <c r="P9344" s="1" t="s">
        <v>20</v>
      </c>
      <c r="R9344" s="1" t="s">
        <v>19186</v>
      </c>
      <c r="V9344" s="1" t="s">
        <v>19193</v>
      </c>
      <c r="W9344" s="1" t="s">
        <v>19194</v>
      </c>
      <c r="AR9344" s="1" t="str">
        <f t="shared" si="582"/>
        <v>| [ㄓㄨㄣˇ](ㄓㄨㄣˇ.md) | [純](純.md) |  | zhǔn | [動]
裝飾衣帽等物的邊緣。《韓非子．難二》：「賓胥無善削縫，隰朋善純緣。」《山海經．西山經》：「燭者百草之未灰，白蓆采等純之。」
[名]
衣服、鞋帽等的緣邊。《儀禮．士喪禮》：「夏葛屨，冬白屨，皆繶緇絇純組綦。」 |</v>
      </c>
    </row>
    <row r="9345" spans="1:44" hidden="1">
      <c r="A9345" s="1" t="s">
        <v>19195</v>
      </c>
      <c r="C9345" s="1">
        <v>1</v>
      </c>
      <c r="D9345" s="1" t="str">
        <f>"08116"</f>
        <v>08116</v>
      </c>
      <c r="E9345" s="1" t="s">
        <v>132</v>
      </c>
      <c r="F9345" s="1">
        <v>11</v>
      </c>
      <c r="G9345" s="1">
        <v>8</v>
      </c>
      <c r="H9345" s="1">
        <v>0</v>
      </c>
      <c r="I9345" s="1" t="s">
        <v>19185</v>
      </c>
      <c r="K9345" s="1" t="str">
        <f t="shared" si="585"/>
        <v>ㄓ</v>
      </c>
      <c r="L9345" s="1" t="str">
        <f t="shared" si="584"/>
        <v>ㄨ</v>
      </c>
      <c r="M9345" s="1" t="str">
        <f t="shared" si="583"/>
        <v>ㄣ</v>
      </c>
      <c r="P9345" s="1" t="s">
        <v>20</v>
      </c>
      <c r="R9345" s="1" t="s">
        <v>19186</v>
      </c>
      <c r="V9345" s="1" t="s">
        <v>19196</v>
      </c>
      <c r="AR9345" s="1" t="str">
        <f t="shared" si="582"/>
        <v>| [ㄓㄨㄣˇ](ㄓㄨㄣˇ.md) | [埻](埻.md) |  | zhǔn | [名]
箭靶。同「準」。《廣韻．上聲．準韻》：「埻，射的。」 |</v>
      </c>
    </row>
    <row r="9346" spans="1:44" hidden="1">
      <c r="A9346" s="1" t="s">
        <v>19197</v>
      </c>
      <c r="C9346" s="1">
        <v>1</v>
      </c>
      <c r="D9346" s="1" t="str">
        <f>"08117"</f>
        <v>08117</v>
      </c>
      <c r="E9346" s="1" t="s">
        <v>331</v>
      </c>
      <c r="F9346" s="1">
        <v>11</v>
      </c>
      <c r="G9346" s="1">
        <v>4</v>
      </c>
      <c r="H9346" s="1">
        <v>0</v>
      </c>
      <c r="I9346" s="1" t="s">
        <v>19198</v>
      </c>
      <c r="K9346" s="1" t="str">
        <f t="shared" si="585"/>
        <v>ㄓ</v>
      </c>
      <c r="L9346" s="1" t="str">
        <f t="shared" si="584"/>
        <v>ㄨ</v>
      </c>
      <c r="M9346" s="1" t="str">
        <f t="shared" si="583"/>
        <v>ㄣ</v>
      </c>
      <c r="P9346" s="1" t="s">
        <v>20</v>
      </c>
      <c r="R9346" s="1" t="s">
        <v>19199</v>
      </c>
      <c r="V9346" s="1" t="s">
        <v>19200</v>
      </c>
      <c r="AR9346" s="1" t="str">
        <f t="shared" si="582"/>
        <v>| [ㄓㄨㄣˋ](ㄓㄨㄣˋ.md) | [訰](訰.md) |  | zhùn | 參見「訰訰」條。 |</v>
      </c>
    </row>
    <row r="9347" spans="1:44" hidden="1">
      <c r="A9347" s="1" t="s">
        <v>19201</v>
      </c>
      <c r="C9347" s="1">
        <v>1</v>
      </c>
      <c r="D9347" s="1" t="str">
        <f>"08118"</f>
        <v>08118</v>
      </c>
      <c r="E9347" s="1" t="s">
        <v>534</v>
      </c>
      <c r="F9347" s="1">
        <v>7</v>
      </c>
      <c r="G9347" s="1">
        <v>4</v>
      </c>
      <c r="H9347" s="1">
        <v>0</v>
      </c>
      <c r="I9347" s="1" t="s">
        <v>19202</v>
      </c>
      <c r="K9347" s="1" t="str">
        <f t="shared" si="585"/>
        <v>ㄓ</v>
      </c>
      <c r="L9347" s="1" t="str">
        <f t="shared" si="584"/>
        <v>ㄨ</v>
      </c>
      <c r="M9347" s="1" t="str">
        <f t="shared" si="583"/>
        <v>ㄤ</v>
      </c>
      <c r="P9347" s="1" t="s">
        <v>20</v>
      </c>
      <c r="R9347" s="1" t="s">
        <v>19203</v>
      </c>
      <c r="V9347" s="1" t="s">
        <v>19204</v>
      </c>
      <c r="AR9347" s="1" t="str">
        <f t="shared" ref="AR9347:AR9410" si="586">"| ["&amp;I9347&amp;"]("&amp;I9347&amp;".md) | ["&amp;A9347&amp;"]("&amp;A9347&amp;".md) | "&amp;" | "&amp;R9347&amp;" | "&amp;V9347&amp;" |"</f>
        <v>| [ㄓㄨㄤ](ㄓㄨㄤ.md) | [妝](妝.md) |  | zhuāng | [名]_x000D_
1.婦女的容貌修飾。《樂府詩集．卷二五．橫吹曲辭五．古辭．木蘭詩二首之一》：「阿姊聞妹來，當戶理紅妝。」唐．杜甫〈新婚別〉詩：「羅襦不復施，對君洗紅妝。」_x000D_
2.修飾的模樣。如：「新娘妝」。唐．韓偓〈梅花〉詩：「龍笛遠吹胡地月，燕釵初試漢宮妝。」_x000D_
3.女子結婚時陪送的衣物等。如：「嫁妝」。《兒女英雄傳》第一三回：「那怎的個下茶、行聘、送妝、過門，都不及細說到了。」_x000D_
[動]_x000D_
婦女用脂粉修飾容貌。如：「妝扮」、「梳妝打扮」。宋．蘇軾〈飲湖上初晴後雨〉詩二首之二：「若把西湖比西子，淡妝濃抹總相宜。」 |</v>
      </c>
    </row>
    <row r="9348" spans="1:44" hidden="1">
      <c r="A9348" s="1" t="s">
        <v>19205</v>
      </c>
      <c r="C9348" s="1">
        <v>1</v>
      </c>
      <c r="D9348" s="1" t="str">
        <f>"08119"</f>
        <v>08119</v>
      </c>
      <c r="E9348" s="1" t="s">
        <v>37</v>
      </c>
      <c r="F9348" s="1">
        <v>11</v>
      </c>
      <c r="G9348" s="1">
        <v>7</v>
      </c>
      <c r="H9348" s="1">
        <v>0</v>
      </c>
      <c r="I9348" s="1" t="s">
        <v>19202</v>
      </c>
      <c r="K9348" s="1" t="str">
        <f t="shared" si="585"/>
        <v>ㄓ</v>
      </c>
      <c r="L9348" s="1" t="str">
        <f t="shared" si="584"/>
        <v>ㄨ</v>
      </c>
      <c r="M9348" s="1" t="str">
        <f t="shared" si="583"/>
        <v>ㄤ</v>
      </c>
      <c r="P9348" s="1" t="s">
        <v>20</v>
      </c>
      <c r="R9348" s="1" t="s">
        <v>19203</v>
      </c>
      <c r="V9348" s="1" t="s">
        <v>19206</v>
      </c>
      <c r="AR9348" s="1" t="str">
        <f t="shared" si="586"/>
        <v>| [ㄓㄨㄤ](ㄓㄨㄤ.md) | [莊](莊.md) |  | zhuāng | [名]
1.田舍、村落。如：「村莊」、「農莊」、「王家莊」。
2.別墅。如：「陽明山莊」、「翡翠山莊」。
3.通達的大道。《文選．鮑照．蕪城賦》：「重江複關之隩，四會五達之莊。」
4.規模較大或做大宗買賣的商號。如：「布莊」、「錢莊」。
5.莊家的簡稱。賭局中輪流作主的人。如：「輪流坐莊」。
6.姓。如戰國時宋國有莊周。
[形]
嚴肅。如：「端莊」、「莊嚴肅穆」。 |</v>
      </c>
    </row>
    <row r="9349" spans="1:44" hidden="1">
      <c r="A9349" s="1" t="s">
        <v>19207</v>
      </c>
      <c r="C9349" s="1">
        <v>1</v>
      </c>
      <c r="D9349" s="1" t="str">
        <f>"08120"</f>
        <v>08120</v>
      </c>
      <c r="E9349" s="1" t="s">
        <v>340</v>
      </c>
      <c r="F9349" s="1">
        <v>13</v>
      </c>
      <c r="G9349" s="1">
        <v>7</v>
      </c>
      <c r="H9349" s="1">
        <v>0</v>
      </c>
      <c r="I9349" s="1" t="s">
        <v>19202</v>
      </c>
      <c r="K9349" s="1" t="str">
        <f t="shared" si="585"/>
        <v>ㄓ</v>
      </c>
      <c r="L9349" s="1" t="str">
        <f t="shared" si="584"/>
        <v>ㄨ</v>
      </c>
      <c r="M9349" s="1" t="str">
        <f t="shared" ref="M9349:M9384" si="587">MID(I9349, 3, 1)</f>
        <v>ㄤ</v>
      </c>
      <c r="P9349" s="1" t="s">
        <v>20</v>
      </c>
      <c r="R9349" s="1" t="s">
        <v>19203</v>
      </c>
      <c r="V9349" s="1" t="s">
        <v>19208</v>
      </c>
      <c r="AR9349" s="1" t="str">
        <f t="shared" si="586"/>
        <v>| [ㄓㄨㄤ](ㄓㄨㄤ.md) | [裝](裝.md) |  | zhuāng | [名]
1.行李、行囊。如：「行裝」、「整裝待發」。
2.衣服、服飾。如：「便裝」、「西裝」、「洋裝」、「古裝」。
3.書籍、字畫等的釘定樣式。如：「精裝」、「平裝」、「線裝」。
4.物品包裹、盛放的方式。如：「散裝」、「瓶裝」、「袋裝」、「罐裝」。
[動]
1.包裹。如：「包裝」。
2.修飾、打扮。通「妝」。如：「裝點」、「裝扮」。唐．杜甫〈後出塞〉詩五首之一：「千金買馬鞭，百金裝刀頭。」
3.假作。如：「偽裝」、「裝病」、「裝糊塗」、「不懂裝懂」。
4.配置、安放、安設。如：「安裝」、「裝設」。《三國演義》第一〇六回：「立砲架，裝雲梯，日夜攻打不息。」 |</v>
      </c>
    </row>
    <row r="9350" spans="1:44" hidden="1">
      <c r="A9350" s="1" t="s">
        <v>19209</v>
      </c>
      <c r="C9350" s="1">
        <v>1</v>
      </c>
      <c r="D9350" s="1" t="str">
        <f>"08121"</f>
        <v>08121</v>
      </c>
      <c r="E9350" s="1" t="s">
        <v>139</v>
      </c>
      <c r="F9350" s="1">
        <v>15</v>
      </c>
      <c r="G9350" s="1">
        <v>11</v>
      </c>
      <c r="H9350" s="1">
        <v>0</v>
      </c>
      <c r="I9350" s="1" t="s">
        <v>19202</v>
      </c>
      <c r="K9350" s="1" t="str">
        <f t="shared" si="585"/>
        <v>ㄓ</v>
      </c>
      <c r="L9350" s="1" t="str">
        <f t="shared" si="584"/>
        <v>ㄨ</v>
      </c>
      <c r="M9350" s="1" t="str">
        <f t="shared" si="587"/>
        <v>ㄤ</v>
      </c>
      <c r="P9350" s="1" t="s">
        <v>20</v>
      </c>
      <c r="R9350" s="1" t="s">
        <v>19203</v>
      </c>
      <c r="V9350" s="1" t="s">
        <v>19210</v>
      </c>
      <c r="AR9350" s="1" t="str">
        <f t="shared" si="586"/>
        <v>| [ㄓㄨㄤ](ㄓㄨㄤ.md) | [樁](樁.md) |  | zhuāng | [名]
1.插入土中的木棒或石柱。如：「橋樁」、「打地樁」、「水泥樁」。也稱為「樁子」。
2.量詞。計算事情件數的單位。如：「小事一樁」、「這一樁事，就全拜託你了。」 |</v>
      </c>
    </row>
    <row r="9351" spans="1:44" hidden="1">
      <c r="A9351" s="1" t="s">
        <v>19211</v>
      </c>
      <c r="C9351" s="1">
        <v>1</v>
      </c>
      <c r="D9351" s="1" t="str">
        <f>"08122"</f>
        <v>08122</v>
      </c>
      <c r="E9351" s="1" t="s">
        <v>563</v>
      </c>
      <c r="F9351" s="1">
        <v>10</v>
      </c>
      <c r="G9351" s="1">
        <v>7</v>
      </c>
      <c r="H9351" s="1">
        <v>2</v>
      </c>
      <c r="I9351" s="1" t="s">
        <v>19212</v>
      </c>
      <c r="K9351" s="1" t="str">
        <f t="shared" si="585"/>
        <v>ㄓ</v>
      </c>
      <c r="L9351" s="1" t="str">
        <f t="shared" si="584"/>
        <v>ㄨ</v>
      </c>
      <c r="M9351" s="1" t="str">
        <f t="shared" si="587"/>
        <v>ㄤ</v>
      </c>
      <c r="P9351" s="1" t="s">
        <v>20</v>
      </c>
      <c r="R9351" s="1" t="s">
        <v>19213</v>
      </c>
      <c r="V9351" s="1" t="s">
        <v>19214</v>
      </c>
      <c r="W9351" s="1" t="s">
        <v>19215</v>
      </c>
      <c r="AR9351" s="1" t="str">
        <f t="shared" si="586"/>
        <v>| [ㄓㄨㄤˇ](ㄓㄨㄤˇ.md) | [奘](奘.md) |  | zhuǎng | [形]
北方方言。指物體高大健壯。如：「這棵樹很奘。」 |</v>
      </c>
    </row>
    <row r="9352" spans="1:44" hidden="1">
      <c r="A9352" s="1" t="s">
        <v>19216</v>
      </c>
      <c r="C9352" s="1">
        <v>1</v>
      </c>
      <c r="D9352" s="1" t="str">
        <f>"08123"</f>
        <v>08123</v>
      </c>
      <c r="E9352" s="1" t="s">
        <v>11385</v>
      </c>
      <c r="F9352" s="1">
        <v>7</v>
      </c>
      <c r="G9352" s="1">
        <v>4</v>
      </c>
      <c r="H9352" s="1">
        <v>0</v>
      </c>
      <c r="I9352" s="1" t="s">
        <v>19217</v>
      </c>
      <c r="K9352" s="1" t="str">
        <f t="shared" si="585"/>
        <v>ㄓ</v>
      </c>
      <c r="L9352" s="1" t="str">
        <f t="shared" si="584"/>
        <v>ㄨ</v>
      </c>
      <c r="M9352" s="1" t="str">
        <f t="shared" si="587"/>
        <v>ㄤ</v>
      </c>
      <c r="P9352" s="1" t="s">
        <v>20</v>
      </c>
      <c r="R9352" s="1" t="s">
        <v>19218</v>
      </c>
      <c r="V9352" s="1" t="s">
        <v>19219</v>
      </c>
      <c r="AR9352" s="1" t="str">
        <f t="shared" si="586"/>
        <v>| [ㄓㄨㄤˋ](ㄓㄨㄤˋ.md) | [壯](壯.md) |  | zhuàng | [形]
1.強盛、強健。《史記．卷一一一．衛將軍驃騎傳》：「右賢王驚，夜逃，獨與其愛妾一人、壯騎數百馳，潰圍北去。」
2.雄豪。如：「壯志」、「豪言壯語」。《漢書．卷六五．東方朔傳》：「拔劍割肉，壹何壯也！」
[動]
1.擴大。如：「壯大聲勢」、「借酒壯膽」。
2.讚許、欽服。唐．韓愈〈新修滕王閣記〉：「及得三王所為序賦記等，壯其文辭，益欲往一觀而讀之，以忘吾憂。」
[名]
1.人到三、四十歲的時期稱為「壯」。《禮記．曲禮上》：「人生十年曰幼學；二十曰弱冠；三十曰壯，有室。」
2.農曆八月的別名。參見「壯月」條。
3.姓。如春秋時晉國有壯馳茲。 |</v>
      </c>
    </row>
    <row r="9353" spans="1:44" hidden="1">
      <c r="A9353" s="1" t="s">
        <v>19220</v>
      </c>
      <c r="C9353" s="1">
        <v>1</v>
      </c>
      <c r="D9353" s="1" t="str">
        <f>"08124"</f>
        <v>08124</v>
      </c>
      <c r="E9353" s="1" t="s">
        <v>198</v>
      </c>
      <c r="F9353" s="1">
        <v>8</v>
      </c>
      <c r="G9353" s="1">
        <v>4</v>
      </c>
      <c r="H9353" s="1">
        <v>0</v>
      </c>
      <c r="I9353" s="1" t="s">
        <v>19217</v>
      </c>
      <c r="K9353" s="1" t="str">
        <f t="shared" si="585"/>
        <v>ㄓ</v>
      </c>
      <c r="L9353" s="1" t="str">
        <f t="shared" si="584"/>
        <v>ㄨ</v>
      </c>
      <c r="M9353" s="1" t="str">
        <f t="shared" si="587"/>
        <v>ㄤ</v>
      </c>
      <c r="P9353" s="1" t="s">
        <v>20</v>
      </c>
      <c r="R9353" s="1" t="s">
        <v>19218</v>
      </c>
      <c r="V9353" s="1" t="s">
        <v>19221</v>
      </c>
      <c r="AR9353" s="1" t="str">
        <f t="shared" si="586"/>
        <v>| [ㄓㄨㄤˋ](ㄓㄨㄤˋ.md) | [狀](狀.md) |  | zhuàng | [名]
1.形態、容貌、樣子。如：「粉狀」、「奇形怪狀」。
2.情況。如：「現狀」、「慘狀」。《三國志．卷五四．吳書．魯肅傳》：「會瑜已徙肅母到吳，肅具以狀語瑜。」
3.功績、良好表現。《史記．卷二．夏本紀》：「行視鯀之治水無狀，乃殛鯀於羽山以死。」《漢書．卷四八．賈誼傳》：「自傷為傅無狀，常哭泣。」
4.敘述事實的文章。現通稱打官司的呈文。如：「行狀」、「訴狀」。《紅樓夢》第六八回：「著他寫一張狀子，只管往有司衙門中告去。」
5.獎勵或證明用的文書。如：「獎狀」、「委任狀」、「信用狀」。
[動]
陳述、描寫。如：「摹狀」。《莊子．德充符》：「自狀其過以不當亡者眾，不狀其過以不當存者寡。」南朝梁．劉勰《文心雕龍．物色》：「灼灼狀桃花之鮮，依依盡楊柳之貌。」 |</v>
      </c>
    </row>
    <row r="9354" spans="1:44" hidden="1">
      <c r="A9354" s="1" t="s">
        <v>19222</v>
      </c>
      <c r="C9354" s="1">
        <v>1</v>
      </c>
      <c r="D9354" s="1" t="str">
        <f>"08125"</f>
        <v>08125</v>
      </c>
      <c r="E9354" s="1" t="s">
        <v>114</v>
      </c>
      <c r="F9354" s="1">
        <v>9</v>
      </c>
      <c r="G9354" s="1">
        <v>7</v>
      </c>
      <c r="H9354" s="1">
        <v>0</v>
      </c>
      <c r="I9354" s="1" t="s">
        <v>19217</v>
      </c>
      <c r="K9354" s="1" t="str">
        <f t="shared" si="585"/>
        <v>ㄓ</v>
      </c>
      <c r="L9354" s="1" t="str">
        <f t="shared" si="584"/>
        <v>ㄨ</v>
      </c>
      <c r="M9354" s="1" t="str">
        <f t="shared" si="587"/>
        <v>ㄤ</v>
      </c>
      <c r="P9354" s="1" t="s">
        <v>20</v>
      </c>
      <c r="R9354" s="1" t="s">
        <v>19218</v>
      </c>
      <c r="V9354" s="1" t="s">
        <v>19223</v>
      </c>
      <c r="AR9354" s="1" t="str">
        <f t="shared" si="586"/>
        <v>| [ㄓㄨㄤˋ](ㄓㄨㄤˋ.md) | [&amp;8ff0._104_0.gif;](&amp;8ff0._104_0.gif;.md) |  | zhuàng | [名]
中國少數民族之一。即壯族。參見「壯族」條。 |</v>
      </c>
    </row>
    <row r="9355" spans="1:44" hidden="1">
      <c r="A9355" s="1" t="s">
        <v>7066</v>
      </c>
      <c r="C9355" s="1">
        <v>1</v>
      </c>
      <c r="D9355" s="1" t="str">
        <f>"08126"</f>
        <v>08126</v>
      </c>
      <c r="E9355" s="1" t="s">
        <v>114</v>
      </c>
      <c r="F9355" s="1">
        <v>14</v>
      </c>
      <c r="G9355" s="1">
        <v>12</v>
      </c>
      <c r="H9355" s="1">
        <v>2</v>
      </c>
      <c r="I9355" s="1" t="s">
        <v>19217</v>
      </c>
      <c r="K9355" s="1" t="str">
        <f t="shared" si="585"/>
        <v>ㄓ</v>
      </c>
      <c r="L9355" s="1" t="str">
        <f t="shared" si="584"/>
        <v>ㄨ</v>
      </c>
      <c r="M9355" s="1" t="str">
        <f t="shared" si="587"/>
        <v>ㄤ</v>
      </c>
      <c r="P9355" s="1" t="s">
        <v>20</v>
      </c>
      <c r="R9355" s="1" t="s">
        <v>19218</v>
      </c>
      <c r="V9355" s="1" t="s">
        <v>19223</v>
      </c>
      <c r="W9355" s="1" t="s">
        <v>19224</v>
      </c>
      <c r="AR9355" s="1" t="str">
        <f t="shared" si="586"/>
        <v>| [ㄓㄨㄤˋ](ㄓㄨㄤˋ.md) | [僮](僮.md) |  | zhuàng | [名]
中國少數民族之一。即壯族。參見「壯族」條。 |</v>
      </c>
    </row>
    <row r="9356" spans="1:44" hidden="1">
      <c r="A9356" s="1" t="s">
        <v>19225</v>
      </c>
      <c r="C9356" s="1">
        <v>1</v>
      </c>
      <c r="D9356" s="1" t="str">
        <f>"08127"</f>
        <v>08127</v>
      </c>
      <c r="E9356" s="1" t="s">
        <v>24</v>
      </c>
      <c r="F9356" s="1">
        <v>15</v>
      </c>
      <c r="G9356" s="1">
        <v>12</v>
      </c>
      <c r="H9356" s="1">
        <v>1</v>
      </c>
      <c r="I9356" s="1" t="s">
        <v>19217</v>
      </c>
      <c r="K9356" s="1" t="str">
        <f t="shared" si="585"/>
        <v>ㄓ</v>
      </c>
      <c r="L9356" s="1" t="str">
        <f t="shared" si="584"/>
        <v>ㄨ</v>
      </c>
      <c r="M9356" s="1" t="str">
        <f t="shared" si="587"/>
        <v>ㄤ</v>
      </c>
      <c r="P9356" s="1" t="s">
        <v>388</v>
      </c>
      <c r="R9356" s="1" t="s">
        <v>19218</v>
      </c>
      <c r="V9356" s="1" t="s">
        <v>19226</v>
      </c>
      <c r="W9356" s="1" t="s">
        <v>19227</v>
      </c>
      <c r="AR9356" s="1" t="str">
        <f t="shared" si="586"/>
        <v>| [ㄓㄨㄤˋ](ㄓㄨㄤˋ.md) | [撞](撞.md) |  | zhuàng | [動]
1.敲打。如：「撞鐘」。
2.碰擊。如：「撞車」、「撞傷」、「相撞」。
3.爭執、起衝突。如：「那兩人一言不和，便衝撞起來了。」
4.碰巧遇到。如：「撞見」、「擇期不如撞期」。元．喬吉《金錢記》第二折：「我待要趕時，不想撞著哥哥賀知章。」 |</v>
      </c>
    </row>
    <row r="9357" spans="1:44" hidden="1">
      <c r="A9357" s="1" t="s">
        <v>19228</v>
      </c>
      <c r="C9357" s="1">
        <v>1</v>
      </c>
      <c r="D9357" s="1" t="str">
        <f>"08128"</f>
        <v>08128</v>
      </c>
      <c r="E9357" s="1" t="s">
        <v>222</v>
      </c>
      <c r="F9357" s="1">
        <v>15</v>
      </c>
      <c r="G9357" s="1">
        <v>12</v>
      </c>
      <c r="H9357" s="1">
        <v>2</v>
      </c>
      <c r="I9357" s="1" t="s">
        <v>19217</v>
      </c>
      <c r="K9357" s="1" t="str">
        <f t="shared" si="585"/>
        <v>ㄓ</v>
      </c>
      <c r="L9357" s="1" t="str">
        <f t="shared" si="584"/>
        <v>ㄨ</v>
      </c>
      <c r="M9357" s="1" t="str">
        <f t="shared" si="587"/>
        <v>ㄤ</v>
      </c>
      <c r="P9357" s="1" t="s">
        <v>20</v>
      </c>
      <c r="R9357" s="1" t="s">
        <v>19218</v>
      </c>
      <c r="V9357" s="1" t="s">
        <v>19229</v>
      </c>
      <c r="W9357" s="1" t="s">
        <v>19230</v>
      </c>
      <c r="AR9357" s="1" t="str">
        <f t="shared" si="586"/>
        <v>| [ㄓㄨㄤˋ](ㄓㄨㄤˋ.md) | [幢](幢.md) |  | zhuàng | [名]
后妃舟車上形狀像車蓋的帷幔。《隋書．卷一〇．禮儀志五》：「其箱飾以翟羽，黃油幢黃裡。」 |</v>
      </c>
    </row>
    <row r="9358" spans="1:44" hidden="1">
      <c r="A9358" s="1" t="s">
        <v>10020</v>
      </c>
      <c r="C9358" s="1">
        <v>1</v>
      </c>
      <c r="D9358" s="1" t="str">
        <f>"08129"</f>
        <v>08129</v>
      </c>
      <c r="E9358" s="1" t="s">
        <v>250</v>
      </c>
      <c r="F9358" s="1">
        <v>28</v>
      </c>
      <c r="G9358" s="1">
        <v>24</v>
      </c>
      <c r="H9358" s="1">
        <v>1</v>
      </c>
      <c r="I9358" s="1" t="s">
        <v>19217</v>
      </c>
      <c r="K9358" s="1" t="str">
        <f t="shared" si="585"/>
        <v>ㄓ</v>
      </c>
      <c r="L9358" s="1" t="str">
        <f t="shared" si="584"/>
        <v>ㄨ</v>
      </c>
      <c r="M9358" s="1" t="str">
        <f t="shared" si="587"/>
        <v>ㄤ</v>
      </c>
      <c r="P9358" s="1" t="s">
        <v>20</v>
      </c>
      <c r="R9358" s="1" t="s">
        <v>19218</v>
      </c>
      <c r="V9358" s="1" t="s">
        <v>19231</v>
      </c>
      <c r="W9358" s="1" t="s">
        <v>19232</v>
      </c>
      <c r="AR9358" s="1" t="str">
        <f t="shared" si="586"/>
        <v>| [ㄓㄨㄤˋ](ㄓㄨㄤˋ.md) | [戇](戇.md) |  | zhuàng | [形]
痴愚、急躁、剛直。《荀子．大略》：「悍戇好鬥，似勇而非。」 |</v>
      </c>
    </row>
    <row r="9359" spans="1:44" hidden="1">
      <c r="A9359" s="1" t="s">
        <v>19233</v>
      </c>
      <c r="C9359" s="1">
        <v>1</v>
      </c>
      <c r="D9359" s="1" t="str">
        <f>"08130"</f>
        <v>08130</v>
      </c>
      <c r="E9359" s="1" t="s">
        <v>4265</v>
      </c>
      <c r="F9359" s="1">
        <v>4</v>
      </c>
      <c r="G9359" s="1">
        <v>3</v>
      </c>
      <c r="H9359" s="1">
        <v>1</v>
      </c>
      <c r="I9359" s="1" t="s">
        <v>19234</v>
      </c>
      <c r="K9359" s="1" t="str">
        <f t="shared" si="585"/>
        <v>ㄓ</v>
      </c>
      <c r="L9359" s="1" t="str">
        <f t="shared" si="584"/>
        <v>ㄨ</v>
      </c>
      <c r="M9359" s="1" t="str">
        <f t="shared" si="587"/>
        <v>ㄥ</v>
      </c>
      <c r="P9359" s="1" t="s">
        <v>20</v>
      </c>
      <c r="R9359" s="1" t="s">
        <v>19235</v>
      </c>
      <c r="V9359" s="1" t="s">
        <v>19236</v>
      </c>
      <c r="W9359" s="1" t="s">
        <v>19237</v>
      </c>
      <c r="AR9359" s="1" t="str">
        <f t="shared" si="586"/>
        <v>| [ㄓㄨㄥ](ㄓㄨㄥ.md) | [中](中.md) |  | zhōng | [名]
1.距離四方或兩端相等的部位。如：「居中」、「中央」、「日正當中」。
2.內、裡面。如：「水中」、「夢中」、「心中」。
3.泛指某一時期以內。如：「一年之中」、「晉太元中」。
4.中國的簡稱。如：「古今中外」。
5.姓。如漢代有中京。
[形]
1.居間介紹、連絡的。如：「中人」。
2.居於高低、大小、好壞之間的。如：「中級」、「中型」、「中等」。
3.半。如：「中夜」、「中途」。
[副]
1.正好。如：「適中」。
2.表示動作正在進行。如：「事情正在交涉中。」 |</v>
      </c>
    </row>
    <row r="9360" spans="1:44" hidden="1">
      <c r="A9360" s="1" t="s">
        <v>19238</v>
      </c>
      <c r="C9360" s="1">
        <v>1</v>
      </c>
      <c r="D9360" s="1" t="str">
        <f>"08131"</f>
        <v>08131</v>
      </c>
      <c r="E9360" s="1" t="s">
        <v>250</v>
      </c>
      <c r="F9360" s="1">
        <v>8</v>
      </c>
      <c r="G9360" s="1">
        <v>4</v>
      </c>
      <c r="H9360" s="1">
        <v>0</v>
      </c>
      <c r="I9360" s="1" t="s">
        <v>19234</v>
      </c>
      <c r="K9360" s="1" t="str">
        <f t="shared" si="585"/>
        <v>ㄓ</v>
      </c>
      <c r="L9360" s="1" t="str">
        <f t="shared" si="584"/>
        <v>ㄨ</v>
      </c>
      <c r="M9360" s="1" t="str">
        <f t="shared" si="587"/>
        <v>ㄥ</v>
      </c>
      <c r="P9360" s="1" t="s">
        <v>20</v>
      </c>
      <c r="R9360" s="1" t="s">
        <v>19235</v>
      </c>
      <c r="V9360" s="1" t="s">
        <v>19239</v>
      </c>
      <c r="AR9360" s="1" t="str">
        <f t="shared" si="586"/>
        <v>| [ㄓㄨㄥ](ㄓㄨㄥ.md) | [忠](忠.md) |  | zhōng | [名]
1.盡心誠意待人處事的美德。如：「盡忠職守」、「效忠」。《左傳．僖公九年》：「公家之利，知無不為，忠也。」
2.姓。如漢代有忠譚。
[動]
盡心做事。如：「忠君愛國」。 |</v>
      </c>
    </row>
    <row r="9361" spans="1:44" hidden="1">
      <c r="A9361" s="1" t="s">
        <v>19240</v>
      </c>
      <c r="C9361" s="1">
        <v>1</v>
      </c>
      <c r="D9361" s="1" t="str">
        <f>"08132"</f>
        <v>08132</v>
      </c>
      <c r="E9361" s="1" t="s">
        <v>438</v>
      </c>
      <c r="F9361" s="1">
        <v>9</v>
      </c>
      <c r="G9361" s="1">
        <v>4</v>
      </c>
      <c r="H9361" s="1">
        <v>0</v>
      </c>
      <c r="I9361" s="1" t="s">
        <v>19234</v>
      </c>
      <c r="K9361" s="1" t="str">
        <f t="shared" si="585"/>
        <v>ㄓ</v>
      </c>
      <c r="L9361" s="1" t="str">
        <f t="shared" si="584"/>
        <v>ㄨ</v>
      </c>
      <c r="M9361" s="1" t="str">
        <f t="shared" si="587"/>
        <v>ㄥ</v>
      </c>
      <c r="P9361" s="1" t="s">
        <v>20</v>
      </c>
      <c r="R9361" s="1" t="s">
        <v>19235</v>
      </c>
      <c r="V9361" s="1" t="s">
        <v>19241</v>
      </c>
      <c r="AR9361" s="1" t="str">
        <f t="shared" si="586"/>
        <v>| [ㄓㄨㄥ](ㄓㄨㄥ.md) | [盅](盅.md) |  | zhōng | [名]
1.沒有把手的小杯子。如：「茶盅」、「酒盅」。
2.量詞。計算盅裝液體的單位。如：「一盅好酒」。 |</v>
      </c>
    </row>
    <row r="9362" spans="1:44" hidden="1">
      <c r="A9362" s="1" t="s">
        <v>19242</v>
      </c>
      <c r="C9362" s="1">
        <v>1</v>
      </c>
      <c r="D9362" s="1" t="str">
        <f>"08133"</f>
        <v>08133</v>
      </c>
      <c r="E9362" s="1" t="s">
        <v>340</v>
      </c>
      <c r="F9362" s="1">
        <v>10</v>
      </c>
      <c r="G9362" s="1">
        <v>4</v>
      </c>
      <c r="H9362" s="1">
        <v>0</v>
      </c>
      <c r="I9362" s="1" t="s">
        <v>19234</v>
      </c>
      <c r="K9362" s="1" t="str">
        <f t="shared" si="585"/>
        <v>ㄓ</v>
      </c>
      <c r="L9362" s="1" t="str">
        <f t="shared" si="584"/>
        <v>ㄨ</v>
      </c>
      <c r="M9362" s="1" t="str">
        <f t="shared" si="587"/>
        <v>ㄥ</v>
      </c>
      <c r="P9362" s="1" t="s">
        <v>20</v>
      </c>
      <c r="R9362" s="1" t="s">
        <v>19235</v>
      </c>
      <c r="V9362" s="1" t="s">
        <v>19243</v>
      </c>
      <c r="AR9362" s="1" t="str">
        <f t="shared" si="586"/>
        <v>| [ㄓㄨㄥ](ㄓㄨㄥ.md) | [衷](衷.md) |  | zhōng | [名]
1.內衣，貼身衣物。《說文解字．衣部》：「衷，裹褻衣。」
2.內心。如：「言不由衷」、「無動於衷」。
3.心意、心事。如：「苦衷」、「互訴情衷」。
4.姓。如五代時南唐有衷愉。
[形]
真誠的、內心的。如：「衷心」、「衷情」。 |</v>
      </c>
    </row>
    <row r="9363" spans="1:44" hidden="1">
      <c r="A9363" s="1" t="s">
        <v>19244</v>
      </c>
      <c r="C9363" s="1">
        <v>1</v>
      </c>
      <c r="D9363" s="1" t="str">
        <f>"08134"</f>
        <v>08134</v>
      </c>
      <c r="E9363" s="1" t="s">
        <v>181</v>
      </c>
      <c r="F9363" s="1">
        <v>10</v>
      </c>
      <c r="G9363" s="1">
        <v>4</v>
      </c>
      <c r="H9363" s="1">
        <v>0</v>
      </c>
      <c r="I9363" s="1" t="s">
        <v>19234</v>
      </c>
      <c r="K9363" s="1" t="str">
        <f t="shared" si="585"/>
        <v>ㄓ</v>
      </c>
      <c r="L9363" s="1" t="str">
        <f t="shared" si="584"/>
        <v>ㄨ</v>
      </c>
      <c r="M9363" s="1" t="str">
        <f t="shared" si="587"/>
        <v>ㄥ</v>
      </c>
      <c r="P9363" s="1" t="s">
        <v>20</v>
      </c>
      <c r="R9363" s="1" t="s">
        <v>19235</v>
      </c>
      <c r="V9363" s="1" t="s">
        <v>19245</v>
      </c>
      <c r="AR9363" s="1" t="str">
        <f t="shared" si="586"/>
        <v>| [ㄓㄨㄥ](ㄓㄨㄥ.md) | [舯](舯.md) |  | zhōng | [名]
造船工程上專指船的中央部分。 |</v>
      </c>
    </row>
    <row r="9364" spans="1:44" hidden="1">
      <c r="A9364" s="1" t="s">
        <v>19246</v>
      </c>
      <c r="C9364" s="1">
        <v>1</v>
      </c>
      <c r="D9364" s="1" t="str">
        <f>"08135"</f>
        <v>08135</v>
      </c>
      <c r="E9364" s="1" t="s">
        <v>114</v>
      </c>
      <c r="F9364" s="1">
        <v>6</v>
      </c>
      <c r="G9364" s="1">
        <v>4</v>
      </c>
      <c r="H9364" s="1">
        <v>0</v>
      </c>
      <c r="I9364" s="1" t="s">
        <v>19234</v>
      </c>
      <c r="K9364" s="1" t="str">
        <f t="shared" si="585"/>
        <v>ㄓ</v>
      </c>
      <c r="L9364" s="1" t="str">
        <f t="shared" si="584"/>
        <v>ㄨ</v>
      </c>
      <c r="M9364" s="1" t="str">
        <f t="shared" si="587"/>
        <v>ㄥ</v>
      </c>
      <c r="P9364" s="1" t="s">
        <v>20</v>
      </c>
      <c r="R9364" s="1" t="s">
        <v>19235</v>
      </c>
      <c r="V9364" s="1" t="s">
        <v>19247</v>
      </c>
      <c r="AR9364" s="1" t="str">
        <f t="shared" si="586"/>
        <v>| [ㄓㄨㄥ](ㄓㄨㄥ.md) | [伀](伀.md) |  | zhōng | [名]
稱謂。用以尊稱丈夫的父親。漢．劉熙《釋名．釋親屬》：「俗或謂舅曰章，又曰伀。」
[動]
恐懼。《字彙．人部》：「伀，懼也。」 |</v>
      </c>
    </row>
    <row r="9365" spans="1:44" hidden="1">
      <c r="A9365" s="1" t="s">
        <v>19248</v>
      </c>
      <c r="C9365" s="1">
        <v>1</v>
      </c>
      <c r="D9365" s="1" t="str">
        <f>"08136"</f>
        <v>08136</v>
      </c>
      <c r="E9365" s="1" t="s">
        <v>250</v>
      </c>
      <c r="F9365" s="1">
        <v>7</v>
      </c>
      <c r="G9365" s="1">
        <v>4</v>
      </c>
      <c r="H9365" s="1">
        <v>1</v>
      </c>
      <c r="I9365" s="1" t="s">
        <v>19234</v>
      </c>
      <c r="K9365" s="1" t="str">
        <f t="shared" si="585"/>
        <v>ㄓ</v>
      </c>
      <c r="L9365" s="1" t="str">
        <f t="shared" si="584"/>
        <v>ㄨ</v>
      </c>
      <c r="M9365" s="1" t="str">
        <f t="shared" si="587"/>
        <v>ㄥ</v>
      </c>
      <c r="P9365" s="1" t="s">
        <v>20</v>
      </c>
      <c r="R9365" s="1" t="s">
        <v>19235</v>
      </c>
      <c r="V9365" s="1" t="s">
        <v>19249</v>
      </c>
      <c r="W9365" s="1" t="s">
        <v>19250</v>
      </c>
      <c r="AR9365" s="1" t="str">
        <f t="shared" si="586"/>
        <v>| [ㄓㄨㄥ](ㄓㄨㄥ.md) | [忪](忪.md) |  | zhōng | [形]
心跳驚恐。《玉篇．心部》：「忪，心動不定，驚也。」 |</v>
      </c>
    </row>
    <row r="9366" spans="1:44" hidden="1">
      <c r="A9366" s="1" t="s">
        <v>19251</v>
      </c>
      <c r="C9366" s="1">
        <v>1</v>
      </c>
      <c r="D9366" s="1" t="str">
        <f>"08137"</f>
        <v>08137</v>
      </c>
      <c r="E9366" s="1" t="s">
        <v>534</v>
      </c>
      <c r="F9366" s="1">
        <v>7</v>
      </c>
      <c r="G9366" s="1">
        <v>4</v>
      </c>
      <c r="H9366" s="1">
        <v>0</v>
      </c>
      <c r="I9366" s="1" t="s">
        <v>19234</v>
      </c>
      <c r="K9366" s="1" t="str">
        <f t="shared" si="585"/>
        <v>ㄓ</v>
      </c>
      <c r="L9366" s="1" t="str">
        <f t="shared" si="584"/>
        <v>ㄨ</v>
      </c>
      <c r="M9366" s="1" t="str">
        <f t="shared" si="587"/>
        <v>ㄥ</v>
      </c>
      <c r="P9366" s="1" t="s">
        <v>20</v>
      </c>
      <c r="R9366" s="1" t="s">
        <v>19235</v>
      </c>
      <c r="V9366" s="1" t="s">
        <v>19252</v>
      </c>
      <c r="AR9366" s="1" t="str">
        <f t="shared" si="586"/>
        <v>| [ㄓㄨㄥ](ㄓㄨㄥ.md) | [妐](妐.md) |  | zhōng | [名]
稱謂：(1)用以稱丈夫的哥哥。《玉篇．女部》：「妐，夫之兄也。」(2)用以稱丈夫的姊姊。《呂氏春秋．孝行覽．遇合》：「姑妐知之，曰：『為我婦而有外心，不可畜。』因出之。」《禮記．昏義》「和於室人」句下漢．鄭玄．注：「室人，謂女妐、女叔諸婦也。」唐．孔穎達．正義：「女妐謂婿之姊也，女叔謂婿之妹。」 |</v>
      </c>
    </row>
    <row r="9367" spans="1:44" hidden="1">
      <c r="A9367" s="1" t="s">
        <v>19253</v>
      </c>
      <c r="C9367" s="1">
        <v>1</v>
      </c>
      <c r="D9367" s="1" t="str">
        <f>"08138"</f>
        <v>08138</v>
      </c>
      <c r="E9367" s="1" t="s">
        <v>725</v>
      </c>
      <c r="F9367" s="1">
        <v>11</v>
      </c>
      <c r="G9367" s="1">
        <v>5</v>
      </c>
      <c r="H9367" s="1">
        <v>0</v>
      </c>
      <c r="I9367" s="1" t="s">
        <v>19234</v>
      </c>
      <c r="K9367" s="1" t="str">
        <f t="shared" si="585"/>
        <v>ㄓ</v>
      </c>
      <c r="L9367" s="1" t="str">
        <f t="shared" si="584"/>
        <v>ㄨ</v>
      </c>
      <c r="M9367" s="1" t="str">
        <f t="shared" si="587"/>
        <v>ㄥ</v>
      </c>
      <c r="P9367" s="1" t="s">
        <v>20</v>
      </c>
      <c r="R9367" s="1" t="s">
        <v>19235</v>
      </c>
      <c r="V9367" s="1" t="s">
        <v>19254</v>
      </c>
      <c r="AR9367" s="1" t="str">
        <f t="shared" si="586"/>
        <v>| [ㄓㄨㄥ](ㄓㄨㄥ.md) | [終](終.md) |  | zhōng | [名]_x000D_
1.結局、最後的時刻。如：「年終」、「有始有終」、「自始至終」。_x000D_
死亡。如：「送終」、「善終」。_x000D_
2.姓。如漢代有終軍。_x000D_
[動]_x000D_
1.結束、完畢。如：「曲終人散」、「樂曲終了」。_x000D_
2.人死。宋．歐陽修〈瀧岡阡表〉：「太夫人以疾終于官舍，享年七十有二。」_x000D_
3.窮究、詳究。宋．朱熹《中庸章句》第一章：「其下十章，蓋子思引夫子之言，以終此章之義。」_x000D_
[形]_x000D_
1.從開始到末了一整段時間的。如：「終年」、「終日」、「終生」。_x000D_
2.最後的、最末的。如：「終點」、「終站」。_x000D_
[副]_x000D_
到底、總歸。如：「終究」、「終將結束」。 |</v>
      </c>
    </row>
    <row r="9368" spans="1:44" hidden="1">
      <c r="A9368" s="1" t="s">
        <v>19255</v>
      </c>
      <c r="C9368" s="1">
        <v>1</v>
      </c>
      <c r="D9368" s="1" t="str">
        <f>"08139"</f>
        <v>08139</v>
      </c>
      <c r="E9368" s="1" t="s">
        <v>37</v>
      </c>
      <c r="F9368" s="1">
        <v>15</v>
      </c>
      <c r="G9368" s="1">
        <v>11</v>
      </c>
      <c r="H9368" s="1">
        <v>0</v>
      </c>
      <c r="I9368" s="1" t="s">
        <v>19234</v>
      </c>
      <c r="K9368" s="1" t="str">
        <f t="shared" si="585"/>
        <v>ㄓ</v>
      </c>
      <c r="L9368" s="1" t="str">
        <f t="shared" si="584"/>
        <v>ㄨ</v>
      </c>
      <c r="M9368" s="1" t="str">
        <f t="shared" si="587"/>
        <v>ㄥ</v>
      </c>
      <c r="P9368" s="1" t="s">
        <v>20</v>
      </c>
      <c r="R9368" s="1" t="s">
        <v>19235</v>
      </c>
      <c r="V9368" s="1" t="s">
        <v>19256</v>
      </c>
      <c r="AR9368" s="1" t="str">
        <f t="shared" si="586"/>
        <v>| [ㄓㄨㄥ](ㄓㄨㄥ.md) | [蔠](蔠.md) |  | zhōng | 參見「蔠葵」條。 |</v>
      </c>
    </row>
    <row r="9369" spans="1:44" hidden="1">
      <c r="A9369" s="1" t="s">
        <v>19257</v>
      </c>
      <c r="C9369" s="1">
        <v>1</v>
      </c>
      <c r="D9369" s="1" t="str">
        <f>"08140"</f>
        <v>08140</v>
      </c>
      <c r="E9369" s="1" t="s">
        <v>679</v>
      </c>
      <c r="F9369" s="1">
        <v>17</v>
      </c>
      <c r="G9369" s="1">
        <v>11</v>
      </c>
      <c r="H9369" s="1">
        <v>0</v>
      </c>
      <c r="I9369" s="1" t="s">
        <v>19234</v>
      </c>
      <c r="K9369" s="1" t="str">
        <f t="shared" si="585"/>
        <v>ㄓ</v>
      </c>
      <c r="L9369" s="1" t="str">
        <f t="shared" si="584"/>
        <v>ㄨ</v>
      </c>
      <c r="M9369" s="1" t="str">
        <f t="shared" si="587"/>
        <v>ㄥ</v>
      </c>
      <c r="P9369" s="1" t="s">
        <v>20</v>
      </c>
      <c r="R9369" s="1" t="s">
        <v>19235</v>
      </c>
      <c r="V9369" s="1" t="s">
        <v>19258</v>
      </c>
      <c r="AR9369" s="1" t="str">
        <f t="shared" si="586"/>
        <v>| [ㄓㄨㄥ](ㄓㄨㄥ.md) | [螽](螽.md) |  | zhōng | [名]
古代蝗蟲一類的害蟲總稱為「螽」。 |</v>
      </c>
    </row>
    <row r="9370" spans="1:44" hidden="1">
      <c r="A9370" s="1" t="s">
        <v>19259</v>
      </c>
      <c r="C9370" s="1">
        <v>1</v>
      </c>
      <c r="D9370" s="1" t="str">
        <f>"08141"</f>
        <v>08141</v>
      </c>
      <c r="E9370" s="1" t="s">
        <v>129</v>
      </c>
      <c r="F9370" s="1">
        <v>14</v>
      </c>
      <c r="G9370" s="1">
        <v>11</v>
      </c>
      <c r="H9370" s="1">
        <v>0</v>
      </c>
      <c r="I9370" s="1" t="s">
        <v>19234</v>
      </c>
      <c r="K9370" s="1" t="str">
        <f t="shared" si="585"/>
        <v>ㄓ</v>
      </c>
      <c r="L9370" s="1" t="str">
        <f t="shared" si="584"/>
        <v>ㄨ</v>
      </c>
      <c r="M9370" s="1" t="str">
        <f t="shared" si="587"/>
        <v>ㄥ</v>
      </c>
      <c r="P9370" s="1" t="s">
        <v>20</v>
      </c>
      <c r="R9370" s="1" t="s">
        <v>19235</v>
      </c>
      <c r="V9370" s="1" t="s">
        <v>19260</v>
      </c>
      <c r="AR9370" s="1" t="str">
        <f t="shared" si="586"/>
        <v>| [ㄓㄨㄥ](ㄓㄨㄥ.md) | [潀](潀.md) |  | zhōng | [動]
小水流入大水。《說文解字．水部》：「潀，小水入大水曰潀。」
[名]
1.水流會合之處。《元史．卷六六．河渠志三》：「龍口者，水之所會，自新河入故道之潀也。」
2.急流。唐．李白〈送王屋山人魏萬還王屋〉詩：「鬼谷上窈窕，龍潭下奔潀。」 |</v>
      </c>
    </row>
    <row r="9371" spans="1:44" hidden="1">
      <c r="A9371" s="1" t="s">
        <v>19261</v>
      </c>
      <c r="C9371" s="1">
        <v>1</v>
      </c>
      <c r="D9371" s="1" t="str">
        <f>"08142"</f>
        <v>08142</v>
      </c>
      <c r="E9371" s="1" t="s">
        <v>55</v>
      </c>
      <c r="F9371" s="1">
        <v>17</v>
      </c>
      <c r="G9371" s="1">
        <v>9</v>
      </c>
      <c r="H9371" s="1">
        <v>0</v>
      </c>
      <c r="I9371" s="1" t="s">
        <v>19234</v>
      </c>
      <c r="K9371" s="1" t="str">
        <f t="shared" si="585"/>
        <v>ㄓ</v>
      </c>
      <c r="L9371" s="1" t="str">
        <f t="shared" si="584"/>
        <v>ㄨ</v>
      </c>
      <c r="M9371" s="1" t="str">
        <f t="shared" si="587"/>
        <v>ㄥ</v>
      </c>
      <c r="P9371" s="1" t="s">
        <v>20</v>
      </c>
      <c r="R9371" s="1" t="s">
        <v>19235</v>
      </c>
      <c r="V9371" s="1" t="s">
        <v>19262</v>
      </c>
      <c r="AR9371" s="1" t="str">
        <f t="shared" si="586"/>
        <v>| [ㄓㄨㄥ](ㄓㄨㄥ.md) | [鍾](鍾.md) |  | zhōng | [名]
1.盛酒的器具。《說文解字．金部》：「鍾，酒器也。」唐．杜甫〈奉送魏六丈佑少府之交廣〉詩：「掌中琥珀鍾，行酒雙逶迤。」
2.量詞。古代計算容量的單位元。一鍾約等於六斛四斗。如：「千鍾粟」。
3.古樂器名。通「鐘」。參見「鐘」條。
4.姓。如南朝梁時有鍾嶸。
[動]
積聚。如：「一見鍾情」。唐．杜甫〈望嶽〉詩：「造化鍾神秀，陰陽割昏曉。」 |</v>
      </c>
    </row>
    <row r="9372" spans="1:44" hidden="1">
      <c r="A9372" s="1" t="s">
        <v>19263</v>
      </c>
      <c r="C9372" s="1">
        <v>1</v>
      </c>
      <c r="D9372" s="1" t="str">
        <f>"08143"</f>
        <v>08143</v>
      </c>
      <c r="E9372" s="1" t="s">
        <v>55</v>
      </c>
      <c r="F9372" s="1">
        <v>20</v>
      </c>
      <c r="G9372" s="1">
        <v>12</v>
      </c>
      <c r="H9372" s="1">
        <v>0</v>
      </c>
      <c r="I9372" s="1" t="s">
        <v>19234</v>
      </c>
      <c r="K9372" s="1" t="str">
        <f t="shared" si="585"/>
        <v>ㄓ</v>
      </c>
      <c r="L9372" s="1" t="str">
        <f t="shared" si="584"/>
        <v>ㄨ</v>
      </c>
      <c r="M9372" s="1" t="str">
        <f t="shared" si="587"/>
        <v>ㄥ</v>
      </c>
      <c r="P9372" s="1" t="s">
        <v>20</v>
      </c>
      <c r="R9372" s="1" t="s">
        <v>19235</v>
      </c>
      <c r="V9372" s="1" t="s">
        <v>19264</v>
      </c>
      <c r="AR9372" s="1" t="str">
        <f t="shared" si="586"/>
        <v>| [ㄓㄨㄥ](ㄓㄨㄥ.md) | [鐘](鐘.md) |  | zhōng | [名]
1.樂器名，打擊樂器，金屬製。有圓形、合瓦形等形制。通「鍾」。
2.計時器。如：「時鐘」、「鬧鐘」。 |</v>
      </c>
    </row>
    <row r="9373" spans="1:44" hidden="1">
      <c r="A9373" s="1" t="s">
        <v>19265</v>
      </c>
      <c r="C9373" s="1">
        <v>1</v>
      </c>
      <c r="D9373" s="1" t="str">
        <f>"08144"</f>
        <v>08144</v>
      </c>
      <c r="E9373" s="1" t="s">
        <v>3359</v>
      </c>
      <c r="F9373" s="1">
        <v>10</v>
      </c>
      <c r="G9373" s="1">
        <v>8</v>
      </c>
      <c r="H9373" s="1">
        <v>0</v>
      </c>
      <c r="I9373" s="1" t="s">
        <v>19266</v>
      </c>
      <c r="K9373" s="1" t="str">
        <f t="shared" si="585"/>
        <v>ㄓ</v>
      </c>
      <c r="L9373" s="1" t="str">
        <f t="shared" ref="L9373:L9436" si="588">MID(I9373, 2, 1)</f>
        <v>ㄨ</v>
      </c>
      <c r="M9373" s="1" t="str">
        <f t="shared" si="587"/>
        <v>ㄥ</v>
      </c>
      <c r="P9373" s="1" t="s">
        <v>20</v>
      </c>
      <c r="R9373" s="1" t="s">
        <v>19267</v>
      </c>
      <c r="V9373" s="1" t="s">
        <v>19268</v>
      </c>
      <c r="AR9373" s="1" t="str">
        <f t="shared" si="586"/>
        <v>| [ㄓㄨㄥˇ](ㄓㄨㄥˇ.md) | [冢](冢.md) |  | zhǒng | [名]
1.高大的墳墓。如：「野冢」、「英雄冢」。《史記．卷八．高祖本紀》：「項羽燒秦宮室，掘始皇帝冢。」
2.山頂。《詩經．小雅．十月之交》：「百川沸騰，山冢崒崩。」
3.封土祭祀地祇的地方。即「社」。參見「冢土」條。
[形]
居長的、居首的。參見「冢婦」、「冢息」、「冢宰」等條。 |</v>
      </c>
    </row>
    <row r="9374" spans="1:44" hidden="1">
      <c r="A9374" s="1" t="s">
        <v>19269</v>
      </c>
      <c r="C9374" s="1">
        <v>1</v>
      </c>
      <c r="D9374" s="1" t="str">
        <f>"08145"</f>
        <v>08145</v>
      </c>
      <c r="E9374" s="1" t="s">
        <v>132</v>
      </c>
      <c r="F9374" s="1">
        <v>13</v>
      </c>
      <c r="G9374" s="1">
        <v>10</v>
      </c>
      <c r="H9374" s="1">
        <v>0</v>
      </c>
      <c r="I9374" s="1" t="s">
        <v>19266</v>
      </c>
      <c r="K9374" s="1" t="str">
        <f t="shared" si="585"/>
        <v>ㄓ</v>
      </c>
      <c r="L9374" s="1" t="str">
        <f t="shared" si="588"/>
        <v>ㄨ</v>
      </c>
      <c r="M9374" s="1" t="str">
        <f t="shared" si="587"/>
        <v>ㄥ</v>
      </c>
      <c r="P9374" s="1" t="s">
        <v>20</v>
      </c>
      <c r="R9374" s="1" t="s">
        <v>19267</v>
      </c>
      <c r="V9374" s="1" t="s">
        <v>19270</v>
      </c>
      <c r="AR9374" s="1" t="str">
        <f t="shared" si="586"/>
        <v>| [ㄓㄨㄥˇ](ㄓㄨㄥˇ.md) | [塚](塚.md) |  | zhǒng | [名]
墳墓。同「冢」。唐．李賀〈許公子鄭姬歌〉：「相如塚上生秋柏，三秦誰是言情客？」 |</v>
      </c>
    </row>
    <row r="9375" spans="1:44" hidden="1">
      <c r="A9375" s="1" t="s">
        <v>19271</v>
      </c>
      <c r="C9375" s="1">
        <v>1</v>
      </c>
      <c r="D9375" s="1" t="str">
        <f>"08146"</f>
        <v>08146</v>
      </c>
      <c r="E9375" s="1" t="s">
        <v>1935</v>
      </c>
      <c r="F9375" s="1">
        <v>12</v>
      </c>
      <c r="G9375" s="1">
        <v>9</v>
      </c>
      <c r="H9375" s="1">
        <v>1</v>
      </c>
      <c r="I9375" s="1" t="s">
        <v>19266</v>
      </c>
      <c r="K9375" s="1" t="str">
        <f t="shared" si="585"/>
        <v>ㄓ</v>
      </c>
      <c r="L9375" s="1" t="str">
        <f t="shared" si="588"/>
        <v>ㄨ</v>
      </c>
      <c r="M9375" s="1" t="str">
        <f t="shared" si="587"/>
        <v>ㄥ</v>
      </c>
      <c r="P9375" s="1" t="s">
        <v>20</v>
      </c>
      <c r="R9375" s="1" t="s">
        <v>19267</v>
      </c>
      <c r="V9375" s="1" t="s">
        <v>19272</v>
      </c>
      <c r="W9375" s="1" t="s">
        <v>19273</v>
      </c>
      <c r="AR9375" s="1" t="str">
        <f t="shared" si="586"/>
        <v>| [ㄓㄨㄥˇ](ㄓㄨㄥˇ.md) | [尰](尰.md) |  | zhǒng | [名]
一種足部浮腫的疾病。《爾雅．釋訓》：「骭瘍為微，腫足為尰。」《詩經．小雅．巧言》：「既微且尰，爾勇伊何！」 |</v>
      </c>
    </row>
    <row r="9376" spans="1:44" hidden="1">
      <c r="A9376" s="1" t="s">
        <v>19274</v>
      </c>
      <c r="C9376" s="1">
        <v>1</v>
      </c>
      <c r="D9376" s="1" t="str">
        <f>"08147"</f>
        <v>08147</v>
      </c>
      <c r="E9376" s="1" t="s">
        <v>68</v>
      </c>
      <c r="F9376" s="1">
        <v>13</v>
      </c>
      <c r="G9376" s="1">
        <v>9</v>
      </c>
      <c r="H9376" s="1">
        <v>0</v>
      </c>
      <c r="I9376" s="1" t="s">
        <v>19266</v>
      </c>
      <c r="K9376" s="1" t="str">
        <f t="shared" si="585"/>
        <v>ㄓ</v>
      </c>
      <c r="L9376" s="1" t="str">
        <f t="shared" si="588"/>
        <v>ㄨ</v>
      </c>
      <c r="M9376" s="1" t="str">
        <f t="shared" si="587"/>
        <v>ㄥ</v>
      </c>
      <c r="P9376" s="1" t="s">
        <v>20</v>
      </c>
      <c r="R9376" s="1" t="s">
        <v>19267</v>
      </c>
      <c r="V9376" s="1" t="s">
        <v>19275</v>
      </c>
      <c r="AR9376" s="1" t="str">
        <f t="shared" si="586"/>
        <v>| [ㄓㄨㄥˇ](ㄓㄨㄥˇ.md) | [腫](腫.md) |  | zhǒng | [名]
毒瘡、癰疽。《後漢書．卷五五．章帝八王傳．濟北惠王壽傳》：「頭不枇沐，體生瘡腫。」
[形]
1.皮肉浮脹。如：「皮膚紅腫」、「他的眼睛腫得很厲害。」
2.粗大、肥胖。如：「身材臃腫」。 |</v>
      </c>
    </row>
    <row r="9377" spans="1:44" hidden="1">
      <c r="A9377" s="1" t="s">
        <v>19276</v>
      </c>
      <c r="C9377" s="1">
        <v>1</v>
      </c>
      <c r="D9377" s="1" t="str">
        <f>"08148"</f>
        <v>08148</v>
      </c>
      <c r="E9377" s="1" t="s">
        <v>429</v>
      </c>
      <c r="F9377" s="1">
        <v>14</v>
      </c>
      <c r="G9377" s="1">
        <v>9</v>
      </c>
      <c r="H9377" s="1">
        <v>1</v>
      </c>
      <c r="I9377" s="1" t="s">
        <v>19266</v>
      </c>
      <c r="K9377" s="1" t="str">
        <f t="shared" si="585"/>
        <v>ㄓ</v>
      </c>
      <c r="L9377" s="1" t="str">
        <f t="shared" si="588"/>
        <v>ㄨ</v>
      </c>
      <c r="M9377" s="1" t="str">
        <f t="shared" si="587"/>
        <v>ㄥ</v>
      </c>
      <c r="P9377" s="1" t="s">
        <v>20</v>
      </c>
      <c r="R9377" s="1" t="s">
        <v>19267</v>
      </c>
      <c r="V9377" s="1" t="s">
        <v>19277</v>
      </c>
      <c r="W9377" s="1" t="s">
        <v>19278</v>
      </c>
      <c r="AR9377" s="1" t="str">
        <f t="shared" si="586"/>
        <v>| [ㄓㄨㄥˇ](ㄓㄨㄥˇ.md) | [種](種.md) |  | zhǒng | [名]
1.穀物瓜果的種子。如：「菜種」、「種籽」。《詩經．大雅．生民》：「誕降嘉種，維秬維秠，維穈維𦬊。」《晉書．卷四三．王戎傳》：「家有好李，常出貨之，恐人得種，恆鑽其核。」
2.人的族類。如：「白種人」、「黃種人」。《後漢書．卷八十七．西羌傳．東號子麻奴傳》：「詔拜前校尉馬賢為謁者，鎮撫諸種。」
3.生命的延續。如：「絕種」。
4.事物的類別。如：「兵種」、「種類」。《漢書．卷三六．楚元王劉交傳》：「歆乃集六藝群書，種別為《七略》。」
5.膽量或骨氣。如：「有種就別跑！」、「他做事非常帶種。」
6.生物學上的分類名稱。如：「界、門、綱、目、科、屬、種。」
7.量詞。計算人或事物的類別的單位。如：「兩種人」、「三種花色」、「各種情況」。 |</v>
      </c>
    </row>
    <row r="9378" spans="1:44" hidden="1">
      <c r="A9378" s="1" t="s">
        <v>19279</v>
      </c>
      <c r="C9378" s="1">
        <v>1</v>
      </c>
      <c r="D9378" s="1" t="str">
        <f>"08149"</f>
        <v>08149</v>
      </c>
      <c r="E9378" s="1" t="s">
        <v>77</v>
      </c>
      <c r="F9378" s="1">
        <v>16</v>
      </c>
      <c r="G9378" s="1">
        <v>9</v>
      </c>
      <c r="H9378" s="1">
        <v>0</v>
      </c>
      <c r="I9378" s="1" t="s">
        <v>19266</v>
      </c>
      <c r="K9378" s="1" t="str">
        <f t="shared" si="585"/>
        <v>ㄓ</v>
      </c>
      <c r="L9378" s="1" t="str">
        <f t="shared" si="588"/>
        <v>ㄨ</v>
      </c>
      <c r="M9378" s="1" t="str">
        <f t="shared" si="587"/>
        <v>ㄥ</v>
      </c>
      <c r="P9378" s="1" t="s">
        <v>20</v>
      </c>
      <c r="R9378" s="1" t="s">
        <v>19267</v>
      </c>
      <c r="V9378" s="1" t="s">
        <v>19280</v>
      </c>
      <c r="AR9378" s="1" t="str">
        <f t="shared" si="586"/>
        <v>| [ㄓㄨㄥˇ](ㄓㄨㄥˇ.md) | [踵](踵.md) |  | zhǒng | [名]
1.腳後跟。《字彙．足部》：「踵，足跟。」《儀禮．士相見禮》：「執玉者則唯舒武，舉前曳踵。」
2.鞋後跟。《莊子．讓王》：「捉衿而肘見，納屨而踵決。」
[動]
1.追隨、跟隨。《左傳．昭公二十四年》：「吳踵楚，而疆場無備，邑能無亡乎？」
2.繼承、繼續。《楚辭．屈原．離騷》：「忽奔走以先後兮，及前王之踵武。」《文選．曹植．七啟》：「超隆平於殷周，踵羲皇而齊泰。」
3.登臨。《孟子．滕文公上》：「有為神農之言者許行，自楚之滕，踵門而告文公曰：『遠方之人，聞君行仁政，願受一廛而為氓。』」 |</v>
      </c>
    </row>
    <row r="9379" spans="1:44" hidden="1">
      <c r="A9379" s="1" t="s">
        <v>19233</v>
      </c>
      <c r="C9379" s="1">
        <v>1</v>
      </c>
      <c r="D9379" s="1" t="str">
        <f>"08150"</f>
        <v>08150</v>
      </c>
      <c r="E9379" s="1" t="s">
        <v>4265</v>
      </c>
      <c r="F9379" s="1">
        <v>4</v>
      </c>
      <c r="G9379" s="1">
        <v>3</v>
      </c>
      <c r="H9379" s="1">
        <v>2</v>
      </c>
      <c r="I9379" s="1" t="s">
        <v>19281</v>
      </c>
      <c r="K9379" s="1" t="str">
        <f t="shared" si="585"/>
        <v>ㄓ</v>
      </c>
      <c r="L9379" s="1" t="str">
        <f t="shared" si="588"/>
        <v>ㄨ</v>
      </c>
      <c r="M9379" s="1" t="str">
        <f t="shared" si="587"/>
        <v>ㄥ</v>
      </c>
      <c r="P9379" s="1" t="s">
        <v>20</v>
      </c>
      <c r="R9379" s="1" t="s">
        <v>19282</v>
      </c>
      <c r="V9379" s="1" t="s">
        <v>19283</v>
      </c>
      <c r="W9379" s="1" t="s">
        <v>19284</v>
      </c>
      <c r="AR9379" s="1" t="str">
        <f t="shared" si="586"/>
        <v>| [ㄓㄨㄥˋ](ㄓㄨㄥˋ.md) | [中](中.md) |  | zhòng | [動]
1.達到要點。《論語．子路》：「刑罰不中，則民無所錯手足。」《漢書．卷一〇．成帝紀》：「朕涉道日寡，舉錯不中。」
2.合、正對上。如：「中規中矩」。《左傳．定公元年》：「未嘗不中吾志也。」《戰國策．西周策》：「去柳葉者百步而射之，百發百中。」
3.遭受、感染。如：「中風」、「中毒」。
4.得。如：「中獎」、「中籤」、「中選」。
5.考取。如：「范進中舉」、「考中大學」。《儒林外史》第二回：「這王大老爺，就是前科新中的。」 |</v>
      </c>
    </row>
    <row r="9380" spans="1:44" hidden="1">
      <c r="A9380" s="1" t="s">
        <v>19285</v>
      </c>
      <c r="C9380" s="1">
        <v>1</v>
      </c>
      <c r="D9380" s="1" t="str">
        <f>"08151"</f>
        <v>08151</v>
      </c>
      <c r="E9380" s="1" t="s">
        <v>114</v>
      </c>
      <c r="F9380" s="1">
        <v>6</v>
      </c>
      <c r="G9380" s="1">
        <v>4</v>
      </c>
      <c r="H9380" s="1">
        <v>0</v>
      </c>
      <c r="I9380" s="1" t="s">
        <v>19281</v>
      </c>
      <c r="K9380" s="1" t="str">
        <f t="shared" si="585"/>
        <v>ㄓ</v>
      </c>
      <c r="L9380" s="1" t="str">
        <f t="shared" si="588"/>
        <v>ㄨ</v>
      </c>
      <c r="M9380" s="1" t="str">
        <f t="shared" si="587"/>
        <v>ㄥ</v>
      </c>
      <c r="P9380" s="1" t="s">
        <v>20</v>
      </c>
      <c r="R9380" s="1" t="s">
        <v>19282</v>
      </c>
      <c r="V9380" s="1" t="s">
        <v>19286</v>
      </c>
      <c r="AR9380" s="1" t="str">
        <f t="shared" si="586"/>
        <v>| [ㄓㄨㄥˋ](ㄓㄨㄥˋ.md) | [仲](仲.md) |  | zhòng | [形]
1.位置居中的。如：「仲秋」、「仲夏」。《書經．堯典》：「日中星鳥，以殷仲春。」
2.兄弟排行，常用伯、仲、叔、季為序，仲是排行第二的。《儀禮．士冠禮》：「伯某甫，仲叔季，唯其所當。」漢．鄭玄．注：「伯仲叔季，長幼之稱。」
3.姓。如唐代有仲子陵。 |</v>
      </c>
    </row>
    <row r="9381" spans="1:44" hidden="1">
      <c r="A9381" s="1" t="s">
        <v>19287</v>
      </c>
      <c r="C9381" s="1">
        <v>1</v>
      </c>
      <c r="D9381" s="1" t="str">
        <f>"08152"</f>
        <v>08152</v>
      </c>
      <c r="E9381" s="1" t="s">
        <v>8366</v>
      </c>
      <c r="F9381" s="1">
        <v>9</v>
      </c>
      <c r="G9381" s="1">
        <v>2</v>
      </c>
      <c r="H9381" s="1">
        <v>1</v>
      </c>
      <c r="I9381" s="1" t="s">
        <v>19281</v>
      </c>
      <c r="K9381" s="1" t="str">
        <f t="shared" si="585"/>
        <v>ㄓ</v>
      </c>
      <c r="L9381" s="1" t="str">
        <f t="shared" si="588"/>
        <v>ㄨ</v>
      </c>
      <c r="M9381" s="1" t="str">
        <f t="shared" si="587"/>
        <v>ㄥ</v>
      </c>
      <c r="P9381" s="1" t="s">
        <v>20</v>
      </c>
      <c r="R9381" s="1" t="s">
        <v>19282</v>
      </c>
      <c r="V9381" s="1" t="s">
        <v>19288</v>
      </c>
      <c r="W9381" s="1" t="s">
        <v>19289</v>
      </c>
      <c r="AR9381" s="1" t="str">
        <f t="shared" si="586"/>
        <v>| [ㄓㄨㄥˋ](ㄓㄨㄥˋ.md) | [重](重.md) |  | zhòng | [名]
物體或人體的分量。如：「物重」、「體重」。
[形]
1.物體的分量大。與「輕」相對。如：「這塊石頭比那塊木頭重。」
2.濃、厚。如：「口味重」、「顏色重」。《呂氏春秋．季春紀．盡數》：「凡食無彊厚味，無以烈味，重酒，是以謂之疾首。」
3.嚴峻的。如：「重刑」、「重罰」。
4.要緊的。如：「庫房重地」。
5.劇烈的。如：「重病」。
6.價值高的。如：「重酬」、「重器」。
[動]
1.比……為重。《文選．司馬遷．報任少卿書》：「人固有一死，或重於泰山，或輕於鴻毛。」
2.尊敬。如：「尊重」、「敬重」。
3.偏好。如：「重色輕友」。
4.增加。《呂氏春秋．季夏紀．制樂》：「今故興事動眾以增國城，是重吾罪也。」《漢書．卷四．文帝紀》：「今縱不能博求天下賢聖有德之人而嬗天下焉，而曰豫建太子，是重吾不德也。」
[副]
1.謹慎。如：「安土重遷」。《荀子．議兵》：「重用兵者強，輕用兵者弱。」《文選．司馬遷．報任少卿書》：「古人所以重施刑於大夫者，殆為此也。」
2.每每、屢次。《文選．司馬遷．報任少卿書》：「僕又佴之蠶室，重為天下觀笑。」唐．白居易〈渭村雨歸〉詩：「復茲夕陰起，野色重蕭條。」 |</v>
      </c>
    </row>
    <row r="9382" spans="1:44" hidden="1">
      <c r="A9382" s="1" t="s">
        <v>19276</v>
      </c>
      <c r="C9382" s="1">
        <v>1</v>
      </c>
      <c r="D9382" s="1" t="str">
        <f>"08153"</f>
        <v>08153</v>
      </c>
      <c r="E9382" s="1" t="s">
        <v>429</v>
      </c>
      <c r="F9382" s="1">
        <v>14</v>
      </c>
      <c r="G9382" s="1">
        <v>9</v>
      </c>
      <c r="H9382" s="1">
        <v>2</v>
      </c>
      <c r="I9382" s="1" t="s">
        <v>19281</v>
      </c>
      <c r="K9382" s="1" t="str">
        <f t="shared" si="585"/>
        <v>ㄓ</v>
      </c>
      <c r="L9382" s="1" t="str">
        <f t="shared" si="588"/>
        <v>ㄨ</v>
      </c>
      <c r="M9382" s="1" t="str">
        <f t="shared" si="587"/>
        <v>ㄥ</v>
      </c>
      <c r="P9382" s="1" t="s">
        <v>20</v>
      </c>
      <c r="R9382" s="1" t="s">
        <v>19282</v>
      </c>
      <c r="V9382" s="1" t="s">
        <v>19290</v>
      </c>
      <c r="W9382" s="1" t="s">
        <v>19291</v>
      </c>
      <c r="AR9382" s="1" t="str">
        <f t="shared" si="586"/>
        <v>| [ㄓㄨㄥˋ](ㄓㄨㄥˋ.md) | [種](種.md) |  | zhòng | [動]
1.把種子或秧苗的根埋在土裡，使其生長。如：「種樹」、「種花」、「種植」。
2.把疫苗注入人體內以預防疾病。如：「接種疫苗」、「種牛痘」。 |</v>
      </c>
    </row>
    <row r="9383" spans="1:44" hidden="1">
      <c r="A9383" s="1" t="s">
        <v>19292</v>
      </c>
      <c r="C9383" s="1">
        <v>1</v>
      </c>
      <c r="D9383" s="1" t="str">
        <f>"08154"</f>
        <v>08154</v>
      </c>
      <c r="E9383" s="1" t="s">
        <v>1015</v>
      </c>
      <c r="F9383" s="1">
        <v>11</v>
      </c>
      <c r="G9383" s="1">
        <v>6</v>
      </c>
      <c r="H9383" s="1">
        <v>0</v>
      </c>
      <c r="I9383" s="1" t="s">
        <v>19281</v>
      </c>
      <c r="K9383" s="1" t="str">
        <f t="shared" si="585"/>
        <v>ㄓ</v>
      </c>
      <c r="L9383" s="1" t="str">
        <f t="shared" si="588"/>
        <v>ㄨ</v>
      </c>
      <c r="M9383" s="1" t="str">
        <f t="shared" si="587"/>
        <v>ㄥ</v>
      </c>
      <c r="P9383" s="1" t="s">
        <v>20</v>
      </c>
      <c r="R9383" s="1" t="s">
        <v>19282</v>
      </c>
      <c r="V9383" s="1" t="s">
        <v>19293</v>
      </c>
      <c r="AR9383" s="1" t="str">
        <f t="shared" si="586"/>
        <v>| [ㄓㄨㄥˋ](ㄓㄨㄥˋ.md) | [眾](眾.md) |  | zhòng | [名]
許多的人。如：「群眾」、「觀眾」。《左傳．隱公四年》：「眾叛親離，難以濟矣。」
[形]
1.平凡的、普通的。如：「芸芸眾生」。《楚辭．屈原．漁父》：「眾人皆醉我獨醒。」
2.許多的。如：「眾多」。唐．杜甫〈望嶽〉詩：「會當凌絕頂，一覽眾山小。」 |</v>
      </c>
    </row>
    <row r="9384" spans="1:44" hidden="1">
      <c r="A9384" s="1" t="s">
        <v>19294</v>
      </c>
      <c r="C9384" s="1">
        <v>1</v>
      </c>
      <c r="D9384" s="1" t="str">
        <f>"08155"</f>
        <v>08155</v>
      </c>
      <c r="E9384" s="1" t="s">
        <v>46</v>
      </c>
      <c r="F9384" s="1">
        <v>14</v>
      </c>
      <c r="G9384" s="1">
        <v>8</v>
      </c>
      <c r="H9384" s="1">
        <v>2</v>
      </c>
      <c r="I9384" s="1" t="s">
        <v>19281</v>
      </c>
      <c r="K9384" s="1" t="str">
        <f t="shared" si="585"/>
        <v>ㄓ</v>
      </c>
      <c r="L9384" s="1" t="str">
        <f t="shared" si="588"/>
        <v>ㄨ</v>
      </c>
      <c r="M9384" s="1" t="str">
        <f t="shared" si="587"/>
        <v>ㄥ</v>
      </c>
      <c r="P9384" s="1" t="s">
        <v>110</v>
      </c>
      <c r="R9384" s="1" t="s">
        <v>19282</v>
      </c>
      <c r="V9384" s="1" t="s">
        <v>111</v>
      </c>
      <c r="W9384" s="1" t="s">
        <v>19295</v>
      </c>
      <c r="AR9384" s="1" t="str">
        <f t="shared" si="586"/>
        <v>| [ㄓㄨㄥˋ](ㄓㄨㄥˋ.md) | [粽](粽.md) |  | zhòng | (一)之又音。 |</v>
      </c>
    </row>
    <row r="9385" spans="1:44" hidden="1">
      <c r="A9385" s="1" t="s">
        <v>18072</v>
      </c>
      <c r="C9385" s="1">
        <v>1</v>
      </c>
      <c r="D9385" s="1" t="str">
        <f>"07635"</f>
        <v>07635</v>
      </c>
      <c r="E9385" s="1" t="s">
        <v>1663</v>
      </c>
      <c r="F9385" s="1">
        <v>5</v>
      </c>
      <c r="G9385" s="1">
        <v>4</v>
      </c>
      <c r="H9385" s="1">
        <v>0</v>
      </c>
      <c r="I9385" s="1" t="s">
        <v>18073</v>
      </c>
      <c r="K9385" s="1" t="str">
        <f t="shared" si="585"/>
        <v>ㄓ</v>
      </c>
      <c r="L9385" s="1" t="str">
        <f t="shared" si="588"/>
        <v>ㄚ</v>
      </c>
      <c r="N9385" s="3" t="s">
        <v>30574</v>
      </c>
      <c r="O9385" s="3"/>
      <c r="P9385" s="1" t="s">
        <v>20</v>
      </c>
      <c r="R9385" s="1" t="s">
        <v>18074</v>
      </c>
      <c r="V9385" s="1" t="s">
        <v>18075</v>
      </c>
      <c r="AR9385" s="1" t="str">
        <f t="shared" si="586"/>
        <v>| [ㄓㄚˋ](ㄓㄚˋ.md) | [乍](乍.md) |  | zhà | [副]
1.突然。《孟子．公孫丑上》：「今人乍見孺子將入於井，皆有怵惕惻隱之心。」唐．白居易〈琵琶行〉：「銀瓶乍破水漿迸，鐵騎突出刀槍鳴。」
2.初、剛剛。如：「乍暖還寒」、「新來乍到」、「霪雨乍晴」。
3.暫時。《文選．孔稚珪．北山移文》：「乍迴跡以心染，或先貞而後黷。」
4.怎、哪。《西遊記》第三三回：「乍想到了此處，遭逢魔障，又被他遣山壓了。」
[動]
1.因害怕而顫抖。元．無名氏《鴛鴦被》第二折：「不由我意張狂，心驚乍。」
2.壯著、放大。《紅樓夢》第六七回：「那興兒聽見這個聲音兒，早已沒了主意了，只得乍著膽子進來。」 |</v>
      </c>
    </row>
    <row r="9386" spans="1:44" hidden="1">
      <c r="A9386" s="1" t="s">
        <v>18076</v>
      </c>
      <c r="C9386" s="1">
        <v>1</v>
      </c>
      <c r="D9386" s="1" t="str">
        <f>"07636"</f>
        <v>07636</v>
      </c>
      <c r="E9386" s="1" t="s">
        <v>28</v>
      </c>
      <c r="F9386" s="1">
        <v>8</v>
      </c>
      <c r="G9386" s="1">
        <v>5</v>
      </c>
      <c r="H9386" s="1">
        <v>1</v>
      </c>
      <c r="I9386" s="1" t="s">
        <v>18073</v>
      </c>
      <c r="K9386" s="1" t="str">
        <f t="shared" si="585"/>
        <v>ㄓ</v>
      </c>
      <c r="L9386" s="1" t="str">
        <f t="shared" si="588"/>
        <v>ㄚ</v>
      </c>
      <c r="N9386" s="3" t="s">
        <v>30574</v>
      </c>
      <c r="O9386" s="3"/>
      <c r="P9386" s="1" t="s">
        <v>20</v>
      </c>
      <c r="R9386" s="1" t="s">
        <v>18074</v>
      </c>
      <c r="V9386" s="1" t="s">
        <v>18077</v>
      </c>
      <c r="W9386" s="1" t="s">
        <v>18078</v>
      </c>
      <c r="AR9386" s="1" t="str">
        <f t="shared" si="586"/>
        <v>| [ㄓㄚˋ](ㄓㄚˋ.md) | [咋](咋.md) |  | zhà | [副]
突然、忽然。《左傳．定公八年》：「桓子咋謂林楚曰：『而先皆季氏之良也，爾以是繼之。』」
[動]
爆發、激怒。《西遊記》第一五回：「急得他三尸神咋，七竅煙生。」 |</v>
      </c>
    </row>
    <row r="9387" spans="1:44" hidden="1">
      <c r="A9387" s="1" t="s">
        <v>18031</v>
      </c>
      <c r="C9387" s="1">
        <v>1</v>
      </c>
      <c r="D9387" s="1" t="str">
        <f>"07637"</f>
        <v>07637</v>
      </c>
      <c r="E9387" s="1" t="s">
        <v>336</v>
      </c>
      <c r="F9387" s="1">
        <v>9</v>
      </c>
      <c r="G9387" s="1">
        <v>5</v>
      </c>
      <c r="H9387" s="1">
        <v>1</v>
      </c>
      <c r="I9387" s="1" t="s">
        <v>18073</v>
      </c>
      <c r="K9387" s="1" t="str">
        <f t="shared" si="585"/>
        <v>ㄓ</v>
      </c>
      <c r="L9387" s="1" t="str">
        <f t="shared" si="588"/>
        <v>ㄚ</v>
      </c>
      <c r="N9387" s="3" t="s">
        <v>30574</v>
      </c>
      <c r="O9387" s="3"/>
      <c r="P9387" s="1" t="s">
        <v>20</v>
      </c>
      <c r="R9387" s="1" t="s">
        <v>18074</v>
      </c>
      <c r="V9387" s="1" t="s">
        <v>18079</v>
      </c>
      <c r="W9387" s="1" t="s">
        <v>18080</v>
      </c>
      <c r="AR9387" s="1" t="str">
        <f t="shared" si="586"/>
        <v>| [ㄓㄚˋ](ㄓㄚˋ.md) | [炸](炸.md) |  | zhà | [動]
1.用火藥、炸彈等進行爆破。如：「炸山」。
2.東西爆裂。如：「爆炸」、「熱水瓶突然炸了！」
3.突然發怒、生氣。如：「他聽見這話，登時炸了。」 |</v>
      </c>
    </row>
    <row r="9388" spans="1:44" hidden="1">
      <c r="A9388" s="1" t="s">
        <v>18081</v>
      </c>
      <c r="C9388" s="1">
        <v>1</v>
      </c>
      <c r="D9388" s="1" t="str">
        <f>"07638"</f>
        <v>07638</v>
      </c>
      <c r="E9388" s="1" t="s">
        <v>40</v>
      </c>
      <c r="F9388" s="1">
        <v>10</v>
      </c>
      <c r="G9388" s="1">
        <v>5</v>
      </c>
      <c r="H9388" s="1">
        <v>0</v>
      </c>
      <c r="I9388" s="1" t="s">
        <v>18073</v>
      </c>
      <c r="K9388" s="1" t="str">
        <f t="shared" si="585"/>
        <v>ㄓ</v>
      </c>
      <c r="L9388" s="1" t="str">
        <f t="shared" si="588"/>
        <v>ㄚ</v>
      </c>
      <c r="N9388" s="3" t="s">
        <v>30574</v>
      </c>
      <c r="O9388" s="3"/>
      <c r="P9388" s="1" t="s">
        <v>20</v>
      </c>
      <c r="R9388" s="1" t="s">
        <v>18074</v>
      </c>
      <c r="V9388" s="1" t="s">
        <v>18082</v>
      </c>
      <c r="AR9388" s="1" t="str">
        <f t="shared" si="586"/>
        <v>| [ㄓㄚˋ](ㄓㄚˋ.md) | [痄](痄.md) |  | zhà | 參見「痄腮」條。 |</v>
      </c>
    </row>
    <row r="9389" spans="1:44" hidden="1">
      <c r="A9389" s="1" t="s">
        <v>18060</v>
      </c>
      <c r="C9389" s="1">
        <v>1</v>
      </c>
      <c r="D9389" s="1" t="str">
        <f>"07639"</f>
        <v>07639</v>
      </c>
      <c r="E9389" s="1" t="s">
        <v>169</v>
      </c>
      <c r="F9389" s="1">
        <v>10</v>
      </c>
      <c r="G9389" s="1">
        <v>5</v>
      </c>
      <c r="H9389" s="1">
        <v>1</v>
      </c>
      <c r="I9389" s="1" t="s">
        <v>18073</v>
      </c>
      <c r="K9389" s="1" t="str">
        <f t="shared" si="585"/>
        <v>ㄓ</v>
      </c>
      <c r="L9389" s="1" t="str">
        <f t="shared" si="588"/>
        <v>ㄚ</v>
      </c>
      <c r="N9389" s="3" t="s">
        <v>30574</v>
      </c>
      <c r="O9389" s="3"/>
      <c r="P9389" s="1" t="s">
        <v>20</v>
      </c>
      <c r="R9389" s="1" t="s">
        <v>18074</v>
      </c>
      <c r="V9389" s="1" t="s">
        <v>18083</v>
      </c>
      <c r="W9389" s="1" t="s">
        <v>18084</v>
      </c>
      <c r="AR9389" s="1" t="str">
        <f t="shared" si="586"/>
        <v>| [ㄓㄚˋ](ㄓㄚˋ.md) | [砟](砟.md) |  | zhà | [名]
碑石。《玉篇．石部》：「砟，碑石也。」 |</v>
      </c>
    </row>
    <row r="9390" spans="1:44" hidden="1">
      <c r="A9390" s="1" t="s">
        <v>18085</v>
      </c>
      <c r="C9390" s="1">
        <v>1</v>
      </c>
      <c r="D9390" s="1" t="str">
        <f>"07640"</f>
        <v>07640</v>
      </c>
      <c r="E9390" s="1" t="s">
        <v>679</v>
      </c>
      <c r="F9390" s="1">
        <v>11</v>
      </c>
      <c r="G9390" s="1">
        <v>5</v>
      </c>
      <c r="H9390" s="1">
        <v>0</v>
      </c>
      <c r="I9390" s="1" t="s">
        <v>18073</v>
      </c>
      <c r="K9390" s="1" t="str">
        <f t="shared" si="585"/>
        <v>ㄓ</v>
      </c>
      <c r="L9390" s="1" t="str">
        <f t="shared" si="588"/>
        <v>ㄚ</v>
      </c>
      <c r="N9390" s="3" t="s">
        <v>30574</v>
      </c>
      <c r="O9390" s="3"/>
      <c r="P9390" s="1" t="s">
        <v>20</v>
      </c>
      <c r="R9390" s="1" t="s">
        <v>18074</v>
      </c>
      <c r="V9390" s="1" t="s">
        <v>18086</v>
      </c>
      <c r="AR9390" s="1" t="str">
        <f t="shared" si="586"/>
        <v>| [ㄓㄚˋ](ㄓㄚˋ.md) | [蚱](蚱.md) |  | zhà | 參見「蚱蜢」、「蚱蟬」等條。 |</v>
      </c>
    </row>
    <row r="9391" spans="1:44" hidden="1">
      <c r="A9391" s="1" t="s">
        <v>18087</v>
      </c>
      <c r="C9391" s="1">
        <v>1</v>
      </c>
      <c r="D9391" s="1" t="str">
        <f>"07641"</f>
        <v>07641</v>
      </c>
      <c r="E9391" s="1" t="s">
        <v>49</v>
      </c>
      <c r="F9391" s="1">
        <v>11</v>
      </c>
      <c r="G9391" s="1">
        <v>5</v>
      </c>
      <c r="H9391" s="1">
        <v>2</v>
      </c>
      <c r="I9391" s="1" t="s">
        <v>18073</v>
      </c>
      <c r="K9391" s="1" t="str">
        <f t="shared" si="585"/>
        <v>ㄓ</v>
      </c>
      <c r="L9391" s="1" t="str">
        <f t="shared" si="588"/>
        <v>ㄚ</v>
      </c>
      <c r="N9391" s="3" t="s">
        <v>30574</v>
      </c>
      <c r="O9391" s="3"/>
      <c r="P9391" s="1" t="s">
        <v>20</v>
      </c>
      <c r="R9391" s="1" t="s">
        <v>18074</v>
      </c>
      <c r="V9391" s="1" t="s">
        <v>18088</v>
      </c>
      <c r="W9391" s="1" t="s">
        <v>18089</v>
      </c>
      <c r="AR9391" s="1" t="str">
        <f t="shared" si="586"/>
        <v>| [ㄓㄚˋ](ㄓㄚˋ.md) | [笮](笮.md) |  | zhà | [名]
壓酒的器具。同「醡」。《廣韻．去聲．禡韻》：「笮，笮酒器也。」
[動]
壓、榨。《後漢書．卷一九．耿恭傳》：「吏士渴乏，笮馬糞汁而飲之。」 |</v>
      </c>
    </row>
    <row r="9392" spans="1:44" hidden="1">
      <c r="A9392" s="1" t="s">
        <v>18063</v>
      </c>
      <c r="C9392" s="1">
        <v>1</v>
      </c>
      <c r="D9392" s="1" t="str">
        <f>"07642"</f>
        <v>07642</v>
      </c>
      <c r="E9392" s="1" t="s">
        <v>331</v>
      </c>
      <c r="F9392" s="1">
        <v>12</v>
      </c>
      <c r="G9392" s="1">
        <v>5</v>
      </c>
      <c r="H9392" s="1">
        <v>1</v>
      </c>
      <c r="I9392" s="1" t="s">
        <v>18073</v>
      </c>
      <c r="K9392" s="1" t="str">
        <f t="shared" ref="K9392:K9454" si="589">LEFT(I9392, 1)</f>
        <v>ㄓ</v>
      </c>
      <c r="L9392" s="1" t="str">
        <f t="shared" si="588"/>
        <v>ㄚ</v>
      </c>
      <c r="N9392" s="3" t="s">
        <v>30574</v>
      </c>
      <c r="O9392" s="3"/>
      <c r="P9392" s="1" t="s">
        <v>20</v>
      </c>
      <c r="R9392" s="1" t="s">
        <v>18074</v>
      </c>
      <c r="V9392" s="1" t="s">
        <v>18090</v>
      </c>
      <c r="W9392" s="1" t="s">
        <v>18091</v>
      </c>
      <c r="AR9392" s="1" t="str">
        <f t="shared" si="586"/>
        <v>| [ㄓㄚˋ](ㄓㄚˋ.md) | [詐](詐.md) |  | zhà | [動]_x000D_
1.欺騙、騙取。如：「詐騙」、「敲詐」。《荀子．王霸》：「上詐其下，下詐其上。」_x000D_
2.作假、偽裝。如：「詐降」。《史記．卷八．高祖本紀》：「將軍紀信乃乘王駕，詐為漢王，誑楚。」《遼史．卷一一二．逆臣列傳上．耶律重元》：「說其父重元詐病，俟車駕臨問，因行弒逆。」_x000D_
[形]_x000D_
狡猾、虛偽。如：「奸詐」、「狡詐」、「詭詐」。_x000D_
[副]_x000D_
忽然。通「乍」。《公羊傳．僖公三十三年》：「詐戰不日，此何以日。」漢．何休．解詁：「詐，卒也。」 |</v>
      </c>
    </row>
    <row r="9393" spans="1:44" hidden="1">
      <c r="A9393" s="1" t="s">
        <v>18092</v>
      </c>
      <c r="C9393" s="1">
        <v>1</v>
      </c>
      <c r="D9393" s="1" t="str">
        <f>"07643"</f>
        <v>07643</v>
      </c>
      <c r="E9393" s="1" t="s">
        <v>24</v>
      </c>
      <c r="F9393" s="1">
        <v>13</v>
      </c>
      <c r="G9393" s="1">
        <v>10</v>
      </c>
      <c r="H9393" s="1">
        <v>0</v>
      </c>
      <c r="I9393" s="1" t="s">
        <v>18073</v>
      </c>
      <c r="K9393" s="1" t="str">
        <f t="shared" si="589"/>
        <v>ㄓ</v>
      </c>
      <c r="L9393" s="1" t="str">
        <f t="shared" si="588"/>
        <v>ㄚ</v>
      </c>
      <c r="N9393" s="3" t="s">
        <v>30574</v>
      </c>
      <c r="O9393" s="3"/>
      <c r="P9393" s="1" t="s">
        <v>20</v>
      </c>
      <c r="R9393" s="1" t="s">
        <v>18074</v>
      </c>
      <c r="V9393" s="1" t="s">
        <v>18093</v>
      </c>
      <c r="AR9393" s="1" t="str">
        <f t="shared" si="586"/>
        <v>| [ㄓㄚˋ](ㄓㄚˋ.md) | [搾](搾.md) |  | zhà | [動]
擠壓、壓迫、逼迫。同「榨」。如：「搾汁」、「壓搾」。 |</v>
      </c>
    </row>
    <row r="9394" spans="1:44" hidden="1">
      <c r="A9394" s="1" t="s">
        <v>18094</v>
      </c>
      <c r="C9394" s="1">
        <v>1</v>
      </c>
      <c r="D9394" s="1" t="str">
        <f>"07644"</f>
        <v>07644</v>
      </c>
      <c r="E9394" s="1" t="s">
        <v>139</v>
      </c>
      <c r="F9394" s="1">
        <v>14</v>
      </c>
      <c r="G9394" s="1">
        <v>10</v>
      </c>
      <c r="H9394" s="1">
        <v>0</v>
      </c>
      <c r="I9394" s="1" t="s">
        <v>18073</v>
      </c>
      <c r="K9394" s="1" t="str">
        <f t="shared" si="589"/>
        <v>ㄓ</v>
      </c>
      <c r="L9394" s="1" t="str">
        <f t="shared" si="588"/>
        <v>ㄚ</v>
      </c>
      <c r="N9394" s="3" t="s">
        <v>30574</v>
      </c>
      <c r="O9394" s="3"/>
      <c r="P9394" s="1" t="s">
        <v>20</v>
      </c>
      <c r="R9394" s="1" t="s">
        <v>18074</v>
      </c>
      <c r="V9394" s="1" t="s">
        <v>18095</v>
      </c>
      <c r="AR9394" s="1" t="str">
        <f t="shared" si="586"/>
        <v>| [ㄓㄚˋ](ㄓㄚˋ.md) | [榨](榨.md) |  | zhà | [動]
1.擠壓出汁液。如：「榨油」、「榨橘子汁」。
2.壓迫、逼迫。如：「壓榨」。
[名]
擠壓物體汁液的器具。宋．穆脩〈和秀才江墅幽居好〉詩一〇首之五：「酒醲新出榨，魚活旋離鉤。」 |</v>
      </c>
    </row>
    <row r="9395" spans="1:44" hidden="1">
      <c r="A9395" s="1" t="s">
        <v>18096</v>
      </c>
      <c r="C9395" s="1">
        <v>1</v>
      </c>
      <c r="D9395" s="1" t="str">
        <f>"07645"</f>
        <v>07645</v>
      </c>
      <c r="E9395" s="1" t="s">
        <v>1462</v>
      </c>
      <c r="F9395" s="1">
        <v>17</v>
      </c>
      <c r="G9395" s="1">
        <v>10</v>
      </c>
      <c r="H9395" s="1">
        <v>0</v>
      </c>
      <c r="I9395" s="1" t="s">
        <v>18073</v>
      </c>
      <c r="K9395" s="1" t="str">
        <f t="shared" si="589"/>
        <v>ㄓ</v>
      </c>
      <c r="L9395" s="1" t="str">
        <f t="shared" si="588"/>
        <v>ㄚ</v>
      </c>
      <c r="N9395" s="3" t="s">
        <v>30574</v>
      </c>
      <c r="O9395" s="3"/>
      <c r="P9395" s="1" t="s">
        <v>20</v>
      </c>
      <c r="R9395" s="1" t="s">
        <v>18074</v>
      </c>
      <c r="V9395" s="1" t="s">
        <v>18097</v>
      </c>
      <c r="AR9395" s="1" t="str">
        <f t="shared" si="586"/>
        <v>| [ㄓㄚˋ](ㄓㄚˋ.md) | [醡](醡.md) |  | zhà | [名]
壓酒的器具。宋．楊萬里〈新酒歌〉：「松槽葛囊纔上醡，老夫脫帽先嘗新。」
[動]
壓酒、製酒。宋．楊萬里〈夜飲〉詩：「酒新今晚醡，燭短昨宵餘。」《水滸傳》第六五回：「卻是一個村酒店，半夜裡起來醡酒。」 |</v>
      </c>
    </row>
    <row r="9396" spans="1:44" hidden="1">
      <c r="A9396" s="1" t="s">
        <v>18098</v>
      </c>
      <c r="C9396" s="1">
        <v>1</v>
      </c>
      <c r="D9396" s="1" t="str">
        <f>"07646"</f>
        <v>07646</v>
      </c>
      <c r="E9396" s="1" t="s">
        <v>28</v>
      </c>
      <c r="F9396" s="1">
        <v>6</v>
      </c>
      <c r="G9396" s="1">
        <v>3</v>
      </c>
      <c r="H9396" s="1">
        <v>0</v>
      </c>
      <c r="I9396" s="1" t="s">
        <v>18073</v>
      </c>
      <c r="K9396" s="1" t="str">
        <f t="shared" si="589"/>
        <v>ㄓ</v>
      </c>
      <c r="L9396" s="1" t="str">
        <f t="shared" si="588"/>
        <v>ㄚ</v>
      </c>
      <c r="N9396" s="3" t="s">
        <v>30574</v>
      </c>
      <c r="O9396" s="3"/>
      <c r="P9396" s="1" t="s">
        <v>20</v>
      </c>
      <c r="R9396" s="1" t="s">
        <v>18074</v>
      </c>
      <c r="V9396" s="1" t="s">
        <v>18099</v>
      </c>
      <c r="AR9396" s="1" t="str">
        <f t="shared" si="586"/>
        <v>| [ㄓㄚˋ](ㄓㄚˋ.md) | [吒](吒.md) |  | zhà | [動]
1.怒吼。如：「叱吒」。《山海經．北山經》：「有獸焉，其狀如豹而長尾，人首而牛耳，一目，名曰諸犍，善吒。」
2.痛惜。《文選．郭璞．遊仙詩七首之四》：「臨川哀年邁，撫心獨悲吒。」
3.誇大、欺誑。《後漢書．卷四九．王符傳》：「石山隱飾，金銀錯鏤，窮極麗靡，轉相誇吒。」
[副]
吃東西時口舌作聲。《禮記．曲禮上》：「毋吒食，毋齧骨。」
[名]
參見「哪吒」條。 |</v>
      </c>
    </row>
    <row r="9397" spans="1:44" hidden="1">
      <c r="A9397" s="1" t="s">
        <v>18100</v>
      </c>
      <c r="C9397" s="1">
        <v>1</v>
      </c>
      <c r="D9397" s="1" t="str">
        <f>"07647"</f>
        <v>07647</v>
      </c>
      <c r="E9397" s="1" t="s">
        <v>679</v>
      </c>
      <c r="F9397" s="1">
        <v>12</v>
      </c>
      <c r="G9397" s="1">
        <v>6</v>
      </c>
      <c r="H9397" s="1">
        <v>0</v>
      </c>
      <c r="I9397" s="1" t="s">
        <v>18073</v>
      </c>
      <c r="K9397" s="1" t="str">
        <f t="shared" si="589"/>
        <v>ㄓ</v>
      </c>
      <c r="L9397" s="1" t="str">
        <f t="shared" si="588"/>
        <v>ㄚ</v>
      </c>
      <c r="N9397" s="3" t="s">
        <v>30574</v>
      </c>
      <c r="O9397" s="3"/>
      <c r="P9397" s="1" t="s">
        <v>20</v>
      </c>
      <c r="R9397" s="1" t="s">
        <v>18074</v>
      </c>
      <c r="V9397" s="1" t="s">
        <v>18101</v>
      </c>
      <c r="AR9397" s="1" t="str">
        <f t="shared" si="586"/>
        <v>| [ㄓㄚˋ](ㄓㄚˋ.md) | [䖳](䖳.md) |  | zhà | [名]
動物名。腔腸動物。體形呈傘狀，口懸於腹面正中。體膠質透明，可供食用。也稱為「海蜇」、「水母」。 |</v>
      </c>
    </row>
    <row r="9398" spans="1:44" hidden="1">
      <c r="A9398" s="1" t="s">
        <v>18102</v>
      </c>
      <c r="C9398" s="1">
        <v>1</v>
      </c>
      <c r="D9398" s="1" t="str">
        <f>"07648"</f>
        <v>07648</v>
      </c>
      <c r="E9398" s="1" t="s">
        <v>139</v>
      </c>
      <c r="F9398" s="1">
        <v>9</v>
      </c>
      <c r="G9398" s="1">
        <v>5</v>
      </c>
      <c r="H9398" s="1">
        <v>1</v>
      </c>
      <c r="I9398" s="1" t="s">
        <v>18073</v>
      </c>
      <c r="K9398" s="1" t="str">
        <f t="shared" si="589"/>
        <v>ㄓ</v>
      </c>
      <c r="L9398" s="1" t="str">
        <f t="shared" si="588"/>
        <v>ㄚ</v>
      </c>
      <c r="N9398" s="3" t="s">
        <v>30574</v>
      </c>
      <c r="O9398" s="3"/>
      <c r="P9398" s="1" t="s">
        <v>20</v>
      </c>
      <c r="R9398" s="1" t="s">
        <v>18074</v>
      </c>
      <c r="V9398" s="1" t="s">
        <v>18103</v>
      </c>
      <c r="W9398" s="1" t="s">
        <v>18104</v>
      </c>
      <c r="AR9398" s="1" t="str">
        <f t="shared" si="586"/>
        <v>| [ㄓㄚˋ](ㄓㄚˋ.md) | [柵](柵.md) |  | zhà | [名]
圍欄。如：「木柵」、「籬柵」。《後漢書．卷六五．段熲傳》：「乃遣千人於西縣結木為柵，廣二十步，長四十里，遮之。」 |</v>
      </c>
    </row>
    <row r="9399" spans="1:44" hidden="1">
      <c r="A9399" s="1" t="s">
        <v>18105</v>
      </c>
      <c r="C9399" s="1">
        <v>1</v>
      </c>
      <c r="D9399" s="1" t="str">
        <f>"07649"</f>
        <v>07649</v>
      </c>
      <c r="E9399" s="1" t="s">
        <v>129</v>
      </c>
      <c r="F9399" s="1">
        <v>13</v>
      </c>
      <c r="G9399" s="1">
        <v>10</v>
      </c>
      <c r="H9399" s="1">
        <v>0</v>
      </c>
      <c r="I9399" s="1" t="s">
        <v>18073</v>
      </c>
      <c r="K9399" s="1" t="str">
        <f t="shared" si="589"/>
        <v>ㄓ</v>
      </c>
      <c r="L9399" s="1" t="str">
        <f t="shared" si="588"/>
        <v>ㄚ</v>
      </c>
      <c r="N9399" s="3" t="s">
        <v>30574</v>
      </c>
      <c r="O9399" s="3"/>
      <c r="P9399" s="1" t="s">
        <v>20</v>
      </c>
      <c r="R9399" s="1" t="s">
        <v>18074</v>
      </c>
      <c r="V9399" s="1" t="s">
        <v>18106</v>
      </c>
      <c r="AR9399" s="1" t="str">
        <f t="shared" si="586"/>
        <v>| [ㄓㄚˋ](ㄓㄚˋ.md) | [溠](溠.md) |  | zhà | [名]
河川名。源出湖北省隨州市隨縣西北，向東南流入溳水。北魏．酈道元《水經注．溳水注》：「有溠水出縣西北黃山南，……溠水又南流，注于溳。」 |</v>
      </c>
    </row>
    <row r="9400" spans="1:44" hidden="1">
      <c r="A9400" s="1" t="s">
        <v>18107</v>
      </c>
      <c r="C9400" s="1">
        <v>1</v>
      </c>
      <c r="D9400" s="1" t="str">
        <f>"07650"</f>
        <v>07650</v>
      </c>
      <c r="E9400" s="1" t="s">
        <v>679</v>
      </c>
      <c r="F9400" s="1">
        <v>14</v>
      </c>
      <c r="G9400" s="1">
        <v>8</v>
      </c>
      <c r="H9400" s="1">
        <v>1</v>
      </c>
      <c r="I9400" s="1" t="s">
        <v>18073</v>
      </c>
      <c r="K9400" s="1" t="str">
        <f t="shared" si="589"/>
        <v>ㄓ</v>
      </c>
      <c r="L9400" s="1" t="str">
        <f t="shared" si="588"/>
        <v>ㄚ</v>
      </c>
      <c r="N9400" s="3" t="s">
        <v>30574</v>
      </c>
      <c r="O9400" s="3"/>
      <c r="P9400" s="1" t="s">
        <v>20</v>
      </c>
      <c r="R9400" s="1" t="s">
        <v>18074</v>
      </c>
      <c r="V9400" s="1" t="s">
        <v>18108</v>
      </c>
      <c r="W9400" s="1" t="s">
        <v>18109</v>
      </c>
      <c r="AR9400" s="1" t="str">
        <f t="shared" si="586"/>
        <v>| [ㄓㄚˋ](ㄓㄚˋ.md) | [蜡](蜡.md) |  | zhà | [名]
一種祭禮。在周朝稱為「蜡」，於歲末大祭萬物。《禮記．郊特牲》：「天子大蜡八，伊耆氏始為蜡。」唐．陸德明《經典釋文．卷一二．禮記音義之二》：「蜡，祭名，夏曰清祀，殷曰嘉平，周曰蜡，秦曰臘。」 |</v>
      </c>
    </row>
    <row r="9401" spans="1:44" hidden="1">
      <c r="A9401" s="1" t="s">
        <v>17986</v>
      </c>
      <c r="C9401" s="1">
        <v>1</v>
      </c>
      <c r="D9401" s="1" t="str">
        <f>"07614"</f>
        <v>07614</v>
      </c>
      <c r="E9401" s="1" t="s">
        <v>24</v>
      </c>
      <c r="F9401" s="1">
        <v>4</v>
      </c>
      <c r="G9401" s="1">
        <v>1</v>
      </c>
      <c r="H9401" s="1">
        <v>2</v>
      </c>
      <c r="I9401" s="1" t="s">
        <v>18020</v>
      </c>
      <c r="K9401" s="1" t="str">
        <f t="shared" si="589"/>
        <v>ㄓ</v>
      </c>
      <c r="L9401" s="1" t="str">
        <f t="shared" si="588"/>
        <v>ㄚ</v>
      </c>
      <c r="N9401" s="3" t="s">
        <v>30575</v>
      </c>
      <c r="O9401" s="3"/>
      <c r="P9401" s="1" t="s">
        <v>20</v>
      </c>
      <c r="R9401" s="1" t="s">
        <v>18021</v>
      </c>
      <c r="V9401" s="1" t="s">
        <v>18022</v>
      </c>
      <c r="W9401" s="1" t="s">
        <v>18023</v>
      </c>
      <c r="AR9401" s="1" t="str">
        <f t="shared" si="586"/>
        <v>| [ㄓㄚˊ](ㄓㄚˊ.md) | [扎](扎.md) |  | zhá | [動]
1.參見「扎掙」、「掙扎」等條。
2.寒氣刺骨。如：「這冰塊冷得扎手。」
3.纏束、綑綁。同「紮」。《水滸傳》第五回：「拽扎起下面衣服，跨了戒刀，大踏步提了禪杖，出到打麥場上。」
[名]
書信、函件。同「札」。如：「信扎」、「函扎」。 |</v>
      </c>
    </row>
    <row r="9402" spans="1:44" hidden="1">
      <c r="A9402" s="1" t="s">
        <v>18024</v>
      </c>
      <c r="C9402" s="1">
        <v>1</v>
      </c>
      <c r="D9402" s="1" t="str">
        <f>"07615"</f>
        <v>07615</v>
      </c>
      <c r="E9402" s="1" t="s">
        <v>139</v>
      </c>
      <c r="F9402" s="1">
        <v>5</v>
      </c>
      <c r="G9402" s="1">
        <v>1</v>
      </c>
      <c r="H9402" s="1">
        <v>0</v>
      </c>
      <c r="I9402" s="1" t="s">
        <v>18020</v>
      </c>
      <c r="K9402" s="1" t="str">
        <f t="shared" si="589"/>
        <v>ㄓ</v>
      </c>
      <c r="L9402" s="1" t="str">
        <f t="shared" si="588"/>
        <v>ㄚ</v>
      </c>
      <c r="N9402" s="3" t="s">
        <v>30575</v>
      </c>
      <c r="O9402" s="3"/>
      <c r="P9402" s="1" t="s">
        <v>20</v>
      </c>
      <c r="R9402" s="1" t="s">
        <v>18021</v>
      </c>
      <c r="V9402" s="1" t="s">
        <v>18025</v>
      </c>
      <c r="AR9402" s="1" t="str">
        <f t="shared" si="586"/>
        <v>| [ㄓㄚˊ](ㄓㄚˊ.md) | [札](札.md) |  | zhá | [名]
1.古時用以寫字的小木片。如：「筆札」、「簡札」。《史記．卷一一七．司馬相如傳》：「上許，令尚書給筆札。」
2.書信或公文。如：「手札」、「信札」。《文選．古詩十九首．孟冬寒氣至》：「客從遠方來，遺我一書札。」
3.武士冑甲上由皮革或金屬製成的甲葉。《左傳．成公十六年》：「潘尪之黨與養由基蹲甲而射之，徹七札焉。」北齊．顏之推《顏氏家訓．勉學》：「射則不能穿札，筆則纔記姓名。」
[動]
因災禍而死。《左傳．昭公四年》：「癘疾不降，民不夭札。」 |</v>
      </c>
    </row>
    <row r="9403" spans="1:44" hidden="1">
      <c r="A9403" s="1" t="s">
        <v>18026</v>
      </c>
      <c r="C9403" s="1">
        <v>1</v>
      </c>
      <c r="D9403" s="1" t="str">
        <f>"07616"</f>
        <v>07616</v>
      </c>
      <c r="E9403" s="1" t="s">
        <v>725</v>
      </c>
      <c r="F9403" s="1">
        <v>11</v>
      </c>
      <c r="G9403" s="1">
        <v>5</v>
      </c>
      <c r="H9403" s="1">
        <v>1</v>
      </c>
      <c r="I9403" s="1" t="s">
        <v>18020</v>
      </c>
      <c r="K9403" s="1" t="str">
        <f t="shared" si="589"/>
        <v>ㄓ</v>
      </c>
      <c r="L9403" s="1" t="str">
        <f t="shared" si="588"/>
        <v>ㄚ</v>
      </c>
      <c r="N9403" s="3" t="s">
        <v>30575</v>
      </c>
      <c r="O9403" s="3"/>
      <c r="P9403" s="1" t="s">
        <v>20</v>
      </c>
      <c r="R9403" s="1" t="s">
        <v>18021</v>
      </c>
      <c r="V9403" s="1" t="s">
        <v>18027</v>
      </c>
      <c r="W9403" s="1" t="s">
        <v>18028</v>
      </c>
      <c r="AR9403" s="1" t="str">
        <f t="shared" si="586"/>
        <v>| [ㄓㄚˊ](ㄓㄚˊ.md) | [紮](紮.md) |  | zhá | [動]
軍隊屯駐。如：「駐紮」。《三國演義》第七二回：「操心怯，拔寨退三十里，就空闊處紮營。」
[名]
量詞。計算成束物品的單位。如：「一紮線香」、「兩紮鮮花」。 |</v>
      </c>
    </row>
    <row r="9404" spans="1:44" hidden="1">
      <c r="A9404" s="1" t="s">
        <v>9531</v>
      </c>
      <c r="C9404" s="1">
        <v>1</v>
      </c>
      <c r="D9404" s="1" t="str">
        <f>"07617"</f>
        <v>07617</v>
      </c>
      <c r="E9404" s="1" t="s">
        <v>71</v>
      </c>
      <c r="F9404" s="1">
        <v>8</v>
      </c>
      <c r="G9404" s="1">
        <v>1</v>
      </c>
      <c r="H9404" s="1">
        <v>3</v>
      </c>
      <c r="I9404" s="1" t="s">
        <v>18020</v>
      </c>
      <c r="K9404" s="1" t="str">
        <f t="shared" si="589"/>
        <v>ㄓ</v>
      </c>
      <c r="L9404" s="1" t="str">
        <f t="shared" si="588"/>
        <v>ㄚ</v>
      </c>
      <c r="N9404" s="3" t="s">
        <v>30575</v>
      </c>
      <c r="O9404" s="3"/>
      <c r="P9404" s="1" t="s">
        <v>20</v>
      </c>
      <c r="R9404" s="1" t="s">
        <v>18021</v>
      </c>
      <c r="V9404" s="1" t="s">
        <v>18029</v>
      </c>
      <c r="W9404" s="1" t="s">
        <v>18030</v>
      </c>
      <c r="AR9404" s="1" t="str">
        <f t="shared" si="586"/>
        <v>| [ㄓㄚˊ](ㄓㄚˊ.md) | [軋](軋.md) |  | zhá | [動]
壓。如：「軋鋼」。 |</v>
      </c>
    </row>
    <row r="9405" spans="1:44" hidden="1">
      <c r="A9405" s="1" t="s">
        <v>18031</v>
      </c>
      <c r="C9405" s="1">
        <v>1</v>
      </c>
      <c r="D9405" s="1" t="str">
        <f>"07618"</f>
        <v>07618</v>
      </c>
      <c r="E9405" s="1" t="s">
        <v>336</v>
      </c>
      <c r="F9405" s="1">
        <v>9</v>
      </c>
      <c r="G9405" s="1">
        <v>5</v>
      </c>
      <c r="H9405" s="1">
        <v>2</v>
      </c>
      <c r="I9405" s="1" t="s">
        <v>18020</v>
      </c>
      <c r="K9405" s="1" t="str">
        <f t="shared" si="589"/>
        <v>ㄓ</v>
      </c>
      <c r="L9405" s="1" t="str">
        <f t="shared" si="588"/>
        <v>ㄚ</v>
      </c>
      <c r="N9405" s="3" t="s">
        <v>30575</v>
      </c>
      <c r="O9405" s="3"/>
      <c r="P9405" s="1" t="s">
        <v>20</v>
      </c>
      <c r="R9405" s="1" t="s">
        <v>18021</v>
      </c>
      <c r="V9405" s="1" t="s">
        <v>18032</v>
      </c>
      <c r="W9405" s="1" t="s">
        <v>18033</v>
      </c>
      <c r="AR9405" s="1" t="str">
        <f t="shared" si="586"/>
        <v>| [ㄓㄚˊ](ㄓㄚˊ.md) | [炸](炸.md) |  | zhá | [動]
一種烹飪方法。把食物投入多量的沸油中，直至外皮成金黃色即可撈起。 |</v>
      </c>
    </row>
    <row r="9406" spans="1:44" hidden="1">
      <c r="A9406" s="1" t="s">
        <v>18034</v>
      </c>
      <c r="C9406" s="1">
        <v>1</v>
      </c>
      <c r="D9406" s="1" t="str">
        <f>"07619"</f>
        <v>07619</v>
      </c>
      <c r="E9406" s="1" t="s">
        <v>28</v>
      </c>
      <c r="F9406" s="1">
        <v>10</v>
      </c>
      <c r="G9406" s="1">
        <v>7</v>
      </c>
      <c r="H9406" s="1">
        <v>0</v>
      </c>
      <c r="I9406" s="1" t="s">
        <v>18020</v>
      </c>
      <c r="K9406" s="1" t="str">
        <f t="shared" si="589"/>
        <v>ㄓ</v>
      </c>
      <c r="L9406" s="1" t="str">
        <f t="shared" si="588"/>
        <v>ㄚ</v>
      </c>
      <c r="N9406" s="3" t="s">
        <v>30575</v>
      </c>
      <c r="O9406" s="3"/>
      <c r="P9406" s="1" t="s">
        <v>20</v>
      </c>
      <c r="R9406" s="1" t="s">
        <v>18021</v>
      </c>
      <c r="V9406" s="1" t="s">
        <v>18035</v>
      </c>
      <c r="AR9406" s="1" t="str">
        <f t="shared" si="586"/>
        <v>| [ㄓㄚˊ](ㄓㄚˊ.md) | [哳](哳.md) |  | zhá | 參見「啁哳」條。 |</v>
      </c>
    </row>
    <row r="9407" spans="1:44" hidden="1">
      <c r="A9407" s="1" t="s">
        <v>5333</v>
      </c>
      <c r="C9407" s="1">
        <v>1</v>
      </c>
      <c r="D9407" s="1" t="str">
        <f>"07620"</f>
        <v>07620</v>
      </c>
      <c r="E9407" s="1" t="s">
        <v>28</v>
      </c>
      <c r="F9407" s="1">
        <v>12</v>
      </c>
      <c r="G9407" s="1">
        <v>9</v>
      </c>
      <c r="H9407" s="1">
        <v>2</v>
      </c>
      <c r="I9407" s="1" t="s">
        <v>18020</v>
      </c>
      <c r="K9407" s="1" t="str">
        <f t="shared" si="589"/>
        <v>ㄓ</v>
      </c>
      <c r="L9407" s="1" t="str">
        <f t="shared" si="588"/>
        <v>ㄚ</v>
      </c>
      <c r="N9407" s="3" t="s">
        <v>30575</v>
      </c>
      <c r="O9407" s="3"/>
      <c r="P9407" s="1" t="s">
        <v>20</v>
      </c>
      <c r="R9407" s="1" t="s">
        <v>18021</v>
      </c>
      <c r="V9407" s="1" t="s">
        <v>18036</v>
      </c>
      <c r="W9407" s="1" t="s">
        <v>18037</v>
      </c>
      <c r="AR9407" s="1" t="str">
        <f t="shared" si="586"/>
        <v>| [ㄓㄚˊ](ㄓㄚˊ.md) | [喋](喋.md) |  | zhá | 參見「唼喋」、「啑喋」等條。 |</v>
      </c>
    </row>
    <row r="9408" spans="1:44" hidden="1">
      <c r="A9408" s="1" t="s">
        <v>18038</v>
      </c>
      <c r="C9408" s="1">
        <v>1</v>
      </c>
      <c r="D9408" s="1" t="str">
        <f>"07621"</f>
        <v>07621</v>
      </c>
      <c r="E9408" s="1" t="s">
        <v>336</v>
      </c>
      <c r="F9408" s="1">
        <v>13</v>
      </c>
      <c r="G9408" s="1">
        <v>9</v>
      </c>
      <c r="H9408" s="1">
        <v>2</v>
      </c>
      <c r="I9408" s="1" t="s">
        <v>18020</v>
      </c>
      <c r="K9408" s="1" t="str">
        <f t="shared" si="589"/>
        <v>ㄓ</v>
      </c>
      <c r="L9408" s="1" t="str">
        <f t="shared" si="588"/>
        <v>ㄚ</v>
      </c>
      <c r="N9408" s="3" t="s">
        <v>30575</v>
      </c>
      <c r="O9408" s="3"/>
      <c r="P9408" s="1" t="s">
        <v>20</v>
      </c>
      <c r="R9408" s="1" t="s">
        <v>18021</v>
      </c>
      <c r="V9408" s="1" t="s">
        <v>18039</v>
      </c>
      <c r="W9408" s="1" t="s">
        <v>18040</v>
      </c>
      <c r="AR9408" s="1" t="str">
        <f t="shared" si="586"/>
        <v>| [ㄓㄚˊ](ㄓㄚˊ.md) | [煠](煠.md) |  | zhá | [動]
一種烹飪方法。將食物置入熱湯或熱油中，待沸即出，稱為「煠」。《通俗編．雜字》：「今以食物納油及湯中一沸而出曰煠。」明．徐光啟《農政全書．卷四六．荒政．救荒本草一》：「野生薑……採嫩葉煠熟，水浸淘去苦味，油鹽調食。」 |</v>
      </c>
    </row>
    <row r="9409" spans="1:44" hidden="1">
      <c r="A9409" s="1" t="s">
        <v>18041</v>
      </c>
      <c r="C9409" s="1">
        <v>1</v>
      </c>
      <c r="D9409" s="1" t="str">
        <f>"07622"</f>
        <v>07622</v>
      </c>
      <c r="E9409" s="1" t="s">
        <v>709</v>
      </c>
      <c r="F9409" s="1">
        <v>13</v>
      </c>
      <c r="G9409" s="1">
        <v>5</v>
      </c>
      <c r="H9409" s="1">
        <v>0</v>
      </c>
      <c r="I9409" s="1" t="s">
        <v>18020</v>
      </c>
      <c r="K9409" s="1" t="str">
        <f t="shared" si="589"/>
        <v>ㄓ</v>
      </c>
      <c r="L9409" s="1" t="str">
        <f t="shared" si="588"/>
        <v>ㄚ</v>
      </c>
      <c r="N9409" s="3" t="s">
        <v>30575</v>
      </c>
      <c r="O9409" s="3"/>
      <c r="P9409" s="1" t="s">
        <v>20</v>
      </c>
      <c r="R9409" s="1" t="s">
        <v>18021</v>
      </c>
      <c r="V9409" s="1" t="s">
        <v>18042</v>
      </c>
      <c r="AR9409" s="1" t="str">
        <f t="shared" si="586"/>
        <v>| [ㄓㄚˊ](ㄓㄚˊ.md) | [閘](閘.md) |  | zhá | [名]
1.可適時開關，用以調節流量的水門。如：「水閘」、「進洪閘」。宋．蘇軾〈祭英烈王文〉：「完我岸閘，千夫奏功。」
2.一種機關裝置。如：「手閘」、「電閘」。
[動]
將水攔住。《朱子語類．卷五九．孟子．告子上》：「如水之流，夜間則閘得許多水住在這裡，這一池水便滿。」 |</v>
      </c>
    </row>
    <row r="9410" spans="1:44" hidden="1">
      <c r="A9410" s="1" t="s">
        <v>18043</v>
      </c>
      <c r="C9410" s="1">
        <v>1</v>
      </c>
      <c r="D9410" s="1" t="str">
        <f>"07623"</f>
        <v>07623</v>
      </c>
      <c r="E9410" s="1" t="s">
        <v>49</v>
      </c>
      <c r="F9410" s="1">
        <v>14</v>
      </c>
      <c r="G9410" s="1">
        <v>8</v>
      </c>
      <c r="H9410" s="1">
        <v>0</v>
      </c>
      <c r="I9410" s="1" t="s">
        <v>18020</v>
      </c>
      <c r="K9410" s="1" t="str">
        <f t="shared" si="589"/>
        <v>ㄓ</v>
      </c>
      <c r="L9410" s="1" t="str">
        <f t="shared" si="588"/>
        <v>ㄚ</v>
      </c>
      <c r="N9410" s="3" t="s">
        <v>30575</v>
      </c>
      <c r="O9410" s="3"/>
      <c r="P9410" s="1" t="s">
        <v>20</v>
      </c>
      <c r="R9410" s="1" t="s">
        <v>18021</v>
      </c>
      <c r="V9410" s="1" t="s">
        <v>18044</v>
      </c>
      <c r="AR9410" s="1" t="str">
        <f t="shared" si="586"/>
        <v>| [ㄓㄚˊ](ㄓㄚˊ.md) | [劄](劄.md) |  | zhá | [名]
1.書信。同「札」。如：「信劄」。
2.公文。同「札」。如：「劄子」。《兒女英雄傳》第二回：「安老爺自從接了調署的劄文，便一面打發家眷到高堰通判任所。」
3.筆記。如清朝趙翼有《廿二史劄記》。 |</v>
      </c>
    </row>
    <row r="9411" spans="1:44" hidden="1">
      <c r="A9411" s="1" t="s">
        <v>18045</v>
      </c>
      <c r="C9411" s="1">
        <v>1</v>
      </c>
      <c r="D9411" s="1" t="str">
        <f>"07624"</f>
        <v>07624</v>
      </c>
      <c r="E9411" s="1" t="s">
        <v>125</v>
      </c>
      <c r="F9411" s="1">
        <v>15</v>
      </c>
      <c r="G9411" s="1">
        <v>7</v>
      </c>
      <c r="H9411" s="1">
        <v>0</v>
      </c>
      <c r="I9411" s="1" t="s">
        <v>18020</v>
      </c>
      <c r="K9411" s="1" t="str">
        <f t="shared" si="589"/>
        <v>ㄓ</v>
      </c>
      <c r="L9411" s="1" t="str">
        <f t="shared" si="588"/>
        <v>ㄚ</v>
      </c>
      <c r="N9411" s="3" t="s">
        <v>30575</v>
      </c>
      <c r="O9411" s="3"/>
      <c r="P9411" s="1" t="s">
        <v>20</v>
      </c>
      <c r="R9411" s="1" t="s">
        <v>18021</v>
      </c>
      <c r="V9411" s="1" t="s">
        <v>18046</v>
      </c>
      <c r="AR9411" s="1" t="str">
        <f t="shared" ref="AR9411:AR9474" si="590">"| ["&amp;I9411&amp;"]("&amp;I9411&amp;".md) | ["&amp;A9411&amp;"]("&amp;A9411&amp;".md) | "&amp;" | "&amp;R9411&amp;" | "&amp;V9411&amp;" |"</f>
        <v>| [ㄓㄚˊ](ㄓㄚˊ.md) | [霅](霅.md) |  | zhá | 參見「霅溪」條。 |</v>
      </c>
    </row>
    <row r="9412" spans="1:44" hidden="1">
      <c r="A9412" s="1" t="s">
        <v>18047</v>
      </c>
      <c r="C9412" s="1">
        <v>1</v>
      </c>
      <c r="D9412" s="1" t="str">
        <f>"07625"</f>
        <v>07625</v>
      </c>
      <c r="E9412" s="1" t="s">
        <v>55</v>
      </c>
      <c r="F9412" s="1">
        <v>17</v>
      </c>
      <c r="G9412" s="1">
        <v>9</v>
      </c>
      <c r="H9412" s="1">
        <v>0</v>
      </c>
      <c r="I9412" s="1" t="s">
        <v>18020</v>
      </c>
      <c r="K9412" s="1" t="str">
        <f t="shared" si="589"/>
        <v>ㄓ</v>
      </c>
      <c r="L9412" s="1" t="str">
        <f t="shared" si="588"/>
        <v>ㄚ</v>
      </c>
      <c r="N9412" s="3" t="s">
        <v>30575</v>
      </c>
      <c r="O9412" s="3"/>
      <c r="P9412" s="1" t="s">
        <v>20</v>
      </c>
      <c r="R9412" s="1" t="s">
        <v>18021</v>
      </c>
      <c r="V9412" s="1" t="s">
        <v>18048</v>
      </c>
      <c r="AR9412" s="1" t="str">
        <f t="shared" si="590"/>
        <v>| [ㄓㄚˊ](ㄓㄚˊ.md) | [鍘](鍘.md) |  | zhá | [名]
1.割草刀。如：「鋼鍘」、「藥鍘」。也稱為「鍘刀」。
2.古代砍斬犯人頭顱的刑具。如：「虎頭鍘」。元．李直夫《虎頭牌》第三折：「將銅鍘來，切了你那驢頭！」
[動]
用鍘刀切斷。如：「鍘草」。元．武漢臣《生金閣》第二折：「如今著我來鍘了你頭哩！」 |</v>
      </c>
    </row>
    <row r="9413" spans="1:44" hidden="1">
      <c r="A9413" s="1" t="s">
        <v>17986</v>
      </c>
      <c r="C9413" s="1">
        <v>1</v>
      </c>
      <c r="D9413" s="1" t="str">
        <f>"07626"</f>
        <v>07626</v>
      </c>
      <c r="E9413" s="1" t="s">
        <v>24</v>
      </c>
      <c r="F9413" s="1">
        <v>4</v>
      </c>
      <c r="G9413" s="1">
        <v>1</v>
      </c>
      <c r="H9413" s="1">
        <v>3</v>
      </c>
      <c r="I9413" s="1" t="s">
        <v>18049</v>
      </c>
      <c r="K9413" s="1" t="str">
        <f t="shared" si="589"/>
        <v>ㄓ</v>
      </c>
      <c r="L9413" s="1" t="str">
        <f t="shared" si="588"/>
        <v>ㄚ</v>
      </c>
      <c r="N9413" s="3" t="s">
        <v>30576</v>
      </c>
      <c r="O9413" s="3"/>
      <c r="P9413" s="1" t="s">
        <v>20</v>
      </c>
      <c r="R9413" s="1" t="s">
        <v>18050</v>
      </c>
      <c r="V9413" s="1" t="s">
        <v>18051</v>
      </c>
      <c r="W9413" s="1" t="s">
        <v>18052</v>
      </c>
      <c r="AR9413" s="1" t="str">
        <f t="shared" si="590"/>
        <v>| [ㄓㄚˇ](ㄓㄚˇ.md) | [扎](扎.md) |  | zhǎ | [動]
停止。如：「快扎住，別再胡鬧了！」 |</v>
      </c>
    </row>
    <row r="9414" spans="1:44" hidden="1">
      <c r="A9414" s="1" t="s">
        <v>18053</v>
      </c>
      <c r="C9414" s="1">
        <v>1</v>
      </c>
      <c r="D9414" s="1" t="str">
        <f>"07627"</f>
        <v>07627</v>
      </c>
      <c r="E9414" s="1" t="s">
        <v>24</v>
      </c>
      <c r="F9414" s="1">
        <v>6</v>
      </c>
      <c r="G9414" s="1">
        <v>3</v>
      </c>
      <c r="H9414" s="1">
        <v>2</v>
      </c>
      <c r="I9414" s="1" t="s">
        <v>18049</v>
      </c>
      <c r="K9414" s="1" t="str">
        <f t="shared" si="589"/>
        <v>ㄓ</v>
      </c>
      <c r="L9414" s="1" t="str">
        <f t="shared" si="588"/>
        <v>ㄚ</v>
      </c>
      <c r="N9414" s="3" t="s">
        <v>30576</v>
      </c>
      <c r="O9414" s="3"/>
      <c r="P9414" s="1" t="s">
        <v>20</v>
      </c>
      <c r="R9414" s="1" t="s">
        <v>18050</v>
      </c>
      <c r="V9414" s="1" t="s">
        <v>18054</v>
      </c>
      <c r="W9414" s="1" t="s">
        <v>18055</v>
      </c>
      <c r="AR9414" s="1" t="str">
        <f t="shared" si="590"/>
        <v>| [ㄓㄚˇ](ㄓㄚˇ.md) | [扠](扠.md) |  | zhǎ | [名]
量詞。計算物品長短的單位。拇指與食指張開的寬度稱為「一扠」。如：「這塊木板有三扠寬。」
[動]
張開大拇指與食指測量東西的長度。如：「把這塊木板扠一扠。」 |</v>
      </c>
    </row>
    <row r="9415" spans="1:44" hidden="1">
      <c r="A9415" s="1" t="s">
        <v>18056</v>
      </c>
      <c r="C9415" s="1">
        <v>1</v>
      </c>
      <c r="D9415" s="1" t="str">
        <f>"07628"</f>
        <v>07628</v>
      </c>
      <c r="E9415" s="1" t="s">
        <v>1941</v>
      </c>
      <c r="F9415" s="1">
        <v>7</v>
      </c>
      <c r="G9415" s="1">
        <v>5</v>
      </c>
      <c r="H9415" s="1">
        <v>0</v>
      </c>
      <c r="I9415" s="1" t="s">
        <v>18049</v>
      </c>
      <c r="K9415" s="1" t="str">
        <f t="shared" si="589"/>
        <v>ㄓ</v>
      </c>
      <c r="L9415" s="1" t="str">
        <f t="shared" si="588"/>
        <v>ㄚ</v>
      </c>
      <c r="N9415" s="3" t="s">
        <v>30576</v>
      </c>
      <c r="O9415" s="3"/>
      <c r="P9415" s="1" t="s">
        <v>20</v>
      </c>
      <c r="R9415" s="1" t="s">
        <v>18050</v>
      </c>
      <c r="V9415" s="1" t="s">
        <v>18057</v>
      </c>
      <c r="AR9415" s="1" t="str">
        <f t="shared" si="590"/>
        <v>| [ㄓㄚˇ](ㄓㄚˇ.md) | [厏](厏.md) |  | zhǎ | 參見「厏厊」條。 |</v>
      </c>
    </row>
    <row r="9416" spans="1:44" hidden="1">
      <c r="A9416" s="1" t="s">
        <v>18058</v>
      </c>
      <c r="C9416" s="1">
        <v>1</v>
      </c>
      <c r="D9416" s="1" t="str">
        <f>"07629"</f>
        <v>07629</v>
      </c>
      <c r="E9416" s="1" t="s">
        <v>37</v>
      </c>
      <c r="F9416" s="1">
        <v>9</v>
      </c>
      <c r="G9416" s="1">
        <v>5</v>
      </c>
      <c r="H9416" s="1">
        <v>0</v>
      </c>
      <c r="I9416" s="1" t="s">
        <v>18049</v>
      </c>
      <c r="K9416" s="1" t="str">
        <f t="shared" si="589"/>
        <v>ㄓ</v>
      </c>
      <c r="L9416" s="1" t="str">
        <f t="shared" si="588"/>
        <v>ㄚ</v>
      </c>
      <c r="N9416" s="3" t="s">
        <v>30576</v>
      </c>
      <c r="O9416" s="3"/>
      <c r="P9416" s="1" t="s">
        <v>20</v>
      </c>
      <c r="R9416" s="1" t="s">
        <v>18050</v>
      </c>
      <c r="V9416" s="1" t="s">
        <v>18059</v>
      </c>
      <c r="AR9416" s="1" t="str">
        <f t="shared" si="590"/>
        <v>| [ㄓㄚˇ](ㄓㄚˇ.md) | [苲](苲.md) |  | zhǎ | [名]
土渣，糞土與草相混合者。《集韻．上聲．馬韻》：「苴，土苴，和糞艸也。或作苲。」 |</v>
      </c>
    </row>
    <row r="9417" spans="1:44" hidden="1">
      <c r="A9417" s="1" t="s">
        <v>18060</v>
      </c>
      <c r="C9417" s="1">
        <v>1</v>
      </c>
      <c r="D9417" s="1" t="str">
        <f>"07630"</f>
        <v>07630</v>
      </c>
      <c r="E9417" s="1" t="s">
        <v>169</v>
      </c>
      <c r="F9417" s="1">
        <v>10</v>
      </c>
      <c r="G9417" s="1">
        <v>5</v>
      </c>
      <c r="H9417" s="1">
        <v>2</v>
      </c>
      <c r="I9417" s="1" t="s">
        <v>18049</v>
      </c>
      <c r="K9417" s="1" t="str">
        <f t="shared" si="589"/>
        <v>ㄓ</v>
      </c>
      <c r="L9417" s="1" t="str">
        <f t="shared" si="588"/>
        <v>ㄚ</v>
      </c>
      <c r="N9417" s="3" t="s">
        <v>30576</v>
      </c>
      <c r="O9417" s="3"/>
      <c r="P9417" s="1" t="s">
        <v>20</v>
      </c>
      <c r="R9417" s="1" t="s">
        <v>18050</v>
      </c>
      <c r="V9417" s="1" t="s">
        <v>18061</v>
      </c>
      <c r="W9417" s="1" t="s">
        <v>18062</v>
      </c>
      <c r="AR9417" s="1" t="str">
        <f t="shared" si="590"/>
        <v>| [ㄓㄚˇ](ㄓㄚˇ.md) | [砟](砟.md) |  | zhǎ | [名]
塊狀物。如：「焦砟」、「煤砟子」、「爐灰砟兒」。 |</v>
      </c>
    </row>
    <row r="9418" spans="1:44" hidden="1">
      <c r="A9418" s="1" t="s">
        <v>18063</v>
      </c>
      <c r="C9418" s="1">
        <v>1</v>
      </c>
      <c r="D9418" s="1" t="str">
        <f>"07631"</f>
        <v>07631</v>
      </c>
      <c r="E9418" s="1" t="s">
        <v>331</v>
      </c>
      <c r="F9418" s="1">
        <v>12</v>
      </c>
      <c r="G9418" s="1">
        <v>5</v>
      </c>
      <c r="H9418" s="1">
        <v>2</v>
      </c>
      <c r="I9418" s="1" t="s">
        <v>18049</v>
      </c>
      <c r="K9418" s="1" t="str">
        <f t="shared" si="589"/>
        <v>ㄓ</v>
      </c>
      <c r="L9418" s="1" t="str">
        <f t="shared" si="588"/>
        <v>ㄚ</v>
      </c>
      <c r="N9418" s="3" t="s">
        <v>30576</v>
      </c>
      <c r="O9418" s="3"/>
      <c r="P9418" s="1" t="s">
        <v>20</v>
      </c>
      <c r="R9418" s="1" t="s">
        <v>18050</v>
      </c>
      <c r="V9418" s="1" t="s">
        <v>18064</v>
      </c>
      <c r="W9418" s="1" t="s">
        <v>18065</v>
      </c>
      <c r="AR9418" s="1" t="str">
        <f t="shared" si="590"/>
        <v>| [ㄓㄚˇ](ㄓㄚˇ.md) | [詐](詐.md) |  | zhǎ | [動]
用言語試探他人。如：「他拿話詐我。」《紅樓夢》第九九回：「誰不知李十太爺是能事，把我一詐就嚇毛了！」 |</v>
      </c>
    </row>
    <row r="9419" spans="1:44" hidden="1">
      <c r="A9419" s="1" t="s">
        <v>18066</v>
      </c>
      <c r="C9419" s="1">
        <v>1</v>
      </c>
      <c r="D9419" s="1" t="str">
        <f>"07632"</f>
        <v>07632</v>
      </c>
      <c r="E9419" s="1" t="s">
        <v>156</v>
      </c>
      <c r="F9419" s="1">
        <v>16</v>
      </c>
      <c r="G9419" s="1">
        <v>5</v>
      </c>
      <c r="H9419" s="1">
        <v>0</v>
      </c>
      <c r="I9419" s="1" t="s">
        <v>18049</v>
      </c>
      <c r="K9419" s="1" t="str">
        <f t="shared" si="589"/>
        <v>ㄓ</v>
      </c>
      <c r="L9419" s="1" t="str">
        <f t="shared" si="588"/>
        <v>ㄚ</v>
      </c>
      <c r="N9419" s="3" t="s">
        <v>30576</v>
      </c>
      <c r="O9419" s="3"/>
      <c r="P9419" s="1" t="s">
        <v>20</v>
      </c>
      <c r="R9419" s="1" t="s">
        <v>18050</v>
      </c>
      <c r="V9419" s="1" t="s">
        <v>18067</v>
      </c>
      <c r="AR9419" s="1" t="str">
        <f t="shared" si="590"/>
        <v>| [ㄓㄚˇ](ㄓㄚˇ.md) | [鮓](鮓.md) |  | zhǎ | [名]
1.用鹽、椒等醃製成的魚類食品。《晉書．卷九六．列女傳．陶侃母湛氏傳》：「侃少為尋陽縣吏，嘗監魚梁，以一坩鮓遺母。」唐．王維〈贈吳官〉詩：「江鄉鯖鮓不寄來，秦人湯餅那堪許？」
2.泛指醃製品。宋．范成大《桂海虞衡志．志禽》：「民或以鸚鵡為鮓，又以孔雀為腊，皆以其易得故也。」 |</v>
      </c>
    </row>
    <row r="9420" spans="1:44" hidden="1">
      <c r="A9420" s="1" t="s">
        <v>18068</v>
      </c>
      <c r="C9420" s="1">
        <v>1</v>
      </c>
      <c r="D9420" s="1" t="str">
        <f>"07633"</f>
        <v>07633</v>
      </c>
      <c r="E9420" s="1" t="s">
        <v>1015</v>
      </c>
      <c r="F9420" s="1">
        <v>10</v>
      </c>
      <c r="G9420" s="1">
        <v>5</v>
      </c>
      <c r="H9420" s="1">
        <v>0</v>
      </c>
      <c r="I9420" s="1" t="s">
        <v>18049</v>
      </c>
      <c r="K9420" s="1" t="str">
        <f t="shared" si="589"/>
        <v>ㄓ</v>
      </c>
      <c r="L9420" s="1" t="str">
        <f t="shared" si="588"/>
        <v>ㄚ</v>
      </c>
      <c r="N9420" s="3" t="s">
        <v>30576</v>
      </c>
      <c r="O9420" s="3"/>
      <c r="P9420" s="1" t="s">
        <v>20</v>
      </c>
      <c r="R9420" s="1" t="s">
        <v>18050</v>
      </c>
      <c r="V9420" s="1" t="s">
        <v>18069</v>
      </c>
      <c r="AR9420" s="1" t="str">
        <f t="shared" si="590"/>
        <v>| [ㄓㄚˇ](ㄓㄚˇ.md) | [眨](眨.md) |  | zhǎ | [動]
1.眼瞼一開一閉。如：「殺人不眨眼」、「他的眼睛連眨都不眨一下。」
2.閃動。如：「天上繁星一直眨個不停。」 |</v>
      </c>
    </row>
    <row r="9421" spans="1:44" hidden="1">
      <c r="A9421" s="1" t="s">
        <v>17994</v>
      </c>
      <c r="C9421" s="1">
        <v>1</v>
      </c>
      <c r="D9421" s="1" t="str">
        <f>"07634"</f>
        <v>07634</v>
      </c>
      <c r="E9421" s="1" t="s">
        <v>129</v>
      </c>
      <c r="F9421" s="1">
        <v>12</v>
      </c>
      <c r="G9421" s="1">
        <v>9</v>
      </c>
      <c r="H9421" s="1">
        <v>2</v>
      </c>
      <c r="I9421" s="1" t="s">
        <v>18049</v>
      </c>
      <c r="K9421" s="1" t="str">
        <f t="shared" si="589"/>
        <v>ㄓ</v>
      </c>
      <c r="L9421" s="1" t="str">
        <f t="shared" si="588"/>
        <v>ㄚ</v>
      </c>
      <c r="N9421" s="3" t="s">
        <v>30576</v>
      </c>
      <c r="O9421" s="3"/>
      <c r="P9421" s="1" t="s">
        <v>20</v>
      </c>
      <c r="R9421" s="1" t="s">
        <v>18050</v>
      </c>
      <c r="V9421" s="1" t="s">
        <v>18070</v>
      </c>
      <c r="W9421" s="1" t="s">
        <v>18071</v>
      </c>
      <c r="AR9421" s="1" t="str">
        <f t="shared" si="590"/>
        <v>| [ㄓㄚˇ](ㄓㄚˇ.md) | [渣](渣.md) |  | zhǎ | [名]
塊狀物。通「砟」。如：「煤渣子」、「爐灰渣兒」。 |</v>
      </c>
    </row>
    <row r="9422" spans="1:44" hidden="1">
      <c r="A9422" s="1" t="s">
        <v>18179</v>
      </c>
      <c r="C9422" s="1">
        <v>1</v>
      </c>
      <c r="D9422" s="1" t="str">
        <f>"07680"</f>
        <v>07680</v>
      </c>
      <c r="E9422" s="1" t="s">
        <v>624</v>
      </c>
      <c r="F9422" s="1">
        <v>6</v>
      </c>
      <c r="G9422" s="1">
        <v>3</v>
      </c>
      <c r="H9422" s="1">
        <v>2</v>
      </c>
      <c r="I9422" s="1" t="s">
        <v>18180</v>
      </c>
      <c r="K9422" s="1" t="str">
        <f t="shared" si="589"/>
        <v>ㄓ</v>
      </c>
      <c r="L9422" s="1" t="str">
        <f t="shared" si="588"/>
        <v>ㄜ</v>
      </c>
      <c r="N9422" s="3" t="s">
        <v>30574</v>
      </c>
      <c r="O9422" s="3"/>
      <c r="P9422" s="1" t="s">
        <v>186</v>
      </c>
      <c r="R9422" s="1" t="s">
        <v>18181</v>
      </c>
      <c r="V9422" s="1" t="s">
        <v>206</v>
      </c>
      <c r="W9422" s="1" t="s">
        <v>18182</v>
      </c>
      <c r="AR9422" s="1" t="str">
        <f t="shared" si="590"/>
        <v>| [ㄓㄜˋ](ㄓㄜˋ.md) | [宅](宅.md) |  | zhè | (一)之讀音。 |</v>
      </c>
    </row>
    <row r="9423" spans="1:44" hidden="1">
      <c r="A9423" s="1" t="s">
        <v>18183</v>
      </c>
      <c r="C9423" s="1">
        <v>1</v>
      </c>
      <c r="D9423" s="1" t="str">
        <f>"07681"</f>
        <v>07681</v>
      </c>
      <c r="E9423" s="1" t="s">
        <v>139</v>
      </c>
      <c r="F9423" s="1">
        <v>9</v>
      </c>
      <c r="G9423" s="1">
        <v>5</v>
      </c>
      <c r="H9423" s="1">
        <v>0</v>
      </c>
      <c r="I9423" s="1" t="s">
        <v>18180</v>
      </c>
      <c r="K9423" s="1" t="str">
        <f t="shared" si="589"/>
        <v>ㄓ</v>
      </c>
      <c r="L9423" s="1" t="str">
        <f t="shared" si="588"/>
        <v>ㄜ</v>
      </c>
      <c r="N9423" s="3" t="s">
        <v>30574</v>
      </c>
      <c r="O9423" s="3"/>
      <c r="P9423" s="1" t="s">
        <v>20</v>
      </c>
      <c r="R9423" s="1" t="s">
        <v>18181</v>
      </c>
      <c r="V9423" s="1" t="s">
        <v>18184</v>
      </c>
      <c r="AR9423" s="1" t="str">
        <f t="shared" si="590"/>
        <v>| [ㄓㄜˋ](ㄓㄜˋ.md) | [柘](柘.md) |  | zhè | [名]
1.植物名。桑科柘樹屬，直立或略攀緣狀灌木或喬木。樹皮灰褐色，具乳汁及長直刺。葉具柄，卵形或橢圓形，先端短突尖，鈍形至凹頭，托葉早落。花單性，雌雄異株，球形頭狀花序。聚合果肉質、球形，熟時橙黃色。嫩葉可養蠶，根皮藥用。也稱為「葨芝」、「柘樹」、「黃金桂」。
2.姓。如漢代有柘溫舒。 |</v>
      </c>
    </row>
    <row r="9424" spans="1:44" hidden="1">
      <c r="A9424" s="1" t="s">
        <v>17780</v>
      </c>
      <c r="C9424" s="1">
        <v>1</v>
      </c>
      <c r="D9424" s="1" t="str">
        <f>"07682"</f>
        <v>07682</v>
      </c>
      <c r="E9424" s="1" t="s">
        <v>77</v>
      </c>
      <c r="F9424" s="1">
        <v>12</v>
      </c>
      <c r="G9424" s="1">
        <v>5</v>
      </c>
      <c r="H9424" s="1">
        <v>2</v>
      </c>
      <c r="I9424" s="1" t="s">
        <v>18180</v>
      </c>
      <c r="K9424" s="1" t="str">
        <f t="shared" si="589"/>
        <v>ㄓ</v>
      </c>
      <c r="L9424" s="1" t="str">
        <f t="shared" si="588"/>
        <v>ㄜ</v>
      </c>
      <c r="N9424" s="3" t="s">
        <v>30574</v>
      </c>
      <c r="O9424" s="3"/>
      <c r="P9424" s="1" t="s">
        <v>110</v>
      </c>
      <c r="R9424" s="1" t="s">
        <v>18181</v>
      </c>
      <c r="V9424" s="1" t="s">
        <v>111</v>
      </c>
      <c r="W9424" s="1" t="s">
        <v>18185</v>
      </c>
      <c r="AR9424" s="1" t="str">
        <f t="shared" si="590"/>
        <v>| [ㄓㄜˋ](ㄓㄜˋ.md) | [跖](跖.md) |  | zhè | (一)之又音。 |</v>
      </c>
    </row>
    <row r="9425" spans="1:44" hidden="1">
      <c r="A9425" s="1" t="s">
        <v>18186</v>
      </c>
      <c r="C9425" s="1">
        <v>1</v>
      </c>
      <c r="D9425" s="1" t="str">
        <f>"07683"</f>
        <v>07683</v>
      </c>
      <c r="E9425" s="1" t="s">
        <v>129</v>
      </c>
      <c r="F9425" s="1">
        <v>10</v>
      </c>
      <c r="G9425" s="1">
        <v>7</v>
      </c>
      <c r="H9425" s="1">
        <v>0</v>
      </c>
      <c r="I9425" s="1" t="s">
        <v>18180</v>
      </c>
      <c r="K9425" s="1" t="str">
        <f t="shared" si="589"/>
        <v>ㄓ</v>
      </c>
      <c r="L9425" s="1" t="str">
        <f t="shared" si="588"/>
        <v>ㄜ</v>
      </c>
      <c r="N9425" s="3" t="s">
        <v>30574</v>
      </c>
      <c r="O9425" s="3"/>
      <c r="P9425" s="1" t="s">
        <v>20</v>
      </c>
      <c r="R9425" s="1" t="s">
        <v>18181</v>
      </c>
      <c r="V9425" s="1" t="s">
        <v>18187</v>
      </c>
      <c r="AR9425" s="1" t="str">
        <f t="shared" si="590"/>
        <v>| [ㄓㄜˋ](ㄓㄜˋ.md) | [浙](浙.md) |  | zhè | [名]
1.參見「浙江」條。
2.大陸地區浙江省的簡稱。 |</v>
      </c>
    </row>
    <row r="9426" spans="1:44" hidden="1">
      <c r="A9426" s="1" t="s">
        <v>18188</v>
      </c>
      <c r="C9426" s="1">
        <v>1</v>
      </c>
      <c r="D9426" s="1" t="str">
        <f>"07684"</f>
        <v>07684</v>
      </c>
      <c r="E9426" s="1" t="s">
        <v>558</v>
      </c>
      <c r="F9426" s="1">
        <v>11</v>
      </c>
      <c r="G9426" s="1">
        <v>7</v>
      </c>
      <c r="H9426" s="1">
        <v>1</v>
      </c>
      <c r="I9426" s="1" t="s">
        <v>18180</v>
      </c>
      <c r="K9426" s="1" t="str">
        <f t="shared" si="589"/>
        <v>ㄓ</v>
      </c>
      <c r="L9426" s="1" t="str">
        <f t="shared" si="588"/>
        <v>ㄜ</v>
      </c>
      <c r="N9426" s="3" t="s">
        <v>30574</v>
      </c>
      <c r="O9426" s="3"/>
      <c r="P9426" s="1" t="s">
        <v>20</v>
      </c>
      <c r="R9426" s="1" t="s">
        <v>18181</v>
      </c>
      <c r="V9426" s="1" t="s">
        <v>18189</v>
      </c>
      <c r="W9426" s="1" t="s">
        <v>18190</v>
      </c>
      <c r="AR9426" s="1" t="str">
        <f t="shared" si="590"/>
        <v>| [ㄓㄜˋ](ㄓㄜˋ.md) | [這](這.md) |  | zhè | [代]
指稱較近的人、事、時間或地方。《儒林外史》第一回：「這就是門生治下一個鄉下農民，叫做王冕。」
[形]
指示形容詞。如：「這裡」、「這個人」、「這時候」。《老殘遊記》第四回：「這強盜一定在這村莊上了。」
[副]
立刻、馬上。如：「我這就回來。」
[助]
用於句中的襯字，無義。元．關漢卿《謝天香》第三折：「待道是顛狂睡囈，兀的不青天這白日。」 |</v>
      </c>
    </row>
    <row r="9427" spans="1:44" hidden="1">
      <c r="A9427" s="1" t="s">
        <v>18117</v>
      </c>
      <c r="C9427" s="1">
        <v>1</v>
      </c>
      <c r="D9427" s="1" t="str">
        <f>"07685"</f>
        <v>07685</v>
      </c>
      <c r="E9427" s="1" t="s">
        <v>28</v>
      </c>
      <c r="F9427" s="1">
        <v>14</v>
      </c>
      <c r="G9427" s="1">
        <v>11</v>
      </c>
      <c r="H9427" s="1">
        <v>1</v>
      </c>
      <c r="I9427" s="1" t="s">
        <v>18180</v>
      </c>
      <c r="K9427" s="1" t="str">
        <f t="shared" si="589"/>
        <v>ㄓ</v>
      </c>
      <c r="L9427" s="1" t="str">
        <f t="shared" si="588"/>
        <v>ㄜ</v>
      </c>
      <c r="N9427" s="3" t="s">
        <v>30574</v>
      </c>
      <c r="O9427" s="3"/>
      <c r="P9427" s="1" t="s">
        <v>20</v>
      </c>
      <c r="R9427" s="1" t="s">
        <v>18181</v>
      </c>
      <c r="V9427" s="1" t="s">
        <v>18191</v>
      </c>
      <c r="W9427" s="1" t="s">
        <v>18192</v>
      </c>
      <c r="AR9427" s="1" t="str">
        <f t="shared" si="590"/>
        <v>| [ㄓㄜˋ](ㄓㄜˋ.md) | [嗻](嗻.md) |  | zhè | [形]
多話。《廣韻．去聲．禡韻》：「嗻，多語之貌。」 |</v>
      </c>
    </row>
    <row r="9428" spans="1:44" hidden="1">
      <c r="A9428" s="1" t="s">
        <v>18193</v>
      </c>
      <c r="C9428" s="1">
        <v>1</v>
      </c>
      <c r="D9428" s="1" t="str">
        <f>"07686"</f>
        <v>07686</v>
      </c>
      <c r="E9428" s="1" t="s">
        <v>37</v>
      </c>
      <c r="F9428" s="1">
        <v>15</v>
      </c>
      <c r="G9428" s="1">
        <v>11</v>
      </c>
      <c r="H9428" s="1">
        <v>0</v>
      </c>
      <c r="I9428" s="1" t="s">
        <v>18180</v>
      </c>
      <c r="K9428" s="1" t="str">
        <f t="shared" si="589"/>
        <v>ㄓ</v>
      </c>
      <c r="L9428" s="1" t="str">
        <f t="shared" si="588"/>
        <v>ㄜ</v>
      </c>
      <c r="N9428" s="3" t="s">
        <v>30574</v>
      </c>
      <c r="O9428" s="3"/>
      <c r="P9428" s="1" t="s">
        <v>20</v>
      </c>
      <c r="R9428" s="1" t="s">
        <v>18181</v>
      </c>
      <c r="V9428" s="1" t="s">
        <v>18194</v>
      </c>
      <c r="AR9428" s="1" t="str">
        <f t="shared" si="590"/>
        <v>| [ㄓㄜˋ](ㄓㄜˋ.md) | [蔗](蔗.md) |  | zhè | [名]
甘蔗的簡稱。參見「甘蔗」條。 |</v>
      </c>
    </row>
    <row r="9429" spans="1:44" hidden="1">
      <c r="A9429" s="1" t="s">
        <v>18195</v>
      </c>
      <c r="C9429" s="1">
        <v>1</v>
      </c>
      <c r="D9429" s="1" t="str">
        <f>"07687"</f>
        <v>07687</v>
      </c>
      <c r="E9429" s="1" t="s">
        <v>679</v>
      </c>
      <c r="F9429" s="1">
        <v>17</v>
      </c>
      <c r="G9429" s="1">
        <v>11</v>
      </c>
      <c r="H9429" s="1">
        <v>0</v>
      </c>
      <c r="I9429" s="1" t="s">
        <v>18180</v>
      </c>
      <c r="K9429" s="1" t="str">
        <f t="shared" si="589"/>
        <v>ㄓ</v>
      </c>
      <c r="L9429" s="1" t="str">
        <f t="shared" si="588"/>
        <v>ㄜ</v>
      </c>
      <c r="N9429" s="3" t="s">
        <v>30574</v>
      </c>
      <c r="O9429" s="3"/>
      <c r="P9429" s="1" t="s">
        <v>20</v>
      </c>
      <c r="R9429" s="1" t="s">
        <v>18181</v>
      </c>
      <c r="V9429" s="1" t="s">
        <v>18196</v>
      </c>
      <c r="AR9429" s="1" t="str">
        <f t="shared" si="590"/>
        <v>| [ㄓㄜˋ](ㄓㄜˋ.md) | [蟅](蟅.md) |  | zhè | [名]
一種蝗蟲類的昆蟲，以稻穀為食。《說文解字．虫部》「蟅」字．清．段玉裁．注：「按：即今北人所謂蛨蚱，江南人謂之蝗蟲。」 |</v>
      </c>
    </row>
    <row r="9430" spans="1:44" hidden="1">
      <c r="A9430" s="1" t="s">
        <v>18197</v>
      </c>
      <c r="C9430" s="1">
        <v>1</v>
      </c>
      <c r="D9430" s="1" t="str">
        <f>"07688"</f>
        <v>07688</v>
      </c>
      <c r="E9430" s="1" t="s">
        <v>272</v>
      </c>
      <c r="F9430" s="1">
        <v>22</v>
      </c>
      <c r="G9430" s="1">
        <v>11</v>
      </c>
      <c r="H9430" s="1">
        <v>0</v>
      </c>
      <c r="I9430" s="1" t="s">
        <v>18180</v>
      </c>
      <c r="K9430" s="1" t="str">
        <f t="shared" si="589"/>
        <v>ㄓ</v>
      </c>
      <c r="L9430" s="1" t="str">
        <f t="shared" si="588"/>
        <v>ㄜ</v>
      </c>
      <c r="N9430" s="3" t="s">
        <v>30574</v>
      </c>
      <c r="O9430" s="3"/>
      <c r="P9430" s="1" t="s">
        <v>20</v>
      </c>
      <c r="R9430" s="1" t="s">
        <v>18181</v>
      </c>
      <c r="V9430" s="1" t="s">
        <v>18198</v>
      </c>
      <c r="AR9430" s="1" t="str">
        <f t="shared" si="590"/>
        <v>| [ㄓㄜˋ](ㄓㄜˋ.md) | [鷓](鷓.md) |  | zhè | 參見「鷓鴣」條。 |</v>
      </c>
    </row>
    <row r="9431" spans="1:44" hidden="1">
      <c r="A9431" s="1" t="s">
        <v>18110</v>
      </c>
      <c r="C9431" s="1">
        <v>1</v>
      </c>
      <c r="D9431" s="1" t="str">
        <f>"07656"</f>
        <v>07656</v>
      </c>
      <c r="E9431" s="1" t="s">
        <v>24</v>
      </c>
      <c r="F9431" s="1">
        <v>7</v>
      </c>
      <c r="G9431" s="1">
        <v>4</v>
      </c>
      <c r="H9431" s="1">
        <v>1</v>
      </c>
      <c r="I9431" s="1" t="s">
        <v>18126</v>
      </c>
      <c r="K9431" s="1" t="str">
        <f t="shared" si="589"/>
        <v>ㄓ</v>
      </c>
      <c r="L9431" s="1" t="str">
        <f t="shared" si="588"/>
        <v>ㄜ</v>
      </c>
      <c r="N9431" s="3" t="s">
        <v>30575</v>
      </c>
      <c r="O9431" s="3"/>
      <c r="P9431" s="1" t="s">
        <v>20</v>
      </c>
      <c r="R9431" s="1" t="s">
        <v>18127</v>
      </c>
      <c r="V9431" s="1" t="s">
        <v>18128</v>
      </c>
      <c r="W9431" s="1" t="s">
        <v>18129</v>
      </c>
      <c r="AR9431" s="1" t="str">
        <f t="shared" si="590"/>
        <v>| [ㄓㄜˊ](ㄓㄜˊ.md) | [折](折.md) |  | zhé | [動]
1.摘取、弄斷。如：「反掌折枝」。《荀子．勸學》：「鍥而舍之，朽木不折。」
2.彎、曲。《晉書．卷九四．陶潛傳》：「吾不能為五斗米折腰。」
3.疊。《後漢書．卷六八．郭太傳》：「嘗於陳、梁間行遇雨，巾一角墊，時人乃故折巾一角，以為林宗巾。」也作「摺」。
4.損失、喪失。如：「折壽」、「損兵折將」。《醒世姻緣傳》第一五回：「不要一句非言，折盡平生之福。」
5.夭亡。《漢書．卷二七．五行志下之上》：「兄喪弟曰短，父喪子曰折。」宋．蘇軾〈屈原塔〉詩：「古人誰不死，何必較考折。」
6.佩服。如：「折服」。南朝宋．劉義慶《世說新語．輕抵》：「宏自以有才，多好上人，坐上無折之者。」
7.對換、抵銷。如：「以米折錢」。宋．蘇軾〈上神宗皇帝書〉：「買絹未嘗不折鹽，糧草未嘗不折鈔。」
8.責難、責備。《史記．卷九．呂太后本紀》：「於今面折廷爭，臣不如君。」唐．劉禹錫〈天論上〉：「柳子厚作天說以折韓退之之言。」
[名]
1.折扣的簡稱。如：「打八折」。
2.挫敗、難關。如：「百折不撓」。
3.量詞：(1)計算折疊次數的單位。如：「把紙折成三折。」(2)計算戲劇分段的單位。如：「《竇娥冤》共分四折。」
4.一種治病方法。如病熱極重者，應以大寒的藥劑折其焰而救其急。 |</v>
      </c>
    </row>
    <row r="9432" spans="1:44" hidden="1">
      <c r="A9432" s="1" t="s">
        <v>18130</v>
      </c>
      <c r="C9432" s="1">
        <v>1</v>
      </c>
      <c r="D9432" s="1" t="str">
        <f>"07657"</f>
        <v>07657</v>
      </c>
      <c r="E9432" s="1" t="s">
        <v>28</v>
      </c>
      <c r="F9432" s="1">
        <v>10</v>
      </c>
      <c r="G9432" s="1">
        <v>7</v>
      </c>
      <c r="H9432" s="1">
        <v>0</v>
      </c>
      <c r="I9432" s="1" t="s">
        <v>18126</v>
      </c>
      <c r="K9432" s="1" t="str">
        <f t="shared" si="589"/>
        <v>ㄓ</v>
      </c>
      <c r="L9432" s="1" t="str">
        <f t="shared" si="588"/>
        <v>ㄜ</v>
      </c>
      <c r="N9432" s="3" t="s">
        <v>30575</v>
      </c>
      <c r="O9432" s="3"/>
      <c r="P9432" s="1" t="s">
        <v>20</v>
      </c>
      <c r="R9432" s="1" t="s">
        <v>18127</v>
      </c>
      <c r="V9432" s="1" t="s">
        <v>18131</v>
      </c>
      <c r="AR9432" s="1" t="str">
        <f t="shared" si="590"/>
        <v>| [ㄓㄜˊ](ㄓㄜˊ.md) | [哲](哲.md) |  | zhé | [形]
明智。《書經．皋陶謨》：「知人則哲，能官人。」《文選．王延壽．魯靈光殿賦》：「粵若稽古帝漢，祖宗濬哲欽明。」
[名]
賢能明智的人。《左傳．成公八年》：「夫豈無辟王？賴前哲以免也。」唐．徐賢妃〈諫太宗息兵罷役疏〉：「然黷武翫兵，先哲所戒。」 |</v>
      </c>
    </row>
    <row r="9433" spans="1:44" hidden="1">
      <c r="A9433" s="1" t="s">
        <v>18132</v>
      </c>
      <c r="C9433" s="1">
        <v>1</v>
      </c>
      <c r="D9433" s="1" t="str">
        <f>"07658"</f>
        <v>07658</v>
      </c>
      <c r="E9433" s="1" t="s">
        <v>646</v>
      </c>
      <c r="F9433" s="1">
        <v>11</v>
      </c>
      <c r="G9433" s="1">
        <v>7</v>
      </c>
      <c r="H9433" s="1">
        <v>0</v>
      </c>
      <c r="I9433" s="1" t="s">
        <v>18126</v>
      </c>
      <c r="K9433" s="1" t="str">
        <f t="shared" si="589"/>
        <v>ㄓ</v>
      </c>
      <c r="L9433" s="1" t="str">
        <f t="shared" si="588"/>
        <v>ㄜ</v>
      </c>
      <c r="N9433" s="3" t="s">
        <v>30575</v>
      </c>
      <c r="O9433" s="3"/>
      <c r="P9433" s="1" t="s">
        <v>20</v>
      </c>
      <c r="R9433" s="1" t="s">
        <v>18127</v>
      </c>
      <c r="V9433" s="1" t="s">
        <v>18133</v>
      </c>
      <c r="AR9433" s="1" t="str">
        <f t="shared" si="590"/>
        <v>| [ㄓㄜˊ](ㄓㄜˊ.md) | [晢](晢.md) |  | zhé | [形]
明亮。如：「晢晢」。《說文解字．日部》：「晢，昭晢，明也。」 |</v>
      </c>
    </row>
    <row r="9434" spans="1:44" hidden="1">
      <c r="A9434" s="1" t="s">
        <v>18134</v>
      </c>
      <c r="C9434" s="1">
        <v>1</v>
      </c>
      <c r="D9434" s="1" t="str">
        <f>"07659"</f>
        <v>07659</v>
      </c>
      <c r="E9434" s="1" t="s">
        <v>679</v>
      </c>
      <c r="F9434" s="1">
        <v>13</v>
      </c>
      <c r="G9434" s="1">
        <v>7</v>
      </c>
      <c r="H9434" s="1">
        <v>0</v>
      </c>
      <c r="I9434" s="1" t="s">
        <v>18126</v>
      </c>
      <c r="K9434" s="1" t="str">
        <f t="shared" si="589"/>
        <v>ㄓ</v>
      </c>
      <c r="L9434" s="1" t="str">
        <f t="shared" si="588"/>
        <v>ㄜ</v>
      </c>
      <c r="N9434" s="3" t="s">
        <v>30575</v>
      </c>
      <c r="O9434" s="3"/>
      <c r="P9434" s="1" t="s">
        <v>20</v>
      </c>
      <c r="R9434" s="1" t="s">
        <v>18127</v>
      </c>
      <c r="V9434" s="1" t="s">
        <v>18135</v>
      </c>
      <c r="AR9434" s="1" t="str">
        <f t="shared" si="590"/>
        <v>| [ㄓㄜˊ](ㄓㄜˊ.md) | [蜇](蜇.md) |  | zhé | [名]
參見「海蜇」條。
[動]
毒蟲叮咬。唐．柳宗元〈讀韓愈所著毛穎傳後題〉：「而又設以奇異小蟲水草楂梨橘柚，苦鹹酸辛，雖蜇吻裂鼻，縮舌澀齒，而咸有篤好之者。」 |</v>
      </c>
    </row>
    <row r="9435" spans="1:44" hidden="1">
      <c r="A9435" s="1" t="s">
        <v>9307</v>
      </c>
      <c r="C9435" s="1">
        <v>1</v>
      </c>
      <c r="D9435" s="1" t="str">
        <f>"07660"</f>
        <v>07660</v>
      </c>
      <c r="E9435" s="1" t="s">
        <v>319</v>
      </c>
      <c r="F9435" s="1">
        <v>13</v>
      </c>
      <c r="G9435" s="1">
        <v>3</v>
      </c>
      <c r="H9435" s="1">
        <v>1</v>
      </c>
      <c r="I9435" s="1" t="s">
        <v>18126</v>
      </c>
      <c r="K9435" s="1" t="str">
        <f t="shared" si="589"/>
        <v>ㄓ</v>
      </c>
      <c r="L9435" s="1" t="str">
        <f t="shared" si="588"/>
        <v>ㄜ</v>
      </c>
      <c r="N9435" s="3" t="s">
        <v>30575</v>
      </c>
      <c r="O9435" s="3"/>
      <c r="P9435" s="1" t="s">
        <v>20</v>
      </c>
      <c r="R9435" s="1" t="s">
        <v>18127</v>
      </c>
      <c r="V9435" s="1" t="s">
        <v>18136</v>
      </c>
      <c r="W9435" s="1" t="s">
        <v>18137</v>
      </c>
      <c r="AR9435" s="1" t="str">
        <f t="shared" si="590"/>
        <v>| [ㄓㄜˊ](ㄓㄜˊ.md) | [馲](馲.md) |  | zhé | [名]
馲𩢷：一種由公驢與母牛交配而成的牲畜。《集韻．入聲．陌韻》：「馲，馲𩢷，獸名，驢父牛母。」 |</v>
      </c>
    </row>
    <row r="9436" spans="1:44" hidden="1">
      <c r="A9436" s="1" t="s">
        <v>18138</v>
      </c>
      <c r="C9436" s="1">
        <v>1</v>
      </c>
      <c r="D9436" s="1" t="str">
        <f>"07661"</f>
        <v>07661</v>
      </c>
      <c r="E9436" s="1" t="s">
        <v>250</v>
      </c>
      <c r="F9436" s="1">
        <v>14</v>
      </c>
      <c r="G9436" s="1">
        <v>11</v>
      </c>
      <c r="H9436" s="1">
        <v>0</v>
      </c>
      <c r="I9436" s="1" t="s">
        <v>18126</v>
      </c>
      <c r="K9436" s="1" t="str">
        <f t="shared" si="589"/>
        <v>ㄓ</v>
      </c>
      <c r="L9436" s="1" t="str">
        <f t="shared" si="588"/>
        <v>ㄜ</v>
      </c>
      <c r="N9436" s="3" t="s">
        <v>30575</v>
      </c>
      <c r="O9436" s="3"/>
      <c r="P9436" s="1" t="s">
        <v>20</v>
      </c>
      <c r="R9436" s="1" t="s">
        <v>18127</v>
      </c>
      <c r="V9436" s="1" t="s">
        <v>18139</v>
      </c>
      <c r="AR9436" s="1" t="str">
        <f t="shared" si="590"/>
        <v>| [ㄓㄜˊ](ㄓㄜˊ.md) | [慴](慴.md) |  | zhé | [動]
1.畏懼、恐懼。《莊子．達生》：「死生驚懼，不入乎其胸中，是故迕物而不慴。」
2.懾服。《文選．枚乘．七發》：「恐虎豹，慴鷙鳥。」《晉書．卷二三．樂志下》：「威風震勁蜀，武烈慴強吳。」 |</v>
      </c>
    </row>
    <row r="9437" spans="1:44" hidden="1">
      <c r="A9437" s="1" t="s">
        <v>18140</v>
      </c>
      <c r="C9437" s="1">
        <v>1</v>
      </c>
      <c r="D9437" s="1" t="str">
        <f>"07662"</f>
        <v>07662</v>
      </c>
      <c r="E9437" s="1" t="s">
        <v>24</v>
      </c>
      <c r="F9437" s="1">
        <v>14</v>
      </c>
      <c r="G9437" s="1">
        <v>11</v>
      </c>
      <c r="H9437" s="1">
        <v>1</v>
      </c>
      <c r="I9437" s="1" t="s">
        <v>18126</v>
      </c>
      <c r="K9437" s="1" t="str">
        <f t="shared" si="589"/>
        <v>ㄓ</v>
      </c>
      <c r="L9437" s="1" t="str">
        <f t="shared" ref="L9437:L9454" si="591">MID(I9437, 2, 1)</f>
        <v>ㄜ</v>
      </c>
      <c r="N9437" s="3" t="s">
        <v>30575</v>
      </c>
      <c r="O9437" s="3"/>
      <c r="P9437" s="1" t="s">
        <v>20</v>
      </c>
      <c r="R9437" s="1" t="s">
        <v>18127</v>
      </c>
      <c r="V9437" s="1" t="s">
        <v>18141</v>
      </c>
      <c r="W9437" s="1" t="s">
        <v>18142</v>
      </c>
      <c r="AR9437" s="1" t="str">
        <f t="shared" si="590"/>
        <v>| [ㄓㄜˊ](ㄓㄜˊ.md) | [摺](摺.md) |  | zhé | [動]
1.折疊。如：「摺衣服」、「摺紙」。北周．庾信〈鏡賦〉：「始摺屏風，新開戶扇。」
2.曲折。宋．米芾〈海岳名言〉：「石曼卿作佛號，都無回互轉摺之勢。」
3.毀損、折斷。《史記．卷七九．范雎傳》：「魏齊大怒，使舍人笞擊雎，折脅摺齒。」
[名]
小冊、小本子。如：「手摺」、「奏摺」、「存摺」。
[形]
折疊的、疊起的。如：「摺尺」、「摺扇」。 |</v>
      </c>
    </row>
    <row r="9438" spans="1:44" hidden="1">
      <c r="A9438" s="1" t="s">
        <v>5361</v>
      </c>
      <c r="C9438" s="1">
        <v>1</v>
      </c>
      <c r="D9438" s="1" t="str">
        <f>"07663"</f>
        <v>07663</v>
      </c>
      <c r="E9438" s="1" t="s">
        <v>340</v>
      </c>
      <c r="F9438" s="1">
        <v>17</v>
      </c>
      <c r="G9438" s="1">
        <v>11</v>
      </c>
      <c r="H9438" s="1">
        <v>3</v>
      </c>
      <c r="I9438" s="1" t="s">
        <v>18126</v>
      </c>
      <c r="K9438" s="1" t="str">
        <f t="shared" si="589"/>
        <v>ㄓ</v>
      </c>
      <c r="L9438" s="1" t="str">
        <f t="shared" si="591"/>
        <v>ㄜ</v>
      </c>
      <c r="N9438" s="3" t="s">
        <v>30575</v>
      </c>
      <c r="O9438" s="3"/>
      <c r="P9438" s="1" t="s">
        <v>20</v>
      </c>
      <c r="R9438" s="1" t="s">
        <v>18127</v>
      </c>
      <c r="V9438" s="1" t="s">
        <v>18143</v>
      </c>
      <c r="W9438" s="1" t="s">
        <v>18144</v>
      </c>
      <c r="AR9438" s="1" t="str">
        <f t="shared" si="590"/>
        <v>| [ㄓㄜˊ](ㄓㄜˊ.md) | [褶](褶.md) |  | zhé | [名]_x000D_
衣物上的摺痕。唐．張祜〈觀杭州柘枝〉詩：「看著遍頭香袖褶，粉屏香帕又重隈。」 |</v>
      </c>
    </row>
    <row r="9439" spans="1:44" hidden="1">
      <c r="A9439" s="1" t="s">
        <v>18145</v>
      </c>
      <c r="C9439" s="1">
        <v>1</v>
      </c>
      <c r="D9439" s="1" t="str">
        <f>"07664"</f>
        <v>07664</v>
      </c>
      <c r="E9439" s="1" t="s">
        <v>71</v>
      </c>
      <c r="F9439" s="1">
        <v>14</v>
      </c>
      <c r="G9439" s="1">
        <v>7</v>
      </c>
      <c r="H9439" s="1">
        <v>0</v>
      </c>
      <c r="I9439" s="1" t="s">
        <v>18126</v>
      </c>
      <c r="K9439" s="1" t="str">
        <f t="shared" si="589"/>
        <v>ㄓ</v>
      </c>
      <c r="L9439" s="1" t="str">
        <f t="shared" si="591"/>
        <v>ㄜ</v>
      </c>
      <c r="N9439" s="3" t="s">
        <v>30575</v>
      </c>
      <c r="O9439" s="3"/>
      <c r="P9439" s="1" t="s">
        <v>20</v>
      </c>
      <c r="R9439" s="1" t="s">
        <v>18127</v>
      </c>
      <c r="V9439" s="1" t="s">
        <v>18146</v>
      </c>
      <c r="AR9439" s="1" t="str">
        <f t="shared" si="590"/>
        <v>| [ㄓㄜˊ](ㄓㄜˊ.md) | [輒](輒.md) |  | zhé | [名]
1.古代車箱向前翻出的左右兩板。《說文解字．車部》：「輒，車兩輢也。」清．段玉裁．注：「車必有兩輢，如人必有兩耳。」
2.姓。如漢代有輒終古。
[副]
1.每、總是。如：「動輒得咎」、「所言輒從」。《史記．卷七．項羽本紀》：「楚挑戰三合，樓煩輒射殺之。」
2.即、就。《史記．卷六八．商君傳》：「復曰：『能徙者，予五十金』。有一人徙之，輒予五十金，以明不欺。」 |</v>
      </c>
    </row>
    <row r="9440" spans="1:44" hidden="1">
      <c r="A9440" s="1" t="s">
        <v>18147</v>
      </c>
      <c r="C9440" s="1">
        <v>1</v>
      </c>
      <c r="D9440" s="1" t="str">
        <f>"07665"</f>
        <v>07665</v>
      </c>
      <c r="E9440" s="1" t="s">
        <v>156</v>
      </c>
      <c r="F9440" s="1">
        <v>18</v>
      </c>
      <c r="G9440" s="1">
        <v>7</v>
      </c>
      <c r="H9440" s="1">
        <v>0</v>
      </c>
      <c r="I9440" s="1" t="s">
        <v>18126</v>
      </c>
      <c r="K9440" s="1" t="str">
        <f t="shared" si="589"/>
        <v>ㄓ</v>
      </c>
      <c r="L9440" s="1" t="str">
        <f t="shared" si="591"/>
        <v>ㄜ</v>
      </c>
      <c r="N9440" s="3" t="s">
        <v>30575</v>
      </c>
      <c r="O9440" s="3"/>
      <c r="P9440" s="1" t="s">
        <v>20</v>
      </c>
      <c r="R9440" s="1" t="s">
        <v>18127</v>
      </c>
      <c r="V9440" s="1" t="s">
        <v>18148</v>
      </c>
      <c r="AR9440" s="1" t="str">
        <f t="shared" si="590"/>
        <v>| [ㄓㄜˊ](ㄓㄜˊ.md) | [鮿](鮿.md) |  | zhé | [名]
魚乾。《漢書．卷九一．貨殖傳》：「鮐鮆千斤，鮿鮑千鈞。」 |</v>
      </c>
    </row>
    <row r="9441" spans="1:44" hidden="1">
      <c r="A9441" s="1" t="s">
        <v>18149</v>
      </c>
      <c r="C9441" s="1">
        <v>1</v>
      </c>
      <c r="D9441" s="1" t="str">
        <f>"07666"</f>
        <v>07666</v>
      </c>
      <c r="E9441" s="1" t="s">
        <v>169</v>
      </c>
      <c r="F9441" s="1">
        <v>15</v>
      </c>
      <c r="G9441" s="1">
        <v>10</v>
      </c>
      <c r="H9441" s="1">
        <v>0</v>
      </c>
      <c r="I9441" s="1" t="s">
        <v>18126</v>
      </c>
      <c r="K9441" s="1" t="str">
        <f t="shared" si="589"/>
        <v>ㄓ</v>
      </c>
      <c r="L9441" s="1" t="str">
        <f t="shared" si="591"/>
        <v>ㄜ</v>
      </c>
      <c r="N9441" s="3" t="s">
        <v>30575</v>
      </c>
      <c r="O9441" s="3"/>
      <c r="P9441" s="1" t="s">
        <v>20</v>
      </c>
      <c r="R9441" s="1" t="s">
        <v>18127</v>
      </c>
      <c r="V9441" s="1" t="s">
        <v>18150</v>
      </c>
      <c r="AR9441" s="1" t="str">
        <f t="shared" si="590"/>
        <v>| [ㄓㄜˊ](ㄓㄜˊ.md) | [磔](磔.md) |  | zhé | [動]
1.分裂肢體。《荀子．宥坐》：「汝以為諫者為必用耶？伍子胥不磔姑蘇東門外乎！」
2.宰割牲畜以祭鬼神。《禮記．月令》：「九門磔攘，以畢春氣。」
[名]
一種書法筆法。用筆時向右下斜，今稱為「捺」。 |</v>
      </c>
    </row>
    <row r="9442" spans="1:44" hidden="1">
      <c r="A9442" s="1" t="s">
        <v>17775</v>
      </c>
      <c r="C9442" s="1">
        <v>1</v>
      </c>
      <c r="D9442" s="1" t="str">
        <f>"07667"</f>
        <v>07667</v>
      </c>
      <c r="E9442" s="1" t="s">
        <v>679</v>
      </c>
      <c r="F9442" s="1">
        <v>17</v>
      </c>
      <c r="G9442" s="1">
        <v>11</v>
      </c>
      <c r="H9442" s="1">
        <v>2</v>
      </c>
      <c r="I9442" s="1" t="s">
        <v>18126</v>
      </c>
      <c r="K9442" s="1" t="str">
        <f t="shared" si="589"/>
        <v>ㄓ</v>
      </c>
      <c r="L9442" s="1" t="str">
        <f t="shared" si="591"/>
        <v>ㄜ</v>
      </c>
      <c r="N9442" s="3" t="s">
        <v>30575</v>
      </c>
      <c r="O9442" s="3"/>
      <c r="P9442" s="1" t="s">
        <v>388</v>
      </c>
      <c r="R9442" s="1" t="s">
        <v>18127</v>
      </c>
      <c r="V9442" s="1" t="s">
        <v>407</v>
      </c>
      <c r="W9442" s="1" t="s">
        <v>18151</v>
      </c>
      <c r="AR9442" s="1" t="str">
        <f t="shared" si="590"/>
        <v>| [ㄓㄜˊ](ㄓㄜˊ.md) | [蟄](蟄.md) |  | zhé | (一)之語音。 |</v>
      </c>
    </row>
    <row r="9443" spans="1:44" hidden="1">
      <c r="A9443" s="1" t="s">
        <v>18152</v>
      </c>
      <c r="C9443" s="1">
        <v>1</v>
      </c>
      <c r="D9443" s="1" t="str">
        <f>"07668"</f>
        <v>07668</v>
      </c>
      <c r="E9443" s="1" t="s">
        <v>331</v>
      </c>
      <c r="F9443" s="1">
        <v>18</v>
      </c>
      <c r="G9443" s="1">
        <v>11</v>
      </c>
      <c r="H9443" s="1">
        <v>0</v>
      </c>
      <c r="I9443" s="1" t="s">
        <v>18126</v>
      </c>
      <c r="K9443" s="1" t="str">
        <f t="shared" si="589"/>
        <v>ㄓ</v>
      </c>
      <c r="L9443" s="1" t="str">
        <f t="shared" si="591"/>
        <v>ㄜ</v>
      </c>
      <c r="N9443" s="3" t="s">
        <v>30575</v>
      </c>
      <c r="O9443" s="3"/>
      <c r="P9443" s="1" t="s">
        <v>20</v>
      </c>
      <c r="R9443" s="1" t="s">
        <v>18127</v>
      </c>
      <c r="V9443" s="1" t="s">
        <v>18153</v>
      </c>
      <c r="AR9443" s="1" t="str">
        <f t="shared" si="590"/>
        <v>| [ㄓㄜˊ](ㄓㄜˊ.md) | [謫](謫.md) |  | zhé | [動]
1.譴責。如：「指謫」。《左傳．成公十七年》：「國子謫我。」
2.古代官吏降職調任。如：「謫仕」、「貶謫」。宋．范仲淹〈岳陽樓記〉：「滕子京謫守巴陵郡。」
[名]
罪過。《老子》第二十三章：「善行無轍跡，善言無瑕謫。」 |</v>
      </c>
    </row>
    <row r="9444" spans="1:44" hidden="1">
      <c r="A9444" s="1" t="s">
        <v>18154</v>
      </c>
      <c r="C9444" s="1">
        <v>1</v>
      </c>
      <c r="D9444" s="1" t="str">
        <f>"07669"</f>
        <v>07669</v>
      </c>
      <c r="E9444" s="1" t="s">
        <v>71</v>
      </c>
      <c r="F9444" s="1">
        <v>18</v>
      </c>
      <c r="G9444" s="1">
        <v>11</v>
      </c>
      <c r="H9444" s="1">
        <v>2</v>
      </c>
      <c r="I9444" s="1" t="s">
        <v>18126</v>
      </c>
      <c r="K9444" s="1" t="str">
        <f t="shared" si="589"/>
        <v>ㄓ</v>
      </c>
      <c r="L9444" s="1" t="str">
        <f t="shared" si="591"/>
        <v>ㄜ</v>
      </c>
      <c r="N9444" s="3" t="s">
        <v>30575</v>
      </c>
      <c r="O9444" s="3"/>
      <c r="P9444" s="1" t="s">
        <v>20</v>
      </c>
      <c r="R9444" s="1" t="s">
        <v>18127</v>
      </c>
      <c r="V9444" s="1" t="s">
        <v>18155</v>
      </c>
      <c r="W9444" s="1" t="s">
        <v>18156</v>
      </c>
      <c r="AR9444" s="1" t="str">
        <f t="shared" si="590"/>
        <v>| [ㄓㄜˊ](ㄓㄜˊ.md) | [轍](轍.md) |  | zhé | [名]
1.辦法、主意。如：「遇到這種情況，他就沒轍了。」
2.歌詞、戲曲所押的韻。如：「合轍」、「十三轍」。
3.參見「找轍」條。 |</v>
      </c>
    </row>
    <row r="9445" spans="1:44" hidden="1">
      <c r="A9445" s="1" t="s">
        <v>18157</v>
      </c>
      <c r="C9445" s="1">
        <v>1</v>
      </c>
      <c r="D9445" s="1" t="str">
        <f>"07670"</f>
        <v>07670</v>
      </c>
      <c r="E9445" s="1" t="s">
        <v>331</v>
      </c>
      <c r="F9445" s="1">
        <v>23</v>
      </c>
      <c r="G9445" s="1">
        <v>16</v>
      </c>
      <c r="H9445" s="1">
        <v>0</v>
      </c>
      <c r="I9445" s="1" t="s">
        <v>18126</v>
      </c>
      <c r="K9445" s="1" t="str">
        <f t="shared" si="589"/>
        <v>ㄓ</v>
      </c>
      <c r="L9445" s="1" t="str">
        <f t="shared" si="591"/>
        <v>ㄜ</v>
      </c>
      <c r="N9445" s="3" t="s">
        <v>30575</v>
      </c>
      <c r="O9445" s="3"/>
      <c r="P9445" s="1" t="s">
        <v>20</v>
      </c>
      <c r="R9445" s="1" t="s">
        <v>18127</v>
      </c>
      <c r="V9445" s="1" t="s">
        <v>18158</v>
      </c>
      <c r="AR9445" s="1" t="str">
        <f t="shared" si="590"/>
        <v>| [ㄓㄜˊ](ㄓㄜˊ.md) | [讋](讋.md) |  | zhé | [動]
恐懼、喪膽。《漢書．卷六．武帝紀》：「匈奴讋焉。」唐．顏師古．注：「讋，失氣。」 |</v>
      </c>
    </row>
    <row r="9446" spans="1:44" hidden="1">
      <c r="A9446" s="1" t="s">
        <v>18159</v>
      </c>
      <c r="C9446" s="1">
        <v>1</v>
      </c>
      <c r="D9446" s="1" t="str">
        <f>"07671"</f>
        <v>07671</v>
      </c>
      <c r="E9446" s="1" t="s">
        <v>250</v>
      </c>
      <c r="F9446" s="1">
        <v>21</v>
      </c>
      <c r="G9446" s="1">
        <v>18</v>
      </c>
      <c r="H9446" s="1">
        <v>1</v>
      </c>
      <c r="I9446" s="1" t="s">
        <v>18126</v>
      </c>
      <c r="K9446" s="1" t="str">
        <f t="shared" si="589"/>
        <v>ㄓ</v>
      </c>
      <c r="L9446" s="1" t="str">
        <f t="shared" si="591"/>
        <v>ㄜ</v>
      </c>
      <c r="N9446" s="3" t="s">
        <v>30575</v>
      </c>
      <c r="O9446" s="3"/>
      <c r="P9446" s="1" t="s">
        <v>20</v>
      </c>
      <c r="R9446" s="1" t="s">
        <v>18127</v>
      </c>
      <c r="V9446" s="1" t="s">
        <v>18160</v>
      </c>
      <c r="W9446" s="1" t="s">
        <v>18161</v>
      </c>
      <c r="AR9446" s="1" t="str">
        <f t="shared" si="590"/>
        <v>| [ㄓㄜˊ](ㄓㄜˊ.md) | [懾](懾.md) |  | zhé | [動]
1.害怕、恐懼。《禮記．曲禮上》：「貧賤而知好禮，則志不懾。」《晉書．卷四八．向雄等傳．史臣曰》：「然皆懼亂政之參夷，懾淫嬖之凶忍。」
2.威服。《淮南子．氾論》：「威動天地，聲懾四海。」唐．白居易〈代書詩一百韻寄微之〉詩：「下韝驚燕雀，當道懾狐狸。」 |</v>
      </c>
    </row>
    <row r="9447" spans="1:44" hidden="1">
      <c r="A9447" s="1" t="s">
        <v>7466</v>
      </c>
      <c r="C9447" s="1">
        <v>1</v>
      </c>
      <c r="D9447" s="1" t="str">
        <f>"07672"</f>
        <v>07672</v>
      </c>
      <c r="E9447" s="1" t="s">
        <v>28</v>
      </c>
      <c r="F9447" s="1">
        <v>21</v>
      </c>
      <c r="G9447" s="1">
        <v>18</v>
      </c>
      <c r="H9447" s="1">
        <v>2</v>
      </c>
      <c r="I9447" s="1" t="s">
        <v>18126</v>
      </c>
      <c r="K9447" s="1" t="str">
        <f t="shared" si="589"/>
        <v>ㄓ</v>
      </c>
      <c r="L9447" s="1" t="str">
        <f t="shared" si="591"/>
        <v>ㄜ</v>
      </c>
      <c r="N9447" s="3" t="s">
        <v>30575</v>
      </c>
      <c r="O9447" s="3"/>
      <c r="P9447" s="1" t="s">
        <v>110</v>
      </c>
      <c r="R9447" s="1" t="s">
        <v>18127</v>
      </c>
      <c r="V9447" s="1" t="s">
        <v>111</v>
      </c>
      <c r="W9447" s="1" t="s">
        <v>18162</v>
      </c>
      <c r="AR9447" s="1" t="str">
        <f t="shared" si="590"/>
        <v>| [ㄓㄜˊ](ㄓㄜˊ.md) | [囁](囁.md) |  | zhé | (一)之又音。 |</v>
      </c>
    </row>
    <row r="9448" spans="1:44" hidden="1">
      <c r="A9448" s="1" t="s">
        <v>18163</v>
      </c>
      <c r="C9448" s="1">
        <v>1</v>
      </c>
      <c r="D9448" s="1" t="str">
        <f>"07673"</f>
        <v>07673</v>
      </c>
      <c r="E9448" s="1" t="s">
        <v>340</v>
      </c>
      <c r="F9448" s="1">
        <v>24</v>
      </c>
      <c r="G9448" s="1">
        <v>18</v>
      </c>
      <c r="H9448" s="1">
        <v>0</v>
      </c>
      <c r="I9448" s="1" t="s">
        <v>18126</v>
      </c>
      <c r="K9448" s="1" t="str">
        <f t="shared" si="589"/>
        <v>ㄓ</v>
      </c>
      <c r="L9448" s="1" t="str">
        <f t="shared" si="591"/>
        <v>ㄜ</v>
      </c>
      <c r="N9448" s="3" t="s">
        <v>30575</v>
      </c>
      <c r="O9448" s="3"/>
      <c r="P9448" s="1" t="s">
        <v>20</v>
      </c>
      <c r="R9448" s="1" t="s">
        <v>18127</v>
      </c>
      <c r="V9448" s="1" t="s">
        <v>18164</v>
      </c>
      <c r="AR9448" s="1" t="str">
        <f t="shared" si="590"/>
        <v>| [ㄓㄜˊ](ㄓㄜˊ.md) | [襵](襵.md) |  | zhé | [名]
衣物上的皺褶。通「褶」。南朝梁．劉遵〈應令詠舞詩〉：「履度開裙襵。」《新唐書．卷二四．車服志》：「裹頭者，左右各三襵，以象三才。」
[動]
折疊。唐．元稹〈江陵三夢〉詩：「分張碎針線，襵疊故幈幃。」 |</v>
      </c>
    </row>
    <row r="9449" spans="1:44" hidden="1">
      <c r="A9449" s="1" t="s">
        <v>18165</v>
      </c>
      <c r="C9449" s="1">
        <v>1</v>
      </c>
      <c r="D9449" s="1" t="str">
        <f>"07674"</f>
        <v>07674</v>
      </c>
      <c r="E9449" s="1" t="s">
        <v>331</v>
      </c>
      <c r="F9449" s="1">
        <v>25</v>
      </c>
      <c r="G9449" s="1">
        <v>18</v>
      </c>
      <c r="H9449" s="1">
        <v>0</v>
      </c>
      <c r="I9449" s="1" t="s">
        <v>18126</v>
      </c>
      <c r="K9449" s="1" t="str">
        <f t="shared" si="589"/>
        <v>ㄓ</v>
      </c>
      <c r="L9449" s="1" t="str">
        <f t="shared" si="591"/>
        <v>ㄜ</v>
      </c>
      <c r="N9449" s="3" t="s">
        <v>30575</v>
      </c>
      <c r="O9449" s="3"/>
      <c r="P9449" s="1" t="s">
        <v>20</v>
      </c>
      <c r="R9449" s="1" t="s">
        <v>18127</v>
      </c>
      <c r="V9449" s="1" t="s">
        <v>18166</v>
      </c>
      <c r="AR9449" s="1" t="str">
        <f t="shared" si="590"/>
        <v>| [ㄓㄜˊ](ㄓㄜˊ.md) | [讘](讘.md) |  | zhé | 參見「讘䛟」條。 |</v>
      </c>
    </row>
    <row r="9450" spans="1:44" hidden="1">
      <c r="A9450" s="1" t="s">
        <v>18167</v>
      </c>
      <c r="C9450" s="1">
        <v>1</v>
      </c>
      <c r="D9450" s="1" t="str">
        <f>"07675"</f>
        <v>07675</v>
      </c>
      <c r="E9450" s="1" t="s">
        <v>2975</v>
      </c>
      <c r="F9450" s="1">
        <v>8</v>
      </c>
      <c r="G9450" s="1">
        <v>4</v>
      </c>
      <c r="H9450" s="1">
        <v>0</v>
      </c>
      <c r="I9450" s="1" t="s">
        <v>18168</v>
      </c>
      <c r="K9450" s="1" t="str">
        <f t="shared" si="589"/>
        <v>ㄓ</v>
      </c>
      <c r="L9450" s="1" t="str">
        <f t="shared" si="591"/>
        <v>ㄜ</v>
      </c>
      <c r="N9450" s="3" t="s">
        <v>30576</v>
      </c>
      <c r="O9450" s="3"/>
      <c r="P9450" s="1" t="s">
        <v>20</v>
      </c>
      <c r="R9450" s="1" t="s">
        <v>18169</v>
      </c>
      <c r="V9450" s="1" t="s">
        <v>18170</v>
      </c>
      <c r="AR9450" s="1" t="str">
        <f t="shared" si="590"/>
        <v>| [ㄓㄜˇ](ㄓㄜˇ.md) | [者](者.md) |  | zhě | [代]_x000D_
人或事物的代稱。如：「記者」、「作者」。《論語．雍也》：「知者樂水，仁者樂山。」《楚辭．屈原．漁父》：「新沐者必彈冠，新浴者必振衣。」_x000D_
[形]_x000D_
指示形容詞。同「這」。多用於古詩詞中。宋．晏幾道〈少年游．離多最是〉詞：「細想從來，斷腸多處，不與者番同。」_x000D_
[助]_x000D_
1.用於句中，表示停頓。《論語．學而》：「孝弟也者，其為仁之本與。」_x000D_
2.用於句末，表示語氣結束。《孟子．離婁下》：「大人者，不失其赤子之心者也。」_x000D_
3.表比擬。相當於「的樣子」。《史記．卷八六．刺客列傳．荊軻》：「已而相泣，旁若無人者。」 |</v>
      </c>
    </row>
    <row r="9451" spans="1:44" hidden="1">
      <c r="A9451" s="1" t="s">
        <v>18171</v>
      </c>
      <c r="C9451" s="1">
        <v>1</v>
      </c>
      <c r="D9451" s="1" t="str">
        <f>"07676"</f>
        <v>07676</v>
      </c>
      <c r="E9451" s="1" t="s">
        <v>6340</v>
      </c>
      <c r="F9451" s="1">
        <v>15</v>
      </c>
      <c r="G9451" s="1">
        <v>8</v>
      </c>
      <c r="H9451" s="1">
        <v>0</v>
      </c>
      <c r="I9451" s="1" t="s">
        <v>18168</v>
      </c>
      <c r="K9451" s="1" t="str">
        <f t="shared" si="589"/>
        <v>ㄓ</v>
      </c>
      <c r="L9451" s="1" t="str">
        <f t="shared" si="591"/>
        <v>ㄜ</v>
      </c>
      <c r="N9451" s="3" t="s">
        <v>30576</v>
      </c>
      <c r="O9451" s="3"/>
      <c r="P9451" s="1" t="s">
        <v>20</v>
      </c>
      <c r="R9451" s="1" t="s">
        <v>18169</v>
      </c>
      <c r="V9451" s="1" t="s">
        <v>18172</v>
      </c>
      <c r="AR9451" s="1" t="str">
        <f t="shared" si="590"/>
        <v>| [ㄓㄜˇ](ㄓㄜˇ.md) | [赭](赭.md) |  | zhě | [名]
紅褐色的土。《說文解字．赤部》：「赭，赤土也。」《管子．地數》：「上有赭者，下有鐵。」
[形]
紫紅色的。如：「赭衣」。《新五代史．卷五二．雜傳．杜重威傳》：「契丹賜重威赭袍，使衣以示諸軍。」
[動]
燒光、燒盡。《史記．卷六．秦始皇本紀》：「始皇大怒，使刑徒三千人皆伐湘山樹，赭其山。」唐．柳宗元〈賀進士王參元失火書〉：「黔其廬，赭其垣，以示其無有。」 |</v>
      </c>
    </row>
    <row r="9452" spans="1:44" hidden="1">
      <c r="A9452" s="1" t="s">
        <v>18173</v>
      </c>
      <c r="C9452" s="1">
        <v>1</v>
      </c>
      <c r="D9452" s="1" t="str">
        <f>"07677"</f>
        <v>07677</v>
      </c>
      <c r="E9452" s="1" t="s">
        <v>55</v>
      </c>
      <c r="F9452" s="1">
        <v>16</v>
      </c>
      <c r="G9452" s="1">
        <v>8</v>
      </c>
      <c r="H9452" s="1">
        <v>0</v>
      </c>
      <c r="I9452" s="1" t="s">
        <v>18168</v>
      </c>
      <c r="K9452" s="1" t="str">
        <f t="shared" si="589"/>
        <v>ㄓ</v>
      </c>
      <c r="L9452" s="1" t="str">
        <f t="shared" si="591"/>
        <v>ㄜ</v>
      </c>
      <c r="N9452" s="3" t="s">
        <v>30576</v>
      </c>
      <c r="O9452" s="3"/>
      <c r="P9452" s="1" t="s">
        <v>20</v>
      </c>
      <c r="R9452" s="1" t="s">
        <v>18169</v>
      </c>
      <c r="V9452" s="1" t="s">
        <v>18174</v>
      </c>
      <c r="AR9452" s="1" t="str">
        <f t="shared" si="590"/>
        <v>| [ㄓㄜˇ](ㄓㄜˇ.md) | [鍺](鍺.md) |  | zhě | [名]
（germanium，Ge）化學元素。原子序32。類金屬元素之一。粉末狀的鍺呈暗藍色，結晶狀的鍺為銀白色脆金屬。化學性質穩定，在常溫下不被氧化，有單向導電功能。存於煤礦、鐵礦及若干銀礦、銅礦中。可用於電晶體和整流器等儀器的製造。 |</v>
      </c>
    </row>
    <row r="9453" spans="1:44" hidden="1">
      <c r="A9453" s="1" t="s">
        <v>18140</v>
      </c>
      <c r="C9453" s="1">
        <v>1</v>
      </c>
      <c r="D9453" s="1" t="str">
        <f>"07678"</f>
        <v>07678</v>
      </c>
      <c r="E9453" s="1" t="s">
        <v>24</v>
      </c>
      <c r="F9453" s="1">
        <v>14</v>
      </c>
      <c r="G9453" s="1">
        <v>11</v>
      </c>
      <c r="H9453" s="1">
        <v>2</v>
      </c>
      <c r="I9453" s="1" t="s">
        <v>18168</v>
      </c>
      <c r="K9453" s="1" t="str">
        <f t="shared" si="589"/>
        <v>ㄓ</v>
      </c>
      <c r="L9453" s="1" t="str">
        <f t="shared" si="591"/>
        <v>ㄜ</v>
      </c>
      <c r="N9453" s="3" t="s">
        <v>30576</v>
      </c>
      <c r="O9453" s="3"/>
      <c r="P9453" s="1" t="s">
        <v>20</v>
      </c>
      <c r="R9453" s="1" t="s">
        <v>18169</v>
      </c>
      <c r="V9453" s="1" t="s">
        <v>18175</v>
      </c>
      <c r="W9453" s="1" t="s">
        <v>18176</v>
      </c>
      <c r="AR9453" s="1" t="str">
        <f t="shared" si="590"/>
        <v>| [ㄓㄜˇ](ㄓㄜˇ.md) | [摺](摺.md) |  | zhě | 參見「摺子」條。 |</v>
      </c>
    </row>
    <row r="9454" spans="1:44" hidden="1">
      <c r="A9454" s="1" t="s">
        <v>18120</v>
      </c>
      <c r="C9454" s="1">
        <v>1</v>
      </c>
      <c r="D9454" s="1" t="str">
        <f>"07679"</f>
        <v>07679</v>
      </c>
      <c r="E9454" s="1" t="s">
        <v>558</v>
      </c>
      <c r="F9454" s="1">
        <v>15</v>
      </c>
      <c r="G9454" s="1">
        <v>11</v>
      </c>
      <c r="H9454" s="1">
        <v>2</v>
      </c>
      <c r="I9454" s="1" t="s">
        <v>18168</v>
      </c>
      <c r="K9454" s="1" t="str">
        <f t="shared" si="589"/>
        <v>ㄓ</v>
      </c>
      <c r="L9454" s="1" t="str">
        <f t="shared" si="591"/>
        <v>ㄜ</v>
      </c>
      <c r="N9454" s="3" t="s">
        <v>30576</v>
      </c>
      <c r="O9454" s="3"/>
      <c r="P9454" s="1" t="s">
        <v>20</v>
      </c>
      <c r="R9454" s="1" t="s">
        <v>18169</v>
      </c>
      <c r="V9454" s="1" t="s">
        <v>18177</v>
      </c>
      <c r="W9454" s="1" t="s">
        <v>18178</v>
      </c>
      <c r="AR9454" s="1" t="str">
        <f t="shared" si="590"/>
        <v>| [ㄓㄜˇ](ㄓㄜˇ.md) | [遮](遮.md) |  | zhě | [動]
1.北平方言。指掩飾、掩蓋。如：「遮羞」、「酸能遮鹹」。
2.北平方言。指搪塞。如：「找個藉口來遮一遮他，免得他吵鬧不休。」 |</v>
      </c>
    </row>
    <row r="9455" spans="1:44" hidden="1">
      <c r="A9455" s="1" t="s">
        <v>18199</v>
      </c>
      <c r="C9455" s="1">
        <v>1</v>
      </c>
      <c r="D9455" s="1" t="str">
        <f>"07689"</f>
        <v>07689</v>
      </c>
      <c r="E9455" s="1" t="s">
        <v>37</v>
      </c>
      <c r="F9455" s="1">
        <v>12</v>
      </c>
      <c r="G9455" s="1">
        <v>8</v>
      </c>
      <c r="H9455" s="1">
        <v>5</v>
      </c>
      <c r="I9455" s="1" t="s">
        <v>18200</v>
      </c>
      <c r="J9455" s="2" t="s">
        <v>30559</v>
      </c>
      <c r="K9455" s="1" t="s">
        <v>17692</v>
      </c>
      <c r="L9455" s="1" t="s">
        <v>24183</v>
      </c>
      <c r="P9455" s="1" t="s">
        <v>20</v>
      </c>
      <c r="R9455" s="1" t="s">
        <v>18201</v>
      </c>
      <c r="V9455" s="1" t="s">
        <v>18202</v>
      </c>
      <c r="W9455" s="1" t="s">
        <v>18203</v>
      </c>
      <c r="AR9455" s="1" t="str">
        <f t="shared" si="590"/>
        <v>| [˙ㄓㄜ](˙ㄓㄜ.md) | [著](著.md) |  | zhe | [助]
1.表示動作正持續進行。如：「坐著」、「正說著話」。
2.表示動作的存有。如：「鑲著花邊兒」、「貼著標語」。
3.表示某種情形的程度。如：「他可聰明著呢！」、「這石頭沉著呢！」
4.表示命令或囑咐的語氣。如：「你慢著！」、「你可要記著！」 |</v>
      </c>
    </row>
    <row r="9456" spans="1:44" hidden="1">
      <c r="A9456" s="1" t="s">
        <v>18225</v>
      </c>
      <c r="C9456" s="1">
        <v>1</v>
      </c>
      <c r="D9456" s="1" t="str">
        <f>"07697"</f>
        <v>07697</v>
      </c>
      <c r="E9456" s="1" t="s">
        <v>139</v>
      </c>
      <c r="F9456" s="1">
        <v>10</v>
      </c>
      <c r="G9456" s="1">
        <v>6</v>
      </c>
      <c r="H9456" s="1">
        <v>2</v>
      </c>
      <c r="I9456" s="1" t="s">
        <v>18226</v>
      </c>
      <c r="K9456" s="1" t="str">
        <f t="shared" ref="K9456:K9519" si="592">LEFT(I9456, 1)</f>
        <v>ㄓ</v>
      </c>
      <c r="L9456" s="1" t="str">
        <f t="shared" ref="L9456:L9519" si="593">MID(I9456, 2, 1)</f>
        <v>ㄞ</v>
      </c>
      <c r="N9456" s="3" t="s">
        <v>30574</v>
      </c>
      <c r="O9456" s="3"/>
      <c r="P9456" s="1" t="s">
        <v>20</v>
      </c>
      <c r="R9456" s="1" t="s">
        <v>18227</v>
      </c>
      <c r="V9456" s="1" t="s">
        <v>18228</v>
      </c>
      <c r="W9456" s="1" t="s">
        <v>18229</v>
      </c>
      <c r="AR9456" s="1" t="str">
        <f t="shared" si="590"/>
        <v>| [ㄓㄞˋ](ㄓㄞˋ.md) | [柴](柴.md) |  | zhài | [名]
以竹或樹枝編成的柵欄。通「寨」。如唐朝王維有〈鹿柴〉一詩。《三國志．卷五五．吳書．甘寧傳》：「羽聞之，住不渡，而結柴營。」 |</v>
      </c>
    </row>
    <row r="9457" spans="1:44" hidden="1">
      <c r="A9457" s="1" t="s">
        <v>18230</v>
      </c>
      <c r="C9457" s="1">
        <v>1</v>
      </c>
      <c r="D9457" s="1" t="str">
        <f>"07698"</f>
        <v>07698</v>
      </c>
      <c r="E9457" s="1" t="s">
        <v>169</v>
      </c>
      <c r="F9457" s="1">
        <v>11</v>
      </c>
      <c r="G9457" s="1">
        <v>6</v>
      </c>
      <c r="H9457" s="1">
        <v>0</v>
      </c>
      <c r="I9457" s="1" t="s">
        <v>18226</v>
      </c>
      <c r="K9457" s="1" t="str">
        <f t="shared" si="592"/>
        <v>ㄓ</v>
      </c>
      <c r="L9457" s="1" t="str">
        <f t="shared" si="593"/>
        <v>ㄞ</v>
      </c>
      <c r="N9457" s="3" t="s">
        <v>30574</v>
      </c>
      <c r="O9457" s="3"/>
      <c r="P9457" s="1" t="s">
        <v>20</v>
      </c>
      <c r="R9457" s="1" t="s">
        <v>18227</v>
      </c>
      <c r="V9457" s="1" t="s">
        <v>18231</v>
      </c>
      <c r="AR9457" s="1" t="str">
        <f t="shared" si="590"/>
        <v>| [ㄓㄞˋ](ㄓㄞˋ.md) | [砦](砦.md) |  | zhài | 同「寨」。 |</v>
      </c>
    </row>
    <row r="9458" spans="1:44" hidden="1">
      <c r="A9458" s="1" t="s">
        <v>18232</v>
      </c>
      <c r="C9458" s="1">
        <v>1</v>
      </c>
      <c r="D9458" s="1" t="str">
        <f>"07699"</f>
        <v>07699</v>
      </c>
      <c r="E9458" s="1" t="s">
        <v>505</v>
      </c>
      <c r="F9458" s="1">
        <v>11</v>
      </c>
      <c r="G9458" s="1">
        <v>4</v>
      </c>
      <c r="H9458" s="1">
        <v>2</v>
      </c>
      <c r="I9458" s="1" t="s">
        <v>18226</v>
      </c>
      <c r="K9458" s="1" t="str">
        <f t="shared" si="592"/>
        <v>ㄓ</v>
      </c>
      <c r="L9458" s="1" t="str">
        <f t="shared" si="593"/>
        <v>ㄞ</v>
      </c>
      <c r="N9458" s="3" t="s">
        <v>30574</v>
      </c>
      <c r="O9458" s="3"/>
      <c r="P9458" s="1" t="s">
        <v>20</v>
      </c>
      <c r="R9458" s="1" t="s">
        <v>18227</v>
      </c>
      <c r="V9458" s="1" t="s">
        <v>18233</v>
      </c>
      <c r="W9458" s="1" t="s">
        <v>18234</v>
      </c>
      <c r="AR9458" s="1" t="str">
        <f t="shared" si="590"/>
        <v>| [ㄓㄞˋ](ㄓㄞˋ.md) | [責](責.md) |  | zhài | [名]
欠人的錢財。同「債」。《漢書．卷二四．食貨志上》：「於是有賣田宅、鬻子孫以償責者矣。」 |</v>
      </c>
    </row>
    <row r="9459" spans="1:44" hidden="1">
      <c r="A9459" s="1" t="s">
        <v>18235</v>
      </c>
      <c r="C9459" s="1">
        <v>1</v>
      </c>
      <c r="D9459" s="1" t="str">
        <f>"07700"</f>
        <v>07700</v>
      </c>
      <c r="E9459" s="1" t="s">
        <v>114</v>
      </c>
      <c r="F9459" s="1">
        <v>13</v>
      </c>
      <c r="G9459" s="1">
        <v>11</v>
      </c>
      <c r="H9459" s="1">
        <v>0</v>
      </c>
      <c r="I9459" s="1" t="s">
        <v>18226</v>
      </c>
      <c r="K9459" s="1" t="str">
        <f t="shared" si="592"/>
        <v>ㄓ</v>
      </c>
      <c r="L9459" s="1" t="str">
        <f t="shared" si="593"/>
        <v>ㄞ</v>
      </c>
      <c r="N9459" s="3" t="s">
        <v>30574</v>
      </c>
      <c r="O9459" s="3"/>
      <c r="P9459" s="1" t="s">
        <v>20</v>
      </c>
      <c r="R9459" s="1" t="s">
        <v>18227</v>
      </c>
      <c r="V9459" s="1" t="s">
        <v>18236</v>
      </c>
      <c r="AR9459" s="1" t="str">
        <f t="shared" si="590"/>
        <v>| [ㄓㄞˋ](ㄓㄞˋ.md) | [債](債.md) |  | zhài | [名]
1.積欠他人的錢財。如：「還債」、「欠債」、「公債」。
2.泛指有所虧欠而待償還的恩惠、仇恨等。如：「人情債」、「感情債」、「血債」。 |</v>
      </c>
    </row>
    <row r="9460" spans="1:44" hidden="1">
      <c r="A9460" s="1" t="s">
        <v>13160</v>
      </c>
      <c r="C9460" s="1">
        <v>1</v>
      </c>
      <c r="D9460" s="1" t="str">
        <f>"07701"</f>
        <v>07701</v>
      </c>
      <c r="E9460" s="1" t="s">
        <v>825</v>
      </c>
      <c r="F9460" s="1">
        <v>11</v>
      </c>
      <c r="G9460" s="1">
        <v>6</v>
      </c>
      <c r="H9460" s="1">
        <v>2</v>
      </c>
      <c r="I9460" s="1" t="s">
        <v>18226</v>
      </c>
      <c r="K9460" s="1" t="str">
        <f t="shared" si="592"/>
        <v>ㄓ</v>
      </c>
      <c r="L9460" s="1" t="str">
        <f t="shared" si="593"/>
        <v>ㄞ</v>
      </c>
      <c r="N9460" s="3" t="s">
        <v>30574</v>
      </c>
      <c r="O9460" s="3"/>
      <c r="P9460" s="1" t="s">
        <v>20</v>
      </c>
      <c r="R9460" s="1" t="s">
        <v>18227</v>
      </c>
      <c r="V9460" s="1" t="s">
        <v>18237</v>
      </c>
      <c r="W9460" s="1" t="s">
        <v>18238</v>
      </c>
      <c r="AR9460" s="1" t="str">
        <f t="shared" si="590"/>
        <v>| [ㄓㄞˋ](ㄓㄞˋ.md) | [祭](祭.md) |  | zhài | [名]
姓。如漢代有祭遵。 |</v>
      </c>
    </row>
    <row r="9461" spans="1:44" hidden="1">
      <c r="A9461" s="1" t="s">
        <v>18239</v>
      </c>
      <c r="C9461" s="1">
        <v>1</v>
      </c>
      <c r="D9461" s="1" t="str">
        <f>"07702"</f>
        <v>07702</v>
      </c>
      <c r="E9461" s="1" t="s">
        <v>40</v>
      </c>
      <c r="F9461" s="1">
        <v>16</v>
      </c>
      <c r="G9461" s="1">
        <v>11</v>
      </c>
      <c r="H9461" s="1">
        <v>0</v>
      </c>
      <c r="I9461" s="1" t="s">
        <v>18226</v>
      </c>
      <c r="K9461" s="1" t="str">
        <f t="shared" si="592"/>
        <v>ㄓ</v>
      </c>
      <c r="L9461" s="1" t="str">
        <f t="shared" si="593"/>
        <v>ㄞ</v>
      </c>
      <c r="N9461" s="3" t="s">
        <v>30574</v>
      </c>
      <c r="O9461" s="3"/>
      <c r="P9461" s="1" t="s">
        <v>20</v>
      </c>
      <c r="R9461" s="1" t="s">
        <v>18227</v>
      </c>
      <c r="V9461" s="1" t="s">
        <v>18240</v>
      </c>
      <c r="AR9461" s="1" t="str">
        <f t="shared" si="590"/>
        <v>| [ㄓㄞˋ](ㄓㄞˋ.md) | [瘵](瘵.md) |  | zhài | [名]
1.疾病。《爾雅．釋詁下》：「瘵，病也。」唐．李白〈為吳王謝責赴行在遲滯表〉：「年過耳順，風瘵日加。」
2.肺結核。如：「癆瘵」。《聊齋志異．卷三．連城》：「未幾，女病瘵，沉痼不起。」
3.災害。《文選．木華．海賦》：「天綱浡潏，為凋為瘵。」
[形]
痛苦。《詩經．大雅．瞻卬》：「邦靡有定，士民其瘵。」 |</v>
      </c>
    </row>
    <row r="9462" spans="1:44" hidden="1">
      <c r="A9462" s="1" t="s">
        <v>18241</v>
      </c>
      <c r="C9462" s="1">
        <v>1</v>
      </c>
      <c r="D9462" s="1" t="str">
        <f>"07703"</f>
        <v>07703</v>
      </c>
      <c r="E9462" s="1" t="s">
        <v>624</v>
      </c>
      <c r="F9462" s="1">
        <v>14</v>
      </c>
      <c r="G9462" s="1">
        <v>11</v>
      </c>
      <c r="H9462" s="1">
        <v>0</v>
      </c>
      <c r="I9462" s="1" t="s">
        <v>18226</v>
      </c>
      <c r="K9462" s="1" t="str">
        <f t="shared" si="592"/>
        <v>ㄓ</v>
      </c>
      <c r="L9462" s="1" t="str">
        <f t="shared" si="593"/>
        <v>ㄞ</v>
      </c>
      <c r="N9462" s="3" t="s">
        <v>30574</v>
      </c>
      <c r="O9462" s="3"/>
      <c r="P9462" s="1" t="s">
        <v>20</v>
      </c>
      <c r="R9462" s="1" t="s">
        <v>18227</v>
      </c>
      <c r="V9462" s="1" t="s">
        <v>18242</v>
      </c>
      <c r="AR9462" s="1" t="str">
        <f t="shared" si="590"/>
        <v>| [ㄓㄞˋ](ㄓㄞˋ.md) | [寨](寨.md) |  | zhài | [名]_x000D_
1.防禦盜匪的柵欄。《遼史．卷三四．兵衛志上》：「填道路御寨及諸營壘，唯用桑柘梨栗。」_x000D_
2.盜寇聚集的地方。如：「盜寨」。《水滸傳》第一九回：「先付與小嘍囉齎了，教去寨裡報知。」《初刻拍案驚奇》卷八：「只因山寨中多事不便，日前曾分付孩兒們，凡遇蘇州客商，不可輕殺。」_x000D_
3.村莊。常作為地名用字。如：「孫家寨」、「趙寨」。 |</v>
      </c>
    </row>
    <row r="9463" spans="1:44" hidden="1">
      <c r="A9463" s="1" t="s">
        <v>18179</v>
      </c>
      <c r="C9463" s="1">
        <v>1</v>
      </c>
      <c r="D9463" s="1" t="str">
        <f>"07693"</f>
        <v>07693</v>
      </c>
      <c r="E9463" s="1" t="s">
        <v>624</v>
      </c>
      <c r="F9463" s="1">
        <v>6</v>
      </c>
      <c r="G9463" s="1">
        <v>3</v>
      </c>
      <c r="H9463" s="1">
        <v>1</v>
      </c>
      <c r="I9463" s="1" t="s">
        <v>18212</v>
      </c>
      <c r="K9463" s="1" t="str">
        <f t="shared" si="592"/>
        <v>ㄓ</v>
      </c>
      <c r="L9463" s="1" t="str">
        <f t="shared" si="593"/>
        <v>ㄞ</v>
      </c>
      <c r="N9463" s="3" t="s">
        <v>30575</v>
      </c>
      <c r="O9463" s="3"/>
      <c r="P9463" s="1" t="s">
        <v>388</v>
      </c>
      <c r="R9463" s="1" t="s">
        <v>18213</v>
      </c>
      <c r="V9463" s="1" t="s">
        <v>18214</v>
      </c>
      <c r="W9463" s="1" t="s">
        <v>18215</v>
      </c>
      <c r="AR9463" s="1" t="str">
        <f t="shared" si="590"/>
        <v>| [ㄓㄞˊ](ㄓㄞˊ.md) | [宅](宅.md) |  | zhái | [名]
1.住所、住處。《說文解字．宀部》：「宅，人所託居也。」如：「國民住宅」。晉．陶淵明〈歸園田居〉詩五首之一：「方宅十餘畝，草屋八九間。」唐．韓愈〈送李愿歸盤谷序〉：「是谷也，宅幽而勢阻，隱者之所盤旋。」
2.墳墓。清．王念孫《廣雅疏證．卷九下．釋邱》：「宅，葬地也。」《儀禮．士喪禮》：「筮宅，冢人營之。」
[動]
1.存、居。如：「宅心仁厚」。《書經．康誥》：「宅心知訓。」《文選．張衡．東京賦》：「彼偏據而規小，豈如宅中而圖大。」
2.安住。《書經．康誥》：「亦惟助王宅天命。」 |</v>
      </c>
    </row>
    <row r="9464" spans="1:44" hidden="1">
      <c r="A9464" s="1" t="s">
        <v>5196</v>
      </c>
      <c r="C9464" s="1">
        <v>1</v>
      </c>
      <c r="D9464" s="1" t="str">
        <f>"07694"</f>
        <v>07694</v>
      </c>
      <c r="E9464" s="1" t="s">
        <v>2271</v>
      </c>
      <c r="F9464" s="1">
        <v>14</v>
      </c>
      <c r="G9464" s="1">
        <v>8</v>
      </c>
      <c r="H9464" s="1">
        <v>1</v>
      </c>
      <c r="I9464" s="1" t="s">
        <v>18212</v>
      </c>
      <c r="K9464" s="1" t="str">
        <f t="shared" si="592"/>
        <v>ㄓ</v>
      </c>
      <c r="L9464" s="1" t="str">
        <f t="shared" si="593"/>
        <v>ㄞ</v>
      </c>
      <c r="N9464" s="3" t="s">
        <v>30575</v>
      </c>
      <c r="O9464" s="3"/>
      <c r="P9464" s="1" t="s">
        <v>20</v>
      </c>
      <c r="R9464" s="1" t="s">
        <v>18213</v>
      </c>
      <c r="V9464" s="1" t="s">
        <v>18216</v>
      </c>
      <c r="W9464" s="1" t="s">
        <v>18217</v>
      </c>
      <c r="AR9464" s="1" t="str">
        <f t="shared" si="590"/>
        <v>| [ㄓㄞˊ](ㄓㄞˊ.md) | [翟](翟.md) |  | zhái | [名]
姓。如明代有翟良。 |</v>
      </c>
    </row>
    <row r="9465" spans="1:44" hidden="1">
      <c r="A9465" s="1" t="s">
        <v>18218</v>
      </c>
      <c r="C9465" s="1">
        <v>1</v>
      </c>
      <c r="D9465" s="1" t="str">
        <f>"07695"</f>
        <v>07695</v>
      </c>
      <c r="E9465" s="1" t="s">
        <v>24</v>
      </c>
      <c r="F9465" s="1">
        <v>16</v>
      </c>
      <c r="G9465" s="1">
        <v>13</v>
      </c>
      <c r="H9465" s="1">
        <v>2</v>
      </c>
      <c r="I9465" s="1" t="s">
        <v>18212</v>
      </c>
      <c r="K9465" s="1" t="str">
        <f t="shared" si="592"/>
        <v>ㄓ</v>
      </c>
      <c r="L9465" s="1" t="str">
        <f t="shared" si="593"/>
        <v>ㄞ</v>
      </c>
      <c r="N9465" s="3" t="s">
        <v>30575</v>
      </c>
      <c r="O9465" s="3"/>
      <c r="P9465" s="1" t="s">
        <v>110</v>
      </c>
      <c r="R9465" s="1" t="s">
        <v>18213</v>
      </c>
      <c r="V9465" s="1" t="s">
        <v>111</v>
      </c>
      <c r="W9465" s="1" t="s">
        <v>18219</v>
      </c>
      <c r="AR9465" s="1" t="str">
        <f t="shared" si="590"/>
        <v>| [ㄓㄞˊ](ㄓㄞˊ.md) | [擇](擇.md) |  | zhái | (一)之又音。 |</v>
      </c>
    </row>
    <row r="9466" spans="1:44" hidden="1">
      <c r="A9466" s="1" t="s">
        <v>18220</v>
      </c>
      <c r="C9466" s="1">
        <v>1</v>
      </c>
      <c r="D9466" s="1" t="str">
        <f>"07696"</f>
        <v>07696</v>
      </c>
      <c r="E9466" s="1" t="s">
        <v>1274</v>
      </c>
      <c r="F9466" s="1">
        <v>10</v>
      </c>
      <c r="G9466" s="1">
        <v>5</v>
      </c>
      <c r="H9466" s="1">
        <v>1</v>
      </c>
      <c r="I9466" s="1" t="s">
        <v>18221</v>
      </c>
      <c r="K9466" s="1" t="str">
        <f t="shared" si="592"/>
        <v>ㄓ</v>
      </c>
      <c r="L9466" s="1" t="str">
        <f t="shared" si="593"/>
        <v>ㄞ</v>
      </c>
      <c r="N9466" s="3" t="s">
        <v>30576</v>
      </c>
      <c r="O9466" s="3"/>
      <c r="P9466" s="1" t="s">
        <v>388</v>
      </c>
      <c r="R9466" s="1" t="s">
        <v>18222</v>
      </c>
      <c r="V9466" s="1" t="s">
        <v>18223</v>
      </c>
      <c r="W9466" s="1" t="s">
        <v>18224</v>
      </c>
      <c r="AR9466" s="1" t="str">
        <f t="shared" si="590"/>
        <v>| [ㄓㄞˇ](ㄓㄞˇ.md) | [窄](窄.md) |  | zhǎi | [形]
1.狹小的。如：「狹窄」、「窄小」。《水滸傳》第七九回：「騎一疋恨天低、嫌地窄、千里烏騅馬。」
2.窘迫的。宋．蘇軾〈雨後行菜圃〉詩：「艱難生理窄，一味敢專饗。」 |</v>
      </c>
    </row>
    <row r="9467" spans="1:44" hidden="1">
      <c r="A9467" s="1" t="s">
        <v>18188</v>
      </c>
      <c r="C9467" s="1">
        <v>1</v>
      </c>
      <c r="D9467" s="1" t="str">
        <f>"07704"</f>
        <v>07704</v>
      </c>
      <c r="E9467" s="1" t="s">
        <v>558</v>
      </c>
      <c r="F9467" s="1">
        <v>11</v>
      </c>
      <c r="G9467" s="1">
        <v>7</v>
      </c>
      <c r="H9467" s="1">
        <v>2</v>
      </c>
      <c r="I9467" s="1" t="s">
        <v>18243</v>
      </c>
      <c r="K9467" s="1" t="str">
        <f t="shared" si="592"/>
        <v>ㄓ</v>
      </c>
      <c r="L9467" s="1" t="str">
        <f t="shared" si="593"/>
        <v>ㄟ</v>
      </c>
      <c r="N9467" s="3" t="s">
        <v>30574</v>
      </c>
      <c r="O9467" s="3"/>
      <c r="P9467" s="1" t="s">
        <v>20</v>
      </c>
      <c r="R9467" s="1" t="s">
        <v>18244</v>
      </c>
      <c r="V9467" s="1" t="s">
        <v>18245</v>
      </c>
      <c r="W9467" s="1" t="s">
        <v>18246</v>
      </c>
      <c r="AR9467" s="1" t="str">
        <f t="shared" si="590"/>
        <v>| [ㄓㄟˋ](ㄓㄟˋ.md) | [這](這.md) |  | zhèi | [代]
「這」、「一」兩字的合音。 |</v>
      </c>
    </row>
    <row r="9468" spans="1:44" hidden="1">
      <c r="A9468" s="1" t="s">
        <v>18278</v>
      </c>
      <c r="C9468" s="1">
        <v>1</v>
      </c>
      <c r="D9468" s="1" t="str">
        <f>"07716"</f>
        <v>07716</v>
      </c>
      <c r="E9468" s="1" t="s">
        <v>28</v>
      </c>
      <c r="F9468" s="1">
        <v>5</v>
      </c>
      <c r="G9468" s="1">
        <v>2</v>
      </c>
      <c r="H9468" s="1">
        <v>1</v>
      </c>
      <c r="I9468" s="1" t="s">
        <v>18279</v>
      </c>
      <c r="K9468" s="1" t="str">
        <f t="shared" si="592"/>
        <v>ㄓ</v>
      </c>
      <c r="L9468" s="1" t="str">
        <f t="shared" si="593"/>
        <v>ㄠ</v>
      </c>
      <c r="N9468" s="3" t="s">
        <v>30574</v>
      </c>
      <c r="O9468" s="3"/>
      <c r="P9468" s="1" t="s">
        <v>20</v>
      </c>
      <c r="R9468" s="1" t="s">
        <v>18280</v>
      </c>
      <c r="V9468" s="1" t="s">
        <v>18281</v>
      </c>
      <c r="W9468" s="1" t="s">
        <v>18282</v>
      </c>
      <c r="AR9468" s="1" t="str">
        <f t="shared" si="590"/>
        <v>| [ㄓㄠˋ](ㄓㄠˋ.md) | [召](召.md) |  | zhào | [動]
1.呼喚，特指上對下的呼喚。如：「召喚」、「召集」。《左傳．僖公三十二年》：「召孟明、西乞、白乙，使出師於東門之外。」
2.招致、引來。如：「召禍」。《書經．微子》：「降監殷民，用乂讎斂，召敵讎不怠。」 |</v>
      </c>
    </row>
    <row r="9469" spans="1:44" hidden="1">
      <c r="A9469" s="1" t="s">
        <v>18283</v>
      </c>
      <c r="C9469" s="1">
        <v>1</v>
      </c>
      <c r="D9469" s="1" t="str">
        <f>"07717"</f>
        <v>07717</v>
      </c>
      <c r="E9469" s="1" t="s">
        <v>336</v>
      </c>
      <c r="F9469" s="1">
        <v>9</v>
      </c>
      <c r="G9469" s="1">
        <v>5</v>
      </c>
      <c r="H9469" s="1">
        <v>0</v>
      </c>
      <c r="I9469" s="1" t="s">
        <v>18279</v>
      </c>
      <c r="K9469" s="1" t="str">
        <f t="shared" si="592"/>
        <v>ㄓ</v>
      </c>
      <c r="L9469" s="1" t="str">
        <f t="shared" si="593"/>
        <v>ㄠ</v>
      </c>
      <c r="N9469" s="3" t="s">
        <v>30574</v>
      </c>
      <c r="O9469" s="3"/>
      <c r="P9469" s="1" t="s">
        <v>20</v>
      </c>
      <c r="R9469" s="1" t="s">
        <v>18280</v>
      </c>
      <c r="V9469" s="1" t="s">
        <v>18284</v>
      </c>
      <c r="AR9469" s="1" t="str">
        <f t="shared" si="590"/>
        <v>| [ㄓㄠˋ](ㄓㄠˋ.md) | [炤](炤.md) |  | zhào | [動]
照耀。同「照」。《荀子．天論》：「列星隨旋，日月遞炤。」 |</v>
      </c>
    </row>
    <row r="9470" spans="1:44" hidden="1">
      <c r="A9470" s="1" t="s">
        <v>18285</v>
      </c>
      <c r="C9470" s="1">
        <v>1</v>
      </c>
      <c r="D9470" s="1" t="str">
        <f>"07718"</f>
        <v>07718</v>
      </c>
      <c r="E9470" s="1" t="s">
        <v>331</v>
      </c>
      <c r="F9470" s="1">
        <v>12</v>
      </c>
      <c r="G9470" s="1">
        <v>5</v>
      </c>
      <c r="H9470" s="1">
        <v>0</v>
      </c>
      <c r="I9470" s="1" t="s">
        <v>18279</v>
      </c>
      <c r="K9470" s="1" t="str">
        <f t="shared" si="592"/>
        <v>ㄓ</v>
      </c>
      <c r="L9470" s="1" t="str">
        <f t="shared" si="593"/>
        <v>ㄠ</v>
      </c>
      <c r="N9470" s="3" t="s">
        <v>30574</v>
      </c>
      <c r="O9470" s="3"/>
      <c r="P9470" s="1" t="s">
        <v>20</v>
      </c>
      <c r="R9470" s="1" t="s">
        <v>18280</v>
      </c>
      <c r="V9470" s="1" t="s">
        <v>18286</v>
      </c>
      <c r="AR9470" s="1" t="str">
        <f t="shared" si="590"/>
        <v>| [ㄓㄠˋ](ㄓㄠˋ.md) | [詔](詔.md) |  | zhào | [動]
告訴、告誡、教導。《莊子．盜跖》：「夫為人父者，必能詔其子；為人兄者，必能教其弟。」《楚辭．屈原．離騷》：「麾蛟龍使梁津合，詔西皇使涉予。」
[名]
古時皇帝所頒發的命令。《文選．諸葛亮．出師表》：「善道察納雅言，深追先帝遺詔。」唐．柳宗元〈尚書戶部侍郎王君先太夫人河間劉氏誌文〉：「然而天子有詔，俾定封邑。」 |</v>
      </c>
    </row>
    <row r="9471" spans="1:44" hidden="1">
      <c r="A9471" s="1" t="s">
        <v>18287</v>
      </c>
      <c r="C9471" s="1">
        <v>1</v>
      </c>
      <c r="D9471" s="1" t="str">
        <f>"07719"</f>
        <v>07719</v>
      </c>
      <c r="E9471" s="1" t="s">
        <v>336</v>
      </c>
      <c r="F9471" s="1">
        <v>13</v>
      </c>
      <c r="G9471" s="1">
        <v>9</v>
      </c>
      <c r="H9471" s="1">
        <v>0</v>
      </c>
      <c r="I9471" s="1" t="s">
        <v>18279</v>
      </c>
      <c r="K9471" s="1" t="str">
        <f t="shared" si="592"/>
        <v>ㄓ</v>
      </c>
      <c r="L9471" s="1" t="str">
        <f t="shared" si="593"/>
        <v>ㄠ</v>
      </c>
      <c r="N9471" s="3" t="s">
        <v>30574</v>
      </c>
      <c r="O9471" s="3"/>
      <c r="P9471" s="1" t="s">
        <v>20</v>
      </c>
      <c r="R9471" s="1" t="s">
        <v>18280</v>
      </c>
      <c r="V9471" s="1" t="s">
        <v>18288</v>
      </c>
      <c r="AR9471" s="1" t="str">
        <f t="shared" si="590"/>
        <v>| [ㄓㄠˋ](ㄓㄠˋ.md) | [照](照.md) |  | zhào | [動]
1.映射。如：「照耀」、「陽光照在窗戶上。」
2.投映。如：「照鏡子」。
3.比擬、依據。如：「仿照」、「照貓畫虎」、「比照辦理」、「照本宣科」。
4.比對、核對。如：「對照」。
5.通知。如：「照會」、「關照」。
6.向著、對著。如：「照頭一棍」、「照著敵人開槍」。
7.看、顧。如：「照顧」、「照應」、「照料」。
8.知曉。如：「心照不宣」。《三國志．卷一九．魏書．陳思王植傳》：「臣聞騏驥長鳴，則伯樂照其能；盧狗悲號，則韓國知其才。」
9.攝取影像。如：「照相」、「這張像片是新照的。」
[名]
1.日光。如：「夕照」、「殘照」。
2.像片。如：「近照」、「玉照」。
3.憑證。如：「執照」、「護照」。《喻世明言．卷三三．張古老種瓜娶文女》：「申公道：『錢卻有，何以為照？』」 |</v>
      </c>
    </row>
    <row r="9472" spans="1:44" hidden="1">
      <c r="A9472" s="1" t="s">
        <v>18289</v>
      </c>
      <c r="C9472" s="1">
        <v>1</v>
      </c>
      <c r="D9472" s="1" t="str">
        <f>"07720"</f>
        <v>07720</v>
      </c>
      <c r="E9472" s="1" t="s">
        <v>3581</v>
      </c>
      <c r="F9472" s="1">
        <v>6</v>
      </c>
      <c r="G9472" s="1">
        <v>4</v>
      </c>
      <c r="H9472" s="1">
        <v>0</v>
      </c>
      <c r="I9472" s="1" t="s">
        <v>18279</v>
      </c>
      <c r="K9472" s="1" t="str">
        <f t="shared" si="592"/>
        <v>ㄓ</v>
      </c>
      <c r="L9472" s="1" t="str">
        <f t="shared" si="593"/>
        <v>ㄠ</v>
      </c>
      <c r="N9472" s="3" t="s">
        <v>30574</v>
      </c>
      <c r="O9472" s="3"/>
      <c r="P9472" s="1" t="s">
        <v>20</v>
      </c>
      <c r="R9472" s="1" t="s">
        <v>18280</v>
      </c>
      <c r="V9472" s="1" t="s">
        <v>18290</v>
      </c>
      <c r="AR9472" s="1" t="str">
        <f t="shared" si="590"/>
        <v>| [ㄓㄠˋ](ㄓㄠˋ.md) | [兆](兆.md) |  | zhào | [名]
1.龜甲、獸骨等燒灼後所出現的裂紋，古人藉以占卜吉凶。《禮記．月令》：「命大史釁龜筴，占兆審卦吉凶。」漢．鄭玄．注：「占兆，龜之繇文也。」唐．韓愈〈復志賦〉：「假大龜以視兆兮，求幽貞之所廬。」
2.事情發生前所顯露的徵候、跡象。如：「預兆」、「吉兆」、「不祥之兆」。
3.數目字。億的萬倍。如：「一兆」、「十兆」。
4.墳地、墓地。唐．韓愈〈祭十二郎文〉：「吾力能改葬，終葬汝於先人之兆。」
5.姓。如明代有兆元享。
[動]
預先顯示。如：「瑞雪兆豐年」。
[形]
眾多的。《書經．呂刑》：「一人有慶，兆民賴之。」 |</v>
      </c>
    </row>
    <row r="9473" spans="1:44" hidden="1">
      <c r="A9473" s="1" t="s">
        <v>18291</v>
      </c>
      <c r="C9473" s="1">
        <v>1</v>
      </c>
      <c r="D9473" s="1" t="str">
        <f>"07721"</f>
        <v>07721</v>
      </c>
      <c r="E9473" s="1" t="s">
        <v>132</v>
      </c>
      <c r="F9473" s="1">
        <v>9</v>
      </c>
      <c r="G9473" s="1">
        <v>6</v>
      </c>
      <c r="H9473" s="1">
        <v>0</v>
      </c>
      <c r="I9473" s="1" t="s">
        <v>18279</v>
      </c>
      <c r="K9473" s="1" t="str">
        <f t="shared" si="592"/>
        <v>ㄓ</v>
      </c>
      <c r="L9473" s="1" t="str">
        <f t="shared" si="593"/>
        <v>ㄠ</v>
      </c>
      <c r="N9473" s="3" t="s">
        <v>30574</v>
      </c>
      <c r="O9473" s="3"/>
      <c r="P9473" s="1" t="s">
        <v>20</v>
      </c>
      <c r="R9473" s="1" t="s">
        <v>18280</v>
      </c>
      <c r="V9473" s="1" t="s">
        <v>18292</v>
      </c>
      <c r="AR9473" s="1" t="str">
        <f t="shared" si="590"/>
        <v>| [ㄓㄠˋ](ㄓㄠˋ.md) | [垗](垗.md) |  | zhào | [名]
1.祭壇四周的界域。《說文解字．土部》：「垗，畔也，為四畔界，祭其中。」
2.葬地。清．王念孫《廣雅疏證．卷九下．釋邱》：「垗，葬地也。」 |</v>
      </c>
    </row>
    <row r="9474" spans="1:44" hidden="1">
      <c r="A9474" s="1" t="s">
        <v>18293</v>
      </c>
      <c r="C9474" s="1">
        <v>1</v>
      </c>
      <c r="D9474" s="1" t="str">
        <f>"07722"</f>
        <v>07722</v>
      </c>
      <c r="E9474" s="1" t="s">
        <v>800</v>
      </c>
      <c r="F9474" s="1">
        <v>12</v>
      </c>
      <c r="G9474" s="1">
        <v>8</v>
      </c>
      <c r="H9474" s="1">
        <v>0</v>
      </c>
      <c r="I9474" s="1" t="s">
        <v>18279</v>
      </c>
      <c r="K9474" s="1" t="str">
        <f t="shared" si="592"/>
        <v>ㄓ</v>
      </c>
      <c r="L9474" s="1" t="str">
        <f t="shared" si="593"/>
        <v>ㄠ</v>
      </c>
      <c r="N9474" s="3" t="s">
        <v>30574</v>
      </c>
      <c r="O9474" s="3"/>
      <c r="P9474" s="1" t="s">
        <v>20</v>
      </c>
      <c r="R9474" s="1" t="s">
        <v>18280</v>
      </c>
      <c r="V9474" s="1" t="s">
        <v>18294</v>
      </c>
      <c r="AR9474" s="1" t="str">
        <f t="shared" si="590"/>
        <v>| [ㄓㄠˋ](ㄓㄠˋ.md) | [旐](旐.md) |  | zhào | [名]
一種畫有龜蛇圖樣的旗子。清．朱駿聲《說文通訓定聲．小部》：「旐，旗畫龜蛇者。」《詩經．小雅．出車》：「設此旐矣，建彼旄矣。」 |</v>
      </c>
    </row>
    <row r="9475" spans="1:44" hidden="1">
      <c r="A9475" s="1" t="s">
        <v>18295</v>
      </c>
      <c r="C9475" s="1">
        <v>1</v>
      </c>
      <c r="D9475" s="1" t="str">
        <f>"07723"</f>
        <v>07723</v>
      </c>
      <c r="E9475" s="1" t="s">
        <v>156</v>
      </c>
      <c r="F9475" s="1">
        <v>17</v>
      </c>
      <c r="G9475" s="1">
        <v>6</v>
      </c>
      <c r="H9475" s="1">
        <v>0</v>
      </c>
      <c r="I9475" s="1" t="s">
        <v>18279</v>
      </c>
      <c r="K9475" s="1" t="str">
        <f t="shared" si="592"/>
        <v>ㄓ</v>
      </c>
      <c r="L9475" s="1" t="str">
        <f t="shared" si="593"/>
        <v>ㄠ</v>
      </c>
      <c r="N9475" s="3" t="s">
        <v>30574</v>
      </c>
      <c r="O9475" s="3"/>
      <c r="P9475" s="1" t="s">
        <v>20</v>
      </c>
      <c r="R9475" s="1" t="s">
        <v>18280</v>
      </c>
      <c r="V9475" s="1" t="s">
        <v>18296</v>
      </c>
      <c r="AR9475" s="1" t="str">
        <f t="shared" ref="AR9475:AR9538" si="594">"| ["&amp;I9475&amp;"]("&amp;I9475&amp;".md) | ["&amp;A9475&amp;"]("&amp;A9475&amp;".md) | "&amp;" | "&amp;R9475&amp;" | "&amp;V9475&amp;" |"</f>
        <v>| [ㄓㄠˋ](ㄓㄠˋ.md) | [鮡](鮡.md) |  | zhào | [名]
動物名。一種生活在小澗溪水中的魚類。全身無鱗，體側扁平，胸前有一個吸盤，背鰭、胸鰭均具硬刺，且有四對鬚。主要分布於大陸地區華南和西南一帶，為當地經濟魚類之一。 |</v>
      </c>
    </row>
    <row r="9476" spans="1:44" hidden="1">
      <c r="A9476" s="1" t="s">
        <v>18297</v>
      </c>
      <c r="C9476" s="1">
        <v>1</v>
      </c>
      <c r="D9476" s="1" t="str">
        <f>"07724"</f>
        <v>07724</v>
      </c>
      <c r="E9476" s="1" t="s">
        <v>49</v>
      </c>
      <c r="F9476" s="1">
        <v>10</v>
      </c>
      <c r="G9476" s="1">
        <v>4</v>
      </c>
      <c r="H9476" s="1">
        <v>0</v>
      </c>
      <c r="I9476" s="1" t="s">
        <v>18279</v>
      </c>
      <c r="K9476" s="1" t="str">
        <f t="shared" si="592"/>
        <v>ㄓ</v>
      </c>
      <c r="L9476" s="1" t="str">
        <f t="shared" si="593"/>
        <v>ㄠ</v>
      </c>
      <c r="N9476" s="3" t="s">
        <v>30574</v>
      </c>
      <c r="O9476" s="3"/>
      <c r="P9476" s="1" t="s">
        <v>20</v>
      </c>
      <c r="R9476" s="1" t="s">
        <v>18280</v>
      </c>
      <c r="V9476" s="1" t="s">
        <v>18298</v>
      </c>
      <c r="AR9476" s="1" t="str">
        <f t="shared" si="594"/>
        <v>| [ㄓㄠˋ](ㄓㄠˋ.md) | [笊](笊.md) |  | zhào | 參見「笊籬」條。 |</v>
      </c>
    </row>
    <row r="9477" spans="1:44" hidden="1">
      <c r="A9477" s="1" t="s">
        <v>18299</v>
      </c>
      <c r="C9477" s="1">
        <v>1</v>
      </c>
      <c r="D9477" s="1" t="str">
        <f>"07725"</f>
        <v>07725</v>
      </c>
      <c r="E9477" s="1" t="s">
        <v>139</v>
      </c>
      <c r="F9477" s="1">
        <v>12</v>
      </c>
      <c r="G9477" s="1">
        <v>8</v>
      </c>
      <c r="H9477" s="1">
        <v>1</v>
      </c>
      <c r="I9477" s="1" t="s">
        <v>18279</v>
      </c>
      <c r="K9477" s="1" t="str">
        <f t="shared" si="592"/>
        <v>ㄓ</v>
      </c>
      <c r="L9477" s="1" t="str">
        <f t="shared" si="593"/>
        <v>ㄠ</v>
      </c>
      <c r="N9477" s="3" t="s">
        <v>30574</v>
      </c>
      <c r="O9477" s="3"/>
      <c r="P9477" s="1" t="s">
        <v>20</v>
      </c>
      <c r="R9477" s="1" t="s">
        <v>18280</v>
      </c>
      <c r="V9477" s="1" t="s">
        <v>18300</v>
      </c>
      <c r="W9477" s="1" t="s">
        <v>18301</v>
      </c>
      <c r="AR9477" s="1" t="str">
        <f t="shared" si="594"/>
        <v>| [ㄓㄠˋ](ㄓㄠˋ.md) | [棹](棹.md) |  | zhào | [名]
1.船槳。同「櫂」。南朝宋．劉義慶《世說新語．任誕》：「因飲酒醉還，舞棹向船曰：『何處覓庾吳郡？此中便是。』」元．關漢卿《單刀會》第四折：「舡分開波中浪，棹攪碎江心月。」
2.借以指船。同「櫂」。《文選．張協．七命八首之二》：「縱棹隨風，弭楫乘波。」
[動]
划船、泛舟。同「櫂」。《文選．陶淵明．歸去來辭》：「或命巾車，或棹孤舟。」宋．蘇軾〈好事近．湖上雨晴時〉詞：「獨棹小舟歸去，任煙波飄兀。」 |</v>
      </c>
    </row>
    <row r="9478" spans="1:44" hidden="1">
      <c r="A9478" s="1" t="s">
        <v>18302</v>
      </c>
      <c r="C9478" s="1">
        <v>1</v>
      </c>
      <c r="D9478" s="1" t="str">
        <f>"07726"</f>
        <v>07726</v>
      </c>
      <c r="E9478" s="1" t="s">
        <v>118</v>
      </c>
      <c r="F9478" s="1">
        <v>13</v>
      </c>
      <c r="G9478" s="1">
        <v>8</v>
      </c>
      <c r="H9478" s="1">
        <v>0</v>
      </c>
      <c r="I9478" s="1" t="s">
        <v>18279</v>
      </c>
      <c r="K9478" s="1" t="str">
        <f t="shared" si="592"/>
        <v>ㄓ</v>
      </c>
      <c r="L9478" s="1" t="str">
        <f t="shared" si="593"/>
        <v>ㄠ</v>
      </c>
      <c r="N9478" s="3" t="s">
        <v>30574</v>
      </c>
      <c r="O9478" s="3"/>
      <c r="P9478" s="1" t="s">
        <v>20</v>
      </c>
      <c r="R9478" s="1" t="s">
        <v>18280</v>
      </c>
      <c r="V9478" s="1" t="s">
        <v>18303</v>
      </c>
      <c r="AR9478" s="1" t="str">
        <f t="shared" si="594"/>
        <v>| [ㄓㄠˋ](ㄓㄠˋ.md) | [罩](罩.md) |  | zhào | [名]
1.捕魚的竹籠。《說文解字．网部》：「罩，捕魚器也。」
2.遮蓋物體的器具。如：「燈罩」、「紗罩」。也稱為「罩子」。
[動]
1.覆蓋、遮掩。如：「夜幕罩住大地。」明．湯顯祖《紫釵記》第三四齣：「影飄颻，碧濛濛，把關河罩，幕寒生夜悄。」
2.對抗、抵抗。《醒世姻緣傳》第九回：「你自己忖量著，若罩得過他，就告上狀，若忖量罩不過他，趁著剛才那個意思，做個半截漢子罷了。」
[形]
厲害、強。為年輕人交談時常用的口頭禪。如：「你很罩哦！三兩下就把事情處理好了！」 |</v>
      </c>
    </row>
    <row r="9479" spans="1:44" hidden="1">
      <c r="A9479" s="1" t="s">
        <v>18304</v>
      </c>
      <c r="C9479" s="1">
        <v>1</v>
      </c>
      <c r="D9479" s="1" t="str">
        <f>"07727"</f>
        <v>07727</v>
      </c>
      <c r="E9479" s="1" t="s">
        <v>114</v>
      </c>
      <c r="F9479" s="1">
        <v>13</v>
      </c>
      <c r="G9479" s="1">
        <v>11</v>
      </c>
      <c r="H9479" s="1">
        <v>0</v>
      </c>
      <c r="I9479" s="1" t="s">
        <v>18279</v>
      </c>
      <c r="K9479" s="1" t="str">
        <f t="shared" si="592"/>
        <v>ㄓ</v>
      </c>
      <c r="L9479" s="1" t="str">
        <f t="shared" si="593"/>
        <v>ㄠ</v>
      </c>
      <c r="N9479" s="3" t="s">
        <v>30574</v>
      </c>
      <c r="O9479" s="3"/>
      <c r="P9479" s="1" t="s">
        <v>20</v>
      </c>
      <c r="R9479" s="1" t="s">
        <v>18280</v>
      </c>
      <c r="V9479" s="1" t="s">
        <v>18305</v>
      </c>
      <c r="AR9479" s="1" t="str">
        <f t="shared" si="594"/>
        <v>| [ㄓㄠˋ](ㄓㄠˋ.md) | [㑿](㑿.md) |  | zhào | [形]
㑿㑿：長。《廣韻．去聲．巧韻》：「㑿，㑿㑿，長貌。」 |</v>
      </c>
    </row>
    <row r="9480" spans="1:44" hidden="1">
      <c r="A9480" s="1" t="s">
        <v>18306</v>
      </c>
      <c r="C9480" s="1">
        <v>1</v>
      </c>
      <c r="D9480" s="1" t="str">
        <f>"07728"</f>
        <v>07728</v>
      </c>
      <c r="E9480" s="1" t="s">
        <v>4563</v>
      </c>
      <c r="F9480" s="1">
        <v>14</v>
      </c>
      <c r="G9480" s="1">
        <v>7</v>
      </c>
      <c r="H9480" s="1">
        <v>0</v>
      </c>
      <c r="I9480" s="1" t="s">
        <v>18279</v>
      </c>
      <c r="K9480" s="1" t="str">
        <f t="shared" si="592"/>
        <v>ㄓ</v>
      </c>
      <c r="L9480" s="1" t="str">
        <f t="shared" si="593"/>
        <v>ㄠ</v>
      </c>
      <c r="N9480" s="3" t="s">
        <v>30574</v>
      </c>
      <c r="O9480" s="3"/>
      <c r="P9480" s="1" t="s">
        <v>20</v>
      </c>
      <c r="R9480" s="1" t="s">
        <v>18280</v>
      </c>
      <c r="V9480" s="1" t="s">
        <v>18307</v>
      </c>
      <c r="AR9480" s="1" t="str">
        <f t="shared" si="594"/>
        <v>| [ㄓㄠˋ](ㄓㄠˋ.md) | [趙](趙.md) |  | zhào | [名]
1.國名：(1)戰國時七雄之一。約統有今大陸地區河北省南部及山西省北部一帶。(2)東晉五胡十六國之一。為東晉劉曜所建，統有今大陸地區河北、山西、陝西、河南等的一部分，史稱「前趙」。(3)東晉五胡十六國之一。為石勒滅前趙而稱帝，史稱「後趙」。
2.姓。如宋代有趙匡胤。 |</v>
      </c>
    </row>
    <row r="9481" spans="1:44" hidden="1">
      <c r="A9481" s="1" t="s">
        <v>18308</v>
      </c>
      <c r="C9481" s="1">
        <v>1</v>
      </c>
      <c r="D9481" s="1" t="str">
        <f>"07729"</f>
        <v>07729</v>
      </c>
      <c r="E9481" s="1" t="s">
        <v>18309</v>
      </c>
      <c r="F9481" s="1">
        <v>14</v>
      </c>
      <c r="G9481" s="1">
        <v>8</v>
      </c>
      <c r="H9481" s="1">
        <v>0</v>
      </c>
      <c r="I9481" s="1" t="s">
        <v>18279</v>
      </c>
      <c r="K9481" s="1" t="str">
        <f t="shared" si="592"/>
        <v>ㄓ</v>
      </c>
      <c r="L9481" s="1" t="str">
        <f t="shared" si="593"/>
        <v>ㄠ</v>
      </c>
      <c r="N9481" s="3" t="s">
        <v>30574</v>
      </c>
      <c r="O9481" s="3"/>
      <c r="P9481" s="1" t="s">
        <v>20</v>
      </c>
      <c r="R9481" s="1" t="s">
        <v>18280</v>
      </c>
      <c r="V9481" s="1" t="s">
        <v>18310</v>
      </c>
      <c r="AR9481" s="1" t="str">
        <f t="shared" si="594"/>
        <v>| [ㄓㄠˋ](ㄓㄠˋ.md) | [肇](肇.md) |  | zhào | [動]
1.首度、開端。《爾雅．釋詁上》：「初、哉、首、基、肇、祖、元、胎、俶、落、權輿，始也。」《楚辭．屈原．離騷》：「皇覽揆余初度兮，肇錫余以嘉名。」
2.發生、引起。如：「肇禍」、「肇事」。
3.端正。《國語．齊語》：「竱本肇末，勸之以賞賜，糾之以刑罰。」
[名]
姓。如戰國時趙國有肇賈。 |</v>
      </c>
    </row>
    <row r="9482" spans="1:44" hidden="1">
      <c r="A9482" s="1" t="s">
        <v>18311</v>
      </c>
      <c r="C9482" s="1">
        <v>1</v>
      </c>
      <c r="D9482" s="1" t="str">
        <f>"07730"</f>
        <v>07730</v>
      </c>
      <c r="E9482" s="1" t="s">
        <v>646</v>
      </c>
      <c r="F9482" s="1">
        <v>16</v>
      </c>
      <c r="G9482" s="1">
        <v>12</v>
      </c>
      <c r="H9482" s="1">
        <v>0</v>
      </c>
      <c r="I9482" s="1" t="s">
        <v>18279</v>
      </c>
      <c r="K9482" s="1" t="str">
        <f t="shared" si="592"/>
        <v>ㄓ</v>
      </c>
      <c r="L9482" s="1" t="str">
        <f t="shared" si="593"/>
        <v>ㄠ</v>
      </c>
      <c r="N9482" s="3" t="s">
        <v>30574</v>
      </c>
      <c r="O9482" s="3"/>
      <c r="P9482" s="1" t="s">
        <v>20</v>
      </c>
      <c r="R9482" s="1" t="s">
        <v>18280</v>
      </c>
      <c r="V9482" s="1" t="s">
        <v>18312</v>
      </c>
      <c r="AR9482" s="1" t="str">
        <f t="shared" si="594"/>
        <v>| [ㄓㄠˋ](ㄓㄠˋ.md) | [曌](曌.md) |  | zhào | [名]
同「照」。武則天所造十九個新字之一，用以為己名。《集韻．去聲．笑韻》：「照，《說文》：『明也。』……武后作曌。」《舊唐書．卷六．則天皇后本紀》：「則天皇后武氏諱曌，并州文水人也。」 |</v>
      </c>
    </row>
    <row r="9483" spans="1:44" hidden="1">
      <c r="A9483" s="1" t="s">
        <v>18313</v>
      </c>
      <c r="C9483" s="1">
        <v>1</v>
      </c>
      <c r="D9483" s="1" t="str">
        <f>"07731"</f>
        <v>07731</v>
      </c>
      <c r="E9483" s="1" t="s">
        <v>139</v>
      </c>
      <c r="F9483" s="1">
        <v>18</v>
      </c>
      <c r="G9483" s="1">
        <v>14</v>
      </c>
      <c r="H9483" s="1">
        <v>0</v>
      </c>
      <c r="I9483" s="1" t="s">
        <v>18279</v>
      </c>
      <c r="K9483" s="1" t="str">
        <f t="shared" si="592"/>
        <v>ㄓ</v>
      </c>
      <c r="L9483" s="1" t="str">
        <f t="shared" si="593"/>
        <v>ㄠ</v>
      </c>
      <c r="N9483" s="3" t="s">
        <v>30574</v>
      </c>
      <c r="O9483" s="3"/>
      <c r="P9483" s="1" t="s">
        <v>20</v>
      </c>
      <c r="R9483" s="1" t="s">
        <v>18280</v>
      </c>
      <c r="V9483" s="1" t="s">
        <v>18314</v>
      </c>
      <c r="AR9483" s="1" t="str">
        <f t="shared" si="594"/>
        <v>| [ㄓㄠˋ](ㄓㄠˋ.md) | [櫂](櫂.md) |  | zhào | [名]
1.划船用的槳。《楚辭．屈原．九歌．湘君》：「桂櫂兮蘭枻，斲冰兮積雪。」宋．陸游〈泛舟〉詩：「水鄉元不減吳松，短櫂沿洄野興濃。」
2.借指船。如：「征櫂」。《宋史．卷三．太祖本紀》：「遂幸東水門，發戰櫂東下。」
[動]
划船、搖船。《後漢書．卷五九．張衡傳》：「號馮夷俾清津兮，櫂龍舟以濟予。」唐．錢起〈江行無題〉詩一〇〇首之一〇：「宦遊難自定，來喚櫂船郎。」 |</v>
      </c>
    </row>
    <row r="9484" spans="1:44" hidden="1">
      <c r="A9484" s="1" t="s">
        <v>18199</v>
      </c>
      <c r="C9484" s="1">
        <v>1</v>
      </c>
      <c r="D9484" s="1" t="str">
        <f>"07712"</f>
        <v>07712</v>
      </c>
      <c r="E9484" s="1" t="s">
        <v>37</v>
      </c>
      <c r="F9484" s="1">
        <v>12</v>
      </c>
      <c r="G9484" s="1">
        <v>8</v>
      </c>
      <c r="H9484" s="1">
        <v>3</v>
      </c>
      <c r="I9484" s="1" t="s">
        <v>18265</v>
      </c>
      <c r="K9484" s="1" t="str">
        <f t="shared" si="592"/>
        <v>ㄓ</v>
      </c>
      <c r="L9484" s="1" t="str">
        <f t="shared" si="593"/>
        <v>ㄠ</v>
      </c>
      <c r="N9484" s="3" t="s">
        <v>30575</v>
      </c>
      <c r="O9484" s="3"/>
      <c r="P9484" s="1" t="s">
        <v>20</v>
      </c>
      <c r="R9484" s="1" t="s">
        <v>18266</v>
      </c>
      <c r="V9484" s="1" t="s">
        <v>18267</v>
      </c>
      <c r="W9484" s="1" t="s">
        <v>18268</v>
      </c>
      <c r="AR9484" s="1" t="str">
        <f t="shared" si="594"/>
        <v>| [ㄓㄠˊ](ㄓㄠˊ.md) | [著](著.md) |  | zháo | [動]
1.表示狀態的持續或已有了結果。如：「燈點著了」、「找著了」、「睡著了」。
2.接觸。如：「上不著天，下不著地」、「前不搭村，後不著店」。
3.陷入、中計。如：「他著了我的道了。」
[副]
恰好、得當。如：「這筆錢真花著了。」 |</v>
      </c>
    </row>
    <row r="9485" spans="1:44" hidden="1">
      <c r="A9485" s="1" t="s">
        <v>18269</v>
      </c>
      <c r="C9485" s="1">
        <v>1</v>
      </c>
      <c r="D9485" s="1" t="str">
        <f>"07713"</f>
        <v>07713</v>
      </c>
      <c r="E9485" s="1" t="s">
        <v>1533</v>
      </c>
      <c r="F9485" s="1">
        <v>4</v>
      </c>
      <c r="G9485" s="1">
        <v>0</v>
      </c>
      <c r="H9485" s="1">
        <v>1</v>
      </c>
      <c r="I9485" s="1" t="s">
        <v>18270</v>
      </c>
      <c r="K9485" s="1" t="str">
        <f t="shared" si="592"/>
        <v>ㄓ</v>
      </c>
      <c r="L9485" s="1" t="str">
        <f t="shared" si="593"/>
        <v>ㄠ</v>
      </c>
      <c r="N9485" s="3" t="s">
        <v>30576</v>
      </c>
      <c r="O9485" s="3"/>
      <c r="P9485" s="1" t="s">
        <v>20</v>
      </c>
      <c r="R9485" s="1" t="s">
        <v>18271</v>
      </c>
      <c r="V9485" s="1" t="s">
        <v>18272</v>
      </c>
      <c r="W9485" s="1" t="s">
        <v>18273</v>
      </c>
      <c r="AR9485" s="1" t="str">
        <f t="shared" si="594"/>
        <v>| [ㄓㄠˇ](ㄓㄠˇ.md) | [爪](爪.md) |  | zhǎo | [名]
1.人類手、腳的指甲。也指手指或手。如：「指爪」、「腳爪」。明．焦竑《玉堂叢語．卷七．夙惠》：「先生以指爪逐行按之，按畢輒背，一字不遺。」明．高明《琵琶記》第二七齣：「我祇憑十爪，如何能彀墳土高。」
2.動物腳趾的尖角。也指其尖利趾甲。如：「雞爪」、「鷹爪」、「那隻老虎，張牙舞爪的，作勢想撲殺小兔子。」唐．杜甫〈見王監兵馬使說近山有白黑二鷹羅者久取竟未能得王以為毛骨有異他鷹恐臘後春生騫飛避暖勁翮思秋之甚眇不可見請余賦詩〉：「萬里寒空祇一日，金眸玉爪不凡材。」
3.二一四部首之一。
[動]
用爪抓、搔或捏。唐．柳宗元〈種樹郭橐駝傳〉：「爪其膚以驗其生枯。」明．劉基《郁離子．虞孚》：「貙人立而爪之斃。」 |</v>
      </c>
    </row>
    <row r="9486" spans="1:44" hidden="1">
      <c r="A9486" s="1" t="s">
        <v>18274</v>
      </c>
      <c r="C9486" s="1">
        <v>1</v>
      </c>
      <c r="D9486" s="1" t="str">
        <f>"07714"</f>
        <v>07714</v>
      </c>
      <c r="E9486" s="1" t="s">
        <v>24</v>
      </c>
      <c r="F9486" s="1">
        <v>7</v>
      </c>
      <c r="G9486" s="1">
        <v>4</v>
      </c>
      <c r="H9486" s="1">
        <v>0</v>
      </c>
      <c r="I9486" s="1" t="s">
        <v>18270</v>
      </c>
      <c r="K9486" s="1" t="str">
        <f t="shared" si="592"/>
        <v>ㄓ</v>
      </c>
      <c r="L9486" s="1" t="str">
        <f t="shared" si="593"/>
        <v>ㄠ</v>
      </c>
      <c r="N9486" s="3" t="s">
        <v>30576</v>
      </c>
      <c r="O9486" s="3"/>
      <c r="P9486" s="1" t="s">
        <v>20</v>
      </c>
      <c r="R9486" s="1" t="s">
        <v>18271</v>
      </c>
      <c r="V9486" s="1" t="s">
        <v>18275</v>
      </c>
      <c r="AR9486" s="1" t="str">
        <f t="shared" si="594"/>
        <v>| [ㄓㄠˇ](ㄓㄠˇ.md) | [找](找.md) |  | zhǎo | [動]
1.探訪、尋求。如：「找朋友」、「找工作」、「自找麻煩」。《紅樓夢》第三一回：「這可丟了！往那裡找去？」
2.補回差額。如：「找錢」、「找零兒」。《警世通言．卷一一．蘇知縣羅衫再合》：「當下先秤了一半船錢，那一半直待到縣時找足。」 |</v>
      </c>
    </row>
    <row r="9487" spans="1:44" hidden="1">
      <c r="A9487" s="1" t="s">
        <v>18276</v>
      </c>
      <c r="C9487" s="1">
        <v>1</v>
      </c>
      <c r="D9487" s="1" t="str">
        <f>"07715"</f>
        <v>07715</v>
      </c>
      <c r="E9487" s="1" t="s">
        <v>129</v>
      </c>
      <c r="F9487" s="1">
        <v>8</v>
      </c>
      <c r="G9487" s="1">
        <v>5</v>
      </c>
      <c r="H9487" s="1">
        <v>0</v>
      </c>
      <c r="I9487" s="1" t="s">
        <v>18270</v>
      </c>
      <c r="K9487" s="1" t="str">
        <f t="shared" si="592"/>
        <v>ㄓ</v>
      </c>
      <c r="L9487" s="1" t="str">
        <f t="shared" si="593"/>
        <v>ㄠ</v>
      </c>
      <c r="N9487" s="3" t="s">
        <v>30576</v>
      </c>
      <c r="O9487" s="3"/>
      <c r="P9487" s="1" t="s">
        <v>20</v>
      </c>
      <c r="R9487" s="1" t="s">
        <v>18271</v>
      </c>
      <c r="V9487" s="1" t="s">
        <v>18277</v>
      </c>
      <c r="AR9487" s="1" t="str">
        <f t="shared" si="594"/>
        <v>| [ㄓㄠˇ](ㄓㄠˇ.md) | [沼](沼.md) |  | zhǎo | [名]
水池。如：「池沼」、「沼澤」。《左傳．隱公三年》：「澗溪沼沚之毛，蘋蘩薀藻之菜。」唐．元結〈石魚湖上醉歌〉：「山為樽，水為沼，酒徒歷歷坐洲島。」 |</v>
      </c>
    </row>
    <row r="9488" spans="1:44" hidden="1">
      <c r="A9488" s="1" t="s">
        <v>18367</v>
      </c>
      <c r="C9488" s="1">
        <v>1</v>
      </c>
      <c r="D9488" s="1" t="str">
        <f>"07753"</f>
        <v>07753</v>
      </c>
      <c r="E9488" s="1" t="s">
        <v>624</v>
      </c>
      <c r="F9488" s="1">
        <v>8</v>
      </c>
      <c r="G9488" s="1">
        <v>5</v>
      </c>
      <c r="H9488" s="1">
        <v>0</v>
      </c>
      <c r="I9488" s="1" t="s">
        <v>18368</v>
      </c>
      <c r="K9488" s="1" t="str">
        <f t="shared" si="592"/>
        <v>ㄓ</v>
      </c>
      <c r="L9488" s="1" t="str">
        <f t="shared" si="593"/>
        <v>ㄡ</v>
      </c>
      <c r="N9488" s="3" t="s">
        <v>30574</v>
      </c>
      <c r="O9488" s="3"/>
      <c r="P9488" s="1" t="s">
        <v>20</v>
      </c>
      <c r="R9488" s="1" t="s">
        <v>18369</v>
      </c>
      <c r="V9488" s="1" t="s">
        <v>18370</v>
      </c>
      <c r="AR9488" s="1" t="str">
        <f t="shared" si="594"/>
        <v>| [ㄓㄡˋ](ㄓㄡˋ.md) | [宙](宙.md) |  | zhòu | [名]
1.古往今來無限的時間。如：「宇宙」。《淮南子．齊俗》：「往古來今謂之宙。」宋．蘇軾〈次韻答章傳道見贈〉詩：「並生天地宇，同閱古今宙。」
2.天空。唐．王勃〈七夕賦〉：「霜凝碧宙，水瑩丹霄。」 |</v>
      </c>
    </row>
    <row r="9489" spans="1:44" hidden="1">
      <c r="A9489" s="1" t="s">
        <v>18371</v>
      </c>
      <c r="C9489" s="1">
        <v>1</v>
      </c>
      <c r="D9489" s="1" t="str">
        <f>"07754"</f>
        <v>07754</v>
      </c>
      <c r="E9489" s="1" t="s">
        <v>68</v>
      </c>
      <c r="F9489" s="1">
        <v>9</v>
      </c>
      <c r="G9489" s="1">
        <v>5</v>
      </c>
      <c r="H9489" s="1">
        <v>0</v>
      </c>
      <c r="I9489" s="1" t="s">
        <v>18368</v>
      </c>
      <c r="K9489" s="1" t="str">
        <f t="shared" si="592"/>
        <v>ㄓ</v>
      </c>
      <c r="L9489" s="1" t="str">
        <f t="shared" si="593"/>
        <v>ㄡ</v>
      </c>
      <c r="N9489" s="3" t="s">
        <v>30574</v>
      </c>
      <c r="O9489" s="3"/>
      <c r="P9489" s="1" t="s">
        <v>20</v>
      </c>
      <c r="R9489" s="1" t="s">
        <v>18369</v>
      </c>
      <c r="V9489" s="1" t="s">
        <v>18372</v>
      </c>
      <c r="AR9489" s="1" t="str">
        <f t="shared" si="594"/>
        <v>| [ㄓㄡˋ](ㄓㄡˋ.md) | [胄](胄.md) |  | zhòu | [名]
1.後代子孫。如：「胄裔」、「貴胄」。《左傳．襄公十四年》：「謂我諸戎，是四嶽之裔胄也。」
2.參見「胄子」條。
[動]
承續先業。《後漢書．卷八〇．文苑傳下．邊讓傳》：「胄高陽之苗胤兮，承聖祖之洪澤。」 |</v>
      </c>
    </row>
    <row r="9490" spans="1:44" hidden="1">
      <c r="A9490" s="1" t="s">
        <v>18373</v>
      </c>
      <c r="C9490" s="1">
        <v>1</v>
      </c>
      <c r="D9490" s="1" t="str">
        <f>"07755"</f>
        <v>07755</v>
      </c>
      <c r="E9490" s="1" t="s">
        <v>2729</v>
      </c>
      <c r="F9490" s="1">
        <v>9</v>
      </c>
      <c r="G9490" s="1">
        <v>7</v>
      </c>
      <c r="H9490" s="1">
        <v>0</v>
      </c>
      <c r="I9490" s="1" t="s">
        <v>18368</v>
      </c>
      <c r="K9490" s="1" t="str">
        <f t="shared" si="592"/>
        <v>ㄓ</v>
      </c>
      <c r="L9490" s="1" t="str">
        <f t="shared" si="593"/>
        <v>ㄡ</v>
      </c>
      <c r="N9490" s="3" t="s">
        <v>30574</v>
      </c>
      <c r="O9490" s="3"/>
      <c r="P9490" s="1" t="s">
        <v>20</v>
      </c>
      <c r="R9490" s="1" t="s">
        <v>18369</v>
      </c>
      <c r="V9490" s="1" t="s">
        <v>18374</v>
      </c>
      <c r="AR9490" s="1" t="str">
        <f t="shared" si="594"/>
        <v>| [ㄓㄡˋ](ㄓㄡˋ.md) | [冑](冑.md) |  | zhòu | [名]
古代戰士的頭盔。如：「甲冑」、「介冑」。《左傳．僖公三十三年》：「秦師過周北門，左右免冑而下。」唐．張說〈為魏元忠作祭石嶺戰亡兵士文〉：「石盡矢窮，旗焚冑落。」 |</v>
      </c>
    </row>
    <row r="9491" spans="1:44" hidden="1">
      <c r="A9491" s="1" t="s">
        <v>18358</v>
      </c>
      <c r="C9491" s="1">
        <v>1</v>
      </c>
      <c r="D9491" s="1" t="str">
        <f>"07756"</f>
        <v>07756</v>
      </c>
      <c r="E9491" s="1" t="s">
        <v>71</v>
      </c>
      <c r="F9491" s="1">
        <v>12</v>
      </c>
      <c r="G9491" s="1">
        <v>5</v>
      </c>
      <c r="H9491" s="1">
        <v>3</v>
      </c>
      <c r="I9491" s="1" t="s">
        <v>18368</v>
      </c>
      <c r="K9491" s="1" t="str">
        <f t="shared" si="592"/>
        <v>ㄓ</v>
      </c>
      <c r="L9491" s="1" t="str">
        <f t="shared" si="593"/>
        <v>ㄡ</v>
      </c>
      <c r="N9491" s="3" t="s">
        <v>30574</v>
      </c>
      <c r="O9491" s="3"/>
      <c r="P9491" s="1" t="s">
        <v>20</v>
      </c>
      <c r="R9491" s="1" t="s">
        <v>18369</v>
      </c>
      <c r="V9491" s="1" t="s">
        <v>18375</v>
      </c>
      <c r="W9491" s="1" t="s">
        <v>18376</v>
      </c>
      <c r="AR9491" s="1" t="str">
        <f t="shared" si="594"/>
        <v>| [ㄓㄡˋ](ㄓㄡˋ.md) | [軸](軸.md) |  | zhòu | 參見「軸子」條。 |</v>
      </c>
    </row>
    <row r="9492" spans="1:44" hidden="1">
      <c r="A9492" s="1" t="s">
        <v>18377</v>
      </c>
      <c r="C9492" s="1">
        <v>1</v>
      </c>
      <c r="D9492" s="1" t="str">
        <f>"07757"</f>
        <v>07757</v>
      </c>
      <c r="E9492" s="1" t="s">
        <v>28</v>
      </c>
      <c r="F9492" s="1">
        <v>8</v>
      </c>
      <c r="G9492" s="1">
        <v>5</v>
      </c>
      <c r="H9492" s="1">
        <v>0</v>
      </c>
      <c r="I9492" s="1" t="s">
        <v>18368</v>
      </c>
      <c r="K9492" s="1" t="str">
        <f t="shared" si="592"/>
        <v>ㄓ</v>
      </c>
      <c r="L9492" s="1" t="str">
        <f t="shared" si="593"/>
        <v>ㄡ</v>
      </c>
      <c r="N9492" s="3" t="s">
        <v>30574</v>
      </c>
      <c r="O9492" s="3"/>
      <c r="P9492" s="1" t="s">
        <v>20</v>
      </c>
      <c r="R9492" s="1" t="s">
        <v>18369</v>
      </c>
      <c r="V9492" s="1" t="s">
        <v>18378</v>
      </c>
      <c r="AR9492" s="1" t="str">
        <f t="shared" si="594"/>
        <v>| [ㄓㄡˋ](ㄓㄡˋ.md) | [咒](咒.md) |  | zhòu | [名]
1.用法術驅鬼除邪或治病的口訣。如：「畫符念咒」。
2.以梵文發音的偈語或咒語。如：「大悲咒」、「六字大明咒」。
[動]
1.用惡毒不吉利的話罵人。如：「詛咒」。《西遊記》第一〇回：「李定聞言，大怒道：『……你怎麼咒我？』」
2.發誓。如：「賭咒」。 |</v>
      </c>
    </row>
    <row r="9493" spans="1:44" hidden="1">
      <c r="A9493" s="1" t="s">
        <v>18379</v>
      </c>
      <c r="C9493" s="1">
        <v>1</v>
      </c>
      <c r="D9493" s="1" t="str">
        <f>"07758"</f>
        <v>07758</v>
      </c>
      <c r="E9493" s="1" t="s">
        <v>28</v>
      </c>
      <c r="F9493" s="1">
        <v>9</v>
      </c>
      <c r="G9493" s="1">
        <v>6</v>
      </c>
      <c r="H9493" s="1">
        <v>0</v>
      </c>
      <c r="I9493" s="1" t="s">
        <v>18368</v>
      </c>
      <c r="K9493" s="1" t="str">
        <f t="shared" si="592"/>
        <v>ㄓ</v>
      </c>
      <c r="L9493" s="1" t="str">
        <f t="shared" si="593"/>
        <v>ㄡ</v>
      </c>
      <c r="N9493" s="3" t="s">
        <v>30574</v>
      </c>
      <c r="O9493" s="3"/>
      <c r="P9493" s="1" t="s">
        <v>20</v>
      </c>
      <c r="R9493" s="1" t="s">
        <v>18369</v>
      </c>
      <c r="V9493" s="1" t="s">
        <v>18380</v>
      </c>
      <c r="AR9493" s="1" t="str">
        <f t="shared" si="594"/>
        <v>| [ㄓㄡˋ](ㄓㄡˋ.md) | [咮](咮.md) |  | zhòu | [名]
鳥嘴。《說文解字．口部》：「咮，鳥口也。」《詩經．曹風．候人》：「維鵜在梁，不濡其咮。」 |</v>
      </c>
    </row>
    <row r="9494" spans="1:44" hidden="1">
      <c r="A9494" s="1" t="s">
        <v>18381</v>
      </c>
      <c r="C9494" s="1">
        <v>1</v>
      </c>
      <c r="D9494" s="1" t="str">
        <f>"07759"</f>
        <v>07759</v>
      </c>
      <c r="E9494" s="1" t="s">
        <v>725</v>
      </c>
      <c r="F9494" s="1">
        <v>9</v>
      </c>
      <c r="G9494" s="1">
        <v>3</v>
      </c>
      <c r="H9494" s="1">
        <v>0</v>
      </c>
      <c r="I9494" s="1" t="s">
        <v>18368</v>
      </c>
      <c r="K9494" s="1" t="str">
        <f t="shared" si="592"/>
        <v>ㄓ</v>
      </c>
      <c r="L9494" s="1" t="str">
        <f t="shared" si="593"/>
        <v>ㄡ</v>
      </c>
      <c r="N9494" s="3" t="s">
        <v>30574</v>
      </c>
      <c r="O9494" s="3"/>
      <c r="P9494" s="1" t="s">
        <v>20</v>
      </c>
      <c r="R9494" s="1" t="s">
        <v>18369</v>
      </c>
      <c r="V9494" s="1" t="s">
        <v>18382</v>
      </c>
      <c r="AR9494" s="1" t="str">
        <f t="shared" si="594"/>
        <v>| [ㄓㄡˋ](ㄓㄡˋ.md) | [紂](紂.md) |  | zhòu | [名]
1.勒在馬臀上的皮帶。《說文解字．糸部》：「紂，馬緧也。」
2.人名。商朝最後一位君主，相傳是個暴君。 |</v>
      </c>
    </row>
    <row r="9495" spans="1:44" hidden="1">
      <c r="A9495" s="1" t="s">
        <v>18383</v>
      </c>
      <c r="C9495" s="1">
        <v>1</v>
      </c>
      <c r="D9495" s="1" t="str">
        <f>"07760"</f>
        <v>07760</v>
      </c>
      <c r="E9495" s="1" t="s">
        <v>1462</v>
      </c>
      <c r="F9495" s="1">
        <v>10</v>
      </c>
      <c r="G9495" s="1">
        <v>3</v>
      </c>
      <c r="H9495" s="1">
        <v>0</v>
      </c>
      <c r="I9495" s="1" t="s">
        <v>18368</v>
      </c>
      <c r="K9495" s="1" t="str">
        <f t="shared" si="592"/>
        <v>ㄓ</v>
      </c>
      <c r="L9495" s="1" t="str">
        <f t="shared" si="593"/>
        <v>ㄡ</v>
      </c>
      <c r="N9495" s="3" t="s">
        <v>30574</v>
      </c>
      <c r="O9495" s="3"/>
      <c r="P9495" s="1" t="s">
        <v>20</v>
      </c>
      <c r="R9495" s="1" t="s">
        <v>18369</v>
      </c>
      <c r="V9495" s="1" t="s">
        <v>18384</v>
      </c>
      <c r="AR9495" s="1" t="str">
        <f t="shared" si="594"/>
        <v>| [ㄓㄡˋ](ㄓㄡˋ.md) | [酎](酎.md) |  | zhòu | [名]
多重加工而釀成的醇酒。《說文解字．酉部》：「酎，三重醇酒也。」《禮記．月令》：「天子飲酎，用禮樂。」漢．鄭玄．注：「酎之言醇也，謂重釀之酒也。」 |</v>
      </c>
    </row>
    <row r="9496" spans="1:44" hidden="1">
      <c r="A9496" s="1" t="s">
        <v>18385</v>
      </c>
      <c r="C9496" s="1">
        <v>1</v>
      </c>
      <c r="D9496" s="1" t="str">
        <f>"07761"</f>
        <v>07761</v>
      </c>
      <c r="E9496" s="1" t="s">
        <v>646</v>
      </c>
      <c r="F9496" s="1">
        <v>11</v>
      </c>
      <c r="G9496" s="1">
        <v>7</v>
      </c>
      <c r="H9496" s="1">
        <v>0</v>
      </c>
      <c r="I9496" s="1" t="s">
        <v>18368</v>
      </c>
      <c r="K9496" s="1" t="str">
        <f t="shared" si="592"/>
        <v>ㄓ</v>
      </c>
      <c r="L9496" s="1" t="str">
        <f t="shared" si="593"/>
        <v>ㄡ</v>
      </c>
      <c r="N9496" s="3" t="s">
        <v>30574</v>
      </c>
      <c r="O9496" s="3"/>
      <c r="P9496" s="1" t="s">
        <v>20</v>
      </c>
      <c r="R9496" s="1" t="s">
        <v>18369</v>
      </c>
      <c r="V9496" s="1" t="s">
        <v>18386</v>
      </c>
      <c r="AR9496" s="1" t="str">
        <f t="shared" si="594"/>
        <v>| [ㄓㄡˋ](ㄓㄡˋ.md) | [晝](晝.md) |  | zhòu | [名]
1.白天。如：「白晝」、「晝伏夜出」。
2.地名。春秋齊邑，故址約位於今大陸地區山東省臨淄縣西北。 |</v>
      </c>
    </row>
    <row r="9497" spans="1:44" hidden="1">
      <c r="A9497" s="1" t="s">
        <v>18387</v>
      </c>
      <c r="C9497" s="1">
        <v>1</v>
      </c>
      <c r="D9497" s="1" t="str">
        <f>"07762"</f>
        <v>07762</v>
      </c>
      <c r="E9497" s="1" t="s">
        <v>114</v>
      </c>
      <c r="F9497" s="1">
        <v>12</v>
      </c>
      <c r="G9497" s="1">
        <v>10</v>
      </c>
      <c r="H9497" s="1">
        <v>0</v>
      </c>
      <c r="I9497" s="1" t="s">
        <v>18368</v>
      </c>
      <c r="K9497" s="1" t="str">
        <f t="shared" si="592"/>
        <v>ㄓ</v>
      </c>
      <c r="L9497" s="1" t="str">
        <f t="shared" si="593"/>
        <v>ㄡ</v>
      </c>
      <c r="N9497" s="3" t="s">
        <v>30574</v>
      </c>
      <c r="O9497" s="3"/>
      <c r="P9497" s="1" t="s">
        <v>20</v>
      </c>
      <c r="R9497" s="1" t="s">
        <v>18369</v>
      </c>
      <c r="V9497" s="1" t="s">
        <v>18388</v>
      </c>
      <c r="AR9497" s="1" t="str">
        <f t="shared" si="594"/>
        <v>| [ㄓㄡˋ](ㄓㄡˋ.md) | [㑳](㑳.md) |  | zhòu | [形]
1.輕俏、乖巧。元．鄭光祖《㑳梅香．楔子》：「內外的人沒有一個不稱賞他的。因此上，都喚他做㑳梅香。」
2.飄忽不定。元．王實甫《西廂記．第四本．第二折》：「老夫人心數多，情性㑳。」 |</v>
      </c>
    </row>
    <row r="9498" spans="1:44" hidden="1">
      <c r="A9498" s="1" t="s">
        <v>18389</v>
      </c>
      <c r="C9498" s="1">
        <v>1</v>
      </c>
      <c r="D9498" s="1" t="str">
        <f>"07763"</f>
        <v>07763</v>
      </c>
      <c r="E9498" s="1" t="s">
        <v>1792</v>
      </c>
      <c r="F9498" s="1">
        <v>15</v>
      </c>
      <c r="G9498" s="1">
        <v>10</v>
      </c>
      <c r="H9498" s="1">
        <v>0</v>
      </c>
      <c r="I9498" s="1" t="s">
        <v>18368</v>
      </c>
      <c r="K9498" s="1" t="str">
        <f t="shared" si="592"/>
        <v>ㄓ</v>
      </c>
      <c r="L9498" s="1" t="str">
        <f t="shared" si="593"/>
        <v>ㄡ</v>
      </c>
      <c r="N9498" s="3" t="s">
        <v>30574</v>
      </c>
      <c r="O9498" s="3"/>
      <c r="P9498" s="1" t="s">
        <v>20</v>
      </c>
      <c r="R9498" s="1" t="s">
        <v>18369</v>
      </c>
      <c r="V9498" s="1" t="s">
        <v>18390</v>
      </c>
      <c r="AR9498" s="1" t="str">
        <f t="shared" si="594"/>
        <v>| [ㄓㄡˋ](ㄓㄡˋ.md) | [皺](皺.md) |  | zhòu | [形]
1.臉上或皮膚因鬆弛而有摺紋的。如：「皺紋」。唐．李賀〈啁少年〉詩：「莫道韶華鎮長在，髮白面皺專相待。」
2.物體有摺痕的。如：「皺摺」、「他的衣服皺了！」
[動]
擠壓、收縮。如：「皺眉頭」。南朝梁．陶弘景《周氏冥通記．卷一．五月事》：「此人始入戶，便皺面去，居太近。」 |</v>
      </c>
    </row>
    <row r="9499" spans="1:44" hidden="1">
      <c r="A9499" s="1" t="s">
        <v>18391</v>
      </c>
      <c r="C9499" s="1">
        <v>1</v>
      </c>
      <c r="D9499" s="1" t="str">
        <f>"07764"</f>
        <v>07764</v>
      </c>
      <c r="E9499" s="1" t="s">
        <v>725</v>
      </c>
      <c r="F9499" s="1">
        <v>16</v>
      </c>
      <c r="G9499" s="1">
        <v>10</v>
      </c>
      <c r="H9499" s="1">
        <v>0</v>
      </c>
      <c r="I9499" s="1" t="s">
        <v>18368</v>
      </c>
      <c r="K9499" s="1" t="str">
        <f t="shared" si="592"/>
        <v>ㄓ</v>
      </c>
      <c r="L9499" s="1" t="str">
        <f t="shared" si="593"/>
        <v>ㄡ</v>
      </c>
      <c r="N9499" s="3" t="s">
        <v>30574</v>
      </c>
      <c r="O9499" s="3"/>
      <c r="P9499" s="1" t="s">
        <v>20</v>
      </c>
      <c r="R9499" s="1" t="s">
        <v>18369</v>
      </c>
      <c r="V9499" s="1" t="s">
        <v>18392</v>
      </c>
      <c r="AR9499" s="1" t="str">
        <f t="shared" si="594"/>
        <v>| [ㄓㄡˋ](ㄓㄡˋ.md) | [縐](縐.md) |  | zhòu | [名]
表面有皺紋的紡織品。如：「湖縐」。
[形]
有皺紋的。如：「縐紗」、「縐布」。 |</v>
      </c>
    </row>
    <row r="9500" spans="1:44" hidden="1">
      <c r="A9500" s="1" t="s">
        <v>18393</v>
      </c>
      <c r="C9500" s="1">
        <v>1</v>
      </c>
      <c r="D9500" s="1" t="str">
        <f>"07765"</f>
        <v>07765</v>
      </c>
      <c r="E9500" s="1" t="s">
        <v>1824</v>
      </c>
      <c r="F9500" s="1">
        <v>14</v>
      </c>
      <c r="G9500" s="1">
        <v>9</v>
      </c>
      <c r="H9500" s="1">
        <v>0</v>
      </c>
      <c r="I9500" s="1" t="s">
        <v>18368</v>
      </c>
      <c r="K9500" s="1" t="str">
        <f t="shared" si="592"/>
        <v>ㄓ</v>
      </c>
      <c r="L9500" s="1" t="str">
        <f t="shared" si="593"/>
        <v>ㄡ</v>
      </c>
      <c r="N9500" s="3" t="s">
        <v>30574</v>
      </c>
      <c r="O9500" s="3"/>
      <c r="P9500" s="1" t="s">
        <v>20</v>
      </c>
      <c r="R9500" s="1" t="s">
        <v>18369</v>
      </c>
      <c r="V9500" s="1" t="s">
        <v>18394</v>
      </c>
      <c r="AR9500" s="1" t="str">
        <f t="shared" si="594"/>
        <v>| [ㄓㄡˋ](ㄓㄡˋ.md) | [甃](甃.md) |  | zhòu | [名]
井壁。《說文解字．瓦部》：「甃，井壁也。」南朝梁．江淹〈井賦〉：「構玉甃之百節。」
[動]
1.砌磚。《易經．井卦．六四》：「井甃，無咎。」唐．孔穎達．正義：「《子夏傳》曰：『甃亦治也。以磚壘井，脩井之壞，謂之甃。』」
2.裝飾。唐．李賀〈出城別張又新酬李漢〉詩：「光明靄不發，腰龜徒甃銀。」 |</v>
      </c>
    </row>
    <row r="9501" spans="1:44" hidden="1">
      <c r="A9501" s="1" t="s">
        <v>18395</v>
      </c>
      <c r="C9501" s="1">
        <v>1</v>
      </c>
      <c r="D9501" s="1" t="str">
        <f>"07766"</f>
        <v>07766</v>
      </c>
      <c r="E9501" s="1" t="s">
        <v>114</v>
      </c>
      <c r="F9501" s="1">
        <v>15</v>
      </c>
      <c r="G9501" s="1">
        <v>13</v>
      </c>
      <c r="H9501" s="1">
        <v>0</v>
      </c>
      <c r="I9501" s="1" t="s">
        <v>18368</v>
      </c>
      <c r="K9501" s="1" t="str">
        <f t="shared" si="592"/>
        <v>ㄓ</v>
      </c>
      <c r="L9501" s="1" t="str">
        <f t="shared" si="593"/>
        <v>ㄡ</v>
      </c>
      <c r="N9501" s="3" t="s">
        <v>30574</v>
      </c>
      <c r="O9501" s="3"/>
      <c r="P9501" s="1" t="s">
        <v>20</v>
      </c>
      <c r="R9501" s="1" t="s">
        <v>18369</v>
      </c>
      <c r="V9501" s="1" t="s">
        <v>18396</v>
      </c>
      <c r="AR9501" s="1" t="str">
        <f t="shared" si="594"/>
        <v>| [ㄓㄡˋ](ㄓㄡˋ.md) | [僽](僽.md) |  | zhòu | 參見「僝僽」條。 |</v>
      </c>
    </row>
    <row r="9502" spans="1:44" hidden="1">
      <c r="A9502" s="1" t="s">
        <v>18397</v>
      </c>
      <c r="C9502" s="1">
        <v>1</v>
      </c>
      <c r="D9502" s="1" t="str">
        <f>"07767"</f>
        <v>07767</v>
      </c>
      <c r="E9502" s="1" t="s">
        <v>28</v>
      </c>
      <c r="F9502" s="1">
        <v>16</v>
      </c>
      <c r="G9502" s="1">
        <v>13</v>
      </c>
      <c r="H9502" s="1">
        <v>1</v>
      </c>
      <c r="I9502" s="1" t="s">
        <v>18368</v>
      </c>
      <c r="K9502" s="1" t="str">
        <f t="shared" si="592"/>
        <v>ㄓ</v>
      </c>
      <c r="L9502" s="1" t="str">
        <f t="shared" si="593"/>
        <v>ㄡ</v>
      </c>
      <c r="N9502" s="3" t="s">
        <v>30574</v>
      </c>
      <c r="O9502" s="3"/>
      <c r="P9502" s="1" t="s">
        <v>20</v>
      </c>
      <c r="R9502" s="1" t="s">
        <v>18369</v>
      </c>
      <c r="V9502" s="1" t="s">
        <v>18398</v>
      </c>
      <c r="W9502" s="1" t="s">
        <v>18399</v>
      </c>
      <c r="AR9502" s="1" t="str">
        <f t="shared" si="594"/>
        <v>| [ㄓㄡˋ](ㄓㄡˋ.md) | [噣](噣.md) |  | zhòu | [名]
鳥嘴。同「咮」。《史記．卷四三．趙世家》：「中衍人面鳥噣。」 |</v>
      </c>
    </row>
    <row r="9503" spans="1:44" hidden="1">
      <c r="A9503" s="1" t="s">
        <v>18400</v>
      </c>
      <c r="C9503" s="1">
        <v>1</v>
      </c>
      <c r="D9503" s="1" t="str">
        <f>"07768"</f>
        <v>07768</v>
      </c>
      <c r="E9503" s="1" t="s">
        <v>725</v>
      </c>
      <c r="F9503" s="1">
        <v>17</v>
      </c>
      <c r="G9503" s="1">
        <v>11</v>
      </c>
      <c r="H9503" s="1">
        <v>3</v>
      </c>
      <c r="I9503" s="1" t="s">
        <v>18368</v>
      </c>
      <c r="K9503" s="1" t="str">
        <f t="shared" si="592"/>
        <v>ㄓ</v>
      </c>
      <c r="L9503" s="1" t="str">
        <f t="shared" si="593"/>
        <v>ㄡ</v>
      </c>
      <c r="N9503" s="3" t="s">
        <v>30574</v>
      </c>
      <c r="O9503" s="3"/>
      <c r="P9503" s="1" t="s">
        <v>20</v>
      </c>
      <c r="R9503" s="1" t="s">
        <v>18369</v>
      </c>
      <c r="V9503" s="1" t="s">
        <v>18401</v>
      </c>
      <c r="W9503" s="1" t="s">
        <v>18402</v>
      </c>
      <c r="AR9503" s="1" t="str">
        <f t="shared" si="594"/>
        <v>| [ㄓㄡˋ](ㄓㄡˋ.md) | [繇](繇.md) |  | zhòu | [名]
古代占卜的文辭。《左傳．閔公二年》：「成風聞成季之繇，乃事之。」《文選．潘岳．西征賦》：「既定鼎于郟鄏，遂鑽龜而啟繇。」 |</v>
      </c>
    </row>
    <row r="9504" spans="1:44" hidden="1">
      <c r="A9504" s="1" t="s">
        <v>18403</v>
      </c>
      <c r="C9504" s="1">
        <v>1</v>
      </c>
      <c r="D9504" s="1" t="str">
        <f>"07769"</f>
        <v>07769</v>
      </c>
      <c r="E9504" s="1" t="s">
        <v>49</v>
      </c>
      <c r="F9504" s="1">
        <v>19</v>
      </c>
      <c r="G9504" s="1">
        <v>13</v>
      </c>
      <c r="H9504" s="1">
        <v>0</v>
      </c>
      <c r="I9504" s="1" t="s">
        <v>18368</v>
      </c>
      <c r="K9504" s="1" t="str">
        <f t="shared" si="592"/>
        <v>ㄓ</v>
      </c>
      <c r="L9504" s="1" t="str">
        <f t="shared" si="593"/>
        <v>ㄡ</v>
      </c>
      <c r="N9504" s="3" t="s">
        <v>30574</v>
      </c>
      <c r="O9504" s="3"/>
      <c r="P9504" s="1" t="s">
        <v>20</v>
      </c>
      <c r="R9504" s="1" t="s">
        <v>18369</v>
      </c>
      <c r="V9504" s="1" t="s">
        <v>18404</v>
      </c>
      <c r="AR9504" s="1" t="str">
        <f t="shared" si="594"/>
        <v>| [ㄓㄡˋ](ㄓㄡˋ.md) | [籀](籀.md) |  | zhòu | [名]
參見「籀文」條。
[動]
誦讀。漢．許慎〈說文解字序〉：「學僮十七已上始試，諷籀書九千字乃得為吏。」 |</v>
      </c>
    </row>
    <row r="9505" spans="1:44" hidden="1">
      <c r="A9505" s="1" t="s">
        <v>18352</v>
      </c>
      <c r="C9505" s="1">
        <v>1</v>
      </c>
      <c r="D9505" s="1" t="str">
        <f>"07748"</f>
        <v>07748</v>
      </c>
      <c r="E9505" s="1" t="s">
        <v>534</v>
      </c>
      <c r="F9505" s="1">
        <v>8</v>
      </c>
      <c r="G9505" s="1">
        <v>5</v>
      </c>
      <c r="H9505" s="1">
        <v>1</v>
      </c>
      <c r="I9505" s="1" t="s">
        <v>18353</v>
      </c>
      <c r="K9505" s="1" t="str">
        <f t="shared" si="592"/>
        <v>ㄓ</v>
      </c>
      <c r="L9505" s="1" t="str">
        <f t="shared" si="593"/>
        <v>ㄡ</v>
      </c>
      <c r="N9505" s="3" t="s">
        <v>30575</v>
      </c>
      <c r="O9505" s="3"/>
      <c r="P9505" s="1" t="s">
        <v>388</v>
      </c>
      <c r="R9505" s="1" t="s">
        <v>18354</v>
      </c>
      <c r="V9505" s="1" t="s">
        <v>8403</v>
      </c>
      <c r="W9505" s="1" t="s">
        <v>18355</v>
      </c>
      <c r="AR9505" s="1" t="str">
        <f t="shared" si="594"/>
        <v>| [ㄓㄡˊ](ㄓㄡˊ.md) | [妯](妯.md) |  | zhóu | 參見「妯娌」條。 |</v>
      </c>
    </row>
    <row r="9506" spans="1:44" hidden="1">
      <c r="A9506" s="1" t="s">
        <v>18356</v>
      </c>
      <c r="C9506" s="1">
        <v>1</v>
      </c>
      <c r="D9506" s="1" t="str">
        <f>"07749"</f>
        <v>07749</v>
      </c>
      <c r="E9506" s="1" t="s">
        <v>181</v>
      </c>
      <c r="F9506" s="1">
        <v>11</v>
      </c>
      <c r="G9506" s="1">
        <v>5</v>
      </c>
      <c r="H9506" s="1">
        <v>2</v>
      </c>
      <c r="I9506" s="1" t="s">
        <v>18353</v>
      </c>
      <c r="K9506" s="1" t="str">
        <f t="shared" si="592"/>
        <v>ㄓ</v>
      </c>
      <c r="L9506" s="1" t="str">
        <f t="shared" si="593"/>
        <v>ㄡ</v>
      </c>
      <c r="N9506" s="3" t="s">
        <v>30575</v>
      </c>
      <c r="O9506" s="3"/>
      <c r="P9506" s="1" t="s">
        <v>388</v>
      </c>
      <c r="R9506" s="1" t="s">
        <v>18354</v>
      </c>
      <c r="V9506" s="1" t="s">
        <v>407</v>
      </c>
      <c r="W9506" s="1" t="s">
        <v>18357</v>
      </c>
      <c r="AR9506" s="1" t="str">
        <f t="shared" si="594"/>
        <v>| [ㄓㄡˊ](ㄓㄡˊ.md) | [舳](舳.md) |  | zhóu | (一)之語音。 |</v>
      </c>
    </row>
    <row r="9507" spans="1:44" hidden="1">
      <c r="A9507" s="1" t="s">
        <v>18358</v>
      </c>
      <c r="C9507" s="1">
        <v>1</v>
      </c>
      <c r="D9507" s="1" t="str">
        <f>"07750"</f>
        <v>07750</v>
      </c>
      <c r="E9507" s="1" t="s">
        <v>71</v>
      </c>
      <c r="F9507" s="1">
        <v>12</v>
      </c>
      <c r="G9507" s="1">
        <v>5</v>
      </c>
      <c r="H9507" s="1">
        <v>1</v>
      </c>
      <c r="I9507" s="1" t="s">
        <v>18353</v>
      </c>
      <c r="K9507" s="1" t="str">
        <f t="shared" si="592"/>
        <v>ㄓ</v>
      </c>
      <c r="L9507" s="1" t="str">
        <f t="shared" si="593"/>
        <v>ㄡ</v>
      </c>
      <c r="N9507" s="3" t="s">
        <v>30575</v>
      </c>
      <c r="O9507" s="3"/>
      <c r="P9507" s="1" t="s">
        <v>388</v>
      </c>
      <c r="R9507" s="1" t="s">
        <v>18354</v>
      </c>
      <c r="V9507" s="1" t="s">
        <v>18359</v>
      </c>
      <c r="W9507" s="1" t="s">
        <v>18360</v>
      </c>
      <c r="AR9507" s="1" t="str">
        <f t="shared" si="594"/>
        <v>| [ㄓㄡˊ](ㄓㄡˊ.md) | [軸](軸.md) |  | zhóu | [名]
1.貫穿車輪中心，控制輪子轉動的橫桿。如：「車軸」、「輪軸」。宋．蘇軾〈次韻王鞏獨眠〉詩：「天寒日短銀燈續，欲往從之車脫軸。」
2.書卷的橫桿。如：「書軸」、「畫軸」。
3.量詞。計算卷軸裝書畫的單位。如：「一軸山水畫」、「書三千軸」。唐．韓愈〈送諸葛覺往隨州讀書〉詩：「鄴侯家多書，插架三萬軸。」
[形]
中心的、樞要的。如：「軸心國」。 |</v>
      </c>
    </row>
    <row r="9508" spans="1:44" hidden="1">
      <c r="A9508" s="1" t="s">
        <v>18361</v>
      </c>
      <c r="C9508" s="1">
        <v>1</v>
      </c>
      <c r="D9508" s="1" t="str">
        <f>"07751"</f>
        <v>07751</v>
      </c>
      <c r="E9508" s="1" t="s">
        <v>68</v>
      </c>
      <c r="F9508" s="1">
        <v>7</v>
      </c>
      <c r="G9508" s="1">
        <v>3</v>
      </c>
      <c r="H9508" s="1">
        <v>0</v>
      </c>
      <c r="I9508" s="1" t="s">
        <v>18362</v>
      </c>
      <c r="K9508" s="1" t="str">
        <f t="shared" si="592"/>
        <v>ㄓ</v>
      </c>
      <c r="L9508" s="1" t="str">
        <f t="shared" si="593"/>
        <v>ㄡ</v>
      </c>
      <c r="N9508" s="3" t="s">
        <v>30576</v>
      </c>
      <c r="O9508" s="3"/>
      <c r="P9508" s="1" t="s">
        <v>20</v>
      </c>
      <c r="R9508" s="1" t="s">
        <v>18363</v>
      </c>
      <c r="V9508" s="1" t="s">
        <v>18364</v>
      </c>
      <c r="AR9508" s="1" t="str">
        <f t="shared" si="594"/>
        <v>| [ㄓㄡˇ](ㄓㄡˇ.md) | [肘](肘.md) |  | zhǒu | [名]
上下臂關節相接處可以彎曲的部位。如：「胳臂肘兒」。《左傳．成公二年》：「自始合，而矢貫余手及肘，余折以御。」
[動]
1.拉住肘部。唐．杜甫〈遭田父泥飲美嚴中丞〉詩：「高聲索果栗，欲起時被肘。」
2.以肘碰觸。《左傳．成公二年》：「從左右，皆肘之，使立於後。」 |</v>
      </c>
    </row>
    <row r="9509" spans="1:44" hidden="1">
      <c r="A9509" s="1" t="s">
        <v>18365</v>
      </c>
      <c r="C9509" s="1">
        <v>1</v>
      </c>
      <c r="D9509" s="1" t="str">
        <f>"07752"</f>
        <v>07752</v>
      </c>
      <c r="E9509" s="1" t="s">
        <v>222</v>
      </c>
      <c r="F9509" s="1">
        <v>8</v>
      </c>
      <c r="G9509" s="1">
        <v>5</v>
      </c>
      <c r="H9509" s="1">
        <v>0</v>
      </c>
      <c r="I9509" s="1" t="s">
        <v>18362</v>
      </c>
      <c r="K9509" s="1" t="str">
        <f t="shared" si="592"/>
        <v>ㄓ</v>
      </c>
      <c r="L9509" s="1" t="str">
        <f t="shared" si="593"/>
        <v>ㄡ</v>
      </c>
      <c r="N9509" s="3" t="s">
        <v>30576</v>
      </c>
      <c r="O9509" s="3"/>
      <c r="P9509" s="1" t="s">
        <v>20</v>
      </c>
      <c r="R9509" s="1" t="s">
        <v>18363</v>
      </c>
      <c r="V9509" s="1" t="s">
        <v>18366</v>
      </c>
      <c r="AR9509" s="1" t="str">
        <f t="shared" si="594"/>
        <v>| [ㄓㄡˇ](ㄓㄡˇ.md) | [帚](帚.md) |  | zhǒu | [名]
打掃的用具。如：「掃帚」、「竹帚」、「敝帚自珍」。 |</v>
      </c>
    </row>
    <row r="9510" spans="1:44" hidden="1">
      <c r="A9510" s="1" t="s">
        <v>18405</v>
      </c>
      <c r="C9510" s="1">
        <v>1</v>
      </c>
      <c r="D9510" s="1" t="str">
        <f>"07800"</f>
        <v>07800</v>
      </c>
      <c r="E9510" s="1" t="s">
        <v>1279</v>
      </c>
      <c r="F9510" s="1">
        <v>5</v>
      </c>
      <c r="G9510" s="1">
        <v>3</v>
      </c>
      <c r="H9510" s="1">
        <v>2</v>
      </c>
      <c r="I9510" s="1" t="s">
        <v>18473</v>
      </c>
      <c r="K9510" s="1" t="str">
        <f t="shared" si="592"/>
        <v>ㄓ</v>
      </c>
      <c r="L9510" s="1" t="str">
        <f t="shared" si="593"/>
        <v>ㄢ</v>
      </c>
      <c r="N9510" s="3" t="s">
        <v>30574</v>
      </c>
      <c r="O9510" s="3"/>
      <c r="P9510" s="1" t="s">
        <v>20</v>
      </c>
      <c r="R9510" s="1" t="s">
        <v>18474</v>
      </c>
      <c r="V9510" s="1" t="s">
        <v>18475</v>
      </c>
      <c r="W9510" s="1" t="s">
        <v>18476</v>
      </c>
      <c r="AR9510" s="1" t="str">
        <f t="shared" si="594"/>
        <v>| [ㄓㄢˋ](ㄓㄢˋ.md) | [占](占.md) |  | zhàn | [動]
1.據有。通「佔」。唐．方干〈于秀才小池〉詩：「占地未過四五尺，浸天唯入兩三星。」
2.有、具有。唐．韓愈〈進學解〉：「占小善者率以錄，名一藝者無不庸。」
3.口傳。《後漢書．卷四十五．張俊傳》：「俊自獄中占獄吏上書自訟，書奏而俊獄已報。」《西遊記》第三六回：「對月懷歸，口占一首古風長篇。」 |</v>
      </c>
    </row>
    <row r="9511" spans="1:44" hidden="1">
      <c r="A9511" s="1" t="s">
        <v>18410</v>
      </c>
      <c r="C9511" s="1">
        <v>1</v>
      </c>
      <c r="D9511" s="1" t="str">
        <f>"07801"</f>
        <v>07801</v>
      </c>
      <c r="E9511" s="1" t="s">
        <v>114</v>
      </c>
      <c r="F9511" s="1">
        <v>7</v>
      </c>
      <c r="G9511" s="1">
        <v>5</v>
      </c>
      <c r="H9511" s="1">
        <v>1</v>
      </c>
      <c r="I9511" s="1" t="s">
        <v>18473</v>
      </c>
      <c r="K9511" s="1" t="str">
        <f t="shared" si="592"/>
        <v>ㄓ</v>
      </c>
      <c r="L9511" s="1" t="str">
        <f t="shared" si="593"/>
        <v>ㄢ</v>
      </c>
      <c r="N9511" s="3" t="s">
        <v>30574</v>
      </c>
      <c r="O9511" s="3"/>
      <c r="P9511" s="1" t="s">
        <v>20</v>
      </c>
      <c r="R9511" s="1" t="s">
        <v>18474</v>
      </c>
      <c r="V9511" s="1" t="s">
        <v>18477</v>
      </c>
      <c r="W9511" s="1" t="s">
        <v>18478</v>
      </c>
      <c r="AR9511" s="1" t="str">
        <f t="shared" si="594"/>
        <v>| [ㄓㄢˋ](ㄓㄢˋ.md) | [佔](佔.md) |  | zhàn | [動]
強力奪取，據為己有。同「占」。如：「侵佔」、「佔領」。 |</v>
      </c>
    </row>
    <row r="9512" spans="1:44" hidden="1">
      <c r="A9512" s="1" t="s">
        <v>18479</v>
      </c>
      <c r="C9512" s="1">
        <v>1</v>
      </c>
      <c r="D9512" s="1" t="str">
        <f>"07802"</f>
        <v>07802</v>
      </c>
      <c r="E9512" s="1" t="s">
        <v>5784</v>
      </c>
      <c r="F9512" s="1">
        <v>10</v>
      </c>
      <c r="G9512" s="1">
        <v>5</v>
      </c>
      <c r="H9512" s="1">
        <v>0</v>
      </c>
      <c r="I9512" s="1" t="s">
        <v>18473</v>
      </c>
      <c r="K9512" s="1" t="str">
        <f t="shared" si="592"/>
        <v>ㄓ</v>
      </c>
      <c r="L9512" s="1" t="str">
        <f t="shared" si="593"/>
        <v>ㄢ</v>
      </c>
      <c r="N9512" s="3" t="s">
        <v>30574</v>
      </c>
      <c r="O9512" s="3"/>
      <c r="P9512" s="1" t="s">
        <v>20</v>
      </c>
      <c r="R9512" s="1" t="s">
        <v>18474</v>
      </c>
      <c r="V9512" s="1" t="s">
        <v>18480</v>
      </c>
      <c r="AR9512" s="1" t="str">
        <f t="shared" si="594"/>
        <v>| [ㄓㄢˋ](ㄓㄢˋ.md) | [站](站.md) |  | zhàn | [動]
直立。如：「站立」、「站著」。《紅樓夢》第六回：「平兒站在炕沿邊，打量了劉姥姥兩眼。」
[名]
1.旅途中供人暫駐、休息或轉換交通工具的地方。如：「車站」、「驛站」、「休息站」。
2.機關團體為方便聯絡與服務，在各地設立的小型單位。如：「福利站」、「衛生站」、「加油站」。 |</v>
      </c>
    </row>
    <row r="9513" spans="1:44" hidden="1">
      <c r="A9513" s="1" t="s">
        <v>4914</v>
      </c>
      <c r="C9513" s="1">
        <v>1</v>
      </c>
      <c r="D9513" s="1" t="str">
        <f>"07803"</f>
        <v>07803</v>
      </c>
      <c r="E9513" s="1" t="s">
        <v>129</v>
      </c>
      <c r="F9513" s="1">
        <v>12</v>
      </c>
      <c r="G9513" s="1">
        <v>9</v>
      </c>
      <c r="H9513" s="1">
        <v>1</v>
      </c>
      <c r="I9513" s="1" t="s">
        <v>18473</v>
      </c>
      <c r="K9513" s="1" t="str">
        <f t="shared" si="592"/>
        <v>ㄓ</v>
      </c>
      <c r="L9513" s="1" t="str">
        <f t="shared" si="593"/>
        <v>ㄢ</v>
      </c>
      <c r="N9513" s="3" t="s">
        <v>30574</v>
      </c>
      <c r="O9513" s="3"/>
      <c r="P9513" s="1" t="s">
        <v>20</v>
      </c>
      <c r="R9513" s="1" t="s">
        <v>18474</v>
      </c>
      <c r="V9513" s="1" t="s">
        <v>18481</v>
      </c>
      <c r="W9513" s="1" t="s">
        <v>18482</v>
      </c>
      <c r="AR9513" s="1" t="str">
        <f t="shared" si="594"/>
        <v>| [ㄓㄢˋ](ㄓㄢˋ.md) | [湛](湛.md) |  | zhàn | [形]
1.深厚。如：「精湛」、「工夫湛深」。
2.清澈、清楚。宋．蘇軾〈行香子．一葉舟輕〉詞：「一葉舟輕，雙槳鴻驚。水天清，影湛波平。」
[名]
姓。如晉代有湛方生。 |</v>
      </c>
    </row>
    <row r="9514" spans="1:44" hidden="1">
      <c r="A9514" s="1" t="s">
        <v>18483</v>
      </c>
      <c r="C9514" s="1">
        <v>1</v>
      </c>
      <c r="D9514" s="1" t="str">
        <f>"07804"</f>
        <v>07804</v>
      </c>
      <c r="E9514" s="1" t="s">
        <v>139</v>
      </c>
      <c r="F9514" s="1">
        <v>12</v>
      </c>
      <c r="G9514" s="1">
        <v>8</v>
      </c>
      <c r="H9514" s="1">
        <v>0</v>
      </c>
      <c r="I9514" s="1" t="s">
        <v>18473</v>
      </c>
      <c r="K9514" s="1" t="str">
        <f t="shared" si="592"/>
        <v>ㄓ</v>
      </c>
      <c r="L9514" s="1" t="str">
        <f t="shared" si="593"/>
        <v>ㄢ</v>
      </c>
      <c r="N9514" s="3" t="s">
        <v>30574</v>
      </c>
      <c r="O9514" s="3"/>
      <c r="P9514" s="1" t="s">
        <v>20</v>
      </c>
      <c r="R9514" s="1" t="s">
        <v>18474</v>
      </c>
      <c r="V9514" s="1" t="s">
        <v>18484</v>
      </c>
      <c r="AR9514" s="1" t="str">
        <f t="shared" si="594"/>
        <v>| [ㄓㄢˋ](ㄓㄢˋ.md) | [棧](棧.md) |  | zhàn | [名]
1.圈養牲畜的柵欄。如：「馬棧」、「牛棧」。《文選．顏延之．赭白馬賦》：「歲老氣殫，斃於內棧。」
2.在山巖上架木通行的路。如：「明修棧道，暗渡陳倉。」唐．孟郊〈石淙〉詩一〇首之五：「弱棧跨旋碧，危梯倚凝青。」清．洪昇《長生殿》第四五齣：「萬山蜀道，古棧岧嶢。」
3.旅館或倉庫。如：「客棧」、「貨棧」。
4.姓。如三國時魏國有棧潛。 |</v>
      </c>
    </row>
    <row r="9515" spans="1:44" hidden="1">
      <c r="A9515" s="1" t="s">
        <v>18485</v>
      </c>
      <c r="C9515" s="1">
        <v>1</v>
      </c>
      <c r="D9515" s="1" t="str">
        <f>"07805"</f>
        <v>07805</v>
      </c>
      <c r="E9515" s="1" t="s">
        <v>71</v>
      </c>
      <c r="F9515" s="1">
        <v>15</v>
      </c>
      <c r="G9515" s="1">
        <v>8</v>
      </c>
      <c r="H9515" s="1">
        <v>0</v>
      </c>
      <c r="I9515" s="1" t="s">
        <v>18473</v>
      </c>
      <c r="K9515" s="1" t="str">
        <f t="shared" si="592"/>
        <v>ㄓ</v>
      </c>
      <c r="L9515" s="1" t="str">
        <f t="shared" si="593"/>
        <v>ㄢ</v>
      </c>
      <c r="N9515" s="3" t="s">
        <v>30574</v>
      </c>
      <c r="O9515" s="3"/>
      <c r="P9515" s="1" t="s">
        <v>20</v>
      </c>
      <c r="R9515" s="1" t="s">
        <v>18474</v>
      </c>
      <c r="V9515" s="1" t="s">
        <v>18486</v>
      </c>
      <c r="AR9515" s="1" t="str">
        <f t="shared" si="594"/>
        <v>| [ㄓㄢˋ](ㄓㄢˋ.md) | [輚](輚.md) |  | zhàn | 參見「輚輅」條。 |</v>
      </c>
    </row>
    <row r="9516" spans="1:44" hidden="1">
      <c r="A9516" s="1" t="s">
        <v>18487</v>
      </c>
      <c r="C9516" s="1">
        <v>1</v>
      </c>
      <c r="D9516" s="1" t="str">
        <f>"07806"</f>
        <v>07806</v>
      </c>
      <c r="E9516" s="1" t="s">
        <v>725</v>
      </c>
      <c r="F9516" s="1">
        <v>14</v>
      </c>
      <c r="G9516" s="1">
        <v>8</v>
      </c>
      <c r="H9516" s="1">
        <v>0</v>
      </c>
      <c r="I9516" s="1" t="s">
        <v>18473</v>
      </c>
      <c r="K9516" s="1" t="str">
        <f t="shared" si="592"/>
        <v>ㄓ</v>
      </c>
      <c r="L9516" s="1" t="str">
        <f t="shared" si="593"/>
        <v>ㄢ</v>
      </c>
      <c r="N9516" s="3" t="s">
        <v>30574</v>
      </c>
      <c r="O9516" s="3"/>
      <c r="P9516" s="1" t="s">
        <v>20</v>
      </c>
      <c r="R9516" s="1" t="s">
        <v>18474</v>
      </c>
      <c r="V9516" s="1" t="s">
        <v>18488</v>
      </c>
      <c r="AR9516" s="1" t="str">
        <f t="shared" si="594"/>
        <v>| [ㄓㄢˋ](ㄓㄢˋ.md) | [綻](綻.md) |  | zhàn | [動]
1.衣服脫線。如：「綻線」。《禮記．內則》：「衣裳綻裂，紉箴請補綴。」
2.破裂、裂開。如：「皮開肉綻」。唐．杜牧〈感懷〉詩：「茅茨覆宮殿，封章綻帷帳。」
3.花蕾吐放。如：「綻放」。唐．杜甫〈陪鄭廣文遊何將軍山林〉詩一〇首之五：「綠垂風折筍，紅綻雨肥梅。」
[形]
飽滿。如：「飽綻」。清．方薰〈山靜居畫論下〉：「鉤葉點心，須要精神圓綻，便有活致。」 |</v>
      </c>
    </row>
    <row r="9517" spans="1:44" hidden="1">
      <c r="A9517" s="1" t="s">
        <v>18489</v>
      </c>
      <c r="C9517" s="1">
        <v>1</v>
      </c>
      <c r="D9517" s="1" t="str">
        <f>"07807"</f>
        <v>07807</v>
      </c>
      <c r="E9517" s="1" t="s">
        <v>646</v>
      </c>
      <c r="F9517" s="1">
        <v>15</v>
      </c>
      <c r="G9517" s="1">
        <v>11</v>
      </c>
      <c r="H9517" s="1">
        <v>1</v>
      </c>
      <c r="I9517" s="1" t="s">
        <v>18473</v>
      </c>
      <c r="K9517" s="1" t="str">
        <f t="shared" si="592"/>
        <v>ㄓ</v>
      </c>
      <c r="L9517" s="1" t="str">
        <f t="shared" si="593"/>
        <v>ㄢ</v>
      </c>
      <c r="N9517" s="3" t="s">
        <v>30574</v>
      </c>
      <c r="O9517" s="3"/>
      <c r="P9517" s="1" t="s">
        <v>388</v>
      </c>
      <c r="R9517" s="1" t="s">
        <v>18474</v>
      </c>
      <c r="V9517" s="1" t="s">
        <v>18490</v>
      </c>
      <c r="W9517" s="1" t="s">
        <v>18491</v>
      </c>
      <c r="AR9517" s="1" t="str">
        <f t="shared" si="594"/>
        <v>| [ㄓㄢˋ](ㄓㄢˋ.md) | [暫](暫.md) |  | zhàn | [副]
1.不久、短時間。《書經．盤庚中》：「乃有不吉不迪，顛越不恭，暫遇姦宄。」《樂府詩集．卷七三．雜曲歌辭十三．古辭．焦仲卿妻》：「卿但暫還家，吾今且報府。」
2.姑且。唐．李白〈月下獨酌〉詩四首之一：「暫伴月將影，行樂須及春。」《封神演義》第一回：「因望下一看，知紂王尚有二十八年氣運，不可造次，暫回行宮。」
3.初、剛剛。漢．王充《論衡．禍虛》：「始聞暫見，皆以為然；熟考論之，虛妄言也。」唐．李益〈宿石邑山中〉詩：「曉月暫飛千樹裡，秋河隔在數峰西。」
4.猝然、忽然。《史記．卷一〇九．李將軍傳》：「廣暫騰而上胡兒馬。」《文選．江淹．別賦》：「誰能摹暫離之狀，寫永訣之情者乎！」 |</v>
      </c>
    </row>
    <row r="9518" spans="1:44" hidden="1">
      <c r="A9518" s="1" t="s">
        <v>18492</v>
      </c>
      <c r="C9518" s="1">
        <v>1</v>
      </c>
      <c r="D9518" s="1" t="str">
        <f>"07808"</f>
        <v>07808</v>
      </c>
      <c r="E9518" s="1" t="s">
        <v>77</v>
      </c>
      <c r="F9518" s="1">
        <v>18</v>
      </c>
      <c r="G9518" s="1">
        <v>11</v>
      </c>
      <c r="H9518" s="1">
        <v>1</v>
      </c>
      <c r="I9518" s="1" t="s">
        <v>18473</v>
      </c>
      <c r="K9518" s="1" t="str">
        <f t="shared" si="592"/>
        <v>ㄓ</v>
      </c>
      <c r="L9518" s="1" t="str">
        <f t="shared" si="593"/>
        <v>ㄢ</v>
      </c>
      <c r="N9518" s="3" t="s">
        <v>30574</v>
      </c>
      <c r="O9518" s="3"/>
      <c r="P9518" s="1" t="s">
        <v>388</v>
      </c>
      <c r="R9518" s="1" t="s">
        <v>18474</v>
      </c>
      <c r="V9518" s="1" t="s">
        <v>18493</v>
      </c>
      <c r="W9518" s="1" t="s">
        <v>18494</v>
      </c>
      <c r="AR9518" s="1" t="str">
        <f t="shared" si="594"/>
        <v>| [ㄓㄢˋ](ㄓㄢˋ.md) | [蹔](蹔.md) |  | zhàn | 同「暫」。 |</v>
      </c>
    </row>
    <row r="9519" spans="1:44" hidden="1">
      <c r="A9519" s="1" t="s">
        <v>18495</v>
      </c>
      <c r="C9519" s="1">
        <v>1</v>
      </c>
      <c r="D9519" s="1" t="str">
        <f>"07809"</f>
        <v>07809</v>
      </c>
      <c r="E9519" s="1" t="s">
        <v>4785</v>
      </c>
      <c r="F9519" s="1">
        <v>16</v>
      </c>
      <c r="G9519" s="1">
        <v>12</v>
      </c>
      <c r="H9519" s="1">
        <v>0</v>
      </c>
      <c r="I9519" s="1" t="s">
        <v>18473</v>
      </c>
      <c r="K9519" s="1" t="str">
        <f t="shared" si="592"/>
        <v>ㄓ</v>
      </c>
      <c r="L9519" s="1" t="str">
        <f t="shared" si="593"/>
        <v>ㄢ</v>
      </c>
      <c r="N9519" s="3" t="s">
        <v>30574</v>
      </c>
      <c r="O9519" s="3"/>
      <c r="P9519" s="1" t="s">
        <v>20</v>
      </c>
      <c r="R9519" s="1" t="s">
        <v>18474</v>
      </c>
      <c r="V9519" s="1" t="s">
        <v>18496</v>
      </c>
      <c r="AR9519" s="1" t="str">
        <f t="shared" si="594"/>
        <v>| [ㄓㄢˋ](ㄓㄢˋ.md) | [戰](戰.md) |  | zhàn | [動]
1.打仗。如：「交戰」、「轉戰」。
2.論辯、反駁。如：「論戰」、「舌戰」。
3.害怕、發抖。通「顫」。漢．揚雄《法言．吾子》：「羊質而虎皮，見草而說，見豺而戰，忘其皮之虎矣。」《西遊記》第九七回：「唬得唐僧在馬上亂戰，沙僧與八戒心慌。」
[形]
與戰爭有關的。如：「戰法」、「戰果」、「戰機」。
[名]
1.戰爭。《史記．卷六九．蘇秦傳》：「龍賈之戰，岸門之戰，封陵之戰，高商之戰，趙莊之戰，秦之所殺三晉之民數百萬。」
2.姓。如漢代有戰兢。 |</v>
      </c>
    </row>
    <row r="9520" spans="1:44" hidden="1">
      <c r="A9520" s="1" t="s">
        <v>18497</v>
      </c>
      <c r="C9520" s="1">
        <v>1</v>
      </c>
      <c r="D9520" s="1" t="str">
        <f>"07810"</f>
        <v>07810</v>
      </c>
      <c r="E9520" s="1" t="s">
        <v>340</v>
      </c>
      <c r="F9520" s="1">
        <v>19</v>
      </c>
      <c r="G9520" s="1">
        <v>13</v>
      </c>
      <c r="H9520" s="1">
        <v>1</v>
      </c>
      <c r="I9520" s="1" t="s">
        <v>18473</v>
      </c>
      <c r="K9520" s="1" t="str">
        <f t="shared" ref="K9520:K9583" si="595">LEFT(I9520, 1)</f>
        <v>ㄓ</v>
      </c>
      <c r="L9520" s="1" t="str">
        <f t="shared" ref="L9520:L9583" si="596">MID(I9520, 2, 1)</f>
        <v>ㄢ</v>
      </c>
      <c r="N9520" s="3" t="s">
        <v>30574</v>
      </c>
      <c r="O9520" s="3"/>
      <c r="P9520" s="1" t="s">
        <v>20</v>
      </c>
      <c r="R9520" s="1" t="s">
        <v>18474</v>
      </c>
      <c r="V9520" s="1" t="s">
        <v>18498</v>
      </c>
      <c r="W9520" s="1" t="s">
        <v>18499</v>
      </c>
      <c r="AR9520" s="1" t="str">
        <f t="shared" si="594"/>
        <v>| [ㄓㄢˋ](ㄓㄢˋ.md) | [襢](襢.md) |  | zhàn | [形]
素雅、無文彩。如：「襢衣」。 |</v>
      </c>
    </row>
    <row r="9521" spans="1:44" hidden="1">
      <c r="A9521" s="1" t="s">
        <v>18500</v>
      </c>
      <c r="C9521" s="1">
        <v>1</v>
      </c>
      <c r="D9521" s="1" t="str">
        <f>"07811"</f>
        <v>07811</v>
      </c>
      <c r="E9521" s="1" t="s">
        <v>684</v>
      </c>
      <c r="F9521" s="1">
        <v>22</v>
      </c>
      <c r="G9521" s="1">
        <v>13</v>
      </c>
      <c r="H9521" s="1">
        <v>1</v>
      </c>
      <c r="I9521" s="1" t="s">
        <v>18473</v>
      </c>
      <c r="K9521" s="1" t="str">
        <f t="shared" si="595"/>
        <v>ㄓ</v>
      </c>
      <c r="L9521" s="1" t="str">
        <f t="shared" si="596"/>
        <v>ㄢ</v>
      </c>
      <c r="N9521" s="3" t="s">
        <v>30574</v>
      </c>
      <c r="O9521" s="3"/>
      <c r="P9521" s="1" t="s">
        <v>20</v>
      </c>
      <c r="R9521" s="1" t="s">
        <v>18474</v>
      </c>
      <c r="V9521" s="1" t="s">
        <v>18501</v>
      </c>
      <c r="W9521" s="1" t="s">
        <v>18502</v>
      </c>
      <c r="AR9521" s="1" t="str">
        <f t="shared" si="594"/>
        <v>| [ㄓㄢˋ](ㄓㄢˋ.md) | [顫](顫.md) |  | zhàn | [動]
1.身體因受寒或驚恐而抖動。《儒林外史》第三回：「那手早顫起來，不敢打到第二下。」
2.物體搖動、晃動。唐．韓偓〈忍笑〉詩：「水精鸚鵡釵頭顫，舉袂佯羞忍笑時。」宋．史達祖〈杏花天．細風微月〉詞：「棲鶯未覺花梢顫，踏損殘紅幾片。」 |</v>
      </c>
    </row>
    <row r="9522" spans="1:44" hidden="1">
      <c r="A9522" s="1" t="s">
        <v>18503</v>
      </c>
      <c r="C9522" s="1">
        <v>1</v>
      </c>
      <c r="D9522" s="1" t="str">
        <f>"07812"</f>
        <v>07812</v>
      </c>
      <c r="E9522" s="1" t="s">
        <v>71</v>
      </c>
      <c r="F9522" s="1">
        <v>19</v>
      </c>
      <c r="G9522" s="1">
        <v>12</v>
      </c>
      <c r="H9522" s="1">
        <v>0</v>
      </c>
      <c r="I9522" s="1" t="s">
        <v>18473</v>
      </c>
      <c r="K9522" s="1" t="str">
        <f t="shared" si="595"/>
        <v>ㄓ</v>
      </c>
      <c r="L9522" s="1" t="str">
        <f t="shared" si="596"/>
        <v>ㄢ</v>
      </c>
      <c r="N9522" s="3" t="s">
        <v>30574</v>
      </c>
      <c r="O9522" s="3"/>
      <c r="P9522" s="1" t="s">
        <v>20</v>
      </c>
      <c r="R9522" s="1" t="s">
        <v>18474</v>
      </c>
      <c r="V9522" s="1" t="s">
        <v>18504</v>
      </c>
      <c r="AR9522" s="1" t="str">
        <f t="shared" si="594"/>
        <v>| [ㄓㄢˋ](ㄓㄢˋ.md) | [轏](轏.md) |  | zhàn | [名]
古代士人所乘的車。《左傳．成公二年》：「丑父寢於轏中。」晉．杜預．注：「轏，士車。」 |</v>
      </c>
    </row>
    <row r="9523" spans="1:44" hidden="1">
      <c r="A9523" s="1" t="s">
        <v>18505</v>
      </c>
      <c r="C9523" s="1">
        <v>1</v>
      </c>
      <c r="D9523" s="1" t="str">
        <f>"07813"</f>
        <v>07813</v>
      </c>
      <c r="E9523" s="1" t="s">
        <v>319</v>
      </c>
      <c r="F9523" s="1">
        <v>22</v>
      </c>
      <c r="G9523" s="1">
        <v>12</v>
      </c>
      <c r="H9523" s="1">
        <v>1</v>
      </c>
      <c r="I9523" s="1" t="s">
        <v>18473</v>
      </c>
      <c r="K9523" s="1" t="str">
        <f t="shared" si="595"/>
        <v>ㄓ</v>
      </c>
      <c r="L9523" s="1" t="str">
        <f t="shared" si="596"/>
        <v>ㄢ</v>
      </c>
      <c r="N9523" s="3" t="s">
        <v>30574</v>
      </c>
      <c r="O9523" s="3"/>
      <c r="P9523" s="1" t="s">
        <v>186</v>
      </c>
      <c r="R9523" s="1" t="s">
        <v>18474</v>
      </c>
      <c r="V9523" s="1" t="s">
        <v>18506</v>
      </c>
      <c r="W9523" s="1" t="s">
        <v>18507</v>
      </c>
      <c r="AR9523" s="1" t="str">
        <f t="shared" si="594"/>
        <v>| [ㄓㄢˋ](ㄓㄢˋ.md) | [驏](驏.md) |  | zhàn | [形]
不加鞍轡。《清史稿．卷一．太祖本紀》：「科爾沁貝勒明安馬陷淖中，易驏馬而遁。」 |</v>
      </c>
    </row>
    <row r="9524" spans="1:44" hidden="1">
      <c r="A9524" s="1" t="s">
        <v>18508</v>
      </c>
      <c r="C9524" s="1">
        <v>1</v>
      </c>
      <c r="D9524" s="1" t="str">
        <f>"07814"</f>
        <v>07814</v>
      </c>
      <c r="E9524" s="1" t="s">
        <v>37</v>
      </c>
      <c r="F9524" s="1">
        <v>23</v>
      </c>
      <c r="G9524" s="1">
        <v>19</v>
      </c>
      <c r="H9524" s="1">
        <v>0</v>
      </c>
      <c r="I9524" s="1" t="s">
        <v>18473</v>
      </c>
      <c r="K9524" s="1" t="str">
        <f t="shared" si="595"/>
        <v>ㄓ</v>
      </c>
      <c r="L9524" s="1" t="str">
        <f t="shared" si="596"/>
        <v>ㄢ</v>
      </c>
      <c r="N9524" s="3" t="s">
        <v>30574</v>
      </c>
      <c r="O9524" s="3"/>
      <c r="P9524" s="1" t="s">
        <v>20</v>
      </c>
      <c r="R9524" s="1" t="s">
        <v>18474</v>
      </c>
      <c r="V9524" s="1" t="s">
        <v>18509</v>
      </c>
      <c r="AR9524" s="1" t="str">
        <f t="shared" si="594"/>
        <v>| [ㄓㄢˋ](ㄓㄢˋ.md) | [蘸](蘸.md) |  | zhàn | [動]
把東西沾上液體或黏附其他物質。如：「蘸醬油」、「蘸墨水」、「蘸著糖吃」。 |</v>
      </c>
    </row>
    <row r="9525" spans="1:44" hidden="1">
      <c r="A9525" s="1" t="s">
        <v>18446</v>
      </c>
      <c r="C9525" s="1">
        <v>1</v>
      </c>
      <c r="D9525" s="1" t="str">
        <f>"07788"</f>
        <v>07788</v>
      </c>
      <c r="E9525" s="1" t="s">
        <v>871</v>
      </c>
      <c r="F9525" s="1">
        <v>10</v>
      </c>
      <c r="G9525" s="1">
        <v>7</v>
      </c>
      <c r="H9525" s="1">
        <v>0</v>
      </c>
      <c r="I9525" s="1" t="s">
        <v>18447</v>
      </c>
      <c r="K9525" s="1" t="str">
        <f t="shared" si="595"/>
        <v>ㄓ</v>
      </c>
      <c r="L9525" s="1" t="str">
        <f t="shared" si="596"/>
        <v>ㄢ</v>
      </c>
      <c r="N9525" s="3" t="s">
        <v>30576</v>
      </c>
      <c r="O9525" s="3"/>
      <c r="P9525" s="1" t="s">
        <v>20</v>
      </c>
      <c r="R9525" s="1" t="s">
        <v>18448</v>
      </c>
      <c r="V9525" s="1" t="s">
        <v>18449</v>
      </c>
      <c r="AR9525" s="1" t="str">
        <f t="shared" si="594"/>
        <v>| [ㄓㄢˇ](ㄓㄢˇ.md) | [展](展.md) |  | zhǎn | [動]
1.翻轉、轉動。《說文解字．尸部》：「展，轉也。」《西遊記》第一〇〇回：「須臾間，那馬打個展身，即退了毛皮。」
2.舒張、打開。如：「舒展」。《莊子．盜跖》：「盜跖大怒，兩展其足，案劍瞋目。」宋．蘇軾〈題淨因壁〉詩：「蕉心不展待時雨，葵葉為誰傾夕陽。」
3.延長。《漢書．卷九〇．酷吏傳．王溫舒傳》：「令冬月益展一月，卒吾事矣。」
4.擴張、擴大。《國語．晉語二》：「今嘉其夢，侈必展。」《水滸傳》第一一六回：「此也是數中星宿，盡是陛下開疆展土之臣也。」
5.施行、實施。《文選．曹植．贈白馬王彪詩》：「何必同衾幬，然後展慇勤。」明．湯顯祖《牡丹亭》第二四齣：「到了觀中，且安置閣兒上，擇日展禮。」
6.省視、檢閱。《周禮．春官．肆師》：「大祭祀，展犧牲。」
7.陳列、鋪放。如：「展覽」。《左傳．襄公三十一年》：「百官之屬，各展其物。」
8.記錄。《周禮．天官．內宰》：「正其服，禁其奇邪，展其功緒。」
9.濡染。同「沾」。參見「展汙」條。
[名]
姓。如明代有展迪。 |</v>
      </c>
    </row>
    <row r="9526" spans="1:44" hidden="1">
      <c r="A9526" s="1" t="s">
        <v>18450</v>
      </c>
      <c r="C9526" s="1">
        <v>1</v>
      </c>
      <c r="D9526" s="1" t="str">
        <f>"07789"</f>
        <v>07789</v>
      </c>
      <c r="E9526" s="1" t="s">
        <v>24</v>
      </c>
      <c r="F9526" s="1">
        <v>13</v>
      </c>
      <c r="G9526" s="1">
        <v>10</v>
      </c>
      <c r="H9526" s="1">
        <v>0</v>
      </c>
      <c r="I9526" s="1" t="s">
        <v>18447</v>
      </c>
      <c r="K9526" s="1" t="str">
        <f t="shared" si="595"/>
        <v>ㄓ</v>
      </c>
      <c r="L9526" s="1" t="str">
        <f t="shared" si="596"/>
        <v>ㄢ</v>
      </c>
      <c r="N9526" s="3" t="s">
        <v>30576</v>
      </c>
      <c r="O9526" s="3"/>
      <c r="P9526" s="1" t="s">
        <v>20</v>
      </c>
      <c r="R9526" s="1" t="s">
        <v>18448</v>
      </c>
      <c r="V9526" s="1" t="s">
        <v>18451</v>
      </c>
      <c r="AR9526" s="1" t="str">
        <f t="shared" si="594"/>
        <v>| [ㄓㄢˇ](ㄓㄢˇ.md) | [搌](搌.md) |  | zhǎn | [動]
1.束縛。《集韻．上聲．獮韻》：「搌，縛束也。」
2.輕輕擦抹或按壓。如：「紙上落了一滴墨，快拿吸墨紙搌一搌吧！」 |</v>
      </c>
    </row>
    <row r="9527" spans="1:44" hidden="1">
      <c r="A9527" s="1" t="s">
        <v>7574</v>
      </c>
      <c r="C9527" s="1">
        <v>1</v>
      </c>
      <c r="D9527" s="1" t="str">
        <f>"07790"</f>
        <v>07790</v>
      </c>
      <c r="E9527" s="1" t="s">
        <v>71</v>
      </c>
      <c r="F9527" s="1">
        <v>17</v>
      </c>
      <c r="G9527" s="1">
        <v>10</v>
      </c>
      <c r="H9527" s="1">
        <v>1</v>
      </c>
      <c r="I9527" s="1" t="s">
        <v>18447</v>
      </c>
      <c r="K9527" s="1" t="str">
        <f t="shared" si="595"/>
        <v>ㄓ</v>
      </c>
      <c r="L9527" s="1" t="str">
        <f t="shared" si="596"/>
        <v>ㄢ</v>
      </c>
      <c r="N9527" s="3" t="s">
        <v>30576</v>
      </c>
      <c r="O9527" s="3"/>
      <c r="P9527" s="1" t="s">
        <v>20</v>
      </c>
      <c r="R9527" s="1" t="s">
        <v>18448</v>
      </c>
      <c r="V9527" s="1" t="s">
        <v>18452</v>
      </c>
      <c r="W9527" s="1" t="s">
        <v>18453</v>
      </c>
      <c r="AR9527" s="1" t="str">
        <f t="shared" si="594"/>
        <v>| [ㄓㄢˇ](ㄓㄢˇ.md) | [輾](輾.md) |  | zhǎn | 參見「輾轉」條。 |</v>
      </c>
    </row>
    <row r="9528" spans="1:44" hidden="1">
      <c r="A9528" s="1" t="s">
        <v>18454</v>
      </c>
      <c r="C9528" s="1">
        <v>1</v>
      </c>
      <c r="D9528" s="1" t="str">
        <f>"07791"</f>
        <v>07791</v>
      </c>
      <c r="E9528" s="1" t="s">
        <v>77</v>
      </c>
      <c r="F9528" s="1">
        <v>17</v>
      </c>
      <c r="G9528" s="1">
        <v>10</v>
      </c>
      <c r="H9528" s="1">
        <v>0</v>
      </c>
      <c r="I9528" s="1" t="s">
        <v>18447</v>
      </c>
      <c r="K9528" s="1" t="str">
        <f t="shared" si="595"/>
        <v>ㄓ</v>
      </c>
      <c r="L9528" s="1" t="str">
        <f t="shared" si="596"/>
        <v>ㄢ</v>
      </c>
      <c r="N9528" s="3" t="s">
        <v>30576</v>
      </c>
      <c r="O9528" s="3"/>
      <c r="P9528" s="1" t="s">
        <v>20</v>
      </c>
      <c r="R9528" s="1" t="s">
        <v>18448</v>
      </c>
      <c r="V9528" s="1" t="s">
        <v>18455</v>
      </c>
      <c r="AR9528" s="1" t="str">
        <f t="shared" si="594"/>
        <v>| [ㄓㄢˇ](ㄓㄢˇ.md) | [蹍](蹍.md) |  | zhǎn | [動]
踐踏。《莊子．庚桑楚》：「蹍市人之足，則辭以放驁。」南朝宋．劉義慶《世說新語．忿狷》：「雞子於地圓轉未止，仍下地以屐齒蹍之。」 |</v>
      </c>
    </row>
    <row r="9529" spans="1:44" hidden="1">
      <c r="A9529" s="1" t="s">
        <v>18456</v>
      </c>
      <c r="C9529" s="1">
        <v>1</v>
      </c>
      <c r="D9529" s="1" t="str">
        <f>"07792"</f>
        <v>07792</v>
      </c>
      <c r="E9529" s="1" t="s">
        <v>4517</v>
      </c>
      <c r="F9529" s="1">
        <v>11</v>
      </c>
      <c r="G9529" s="1">
        <v>7</v>
      </c>
      <c r="H9529" s="1">
        <v>0</v>
      </c>
      <c r="I9529" s="1" t="s">
        <v>18447</v>
      </c>
      <c r="K9529" s="1" t="str">
        <f t="shared" si="595"/>
        <v>ㄓ</v>
      </c>
      <c r="L9529" s="1" t="str">
        <f t="shared" si="596"/>
        <v>ㄢ</v>
      </c>
      <c r="N9529" s="3" t="s">
        <v>30576</v>
      </c>
      <c r="O9529" s="3"/>
      <c r="P9529" s="1" t="s">
        <v>20</v>
      </c>
      <c r="R9529" s="1" t="s">
        <v>18448</v>
      </c>
      <c r="V9529" s="1" t="s">
        <v>18457</v>
      </c>
      <c r="AR9529" s="1" t="str">
        <f t="shared" si="594"/>
        <v>| [ㄓㄢˇ](ㄓㄢˇ.md) | [斬](斬.md) |  | zhǎn | [動]
1.砍、殺。如：「披荊斬棘」、「斬首示眾」、「斬草不除根，春風吹又生。」
2.斷絕。《孟子．離婁下》：「君子之澤，五世而斬。」《戰國策．秦策三》：「北斬太行之道，則上黨之兵不下。」 |</v>
      </c>
    </row>
    <row r="9530" spans="1:44" hidden="1">
      <c r="A9530" s="1" t="s">
        <v>18458</v>
      </c>
      <c r="C9530" s="1">
        <v>1</v>
      </c>
      <c r="D9530" s="1" t="str">
        <f>"07793"</f>
        <v>07793</v>
      </c>
      <c r="E9530" s="1" t="s">
        <v>190</v>
      </c>
      <c r="F9530" s="1">
        <v>14</v>
      </c>
      <c r="G9530" s="1">
        <v>11</v>
      </c>
      <c r="H9530" s="1">
        <v>1</v>
      </c>
      <c r="I9530" s="1" t="s">
        <v>18447</v>
      </c>
      <c r="K9530" s="1" t="str">
        <f t="shared" si="595"/>
        <v>ㄓ</v>
      </c>
      <c r="L9530" s="1" t="str">
        <f t="shared" si="596"/>
        <v>ㄢ</v>
      </c>
      <c r="N9530" s="3" t="s">
        <v>30576</v>
      </c>
      <c r="O9530" s="3"/>
      <c r="P9530" s="1" t="s">
        <v>20</v>
      </c>
      <c r="R9530" s="1" t="s">
        <v>18448</v>
      </c>
      <c r="V9530" s="1" t="s">
        <v>18459</v>
      </c>
      <c r="W9530" s="1" t="s">
        <v>18460</v>
      </c>
      <c r="AR9530" s="1" t="str">
        <f t="shared" si="594"/>
        <v>| [ㄓㄢˇ](ㄓㄢˇ.md) | [嶄](嶄.md) |  | zhǎn | [副]
1.突出。唐．韓愈〈柳子厚墓誌銘〉：「逮其父時，雖少年，已自成人，能取進士第，嶄然見頭角。」
2.很、特別，表示程度。如：「嶄新」。 |</v>
      </c>
    </row>
    <row r="9531" spans="1:44" hidden="1">
      <c r="A9531" s="1" t="s">
        <v>18461</v>
      </c>
      <c r="C9531" s="1">
        <v>1</v>
      </c>
      <c r="D9531" s="1" t="str">
        <f>"07794"</f>
        <v>07794</v>
      </c>
      <c r="E9531" s="1" t="s">
        <v>142</v>
      </c>
      <c r="F9531" s="1">
        <v>12</v>
      </c>
      <c r="G9531" s="1">
        <v>8</v>
      </c>
      <c r="H9531" s="1">
        <v>0</v>
      </c>
      <c r="I9531" s="1" t="s">
        <v>18447</v>
      </c>
      <c r="K9531" s="1" t="str">
        <f t="shared" si="595"/>
        <v>ㄓ</v>
      </c>
      <c r="L9531" s="1" t="str">
        <f t="shared" si="596"/>
        <v>ㄢ</v>
      </c>
      <c r="N9531" s="3" t="s">
        <v>30576</v>
      </c>
      <c r="O9531" s="3"/>
      <c r="P9531" s="1" t="s">
        <v>20</v>
      </c>
      <c r="R9531" s="1" t="s">
        <v>18448</v>
      </c>
      <c r="V9531" s="1" t="s">
        <v>18462</v>
      </c>
      <c r="AR9531" s="1" t="str">
        <f t="shared" si="594"/>
        <v>| [ㄓㄢˇ](ㄓㄢˇ.md) | [琖](琖.md) |  | zhǎn | [名]
用玉做成的酒杯。《禮記．明堂位》：「爵用玉琖仍雕。」 |</v>
      </c>
    </row>
    <row r="9532" spans="1:44" hidden="1">
      <c r="A9532" s="1" t="s">
        <v>18463</v>
      </c>
      <c r="C9532" s="1">
        <v>1</v>
      </c>
      <c r="D9532" s="1" t="str">
        <f>"07795"</f>
        <v>07795</v>
      </c>
      <c r="E9532" s="1" t="s">
        <v>438</v>
      </c>
      <c r="F9532" s="1">
        <v>13</v>
      </c>
      <c r="G9532" s="1">
        <v>8</v>
      </c>
      <c r="H9532" s="1">
        <v>0</v>
      </c>
      <c r="I9532" s="1" t="s">
        <v>18447</v>
      </c>
      <c r="K9532" s="1" t="str">
        <f t="shared" si="595"/>
        <v>ㄓ</v>
      </c>
      <c r="L9532" s="1" t="str">
        <f t="shared" si="596"/>
        <v>ㄢ</v>
      </c>
      <c r="N9532" s="3" t="s">
        <v>30576</v>
      </c>
      <c r="O9532" s="3"/>
      <c r="P9532" s="1" t="s">
        <v>20</v>
      </c>
      <c r="R9532" s="1" t="s">
        <v>18448</v>
      </c>
      <c r="V9532" s="1" t="s">
        <v>18464</v>
      </c>
      <c r="AR9532" s="1" t="str">
        <f t="shared" si="594"/>
        <v>| [ㄓㄢˇ](ㄓㄢˇ.md) | [盞](盞.md) |  | zhǎn | [名]
1.小而淺的杯子。如：「茶盞」、「酒盞」。
2.量詞。計算燈或飲料的單位。唐．許渾〈題沖沼上人院〉詩：「小殿燈千盞。」唐．羅隱〈聽琴〉詩：「不知一盞臨邛酒，救得相如渴病無？」 |</v>
      </c>
    </row>
    <row r="9533" spans="1:44" hidden="1">
      <c r="A9533" s="1" t="s">
        <v>18465</v>
      </c>
      <c r="C9533" s="1">
        <v>1</v>
      </c>
      <c r="D9533" s="1" t="str">
        <f>"07796"</f>
        <v>07796</v>
      </c>
      <c r="E9533" s="1" t="s">
        <v>1462</v>
      </c>
      <c r="F9533" s="1">
        <v>15</v>
      </c>
      <c r="G9533" s="1">
        <v>8</v>
      </c>
      <c r="H9533" s="1">
        <v>0</v>
      </c>
      <c r="I9533" s="1" t="s">
        <v>18447</v>
      </c>
      <c r="K9533" s="1" t="str">
        <f t="shared" si="595"/>
        <v>ㄓ</v>
      </c>
      <c r="L9533" s="1" t="str">
        <f t="shared" si="596"/>
        <v>ㄢ</v>
      </c>
      <c r="N9533" s="3" t="s">
        <v>30576</v>
      </c>
      <c r="O9533" s="3"/>
      <c r="P9533" s="1" t="s">
        <v>20</v>
      </c>
      <c r="R9533" s="1" t="s">
        <v>18448</v>
      </c>
      <c r="V9533" s="1" t="s">
        <v>18466</v>
      </c>
      <c r="AR9533" s="1" t="str">
        <f t="shared" si="594"/>
        <v>| [ㄓㄢˇ](ㄓㄢˇ.md) | [醆](醆.md) |  | zhǎn | [名]
1.酒器、酒杯。宋．蘇軾〈次韻送徐大正〉詩：「別時酒醆照燈花，知我歸期漸有涯。」
2.微清的濁酒。《禮記．禮運》：「醴醆在戶，粢醍在堂。」
3.量詞。同「盞」。唐．羅隱〈秋日禪智寺見裴郎中題名寄韋瞻〉詩：「百醆濃醪成別夢，兩行垂露澣羈愁。」宋．陸游〈夜雨有感〉詩：「斷虹不隔江郊雨，一醆昏燈夜半時。」 |</v>
      </c>
    </row>
    <row r="9534" spans="1:44" hidden="1">
      <c r="A9534" s="1" t="s">
        <v>18467</v>
      </c>
      <c r="C9534" s="1">
        <v>1</v>
      </c>
      <c r="D9534" s="1" t="str">
        <f>"07797"</f>
        <v>07797</v>
      </c>
      <c r="E9534" s="1" t="s">
        <v>1161</v>
      </c>
      <c r="F9534" s="1">
        <v>14</v>
      </c>
      <c r="G9534" s="1">
        <v>5</v>
      </c>
      <c r="H9534" s="1">
        <v>0</v>
      </c>
      <c r="I9534" s="1" t="s">
        <v>18447</v>
      </c>
      <c r="K9534" s="1" t="str">
        <f t="shared" si="595"/>
        <v>ㄓ</v>
      </c>
      <c r="L9534" s="1" t="str">
        <f t="shared" si="596"/>
        <v>ㄢ</v>
      </c>
      <c r="N9534" s="3" t="s">
        <v>30576</v>
      </c>
      <c r="O9534" s="3"/>
      <c r="P9534" s="1" t="s">
        <v>20</v>
      </c>
      <c r="R9534" s="1" t="s">
        <v>18448</v>
      </c>
      <c r="V9534" s="1" t="s">
        <v>18468</v>
      </c>
      <c r="AR9534" s="1" t="str">
        <f t="shared" si="594"/>
        <v>| [ㄓㄢˇ](ㄓㄢˇ.md) | [颭](颭.md) |  | zhǎn | [動]
吹動。唐．柳宗元〈登柳州城樓寄漳汀封連四州〉詩：「驚風亂颭芙蓉水，密雨斜侵薜荔牆。」清．陳維崧〈水調歌頭．昨夜湔裙罷〉詞：「一寸雙文畫板，風颭繡旗開。」 |</v>
      </c>
    </row>
    <row r="9535" spans="1:44" hidden="1">
      <c r="A9535" s="1" t="s">
        <v>18469</v>
      </c>
      <c r="C9535" s="1">
        <v>1</v>
      </c>
      <c r="D9535" s="1" t="str">
        <f>"07798"</f>
        <v>07798</v>
      </c>
      <c r="E9535" s="1" t="s">
        <v>139</v>
      </c>
      <c r="F9535" s="1">
        <v>16</v>
      </c>
      <c r="G9535" s="1">
        <v>12</v>
      </c>
      <c r="H9535" s="1">
        <v>2</v>
      </c>
      <c r="I9535" s="1" t="s">
        <v>18447</v>
      </c>
      <c r="K9535" s="1" t="str">
        <f t="shared" si="595"/>
        <v>ㄓ</v>
      </c>
      <c r="L9535" s="1" t="str">
        <f t="shared" si="596"/>
        <v>ㄢ</v>
      </c>
      <c r="N9535" s="3" t="s">
        <v>30576</v>
      </c>
      <c r="O9535" s="3"/>
      <c r="P9535" s="1" t="s">
        <v>110</v>
      </c>
      <c r="R9535" s="1" t="s">
        <v>18448</v>
      </c>
      <c r="V9535" s="1" t="s">
        <v>111</v>
      </c>
      <c r="W9535" s="1" t="s">
        <v>18470</v>
      </c>
      <c r="AR9535" s="1" t="str">
        <f t="shared" si="594"/>
        <v>| [ㄓㄢˇ](ㄓㄢˇ.md) | [樿](樿.md) |  | zhǎn | (一)之又音。 |</v>
      </c>
    </row>
    <row r="9536" spans="1:44" hidden="1">
      <c r="A9536" s="1" t="s">
        <v>18471</v>
      </c>
      <c r="C9536" s="1">
        <v>1</v>
      </c>
      <c r="D9536" s="1" t="str">
        <f>"07799"</f>
        <v>07799</v>
      </c>
      <c r="E9536" s="1" t="s">
        <v>1792</v>
      </c>
      <c r="F9536" s="1">
        <v>18</v>
      </c>
      <c r="G9536" s="1">
        <v>13</v>
      </c>
      <c r="H9536" s="1">
        <v>0</v>
      </c>
      <c r="I9536" s="1" t="s">
        <v>18447</v>
      </c>
      <c r="K9536" s="1" t="str">
        <f t="shared" si="595"/>
        <v>ㄓ</v>
      </c>
      <c r="L9536" s="1" t="str">
        <f t="shared" si="596"/>
        <v>ㄢ</v>
      </c>
      <c r="N9536" s="3" t="s">
        <v>30576</v>
      </c>
      <c r="O9536" s="3"/>
      <c r="P9536" s="1" t="s">
        <v>20</v>
      </c>
      <c r="R9536" s="1" t="s">
        <v>18448</v>
      </c>
      <c r="V9536" s="1" t="s">
        <v>18472</v>
      </c>
      <c r="AR9536" s="1" t="str">
        <f t="shared" si="594"/>
        <v>| [ㄓㄢˇ](ㄓㄢˇ.md) | [皽](皽.md) |  | zhǎn | [名]
死皮。《禮記．內則》：「濯手以摩之，去其皽。」 |</v>
      </c>
    </row>
    <row r="9537" spans="1:44" hidden="1">
      <c r="A9537" s="1" t="s">
        <v>18603</v>
      </c>
      <c r="C9537" s="1">
        <v>1</v>
      </c>
      <c r="D9537" s="1" t="str">
        <f>"07857"</f>
        <v>07857</v>
      </c>
      <c r="E9537" s="1" t="s">
        <v>132</v>
      </c>
      <c r="F9537" s="1">
        <v>6</v>
      </c>
      <c r="G9537" s="1">
        <v>3</v>
      </c>
      <c r="H9537" s="1">
        <v>3</v>
      </c>
      <c r="I9537" s="1" t="s">
        <v>18604</v>
      </c>
      <c r="K9537" s="1" t="str">
        <f t="shared" si="595"/>
        <v>ㄓ</v>
      </c>
      <c r="L9537" s="1" t="str">
        <f t="shared" si="596"/>
        <v>ㄣ</v>
      </c>
      <c r="N9537" s="3" t="s">
        <v>30574</v>
      </c>
      <c r="O9537" s="3"/>
      <c r="P9537" s="1" t="s">
        <v>20</v>
      </c>
      <c r="R9537" s="1" t="s">
        <v>18605</v>
      </c>
      <c r="V9537" s="1" t="s">
        <v>18606</v>
      </c>
      <c r="W9537" s="1" t="s">
        <v>18607</v>
      </c>
      <c r="AR9537" s="1" t="str">
        <f t="shared" si="594"/>
        <v>| [ㄓㄣˋ](ㄓㄣˋ.md) | [圳](圳.md) |  | zhèn | [名]
廣東方言。指田野間的水溝。如：「深圳」。 |</v>
      </c>
    </row>
    <row r="9538" spans="1:44" hidden="1">
      <c r="A9538" s="1" t="s">
        <v>18572</v>
      </c>
      <c r="C9538" s="1">
        <v>1</v>
      </c>
      <c r="D9538" s="1" t="str">
        <f>"07858"</f>
        <v>07858</v>
      </c>
      <c r="E9538" s="1" t="s">
        <v>139</v>
      </c>
      <c r="F9538" s="1">
        <v>8</v>
      </c>
      <c r="G9538" s="1">
        <v>4</v>
      </c>
      <c r="H9538" s="1">
        <v>2</v>
      </c>
      <c r="I9538" s="1" t="s">
        <v>18604</v>
      </c>
      <c r="K9538" s="1" t="str">
        <f t="shared" si="595"/>
        <v>ㄓ</v>
      </c>
      <c r="L9538" s="1" t="str">
        <f t="shared" si="596"/>
        <v>ㄣ</v>
      </c>
      <c r="N9538" s="3" t="s">
        <v>30574</v>
      </c>
      <c r="O9538" s="3"/>
      <c r="P9538" s="1" t="s">
        <v>20</v>
      </c>
      <c r="R9538" s="1" t="s">
        <v>18605</v>
      </c>
      <c r="V9538" s="1" t="s">
        <v>18608</v>
      </c>
      <c r="W9538" s="1" t="s">
        <v>18609</v>
      </c>
      <c r="AR9538" s="1" t="str">
        <f t="shared" si="594"/>
        <v>| [ㄓㄣˋ](ㄓㄣˋ.md) | [枕](枕.md) |  | zhèn | [動]
1.用枕頭或其他東西墊頭。如：「枕戈待旦」。《論語．述而》：「曲肱而枕之。」
2.依傍、鄰靠。《漢書．卷六四．嚴助傳》：「南近諸越，北枕大江。」《新唐書．卷三七．地理志一》：「京城前直子午谷，後枕龍首山。」 |</v>
      </c>
    </row>
    <row r="9539" spans="1:44" hidden="1">
      <c r="A9539" s="1" t="s">
        <v>4909</v>
      </c>
      <c r="C9539" s="1">
        <v>1</v>
      </c>
      <c r="D9539" s="1" t="str">
        <f>"07859"</f>
        <v>07859</v>
      </c>
      <c r="E9539" s="1" t="s">
        <v>1462</v>
      </c>
      <c r="F9539" s="1">
        <v>11</v>
      </c>
      <c r="G9539" s="1">
        <v>4</v>
      </c>
      <c r="H9539" s="1">
        <v>2</v>
      </c>
      <c r="I9539" s="1" t="s">
        <v>18604</v>
      </c>
      <c r="K9539" s="1" t="str">
        <f t="shared" si="595"/>
        <v>ㄓ</v>
      </c>
      <c r="L9539" s="1" t="str">
        <f t="shared" si="596"/>
        <v>ㄣ</v>
      </c>
      <c r="N9539" s="3" t="s">
        <v>30574</v>
      </c>
      <c r="O9539" s="3"/>
      <c r="P9539" s="1" t="s">
        <v>20</v>
      </c>
      <c r="R9539" s="1" t="s">
        <v>18605</v>
      </c>
      <c r="V9539" s="1" t="s">
        <v>18610</v>
      </c>
      <c r="W9539" s="1" t="s">
        <v>18611</v>
      </c>
      <c r="AR9539" s="1" t="str">
        <f t="shared" ref="AR9539:AR9602" si="597">"| ["&amp;I9539&amp;"]("&amp;I9539&amp;".md) | ["&amp;A9539&amp;"]("&amp;A9539&amp;".md) | "&amp;" | "&amp;R9539&amp;" | "&amp;V9539&amp;" |"</f>
        <v>| [ㄓㄣˋ](ㄓㄣˋ.md) | [酖](酖.md) |  | zhèn | [名]
毒酒。南朝梁．劉勰《文心雕龍．奏啟》：「皁飭司直，肅清風禁。筆銳干將，墨含淳酖。」唐．皇甫枚〈溫京兆〉：「事覺，飲酖而死。」 |</v>
      </c>
    </row>
    <row r="9540" spans="1:44" hidden="1">
      <c r="A9540" s="1" t="s">
        <v>18612</v>
      </c>
      <c r="C9540" s="1">
        <v>1</v>
      </c>
      <c r="D9540" s="1" t="str">
        <f>"07860"</f>
        <v>07860</v>
      </c>
      <c r="E9540" s="1" t="s">
        <v>272</v>
      </c>
      <c r="F9540" s="1">
        <v>15</v>
      </c>
      <c r="G9540" s="1">
        <v>4</v>
      </c>
      <c r="H9540" s="1">
        <v>0</v>
      </c>
      <c r="I9540" s="1" t="s">
        <v>18604</v>
      </c>
      <c r="K9540" s="1" t="str">
        <f t="shared" si="595"/>
        <v>ㄓ</v>
      </c>
      <c r="L9540" s="1" t="str">
        <f t="shared" si="596"/>
        <v>ㄣ</v>
      </c>
      <c r="N9540" s="3" t="s">
        <v>30574</v>
      </c>
      <c r="O9540" s="3"/>
      <c r="P9540" s="1" t="s">
        <v>20</v>
      </c>
      <c r="R9540" s="1" t="s">
        <v>18605</v>
      </c>
      <c r="V9540" s="1" t="s">
        <v>18613</v>
      </c>
      <c r="AR9540" s="1" t="str">
        <f t="shared" si="597"/>
        <v>| [ㄓㄣˋ](ㄓㄣˋ.md) | [鴆](鴆.md) |  | zhèn | [名]
1.動物名。一種毒鳥。雄的稱為「運日」，雌的稱為「陰諧」，喜食蛇蝮。其羽毛紫綠色，有劇毒，泡酒後可以毒死人。
2.毒酒。通「酖」。如：「飲鴆止渴」。
[動]
用毒酒害人。《國語．魯語上》：「溫之會，晉人執衛成公歸之于周，使醫鴆之，不死，醫亦不誅。」《三國演義》第二回：「何后嫉妒，鴆殺王美人！」 |</v>
      </c>
    </row>
    <row r="9541" spans="1:44" hidden="1">
      <c r="A9541" s="1" t="s">
        <v>18614</v>
      </c>
      <c r="C9541" s="1">
        <v>1</v>
      </c>
      <c r="D9541" s="1" t="str">
        <f>"07861"</f>
        <v>07861</v>
      </c>
      <c r="E9541" s="1" t="s">
        <v>24</v>
      </c>
      <c r="F9541" s="1">
        <v>9</v>
      </c>
      <c r="G9541" s="1">
        <v>6</v>
      </c>
      <c r="H9541" s="1">
        <v>0</v>
      </c>
      <c r="I9541" s="1" t="s">
        <v>18604</v>
      </c>
      <c r="K9541" s="1" t="str">
        <f t="shared" si="595"/>
        <v>ㄓ</v>
      </c>
      <c r="L9541" s="1" t="str">
        <f t="shared" si="596"/>
        <v>ㄣ</v>
      </c>
      <c r="N9541" s="3" t="s">
        <v>30574</v>
      </c>
      <c r="O9541" s="3"/>
      <c r="P9541" s="1" t="s">
        <v>20</v>
      </c>
      <c r="R9541" s="1" t="s">
        <v>18605</v>
      </c>
      <c r="V9541" s="1" t="s">
        <v>18615</v>
      </c>
      <c r="AR9541" s="1" t="str">
        <f t="shared" si="597"/>
        <v>| [ㄓㄣˋ](ㄓㄣˋ.md) | [挋](挋.md) |  | zhèn | [動]
擦拭、拂拭。《禮記．喪大記》：「浴用絺巾，挋用浴衣。」 |</v>
      </c>
    </row>
    <row r="9542" spans="1:44" hidden="1">
      <c r="A9542" s="1" t="s">
        <v>18616</v>
      </c>
      <c r="C9542" s="1">
        <v>1</v>
      </c>
      <c r="D9542" s="1" t="str">
        <f>"07862"</f>
        <v>07862</v>
      </c>
      <c r="E9542" s="1" t="s">
        <v>114</v>
      </c>
      <c r="F9542" s="1">
        <v>9</v>
      </c>
      <c r="G9542" s="1">
        <v>7</v>
      </c>
      <c r="H9542" s="1">
        <v>0</v>
      </c>
      <c r="I9542" s="1" t="s">
        <v>18604</v>
      </c>
      <c r="K9542" s="1" t="str">
        <f t="shared" si="595"/>
        <v>ㄓ</v>
      </c>
      <c r="L9542" s="1" t="str">
        <f t="shared" si="596"/>
        <v>ㄣ</v>
      </c>
      <c r="N9542" s="3" t="s">
        <v>30574</v>
      </c>
      <c r="O9542" s="3"/>
      <c r="P9542" s="1" t="s">
        <v>20</v>
      </c>
      <c r="R9542" s="1" t="s">
        <v>18605</v>
      </c>
      <c r="V9542" s="1" t="s">
        <v>18617</v>
      </c>
      <c r="AR9542" s="1" t="str">
        <f t="shared" si="597"/>
        <v>| [ㄓㄣˋ](ㄓㄣˋ.md) | [侲](侲.md) |  | zhèn | [名]
1.養馬的人。《後漢書．卷八〇．文苑傳上．杜篤傳》：「虜𠐍侲，驅騾驢。」章懷太子注引《方言》：「侲，養馬人也。」
2.參見「侲子」條。 |</v>
      </c>
    </row>
    <row r="9543" spans="1:44" hidden="1">
      <c r="A9543" s="1" t="s">
        <v>18529</v>
      </c>
      <c r="C9543" s="1">
        <v>1</v>
      </c>
      <c r="D9543" s="1" t="str">
        <f>"07863"</f>
        <v>07863</v>
      </c>
      <c r="E9543" s="1" t="s">
        <v>24</v>
      </c>
      <c r="F9543" s="1">
        <v>10</v>
      </c>
      <c r="G9543" s="1">
        <v>7</v>
      </c>
      <c r="H9543" s="1">
        <v>1</v>
      </c>
      <c r="I9543" s="1" t="s">
        <v>18604</v>
      </c>
      <c r="K9543" s="1" t="str">
        <f t="shared" si="595"/>
        <v>ㄓ</v>
      </c>
      <c r="L9543" s="1" t="str">
        <f t="shared" si="596"/>
        <v>ㄣ</v>
      </c>
      <c r="N9543" s="3" t="s">
        <v>30574</v>
      </c>
      <c r="O9543" s="3"/>
      <c r="P9543" s="1" t="s">
        <v>20</v>
      </c>
      <c r="R9543" s="1" t="s">
        <v>18605</v>
      </c>
      <c r="V9543" s="1" t="s">
        <v>18618</v>
      </c>
      <c r="W9543" s="1" t="s">
        <v>18619</v>
      </c>
      <c r="AR9543" s="1" t="str">
        <f t="shared" si="597"/>
        <v>| [ㄓㄣˋ](ㄓㄣˋ.md) | [振](振.md) |  | zhèn | [動]
1.舉起。《文選．賈誼．過秦論》：「振長策而御宇內，吞二周而亡諸侯。」唐．王勃〈上劉右相書〉：「朽索充羈，不收奔馬之逸；輕緡振網，或隨吞舟之勢。」
2.搖動、抖動。《詩經．豳風．七月》：「五月斯螽動股，六月莎雞振羽。」《楚辭．王襃．九懷．蓄英》：「秋風兮蕭蕭，舒芳兮振條。」
3.奮發。如：「士氣大振」、「萎靡不振」。
4.震撼。通「震」。如：「威振天下」。唐．孟郊〈感懷〉詩八首之一：「秋氣悲萬物，驚風振長道。」
5.發放、開放。《左傳．文公十六年》：「自廬以往，振廩同食。」南朝梁．劉勰《文心雕龍．情采》：「夫水性虛而論漪結，木性實而花萼振，文附質也。」
6.救濟、救助。通「賑」。《禮記．月令》：「命有司發倉廩，賜貧窮，振乏絕。」《戰國策．燕策三》：「是以委肉當餓虎之蹊，禍必不振矣。」
[名]
姓。如宋代有振紀。 |</v>
      </c>
    </row>
    <row r="9544" spans="1:44" hidden="1">
      <c r="A9544" s="1" t="s">
        <v>18620</v>
      </c>
      <c r="C9544" s="1">
        <v>1</v>
      </c>
      <c r="D9544" s="1" t="str">
        <f>"07864"</f>
        <v>07864</v>
      </c>
      <c r="E9544" s="1" t="s">
        <v>534</v>
      </c>
      <c r="F9544" s="1">
        <v>10</v>
      </c>
      <c r="G9544" s="1">
        <v>7</v>
      </c>
      <c r="H9544" s="1">
        <v>2</v>
      </c>
      <c r="I9544" s="1" t="s">
        <v>18604</v>
      </c>
      <c r="K9544" s="1" t="str">
        <f t="shared" si="595"/>
        <v>ㄓ</v>
      </c>
      <c r="L9544" s="1" t="str">
        <f t="shared" si="596"/>
        <v>ㄣ</v>
      </c>
      <c r="N9544" s="3" t="s">
        <v>30574</v>
      </c>
      <c r="O9544" s="3"/>
      <c r="P9544" s="1" t="s">
        <v>110</v>
      </c>
      <c r="R9544" s="1" t="s">
        <v>18605</v>
      </c>
      <c r="V9544" s="1" t="s">
        <v>111</v>
      </c>
      <c r="W9544" s="1" t="s">
        <v>18621</v>
      </c>
      <c r="AR9544" s="1" t="str">
        <f t="shared" si="597"/>
        <v>| [ㄓㄣˋ](ㄓㄣˋ.md) | [娠](娠.md) |  | zhèn | (一)之又音。 |</v>
      </c>
    </row>
    <row r="9545" spans="1:44" hidden="1">
      <c r="A9545" s="1" t="s">
        <v>18622</v>
      </c>
      <c r="C9545" s="1">
        <v>1</v>
      </c>
      <c r="D9545" s="1" t="str">
        <f>"07865"</f>
        <v>07865</v>
      </c>
      <c r="E9545" s="1" t="s">
        <v>679</v>
      </c>
      <c r="F9545" s="1">
        <v>13</v>
      </c>
      <c r="G9545" s="1">
        <v>7</v>
      </c>
      <c r="H9545" s="1">
        <v>0</v>
      </c>
      <c r="I9545" s="1" t="s">
        <v>18604</v>
      </c>
      <c r="K9545" s="1" t="str">
        <f t="shared" si="595"/>
        <v>ㄓ</v>
      </c>
      <c r="L9545" s="1" t="str">
        <f t="shared" si="596"/>
        <v>ㄣ</v>
      </c>
      <c r="N9545" s="3" t="s">
        <v>30574</v>
      </c>
      <c r="O9545" s="3"/>
      <c r="P9545" s="1" t="s">
        <v>20</v>
      </c>
      <c r="R9545" s="1" t="s">
        <v>18605</v>
      </c>
      <c r="V9545" s="1" t="s">
        <v>18623</v>
      </c>
      <c r="AR9545" s="1" t="str">
        <f t="shared" si="597"/>
        <v>| [ㄓㄣˋ](ㄓㄣˋ.md) | [蜄](蜄.md) |  | zhèn | [動]
振動。《集韻．去聲．震韻》：「蜄，動也。」《史記．卷二五．律書》：「辰者，言萬物之蜄也。」 |</v>
      </c>
    </row>
    <row r="9546" spans="1:44" hidden="1">
      <c r="A9546" s="1" t="s">
        <v>18624</v>
      </c>
      <c r="C9546" s="1">
        <v>1</v>
      </c>
      <c r="D9546" s="1" t="str">
        <f>"07866"</f>
        <v>07866</v>
      </c>
      <c r="E9546" s="1" t="s">
        <v>505</v>
      </c>
      <c r="F9546" s="1">
        <v>14</v>
      </c>
      <c r="G9546" s="1">
        <v>7</v>
      </c>
      <c r="H9546" s="1">
        <v>0</v>
      </c>
      <c r="I9546" s="1" t="s">
        <v>18604</v>
      </c>
      <c r="K9546" s="1" t="str">
        <f t="shared" si="595"/>
        <v>ㄓ</v>
      </c>
      <c r="L9546" s="1" t="str">
        <f t="shared" si="596"/>
        <v>ㄣ</v>
      </c>
      <c r="N9546" s="3" t="s">
        <v>30574</v>
      </c>
      <c r="O9546" s="3"/>
      <c r="P9546" s="1" t="s">
        <v>20</v>
      </c>
      <c r="R9546" s="1" t="s">
        <v>18605</v>
      </c>
      <c r="V9546" s="1" t="s">
        <v>18625</v>
      </c>
      <c r="AR9546" s="1" t="str">
        <f t="shared" si="597"/>
        <v>| [ㄓㄣˋ](ㄓㄣˋ.md) | [賑](賑.md) |  | zhèn | [動]
救濟、供給。如：「賑災」。漢．桓寬《鹽鐵論．力耕》：「戰士以奉，飢民以賑。」《隋書．卷七〇．李密傳》：「明公親率大眾，直掩興洛倉，發粟以賑窮乏，遠近孰不歸附！」
[形]
富饒、富裕。《文選．張衡．西京賦》：「郊甸之內，鄉吧殷賑。」 |</v>
      </c>
    </row>
    <row r="9547" spans="1:44" hidden="1">
      <c r="A9547" s="1" t="s">
        <v>18626</v>
      </c>
      <c r="C9547" s="1">
        <v>1</v>
      </c>
      <c r="D9547" s="1" t="str">
        <f>"07867"</f>
        <v>07867</v>
      </c>
      <c r="E9547" s="1" t="s">
        <v>125</v>
      </c>
      <c r="F9547" s="1">
        <v>15</v>
      </c>
      <c r="G9547" s="1">
        <v>7</v>
      </c>
      <c r="H9547" s="1">
        <v>0</v>
      </c>
      <c r="I9547" s="1" t="s">
        <v>18604</v>
      </c>
      <c r="K9547" s="1" t="str">
        <f t="shared" si="595"/>
        <v>ㄓ</v>
      </c>
      <c r="L9547" s="1" t="str">
        <f t="shared" si="596"/>
        <v>ㄣ</v>
      </c>
      <c r="N9547" s="3" t="s">
        <v>30574</v>
      </c>
      <c r="O9547" s="3"/>
      <c r="P9547" s="1" t="s">
        <v>20</v>
      </c>
      <c r="R9547" s="1" t="s">
        <v>18605</v>
      </c>
      <c r="V9547" s="1" t="s">
        <v>18627</v>
      </c>
      <c r="AR9547" s="1" t="str">
        <f t="shared" si="597"/>
        <v>| [ㄓㄣˋ](ㄓㄣˋ.md) | [震](震.md) |  | zhèn | [動]
1.雷擊。《春秋．僖公十五年》：「己卯晦，震伯夷之廟。」《史記．卷三．殷本紀》：「武乙獵於河渭之閒，暴雷，武乙震死。」
2.動盪。如：「名震天下」。《國語．周語上》：「幽王二年，西周三川皆震。」
3.恐懼、害怕。《易經．震卦．彖曰》：「震驚百里，驚遠而懼邇也。」《文選．潘岳．藉田賦》：「森奉璋以階列，望皇軒而肅震。」
4.發怒。漢．揚雄《太玄經．卷二．釋卦》：「震于廷，和正俱亡也。」
[名]
1.疾雷。《詩經．小雅．十月之交》：「熚熚震電，不寧不令。」
2.《易經》卦名：(1)八卦之一。卦形是☳。代表雷電。(2)六十四卦之一。震（☳）下震（☳）上。表示君子體察到雷電交相而來的現象，即以恐懼之心，修養其身。 |</v>
      </c>
    </row>
    <row r="9548" spans="1:44" hidden="1">
      <c r="A9548" s="1" t="s">
        <v>18628</v>
      </c>
      <c r="C9548" s="1">
        <v>1</v>
      </c>
      <c r="D9548" s="1" t="str">
        <f>"07868"</f>
        <v>07868</v>
      </c>
      <c r="E9548" s="1" t="s">
        <v>2014</v>
      </c>
      <c r="F9548" s="1">
        <v>10</v>
      </c>
      <c r="G9548" s="1">
        <v>6</v>
      </c>
      <c r="H9548" s="1">
        <v>0</v>
      </c>
      <c r="I9548" s="1" t="s">
        <v>18604</v>
      </c>
      <c r="K9548" s="1" t="str">
        <f t="shared" si="595"/>
        <v>ㄓ</v>
      </c>
      <c r="L9548" s="1" t="str">
        <f t="shared" si="596"/>
        <v>ㄣ</v>
      </c>
      <c r="N9548" s="3" t="s">
        <v>30574</v>
      </c>
      <c r="O9548" s="3"/>
      <c r="P9548" s="1" t="s">
        <v>20</v>
      </c>
      <c r="R9548" s="1" t="s">
        <v>18605</v>
      </c>
      <c r="V9548" s="1" t="s">
        <v>18629</v>
      </c>
      <c r="AR9548" s="1" t="str">
        <f t="shared" si="597"/>
        <v>| [ㄓㄣˋ](ㄓㄣˋ.md) | [朕](朕.md) |  | zhèn | [代]
1.用於自稱，即「我」。《楚辭．屈原．離騷》：「朕皇考曰伯庸。」
2.從秦始皇以後，專屬皇帝的自稱。《史記．卷六．秦始皇本紀》：「臣等昧死上尊號，王為『泰皇』，命為『制』，令為『詔』，天子自稱曰『朕』。」
[名]
徵兆、預兆。《莊子．應帝王》：「體盡無窮，而遊無朕。」 |</v>
      </c>
    </row>
    <row r="9549" spans="1:44" hidden="1">
      <c r="A9549" s="1" t="s">
        <v>18630</v>
      </c>
      <c r="C9549" s="1">
        <v>1</v>
      </c>
      <c r="D9549" s="1" t="str">
        <f>"07869"</f>
        <v>07869</v>
      </c>
      <c r="E9549" s="1" t="s">
        <v>1015</v>
      </c>
      <c r="F9549" s="1">
        <v>11</v>
      </c>
      <c r="G9549" s="1">
        <v>6</v>
      </c>
      <c r="H9549" s="1">
        <v>0</v>
      </c>
      <c r="I9549" s="1" t="s">
        <v>18604</v>
      </c>
      <c r="K9549" s="1" t="str">
        <f t="shared" si="595"/>
        <v>ㄓ</v>
      </c>
      <c r="L9549" s="1" t="str">
        <f t="shared" si="596"/>
        <v>ㄣ</v>
      </c>
      <c r="N9549" s="3" t="s">
        <v>30574</v>
      </c>
      <c r="O9549" s="3"/>
      <c r="P9549" s="1" t="s">
        <v>20</v>
      </c>
      <c r="R9549" s="1" t="s">
        <v>18605</v>
      </c>
      <c r="V9549" s="1" t="s">
        <v>18631</v>
      </c>
      <c r="AR9549" s="1" t="str">
        <f t="shared" si="597"/>
        <v>| [ㄓㄣˋ](ㄓㄣˋ.md) | [眹](眹.md) |  | zhèn | [名]
1.瞳仁、黑眼珠。《廣韻．上聲．軫韻》：「眹，目童子也。」
2.預兆、跡象。通「朕」。《莊子．齊物論》：「若有真宰，而特不得其眹。」 |</v>
      </c>
    </row>
    <row r="9550" spans="1:44" hidden="1">
      <c r="A9550" s="1" t="s">
        <v>18632</v>
      </c>
      <c r="C9550" s="1">
        <v>1</v>
      </c>
      <c r="D9550" s="1" t="str">
        <f>"07870"</f>
        <v>07870</v>
      </c>
      <c r="E9550" s="1" t="s">
        <v>725</v>
      </c>
      <c r="F9550" s="1">
        <v>10</v>
      </c>
      <c r="G9550" s="1">
        <v>4</v>
      </c>
      <c r="H9550" s="1">
        <v>0</v>
      </c>
      <c r="I9550" s="1" t="s">
        <v>18604</v>
      </c>
      <c r="K9550" s="1" t="str">
        <f t="shared" si="595"/>
        <v>ㄓ</v>
      </c>
      <c r="L9550" s="1" t="str">
        <f t="shared" si="596"/>
        <v>ㄣ</v>
      </c>
      <c r="N9550" s="3" t="s">
        <v>30574</v>
      </c>
      <c r="O9550" s="3"/>
      <c r="P9550" s="1" t="s">
        <v>20</v>
      </c>
      <c r="R9550" s="1" t="s">
        <v>18605</v>
      </c>
      <c r="V9550" s="1" t="s">
        <v>18633</v>
      </c>
      <c r="AR9550" s="1" t="str">
        <f t="shared" si="597"/>
        <v>| [ㄓㄣˋ](ㄓㄣˋ.md) | [紖](紖.md) |  | zhèn | [名]
穿繫牛鼻的繩子。《禮記．少儀》：「牛則執紖，馬則執靮。」漢．鄭玄．注：「紖，所以繫制之者。」 |</v>
      </c>
    </row>
    <row r="9551" spans="1:44" hidden="1">
      <c r="A9551" s="1" t="s">
        <v>18634</v>
      </c>
      <c r="C9551" s="1">
        <v>1</v>
      </c>
      <c r="D9551" s="1" t="str">
        <f>"07871"</f>
        <v>07871</v>
      </c>
      <c r="E9551" s="1" t="s">
        <v>691</v>
      </c>
      <c r="F9551" s="1">
        <v>10</v>
      </c>
      <c r="G9551" s="1">
        <v>7</v>
      </c>
      <c r="H9551" s="1">
        <v>0</v>
      </c>
      <c r="I9551" s="1" t="s">
        <v>18604</v>
      </c>
      <c r="K9551" s="1" t="str">
        <f t="shared" si="595"/>
        <v>ㄓ</v>
      </c>
      <c r="L9551" s="1" t="str">
        <f t="shared" si="596"/>
        <v>ㄣ</v>
      </c>
      <c r="N9551" s="3" t="s">
        <v>30574</v>
      </c>
      <c r="O9551" s="3"/>
      <c r="P9551" s="1" t="s">
        <v>20</v>
      </c>
      <c r="R9551" s="1" t="s">
        <v>18605</v>
      </c>
      <c r="V9551" s="1" t="s">
        <v>18635</v>
      </c>
      <c r="AR9551" s="1" t="str">
        <f t="shared" si="597"/>
        <v>| [ㄓㄣˋ](ㄓㄣˋ.md) | [陣](陣.md) |  | zhèn | [名]
1.軍隊作戰時所布置的隊伍行列。《史記．卷八一．廉頗藺相如傳》：「秦人不意趙師至此，其來氣盛，將軍必厚集其陣以待之。」
2.戰場。唐．杜甫〈高都護驄馬行〉：「此馬臨陣久無敵，與人一心成大功。」
3.量詞。計算事情或動作的單位。多與「一」連用。如：「刮了一陣風」、「引起一陣騷動」。唐．韓偓〈懶起〉詩：「昨夜三更雨，今朝一陣寒。」
4.表示一段時間。如：「他這陣子很忙。」
[動]
作戰。《史記．卷九二．淮陰侯傳》：「信乃使萬人先行出，背水陣。」 |</v>
      </c>
    </row>
    <row r="9552" spans="1:44" hidden="1">
      <c r="A9552" s="1" t="s">
        <v>18636</v>
      </c>
      <c r="C9552" s="1">
        <v>1</v>
      </c>
      <c r="D9552" s="1" t="str">
        <f>"07872"</f>
        <v>07872</v>
      </c>
      <c r="E9552" s="1" t="s">
        <v>691</v>
      </c>
      <c r="F9552" s="1">
        <v>11</v>
      </c>
      <c r="G9552" s="1">
        <v>8</v>
      </c>
      <c r="H9552" s="1">
        <v>2</v>
      </c>
      <c r="I9552" s="1" t="s">
        <v>18604</v>
      </c>
      <c r="K9552" s="1" t="str">
        <f t="shared" si="595"/>
        <v>ㄓ</v>
      </c>
      <c r="L9552" s="1" t="str">
        <f t="shared" si="596"/>
        <v>ㄣ</v>
      </c>
      <c r="N9552" s="3" t="s">
        <v>30574</v>
      </c>
      <c r="O9552" s="3"/>
      <c r="P9552" s="1" t="s">
        <v>20</v>
      </c>
      <c r="R9552" s="1" t="s">
        <v>18605</v>
      </c>
      <c r="V9552" s="1" t="s">
        <v>18637</v>
      </c>
      <c r="W9552" s="1" t="s">
        <v>18638</v>
      </c>
      <c r="AR9552" s="1" t="str">
        <f t="shared" si="597"/>
        <v>| [ㄓㄣˋ](ㄓㄣˋ.md) | [陳](陳.md) |  | zhèn | [名]
軍隊作戰時布置的隊伍行列。同「陣」。《左傳．成公七年》：「教之戰陳，教之叛楚。」 |</v>
      </c>
    </row>
    <row r="9553" spans="1:44" hidden="1">
      <c r="A9553" s="1" t="s">
        <v>18639</v>
      </c>
      <c r="C9553" s="1">
        <v>1</v>
      </c>
      <c r="D9553" s="1" t="str">
        <f>"07873"</f>
        <v>07873</v>
      </c>
      <c r="E9553" s="1" t="s">
        <v>426</v>
      </c>
      <c r="F9553" s="1">
        <v>15</v>
      </c>
      <c r="G9553" s="1">
        <v>11</v>
      </c>
      <c r="H9553" s="1">
        <v>2</v>
      </c>
      <c r="I9553" s="1" t="s">
        <v>18604</v>
      </c>
      <c r="K9553" s="1" t="str">
        <f t="shared" si="595"/>
        <v>ㄓ</v>
      </c>
      <c r="L9553" s="1" t="str">
        <f t="shared" si="596"/>
        <v>ㄣ</v>
      </c>
      <c r="N9553" s="3" t="s">
        <v>30574</v>
      </c>
      <c r="O9553" s="3"/>
      <c r="P9553" s="1" t="s">
        <v>20</v>
      </c>
      <c r="R9553" s="1" t="s">
        <v>18605</v>
      </c>
      <c r="V9553" s="1" t="s">
        <v>18640</v>
      </c>
      <c r="W9553" s="1" t="s">
        <v>18641</v>
      </c>
      <c r="AR9553" s="1" t="str">
        <f t="shared" si="597"/>
        <v>| [ㄓㄣˋ](ㄓㄣˋ.md) | [敶](敶.md) |  | zhèn | 同「陣」。 |</v>
      </c>
    </row>
    <row r="9554" spans="1:44" hidden="1">
      <c r="A9554" s="1" t="s">
        <v>18642</v>
      </c>
      <c r="C9554" s="1">
        <v>1</v>
      </c>
      <c r="D9554" s="1" t="str">
        <f>"07874"</f>
        <v>07874</v>
      </c>
      <c r="E9554" s="1" t="s">
        <v>24</v>
      </c>
      <c r="F9554" s="1">
        <v>12</v>
      </c>
      <c r="G9554" s="1">
        <v>9</v>
      </c>
      <c r="H9554" s="1">
        <v>0</v>
      </c>
      <c r="I9554" s="1" t="s">
        <v>18604</v>
      </c>
      <c r="K9554" s="1" t="str">
        <f t="shared" si="595"/>
        <v>ㄓ</v>
      </c>
      <c r="L9554" s="1" t="str">
        <f t="shared" si="596"/>
        <v>ㄣ</v>
      </c>
      <c r="N9554" s="3" t="s">
        <v>30574</v>
      </c>
      <c r="O9554" s="3"/>
      <c r="P9554" s="1" t="s">
        <v>20</v>
      </c>
      <c r="R9554" s="1" t="s">
        <v>18605</v>
      </c>
      <c r="V9554" s="1" t="s">
        <v>18643</v>
      </c>
      <c r="AR9554" s="1" t="str">
        <f t="shared" si="597"/>
        <v>| [ㄓㄣˋ](ㄓㄣˋ.md) | [揕](揕.md) |  | zhèn | [動]_x000D_
擊、刺。《史記．卷八六．刺客列傳．荊軻》：「因左手把秦王之袖，而右手持匕首揕之。」 |</v>
      </c>
    </row>
    <row r="9555" spans="1:44" hidden="1">
      <c r="A9555" s="1" t="s">
        <v>18644</v>
      </c>
      <c r="C9555" s="1">
        <v>1</v>
      </c>
      <c r="D9555" s="1" t="str">
        <f>"07875"</f>
        <v>07875</v>
      </c>
      <c r="E9555" s="1" t="s">
        <v>55</v>
      </c>
      <c r="F9555" s="1">
        <v>18</v>
      </c>
      <c r="G9555" s="1">
        <v>10</v>
      </c>
      <c r="H9555" s="1">
        <v>0</v>
      </c>
      <c r="I9555" s="1" t="s">
        <v>18604</v>
      </c>
      <c r="K9555" s="1" t="str">
        <f t="shared" si="595"/>
        <v>ㄓ</v>
      </c>
      <c r="L9555" s="1" t="str">
        <f t="shared" si="596"/>
        <v>ㄣ</v>
      </c>
      <c r="N9555" s="3" t="s">
        <v>30574</v>
      </c>
      <c r="O9555" s="3"/>
      <c r="P9555" s="1" t="s">
        <v>20</v>
      </c>
      <c r="R9555" s="1" t="s">
        <v>18605</v>
      </c>
      <c r="V9555" s="1" t="s">
        <v>18645</v>
      </c>
      <c r="AR9555" s="1" t="str">
        <f t="shared" si="597"/>
        <v>| [ㄓㄣˋ](ㄓㄣˋ.md) | [鎮](鎮.md) |  | zhèn | [名]
1.用來鎮壓東西的器具。如：「書鎮」、「文鎮」。《楚辭．屈原．九歌．湘夫人》：「白玉兮為鎮，疏石蘭兮為芳。」
2.安定國家的力量、根本。《國語．晉語五》：「夫不忘恭敬，社稷之鎮也。」
3.今地方政府的行政區域名稱。在縣之下，與鄉平行。如：「斗南鎮」、「卓蘭鎮」。
4.較大的市集稱為「鎮」。如：「城鎮」、「村鎮」。
[動]
1.壓制、壓服。如：「鎮邪」。漢．王符《潛夫論．愛日》：「治訟若此為務，助豪猾而鎮貧弱也。」
2.安定。《國語．晉語七》：「柔惠小物，而鎮定大事。」《史記．卷八．高祖本紀》：「鎮國家，撫百姓。」
3.用冰使飲料或水果冰涼。如：「冰鎮西瓜」、「冰鎮酸梅湯」。
[形]
整、全。《紅樓夢》第三四回：「拋球滾玉只偷潛，鎮日無心鎮日閒。」 |</v>
      </c>
    </row>
    <row r="9556" spans="1:44" hidden="1">
      <c r="A9556" s="1" t="s">
        <v>4942</v>
      </c>
      <c r="C9556" s="1">
        <v>1</v>
      </c>
      <c r="D9556" s="1" t="str">
        <f>"07841"</f>
        <v>07841</v>
      </c>
      <c r="E9556" s="1" t="s">
        <v>24</v>
      </c>
      <c r="F9556" s="1">
        <v>7</v>
      </c>
      <c r="G9556" s="1">
        <v>4</v>
      </c>
      <c r="H9556" s="1">
        <v>2</v>
      </c>
      <c r="I9556" s="1" t="s">
        <v>18569</v>
      </c>
      <c r="K9556" s="1" t="str">
        <f t="shared" si="595"/>
        <v>ㄓ</v>
      </c>
      <c r="L9556" s="1" t="str">
        <f t="shared" si="596"/>
        <v>ㄣ</v>
      </c>
      <c r="N9556" s="3" t="s">
        <v>30576</v>
      </c>
      <c r="O9556" s="3"/>
      <c r="P9556" s="1" t="s">
        <v>110</v>
      </c>
      <c r="R9556" s="1" t="s">
        <v>18570</v>
      </c>
      <c r="V9556" s="1" t="s">
        <v>111</v>
      </c>
      <c r="W9556" s="1" t="s">
        <v>18571</v>
      </c>
      <c r="AR9556" s="1" t="str">
        <f t="shared" si="597"/>
        <v>| [ㄓㄣˇ](ㄓㄣˇ.md) | [抌](抌.md) |  | zhěn | (一)之又音。 |</v>
      </c>
    </row>
    <row r="9557" spans="1:44" hidden="1">
      <c r="A9557" s="1" t="s">
        <v>18572</v>
      </c>
      <c r="C9557" s="1">
        <v>1</v>
      </c>
      <c r="D9557" s="1" t="str">
        <f>"07842"</f>
        <v>07842</v>
      </c>
      <c r="E9557" s="1" t="s">
        <v>139</v>
      </c>
      <c r="F9557" s="1">
        <v>8</v>
      </c>
      <c r="G9557" s="1">
        <v>4</v>
      </c>
      <c r="H9557" s="1">
        <v>1</v>
      </c>
      <c r="I9557" s="1" t="s">
        <v>18569</v>
      </c>
      <c r="K9557" s="1" t="str">
        <f t="shared" si="595"/>
        <v>ㄓ</v>
      </c>
      <c r="L9557" s="1" t="str">
        <f t="shared" si="596"/>
        <v>ㄣ</v>
      </c>
      <c r="N9557" s="3" t="s">
        <v>30576</v>
      </c>
      <c r="O9557" s="3"/>
      <c r="P9557" s="1" t="s">
        <v>20</v>
      </c>
      <c r="R9557" s="1" t="s">
        <v>18570</v>
      </c>
      <c r="V9557" s="1" t="s">
        <v>18573</v>
      </c>
      <c r="W9557" s="1" t="s">
        <v>18574</v>
      </c>
      <c r="AR9557" s="1" t="str">
        <f t="shared" si="597"/>
        <v>| [ㄓㄣˇ](ㄓㄣˇ.md) | [枕](枕.md) |  | zhěn | [名]
1.睡臥時頭頸部所墊的東西。《說文解字．木部》：「枕，臥所以薦首者。」如：「涼枕」。《詩經．陳風．澤陂》：「寤寐無為，輾轉伏枕。」《資治通鑑．卷二七〇．後梁紀五．均王貞明五年》：「鏐自少在軍中，夜未嘗寐，倦極則就圓木小枕。」
2.魚頭中似丁形的骨頭。《爾雅．釋魚》：「魚枕謂之丁。」晉．郭璞．注：「枕，在魚頭骨中，形似篆書丁字，可作印。」
[形]
墊在底下的。如：「枕木」。 |</v>
      </c>
    </row>
    <row r="9558" spans="1:44" hidden="1">
      <c r="A9558" s="1" t="s">
        <v>18514</v>
      </c>
      <c r="C9558" s="1">
        <v>1</v>
      </c>
      <c r="D9558" s="1" t="str">
        <f>"07843"</f>
        <v>07843</v>
      </c>
      <c r="E9558" s="1" t="s">
        <v>68</v>
      </c>
      <c r="F9558" s="1">
        <v>9</v>
      </c>
      <c r="G9558" s="1">
        <v>5</v>
      </c>
      <c r="H9558" s="1">
        <v>2</v>
      </c>
      <c r="I9558" s="1" t="s">
        <v>18569</v>
      </c>
      <c r="K9558" s="1" t="str">
        <f t="shared" si="595"/>
        <v>ㄓ</v>
      </c>
      <c r="L9558" s="1" t="str">
        <f t="shared" si="596"/>
        <v>ㄣ</v>
      </c>
      <c r="N9558" s="3" t="s">
        <v>30576</v>
      </c>
      <c r="O9558" s="3"/>
      <c r="P9558" s="1" t="s">
        <v>20</v>
      </c>
      <c r="R9558" s="1" t="s">
        <v>18570</v>
      </c>
      <c r="V9558" s="1" t="s">
        <v>18575</v>
      </c>
      <c r="W9558" s="1" t="s">
        <v>18576</v>
      </c>
      <c r="AR9558" s="1" t="str">
        <f t="shared" si="597"/>
        <v>| [ㄓㄣˇ](ㄓㄣˇ.md) | [胗](胗.md) |  | zhěn | [名]
皮膚上因病所引起的小紅點。同「疹」。 |</v>
      </c>
    </row>
    <row r="9559" spans="1:44" hidden="1">
      <c r="A9559" s="1" t="s">
        <v>18577</v>
      </c>
      <c r="C9559" s="1">
        <v>1</v>
      </c>
      <c r="D9559" s="1" t="str">
        <f>"07844"</f>
        <v>07844</v>
      </c>
      <c r="E9559" s="1" t="s">
        <v>40</v>
      </c>
      <c r="F9559" s="1">
        <v>10</v>
      </c>
      <c r="G9559" s="1">
        <v>5</v>
      </c>
      <c r="H9559" s="1">
        <v>0</v>
      </c>
      <c r="I9559" s="1" t="s">
        <v>18569</v>
      </c>
      <c r="K9559" s="1" t="str">
        <f t="shared" si="595"/>
        <v>ㄓ</v>
      </c>
      <c r="L9559" s="1" t="str">
        <f t="shared" si="596"/>
        <v>ㄣ</v>
      </c>
      <c r="N9559" s="3" t="s">
        <v>30576</v>
      </c>
      <c r="O9559" s="3"/>
      <c r="P9559" s="1" t="s">
        <v>20</v>
      </c>
      <c r="R9559" s="1" t="s">
        <v>18570</v>
      </c>
      <c r="V9559" s="1" t="s">
        <v>18578</v>
      </c>
      <c r="AR9559" s="1" t="str">
        <f t="shared" si="597"/>
        <v>| [ㄓㄣˇ](ㄓㄣˇ.md) | [疹](疹.md) |  | zhěn | [名]
1.皮膚上起的紅色小顆粒。如：「溼疹」、「藥疹」。明．方孝孺〈指喻〉：「左手之拇有疹焉，隆起而粟。」
2.疾病。《國語．越語上》：「令孤子、寡婦、疾疹、貧病者，納宦其子。」 |</v>
      </c>
    </row>
    <row r="9560" spans="1:44" hidden="1">
      <c r="A9560" s="1" t="s">
        <v>18579</v>
      </c>
      <c r="C9560" s="1">
        <v>1</v>
      </c>
      <c r="D9560" s="1" t="str">
        <f>"07845"</f>
        <v>07845</v>
      </c>
      <c r="E9560" s="1" t="s">
        <v>1015</v>
      </c>
      <c r="F9560" s="1">
        <v>10</v>
      </c>
      <c r="G9560" s="1">
        <v>5</v>
      </c>
      <c r="H9560" s="1">
        <v>0</v>
      </c>
      <c r="I9560" s="1" t="s">
        <v>18569</v>
      </c>
      <c r="K9560" s="1" t="str">
        <f t="shared" si="595"/>
        <v>ㄓ</v>
      </c>
      <c r="L9560" s="1" t="str">
        <f t="shared" si="596"/>
        <v>ㄣ</v>
      </c>
      <c r="N9560" s="3" t="s">
        <v>30576</v>
      </c>
      <c r="O9560" s="3"/>
      <c r="P9560" s="1" t="s">
        <v>20</v>
      </c>
      <c r="R9560" s="1" t="s">
        <v>18570</v>
      </c>
      <c r="V9560" s="1" t="s">
        <v>18580</v>
      </c>
      <c r="AR9560" s="1" t="str">
        <f t="shared" si="597"/>
        <v>| [ㄓㄣˇ](ㄓㄣˇ.md) | [眕](眕.md) |  | zhěn | [形]
自安自重、自抑。《左傳．隱公三年》：「夫寵而不驕，驕而能降，降而不憾，憾而能眕者，鮮矣。」 |</v>
      </c>
    </row>
    <row r="9561" spans="1:44" hidden="1">
      <c r="A9561" s="1" t="s">
        <v>18581</v>
      </c>
      <c r="C9561" s="1">
        <v>1</v>
      </c>
      <c r="D9561" s="1" t="str">
        <f>"07846"</f>
        <v>07846</v>
      </c>
      <c r="E9561" s="1" t="s">
        <v>753</v>
      </c>
      <c r="F9561" s="1">
        <v>10</v>
      </c>
      <c r="G9561" s="1">
        <v>5</v>
      </c>
      <c r="H9561" s="1">
        <v>0</v>
      </c>
      <c r="I9561" s="1" t="s">
        <v>18569</v>
      </c>
      <c r="K9561" s="1" t="str">
        <f t="shared" si="595"/>
        <v>ㄓ</v>
      </c>
      <c r="L9561" s="1" t="str">
        <f t="shared" si="596"/>
        <v>ㄣ</v>
      </c>
      <c r="N9561" s="3" t="s">
        <v>30576</v>
      </c>
      <c r="O9561" s="3"/>
      <c r="P9561" s="1" t="s">
        <v>20</v>
      </c>
      <c r="R9561" s="1" t="s">
        <v>18570</v>
      </c>
      <c r="V9561" s="1" t="s">
        <v>18582</v>
      </c>
      <c r="AR9561" s="1" t="str">
        <f t="shared" si="597"/>
        <v>| [ㄓㄣˇ](ㄓㄣˇ.md) | [畛](畛.md) |  | zhěn | [名]
1.田間分界的道路。《廣韻．上聲．軫韻》：「畛，田間道。」《楚辭．屈原．大招》：「田邑千畛。」
2.界限。《莊子．齊物論》：「請言其畛；有左，有右，有倫，有義……。」
[動]
祝告。《禮記．曲禮下》：「畛於鬼神。」漢．鄭玄．注：「畛，致也。祝告致於鬼神辭也。」 |</v>
      </c>
    </row>
    <row r="9562" spans="1:44" hidden="1">
      <c r="A9562" s="1" t="s">
        <v>18583</v>
      </c>
      <c r="C9562" s="1">
        <v>1</v>
      </c>
      <c r="D9562" s="1" t="str">
        <f>"07847"</f>
        <v>07847</v>
      </c>
      <c r="E9562" s="1" t="s">
        <v>340</v>
      </c>
      <c r="F9562" s="1">
        <v>11</v>
      </c>
      <c r="G9562" s="1">
        <v>5</v>
      </c>
      <c r="H9562" s="1">
        <v>0</v>
      </c>
      <c r="I9562" s="1" t="s">
        <v>18569</v>
      </c>
      <c r="K9562" s="1" t="str">
        <f t="shared" si="595"/>
        <v>ㄓ</v>
      </c>
      <c r="L9562" s="1" t="str">
        <f t="shared" si="596"/>
        <v>ㄣ</v>
      </c>
      <c r="N9562" s="3" t="s">
        <v>30576</v>
      </c>
      <c r="O9562" s="3"/>
      <c r="P9562" s="1" t="s">
        <v>20</v>
      </c>
      <c r="R9562" s="1" t="s">
        <v>18570</v>
      </c>
      <c r="V9562" s="1" t="s">
        <v>18584</v>
      </c>
      <c r="AR9562" s="1" t="str">
        <f t="shared" si="597"/>
        <v>| [ㄓㄣˇ](ㄓㄣˇ.md) | [袗](袗.md) |  | zhěn | [名]
襌衣，單層無內裡的衣服。《說文解字．衣部》：「袗，襌衣。」
[動]
穿著單服。《論語．鄉黨》：「當暑，袗絺綌，必表而出之。」何晏集解引孔安國曰：「暑則單服。絺綌，葛也。」
[形]
華麗的。如：「袗衣」。 |</v>
      </c>
    </row>
    <row r="9563" spans="1:44" hidden="1">
      <c r="A9563" s="1" t="s">
        <v>18585</v>
      </c>
      <c r="C9563" s="1">
        <v>1</v>
      </c>
      <c r="D9563" s="1" t="str">
        <f>"07848"</f>
        <v>07848</v>
      </c>
      <c r="E9563" s="1" t="s">
        <v>725</v>
      </c>
      <c r="F9563" s="1">
        <v>11</v>
      </c>
      <c r="G9563" s="1">
        <v>5</v>
      </c>
      <c r="H9563" s="1">
        <v>0</v>
      </c>
      <c r="I9563" s="1" t="s">
        <v>18569</v>
      </c>
      <c r="K9563" s="1" t="str">
        <f t="shared" si="595"/>
        <v>ㄓ</v>
      </c>
      <c r="L9563" s="1" t="str">
        <f t="shared" si="596"/>
        <v>ㄣ</v>
      </c>
      <c r="N9563" s="3" t="s">
        <v>30576</v>
      </c>
      <c r="O9563" s="3"/>
      <c r="P9563" s="1" t="s">
        <v>20</v>
      </c>
      <c r="R9563" s="1" t="s">
        <v>18570</v>
      </c>
      <c r="V9563" s="1" t="s">
        <v>18586</v>
      </c>
      <c r="AR9563" s="1" t="str">
        <f t="shared" si="597"/>
        <v>| [ㄓㄣˇ](ㄓㄣˇ.md) | [紾](紾.md) |  | zhěn | [動]
1.扭轉。《說文解字．糸部》：「紾，轉也。」《孟子．告子下》：「紾兄之臂而奪之食。」
2.糾纏、糾結。《淮南子．本經》：「菱杼紾抱。」 |</v>
      </c>
    </row>
    <row r="9564" spans="1:44" hidden="1">
      <c r="A9564" s="1" t="s">
        <v>18517</v>
      </c>
      <c r="C9564" s="1">
        <v>1</v>
      </c>
      <c r="D9564" s="1" t="str">
        <f>"07849"</f>
        <v>07849</v>
      </c>
      <c r="E9564" s="1" t="s">
        <v>331</v>
      </c>
      <c r="F9564" s="1">
        <v>12</v>
      </c>
      <c r="G9564" s="1">
        <v>5</v>
      </c>
      <c r="H9564" s="1">
        <v>1</v>
      </c>
      <c r="I9564" s="1" t="s">
        <v>18569</v>
      </c>
      <c r="K9564" s="1" t="str">
        <f t="shared" si="595"/>
        <v>ㄓ</v>
      </c>
      <c r="L9564" s="1" t="str">
        <f t="shared" si="596"/>
        <v>ㄣ</v>
      </c>
      <c r="N9564" s="3" t="s">
        <v>30576</v>
      </c>
      <c r="O9564" s="3"/>
      <c r="P9564" s="1" t="s">
        <v>20</v>
      </c>
      <c r="R9564" s="1" t="s">
        <v>18570</v>
      </c>
      <c r="V9564" s="1" t="s">
        <v>18587</v>
      </c>
      <c r="W9564" s="1" t="s">
        <v>18588</v>
      </c>
      <c r="AR9564" s="1" t="str">
        <f t="shared" si="597"/>
        <v>| [ㄓㄣˇ](ㄓㄣˇ.md) | [診](診.md) |  | zhěn | [動]
察看、徵驗。如：「診病」、「診驗」。唐．司空圖〈與臺丞書〉：「鬻植之道，雖本於天時，亦且診於人情耳。」 |</v>
      </c>
    </row>
    <row r="9565" spans="1:44" hidden="1">
      <c r="A9565" s="1" t="s">
        <v>18589</v>
      </c>
      <c r="C9565" s="1">
        <v>1</v>
      </c>
      <c r="D9565" s="1" t="str">
        <f>"07850"</f>
        <v>07850</v>
      </c>
      <c r="E9565" s="1" t="s">
        <v>71</v>
      </c>
      <c r="F9565" s="1">
        <v>12</v>
      </c>
      <c r="G9565" s="1">
        <v>5</v>
      </c>
      <c r="H9565" s="1">
        <v>0</v>
      </c>
      <c r="I9565" s="1" t="s">
        <v>18569</v>
      </c>
      <c r="K9565" s="1" t="str">
        <f t="shared" si="595"/>
        <v>ㄓ</v>
      </c>
      <c r="L9565" s="1" t="str">
        <f t="shared" si="596"/>
        <v>ㄣ</v>
      </c>
      <c r="N9565" s="3" t="s">
        <v>30576</v>
      </c>
      <c r="O9565" s="3"/>
      <c r="P9565" s="1" t="s">
        <v>20</v>
      </c>
      <c r="R9565" s="1" t="s">
        <v>18570</v>
      </c>
      <c r="V9565" s="1" t="s">
        <v>18590</v>
      </c>
      <c r="AR9565" s="1" t="str">
        <f t="shared" si="597"/>
        <v>| [ㄓㄣˇ](ㄓㄣˇ.md) | [軫](軫.md) |  | zhěn | [名]
1.古代車箱底部的橫木。《說文解字．車部》：「軫，車後橫木。」《左傳．昭公二十一年》：「扶伏而擊之，折軫。」
2.車子。《魏書．卷五四．高閭傳》：「自大軍停軫，庶事咸豐。」
3.樂器上調整弦線的軸。《魏書．卷一〇九．樂志》：「以軫調聲。」
[動]
扭轉、轉動。《文選．枚乘．七發》：「初發乎或圍之津涯，荄軫谷分。」
[副]
傷痛、憐憫。《楚辭．屈原．九章．哀郢》：「出國門而軫懷兮。」漢．王逸．注：「軫，痛也。」 |</v>
      </c>
    </row>
    <row r="9566" spans="1:44" hidden="1">
      <c r="A9566" s="1" t="s">
        <v>18591</v>
      </c>
      <c r="C9566" s="1">
        <v>1</v>
      </c>
      <c r="D9566" s="1" t="str">
        <f>"07851"</f>
        <v>07851</v>
      </c>
      <c r="E9566" s="1" t="s">
        <v>340</v>
      </c>
      <c r="F9566" s="1">
        <v>13</v>
      </c>
      <c r="G9566" s="1">
        <v>7</v>
      </c>
      <c r="H9566" s="1">
        <v>0</v>
      </c>
      <c r="I9566" s="1" t="s">
        <v>18569</v>
      </c>
      <c r="K9566" s="1" t="str">
        <f t="shared" si="595"/>
        <v>ㄓ</v>
      </c>
      <c r="L9566" s="1" t="str">
        <f t="shared" si="596"/>
        <v>ㄣ</v>
      </c>
      <c r="N9566" s="3" t="s">
        <v>30576</v>
      </c>
      <c r="O9566" s="3"/>
      <c r="P9566" s="1" t="s">
        <v>20</v>
      </c>
      <c r="R9566" s="1" t="s">
        <v>18570</v>
      </c>
      <c r="V9566" s="1" t="s">
        <v>18592</v>
      </c>
      <c r="AR9566" s="1" t="str">
        <f t="shared" si="597"/>
        <v>| [ㄓㄣˇ](ㄓㄣˇ.md) | [裖](裖.md) |  | zhěn | [名]
禪衣，單層無內裡的衣服。同「袗」。《說文解字．衣部》：「袗，禪衣也。袗或從辰。」
[形]
重疊堆積的樣子。《漢書．卷五七．司馬相如傳上》：「磐石裖崖，嶔巖倚傾。」 |</v>
      </c>
    </row>
    <row r="9567" spans="1:44" hidden="1">
      <c r="A9567" s="1" t="s">
        <v>18593</v>
      </c>
      <c r="C9567" s="1">
        <v>1</v>
      </c>
      <c r="D9567" s="1" t="str">
        <f>"07852"</f>
        <v>07852</v>
      </c>
      <c r="E9567" s="1" t="s">
        <v>7720</v>
      </c>
      <c r="F9567" s="1">
        <v>19</v>
      </c>
      <c r="G9567" s="1">
        <v>12</v>
      </c>
      <c r="H9567" s="1">
        <v>0</v>
      </c>
      <c r="I9567" s="1" t="s">
        <v>18569</v>
      </c>
      <c r="K9567" s="1" t="str">
        <f t="shared" si="595"/>
        <v>ㄓ</v>
      </c>
      <c r="L9567" s="1" t="str">
        <f t="shared" si="596"/>
        <v>ㄣ</v>
      </c>
      <c r="N9567" s="3" t="s">
        <v>30576</v>
      </c>
      <c r="O9567" s="3"/>
      <c r="P9567" s="1" t="s">
        <v>20</v>
      </c>
      <c r="R9567" s="1" t="s">
        <v>18570</v>
      </c>
      <c r="V9567" s="1" t="s">
        <v>18594</v>
      </c>
      <c r="AR9567" s="1" t="str">
        <f t="shared" si="597"/>
        <v>| [ㄓㄣˇ](ㄓㄣˇ.md) | [辴](辴.md) |  | zhěn | [副]
笑的樣子。《莊子．達生》：「桓公辴然而笑曰：『此寡人之所見者也。』」 |</v>
      </c>
    </row>
    <row r="9568" spans="1:44" hidden="1">
      <c r="A9568" s="1" t="s">
        <v>18595</v>
      </c>
      <c r="C9568" s="1">
        <v>1</v>
      </c>
      <c r="D9568" s="1" t="str">
        <f>"07853"</f>
        <v>07853</v>
      </c>
      <c r="E9568" s="1" t="s">
        <v>429</v>
      </c>
      <c r="F9568" s="1">
        <v>15</v>
      </c>
      <c r="G9568" s="1">
        <v>10</v>
      </c>
      <c r="H9568" s="1">
        <v>0</v>
      </c>
      <c r="I9568" s="1" t="s">
        <v>18569</v>
      </c>
      <c r="K9568" s="1" t="str">
        <f t="shared" si="595"/>
        <v>ㄓ</v>
      </c>
      <c r="L9568" s="1" t="str">
        <f t="shared" si="596"/>
        <v>ㄣ</v>
      </c>
      <c r="N9568" s="3" t="s">
        <v>30576</v>
      </c>
      <c r="O9568" s="3"/>
      <c r="P9568" s="1" t="s">
        <v>20</v>
      </c>
      <c r="R9568" s="1" t="s">
        <v>18570</v>
      </c>
      <c r="V9568" s="1" t="s">
        <v>18596</v>
      </c>
      <c r="AR9568" s="1" t="str">
        <f t="shared" si="597"/>
        <v>| [ㄓㄣˇ](ㄓㄣˇ.md) | [稹](稹.md) |  | zhěn | [動]
叢聚。《爾雅．釋言》：「苞，稹也。」晉．郭璞．注：「今人呼物叢緻者為稹。」宋．邢昺．疏：「物叢生曰苞，齊人名曰稹。」
[形]
緻密。通「縝」。《周禮．冬官考工記．輪人》：「陽也者，稹理而堅；陰也者，疏理而柔。」 |</v>
      </c>
    </row>
    <row r="9569" spans="1:44" hidden="1">
      <c r="A9569" s="1" t="s">
        <v>18597</v>
      </c>
      <c r="C9569" s="1">
        <v>1</v>
      </c>
      <c r="D9569" s="1" t="str">
        <f>"07854"</f>
        <v>07854</v>
      </c>
      <c r="E9569" s="1" t="s">
        <v>725</v>
      </c>
      <c r="F9569" s="1">
        <v>16</v>
      </c>
      <c r="G9569" s="1">
        <v>10</v>
      </c>
      <c r="H9569" s="1">
        <v>0</v>
      </c>
      <c r="I9569" s="1" t="s">
        <v>18569</v>
      </c>
      <c r="K9569" s="1" t="str">
        <f t="shared" si="595"/>
        <v>ㄓ</v>
      </c>
      <c r="L9569" s="1" t="str">
        <f t="shared" si="596"/>
        <v>ㄣ</v>
      </c>
      <c r="N9569" s="3" t="s">
        <v>30576</v>
      </c>
      <c r="O9569" s="3"/>
      <c r="P9569" s="1" t="s">
        <v>20</v>
      </c>
      <c r="R9569" s="1" t="s">
        <v>18570</v>
      </c>
      <c r="V9569" s="1" t="s">
        <v>18598</v>
      </c>
      <c r="AR9569" s="1" t="str">
        <f t="shared" si="597"/>
        <v>| [ㄓㄣˇ](ㄓㄣˇ.md) | [縝](縝.md) |  | zhěn | [形]
仔細、細密。如：「縝密」。元．虞集〈趙平章加官封制〉：「方嚴而精明，果毅而詳縝。」 |</v>
      </c>
    </row>
    <row r="9570" spans="1:44" hidden="1">
      <c r="A9570" s="1" t="s">
        <v>18599</v>
      </c>
      <c r="C9570" s="1">
        <v>1</v>
      </c>
      <c r="D9570" s="1" t="str">
        <f>"07855"</f>
        <v>07855</v>
      </c>
      <c r="E9570" s="1" t="s">
        <v>1078</v>
      </c>
      <c r="F9570" s="1">
        <v>20</v>
      </c>
      <c r="G9570" s="1">
        <v>10</v>
      </c>
      <c r="H9570" s="1">
        <v>0</v>
      </c>
      <c r="I9570" s="1" t="s">
        <v>18569</v>
      </c>
      <c r="K9570" s="1" t="str">
        <f t="shared" si="595"/>
        <v>ㄓ</v>
      </c>
      <c r="L9570" s="1" t="str">
        <f t="shared" si="596"/>
        <v>ㄣ</v>
      </c>
      <c r="N9570" s="3" t="s">
        <v>30576</v>
      </c>
      <c r="O9570" s="3"/>
      <c r="P9570" s="1" t="s">
        <v>20</v>
      </c>
      <c r="R9570" s="1" t="s">
        <v>18570</v>
      </c>
      <c r="V9570" s="1" t="s">
        <v>18600</v>
      </c>
      <c r="AR9570" s="1" t="str">
        <f t="shared" si="597"/>
        <v>| [ㄓㄣˇ](ㄓㄣˇ.md) | [鬒](鬒.md) |  | zhěn | [形]
頭髮稠密而黑。參見「鬒髮」、「鬒黑」等條。 |</v>
      </c>
    </row>
    <row r="9571" spans="1:44" hidden="1">
      <c r="A9571" s="1" t="s">
        <v>18601</v>
      </c>
      <c r="C9571" s="1">
        <v>1</v>
      </c>
      <c r="D9571" s="1" t="str">
        <f>"07856"</f>
        <v>07856</v>
      </c>
      <c r="E9571" s="1" t="s">
        <v>2777</v>
      </c>
      <c r="F9571" s="1">
        <v>22</v>
      </c>
      <c r="G9571" s="1">
        <v>10</v>
      </c>
      <c r="H9571" s="1">
        <v>0</v>
      </c>
      <c r="I9571" s="1" t="s">
        <v>18569</v>
      </c>
      <c r="K9571" s="1" t="str">
        <f t="shared" si="595"/>
        <v>ㄓ</v>
      </c>
      <c r="L9571" s="1" t="str">
        <f t="shared" si="596"/>
        <v>ㄣ</v>
      </c>
      <c r="N9571" s="3" t="s">
        <v>30576</v>
      </c>
      <c r="O9571" s="3"/>
      <c r="P9571" s="1" t="s">
        <v>20</v>
      </c>
      <c r="R9571" s="1" t="s">
        <v>18570</v>
      </c>
      <c r="V9571" s="1" t="s">
        <v>18602</v>
      </c>
      <c r="AR9571" s="1" t="str">
        <f t="shared" si="597"/>
        <v>| [ㄓㄣˇ](ㄓㄣˇ.md) | [黰](黰.md) |  | zhěn | [名]
美麗的頭髮。《玉篇．黑部》：「黰，美髮也。」《左傳．昭公二十八年》：「昔有仍氏生女，黰黑而甚美，光可以鑑。」
[形]
黑。《廣韻．上聲．軫韻》：「黰，黑貌。」 |</v>
      </c>
    </row>
    <row r="9572" spans="1:44" hidden="1">
      <c r="A9572" s="1" t="s">
        <v>18688</v>
      </c>
      <c r="C9572" s="1">
        <v>1</v>
      </c>
      <c r="D9572" s="1" t="str">
        <f>"07894"</f>
        <v>07894</v>
      </c>
      <c r="E9572" s="1" t="s">
        <v>789</v>
      </c>
      <c r="F9572" s="1">
        <v>3</v>
      </c>
      <c r="G9572" s="1">
        <v>2</v>
      </c>
      <c r="H9572" s="1">
        <v>0</v>
      </c>
      <c r="I9572" s="1" t="s">
        <v>18689</v>
      </c>
      <c r="K9572" s="1" t="str">
        <f t="shared" si="595"/>
        <v>ㄓ</v>
      </c>
      <c r="L9572" s="1" t="str">
        <f t="shared" si="596"/>
        <v>ㄤ</v>
      </c>
      <c r="N9572" s="3" t="s">
        <v>30574</v>
      </c>
      <c r="O9572" s="3"/>
      <c r="P9572" s="1" t="s">
        <v>20</v>
      </c>
      <c r="R9572" s="1" t="s">
        <v>18690</v>
      </c>
      <c r="V9572" s="1" t="s">
        <v>18691</v>
      </c>
      <c r="AR9572" s="1" t="str">
        <f t="shared" si="597"/>
        <v>| [ㄓㄤˋ](ㄓㄤˋ.md) | [丈](丈.md) |  | zhàng | [名]
1.量詞。計算長度的單位。公制一丈等於十公尺。
2.稱謂：(1)對男性長輩的尊稱。如：「老丈」。唐．杜甫〈奉贈李八丈判官曛〉詩：「我丈時英特，宗枝神堯後。」(2)對姻親尊長的稱呼。如：「姑丈」、「姨丈」。
[動]
測量。如：「丈量」。《明史．卷七七．食貨志一》：「王府官及諸閹丈地徵稅，旁午於道。」 |</v>
      </c>
    </row>
    <row r="9573" spans="1:44" hidden="1">
      <c r="A9573" s="1" t="s">
        <v>18692</v>
      </c>
      <c r="C9573" s="1">
        <v>1</v>
      </c>
      <c r="D9573" s="1" t="str">
        <f>"07895"</f>
        <v>07895</v>
      </c>
      <c r="E9573" s="1" t="s">
        <v>114</v>
      </c>
      <c r="F9573" s="1">
        <v>5</v>
      </c>
      <c r="G9573" s="1">
        <v>3</v>
      </c>
      <c r="H9573" s="1">
        <v>0</v>
      </c>
      <c r="I9573" s="1" t="s">
        <v>18689</v>
      </c>
      <c r="K9573" s="1" t="str">
        <f t="shared" si="595"/>
        <v>ㄓ</v>
      </c>
      <c r="L9573" s="1" t="str">
        <f t="shared" si="596"/>
        <v>ㄤ</v>
      </c>
      <c r="N9573" s="3" t="s">
        <v>30574</v>
      </c>
      <c r="O9573" s="3"/>
      <c r="P9573" s="1" t="s">
        <v>20</v>
      </c>
      <c r="R9573" s="1" t="s">
        <v>18690</v>
      </c>
      <c r="V9573" s="1" t="s">
        <v>18693</v>
      </c>
      <c r="AR9573" s="1" t="str">
        <f t="shared" si="597"/>
        <v>| [ㄓㄤˋ](ㄓㄤˋ.md) | [仗](仗.md) |  | zhàng | [名]
1.兵器的總稱。《新唐書．卷一三七．郭子儀傳》：「大戰，王師不利，委仗奔。」
2.戰事、戰爭。如：「勝仗」、「敗仗」、「打一場硬仗！」
[動]
1.憑藉、依附。如：「仰仗」、「狗仗人勢」。《漢書．卷四八．賈誼傳》：「顧行而忘利，守節而仗義。」元．王實甫《西廂記．第五本．第三折》：「你倚父兄，仗勢欺人。」
2.握、拿、持。如：「仗旗」。《西遊記》第四回：「一個個執戟懸鞭，持刀仗劍。」 |</v>
      </c>
    </row>
    <row r="9574" spans="1:44" hidden="1">
      <c r="A9574" s="1" t="s">
        <v>18694</v>
      </c>
      <c r="C9574" s="1">
        <v>1</v>
      </c>
      <c r="D9574" s="1" t="str">
        <f>"07896"</f>
        <v>07896</v>
      </c>
      <c r="E9574" s="1" t="s">
        <v>139</v>
      </c>
      <c r="F9574" s="1">
        <v>7</v>
      </c>
      <c r="G9574" s="1">
        <v>3</v>
      </c>
      <c r="H9574" s="1">
        <v>0</v>
      </c>
      <c r="I9574" s="1" t="s">
        <v>18689</v>
      </c>
      <c r="K9574" s="1" t="str">
        <f t="shared" si="595"/>
        <v>ㄓ</v>
      </c>
      <c r="L9574" s="1" t="str">
        <f t="shared" si="596"/>
        <v>ㄤ</v>
      </c>
      <c r="N9574" s="3" t="s">
        <v>30574</v>
      </c>
      <c r="O9574" s="3"/>
      <c r="P9574" s="1" t="s">
        <v>20</v>
      </c>
      <c r="R9574" s="1" t="s">
        <v>18690</v>
      </c>
      <c r="V9574" s="1" t="s">
        <v>18695</v>
      </c>
      <c r="AR9574" s="1" t="str">
        <f t="shared" si="597"/>
        <v>| [ㄓㄤˋ](ㄓㄤˋ.md) | [杖](杖.md) |  | zhàng | [名]_x000D_
1.拄著走路用的棍子。如：「手杖」、「枴杖」。《論語．微子》：「植其杖而芸。」唐．杜甫〈寒雨朝行視園樹〉詩：「衰顏動覓藜床坐，緩步仍須竹杖扶。」_x000D_
2.泛稱棍棒一類的東西。如：「擀麵杖」。《農桑輯要．卷二．播種．苧麻》：「於畦內用極細稍杖三、四根，撥剌令平可。」《西遊記》第一二回：「長老遂將袈裟抖開，披在身上，手持錫杖，侍立階前。」_x000D_
3.古代的一種刑法。用棒子或竹板打犯人。《宋史．卷五．太宗本紀二》：「杖罪釋之。」_x000D_
[動]_x000D_
1.執、持。《書經．牧誓》：「王左杖黃鉞，右秉白旄以麾。」《禮記．王制》：「六十杖於鄉，七十杖於國。」_x000D_
2.憑恃、倚靠。《左傳．襄公八年》：「完守以老楚，杖信以待晉，不亦可乎？」《漢書．卷七五．眭兩夏侯京翼李傳．李尋》：「外臣不知朝事，竊信天文即如此，近臣已不足杖矣。」_x000D_
3.拷打。宋．王讜《唐語林．卷六．補遺》：「穆家法最峻，寧命諸子直饌，稍不如意，則杖之。」 |</v>
      </c>
    </row>
    <row r="9575" spans="1:44" hidden="1">
      <c r="A9575" s="1" t="s">
        <v>18680</v>
      </c>
      <c r="C9575" s="1">
        <v>1</v>
      </c>
      <c r="D9575" s="1" t="str">
        <f>"07897"</f>
        <v>07897</v>
      </c>
      <c r="E9575" s="1" t="s">
        <v>15800</v>
      </c>
      <c r="F9575" s="1">
        <v>8</v>
      </c>
      <c r="G9575" s="1">
        <v>0</v>
      </c>
      <c r="H9575" s="1">
        <v>3</v>
      </c>
      <c r="I9575" s="1" t="s">
        <v>18689</v>
      </c>
      <c r="K9575" s="1" t="str">
        <f t="shared" si="595"/>
        <v>ㄓ</v>
      </c>
      <c r="L9575" s="1" t="str">
        <f t="shared" si="596"/>
        <v>ㄤ</v>
      </c>
      <c r="N9575" s="3" t="s">
        <v>30574</v>
      </c>
      <c r="O9575" s="3"/>
      <c r="P9575" s="1" t="s">
        <v>20</v>
      </c>
      <c r="R9575" s="1" t="s">
        <v>18690</v>
      </c>
      <c r="V9575" s="1" t="s">
        <v>18696</v>
      </c>
      <c r="W9575" s="1" t="s">
        <v>18697</v>
      </c>
      <c r="AR9575" s="1" t="str">
        <f t="shared" si="597"/>
        <v>| [ㄓㄤˋ](ㄓㄤˋ.md) | [長](長.md) |  | zhàng | [形]
多餘的。如：「身無長物」。唐．白居易〈無長物〉詩：「只緣無長物，始得作閒人。」
[動]
強盛。《呂氏春秋．審分覽．知度》：「此神農之所以長，而堯舜之所以章也。」 |</v>
      </c>
    </row>
    <row r="9576" spans="1:44" hidden="1">
      <c r="A9576" s="1" t="s">
        <v>18698</v>
      </c>
      <c r="C9576" s="1">
        <v>1</v>
      </c>
      <c r="D9576" s="1" t="str">
        <f>"07898"</f>
        <v>07898</v>
      </c>
      <c r="E9576" s="1" t="s">
        <v>222</v>
      </c>
      <c r="F9576" s="1">
        <v>11</v>
      </c>
      <c r="G9576" s="1">
        <v>8</v>
      </c>
      <c r="H9576" s="1">
        <v>0</v>
      </c>
      <c r="I9576" s="1" t="s">
        <v>18689</v>
      </c>
      <c r="K9576" s="1" t="str">
        <f t="shared" si="595"/>
        <v>ㄓ</v>
      </c>
      <c r="L9576" s="1" t="str">
        <f t="shared" si="596"/>
        <v>ㄤ</v>
      </c>
      <c r="N9576" s="3" t="s">
        <v>30574</v>
      </c>
      <c r="O9576" s="3"/>
      <c r="P9576" s="1" t="s">
        <v>20</v>
      </c>
      <c r="R9576" s="1" t="s">
        <v>18690</v>
      </c>
      <c r="V9576" s="1" t="s">
        <v>18699</v>
      </c>
      <c r="AR9576" s="1" t="str">
        <f t="shared" si="597"/>
        <v>| [ㄓㄤˋ](ㄓㄤˋ.md) | [帳](帳.md) |  | zhàng | [名]
1.張掛起來做為露宿或防止蚊蟲進入的布幕、帷幕。如：「蚊帳」、「營帳」。唐．白居易〈長恨歌〉：「雲鬢花顏金步搖，芙蓉帳暖度春宵。」
2.記載有關銀錢、財物出入的簿據。同「賬」。如：「算帳」、「流水帳」。《通俗編．貨財》：「幃幄曰帳，而計簿亦曰帳者，運籌必在幃幄中也。今市井或造賬字用之，諸字書中皆未見。」
3.債務。同「賬」。如：「欠帳」、「還帳」。 |</v>
      </c>
    </row>
    <row r="9577" spans="1:44" hidden="1">
      <c r="A9577" s="1" t="s">
        <v>18670</v>
      </c>
      <c r="C9577" s="1">
        <v>1</v>
      </c>
      <c r="D9577" s="1" t="str">
        <f>"07899"</f>
        <v>07899</v>
      </c>
      <c r="E9577" s="1" t="s">
        <v>103</v>
      </c>
      <c r="F9577" s="1">
        <v>11</v>
      </c>
      <c r="G9577" s="1">
        <v>8</v>
      </c>
      <c r="H9577" s="1">
        <v>2</v>
      </c>
      <c r="I9577" s="1" t="s">
        <v>18689</v>
      </c>
      <c r="K9577" s="1" t="str">
        <f t="shared" si="595"/>
        <v>ㄓ</v>
      </c>
      <c r="L9577" s="1" t="str">
        <f t="shared" si="596"/>
        <v>ㄤ</v>
      </c>
      <c r="N9577" s="3" t="s">
        <v>30574</v>
      </c>
      <c r="O9577" s="3"/>
      <c r="P9577" s="1" t="s">
        <v>20</v>
      </c>
      <c r="R9577" s="1" t="s">
        <v>18690</v>
      </c>
      <c r="V9577" s="1" t="s">
        <v>18700</v>
      </c>
      <c r="W9577" s="1" t="s">
        <v>18701</v>
      </c>
      <c r="AR9577" s="1" t="str">
        <f t="shared" si="597"/>
        <v>| [ㄓㄤˋ](ㄓㄤˋ.md) | [張](張.md) |  | zhàng | [動]
 (一)[動]4.之又音。
[形]
 肚子鼓脹。通「脹」。《左傳．成公十年》：「將食，張，如廁。」 |</v>
      </c>
    </row>
    <row r="9578" spans="1:44" hidden="1">
      <c r="A9578" s="1" t="s">
        <v>18702</v>
      </c>
      <c r="C9578" s="1">
        <v>1</v>
      </c>
      <c r="D9578" s="1" t="str">
        <f>"07900"</f>
        <v>07900</v>
      </c>
      <c r="E9578" s="1" t="s">
        <v>68</v>
      </c>
      <c r="F9578" s="1">
        <v>12</v>
      </c>
      <c r="G9578" s="1">
        <v>8</v>
      </c>
      <c r="H9578" s="1">
        <v>0</v>
      </c>
      <c r="I9578" s="1" t="s">
        <v>18689</v>
      </c>
      <c r="K9578" s="1" t="str">
        <f t="shared" si="595"/>
        <v>ㄓ</v>
      </c>
      <c r="L9578" s="1" t="str">
        <f t="shared" si="596"/>
        <v>ㄤ</v>
      </c>
      <c r="N9578" s="3" t="s">
        <v>30574</v>
      </c>
      <c r="O9578" s="3"/>
      <c r="P9578" s="1" t="s">
        <v>20</v>
      </c>
      <c r="R9578" s="1" t="s">
        <v>18690</v>
      </c>
      <c r="V9578" s="1" t="s">
        <v>18703</v>
      </c>
      <c r="AR9578" s="1" t="str">
        <f t="shared" si="597"/>
        <v>| [ㄓㄤˋ](ㄓㄤˋ.md) | [脹](脹.md) |  | zhàng | [動]
物體體積變大。如：「膨脹」、「熱脹冷縮」。
[形]
1.形容飲食過飽，腸胃不舒服的感覺。如：「胃脹」、「肚子很脹」。
2.浮腫。如：「皮膚腫脹」。 |</v>
      </c>
    </row>
    <row r="9579" spans="1:44" hidden="1">
      <c r="A9579" s="1" t="s">
        <v>18683</v>
      </c>
      <c r="C9579" s="1">
        <v>1</v>
      </c>
      <c r="D9579" s="1" t="str">
        <f>"07901"</f>
        <v>07901</v>
      </c>
      <c r="E9579" s="1" t="s">
        <v>129</v>
      </c>
      <c r="F9579" s="1">
        <v>14</v>
      </c>
      <c r="G9579" s="1">
        <v>11</v>
      </c>
      <c r="H9579" s="1">
        <v>1</v>
      </c>
      <c r="I9579" s="1" t="s">
        <v>18689</v>
      </c>
      <c r="K9579" s="1" t="str">
        <f t="shared" si="595"/>
        <v>ㄓ</v>
      </c>
      <c r="L9579" s="1" t="str">
        <f t="shared" si="596"/>
        <v>ㄤ</v>
      </c>
      <c r="N9579" s="3" t="s">
        <v>30574</v>
      </c>
      <c r="O9579" s="3"/>
      <c r="P9579" s="1" t="s">
        <v>20</v>
      </c>
      <c r="R9579" s="1" t="s">
        <v>18690</v>
      </c>
      <c r="V9579" s="1" t="s">
        <v>18704</v>
      </c>
      <c r="W9579" s="1" t="s">
        <v>18705</v>
      </c>
      <c r="AR9579" s="1" t="str">
        <f t="shared" si="597"/>
        <v>| [ㄓㄤˋ](ㄓㄤˋ.md) | [漲](漲.md) |  | zhàng | [動]
1.物體擴張。通「脹」。如：「漲大」。
2.瀰漫。《南史．卷九．陳武帝本紀》：「縱火燒柵，煙塵漲天。」 |</v>
      </c>
    </row>
    <row r="9580" spans="1:44" hidden="1">
      <c r="A9580" s="1" t="s">
        <v>18706</v>
      </c>
      <c r="C9580" s="1">
        <v>1</v>
      </c>
      <c r="D9580" s="1" t="str">
        <f>"07902"</f>
        <v>07902</v>
      </c>
      <c r="E9580" s="1" t="s">
        <v>505</v>
      </c>
      <c r="F9580" s="1">
        <v>15</v>
      </c>
      <c r="G9580" s="1">
        <v>8</v>
      </c>
      <c r="H9580" s="1">
        <v>0</v>
      </c>
      <c r="I9580" s="1" t="s">
        <v>18689</v>
      </c>
      <c r="K9580" s="1" t="str">
        <f t="shared" si="595"/>
        <v>ㄓ</v>
      </c>
      <c r="L9580" s="1" t="str">
        <f t="shared" si="596"/>
        <v>ㄤ</v>
      </c>
      <c r="N9580" s="3" t="s">
        <v>30574</v>
      </c>
      <c r="O9580" s="3"/>
      <c r="P9580" s="1" t="s">
        <v>20</v>
      </c>
      <c r="R9580" s="1" t="s">
        <v>18690</v>
      </c>
      <c r="V9580" s="1" t="s">
        <v>18707</v>
      </c>
      <c r="AR9580" s="1" t="str">
        <f t="shared" si="597"/>
        <v>| [ㄓㄤˋ](ㄓㄤˋ.md) | [賬](賬.md) |  | zhàng | [名]
1.記錄有關銀錢、財物出入的簿據。同「帳」。如：「查賬」、「記賬」。
2.債務。同「帳」。如：「欠賬」。 |</v>
      </c>
    </row>
    <row r="9581" spans="1:44" hidden="1">
      <c r="A9581" s="1" t="s">
        <v>18708</v>
      </c>
      <c r="C9581" s="1">
        <v>1</v>
      </c>
      <c r="D9581" s="1" t="str">
        <f>"07903"</f>
        <v>07903</v>
      </c>
      <c r="E9581" s="1" t="s">
        <v>190</v>
      </c>
      <c r="F9581" s="1">
        <v>14</v>
      </c>
      <c r="G9581" s="1">
        <v>11</v>
      </c>
      <c r="H9581" s="1">
        <v>0</v>
      </c>
      <c r="I9581" s="1" t="s">
        <v>18689</v>
      </c>
      <c r="K9581" s="1" t="str">
        <f t="shared" si="595"/>
        <v>ㄓ</v>
      </c>
      <c r="L9581" s="1" t="str">
        <f t="shared" si="596"/>
        <v>ㄤ</v>
      </c>
      <c r="N9581" s="3" t="s">
        <v>30574</v>
      </c>
      <c r="O9581" s="3"/>
      <c r="P9581" s="1" t="s">
        <v>20</v>
      </c>
      <c r="R9581" s="1" t="s">
        <v>18690</v>
      </c>
      <c r="V9581" s="1" t="s">
        <v>18709</v>
      </c>
      <c r="AR9581" s="1" t="str">
        <f t="shared" si="597"/>
        <v>| [ㄓㄤˋ](ㄓㄤˋ.md) | [嶂](嶂.md) |  | zhàng | [名]
形如屏風的山。如：「重巒疊嶂」。宋．范仲淹〈漁家傲．塞下秋來風景異〉詞：「千嶂裡，長煙落日孤城閉。」 |</v>
      </c>
    </row>
    <row r="9582" spans="1:44" hidden="1">
      <c r="A9582" s="1" t="s">
        <v>18710</v>
      </c>
      <c r="C9582" s="1">
        <v>1</v>
      </c>
      <c r="D9582" s="1" t="str">
        <f>"07904"</f>
        <v>07904</v>
      </c>
      <c r="E9582" s="1" t="s">
        <v>222</v>
      </c>
      <c r="F9582" s="1">
        <v>14</v>
      </c>
      <c r="G9582" s="1">
        <v>11</v>
      </c>
      <c r="H9582" s="1">
        <v>0</v>
      </c>
      <c r="I9582" s="1" t="s">
        <v>18689</v>
      </c>
      <c r="K9582" s="1" t="str">
        <f t="shared" si="595"/>
        <v>ㄓ</v>
      </c>
      <c r="L9582" s="1" t="str">
        <f t="shared" si="596"/>
        <v>ㄤ</v>
      </c>
      <c r="N9582" s="3" t="s">
        <v>30574</v>
      </c>
      <c r="O9582" s="3"/>
      <c r="P9582" s="1" t="s">
        <v>20</v>
      </c>
      <c r="R9582" s="1" t="s">
        <v>18690</v>
      </c>
      <c r="V9582" s="1" t="s">
        <v>18711</v>
      </c>
      <c r="AR9582" s="1" t="str">
        <f t="shared" si="597"/>
        <v>| [ㄓㄤˋ](ㄓㄤˋ.md) | [幛](幛.md) |  | zhàng | [名]
在布帛上題字，作為慶賀或祭弔的禮品。如：「喜幛」、「壽幛」、「祭幛」。也稱為「幛子」。
[動]
遮蔽、遮擋。《聊齋志異．卷一〇．葛巾》：「嫗以身幛女，叱曰：『狂生何為！』」 |</v>
      </c>
    </row>
    <row r="9583" spans="1:44" hidden="1">
      <c r="A9583" s="1" t="s">
        <v>18712</v>
      </c>
      <c r="C9583" s="1">
        <v>1</v>
      </c>
      <c r="D9583" s="1" t="str">
        <f>"07905"</f>
        <v>07905</v>
      </c>
      <c r="E9583" s="1" t="s">
        <v>691</v>
      </c>
      <c r="F9583" s="1">
        <v>14</v>
      </c>
      <c r="G9583" s="1">
        <v>11</v>
      </c>
      <c r="H9583" s="1">
        <v>0</v>
      </c>
      <c r="I9583" s="1" t="s">
        <v>18689</v>
      </c>
      <c r="K9583" s="1" t="str">
        <f t="shared" si="595"/>
        <v>ㄓ</v>
      </c>
      <c r="L9583" s="1" t="str">
        <f t="shared" si="596"/>
        <v>ㄤ</v>
      </c>
      <c r="N9583" s="3" t="s">
        <v>30574</v>
      </c>
      <c r="O9583" s="3"/>
      <c r="P9583" s="1" t="s">
        <v>20</v>
      </c>
      <c r="R9583" s="1" t="s">
        <v>18690</v>
      </c>
      <c r="V9583" s="1" t="s">
        <v>18713</v>
      </c>
      <c r="AR9583" s="1" t="str">
        <f t="shared" si="597"/>
        <v>| [ㄓㄤˋ](ㄓㄤˋ.md) | [障](障.md) |  | zhàng | [動]
1.阻塞、阻隔。《呂氏春秋．貴直論．貴直》：「欲聞枉而惡直言，是障其源而欲其水也。」明．徐弘祖《徐霞客遊記．卷二上．江右遊日記》：「壟北一崗，橫障溪前，若為當關。」
2.遮蔽、遮擋。《三國演義》第一一九回：「張節可憐忠國死，一拳怎障泰山高！」
3.保護、防衛。如：「保障」。唐．韓愈〈進學解〉：「障百川而東之，迴狂瀾於既倒。」宋．文天祥〈贈祕書王監丞〉詩：「人生晚節良不易，頹波直下誰障東？」
[名]
1.堤防。《文選．馬融．長笛賦》：「於是山水猥至，渟涔障潰。」
2.古代在邊塞險要處所築的城寨。《史記．卷六．秦始皇本紀》：「築亭障以逐戎人。」
3.類似屏風的帷幕或物品。《北史．卷八一．儒林傳．張景仁傳》：「每送步障，為遮風寒。」宋．沈括《夢溪筆談．卷二二．謬誤》：「有筆工善畫水，召使畫便廳掩障。」
4.缺點、毛病。如：「機器發生故障。」 |</v>
      </c>
    </row>
    <row r="9584" spans="1:44" hidden="1">
      <c r="A9584" s="1" t="s">
        <v>18714</v>
      </c>
      <c r="C9584" s="1">
        <v>1</v>
      </c>
      <c r="D9584" s="1" t="str">
        <f>"07906"</f>
        <v>07906</v>
      </c>
      <c r="E9584" s="1" t="s">
        <v>40</v>
      </c>
      <c r="F9584" s="1">
        <v>16</v>
      </c>
      <c r="G9584" s="1">
        <v>11</v>
      </c>
      <c r="H9584" s="1">
        <v>0</v>
      </c>
      <c r="I9584" s="1" t="s">
        <v>18689</v>
      </c>
      <c r="K9584" s="1" t="str">
        <f t="shared" ref="K9584:K9647" si="598">LEFT(I9584, 1)</f>
        <v>ㄓ</v>
      </c>
      <c r="L9584" s="1" t="str">
        <f t="shared" ref="L9584:L9647" si="599">MID(I9584, 2, 1)</f>
        <v>ㄤ</v>
      </c>
      <c r="N9584" s="3" t="s">
        <v>30574</v>
      </c>
      <c r="O9584" s="3"/>
      <c r="P9584" s="1" t="s">
        <v>20</v>
      </c>
      <c r="R9584" s="1" t="s">
        <v>18690</v>
      </c>
      <c r="V9584" s="1" t="s">
        <v>18715</v>
      </c>
      <c r="AR9584" s="1" t="str">
        <f t="shared" si="597"/>
        <v>| [ㄓㄤˋ](ㄓㄤˋ.md) | [瘴](瘴.md) |  | zhàng | [名]
山林間溼熱蒸鬱的毒氣。大陸地區西南部山區常見。如：「瘴氣」。 |</v>
      </c>
    </row>
    <row r="9585" spans="1:44" hidden="1">
      <c r="A9585" s="1" t="s">
        <v>18676</v>
      </c>
      <c r="C9585" s="1">
        <v>1</v>
      </c>
      <c r="D9585" s="1" t="str">
        <f>"07890"</f>
        <v>07890</v>
      </c>
      <c r="E9585" s="1" t="s">
        <v>114</v>
      </c>
      <c r="F9585" s="1">
        <v>4</v>
      </c>
      <c r="G9585" s="1">
        <v>2</v>
      </c>
      <c r="H9585" s="1">
        <v>0</v>
      </c>
      <c r="I9585" s="1" t="s">
        <v>18677</v>
      </c>
      <c r="K9585" s="1" t="str">
        <f t="shared" si="598"/>
        <v>ㄓ</v>
      </c>
      <c r="L9585" s="1" t="str">
        <f t="shared" si="599"/>
        <v>ㄤ</v>
      </c>
      <c r="N9585" s="3" t="s">
        <v>30576</v>
      </c>
      <c r="O9585" s="3"/>
      <c r="P9585" s="1" t="s">
        <v>20</v>
      </c>
      <c r="R9585" s="1" t="s">
        <v>18678</v>
      </c>
      <c r="V9585" s="1" t="s">
        <v>18679</v>
      </c>
      <c r="AR9585" s="1" t="str">
        <f t="shared" si="597"/>
        <v>| [ㄓㄤˇ](ㄓㄤˇ.md) | [仉](仉.md) |  | zhǎng | [名]
姓。如明代有仉經。 |</v>
      </c>
    </row>
    <row r="9586" spans="1:44" hidden="1">
      <c r="A9586" s="1" t="s">
        <v>18680</v>
      </c>
      <c r="C9586" s="1">
        <v>1</v>
      </c>
      <c r="D9586" s="1" t="str">
        <f>"07891"</f>
        <v>07891</v>
      </c>
      <c r="E9586" s="1" t="s">
        <v>15800</v>
      </c>
      <c r="F9586" s="1">
        <v>8</v>
      </c>
      <c r="G9586" s="1">
        <v>0</v>
      </c>
      <c r="H9586" s="1">
        <v>2</v>
      </c>
      <c r="I9586" s="1" t="s">
        <v>18677</v>
      </c>
      <c r="K9586" s="1" t="str">
        <f t="shared" si="598"/>
        <v>ㄓ</v>
      </c>
      <c r="L9586" s="1" t="str">
        <f t="shared" si="599"/>
        <v>ㄤ</v>
      </c>
      <c r="N9586" s="3" t="s">
        <v>30576</v>
      </c>
      <c r="O9586" s="3"/>
      <c r="P9586" s="1" t="s">
        <v>20</v>
      </c>
      <c r="R9586" s="1" t="s">
        <v>18678</v>
      </c>
      <c r="V9586" s="1" t="s">
        <v>18681</v>
      </c>
      <c r="W9586" s="1" t="s">
        <v>18682</v>
      </c>
      <c r="AR9586" s="1" t="str">
        <f t="shared" si="597"/>
        <v>| [ㄓㄤˇ](ㄓㄤˇ.md) | [長](長.md) |  | zhǎng | [名]_x000D_
1.年紀大、輩分高的人。如：「尊長」、「師長」、「兄長」。《莊子．天道》：「君先而臣從，父先而子從，兄先而弟從，長先而少從。」《後漢書．卷七〇．鄭孔荀列傳．孔融》：「吏問其母，母曰：『家事任長，妾當其辜。』」_x000D_
2.領袖、領導。《史記．卷七．項羽本紀》：「嬰謝不能，遂彊立嬰為長，縣中從者得二萬人。」後泛指中央或地方的主管。如：「首長」、「部長」、「市長」、「縣長」。_x000D_
[形]_x000D_
1.年紀大、輩分高。如：「他比我長三歲。」《公羊傳．隱公三年》：「桓幼而貴，隱長而卑。」《論語．先進》：「以吾一日長乎爾，毋吾以也。」_x000D_
2.排行第一。如：「長女」、「長孫」。《易經．說卦》：「震一索而得男，故謂之長男。」《孟子．梁惠王上》：「及寡人之身，東敗於齊，長子死焉。」_x000D_
3.老。《莊子．大宗師》：「子之年長矣，而色若孺子，何也？」《國語．晉語四》：「齊侯長矣，而欲親晉。」_x000D_
[動]_x000D_
1.出生。漢．桓寬《鹽鐵論．和親》：「范蠡出於越，由余長於胡，皆為霸王賢佐。」《西遊記》第一回：「我雖不是樹上生，卻是石裡長的。」_x000D_
2.生長、發育。《孟子．告子上》：「苟得其養，無物不長。」《呂氏春秋．季春紀．圜道》：「物動則萌，萌而生，生而長，長而大。」_x000D_
3.生、顯。如：「他長得很俊美。」_x000D_
4.養育。《詩經．小雅．蓼莪》：「父兮生我，母兮鞠我，拊我畜我，長我育我。」《左傳．昭公十四年》：「長孤幼，養老疾。」_x000D_
5.增進、增加。如：「長他人志氣，滅自己威風。」《易經．泰卦》：「君子道長，小人道消也。」_x000D_
6.執掌。《戰國策．楚策一》：「子無敢食我也。天帝使我長百獸，今子食我，是逆天帝命也。」漢．王充《論衡．感虛》：「使一郡皆寒，賢者長一縣，一縣之界能獨溫乎？」_x000D_
7.尊敬、崇尚。《書經．牧誓》：「乃惟四方之多罪逋逃，是崇是長，是信是使。」《漢書．卷六〇．杜周傳》：「今漢家承周秦之敝，宜抑文尚質，廢奢長儉，表實去偽。」 |</v>
      </c>
    </row>
    <row r="9587" spans="1:44" hidden="1">
      <c r="A9587" s="1" t="s">
        <v>18683</v>
      </c>
      <c r="C9587" s="1">
        <v>1</v>
      </c>
      <c r="D9587" s="1" t="str">
        <f>"07892"</f>
        <v>07892</v>
      </c>
      <c r="E9587" s="1" t="s">
        <v>129</v>
      </c>
      <c r="F9587" s="1">
        <v>14</v>
      </c>
      <c r="G9587" s="1">
        <v>11</v>
      </c>
      <c r="H9587" s="1">
        <v>2</v>
      </c>
      <c r="I9587" s="1" t="s">
        <v>18677</v>
      </c>
      <c r="K9587" s="1" t="str">
        <f t="shared" si="598"/>
        <v>ㄓ</v>
      </c>
      <c r="L9587" s="1" t="str">
        <f t="shared" si="599"/>
        <v>ㄤ</v>
      </c>
      <c r="N9587" s="3" t="s">
        <v>30576</v>
      </c>
      <c r="O9587" s="3"/>
      <c r="P9587" s="1" t="s">
        <v>20</v>
      </c>
      <c r="R9587" s="1" t="s">
        <v>18678</v>
      </c>
      <c r="V9587" s="1" t="s">
        <v>18684</v>
      </c>
      <c r="W9587" s="1" t="s">
        <v>18685</v>
      </c>
      <c r="AR9587" s="1" t="str">
        <f t="shared" si="597"/>
        <v>| [ㄓㄤˇ](ㄓㄤˇ.md) | [漲](漲.md) |  | zhǎng | [動]
上升、提高。如：「漲價」、「水位暴漲」、「行情看漲」。 |</v>
      </c>
    </row>
    <row r="9588" spans="1:44" hidden="1">
      <c r="A9588" s="1" t="s">
        <v>18686</v>
      </c>
      <c r="C9588" s="1">
        <v>1</v>
      </c>
      <c r="D9588" s="1" t="str">
        <f>"07893"</f>
        <v>07893</v>
      </c>
      <c r="E9588" s="1" t="s">
        <v>24</v>
      </c>
      <c r="F9588" s="1">
        <v>12</v>
      </c>
      <c r="G9588" s="1">
        <v>8</v>
      </c>
      <c r="H9588" s="1">
        <v>0</v>
      </c>
      <c r="I9588" s="1" t="s">
        <v>18677</v>
      </c>
      <c r="K9588" s="1" t="str">
        <f t="shared" si="598"/>
        <v>ㄓ</v>
      </c>
      <c r="L9588" s="1" t="str">
        <f t="shared" si="599"/>
        <v>ㄤ</v>
      </c>
      <c r="N9588" s="3" t="s">
        <v>30576</v>
      </c>
      <c r="O9588" s="3"/>
      <c r="P9588" s="1" t="s">
        <v>20</v>
      </c>
      <c r="R9588" s="1" t="s">
        <v>18678</v>
      </c>
      <c r="V9588" s="1" t="s">
        <v>18687</v>
      </c>
      <c r="AR9588" s="1" t="str">
        <f t="shared" si="597"/>
        <v>| [ㄓㄤˇ](ㄓㄤˇ.md) | [掌](掌.md) |  | zhǎng | [名]
1.手心、足心。如：「鼓掌」、「腳掌」、「易如反掌」。
2.動物的腳底。如：「熊掌」、「鴨掌」。
3.量詞。計算武術招數的單位。如：「一掌斃命」、「降龍十八掌」。
4.釘縫在鞋底前、後部分的皮子或橡膠。如：「釘一塊掌兒。」
5.姓。如晉代有掌同。
[動]
1.用手掌打。如：「掌嘴」。
2.管理、主持。如：「掌舵」、「掌政」、「職掌大權」。
3.北方方言。指擱放、加上。如：「記得掌點兒鹽到湯裡。」 |</v>
      </c>
    </row>
    <row r="9589" spans="1:44" hidden="1">
      <c r="A9589" s="1" t="s">
        <v>18720</v>
      </c>
      <c r="C9589" s="1">
        <v>1</v>
      </c>
      <c r="D9589" s="1" t="str">
        <f>"07930"</f>
        <v>07930</v>
      </c>
      <c r="E9589" s="1" t="s">
        <v>1495</v>
      </c>
      <c r="F9589" s="1">
        <v>5</v>
      </c>
      <c r="G9589" s="1">
        <v>1</v>
      </c>
      <c r="H9589" s="1">
        <v>1</v>
      </c>
      <c r="I9589" s="1" t="s">
        <v>18769</v>
      </c>
      <c r="K9589" s="1" t="str">
        <f t="shared" si="598"/>
        <v>ㄓ</v>
      </c>
      <c r="L9589" s="1" t="str">
        <f t="shared" si="599"/>
        <v>ㄥ</v>
      </c>
      <c r="N9589" s="3" t="s">
        <v>30574</v>
      </c>
      <c r="O9589" s="3"/>
      <c r="P9589" s="1" t="s">
        <v>20</v>
      </c>
      <c r="R9589" s="1" t="s">
        <v>18770</v>
      </c>
      <c r="V9589" s="1" t="s">
        <v>18771</v>
      </c>
      <c r="W9589" s="1" t="s">
        <v>18772</v>
      </c>
      <c r="AR9589" s="1" t="str">
        <f t="shared" si="597"/>
        <v>| [ㄓㄥˋ](ㄓㄥˋ.md) | [正](正.md) |  | zhèng | [形]
1.合於規範的、合於法則的。如：「正道」、「正路」。
2.不偏斜。如：「正中」、「正午」。《論語．憲問》：「晉文公譎而不正，齊桓公正而不譎。」
3.精純不雜的。如：「純正」、「正紅色」。《韓非子．難四》：「屈到嗜芰，文王嗜菖蒲菹，非正味也，而二賢尚之，所味不必美。」
4.與「反」相對。如：「正面」、「正方」。
5.與「副」相對。如：「正本」、「正刊」。
6.與「偏」相對。如：「正門」、「正廳」。
7.與「負」相對。如：「正數」、「正電」。
[動]
1.修改錯誤。如：「修正」、「訂正」、「糾正」。《論語．學而》：「就有道而正焉。」
2.整理。《論語．堯曰》：「君子正其衣冠，尊其瞻視。」《隋書．卷五八．李文博傳》：「夫清其流者必潔其源，正其末者須端其本。」
3.分析、明辨。《論語．子路》：「必也正名乎！」
[副]
1.恰巧、剛好。如：「正好」、「正是」、「正中下懷」。《北史．卷七〇．劉璠傳》：「行本怒其不能調護，每謂三人曰：『鄉等正解讀書耳。』」
2.表示動作在進行的狀態。如：「外面正下著傾盆大雨。」《文選．曹植．七哀詩》：「明月照高樓，流光正徘徊。」
[名]
1.長官、主事者。如：「里正」、「村正」。《禮記．王制》：「成獄辭，史以獄成告於正，正聽之。」
2.姓。如春秋時魯國有正常。 |</v>
      </c>
    </row>
    <row r="9590" spans="1:44" hidden="1">
      <c r="A9590" s="1" t="s">
        <v>18773</v>
      </c>
      <c r="C9590" s="1">
        <v>1</v>
      </c>
      <c r="D9590" s="1" t="str">
        <f>"07931"</f>
        <v>07931</v>
      </c>
      <c r="E9590" s="1" t="s">
        <v>426</v>
      </c>
      <c r="F9590" s="1">
        <v>9</v>
      </c>
      <c r="G9590" s="1">
        <v>5</v>
      </c>
      <c r="H9590" s="1">
        <v>0</v>
      </c>
      <c r="I9590" s="1" t="s">
        <v>18769</v>
      </c>
      <c r="K9590" s="1" t="str">
        <f t="shared" si="598"/>
        <v>ㄓ</v>
      </c>
      <c r="L9590" s="1" t="str">
        <f t="shared" si="599"/>
        <v>ㄥ</v>
      </c>
      <c r="N9590" s="3" t="s">
        <v>30574</v>
      </c>
      <c r="O9590" s="3"/>
      <c r="P9590" s="1" t="s">
        <v>20</v>
      </c>
      <c r="R9590" s="1" t="s">
        <v>18770</v>
      </c>
      <c r="V9590" s="1" t="s">
        <v>18774</v>
      </c>
      <c r="AR9590" s="1" t="str">
        <f t="shared" si="597"/>
        <v>| [ㄓㄥˋ](ㄓㄥˋ.md) | [政](政.md) |  | zhèng | [名]
1.政策、法令。《周禮．天官．小宰》：「小宰之職，掌建邦之宮刑，以治王宮之政令。」《左傳．昭公二十年》：「政寬則民慢，慢則糾之以猛。」
2.法則、規則。《荀子．天論》：「順其類者謂之福，逆其類者謂之禍，夫是之謂天政。」
3.國家公務機關的行政業務。如：「內政」、「財政」、「省政」、「縣政」。
[動]
1.治理。《後漢書．卷二八上．桓譚傳》：「蓋善政者，視俗而施教，察失而立防。」
2.文字上的指正，多用為求教的詞語。如：「乞政」、「呈政」。 |</v>
      </c>
    </row>
    <row r="9591" spans="1:44" hidden="1">
      <c r="A9591" s="1" t="s">
        <v>18775</v>
      </c>
      <c r="C9591" s="1">
        <v>1</v>
      </c>
      <c r="D9591" s="1" t="str">
        <f>"07932"</f>
        <v>07932</v>
      </c>
      <c r="E9591" s="1" t="s">
        <v>40</v>
      </c>
      <c r="F9591" s="1">
        <v>10</v>
      </c>
      <c r="G9591" s="1">
        <v>5</v>
      </c>
      <c r="H9591" s="1">
        <v>0</v>
      </c>
      <c r="I9591" s="1" t="s">
        <v>18769</v>
      </c>
      <c r="K9591" s="1" t="str">
        <f t="shared" si="598"/>
        <v>ㄓ</v>
      </c>
      <c r="L9591" s="1" t="str">
        <f t="shared" si="599"/>
        <v>ㄥ</v>
      </c>
      <c r="N9591" s="3" t="s">
        <v>30574</v>
      </c>
      <c r="O9591" s="3"/>
      <c r="P9591" s="1" t="s">
        <v>20</v>
      </c>
      <c r="R9591" s="1" t="s">
        <v>18770</v>
      </c>
      <c r="V9591" s="1" t="s">
        <v>18776</v>
      </c>
      <c r="AR9591" s="1" t="str">
        <f t="shared" si="597"/>
        <v>| [ㄓㄥˋ](ㄓㄥˋ.md) | [症](症.md) |  | zhèng | [名]
疾病的徵象。如：「急症」、「絕症」、「不治之症」、「對症下藥」。 |</v>
      </c>
    </row>
    <row r="9592" spans="1:44" hidden="1">
      <c r="A9592" s="1" t="s">
        <v>18777</v>
      </c>
      <c r="C9592" s="1">
        <v>1</v>
      </c>
      <c r="D9592" s="1" t="str">
        <f>"07933"</f>
        <v>07933</v>
      </c>
      <c r="E9592" s="1" t="s">
        <v>331</v>
      </c>
      <c r="F9592" s="1">
        <v>12</v>
      </c>
      <c r="G9592" s="1">
        <v>5</v>
      </c>
      <c r="H9592" s="1">
        <v>0</v>
      </c>
      <c r="I9592" s="1" t="s">
        <v>18769</v>
      </c>
      <c r="K9592" s="1" t="str">
        <f t="shared" si="598"/>
        <v>ㄓ</v>
      </c>
      <c r="L9592" s="1" t="str">
        <f t="shared" si="599"/>
        <v>ㄥ</v>
      </c>
      <c r="N9592" s="3" t="s">
        <v>30574</v>
      </c>
      <c r="O9592" s="3"/>
      <c r="P9592" s="1" t="s">
        <v>20</v>
      </c>
      <c r="R9592" s="1" t="s">
        <v>18770</v>
      </c>
      <c r="V9592" s="1" t="s">
        <v>18778</v>
      </c>
      <c r="AR9592" s="1" t="str">
        <f t="shared" si="597"/>
        <v>| [ㄓㄥˋ](ㄓㄥˋ.md) | [証](証.md) |  | zhèng | [動]
諫正。如：「証諫」。《戰國策．齊策一》：「士尉以証靖郭君，靖郭君不聽。」 |</v>
      </c>
    </row>
    <row r="9593" spans="1:44" hidden="1">
      <c r="A9593" s="1" t="s">
        <v>18731</v>
      </c>
      <c r="C9593" s="1">
        <v>1</v>
      </c>
      <c r="D9593" s="1" t="str">
        <f>"07934"</f>
        <v>07934</v>
      </c>
      <c r="E9593" s="1" t="s">
        <v>24</v>
      </c>
      <c r="F9593" s="1">
        <v>11</v>
      </c>
      <c r="G9593" s="1">
        <v>8</v>
      </c>
      <c r="H9593" s="1">
        <v>2</v>
      </c>
      <c r="I9593" s="1" t="s">
        <v>18769</v>
      </c>
      <c r="K9593" s="1" t="str">
        <f t="shared" si="598"/>
        <v>ㄓ</v>
      </c>
      <c r="L9593" s="1" t="str">
        <f t="shared" si="599"/>
        <v>ㄥ</v>
      </c>
      <c r="N9593" s="3" t="s">
        <v>30574</v>
      </c>
      <c r="O9593" s="3"/>
      <c r="P9593" s="1" t="s">
        <v>20</v>
      </c>
      <c r="R9593" s="1" t="s">
        <v>18770</v>
      </c>
      <c r="V9593" s="1" t="s">
        <v>18779</v>
      </c>
      <c r="W9593" s="1" t="s">
        <v>18780</v>
      </c>
      <c r="AR9593" s="1" t="str">
        <f t="shared" si="597"/>
        <v>| [ㄓㄥˋ](ㄓㄥˋ.md) | [掙](掙.md) |  | zhèng | 努力獲取。元．馬致遠《漢宮秋．楔子》：「俺祖高皇帝，奮布衣，起豐、沛，滅秦屠項，掙下這等基業。」《紅樓夢》第一一三回：「家裡也掙了好幾畝地。」 |</v>
      </c>
    </row>
    <row r="9594" spans="1:44" hidden="1">
      <c r="A9594" s="1" t="s">
        <v>18781</v>
      </c>
      <c r="C9594" s="1">
        <v>1</v>
      </c>
      <c r="D9594" s="1" t="str">
        <f>"07935"</f>
        <v>07935</v>
      </c>
      <c r="E9594" s="1" t="s">
        <v>222</v>
      </c>
      <c r="F9594" s="1">
        <v>12</v>
      </c>
      <c r="G9594" s="1">
        <v>9</v>
      </c>
      <c r="H9594" s="1">
        <v>0</v>
      </c>
      <c r="I9594" s="1" t="s">
        <v>18769</v>
      </c>
      <c r="K9594" s="1" t="str">
        <f t="shared" si="598"/>
        <v>ㄓ</v>
      </c>
      <c r="L9594" s="1" t="str">
        <f t="shared" si="599"/>
        <v>ㄥ</v>
      </c>
      <c r="N9594" s="3" t="s">
        <v>30574</v>
      </c>
      <c r="O9594" s="3"/>
      <c r="P9594" s="1" t="s">
        <v>20</v>
      </c>
      <c r="R9594" s="1" t="s">
        <v>18770</v>
      </c>
      <c r="V9594" s="1" t="s">
        <v>18782</v>
      </c>
      <c r="AR9594" s="1" t="str">
        <f t="shared" si="597"/>
        <v>| [ㄓㄥˋ](ㄓㄥˋ.md) | [幀](幀.md) |  | zhèng | [名]
量詞。計算照片、字畫等的單位。明．張自烈《正字通．巾部》：「今人以一幅為一幀。」如：「這是一幀仕女圖。」 |</v>
      </c>
    </row>
    <row r="9595" spans="1:44" hidden="1">
      <c r="A9595" s="1" t="s">
        <v>18783</v>
      </c>
      <c r="C9595" s="1">
        <v>1</v>
      </c>
      <c r="D9595" s="1" t="str">
        <f>"07936"</f>
        <v>07936</v>
      </c>
      <c r="E9595" s="1" t="s">
        <v>256</v>
      </c>
      <c r="F9595" s="1">
        <v>15</v>
      </c>
      <c r="G9595" s="1">
        <v>12</v>
      </c>
      <c r="H9595" s="1">
        <v>0</v>
      </c>
      <c r="I9595" s="1" t="s">
        <v>18769</v>
      </c>
      <c r="K9595" s="1" t="str">
        <f t="shared" si="598"/>
        <v>ㄓ</v>
      </c>
      <c r="L9595" s="1" t="str">
        <f t="shared" si="599"/>
        <v>ㄥ</v>
      </c>
      <c r="N9595" s="3" t="s">
        <v>30574</v>
      </c>
      <c r="O9595" s="3"/>
      <c r="P9595" s="1" t="s">
        <v>20</v>
      </c>
      <c r="R9595" s="1" t="s">
        <v>18770</v>
      </c>
      <c r="V9595" s="1" t="s">
        <v>18784</v>
      </c>
      <c r="AR9595" s="1" t="str">
        <f t="shared" si="597"/>
        <v>| [ㄓㄥˋ](ㄓㄥˋ.md) | [鄭](鄭.md) |  | zhèng | [名]
1.國名。周朝諸侯國之一。故址位於今大陸地區河南省新鄭縣。
2.姓。如明代有鄭成功。
[副]
謹慎、莊重。如：「鄭重其事」。《三國志．卷二五．魏書．高堂隆傳》：「殷勤鄭重，欲必覺寤陛下。」 |</v>
      </c>
    </row>
    <row r="9596" spans="1:44" hidden="1">
      <c r="A9596" s="1" t="s">
        <v>18785</v>
      </c>
      <c r="C9596" s="1">
        <v>1</v>
      </c>
      <c r="D9596" s="1" t="str">
        <f>"07937"</f>
        <v>07937</v>
      </c>
      <c r="E9596" s="1" t="s">
        <v>331</v>
      </c>
      <c r="F9596" s="1">
        <v>19</v>
      </c>
      <c r="G9596" s="1">
        <v>12</v>
      </c>
      <c r="H9596" s="1">
        <v>0</v>
      </c>
      <c r="I9596" s="1" t="s">
        <v>18769</v>
      </c>
      <c r="K9596" s="1" t="str">
        <f t="shared" si="598"/>
        <v>ㄓ</v>
      </c>
      <c r="L9596" s="1" t="str">
        <f t="shared" si="599"/>
        <v>ㄥ</v>
      </c>
      <c r="N9596" s="3" t="s">
        <v>30574</v>
      </c>
      <c r="O9596" s="3"/>
      <c r="P9596" s="1" t="s">
        <v>20</v>
      </c>
      <c r="R9596" s="1" t="s">
        <v>18770</v>
      </c>
      <c r="V9596" s="1" t="s">
        <v>18786</v>
      </c>
      <c r="AR9596" s="1" t="str">
        <f t="shared" si="597"/>
        <v>| [ㄓㄥˋ](ㄓㄥˋ.md) | [證](證.md) |  | zhèng | [動]
1.告發。《說文解字．言部》：「證，告也。」《論語．子路》：「其父攘羊，而子證之。」
2.用憑據、事實來表明或斷定。如：「證明」、「證實」。《莊子．秋水》：「證曏今故，故遙而不悶、掇而不跂，知時無止。」
[名]
1.憑據。如：「人證」、「停車證」、「借書證」。
2.病症、症候。如：「三焦辨證」、「血分證」。《列子．周穆王》：「遇老聃，因告其子之證。」 |</v>
      </c>
    </row>
    <row r="9597" spans="1:44" hidden="1">
      <c r="A9597" s="1" t="s">
        <v>18760</v>
      </c>
      <c r="C9597" s="1">
        <v>1</v>
      </c>
      <c r="D9597" s="1" t="str">
        <f>"07927"</f>
        <v>07927</v>
      </c>
      <c r="E9597" s="1" t="s">
        <v>24</v>
      </c>
      <c r="F9597" s="1">
        <v>9</v>
      </c>
      <c r="G9597" s="1">
        <v>6</v>
      </c>
      <c r="H9597" s="1">
        <v>0</v>
      </c>
      <c r="I9597" s="1" t="s">
        <v>18761</v>
      </c>
      <c r="K9597" s="1" t="str">
        <f t="shared" si="598"/>
        <v>ㄓ</v>
      </c>
      <c r="L9597" s="1" t="str">
        <f t="shared" si="599"/>
        <v>ㄥ</v>
      </c>
      <c r="N9597" s="3" t="s">
        <v>30576</v>
      </c>
      <c r="O9597" s="3"/>
      <c r="P9597" s="1" t="s">
        <v>20</v>
      </c>
      <c r="R9597" s="1" t="s">
        <v>18762</v>
      </c>
      <c r="V9597" s="1" t="s">
        <v>18763</v>
      </c>
      <c r="AR9597" s="1" t="str">
        <f t="shared" si="597"/>
        <v>| [ㄓㄥˇ](ㄓㄥˇ.md) | [拯](拯.md) |  | zhěng | [動]
1.援救、救助。《孟子．梁惠王下》：「民以為將拯己於水火之中也。」漢．王充《論衡．感虛》：「井出水以救渴，田出穀以拯饑。」
2.舉起。《易經．艮卦．六二》：「艮其腓，不拯其隨，其心不快。」 |</v>
      </c>
    </row>
    <row r="9598" spans="1:44" hidden="1">
      <c r="A9598" s="1" t="s">
        <v>18764</v>
      </c>
      <c r="C9598" s="1">
        <v>1</v>
      </c>
      <c r="D9598" s="1" t="str">
        <f>"07928"</f>
        <v>07928</v>
      </c>
      <c r="E9598" s="1" t="s">
        <v>24</v>
      </c>
      <c r="F9598" s="1">
        <v>15</v>
      </c>
      <c r="G9598" s="1">
        <v>12</v>
      </c>
      <c r="H9598" s="1">
        <v>1</v>
      </c>
      <c r="I9598" s="1" t="s">
        <v>18761</v>
      </c>
      <c r="K9598" s="1" t="str">
        <f t="shared" si="598"/>
        <v>ㄓ</v>
      </c>
      <c r="L9598" s="1" t="str">
        <f t="shared" si="599"/>
        <v>ㄥ</v>
      </c>
      <c r="N9598" s="3" t="s">
        <v>30576</v>
      </c>
      <c r="O9598" s="3"/>
      <c r="P9598" s="1" t="s">
        <v>20</v>
      </c>
      <c r="R9598" s="1" t="s">
        <v>18762</v>
      </c>
      <c r="V9598" s="1" t="s">
        <v>18765</v>
      </c>
      <c r="W9598" s="1" t="s">
        <v>18766</v>
      </c>
      <c r="AR9598" s="1" t="str">
        <f t="shared" si="597"/>
        <v>| [ㄓㄥˇ](ㄓㄥˇ.md) | [撜](撜.md) |  | zhěng | [動]
救助。《淮南子．齊俗》：「子路撜溺而受牛謝。」 |</v>
      </c>
    </row>
    <row r="9599" spans="1:44" hidden="1">
      <c r="A9599" s="1" t="s">
        <v>18767</v>
      </c>
      <c r="C9599" s="1">
        <v>1</v>
      </c>
      <c r="D9599" s="1" t="str">
        <f>"07929"</f>
        <v>07929</v>
      </c>
      <c r="E9599" s="1" t="s">
        <v>426</v>
      </c>
      <c r="F9599" s="1">
        <v>16</v>
      </c>
      <c r="G9599" s="1">
        <v>12</v>
      </c>
      <c r="H9599" s="1">
        <v>0</v>
      </c>
      <c r="I9599" s="1" t="s">
        <v>18761</v>
      </c>
      <c r="K9599" s="1" t="str">
        <f t="shared" si="598"/>
        <v>ㄓ</v>
      </c>
      <c r="L9599" s="1" t="str">
        <f t="shared" si="599"/>
        <v>ㄥ</v>
      </c>
      <c r="N9599" s="3" t="s">
        <v>30576</v>
      </c>
      <c r="O9599" s="3"/>
      <c r="P9599" s="1" t="s">
        <v>20</v>
      </c>
      <c r="R9599" s="1" t="s">
        <v>18762</v>
      </c>
      <c r="V9599" s="1" t="s">
        <v>18768</v>
      </c>
      <c r="AR9599" s="1" t="str">
        <f t="shared" si="597"/>
        <v>| [ㄓㄥˇ](ㄓㄥˇ.md) | [整](整.md) |  | zhěng | [名]
1.不帶小數點的數字。如：「正整數」、「負整數」。
2.全數、總數。如：「化整為零」。
[動]
1.集合。如：「整隊」。《詩經．大雅．常武》：「整我六師，以脩我戎。」
2.治理、安放。如：「整理」、「整頓」、「整裝待發」。
3.修理。如：「整人專家」、「整型」、「這部老爺車該好好整整了。」
[形]
1.有秩序的。如：「整齊」、「整然有序」。
2.完全的、全部的。如：「整體」、「整批」、「完整」。
3.正好、剛好。如：「十元七角整」。 |</v>
      </c>
    </row>
    <row r="9600" spans="1:44" hidden="1">
      <c r="A9600" s="1" t="s">
        <v>18892</v>
      </c>
      <c r="C9600" s="1">
        <v>1</v>
      </c>
      <c r="D9600" s="1" t="str">
        <f>"07986"</f>
        <v>07986</v>
      </c>
      <c r="E9600" s="1" t="s">
        <v>624</v>
      </c>
      <c r="F9600" s="1">
        <v>5</v>
      </c>
      <c r="G9600" s="1">
        <v>2</v>
      </c>
      <c r="H9600" s="1">
        <v>0</v>
      </c>
      <c r="I9600" s="1" t="s">
        <v>18893</v>
      </c>
      <c r="K9600" s="1" t="str">
        <f t="shared" si="598"/>
        <v>ㄓ</v>
      </c>
      <c r="L9600" s="1" t="str">
        <f t="shared" si="599"/>
        <v>ㄨ</v>
      </c>
      <c r="N9600" s="3" t="s">
        <v>30574</v>
      </c>
      <c r="O9600" s="3"/>
      <c r="P9600" s="1" t="s">
        <v>20</v>
      </c>
      <c r="R9600" s="1" t="s">
        <v>18894</v>
      </c>
      <c r="V9600" s="1" t="s">
        <v>18895</v>
      </c>
      <c r="AR9600" s="1" t="str">
        <f t="shared" si="597"/>
        <v>| [ㄓㄨˋ](ㄓㄨˋ.md) | [宁](宁.md) |  | zhù | [名]
大門與屏風之間。《爾雅．釋宮》：「門屏之間謂之宁。」 |</v>
      </c>
    </row>
    <row r="9601" spans="1:44" hidden="1">
      <c r="A9601" s="1" t="s">
        <v>18896</v>
      </c>
      <c r="C9601" s="1">
        <v>1</v>
      </c>
      <c r="D9601" s="1" t="str">
        <f>"07987"</f>
        <v>07987</v>
      </c>
      <c r="E9601" s="1" t="s">
        <v>114</v>
      </c>
      <c r="F9601" s="1">
        <v>7</v>
      </c>
      <c r="G9601" s="1">
        <v>5</v>
      </c>
      <c r="H9601" s="1">
        <v>0</v>
      </c>
      <c r="I9601" s="1" t="s">
        <v>18893</v>
      </c>
      <c r="K9601" s="1" t="str">
        <f t="shared" si="598"/>
        <v>ㄓ</v>
      </c>
      <c r="L9601" s="1" t="str">
        <f t="shared" si="599"/>
        <v>ㄨ</v>
      </c>
      <c r="N9601" s="3" t="s">
        <v>30574</v>
      </c>
      <c r="O9601" s="3"/>
      <c r="P9601" s="1" t="s">
        <v>20</v>
      </c>
      <c r="R9601" s="1" t="s">
        <v>18894</v>
      </c>
      <c r="V9601" s="1" t="s">
        <v>18897</v>
      </c>
      <c r="AR9601" s="1" t="str">
        <f t="shared" si="597"/>
        <v>| [ㄓㄨˋ](ㄓㄨˋ.md) | [佇](佇.md) |  | zhù | [動]
1.久立。如：「佇立」。《楚辭．屈原．離騷》：「結幽蘭而延佇。」唐．駱賓王〈與博昌父老書〉：「佇中衢而空軫，巾下澤而莫因。」
2.等待、盼望。唐．杜甫〈壯遊〉詩：「群凶逆未定，側佇英俊翔。」
3.累積、聚集。《文選．孫綽．遊天台山賦》：「惠風佇芳於陽林。」 |</v>
      </c>
    </row>
    <row r="9602" spans="1:44" hidden="1">
      <c r="A9602" s="1" t="s">
        <v>18898</v>
      </c>
      <c r="C9602" s="1">
        <v>1</v>
      </c>
      <c r="D9602" s="1" t="str">
        <f>"07988"</f>
        <v>07988</v>
      </c>
      <c r="E9602" s="1" t="s">
        <v>37</v>
      </c>
      <c r="F9602" s="1">
        <v>9</v>
      </c>
      <c r="G9602" s="1">
        <v>5</v>
      </c>
      <c r="H9602" s="1">
        <v>0</v>
      </c>
      <c r="I9602" s="1" t="s">
        <v>18893</v>
      </c>
      <c r="K9602" s="1" t="str">
        <f t="shared" si="598"/>
        <v>ㄓ</v>
      </c>
      <c r="L9602" s="1" t="str">
        <f t="shared" si="599"/>
        <v>ㄨ</v>
      </c>
      <c r="N9602" s="3" t="s">
        <v>30574</v>
      </c>
      <c r="O9602" s="3"/>
      <c r="P9602" s="1" t="s">
        <v>20</v>
      </c>
      <c r="R9602" s="1" t="s">
        <v>18894</v>
      </c>
      <c r="V9602" s="1" t="s">
        <v>18899</v>
      </c>
      <c r="AR9602" s="1" t="str">
        <f t="shared" si="597"/>
        <v>| [ㄓㄨˋ](ㄓㄨˋ.md) | [苧](苧.md) |  | zhù | 參見「苧麻」條。 |</v>
      </c>
    </row>
    <row r="9603" spans="1:44" hidden="1">
      <c r="A9603" s="1" t="s">
        <v>18900</v>
      </c>
      <c r="C9603" s="1">
        <v>1</v>
      </c>
      <c r="D9603" s="1" t="str">
        <f>"07989"</f>
        <v>07989</v>
      </c>
      <c r="E9603" s="1" t="s">
        <v>1015</v>
      </c>
      <c r="F9603" s="1">
        <v>10</v>
      </c>
      <c r="G9603" s="1">
        <v>5</v>
      </c>
      <c r="H9603" s="1">
        <v>0</v>
      </c>
      <c r="I9603" s="1" t="s">
        <v>18893</v>
      </c>
      <c r="K9603" s="1" t="str">
        <f t="shared" si="598"/>
        <v>ㄓ</v>
      </c>
      <c r="L9603" s="1" t="str">
        <f t="shared" si="599"/>
        <v>ㄨ</v>
      </c>
      <c r="N9603" s="3" t="s">
        <v>30574</v>
      </c>
      <c r="O9603" s="3"/>
      <c r="P9603" s="1" t="s">
        <v>20</v>
      </c>
      <c r="R9603" s="1" t="s">
        <v>18894</v>
      </c>
      <c r="V9603" s="1" t="s">
        <v>18901</v>
      </c>
      <c r="AR9603" s="1" t="str">
        <f t="shared" ref="AR9603:AR9666" si="600">"| ["&amp;I9603&amp;"]("&amp;I9603&amp;".md) | ["&amp;A9603&amp;"]("&amp;A9603&amp;".md) | "&amp;" | "&amp;R9603&amp;" | "&amp;V9603&amp;" |"</f>
        <v>| [ㄓㄨˋ](ㄓㄨˋ.md) | [眝](眝.md) |  | zhù | [動]
1.遙望、遠看。《說文解字．目部》：「眝，長眙也。」
2.張大眼睛。《喻世明言．卷三四．李公子救蛇獲稱心》：「眝目觀之，器皿皆是玻璃、水晶、琥珀、瑪瑙為之，曲盡巧妙，非人間所有。」 |</v>
      </c>
    </row>
    <row r="9604" spans="1:44" hidden="1">
      <c r="A9604" s="1" t="s">
        <v>18902</v>
      </c>
      <c r="C9604" s="1">
        <v>1</v>
      </c>
      <c r="D9604" s="1" t="str">
        <f>"07990"</f>
        <v>07990</v>
      </c>
      <c r="E9604" s="1" t="s">
        <v>43</v>
      </c>
      <c r="F9604" s="1">
        <v>11</v>
      </c>
      <c r="G9604" s="1">
        <v>5</v>
      </c>
      <c r="H9604" s="1">
        <v>0</v>
      </c>
      <c r="I9604" s="1" t="s">
        <v>18893</v>
      </c>
      <c r="K9604" s="1" t="str">
        <f t="shared" si="598"/>
        <v>ㄓ</v>
      </c>
      <c r="L9604" s="1" t="str">
        <f t="shared" si="599"/>
        <v>ㄨ</v>
      </c>
      <c r="N9604" s="3" t="s">
        <v>30574</v>
      </c>
      <c r="O9604" s="3"/>
      <c r="P9604" s="1" t="s">
        <v>20</v>
      </c>
      <c r="R9604" s="1" t="s">
        <v>18894</v>
      </c>
      <c r="V9604" s="1" t="s">
        <v>18903</v>
      </c>
      <c r="AR9604" s="1" t="str">
        <f t="shared" si="600"/>
        <v>| [ㄓㄨˋ](ㄓㄨˋ.md) | [羜](羜.md) |  | zhù | [名]
出生五個月的小羊。《爾雅．釋畜》：「未成羊，羜。」晉．郭璞．注：「俗呼五月羔為羜。」《詩經．小雅．伐木》：「既有肥羜，以速諸父。」 |</v>
      </c>
    </row>
    <row r="9605" spans="1:44" hidden="1">
      <c r="A9605" s="1" t="s">
        <v>18904</v>
      </c>
      <c r="C9605" s="1">
        <v>1</v>
      </c>
      <c r="D9605" s="1" t="str">
        <f>"07991"</f>
        <v>07991</v>
      </c>
      <c r="E9605" s="1" t="s">
        <v>725</v>
      </c>
      <c r="F9605" s="1">
        <v>11</v>
      </c>
      <c r="G9605" s="1">
        <v>5</v>
      </c>
      <c r="H9605" s="1">
        <v>0</v>
      </c>
      <c r="I9605" s="1" t="s">
        <v>18893</v>
      </c>
      <c r="K9605" s="1" t="str">
        <f t="shared" si="598"/>
        <v>ㄓ</v>
      </c>
      <c r="L9605" s="1" t="str">
        <f t="shared" si="599"/>
        <v>ㄨ</v>
      </c>
      <c r="N9605" s="3" t="s">
        <v>30574</v>
      </c>
      <c r="O9605" s="3"/>
      <c r="P9605" s="1" t="s">
        <v>20</v>
      </c>
      <c r="R9605" s="1" t="s">
        <v>18894</v>
      </c>
      <c r="V9605" s="1" t="s">
        <v>18905</v>
      </c>
      <c r="AR9605" s="1" t="str">
        <f t="shared" si="600"/>
        <v>| [ㄓㄨˋ](ㄓㄨˋ.md) | [紵](紵.md) |  | zhù | [名]
1.一種麻料纖維。同「苧」。《詩經．陳風．東門之池》：「東門之池，可以漚紵。」唐．孔穎達．正義：「陸機疏云：『紵亦麻也。』」
2.用麻織成的布。《禮記．喪服大記》：「絺綌紵不入。」唐．孔穎達．正義：「紵是紵布。」《聊齋志異．卷一．葉生》：「何必拋卻白紵，乃謂之利市哉！」 |</v>
      </c>
    </row>
    <row r="9606" spans="1:44" hidden="1">
      <c r="A9606" s="1" t="s">
        <v>18906</v>
      </c>
      <c r="C9606" s="1">
        <v>1</v>
      </c>
      <c r="D9606" s="1" t="str">
        <f>"07992"</f>
        <v>07992</v>
      </c>
      <c r="E9606" s="1" t="s">
        <v>245</v>
      </c>
      <c r="F9606" s="1">
        <v>7</v>
      </c>
      <c r="G9606" s="1">
        <v>5</v>
      </c>
      <c r="H9606" s="1">
        <v>0</v>
      </c>
      <c r="I9606" s="1" t="s">
        <v>18893</v>
      </c>
      <c r="K9606" s="1" t="str">
        <f t="shared" si="598"/>
        <v>ㄓ</v>
      </c>
      <c r="L9606" s="1" t="str">
        <f t="shared" si="599"/>
        <v>ㄨ</v>
      </c>
      <c r="N9606" s="3" t="s">
        <v>30574</v>
      </c>
      <c r="O9606" s="3"/>
      <c r="P9606" s="1" t="s">
        <v>20</v>
      </c>
      <c r="R9606" s="1" t="s">
        <v>18894</v>
      </c>
      <c r="V9606" s="1" t="s">
        <v>18907</v>
      </c>
      <c r="AR9606" s="1" t="str">
        <f t="shared" si="600"/>
        <v>| [ㄓㄨˋ](ㄓㄨˋ.md) | [助](助.md) |  | zhù | [動]
輔佐、幫忙。如：「互助」、「援助」、「守望相助」。唐．白居易〈春寒〉詩：「助酌有枯魚，佐餐兼旨蓄。」
[名]
殷商時代的賦稅制度。《孟子．滕文公上》：「夏后氏五十貢，殷人七十而助。」 |</v>
      </c>
    </row>
    <row r="9607" spans="1:44" hidden="1">
      <c r="A9607" s="1" t="s">
        <v>18908</v>
      </c>
      <c r="C9607" s="1">
        <v>1</v>
      </c>
      <c r="D9607" s="1" t="str">
        <f>"07993"</f>
        <v>07993</v>
      </c>
      <c r="E9607" s="1" t="s">
        <v>114</v>
      </c>
      <c r="F9607" s="1">
        <v>7</v>
      </c>
      <c r="G9607" s="1">
        <v>5</v>
      </c>
      <c r="H9607" s="1">
        <v>0</v>
      </c>
      <c r="I9607" s="1" t="s">
        <v>18893</v>
      </c>
      <c r="K9607" s="1" t="str">
        <f t="shared" si="598"/>
        <v>ㄓ</v>
      </c>
      <c r="L9607" s="1" t="str">
        <f t="shared" si="599"/>
        <v>ㄨ</v>
      </c>
      <c r="N9607" s="3" t="s">
        <v>30574</v>
      </c>
      <c r="O9607" s="3"/>
      <c r="P9607" s="1" t="s">
        <v>20</v>
      </c>
      <c r="R9607" s="1" t="s">
        <v>18894</v>
      </c>
      <c r="V9607" s="1" t="s">
        <v>18909</v>
      </c>
      <c r="AR9607" s="1" t="str">
        <f t="shared" si="600"/>
        <v>| [ㄓㄨˋ](ㄓㄨˋ.md) | [住](住.md) |  | zhù | [動]
1.長期居留。如：「我住在臺北市。」唐．崔顥〈長干曲〉四首之一：「君家何處住？妾住在橫塘。」
2.歇宿。如：「借住一宿」。
3.停止。如：「住手」、「住口」。《紅樓夢》第七回：「只見迎春、探春二人，正在窗下圍棋。周瑞家的將花送上，說明緣故。他二人忙住了棋，都欠身道謝。」
[副]
1.表示牢固或穩當。如：「記住」、「拿住」、「站住」。《紅樓夢》第三三回：「賈政還欲打時，早被王夫人抱住板子。」
2.表示停頓或靜止。如：「愣住了」、「呆住了」。 |</v>
      </c>
    </row>
    <row r="9608" spans="1:44" hidden="1">
      <c r="A9608" s="1" t="s">
        <v>18910</v>
      </c>
      <c r="C9608" s="1">
        <v>1</v>
      </c>
      <c r="D9608" s="1" t="str">
        <f>"07994"</f>
        <v>07994</v>
      </c>
      <c r="E9608" s="1" t="s">
        <v>129</v>
      </c>
      <c r="F9608" s="1">
        <v>8</v>
      </c>
      <c r="G9608" s="1">
        <v>5</v>
      </c>
      <c r="H9608" s="1">
        <v>0</v>
      </c>
      <c r="I9608" s="1" t="s">
        <v>18893</v>
      </c>
      <c r="K9608" s="1" t="str">
        <f t="shared" si="598"/>
        <v>ㄓ</v>
      </c>
      <c r="L9608" s="1" t="str">
        <f t="shared" si="599"/>
        <v>ㄨ</v>
      </c>
      <c r="N9608" s="3" t="s">
        <v>30574</v>
      </c>
      <c r="O9608" s="3"/>
      <c r="P9608" s="1" t="s">
        <v>20</v>
      </c>
      <c r="R9608" s="1" t="s">
        <v>18894</v>
      </c>
      <c r="V9608" s="1" t="s">
        <v>18911</v>
      </c>
      <c r="AR9608" s="1" t="str">
        <f t="shared" si="600"/>
        <v>| [ㄓㄨˋ](ㄓㄨˋ.md) | [注](注.md) |  | zhù | [動]
1.灌入、傾瀉。如：「灌注」、「大雨如注」。
2.心神凝聚集中。如：「專注」、「全神貫注」。
3.用文字解釋文義。通「註」。南朝梁．劉勰《文心雕龍．頌讚》：「及景純注雅，動植必讚，義兼美惡。」唐．韓愈〈讀鶡冠子〉：「余三讀其詞，而悲之文字脫謬，為之正三十有五字……注十有二字。」
[名]
1.解釋或說明的文字。通「註」。如北魏酈道元有《水經注》、清代段玉裁有《說文解字注》。
2.賭博時所下的財物。如：「賭注」、「下注」、「孤注一擲」。 |</v>
      </c>
    </row>
    <row r="9609" spans="1:44" hidden="1">
      <c r="A9609" s="1" t="s">
        <v>18912</v>
      </c>
      <c r="C9609" s="1">
        <v>1</v>
      </c>
      <c r="D9609" s="1" t="str">
        <f>"07995"</f>
        <v>07995</v>
      </c>
      <c r="E9609" s="1" t="s">
        <v>336</v>
      </c>
      <c r="F9609" s="1">
        <v>9</v>
      </c>
      <c r="G9609" s="1">
        <v>5</v>
      </c>
      <c r="H9609" s="1">
        <v>0</v>
      </c>
      <c r="I9609" s="1" t="s">
        <v>18893</v>
      </c>
      <c r="K9609" s="1" t="str">
        <f t="shared" si="598"/>
        <v>ㄓ</v>
      </c>
      <c r="L9609" s="1" t="str">
        <f t="shared" si="599"/>
        <v>ㄨ</v>
      </c>
      <c r="N9609" s="3" t="s">
        <v>30574</v>
      </c>
      <c r="O9609" s="3"/>
      <c r="P9609" s="1" t="s">
        <v>20</v>
      </c>
      <c r="R9609" s="1" t="s">
        <v>18894</v>
      </c>
      <c r="V9609" s="1" t="s">
        <v>18913</v>
      </c>
      <c r="AR9609" s="1" t="str">
        <f t="shared" si="600"/>
        <v>| [ㄓㄨˋ](ㄓㄨˋ.md) | [炷](炷.md) |  | zhù | [名]
1.油燈的燈心。《南史．卷七八．夷貊傳上．海南諸國傳》：「至自然大洲，其上有樹生火中，洲左近人剝取其皮，……或作燈炷，用之不知盡。」
2.量詞。計算線香的單位。宋．蘇軾〈書雙竹湛師房〉詩二首之一：「一炷清香盡日留。」《紅樓夢》第八九回：「親自點了一炷香，擺上些果品，便叫人出去。」
[動]
點燃。唐．王建〈和元郎中從八月十二至十五夜翫月〉詩五首之四：「夜深盡放家人睡，直到天明不炷燈。」《紅樓夢》第六二回：「寶玉炷了香，行畢禮。」 |</v>
      </c>
    </row>
    <row r="9610" spans="1:44" hidden="1">
      <c r="A9610" s="1" t="s">
        <v>18914</v>
      </c>
      <c r="C9610" s="1">
        <v>1</v>
      </c>
      <c r="D9610" s="1" t="str">
        <f>"07996"</f>
        <v>07996</v>
      </c>
      <c r="E9610" s="1" t="s">
        <v>139</v>
      </c>
      <c r="F9610" s="1">
        <v>9</v>
      </c>
      <c r="G9610" s="1">
        <v>5</v>
      </c>
      <c r="H9610" s="1">
        <v>0</v>
      </c>
      <c r="I9610" s="1" t="s">
        <v>18893</v>
      </c>
      <c r="K9610" s="1" t="str">
        <f t="shared" si="598"/>
        <v>ㄓ</v>
      </c>
      <c r="L9610" s="1" t="str">
        <f t="shared" si="599"/>
        <v>ㄨ</v>
      </c>
      <c r="N9610" s="3" t="s">
        <v>30574</v>
      </c>
      <c r="O9610" s="3"/>
      <c r="P9610" s="1" t="s">
        <v>20</v>
      </c>
      <c r="R9610" s="1" t="s">
        <v>18894</v>
      </c>
      <c r="V9610" s="1" t="s">
        <v>18915</v>
      </c>
      <c r="AR9610" s="1" t="str">
        <f t="shared" si="600"/>
        <v>| [ㄓㄨˋ](ㄓㄨˋ.md) | [柱](柱.md) |  | zhù | [名]_x000D_
1.屋中直立以支持梁的粗木。《史記．卷八六．刺客列傳．荊軻》：「秦王方環柱走，卒惶急。」也稱為「柱子」。_x000D_
2.泛稱細長像柱形的東西。如：「水柱」、「花柱」。_x000D_
3.琴瑟上繫弦的木條。唐．李商隱〈錦瑟〉詩：「錦瑟無端五十弦，一弦一柱思華年。」_x000D_
[動]_x000D_
1.支持。漢．王充《論衡．談天》：「且鼇足可以柱天，體必長大，不容于天地，女媧雖聖，何能殺之？」_x000D_
2.譏刺。通「拄」。《漢書．卷六七．楊胡朱梅云傳．朱雲》：「既論難，連柱五鹿君。」 |</v>
      </c>
    </row>
    <row r="9611" spans="1:44" hidden="1">
      <c r="A9611" s="1" t="s">
        <v>18916</v>
      </c>
      <c r="C9611" s="1">
        <v>1</v>
      </c>
      <c r="D9611" s="1" t="str">
        <f>"07997"</f>
        <v>07997</v>
      </c>
      <c r="E9611" s="1" t="s">
        <v>40</v>
      </c>
      <c r="F9611" s="1">
        <v>10</v>
      </c>
      <c r="G9611" s="1">
        <v>5</v>
      </c>
      <c r="H9611" s="1">
        <v>0</v>
      </c>
      <c r="I9611" s="1" t="s">
        <v>18893</v>
      </c>
      <c r="K9611" s="1" t="str">
        <f t="shared" si="598"/>
        <v>ㄓ</v>
      </c>
      <c r="L9611" s="1" t="str">
        <f t="shared" si="599"/>
        <v>ㄨ</v>
      </c>
      <c r="N9611" s="3" t="s">
        <v>30574</v>
      </c>
      <c r="O9611" s="3"/>
      <c r="P9611" s="1" t="s">
        <v>20</v>
      </c>
      <c r="R9611" s="1" t="s">
        <v>18894</v>
      </c>
      <c r="V9611" s="1" t="s">
        <v>18917</v>
      </c>
      <c r="AR9611" s="1" t="str">
        <f t="shared" si="600"/>
        <v>| [ㄓㄨˋ](ㄓㄨˋ.md) | [疰](疰.md) |  | zhù | [名]
具傳染性的慢性疾病。《南史．卷七四．孝義傳．韓懷明傳》：「母患尸疰，每發輒危殆。」 |</v>
      </c>
    </row>
    <row r="9612" spans="1:44" hidden="1">
      <c r="A9612" s="1" t="s">
        <v>18869</v>
      </c>
      <c r="C9612" s="1">
        <v>1</v>
      </c>
      <c r="D9612" s="1" t="str">
        <f>"07998"</f>
        <v>07998</v>
      </c>
      <c r="E9612" s="1" t="s">
        <v>169</v>
      </c>
      <c r="F9612" s="1">
        <v>10</v>
      </c>
      <c r="G9612" s="1">
        <v>5</v>
      </c>
      <c r="H9612" s="1">
        <v>2</v>
      </c>
      <c r="I9612" s="1" t="s">
        <v>18893</v>
      </c>
      <c r="K9612" s="1" t="str">
        <f t="shared" si="598"/>
        <v>ㄓ</v>
      </c>
      <c r="L9612" s="1" t="str">
        <f t="shared" si="599"/>
        <v>ㄨ</v>
      </c>
      <c r="N9612" s="3" t="s">
        <v>30574</v>
      </c>
      <c r="O9612" s="3"/>
      <c r="P9612" s="1" t="s">
        <v>20</v>
      </c>
      <c r="R9612" s="1" t="s">
        <v>18894</v>
      </c>
      <c r="V9612" s="1" t="s">
        <v>18918</v>
      </c>
      <c r="W9612" s="1" t="s">
        <v>18919</v>
      </c>
      <c r="AR9612" s="1" t="str">
        <f t="shared" si="600"/>
        <v>| [ㄓㄨˋ](ㄓㄨˋ.md) | [砫](砫.md) |  | zhù | 參見「石砫縣」條。 |</v>
      </c>
    </row>
    <row r="9613" spans="1:44" hidden="1">
      <c r="A9613" s="1" t="s">
        <v>18920</v>
      </c>
      <c r="C9613" s="1">
        <v>1</v>
      </c>
      <c r="D9613" s="1" t="str">
        <f>"07999"</f>
        <v>07999</v>
      </c>
      <c r="E9613" s="1" t="s">
        <v>118</v>
      </c>
      <c r="F9613" s="1">
        <v>10</v>
      </c>
      <c r="G9613" s="1">
        <v>5</v>
      </c>
      <c r="H9613" s="1">
        <v>0</v>
      </c>
      <c r="I9613" s="1" t="s">
        <v>18893</v>
      </c>
      <c r="K9613" s="1" t="str">
        <f t="shared" si="598"/>
        <v>ㄓ</v>
      </c>
      <c r="L9613" s="1" t="str">
        <f t="shared" si="599"/>
        <v>ㄨ</v>
      </c>
      <c r="N9613" s="3" t="s">
        <v>30574</v>
      </c>
      <c r="O9613" s="3"/>
      <c r="P9613" s="1" t="s">
        <v>20</v>
      </c>
      <c r="R9613" s="1" t="s">
        <v>18894</v>
      </c>
      <c r="V9613" s="1" t="s">
        <v>18921</v>
      </c>
      <c r="AR9613" s="1" t="str">
        <f t="shared" si="600"/>
        <v>| [ㄓㄨˋ](ㄓㄨˋ.md) | [罜](罜.md) |  | zhù | [名]
罜䍡：小漁網。《國語．魯語上》：「鳥獸成，水蟲孕，水虞於是禁罝罜䍡。」三國吳．韋昭．注：「罜䍡，小網也。」《文選．張衡．西京賦》：「搜川瀆，布九罭，設罜䍡。」 |</v>
      </c>
    </row>
    <row r="9614" spans="1:44" hidden="1">
      <c r="A9614" s="1" t="s">
        <v>18922</v>
      </c>
      <c r="C9614" s="1">
        <v>1</v>
      </c>
      <c r="D9614" s="1" t="str">
        <f>"08000"</f>
        <v>08000</v>
      </c>
      <c r="E9614" s="1" t="s">
        <v>679</v>
      </c>
      <c r="F9614" s="1">
        <v>11</v>
      </c>
      <c r="G9614" s="1">
        <v>5</v>
      </c>
      <c r="H9614" s="1">
        <v>0</v>
      </c>
      <c r="I9614" s="1" t="s">
        <v>18893</v>
      </c>
      <c r="K9614" s="1" t="str">
        <f t="shared" si="598"/>
        <v>ㄓ</v>
      </c>
      <c r="L9614" s="1" t="str">
        <f t="shared" si="599"/>
        <v>ㄨ</v>
      </c>
      <c r="N9614" s="3" t="s">
        <v>30574</v>
      </c>
      <c r="O9614" s="3"/>
      <c r="P9614" s="1" t="s">
        <v>20</v>
      </c>
      <c r="R9614" s="1" t="s">
        <v>18894</v>
      </c>
      <c r="V9614" s="1" t="s">
        <v>18923</v>
      </c>
      <c r="AR9614" s="1" t="str">
        <f t="shared" si="600"/>
        <v>| [ㄓㄨˋ](ㄓㄨˋ.md) | [蛀](蛀.md) |  | zhù | [名]
一種咬食木材、書籍、稻米等的蟲。《廣韻．去聲．遇韻》：「蛀，蛀蟲。」
[動]
東西被咬壞或腐蝕。如：「木板被蟲蛀了一個大洞。」、「小弟弟的牙齒蛀了好幾顆。」
[形]
被腐蝕的。如：「滿口蛀牙」。 |</v>
      </c>
    </row>
    <row r="9615" spans="1:44" hidden="1">
      <c r="A9615" s="1" t="s">
        <v>18924</v>
      </c>
      <c r="C9615" s="1">
        <v>1</v>
      </c>
      <c r="D9615" s="1" t="str">
        <f>"08001"</f>
        <v>08001</v>
      </c>
      <c r="E9615" s="1" t="s">
        <v>725</v>
      </c>
      <c r="F9615" s="1">
        <v>11</v>
      </c>
      <c r="G9615" s="1">
        <v>5</v>
      </c>
      <c r="H9615" s="1">
        <v>0</v>
      </c>
      <c r="I9615" s="1" t="s">
        <v>18893</v>
      </c>
      <c r="K9615" s="1" t="str">
        <f t="shared" si="598"/>
        <v>ㄓ</v>
      </c>
      <c r="L9615" s="1" t="str">
        <f t="shared" si="599"/>
        <v>ㄨ</v>
      </c>
      <c r="N9615" s="3" t="s">
        <v>30574</v>
      </c>
      <c r="O9615" s="3"/>
      <c r="P9615" s="1" t="s">
        <v>20</v>
      </c>
      <c r="R9615" s="1" t="s">
        <v>18894</v>
      </c>
      <c r="V9615" s="1" t="s">
        <v>18925</v>
      </c>
      <c r="AR9615" s="1" t="str">
        <f t="shared" si="600"/>
        <v>| [ㄓㄨˋ](ㄓㄨˋ.md) | [紸](紸.md) |  | zhù | [動]
放置。《荀子．禮論》：「紸纊聽息之時，則夫忠臣孝子，亦知其閔已，然而殯殮之具，未有求也。」唐．楊倞．注：「紸讀為注，紸纊即屬纊也。」 |</v>
      </c>
    </row>
    <row r="9616" spans="1:44" hidden="1">
      <c r="A9616" s="1" t="s">
        <v>18926</v>
      </c>
      <c r="C9616" s="1">
        <v>1</v>
      </c>
      <c r="D9616" s="1" t="str">
        <f>"08002"</f>
        <v>08002</v>
      </c>
      <c r="E9616" s="1" t="s">
        <v>331</v>
      </c>
      <c r="F9616" s="1">
        <v>12</v>
      </c>
      <c r="G9616" s="1">
        <v>5</v>
      </c>
      <c r="H9616" s="1">
        <v>0</v>
      </c>
      <c r="I9616" s="1" t="s">
        <v>18893</v>
      </c>
      <c r="K9616" s="1" t="str">
        <f t="shared" si="598"/>
        <v>ㄓ</v>
      </c>
      <c r="L9616" s="1" t="str">
        <f t="shared" si="599"/>
        <v>ㄨ</v>
      </c>
      <c r="N9616" s="3" t="s">
        <v>30574</v>
      </c>
      <c r="O9616" s="3"/>
      <c r="P9616" s="1" t="s">
        <v>20</v>
      </c>
      <c r="R9616" s="1" t="s">
        <v>18894</v>
      </c>
      <c r="V9616" s="1" t="s">
        <v>18927</v>
      </c>
      <c r="AR9616" s="1" t="str">
        <f t="shared" si="600"/>
        <v>| [ㄓㄨˋ](ㄓㄨˋ.md) | [註](註.md) |  | zhù | [名]
用來解釋或說明的文字。同「注」。如：「註解」、「註疏」。
[動]
1.記載、登記。如：「註冊」、「註銷」。
2.用文字解釋文義。如：「批註」。 |</v>
      </c>
    </row>
    <row r="9617" spans="1:44" hidden="1">
      <c r="A9617" s="1" t="s">
        <v>18928</v>
      </c>
      <c r="C9617" s="1">
        <v>1</v>
      </c>
      <c r="D9617" s="1" t="str">
        <f>"08003"</f>
        <v>08003</v>
      </c>
      <c r="E9617" s="1" t="s">
        <v>77</v>
      </c>
      <c r="F9617" s="1">
        <v>12</v>
      </c>
      <c r="G9617" s="1">
        <v>5</v>
      </c>
      <c r="H9617" s="1">
        <v>0</v>
      </c>
      <c r="I9617" s="1" t="s">
        <v>18893</v>
      </c>
      <c r="K9617" s="1" t="str">
        <f t="shared" si="598"/>
        <v>ㄓ</v>
      </c>
      <c r="L9617" s="1" t="str">
        <f t="shared" si="599"/>
        <v>ㄨ</v>
      </c>
      <c r="N9617" s="3" t="s">
        <v>30574</v>
      </c>
      <c r="O9617" s="3"/>
      <c r="P9617" s="1" t="s">
        <v>20</v>
      </c>
      <c r="R9617" s="1" t="s">
        <v>18894</v>
      </c>
      <c r="V9617" s="1" t="s">
        <v>18929</v>
      </c>
      <c r="AR9617" s="1" t="str">
        <f t="shared" si="600"/>
        <v>| [ㄓㄨˋ](ㄓㄨˋ.md) | [跓](跓.md) |  | zhù | [動]
停下腳步。《廣韻．上聲．麌韻》：「跓，停步。」《楚辭．王逸．九思．悼亂》：「垂屣兮將起，跓俟兮碩明。」 |</v>
      </c>
    </row>
    <row r="9618" spans="1:44" hidden="1">
      <c r="A9618" s="1" t="s">
        <v>18930</v>
      </c>
      <c r="C9618" s="1">
        <v>1</v>
      </c>
      <c r="D9618" s="1" t="str">
        <f>"08004"</f>
        <v>08004</v>
      </c>
      <c r="E9618" s="1" t="s">
        <v>55</v>
      </c>
      <c r="F9618" s="1">
        <v>13</v>
      </c>
      <c r="G9618" s="1">
        <v>5</v>
      </c>
      <c r="H9618" s="1">
        <v>0</v>
      </c>
      <c r="I9618" s="1" t="s">
        <v>18893</v>
      </c>
      <c r="K9618" s="1" t="str">
        <f t="shared" si="598"/>
        <v>ㄓ</v>
      </c>
      <c r="L9618" s="1" t="str">
        <f t="shared" si="599"/>
        <v>ㄨ</v>
      </c>
      <c r="N9618" s="3" t="s">
        <v>30574</v>
      </c>
      <c r="O9618" s="3"/>
      <c r="P9618" s="1" t="s">
        <v>20</v>
      </c>
      <c r="R9618" s="1" t="s">
        <v>18894</v>
      </c>
      <c r="V9618" s="1" t="s">
        <v>18931</v>
      </c>
      <c r="AR9618" s="1" t="str">
        <f t="shared" si="600"/>
        <v>| [ㄓㄨˋ](ㄓㄨˋ.md) | [鉒](鉒.md) |  | zhù | [名]
1.古代陪葬的器物。《玉篇．金部》：「鉒，器也，送死人具也。」
2.礦產、礦物。《管子．地數》：「上有鉛者，其下有鉒銀；上有丹沙者，其下有鉒金。」
3.古代一種投環決勝負的遊戲。《淮南子．說林》：「以瓦鉒者全，以金鉒者跋，以玉鉒者發。」 |</v>
      </c>
    </row>
    <row r="9619" spans="1:44" hidden="1">
      <c r="A9619" s="1" t="s">
        <v>18932</v>
      </c>
      <c r="C9619" s="1">
        <v>1</v>
      </c>
      <c r="D9619" s="1" t="str">
        <f>"08005"</f>
        <v>08005</v>
      </c>
      <c r="E9619" s="1" t="s">
        <v>319</v>
      </c>
      <c r="F9619" s="1">
        <v>15</v>
      </c>
      <c r="G9619" s="1">
        <v>5</v>
      </c>
      <c r="H9619" s="1">
        <v>0</v>
      </c>
      <c r="I9619" s="1" t="s">
        <v>18893</v>
      </c>
      <c r="K9619" s="1" t="str">
        <f t="shared" si="598"/>
        <v>ㄓ</v>
      </c>
      <c r="L9619" s="1" t="str">
        <f t="shared" si="599"/>
        <v>ㄨ</v>
      </c>
      <c r="N9619" s="3" t="s">
        <v>30574</v>
      </c>
      <c r="O9619" s="3"/>
      <c r="P9619" s="1" t="s">
        <v>20</v>
      </c>
      <c r="R9619" s="1" t="s">
        <v>18894</v>
      </c>
      <c r="V9619" s="1" t="s">
        <v>18933</v>
      </c>
      <c r="AR9619" s="1" t="str">
        <f t="shared" si="600"/>
        <v>| [ㄓㄨˋ](ㄓㄨˋ.md) | [駐](駐.md) |  | zhù | [動]
1.車馬停止。《三國志．卷二九．魏書．方技傳．華佗傳》：「佗聞其呻吟，駐車往視。」唐．杜甫〈別房太尉墓〉詩：「他鄉復行役，駐馬別孤墳。」
2.停留。如：「駐外使節」。唐．王勃〈守歲序〉：「歲月易盡，光陰難駐。」
3.留住、保持。如：「青春永駐」、「駐顏有術」。唐．孟浩然〈清明日宴宴梅道士山房〉詩：「童顏若可駐，何惜醉流露。」 |</v>
      </c>
    </row>
    <row r="9620" spans="1:44" hidden="1">
      <c r="A9620" s="1" t="s">
        <v>18934</v>
      </c>
      <c r="C9620" s="1">
        <v>1</v>
      </c>
      <c r="D9620" s="1" t="str">
        <f>"08006"</f>
        <v>08006</v>
      </c>
      <c r="E9620" s="1" t="s">
        <v>139</v>
      </c>
      <c r="F9620" s="1">
        <v>8</v>
      </c>
      <c r="G9620" s="1">
        <v>4</v>
      </c>
      <c r="H9620" s="1">
        <v>0</v>
      </c>
      <c r="I9620" s="1" t="s">
        <v>18893</v>
      </c>
      <c r="K9620" s="1" t="str">
        <f t="shared" si="598"/>
        <v>ㄓ</v>
      </c>
      <c r="L9620" s="1" t="str">
        <f t="shared" si="599"/>
        <v>ㄨ</v>
      </c>
      <c r="N9620" s="3" t="s">
        <v>30574</v>
      </c>
      <c r="O9620" s="3"/>
      <c r="P9620" s="1" t="s">
        <v>20</v>
      </c>
      <c r="R9620" s="1" t="s">
        <v>18894</v>
      </c>
      <c r="V9620" s="1" t="s">
        <v>18935</v>
      </c>
      <c r="AR9620" s="1" t="str">
        <f t="shared" si="600"/>
        <v>| [ㄓㄨˋ](ㄓㄨˋ.md) | [杼](杼.md) |  | zhù | [名]
1.織布機上的簆。形狀像梳子，用於確定經線的密度，保持經線的位置，並把緯線推向織口。
2.織布機上用來持理緯線的梭子。參見「曾母投杼」條。《戰國策．秦策二》：「其母懼，投杼踰牆而走。」 |</v>
      </c>
    </row>
    <row r="9621" spans="1:44" hidden="1">
      <c r="A9621" s="1" t="s">
        <v>17328</v>
      </c>
      <c r="C9621" s="1">
        <v>1</v>
      </c>
      <c r="D9621" s="1" t="str">
        <f>"08007"</f>
        <v>08007</v>
      </c>
      <c r="E9621" s="1" t="s">
        <v>37</v>
      </c>
      <c r="F9621" s="1">
        <v>8</v>
      </c>
      <c r="G9621" s="1">
        <v>4</v>
      </c>
      <c r="H9621" s="1">
        <v>2</v>
      </c>
      <c r="I9621" s="1" t="s">
        <v>18893</v>
      </c>
      <c r="K9621" s="1" t="str">
        <f t="shared" si="598"/>
        <v>ㄓ</v>
      </c>
      <c r="L9621" s="1" t="str">
        <f t="shared" si="599"/>
        <v>ㄨ</v>
      </c>
      <c r="N9621" s="3" t="s">
        <v>30574</v>
      </c>
      <c r="O9621" s="3"/>
      <c r="P9621" s="1" t="s">
        <v>20</v>
      </c>
      <c r="R9621" s="1" t="s">
        <v>18894</v>
      </c>
      <c r="V9621" s="1" t="s">
        <v>18936</v>
      </c>
      <c r="W9621" s="1" t="s">
        <v>18937</v>
      </c>
      <c r="AR9621" s="1" t="str">
        <f t="shared" si="600"/>
        <v>| [ㄓㄨˋ](ㄓㄨˋ.md) | [芧](芧.md) |  | zhù | [名]
一種苧麻。同「苧」。《說文解字．艸部》：「芧，艸也。可以為繩。」 |</v>
      </c>
    </row>
    <row r="9622" spans="1:44" hidden="1">
      <c r="A9622" s="1" t="s">
        <v>18938</v>
      </c>
      <c r="C9622" s="1">
        <v>1</v>
      </c>
      <c r="D9622" s="1" t="str">
        <f>"08008"</f>
        <v>08008</v>
      </c>
      <c r="E9622" s="1" t="s">
        <v>11385</v>
      </c>
      <c r="F9622" s="1">
        <v>9</v>
      </c>
      <c r="G9622" s="1">
        <v>6</v>
      </c>
      <c r="H9622" s="1">
        <v>0</v>
      </c>
      <c r="I9622" s="1" t="s">
        <v>18893</v>
      </c>
      <c r="K9622" s="1" t="str">
        <f t="shared" si="598"/>
        <v>ㄓ</v>
      </c>
      <c r="L9622" s="1" t="str">
        <f t="shared" si="599"/>
        <v>ㄨ</v>
      </c>
      <c r="N9622" s="3" t="s">
        <v>30574</v>
      </c>
      <c r="O9622" s="3"/>
      <c r="P9622" s="1" t="s">
        <v>20</v>
      </c>
      <c r="R9622" s="1" t="s">
        <v>18894</v>
      </c>
      <c r="V9622" s="1" t="s">
        <v>18939</v>
      </c>
      <c r="AR9622" s="1" t="str">
        <f t="shared" si="600"/>
        <v>| [ㄓㄨˋ](ㄓㄨˋ.md) | [壴](壴.md) |  | zhù | [名]
陳列的樂器。《說文解字．壴部》：「壴，陳樂立而上見也。」清．段玉裁．注：「謂凡樂器有虡者，豎之，其顛上出，可望見。」 |</v>
      </c>
    </row>
    <row r="9623" spans="1:44" hidden="1">
      <c r="A9623" s="1" t="s">
        <v>18940</v>
      </c>
      <c r="C9623" s="1">
        <v>1</v>
      </c>
      <c r="D9623" s="1" t="str">
        <f>"08009"</f>
        <v>08009</v>
      </c>
      <c r="E9623" s="1" t="s">
        <v>139</v>
      </c>
      <c r="F9623" s="1">
        <v>9</v>
      </c>
      <c r="G9623" s="1">
        <v>5</v>
      </c>
      <c r="H9623" s="1">
        <v>2</v>
      </c>
      <c r="I9623" s="1" t="s">
        <v>18893</v>
      </c>
      <c r="K9623" s="1" t="str">
        <f t="shared" si="598"/>
        <v>ㄓ</v>
      </c>
      <c r="L9623" s="1" t="str">
        <f t="shared" si="599"/>
        <v>ㄨ</v>
      </c>
      <c r="N9623" s="3" t="s">
        <v>30574</v>
      </c>
      <c r="O9623" s="3"/>
      <c r="P9623" s="1" t="s">
        <v>110</v>
      </c>
      <c r="R9623" s="1" t="s">
        <v>18894</v>
      </c>
      <c r="V9623" s="1" t="s">
        <v>111</v>
      </c>
      <c r="W9623" s="1" t="s">
        <v>18941</v>
      </c>
      <c r="AR9623" s="1" t="str">
        <f t="shared" si="600"/>
        <v>| [ㄓㄨˋ](ㄓㄨˋ.md) | [柷](柷.md) |  | zhù | (一)之又音。 |</v>
      </c>
    </row>
    <row r="9624" spans="1:44" hidden="1">
      <c r="A9624" s="1" t="s">
        <v>18942</v>
      </c>
      <c r="C9624" s="1">
        <v>1</v>
      </c>
      <c r="D9624" s="1" t="str">
        <f>"08010"</f>
        <v>08010</v>
      </c>
      <c r="E9624" s="1" t="s">
        <v>825</v>
      </c>
      <c r="F9624" s="1">
        <v>10</v>
      </c>
      <c r="G9624" s="1">
        <v>5</v>
      </c>
      <c r="H9624" s="1">
        <v>0</v>
      </c>
      <c r="I9624" s="1" t="s">
        <v>18893</v>
      </c>
      <c r="K9624" s="1" t="str">
        <f t="shared" si="598"/>
        <v>ㄓ</v>
      </c>
      <c r="L9624" s="1" t="str">
        <f t="shared" si="599"/>
        <v>ㄨ</v>
      </c>
      <c r="N9624" s="3" t="s">
        <v>30574</v>
      </c>
      <c r="O9624" s="3"/>
      <c r="P9624" s="1" t="s">
        <v>20</v>
      </c>
      <c r="R9624" s="1" t="s">
        <v>18894</v>
      </c>
      <c r="V9624" s="1" t="s">
        <v>18943</v>
      </c>
      <c r="AR9624" s="1" t="str">
        <f t="shared" si="600"/>
        <v>| [ㄓㄨˋ](ㄓㄨˋ.md) | [祝](祝.md) |  | zhù | [名]
1.祭祀時主持祭禮的人。《禮記．曾子問》：「祫祭於祖，則祝迎四廟之主。」
2.寺廟主持人。如：「廟祝」。
3.祭祀所唸的禱告詞。《漢書．卷六三．武五子傳．戾太子劉據傳》：「為立禖，使東方朔、枚皋作禖祝。」《遼史．卷四九．禮志一》：「閤門使讀祝訖，復位坐。」
4.姓。如春秋時魏國有祝侘。
[動]
1.祈禱、祈求。如：「祝福」、「祝平安快樂」。
2.慶賀、頌賀。如：「慶祝」、「祝賀」。 |</v>
      </c>
    </row>
    <row r="9625" spans="1:44" hidden="1">
      <c r="A9625" s="1" t="s">
        <v>18199</v>
      </c>
      <c r="C9625" s="1">
        <v>1</v>
      </c>
      <c r="D9625" s="1" t="str">
        <f>"08011"</f>
        <v>08011</v>
      </c>
      <c r="E9625" s="1" t="s">
        <v>37</v>
      </c>
      <c r="F9625" s="1">
        <v>12</v>
      </c>
      <c r="G9625" s="1">
        <v>8</v>
      </c>
      <c r="H9625" s="1">
        <v>1</v>
      </c>
      <c r="I9625" s="1" t="s">
        <v>18893</v>
      </c>
      <c r="K9625" s="1" t="str">
        <f t="shared" si="598"/>
        <v>ㄓ</v>
      </c>
      <c r="L9625" s="1" t="str">
        <f t="shared" si="599"/>
        <v>ㄨ</v>
      </c>
      <c r="N9625" s="3" t="s">
        <v>30574</v>
      </c>
      <c r="O9625" s="3"/>
      <c r="P9625" s="1" t="s">
        <v>20</v>
      </c>
      <c r="R9625" s="1" t="s">
        <v>18894</v>
      </c>
      <c r="V9625" s="1" t="s">
        <v>18944</v>
      </c>
      <c r="W9625" s="1" t="s">
        <v>18945</v>
      </c>
      <c r="AR9625" s="1" t="str">
        <f t="shared" si="600"/>
        <v>| [ㄓㄨˋ](ㄓㄨˋ.md) | [著](著.md) |  | zhù | [動]
1.顯露、表現。《禮記．大學》：「揜其不善而著其善。」
2.標舉、標示。《禮記．祭法》：「帝嚳能序星辰以著眾。」《漢書．卷六〇．杜周傳》：「若此，則流言消釋，疑惑著明。」
3.撰述、寫作。《史記．卷六三．老子韓非傳》：「於是老子迺著書上下篇。」《文選．曹丕．與吳質書》：「著《中論》二十餘篇，成一家之言。」
4.記載。《墨子．明鬼下》：「周人從者莫不見，遠者莫不聞，著在周之春秋。」《左傳．襄公二十三年》：「初，斐豹隸也，著於丹書。」
[名]
1.文章、作品的通稱。如：「名著」、「巨著」。
2.《詩經．齊風》的篇名。共三章。根據〈詩序〉：「〈著〉，刺時也。」或亦指嫁者即事之詩。首章三句為：「俟我於著乎而，充耳以素乎而，尚之以瓊華乎而。」
[形]
顯明。如：「顯著的差別」。 |</v>
      </c>
    </row>
    <row r="9626" spans="1:44" hidden="1">
      <c r="A9626" s="1" t="s">
        <v>18946</v>
      </c>
      <c r="C9626" s="1">
        <v>1</v>
      </c>
      <c r="D9626" s="1" t="str">
        <f>"08012"</f>
        <v>08012</v>
      </c>
      <c r="E9626" s="1" t="s">
        <v>2271</v>
      </c>
      <c r="F9626" s="1">
        <v>14</v>
      </c>
      <c r="G9626" s="1">
        <v>8</v>
      </c>
      <c r="H9626" s="1">
        <v>0</v>
      </c>
      <c r="I9626" s="1" t="s">
        <v>18893</v>
      </c>
      <c r="K9626" s="1" t="str">
        <f t="shared" si="598"/>
        <v>ㄓ</v>
      </c>
      <c r="L9626" s="1" t="str">
        <f t="shared" si="599"/>
        <v>ㄨ</v>
      </c>
      <c r="N9626" s="3" t="s">
        <v>30574</v>
      </c>
      <c r="O9626" s="3"/>
      <c r="P9626" s="1" t="s">
        <v>20</v>
      </c>
      <c r="R9626" s="1" t="s">
        <v>18894</v>
      </c>
      <c r="V9626" s="1" t="s">
        <v>18947</v>
      </c>
      <c r="AR9626" s="1" t="str">
        <f t="shared" si="600"/>
        <v>| [ㄓㄨˋ](ㄓㄨˋ.md) | [翥](翥.md) |  | zhù | [動]
1.振翅欲飛。《說文解字．羽部》：「翥，飛舉也。」南朝宋．劉義慶《世說新語．言語》：「鶴軒翥不復能飛，乃反顧翅，垂頭視之，如有懊喪意。」《藝文類聚．卷六一．居處部一》引《漢武故事》曰：「甍標作鳳皇，軒翥若飛狀。」
2.高飛。唐．韓愈〈石鼓歌〉：「鸞翔鳳翥眾仙下，珊瑚碧樹交枝柯。」清．和邦額《夜譚隨錄．卷三．戴監生》：「鳥脫于羅，非不翩然遠翥也，然不能慎機於微，必將更罹干弋。」 |</v>
      </c>
    </row>
    <row r="9627" spans="1:44" hidden="1">
      <c r="A9627" s="1" t="s">
        <v>18948</v>
      </c>
      <c r="C9627" s="1">
        <v>1</v>
      </c>
      <c r="D9627" s="1" t="str">
        <f>"08013"</f>
        <v>08013</v>
      </c>
      <c r="E9627" s="1" t="s">
        <v>49</v>
      </c>
      <c r="F9627" s="1">
        <v>14</v>
      </c>
      <c r="G9627" s="1">
        <v>8</v>
      </c>
      <c r="H9627" s="1">
        <v>0</v>
      </c>
      <c r="I9627" s="1" t="s">
        <v>18893</v>
      </c>
      <c r="K9627" s="1" t="str">
        <f t="shared" si="598"/>
        <v>ㄓ</v>
      </c>
      <c r="L9627" s="1" t="str">
        <f t="shared" si="599"/>
        <v>ㄨ</v>
      </c>
      <c r="N9627" s="3" t="s">
        <v>30574</v>
      </c>
      <c r="O9627" s="3"/>
      <c r="P9627" s="1" t="s">
        <v>20</v>
      </c>
      <c r="R9627" s="1" t="s">
        <v>18894</v>
      </c>
      <c r="V9627" s="1" t="s">
        <v>18949</v>
      </c>
      <c r="AR9627" s="1" t="str">
        <f t="shared" si="600"/>
        <v>| [ㄓㄨˋ](ㄓㄨˋ.md) | [箸](箸.md) |  | zhù | [名]
筷子。《史記．卷一四．十二諸侯年表》：「紂為象箸而箕子唏。」《紅樓夢》第七六回：「眾媳婦另行擦桌整果，更杯洗箸，陳設一番。」
[動]
1.標舉。通「著」。《荀子．王霸》：「致忠信，箸仁義，足以竭人矣。」
2.撰述、寫作。通「著」。《後漢書．卷四九．王充傳》：「箸《論衡》八十五篇，二十餘萬言。」 |</v>
      </c>
    </row>
    <row r="9628" spans="1:44" hidden="1">
      <c r="A9628" s="1" t="s">
        <v>18321</v>
      </c>
      <c r="C9628" s="1">
        <v>1</v>
      </c>
      <c r="D9628" s="1" t="str">
        <f>"08014"</f>
        <v>08014</v>
      </c>
      <c r="E9628" s="1" t="s">
        <v>28</v>
      </c>
      <c r="F9628" s="1">
        <v>12</v>
      </c>
      <c r="G9628" s="1">
        <v>9</v>
      </c>
      <c r="H9628" s="1">
        <v>2</v>
      </c>
      <c r="I9628" s="1" t="s">
        <v>18893</v>
      </c>
      <c r="K9628" s="1" t="str">
        <f t="shared" si="598"/>
        <v>ㄓ</v>
      </c>
      <c r="L9628" s="1" t="str">
        <f t="shared" si="599"/>
        <v>ㄨ</v>
      </c>
      <c r="N9628" s="3" t="s">
        <v>30574</v>
      </c>
      <c r="O9628" s="3"/>
      <c r="P9628" s="1" t="s">
        <v>110</v>
      </c>
      <c r="R9628" s="1" t="s">
        <v>18894</v>
      </c>
      <c r="V9628" s="1" t="s">
        <v>111</v>
      </c>
      <c r="W9628" s="1" t="s">
        <v>18950</v>
      </c>
      <c r="AR9628" s="1" t="str">
        <f t="shared" si="600"/>
        <v>| [ㄓㄨˋ](ㄓㄨˋ.md) | [喌](喌.md) |  | zhù | (一)之又音。 |</v>
      </c>
    </row>
    <row r="9629" spans="1:44" hidden="1">
      <c r="A9629" s="1" t="s">
        <v>18345</v>
      </c>
      <c r="C9629" s="1">
        <v>1</v>
      </c>
      <c r="D9629" s="1" t="str">
        <f>"08015"</f>
        <v>08015</v>
      </c>
      <c r="E9629" s="1" t="s">
        <v>46</v>
      </c>
      <c r="F9629" s="1">
        <v>12</v>
      </c>
      <c r="G9629" s="1">
        <v>6</v>
      </c>
      <c r="H9629" s="1">
        <v>2</v>
      </c>
      <c r="I9629" s="1" t="s">
        <v>18893</v>
      </c>
      <c r="K9629" s="1" t="str">
        <f t="shared" si="598"/>
        <v>ㄓ</v>
      </c>
      <c r="L9629" s="1" t="str">
        <f t="shared" si="599"/>
        <v>ㄨ</v>
      </c>
      <c r="N9629" s="3" t="s">
        <v>30574</v>
      </c>
      <c r="O9629" s="3"/>
      <c r="P9629" s="1" t="s">
        <v>186</v>
      </c>
      <c r="R9629" s="1" t="s">
        <v>18894</v>
      </c>
      <c r="V9629" s="1" t="s">
        <v>206</v>
      </c>
      <c r="W9629" s="1" t="s">
        <v>18951</v>
      </c>
      <c r="AR9629" s="1" t="str">
        <f t="shared" si="600"/>
        <v>| [ㄓㄨˋ](ㄓㄨˋ.md) | [粥](粥.md) |  | zhù | (一)之讀音。 |</v>
      </c>
    </row>
    <row r="9630" spans="1:44" hidden="1">
      <c r="A9630" s="1" t="s">
        <v>18952</v>
      </c>
      <c r="C9630" s="1">
        <v>1</v>
      </c>
      <c r="D9630" s="1" t="str">
        <f>"08016"</f>
        <v>08016</v>
      </c>
      <c r="E9630" s="1" t="s">
        <v>275</v>
      </c>
      <c r="F9630" s="1">
        <v>22</v>
      </c>
      <c r="G9630" s="1">
        <v>12</v>
      </c>
      <c r="H9630" s="1">
        <v>2</v>
      </c>
      <c r="I9630" s="1" t="s">
        <v>18893</v>
      </c>
      <c r="K9630" s="1" t="str">
        <f t="shared" si="598"/>
        <v>ㄓ</v>
      </c>
      <c r="L9630" s="1" t="str">
        <f t="shared" si="599"/>
        <v>ㄨ</v>
      </c>
      <c r="N9630" s="3" t="s">
        <v>30574</v>
      </c>
      <c r="O9630" s="3"/>
      <c r="P9630" s="1" t="s">
        <v>20</v>
      </c>
      <c r="R9630" s="1" t="s">
        <v>18894</v>
      </c>
      <c r="V9630" s="1" t="s">
        <v>18953</v>
      </c>
      <c r="W9630" s="1" t="s">
        <v>18954</v>
      </c>
      <c r="AR9630" s="1" t="str">
        <f t="shared" si="600"/>
        <v>| [ㄓㄨˋ](ㄓㄨˋ.md) | [鬻](鬻.md) |  | zhù | [名]
稀飯。通「粥」。《左傳．昭公七年》：「饘於是，鬻於是，以餬余口。」 |</v>
      </c>
    </row>
    <row r="9631" spans="1:44" hidden="1">
      <c r="A9631" s="1" t="s">
        <v>18955</v>
      </c>
      <c r="C9631" s="1">
        <v>1</v>
      </c>
      <c r="D9631" s="1" t="str">
        <f>"08017"</f>
        <v>08017</v>
      </c>
      <c r="E9631" s="1" t="s">
        <v>319</v>
      </c>
      <c r="F9631" s="1">
        <v>13</v>
      </c>
      <c r="G9631" s="1">
        <v>3</v>
      </c>
      <c r="H9631" s="1">
        <v>0</v>
      </c>
      <c r="I9631" s="1" t="s">
        <v>18893</v>
      </c>
      <c r="K9631" s="1" t="str">
        <f t="shared" si="598"/>
        <v>ㄓ</v>
      </c>
      <c r="L9631" s="1" t="str">
        <f t="shared" si="599"/>
        <v>ㄨ</v>
      </c>
      <c r="N9631" s="3" t="s">
        <v>30574</v>
      </c>
      <c r="O9631" s="3"/>
      <c r="P9631" s="1" t="s">
        <v>20</v>
      </c>
      <c r="R9631" s="1" t="s">
        <v>18894</v>
      </c>
      <c r="V9631" s="1" t="s">
        <v>18956</v>
      </c>
      <c r="AR9631" s="1" t="str">
        <f t="shared" si="600"/>
        <v>| [ㄓㄨˋ](ㄓㄨˋ.md) | [馵](馵.md) |  | zhù | [名]
左後腳白色的馬。《玉篇．馬部》：「馵，馬後左足白。」《詩經．秦風．小戎》：「文茵暢轂，駕我騏馵。」 |</v>
      </c>
    </row>
    <row r="9632" spans="1:44" hidden="1">
      <c r="A9632" s="1" t="s">
        <v>18957</v>
      </c>
      <c r="C9632" s="1">
        <v>1</v>
      </c>
      <c r="D9632" s="1" t="str">
        <f>"08018"</f>
        <v>08018</v>
      </c>
      <c r="E9632" s="1" t="s">
        <v>55</v>
      </c>
      <c r="F9632" s="1">
        <v>22</v>
      </c>
      <c r="G9632" s="1">
        <v>14</v>
      </c>
      <c r="H9632" s="1">
        <v>0</v>
      </c>
      <c r="I9632" s="1" t="s">
        <v>18893</v>
      </c>
      <c r="K9632" s="1" t="str">
        <f t="shared" si="598"/>
        <v>ㄓ</v>
      </c>
      <c r="L9632" s="1" t="str">
        <f t="shared" si="599"/>
        <v>ㄨ</v>
      </c>
      <c r="N9632" s="3" t="s">
        <v>30574</v>
      </c>
      <c r="O9632" s="3"/>
      <c r="P9632" s="1" t="s">
        <v>20</v>
      </c>
      <c r="R9632" s="1" t="s">
        <v>18894</v>
      </c>
      <c r="V9632" s="1" t="s">
        <v>18958</v>
      </c>
      <c r="AR9632" s="1" t="str">
        <f t="shared" si="600"/>
        <v>| [ㄓㄨˋ](ㄓㄨˋ.md) | [鑄](鑄.md) |  | zhù | [動]
1.將金屬鎔化倒入模型中冷卻凝固，做成各種器物。如：「鑄錢」、「鑄銅」。《國語．齊語》：「美金以鑄劍戟。」
2.造就、培養。南朝梁．劉勰《文心雕龍．徵聖》：「陶鑄性情，功在上哲。」唐．李商隱〈喜舍弟羲叟及第上禮部魏公〉詩：「寧同魯司寇，惟鑄一顏回。」
3.造成、釀成。如：「鑄成大錯」。
[名]
國名。故址約在今大陸地區山東省肥城縣鑄鄉。 |</v>
      </c>
    </row>
    <row r="9633" spans="1:44" hidden="1">
      <c r="A9633" s="1" t="s">
        <v>18829</v>
      </c>
      <c r="C9633" s="1">
        <v>1</v>
      </c>
      <c r="D9633" s="1" t="str">
        <f>"07957"</f>
        <v>07957</v>
      </c>
      <c r="E9633" s="1" t="s">
        <v>139</v>
      </c>
      <c r="F9633" s="1">
        <v>5</v>
      </c>
      <c r="G9633" s="1">
        <v>1</v>
      </c>
      <c r="H9633" s="1">
        <v>0</v>
      </c>
      <c r="I9633" s="1" t="s">
        <v>18830</v>
      </c>
      <c r="K9633" s="1" t="str">
        <f t="shared" si="598"/>
        <v>ㄓ</v>
      </c>
      <c r="L9633" s="1" t="str">
        <f t="shared" si="599"/>
        <v>ㄨ</v>
      </c>
      <c r="N9633" s="3" t="s">
        <v>30575</v>
      </c>
      <c r="O9633" s="3"/>
      <c r="P9633" s="1" t="s">
        <v>20</v>
      </c>
      <c r="R9633" s="1" t="s">
        <v>18831</v>
      </c>
      <c r="V9633" s="1" t="s">
        <v>18832</v>
      </c>
      <c r="AR9633" s="1" t="str">
        <f t="shared" si="600"/>
        <v>| [ㄓㄨˊ](ㄓㄨˊ.md) | [朮](朮.md) |  | zhú | 參見「白朮」條。 |</v>
      </c>
    </row>
    <row r="9634" spans="1:44" hidden="1">
      <c r="A9634" s="1" t="s">
        <v>18833</v>
      </c>
      <c r="C9634" s="1">
        <v>1</v>
      </c>
      <c r="D9634" s="1" t="str">
        <f>"07958"</f>
        <v>07958</v>
      </c>
      <c r="E9634" s="1" t="s">
        <v>49</v>
      </c>
      <c r="F9634" s="1">
        <v>6</v>
      </c>
      <c r="G9634" s="1">
        <v>0</v>
      </c>
      <c r="H9634" s="1">
        <v>0</v>
      </c>
      <c r="I9634" s="1" t="s">
        <v>18830</v>
      </c>
      <c r="K9634" s="1" t="str">
        <f t="shared" si="598"/>
        <v>ㄓ</v>
      </c>
      <c r="L9634" s="1" t="str">
        <f t="shared" si="599"/>
        <v>ㄨ</v>
      </c>
      <c r="N9634" s="3" t="s">
        <v>30575</v>
      </c>
      <c r="O9634" s="3"/>
      <c r="P9634" s="1" t="s">
        <v>20</v>
      </c>
      <c r="R9634" s="1" t="s">
        <v>18831</v>
      </c>
      <c r="V9634" s="1" t="s">
        <v>18834</v>
      </c>
      <c r="AR9634" s="1" t="str">
        <f t="shared" si="600"/>
        <v>| [ㄓㄨˊ](ㄓㄨˊ.md) | [竹](竹.md) |  | zhú | [名]
1.植物名。多年生常綠植物。莖木質，有隆起之節，節間部中空，細長作管狀，色綠。竹莖堅韌，可供建築製器之用。
2.樂器名。笛、簫之屬。《周禮．春官．大師》：「皆播之以八音：金、石、土、革、絲、木、匏、竹。」晉．王羲之〈三月三日蘭亭詩序〉：「雖無絲竹管絃之盛，一觴一詠，亦足以暢敘幽情。」
3.簡冊。如：「竹帛」、「竹簡」。漢．桓寬《鹽鐵論．利議》：「明枯竹，守空言，不知趨舍之宜，時世之變。」
4.姓。如漢代有竹多同。
5.二一四部首之一。 |</v>
      </c>
    </row>
    <row r="9635" spans="1:44" hidden="1">
      <c r="A9635" s="1" t="s">
        <v>18835</v>
      </c>
      <c r="C9635" s="1">
        <v>1</v>
      </c>
      <c r="D9635" s="1" t="str">
        <f>"07959"</f>
        <v>07959</v>
      </c>
      <c r="E9635" s="1" t="s">
        <v>49</v>
      </c>
      <c r="F9635" s="1">
        <v>8</v>
      </c>
      <c r="G9635" s="1">
        <v>2</v>
      </c>
      <c r="H9635" s="1">
        <v>0</v>
      </c>
      <c r="I9635" s="1" t="s">
        <v>18830</v>
      </c>
      <c r="K9635" s="1" t="str">
        <f t="shared" si="598"/>
        <v>ㄓ</v>
      </c>
      <c r="L9635" s="1" t="str">
        <f t="shared" si="599"/>
        <v>ㄨ</v>
      </c>
      <c r="N9635" s="3" t="s">
        <v>30575</v>
      </c>
      <c r="O9635" s="3"/>
      <c r="P9635" s="1" t="s">
        <v>20</v>
      </c>
      <c r="R9635" s="1" t="s">
        <v>18831</v>
      </c>
      <c r="V9635" s="1" t="s">
        <v>18836</v>
      </c>
      <c r="AR9635" s="1" t="str">
        <f t="shared" si="600"/>
        <v>| [ㄓㄨˊ](ㄓㄨˊ.md) | [竺](竺.md) |  | zhú | [名]
1.天竺的簡稱。今印度的舊名。唐．李賀〈馬〉詩二三首之一九：「蕭寺馱經馬，元從竺國來。」
2.姓。如漢代有竺曾。
[動]
厚。通「篤」。《楚辭．屈原．天問》：「稷維元子，帝何竺之？」 |</v>
      </c>
    </row>
    <row r="9636" spans="1:44" hidden="1">
      <c r="A9636" s="1" t="s">
        <v>18352</v>
      </c>
      <c r="C9636" s="1">
        <v>1</v>
      </c>
      <c r="D9636" s="1" t="str">
        <f>"07960"</f>
        <v>07960</v>
      </c>
      <c r="E9636" s="1" t="s">
        <v>534</v>
      </c>
      <c r="F9636" s="1">
        <v>8</v>
      </c>
      <c r="G9636" s="1">
        <v>5</v>
      </c>
      <c r="H9636" s="1">
        <v>2</v>
      </c>
      <c r="I9636" s="1" t="s">
        <v>18830</v>
      </c>
      <c r="K9636" s="1" t="str">
        <f t="shared" si="598"/>
        <v>ㄓ</v>
      </c>
      <c r="L9636" s="1" t="str">
        <f t="shared" si="599"/>
        <v>ㄨ</v>
      </c>
      <c r="N9636" s="3" t="s">
        <v>30575</v>
      </c>
      <c r="O9636" s="3"/>
      <c r="P9636" s="1" t="s">
        <v>186</v>
      </c>
      <c r="R9636" s="1" t="s">
        <v>18831</v>
      </c>
      <c r="V9636" s="1" t="s">
        <v>206</v>
      </c>
      <c r="W9636" s="1" t="s">
        <v>18837</v>
      </c>
      <c r="AR9636" s="1" t="str">
        <f t="shared" si="600"/>
        <v>| [ㄓㄨˊ](ㄓㄨˊ.md) | [妯](妯.md) |  | zhú | (一)之讀音。 |</v>
      </c>
    </row>
    <row r="9637" spans="1:44" hidden="1">
      <c r="A9637" s="1" t="s">
        <v>18356</v>
      </c>
      <c r="C9637" s="1">
        <v>1</v>
      </c>
      <c r="D9637" s="1" t="str">
        <f>"07961"</f>
        <v>07961</v>
      </c>
      <c r="E9637" s="1" t="s">
        <v>181</v>
      </c>
      <c r="F9637" s="1">
        <v>11</v>
      </c>
      <c r="G9637" s="1">
        <v>5</v>
      </c>
      <c r="H9637" s="1">
        <v>1</v>
      </c>
      <c r="I9637" s="1" t="s">
        <v>18830</v>
      </c>
      <c r="K9637" s="1" t="str">
        <f t="shared" si="598"/>
        <v>ㄓ</v>
      </c>
      <c r="L9637" s="1" t="str">
        <f t="shared" si="599"/>
        <v>ㄨ</v>
      </c>
      <c r="N9637" s="3" t="s">
        <v>30575</v>
      </c>
      <c r="O9637" s="3"/>
      <c r="P9637" s="1" t="s">
        <v>186</v>
      </c>
      <c r="R9637" s="1" t="s">
        <v>18831</v>
      </c>
      <c r="V9637" s="1" t="s">
        <v>18838</v>
      </c>
      <c r="W9637" s="1" t="s">
        <v>18839</v>
      </c>
      <c r="AR9637" s="1" t="str">
        <f t="shared" si="600"/>
        <v>| [ㄓㄨˊ](ㄓㄨˊ.md) | [舳](舳.md) |  | zhú | [名]
船尾掌舵的地方。南朝宋．鮑照〈還都道中〉詩三首之二：「風急訊灣浦，裝高偃檣舳。」 |</v>
      </c>
    </row>
    <row r="9638" spans="1:44" hidden="1">
      <c r="A9638" s="1" t="s">
        <v>18358</v>
      </c>
      <c r="C9638" s="1">
        <v>1</v>
      </c>
      <c r="D9638" s="1" t="str">
        <f>"07962"</f>
        <v>07962</v>
      </c>
      <c r="E9638" s="1" t="s">
        <v>71</v>
      </c>
      <c r="F9638" s="1">
        <v>12</v>
      </c>
      <c r="G9638" s="1">
        <v>5</v>
      </c>
      <c r="H9638" s="1">
        <v>2</v>
      </c>
      <c r="I9638" s="1" t="s">
        <v>18830</v>
      </c>
      <c r="K9638" s="1" t="str">
        <f t="shared" si="598"/>
        <v>ㄓ</v>
      </c>
      <c r="L9638" s="1" t="str">
        <f t="shared" si="599"/>
        <v>ㄨ</v>
      </c>
      <c r="N9638" s="3" t="s">
        <v>30575</v>
      </c>
      <c r="O9638" s="3"/>
      <c r="P9638" s="1" t="s">
        <v>186</v>
      </c>
      <c r="R9638" s="1" t="s">
        <v>18831</v>
      </c>
      <c r="V9638" s="1" t="s">
        <v>206</v>
      </c>
      <c r="W9638" s="1" t="s">
        <v>18840</v>
      </c>
      <c r="AR9638" s="1" t="str">
        <f t="shared" si="600"/>
        <v>| [ㄓㄨˊ](ㄓㄨˊ.md) | [軸](軸.md) |  | zhú | (一)之讀音。 |</v>
      </c>
    </row>
    <row r="9639" spans="1:44" hidden="1">
      <c r="A9639" s="1" t="s">
        <v>18841</v>
      </c>
      <c r="C9639" s="1">
        <v>1</v>
      </c>
      <c r="D9639" s="1" t="str">
        <f>"07963"</f>
        <v>07963</v>
      </c>
      <c r="E9639" s="1" t="s">
        <v>1274</v>
      </c>
      <c r="F9639" s="1">
        <v>10</v>
      </c>
      <c r="G9639" s="1">
        <v>5</v>
      </c>
      <c r="H9639" s="1">
        <v>0</v>
      </c>
      <c r="I9639" s="1" t="s">
        <v>18830</v>
      </c>
      <c r="K9639" s="1" t="str">
        <f t="shared" si="598"/>
        <v>ㄓ</v>
      </c>
      <c r="L9639" s="1" t="str">
        <f t="shared" si="599"/>
        <v>ㄨ</v>
      </c>
      <c r="N9639" s="3" t="s">
        <v>30575</v>
      </c>
      <c r="O9639" s="3"/>
      <c r="P9639" s="1" t="s">
        <v>20</v>
      </c>
      <c r="R9639" s="1" t="s">
        <v>18831</v>
      </c>
      <c r="V9639" s="1" t="s">
        <v>18842</v>
      </c>
      <c r="AR9639" s="1" t="str">
        <f t="shared" si="600"/>
        <v>| [ㄓㄨˊ](ㄓㄨˊ.md) | [窋](窋.md) |  | zhú | [形]
物在穴中的樣子。《說文解字．穴部》：「窋，物在穴中貌。」
[名]
窟。漢．趙曄《吳越春秋．王僚使公子光傳》：「公子光伏甲士於窋室中，具酒而請王僚。」 |</v>
      </c>
    </row>
    <row r="9640" spans="1:44" hidden="1">
      <c r="A9640" s="1" t="s">
        <v>18843</v>
      </c>
      <c r="C9640" s="1">
        <v>1</v>
      </c>
      <c r="D9640" s="1" t="str">
        <f>"07964"</f>
        <v>07964</v>
      </c>
      <c r="E9640" s="1" t="s">
        <v>558</v>
      </c>
      <c r="F9640" s="1">
        <v>11</v>
      </c>
      <c r="G9640" s="1">
        <v>7</v>
      </c>
      <c r="H9640" s="1">
        <v>0</v>
      </c>
      <c r="I9640" s="1" t="s">
        <v>18830</v>
      </c>
      <c r="K9640" s="1" t="str">
        <f t="shared" si="598"/>
        <v>ㄓ</v>
      </c>
      <c r="L9640" s="1" t="str">
        <f t="shared" si="599"/>
        <v>ㄨ</v>
      </c>
      <c r="N9640" s="3" t="s">
        <v>30575</v>
      </c>
      <c r="O9640" s="3"/>
      <c r="P9640" s="1" t="s">
        <v>20</v>
      </c>
      <c r="R9640" s="1" t="s">
        <v>18831</v>
      </c>
      <c r="V9640" s="1" t="s">
        <v>18844</v>
      </c>
      <c r="AR9640" s="1" t="str">
        <f t="shared" si="600"/>
        <v>| [ㄓㄨˊ](ㄓㄨˊ.md) | [逐](逐.md) |  | zhú | [動]_x000D_
1.追趕。如：「追逐」。《後漢書．卷七三．劉虞公孫瓚陶謙列傳．公孫瓚》：「每聞有警，瓚輒厲色憤怒，如赴讎敵，望塵奔逐，或繼之以夜戰。」唐．盧綸〈和張僕射塞下曲〉六首之三：「欲將輕騎逐，大雪滿弓刀。」_x000D_
2.驅走。如：「逐客令」、「驅逐出境」。《史記．卷七．項羽本紀》：「及羽背關懷楚，放逐義帝而自立，怨王侯叛己，難矣。」《喻世明言．卷四〇．沈小霞相會出師表》：「原來文書上有『奉旨抄沒』的話，本府已差縣尉封鎖了家私，將人口盡皆逐出。」_x000D_
3.追求、追尋。《國語．晉語四》：「饜邇逐遠，遠人入服，不為郵矣。」《漢書．卷九六．西域傳上．西夜國》：「西夜與胡異，其種類羌、氐行國，隨畜逐水草往來。」唐．李白〈經亂離後天恩流夜郎憶舊遊書懷贈江夏韋太守良宰〉詩：「誤逐世間樂，頗窮理亂情。」_x000D_
4.競爭、爭奪。如：「角逐」。《後漢書．卷一七．馮岑賈列傳．馮異》：「當兵革始起，擾攘之時，豪傑競逐，迷惑千數。」宋．邵雍〈題四皓廟〉詩四首之一：「正是英雄較逐時，未知鹿入何人手。」_x000D_
5.跟隨。如：「隨波逐流」。唐．楊發〈殘花〉詩：「暖芳隨日薄，殘片逐風迴。」《西遊記》第九三回：「常言：『嫁雞逐雞，嫁犬逐犬。』女有誓願在先，結了這毬，告奏天地神明，撞天婚拋打。」_x000D_
6.依次、按照順序。如：「逐年增加」、「逐條說明」。唐．白居易〈首夏〉詩：「料錢隨月用，生計逐日營。」《五代史平話．周史．卷上》：「郭威從那應募李繼韜軍下攻取澤州，被董璋占了功賞，殺人逃走，來到此間，逐一細說與知遠聽了。」 |</v>
      </c>
    </row>
    <row r="9641" spans="1:44" hidden="1">
      <c r="A9641" s="1" t="s">
        <v>18845</v>
      </c>
      <c r="C9641" s="1">
        <v>1</v>
      </c>
      <c r="D9641" s="1" t="str">
        <f>"07965"</f>
        <v>07965</v>
      </c>
      <c r="E9641" s="1" t="s">
        <v>40</v>
      </c>
      <c r="F9641" s="1">
        <v>13</v>
      </c>
      <c r="G9641" s="1">
        <v>8</v>
      </c>
      <c r="H9641" s="1">
        <v>0</v>
      </c>
      <c r="I9641" s="1" t="s">
        <v>18830</v>
      </c>
      <c r="K9641" s="1" t="str">
        <f t="shared" si="598"/>
        <v>ㄓ</v>
      </c>
      <c r="L9641" s="1" t="str">
        <f t="shared" si="599"/>
        <v>ㄨ</v>
      </c>
      <c r="N9641" s="3" t="s">
        <v>30575</v>
      </c>
      <c r="O9641" s="3"/>
      <c r="P9641" s="1" t="s">
        <v>20</v>
      </c>
      <c r="R9641" s="1" t="s">
        <v>18831</v>
      </c>
      <c r="V9641" s="1" t="s">
        <v>18846</v>
      </c>
      <c r="AR9641" s="1" t="str">
        <f t="shared" si="600"/>
        <v>| [ㄓㄨˊ](ㄓㄨˊ.md) | [瘃](瘃.md) |  | zhú | [名]
手足的凍瘡。唐．段成式《酉陽雜俎．卷一九．廣動植》：「茄子熟者，食之厚腸胃，動氣發痰，根能治灶瘃。」宋．梅堯臣〈對殘雪懷歐陽永叔〉詩：「童僕苦病瘃，庭戶無與杴。」 |</v>
      </c>
    </row>
    <row r="9642" spans="1:44" hidden="1">
      <c r="A9642" s="1" t="s">
        <v>18847</v>
      </c>
      <c r="C9642" s="1">
        <v>1</v>
      </c>
      <c r="D9642" s="1" t="str">
        <f>"07966"</f>
        <v>07966</v>
      </c>
      <c r="E9642" s="1" t="s">
        <v>37</v>
      </c>
      <c r="F9642" s="1">
        <v>15</v>
      </c>
      <c r="G9642" s="1">
        <v>11</v>
      </c>
      <c r="H9642" s="1">
        <v>0</v>
      </c>
      <c r="I9642" s="1" t="s">
        <v>18830</v>
      </c>
      <c r="K9642" s="1" t="str">
        <f t="shared" si="598"/>
        <v>ㄓ</v>
      </c>
      <c r="L9642" s="1" t="str">
        <f t="shared" si="599"/>
        <v>ㄨ</v>
      </c>
      <c r="N9642" s="3" t="s">
        <v>30575</v>
      </c>
      <c r="O9642" s="3"/>
      <c r="P9642" s="1" t="s">
        <v>20</v>
      </c>
      <c r="R9642" s="1" t="s">
        <v>18831</v>
      </c>
      <c r="V9642" s="1" t="s">
        <v>18848</v>
      </c>
      <c r="AR9642" s="1" t="str">
        <f t="shared" si="600"/>
        <v>| [ㄓㄨˊ](ㄓㄨˊ.md) | [蓫](蓫.md) |  | zhú | [名]
植物名。即羊蹄。蓼科酸模屬，「羊蹄」之古稱，參見「羊蹄」條。 |</v>
      </c>
    </row>
    <row r="9643" spans="1:44" hidden="1">
      <c r="A9643" s="1" t="s">
        <v>18849</v>
      </c>
      <c r="C9643" s="1">
        <v>1</v>
      </c>
      <c r="D9643" s="1" t="str">
        <f>"07967"</f>
        <v>07967</v>
      </c>
      <c r="E9643" s="1" t="s">
        <v>49</v>
      </c>
      <c r="F9643" s="1">
        <v>12</v>
      </c>
      <c r="G9643" s="1">
        <v>6</v>
      </c>
      <c r="H9643" s="1">
        <v>0</v>
      </c>
      <c r="I9643" s="1" t="s">
        <v>18830</v>
      </c>
      <c r="K9643" s="1" t="str">
        <f t="shared" si="598"/>
        <v>ㄓ</v>
      </c>
      <c r="L9643" s="1" t="str">
        <f t="shared" si="599"/>
        <v>ㄨ</v>
      </c>
      <c r="N9643" s="3" t="s">
        <v>30575</v>
      </c>
      <c r="O9643" s="3"/>
      <c r="P9643" s="1" t="s">
        <v>20</v>
      </c>
      <c r="R9643" s="1" t="s">
        <v>18831</v>
      </c>
      <c r="V9643" s="1" t="s">
        <v>18850</v>
      </c>
      <c r="AR9643" s="1" t="str">
        <f t="shared" si="600"/>
        <v>| [ㄓㄨˊ](ㄓㄨˊ.md) | [筑](筑.md) |  | zhú | [名]
1.樂器名，擊弦樂器。目前所見中國最早的擊弦樂器，自戰國至隋唐廣泛流行，宋代以後失傳。形狀似琴，有五弦、十三弦、二十一弦的不同。演奏時以左手按弦一端，右手執竹片擊弦發音。陶淵明〈詠荊軻詩〉：「漸離擊悲筑，宋意唱高聲。」
2.貴州省會貴陽市的簡稱。 |</v>
      </c>
    </row>
    <row r="9644" spans="1:44" hidden="1">
      <c r="A9644" s="1" t="s">
        <v>18851</v>
      </c>
      <c r="C9644" s="1">
        <v>1</v>
      </c>
      <c r="D9644" s="1" t="str">
        <f>"07968"</f>
        <v>07968</v>
      </c>
      <c r="E9644" s="1" t="s">
        <v>49</v>
      </c>
      <c r="F9644" s="1">
        <v>16</v>
      </c>
      <c r="G9644" s="1">
        <v>10</v>
      </c>
      <c r="H9644" s="1">
        <v>0</v>
      </c>
      <c r="I9644" s="1" t="s">
        <v>18830</v>
      </c>
      <c r="K9644" s="1" t="str">
        <f t="shared" si="598"/>
        <v>ㄓ</v>
      </c>
      <c r="L9644" s="1" t="str">
        <f t="shared" si="599"/>
        <v>ㄨ</v>
      </c>
      <c r="N9644" s="3" t="s">
        <v>30575</v>
      </c>
      <c r="O9644" s="3"/>
      <c r="P9644" s="1" t="s">
        <v>20</v>
      </c>
      <c r="R9644" s="1" t="s">
        <v>18831</v>
      </c>
      <c r="V9644" s="1" t="s">
        <v>18852</v>
      </c>
      <c r="AR9644" s="1" t="str">
        <f t="shared" si="600"/>
        <v>| [ㄓㄨˊ](ㄓㄨˊ.md) | [築](築.md) |  | zhú | [動]
1.擣土使之堅實。《儀禮．既夕禮》：「甸人築坅坎。」漢．鄭玄．注：「築，實土其中堅之。」
2.建造。如：「建築」、「築路」。《左傳．莊公元年》：「秋，築王姬之館于外。」《史記．卷一一〇．匈奴傳》：「漢為單于築邸于長安。」
3.捅、刺。《西遊記》第八回：「他撞上來，不分好歹，望著菩薩舉釘鈀就築。」
[名]
1.宅第、居室。如：「小築」、「雅築」。宋．史浩〈驀山溪．清談無限〉詞：「君侯灑落，卜築開冰沼。三徑直危樓，遍巖隈、幽花香草。」
2.擣土打牆的木杵。《左傳．宣公十一年》：「稱畚築，程土物。」唐．孔穎達．正義：「築者，築土之杵。」唐．盧肇〈漢堤〉詩：「披峴斲楚，飛石輓土，舉築殷雷，駭汗霏雨。」
3.姓。如明代有築應祥。 |</v>
      </c>
    </row>
    <row r="9645" spans="1:44" hidden="1">
      <c r="A9645" s="1" t="s">
        <v>18853</v>
      </c>
      <c r="C9645" s="1">
        <v>1</v>
      </c>
      <c r="D9645" s="1" t="str">
        <f>"07969"</f>
        <v>07969</v>
      </c>
      <c r="E9645" s="1" t="s">
        <v>336</v>
      </c>
      <c r="F9645" s="1">
        <v>17</v>
      </c>
      <c r="G9645" s="1">
        <v>13</v>
      </c>
      <c r="H9645" s="1">
        <v>0</v>
      </c>
      <c r="I9645" s="1" t="s">
        <v>18830</v>
      </c>
      <c r="K9645" s="1" t="str">
        <f t="shared" si="598"/>
        <v>ㄓ</v>
      </c>
      <c r="L9645" s="1" t="str">
        <f t="shared" si="599"/>
        <v>ㄨ</v>
      </c>
      <c r="N9645" s="3" t="s">
        <v>30575</v>
      </c>
      <c r="O9645" s="3"/>
      <c r="P9645" s="1" t="s">
        <v>20</v>
      </c>
      <c r="R9645" s="1" t="s">
        <v>18831</v>
      </c>
      <c r="V9645" s="1" t="s">
        <v>18854</v>
      </c>
      <c r="AR9645" s="1" t="str">
        <f t="shared" si="600"/>
        <v>| [ㄓㄨˊ](ㄓㄨˊ.md) | [燭](燭.md) |  | zhú | [名]
1.火炬。《禮記．曲禮上》：「燭不見跋。」唐．孔穎達．正義：「古者未有蠟燭，唯呼火炬為燭也。」
2.用蠟和油製成，可燃燒發光的條狀物體。如：「蠟燭」、「紅燭」、「洞房花燭」。
3.姓。如春秋時鄭國有燭之武。
[動]
1.照、照亮。如：「火光燭天」。《史記．卷八三．魯仲連鄒陽傳》：「名高天下而光燭鄰國。」
2.察明、察見。如：「洞燭奸計」。《漢書．卷八一．匡衡傳》：「君何疑而上書歸侯乞骸骨，是章朕之未燭也。」 |</v>
      </c>
    </row>
    <row r="9646" spans="1:44" hidden="1">
      <c r="A9646" s="1" t="s">
        <v>18855</v>
      </c>
      <c r="C9646" s="1">
        <v>1</v>
      </c>
      <c r="D9646" s="1" t="str">
        <f>"07970"</f>
        <v>07970</v>
      </c>
      <c r="E9646" s="1" t="s">
        <v>679</v>
      </c>
      <c r="F9646" s="1">
        <v>19</v>
      </c>
      <c r="G9646" s="1">
        <v>13</v>
      </c>
      <c r="H9646" s="1">
        <v>0</v>
      </c>
      <c r="I9646" s="1" t="s">
        <v>18830</v>
      </c>
      <c r="K9646" s="1" t="str">
        <f t="shared" si="598"/>
        <v>ㄓ</v>
      </c>
      <c r="L9646" s="1" t="str">
        <f t="shared" si="599"/>
        <v>ㄨ</v>
      </c>
      <c r="N9646" s="3" t="s">
        <v>30575</v>
      </c>
      <c r="O9646" s="3"/>
      <c r="P9646" s="1" t="s">
        <v>20</v>
      </c>
      <c r="R9646" s="1" t="s">
        <v>18831</v>
      </c>
      <c r="V9646" s="1" t="s">
        <v>18856</v>
      </c>
      <c r="AR9646" s="1" t="str">
        <f t="shared" si="600"/>
        <v>| [ㄓㄨˊ](ㄓㄨˊ.md) | [蠋](蠋.md) |  | zhú | [名]
蛾、蝶類的幼蟲。《詩經．豳風．東山》：「蜎蜎者蠋，烝在桑野。」漢．毛亨．傳：「蠋，桑蟲也。」 |</v>
      </c>
    </row>
    <row r="9647" spans="1:44" hidden="1">
      <c r="A9647" s="1" t="s">
        <v>18857</v>
      </c>
      <c r="C9647" s="1">
        <v>1</v>
      </c>
      <c r="D9647" s="1" t="str">
        <f>"07971"</f>
        <v>07971</v>
      </c>
      <c r="E9647" s="1" t="s">
        <v>77</v>
      </c>
      <c r="F9647" s="1">
        <v>20</v>
      </c>
      <c r="G9647" s="1">
        <v>13</v>
      </c>
      <c r="H9647" s="1">
        <v>0</v>
      </c>
      <c r="I9647" s="1" t="s">
        <v>18830</v>
      </c>
      <c r="K9647" s="1" t="str">
        <f t="shared" si="598"/>
        <v>ㄓ</v>
      </c>
      <c r="L9647" s="1" t="str">
        <f t="shared" si="599"/>
        <v>ㄨ</v>
      </c>
      <c r="N9647" s="3" t="s">
        <v>30575</v>
      </c>
      <c r="O9647" s="3"/>
      <c r="P9647" s="1" t="s">
        <v>20</v>
      </c>
      <c r="R9647" s="1" t="s">
        <v>18831</v>
      </c>
      <c r="V9647" s="1" t="s">
        <v>18858</v>
      </c>
      <c r="AR9647" s="1" t="str">
        <f t="shared" si="600"/>
        <v>| [ㄓㄨˊ](ㄓㄨˊ.md) | [躅](躅.md) |  | zhú | [名]
1.足跡、蹤跡。《漢書．卷一〇〇．敘傳上》：「伏周、孔之軌躅，馳顏、閔之極摯。」唐．丘丹〈經湛長史草堂〉詩：「偶尋野外寺，仰慕賢者躅。」
2.比喻前賢的行為、功績。宋．蘇軾〈送頓起〉詩：「岱宗已在眼，一往繼前躅。」
[動]
踩踏。《逸周書．卷九．太子晉解》：「師曠東躅其足，曰：『善哉善哉！』」
[形]
參見「躑躅」條。 |</v>
      </c>
    </row>
    <row r="9648" spans="1:44" hidden="1">
      <c r="A9648" s="1" t="s">
        <v>18859</v>
      </c>
      <c r="C9648" s="1">
        <v>1</v>
      </c>
      <c r="D9648" s="1" t="str">
        <f>"07972"</f>
        <v>07972</v>
      </c>
      <c r="E9648" s="1" t="s">
        <v>4517</v>
      </c>
      <c r="F9648" s="1">
        <v>25</v>
      </c>
      <c r="G9648" s="1">
        <v>21</v>
      </c>
      <c r="H9648" s="1">
        <v>0</v>
      </c>
      <c r="I9648" s="1" t="s">
        <v>18830</v>
      </c>
      <c r="K9648" s="1" t="str">
        <f t="shared" ref="K9648:K9711" si="601">LEFT(I9648, 1)</f>
        <v>ㄓ</v>
      </c>
      <c r="L9648" s="1" t="str">
        <f t="shared" ref="L9648:L9711" si="602">MID(I9648, 2, 1)</f>
        <v>ㄨ</v>
      </c>
      <c r="N9648" s="3" t="s">
        <v>30575</v>
      </c>
      <c r="O9648" s="3"/>
      <c r="P9648" s="1" t="s">
        <v>20</v>
      </c>
      <c r="R9648" s="1" t="s">
        <v>18831</v>
      </c>
      <c r="V9648" s="1" t="s">
        <v>18860</v>
      </c>
      <c r="AR9648" s="1" t="str">
        <f t="shared" si="600"/>
        <v>| [ㄓㄨˊ](ㄓㄨˊ.md) | [斸](斸.md) |  | zhú | [名]
鋤頭之類的農具。《國語．齊語》：「惡金以鑄鉏、夷、斤、斸，試諸壤土。」唐．韓愈〈鳳翔隴州節度使李公墓誌銘〉：「益市耕牛、鑄鎛、釤、鉏、斸，以給農之不能自具者。」
[動]
砍、斫。如：「斸稻」。 |</v>
      </c>
    </row>
    <row r="9649" spans="1:44" hidden="1">
      <c r="A9649" s="1" t="s">
        <v>18861</v>
      </c>
      <c r="C9649" s="1">
        <v>1</v>
      </c>
      <c r="D9649" s="1" t="str">
        <f>"07973"</f>
        <v>07973</v>
      </c>
      <c r="E9649" s="1" t="s">
        <v>4017</v>
      </c>
      <c r="F9649" s="1">
        <v>1</v>
      </c>
      <c r="G9649" s="1">
        <v>0</v>
      </c>
      <c r="H9649" s="1">
        <v>0</v>
      </c>
      <c r="I9649" s="1" t="s">
        <v>18862</v>
      </c>
      <c r="K9649" s="1" t="str">
        <f t="shared" si="601"/>
        <v>ㄓ</v>
      </c>
      <c r="L9649" s="1" t="str">
        <f t="shared" si="602"/>
        <v>ㄨ</v>
      </c>
      <c r="N9649" s="3" t="s">
        <v>30576</v>
      </c>
      <c r="O9649" s="3"/>
      <c r="P9649" s="1" t="s">
        <v>20</v>
      </c>
      <c r="R9649" s="1" t="s">
        <v>18863</v>
      </c>
      <c r="V9649" s="1" t="s">
        <v>18864</v>
      </c>
      <c r="AR9649" s="1" t="str">
        <f t="shared" si="600"/>
        <v>| [ㄓㄨˇ](ㄓㄨˇ.md) | [丶](丶.md) |  | zhǔ | [名]
1.讀書時斷句的符號。《說文解字．丶部》：「丶，有所絕止，丶而識之也。」清．段玉裁．注：「專謂讀書止輒乙其處也。」
2.二一四部首之一。 |</v>
      </c>
    </row>
    <row r="9650" spans="1:44" hidden="1">
      <c r="A9650" s="1" t="s">
        <v>18865</v>
      </c>
      <c r="C9650" s="1">
        <v>1</v>
      </c>
      <c r="D9650" s="1" t="str">
        <f>"07974"</f>
        <v>07974</v>
      </c>
      <c r="E9650" s="1" t="s">
        <v>4017</v>
      </c>
      <c r="F9650" s="1">
        <v>5</v>
      </c>
      <c r="G9650" s="1">
        <v>4</v>
      </c>
      <c r="H9650" s="1">
        <v>0</v>
      </c>
      <c r="I9650" s="1" t="s">
        <v>18862</v>
      </c>
      <c r="K9650" s="1" t="str">
        <f t="shared" si="601"/>
        <v>ㄓ</v>
      </c>
      <c r="L9650" s="1" t="str">
        <f t="shared" si="602"/>
        <v>ㄨ</v>
      </c>
      <c r="N9650" s="3" t="s">
        <v>30576</v>
      </c>
      <c r="O9650" s="3"/>
      <c r="P9650" s="1" t="s">
        <v>20</v>
      </c>
      <c r="R9650" s="1" t="s">
        <v>18863</v>
      </c>
      <c r="V9650" s="1" t="s">
        <v>18866</v>
      </c>
      <c r="AR9650" s="1" t="str">
        <f t="shared" si="600"/>
        <v>| [ㄓㄨˇ](ㄓㄨˇ.md) | [主](主.md) |  | zhǔ | [名]
1.賓客或奴僕的相對詞。如：「賓主」、「主僕」。
2.帝王。如：「君主」。《禮記．曲禮下》：「主佩倚，則臣佩垂。主佩垂，則臣佩委。」唐．杜甫〈入衡州〉詩：「報主身已老，入朝病見妨。」
3.領導者。如：「教主」、「一家之主」。《詩經．周頌．載殳》：「侯主侯伯，侯亞侯旅。」漢．毛亨．傳：「主，家長也。」
4.當事人。如：「苦主」、「失主」。
5.有物權或事權的人。如：「債主」、「地主」、「物歸原主」。
6.牌位。如：「木主」、「神主」。《周禮．春官．司巫》：「祭祀則共匰主。」
7.教徒稱呼其所信仰的神為「主」。
8.事物的根本。《易經．繫辭上》：「言行，君子之樞機；樞機之發，榮辱之主也。」《文選．曹丕．典論論文》：「文以氣為主。」
9.公主的簡稱。《後漢書．卷二六．宋弘傳》：「後弘被引見，帝令主坐屏風後。」《聊齋志異．卷九．雲蘿公主》：「駙馬當是俗間高手，主僅能讓六子。」
[動]
1.負責、主持。如：「主講」、「主辦」。
2.掌管、統治。《孟子．萬章上》：「使之主事而事治，百姓安之。」唐．韓愈〈原道〉：「入者主之，出者奴之。」
3.贊同。如：「主戰」、「主和」。《國語．周語中》：「是以不主寬惠，亦不主猛毅，主德義而已。」
4.持守。《論語．學而》：「主忠信，無友不如己者。」《文選．宋玉．招魂》：「主此盛德兮，牽於俗而蕪穢。」
5.預示。《三國演義》第六三回：「又觀乾象，太白臨于雒城之分：主將帥身上多凶少吉。」
[形]
1.主要的。如：「主將」、「主帥」。
2.自己的。如：「主觀」、「主見」。 |</v>
      </c>
    </row>
    <row r="9651" spans="1:44" hidden="1">
      <c r="A9651" s="1" t="s">
        <v>18867</v>
      </c>
      <c r="C9651" s="1">
        <v>1</v>
      </c>
      <c r="D9651" s="1" t="str">
        <f>"07975"</f>
        <v>07975</v>
      </c>
      <c r="E9651" s="1" t="s">
        <v>24</v>
      </c>
      <c r="F9651" s="1">
        <v>8</v>
      </c>
      <c r="G9651" s="1">
        <v>5</v>
      </c>
      <c r="H9651" s="1">
        <v>0</v>
      </c>
      <c r="I9651" s="1" t="s">
        <v>18862</v>
      </c>
      <c r="K9651" s="1" t="str">
        <f t="shared" si="601"/>
        <v>ㄓ</v>
      </c>
      <c r="L9651" s="1" t="str">
        <f t="shared" si="602"/>
        <v>ㄨ</v>
      </c>
      <c r="N9651" s="3" t="s">
        <v>30576</v>
      </c>
      <c r="O9651" s="3"/>
      <c r="P9651" s="1" t="s">
        <v>20</v>
      </c>
      <c r="R9651" s="1" t="s">
        <v>18863</v>
      </c>
      <c r="V9651" s="1" t="s">
        <v>18868</v>
      </c>
      <c r="AR9651" s="1" t="str">
        <f t="shared" si="600"/>
        <v>| [ㄓㄨˇ](ㄓㄨˇ.md) | [拄](拄.md) |  | zhǔ | [動]
1.支撐。如：「拄著枴杖」。《戰國策．齊策六》：「大冠若箕，脩劍拄頤。」
2.譏刺。《漢書．卷六七．朱雲傳》：「既論難，連拄五鹿君。」 |</v>
      </c>
    </row>
    <row r="9652" spans="1:44" hidden="1">
      <c r="A9652" s="1" t="s">
        <v>18869</v>
      </c>
      <c r="C9652" s="1">
        <v>1</v>
      </c>
      <c r="D9652" s="1" t="str">
        <f>"07976"</f>
        <v>07976</v>
      </c>
      <c r="E9652" s="1" t="s">
        <v>169</v>
      </c>
      <c r="F9652" s="1">
        <v>10</v>
      </c>
      <c r="G9652" s="1">
        <v>5</v>
      </c>
      <c r="H9652" s="1">
        <v>1</v>
      </c>
      <c r="I9652" s="1" t="s">
        <v>18862</v>
      </c>
      <c r="K9652" s="1" t="str">
        <f t="shared" si="601"/>
        <v>ㄓ</v>
      </c>
      <c r="L9652" s="1" t="str">
        <f t="shared" si="602"/>
        <v>ㄨ</v>
      </c>
      <c r="N9652" s="3" t="s">
        <v>30576</v>
      </c>
      <c r="O9652" s="3"/>
      <c r="P9652" s="1" t="s">
        <v>20</v>
      </c>
      <c r="R9652" s="1" t="s">
        <v>18863</v>
      </c>
      <c r="V9652" s="1" t="s">
        <v>18870</v>
      </c>
      <c r="W9652" s="1" t="s">
        <v>18871</v>
      </c>
      <c r="AR9652" s="1" t="str">
        <f t="shared" si="600"/>
        <v>| [ㄓㄨˇ](ㄓㄨˇ.md) | [砫](砫.md) |  | zhǔ | [名]
古代宗廟中安放神主的石室。《玉篇．石部》：「砫，石室。」 |</v>
      </c>
    </row>
    <row r="9653" spans="1:44" hidden="1">
      <c r="A9653" s="1" t="s">
        <v>18872</v>
      </c>
      <c r="C9653" s="1">
        <v>1</v>
      </c>
      <c r="D9653" s="1" t="str">
        <f>"07977"</f>
        <v>07977</v>
      </c>
      <c r="E9653" s="1" t="s">
        <v>1190</v>
      </c>
      <c r="F9653" s="1">
        <v>16</v>
      </c>
      <c r="G9653" s="1">
        <v>5</v>
      </c>
      <c r="H9653" s="1">
        <v>0</v>
      </c>
      <c r="I9653" s="1" t="s">
        <v>18862</v>
      </c>
      <c r="K9653" s="1" t="str">
        <f t="shared" si="601"/>
        <v>ㄓ</v>
      </c>
      <c r="L9653" s="1" t="str">
        <f t="shared" si="602"/>
        <v>ㄨ</v>
      </c>
      <c r="N9653" s="3" t="s">
        <v>30576</v>
      </c>
      <c r="O9653" s="3"/>
      <c r="P9653" s="1" t="s">
        <v>20</v>
      </c>
      <c r="R9653" s="1" t="s">
        <v>18863</v>
      </c>
      <c r="V9653" s="1" t="s">
        <v>18873</v>
      </c>
      <c r="AR9653" s="1" t="str">
        <f t="shared" si="600"/>
        <v>| [ㄓㄨˇ](ㄓㄨˇ.md) | [麈](麈.md) |  | zhǔ | [名]_x000D_
1.似鹿的大獸，其尾細長，可以拂塵土、驅蚊蟲。或以為今之麋鹿。《埤雅．卷三．釋獸．麈》：「麈，獸中似鹿而大，其尾辟塵。……《名苑》曰：『鹿之大者曰麈，群鹿隨之，皆視麈所往，麈尾所轉為準。』」_x000D_
2.駝鹿。古人以其頭似鹿，腳似牛，尾似驢，頸背似駱駝，稱為「四不像」。清．姚元之《竹葉亭雜記》卷八：「麈即今之四不像也，似鹿非鹿，似麅非麅。其角可為決，時所稱『堪達罕』也。此獸角根如掌，中如腐朽，色黯黑，以之為決。」清．徐珂《清稗類鈔．動物類．麈》：「麈，亦稱『駝鹿』，滿洲語謂之『堪達罕』，一作『堪達漢』，產於寧古塔、烏蘇里江等處之沮洳地。其頭類鹿，腳類牛，尾類驢，頸背類駱駝。而觀其全體，皆不完全相似，故俗稱『四不像』。角扁而闊，瑩潔如玉，中有黑理，鏤為決，勝象骨。大者重至千餘斤。」_x000D_
3.麈尾的簡稱。唐．盧照鄰〈行路難〉：「金貂有時換美酒，玉麈但搖莫計錢。」《紅樓夢》第三六回：「襲人坐在身旁，手做針線，旁邊放著一柄白犀麈。」 |</v>
      </c>
    </row>
    <row r="9654" spans="1:44" hidden="1">
      <c r="A9654" s="1" t="s">
        <v>18874</v>
      </c>
      <c r="C9654" s="1">
        <v>1</v>
      </c>
      <c r="D9654" s="1" t="str">
        <f>"07978"</f>
        <v>07978</v>
      </c>
      <c r="E9654" s="1" t="s">
        <v>139</v>
      </c>
      <c r="F9654" s="1">
        <v>8</v>
      </c>
      <c r="G9654" s="1">
        <v>4</v>
      </c>
      <c r="H9654" s="1">
        <v>2</v>
      </c>
      <c r="I9654" s="1" t="s">
        <v>18862</v>
      </c>
      <c r="K9654" s="1" t="str">
        <f t="shared" si="601"/>
        <v>ㄓ</v>
      </c>
      <c r="L9654" s="1" t="str">
        <f t="shared" si="602"/>
        <v>ㄨ</v>
      </c>
      <c r="N9654" s="3" t="s">
        <v>30576</v>
      </c>
      <c r="O9654" s="3"/>
      <c r="P9654" s="1" t="s">
        <v>20</v>
      </c>
      <c r="R9654" s="1" t="s">
        <v>18863</v>
      </c>
      <c r="V9654" s="1" t="s">
        <v>18875</v>
      </c>
      <c r="W9654" s="1" t="s">
        <v>18876</v>
      </c>
      <c r="AR9654" s="1" t="str">
        <f t="shared" si="600"/>
        <v>| [ㄓㄨˇ](ㄓㄨˇ.md) | [枓](枓.md) |  | zhǔ | [名]
一種盛水的器具。《禮記．喪大記》：「浴水用盆，沃水用枓。」《史記．卷四三．趙世家》：「使廚人操銅枓以食代王及從者，行斟，陰令宰人各以枓擊殺代王及從官，遂興兵平代地。」 |</v>
      </c>
    </row>
    <row r="9655" spans="1:44" hidden="1">
      <c r="A9655" s="1" t="s">
        <v>18877</v>
      </c>
      <c r="C9655" s="1">
        <v>1</v>
      </c>
      <c r="D9655" s="1" t="str">
        <f>"07979"</f>
        <v>07979</v>
      </c>
      <c r="E9655" s="1" t="s">
        <v>129</v>
      </c>
      <c r="F9655" s="1">
        <v>11</v>
      </c>
      <c r="G9655" s="1">
        <v>8</v>
      </c>
      <c r="H9655" s="1">
        <v>0</v>
      </c>
      <c r="I9655" s="1" t="s">
        <v>18862</v>
      </c>
      <c r="K9655" s="1" t="str">
        <f t="shared" si="601"/>
        <v>ㄓ</v>
      </c>
      <c r="L9655" s="1" t="str">
        <f t="shared" si="602"/>
        <v>ㄨ</v>
      </c>
      <c r="N9655" s="3" t="s">
        <v>30576</v>
      </c>
      <c r="O9655" s="3"/>
      <c r="P9655" s="1" t="s">
        <v>20</v>
      </c>
      <c r="R9655" s="1" t="s">
        <v>18863</v>
      </c>
      <c r="V9655" s="1" t="s">
        <v>18878</v>
      </c>
      <c r="AR9655" s="1" t="str">
        <f t="shared" si="600"/>
        <v>| [ㄓㄨˇ](ㄓㄨˇ.md) | [渚](渚.md) |  | zhǔ | [名]
小洲，水中的小陸地。《詩經．召南．江有汜》：「江有渚。」唐．王勃〈滕王閣序〉：「鶴汀鳧渚，窮島嶼之縈迴。」 |</v>
      </c>
    </row>
    <row r="9656" spans="1:44" hidden="1">
      <c r="A9656" s="1" t="s">
        <v>18879</v>
      </c>
      <c r="C9656" s="1">
        <v>1</v>
      </c>
      <c r="D9656" s="1" t="str">
        <f>"07980"</f>
        <v>07980</v>
      </c>
      <c r="E9656" s="1" t="s">
        <v>691</v>
      </c>
      <c r="F9656" s="1">
        <v>11</v>
      </c>
      <c r="G9656" s="1">
        <v>8</v>
      </c>
      <c r="H9656" s="1">
        <v>0</v>
      </c>
      <c r="I9656" s="1" t="s">
        <v>18862</v>
      </c>
      <c r="K9656" s="1" t="str">
        <f t="shared" si="601"/>
        <v>ㄓ</v>
      </c>
      <c r="L9656" s="1" t="str">
        <f t="shared" si="602"/>
        <v>ㄨ</v>
      </c>
      <c r="N9656" s="3" t="s">
        <v>30576</v>
      </c>
      <c r="O9656" s="3"/>
      <c r="P9656" s="1" t="s">
        <v>20</v>
      </c>
      <c r="R9656" s="1" t="s">
        <v>18863</v>
      </c>
      <c r="V9656" s="1" t="s">
        <v>18880</v>
      </c>
      <c r="AR9656" s="1" t="str">
        <f t="shared" si="600"/>
        <v>| [ㄓㄨˇ](ㄓㄨˇ.md) | [陼](陼.md) |  | zhǔ | 同「渚」。 |</v>
      </c>
    </row>
    <row r="9657" spans="1:44" hidden="1">
      <c r="A9657" s="1" t="s">
        <v>18881</v>
      </c>
      <c r="C9657" s="1">
        <v>1</v>
      </c>
      <c r="D9657" s="1" t="str">
        <f>"07981"</f>
        <v>07981</v>
      </c>
      <c r="E9657" s="1" t="s">
        <v>336</v>
      </c>
      <c r="F9657" s="1">
        <v>12</v>
      </c>
      <c r="G9657" s="1">
        <v>8</v>
      </c>
      <c r="H9657" s="1">
        <v>0</v>
      </c>
      <c r="I9657" s="1" t="s">
        <v>18862</v>
      </c>
      <c r="K9657" s="1" t="str">
        <f t="shared" si="601"/>
        <v>ㄓ</v>
      </c>
      <c r="L9657" s="1" t="str">
        <f t="shared" si="602"/>
        <v>ㄨ</v>
      </c>
      <c r="N9657" s="3" t="s">
        <v>30576</v>
      </c>
      <c r="O9657" s="3"/>
      <c r="P9657" s="1" t="s">
        <v>20</v>
      </c>
      <c r="R9657" s="1" t="s">
        <v>18863</v>
      </c>
      <c r="V9657" s="1" t="s">
        <v>18882</v>
      </c>
      <c r="AR9657" s="1" t="str">
        <f t="shared" si="600"/>
        <v>| [ㄓㄨˇ](ㄓㄨˇ.md) | [煮](煮.md) |  | zhǔ | [動]
一種烹飪方法，將食物放入水或湯加熱烹熟。如：「煮湯」、「燒菜煮飯」。 |</v>
      </c>
    </row>
    <row r="9658" spans="1:44" hidden="1">
      <c r="A9658" s="1" t="s">
        <v>18883</v>
      </c>
      <c r="C9658" s="1">
        <v>1</v>
      </c>
      <c r="D9658" s="1" t="str">
        <f>"07982"</f>
        <v>07982</v>
      </c>
      <c r="E9658" s="1" t="s">
        <v>505</v>
      </c>
      <c r="F9658" s="1">
        <v>12</v>
      </c>
      <c r="G9658" s="1">
        <v>5</v>
      </c>
      <c r="H9658" s="1">
        <v>0</v>
      </c>
      <c r="I9658" s="1" t="s">
        <v>18862</v>
      </c>
      <c r="K9658" s="1" t="str">
        <f t="shared" si="601"/>
        <v>ㄓ</v>
      </c>
      <c r="L9658" s="1" t="str">
        <f t="shared" si="602"/>
        <v>ㄨ</v>
      </c>
      <c r="N9658" s="3" t="s">
        <v>30576</v>
      </c>
      <c r="O9658" s="3"/>
      <c r="P9658" s="1" t="s">
        <v>20</v>
      </c>
      <c r="R9658" s="1" t="s">
        <v>18863</v>
      </c>
      <c r="V9658" s="1" t="s">
        <v>18884</v>
      </c>
      <c r="AR9658" s="1" t="str">
        <f t="shared" si="600"/>
        <v>| [ㄓㄨˇ](ㄓㄨˇ.md) | [貯](貯.md) |  | zhǔ | [動]
積藏、儲蓄。《廣韻．上聲．語韻》：「貯，居也、積也。」如：「貯藏」、「貯存」。《呂氏春秋．先識覽．樂成》：「我有衣冠，而子產貯之。」宋．陸游〈冬夜讀書〉詩：「茆屋三四間，充棟貯經史。」 |</v>
      </c>
    </row>
    <row r="9659" spans="1:44" hidden="1">
      <c r="A9659" s="1" t="s">
        <v>18885</v>
      </c>
      <c r="C9659" s="1">
        <v>1</v>
      </c>
      <c r="D9659" s="1" t="str">
        <f>"07983"</f>
        <v>07983</v>
      </c>
      <c r="E9659" s="1" t="s">
        <v>871</v>
      </c>
      <c r="F9659" s="1">
        <v>21</v>
      </c>
      <c r="G9659" s="1">
        <v>18</v>
      </c>
      <c r="H9659" s="1">
        <v>2</v>
      </c>
      <c r="I9659" s="1" t="s">
        <v>18862</v>
      </c>
      <c r="K9659" s="1" t="str">
        <f t="shared" si="601"/>
        <v>ㄓ</v>
      </c>
      <c r="L9659" s="1" t="str">
        <f t="shared" si="602"/>
        <v>ㄨ</v>
      </c>
      <c r="N9659" s="3" t="s">
        <v>30576</v>
      </c>
      <c r="O9659" s="3"/>
      <c r="P9659" s="1" t="s">
        <v>20</v>
      </c>
      <c r="R9659" s="1" t="s">
        <v>18863</v>
      </c>
      <c r="V9659" s="1" t="s">
        <v>18886</v>
      </c>
      <c r="W9659" s="1" t="s">
        <v>18887</v>
      </c>
      <c r="AR9659" s="1" t="str">
        <f t="shared" si="600"/>
        <v>| [ㄓㄨˇ](ㄓㄨˇ.md) | [屬](屬.md) |  | zhǔ | [動]
1.連接。《書經．禹貢》：「涇屬渭汭。」
2.跟隨。《史記．卷七．項羽本紀》：「項王渡淮，騎能屬者百餘人耳。」
3.會聚、聚集。《左傳．哀公十三年》：「彌庸不可，屬徒五千，王子地助之。」
4.綴輯、寫作。《史記．卷八四．屈原賈生傳》：「懷王使屈原造為憲令，屈平屬草稿未定。」《漢書．卷四八．賈誼傳》：「以能誦詩書屬文稱於郡中。」
5.託付。同「囑」。《左傳．隱公三年》：「宋穆公疾，召大司馬孔父而屬殤公焉。」《漢書．卷四〇．張良傳》：「漢王之將獨韓信可屬大事、當一面。」
[副]
方才、適才。《史記．卷五五．留侯世家》：「天下屬安定，何故反乎？」 |</v>
      </c>
    </row>
    <row r="9660" spans="1:44" hidden="1">
      <c r="A9660" s="1" t="s">
        <v>18888</v>
      </c>
      <c r="C9660" s="1">
        <v>1</v>
      </c>
      <c r="D9660" s="1" t="str">
        <f>"07984"</f>
        <v>07984</v>
      </c>
      <c r="E9660" s="1" t="s">
        <v>28</v>
      </c>
      <c r="F9660" s="1">
        <v>24</v>
      </c>
      <c r="G9660" s="1">
        <v>21</v>
      </c>
      <c r="H9660" s="1">
        <v>0</v>
      </c>
      <c r="I9660" s="1" t="s">
        <v>18862</v>
      </c>
      <c r="K9660" s="1" t="str">
        <f t="shared" si="601"/>
        <v>ㄓ</v>
      </c>
      <c r="L9660" s="1" t="str">
        <f t="shared" si="602"/>
        <v>ㄨ</v>
      </c>
      <c r="N9660" s="3" t="s">
        <v>30576</v>
      </c>
      <c r="O9660" s="3"/>
      <c r="P9660" s="1" t="s">
        <v>20</v>
      </c>
      <c r="R9660" s="1" t="s">
        <v>18863</v>
      </c>
      <c r="V9660" s="1" t="s">
        <v>18889</v>
      </c>
      <c r="AR9660" s="1" t="str">
        <f t="shared" si="600"/>
        <v>| [ㄓㄨˇ](ㄓㄨˇ.md) | [囑](囑.md) |  | zhǔ | [動]
叮嚀、託付。如：「叮囑」、「囑咐」。唐．王維〈伊州歌〉：「征人去日慇懃囑，歸雁來時數附書。」 |</v>
      </c>
    </row>
    <row r="9661" spans="1:44" hidden="1">
      <c r="A9661" s="1" t="s">
        <v>18890</v>
      </c>
      <c r="C9661" s="1">
        <v>1</v>
      </c>
      <c r="D9661" s="1" t="str">
        <f>"07985"</f>
        <v>07985</v>
      </c>
      <c r="E9661" s="1" t="s">
        <v>1015</v>
      </c>
      <c r="F9661" s="1">
        <v>26</v>
      </c>
      <c r="G9661" s="1">
        <v>21</v>
      </c>
      <c r="H9661" s="1">
        <v>0</v>
      </c>
      <c r="I9661" s="1" t="s">
        <v>18862</v>
      </c>
      <c r="K9661" s="1" t="str">
        <f t="shared" si="601"/>
        <v>ㄓ</v>
      </c>
      <c r="L9661" s="1" t="str">
        <f t="shared" si="602"/>
        <v>ㄨ</v>
      </c>
      <c r="N9661" s="3" t="s">
        <v>30576</v>
      </c>
      <c r="O9661" s="3"/>
      <c r="P9661" s="1" t="s">
        <v>20</v>
      </c>
      <c r="R9661" s="1" t="s">
        <v>18863</v>
      </c>
      <c r="V9661" s="1" t="s">
        <v>18891</v>
      </c>
      <c r="AR9661" s="1" t="str">
        <f t="shared" si="600"/>
        <v>| [ㄓㄨˇ](ㄓㄨˇ.md) | [矚](矚.md) |  | zhǔ | [動]
注視。如：「高瞻遠矚」。《浮生六記．卷一．閨房記樂》：「就窗細矚，波明如鏡，不見一物。」 |</v>
      </c>
    </row>
    <row r="9662" spans="1:44" hidden="1">
      <c r="A9662" s="1" t="s">
        <v>12968</v>
      </c>
      <c r="C9662" s="1">
        <v>1</v>
      </c>
      <c r="D9662" s="1" t="str">
        <f>"08156"</f>
        <v>08156</v>
      </c>
      <c r="E9662" s="1" t="s">
        <v>28</v>
      </c>
      <c r="F9662" s="1">
        <v>6</v>
      </c>
      <c r="G9662" s="1">
        <v>3</v>
      </c>
      <c r="H9662" s="1">
        <v>1</v>
      </c>
      <c r="I9662" s="1" t="s">
        <v>19296</v>
      </c>
      <c r="K9662" s="1" t="str">
        <f t="shared" si="601"/>
        <v>ㄔ</v>
      </c>
      <c r="L9662" s="1" t="str">
        <f t="shared" si="602"/>
        <v/>
      </c>
      <c r="M9662" s="1" t="str">
        <f t="shared" ref="M9662:M9725" si="603">MID(I9662, 3, 1)</f>
        <v/>
      </c>
      <c r="P9662" s="1" t="s">
        <v>20</v>
      </c>
      <c r="R9662" s="1" t="s">
        <v>19297</v>
      </c>
      <c r="V9662" s="1" t="s">
        <v>19298</v>
      </c>
      <c r="W9662" s="1" t="s">
        <v>19299</v>
      </c>
      <c r="AR9662" s="1" t="str">
        <f t="shared" si="600"/>
        <v>| [ㄔ](ㄔ.md) | [吃](吃.md) |  | chī | [動]
1.口中咀嚼食物後嚥下。有時吸、飲液體也稱為「吃」。如：「吃飯」、「吃茶」、「吃藥」。
2.吸入、吸收。如：「吃煙」、「吃墨」。
3.下棋、玩牌時奪取對方的棋子或牌張。如：「抽車吃炮」、「吃掉老Ｋ」。
4.吞沒。如：「這貪官不知吃了多少民脂民膏！」、「我的儲蓄全給他吃了！」
5.沉入。用來說明船舶下沉於水面下程度的用語。如：「這船吃水多深？」
6.擔負。如：「吃重」、「吃不住」、「吃不消」。
7.捱、受。如：「吃驚」、「吃虧」、「吃官司」、「吃得苦中苦，方為人上人。」
8.理會、接納。如：「他軟硬不吃！」、「誰吃這一套！」
9.耗費。如：「吃力」。 |</v>
      </c>
    </row>
    <row r="9663" spans="1:44" hidden="1">
      <c r="A9663" s="1" t="s">
        <v>19300</v>
      </c>
      <c r="C9663" s="1">
        <v>1</v>
      </c>
      <c r="D9663" s="1" t="str">
        <f>"08157"</f>
        <v>08157</v>
      </c>
      <c r="E9663" s="1" t="s">
        <v>139</v>
      </c>
      <c r="F9663" s="1">
        <v>7</v>
      </c>
      <c r="G9663" s="1">
        <v>3</v>
      </c>
      <c r="H9663" s="1">
        <v>0</v>
      </c>
      <c r="I9663" s="1" t="s">
        <v>19296</v>
      </c>
      <c r="K9663" s="1" t="str">
        <f t="shared" si="601"/>
        <v>ㄔ</v>
      </c>
      <c r="L9663" s="1" t="str">
        <f t="shared" si="602"/>
        <v/>
      </c>
      <c r="M9663" s="1" t="str">
        <f t="shared" si="603"/>
        <v/>
      </c>
      <c r="P9663" s="1" t="s">
        <v>20</v>
      </c>
      <c r="R9663" s="1" t="s">
        <v>19297</v>
      </c>
      <c r="V9663" s="1" t="s">
        <v>19301</v>
      </c>
      <c r="AR9663" s="1" t="str">
        <f t="shared" si="600"/>
        <v>| [ㄔ](ㄔ.md) | [杘](杘.md) |  | chī | 參見「墨杘」條。 |</v>
      </c>
    </row>
    <row r="9664" spans="1:44" hidden="1">
      <c r="A9664" s="1" t="s">
        <v>19302</v>
      </c>
      <c r="C9664" s="1">
        <v>1</v>
      </c>
      <c r="D9664" s="1" t="str">
        <f>"08158"</f>
        <v>08158</v>
      </c>
      <c r="E9664" s="1" t="s">
        <v>28</v>
      </c>
      <c r="F9664" s="1">
        <v>10</v>
      </c>
      <c r="G9664" s="1">
        <v>7</v>
      </c>
      <c r="H9664" s="1">
        <v>0</v>
      </c>
      <c r="I9664" s="1" t="s">
        <v>19296</v>
      </c>
      <c r="K9664" s="1" t="str">
        <f t="shared" si="601"/>
        <v>ㄔ</v>
      </c>
      <c r="L9664" s="1" t="str">
        <f t="shared" si="602"/>
        <v/>
      </c>
      <c r="M9664" s="1" t="str">
        <f t="shared" si="603"/>
        <v/>
      </c>
      <c r="P9664" s="1" t="s">
        <v>20</v>
      </c>
      <c r="R9664" s="1" t="s">
        <v>19297</v>
      </c>
      <c r="V9664" s="1" t="s">
        <v>2505</v>
      </c>
      <c r="AR9664" s="1" t="str">
        <f t="shared" si="600"/>
        <v>| [ㄔ](ㄔ.md) | [哧](哧.md) |  | chī | 參見「噗哧」條。 |</v>
      </c>
    </row>
    <row r="9665" spans="1:44" hidden="1">
      <c r="A9665" s="1" t="s">
        <v>19303</v>
      </c>
      <c r="C9665" s="1">
        <v>1</v>
      </c>
      <c r="D9665" s="1" t="str">
        <f>"08159"</f>
        <v>08159</v>
      </c>
      <c r="E9665" s="1" t="s">
        <v>256</v>
      </c>
      <c r="F9665" s="1">
        <v>10</v>
      </c>
      <c r="G9665" s="1">
        <v>7</v>
      </c>
      <c r="H9665" s="1">
        <v>0</v>
      </c>
      <c r="I9665" s="1" t="s">
        <v>19296</v>
      </c>
      <c r="K9665" s="1" t="str">
        <f t="shared" si="601"/>
        <v>ㄔ</v>
      </c>
      <c r="L9665" s="1" t="str">
        <f t="shared" si="602"/>
        <v/>
      </c>
      <c r="M9665" s="1" t="str">
        <f t="shared" si="603"/>
        <v/>
      </c>
      <c r="P9665" s="1" t="s">
        <v>20</v>
      </c>
      <c r="R9665" s="1" t="s">
        <v>19297</v>
      </c>
      <c r="V9665" s="1" t="s">
        <v>19304</v>
      </c>
      <c r="AR9665" s="1" t="str">
        <f t="shared" si="600"/>
        <v>| [ㄔ](ㄔ.md) | [郗](郗.md) |  | chī | [名]
1.地名。周朝的屬地，位於今大陸地區河南省沁陽縣境內。
2.姓。如漢代有郗慮。 |</v>
      </c>
    </row>
    <row r="9666" spans="1:44" hidden="1">
      <c r="A9666" s="1" t="s">
        <v>19305</v>
      </c>
      <c r="C9666" s="1">
        <v>1</v>
      </c>
      <c r="D9666" s="1" t="str">
        <f>"08160"</f>
        <v>08160</v>
      </c>
      <c r="E9666" s="1" t="s">
        <v>1824</v>
      </c>
      <c r="F9666" s="1">
        <v>12</v>
      </c>
      <c r="G9666" s="1">
        <v>7</v>
      </c>
      <c r="H9666" s="1">
        <v>0</v>
      </c>
      <c r="I9666" s="1" t="s">
        <v>19296</v>
      </c>
      <c r="K9666" s="1" t="str">
        <f t="shared" si="601"/>
        <v>ㄔ</v>
      </c>
      <c r="L9666" s="1" t="str">
        <f t="shared" si="602"/>
        <v/>
      </c>
      <c r="M9666" s="1" t="str">
        <f t="shared" si="603"/>
        <v/>
      </c>
      <c r="P9666" s="1" t="s">
        <v>20</v>
      </c>
      <c r="R9666" s="1" t="s">
        <v>19297</v>
      </c>
      <c r="V9666" s="1" t="s">
        <v>19306</v>
      </c>
      <c r="AR9666" s="1" t="str">
        <f t="shared" si="600"/>
        <v>| [ㄔ](ㄔ.md) | [瓻](瓻.md) |  | chī | [名]
1.盛酒的器具。《廣韻．平聲．脂韻》：「瓻，酒器，大者一石，小者五斗。」
2.量詞。計算瓻器容裝物的單位。《聊齋志異．卷一．賈兒》：「明日可取白酒一瓻來。」 |</v>
      </c>
    </row>
    <row r="9667" spans="1:44" hidden="1">
      <c r="A9667" s="1" t="s">
        <v>19307</v>
      </c>
      <c r="C9667" s="1">
        <v>1</v>
      </c>
      <c r="D9667" s="1" t="str">
        <f>"08161"</f>
        <v>08161</v>
      </c>
      <c r="E9667" s="1" t="s">
        <v>725</v>
      </c>
      <c r="F9667" s="1">
        <v>13</v>
      </c>
      <c r="G9667" s="1">
        <v>7</v>
      </c>
      <c r="H9667" s="1">
        <v>0</v>
      </c>
      <c r="I9667" s="1" t="s">
        <v>19296</v>
      </c>
      <c r="K9667" s="1" t="str">
        <f t="shared" si="601"/>
        <v>ㄔ</v>
      </c>
      <c r="L9667" s="1" t="str">
        <f t="shared" si="602"/>
        <v/>
      </c>
      <c r="M9667" s="1" t="str">
        <f t="shared" si="603"/>
        <v/>
      </c>
      <c r="P9667" s="1" t="s">
        <v>20</v>
      </c>
      <c r="R9667" s="1" t="s">
        <v>19297</v>
      </c>
      <c r="V9667" s="1" t="s">
        <v>19308</v>
      </c>
      <c r="AR9667" s="1" t="str">
        <f t="shared" ref="AR9667:AR9730" si="604">"| ["&amp;I9667&amp;"]("&amp;I9667&amp;".md) | ["&amp;A9667&amp;"]("&amp;A9667&amp;".md) | "&amp;" | "&amp;R9667&amp;" | "&amp;V9667&amp;" |"</f>
        <v>| [ㄔ](ㄔ.md) | [絺](絺.md) |  | chī | [名]
1.夏季服裝用的細布。《說文解字．糸部》：「絺，細葛也。」《詩經．周南．葛覃》：「為絺為綌，服之無斁。」
2.姓。如漢代有絺宗周。 |</v>
      </c>
    </row>
    <row r="9668" spans="1:44" hidden="1">
      <c r="A9668" s="1" t="s">
        <v>19309</v>
      </c>
      <c r="C9668" s="1">
        <v>1</v>
      </c>
      <c r="D9668" s="1" t="str">
        <f>"08162"</f>
        <v>08162</v>
      </c>
      <c r="E9668" s="1" t="s">
        <v>68</v>
      </c>
      <c r="F9668" s="1">
        <v>10</v>
      </c>
      <c r="G9668" s="1">
        <v>6</v>
      </c>
      <c r="H9668" s="1">
        <v>0</v>
      </c>
      <c r="I9668" s="1" t="s">
        <v>19296</v>
      </c>
      <c r="K9668" s="1" t="str">
        <f t="shared" si="601"/>
        <v>ㄔ</v>
      </c>
      <c r="L9668" s="1" t="str">
        <f t="shared" si="602"/>
        <v/>
      </c>
      <c r="M9668" s="1" t="str">
        <f t="shared" si="603"/>
        <v/>
      </c>
      <c r="P9668" s="1" t="s">
        <v>20</v>
      </c>
      <c r="R9668" s="1" t="s">
        <v>19297</v>
      </c>
      <c r="V9668" s="1" t="s">
        <v>19310</v>
      </c>
      <c r="AR9668" s="1" t="str">
        <f t="shared" si="604"/>
        <v>| [ㄔ](ㄔ.md) | [胵](胵.md) |  | chī | [名]
鳥獸的胃或內臟。《說文解字．肉部》：「胵，鳥膍胵也。……一曰胵，五藏總名也。」 |</v>
      </c>
    </row>
    <row r="9669" spans="1:44" hidden="1">
      <c r="A9669" s="1" t="s">
        <v>19311</v>
      </c>
      <c r="C9669" s="1">
        <v>1</v>
      </c>
      <c r="D9669" s="1" t="str">
        <f>"08163"</f>
        <v>08163</v>
      </c>
      <c r="E9669" s="1" t="s">
        <v>679</v>
      </c>
      <c r="F9669" s="1">
        <v>10</v>
      </c>
      <c r="G9669" s="1">
        <v>4</v>
      </c>
      <c r="H9669" s="1">
        <v>0</v>
      </c>
      <c r="I9669" s="1" t="s">
        <v>19296</v>
      </c>
      <c r="K9669" s="1" t="str">
        <f t="shared" si="601"/>
        <v>ㄔ</v>
      </c>
      <c r="L9669" s="1" t="str">
        <f t="shared" si="602"/>
        <v/>
      </c>
      <c r="M9669" s="1" t="str">
        <f t="shared" si="603"/>
        <v/>
      </c>
      <c r="P9669" s="1" t="s">
        <v>20</v>
      </c>
      <c r="R9669" s="1" t="s">
        <v>19297</v>
      </c>
      <c r="V9669" s="1" t="s">
        <v>19312</v>
      </c>
      <c r="AR9669" s="1" t="str">
        <f t="shared" si="604"/>
        <v>| [ㄔ](ㄔ.md) | [蚩](蚩.md) |  | chī | [名]
1.一種蟲。《說文解字．虫部》：「蚩，蟲也。」
2.姓。如古時有蚩尤。
[動]
1.嘲笑。通「嗤」。《文選．阮籍．詠懷詩一七首之一一》：「乃誤羨門子，噭噭今自蚩。」
2.欺侮。《文選．張衡．西京賦》：「鬻良雜苦，蚩眩邊鄙。」
[形]
1.無知、痴笨。《後漢書．卷一一．劉盆子傳》：「兒大黠，宗室無蚩者。」
2.醜惡。通「媸」。漢．趙壹〈刺世疾邪賦〉：「榮納由於閃榆，孰知辨其蚩妍？」 |</v>
      </c>
    </row>
    <row r="9670" spans="1:44" hidden="1">
      <c r="A9670" s="1" t="s">
        <v>19313</v>
      </c>
      <c r="C9670" s="1">
        <v>1</v>
      </c>
      <c r="D9670" s="1" t="str">
        <f>"08164"</f>
        <v>08164</v>
      </c>
      <c r="E9670" s="1" t="s">
        <v>28</v>
      </c>
      <c r="F9670" s="1">
        <v>13</v>
      </c>
      <c r="G9670" s="1">
        <v>10</v>
      </c>
      <c r="H9670" s="1">
        <v>0</v>
      </c>
      <c r="I9670" s="1" t="s">
        <v>19296</v>
      </c>
      <c r="K9670" s="1" t="str">
        <f t="shared" si="601"/>
        <v>ㄔ</v>
      </c>
      <c r="L9670" s="1" t="str">
        <f t="shared" si="602"/>
        <v/>
      </c>
      <c r="M9670" s="1" t="str">
        <f t="shared" si="603"/>
        <v/>
      </c>
      <c r="P9670" s="1" t="s">
        <v>20</v>
      </c>
      <c r="R9670" s="1" t="s">
        <v>19297</v>
      </c>
      <c r="V9670" s="1" t="s">
        <v>19314</v>
      </c>
      <c r="AR9670" s="1" t="str">
        <f t="shared" si="604"/>
        <v>| [ㄔ](ㄔ.md) | [嗤](嗤.md) |  | chī | [動]
譏笑。如：「嗤之以鼻」。《文選．古詩十九首．生年不滿百》：「愚者愛惜費，但為後世嗤。」
[擬]
1.形容笑的聲音。如：「嗤嗤的笑」。
2.形容撕紙的聲音。元．王實甫《西廂記．第三本．第一折》：「他可敢嗤嗤的扯做了紙條兒。」 |</v>
      </c>
    </row>
    <row r="9671" spans="1:44" hidden="1">
      <c r="A9671" s="1" t="s">
        <v>19315</v>
      </c>
      <c r="C9671" s="1">
        <v>1</v>
      </c>
      <c r="D9671" s="1" t="str">
        <f>"08165"</f>
        <v>08165</v>
      </c>
      <c r="E9671" s="1" t="s">
        <v>534</v>
      </c>
      <c r="F9671" s="1">
        <v>13</v>
      </c>
      <c r="G9671" s="1">
        <v>10</v>
      </c>
      <c r="H9671" s="1">
        <v>0</v>
      </c>
      <c r="I9671" s="1" t="s">
        <v>19296</v>
      </c>
      <c r="K9671" s="1" t="str">
        <f t="shared" si="601"/>
        <v>ㄔ</v>
      </c>
      <c r="L9671" s="1" t="str">
        <f t="shared" si="602"/>
        <v/>
      </c>
      <c r="M9671" s="1" t="str">
        <f t="shared" si="603"/>
        <v/>
      </c>
      <c r="P9671" s="1" t="s">
        <v>20</v>
      </c>
      <c r="R9671" s="1" t="s">
        <v>19297</v>
      </c>
      <c r="V9671" s="1" t="s">
        <v>19316</v>
      </c>
      <c r="AR9671" s="1" t="str">
        <f t="shared" si="604"/>
        <v>| [ㄔ](ㄔ.md) | [媸](媸.md) |  | chī | [形]
相貌醜陋。與「妍」相對。如：「求妍更媸」。 |</v>
      </c>
    </row>
    <row r="9672" spans="1:44" hidden="1">
      <c r="A9672" s="1" t="s">
        <v>19317</v>
      </c>
      <c r="C9672" s="1">
        <v>1</v>
      </c>
      <c r="D9672" s="1" t="str">
        <f>"08166"</f>
        <v>08166</v>
      </c>
      <c r="E9672" s="1" t="s">
        <v>1015</v>
      </c>
      <c r="F9672" s="1">
        <v>11</v>
      </c>
      <c r="G9672" s="1">
        <v>6</v>
      </c>
      <c r="H9672" s="1">
        <v>0</v>
      </c>
      <c r="I9672" s="1" t="s">
        <v>19296</v>
      </c>
      <c r="K9672" s="1" t="str">
        <f t="shared" si="601"/>
        <v>ㄔ</v>
      </c>
      <c r="L9672" s="1" t="str">
        <f t="shared" si="602"/>
        <v/>
      </c>
      <c r="M9672" s="1" t="str">
        <f t="shared" si="603"/>
        <v/>
      </c>
      <c r="P9672" s="1" t="s">
        <v>20</v>
      </c>
      <c r="R9672" s="1" t="s">
        <v>19297</v>
      </c>
      <c r="V9672" s="1" t="s">
        <v>19318</v>
      </c>
      <c r="AR9672" s="1" t="str">
        <f t="shared" si="604"/>
        <v>| [ㄔ](ㄔ.md) | [眵](眵.md) |  | chī | [名]
眼睛的分泌物。《廣韻．平聲．支韻》：「眵，目汁凝也。」元．康進之《李逵負荊》第三折：「似這般煩惱的無顛無倒，越惹你揉眵抹淚哭嚎啕。」俗稱為「眼屎」。 |</v>
      </c>
    </row>
    <row r="9673" spans="1:44" hidden="1">
      <c r="A9673" s="1" t="s">
        <v>19319</v>
      </c>
      <c r="C9673" s="1">
        <v>1</v>
      </c>
      <c r="D9673" s="1" t="str">
        <f>"08167"</f>
        <v>08167</v>
      </c>
      <c r="E9673" s="1" t="s">
        <v>49</v>
      </c>
      <c r="F9673" s="1">
        <v>11</v>
      </c>
      <c r="G9673" s="1">
        <v>5</v>
      </c>
      <c r="H9673" s="1">
        <v>0</v>
      </c>
      <c r="I9673" s="1" t="s">
        <v>19296</v>
      </c>
      <c r="K9673" s="1" t="str">
        <f t="shared" si="601"/>
        <v>ㄔ</v>
      </c>
      <c r="L9673" s="1" t="str">
        <f t="shared" si="602"/>
        <v/>
      </c>
      <c r="M9673" s="1" t="str">
        <f t="shared" si="603"/>
        <v/>
      </c>
      <c r="P9673" s="1" t="s">
        <v>20</v>
      </c>
      <c r="R9673" s="1" t="s">
        <v>19297</v>
      </c>
      <c r="V9673" s="1" t="s">
        <v>19320</v>
      </c>
      <c r="AR9673" s="1" t="str">
        <f t="shared" si="604"/>
        <v>| [ㄔ](ㄔ.md) | [笞](笞.md) |  | chī | [動]
用鞭或竹板打。如：「鞭笞」。《墨子．魯問》：「譬有人於此，其子強梁不材，故其父笞之。」
[名]
古代一種用竹板鞭打的刑罰。《新唐書．卷五六．刑法志》：「其用刑有五：一曰笞。笞之為言恥也；凡過之小者，捶撻以恥之。」 |</v>
      </c>
    </row>
    <row r="9674" spans="1:44" hidden="1">
      <c r="A9674" s="1" t="s">
        <v>19321</v>
      </c>
      <c r="C9674" s="1">
        <v>1</v>
      </c>
      <c r="D9674" s="1" t="str">
        <f>"08168"</f>
        <v>08168</v>
      </c>
      <c r="E9674" s="1" t="s">
        <v>28</v>
      </c>
      <c r="F9674" s="1">
        <v>12</v>
      </c>
      <c r="G9674" s="1">
        <v>9</v>
      </c>
      <c r="H9674" s="1">
        <v>0</v>
      </c>
      <c r="I9674" s="1" t="s">
        <v>19296</v>
      </c>
      <c r="K9674" s="1" t="str">
        <f t="shared" si="601"/>
        <v>ㄔ</v>
      </c>
      <c r="L9674" s="1" t="str">
        <f t="shared" si="602"/>
        <v/>
      </c>
      <c r="M9674" s="1" t="str">
        <f t="shared" si="603"/>
        <v/>
      </c>
      <c r="P9674" s="1" t="s">
        <v>20</v>
      </c>
      <c r="R9674" s="1" t="s">
        <v>19297</v>
      </c>
      <c r="V9674" s="1" t="s">
        <v>19322</v>
      </c>
      <c r="AR9674" s="1" t="str">
        <f t="shared" si="604"/>
        <v>| [ㄔ](ㄔ.md) | [喫](喫.md) |  | chī | [動]
1.飲、食。同「吃」。南朝宋．劉義慶《世說新語．任誕》：「友聞白羊肉美，一生未曾得喫。」唐．杜甫〈送李校書二十六韻〉：「臨岐意頗切，對酒不能喫。」
2.承受。同「吃」。如：「喫重」。元．關漢卿《五侯宴》第四折：「我那娘親在那里與人家擔水運漿，喫打喫罵，千辛萬苦。」 |</v>
      </c>
    </row>
    <row r="9675" spans="1:44" hidden="1">
      <c r="A9675" s="1" t="s">
        <v>19323</v>
      </c>
      <c r="C9675" s="1">
        <v>1</v>
      </c>
      <c r="D9675" s="1" t="str">
        <f>"08169"</f>
        <v>08169</v>
      </c>
      <c r="E9675" s="1" t="s">
        <v>40</v>
      </c>
      <c r="F9675" s="1">
        <v>13</v>
      </c>
      <c r="G9675" s="1">
        <v>8</v>
      </c>
      <c r="H9675" s="1">
        <v>1</v>
      </c>
      <c r="I9675" s="1" t="s">
        <v>19296</v>
      </c>
      <c r="K9675" s="1" t="str">
        <f t="shared" si="601"/>
        <v>ㄔ</v>
      </c>
      <c r="L9675" s="1" t="str">
        <f t="shared" si="602"/>
        <v/>
      </c>
      <c r="M9675" s="1" t="str">
        <f t="shared" si="603"/>
        <v/>
      </c>
      <c r="P9675" s="1" t="s">
        <v>20</v>
      </c>
      <c r="R9675" s="1" t="s">
        <v>19297</v>
      </c>
      <c r="V9675" s="1" t="s">
        <v>19324</v>
      </c>
      <c r="W9675" s="1" t="s">
        <v>19325</v>
      </c>
      <c r="AR9675" s="1" t="str">
        <f t="shared" si="604"/>
        <v>| [ㄔ](ㄔ.md) | [痴](痴.md) |  | chī | [形]
1.呆傻的。如：「痴呆」、「愚痴」、「痴人說夢」。
2.專情的。如：「痴心」、「痴情」。
[名]
指嗜好迷戀某種事物的人。如：「酒痴」、「情痴」、「書痴」。 |</v>
      </c>
    </row>
    <row r="9676" spans="1:44" hidden="1">
      <c r="A9676" s="1" t="s">
        <v>19326</v>
      </c>
      <c r="C9676" s="1">
        <v>1</v>
      </c>
      <c r="D9676" s="1" t="str">
        <f>"08170"</f>
        <v>08170</v>
      </c>
      <c r="E9676" s="1" t="s">
        <v>24</v>
      </c>
      <c r="F9676" s="1">
        <v>14</v>
      </c>
      <c r="G9676" s="1">
        <v>11</v>
      </c>
      <c r="H9676" s="1">
        <v>0</v>
      </c>
      <c r="I9676" s="1" t="s">
        <v>19296</v>
      </c>
      <c r="K9676" s="1" t="str">
        <f t="shared" si="601"/>
        <v>ㄔ</v>
      </c>
      <c r="L9676" s="1" t="str">
        <f t="shared" si="602"/>
        <v/>
      </c>
      <c r="M9676" s="1" t="str">
        <f t="shared" si="603"/>
        <v/>
      </c>
      <c r="P9676" s="1" t="s">
        <v>20</v>
      </c>
      <c r="R9676" s="1" t="s">
        <v>19297</v>
      </c>
      <c r="V9676" s="1" t="s">
        <v>19327</v>
      </c>
      <c r="AR9676" s="1" t="str">
        <f t="shared" si="604"/>
        <v>| [ㄔ](ㄔ.md) | [摛](摛.md) |  | chī | [動]
1.舒展。唐．許敬宗〈唐并州都督鄂國公尉遲恭碑〉：「鳳羽摛姿，龍媒騁逸。」
2.鋪敘。《文選．班固．答賓戲》：「雖馳辯如濤波，摛藻如春華。」唐．孫樵〈與王霖秀才書〉：「儲思必深，摛詞必高。」
3.傳播、傳揚。南朝梁．簡文帝〈神山寺碑〉：「此亦仙岫，英名遠摛。」 |</v>
      </c>
    </row>
    <row r="9677" spans="1:44" hidden="1">
      <c r="A9677" s="1" t="s">
        <v>19328</v>
      </c>
      <c r="C9677" s="1">
        <v>1</v>
      </c>
      <c r="D9677" s="1" t="str">
        <f>"08171"</f>
        <v>08171</v>
      </c>
      <c r="E9677" s="1" t="s">
        <v>679</v>
      </c>
      <c r="F9677" s="1">
        <v>17</v>
      </c>
      <c r="G9677" s="1">
        <v>11</v>
      </c>
      <c r="H9677" s="1">
        <v>0</v>
      </c>
      <c r="I9677" s="1" t="s">
        <v>19296</v>
      </c>
      <c r="K9677" s="1" t="str">
        <f t="shared" si="601"/>
        <v>ㄔ</v>
      </c>
      <c r="L9677" s="1" t="str">
        <f t="shared" si="602"/>
        <v/>
      </c>
      <c r="M9677" s="1" t="str">
        <f t="shared" si="603"/>
        <v/>
      </c>
      <c r="P9677" s="1" t="s">
        <v>20</v>
      </c>
      <c r="R9677" s="1" t="s">
        <v>19297</v>
      </c>
      <c r="V9677" s="1" t="s">
        <v>19329</v>
      </c>
      <c r="AR9677" s="1" t="str">
        <f t="shared" si="604"/>
        <v>| [ㄔ](ㄔ.md) | [螭](螭.md) |  | chī | [名]
中國古代傳說中的動物。外形似龍而無角。建築或工藝品上常用此形狀做為裝飾。《說文解字．虫部》：「螭，若龍而黃，北方謂之地螻……或云無角曰螭。」《楚辭．屈原．九歌．河伯》：「乘水車兮荷蓋，駕兩龍兮驂螭。」 |</v>
      </c>
    </row>
    <row r="9678" spans="1:44" hidden="1">
      <c r="A9678" s="1" t="s">
        <v>19330</v>
      </c>
      <c r="C9678" s="1">
        <v>1</v>
      </c>
      <c r="D9678" s="1" t="str">
        <f>"08172"</f>
        <v>08172</v>
      </c>
      <c r="E9678" s="1" t="s">
        <v>83</v>
      </c>
      <c r="F9678" s="1">
        <v>21</v>
      </c>
      <c r="G9678" s="1">
        <v>11</v>
      </c>
      <c r="H9678" s="1">
        <v>0</v>
      </c>
      <c r="I9678" s="1" t="s">
        <v>19296</v>
      </c>
      <c r="K9678" s="1" t="str">
        <f t="shared" si="601"/>
        <v>ㄔ</v>
      </c>
      <c r="L9678" s="1" t="str">
        <f t="shared" si="602"/>
        <v/>
      </c>
      <c r="M9678" s="1" t="str">
        <f t="shared" si="603"/>
        <v/>
      </c>
      <c r="P9678" s="1" t="s">
        <v>20</v>
      </c>
      <c r="R9678" s="1" t="s">
        <v>19297</v>
      </c>
      <c r="V9678" s="1" t="s">
        <v>19331</v>
      </c>
      <c r="AR9678" s="1" t="str">
        <f t="shared" si="604"/>
        <v>| [ㄔ](ㄔ.md) | [魑](魑.md) |  | chī | 參見「魑魅」條。 |</v>
      </c>
    </row>
    <row r="9679" spans="1:44" hidden="1">
      <c r="A9679" s="1" t="s">
        <v>19332</v>
      </c>
      <c r="C9679" s="1">
        <v>1</v>
      </c>
      <c r="D9679" s="1" t="str">
        <f>"08173"</f>
        <v>08173</v>
      </c>
      <c r="E9679" s="1" t="s">
        <v>7553</v>
      </c>
      <c r="F9679" s="1">
        <v>23</v>
      </c>
      <c r="G9679" s="1">
        <v>11</v>
      </c>
      <c r="H9679" s="1">
        <v>0</v>
      </c>
      <c r="I9679" s="1" t="s">
        <v>19296</v>
      </c>
      <c r="K9679" s="1" t="str">
        <f t="shared" si="601"/>
        <v>ㄔ</v>
      </c>
      <c r="L9679" s="1" t="str">
        <f t="shared" si="602"/>
        <v/>
      </c>
      <c r="M9679" s="1" t="str">
        <f t="shared" si="603"/>
        <v/>
      </c>
      <c r="P9679" s="1" t="s">
        <v>20</v>
      </c>
      <c r="R9679" s="1" t="s">
        <v>19297</v>
      </c>
      <c r="V9679" s="1" t="s">
        <v>19333</v>
      </c>
      <c r="AR9679" s="1" t="str">
        <f t="shared" si="604"/>
        <v>| [ㄔ](ㄔ.md) | [黐](黐.md) |  | chī | [形]
黏。清．王念孫《廣雅疏證．卷四上．釋詁四》：「黐，黏也。」 |</v>
      </c>
    </row>
    <row r="9680" spans="1:44" hidden="1">
      <c r="A9680" s="1" t="s">
        <v>19334</v>
      </c>
      <c r="C9680" s="1">
        <v>1</v>
      </c>
      <c r="D9680" s="1" t="str">
        <f>"08174"</f>
        <v>08174</v>
      </c>
      <c r="E9680" s="1" t="s">
        <v>272</v>
      </c>
      <c r="F9680" s="1">
        <v>16</v>
      </c>
      <c r="G9680" s="1">
        <v>5</v>
      </c>
      <c r="H9680" s="1">
        <v>0</v>
      </c>
      <c r="I9680" s="1" t="s">
        <v>19296</v>
      </c>
      <c r="K9680" s="1" t="str">
        <f t="shared" si="601"/>
        <v>ㄔ</v>
      </c>
      <c r="L9680" s="1" t="str">
        <f t="shared" si="602"/>
        <v/>
      </c>
      <c r="M9680" s="1" t="str">
        <f t="shared" si="603"/>
        <v/>
      </c>
      <c r="P9680" s="1" t="s">
        <v>20</v>
      </c>
      <c r="R9680" s="1" t="s">
        <v>19297</v>
      </c>
      <c r="V9680" s="1" t="s">
        <v>19335</v>
      </c>
      <c r="AR9680" s="1" t="str">
        <f t="shared" si="604"/>
        <v>| [ㄔ](ㄔ.md) | [鴟](鴟.md) |  | chī | [名]
1.參見「鴟梟」、「鴟鴞」等條。
2.一種盛酒的器具。宋．秦觀〈觀易元吉獐猿圖歌〉：「金錢百萬酒千鴟，荊南將軍欣得之。」 |</v>
      </c>
    </row>
    <row r="9681" spans="1:44" hidden="1">
      <c r="A9681" s="1" t="s">
        <v>19336</v>
      </c>
      <c r="C9681" s="1">
        <v>1</v>
      </c>
      <c r="D9681" s="1" t="str">
        <f>"08175"</f>
        <v>08175</v>
      </c>
      <c r="E9681" s="1" t="s">
        <v>592</v>
      </c>
      <c r="F9681" s="1">
        <v>25</v>
      </c>
      <c r="G9681" s="1">
        <v>10</v>
      </c>
      <c r="H9681" s="1">
        <v>0</v>
      </c>
      <c r="I9681" s="1" t="s">
        <v>19296</v>
      </c>
      <c r="K9681" s="1" t="str">
        <f t="shared" si="601"/>
        <v>ㄔ</v>
      </c>
      <c r="L9681" s="1" t="str">
        <f t="shared" si="602"/>
        <v/>
      </c>
      <c r="M9681" s="1" t="str">
        <f t="shared" si="603"/>
        <v/>
      </c>
      <c r="P9681" s="1" t="s">
        <v>20</v>
      </c>
      <c r="R9681" s="1" t="s">
        <v>19297</v>
      </c>
      <c r="V9681" s="1" t="s">
        <v>19337</v>
      </c>
      <c r="AR9681" s="1" t="str">
        <f t="shared" si="604"/>
        <v>| [ㄔ](ㄔ.md) | [齹](齹.md) |  | chī | [形]
牙齒參差不齊。《玉篇．齒部》：「齹，齒參差也。」 |</v>
      </c>
    </row>
    <row r="9682" spans="1:44" hidden="1">
      <c r="A9682" s="1" t="s">
        <v>19444</v>
      </c>
      <c r="C9682" s="1">
        <v>1</v>
      </c>
      <c r="D9682" s="1" t="str">
        <f>"08225"</f>
        <v>08225</v>
      </c>
      <c r="E9682" s="1" t="s">
        <v>1880</v>
      </c>
      <c r="F9682" s="1">
        <v>3</v>
      </c>
      <c r="G9682" s="1">
        <v>1</v>
      </c>
      <c r="H9682" s="1">
        <v>1</v>
      </c>
      <c r="I9682" s="1" t="s">
        <v>19445</v>
      </c>
      <c r="K9682" s="1" t="str">
        <f t="shared" si="601"/>
        <v>ㄔ</v>
      </c>
      <c r="L9682" s="1" t="str">
        <f t="shared" si="602"/>
        <v>ㄚ</v>
      </c>
      <c r="M9682" s="1" t="str">
        <f t="shared" si="603"/>
        <v/>
      </c>
      <c r="P9682" s="1" t="s">
        <v>20</v>
      </c>
      <c r="R9682" s="1" t="s">
        <v>19446</v>
      </c>
      <c r="V9682" s="1" t="s">
        <v>19447</v>
      </c>
      <c r="W9682" s="1" t="s">
        <v>19448</v>
      </c>
      <c r="AR9682" s="1" t="str">
        <f t="shared" si="604"/>
        <v>| [ㄔㄚ](ㄔㄚ.md) | [叉](叉.md) |  | chā | [動]
1.交錯。如：「雙手交叉」。
2.刺取、刺殺。如：「叉魚」。《後漢書．卷七九．儒林傳．楊政傳》：「旄頭又以戟叉政，傷胸，政猶不退。」
3.用手掐住人的脖子將人推開。如：「叉出門去」。元．王實甫《破窯記》第三折：「罵了我一場，叉出我門來了。」
[名]
1.一端有分歧的器物。如：「刀叉」、「魚叉」、「音叉」。
2.稱用以表示錯誤或作廢的「ㄨ」形符號。如：「錯誤的請打一個叉。」
[形]
分歧的。如：「叉路」。 |</v>
      </c>
    </row>
    <row r="9683" spans="1:44" hidden="1">
      <c r="A9683" s="1" t="s">
        <v>18053</v>
      </c>
      <c r="C9683" s="1">
        <v>1</v>
      </c>
      <c r="D9683" s="1" t="str">
        <f>"08226"</f>
        <v>08226</v>
      </c>
      <c r="E9683" s="1" t="s">
        <v>24</v>
      </c>
      <c r="F9683" s="1">
        <v>6</v>
      </c>
      <c r="G9683" s="1">
        <v>3</v>
      </c>
      <c r="H9683" s="1">
        <v>1</v>
      </c>
      <c r="I9683" s="1" t="s">
        <v>19445</v>
      </c>
      <c r="K9683" s="1" t="str">
        <f t="shared" si="601"/>
        <v>ㄔ</v>
      </c>
      <c r="L9683" s="1" t="str">
        <f t="shared" si="602"/>
        <v>ㄚ</v>
      </c>
      <c r="M9683" s="1" t="str">
        <f t="shared" si="603"/>
        <v/>
      </c>
      <c r="P9683" s="1" t="s">
        <v>20</v>
      </c>
      <c r="R9683" s="1" t="s">
        <v>19446</v>
      </c>
      <c r="V9683" s="1" t="s">
        <v>19449</v>
      </c>
      <c r="W9683" s="1" t="s">
        <v>19450</v>
      </c>
      <c r="AR9683" s="1" t="str">
        <f t="shared" si="604"/>
        <v>| [ㄔㄚ](ㄔㄚ.md) | [扠](扠.md) |  | chā | [名]
刺取魚鱉的工具。《周禮．天官．鱉人》「以時簎魚鱉龜蜃」句下鄭玄注引鄭眾曰：「簎，謂以扠刺泥中搏取之。」
[動]
1.挾取、刺取。如：「扠菜」、「扠魚」。
2.打、交手。《水滸傳》第二回：「我不信倒不如你，你敢和我扠一扠麼？」
3.交叉。《西遊記》第二回：「踏雲霞去勾有頓飯之時，返復不上三里遠近，落在面前，扠手道：『師父，這就是飛舉騰雲了。』」
4.以手支撐。如：「扠腰」。 |</v>
      </c>
    </row>
    <row r="9684" spans="1:44" hidden="1">
      <c r="A9684" s="1" t="s">
        <v>19451</v>
      </c>
      <c r="C9684" s="1">
        <v>1</v>
      </c>
      <c r="D9684" s="1" t="str">
        <f>"08227"</f>
        <v>08227</v>
      </c>
      <c r="E9684" s="1" t="s">
        <v>139</v>
      </c>
      <c r="F9684" s="1">
        <v>7</v>
      </c>
      <c r="G9684" s="1">
        <v>3</v>
      </c>
      <c r="H9684" s="1">
        <v>1</v>
      </c>
      <c r="I9684" s="1" t="s">
        <v>19445</v>
      </c>
      <c r="K9684" s="1" t="str">
        <f t="shared" si="601"/>
        <v>ㄔ</v>
      </c>
      <c r="L9684" s="1" t="str">
        <f t="shared" si="602"/>
        <v>ㄚ</v>
      </c>
      <c r="M9684" s="1" t="str">
        <f t="shared" si="603"/>
        <v/>
      </c>
      <c r="P9684" s="1" t="s">
        <v>186</v>
      </c>
      <c r="R9684" s="1" t="s">
        <v>19446</v>
      </c>
      <c r="V9684" s="1" t="s">
        <v>19452</v>
      </c>
      <c r="W9684" s="1" t="s">
        <v>19453</v>
      </c>
      <c r="AR9684" s="1" t="str">
        <f t="shared" si="604"/>
        <v>| [ㄔㄚ](ㄔㄚ.md) | [杈](杈.md) |  | chā | [名]
1.分叉、歧出的樹枝。《字彙．木部》：「杈，歧枝木也。」宋．陸游〈梨花〉詩：「常思南鄭清明路，醉袖迎風雪一杈。」
2.收取禾草的農具。如：「鐵杈」、「木杈」。明．徐光啟《農政全書．卷二二．農器．圖譜二》：「杈，箝禾具也。」
3.拒馬，阻攔人車通行的障礙物。宋．孟元老《東京夢華錄．卷二．御街》：「各安立黑漆杈子，路心又安朱漆杈子兩行。」 |</v>
      </c>
    </row>
    <row r="9685" spans="1:44" hidden="1">
      <c r="A9685" s="1" t="s">
        <v>19454</v>
      </c>
      <c r="C9685" s="1">
        <v>1</v>
      </c>
      <c r="D9685" s="1" t="str">
        <f>"08228"</f>
        <v>08228</v>
      </c>
      <c r="E9685" s="1" t="s">
        <v>13771</v>
      </c>
      <c r="F9685" s="1">
        <v>9</v>
      </c>
      <c r="G9685" s="1">
        <v>3</v>
      </c>
      <c r="H9685" s="1">
        <v>0</v>
      </c>
      <c r="I9685" s="1" t="s">
        <v>19445</v>
      </c>
      <c r="K9685" s="1" t="str">
        <f t="shared" si="601"/>
        <v>ㄔ</v>
      </c>
      <c r="L9685" s="1" t="str">
        <f t="shared" si="602"/>
        <v>ㄚ</v>
      </c>
      <c r="M9685" s="1" t="str">
        <f t="shared" si="603"/>
        <v/>
      </c>
      <c r="P9685" s="1" t="s">
        <v>20</v>
      </c>
      <c r="R9685" s="1" t="s">
        <v>19446</v>
      </c>
      <c r="V9685" s="1" t="s">
        <v>19455</v>
      </c>
      <c r="AR9685" s="1" t="str">
        <f t="shared" si="604"/>
        <v>| [ㄔㄚ](ㄔㄚ.md) | [臿](臿.md) |  | chā | [名]
挖土用的鐵鍬。同「鍤」。《韓非子．五蠹》：「禹之王天下也，身執耒臿以為民先。」
[動]
參雜、穿插。同「插」。《漢書．卷五七．司馬相如傳上》：「赤瑕駁犖，雜臿其間。」 |</v>
      </c>
    </row>
    <row r="9686" spans="1:44" hidden="1">
      <c r="A9686" s="1" t="s">
        <v>19456</v>
      </c>
      <c r="C9686" s="1">
        <v>1</v>
      </c>
      <c r="D9686" s="1" t="str">
        <f>"08229"</f>
        <v>08229</v>
      </c>
      <c r="E9686" s="1" t="s">
        <v>24</v>
      </c>
      <c r="F9686" s="1">
        <v>12</v>
      </c>
      <c r="G9686" s="1">
        <v>9</v>
      </c>
      <c r="H9686" s="1">
        <v>0</v>
      </c>
      <c r="I9686" s="1" t="s">
        <v>19445</v>
      </c>
      <c r="K9686" s="1" t="str">
        <f t="shared" si="601"/>
        <v>ㄔ</v>
      </c>
      <c r="L9686" s="1" t="str">
        <f t="shared" si="602"/>
        <v>ㄚ</v>
      </c>
      <c r="M9686" s="1" t="str">
        <f t="shared" si="603"/>
        <v/>
      </c>
      <c r="P9686" s="1" t="s">
        <v>20</v>
      </c>
      <c r="R9686" s="1" t="s">
        <v>19446</v>
      </c>
      <c r="V9686" s="1" t="s">
        <v>19457</v>
      </c>
      <c r="AR9686" s="1" t="str">
        <f t="shared" si="604"/>
        <v>| [ㄔㄚ](ㄔㄚ.md) | [插](插.md) |  | chā | [動]
1.刺入、扎入。如：「一根針插進我的手掌了。」
2.栽種。宋．陸游〈時雨〉詩：「時雨及芒種，四野皆插秧。」
3.放進、擺入。如：「插花」、「筆插入筆筒」。
4.參入其間。宋．陳造〈再次韻答許節推〉詩：「宦途要處難插手，詩社叢中常引頭。」 |</v>
      </c>
    </row>
    <row r="9687" spans="1:44" hidden="1">
      <c r="A9687" s="1" t="s">
        <v>19458</v>
      </c>
      <c r="C9687" s="1">
        <v>1</v>
      </c>
      <c r="D9687" s="1" t="str">
        <f>"08230"</f>
        <v>08230</v>
      </c>
      <c r="E9687" s="1" t="s">
        <v>10636</v>
      </c>
      <c r="F9687" s="1">
        <v>10</v>
      </c>
      <c r="G9687" s="1">
        <v>7</v>
      </c>
      <c r="H9687" s="1">
        <v>1</v>
      </c>
      <c r="I9687" s="1" t="s">
        <v>19445</v>
      </c>
      <c r="K9687" s="1" t="str">
        <f t="shared" si="601"/>
        <v>ㄔ</v>
      </c>
      <c r="L9687" s="1" t="str">
        <f t="shared" si="602"/>
        <v>ㄚ</v>
      </c>
      <c r="M9687" s="1" t="str">
        <f t="shared" si="603"/>
        <v/>
      </c>
      <c r="P9687" s="1" t="s">
        <v>20</v>
      </c>
      <c r="R9687" s="1" t="s">
        <v>19446</v>
      </c>
      <c r="V9687" s="1" t="s">
        <v>19459</v>
      </c>
      <c r="W9687" s="1" t="s">
        <v>19460</v>
      </c>
      <c r="AR9687" s="1" t="str">
        <f t="shared" si="604"/>
        <v>| [ㄔㄚ](ㄔㄚ.md) | [差](差.md) |  | chā | [名]
1.缺失、錯誤。如：「誤差」、「出差錯」。
2.區別、不同。《荀子．榮辱》：「故先王案為之制禮義以分之，使有貴賤之等，長幼之差，智愚能不能之分。」
3.數學上指兩數相減所得的數。如：「三減一的差是二。」
[動]
1.失誤、不當。《明史．卷二五一．徐光啟傳》：「臣聞曆久必差，宜及時修正。」
2.因比較而產生區別。如：「他們彼此的說法差異很大。」
[副]
尚、略、還。如：「差強人意」。 |</v>
      </c>
    </row>
    <row r="9688" spans="1:44" hidden="1">
      <c r="A9688" s="1" t="s">
        <v>19461</v>
      </c>
      <c r="C9688" s="1">
        <v>1</v>
      </c>
      <c r="D9688" s="1" t="str">
        <f>"08231"</f>
        <v>08231</v>
      </c>
      <c r="E9688" s="1" t="s">
        <v>181</v>
      </c>
      <c r="F9688" s="1">
        <v>16</v>
      </c>
      <c r="G9688" s="1">
        <v>10</v>
      </c>
      <c r="H9688" s="1">
        <v>0</v>
      </c>
      <c r="I9688" s="1" t="s">
        <v>19445</v>
      </c>
      <c r="K9688" s="1" t="str">
        <f t="shared" si="601"/>
        <v>ㄔ</v>
      </c>
      <c r="L9688" s="1" t="str">
        <f t="shared" si="602"/>
        <v>ㄚ</v>
      </c>
      <c r="M9688" s="1" t="str">
        <f t="shared" si="603"/>
        <v/>
      </c>
      <c r="P9688" s="1" t="s">
        <v>20</v>
      </c>
      <c r="R9688" s="1" t="s">
        <v>19446</v>
      </c>
      <c r="V9688" s="1" t="s">
        <v>19462</v>
      </c>
      <c r="AR9688" s="1" t="str">
        <f t="shared" si="604"/>
        <v>| [ㄔㄚ](ㄔㄚ.md) | [艖](艖.md) |  | chā | [名]
小船。唐．皮日休〈太湖詩．銷夏灣〉：「小艖或可汎，短策或可支。」《水滸傳》第六五回：「玉壓橋邊酒旆，銀鋪渡口魚艖。」 |</v>
      </c>
    </row>
    <row r="9689" spans="1:44" hidden="1">
      <c r="A9689" s="1" t="s">
        <v>17997</v>
      </c>
      <c r="C9689" s="1">
        <v>1</v>
      </c>
      <c r="D9689" s="1" t="str">
        <f>"08232"</f>
        <v>08232</v>
      </c>
      <c r="E9689" s="1" t="s">
        <v>28</v>
      </c>
      <c r="F9689" s="1">
        <v>12</v>
      </c>
      <c r="G9689" s="1">
        <v>9</v>
      </c>
      <c r="H9689" s="1">
        <v>2</v>
      </c>
      <c r="I9689" s="1" t="s">
        <v>19445</v>
      </c>
      <c r="K9689" s="1" t="str">
        <f t="shared" si="601"/>
        <v>ㄔ</v>
      </c>
      <c r="L9689" s="1" t="str">
        <f t="shared" si="602"/>
        <v>ㄚ</v>
      </c>
      <c r="M9689" s="1" t="str">
        <f t="shared" si="603"/>
        <v/>
      </c>
      <c r="P9689" s="1" t="s">
        <v>20</v>
      </c>
      <c r="R9689" s="1" t="s">
        <v>19446</v>
      </c>
      <c r="V9689" s="1" t="s">
        <v>19463</v>
      </c>
      <c r="W9689" s="1" t="s">
        <v>19464</v>
      </c>
      <c r="AR9689" s="1" t="str">
        <f t="shared" si="604"/>
        <v>| [ㄔㄚ](ㄔㄚ.md) | [喳](喳.md) |  | chā | 參見「喳喳」條。 |</v>
      </c>
    </row>
    <row r="9690" spans="1:44" hidden="1">
      <c r="A9690" s="1" t="s">
        <v>19465</v>
      </c>
      <c r="C9690" s="1">
        <v>1</v>
      </c>
      <c r="D9690" s="1" t="str">
        <f>"08233"</f>
        <v>08233</v>
      </c>
      <c r="E9690" s="1" t="s">
        <v>28</v>
      </c>
      <c r="F9690" s="1">
        <v>13</v>
      </c>
      <c r="G9690" s="1">
        <v>10</v>
      </c>
      <c r="H9690" s="1">
        <v>0</v>
      </c>
      <c r="I9690" s="1" t="s">
        <v>19445</v>
      </c>
      <c r="K9690" s="1" t="str">
        <f t="shared" si="601"/>
        <v>ㄔ</v>
      </c>
      <c r="L9690" s="1" t="str">
        <f t="shared" si="602"/>
        <v>ㄚ</v>
      </c>
      <c r="M9690" s="1" t="str">
        <f t="shared" si="603"/>
        <v/>
      </c>
      <c r="P9690" s="1" t="s">
        <v>20</v>
      </c>
      <c r="R9690" s="1" t="s">
        <v>19446</v>
      </c>
      <c r="V9690" s="1" t="s">
        <v>19466</v>
      </c>
      <c r="AR9690" s="1" t="str">
        <f t="shared" si="604"/>
        <v>| [ㄔㄚ](ㄔㄚ.md) | [嗏](嗏.md) |  | chā | [助]
語氣詞，無義。多置於句末。宋．辛棄疾〈南卿子．好個主人家〉詞：「好個主人家，不問因由便去嗏！」《董西廂》卷一：「被你風魔了人也嗏！風魔了人也嗏！」 |</v>
      </c>
    </row>
    <row r="9691" spans="1:44" hidden="1">
      <c r="A9691" s="1" t="s">
        <v>14356</v>
      </c>
      <c r="C9691" s="1">
        <v>1</v>
      </c>
      <c r="D9691" s="1" t="str">
        <f>"08259"</f>
        <v>08259</v>
      </c>
      <c r="E9691" s="1" t="s">
        <v>71</v>
      </c>
      <c r="F9691" s="1">
        <v>7</v>
      </c>
      <c r="G9691" s="1">
        <v>0</v>
      </c>
      <c r="H9691" s="1">
        <v>1</v>
      </c>
      <c r="I9691" s="1" t="s">
        <v>19525</v>
      </c>
      <c r="K9691" s="1" t="str">
        <f t="shared" si="601"/>
        <v>ㄔ</v>
      </c>
      <c r="L9691" s="1" t="str">
        <f t="shared" si="602"/>
        <v>ㄜ</v>
      </c>
      <c r="M9691" s="1" t="str">
        <f t="shared" si="603"/>
        <v/>
      </c>
      <c r="P9691" s="1" t="s">
        <v>388</v>
      </c>
      <c r="R9691" s="1" t="s">
        <v>19526</v>
      </c>
      <c r="V9691" s="1" t="s">
        <v>19527</v>
      </c>
      <c r="W9691" s="1" t="s">
        <v>19528</v>
      </c>
      <c r="AR9691" s="1" t="str">
        <f t="shared" si="604"/>
        <v>| [ㄔㄜ](ㄔㄜ.md) | [車](車.md) |  | chē | [名]
1.陸地上靠輪子轉動而運行的交通工具。如：「汽車」、「火車」。通稱為「車子」。
2.利用輪軸轉動的機械。如：「紡車」、「風車」、「水車」。
3.牙床。《左傳．僖公五年》：「輔車相依，脣亡齒寒。」晉．杜預．注：「輔，頰輔之車，牙車。」唐．孔穎達．正義：「牙車，牙下骨之名。」
4.量詞。計算車載物的單位。如：「一車砂石」。
5.姓。如漢代有車順。
6.二一四部首之一。
[動]
1.利用機器轉動來加以縫紉。如：「車布邊」、「車衣服」、「車鞋面」。
2.用機械將物品切削成圓形。如：「車圓」、「車碗」、「車玻璃」。
3.用水車將水引至高處。唐．段成式《酉陽雜俎．卷七．樂》：「車水竭池，窮池索之。」
4.用車搬運。如：「請把這堆垃圾車走。」 |</v>
      </c>
    </row>
    <row r="9692" spans="1:44" hidden="1">
      <c r="A9692" s="1" t="s">
        <v>19529</v>
      </c>
      <c r="C9692" s="1">
        <v>1</v>
      </c>
      <c r="D9692" s="1" t="str">
        <f>"08260"</f>
        <v>08260</v>
      </c>
      <c r="E9692" s="1" t="s">
        <v>28</v>
      </c>
      <c r="F9692" s="1">
        <v>10</v>
      </c>
      <c r="G9692" s="1">
        <v>7</v>
      </c>
      <c r="H9692" s="1">
        <v>0</v>
      </c>
      <c r="I9692" s="1" t="s">
        <v>19525</v>
      </c>
      <c r="K9692" s="1" t="str">
        <f t="shared" si="601"/>
        <v>ㄔ</v>
      </c>
      <c r="L9692" s="1" t="str">
        <f t="shared" si="602"/>
        <v>ㄜ</v>
      </c>
      <c r="M9692" s="1" t="str">
        <f t="shared" si="603"/>
        <v/>
      </c>
      <c r="P9692" s="1" t="s">
        <v>20</v>
      </c>
      <c r="R9692" s="1" t="s">
        <v>19526</v>
      </c>
      <c r="V9692" s="1" t="s">
        <v>18118</v>
      </c>
      <c r="AR9692" s="1" t="str">
        <f t="shared" si="604"/>
        <v>| [ㄔㄜ](ㄔㄜ.md) | [唓](唓.md) |  | chē | 參見「唓嗻」條。 |</v>
      </c>
    </row>
    <row r="9693" spans="1:44" hidden="1">
      <c r="A9693" s="1" t="s">
        <v>19530</v>
      </c>
      <c r="C9693" s="1">
        <v>1</v>
      </c>
      <c r="D9693" s="1" t="str">
        <f>"08261"</f>
        <v>08261</v>
      </c>
      <c r="E9693" s="1" t="s">
        <v>169</v>
      </c>
      <c r="F9693" s="1">
        <v>12</v>
      </c>
      <c r="G9693" s="1">
        <v>7</v>
      </c>
      <c r="H9693" s="1">
        <v>0</v>
      </c>
      <c r="I9693" s="1" t="s">
        <v>19525</v>
      </c>
      <c r="K9693" s="1" t="str">
        <f t="shared" si="601"/>
        <v>ㄔ</v>
      </c>
      <c r="L9693" s="1" t="str">
        <f t="shared" si="602"/>
        <v>ㄜ</v>
      </c>
      <c r="M9693" s="1" t="str">
        <f t="shared" si="603"/>
        <v/>
      </c>
      <c r="P9693" s="1" t="s">
        <v>20</v>
      </c>
      <c r="R9693" s="1" t="s">
        <v>19526</v>
      </c>
      <c r="V9693" s="1" t="s">
        <v>15838</v>
      </c>
      <c r="AR9693" s="1" t="str">
        <f t="shared" si="604"/>
        <v>| [ㄔㄜ](ㄔㄜ.md) | [硨](硨.md) |  | chē | 參見「硨磲」條。 |</v>
      </c>
    </row>
    <row r="9694" spans="1:44" hidden="1">
      <c r="A9694" s="1" t="s">
        <v>19531</v>
      </c>
      <c r="C9694" s="1">
        <v>1</v>
      </c>
      <c r="D9694" s="1" t="str">
        <f>"08262"</f>
        <v>08262</v>
      </c>
      <c r="E9694" s="1" t="s">
        <v>679</v>
      </c>
      <c r="F9694" s="1">
        <v>13</v>
      </c>
      <c r="G9694" s="1">
        <v>7</v>
      </c>
      <c r="H9694" s="1">
        <v>0</v>
      </c>
      <c r="I9694" s="1" t="s">
        <v>19525</v>
      </c>
      <c r="K9694" s="1" t="str">
        <f t="shared" si="601"/>
        <v>ㄔ</v>
      </c>
      <c r="L9694" s="1" t="str">
        <f t="shared" si="602"/>
        <v>ㄜ</v>
      </c>
      <c r="M9694" s="1" t="str">
        <f t="shared" si="603"/>
        <v/>
      </c>
      <c r="P9694" s="1" t="s">
        <v>20</v>
      </c>
      <c r="R9694" s="1" t="s">
        <v>19526</v>
      </c>
      <c r="V9694" s="1" t="s">
        <v>19532</v>
      </c>
      <c r="AR9694" s="1" t="str">
        <f t="shared" si="604"/>
        <v>| [ㄔㄜ](ㄔㄜ.md) | [蛼](蛼.md) |  | chē | [名]
蛼螯：蛤類。也作「車螯」。參見「車螯」條。 |</v>
      </c>
    </row>
    <row r="9695" spans="1:44" hidden="1">
      <c r="A9695" s="1" t="s">
        <v>19549</v>
      </c>
      <c r="C9695" s="1">
        <v>1</v>
      </c>
      <c r="D9695" s="1" t="str">
        <f>"08276"</f>
        <v>08276</v>
      </c>
      <c r="E9695" s="1" t="s">
        <v>24</v>
      </c>
      <c r="F9695" s="1">
        <v>8</v>
      </c>
      <c r="G9695" s="1">
        <v>5</v>
      </c>
      <c r="H9695" s="1">
        <v>1</v>
      </c>
      <c r="I9695" s="1" t="s">
        <v>19563</v>
      </c>
      <c r="K9695" s="1" t="str">
        <f t="shared" si="601"/>
        <v>ㄔ</v>
      </c>
      <c r="L9695" s="1" t="str">
        <f t="shared" si="602"/>
        <v>ㄞ</v>
      </c>
      <c r="M9695" s="1" t="str">
        <f t="shared" si="603"/>
        <v/>
      </c>
      <c r="P9695" s="1" t="s">
        <v>388</v>
      </c>
      <c r="R9695" s="1" t="s">
        <v>19564</v>
      </c>
      <c r="V9695" s="1" t="s">
        <v>19565</v>
      </c>
      <c r="W9695" s="1" t="s">
        <v>19566</v>
      </c>
      <c r="AR9695" s="1" t="str">
        <f t="shared" si="604"/>
        <v>| [ㄔㄞ](ㄔㄞ.md) | [拆](拆.md) |  | chāi | [動]
1.分開、打開。如：「拆信」、「拆卸機器」。唐．韓愈〈寄皇甫湜〉詩：「拆書放床頭，涕與淚垂四。」
2.裂開。元．無名氏《陳州糶米》第四折：「紫金鎚依然還在，也將來敲他腦袋。登時間肉拆血灑。」 |</v>
      </c>
    </row>
    <row r="9696" spans="1:44" hidden="1">
      <c r="A9696" s="1" t="s">
        <v>19458</v>
      </c>
      <c r="C9696" s="1">
        <v>1</v>
      </c>
      <c r="D9696" s="1" t="str">
        <f>"08277"</f>
        <v>08277</v>
      </c>
      <c r="E9696" s="1" t="s">
        <v>10636</v>
      </c>
      <c r="F9696" s="1">
        <v>10</v>
      </c>
      <c r="G9696" s="1">
        <v>7</v>
      </c>
      <c r="H9696" s="1">
        <v>3</v>
      </c>
      <c r="I9696" s="1" t="s">
        <v>19563</v>
      </c>
      <c r="K9696" s="1" t="str">
        <f t="shared" si="601"/>
        <v>ㄔ</v>
      </c>
      <c r="L9696" s="1" t="str">
        <f t="shared" si="602"/>
        <v>ㄞ</v>
      </c>
      <c r="M9696" s="1" t="str">
        <f t="shared" si="603"/>
        <v/>
      </c>
      <c r="P9696" s="1" t="s">
        <v>20</v>
      </c>
      <c r="R9696" s="1" t="s">
        <v>19564</v>
      </c>
      <c r="V9696" s="1" t="s">
        <v>19567</v>
      </c>
      <c r="W9696" s="1" t="s">
        <v>19568</v>
      </c>
      <c r="AR9696" s="1" t="str">
        <f t="shared" si="604"/>
        <v>| [ㄔㄞ](ㄔㄞ.md) | [差](差.md) |  | chāi | [動]
1.派遣。唐．元稹〈和李校書新題樂府．縛戎人〉：「邊頭大將差健卒，入抄禽生快於鶻。」《水滸傳》第五五回：「出師之日，我自差官來點視。」
2.選擇。《詩經．小雅．吉日》：「吉日庚午，既差我馬？」《文選．宋玉．高唐賦》：「王將欲往見，必先齋戒，差時擇日。」
[名]
1.受派遣去做事的人。如：「欽差」、「信差」。
2.被派遣去做的事。如：「公差」。《紅樓夢》第六〇回：「寶玉房中的丫鬟差輕人多。」 |</v>
      </c>
    </row>
    <row r="9697" spans="1:44" hidden="1">
      <c r="A9697" s="1" t="s">
        <v>19569</v>
      </c>
      <c r="C9697" s="1">
        <v>1</v>
      </c>
      <c r="D9697" s="1" t="str">
        <f>"08278"</f>
        <v>08278</v>
      </c>
      <c r="E9697" s="1" t="s">
        <v>55</v>
      </c>
      <c r="F9697" s="1">
        <v>11</v>
      </c>
      <c r="G9697" s="1">
        <v>3</v>
      </c>
      <c r="H9697" s="1">
        <v>0</v>
      </c>
      <c r="I9697" s="1" t="s">
        <v>19563</v>
      </c>
      <c r="K9697" s="1" t="str">
        <f t="shared" si="601"/>
        <v>ㄔ</v>
      </c>
      <c r="L9697" s="1" t="str">
        <f t="shared" si="602"/>
        <v>ㄞ</v>
      </c>
      <c r="M9697" s="1" t="str">
        <f t="shared" si="603"/>
        <v/>
      </c>
      <c r="P9697" s="1" t="s">
        <v>20</v>
      </c>
      <c r="R9697" s="1" t="s">
        <v>19564</v>
      </c>
      <c r="V9697" s="1" t="s">
        <v>19570</v>
      </c>
      <c r="AR9697" s="1" t="str">
        <f t="shared" si="604"/>
        <v>| [ㄔㄞ](ㄔㄞ.md) | [釵](釵.md) |  | chāi | [名]
舊時婦女頭上所戴的首飾。形似叉，以金玉製成。如：「金釵」、「玉釵」。《文選．曹植．美女篇》：「頭上金爵釵，腰佩翠琅玕。」 |</v>
      </c>
    </row>
    <row r="9698" spans="1:44" hidden="1">
      <c r="A9698" s="1" t="s">
        <v>19602</v>
      </c>
      <c r="C9698" s="1">
        <v>1</v>
      </c>
      <c r="D9698" s="1" t="str">
        <f>"08290"</f>
        <v>08290</v>
      </c>
      <c r="E9698" s="1" t="s">
        <v>24</v>
      </c>
      <c r="F9698" s="1">
        <v>7</v>
      </c>
      <c r="G9698" s="1">
        <v>4</v>
      </c>
      <c r="H9698" s="1">
        <v>0</v>
      </c>
      <c r="I9698" s="1" t="s">
        <v>19603</v>
      </c>
      <c r="K9698" s="1" t="str">
        <f t="shared" si="601"/>
        <v>ㄔ</v>
      </c>
      <c r="L9698" s="1" t="str">
        <f t="shared" si="602"/>
        <v>ㄠ</v>
      </c>
      <c r="M9698" s="1" t="str">
        <f t="shared" si="603"/>
        <v/>
      </c>
      <c r="P9698" s="1" t="s">
        <v>20</v>
      </c>
      <c r="R9698" s="1" t="s">
        <v>19604</v>
      </c>
      <c r="V9698" s="1" t="s">
        <v>19605</v>
      </c>
      <c r="AR9698" s="1" t="str">
        <f t="shared" si="604"/>
        <v>| [ㄔㄠ](ㄔㄠ.md) | [抄](抄.md) |  | chāo | [動]
1.攻擊、掠取。如：「包抄」。《後漢書．卷三一．郭伋傳》：「時匈奴數抄郡界，邊境苦之。」
2.以匙或手拿取東西。唐．杜甫〈與鄠縣源大少府宴渼陂〉詩：「飯抄雲子白，瓜嚼水精寒。」《西遊記》第七四回：「在那石崖上抄一把水，磨一磨。」
3.從側面或便捷的路過去。如：「抄捷徑」、「抄近路走」。
4.謄寫。如：「抄寫」。《水滸傳》第八五回：「教把眾頭領的姓名，都抄將來，盡數封他官爵。」
5.襲用、沿用。如：「這件事的情況特殊，處理方法應當不同，豈能照抄！」
6.扣押、沒收。《水滸傳》第二二回：「那時做押司的，但犯罪責，輕則刺配遠惡軍州，重則抄扎家產結果了殘生性命。」《文明小史》第四回：「難道大公祖不問皂白，就拿他凌遲碎剮，全門抄斬嗎？」
7.一種烹飪方法。把食物迅速在沸水中白煮一下，隨即撈起。此法北方人稱為「抄」，廣東人稱為「烚」。
[名]
1.古代的容積單位。十撮為一抄。後泛指少量、少許。元．康進之《李逵負荊》第一折：「與你一抄碎金子，與你做酒錢。」
2.姓。如明代有抄思。 |</v>
      </c>
    </row>
    <row r="9699" spans="1:44" hidden="1">
      <c r="A9699" s="1" t="s">
        <v>19606</v>
      </c>
      <c r="C9699" s="1">
        <v>1</v>
      </c>
      <c r="D9699" s="1" t="str">
        <f>"08291"</f>
        <v>08291</v>
      </c>
      <c r="E9699" s="1" t="s">
        <v>331</v>
      </c>
      <c r="F9699" s="1">
        <v>11</v>
      </c>
      <c r="G9699" s="1">
        <v>4</v>
      </c>
      <c r="H9699" s="1">
        <v>0</v>
      </c>
      <c r="I9699" s="1" t="s">
        <v>19603</v>
      </c>
      <c r="K9699" s="1" t="str">
        <f t="shared" si="601"/>
        <v>ㄔ</v>
      </c>
      <c r="L9699" s="1" t="str">
        <f t="shared" si="602"/>
        <v>ㄠ</v>
      </c>
      <c r="M9699" s="1" t="str">
        <f t="shared" si="603"/>
        <v/>
      </c>
      <c r="P9699" s="1" t="s">
        <v>20</v>
      </c>
      <c r="R9699" s="1" t="s">
        <v>19604</v>
      </c>
      <c r="V9699" s="1" t="s">
        <v>19607</v>
      </c>
      <c r="AR9699" s="1" t="str">
        <f t="shared" si="604"/>
        <v>| [ㄔㄠ](ㄔㄠ.md) | [訬](訬.md) |  | chāo | [形]
1.敏捷、矯健。《廣韻．平聲．肴韻》：「訬，健也。」《後漢書．卷六〇上．馬融傳》：「或輕訬趬悍，廋疏嶁領，犯歷嵩巒。」唐．章懷太子．注：「訬，輕捷也。」
2.輕佻、狡猾。《晉書．卷五九．趙王倫傳》：「荂淺薄鄙陋，馥、虞闇很強戾，詡愚嚚輕訬，而各乖異，互相憎毀。」 |</v>
      </c>
    </row>
    <row r="9700" spans="1:44" hidden="1">
      <c r="A9700" s="1" t="s">
        <v>19608</v>
      </c>
      <c r="C9700" s="1">
        <v>1</v>
      </c>
      <c r="D9700" s="1" t="str">
        <f>"08292"</f>
        <v>08292</v>
      </c>
      <c r="E9700" s="1" t="s">
        <v>55</v>
      </c>
      <c r="F9700" s="1">
        <v>12</v>
      </c>
      <c r="G9700" s="1">
        <v>4</v>
      </c>
      <c r="H9700" s="1">
        <v>1</v>
      </c>
      <c r="I9700" s="1" t="s">
        <v>19603</v>
      </c>
      <c r="K9700" s="1" t="str">
        <f t="shared" si="601"/>
        <v>ㄔ</v>
      </c>
      <c r="L9700" s="1" t="str">
        <f t="shared" si="602"/>
        <v>ㄠ</v>
      </c>
      <c r="M9700" s="1" t="str">
        <f t="shared" si="603"/>
        <v/>
      </c>
      <c r="P9700" s="1" t="s">
        <v>20</v>
      </c>
      <c r="R9700" s="1" t="s">
        <v>19604</v>
      </c>
      <c r="V9700" s="1" t="s">
        <v>19609</v>
      </c>
      <c r="W9700" s="1" t="s">
        <v>19610</v>
      </c>
      <c r="AR9700" s="1" t="str">
        <f t="shared" si="604"/>
        <v>| [ㄔㄠ](ㄔㄠ.md) | [鈔](鈔.md) |  | chāo | [名]
1.紙幣、錢財。如：「千元大鈔」、「讓你破鈔，真不好意思。」
2.文學作品等經過選錄而編成的書。如清代曾國藩編有經史百家雜鈔與十八家詩鈔二書。
3.姓。如明代有鈔秀。
[動]
1.掠取、掠奪。漢．王符《潛夫論．勸將》：「東寇趙、魏，西鈔蜀、漢。」《後漢書．卷七三．公孫瓚傳》：「剋會期日，攻鈔郡縣，此豈大臣所當施為？」
2.謄寫。《抱朴子．內篇．金丹》：「余今略鈔金丹之都，較以示後之同志。」 |</v>
      </c>
    </row>
    <row r="9701" spans="1:44" hidden="1">
      <c r="A9701" s="1" t="s">
        <v>19611</v>
      </c>
      <c r="C9701" s="1">
        <v>1</v>
      </c>
      <c r="D9701" s="1" t="str">
        <f>"08293"</f>
        <v>08293</v>
      </c>
      <c r="E9701" s="1" t="s">
        <v>250</v>
      </c>
      <c r="F9701" s="1">
        <v>8</v>
      </c>
      <c r="G9701" s="1">
        <v>5</v>
      </c>
      <c r="H9701" s="1">
        <v>0</v>
      </c>
      <c r="I9701" s="1" t="s">
        <v>19603</v>
      </c>
      <c r="K9701" s="1" t="str">
        <f t="shared" si="601"/>
        <v>ㄔ</v>
      </c>
      <c r="L9701" s="1" t="str">
        <f t="shared" si="602"/>
        <v>ㄠ</v>
      </c>
      <c r="M9701" s="1" t="str">
        <f t="shared" si="603"/>
        <v/>
      </c>
      <c r="P9701" s="1" t="s">
        <v>20</v>
      </c>
      <c r="R9701" s="1" t="s">
        <v>19604</v>
      </c>
      <c r="V9701" s="1" t="s">
        <v>19612</v>
      </c>
      <c r="AR9701" s="1" t="str">
        <f t="shared" si="604"/>
        <v>| [ㄔㄠ](ㄔㄠ.md) | [怊](怊.md) |  | chāo | [形]_x000D_
惆悵失意。《莊子．天地》：「怊乎若嬰兒之失其母。」_x000D_
[動]_x000D_
悲傷。《楚辭．屈原．九章．哀郢》：「發郢都而去閭兮，怊荒忽其焉極。」 |</v>
      </c>
    </row>
    <row r="9702" spans="1:44" hidden="1">
      <c r="A9702" s="1" t="s">
        <v>19613</v>
      </c>
      <c r="C9702" s="1">
        <v>1</v>
      </c>
      <c r="D9702" s="1" t="str">
        <f>"08294"</f>
        <v>08294</v>
      </c>
      <c r="E9702" s="1" t="s">
        <v>103</v>
      </c>
      <c r="F9702" s="1">
        <v>8</v>
      </c>
      <c r="G9702" s="1">
        <v>5</v>
      </c>
      <c r="H9702" s="1">
        <v>0</v>
      </c>
      <c r="I9702" s="1" t="s">
        <v>19603</v>
      </c>
      <c r="K9702" s="1" t="str">
        <f t="shared" si="601"/>
        <v>ㄔ</v>
      </c>
      <c r="L9702" s="1" t="str">
        <f t="shared" si="602"/>
        <v>ㄠ</v>
      </c>
      <c r="M9702" s="1" t="str">
        <f t="shared" si="603"/>
        <v/>
      </c>
      <c r="P9702" s="1" t="s">
        <v>20</v>
      </c>
      <c r="R9702" s="1" t="s">
        <v>19604</v>
      </c>
      <c r="V9702" s="1" t="s">
        <v>19614</v>
      </c>
      <c r="AR9702" s="1" t="str">
        <f t="shared" si="604"/>
        <v>| [ㄔㄠ](ㄔㄠ.md) | [弨](弨.md) |  | chāo | [形]
弓鬆弛的樣子。《詩經．小雅．彤弓》：「彤弓弨兮，受言藏之。」漢．毛亨．傳：「弨，弛貌。」
[名]
弓。唐．韓愈〈雪後寄崔二十六丞公〉詩：「腦脂遮眼臥壯士，大弨挂壁無由彎。」 |</v>
      </c>
    </row>
    <row r="9703" spans="1:44" hidden="1">
      <c r="A9703" s="1" t="s">
        <v>19615</v>
      </c>
      <c r="C9703" s="1">
        <v>1</v>
      </c>
      <c r="D9703" s="1" t="str">
        <f>"08295"</f>
        <v>08295</v>
      </c>
      <c r="E9703" s="1" t="s">
        <v>4563</v>
      </c>
      <c r="F9703" s="1">
        <v>12</v>
      </c>
      <c r="G9703" s="1">
        <v>5</v>
      </c>
      <c r="H9703" s="1">
        <v>0</v>
      </c>
      <c r="I9703" s="1" t="s">
        <v>19603</v>
      </c>
      <c r="K9703" s="1" t="str">
        <f t="shared" si="601"/>
        <v>ㄔ</v>
      </c>
      <c r="L9703" s="1" t="str">
        <f t="shared" si="602"/>
        <v>ㄠ</v>
      </c>
      <c r="M9703" s="1" t="str">
        <f t="shared" si="603"/>
        <v/>
      </c>
      <c r="P9703" s="1" t="s">
        <v>20</v>
      </c>
      <c r="R9703" s="1" t="s">
        <v>19604</v>
      </c>
      <c r="V9703" s="1" t="s">
        <v>19616</v>
      </c>
      <c r="AR9703" s="1" t="str">
        <f t="shared" si="604"/>
        <v>| [ㄔㄠ](ㄔㄠ.md) | [超](超.md) |  | chāo | [動]
1.跳上。《說文解字．走部》：「超，跳也。」《左傳．昭公元年》：「子南戎服入，左右射，超乘而出。」
2.越過。如：「超越巔峰」。《孟子．梁惠王上》：「挾太山以超北海。」
3.高出、多出。《韓非子．五蠹》：「超五帝，侔三王者，必此法也。」《後漢書．卷二八上．馮衍傳》：「顯忠貞之節，立超世之功。」
4.救度。如：「超度亡魂」。
[形]
遙遠。《楚辭．屈原．九歌．國殤》：「出不入兮往不反，平原忽兮路超遠。」 |</v>
      </c>
    </row>
    <row r="9704" spans="1:44" hidden="1">
      <c r="A9704" s="1" t="s">
        <v>13647</v>
      </c>
      <c r="C9704" s="1">
        <v>1</v>
      </c>
      <c r="D9704" s="1" t="str">
        <f>"08296"</f>
        <v>08296</v>
      </c>
      <c r="E9704" s="1" t="s">
        <v>245</v>
      </c>
      <c r="F9704" s="1">
        <v>13</v>
      </c>
      <c r="G9704" s="1">
        <v>11</v>
      </c>
      <c r="H9704" s="1">
        <v>2</v>
      </c>
      <c r="I9704" s="1" t="s">
        <v>19603</v>
      </c>
      <c r="K9704" s="1" t="str">
        <f t="shared" si="601"/>
        <v>ㄔ</v>
      </c>
      <c r="L9704" s="1" t="str">
        <f t="shared" si="602"/>
        <v>ㄠ</v>
      </c>
      <c r="M9704" s="1" t="str">
        <f t="shared" si="603"/>
        <v/>
      </c>
      <c r="P9704" s="1" t="s">
        <v>20</v>
      </c>
      <c r="R9704" s="1" t="s">
        <v>19604</v>
      </c>
      <c r="V9704" s="1" t="s">
        <v>19617</v>
      </c>
      <c r="W9704" s="1" t="s">
        <v>19618</v>
      </c>
      <c r="AR9704" s="1" t="str">
        <f t="shared" si="604"/>
        <v>| [ㄔㄠ](ㄔㄠ.md) | [勦](勦.md) |  | chāo | [動]
抄襲。《禮記．曲禮上》：「正爾容，聽必恭，毋勦說，毋雷同。」
[形]
矯健、敏捷。唐．李賀〈出城別張又新酬李漢〉詩：「六郡無勦兒，長刀誰拭塵。」 |</v>
      </c>
    </row>
    <row r="9705" spans="1:44" hidden="1">
      <c r="A9705" s="1" t="s">
        <v>19619</v>
      </c>
      <c r="C9705" s="1">
        <v>1</v>
      </c>
      <c r="D9705" s="1" t="str">
        <f>"08297"</f>
        <v>08297</v>
      </c>
      <c r="E9705" s="1" t="s">
        <v>118</v>
      </c>
      <c r="F9705" s="1">
        <v>16</v>
      </c>
      <c r="G9705" s="1">
        <v>11</v>
      </c>
      <c r="H9705" s="1">
        <v>0</v>
      </c>
      <c r="I9705" s="1" t="s">
        <v>19603</v>
      </c>
      <c r="K9705" s="1" t="str">
        <f t="shared" si="601"/>
        <v>ㄔ</v>
      </c>
      <c r="L9705" s="1" t="str">
        <f t="shared" si="602"/>
        <v>ㄠ</v>
      </c>
      <c r="M9705" s="1" t="str">
        <f t="shared" si="603"/>
        <v/>
      </c>
      <c r="P9705" s="1" t="s">
        <v>20</v>
      </c>
      <c r="R9705" s="1" t="s">
        <v>19604</v>
      </c>
      <c r="V9705" s="1" t="s">
        <v>19620</v>
      </c>
      <c r="AR9705" s="1" t="str">
        <f t="shared" si="604"/>
        <v>| [ㄔㄠ](ㄔㄠ.md) | [罺](罺.md) |  | chāo | [名]
捕魚的小網。唐．陸龜蒙〈漁具詩．序〉：「網罟之流曰罛、曰罾、曰罺。」
[動]
用小網捕魚。《文選．左思．吳都賦》：「罩兩魪，罺鰝蝦。」 |</v>
      </c>
    </row>
    <row r="9706" spans="1:44" hidden="1">
      <c r="A9706" s="1" t="s">
        <v>19655</v>
      </c>
      <c r="C9706" s="1">
        <v>1</v>
      </c>
      <c r="D9706" s="1" t="str">
        <f>"08313"</f>
        <v>08313</v>
      </c>
      <c r="E9706" s="1" t="s">
        <v>24</v>
      </c>
      <c r="F9706" s="1">
        <v>8</v>
      </c>
      <c r="G9706" s="1">
        <v>5</v>
      </c>
      <c r="H9706" s="1">
        <v>0</v>
      </c>
      <c r="I9706" s="1" t="s">
        <v>19656</v>
      </c>
      <c r="K9706" s="1" t="str">
        <f t="shared" si="601"/>
        <v>ㄔ</v>
      </c>
      <c r="L9706" s="1" t="str">
        <f t="shared" si="602"/>
        <v>ㄡ</v>
      </c>
      <c r="M9706" s="1" t="str">
        <f t="shared" si="603"/>
        <v/>
      </c>
      <c r="P9706" s="1" t="s">
        <v>20</v>
      </c>
      <c r="R9706" s="1" t="s">
        <v>19657</v>
      </c>
      <c r="V9706" s="1" t="s">
        <v>19658</v>
      </c>
      <c r="AR9706" s="1" t="str">
        <f t="shared" si="604"/>
        <v>| [ㄔㄡ](ㄔㄡ.md) | [抽](抽.md) |  | chōu | [動]
1.引出。《廣韻．平聲．尤韻》：「抽，引也。或作紬，紬引其端緒也。」如：「抽絲」、「抽紗」。
2.將放在中間的東西取出。《左傳．襄公二十六年》：「戌怒抽戈逐王子圍，弗及。」唐．李白〈宣州謝朓樓餞別校書叔雲〉詩：「抽刀斷水水更流，舉杯銷愁愁更愁。」
3.從全部中取出一部分。如：「抽稅」、「抽空」、「抽籤」、「從一疊信中抽出一封來。」
4.除去。《儀禮．喪服》：「緦者十五升，抽其半。」
5.萌發、長出。如：「稻子抽穗」、「抽出嫩芽」。唐．韓愈〈苦寒〉詩：「草木不復抽，百味失苦甜。」
6.吸。如：「抽菸」、「抽水」、「倒抽了一口氣。」
7.收、縮。如：「抽筋」、「抽搐」。宋．蘇軾〈李頎秀才善畫山以兩軸見寄仍有詩次韻答之〉：「詩句對君難出手，雲泉勸我早抽身。」
8.鞭、打。如：「拿鞭子抽你一頓。」 |</v>
      </c>
    </row>
    <row r="9707" spans="1:44" hidden="1">
      <c r="A9707" s="1" t="s">
        <v>19659</v>
      </c>
      <c r="C9707" s="1">
        <v>1</v>
      </c>
      <c r="D9707" s="1" t="str">
        <f>"08314"</f>
        <v>08314</v>
      </c>
      <c r="E9707" s="1" t="s">
        <v>725</v>
      </c>
      <c r="F9707" s="1">
        <v>11</v>
      </c>
      <c r="G9707" s="1">
        <v>5</v>
      </c>
      <c r="H9707" s="1">
        <v>2</v>
      </c>
      <c r="I9707" s="1" t="s">
        <v>19656</v>
      </c>
      <c r="K9707" s="1" t="str">
        <f t="shared" si="601"/>
        <v>ㄔ</v>
      </c>
      <c r="L9707" s="1" t="str">
        <f t="shared" si="602"/>
        <v>ㄡ</v>
      </c>
      <c r="M9707" s="1" t="str">
        <f t="shared" si="603"/>
        <v/>
      </c>
      <c r="P9707" s="1" t="s">
        <v>20</v>
      </c>
      <c r="R9707" s="1" t="s">
        <v>19657</v>
      </c>
      <c r="V9707" s="1" t="s">
        <v>19660</v>
      </c>
      <c r="W9707" s="1" t="s">
        <v>19661</v>
      </c>
      <c r="AR9707" s="1" t="str">
        <f t="shared" si="604"/>
        <v>| [ㄔㄡ](ㄔㄡ.md) | [紬](紬.md) |  | chōu | [動]
1.抽引。如：「紬繹」。《文選．宋玉．高唐賦》：「紬大弦而雅聲流，冽風過而增悲哀。」李善注引《字林》曰：「紬，引也。」
2.綴集。《史記．卷一三〇．太史公自序》：「卒三歲而遷為太史令，紬史記石室金匱之書。」 |</v>
      </c>
    </row>
    <row r="9708" spans="1:44" hidden="1">
      <c r="A9708" s="1" t="s">
        <v>19662</v>
      </c>
      <c r="C9708" s="1">
        <v>1</v>
      </c>
      <c r="D9708" s="1" t="str">
        <f>"08315"</f>
        <v>08315</v>
      </c>
      <c r="E9708" s="1" t="s">
        <v>24</v>
      </c>
      <c r="F9708" s="1">
        <v>13</v>
      </c>
      <c r="G9708" s="1">
        <v>10</v>
      </c>
      <c r="H9708" s="1">
        <v>2</v>
      </c>
      <c r="I9708" s="1" t="s">
        <v>19656</v>
      </c>
      <c r="K9708" s="1" t="str">
        <f t="shared" si="601"/>
        <v>ㄔ</v>
      </c>
      <c r="L9708" s="1" t="str">
        <f t="shared" si="602"/>
        <v>ㄡ</v>
      </c>
      <c r="M9708" s="1" t="str">
        <f t="shared" si="603"/>
        <v/>
      </c>
      <c r="P9708" s="1" t="s">
        <v>20</v>
      </c>
      <c r="R9708" s="1" t="s">
        <v>19657</v>
      </c>
      <c r="V9708" s="1" t="s">
        <v>19663</v>
      </c>
      <c r="W9708" s="1" t="s">
        <v>19664</v>
      </c>
      <c r="AR9708" s="1" t="str">
        <f t="shared" si="604"/>
        <v>| [ㄔㄡ](ㄔㄡ.md) | [搐](搐.md) |  | chōu | 參見「搐風」條。 |</v>
      </c>
    </row>
    <row r="9709" spans="1:44" hidden="1">
      <c r="A9709" s="1" t="s">
        <v>19665</v>
      </c>
      <c r="C9709" s="1">
        <v>1</v>
      </c>
      <c r="D9709" s="1" t="str">
        <f>"08316"</f>
        <v>08316</v>
      </c>
      <c r="E9709" s="1" t="s">
        <v>24</v>
      </c>
      <c r="F9709" s="1">
        <v>13</v>
      </c>
      <c r="G9709" s="1">
        <v>10</v>
      </c>
      <c r="H9709" s="1">
        <v>0</v>
      </c>
      <c r="I9709" s="1" t="s">
        <v>19656</v>
      </c>
      <c r="K9709" s="1" t="str">
        <f t="shared" si="601"/>
        <v>ㄔ</v>
      </c>
      <c r="L9709" s="1" t="str">
        <f t="shared" si="602"/>
        <v>ㄡ</v>
      </c>
      <c r="M9709" s="1" t="str">
        <f t="shared" si="603"/>
        <v/>
      </c>
      <c r="P9709" s="1" t="s">
        <v>20</v>
      </c>
      <c r="R9709" s="1" t="s">
        <v>19657</v>
      </c>
      <c r="V9709" s="1" t="s">
        <v>19666</v>
      </c>
      <c r="AR9709" s="1" t="str">
        <f t="shared" si="604"/>
        <v>| [ㄔㄡ](ㄔㄡ.md) | [搊](搊.md) |  | chōu | [動]
1.用手指撥弄樂器。如：「搊琵琶」。元．張可久〈憑欄人．江水澄澄江月明〉曲：「江水澄澄江月明，江上何人搊玉箏。」
2.束緊。如：「搊帶」。唐．陸龜蒙〈新夏東郊閒泛有懷襲美〉詩：「經略彴時冠暫亞，佩笭箵後帶頻搊。」
3.攙扶。《金瓶梅》第二一回：「這個李大姐只相個瞎子，行動一磨趄子就倒了；我搊你去，倒把我一腳𨃓在雪裡。」
4.翻、掀。如：「將箱子搊過來。」《醒世姻緣傳》第四〇回：「說著，打發婆子上了騾子，給他搊上衣裳。」
5.編造、胡謅。《醉醒石》第八回：「又搊一個笑話，用著兩句浣紗曲子。」 |</v>
      </c>
    </row>
    <row r="9710" spans="1:44" hidden="1">
      <c r="A9710" s="1" t="s">
        <v>19667</v>
      </c>
      <c r="C9710" s="1">
        <v>1</v>
      </c>
      <c r="D9710" s="1" t="str">
        <f>"08317"</f>
        <v>08317</v>
      </c>
      <c r="E9710" s="1" t="s">
        <v>49</v>
      </c>
      <c r="F9710" s="1">
        <v>16</v>
      </c>
      <c r="G9710" s="1">
        <v>10</v>
      </c>
      <c r="H9710" s="1">
        <v>0</v>
      </c>
      <c r="I9710" s="1" t="s">
        <v>19656</v>
      </c>
      <c r="K9710" s="1" t="str">
        <f t="shared" si="601"/>
        <v>ㄔ</v>
      </c>
      <c r="L9710" s="1" t="str">
        <f t="shared" si="602"/>
        <v>ㄡ</v>
      </c>
      <c r="M9710" s="1" t="str">
        <f t="shared" si="603"/>
        <v/>
      </c>
      <c r="P9710" s="1" t="s">
        <v>20</v>
      </c>
      <c r="R9710" s="1" t="s">
        <v>19657</v>
      </c>
      <c r="V9710" s="1" t="s">
        <v>19668</v>
      </c>
      <c r="AR9710" s="1" t="str">
        <f t="shared" si="604"/>
        <v>| [ㄔㄡ](ㄔㄡ.md) | [篘](篘.md) |  | chōu | [名]
用來漉酒去糟的竹籠。《玉篇．竹部》：「篘，酒籠。」唐．白居易〈詠家醞十韻〉：「釀糯豈勞炊范黍，撇篘何假漉陶巾。」
[動]
漉酒。宋．陸游〈與兒輩小集〉詩：「老子秋來樂事稠，吳秔新擣酒新篘。」 |</v>
      </c>
    </row>
    <row r="9711" spans="1:44" hidden="1">
      <c r="A9711" s="1" t="s">
        <v>19669</v>
      </c>
      <c r="C9711" s="1">
        <v>1</v>
      </c>
      <c r="D9711" s="1" t="str">
        <f>"08318"</f>
        <v>08318</v>
      </c>
      <c r="E9711" s="1" t="s">
        <v>40</v>
      </c>
      <c r="F9711" s="1">
        <v>16</v>
      </c>
      <c r="G9711" s="1">
        <v>11</v>
      </c>
      <c r="H9711" s="1">
        <v>0</v>
      </c>
      <c r="I9711" s="1" t="s">
        <v>19656</v>
      </c>
      <c r="K9711" s="1" t="str">
        <f t="shared" si="601"/>
        <v>ㄔ</v>
      </c>
      <c r="L9711" s="1" t="str">
        <f t="shared" si="602"/>
        <v>ㄡ</v>
      </c>
      <c r="M9711" s="1" t="str">
        <f t="shared" si="603"/>
        <v/>
      </c>
      <c r="P9711" s="1" t="s">
        <v>20</v>
      </c>
      <c r="R9711" s="1" t="s">
        <v>19657</v>
      </c>
      <c r="V9711" s="1" t="s">
        <v>19670</v>
      </c>
      <c r="AR9711" s="1" t="str">
        <f t="shared" si="604"/>
        <v>| [ㄔㄡ](ㄔㄡ.md) | [瘳](瘳.md) |  | chōu | [動]
病癒。《書經．說命上》：「若藥弗瞑眩，厥疾弗瘳。」《三國志．卷二九．魏書．方技傳．華佗傳》：「而阿針背入一二寸，巨闕胸臟針下五六寸，而病輒皆瘳。」
[名]
損失、減少。《國語．晉語二》：「君不度而賀大國之襲，於己也何瘳？」唐．李觀〈上宰相安邊書〉：「虜滋新謀，土失舊封，伊頃迄今，有加無瘳。」 |</v>
      </c>
    </row>
    <row r="9712" spans="1:44" hidden="1">
      <c r="A9712" s="1" t="s">
        <v>19671</v>
      </c>
      <c r="C9712" s="1">
        <v>1</v>
      </c>
      <c r="D9712" s="1" t="str">
        <f>"08319"</f>
        <v>08319</v>
      </c>
      <c r="E9712" s="1" t="s">
        <v>518</v>
      </c>
      <c r="F9712" s="1">
        <v>20</v>
      </c>
      <c r="G9712" s="1">
        <v>16</v>
      </c>
      <c r="H9712" s="1">
        <v>0</v>
      </c>
      <c r="I9712" s="1" t="s">
        <v>19656</v>
      </c>
      <c r="K9712" s="1" t="str">
        <f t="shared" ref="K9712:K9775" si="605">LEFT(I9712, 1)</f>
        <v>ㄔ</v>
      </c>
      <c r="L9712" s="1" t="str">
        <f t="shared" ref="L9712:L9752" si="606">MID(I9712, 2, 1)</f>
        <v>ㄡ</v>
      </c>
      <c r="M9712" s="1" t="str">
        <f t="shared" si="603"/>
        <v/>
      </c>
      <c r="P9712" s="1" t="s">
        <v>20</v>
      </c>
      <c r="R9712" s="1" t="s">
        <v>19657</v>
      </c>
      <c r="V9712" s="1" t="s">
        <v>19672</v>
      </c>
      <c r="AR9712" s="1" t="str">
        <f t="shared" si="604"/>
        <v>| [ㄔㄡ](ㄔㄡ.md) | [犨](犨.md) |  | chōu | [擬]
形容牛的喘息聲。《說文解字．牛部》：「犨，牛息聲。」
[動]
突出。《呂氏春秋．恃君覽．召類》：「南家之牆，犨於前而不直。」 |</v>
      </c>
    </row>
    <row r="9713" spans="1:44" hidden="1">
      <c r="A9713" s="1" t="s">
        <v>19738</v>
      </c>
      <c r="C9713" s="1">
        <v>1</v>
      </c>
      <c r="D9713" s="1" t="str">
        <f>"08349"</f>
        <v>08349</v>
      </c>
      <c r="E9713" s="1" t="s">
        <v>340</v>
      </c>
      <c r="F9713" s="1">
        <v>14</v>
      </c>
      <c r="G9713" s="1">
        <v>8</v>
      </c>
      <c r="H9713" s="1">
        <v>0</v>
      </c>
      <c r="I9713" s="1" t="s">
        <v>19739</v>
      </c>
      <c r="K9713" s="1" t="str">
        <f t="shared" si="605"/>
        <v>ㄔ</v>
      </c>
      <c r="L9713" s="1" t="str">
        <f t="shared" si="606"/>
        <v>ㄢ</v>
      </c>
      <c r="M9713" s="1" t="str">
        <f t="shared" si="603"/>
        <v/>
      </c>
      <c r="P9713" s="1" t="s">
        <v>20</v>
      </c>
      <c r="R9713" s="1" t="s">
        <v>19740</v>
      </c>
      <c r="V9713" s="1" t="s">
        <v>19741</v>
      </c>
      <c r="AR9713" s="1" t="str">
        <f t="shared" si="604"/>
        <v>| [ㄔㄢ](ㄔㄢ.md) | [裧](裧.md) |  | chān | [名]
1.車旁的帷幕。《儀禮．士昏禮》：「婦車亦如之，有裧。」
2.古代靈車旁的布幕。《禮記．雜記上》：「其輤有裧，緇布裳帷。」 |</v>
      </c>
    </row>
    <row r="9714" spans="1:44" hidden="1">
      <c r="A9714" s="1" t="s">
        <v>19742</v>
      </c>
      <c r="C9714" s="1">
        <v>1</v>
      </c>
      <c r="D9714" s="1" t="str">
        <f>"08350"</f>
        <v>08350</v>
      </c>
      <c r="E9714" s="1" t="s">
        <v>24</v>
      </c>
      <c r="F9714" s="1">
        <v>14</v>
      </c>
      <c r="G9714" s="1">
        <v>11</v>
      </c>
      <c r="H9714" s="1">
        <v>4</v>
      </c>
      <c r="I9714" s="1" t="s">
        <v>19739</v>
      </c>
      <c r="K9714" s="1" t="str">
        <f t="shared" si="605"/>
        <v>ㄔ</v>
      </c>
      <c r="L9714" s="1" t="str">
        <f t="shared" si="606"/>
        <v>ㄢ</v>
      </c>
      <c r="M9714" s="1" t="str">
        <f t="shared" si="603"/>
        <v/>
      </c>
      <c r="P9714" s="1" t="s">
        <v>20</v>
      </c>
      <c r="R9714" s="1" t="s">
        <v>19740</v>
      </c>
      <c r="V9714" s="1" t="s">
        <v>19743</v>
      </c>
      <c r="W9714" s="1" t="s">
        <v>19744</v>
      </c>
      <c r="AR9714" s="1" t="str">
        <f t="shared" si="604"/>
        <v>| [ㄔㄢ](ㄔㄢ.md) | [摻](摻.md) |  | chān | [動]
混合、雜入。同「攙」。如：「摻合」、「摻砂」、「摻水」。 |</v>
      </c>
    </row>
    <row r="9715" spans="1:44" hidden="1">
      <c r="A9715" s="1" t="s">
        <v>19745</v>
      </c>
      <c r="C9715" s="1">
        <v>1</v>
      </c>
      <c r="D9715" s="1" t="str">
        <f>"08351"</f>
        <v>08351</v>
      </c>
      <c r="E9715" s="1" t="s">
        <v>222</v>
      </c>
      <c r="F9715" s="1">
        <v>16</v>
      </c>
      <c r="G9715" s="1">
        <v>13</v>
      </c>
      <c r="H9715" s="1">
        <v>0</v>
      </c>
      <c r="I9715" s="1" t="s">
        <v>19739</v>
      </c>
      <c r="K9715" s="1" t="str">
        <f t="shared" si="605"/>
        <v>ㄔ</v>
      </c>
      <c r="L9715" s="1" t="str">
        <f t="shared" si="606"/>
        <v>ㄢ</v>
      </c>
      <c r="M9715" s="1" t="str">
        <f t="shared" si="603"/>
        <v/>
      </c>
      <c r="P9715" s="1" t="s">
        <v>20</v>
      </c>
      <c r="R9715" s="1" t="s">
        <v>19740</v>
      </c>
      <c r="V9715" s="1" t="s">
        <v>19746</v>
      </c>
      <c r="AR9715" s="1" t="str">
        <f t="shared" si="604"/>
        <v>| [ㄔㄢ](ㄔㄢ.md) | [幨](幨.md) |  | chān | [名]
1.車上的帷幔。《新唐書．卷九七．魏徵傳》：「乃用素車，白布幨帷。」
2.泛指床帳或帳幕。晉．張敞《東宮舊事》：「皇太子納妃，有綠石、綺絹、裡床幨二。」
[動]
皺起、突起。《周禮．冬官考工記．弓人》：「強者在內而摩其筋，夫筋之所由幨，恆由此作。」漢．鄭玄．注：「幨，絕起也。」 |</v>
      </c>
    </row>
    <row r="9716" spans="1:44" hidden="1">
      <c r="A9716" s="1" t="s">
        <v>19747</v>
      </c>
      <c r="C9716" s="1">
        <v>1</v>
      </c>
      <c r="D9716" s="1" t="str">
        <f>"08352"</f>
        <v>08352</v>
      </c>
      <c r="E9716" s="1" t="s">
        <v>340</v>
      </c>
      <c r="F9716" s="1">
        <v>19</v>
      </c>
      <c r="G9716" s="1">
        <v>13</v>
      </c>
      <c r="H9716" s="1">
        <v>0</v>
      </c>
      <c r="I9716" s="1" t="s">
        <v>19739</v>
      </c>
      <c r="K9716" s="1" t="str">
        <f t="shared" si="605"/>
        <v>ㄔ</v>
      </c>
      <c r="L9716" s="1" t="str">
        <f t="shared" si="606"/>
        <v>ㄢ</v>
      </c>
      <c r="M9716" s="1" t="str">
        <f t="shared" si="603"/>
        <v/>
      </c>
      <c r="P9716" s="1" t="s">
        <v>20</v>
      </c>
      <c r="R9716" s="1" t="s">
        <v>19740</v>
      </c>
      <c r="V9716" s="1" t="s">
        <v>19748</v>
      </c>
      <c r="AR9716" s="1" t="str">
        <f t="shared" si="604"/>
        <v>| [ㄔㄢ](ㄔㄢ.md) | [襜](襜.md) |  | chān | [名]_x000D_
1.工作時圍在身前的衣物。即蔽膝。《詩經．小雅．采綠》：「終朝采藍，不盈一襜。」漢．毛亨．傳：「衣蔽前謂之襜。」宋．范仲淹〈和章岷從事鬥茶歌〉：「終朝採掇未盈襜，唯求精粹不敢貪。」_x000D_
2.車上的帷幕。《後漢書．卷二六．伏侯宋蔡馮趙牟韋列傳．郭賀》：「顯宗巡狩到南陽，特見嗟歎，賜以三公之服，黼黻冕旒。敕行部去襜帷，使百姓見其容服，以章有德。」南朝梁．任昉〈奏彈劉整〉：「何其不能折契鐘庾，而襜帷交質。」_x000D_
3.馬鞍下的墊褥。唐．曹唐〈小遊僊〉詩九八首之九七：「紅龍錦襜黃金勒，不是元君不得騎。」唐．毛文錫〈甘州遍．春光好〉詞：「金鞍白馬，雕弓寶劍，紅纓錦襜出長鞦。」_x000D_
[形]_x000D_
整齊。《論語．鄉黨》：「揖所與立，左右手，衣前後，襜如也。」《舊唐書．卷一〇二．列傳．劉子玄》：「且長裾廣袖，襜如翼如，鳴珮行組，鏘鏘奕奕。」 |</v>
      </c>
    </row>
    <row r="9717" spans="1:44" hidden="1">
      <c r="A9717" s="1" t="s">
        <v>19749</v>
      </c>
      <c r="C9717" s="1">
        <v>1</v>
      </c>
      <c r="D9717" s="1" t="str">
        <f>"08353"</f>
        <v>08353</v>
      </c>
      <c r="E9717" s="1" t="s">
        <v>24</v>
      </c>
      <c r="F9717" s="1">
        <v>20</v>
      </c>
      <c r="G9717" s="1">
        <v>17</v>
      </c>
      <c r="H9717" s="1">
        <v>0</v>
      </c>
      <c r="I9717" s="1" t="s">
        <v>19739</v>
      </c>
      <c r="K9717" s="1" t="str">
        <f t="shared" si="605"/>
        <v>ㄔ</v>
      </c>
      <c r="L9717" s="1" t="str">
        <f t="shared" si="606"/>
        <v>ㄢ</v>
      </c>
      <c r="M9717" s="1" t="str">
        <f t="shared" si="603"/>
        <v/>
      </c>
      <c r="P9717" s="1" t="s">
        <v>20</v>
      </c>
      <c r="R9717" s="1" t="s">
        <v>19740</v>
      </c>
      <c r="V9717" s="1" t="s">
        <v>19750</v>
      </c>
      <c r="AR9717" s="1" t="str">
        <f t="shared" si="604"/>
        <v>| [ㄔㄢ](ㄔㄢ.md) | [攙](攙.md) |  | chān | [動]
1.牽挽、扶持。如：「攙扶」。《紅樓夢》第九六回：「我叫秋紋妹妹同著你攙回姑娘，歇歇去罷。」
2.雜入、混合。如：「泥裡攙著石灰。」明．湯顯祖《牡丹亭》第四九齣：「多攙白水江湖酒，少賺黃邊風月錢。」 |</v>
      </c>
    </row>
    <row r="9718" spans="1:44" hidden="1">
      <c r="A9718" s="1" t="s">
        <v>19861</v>
      </c>
      <c r="C9718" s="1">
        <v>1</v>
      </c>
      <c r="D9718" s="1" t="str">
        <f>"08405"</f>
        <v>08405</v>
      </c>
      <c r="E9718" s="1" t="s">
        <v>24</v>
      </c>
      <c r="F9718" s="1">
        <v>8</v>
      </c>
      <c r="G9718" s="1">
        <v>5</v>
      </c>
      <c r="H9718" s="1">
        <v>2</v>
      </c>
      <c r="I9718" s="1" t="s">
        <v>19862</v>
      </c>
      <c r="K9718" s="1" t="str">
        <f t="shared" si="605"/>
        <v>ㄔ</v>
      </c>
      <c r="L9718" s="1" t="str">
        <f t="shared" si="606"/>
        <v>ㄣ</v>
      </c>
      <c r="M9718" s="1" t="str">
        <f t="shared" si="603"/>
        <v/>
      </c>
      <c r="P9718" s="1" t="s">
        <v>110</v>
      </c>
      <c r="R9718" s="1" t="s">
        <v>19863</v>
      </c>
      <c r="V9718" s="1" t="s">
        <v>111</v>
      </c>
      <c r="W9718" s="1" t="s">
        <v>19864</v>
      </c>
      <c r="AR9718" s="1" t="str">
        <f t="shared" si="604"/>
        <v>| [ㄔㄣ](ㄔㄣ.md) | [抻](抻.md) |  | chēn | (一)之又音。 |</v>
      </c>
    </row>
    <row r="9719" spans="1:44" hidden="1">
      <c r="A9719" s="1" t="s">
        <v>19865</v>
      </c>
      <c r="C9719" s="1">
        <v>1</v>
      </c>
      <c r="D9719" s="1" t="str">
        <f>"08406"</f>
        <v>08406</v>
      </c>
      <c r="E9719" s="1" t="s">
        <v>24</v>
      </c>
      <c r="F9719" s="1">
        <v>11</v>
      </c>
      <c r="G9719" s="1">
        <v>8</v>
      </c>
      <c r="H9719" s="1">
        <v>0</v>
      </c>
      <c r="I9719" s="1" t="s">
        <v>19862</v>
      </c>
      <c r="K9719" s="1" t="str">
        <f t="shared" si="605"/>
        <v>ㄔ</v>
      </c>
      <c r="L9719" s="1" t="str">
        <f t="shared" si="606"/>
        <v>ㄣ</v>
      </c>
      <c r="M9719" s="1" t="str">
        <f t="shared" si="603"/>
        <v/>
      </c>
      <c r="P9719" s="1" t="s">
        <v>20</v>
      </c>
      <c r="R9719" s="1" t="s">
        <v>19863</v>
      </c>
      <c r="V9719" s="1" t="s">
        <v>19866</v>
      </c>
      <c r="AR9719" s="1" t="str">
        <f t="shared" si="604"/>
        <v>| [ㄔㄣ](ㄔㄣ.md) | [捵](捵.md) |  | chēn | [動]
1.拉、伸。《集韻．上聲．準韻》：「捵，手伸物。」如：「她梳了頭髮，捵平了裙子，就進去了。」
2.扯。如：「把他捵出來。」
3.推、頂。《水滸傳》第三七回：「一個公人便將水火棍捵開了船。」
4.挺出。《儒林外史》第一四回：「捵著個肚子，穿著一雙厚底破靴，橫著身子亂跑。」
5.撥動。《儒林外史》第二一回：「浦郎把鎖捵開，見裡面重重包裹，兩本錦面線裝的書。」
[副]
輕手輕腳的。《醒世恆言．卷二七．李玉英獄中訟冤》：「夜間捵入臥室，偷了銀兩。」 |</v>
      </c>
    </row>
    <row r="9720" spans="1:44" hidden="1">
      <c r="A9720" s="1" t="s">
        <v>19867</v>
      </c>
      <c r="C9720" s="1">
        <v>1</v>
      </c>
      <c r="D9720" s="1" t="str">
        <f>"08407"</f>
        <v>08407</v>
      </c>
      <c r="E9720" s="1" t="s">
        <v>256</v>
      </c>
      <c r="F9720" s="1">
        <v>11</v>
      </c>
      <c r="G9720" s="1">
        <v>8</v>
      </c>
      <c r="H9720" s="1">
        <v>0</v>
      </c>
      <c r="I9720" s="1" t="s">
        <v>19862</v>
      </c>
      <c r="K9720" s="1" t="str">
        <f t="shared" si="605"/>
        <v>ㄔ</v>
      </c>
      <c r="L9720" s="1" t="str">
        <f t="shared" si="606"/>
        <v>ㄣ</v>
      </c>
      <c r="M9720" s="1" t="str">
        <f t="shared" si="603"/>
        <v/>
      </c>
      <c r="P9720" s="1" t="s">
        <v>20</v>
      </c>
      <c r="R9720" s="1" t="s">
        <v>19863</v>
      </c>
      <c r="V9720" s="1" t="s">
        <v>19868</v>
      </c>
      <c r="AR9720" s="1" t="str">
        <f t="shared" si="604"/>
        <v>| [ㄔㄣ](ㄔㄣ.md) | [郴](郴.md) |  | chēn | [名]
1.參見「郴江」條。
2.姓。如唐代有郴霽。 |</v>
      </c>
    </row>
    <row r="9721" spans="1:44" hidden="1">
      <c r="A9721" s="1" t="s">
        <v>8866</v>
      </c>
      <c r="C9721" s="1">
        <v>1</v>
      </c>
      <c r="D9721" s="1" t="str">
        <f>"08408"</f>
        <v>08408</v>
      </c>
      <c r="E9721" s="1" t="s">
        <v>725</v>
      </c>
      <c r="F9721" s="1">
        <v>14</v>
      </c>
      <c r="G9721" s="1">
        <v>8</v>
      </c>
      <c r="H9721" s="1">
        <v>1</v>
      </c>
      <c r="I9721" s="1" t="s">
        <v>19862</v>
      </c>
      <c r="K9721" s="1" t="str">
        <f t="shared" si="605"/>
        <v>ㄔ</v>
      </c>
      <c r="L9721" s="1" t="str">
        <f t="shared" si="606"/>
        <v>ㄣ</v>
      </c>
      <c r="M9721" s="1" t="str">
        <f t="shared" si="603"/>
        <v/>
      </c>
      <c r="P9721" s="1" t="s">
        <v>20</v>
      </c>
      <c r="R9721" s="1" t="s">
        <v>19863</v>
      </c>
      <c r="V9721" s="1" t="s">
        <v>19869</v>
      </c>
      <c r="W9721" s="1" t="s">
        <v>19870</v>
      </c>
      <c r="AR9721" s="1" t="str">
        <f t="shared" si="604"/>
        <v>| [ㄔㄣ](ㄔㄣ.md) | [綝](綝.md) |  | chēn | [動]
止住。《說文解字．糸部》：「綝，止也。」清．朱駿聲《說文通訓定聲．臨部》：「按謂係而止之。」 |</v>
      </c>
    </row>
    <row r="9722" spans="1:44" hidden="1">
      <c r="A9722" s="1" t="s">
        <v>19871</v>
      </c>
      <c r="C9722" s="1">
        <v>1</v>
      </c>
      <c r="D9722" s="1" t="str">
        <f>"08409"</f>
        <v>08409</v>
      </c>
      <c r="E9722" s="1" t="s">
        <v>142</v>
      </c>
      <c r="F9722" s="1">
        <v>12</v>
      </c>
      <c r="G9722" s="1">
        <v>8</v>
      </c>
      <c r="H9722" s="1">
        <v>0</v>
      </c>
      <c r="I9722" s="1" t="s">
        <v>19862</v>
      </c>
      <c r="K9722" s="1" t="str">
        <f t="shared" si="605"/>
        <v>ㄔ</v>
      </c>
      <c r="L9722" s="1" t="str">
        <f t="shared" si="606"/>
        <v>ㄣ</v>
      </c>
      <c r="M9722" s="1" t="str">
        <f t="shared" si="603"/>
        <v/>
      </c>
      <c r="P9722" s="1" t="s">
        <v>20</v>
      </c>
      <c r="R9722" s="1" t="s">
        <v>19863</v>
      </c>
      <c r="V9722" s="1" t="s">
        <v>19872</v>
      </c>
      <c r="AR9722" s="1" t="str">
        <f t="shared" si="604"/>
        <v>| [ㄔㄣ](ㄔㄣ.md) | [琛](琛.md) |  | chēn | [名]
珍寶。《詩經．魯頌．泮水》：「憬彼淮夷，來獻其琛。」 |</v>
      </c>
    </row>
    <row r="9723" spans="1:44" hidden="1">
      <c r="A9723" s="1" t="s">
        <v>19873</v>
      </c>
      <c r="C9723" s="1">
        <v>1</v>
      </c>
      <c r="D9723" s="1" t="str">
        <f>"08410"</f>
        <v>08410</v>
      </c>
      <c r="E9723" s="1" t="s">
        <v>28</v>
      </c>
      <c r="F9723" s="1">
        <v>13</v>
      </c>
      <c r="G9723" s="1">
        <v>10</v>
      </c>
      <c r="H9723" s="1">
        <v>0</v>
      </c>
      <c r="I9723" s="1" t="s">
        <v>19862</v>
      </c>
      <c r="K9723" s="1" t="str">
        <f t="shared" si="605"/>
        <v>ㄔ</v>
      </c>
      <c r="L9723" s="1" t="str">
        <f t="shared" si="606"/>
        <v>ㄣ</v>
      </c>
      <c r="M9723" s="1" t="str">
        <f t="shared" si="603"/>
        <v/>
      </c>
      <c r="P9723" s="1" t="s">
        <v>20</v>
      </c>
      <c r="R9723" s="1" t="s">
        <v>19863</v>
      </c>
      <c r="V9723" s="1" t="s">
        <v>19874</v>
      </c>
      <c r="AR9723" s="1" t="str">
        <f t="shared" si="604"/>
        <v>| [ㄔㄣ](ㄔㄣ.md) | [嗔](嗔.md) |  | chēn | [動]
1.生氣、發怒。如：「嗔怒」。南朝宋．劉義慶《世說新語．德行》：「丞相見長豫輒喜，見敬豫輒嗔。」
2.責怪、埋怨。唐．李賀〈野歌〉：「男兒屈窮心不窮，枯榮不等嗔天公。」《紅樓夢》第三二回：「恐怕你的林妹妹聽見，又怪嗔我贊了寶姐姐。」 |</v>
      </c>
    </row>
    <row r="9724" spans="1:44" hidden="1">
      <c r="A9724" s="1" t="s">
        <v>19875</v>
      </c>
      <c r="C9724" s="1">
        <v>1</v>
      </c>
      <c r="D9724" s="1" t="str">
        <f>"08411"</f>
        <v>08411</v>
      </c>
      <c r="E9724" s="1" t="s">
        <v>1015</v>
      </c>
      <c r="F9724" s="1">
        <v>15</v>
      </c>
      <c r="G9724" s="1">
        <v>10</v>
      </c>
      <c r="H9724" s="1">
        <v>0</v>
      </c>
      <c r="I9724" s="1" t="s">
        <v>19862</v>
      </c>
      <c r="K9724" s="1" t="str">
        <f t="shared" si="605"/>
        <v>ㄔ</v>
      </c>
      <c r="L9724" s="1" t="str">
        <f t="shared" si="606"/>
        <v>ㄣ</v>
      </c>
      <c r="M9724" s="1" t="str">
        <f t="shared" si="603"/>
        <v/>
      </c>
      <c r="P9724" s="1" t="s">
        <v>20</v>
      </c>
      <c r="R9724" s="1" t="s">
        <v>19863</v>
      </c>
      <c r="V9724" s="1" t="s">
        <v>19876</v>
      </c>
      <c r="AR9724" s="1" t="str">
        <f t="shared" si="604"/>
        <v>| [ㄔㄣ](ㄔㄣ.md) | [瞋](瞋.md) |  | chēn | [動]
1.張大眼睛。《說文解字．目部》：「瞋，張目也。」《莊子．秋水》：「鴟鵂夜撮蚤，察毫末；晝出，瞋目而不見丘山。」《史記．卷七．項羽本紀》：「項王瞋目叱之，樓煩目不敢視。」
2.發怒、生氣。同「嗔」。《廣韻．平聲．真韻》：「瞋，怒也。」南朝宋．劉義慶《世說新語．忿狷》：「瞋甚，復於地取內口中，齧破即吐之。」 |</v>
      </c>
    </row>
    <row r="9725" spans="1:44" hidden="1">
      <c r="A9725" s="1" t="s">
        <v>19943</v>
      </c>
      <c r="C9725" s="1">
        <v>1</v>
      </c>
      <c r="D9725" s="1" t="str">
        <f>"08441"</f>
        <v>08441</v>
      </c>
      <c r="E9725" s="1" t="s">
        <v>646</v>
      </c>
      <c r="F9725" s="1">
        <v>8</v>
      </c>
      <c r="G9725" s="1">
        <v>4</v>
      </c>
      <c r="H9725" s="1">
        <v>0</v>
      </c>
      <c r="I9725" s="1" t="s">
        <v>19944</v>
      </c>
      <c r="K9725" s="1" t="str">
        <f t="shared" si="605"/>
        <v>ㄔ</v>
      </c>
      <c r="L9725" s="1" t="str">
        <f t="shared" si="606"/>
        <v>ㄤ</v>
      </c>
      <c r="M9725" s="1" t="str">
        <f t="shared" si="603"/>
        <v/>
      </c>
      <c r="P9725" s="1" t="s">
        <v>20</v>
      </c>
      <c r="R9725" s="1" t="s">
        <v>19945</v>
      </c>
      <c r="V9725" s="1" t="s">
        <v>19946</v>
      </c>
      <c r="AR9725" s="1" t="str">
        <f t="shared" si="604"/>
        <v>| [ㄔㄤ](ㄔㄤ.md) | [昌](昌.md) |  | chāng | [形]
1.光明。如：「昌明」。《玉篇．日部》：「昌，明也。」《詩經．齊風．雞鳴》：「東方明矣，朝既昌矣。」
2.恰當、美好。《漢書．卷八七．揚雄傳上》：「圖纍承彼洪族兮，又覽纍之昌辭。」唐．楊烱〈老人星賦〉：「獻仙壽兮祝堯，奏昌言兮拜禹。」
[動]
存活。《史記．卷一三〇．太史公自序》：「順之者昌，逆之者不死則亡。」
[名]
姓。如明代有昌海。 |</v>
      </c>
    </row>
    <row r="9726" spans="1:44" hidden="1">
      <c r="A9726" s="1" t="s">
        <v>19947</v>
      </c>
      <c r="C9726" s="1">
        <v>1</v>
      </c>
      <c r="D9726" s="1" t="str">
        <f>"08442"</f>
        <v>08442</v>
      </c>
      <c r="E9726" s="1" t="s">
        <v>114</v>
      </c>
      <c r="F9726" s="1">
        <v>10</v>
      </c>
      <c r="G9726" s="1">
        <v>8</v>
      </c>
      <c r="H9726" s="1">
        <v>2</v>
      </c>
      <c r="I9726" s="1" t="s">
        <v>19944</v>
      </c>
      <c r="K9726" s="1" t="str">
        <f t="shared" si="605"/>
        <v>ㄔ</v>
      </c>
      <c r="L9726" s="1" t="str">
        <f t="shared" si="606"/>
        <v>ㄤ</v>
      </c>
      <c r="M9726" s="1" t="str">
        <f t="shared" ref="M9726:M9789" si="607">MID(I9726, 3, 1)</f>
        <v/>
      </c>
      <c r="P9726" s="1" t="s">
        <v>20</v>
      </c>
      <c r="R9726" s="1" t="s">
        <v>19945</v>
      </c>
      <c r="V9726" s="1" t="s">
        <v>19948</v>
      </c>
      <c r="W9726" s="1" t="s">
        <v>19949</v>
      </c>
      <c r="AR9726" s="1" t="str">
        <f t="shared" si="604"/>
        <v>| [ㄔㄤ](ㄔㄤ.md) | [倡](倡.md) |  | chāng | [名]
1.古以歌舞演戲為業的人。如：「倡優」。
2.娼妓。通「娼」。唐．白行簡《李娃傳》：「汧國夫人李娃，長安之倡女也。」
[形]
狂妄。通「猖」。《莊子．山木》：「倡狂妄行。」 |</v>
      </c>
    </row>
    <row r="9727" spans="1:44" hidden="1">
      <c r="A9727" s="1" t="s">
        <v>19950</v>
      </c>
      <c r="C9727" s="1">
        <v>1</v>
      </c>
      <c r="D9727" s="1" t="str">
        <f>"08443"</f>
        <v>08443</v>
      </c>
      <c r="E9727" s="1" t="s">
        <v>198</v>
      </c>
      <c r="F9727" s="1">
        <v>11</v>
      </c>
      <c r="G9727" s="1">
        <v>8</v>
      </c>
      <c r="H9727" s="1">
        <v>0</v>
      </c>
      <c r="I9727" s="1" t="s">
        <v>19944</v>
      </c>
      <c r="K9727" s="1" t="str">
        <f t="shared" si="605"/>
        <v>ㄔ</v>
      </c>
      <c r="L9727" s="1" t="str">
        <f t="shared" si="606"/>
        <v>ㄤ</v>
      </c>
      <c r="M9727" s="1" t="str">
        <f t="shared" si="607"/>
        <v/>
      </c>
      <c r="P9727" s="1" t="s">
        <v>20</v>
      </c>
      <c r="R9727" s="1" t="s">
        <v>19945</v>
      </c>
      <c r="V9727" s="1" t="s">
        <v>19951</v>
      </c>
      <c r="AR9727" s="1" t="str">
        <f t="shared" si="604"/>
        <v>| [ㄔㄤ](ㄔㄤ.md) | [猖](猖.md) |  | chāng | [形]
狂妄橫行、不加約束。如：「猖狂」、「猖獗」。 |</v>
      </c>
    </row>
    <row r="9728" spans="1:44" hidden="1">
      <c r="A9728" s="1" t="s">
        <v>19952</v>
      </c>
      <c r="C9728" s="1">
        <v>1</v>
      </c>
      <c r="D9728" s="1" t="str">
        <f>"08444"</f>
        <v>08444</v>
      </c>
      <c r="E9728" s="1" t="s">
        <v>534</v>
      </c>
      <c r="F9728" s="1">
        <v>11</v>
      </c>
      <c r="G9728" s="1">
        <v>8</v>
      </c>
      <c r="H9728" s="1">
        <v>0</v>
      </c>
      <c r="I9728" s="1" t="s">
        <v>19944</v>
      </c>
      <c r="K9728" s="1" t="str">
        <f t="shared" si="605"/>
        <v>ㄔ</v>
      </c>
      <c r="L9728" s="1" t="str">
        <f t="shared" si="606"/>
        <v>ㄤ</v>
      </c>
      <c r="M9728" s="1" t="str">
        <f t="shared" si="607"/>
        <v/>
      </c>
      <c r="P9728" s="1" t="s">
        <v>20</v>
      </c>
      <c r="R9728" s="1" t="s">
        <v>19945</v>
      </c>
      <c r="V9728" s="1" t="s">
        <v>19953</v>
      </c>
      <c r="AR9728" s="1" t="str">
        <f t="shared" si="604"/>
        <v>| [ㄔㄤ](ㄔㄤ.md) | [娼](娼.md) |  | chāng | [名]
妓女。如：「私娼」、「男盜女娼」。元．關漢卿《謝天香》第二折：「怎生勾除籍，不做娼，棄賤得為良。」 |</v>
      </c>
    </row>
    <row r="9729" spans="1:44" hidden="1">
      <c r="A9729" s="1" t="s">
        <v>19954</v>
      </c>
      <c r="C9729" s="1">
        <v>1</v>
      </c>
      <c r="D9729" s="1" t="str">
        <f>"08445"</f>
        <v>08445</v>
      </c>
      <c r="E9729" s="1" t="s">
        <v>37</v>
      </c>
      <c r="F9729" s="1">
        <v>12</v>
      </c>
      <c r="G9729" s="1">
        <v>8</v>
      </c>
      <c r="H9729" s="1">
        <v>0</v>
      </c>
      <c r="I9729" s="1" t="s">
        <v>19944</v>
      </c>
      <c r="K9729" s="1" t="str">
        <f t="shared" si="605"/>
        <v>ㄔ</v>
      </c>
      <c r="L9729" s="1" t="str">
        <f t="shared" si="606"/>
        <v>ㄤ</v>
      </c>
      <c r="M9729" s="1" t="str">
        <f t="shared" si="607"/>
        <v/>
      </c>
      <c r="P9729" s="1" t="s">
        <v>20</v>
      </c>
      <c r="R9729" s="1" t="s">
        <v>19945</v>
      </c>
      <c r="V9729" s="1" t="s">
        <v>19955</v>
      </c>
      <c r="AR9729" s="1" t="str">
        <f t="shared" si="604"/>
        <v>| [ㄔㄤ](ㄔㄤ.md) | [菖](菖.md) |  | chāng | 參見「菖蒲」條。 |</v>
      </c>
    </row>
    <row r="9730" spans="1:44" hidden="1">
      <c r="A9730" s="1" t="s">
        <v>19956</v>
      </c>
      <c r="C9730" s="1">
        <v>1</v>
      </c>
      <c r="D9730" s="1" t="str">
        <f>"08446"</f>
        <v>08446</v>
      </c>
      <c r="E9730" s="1" t="s">
        <v>709</v>
      </c>
      <c r="F9730" s="1">
        <v>16</v>
      </c>
      <c r="G9730" s="1">
        <v>8</v>
      </c>
      <c r="H9730" s="1">
        <v>0</v>
      </c>
      <c r="I9730" s="1" t="s">
        <v>19944</v>
      </c>
      <c r="K9730" s="1" t="str">
        <f t="shared" si="605"/>
        <v>ㄔ</v>
      </c>
      <c r="L9730" s="1" t="str">
        <f t="shared" si="606"/>
        <v>ㄤ</v>
      </c>
      <c r="M9730" s="1" t="str">
        <f t="shared" si="607"/>
        <v/>
      </c>
      <c r="P9730" s="1" t="s">
        <v>20</v>
      </c>
      <c r="R9730" s="1" t="s">
        <v>19945</v>
      </c>
      <c r="V9730" s="1" t="s">
        <v>19957</v>
      </c>
      <c r="AR9730" s="1" t="str">
        <f t="shared" si="604"/>
        <v>| [ㄔㄤ](ㄔㄤ.md) | [閶](閶.md) |  | chāng | 參見「閶闔」條。 |</v>
      </c>
    </row>
    <row r="9731" spans="1:44" hidden="1">
      <c r="A9731" s="1" t="s">
        <v>19958</v>
      </c>
      <c r="C9731" s="1">
        <v>1</v>
      </c>
      <c r="D9731" s="1" t="str">
        <f>"08447"</f>
        <v>08447</v>
      </c>
      <c r="E9731" s="1" t="s">
        <v>55</v>
      </c>
      <c r="F9731" s="1">
        <v>16</v>
      </c>
      <c r="G9731" s="1">
        <v>8</v>
      </c>
      <c r="H9731" s="1">
        <v>0</v>
      </c>
      <c r="I9731" s="1" t="s">
        <v>19944</v>
      </c>
      <c r="K9731" s="1" t="str">
        <f t="shared" si="605"/>
        <v>ㄔ</v>
      </c>
      <c r="L9731" s="1" t="str">
        <f t="shared" si="606"/>
        <v>ㄤ</v>
      </c>
      <c r="M9731" s="1" t="str">
        <f t="shared" si="607"/>
        <v/>
      </c>
      <c r="P9731" s="1" t="s">
        <v>20</v>
      </c>
      <c r="R9731" s="1" t="s">
        <v>19945</v>
      </c>
      <c r="V9731" s="1" t="s">
        <v>19959</v>
      </c>
      <c r="AR9731" s="1" t="str">
        <f t="shared" ref="AR9731:AR9794" si="608">"| ["&amp;I9731&amp;"]("&amp;I9731&amp;".md) | ["&amp;A9731&amp;"]("&amp;A9731&amp;".md) | "&amp;" | "&amp;R9731&amp;" | "&amp;V9731&amp;" |"</f>
        <v>| [ㄔㄤ](ㄔㄤ.md) | [錩](錩.md) |  | chāng | [名]
古代一種器皿。《字彙．金部》：「錩，器也。」 |</v>
      </c>
    </row>
    <row r="9732" spans="1:44" hidden="1">
      <c r="A9732" s="1" t="s">
        <v>19960</v>
      </c>
      <c r="C9732" s="1">
        <v>1</v>
      </c>
      <c r="D9732" s="1" t="str">
        <f>"08448"</f>
        <v>08448</v>
      </c>
      <c r="E9732" s="1" t="s">
        <v>156</v>
      </c>
      <c r="F9732" s="1">
        <v>19</v>
      </c>
      <c r="G9732" s="1">
        <v>8</v>
      </c>
      <c r="H9732" s="1">
        <v>0</v>
      </c>
      <c r="I9732" s="1" t="s">
        <v>19944</v>
      </c>
      <c r="K9732" s="1" t="str">
        <f t="shared" si="605"/>
        <v>ㄔ</v>
      </c>
      <c r="L9732" s="1" t="str">
        <f t="shared" si="606"/>
        <v>ㄤ</v>
      </c>
      <c r="M9732" s="1" t="str">
        <f t="shared" si="607"/>
        <v/>
      </c>
      <c r="P9732" s="1" t="s">
        <v>20</v>
      </c>
      <c r="R9732" s="1" t="s">
        <v>19945</v>
      </c>
      <c r="V9732" s="1" t="s">
        <v>19961</v>
      </c>
      <c r="AR9732" s="1" t="str">
        <f t="shared" si="608"/>
        <v>| [ㄔㄤ](ㄔㄤ.md) | [鯧](鯧.md) |  | chāng | [名]
動物名。脊椎動物亞門硬骨魚綱。體高而側扁，略呈斜方形，體色銀灰。頭、眼、口皆小，牙細，尾分叉如燕。披細鱗。 |</v>
      </c>
    </row>
    <row r="9733" spans="1:44" hidden="1">
      <c r="A9733" s="1" t="s">
        <v>19962</v>
      </c>
      <c r="C9733" s="1">
        <v>1</v>
      </c>
      <c r="D9733" s="1" t="str">
        <f>"08449"</f>
        <v>08449</v>
      </c>
      <c r="E9733" s="1" t="s">
        <v>114</v>
      </c>
      <c r="F9733" s="1">
        <v>10</v>
      </c>
      <c r="G9733" s="1">
        <v>8</v>
      </c>
      <c r="H9733" s="1">
        <v>0</v>
      </c>
      <c r="I9733" s="1" t="s">
        <v>19944</v>
      </c>
      <c r="K9733" s="1" t="str">
        <f t="shared" si="605"/>
        <v>ㄔ</v>
      </c>
      <c r="L9733" s="1" t="str">
        <f t="shared" si="606"/>
        <v>ㄤ</v>
      </c>
      <c r="M9733" s="1" t="str">
        <f t="shared" si="607"/>
        <v/>
      </c>
      <c r="P9733" s="1" t="s">
        <v>20</v>
      </c>
      <c r="R9733" s="1" t="s">
        <v>19945</v>
      </c>
      <c r="V9733" s="1" t="s">
        <v>19963</v>
      </c>
      <c r="AR9733" s="1" t="str">
        <f t="shared" si="608"/>
        <v>| [ㄔㄤ](ㄔㄤ.md) | [倀](倀.md) |  | chāng | [名]
1.行為瘋狂、不知所為的人。《說文解字．人部》：「倀，狂也。」《南史．卷七七．恩倖傳．茹法珍傳》：「奄人王寶孫年十三四，號為倀子，最有寵，參預朝政。」
2.傳說中被虎吃掉後又供虎使喚的鬼。如：「為虎作倀」。清．紀昀《閱微草堂筆記．卷一七．姑妄聽之三》：「聞倀役于虎，必得代乃轉生，是殆倀誘人自代，因引人捕虎報冤也。」
[副]
參見「倀倀」條。 |</v>
      </c>
    </row>
    <row r="9734" spans="1:44" hidden="1">
      <c r="A9734" s="1" t="s">
        <v>19964</v>
      </c>
      <c r="C9734" s="1">
        <v>1</v>
      </c>
      <c r="D9734" s="1" t="str">
        <f>"08450"</f>
        <v>08450</v>
      </c>
      <c r="E9734" s="1" t="s">
        <v>2154</v>
      </c>
      <c r="F9734" s="1">
        <v>21</v>
      </c>
      <c r="G9734" s="1">
        <v>8</v>
      </c>
      <c r="H9734" s="1">
        <v>0</v>
      </c>
      <c r="I9734" s="1" t="s">
        <v>19944</v>
      </c>
      <c r="K9734" s="1" t="str">
        <f t="shared" si="605"/>
        <v>ㄔ</v>
      </c>
      <c r="L9734" s="1" t="str">
        <f t="shared" si="606"/>
        <v>ㄤ</v>
      </c>
      <c r="M9734" s="1" t="str">
        <f t="shared" si="607"/>
        <v/>
      </c>
      <c r="P9734" s="1" t="s">
        <v>20</v>
      </c>
      <c r="R9734" s="1" t="s">
        <v>19945</v>
      </c>
      <c r="V9734" s="1" t="s">
        <v>19965</v>
      </c>
      <c r="AR9734" s="1" t="str">
        <f t="shared" si="608"/>
        <v>| [ㄔㄤ](ㄔㄤ.md) | [鼚](鼚.md) |  | chāng | [擬]
形容擊鼓的聲音。《玉篇．鼓部》：「鼚，鼓聲。」 |</v>
      </c>
    </row>
    <row r="9735" spans="1:44" hidden="1">
      <c r="A9735" s="1" t="s">
        <v>20030</v>
      </c>
      <c r="C9735" s="1">
        <v>1</v>
      </c>
      <c r="D9735" s="1" t="str">
        <f>"08478"</f>
        <v>08478</v>
      </c>
      <c r="E9735" s="1" t="s">
        <v>114</v>
      </c>
      <c r="F9735" s="1">
        <v>11</v>
      </c>
      <c r="G9735" s="1">
        <v>9</v>
      </c>
      <c r="H9735" s="1">
        <v>0</v>
      </c>
      <c r="I9735" s="1" t="s">
        <v>20031</v>
      </c>
      <c r="K9735" s="1" t="str">
        <f t="shared" si="605"/>
        <v>ㄔ</v>
      </c>
      <c r="L9735" s="1" t="str">
        <f t="shared" si="606"/>
        <v>ㄥ</v>
      </c>
      <c r="M9735" s="1" t="str">
        <f t="shared" si="607"/>
        <v/>
      </c>
      <c r="P9735" s="1" t="s">
        <v>20</v>
      </c>
      <c r="R9735" s="1" t="s">
        <v>20032</v>
      </c>
      <c r="V9735" s="1" t="s">
        <v>20033</v>
      </c>
      <c r="AR9735" s="1" t="str">
        <f t="shared" si="608"/>
        <v>| [ㄔㄥ](ㄔㄥ.md) | [偁](偁.md) |  | chēng | 同「稱」。《說文解字．人部》「偁」字．清．段玉裁．注：「凡古偁舉、偁謂字皆如此作，……自稱行而偁廢矣。」 |</v>
      </c>
    </row>
    <row r="9736" spans="1:44" hidden="1">
      <c r="A9736" s="1" t="s">
        <v>19926</v>
      </c>
      <c r="C9736" s="1">
        <v>1</v>
      </c>
      <c r="D9736" s="1" t="str">
        <f>"08479"</f>
        <v>08479</v>
      </c>
      <c r="E9736" s="1" t="s">
        <v>429</v>
      </c>
      <c r="F9736" s="1">
        <v>14</v>
      </c>
      <c r="G9736" s="1">
        <v>9</v>
      </c>
      <c r="H9736" s="1">
        <v>1</v>
      </c>
      <c r="I9736" s="1" t="s">
        <v>20031</v>
      </c>
      <c r="K9736" s="1" t="str">
        <f t="shared" si="605"/>
        <v>ㄔ</v>
      </c>
      <c r="L9736" s="1" t="str">
        <f t="shared" si="606"/>
        <v>ㄥ</v>
      </c>
      <c r="M9736" s="1" t="str">
        <f t="shared" si="607"/>
        <v/>
      </c>
      <c r="P9736" s="1" t="s">
        <v>20</v>
      </c>
      <c r="R9736" s="1" t="s">
        <v>20032</v>
      </c>
      <c r="V9736" s="1" t="s">
        <v>20034</v>
      </c>
      <c r="W9736" s="1" t="s">
        <v>20035</v>
      </c>
      <c r="AR9736" s="1" t="str">
        <f t="shared" si="608"/>
        <v>| [ㄔㄥ](ㄔㄥ.md) | [稱](稱.md) |  | chēng | [動]
1.用秤計量輕重。如：「把這包米稱一稱。」
2.叫、叫做。如：「稱呼」、「稱兄道弟」。
3.述說。如：「此地據稱有礦產。」《史記．卷八四．屈原賈生傳》：「上稱帝嚳，下道齊桓，中述湯武，以刺世事。」
4.讚頌、讚譽。如：「稱揚」、「稱美」。《論語．憲問》：「驥不稱其力，稱其德也。」
5.自認、自封。如：「稱帝」、「稱霸」、「俯首稱臣」。
6.舉。如：「稱兵起義」。《詩經．豳風．七月》：「稱彼兕觥，萬壽無疆。」
[名]
1.名號、名目。如：「名稱」、「別稱」、「通稱」。
2.名聲、聲譽。《後漢書．卷五二．崔駰傳》：「大人少有英稱，歷位卿守，論者不謂不當為三公。」 |</v>
      </c>
    </row>
    <row r="9737" spans="1:44" hidden="1">
      <c r="A9737" s="1" t="s">
        <v>20036</v>
      </c>
      <c r="C9737" s="1">
        <v>1</v>
      </c>
      <c r="D9737" s="1" t="str">
        <f>"08480"</f>
        <v>08480</v>
      </c>
      <c r="E9737" s="1" t="s">
        <v>142</v>
      </c>
      <c r="F9737" s="1">
        <v>12</v>
      </c>
      <c r="G9737" s="1">
        <v>8</v>
      </c>
      <c r="H9737" s="1">
        <v>0</v>
      </c>
      <c r="I9737" s="1" t="s">
        <v>20031</v>
      </c>
      <c r="K9737" s="1" t="str">
        <f t="shared" si="605"/>
        <v>ㄔ</v>
      </c>
      <c r="L9737" s="1" t="str">
        <f t="shared" si="606"/>
        <v>ㄥ</v>
      </c>
      <c r="M9737" s="1" t="str">
        <f t="shared" si="607"/>
        <v/>
      </c>
      <c r="P9737" s="1" t="s">
        <v>20</v>
      </c>
      <c r="R9737" s="1" t="s">
        <v>20032</v>
      </c>
      <c r="V9737" s="1" t="s">
        <v>20037</v>
      </c>
      <c r="AR9737" s="1" t="str">
        <f t="shared" si="608"/>
        <v>| [ㄔㄥ](ㄔㄥ.md) | [琤](琤.md) |  | chēng | [名]
玉器相擊所發出的聲音。《說文解字．玉部》：「琤，玉聲也。」 |</v>
      </c>
    </row>
    <row r="9738" spans="1:44" hidden="1">
      <c r="A9738" s="1" t="s">
        <v>20038</v>
      </c>
      <c r="C9738" s="1">
        <v>1</v>
      </c>
      <c r="D9738" s="1" t="str">
        <f>"08481"</f>
        <v>08481</v>
      </c>
      <c r="E9738" s="1" t="s">
        <v>20039</v>
      </c>
      <c r="F9738" s="1">
        <v>12</v>
      </c>
      <c r="G9738" s="1">
        <v>8</v>
      </c>
      <c r="H9738" s="1">
        <v>0</v>
      </c>
      <c r="I9738" s="1" t="s">
        <v>20031</v>
      </c>
      <c r="K9738" s="1" t="str">
        <f t="shared" si="605"/>
        <v>ㄔ</v>
      </c>
      <c r="L9738" s="1" t="str">
        <f t="shared" si="606"/>
        <v>ㄥ</v>
      </c>
      <c r="M9738" s="1" t="str">
        <f t="shared" si="607"/>
        <v/>
      </c>
      <c r="P9738" s="1" t="s">
        <v>20</v>
      </c>
      <c r="R9738" s="1" t="s">
        <v>20032</v>
      </c>
      <c r="V9738" s="1" t="s">
        <v>20040</v>
      </c>
      <c r="AR9738" s="1" t="str">
        <f t="shared" si="608"/>
        <v>| [ㄔㄥ](ㄔㄥ.md) | [牚](牚.md) |  | chēng | [名]
斜柱。《廣韻．去聲．映韻》：「牚，邪柱也。」《文選．王延壽．魯靈光殿賦》：「枝牚杈枒而斜據。」李善注引張載曰：「牚，眉梁之上也，各長三尺。」 |</v>
      </c>
    </row>
    <row r="9739" spans="1:44" hidden="1">
      <c r="A9739" s="1" t="s">
        <v>20041</v>
      </c>
      <c r="C9739" s="1">
        <v>1</v>
      </c>
      <c r="D9739" s="1" t="str">
        <f>"08482"</f>
        <v>08482</v>
      </c>
      <c r="E9739" s="1" t="s">
        <v>24</v>
      </c>
      <c r="F9739" s="1">
        <v>15</v>
      </c>
      <c r="G9739" s="1">
        <v>12</v>
      </c>
      <c r="H9739" s="1">
        <v>0</v>
      </c>
      <c r="I9739" s="1" t="s">
        <v>20031</v>
      </c>
      <c r="K9739" s="1" t="str">
        <f t="shared" si="605"/>
        <v>ㄔ</v>
      </c>
      <c r="L9739" s="1" t="str">
        <f t="shared" si="606"/>
        <v>ㄥ</v>
      </c>
      <c r="M9739" s="1" t="str">
        <f t="shared" si="607"/>
        <v/>
      </c>
      <c r="P9739" s="1" t="s">
        <v>20</v>
      </c>
      <c r="R9739" s="1" t="s">
        <v>20032</v>
      </c>
      <c r="V9739" s="1" t="s">
        <v>20042</v>
      </c>
      <c r="AR9739" s="1" t="str">
        <f t="shared" si="608"/>
        <v>| [ㄔㄥ](ㄔㄥ.md) | [撐](撐.md) |  | chēng | [動]
1.支持、抵住。如：「撐持」。《紅樓夢》第八三回：「別說是女人當不來，就是三頭六臂的男人，還撐不住呢！」
2.用竹篙撥水使船前進。如：「撐篙」、「撐船」。
3.張開。如：「撐傘」、「撐線」。
[形]
1.飽、充滿。如：「吃多了，撐得難過。」元．馬致遠《任風子》第一折：「吃的來眼又睜，撐的來氣又喘。」 |</v>
      </c>
    </row>
    <row r="9740" spans="1:44" hidden="1">
      <c r="A9740" s="1" t="s">
        <v>20043</v>
      </c>
      <c r="C9740" s="1">
        <v>1</v>
      </c>
      <c r="D9740" s="1" t="str">
        <f>"08483"</f>
        <v>08483</v>
      </c>
      <c r="E9740" s="1" t="s">
        <v>139</v>
      </c>
      <c r="F9740" s="1">
        <v>16</v>
      </c>
      <c r="G9740" s="1">
        <v>12</v>
      </c>
      <c r="H9740" s="1">
        <v>0</v>
      </c>
      <c r="I9740" s="1" t="s">
        <v>20031</v>
      </c>
      <c r="K9740" s="1" t="str">
        <f t="shared" si="605"/>
        <v>ㄔ</v>
      </c>
      <c r="L9740" s="1" t="str">
        <f t="shared" si="606"/>
        <v>ㄥ</v>
      </c>
      <c r="M9740" s="1" t="str">
        <f t="shared" si="607"/>
        <v/>
      </c>
      <c r="P9740" s="1" t="s">
        <v>20</v>
      </c>
      <c r="R9740" s="1" t="s">
        <v>20032</v>
      </c>
      <c r="V9740" s="1" t="s">
        <v>20044</v>
      </c>
      <c r="AR9740" s="1" t="str">
        <f t="shared" si="608"/>
        <v>| [ㄔㄥ](ㄔㄥ.md) | [橕](橕.md) |  | chēng | [動]
支撐、卡住。同「撐」。唐．韓愈、劉師服、侯喜、軒轅彌明〈石鼎聯句〉：「旁有雙耳穿，上有孤髻橕。」
[名]
斜柱。通「撐」。如：「屋橕」、「隄橕」。 |</v>
      </c>
    </row>
    <row r="9741" spans="1:44" hidden="1">
      <c r="A9741" s="1" t="s">
        <v>15633</v>
      </c>
      <c r="C9741" s="1">
        <v>1</v>
      </c>
      <c r="D9741" s="1" t="str">
        <f>"08484"</f>
        <v>08484</v>
      </c>
      <c r="E9741" s="1" t="s">
        <v>139</v>
      </c>
      <c r="F9741" s="1">
        <v>14</v>
      </c>
      <c r="G9741" s="1">
        <v>10</v>
      </c>
      <c r="H9741" s="1">
        <v>2</v>
      </c>
      <c r="I9741" s="1" t="s">
        <v>20031</v>
      </c>
      <c r="K9741" s="1" t="str">
        <f t="shared" si="605"/>
        <v>ㄔ</v>
      </c>
      <c r="L9741" s="1" t="str">
        <f t="shared" si="606"/>
        <v>ㄥ</v>
      </c>
      <c r="M9741" s="1" t="str">
        <f t="shared" si="607"/>
        <v/>
      </c>
      <c r="P9741" s="1" t="s">
        <v>20</v>
      </c>
      <c r="R9741" s="1" t="s">
        <v>20032</v>
      </c>
      <c r="V9741" s="1" t="s">
        <v>20045</v>
      </c>
      <c r="W9741" s="1" t="s">
        <v>20046</v>
      </c>
      <c r="AR9741" s="1" t="str">
        <f t="shared" si="608"/>
        <v>| [ㄔㄥ](ㄔㄥ.md) | [槍](槍.md) |  | chēng | 參見「欃槍」條。 |</v>
      </c>
    </row>
    <row r="9742" spans="1:44" hidden="1">
      <c r="A9742" s="1" t="s">
        <v>15644</v>
      </c>
      <c r="C9742" s="1">
        <v>1</v>
      </c>
      <c r="D9742" s="1" t="str">
        <f>"08485"</f>
        <v>08485</v>
      </c>
      <c r="E9742" s="1" t="s">
        <v>55</v>
      </c>
      <c r="F9742" s="1">
        <v>18</v>
      </c>
      <c r="G9742" s="1">
        <v>10</v>
      </c>
      <c r="H9742" s="1">
        <v>2</v>
      </c>
      <c r="I9742" s="1" t="s">
        <v>20031</v>
      </c>
      <c r="K9742" s="1" t="str">
        <f t="shared" si="605"/>
        <v>ㄔ</v>
      </c>
      <c r="L9742" s="1" t="str">
        <f t="shared" si="606"/>
        <v>ㄥ</v>
      </c>
      <c r="M9742" s="1" t="str">
        <f t="shared" si="607"/>
        <v/>
      </c>
      <c r="P9742" s="1" t="s">
        <v>20</v>
      </c>
      <c r="R9742" s="1" t="s">
        <v>20032</v>
      </c>
      <c r="V9742" s="1" t="s">
        <v>20047</v>
      </c>
      <c r="W9742" s="1" t="s">
        <v>20048</v>
      </c>
      <c r="AR9742" s="1" t="str">
        <f t="shared" si="608"/>
        <v>| [ㄔㄥ](ㄔㄥ.md) | [鎗](鎗.md) |  | chēng | [擬]
形容敲擊金、鐘的聲音。《後漢書．卷六〇上．馬融傳》：「鍠鍠鎗鎗，奏於農郊大路之衢。」
[名]
一種三足鼎，古代多用作溫酒器。《南齊書．卷三八．蕭赤斧傳》：「陛下前欲壞酒鎗，恐宜移在此器也。」《南史．卷七三．孝義傳上．潘綜傳》：「少為邵吏，母好食鎗底飯。」 |</v>
      </c>
    </row>
    <row r="9743" spans="1:44" hidden="1">
      <c r="A9743" s="1" t="s">
        <v>20049</v>
      </c>
      <c r="C9743" s="1">
        <v>1</v>
      </c>
      <c r="D9743" s="1" t="str">
        <f>"08486"</f>
        <v>08486</v>
      </c>
      <c r="E9743" s="1" t="s">
        <v>28</v>
      </c>
      <c r="F9743" s="1">
        <v>15</v>
      </c>
      <c r="G9743" s="1">
        <v>12</v>
      </c>
      <c r="H9743" s="1">
        <v>1</v>
      </c>
      <c r="I9743" s="1" t="s">
        <v>20031</v>
      </c>
      <c r="K9743" s="1" t="str">
        <f t="shared" si="605"/>
        <v>ㄔ</v>
      </c>
      <c r="L9743" s="1" t="str">
        <f t="shared" si="606"/>
        <v>ㄥ</v>
      </c>
      <c r="M9743" s="1" t="str">
        <f t="shared" si="607"/>
        <v/>
      </c>
      <c r="P9743" s="1" t="s">
        <v>20</v>
      </c>
      <c r="R9743" s="1" t="s">
        <v>20032</v>
      </c>
      <c r="V9743" s="1" t="s">
        <v>12765</v>
      </c>
      <c r="W9743" s="1" t="s">
        <v>20050</v>
      </c>
      <c r="AR9743" s="1" t="str">
        <f t="shared" si="608"/>
        <v>| [ㄔㄥ](ㄔㄥ.md) | [噌](噌.md) |  | chēng | 參見「噌吰」條。 |</v>
      </c>
    </row>
    <row r="9744" spans="1:44" hidden="1">
      <c r="A9744" s="1" t="s">
        <v>20051</v>
      </c>
      <c r="C9744" s="1">
        <v>1</v>
      </c>
      <c r="D9744" s="1" t="str">
        <f>"08487"</f>
        <v>08487</v>
      </c>
      <c r="E9744" s="1" t="s">
        <v>6340</v>
      </c>
      <c r="F9744" s="1">
        <v>16</v>
      </c>
      <c r="G9744" s="1">
        <v>9</v>
      </c>
      <c r="H9744" s="1">
        <v>0</v>
      </c>
      <c r="I9744" s="1" t="s">
        <v>20031</v>
      </c>
      <c r="K9744" s="1" t="str">
        <f t="shared" si="605"/>
        <v>ㄔ</v>
      </c>
      <c r="L9744" s="1" t="str">
        <f t="shared" si="606"/>
        <v>ㄥ</v>
      </c>
      <c r="M9744" s="1" t="str">
        <f t="shared" si="607"/>
        <v/>
      </c>
      <c r="P9744" s="1" t="s">
        <v>20</v>
      </c>
      <c r="R9744" s="1" t="s">
        <v>20032</v>
      </c>
      <c r="V9744" s="1" t="s">
        <v>20052</v>
      </c>
      <c r="AR9744" s="1" t="str">
        <f t="shared" si="608"/>
        <v>| [ㄔㄥ](ㄔㄥ.md) | [赬](赬.md) |  | chēng | [名]
淺紅色。《爾雅．釋器》：「再染謂之赬。」晉．郭璞．注：「赬，淺赤。」
[形]
淺紅的。《詩經．周南．汝墳》：「魴魚赬尾，王室如燬。」唐．李白〈明唐賦〉：「赬欄各落，偃蹇霄漢。」 |</v>
      </c>
    </row>
    <row r="9745" spans="1:44" hidden="1">
      <c r="A9745" s="1" t="s">
        <v>20053</v>
      </c>
      <c r="C9745" s="1">
        <v>1</v>
      </c>
      <c r="D9745" s="1" t="str">
        <f>"08488"</f>
        <v>08488</v>
      </c>
      <c r="E9745" s="1" t="s">
        <v>1015</v>
      </c>
      <c r="F9745" s="1">
        <v>16</v>
      </c>
      <c r="G9745" s="1">
        <v>11</v>
      </c>
      <c r="H9745" s="1">
        <v>0</v>
      </c>
      <c r="I9745" s="1" t="s">
        <v>20031</v>
      </c>
      <c r="K9745" s="1" t="str">
        <f t="shared" si="605"/>
        <v>ㄔ</v>
      </c>
      <c r="L9745" s="1" t="str">
        <f t="shared" si="606"/>
        <v>ㄥ</v>
      </c>
      <c r="M9745" s="1" t="str">
        <f t="shared" si="607"/>
        <v/>
      </c>
      <c r="P9745" s="1" t="s">
        <v>20</v>
      </c>
      <c r="R9745" s="1" t="s">
        <v>20032</v>
      </c>
      <c r="V9745" s="1" t="s">
        <v>20054</v>
      </c>
      <c r="AR9745" s="1" t="str">
        <f t="shared" si="608"/>
        <v>| [ㄔㄥ](ㄔㄥ.md) | [瞠](瞠.md) |  | chēng | [動]
瞪著眼睛直看。如：「瞠目結舌」。宋．陸游〈醉歌〉：「醉倒村路兒扶歸，瞠目不識問是誰？」
[副]
驚視。《管子．小問》：「桓公北伐孤竹，未至卑耳之谿十里，闟然止．瞠然視，援弓將射，引而未敢發也。」唐．尹知章．注：「瞠，驚視貌。」 |</v>
      </c>
    </row>
    <row r="9746" spans="1:44" hidden="1">
      <c r="A9746" s="1" t="s">
        <v>20055</v>
      </c>
      <c r="C9746" s="1">
        <v>1</v>
      </c>
      <c r="D9746" s="1" t="str">
        <f>"08489"</f>
        <v>08489</v>
      </c>
      <c r="E9746" s="1" t="s">
        <v>139</v>
      </c>
      <c r="F9746" s="1">
        <v>17</v>
      </c>
      <c r="G9746" s="1">
        <v>13</v>
      </c>
      <c r="H9746" s="1">
        <v>0</v>
      </c>
      <c r="I9746" s="1" t="s">
        <v>20031</v>
      </c>
      <c r="K9746" s="1" t="str">
        <f t="shared" si="605"/>
        <v>ㄔ</v>
      </c>
      <c r="L9746" s="1" t="str">
        <f t="shared" si="606"/>
        <v>ㄥ</v>
      </c>
      <c r="M9746" s="1" t="str">
        <f t="shared" si="607"/>
        <v/>
      </c>
      <c r="P9746" s="1" t="s">
        <v>20</v>
      </c>
      <c r="R9746" s="1" t="s">
        <v>20032</v>
      </c>
      <c r="V9746" s="1" t="s">
        <v>20056</v>
      </c>
      <c r="AR9746" s="1" t="str">
        <f t="shared" si="608"/>
        <v>| [ㄔㄥ](ㄔㄥ.md) | [檉](檉.md) |  | chēng | 參見「檉柳」條。 |</v>
      </c>
    </row>
    <row r="9747" spans="1:44" hidden="1">
      <c r="A9747" s="1" t="s">
        <v>20057</v>
      </c>
      <c r="C9747" s="1">
        <v>1</v>
      </c>
      <c r="D9747" s="1" t="str">
        <f>"08490"</f>
        <v>08490</v>
      </c>
      <c r="E9747" s="1" t="s">
        <v>679</v>
      </c>
      <c r="F9747" s="1">
        <v>19</v>
      </c>
      <c r="G9747" s="1">
        <v>13</v>
      </c>
      <c r="H9747" s="1">
        <v>0</v>
      </c>
      <c r="I9747" s="1" t="s">
        <v>20031</v>
      </c>
      <c r="K9747" s="1" t="str">
        <f t="shared" si="605"/>
        <v>ㄔ</v>
      </c>
      <c r="L9747" s="1" t="str">
        <f t="shared" si="606"/>
        <v>ㄥ</v>
      </c>
      <c r="M9747" s="1" t="str">
        <f t="shared" si="607"/>
        <v/>
      </c>
      <c r="P9747" s="1" t="s">
        <v>20</v>
      </c>
      <c r="R9747" s="1" t="s">
        <v>20032</v>
      </c>
      <c r="V9747" s="1" t="s">
        <v>20058</v>
      </c>
      <c r="AR9747" s="1" t="str">
        <f t="shared" si="608"/>
        <v>| [ㄔㄥ](ㄔㄥ.md) | [蟶](蟶.md) |  | chēng | [名]
動物名。雙殼綱竹蟶科。一種海產貝類。殼窄長，剃刀狀。斧足大而活躍，能在洞穴中迅速上下移動，多見於潮間帶的泥沙中。肉似蠣，色白而味美，可食。也稱為「蟶子」。 |</v>
      </c>
    </row>
    <row r="9748" spans="1:44" hidden="1">
      <c r="A9748" s="1" t="s">
        <v>5042</v>
      </c>
      <c r="C9748" s="1">
        <v>1</v>
      </c>
      <c r="D9748" s="1" t="str">
        <f>"08491"</f>
        <v>08491</v>
      </c>
      <c r="E9748" s="1" t="s">
        <v>55</v>
      </c>
      <c r="F9748" s="1">
        <v>21</v>
      </c>
      <c r="G9748" s="1">
        <v>13</v>
      </c>
      <c r="H9748" s="1">
        <v>2</v>
      </c>
      <c r="I9748" s="1" t="s">
        <v>20031</v>
      </c>
      <c r="K9748" s="1" t="str">
        <f t="shared" si="605"/>
        <v>ㄔ</v>
      </c>
      <c r="L9748" s="1" t="str">
        <f t="shared" si="606"/>
        <v>ㄥ</v>
      </c>
      <c r="M9748" s="1" t="str">
        <f t="shared" si="607"/>
        <v/>
      </c>
      <c r="P9748" s="1" t="s">
        <v>20</v>
      </c>
      <c r="R9748" s="1" t="s">
        <v>20032</v>
      </c>
      <c r="V9748" s="1" t="s">
        <v>20059</v>
      </c>
      <c r="W9748" s="1" t="s">
        <v>20060</v>
      </c>
      <c r="AR9748" s="1" t="str">
        <f t="shared" si="608"/>
        <v>| [ㄔㄥ](ㄔㄥ.md) | [鐺](鐺.md) |  | chēng | [名]
1.古代一種有腳的鍋。如：「茶鐺」、「藥鐺」。
2.現在通用的平底淺鍋，用來烙餅或炒菜。 |</v>
      </c>
    </row>
    <row r="9749" spans="1:44" hidden="1">
      <c r="A9749" s="1" t="s">
        <v>20136</v>
      </c>
      <c r="C9749" s="1">
        <v>1</v>
      </c>
      <c r="D9749" s="1" t="str">
        <f>"08526"</f>
        <v>08526</v>
      </c>
      <c r="E9749" s="1" t="s">
        <v>5293</v>
      </c>
      <c r="F9749" s="1">
        <v>5</v>
      </c>
      <c r="G9749" s="1">
        <v>3</v>
      </c>
      <c r="H9749" s="1">
        <v>0</v>
      </c>
      <c r="I9749" s="1" t="s">
        <v>20137</v>
      </c>
      <c r="K9749" s="1" t="str">
        <f t="shared" si="605"/>
        <v>ㄔ</v>
      </c>
      <c r="L9749" s="1" t="str">
        <f t="shared" si="606"/>
        <v>ㄨ</v>
      </c>
      <c r="M9749" s="1" t="str">
        <f t="shared" si="607"/>
        <v/>
      </c>
      <c r="P9749" s="1" t="s">
        <v>20</v>
      </c>
      <c r="R9749" s="1" t="s">
        <v>20138</v>
      </c>
      <c r="V9749" s="1" t="s">
        <v>20139</v>
      </c>
      <c r="AR9749" s="1" t="str">
        <f t="shared" si="608"/>
        <v>| [ㄔㄨ](ㄔㄨ.md) | [出](出.md) |  | chū | [動]
1.自內至外。與「入」相對。如：「足不出戶」。《詩經．鄭風．出其東門》：「出其東門，有女如雲。」
2.產生、發生。如：「出汗」、「出水痘」、「出紕漏」。《易經．說卦》：「萬物出乎震，震東方也。」
3.脫離、離開。如：「出家」、「出軌」。《詩經．小雅．賓之初筵》：「既醉而出，並受其福；醉而不出，是謂伐德。」
4.給予、支付。如：「出錢」、「出納」、「支出」。
5.做官、出任其事。《易經．繫辭上》：「君子之道，或出或處。」《宋書．卷六七．謝靈運傳》：「出為永嘉太守。」
6.表現、顯露。如：「水落石出」。《莊子．天地》：「至言不出，俗言勝也。」
7.發洩。如：「出怨氣」、「出悶氣」。
8.超越。如：「出眾」、「出人頭地」。唐．韓愈〈師說〉：「古之聖人，其出人也遠矣。」
9.到。如：「出席」、「出場」。
10. 策劃。如：「出奇謀」、「出題目」。
[名]
1.外部、外面。《孟子．告子下》：「入則無法家拂士，出則無敵國外患者，國恆亡。」
2.量詞。古代計算表演段落的單位。《景德傳燈錄．卷十四．潭州雲巖曇晟禪師》：「藥山乃又問：『聞汝解弄師子，是否？』師曰：『是。』曰：『弄得幾出。』師曰：『弄得六出。』」
[副]
放在動詞之後，表示動作趨向或效果完成。如：「拿出」、「看出」、「做出好成績」、「練出一副好身材」。 |</v>
      </c>
    </row>
    <row r="9750" spans="1:44" hidden="1">
      <c r="A9750" s="1" t="s">
        <v>20140</v>
      </c>
      <c r="C9750" s="1">
        <v>1</v>
      </c>
      <c r="D9750" s="1" t="str">
        <f>"08527"</f>
        <v>08527</v>
      </c>
      <c r="E9750" s="1" t="s">
        <v>340</v>
      </c>
      <c r="F9750" s="1">
        <v>8</v>
      </c>
      <c r="G9750" s="1">
        <v>2</v>
      </c>
      <c r="H9750" s="1">
        <v>0</v>
      </c>
      <c r="I9750" s="1" t="s">
        <v>20137</v>
      </c>
      <c r="K9750" s="1" t="str">
        <f t="shared" si="605"/>
        <v>ㄔ</v>
      </c>
      <c r="L9750" s="1" t="str">
        <f t="shared" si="606"/>
        <v>ㄨ</v>
      </c>
      <c r="M9750" s="1" t="str">
        <f t="shared" si="607"/>
        <v/>
      </c>
      <c r="P9750" s="1" t="s">
        <v>20</v>
      </c>
      <c r="R9750" s="1" t="s">
        <v>20138</v>
      </c>
      <c r="V9750" s="1" t="s">
        <v>20141</v>
      </c>
      <c r="AR9750" s="1" t="str">
        <f t="shared" si="608"/>
        <v>| [ㄔㄨ](ㄔㄨ.md) | [初](初.md) |  | chū | [名]
1.根本、本原。《淮南子．俶真》：「是故聖人之學也，欲以返性於初，而游心於虛也。」《史記．卷四七．孔子世家》：「進取不忘其初。」
2.起源、開始。如：「年初」、「月初」、「和好如初」。唐．柳宗元〈封建論〉：「天地果無初乎？吾不得而知之也。」
3.姓。如宋代有初暐。
[形]
1.從前、原來。如：「初衷」、「初心」。
2.最先、開頭。如：「初秋」、「初民」、「初雪」。
3.最低的。如：「初級」、「初等」。
4.陰曆每月一日到十日，皆冠上「初」字，表上旬的。如：「初一」、「初二」。
[副]
1.第一次的。如：「初戀」、「初學」、「初試啼聲」。
2.甫、剛剛。如：「初出茅廬」。《書經．召誥》：「嗚呼！若生子，罔不在厥初生，自貽哲命。」《史記．卷四九．外戚世家》：「天下初定未久，繼嗣不明。」
3.全、始終。用於否定句，表範圍。《後漢書．卷八一．獨行傳．彭脩傳》：「受教三日，初不奉行，廢命不忠，豈非過邪？」 |</v>
      </c>
    </row>
    <row r="9751" spans="1:44" hidden="1">
      <c r="A9751" s="1" t="s">
        <v>20142</v>
      </c>
      <c r="C9751" s="1">
        <v>1</v>
      </c>
      <c r="D9751" s="1" t="str">
        <f>"08528"</f>
        <v>08528</v>
      </c>
      <c r="E9751" s="1" t="s">
        <v>537</v>
      </c>
      <c r="F9751" s="1">
        <v>18</v>
      </c>
      <c r="G9751" s="1">
        <v>11</v>
      </c>
      <c r="H9751" s="1">
        <v>0</v>
      </c>
      <c r="I9751" s="1" t="s">
        <v>20137</v>
      </c>
      <c r="K9751" s="1" t="str">
        <f t="shared" si="605"/>
        <v>ㄔ</v>
      </c>
      <c r="L9751" s="1" t="str">
        <f t="shared" si="606"/>
        <v>ㄨ</v>
      </c>
      <c r="M9751" s="1" t="str">
        <f t="shared" si="607"/>
        <v/>
      </c>
      <c r="P9751" s="1" t="s">
        <v>20</v>
      </c>
      <c r="R9751" s="1" t="s">
        <v>20138</v>
      </c>
      <c r="V9751" s="1" t="s">
        <v>20143</v>
      </c>
      <c r="AR9751" s="1" t="str">
        <f t="shared" si="608"/>
        <v>| [ㄔㄨ](ㄔㄨ.md) | [貙](貙.md) |  | chū | [名]
一種猛獸。形大如狗，毛紋似貍。《爾雅．釋獸》：「貙，似貍。」晉．郭璞．注：「今貙虎也。大如狗，文如貍。」 |</v>
      </c>
    </row>
    <row r="9752" spans="1:44" hidden="1">
      <c r="A9752" s="1" t="s">
        <v>20144</v>
      </c>
      <c r="C9752" s="1">
        <v>1</v>
      </c>
      <c r="D9752" s="1" t="str">
        <f>"08529"</f>
        <v>08529</v>
      </c>
      <c r="E9752" s="1" t="s">
        <v>592</v>
      </c>
      <c r="F9752" s="1">
        <v>20</v>
      </c>
      <c r="G9752" s="1">
        <v>5</v>
      </c>
      <c r="H9752" s="1">
        <v>0</v>
      </c>
      <c r="I9752" s="1" t="s">
        <v>20137</v>
      </c>
      <c r="K9752" s="1" t="str">
        <f t="shared" si="605"/>
        <v>ㄔ</v>
      </c>
      <c r="L9752" s="1" t="str">
        <f t="shared" si="606"/>
        <v>ㄨ</v>
      </c>
      <c r="M9752" s="1" t="str">
        <f t="shared" si="607"/>
        <v/>
      </c>
      <c r="P9752" s="1" t="s">
        <v>20</v>
      </c>
      <c r="R9752" s="1" t="s">
        <v>20138</v>
      </c>
      <c r="V9752" s="1" t="s">
        <v>20145</v>
      </c>
      <c r="AR9752" s="1" t="str">
        <f t="shared" si="608"/>
        <v>| [ㄔㄨ](ㄔㄨ.md) | [齣](齣.md) |  | chū | [名]
量詞。計算戲曲劇目的單位。如：「兩齣戲」。《儒林外史》第一〇回：「戲子上來參了堂，磕頭下去，打動鑼鼓，跳了一齣『加官』，演了一齣『張仙送子』，一齣『封贈』。」 |</v>
      </c>
    </row>
    <row r="9753" spans="1:44" hidden="1">
      <c r="A9753" s="1" t="s">
        <v>19404</v>
      </c>
      <c r="C9753" s="1">
        <v>1</v>
      </c>
      <c r="D9753" s="1" t="str">
        <f>"08206"</f>
        <v>08206</v>
      </c>
      <c r="E9753" s="1" t="s">
        <v>234</v>
      </c>
      <c r="F9753" s="1">
        <v>3</v>
      </c>
      <c r="G9753" s="1">
        <v>0</v>
      </c>
      <c r="H9753" s="1">
        <v>0</v>
      </c>
      <c r="I9753" s="1" t="s">
        <v>19405</v>
      </c>
      <c r="K9753" s="1" t="str">
        <f t="shared" si="605"/>
        <v>ㄔ</v>
      </c>
      <c r="M9753" s="1" t="str">
        <f t="shared" si="607"/>
        <v/>
      </c>
      <c r="N9753" s="3" t="s">
        <v>30574</v>
      </c>
      <c r="O9753" s="3"/>
      <c r="P9753" s="1" t="s">
        <v>20</v>
      </c>
      <c r="R9753" s="1" t="s">
        <v>19406</v>
      </c>
      <c r="V9753" s="1" t="s">
        <v>19407</v>
      </c>
      <c r="AR9753" s="1" t="str">
        <f t="shared" si="608"/>
        <v>| [ㄔˋ](ㄔˋ.md) | [彳](彳.md) |  | chì | [名]
1.左腳的步伐。明．張自烈《正字通．行部》：「左步為彳，右步為亍，合彳亍為行。」
2.二一四部首之一。
[動]
參見「彳亍」條。 |</v>
      </c>
    </row>
    <row r="9754" spans="1:44" hidden="1">
      <c r="A9754" s="1" t="s">
        <v>19408</v>
      </c>
      <c r="C9754" s="1">
        <v>1</v>
      </c>
      <c r="D9754" s="1" t="str">
        <f>"08207"</f>
        <v>08207</v>
      </c>
      <c r="E9754" s="1" t="s">
        <v>28</v>
      </c>
      <c r="F9754" s="1">
        <v>5</v>
      </c>
      <c r="G9754" s="1">
        <v>2</v>
      </c>
      <c r="H9754" s="1">
        <v>0</v>
      </c>
      <c r="I9754" s="1" t="s">
        <v>19405</v>
      </c>
      <c r="K9754" s="1" t="str">
        <f t="shared" si="605"/>
        <v>ㄔ</v>
      </c>
      <c r="M9754" s="1" t="str">
        <f t="shared" si="607"/>
        <v/>
      </c>
      <c r="N9754" s="3" t="s">
        <v>30574</v>
      </c>
      <c r="O9754" s="3"/>
      <c r="P9754" s="1" t="s">
        <v>20</v>
      </c>
      <c r="R9754" s="1" t="s">
        <v>19406</v>
      </c>
      <c r="V9754" s="1" t="s">
        <v>19409</v>
      </c>
      <c r="AR9754" s="1" t="str">
        <f t="shared" si="608"/>
        <v>| [ㄔˋ](ㄔˋ.md) | [叱](叱.md) |  | chì | [動]
1.大聲責罵。如：「怒叱」。《禮記．曲禮上》：「尊客之前不叱狗。」
2.吆喝。如：「呼叱」、「喝叱」。唐．白居易〈新樂府．賣炭翁〉：「手把文書口稱敕，迴車叱牛牽向北。」 |</v>
      </c>
    </row>
    <row r="9755" spans="1:44" hidden="1">
      <c r="A9755" s="1" t="s">
        <v>19410</v>
      </c>
      <c r="C9755" s="1">
        <v>1</v>
      </c>
      <c r="D9755" s="1" t="str">
        <f>"08208"</f>
        <v>08208</v>
      </c>
      <c r="E9755" s="1" t="s">
        <v>4517</v>
      </c>
      <c r="F9755" s="1">
        <v>5</v>
      </c>
      <c r="G9755" s="1">
        <v>1</v>
      </c>
      <c r="H9755" s="1">
        <v>0</v>
      </c>
      <c r="I9755" s="1" t="s">
        <v>19405</v>
      </c>
      <c r="K9755" s="1" t="str">
        <f t="shared" si="605"/>
        <v>ㄔ</v>
      </c>
      <c r="M9755" s="1" t="str">
        <f t="shared" si="607"/>
        <v/>
      </c>
      <c r="N9755" s="3" t="s">
        <v>30574</v>
      </c>
      <c r="O9755" s="3"/>
      <c r="P9755" s="1" t="s">
        <v>20</v>
      </c>
      <c r="R9755" s="1" t="s">
        <v>19406</v>
      </c>
      <c r="V9755" s="1" t="s">
        <v>19411</v>
      </c>
      <c r="AR9755" s="1" t="str">
        <f t="shared" si="608"/>
        <v>| [ㄔˋ](ㄔˋ.md) | [斥](斥.md) |  | chì | [動]
1.排除拒絕、摒棄不用。如：「排斥」、「同性相斥」。《漢書．卷六．武帝紀》：「與聞國政而無益於民者斥，在上位而不能進賢者退。」
2.責罵。如：「申斥」、「痛斥」、「呵斥」。
3.遍布。如：「外國貨充斥市場。」
4.偵察、探測。《左傳．襄公十八年》：「晉人使司馬斥山澤之險。」
5.動用，出。如：「斥資」。 |</v>
      </c>
    </row>
    <row r="9756" spans="1:44" hidden="1">
      <c r="A9756" s="1" t="s">
        <v>19412</v>
      </c>
      <c r="C9756" s="1">
        <v>1</v>
      </c>
      <c r="D9756" s="1" t="str">
        <f>"08209"</f>
        <v>08209</v>
      </c>
      <c r="E9756" s="1" t="s">
        <v>6340</v>
      </c>
      <c r="F9756" s="1">
        <v>7</v>
      </c>
      <c r="G9756" s="1">
        <v>0</v>
      </c>
      <c r="H9756" s="1">
        <v>0</v>
      </c>
      <c r="I9756" s="1" t="s">
        <v>19405</v>
      </c>
      <c r="K9756" s="1" t="str">
        <f t="shared" si="605"/>
        <v>ㄔ</v>
      </c>
      <c r="M9756" s="1" t="str">
        <f t="shared" si="607"/>
        <v/>
      </c>
      <c r="N9756" s="3" t="s">
        <v>30574</v>
      </c>
      <c r="O9756" s="3"/>
      <c r="P9756" s="1" t="s">
        <v>20</v>
      </c>
      <c r="R9756" s="1" t="s">
        <v>19406</v>
      </c>
      <c r="V9756" s="1" t="s">
        <v>19413</v>
      </c>
      <c r="AR9756" s="1" t="str">
        <f t="shared" si="608"/>
        <v>| [ㄔˋ](ㄔˋ.md) | [赤](赤.md) |  | chì | [形]
1.紅色的。如：「面紅耳赤」、「近朱者赤」。
2.熱烈、忠誠。如：「赤忱」、「赤膽忠心」。《荀子．王制》：「功名之所就，存亡危安之所墮，必將於愉殷赤心之所。」
3.空無的。如：「赤手空拳」。
[動]
1.誅滅。《文選．揚雄．解嘲》：「客徒朱丹吾轂，不知一跌將赤吾之族也。」
2.裸露。如：「赤身露體」。
[名]
1.姓。如古時有赤翼。
2.二一四部首之一。 |</v>
      </c>
    </row>
    <row r="9757" spans="1:44" hidden="1">
      <c r="A9757" s="1" t="s">
        <v>19414</v>
      </c>
      <c r="C9757" s="1">
        <v>1</v>
      </c>
      <c r="D9757" s="1" t="str">
        <f>"08210"</f>
        <v>08210</v>
      </c>
      <c r="E9757" s="1" t="s">
        <v>24</v>
      </c>
      <c r="F9757" s="1">
        <v>8</v>
      </c>
      <c r="G9757" s="1">
        <v>5</v>
      </c>
      <c r="H9757" s="1">
        <v>0</v>
      </c>
      <c r="I9757" s="1" t="s">
        <v>19405</v>
      </c>
      <c r="K9757" s="1" t="str">
        <f t="shared" si="605"/>
        <v>ㄔ</v>
      </c>
      <c r="M9757" s="1" t="str">
        <f t="shared" si="607"/>
        <v/>
      </c>
      <c r="N9757" s="3" t="s">
        <v>30574</v>
      </c>
      <c r="O9757" s="3"/>
      <c r="P9757" s="1" t="s">
        <v>20</v>
      </c>
      <c r="R9757" s="1" t="s">
        <v>19406</v>
      </c>
      <c r="V9757" s="1" t="s">
        <v>19415</v>
      </c>
      <c r="AR9757" s="1" t="str">
        <f t="shared" si="608"/>
        <v>| [ㄔˋ](ㄔˋ.md) | [抶](抶.md) |  | chì | [動]
鞭打。《左傳．文公十年》：「無畏抶其僕以徇。」 |</v>
      </c>
    </row>
    <row r="9758" spans="1:44" hidden="1">
      <c r="A9758" s="1" t="s">
        <v>19416</v>
      </c>
      <c r="C9758" s="1">
        <v>1</v>
      </c>
      <c r="D9758" s="1" t="str">
        <f>"08211"</f>
        <v>08211</v>
      </c>
      <c r="E9758" s="1" t="s">
        <v>2271</v>
      </c>
      <c r="F9758" s="1">
        <v>10</v>
      </c>
      <c r="G9758" s="1">
        <v>4</v>
      </c>
      <c r="H9758" s="1">
        <v>0</v>
      </c>
      <c r="I9758" s="1" t="s">
        <v>19405</v>
      </c>
      <c r="K9758" s="1" t="str">
        <f t="shared" si="605"/>
        <v>ㄔ</v>
      </c>
      <c r="M9758" s="1" t="str">
        <f t="shared" si="607"/>
        <v/>
      </c>
      <c r="N9758" s="3" t="s">
        <v>30574</v>
      </c>
      <c r="O9758" s="3"/>
      <c r="P9758" s="1" t="s">
        <v>20</v>
      </c>
      <c r="R9758" s="1" t="s">
        <v>19406</v>
      </c>
      <c r="V9758" s="1" t="s">
        <v>19417</v>
      </c>
      <c r="AR9758" s="1" t="str">
        <f t="shared" si="608"/>
        <v>| [ㄔˋ](ㄔˋ.md) | [翅](翅.md) |  | chì | [名]
1.鳥類及昆蟲的翼，通常用來飛行。如：「大鵬展翅」、「蟲兒舒翅」。
2.沙魚的鰭。如：「魚翅」。 |</v>
      </c>
    </row>
    <row r="9759" spans="1:44" hidden="1">
      <c r="A9759" s="1" t="s">
        <v>19418</v>
      </c>
      <c r="C9759" s="1">
        <v>1</v>
      </c>
      <c r="D9759" s="1" t="str">
        <f>"08212"</f>
        <v>08212</v>
      </c>
      <c r="E9759" s="1" t="s">
        <v>1015</v>
      </c>
      <c r="F9759" s="1">
        <v>10</v>
      </c>
      <c r="G9759" s="1">
        <v>5</v>
      </c>
      <c r="H9759" s="1">
        <v>1</v>
      </c>
      <c r="I9759" s="1" t="s">
        <v>19405</v>
      </c>
      <c r="K9759" s="1" t="str">
        <f t="shared" si="605"/>
        <v>ㄔ</v>
      </c>
      <c r="M9759" s="1" t="str">
        <f t="shared" si="607"/>
        <v/>
      </c>
      <c r="N9759" s="3" t="s">
        <v>30574</v>
      </c>
      <c r="O9759" s="3"/>
      <c r="P9759" s="1" t="s">
        <v>20</v>
      </c>
      <c r="R9759" s="1" t="s">
        <v>19406</v>
      </c>
      <c r="V9759" s="1" t="s">
        <v>19419</v>
      </c>
      <c r="W9759" s="1" t="s">
        <v>19420</v>
      </c>
      <c r="AR9759" s="1" t="str">
        <f t="shared" si="608"/>
        <v>| [ㄔˋ](ㄔˋ.md) | [眙](眙.md) |  | chì | [動]
盯著看。《說文解字．目部》：「眙，直視也。」《楚辭．屈原．九章．思美人》：「思美人兮，攬涕而佇眙。」《史記．卷一二六．滑稽傳．淳于髡傳》：「六博投壺，相引為曹，握手無罰，目眙不禁。」 |</v>
      </c>
    </row>
    <row r="9760" spans="1:44" hidden="1">
      <c r="A9760" s="1" t="s">
        <v>19421</v>
      </c>
      <c r="C9760" s="1">
        <v>1</v>
      </c>
      <c r="D9760" s="1" t="str">
        <f>"08213"</f>
        <v>08213</v>
      </c>
      <c r="E9760" s="1" t="s">
        <v>426</v>
      </c>
      <c r="F9760" s="1">
        <v>11</v>
      </c>
      <c r="G9760" s="1">
        <v>7</v>
      </c>
      <c r="H9760" s="1">
        <v>0</v>
      </c>
      <c r="I9760" s="1" t="s">
        <v>19405</v>
      </c>
      <c r="K9760" s="1" t="str">
        <f t="shared" si="605"/>
        <v>ㄔ</v>
      </c>
      <c r="M9760" s="1" t="str">
        <f t="shared" si="607"/>
        <v/>
      </c>
      <c r="N9760" s="3" t="s">
        <v>30574</v>
      </c>
      <c r="O9760" s="3"/>
      <c r="P9760" s="1" t="s">
        <v>20</v>
      </c>
      <c r="R9760" s="1" t="s">
        <v>19406</v>
      </c>
      <c r="V9760" s="1" t="s">
        <v>19422</v>
      </c>
      <c r="AR9760" s="1" t="str">
        <f t="shared" si="608"/>
        <v>| [ㄔˋ](ㄔˋ.md) | [敕](敕.md) |  | chì | [動]
1.告誡、命令。如：「申敕」。《漢書．卷六八．霍光傳》：「光敕左右：『謹宿衛，卒有物故自裁，令我負天下，有殺主名。』」
2.謹慎修持。通「飭」。《後漢書．卷五．孝安帝紀》：「能敕身率下。」
[名]
1.帝王的詔書。如：「詔敕」。《新唐書．卷三六．百官志一》：「凡上之逮下，其制有六：一曰制，二曰敕，三曰冊，天子用之。」
2.道士用在符咒上驅役鬼神的命令。如：「令咒燒敕」。 |</v>
      </c>
    </row>
    <row r="9761" spans="1:44" hidden="1">
      <c r="A9761" s="1" t="s">
        <v>19423</v>
      </c>
      <c r="C9761" s="1">
        <v>1</v>
      </c>
      <c r="D9761" s="1" t="str">
        <f>"08214"</f>
        <v>08214</v>
      </c>
      <c r="E9761" s="1" t="s">
        <v>272</v>
      </c>
      <c r="F9761" s="1">
        <v>22</v>
      </c>
      <c r="G9761" s="1">
        <v>11</v>
      </c>
      <c r="H9761" s="1">
        <v>0</v>
      </c>
      <c r="I9761" s="1" t="s">
        <v>19405</v>
      </c>
      <c r="K9761" s="1" t="str">
        <f t="shared" si="605"/>
        <v>ㄔ</v>
      </c>
      <c r="M9761" s="1" t="str">
        <f t="shared" si="607"/>
        <v/>
      </c>
      <c r="N9761" s="3" t="s">
        <v>30574</v>
      </c>
      <c r="O9761" s="3"/>
      <c r="P9761" s="1" t="s">
        <v>20</v>
      </c>
      <c r="R9761" s="1" t="s">
        <v>19406</v>
      </c>
      <c r="V9761" s="1" t="s">
        <v>19424</v>
      </c>
      <c r="AR9761" s="1" t="str">
        <f t="shared" si="608"/>
        <v>| [ㄔˋ](ㄔˋ.md) | [鷘](鷘.md) |  | chì | 同「鶒」。 |</v>
      </c>
    </row>
    <row r="9762" spans="1:44" hidden="1">
      <c r="A9762" s="1" t="s">
        <v>6485</v>
      </c>
      <c r="C9762" s="1">
        <v>1</v>
      </c>
      <c r="D9762" s="1" t="str">
        <f>"08215"</f>
        <v>08215</v>
      </c>
      <c r="E9762" s="1" t="s">
        <v>28</v>
      </c>
      <c r="F9762" s="1">
        <v>12</v>
      </c>
      <c r="G9762" s="1">
        <v>9</v>
      </c>
      <c r="H9762" s="1">
        <v>1</v>
      </c>
      <c r="I9762" s="1" t="s">
        <v>19405</v>
      </c>
      <c r="K9762" s="1" t="str">
        <f t="shared" si="605"/>
        <v>ㄔ</v>
      </c>
      <c r="M9762" s="1" t="str">
        <f t="shared" si="607"/>
        <v/>
      </c>
      <c r="N9762" s="3" t="s">
        <v>30574</v>
      </c>
      <c r="O9762" s="3"/>
      <c r="P9762" s="1" t="s">
        <v>20</v>
      </c>
      <c r="R9762" s="1" t="s">
        <v>19406</v>
      </c>
      <c r="V9762" s="1" t="s">
        <v>19425</v>
      </c>
      <c r="W9762" s="1" t="s">
        <v>19426</v>
      </c>
      <c r="AR9762" s="1" t="str">
        <f t="shared" si="608"/>
        <v>| [ㄔˋ](ㄔˋ.md) | [啻](啻.md) |  | chì | [副]
但、只、僅。常用於疑問詞或否定詞之後。如：「不啻」、「何啻」、「奚啻」。 |</v>
      </c>
    </row>
    <row r="9763" spans="1:44" hidden="1">
      <c r="A9763" s="1" t="s">
        <v>19427</v>
      </c>
      <c r="C9763" s="1">
        <v>1</v>
      </c>
      <c r="D9763" s="1" t="str">
        <f>"08216"</f>
        <v>08216</v>
      </c>
      <c r="E9763" s="1" t="s">
        <v>77</v>
      </c>
      <c r="F9763" s="1">
        <v>12</v>
      </c>
      <c r="G9763" s="1">
        <v>5</v>
      </c>
      <c r="H9763" s="1">
        <v>1</v>
      </c>
      <c r="I9763" s="1" t="s">
        <v>19405</v>
      </c>
      <c r="K9763" s="1" t="str">
        <f t="shared" si="605"/>
        <v>ㄔ</v>
      </c>
      <c r="M9763" s="1" t="str">
        <f t="shared" si="607"/>
        <v/>
      </c>
      <c r="N9763" s="3" t="s">
        <v>30574</v>
      </c>
      <c r="O9763" s="3"/>
      <c r="P9763" s="1" t="s">
        <v>20</v>
      </c>
      <c r="R9763" s="1" t="s">
        <v>19406</v>
      </c>
      <c r="V9763" s="1" t="s">
        <v>19428</v>
      </c>
      <c r="W9763" s="1" t="s">
        <v>19429</v>
      </c>
      <c r="AR9763" s="1" t="str">
        <f t="shared" si="608"/>
        <v>| [ㄔˋ](ㄔˋ.md) | [跇](跇.md) |  | chì | [動]
渡過、超越。《玉篇．足部》：「跇，超踰也。」《史記．卷二四．樂書》：「騁容與兮跇萬里，今安匹兮龍為友。」 |</v>
      </c>
    </row>
    <row r="9764" spans="1:44" hidden="1">
      <c r="A9764" s="1" t="s">
        <v>19430</v>
      </c>
      <c r="C9764" s="1">
        <v>1</v>
      </c>
      <c r="D9764" s="1" t="str">
        <f>"08217"</f>
        <v>08217</v>
      </c>
      <c r="E9764" s="1" t="s">
        <v>193</v>
      </c>
      <c r="F9764" s="1">
        <v>12</v>
      </c>
      <c r="G9764" s="1">
        <v>4</v>
      </c>
      <c r="H9764" s="1">
        <v>0</v>
      </c>
      <c r="I9764" s="1" t="s">
        <v>19405</v>
      </c>
      <c r="K9764" s="1" t="str">
        <f t="shared" si="605"/>
        <v>ㄔ</v>
      </c>
      <c r="M9764" s="1" t="str">
        <f t="shared" si="607"/>
        <v/>
      </c>
      <c r="N9764" s="3" t="s">
        <v>30574</v>
      </c>
      <c r="O9764" s="3"/>
      <c r="P9764" s="1" t="s">
        <v>20</v>
      </c>
      <c r="R9764" s="1" t="s">
        <v>19406</v>
      </c>
      <c r="V9764" s="1" t="s">
        <v>19431</v>
      </c>
      <c r="AR9764" s="1" t="str">
        <f t="shared" si="608"/>
        <v>| [ㄔˋ](ㄔˋ.md) | [飭](飭.md) |  | chì | [動]
1.整頓、治理。如：「整飭」。《詩經．小雅．六月》：「六月棲棲，戎車既飭。」
2.告誡。通「敕」。如：「戒飭」、「申飭」。《史記．卷一．五帝本紀》：「信飭百官，眾功皆興。」
[副]
謹慎。《禮記．樂記》：「再始以著往，復亂以飭歸。」
[形]
修飾、裝飾。通「飾」。漢．王充《論衡．答佞》：「上奢，己麗服；上儉，己不飭。」 |</v>
      </c>
    </row>
    <row r="9765" spans="1:44" hidden="1">
      <c r="A9765" s="1" t="s">
        <v>19432</v>
      </c>
      <c r="C9765" s="1">
        <v>1</v>
      </c>
      <c r="D9765" s="1" t="str">
        <f>"08218"</f>
        <v>08218</v>
      </c>
      <c r="E9765" s="1" t="s">
        <v>77</v>
      </c>
      <c r="F9765" s="1">
        <v>13</v>
      </c>
      <c r="G9765" s="1">
        <v>6</v>
      </c>
      <c r="H9765" s="1">
        <v>0</v>
      </c>
      <c r="I9765" s="1" t="s">
        <v>19405</v>
      </c>
      <c r="K9765" s="1" t="str">
        <f t="shared" si="605"/>
        <v>ㄔ</v>
      </c>
      <c r="M9765" s="1" t="str">
        <f t="shared" si="607"/>
        <v/>
      </c>
      <c r="N9765" s="3" t="s">
        <v>30574</v>
      </c>
      <c r="O9765" s="3"/>
      <c r="P9765" s="1" t="s">
        <v>20</v>
      </c>
      <c r="R9765" s="1" t="s">
        <v>19406</v>
      </c>
      <c r="V9765" s="1" t="s">
        <v>19433</v>
      </c>
      <c r="AR9765" s="1" t="str">
        <f t="shared" si="608"/>
        <v>| [ㄔˋ](ㄔˋ.md) | [跮](跮.md) |  | chì | [動]
走路忽進忽退。《集韻．去聲．至韻》：「跮，乍前卻也。」 |</v>
      </c>
    </row>
    <row r="9766" spans="1:44" hidden="1">
      <c r="A9766" s="1" t="s">
        <v>19434</v>
      </c>
      <c r="C9766" s="1">
        <v>1</v>
      </c>
      <c r="D9766" s="1" t="str">
        <f>"08219"</f>
        <v>08219</v>
      </c>
      <c r="E9766" s="1" t="s">
        <v>114</v>
      </c>
      <c r="F9766" s="1">
        <v>13</v>
      </c>
      <c r="G9766" s="1">
        <v>11</v>
      </c>
      <c r="H9766" s="1">
        <v>0</v>
      </c>
      <c r="I9766" s="1" t="s">
        <v>19405</v>
      </c>
      <c r="K9766" s="1" t="str">
        <f t="shared" si="605"/>
        <v>ㄔ</v>
      </c>
      <c r="M9766" s="1" t="str">
        <f t="shared" si="607"/>
        <v/>
      </c>
      <c r="N9766" s="3" t="s">
        <v>30574</v>
      </c>
      <c r="O9766" s="3"/>
      <c r="P9766" s="1" t="s">
        <v>20</v>
      </c>
      <c r="R9766" s="1" t="s">
        <v>19406</v>
      </c>
      <c r="V9766" s="1" t="s">
        <v>19435</v>
      </c>
      <c r="AR9766" s="1" t="str">
        <f t="shared" si="608"/>
        <v>| [ㄔˋ](ㄔˋ.md) | [傺](傺.md) |  | chì | [動]
留住、停留。《楚辭．屈原．九章．惜誦》：「欲儃佪以干傺兮，恐重患而離尤。」 |</v>
      </c>
    </row>
    <row r="9767" spans="1:44" hidden="1">
      <c r="A9767" s="1" t="s">
        <v>17397</v>
      </c>
      <c r="C9767" s="1">
        <v>1</v>
      </c>
      <c r="D9767" s="1" t="str">
        <f>"08220"</f>
        <v>08220</v>
      </c>
      <c r="E9767" s="1" t="s">
        <v>77</v>
      </c>
      <c r="F9767" s="1">
        <v>14</v>
      </c>
      <c r="G9767" s="1">
        <v>7</v>
      </c>
      <c r="H9767" s="1">
        <v>1</v>
      </c>
      <c r="I9767" s="1" t="s">
        <v>19405</v>
      </c>
      <c r="K9767" s="1" t="str">
        <f t="shared" si="605"/>
        <v>ㄔ</v>
      </c>
      <c r="M9767" s="1" t="str">
        <f t="shared" si="607"/>
        <v/>
      </c>
      <c r="N9767" s="3" t="s">
        <v>30574</v>
      </c>
      <c r="O9767" s="3"/>
      <c r="P9767" s="1" t="s">
        <v>20</v>
      </c>
      <c r="R9767" s="1" t="s">
        <v>19406</v>
      </c>
      <c r="V9767" s="1" t="s">
        <v>19436</v>
      </c>
      <c r="W9767" s="1" t="s">
        <v>19437</v>
      </c>
      <c r="AR9767" s="1" t="str">
        <f t="shared" si="608"/>
        <v>| [ㄔˋ](ㄔˋ.md) | [踅](踅.md) |  | chì | [動]
用一條腿跳著走。《集韻．去聲．祭韻》：「踅，一足行也。」 |</v>
      </c>
    </row>
    <row r="9768" spans="1:44" hidden="1">
      <c r="A9768" s="1" t="s">
        <v>19438</v>
      </c>
      <c r="C9768" s="1">
        <v>1</v>
      </c>
      <c r="D9768" s="1" t="str">
        <f>"08221"</f>
        <v>08221</v>
      </c>
      <c r="E9768" s="1" t="s">
        <v>336</v>
      </c>
      <c r="F9768" s="1">
        <v>16</v>
      </c>
      <c r="G9768" s="1">
        <v>12</v>
      </c>
      <c r="H9768" s="1">
        <v>0</v>
      </c>
      <c r="I9768" s="1" t="s">
        <v>19405</v>
      </c>
      <c r="K9768" s="1" t="str">
        <f t="shared" si="605"/>
        <v>ㄔ</v>
      </c>
      <c r="M9768" s="1" t="str">
        <f t="shared" si="607"/>
        <v/>
      </c>
      <c r="N9768" s="3" t="s">
        <v>30574</v>
      </c>
      <c r="O9768" s="3"/>
      <c r="P9768" s="1" t="s">
        <v>20</v>
      </c>
      <c r="R9768" s="1" t="s">
        <v>19406</v>
      </c>
      <c r="V9768" s="1" t="s">
        <v>19439</v>
      </c>
      <c r="AR9768" s="1" t="str">
        <f t="shared" si="608"/>
        <v>| [ㄔˋ](ㄔˋ.md) | [熾](熾.md) |  | chì | [形]
1.火勢旺盛。如：「熾熱」。《韓非子．內儲說下》：「奉熾爐炭，肉盡赤紅。」
2.強盛。《詩經．小雅．六月》：「玁狁孔熾，我是用急。」《資治通鑑．卷二四〇．唐紀五十六．憲宗元和十四年》：「晉、宋以來，日益繁熾。」
[動]
燃燒。《左傳．昭公十年》：「柳熾炭于位，將至，則去之。」《水滸傳》第九三回：「李逵從外入來，聽了這幾句說話，心如火熾，口似煙生。」 |</v>
      </c>
    </row>
    <row r="9769" spans="1:44" hidden="1">
      <c r="A9769" s="1" t="s">
        <v>19440</v>
      </c>
      <c r="C9769" s="1">
        <v>1</v>
      </c>
      <c r="D9769" s="1" t="str">
        <f>"08222"</f>
        <v>08222</v>
      </c>
      <c r="E9769" s="1" t="s">
        <v>250</v>
      </c>
      <c r="F9769" s="1">
        <v>18</v>
      </c>
      <c r="G9769" s="1">
        <v>14</v>
      </c>
      <c r="H9769" s="1">
        <v>0</v>
      </c>
      <c r="I9769" s="1" t="s">
        <v>19405</v>
      </c>
      <c r="K9769" s="1" t="str">
        <f t="shared" si="605"/>
        <v>ㄔ</v>
      </c>
      <c r="M9769" s="1" t="str">
        <f t="shared" si="607"/>
        <v/>
      </c>
      <c r="N9769" s="3" t="s">
        <v>30574</v>
      </c>
      <c r="O9769" s="3"/>
      <c r="P9769" s="1" t="s">
        <v>20</v>
      </c>
      <c r="R9769" s="1" t="s">
        <v>19406</v>
      </c>
      <c r="V9769" s="1" t="s">
        <v>19441</v>
      </c>
      <c r="AR9769" s="1" t="str">
        <f t="shared" si="608"/>
        <v>| [ㄔˋ](ㄔˋ.md) | [懘](懘.md) |  | chì | [形]
不調和、不協調。如：「惉懘之音」。 |</v>
      </c>
    </row>
    <row r="9770" spans="1:44" hidden="1">
      <c r="A9770" s="1" t="s">
        <v>19442</v>
      </c>
      <c r="C9770" s="1">
        <v>1</v>
      </c>
      <c r="D9770" s="1" t="str">
        <f>"08223"</f>
        <v>08223</v>
      </c>
      <c r="E9770" s="1" t="s">
        <v>272</v>
      </c>
      <c r="F9770" s="1">
        <v>20</v>
      </c>
      <c r="G9770" s="1">
        <v>9</v>
      </c>
      <c r="H9770" s="1">
        <v>0</v>
      </c>
      <c r="I9770" s="1" t="s">
        <v>19405</v>
      </c>
      <c r="K9770" s="1" t="str">
        <f t="shared" si="605"/>
        <v>ㄔ</v>
      </c>
      <c r="M9770" s="1" t="str">
        <f t="shared" si="607"/>
        <v/>
      </c>
      <c r="N9770" s="3" t="s">
        <v>30574</v>
      </c>
      <c r="O9770" s="3"/>
      <c r="P9770" s="1" t="s">
        <v>20</v>
      </c>
      <c r="R9770" s="1" t="s">
        <v>19406</v>
      </c>
      <c r="V9770" s="1" t="s">
        <v>16139</v>
      </c>
      <c r="AR9770" s="1" t="str">
        <f t="shared" si="608"/>
        <v>| [ㄔˋ](ㄔˋ.md) | [鶒](鶒.md) |  | chì | 參見「鸂鶒」條。 |</v>
      </c>
    </row>
    <row r="9771" spans="1:44" hidden="1">
      <c r="A9771" s="1" t="s">
        <v>16178</v>
      </c>
      <c r="C9771" s="1">
        <v>1</v>
      </c>
      <c r="D9771" s="1" t="str">
        <f>"08224"</f>
        <v>08224</v>
      </c>
      <c r="E9771" s="1" t="s">
        <v>193</v>
      </c>
      <c r="F9771" s="1">
        <v>20</v>
      </c>
      <c r="G9771" s="1">
        <v>12</v>
      </c>
      <c r="H9771" s="1">
        <v>2</v>
      </c>
      <c r="I9771" s="1" t="s">
        <v>19405</v>
      </c>
      <c r="K9771" s="1" t="str">
        <f t="shared" si="605"/>
        <v>ㄔ</v>
      </c>
      <c r="M9771" s="1" t="str">
        <f t="shared" si="607"/>
        <v/>
      </c>
      <c r="N9771" s="3" t="s">
        <v>30574</v>
      </c>
      <c r="O9771" s="3"/>
      <c r="P9771" s="1" t="s">
        <v>110</v>
      </c>
      <c r="R9771" s="1" t="s">
        <v>19406</v>
      </c>
      <c r="V9771" s="1" t="s">
        <v>111</v>
      </c>
      <c r="W9771" s="1" t="s">
        <v>19443</v>
      </c>
      <c r="AR9771" s="1" t="str">
        <f t="shared" si="608"/>
        <v>| [ㄔˋ](ㄔˋ.md) | [饎](饎.md) |  | chì | (一)之又音。 |</v>
      </c>
    </row>
    <row r="9772" spans="1:44" hidden="1">
      <c r="A9772" s="1" t="s">
        <v>19338</v>
      </c>
      <c r="C9772" s="1">
        <v>1</v>
      </c>
      <c r="D9772" s="1" t="str">
        <f>"08176"</f>
        <v>08176</v>
      </c>
      <c r="E9772" s="1" t="s">
        <v>871</v>
      </c>
      <c r="F9772" s="1">
        <v>4</v>
      </c>
      <c r="G9772" s="1">
        <v>1</v>
      </c>
      <c r="H9772" s="1">
        <v>2</v>
      </c>
      <c r="I9772" s="1" t="s">
        <v>19339</v>
      </c>
      <c r="K9772" s="1" t="str">
        <f t="shared" si="605"/>
        <v>ㄔ</v>
      </c>
      <c r="M9772" s="1" t="str">
        <f t="shared" si="607"/>
        <v/>
      </c>
      <c r="N9772" s="3" t="s">
        <v>30575</v>
      </c>
      <c r="O9772" s="3"/>
      <c r="P9772" s="1" t="s">
        <v>20</v>
      </c>
      <c r="R9772" s="1" t="s">
        <v>19340</v>
      </c>
      <c r="V9772" s="1" t="s">
        <v>19341</v>
      </c>
      <c r="W9772" s="1" t="s">
        <v>19342</v>
      </c>
      <c r="AR9772" s="1" t="str">
        <f t="shared" si="608"/>
        <v>| [ㄔˊ](ㄔˊ.md) | [尺](尺.md) |  | chí | 參見「尺寸」(二)條。 |</v>
      </c>
    </row>
    <row r="9773" spans="1:44" hidden="1">
      <c r="A9773" s="1" t="s">
        <v>19343</v>
      </c>
      <c r="C9773" s="1">
        <v>1</v>
      </c>
      <c r="D9773" s="1" t="str">
        <f>"08177"</f>
        <v>08177</v>
      </c>
      <c r="E9773" s="1" t="s">
        <v>129</v>
      </c>
      <c r="F9773" s="1">
        <v>6</v>
      </c>
      <c r="G9773" s="1">
        <v>3</v>
      </c>
      <c r="H9773" s="1">
        <v>0</v>
      </c>
      <c r="I9773" s="1" t="s">
        <v>19339</v>
      </c>
      <c r="K9773" s="1" t="str">
        <f t="shared" si="605"/>
        <v>ㄔ</v>
      </c>
      <c r="M9773" s="1" t="str">
        <f t="shared" si="607"/>
        <v/>
      </c>
      <c r="N9773" s="3" t="s">
        <v>30575</v>
      </c>
      <c r="O9773" s="3"/>
      <c r="P9773" s="1" t="s">
        <v>20</v>
      </c>
      <c r="R9773" s="1" t="s">
        <v>19340</v>
      </c>
      <c r="V9773" s="1" t="s">
        <v>19344</v>
      </c>
      <c r="AR9773" s="1" t="str">
        <f t="shared" si="608"/>
        <v>| [ㄔˊ](ㄔˊ.md) | [池](池.md) |  | chí | [名]
1.古代的護城河。《左傳．僖公四年》：「楚國方城以為城，漢水以為池。」《禮記．禮運》：「城郭溝池以為固。」
2.可儲存水的凹地。如：「水池」、「游泳池」、「硯池」。
3.低淺如池的平地。如：「舞池」。
4.姓。如秦代有池子華。 |</v>
      </c>
    </row>
    <row r="9774" spans="1:44" hidden="1">
      <c r="A9774" s="1" t="s">
        <v>19345</v>
      </c>
      <c r="C9774" s="1">
        <v>1</v>
      </c>
      <c r="D9774" s="1" t="str">
        <f>"08178"</f>
        <v>08178</v>
      </c>
      <c r="E9774" s="1" t="s">
        <v>103</v>
      </c>
      <c r="F9774" s="1">
        <v>6</v>
      </c>
      <c r="G9774" s="1">
        <v>3</v>
      </c>
      <c r="H9774" s="1">
        <v>2</v>
      </c>
      <c r="I9774" s="1" t="s">
        <v>19339</v>
      </c>
      <c r="K9774" s="1" t="str">
        <f t="shared" si="605"/>
        <v>ㄔ</v>
      </c>
      <c r="M9774" s="1" t="str">
        <f t="shared" si="607"/>
        <v/>
      </c>
      <c r="N9774" s="3" t="s">
        <v>30575</v>
      </c>
      <c r="O9774" s="3"/>
      <c r="P9774" s="1" t="s">
        <v>110</v>
      </c>
      <c r="R9774" s="1" t="s">
        <v>19340</v>
      </c>
      <c r="V9774" s="1" t="s">
        <v>111</v>
      </c>
      <c r="W9774" s="1" t="s">
        <v>19346</v>
      </c>
      <c r="AR9774" s="1" t="str">
        <f t="shared" si="608"/>
        <v>| [ㄔˊ](ㄔˊ.md) | [弛](弛.md) |  | chí | (一)之又音。 |</v>
      </c>
    </row>
    <row r="9775" spans="1:44" hidden="1">
      <c r="A9775" s="1" t="s">
        <v>19347</v>
      </c>
      <c r="C9775" s="1">
        <v>1</v>
      </c>
      <c r="D9775" s="1" t="str">
        <f>"08179"</f>
        <v>08179</v>
      </c>
      <c r="E9775" s="1" t="s">
        <v>319</v>
      </c>
      <c r="F9775" s="1">
        <v>13</v>
      </c>
      <c r="G9775" s="1">
        <v>3</v>
      </c>
      <c r="H9775" s="1">
        <v>0</v>
      </c>
      <c r="I9775" s="1" t="s">
        <v>19339</v>
      </c>
      <c r="K9775" s="1" t="str">
        <f t="shared" si="605"/>
        <v>ㄔ</v>
      </c>
      <c r="M9775" s="1" t="str">
        <f t="shared" si="607"/>
        <v/>
      </c>
      <c r="N9775" s="3" t="s">
        <v>30575</v>
      </c>
      <c r="O9775" s="3"/>
      <c r="P9775" s="1" t="s">
        <v>20</v>
      </c>
      <c r="R9775" s="1" t="s">
        <v>19340</v>
      </c>
      <c r="V9775" s="1" t="s">
        <v>19348</v>
      </c>
      <c r="AR9775" s="1" t="str">
        <f t="shared" si="608"/>
        <v>| [ㄔˊ](ㄔˊ.md) | [馳](馳.md) |  | chí | [動]
1.車馬疾走。《詩經．鄘風．載馳》：「載馳載驅，歸唁衛侯。」《莊子．秋水》：「騏驥驊騮一日而馳千里。」
2.快跑。如：「奔馳」。三國蜀．諸葛亮〈誡子書〉：「年與時馳，意與歲去。」
3.追逐。《左傳．莊公十年》：「齊師敗績，公將馳之。」
4.嚮往。如：「心馳神往」。《隋書．卷六三．史祥傳》：「身在邊隅，情馳魏闕。」
5.傳播、傳揚。《文選．孔稚珪．北山移文》：「希蹤三輔豪，馳聲九州牧。」唐．李白〈贈從孫義興宰銘〉詩：「名馳三江外，峻節貫雲霄。」
6.施展。《文選．宋玉．神女賦．序》：「五色並馳，不可殫形。」 |</v>
      </c>
    </row>
    <row r="9776" spans="1:44" hidden="1">
      <c r="A9776" s="1" t="s">
        <v>19349</v>
      </c>
      <c r="C9776" s="1">
        <v>1</v>
      </c>
      <c r="D9776" s="1" t="str">
        <f>"08180"</f>
        <v>08180</v>
      </c>
      <c r="E9776" s="1" t="s">
        <v>129</v>
      </c>
      <c r="F9776" s="1">
        <v>8</v>
      </c>
      <c r="G9776" s="1">
        <v>5</v>
      </c>
      <c r="H9776" s="1">
        <v>0</v>
      </c>
      <c r="I9776" s="1" t="s">
        <v>19339</v>
      </c>
      <c r="K9776" s="1" t="str">
        <f t="shared" ref="K9776:K9839" si="609">LEFT(I9776, 1)</f>
        <v>ㄔ</v>
      </c>
      <c r="M9776" s="1" t="str">
        <f t="shared" si="607"/>
        <v/>
      </c>
      <c r="N9776" s="3" t="s">
        <v>30575</v>
      </c>
      <c r="O9776" s="3"/>
      <c r="P9776" s="1" t="s">
        <v>20</v>
      </c>
      <c r="R9776" s="1" t="s">
        <v>19340</v>
      </c>
      <c r="V9776" s="1" t="s">
        <v>19350</v>
      </c>
      <c r="AR9776" s="1" t="str">
        <f t="shared" si="608"/>
        <v>| [ㄔˊ](ㄔˊ.md) | [泜](泜.md) |  | chí | [名]
河川名。即滍河，今名沙河。源出河南省平頂山市魯山縣堯山，東流經許昌市、漯河市，至周口市注入潁河。《集韻．上聲．旨韻》：「滍，《說文》：水出南陽魯陽堯山，東北入汝。或作泜。」 |</v>
      </c>
    </row>
    <row r="9777" spans="1:44" hidden="1">
      <c r="A9777" s="1" t="s">
        <v>5216</v>
      </c>
      <c r="C9777" s="1">
        <v>1</v>
      </c>
      <c r="D9777" s="1" t="str">
        <f>"08181"</f>
        <v>08181</v>
      </c>
      <c r="E9777" s="1" t="s">
        <v>132</v>
      </c>
      <c r="F9777" s="1">
        <v>8</v>
      </c>
      <c r="G9777" s="1">
        <v>5</v>
      </c>
      <c r="H9777" s="1">
        <v>1</v>
      </c>
      <c r="I9777" s="1" t="s">
        <v>19339</v>
      </c>
      <c r="K9777" s="1" t="str">
        <f t="shared" si="609"/>
        <v>ㄔ</v>
      </c>
      <c r="M9777" s="1" t="str">
        <f t="shared" si="607"/>
        <v/>
      </c>
      <c r="N9777" s="3" t="s">
        <v>30575</v>
      </c>
      <c r="O9777" s="3"/>
      <c r="P9777" s="1" t="s">
        <v>20</v>
      </c>
      <c r="R9777" s="1" t="s">
        <v>19340</v>
      </c>
      <c r="V9777" s="1" t="s">
        <v>19351</v>
      </c>
      <c r="W9777" s="1" t="s">
        <v>19352</v>
      </c>
      <c r="AR9777" s="1" t="str">
        <f t="shared" si="608"/>
        <v>| [ㄔˊ](ㄔˊ.md) | [坻](坻.md) |  | chí | [名]
水中高地。《詩經．秦風．蒹葭》：「溯游從之，宛在水中坻。」 |</v>
      </c>
    </row>
    <row r="9778" spans="1:44" hidden="1">
      <c r="A9778" s="1" t="s">
        <v>19353</v>
      </c>
      <c r="C9778" s="1">
        <v>1</v>
      </c>
      <c r="D9778" s="1" t="str">
        <f>"08182"</f>
        <v>08182</v>
      </c>
      <c r="E9778" s="1" t="s">
        <v>679</v>
      </c>
      <c r="F9778" s="1">
        <v>11</v>
      </c>
      <c r="G9778" s="1">
        <v>5</v>
      </c>
      <c r="H9778" s="1">
        <v>0</v>
      </c>
      <c r="I9778" s="1" t="s">
        <v>19339</v>
      </c>
      <c r="K9778" s="1" t="str">
        <f t="shared" si="609"/>
        <v>ㄔ</v>
      </c>
      <c r="M9778" s="1" t="str">
        <f t="shared" si="607"/>
        <v/>
      </c>
      <c r="N9778" s="3" t="s">
        <v>30575</v>
      </c>
      <c r="O9778" s="3"/>
      <c r="P9778" s="1" t="s">
        <v>20</v>
      </c>
      <c r="R9778" s="1" t="s">
        <v>19340</v>
      </c>
      <c r="V9778" s="1" t="s">
        <v>19354</v>
      </c>
      <c r="AR9778" s="1" t="str">
        <f t="shared" si="608"/>
        <v>| [ㄔˊ](ㄔˊ.md) | [蚳](蚳.md) |  | chí | [名]
1.螞蟻的卵。《爾雅．釋蟲》：「蚍蜉……其子蚳。」晉．郭璞．注：「蚳，蟻卵。」
2.姓。如戰國時齊國有蚳蛙。 |</v>
      </c>
    </row>
    <row r="9779" spans="1:44" hidden="1">
      <c r="A9779" s="1" t="s">
        <v>19355</v>
      </c>
      <c r="C9779" s="1">
        <v>1</v>
      </c>
      <c r="D9779" s="1" t="str">
        <f>"08183"</f>
        <v>08183</v>
      </c>
      <c r="E9779" s="1" t="s">
        <v>505</v>
      </c>
      <c r="F9779" s="1">
        <v>12</v>
      </c>
      <c r="G9779" s="1">
        <v>5</v>
      </c>
      <c r="H9779" s="1">
        <v>0</v>
      </c>
      <c r="I9779" s="1" t="s">
        <v>19339</v>
      </c>
      <c r="K9779" s="1" t="str">
        <f t="shared" si="609"/>
        <v>ㄔ</v>
      </c>
      <c r="M9779" s="1" t="str">
        <f t="shared" si="607"/>
        <v/>
      </c>
      <c r="N9779" s="3" t="s">
        <v>30575</v>
      </c>
      <c r="O9779" s="3"/>
      <c r="P9779" s="1" t="s">
        <v>20</v>
      </c>
      <c r="R9779" s="1" t="s">
        <v>19340</v>
      </c>
      <c r="V9779" s="1" t="s">
        <v>19356</v>
      </c>
      <c r="AR9779" s="1" t="str">
        <f t="shared" si="608"/>
        <v>| [ㄔˊ](ㄔˊ.md) | [貾](貾.md) |  | chí | 參見「餘貾」條。 |</v>
      </c>
    </row>
    <row r="9780" spans="1:44" hidden="1">
      <c r="A9780" s="1" t="s">
        <v>17898</v>
      </c>
      <c r="C9780" s="1">
        <v>1</v>
      </c>
      <c r="D9780" s="1" t="str">
        <f>"08184"</f>
        <v>08184</v>
      </c>
      <c r="E9780" s="1" t="s">
        <v>129</v>
      </c>
      <c r="F9780" s="1">
        <v>8</v>
      </c>
      <c r="G9780" s="1">
        <v>5</v>
      </c>
      <c r="H9780" s="1">
        <v>2</v>
      </c>
      <c r="I9780" s="1" t="s">
        <v>19339</v>
      </c>
      <c r="K9780" s="1" t="str">
        <f t="shared" si="609"/>
        <v>ㄔ</v>
      </c>
      <c r="M9780" s="1" t="str">
        <f t="shared" si="607"/>
        <v/>
      </c>
      <c r="N9780" s="3" t="s">
        <v>30575</v>
      </c>
      <c r="O9780" s="3"/>
      <c r="P9780" s="1" t="s">
        <v>186</v>
      </c>
      <c r="R9780" s="1" t="s">
        <v>19340</v>
      </c>
      <c r="V9780" s="1" t="s">
        <v>19357</v>
      </c>
      <c r="W9780" s="1" t="s">
        <v>19358</v>
      </c>
      <c r="AR9780" s="1" t="str">
        <f t="shared" si="608"/>
        <v>| [ㄔˊ](ㄔˊ.md) | [治](治.md) |  | chí | (一)[動]1.之讀音。 |</v>
      </c>
    </row>
    <row r="9781" spans="1:44" hidden="1">
      <c r="A9781" s="1" t="s">
        <v>19359</v>
      </c>
      <c r="C9781" s="1">
        <v>1</v>
      </c>
      <c r="D9781" s="1" t="str">
        <f>"08185"</f>
        <v>08185</v>
      </c>
      <c r="E9781" s="1" t="s">
        <v>24</v>
      </c>
      <c r="F9781" s="1">
        <v>9</v>
      </c>
      <c r="G9781" s="1">
        <v>6</v>
      </c>
      <c r="H9781" s="1">
        <v>0</v>
      </c>
      <c r="I9781" s="1" t="s">
        <v>19339</v>
      </c>
      <c r="K9781" s="1" t="str">
        <f t="shared" si="609"/>
        <v>ㄔ</v>
      </c>
      <c r="M9781" s="1" t="str">
        <f t="shared" si="607"/>
        <v/>
      </c>
      <c r="N9781" s="3" t="s">
        <v>30575</v>
      </c>
      <c r="O9781" s="3"/>
      <c r="P9781" s="1" t="s">
        <v>20</v>
      </c>
      <c r="R9781" s="1" t="s">
        <v>19340</v>
      </c>
      <c r="V9781" s="1" t="s">
        <v>19360</v>
      </c>
      <c r="AR9781" s="1" t="str">
        <f t="shared" si="608"/>
        <v>| [ㄔˊ](ㄔˊ.md) | [持](持.md) |  | chí | [動]
1.拿、握。如：「持槍」、「持筆」。
2.維護、堅守。如：「保持」、「堅持」、「持之以恆」。
3.對抗。如：「僵持」、「相持不下」。
4.支撐。如：「支持」。《莊子．漁父》：「左手據膝，右手持頤以聽。」
5.扶助。如：「相互扶持」。《荀子．解蔽》：「鮑叔、甯戚、隰朋仁知且不蔽，故能持管仲而名利福祿與管仲齊。」
6.主管、治理。如：「主持」、「操持家務」、「勤儉持家」。 |</v>
      </c>
    </row>
    <row r="9782" spans="1:44" hidden="1">
      <c r="A9782" s="1" t="s">
        <v>19361</v>
      </c>
      <c r="C9782" s="1">
        <v>1</v>
      </c>
      <c r="D9782" s="1" t="str">
        <f>"08186"</f>
        <v>08186</v>
      </c>
      <c r="E9782" s="1" t="s">
        <v>1495</v>
      </c>
      <c r="F9782" s="1">
        <v>10</v>
      </c>
      <c r="G9782" s="1">
        <v>6</v>
      </c>
      <c r="H9782" s="1">
        <v>0</v>
      </c>
      <c r="I9782" s="1" t="s">
        <v>19339</v>
      </c>
      <c r="K9782" s="1" t="str">
        <f t="shared" si="609"/>
        <v>ㄔ</v>
      </c>
      <c r="M9782" s="1" t="str">
        <f t="shared" si="607"/>
        <v/>
      </c>
      <c r="N9782" s="3" t="s">
        <v>30575</v>
      </c>
      <c r="O9782" s="3"/>
      <c r="P9782" s="1" t="s">
        <v>20</v>
      </c>
      <c r="R9782" s="1" t="s">
        <v>19340</v>
      </c>
      <c r="V9782" s="1" t="s">
        <v>19362</v>
      </c>
      <c r="AR9782" s="1" t="str">
        <f t="shared" si="608"/>
        <v>| [ㄔˊ](ㄔˊ.md) | [歭](歭.md) |  | chí | [形]
歭躇：徘徊不前的樣子。《說文解字．止部》：「歭，躇也。」清．段玉裁．注：「歭躇為雙聲字，此以躇釋歭者，雙聲互訓也。」 |</v>
      </c>
    </row>
    <row r="9783" spans="1:44" hidden="1">
      <c r="A9783" s="1" t="s">
        <v>19363</v>
      </c>
      <c r="C9783" s="1">
        <v>1</v>
      </c>
      <c r="D9783" s="1" t="str">
        <f>"08187"</f>
        <v>08187</v>
      </c>
      <c r="E9783" s="1" t="s">
        <v>37</v>
      </c>
      <c r="F9783" s="1">
        <v>9</v>
      </c>
      <c r="G9783" s="1">
        <v>5</v>
      </c>
      <c r="H9783" s="1">
        <v>0</v>
      </c>
      <c r="I9783" s="1" t="s">
        <v>19339</v>
      </c>
      <c r="K9783" s="1" t="str">
        <f t="shared" si="609"/>
        <v>ㄔ</v>
      </c>
      <c r="M9783" s="1" t="str">
        <f t="shared" si="607"/>
        <v/>
      </c>
      <c r="N9783" s="3" t="s">
        <v>30575</v>
      </c>
      <c r="O9783" s="3"/>
      <c r="P9783" s="1" t="s">
        <v>20</v>
      </c>
      <c r="R9783" s="1" t="s">
        <v>19340</v>
      </c>
      <c r="V9783" s="1" t="s">
        <v>19364</v>
      </c>
      <c r="AR9783" s="1" t="str">
        <f t="shared" si="608"/>
        <v>| [ㄔˊ](ㄔˊ.md) | [茌](茌.md) |  | chí | 參見「茌平」條。 |</v>
      </c>
    </row>
    <row r="9784" spans="1:44" hidden="1">
      <c r="A9784" s="1" t="s">
        <v>19365</v>
      </c>
      <c r="C9784" s="1">
        <v>1</v>
      </c>
      <c r="D9784" s="1" t="str">
        <f>"08188"</f>
        <v>08188</v>
      </c>
      <c r="E9784" s="1" t="s">
        <v>37</v>
      </c>
      <c r="F9784" s="1">
        <v>10</v>
      </c>
      <c r="G9784" s="1">
        <v>6</v>
      </c>
      <c r="H9784" s="1">
        <v>0</v>
      </c>
      <c r="I9784" s="1" t="s">
        <v>19339</v>
      </c>
      <c r="K9784" s="1" t="str">
        <f t="shared" si="609"/>
        <v>ㄔ</v>
      </c>
      <c r="M9784" s="1" t="str">
        <f t="shared" si="607"/>
        <v/>
      </c>
      <c r="N9784" s="3" t="s">
        <v>30575</v>
      </c>
      <c r="O9784" s="3"/>
      <c r="P9784" s="1" t="s">
        <v>20</v>
      </c>
      <c r="R9784" s="1" t="s">
        <v>19340</v>
      </c>
      <c r="V9784" s="1" t="s">
        <v>19366</v>
      </c>
      <c r="AR9784" s="1" t="str">
        <f t="shared" si="608"/>
        <v>| [ㄔˊ](ㄔˊ.md) | [荎](荎.md) |  | chí | 參見「荎藸」條。 |</v>
      </c>
    </row>
    <row r="9785" spans="1:44" hidden="1">
      <c r="A9785" s="1" t="s">
        <v>19367</v>
      </c>
      <c r="C9785" s="1">
        <v>1</v>
      </c>
      <c r="D9785" s="1" t="str">
        <f>"08189"</f>
        <v>08189</v>
      </c>
      <c r="E9785" s="1" t="s">
        <v>360</v>
      </c>
      <c r="F9785" s="1">
        <v>11</v>
      </c>
      <c r="G9785" s="1">
        <v>9</v>
      </c>
      <c r="H9785" s="1">
        <v>1</v>
      </c>
      <c r="I9785" s="1" t="s">
        <v>19339</v>
      </c>
      <c r="K9785" s="1" t="str">
        <f t="shared" si="609"/>
        <v>ㄔ</v>
      </c>
      <c r="M9785" s="1" t="str">
        <f t="shared" si="607"/>
        <v/>
      </c>
      <c r="N9785" s="3" t="s">
        <v>30575</v>
      </c>
      <c r="O9785" s="3"/>
      <c r="P9785" s="1" t="s">
        <v>20</v>
      </c>
      <c r="R9785" s="1" t="s">
        <v>19340</v>
      </c>
      <c r="V9785" s="1" t="s">
        <v>19368</v>
      </c>
      <c r="W9785" s="1" t="s">
        <v>19369</v>
      </c>
      <c r="AR9785" s="1" t="str">
        <f t="shared" si="608"/>
        <v>| [ㄔˊ](ㄔˊ.md) | [匙](匙.md) |  | chí | [名]
1.舀取流質液體的飲食用具。俗稱為「調羹」。如：「湯匙」、「茶匙」。也稱為「匙子」。
2.姓。如明代有匙廣。 |</v>
      </c>
    </row>
    <row r="9786" spans="1:44" hidden="1">
      <c r="A9786" s="1" t="s">
        <v>5146</v>
      </c>
      <c r="C9786" s="1">
        <v>1</v>
      </c>
      <c r="D9786" s="1" t="str">
        <f>"08190"</f>
        <v>08190</v>
      </c>
      <c r="E9786" s="1" t="s">
        <v>55</v>
      </c>
      <c r="F9786" s="1">
        <v>17</v>
      </c>
      <c r="G9786" s="1">
        <v>9</v>
      </c>
      <c r="H9786" s="1">
        <v>3</v>
      </c>
      <c r="I9786" s="1" t="s">
        <v>19339</v>
      </c>
      <c r="K9786" s="1" t="str">
        <f t="shared" si="609"/>
        <v>ㄔ</v>
      </c>
      <c r="M9786" s="1" t="str">
        <f t="shared" si="607"/>
        <v/>
      </c>
      <c r="N9786" s="3" t="s">
        <v>30575</v>
      </c>
      <c r="O9786" s="3"/>
      <c r="P9786" s="1" t="s">
        <v>20</v>
      </c>
      <c r="R9786" s="1" t="s">
        <v>19340</v>
      </c>
      <c r="V9786" s="1" t="s">
        <v>19370</v>
      </c>
      <c r="W9786" s="1" t="s">
        <v>19371</v>
      </c>
      <c r="AR9786" s="1" t="str">
        <f t="shared" si="608"/>
        <v>| [ㄔˊ](ㄔˊ.md) | [鍉](鍉.md) |  | chí | [名]
開鎖的用具。同「匙」。明．張自烈《正字通．金部》：「鑰以閉戶，鍉以啟鑰，鎖腹有須，鍉入內，鉤合其須則鑰開。」 |</v>
      </c>
    </row>
    <row r="9787" spans="1:44" hidden="1">
      <c r="A9787" s="1" t="s">
        <v>19323</v>
      </c>
      <c r="C9787" s="1">
        <v>1</v>
      </c>
      <c r="D9787" s="1" t="str">
        <f>"08191"</f>
        <v>08191</v>
      </c>
      <c r="E9787" s="1" t="s">
        <v>40</v>
      </c>
      <c r="F9787" s="1">
        <v>13</v>
      </c>
      <c r="G9787" s="1">
        <v>8</v>
      </c>
      <c r="H9787" s="1">
        <v>2</v>
      </c>
      <c r="I9787" s="1" t="s">
        <v>19339</v>
      </c>
      <c r="K9787" s="1" t="str">
        <f t="shared" si="609"/>
        <v>ㄔ</v>
      </c>
      <c r="M9787" s="1" t="str">
        <f t="shared" si="607"/>
        <v/>
      </c>
      <c r="N9787" s="3" t="s">
        <v>30575</v>
      </c>
      <c r="O9787" s="3"/>
      <c r="P9787" s="1" t="s">
        <v>110</v>
      </c>
      <c r="R9787" s="1" t="s">
        <v>19340</v>
      </c>
      <c r="V9787" s="1" t="s">
        <v>111</v>
      </c>
      <c r="W9787" s="1" t="s">
        <v>19372</v>
      </c>
      <c r="AR9787" s="1" t="str">
        <f t="shared" si="608"/>
        <v>| [ㄔˊ](ㄔˊ.md) | [痴](痴.md) |  | chí | (一)之又音。 |</v>
      </c>
    </row>
    <row r="9788" spans="1:44" hidden="1">
      <c r="A9788" s="1" t="s">
        <v>19373</v>
      </c>
      <c r="C9788" s="1">
        <v>1</v>
      </c>
      <c r="D9788" s="1" t="str">
        <f>"08192"</f>
        <v>08192</v>
      </c>
      <c r="E9788" s="1" t="s">
        <v>77</v>
      </c>
      <c r="F9788" s="1">
        <v>15</v>
      </c>
      <c r="G9788" s="1">
        <v>8</v>
      </c>
      <c r="H9788" s="1">
        <v>0</v>
      </c>
      <c r="I9788" s="1" t="s">
        <v>19339</v>
      </c>
      <c r="K9788" s="1" t="str">
        <f t="shared" si="609"/>
        <v>ㄔ</v>
      </c>
      <c r="M9788" s="1" t="str">
        <f t="shared" si="607"/>
        <v/>
      </c>
      <c r="N9788" s="3" t="s">
        <v>30575</v>
      </c>
      <c r="O9788" s="3"/>
      <c r="P9788" s="1" t="s">
        <v>20</v>
      </c>
      <c r="R9788" s="1" t="s">
        <v>19340</v>
      </c>
      <c r="V9788" s="1" t="s">
        <v>19374</v>
      </c>
      <c r="AR9788" s="1" t="str">
        <f t="shared" si="608"/>
        <v>| [ㄔˊ](ㄔˊ.md) | [踟](踟.md) |  | chí | 參見「踟躕」條。 |</v>
      </c>
    </row>
    <row r="9789" spans="1:44" hidden="1">
      <c r="A9789" s="1" t="s">
        <v>19375</v>
      </c>
      <c r="C9789" s="1">
        <v>1</v>
      </c>
      <c r="D9789" s="1" t="str">
        <f>"08193"</f>
        <v>08193</v>
      </c>
      <c r="E9789" s="1" t="s">
        <v>132</v>
      </c>
      <c r="F9789" s="1">
        <v>15</v>
      </c>
      <c r="G9789" s="1">
        <v>12</v>
      </c>
      <c r="H9789" s="1">
        <v>0</v>
      </c>
      <c r="I9789" s="1" t="s">
        <v>19339</v>
      </c>
      <c r="K9789" s="1" t="str">
        <f t="shared" si="609"/>
        <v>ㄔ</v>
      </c>
      <c r="M9789" s="1" t="str">
        <f t="shared" si="607"/>
        <v/>
      </c>
      <c r="N9789" s="3" t="s">
        <v>30575</v>
      </c>
      <c r="O9789" s="3"/>
      <c r="P9789" s="1" t="s">
        <v>20</v>
      </c>
      <c r="R9789" s="1" t="s">
        <v>19340</v>
      </c>
      <c r="V9789" s="1" t="s">
        <v>19376</v>
      </c>
      <c r="AR9789" s="1" t="str">
        <f t="shared" si="608"/>
        <v>| [ㄔˊ](ㄔˊ.md) | [墀](墀.md) |  | chí | [名]
臺階上的平地。《字彙．土部》：「墀，階上地也。」如：「丹墀」、「玉墀」。《文選．班固．西都賦》：「玄墀釦砌，玉階彤庭。」 |</v>
      </c>
    </row>
    <row r="9790" spans="1:44" hidden="1">
      <c r="A9790" s="1" t="s">
        <v>17981</v>
      </c>
      <c r="C9790" s="1">
        <v>1</v>
      </c>
      <c r="D9790" s="1" t="str">
        <f>"08194"</f>
        <v>08194</v>
      </c>
      <c r="E9790" s="1" t="s">
        <v>558</v>
      </c>
      <c r="F9790" s="1">
        <v>16</v>
      </c>
      <c r="G9790" s="1">
        <v>12</v>
      </c>
      <c r="H9790" s="1">
        <v>1</v>
      </c>
      <c r="I9790" s="1" t="s">
        <v>19339</v>
      </c>
      <c r="K9790" s="1" t="str">
        <f t="shared" si="609"/>
        <v>ㄔ</v>
      </c>
      <c r="M9790" s="1" t="str">
        <f t="shared" ref="M9790:M9853" si="610">MID(I9790, 3, 1)</f>
        <v/>
      </c>
      <c r="N9790" s="3" t="s">
        <v>30575</v>
      </c>
      <c r="O9790" s="3"/>
      <c r="P9790" s="1" t="s">
        <v>20</v>
      </c>
      <c r="R9790" s="1" t="s">
        <v>19340</v>
      </c>
      <c r="V9790" s="1" t="s">
        <v>19377</v>
      </c>
      <c r="W9790" s="1" t="s">
        <v>19378</v>
      </c>
      <c r="AR9790" s="1" t="str">
        <f t="shared" si="608"/>
        <v>| [ㄔˊ](ㄔˊ.md) | [遲](遲.md) |  | chí | [形]
1.緩、慢。如：「事不宜遲」、「說時遲，那時快。」
2.不靈活、不敏捷。如：「遲鈍」。《三國志．卷一．魏書．武帝紀》：「袁紹雖有大志，而見事遲，必不動也。」
[副]
晚、不早。如：「姍姍來遲」、「遲到」。
[動]
猶豫、延緩。如：「遲疑不決」。唐．白居易〈琵琶行〉：「尋聲暗問彈者誰，琵琶聲停欲語遲。」
[名]
姓。如古時有遲任。 |</v>
      </c>
    </row>
    <row r="9791" spans="1:44" hidden="1">
      <c r="A9791" s="1" t="s">
        <v>19379</v>
      </c>
      <c r="C9791" s="1">
        <v>1</v>
      </c>
      <c r="D9791" s="1" t="str">
        <f>"08195"</f>
        <v>08195</v>
      </c>
      <c r="E9791" s="1" t="s">
        <v>49</v>
      </c>
      <c r="F9791" s="1">
        <v>16</v>
      </c>
      <c r="G9791" s="1">
        <v>10</v>
      </c>
      <c r="H9791" s="1">
        <v>0</v>
      </c>
      <c r="I9791" s="1" t="s">
        <v>19339</v>
      </c>
      <c r="K9791" s="1" t="str">
        <f t="shared" si="609"/>
        <v>ㄔ</v>
      </c>
      <c r="M9791" s="1" t="str">
        <f t="shared" si="610"/>
        <v/>
      </c>
      <c r="N9791" s="3" t="s">
        <v>30575</v>
      </c>
      <c r="O9791" s="3"/>
      <c r="P9791" s="1" t="s">
        <v>20</v>
      </c>
      <c r="R9791" s="1" t="s">
        <v>19340</v>
      </c>
      <c r="V9791" s="1" t="s">
        <v>19380</v>
      </c>
      <c r="AR9791" s="1" t="str">
        <f t="shared" si="608"/>
        <v>| [ㄔˊ](ㄔˊ.md) | [篪](篪.md) |  | chí | [名]
樂器名，吹管樂器。是古代傳統的一種橫吹，形狀像笛的竹製樂器，有八孔。篪與笛的明顯區別是篪無膜，底端為有竹節封閉，而笛有膜，底端開放。 |</v>
      </c>
    </row>
    <row r="9792" spans="1:44" hidden="1">
      <c r="A9792" s="1" t="s">
        <v>19338</v>
      </c>
      <c r="C9792" s="1">
        <v>1</v>
      </c>
      <c r="D9792" s="1" t="str">
        <f>"08196"</f>
        <v>08196</v>
      </c>
      <c r="E9792" s="1" t="s">
        <v>871</v>
      </c>
      <c r="F9792" s="1">
        <v>4</v>
      </c>
      <c r="G9792" s="1">
        <v>1</v>
      </c>
      <c r="H9792" s="1">
        <v>1</v>
      </c>
      <c r="I9792" s="1" t="s">
        <v>19381</v>
      </c>
      <c r="K9792" s="1" t="str">
        <f t="shared" si="609"/>
        <v>ㄔ</v>
      </c>
      <c r="M9792" s="1" t="str">
        <f t="shared" si="610"/>
        <v/>
      </c>
      <c r="N9792" s="3" t="s">
        <v>30576</v>
      </c>
      <c r="O9792" s="3"/>
      <c r="P9792" s="1" t="s">
        <v>20</v>
      </c>
      <c r="R9792" s="1" t="s">
        <v>19382</v>
      </c>
      <c r="V9792" s="1" t="s">
        <v>19383</v>
      </c>
      <c r="W9792" s="1" t="s">
        <v>19384</v>
      </c>
      <c r="AR9792" s="1" t="str">
        <f t="shared" si="608"/>
        <v>| [ㄔˇ](ㄔˇ.md) | [尺](尺.md) |  | chǐ | [名]
1.量詞。為民間使用的長度單位。例如一臺尺約等於三十公分；一市尺約等於三十三公分。
2.量長短的器具。如：「皮尺」、「鐵尺」。
3.像尺的條狀物。如：「鎮尺」、「戒尺」。
[形]
微小的。如：「尺寸之功」。《孟子．公孫丑上》：「尺地莫非其有也，一民莫非其臣也。」 |</v>
      </c>
    </row>
    <row r="9793" spans="1:44" hidden="1">
      <c r="A9793" s="1" t="s">
        <v>19385</v>
      </c>
      <c r="C9793" s="1">
        <v>1</v>
      </c>
      <c r="D9793" s="1" t="str">
        <f>"08197"</f>
        <v>08197</v>
      </c>
      <c r="E9793" s="1" t="s">
        <v>28</v>
      </c>
      <c r="F9793" s="1">
        <v>7</v>
      </c>
      <c r="G9793" s="1">
        <v>4</v>
      </c>
      <c r="H9793" s="1">
        <v>0</v>
      </c>
      <c r="I9793" s="1" t="s">
        <v>19381</v>
      </c>
      <c r="K9793" s="1" t="str">
        <f t="shared" si="609"/>
        <v>ㄔ</v>
      </c>
      <c r="M9793" s="1" t="str">
        <f t="shared" si="610"/>
        <v/>
      </c>
      <c r="N9793" s="3" t="s">
        <v>30576</v>
      </c>
      <c r="O9793" s="3"/>
      <c r="P9793" s="1" t="s">
        <v>20</v>
      </c>
      <c r="R9793" s="1" t="s">
        <v>19382</v>
      </c>
      <c r="V9793" s="1" t="s">
        <v>19386</v>
      </c>
      <c r="AR9793" s="1" t="str">
        <f t="shared" si="608"/>
        <v>| [ㄔˇ](ㄔˇ.md) | [呎](呎.md) |  | chǐ | [名]
量詞。英制用以表示長度的單位。一呎等於十二吋，約等於零點三〇四八米。也稱為「英尺」。 |</v>
      </c>
    </row>
    <row r="9794" spans="1:44" hidden="1">
      <c r="A9794" s="1" t="s">
        <v>19387</v>
      </c>
      <c r="C9794" s="1">
        <v>1</v>
      </c>
      <c r="D9794" s="1" t="str">
        <f>"08198"</f>
        <v>08198</v>
      </c>
      <c r="E9794" s="1" t="s">
        <v>679</v>
      </c>
      <c r="F9794" s="1">
        <v>10</v>
      </c>
      <c r="G9794" s="1">
        <v>4</v>
      </c>
      <c r="H9794" s="1">
        <v>0</v>
      </c>
      <c r="I9794" s="1" t="s">
        <v>19381</v>
      </c>
      <c r="K9794" s="1" t="str">
        <f t="shared" si="609"/>
        <v>ㄔ</v>
      </c>
      <c r="M9794" s="1" t="str">
        <f t="shared" si="610"/>
        <v/>
      </c>
      <c r="N9794" s="3" t="s">
        <v>30576</v>
      </c>
      <c r="O9794" s="3"/>
      <c r="P9794" s="1" t="s">
        <v>20</v>
      </c>
      <c r="R9794" s="1" t="s">
        <v>19382</v>
      </c>
      <c r="V9794" s="1" t="s">
        <v>19388</v>
      </c>
      <c r="AR9794" s="1" t="str">
        <f t="shared" si="608"/>
        <v>| [ㄔˇ](ㄔˇ.md) | [蚇](蚇.md) |  | chǐ | [名]
動物名。即尺蠖。昆蟲綱鱗翅目。白天時將翅膀平展於樹幹上，體色酷似樹皮，具有掩飾作用。腹末有兩對腳，以各種闊葉樹的葉片為食，每每造成嚴重的葉落現象。具有趨光性，入夜後，可在樹多的區域發現蹤跡。 |</v>
      </c>
    </row>
    <row r="9795" spans="1:44" hidden="1">
      <c r="A9795" s="1" t="s">
        <v>19389</v>
      </c>
      <c r="C9795" s="1">
        <v>1</v>
      </c>
      <c r="D9795" s="1" t="str">
        <f>"08199"</f>
        <v>08199</v>
      </c>
      <c r="E9795" s="1" t="s">
        <v>114</v>
      </c>
      <c r="F9795" s="1">
        <v>8</v>
      </c>
      <c r="G9795" s="1">
        <v>6</v>
      </c>
      <c r="H9795" s="1">
        <v>0</v>
      </c>
      <c r="I9795" s="1" t="s">
        <v>19381</v>
      </c>
      <c r="K9795" s="1" t="str">
        <f t="shared" si="609"/>
        <v>ㄔ</v>
      </c>
      <c r="M9795" s="1" t="str">
        <f t="shared" si="610"/>
        <v/>
      </c>
      <c r="N9795" s="3" t="s">
        <v>30576</v>
      </c>
      <c r="O9795" s="3"/>
      <c r="P9795" s="1" t="s">
        <v>20</v>
      </c>
      <c r="R9795" s="1" t="s">
        <v>19382</v>
      </c>
      <c r="V9795" s="1" t="s">
        <v>19390</v>
      </c>
      <c r="AR9795" s="1" t="str">
        <f t="shared" ref="AR9795:AR9858" si="611">"| ["&amp;I9795&amp;"]("&amp;I9795&amp;".md) | ["&amp;A9795&amp;"]("&amp;A9795&amp;".md) | "&amp;" | "&amp;R9795&amp;" | "&amp;V9795&amp;" |"</f>
        <v>| [ㄔˇ](ㄔˇ.md) | [侈](侈.md) |  | chǐ | [形]
1.鋪張浪費。《說文解字．人部》：「侈，泰奢也。」如：「奢侈」。《左傳．莊公二十四年》：「儉，德之共也；侈，惡之大也。」
2.誇大不實。如：「侈談」、「放言侈論」。《文選．左思．三都賦序》：「侈言無驗，雖麗非經。」
3.大。《漢書．卷九九．王莽傳中》：「莽為人侈口蹷顄，露眼赤精，大聲而嘶。」
4.放肆、放縱、不節制。《孟子．梁惠王上》：「苟無恆心，放僻邪侈，無不為已。」《呂氏春秋．仲夏紀．侈樂》：「故樂愈侈，而民愈鬱，國愈亂。」 |</v>
      </c>
    </row>
    <row r="9796" spans="1:44" hidden="1">
      <c r="A9796" s="1" t="s">
        <v>18013</v>
      </c>
      <c r="C9796" s="1">
        <v>1</v>
      </c>
      <c r="D9796" s="1" t="str">
        <f>"08200"</f>
        <v>08200</v>
      </c>
      <c r="E9796" s="1" t="s">
        <v>563</v>
      </c>
      <c r="F9796" s="1">
        <v>9</v>
      </c>
      <c r="G9796" s="1">
        <v>6</v>
      </c>
      <c r="H9796" s="1">
        <v>3</v>
      </c>
      <c r="I9796" s="1" t="s">
        <v>19381</v>
      </c>
      <c r="K9796" s="1" t="str">
        <f t="shared" si="609"/>
        <v>ㄔ</v>
      </c>
      <c r="M9796" s="1" t="str">
        <f t="shared" si="610"/>
        <v/>
      </c>
      <c r="N9796" s="3" t="s">
        <v>30576</v>
      </c>
      <c r="O9796" s="3"/>
      <c r="P9796" s="1" t="s">
        <v>20</v>
      </c>
      <c r="R9796" s="1" t="s">
        <v>19382</v>
      </c>
      <c r="V9796" s="1" t="s">
        <v>19391</v>
      </c>
      <c r="W9796" s="1" t="s">
        <v>19392</v>
      </c>
      <c r="AR9796" s="1" t="str">
        <f t="shared" si="611"/>
        <v>| [ㄔˇ](ㄔˇ.md) | [奓](奓.md) |  | chǐ | [形]
奢侈。《文選．張衡．西京賦》：「有憑虛公子者，心奓體忕，雅好博古。」
[動]
賣弄。《文選．潘岳．射雉賦》：「厲耿介之專心兮，奓雄豔之姱姿。」 |</v>
      </c>
    </row>
    <row r="9797" spans="1:44" hidden="1">
      <c r="A9797" s="1" t="s">
        <v>19393</v>
      </c>
      <c r="C9797" s="1">
        <v>1</v>
      </c>
      <c r="D9797" s="1" t="str">
        <f>"08201"</f>
        <v>08201</v>
      </c>
      <c r="E9797" s="1" t="s">
        <v>331</v>
      </c>
      <c r="F9797" s="1">
        <v>13</v>
      </c>
      <c r="G9797" s="1">
        <v>6</v>
      </c>
      <c r="H9797" s="1">
        <v>0</v>
      </c>
      <c r="I9797" s="1" t="s">
        <v>19381</v>
      </c>
      <c r="K9797" s="1" t="str">
        <f t="shared" si="609"/>
        <v>ㄔ</v>
      </c>
      <c r="M9797" s="1" t="str">
        <f t="shared" si="610"/>
        <v/>
      </c>
      <c r="N9797" s="3" t="s">
        <v>30576</v>
      </c>
      <c r="O9797" s="3"/>
      <c r="P9797" s="1" t="s">
        <v>20</v>
      </c>
      <c r="R9797" s="1" t="s">
        <v>19382</v>
      </c>
      <c r="V9797" s="1" t="s">
        <v>19394</v>
      </c>
      <c r="AR9797" s="1" t="str">
        <f t="shared" si="611"/>
        <v>| [ㄔˇ](ㄔˇ.md) | [誃](誃.md) |  | chǐ | [動]
分離。《說文解字．言部》：「誃，離別也。」 |</v>
      </c>
    </row>
    <row r="9798" spans="1:44" hidden="1">
      <c r="A9798" s="1" t="s">
        <v>19395</v>
      </c>
      <c r="C9798" s="1">
        <v>1</v>
      </c>
      <c r="D9798" s="1" t="str">
        <f>"08202"</f>
        <v>08202</v>
      </c>
      <c r="E9798" s="1" t="s">
        <v>250</v>
      </c>
      <c r="F9798" s="1">
        <v>10</v>
      </c>
      <c r="G9798" s="1">
        <v>6</v>
      </c>
      <c r="H9798" s="1">
        <v>0</v>
      </c>
      <c r="I9798" s="1" t="s">
        <v>19381</v>
      </c>
      <c r="K9798" s="1" t="str">
        <f t="shared" si="609"/>
        <v>ㄔ</v>
      </c>
      <c r="M9798" s="1" t="str">
        <f t="shared" si="610"/>
        <v/>
      </c>
      <c r="N9798" s="3" t="s">
        <v>30576</v>
      </c>
      <c r="O9798" s="3"/>
      <c r="P9798" s="1" t="s">
        <v>20</v>
      </c>
      <c r="R9798" s="1" t="s">
        <v>19382</v>
      </c>
      <c r="V9798" s="1" t="s">
        <v>19396</v>
      </c>
      <c r="AR9798" s="1" t="str">
        <f t="shared" si="611"/>
        <v>| [ㄔˇ](ㄔˇ.md) | [恥](恥.md) |  | chǐ | [名]
1.羞愧的心。如：「無恥」、「知恥」。《孟子．盡心上》：「人不可以無恥，無恥之恥，無恥矣。」
2.羞辱的事。如：「雪恥」、「奇恥大辱」、「引以為恥」。《呂氏春秋．季秋紀．順民》：「越王苦會稽之恥。」
[動]
羞辱。《國語．越語上》：「昔者夫差恥吾君於諸侯之國。」 |</v>
      </c>
    </row>
    <row r="9799" spans="1:44" hidden="1">
      <c r="A9799" s="1" t="s">
        <v>19397</v>
      </c>
      <c r="C9799" s="1">
        <v>1</v>
      </c>
      <c r="D9799" s="1" t="str">
        <f>"08203"</f>
        <v>08203</v>
      </c>
      <c r="E9799" s="1" t="s">
        <v>4293</v>
      </c>
      <c r="F9799" s="1">
        <v>11</v>
      </c>
      <c r="G9799" s="1">
        <v>4</v>
      </c>
      <c r="H9799" s="1">
        <v>2</v>
      </c>
      <c r="I9799" s="1" t="s">
        <v>19381</v>
      </c>
      <c r="K9799" s="1" t="str">
        <f t="shared" si="609"/>
        <v>ㄔ</v>
      </c>
      <c r="M9799" s="1" t="str">
        <f t="shared" si="610"/>
        <v/>
      </c>
      <c r="N9799" s="3" t="s">
        <v>30576</v>
      </c>
      <c r="O9799" s="3"/>
      <c r="P9799" s="1" t="s">
        <v>388</v>
      </c>
      <c r="R9799" s="1" t="s">
        <v>19382</v>
      </c>
      <c r="V9799" s="1" t="s">
        <v>19398</v>
      </c>
      <c r="W9799" s="1" t="s">
        <v>19399</v>
      </c>
      <c r="AR9799" s="1" t="str">
        <f t="shared" si="611"/>
        <v>| [ㄔˇ](ㄔˇ.md) | [豉](豉.md) |  | chǐ | 參見「豆豉」條。 |</v>
      </c>
    </row>
    <row r="9800" spans="1:44" hidden="1">
      <c r="A9800" s="1" t="s">
        <v>19400</v>
      </c>
      <c r="C9800" s="1">
        <v>1</v>
      </c>
      <c r="D9800" s="1" t="str">
        <f>"08204"</f>
        <v>08204</v>
      </c>
      <c r="E9800" s="1" t="s">
        <v>592</v>
      </c>
      <c r="F9800" s="1">
        <v>15</v>
      </c>
      <c r="G9800" s="1">
        <v>0</v>
      </c>
      <c r="H9800" s="1">
        <v>0</v>
      </c>
      <c r="I9800" s="1" t="s">
        <v>19381</v>
      </c>
      <c r="K9800" s="1" t="str">
        <f t="shared" si="609"/>
        <v>ㄔ</v>
      </c>
      <c r="M9800" s="1" t="str">
        <f t="shared" si="610"/>
        <v/>
      </c>
      <c r="N9800" s="3" t="s">
        <v>30576</v>
      </c>
      <c r="O9800" s="3"/>
      <c r="P9800" s="1" t="s">
        <v>20</v>
      </c>
      <c r="R9800" s="1" t="s">
        <v>19382</v>
      </c>
      <c r="V9800" s="1" t="s">
        <v>19401</v>
      </c>
      <c r="AR9800" s="1" t="str">
        <f t="shared" si="611"/>
        <v>| [ㄔˇ](ㄔˇ.md) | [齒](齒.md) |  | chǐ | [名]
1.人和動物嘴裡咀嚼的器官。如：「乳齒」、「恆齒」、「齒牙動搖」。
2.排列像牙齒的東西。如：「鋸齒」。
3.年齡。如：「齒德俱增」。《左傳．文公元年》：「子上曰：『君之齒未也，而又多愛，黜乃亂也。』」晉．杜預．注：「齒，年也。」
4.二一四部首之一。
[動]
1.並列。《左傳．隱公十一年》：「寡人若朝于薛，不敢與諸任齒。」晉．杜預．注：「齒，列也。」
2.說、談。如：「齒及」。南朝宋．劉義慶《世說新語．簡傲》：「傲主人非禮也，以貴驕人非道也，失此二者，不足齒，人傖耳。」 |</v>
      </c>
    </row>
    <row r="9801" spans="1:44" hidden="1">
      <c r="A9801" s="1" t="s">
        <v>19402</v>
      </c>
      <c r="C9801" s="1">
        <v>1</v>
      </c>
      <c r="D9801" s="1" t="str">
        <f>"08205"</f>
        <v>08205</v>
      </c>
      <c r="E9801" s="1" t="s">
        <v>340</v>
      </c>
      <c r="F9801" s="1">
        <v>16</v>
      </c>
      <c r="G9801" s="1">
        <v>10</v>
      </c>
      <c r="H9801" s="1">
        <v>0</v>
      </c>
      <c r="I9801" s="1" t="s">
        <v>19381</v>
      </c>
      <c r="K9801" s="1" t="str">
        <f t="shared" si="609"/>
        <v>ㄔ</v>
      </c>
      <c r="M9801" s="1" t="str">
        <f t="shared" si="610"/>
        <v/>
      </c>
      <c r="N9801" s="3" t="s">
        <v>30576</v>
      </c>
      <c r="O9801" s="3"/>
      <c r="P9801" s="1" t="s">
        <v>20</v>
      </c>
      <c r="R9801" s="1" t="s">
        <v>19382</v>
      </c>
      <c r="V9801" s="1" t="s">
        <v>19403</v>
      </c>
      <c r="AR9801" s="1" t="str">
        <f t="shared" si="611"/>
        <v>| [ㄔˇ](ㄔˇ.md) | [褫](褫.md) |  | chǐ | [動]
1.脫掉、卸下。宋．岳飛〈良馬對〉：「褫鞍甲而不息不汗。」
2.剝奪、革除。如：「褫奪公權」。 |</v>
      </c>
    </row>
    <row r="9802" spans="1:44" hidden="1">
      <c r="A9802" s="1" t="s">
        <v>12031</v>
      </c>
      <c r="C9802" s="1">
        <v>1</v>
      </c>
      <c r="D9802" s="1" t="str">
        <f>"08576"</f>
        <v>08576</v>
      </c>
      <c r="E9802" s="1" t="s">
        <v>1908</v>
      </c>
      <c r="F9802" s="1">
        <v>12</v>
      </c>
      <c r="G9802" s="1">
        <v>8</v>
      </c>
      <c r="H9802" s="1">
        <v>2</v>
      </c>
      <c r="I9802" s="1" t="s">
        <v>20243</v>
      </c>
      <c r="K9802" s="1" t="str">
        <f t="shared" si="609"/>
        <v>ㄔ</v>
      </c>
      <c r="L9802" s="1" t="str">
        <f t="shared" ref="L9802:L9865" si="612">MID(I9802, 2, 1)</f>
        <v>ㄨ</v>
      </c>
      <c r="M9802" s="1" t="str">
        <f t="shared" si="610"/>
        <v>ㄚ</v>
      </c>
      <c r="P9802" s="1" t="s">
        <v>20</v>
      </c>
      <c r="R9802" s="1" t="s">
        <v>20244</v>
      </c>
      <c r="V9802" s="1" t="s">
        <v>20245</v>
      </c>
      <c r="W9802" s="1" t="s">
        <v>20246</v>
      </c>
      <c r="AR9802" s="1" t="str">
        <f t="shared" si="611"/>
        <v>| [ㄔㄨㄚ](ㄔㄨㄚ.md) | [欻](欻.md) |  | chuā | [擬]
形容急促或有節奏的聲音。如：「欻的一聲」、「欻欻的腳步聲」。 |</v>
      </c>
    </row>
    <row r="9803" spans="1:44" hidden="1">
      <c r="A9803" s="1" t="s">
        <v>18247</v>
      </c>
      <c r="C9803" s="1">
        <v>1</v>
      </c>
      <c r="D9803" s="1" t="str">
        <f>"08577"</f>
        <v>08577</v>
      </c>
      <c r="E9803" s="1" t="s">
        <v>24</v>
      </c>
      <c r="F9803" s="1">
        <v>7</v>
      </c>
      <c r="G9803" s="1">
        <v>4</v>
      </c>
      <c r="H9803" s="1">
        <v>3</v>
      </c>
      <c r="I9803" s="1" t="s">
        <v>20247</v>
      </c>
      <c r="K9803" s="1" t="str">
        <f t="shared" si="609"/>
        <v>ㄔ</v>
      </c>
      <c r="L9803" s="1" t="str">
        <f t="shared" si="612"/>
        <v>ㄨ</v>
      </c>
      <c r="M9803" s="1" t="str">
        <f t="shared" si="610"/>
        <v>ㄚ</v>
      </c>
      <c r="P9803" s="1" t="s">
        <v>20</v>
      </c>
      <c r="R9803" s="1" t="s">
        <v>20248</v>
      </c>
      <c r="V9803" s="1" t="s">
        <v>20249</v>
      </c>
      <c r="W9803" s="1" t="s">
        <v>20250</v>
      </c>
      <c r="AR9803" s="1" t="str">
        <f t="shared" si="611"/>
        <v>| [ㄔㄨㄚˇ](ㄔㄨㄚˇ.md) | [抓](抓.md) |  | chuǎ | 參見「抓子兒」條。 |</v>
      </c>
    </row>
    <row r="9804" spans="1:44" hidden="1">
      <c r="A9804" s="1" t="s">
        <v>20251</v>
      </c>
      <c r="C9804" s="1">
        <v>1</v>
      </c>
      <c r="D9804" s="1" t="str">
        <f>"08578"</f>
        <v>08578</v>
      </c>
      <c r="E9804" s="1" t="s">
        <v>684</v>
      </c>
      <c r="F9804" s="1">
        <v>16</v>
      </c>
      <c r="G9804" s="1">
        <v>7</v>
      </c>
      <c r="H9804" s="1">
        <v>0</v>
      </c>
      <c r="I9804" s="1" t="s">
        <v>20252</v>
      </c>
      <c r="K9804" s="1" t="str">
        <f t="shared" si="609"/>
        <v>ㄔ</v>
      </c>
      <c r="L9804" s="1" t="str">
        <f t="shared" si="612"/>
        <v>ㄨ</v>
      </c>
      <c r="M9804" s="1" t="str">
        <f t="shared" si="610"/>
        <v>ㄚ</v>
      </c>
      <c r="P9804" s="1" t="s">
        <v>20</v>
      </c>
      <c r="R9804" s="1" t="s">
        <v>20253</v>
      </c>
      <c r="V9804" s="1" t="s">
        <v>20254</v>
      </c>
      <c r="AR9804" s="1" t="str">
        <f t="shared" si="611"/>
        <v>| [ㄔㄨㄚˋ](ㄔㄨㄚˋ.md) | [䫄](䫄.md) |  | chuà | [形]
強的樣子。《廣韻．入聲．轄韻》：「䫄，䫄頢，強可貌。」
[動]
逸出。參見「䫄外」條。 |</v>
      </c>
    </row>
    <row r="9805" spans="1:44" hidden="1">
      <c r="A9805" s="1" t="s">
        <v>20255</v>
      </c>
      <c r="C9805" s="1">
        <v>1</v>
      </c>
      <c r="D9805" s="1" t="str">
        <f>"08579"</f>
        <v>08579</v>
      </c>
      <c r="E9805" s="1" t="s">
        <v>4785</v>
      </c>
      <c r="F9805" s="1">
        <v>18</v>
      </c>
      <c r="G9805" s="1">
        <v>14</v>
      </c>
      <c r="H9805" s="1">
        <v>0</v>
      </c>
      <c r="I9805" s="1" t="s">
        <v>20256</v>
      </c>
      <c r="K9805" s="1" t="str">
        <f t="shared" si="609"/>
        <v>ㄔ</v>
      </c>
      <c r="L9805" s="1" t="str">
        <f t="shared" si="612"/>
        <v>ㄨ</v>
      </c>
      <c r="M9805" s="1" t="str">
        <f t="shared" si="610"/>
        <v>ㄛ</v>
      </c>
      <c r="P9805" s="1" t="s">
        <v>20</v>
      </c>
      <c r="R9805" s="1" t="s">
        <v>20257</v>
      </c>
      <c r="V9805" s="1" t="s">
        <v>20258</v>
      </c>
      <c r="AR9805" s="1" t="str">
        <f t="shared" si="611"/>
        <v>| [ㄔㄨㄛ](ㄔㄨㄛ.md) | [戳](戳.md) |  | chuō | [動]
1.以物體的尖端觸刺。如：「戳個洞」、「戳破」。《宋史．卷二〇一．刑法志三》：「蘇州民張朝之從兄以槍戳死朝父，逃去。」《紅樓夢》第三〇回：「便咬著牙用指頭狠命的在他額顱上戳了一下。」
2.豎立。如：「把棍子戳在地上。」
[名]
圖章、印記。如：「郵戳」。《福惠全書．卷四．蒞任部．酬答書札》：「如發回書，即于前件下註某日發回書訖，上用銷號小戳。」 |</v>
      </c>
    </row>
    <row r="9806" spans="1:44" hidden="1">
      <c r="A9806" s="1" t="s">
        <v>20259</v>
      </c>
      <c r="C9806" s="1">
        <v>1</v>
      </c>
      <c r="D9806" s="1" t="str">
        <f>"08580"</f>
        <v>08580</v>
      </c>
      <c r="E9806" s="1" t="s">
        <v>558</v>
      </c>
      <c r="F9806" s="1">
        <v>7</v>
      </c>
      <c r="G9806" s="1">
        <v>0</v>
      </c>
      <c r="H9806" s="1">
        <v>0</v>
      </c>
      <c r="I9806" s="1" t="s">
        <v>20260</v>
      </c>
      <c r="K9806" s="1" t="str">
        <f t="shared" si="609"/>
        <v>ㄔ</v>
      </c>
      <c r="L9806" s="1" t="str">
        <f t="shared" si="612"/>
        <v>ㄨ</v>
      </c>
      <c r="M9806" s="1" t="str">
        <f t="shared" si="610"/>
        <v>ㄛ</v>
      </c>
      <c r="P9806" s="1" t="s">
        <v>20</v>
      </c>
      <c r="R9806" s="1" t="s">
        <v>20261</v>
      </c>
      <c r="V9806" s="1" t="s">
        <v>20262</v>
      </c>
      <c r="AR9806" s="1" t="str">
        <f t="shared" si="611"/>
        <v>| [ㄔㄨㄛˋ](ㄔㄨㄛˋ.md) | [辵](辵.md) |  | chuò | [動]
忽走忽跳。《說文解字．辵部》：「辵，乍行乍止。」《儀禮．公食大夫禮》「賓栗階升不拜」句下漢．鄭玄．注：「不拾級而下曰辵。」
[名]
二一四部首之一。 |</v>
      </c>
    </row>
    <row r="9807" spans="1:44" hidden="1">
      <c r="A9807" s="1" t="s">
        <v>20263</v>
      </c>
      <c r="C9807" s="1">
        <v>1</v>
      </c>
      <c r="D9807" s="1" t="str">
        <f>"08581"</f>
        <v>08581</v>
      </c>
      <c r="E9807" s="1" t="s">
        <v>534</v>
      </c>
      <c r="F9807" s="1">
        <v>10</v>
      </c>
      <c r="G9807" s="1">
        <v>7</v>
      </c>
      <c r="H9807" s="1">
        <v>0</v>
      </c>
      <c r="I9807" s="1" t="s">
        <v>20260</v>
      </c>
      <c r="K9807" s="1" t="str">
        <f t="shared" si="609"/>
        <v>ㄔ</v>
      </c>
      <c r="L9807" s="1" t="str">
        <f t="shared" si="612"/>
        <v>ㄨ</v>
      </c>
      <c r="M9807" s="1" t="str">
        <f t="shared" si="610"/>
        <v>ㄛ</v>
      </c>
      <c r="P9807" s="1" t="s">
        <v>20</v>
      </c>
      <c r="R9807" s="1" t="s">
        <v>20261</v>
      </c>
      <c r="V9807" s="1" t="s">
        <v>20264</v>
      </c>
      <c r="AR9807" s="1" t="str">
        <f t="shared" si="611"/>
        <v>| [ㄔㄨㄛˋ](ㄔㄨㄛˋ.md) | [娖](娖.md) |  | chuò | [動]
1.辯。《玉篇．女部》：「娖，辯也。」
2.整頓、整備。《資治通鑑．卷二三一．唐紀四十七．德宗貞元元年》：「河中軍士自相驚曰：『西城擐甲矣！』又曰：『東城娖隊矣！』」 |</v>
      </c>
    </row>
    <row r="9808" spans="1:44" hidden="1">
      <c r="A9808" s="1" t="s">
        <v>20265</v>
      </c>
      <c r="C9808" s="1">
        <v>1</v>
      </c>
      <c r="D9808" s="1" t="str">
        <f>"08582"</f>
        <v>08582</v>
      </c>
      <c r="E9808" s="1" t="s">
        <v>592</v>
      </c>
      <c r="F9808" s="1">
        <v>22</v>
      </c>
      <c r="G9808" s="1">
        <v>7</v>
      </c>
      <c r="H9808" s="1">
        <v>0</v>
      </c>
      <c r="I9808" s="1" t="s">
        <v>20260</v>
      </c>
      <c r="K9808" s="1" t="str">
        <f t="shared" si="609"/>
        <v>ㄔ</v>
      </c>
      <c r="L9808" s="1" t="str">
        <f t="shared" si="612"/>
        <v>ㄨ</v>
      </c>
      <c r="M9808" s="1" t="str">
        <f t="shared" si="610"/>
        <v>ㄛ</v>
      </c>
      <c r="P9808" s="1" t="s">
        <v>20</v>
      </c>
      <c r="R9808" s="1" t="s">
        <v>20261</v>
      </c>
      <c r="V9808" s="1" t="s">
        <v>20266</v>
      </c>
      <c r="AR9808" s="1" t="str">
        <f t="shared" si="611"/>
        <v>| [ㄔㄨㄛˋ](ㄔㄨㄛˋ.md) | [齪](齪.md) |  | chuò | [形]
1.謹慎、小心。《史記．卷一二九．貨殖傳》：「而鄒魯濱洙泗，猶有周公遺風。俗好儒，備於禮，故其民齪齪。」
2.參見「齷齪」條。 |</v>
      </c>
    </row>
    <row r="9809" spans="1:44" hidden="1">
      <c r="A9809" s="1" t="s">
        <v>20267</v>
      </c>
      <c r="C9809" s="1">
        <v>1</v>
      </c>
      <c r="D9809" s="1" t="str">
        <f>"08583"</f>
        <v>08583</v>
      </c>
      <c r="E9809" s="1" t="s">
        <v>250</v>
      </c>
      <c r="F9809" s="1">
        <v>11</v>
      </c>
      <c r="G9809" s="1">
        <v>8</v>
      </c>
      <c r="H9809" s="1">
        <v>0</v>
      </c>
      <c r="I9809" s="1" t="s">
        <v>20260</v>
      </c>
      <c r="K9809" s="1" t="str">
        <f t="shared" si="609"/>
        <v>ㄔ</v>
      </c>
      <c r="L9809" s="1" t="str">
        <f t="shared" si="612"/>
        <v>ㄨ</v>
      </c>
      <c r="M9809" s="1" t="str">
        <f t="shared" si="610"/>
        <v>ㄛ</v>
      </c>
      <c r="P9809" s="1" t="s">
        <v>20</v>
      </c>
      <c r="R9809" s="1" t="s">
        <v>20261</v>
      </c>
      <c r="V9809" s="1" t="s">
        <v>20268</v>
      </c>
      <c r="AR9809" s="1" t="str">
        <f t="shared" si="611"/>
        <v>| [ㄔㄨㄛˋ](ㄔㄨㄛˋ.md) | [惙](惙.md) |  | chuò | [形]
1.憂愁。《說文解字．心部》：「惙，憂也。」如：「惙惙」。《後漢書．卷八三．逸民傳．梁鴻傳》：「心惙怛兮傷悴，志菲菲兮升降。」
2.疲憊。唐．柳宗元〈為戶部王叔文陳情表〉：「忽患瘖風發動，狀候非常，今雖似退，猶甚虛惙。」
[動]
停止。通「輟」。《莊子．秋水》：「孔子游于匡，宋人圍之數帀，而絃歌不惙。」 |</v>
      </c>
    </row>
    <row r="9810" spans="1:44" hidden="1">
      <c r="A9810" s="1" t="s">
        <v>20269</v>
      </c>
      <c r="C9810" s="1">
        <v>1</v>
      </c>
      <c r="D9810" s="1" t="str">
        <f>"08584"</f>
        <v>08584</v>
      </c>
      <c r="E9810" s="1" t="s">
        <v>28</v>
      </c>
      <c r="F9810" s="1">
        <v>11</v>
      </c>
      <c r="G9810" s="1">
        <v>8</v>
      </c>
      <c r="H9810" s="1">
        <v>0</v>
      </c>
      <c r="I9810" s="1" t="s">
        <v>20260</v>
      </c>
      <c r="K9810" s="1" t="str">
        <f t="shared" si="609"/>
        <v>ㄔ</v>
      </c>
      <c r="L9810" s="1" t="str">
        <f t="shared" si="612"/>
        <v>ㄨ</v>
      </c>
      <c r="M9810" s="1" t="str">
        <f t="shared" si="610"/>
        <v>ㄛ</v>
      </c>
      <c r="P9810" s="1" t="s">
        <v>20</v>
      </c>
      <c r="R9810" s="1" t="s">
        <v>20261</v>
      </c>
      <c r="V9810" s="1" t="s">
        <v>20270</v>
      </c>
      <c r="AR9810" s="1" t="str">
        <f t="shared" si="611"/>
        <v>| [ㄔㄨㄛˋ](ㄔㄨㄛˋ.md) | [啜](啜.md) |  | chuò | [動]
1.吃、喝。《說文解字．口部》：「啜，嘗也。」如：「啜飲」、「啜粥」。宋．陸游〈睡鄉〉詩：「有酒君勿啜，入腸作戈矛。」
2.哭泣。南朝梁．江淹〈齊太祖高皇帝誄〉：「睇千乘之共啜，盼萬騎之相泫。」 |</v>
      </c>
    </row>
    <row r="9811" spans="1:44" hidden="1">
      <c r="A9811" s="1" t="s">
        <v>20271</v>
      </c>
      <c r="C9811" s="1">
        <v>1</v>
      </c>
      <c r="D9811" s="1" t="str">
        <f>"08585"</f>
        <v>08585</v>
      </c>
      <c r="E9811" s="1" t="s">
        <v>71</v>
      </c>
      <c r="F9811" s="1">
        <v>15</v>
      </c>
      <c r="G9811" s="1">
        <v>8</v>
      </c>
      <c r="H9811" s="1">
        <v>0</v>
      </c>
      <c r="I9811" s="1" t="s">
        <v>20260</v>
      </c>
      <c r="K9811" s="1" t="str">
        <f t="shared" si="609"/>
        <v>ㄔ</v>
      </c>
      <c r="L9811" s="1" t="str">
        <f t="shared" si="612"/>
        <v>ㄨ</v>
      </c>
      <c r="M9811" s="1" t="str">
        <f t="shared" si="610"/>
        <v>ㄛ</v>
      </c>
      <c r="P9811" s="1" t="s">
        <v>20</v>
      </c>
      <c r="R9811" s="1" t="s">
        <v>20261</v>
      </c>
      <c r="V9811" s="1" t="s">
        <v>20272</v>
      </c>
      <c r="AR9811" s="1" t="str">
        <f t="shared" si="611"/>
        <v>| [ㄔㄨㄛˋ](ㄔㄨㄛˋ.md) | [輟](輟.md) |  | chuò | [動]
停止。如：「輟學」、「中輟」。《三國志．卷五八．吳書．陸遜傳》：「臣聞志行萬里者，不中道而輟足。」 |</v>
      </c>
    </row>
    <row r="9812" spans="1:44" hidden="1">
      <c r="A9812" s="1" t="s">
        <v>20273</v>
      </c>
      <c r="C9812" s="1">
        <v>1</v>
      </c>
      <c r="D9812" s="1" t="str">
        <f>"08586"</f>
        <v>08586</v>
      </c>
      <c r="E9812" s="1" t="s">
        <v>1462</v>
      </c>
      <c r="F9812" s="1">
        <v>15</v>
      </c>
      <c r="G9812" s="1">
        <v>8</v>
      </c>
      <c r="H9812" s="1">
        <v>0</v>
      </c>
      <c r="I9812" s="1" t="s">
        <v>20260</v>
      </c>
      <c r="K9812" s="1" t="str">
        <f t="shared" si="609"/>
        <v>ㄔ</v>
      </c>
      <c r="L9812" s="1" t="str">
        <f t="shared" si="612"/>
        <v>ㄨ</v>
      </c>
      <c r="M9812" s="1" t="str">
        <f t="shared" si="610"/>
        <v>ㄛ</v>
      </c>
      <c r="P9812" s="1" t="s">
        <v>20</v>
      </c>
      <c r="R9812" s="1" t="s">
        <v>20261</v>
      </c>
      <c r="V9812" s="1" t="s">
        <v>20274</v>
      </c>
      <c r="AR9812" s="1" t="str">
        <f t="shared" si="611"/>
        <v>| [ㄔㄨㄛˋ](ㄔㄨㄛˋ.md) | [醊](醊.md) |  | chuò | [動]
祭祀時把酒潑在地上以祭奠。《後漢書．卷七六．循吏傳．王渙傳》：「男女老壯皆相與賦斂，致奠醊以千數。」宋．王安石〈祭盛侍郎文〉：「欲醊棺前，縻不可奔。」 |</v>
      </c>
    </row>
    <row r="9813" spans="1:44" hidden="1">
      <c r="A9813" s="1" t="s">
        <v>20275</v>
      </c>
      <c r="C9813" s="1">
        <v>1</v>
      </c>
      <c r="D9813" s="1" t="str">
        <f>"08587"</f>
        <v>08587</v>
      </c>
      <c r="E9813" s="1" t="s">
        <v>1908</v>
      </c>
      <c r="F9813" s="1">
        <v>19</v>
      </c>
      <c r="G9813" s="1">
        <v>15</v>
      </c>
      <c r="H9813" s="1">
        <v>0</v>
      </c>
      <c r="I9813" s="1" t="s">
        <v>20260</v>
      </c>
      <c r="K9813" s="1" t="str">
        <f t="shared" si="609"/>
        <v>ㄔ</v>
      </c>
      <c r="L9813" s="1" t="str">
        <f t="shared" si="612"/>
        <v>ㄨ</v>
      </c>
      <c r="M9813" s="1" t="str">
        <f t="shared" si="610"/>
        <v>ㄛ</v>
      </c>
      <c r="P9813" s="1" t="s">
        <v>20</v>
      </c>
      <c r="R9813" s="1" t="s">
        <v>20261</v>
      </c>
      <c r="V9813" s="1" t="s">
        <v>20276</v>
      </c>
      <c r="AR9813" s="1" t="str">
        <f t="shared" si="611"/>
        <v>| [ㄔㄨㄛˋ](ㄔㄨㄛˋ.md) | [歠](歠.md) |  | chuò | [動]
飲、喝。《禮記．曲禮上》：「毋刺齒，毋歠醢。」宋．陸游〈立秋後四日雨〉詩：「杯泛鵝兒供小歠，碓舂雲子喜新嘗。」
[名]
可喝的羹湯。《戰國策．燕策一》：「即酒酣樂，進熱歠，即因反斗擊之。」 |</v>
      </c>
    </row>
    <row r="9814" spans="1:44" hidden="1">
      <c r="A9814" s="1" t="s">
        <v>20277</v>
      </c>
      <c r="C9814" s="1">
        <v>1</v>
      </c>
      <c r="D9814" s="1" t="str">
        <f>"08588"</f>
        <v>08588</v>
      </c>
      <c r="E9814" s="1" t="s">
        <v>534</v>
      </c>
      <c r="F9814" s="1">
        <v>11</v>
      </c>
      <c r="G9814" s="1">
        <v>8</v>
      </c>
      <c r="H9814" s="1">
        <v>0</v>
      </c>
      <c r="I9814" s="1" t="s">
        <v>20260</v>
      </c>
      <c r="K9814" s="1" t="str">
        <f t="shared" si="609"/>
        <v>ㄔ</v>
      </c>
      <c r="L9814" s="1" t="str">
        <f t="shared" si="612"/>
        <v>ㄨ</v>
      </c>
      <c r="M9814" s="1" t="str">
        <f t="shared" si="610"/>
        <v>ㄛ</v>
      </c>
      <c r="P9814" s="1" t="s">
        <v>20</v>
      </c>
      <c r="R9814" s="1" t="s">
        <v>20261</v>
      </c>
      <c r="V9814" s="1" t="s">
        <v>20278</v>
      </c>
      <c r="AR9814" s="1" t="str">
        <f t="shared" si="611"/>
        <v>| [ㄔㄨㄛˋ](ㄔㄨㄛˋ.md) | [婥](婥.md) |  | chuò | 參見「婥約」條。 |</v>
      </c>
    </row>
    <row r="9815" spans="1:44" hidden="1">
      <c r="A9815" s="1" t="s">
        <v>20279</v>
      </c>
      <c r="C9815" s="1">
        <v>1</v>
      </c>
      <c r="D9815" s="1" t="str">
        <f>"08589"</f>
        <v>08589</v>
      </c>
      <c r="E9815" s="1" t="s">
        <v>558</v>
      </c>
      <c r="F9815" s="1">
        <v>12</v>
      </c>
      <c r="G9815" s="1">
        <v>8</v>
      </c>
      <c r="H9815" s="1">
        <v>0</v>
      </c>
      <c r="I9815" s="1" t="s">
        <v>20260</v>
      </c>
      <c r="K9815" s="1" t="str">
        <f t="shared" si="609"/>
        <v>ㄔ</v>
      </c>
      <c r="L9815" s="1" t="str">
        <f t="shared" si="612"/>
        <v>ㄨ</v>
      </c>
      <c r="M9815" s="1" t="str">
        <f t="shared" si="610"/>
        <v>ㄛ</v>
      </c>
      <c r="P9815" s="1" t="s">
        <v>20</v>
      </c>
      <c r="R9815" s="1" t="s">
        <v>20261</v>
      </c>
      <c r="V9815" s="1" t="s">
        <v>20280</v>
      </c>
      <c r="AR9815" s="1" t="str">
        <f t="shared" si="611"/>
        <v>| [ㄔㄨㄛˋ](ㄔㄨㄛˋ.md) | [逴](逴.md) |  | chuò | [動]
超越。《楚辭．屈原．遠遊》：「舒并節以馳騖兮，逴絕垠乎寒門。」唐．顏師古《匡謬正俗．卷六．坼》：「逴者，謂超踰不依次第。」
[副]
遠遠的。《新唐書．卷九五．竇威傳》：「煬帝遣抗出靈武，逴護長城。」 |</v>
      </c>
    </row>
    <row r="9816" spans="1:44" hidden="1">
      <c r="A9816" s="1" t="s">
        <v>20281</v>
      </c>
      <c r="C9816" s="1">
        <v>1</v>
      </c>
      <c r="D9816" s="1" t="str">
        <f>"08590"</f>
        <v>08590</v>
      </c>
      <c r="E9816" s="1" t="s">
        <v>725</v>
      </c>
      <c r="F9816" s="1">
        <v>14</v>
      </c>
      <c r="G9816" s="1">
        <v>8</v>
      </c>
      <c r="H9816" s="1">
        <v>0</v>
      </c>
      <c r="I9816" s="1" t="s">
        <v>20260</v>
      </c>
      <c r="K9816" s="1" t="str">
        <f t="shared" si="609"/>
        <v>ㄔ</v>
      </c>
      <c r="L9816" s="1" t="str">
        <f t="shared" si="612"/>
        <v>ㄨ</v>
      </c>
      <c r="M9816" s="1" t="str">
        <f t="shared" si="610"/>
        <v>ㄛ</v>
      </c>
      <c r="P9816" s="1" t="s">
        <v>20</v>
      </c>
      <c r="R9816" s="1" t="s">
        <v>20261</v>
      </c>
      <c r="V9816" s="1" t="s">
        <v>20282</v>
      </c>
      <c r="AR9816" s="1" t="str">
        <f t="shared" si="611"/>
        <v>| [ㄔㄨㄛˋ](ㄔㄨㄛˋ.md) | [綽](綽.md) |  | chuò | [形]
1.寬裕。如：「闊綽」、「寬綽」。
2.姿態柔媚、美好。如：「風姿綽約」。《文選．曹植．洛神賦》：「柔情綽態，媚於語言。」
3.參見「綽號」、「綽名」等條。
[動]
抓取。《水滸傳》第二三回：「綽了梢棒，立起身來道：『我卻又不曾醉。』」 |</v>
      </c>
    </row>
    <row r="9817" spans="1:44" hidden="1">
      <c r="A9817" s="1" t="s">
        <v>20283</v>
      </c>
      <c r="C9817" s="1">
        <v>1</v>
      </c>
      <c r="D9817" s="1" t="str">
        <f>"08591"</f>
        <v>08591</v>
      </c>
      <c r="E9817" s="1" t="s">
        <v>534</v>
      </c>
      <c r="F9817" s="1">
        <v>12</v>
      </c>
      <c r="G9817" s="1">
        <v>9</v>
      </c>
      <c r="H9817" s="1">
        <v>1</v>
      </c>
      <c r="I9817" s="1" t="s">
        <v>20260</v>
      </c>
      <c r="K9817" s="1" t="str">
        <f t="shared" si="609"/>
        <v>ㄔ</v>
      </c>
      <c r="L9817" s="1" t="str">
        <f t="shared" si="612"/>
        <v>ㄨ</v>
      </c>
      <c r="M9817" s="1" t="str">
        <f t="shared" si="610"/>
        <v>ㄛ</v>
      </c>
      <c r="P9817" s="1" t="s">
        <v>20</v>
      </c>
      <c r="R9817" s="1" t="s">
        <v>20261</v>
      </c>
      <c r="V9817" s="1" t="s">
        <v>20284</v>
      </c>
      <c r="W9817" s="1" t="s">
        <v>20285</v>
      </c>
      <c r="AR9817" s="1" t="str">
        <f t="shared" si="611"/>
        <v>| [ㄔㄨㄛˋ](ㄔㄨㄛˋ.md) | [婼](婼.md) |  | chuò | [形]
不順。《說文解字．女部》：「婼，不順。」
[名]
人名用字。如春秋時魯國有叔孫婼。 |</v>
      </c>
    </row>
    <row r="9818" spans="1:44" hidden="1">
      <c r="A9818" s="1" t="s">
        <v>20286</v>
      </c>
      <c r="C9818" s="1">
        <v>1</v>
      </c>
      <c r="D9818" s="1" t="str">
        <f>"08592"</f>
        <v>08592</v>
      </c>
      <c r="E9818" s="1" t="s">
        <v>24</v>
      </c>
      <c r="F9818" s="1">
        <v>13</v>
      </c>
      <c r="G9818" s="1">
        <v>10</v>
      </c>
      <c r="H9818" s="1">
        <v>0</v>
      </c>
      <c r="I9818" s="1" t="s">
        <v>20287</v>
      </c>
      <c r="K9818" s="1" t="str">
        <f t="shared" si="609"/>
        <v>ㄔ</v>
      </c>
      <c r="L9818" s="1" t="str">
        <f t="shared" si="612"/>
        <v>ㄨ</v>
      </c>
      <c r="M9818" s="1" t="str">
        <f t="shared" si="610"/>
        <v>ㄞ</v>
      </c>
      <c r="P9818" s="1" t="s">
        <v>20</v>
      </c>
      <c r="R9818" s="1" t="s">
        <v>20288</v>
      </c>
      <c r="V9818" s="1" t="s">
        <v>20289</v>
      </c>
      <c r="AR9818" s="1" t="str">
        <f t="shared" si="611"/>
        <v>| [ㄔㄨㄞ](ㄔㄨㄞ.md) | [搋](搋.md) |  | chuāi | [動]
1.藏。如：「把錢搋進褲袋裡。」
2.用力搓揉。如：「搋衣服。」 |</v>
      </c>
    </row>
    <row r="9819" spans="1:44" hidden="1">
      <c r="A9819" s="1" t="s">
        <v>20290</v>
      </c>
      <c r="C9819" s="1">
        <v>1</v>
      </c>
      <c r="D9819" s="1" t="str">
        <f>"08593"</f>
        <v>08593</v>
      </c>
      <c r="E9819" s="1" t="s">
        <v>68</v>
      </c>
      <c r="F9819" s="1">
        <v>15</v>
      </c>
      <c r="G9819" s="1">
        <v>11</v>
      </c>
      <c r="H9819" s="1">
        <v>0</v>
      </c>
      <c r="I9819" s="1" t="s">
        <v>20291</v>
      </c>
      <c r="K9819" s="1" t="str">
        <f t="shared" si="609"/>
        <v>ㄔ</v>
      </c>
      <c r="L9819" s="1" t="str">
        <f t="shared" si="612"/>
        <v>ㄨ</v>
      </c>
      <c r="M9819" s="1" t="str">
        <f t="shared" si="610"/>
        <v>ㄞ</v>
      </c>
      <c r="P9819" s="1" t="s">
        <v>20</v>
      </c>
      <c r="R9819" s="1" t="s">
        <v>20292</v>
      </c>
      <c r="V9819" s="1" t="s">
        <v>20293</v>
      </c>
      <c r="AR9819" s="1" t="str">
        <f t="shared" si="611"/>
        <v>| [ㄔㄨㄞˊ](ㄔㄨㄞˊ.md) | [膗](膗.md) |  | chuái | [形]
肥胖而肌肉鬆動的樣子。如：「他身子很膗。」 |</v>
      </c>
    </row>
    <row r="9820" spans="1:44" hidden="1">
      <c r="A9820" s="1" t="s">
        <v>20294</v>
      </c>
      <c r="C9820" s="1">
        <v>1</v>
      </c>
      <c r="D9820" s="1" t="str">
        <f>"08594"</f>
        <v>08594</v>
      </c>
      <c r="E9820" s="1" t="s">
        <v>24</v>
      </c>
      <c r="F9820" s="1">
        <v>12</v>
      </c>
      <c r="G9820" s="1">
        <v>9</v>
      </c>
      <c r="H9820" s="1">
        <v>0</v>
      </c>
      <c r="I9820" s="1" t="s">
        <v>20295</v>
      </c>
      <c r="K9820" s="1" t="str">
        <f t="shared" si="609"/>
        <v>ㄔ</v>
      </c>
      <c r="L9820" s="1" t="str">
        <f t="shared" si="612"/>
        <v>ㄨ</v>
      </c>
      <c r="M9820" s="1" t="str">
        <f t="shared" si="610"/>
        <v>ㄞ</v>
      </c>
      <c r="P9820" s="1" t="s">
        <v>20</v>
      </c>
      <c r="R9820" s="1" t="s">
        <v>20296</v>
      </c>
      <c r="V9820" s="1" t="s">
        <v>20297</v>
      </c>
      <c r="AR9820" s="1" t="str">
        <f t="shared" si="611"/>
        <v>| [ㄔㄨㄞˇ](ㄔㄨㄞˇ.md) | [揣](揣.md) |  | chuǎi | [動]
1.測量、估量。《左傳．昭公三十二年》：「士彌牟營成周，計丈數，揣高卑，度厚薄。」
2.忖度、猜想。如：「揣測」、「揣摩」。宋．岳飛〈乞出師劄〉：「臣揣敵情，所以立劉豫於河南，而付之齊秦之地，蓋欲荼毒中原生靈。」
3.試探、設法。《漢書．卷八四．翟方進傳》：「子夏既過方進，揣知其指，不敢發言。」《三國志．卷四〇．蜀書．魏延傳》：「亮適卒，祕不發喪，儀令褘往揣延意指。」
4.握、抓。清．洪昇《長生殿》第九齣：「揣這廝去打一百，發入淨軍所去。」《海上花列傳》第五〇回：「禁不起素蘭揣著賴公子兩手，下氣柔聲，甜言蜜語的央告。」
5.藏、放。元．蕭德祥《殺狗勸夫》第二折：「你懷揣著鴉青料鈔尋相識，並沒半升粗米施饘粥。」《水滸傳》第二回：「懷中揣了書呈，逕投端王宮中來。」
[名]
姓。如明代有揣本。 |</v>
      </c>
    </row>
    <row r="9821" spans="1:44" hidden="1">
      <c r="A9821" s="1" t="s">
        <v>20298</v>
      </c>
      <c r="C9821" s="1">
        <v>1</v>
      </c>
      <c r="D9821" s="1" t="str">
        <f>"08595"</f>
        <v>08595</v>
      </c>
      <c r="E9821" s="1" t="s">
        <v>28</v>
      </c>
      <c r="F9821" s="1">
        <v>15</v>
      </c>
      <c r="G9821" s="1">
        <v>12</v>
      </c>
      <c r="H9821" s="1">
        <v>1</v>
      </c>
      <c r="I9821" s="1" t="s">
        <v>20299</v>
      </c>
      <c r="K9821" s="1" t="str">
        <f t="shared" si="609"/>
        <v>ㄔ</v>
      </c>
      <c r="L9821" s="1" t="str">
        <f t="shared" si="612"/>
        <v>ㄨ</v>
      </c>
      <c r="M9821" s="1" t="str">
        <f t="shared" si="610"/>
        <v>ㄞ</v>
      </c>
      <c r="P9821" s="1" t="s">
        <v>186</v>
      </c>
      <c r="R9821" s="1" t="s">
        <v>20300</v>
      </c>
      <c r="V9821" s="1" t="s">
        <v>20301</v>
      </c>
      <c r="W9821" s="1" t="s">
        <v>20302</v>
      </c>
      <c r="AR9821" s="1" t="str">
        <f t="shared" si="611"/>
        <v>| [ㄔㄨㄞˋ](ㄔㄨㄞˋ.md) | [嘬](嘬.md) |  | chuài | [動]
1.叮、咬。明．張自烈《正字通．口部》：「嘬，齧也。」《孟子．滕文公上》：「狐狸食之，蠅蚋姑嘬之。」
2.參見「嘬炙」條。 |</v>
      </c>
    </row>
    <row r="9822" spans="1:44" hidden="1">
      <c r="A9822" s="1" t="s">
        <v>20303</v>
      </c>
      <c r="C9822" s="1">
        <v>1</v>
      </c>
      <c r="D9822" s="1" t="str">
        <f>"08596"</f>
        <v>08596</v>
      </c>
      <c r="E9822" s="1" t="s">
        <v>77</v>
      </c>
      <c r="F9822" s="1">
        <v>16</v>
      </c>
      <c r="G9822" s="1">
        <v>9</v>
      </c>
      <c r="H9822" s="1">
        <v>2</v>
      </c>
      <c r="I9822" s="1" t="s">
        <v>20299</v>
      </c>
      <c r="K9822" s="1" t="str">
        <f t="shared" si="609"/>
        <v>ㄔ</v>
      </c>
      <c r="L9822" s="1" t="str">
        <f t="shared" si="612"/>
        <v>ㄨ</v>
      </c>
      <c r="M9822" s="1" t="str">
        <f t="shared" si="610"/>
        <v>ㄞ</v>
      </c>
      <c r="P9822" s="1" t="s">
        <v>20</v>
      </c>
      <c r="R9822" s="1" t="s">
        <v>20300</v>
      </c>
      <c r="V9822" s="1" t="s">
        <v>20304</v>
      </c>
      <c r="W9822" s="1" t="s">
        <v>20305</v>
      </c>
      <c r="AR9822" s="1" t="str">
        <f t="shared" si="611"/>
        <v>| [ㄔㄨㄞˋ](ㄔㄨㄞˋ.md) | [踹](踹.md) |  | chuài | [動]
1.以腳底用力踢。如：「把門踹開」。《兒女英雄傳》第六回：「咱們踹開門，進去瞧瞧。」
2.踐踏、踩。《儒林外史》第三回：「走出大門不多路，一腳踹在塘裡，掙起來，頭髮都跌散了。」 |</v>
      </c>
    </row>
    <row r="9823" spans="1:44" hidden="1">
      <c r="A9823" s="1" t="s">
        <v>20306</v>
      </c>
      <c r="C9823" s="1">
        <v>1</v>
      </c>
      <c r="D9823" s="1" t="str">
        <f>"08597"</f>
        <v>08597</v>
      </c>
      <c r="E9823" s="1" t="s">
        <v>68</v>
      </c>
      <c r="F9823" s="1">
        <v>16</v>
      </c>
      <c r="G9823" s="1">
        <v>12</v>
      </c>
      <c r="H9823" s="1">
        <v>0</v>
      </c>
      <c r="I9823" s="1" t="s">
        <v>20299</v>
      </c>
      <c r="K9823" s="1" t="str">
        <f t="shared" si="609"/>
        <v>ㄔ</v>
      </c>
      <c r="L9823" s="1" t="str">
        <f t="shared" si="612"/>
        <v>ㄨ</v>
      </c>
      <c r="M9823" s="1" t="str">
        <f t="shared" si="610"/>
        <v>ㄞ</v>
      </c>
      <c r="P9823" s="1" t="s">
        <v>20</v>
      </c>
      <c r="R9823" s="1" t="s">
        <v>20300</v>
      </c>
      <c r="V9823" s="1" t="s">
        <v>20307</v>
      </c>
      <c r="AR9823" s="1" t="str">
        <f t="shared" si="611"/>
        <v>| [ㄔㄨㄞˋ](ㄔㄨㄞˋ.md) | [膪](膪.md) |  | chuài | [名]
囊膪：豬肉靠近兩乳的部分。 |</v>
      </c>
    </row>
    <row r="9824" spans="1:44" hidden="1">
      <c r="A9824" s="1" t="s">
        <v>20308</v>
      </c>
      <c r="C9824" s="1">
        <v>1</v>
      </c>
      <c r="D9824" s="1" t="str">
        <f>"08598"</f>
        <v>08598</v>
      </c>
      <c r="E9824" s="1" t="s">
        <v>28</v>
      </c>
      <c r="F9824" s="1">
        <v>7</v>
      </c>
      <c r="G9824" s="1">
        <v>4</v>
      </c>
      <c r="H9824" s="1">
        <v>1</v>
      </c>
      <c r="I9824" s="1" t="s">
        <v>20309</v>
      </c>
      <c r="K9824" s="1" t="str">
        <f t="shared" si="609"/>
        <v>ㄔ</v>
      </c>
      <c r="L9824" s="1" t="str">
        <f t="shared" si="612"/>
        <v>ㄨ</v>
      </c>
      <c r="M9824" s="1" t="str">
        <f t="shared" si="610"/>
        <v>ㄟ</v>
      </c>
      <c r="P9824" s="1" t="s">
        <v>20</v>
      </c>
      <c r="R9824" s="1" t="s">
        <v>20310</v>
      </c>
      <c r="V9824" s="1" t="s">
        <v>20311</v>
      </c>
      <c r="W9824" s="1" t="s">
        <v>20312</v>
      </c>
      <c r="AR9824" s="1" t="str">
        <f t="shared" si="611"/>
        <v>| [ㄔㄨㄟ](ㄔㄨㄟ.md) | [吹](吹.md) |  | chuī | [動]
1.噘著嘴將氣體用力從口中呼出來。如：「吹奏」、「吹口哨」。《詩經．小雅．鹿鳴》：「鼓瑟吹笙。」
2.氣流順著某方向流動。如：「風吹雨打」。唐．杜甫〈絕句漫興〉詩九首之二：「恰似春風相欺得，夜來吹折數枝花。」
3.誇口、說大話。如：「吹牛」、「吹噓」。
4.事情作罷或關係斷絕。如：「他們的婚事，早就吹了。」 |</v>
      </c>
    </row>
    <row r="9825" spans="1:44" hidden="1">
      <c r="A9825" s="1" t="s">
        <v>20313</v>
      </c>
      <c r="C9825" s="1">
        <v>1</v>
      </c>
      <c r="D9825" s="1" t="str">
        <f>"08599"</f>
        <v>08599</v>
      </c>
      <c r="E9825" s="1" t="s">
        <v>336</v>
      </c>
      <c r="F9825" s="1">
        <v>8</v>
      </c>
      <c r="G9825" s="1">
        <v>4</v>
      </c>
      <c r="H9825" s="1">
        <v>1</v>
      </c>
      <c r="I9825" s="1" t="s">
        <v>20309</v>
      </c>
      <c r="K9825" s="1" t="str">
        <f t="shared" si="609"/>
        <v>ㄔ</v>
      </c>
      <c r="L9825" s="1" t="str">
        <f t="shared" si="612"/>
        <v>ㄨ</v>
      </c>
      <c r="M9825" s="1" t="str">
        <f t="shared" si="610"/>
        <v>ㄟ</v>
      </c>
      <c r="P9825" s="1" t="s">
        <v>20</v>
      </c>
      <c r="R9825" s="1" t="s">
        <v>20310</v>
      </c>
      <c r="V9825" s="1" t="s">
        <v>20314</v>
      </c>
      <c r="W9825" s="1" t="s">
        <v>20315</v>
      </c>
      <c r="AR9825" s="1" t="str">
        <f t="shared" si="611"/>
        <v>| [ㄔㄨㄟ](ㄔㄨㄟ.md) | [炊](炊.md) |  | chuī | [動]
燃火煮食物。如：「炊飯」、「野炊」。漢．王充《論衡．知實》：「顏淵炊飯，塵落甑中。」宋．蘇軾〈和子由送將官梁左藏仲通〉詩：「城西忽報故人來，急掃風軒炊麥飯。」
[形]
烹煮食物的。如：「炊具」、「炊煙裊裊」。 |</v>
      </c>
    </row>
    <row r="9826" spans="1:44" hidden="1">
      <c r="A9826" s="1" t="s">
        <v>20316</v>
      </c>
      <c r="C9826" s="1">
        <v>1</v>
      </c>
      <c r="D9826" s="1" t="str">
        <f>"08600"</f>
        <v>08600</v>
      </c>
      <c r="E9826" s="1" t="s">
        <v>132</v>
      </c>
      <c r="F9826" s="1">
        <v>9</v>
      </c>
      <c r="G9826" s="1">
        <v>6</v>
      </c>
      <c r="H9826" s="1">
        <v>0</v>
      </c>
      <c r="I9826" s="1" t="s">
        <v>20317</v>
      </c>
      <c r="K9826" s="1" t="str">
        <f t="shared" si="609"/>
        <v>ㄔ</v>
      </c>
      <c r="L9826" s="1" t="str">
        <f t="shared" si="612"/>
        <v>ㄨ</v>
      </c>
      <c r="M9826" s="1" t="str">
        <f t="shared" si="610"/>
        <v>ㄟ</v>
      </c>
      <c r="P9826" s="1" t="s">
        <v>20</v>
      </c>
      <c r="R9826" s="1" t="s">
        <v>20318</v>
      </c>
      <c r="V9826" s="1" t="s">
        <v>20319</v>
      </c>
      <c r="AR9826" s="1" t="str">
        <f t="shared" si="611"/>
        <v>| [ㄔㄨㄟˊ](ㄔㄨㄟˊ.md) | [垂](垂.md) |  | chuí | [動]
1.由上往下掉落。如：「垂淚」、「垂涎」、「垂纓」。
2.留傳後世。如：「名垂青史」、「永垂不朽」。
[副]
1.及、將要。如：「垂危」、「功敗垂成」。唐．元稹〈聞樂天授江州司馬〉詩：「垂死病中驚坐起。」
2.晚輩受長輩關愛的敬語。如：「垂愛」、「垂詢」、「垂念」。
[名]
1.邊疆。通「陲」。《荀子．臣道》：「邊境之臣處，則疆垂不喪。」《史記．卷五．秦本紀》：「在西戎，保西垂。」
2.旁邊。《文選．王粲．詠史詩》：「妻子當門泣，兄弟哭路垂。」 |</v>
      </c>
    </row>
    <row r="9827" spans="1:44" hidden="1">
      <c r="A9827" s="1" t="s">
        <v>20320</v>
      </c>
      <c r="C9827" s="1">
        <v>1</v>
      </c>
      <c r="D9827" s="1" t="str">
        <f>"08601"</f>
        <v>08601</v>
      </c>
      <c r="E9827" s="1" t="s">
        <v>1941</v>
      </c>
      <c r="F9827" s="1">
        <v>11</v>
      </c>
      <c r="G9827" s="1">
        <v>9</v>
      </c>
      <c r="H9827" s="1">
        <v>0</v>
      </c>
      <c r="I9827" s="1" t="s">
        <v>20317</v>
      </c>
      <c r="K9827" s="1" t="str">
        <f t="shared" si="609"/>
        <v>ㄔ</v>
      </c>
      <c r="L9827" s="1" t="str">
        <f t="shared" si="612"/>
        <v>ㄨ</v>
      </c>
      <c r="M9827" s="1" t="str">
        <f t="shared" si="610"/>
        <v>ㄟ</v>
      </c>
      <c r="P9827" s="1" t="s">
        <v>20</v>
      </c>
      <c r="R9827" s="1" t="s">
        <v>20318</v>
      </c>
      <c r="V9827" s="1" t="s">
        <v>20321</v>
      </c>
      <c r="AR9827" s="1" t="str">
        <f t="shared" si="611"/>
        <v>| [ㄔㄨㄟˊ](ㄔㄨㄟˊ.md) | [厜](厜.md) |  | chuí | 參見「厜㕒」條。 |</v>
      </c>
    </row>
    <row r="9828" spans="1:44" hidden="1">
      <c r="A9828" s="1" t="s">
        <v>20322</v>
      </c>
      <c r="C9828" s="1">
        <v>1</v>
      </c>
      <c r="D9828" s="1" t="str">
        <f>"08602"</f>
        <v>08602</v>
      </c>
      <c r="E9828" s="1" t="s">
        <v>114</v>
      </c>
      <c r="F9828" s="1">
        <v>11</v>
      </c>
      <c r="G9828" s="1">
        <v>9</v>
      </c>
      <c r="H9828" s="1">
        <v>0</v>
      </c>
      <c r="I9828" s="1" t="s">
        <v>20317</v>
      </c>
      <c r="K9828" s="1" t="str">
        <f t="shared" si="609"/>
        <v>ㄔ</v>
      </c>
      <c r="L9828" s="1" t="str">
        <f t="shared" si="612"/>
        <v>ㄨ</v>
      </c>
      <c r="M9828" s="1" t="str">
        <f t="shared" si="610"/>
        <v>ㄟ</v>
      </c>
      <c r="P9828" s="1" t="s">
        <v>20</v>
      </c>
      <c r="R9828" s="1" t="s">
        <v>20318</v>
      </c>
      <c r="V9828" s="1" t="s">
        <v>20323</v>
      </c>
      <c r="AR9828" s="1" t="str">
        <f t="shared" si="611"/>
        <v>| [ㄔㄨㄟˊ](ㄔㄨㄟˊ.md) | [倕](倕.md) |  | chuí | [名]
人名。古代的巧匠。《莊子．胠篋》：「攦工倕之指，而天下始人有其巧矣。」《後漢書．卷五二．崔駰傳》：「應規矩之淑質兮，過班倕而裁之。」唐．章懷太子．注：「公輸班，魯人也；倕，舜時為共工之官。皆巧人也。」 |</v>
      </c>
    </row>
    <row r="9829" spans="1:44" hidden="1">
      <c r="A9829" s="1" t="s">
        <v>20324</v>
      </c>
      <c r="C9829" s="1">
        <v>1</v>
      </c>
      <c r="D9829" s="1" t="str">
        <f>"08603"</f>
        <v>08603</v>
      </c>
      <c r="E9829" s="1" t="s">
        <v>24</v>
      </c>
      <c r="F9829" s="1">
        <v>12</v>
      </c>
      <c r="G9829" s="1">
        <v>9</v>
      </c>
      <c r="H9829" s="1">
        <v>0</v>
      </c>
      <c r="I9829" s="1" t="s">
        <v>20317</v>
      </c>
      <c r="K9829" s="1" t="str">
        <f t="shared" si="609"/>
        <v>ㄔ</v>
      </c>
      <c r="L9829" s="1" t="str">
        <f t="shared" si="612"/>
        <v>ㄨ</v>
      </c>
      <c r="M9829" s="1" t="str">
        <f t="shared" si="610"/>
        <v>ㄟ</v>
      </c>
      <c r="P9829" s="1" t="s">
        <v>20</v>
      </c>
      <c r="R9829" s="1" t="s">
        <v>20318</v>
      </c>
      <c r="V9829" s="1" t="s">
        <v>20325</v>
      </c>
      <c r="AR9829" s="1" t="str">
        <f t="shared" si="611"/>
        <v>| [ㄔㄨㄟˊ](ㄔㄨㄟˊ.md) | [捶](捶.md) |  | chuí | [動]
1.用杖敲打。如：「捶背」、「捶胸頓足」。《荀子．正論》：「捶笞臏腳，斬斷枯磔。」
2.舂、擣。《禮記．內則》：「欲乾肉，則捶而食之。」
[名]
鞭、杖。《莊子．天下》：「一尺之捶，日取其半，萬世不竭。」《韓非子．姦劫弒臣》：「無捶策之威，銜橛之備，雖造父不能以服馬。」 |</v>
      </c>
    </row>
    <row r="9830" spans="1:44" hidden="1">
      <c r="A9830" s="1" t="s">
        <v>20326</v>
      </c>
      <c r="C9830" s="1">
        <v>1</v>
      </c>
      <c r="D9830" s="1" t="str">
        <f>"08604"</f>
        <v>08604</v>
      </c>
      <c r="E9830" s="1" t="s">
        <v>691</v>
      </c>
      <c r="F9830" s="1">
        <v>12</v>
      </c>
      <c r="G9830" s="1">
        <v>9</v>
      </c>
      <c r="H9830" s="1">
        <v>0</v>
      </c>
      <c r="I9830" s="1" t="s">
        <v>20317</v>
      </c>
      <c r="K9830" s="1" t="str">
        <f t="shared" si="609"/>
        <v>ㄔ</v>
      </c>
      <c r="L9830" s="1" t="str">
        <f t="shared" si="612"/>
        <v>ㄨ</v>
      </c>
      <c r="M9830" s="1" t="str">
        <f t="shared" si="610"/>
        <v>ㄟ</v>
      </c>
      <c r="P9830" s="1" t="s">
        <v>20</v>
      </c>
      <c r="R9830" s="1" t="s">
        <v>20318</v>
      </c>
      <c r="V9830" s="1" t="s">
        <v>20327</v>
      </c>
      <c r="AR9830" s="1" t="str">
        <f t="shared" si="611"/>
        <v>| [ㄔㄨㄟˊ](ㄔㄨㄟˊ.md) | [陲](陲.md) |  | chuí | [名]
邊界、邊疆。《左傳．成公十三年》：「芟夷我農功，虔劉我邊陲，我是以有輔氏之聚。」唐．王維〈送別〉詩：「君言不得意，歸臥南山陲。」 |</v>
      </c>
    </row>
    <row r="9831" spans="1:44" hidden="1">
      <c r="A9831" s="1" t="s">
        <v>20328</v>
      </c>
      <c r="C9831" s="1">
        <v>1</v>
      </c>
      <c r="D9831" s="1" t="str">
        <f>"08605"</f>
        <v>08605</v>
      </c>
      <c r="E9831" s="1" t="s">
        <v>139</v>
      </c>
      <c r="F9831" s="1">
        <v>13</v>
      </c>
      <c r="G9831" s="1">
        <v>9</v>
      </c>
      <c r="H9831" s="1">
        <v>0</v>
      </c>
      <c r="I9831" s="1" t="s">
        <v>20317</v>
      </c>
      <c r="K9831" s="1" t="str">
        <f t="shared" si="609"/>
        <v>ㄔ</v>
      </c>
      <c r="L9831" s="1" t="str">
        <f t="shared" si="612"/>
        <v>ㄨ</v>
      </c>
      <c r="M9831" s="1" t="str">
        <f t="shared" si="610"/>
        <v>ㄟ</v>
      </c>
      <c r="P9831" s="1" t="s">
        <v>20</v>
      </c>
      <c r="R9831" s="1" t="s">
        <v>20318</v>
      </c>
      <c r="V9831" s="1" t="s">
        <v>20329</v>
      </c>
      <c r="AR9831" s="1" t="str">
        <f t="shared" si="611"/>
        <v>| [ㄔㄨㄟˊ](ㄔㄨㄟˊ.md) | [棰](棰.md) |  | chuí | [名]
短的木杖、棍棒。《莊子．天下》：「一尺之棰，日取其半，萬世不竭。」
[動]
用木杖捶打。《周禮．天官．腊人》「腊人，掌乾肉，凡田獸之脯腊膴胖之事」句下漢．鄭玄．注：「棰之而施薑桂。」 |</v>
      </c>
    </row>
    <row r="9832" spans="1:44" hidden="1">
      <c r="A9832" s="1" t="s">
        <v>20330</v>
      </c>
      <c r="C9832" s="1">
        <v>1</v>
      </c>
      <c r="D9832" s="1" t="str">
        <f>"08606"</f>
        <v>08606</v>
      </c>
      <c r="E9832" s="1" t="s">
        <v>37</v>
      </c>
      <c r="F9832" s="1">
        <v>13</v>
      </c>
      <c r="G9832" s="1">
        <v>9</v>
      </c>
      <c r="H9832" s="1">
        <v>0</v>
      </c>
      <c r="I9832" s="1" t="s">
        <v>20317</v>
      </c>
      <c r="K9832" s="1" t="str">
        <f t="shared" si="609"/>
        <v>ㄔ</v>
      </c>
      <c r="L9832" s="1" t="str">
        <f t="shared" si="612"/>
        <v>ㄨ</v>
      </c>
      <c r="M9832" s="1" t="str">
        <f t="shared" si="610"/>
        <v>ㄟ</v>
      </c>
      <c r="P9832" s="1" t="s">
        <v>20</v>
      </c>
      <c r="R9832" s="1" t="s">
        <v>20318</v>
      </c>
      <c r="V9832" s="1" t="s">
        <v>20331</v>
      </c>
      <c r="AR9832" s="1" t="str">
        <f t="shared" si="611"/>
        <v>| [ㄔㄨㄟˊ](ㄔㄨㄟˊ.md) | [菙](菙.md) |  | chuí | [名]
古代用來灼龜占卜的荊條。《集韻．上聲．紙韻》：「菙，木名。」《周禮．春官．菙氏》：「菙氏，掌共樵契以待卜事。」 |</v>
      </c>
    </row>
    <row r="9833" spans="1:44" hidden="1">
      <c r="A9833" s="1" t="s">
        <v>20332</v>
      </c>
      <c r="C9833" s="1">
        <v>1</v>
      </c>
      <c r="D9833" s="1" t="str">
        <f>"08607"</f>
        <v>08607</v>
      </c>
      <c r="E9833" s="1" t="s">
        <v>49</v>
      </c>
      <c r="F9833" s="1">
        <v>15</v>
      </c>
      <c r="G9833" s="1">
        <v>9</v>
      </c>
      <c r="H9833" s="1">
        <v>0</v>
      </c>
      <c r="I9833" s="1" t="s">
        <v>20317</v>
      </c>
      <c r="K9833" s="1" t="str">
        <f t="shared" si="609"/>
        <v>ㄔ</v>
      </c>
      <c r="L9833" s="1" t="str">
        <f t="shared" si="612"/>
        <v>ㄨ</v>
      </c>
      <c r="M9833" s="1" t="str">
        <f t="shared" si="610"/>
        <v>ㄟ</v>
      </c>
      <c r="P9833" s="1" t="s">
        <v>20</v>
      </c>
      <c r="R9833" s="1" t="s">
        <v>20318</v>
      </c>
      <c r="V9833" s="1" t="s">
        <v>20333</v>
      </c>
      <c r="AR9833" s="1" t="str">
        <f t="shared" si="611"/>
        <v>| [ㄔㄨㄟˊ](ㄔㄨㄟˊ.md) | [箠](箠.md) |  | chuí | [名]
馬鞭。《玉篇．竹部》：「箠，擊馬箠也。」漢．桓寬《鹽鐵論．詔聖》：「今之治民者，若御拙馬，行則頓之，止則擊之，身創於箠，吻傷於銜。」唐．杜牧〈西江懷古〉詩：「魏帝縫囊真戲劇，苻堅投箠更荒唐。」
[動]
鞭打。宋．羅大經《鶴林玉露．丙編．卷三．靜坐》：「眾生打坐者數百人，或拈竹篦痛箠之，或袖中出餅果置其前。」 |</v>
      </c>
    </row>
    <row r="9834" spans="1:44" hidden="1">
      <c r="A9834" s="1" t="s">
        <v>20334</v>
      </c>
      <c r="C9834" s="1">
        <v>1</v>
      </c>
      <c r="D9834" s="1" t="str">
        <f>"08608"</f>
        <v>08608</v>
      </c>
      <c r="E9834" s="1" t="s">
        <v>55</v>
      </c>
      <c r="F9834" s="1">
        <v>17</v>
      </c>
      <c r="G9834" s="1">
        <v>9</v>
      </c>
      <c r="H9834" s="1">
        <v>0</v>
      </c>
      <c r="I9834" s="1" t="s">
        <v>20317</v>
      </c>
      <c r="K9834" s="1" t="str">
        <f t="shared" si="609"/>
        <v>ㄔ</v>
      </c>
      <c r="L9834" s="1" t="str">
        <f t="shared" si="612"/>
        <v>ㄨ</v>
      </c>
      <c r="M9834" s="1" t="str">
        <f t="shared" si="610"/>
        <v>ㄟ</v>
      </c>
      <c r="P9834" s="1" t="s">
        <v>20</v>
      </c>
      <c r="R9834" s="1" t="s">
        <v>20318</v>
      </c>
      <c r="V9834" s="1" t="s">
        <v>20335</v>
      </c>
      <c r="AR9834" s="1" t="str">
        <f t="shared" si="611"/>
        <v>| [ㄔㄨㄟˊ](ㄔㄨㄟˊ.md) | [錘](錘.md) |  | chuí | [名]
1.掛在秤上的金屬塊，可用來定重量。如：「秤錘」。
2.兵器名。柄的上端是一個金屬的圓鐵球。《儒林外史》第一二回：「鞭鐧鐹錘，刀鎗劍戟，都還略有些講究。」
3.捶打東西的器具。如：「鐵錘」、「釘錘」。
[動]
擣擊、敲打。通「鎚」。如：「千錘百鍊」。 |</v>
      </c>
    </row>
    <row r="9835" spans="1:44" hidden="1">
      <c r="A9835" s="1" t="s">
        <v>19085</v>
      </c>
      <c r="C9835" s="1">
        <v>1</v>
      </c>
      <c r="D9835" s="1" t="str">
        <f>"08609"</f>
        <v>08609</v>
      </c>
      <c r="E9835" s="1" t="s">
        <v>139</v>
      </c>
      <c r="F9835" s="1">
        <v>12</v>
      </c>
      <c r="G9835" s="1">
        <v>8</v>
      </c>
      <c r="H9835" s="1">
        <v>2</v>
      </c>
      <c r="I9835" s="1" t="s">
        <v>20317</v>
      </c>
      <c r="K9835" s="1" t="str">
        <f t="shared" si="609"/>
        <v>ㄔ</v>
      </c>
      <c r="L9835" s="1" t="str">
        <f t="shared" si="612"/>
        <v>ㄨ</v>
      </c>
      <c r="M9835" s="1" t="str">
        <f t="shared" si="610"/>
        <v>ㄟ</v>
      </c>
      <c r="P9835" s="1" t="s">
        <v>110</v>
      </c>
      <c r="R9835" s="1" t="s">
        <v>20318</v>
      </c>
      <c r="V9835" s="1" t="s">
        <v>111</v>
      </c>
      <c r="W9835" s="1" t="s">
        <v>20336</v>
      </c>
      <c r="AR9835" s="1" t="str">
        <f t="shared" si="611"/>
        <v>| [ㄔㄨㄟˊ](ㄔㄨㄟˊ.md) | [椎](椎.md) |  | chuí | (一)之又音。 |</v>
      </c>
    </row>
    <row r="9836" spans="1:44" hidden="1">
      <c r="A9836" s="1" t="s">
        <v>20337</v>
      </c>
      <c r="C9836" s="1">
        <v>1</v>
      </c>
      <c r="D9836" s="1" t="str">
        <f>"08610"</f>
        <v>08610</v>
      </c>
      <c r="E9836" s="1" t="s">
        <v>2557</v>
      </c>
      <c r="F9836" s="1">
        <v>12</v>
      </c>
      <c r="G9836" s="1">
        <v>9</v>
      </c>
      <c r="H9836" s="1">
        <v>0</v>
      </c>
      <c r="I9836" s="1" t="s">
        <v>20317</v>
      </c>
      <c r="K9836" s="1" t="str">
        <f t="shared" si="609"/>
        <v>ㄔ</v>
      </c>
      <c r="L9836" s="1" t="str">
        <f t="shared" si="612"/>
        <v>ㄨ</v>
      </c>
      <c r="M9836" s="1" t="str">
        <f t="shared" si="610"/>
        <v>ㄟ</v>
      </c>
      <c r="P9836" s="1" t="s">
        <v>20</v>
      </c>
      <c r="R9836" s="1" t="s">
        <v>20318</v>
      </c>
      <c r="V9836" s="1" t="s">
        <v>20338</v>
      </c>
      <c r="AR9836" s="1" t="str">
        <f t="shared" si="611"/>
        <v>| [ㄔㄨㄟˊ](ㄔㄨㄟˊ.md) | [圌](圌.md) |  | chuí | [名]
1.以竹或草編製而成，用以盛放穀糧的圓形器皿。漢．劉熙《釋名．釋宮室》：「圌，以草作之，團團然也。」《抱朴子．外篇．守塉》：「稗糲曠於圌廩，薪爨廢於庖廚。」
2.山名。位於大陸地區江蘇省鎮江縣東北六十里，為江防要地。 |</v>
      </c>
    </row>
    <row r="9837" spans="1:44" hidden="1">
      <c r="A9837" s="1" t="s">
        <v>20339</v>
      </c>
      <c r="C9837" s="1">
        <v>1</v>
      </c>
      <c r="D9837" s="1" t="str">
        <f>"08611"</f>
        <v>08611</v>
      </c>
      <c r="E9837" s="1" t="s">
        <v>24</v>
      </c>
      <c r="F9837" s="1">
        <v>13</v>
      </c>
      <c r="G9837" s="1">
        <v>10</v>
      </c>
      <c r="H9837" s="1">
        <v>0</v>
      </c>
      <c r="I9837" s="1" t="s">
        <v>20317</v>
      </c>
      <c r="K9837" s="1" t="str">
        <f t="shared" si="609"/>
        <v>ㄔ</v>
      </c>
      <c r="L9837" s="1" t="str">
        <f t="shared" si="612"/>
        <v>ㄨ</v>
      </c>
      <c r="M9837" s="1" t="str">
        <f t="shared" si="610"/>
        <v>ㄟ</v>
      </c>
      <c r="P9837" s="1" t="s">
        <v>20</v>
      </c>
      <c r="R9837" s="1" t="s">
        <v>20318</v>
      </c>
      <c r="V9837" s="1" t="s">
        <v>20340</v>
      </c>
      <c r="AR9837" s="1" t="str">
        <f t="shared" si="611"/>
        <v>| [ㄔㄨㄟˊ](ㄔㄨㄟˊ.md) | [搥](搥.md) |  | chuí | [動]
敲打。同「捶」。如：「搥背」、「搥胸頓足」。《南史．卷七七．恩倖傳．茹法亮傳》：「近聞王洪範與趙越常、徐僧亮、萬靈會共語，皆攘袂搥床。」 |</v>
      </c>
    </row>
    <row r="9838" spans="1:44" hidden="1">
      <c r="A9838" s="1" t="s">
        <v>20341</v>
      </c>
      <c r="C9838" s="1">
        <v>1</v>
      </c>
      <c r="D9838" s="1" t="str">
        <f>"08612"</f>
        <v>08612</v>
      </c>
      <c r="E9838" s="1" t="s">
        <v>139</v>
      </c>
      <c r="F9838" s="1">
        <v>14</v>
      </c>
      <c r="G9838" s="1">
        <v>10</v>
      </c>
      <c r="H9838" s="1">
        <v>0</v>
      </c>
      <c r="I9838" s="1" t="s">
        <v>20317</v>
      </c>
      <c r="K9838" s="1" t="str">
        <f t="shared" si="609"/>
        <v>ㄔ</v>
      </c>
      <c r="L9838" s="1" t="str">
        <f t="shared" si="612"/>
        <v>ㄨ</v>
      </c>
      <c r="M9838" s="1" t="str">
        <f t="shared" si="610"/>
        <v>ㄟ</v>
      </c>
      <c r="P9838" s="1" t="s">
        <v>20</v>
      </c>
      <c r="R9838" s="1" t="s">
        <v>20318</v>
      </c>
      <c r="V9838" s="1" t="s">
        <v>20342</v>
      </c>
      <c r="AR9838" s="1" t="str">
        <f t="shared" si="611"/>
        <v>| [ㄔㄨㄟˊ](ㄔㄨㄟˊ.md) | [槌](槌.md) |  | chuí | [名]
敲打東西的器具。形似錘。如：「棒槌」、「鼓槌」。南朝宋．劉義慶《世說新語．簡傲》：「康揚槌不輟，傍若無人。」
[動]
敲打。通「捶」。《樂府詩集．卷七三．雜曲歌辭十三．古辭．焦仲卿妻》：「阿母得聞之，槌床便大怒。」 |</v>
      </c>
    </row>
    <row r="9839" spans="1:44" hidden="1">
      <c r="A9839" s="1" t="s">
        <v>20343</v>
      </c>
      <c r="C9839" s="1">
        <v>1</v>
      </c>
      <c r="D9839" s="1" t="str">
        <f>"08613"</f>
        <v>08613</v>
      </c>
      <c r="E9839" s="1" t="s">
        <v>55</v>
      </c>
      <c r="F9839" s="1">
        <v>18</v>
      </c>
      <c r="G9839" s="1">
        <v>10</v>
      </c>
      <c r="H9839" s="1">
        <v>0</v>
      </c>
      <c r="I9839" s="1" t="s">
        <v>20317</v>
      </c>
      <c r="K9839" s="1" t="str">
        <f t="shared" si="609"/>
        <v>ㄔ</v>
      </c>
      <c r="L9839" s="1" t="str">
        <f t="shared" si="612"/>
        <v>ㄨ</v>
      </c>
      <c r="M9839" s="1" t="str">
        <f t="shared" si="610"/>
        <v>ㄟ</v>
      </c>
      <c r="P9839" s="1" t="s">
        <v>20</v>
      </c>
      <c r="R9839" s="1" t="s">
        <v>20318</v>
      </c>
      <c r="V9839" s="1" t="s">
        <v>20344</v>
      </c>
      <c r="AR9839" s="1" t="str">
        <f t="shared" si="611"/>
        <v>| [ㄔㄨㄟˊ](ㄔㄨㄟˊ.md) | [鎚](鎚.md) |  | chuí | [名]
敲擊東西的器具。通「錘」。俗稱為「榔頭」。
[動]
敲打。通「錘」。如：「鎚打」。 |</v>
      </c>
    </row>
    <row r="9840" spans="1:44" hidden="1">
      <c r="A9840" s="1" t="s">
        <v>20308</v>
      </c>
      <c r="C9840" s="1">
        <v>1</v>
      </c>
      <c r="D9840" s="1" t="str">
        <f>"08614"</f>
        <v>08614</v>
      </c>
      <c r="E9840" s="1" t="s">
        <v>28</v>
      </c>
      <c r="F9840" s="1">
        <v>7</v>
      </c>
      <c r="G9840" s="1">
        <v>4</v>
      </c>
      <c r="H9840" s="1">
        <v>2</v>
      </c>
      <c r="I9840" s="1" t="s">
        <v>20345</v>
      </c>
      <c r="K9840" s="1" t="str">
        <f t="shared" ref="K9840:K9903" si="613">LEFT(I9840, 1)</f>
        <v>ㄔ</v>
      </c>
      <c r="L9840" s="1" t="str">
        <f t="shared" si="612"/>
        <v>ㄨ</v>
      </c>
      <c r="M9840" s="1" t="str">
        <f t="shared" si="610"/>
        <v>ㄟ</v>
      </c>
      <c r="P9840" s="1" t="s">
        <v>20</v>
      </c>
      <c r="R9840" s="1" t="s">
        <v>20346</v>
      </c>
      <c r="V9840" s="1" t="s">
        <v>20347</v>
      </c>
      <c r="W9840" s="1" t="s">
        <v>20348</v>
      </c>
      <c r="AR9840" s="1" t="str">
        <f t="shared" si="611"/>
        <v>| [ㄔㄨㄟˋ](ㄔㄨㄟˋ.md) | [吹](吹.md) |  | chuì | 參見「鼓吹」(一)條。 |</v>
      </c>
    </row>
    <row r="9841" spans="1:44" hidden="1">
      <c r="A9841" s="1" t="s">
        <v>20313</v>
      </c>
      <c r="C9841" s="1">
        <v>1</v>
      </c>
      <c r="D9841" s="1" t="str">
        <f>"08615"</f>
        <v>08615</v>
      </c>
      <c r="E9841" s="1" t="s">
        <v>336</v>
      </c>
      <c r="F9841" s="1">
        <v>8</v>
      </c>
      <c r="G9841" s="1">
        <v>4</v>
      </c>
      <c r="H9841" s="1">
        <v>2</v>
      </c>
      <c r="I9841" s="1" t="s">
        <v>20345</v>
      </c>
      <c r="K9841" s="1" t="str">
        <f t="shared" si="613"/>
        <v>ㄔ</v>
      </c>
      <c r="L9841" s="1" t="str">
        <f t="shared" si="612"/>
        <v>ㄨ</v>
      </c>
      <c r="M9841" s="1" t="str">
        <f t="shared" si="610"/>
        <v>ㄟ</v>
      </c>
      <c r="P9841" s="1" t="s">
        <v>20</v>
      </c>
      <c r="R9841" s="1" t="s">
        <v>20346</v>
      </c>
      <c r="V9841" s="1" t="s">
        <v>20349</v>
      </c>
      <c r="W9841" s="1" t="s">
        <v>20350</v>
      </c>
      <c r="AR9841" s="1" t="str">
        <f t="shared" si="611"/>
        <v>| [ㄔㄨㄟˋ](ㄔㄨㄟˋ.md) | [炊](炊.md) |  | chuì | 參見「炊累」條。 |</v>
      </c>
    </row>
    <row r="9842" spans="1:44" hidden="1">
      <c r="A9842" s="1" t="s">
        <v>20351</v>
      </c>
      <c r="C9842" s="1">
        <v>1</v>
      </c>
      <c r="D9842" s="1" t="str">
        <f>"08616"</f>
        <v>08616</v>
      </c>
      <c r="E9842" s="1" t="s">
        <v>10354</v>
      </c>
      <c r="F9842" s="1">
        <v>3</v>
      </c>
      <c r="G9842" s="1">
        <v>0</v>
      </c>
      <c r="H9842" s="1">
        <v>0</v>
      </c>
      <c r="I9842" s="1" t="s">
        <v>20352</v>
      </c>
      <c r="K9842" s="1" t="str">
        <f t="shared" si="613"/>
        <v>ㄔ</v>
      </c>
      <c r="L9842" s="1" t="str">
        <f t="shared" si="612"/>
        <v>ㄨ</v>
      </c>
      <c r="M9842" s="1" t="str">
        <f t="shared" si="610"/>
        <v>ㄢ</v>
      </c>
      <c r="P9842" s="1" t="s">
        <v>20</v>
      </c>
      <c r="R9842" s="1" t="s">
        <v>20353</v>
      </c>
      <c r="V9842" s="1" t="s">
        <v>20354</v>
      </c>
      <c r="AR9842" s="1" t="str">
        <f t="shared" si="611"/>
        <v>| [ㄔㄨㄢ](ㄔㄨㄢ.md) | [川](川.md) |  | chuān | [名]
1.河流。如：「河川」。《論語．子罕》：「子在川上曰：『逝者如斯夫，不舍晝夜。』」
2.大陸地區四川省的簡稱。
[動]
一種烹飪方法。將食物置於開水中，水一開即刻撈起。如：「川肉片」。 |</v>
      </c>
    </row>
    <row r="9843" spans="1:44" hidden="1">
      <c r="A9843" s="1" t="s">
        <v>20355</v>
      </c>
      <c r="C9843" s="1">
        <v>1</v>
      </c>
      <c r="D9843" s="1" t="str">
        <f>"08617"</f>
        <v>08617</v>
      </c>
      <c r="E9843" s="1" t="s">
        <v>2228</v>
      </c>
      <c r="F9843" s="1">
        <v>7</v>
      </c>
      <c r="G9843" s="1">
        <v>3</v>
      </c>
      <c r="H9843" s="1">
        <v>0</v>
      </c>
      <c r="I9843" s="1" t="s">
        <v>20352</v>
      </c>
      <c r="K9843" s="1" t="str">
        <f t="shared" si="613"/>
        <v>ㄔ</v>
      </c>
      <c r="L9843" s="1" t="str">
        <f t="shared" si="612"/>
        <v>ㄨ</v>
      </c>
      <c r="M9843" s="1" t="str">
        <f t="shared" si="610"/>
        <v>ㄢ</v>
      </c>
      <c r="P9843" s="1" t="s">
        <v>20</v>
      </c>
      <c r="R9843" s="1" t="s">
        <v>20353</v>
      </c>
      <c r="V9843" s="1" t="s">
        <v>20356</v>
      </c>
      <c r="AR9843" s="1" t="str">
        <f t="shared" si="611"/>
        <v>| [ㄔㄨㄢ](ㄔㄨㄢ.md) | [氚](氚.md) |  | chuān | 氫的同位素之一。以人為方式製成，具放射性，核內有兩個中子及一個質子，應用於熱核反應。 |</v>
      </c>
    </row>
    <row r="9844" spans="1:44" hidden="1">
      <c r="A9844" s="1" t="s">
        <v>20357</v>
      </c>
      <c r="C9844" s="1">
        <v>1</v>
      </c>
      <c r="D9844" s="1" t="str">
        <f>"08618"</f>
        <v>08618</v>
      </c>
      <c r="E9844" s="1" t="s">
        <v>10354</v>
      </c>
      <c r="F9844" s="1">
        <v>3</v>
      </c>
      <c r="G9844" s="1">
        <v>0</v>
      </c>
      <c r="H9844" s="1">
        <v>0</v>
      </c>
      <c r="I9844" s="1" t="s">
        <v>20352</v>
      </c>
      <c r="K9844" s="1" t="str">
        <f t="shared" si="613"/>
        <v>ㄔ</v>
      </c>
      <c r="L9844" s="1" t="str">
        <f t="shared" si="612"/>
        <v>ㄨ</v>
      </c>
      <c r="M9844" s="1" t="str">
        <f t="shared" si="610"/>
        <v>ㄢ</v>
      </c>
      <c r="P9844" s="1" t="s">
        <v>20</v>
      </c>
      <c r="R9844" s="1" t="s">
        <v>20353</v>
      </c>
      <c r="V9844" s="1" t="s">
        <v>1384</v>
      </c>
      <c r="AR9844" s="1" t="str">
        <f t="shared" si="611"/>
        <v>| [ㄔㄨㄢ](ㄔㄨㄢ.md) | [巛](巛.md) |  | chuān | [名]
二一四部首之一。 |</v>
      </c>
    </row>
    <row r="9845" spans="1:44" hidden="1">
      <c r="A9845" s="1" t="s">
        <v>20358</v>
      </c>
      <c r="C9845" s="1">
        <v>1</v>
      </c>
      <c r="D9845" s="1" t="str">
        <f>"08619"</f>
        <v>08619</v>
      </c>
      <c r="E9845" s="1" t="s">
        <v>1274</v>
      </c>
      <c r="F9845" s="1">
        <v>9</v>
      </c>
      <c r="G9845" s="1">
        <v>4</v>
      </c>
      <c r="H9845" s="1">
        <v>0</v>
      </c>
      <c r="I9845" s="1" t="s">
        <v>20352</v>
      </c>
      <c r="K9845" s="1" t="str">
        <f t="shared" si="613"/>
        <v>ㄔ</v>
      </c>
      <c r="L9845" s="1" t="str">
        <f t="shared" si="612"/>
        <v>ㄨ</v>
      </c>
      <c r="M9845" s="1" t="str">
        <f t="shared" si="610"/>
        <v>ㄢ</v>
      </c>
      <c r="P9845" s="1" t="s">
        <v>20</v>
      </c>
      <c r="R9845" s="1" t="s">
        <v>20353</v>
      </c>
      <c r="V9845" s="1" t="s">
        <v>20359</v>
      </c>
      <c r="AR9845" s="1" t="str">
        <f t="shared" si="611"/>
        <v>| [ㄔㄨㄢ](ㄔㄨㄢ.md) | [穿](穿.md) |  | chuān | [動]
1.挖鑿、挖掘。《詩經．召南．行露》：「誰謂鼠無牙，何以穿我墉？」《禮記．月令》：「穿竇窖，脩囷倉。」
2.貫通、通過。如：「穿針引線」、「穿鞋帶」、「穿越馬路」。
3.著衣襪等。如：「穿衣服」、「穿襪子」。
[形]
破敗的。《莊子．山木》：「衣弊屐穿，貧也，非憊也。」
[副]
透澈、明白、顯明。如：「說穿」、「看穿心事」、「望穿秋水」、「拆穿西洋鏡」。 |</v>
      </c>
    </row>
    <row r="9846" spans="1:44" hidden="1">
      <c r="A9846" s="1" t="s">
        <v>20360</v>
      </c>
      <c r="C9846" s="1">
        <v>1</v>
      </c>
      <c r="D9846" s="1" t="str">
        <f>"08620"</f>
        <v>08620</v>
      </c>
      <c r="E9846" s="1" t="s">
        <v>181</v>
      </c>
      <c r="F9846" s="1">
        <v>11</v>
      </c>
      <c r="G9846" s="1">
        <v>5</v>
      </c>
      <c r="H9846" s="1">
        <v>0</v>
      </c>
      <c r="I9846" s="1" t="s">
        <v>20361</v>
      </c>
      <c r="K9846" s="1" t="str">
        <f t="shared" si="613"/>
        <v>ㄔ</v>
      </c>
      <c r="L9846" s="1" t="str">
        <f t="shared" si="612"/>
        <v>ㄨ</v>
      </c>
      <c r="M9846" s="1" t="str">
        <f t="shared" si="610"/>
        <v>ㄢ</v>
      </c>
      <c r="P9846" s="1" t="s">
        <v>20</v>
      </c>
      <c r="R9846" s="1" t="s">
        <v>20362</v>
      </c>
      <c r="V9846" s="1" t="s">
        <v>20363</v>
      </c>
      <c r="AR9846" s="1" t="str">
        <f t="shared" si="611"/>
        <v>| [ㄔㄨㄢˊ](ㄔㄨㄢˊ.md) | [船](船.md) |  | chuán | [名]
1.航行水上的主要交通工具。如：「汽船」、「輪船」、「帆船」、「鐵殼船」。
2.形狀或作用類似船的物體。如：「太空船」。 |</v>
      </c>
    </row>
    <row r="9847" spans="1:44" hidden="1">
      <c r="A9847" s="1" t="s">
        <v>20364</v>
      </c>
      <c r="C9847" s="1">
        <v>1</v>
      </c>
      <c r="D9847" s="1" t="str">
        <f>"08621"</f>
        <v>08621</v>
      </c>
      <c r="E9847" s="1" t="s">
        <v>139</v>
      </c>
      <c r="F9847" s="1">
        <v>13</v>
      </c>
      <c r="G9847" s="1">
        <v>9</v>
      </c>
      <c r="H9847" s="1">
        <v>0</v>
      </c>
      <c r="I9847" s="1" t="s">
        <v>20361</v>
      </c>
      <c r="K9847" s="1" t="str">
        <f t="shared" si="613"/>
        <v>ㄔ</v>
      </c>
      <c r="L9847" s="1" t="str">
        <f t="shared" si="612"/>
        <v>ㄨ</v>
      </c>
      <c r="M9847" s="1" t="str">
        <f t="shared" si="610"/>
        <v>ㄢ</v>
      </c>
      <c r="P9847" s="1" t="s">
        <v>20</v>
      </c>
      <c r="R9847" s="1" t="s">
        <v>20362</v>
      </c>
      <c r="V9847" s="1" t="s">
        <v>20365</v>
      </c>
      <c r="AR9847" s="1" t="str">
        <f t="shared" si="611"/>
        <v>| [ㄔㄨㄢˊ](ㄔㄨㄢˊ.md) | [椽](椽.md) |  | chuán | [名]
架在桁上用以承接木條及屋頂的木材。《左傳．桓公十四年》：「以大宮之椽，歸為盧門之椽。」《晉書．卷八五．諸葛長民傳》：「屋中柱及椽桷間，悉見有蛇頭，令人以刀懸斫，應刃隱藏，去輒復出。」也稱為「椽子」。 |</v>
      </c>
    </row>
    <row r="9848" spans="1:44" hidden="1">
      <c r="A9848" s="1" t="s">
        <v>20366</v>
      </c>
      <c r="C9848" s="1">
        <v>1</v>
      </c>
      <c r="D9848" s="1" t="str">
        <f>"08622"</f>
        <v>08622</v>
      </c>
      <c r="E9848" s="1" t="s">
        <v>558</v>
      </c>
      <c r="F9848" s="1">
        <v>13</v>
      </c>
      <c r="G9848" s="1">
        <v>9</v>
      </c>
      <c r="H9848" s="1">
        <v>0</v>
      </c>
      <c r="I9848" s="1" t="s">
        <v>20361</v>
      </c>
      <c r="K9848" s="1" t="str">
        <f t="shared" si="613"/>
        <v>ㄔ</v>
      </c>
      <c r="L9848" s="1" t="str">
        <f t="shared" si="612"/>
        <v>ㄨ</v>
      </c>
      <c r="M9848" s="1" t="str">
        <f t="shared" si="610"/>
        <v>ㄢ</v>
      </c>
      <c r="P9848" s="1" t="s">
        <v>20</v>
      </c>
      <c r="R9848" s="1" t="s">
        <v>20362</v>
      </c>
      <c r="V9848" s="1" t="s">
        <v>20367</v>
      </c>
      <c r="AR9848" s="1" t="str">
        <f t="shared" si="611"/>
        <v>| [ㄔㄨㄢˊ](ㄔㄨㄢˊ.md) | [遄](遄.md) |  | chuán | [副]
疾速。《易經．損卦．初九》：「巳事遄往，無咎。」《詩經．鄘風．相鼠》：「人而無禮，胡不遄死？」 |</v>
      </c>
    </row>
    <row r="9849" spans="1:44" hidden="1">
      <c r="A9849" s="1" t="s">
        <v>20368</v>
      </c>
      <c r="C9849" s="1">
        <v>1</v>
      </c>
      <c r="D9849" s="1" t="str">
        <f>"08623"</f>
        <v>08623</v>
      </c>
      <c r="E9849" s="1" t="s">
        <v>1908</v>
      </c>
      <c r="F9849" s="1">
        <v>13</v>
      </c>
      <c r="G9849" s="1">
        <v>9</v>
      </c>
      <c r="H9849" s="1">
        <v>2</v>
      </c>
      <c r="I9849" s="1" t="s">
        <v>20361</v>
      </c>
      <c r="K9849" s="1" t="str">
        <f t="shared" si="613"/>
        <v>ㄔ</v>
      </c>
      <c r="L9849" s="1" t="str">
        <f t="shared" si="612"/>
        <v>ㄨ</v>
      </c>
      <c r="M9849" s="1" t="str">
        <f t="shared" si="610"/>
        <v>ㄢ</v>
      </c>
      <c r="P9849" s="1" t="s">
        <v>20</v>
      </c>
      <c r="R9849" s="1" t="s">
        <v>20362</v>
      </c>
      <c r="V9849" s="1" t="s">
        <v>20369</v>
      </c>
      <c r="W9849" s="1" t="s">
        <v>20370</v>
      </c>
      <c r="AR9849" s="1" t="str">
        <f t="shared" si="611"/>
        <v>| [ㄔㄨㄢˊ](ㄔㄨㄢˊ.md) | [歂](歂.md) |  | chuán | [名]
1.姓。如《史記》記載有歂師。《左傳．僖公二十八年》：「歂犬走出，公使殺之。」
2.(一)之又音。 |</v>
      </c>
    </row>
    <row r="9850" spans="1:44" hidden="1">
      <c r="A9850" s="1" t="s">
        <v>20371</v>
      </c>
      <c r="C9850" s="1">
        <v>1</v>
      </c>
      <c r="D9850" s="1" t="str">
        <f>"08624"</f>
        <v>08624</v>
      </c>
      <c r="E9850" s="1" t="s">
        <v>71</v>
      </c>
      <c r="F9850" s="1">
        <v>16</v>
      </c>
      <c r="G9850" s="1">
        <v>9</v>
      </c>
      <c r="H9850" s="1">
        <v>0</v>
      </c>
      <c r="I9850" s="1" t="s">
        <v>20361</v>
      </c>
      <c r="K9850" s="1" t="str">
        <f t="shared" si="613"/>
        <v>ㄔ</v>
      </c>
      <c r="L9850" s="1" t="str">
        <f t="shared" si="612"/>
        <v>ㄨ</v>
      </c>
      <c r="M9850" s="1" t="str">
        <f t="shared" si="610"/>
        <v>ㄢ</v>
      </c>
      <c r="P9850" s="1" t="s">
        <v>20</v>
      </c>
      <c r="R9850" s="1" t="s">
        <v>20362</v>
      </c>
      <c r="V9850" s="1" t="s">
        <v>20372</v>
      </c>
      <c r="AR9850" s="1" t="str">
        <f t="shared" si="611"/>
        <v>| [ㄔㄨㄢˊ](ㄔㄨㄢˊ.md) | [輲](輲.md) |  | chuán | [名]
一種古代的車子。輪以整塊圓木做成，而無輪輻。《禮記．雜記上》：「大夫以布為輤而行，至於家而說輤，載以輲車。」漢．鄭玄．注：「輲讀為輇，或作槫。許氏《說文解字》曰：『有輻曰輪，無輻曰輇。』」唐．孔穎達．正義：「有輻謂別施木為輻；無輻謂合大木為之，不施輻曰輇。」 |</v>
      </c>
    </row>
    <row r="9851" spans="1:44" hidden="1">
      <c r="A9851" s="1" t="s">
        <v>19149</v>
      </c>
      <c r="C9851" s="1">
        <v>1</v>
      </c>
      <c r="D9851" s="1" t="str">
        <f>"08625"</f>
        <v>08625</v>
      </c>
      <c r="E9851" s="1" t="s">
        <v>114</v>
      </c>
      <c r="F9851" s="1">
        <v>13</v>
      </c>
      <c r="G9851" s="1">
        <v>11</v>
      </c>
      <c r="H9851" s="1">
        <v>1</v>
      </c>
      <c r="I9851" s="1" t="s">
        <v>20361</v>
      </c>
      <c r="K9851" s="1" t="str">
        <f t="shared" si="613"/>
        <v>ㄔ</v>
      </c>
      <c r="L9851" s="1" t="str">
        <f t="shared" si="612"/>
        <v>ㄨ</v>
      </c>
      <c r="M9851" s="1" t="str">
        <f t="shared" si="610"/>
        <v>ㄢ</v>
      </c>
      <c r="P9851" s="1" t="s">
        <v>20</v>
      </c>
      <c r="R9851" s="1" t="s">
        <v>20362</v>
      </c>
      <c r="V9851" s="1" t="s">
        <v>20373</v>
      </c>
      <c r="W9851" s="1" t="s">
        <v>20374</v>
      </c>
      <c r="AR9851" s="1" t="str">
        <f t="shared" si="611"/>
        <v>| [ㄔㄨㄢˊ](ㄔㄨㄢˊ.md) | [傳](傳.md) |  | chuán | [動]_x000D_
1.延續、繼承。指由上代交給下代。如：「傳承」、「薪火相傳」、「父傳子，子傳孫」。《淮南子．精神訓》：「故舉天下而傳之于舜。」漢．司馬相如〈喩巴蜀檄〉：「終則遺顯號於後世，傳土地於子孫。」_x000D_
2.教授、傳授。如：「傳藝」。唐．韓愈〈師說〉：「師者，所以傳道、授業、解惑也。」《西遊記》第二回：「師父傳你道法，如何不學，卻與師父頂嘴。」_x000D_
3.遞送、轉達。指由一方交給另一方。如：「傳球」、「傳話」、「眉目傳情」。《孟子．公孫丑上》：「德之流行，速於置郵而傳命。」《三國演義》第二三回：「李典可使傳書送檄，呂虔可使磨刀鑄劍。」_x000D_
4.下令叫喚他人，或命令他人前來。如：「傳喚」、「傳呼」、「隨傳隨到」。《儒林外史》第一回：「頭翁，你有所不知，假如我為了事，老爺拿票子傳我，我怎敢不去？」《福惠全書．卷二．蒞任部．堂規式》：「凡上司差承，候堂事畢，把門人先行稟明，以便傳見。」_x000D_
5.散布、流傳。如：「傳染」、「傳播」、「宣傳」。《墨子．所染》：「此五君者所染當，故霸諸侯，功名傳於後世。」唐．韋應物〈廣陵遇孟九雲卿〉詩：「高文激頹波，四海靡不傳。」《初刻拍案驚奇》卷二：「此事鬧動了一個休寧縣，城郭鄉村，無不傳為奇談。」_x000D_
6.表達、表現。《莊子．天道》：「意之所隨者，不可以言傳也。」宋．蘇軾〈題過所畫枯木竹石〉詩三首之一：「老可能為竹寫真，小坡今與石傳神。」_x000D_
7.接觸轉移。如：「傳導」、「傳熱」。 |</v>
      </c>
    </row>
    <row r="9852" spans="1:44" hidden="1">
      <c r="A9852" s="1" t="s">
        <v>19152</v>
      </c>
      <c r="C9852" s="1">
        <v>1</v>
      </c>
      <c r="D9852" s="1" t="str">
        <f>"08626"</f>
        <v>08626</v>
      </c>
      <c r="E9852" s="1" t="s">
        <v>725</v>
      </c>
      <c r="F9852" s="1">
        <v>17</v>
      </c>
      <c r="G9852" s="1">
        <v>11</v>
      </c>
      <c r="H9852" s="1">
        <v>2</v>
      </c>
      <c r="I9852" s="1" t="s">
        <v>20361</v>
      </c>
      <c r="K9852" s="1" t="str">
        <f t="shared" si="613"/>
        <v>ㄔ</v>
      </c>
      <c r="L9852" s="1" t="str">
        <f t="shared" si="612"/>
        <v>ㄨ</v>
      </c>
      <c r="M9852" s="1" t="str">
        <f t="shared" si="610"/>
        <v>ㄢ</v>
      </c>
      <c r="P9852" s="1" t="s">
        <v>20</v>
      </c>
      <c r="R9852" s="1" t="s">
        <v>20362</v>
      </c>
      <c r="V9852" s="1" t="s">
        <v>20375</v>
      </c>
      <c r="W9852" s="1" t="s">
        <v>20376</v>
      </c>
      <c r="AR9852" s="1" t="str">
        <f t="shared" si="611"/>
        <v>| [ㄔㄨㄢˊ](ㄔㄨㄢˊ.md) | [縳](縳.md) |  | chuán | [動]_x000D_
縛、綁。《左傳．襄公二十五年》：「閭丘嬰以帷縳其妻而載之，與申鮮虞乘而出。」 |</v>
      </c>
    </row>
    <row r="9853" spans="1:44" hidden="1">
      <c r="A9853" s="1" t="s">
        <v>20377</v>
      </c>
      <c r="C9853" s="1">
        <v>1</v>
      </c>
      <c r="D9853" s="1" t="str">
        <f>"08627"</f>
        <v>08627</v>
      </c>
      <c r="E9853" s="1" t="s">
        <v>16438</v>
      </c>
      <c r="F9853" s="1">
        <v>6</v>
      </c>
      <c r="G9853" s="1">
        <v>0</v>
      </c>
      <c r="H9853" s="1">
        <v>0</v>
      </c>
      <c r="I9853" s="1" t="s">
        <v>20378</v>
      </c>
      <c r="K9853" s="1" t="str">
        <f t="shared" si="613"/>
        <v>ㄔ</v>
      </c>
      <c r="L9853" s="1" t="str">
        <f t="shared" si="612"/>
        <v>ㄨ</v>
      </c>
      <c r="M9853" s="1" t="str">
        <f t="shared" si="610"/>
        <v>ㄢ</v>
      </c>
      <c r="P9853" s="1" t="s">
        <v>20</v>
      </c>
      <c r="R9853" s="1" t="s">
        <v>20379</v>
      </c>
      <c r="V9853" s="1" t="s">
        <v>20380</v>
      </c>
      <c r="AR9853" s="1" t="str">
        <f t="shared" si="611"/>
        <v>| [ㄔㄨㄢˇ](ㄔㄨㄢˇ.md) | [舛](舛.md) |  | chuǎn | [動]
乖違、違背。南朝梁．劉勰《文心雕龍．諸子》：「嗟夫身與時舛，志共道申，標心於萬古之上，而送懷於千載之下。」
[形]
1.不順利、困厄。唐．王勃〈滕王閣序〉：「嗟乎！時運不齊，命途多舛。」
2.錯誤、錯亂。南朝梁．沈約〈齊故安陸昭王碑文〉：「刑政繁舛，舊難詳一。」《新唐書．卷一九六．隱逸傳．陸龜蒙傳》：「借人書，篇帙壞舛，必為輯褫刊正。」
[名]
二一四部首之一。 |</v>
      </c>
    </row>
    <row r="9854" spans="1:44" hidden="1">
      <c r="A9854" s="1" t="s">
        <v>20381</v>
      </c>
      <c r="C9854" s="1">
        <v>1</v>
      </c>
      <c r="D9854" s="1" t="str">
        <f>"08628"</f>
        <v>08628</v>
      </c>
      <c r="E9854" s="1" t="s">
        <v>37</v>
      </c>
      <c r="F9854" s="1">
        <v>10</v>
      </c>
      <c r="G9854" s="1">
        <v>6</v>
      </c>
      <c r="H9854" s="1">
        <v>0</v>
      </c>
      <c r="I9854" s="1" t="s">
        <v>20378</v>
      </c>
      <c r="K9854" s="1" t="str">
        <f t="shared" si="613"/>
        <v>ㄔ</v>
      </c>
      <c r="L9854" s="1" t="str">
        <f t="shared" si="612"/>
        <v>ㄨ</v>
      </c>
      <c r="M9854" s="1" t="str">
        <f t="shared" ref="M9854:M9913" si="614">MID(I9854, 3, 1)</f>
        <v>ㄢ</v>
      </c>
      <c r="P9854" s="1" t="s">
        <v>20</v>
      </c>
      <c r="R9854" s="1" t="s">
        <v>20379</v>
      </c>
      <c r="V9854" s="1" t="s">
        <v>20382</v>
      </c>
      <c r="AR9854" s="1" t="str">
        <f t="shared" si="611"/>
        <v>| [ㄔㄨㄢˇ](ㄔㄨㄢˇ.md) | [荈](荈.md) |  | chuǎn | [名]
茶的老葉。《玉篇．艸部》：「荈，茶葉老者。」《三國志．卷六五．吳書．韋曜傳》：「或密賜茶荈以當酒。」 |</v>
      </c>
    </row>
    <row r="9855" spans="1:44" hidden="1">
      <c r="A9855" s="1" t="s">
        <v>20383</v>
      </c>
      <c r="C9855" s="1">
        <v>1</v>
      </c>
      <c r="D9855" s="1" t="str">
        <f>"08629"</f>
        <v>08629</v>
      </c>
      <c r="E9855" s="1" t="s">
        <v>28</v>
      </c>
      <c r="F9855" s="1">
        <v>12</v>
      </c>
      <c r="G9855" s="1">
        <v>9</v>
      </c>
      <c r="H9855" s="1">
        <v>0</v>
      </c>
      <c r="I9855" s="1" t="s">
        <v>20378</v>
      </c>
      <c r="K9855" s="1" t="str">
        <f t="shared" si="613"/>
        <v>ㄔ</v>
      </c>
      <c r="L9855" s="1" t="str">
        <f t="shared" si="612"/>
        <v>ㄨ</v>
      </c>
      <c r="M9855" s="1" t="str">
        <f t="shared" si="614"/>
        <v>ㄢ</v>
      </c>
      <c r="P9855" s="1" t="s">
        <v>20</v>
      </c>
      <c r="R9855" s="1" t="s">
        <v>20379</v>
      </c>
      <c r="V9855" s="1" t="s">
        <v>20384</v>
      </c>
      <c r="AR9855" s="1" t="str">
        <f t="shared" si="611"/>
        <v>| [ㄔㄨㄢˇ](ㄔㄨㄢˇ.md) | [喘](喘.md) |  | chuǎn | [動]
1.急促呼吸。《說文解字．口部》：「喘，疾息也。」如：「喘息」、「喘吁吁」、「喘不過氣」。
2.呼吸、深呼吸。如：「喘了一口氣。」
[名]
氣息。宋．蘇軾〈乞數珠贈南禪湜老〉詩：「我老安能為，萬劫付一喘。」 |</v>
      </c>
    </row>
    <row r="9856" spans="1:44" hidden="1">
      <c r="A9856" s="1" t="s">
        <v>20385</v>
      </c>
      <c r="C9856" s="1">
        <v>1</v>
      </c>
      <c r="D9856" s="1" t="str">
        <f>"08630"</f>
        <v>08630</v>
      </c>
      <c r="E9856" s="1" t="s">
        <v>77</v>
      </c>
      <c r="F9856" s="1">
        <v>16</v>
      </c>
      <c r="G9856" s="1">
        <v>9</v>
      </c>
      <c r="H9856" s="1">
        <v>2</v>
      </c>
      <c r="I9856" s="1" t="s">
        <v>20378</v>
      </c>
      <c r="K9856" s="1" t="str">
        <f t="shared" si="613"/>
        <v>ㄔ</v>
      </c>
      <c r="L9856" s="1" t="str">
        <f t="shared" si="612"/>
        <v>ㄨ</v>
      </c>
      <c r="M9856" s="1" t="str">
        <f t="shared" si="614"/>
        <v>ㄢ</v>
      </c>
      <c r="P9856" s="1" t="s">
        <v>110</v>
      </c>
      <c r="R9856" s="1" t="s">
        <v>20379</v>
      </c>
      <c r="V9856" s="1" t="s">
        <v>111</v>
      </c>
      <c r="W9856" s="1" t="s">
        <v>20386</v>
      </c>
      <c r="AR9856" s="1" t="str">
        <f t="shared" si="611"/>
        <v>| [ㄔㄨㄢˇ](ㄔㄨㄢˇ.md) | [踳](踳.md) |  | chuǎn | (一)之又音。 |</v>
      </c>
    </row>
    <row r="9857" spans="1:44" hidden="1">
      <c r="A9857" s="1" t="s">
        <v>20387</v>
      </c>
      <c r="C9857" s="1">
        <v>1</v>
      </c>
      <c r="D9857" s="1" t="str">
        <f>"08631"</f>
        <v>08631</v>
      </c>
      <c r="E9857" s="1" t="s">
        <v>4265</v>
      </c>
      <c r="F9857" s="1">
        <v>7</v>
      </c>
      <c r="G9857" s="1">
        <v>6</v>
      </c>
      <c r="H9857" s="1">
        <v>0</v>
      </c>
      <c r="I9857" s="1" t="s">
        <v>20388</v>
      </c>
      <c r="K9857" s="1" t="str">
        <f t="shared" si="613"/>
        <v>ㄔ</v>
      </c>
      <c r="L9857" s="1" t="str">
        <f t="shared" si="612"/>
        <v>ㄨ</v>
      </c>
      <c r="M9857" s="1" t="str">
        <f t="shared" si="614"/>
        <v>ㄢ</v>
      </c>
      <c r="P9857" s="1" t="s">
        <v>20</v>
      </c>
      <c r="R9857" s="1" t="s">
        <v>20389</v>
      </c>
      <c r="V9857" s="1" t="s">
        <v>20390</v>
      </c>
      <c r="AR9857" s="1" t="str">
        <f t="shared" si="611"/>
        <v>| [ㄔㄨㄢˋ](ㄔㄨㄢˋ.md) | [串](串.md) |  | chuàn | [動]
1.把東西連貫在一起。如：「串連」、「貫串」、「串珠子」。
2.勾結做壞事。如：「串通」、「串供」、「串騙」。
3.扮演。如：「客串」、「反串」。
4.隨意往來、走動。如：「串門子」。《兒女英雄傳》第四回：「各店房出來進去的亂串。」
5.連接錯亂。如：「電話串線」、「看書串行」、「食物串了味了。」
[名]
量詞。計算成串物品的單位。如：「一串念珠」、「兩串銅錢」。 |</v>
      </c>
    </row>
    <row r="9858" spans="1:44" hidden="1">
      <c r="A9858" s="1" t="s">
        <v>20391</v>
      </c>
      <c r="C9858" s="1">
        <v>1</v>
      </c>
      <c r="D9858" s="1" t="str">
        <f>"08632"</f>
        <v>08632</v>
      </c>
      <c r="E9858" s="1" t="s">
        <v>55</v>
      </c>
      <c r="F9858" s="1">
        <v>11</v>
      </c>
      <c r="G9858" s="1">
        <v>3</v>
      </c>
      <c r="H9858" s="1">
        <v>0</v>
      </c>
      <c r="I9858" s="1" t="s">
        <v>20388</v>
      </c>
      <c r="K9858" s="1" t="str">
        <f t="shared" si="613"/>
        <v>ㄔ</v>
      </c>
      <c r="L9858" s="1" t="str">
        <f t="shared" si="612"/>
        <v>ㄨ</v>
      </c>
      <c r="M9858" s="1" t="str">
        <f t="shared" si="614"/>
        <v>ㄢ</v>
      </c>
      <c r="P9858" s="1" t="s">
        <v>20</v>
      </c>
      <c r="R9858" s="1" t="s">
        <v>20389</v>
      </c>
      <c r="V9858" s="1" t="s">
        <v>20392</v>
      </c>
      <c r="AR9858" s="1" t="str">
        <f t="shared" si="611"/>
        <v>| [ㄔㄨㄢˋ](ㄔㄨㄢˋ.md) | [釧](釧.md) |  | chuàn | [名]
1.帶在臂上或手腕上的環形飾物。俗稱為「手鐲」。《南史．卷一六．王玄謨傳》：「女臂有玉釧，破冢者斬臂取之。」宋．歐陽修〈蝶戀花．越女採蓮秋水畔〉詞：「窄袖輕羅，暗露雙金釧。」
2.姓。如明代有釧佩。 |</v>
      </c>
    </row>
    <row r="9859" spans="1:44" hidden="1">
      <c r="A9859" s="1" t="s">
        <v>20368</v>
      </c>
      <c r="C9859" s="1">
        <v>1</v>
      </c>
      <c r="D9859" s="1" t="str">
        <f>"119060023"</f>
        <v>119060023</v>
      </c>
      <c r="E9859" s="1" t="s">
        <v>1908</v>
      </c>
      <c r="F9859" s="1">
        <v>13</v>
      </c>
      <c r="G9859" s="1">
        <v>9</v>
      </c>
      <c r="H9859" s="1">
        <v>1</v>
      </c>
      <c r="I9859" s="1" t="s">
        <v>20378</v>
      </c>
      <c r="K9859" s="1" t="str">
        <f t="shared" si="613"/>
        <v>ㄔ</v>
      </c>
      <c r="L9859" s="1" t="str">
        <f t="shared" si="612"/>
        <v>ㄨ</v>
      </c>
      <c r="M9859" s="1" t="str">
        <f t="shared" si="614"/>
        <v>ㄢ</v>
      </c>
      <c r="P9859" s="1" t="s">
        <v>20</v>
      </c>
      <c r="R9859" s="1" t="s">
        <v>20379</v>
      </c>
      <c r="V9859" s="1" t="s">
        <v>30537</v>
      </c>
      <c r="W9859" s="1" t="s">
        <v>30538</v>
      </c>
      <c r="AR9859" s="1" t="str">
        <f t="shared" ref="AR9859:AR9922" si="615">"| ["&amp;I9859&amp;"]("&amp;I9859&amp;".md) | ["&amp;A9859&amp;"]("&amp;A9859&amp;".md) | "&amp;" | "&amp;R9859&amp;" | "&amp;V9859&amp;" |"</f>
        <v>| [ㄔㄨㄢˇ](ㄔㄨㄢˇ.md) | [歂](歂.md) |  | chuǎn | [動]喘氣。同「喘」。《說文解字．欠部》：「歂，口气引也。」《南齊書．卷四一．周顒傳》：「歂彼弱麑，顧步宜愍。」 |</v>
      </c>
    </row>
    <row r="9860" spans="1:44" hidden="1">
      <c r="A9860" s="1" t="s">
        <v>20393</v>
      </c>
      <c r="C9860" s="1">
        <v>1</v>
      </c>
      <c r="D9860" s="1" t="str">
        <f>"08633"</f>
        <v>08633</v>
      </c>
      <c r="E9860" s="1" t="s">
        <v>139</v>
      </c>
      <c r="F9860" s="1">
        <v>8</v>
      </c>
      <c r="G9860" s="1">
        <v>4</v>
      </c>
      <c r="H9860" s="1">
        <v>0</v>
      </c>
      <c r="I9860" s="1" t="s">
        <v>20394</v>
      </c>
      <c r="K9860" s="1" t="str">
        <f t="shared" si="613"/>
        <v>ㄔ</v>
      </c>
      <c r="L9860" s="1" t="str">
        <f t="shared" si="612"/>
        <v>ㄨ</v>
      </c>
      <c r="M9860" s="1" t="str">
        <f t="shared" si="614"/>
        <v>ㄣ</v>
      </c>
      <c r="P9860" s="1" t="s">
        <v>20</v>
      </c>
      <c r="R9860" s="1" t="s">
        <v>20395</v>
      </c>
      <c r="V9860" s="1" t="s">
        <v>20396</v>
      </c>
      <c r="AR9860" s="1" t="str">
        <f t="shared" si="615"/>
        <v>| [ㄔㄨㄣ](ㄔㄨㄣ.md) | [杶](杶.md) |  | chūn | [名]
植物名。楝科香椿屬，「香椿」之古稱，參見「香椿」條。 |</v>
      </c>
    </row>
    <row r="9861" spans="1:44" hidden="1">
      <c r="A9861" s="1" t="s">
        <v>20397</v>
      </c>
      <c r="C9861" s="1">
        <v>1</v>
      </c>
      <c r="D9861" s="1" t="str">
        <f>"08634"</f>
        <v>08634</v>
      </c>
      <c r="E9861" s="1" t="s">
        <v>646</v>
      </c>
      <c r="F9861" s="1">
        <v>9</v>
      </c>
      <c r="G9861" s="1">
        <v>5</v>
      </c>
      <c r="H9861" s="1">
        <v>0</v>
      </c>
      <c r="I9861" s="1" t="s">
        <v>20394</v>
      </c>
      <c r="K9861" s="1" t="str">
        <f t="shared" si="613"/>
        <v>ㄔ</v>
      </c>
      <c r="L9861" s="1" t="str">
        <f t="shared" si="612"/>
        <v>ㄨ</v>
      </c>
      <c r="M9861" s="1" t="str">
        <f t="shared" si="614"/>
        <v>ㄣ</v>
      </c>
      <c r="P9861" s="1" t="s">
        <v>20</v>
      </c>
      <c r="R9861" s="1" t="s">
        <v>20395</v>
      </c>
      <c r="V9861" s="1" t="s">
        <v>20398</v>
      </c>
      <c r="AR9861" s="1" t="str">
        <f t="shared" si="615"/>
        <v>| [ㄔㄨㄣ](ㄔㄨㄣ.md) | [春](春.md) |  | chūn | [名]_x000D_
1.四季之首。自立春至立夏間。_x000D_
2.年、歲。三國魏．曹植〈雜詩〉六首之三：「自期三年歸，今已歷九春。」_x000D_
3.生機。如：「妙手回春」。_x000D_
4.男女間相慕悅的情感。如：「思春」。《詩經．召南．野有死麕》：「有女懷春，吉士誘之。」_x000D_
5.春色、喜色。南朝宋．陸凱〈贈范曄〉詩：「江南無所有，聊贈一枝春。」_x000D_
6.東方。南朝宋．顏延之〈車駕幸京口三月三日侍遊曲阿後湖作〉詩：「春方動辰駕，望幸傾五州。」_x000D_
7.春，酒名。是春釀冬熟的酒。唐．李肇《唐國史補》卷下：「酒則有郢州之『富水』，烏程之『若下』，滎陽之『土窟春』，富平之『石凍春』，劍南之『燒春』。」_x000D_
[形]_x000D_
春日的。如：「春風」、「春雷」。 |</v>
      </c>
    </row>
    <row r="9862" spans="1:44" hidden="1">
      <c r="A9862" s="1" t="s">
        <v>20399</v>
      </c>
      <c r="C9862" s="1">
        <v>1</v>
      </c>
      <c r="D9862" s="1" t="str">
        <f>"08635"</f>
        <v>08635</v>
      </c>
      <c r="E9862" s="1" t="s">
        <v>139</v>
      </c>
      <c r="F9862" s="1">
        <v>13</v>
      </c>
      <c r="G9862" s="1">
        <v>9</v>
      </c>
      <c r="H9862" s="1">
        <v>0</v>
      </c>
      <c r="I9862" s="1" t="s">
        <v>20394</v>
      </c>
      <c r="K9862" s="1" t="str">
        <f t="shared" si="613"/>
        <v>ㄔ</v>
      </c>
      <c r="L9862" s="1" t="str">
        <f t="shared" si="612"/>
        <v>ㄨ</v>
      </c>
      <c r="M9862" s="1" t="str">
        <f t="shared" si="614"/>
        <v>ㄣ</v>
      </c>
      <c r="P9862" s="1" t="s">
        <v>20</v>
      </c>
      <c r="R9862" s="1" t="s">
        <v>20395</v>
      </c>
      <c r="V9862" s="1" t="s">
        <v>20400</v>
      </c>
      <c r="AR9862" s="1" t="str">
        <f t="shared" si="615"/>
        <v>| [ㄔㄨㄣ](ㄔㄨㄣ.md) | [椿](椿.md) |  | chūn | [名]
1.植物名。楝科香椿屬，「香椿」之古稱，參見「香椿」條。
2.比喻父親。如：「椿庭」、「椿萱」。
[形]
高齡。古代傳說上古有大椿，為千年大木，故用以形容長壽。如：「椿壽」。唐．牟融〈贈浙西李相公〉詩：「月裡昔曾分兔藥，人間今喜得椿年。」 |</v>
      </c>
    </row>
    <row r="9863" spans="1:44" hidden="1">
      <c r="A9863" s="1" t="s">
        <v>20401</v>
      </c>
      <c r="C9863" s="1">
        <v>1</v>
      </c>
      <c r="D9863" s="1" t="str">
        <f>"08636"</f>
        <v>08636</v>
      </c>
      <c r="E9863" s="1" t="s">
        <v>71</v>
      </c>
      <c r="F9863" s="1">
        <v>16</v>
      </c>
      <c r="G9863" s="1">
        <v>9</v>
      </c>
      <c r="H9863" s="1">
        <v>0</v>
      </c>
      <c r="I9863" s="1" t="s">
        <v>20394</v>
      </c>
      <c r="K9863" s="1" t="str">
        <f t="shared" si="613"/>
        <v>ㄔ</v>
      </c>
      <c r="L9863" s="1" t="str">
        <f t="shared" si="612"/>
        <v>ㄨ</v>
      </c>
      <c r="M9863" s="1" t="str">
        <f t="shared" si="614"/>
        <v>ㄣ</v>
      </c>
      <c r="P9863" s="1" t="s">
        <v>20</v>
      </c>
      <c r="R9863" s="1" t="s">
        <v>20395</v>
      </c>
      <c r="V9863" s="1" t="s">
        <v>20402</v>
      </c>
      <c r="AR9863" s="1" t="str">
        <f t="shared" si="615"/>
        <v>| [ㄔㄨㄣ](ㄔㄨㄣ.md) | [輴](輴.md) |  | chūn | [名]
1.載運靈柩的車子。宋．王安石〈永壽縣太君周氏挽辭〉二首之二：「靈輴悲吉路，象服儼虛容。」
2.古時行走泥路所用的交通工具。《書經．益稷》「予乘四載」句下漢．孔安國．傳：「所載者四，謂水乘舟，陸乘車，泥乘輴，山乘樏。」唐．韓愈〈奉和杜相公太清宮紀事陳誠上李相公十六韻〉：「耒耜興姬國，輴欙建夏家。」 |</v>
      </c>
    </row>
    <row r="9864" spans="1:44" hidden="1">
      <c r="A9864" s="1" t="s">
        <v>19192</v>
      </c>
      <c r="C9864" s="1">
        <v>1</v>
      </c>
      <c r="D9864" s="1" t="str">
        <f>"08637"</f>
        <v>08637</v>
      </c>
      <c r="E9864" s="1" t="s">
        <v>725</v>
      </c>
      <c r="F9864" s="1">
        <v>10</v>
      </c>
      <c r="G9864" s="1">
        <v>4</v>
      </c>
      <c r="H9864" s="1">
        <v>1</v>
      </c>
      <c r="I9864" s="1" t="s">
        <v>20403</v>
      </c>
      <c r="K9864" s="1" t="str">
        <f t="shared" si="613"/>
        <v>ㄔ</v>
      </c>
      <c r="L9864" s="1" t="str">
        <f t="shared" si="612"/>
        <v>ㄨ</v>
      </c>
      <c r="M9864" s="1" t="str">
        <f t="shared" si="614"/>
        <v>ㄣ</v>
      </c>
      <c r="P9864" s="1" t="s">
        <v>20</v>
      </c>
      <c r="R9864" s="1" t="s">
        <v>20404</v>
      </c>
      <c r="V9864" s="1" t="s">
        <v>20405</v>
      </c>
      <c r="W9864" s="1" t="s">
        <v>20406</v>
      </c>
      <c r="AR9864" s="1" t="str">
        <f t="shared" si="615"/>
        <v>| [ㄔㄨㄣˊ](ㄔㄨㄣˊ.md) | [純](純.md) |  | chún | [名]
絲。《論語．子罕》：「今也純儉，吾從眾。」《漢書．卷六四下．王襃傳》：「夫荷旃被毳者，難與道純綿之麗密。」
[形]
1.不含雜質的。如：「純水」、「純金」、「純粹」、「精純」。
2.自然質樸、至誠無偽。如：「純樸」、「純潔」、「純厚」。
[副]
1.充分的、非常的。如：「技術純熟」。
2.全、都、皆。如：「以上所言，純屬虛構。」 |</v>
      </c>
    </row>
    <row r="9865" spans="1:44" hidden="1">
      <c r="A9865" s="1" t="s">
        <v>20407</v>
      </c>
      <c r="C9865" s="1">
        <v>1</v>
      </c>
      <c r="D9865" s="1" t="str">
        <f>"08638"</f>
        <v>08638</v>
      </c>
      <c r="E9865" s="1" t="s">
        <v>129</v>
      </c>
      <c r="F9865" s="1">
        <v>11</v>
      </c>
      <c r="G9865" s="1">
        <v>8</v>
      </c>
      <c r="H9865" s="1">
        <v>0</v>
      </c>
      <c r="I9865" s="1" t="s">
        <v>20403</v>
      </c>
      <c r="K9865" s="1" t="str">
        <f t="shared" si="613"/>
        <v>ㄔ</v>
      </c>
      <c r="L9865" s="1" t="str">
        <f t="shared" si="612"/>
        <v>ㄨ</v>
      </c>
      <c r="M9865" s="1" t="str">
        <f t="shared" si="614"/>
        <v>ㄣ</v>
      </c>
      <c r="P9865" s="1" t="s">
        <v>20</v>
      </c>
      <c r="R9865" s="1" t="s">
        <v>20404</v>
      </c>
      <c r="V9865" s="1" t="s">
        <v>20408</v>
      </c>
      <c r="AR9865" s="1" t="str">
        <f t="shared" si="615"/>
        <v>| [ㄔㄨㄣˊ](ㄔㄨㄣˊ.md) | [淳](淳.md) |  | chún | [形]
1.濃厚。《紅樓夢》第四一回：「隔年蠲的雨水，那有這樣輕淳，如何吃得！」
2.篤厚、樸實的。如：「民風淳樸」。唐．白居易〈朱陳村〉詩：「縣遠官事少，山深人俗淳。」
[名]
質樸。《淮南子．齊俗》：「衰世之俗，……澆天下之淳，析天下之樸。」《漢書．卷八九．循吏傳．黃霸傳》：「澆淳散樸，並行偽貌。」
[動]
相配對。《左傳．襄公十一年》：「廣車、軘車，淳十五乘，甲兵備。」 |</v>
      </c>
    </row>
    <row r="9866" spans="1:44" hidden="1">
      <c r="A9866" s="1" t="s">
        <v>20409</v>
      </c>
      <c r="C9866" s="1">
        <v>1</v>
      </c>
      <c r="D9866" s="1" t="str">
        <f>"08639"</f>
        <v>08639</v>
      </c>
      <c r="E9866" s="1" t="s">
        <v>336</v>
      </c>
      <c r="F9866" s="1">
        <v>12</v>
      </c>
      <c r="G9866" s="1">
        <v>8</v>
      </c>
      <c r="H9866" s="1">
        <v>0</v>
      </c>
      <c r="I9866" s="1" t="s">
        <v>20403</v>
      </c>
      <c r="K9866" s="1" t="str">
        <f t="shared" si="613"/>
        <v>ㄔ</v>
      </c>
      <c r="L9866" s="1" t="str">
        <f t="shared" ref="L9866:L9929" si="616">MID(I9866, 2, 1)</f>
        <v>ㄨ</v>
      </c>
      <c r="M9866" s="1" t="str">
        <f t="shared" si="614"/>
        <v>ㄣ</v>
      </c>
      <c r="P9866" s="1" t="s">
        <v>20</v>
      </c>
      <c r="R9866" s="1" t="s">
        <v>20404</v>
      </c>
      <c r="V9866" s="1" t="s">
        <v>20410</v>
      </c>
      <c r="AR9866" s="1" t="str">
        <f t="shared" si="615"/>
        <v>| [ㄔㄨㄣˊ](ㄔㄨㄣˊ.md) | [焞](焞.md) |  | chún | [形]
光明、明亮。《廣韻．平聲．諄韻》：「焞，明也。」 |</v>
      </c>
    </row>
    <row r="9867" spans="1:44" hidden="1">
      <c r="A9867" s="1" t="s">
        <v>20411</v>
      </c>
      <c r="C9867" s="1">
        <v>1</v>
      </c>
      <c r="D9867" s="1" t="str">
        <f>"08640"</f>
        <v>08640</v>
      </c>
      <c r="E9867" s="1" t="s">
        <v>1462</v>
      </c>
      <c r="F9867" s="1">
        <v>15</v>
      </c>
      <c r="G9867" s="1">
        <v>8</v>
      </c>
      <c r="H9867" s="1">
        <v>0</v>
      </c>
      <c r="I9867" s="1" t="s">
        <v>20403</v>
      </c>
      <c r="K9867" s="1" t="str">
        <f t="shared" si="613"/>
        <v>ㄔ</v>
      </c>
      <c r="L9867" s="1" t="str">
        <f t="shared" si="616"/>
        <v>ㄨ</v>
      </c>
      <c r="M9867" s="1" t="str">
        <f t="shared" si="614"/>
        <v>ㄣ</v>
      </c>
      <c r="P9867" s="1" t="s">
        <v>20</v>
      </c>
      <c r="R9867" s="1" t="s">
        <v>20404</v>
      </c>
      <c r="V9867" s="1" t="s">
        <v>20412</v>
      </c>
      <c r="AR9867" s="1" t="str">
        <f t="shared" si="615"/>
        <v>| [ㄔㄨㄣˊ](ㄔㄨㄣˊ.md) | [醇](醇.md) |  | chún | [形]
1.酒味濃厚。如：「醇酒」。《文選．嵇康．琴賦》：「蘭肴兼御，旨酒清醇。」
2.質樸。通「淳」。《史記．卷一〇三．萬石君傳》：「兒寬等推文學至九卿，更進用事，事不關決於丞相，丞相醇謹而已。」
3.純一不雜。通「純」。《書經．說命中》：「惟厥攸居，政事惟醇。」
[名]
1.味道濃厚的酒。宋．蘇軾〈正月八日招王子高飲〉詩：「昨想玉堂空冷徹，誰分銀榼送清醇？」
2.化學上稱含有羥基（OH）的有機化合物為「醇類」。即烴分子上的氫原子被羥基取代後的衍生物。醇類一般呈中性，低級醇易溶於水，多元醇帶甜味。常用於有機合成中，亦可作溶劑、清潔劑、飲料、燃料等多用途。 |</v>
      </c>
    </row>
    <row r="9868" spans="1:44" hidden="1">
      <c r="A9868" s="1" t="s">
        <v>5764</v>
      </c>
      <c r="C9868" s="1">
        <v>1</v>
      </c>
      <c r="D9868" s="1" t="str">
        <f>"08641"</f>
        <v>08641</v>
      </c>
      <c r="E9868" s="1" t="s">
        <v>55</v>
      </c>
      <c r="F9868" s="1">
        <v>16</v>
      </c>
      <c r="G9868" s="1">
        <v>8</v>
      </c>
      <c r="H9868" s="1">
        <v>1</v>
      </c>
      <c r="I9868" s="1" t="s">
        <v>20403</v>
      </c>
      <c r="K9868" s="1" t="str">
        <f t="shared" si="613"/>
        <v>ㄔ</v>
      </c>
      <c r="L9868" s="1" t="str">
        <f t="shared" si="616"/>
        <v>ㄨ</v>
      </c>
      <c r="M9868" s="1" t="str">
        <f t="shared" si="614"/>
        <v>ㄣ</v>
      </c>
      <c r="P9868" s="1" t="s">
        <v>20</v>
      </c>
      <c r="R9868" s="1" t="s">
        <v>20404</v>
      </c>
      <c r="V9868" s="1" t="s">
        <v>20413</v>
      </c>
      <c r="W9868" s="1" t="s">
        <v>20414</v>
      </c>
      <c r="AR9868" s="1" t="str">
        <f t="shared" si="615"/>
        <v>| [ㄔㄨㄣˊ](ㄔㄨㄣˊ.md) | [錞](錞.md) |  | chún | [名]
樂器名，打擊樂器，銅製。最早出現於春秋，盛行於戰國兩漢，至南北朝而漸漸銷聲匿跡。《周禮．地官．鼓人》：「以金錞和鼓。」也作「錞于」。 |</v>
      </c>
    </row>
    <row r="9869" spans="1:44" hidden="1">
      <c r="A9869" s="1" t="s">
        <v>20415</v>
      </c>
      <c r="C9869" s="1">
        <v>1</v>
      </c>
      <c r="D9869" s="1" t="str">
        <f>"08642"</f>
        <v>08642</v>
      </c>
      <c r="E9869" s="1" t="s">
        <v>272</v>
      </c>
      <c r="F9869" s="1">
        <v>19</v>
      </c>
      <c r="G9869" s="1">
        <v>8</v>
      </c>
      <c r="H9869" s="1">
        <v>0</v>
      </c>
      <c r="I9869" s="1" t="s">
        <v>20403</v>
      </c>
      <c r="K9869" s="1" t="str">
        <f t="shared" si="613"/>
        <v>ㄔ</v>
      </c>
      <c r="L9869" s="1" t="str">
        <f t="shared" si="616"/>
        <v>ㄨ</v>
      </c>
      <c r="M9869" s="1" t="str">
        <f t="shared" si="614"/>
        <v>ㄣ</v>
      </c>
      <c r="P9869" s="1" t="s">
        <v>20</v>
      </c>
      <c r="R9869" s="1" t="s">
        <v>20404</v>
      </c>
      <c r="V9869" s="1" t="s">
        <v>20416</v>
      </c>
      <c r="AR9869" s="1" t="str">
        <f t="shared" si="615"/>
        <v>| [ㄔㄨㄣˊ](ㄔㄨㄣˊ.md) | [鶉](鶉.md) |  | chún | 參見「鵪鶉」條。 |</v>
      </c>
    </row>
    <row r="9870" spans="1:44" hidden="1">
      <c r="A9870" s="1" t="s">
        <v>20417</v>
      </c>
      <c r="C9870" s="1">
        <v>1</v>
      </c>
      <c r="D9870" s="1" t="str">
        <f>"08643"</f>
        <v>08643</v>
      </c>
      <c r="E9870" s="1" t="s">
        <v>68</v>
      </c>
      <c r="F9870" s="1">
        <v>11</v>
      </c>
      <c r="G9870" s="1">
        <v>7</v>
      </c>
      <c r="H9870" s="1">
        <v>0</v>
      </c>
      <c r="I9870" s="1" t="s">
        <v>20403</v>
      </c>
      <c r="K9870" s="1" t="str">
        <f t="shared" si="613"/>
        <v>ㄔ</v>
      </c>
      <c r="L9870" s="1" t="str">
        <f t="shared" si="616"/>
        <v>ㄨ</v>
      </c>
      <c r="M9870" s="1" t="str">
        <f t="shared" si="614"/>
        <v>ㄣ</v>
      </c>
      <c r="P9870" s="1" t="s">
        <v>20</v>
      </c>
      <c r="R9870" s="1" t="s">
        <v>20404</v>
      </c>
      <c r="V9870" s="1" t="s">
        <v>20418</v>
      </c>
      <c r="AR9870" s="1" t="str">
        <f t="shared" si="615"/>
        <v>| [ㄔㄨㄣˊ](ㄔㄨㄣˊ.md) | [脣](脣.md) |  | chún | 口部周圍的肌肉組織，表面覆以表皮，內面襯以粘膜。如：「嘴脣」、「兔脣」、「脣齒相依」。 |</v>
      </c>
    </row>
    <row r="9871" spans="1:44" hidden="1">
      <c r="A9871" s="1" t="s">
        <v>20419</v>
      </c>
      <c r="C9871" s="1">
        <v>1</v>
      </c>
      <c r="D9871" s="1" t="str">
        <f>"08644"</f>
        <v>08644</v>
      </c>
      <c r="E9871" s="1" t="s">
        <v>129</v>
      </c>
      <c r="F9871" s="1">
        <v>14</v>
      </c>
      <c r="G9871" s="1">
        <v>11</v>
      </c>
      <c r="H9871" s="1">
        <v>0</v>
      </c>
      <c r="I9871" s="1" t="s">
        <v>20403</v>
      </c>
      <c r="K9871" s="1" t="str">
        <f t="shared" si="613"/>
        <v>ㄔ</v>
      </c>
      <c r="L9871" s="1" t="str">
        <f t="shared" si="616"/>
        <v>ㄨ</v>
      </c>
      <c r="M9871" s="1" t="str">
        <f t="shared" si="614"/>
        <v>ㄣ</v>
      </c>
      <c r="P9871" s="1" t="s">
        <v>20</v>
      </c>
      <c r="R9871" s="1" t="s">
        <v>20404</v>
      </c>
      <c r="V9871" s="1" t="s">
        <v>20420</v>
      </c>
      <c r="AR9871" s="1" t="str">
        <f t="shared" si="615"/>
        <v>| [ㄔㄨㄣˊ](ㄔㄨㄣˊ.md) | [漘](漘.md) |  | chún | [名]
水邊。《詩經．王風．葛藟》：「綿綿葛藟，在河之漘。」唐．韓愈〈送惠師〉詩：「前年往羅浮，步戛南海漘。」 |</v>
      </c>
    </row>
    <row r="9872" spans="1:44" hidden="1">
      <c r="A9872" s="1" t="s">
        <v>20421</v>
      </c>
      <c r="C9872" s="1">
        <v>1</v>
      </c>
      <c r="D9872" s="1" t="str">
        <f>"08645"</f>
        <v>08645</v>
      </c>
      <c r="E9872" s="1" t="s">
        <v>37</v>
      </c>
      <c r="F9872" s="1">
        <v>15</v>
      </c>
      <c r="G9872" s="1">
        <v>11</v>
      </c>
      <c r="H9872" s="1">
        <v>0</v>
      </c>
      <c r="I9872" s="1" t="s">
        <v>20403</v>
      </c>
      <c r="K9872" s="1" t="str">
        <f t="shared" si="613"/>
        <v>ㄔ</v>
      </c>
      <c r="L9872" s="1" t="str">
        <f t="shared" si="616"/>
        <v>ㄨ</v>
      </c>
      <c r="M9872" s="1" t="str">
        <f t="shared" si="614"/>
        <v>ㄣ</v>
      </c>
      <c r="P9872" s="1" t="s">
        <v>20</v>
      </c>
      <c r="R9872" s="1" t="s">
        <v>20404</v>
      </c>
      <c r="V9872" s="1" t="s">
        <v>20422</v>
      </c>
      <c r="AR9872" s="1" t="str">
        <f t="shared" si="615"/>
        <v>| [ㄔㄨㄣˊ](ㄔㄨㄣˊ.md) | [蓴](蓴.md) |  | chún | [名]
植物名。蓴菜科蓴菜屬，多年生浮葉性水生草本。葉橢圓形，盾狀著生於葉柄，全緣，背面帶藍紫色，葉柄細長，有黏液，夏日開花，花單生，萼片、花瓣各三枚，罕四枚，紫紅色。堅果卵圓形。嫩葉可作羹湯，味鮮美。多生於池沼中。也稱為「缺盆菜」、「蓴菜」、「露葵」。參見「露葵」條。 |</v>
      </c>
    </row>
    <row r="9873" spans="1:44" hidden="1">
      <c r="A9873" s="1" t="s">
        <v>20385</v>
      </c>
      <c r="C9873" s="1">
        <v>1</v>
      </c>
      <c r="D9873" s="1" t="str">
        <f>"08646"</f>
        <v>08646</v>
      </c>
      <c r="E9873" s="1" t="s">
        <v>77</v>
      </c>
      <c r="F9873" s="1">
        <v>16</v>
      </c>
      <c r="G9873" s="1">
        <v>9</v>
      </c>
      <c r="H9873" s="1">
        <v>1</v>
      </c>
      <c r="I9873" s="1" t="s">
        <v>20423</v>
      </c>
      <c r="K9873" s="1" t="str">
        <f t="shared" si="613"/>
        <v>ㄔ</v>
      </c>
      <c r="L9873" s="1" t="str">
        <f t="shared" si="616"/>
        <v>ㄨ</v>
      </c>
      <c r="M9873" s="1" t="str">
        <f t="shared" si="614"/>
        <v>ㄣ</v>
      </c>
      <c r="P9873" s="1" t="s">
        <v>20</v>
      </c>
      <c r="R9873" s="1" t="s">
        <v>20424</v>
      </c>
      <c r="V9873" s="1" t="s">
        <v>20425</v>
      </c>
      <c r="W9873" s="1" t="s">
        <v>20426</v>
      </c>
      <c r="AR9873" s="1" t="str">
        <f t="shared" si="615"/>
        <v>| [ㄔㄨㄣˇ](ㄔㄨㄣˇ.md) | [踳](踳.md) |  | chǔn | [動]
乖舛、相背。漢．賈誼《新書．卷四．匈奴》：「使上下踳逆，天下窾貧。」 |</v>
      </c>
    </row>
    <row r="9874" spans="1:44" hidden="1">
      <c r="A9874" s="1" t="s">
        <v>20427</v>
      </c>
      <c r="C9874" s="1">
        <v>1</v>
      </c>
      <c r="D9874" s="1" t="str">
        <f>"08647"</f>
        <v>08647</v>
      </c>
      <c r="E9874" s="1" t="s">
        <v>679</v>
      </c>
      <c r="F9874" s="1">
        <v>21</v>
      </c>
      <c r="G9874" s="1">
        <v>15</v>
      </c>
      <c r="H9874" s="1">
        <v>0</v>
      </c>
      <c r="I9874" s="1" t="s">
        <v>20423</v>
      </c>
      <c r="K9874" s="1" t="str">
        <f t="shared" si="613"/>
        <v>ㄔ</v>
      </c>
      <c r="L9874" s="1" t="str">
        <f t="shared" si="616"/>
        <v>ㄨ</v>
      </c>
      <c r="M9874" s="1" t="str">
        <f t="shared" si="614"/>
        <v>ㄣ</v>
      </c>
      <c r="P9874" s="1" t="s">
        <v>20</v>
      </c>
      <c r="R9874" s="1" t="s">
        <v>20424</v>
      </c>
      <c r="V9874" s="1" t="s">
        <v>20428</v>
      </c>
      <c r="AR9874" s="1" t="str">
        <f t="shared" si="615"/>
        <v>| [ㄔㄨㄣˇ](ㄔㄨㄣˇ.md) | [蠢](蠢.md) |  | chǔn | [動]
蟲類蠕動。《說文解字．〇部》：「蠢，蟲動也。」
[形]
1.愚笨。如：「蠢材」。《兒女英雄傳》第一五回：「你這個人好蠢，怎麼還這等說法？」
2.肥胖而行動笨拙的。元．高安道〈哨遍．暖日和風清晝套．三煞〉：「妝旦不抹颩，蠢身軀似水牛。」
3.不遜、無禮。《爾雅．釋訓》：「蠢，不遜也。」《詩經．小雅．采芑》：「蠢爾荊蠻，大邦為讎。」 |</v>
      </c>
    </row>
    <row r="9875" spans="1:44" hidden="1">
      <c r="A9875" s="1" t="s">
        <v>6995</v>
      </c>
      <c r="C9875" s="1">
        <v>1</v>
      </c>
      <c r="D9875" s="1" t="str">
        <f>"08636A"</f>
        <v>08636A</v>
      </c>
      <c r="E9875" s="1" t="s">
        <v>6996</v>
      </c>
      <c r="F9875" s="1">
        <v>4</v>
      </c>
      <c r="G9875" s="1">
        <v>1</v>
      </c>
      <c r="H9875" s="1">
        <v>3</v>
      </c>
      <c r="I9875" s="1" t="s">
        <v>20403</v>
      </c>
      <c r="K9875" s="1" t="str">
        <f t="shared" si="613"/>
        <v>ㄔ</v>
      </c>
      <c r="L9875" s="1" t="str">
        <f t="shared" si="616"/>
        <v>ㄨ</v>
      </c>
      <c r="M9875" s="1" t="str">
        <f t="shared" si="614"/>
        <v>ㄣ</v>
      </c>
      <c r="P9875" s="1" t="s">
        <v>20</v>
      </c>
      <c r="R9875" s="1" t="s">
        <v>20404</v>
      </c>
      <c r="V9875" s="1" t="s">
        <v>30528</v>
      </c>
      <c r="W9875" s="1" t="s">
        <v>30529</v>
      </c>
      <c r="AR9875" s="1" t="str">
        <f t="shared" si="615"/>
        <v>| [ㄔㄨㄣˊ](ㄔㄨㄣˊ.md) | [屯](屯.md) |  | chún | 參見「屯留縣」條。 |</v>
      </c>
    </row>
    <row r="9876" spans="1:44" hidden="1">
      <c r="A9876" s="1" t="s">
        <v>20429</v>
      </c>
      <c r="C9876" s="1">
        <v>1</v>
      </c>
      <c r="D9876" s="1" t="str">
        <f>"08648"</f>
        <v>08648</v>
      </c>
      <c r="E9876" s="1" t="s">
        <v>2557</v>
      </c>
      <c r="F9876" s="1">
        <v>7</v>
      </c>
      <c r="G9876" s="1">
        <v>4</v>
      </c>
      <c r="H9876" s="1">
        <v>2</v>
      </c>
      <c r="I9876" s="1" t="s">
        <v>20430</v>
      </c>
      <c r="K9876" s="1" t="str">
        <f t="shared" si="613"/>
        <v>ㄔ</v>
      </c>
      <c r="L9876" s="1" t="str">
        <f t="shared" si="616"/>
        <v>ㄨ</v>
      </c>
      <c r="M9876" s="1" t="str">
        <f t="shared" si="614"/>
        <v>ㄤ</v>
      </c>
      <c r="P9876" s="1" t="s">
        <v>20</v>
      </c>
      <c r="R9876" s="1" t="s">
        <v>20431</v>
      </c>
      <c r="V9876" s="1" t="s">
        <v>20432</v>
      </c>
      <c r="W9876" s="1" t="s">
        <v>20433</v>
      </c>
      <c r="AR9876" s="1" t="str">
        <f t="shared" si="615"/>
        <v>| [ㄔㄨㄤ](ㄔㄨㄤ.md) | [囪](囪.md) |  | chuāng | 同「窗」。 |</v>
      </c>
    </row>
    <row r="9877" spans="1:44" hidden="1">
      <c r="A9877" s="1" t="s">
        <v>20434</v>
      </c>
      <c r="C9877" s="1">
        <v>1</v>
      </c>
      <c r="D9877" s="1" t="str">
        <f>"08649"</f>
        <v>08649</v>
      </c>
      <c r="E9877" s="1" t="s">
        <v>1274</v>
      </c>
      <c r="F9877" s="1">
        <v>12</v>
      </c>
      <c r="G9877" s="1">
        <v>7</v>
      </c>
      <c r="H9877" s="1">
        <v>0</v>
      </c>
      <c r="I9877" s="1" t="s">
        <v>20430</v>
      </c>
      <c r="K9877" s="1" t="str">
        <f t="shared" si="613"/>
        <v>ㄔ</v>
      </c>
      <c r="L9877" s="1" t="str">
        <f t="shared" si="616"/>
        <v>ㄨ</v>
      </c>
      <c r="M9877" s="1" t="str">
        <f t="shared" si="614"/>
        <v>ㄤ</v>
      </c>
      <c r="P9877" s="1" t="s">
        <v>20</v>
      </c>
      <c r="R9877" s="1" t="s">
        <v>20431</v>
      </c>
      <c r="V9877" s="1" t="s">
        <v>20435</v>
      </c>
      <c r="AR9877" s="1" t="str">
        <f t="shared" si="615"/>
        <v>| [ㄔㄨㄤ](ㄔㄨㄤ.md) | [窗](窗.md) |  | chuāng | [名]
房屋中用來透光通氣的洞孔。如：「窗戶」、「天窗」、「玻璃窗」。 |</v>
      </c>
    </row>
    <row r="9878" spans="1:44" hidden="1">
      <c r="A9878" s="1" t="s">
        <v>20436</v>
      </c>
      <c r="C9878" s="1">
        <v>1</v>
      </c>
      <c r="D9878" s="1" t="str">
        <f>"08650"</f>
        <v>08650</v>
      </c>
      <c r="E9878" s="1" t="s">
        <v>185</v>
      </c>
      <c r="F9878" s="1">
        <v>12</v>
      </c>
      <c r="G9878" s="1">
        <v>10</v>
      </c>
      <c r="H9878" s="1">
        <v>2</v>
      </c>
      <c r="I9878" s="1" t="s">
        <v>20430</v>
      </c>
      <c r="K9878" s="1" t="str">
        <f t="shared" si="613"/>
        <v>ㄔ</v>
      </c>
      <c r="L9878" s="1" t="str">
        <f t="shared" si="616"/>
        <v>ㄨ</v>
      </c>
      <c r="M9878" s="1" t="str">
        <f t="shared" si="614"/>
        <v>ㄤ</v>
      </c>
      <c r="P9878" s="1" t="s">
        <v>20</v>
      </c>
      <c r="R9878" s="1" t="s">
        <v>20431</v>
      </c>
      <c r="V9878" s="1" t="s">
        <v>20437</v>
      </c>
      <c r="W9878" s="1" t="s">
        <v>20438</v>
      </c>
      <c r="AR9878" s="1" t="str">
        <f t="shared" si="615"/>
        <v>| [ㄔㄨㄤ](ㄔㄨㄤ.md) | [創](創.md) |  | chuāng | [名]
1.傷口、傷處。《漢書．卷三九．蕭何曹參傳》：「平陽侯曹參身被七十創。」
2.膿瘡。通「瘡」。《禮記．雜記下》：「身有瘍則浴，首有創則沐。」漢．王充《論衡．幸偶》：「氣結閼積，聚為癰，潰為疽，創流血出膿。」 |</v>
      </c>
    </row>
    <row r="9879" spans="1:44" hidden="1">
      <c r="A9879" s="1" t="s">
        <v>20439</v>
      </c>
      <c r="C9879" s="1">
        <v>1</v>
      </c>
      <c r="D9879" s="1" t="str">
        <f>"08651"</f>
        <v>08651</v>
      </c>
      <c r="E9879" s="1" t="s">
        <v>40</v>
      </c>
      <c r="F9879" s="1">
        <v>15</v>
      </c>
      <c r="G9879" s="1">
        <v>10</v>
      </c>
      <c r="H9879" s="1">
        <v>0</v>
      </c>
      <c r="I9879" s="1" t="s">
        <v>20430</v>
      </c>
      <c r="K9879" s="1" t="str">
        <f t="shared" si="613"/>
        <v>ㄔ</v>
      </c>
      <c r="L9879" s="1" t="str">
        <f t="shared" si="616"/>
        <v>ㄨ</v>
      </c>
      <c r="M9879" s="1" t="str">
        <f t="shared" si="614"/>
        <v>ㄤ</v>
      </c>
      <c r="P9879" s="1" t="s">
        <v>20</v>
      </c>
      <c r="R9879" s="1" t="s">
        <v>20431</v>
      </c>
      <c r="V9879" s="1" t="s">
        <v>20440</v>
      </c>
      <c r="AR9879" s="1" t="str">
        <f t="shared" si="615"/>
        <v>| [ㄔㄨㄤ](ㄔㄨㄤ.md) | [瘡](瘡.md) |  | chuāng | [名]
1.皮膚或黏膜上的潰瘍。如：「頭瘡」、「膿瘡」。《政和證類本草．卷一一．草部下品》：「五毒草，味酸、平、無毒。根主癰疽惡瘡。」
2.創傷、外傷。如：「刀瘡」。《三國演義》第五五回：「大叫一聲，金瘡迸裂，倒於船上。」 |</v>
      </c>
    </row>
    <row r="9880" spans="1:44" hidden="1">
      <c r="A9880" s="1" t="s">
        <v>20441</v>
      </c>
      <c r="C9880" s="1">
        <v>1</v>
      </c>
      <c r="D9880" s="1" t="str">
        <f>"08652"</f>
        <v>08652</v>
      </c>
      <c r="E9880" s="1" t="s">
        <v>24</v>
      </c>
      <c r="F9880" s="1">
        <v>14</v>
      </c>
      <c r="G9880" s="1">
        <v>11</v>
      </c>
      <c r="H9880" s="1">
        <v>0</v>
      </c>
      <c r="I9880" s="1" t="s">
        <v>20430</v>
      </c>
      <c r="K9880" s="1" t="str">
        <f t="shared" si="613"/>
        <v>ㄔ</v>
      </c>
      <c r="L9880" s="1" t="str">
        <f t="shared" si="616"/>
        <v>ㄨ</v>
      </c>
      <c r="M9880" s="1" t="str">
        <f t="shared" si="614"/>
        <v>ㄤ</v>
      </c>
      <c r="P9880" s="1" t="s">
        <v>20</v>
      </c>
      <c r="R9880" s="1" t="s">
        <v>20431</v>
      </c>
      <c r="V9880" s="1" t="s">
        <v>20442</v>
      </c>
      <c r="AR9880" s="1" t="str">
        <f t="shared" si="615"/>
        <v>| [ㄔㄨㄤ](ㄔㄨㄤ.md) | [摐](摐.md) |  | chuāng | [動]
撞擊。清．王念孫《廣雅疏證．卷五上．釋言》：「摐，撞也。」《文選．司馬相如．子虛賦》：「摐金鼓，吹鳴籟。」 |</v>
      </c>
    </row>
    <row r="9881" spans="1:44" hidden="1">
      <c r="A9881" s="1" t="s">
        <v>20443</v>
      </c>
      <c r="C9881" s="1">
        <v>1</v>
      </c>
      <c r="D9881" s="1" t="str">
        <f>"08653"</f>
        <v>08653</v>
      </c>
      <c r="E9881" s="1" t="s">
        <v>40</v>
      </c>
      <c r="F9881" s="1">
        <v>5</v>
      </c>
      <c r="G9881" s="1">
        <v>0</v>
      </c>
      <c r="H9881" s="1">
        <v>0</v>
      </c>
      <c r="I9881" s="1" t="s">
        <v>20444</v>
      </c>
      <c r="K9881" s="1" t="str">
        <f t="shared" si="613"/>
        <v>ㄔ</v>
      </c>
      <c r="L9881" s="1" t="str">
        <f t="shared" si="616"/>
        <v>ㄨ</v>
      </c>
      <c r="M9881" s="1" t="str">
        <f t="shared" si="614"/>
        <v>ㄤ</v>
      </c>
      <c r="P9881" s="1" t="s">
        <v>20</v>
      </c>
      <c r="R9881" s="1" t="s">
        <v>20445</v>
      </c>
      <c r="V9881" s="1" t="s">
        <v>20446</v>
      </c>
      <c r="AR9881" s="1" t="str">
        <f t="shared" si="615"/>
        <v>| [ㄔㄨㄤˊ](ㄔㄨㄤˊ.md) | [疒](疒.md) |  | chuáng | [形]
人有病痛而倚靠休養的樣子。《說文解字．疒部》：「疒，倚也。人有疾痛也，象倚箸之形。」
[名]
1.疾病。《廣韻．平聲．陽韻》：「疒，病也。」
2.二一四部首之一。 |</v>
      </c>
    </row>
    <row r="9882" spans="1:44" hidden="1">
      <c r="A9882" s="1" t="s">
        <v>20447</v>
      </c>
      <c r="C9882" s="1">
        <v>1</v>
      </c>
      <c r="D9882" s="1" t="str">
        <f>"08654"</f>
        <v>08654</v>
      </c>
      <c r="E9882" s="1" t="s">
        <v>447</v>
      </c>
      <c r="F9882" s="1">
        <v>7</v>
      </c>
      <c r="G9882" s="1">
        <v>4</v>
      </c>
      <c r="H9882" s="1">
        <v>0</v>
      </c>
      <c r="I9882" s="1" t="s">
        <v>20444</v>
      </c>
      <c r="K9882" s="1" t="str">
        <f t="shared" si="613"/>
        <v>ㄔ</v>
      </c>
      <c r="L9882" s="1" t="str">
        <f t="shared" si="616"/>
        <v>ㄨ</v>
      </c>
      <c r="M9882" s="1" t="str">
        <f t="shared" si="614"/>
        <v>ㄤ</v>
      </c>
      <c r="P9882" s="1" t="s">
        <v>20</v>
      </c>
      <c r="R9882" s="1" t="s">
        <v>20445</v>
      </c>
      <c r="V9882" s="1" t="s">
        <v>20448</v>
      </c>
      <c r="AR9882" s="1" t="str">
        <f t="shared" si="615"/>
        <v>| [ㄔㄨㄤˊ](ㄔㄨㄤˊ.md) | [床](床.md) |  | chuáng | [名]
1.坐臥的器具。唐．杜甫〈樹間〉詩：「幾迴霑葉露，乘月坐胡床。」也稱為「坐榻」。
2.安放器物的架子。如：「琴床」、「墨床」。
3.像床一樣的地面。如：「河床」、「苗床」、「花床」。
4.量詞。計算被褥、毛毯等的單位。如：「一床棉被」。 |</v>
      </c>
    </row>
    <row r="9883" spans="1:44" hidden="1">
      <c r="A9883" s="1" t="s">
        <v>19225</v>
      </c>
      <c r="C9883" s="1">
        <v>1</v>
      </c>
      <c r="D9883" s="1" t="str">
        <f>"08655"</f>
        <v>08655</v>
      </c>
      <c r="E9883" s="1" t="s">
        <v>24</v>
      </c>
      <c r="F9883" s="1">
        <v>15</v>
      </c>
      <c r="G9883" s="1">
        <v>12</v>
      </c>
      <c r="H9883" s="1">
        <v>2</v>
      </c>
      <c r="I9883" s="1" t="s">
        <v>20444</v>
      </c>
      <c r="K9883" s="1" t="str">
        <f t="shared" si="613"/>
        <v>ㄔ</v>
      </c>
      <c r="L9883" s="1" t="str">
        <f t="shared" si="616"/>
        <v>ㄨ</v>
      </c>
      <c r="M9883" s="1" t="str">
        <f t="shared" si="614"/>
        <v>ㄤ</v>
      </c>
      <c r="P9883" s="1" t="s">
        <v>186</v>
      </c>
      <c r="R9883" s="1" t="s">
        <v>20445</v>
      </c>
      <c r="V9883" s="1" t="s">
        <v>206</v>
      </c>
      <c r="W9883" s="1" t="s">
        <v>20449</v>
      </c>
      <c r="AR9883" s="1" t="str">
        <f t="shared" si="615"/>
        <v>| [ㄔㄨㄤˊ](ㄔㄨㄤˊ.md) | [撞](撞.md) |  | chuáng | (一)之讀音。 |</v>
      </c>
    </row>
    <row r="9884" spans="1:44" hidden="1">
      <c r="A9884" s="1" t="s">
        <v>20450</v>
      </c>
      <c r="C9884" s="1">
        <v>1</v>
      </c>
      <c r="D9884" s="1" t="str">
        <f>"08656"</f>
        <v>08656</v>
      </c>
      <c r="E9884" s="1" t="s">
        <v>28</v>
      </c>
      <c r="F9884" s="1">
        <v>15</v>
      </c>
      <c r="G9884" s="1">
        <v>12</v>
      </c>
      <c r="H9884" s="1">
        <v>0</v>
      </c>
      <c r="I9884" s="1" t="s">
        <v>20444</v>
      </c>
      <c r="K9884" s="1" t="str">
        <f t="shared" si="613"/>
        <v>ㄔ</v>
      </c>
      <c r="L9884" s="1" t="str">
        <f t="shared" si="616"/>
        <v>ㄨ</v>
      </c>
      <c r="M9884" s="1" t="str">
        <f t="shared" si="614"/>
        <v>ㄤ</v>
      </c>
      <c r="P9884" s="1" t="s">
        <v>20</v>
      </c>
      <c r="R9884" s="1" t="s">
        <v>20445</v>
      </c>
      <c r="V9884" s="1" t="s">
        <v>20451</v>
      </c>
      <c r="AR9884" s="1" t="str">
        <f t="shared" si="615"/>
        <v>| [ㄔㄨㄤˊ](ㄔㄨㄤˊ.md) | [噇](噇.md) |  | chuáng | [動]
大口吃喝。《儒林外史》第一一回：「在鎮上賭輸了，又噇了幾杯燒酒，噇的爛醉。」 |</v>
      </c>
    </row>
    <row r="9885" spans="1:44" hidden="1">
      <c r="A9885" s="1" t="s">
        <v>19228</v>
      </c>
      <c r="C9885" s="1">
        <v>1</v>
      </c>
      <c r="D9885" s="1" t="str">
        <f>"08657"</f>
        <v>08657</v>
      </c>
      <c r="E9885" s="1" t="s">
        <v>222</v>
      </c>
      <c r="F9885" s="1">
        <v>15</v>
      </c>
      <c r="G9885" s="1">
        <v>12</v>
      </c>
      <c r="H9885" s="1">
        <v>1</v>
      </c>
      <c r="I9885" s="1" t="s">
        <v>20444</v>
      </c>
      <c r="K9885" s="1" t="str">
        <f t="shared" si="613"/>
        <v>ㄔ</v>
      </c>
      <c r="L9885" s="1" t="str">
        <f t="shared" si="616"/>
        <v>ㄨ</v>
      </c>
      <c r="M9885" s="1" t="str">
        <f t="shared" si="614"/>
        <v>ㄤ</v>
      </c>
      <c r="P9885" s="1" t="s">
        <v>20</v>
      </c>
      <c r="R9885" s="1" t="s">
        <v>20445</v>
      </c>
      <c r="V9885" s="1" t="s">
        <v>20452</v>
      </c>
      <c r="W9885" s="1" t="s">
        <v>20453</v>
      </c>
      <c r="AR9885" s="1" t="str">
        <f t="shared" si="615"/>
        <v>| [ㄔㄨㄤˊ](ㄔㄨㄤˊ.md) | [幢](幢.md) |  | chuáng | [名]
1.旌旗一類的東西。如：「旌幢」、「幡幢」。
2.量詞。計算房屋的單位。如：「一幢房子」。 |</v>
      </c>
    </row>
    <row r="9886" spans="1:44" hidden="1">
      <c r="A9886" s="1" t="s">
        <v>7073</v>
      </c>
      <c r="C9886" s="1">
        <v>1</v>
      </c>
      <c r="D9886" s="1" t="str">
        <f>"08658"</f>
        <v>08658</v>
      </c>
      <c r="E9886" s="1" t="s">
        <v>139</v>
      </c>
      <c r="F9886" s="1">
        <v>16</v>
      </c>
      <c r="G9886" s="1">
        <v>12</v>
      </c>
      <c r="H9886" s="1">
        <v>2</v>
      </c>
      <c r="I9886" s="1" t="s">
        <v>20444</v>
      </c>
      <c r="K9886" s="1" t="str">
        <f t="shared" si="613"/>
        <v>ㄔ</v>
      </c>
      <c r="L9886" s="1" t="str">
        <f t="shared" si="616"/>
        <v>ㄨ</v>
      </c>
      <c r="M9886" s="1" t="str">
        <f t="shared" si="614"/>
        <v>ㄤ</v>
      </c>
      <c r="P9886" s="1" t="s">
        <v>20</v>
      </c>
      <c r="R9886" s="1" t="s">
        <v>20445</v>
      </c>
      <c r="V9886" s="1" t="s">
        <v>20454</v>
      </c>
      <c r="W9886" s="1" t="s">
        <v>20455</v>
      </c>
      <c r="AR9886" s="1" t="str">
        <f t="shared" si="615"/>
        <v>| [ㄔㄨㄤˊ](ㄔㄨㄤˊ.md) | [橦](橦.md) |  | chuáng | [名]
柱子。《文選．木華．海賦》：「決帆摧橦，戕風起惡。」唐．李白〈天長節度使鄂州刺史韋公德政碑〉：「都盧尋橦，倒掛浮雲之影。」 |</v>
      </c>
    </row>
    <row r="9887" spans="1:44" hidden="1">
      <c r="A9887" s="1" t="s">
        <v>15625</v>
      </c>
      <c r="C9887" s="1">
        <v>1</v>
      </c>
      <c r="D9887" s="1" t="str">
        <f>"08659"</f>
        <v>08659</v>
      </c>
      <c r="E9887" s="1" t="s">
        <v>24</v>
      </c>
      <c r="F9887" s="1">
        <v>13</v>
      </c>
      <c r="G9887" s="1">
        <v>10</v>
      </c>
      <c r="H9887" s="1">
        <v>3</v>
      </c>
      <c r="I9887" s="1" t="s">
        <v>20456</v>
      </c>
      <c r="K9887" s="1" t="str">
        <f t="shared" si="613"/>
        <v>ㄔ</v>
      </c>
      <c r="L9887" s="1" t="str">
        <f t="shared" si="616"/>
        <v>ㄨ</v>
      </c>
      <c r="M9887" s="1" t="str">
        <f t="shared" si="614"/>
        <v>ㄤ</v>
      </c>
      <c r="P9887" s="1" t="s">
        <v>110</v>
      </c>
      <c r="R9887" s="1" t="s">
        <v>20457</v>
      </c>
      <c r="V9887" s="1" t="s">
        <v>1633</v>
      </c>
      <c r="W9887" s="1" t="s">
        <v>20458</v>
      </c>
      <c r="AR9887" s="1" t="str">
        <f t="shared" si="615"/>
        <v>| [ㄔㄨㄤˇ](ㄔㄨㄤˇ.md) | [搶](搶.md) |  | chuǎng | (二)之又音。 |</v>
      </c>
    </row>
    <row r="9888" spans="1:44" hidden="1">
      <c r="A9888" s="1" t="s">
        <v>19930</v>
      </c>
      <c r="C9888" s="1">
        <v>1</v>
      </c>
      <c r="D9888" s="1" t="str">
        <f>"08660"</f>
        <v>08660</v>
      </c>
      <c r="E9888" s="1" t="s">
        <v>709</v>
      </c>
      <c r="F9888" s="1">
        <v>18</v>
      </c>
      <c r="G9888" s="1">
        <v>10</v>
      </c>
      <c r="H9888" s="1">
        <v>2</v>
      </c>
      <c r="I9888" s="1" t="s">
        <v>20456</v>
      </c>
      <c r="K9888" s="1" t="str">
        <f t="shared" si="613"/>
        <v>ㄔ</v>
      </c>
      <c r="L9888" s="1" t="str">
        <f t="shared" si="616"/>
        <v>ㄨ</v>
      </c>
      <c r="M9888" s="1" t="str">
        <f t="shared" si="614"/>
        <v>ㄤ</v>
      </c>
      <c r="P9888" s="1" t="s">
        <v>20</v>
      </c>
      <c r="R9888" s="1" t="s">
        <v>20457</v>
      </c>
      <c r="V9888" s="1" t="s">
        <v>20459</v>
      </c>
      <c r="W9888" s="1" t="s">
        <v>20460</v>
      </c>
      <c r="AR9888" s="1" t="str">
        <f t="shared" si="615"/>
        <v>| [ㄔㄨㄤˇ](ㄔㄨㄤˇ.md) | [闖](闖.md) |  | chuǎng | [動]
1.猛衝。如：「往裡闖」、「橫衝直闖」。
2.歷練、奔走謀生。如：「闖江湖」。《儒林外史》第一回：「見那闖學堂的書客，就買幾本舊書。」
3.突然發生、意外引起。如：「闖禍」。 |</v>
      </c>
    </row>
    <row r="9889" spans="1:44" hidden="1">
      <c r="A9889" s="1" t="s">
        <v>20461</v>
      </c>
      <c r="C9889" s="1">
        <v>1</v>
      </c>
      <c r="D9889" s="1" t="str">
        <f>"08661"</f>
        <v>08661</v>
      </c>
      <c r="E9889" s="1" t="s">
        <v>185</v>
      </c>
      <c r="F9889" s="1">
        <v>8</v>
      </c>
      <c r="G9889" s="1">
        <v>6</v>
      </c>
      <c r="H9889" s="1">
        <v>0</v>
      </c>
      <c r="I9889" s="1" t="s">
        <v>20462</v>
      </c>
      <c r="K9889" s="1" t="str">
        <f t="shared" si="613"/>
        <v>ㄔ</v>
      </c>
      <c r="L9889" s="1" t="str">
        <f t="shared" si="616"/>
        <v>ㄨ</v>
      </c>
      <c r="M9889" s="1" t="str">
        <f t="shared" si="614"/>
        <v>ㄤ</v>
      </c>
      <c r="P9889" s="1" t="s">
        <v>20</v>
      </c>
      <c r="R9889" s="1" t="s">
        <v>20463</v>
      </c>
      <c r="V9889" s="1" t="s">
        <v>20464</v>
      </c>
      <c r="AR9889" s="1" t="str">
        <f t="shared" si="615"/>
        <v>| [ㄔㄨㄤˋ](ㄔㄨㄤˋ.md) | [刱](刱.md) |  | chuàng | 同「創」。 |</v>
      </c>
    </row>
    <row r="9890" spans="1:44" hidden="1">
      <c r="A9890" s="1" t="s">
        <v>20465</v>
      </c>
      <c r="C9890" s="1">
        <v>1</v>
      </c>
      <c r="D9890" s="1" t="str">
        <f>"08662"</f>
        <v>08662</v>
      </c>
      <c r="E9890" s="1" t="s">
        <v>1381</v>
      </c>
      <c r="F9890" s="1">
        <v>12</v>
      </c>
      <c r="G9890" s="1">
        <v>10</v>
      </c>
      <c r="H9890" s="1">
        <v>0</v>
      </c>
      <c r="I9890" s="1" t="s">
        <v>20462</v>
      </c>
      <c r="K9890" s="1" t="str">
        <f t="shared" si="613"/>
        <v>ㄔ</v>
      </c>
      <c r="L9890" s="1" t="str">
        <f t="shared" si="616"/>
        <v>ㄨ</v>
      </c>
      <c r="M9890" s="1" t="str">
        <f t="shared" si="614"/>
        <v>ㄤ</v>
      </c>
      <c r="P9890" s="1" t="s">
        <v>20</v>
      </c>
      <c r="R9890" s="1" t="s">
        <v>20463</v>
      </c>
      <c r="V9890" s="1" t="s">
        <v>20466</v>
      </c>
      <c r="AR9890" s="1" t="str">
        <f t="shared" si="615"/>
        <v>| [ㄔㄨㄤˋ](ㄔㄨㄤˋ.md) | [凔](凔.md) |  | chuàng | [形]
寒冷。《說文解字．冫部》：「凔，寒也。」 |</v>
      </c>
    </row>
    <row r="9891" spans="1:44" hidden="1">
      <c r="A9891" s="1" t="s">
        <v>20436</v>
      </c>
      <c r="C9891" s="1">
        <v>1</v>
      </c>
      <c r="D9891" s="1" t="str">
        <f>"08663"</f>
        <v>08663</v>
      </c>
      <c r="E9891" s="1" t="s">
        <v>185</v>
      </c>
      <c r="F9891" s="1">
        <v>12</v>
      </c>
      <c r="G9891" s="1">
        <v>10</v>
      </c>
      <c r="H9891" s="1">
        <v>1</v>
      </c>
      <c r="I9891" s="1" t="s">
        <v>20462</v>
      </c>
      <c r="K9891" s="1" t="str">
        <f t="shared" si="613"/>
        <v>ㄔ</v>
      </c>
      <c r="L9891" s="1" t="str">
        <f t="shared" si="616"/>
        <v>ㄨ</v>
      </c>
      <c r="M9891" s="1" t="str">
        <f t="shared" si="614"/>
        <v>ㄤ</v>
      </c>
      <c r="P9891" s="1" t="s">
        <v>20</v>
      </c>
      <c r="R9891" s="1" t="s">
        <v>20463</v>
      </c>
      <c r="V9891" s="1" t="s">
        <v>20467</v>
      </c>
      <c r="W9891" s="1" t="s">
        <v>20468</v>
      </c>
      <c r="AR9891" s="1" t="str">
        <f t="shared" si="615"/>
        <v>| [ㄔㄨㄤˋ](ㄔㄨㄤˋ.md) | [創](創.md) |  | chuàng | [動]
開始、開啟、製造、做。如：「開創」、「首創」、「草創」。《周禮．冬官考工記》：「知者創物，巧者述之。」
[形]
獨特的。如：「創見」、「創意」、「創舉」。 |</v>
      </c>
    </row>
    <row r="9892" spans="1:44" hidden="1">
      <c r="A9892" s="1" t="s">
        <v>20469</v>
      </c>
      <c r="C9892" s="1">
        <v>1</v>
      </c>
      <c r="D9892" s="1" t="str">
        <f>"08664"</f>
        <v>08664</v>
      </c>
      <c r="E9892" s="1" t="s">
        <v>250</v>
      </c>
      <c r="F9892" s="1">
        <v>13</v>
      </c>
      <c r="G9892" s="1">
        <v>10</v>
      </c>
      <c r="H9892" s="1">
        <v>0</v>
      </c>
      <c r="I9892" s="1" t="s">
        <v>20462</v>
      </c>
      <c r="K9892" s="1" t="str">
        <f t="shared" si="613"/>
        <v>ㄔ</v>
      </c>
      <c r="L9892" s="1" t="str">
        <f t="shared" si="616"/>
        <v>ㄨ</v>
      </c>
      <c r="M9892" s="1" t="str">
        <f t="shared" si="614"/>
        <v>ㄤ</v>
      </c>
      <c r="P9892" s="1" t="s">
        <v>20</v>
      </c>
      <c r="R9892" s="1" t="s">
        <v>20463</v>
      </c>
      <c r="V9892" s="1" t="s">
        <v>20470</v>
      </c>
      <c r="AR9892" s="1" t="str">
        <f t="shared" si="615"/>
        <v>| [ㄔㄨㄤˋ](ㄔㄨㄤˋ.md) | [愴](愴.md) |  | chuàng | [形]
哀傷的。如：「悲愴」。《後漢書．卷八一．獨行傳．范式傳》：「時式出行適還，省書見瘞，愴然感之，向墳揖哭，以為死友。」 |</v>
      </c>
    </row>
    <row r="9893" spans="1:44" hidden="1">
      <c r="A9893" s="1" t="s">
        <v>19930</v>
      </c>
      <c r="C9893" s="1">
        <v>1</v>
      </c>
      <c r="D9893" s="1" t="str">
        <f>"08665"</f>
        <v>08665</v>
      </c>
      <c r="E9893" s="1" t="s">
        <v>709</v>
      </c>
      <c r="F9893" s="1">
        <v>18</v>
      </c>
      <c r="G9893" s="1">
        <v>10</v>
      </c>
      <c r="H9893" s="1">
        <v>3</v>
      </c>
      <c r="I9893" s="1" t="s">
        <v>20462</v>
      </c>
      <c r="K9893" s="1" t="str">
        <f t="shared" si="613"/>
        <v>ㄔ</v>
      </c>
      <c r="L9893" s="1" t="str">
        <f t="shared" si="616"/>
        <v>ㄨ</v>
      </c>
      <c r="M9893" s="1" t="str">
        <f t="shared" si="614"/>
        <v>ㄤ</v>
      </c>
      <c r="P9893" s="1" t="s">
        <v>20</v>
      </c>
      <c r="R9893" s="1" t="s">
        <v>20463</v>
      </c>
      <c r="V9893" s="1" t="s">
        <v>20471</v>
      </c>
      <c r="W9893" s="1" t="s">
        <v>20472</v>
      </c>
      <c r="AR9893" s="1" t="str">
        <f t="shared" si="615"/>
        <v>| [ㄔㄨㄤˋ](ㄔㄨㄤˋ.md) | [闖](闖.md) |  | chuàng | [動]
撞。如：「他騎車把我闖倒了。」 |</v>
      </c>
    </row>
    <row r="9894" spans="1:44" hidden="1">
      <c r="A9894" s="1" t="s">
        <v>20473</v>
      </c>
      <c r="C9894" s="1">
        <v>1</v>
      </c>
      <c r="D9894" s="1" t="str">
        <f>"08666"</f>
        <v>08666</v>
      </c>
      <c r="E9894" s="1" t="s">
        <v>3581</v>
      </c>
      <c r="F9894" s="1">
        <v>5</v>
      </c>
      <c r="G9894" s="1">
        <v>3</v>
      </c>
      <c r="H9894" s="1">
        <v>0</v>
      </c>
      <c r="I9894" s="1" t="s">
        <v>20474</v>
      </c>
      <c r="K9894" s="1" t="str">
        <f t="shared" si="613"/>
        <v>ㄔ</v>
      </c>
      <c r="L9894" s="1" t="str">
        <f t="shared" si="616"/>
        <v>ㄨ</v>
      </c>
      <c r="M9894" s="1" t="str">
        <f t="shared" si="614"/>
        <v>ㄥ</v>
      </c>
      <c r="P9894" s="1" t="s">
        <v>20</v>
      </c>
      <c r="R9894" s="1" t="s">
        <v>20475</v>
      </c>
      <c r="V9894" s="1" t="s">
        <v>20476</v>
      </c>
      <c r="AR9894" s="1" t="str">
        <f t="shared" si="615"/>
        <v>| [ㄔㄨㄥ](ㄔㄨㄥ.md) | [充](充.md) |  | chōng | [動]
1.填滿、裝滿。如：「充電」。唐．柳宗元〈陸文通先生墓表〉：「其為書，處則充棟宇，出則汗牛馬。」
2.代理、擔任。如：「權充」、「充當家庭教師」。唐．白居易〈新樂府．賣炭翁〉：「半匹紅紗一丈綾，繫向牛頭充炭直。」
3.假冒。如：「冒充」、「打腫臉充胖子」。
[名]
姓。如戰國時有充虞。 |</v>
      </c>
    </row>
    <row r="9895" spans="1:44" hidden="1">
      <c r="A9895" s="1" t="s">
        <v>20477</v>
      </c>
      <c r="C9895" s="1">
        <v>1</v>
      </c>
      <c r="D9895" s="1" t="str">
        <f>"08667"</f>
        <v>08667</v>
      </c>
      <c r="E9895" s="1" t="s">
        <v>37</v>
      </c>
      <c r="F9895" s="1">
        <v>9</v>
      </c>
      <c r="G9895" s="1">
        <v>5</v>
      </c>
      <c r="H9895" s="1">
        <v>0</v>
      </c>
      <c r="I9895" s="1" t="s">
        <v>20474</v>
      </c>
      <c r="K9895" s="1" t="str">
        <f t="shared" si="613"/>
        <v>ㄔ</v>
      </c>
      <c r="L9895" s="1" t="str">
        <f t="shared" si="616"/>
        <v>ㄨ</v>
      </c>
      <c r="M9895" s="1" t="str">
        <f t="shared" si="614"/>
        <v>ㄥ</v>
      </c>
      <c r="P9895" s="1" t="s">
        <v>20</v>
      </c>
      <c r="R9895" s="1" t="s">
        <v>20475</v>
      </c>
      <c r="V9895" s="1" t="s">
        <v>20478</v>
      </c>
      <c r="AR9895" s="1" t="str">
        <f t="shared" si="615"/>
        <v>| [ㄔㄨㄥ](ㄔㄨㄥ.md) | [茺](茺.md) |  | chōng | 參見「茺蔚」條。 |</v>
      </c>
    </row>
    <row r="9896" spans="1:44" hidden="1">
      <c r="A9896" s="1" t="s">
        <v>20479</v>
      </c>
      <c r="C9896" s="1">
        <v>1</v>
      </c>
      <c r="D9896" s="1" t="str">
        <f>"08668"</f>
        <v>08668</v>
      </c>
      <c r="E9896" s="1" t="s">
        <v>129</v>
      </c>
      <c r="F9896" s="1">
        <v>7</v>
      </c>
      <c r="G9896" s="1">
        <v>4</v>
      </c>
      <c r="H9896" s="1">
        <v>0</v>
      </c>
      <c r="I9896" s="1" t="s">
        <v>20474</v>
      </c>
      <c r="K9896" s="1" t="str">
        <f t="shared" si="613"/>
        <v>ㄔ</v>
      </c>
      <c r="L9896" s="1" t="str">
        <f t="shared" si="616"/>
        <v>ㄨ</v>
      </c>
      <c r="M9896" s="1" t="str">
        <f t="shared" si="614"/>
        <v>ㄥ</v>
      </c>
      <c r="P9896" s="1" t="s">
        <v>20</v>
      </c>
      <c r="R9896" s="1" t="s">
        <v>20475</v>
      </c>
      <c r="V9896" s="1" t="s">
        <v>20480</v>
      </c>
      <c r="AR9896" s="1" t="str">
        <f t="shared" si="615"/>
        <v>| [ㄔㄨㄥ](ㄔㄨㄥ.md) | [沖](沖.md) |  | chōng | [動]
1.以水注入或調勻。如：「沖牛奶」、「沖咖啡」。
2.以水刷洗。如：「把茶壺沖洗乾淨。」、「快把杯子拿去沖一沖。」
3.被大水撞擊或捲走。如：「沖破隄防」。
4.向上直飛。如：「一飛沖天」。唐．元稹〈會真詩三十韻〉：「海闊誠難度，天高不易沖。」
5.衝突、相忌。如：「相沖」、「對沖」。
6.破解厄運。如：「沖喜」、「沖運氣」。
[形]
猛烈的。如：「一股沖勁兒」、「怒氣沖沖」。
[名]
姓。如明代有沖敬。 |</v>
      </c>
    </row>
    <row r="9897" spans="1:44" hidden="1">
      <c r="A9897" s="1" t="s">
        <v>20481</v>
      </c>
      <c r="C9897" s="1">
        <v>1</v>
      </c>
      <c r="D9897" s="1" t="str">
        <f>"08669"</f>
        <v>08669</v>
      </c>
      <c r="E9897" s="1" t="s">
        <v>250</v>
      </c>
      <c r="F9897" s="1">
        <v>7</v>
      </c>
      <c r="G9897" s="1">
        <v>4</v>
      </c>
      <c r="H9897" s="1">
        <v>0</v>
      </c>
      <c r="I9897" s="1" t="s">
        <v>20474</v>
      </c>
      <c r="K9897" s="1" t="str">
        <f t="shared" si="613"/>
        <v>ㄔ</v>
      </c>
      <c r="L9897" s="1" t="str">
        <f t="shared" si="616"/>
        <v>ㄨ</v>
      </c>
      <c r="M9897" s="1" t="str">
        <f t="shared" si="614"/>
        <v>ㄥ</v>
      </c>
      <c r="P9897" s="1" t="s">
        <v>20</v>
      </c>
      <c r="R9897" s="1" t="s">
        <v>20475</v>
      </c>
      <c r="V9897" s="1" t="s">
        <v>20482</v>
      </c>
      <c r="AR9897" s="1" t="str">
        <f t="shared" si="615"/>
        <v>| [ㄔㄨㄥ](ㄔㄨㄥ.md) | [忡](忡.md) |  | chōng | [形]
憂慮的樣子。《說文解字．心部》：「忡，憂貌。」《詩經．邶風．擊鼓》：「不我以歸，憂心有忡。」 |</v>
      </c>
    </row>
    <row r="9898" spans="1:44" hidden="1">
      <c r="A9898" s="1" t="s">
        <v>20483</v>
      </c>
      <c r="C9898" s="1">
        <v>1</v>
      </c>
      <c r="D9898" s="1" t="str">
        <f>"08670"</f>
        <v>08670</v>
      </c>
      <c r="E9898" s="1" t="s">
        <v>2271</v>
      </c>
      <c r="F9898" s="1">
        <v>10</v>
      </c>
      <c r="G9898" s="1">
        <v>4</v>
      </c>
      <c r="H9898" s="1">
        <v>0</v>
      </c>
      <c r="I9898" s="1" t="s">
        <v>20474</v>
      </c>
      <c r="K9898" s="1" t="str">
        <f t="shared" si="613"/>
        <v>ㄔ</v>
      </c>
      <c r="L9898" s="1" t="str">
        <f t="shared" si="616"/>
        <v>ㄨ</v>
      </c>
      <c r="M9898" s="1" t="str">
        <f t="shared" si="614"/>
        <v>ㄥ</v>
      </c>
      <c r="P9898" s="1" t="s">
        <v>20</v>
      </c>
      <c r="R9898" s="1" t="s">
        <v>20475</v>
      </c>
      <c r="V9898" s="1" t="s">
        <v>20484</v>
      </c>
      <c r="AR9898" s="1" t="str">
        <f t="shared" si="615"/>
        <v>| [ㄔㄨㄥ](ㄔㄨㄥ.md) | [翀](翀.md) |  | chōng | [動]
向上直飛。《廣韻．平聲．東韻》：「翀，直上飛也。」三國魏．杜摯〈贈毌丘荊州詩〉：「鵠飛舉萬里，一飛翀昊蒼。」 |</v>
      </c>
    </row>
    <row r="9899" spans="1:44" hidden="1">
      <c r="A9899" s="1" t="s">
        <v>20485</v>
      </c>
      <c r="C9899" s="1">
        <v>1</v>
      </c>
      <c r="D9899" s="1" t="str">
        <f>"08671"</f>
        <v>08671</v>
      </c>
      <c r="E9899" s="1" t="s">
        <v>13771</v>
      </c>
      <c r="F9899" s="1">
        <v>11</v>
      </c>
      <c r="G9899" s="1">
        <v>5</v>
      </c>
      <c r="H9899" s="1">
        <v>0</v>
      </c>
      <c r="I9899" s="1" t="s">
        <v>20474</v>
      </c>
      <c r="K9899" s="1" t="str">
        <f t="shared" si="613"/>
        <v>ㄔ</v>
      </c>
      <c r="L9899" s="1" t="str">
        <f t="shared" si="616"/>
        <v>ㄨ</v>
      </c>
      <c r="M9899" s="1" t="str">
        <f t="shared" si="614"/>
        <v>ㄥ</v>
      </c>
      <c r="P9899" s="1" t="s">
        <v>20</v>
      </c>
      <c r="R9899" s="1" t="s">
        <v>20475</v>
      </c>
      <c r="V9899" s="1" t="s">
        <v>20486</v>
      </c>
      <c r="AR9899" s="1" t="str">
        <f t="shared" si="615"/>
        <v>| [ㄔㄨㄥ](ㄔㄨㄥ.md) | [舂](舂.md) |  | chōng | [動]
1.把穀物以杵臼搗去皮殼。《說文解字．臼部》：「舂，擣粟也。」如：「舂藥」。唐．張籍〈羈旅行〉：「主人舂米為夜食，晨雞喔喔茅屋傍。」
2.突擊、刺擊。《史記．卷三三．魯周公世家》：「富父終甥，舂其喉，以戈殺之。」唐．白居易〈潛別離〉詩：「深籠夜鎖獨棲鳥，利劍舂斷連理枝。」
[名]
古代的一種刑罰。婦女犯罪時以舂米代替軍役。《周禮．秋官．司厲》：「其奴，男子入于罪隸，女子入于舂、槀。」 |</v>
      </c>
    </row>
    <row r="9900" spans="1:44" hidden="1">
      <c r="A9900" s="1" t="s">
        <v>20487</v>
      </c>
      <c r="C9900" s="1">
        <v>1</v>
      </c>
      <c r="D9900" s="1" t="str">
        <f>"08672"</f>
        <v>08672</v>
      </c>
      <c r="E9900" s="1" t="s">
        <v>250</v>
      </c>
      <c r="F9900" s="1">
        <v>15</v>
      </c>
      <c r="G9900" s="1">
        <v>11</v>
      </c>
      <c r="H9900" s="1">
        <v>0</v>
      </c>
      <c r="I9900" s="1" t="s">
        <v>20474</v>
      </c>
      <c r="K9900" s="1" t="str">
        <f t="shared" si="613"/>
        <v>ㄔ</v>
      </c>
      <c r="L9900" s="1" t="str">
        <f t="shared" si="616"/>
        <v>ㄨ</v>
      </c>
      <c r="M9900" s="1" t="str">
        <f t="shared" si="614"/>
        <v>ㄥ</v>
      </c>
      <c r="P9900" s="1" t="s">
        <v>20</v>
      </c>
      <c r="R9900" s="1" t="s">
        <v>20475</v>
      </c>
      <c r="V9900" s="1" t="s">
        <v>20488</v>
      </c>
      <c r="AR9900" s="1" t="str">
        <f t="shared" si="615"/>
        <v>| [ㄔㄨㄥ](ㄔㄨㄥ.md) | [憃](憃.md) |  | chōng | [形]
痴愚的。《淮南子．氾論》：「愚夫憃婦皆能論之。」漢．高誘．注：「憃亦愚，無知之貌。」 |</v>
      </c>
    </row>
    <row r="9901" spans="1:44" hidden="1">
      <c r="A9901" s="1" t="s">
        <v>20489</v>
      </c>
      <c r="C9901" s="1">
        <v>1</v>
      </c>
      <c r="D9901" s="1" t="str">
        <f>"08673"</f>
        <v>08673</v>
      </c>
      <c r="E9901" s="1" t="s">
        <v>250</v>
      </c>
      <c r="F9901" s="1">
        <v>15</v>
      </c>
      <c r="G9901" s="1">
        <v>12</v>
      </c>
      <c r="H9901" s="1">
        <v>0</v>
      </c>
      <c r="I9901" s="1" t="s">
        <v>20474</v>
      </c>
      <c r="K9901" s="1" t="str">
        <f t="shared" si="613"/>
        <v>ㄔ</v>
      </c>
      <c r="L9901" s="1" t="str">
        <f t="shared" si="616"/>
        <v>ㄨ</v>
      </c>
      <c r="M9901" s="1" t="str">
        <f t="shared" si="614"/>
        <v>ㄥ</v>
      </c>
      <c r="P9901" s="1" t="s">
        <v>20</v>
      </c>
      <c r="R9901" s="1" t="s">
        <v>20475</v>
      </c>
      <c r="V9901" s="1" t="s">
        <v>20490</v>
      </c>
      <c r="AR9901" s="1" t="str">
        <f t="shared" si="615"/>
        <v>| [ㄔㄨㄥ](ㄔㄨㄥ.md) | [憧](憧.md) |  | chōng | [形]
1.愚笨。《史記．卷六〇．三王世家》：「臣青翟、臣湯等宜奉義遵職，愚憧而不逮事。」
2.參見「憧憧」條。 |</v>
      </c>
    </row>
    <row r="9902" spans="1:44" hidden="1">
      <c r="A9902" s="1" t="s">
        <v>7073</v>
      </c>
      <c r="C9902" s="1">
        <v>1</v>
      </c>
      <c r="D9902" s="1" t="str">
        <f>"08674"</f>
        <v>08674</v>
      </c>
      <c r="E9902" s="1" t="s">
        <v>139</v>
      </c>
      <c r="F9902" s="1">
        <v>16</v>
      </c>
      <c r="G9902" s="1">
        <v>12</v>
      </c>
      <c r="H9902" s="1">
        <v>3</v>
      </c>
      <c r="I9902" s="1" t="s">
        <v>20474</v>
      </c>
      <c r="K9902" s="1" t="str">
        <f t="shared" si="613"/>
        <v>ㄔ</v>
      </c>
      <c r="L9902" s="1" t="str">
        <f t="shared" si="616"/>
        <v>ㄨ</v>
      </c>
      <c r="M9902" s="1" t="str">
        <f t="shared" si="614"/>
        <v>ㄥ</v>
      </c>
      <c r="P9902" s="1" t="s">
        <v>20</v>
      </c>
      <c r="R9902" s="1" t="s">
        <v>20475</v>
      </c>
      <c r="V9902" s="1" t="s">
        <v>20491</v>
      </c>
      <c r="W9902" s="1" t="s">
        <v>20492</v>
      </c>
      <c r="AR9902" s="1" t="str">
        <f t="shared" si="615"/>
        <v>| [ㄔㄨㄥ](ㄔㄨㄥ.md) | [橦](橦.md) |  | chōng | [動]
刺。《戰國策．秦策一》：「寬則兩軍相攻，迫則杖戟相橦。」 |</v>
      </c>
    </row>
    <row r="9903" spans="1:44" hidden="1">
      <c r="A9903" s="1" t="s">
        <v>7082</v>
      </c>
      <c r="C9903" s="1">
        <v>1</v>
      </c>
      <c r="D9903" s="1" t="str">
        <f>"08675"</f>
        <v>08675</v>
      </c>
      <c r="E9903" s="1" t="s">
        <v>118</v>
      </c>
      <c r="F9903" s="1">
        <v>17</v>
      </c>
      <c r="G9903" s="1">
        <v>12</v>
      </c>
      <c r="H9903" s="1">
        <v>2</v>
      </c>
      <c r="I9903" s="1" t="s">
        <v>20474</v>
      </c>
      <c r="K9903" s="1" t="str">
        <f t="shared" si="613"/>
        <v>ㄔ</v>
      </c>
      <c r="L9903" s="1" t="str">
        <f t="shared" si="616"/>
        <v>ㄨ</v>
      </c>
      <c r="M9903" s="1" t="str">
        <f t="shared" si="614"/>
        <v>ㄥ</v>
      </c>
      <c r="P9903" s="1" t="s">
        <v>110</v>
      </c>
      <c r="R9903" s="1" t="s">
        <v>20475</v>
      </c>
      <c r="V9903" s="1" t="s">
        <v>111</v>
      </c>
      <c r="W9903" s="1" t="s">
        <v>20493</v>
      </c>
      <c r="AR9903" s="1" t="str">
        <f t="shared" si="615"/>
        <v>| [ㄔㄨㄥ](ㄔㄨㄥ.md) | [罿](罿.md) |  | chōng | (一)之又音。 |</v>
      </c>
    </row>
    <row r="9904" spans="1:44" hidden="1">
      <c r="A9904" s="1" t="s">
        <v>20494</v>
      </c>
      <c r="C9904" s="1">
        <v>1</v>
      </c>
      <c r="D9904" s="1" t="str">
        <f>"08676"</f>
        <v>08676</v>
      </c>
      <c r="E9904" s="1" t="s">
        <v>7105</v>
      </c>
      <c r="F9904" s="1">
        <v>15</v>
      </c>
      <c r="G9904" s="1">
        <v>9</v>
      </c>
      <c r="H9904" s="1">
        <v>1</v>
      </c>
      <c r="I9904" s="1" t="s">
        <v>20474</v>
      </c>
      <c r="K9904" s="1" t="str">
        <f t="shared" ref="K9904:K9967" si="617">LEFT(I9904, 1)</f>
        <v>ㄔ</v>
      </c>
      <c r="L9904" s="1" t="str">
        <f t="shared" si="616"/>
        <v>ㄨ</v>
      </c>
      <c r="M9904" s="1" t="str">
        <f t="shared" si="614"/>
        <v>ㄥ</v>
      </c>
      <c r="P9904" s="1" t="s">
        <v>20</v>
      </c>
      <c r="R9904" s="1" t="s">
        <v>20475</v>
      </c>
      <c r="V9904" s="1" t="s">
        <v>20495</v>
      </c>
      <c r="W9904" s="1" t="s">
        <v>20496</v>
      </c>
      <c r="AR9904" s="1" t="str">
        <f t="shared" si="615"/>
        <v>| [ㄔㄨㄥ](ㄔㄨㄥ.md) | [衝](衝.md) |  | chōng | [名]
交通要道。《漢書．卷四三．酈陸朱劉叔孫傳．酈食其》：「夫陳留，天下之衝，四通五達之郊也。」
[動]
1.快速朝某一方向移動。如：「橫衝直撞」、「他一開門，我就衝了過去。」《後漢書．卷一七．馮岑賈列傳．岑彭》：「時天風狂急，奇船逆流而上，直衝浮橋。」
2.直著往上頂。如：「怒髮衝冠」、「一道白光直衝雲霄。」
3.突擊、衝擊。《戰國策．齊策一》：「使輕車銳騎衝雍門。」《三國演義》第七回：「趙雲一騎馬飛入紹軍，左衝右突，如入無人之境。」
4.頂撞、冒犯。如：「衝撞之處，還請見諒！」 |</v>
      </c>
    </row>
    <row r="9905" spans="1:44" hidden="1">
      <c r="A9905" s="1" t="s">
        <v>12404</v>
      </c>
      <c r="C9905" s="1">
        <v>1</v>
      </c>
      <c r="D9905" s="1" t="str">
        <f>"08677"</f>
        <v>08677</v>
      </c>
      <c r="E9905" s="1" t="s">
        <v>679</v>
      </c>
      <c r="F9905" s="1">
        <v>6</v>
      </c>
      <c r="G9905" s="1">
        <v>0</v>
      </c>
      <c r="H9905" s="1">
        <v>2</v>
      </c>
      <c r="I9905" s="1" t="s">
        <v>20497</v>
      </c>
      <c r="K9905" s="1" t="str">
        <f t="shared" si="617"/>
        <v>ㄔ</v>
      </c>
      <c r="L9905" s="1" t="str">
        <f t="shared" si="616"/>
        <v>ㄨ</v>
      </c>
      <c r="M9905" s="1" t="str">
        <f t="shared" si="614"/>
        <v>ㄥ</v>
      </c>
      <c r="P9905" s="1" t="s">
        <v>20</v>
      </c>
      <c r="R9905" s="1" t="s">
        <v>20498</v>
      </c>
      <c r="V9905" s="1" t="s">
        <v>20499</v>
      </c>
      <c r="W9905" s="1" t="s">
        <v>20500</v>
      </c>
      <c r="AR9905" s="1" t="str">
        <f t="shared" si="615"/>
        <v>| [ㄔㄨㄥˊ](ㄔㄨㄥˊ.md) | [虫](虫.md) |  | chóng | 同「蟲」。 |</v>
      </c>
    </row>
    <row r="9906" spans="1:44" hidden="1">
      <c r="A9906" s="1" t="s">
        <v>20501</v>
      </c>
      <c r="C9906" s="1">
        <v>1</v>
      </c>
      <c r="D9906" s="1" t="str">
        <f>"08678"</f>
        <v>08678</v>
      </c>
      <c r="E9906" s="1" t="s">
        <v>679</v>
      </c>
      <c r="F9906" s="1">
        <v>18</v>
      </c>
      <c r="G9906" s="1">
        <v>12</v>
      </c>
      <c r="H9906" s="1">
        <v>0</v>
      </c>
      <c r="I9906" s="1" t="s">
        <v>20497</v>
      </c>
      <c r="K9906" s="1" t="str">
        <f t="shared" si="617"/>
        <v>ㄔ</v>
      </c>
      <c r="L9906" s="1" t="str">
        <f t="shared" si="616"/>
        <v>ㄨ</v>
      </c>
      <c r="M9906" s="1" t="str">
        <f t="shared" si="614"/>
        <v>ㄥ</v>
      </c>
      <c r="P9906" s="1" t="s">
        <v>20</v>
      </c>
      <c r="R9906" s="1" t="s">
        <v>20498</v>
      </c>
      <c r="V9906" s="1" t="s">
        <v>20502</v>
      </c>
      <c r="AR9906" s="1" t="str">
        <f t="shared" si="615"/>
        <v>| [ㄔㄨㄥˊ](ㄔㄨㄥˊ.md) | [蟲](蟲.md) |  | chóng | [名]
1.昆蟲的總稱。
2.古代對動物的通稱。如老虎稱為「大蟲」，蛇稱為「長蟲」。
3.輕蔑他人的言語。如：「懶蟲」、「可憐蟲」。
4.姓。如漢代有蟲達。 |</v>
      </c>
    </row>
    <row r="9907" spans="1:44" hidden="1">
      <c r="A9907" s="1" t="s">
        <v>20503</v>
      </c>
      <c r="C9907" s="1">
        <v>1</v>
      </c>
      <c r="D9907" s="1" t="str">
        <f>"08679"</f>
        <v>08679</v>
      </c>
      <c r="E9907" s="1" t="s">
        <v>429</v>
      </c>
      <c r="F9907" s="1">
        <v>9</v>
      </c>
      <c r="G9907" s="1">
        <v>4</v>
      </c>
      <c r="H9907" s="1">
        <v>1</v>
      </c>
      <c r="I9907" s="1" t="s">
        <v>20497</v>
      </c>
      <c r="K9907" s="1" t="str">
        <f t="shared" si="617"/>
        <v>ㄔ</v>
      </c>
      <c r="L9907" s="1" t="str">
        <f t="shared" si="616"/>
        <v>ㄨ</v>
      </c>
      <c r="M9907" s="1" t="str">
        <f t="shared" si="614"/>
        <v>ㄥ</v>
      </c>
      <c r="P9907" s="1" t="s">
        <v>20</v>
      </c>
      <c r="R9907" s="1" t="s">
        <v>20498</v>
      </c>
      <c r="V9907" s="1" t="s">
        <v>20504</v>
      </c>
      <c r="W9907" s="1" t="s">
        <v>20505</v>
      </c>
      <c r="AR9907" s="1" t="str">
        <f t="shared" si="615"/>
        <v>| [ㄔㄨㄥˊ](ㄔㄨㄥˊ.md) | [种](种.md) |  | chóng | [名]
姓。如宋代有种師道。 |</v>
      </c>
    </row>
    <row r="9908" spans="1:44" hidden="1">
      <c r="A9908" s="1" t="s">
        <v>19287</v>
      </c>
      <c r="C9908" s="1">
        <v>1</v>
      </c>
      <c r="D9908" s="1" t="str">
        <f>"08680"</f>
        <v>08680</v>
      </c>
      <c r="E9908" s="1" t="s">
        <v>8366</v>
      </c>
      <c r="F9908" s="1">
        <v>9</v>
      </c>
      <c r="G9908" s="1">
        <v>2</v>
      </c>
      <c r="H9908" s="1">
        <v>2</v>
      </c>
      <c r="I9908" s="1" t="s">
        <v>20497</v>
      </c>
      <c r="K9908" s="1" t="str">
        <f t="shared" si="617"/>
        <v>ㄔ</v>
      </c>
      <c r="L9908" s="1" t="str">
        <f t="shared" si="616"/>
        <v>ㄨ</v>
      </c>
      <c r="M9908" s="1" t="str">
        <f t="shared" si="614"/>
        <v>ㄥ</v>
      </c>
      <c r="P9908" s="1" t="s">
        <v>20</v>
      </c>
      <c r="R9908" s="1" t="s">
        <v>20498</v>
      </c>
      <c r="V9908" s="1" t="s">
        <v>20506</v>
      </c>
      <c r="W9908" s="1" t="s">
        <v>20507</v>
      </c>
      <c r="AR9908" s="1" t="str">
        <f t="shared" si="615"/>
        <v>| [ㄔㄨㄥˊ](ㄔㄨㄥˊ.md) | [重](重.md) |  | chóng | [名]
量詞。計算相疊、累積物的單位。如：「九重天」、「千重山」、「萬重山」。
[動]
添加、複疊。《荀子．富國》：「重色而衣之，重味而食之。」《文選．張衡．東京賦》：「于時蒸民，罔敢或貳。其取威也重矣。我世祖念之。」
[副]
再、另。如：「重來」、「重遊故地」、「重修舊好」。 |</v>
      </c>
    </row>
    <row r="9909" spans="1:44" hidden="1">
      <c r="A9909" s="1" t="s">
        <v>20508</v>
      </c>
      <c r="C9909" s="1">
        <v>1</v>
      </c>
      <c r="D9909" s="1" t="str">
        <f>"08681"</f>
        <v>08681</v>
      </c>
      <c r="E9909" s="1" t="s">
        <v>190</v>
      </c>
      <c r="F9909" s="1">
        <v>11</v>
      </c>
      <c r="G9909" s="1">
        <v>8</v>
      </c>
      <c r="H9909" s="1">
        <v>0</v>
      </c>
      <c r="I9909" s="1" t="s">
        <v>20497</v>
      </c>
      <c r="K9909" s="1" t="str">
        <f t="shared" si="617"/>
        <v>ㄔ</v>
      </c>
      <c r="L9909" s="1" t="str">
        <f t="shared" si="616"/>
        <v>ㄨ</v>
      </c>
      <c r="M9909" s="1" t="str">
        <f t="shared" si="614"/>
        <v>ㄥ</v>
      </c>
      <c r="P9909" s="1" t="s">
        <v>20</v>
      </c>
      <c r="R9909" s="1" t="s">
        <v>20498</v>
      </c>
      <c r="V9909" s="1" t="s">
        <v>20509</v>
      </c>
      <c r="AR9909" s="1" t="str">
        <f t="shared" si="615"/>
        <v>| [ㄔㄨㄥˊ](ㄔㄨㄥˊ.md) | [崇](崇.md) |  | chóng | [形]
高峻的。如：「崇高」、「崇山峻嶺」。《紅樓夢》第一〇二回：「以致崇樓高閣，瓊館瑤臺，皆為禽獸所棲。」
[動]
1.尊敬、尊重。《左傳．僖公七年》：「且夫合諸侯，以崇德也。」《禮記．中庸》：「溫故而知新，敦厚以崇禮。」
2.重視、崇尚。如：「崇尚」。漢．桓寬《鹽鐵論．非鞅》：「崇利而簡義，高力而尚功。」
[名]
1.德高位尊的人。《左傳．宣公十二年》：「師叔，楚之崇也。」
2.姓。如唐代有崇穎。
[副]
表示整個、一段時間的終了。參見「崇朝」條。 |</v>
      </c>
    </row>
    <row r="9910" spans="1:44" hidden="1">
      <c r="A9910" s="1" t="s">
        <v>20510</v>
      </c>
      <c r="C9910" s="1">
        <v>1</v>
      </c>
      <c r="D9910" s="1" t="str">
        <f>"08682"</f>
        <v>08682</v>
      </c>
      <c r="E9910" s="1" t="s">
        <v>624</v>
      </c>
      <c r="F9910" s="1">
        <v>19</v>
      </c>
      <c r="G9910" s="1">
        <v>16</v>
      </c>
      <c r="H9910" s="1">
        <v>0</v>
      </c>
      <c r="I9910" s="1" t="s">
        <v>20511</v>
      </c>
      <c r="K9910" s="1" t="str">
        <f t="shared" si="617"/>
        <v>ㄔ</v>
      </c>
      <c r="L9910" s="1" t="str">
        <f t="shared" si="616"/>
        <v>ㄨ</v>
      </c>
      <c r="M9910" s="1" t="str">
        <f t="shared" si="614"/>
        <v>ㄥ</v>
      </c>
      <c r="P9910" s="1" t="s">
        <v>20</v>
      </c>
      <c r="R9910" s="1" t="s">
        <v>20512</v>
      </c>
      <c r="V9910" s="1" t="s">
        <v>20513</v>
      </c>
      <c r="AR9910" s="1" t="str">
        <f t="shared" si="615"/>
        <v>| [ㄔㄨㄥˇ](ㄔㄨㄥˇ.md) | [寵](寵.md) |  | chǒng | [動]
偏愛、溺愛。如：「寵愛」、「小孩兒可不能太寵。」
[名]
1.尊敬。如：「譁眾取寵」。
2.恩惠。《易經．師卦．象曰》：「在師中吉，承天寵也。」
3.妾。《鏡花緣》第五十回：「拙夫意欲納寵，真是眠思夢想，已非一日。」 |</v>
      </c>
    </row>
    <row r="9911" spans="1:44" hidden="1">
      <c r="A9911" s="1" t="s">
        <v>19271</v>
      </c>
      <c r="C9911" s="1">
        <v>1</v>
      </c>
      <c r="D9911" s="1" t="str">
        <f>"08683"</f>
        <v>08683</v>
      </c>
      <c r="E9911" s="1" t="s">
        <v>1935</v>
      </c>
      <c r="F9911" s="1">
        <v>12</v>
      </c>
      <c r="G9911" s="1">
        <v>9</v>
      </c>
      <c r="H9911" s="1">
        <v>2</v>
      </c>
      <c r="I9911" s="1" t="s">
        <v>20514</v>
      </c>
      <c r="K9911" s="1" t="str">
        <f t="shared" si="617"/>
        <v>ㄔ</v>
      </c>
      <c r="L9911" s="1" t="str">
        <f t="shared" si="616"/>
        <v>ㄨ</v>
      </c>
      <c r="M9911" s="1" t="str">
        <f t="shared" si="614"/>
        <v>ㄥ</v>
      </c>
      <c r="P9911" s="1" t="s">
        <v>110</v>
      </c>
      <c r="R9911" s="1" t="s">
        <v>20515</v>
      </c>
      <c r="V9911" s="1" t="s">
        <v>111</v>
      </c>
      <c r="W9911" s="1" t="s">
        <v>20516</v>
      </c>
      <c r="AR9911" s="1" t="str">
        <f t="shared" si="615"/>
        <v>| [ㄔㄨㄥˋ](ㄔㄨㄥˋ.md) | [尰](尰.md) |  | chòng | (一)之又音。 |</v>
      </c>
    </row>
    <row r="9912" spans="1:44" hidden="1">
      <c r="A9912" s="1" t="s">
        <v>20517</v>
      </c>
      <c r="C9912" s="1">
        <v>1</v>
      </c>
      <c r="D9912" s="1" t="str">
        <f>"08684"</f>
        <v>08684</v>
      </c>
      <c r="E9912" s="1" t="s">
        <v>55</v>
      </c>
      <c r="F9912" s="1">
        <v>13</v>
      </c>
      <c r="G9912" s="1">
        <v>5</v>
      </c>
      <c r="H9912" s="1">
        <v>0</v>
      </c>
      <c r="I9912" s="1" t="s">
        <v>20514</v>
      </c>
      <c r="K9912" s="1" t="str">
        <f t="shared" si="617"/>
        <v>ㄔ</v>
      </c>
      <c r="L9912" s="1" t="str">
        <f t="shared" si="616"/>
        <v>ㄨ</v>
      </c>
      <c r="M9912" s="1" t="str">
        <f t="shared" si="614"/>
        <v>ㄥ</v>
      </c>
      <c r="P9912" s="1" t="s">
        <v>20</v>
      </c>
      <c r="R9912" s="1" t="s">
        <v>20515</v>
      </c>
      <c r="V9912" s="1" t="s">
        <v>20518</v>
      </c>
      <c r="AR9912" s="1" t="str">
        <f t="shared" si="615"/>
        <v>| [ㄔㄨㄥˋ](ㄔㄨㄥˋ.md) | [銃](銃.md) |  | chòng | [名]
1.斧頭上裝柄的部分。《集韻．去聲．送韻》：「銃，斧穿也。」
2.武器名。舊式的一種槍械火器。如：「鳥銃」。《元史．卷一四五．達禮麻識理傳》：「糾集丁壯苗軍，火銃什伍相聯。」 |</v>
      </c>
    </row>
    <row r="9913" spans="1:44" hidden="1">
      <c r="A9913" s="1" t="s">
        <v>20494</v>
      </c>
      <c r="C9913" s="1">
        <v>1</v>
      </c>
      <c r="D9913" s="1" t="str">
        <f>"08685"</f>
        <v>08685</v>
      </c>
      <c r="E9913" s="1" t="s">
        <v>7105</v>
      </c>
      <c r="F9913" s="1">
        <v>15</v>
      </c>
      <c r="G9913" s="1">
        <v>9</v>
      </c>
      <c r="H9913" s="1">
        <v>2</v>
      </c>
      <c r="I9913" s="1" t="s">
        <v>20514</v>
      </c>
      <c r="K9913" s="1" t="str">
        <f t="shared" si="617"/>
        <v>ㄔ</v>
      </c>
      <c r="L9913" s="1" t="str">
        <f t="shared" si="616"/>
        <v>ㄨ</v>
      </c>
      <c r="M9913" s="1" t="str">
        <f t="shared" si="614"/>
        <v>ㄥ</v>
      </c>
      <c r="P9913" s="1" t="s">
        <v>20</v>
      </c>
      <c r="R9913" s="1" t="s">
        <v>20515</v>
      </c>
      <c r="V9913" s="1" t="s">
        <v>20519</v>
      </c>
      <c r="W9913" s="1" t="s">
        <v>20520</v>
      </c>
      <c r="AR9913" s="1" t="str">
        <f t="shared" si="615"/>
        <v>| [ㄔㄨㄥˋ](ㄔㄨㄥˋ.md) | [衝](衝.md) |  | chòng | [動]
1.因、看。如：「這件事衝你的面子就算了。」
2.向、對。如：「這座別墅北面靠山，南面衝著大海。」
[形]
1.氣味強烈。如：「這煙太衝。」
2.幹勁足、力量大。如：「他做起事來真衝。」
3.激烈、無禮。如：「他說話很衝！」 |</v>
      </c>
    </row>
    <row r="9914" spans="1:44" hidden="1">
      <c r="A9914" s="1" t="s">
        <v>19504</v>
      </c>
      <c r="C9914" s="1">
        <v>1</v>
      </c>
      <c r="D9914" s="1" t="str">
        <f>"08249"</f>
        <v>08249</v>
      </c>
      <c r="E9914" s="1" t="s">
        <v>129</v>
      </c>
      <c r="F9914" s="1">
        <v>6</v>
      </c>
      <c r="G9914" s="1">
        <v>3</v>
      </c>
      <c r="H9914" s="1">
        <v>0</v>
      </c>
      <c r="I9914" s="1" t="s">
        <v>19505</v>
      </c>
      <c r="K9914" s="1" t="str">
        <f t="shared" si="617"/>
        <v>ㄔ</v>
      </c>
      <c r="L9914" s="1" t="str">
        <f t="shared" si="616"/>
        <v>ㄚ</v>
      </c>
      <c r="N9914" s="3" t="s">
        <v>30574</v>
      </c>
      <c r="O9914" s="3"/>
      <c r="P9914" s="1" t="s">
        <v>20</v>
      </c>
      <c r="R9914" s="1" t="s">
        <v>19506</v>
      </c>
      <c r="V9914" s="1" t="s">
        <v>19507</v>
      </c>
      <c r="AR9914" s="1" t="str">
        <f t="shared" si="615"/>
        <v>| [ㄔㄚˋ](ㄔㄚˋ.md) | [汊](汊.md) |  | chà | [名]
河道的支流。《集韻．去聲．禡韻》：「汊，水歧流也。」《水滸傳》第一九回：「這湖泊裡港汊又多，路徑甚雜。」 |</v>
      </c>
    </row>
    <row r="9915" spans="1:44" hidden="1">
      <c r="A9915" s="1" t="s">
        <v>19451</v>
      </c>
      <c r="C9915" s="1">
        <v>1</v>
      </c>
      <c r="D9915" s="1" t="str">
        <f>"08250"</f>
        <v>08250</v>
      </c>
      <c r="E9915" s="1" t="s">
        <v>139</v>
      </c>
      <c r="F9915" s="1">
        <v>7</v>
      </c>
      <c r="G9915" s="1">
        <v>3</v>
      </c>
      <c r="H9915" s="1">
        <v>2</v>
      </c>
      <c r="I9915" s="1" t="s">
        <v>19505</v>
      </c>
      <c r="K9915" s="1" t="str">
        <f t="shared" si="617"/>
        <v>ㄔ</v>
      </c>
      <c r="L9915" s="1" t="str">
        <f t="shared" si="616"/>
        <v>ㄚ</v>
      </c>
      <c r="N9915" s="3" t="s">
        <v>30574</v>
      </c>
      <c r="O9915" s="3"/>
      <c r="P9915" s="1" t="s">
        <v>388</v>
      </c>
      <c r="R9915" s="1" t="s">
        <v>19506</v>
      </c>
      <c r="V9915" s="1" t="s">
        <v>407</v>
      </c>
      <c r="W9915" s="1" t="s">
        <v>19508</v>
      </c>
      <c r="AR9915" s="1" t="str">
        <f t="shared" si="615"/>
        <v>| [ㄔㄚˋ](ㄔㄚˋ.md) | [杈](杈.md) |  | chà | (一)之語音。 |</v>
      </c>
    </row>
    <row r="9916" spans="1:44" hidden="1">
      <c r="A9916" s="1" t="s">
        <v>19497</v>
      </c>
      <c r="C9916" s="1">
        <v>1</v>
      </c>
      <c r="D9916" s="1" t="str">
        <f>"08251"</f>
        <v>08251</v>
      </c>
      <c r="E9916" s="1" t="s">
        <v>340</v>
      </c>
      <c r="F9916" s="1">
        <v>9</v>
      </c>
      <c r="G9916" s="1">
        <v>3</v>
      </c>
      <c r="H9916" s="1">
        <v>1</v>
      </c>
      <c r="I9916" s="1" t="s">
        <v>19505</v>
      </c>
      <c r="K9916" s="1" t="str">
        <f t="shared" si="617"/>
        <v>ㄔ</v>
      </c>
      <c r="L9916" s="1" t="str">
        <f t="shared" si="616"/>
        <v>ㄚ</v>
      </c>
      <c r="N9916" s="3" t="s">
        <v>30574</v>
      </c>
      <c r="O9916" s="3"/>
      <c r="P9916" s="1" t="s">
        <v>20</v>
      </c>
      <c r="R9916" s="1" t="s">
        <v>19506</v>
      </c>
      <c r="V9916" s="1" t="s">
        <v>19509</v>
      </c>
      <c r="W9916" s="1" t="s">
        <v>19510</v>
      </c>
      <c r="AR9916" s="1" t="str">
        <f t="shared" si="615"/>
        <v>| [ㄔㄚˋ](ㄔㄚˋ.md) | [衩](衩.md) |  | chà | [名]
衣裙兩旁開叉的地方。唐．李商隱〈無題〉詩二首之一：「十歲去踏青，芙蓉作裙衩。」也稱為「衩口」。 |</v>
      </c>
    </row>
    <row r="9917" spans="1:44" hidden="1">
      <c r="A9917" s="1" t="s">
        <v>19511</v>
      </c>
      <c r="C9917" s="1">
        <v>1</v>
      </c>
      <c r="D9917" s="1" t="str">
        <f>"08252"</f>
        <v>08252</v>
      </c>
      <c r="E9917" s="1" t="s">
        <v>534</v>
      </c>
      <c r="F9917" s="1">
        <v>6</v>
      </c>
      <c r="G9917" s="1">
        <v>3</v>
      </c>
      <c r="H9917" s="1">
        <v>0</v>
      </c>
      <c r="I9917" s="1" t="s">
        <v>19505</v>
      </c>
      <c r="K9917" s="1" t="str">
        <f t="shared" si="617"/>
        <v>ㄔ</v>
      </c>
      <c r="L9917" s="1" t="str">
        <f t="shared" si="616"/>
        <v>ㄚ</v>
      </c>
      <c r="N9917" s="3" t="s">
        <v>30574</v>
      </c>
      <c r="O9917" s="3"/>
      <c r="P9917" s="1" t="s">
        <v>20</v>
      </c>
      <c r="R9917" s="1" t="s">
        <v>19506</v>
      </c>
      <c r="V9917" s="1" t="s">
        <v>19512</v>
      </c>
      <c r="AR9917" s="1" t="str">
        <f t="shared" si="615"/>
        <v>| [ㄔㄚˋ](ㄔㄚˋ.md) | [奼](奼.md) |  | chà | [名]
少女。《說文解字．女部》：「奼，少女也。」
[形]
豔麗的。如：「奼紫嫣紅」。唐．韓愈〈縣齋有懷〉詩：「閒愛老農愚，歸弄小女奼。」
[動]
誇讚。通「吒」、「詫」。《文選．司馬相如．子虛賦》：「畋罷，子虛過奼烏有先生，亡是公存焉。」 |</v>
      </c>
    </row>
    <row r="9918" spans="1:44" hidden="1">
      <c r="A9918" s="1" t="s">
        <v>19513</v>
      </c>
      <c r="C9918" s="1">
        <v>1</v>
      </c>
      <c r="D9918" s="1" t="str">
        <f>"08253"</f>
        <v>08253</v>
      </c>
      <c r="E9918" s="1" t="s">
        <v>114</v>
      </c>
      <c r="F9918" s="1">
        <v>8</v>
      </c>
      <c r="G9918" s="1">
        <v>6</v>
      </c>
      <c r="H9918" s="1">
        <v>0</v>
      </c>
      <c r="I9918" s="1" t="s">
        <v>19505</v>
      </c>
      <c r="K9918" s="1" t="str">
        <f t="shared" si="617"/>
        <v>ㄔ</v>
      </c>
      <c r="L9918" s="1" t="str">
        <f t="shared" si="616"/>
        <v>ㄚ</v>
      </c>
      <c r="N9918" s="3" t="s">
        <v>30574</v>
      </c>
      <c r="O9918" s="3"/>
      <c r="P9918" s="1" t="s">
        <v>20</v>
      </c>
      <c r="R9918" s="1" t="s">
        <v>19506</v>
      </c>
      <c r="V9918" s="1" t="s">
        <v>19514</v>
      </c>
      <c r="AR9918" s="1" t="str">
        <f t="shared" si="615"/>
        <v>| [ㄔㄚˋ](ㄔㄚˋ.md) | [侘](侘.md) |  | chà | [形]
參見「侘傺」條。
[動]
誇耀。通「詫」。《史記．卷一〇八．韓長孺傳》：「即欲以侘鄙縣，驅馳國中，以夸諸侯。」 |</v>
      </c>
    </row>
    <row r="9919" spans="1:44" hidden="1">
      <c r="A9919" s="1" t="s">
        <v>19515</v>
      </c>
      <c r="C9919" s="1">
        <v>1</v>
      </c>
      <c r="D9919" s="1" t="str">
        <f>"08254"</f>
        <v>08254</v>
      </c>
      <c r="E9919" s="1" t="s">
        <v>331</v>
      </c>
      <c r="F9919" s="1">
        <v>13</v>
      </c>
      <c r="G9919" s="1">
        <v>6</v>
      </c>
      <c r="H9919" s="1">
        <v>0</v>
      </c>
      <c r="I9919" s="1" t="s">
        <v>19505</v>
      </c>
      <c r="K9919" s="1" t="str">
        <f t="shared" si="617"/>
        <v>ㄔ</v>
      </c>
      <c r="L9919" s="1" t="str">
        <f t="shared" si="616"/>
        <v>ㄚ</v>
      </c>
      <c r="N9919" s="3" t="s">
        <v>30574</v>
      </c>
      <c r="O9919" s="3"/>
      <c r="P9919" s="1" t="s">
        <v>20</v>
      </c>
      <c r="R9919" s="1" t="s">
        <v>19506</v>
      </c>
      <c r="V9919" s="1" t="s">
        <v>19516</v>
      </c>
      <c r="AR9919" s="1" t="str">
        <f t="shared" si="615"/>
        <v>| [ㄔㄚˋ](ㄔㄚˋ.md) | [詫](詫.md) |  | chà | [動]
1.誇耀。《史記．卷一一七．司馬相如傳》：「子虛過詫烏有先生。」裴駰集解引郭璞曰：「詫，誇也。」
2.驚訝。如：「詫異」。宋．楊萬里〈過烏沙望大唐石峰〉詩：「山神自賀應自詫，古來此地無車馬。」
3.欺騙。《晉書．卷三七．宗室傳．譙剛王遜傳》：「甘言詫方伯，襲之以輕兵。」 |</v>
      </c>
    </row>
    <row r="9920" spans="1:44" hidden="1">
      <c r="A9920" s="1" t="s">
        <v>19471</v>
      </c>
      <c r="C9920" s="1">
        <v>1</v>
      </c>
      <c r="D9920" s="1" t="str">
        <f>"08255"</f>
        <v>08255</v>
      </c>
      <c r="E9920" s="1" t="s">
        <v>190</v>
      </c>
      <c r="F9920" s="1">
        <v>7</v>
      </c>
      <c r="G9920" s="1">
        <v>4</v>
      </c>
      <c r="H9920" s="1">
        <v>1</v>
      </c>
      <c r="I9920" s="1" t="s">
        <v>19505</v>
      </c>
      <c r="K9920" s="1" t="str">
        <f t="shared" si="617"/>
        <v>ㄔ</v>
      </c>
      <c r="L9920" s="1" t="str">
        <f t="shared" si="616"/>
        <v>ㄚ</v>
      </c>
      <c r="N9920" s="3" t="s">
        <v>30574</v>
      </c>
      <c r="O9920" s="3"/>
      <c r="P9920" s="1" t="s">
        <v>20</v>
      </c>
      <c r="R9920" s="1" t="s">
        <v>19506</v>
      </c>
      <c r="V9920" s="1" t="s">
        <v>19517</v>
      </c>
      <c r="W9920" s="1" t="s">
        <v>19518</v>
      </c>
      <c r="AR9920" s="1" t="str">
        <f t="shared" si="615"/>
        <v>| [ㄔㄚˋ](ㄔㄚˋ.md) | [岔](岔.md) |  | chà | [名]
1.路或山分歧的地方。如：「路岔子」。
2.意外的事故或差錯。如：「出岔」。
3.轉移他人話題或注意力的舉動。如：「對不起！我打個岔！」《兒女英雄傳》第三三回：「這個岔一打，大家又重新笑起來。」
[動]
插嘴或轉移他人的注意力。如：「他故意把話題岔開。」《紅樓夢》第八二回：「襲人見他說話造次，連忙岔道：『媽媽，你乏了，坐坐吃茶罷！』」
[形]
1.分歧的。如：「岔路」、「岔流」。
2.矛盾、有偏差。如：「你這話就岔了。」
[副]
聲音哽咽失常。如：「他哭得聲音都岔了。」 |</v>
      </c>
    </row>
    <row r="9921" spans="1:44" hidden="1">
      <c r="A9921" s="1" t="s">
        <v>19519</v>
      </c>
      <c r="C9921" s="1">
        <v>1</v>
      </c>
      <c r="D9921" s="1" t="str">
        <f>"08256"</f>
        <v>08256</v>
      </c>
      <c r="E9921" s="1" t="s">
        <v>185</v>
      </c>
      <c r="F9921" s="1">
        <v>9</v>
      </c>
      <c r="G9921" s="1">
        <v>7</v>
      </c>
      <c r="H9921" s="1">
        <v>1</v>
      </c>
      <c r="I9921" s="1" t="s">
        <v>19505</v>
      </c>
      <c r="K9921" s="1" t="str">
        <f t="shared" si="617"/>
        <v>ㄔ</v>
      </c>
      <c r="L9921" s="1" t="str">
        <f t="shared" si="616"/>
        <v>ㄚ</v>
      </c>
      <c r="N9921" s="3" t="s">
        <v>30574</v>
      </c>
      <c r="O9921" s="3"/>
      <c r="P9921" s="1" t="s">
        <v>20</v>
      </c>
      <c r="R9921" s="1" t="s">
        <v>19506</v>
      </c>
      <c r="V9921" s="1" t="s">
        <v>19520</v>
      </c>
      <c r="W9921" s="1" t="s">
        <v>19521</v>
      </c>
      <c r="AR9921" s="1" t="str">
        <f t="shared" si="615"/>
        <v>| [ㄔㄚˋ](ㄔㄚˋ.md) | [剎](剎.md) |  | chà | [名]
佛寺、寺廟。如：「古剎」、「名剎」。《水滸傳》第四回：「看那文殊寺，果然是好座大剎。」 |</v>
      </c>
    </row>
    <row r="9922" spans="1:44" hidden="1">
      <c r="A9922" s="1" t="s">
        <v>19458</v>
      </c>
      <c r="C9922" s="1">
        <v>1</v>
      </c>
      <c r="D9922" s="1" t="str">
        <f>"08257"</f>
        <v>08257</v>
      </c>
      <c r="E9922" s="1" t="s">
        <v>10636</v>
      </c>
      <c r="F9922" s="1">
        <v>10</v>
      </c>
      <c r="G9922" s="1">
        <v>7</v>
      </c>
      <c r="H9922" s="1">
        <v>2</v>
      </c>
      <c r="I9922" s="1" t="s">
        <v>19505</v>
      </c>
      <c r="K9922" s="1" t="str">
        <f t="shared" si="617"/>
        <v>ㄔ</v>
      </c>
      <c r="L9922" s="1" t="str">
        <f t="shared" si="616"/>
        <v>ㄚ</v>
      </c>
      <c r="N9922" s="3" t="s">
        <v>30574</v>
      </c>
      <c r="O9922" s="3"/>
      <c r="P9922" s="1" t="s">
        <v>20</v>
      </c>
      <c r="R9922" s="1" t="s">
        <v>19506</v>
      </c>
      <c r="V9922" s="1" t="s">
        <v>19522</v>
      </c>
      <c r="W9922" s="1" t="s">
        <v>19523</v>
      </c>
      <c r="AR9922" s="1" t="str">
        <f t="shared" si="615"/>
        <v>| [ㄔㄚˋ](ㄔㄚˋ.md) | [差](差.md) |  | chà | [形]
不好。如：「成績差」、「他的文章太差了。」
[動]
欠缺、短少。如：「差十分就八點鐘了。」
[名]
(一)[名]之語音。 |</v>
      </c>
    </row>
    <row r="9923" spans="1:44" hidden="1">
      <c r="A9923" s="1" t="s">
        <v>18107</v>
      </c>
      <c r="C9923" s="1">
        <v>1</v>
      </c>
      <c r="D9923" s="1" t="str">
        <f>"08258"</f>
        <v>08258</v>
      </c>
      <c r="E9923" s="1" t="s">
        <v>679</v>
      </c>
      <c r="F9923" s="1">
        <v>14</v>
      </c>
      <c r="G9923" s="1">
        <v>8</v>
      </c>
      <c r="H9923" s="1">
        <v>2</v>
      </c>
      <c r="I9923" s="1" t="s">
        <v>19505</v>
      </c>
      <c r="K9923" s="1" t="str">
        <f t="shared" si="617"/>
        <v>ㄔ</v>
      </c>
      <c r="L9923" s="1" t="str">
        <f t="shared" si="616"/>
        <v>ㄚ</v>
      </c>
      <c r="N9923" s="3" t="s">
        <v>30574</v>
      </c>
      <c r="O9923" s="3"/>
      <c r="P9923" s="1" t="s">
        <v>110</v>
      </c>
      <c r="R9923" s="1" t="s">
        <v>19506</v>
      </c>
      <c r="V9923" s="1" t="s">
        <v>111</v>
      </c>
      <c r="W9923" s="1" t="s">
        <v>19524</v>
      </c>
      <c r="AR9923" s="1" t="str">
        <f t="shared" ref="AR9923:AR9986" si="618">"| ["&amp;I9923&amp;"]("&amp;I9923&amp;".md) | ["&amp;A9923&amp;"]("&amp;A9923&amp;".md) | "&amp;" | "&amp;R9923&amp;" | "&amp;V9923&amp;" |"</f>
        <v>| [ㄔㄚˋ](ㄔㄚˋ.md) | [蜡](蜡.md) |  | chà | (一)之又音。 |</v>
      </c>
    </row>
    <row r="9924" spans="1:44" hidden="1">
      <c r="A9924" s="1" t="s">
        <v>19444</v>
      </c>
      <c r="C9924" s="1">
        <v>1</v>
      </c>
      <c r="D9924" s="1" t="str">
        <f>"08234"</f>
        <v>08234</v>
      </c>
      <c r="E9924" s="1" t="s">
        <v>1880</v>
      </c>
      <c r="F9924" s="1">
        <v>3</v>
      </c>
      <c r="G9924" s="1">
        <v>1</v>
      </c>
      <c r="H9924" s="1">
        <v>2</v>
      </c>
      <c r="I9924" s="1" t="s">
        <v>19467</v>
      </c>
      <c r="K9924" s="1" t="str">
        <f t="shared" si="617"/>
        <v>ㄔ</v>
      </c>
      <c r="L9924" s="1" t="str">
        <f t="shared" si="616"/>
        <v>ㄚ</v>
      </c>
      <c r="N9924" s="3" t="s">
        <v>30575</v>
      </c>
      <c r="O9924" s="3"/>
      <c r="P9924" s="1" t="s">
        <v>20</v>
      </c>
      <c r="R9924" s="1" t="s">
        <v>19468</v>
      </c>
      <c r="V9924" s="1" t="s">
        <v>19469</v>
      </c>
      <c r="W9924" s="1" t="s">
        <v>19470</v>
      </c>
      <c r="AR9924" s="1" t="str">
        <f t="shared" si="618"/>
        <v>| [ㄔㄚˊ](ㄔㄚˊ.md) | [叉](叉.md) |  | chá | [動]
阻塞、堵塞。如：「一塊骨頭叉在喉嚨裡。」《兒女英雄傳》第七回：「待要出門，那大師傅就叉著門，不叫我們走。」 |</v>
      </c>
    </row>
    <row r="9925" spans="1:44" hidden="1">
      <c r="A9925" s="1" t="s">
        <v>19471</v>
      </c>
      <c r="C9925" s="1">
        <v>1</v>
      </c>
      <c r="D9925" s="1" t="str">
        <f>"08235"</f>
        <v>08235</v>
      </c>
      <c r="E9925" s="1" t="s">
        <v>190</v>
      </c>
      <c r="F9925" s="1">
        <v>7</v>
      </c>
      <c r="G9925" s="1">
        <v>4</v>
      </c>
      <c r="H9925" s="1">
        <v>2</v>
      </c>
      <c r="I9925" s="1" t="s">
        <v>19467</v>
      </c>
      <c r="K9925" s="1" t="str">
        <f t="shared" si="617"/>
        <v>ㄔ</v>
      </c>
      <c r="L9925" s="1" t="str">
        <f t="shared" si="616"/>
        <v>ㄚ</v>
      </c>
      <c r="N9925" s="3" t="s">
        <v>30575</v>
      </c>
      <c r="O9925" s="3"/>
      <c r="P9925" s="1" t="s">
        <v>20</v>
      </c>
      <c r="R9925" s="1" t="s">
        <v>19468</v>
      </c>
      <c r="V9925" s="1" t="s">
        <v>19472</v>
      </c>
      <c r="W9925" s="1" t="s">
        <v>19473</v>
      </c>
      <c r="AR9925" s="1" t="str">
        <f t="shared" si="618"/>
        <v>| [ㄔㄚˊ](ㄔㄚˊ.md) | [岔](岔.md) |  | chá | 同「碴」。 |</v>
      </c>
    </row>
    <row r="9926" spans="1:44" hidden="1">
      <c r="A9926" s="1" t="s">
        <v>19474</v>
      </c>
      <c r="C9926" s="1">
        <v>1</v>
      </c>
      <c r="D9926" s="1" t="str">
        <f>"08236"</f>
        <v>08236</v>
      </c>
      <c r="E9926" s="1" t="s">
        <v>132</v>
      </c>
      <c r="F9926" s="1">
        <v>9</v>
      </c>
      <c r="G9926" s="1">
        <v>6</v>
      </c>
      <c r="H9926" s="1">
        <v>0</v>
      </c>
      <c r="I9926" s="1" t="s">
        <v>19467</v>
      </c>
      <c r="K9926" s="1" t="str">
        <f t="shared" si="617"/>
        <v>ㄔ</v>
      </c>
      <c r="L9926" s="1" t="str">
        <f t="shared" si="616"/>
        <v>ㄚ</v>
      </c>
      <c r="N9926" s="3" t="s">
        <v>30575</v>
      </c>
      <c r="O9926" s="3"/>
      <c r="P9926" s="1" t="s">
        <v>20</v>
      </c>
      <c r="R9926" s="1" t="s">
        <v>19468</v>
      </c>
      <c r="V9926" s="1" t="s">
        <v>19475</v>
      </c>
      <c r="AR9926" s="1" t="str">
        <f t="shared" si="618"/>
        <v>| [ㄔㄚˊ](ㄔㄚˊ.md) | [垞](垞.md) |  | chá | [名]
1.小土丘。唐．王維〈北垞〉詩：「北垞湖水北，雜樹映朱闌。」宋．楊萬里〈過花橋〉詩：「北垞通南埭，前花映後花。」
2.國名。古嵩國，故城約在今大陸地區江蘇省銅山縣北，城西南有嵩侯廟。 |</v>
      </c>
    </row>
    <row r="9927" spans="1:44" hidden="1">
      <c r="A9927" s="1" t="s">
        <v>17991</v>
      </c>
      <c r="C9927" s="1">
        <v>1</v>
      </c>
      <c r="D9927" s="1" t="str">
        <f>"08237"</f>
        <v>08237</v>
      </c>
      <c r="E9927" s="1" t="s">
        <v>139</v>
      </c>
      <c r="F9927" s="1">
        <v>9</v>
      </c>
      <c r="G9927" s="1">
        <v>5</v>
      </c>
      <c r="H9927" s="1">
        <v>1</v>
      </c>
      <c r="I9927" s="1" t="s">
        <v>19467</v>
      </c>
      <c r="K9927" s="1" t="str">
        <f t="shared" si="617"/>
        <v>ㄔ</v>
      </c>
      <c r="L9927" s="1" t="str">
        <f t="shared" si="616"/>
        <v>ㄚ</v>
      </c>
      <c r="N9927" s="3" t="s">
        <v>30575</v>
      </c>
      <c r="O9927" s="3"/>
      <c r="P9927" s="1" t="s">
        <v>20</v>
      </c>
      <c r="R9927" s="1" t="s">
        <v>19468</v>
      </c>
      <c r="V9927" s="1" t="s">
        <v>19476</v>
      </c>
      <c r="W9927" s="1" t="s">
        <v>19477</v>
      </c>
      <c r="AR9927" s="1" t="str">
        <f t="shared" si="618"/>
        <v>| [ㄔㄚˊ](ㄔㄚˊ.md) | [查](查.md) |  | chá | [動]
1.考察、檢查。如：「調查」、「審查」、「查訪」。《紅樓夢》第七四回：「所以大家都查一查去疑兒。」
2.翻閱、檢尋。如：「查字典」、「查地圖」。
[名]
大筏，水中的浮木。通「槎」。晉．王嘉《拾遺記》卷一：「堯登位三十年，有巨查浮於西海，查上有光，夜明晝滅。」 |</v>
      </c>
    </row>
    <row r="9928" spans="1:44" hidden="1">
      <c r="A9928" s="1" t="s">
        <v>18000</v>
      </c>
      <c r="C9928" s="1">
        <v>1</v>
      </c>
      <c r="D9928" s="1" t="str">
        <f>"08238"</f>
        <v>08238</v>
      </c>
      <c r="E9928" s="1" t="s">
        <v>139</v>
      </c>
      <c r="F9928" s="1">
        <v>13</v>
      </c>
      <c r="G9928" s="1">
        <v>9</v>
      </c>
      <c r="H9928" s="1">
        <v>1</v>
      </c>
      <c r="I9928" s="1" t="s">
        <v>19467</v>
      </c>
      <c r="K9928" s="1" t="str">
        <f t="shared" si="617"/>
        <v>ㄔ</v>
      </c>
      <c r="L9928" s="1" t="str">
        <f t="shared" si="616"/>
        <v>ㄚ</v>
      </c>
      <c r="N9928" s="3" t="s">
        <v>30575</v>
      </c>
      <c r="O9928" s="3"/>
      <c r="P9928" s="1" t="s">
        <v>20</v>
      </c>
      <c r="R9928" s="1" t="s">
        <v>19468</v>
      </c>
      <c r="V9928" s="1" t="s">
        <v>19478</v>
      </c>
      <c r="W9928" s="1" t="s">
        <v>19479</v>
      </c>
      <c r="AR9928" s="1" t="str">
        <f t="shared" si="618"/>
        <v>| [ㄔㄚˊ](ㄔㄚˊ.md) | [楂](楂.md) |  | chá | [名]
1.木筏。《集韻．平聲．麻韻》：「楂，水中浮木。」唐．貫休〈寄李道士〉詩：「長嘯仙鐘外，眠楂海月邊。」
2.砍伐後所留的樹樁。元．司農司《農桑輯要．卷三．接廢樹》：「掘去中間正根，將周圍根楂，細鋸子截成砧盤。」 |</v>
      </c>
    </row>
    <row r="9929" spans="1:44" hidden="1">
      <c r="A9929" s="1" t="s">
        <v>19480</v>
      </c>
      <c r="C9929" s="1">
        <v>1</v>
      </c>
      <c r="D9929" s="1" t="str">
        <f>"08239"</f>
        <v>08239</v>
      </c>
      <c r="E9929" s="1" t="s">
        <v>169</v>
      </c>
      <c r="F9929" s="1">
        <v>14</v>
      </c>
      <c r="G9929" s="1">
        <v>9</v>
      </c>
      <c r="H9929" s="1">
        <v>0</v>
      </c>
      <c r="I9929" s="1" t="s">
        <v>19467</v>
      </c>
      <c r="K9929" s="1" t="str">
        <f t="shared" si="617"/>
        <v>ㄔ</v>
      </c>
      <c r="L9929" s="1" t="str">
        <f t="shared" si="616"/>
        <v>ㄚ</v>
      </c>
      <c r="N9929" s="3" t="s">
        <v>30575</v>
      </c>
      <c r="O9929" s="3"/>
      <c r="P9929" s="1" t="s">
        <v>20</v>
      </c>
      <c r="R9929" s="1" t="s">
        <v>19468</v>
      </c>
      <c r="V9929" s="1" t="s">
        <v>19481</v>
      </c>
      <c r="AR9929" s="1" t="str">
        <f t="shared" si="618"/>
        <v>| [ㄔㄚˊ](ㄔㄚˊ.md) | [碴](碴.md) |  | chá | [名]
1.碎屑、物體破裂成小碎塊。如：「冰碴」、「玻璃碴」。
2.器物上的破口。如：「碴口」、「斷碴兒」、「杯子上有個新碴。」
3.嫌隙、芥蒂，指引起爭執的原由。如：「你怎麼故意找碴。」
4.剃後殘餘或復生的短毛髮。如：「絡腮鬍子碴」。
[動]
皮肉被碎片劃破或割傷。如：「被碎玻璃碴了手。」 |</v>
      </c>
    </row>
    <row r="9930" spans="1:44" hidden="1">
      <c r="A9930" s="1" t="s">
        <v>19482</v>
      </c>
      <c r="C9930" s="1">
        <v>1</v>
      </c>
      <c r="D9930" s="1" t="str">
        <f>"08240"</f>
        <v>08240</v>
      </c>
      <c r="E9930" s="1" t="s">
        <v>37</v>
      </c>
      <c r="F9930" s="1">
        <v>10</v>
      </c>
      <c r="G9930" s="1">
        <v>6</v>
      </c>
      <c r="H9930" s="1">
        <v>0</v>
      </c>
      <c r="I9930" s="1" t="s">
        <v>19467</v>
      </c>
      <c r="K9930" s="1" t="str">
        <f t="shared" si="617"/>
        <v>ㄔ</v>
      </c>
      <c r="L9930" s="1" t="str">
        <f t="shared" ref="L9930:L9993" si="619">MID(I9930, 2, 1)</f>
        <v>ㄚ</v>
      </c>
      <c r="N9930" s="3" t="s">
        <v>30575</v>
      </c>
      <c r="O9930" s="3"/>
      <c r="P9930" s="1" t="s">
        <v>20</v>
      </c>
      <c r="R9930" s="1" t="s">
        <v>19468</v>
      </c>
      <c r="V9930" s="1" t="s">
        <v>19483</v>
      </c>
      <c r="AR9930" s="1" t="str">
        <f t="shared" si="618"/>
        <v>| [ㄔㄚˊ](ㄔㄚˊ.md) | [茶](茶.md) |  | chá | [名]
1.植物名。山茶科茶屬，「茶樹」之古稱。參見「茶樹」條。
2.用茶葉沏成或煮成的飲料。如：「飲茶」、「品茶」。《京本通俗小說．馮玉梅團圓》：「婦人口渴，徐信引到一個茶肆中喫茶。」
3.泛稱某種飲料。如：「苦茶」、「冬瓜茶」、「杏仁茶」。 |</v>
      </c>
    </row>
    <row r="9931" spans="1:44" hidden="1">
      <c r="A9931" s="1" t="s">
        <v>19484</v>
      </c>
      <c r="C9931" s="1">
        <v>1</v>
      </c>
      <c r="D9931" s="1" t="str">
        <f>"08241"</f>
        <v>08241</v>
      </c>
      <c r="E9931" s="1" t="s">
        <v>24</v>
      </c>
      <c r="F9931" s="1">
        <v>13</v>
      </c>
      <c r="G9931" s="1">
        <v>10</v>
      </c>
      <c r="H9931" s="1">
        <v>1</v>
      </c>
      <c r="I9931" s="1" t="s">
        <v>19467</v>
      </c>
      <c r="K9931" s="1" t="str">
        <f t="shared" si="617"/>
        <v>ㄔ</v>
      </c>
      <c r="L9931" s="1" t="str">
        <f t="shared" si="619"/>
        <v>ㄚ</v>
      </c>
      <c r="N9931" s="3" t="s">
        <v>30575</v>
      </c>
      <c r="O9931" s="3"/>
      <c r="P9931" s="1" t="s">
        <v>20</v>
      </c>
      <c r="R9931" s="1" t="s">
        <v>19468</v>
      </c>
      <c r="V9931" s="1" t="s">
        <v>19485</v>
      </c>
      <c r="W9931" s="1" t="s">
        <v>19486</v>
      </c>
      <c r="AR9931" s="1" t="str">
        <f t="shared" si="618"/>
        <v>| [ㄔㄚˊ](ㄔㄚˊ.md) | [搽](搽.md) |  | chá | [動]
敷、塗抹。如：「搽藥」。《儒林外史》第二四回：「這和尚積年剃了光頭，把鹽搽在頭上，走到放牛所在。」 |</v>
      </c>
    </row>
    <row r="9932" spans="1:44" hidden="1">
      <c r="A9932" s="1" t="s">
        <v>19487</v>
      </c>
      <c r="C9932" s="1">
        <v>1</v>
      </c>
      <c r="D9932" s="1" t="str">
        <f>"08242"</f>
        <v>08242</v>
      </c>
      <c r="E9932" s="1" t="s">
        <v>624</v>
      </c>
      <c r="F9932" s="1">
        <v>14</v>
      </c>
      <c r="G9932" s="1">
        <v>11</v>
      </c>
      <c r="H9932" s="1">
        <v>0</v>
      </c>
      <c r="I9932" s="1" t="s">
        <v>19467</v>
      </c>
      <c r="K9932" s="1" t="str">
        <f t="shared" si="617"/>
        <v>ㄔ</v>
      </c>
      <c r="L9932" s="1" t="str">
        <f t="shared" si="619"/>
        <v>ㄚ</v>
      </c>
      <c r="N9932" s="3" t="s">
        <v>30575</v>
      </c>
      <c r="O9932" s="3"/>
      <c r="P9932" s="1" t="s">
        <v>20</v>
      </c>
      <c r="R9932" s="1" t="s">
        <v>19468</v>
      </c>
      <c r="V9932" s="1" t="s">
        <v>19488</v>
      </c>
      <c r="AR9932" s="1" t="str">
        <f t="shared" si="618"/>
        <v>| [ㄔㄚˊ](ㄔㄚˊ.md) | [察](察.md) |  | chá | [動]_x000D_
1.仔細考核、調查。如：「審察」、「考察」。《孟子．梁惠王下》：「國人皆曰賢，然後察之。」《新唐書．卷四八．百官志三》：「監察御史十五人，正八品下，掌分察百寮。」_x000D_
2.仔細觀看。《易經．繫辭上》：「仰以觀於天文，俯以察於地理。」三國魏．曹植〈洛神賦〉：「遠而望之，皎若太陽升朝霞；迫而察之，灼若芙蕖出淥波。」_x000D_
3.明辨、了解。如：「覺察」。漢．陸賈《新語．道基》：「嘗百草之實，察酸苦之味。」_x000D_
4.考察後而保舉。如：「察舉」。晉．李密〈陳情表〉：「前太守臣逵，察臣孝廉。」_x000D_
[形]_x000D_
清晰、明顯。《墨子．脩身》：「辯是非不察者，不足與游。」漢．劉向《說苑．卷一六．談叢》：「石稱丈量，徑而寡失；簡絲數米，煩而不察。」_x000D_
[名]_x000D_
姓。如明代有察文質。 |</v>
      </c>
    </row>
    <row r="9933" spans="1:44" hidden="1">
      <c r="A9933" s="1" t="s">
        <v>19489</v>
      </c>
      <c r="C9933" s="1">
        <v>1</v>
      </c>
      <c r="D9933" s="1" t="str">
        <f>"08243"</f>
        <v>08243</v>
      </c>
      <c r="E9933" s="1" t="s">
        <v>139</v>
      </c>
      <c r="F9933" s="1">
        <v>14</v>
      </c>
      <c r="G9933" s="1">
        <v>10</v>
      </c>
      <c r="H9933" s="1">
        <v>0</v>
      </c>
      <c r="I9933" s="1" t="s">
        <v>19467</v>
      </c>
      <c r="K9933" s="1" t="str">
        <f t="shared" si="617"/>
        <v>ㄔ</v>
      </c>
      <c r="L9933" s="1" t="str">
        <f t="shared" si="619"/>
        <v>ㄚ</v>
      </c>
      <c r="N9933" s="3" t="s">
        <v>30575</v>
      </c>
      <c r="O9933" s="3"/>
      <c r="P9933" s="1" t="s">
        <v>20</v>
      </c>
      <c r="R9933" s="1" t="s">
        <v>19468</v>
      </c>
      <c r="V9933" s="1" t="s">
        <v>19490</v>
      </c>
      <c r="AR9933" s="1" t="str">
        <f t="shared" si="618"/>
        <v>| [ㄔㄚˊ](ㄔㄚˊ.md) | [槎](槎.md) |  | chá | [名]
1.木筏。同「桴」。如：「浮槎」。唐．孟浩然〈歲暮海上作〉詩：「為問乘槎人，滄洲復誰在。」
2.樹枝。唐．盧照鄰〈行路難〉：「君不見長安城北渭橋邊，枯木橫槎臥古田。」
[動]
砍、削。《後漢書．卷六〇上．馬融傳》：「冒𣝓柘，槎棘枳。」 |</v>
      </c>
    </row>
    <row r="9934" spans="1:44" hidden="1">
      <c r="A9934" s="1" t="s">
        <v>19491</v>
      </c>
      <c r="C9934" s="1">
        <v>1</v>
      </c>
      <c r="D9934" s="1" t="str">
        <f>"08244"</f>
        <v>08244</v>
      </c>
      <c r="E9934" s="1" t="s">
        <v>55</v>
      </c>
      <c r="F9934" s="1">
        <v>17</v>
      </c>
      <c r="G9934" s="1">
        <v>9</v>
      </c>
      <c r="H9934" s="1">
        <v>0</v>
      </c>
      <c r="I9934" s="1" t="s">
        <v>19467</v>
      </c>
      <c r="K9934" s="1" t="str">
        <f t="shared" si="617"/>
        <v>ㄔ</v>
      </c>
      <c r="L9934" s="1" t="str">
        <f t="shared" si="619"/>
        <v>ㄚ</v>
      </c>
      <c r="N9934" s="3" t="s">
        <v>30575</v>
      </c>
      <c r="O9934" s="3"/>
      <c r="P9934" s="1" t="s">
        <v>20</v>
      </c>
      <c r="R9934" s="1" t="s">
        <v>19468</v>
      </c>
      <c r="V9934" s="1" t="s">
        <v>19492</v>
      </c>
      <c r="AR9934" s="1" t="str">
        <f t="shared" si="618"/>
        <v>| [ㄔㄚˊ](ㄔㄚˊ.md) | [鍤](鍤.md) |  | chá | [名]
1.縫衣用的長針。《說文解字．金部》：「郭衣鍼也。」清．段玉裁．注：「郭衣皆謂恢廓張衣於版，以鍼密韱其週使伸直，今之治裘者，正如此是曰郭衣，其鍼曰鍤。」
2.即鍬。挖土的工具。如：「利鍤」。漢．劉熙《釋名．釋用器》：「鍤，插也。插地起土也。」《漢書．卷九九．王莽傳上》：「父子兄弟負籠荷鍤。」 |</v>
      </c>
    </row>
    <row r="9935" spans="1:44" hidden="1">
      <c r="A9935" s="1" t="s">
        <v>19444</v>
      </c>
      <c r="C9935" s="1">
        <v>1</v>
      </c>
      <c r="D9935" s="1" t="str">
        <f>"08245"</f>
        <v>08245</v>
      </c>
      <c r="E9935" s="1" t="s">
        <v>1880</v>
      </c>
      <c r="F9935" s="1">
        <v>3</v>
      </c>
      <c r="G9935" s="1">
        <v>1</v>
      </c>
      <c r="H9935" s="1">
        <v>3</v>
      </c>
      <c r="I9935" s="1" t="s">
        <v>19493</v>
      </c>
      <c r="K9935" s="1" t="str">
        <f t="shared" si="617"/>
        <v>ㄔ</v>
      </c>
      <c r="L9935" s="1" t="str">
        <f t="shared" si="619"/>
        <v>ㄚ</v>
      </c>
      <c r="N9935" s="3" t="s">
        <v>30576</v>
      </c>
      <c r="O9935" s="3"/>
      <c r="P9935" s="1" t="s">
        <v>20</v>
      </c>
      <c r="R9935" s="1" t="s">
        <v>19494</v>
      </c>
      <c r="V9935" s="1" t="s">
        <v>19495</v>
      </c>
      <c r="W9935" s="1" t="s">
        <v>19496</v>
      </c>
      <c r="AR9935" s="1" t="str">
        <f t="shared" si="618"/>
        <v>| [ㄔㄚˇ](ㄔㄚˇ.md) | [叉](叉.md) |  | chǎ | [動]
分開、張開。如：「叉著雙腿」。《水滸傳》第二一回：「這婆子乘著酒興，叉開五指，去那唐牛兒臉上連打兩掌。」 |</v>
      </c>
    </row>
    <row r="9936" spans="1:44" hidden="1">
      <c r="A9936" s="1" t="s">
        <v>19497</v>
      </c>
      <c r="C9936" s="1">
        <v>1</v>
      </c>
      <c r="D9936" s="1" t="str">
        <f>"08246"</f>
        <v>08246</v>
      </c>
      <c r="E9936" s="1" t="s">
        <v>340</v>
      </c>
      <c r="F9936" s="1">
        <v>9</v>
      </c>
      <c r="G9936" s="1">
        <v>3</v>
      </c>
      <c r="H9936" s="1">
        <v>2</v>
      </c>
      <c r="I9936" s="1" t="s">
        <v>19493</v>
      </c>
      <c r="K9936" s="1" t="str">
        <f t="shared" si="617"/>
        <v>ㄔ</v>
      </c>
      <c r="L9936" s="1" t="str">
        <f t="shared" si="619"/>
        <v>ㄚ</v>
      </c>
      <c r="N9936" s="3" t="s">
        <v>30576</v>
      </c>
      <c r="O9936" s="3"/>
      <c r="P9936" s="1" t="s">
        <v>20</v>
      </c>
      <c r="R9936" s="1" t="s">
        <v>19494</v>
      </c>
      <c r="V9936" s="1" t="s">
        <v>19498</v>
      </c>
      <c r="W9936" s="1" t="s">
        <v>19499</v>
      </c>
      <c r="AR9936" s="1" t="str">
        <f t="shared" si="618"/>
        <v>| [ㄔㄚˇ](ㄔㄚˇ.md) | [衩](衩.md) |  | chǎ | [名]
貼身短褲。如：「三角褲衩」。 |</v>
      </c>
    </row>
    <row r="9937" spans="1:44" hidden="1">
      <c r="A9937" s="1" t="s">
        <v>19500</v>
      </c>
      <c r="C9937" s="1">
        <v>1</v>
      </c>
      <c r="D9937" s="1" t="str">
        <f>"08247"</f>
        <v>08247</v>
      </c>
      <c r="E9937" s="1" t="s">
        <v>77</v>
      </c>
      <c r="F9937" s="1">
        <v>16</v>
      </c>
      <c r="G9937" s="1">
        <v>9</v>
      </c>
      <c r="H9937" s="1">
        <v>0</v>
      </c>
      <c r="I9937" s="1" t="s">
        <v>19493</v>
      </c>
      <c r="K9937" s="1" t="str">
        <f t="shared" si="617"/>
        <v>ㄔ</v>
      </c>
      <c r="L9937" s="1" t="str">
        <f t="shared" si="619"/>
        <v>ㄚ</v>
      </c>
      <c r="N9937" s="3" t="s">
        <v>30576</v>
      </c>
      <c r="O9937" s="3"/>
      <c r="P9937" s="1" t="s">
        <v>20</v>
      </c>
      <c r="R9937" s="1" t="s">
        <v>19494</v>
      </c>
      <c r="V9937" s="1" t="s">
        <v>19501</v>
      </c>
      <c r="AR9937" s="1" t="str">
        <f t="shared" si="618"/>
        <v>| [ㄔㄚˇ](ㄔㄚˇ.md) | [蹅](蹅.md) |  | chǎ | [動]
1.踩、踏。《西遊記》第九八回：「維河架海還容易，獨木單梁人怎蹅？」
2.北平方言。指參與、加入。如：「這事你不要蹅在裡頭。」 |</v>
      </c>
    </row>
    <row r="9938" spans="1:44" hidden="1">
      <c r="A9938" s="1" t="s">
        <v>19502</v>
      </c>
      <c r="C9938" s="1">
        <v>1</v>
      </c>
      <c r="D9938" s="1" t="str">
        <f>"08248"</f>
        <v>08248</v>
      </c>
      <c r="E9938" s="1" t="s">
        <v>55</v>
      </c>
      <c r="F9938" s="1">
        <v>22</v>
      </c>
      <c r="G9938" s="1">
        <v>14</v>
      </c>
      <c r="H9938" s="1">
        <v>0</v>
      </c>
      <c r="I9938" s="1" t="s">
        <v>19493</v>
      </c>
      <c r="K9938" s="1" t="str">
        <f t="shared" si="617"/>
        <v>ㄔ</v>
      </c>
      <c r="L9938" s="1" t="str">
        <f t="shared" si="619"/>
        <v>ㄚ</v>
      </c>
      <c r="N9938" s="3" t="s">
        <v>30576</v>
      </c>
      <c r="O9938" s="3"/>
      <c r="P9938" s="1" t="s">
        <v>20</v>
      </c>
      <c r="R9938" s="1" t="s">
        <v>19494</v>
      </c>
      <c r="V9938" s="1" t="s">
        <v>19503</v>
      </c>
      <c r="AR9938" s="1" t="str">
        <f t="shared" si="618"/>
        <v>| [ㄔㄚˇ](ㄔㄚˇ.md) | [鑔](鑔.md) |  | chǎ | [名]
樂器名。一種打擊樂器，似鈸，但較小。以銅製成，圓形，由兩片相互敲擊發聲。 |</v>
      </c>
    </row>
    <row r="9939" spans="1:44" hidden="1">
      <c r="A9939" s="1" t="s">
        <v>19543</v>
      </c>
      <c r="C9939" s="1">
        <v>1</v>
      </c>
      <c r="D9939" s="1" t="str">
        <f>"08267"</f>
        <v>08267</v>
      </c>
      <c r="E9939" s="1" t="s">
        <v>6996</v>
      </c>
      <c r="F9939" s="1">
        <v>3</v>
      </c>
      <c r="G9939" s="1">
        <v>0</v>
      </c>
      <c r="H9939" s="1">
        <v>0</v>
      </c>
      <c r="I9939" s="1" t="s">
        <v>19544</v>
      </c>
      <c r="K9939" s="1" t="str">
        <f t="shared" si="617"/>
        <v>ㄔ</v>
      </c>
      <c r="L9939" s="1" t="str">
        <f t="shared" si="619"/>
        <v>ㄜ</v>
      </c>
      <c r="N9939" s="3" t="s">
        <v>30574</v>
      </c>
      <c r="O9939" s="3"/>
      <c r="P9939" s="1" t="s">
        <v>20</v>
      </c>
      <c r="R9939" s="1" t="s">
        <v>19545</v>
      </c>
      <c r="V9939" s="1" t="s">
        <v>19546</v>
      </c>
      <c r="AR9939" s="1" t="str">
        <f t="shared" si="618"/>
        <v>| [ㄔㄜˋ](ㄔㄜˋ.md) | [屮](屮.md) |  | chè | [名]
1.初生的草木。《說文解字．屮部》：「屮，草木初生也。」《漢書．卷五十四．蘇武傳》：「武既至海上，廩食不至，掘野鼠，去屮實而食之。」
2.二一四部首之一。 |</v>
      </c>
    </row>
    <row r="9940" spans="1:44" hidden="1">
      <c r="A9940" s="1" t="s">
        <v>19547</v>
      </c>
      <c r="C9940" s="1">
        <v>1</v>
      </c>
      <c r="D9940" s="1" t="str">
        <f>"08268"</f>
        <v>08268</v>
      </c>
      <c r="E9940" s="1" t="s">
        <v>132</v>
      </c>
      <c r="F9940" s="1">
        <v>8</v>
      </c>
      <c r="G9940" s="1">
        <v>5</v>
      </c>
      <c r="H9940" s="1">
        <v>0</v>
      </c>
      <c r="I9940" s="1" t="s">
        <v>19544</v>
      </c>
      <c r="K9940" s="1" t="str">
        <f t="shared" si="617"/>
        <v>ㄔ</v>
      </c>
      <c r="L9940" s="1" t="str">
        <f t="shared" si="619"/>
        <v>ㄜ</v>
      </c>
      <c r="N9940" s="3" t="s">
        <v>30574</v>
      </c>
      <c r="O9940" s="3"/>
      <c r="P9940" s="1" t="s">
        <v>20</v>
      </c>
      <c r="R9940" s="1" t="s">
        <v>19545</v>
      </c>
      <c r="V9940" s="1" t="s">
        <v>19548</v>
      </c>
      <c r="AR9940" s="1" t="str">
        <f t="shared" si="618"/>
        <v>| [ㄔㄜˋ](ㄔㄜˋ.md) | [坼](坼.md) |  | chè | [動]
1.裂開。如：「天崩地坼」。唐．杜甫〈登岳陽樓〉詩：「吳楚東南坼，乾坤日夜浮。」
2.花朵開放。《聊齋志異．卷一一．香玉》：「方流連間，花搖搖欲坼。」
3.分開。唐．白居易〈續古〉詩一〇首之一：「誰家無夫婦，何人不離坼？」
4.毀壞。唐．杜甫〈自京赴奉先縣詠懷五百字〉詩：「河梁幸未坼，枝撐聲窸窣。」 |</v>
      </c>
    </row>
    <row r="9941" spans="1:44" hidden="1">
      <c r="A9941" s="1" t="s">
        <v>19549</v>
      </c>
      <c r="C9941" s="1">
        <v>1</v>
      </c>
      <c r="D9941" s="1" t="str">
        <f>"08269"</f>
        <v>08269</v>
      </c>
      <c r="E9941" s="1" t="s">
        <v>24</v>
      </c>
      <c r="F9941" s="1">
        <v>8</v>
      </c>
      <c r="G9941" s="1">
        <v>5</v>
      </c>
      <c r="H9941" s="1">
        <v>2</v>
      </c>
      <c r="I9941" s="1" t="s">
        <v>19544</v>
      </c>
      <c r="K9941" s="1" t="str">
        <f t="shared" si="617"/>
        <v>ㄔ</v>
      </c>
      <c r="L9941" s="1" t="str">
        <f t="shared" si="619"/>
        <v>ㄜ</v>
      </c>
      <c r="N9941" s="3" t="s">
        <v>30574</v>
      </c>
      <c r="O9941" s="3"/>
      <c r="P9941" s="1" t="s">
        <v>186</v>
      </c>
      <c r="R9941" s="1" t="s">
        <v>19545</v>
      </c>
      <c r="V9941" s="1" t="s">
        <v>206</v>
      </c>
      <c r="W9941" s="1" t="s">
        <v>19550</v>
      </c>
      <c r="AR9941" s="1" t="str">
        <f t="shared" si="618"/>
        <v>| [ㄔㄜˋ](ㄔㄜˋ.md) | [拆](拆.md) |  | chè | (一)之讀音。 |</v>
      </c>
    </row>
    <row r="9942" spans="1:44" hidden="1">
      <c r="A9942" s="1" t="s">
        <v>19551</v>
      </c>
      <c r="C9942" s="1">
        <v>1</v>
      </c>
      <c r="D9942" s="1" t="str">
        <f>"08270"</f>
        <v>08270</v>
      </c>
      <c r="E9942" s="1" t="s">
        <v>28</v>
      </c>
      <c r="F9942" s="1">
        <v>8</v>
      </c>
      <c r="G9942" s="1">
        <v>5</v>
      </c>
      <c r="H9942" s="1">
        <v>0</v>
      </c>
      <c r="I9942" s="1" t="s">
        <v>19544</v>
      </c>
      <c r="K9942" s="1" t="str">
        <f t="shared" si="617"/>
        <v>ㄔ</v>
      </c>
      <c r="L9942" s="1" t="str">
        <f t="shared" si="619"/>
        <v>ㄜ</v>
      </c>
      <c r="N9942" s="3" t="s">
        <v>30574</v>
      </c>
      <c r="O9942" s="3"/>
      <c r="P9942" s="1" t="s">
        <v>20</v>
      </c>
      <c r="R9942" s="1" t="s">
        <v>19545</v>
      </c>
      <c r="V9942" s="1" t="s">
        <v>19552</v>
      </c>
      <c r="AR9942" s="1" t="str">
        <f t="shared" si="618"/>
        <v>| [ㄔㄜˋ](ㄔㄜˋ.md) | [呫](呫.md) |  | chè | 參見「呫囁」、「呫呫」、「呫嚅」等條。 |</v>
      </c>
    </row>
    <row r="9943" spans="1:44" hidden="1">
      <c r="A9943" s="1" t="s">
        <v>19553</v>
      </c>
      <c r="C9943" s="1">
        <v>1</v>
      </c>
      <c r="D9943" s="1" t="str">
        <f>"08271"</f>
        <v>08271</v>
      </c>
      <c r="E9943" s="1" t="s">
        <v>24</v>
      </c>
      <c r="F9943" s="1">
        <v>12</v>
      </c>
      <c r="G9943" s="1">
        <v>8</v>
      </c>
      <c r="H9943" s="1">
        <v>0</v>
      </c>
      <c r="I9943" s="1" t="s">
        <v>19544</v>
      </c>
      <c r="K9943" s="1" t="str">
        <f t="shared" si="617"/>
        <v>ㄔ</v>
      </c>
      <c r="L9943" s="1" t="str">
        <f t="shared" si="619"/>
        <v>ㄜ</v>
      </c>
      <c r="N9943" s="3" t="s">
        <v>30574</v>
      </c>
      <c r="O9943" s="3"/>
      <c r="P9943" s="1" t="s">
        <v>20</v>
      </c>
      <c r="R9943" s="1" t="s">
        <v>19545</v>
      </c>
      <c r="V9943" s="1" t="s">
        <v>19554</v>
      </c>
      <c r="AR9943" s="1" t="str">
        <f t="shared" si="618"/>
        <v>| [ㄔㄜˋ](ㄔㄜˋ.md) | [掣](掣.md) |  | chè | [動]
1.牽引、牽動。《文選．潘岳．西征賦》：「掣三牽兩。」唐．岑參〈白雪歌送武判官歸京〉詩：「紛紛暮雪下轅門，風掣紅旗凍不翻。」
2.抽取。《晉書．卷八〇．王羲之傳》：「七八歲時學書，羲之密從後掣其筆不得。」《水滸傳》第五九回：「李俊、張順明晃晃掣出尖刀在手。」
3.疾速飛行。南朝梁．簡文帝〈金錞賦〉：「野曠塵昏，星流電掣。」 |</v>
      </c>
    </row>
    <row r="9944" spans="1:44" hidden="1">
      <c r="A9944" s="1" t="s">
        <v>19555</v>
      </c>
      <c r="C9944" s="1">
        <v>1</v>
      </c>
      <c r="D9944" s="1" t="str">
        <f>"08272"</f>
        <v>08272</v>
      </c>
      <c r="E9944" s="1" t="s">
        <v>129</v>
      </c>
      <c r="F9944" s="1">
        <v>14</v>
      </c>
      <c r="G9944" s="1">
        <v>11</v>
      </c>
      <c r="H9944" s="1">
        <v>0</v>
      </c>
      <c r="I9944" s="1" t="s">
        <v>19544</v>
      </c>
      <c r="K9944" s="1" t="str">
        <f t="shared" si="617"/>
        <v>ㄔ</v>
      </c>
      <c r="L9944" s="1" t="str">
        <f t="shared" si="619"/>
        <v>ㄜ</v>
      </c>
      <c r="N9944" s="3" t="s">
        <v>30574</v>
      </c>
      <c r="O9944" s="3"/>
      <c r="P9944" s="1" t="s">
        <v>20</v>
      </c>
      <c r="R9944" s="1" t="s">
        <v>19545</v>
      </c>
      <c r="V9944" s="1" t="s">
        <v>19556</v>
      </c>
      <c r="AR9944" s="1" t="str">
        <f t="shared" si="618"/>
        <v>| [ㄔㄜˋ](ㄔㄜˋ.md) | [澈](澈.md) |  | chè | [形]
水清。宋．蘇軾〈次韻答荊門張都官維見和惠泉〉詩：「泉源本無情，豈問濁與澈。」
[動]
1.穿透、貫通。通「徹」。唐．柳宗元〈至小邱西小石潭記〉：「日光下澈，影布石上，怡然不動。」
2.通曉、了悟。如：「洞澈」、「大澈大悟」。 |</v>
      </c>
    </row>
    <row r="9945" spans="1:44" hidden="1">
      <c r="A9945" s="1" t="s">
        <v>19557</v>
      </c>
      <c r="C9945" s="1">
        <v>1</v>
      </c>
      <c r="D9945" s="1" t="str">
        <f>"08273"</f>
        <v>08273</v>
      </c>
      <c r="E9945" s="1" t="s">
        <v>24</v>
      </c>
      <c r="F9945" s="1">
        <v>14</v>
      </c>
      <c r="G9945" s="1">
        <v>11</v>
      </c>
      <c r="H9945" s="1">
        <v>0</v>
      </c>
      <c r="I9945" s="1" t="s">
        <v>19544</v>
      </c>
      <c r="K9945" s="1" t="str">
        <f t="shared" si="617"/>
        <v>ㄔ</v>
      </c>
      <c r="L9945" s="1" t="str">
        <f t="shared" si="619"/>
        <v>ㄜ</v>
      </c>
      <c r="N9945" s="3" t="s">
        <v>30574</v>
      </c>
      <c r="O9945" s="3"/>
      <c r="P9945" s="1" t="s">
        <v>20</v>
      </c>
      <c r="R9945" s="1" t="s">
        <v>19545</v>
      </c>
      <c r="V9945" s="1" t="s">
        <v>19558</v>
      </c>
      <c r="AR9945" s="1" t="str">
        <f t="shared" si="618"/>
        <v>| [ㄔㄜˋ](ㄔㄜˋ.md) | [撤](撤.md) |  | chè | [動]
1.除去、免去。如：「撤職」、「撤官」。《紅樓夢》第一一回：「點的戲都唱完了，方纔撤下酒席，擺上飯來。」
2.抽回、退回。如：「撤退」。《三國志．卷五四．吳書．呂蒙傳》：「羽聞之，必撤備兵。」《西遊記》第三四回：「孫大聖撤身走過，得了寶貝。」
3.減輕。如：「放點醋撤撤湯裡的鹹味。」 |</v>
      </c>
    </row>
    <row r="9946" spans="1:44" hidden="1">
      <c r="A9946" s="1" t="s">
        <v>19559</v>
      </c>
      <c r="C9946" s="1">
        <v>1</v>
      </c>
      <c r="D9946" s="1" t="str">
        <f>"08274"</f>
        <v>08274</v>
      </c>
      <c r="E9946" s="1" t="s">
        <v>234</v>
      </c>
      <c r="F9946" s="1">
        <v>14</v>
      </c>
      <c r="G9946" s="1">
        <v>11</v>
      </c>
      <c r="H9946" s="1">
        <v>0</v>
      </c>
      <c r="I9946" s="1" t="s">
        <v>19544</v>
      </c>
      <c r="K9946" s="1" t="str">
        <f t="shared" si="617"/>
        <v>ㄔ</v>
      </c>
      <c r="L9946" s="1" t="str">
        <f t="shared" si="619"/>
        <v>ㄜ</v>
      </c>
      <c r="N9946" s="3" t="s">
        <v>30574</v>
      </c>
      <c r="O9946" s="3"/>
      <c r="P9946" s="1" t="s">
        <v>20</v>
      </c>
      <c r="R9946" s="1" t="s">
        <v>19545</v>
      </c>
      <c r="V9946" s="1" t="s">
        <v>19560</v>
      </c>
      <c r="AR9946" s="1" t="str">
        <f t="shared" si="618"/>
        <v>| [ㄔㄜˋ](ㄔㄜˋ.md) | [徹](徹.md) |  | chè | [動]
1.貫通、通透。如：「響徹雲霄」、「寒風徹骨」。《左傳．成公十六年》：「潘尪之黨與養由基蹲甲而射之，徹七札焉。」漢．王充《論衡．紀妖》：「音中宮商之聲，聲徹于天。」
2.去除。通「撤」。《左傳．宣公十二年》：「且雖諸侯相見，軍衛不徹，警也。」《淮南子．主術》：「史書其過，宰徹其膳。」
3.毀壞。《詩經．小雅．十月之交》：「徹我牆屋。」漢．鄭玄．箋：「徹毀我牆屋。」
4.剝取。《詩經．豳風．鴟鴞》：「徹彼桑土，綢繆牖戶。」漢．毛亨．傳：「徹，剝也。」
5.耕治。《詩經．大雅．公劉》：「度其隰原，徹田為糧。」
6.遵循。《詩經．小雅．十月之交》：「天命不徹，我不敢傚。」漢．毛亨．傳：「徹，道也。」漢．鄭玄．箋：「言王不循天之政教。」
7.畢盡、停歇。唐．杜甫〈茅屋為秋風所破歌〉：「自經喪亂少睡眠，長夜霑溼何由徹？」元．馬致遠〈夜行船．酒病花愁何日徹套．離亭宴煞〉：「蛩吟一覺才寧貼，雞鳴時萬事無休歇，何年是徹？」
[名]
1.周代的田賦制度。為十取一的稅法。《孟子．滕文公上》：「夏后氏五十而貢，殷人七十而助，周人百畝而徹，其實皆什一也。」漢．趙岐．注：「家耕百畝者徹，取十畝以為賦。」
2.姓。如元代有徹里。 |</v>
      </c>
    </row>
    <row r="9947" spans="1:44" hidden="1">
      <c r="A9947" s="1" t="s">
        <v>18154</v>
      </c>
      <c r="C9947" s="1">
        <v>1</v>
      </c>
      <c r="D9947" s="1" t="str">
        <f>"08275"</f>
        <v>08275</v>
      </c>
      <c r="E9947" s="1" t="s">
        <v>71</v>
      </c>
      <c r="F9947" s="1">
        <v>18</v>
      </c>
      <c r="G9947" s="1">
        <v>11</v>
      </c>
      <c r="H9947" s="1">
        <v>1</v>
      </c>
      <c r="I9947" s="1" t="s">
        <v>19544</v>
      </c>
      <c r="K9947" s="1" t="str">
        <f t="shared" si="617"/>
        <v>ㄔ</v>
      </c>
      <c r="L9947" s="1" t="str">
        <f t="shared" si="619"/>
        <v>ㄜ</v>
      </c>
      <c r="N9947" s="3" t="s">
        <v>30574</v>
      </c>
      <c r="O9947" s="3"/>
      <c r="P9947" s="1" t="s">
        <v>20</v>
      </c>
      <c r="R9947" s="1" t="s">
        <v>19545</v>
      </c>
      <c r="V9947" s="1" t="s">
        <v>19561</v>
      </c>
      <c r="W9947" s="1" t="s">
        <v>19562</v>
      </c>
      <c r="AR9947" s="1" t="str">
        <f t="shared" si="618"/>
        <v>| [ㄔㄜˋ](ㄔㄜˋ.md) | [轍](轍.md) |  | chè | [名]
1.車輪碾過所留下的痕跡。如：「車轍」。《左傳．莊公十年》：「吾視其轍亂，望其旗靡，故逐之。」
2.途徑、路數。如：「重蹈覆轍」、「如出一轍」。
3.法則、原則。晉．陶淵明〈詠貧士〉詩七首之一：「量力守故轍，豈不寒與饑。」 |</v>
      </c>
    </row>
    <row r="9948" spans="1:44" hidden="1">
      <c r="A9948" s="1" t="s">
        <v>19338</v>
      </c>
      <c r="C9948" s="1">
        <v>1</v>
      </c>
      <c r="D9948" s="1" t="str">
        <f>"08263"</f>
        <v>08263</v>
      </c>
      <c r="E9948" s="1" t="s">
        <v>871</v>
      </c>
      <c r="F9948" s="1">
        <v>4</v>
      </c>
      <c r="G9948" s="1">
        <v>1</v>
      </c>
      <c r="H9948" s="1">
        <v>3</v>
      </c>
      <c r="I9948" s="1" t="s">
        <v>19533</v>
      </c>
      <c r="K9948" s="1" t="str">
        <f t="shared" si="617"/>
        <v>ㄔ</v>
      </c>
      <c r="L9948" s="1" t="str">
        <f t="shared" si="619"/>
        <v>ㄜ</v>
      </c>
      <c r="N9948" s="3" t="s">
        <v>30576</v>
      </c>
      <c r="O9948" s="3"/>
      <c r="P9948" s="1" t="s">
        <v>20</v>
      </c>
      <c r="R9948" s="1" t="s">
        <v>19534</v>
      </c>
      <c r="V9948" s="1" t="s">
        <v>19535</v>
      </c>
      <c r="W9948" s="1" t="s">
        <v>19536</v>
      </c>
      <c r="AR9948" s="1" t="str">
        <f t="shared" si="618"/>
        <v>| [ㄔㄜˇ](ㄔㄜˇ.md) | [尺](尺.md) |  | chě | 參見「工尺」條。 |</v>
      </c>
    </row>
    <row r="9949" spans="1:44" hidden="1">
      <c r="A9949" s="1" t="s">
        <v>19537</v>
      </c>
      <c r="C9949" s="1">
        <v>1</v>
      </c>
      <c r="D9949" s="1" t="str">
        <f>"08264"</f>
        <v>08264</v>
      </c>
      <c r="E9949" s="1" t="s">
        <v>24</v>
      </c>
      <c r="F9949" s="1">
        <v>7</v>
      </c>
      <c r="G9949" s="1">
        <v>4</v>
      </c>
      <c r="H9949" s="1">
        <v>0</v>
      </c>
      <c r="I9949" s="1" t="s">
        <v>19533</v>
      </c>
      <c r="K9949" s="1" t="str">
        <f t="shared" si="617"/>
        <v>ㄔ</v>
      </c>
      <c r="L9949" s="1" t="str">
        <f t="shared" si="619"/>
        <v>ㄜ</v>
      </c>
      <c r="N9949" s="3" t="s">
        <v>30576</v>
      </c>
      <c r="O9949" s="3"/>
      <c r="P9949" s="1" t="s">
        <v>20</v>
      </c>
      <c r="R9949" s="1" t="s">
        <v>19534</v>
      </c>
      <c r="V9949" s="1" t="s">
        <v>19538</v>
      </c>
      <c r="AR9949" s="1" t="str">
        <f t="shared" si="618"/>
        <v>| [ㄔㄜˇ](ㄔㄜˇ.md) | [扯](扯.md) |  | chě | [動]
1.牽、拉。《水滸傳》第四回：「拖扯的不是別人，卻是渭州酒樓上救了的金老。」
2.撕裂。《水滸傳》第四七回：「也不拆開來看，就手扯得粉碎。」
3.張掛。《警世通言．卷三．王安石三難蘇學士》：「危灘急浪中，趁著這刻兒順風，扯了滿篷，望前只顧使去，好不暢快。」
4.漫無目的的隨便閒談。如：「胡扯」、「東拉西扯」。 |</v>
      </c>
    </row>
    <row r="9950" spans="1:44" hidden="1">
      <c r="A9950" s="1" t="s">
        <v>5656</v>
      </c>
      <c r="C9950" s="1">
        <v>1</v>
      </c>
      <c r="D9950" s="1" t="str">
        <f>"08265"</f>
        <v>08265</v>
      </c>
      <c r="E9950" s="1" t="s">
        <v>28</v>
      </c>
      <c r="F9950" s="1">
        <v>9</v>
      </c>
      <c r="G9950" s="1">
        <v>6</v>
      </c>
      <c r="H9950" s="1">
        <v>2</v>
      </c>
      <c r="I9950" s="1" t="s">
        <v>19533</v>
      </c>
      <c r="K9950" s="1" t="str">
        <f t="shared" si="617"/>
        <v>ㄔ</v>
      </c>
      <c r="L9950" s="1" t="str">
        <f t="shared" si="619"/>
        <v>ㄜ</v>
      </c>
      <c r="N9950" s="3" t="s">
        <v>30576</v>
      </c>
      <c r="O9950" s="3"/>
      <c r="P9950" s="1" t="s">
        <v>20</v>
      </c>
      <c r="R9950" s="1" t="s">
        <v>19534</v>
      </c>
      <c r="V9950" s="1" t="s">
        <v>19539</v>
      </c>
      <c r="W9950" s="1" t="s">
        <v>19540</v>
      </c>
      <c r="AR9950" s="1" t="str">
        <f t="shared" si="618"/>
        <v>| [ㄔㄜˇ](ㄔㄜˇ.md) | [哆](哆.md) |  | chě | [形]
張口的樣子。《里語徵實．卷上．一字徵實引王惲．食鱸魚詩》：「口哆頰重出，鱗纖雪爭光。」 |</v>
      </c>
    </row>
    <row r="9951" spans="1:44" hidden="1">
      <c r="A9951" s="1" t="s">
        <v>19541</v>
      </c>
      <c r="C9951" s="1">
        <v>1</v>
      </c>
      <c r="D9951" s="1" t="str">
        <f>"08266"</f>
        <v>08266</v>
      </c>
      <c r="E9951" s="1" t="s">
        <v>24</v>
      </c>
      <c r="F9951" s="1">
        <v>14</v>
      </c>
      <c r="G9951" s="1">
        <v>11</v>
      </c>
      <c r="H9951" s="1">
        <v>0</v>
      </c>
      <c r="I9951" s="1" t="s">
        <v>19533</v>
      </c>
      <c r="K9951" s="1" t="str">
        <f t="shared" si="617"/>
        <v>ㄔ</v>
      </c>
      <c r="L9951" s="1" t="str">
        <f t="shared" si="619"/>
        <v>ㄜ</v>
      </c>
      <c r="N9951" s="3" t="s">
        <v>30576</v>
      </c>
      <c r="O9951" s="3"/>
      <c r="P9951" s="1" t="s">
        <v>20</v>
      </c>
      <c r="R9951" s="1" t="s">
        <v>19534</v>
      </c>
      <c r="V9951" s="1" t="s">
        <v>19542</v>
      </c>
      <c r="AR9951" s="1" t="str">
        <f t="shared" si="618"/>
        <v>| [ㄔㄜˇ](ㄔㄜˇ.md) | [撦](撦.md) |  | chě | 同「扯」。 |</v>
      </c>
    </row>
    <row r="9952" spans="1:44" hidden="1">
      <c r="A9952" s="1" t="s">
        <v>19458</v>
      </c>
      <c r="C9952" s="1">
        <v>1</v>
      </c>
      <c r="D9952" s="1" t="str">
        <f>"08287"</f>
        <v>08287</v>
      </c>
      <c r="E9952" s="1" t="s">
        <v>10636</v>
      </c>
      <c r="F9952" s="1">
        <v>10</v>
      </c>
      <c r="G9952" s="1">
        <v>7</v>
      </c>
      <c r="H9952" s="1">
        <v>4</v>
      </c>
      <c r="I9952" s="1" t="s">
        <v>19593</v>
      </c>
      <c r="K9952" s="1" t="str">
        <f t="shared" si="617"/>
        <v>ㄔ</v>
      </c>
      <c r="L9952" s="1" t="str">
        <f t="shared" si="619"/>
        <v>ㄞ</v>
      </c>
      <c r="N9952" s="3" t="s">
        <v>30574</v>
      </c>
      <c r="O9952" s="3"/>
      <c r="P9952" s="1" t="s">
        <v>20</v>
      </c>
      <c r="R9952" s="1" t="s">
        <v>19594</v>
      </c>
      <c r="V9952" s="1" t="s">
        <v>19595</v>
      </c>
      <c r="W9952" s="1" t="s">
        <v>19596</v>
      </c>
      <c r="AR9952" s="1" t="str">
        <f t="shared" si="618"/>
        <v>| [ㄔㄞˋ](ㄔㄞˋ.md) | [差](差.md) |  | chài | [動]
病癒。通「瘥」。《後漢書．卷八二．方術傳．華佗傳》：「操積苦頭風眩，佗針，隨手而差。」唐．元稹〈蟆子詩．序〉：「故齧人成瘡，秋夏不愈，膏楸葉而傅之，則差。」 |</v>
      </c>
    </row>
    <row r="9953" spans="1:44" hidden="1">
      <c r="A9953" s="1" t="s">
        <v>19597</v>
      </c>
      <c r="C9953" s="1">
        <v>1</v>
      </c>
      <c r="D9953" s="1" t="str">
        <f>"08288"</f>
        <v>08288</v>
      </c>
      <c r="E9953" s="1" t="s">
        <v>40</v>
      </c>
      <c r="F9953" s="1">
        <v>15</v>
      </c>
      <c r="G9953" s="1">
        <v>10</v>
      </c>
      <c r="H9953" s="1">
        <v>1</v>
      </c>
      <c r="I9953" s="1" t="s">
        <v>19593</v>
      </c>
      <c r="K9953" s="1" t="str">
        <f t="shared" si="617"/>
        <v>ㄔ</v>
      </c>
      <c r="L9953" s="1" t="str">
        <f t="shared" si="619"/>
        <v>ㄞ</v>
      </c>
      <c r="N9953" s="3" t="s">
        <v>30574</v>
      </c>
      <c r="O9953" s="3"/>
      <c r="P9953" s="1" t="s">
        <v>20</v>
      </c>
      <c r="R9953" s="1" t="s">
        <v>19594</v>
      </c>
      <c r="V9953" s="1" t="s">
        <v>19598</v>
      </c>
      <c r="W9953" s="1" t="s">
        <v>19599</v>
      </c>
      <c r="AR9953" s="1" t="str">
        <f t="shared" si="618"/>
        <v>| [ㄔㄞˋ](ㄔㄞˋ.md) | [瘥](瘥.md) |  | chài | [動]
病痊癒。《說文解字．疒部》：「瘥，癒也。」如：「病瘥」。 |</v>
      </c>
    </row>
    <row r="9954" spans="1:44" hidden="1">
      <c r="A9954" s="1" t="s">
        <v>19600</v>
      </c>
      <c r="C9954" s="1">
        <v>1</v>
      </c>
      <c r="D9954" s="1" t="str">
        <f>"08289"</f>
        <v>08289</v>
      </c>
      <c r="E9954" s="1" t="s">
        <v>679</v>
      </c>
      <c r="F9954" s="1">
        <v>19</v>
      </c>
      <c r="G9954" s="1">
        <v>13</v>
      </c>
      <c r="H9954" s="1">
        <v>0</v>
      </c>
      <c r="I9954" s="1" t="s">
        <v>19593</v>
      </c>
      <c r="K9954" s="1" t="str">
        <f t="shared" si="617"/>
        <v>ㄔ</v>
      </c>
      <c r="L9954" s="1" t="str">
        <f t="shared" si="619"/>
        <v>ㄞ</v>
      </c>
      <c r="N9954" s="3" t="s">
        <v>30574</v>
      </c>
      <c r="O9954" s="3"/>
      <c r="P9954" s="1" t="s">
        <v>20</v>
      </c>
      <c r="R9954" s="1" t="s">
        <v>19594</v>
      </c>
      <c r="V9954" s="1" t="s">
        <v>19601</v>
      </c>
      <c r="AR9954" s="1" t="str">
        <f t="shared" si="618"/>
        <v>| [ㄔㄞˋ](ㄔㄞˋ.md) | [蠆](蠆.md) |  | chài | [名]
1.動物名。一種毒蟲。形狀似蠍而尾部較長。《三國志．卷二九．魏書．方技傳．華佗傳》：「彭城夫人夜之廁，蠆螫其手，呻呼無賴。」
2.參見「蠆芥」條。 |</v>
      </c>
    </row>
    <row r="9955" spans="1:44" hidden="1">
      <c r="A9955" s="1" t="s">
        <v>19571</v>
      </c>
      <c r="C9955" s="1">
        <v>1</v>
      </c>
      <c r="D9955" s="1" t="str">
        <f>"08279"</f>
        <v>08279</v>
      </c>
      <c r="E9955" s="1" t="s">
        <v>37</v>
      </c>
      <c r="F9955" s="1">
        <v>10</v>
      </c>
      <c r="G9955" s="1">
        <v>6</v>
      </c>
      <c r="H9955" s="1">
        <v>2</v>
      </c>
      <c r="I9955" s="1" t="s">
        <v>19572</v>
      </c>
      <c r="K9955" s="1" t="str">
        <f t="shared" si="617"/>
        <v>ㄔ</v>
      </c>
      <c r="L9955" s="1" t="str">
        <f t="shared" si="619"/>
        <v>ㄞ</v>
      </c>
      <c r="N9955" s="3" t="s">
        <v>30575</v>
      </c>
      <c r="O9955" s="3"/>
      <c r="P9955" s="1" t="s">
        <v>20</v>
      </c>
      <c r="R9955" s="1" t="s">
        <v>19573</v>
      </c>
      <c r="V9955" s="1" t="s">
        <v>19574</v>
      </c>
      <c r="W9955" s="1" t="s">
        <v>19575</v>
      </c>
      <c r="AR9955" s="1" t="str">
        <f t="shared" si="618"/>
        <v>| [ㄔㄞˊ](ㄔㄞˊ.md) | [茈](茈.md) |  | chái | 參見「茈胡」條。 |</v>
      </c>
    </row>
    <row r="9956" spans="1:44" hidden="1">
      <c r="A9956" s="1" t="s">
        <v>18225</v>
      </c>
      <c r="C9956" s="1">
        <v>1</v>
      </c>
      <c r="D9956" s="1" t="str">
        <f>"08280"</f>
        <v>08280</v>
      </c>
      <c r="E9956" s="1" t="s">
        <v>139</v>
      </c>
      <c r="F9956" s="1">
        <v>10</v>
      </c>
      <c r="G9956" s="1">
        <v>6</v>
      </c>
      <c r="H9956" s="1">
        <v>1</v>
      </c>
      <c r="I9956" s="1" t="s">
        <v>19572</v>
      </c>
      <c r="K9956" s="1" t="str">
        <f t="shared" si="617"/>
        <v>ㄔ</v>
      </c>
      <c r="L9956" s="1" t="str">
        <f t="shared" si="619"/>
        <v>ㄞ</v>
      </c>
      <c r="N9956" s="3" t="s">
        <v>30575</v>
      </c>
      <c r="O9956" s="3"/>
      <c r="P9956" s="1" t="s">
        <v>20</v>
      </c>
      <c r="R9956" s="1" t="s">
        <v>19573</v>
      </c>
      <c r="V9956" s="1" t="s">
        <v>19576</v>
      </c>
      <c r="W9956" s="1" t="s">
        <v>19577</v>
      </c>
      <c r="AR9956" s="1" t="str">
        <f t="shared" si="618"/>
        <v>| [ㄔㄞˊ](ㄔㄞˊ.md) | [柴](柴.md) |  | chái | [名]
1.供燃燒用的小木枯枝。如：「柴火」、「木柴」。《禮記．月令》：「乃命四監，收秩薪柴，以共郊廟及百祀之薪燎。」
2.姓。如漢代有柴武。
[動]
1.燒柴祭天。《禮記．大傳》：「柴于上帝。」唐．孔穎達．正義：「謂燔柴以告天。」
2.保護、以柴塞護。《淮南子．道應》：「柴箕子之門。」
[形]
1.用柴做成的。如：「柴門」。唐．王維〈送別〉詩：「山中相送罷，日暮掩柴扉。」
2.乾瘦。如：「這隻雞太柴了。」
3.參見「柴心兒」條。 |</v>
      </c>
    </row>
    <row r="9957" spans="1:44" hidden="1">
      <c r="A9957" s="1" t="s">
        <v>19578</v>
      </c>
      <c r="C9957" s="1">
        <v>1</v>
      </c>
      <c r="D9957" s="1" t="str">
        <f>"08281"</f>
        <v>08281</v>
      </c>
      <c r="E9957" s="1" t="s">
        <v>825</v>
      </c>
      <c r="F9957" s="1">
        <v>11</v>
      </c>
      <c r="G9957" s="1">
        <v>6</v>
      </c>
      <c r="H9957" s="1">
        <v>0</v>
      </c>
      <c r="I9957" s="1" t="s">
        <v>19572</v>
      </c>
      <c r="K9957" s="1" t="str">
        <f t="shared" si="617"/>
        <v>ㄔ</v>
      </c>
      <c r="L9957" s="1" t="str">
        <f t="shared" si="619"/>
        <v>ㄞ</v>
      </c>
      <c r="N9957" s="3" t="s">
        <v>30575</v>
      </c>
      <c r="O9957" s="3"/>
      <c r="P9957" s="1" t="s">
        <v>20</v>
      </c>
      <c r="R9957" s="1" t="s">
        <v>19573</v>
      </c>
      <c r="V9957" s="1" t="s">
        <v>19579</v>
      </c>
      <c r="AR9957" s="1" t="str">
        <f t="shared" si="618"/>
        <v>| [ㄔㄞˊ](ㄔㄞˊ.md) | [祡](祡.md) |  | chái | [動]
燃燒木柴以祭天神。《說文解字．示部》：「祡，燒柴燎以祭天神。」《史記．卷一．五帝本紀》：「東巡狩，至於岱宗，祡。」 |</v>
      </c>
    </row>
    <row r="9958" spans="1:44" hidden="1">
      <c r="A9958" s="1" t="s">
        <v>19580</v>
      </c>
      <c r="C9958" s="1">
        <v>1</v>
      </c>
      <c r="D9958" s="1" t="str">
        <f>"08282"</f>
        <v>08282</v>
      </c>
      <c r="E9958" s="1" t="s">
        <v>28</v>
      </c>
      <c r="F9958" s="1">
        <v>13</v>
      </c>
      <c r="G9958" s="1">
        <v>10</v>
      </c>
      <c r="H9958" s="1">
        <v>0</v>
      </c>
      <c r="I9958" s="1" t="s">
        <v>19572</v>
      </c>
      <c r="K9958" s="1" t="str">
        <f t="shared" si="617"/>
        <v>ㄔ</v>
      </c>
      <c r="L9958" s="1" t="str">
        <f t="shared" si="619"/>
        <v>ㄞ</v>
      </c>
      <c r="N9958" s="3" t="s">
        <v>30575</v>
      </c>
      <c r="O9958" s="3"/>
      <c r="P9958" s="1" t="s">
        <v>20</v>
      </c>
      <c r="R9958" s="1" t="s">
        <v>19573</v>
      </c>
      <c r="V9958" s="1" t="s">
        <v>19581</v>
      </c>
      <c r="AR9958" s="1" t="str">
        <f t="shared" si="618"/>
        <v>| [ㄔㄞˊ](ㄔㄞˊ.md) | [喍](喍.md) |  | chái | 參見「啀喍」條。 |</v>
      </c>
    </row>
    <row r="9959" spans="1:44" hidden="1">
      <c r="A9959" s="1" t="s">
        <v>19582</v>
      </c>
      <c r="C9959" s="1">
        <v>1</v>
      </c>
      <c r="D9959" s="1" t="str">
        <f>"08283"</f>
        <v>08283</v>
      </c>
      <c r="E9959" s="1" t="s">
        <v>537</v>
      </c>
      <c r="F9959" s="1">
        <v>10</v>
      </c>
      <c r="G9959" s="1">
        <v>3</v>
      </c>
      <c r="H9959" s="1">
        <v>0</v>
      </c>
      <c r="I9959" s="1" t="s">
        <v>19572</v>
      </c>
      <c r="K9959" s="1" t="str">
        <f t="shared" si="617"/>
        <v>ㄔ</v>
      </c>
      <c r="L9959" s="1" t="str">
        <f t="shared" si="619"/>
        <v>ㄞ</v>
      </c>
      <c r="N9959" s="3" t="s">
        <v>30575</v>
      </c>
      <c r="O9959" s="3"/>
      <c r="P9959" s="1" t="s">
        <v>20</v>
      </c>
      <c r="R9959" s="1" t="s">
        <v>19573</v>
      </c>
      <c r="V9959" s="1" t="s">
        <v>19583</v>
      </c>
      <c r="AR9959" s="1" t="str">
        <f t="shared" si="618"/>
        <v>| [ㄔㄞˊ](ㄔㄞˊ.md) | [豺](豺.md) |  | chái | [名]
動物名。哺乳綱食肉目犬科。亞洲野生食肉性動物，狀如犬而身瘦，口大耳小，毛色淺黃，性凶殘。為群體活動生物，常結群捕食各種獸類。 |</v>
      </c>
    </row>
    <row r="9960" spans="1:44" hidden="1">
      <c r="A9960" s="1" t="s">
        <v>19584</v>
      </c>
      <c r="C9960" s="1">
        <v>1</v>
      </c>
      <c r="D9960" s="1" t="str">
        <f>"08284"</f>
        <v>08284</v>
      </c>
      <c r="E9960" s="1" t="s">
        <v>114</v>
      </c>
      <c r="F9960" s="1">
        <v>16</v>
      </c>
      <c r="G9960" s="1">
        <v>14</v>
      </c>
      <c r="H9960" s="1">
        <v>0</v>
      </c>
      <c r="I9960" s="1" t="s">
        <v>19572</v>
      </c>
      <c r="K9960" s="1" t="str">
        <f t="shared" si="617"/>
        <v>ㄔ</v>
      </c>
      <c r="L9960" s="1" t="str">
        <f t="shared" si="619"/>
        <v>ㄞ</v>
      </c>
      <c r="N9960" s="3" t="s">
        <v>30575</v>
      </c>
      <c r="O9960" s="3"/>
      <c r="P9960" s="1" t="s">
        <v>20</v>
      </c>
      <c r="R9960" s="1" t="s">
        <v>19573</v>
      </c>
      <c r="V9960" s="1" t="s">
        <v>19585</v>
      </c>
      <c r="AR9960" s="1" t="str">
        <f t="shared" si="618"/>
        <v>| [ㄔㄞˊ](ㄔㄞˊ.md) | [儕](儕.md) |  | chái | [名]
同輩、同類的人。如：「吾儕」、「同儕」。
[動]
1.齊同、相當。《三國志．卷二．魏書．文帝紀》「皆以終制從事」句下裴松之注引《魏氏春秋》：「德儕先皇，功侔太古。」《紅樓夢》第七八回：「生儕蘭蕙，死轄芙蓉。」
2.使男女成為配偶。《漢書．卷八七．揚雄傳上》：「儕男女，使莫違。」 |</v>
      </c>
    </row>
    <row r="9961" spans="1:44" hidden="1">
      <c r="A9961" s="1" t="s">
        <v>19586</v>
      </c>
      <c r="C9961" s="1">
        <v>1</v>
      </c>
      <c r="D9961" s="1" t="str">
        <f>"08285"</f>
        <v>08285</v>
      </c>
      <c r="E9961" s="1" t="s">
        <v>2729</v>
      </c>
      <c r="F9961" s="1">
        <v>5</v>
      </c>
      <c r="G9961" s="1">
        <v>3</v>
      </c>
      <c r="H9961" s="1">
        <v>2</v>
      </c>
      <c r="I9961" s="1" t="s">
        <v>19587</v>
      </c>
      <c r="K9961" s="1" t="str">
        <f t="shared" si="617"/>
        <v>ㄔ</v>
      </c>
      <c r="L9961" s="1" t="str">
        <f t="shared" si="619"/>
        <v>ㄞ</v>
      </c>
      <c r="N9961" s="3" t="s">
        <v>30576</v>
      </c>
      <c r="O9961" s="3"/>
      <c r="P9961" s="1" t="s">
        <v>20</v>
      </c>
      <c r="R9961" s="1" t="s">
        <v>19588</v>
      </c>
      <c r="V9961" s="1" t="s">
        <v>19589</v>
      </c>
      <c r="W9961" s="1" t="s">
        <v>19590</v>
      </c>
      <c r="AR9961" s="1" t="str">
        <f t="shared" si="618"/>
        <v>| [ㄔㄞˇ](ㄔㄞˇ.md) | [冊](冊.md) |  | chǎi | [名]
夾有繡花圖樣的紙本子。如：「樣冊子」、「樣冊兒」。 |</v>
      </c>
    </row>
    <row r="9962" spans="1:44" hidden="1">
      <c r="A9962" s="1" t="s">
        <v>19591</v>
      </c>
      <c r="C9962" s="1">
        <v>1</v>
      </c>
      <c r="D9962" s="1" t="str">
        <f>"08286"</f>
        <v>08286</v>
      </c>
      <c r="E9962" s="1" t="s">
        <v>37</v>
      </c>
      <c r="F9962" s="1">
        <v>11</v>
      </c>
      <c r="G9962" s="1">
        <v>7</v>
      </c>
      <c r="H9962" s="1">
        <v>0</v>
      </c>
      <c r="I9962" s="1" t="s">
        <v>19587</v>
      </c>
      <c r="K9962" s="1" t="str">
        <f t="shared" si="617"/>
        <v>ㄔ</v>
      </c>
      <c r="L9962" s="1" t="str">
        <f t="shared" si="619"/>
        <v>ㄞ</v>
      </c>
      <c r="N9962" s="3" t="s">
        <v>30576</v>
      </c>
      <c r="O9962" s="3"/>
      <c r="P9962" s="1" t="s">
        <v>20</v>
      </c>
      <c r="R9962" s="1" t="s">
        <v>19588</v>
      </c>
      <c r="V9962" s="1" t="s">
        <v>19592</v>
      </c>
      <c r="AR9962" s="1" t="str">
        <f t="shared" si="618"/>
        <v>| [ㄔㄞˇ](ㄔㄞˇ.md) | [茝](茝.md) |  | chǎi | [名]
一種香草。《玉篇．艸部》：「茝，香草也。」《楚辭．屈原．離騷》：「雜申椒與菌桂兮，豈維紉夫蕙茝？」漢．王逸．注：「蕙、茝皆香草也。」 |</v>
      </c>
    </row>
    <row r="9963" spans="1:44" hidden="1">
      <c r="A9963" s="1" t="s">
        <v>19649</v>
      </c>
      <c r="C9963" s="1">
        <v>1</v>
      </c>
      <c r="D9963" s="1" t="str">
        <f>"08310"</f>
        <v>08310</v>
      </c>
      <c r="E9963" s="1" t="s">
        <v>109</v>
      </c>
      <c r="F9963" s="1">
        <v>10</v>
      </c>
      <c r="G9963" s="1">
        <v>4</v>
      </c>
      <c r="H9963" s="1">
        <v>0</v>
      </c>
      <c r="I9963" s="1" t="s">
        <v>19650</v>
      </c>
      <c r="K9963" s="1" t="str">
        <f t="shared" si="617"/>
        <v>ㄔ</v>
      </c>
      <c r="L9963" s="1" t="str">
        <f t="shared" si="619"/>
        <v>ㄠ</v>
      </c>
      <c r="N9963" s="3" t="s">
        <v>30574</v>
      </c>
      <c r="O9963" s="3"/>
      <c r="P9963" s="1" t="s">
        <v>20</v>
      </c>
      <c r="R9963" s="1" t="s">
        <v>19651</v>
      </c>
      <c r="V9963" s="1" t="s">
        <v>19652</v>
      </c>
      <c r="AR9963" s="1" t="str">
        <f t="shared" si="618"/>
        <v>| [ㄔㄠˋ](ㄔㄠˋ.md) | [耖](耖.md) |  | chào | [動]
重新鬆土耕作。《廣韻．去聲．效韻》：「耖，重耕田也。」
[名]
一種翻鬆泥土的農具。元．王禎《農書．耒耜門》：「耖，疏通田泥器也。高可三尺許，廣可四尺，上有橫柄，……。人以兩手按之，前用畜力輓行。」 |</v>
      </c>
    </row>
    <row r="9964" spans="1:44" hidden="1">
      <c r="A9964" s="1" t="s">
        <v>19608</v>
      </c>
      <c r="C9964" s="1">
        <v>1</v>
      </c>
      <c r="D9964" s="1" t="str">
        <f>"08311"</f>
        <v>08311</v>
      </c>
      <c r="E9964" s="1" t="s">
        <v>55</v>
      </c>
      <c r="F9964" s="1">
        <v>12</v>
      </c>
      <c r="G9964" s="1">
        <v>4</v>
      </c>
      <c r="H9964" s="1">
        <v>2</v>
      </c>
      <c r="I9964" s="1" t="s">
        <v>19650</v>
      </c>
      <c r="K9964" s="1" t="str">
        <f t="shared" si="617"/>
        <v>ㄔ</v>
      </c>
      <c r="L9964" s="1" t="str">
        <f t="shared" si="619"/>
        <v>ㄠ</v>
      </c>
      <c r="N9964" s="3" t="s">
        <v>30574</v>
      </c>
      <c r="O9964" s="3"/>
      <c r="P9964" s="1" t="s">
        <v>110</v>
      </c>
      <c r="R9964" s="1" t="s">
        <v>19651</v>
      </c>
      <c r="V9964" s="1" t="s">
        <v>111</v>
      </c>
      <c r="W9964" s="1" t="s">
        <v>19653</v>
      </c>
      <c r="AR9964" s="1" t="str">
        <f t="shared" si="618"/>
        <v>| [ㄔㄠˋ](ㄔㄠˋ.md) | [鈔](鈔.md) |  | chào | (一)之又音。 |</v>
      </c>
    </row>
    <row r="9965" spans="1:44" hidden="1">
      <c r="A9965" s="1" t="s">
        <v>19011</v>
      </c>
      <c r="C9965" s="1">
        <v>1</v>
      </c>
      <c r="D9965" s="1" t="str">
        <f>"08312"</f>
        <v>08312</v>
      </c>
      <c r="E9965" s="1" t="s">
        <v>4563</v>
      </c>
      <c r="F9965" s="1">
        <v>15</v>
      </c>
      <c r="G9965" s="1">
        <v>8</v>
      </c>
      <c r="H9965" s="1">
        <v>2</v>
      </c>
      <c r="I9965" s="1" t="s">
        <v>19650</v>
      </c>
      <c r="K9965" s="1" t="str">
        <f t="shared" si="617"/>
        <v>ㄔ</v>
      </c>
      <c r="L9965" s="1" t="str">
        <f t="shared" si="619"/>
        <v>ㄠ</v>
      </c>
      <c r="N9965" s="3" t="s">
        <v>30574</v>
      </c>
      <c r="O9965" s="3"/>
      <c r="P9965" s="1" t="s">
        <v>110</v>
      </c>
      <c r="R9965" s="1" t="s">
        <v>19651</v>
      </c>
      <c r="V9965" s="1" t="s">
        <v>111</v>
      </c>
      <c r="W9965" s="1" t="s">
        <v>19654</v>
      </c>
      <c r="AR9965" s="1" t="str">
        <f t="shared" si="618"/>
        <v>| [ㄔㄠˋ](ㄔㄠˋ.md) | [趠](趠.md) |  | chào | (一)之又音。 |</v>
      </c>
    </row>
    <row r="9966" spans="1:44" hidden="1">
      <c r="A9966" s="1" t="s">
        <v>19621</v>
      </c>
      <c r="C9966" s="1">
        <v>1</v>
      </c>
      <c r="D9966" s="1" t="str">
        <f>"08298"</f>
        <v>08298</v>
      </c>
      <c r="E9966" s="1" t="s">
        <v>646</v>
      </c>
      <c r="F9966" s="1">
        <v>10</v>
      </c>
      <c r="G9966" s="1">
        <v>6</v>
      </c>
      <c r="H9966" s="1">
        <v>0</v>
      </c>
      <c r="I9966" s="1" t="s">
        <v>19622</v>
      </c>
      <c r="K9966" s="1" t="str">
        <f t="shared" si="617"/>
        <v>ㄔ</v>
      </c>
      <c r="L9966" s="1" t="str">
        <f t="shared" si="619"/>
        <v>ㄠ</v>
      </c>
      <c r="N9966" s="3" t="s">
        <v>30575</v>
      </c>
      <c r="O9966" s="3"/>
      <c r="P9966" s="1" t="s">
        <v>20</v>
      </c>
      <c r="R9966" s="1" t="s">
        <v>19623</v>
      </c>
      <c r="V9966" s="1" t="s">
        <v>19624</v>
      </c>
      <c r="AR9966" s="1" t="str">
        <f t="shared" si="618"/>
        <v>| [ㄔㄠˊ](ㄔㄠˊ.md) | [晁](晁.md) |  | cháo | [名]
1.朝的古字。《文選．揚雄．羽獵賦》：「於是天子乃以陽晁始出乎玄宮。」唐．李善．注：「陽朝，陽明之朝。晁，古字同也。」
2.姓。如宋代有晁補之。 |</v>
      </c>
    </row>
    <row r="9967" spans="1:44" hidden="1">
      <c r="A9967" s="1" t="s">
        <v>18334</v>
      </c>
      <c r="C9967" s="1">
        <v>1</v>
      </c>
      <c r="D9967" s="1" t="str">
        <f>"08299"</f>
        <v>08299</v>
      </c>
      <c r="E9967" s="1" t="s">
        <v>28</v>
      </c>
      <c r="F9967" s="1">
        <v>11</v>
      </c>
      <c r="G9967" s="1">
        <v>8</v>
      </c>
      <c r="H9967" s="1">
        <v>2</v>
      </c>
      <c r="I9967" s="1" t="s">
        <v>19622</v>
      </c>
      <c r="K9967" s="1" t="str">
        <f t="shared" si="617"/>
        <v>ㄔ</v>
      </c>
      <c r="L9967" s="1" t="str">
        <f t="shared" si="619"/>
        <v>ㄠ</v>
      </c>
      <c r="N9967" s="3" t="s">
        <v>30575</v>
      </c>
      <c r="O9967" s="3"/>
      <c r="P9967" s="1" t="s">
        <v>20</v>
      </c>
      <c r="R9967" s="1" t="s">
        <v>19623</v>
      </c>
      <c r="V9967" s="1" t="s">
        <v>19625</v>
      </c>
      <c r="W9967" s="1" t="s">
        <v>19626</v>
      </c>
      <c r="AR9967" s="1" t="str">
        <f t="shared" si="618"/>
        <v>| [ㄔㄠˊ](ㄔㄠˊ.md) | [啁](啁.md) |  | cháo | [動]
戲謔、調笑。同「嘲」、「謿」。如：「詼啁」。《三國志．卷四四．蜀書．費褘傳》：「孫權性既滑稽，嘲啁無方。」 |</v>
      </c>
    </row>
    <row r="9968" spans="1:44" hidden="1">
      <c r="A9968" s="1" t="s">
        <v>19627</v>
      </c>
      <c r="C9968" s="1">
        <v>1</v>
      </c>
      <c r="D9968" s="1" t="str">
        <f>"08300"</f>
        <v>08300</v>
      </c>
      <c r="E9968" s="1" t="s">
        <v>10354</v>
      </c>
      <c r="F9968" s="1">
        <v>11</v>
      </c>
      <c r="G9968" s="1">
        <v>8</v>
      </c>
      <c r="H9968" s="1">
        <v>0</v>
      </c>
      <c r="I9968" s="1" t="s">
        <v>19622</v>
      </c>
      <c r="K9968" s="1" t="str">
        <f t="shared" ref="K9968:K10031" si="620">LEFT(I9968, 1)</f>
        <v>ㄔ</v>
      </c>
      <c r="L9968" s="1" t="str">
        <f t="shared" si="619"/>
        <v>ㄠ</v>
      </c>
      <c r="N9968" s="3" t="s">
        <v>30575</v>
      </c>
      <c r="O9968" s="3"/>
      <c r="P9968" s="1" t="s">
        <v>20</v>
      </c>
      <c r="R9968" s="1" t="s">
        <v>19623</v>
      </c>
      <c r="V9968" s="1" t="s">
        <v>19628</v>
      </c>
      <c r="AR9968" s="1" t="str">
        <f t="shared" si="618"/>
        <v>| [ㄔㄠˊ](ㄔㄠˊ.md) | [巢](巢.md) |  | cháo | [名]
1.鳥類、昆蟲或其他動物的窩。《說文解字．巢部》：「巢，鳥在木上曰巢，在穴曰窠。」如：「鳥巢」、「蜂巢」。《詩經．召南．鵲巢》：「維鵲有巢，維鳩居之。」《漢書．卷二七．五行志中之上》：「長安城南有鼠銜黃蒿、柏葉，上民冢柏及榆樹上為巢。」
2.住處。唐．李白〈憶舊遊寄譙郡元參軍〉詩：「余既還山尋故巢，君亦歸家渡渭橋。」《新唐書．卷一六六．列傳．杜佑》：「不數月必覆賊巢。」
3.樂器名，吹管樂器。屬於笙類的一種。《新唐書．卷二一．禮樂志十一》：「七曰匏，為笙，為竽，為巢。巢，大笙也。」
4.姓。如東漢時有巢堪。
[動]
築巢。《左傳．昭公二十五年》：「有鴝鵒來巢。」 |</v>
      </c>
    </row>
    <row r="9969" spans="1:44" hidden="1">
      <c r="A9969" s="1" t="s">
        <v>19629</v>
      </c>
      <c r="C9969" s="1">
        <v>1</v>
      </c>
      <c r="D9969" s="1" t="str">
        <f>"08301"</f>
        <v>08301</v>
      </c>
      <c r="E9969" s="1" t="s">
        <v>129</v>
      </c>
      <c r="F9969" s="1">
        <v>14</v>
      </c>
      <c r="G9969" s="1">
        <v>11</v>
      </c>
      <c r="H9969" s="1">
        <v>0</v>
      </c>
      <c r="I9969" s="1" t="s">
        <v>19622</v>
      </c>
      <c r="K9969" s="1" t="str">
        <f t="shared" si="620"/>
        <v>ㄔ</v>
      </c>
      <c r="L9969" s="1" t="str">
        <f t="shared" si="619"/>
        <v>ㄠ</v>
      </c>
      <c r="N9969" s="3" t="s">
        <v>30575</v>
      </c>
      <c r="O9969" s="3"/>
      <c r="P9969" s="1" t="s">
        <v>20</v>
      </c>
      <c r="R9969" s="1" t="s">
        <v>19623</v>
      </c>
      <c r="V9969" s="1" t="s">
        <v>19630</v>
      </c>
      <c r="AR9969" s="1" t="str">
        <f t="shared" si="618"/>
        <v>| [ㄔㄠˊ](ㄔㄠˊ.md) | [漅](漅.md) |  | cháo | [名]
湖泊名。即巢湖。位大陸地區安徽省巢縣西南，東南注入長江。 |</v>
      </c>
    </row>
    <row r="9970" spans="1:44" hidden="1">
      <c r="A9970" s="1" t="s">
        <v>19631</v>
      </c>
      <c r="C9970" s="1">
        <v>1</v>
      </c>
      <c r="D9970" s="1" t="str">
        <f>"08302"</f>
        <v>08302</v>
      </c>
      <c r="E9970" s="1" t="s">
        <v>139</v>
      </c>
      <c r="F9970" s="1">
        <v>15</v>
      </c>
      <c r="G9970" s="1">
        <v>11</v>
      </c>
      <c r="H9970" s="1">
        <v>0</v>
      </c>
      <c r="I9970" s="1" t="s">
        <v>19622</v>
      </c>
      <c r="K9970" s="1" t="str">
        <f t="shared" si="620"/>
        <v>ㄔ</v>
      </c>
      <c r="L9970" s="1" t="str">
        <f t="shared" si="619"/>
        <v>ㄠ</v>
      </c>
      <c r="N9970" s="3" t="s">
        <v>30575</v>
      </c>
      <c r="O9970" s="3"/>
      <c r="P9970" s="1" t="s">
        <v>20</v>
      </c>
      <c r="R9970" s="1" t="s">
        <v>19623</v>
      </c>
      <c r="V9970" s="1" t="s">
        <v>19632</v>
      </c>
      <c r="AR9970" s="1" t="str">
        <f t="shared" si="618"/>
        <v>| [ㄔㄠˊ](ㄔㄠˊ.md) | [樔](樔.md) |  | cháo | [名]
水澤中守望的草樓。《說文解字．木部》：「樔，澤中守艸樓。」 |</v>
      </c>
    </row>
    <row r="9971" spans="1:44" hidden="1">
      <c r="A9971" s="1" t="s">
        <v>18259</v>
      </c>
      <c r="C9971" s="1">
        <v>1</v>
      </c>
      <c r="D9971" s="1" t="str">
        <f>"08303"</f>
        <v>08303</v>
      </c>
      <c r="E9971" s="1" t="s">
        <v>2014</v>
      </c>
      <c r="F9971" s="1">
        <v>12</v>
      </c>
      <c r="G9971" s="1">
        <v>8</v>
      </c>
      <c r="H9971" s="1">
        <v>2</v>
      </c>
      <c r="I9971" s="1" t="s">
        <v>19622</v>
      </c>
      <c r="K9971" s="1" t="str">
        <f t="shared" si="620"/>
        <v>ㄔ</v>
      </c>
      <c r="L9971" s="1" t="str">
        <f t="shared" si="619"/>
        <v>ㄠ</v>
      </c>
      <c r="N9971" s="3" t="s">
        <v>30575</v>
      </c>
      <c r="O9971" s="3"/>
      <c r="P9971" s="1" t="s">
        <v>20</v>
      </c>
      <c r="R9971" s="1" t="s">
        <v>19623</v>
      </c>
      <c r="V9971" s="1" t="s">
        <v>19633</v>
      </c>
      <c r="W9971" s="1" t="s">
        <v>19634</v>
      </c>
      <c r="AR9971" s="1" t="str">
        <f t="shared" si="618"/>
        <v>| [ㄔㄠˊ](ㄔㄠˊ.md) | [朝](朝.md) |  | cháo | [動]
1.古代見人皆稱「朝」。多用於卑見尊、下見上。如臣下進見君長、晚輩問候長輩。諸侯相拜見也稱為「朝」。《國語．魯語下》：「公父文伯退朝，朝其母，其母方績。」《孟子．公孫丑下》：「孟子將朝王。」
2.參拜神明。如：「朝聖」、「朝山」。《花月痕》第三回：「前年三月初三夜，忽來與我作別，說要去南海朝觀音。」
3.對、向。唐．李白〈江西送友人之羅浮〉詩：「桂水分五嶺，衡山朝九疑。」
[名]
1.舊時君王聽政、辦事的地方。如：「朝廷」。《孟子．梁惠王上》：「使天下仕者皆欲立於王之朝。」
2.某一世系帝王的統治時期，或某位君王的統治時期。如：「漢朝」、「唐朝」、「崇禎朝」。
3.姓。如隋代有朝景煥。
[介]
對，向。表示動作、行為所對的方向。《紅樓夢》第一一回：「父親遵太爺的話，不敢前來，在家裡率領合家都朝上行了禮了。」《鏡花緣》第九回：「忽見遠遠有一小人……唐敖一見，那敢怠慢，慌忙追趕。那個小人也朝前奔走。」 |</v>
      </c>
    </row>
    <row r="9972" spans="1:44" hidden="1">
      <c r="A9972" s="1" t="s">
        <v>19635</v>
      </c>
      <c r="C9972" s="1">
        <v>1</v>
      </c>
      <c r="D9972" s="1" t="str">
        <f>"08304"</f>
        <v>08304</v>
      </c>
      <c r="E9972" s="1" t="s">
        <v>129</v>
      </c>
      <c r="F9972" s="1">
        <v>15</v>
      </c>
      <c r="G9972" s="1">
        <v>12</v>
      </c>
      <c r="H9972" s="1">
        <v>0</v>
      </c>
      <c r="I9972" s="1" t="s">
        <v>19622</v>
      </c>
      <c r="K9972" s="1" t="str">
        <f t="shared" si="620"/>
        <v>ㄔ</v>
      </c>
      <c r="L9972" s="1" t="str">
        <f t="shared" si="619"/>
        <v>ㄠ</v>
      </c>
      <c r="N9972" s="3" t="s">
        <v>30575</v>
      </c>
      <c r="O9972" s="3"/>
      <c r="P9972" s="1" t="s">
        <v>20</v>
      </c>
      <c r="R9972" s="1" t="s">
        <v>19623</v>
      </c>
      <c r="V9972" s="1" t="s">
        <v>19636</v>
      </c>
      <c r="AR9972" s="1" t="str">
        <f t="shared" si="618"/>
        <v>| [ㄔㄠˊ](ㄔㄠˊ.md) | [潮](潮.md) |  | cháo | [名]
1.海水受日月引力的影響而定時漲落的現象。如：「潮汐」、「潮起潮落」。
2.像潮水般洶湧起伏的形勢。如：「思潮」、「學潮」。
[形]
1.微溼。《紅樓夢》第三五回：「大清早起，在這個潮地方站了半日，也該回去歇息歇息了。」
2.技藝不高或物質的成色低劣。如：「他的手藝潮。」《紅樓夢》第一〇五回：「潮銀五千二百兩。赤金五十兩。」 |</v>
      </c>
    </row>
    <row r="9973" spans="1:44" hidden="1">
      <c r="A9973" s="1" t="s">
        <v>18262</v>
      </c>
      <c r="C9973" s="1">
        <v>1</v>
      </c>
      <c r="D9973" s="1" t="str">
        <f>"08305"</f>
        <v>08305</v>
      </c>
      <c r="E9973" s="1" t="s">
        <v>28</v>
      </c>
      <c r="F9973" s="1">
        <v>15</v>
      </c>
      <c r="G9973" s="1">
        <v>12</v>
      </c>
      <c r="H9973" s="1">
        <v>1</v>
      </c>
      <c r="I9973" s="1" t="s">
        <v>19622</v>
      </c>
      <c r="K9973" s="1" t="str">
        <f t="shared" si="620"/>
        <v>ㄔ</v>
      </c>
      <c r="L9973" s="1" t="str">
        <f t="shared" si="619"/>
        <v>ㄠ</v>
      </c>
      <c r="N9973" s="3" t="s">
        <v>30575</v>
      </c>
      <c r="O9973" s="3"/>
      <c r="P9973" s="1" t="s">
        <v>20</v>
      </c>
      <c r="R9973" s="1" t="s">
        <v>19623</v>
      </c>
      <c r="V9973" s="1" t="s">
        <v>19637</v>
      </c>
      <c r="W9973" s="1" t="s">
        <v>19638</v>
      </c>
      <c r="AR9973" s="1" t="str">
        <f t="shared" si="618"/>
        <v>| [ㄔㄠˊ](ㄔㄠˊ.md) | [嘲](嘲.md) |  | cháo | [動]
1.譏笑。如：「嘲弄」、「嘲笑」、「冷嘲熱諷」。
2.逗引、挑逗。《金瓶梅》第一回：「（金蓮）常把眉目嘲人，雙睛傳意。」
3.吟詠。《北史．卷三六．薛辯傳》：「因使元翌等嘲，以酒為韻。」唐．白居易〈與元九書〉：「至於梁、陳間，率不過嘲風雪，弄花草而已。」 |</v>
      </c>
    </row>
    <row r="9974" spans="1:44" hidden="1">
      <c r="A9974" s="1" t="s">
        <v>19639</v>
      </c>
      <c r="C9974" s="1">
        <v>1</v>
      </c>
      <c r="D9974" s="1" t="str">
        <f>"08306"</f>
        <v>08306</v>
      </c>
      <c r="E9974" s="1" t="s">
        <v>3331</v>
      </c>
      <c r="F9974" s="1">
        <v>18</v>
      </c>
      <c r="G9974" s="1">
        <v>5</v>
      </c>
      <c r="H9974" s="1">
        <v>0</v>
      </c>
      <c r="I9974" s="1" t="s">
        <v>19622</v>
      </c>
      <c r="K9974" s="1" t="str">
        <f t="shared" si="620"/>
        <v>ㄔ</v>
      </c>
      <c r="L9974" s="1" t="str">
        <f t="shared" si="619"/>
        <v>ㄠ</v>
      </c>
      <c r="N9974" s="3" t="s">
        <v>30575</v>
      </c>
      <c r="O9974" s="3"/>
      <c r="P9974" s="1" t="s">
        <v>20</v>
      </c>
      <c r="R9974" s="1" t="s">
        <v>19623</v>
      </c>
      <c r="V9974" s="1" t="s">
        <v>19640</v>
      </c>
      <c r="AR9974" s="1" t="str">
        <f t="shared" si="618"/>
        <v>| [ㄔㄠˊ](ㄔㄠˊ.md) | [鼂](鼂.md) |  | cháo | [名]
姓。同「晁」。《廣韻．平聲．宵韻》：「鼂，姓，《風俗通》云衛大夫史鼂之後，漢有鼂錯。」 |</v>
      </c>
    </row>
    <row r="9975" spans="1:44" hidden="1">
      <c r="A9975" s="1" t="s">
        <v>19641</v>
      </c>
      <c r="C9975" s="1">
        <v>1</v>
      </c>
      <c r="D9975" s="1" t="str">
        <f>"08307"</f>
        <v>08307</v>
      </c>
      <c r="E9975" s="1" t="s">
        <v>28</v>
      </c>
      <c r="F9975" s="1">
        <v>7</v>
      </c>
      <c r="G9975" s="1">
        <v>4</v>
      </c>
      <c r="H9975" s="1">
        <v>0</v>
      </c>
      <c r="I9975" s="1" t="s">
        <v>19642</v>
      </c>
      <c r="K9975" s="1" t="str">
        <f t="shared" si="620"/>
        <v>ㄔ</v>
      </c>
      <c r="L9975" s="1" t="str">
        <f t="shared" si="619"/>
        <v>ㄠ</v>
      </c>
      <c r="N9975" s="3" t="s">
        <v>30576</v>
      </c>
      <c r="O9975" s="3"/>
      <c r="P9975" s="1" t="s">
        <v>20</v>
      </c>
      <c r="R9975" s="1" t="s">
        <v>19643</v>
      </c>
      <c r="V9975" s="1" t="s">
        <v>19644</v>
      </c>
      <c r="AR9975" s="1" t="str">
        <f t="shared" si="618"/>
        <v>| [ㄔㄠˇ](ㄔㄠˇ.md) | [吵](吵.md) |  | chǎo | [動]
1.攪擾。如：「別把孩子吵醒了！」
2.爭鬧。如：「爭吵」、「吵架」。《儒林外史》第一八回：「三公子只給他兩個錢一個，就同那饅頭店裡吵起來。」
[形]
聲音雜亂。如：「聲音吵雜」、「車聲太吵」。 |</v>
      </c>
    </row>
    <row r="9976" spans="1:44" hidden="1">
      <c r="A9976" s="1" t="s">
        <v>19645</v>
      </c>
      <c r="C9976" s="1">
        <v>1</v>
      </c>
      <c r="D9976" s="1" t="str">
        <f>"08308"</f>
        <v>08308</v>
      </c>
      <c r="E9976" s="1" t="s">
        <v>336</v>
      </c>
      <c r="F9976" s="1">
        <v>8</v>
      </c>
      <c r="G9976" s="1">
        <v>4</v>
      </c>
      <c r="H9976" s="1">
        <v>0</v>
      </c>
      <c r="I9976" s="1" t="s">
        <v>19642</v>
      </c>
      <c r="K9976" s="1" t="str">
        <f t="shared" si="620"/>
        <v>ㄔ</v>
      </c>
      <c r="L9976" s="1" t="str">
        <f t="shared" si="619"/>
        <v>ㄠ</v>
      </c>
      <c r="N9976" s="3" t="s">
        <v>30576</v>
      </c>
      <c r="O9976" s="3"/>
      <c r="P9976" s="1" t="s">
        <v>20</v>
      </c>
      <c r="R9976" s="1" t="s">
        <v>19643</v>
      </c>
      <c r="V9976" s="1" t="s">
        <v>19646</v>
      </c>
      <c r="AR9976" s="1" t="str">
        <f t="shared" si="618"/>
        <v>| [ㄔㄠˇ](ㄔㄠˇ.md) | [炒](炒.md) |  | chǎo | [動]
1.一種烹飪方法。把食物置鍋內，以少量的油略為翻攪至熟者。如：「炒三鮮」。
2.爭鬧。通「吵」。元．喬吉《金錢記》第一折：「鬧炒炒嫩綠草聒鳴蛙，輕絲絲淡黃柳帶栖鴉。」 |</v>
      </c>
    </row>
    <row r="9977" spans="1:44" hidden="1">
      <c r="A9977" s="1" t="s">
        <v>19647</v>
      </c>
      <c r="C9977" s="1">
        <v>1</v>
      </c>
      <c r="D9977" s="1" t="str">
        <f>"08309"</f>
        <v>08309</v>
      </c>
      <c r="E9977" s="1" t="s">
        <v>2743</v>
      </c>
      <c r="F9977" s="1">
        <v>15</v>
      </c>
      <c r="G9977" s="1">
        <v>4</v>
      </c>
      <c r="H9977" s="1">
        <v>0</v>
      </c>
      <c r="I9977" s="1" t="s">
        <v>19642</v>
      </c>
      <c r="K9977" s="1" t="str">
        <f t="shared" si="620"/>
        <v>ㄔ</v>
      </c>
      <c r="L9977" s="1" t="str">
        <f t="shared" si="619"/>
        <v>ㄠ</v>
      </c>
      <c r="N9977" s="3" t="s">
        <v>30576</v>
      </c>
      <c r="O9977" s="3"/>
      <c r="P9977" s="1" t="s">
        <v>20</v>
      </c>
      <c r="R9977" s="1" t="s">
        <v>19643</v>
      </c>
      <c r="V9977" s="1" t="s">
        <v>19648</v>
      </c>
      <c r="AR9977" s="1" t="str">
        <f t="shared" si="618"/>
        <v>| [ㄔㄠˇ](ㄔㄠˇ.md) | [麨](麨.md) |  | chǎo | [名]
一種將米、麥炒熟後磨粉製成的乾糧。晉．干寶《搜神記》卷一九：「先將數石米餈，用蜜麨灌之，以置穴口，蛇便出。」宋．范成大〈刈麥行〉：「犁田待雨插晚稻，朝出移秧夜食麨。」 |</v>
      </c>
    </row>
    <row r="9978" spans="1:44" hidden="1">
      <c r="A9978" s="1" t="s">
        <v>16765</v>
      </c>
      <c r="C9978" s="1">
        <v>1</v>
      </c>
      <c r="D9978" s="1" t="str">
        <f>"08346"</f>
        <v>08346</v>
      </c>
      <c r="E9978" s="1" t="s">
        <v>7438</v>
      </c>
      <c r="F9978" s="1">
        <v>10</v>
      </c>
      <c r="G9978" s="1">
        <v>4</v>
      </c>
      <c r="H9978" s="1">
        <v>1</v>
      </c>
      <c r="I9978" s="1" t="s">
        <v>19730</v>
      </c>
      <c r="K9978" s="1" t="str">
        <f t="shared" si="620"/>
        <v>ㄔ</v>
      </c>
      <c r="L9978" s="1" t="str">
        <f t="shared" si="619"/>
        <v>ㄡ</v>
      </c>
      <c r="N9978" s="3" t="s">
        <v>30574</v>
      </c>
      <c r="O9978" s="3"/>
      <c r="P9978" s="1" t="s">
        <v>20</v>
      </c>
      <c r="R9978" s="1" t="s">
        <v>19731</v>
      </c>
      <c r="V9978" s="1" t="s">
        <v>19732</v>
      </c>
      <c r="W9978" s="1" t="s">
        <v>19733</v>
      </c>
      <c r="AR9978" s="1" t="str">
        <f t="shared" si="618"/>
        <v>| [ㄔㄡˋ](ㄔㄡˋ.md) | [臭](臭.md) |  | chòu | [名]
1.難聞的氣味。與「香」相對。如：「腥臭」、「口臭」、「銅臭」。
2.惡名，不好的名聲。如：「遺臭萬年」。《晉書．卷九八．桓溫傳》：「不足復遺臭萬載邪！」
[形]
1.味道難聞的。如：「臭汗」、「臭屁」、「好臭喔！」。
2.醜惡的、令人厭惡的。如：「別擺一副臭架子！」、「她整天擺著一張臭臉。」
[副]
狠狠的。如：「臭罵一頓。」《儒林外史》第六回：「揪著頭髮，臭打一頓。」 |</v>
      </c>
    </row>
    <row r="9979" spans="1:44" hidden="1">
      <c r="A9979" s="1" t="s">
        <v>16772</v>
      </c>
      <c r="C9979" s="1">
        <v>1</v>
      </c>
      <c r="D9979" s="1" t="str">
        <f>"08347"</f>
        <v>08347</v>
      </c>
      <c r="E9979" s="1" t="s">
        <v>1372</v>
      </c>
      <c r="F9979" s="1">
        <v>14</v>
      </c>
      <c r="G9979" s="1">
        <v>10</v>
      </c>
      <c r="H9979" s="1">
        <v>1</v>
      </c>
      <c r="I9979" s="1" t="s">
        <v>19730</v>
      </c>
      <c r="K9979" s="1" t="str">
        <f t="shared" si="620"/>
        <v>ㄔ</v>
      </c>
      <c r="L9979" s="1" t="str">
        <f t="shared" si="619"/>
        <v>ㄡ</v>
      </c>
      <c r="N9979" s="3" t="s">
        <v>30574</v>
      </c>
      <c r="O9979" s="3"/>
      <c r="P9979" s="1" t="s">
        <v>20</v>
      </c>
      <c r="R9979" s="1" t="s">
        <v>19731</v>
      </c>
      <c r="V9979" s="1" t="s">
        <v>19734</v>
      </c>
      <c r="W9979" s="1" t="s">
        <v>19735</v>
      </c>
      <c r="AR9979" s="1" t="str">
        <f t="shared" si="618"/>
        <v>| [ㄔㄡˋ](ㄔㄡˋ.md) | [殠](殠.md) |  | chòu | [名]
腐惡的臭氣。《說文解字．歺部》：「殠，腐氣也。」《漢書．卷六七．楊王孫傳》：「其穿下不亂泉，上不泄殠。」 |</v>
      </c>
    </row>
    <row r="9980" spans="1:44" hidden="1">
      <c r="A9980" s="1" t="s">
        <v>19736</v>
      </c>
      <c r="C9980" s="1">
        <v>1</v>
      </c>
      <c r="D9980" s="1" t="str">
        <f>"08348"</f>
        <v>08348</v>
      </c>
      <c r="E9980" s="1" t="s">
        <v>49</v>
      </c>
      <c r="F9980" s="1">
        <v>17</v>
      </c>
      <c r="G9980" s="1">
        <v>11</v>
      </c>
      <c r="H9980" s="1">
        <v>2</v>
      </c>
      <c r="I9980" s="1" t="s">
        <v>19730</v>
      </c>
      <c r="K9980" s="1" t="str">
        <f t="shared" si="620"/>
        <v>ㄔ</v>
      </c>
      <c r="L9980" s="1" t="str">
        <f t="shared" si="619"/>
        <v>ㄡ</v>
      </c>
      <c r="N9980" s="3" t="s">
        <v>30574</v>
      </c>
      <c r="O9980" s="3"/>
      <c r="P9980" s="1" t="s">
        <v>110</v>
      </c>
      <c r="R9980" s="1" t="s">
        <v>19731</v>
      </c>
      <c r="V9980" s="1" t="s">
        <v>111</v>
      </c>
      <c r="W9980" s="1" t="s">
        <v>19737</v>
      </c>
      <c r="AR9980" s="1" t="str">
        <f t="shared" si="618"/>
        <v>| [ㄔㄡˋ](ㄔㄡˋ.md) | [簉](簉.md) |  | chòu | (一)之又音。 |</v>
      </c>
    </row>
    <row r="9981" spans="1:44" hidden="1">
      <c r="A9981" s="1" t="s">
        <v>15324</v>
      </c>
      <c r="C9981" s="1">
        <v>1</v>
      </c>
      <c r="D9981" s="1" t="str">
        <f>"08320"</f>
        <v>08320</v>
      </c>
      <c r="E9981" s="1" t="s">
        <v>114</v>
      </c>
      <c r="F9981" s="1">
        <v>4</v>
      </c>
      <c r="G9981" s="1">
        <v>2</v>
      </c>
      <c r="H9981" s="1">
        <v>1</v>
      </c>
      <c r="I9981" s="1" t="s">
        <v>19673</v>
      </c>
      <c r="K9981" s="1" t="str">
        <f t="shared" si="620"/>
        <v>ㄔ</v>
      </c>
      <c r="L9981" s="1" t="str">
        <f t="shared" si="619"/>
        <v>ㄡ</v>
      </c>
      <c r="N9981" s="3" t="s">
        <v>30575</v>
      </c>
      <c r="O9981" s="3"/>
      <c r="P9981" s="1" t="s">
        <v>20</v>
      </c>
      <c r="R9981" s="1" t="s">
        <v>19674</v>
      </c>
      <c r="V9981" s="1" t="s">
        <v>19675</v>
      </c>
      <c r="W9981" s="1" t="s">
        <v>19676</v>
      </c>
      <c r="AR9981" s="1" t="str">
        <f t="shared" si="618"/>
        <v>| [ㄔㄡˊ](ㄔㄡˊ.md) | [仇](仇.md) |  | chóu | [名]
1.讎敵。如：「世仇」。《韓非子．孤憤》：「是智法之士，與當塗之人，不可兩存之仇也。」
2.深切的怨恨。如：「深仇大恨」、「恩將仇報」。
[動]
怨恨。《書經．五子之歌》：「萬姓仇予，予將疇依。」 |</v>
      </c>
    </row>
    <row r="9982" spans="1:44" hidden="1">
      <c r="A9982" s="1" t="s">
        <v>18603</v>
      </c>
      <c r="C9982" s="1">
        <v>1</v>
      </c>
      <c r="D9982" s="1" t="str">
        <f>"08321"</f>
        <v>08321</v>
      </c>
      <c r="E9982" s="1" t="s">
        <v>132</v>
      </c>
      <c r="F9982" s="1">
        <v>6</v>
      </c>
      <c r="G9982" s="1">
        <v>3</v>
      </c>
      <c r="H9982" s="1">
        <v>2</v>
      </c>
      <c r="I9982" s="1" t="s">
        <v>19673</v>
      </c>
      <c r="K9982" s="1" t="str">
        <f t="shared" si="620"/>
        <v>ㄔ</v>
      </c>
      <c r="L9982" s="1" t="str">
        <f t="shared" si="619"/>
        <v>ㄡ</v>
      </c>
      <c r="N9982" s="3" t="s">
        <v>30575</v>
      </c>
      <c r="O9982" s="3"/>
      <c r="P9982" s="1" t="s">
        <v>110</v>
      </c>
      <c r="R9982" s="1" t="s">
        <v>19674</v>
      </c>
      <c r="V9982" s="1" t="s">
        <v>111</v>
      </c>
      <c r="W9982" s="1" t="s">
        <v>19677</v>
      </c>
      <c r="AR9982" s="1" t="str">
        <f t="shared" si="618"/>
        <v>| [ㄔㄡˊ](ㄔㄡˊ.md) | [圳](圳.md) |  | chóu | (一)之又音。 |</v>
      </c>
    </row>
    <row r="9983" spans="1:44" hidden="1">
      <c r="A9983" s="1" t="s">
        <v>19678</v>
      </c>
      <c r="C9983" s="1">
        <v>1</v>
      </c>
      <c r="D9983" s="1" t="str">
        <f>"08322"</f>
        <v>08322</v>
      </c>
      <c r="E9983" s="1" t="s">
        <v>250</v>
      </c>
      <c r="F9983" s="1">
        <v>11</v>
      </c>
      <c r="G9983" s="1">
        <v>8</v>
      </c>
      <c r="H9983" s="1">
        <v>0</v>
      </c>
      <c r="I9983" s="1" t="s">
        <v>19673</v>
      </c>
      <c r="K9983" s="1" t="str">
        <f t="shared" si="620"/>
        <v>ㄔ</v>
      </c>
      <c r="L9983" s="1" t="str">
        <f t="shared" si="619"/>
        <v>ㄡ</v>
      </c>
      <c r="N9983" s="3" t="s">
        <v>30575</v>
      </c>
      <c r="O9983" s="3"/>
      <c r="P9983" s="1" t="s">
        <v>20</v>
      </c>
      <c r="R9983" s="1" t="s">
        <v>19674</v>
      </c>
      <c r="V9983" s="1" t="s">
        <v>19679</v>
      </c>
      <c r="AR9983" s="1" t="str">
        <f t="shared" si="618"/>
        <v>| [ㄔㄡˊ](ㄔㄡˊ.md) | [惆](惆.md) |  | chóu | 參見「惆悵」條。 |</v>
      </c>
    </row>
    <row r="9984" spans="1:44" hidden="1">
      <c r="A9984" s="1" t="s">
        <v>19680</v>
      </c>
      <c r="C9984" s="1">
        <v>1</v>
      </c>
      <c r="D9984" s="1" t="str">
        <f>"08323"</f>
        <v>08323</v>
      </c>
      <c r="E9984" s="1" t="s">
        <v>429</v>
      </c>
      <c r="F9984" s="1">
        <v>13</v>
      </c>
      <c r="G9984" s="1">
        <v>8</v>
      </c>
      <c r="H9984" s="1">
        <v>0</v>
      </c>
      <c r="I9984" s="1" t="s">
        <v>19673</v>
      </c>
      <c r="K9984" s="1" t="str">
        <f t="shared" si="620"/>
        <v>ㄔ</v>
      </c>
      <c r="L9984" s="1" t="str">
        <f t="shared" si="619"/>
        <v>ㄡ</v>
      </c>
      <c r="N9984" s="3" t="s">
        <v>30575</v>
      </c>
      <c r="O9984" s="3"/>
      <c r="P9984" s="1" t="s">
        <v>20</v>
      </c>
      <c r="R9984" s="1" t="s">
        <v>19674</v>
      </c>
      <c r="V9984" s="1" t="s">
        <v>19681</v>
      </c>
      <c r="AR9984" s="1" t="str">
        <f t="shared" si="618"/>
        <v>| [ㄔㄡˊ](ㄔㄡˊ.md) | [稠](稠.md) |  | chóu | [形]
1.繁、多。如：「地窄人稠」。宋．謝枋得〈蠶婦吟〉：「子規啼徹四更時，起視蠶稠怕葉稀。」
2.深濃、厚密。如：「濃稠」、「粥太稠了。」唐．杜甫〈送韋十六評事充同谷郡防禦判官〉詩：「古色沙土裂，積陰雪雲稠。」
[名]
姓。如漢代有稠雕。 |</v>
      </c>
    </row>
    <row r="9985" spans="1:44" hidden="1">
      <c r="A9985" s="1" t="s">
        <v>19682</v>
      </c>
      <c r="C9985" s="1">
        <v>1</v>
      </c>
      <c r="D9985" s="1" t="str">
        <f>"08324"</f>
        <v>08324</v>
      </c>
      <c r="E9985" s="1" t="s">
        <v>340</v>
      </c>
      <c r="F9985" s="1">
        <v>14</v>
      </c>
      <c r="G9985" s="1">
        <v>8</v>
      </c>
      <c r="H9985" s="1">
        <v>0</v>
      </c>
      <c r="I9985" s="1" t="s">
        <v>19673</v>
      </c>
      <c r="K9985" s="1" t="str">
        <f t="shared" si="620"/>
        <v>ㄔ</v>
      </c>
      <c r="L9985" s="1" t="str">
        <f t="shared" si="619"/>
        <v>ㄡ</v>
      </c>
      <c r="N9985" s="3" t="s">
        <v>30575</v>
      </c>
      <c r="O9985" s="3"/>
      <c r="P9985" s="1" t="s">
        <v>20</v>
      </c>
      <c r="R9985" s="1" t="s">
        <v>19674</v>
      </c>
      <c r="V9985" s="1" t="s">
        <v>19683</v>
      </c>
      <c r="AR9985" s="1" t="str">
        <f t="shared" si="618"/>
        <v>| [ㄔㄡˊ](ㄔㄡˊ.md) | [裯](裯.md) |  | chóu | [名]
1.單薄的被或床帳。《詩經．召南．小星》：「肅肅宵征，抱衾與裯。」漢．毛亨．傳：「衾，被也；裯，襌被也。」漢．鄭玄．箋：「裯，床帳也。」
2.泛指被子。唐．杜甫〈秋雨歎〉三首之二：「城中斗米換衾裯，相許寧論兩相直。」 |</v>
      </c>
    </row>
    <row r="9986" spans="1:44" hidden="1">
      <c r="A9986" s="1" t="s">
        <v>19684</v>
      </c>
      <c r="C9986" s="1">
        <v>1</v>
      </c>
      <c r="D9986" s="1" t="str">
        <f>"08325"</f>
        <v>08325</v>
      </c>
      <c r="E9986" s="1" t="s">
        <v>725</v>
      </c>
      <c r="F9986" s="1">
        <v>14</v>
      </c>
      <c r="G9986" s="1">
        <v>8</v>
      </c>
      <c r="H9986" s="1">
        <v>0</v>
      </c>
      <c r="I9986" s="1" t="s">
        <v>19673</v>
      </c>
      <c r="K9986" s="1" t="str">
        <f t="shared" si="620"/>
        <v>ㄔ</v>
      </c>
      <c r="L9986" s="1" t="str">
        <f t="shared" si="619"/>
        <v>ㄡ</v>
      </c>
      <c r="N9986" s="3" t="s">
        <v>30575</v>
      </c>
      <c r="O9986" s="3"/>
      <c r="P9986" s="1" t="s">
        <v>20</v>
      </c>
      <c r="R9986" s="1" t="s">
        <v>19674</v>
      </c>
      <c r="V9986" s="1" t="s">
        <v>19685</v>
      </c>
      <c r="AR9986" s="1" t="str">
        <f t="shared" si="618"/>
        <v>| [ㄔㄡˊ](ㄔㄡˊ.md) | [綢](綢.md) |  | chóu | [名]
絲織品的通稱。如：「綢緞」、「杭綢」、「府綢」。
[動]
束縛、纏紮。《楚辭．屈原．九歌．湘君》：「薜荔柏兮蕙綢，荃橈兮蘭旌。」 |</v>
      </c>
    </row>
    <row r="9987" spans="1:44" hidden="1">
      <c r="A9987" s="1" t="s">
        <v>19659</v>
      </c>
      <c r="C9987" s="1">
        <v>1</v>
      </c>
      <c r="D9987" s="1" t="str">
        <f>"08326"</f>
        <v>08326</v>
      </c>
      <c r="E9987" s="1" t="s">
        <v>725</v>
      </c>
      <c r="F9987" s="1">
        <v>11</v>
      </c>
      <c r="G9987" s="1">
        <v>5</v>
      </c>
      <c r="H9987" s="1">
        <v>1</v>
      </c>
      <c r="I9987" s="1" t="s">
        <v>19673</v>
      </c>
      <c r="K9987" s="1" t="str">
        <f t="shared" si="620"/>
        <v>ㄔ</v>
      </c>
      <c r="L9987" s="1" t="str">
        <f t="shared" si="619"/>
        <v>ㄡ</v>
      </c>
      <c r="N9987" s="3" t="s">
        <v>30575</v>
      </c>
      <c r="O9987" s="3"/>
      <c r="P9987" s="1" t="s">
        <v>20</v>
      </c>
      <c r="R9987" s="1" t="s">
        <v>19674</v>
      </c>
      <c r="V9987" s="1" t="s">
        <v>19686</v>
      </c>
      <c r="W9987" s="1" t="s">
        <v>19687</v>
      </c>
      <c r="AR9987" s="1" t="str">
        <f t="shared" ref="AR9987:AR10050" si="621">"| ["&amp;I9987&amp;"]("&amp;I9987&amp;".md) | ["&amp;A9987&amp;"]("&amp;A9987&amp;".md) | "&amp;" | "&amp;R9987&amp;" | "&amp;V9987&amp;" |"</f>
        <v>| [ㄔㄡˊ](ㄔㄡˊ.md) | [紬](紬.md) |  | chóu | [名]
絲織品的通稱。通「綢」。宋．陸游〈秋晚雨中〉詩：「醉來且擁黃紬睡，莫問何時后土乾。」 |</v>
      </c>
    </row>
    <row r="9988" spans="1:44" hidden="1">
      <c r="A9988" s="1" t="s">
        <v>19688</v>
      </c>
      <c r="C9988" s="1">
        <v>1</v>
      </c>
      <c r="D9988" s="1" t="str">
        <f>"08327"</f>
        <v>08327</v>
      </c>
      <c r="E9988" s="1" t="s">
        <v>28</v>
      </c>
      <c r="F9988" s="1">
        <v>12</v>
      </c>
      <c r="G9988" s="1">
        <v>9</v>
      </c>
      <c r="H9988" s="1">
        <v>1</v>
      </c>
      <c r="I9988" s="1" t="s">
        <v>19673</v>
      </c>
      <c r="K9988" s="1" t="str">
        <f t="shared" si="620"/>
        <v>ㄔ</v>
      </c>
      <c r="L9988" s="1" t="str">
        <f t="shared" si="619"/>
        <v>ㄡ</v>
      </c>
      <c r="N9988" s="3" t="s">
        <v>30575</v>
      </c>
      <c r="O9988" s="3"/>
      <c r="P9988" s="1" t="s">
        <v>20</v>
      </c>
      <c r="R9988" s="1" t="s">
        <v>19674</v>
      </c>
      <c r="V9988" s="1" t="s">
        <v>19689</v>
      </c>
      <c r="W9988" s="1" t="s">
        <v>19690</v>
      </c>
      <c r="AR9988" s="1" t="str">
        <f t="shared" si="621"/>
        <v>| [ㄔㄡˊ](ㄔㄡˊ.md) | [𠷎](𠷎.md) |  | chóu | [名]
南方的一種野雞。《爾雅．釋鳥》：「雉，南方曰𠷎。」 |</v>
      </c>
    </row>
    <row r="9989" spans="1:44" hidden="1">
      <c r="A9989" s="1" t="s">
        <v>19691</v>
      </c>
      <c r="C9989" s="1">
        <v>1</v>
      </c>
      <c r="D9989" s="1" t="str">
        <f>"08328"</f>
        <v>08328</v>
      </c>
      <c r="E9989" s="1" t="s">
        <v>331</v>
      </c>
      <c r="F9989" s="1">
        <v>13</v>
      </c>
      <c r="G9989" s="1">
        <v>6</v>
      </c>
      <c r="H9989" s="1">
        <v>0</v>
      </c>
      <c r="I9989" s="1" t="s">
        <v>19673</v>
      </c>
      <c r="K9989" s="1" t="str">
        <f t="shared" si="620"/>
        <v>ㄔ</v>
      </c>
      <c r="L9989" s="1" t="str">
        <f t="shared" si="619"/>
        <v>ㄡ</v>
      </c>
      <c r="N9989" s="3" t="s">
        <v>30575</v>
      </c>
      <c r="O9989" s="3"/>
      <c r="P9989" s="1" t="s">
        <v>20</v>
      </c>
      <c r="R9989" s="1" t="s">
        <v>19674</v>
      </c>
      <c r="V9989" s="1" t="s">
        <v>19692</v>
      </c>
      <c r="AR9989" s="1" t="str">
        <f t="shared" si="621"/>
        <v>| [ㄔㄡˊ](ㄔㄡˊ.md) | [詶](詶.md) |  | chóu | [動]
1.應答。《廣韻．平聲．尤韻》：「詶，以言答之。」如：「詶對」。
2.報答。同「酬」。《後漢書．卷一．光武紀上》：「其顯效未詶，名籍未立者。」 |</v>
      </c>
    </row>
    <row r="9990" spans="1:44" hidden="1">
      <c r="A9990" s="1" t="s">
        <v>19693</v>
      </c>
      <c r="C9990" s="1">
        <v>1</v>
      </c>
      <c r="D9990" s="1" t="str">
        <f>"08329"</f>
        <v>08329</v>
      </c>
      <c r="E9990" s="1" t="s">
        <v>1462</v>
      </c>
      <c r="F9990" s="1">
        <v>13</v>
      </c>
      <c r="G9990" s="1">
        <v>6</v>
      </c>
      <c r="H9990" s="1">
        <v>0</v>
      </c>
      <c r="I9990" s="1" t="s">
        <v>19673</v>
      </c>
      <c r="K9990" s="1" t="str">
        <f t="shared" si="620"/>
        <v>ㄔ</v>
      </c>
      <c r="L9990" s="1" t="str">
        <f t="shared" si="619"/>
        <v>ㄡ</v>
      </c>
      <c r="N9990" s="3" t="s">
        <v>30575</v>
      </c>
      <c r="O9990" s="3"/>
      <c r="P9990" s="1" t="s">
        <v>20</v>
      </c>
      <c r="R9990" s="1" t="s">
        <v>19674</v>
      </c>
      <c r="V9990" s="1" t="s">
        <v>19694</v>
      </c>
      <c r="AR9990" s="1" t="str">
        <f t="shared" si="621"/>
        <v>| [ㄔㄡˊ](ㄔㄡˊ.md) | [酬](酬.md) |  | chóu | [動]
1.勸酒、敬酒。《玉篇．酉部》：「酬，勸也。」《喻世明言．卷四〇．沈小霞相會出師表》：「下官代他酬老先生一盃。」
2.贈與。《儀禮．士冠禮》：「主人酬賓束帛儷皮。」《清平山堂話本．夔關姚卞弔諸葛》：「命童子取銀一錠，以酬潤筆之資。」
3.報答。如：「酬謝」。《左傳．昭公二十七年》：「為惠已甚，吾無以酬之，若何？」唐．李白〈走筆贈獨孤駙馬〉詩：「長揖蒙垂國士恩，壯心剖出酬知己。」
4.應對、唱和。《晉書．卷六二．劉琨傳》：「諶素無奇略，以常詞酬和。」《元史．卷一七〇．張昉傳》：「左酬右答，咸得其當。」
5.實現、償願。如：「壯志未酬」。宋．陸游〈倚樓〉詩：「未酬馬上功名願，已是人間老大身。」 |</v>
      </c>
    </row>
    <row r="9991" spans="1:44" hidden="1">
      <c r="A9991" s="1" t="s">
        <v>19695</v>
      </c>
      <c r="C9991" s="1">
        <v>1</v>
      </c>
      <c r="D9991" s="1" t="str">
        <f>"08330"</f>
        <v>08330</v>
      </c>
      <c r="E9991" s="1" t="s">
        <v>250</v>
      </c>
      <c r="F9991" s="1">
        <v>13</v>
      </c>
      <c r="G9991" s="1">
        <v>9</v>
      </c>
      <c r="H9991" s="1">
        <v>0</v>
      </c>
      <c r="I9991" s="1" t="s">
        <v>19673</v>
      </c>
      <c r="K9991" s="1" t="str">
        <f t="shared" si="620"/>
        <v>ㄔ</v>
      </c>
      <c r="L9991" s="1" t="str">
        <f t="shared" si="619"/>
        <v>ㄡ</v>
      </c>
      <c r="N9991" s="3" t="s">
        <v>30575</v>
      </c>
      <c r="O9991" s="3"/>
      <c r="P9991" s="1" t="s">
        <v>20</v>
      </c>
      <c r="R9991" s="1" t="s">
        <v>19674</v>
      </c>
      <c r="V9991" s="1" t="s">
        <v>19696</v>
      </c>
      <c r="AR9991" s="1" t="str">
        <f t="shared" si="621"/>
        <v>| [ㄔㄡˊ](ㄔㄡˊ.md) | [愁](愁.md) |  | chóu | [名]
憂傷的心緒。如：「離愁」、「鄉愁」。唐．杜甫〈聞官軍收河南河北〉詩：「卻看妻子愁何在，漫卷詩書喜欲狂。」
[動]
憂慮、悲傷。如：「不愁吃穿」。唐．崔顥〈黃鶴樓〉詩：「日暮鄉關何處是，煙波江上使人愁。」
[形]
憂傷的、慘淡的。如：「愁緒」、「愁眉苦臉」、「愁雲慘霧」。唐．司空曙〈賊平後送人北歸〉詩：「寒禽與衰草，處處伴愁顏。」 |</v>
      </c>
    </row>
    <row r="9992" spans="1:44" hidden="1">
      <c r="A9992" s="1" t="s">
        <v>19697</v>
      </c>
      <c r="C9992" s="1">
        <v>1</v>
      </c>
      <c r="D9992" s="1" t="str">
        <f>"08331"</f>
        <v>08331</v>
      </c>
      <c r="E9992" s="1" t="s">
        <v>129</v>
      </c>
      <c r="F9992" s="1">
        <v>16</v>
      </c>
      <c r="G9992" s="1">
        <v>13</v>
      </c>
      <c r="H9992" s="1">
        <v>0</v>
      </c>
      <c r="I9992" s="1" t="s">
        <v>19673</v>
      </c>
      <c r="K9992" s="1" t="str">
        <f t="shared" si="620"/>
        <v>ㄔ</v>
      </c>
      <c r="L9992" s="1" t="str">
        <f t="shared" si="619"/>
        <v>ㄡ</v>
      </c>
      <c r="N9992" s="3" t="s">
        <v>30575</v>
      </c>
      <c r="O9992" s="3"/>
      <c r="P9992" s="1" t="s">
        <v>20</v>
      </c>
      <c r="R9992" s="1" t="s">
        <v>19674</v>
      </c>
      <c r="V9992" s="1" t="s">
        <v>19698</v>
      </c>
      <c r="AR9992" s="1" t="str">
        <f t="shared" si="621"/>
        <v>| [ㄔㄡˊ](ㄔㄡˊ.md) | [㵞](㵞.md) |  | chóu | [副]
憂愁、鬱悶。漢．賈誼《新書．卷六．容經》：「軍旅之志，惟然慍然精以厲；喪紀之志，漻然㵞然憂以湫。」 |</v>
      </c>
    </row>
    <row r="9993" spans="1:44" hidden="1">
      <c r="A9993" s="1" t="s">
        <v>19699</v>
      </c>
      <c r="C9993" s="1">
        <v>1</v>
      </c>
      <c r="D9993" s="1" t="str">
        <f>"08332"</f>
        <v>08332</v>
      </c>
      <c r="E9993" s="1" t="s">
        <v>5383</v>
      </c>
      <c r="F9993" s="1">
        <v>16</v>
      </c>
      <c r="G9993" s="1">
        <v>8</v>
      </c>
      <c r="H9993" s="1">
        <v>0</v>
      </c>
      <c r="I9993" s="1" t="s">
        <v>19673</v>
      </c>
      <c r="K9993" s="1" t="str">
        <f t="shared" si="620"/>
        <v>ㄔ</v>
      </c>
      <c r="L9993" s="1" t="str">
        <f t="shared" si="619"/>
        <v>ㄡ</v>
      </c>
      <c r="N9993" s="3" t="s">
        <v>30575</v>
      </c>
      <c r="O9993" s="3"/>
      <c r="P9993" s="1" t="s">
        <v>20</v>
      </c>
      <c r="R9993" s="1" t="s">
        <v>19674</v>
      </c>
      <c r="V9993" s="1" t="s">
        <v>19700</v>
      </c>
      <c r="AR9993" s="1" t="str">
        <f t="shared" si="621"/>
        <v>| [ㄔㄡˊ](ㄔㄡˊ.md) | [雔](雔.md) |  | chóu | [名]
成雙成對的鳥。《說文解字．雔部》：「雔，雙鳥也。」 |</v>
      </c>
    </row>
    <row r="9994" spans="1:44" hidden="1">
      <c r="A9994" s="1" t="s">
        <v>19701</v>
      </c>
      <c r="C9994" s="1">
        <v>1</v>
      </c>
      <c r="D9994" s="1" t="str">
        <f>"08333"</f>
        <v>08333</v>
      </c>
      <c r="E9994" s="1" t="s">
        <v>331</v>
      </c>
      <c r="F9994" s="1">
        <v>23</v>
      </c>
      <c r="G9994" s="1">
        <v>16</v>
      </c>
      <c r="H9994" s="1">
        <v>0</v>
      </c>
      <c r="I9994" s="1" t="s">
        <v>19673</v>
      </c>
      <c r="K9994" s="1" t="str">
        <f t="shared" si="620"/>
        <v>ㄔ</v>
      </c>
      <c r="L9994" s="1" t="str">
        <f t="shared" ref="L9994:L10057" si="622">MID(I9994, 2, 1)</f>
        <v>ㄡ</v>
      </c>
      <c r="N9994" s="3" t="s">
        <v>30575</v>
      </c>
      <c r="O9994" s="3"/>
      <c r="P9994" s="1" t="s">
        <v>20</v>
      </c>
      <c r="R9994" s="1" t="s">
        <v>19674</v>
      </c>
      <c r="V9994" s="1" t="s">
        <v>19702</v>
      </c>
      <c r="AR9994" s="1" t="str">
        <f t="shared" si="621"/>
        <v>| [ㄔㄡˊ](ㄔㄡˊ.md) | [讎](讎.md) |  | chóu | [動]
1.應答、對答。《詩經．大雅．抑》：「無言不讎，無德不報。」《新唐書．卷八五．王世充傳》：「而世充素詭妄，不能讎其語，士大夫遂貳。」
2.相等、相類。漢．揚雄《法言．重黎》：「夫欲讎偽者必假真，禹乎盧乎終始乎。」《漢書．卷六八．霍光傳》：「卒不得遂其謀，皆讎有功。」
3.適當、恰當。《史記．卷一〇七．魏其武安侯傳》：「於是上使御史簿責魏其所言灌夫，頗不讎，欺謾。」
4.應驗。《史記．卷二八．封禪書》：「五利妄言見其師，其方盡，多不讎。上乃誅五利。」
5.校對、校勘。《文選．左思．魏都賦》：「讎校篆籀，篇章畢覿。」《新唐書．卷九八．王珪傳》：「召入祕書內省，讎定群書。」
6.償付。《資治通鑑．卷五四．漢紀四十六．桓帝延熹五年》：「云臣私報諸羌，讎以錢貨。」
[名]
1.仇怨。通「仇」。如：「世讎」、「私讎」。《左傳．襄公二十一年》：「祁大夫外舉不棄讎，內舉不失親。」
2.姓。如漢代有讎遷。 |</v>
      </c>
    </row>
    <row r="9995" spans="1:44" hidden="1">
      <c r="A9995" s="1" t="s">
        <v>19703</v>
      </c>
      <c r="C9995" s="1">
        <v>1</v>
      </c>
      <c r="D9995" s="1" t="str">
        <f>"08334"</f>
        <v>08334</v>
      </c>
      <c r="E9995" s="1" t="s">
        <v>114</v>
      </c>
      <c r="F9995" s="1">
        <v>16</v>
      </c>
      <c r="G9995" s="1">
        <v>14</v>
      </c>
      <c r="H9995" s="1">
        <v>0</v>
      </c>
      <c r="I9995" s="1" t="s">
        <v>19673</v>
      </c>
      <c r="K9995" s="1" t="str">
        <f t="shared" si="620"/>
        <v>ㄔ</v>
      </c>
      <c r="L9995" s="1" t="str">
        <f t="shared" si="622"/>
        <v>ㄡ</v>
      </c>
      <c r="N9995" s="3" t="s">
        <v>30575</v>
      </c>
      <c r="O9995" s="3"/>
      <c r="P9995" s="1" t="s">
        <v>20</v>
      </c>
      <c r="R9995" s="1" t="s">
        <v>19674</v>
      </c>
      <c r="V9995" s="1" t="s">
        <v>19704</v>
      </c>
      <c r="AR9995" s="1" t="str">
        <f t="shared" si="621"/>
        <v>| [ㄔㄡˊ](ㄔㄡˊ.md) | [儔](儔.md) |  | chóu | [名]
1.伴侶。唐．韓愈〈送窮文〉：「攜朋挈儔，去故就新。」元．關漢卿《竇娥冤》第一折：「則被你坑殺人燕侶鶯儔。」
2.同類、同輩。《文選．曹植．七啟》：「若夫田文無忌之儔，乃上古之俊公子也。」
[動]
匹敵、相比。《文選．嵇康．幽憤詩》：「嗟我憤歎，曾莫能儔。」《文選．孔稚珪．北山移文》：「務光何足比，涓子不能儔。」 |</v>
      </c>
    </row>
    <row r="9996" spans="1:44" hidden="1">
      <c r="A9996" s="1" t="s">
        <v>19705</v>
      </c>
      <c r="C9996" s="1">
        <v>1</v>
      </c>
      <c r="D9996" s="1" t="str">
        <f>"08335"</f>
        <v>08335</v>
      </c>
      <c r="E9996" s="1" t="s">
        <v>250</v>
      </c>
      <c r="F9996" s="1">
        <v>17</v>
      </c>
      <c r="G9996" s="1">
        <v>14</v>
      </c>
      <c r="H9996" s="1">
        <v>0</v>
      </c>
      <c r="I9996" s="1" t="s">
        <v>19673</v>
      </c>
      <c r="K9996" s="1" t="str">
        <f t="shared" si="620"/>
        <v>ㄔ</v>
      </c>
      <c r="L9996" s="1" t="str">
        <f t="shared" si="622"/>
        <v>ㄡ</v>
      </c>
      <c r="N9996" s="3" t="s">
        <v>30575</v>
      </c>
      <c r="O9996" s="3"/>
      <c r="P9996" s="1" t="s">
        <v>20</v>
      </c>
      <c r="R9996" s="1" t="s">
        <v>19674</v>
      </c>
      <c r="V9996" s="1" t="s">
        <v>19706</v>
      </c>
      <c r="AR9996" s="1" t="str">
        <f t="shared" si="621"/>
        <v>| [ㄔㄡˊ](ㄔㄡˊ.md) | [懤](懤.md) |  | chóu | 參見「懤懤」條。 |</v>
      </c>
    </row>
    <row r="9997" spans="1:44" hidden="1">
      <c r="A9997" s="1" t="s">
        <v>4846</v>
      </c>
      <c r="C9997" s="1">
        <v>1</v>
      </c>
      <c r="D9997" s="1" t="str">
        <f>"08336"</f>
        <v>08336</v>
      </c>
      <c r="E9997" s="1" t="s">
        <v>222</v>
      </c>
      <c r="F9997" s="1">
        <v>17</v>
      </c>
      <c r="G9997" s="1">
        <v>14</v>
      </c>
      <c r="H9997" s="1">
        <v>2</v>
      </c>
      <c r="I9997" s="1" t="s">
        <v>19673</v>
      </c>
      <c r="K9997" s="1" t="str">
        <f t="shared" si="620"/>
        <v>ㄔ</v>
      </c>
      <c r="L9997" s="1" t="str">
        <f t="shared" si="622"/>
        <v>ㄡ</v>
      </c>
      <c r="N9997" s="3" t="s">
        <v>30575</v>
      </c>
      <c r="O9997" s="3"/>
      <c r="P9997" s="1" t="s">
        <v>20</v>
      </c>
      <c r="R9997" s="1" t="s">
        <v>19674</v>
      </c>
      <c r="V9997" s="1" t="s">
        <v>19707</v>
      </c>
      <c r="W9997" s="1" t="s">
        <v>19708</v>
      </c>
      <c r="AR9997" s="1" t="str">
        <f t="shared" si="621"/>
        <v>| [ㄔㄡˊ](ㄔㄡˊ.md) | [幬](幬.md) |  | chóu | [名]
1.蚊帳、帷幕。《南史．卷七〇．循吏傳．孫謙傳》：「夏日無幬帳，而夜臥未嘗有蚊蚋，人多異焉。」南朝梁．沈約〈休沐寄懷詩〉：「送日隱層閣，引月入輕幬。」
2.舟車上的帷幕。《史記．卷二三．禮書》：「大路之素幬也。」唐．司馬貞．索隱：「幬，謂車蓋以素帷。」 |</v>
      </c>
    </row>
    <row r="9998" spans="1:44" hidden="1">
      <c r="A9998" s="1" t="s">
        <v>19709</v>
      </c>
      <c r="C9998" s="1">
        <v>1</v>
      </c>
      <c r="D9998" s="1" t="str">
        <f>"08337"</f>
        <v>08337</v>
      </c>
      <c r="E9998" s="1" t="s">
        <v>753</v>
      </c>
      <c r="F9998" s="1">
        <v>19</v>
      </c>
      <c r="G9998" s="1">
        <v>14</v>
      </c>
      <c r="H9998" s="1">
        <v>0</v>
      </c>
      <c r="I9998" s="1" t="s">
        <v>19673</v>
      </c>
      <c r="K9998" s="1" t="str">
        <f t="shared" si="620"/>
        <v>ㄔ</v>
      </c>
      <c r="L9998" s="1" t="str">
        <f t="shared" si="622"/>
        <v>ㄡ</v>
      </c>
      <c r="N9998" s="3" t="s">
        <v>30575</v>
      </c>
      <c r="O9998" s="3"/>
      <c r="P9998" s="1" t="s">
        <v>20</v>
      </c>
      <c r="R9998" s="1" t="s">
        <v>19674</v>
      </c>
      <c r="V9998" s="1" t="s">
        <v>19710</v>
      </c>
      <c r="AR9998" s="1" t="str">
        <f t="shared" si="621"/>
        <v>| [ㄔㄡˊ](ㄔㄡˊ.md) | [疇](疇.md) |  | chóu | [名]
1.田地。如：「田疇」、「荒疇」、「綠野平疇」。
2.田間區分各種作物的界限。《文選．左思．蜀都賦》：「其園則有蒟蒻茱萸，瓜疇芋區，甘蔗辛薑。」
3.種類、類別。如：「範疇」。《戰國策．齊策三》：「夫物各有疇，今髡賢者之疇也。」
4.姓。如春秋時越國有疇無餘。
[動]
使相等。《漢書．卷八．宣帝紀》：「復其後世，疇其爵邑，世世毋有所與。」《資治通鑑．卷三五．漢紀二十七．平帝元始元年》：「莽宜賜號曰安漢公，益戶疇爵邑。」
[代]
誰。《文選．張衡．西京賦》：「天命不濤，疇敢以渝。」唐．杜甫〈九日寄岑參〉詩：「安得誅雲師，疇能補天漏？」 |</v>
      </c>
    </row>
    <row r="9999" spans="1:44" hidden="1">
      <c r="A9999" s="1" t="s">
        <v>19711</v>
      </c>
      <c r="C9999" s="1">
        <v>1</v>
      </c>
      <c r="D9999" s="1" t="str">
        <f>"08338"</f>
        <v>08338</v>
      </c>
      <c r="E9999" s="1" t="s">
        <v>49</v>
      </c>
      <c r="F9999" s="1">
        <v>20</v>
      </c>
      <c r="G9999" s="1">
        <v>14</v>
      </c>
      <c r="H9999" s="1">
        <v>0</v>
      </c>
      <c r="I9999" s="1" t="s">
        <v>19673</v>
      </c>
      <c r="K9999" s="1" t="str">
        <f t="shared" si="620"/>
        <v>ㄔ</v>
      </c>
      <c r="L9999" s="1" t="str">
        <f t="shared" si="622"/>
        <v>ㄡ</v>
      </c>
      <c r="N9999" s="3" t="s">
        <v>30575</v>
      </c>
      <c r="O9999" s="3"/>
      <c r="P9999" s="1" t="s">
        <v>20</v>
      </c>
      <c r="R9999" s="1" t="s">
        <v>19674</v>
      </c>
      <c r="V9999" s="1" t="s">
        <v>19712</v>
      </c>
      <c r="AR9999" s="1" t="str">
        <f t="shared" si="621"/>
        <v>| [ㄔㄡˊ](ㄔㄡˊ.md) | [籌](籌.md) |  | chóu | [動]
計算、謀劃。如：《史記．卷五五．留侯世家》：「臣請藉前箸為大王籌之。」《後漢書．卷六五．皇甫規傳》：「豫籌其事，有誤中之言。」
[名]
1.計數的器具。《漢書．卷二七．五行志下之上》：「籌，所以紀數。」《資治通鑑．卷一九七．唐紀十三．太宗貞觀十九年》：「文本夙夜勤力，躬自料配，籌、筆不去手。」元．胡三省．注：「籌，所以計算。」
2.計策、計謀。《晉書．卷一．宣帝紀》：「昔箕子陳謀，以食為首。今天下不耕者蓋二十餘萬，非經國遠籌也。」唐．元稹〈陽城驛〉詩：「希夷惇薄俗，密勿獻良籌。」
3.量詞。古代計算人數的單位。通「條」。如：「六籌好漢」。《警世通言．卷二二．宋小官團圓破氈笠》：「當時聚起十六籌後生，準備八副繩索扛棒，隨宋金往土地廟來。」 |</v>
      </c>
    </row>
    <row r="10000" spans="1:44" hidden="1">
      <c r="A10000" s="1" t="s">
        <v>19713</v>
      </c>
      <c r="C10000" s="1">
        <v>1</v>
      </c>
      <c r="D10000" s="1" t="str">
        <f>"08339"</f>
        <v>08339</v>
      </c>
      <c r="E10000" s="1" t="s">
        <v>77</v>
      </c>
      <c r="F10000" s="1">
        <v>21</v>
      </c>
      <c r="G10000" s="1">
        <v>14</v>
      </c>
      <c r="H10000" s="1">
        <v>0</v>
      </c>
      <c r="I10000" s="1" t="s">
        <v>19673</v>
      </c>
      <c r="K10000" s="1" t="str">
        <f t="shared" si="620"/>
        <v>ㄔ</v>
      </c>
      <c r="L10000" s="1" t="str">
        <f t="shared" si="622"/>
        <v>ㄡ</v>
      </c>
      <c r="N10000" s="3" t="s">
        <v>30575</v>
      </c>
      <c r="O10000" s="3"/>
      <c r="P10000" s="1" t="s">
        <v>20</v>
      </c>
      <c r="R10000" s="1" t="s">
        <v>19674</v>
      </c>
      <c r="V10000" s="1" t="s">
        <v>19714</v>
      </c>
      <c r="AR10000" s="1" t="str">
        <f t="shared" si="621"/>
        <v>| [ㄔㄡˊ](ㄔㄡˊ.md) | [躊](躊.md) |  | chóu | 參見「躊佇」、「躊躇」等條。 |</v>
      </c>
    </row>
    <row r="10001" spans="1:44" hidden="1">
      <c r="A10001" s="1" t="s">
        <v>19715</v>
      </c>
      <c r="C10001" s="1">
        <v>1</v>
      </c>
      <c r="D10001" s="1" t="str">
        <f>"08340"</f>
        <v>08340</v>
      </c>
      <c r="E10001" s="1" t="s">
        <v>156</v>
      </c>
      <c r="F10001" s="1">
        <v>18</v>
      </c>
      <c r="G10001" s="1">
        <v>7</v>
      </c>
      <c r="H10001" s="1">
        <v>1</v>
      </c>
      <c r="I10001" s="1" t="s">
        <v>19673</v>
      </c>
      <c r="K10001" s="1" t="str">
        <f t="shared" si="620"/>
        <v>ㄔ</v>
      </c>
      <c r="L10001" s="1" t="str">
        <f t="shared" si="622"/>
        <v>ㄡ</v>
      </c>
      <c r="N10001" s="3" t="s">
        <v>30575</v>
      </c>
      <c r="O10001" s="3"/>
      <c r="P10001" s="1" t="s">
        <v>20</v>
      </c>
      <c r="R10001" s="1" t="s">
        <v>19674</v>
      </c>
      <c r="V10001" s="1" t="s">
        <v>19716</v>
      </c>
      <c r="W10001" s="1" t="s">
        <v>19717</v>
      </c>
      <c r="AR10001" s="1" t="str">
        <f t="shared" si="621"/>
        <v>| [ㄔㄡˊ](ㄔㄡˊ.md) | [鯈](鯈.md) |  | chóu | [名]
動物名。即白鰷。脊椎動物亞門硬骨魚綱條鰭亞綱。產於淡水，身體狹長，背淡黑色，腹白，鱗細。清．徐珂《清稗類鈔．動物類．白鰷》：「白鰷即鯈魚」。也稱為「鰷魚」。 |</v>
      </c>
    </row>
    <row r="10002" spans="1:44" hidden="1">
      <c r="A10002" s="1" t="s">
        <v>19718</v>
      </c>
      <c r="C10002" s="1">
        <v>1</v>
      </c>
      <c r="D10002" s="1" t="str">
        <f>"08341"</f>
        <v>08341</v>
      </c>
      <c r="E10002" s="1" t="s">
        <v>789</v>
      </c>
      <c r="F10002" s="1">
        <v>4</v>
      </c>
      <c r="G10002" s="1">
        <v>3</v>
      </c>
      <c r="H10002" s="1">
        <v>0</v>
      </c>
      <c r="I10002" s="1" t="s">
        <v>19719</v>
      </c>
      <c r="K10002" s="1" t="str">
        <f t="shared" si="620"/>
        <v>ㄔ</v>
      </c>
      <c r="L10002" s="1" t="str">
        <f t="shared" si="622"/>
        <v>ㄡ</v>
      </c>
      <c r="N10002" s="3" t="s">
        <v>30576</v>
      </c>
      <c r="O10002" s="3"/>
      <c r="P10002" s="1" t="s">
        <v>20</v>
      </c>
      <c r="R10002" s="1" t="s">
        <v>19720</v>
      </c>
      <c r="V10002" s="1" t="s">
        <v>19721</v>
      </c>
      <c r="AR10002" s="1" t="str">
        <f t="shared" si="621"/>
        <v>| [ㄔㄡˇ](ㄔㄡˇ.md) | [丑](丑.md) |  | chǒu | [名]
1.地支的第二位。
2.時辰名。約當凌晨一點到三點。
3.傳統戲劇中，扮演滑稽可笑人物的喜劇角色。如：「小丑」、「文丑」、「武丑」。元．馬致遠《青衫淚》第二折：「丑扮小閑引淨扮劉一郎上。」
4.姓。如南朝齊有丑千。 |</v>
      </c>
    </row>
    <row r="10003" spans="1:44" hidden="1">
      <c r="A10003" s="1" t="s">
        <v>7523</v>
      </c>
      <c r="C10003" s="1">
        <v>1</v>
      </c>
      <c r="D10003" s="1" t="str">
        <f>"08342"</f>
        <v>08342</v>
      </c>
      <c r="E10003" s="1" t="s">
        <v>139</v>
      </c>
      <c r="F10003" s="1">
        <v>8</v>
      </c>
      <c r="G10003" s="1">
        <v>4</v>
      </c>
      <c r="H10003" s="1">
        <v>1</v>
      </c>
      <c r="I10003" s="1" t="s">
        <v>19719</v>
      </c>
      <c r="K10003" s="1" t="str">
        <f t="shared" si="620"/>
        <v>ㄔ</v>
      </c>
      <c r="L10003" s="1" t="str">
        <f t="shared" si="622"/>
        <v>ㄡ</v>
      </c>
      <c r="N10003" s="3" t="s">
        <v>30576</v>
      </c>
      <c r="O10003" s="3"/>
      <c r="P10003" s="1" t="s">
        <v>20</v>
      </c>
      <c r="R10003" s="1" t="s">
        <v>19720</v>
      </c>
      <c r="V10003" s="1" t="s">
        <v>19722</v>
      </c>
      <c r="W10003" s="1" t="s">
        <v>19723</v>
      </c>
      <c r="AR10003" s="1" t="str">
        <f t="shared" si="621"/>
        <v>| [ㄔㄡˇ](ㄔㄡˇ.md) | [杻](杻.md) |  | chǒu | [名]_x000D_
一種古代的刑具。即手銬。《舊唐書．卷五〇．刑法志》：「繫囚之具，有枷、杻、鉗、鎖，皆有長短廣狹之制。」 |</v>
      </c>
    </row>
    <row r="10004" spans="1:44" hidden="1">
      <c r="A10004" s="1" t="s">
        <v>19724</v>
      </c>
      <c r="C10004" s="1">
        <v>1</v>
      </c>
      <c r="D10004" s="1" t="str">
        <f>"08343"</f>
        <v>08343</v>
      </c>
      <c r="E10004" s="1" t="s">
        <v>114</v>
      </c>
      <c r="F10004" s="1">
        <v>11</v>
      </c>
      <c r="G10004" s="1">
        <v>9</v>
      </c>
      <c r="H10004" s="1">
        <v>0</v>
      </c>
      <c r="I10004" s="1" t="s">
        <v>19719</v>
      </c>
      <c r="K10004" s="1" t="str">
        <f t="shared" si="620"/>
        <v>ㄔ</v>
      </c>
      <c r="L10004" s="1" t="str">
        <f t="shared" si="622"/>
        <v>ㄡ</v>
      </c>
      <c r="N10004" s="3" t="s">
        <v>30576</v>
      </c>
      <c r="O10004" s="3"/>
      <c r="P10004" s="1" t="s">
        <v>20</v>
      </c>
      <c r="R10004" s="1" t="s">
        <v>19720</v>
      </c>
      <c r="V10004" s="1" t="s">
        <v>19725</v>
      </c>
      <c r="AR10004" s="1" t="str">
        <f t="shared" si="621"/>
        <v>| [ㄔㄡˇ](ㄔㄡˇ.md) | [偢](偢.md) |  | chǒu | [動]
看、理睬。同「瞅」。元．關漢卿《竇娥冤》第一折：「端的個有誰問，有誰偢？」《儒林外史》第六回：「姑奶奶平日只敬重的王家哥兒兩個，把我們不偢不倸。」 |</v>
      </c>
    </row>
    <row r="10005" spans="1:44" hidden="1">
      <c r="A10005" s="1" t="s">
        <v>19726</v>
      </c>
      <c r="C10005" s="1">
        <v>1</v>
      </c>
      <c r="D10005" s="1" t="str">
        <f>"08344"</f>
        <v>08344</v>
      </c>
      <c r="E10005" s="1" t="s">
        <v>1015</v>
      </c>
      <c r="F10005" s="1">
        <v>14</v>
      </c>
      <c r="G10005" s="1">
        <v>9</v>
      </c>
      <c r="H10005" s="1">
        <v>0</v>
      </c>
      <c r="I10005" s="1" t="s">
        <v>19719</v>
      </c>
      <c r="K10005" s="1" t="str">
        <f t="shared" si="620"/>
        <v>ㄔ</v>
      </c>
      <c r="L10005" s="1" t="str">
        <f t="shared" si="622"/>
        <v>ㄡ</v>
      </c>
      <c r="N10005" s="3" t="s">
        <v>30576</v>
      </c>
      <c r="O10005" s="3"/>
      <c r="P10005" s="1" t="s">
        <v>20</v>
      </c>
      <c r="R10005" s="1" t="s">
        <v>19720</v>
      </c>
      <c r="V10005" s="1" t="s">
        <v>19727</v>
      </c>
      <c r="AR10005" s="1" t="str">
        <f t="shared" si="621"/>
        <v>| [ㄔㄡˇ](ㄔㄡˇ.md) | [瞅](瞅.md) |  | chǒu | [動]
看。如：「瞅了一眼」。《兒女英雄傳》第九回：「張老聽了，瞅著老婆兒，老婆兒瞅著女兒，……大不得主意起來。」 |</v>
      </c>
    </row>
    <row r="10006" spans="1:44" hidden="1">
      <c r="A10006" s="1" t="s">
        <v>19728</v>
      </c>
      <c r="C10006" s="1">
        <v>1</v>
      </c>
      <c r="D10006" s="1" t="str">
        <f>"08345"</f>
        <v>08345</v>
      </c>
      <c r="E10006" s="1" t="s">
        <v>1462</v>
      </c>
      <c r="F10006" s="1">
        <v>17</v>
      </c>
      <c r="G10006" s="1">
        <v>10</v>
      </c>
      <c r="H10006" s="1">
        <v>0</v>
      </c>
      <c r="I10006" s="1" t="s">
        <v>19719</v>
      </c>
      <c r="K10006" s="1" t="str">
        <f t="shared" si="620"/>
        <v>ㄔ</v>
      </c>
      <c r="L10006" s="1" t="str">
        <f t="shared" si="622"/>
        <v>ㄡ</v>
      </c>
      <c r="N10006" s="3" t="s">
        <v>30576</v>
      </c>
      <c r="O10006" s="3"/>
      <c r="P10006" s="1" t="s">
        <v>20</v>
      </c>
      <c r="R10006" s="1" t="s">
        <v>19720</v>
      </c>
      <c r="V10006" s="1" t="s">
        <v>19729</v>
      </c>
      <c r="AR10006" s="1" t="str">
        <f t="shared" si="621"/>
        <v>| [ㄔㄡˇ](ㄔㄡˇ.md) | [醜](醜.md) |  | chǒu | [形]
1.形貌陋劣、難看。《南史．卷三三．張邵傳》：「融形貌短醜，精神清徹。」
2.惡劣的、不好的。如：「醜聞」、「醜事」。《史記．卷七．項羽本紀》：「項羽為天下宰，不平。今盡王故王於醜地，而王其群臣諸將善地。」
3.汙穢。《文選．司馬遷．報任少卿書》：「行莫醜於辱先，詬莫大於宮刑。」唐．李善．注：「醜，穢也。」
[動]
1.憎惡。《書經．胤征》：「既醜有夏，復歸於亳。」《左傳．昭公二十八年》：「惡直醜正，實蕃有徒。」
2.汙辱。如：「醜詆」、「醜化」。《呂氏春秋．季冬紀．不侵》：「秦昭王聞之，而欲醜之以辭。」
3.相類。《孟子．公孫丑下》：「今天下地醜德齊，莫能相尚。」
[名]
1.羞恥、不光榮的事。如：「家醜不可外揚」。漢．劉向《新序．卷三．雜事》：「然得賢士與共國，以雪先王之醜，孤之願也。」
2.醜惡、低賤之人。《詩經．大雅．綿》：「迺立冢土，戎醜攸行。」《晉書．卷六六．陶侃傳》：「侃以偏旅獨當大寇，無征不克，群醜破滅。」
3.姓。如漢代有醜長。 |</v>
      </c>
    </row>
    <row r="10007" spans="1:44" hidden="1">
      <c r="A10007" s="1" t="s">
        <v>19844</v>
      </c>
      <c r="C10007" s="1">
        <v>1</v>
      </c>
      <c r="D10007" s="1" t="str">
        <f>"08397"</f>
        <v>08397</v>
      </c>
      <c r="E10007" s="1" t="s">
        <v>4265</v>
      </c>
      <c r="F10007" s="1">
        <v>8</v>
      </c>
      <c r="G10007" s="1">
        <v>7</v>
      </c>
      <c r="H10007" s="1">
        <v>0</v>
      </c>
      <c r="I10007" s="1" t="s">
        <v>19845</v>
      </c>
      <c r="K10007" s="1" t="str">
        <f t="shared" si="620"/>
        <v>ㄔ</v>
      </c>
      <c r="L10007" s="1" t="str">
        <f t="shared" si="622"/>
        <v>ㄢ</v>
      </c>
      <c r="N10007" s="3" t="s">
        <v>30574</v>
      </c>
      <c r="O10007" s="3"/>
      <c r="P10007" s="1" t="s">
        <v>20</v>
      </c>
      <c r="R10007" s="1" t="s">
        <v>19846</v>
      </c>
      <c r="V10007" s="1" t="s">
        <v>19847</v>
      </c>
      <c r="AR10007" s="1" t="str">
        <f t="shared" si="621"/>
        <v>| [ㄔㄢˋ](ㄔㄢˋ.md) | [丳](丳.md) |  | chàn | [名]
烤肉時用來串肉的竹籤。唐．韓愈〈贈張籍〉詩：「試將詩義授，如以肉貫丳。」 |</v>
      </c>
    </row>
    <row r="10008" spans="1:44" hidden="1">
      <c r="A10008" s="1" t="s">
        <v>19811</v>
      </c>
      <c r="C10008" s="1">
        <v>1</v>
      </c>
      <c r="D10008" s="1" t="str">
        <f>"08398"</f>
        <v>08398</v>
      </c>
      <c r="E10008" s="1" t="s">
        <v>185</v>
      </c>
      <c r="F10008" s="1">
        <v>10</v>
      </c>
      <c r="G10008" s="1">
        <v>8</v>
      </c>
      <c r="H10008" s="1">
        <v>2</v>
      </c>
      <c r="I10008" s="1" t="s">
        <v>19845</v>
      </c>
      <c r="K10008" s="1" t="str">
        <f t="shared" si="620"/>
        <v>ㄔ</v>
      </c>
      <c r="L10008" s="1" t="str">
        <f t="shared" si="622"/>
        <v>ㄢ</v>
      </c>
      <c r="N10008" s="3" t="s">
        <v>30574</v>
      </c>
      <c r="O10008" s="3"/>
      <c r="P10008" s="1" t="s">
        <v>20</v>
      </c>
      <c r="R10008" s="1" t="s">
        <v>19846</v>
      </c>
      <c r="V10008" s="1" t="s">
        <v>19848</v>
      </c>
      <c r="W10008" s="1" t="s">
        <v>19849</v>
      </c>
      <c r="AR10008" s="1" t="str">
        <f t="shared" si="621"/>
        <v>| [ㄔㄢˋ](ㄔㄢˋ.md) | [剗](剗.md) |  | chàn | 參見「一剗」條。 |</v>
      </c>
    </row>
    <row r="10009" spans="1:44" hidden="1">
      <c r="A10009" s="1" t="s">
        <v>19850</v>
      </c>
      <c r="C10009" s="1">
        <v>1</v>
      </c>
      <c r="D10009" s="1" t="str">
        <f>"08399"</f>
        <v>08399</v>
      </c>
      <c r="E10009" s="1" t="s">
        <v>114</v>
      </c>
      <c r="F10009" s="1">
        <v>19</v>
      </c>
      <c r="G10009" s="1">
        <v>17</v>
      </c>
      <c r="H10009" s="1">
        <v>0</v>
      </c>
      <c r="I10009" s="1" t="s">
        <v>19845</v>
      </c>
      <c r="K10009" s="1" t="str">
        <f t="shared" si="620"/>
        <v>ㄔ</v>
      </c>
      <c r="L10009" s="1" t="str">
        <f t="shared" si="622"/>
        <v>ㄢ</v>
      </c>
      <c r="N10009" s="3" t="s">
        <v>30574</v>
      </c>
      <c r="O10009" s="3"/>
      <c r="P10009" s="1" t="s">
        <v>20</v>
      </c>
      <c r="R10009" s="1" t="s">
        <v>19846</v>
      </c>
      <c r="V10009" s="1" t="s">
        <v>19851</v>
      </c>
      <c r="AR10009" s="1" t="str">
        <f t="shared" si="621"/>
        <v>| [ㄔㄢˋ](ㄔㄢˋ.md) | [儳](儳.md) |  | chàn | [形]
1.雜亂不整齊。《玉篇．人部》：「儳，不齊。」《左傳．僖公二十二年》：「聲盛致志，鼓儳可也。」
2.便捷的。《後漢書．卷六九．何進傳》：「進驚，馳從儳道歸營。」
3.輕浮不莊重。《禮記．表記》：「君子不以一日使其躬儳焉，如不終日。」漢．鄭玄．注：「儳焉，可輕賤之貌也。」 |</v>
      </c>
    </row>
    <row r="10010" spans="1:44" hidden="1">
      <c r="A10010" s="1" t="s">
        <v>19852</v>
      </c>
      <c r="C10010" s="1">
        <v>1</v>
      </c>
      <c r="D10010" s="1" t="str">
        <f>"08400"</f>
        <v>08400</v>
      </c>
      <c r="E10010" s="1" t="s">
        <v>28</v>
      </c>
      <c r="F10010" s="1">
        <v>20</v>
      </c>
      <c r="G10010" s="1">
        <v>17</v>
      </c>
      <c r="H10010" s="1">
        <v>0</v>
      </c>
      <c r="I10010" s="1" t="s">
        <v>19845</v>
      </c>
      <c r="K10010" s="1" t="str">
        <f t="shared" si="620"/>
        <v>ㄔ</v>
      </c>
      <c r="L10010" s="1" t="str">
        <f t="shared" si="622"/>
        <v>ㄢ</v>
      </c>
      <c r="N10010" s="3" t="s">
        <v>30574</v>
      </c>
      <c r="O10010" s="3"/>
      <c r="P10010" s="1" t="s">
        <v>20</v>
      </c>
      <c r="R10010" s="1" t="s">
        <v>19846</v>
      </c>
      <c r="V10010" s="1" t="s">
        <v>19853</v>
      </c>
      <c r="AR10010" s="1" t="str">
        <f t="shared" si="621"/>
        <v>| [ㄔㄢˋ](ㄔㄢˋ.md) | [嚵](嚵.md) |  | chàn | [名]
鳥獸的嘴。《說文解字．口部》：「嚵，一曰喙也。」如：「狗嚵子」。
[動]
嘗。《集韻．上聲．琰韻》：「嚵，嘗也。」 |</v>
      </c>
    </row>
    <row r="10011" spans="1:44" hidden="1">
      <c r="A10011" s="1" t="s">
        <v>19854</v>
      </c>
      <c r="C10011" s="1">
        <v>1</v>
      </c>
      <c r="D10011" s="1" t="str">
        <f>"08401"</f>
        <v>08401</v>
      </c>
      <c r="E10011" s="1" t="s">
        <v>250</v>
      </c>
      <c r="F10011" s="1">
        <v>20</v>
      </c>
      <c r="G10011" s="1">
        <v>17</v>
      </c>
      <c r="H10011" s="1">
        <v>0</v>
      </c>
      <c r="I10011" s="1" t="s">
        <v>19845</v>
      </c>
      <c r="K10011" s="1" t="str">
        <f t="shared" si="620"/>
        <v>ㄔ</v>
      </c>
      <c r="L10011" s="1" t="str">
        <f t="shared" si="622"/>
        <v>ㄢ</v>
      </c>
      <c r="N10011" s="3" t="s">
        <v>30574</v>
      </c>
      <c r="O10011" s="3"/>
      <c r="P10011" s="1" t="s">
        <v>20</v>
      </c>
      <c r="R10011" s="1" t="s">
        <v>19846</v>
      </c>
      <c r="V10011" s="1" t="s">
        <v>19855</v>
      </c>
      <c r="AR10011" s="1" t="str">
        <f t="shared" si="621"/>
        <v>| [ㄔㄢˋ](ㄔㄢˋ.md) | [懺](懺.md) |  | chàn | [動]
悔悟。如：「懺悔」。《晉書．卷九五．佛圖澄傳》：「佐愕然愧懺。」
[名]
僧侶為人祈禱悔過所唸的經文。如：「拜懺」、「三昧水懺」。《水滸傳》第七一回：「道士齊宣寶懺，上瑤臺酌水獻花。」 |</v>
      </c>
    </row>
    <row r="10012" spans="1:44" hidden="1">
      <c r="A10012" s="1" t="s">
        <v>19856</v>
      </c>
      <c r="C10012" s="1">
        <v>1</v>
      </c>
      <c r="D10012" s="1" t="str">
        <f>"08402"</f>
        <v>08402</v>
      </c>
      <c r="E10012" s="1" t="s">
        <v>43</v>
      </c>
      <c r="F10012" s="1">
        <v>21</v>
      </c>
      <c r="G10012" s="1">
        <v>15</v>
      </c>
      <c r="H10012" s="1">
        <v>0</v>
      </c>
      <c r="I10012" s="1" t="s">
        <v>19845</v>
      </c>
      <c r="K10012" s="1" t="str">
        <f t="shared" si="620"/>
        <v>ㄔ</v>
      </c>
      <c r="L10012" s="1" t="str">
        <f t="shared" si="622"/>
        <v>ㄢ</v>
      </c>
      <c r="N10012" s="3" t="s">
        <v>30574</v>
      </c>
      <c r="O10012" s="3"/>
      <c r="P10012" s="1" t="s">
        <v>20</v>
      </c>
      <c r="R10012" s="1" t="s">
        <v>19846</v>
      </c>
      <c r="V10012" s="1" t="s">
        <v>19857</v>
      </c>
      <c r="AR10012" s="1" t="str">
        <f t="shared" si="621"/>
        <v>| [ㄔㄢˋ](ㄔㄢˋ.md) | [羼](羼.md) |  | chàn | [動]_x000D_
攙雜、混雜。北齊．顏之推《顏氏家訓．書證》：「典籍錯亂，……皆由後人所羼，非本文也。」《新唐書．卷一二三．列傳．李嶠》：「今道人私度者幾數十萬，其中高戶多丁，黠商大賈，詭作臺符，羼名偽度。」 |</v>
      </c>
    </row>
    <row r="10013" spans="1:44" hidden="1">
      <c r="A10013" s="1" t="s">
        <v>18500</v>
      </c>
      <c r="C10013" s="1">
        <v>1</v>
      </c>
      <c r="D10013" s="1" t="str">
        <f>"08403"</f>
        <v>08403</v>
      </c>
      <c r="E10013" s="1" t="s">
        <v>684</v>
      </c>
      <c r="F10013" s="1">
        <v>22</v>
      </c>
      <c r="G10013" s="1">
        <v>13</v>
      </c>
      <c r="H10013" s="1">
        <v>2</v>
      </c>
      <c r="I10013" s="1" t="s">
        <v>19845</v>
      </c>
      <c r="K10013" s="1" t="str">
        <f t="shared" si="620"/>
        <v>ㄔ</v>
      </c>
      <c r="L10013" s="1" t="str">
        <f t="shared" si="622"/>
        <v>ㄢ</v>
      </c>
      <c r="N10013" s="3" t="s">
        <v>30574</v>
      </c>
      <c r="O10013" s="3"/>
      <c r="P10013" s="1" t="s">
        <v>110</v>
      </c>
      <c r="R10013" s="1" t="s">
        <v>19846</v>
      </c>
      <c r="V10013" s="1" t="s">
        <v>111</v>
      </c>
      <c r="W10013" s="1" t="s">
        <v>19858</v>
      </c>
      <c r="AR10013" s="1" t="str">
        <f t="shared" si="621"/>
        <v>| [ㄔㄢˋ](ㄔㄢˋ.md) | [顫](顫.md) |  | chàn | (一)之又音。 |</v>
      </c>
    </row>
    <row r="10014" spans="1:44" hidden="1">
      <c r="A10014" s="1" t="s">
        <v>19859</v>
      </c>
      <c r="C10014" s="1">
        <v>1</v>
      </c>
      <c r="D10014" s="1" t="str">
        <f>"08404"</f>
        <v>08404</v>
      </c>
      <c r="E10014" s="1" t="s">
        <v>96</v>
      </c>
      <c r="F10014" s="1">
        <v>22</v>
      </c>
      <c r="G10014" s="1">
        <v>13</v>
      </c>
      <c r="H10014" s="1">
        <v>0</v>
      </c>
      <c r="I10014" s="1" t="s">
        <v>19845</v>
      </c>
      <c r="K10014" s="1" t="str">
        <f t="shared" si="620"/>
        <v>ㄔ</v>
      </c>
      <c r="L10014" s="1" t="str">
        <f t="shared" si="622"/>
        <v>ㄢ</v>
      </c>
      <c r="N10014" s="3" t="s">
        <v>30574</v>
      </c>
      <c r="O10014" s="3"/>
      <c r="P10014" s="1" t="s">
        <v>20</v>
      </c>
      <c r="R10014" s="1" t="s">
        <v>19846</v>
      </c>
      <c r="V10014" s="1" t="s">
        <v>19860</v>
      </c>
      <c r="AR10014" s="1" t="str">
        <f t="shared" si="621"/>
        <v>| [ㄔㄢˋ](ㄔㄢˋ.md) | [韂](韂.md) |  | chàn | [名]
垂在馬鞍兩側，用以防阻泥土的器具。唐．元稹〈望雲騅馬歌〉：「潛遣飛龍減芻秣，銀鞍繡韂不復施。」 |</v>
      </c>
    </row>
    <row r="10015" spans="1:44" hidden="1">
      <c r="A10015" s="1" t="s">
        <v>4920</v>
      </c>
      <c r="C10015" s="1">
        <v>1</v>
      </c>
      <c r="D10015" s="1" t="str">
        <f>"08354"</f>
        <v>08354</v>
      </c>
      <c r="E10015" s="1" t="s">
        <v>28</v>
      </c>
      <c r="F10015" s="1">
        <v>12</v>
      </c>
      <c r="G10015" s="1">
        <v>9</v>
      </c>
      <c r="H10015" s="1">
        <v>3</v>
      </c>
      <c r="I10015" s="1" t="s">
        <v>19751</v>
      </c>
      <c r="K10015" s="1" t="str">
        <f t="shared" si="620"/>
        <v>ㄔ</v>
      </c>
      <c r="L10015" s="1" t="str">
        <f t="shared" si="622"/>
        <v>ㄢ</v>
      </c>
      <c r="N10015" s="3" t="s">
        <v>30575</v>
      </c>
      <c r="O10015" s="3"/>
      <c r="P10015" s="1" t="s">
        <v>20</v>
      </c>
      <c r="R10015" s="1" t="s">
        <v>19752</v>
      </c>
      <c r="V10015" s="1" t="s">
        <v>19753</v>
      </c>
      <c r="W10015" s="1" t="s">
        <v>19754</v>
      </c>
      <c r="AR10015" s="1" t="str">
        <f t="shared" si="621"/>
        <v>| [ㄔㄢˊ](ㄔㄢˊ.md) | [單](單.md) |  | chán | 參見「單于」條。 |</v>
      </c>
    </row>
    <row r="10016" spans="1:44" hidden="1">
      <c r="A10016" s="1" t="s">
        <v>19755</v>
      </c>
      <c r="C10016" s="1">
        <v>1</v>
      </c>
      <c r="D10016" s="1" t="str">
        <f>"08355"</f>
        <v>08355</v>
      </c>
      <c r="E10016" s="1" t="s">
        <v>534</v>
      </c>
      <c r="F10016" s="1">
        <v>15</v>
      </c>
      <c r="G10016" s="1">
        <v>12</v>
      </c>
      <c r="H10016" s="1">
        <v>0</v>
      </c>
      <c r="I10016" s="1" t="s">
        <v>19751</v>
      </c>
      <c r="K10016" s="1" t="str">
        <f t="shared" si="620"/>
        <v>ㄔ</v>
      </c>
      <c r="L10016" s="1" t="str">
        <f t="shared" si="622"/>
        <v>ㄢ</v>
      </c>
      <c r="N10016" s="3" t="s">
        <v>30575</v>
      </c>
      <c r="O10016" s="3"/>
      <c r="P10016" s="1" t="s">
        <v>20</v>
      </c>
      <c r="R10016" s="1" t="s">
        <v>19752</v>
      </c>
      <c r="V10016" s="1" t="s">
        <v>19756</v>
      </c>
      <c r="AR10016" s="1" t="str">
        <f t="shared" si="621"/>
        <v>| [ㄔㄢˊ](ㄔㄢˊ.md) | [嬋](嬋.md) |  | chán | 參見「嬋連」、「嬋娟」等條。 |</v>
      </c>
    </row>
    <row r="10017" spans="1:44" hidden="1">
      <c r="A10017" s="1" t="s">
        <v>19757</v>
      </c>
      <c r="C10017" s="1">
        <v>1</v>
      </c>
      <c r="D10017" s="1" t="str">
        <f>"08356"</f>
        <v>08356</v>
      </c>
      <c r="E10017" s="1" t="s">
        <v>825</v>
      </c>
      <c r="F10017" s="1">
        <v>17</v>
      </c>
      <c r="G10017" s="1">
        <v>12</v>
      </c>
      <c r="H10017" s="1">
        <v>1</v>
      </c>
      <c r="I10017" s="1" t="s">
        <v>19751</v>
      </c>
      <c r="K10017" s="1" t="str">
        <f t="shared" si="620"/>
        <v>ㄔ</v>
      </c>
      <c r="L10017" s="1" t="str">
        <f t="shared" si="622"/>
        <v>ㄢ</v>
      </c>
      <c r="N10017" s="3" t="s">
        <v>30575</v>
      </c>
      <c r="O10017" s="3"/>
      <c r="P10017" s="1" t="s">
        <v>20</v>
      </c>
      <c r="R10017" s="1" t="s">
        <v>19752</v>
      </c>
      <c r="V10017" s="1" t="s">
        <v>19758</v>
      </c>
      <c r="W10017" s="1" t="s">
        <v>19759</v>
      </c>
      <c r="AR10017" s="1" t="str">
        <f t="shared" si="621"/>
        <v>| [ㄔㄢˊ](ㄔㄢˊ.md) | [禪](禪.md) |  | chán | [名]_x000D_
1.禪那的簡稱。為佛教的修行方法之一，即靜思之意。如：「坐禪」、「禪定」。宋．蘇軾〈沐浴啟聖僧舍與趙德麟邂逅〉詩：「酒清不醉休休暖，睡穩如禪息息勻。」_x000D_
2.佛法、佛理。《水滸傳》第四回：「老僧自慢慢地教他念經誦咒，辦道參禪。」唐．顏真卿〈使過瑤臺寺有懷圓寂上人〉詩：「上人居此寺，不出三十年。萬法元無著，一心唯趣禪。」_x000D_
[形]_x000D_
佛家的、帶機鋒的。如：「禪機」。唐．劉禹錫〈澈上人文集序〉：「以文章接才子，以禪理說高人。」《紅樓夢》第九一回：「你的性靈比我竟強遠了，怨不得前年我生氣的時候，你和我說過幾句禪語，我實在對不上來。」 |</v>
      </c>
    </row>
    <row r="10018" spans="1:44" hidden="1">
      <c r="A10018" s="1" t="s">
        <v>19760</v>
      </c>
      <c r="C10018" s="1">
        <v>1</v>
      </c>
      <c r="D10018" s="1" t="str">
        <f>"08357"</f>
        <v>08357</v>
      </c>
      <c r="E10018" s="1" t="s">
        <v>679</v>
      </c>
      <c r="F10018" s="1">
        <v>18</v>
      </c>
      <c r="G10018" s="1">
        <v>12</v>
      </c>
      <c r="H10018" s="1">
        <v>0</v>
      </c>
      <c r="I10018" s="1" t="s">
        <v>19751</v>
      </c>
      <c r="K10018" s="1" t="str">
        <f t="shared" si="620"/>
        <v>ㄔ</v>
      </c>
      <c r="L10018" s="1" t="str">
        <f t="shared" si="622"/>
        <v>ㄢ</v>
      </c>
      <c r="N10018" s="3" t="s">
        <v>30575</v>
      </c>
      <c r="O10018" s="3"/>
      <c r="P10018" s="1" t="s">
        <v>20</v>
      </c>
      <c r="R10018" s="1" t="s">
        <v>19752</v>
      </c>
      <c r="V10018" s="1" t="s">
        <v>19761</v>
      </c>
      <c r="AR10018" s="1" t="str">
        <f t="shared" si="621"/>
        <v>| [ㄔㄢˊ](ㄔㄢˊ.md) | [蟬](蟬.md) |  | chán | [名]
1.動物名。同翅目蟬科。四翅薄而透明，雄蟬腹胸交界處有發聲器，收縮振動得以產生鳴聲，雌蟬則無鳴叫能力。幼蟲於地下挖洞穴居，以吸食植物根部的汁液為生。待幼蟲成熟，則爬上樹幹羽化。也稱為「知了」。
2.蟬形的裝飾品。《續漢書志．第三〇．輿服志下》：「加黃金璫，附蟬為文，貂尾為飾。」唐．李賀〈夜來樂〉詩：「新客下馬故客去，綠蟬秀黛重拂梳。」
[副]
繼續不斷。如：「蟬聯冠軍」。 |</v>
      </c>
    </row>
    <row r="10019" spans="1:44" hidden="1">
      <c r="A10019" s="1" t="s">
        <v>19762</v>
      </c>
      <c r="C10019" s="1">
        <v>1</v>
      </c>
      <c r="D10019" s="1" t="str">
        <f>"08358"</f>
        <v>08358</v>
      </c>
      <c r="E10019" s="1" t="s">
        <v>241</v>
      </c>
      <c r="F10019" s="1">
        <v>12</v>
      </c>
      <c r="G10019" s="1">
        <v>9</v>
      </c>
      <c r="H10019" s="1">
        <v>1</v>
      </c>
      <c r="I10019" s="1" t="s">
        <v>19751</v>
      </c>
      <c r="K10019" s="1" t="str">
        <f t="shared" si="620"/>
        <v>ㄔ</v>
      </c>
      <c r="L10019" s="1" t="str">
        <f t="shared" si="622"/>
        <v>ㄢ</v>
      </c>
      <c r="N10019" s="3" t="s">
        <v>30575</v>
      </c>
      <c r="O10019" s="3"/>
      <c r="P10019" s="1" t="s">
        <v>20</v>
      </c>
      <c r="R10019" s="1" t="s">
        <v>19752</v>
      </c>
      <c r="V10019" s="1" t="s">
        <v>19763</v>
      </c>
      <c r="W10019" s="1" t="s">
        <v>19764</v>
      </c>
      <c r="AR10019" s="1" t="str">
        <f t="shared" si="621"/>
        <v>| [ㄔㄢˊ](ㄔㄢˊ.md) | [孱](孱.md) |  | chán | [形]
1.狹窄。《說文解字．孨部》：「孱，迮也。」清．段玉裁．注：「此迮當為笮，今之窄字也。」
2.虛弱、衰弱。如：「孱弱」。宋．陸游〈九月一日夜讀詩稿有感走筆作歌〉：「力孱氣餒心自知，妄取虛名有慚色。」
3.低劣、淺陋。宋．宋祁〈授龍圖閣謝恩表〉：「識局庸淺，術學膚孱。」
[副]
謹慎。《大戴禮記．曾子立事》：「君子博學而孱守之，微言而篤行之。」 |</v>
      </c>
    </row>
    <row r="10020" spans="1:44" hidden="1">
      <c r="A10020" s="1" t="s">
        <v>19765</v>
      </c>
      <c r="C10020" s="1">
        <v>1</v>
      </c>
      <c r="D10020" s="1" t="str">
        <f>"08359"</f>
        <v>08359</v>
      </c>
      <c r="E10020" s="1" t="s">
        <v>114</v>
      </c>
      <c r="F10020" s="1">
        <v>14</v>
      </c>
      <c r="G10020" s="1">
        <v>12</v>
      </c>
      <c r="H10020" s="1">
        <v>0</v>
      </c>
      <c r="I10020" s="1" t="s">
        <v>19751</v>
      </c>
      <c r="K10020" s="1" t="str">
        <f t="shared" si="620"/>
        <v>ㄔ</v>
      </c>
      <c r="L10020" s="1" t="str">
        <f t="shared" si="622"/>
        <v>ㄢ</v>
      </c>
      <c r="N10020" s="3" t="s">
        <v>30575</v>
      </c>
      <c r="O10020" s="3"/>
      <c r="P10020" s="1" t="s">
        <v>20</v>
      </c>
      <c r="R10020" s="1" t="s">
        <v>19752</v>
      </c>
      <c r="V10020" s="1" t="s">
        <v>18396</v>
      </c>
      <c r="AR10020" s="1" t="str">
        <f t="shared" si="621"/>
        <v>| [ㄔㄢˊ](ㄔㄢˊ.md) | [僝](僝.md) |  | chán | 參見「僝僽」條。 |</v>
      </c>
    </row>
    <row r="10021" spans="1:44" hidden="1">
      <c r="A10021" s="1" t="s">
        <v>19766</v>
      </c>
      <c r="C10021" s="1">
        <v>1</v>
      </c>
      <c r="D10021" s="1" t="str">
        <f>"08360"</f>
        <v>08360</v>
      </c>
      <c r="E10021" s="1" t="s">
        <v>129</v>
      </c>
      <c r="F10021" s="1">
        <v>15</v>
      </c>
      <c r="G10021" s="1">
        <v>12</v>
      </c>
      <c r="H10021" s="1">
        <v>0</v>
      </c>
      <c r="I10021" s="1" t="s">
        <v>19751</v>
      </c>
      <c r="K10021" s="1" t="str">
        <f t="shared" si="620"/>
        <v>ㄔ</v>
      </c>
      <c r="L10021" s="1" t="str">
        <f t="shared" si="622"/>
        <v>ㄢ</v>
      </c>
      <c r="N10021" s="3" t="s">
        <v>30575</v>
      </c>
      <c r="O10021" s="3"/>
      <c r="P10021" s="1" t="s">
        <v>20</v>
      </c>
      <c r="R10021" s="1" t="s">
        <v>19752</v>
      </c>
      <c r="V10021" s="1" t="s">
        <v>19767</v>
      </c>
      <c r="AR10021" s="1" t="str">
        <f t="shared" si="621"/>
        <v>| [ㄔㄢˊ](ㄔㄢˊ.md) | [潺](潺.md) |  | chán | 參見「潺潺」、「潺湲」等條。 |</v>
      </c>
    </row>
    <row r="10022" spans="1:44" hidden="1">
      <c r="A10022" s="1" t="s">
        <v>18458</v>
      </c>
      <c r="C10022" s="1">
        <v>1</v>
      </c>
      <c r="D10022" s="1" t="str">
        <f>"08361"</f>
        <v>08361</v>
      </c>
      <c r="E10022" s="1" t="s">
        <v>190</v>
      </c>
      <c r="F10022" s="1">
        <v>14</v>
      </c>
      <c r="G10022" s="1">
        <v>11</v>
      </c>
      <c r="H10022" s="1">
        <v>2</v>
      </c>
      <c r="I10022" s="1" t="s">
        <v>19751</v>
      </c>
      <c r="K10022" s="1" t="str">
        <f t="shared" si="620"/>
        <v>ㄔ</v>
      </c>
      <c r="L10022" s="1" t="str">
        <f t="shared" si="622"/>
        <v>ㄢ</v>
      </c>
      <c r="N10022" s="3" t="s">
        <v>30575</v>
      </c>
      <c r="O10022" s="3"/>
      <c r="P10022" s="1" t="s">
        <v>20</v>
      </c>
      <c r="R10022" s="1" t="s">
        <v>19752</v>
      </c>
      <c r="V10022" s="1" t="s">
        <v>19768</v>
      </c>
      <c r="W10022" s="1" t="s">
        <v>19769</v>
      </c>
      <c r="AR10022" s="1" t="str">
        <f t="shared" si="621"/>
        <v>| [ㄔㄢˊ](ㄔㄢˊ.md) | [嶄](嶄.md) |  | chán | 同「巉」。 |</v>
      </c>
    </row>
    <row r="10023" spans="1:44" hidden="1">
      <c r="A10023" s="1" t="s">
        <v>19770</v>
      </c>
      <c r="C10023" s="1">
        <v>1</v>
      </c>
      <c r="D10023" s="1" t="str">
        <f>"08362"</f>
        <v>08362</v>
      </c>
      <c r="E10023" s="1" t="s">
        <v>198</v>
      </c>
      <c r="F10023" s="1">
        <v>14</v>
      </c>
      <c r="G10023" s="1">
        <v>11</v>
      </c>
      <c r="H10023" s="1">
        <v>0</v>
      </c>
      <c r="I10023" s="1" t="s">
        <v>19751</v>
      </c>
      <c r="K10023" s="1" t="str">
        <f t="shared" si="620"/>
        <v>ㄔ</v>
      </c>
      <c r="L10023" s="1" t="str">
        <f t="shared" si="622"/>
        <v>ㄢ</v>
      </c>
      <c r="N10023" s="3" t="s">
        <v>30575</v>
      </c>
      <c r="O10023" s="3"/>
      <c r="P10023" s="1" t="s">
        <v>20</v>
      </c>
      <c r="R10023" s="1" t="s">
        <v>19752</v>
      </c>
      <c r="V10023" s="1" t="s">
        <v>19771</v>
      </c>
      <c r="AR10023" s="1" t="str">
        <f t="shared" si="621"/>
        <v>| [ㄔㄢˊ](ㄔㄢˊ.md) | [獑](獑.md) |  | chán | 參見「獑胡」條。 |</v>
      </c>
    </row>
    <row r="10024" spans="1:44" hidden="1">
      <c r="A10024" s="1" t="s">
        <v>19772</v>
      </c>
      <c r="C10024" s="1">
        <v>1</v>
      </c>
      <c r="D10024" s="1" t="str">
        <f>"08363"</f>
        <v>08363</v>
      </c>
      <c r="E10024" s="1" t="s">
        <v>447</v>
      </c>
      <c r="F10024" s="1">
        <v>15</v>
      </c>
      <c r="G10024" s="1">
        <v>12</v>
      </c>
      <c r="H10024" s="1">
        <v>0</v>
      </c>
      <c r="I10024" s="1" t="s">
        <v>19751</v>
      </c>
      <c r="K10024" s="1" t="str">
        <f t="shared" si="620"/>
        <v>ㄔ</v>
      </c>
      <c r="L10024" s="1" t="str">
        <f t="shared" si="622"/>
        <v>ㄢ</v>
      </c>
      <c r="N10024" s="3" t="s">
        <v>30575</v>
      </c>
      <c r="O10024" s="3"/>
      <c r="P10024" s="1" t="s">
        <v>20</v>
      </c>
      <c r="R10024" s="1" t="s">
        <v>19752</v>
      </c>
      <c r="V10024" s="1" t="s">
        <v>19773</v>
      </c>
      <c r="AR10024" s="1" t="str">
        <f t="shared" si="621"/>
        <v>| [ㄔㄢˊ](ㄔㄢˊ.md) | [廛](廛.md) |  | chán | [名]
1.古代城市中可供平民居住的宅地。《說文解字．广部》：「廛，二畝半也，一家之居。」《孟子．滕文公上》：「遠方之人聞君行仁政，願受一廛而為氓。」
2.店鋪。《禮記．王制》：「市廛而不稅。」漢．鄭玄．注：「廛，市物邸舍，稅舍不稅其物。」 |</v>
      </c>
    </row>
    <row r="10025" spans="1:44" hidden="1">
      <c r="A10025" s="1" t="s">
        <v>19774</v>
      </c>
      <c r="C10025" s="1">
        <v>1</v>
      </c>
      <c r="D10025" s="1" t="str">
        <f>"08364"</f>
        <v>08364</v>
      </c>
      <c r="E10025" s="1" t="s">
        <v>129</v>
      </c>
      <c r="F10025" s="1">
        <v>18</v>
      </c>
      <c r="G10025" s="1">
        <v>15</v>
      </c>
      <c r="H10025" s="1">
        <v>0</v>
      </c>
      <c r="I10025" s="1" t="s">
        <v>19751</v>
      </c>
      <c r="K10025" s="1" t="str">
        <f t="shared" si="620"/>
        <v>ㄔ</v>
      </c>
      <c r="L10025" s="1" t="str">
        <f t="shared" si="622"/>
        <v>ㄢ</v>
      </c>
      <c r="N10025" s="3" t="s">
        <v>30575</v>
      </c>
      <c r="O10025" s="3"/>
      <c r="P10025" s="1" t="s">
        <v>20</v>
      </c>
      <c r="R10025" s="1" t="s">
        <v>19752</v>
      </c>
      <c r="V10025" s="1" t="s">
        <v>19775</v>
      </c>
      <c r="AR10025" s="1" t="str">
        <f t="shared" si="621"/>
        <v>| [ㄔㄢˊ](ㄔㄢˊ.md) | [瀍](瀍.md) |  | chán | [名]
河川名。發源於河南省洛陽市孟津縣西北部，東南流經洛陽市瀍河回族區注入洛河。 |</v>
      </c>
    </row>
    <row r="10026" spans="1:44" hidden="1">
      <c r="A10026" s="1" t="s">
        <v>19776</v>
      </c>
      <c r="C10026" s="1">
        <v>1</v>
      </c>
      <c r="D10026" s="1" t="str">
        <f>"08365"</f>
        <v>08365</v>
      </c>
      <c r="E10026" s="1" t="s">
        <v>725</v>
      </c>
      <c r="F10026" s="1">
        <v>21</v>
      </c>
      <c r="G10026" s="1">
        <v>15</v>
      </c>
      <c r="H10026" s="1">
        <v>0</v>
      </c>
      <c r="I10026" s="1" t="s">
        <v>19751</v>
      </c>
      <c r="K10026" s="1" t="str">
        <f t="shared" si="620"/>
        <v>ㄔ</v>
      </c>
      <c r="L10026" s="1" t="str">
        <f t="shared" si="622"/>
        <v>ㄢ</v>
      </c>
      <c r="N10026" s="3" t="s">
        <v>30575</v>
      </c>
      <c r="O10026" s="3"/>
      <c r="P10026" s="1" t="s">
        <v>20</v>
      </c>
      <c r="R10026" s="1" t="s">
        <v>19752</v>
      </c>
      <c r="V10026" s="1" t="s">
        <v>19777</v>
      </c>
      <c r="AR10026" s="1" t="str">
        <f t="shared" si="621"/>
        <v>| [ㄔㄢˊ](ㄔㄢˊ.md) | [纏](纏.md) |  | chán | [動]_x000D_
1.裹繞、圍繞。如：「纏足」、「頭上纏了一塊布。」《後漢書．卷七二．董卓列傳》：「卓所得義兵士卒，皆以布纏裡，倒立於地，熱膏灌殺之。」_x000D_
2.攪擾、騷擾。如：「死纏爛打」、「他被無賴給纏上了。」《晉書．卷七九．列傳．謝安》：「哀毒兼纏，痛百常情。」_x000D_
3.應付、對付。《金瓶梅詞話》第五九回：「你每亂道，怎的把孩子諕了，沒的賴人起來！爪兒只揀軟處捏，俺每這屋裡是好纏的！」《施公案》第一五五回：「一來人的名兒，樹的影兒，聽見是施大人，素日早知難纏，不由打個冷戰，二來也是合該犯事。」_x000D_
[名]_x000D_
姓。如漢代有纏子。 |</v>
      </c>
    </row>
    <row r="10027" spans="1:44" hidden="1">
      <c r="A10027" s="1" t="s">
        <v>19778</v>
      </c>
      <c r="C10027" s="1">
        <v>1</v>
      </c>
      <c r="D10027" s="1" t="str">
        <f>"08366"</f>
        <v>08366</v>
      </c>
      <c r="E10027" s="1" t="s">
        <v>77</v>
      </c>
      <c r="F10027" s="1">
        <v>22</v>
      </c>
      <c r="G10027" s="1">
        <v>15</v>
      </c>
      <c r="H10027" s="1">
        <v>0</v>
      </c>
      <c r="I10027" s="1" t="s">
        <v>19751</v>
      </c>
      <c r="K10027" s="1" t="str">
        <f t="shared" si="620"/>
        <v>ㄔ</v>
      </c>
      <c r="L10027" s="1" t="str">
        <f t="shared" si="622"/>
        <v>ㄢ</v>
      </c>
      <c r="N10027" s="3" t="s">
        <v>30575</v>
      </c>
      <c r="O10027" s="3"/>
      <c r="P10027" s="1" t="s">
        <v>20</v>
      </c>
      <c r="R10027" s="1" t="s">
        <v>19752</v>
      </c>
      <c r="V10027" s="1" t="s">
        <v>19779</v>
      </c>
      <c r="AR10027" s="1" t="str">
        <f t="shared" si="621"/>
        <v>| [ㄔㄢˊ](ㄔㄢˊ.md) | [躔](躔.md) |  | chán | [動]
1.踐踏。《說文解字．足部》：「躔，踐也。」
2.日月星辰在其軌道上運行。《漢書．卷二一．律曆志上》：「日月初躔，星之紀也。」唐．高宗〈頒行麟德曆詔〉：「日次月躔，寧循舊度。」
[名]
1.獸類的足跡。《爾雅．釋獸》：「其跡躔。」晉．郭璞．注：「腳所踐處。」
2.日月星辰所行經的度數。宋．陸游《老學庵筆記》卷三：「崇寧中，長星出。推步躔度長七十二萬里。」 |</v>
      </c>
    </row>
    <row r="10028" spans="1:44" hidden="1">
      <c r="A10028" s="1" t="s">
        <v>6271</v>
      </c>
      <c r="C10028" s="1">
        <v>1</v>
      </c>
      <c r="D10028" s="1" t="str">
        <f>"08367"</f>
        <v>08367</v>
      </c>
      <c r="E10028" s="1" t="s">
        <v>114</v>
      </c>
      <c r="F10028" s="1">
        <v>15</v>
      </c>
      <c r="G10028" s="1">
        <v>13</v>
      </c>
      <c r="H10028" s="1">
        <v>1</v>
      </c>
      <c r="I10028" s="1" t="s">
        <v>19751</v>
      </c>
      <c r="K10028" s="1" t="str">
        <f t="shared" si="620"/>
        <v>ㄔ</v>
      </c>
      <c r="L10028" s="1" t="str">
        <f t="shared" si="622"/>
        <v>ㄢ</v>
      </c>
      <c r="N10028" s="3" t="s">
        <v>30575</v>
      </c>
      <c r="O10028" s="3"/>
      <c r="P10028" s="1" t="s">
        <v>20</v>
      </c>
      <c r="R10028" s="1" t="s">
        <v>19752</v>
      </c>
      <c r="V10028" s="1" t="s">
        <v>19780</v>
      </c>
      <c r="W10028" s="1" t="s">
        <v>19781</v>
      </c>
      <c r="AR10028" s="1" t="str">
        <f t="shared" si="621"/>
        <v>| [ㄔㄢˊ](ㄔㄢˊ.md) | [儃](儃.md) |  | chán | 參見「儃佪」條。 |</v>
      </c>
    </row>
    <row r="10029" spans="1:44" hidden="1">
      <c r="A10029" s="1" t="s">
        <v>19782</v>
      </c>
      <c r="C10029" s="1">
        <v>1</v>
      </c>
      <c r="D10029" s="1" t="str">
        <f>"08368"</f>
        <v>08368</v>
      </c>
      <c r="E10029" s="1" t="s">
        <v>129</v>
      </c>
      <c r="F10029" s="1">
        <v>16</v>
      </c>
      <c r="G10029" s="1">
        <v>13</v>
      </c>
      <c r="H10029" s="1">
        <v>0</v>
      </c>
      <c r="I10029" s="1" t="s">
        <v>19751</v>
      </c>
      <c r="K10029" s="1" t="str">
        <f t="shared" si="620"/>
        <v>ㄔ</v>
      </c>
      <c r="L10029" s="1" t="str">
        <f t="shared" si="622"/>
        <v>ㄢ</v>
      </c>
      <c r="N10029" s="3" t="s">
        <v>30575</v>
      </c>
      <c r="O10029" s="3"/>
      <c r="P10029" s="1" t="s">
        <v>20</v>
      </c>
      <c r="R10029" s="1" t="s">
        <v>19752</v>
      </c>
      <c r="V10029" s="1" t="s">
        <v>19783</v>
      </c>
      <c r="AR10029" s="1" t="str">
        <f t="shared" si="621"/>
        <v>| [ㄔㄢˊ](ㄔㄢˊ.md) | [澶](澶.md) |  | chán | [形]
水靜止不動。《集韻．平聲．仙韻》：「澶，水靜貌。」
[名]
參見「澶淵」條。 |</v>
      </c>
    </row>
    <row r="10030" spans="1:44" hidden="1">
      <c r="A10030" s="1" t="s">
        <v>19784</v>
      </c>
      <c r="C10030" s="1">
        <v>1</v>
      </c>
      <c r="D10030" s="1" t="str">
        <f>"08369"</f>
        <v>08369</v>
      </c>
      <c r="E10030" s="1" t="s">
        <v>679</v>
      </c>
      <c r="F10030" s="1">
        <v>19</v>
      </c>
      <c r="G10030" s="1">
        <v>13</v>
      </c>
      <c r="H10030" s="1">
        <v>2</v>
      </c>
      <c r="I10030" s="1" t="s">
        <v>19751</v>
      </c>
      <c r="K10030" s="1" t="str">
        <f t="shared" si="620"/>
        <v>ㄔ</v>
      </c>
      <c r="L10030" s="1" t="str">
        <f t="shared" si="622"/>
        <v>ㄢ</v>
      </c>
      <c r="N10030" s="3" t="s">
        <v>30575</v>
      </c>
      <c r="O10030" s="3"/>
      <c r="P10030" s="1" t="s">
        <v>20</v>
      </c>
      <c r="R10030" s="1" t="s">
        <v>19752</v>
      </c>
      <c r="V10030" s="1" t="s">
        <v>19785</v>
      </c>
      <c r="W10030" s="1" t="s">
        <v>19786</v>
      </c>
      <c r="AR10030" s="1" t="str">
        <f t="shared" si="621"/>
        <v>| [ㄔㄢˊ](ㄔㄢˊ.md) | [蟺](蟺.md) |  | chán | 同「蟬」。 |</v>
      </c>
    </row>
    <row r="10031" spans="1:44" hidden="1">
      <c r="A10031" s="1" t="s">
        <v>4979</v>
      </c>
      <c r="C10031" s="1">
        <v>1</v>
      </c>
      <c r="D10031" s="1" t="str">
        <f>"08370"</f>
        <v>08370</v>
      </c>
      <c r="E10031" s="1" t="s">
        <v>725</v>
      </c>
      <c r="F10031" s="1">
        <v>19</v>
      </c>
      <c r="G10031" s="1">
        <v>13</v>
      </c>
      <c r="H10031" s="1">
        <v>1</v>
      </c>
      <c r="I10031" s="1" t="s">
        <v>19751</v>
      </c>
      <c r="K10031" s="1" t="str">
        <f t="shared" si="620"/>
        <v>ㄔ</v>
      </c>
      <c r="L10031" s="1" t="str">
        <f t="shared" si="622"/>
        <v>ㄢ</v>
      </c>
      <c r="N10031" s="3" t="s">
        <v>30575</v>
      </c>
      <c r="O10031" s="3"/>
      <c r="P10031" s="1" t="s">
        <v>20</v>
      </c>
      <c r="R10031" s="1" t="s">
        <v>19752</v>
      </c>
      <c r="V10031" s="1" t="s">
        <v>19787</v>
      </c>
      <c r="W10031" s="1" t="s">
        <v>19788</v>
      </c>
      <c r="AR10031" s="1" t="str">
        <f t="shared" si="621"/>
        <v>| [ㄔㄢˊ](ㄔㄢˊ.md) | [繵](繵.md) |  | chán | [動]
繞。同「纏」。《史記．卷一〇五．扁鵲倉公傳》：「夫以陽入陰中，動胃繵緣，中經維絡，別下於三焦、膀胱。」 |</v>
      </c>
    </row>
    <row r="10032" spans="1:44" hidden="1">
      <c r="A10032" s="1" t="s">
        <v>19789</v>
      </c>
      <c r="C10032" s="1">
        <v>1</v>
      </c>
      <c r="D10032" s="1" t="str">
        <f>"08371"</f>
        <v>08371</v>
      </c>
      <c r="E10032" s="1" t="s">
        <v>55</v>
      </c>
      <c r="F10032" s="1">
        <v>16</v>
      </c>
      <c r="G10032" s="1">
        <v>8</v>
      </c>
      <c r="H10032" s="1">
        <v>0</v>
      </c>
      <c r="I10032" s="1" t="s">
        <v>19751</v>
      </c>
      <c r="K10032" s="1" t="str">
        <f t="shared" ref="K10032:K10095" si="623">LEFT(I10032, 1)</f>
        <v>ㄔ</v>
      </c>
      <c r="L10032" s="1" t="str">
        <f t="shared" si="622"/>
        <v>ㄢ</v>
      </c>
      <c r="N10032" s="3" t="s">
        <v>30575</v>
      </c>
      <c r="O10032" s="3"/>
      <c r="P10032" s="1" t="s">
        <v>20</v>
      </c>
      <c r="R10032" s="1" t="s">
        <v>19752</v>
      </c>
      <c r="V10032" s="1" t="s">
        <v>19790</v>
      </c>
      <c r="AR10032" s="1" t="str">
        <f t="shared" si="621"/>
        <v>| [ㄔㄢˊ](ㄔㄢˊ.md) | [鋋](鋋.md) |  | chán | [名]
小的矛。《說文解字．金部》：「鋋，小矛也。」《史記．卷一一〇．匈奴傳》：「其長兵則弓矢，短兵則刀鋋。」
[動]
刺殺。《文選．司馬相如．上林賦》：「格蝦蛤，鋋猛氏。」 |</v>
      </c>
    </row>
    <row r="10033" spans="1:44" hidden="1">
      <c r="A10033" s="1" t="s">
        <v>19791</v>
      </c>
      <c r="C10033" s="1">
        <v>1</v>
      </c>
      <c r="D10033" s="1" t="str">
        <f>"08372"</f>
        <v>08372</v>
      </c>
      <c r="E10033" s="1" t="s">
        <v>896</v>
      </c>
      <c r="F10033" s="1">
        <v>17</v>
      </c>
      <c r="G10033" s="1">
        <v>13</v>
      </c>
      <c r="H10033" s="1">
        <v>0</v>
      </c>
      <c r="I10033" s="1" t="s">
        <v>19751</v>
      </c>
      <c r="K10033" s="1" t="str">
        <f t="shared" si="623"/>
        <v>ㄔ</v>
      </c>
      <c r="L10033" s="1" t="str">
        <f t="shared" si="622"/>
        <v>ㄢ</v>
      </c>
      <c r="N10033" s="3" t="s">
        <v>30575</v>
      </c>
      <c r="O10033" s="3"/>
      <c r="P10033" s="1" t="s">
        <v>20</v>
      </c>
      <c r="R10033" s="1" t="s">
        <v>19752</v>
      </c>
      <c r="V10033" s="1" t="s">
        <v>19792</v>
      </c>
      <c r="AR10033" s="1" t="str">
        <f t="shared" si="621"/>
        <v>| [ㄔㄢˊ](ㄔㄢˊ.md) | [毚](毚.md) |  | chán | [名]
1.檀木的別名。也作「欃」。
2.參見「毚兔」條。
[形]
參見「毚微」條。 |</v>
      </c>
    </row>
    <row r="10034" spans="1:44" hidden="1">
      <c r="A10034" s="1" t="s">
        <v>19793</v>
      </c>
      <c r="C10034" s="1">
        <v>1</v>
      </c>
      <c r="D10034" s="1" t="str">
        <f>"08373"</f>
        <v>08373</v>
      </c>
      <c r="E10034" s="1" t="s">
        <v>185</v>
      </c>
      <c r="F10034" s="1">
        <v>19</v>
      </c>
      <c r="G10034" s="1">
        <v>17</v>
      </c>
      <c r="H10034" s="1">
        <v>0</v>
      </c>
      <c r="I10034" s="1" t="s">
        <v>19751</v>
      </c>
      <c r="K10034" s="1" t="str">
        <f t="shared" si="623"/>
        <v>ㄔ</v>
      </c>
      <c r="L10034" s="1" t="str">
        <f t="shared" si="622"/>
        <v>ㄢ</v>
      </c>
      <c r="N10034" s="3" t="s">
        <v>30575</v>
      </c>
      <c r="O10034" s="3"/>
      <c r="P10034" s="1" t="s">
        <v>20</v>
      </c>
      <c r="R10034" s="1" t="s">
        <v>19752</v>
      </c>
      <c r="V10034" s="1" t="s">
        <v>19794</v>
      </c>
      <c r="AR10034" s="1" t="str">
        <f t="shared" si="621"/>
        <v>| [ㄔㄢˊ](ㄔㄢˊ.md) | [劖](劖.md) |  | chán | [動]
1.鑿。明．徐弘祖《徐霞客遊記．卷七上．滇遊日記六》：「忽一日，白雲從龕後龍脊中垂間，劖石得泉。」
2.刺、割。唐．元稹〈送崔侍御之嶺南二十韻〉：「逸翮憐鴻翥，離心覺刃劖。」 |</v>
      </c>
    </row>
    <row r="10035" spans="1:44" hidden="1">
      <c r="A10035" s="1" t="s">
        <v>19795</v>
      </c>
      <c r="C10035" s="1">
        <v>1</v>
      </c>
      <c r="D10035" s="1" t="str">
        <f>"08374"</f>
        <v>08374</v>
      </c>
      <c r="E10035" s="1" t="s">
        <v>129</v>
      </c>
      <c r="F10035" s="1">
        <v>20</v>
      </c>
      <c r="G10035" s="1">
        <v>17</v>
      </c>
      <c r="H10035" s="1">
        <v>0</v>
      </c>
      <c r="I10035" s="1" t="s">
        <v>19751</v>
      </c>
      <c r="K10035" s="1" t="str">
        <f t="shared" si="623"/>
        <v>ㄔ</v>
      </c>
      <c r="L10035" s="1" t="str">
        <f t="shared" si="622"/>
        <v>ㄢ</v>
      </c>
      <c r="N10035" s="3" t="s">
        <v>30575</v>
      </c>
      <c r="O10035" s="3"/>
      <c r="P10035" s="1" t="s">
        <v>20</v>
      </c>
      <c r="R10035" s="1" t="s">
        <v>19752</v>
      </c>
      <c r="V10035" s="1" t="s">
        <v>19796</v>
      </c>
      <c r="AR10035" s="1" t="str">
        <f t="shared" si="621"/>
        <v>| [ㄔㄢˊ](ㄔㄢˊ.md) | [瀺](瀺.md) |  | chán | 參見「瀺灂」條。 |</v>
      </c>
    </row>
    <row r="10036" spans="1:44" hidden="1">
      <c r="A10036" s="1" t="s">
        <v>19797</v>
      </c>
      <c r="C10036" s="1">
        <v>1</v>
      </c>
      <c r="D10036" s="1" t="str">
        <f>"08375"</f>
        <v>08375</v>
      </c>
      <c r="E10036" s="1" t="s">
        <v>190</v>
      </c>
      <c r="F10036" s="1">
        <v>20</v>
      </c>
      <c r="G10036" s="1">
        <v>17</v>
      </c>
      <c r="H10036" s="1">
        <v>0</v>
      </c>
      <c r="I10036" s="1" t="s">
        <v>19751</v>
      </c>
      <c r="K10036" s="1" t="str">
        <f t="shared" si="623"/>
        <v>ㄔ</v>
      </c>
      <c r="L10036" s="1" t="str">
        <f t="shared" si="622"/>
        <v>ㄢ</v>
      </c>
      <c r="N10036" s="3" t="s">
        <v>30575</v>
      </c>
      <c r="O10036" s="3"/>
      <c r="P10036" s="1" t="s">
        <v>20</v>
      </c>
      <c r="R10036" s="1" t="s">
        <v>19752</v>
      </c>
      <c r="V10036" s="1" t="s">
        <v>19798</v>
      </c>
      <c r="AR10036" s="1" t="str">
        <f t="shared" si="621"/>
        <v>| [ㄔㄢˊ](ㄔㄢˊ.md) | [巉](巉.md) |  | chán | [形]
高險、險峻。《文選．張衡．西京賦》：「坻崿鱗眴，棧齴巉嶮。」唐．王仁裕〈和韓昭從駕過白衛嶺〉詩：「登高曉蹋巉巖石，冒冷朝衝斷續煙。」 |</v>
      </c>
    </row>
    <row r="10037" spans="1:44" hidden="1">
      <c r="A10037" s="1" t="s">
        <v>19799</v>
      </c>
      <c r="C10037" s="1">
        <v>1</v>
      </c>
      <c r="D10037" s="1" t="str">
        <f>"08376"</f>
        <v>08376</v>
      </c>
      <c r="E10037" s="1" t="s">
        <v>256</v>
      </c>
      <c r="F10037" s="1">
        <v>20</v>
      </c>
      <c r="G10037" s="1">
        <v>17</v>
      </c>
      <c r="H10037" s="1">
        <v>0</v>
      </c>
      <c r="I10037" s="1" t="s">
        <v>19751</v>
      </c>
      <c r="K10037" s="1" t="str">
        <f t="shared" si="623"/>
        <v>ㄔ</v>
      </c>
      <c r="L10037" s="1" t="str">
        <f t="shared" si="622"/>
        <v>ㄢ</v>
      </c>
      <c r="N10037" s="3" t="s">
        <v>30575</v>
      </c>
      <c r="O10037" s="3"/>
      <c r="P10037" s="1" t="s">
        <v>20</v>
      </c>
      <c r="R10037" s="1" t="s">
        <v>19752</v>
      </c>
      <c r="V10037" s="1" t="s">
        <v>19800</v>
      </c>
      <c r="AR10037" s="1" t="str">
        <f t="shared" si="621"/>
        <v>| [ㄔㄢˊ](ㄔㄢˊ.md) | [酁](酁.md) |  | chán | [名]
地名。春秋時代宋國的屬地。 |</v>
      </c>
    </row>
    <row r="10038" spans="1:44" hidden="1">
      <c r="A10038" s="1" t="s">
        <v>19801</v>
      </c>
      <c r="C10038" s="1">
        <v>1</v>
      </c>
      <c r="D10038" s="1" t="str">
        <f>"08377"</f>
        <v>08377</v>
      </c>
      <c r="E10038" s="1" t="s">
        <v>139</v>
      </c>
      <c r="F10038" s="1">
        <v>21</v>
      </c>
      <c r="G10038" s="1">
        <v>17</v>
      </c>
      <c r="H10038" s="1">
        <v>0</v>
      </c>
      <c r="I10038" s="1" t="s">
        <v>19751</v>
      </c>
      <c r="K10038" s="1" t="str">
        <f t="shared" si="623"/>
        <v>ㄔ</v>
      </c>
      <c r="L10038" s="1" t="str">
        <f t="shared" si="622"/>
        <v>ㄢ</v>
      </c>
      <c r="N10038" s="3" t="s">
        <v>30575</v>
      </c>
      <c r="O10038" s="3"/>
      <c r="P10038" s="1" t="s">
        <v>20</v>
      </c>
      <c r="R10038" s="1" t="s">
        <v>19752</v>
      </c>
      <c r="V10038" s="1" t="s">
        <v>19802</v>
      </c>
      <c r="AR10038" s="1" t="str">
        <f t="shared" si="621"/>
        <v>| [ㄔㄢˊ](ㄔㄢˊ.md) | [欃](欃.md) |  | chán | [名]
1.檀木的別名。也作「毚」。
2.星宿名。參見「欃槍」條。 |</v>
      </c>
    </row>
    <row r="10039" spans="1:44" hidden="1">
      <c r="A10039" s="1" t="s">
        <v>19803</v>
      </c>
      <c r="C10039" s="1">
        <v>1</v>
      </c>
      <c r="D10039" s="1" t="str">
        <f>"08378"</f>
        <v>08378</v>
      </c>
      <c r="E10039" s="1" t="s">
        <v>331</v>
      </c>
      <c r="F10039" s="1">
        <v>24</v>
      </c>
      <c r="G10039" s="1">
        <v>17</v>
      </c>
      <c r="H10039" s="1">
        <v>0</v>
      </c>
      <c r="I10039" s="1" t="s">
        <v>19751</v>
      </c>
      <c r="K10039" s="1" t="str">
        <f t="shared" si="623"/>
        <v>ㄔ</v>
      </c>
      <c r="L10039" s="1" t="str">
        <f t="shared" si="622"/>
        <v>ㄢ</v>
      </c>
      <c r="N10039" s="3" t="s">
        <v>30575</v>
      </c>
      <c r="O10039" s="3"/>
      <c r="P10039" s="1" t="s">
        <v>20</v>
      </c>
      <c r="R10039" s="1" t="s">
        <v>19752</v>
      </c>
      <c r="V10039" s="1" t="s">
        <v>19804</v>
      </c>
      <c r="AR10039" s="1" t="str">
        <f t="shared" si="621"/>
        <v>| [ㄔㄢˊ](ㄔㄢˊ.md) | [讒](讒.md) |  | chán | [動]
說別人壞話，中傷他人。《史記．卷八四．屈原賈生傳》：「上官大夫見而欲奪之，屈平不與，因讒之。」
[名]
1.毀謗、陷害別人的話。《左傳．哀公十六年》：「楚大子建之遇讒也，自城父奔宋。」《楚辭．屈原．離騷》：「荃不察余之中情兮，反信讒而齋怒。」
2.顛倒是非、中傷別人的人。《晏子春秋．內篇．諫上》：「政不飾而寬于小人，近讒好優。」漢．王充《論衡．答佞》：「讒與佞，俱小人也。」 |</v>
      </c>
    </row>
    <row r="10040" spans="1:44" hidden="1">
      <c r="A10040" s="1" t="s">
        <v>19805</v>
      </c>
      <c r="C10040" s="1">
        <v>1</v>
      </c>
      <c r="D10040" s="1" t="str">
        <f>"08379"</f>
        <v>08379</v>
      </c>
      <c r="E10040" s="1" t="s">
        <v>55</v>
      </c>
      <c r="F10040" s="1">
        <v>25</v>
      </c>
      <c r="G10040" s="1">
        <v>17</v>
      </c>
      <c r="H10040" s="1">
        <v>0</v>
      </c>
      <c r="I10040" s="1" t="s">
        <v>19751</v>
      </c>
      <c r="K10040" s="1" t="str">
        <f t="shared" si="623"/>
        <v>ㄔ</v>
      </c>
      <c r="L10040" s="1" t="str">
        <f t="shared" si="622"/>
        <v>ㄢ</v>
      </c>
      <c r="N10040" s="3" t="s">
        <v>30575</v>
      </c>
      <c r="O10040" s="3"/>
      <c r="P10040" s="1" t="s">
        <v>20</v>
      </c>
      <c r="R10040" s="1" t="s">
        <v>19752</v>
      </c>
      <c r="V10040" s="1" t="s">
        <v>19806</v>
      </c>
      <c r="AR10040" s="1" t="str">
        <f t="shared" si="621"/>
        <v>| [ㄔㄢˊ](ㄔㄢˊ.md) | [鑱](鑱.md) |  | chán | [名]
1.古代一種掘土或挖藥草的鐵器。《抱朴子．外篇．逸民》：「何假乎良史，何煩乎鑱鼎哉？」
2.針、錐等銳利的鐵器。《宋書．卷七四．臧質傳》：「乃作鐵床，於其上施鐵鑱。」
[動]
刺、戳。《淮南子．泰族》：「夫刻肌膚，鑱皮革，被創流血，至難也，然越為之以求榮也。」《南齊書．卷五八．東南夷傳》：「蔓少子長襲殺旃，以刃鑱旃腹。」 |</v>
      </c>
    </row>
    <row r="10041" spans="1:44" hidden="1">
      <c r="A10041" s="1" t="s">
        <v>19807</v>
      </c>
      <c r="C10041" s="1">
        <v>1</v>
      </c>
      <c r="D10041" s="1" t="str">
        <f>"08380"</f>
        <v>08380</v>
      </c>
      <c r="E10041" s="1" t="s">
        <v>193</v>
      </c>
      <c r="F10041" s="1">
        <v>25</v>
      </c>
      <c r="G10041" s="1">
        <v>17</v>
      </c>
      <c r="H10041" s="1">
        <v>0</v>
      </c>
      <c r="I10041" s="1" t="s">
        <v>19751</v>
      </c>
      <c r="K10041" s="1" t="str">
        <f t="shared" si="623"/>
        <v>ㄔ</v>
      </c>
      <c r="L10041" s="1" t="str">
        <f t="shared" si="622"/>
        <v>ㄢ</v>
      </c>
      <c r="N10041" s="3" t="s">
        <v>30575</v>
      </c>
      <c r="O10041" s="3"/>
      <c r="P10041" s="1" t="s">
        <v>20</v>
      </c>
      <c r="R10041" s="1" t="s">
        <v>19752</v>
      </c>
      <c r="V10041" s="1" t="s">
        <v>19808</v>
      </c>
      <c r="AR10041" s="1" t="str">
        <f t="shared" si="621"/>
        <v>| [ㄔㄢˊ](ㄔㄢˊ.md) | [饞](饞.md) |  | chán | [動]
貪吃。如：「嘴饞」。元．王實甫《西廂記．第一本．第一折》：「餓眼望將穿，饞口涎空嚥。」 |</v>
      </c>
    </row>
    <row r="10042" spans="1:44" hidden="1">
      <c r="A10042" s="1" t="s">
        <v>19809</v>
      </c>
      <c r="C10042" s="1">
        <v>1</v>
      </c>
      <c r="D10042" s="1" t="str">
        <f>"08381"</f>
        <v>08381</v>
      </c>
      <c r="E10042" s="1" t="s">
        <v>679</v>
      </c>
      <c r="F10042" s="1">
        <v>19</v>
      </c>
      <c r="G10042" s="1">
        <v>13</v>
      </c>
      <c r="H10042" s="1">
        <v>0</v>
      </c>
      <c r="I10042" s="1" t="s">
        <v>19751</v>
      </c>
      <c r="K10042" s="1" t="str">
        <f t="shared" si="623"/>
        <v>ㄔ</v>
      </c>
      <c r="L10042" s="1" t="str">
        <f t="shared" si="622"/>
        <v>ㄢ</v>
      </c>
      <c r="N10042" s="3" t="s">
        <v>30575</v>
      </c>
      <c r="O10042" s="3"/>
      <c r="P10042" s="1" t="s">
        <v>20</v>
      </c>
      <c r="R10042" s="1" t="s">
        <v>19752</v>
      </c>
      <c r="V10042" s="1" t="s">
        <v>19810</v>
      </c>
      <c r="AR10042" s="1" t="str">
        <f t="shared" si="621"/>
        <v>| [ㄔㄢˊ](ㄔㄢˊ.md) | [蟾](蟾.md) |  | chán | [名]
1.參見「蟾蜍」條。
2.傳說月亮中有蟾蜍，故代稱月亮為「蟾」。宋．陳師道〈夜句〉詩三首之二：「老樹仍孤秀，秋蟾只獨明。」 |</v>
      </c>
    </row>
    <row r="10043" spans="1:44" hidden="1">
      <c r="A10043" s="1" t="s">
        <v>19811</v>
      </c>
      <c r="C10043" s="1">
        <v>1</v>
      </c>
      <c r="D10043" s="1" t="str">
        <f>"08382"</f>
        <v>08382</v>
      </c>
      <c r="E10043" s="1" t="s">
        <v>185</v>
      </c>
      <c r="F10043" s="1">
        <v>10</v>
      </c>
      <c r="G10043" s="1">
        <v>8</v>
      </c>
      <c r="H10043" s="1">
        <v>1</v>
      </c>
      <c r="I10043" s="1" t="s">
        <v>19812</v>
      </c>
      <c r="K10043" s="1" t="str">
        <f t="shared" si="623"/>
        <v>ㄔ</v>
      </c>
      <c r="L10043" s="1" t="str">
        <f t="shared" si="622"/>
        <v>ㄢ</v>
      </c>
      <c r="N10043" s="3" t="s">
        <v>30576</v>
      </c>
      <c r="O10043" s="3"/>
      <c r="P10043" s="1" t="s">
        <v>20</v>
      </c>
      <c r="R10043" s="1" t="s">
        <v>19813</v>
      </c>
      <c r="V10043" s="1" t="s">
        <v>19814</v>
      </c>
      <c r="W10043" s="1" t="s">
        <v>19815</v>
      </c>
      <c r="AR10043" s="1" t="str">
        <f t="shared" si="621"/>
        <v>| [ㄔㄢˇ](ㄔㄢˇ.md) | [剗](剗.md) |  | chǎn | [動]
毀滅、削平、刪除。如：「剗平」、「剗除」。《文選．揚雄．劇秦美新》：「剗滅古文，刮語燒書。」《後漢書．卷四四．胡廣傳》：「今以一臣之言，剗戾舊章，便利未明，眾心不猒。」 |</v>
      </c>
    </row>
    <row r="10044" spans="1:44" hidden="1">
      <c r="A10044" s="1" t="s">
        <v>19816</v>
      </c>
      <c r="C10044" s="1">
        <v>1</v>
      </c>
      <c r="D10044" s="1" t="str">
        <f>"08383"</f>
        <v>08383</v>
      </c>
      <c r="E10044" s="1" t="s">
        <v>19817</v>
      </c>
      <c r="F10044" s="1">
        <v>11</v>
      </c>
      <c r="G10044" s="1">
        <v>6</v>
      </c>
      <c r="H10044" s="1">
        <v>0</v>
      </c>
      <c r="I10044" s="1" t="s">
        <v>19812</v>
      </c>
      <c r="K10044" s="1" t="str">
        <f t="shared" si="623"/>
        <v>ㄔ</v>
      </c>
      <c r="L10044" s="1" t="str">
        <f t="shared" si="622"/>
        <v>ㄢ</v>
      </c>
      <c r="N10044" s="3" t="s">
        <v>30576</v>
      </c>
      <c r="O10044" s="3"/>
      <c r="P10044" s="1" t="s">
        <v>20</v>
      </c>
      <c r="R10044" s="1" t="s">
        <v>19813</v>
      </c>
      <c r="V10044" s="1" t="s">
        <v>19818</v>
      </c>
      <c r="AR10044" s="1" t="str">
        <f t="shared" si="621"/>
        <v>| [ㄔㄢˇ](ㄔㄢˇ.md) | [產](產.md) |  | chǎn | [名]
1.出自人工或天然的物品。如：「礦產」、「土產」、「海產」、「特產」、「名產」。漢．鼂錯〈賢良文學對策〉：「德上及飛鳥，下至水蟲，草木諸產，皆被其澤。」
2.房地財物。如：「財產」、「不動產」。《史記．卷四一．越王句踐世家》：「居無幾何，致產數十萬。」
3.姓。如明代有產麟。
[動]
1.生。如：「產子」、「產卵」。《韓非子．六反》：「且父母之於子也，產男則相賀，產女則相殺。」
2.自然生長或人工種植、製造。如：「盛產」、「出產」。 |</v>
      </c>
    </row>
    <row r="10045" spans="1:44" hidden="1">
      <c r="A10045" s="1" t="s">
        <v>19819</v>
      </c>
      <c r="C10045" s="1">
        <v>1</v>
      </c>
      <c r="D10045" s="1" t="str">
        <f>"08384"</f>
        <v>08384</v>
      </c>
      <c r="E10045" s="1" t="s">
        <v>185</v>
      </c>
      <c r="F10045" s="1">
        <v>13</v>
      </c>
      <c r="G10045" s="1">
        <v>11</v>
      </c>
      <c r="H10045" s="1">
        <v>0</v>
      </c>
      <c r="I10045" s="1" t="s">
        <v>19812</v>
      </c>
      <c r="K10045" s="1" t="str">
        <f t="shared" si="623"/>
        <v>ㄔ</v>
      </c>
      <c r="L10045" s="1" t="str">
        <f t="shared" si="622"/>
        <v>ㄢ</v>
      </c>
      <c r="N10045" s="3" t="s">
        <v>30576</v>
      </c>
      <c r="O10045" s="3"/>
      <c r="P10045" s="1" t="s">
        <v>20</v>
      </c>
      <c r="R10045" s="1" t="s">
        <v>19813</v>
      </c>
      <c r="V10045" s="1" t="s">
        <v>19820</v>
      </c>
      <c r="AR10045" s="1" t="str">
        <f t="shared" si="621"/>
        <v>| [ㄔㄢˇ](ㄔㄢˇ.md) | [剷](剷.md) |  | chǎn | [動]
1.割除。唐．柳宗元〈鈷鉧潭西小邱記〉：「剷刈穢草，伐去惡木。」
2.削平。通「剗」。唐．杜牧〈原十六衛〉：「於是府兵內剷，邊兵外作。」 |</v>
      </c>
    </row>
    <row r="10046" spans="1:44" hidden="1">
      <c r="A10046" s="1" t="s">
        <v>19821</v>
      </c>
      <c r="C10046" s="1">
        <v>1</v>
      </c>
      <c r="D10046" s="1" t="str">
        <f>"08385"</f>
        <v>08385</v>
      </c>
      <c r="E10046" s="1" t="s">
        <v>129</v>
      </c>
      <c r="F10046" s="1">
        <v>14</v>
      </c>
      <c r="G10046" s="1">
        <v>11</v>
      </c>
      <c r="H10046" s="1">
        <v>0</v>
      </c>
      <c r="I10046" s="1" t="s">
        <v>19812</v>
      </c>
      <c r="K10046" s="1" t="str">
        <f t="shared" si="623"/>
        <v>ㄔ</v>
      </c>
      <c r="L10046" s="1" t="str">
        <f t="shared" si="622"/>
        <v>ㄢ</v>
      </c>
      <c r="N10046" s="3" t="s">
        <v>30576</v>
      </c>
      <c r="O10046" s="3"/>
      <c r="P10046" s="1" t="s">
        <v>20</v>
      </c>
      <c r="R10046" s="1" t="s">
        <v>19813</v>
      </c>
      <c r="V10046" s="1" t="s">
        <v>19822</v>
      </c>
      <c r="AR10046" s="1" t="str">
        <f t="shared" si="621"/>
        <v>| [ㄔㄢˇ](ㄔㄢˇ.md) | [滻](滻.md) |  | chǎn | 參見「滻滻」條。 |</v>
      </c>
    </row>
    <row r="10047" spans="1:44" hidden="1">
      <c r="A10047" s="1" t="s">
        <v>19823</v>
      </c>
      <c r="C10047" s="1">
        <v>1</v>
      </c>
      <c r="D10047" s="1" t="str">
        <f>"08386"</f>
        <v>08386</v>
      </c>
      <c r="E10047" s="1" t="s">
        <v>55</v>
      </c>
      <c r="F10047" s="1">
        <v>19</v>
      </c>
      <c r="G10047" s="1">
        <v>11</v>
      </c>
      <c r="H10047" s="1">
        <v>0</v>
      </c>
      <c r="I10047" s="1" t="s">
        <v>19812</v>
      </c>
      <c r="K10047" s="1" t="str">
        <f t="shared" si="623"/>
        <v>ㄔ</v>
      </c>
      <c r="L10047" s="1" t="str">
        <f t="shared" si="622"/>
        <v>ㄢ</v>
      </c>
      <c r="N10047" s="3" t="s">
        <v>30576</v>
      </c>
      <c r="O10047" s="3"/>
      <c r="P10047" s="1" t="s">
        <v>20</v>
      </c>
      <c r="R10047" s="1" t="s">
        <v>19813</v>
      </c>
      <c r="V10047" s="1" t="s">
        <v>19824</v>
      </c>
      <c r="AR10047" s="1" t="str">
        <f t="shared" si="621"/>
        <v>| [ㄔㄢˇ](ㄔㄢˇ.md) | [鏟](鏟.md) |  | chǎn | [名]_x000D_
一種帶把的金屬器具，可削平或撮取東西。如：「鍋鏟」、「煤鏟」、「土鏟」。_x000D_
[動]_x000D_
1.削平、挖除。晉．木華〈海賦〉：「於是乎禹也乃鏟臨崖之阜陸，決陂潢而相沃。」_x000D_
2.除去、消滅。唐．李紓〈故中書舍人吳郡朱府君神道碑〉：「國朝鏟邇代之弊，振中古之業。」明．劉基〈祀方丘頌〉：「鋤秦鏟燕，掃貊滌戎。」 |</v>
      </c>
    </row>
    <row r="10048" spans="1:44" hidden="1">
      <c r="A10048" s="1" t="s">
        <v>19825</v>
      </c>
      <c r="C10048" s="1">
        <v>1</v>
      </c>
      <c r="D10048" s="1" t="str">
        <f>"08387"</f>
        <v>08387</v>
      </c>
      <c r="E10048" s="1" t="s">
        <v>331</v>
      </c>
      <c r="F10048" s="1">
        <v>15</v>
      </c>
      <c r="G10048" s="1">
        <v>8</v>
      </c>
      <c r="H10048" s="1">
        <v>0</v>
      </c>
      <c r="I10048" s="1" t="s">
        <v>19812</v>
      </c>
      <c r="K10048" s="1" t="str">
        <f t="shared" si="623"/>
        <v>ㄔ</v>
      </c>
      <c r="L10048" s="1" t="str">
        <f t="shared" si="622"/>
        <v>ㄢ</v>
      </c>
      <c r="N10048" s="3" t="s">
        <v>30576</v>
      </c>
      <c r="O10048" s="3"/>
      <c r="P10048" s="1" t="s">
        <v>20</v>
      </c>
      <c r="R10048" s="1" t="s">
        <v>19813</v>
      </c>
      <c r="V10048" s="1" t="s">
        <v>19826</v>
      </c>
      <c r="AR10048" s="1" t="str">
        <f t="shared" si="621"/>
        <v>| [ㄔㄢˇ](ㄔㄢˇ.md) | [諂](諂.md) |  | chǎn | [動]
奉承、巴結。如：「逢迎諂媚」。《論語．學而》：「貧而無諂，富而無驕，何如？」 |</v>
      </c>
    </row>
    <row r="10049" spans="1:44" hidden="1">
      <c r="A10049" s="1" t="s">
        <v>6204</v>
      </c>
      <c r="C10049" s="1">
        <v>1</v>
      </c>
      <c r="D10049" s="1" t="str">
        <f>"08388"</f>
        <v>08388</v>
      </c>
      <c r="E10049" s="1" t="s">
        <v>28</v>
      </c>
      <c r="F10049" s="1">
        <v>15</v>
      </c>
      <c r="G10049" s="1">
        <v>12</v>
      </c>
      <c r="H10049" s="1">
        <v>2</v>
      </c>
      <c r="I10049" s="1" t="s">
        <v>19812</v>
      </c>
      <c r="K10049" s="1" t="str">
        <f t="shared" si="623"/>
        <v>ㄔ</v>
      </c>
      <c r="L10049" s="1" t="str">
        <f t="shared" si="622"/>
        <v>ㄢ</v>
      </c>
      <c r="N10049" s="3" t="s">
        <v>30576</v>
      </c>
      <c r="O10049" s="3"/>
      <c r="P10049" s="1" t="s">
        <v>20</v>
      </c>
      <c r="R10049" s="1" t="s">
        <v>19813</v>
      </c>
      <c r="V10049" s="1" t="s">
        <v>19827</v>
      </c>
      <c r="W10049" s="1" t="s">
        <v>19828</v>
      </c>
      <c r="AR10049" s="1" t="str">
        <f t="shared" si="621"/>
        <v>| [ㄔㄢˇ](ㄔㄢˇ.md) | [嘽](嘽.md) |  | chǎn | [形]
寬舒、和緩。《禮記．樂記》：「其樂心感者，其聲嘽以緩。」 |</v>
      </c>
    </row>
    <row r="10050" spans="1:44" hidden="1">
      <c r="A10050" s="1" t="s">
        <v>19829</v>
      </c>
      <c r="C10050" s="1">
        <v>1</v>
      </c>
      <c r="D10050" s="1" t="str">
        <f>"08389"</f>
        <v>08389</v>
      </c>
      <c r="E10050" s="1" t="s">
        <v>222</v>
      </c>
      <c r="F10050" s="1">
        <v>15</v>
      </c>
      <c r="G10050" s="1">
        <v>12</v>
      </c>
      <c r="H10050" s="1">
        <v>0</v>
      </c>
      <c r="I10050" s="1" t="s">
        <v>19812</v>
      </c>
      <c r="K10050" s="1" t="str">
        <f t="shared" si="623"/>
        <v>ㄔ</v>
      </c>
      <c r="L10050" s="1" t="str">
        <f t="shared" si="622"/>
        <v>ㄢ</v>
      </c>
      <c r="N10050" s="3" t="s">
        <v>30576</v>
      </c>
      <c r="O10050" s="3"/>
      <c r="P10050" s="1" t="s">
        <v>20</v>
      </c>
      <c r="R10050" s="1" t="s">
        <v>19813</v>
      </c>
      <c r="V10050" s="1" t="s">
        <v>19830</v>
      </c>
      <c r="AR10050" s="1" t="str">
        <f t="shared" si="621"/>
        <v>| [ㄔㄢˇ](ㄔㄢˇ.md) | [幝](幝.md) |  | chǎn | 參見「幝幝」條。 |</v>
      </c>
    </row>
    <row r="10051" spans="1:44" hidden="1">
      <c r="A10051" s="1" t="s">
        <v>19831</v>
      </c>
      <c r="C10051" s="1">
        <v>1</v>
      </c>
      <c r="D10051" s="1" t="str">
        <f>"08390"</f>
        <v>08390</v>
      </c>
      <c r="E10051" s="1" t="s">
        <v>336</v>
      </c>
      <c r="F10051" s="1">
        <v>16</v>
      </c>
      <c r="G10051" s="1">
        <v>12</v>
      </c>
      <c r="H10051" s="1">
        <v>0</v>
      </c>
      <c r="I10051" s="1" t="s">
        <v>19812</v>
      </c>
      <c r="K10051" s="1" t="str">
        <f t="shared" si="623"/>
        <v>ㄔ</v>
      </c>
      <c r="L10051" s="1" t="str">
        <f t="shared" si="622"/>
        <v>ㄢ</v>
      </c>
      <c r="N10051" s="3" t="s">
        <v>30576</v>
      </c>
      <c r="O10051" s="3"/>
      <c r="P10051" s="1" t="s">
        <v>20</v>
      </c>
      <c r="R10051" s="1" t="s">
        <v>19813</v>
      </c>
      <c r="V10051" s="1" t="s">
        <v>19832</v>
      </c>
      <c r="AR10051" s="1" t="str">
        <f t="shared" ref="AR10051:AR10114" si="624">"| ["&amp;I10051&amp;"]("&amp;I10051&amp;".md) | ["&amp;A10051&amp;"]("&amp;A10051&amp;".md) | "&amp;" | "&amp;R10051&amp;" | "&amp;V10051&amp;" |"</f>
        <v>| [ㄔㄢˇ](ㄔㄢˇ.md) | [燀](燀.md) |  | chǎn | [動]
炊、燃燒。《左傳．昭公二十年》：「和如羹焉，水火醯醢鹽梅以烹魚肉，燀之以薪。」晉．杜預．注：「燀，炊也。」 |</v>
      </c>
    </row>
    <row r="10052" spans="1:44" hidden="1">
      <c r="A10052" s="1" t="s">
        <v>19833</v>
      </c>
      <c r="C10052" s="1">
        <v>1</v>
      </c>
      <c r="D10052" s="1" t="str">
        <f>"08391"</f>
        <v>08391</v>
      </c>
      <c r="E10052" s="1" t="s">
        <v>725</v>
      </c>
      <c r="F10052" s="1">
        <v>18</v>
      </c>
      <c r="G10052" s="1">
        <v>12</v>
      </c>
      <c r="H10052" s="1">
        <v>0</v>
      </c>
      <c r="I10052" s="1" t="s">
        <v>19812</v>
      </c>
      <c r="K10052" s="1" t="str">
        <f t="shared" si="623"/>
        <v>ㄔ</v>
      </c>
      <c r="L10052" s="1" t="str">
        <f t="shared" si="622"/>
        <v>ㄢ</v>
      </c>
      <c r="N10052" s="3" t="s">
        <v>30576</v>
      </c>
      <c r="O10052" s="3"/>
      <c r="P10052" s="1" t="s">
        <v>20</v>
      </c>
      <c r="R10052" s="1" t="s">
        <v>19813</v>
      </c>
      <c r="V10052" s="1" t="s">
        <v>19834</v>
      </c>
      <c r="AR10052" s="1" t="str">
        <f t="shared" si="624"/>
        <v>| [ㄔㄢˇ](ㄔㄢˇ.md) | [繟](繟.md) |  | chǎn | [名]
寬鬆的帶子。《玉篇．糸部》：「繟，寬綬也。」 |</v>
      </c>
    </row>
    <row r="10053" spans="1:44" hidden="1">
      <c r="A10053" s="1" t="s">
        <v>19835</v>
      </c>
      <c r="C10053" s="1">
        <v>1</v>
      </c>
      <c r="D10053" s="1" t="str">
        <f>"08392"</f>
        <v>08392</v>
      </c>
      <c r="E10053" s="1" t="s">
        <v>709</v>
      </c>
      <c r="F10053" s="1">
        <v>20</v>
      </c>
      <c r="G10053" s="1">
        <v>12</v>
      </c>
      <c r="H10053" s="1">
        <v>0</v>
      </c>
      <c r="I10053" s="1" t="s">
        <v>19812</v>
      </c>
      <c r="K10053" s="1" t="str">
        <f t="shared" si="623"/>
        <v>ㄔ</v>
      </c>
      <c r="L10053" s="1" t="str">
        <f t="shared" si="622"/>
        <v>ㄢ</v>
      </c>
      <c r="N10053" s="3" t="s">
        <v>30576</v>
      </c>
      <c r="O10053" s="3"/>
      <c r="P10053" s="1" t="s">
        <v>20</v>
      </c>
      <c r="R10053" s="1" t="s">
        <v>19813</v>
      </c>
      <c r="V10053" s="1" t="s">
        <v>19836</v>
      </c>
      <c r="AR10053" s="1" t="str">
        <f t="shared" si="624"/>
        <v>| [ㄔㄢˇ](ㄔㄢˇ.md) | [闡](闡.md) |  | chǎn | [動]
1.開闢、打開。《文選．左思．吳都賦》：「闡闔閭之所營，采夫差之遺法。」唐．白居易〈嚴十八郎中在郡日改制東南樓因名清輝未立標牓徵歸郎署〉詩：「看山倚前戶，待月闡東扉。」
2.顯露、弘揚。如：「闡揚」。《易經．繫辭下》：「夫易彰往而察來，而微顯闡幽。」漢．孔安國〈書經序〉：「漢室龍興，開設學校，旁求儒雅，以闡大猷。」 |</v>
      </c>
    </row>
    <row r="10054" spans="1:44" hidden="1">
      <c r="A10054" s="1" t="s">
        <v>19837</v>
      </c>
      <c r="C10054" s="1">
        <v>1</v>
      </c>
      <c r="D10054" s="1" t="str">
        <f>"08393"</f>
        <v>08393</v>
      </c>
      <c r="E10054" s="1" t="s">
        <v>28</v>
      </c>
      <c r="F10054" s="1">
        <v>22</v>
      </c>
      <c r="G10054" s="1">
        <v>19</v>
      </c>
      <c r="H10054" s="1">
        <v>0</v>
      </c>
      <c r="I10054" s="1" t="s">
        <v>19812</v>
      </c>
      <c r="K10054" s="1" t="str">
        <f t="shared" si="623"/>
        <v>ㄔ</v>
      </c>
      <c r="L10054" s="1" t="str">
        <f t="shared" si="622"/>
        <v>ㄢ</v>
      </c>
      <c r="N10054" s="3" t="s">
        <v>30576</v>
      </c>
      <c r="O10054" s="3"/>
      <c r="P10054" s="1" t="s">
        <v>20</v>
      </c>
      <c r="R10054" s="1" t="s">
        <v>19813</v>
      </c>
      <c r="V10054" s="1" t="s">
        <v>19838</v>
      </c>
      <c r="AR10054" s="1" t="str">
        <f t="shared" si="624"/>
        <v>| [ㄔㄢˇ](ㄔㄢˇ.md) | [囅](囅.md) |  | chǎn | 參見「囅然」條。 |</v>
      </c>
    </row>
    <row r="10055" spans="1:44" hidden="1">
      <c r="A10055" s="1" t="s">
        <v>19839</v>
      </c>
      <c r="C10055" s="1">
        <v>1</v>
      </c>
      <c r="D10055" s="1" t="str">
        <f>"08394"</f>
        <v>08394</v>
      </c>
      <c r="E10055" s="1" t="s">
        <v>129</v>
      </c>
      <c r="F10055" s="1">
        <v>23</v>
      </c>
      <c r="G10055" s="1">
        <v>20</v>
      </c>
      <c r="H10055" s="1">
        <v>0</v>
      </c>
      <c r="I10055" s="1" t="s">
        <v>19812</v>
      </c>
      <c r="K10055" s="1" t="str">
        <f t="shared" si="623"/>
        <v>ㄔ</v>
      </c>
      <c r="L10055" s="1" t="str">
        <f t="shared" si="622"/>
        <v>ㄢ</v>
      </c>
      <c r="N10055" s="3" t="s">
        <v>30576</v>
      </c>
      <c r="O10055" s="3"/>
      <c r="P10055" s="1" t="s">
        <v>20</v>
      </c>
      <c r="R10055" s="1" t="s">
        <v>19813</v>
      </c>
      <c r="V10055" s="1" t="s">
        <v>19840</v>
      </c>
      <c r="AR10055" s="1" t="str">
        <f t="shared" si="624"/>
        <v>| [ㄔㄢˇ](ㄔㄢˇ.md) | [灛](灛.md) |  | chǎn | [名]
河川名。汶水的支流。位於山東省泰安市寧陽縣的東北部。 |</v>
      </c>
    </row>
    <row r="10056" spans="1:44" hidden="1">
      <c r="A10056" s="1" t="s">
        <v>19841</v>
      </c>
      <c r="C10056" s="1">
        <v>1</v>
      </c>
      <c r="D10056" s="1" t="str">
        <f>"08395"</f>
        <v>08395</v>
      </c>
      <c r="E10056" s="1" t="s">
        <v>37</v>
      </c>
      <c r="F10056" s="1">
        <v>16</v>
      </c>
      <c r="G10056" s="1">
        <v>12</v>
      </c>
      <c r="H10056" s="1">
        <v>0</v>
      </c>
      <c r="I10056" s="1" t="s">
        <v>19812</v>
      </c>
      <c r="K10056" s="1" t="str">
        <f t="shared" si="623"/>
        <v>ㄔ</v>
      </c>
      <c r="L10056" s="1" t="str">
        <f t="shared" si="622"/>
        <v>ㄢ</v>
      </c>
      <c r="N10056" s="3" t="s">
        <v>30576</v>
      </c>
      <c r="O10056" s="3"/>
      <c r="P10056" s="1" t="s">
        <v>20</v>
      </c>
      <c r="R10056" s="1" t="s">
        <v>19813</v>
      </c>
      <c r="V10056" s="1" t="s">
        <v>19842</v>
      </c>
      <c r="AR10056" s="1" t="str">
        <f t="shared" si="624"/>
        <v>| [ㄔㄢˇ](ㄔㄢˇ.md) | [蕆](蕆.md) |  | chǎn | [動]
解決、完成。《左傳．文公十七年》：「十四年七月，寡君又朝，以蕆陳事。」清．龔自珍〈己亥雜詩〉三一五首之八十七：「故人橫海拜將軍，側立南天未蕆勛。」 |</v>
      </c>
    </row>
    <row r="10057" spans="1:44" hidden="1">
      <c r="A10057" s="1" t="s">
        <v>18505</v>
      </c>
      <c r="C10057" s="1">
        <v>1</v>
      </c>
      <c r="D10057" s="1" t="str">
        <f>"08396"</f>
        <v>08396</v>
      </c>
      <c r="E10057" s="1" t="s">
        <v>319</v>
      </c>
      <c r="F10057" s="1">
        <v>22</v>
      </c>
      <c r="G10057" s="1">
        <v>12</v>
      </c>
      <c r="H10057" s="1">
        <v>2</v>
      </c>
      <c r="I10057" s="1" t="s">
        <v>19812</v>
      </c>
      <c r="K10057" s="1" t="str">
        <f t="shared" si="623"/>
        <v>ㄔ</v>
      </c>
      <c r="L10057" s="1" t="str">
        <f t="shared" si="622"/>
        <v>ㄢ</v>
      </c>
      <c r="N10057" s="3" t="s">
        <v>30576</v>
      </c>
      <c r="O10057" s="3"/>
      <c r="P10057" s="1" t="s">
        <v>388</v>
      </c>
      <c r="R10057" s="1" t="s">
        <v>19813</v>
      </c>
      <c r="V10057" s="1" t="s">
        <v>407</v>
      </c>
      <c r="W10057" s="1" t="s">
        <v>19843</v>
      </c>
      <c r="AR10057" s="1" t="str">
        <f t="shared" si="624"/>
        <v>| [ㄔㄢˇ](ㄔㄢˇ.md) | [驏](驏.md) |  | chǎn | (一)之語音。 |</v>
      </c>
    </row>
    <row r="10058" spans="1:44" hidden="1">
      <c r="A10058" s="1" t="s">
        <v>19920</v>
      </c>
      <c r="C10058" s="1">
        <v>1</v>
      </c>
      <c r="D10058" s="1" t="str">
        <f>"08431"</f>
        <v>08431</v>
      </c>
      <c r="E10058" s="1" t="s">
        <v>40</v>
      </c>
      <c r="F10058" s="1">
        <v>9</v>
      </c>
      <c r="G10058" s="1">
        <v>4</v>
      </c>
      <c r="H10058" s="1">
        <v>0</v>
      </c>
      <c r="I10058" s="1" t="s">
        <v>19921</v>
      </c>
      <c r="K10058" s="1" t="str">
        <f t="shared" si="623"/>
        <v>ㄔ</v>
      </c>
      <c r="L10058" s="1" t="str">
        <f t="shared" ref="L10058:L10121" si="625">MID(I10058, 2, 1)</f>
        <v>ㄣ</v>
      </c>
      <c r="N10058" s="3" t="s">
        <v>30574</v>
      </c>
      <c r="O10058" s="3"/>
      <c r="P10058" s="1" t="s">
        <v>20</v>
      </c>
      <c r="R10058" s="1" t="s">
        <v>19922</v>
      </c>
      <c r="V10058" s="1" t="s">
        <v>19923</v>
      </c>
      <c r="AR10058" s="1" t="str">
        <f t="shared" si="624"/>
        <v>| [ㄔㄣˋ](ㄔㄣˋ.md) | [疢](疢.md) |  | chèn | [名]
疾病。《詩經．小雅．小弁》：「心之憂矣，疢如疾首。」晉．左思〈悼離贈妹〉詩二首之二：「其疢伊何，寤寐驚悸。」 |</v>
      </c>
    </row>
    <row r="10059" spans="1:44" hidden="1">
      <c r="A10059" s="1" t="s">
        <v>19924</v>
      </c>
      <c r="C10059" s="1">
        <v>1</v>
      </c>
      <c r="D10059" s="1" t="str">
        <f>"08432"</f>
        <v>08432</v>
      </c>
      <c r="E10059" s="1" t="s">
        <v>4563</v>
      </c>
      <c r="F10059" s="1">
        <v>12</v>
      </c>
      <c r="G10059" s="1">
        <v>5</v>
      </c>
      <c r="H10059" s="1">
        <v>0</v>
      </c>
      <c r="I10059" s="1" t="s">
        <v>19921</v>
      </c>
      <c r="K10059" s="1" t="str">
        <f t="shared" si="623"/>
        <v>ㄔ</v>
      </c>
      <c r="L10059" s="1" t="str">
        <f t="shared" si="625"/>
        <v>ㄣ</v>
      </c>
      <c r="N10059" s="3" t="s">
        <v>30574</v>
      </c>
      <c r="O10059" s="3"/>
      <c r="P10059" s="1" t="s">
        <v>20</v>
      </c>
      <c r="R10059" s="1" t="s">
        <v>19922</v>
      </c>
      <c r="V10059" s="1" t="s">
        <v>19925</v>
      </c>
      <c r="AR10059" s="1" t="str">
        <f t="shared" si="624"/>
        <v>| [ㄔㄣˋ](ㄔㄣˋ.md) | [趁](趁.md) |  | chèn | [動]
1.追逐。《梁書．卷九．曹景宗傳》：「常與少年數十人澤中逐獐鹿，每眾騎趁鹿，鹿馬相亂，景宗於眾中射之。」《水滸傳》第四三回：「李逵見了，心裡越疑惑，趁著那血跡尋將去。」
2.找尋。《水滸傳》第七三回：「胡亂趁些晚飯吃，借宿一夜，明日早行。」明．湯顯祖《南柯記》第十齣：「好笑，好笑，沒煩惱趁煩惱。」
3.利用。如：「趁虛而入」。唐．白居易〈早發楚城驛〉詩：「月乘殘夜出，人趁早涼行。」宋．辛棄疾〈水調歌頭．官事未易了〉詞：「君要花滿縣，桃李趁時栽。」
4.追隨、跟隨。唐．白居易〈初到洛下閒遊〉詩：「趁伴入朝應老醜，尋春放醉尚粗豪。」
5.趕、及時以赴。宋．陸游〈雜感〉詩一〇首之七：「山人那信宦途艱，強著期衣趁曉班。」元．王實甫《西廂記．第四本．第三折》：「趁程途節飲食，順時自保揣身體。」 |</v>
      </c>
    </row>
    <row r="10060" spans="1:44" hidden="1">
      <c r="A10060" s="1" t="s">
        <v>19926</v>
      </c>
      <c r="C10060" s="1">
        <v>1</v>
      </c>
      <c r="D10060" s="1" t="str">
        <f>"08433"</f>
        <v>08433</v>
      </c>
      <c r="E10060" s="1" t="s">
        <v>429</v>
      </c>
      <c r="F10060" s="1">
        <v>14</v>
      </c>
      <c r="G10060" s="1">
        <v>9</v>
      </c>
      <c r="H10060" s="1">
        <v>3</v>
      </c>
      <c r="I10060" s="1" t="s">
        <v>19921</v>
      </c>
      <c r="K10060" s="1" t="str">
        <f t="shared" si="623"/>
        <v>ㄔ</v>
      </c>
      <c r="L10060" s="1" t="str">
        <f t="shared" si="625"/>
        <v>ㄣ</v>
      </c>
      <c r="N10060" s="3" t="s">
        <v>30574</v>
      </c>
      <c r="O10060" s="3"/>
      <c r="P10060" s="1" t="s">
        <v>110</v>
      </c>
      <c r="R10060" s="1" t="s">
        <v>19922</v>
      </c>
      <c r="V10060" s="1" t="s">
        <v>1633</v>
      </c>
      <c r="W10060" s="1" t="s">
        <v>19927</v>
      </c>
      <c r="AR10060" s="1" t="str">
        <f t="shared" si="624"/>
        <v>| [ㄔㄣˋ](ㄔㄣˋ.md) | [稱](稱.md) |  | chèn | (二)之又音。 |</v>
      </c>
    </row>
    <row r="10061" spans="1:44" hidden="1">
      <c r="A10061" s="1" t="s">
        <v>19928</v>
      </c>
      <c r="C10061" s="1">
        <v>1</v>
      </c>
      <c r="D10061" s="1" t="str">
        <f>"08434"</f>
        <v>08434</v>
      </c>
      <c r="E10061" s="1" t="s">
        <v>592</v>
      </c>
      <c r="F10061" s="1">
        <v>17</v>
      </c>
      <c r="G10061" s="1">
        <v>2</v>
      </c>
      <c r="H10061" s="1">
        <v>0</v>
      </c>
      <c r="I10061" s="1" t="s">
        <v>19921</v>
      </c>
      <c r="K10061" s="1" t="str">
        <f t="shared" si="623"/>
        <v>ㄔ</v>
      </c>
      <c r="L10061" s="1" t="str">
        <f t="shared" si="625"/>
        <v>ㄣ</v>
      </c>
      <c r="N10061" s="3" t="s">
        <v>30574</v>
      </c>
      <c r="O10061" s="3"/>
      <c r="P10061" s="1" t="s">
        <v>20</v>
      </c>
      <c r="R10061" s="1" t="s">
        <v>19922</v>
      </c>
      <c r="V10061" s="1" t="s">
        <v>19929</v>
      </c>
      <c r="AR10061" s="1" t="str">
        <f t="shared" si="624"/>
        <v>| [ㄔㄣˋ](ㄔㄣˋ.md) | [齔](齔.md) |  | chèn | [動]_x000D_
自乳齒脫換為成人的牙齒。《說文解字．齒部》：「齔，毀齒也。男八月生齒，八歲而齔；女七月生齒，七歲而齔。」《列子．湯問》：「鄰人京城氏之孀妻，有遺男，始齔，跳往助之。」_x000D_
[名]_x000D_
年幼的人。元．王實甫《西廂記．第二本．第一折》：「呀！將俺一家兒不留一個齠齔，待從軍又怕辱沒了家門。」_x000D_
[形]_x000D_
幼小。《後漢書．卷一〇．皇后紀下．安思閻皇后紀》：「顯、景諸子年皆童齔，并為黃門侍郎。」 |</v>
      </c>
    </row>
    <row r="10062" spans="1:44" hidden="1">
      <c r="A10062" s="1" t="s">
        <v>19930</v>
      </c>
      <c r="C10062" s="1">
        <v>1</v>
      </c>
      <c r="D10062" s="1" t="str">
        <f>"08435"</f>
        <v>08435</v>
      </c>
      <c r="E10062" s="1" t="s">
        <v>709</v>
      </c>
      <c r="F10062" s="1">
        <v>18</v>
      </c>
      <c r="G10062" s="1">
        <v>10</v>
      </c>
      <c r="H10062" s="1">
        <v>1</v>
      </c>
      <c r="I10062" s="1" t="s">
        <v>19921</v>
      </c>
      <c r="K10062" s="1" t="str">
        <f t="shared" si="623"/>
        <v>ㄔ</v>
      </c>
      <c r="L10062" s="1" t="str">
        <f t="shared" si="625"/>
        <v>ㄣ</v>
      </c>
      <c r="N10062" s="3" t="s">
        <v>30574</v>
      </c>
      <c r="O10062" s="3"/>
      <c r="P10062" s="1" t="s">
        <v>20</v>
      </c>
      <c r="R10062" s="1" t="s">
        <v>19922</v>
      </c>
      <c r="V10062" s="1" t="s">
        <v>19931</v>
      </c>
      <c r="W10062" s="1" t="s">
        <v>19932</v>
      </c>
      <c r="AR10062" s="1" t="str">
        <f t="shared" si="624"/>
        <v>| [ㄔㄣˋ](ㄔㄣˋ.md) | [闖](闖.md) |  | chèn | [形]
1.馬馳出門外的樣子。《說文解字．門部》：「闖，馬出門貌。」
2.出頭的樣子。《公羊傳．哀公六年》：「開之則闖然公子陽生也。」 |</v>
      </c>
    </row>
    <row r="10063" spans="1:44" hidden="1">
      <c r="A10063" s="1" t="s">
        <v>19933</v>
      </c>
      <c r="C10063" s="1">
        <v>1</v>
      </c>
      <c r="D10063" s="1" t="str">
        <f>"08436"</f>
        <v>08436</v>
      </c>
      <c r="E10063" s="1" t="s">
        <v>114</v>
      </c>
      <c r="F10063" s="1">
        <v>18</v>
      </c>
      <c r="G10063" s="1">
        <v>16</v>
      </c>
      <c r="H10063" s="1">
        <v>0</v>
      </c>
      <c r="I10063" s="1" t="s">
        <v>19921</v>
      </c>
      <c r="K10063" s="1" t="str">
        <f t="shared" si="623"/>
        <v>ㄔ</v>
      </c>
      <c r="L10063" s="1" t="str">
        <f t="shared" si="625"/>
        <v>ㄣ</v>
      </c>
      <c r="N10063" s="3" t="s">
        <v>30574</v>
      </c>
      <c r="O10063" s="3"/>
      <c r="P10063" s="1" t="s">
        <v>20</v>
      </c>
      <c r="R10063" s="1" t="s">
        <v>19922</v>
      </c>
      <c r="V10063" s="1" t="s">
        <v>19934</v>
      </c>
      <c r="AR10063" s="1" t="str">
        <f t="shared" si="624"/>
        <v>| [ㄔㄣˋ](ㄔㄣˋ.md) | [儭](儭.md) |  | chèn | [名]
裡。通「襯」。《廣韻．去聲．震韻》：「儭，裡也。」明．張自烈《正字通．人部》：「襯，裡也。當作儭，與襯通。」
[動]
布施財物給僧侶。《南史．卷三二．張卲傳》：「王母殷淑儀薨，後四月八日建齋並灌佛，僚佐儭者多至一萬。」 |</v>
      </c>
    </row>
    <row r="10064" spans="1:44" hidden="1">
      <c r="A10064" s="1" t="s">
        <v>19935</v>
      </c>
      <c r="C10064" s="1">
        <v>1</v>
      </c>
      <c r="D10064" s="1" t="str">
        <f>"08437"</f>
        <v>08437</v>
      </c>
      <c r="E10064" s="1" t="s">
        <v>28</v>
      </c>
      <c r="F10064" s="1">
        <v>19</v>
      </c>
      <c r="G10064" s="1">
        <v>16</v>
      </c>
      <c r="H10064" s="1">
        <v>0</v>
      </c>
      <c r="I10064" s="1" t="s">
        <v>19921</v>
      </c>
      <c r="K10064" s="1" t="str">
        <f t="shared" si="623"/>
        <v>ㄔ</v>
      </c>
      <c r="L10064" s="1" t="str">
        <f t="shared" si="625"/>
        <v>ㄣ</v>
      </c>
      <c r="N10064" s="3" t="s">
        <v>30574</v>
      </c>
      <c r="O10064" s="3"/>
      <c r="P10064" s="1" t="s">
        <v>20</v>
      </c>
      <c r="R10064" s="1" t="s">
        <v>19922</v>
      </c>
      <c r="V10064" s="1" t="s">
        <v>19936</v>
      </c>
      <c r="AR10064" s="1" t="str">
        <f t="shared" si="624"/>
        <v>| [ㄔㄣˋ](ㄔㄣˋ.md) | [嚫](嚫.md) |  | chèn | [動]
施予僧侶財物。隋．煬帝〈法諱奉智者書〉：「弟子一日恭嚫，猶以陋薄，不稱宿心。」 |</v>
      </c>
    </row>
    <row r="10065" spans="1:44" hidden="1">
      <c r="A10065" s="1" t="s">
        <v>19937</v>
      </c>
      <c r="C10065" s="1">
        <v>1</v>
      </c>
      <c r="D10065" s="1" t="str">
        <f>"08438"</f>
        <v>08438</v>
      </c>
      <c r="E10065" s="1" t="s">
        <v>139</v>
      </c>
      <c r="F10065" s="1">
        <v>20</v>
      </c>
      <c r="G10065" s="1">
        <v>16</v>
      </c>
      <c r="H10065" s="1">
        <v>0</v>
      </c>
      <c r="I10065" s="1" t="s">
        <v>19921</v>
      </c>
      <c r="K10065" s="1" t="str">
        <f t="shared" si="623"/>
        <v>ㄔ</v>
      </c>
      <c r="L10065" s="1" t="str">
        <f t="shared" si="625"/>
        <v>ㄣ</v>
      </c>
      <c r="N10065" s="3" t="s">
        <v>30574</v>
      </c>
      <c r="O10065" s="3"/>
      <c r="P10065" s="1" t="s">
        <v>20</v>
      </c>
      <c r="R10065" s="1" t="s">
        <v>19922</v>
      </c>
      <c r="V10065" s="1" t="s">
        <v>19938</v>
      </c>
      <c r="AR10065" s="1" t="str">
        <f t="shared" si="624"/>
        <v>| [ㄔㄣˋ](ㄔㄣˋ.md) | [櫬](櫬.md) |  | chèn | [名]
1.棺材。《說文解字．木部》：「櫬，棺也。」《左傳．襄公二年》：「穆姜使擇美檟以自為櫬。」
2.梧桐科梧桐屬，「梧桐」之古稱，參見「梧桐」條。《爾雅．釋木》：「櫬，梧。」晉．郭璞．注：「今梧桐。」
3.植物名。錦葵科木槿屬，「木槿」之古稱，參見「木槿」條。 |</v>
      </c>
    </row>
    <row r="10066" spans="1:44" hidden="1">
      <c r="A10066" s="1" t="s">
        <v>19939</v>
      </c>
      <c r="C10066" s="1">
        <v>1</v>
      </c>
      <c r="D10066" s="1" t="str">
        <f>"08439"</f>
        <v>08439</v>
      </c>
      <c r="E10066" s="1" t="s">
        <v>340</v>
      </c>
      <c r="F10066" s="1">
        <v>22</v>
      </c>
      <c r="G10066" s="1">
        <v>16</v>
      </c>
      <c r="H10066" s="1">
        <v>0</v>
      </c>
      <c r="I10066" s="1" t="s">
        <v>19921</v>
      </c>
      <c r="K10066" s="1" t="str">
        <f t="shared" si="623"/>
        <v>ㄔ</v>
      </c>
      <c r="L10066" s="1" t="str">
        <f t="shared" si="625"/>
        <v>ㄣ</v>
      </c>
      <c r="N10066" s="3" t="s">
        <v>30574</v>
      </c>
      <c r="O10066" s="3"/>
      <c r="P10066" s="1" t="s">
        <v>20</v>
      </c>
      <c r="R10066" s="1" t="s">
        <v>19922</v>
      </c>
      <c r="V10066" s="1" t="s">
        <v>19940</v>
      </c>
      <c r="AR10066" s="1" t="str">
        <f t="shared" si="624"/>
        <v>| [ㄔㄣˋ](ㄔㄣˋ.md) | [襯](襯.md) |  | chèn | [名]
1.內衣。《玉篇．衣部》：「襯，近身衣。」
2.襯墊在衣、帽、鞋內的布。如：「鞋襯」、「帽襯」。
[動]
1.對照、烘托。唐．韋莊〈中渡晚眺〉詩：「千重碧樹籠春苑，萬縷紅霞襯碧天。」
2.施與、布施。如：「齋襯」。《儒林外史》第二〇回：「那時帶幾百銀子來幫襯他，到不值什麼！」
[形]
襯墊於內的。如：「襯裙」、「襯衫」。 |</v>
      </c>
    </row>
    <row r="10067" spans="1:44" hidden="1">
      <c r="A10067" s="1" t="s">
        <v>19941</v>
      </c>
      <c r="C10067" s="1">
        <v>1</v>
      </c>
      <c r="D10067" s="1" t="str">
        <f>"08440"</f>
        <v>08440</v>
      </c>
      <c r="E10067" s="1" t="s">
        <v>331</v>
      </c>
      <c r="F10067" s="1">
        <v>24</v>
      </c>
      <c r="G10067" s="1">
        <v>17</v>
      </c>
      <c r="H10067" s="1">
        <v>0</v>
      </c>
      <c r="I10067" s="1" t="s">
        <v>19921</v>
      </c>
      <c r="K10067" s="1" t="str">
        <f t="shared" si="623"/>
        <v>ㄔ</v>
      </c>
      <c r="L10067" s="1" t="str">
        <f t="shared" si="625"/>
        <v>ㄣ</v>
      </c>
      <c r="N10067" s="3" t="s">
        <v>30574</v>
      </c>
      <c r="O10067" s="3"/>
      <c r="P10067" s="1" t="s">
        <v>20</v>
      </c>
      <c r="R10067" s="1" t="s">
        <v>19922</v>
      </c>
      <c r="V10067" s="1" t="s">
        <v>19942</v>
      </c>
      <c r="AR10067" s="1" t="str">
        <f t="shared" si="624"/>
        <v>| [ㄔㄣˋ](ㄔㄣˋ.md) | [讖](讖.md) |  | chèn | [名]
預測災異吉凶的言論或徵兆。如：「一語成讖」。《文選．左思．魏都賦》：「藏氣讖緯，閟象竹帛。」《紅樓夢》第八九回：「思前想後，竟應了前日夢中之讖。千愁萬恨，堆上心來。」 |</v>
      </c>
    </row>
    <row r="10068" spans="1:44" hidden="1">
      <c r="A10068" s="1" t="s">
        <v>19877</v>
      </c>
      <c r="C10068" s="1">
        <v>1</v>
      </c>
      <c r="D10068" s="1" t="str">
        <f>"08412"</f>
        <v>08412</v>
      </c>
      <c r="E10068" s="1" t="s">
        <v>8899</v>
      </c>
      <c r="F10068" s="1">
        <v>6</v>
      </c>
      <c r="G10068" s="1">
        <v>0</v>
      </c>
      <c r="H10068" s="1">
        <v>0</v>
      </c>
      <c r="I10068" s="1" t="s">
        <v>19878</v>
      </c>
      <c r="K10068" s="1" t="str">
        <f t="shared" si="623"/>
        <v>ㄔ</v>
      </c>
      <c r="L10068" s="1" t="str">
        <f t="shared" si="625"/>
        <v>ㄣ</v>
      </c>
      <c r="N10068" s="3" t="s">
        <v>30575</v>
      </c>
      <c r="O10068" s="3"/>
      <c r="P10068" s="1" t="s">
        <v>20</v>
      </c>
      <c r="R10068" s="1" t="s">
        <v>19879</v>
      </c>
      <c r="V10068" s="1" t="s">
        <v>19880</v>
      </c>
      <c r="AR10068" s="1" t="str">
        <f t="shared" si="624"/>
        <v>| [ㄔㄣˊ](ㄔㄣˊ.md) | [臣](臣.md) |  | chén | [名]
1.俘虜、奴隸。《書經．費誓》：「臣妾逋逃。」漢．孔安國．傳：「役人賤者，男曰臣，女曰妾。」《禮記．少儀》：「臣則左之。」漢．鄭玄．注：「臣，謂囚俘。」
2.君王時代的官吏。《論語．八佾》：「君使臣以禮，臣事君以忠。」《禮記．禮運》：「君位危，則大臣倍，小臣竊。」
3.古人對君、父或一般人的自謙之詞。《史記．卷八．高祖本紀》：「高祖奉玉卮，起為太上皇壽曰：『始大人常以臣無賴，不能治產業，不如仲力。』」《文選．諸葛亮．出師表》：「臣本布衣，躬耕於南陽。」
4.姓。如漢代有臣綜。
5.二一四部首之一。
[動]
1.服從。如：「臣服」。《韓非子．五蠹》：「魯哀公下主也，南面君國，境內之民，莫敢不臣。」
2.統率、使之服從而為臣。《左傳．昭公七年》：「故王臣公，公臣大夫，大夫臣士。」《戰國策．秦策四》：「兵甲之強，壹毀魏氏之威，而欲以力臣天下之主。」 |</v>
      </c>
    </row>
    <row r="10069" spans="1:44" hidden="1">
      <c r="A10069" s="1" t="s">
        <v>19881</v>
      </c>
      <c r="C10069" s="1">
        <v>1</v>
      </c>
      <c r="D10069" s="1" t="str">
        <f>"08413"</f>
        <v>08413</v>
      </c>
      <c r="E10069" s="1" t="s">
        <v>129</v>
      </c>
      <c r="F10069" s="1">
        <v>7</v>
      </c>
      <c r="G10069" s="1">
        <v>4</v>
      </c>
      <c r="H10069" s="1">
        <v>0</v>
      </c>
      <c r="I10069" s="1" t="s">
        <v>19878</v>
      </c>
      <c r="K10069" s="1" t="str">
        <f t="shared" si="623"/>
        <v>ㄔ</v>
      </c>
      <c r="L10069" s="1" t="str">
        <f t="shared" si="625"/>
        <v>ㄣ</v>
      </c>
      <c r="N10069" s="3" t="s">
        <v>30575</v>
      </c>
      <c r="O10069" s="3"/>
      <c r="P10069" s="1" t="s">
        <v>20</v>
      </c>
      <c r="R10069" s="1" t="s">
        <v>19879</v>
      </c>
      <c r="V10069" s="1" t="s">
        <v>19882</v>
      </c>
      <c r="AR10069" s="1" t="str">
        <f t="shared" si="624"/>
        <v>| [ㄔㄣˊ](ㄔㄣˊ.md) | [沉](沉.md) |  | chén | [動]
1.沒入水中。如：「沉沒」、「石沉大海」。《詩經．小雅．菁菁者莪》：「汎汎楊舟，載沉載浮。」
2.往下降落。如：「地基下沉」。宋．辛棄疾〈生查子．悠悠萬世功〉詞：「紅日又西沉，白浪長東去。」
3.埋沒、淪落。《文選．左思．詠史詩八首之二》：「世胄躡高位，英俊沉下僚。」唐．李商隱〈戊辰會靜中出貽同志二十韻〉：「中迷鬼道樂，沉為下土民。」
4.使降下。如：「沉不住氣」、「沉下臉來」。
5.迷戀、迷於所好。《書經．微子》：「我用沉酗于酒，用亂敗厥德于下。」《戰國策．趙策二》：「常民溺於習俗，學者沉於所聞。」
6.潛藏、隱伏不外露。《國語．周語下》：「氣不沉滯，而亦不散越。」三國吳．韋昭．注：「沉，伏也。」《文選．陸機．漢高祖功臣頌》：「沉跡中鄉，飛名帝錄。」
[形]
1.重。如：「這個擔子好沉。」《紅樓夢》第四〇回：「那劉老老入了坐，拿起箸來，沉甸甸的不伏手。」
2.深的。三國魏．曹植〈吁嗟篇〉：「自謂終天路，忽然下沉淵。」南朝宋．鮑照〈觀漏賦〉：「注沉穴而海漏，射懸塗而電飛。」
3.長久的。唐．杜甫〈病後過王倚飲贈歌〉：「酷見凍餒不足恥，多病沉年苦無健。」
[副]
深、深切。如：「沉醉」、「沉睡」。《文選．曹操．短歌行》：「但為君故，沉吟至今。」 |</v>
      </c>
    </row>
    <row r="10070" spans="1:44" hidden="1">
      <c r="A10070" s="1" t="s">
        <v>19883</v>
      </c>
      <c r="C10070" s="1">
        <v>1</v>
      </c>
      <c r="D10070" s="1" t="str">
        <f>"08414"</f>
        <v>08414</v>
      </c>
      <c r="E10070" s="1" t="s">
        <v>129</v>
      </c>
      <c r="F10070" s="1">
        <v>7</v>
      </c>
      <c r="G10070" s="1">
        <v>4</v>
      </c>
      <c r="H10070" s="1">
        <v>1</v>
      </c>
      <c r="I10070" s="1" t="s">
        <v>19878</v>
      </c>
      <c r="K10070" s="1" t="str">
        <f t="shared" si="623"/>
        <v>ㄔ</v>
      </c>
      <c r="L10070" s="1" t="str">
        <f t="shared" si="625"/>
        <v>ㄣ</v>
      </c>
      <c r="N10070" s="3" t="s">
        <v>30575</v>
      </c>
      <c r="O10070" s="3"/>
      <c r="P10070" s="1" t="s">
        <v>20</v>
      </c>
      <c r="R10070" s="1" t="s">
        <v>19879</v>
      </c>
      <c r="V10070" s="1" t="s">
        <v>19884</v>
      </c>
      <c r="W10070" s="1" t="s">
        <v>19885</v>
      </c>
      <c r="AR10070" s="1" t="str">
        <f t="shared" si="624"/>
        <v>| [ㄔㄣˊ](ㄔㄣˊ.md) | [沈](沈.md) |  | chén | 同「沉」。 |</v>
      </c>
    </row>
    <row r="10071" spans="1:44" hidden="1">
      <c r="A10071" s="1" t="s">
        <v>19886</v>
      </c>
      <c r="C10071" s="1">
        <v>1</v>
      </c>
      <c r="D10071" s="1" t="str">
        <f>"08415"</f>
        <v>08415</v>
      </c>
      <c r="E10071" s="1" t="s">
        <v>250</v>
      </c>
      <c r="F10071" s="1">
        <v>7</v>
      </c>
      <c r="G10071" s="1">
        <v>4</v>
      </c>
      <c r="H10071" s="1">
        <v>0</v>
      </c>
      <c r="I10071" s="1" t="s">
        <v>19878</v>
      </c>
      <c r="K10071" s="1" t="str">
        <f t="shared" si="623"/>
        <v>ㄔ</v>
      </c>
      <c r="L10071" s="1" t="str">
        <f t="shared" si="625"/>
        <v>ㄣ</v>
      </c>
      <c r="N10071" s="3" t="s">
        <v>30575</v>
      </c>
      <c r="O10071" s="3"/>
      <c r="P10071" s="1" t="s">
        <v>20</v>
      </c>
      <c r="R10071" s="1" t="s">
        <v>19879</v>
      </c>
      <c r="V10071" s="1" t="s">
        <v>19887</v>
      </c>
      <c r="AR10071" s="1" t="str">
        <f t="shared" si="624"/>
        <v>| [ㄔㄣˊ](ㄔㄣˊ.md) | [忱](忱.md) |  | chén | [名]
心意、實情。如：「熱忱」。《老殘遊記》第一七回：「前日種種承情，已託人瑞兄代達謝忱。」
[動]
相信、信任。《詩經．大雅．大明》：「天難忱斯，不易維王。」漢．毛亨．傳：「忱，信也。」 |</v>
      </c>
    </row>
    <row r="10072" spans="1:44" hidden="1">
      <c r="A10072" s="1" t="s">
        <v>19888</v>
      </c>
      <c r="C10072" s="1">
        <v>1</v>
      </c>
      <c r="D10072" s="1" t="str">
        <f>"08416"</f>
        <v>08416</v>
      </c>
      <c r="E10072" s="1" t="s">
        <v>7720</v>
      </c>
      <c r="F10072" s="1">
        <v>7</v>
      </c>
      <c r="G10072" s="1">
        <v>0</v>
      </c>
      <c r="H10072" s="1">
        <v>0</v>
      </c>
      <c r="I10072" s="1" t="s">
        <v>19878</v>
      </c>
      <c r="K10072" s="1" t="str">
        <f t="shared" si="623"/>
        <v>ㄔ</v>
      </c>
      <c r="L10072" s="1" t="str">
        <f t="shared" si="625"/>
        <v>ㄣ</v>
      </c>
      <c r="N10072" s="3" t="s">
        <v>30575</v>
      </c>
      <c r="O10072" s="3"/>
      <c r="P10072" s="1" t="s">
        <v>20</v>
      </c>
      <c r="R10072" s="1" t="s">
        <v>19879</v>
      </c>
      <c r="V10072" s="1" t="s">
        <v>19889</v>
      </c>
      <c r="AR10072" s="1" t="str">
        <f t="shared" si="624"/>
        <v>| [ㄔㄣˊ](ㄔㄣˊ.md) | [辰](辰.md) |  | chén | [名]
1.地支的第五位。
2.時辰名。約當上午七點到九點。
3.時運。《詩經．大雅．桑柔》：「我生不辰，逢天僤怒。」漢．鄭玄．箋：「辰，時也。」
4.時光、日子。如：「誕辰」、「忌辰」。漢．揚雄《法言．問明》：「辰乎辰，曷來之遲，去之速也！」明．湯顯祖《牡丹亭》第一〇齣：「良辰美景奈何天，賞心樂事誰家院！」
5.日月星球的統稱。參見「星辰」條。
6.姓。如清代有辰泰。
7.二一四部首之一。 |</v>
      </c>
    </row>
    <row r="10073" spans="1:44" hidden="1">
      <c r="A10073" s="1" t="s">
        <v>19890</v>
      </c>
      <c r="C10073" s="1">
        <v>1</v>
      </c>
      <c r="D10073" s="1" t="str">
        <f>"08417"</f>
        <v>08417</v>
      </c>
      <c r="E10073" s="1" t="s">
        <v>624</v>
      </c>
      <c r="F10073" s="1">
        <v>10</v>
      </c>
      <c r="G10073" s="1">
        <v>7</v>
      </c>
      <c r="H10073" s="1">
        <v>0</v>
      </c>
      <c r="I10073" s="1" t="s">
        <v>19878</v>
      </c>
      <c r="K10073" s="1" t="str">
        <f t="shared" si="623"/>
        <v>ㄔ</v>
      </c>
      <c r="L10073" s="1" t="str">
        <f t="shared" si="625"/>
        <v>ㄣ</v>
      </c>
      <c r="N10073" s="3" t="s">
        <v>30575</v>
      </c>
      <c r="O10073" s="3"/>
      <c r="P10073" s="1" t="s">
        <v>20</v>
      </c>
      <c r="R10073" s="1" t="s">
        <v>19879</v>
      </c>
      <c r="V10073" s="1" t="s">
        <v>19891</v>
      </c>
      <c r="AR10073" s="1" t="str">
        <f t="shared" si="624"/>
        <v>| [ㄔㄣˊ](ㄔㄣˊ.md) | [宸](宸.md) |  | chén | [名]
1.屋簷。《說文解字．宀部》：「宸，屋宇也。」清．段玉裁．注：「屋者以宮室上覆言之，宸謂屋邊。」宋．王安石〈外廚遺火示公佐〉詩：「翛翛短褐方圍火，冉冉青煙已被宸。」
2.幽深的房室。《玉篇．宀部》：「宸，賈逵曰：『室之奧者。』」
3.帝王的住處。《廣韻．平聲．真韻》：「宸，天子所居。」《水滸傳》第七一回：「青龍隱隱來黃道，白鶴翩翩下紫宸。」
4.借指帝王。唐．張說〈奉和同皇太子過慈恩寺應制〉詩二首之一：「翼翼宸恩永，煌煌福地開。」 |</v>
      </c>
    </row>
    <row r="10074" spans="1:44" hidden="1">
      <c r="A10074" s="1" t="s">
        <v>19892</v>
      </c>
      <c r="C10074" s="1">
        <v>1</v>
      </c>
      <c r="D10074" s="1" t="str">
        <f>"08418"</f>
        <v>08418</v>
      </c>
      <c r="E10074" s="1" t="s">
        <v>646</v>
      </c>
      <c r="F10074" s="1">
        <v>11</v>
      </c>
      <c r="G10074" s="1">
        <v>7</v>
      </c>
      <c r="H10074" s="1">
        <v>0</v>
      </c>
      <c r="I10074" s="1" t="s">
        <v>19878</v>
      </c>
      <c r="K10074" s="1" t="str">
        <f t="shared" si="623"/>
        <v>ㄔ</v>
      </c>
      <c r="L10074" s="1" t="str">
        <f t="shared" si="625"/>
        <v>ㄣ</v>
      </c>
      <c r="N10074" s="3" t="s">
        <v>30575</v>
      </c>
      <c r="O10074" s="3"/>
      <c r="P10074" s="1" t="s">
        <v>20</v>
      </c>
      <c r="R10074" s="1" t="s">
        <v>19879</v>
      </c>
      <c r="V10074" s="1" t="s">
        <v>19893</v>
      </c>
      <c r="AR10074" s="1" t="str">
        <f t="shared" si="624"/>
        <v>| [ㄔㄣˊ](ㄔㄣˊ.md) | [晨](晨.md) |  | chén | [名]
早上太陽剛出來的時候。如：「清晨」、「一日之計在於晨」。
[動]
雞鳴報曉。《書經．牧誓》：「古人有言曰：『牝雞無晨。』」唐．孔穎達．正義：「言無晨鳴之道。」 |</v>
      </c>
    </row>
    <row r="10075" spans="1:44" hidden="1">
      <c r="A10075" s="1" t="s">
        <v>19894</v>
      </c>
      <c r="C10075" s="1">
        <v>1</v>
      </c>
      <c r="D10075" s="1" t="str">
        <f>"08419"</f>
        <v>08419</v>
      </c>
      <c r="E10075" s="1" t="s">
        <v>139</v>
      </c>
      <c r="F10075" s="1">
        <v>11</v>
      </c>
      <c r="G10075" s="1">
        <v>7</v>
      </c>
      <c r="H10075" s="1">
        <v>0</v>
      </c>
      <c r="I10075" s="1" t="s">
        <v>19878</v>
      </c>
      <c r="K10075" s="1" t="str">
        <f t="shared" si="623"/>
        <v>ㄔ</v>
      </c>
      <c r="L10075" s="1" t="str">
        <f t="shared" si="625"/>
        <v>ㄣ</v>
      </c>
      <c r="N10075" s="3" t="s">
        <v>30575</v>
      </c>
      <c r="O10075" s="3"/>
      <c r="P10075" s="1" t="s">
        <v>20</v>
      </c>
      <c r="R10075" s="1" t="s">
        <v>19879</v>
      </c>
      <c r="V10075" s="1" t="s">
        <v>19895</v>
      </c>
      <c r="AR10075" s="1" t="str">
        <f t="shared" si="624"/>
        <v>| [ㄔㄣˊ](ㄔㄣˊ.md) | [梣](梣.md) |  | chén | [名]
植物名。木犀科白蠟樹屬，「白蠟樹」之古稱。參見「白蠟樹」條。 |</v>
      </c>
    </row>
    <row r="10076" spans="1:44" hidden="1">
      <c r="A10076" s="1" t="s">
        <v>18636</v>
      </c>
      <c r="C10076" s="1">
        <v>1</v>
      </c>
      <c r="D10076" s="1" t="str">
        <f>"08420"</f>
        <v>08420</v>
      </c>
      <c r="E10076" s="1" t="s">
        <v>691</v>
      </c>
      <c r="F10076" s="1">
        <v>11</v>
      </c>
      <c r="G10076" s="1">
        <v>8</v>
      </c>
      <c r="H10076" s="1">
        <v>1</v>
      </c>
      <c r="I10076" s="1" t="s">
        <v>19878</v>
      </c>
      <c r="K10076" s="1" t="str">
        <f t="shared" si="623"/>
        <v>ㄔ</v>
      </c>
      <c r="L10076" s="1" t="str">
        <f t="shared" si="625"/>
        <v>ㄣ</v>
      </c>
      <c r="N10076" s="3" t="s">
        <v>30575</v>
      </c>
      <c r="O10076" s="3"/>
      <c r="P10076" s="1" t="s">
        <v>20</v>
      </c>
      <c r="R10076" s="1" t="s">
        <v>19879</v>
      </c>
      <c r="V10076" s="1" t="s">
        <v>19896</v>
      </c>
      <c r="W10076" s="1" t="s">
        <v>19897</v>
      </c>
      <c r="AR10076" s="1" t="str">
        <f t="shared" si="624"/>
        <v>| [ㄔㄣˊ](ㄔㄣˊ.md) | [陳](陳.md) |  | chén | [動]
1.排列。如：「陳設」、「陳列」。《書經．洪範》：「我聞在昔，鯀垔洪水，汨陳其五行。」《禮記．中庸》：「陳其宗器，設其裳衣。」
2.述說。《孟子．公孫丑下》：「我非堯舜之道，不敢以陳於王前。」《文選．古詩十九首．今日良宴會》：「今日良宴會，歡樂難具陳。」
3.張揚、顯示。《禮記．表記》：「事君欲諫不欲陳。」唐．韓愈〈愛直贈李君房別〉：「勇不動於氣，義不陳乎色。」
[形]
舊的、年代久遠的。如：「陳年老酒」。
[名]
1.國名。周武王封舜後媯滿於陳，都宛丘。其地約在今大陸地區河南省舊開封以東至安徽省舊毫之間。
2.朝代名。（西元557～589）陳霸先代梁而稱帝，建都建康，擁有大陸地區長江以南的地區，為南朝版圖最小的王朝。後為隋所滅。
3.姓。如漢代有陳平。 |</v>
      </c>
    </row>
    <row r="10077" spans="1:44" hidden="1">
      <c r="A10077" s="1" t="s">
        <v>19898</v>
      </c>
      <c r="C10077" s="1">
        <v>1</v>
      </c>
      <c r="D10077" s="1" t="str">
        <f>"08421"</f>
        <v>08421</v>
      </c>
      <c r="E10077" s="1" t="s">
        <v>37</v>
      </c>
      <c r="F10077" s="1">
        <v>15</v>
      </c>
      <c r="G10077" s="1">
        <v>11</v>
      </c>
      <c r="H10077" s="1">
        <v>0</v>
      </c>
      <c r="I10077" s="1" t="s">
        <v>19878</v>
      </c>
      <c r="K10077" s="1" t="str">
        <f t="shared" si="623"/>
        <v>ㄔ</v>
      </c>
      <c r="L10077" s="1" t="str">
        <f t="shared" si="625"/>
        <v>ㄣ</v>
      </c>
      <c r="N10077" s="3" t="s">
        <v>30575</v>
      </c>
      <c r="O10077" s="3"/>
      <c r="P10077" s="1" t="s">
        <v>20</v>
      </c>
      <c r="R10077" s="1" t="s">
        <v>19879</v>
      </c>
      <c r="V10077" s="1" t="s">
        <v>19899</v>
      </c>
      <c r="AR10077" s="1" t="str">
        <f t="shared" si="624"/>
        <v>| [ㄔㄣˊ](ㄔㄣˊ.md) | [蔯](蔯.md) |  | chén | [名]
植物名。「茵陳」之古稱。參見「茵陳」條。 |</v>
      </c>
    </row>
    <row r="10078" spans="1:44" hidden="1">
      <c r="A10078" s="1" t="s">
        <v>18639</v>
      </c>
      <c r="C10078" s="1">
        <v>1</v>
      </c>
      <c r="D10078" s="1" t="str">
        <f>"08422"</f>
        <v>08422</v>
      </c>
      <c r="E10078" s="1" t="s">
        <v>426</v>
      </c>
      <c r="F10078" s="1">
        <v>15</v>
      </c>
      <c r="G10078" s="1">
        <v>11</v>
      </c>
      <c r="H10078" s="1">
        <v>1</v>
      </c>
      <c r="I10078" s="1" t="s">
        <v>19878</v>
      </c>
      <c r="K10078" s="1" t="str">
        <f t="shared" si="623"/>
        <v>ㄔ</v>
      </c>
      <c r="L10078" s="1" t="str">
        <f t="shared" si="625"/>
        <v>ㄣ</v>
      </c>
      <c r="N10078" s="3" t="s">
        <v>30575</v>
      </c>
      <c r="O10078" s="3"/>
      <c r="P10078" s="1" t="s">
        <v>20</v>
      </c>
      <c r="R10078" s="1" t="s">
        <v>19879</v>
      </c>
      <c r="V10078" s="1" t="s">
        <v>19900</v>
      </c>
      <c r="W10078" s="1" t="s">
        <v>19901</v>
      </c>
      <c r="AR10078" s="1" t="str">
        <f t="shared" si="624"/>
        <v>| [ㄔㄣˊ](ㄔㄣˊ.md) | [敶](敶.md) |  | chén | [動]
1.陳列、排列。同「陳」。《楚辭．宋玉．招魂》：「敶鐘按鼓，造新歌些。」
2.述說。同「陳」。三國魏．張揖〈上廣雅表〉：「其敶道也，精研而無誤。」 |</v>
      </c>
    </row>
    <row r="10079" spans="1:44" hidden="1">
      <c r="A10079" s="1" t="s">
        <v>4917</v>
      </c>
      <c r="C10079" s="1">
        <v>1</v>
      </c>
      <c r="D10079" s="1" t="str">
        <f>"08423"</f>
        <v>08423</v>
      </c>
      <c r="E10079" s="1" t="s">
        <v>250</v>
      </c>
      <c r="F10079" s="1">
        <v>12</v>
      </c>
      <c r="G10079" s="1">
        <v>9</v>
      </c>
      <c r="H10079" s="1">
        <v>1</v>
      </c>
      <c r="I10079" s="1" t="s">
        <v>19878</v>
      </c>
      <c r="K10079" s="1" t="str">
        <f t="shared" si="623"/>
        <v>ㄔ</v>
      </c>
      <c r="L10079" s="1" t="str">
        <f t="shared" si="625"/>
        <v>ㄣ</v>
      </c>
      <c r="N10079" s="3" t="s">
        <v>30575</v>
      </c>
      <c r="O10079" s="3"/>
      <c r="P10079" s="1" t="s">
        <v>20</v>
      </c>
      <c r="R10079" s="1" t="s">
        <v>19879</v>
      </c>
      <c r="V10079" s="1" t="s">
        <v>19902</v>
      </c>
      <c r="W10079" s="1" t="s">
        <v>19903</v>
      </c>
      <c r="AR10079" s="1" t="str">
        <f t="shared" si="624"/>
        <v>| [ㄔㄣˊ](ㄔㄣˊ.md) | [愖](愖.md) |  | chén | 參見「斟愖」條。 |</v>
      </c>
    </row>
    <row r="10080" spans="1:44" hidden="1">
      <c r="A10080" s="1" t="s">
        <v>19904</v>
      </c>
      <c r="C10080" s="1">
        <v>1</v>
      </c>
      <c r="D10080" s="1" t="str">
        <f>"08424"</f>
        <v>08424</v>
      </c>
      <c r="E10080" s="1" t="s">
        <v>336</v>
      </c>
      <c r="F10080" s="1">
        <v>13</v>
      </c>
      <c r="G10080" s="1">
        <v>9</v>
      </c>
      <c r="H10080" s="1">
        <v>0</v>
      </c>
      <c r="I10080" s="1" t="s">
        <v>19878</v>
      </c>
      <c r="K10080" s="1" t="str">
        <f t="shared" si="623"/>
        <v>ㄔ</v>
      </c>
      <c r="L10080" s="1" t="str">
        <f t="shared" si="625"/>
        <v>ㄣ</v>
      </c>
      <c r="N10080" s="3" t="s">
        <v>30575</v>
      </c>
      <c r="O10080" s="3"/>
      <c r="P10080" s="1" t="s">
        <v>20</v>
      </c>
      <c r="R10080" s="1" t="s">
        <v>19879</v>
      </c>
      <c r="V10080" s="1" t="s">
        <v>19905</v>
      </c>
      <c r="AR10080" s="1" t="str">
        <f t="shared" si="624"/>
        <v>| [ㄔㄣˊ](ㄔㄣˊ.md) | [煁](煁.md) |  | chén | [名]
可以移動的火爐。《說文解字．火部》：「煁，烓也。」清．段玉裁．注：「然則行灶非為飲食之灶，若今火鑪，僅可炤物，自古名之曰烓，亦名之曰煁。」《詩經．小雅．白華》：「樵彼桑薪，卬烘于煁。」 |</v>
      </c>
    </row>
    <row r="10081" spans="1:44" hidden="1">
      <c r="A10081" s="1" t="s">
        <v>19906</v>
      </c>
      <c r="C10081" s="1">
        <v>1</v>
      </c>
      <c r="D10081" s="1" t="str">
        <f>"08425"</f>
        <v>08425</v>
      </c>
      <c r="E10081" s="1" t="s">
        <v>331</v>
      </c>
      <c r="F10081" s="1">
        <v>16</v>
      </c>
      <c r="G10081" s="1">
        <v>9</v>
      </c>
      <c r="H10081" s="1">
        <v>0</v>
      </c>
      <c r="I10081" s="1" t="s">
        <v>19878</v>
      </c>
      <c r="K10081" s="1" t="str">
        <f t="shared" si="623"/>
        <v>ㄔ</v>
      </c>
      <c r="L10081" s="1" t="str">
        <f t="shared" si="625"/>
        <v>ㄣ</v>
      </c>
      <c r="N10081" s="3" t="s">
        <v>30575</v>
      </c>
      <c r="O10081" s="3"/>
      <c r="P10081" s="1" t="s">
        <v>20</v>
      </c>
      <c r="R10081" s="1" t="s">
        <v>19879</v>
      </c>
      <c r="V10081" s="1" t="s">
        <v>19907</v>
      </c>
      <c r="AR10081" s="1" t="str">
        <f t="shared" si="624"/>
        <v>| [ㄔㄣˊ](ㄔㄣˊ.md) | [諶](諶.md) |  | chén | [動]
相信、信賴。《書經．君奭》：「天命不易，天難諶。」《詩經．大雅．蕩》：「天生蒸民，其命匪諶。」漢．毛亨．傳：「諶，誠也。」
[名]
1.忠誠、誠信。《漢書．卷一〇〇．敘傳上》：「觀天罔之紘覆兮，實棐諶而相順。」唐．顏師古．注：「賦言天道惟誠是輔，惟順是助。」
2.姓。如漢代有諶仲望。
[副]
確實。《楚辭．屈原．九章．哀郢》：「外承歡之汋約兮，諶荏弱而難持。」 |</v>
      </c>
    </row>
    <row r="10082" spans="1:44" hidden="1">
      <c r="A10082" s="1" t="s">
        <v>19908</v>
      </c>
      <c r="C10082" s="1">
        <v>1</v>
      </c>
      <c r="D10082" s="1" t="str">
        <f>"08426"</f>
        <v>08426</v>
      </c>
      <c r="E10082" s="1" t="s">
        <v>132</v>
      </c>
      <c r="F10082" s="1">
        <v>14</v>
      </c>
      <c r="G10082" s="1">
        <v>11</v>
      </c>
      <c r="H10082" s="1">
        <v>0</v>
      </c>
      <c r="I10082" s="1" t="s">
        <v>19878</v>
      </c>
      <c r="K10082" s="1" t="str">
        <f t="shared" si="623"/>
        <v>ㄔ</v>
      </c>
      <c r="L10082" s="1" t="str">
        <f t="shared" si="625"/>
        <v>ㄣ</v>
      </c>
      <c r="N10082" s="3" t="s">
        <v>30575</v>
      </c>
      <c r="O10082" s="3"/>
      <c r="P10082" s="1" t="s">
        <v>20</v>
      </c>
      <c r="R10082" s="1" t="s">
        <v>19879</v>
      </c>
      <c r="V10082" s="1" t="s">
        <v>19909</v>
      </c>
      <c r="AR10082" s="1" t="str">
        <f t="shared" si="624"/>
        <v>| [ㄔㄣˊ](ㄔㄣˊ.md) | [塵](塵.md) |  | chén | [名]
1.飛揚的細小灰土。如：「塵埃」、「灰塵」。
2.戰事、兵禍。《魏書．卷九九．盧水胡沮渠蒙遜傳》：「四方漸泰，表裡無塵。」《警世通言．卷三二．杜十娘怒沉百寶箱》：「當年洪武爺掃蕩胡塵，定鼎金陵，是為南京。」
3.蹤跡、事跡。如：「步人後塵」。唐．李白〈憶秦娥．蕭聲咽〉詞：「樂遊原上清秋節，咸陽古道音塵絕。」
4.世俗。如：「塵俗」、「滾滾紅塵」。
5.佛家稱有礙身心開朗的欲念為「塵」。如：「塵念」。《大方廣圓覺修多羅了義經》：「若諸菩薩悟淨圓覺，以淨覺心，知覺心性及與根塵皆因幻化，即起諸幻。」
6.姓。如明代有塵鐸。
[動]
汙染。《詩經．小雅．無將大車》：「無將大車，祇自塵兮。」唐．孔穎達．正義：「適自塵蔽於己。」
[副]
久遠、長久。《爾雅．釋詁》：「塵，久也。」晉．郭璞．注：「稽久也。」如：「塵封」。《文選．張衡．思玄賦》：「美襞積以酷烈兮，允塵邈而難虧。」 |</v>
      </c>
    </row>
    <row r="10083" spans="1:44" hidden="1">
      <c r="A10083" s="1" t="s">
        <v>19910</v>
      </c>
      <c r="C10083" s="1">
        <v>1</v>
      </c>
      <c r="D10083" s="1" t="str">
        <f>"08427"</f>
        <v>08427</v>
      </c>
      <c r="E10083" s="1" t="s">
        <v>169</v>
      </c>
      <c r="F10083" s="1">
        <v>12</v>
      </c>
      <c r="G10083" s="1">
        <v>7</v>
      </c>
      <c r="H10083" s="1">
        <v>0</v>
      </c>
      <c r="I10083" s="1" t="s">
        <v>19911</v>
      </c>
      <c r="K10083" s="1" t="str">
        <f t="shared" si="623"/>
        <v>ㄔ</v>
      </c>
      <c r="L10083" s="1" t="str">
        <f t="shared" si="625"/>
        <v>ㄣ</v>
      </c>
      <c r="N10083" s="3" t="s">
        <v>30576</v>
      </c>
      <c r="O10083" s="3"/>
      <c r="P10083" s="1" t="s">
        <v>20</v>
      </c>
      <c r="R10083" s="1" t="s">
        <v>19912</v>
      </c>
      <c r="V10083" s="1" t="s">
        <v>19913</v>
      </c>
      <c r="AR10083" s="1" t="str">
        <f t="shared" si="624"/>
        <v>| [ㄔㄣˇ](ㄔㄣˇ.md) | [硶](硶.md) |  | chěn | 同「磣」。 |</v>
      </c>
    </row>
    <row r="10084" spans="1:44" hidden="1">
      <c r="A10084" s="1" t="s">
        <v>19914</v>
      </c>
      <c r="C10084" s="1">
        <v>1</v>
      </c>
      <c r="D10084" s="1" t="str">
        <f>"08428"</f>
        <v>08428</v>
      </c>
      <c r="E10084" s="1" t="s">
        <v>169</v>
      </c>
      <c r="F10084" s="1">
        <v>16</v>
      </c>
      <c r="G10084" s="1">
        <v>11</v>
      </c>
      <c r="H10084" s="1">
        <v>0</v>
      </c>
      <c r="I10084" s="1" t="s">
        <v>19911</v>
      </c>
      <c r="K10084" s="1" t="str">
        <f t="shared" si="623"/>
        <v>ㄔ</v>
      </c>
      <c r="L10084" s="1" t="str">
        <f t="shared" si="625"/>
        <v>ㄣ</v>
      </c>
      <c r="N10084" s="3" t="s">
        <v>30576</v>
      </c>
      <c r="O10084" s="3"/>
      <c r="P10084" s="1" t="s">
        <v>20</v>
      </c>
      <c r="R10084" s="1" t="s">
        <v>19912</v>
      </c>
      <c r="V10084" s="1" t="s">
        <v>19915</v>
      </c>
      <c r="AR10084" s="1" t="str">
        <f t="shared" si="624"/>
        <v>| [ㄔㄣˇ](ㄔㄣˇ.md) | [磣](磣.md) |  | chěn | [名]
物中雜有沙、土等異物。《玉篇．石部》：「磣，食有沙。」《集韻．上聲．寑韻》：「磣，物雜砂也。」宋．梅堯臣〈雨中宿謝胥裴三君書堂〉詩：「夜短竟無寢，困瞳劇塵磣。」
[形]
醜惡、難看。如：「磣的慌」、「寒磣」。《孤本元明雜劇．齊天大聖．第三折》：「可不知怎麼又生下我這樣尖嘴縮腮，毛手毛腳這等磣東西來。」 |</v>
      </c>
    </row>
    <row r="10085" spans="1:44" hidden="1">
      <c r="A10085" s="1" t="s">
        <v>19916</v>
      </c>
      <c r="C10085" s="1">
        <v>1</v>
      </c>
      <c r="D10085" s="1" t="str">
        <f>"08429"</f>
        <v>08429</v>
      </c>
      <c r="E10085" s="1" t="s">
        <v>77</v>
      </c>
      <c r="F10085" s="1">
        <v>16</v>
      </c>
      <c r="G10085" s="1">
        <v>9</v>
      </c>
      <c r="H10085" s="1">
        <v>0</v>
      </c>
      <c r="I10085" s="1" t="s">
        <v>19911</v>
      </c>
      <c r="K10085" s="1" t="str">
        <f t="shared" si="623"/>
        <v>ㄔ</v>
      </c>
      <c r="L10085" s="1" t="str">
        <f t="shared" si="625"/>
        <v>ㄣ</v>
      </c>
      <c r="N10085" s="3" t="s">
        <v>30576</v>
      </c>
      <c r="O10085" s="3"/>
      <c r="P10085" s="1" t="s">
        <v>20</v>
      </c>
      <c r="R10085" s="1" t="s">
        <v>19912</v>
      </c>
      <c r="V10085" s="1" t="s">
        <v>19917</v>
      </c>
      <c r="AR10085" s="1" t="str">
        <f t="shared" si="624"/>
        <v>| [ㄔㄣˇ](ㄔㄣˇ.md) | [踸](踸.md) |  | chěn | 參見「踸踔」條。 |</v>
      </c>
    </row>
    <row r="10086" spans="1:44" hidden="1">
      <c r="A10086" s="1" t="s">
        <v>19918</v>
      </c>
      <c r="C10086" s="1">
        <v>1</v>
      </c>
      <c r="D10086" s="1" t="str">
        <f>"08430"</f>
        <v>08430</v>
      </c>
      <c r="E10086" s="1" t="s">
        <v>55</v>
      </c>
      <c r="F10086" s="1">
        <v>17</v>
      </c>
      <c r="G10086" s="1">
        <v>9</v>
      </c>
      <c r="H10086" s="1">
        <v>0</v>
      </c>
      <c r="I10086" s="1" t="s">
        <v>19911</v>
      </c>
      <c r="K10086" s="1" t="str">
        <f t="shared" si="623"/>
        <v>ㄔ</v>
      </c>
      <c r="L10086" s="1" t="str">
        <f t="shared" si="625"/>
        <v>ㄣ</v>
      </c>
      <c r="N10086" s="3" t="s">
        <v>30576</v>
      </c>
      <c r="O10086" s="3"/>
      <c r="P10086" s="1" t="s">
        <v>20</v>
      </c>
      <c r="R10086" s="1" t="s">
        <v>19912</v>
      </c>
      <c r="V10086" s="1" t="s">
        <v>19919</v>
      </c>
      <c r="AR10086" s="1" t="str">
        <f t="shared" si="624"/>
        <v>| [ㄔㄣˇ](ㄔㄣˇ.md) | [鍖](鍖.md) |  | chěn | [形]
鍖銋：舒緩不進的樣子。《集韻．上聲．寑韻》：「鍖，鍖銋，聲不進貌。」《文選．王襃．洞簫賦》：「行鍖銋以龢囉。」唐．李善．注：「鍖銋，聲不進貌。」 |</v>
      </c>
    </row>
    <row r="10087" spans="1:44" hidden="1">
      <c r="A10087" s="1" t="s">
        <v>19947</v>
      </c>
      <c r="C10087" s="1">
        <v>1</v>
      </c>
      <c r="D10087" s="1" t="str">
        <f>"08471"</f>
        <v>08471</v>
      </c>
      <c r="E10087" s="1" t="s">
        <v>114</v>
      </c>
      <c r="F10087" s="1">
        <v>10</v>
      </c>
      <c r="G10087" s="1">
        <v>8</v>
      </c>
      <c r="H10087" s="1">
        <v>1</v>
      </c>
      <c r="I10087" s="1" t="s">
        <v>20012</v>
      </c>
      <c r="K10087" s="1" t="str">
        <f t="shared" si="623"/>
        <v>ㄔ</v>
      </c>
      <c r="L10087" s="1" t="str">
        <f t="shared" si="625"/>
        <v>ㄤ</v>
      </c>
      <c r="N10087" s="3" t="s">
        <v>30574</v>
      </c>
      <c r="O10087" s="3"/>
      <c r="P10087" s="1" t="s">
        <v>20</v>
      </c>
      <c r="R10087" s="1" t="s">
        <v>20013</v>
      </c>
      <c r="V10087" s="1" t="s">
        <v>20014</v>
      </c>
      <c r="W10087" s="1" t="s">
        <v>20015</v>
      </c>
      <c r="AR10087" s="1" t="str">
        <f t="shared" si="624"/>
        <v>| [ㄔㄤˋ](ㄔㄤˋ.md) | [倡](倡.md) |  | chàng | [動]_x000D_
發起、領導。如：「倡導」、「提倡」。 |</v>
      </c>
    </row>
    <row r="10088" spans="1:44" hidden="1">
      <c r="A10088" s="1" t="s">
        <v>20016</v>
      </c>
      <c r="C10088" s="1">
        <v>1</v>
      </c>
      <c r="D10088" s="1" t="str">
        <f>"08472"</f>
        <v>08472</v>
      </c>
      <c r="E10088" s="1" t="s">
        <v>28</v>
      </c>
      <c r="F10088" s="1">
        <v>11</v>
      </c>
      <c r="G10088" s="1">
        <v>8</v>
      </c>
      <c r="H10088" s="1">
        <v>0</v>
      </c>
      <c r="I10088" s="1" t="s">
        <v>20012</v>
      </c>
      <c r="K10088" s="1" t="str">
        <f t="shared" si="623"/>
        <v>ㄔ</v>
      </c>
      <c r="L10088" s="1" t="str">
        <f t="shared" si="625"/>
        <v>ㄤ</v>
      </c>
      <c r="N10088" s="3" t="s">
        <v>30574</v>
      </c>
      <c r="O10088" s="3"/>
      <c r="P10088" s="1" t="s">
        <v>20</v>
      </c>
      <c r="R10088" s="1" t="s">
        <v>20013</v>
      </c>
      <c r="V10088" s="1" t="s">
        <v>20017</v>
      </c>
      <c r="AR10088" s="1" t="str">
        <f t="shared" si="624"/>
        <v>| [ㄔㄤˋ](ㄔㄤˋ.md) | [唱](唱.md) |  | chàng | [動]
1.發出歌聲。如：「唱歌」、「合唱」。唐．杜牧〈泊秦淮〉詩：「商女不知亡國恨，隔江猶唱後庭花。」
2.高聲呼叫。如：「唱名」、「唱票」。唐．李賀〈惱公〉詩：「雞唱星懸柳，鴉啼露滴桐。」
3.倡導。通「倡」。《南史．卷一五．傅亮傳》：「我首唱大義，興復皇室。」
[名]
泛稱詩詞歌曲。如：「絕唱」、「小唱」。 |</v>
      </c>
    </row>
    <row r="10089" spans="1:44" hidden="1">
      <c r="A10089" s="1" t="s">
        <v>20018</v>
      </c>
      <c r="C10089" s="1">
        <v>1</v>
      </c>
      <c r="D10089" s="1" t="str">
        <f>"08473"</f>
        <v>08473</v>
      </c>
      <c r="E10089" s="1" t="s">
        <v>20019</v>
      </c>
      <c r="F10089" s="1">
        <v>10</v>
      </c>
      <c r="G10089" s="1">
        <v>0</v>
      </c>
      <c r="H10089" s="1">
        <v>0</v>
      </c>
      <c r="I10089" s="1" t="s">
        <v>20012</v>
      </c>
      <c r="K10089" s="1" t="str">
        <f t="shared" si="623"/>
        <v>ㄔ</v>
      </c>
      <c r="L10089" s="1" t="str">
        <f t="shared" si="625"/>
        <v>ㄤ</v>
      </c>
      <c r="N10089" s="3" t="s">
        <v>30574</v>
      </c>
      <c r="O10089" s="3"/>
      <c r="P10089" s="1" t="s">
        <v>20</v>
      </c>
      <c r="R10089" s="1" t="s">
        <v>20013</v>
      </c>
      <c r="V10089" s="1" t="s">
        <v>20020</v>
      </c>
      <c r="AR10089" s="1" t="str">
        <f t="shared" si="624"/>
        <v>| [ㄔㄤˋ](ㄔㄤˋ.md) | [鬯](鬯.md) |  | chàng | [名]
1.古代祭祀時所用的香酒，由鬱金香釀秬黍而成。《說文解字．鬯部》：「鬯，以秬釀鬱艸，芬芳攸服，以降神也。」
2.弓套。通「韔」。《詩經．鄭風．大叔于田》：「抑鬯弓忌。」唐．孔穎達．正義：「鬯者，盛弓之器；鬯弓，謂弢弓而納之鬯中。」
3.二一四部首之一。
[形]
草木茂盛。通「暢」。《漢書．卷二五．郊祀志上》：「夏得大德，青龍止於郊；草木鬯茂。」唐．顏師古．注：「鬯與暢同。」 |</v>
      </c>
    </row>
    <row r="10090" spans="1:44" hidden="1">
      <c r="A10090" s="1" t="s">
        <v>20021</v>
      </c>
      <c r="C10090" s="1">
        <v>1</v>
      </c>
      <c r="D10090" s="1" t="str">
        <f>"08474"</f>
        <v>08474</v>
      </c>
      <c r="E10090" s="1" t="s">
        <v>250</v>
      </c>
      <c r="F10090" s="1">
        <v>11</v>
      </c>
      <c r="G10090" s="1">
        <v>8</v>
      </c>
      <c r="H10090" s="1">
        <v>0</v>
      </c>
      <c r="I10090" s="1" t="s">
        <v>20012</v>
      </c>
      <c r="K10090" s="1" t="str">
        <f t="shared" si="623"/>
        <v>ㄔ</v>
      </c>
      <c r="L10090" s="1" t="str">
        <f t="shared" si="625"/>
        <v>ㄤ</v>
      </c>
      <c r="N10090" s="3" t="s">
        <v>30574</v>
      </c>
      <c r="O10090" s="3"/>
      <c r="P10090" s="1" t="s">
        <v>20</v>
      </c>
      <c r="R10090" s="1" t="s">
        <v>20013</v>
      </c>
      <c r="V10090" s="1" t="s">
        <v>20022</v>
      </c>
      <c r="AR10090" s="1" t="str">
        <f t="shared" si="624"/>
        <v>| [ㄔㄤˋ](ㄔㄤˋ.md) | [悵](悵.md) |  | chàng | [形]
失意、不痛快。如：「悵然」、「惆悵」。 |</v>
      </c>
    </row>
    <row r="10091" spans="1:44" hidden="1">
      <c r="A10091" s="1" t="s">
        <v>20023</v>
      </c>
      <c r="C10091" s="1">
        <v>1</v>
      </c>
      <c r="D10091" s="1" t="str">
        <f>"08475"</f>
        <v>08475</v>
      </c>
      <c r="E10091" s="1" t="s">
        <v>1058</v>
      </c>
      <c r="F10091" s="1">
        <v>17</v>
      </c>
      <c r="G10091" s="1">
        <v>8</v>
      </c>
      <c r="H10091" s="1">
        <v>0</v>
      </c>
      <c r="I10091" s="1" t="s">
        <v>20012</v>
      </c>
      <c r="K10091" s="1" t="str">
        <f t="shared" si="623"/>
        <v>ㄔ</v>
      </c>
      <c r="L10091" s="1" t="str">
        <f t="shared" si="625"/>
        <v>ㄤ</v>
      </c>
      <c r="N10091" s="3" t="s">
        <v>30574</v>
      </c>
      <c r="O10091" s="3"/>
      <c r="P10091" s="1" t="s">
        <v>20</v>
      </c>
      <c r="R10091" s="1" t="s">
        <v>20013</v>
      </c>
      <c r="V10091" s="1" t="s">
        <v>20024</v>
      </c>
      <c r="AR10091" s="1" t="str">
        <f t="shared" si="624"/>
        <v>| [ㄔㄤˋ](ㄔㄤˋ.md) | [韔](韔.md) |  | chàng | [名]
弓袋、弓套。《詩經．秦風．小戎》：「虎韔鏤膺，交韔二弓。」漢．毛亨．傳：「韔，弓室也。」
[動]
藏弓於弓袋中。《詩經．小雅．采綠》：「之子于狩，言韔其弓。」唐．孔穎達．正義：「韔其弓，謂射訖與之弛弓納于韔中也。」 |</v>
      </c>
    </row>
    <row r="10092" spans="1:44" hidden="1">
      <c r="A10092" s="1" t="s">
        <v>20025</v>
      </c>
      <c r="C10092" s="1">
        <v>1</v>
      </c>
      <c r="D10092" s="1" t="str">
        <f>"08476"</f>
        <v>08476</v>
      </c>
      <c r="E10092" s="1" t="s">
        <v>142</v>
      </c>
      <c r="F10092" s="1">
        <v>13</v>
      </c>
      <c r="G10092" s="1">
        <v>9</v>
      </c>
      <c r="H10092" s="1">
        <v>1</v>
      </c>
      <c r="I10092" s="1" t="s">
        <v>20012</v>
      </c>
      <c r="K10092" s="1" t="str">
        <f t="shared" si="623"/>
        <v>ㄔ</v>
      </c>
      <c r="L10092" s="1" t="str">
        <f t="shared" si="625"/>
        <v>ㄤ</v>
      </c>
      <c r="N10092" s="3" t="s">
        <v>30574</v>
      </c>
      <c r="O10092" s="3"/>
      <c r="P10092" s="1" t="s">
        <v>20</v>
      </c>
      <c r="R10092" s="1" t="s">
        <v>20013</v>
      </c>
      <c r="V10092" s="1" t="s">
        <v>20026</v>
      </c>
      <c r="W10092" s="1" t="s">
        <v>20027</v>
      </c>
      <c r="AR10092" s="1" t="str">
        <f t="shared" si="624"/>
        <v>| [ㄔㄤˋ](ㄔㄤˋ.md) | [瑒](瑒.md) |  | chàng | [名]
古代祭祀宗廟時，用以灌地降神的一種禮器。圭長尺二寸而帶有瓚。《說文解字．玉部》：「瑒，圭尺二寸，有瓚，以祠宗廟者也。」 |</v>
      </c>
    </row>
    <row r="10093" spans="1:44" hidden="1">
      <c r="A10093" s="1" t="s">
        <v>20028</v>
      </c>
      <c r="C10093" s="1">
        <v>1</v>
      </c>
      <c r="D10093" s="1" t="str">
        <f>"08477"</f>
        <v>08477</v>
      </c>
      <c r="E10093" s="1" t="s">
        <v>646</v>
      </c>
      <c r="F10093" s="1">
        <v>14</v>
      </c>
      <c r="G10093" s="1">
        <v>10</v>
      </c>
      <c r="H10093" s="1">
        <v>0</v>
      </c>
      <c r="I10093" s="1" t="s">
        <v>20012</v>
      </c>
      <c r="K10093" s="1" t="str">
        <f t="shared" si="623"/>
        <v>ㄔ</v>
      </c>
      <c r="L10093" s="1" t="str">
        <f t="shared" si="625"/>
        <v>ㄤ</v>
      </c>
      <c r="N10093" s="3" t="s">
        <v>30574</v>
      </c>
      <c r="O10093" s="3"/>
      <c r="P10093" s="1" t="s">
        <v>20</v>
      </c>
      <c r="R10093" s="1" t="s">
        <v>20013</v>
      </c>
      <c r="V10093" s="1" t="s">
        <v>20029</v>
      </c>
      <c r="AR10093" s="1" t="str">
        <f t="shared" si="624"/>
        <v>| [ㄔㄤˋ](ㄔㄤˋ.md) | [暢](暢.md) |  | chàng | [形]
1.通達、沒有阻礙。如：「暢通」、「文筆流暢」。
2.繁茂。如：「枝葉暢盛」。
3.舒適。如：「舒暢」、「酣暢」。
[動]
1.表達。《文選．宋玉．神女賦》：「交希恩疏，不可盡暢。」唐．李善．注：「暢，申也。未可申暢己志也。」
2.使流通。如：「貨暢其流」。
[副]
1.痛快、盡情的。如：「暢談」、「暢行」、「暢所欲為」。
2.甚。元．王實甫《西廂記．第一本．第四折》：「暢懊惱，響鐺鐺雲板敲。」
[名]
1.祭祀時用的鬱鬯酒。通「鬯」。漢．王充《論衡．恢國》：「成王之時，越常獻雉，倭人貢暢。」
2.姓。如唐代有暢璀。 |</v>
      </c>
    </row>
    <row r="10094" spans="1:44" hidden="1">
      <c r="A10094" s="1" t="s">
        <v>18680</v>
      </c>
      <c r="C10094" s="1">
        <v>1</v>
      </c>
      <c r="D10094" s="1" t="str">
        <f>"08451"</f>
        <v>08451</v>
      </c>
      <c r="E10094" s="1" t="s">
        <v>15800</v>
      </c>
      <c r="F10094" s="1">
        <v>8</v>
      </c>
      <c r="G10094" s="1">
        <v>0</v>
      </c>
      <c r="H10094" s="1">
        <v>1</v>
      </c>
      <c r="I10094" s="1" t="s">
        <v>19966</v>
      </c>
      <c r="K10094" s="1" t="str">
        <f t="shared" si="623"/>
        <v>ㄔ</v>
      </c>
      <c r="L10094" s="1" t="str">
        <f t="shared" si="625"/>
        <v>ㄤ</v>
      </c>
      <c r="N10094" s="3" t="s">
        <v>30575</v>
      </c>
      <c r="O10094" s="3"/>
      <c r="P10094" s="1" t="s">
        <v>20</v>
      </c>
      <c r="R10094" s="1" t="s">
        <v>19967</v>
      </c>
      <c r="V10094" s="1" t="s">
        <v>19968</v>
      </c>
      <c r="W10094" s="1" t="s">
        <v>19969</v>
      </c>
      <c r="AR10094" s="1" t="str">
        <f t="shared" si="624"/>
        <v>| [ㄔㄤˊ](ㄔㄤˊ.md) | [長](長.md) |  | cháng | [名]_x000D_
1.長度。指兩端點之間的距離。如：「這條河全長三十里。」《論語．鄉黨》：「必有寢衣，長一身有半。」_x000D_
2.優點、長處。如：「截長補短」。《戰國策．齊策三》：「請掩足下之短者，誦足下之長。」_x000D_
3.專精的技能。如：「專長」、「特長」。《孟子．公孫丑上》：「敢問夫子惡乎長？」_x000D_
4.姓。如春秋時楚國有長沮。_x000D_
5.二一四部首之一。_x000D_
[形]_x000D_
1.空間、距離大。與「短」相對。如：「長橋臥波」。《楚辭．屈原．九歌．國殤》：「帶長劍兮挾秦弓，首身離兮心不懲。」_x000D_
2.時間久遠。與「短」相對。如：「天長地久」、「日久天長」。晉．陶淵明〈飲酒詩〉二〇首之一六：「披褐守長夜，晨雞不肯鳴。」_x000D_
[副]_x000D_
1.遠。唐．王昌齡〈出塞〉詩二首之一：「秦時明月漢時關，萬里長征人未還。」_x000D_
2.永久。《論語．里仁》：「不仁者不可以久處約，不可以長處樂。」漢．桓寬《鹽鐵論．繇役》：「夫文猶可長用，而武難久行也。」_x000D_
3.經常。《論語．述而》：「君子坦蕩蕩，小人長戚戚。」《莊子．秋水》：「吾長見笑於大方之家。」宋．王安石〈書湖陰先生壁〉詩二首之一：「茆簷長掃淨無苔，花木成畦手自栽。」_x000D_
[動]_x000D_
專精、擅於。如：「長於寫作」、「各有所長」。南朝宋．劉義慶《世說新語．文學》：「樂令善於清言，而不長於手筆。」 |</v>
      </c>
    </row>
    <row r="10095" spans="1:44" hidden="1">
      <c r="A10095" s="1" t="s">
        <v>19970</v>
      </c>
      <c r="C10095" s="1">
        <v>1</v>
      </c>
      <c r="D10095" s="1" t="str">
        <f>"08452"</f>
        <v>08452</v>
      </c>
      <c r="E10095" s="1" t="s">
        <v>37</v>
      </c>
      <c r="F10095" s="1">
        <v>12</v>
      </c>
      <c r="G10095" s="1">
        <v>8</v>
      </c>
      <c r="H10095" s="1">
        <v>0</v>
      </c>
      <c r="I10095" s="1" t="s">
        <v>19966</v>
      </c>
      <c r="K10095" s="1" t="str">
        <f t="shared" si="623"/>
        <v>ㄔ</v>
      </c>
      <c r="L10095" s="1" t="str">
        <f t="shared" si="625"/>
        <v>ㄤ</v>
      </c>
      <c r="N10095" s="3" t="s">
        <v>30575</v>
      </c>
      <c r="O10095" s="3"/>
      <c r="P10095" s="1" t="s">
        <v>20</v>
      </c>
      <c r="R10095" s="1" t="s">
        <v>19967</v>
      </c>
      <c r="V10095" s="1" t="s">
        <v>19971</v>
      </c>
      <c r="AR10095" s="1" t="str">
        <f t="shared" si="624"/>
        <v>| [ㄔㄤˊ](ㄔㄤˊ.md) | [萇](萇.md) |  | cháng | [名]
1.參見「萇楚」條。
2.姓。如唐代有萇總。 |</v>
      </c>
    </row>
    <row r="10096" spans="1:44" hidden="1">
      <c r="A10096" s="1" t="s">
        <v>6362</v>
      </c>
      <c r="C10096" s="1">
        <v>1</v>
      </c>
      <c r="D10096" s="1" t="str">
        <f>"08453"</f>
        <v>08453</v>
      </c>
      <c r="E10096" s="1" t="s">
        <v>114</v>
      </c>
      <c r="F10096" s="1">
        <v>10</v>
      </c>
      <c r="G10096" s="1">
        <v>8</v>
      </c>
      <c r="H10096" s="1">
        <v>2</v>
      </c>
      <c r="I10096" s="1" t="s">
        <v>19966</v>
      </c>
      <c r="K10096" s="1" t="str">
        <f t="shared" ref="K10096:K10159" si="626">LEFT(I10096, 1)</f>
        <v>ㄔ</v>
      </c>
      <c r="L10096" s="1" t="str">
        <f t="shared" si="625"/>
        <v>ㄤ</v>
      </c>
      <c r="N10096" s="3" t="s">
        <v>30575</v>
      </c>
      <c r="O10096" s="3"/>
      <c r="P10096" s="1" t="s">
        <v>20</v>
      </c>
      <c r="R10096" s="1" t="s">
        <v>19967</v>
      </c>
      <c r="V10096" s="1" t="s">
        <v>19972</v>
      </c>
      <c r="W10096" s="1" t="s">
        <v>19973</v>
      </c>
      <c r="AR10096" s="1" t="str">
        <f t="shared" si="624"/>
        <v>| [ㄔㄤˊ](ㄔㄤˊ.md) | [倘](倘.md) |  | cháng | 參見「倘佯」條。 |</v>
      </c>
    </row>
    <row r="10097" spans="1:44" hidden="1">
      <c r="A10097" s="1" t="s">
        <v>19974</v>
      </c>
      <c r="C10097" s="1">
        <v>1</v>
      </c>
      <c r="D10097" s="1" t="str">
        <f>"08454"</f>
        <v>08454</v>
      </c>
      <c r="E10097" s="1" t="s">
        <v>222</v>
      </c>
      <c r="F10097" s="1">
        <v>11</v>
      </c>
      <c r="G10097" s="1">
        <v>8</v>
      </c>
      <c r="H10097" s="1">
        <v>0</v>
      </c>
      <c r="I10097" s="1" t="s">
        <v>19966</v>
      </c>
      <c r="K10097" s="1" t="str">
        <f t="shared" si="626"/>
        <v>ㄔ</v>
      </c>
      <c r="L10097" s="1" t="str">
        <f t="shared" si="625"/>
        <v>ㄤ</v>
      </c>
      <c r="N10097" s="3" t="s">
        <v>30575</v>
      </c>
      <c r="O10097" s="3"/>
      <c r="P10097" s="1" t="s">
        <v>20</v>
      </c>
      <c r="R10097" s="1" t="s">
        <v>19967</v>
      </c>
      <c r="V10097" s="1" t="s">
        <v>19975</v>
      </c>
      <c r="AR10097" s="1" t="str">
        <f t="shared" si="624"/>
        <v>| [ㄔㄤˊ](ㄔㄤˊ.md) | [常](常.md) |  | cháng | [名]
1.倫理關係。如：「倫常」、「三綱五常」。
2.姓。如漢代有常惠。
[形]
1.普通的、一般的。如：「平常」、「常識」、「人之常情」。
2.固定不變的。如：「常規」。《老子》第四十九章：「聖人無常心，以百姓心為心。」
3.規律的、定期的。如：「常期」、「常會」。
[副]
1.長久不變的。如：「常設」、「知足常樂」。
2.時時、一次又一次，表示頻繁的意思。如：「常常」、「時常」、「老生常談」。唐．韓愈〈雜說〉：「千里馬常有而伯樂不常有。」 |</v>
      </c>
    </row>
    <row r="10098" spans="1:44" hidden="1">
      <c r="A10098" s="1" t="s">
        <v>19976</v>
      </c>
      <c r="C10098" s="1">
        <v>1</v>
      </c>
      <c r="D10098" s="1" t="str">
        <f>"08455"</f>
        <v>08455</v>
      </c>
      <c r="E10098" s="1" t="s">
        <v>234</v>
      </c>
      <c r="F10098" s="1">
        <v>11</v>
      </c>
      <c r="G10098" s="1">
        <v>8</v>
      </c>
      <c r="H10098" s="1">
        <v>0</v>
      </c>
      <c r="I10098" s="1" t="s">
        <v>19966</v>
      </c>
      <c r="K10098" s="1" t="str">
        <f t="shared" si="626"/>
        <v>ㄔ</v>
      </c>
      <c r="L10098" s="1" t="str">
        <f t="shared" si="625"/>
        <v>ㄤ</v>
      </c>
      <c r="N10098" s="3" t="s">
        <v>30575</v>
      </c>
      <c r="O10098" s="3"/>
      <c r="P10098" s="1" t="s">
        <v>20</v>
      </c>
      <c r="R10098" s="1" t="s">
        <v>19967</v>
      </c>
      <c r="V10098" s="1" t="s">
        <v>19977</v>
      </c>
      <c r="AR10098" s="1" t="str">
        <f t="shared" si="624"/>
        <v>| [ㄔㄤˊ](ㄔㄤˊ.md) | [徜](徜.md) |  | cháng | 參見「徜徉」條。 |</v>
      </c>
    </row>
    <row r="10099" spans="1:44" hidden="1">
      <c r="A10099" s="1" t="s">
        <v>19978</v>
      </c>
      <c r="C10099" s="1">
        <v>1</v>
      </c>
      <c r="D10099" s="1" t="str">
        <f>"08456"</f>
        <v>08456</v>
      </c>
      <c r="E10099" s="1" t="s">
        <v>340</v>
      </c>
      <c r="F10099" s="1">
        <v>14</v>
      </c>
      <c r="G10099" s="1">
        <v>8</v>
      </c>
      <c r="H10099" s="1">
        <v>1</v>
      </c>
      <c r="I10099" s="1" t="s">
        <v>19966</v>
      </c>
      <c r="K10099" s="1" t="str">
        <f t="shared" si="626"/>
        <v>ㄔ</v>
      </c>
      <c r="L10099" s="1" t="str">
        <f t="shared" si="625"/>
        <v>ㄤ</v>
      </c>
      <c r="N10099" s="3" t="s">
        <v>30575</v>
      </c>
      <c r="O10099" s="3"/>
      <c r="P10099" s="1" t="s">
        <v>20</v>
      </c>
      <c r="R10099" s="1" t="s">
        <v>19967</v>
      </c>
      <c r="V10099" s="1" t="s">
        <v>19979</v>
      </c>
      <c r="W10099" s="1" t="s">
        <v>19980</v>
      </c>
      <c r="AR10099" s="1" t="str">
        <f t="shared" si="624"/>
        <v>| [ㄔㄤˊ](ㄔㄤˊ.md) | [裳](裳.md) |  | cháng | [名]
古代下身穿的衣服稱為「裳」。即裙子。《詩經．邶風．綠衣》：「綠兮衣兮，綠衣黃裳。」漢．毛亨．傳：「上曰衣，下曰裳。」 |</v>
      </c>
    </row>
    <row r="10100" spans="1:44" hidden="1">
      <c r="A10100" s="1" t="s">
        <v>19981</v>
      </c>
      <c r="C10100" s="1">
        <v>1</v>
      </c>
      <c r="D10100" s="1" t="str">
        <f>"08457"</f>
        <v>08457</v>
      </c>
      <c r="E10100" s="1" t="s">
        <v>28</v>
      </c>
      <c r="F10100" s="1">
        <v>14</v>
      </c>
      <c r="G10100" s="1">
        <v>11</v>
      </c>
      <c r="H10100" s="1">
        <v>0</v>
      </c>
      <c r="I10100" s="1" t="s">
        <v>19966</v>
      </c>
      <c r="K10100" s="1" t="str">
        <f t="shared" si="626"/>
        <v>ㄔ</v>
      </c>
      <c r="L10100" s="1" t="str">
        <f t="shared" si="625"/>
        <v>ㄤ</v>
      </c>
      <c r="N10100" s="3" t="s">
        <v>30575</v>
      </c>
      <c r="O10100" s="3"/>
      <c r="P10100" s="1" t="s">
        <v>20</v>
      </c>
      <c r="R10100" s="1" t="s">
        <v>19967</v>
      </c>
      <c r="V10100" s="1" t="s">
        <v>19982</v>
      </c>
      <c r="AR10100" s="1" t="str">
        <f t="shared" si="624"/>
        <v>| [ㄔㄤˊ](ㄔㄤˊ.md) | [嘗](嘗.md) |  | cháng | [動]
1.辨別滋味。通「嚐」。《禮記．曲禮下》：「君有疾，飲藥，臣先嘗之。」
2.試探、試驗。《左傳．襄公十八年》：「諸侯方睦於晉，臣請嘗之。」晉．杜預．注：「嘗，試其難易也。」
3.經歷。如：「艱苦備嘗」、「飽嘗戰禍」。
[副]
曾經。《論語．述而》：「子食於有喪者之側，未嘗飽也。」
[名]
1.古代秋天的祭祀之一。《詩經．小雅．天保》：「禴祠烝嘗，于公先王。」漢．毛亨．傳：「秋曰嘗。」
2.姓。如秦代有嘗頞。 |</v>
      </c>
    </row>
    <row r="10101" spans="1:44" hidden="1">
      <c r="A10101" s="1" t="s">
        <v>19983</v>
      </c>
      <c r="C10101" s="1">
        <v>1</v>
      </c>
      <c r="D10101" s="1" t="str">
        <f>"08458"</f>
        <v>08458</v>
      </c>
      <c r="E10101" s="1" t="s">
        <v>534</v>
      </c>
      <c r="F10101" s="1">
        <v>14</v>
      </c>
      <c r="G10101" s="1">
        <v>11</v>
      </c>
      <c r="H10101" s="1">
        <v>0</v>
      </c>
      <c r="I10101" s="1" t="s">
        <v>19966</v>
      </c>
      <c r="K10101" s="1" t="str">
        <f t="shared" si="626"/>
        <v>ㄔ</v>
      </c>
      <c r="L10101" s="1" t="str">
        <f t="shared" si="625"/>
        <v>ㄤ</v>
      </c>
      <c r="N10101" s="3" t="s">
        <v>30575</v>
      </c>
      <c r="O10101" s="3"/>
      <c r="P10101" s="1" t="s">
        <v>20</v>
      </c>
      <c r="R10101" s="1" t="s">
        <v>19967</v>
      </c>
      <c r="V10101" s="1" t="s">
        <v>19984</v>
      </c>
      <c r="AR10101" s="1" t="str">
        <f t="shared" si="624"/>
        <v>| [ㄔㄤˊ](ㄔㄤˊ.md) | [嫦](嫦.md) |  | cháng | 參見「嫦娥」條。 |</v>
      </c>
    </row>
    <row r="10102" spans="1:44" hidden="1">
      <c r="A10102" s="1" t="s">
        <v>19985</v>
      </c>
      <c r="C10102" s="1">
        <v>1</v>
      </c>
      <c r="D10102" s="1" t="str">
        <f>"08459"</f>
        <v>08459</v>
      </c>
      <c r="E10102" s="1" t="s">
        <v>114</v>
      </c>
      <c r="F10102" s="1">
        <v>17</v>
      </c>
      <c r="G10102" s="1">
        <v>15</v>
      </c>
      <c r="H10102" s="1">
        <v>0</v>
      </c>
      <c r="I10102" s="1" t="s">
        <v>19966</v>
      </c>
      <c r="K10102" s="1" t="str">
        <f t="shared" si="626"/>
        <v>ㄔ</v>
      </c>
      <c r="L10102" s="1" t="str">
        <f t="shared" si="625"/>
        <v>ㄤ</v>
      </c>
      <c r="N10102" s="3" t="s">
        <v>30575</v>
      </c>
      <c r="O10102" s="3"/>
      <c r="P10102" s="1" t="s">
        <v>20</v>
      </c>
      <c r="R10102" s="1" t="s">
        <v>19967</v>
      </c>
      <c r="V10102" s="1" t="s">
        <v>19986</v>
      </c>
      <c r="AR10102" s="1" t="str">
        <f t="shared" si="624"/>
        <v>| [ㄔㄤˊ](ㄔㄤˊ.md) | [償](償.md) |  | cháng | [動]
1.歸還。如：「償還」、「償債」。漢．王符《潛夫論．忠貴》：「人多驕肆，負債不償。」
2.相抵除去。如：「得不償失」、「殺人償命」。《新唐書．卷一五〇．齊映傳》：「臣雖死不足償責。」
3.實現。如：「如願以償」、「得償夙願」。
[名]
代價、報酬。《戰國策．秦策二》：「是我亡於秦而取償於齊也。」 |</v>
      </c>
    </row>
    <row r="10103" spans="1:44" hidden="1">
      <c r="A10103" s="1" t="s">
        <v>19987</v>
      </c>
      <c r="C10103" s="1">
        <v>1</v>
      </c>
      <c r="D10103" s="1" t="str">
        <f>"08460"</f>
        <v>08460</v>
      </c>
      <c r="E10103" s="1" t="s">
        <v>28</v>
      </c>
      <c r="F10103" s="1">
        <v>17</v>
      </c>
      <c r="G10103" s="1">
        <v>14</v>
      </c>
      <c r="H10103" s="1">
        <v>0</v>
      </c>
      <c r="I10103" s="1" t="s">
        <v>19966</v>
      </c>
      <c r="K10103" s="1" t="str">
        <f t="shared" si="626"/>
        <v>ㄔ</v>
      </c>
      <c r="L10103" s="1" t="str">
        <f t="shared" si="625"/>
        <v>ㄤ</v>
      </c>
      <c r="N10103" s="3" t="s">
        <v>30575</v>
      </c>
      <c r="O10103" s="3"/>
      <c r="P10103" s="1" t="s">
        <v>20</v>
      </c>
      <c r="R10103" s="1" t="s">
        <v>19967</v>
      </c>
      <c r="V10103" s="1" t="s">
        <v>19988</v>
      </c>
      <c r="AR10103" s="1" t="str">
        <f t="shared" si="624"/>
        <v>| [ㄔㄤˊ](ㄔㄤˊ.md) | [嚐](嚐.md) |  | cháng | [動]
以口辨別滋味。如：「品嚐」。《封神演義》第一回：「神農治世嚐百草。」 |</v>
      </c>
    </row>
    <row r="10104" spans="1:44" hidden="1">
      <c r="A10104" s="1" t="s">
        <v>19989</v>
      </c>
      <c r="C10104" s="1">
        <v>1</v>
      </c>
      <c r="D10104" s="1" t="str">
        <f>"08461"</f>
        <v>08461</v>
      </c>
      <c r="E10104" s="1" t="s">
        <v>156</v>
      </c>
      <c r="F10104" s="1">
        <v>25</v>
      </c>
      <c r="G10104" s="1">
        <v>14</v>
      </c>
      <c r="H10104" s="1">
        <v>0</v>
      </c>
      <c r="I10104" s="1" t="s">
        <v>19966</v>
      </c>
      <c r="K10104" s="1" t="str">
        <f t="shared" si="626"/>
        <v>ㄔ</v>
      </c>
      <c r="L10104" s="1" t="str">
        <f t="shared" si="625"/>
        <v>ㄤ</v>
      </c>
      <c r="N10104" s="3" t="s">
        <v>30575</v>
      </c>
      <c r="O10104" s="3"/>
      <c r="P10104" s="1" t="s">
        <v>20</v>
      </c>
      <c r="R10104" s="1" t="s">
        <v>19967</v>
      </c>
      <c r="V10104" s="1" t="s">
        <v>19990</v>
      </c>
      <c r="AR10104" s="1" t="str">
        <f t="shared" si="624"/>
        <v>| [ㄔㄤˊ](ㄔㄤˊ.md) | [鱨](鱨.md) |  | cháng | [名]
動物名。脊椎動物門硬骨魚綱。形狀似鮎，腹背皆為黃色，大者長七、八寸許。 |</v>
      </c>
    </row>
    <row r="10105" spans="1:44" hidden="1">
      <c r="A10105" s="1" t="s">
        <v>19991</v>
      </c>
      <c r="C10105" s="1">
        <v>1</v>
      </c>
      <c r="D10105" s="1" t="str">
        <f>"08462"</f>
        <v>08462</v>
      </c>
      <c r="E10105" s="1" t="s">
        <v>132</v>
      </c>
      <c r="F10105" s="1">
        <v>12</v>
      </c>
      <c r="G10105" s="1">
        <v>9</v>
      </c>
      <c r="H10105" s="1">
        <v>1</v>
      </c>
      <c r="I10105" s="1" t="s">
        <v>19966</v>
      </c>
      <c r="K10105" s="1" t="str">
        <f t="shared" si="626"/>
        <v>ㄔ</v>
      </c>
      <c r="L10105" s="1" t="str">
        <f t="shared" si="625"/>
        <v>ㄤ</v>
      </c>
      <c r="N10105" s="3" t="s">
        <v>30575</v>
      </c>
      <c r="O10105" s="3"/>
      <c r="P10105" s="1" t="s">
        <v>20</v>
      </c>
      <c r="R10105" s="1" t="s">
        <v>19967</v>
      </c>
      <c r="V10105" s="1" t="s">
        <v>19992</v>
      </c>
      <c r="W10105" s="1" t="s">
        <v>19993</v>
      </c>
      <c r="AR10105" s="1" t="str">
        <f t="shared" si="624"/>
        <v>| [ㄔㄤˊ](ㄔㄤˊ.md) | [場](場.md) |  | cháng | [名]
1.寬廣平坦的空地。如：「廣場」、「操場」。
2.眾人聚集或辦事的地方。如：「試場」、「會場」、「商場」、「運動場」。
3.處所的通稱。如：「場所」、「場合」。
4.參見「磁場」、「電場」等條。
5.舞臺。如：「粉墨登場」、「好戲上場」。
6.量詞。計算活動的單位。如：「一場電影」、「大鬧一場」、「三場棒球賽」。
7.戲劇表演的起止，或故事情節的段落。如：「開場」、「分場」、「終場」。 |</v>
      </c>
    </row>
    <row r="10106" spans="1:44" hidden="1">
      <c r="A10106" s="1" t="s">
        <v>19994</v>
      </c>
      <c r="C10106" s="1">
        <v>1</v>
      </c>
      <c r="D10106" s="1" t="str">
        <f>"08463"</f>
        <v>08463</v>
      </c>
      <c r="E10106" s="1" t="s">
        <v>68</v>
      </c>
      <c r="F10106" s="1">
        <v>13</v>
      </c>
      <c r="G10106" s="1">
        <v>9</v>
      </c>
      <c r="H10106" s="1">
        <v>0</v>
      </c>
      <c r="I10106" s="1" t="s">
        <v>19966</v>
      </c>
      <c r="K10106" s="1" t="str">
        <f t="shared" si="626"/>
        <v>ㄔ</v>
      </c>
      <c r="L10106" s="1" t="str">
        <f t="shared" si="625"/>
        <v>ㄤ</v>
      </c>
      <c r="N10106" s="3" t="s">
        <v>30575</v>
      </c>
      <c r="O10106" s="3"/>
      <c r="P10106" s="1" t="s">
        <v>20</v>
      </c>
      <c r="R10106" s="1" t="s">
        <v>19967</v>
      </c>
      <c r="V10106" s="1" t="s">
        <v>19995</v>
      </c>
      <c r="AR10106" s="1" t="str">
        <f t="shared" si="624"/>
        <v>| [ㄔㄤˊ](ㄔㄤˊ.md) | [腸](腸.md) |  | cháng | [名]
1.腹腔消化器官之一。有消化及吸收的功能。
2.心思。如：「古道熱腸」、「牽腸掛肚」。 |</v>
      </c>
    </row>
    <row r="10107" spans="1:44" hidden="1">
      <c r="A10107" s="1" t="s">
        <v>19996</v>
      </c>
      <c r="C10107" s="1">
        <v>1</v>
      </c>
      <c r="D10107" s="1" t="str">
        <f>"08464"</f>
        <v>08464</v>
      </c>
      <c r="E10107" s="1" t="s">
        <v>646</v>
      </c>
      <c r="F10107" s="1">
        <v>9</v>
      </c>
      <c r="G10107" s="1">
        <v>5</v>
      </c>
      <c r="H10107" s="1">
        <v>0</v>
      </c>
      <c r="I10107" s="1" t="s">
        <v>19997</v>
      </c>
      <c r="K10107" s="1" t="str">
        <f t="shared" si="626"/>
        <v>ㄔ</v>
      </c>
      <c r="L10107" s="1" t="str">
        <f t="shared" si="625"/>
        <v>ㄤ</v>
      </c>
      <c r="N10107" s="3" t="s">
        <v>30576</v>
      </c>
      <c r="O10107" s="3"/>
      <c r="P10107" s="1" t="s">
        <v>20</v>
      </c>
      <c r="R10107" s="1" t="s">
        <v>19998</v>
      </c>
      <c r="V10107" s="1" t="s">
        <v>19999</v>
      </c>
      <c r="AR10107" s="1" t="str">
        <f t="shared" si="624"/>
        <v>| [ㄔㄤˇ](ㄔㄤˇ.md) | [昶](昶.md) |  | chǎng | [形]
白天的時間長。《玉篇．日部》：「昶，明久。」
[動]
舒張、通達。通「暢」。《文選．嵇康．琴賦》：「雅昶唐堯，終詠微子。」唐．李善．注：「達則兼善天下，無不通暢，故謂之暢。昶與暢同。」《晉書．卷五四．陸機傳》：「譬猶眾目營方，則天網自昶。」 |</v>
      </c>
    </row>
    <row r="10108" spans="1:44" hidden="1">
      <c r="A10108" s="1" t="s">
        <v>6367</v>
      </c>
      <c r="C10108" s="1">
        <v>1</v>
      </c>
      <c r="D10108" s="1" t="str">
        <f>"08465"</f>
        <v>08465</v>
      </c>
      <c r="E10108" s="1" t="s">
        <v>250</v>
      </c>
      <c r="F10108" s="1">
        <v>11</v>
      </c>
      <c r="G10108" s="1">
        <v>8</v>
      </c>
      <c r="H10108" s="1">
        <v>1</v>
      </c>
      <c r="I10108" s="1" t="s">
        <v>19997</v>
      </c>
      <c r="K10108" s="1" t="str">
        <f t="shared" si="626"/>
        <v>ㄔ</v>
      </c>
      <c r="L10108" s="1" t="str">
        <f t="shared" si="625"/>
        <v>ㄤ</v>
      </c>
      <c r="N10108" s="3" t="s">
        <v>30576</v>
      </c>
      <c r="O10108" s="3"/>
      <c r="P10108" s="1" t="s">
        <v>20</v>
      </c>
      <c r="R10108" s="1" t="s">
        <v>19998</v>
      </c>
      <c r="V10108" s="1" t="s">
        <v>20000</v>
      </c>
      <c r="W10108" s="1" t="s">
        <v>20001</v>
      </c>
      <c r="AR10108" s="1" t="str">
        <f t="shared" si="624"/>
        <v>| [ㄔㄤˇ](ㄔㄤˇ.md) | [惝](惝.md) |  | chǎng | [形]
1.悵惘、失意。《莊子．則陽》：「客出，而君惝然若有亡也。」
2.害怕的樣子。《楚辭．嚴忌．哀時命》：「悵惝罔以永思兮，心紆軫而增傷。」宋．洪興祖．補注：「惝，驚貌。」 |</v>
      </c>
    </row>
    <row r="10109" spans="1:44" hidden="1">
      <c r="A10109" s="1" t="s">
        <v>20002</v>
      </c>
      <c r="C10109" s="1">
        <v>1</v>
      </c>
      <c r="D10109" s="1" t="str">
        <f>"08466"</f>
        <v>08466</v>
      </c>
      <c r="E10109" s="1" t="s">
        <v>426</v>
      </c>
      <c r="F10109" s="1">
        <v>12</v>
      </c>
      <c r="G10109" s="1">
        <v>8</v>
      </c>
      <c r="H10109" s="1">
        <v>0</v>
      </c>
      <c r="I10109" s="1" t="s">
        <v>19997</v>
      </c>
      <c r="K10109" s="1" t="str">
        <f t="shared" si="626"/>
        <v>ㄔ</v>
      </c>
      <c r="L10109" s="1" t="str">
        <f t="shared" si="625"/>
        <v>ㄤ</v>
      </c>
      <c r="N10109" s="3" t="s">
        <v>30576</v>
      </c>
      <c r="O10109" s="3"/>
      <c r="P10109" s="1" t="s">
        <v>20</v>
      </c>
      <c r="R10109" s="1" t="s">
        <v>19998</v>
      </c>
      <c r="V10109" s="1" t="s">
        <v>20003</v>
      </c>
      <c r="AR10109" s="1" t="str">
        <f t="shared" si="624"/>
        <v>| [ㄔㄤˇ](ㄔㄤˇ.md) | [敞](敞.md) |  | chǎng | [形]_x000D_
地方寬闊，無物遮擋的樣子。如：「寬敞」。漢．王延壽〈魯靈光殿賦〉：「迢嶢倜儻，豐麗博敞，洞轇轕乎，其無垠也。」_x000D_
[動]_x000D_
張開、打開。如：「敞開大門」、「敞嘴大笑」。 |</v>
      </c>
    </row>
    <row r="10110" spans="1:44" hidden="1">
      <c r="A10110" s="1" t="s">
        <v>20004</v>
      </c>
      <c r="C10110" s="1">
        <v>1</v>
      </c>
      <c r="D10110" s="1" t="str">
        <f>"08467"</f>
        <v>08467</v>
      </c>
      <c r="E10110" s="1" t="s">
        <v>447</v>
      </c>
      <c r="F10110" s="1">
        <v>15</v>
      </c>
      <c r="G10110" s="1">
        <v>12</v>
      </c>
      <c r="H10110" s="1">
        <v>0</v>
      </c>
      <c r="I10110" s="1" t="s">
        <v>19997</v>
      </c>
      <c r="K10110" s="1" t="str">
        <f t="shared" si="626"/>
        <v>ㄔ</v>
      </c>
      <c r="L10110" s="1" t="str">
        <f t="shared" si="625"/>
        <v>ㄤ</v>
      </c>
      <c r="N10110" s="3" t="s">
        <v>30576</v>
      </c>
      <c r="O10110" s="3"/>
      <c r="P10110" s="1" t="s">
        <v>20</v>
      </c>
      <c r="R10110" s="1" t="s">
        <v>19998</v>
      </c>
      <c r="V10110" s="1" t="s">
        <v>20005</v>
      </c>
      <c r="AR10110" s="1" t="str">
        <f t="shared" si="624"/>
        <v>| [ㄔㄤˇ](ㄔㄤˇ.md) | [廠](廠.md) |  | chǎng | [名]
1.像棚子一樣沒有牆壁的房屋。《集韻．上聲．養韻》：「廠，屋無壁也。」唐．韓偓〈南安寓止〉詩：「此地三年偶寄家，枳籬茅廠共桑麻。」
2.占地寬廣，可以製造、修理或存放器物的場所。如：「工廠」、「造船廠」、「自來水廠」。 |</v>
      </c>
    </row>
    <row r="10111" spans="1:44" hidden="1">
      <c r="A10111" s="1" t="s">
        <v>20006</v>
      </c>
      <c r="C10111" s="1">
        <v>1</v>
      </c>
      <c r="D10111" s="1" t="str">
        <f>"08468"</f>
        <v>08468</v>
      </c>
      <c r="E10111" s="1" t="s">
        <v>1703</v>
      </c>
      <c r="F10111" s="1">
        <v>16</v>
      </c>
      <c r="G10111" s="1">
        <v>12</v>
      </c>
      <c r="H10111" s="1">
        <v>0</v>
      </c>
      <c r="I10111" s="1" t="s">
        <v>19997</v>
      </c>
      <c r="K10111" s="1" t="str">
        <f t="shared" si="626"/>
        <v>ㄔ</v>
      </c>
      <c r="L10111" s="1" t="str">
        <f t="shared" si="625"/>
        <v>ㄤ</v>
      </c>
      <c r="N10111" s="3" t="s">
        <v>30576</v>
      </c>
      <c r="O10111" s="3"/>
      <c r="P10111" s="1" t="s">
        <v>20</v>
      </c>
      <c r="R10111" s="1" t="s">
        <v>19998</v>
      </c>
      <c r="V10111" s="1" t="s">
        <v>20007</v>
      </c>
      <c r="AR10111" s="1" t="str">
        <f t="shared" si="624"/>
        <v>| [ㄔㄤˇ](ㄔㄤˇ.md) | [氅](氅.md) |  | chǎng | [名]
1.用鳥毛編成的外套、大衣。如：「大氅」、「羽氅」。《紅樓夢》第五二回：「把昨兒那一件烏雲豹的氅衣給他罷。」
2.用鳥毛編成的旌旗。《新唐書．卷二三．儀衛志上》：「第一行，長戟，六色氅，領軍衛赤氅，威衛青氅、黑氅。」 |</v>
      </c>
    </row>
    <row r="10112" spans="1:44" hidden="1">
      <c r="A10112" s="1" t="s">
        <v>19991</v>
      </c>
      <c r="C10112" s="1">
        <v>1</v>
      </c>
      <c r="D10112" s="1" t="str">
        <f>"08469"</f>
        <v>08469</v>
      </c>
      <c r="E10112" s="1" t="s">
        <v>132</v>
      </c>
      <c r="F10112" s="1">
        <v>12</v>
      </c>
      <c r="G10112" s="1">
        <v>9</v>
      </c>
      <c r="H10112" s="1">
        <v>2</v>
      </c>
      <c r="I10112" s="1" t="s">
        <v>19997</v>
      </c>
      <c r="K10112" s="1" t="str">
        <f t="shared" si="626"/>
        <v>ㄔ</v>
      </c>
      <c r="L10112" s="1" t="str">
        <f t="shared" si="625"/>
        <v>ㄤ</v>
      </c>
      <c r="N10112" s="3" t="s">
        <v>30576</v>
      </c>
      <c r="O10112" s="3"/>
      <c r="P10112" s="1" t="s">
        <v>20</v>
      </c>
      <c r="R10112" s="1" t="s">
        <v>19998</v>
      </c>
      <c r="V10112" s="1" t="s">
        <v>20008</v>
      </c>
      <c r="W10112" s="1" t="s">
        <v>20009</v>
      </c>
      <c r="AR10112" s="1" t="str">
        <f t="shared" si="624"/>
        <v>| [ㄔㄤˇ](ㄔㄤˇ.md) | [場](場.md) |  | chǎng | (一)1.2.3.4.5.7.的語音。 |</v>
      </c>
    </row>
    <row r="10113" spans="1:44" hidden="1">
      <c r="A10113" s="1" t="s">
        <v>20010</v>
      </c>
      <c r="C10113" s="1">
        <v>1</v>
      </c>
      <c r="D10113" s="1" t="str">
        <f>"08470"</f>
        <v>08470</v>
      </c>
      <c r="E10113" s="1" t="s">
        <v>55</v>
      </c>
      <c r="F10113" s="1">
        <v>16</v>
      </c>
      <c r="G10113" s="1">
        <v>8</v>
      </c>
      <c r="H10113" s="1">
        <v>0</v>
      </c>
      <c r="I10113" s="1" t="s">
        <v>19997</v>
      </c>
      <c r="K10113" s="1" t="str">
        <f t="shared" si="626"/>
        <v>ㄔ</v>
      </c>
      <c r="L10113" s="1" t="str">
        <f t="shared" si="625"/>
        <v>ㄤ</v>
      </c>
      <c r="N10113" s="3" t="s">
        <v>30576</v>
      </c>
      <c r="O10113" s="3"/>
      <c r="P10113" s="1" t="s">
        <v>20</v>
      </c>
      <c r="R10113" s="1" t="s">
        <v>19998</v>
      </c>
      <c r="V10113" s="1" t="s">
        <v>20011</v>
      </c>
      <c r="AR10113" s="1" t="str">
        <f t="shared" si="624"/>
        <v>| [ㄔㄤˇ](ㄔㄤˇ.md) | [鋹](鋹.md) |  | chǎng | [形]
銳利。《玉篇．金部》：「鋹，利也。」 |</v>
      </c>
    </row>
    <row r="10114" spans="1:44" hidden="1">
      <c r="A10114" s="1" t="s">
        <v>2448</v>
      </c>
      <c r="C10114" s="1">
        <v>1</v>
      </c>
      <c r="D10114" s="1" t="str">
        <f>"08524"</f>
        <v>08524</v>
      </c>
      <c r="E10114" s="1" t="s">
        <v>429</v>
      </c>
      <c r="F10114" s="1">
        <v>10</v>
      </c>
      <c r="G10114" s="1">
        <v>5</v>
      </c>
      <c r="H10114" s="1">
        <v>1</v>
      </c>
      <c r="I10114" s="1" t="s">
        <v>20130</v>
      </c>
      <c r="K10114" s="1" t="str">
        <f t="shared" si="626"/>
        <v>ㄔ</v>
      </c>
      <c r="L10114" s="1" t="str">
        <f t="shared" si="625"/>
        <v>ㄥ</v>
      </c>
      <c r="N10114" s="3" t="s">
        <v>30574</v>
      </c>
      <c r="O10114" s="3"/>
      <c r="P10114" s="1" t="s">
        <v>20</v>
      </c>
      <c r="R10114" s="1" t="s">
        <v>20131</v>
      </c>
      <c r="V10114" s="1" t="s">
        <v>20132</v>
      </c>
      <c r="W10114" s="1" t="s">
        <v>20133</v>
      </c>
      <c r="AR10114" s="1" t="str">
        <f t="shared" si="624"/>
        <v>| [ㄔㄥˋ](ㄔㄥˋ.md) | [秤](秤.md) |  | chèng | [名]
度量物體重量的器具。同「稱」。如：「磅秤」、「彈簧秤」。
[動]
量輕重。同「稱」。《紅樓夢》第一二回：「王夫人命鳳姐秤二兩給他。」 |</v>
      </c>
    </row>
    <row r="10115" spans="1:44" hidden="1">
      <c r="A10115" s="1" t="s">
        <v>19926</v>
      </c>
      <c r="C10115" s="1">
        <v>1</v>
      </c>
      <c r="D10115" s="1" t="str">
        <f>"08525"</f>
        <v>08525</v>
      </c>
      <c r="E10115" s="1" t="s">
        <v>429</v>
      </c>
      <c r="F10115" s="1">
        <v>14</v>
      </c>
      <c r="G10115" s="1">
        <v>9</v>
      </c>
      <c r="H10115" s="1">
        <v>2</v>
      </c>
      <c r="I10115" s="1" t="s">
        <v>20130</v>
      </c>
      <c r="K10115" s="1" t="str">
        <f t="shared" si="626"/>
        <v>ㄔ</v>
      </c>
      <c r="L10115" s="1" t="str">
        <f t="shared" si="625"/>
        <v>ㄥ</v>
      </c>
      <c r="N10115" s="3" t="s">
        <v>30574</v>
      </c>
      <c r="O10115" s="3"/>
      <c r="P10115" s="1" t="s">
        <v>20</v>
      </c>
      <c r="R10115" s="1" t="s">
        <v>20131</v>
      </c>
      <c r="V10115" s="1" t="s">
        <v>20134</v>
      </c>
      <c r="W10115" s="1" t="s">
        <v>20135</v>
      </c>
      <c r="AR10115" s="1" t="str">
        <f t="shared" ref="AR10115:AR10178" si="627">"| ["&amp;I10115&amp;"]("&amp;I10115&amp;".md) | ["&amp;A10115&amp;"]("&amp;A10115&amp;".md) | "&amp;" | "&amp;R10115&amp;" | "&amp;V10115&amp;" |"</f>
        <v>| [ㄔㄥˋ](ㄔㄥˋ.md) | [稱](稱.md) |  | chèng | [動]_x000D_
適合。如：「稱職」、「稱心如意」。《史記．卷八六．刺客列傳．荊軻》：「蓋聶曰：『曩者吾與論劍有不稱者，吾目之。』」_x000D_
[名]_x000D_
衡量物體輕重的工具。同「秤」。如：「市稱」、「磅稱」。 |</v>
      </c>
    </row>
    <row r="10116" spans="1:44" hidden="1">
      <c r="A10116" s="1" t="s">
        <v>20061</v>
      </c>
      <c r="C10116" s="1">
        <v>1</v>
      </c>
      <c r="D10116" s="1" t="str">
        <f>"08492"</f>
        <v>08492</v>
      </c>
      <c r="E10116" s="1" t="s">
        <v>4785</v>
      </c>
      <c r="F10116" s="1">
        <v>6</v>
      </c>
      <c r="G10116" s="1">
        <v>2</v>
      </c>
      <c r="H10116" s="1">
        <v>0</v>
      </c>
      <c r="I10116" s="1" t="s">
        <v>20062</v>
      </c>
      <c r="K10116" s="1" t="str">
        <f t="shared" si="626"/>
        <v>ㄔ</v>
      </c>
      <c r="L10116" s="1" t="str">
        <f t="shared" si="625"/>
        <v>ㄥ</v>
      </c>
      <c r="N10116" s="3" t="s">
        <v>30575</v>
      </c>
      <c r="O10116" s="3"/>
      <c r="P10116" s="1" t="s">
        <v>20</v>
      </c>
      <c r="R10116" s="1" t="s">
        <v>20063</v>
      </c>
      <c r="V10116" s="1" t="s">
        <v>20064</v>
      </c>
      <c r="AR10116" s="1" t="str">
        <f t="shared" si="627"/>
        <v>| [ㄔㄥˊ](ㄔㄥˊ.md) | [成](成.md) |  | chéng | [動]
1.做好事情。《說文解字．戊部》：「成，就也。」如：「完成」、「功成名就」、「大功告成」。
2.變為。如：「點石成金」、「磨杵成針」。
3.達到。如：「成千上萬」、「成雙成對」。
4.促成。如：「成全」、「玉成其事」、「成人之美」。
5.可以。如：「他想要耍賴是不成的。」
[名]
1.量詞。計算十等分概念的單位。如：「有八成希望。」
2.古代十里平方的土地。《左傳．哀公元年》：「有田一成，有眾一旅。」
3.現有的一切。如：「創業容易守成難。」唐．吳兢《貞觀政要．卷一．論君道》：「帝王之業，草創與守成孰難？」
4.姓。如漢代有成瑨。
[形]
1.完整的。如：「成品」、「成天」。宋．陸游〈何君墓表〉：「不以字害其成句，不以句累其全篇。」
2.現有的、舊有的。如：「成例」、「成規」、「成語」。
3.構成整體的。如：「成分」、「成員」。 |</v>
      </c>
    </row>
    <row r="10117" spans="1:44" hidden="1">
      <c r="A10117" s="1" t="s">
        <v>20065</v>
      </c>
      <c r="C10117" s="1">
        <v>1</v>
      </c>
      <c r="D10117" s="1" t="str">
        <f>"08493"</f>
        <v>08493</v>
      </c>
      <c r="E10117" s="1" t="s">
        <v>624</v>
      </c>
      <c r="F10117" s="1">
        <v>9</v>
      </c>
      <c r="G10117" s="1">
        <v>6</v>
      </c>
      <c r="H10117" s="1">
        <v>0</v>
      </c>
      <c r="I10117" s="1" t="s">
        <v>20062</v>
      </c>
      <c r="K10117" s="1" t="str">
        <f t="shared" si="626"/>
        <v>ㄔ</v>
      </c>
      <c r="L10117" s="1" t="str">
        <f t="shared" si="625"/>
        <v>ㄥ</v>
      </c>
      <c r="N10117" s="3" t="s">
        <v>30575</v>
      </c>
      <c r="O10117" s="3"/>
      <c r="P10117" s="1" t="s">
        <v>20</v>
      </c>
      <c r="R10117" s="1" t="s">
        <v>20063</v>
      </c>
      <c r="V10117" s="1" t="s">
        <v>20066</v>
      </c>
      <c r="AR10117" s="1" t="str">
        <f t="shared" si="627"/>
        <v>| [ㄔㄥˊ](ㄔㄥˊ.md) | [宬](宬.md) |  | chéng | [動]
容納。《說文解字．宀部》：「宬，屋所容受也。」
[名]
藏書室。如明朝宮內有皇史宬，貯有各帝御筆、實錄之類。清．徐珂《清稗類鈔．宮苑類．皇史宬》：「皇史宬，建自明。四周石室，中藏金匱。國朝因其舊制，尊藏實錄、聖訓、玉牒諸鉅編，寶笈琅函，依次排列。」 |</v>
      </c>
    </row>
    <row r="10118" spans="1:44" hidden="1">
      <c r="A10118" s="1" t="s">
        <v>20067</v>
      </c>
      <c r="C10118" s="1">
        <v>1</v>
      </c>
      <c r="D10118" s="1" t="str">
        <f>"08494"</f>
        <v>08494</v>
      </c>
      <c r="E10118" s="1" t="s">
        <v>132</v>
      </c>
      <c r="F10118" s="1">
        <v>9</v>
      </c>
      <c r="G10118" s="1">
        <v>6</v>
      </c>
      <c r="H10118" s="1">
        <v>0</v>
      </c>
      <c r="I10118" s="1" t="s">
        <v>20062</v>
      </c>
      <c r="K10118" s="1" t="str">
        <f t="shared" si="626"/>
        <v>ㄔ</v>
      </c>
      <c r="L10118" s="1" t="str">
        <f t="shared" si="625"/>
        <v>ㄥ</v>
      </c>
      <c r="N10118" s="3" t="s">
        <v>30575</v>
      </c>
      <c r="O10118" s="3"/>
      <c r="P10118" s="1" t="s">
        <v>20</v>
      </c>
      <c r="R10118" s="1" t="s">
        <v>20063</v>
      </c>
      <c r="V10118" s="1" t="s">
        <v>20068</v>
      </c>
      <c r="AR10118" s="1" t="str">
        <f t="shared" si="627"/>
        <v>| [ㄔㄥˊ](ㄔㄥˊ.md) | [城](城.md) |  | chéng | [名]
1.古時環繞京師或圍繞某一區域以供防守的大圍牆。《廣韻．平聲．清韻》：「城，城郭。」《墨子．七患》：「城者，所以自守也。」唐．李白〈送友人〉詩：「青山橫北郭，白水遶東城。」
2.都市。如：「京城」、「城市」。
3.姓。如戰國時有城渾。
[動]
築城。《詩經．小雅．出車》：「天子命我，城彼朔方。」《明史．卷三．太祖本紀三》：「是月，城西寧。」 |</v>
      </c>
    </row>
    <row r="10119" spans="1:44" hidden="1">
      <c r="A10119" s="1" t="s">
        <v>20069</v>
      </c>
      <c r="C10119" s="1">
        <v>1</v>
      </c>
      <c r="D10119" s="1" t="str">
        <f>"08495"</f>
        <v>08495</v>
      </c>
      <c r="E10119" s="1" t="s">
        <v>256</v>
      </c>
      <c r="F10119" s="1">
        <v>9</v>
      </c>
      <c r="G10119" s="1">
        <v>6</v>
      </c>
      <c r="H10119" s="1">
        <v>0</v>
      </c>
      <c r="I10119" s="1" t="s">
        <v>20062</v>
      </c>
      <c r="K10119" s="1" t="str">
        <f t="shared" si="626"/>
        <v>ㄔ</v>
      </c>
      <c r="L10119" s="1" t="str">
        <f t="shared" si="625"/>
        <v>ㄥ</v>
      </c>
      <c r="N10119" s="3" t="s">
        <v>30575</v>
      </c>
      <c r="O10119" s="3"/>
      <c r="P10119" s="1" t="s">
        <v>20</v>
      </c>
      <c r="R10119" s="1" t="s">
        <v>20063</v>
      </c>
      <c r="V10119" s="1" t="s">
        <v>20070</v>
      </c>
      <c r="AR10119" s="1" t="str">
        <f t="shared" si="627"/>
        <v>| [ㄔㄥˊ](ㄔㄥˊ.md) | [郕](郕.md) |  | chéng | [名]
國名。姬姓，周武王封其母弟叔武於此，故址約在今大陸地區山東省寧陽縣北方一帶。 |</v>
      </c>
    </row>
    <row r="10120" spans="1:44" hidden="1">
      <c r="A10120" s="1" t="s">
        <v>20071</v>
      </c>
      <c r="C10120" s="1">
        <v>1</v>
      </c>
      <c r="D10120" s="1" t="str">
        <f>"08496"</f>
        <v>08496</v>
      </c>
      <c r="E10120" s="1" t="s">
        <v>646</v>
      </c>
      <c r="F10120" s="1">
        <v>10</v>
      </c>
      <c r="G10120" s="1">
        <v>6</v>
      </c>
      <c r="H10120" s="1">
        <v>2</v>
      </c>
      <c r="I10120" s="1" t="s">
        <v>20062</v>
      </c>
      <c r="K10120" s="1" t="str">
        <f t="shared" si="626"/>
        <v>ㄔ</v>
      </c>
      <c r="L10120" s="1" t="str">
        <f t="shared" si="625"/>
        <v>ㄥ</v>
      </c>
      <c r="N10120" s="3" t="s">
        <v>30575</v>
      </c>
      <c r="O10120" s="3"/>
      <c r="P10120" s="1" t="s">
        <v>110</v>
      </c>
      <c r="R10120" s="1" t="s">
        <v>20063</v>
      </c>
      <c r="V10120" s="1" t="s">
        <v>111</v>
      </c>
      <c r="W10120" s="1" t="s">
        <v>20072</v>
      </c>
      <c r="AR10120" s="1" t="str">
        <f t="shared" si="627"/>
        <v>| [ㄔㄥˊ](ㄔㄥˊ.md) | [晟](晟.md) |  | chéng | (一)之又音。 |</v>
      </c>
    </row>
    <row r="10121" spans="1:44" hidden="1">
      <c r="A10121" s="1" t="s">
        <v>20073</v>
      </c>
      <c r="C10121" s="1">
        <v>1</v>
      </c>
      <c r="D10121" s="1" t="str">
        <f>"08497"</f>
        <v>08497</v>
      </c>
      <c r="E10121" s="1" t="s">
        <v>438</v>
      </c>
      <c r="F10121" s="1">
        <v>11</v>
      </c>
      <c r="G10121" s="1">
        <v>6</v>
      </c>
      <c r="H10121" s="1">
        <v>1</v>
      </c>
      <c r="I10121" s="1" t="s">
        <v>20062</v>
      </c>
      <c r="K10121" s="1" t="str">
        <f t="shared" si="626"/>
        <v>ㄔ</v>
      </c>
      <c r="L10121" s="1" t="str">
        <f t="shared" si="625"/>
        <v>ㄥ</v>
      </c>
      <c r="N10121" s="3" t="s">
        <v>30575</v>
      </c>
      <c r="O10121" s="3"/>
      <c r="P10121" s="1" t="s">
        <v>20</v>
      </c>
      <c r="R10121" s="1" t="s">
        <v>20063</v>
      </c>
      <c r="V10121" s="1" t="s">
        <v>20074</v>
      </c>
      <c r="W10121" s="1" t="s">
        <v>20075</v>
      </c>
      <c r="AR10121" s="1" t="str">
        <f t="shared" si="627"/>
        <v>| [ㄔㄥˊ](ㄔㄥˊ.md) | [盛](盛.md) |  | chéng | [動]
1.用容器裝東西。如：「盛飯」、「盛湯」。
2.容納。如：「箱子太小，盛不了這麼多東西。」
[名]
古代裝在食器裡祭祀的穀物。《周禮．地官．閭師》：「不耕者祭無盛。」漢．鄭玄．注：「盛，黍稷也。」 |</v>
      </c>
    </row>
    <row r="10122" spans="1:44" hidden="1">
      <c r="A10122" s="1" t="s">
        <v>20076</v>
      </c>
      <c r="C10122" s="1">
        <v>1</v>
      </c>
      <c r="D10122" s="1" t="str">
        <f>"08498"</f>
        <v>08498</v>
      </c>
      <c r="E10122" s="1" t="s">
        <v>331</v>
      </c>
      <c r="F10122" s="1">
        <v>13</v>
      </c>
      <c r="G10122" s="1">
        <v>6</v>
      </c>
      <c r="H10122" s="1">
        <v>0</v>
      </c>
      <c r="I10122" s="1" t="s">
        <v>20062</v>
      </c>
      <c r="K10122" s="1" t="str">
        <f t="shared" si="626"/>
        <v>ㄔ</v>
      </c>
      <c r="L10122" s="1" t="str">
        <f t="shared" ref="L10122:L10185" si="628">MID(I10122, 2, 1)</f>
        <v>ㄥ</v>
      </c>
      <c r="N10122" s="3" t="s">
        <v>30575</v>
      </c>
      <c r="O10122" s="3"/>
      <c r="P10122" s="1" t="s">
        <v>20</v>
      </c>
      <c r="R10122" s="1" t="s">
        <v>20063</v>
      </c>
      <c r="V10122" s="1" t="s">
        <v>20077</v>
      </c>
      <c r="AR10122" s="1" t="str">
        <f t="shared" si="627"/>
        <v>| [ㄔㄥˊ](ㄔㄥˊ.md) | [誠](誠.md) |  | chéng | [名]
真心真意。《新唐書．卷一九二．忠義傳中．張巡傳》：「士感其誠，皆一當百。」
[形]
真實無妄、忠實不欺。如：「誠摯」、「誠樸」。《管子．乘馬》：「故非誠賈，不得食于賈；非誠工，不得食于工。」
[副]
的確、確實。《史記．卷七八．春申君傳》：「於是黃歇乃說應侯曰：『相國誠善楚太子乎？』」 |</v>
      </c>
    </row>
    <row r="10123" spans="1:44" hidden="1">
      <c r="A10123" s="1" t="s">
        <v>20078</v>
      </c>
      <c r="C10123" s="1">
        <v>1</v>
      </c>
      <c r="D10123" s="1" t="str">
        <f>"08499"</f>
        <v>08499</v>
      </c>
      <c r="E10123" s="1" t="s">
        <v>55</v>
      </c>
      <c r="F10123" s="1">
        <v>14</v>
      </c>
      <c r="G10123" s="1">
        <v>6</v>
      </c>
      <c r="H10123" s="1">
        <v>0</v>
      </c>
      <c r="I10123" s="1" t="s">
        <v>20062</v>
      </c>
      <c r="K10123" s="1" t="str">
        <f t="shared" si="626"/>
        <v>ㄔ</v>
      </c>
      <c r="L10123" s="1" t="str">
        <f t="shared" si="628"/>
        <v>ㄥ</v>
      </c>
      <c r="N10123" s="3" t="s">
        <v>30575</v>
      </c>
      <c r="O10123" s="3"/>
      <c r="P10123" s="1" t="s">
        <v>20</v>
      </c>
      <c r="R10123" s="1" t="s">
        <v>20063</v>
      </c>
      <c r="V10123" s="1" t="s">
        <v>20079</v>
      </c>
      <c r="AR10123" s="1" t="str">
        <f t="shared" si="627"/>
        <v>| [ㄔㄥˊ](ㄔㄥˊ.md) | [鋮](鋮.md) |  | chéng | [名]
人名用字。如明代有阮大鋮。 |</v>
      </c>
    </row>
    <row r="10124" spans="1:44" hidden="1">
      <c r="A10124" s="1" t="s">
        <v>20080</v>
      </c>
      <c r="C10124" s="1">
        <v>1</v>
      </c>
      <c r="D10124" s="1" t="str">
        <f>"08500"</f>
        <v>08500</v>
      </c>
      <c r="E10124" s="1" t="s">
        <v>789</v>
      </c>
      <c r="F10124" s="1">
        <v>6</v>
      </c>
      <c r="G10124" s="1">
        <v>5</v>
      </c>
      <c r="H10124" s="1">
        <v>0</v>
      </c>
      <c r="I10124" s="1" t="s">
        <v>20062</v>
      </c>
      <c r="K10124" s="1" t="str">
        <f t="shared" si="626"/>
        <v>ㄔ</v>
      </c>
      <c r="L10124" s="1" t="str">
        <f t="shared" si="628"/>
        <v>ㄥ</v>
      </c>
      <c r="N10124" s="3" t="s">
        <v>30575</v>
      </c>
      <c r="O10124" s="3"/>
      <c r="P10124" s="1" t="s">
        <v>20</v>
      </c>
      <c r="R10124" s="1" t="s">
        <v>20063</v>
      </c>
      <c r="V10124" s="1" t="s">
        <v>20081</v>
      </c>
      <c r="AR10124" s="1" t="str">
        <f t="shared" si="627"/>
        <v>| [ㄔㄥˊ](ㄔㄥˊ.md) | [丞](丞.md) |  | chéng | [名]
古代輔佐帝王或正官的官吏。如：「丞相」、「縣丞」、「府丞」。
[動]
輔佐、輔助。《漢書．卷九三．佞幸傳．淳于長傳》：「會大將軍王鳳病，長侍病，晨夜扶丞左右，甚有甥舅之恩。」 |</v>
      </c>
    </row>
    <row r="10125" spans="1:44" hidden="1">
      <c r="A10125" s="1" t="s">
        <v>20082</v>
      </c>
      <c r="C10125" s="1">
        <v>1</v>
      </c>
      <c r="D10125" s="1" t="str">
        <f>"08501"</f>
        <v>08501</v>
      </c>
      <c r="E10125" s="1" t="s">
        <v>24</v>
      </c>
      <c r="F10125" s="1">
        <v>8</v>
      </c>
      <c r="G10125" s="1">
        <v>4</v>
      </c>
      <c r="H10125" s="1">
        <v>0</v>
      </c>
      <c r="I10125" s="1" t="s">
        <v>20062</v>
      </c>
      <c r="K10125" s="1" t="str">
        <f t="shared" si="626"/>
        <v>ㄔ</v>
      </c>
      <c r="L10125" s="1" t="str">
        <f t="shared" si="628"/>
        <v>ㄥ</v>
      </c>
      <c r="N10125" s="3" t="s">
        <v>30575</v>
      </c>
      <c r="O10125" s="3"/>
      <c r="P10125" s="1" t="s">
        <v>20</v>
      </c>
      <c r="R10125" s="1" t="s">
        <v>20063</v>
      </c>
      <c r="V10125" s="1" t="s">
        <v>20083</v>
      </c>
      <c r="AR10125" s="1" t="str">
        <f t="shared" si="627"/>
        <v>| [ㄔㄥˊ](ㄔㄥˊ.md) | [承](承.md) |  | chéng | [動]
1.奉。《左傳．成公十六年》：「承寡君之命以請。」
2.蒙受、接受。如：「承蒙」、「承贈」。《左傳．僖公十五年》：「君之未入，寡人懼之；入而未定列，猶吾憂也；苟列定矣，敢不承命。」
3.擔當、負責。如：「承擔」、「這件事情由你來承辦。」
4.繼續、繼承。《詩經．小雅．天保》：「如松柏之茂，無不爾或承。」《三國志．卷五四．吳書．魯肅傳》：「孤承父兄餘業，思有桓文之功。」
[名]
姓。如漢代有承宮。 |</v>
      </c>
    </row>
    <row r="10126" spans="1:44" hidden="1">
      <c r="A10126" s="1" t="s">
        <v>20084</v>
      </c>
      <c r="C10126" s="1">
        <v>1</v>
      </c>
      <c r="D10126" s="1" t="str">
        <f>"08502"</f>
        <v>08502</v>
      </c>
      <c r="E10126" s="1" t="s">
        <v>28</v>
      </c>
      <c r="F10126" s="1">
        <v>7</v>
      </c>
      <c r="G10126" s="1">
        <v>4</v>
      </c>
      <c r="H10126" s="1">
        <v>0</v>
      </c>
      <c r="I10126" s="1" t="s">
        <v>20062</v>
      </c>
      <c r="K10126" s="1" t="str">
        <f t="shared" si="626"/>
        <v>ㄔ</v>
      </c>
      <c r="L10126" s="1" t="str">
        <f t="shared" si="628"/>
        <v>ㄥ</v>
      </c>
      <c r="N10126" s="3" t="s">
        <v>30575</v>
      </c>
      <c r="O10126" s="3"/>
      <c r="P10126" s="1" t="s">
        <v>20</v>
      </c>
      <c r="R10126" s="1" t="s">
        <v>20063</v>
      </c>
      <c r="V10126" s="1" t="s">
        <v>20085</v>
      </c>
      <c r="AR10126" s="1" t="str">
        <f t="shared" si="627"/>
        <v>| [ㄔㄥˊ](ㄔㄥˊ.md) | [呈](呈.md) |  | chéng | [動]
1.顯露。如：「呈現」、「面呈紅潤」。
2.奉上。如：「謹呈」、「呈獻」、「呈上」。
[名]
舊時凡下級對上級的呈請或報告均用呈。現行公文則是對總統有所呈請或報告時用之。 |</v>
      </c>
    </row>
    <row r="10127" spans="1:44" hidden="1">
      <c r="A10127" s="1" t="s">
        <v>20086</v>
      </c>
      <c r="C10127" s="1">
        <v>1</v>
      </c>
      <c r="D10127" s="1" t="str">
        <f>"08503"</f>
        <v>08503</v>
      </c>
      <c r="E10127" s="1" t="s">
        <v>132</v>
      </c>
      <c r="F10127" s="1">
        <v>10</v>
      </c>
      <c r="G10127" s="1">
        <v>7</v>
      </c>
      <c r="H10127" s="1">
        <v>0</v>
      </c>
      <c r="I10127" s="1" t="s">
        <v>20062</v>
      </c>
      <c r="K10127" s="1" t="str">
        <f t="shared" si="626"/>
        <v>ㄔ</v>
      </c>
      <c r="L10127" s="1" t="str">
        <f t="shared" si="628"/>
        <v>ㄥ</v>
      </c>
      <c r="N10127" s="3" t="s">
        <v>30575</v>
      </c>
      <c r="O10127" s="3"/>
      <c r="P10127" s="1" t="s">
        <v>20</v>
      </c>
      <c r="R10127" s="1" t="s">
        <v>20063</v>
      </c>
      <c r="V10127" s="1" t="s">
        <v>20087</v>
      </c>
      <c r="AR10127" s="1" t="str">
        <f t="shared" si="627"/>
        <v>| [ㄔㄥˊ](ㄔㄥˊ.md) | [埕](埕.md) |  | chéng | [名]_x000D_
1.小口的盛酒器具。元．李文蔚《燕青博魚》第二折：「隔壁三家醉，開埕十里香。」明．湯顯祖《牡丹亭》第八齣：「便是這酒埕子漏了，則怕酒少，煩老官兒遮蓋些。」_x000D_
2.臺灣、大陸地區福建沿海一帶養殖海蟶、海蛤的場地。清．徐珂《清稗類鈔．動物類．動物可種》：「閩人濱海種蟶，有蟶田，亦曰蟶埕。」_x000D_
3.沿海的鹽田。如：「鹽埕」。清．顧炎武《天下郡國利病書．福建漳州府志．鹽法考》：「土人以力畫鹽地為埕，漉海水注之，經烈日曝即成鹽。」_x000D_
4.臺灣、閩南地區稱庭院或場地為「埕」。如：「稻埕」。 |</v>
      </c>
    </row>
    <row r="10128" spans="1:44" hidden="1">
      <c r="A10128" s="1" t="s">
        <v>20088</v>
      </c>
      <c r="C10128" s="1">
        <v>1</v>
      </c>
      <c r="D10128" s="1" t="str">
        <f>"08504"</f>
        <v>08504</v>
      </c>
      <c r="E10128" s="1" t="s">
        <v>142</v>
      </c>
      <c r="F10128" s="1">
        <v>11</v>
      </c>
      <c r="G10128" s="1">
        <v>7</v>
      </c>
      <c r="H10128" s="1">
        <v>0</v>
      </c>
      <c r="I10128" s="1" t="s">
        <v>20062</v>
      </c>
      <c r="K10128" s="1" t="str">
        <f t="shared" si="626"/>
        <v>ㄔ</v>
      </c>
      <c r="L10128" s="1" t="str">
        <f t="shared" si="628"/>
        <v>ㄥ</v>
      </c>
      <c r="N10128" s="3" t="s">
        <v>30575</v>
      </c>
      <c r="O10128" s="3"/>
      <c r="P10128" s="1" t="s">
        <v>20</v>
      </c>
      <c r="R10128" s="1" t="s">
        <v>20063</v>
      </c>
      <c r="V10128" s="1" t="s">
        <v>20089</v>
      </c>
      <c r="AR10128" s="1" t="str">
        <f t="shared" si="627"/>
        <v>| [ㄔㄥˊ](ㄔㄥˊ.md) | [珵](珵.md) |  | chéng | [名]
1.美玉。《玉篇．玉部》：「珵，美玉也。」《楚辭．屈原．離騷》：「覽察草木其猶未得兮，豈珵美之能當？」漢．王逸．注：「珵，美玉也。」
2.佩玉。《集韻．平聲．清韻》：「珵，佩玉也。」 |</v>
      </c>
    </row>
    <row r="10129" spans="1:44" hidden="1">
      <c r="A10129" s="1" t="s">
        <v>20090</v>
      </c>
      <c r="C10129" s="1">
        <v>1</v>
      </c>
      <c r="D10129" s="1" t="str">
        <f>"08505"</f>
        <v>08505</v>
      </c>
      <c r="E10129" s="1" t="s">
        <v>68</v>
      </c>
      <c r="F10129" s="1">
        <v>11</v>
      </c>
      <c r="G10129" s="1">
        <v>7</v>
      </c>
      <c r="H10129" s="1">
        <v>0</v>
      </c>
      <c r="I10129" s="1" t="s">
        <v>20062</v>
      </c>
      <c r="K10129" s="1" t="str">
        <f t="shared" si="626"/>
        <v>ㄔ</v>
      </c>
      <c r="L10129" s="1" t="str">
        <f t="shared" si="628"/>
        <v>ㄥ</v>
      </c>
      <c r="N10129" s="3" t="s">
        <v>30575</v>
      </c>
      <c r="O10129" s="3"/>
      <c r="P10129" s="1" t="s">
        <v>20</v>
      </c>
      <c r="R10129" s="1" t="s">
        <v>20063</v>
      </c>
      <c r="V10129" s="1" t="s">
        <v>20091</v>
      </c>
      <c r="AR10129" s="1" t="str">
        <f t="shared" si="627"/>
        <v>| [ㄔㄥˊ](ㄔㄥˊ.md) | [脭](脭.md) |  | chéng | [名]
精美、肥美的肉。《集韻．平聲．清韻》：「脭，肉之精者。」《文選．枚乘．七發》：「飲食則溫淳甘膬，脭膿肥厚。」唐．李善．注：「脭，肥肉也。」 |</v>
      </c>
    </row>
    <row r="10130" spans="1:44" hidden="1">
      <c r="A10130" s="1" t="s">
        <v>20092</v>
      </c>
      <c r="C10130" s="1">
        <v>1</v>
      </c>
      <c r="D10130" s="1" t="str">
        <f>"08506"</f>
        <v>08506</v>
      </c>
      <c r="E10130" s="1" t="s">
        <v>429</v>
      </c>
      <c r="F10130" s="1">
        <v>12</v>
      </c>
      <c r="G10130" s="1">
        <v>7</v>
      </c>
      <c r="H10130" s="1">
        <v>0</v>
      </c>
      <c r="I10130" s="1" t="s">
        <v>20062</v>
      </c>
      <c r="K10130" s="1" t="str">
        <f t="shared" si="626"/>
        <v>ㄔ</v>
      </c>
      <c r="L10130" s="1" t="str">
        <f t="shared" si="628"/>
        <v>ㄥ</v>
      </c>
      <c r="N10130" s="3" t="s">
        <v>30575</v>
      </c>
      <c r="O10130" s="3"/>
      <c r="P10130" s="1" t="s">
        <v>20</v>
      </c>
      <c r="R10130" s="1" t="s">
        <v>20063</v>
      </c>
      <c r="V10130" s="1" t="s">
        <v>20093</v>
      </c>
      <c r="AR10130" s="1" t="str">
        <f t="shared" si="627"/>
        <v>| [ㄔㄥˊ](ㄔㄥˊ.md) | [程](程.md) |  | chéng | [名]
1.度量衡的總稱。《荀子．致仕》：「程者，物之準也。」唐．楊倞．注：「程者，度量之總名也。」
2.事情進行的步驟。如：「過程」、「議程」。
3.法式、規範。如：「章程」、「規程」。
4.距離或道路的一段。如：「路程」、「歸程」、「送你一程」。
5.一定的進度。如：「課程」、「日程」。
6.姓。如宋代有程顥、程頤。
[動]
衡量、估計。《漢書．卷六五．東方朔傳》：「武帝既招英俊，程其器能，用之如不及。」 |</v>
      </c>
    </row>
    <row r="10131" spans="1:44" hidden="1">
      <c r="A10131" s="1" t="s">
        <v>20094</v>
      </c>
      <c r="C10131" s="1">
        <v>1</v>
      </c>
      <c r="D10131" s="1" t="str">
        <f>"08507"</f>
        <v>08507</v>
      </c>
      <c r="E10131" s="1" t="s">
        <v>340</v>
      </c>
      <c r="F10131" s="1">
        <v>13</v>
      </c>
      <c r="G10131" s="1">
        <v>7</v>
      </c>
      <c r="H10131" s="1">
        <v>0</v>
      </c>
      <c r="I10131" s="1" t="s">
        <v>20062</v>
      </c>
      <c r="K10131" s="1" t="str">
        <f t="shared" si="626"/>
        <v>ㄔ</v>
      </c>
      <c r="L10131" s="1" t="str">
        <f t="shared" si="628"/>
        <v>ㄥ</v>
      </c>
      <c r="N10131" s="3" t="s">
        <v>30575</v>
      </c>
      <c r="O10131" s="3"/>
      <c r="P10131" s="1" t="s">
        <v>20</v>
      </c>
      <c r="R10131" s="1" t="s">
        <v>20063</v>
      </c>
      <c r="V10131" s="1" t="s">
        <v>20095</v>
      </c>
      <c r="AR10131" s="1" t="str">
        <f t="shared" si="627"/>
        <v>| [ㄔㄥˊ](ㄔㄥˊ.md) | [裎](裎.md) |  | chéng | [動]
光著身子不穿衣服。《集韻．平聲．清韻》：「裎，裸也。」《孟子．公孫丑上》：「爾為爾，我為我，雖袒裼裸裎於我側，爾焉能浼我哉。」
[名]
佩帶。清．王念孫《廣雅疏證．卷七下．釋器》：「佩紟謂之裎。」疏證：「古者佩玉有綬，以上系於衡，衡上復有綬，以系於革帶。」 |</v>
      </c>
    </row>
    <row r="10132" spans="1:44" hidden="1">
      <c r="A10132" s="1" t="s">
        <v>20096</v>
      </c>
      <c r="C10132" s="1">
        <v>1</v>
      </c>
      <c r="D10132" s="1" t="str">
        <f>"08508"</f>
        <v>08508</v>
      </c>
      <c r="E10132" s="1" t="s">
        <v>1462</v>
      </c>
      <c r="F10132" s="1">
        <v>14</v>
      </c>
      <c r="G10132" s="1">
        <v>7</v>
      </c>
      <c r="H10132" s="1">
        <v>0</v>
      </c>
      <c r="I10132" s="1" t="s">
        <v>20062</v>
      </c>
      <c r="K10132" s="1" t="str">
        <f t="shared" si="626"/>
        <v>ㄔ</v>
      </c>
      <c r="L10132" s="1" t="str">
        <f t="shared" si="628"/>
        <v>ㄥ</v>
      </c>
      <c r="N10132" s="3" t="s">
        <v>30575</v>
      </c>
      <c r="O10132" s="3"/>
      <c r="P10132" s="1" t="s">
        <v>20</v>
      </c>
      <c r="R10132" s="1" t="s">
        <v>20063</v>
      </c>
      <c r="V10132" s="1" t="s">
        <v>20097</v>
      </c>
      <c r="AR10132" s="1" t="str">
        <f t="shared" si="627"/>
        <v>| [ㄔㄥˊ](ㄔㄥˊ.md) | [酲](酲.md) |  | chéng | [形]
飲酒後身體不舒服，或酒後神智不清的樣子。《說文解字．酉部》：「酲，病酒也。」《文選．張衡．南都賦》：「其甘不爽，醉而不酲。」
[動]
大醉，失去知覺。《玉篇．酉部》：「酲，醉未覺也。」《晏子春秋．內篇．諫上》：「景公飲酒，酲，三日而後發。」 |</v>
      </c>
    </row>
    <row r="10133" spans="1:44" hidden="1">
      <c r="A10133" s="1" t="s">
        <v>20098</v>
      </c>
      <c r="C10133" s="1">
        <v>1</v>
      </c>
      <c r="D10133" s="1" t="str">
        <f>"08509"</f>
        <v>08509</v>
      </c>
      <c r="E10133" s="1" t="s">
        <v>1663</v>
      </c>
      <c r="F10133" s="1">
        <v>10</v>
      </c>
      <c r="G10133" s="1">
        <v>9</v>
      </c>
      <c r="H10133" s="1">
        <v>1</v>
      </c>
      <c r="I10133" s="1" t="s">
        <v>20062</v>
      </c>
      <c r="K10133" s="1" t="str">
        <f t="shared" si="626"/>
        <v>ㄔ</v>
      </c>
      <c r="L10133" s="1" t="str">
        <f t="shared" si="628"/>
        <v>ㄥ</v>
      </c>
      <c r="N10133" s="3" t="s">
        <v>30575</v>
      </c>
      <c r="O10133" s="3"/>
      <c r="P10133" s="1" t="s">
        <v>20</v>
      </c>
      <c r="R10133" s="1" t="s">
        <v>20063</v>
      </c>
      <c r="V10133" s="1" t="s">
        <v>20099</v>
      </c>
      <c r="W10133" s="1" t="s">
        <v>20100</v>
      </c>
      <c r="AR10133" s="1" t="str">
        <f t="shared" si="627"/>
        <v>| [ㄔㄥˊ](ㄔㄥˊ.md) | [乘](乘.md) |  | chéng | [動]
1.登、升。《史記．卷八二．田單傳》：「令甲卒皆伏，使老弱女子乘城。」
2.駕馭、駕騎。《易經．繫辭下》：「服牛乘馬，引重致遠。」《墨子．親士》：「良馬難乘，然可以任重致遠。」
3.搭坐，用某種交通工具代步。如：「乘車」、「乘飛機」。
4.順應、趁、藉著。如：「乘人之危」、「乘風破浪」、「乘勝追擊」。
5.追逐、進攻。《史記．卷八．高祖本紀》：「楚兵不利，淮陰侯復乘之，大敗垓下。」《漢書．卷七〇．陳湯傳》：「平明，四面火起，吏士喜，大呼乘之，鉦鼓聲動地。」
6.在數與數之間進行乘法運算。如：「三乘二等於六。」
[名]
1.數學上的運算方法之一。即乘法。如：「加減乘除四則運算方法。」
2.姓。如漢代有乘弘。 |</v>
      </c>
    </row>
    <row r="10134" spans="1:44" hidden="1">
      <c r="A10134" s="1" t="s">
        <v>20101</v>
      </c>
      <c r="C10134" s="1">
        <v>1</v>
      </c>
      <c r="D10134" s="1" t="str">
        <f>"08510"</f>
        <v>08510</v>
      </c>
      <c r="E10134" s="1" t="s">
        <v>319</v>
      </c>
      <c r="F10134" s="1">
        <v>20</v>
      </c>
      <c r="G10134" s="1">
        <v>10</v>
      </c>
      <c r="H10134" s="1">
        <v>0</v>
      </c>
      <c r="I10134" s="1" t="s">
        <v>20062</v>
      </c>
      <c r="K10134" s="1" t="str">
        <f t="shared" si="626"/>
        <v>ㄔ</v>
      </c>
      <c r="L10134" s="1" t="str">
        <f t="shared" si="628"/>
        <v>ㄥ</v>
      </c>
      <c r="N10134" s="3" t="s">
        <v>30575</v>
      </c>
      <c r="O10134" s="3"/>
      <c r="P10134" s="1" t="s">
        <v>20</v>
      </c>
      <c r="R10134" s="1" t="s">
        <v>20063</v>
      </c>
      <c r="V10134" s="1" t="s">
        <v>20102</v>
      </c>
      <c r="AR10134" s="1" t="str">
        <f t="shared" si="627"/>
        <v>| [ㄔㄥˊ](ㄔㄥˊ.md) | [騬](騬.md) |  | chéng | [名]
割去生殖器的馬。《說文解字．馬部》：「騬，犗馬也。」 |</v>
      </c>
    </row>
    <row r="10135" spans="1:44" hidden="1">
      <c r="A10135" s="1" t="s">
        <v>20103</v>
      </c>
      <c r="C10135" s="1">
        <v>1</v>
      </c>
      <c r="D10135" s="1" t="str">
        <f>"08511"</f>
        <v>08511</v>
      </c>
      <c r="E10135" s="1" t="s">
        <v>24</v>
      </c>
      <c r="F10135" s="1">
        <v>11</v>
      </c>
      <c r="G10135" s="1">
        <v>8</v>
      </c>
      <c r="H10135" s="1">
        <v>0</v>
      </c>
      <c r="I10135" s="1" t="s">
        <v>20062</v>
      </c>
      <c r="K10135" s="1" t="str">
        <f t="shared" si="626"/>
        <v>ㄔ</v>
      </c>
      <c r="L10135" s="1" t="str">
        <f t="shared" si="628"/>
        <v>ㄥ</v>
      </c>
      <c r="N10135" s="3" t="s">
        <v>30575</v>
      </c>
      <c r="O10135" s="3"/>
      <c r="P10135" s="1" t="s">
        <v>20</v>
      </c>
      <c r="R10135" s="1" t="s">
        <v>20063</v>
      </c>
      <c r="V10135" s="1" t="s">
        <v>20104</v>
      </c>
      <c r="AR10135" s="1" t="str">
        <f t="shared" si="627"/>
        <v>| [ㄔㄥˊ](ㄔㄥˊ.md) | [掁](掁.md) |  | chéng | [動]
觸及、碰撞。《玉篇．手部》：「掁，觕也。」唐．韓愈、孟郊〈城南聯句〉：「裂腦擒摚掁，猛斃牛馬樂。」 |</v>
      </c>
    </row>
    <row r="10136" spans="1:44" hidden="1">
      <c r="A10136" s="1" t="s">
        <v>20105</v>
      </c>
      <c r="C10136" s="1">
        <v>1</v>
      </c>
      <c r="D10136" s="1" t="str">
        <f>"08512"</f>
        <v>08512</v>
      </c>
      <c r="E10136" s="1" t="s">
        <v>139</v>
      </c>
      <c r="F10136" s="1">
        <v>12</v>
      </c>
      <c r="G10136" s="1">
        <v>8</v>
      </c>
      <c r="H10136" s="1">
        <v>0</v>
      </c>
      <c r="I10136" s="1" t="s">
        <v>20062</v>
      </c>
      <c r="K10136" s="1" t="str">
        <f t="shared" si="626"/>
        <v>ㄔ</v>
      </c>
      <c r="L10136" s="1" t="str">
        <f t="shared" si="628"/>
        <v>ㄥ</v>
      </c>
      <c r="N10136" s="3" t="s">
        <v>30575</v>
      </c>
      <c r="O10136" s="3"/>
      <c r="P10136" s="1" t="s">
        <v>20</v>
      </c>
      <c r="R10136" s="1" t="s">
        <v>20063</v>
      </c>
      <c r="V10136" s="1" t="s">
        <v>20106</v>
      </c>
      <c r="AR10136" s="1" t="str">
        <f t="shared" si="627"/>
        <v>| [ㄔㄥˊ](ㄔㄥˊ.md) | [棖](棖.md) |  | chéng | [名]
豎立在門兩旁的長木柱。《爾雅．釋宮》：「棖謂之楔。」晉．郭璞．注：「門兩旁木。」
[動]
碰觸。通「樘」。《文選．謝惠連．祭古冢文．序》：「以物棖撥之，應手灰滅。」唐．李善．注：「南人以物觸物為棖也。」 |</v>
      </c>
    </row>
    <row r="10137" spans="1:44" hidden="1">
      <c r="A10137" s="1" t="s">
        <v>18734</v>
      </c>
      <c r="C10137" s="1">
        <v>1</v>
      </c>
      <c r="D10137" s="1" t="str">
        <f>"08513"</f>
        <v>08513</v>
      </c>
      <c r="E10137" s="1" t="s">
        <v>190</v>
      </c>
      <c r="F10137" s="1">
        <v>11</v>
      </c>
      <c r="G10137" s="1">
        <v>8</v>
      </c>
      <c r="H10137" s="1">
        <v>2</v>
      </c>
      <c r="I10137" s="1" t="s">
        <v>20062</v>
      </c>
      <c r="K10137" s="1" t="str">
        <f t="shared" si="626"/>
        <v>ㄔ</v>
      </c>
      <c r="L10137" s="1" t="str">
        <f t="shared" si="628"/>
        <v>ㄥ</v>
      </c>
      <c r="N10137" s="3" t="s">
        <v>30575</v>
      </c>
      <c r="O10137" s="3"/>
      <c r="P10137" s="1" t="s">
        <v>110</v>
      </c>
      <c r="R10137" s="1" t="s">
        <v>20063</v>
      </c>
      <c r="V10137" s="1" t="s">
        <v>111</v>
      </c>
      <c r="W10137" s="1" t="s">
        <v>20107</v>
      </c>
      <c r="AR10137" s="1" t="str">
        <f t="shared" si="627"/>
        <v>| [ㄔㄥˊ](ㄔㄥˊ.md) | [崢](崢.md) |  | chéng | (一)之又音。 |</v>
      </c>
    </row>
    <row r="10138" spans="1:44" hidden="1">
      <c r="A10138" s="1" t="s">
        <v>20108</v>
      </c>
      <c r="C10138" s="1">
        <v>1</v>
      </c>
      <c r="D10138" s="1" t="str">
        <f>"08514"</f>
        <v>08514</v>
      </c>
      <c r="E10138" s="1" t="s">
        <v>77</v>
      </c>
      <c r="F10138" s="1">
        <v>12</v>
      </c>
      <c r="G10138" s="1">
        <v>5</v>
      </c>
      <c r="H10138" s="1">
        <v>0</v>
      </c>
      <c r="I10138" s="1" t="s">
        <v>20062</v>
      </c>
      <c r="K10138" s="1" t="str">
        <f t="shared" si="626"/>
        <v>ㄔ</v>
      </c>
      <c r="L10138" s="1" t="str">
        <f t="shared" si="628"/>
        <v>ㄥ</v>
      </c>
      <c r="N10138" s="3" t="s">
        <v>30575</v>
      </c>
      <c r="O10138" s="3"/>
      <c r="P10138" s="1" t="s">
        <v>20</v>
      </c>
      <c r="R10138" s="1" t="s">
        <v>20063</v>
      </c>
      <c r="V10138" s="1" t="s">
        <v>20109</v>
      </c>
      <c r="AR10138" s="1" t="str">
        <f t="shared" si="627"/>
        <v>| [ㄔㄥˊ](ㄔㄥˊ.md) | [䟫](䟫.md) |  | chéng | [動]
支撐。通「撐」。《周禮．冬官考工記．弓人》：「維角䟫之，欲宛而無負弦。」 |</v>
      </c>
    </row>
    <row r="10139" spans="1:44" hidden="1">
      <c r="A10139" s="1" t="s">
        <v>20110</v>
      </c>
      <c r="C10139" s="1">
        <v>1</v>
      </c>
      <c r="D10139" s="1" t="str">
        <f>"08515"</f>
        <v>08515</v>
      </c>
      <c r="E10139" s="1" t="s">
        <v>114</v>
      </c>
      <c r="F10139" s="1">
        <v>12</v>
      </c>
      <c r="G10139" s="1">
        <v>10</v>
      </c>
      <c r="H10139" s="1">
        <v>2</v>
      </c>
      <c r="I10139" s="1" t="s">
        <v>20062</v>
      </c>
      <c r="K10139" s="1" t="str">
        <f t="shared" si="626"/>
        <v>ㄔ</v>
      </c>
      <c r="L10139" s="1" t="str">
        <f t="shared" si="628"/>
        <v>ㄥ</v>
      </c>
      <c r="N10139" s="3" t="s">
        <v>30575</v>
      </c>
      <c r="O10139" s="3"/>
      <c r="P10139" s="1" t="s">
        <v>110</v>
      </c>
      <c r="R10139" s="1" t="s">
        <v>20063</v>
      </c>
      <c r="V10139" s="1" t="s">
        <v>111</v>
      </c>
      <c r="W10139" s="1" t="s">
        <v>20111</v>
      </c>
      <c r="AR10139" s="1" t="str">
        <f t="shared" si="627"/>
        <v>| [ㄔㄥˊ](ㄔㄥˊ.md) | [傖](傖.md) |  | chéng | (一)之又音。 |</v>
      </c>
    </row>
    <row r="10140" spans="1:44" hidden="1">
      <c r="A10140" s="1" t="s">
        <v>20112</v>
      </c>
      <c r="C10140" s="1">
        <v>1</v>
      </c>
      <c r="D10140" s="1" t="str">
        <f>"08516"</f>
        <v>08516</v>
      </c>
      <c r="E10140" s="1" t="s">
        <v>132</v>
      </c>
      <c r="F10140" s="1">
        <v>13</v>
      </c>
      <c r="G10140" s="1">
        <v>10</v>
      </c>
      <c r="H10140" s="1">
        <v>0</v>
      </c>
      <c r="I10140" s="1" t="s">
        <v>20062</v>
      </c>
      <c r="K10140" s="1" t="str">
        <f t="shared" si="626"/>
        <v>ㄔ</v>
      </c>
      <c r="L10140" s="1" t="str">
        <f t="shared" si="628"/>
        <v>ㄥ</v>
      </c>
      <c r="N10140" s="3" t="s">
        <v>30575</v>
      </c>
      <c r="O10140" s="3"/>
      <c r="P10140" s="1" t="s">
        <v>20</v>
      </c>
      <c r="R10140" s="1" t="s">
        <v>20063</v>
      </c>
      <c r="V10140" s="1" t="s">
        <v>20113</v>
      </c>
      <c r="AR10140" s="1" t="str">
        <f t="shared" si="627"/>
        <v>| [ㄔㄥˊ](ㄔㄥˊ.md) | [塍](塍.md) |  | chéng | [名]_x000D_
稻田間的路界。漢．班固〈西都賦〉：「疆埸綺分，溝塍刻鏤。」明．徐弘祖《徐霞客遊記．卷二上．浙遊日記》：「人從塍上曲折而入，約廿丈，忽聞水聲潺潺。」 |</v>
      </c>
    </row>
    <row r="10141" spans="1:44" hidden="1">
      <c r="A10141" s="1" t="s">
        <v>20114</v>
      </c>
      <c r="C10141" s="1">
        <v>1</v>
      </c>
      <c r="D10141" s="1" t="str">
        <f>"08517"</f>
        <v>08517</v>
      </c>
      <c r="E10141" s="1" t="s">
        <v>129</v>
      </c>
      <c r="F10141" s="1">
        <v>15</v>
      </c>
      <c r="G10141" s="1">
        <v>12</v>
      </c>
      <c r="H10141" s="1">
        <v>0</v>
      </c>
      <c r="I10141" s="1" t="s">
        <v>20062</v>
      </c>
      <c r="K10141" s="1" t="str">
        <f t="shared" si="626"/>
        <v>ㄔ</v>
      </c>
      <c r="L10141" s="1" t="str">
        <f t="shared" si="628"/>
        <v>ㄥ</v>
      </c>
      <c r="N10141" s="3" t="s">
        <v>30575</v>
      </c>
      <c r="O10141" s="3"/>
      <c r="P10141" s="1" t="s">
        <v>20</v>
      </c>
      <c r="R10141" s="1" t="s">
        <v>20063</v>
      </c>
      <c r="V10141" s="1" t="s">
        <v>20115</v>
      </c>
      <c r="AR10141" s="1" t="str">
        <f t="shared" si="627"/>
        <v>| [ㄔㄥˊ](ㄔㄥˊ.md) | [澂](澂.md) |  | chéng | [動]
澄清。同「澄」。《後漢書．卷七九．儒林傳．贊曰》：「千載不作，淵源誰澂？」 |</v>
      </c>
    </row>
    <row r="10142" spans="1:44" hidden="1">
      <c r="A10142" s="1" t="s">
        <v>20116</v>
      </c>
      <c r="C10142" s="1">
        <v>1</v>
      </c>
      <c r="D10142" s="1" t="str">
        <f>"08518"</f>
        <v>08518</v>
      </c>
      <c r="E10142" s="1" t="s">
        <v>250</v>
      </c>
      <c r="F10142" s="1">
        <v>19</v>
      </c>
      <c r="G10142" s="1">
        <v>15</v>
      </c>
      <c r="H10142" s="1">
        <v>0</v>
      </c>
      <c r="I10142" s="1" t="s">
        <v>20062</v>
      </c>
      <c r="K10142" s="1" t="str">
        <f t="shared" si="626"/>
        <v>ㄔ</v>
      </c>
      <c r="L10142" s="1" t="str">
        <f t="shared" si="628"/>
        <v>ㄥ</v>
      </c>
      <c r="N10142" s="3" t="s">
        <v>30575</v>
      </c>
      <c r="O10142" s="3"/>
      <c r="P10142" s="1" t="s">
        <v>20</v>
      </c>
      <c r="R10142" s="1" t="s">
        <v>20063</v>
      </c>
      <c r="V10142" s="1" t="s">
        <v>20117</v>
      </c>
      <c r="AR10142" s="1" t="str">
        <f t="shared" si="627"/>
        <v>| [ㄔㄥˊ](ㄔㄥˊ.md) | [懲](懲.md) |  | chéng | [動]
1.責罰。如：「獎懲」、「重懲」、「懲治」、「懲戒」。
2.警戒、教訓。《韓非子．難二》：「不誅過，則民不懲而易為非。」宋．陸游《入蜀記．第一》：「九日，晴而風。舟人懲昨夕狼狽，不敢解舟，日高方行。」
3.戒止。《詩經．小雅．沔水》：「民之訛言，寧莫之懲。」
4.悔恨。《楚辭．屈原．九歌．國殤》：「身首離兮心不懲。」 |</v>
      </c>
    </row>
    <row r="10143" spans="1:44" hidden="1">
      <c r="A10143" s="1" t="s">
        <v>5111</v>
      </c>
      <c r="C10143" s="1">
        <v>1</v>
      </c>
      <c r="D10143" s="1" t="str">
        <f>"08519"</f>
        <v>08519</v>
      </c>
      <c r="E10143" s="1" t="s">
        <v>129</v>
      </c>
      <c r="F10143" s="1">
        <v>15</v>
      </c>
      <c r="G10143" s="1">
        <v>12</v>
      </c>
      <c r="H10143" s="1">
        <v>1</v>
      </c>
      <c r="I10143" s="1" t="s">
        <v>20062</v>
      </c>
      <c r="K10143" s="1" t="str">
        <f t="shared" si="626"/>
        <v>ㄔ</v>
      </c>
      <c r="L10143" s="1" t="str">
        <f t="shared" si="628"/>
        <v>ㄥ</v>
      </c>
      <c r="N10143" s="3" t="s">
        <v>30575</v>
      </c>
      <c r="O10143" s="3"/>
      <c r="P10143" s="1" t="s">
        <v>20</v>
      </c>
      <c r="R10143" s="1" t="s">
        <v>20063</v>
      </c>
      <c r="V10143" s="1" t="s">
        <v>20118</v>
      </c>
      <c r="W10143" s="1" t="s">
        <v>20119</v>
      </c>
      <c r="AR10143" s="1" t="str">
        <f t="shared" si="627"/>
        <v>| [ㄔㄥˊ](ㄔㄥˊ.md) | [澄](澄.md) |  | chéng | [形]
水靜止而清澈。南朝齊．謝朓〈晚登三山還望京邑〉詩：「餘霞散成綺，澄江靜如練。」唐．陳子昂〈薛大夫山亭宴序〉：「披翠微而列坐，左對青山；俯磐石而開襟，右臨澄水。」 |</v>
      </c>
    </row>
    <row r="10144" spans="1:44" hidden="1">
      <c r="A10144" s="1" t="s">
        <v>18764</v>
      </c>
      <c r="C10144" s="1">
        <v>1</v>
      </c>
      <c r="D10144" s="1" t="str">
        <f>"08520"</f>
        <v>08520</v>
      </c>
      <c r="E10144" s="1" t="s">
        <v>24</v>
      </c>
      <c r="F10144" s="1">
        <v>15</v>
      </c>
      <c r="G10144" s="1">
        <v>12</v>
      </c>
      <c r="H10144" s="1">
        <v>2</v>
      </c>
      <c r="I10144" s="1" t="s">
        <v>20062</v>
      </c>
      <c r="K10144" s="1" t="str">
        <f t="shared" si="626"/>
        <v>ㄔ</v>
      </c>
      <c r="L10144" s="1" t="str">
        <f t="shared" si="628"/>
        <v>ㄥ</v>
      </c>
      <c r="N10144" s="3" t="s">
        <v>30575</v>
      </c>
      <c r="O10144" s="3"/>
      <c r="P10144" s="1" t="s">
        <v>20</v>
      </c>
      <c r="R10144" s="1" t="s">
        <v>20063</v>
      </c>
      <c r="V10144" s="1" t="s">
        <v>20120</v>
      </c>
      <c r="W10144" s="1" t="s">
        <v>20121</v>
      </c>
      <c r="AR10144" s="1" t="str">
        <f t="shared" si="627"/>
        <v>| [ㄔㄥˊ](ㄔㄥˊ.md) | [撜](撜.md) |  | chéng | [動]
碰觸。唐．韓愈、劉師服、侯喜、軒轅彌明〈石鼎聯句〉：「豈比俎豆古，不為手所撜。」 |</v>
      </c>
    </row>
    <row r="10145" spans="1:44" hidden="1">
      <c r="A10145" s="1" t="s">
        <v>20122</v>
      </c>
      <c r="C10145" s="1">
        <v>1</v>
      </c>
      <c r="D10145" s="1" t="str">
        <f>"08521"</f>
        <v>08521</v>
      </c>
      <c r="E10145" s="1" t="s">
        <v>139</v>
      </c>
      <c r="F10145" s="1">
        <v>16</v>
      </c>
      <c r="G10145" s="1">
        <v>12</v>
      </c>
      <c r="H10145" s="1">
        <v>0</v>
      </c>
      <c r="I10145" s="1" t="s">
        <v>20062</v>
      </c>
      <c r="K10145" s="1" t="str">
        <f t="shared" si="626"/>
        <v>ㄔ</v>
      </c>
      <c r="L10145" s="1" t="str">
        <f t="shared" si="628"/>
        <v>ㄥ</v>
      </c>
      <c r="N10145" s="3" t="s">
        <v>30575</v>
      </c>
      <c r="O10145" s="3"/>
      <c r="P10145" s="1" t="s">
        <v>20</v>
      </c>
      <c r="R10145" s="1" t="s">
        <v>20063</v>
      </c>
      <c r="V10145" s="1" t="s">
        <v>20123</v>
      </c>
      <c r="AR10145" s="1" t="str">
        <f t="shared" si="627"/>
        <v>| [ㄔㄥˊ](ㄔㄥˊ.md) | [橙](橙.md) |  | chéng | [名]
1.植物名。芸香科柑桔屬，「香橙」之簡稱，參見「香橙」條。
2.一種黃中帶著微紅的顏色。如：「彩虹共有紅、橙、黃、綠等七種顏色。」 |</v>
      </c>
    </row>
    <row r="10146" spans="1:44" hidden="1">
      <c r="A10146" s="1" t="s">
        <v>20124</v>
      </c>
      <c r="C10146" s="1">
        <v>1</v>
      </c>
      <c r="D10146" s="1" t="str">
        <f>"08522"</f>
        <v>08522</v>
      </c>
      <c r="E10146" s="1" t="s">
        <v>558</v>
      </c>
      <c r="F10146" s="1">
        <v>11</v>
      </c>
      <c r="G10146" s="1">
        <v>7</v>
      </c>
      <c r="H10146" s="1">
        <v>0</v>
      </c>
      <c r="I10146" s="1" t="s">
        <v>20125</v>
      </c>
      <c r="K10146" s="1" t="str">
        <f t="shared" si="626"/>
        <v>ㄔ</v>
      </c>
      <c r="L10146" s="1" t="str">
        <f t="shared" si="628"/>
        <v>ㄥ</v>
      </c>
      <c r="N10146" s="3" t="s">
        <v>30576</v>
      </c>
      <c r="O10146" s="3"/>
      <c r="P10146" s="1" t="s">
        <v>20</v>
      </c>
      <c r="R10146" s="1" t="s">
        <v>20126</v>
      </c>
      <c r="V10146" s="1" t="s">
        <v>20127</v>
      </c>
      <c r="AR10146" s="1" t="str">
        <f t="shared" si="627"/>
        <v>| [ㄔㄥˇ](ㄔㄥˇ.md) | [逞](逞.md) |  | chěng | [動]
1.放縱、任意行事。如：「逞性」、「逞欲」。唐．柳宗元〈三戒．序〉：「吾恆惡世之人，不知推己之本，而乘物以逞。」
2.顯露、展示。如：「驕逞」、「逞能」。《莊子．山木》：「此筋骨非有加急而不柔也，處勢不便，未足以逞其能也。」 |</v>
      </c>
    </row>
    <row r="10147" spans="1:44" hidden="1">
      <c r="A10147" s="1" t="s">
        <v>20128</v>
      </c>
      <c r="C10147" s="1">
        <v>1</v>
      </c>
      <c r="D10147" s="1" t="str">
        <f>"08523"</f>
        <v>08523</v>
      </c>
      <c r="E10147" s="1" t="s">
        <v>319</v>
      </c>
      <c r="F10147" s="1">
        <v>17</v>
      </c>
      <c r="G10147" s="1">
        <v>7</v>
      </c>
      <c r="H10147" s="1">
        <v>0</v>
      </c>
      <c r="I10147" s="1" t="s">
        <v>20125</v>
      </c>
      <c r="K10147" s="1" t="str">
        <f t="shared" si="626"/>
        <v>ㄔ</v>
      </c>
      <c r="L10147" s="1" t="str">
        <f t="shared" si="628"/>
        <v>ㄥ</v>
      </c>
      <c r="N10147" s="3" t="s">
        <v>30576</v>
      </c>
      <c r="O10147" s="3"/>
      <c r="P10147" s="1" t="s">
        <v>20</v>
      </c>
      <c r="R10147" s="1" t="s">
        <v>20126</v>
      </c>
      <c r="V10147" s="1" t="s">
        <v>20129</v>
      </c>
      <c r="AR10147" s="1" t="str">
        <f t="shared" si="627"/>
        <v>| [ㄔㄥˇ](ㄔㄥˇ.md) | [騁](騁.md) |  | chěng | [動]
1.直馳、奔跑。如：「馳騁」。《詩經．小雅．節南山》：「我瞻四方，蹙蹙靡所騁。」
2.施展、放開。如：「騁志」、「騁辭」。《荀子．天論》：「因物而多之，孰與騁能而化之？」 |</v>
      </c>
    </row>
    <row r="10148" spans="1:44" hidden="1">
      <c r="A10148" s="1" t="s">
        <v>20200</v>
      </c>
      <c r="C10148" s="1">
        <v>1</v>
      </c>
      <c r="D10148" s="1" t="str">
        <f>"08556"</f>
        <v>08556</v>
      </c>
      <c r="E10148" s="1" t="s">
        <v>9954</v>
      </c>
      <c r="F10148" s="1">
        <v>3</v>
      </c>
      <c r="G10148" s="1">
        <v>1</v>
      </c>
      <c r="H10148" s="1">
        <v>0</v>
      </c>
      <c r="I10148" s="1" t="s">
        <v>20201</v>
      </c>
      <c r="K10148" s="1" t="str">
        <f t="shared" si="626"/>
        <v>ㄔ</v>
      </c>
      <c r="L10148" s="1" t="str">
        <f t="shared" si="628"/>
        <v>ㄨ</v>
      </c>
      <c r="N10148" s="3" t="s">
        <v>30574</v>
      </c>
      <c r="O10148" s="3"/>
      <c r="P10148" s="1" t="s">
        <v>20</v>
      </c>
      <c r="R10148" s="1" t="s">
        <v>20202</v>
      </c>
      <c r="V10148" s="1" t="s">
        <v>20203</v>
      </c>
      <c r="AR10148" s="1" t="str">
        <f t="shared" si="627"/>
        <v>| [ㄔㄨˋ](ㄔㄨˋ.md) | [亍](亍.md) |  | chù | [動]
1.在行進中停止步伐。《說文解字．彳部》：「亍，步止也。」《文選．左思．魏都賦》：「矞雲翔龍，澤馬亍阜。」
2.小步行進。《字彙．二部》：「亍，小步也。」
[名]
右腳的步伐。明．張自烈《正字通．行部》：「左步為彳，右步為亍，合彳亍為行。」 |</v>
      </c>
    </row>
    <row r="10149" spans="1:44" hidden="1">
      <c r="A10149" s="1" t="s">
        <v>20204</v>
      </c>
      <c r="C10149" s="1">
        <v>1</v>
      </c>
      <c r="D10149" s="1" t="str">
        <f>"08557"</f>
        <v>08557</v>
      </c>
      <c r="E10149" s="1" t="s">
        <v>250</v>
      </c>
      <c r="F10149" s="1">
        <v>8</v>
      </c>
      <c r="G10149" s="1">
        <v>5</v>
      </c>
      <c r="H10149" s="1">
        <v>0</v>
      </c>
      <c r="I10149" s="1" t="s">
        <v>20201</v>
      </c>
      <c r="K10149" s="1" t="str">
        <f t="shared" si="626"/>
        <v>ㄔ</v>
      </c>
      <c r="L10149" s="1" t="str">
        <f t="shared" si="628"/>
        <v>ㄨ</v>
      </c>
      <c r="N10149" s="3" t="s">
        <v>30574</v>
      </c>
      <c r="O10149" s="3"/>
      <c r="P10149" s="1" t="s">
        <v>20</v>
      </c>
      <c r="R10149" s="1" t="s">
        <v>20202</v>
      </c>
      <c r="V10149" s="1" t="s">
        <v>20205</v>
      </c>
      <c r="AR10149" s="1" t="str">
        <f t="shared" si="627"/>
        <v>| [ㄔㄨˋ](ㄔㄨˋ.md) | [怵](怵.md) |  | chù | [動]
1.恐懼、害怕。如：「驚怵」、「怵目驚心」。《文選．陸機．文賦》：「雖杼軸於予懷，怵佗人之我先。」
2.悽愴、悲傷。《禮記．祭統》：「心怵而奉之以禮。」漢．鄭玄．注：「怵，感念親之貌也。」 |</v>
      </c>
    </row>
    <row r="10150" spans="1:44" hidden="1">
      <c r="A10150" s="1" t="s">
        <v>18940</v>
      </c>
      <c r="C10150" s="1">
        <v>1</v>
      </c>
      <c r="D10150" s="1" t="str">
        <f>"08558"</f>
        <v>08558</v>
      </c>
      <c r="E10150" s="1" t="s">
        <v>139</v>
      </c>
      <c r="F10150" s="1">
        <v>9</v>
      </c>
      <c r="G10150" s="1">
        <v>5</v>
      </c>
      <c r="H10150" s="1">
        <v>1</v>
      </c>
      <c r="I10150" s="1" t="s">
        <v>20201</v>
      </c>
      <c r="K10150" s="1" t="str">
        <f t="shared" si="626"/>
        <v>ㄔ</v>
      </c>
      <c r="L10150" s="1" t="str">
        <f t="shared" si="628"/>
        <v>ㄨ</v>
      </c>
      <c r="N10150" s="3" t="s">
        <v>30574</v>
      </c>
      <c r="O10150" s="3"/>
      <c r="P10150" s="1" t="s">
        <v>20</v>
      </c>
      <c r="R10150" s="1" t="s">
        <v>20202</v>
      </c>
      <c r="V10150" s="1" t="s">
        <v>20206</v>
      </c>
      <c r="W10150" s="1" t="s">
        <v>20207</v>
      </c>
      <c r="AR10150" s="1" t="str">
        <f t="shared" si="627"/>
        <v>| [ㄔㄨˋ](ㄔㄨˋ.md) | [柷](柷.md) |  | chù | [名]
樂器名，打擊樂器。木製，箱形，上寬下窄。演奏時，以椎敲擊內壁。古時樂隊演奏時，以擊柷表示音樂開始。《爾雅．釋樂》：「所以鼓柷謂之止。」晉．郭璞．注：「柷如漆桶，方二尺四寸，深一尺八寸，中有椎柄，連底挏之，令左右擊。止者，其椎名。」 |</v>
      </c>
    </row>
    <row r="10151" spans="1:44" hidden="1">
      <c r="A10151" s="1" t="s">
        <v>17341</v>
      </c>
      <c r="C10151" s="1">
        <v>1</v>
      </c>
      <c r="D10151" s="1" t="str">
        <f>"08559"</f>
        <v>08559</v>
      </c>
      <c r="E10151" s="1" t="s">
        <v>753</v>
      </c>
      <c r="F10151" s="1">
        <v>10</v>
      </c>
      <c r="G10151" s="1">
        <v>5</v>
      </c>
      <c r="H10151" s="1">
        <v>1</v>
      </c>
      <c r="I10151" s="1" t="s">
        <v>20201</v>
      </c>
      <c r="K10151" s="1" t="str">
        <f t="shared" si="626"/>
        <v>ㄔ</v>
      </c>
      <c r="L10151" s="1" t="str">
        <f t="shared" si="628"/>
        <v>ㄨ</v>
      </c>
      <c r="N10151" s="3" t="s">
        <v>30574</v>
      </c>
      <c r="O10151" s="3"/>
      <c r="P10151" s="1" t="s">
        <v>20</v>
      </c>
      <c r="R10151" s="1" t="s">
        <v>20202</v>
      </c>
      <c r="V10151" s="1" t="s">
        <v>20208</v>
      </c>
      <c r="W10151" s="1" t="s">
        <v>20209</v>
      </c>
      <c r="AR10151" s="1" t="str">
        <f t="shared" si="627"/>
        <v>| [ㄔㄨˋ](ㄔㄨˋ.md) | [畜](畜.md) |  | chù | [名]
1.人飼養的禽獸。如馬、牛、羊、雞、犬、豬等。如：「家畜」、「六畜興旺」。
2.泛指禽獸。如：「畜生」。 |</v>
      </c>
    </row>
    <row r="10152" spans="1:44" hidden="1">
      <c r="A10152" s="1" t="s">
        <v>20210</v>
      </c>
      <c r="C10152" s="1">
        <v>1</v>
      </c>
      <c r="D10152" s="1" t="str">
        <f>"08560"</f>
        <v>08560</v>
      </c>
      <c r="E10152" s="1" t="s">
        <v>129</v>
      </c>
      <c r="F10152" s="1">
        <v>13</v>
      </c>
      <c r="G10152" s="1">
        <v>10</v>
      </c>
      <c r="H10152" s="1">
        <v>0</v>
      </c>
      <c r="I10152" s="1" t="s">
        <v>20201</v>
      </c>
      <c r="K10152" s="1" t="str">
        <f t="shared" si="626"/>
        <v>ㄔ</v>
      </c>
      <c r="L10152" s="1" t="str">
        <f t="shared" si="628"/>
        <v>ㄨ</v>
      </c>
      <c r="N10152" s="3" t="s">
        <v>30574</v>
      </c>
      <c r="O10152" s="3"/>
      <c r="P10152" s="1" t="s">
        <v>20</v>
      </c>
      <c r="R10152" s="1" t="s">
        <v>20202</v>
      </c>
      <c r="V10152" s="1" t="s">
        <v>20211</v>
      </c>
      <c r="AR10152" s="1" t="str">
        <f t="shared" si="627"/>
        <v>| [ㄔㄨˋ](ㄔㄨˋ.md) | [滀](滀.md) |  | chù | [動]
1.水停滯積聚。宋．陸游〈稽山行〉：「鏡湖滀眾水，自漢無旱蝗。」明．徐弘祖《徐霞客遊記．卷八下．滇遊日記九》：「一出巃嵷山，滀為海子，流為高河，南至城東北。」
2.鬱結。《莊子．達生》：「夫忿滀之氣，散而不反，則為不足。」 |</v>
      </c>
    </row>
    <row r="10153" spans="1:44" hidden="1">
      <c r="A10153" s="1" t="s">
        <v>20212</v>
      </c>
      <c r="C10153" s="1">
        <v>1</v>
      </c>
      <c r="D10153" s="1" t="str">
        <f>"08561"</f>
        <v>08561</v>
      </c>
      <c r="E10153" s="1" t="s">
        <v>256</v>
      </c>
      <c r="F10153" s="1">
        <v>13</v>
      </c>
      <c r="G10153" s="1">
        <v>10</v>
      </c>
      <c r="H10153" s="1">
        <v>0</v>
      </c>
      <c r="I10153" s="1" t="s">
        <v>20201</v>
      </c>
      <c r="K10153" s="1" t="str">
        <f t="shared" si="626"/>
        <v>ㄔ</v>
      </c>
      <c r="L10153" s="1" t="str">
        <f t="shared" si="628"/>
        <v>ㄨ</v>
      </c>
      <c r="N10153" s="3" t="s">
        <v>30574</v>
      </c>
      <c r="O10153" s="3"/>
      <c r="P10153" s="1" t="s">
        <v>20</v>
      </c>
      <c r="R10153" s="1" t="s">
        <v>20202</v>
      </c>
      <c r="V10153" s="1" t="s">
        <v>20213</v>
      </c>
      <c r="AR10153" s="1" t="str">
        <f t="shared" si="627"/>
        <v>| [ㄔㄨˋ](ㄔㄨˋ.md) | [鄐](鄐.md) |  | chù | [名]
1.地名。春秋時晉邑，故址約在今大陸地區河北省邢臺縣附近。
2.姓。如漢代有鄐熙。 |</v>
      </c>
    </row>
    <row r="10154" spans="1:44" hidden="1">
      <c r="A10154" s="1" t="s">
        <v>19662</v>
      </c>
      <c r="C10154" s="1">
        <v>1</v>
      </c>
      <c r="D10154" s="1" t="str">
        <f>"08562"</f>
        <v>08562</v>
      </c>
      <c r="E10154" s="1" t="s">
        <v>24</v>
      </c>
      <c r="F10154" s="1">
        <v>13</v>
      </c>
      <c r="G10154" s="1">
        <v>10</v>
      </c>
      <c r="H10154" s="1">
        <v>1</v>
      </c>
      <c r="I10154" s="1" t="s">
        <v>20201</v>
      </c>
      <c r="K10154" s="1" t="str">
        <f t="shared" si="626"/>
        <v>ㄔ</v>
      </c>
      <c r="L10154" s="1" t="str">
        <f t="shared" si="628"/>
        <v>ㄨ</v>
      </c>
      <c r="N10154" s="3" t="s">
        <v>30574</v>
      </c>
      <c r="O10154" s="3"/>
      <c r="P10154" s="1" t="s">
        <v>20</v>
      </c>
      <c r="R10154" s="1" t="s">
        <v>20202</v>
      </c>
      <c r="V10154" s="1" t="s">
        <v>20214</v>
      </c>
      <c r="W10154" s="1" t="s">
        <v>20215</v>
      </c>
      <c r="AR10154" s="1" t="str">
        <f t="shared" si="627"/>
        <v>| [ㄔㄨˋ](ㄔㄨˋ.md) | [搐](搐.md) |  | chù | [動]
筋肉牽動。如：「抽搐」。《漢書．卷四八．賈誼傳》：「一二指搐，身慮亡聊。」 |</v>
      </c>
    </row>
    <row r="10155" spans="1:44" hidden="1">
      <c r="A10155" s="1" t="s">
        <v>20216</v>
      </c>
      <c r="C10155" s="1">
        <v>1</v>
      </c>
      <c r="D10155" s="1" t="str">
        <f>"08563"</f>
        <v>08563</v>
      </c>
      <c r="E10155" s="1" t="s">
        <v>114</v>
      </c>
      <c r="F10155" s="1">
        <v>10</v>
      </c>
      <c r="G10155" s="1">
        <v>8</v>
      </c>
      <c r="H10155" s="1">
        <v>1</v>
      </c>
      <c r="I10155" s="1" t="s">
        <v>20201</v>
      </c>
      <c r="K10155" s="1" t="str">
        <f t="shared" si="626"/>
        <v>ㄔ</v>
      </c>
      <c r="L10155" s="1" t="str">
        <f t="shared" si="628"/>
        <v>ㄨ</v>
      </c>
      <c r="N10155" s="3" t="s">
        <v>30574</v>
      </c>
      <c r="O10155" s="3"/>
      <c r="P10155" s="1" t="s">
        <v>20</v>
      </c>
      <c r="R10155" s="1" t="s">
        <v>20202</v>
      </c>
      <c r="V10155" s="1" t="s">
        <v>20217</v>
      </c>
      <c r="W10155" s="1" t="s">
        <v>20218</v>
      </c>
      <c r="AR10155" s="1" t="str">
        <f t="shared" si="627"/>
        <v>| [ㄔㄨˋ](ㄔㄨˋ.md) | [俶](俶.md) |  | chù | [形]
美善。《說文解字．人部》：「俶，善也。從人叔聲。《詩》曰：『令終有俶』。」清．段玉裁．注：「按釋詁、毛傳皆曰『淑，善也』。蓋假借之字，其正字則俶也。」
[動]
1.作。《詩經．大雅．崧高》：「有俶其城。」漢．毛亨．傳：「俶，作也。」
2.整理。通「束」。參見「俶裝」條。
[副]
開始。《爾雅．釋詁上》：「俶，始也。」《詩經．小雅．大田》：「以我覃耜，俶載南畝。」漢．鄭玄．箋：「俶，始也；載，事也。」《北史．卷四三．李崇傳》：「嵩都創構，洛邑俶營，雖年跨十稔，根基未就。」 |</v>
      </c>
    </row>
    <row r="10156" spans="1:44" hidden="1">
      <c r="A10156" s="1" t="s">
        <v>20219</v>
      </c>
      <c r="C10156" s="1">
        <v>1</v>
      </c>
      <c r="D10156" s="1" t="str">
        <f>"08564"</f>
        <v>08564</v>
      </c>
      <c r="E10156" s="1" t="s">
        <v>331</v>
      </c>
      <c r="F10156" s="1">
        <v>15</v>
      </c>
      <c r="G10156" s="1">
        <v>8</v>
      </c>
      <c r="H10156" s="1">
        <v>0</v>
      </c>
      <c r="I10156" s="1" t="s">
        <v>20201</v>
      </c>
      <c r="K10156" s="1" t="str">
        <f t="shared" si="626"/>
        <v>ㄔ</v>
      </c>
      <c r="L10156" s="1" t="str">
        <f t="shared" si="628"/>
        <v>ㄨ</v>
      </c>
      <c r="N10156" s="3" t="s">
        <v>30574</v>
      </c>
      <c r="O10156" s="3"/>
      <c r="P10156" s="1" t="s">
        <v>20</v>
      </c>
      <c r="R10156" s="1" t="s">
        <v>20202</v>
      </c>
      <c r="V10156" s="1" t="s">
        <v>20220</v>
      </c>
      <c r="AR10156" s="1" t="str">
        <f t="shared" si="627"/>
        <v>| [ㄔㄨˋ](ㄔㄨˋ.md) | [諔](諔.md) |  | chù | 參見「諔詭」條。 |</v>
      </c>
    </row>
    <row r="10157" spans="1:44" hidden="1">
      <c r="A10157" s="1" t="s">
        <v>20186</v>
      </c>
      <c r="C10157" s="1">
        <v>1</v>
      </c>
      <c r="D10157" s="1" t="str">
        <f>"08565"</f>
        <v>08565</v>
      </c>
      <c r="E10157" s="1" t="s">
        <v>660</v>
      </c>
      <c r="F10157" s="1">
        <v>11</v>
      </c>
      <c r="G10157" s="1">
        <v>5</v>
      </c>
      <c r="H10157" s="1">
        <v>1</v>
      </c>
      <c r="I10157" s="1" t="s">
        <v>20201</v>
      </c>
      <c r="K10157" s="1" t="str">
        <f t="shared" si="626"/>
        <v>ㄔ</v>
      </c>
      <c r="L10157" s="1" t="str">
        <f t="shared" si="628"/>
        <v>ㄨ</v>
      </c>
      <c r="N10157" s="3" t="s">
        <v>30574</v>
      </c>
      <c r="O10157" s="3"/>
      <c r="P10157" s="1" t="s">
        <v>20</v>
      </c>
      <c r="R10157" s="1" t="s">
        <v>20202</v>
      </c>
      <c r="V10157" s="1" t="s">
        <v>20221</v>
      </c>
      <c r="W10157" s="1" t="s">
        <v>20222</v>
      </c>
      <c r="AR10157" s="1" t="str">
        <f t="shared" si="627"/>
        <v>| [ㄔㄨˋ](ㄔㄨˋ.md) | [處](處.md) |  | chù | [名]
1.地方、場所。如：「住處」、「各處」。
2.事物的某一部分。如：「益處」、「長處」、「用處」。
3.機關團體的組織單位。如：「訓導處」、「人事處」、「新聞處」。
4.時候、時刻。唐．杜甫〈述懷〉詩：「沉思歡會處，恐作窮獨叟。」宋．柳永〈雨霖鈴．寒蟬淒切〉詞：「都門帳飲無緒，留戀處、蘭舟催發。」
5.量詞。計算部位、地點的單位。如：「一處勝景」、「兩處流沙」、「三處瘀傷」。 |</v>
      </c>
    </row>
    <row r="10158" spans="1:44" hidden="1">
      <c r="A10158" s="1" t="s">
        <v>20223</v>
      </c>
      <c r="C10158" s="1">
        <v>1</v>
      </c>
      <c r="D10158" s="1" t="str">
        <f>"08566"</f>
        <v>08566</v>
      </c>
      <c r="E10158" s="1" t="s">
        <v>725</v>
      </c>
      <c r="F10158" s="1">
        <v>11</v>
      </c>
      <c r="G10158" s="1">
        <v>5</v>
      </c>
      <c r="H10158" s="1">
        <v>0</v>
      </c>
      <c r="I10158" s="1" t="s">
        <v>20201</v>
      </c>
      <c r="K10158" s="1" t="str">
        <f t="shared" si="626"/>
        <v>ㄔ</v>
      </c>
      <c r="L10158" s="1" t="str">
        <f t="shared" si="628"/>
        <v>ㄨ</v>
      </c>
      <c r="N10158" s="3" t="s">
        <v>30574</v>
      </c>
      <c r="O10158" s="3"/>
      <c r="P10158" s="1" t="s">
        <v>20</v>
      </c>
      <c r="R10158" s="1" t="s">
        <v>20202</v>
      </c>
      <c r="V10158" s="1" t="s">
        <v>20224</v>
      </c>
      <c r="AR10158" s="1" t="str">
        <f t="shared" si="627"/>
        <v>| [ㄔㄨˋ](ㄔㄨˋ.md) | [絀](絀.md) |  | chù | [動]
貶退。通「黜」。《禮記．王制》：「不孝者，君絀以爵。」《史記．卷八四．屈原賈生傳》：「屈平既絀，其後秦欲伐齊，齊與楚從親，惠王患之。」
[形]
不足、短缺。如：「支絀」、「相形見絀」。《荀子．非相》：「與世偃仰，緩急嬴絀。」 |</v>
      </c>
    </row>
    <row r="10159" spans="1:44" hidden="1">
      <c r="A10159" s="1" t="s">
        <v>15796</v>
      </c>
      <c r="C10159" s="1">
        <v>1</v>
      </c>
      <c r="D10159" s="1" t="str">
        <f>"08567"</f>
        <v>08567</v>
      </c>
      <c r="E10159" s="1" t="s">
        <v>331</v>
      </c>
      <c r="F10159" s="1">
        <v>12</v>
      </c>
      <c r="G10159" s="1">
        <v>5</v>
      </c>
      <c r="H10159" s="1">
        <v>2</v>
      </c>
      <c r="I10159" s="1" t="s">
        <v>20201</v>
      </c>
      <c r="K10159" s="1" t="str">
        <f t="shared" si="626"/>
        <v>ㄔ</v>
      </c>
      <c r="L10159" s="1" t="str">
        <f t="shared" si="628"/>
        <v>ㄨ</v>
      </c>
      <c r="N10159" s="3" t="s">
        <v>30574</v>
      </c>
      <c r="O10159" s="3"/>
      <c r="P10159" s="1" t="s">
        <v>20</v>
      </c>
      <c r="R10159" s="1" t="s">
        <v>20202</v>
      </c>
      <c r="V10159" s="1" t="s">
        <v>20225</v>
      </c>
      <c r="W10159" s="1" t="s">
        <v>20226</v>
      </c>
      <c r="AR10159" s="1" t="str">
        <f t="shared" si="627"/>
        <v>| [ㄔㄨˋ](ㄔㄨˋ.md) | [詘](詘.md) |  | chù | [動]
貶低。同「黜」。《戰國策．韓策三》：「彼公仲者，秦勢能詘之。」 |</v>
      </c>
    </row>
    <row r="10160" spans="1:44" hidden="1">
      <c r="A10160" s="1" t="s">
        <v>20227</v>
      </c>
      <c r="C10160" s="1">
        <v>1</v>
      </c>
      <c r="D10160" s="1" t="str">
        <f>"08568"</f>
        <v>08568</v>
      </c>
      <c r="E10160" s="1" t="s">
        <v>2777</v>
      </c>
      <c r="F10160" s="1">
        <v>17</v>
      </c>
      <c r="G10160" s="1">
        <v>5</v>
      </c>
      <c r="H10160" s="1">
        <v>0</v>
      </c>
      <c r="I10160" s="1" t="s">
        <v>20201</v>
      </c>
      <c r="K10160" s="1" t="str">
        <f t="shared" ref="K10160:K10223" si="629">LEFT(I10160, 1)</f>
        <v>ㄔ</v>
      </c>
      <c r="L10160" s="1" t="str">
        <f t="shared" si="628"/>
        <v>ㄨ</v>
      </c>
      <c r="N10160" s="3" t="s">
        <v>30574</v>
      </c>
      <c r="O10160" s="3"/>
      <c r="P10160" s="1" t="s">
        <v>20</v>
      </c>
      <c r="R10160" s="1" t="s">
        <v>20202</v>
      </c>
      <c r="V10160" s="1" t="s">
        <v>20228</v>
      </c>
      <c r="AR10160" s="1" t="str">
        <f t="shared" si="627"/>
        <v>| [ㄔㄨˋ](ㄔㄨˋ.md) | [黜](黜.md) |  | chù | [動]
1.貶降、革職。如：「罷黜」。《論語．微子》：「柳下惠為士師，三黜。」唐．柳宗元〈封建論〉：「有罪得以黜，有能得以獎。」
2.擯除、排斥。《左傳．昭公二十六年》：「咸黜不端，以綏定王家。」唐．柳宗元〈送元十八山人南遊序〉：「世之學孔氏者則黜老子，學老子者則黜孔氏，道不同，不相為謀。」
3.廢免、廢除。《國語．晉語一》：「公將黜太子申生而立奚齊。」《漢書．卷八八．儒林傳．序》：「天下並爭於戰國，儒術既黜焉，然齊魯之間學者猶弗廢。」 |</v>
      </c>
    </row>
    <row r="10161" spans="1:44" hidden="1">
      <c r="A10161" s="1" t="s">
        <v>20229</v>
      </c>
      <c r="C10161" s="1">
        <v>1</v>
      </c>
      <c r="D10161" s="1" t="str">
        <f>"08569"</f>
        <v>08569</v>
      </c>
      <c r="E10161" s="1" t="s">
        <v>709</v>
      </c>
      <c r="F10161" s="1">
        <v>14</v>
      </c>
      <c r="G10161" s="1">
        <v>6</v>
      </c>
      <c r="H10161" s="1">
        <v>0</v>
      </c>
      <c r="I10161" s="1" t="s">
        <v>20201</v>
      </c>
      <c r="K10161" s="1" t="str">
        <f t="shared" si="629"/>
        <v>ㄔ</v>
      </c>
      <c r="L10161" s="1" t="str">
        <f t="shared" si="628"/>
        <v>ㄨ</v>
      </c>
      <c r="N10161" s="3" t="s">
        <v>30574</v>
      </c>
      <c r="O10161" s="3"/>
      <c r="P10161" s="1" t="s">
        <v>20</v>
      </c>
      <c r="R10161" s="1" t="s">
        <v>20202</v>
      </c>
      <c r="V10161" s="1" t="s">
        <v>20230</v>
      </c>
      <c r="AR10161" s="1" t="str">
        <f t="shared" si="627"/>
        <v>| [ㄔㄨˋ](ㄔㄨˋ.md) | [閦](閦.md) |  | chù | [形]_x000D_
眾多。《玉篇．門部》：「閦，眾也。」《佛本行集經》卷三七：「爾時，恒河此彼兩岸，有於八萬四千眾類，閦然集聚，皆共欲聽那羅陀仙及二龍王解說偈時。」_x000D_
[名]_x000D_
參見「阿閦」條。 |</v>
      </c>
    </row>
    <row r="10162" spans="1:44" hidden="1">
      <c r="A10162" s="1" t="s">
        <v>20231</v>
      </c>
      <c r="C10162" s="1">
        <v>1</v>
      </c>
      <c r="D10162" s="1" t="str">
        <f>"08570"</f>
        <v>08570</v>
      </c>
      <c r="E10162" s="1" t="s">
        <v>24</v>
      </c>
      <c r="F10162" s="1">
        <v>16</v>
      </c>
      <c r="G10162" s="1">
        <v>13</v>
      </c>
      <c r="H10162" s="1">
        <v>0</v>
      </c>
      <c r="I10162" s="1" t="s">
        <v>20201</v>
      </c>
      <c r="K10162" s="1" t="str">
        <f t="shared" si="629"/>
        <v>ㄔ</v>
      </c>
      <c r="L10162" s="1" t="str">
        <f t="shared" si="628"/>
        <v>ㄨ</v>
      </c>
      <c r="N10162" s="3" t="s">
        <v>30574</v>
      </c>
      <c r="O10162" s="3"/>
      <c r="P10162" s="1" t="s">
        <v>20</v>
      </c>
      <c r="R10162" s="1" t="s">
        <v>20202</v>
      </c>
      <c r="V10162" s="1" t="s">
        <v>20232</v>
      </c>
      <c r="AR10162" s="1" t="str">
        <f t="shared" si="627"/>
        <v>| [ㄔㄨˋ](ㄔㄨˋ.md) | [擉](擉.md) |  | chù | [動]
刺。《莊子．則陽》：「冬則擉鱉於江，夏則休乎山樊。」唐．韓愈〈祭鱷魚文〉：「罔繩擉刃，以除蟲蛇惡物。」 |</v>
      </c>
    </row>
    <row r="10163" spans="1:44" hidden="1">
      <c r="A10163" s="1" t="s">
        <v>20233</v>
      </c>
      <c r="C10163" s="1">
        <v>1</v>
      </c>
      <c r="D10163" s="1" t="str">
        <f>"08571"</f>
        <v>08571</v>
      </c>
      <c r="E10163" s="1" t="s">
        <v>1908</v>
      </c>
      <c r="F10163" s="1">
        <v>17</v>
      </c>
      <c r="G10163" s="1">
        <v>13</v>
      </c>
      <c r="H10163" s="1">
        <v>0</v>
      </c>
      <c r="I10163" s="1" t="s">
        <v>20201</v>
      </c>
      <c r="K10163" s="1" t="str">
        <f t="shared" si="629"/>
        <v>ㄔ</v>
      </c>
      <c r="L10163" s="1" t="str">
        <f t="shared" si="628"/>
        <v>ㄨ</v>
      </c>
      <c r="N10163" s="3" t="s">
        <v>30574</v>
      </c>
      <c r="O10163" s="3"/>
      <c r="P10163" s="1" t="s">
        <v>20</v>
      </c>
      <c r="R10163" s="1" t="s">
        <v>20202</v>
      </c>
      <c r="V10163" s="1" t="s">
        <v>20234</v>
      </c>
      <c r="AR10163" s="1" t="str">
        <f t="shared" si="627"/>
        <v>| [ㄔㄨˋ](ㄔㄨˋ.md) | [歜](歜.md) |  | chù | [形]
盛怒。《說文解字．欠部》：「歜，盛气怒也。」宋．吳潛〈賀新郎．雲鬢難重綠〉詞：「虛舟飄瓦何煩歜，奈羊腸，千歧萬折，近來純熟。」
[名]
人名用字。如春秋時有甘歜、邴歜。 |</v>
      </c>
    </row>
    <row r="10164" spans="1:44" hidden="1">
      <c r="A10164" s="1" t="s">
        <v>20235</v>
      </c>
      <c r="C10164" s="1">
        <v>1</v>
      </c>
      <c r="D10164" s="1" t="str">
        <f>"08572"</f>
        <v>08572</v>
      </c>
      <c r="E10164" s="1" t="s">
        <v>4517</v>
      </c>
      <c r="F10164" s="1">
        <v>17</v>
      </c>
      <c r="G10164" s="1">
        <v>13</v>
      </c>
      <c r="H10164" s="1">
        <v>0</v>
      </c>
      <c r="I10164" s="1" t="s">
        <v>20201</v>
      </c>
      <c r="K10164" s="1" t="str">
        <f t="shared" si="629"/>
        <v>ㄔ</v>
      </c>
      <c r="L10164" s="1" t="str">
        <f t="shared" si="628"/>
        <v>ㄨ</v>
      </c>
      <c r="N10164" s="3" t="s">
        <v>30574</v>
      </c>
      <c r="O10164" s="3"/>
      <c r="P10164" s="1" t="s">
        <v>20</v>
      </c>
      <c r="R10164" s="1" t="s">
        <v>20202</v>
      </c>
      <c r="V10164" s="1" t="s">
        <v>20236</v>
      </c>
      <c r="AR10164" s="1" t="str">
        <f t="shared" si="627"/>
        <v>| [ㄔㄨˋ](ㄔㄨˋ.md) | [斶](斶.md) |  | chù | [名]
人名用字。如戰國時齊國有顏斶。 |</v>
      </c>
    </row>
    <row r="10165" spans="1:44" hidden="1">
      <c r="A10165" s="1" t="s">
        <v>20237</v>
      </c>
      <c r="C10165" s="1">
        <v>1</v>
      </c>
      <c r="D10165" s="1" t="str">
        <f>"08573"</f>
        <v>08573</v>
      </c>
      <c r="E10165" s="1" t="s">
        <v>68</v>
      </c>
      <c r="F10165" s="1">
        <v>17</v>
      </c>
      <c r="G10165" s="1">
        <v>13</v>
      </c>
      <c r="H10165" s="1">
        <v>0</v>
      </c>
      <c r="I10165" s="1" t="s">
        <v>20201</v>
      </c>
      <c r="K10165" s="1" t="str">
        <f t="shared" si="629"/>
        <v>ㄔ</v>
      </c>
      <c r="L10165" s="1" t="str">
        <f t="shared" si="628"/>
        <v>ㄨ</v>
      </c>
      <c r="N10165" s="3" t="s">
        <v>30574</v>
      </c>
      <c r="O10165" s="3"/>
      <c r="P10165" s="1" t="s">
        <v>20</v>
      </c>
      <c r="R10165" s="1" t="s">
        <v>20202</v>
      </c>
      <c r="V10165" s="1" t="s">
        <v>20238</v>
      </c>
      <c r="AR10165" s="1" t="str">
        <f t="shared" si="627"/>
        <v>| [ㄔㄨˋ](ㄔㄨˋ.md) | [臅](臅.md) |  | chù | [名]
胸腔中的脂油。《玉篇．肉部》：「臅，臆中膏。」《禮記．內則》：「小切狼臅膏，以與稻米為酏。」 |</v>
      </c>
    </row>
    <row r="10166" spans="1:44" hidden="1">
      <c r="A10166" s="1" t="s">
        <v>20239</v>
      </c>
      <c r="C10166" s="1">
        <v>1</v>
      </c>
      <c r="D10166" s="1" t="str">
        <f>"08574"</f>
        <v>08574</v>
      </c>
      <c r="E10166" s="1" t="s">
        <v>1117</v>
      </c>
      <c r="F10166" s="1">
        <v>20</v>
      </c>
      <c r="G10166" s="1">
        <v>13</v>
      </c>
      <c r="H10166" s="1">
        <v>0</v>
      </c>
      <c r="I10166" s="1" t="s">
        <v>20201</v>
      </c>
      <c r="K10166" s="1" t="str">
        <f t="shared" si="629"/>
        <v>ㄔ</v>
      </c>
      <c r="L10166" s="1" t="str">
        <f t="shared" si="628"/>
        <v>ㄨ</v>
      </c>
      <c r="N10166" s="3" t="s">
        <v>30574</v>
      </c>
      <c r="O10166" s="3"/>
      <c r="P10166" s="1" t="s">
        <v>20</v>
      </c>
      <c r="R10166" s="1" t="s">
        <v>20202</v>
      </c>
      <c r="V10166" s="1" t="s">
        <v>20240</v>
      </c>
      <c r="AR10166" s="1" t="str">
        <f t="shared" si="627"/>
        <v>| [ㄔㄨˋ](ㄔㄨˋ.md) | [觸](觸.md) |  | chù | [動]
1.獸類用犄角抵物。《易經．大壯卦．九三》：「羝羊觸藩，羸其角。」清．紀昀《閱微草堂筆記．卷九．如是我聞三》：「奴子劉琪，畜一牛一犬，牛見犬輒觸，犬見牛輒噬。」
2.碰撞、遇到。如：「接觸」、「觸電」、「一觸即發」、「觸景生情」。《左傳．宣公二年》：「觸槐而死。」
3.冒犯、干犯。如：「觸犯長上」。《清平山堂話本．快嘴李翠蓮記》：「婆婆耐不過，從頭將打先生、罵媒人、觸夫主、毀公婆，一一苦訴一遍。」
4.感動、引發。如：「感觸」。宋．林正大〈滿江紅．寂寞江城〉詞：「怕明朝，酒醒落紛紛，那忍觸。」《鏡花緣》第四回：「武后聽罷，心中忽然動了一動，倒像觸起從前一件事來。」
[名]
姓。如戰國時趙國有觸讋。 |</v>
      </c>
    </row>
    <row r="10167" spans="1:44" hidden="1">
      <c r="A10167" s="1" t="s">
        <v>20241</v>
      </c>
      <c r="C10167" s="1">
        <v>1</v>
      </c>
      <c r="D10167" s="1" t="str">
        <f>"08575"</f>
        <v>08575</v>
      </c>
      <c r="E10167" s="1" t="s">
        <v>1015</v>
      </c>
      <c r="F10167" s="1">
        <v>24</v>
      </c>
      <c r="G10167" s="1">
        <v>19</v>
      </c>
      <c r="H10167" s="1">
        <v>0</v>
      </c>
      <c r="I10167" s="1" t="s">
        <v>20201</v>
      </c>
      <c r="K10167" s="1" t="str">
        <f t="shared" si="629"/>
        <v>ㄔ</v>
      </c>
      <c r="L10167" s="1" t="str">
        <f t="shared" si="628"/>
        <v>ㄨ</v>
      </c>
      <c r="N10167" s="3" t="s">
        <v>30574</v>
      </c>
      <c r="O10167" s="3"/>
      <c r="P10167" s="1" t="s">
        <v>20</v>
      </c>
      <c r="R10167" s="1" t="s">
        <v>20202</v>
      </c>
      <c r="V10167" s="1" t="s">
        <v>20242</v>
      </c>
      <c r="AR10167" s="1" t="str">
        <f t="shared" si="627"/>
        <v>| [ㄔㄨˋ](ㄔㄨˋ.md) | [矗](矗.md) |  | chù | [形]
1.草木茂盛。《集韻．入聲．屋韻》：「矗，艸木盛也。」
2.直立高聳的樣子。《文選．司馬相如．上林賦》：「於是乎崇山矗矗，巃嵷崔巍。」唐．杜牧〈阿房宮賦〉：「蜂房水渦，矗不知乎幾千萬落。」
[動]
向上高聳直立。唐．舒元輿〈唐鄂州永興縣重巖寺碑銘〉：「釋宮斯闡，上矗星斗。」 |</v>
      </c>
    </row>
    <row r="10168" spans="1:44" hidden="1">
      <c r="A10168" s="1" t="s">
        <v>20146</v>
      </c>
      <c r="C10168" s="1">
        <v>1</v>
      </c>
      <c r="D10168" s="1" t="str">
        <f>"08530"</f>
        <v>08530</v>
      </c>
      <c r="E10168" s="1" t="s">
        <v>37</v>
      </c>
      <c r="F10168" s="1">
        <v>10</v>
      </c>
      <c r="G10168" s="1">
        <v>4</v>
      </c>
      <c r="H10168" s="1">
        <v>0</v>
      </c>
      <c r="I10168" s="1" t="s">
        <v>20147</v>
      </c>
      <c r="K10168" s="1" t="str">
        <f t="shared" si="629"/>
        <v>ㄔ</v>
      </c>
      <c r="L10168" s="1" t="str">
        <f t="shared" si="628"/>
        <v>ㄨ</v>
      </c>
      <c r="N10168" s="3" t="s">
        <v>30575</v>
      </c>
      <c r="O10168" s="3"/>
      <c r="P10168" s="1" t="s">
        <v>20</v>
      </c>
      <c r="R10168" s="1" t="s">
        <v>20148</v>
      </c>
      <c r="V10168" s="1" t="s">
        <v>20149</v>
      </c>
      <c r="AR10168" s="1" t="str">
        <f t="shared" si="627"/>
        <v>| [ㄔㄨˊ](ㄔㄨˊ.md) | [芻](芻.md) |  | chú | [動]_x000D_
1.割草。《說文解字．艸部》：「芻，刈艸也。」《左傳．昭公六年》：「禁芻牧採樵，不入田，不樵樹，不采蓺。」_x000D_
2.飼養。《周禮．地官司徒．牛人》：「凡祭祀，共其享牛，求牛，以授職人而芻之。」_x000D_
[名]_x000D_
1.餵養牲畜的草料。《國語．周語中》：「廩人獻餼，司馬陳芻。」_x000D_
2.吃草的牲口。《淮南子．時則》：「乃命宰祝行犧牲，案芻豢。」漢．高誘．注：「草養曰芻，穀養曰豢。」_x000D_
3.禾莖、禾桿。《禮記．祭統》：「及迎牲，君執紖，卿大夫從，士執芻。」漢．鄭玄．注：「芻謂稿也，殺牲時用薦之。」 |</v>
      </c>
    </row>
    <row r="10169" spans="1:44" hidden="1">
      <c r="A10169" s="1" t="s">
        <v>20150</v>
      </c>
      <c r="C10169" s="1">
        <v>1</v>
      </c>
      <c r="D10169" s="1" t="str">
        <f>"08531"</f>
        <v>08531</v>
      </c>
      <c r="E10169" s="1" t="s">
        <v>5383</v>
      </c>
      <c r="F10169" s="1">
        <v>18</v>
      </c>
      <c r="G10169" s="1">
        <v>10</v>
      </c>
      <c r="H10169" s="1">
        <v>0</v>
      </c>
      <c r="I10169" s="1" t="s">
        <v>20147</v>
      </c>
      <c r="K10169" s="1" t="str">
        <f t="shared" si="629"/>
        <v>ㄔ</v>
      </c>
      <c r="L10169" s="1" t="str">
        <f t="shared" si="628"/>
        <v>ㄨ</v>
      </c>
      <c r="N10169" s="3" t="s">
        <v>30575</v>
      </c>
      <c r="O10169" s="3"/>
      <c r="P10169" s="1" t="s">
        <v>20</v>
      </c>
      <c r="R10169" s="1" t="s">
        <v>20148</v>
      </c>
      <c r="V10169" s="1" t="s">
        <v>20151</v>
      </c>
      <c r="AR10169" s="1" t="str">
        <f t="shared" si="627"/>
        <v>| [ㄔㄨˊ](ㄔㄨˊ.md) | [雛](雛.md) |  | chú | [名]
1.小雞。《說文解字．隹部》：「雛，雞子。」《禮記．月令》：「天子乃以雛嘗黍。」
2.泛稱幼禽。唐．白居易〈晚燕〉詩：「百鳥乳雛畢，秋燕獨蹉跎。」
3.幼小的兒女。唐．杜甫〈徐卿二子歌〉：「丈夫生兒有如此二雛者，名位豈肯卑微休！」
[形]
幼小的。如：「雛燕」、「雛菊」、「雛妓」。 |</v>
      </c>
    </row>
    <row r="10170" spans="1:44" hidden="1">
      <c r="A10170" s="1" t="s">
        <v>20152</v>
      </c>
      <c r="C10170" s="1">
        <v>1</v>
      </c>
      <c r="D10170" s="1" t="str">
        <f>"08532"</f>
        <v>08532</v>
      </c>
      <c r="E10170" s="1" t="s">
        <v>691</v>
      </c>
      <c r="F10170" s="1">
        <v>10</v>
      </c>
      <c r="G10170" s="1">
        <v>7</v>
      </c>
      <c r="H10170" s="1">
        <v>0</v>
      </c>
      <c r="I10170" s="1" t="s">
        <v>20147</v>
      </c>
      <c r="K10170" s="1" t="str">
        <f t="shared" si="629"/>
        <v>ㄔ</v>
      </c>
      <c r="L10170" s="1" t="str">
        <f t="shared" si="628"/>
        <v>ㄨ</v>
      </c>
      <c r="N10170" s="3" t="s">
        <v>30575</v>
      </c>
      <c r="O10170" s="3"/>
      <c r="P10170" s="1" t="s">
        <v>20</v>
      </c>
      <c r="R10170" s="1" t="s">
        <v>20148</v>
      </c>
      <c r="V10170" s="1" t="s">
        <v>20153</v>
      </c>
      <c r="AR10170" s="1" t="str">
        <f t="shared" si="627"/>
        <v>| [ㄔㄨˊ](ㄔㄨˊ.md) | [除](除.md) |  | chú | [動]
1.去掉。如：「剷除」、「掃除」、「為民除害」、「排除萬難」。
2.免掉舊官職，任命新官職。《文選．李密．陳情表》：「尋蒙國恩，除臣洗馬。」《三國演義》第一回：「年二十，舉孝廉，為郎，除洛陽北都尉。」
3.更易、更換。如：「除歲」、「爆竹一聲除舊歲」。
4.整治、修治。《漢書．卷六五．東方朔傳》：「舉籍阿城以南，盩厔以東，宜春以西，提封頃畝，及其賈直，欲除以為上林苑，屬之南山。」
5.用一數把另一數分成若干等分。如：「六除以二等於三。」
[名]
1.臺階。《漢書．卷九九．王莽傳下》：「群臣扶掖莽，自前殿南下椒除。」唐．杜甫〈南鄰〉詩：「慣看賓客兒童喜，得食階除鳥雀馴。」
2.數學上的運算方法之一。即除法。如：「加減乘除四則運算方法。」
[連]
表示不計算在內。如：「除非」、「除了教書外，晚上他還在大學進修。」 |</v>
      </c>
    </row>
    <row r="10171" spans="1:44" hidden="1">
      <c r="A10171" s="1" t="s">
        <v>20154</v>
      </c>
      <c r="C10171" s="1">
        <v>1</v>
      </c>
      <c r="D10171" s="1" t="str">
        <f>"08533"</f>
        <v>08533</v>
      </c>
      <c r="E10171" s="1" t="s">
        <v>129</v>
      </c>
      <c r="F10171" s="1">
        <v>13</v>
      </c>
      <c r="G10171" s="1">
        <v>10</v>
      </c>
      <c r="H10171" s="1">
        <v>0</v>
      </c>
      <c r="I10171" s="1" t="s">
        <v>20147</v>
      </c>
      <c r="K10171" s="1" t="str">
        <f t="shared" si="629"/>
        <v>ㄔ</v>
      </c>
      <c r="L10171" s="1" t="str">
        <f t="shared" si="628"/>
        <v>ㄨ</v>
      </c>
      <c r="N10171" s="3" t="s">
        <v>30575</v>
      </c>
      <c r="O10171" s="3"/>
      <c r="P10171" s="1" t="s">
        <v>20</v>
      </c>
      <c r="R10171" s="1" t="s">
        <v>20148</v>
      </c>
      <c r="V10171" s="1" t="s">
        <v>20155</v>
      </c>
      <c r="AR10171" s="1" t="str">
        <f t="shared" si="627"/>
        <v>| [ㄔㄨˊ](ㄔㄨˊ.md) | [滁](滁.md) |  | chú | 參見「滁河」、「滁縣」等條。 |</v>
      </c>
    </row>
    <row r="10172" spans="1:44" hidden="1">
      <c r="A10172" s="1" t="s">
        <v>20156</v>
      </c>
      <c r="C10172" s="1">
        <v>1</v>
      </c>
      <c r="D10172" s="1" t="str">
        <f>"08534"</f>
        <v>08534</v>
      </c>
      <c r="E10172" s="1" t="s">
        <v>679</v>
      </c>
      <c r="F10172" s="1">
        <v>13</v>
      </c>
      <c r="G10172" s="1">
        <v>7</v>
      </c>
      <c r="H10172" s="1">
        <v>1</v>
      </c>
      <c r="I10172" s="1" t="s">
        <v>20147</v>
      </c>
      <c r="K10172" s="1" t="str">
        <f t="shared" si="629"/>
        <v>ㄔ</v>
      </c>
      <c r="L10172" s="1" t="str">
        <f t="shared" si="628"/>
        <v>ㄨ</v>
      </c>
      <c r="N10172" s="3" t="s">
        <v>30575</v>
      </c>
      <c r="O10172" s="3"/>
      <c r="P10172" s="1" t="s">
        <v>20</v>
      </c>
      <c r="R10172" s="1" t="s">
        <v>20148</v>
      </c>
      <c r="V10172" s="1" t="s">
        <v>20157</v>
      </c>
      <c r="W10172" s="1" t="s">
        <v>20158</v>
      </c>
      <c r="AR10172" s="1" t="str">
        <f t="shared" si="627"/>
        <v>| [ㄔㄨˊ](ㄔㄨˊ.md) | [蜍](蜍.md) |  | chú | 參見「蟾蜍」條。 |</v>
      </c>
    </row>
    <row r="10173" spans="1:44" hidden="1">
      <c r="A10173" s="1" t="s">
        <v>20159</v>
      </c>
      <c r="C10173" s="1">
        <v>1</v>
      </c>
      <c r="D10173" s="1" t="str">
        <f>"08535"</f>
        <v>08535</v>
      </c>
      <c r="E10173" s="1" t="s">
        <v>37</v>
      </c>
      <c r="F10173" s="1">
        <v>14</v>
      </c>
      <c r="G10173" s="1">
        <v>10</v>
      </c>
      <c r="H10173" s="1">
        <v>0</v>
      </c>
      <c r="I10173" s="1" t="s">
        <v>20147</v>
      </c>
      <c r="K10173" s="1" t="str">
        <f t="shared" si="629"/>
        <v>ㄔ</v>
      </c>
      <c r="L10173" s="1" t="str">
        <f t="shared" si="628"/>
        <v>ㄨ</v>
      </c>
      <c r="N10173" s="3" t="s">
        <v>30575</v>
      </c>
      <c r="O10173" s="3"/>
      <c r="P10173" s="1" t="s">
        <v>20</v>
      </c>
      <c r="R10173" s="1" t="s">
        <v>20148</v>
      </c>
      <c r="V10173" s="1" t="s">
        <v>20160</v>
      </c>
      <c r="AR10173" s="1" t="str">
        <f t="shared" si="627"/>
        <v>| [ㄔㄨˊ](ㄔㄨˊ.md) | [蒢](蒢.md) |  | chú | 參見「黃蒢」條。 |</v>
      </c>
    </row>
    <row r="10174" spans="1:44" hidden="1">
      <c r="A10174" s="1" t="s">
        <v>20161</v>
      </c>
      <c r="C10174" s="1">
        <v>1</v>
      </c>
      <c r="D10174" s="1" t="str">
        <f>"08536"</f>
        <v>08536</v>
      </c>
      <c r="E10174" s="1" t="s">
        <v>49</v>
      </c>
      <c r="F10174" s="1">
        <v>16</v>
      </c>
      <c r="G10174" s="1">
        <v>10</v>
      </c>
      <c r="H10174" s="1">
        <v>0</v>
      </c>
      <c r="I10174" s="1" t="s">
        <v>20147</v>
      </c>
      <c r="K10174" s="1" t="str">
        <f t="shared" si="629"/>
        <v>ㄔ</v>
      </c>
      <c r="L10174" s="1" t="str">
        <f t="shared" si="628"/>
        <v>ㄨ</v>
      </c>
      <c r="N10174" s="3" t="s">
        <v>30575</v>
      </c>
      <c r="O10174" s="3"/>
      <c r="P10174" s="1" t="s">
        <v>20</v>
      </c>
      <c r="R10174" s="1" t="s">
        <v>20148</v>
      </c>
      <c r="V10174" s="1" t="s">
        <v>15843</v>
      </c>
      <c r="AR10174" s="1" t="str">
        <f t="shared" si="627"/>
        <v>| [ㄔㄨˊ](ㄔㄨˊ.md) | [篨](篨.md) |  | chú | 參見「籧篨」條。 |</v>
      </c>
    </row>
    <row r="10175" spans="1:44" hidden="1">
      <c r="A10175" s="1" t="s">
        <v>6780</v>
      </c>
      <c r="C10175" s="1">
        <v>1</v>
      </c>
      <c r="D10175" s="1" t="str">
        <f>"08537"</f>
        <v>08537</v>
      </c>
      <c r="E10175" s="1" t="s">
        <v>871</v>
      </c>
      <c r="F10175" s="1">
        <v>11</v>
      </c>
      <c r="G10175" s="1">
        <v>8</v>
      </c>
      <c r="H10175" s="1">
        <v>2</v>
      </c>
      <c r="I10175" s="1" t="s">
        <v>20147</v>
      </c>
      <c r="K10175" s="1" t="str">
        <f t="shared" si="629"/>
        <v>ㄔ</v>
      </c>
      <c r="L10175" s="1" t="str">
        <f t="shared" si="628"/>
        <v>ㄨ</v>
      </c>
      <c r="N10175" s="3" t="s">
        <v>30575</v>
      </c>
      <c r="O10175" s="3"/>
      <c r="P10175" s="1" t="s">
        <v>20</v>
      </c>
      <c r="R10175" s="1" t="s">
        <v>20148</v>
      </c>
      <c r="V10175" s="1" t="s">
        <v>16748</v>
      </c>
      <c r="W10175" s="1" t="s">
        <v>20162</v>
      </c>
      <c r="AR10175" s="1" t="str">
        <f t="shared" si="627"/>
        <v>| [ㄔㄨˊ](ㄔㄨˊ.md) | [屠](屠.md) |  | chú | 參見「休屠」條。 |</v>
      </c>
    </row>
    <row r="10176" spans="1:44" hidden="1">
      <c r="A10176" s="1" t="s">
        <v>20163</v>
      </c>
      <c r="C10176" s="1">
        <v>1</v>
      </c>
      <c r="D10176" s="1" t="str">
        <f>"08538"</f>
        <v>08538</v>
      </c>
      <c r="E10176" s="1" t="s">
        <v>114</v>
      </c>
      <c r="F10176" s="1">
        <v>17</v>
      </c>
      <c r="G10176" s="1">
        <v>15</v>
      </c>
      <c r="H10176" s="1">
        <v>1</v>
      </c>
      <c r="I10176" s="1" t="s">
        <v>20147</v>
      </c>
      <c r="K10176" s="1" t="str">
        <f t="shared" si="629"/>
        <v>ㄔ</v>
      </c>
      <c r="L10176" s="1" t="str">
        <f t="shared" si="628"/>
        <v>ㄨ</v>
      </c>
      <c r="N10176" s="3" t="s">
        <v>30575</v>
      </c>
      <c r="O10176" s="3"/>
      <c r="P10176" s="1" t="s">
        <v>20</v>
      </c>
      <c r="R10176" s="1" t="s">
        <v>20148</v>
      </c>
      <c r="V10176" s="1" t="s">
        <v>20164</v>
      </c>
      <c r="W10176" s="1" t="s">
        <v>20165</v>
      </c>
      <c r="AR10176" s="1" t="str">
        <f t="shared" si="627"/>
        <v>| [ㄔㄨˊ](ㄔㄨˊ.md) | [儲](儲.md) |  | chú | [動]
1.蓄積、聚集。如：「儲蓄」、「儲存」。《漢書．卷七七．何並傳》：「儲兵馬以待之。」
2.等待。《文選．張衡．東京賦》：「并夾既設，儲乎廣庭。」唐．李善．注：「儲，待也。」
[名]
1.積存的物資。如：「倉儲」。《淮南子．主術》：「十八年而有六年之積，二十七年而有九年之儲。」唐．杜甫〈諸將〉詩五首之三：「朝廷袞職雖多預，天下軍儲不自供。」
2.太子、將要繼承王位的人。如：「立儲」、「皇儲」。《資治通鑑．卷二七六．唐紀五．明宗天成三年》：「今卜嗣建儲，臣未敢輕議。」
3.姓。如漢代有儲太伯。 |</v>
      </c>
    </row>
    <row r="10177" spans="1:44" hidden="1">
      <c r="A10177" s="1" t="s">
        <v>20166</v>
      </c>
      <c r="C10177" s="1">
        <v>1</v>
      </c>
      <c r="D10177" s="1" t="str">
        <f>"08539"</f>
        <v>08539</v>
      </c>
      <c r="E10177" s="1" t="s">
        <v>37</v>
      </c>
      <c r="F10177" s="1">
        <v>19</v>
      </c>
      <c r="G10177" s="1">
        <v>15</v>
      </c>
      <c r="H10177" s="1">
        <v>0</v>
      </c>
      <c r="I10177" s="1" t="s">
        <v>20147</v>
      </c>
      <c r="K10177" s="1" t="str">
        <f t="shared" si="629"/>
        <v>ㄔ</v>
      </c>
      <c r="L10177" s="1" t="str">
        <f t="shared" si="628"/>
        <v>ㄨ</v>
      </c>
      <c r="N10177" s="3" t="s">
        <v>30575</v>
      </c>
      <c r="O10177" s="3"/>
      <c r="P10177" s="1" t="s">
        <v>20</v>
      </c>
      <c r="R10177" s="1" t="s">
        <v>20148</v>
      </c>
      <c r="V10177" s="1" t="s">
        <v>19366</v>
      </c>
      <c r="AR10177" s="1" t="str">
        <f t="shared" si="627"/>
        <v>| [ㄔㄨˊ](ㄔㄨˊ.md) | [藸](藸.md) |  | chú | 參見「荎藸」條。 |</v>
      </c>
    </row>
    <row r="10178" spans="1:44" hidden="1">
      <c r="A10178" s="1" t="s">
        <v>20167</v>
      </c>
      <c r="C10178" s="1">
        <v>1</v>
      </c>
      <c r="D10178" s="1" t="str">
        <f>"08540"</f>
        <v>08540</v>
      </c>
      <c r="E10178" s="1" t="s">
        <v>77</v>
      </c>
      <c r="F10178" s="1">
        <v>19</v>
      </c>
      <c r="G10178" s="1">
        <v>12</v>
      </c>
      <c r="H10178" s="1">
        <v>0</v>
      </c>
      <c r="I10178" s="1" t="s">
        <v>20147</v>
      </c>
      <c r="K10178" s="1" t="str">
        <f t="shared" si="629"/>
        <v>ㄔ</v>
      </c>
      <c r="L10178" s="1" t="str">
        <f t="shared" si="628"/>
        <v>ㄨ</v>
      </c>
      <c r="N10178" s="3" t="s">
        <v>30575</v>
      </c>
      <c r="O10178" s="3"/>
      <c r="P10178" s="1" t="s">
        <v>20</v>
      </c>
      <c r="R10178" s="1" t="s">
        <v>20148</v>
      </c>
      <c r="V10178" s="1" t="s">
        <v>20168</v>
      </c>
      <c r="AR10178" s="1" t="str">
        <f t="shared" si="627"/>
        <v>| [ㄔㄨˊ](ㄔㄨˊ.md) | [躇](躇.md) |  | chú | 參見「躊躇」條。 |</v>
      </c>
    </row>
    <row r="10179" spans="1:44" hidden="1">
      <c r="A10179" s="1" t="s">
        <v>20169</v>
      </c>
      <c r="C10179" s="1">
        <v>1</v>
      </c>
      <c r="D10179" s="1" t="str">
        <f>"08541"</f>
        <v>08541</v>
      </c>
      <c r="E10179" s="1" t="s">
        <v>109</v>
      </c>
      <c r="F10179" s="1">
        <v>13</v>
      </c>
      <c r="G10179" s="1">
        <v>7</v>
      </c>
      <c r="H10179" s="1">
        <v>0</v>
      </c>
      <c r="I10179" s="1" t="s">
        <v>20147</v>
      </c>
      <c r="K10179" s="1" t="str">
        <f t="shared" si="629"/>
        <v>ㄔ</v>
      </c>
      <c r="L10179" s="1" t="str">
        <f t="shared" si="628"/>
        <v>ㄨ</v>
      </c>
      <c r="N10179" s="3" t="s">
        <v>30575</v>
      </c>
      <c r="O10179" s="3"/>
      <c r="P10179" s="1" t="s">
        <v>20</v>
      </c>
      <c r="R10179" s="1" t="s">
        <v>20148</v>
      </c>
      <c r="V10179" s="1" t="s">
        <v>20170</v>
      </c>
      <c r="AR10179" s="1" t="str">
        <f t="shared" ref="AR10179:AR10242" si="630">"| ["&amp;I10179&amp;"]("&amp;I10179&amp;".md) | ["&amp;A10179&amp;"]("&amp;A10179&amp;".md) | "&amp;" | "&amp;R10179&amp;" | "&amp;V10179&amp;" |"</f>
        <v>| [ㄔㄨˊ](ㄔㄨˊ.md) | [耡](耡.md) |  | chú | [名]
1.古代的一種稅法。《說文解字．耒部》：「耡，商人七十而耡。耡，耤，稅也。」《周禮．地官．旅師》：「掌聚野之耡粟。」漢．鄭玄．注：「耡粟，民相助作，一井之中，所出九夫之稅粟也。」
2.除草翻土的農具。明．張自烈《正字通．耒部》：「耡，耕耡。」明．陳憲章〈冬夜〉詩：「學業坐妨奪，田蕪廢耡耰。」
3.古代里宰的辦事處。《周禮．地官．里宰》：「以歲時合耦于耡。」漢．鄭玄．注：「耡者，里宰治處也，若今街彈之室。」
[動]
1.輔佐、幫助。《周禮．地官．遂人》：「教甿稼穡以興耡，利甿以時器。」唐．賈公彥．疏：「耡，助也，興起其民以相佐助。」
2.通「鋤」。如：「耕前耡後」。 |</v>
      </c>
    </row>
    <row r="10180" spans="1:44" hidden="1">
      <c r="A10180" s="1" t="s">
        <v>20171</v>
      </c>
      <c r="C10180" s="1">
        <v>1</v>
      </c>
      <c r="D10180" s="1" t="str">
        <f>"08542"</f>
        <v>08542</v>
      </c>
      <c r="E10180" s="1" t="s">
        <v>55</v>
      </c>
      <c r="F10180" s="1">
        <v>13</v>
      </c>
      <c r="G10180" s="1">
        <v>5</v>
      </c>
      <c r="H10180" s="1">
        <v>0</v>
      </c>
      <c r="I10180" s="1" t="s">
        <v>20147</v>
      </c>
      <c r="K10180" s="1" t="str">
        <f t="shared" si="629"/>
        <v>ㄔ</v>
      </c>
      <c r="L10180" s="1" t="str">
        <f t="shared" si="628"/>
        <v>ㄨ</v>
      </c>
      <c r="N10180" s="3" t="s">
        <v>30575</v>
      </c>
      <c r="O10180" s="3"/>
      <c r="P10180" s="1" t="s">
        <v>20</v>
      </c>
      <c r="R10180" s="1" t="s">
        <v>20148</v>
      </c>
      <c r="V10180" s="1" t="s">
        <v>20172</v>
      </c>
      <c r="AR10180" s="1" t="str">
        <f t="shared" si="630"/>
        <v>| [ㄔㄨˊ](ㄔㄨˊ.md) | [鉏](鉏.md) |  | chú | [名]
翻土、除草的農具。《文選．賈誼．過秦論》：「鉏櫌棘矜，非銛於鉤戟長鎩也。」《後漢書．卷八一．獨行傳．李善傳》：「乃脫朝服，持鉏去草。」
[動]
1.用鋤頭整治田地。唐．戴叔倫〈屯田詞〉：「麥苗漸長天苦晴，土乾确确鉏不得。」
2.誅滅、剷除。《史記．卷一六．秦楚之際月表》：「銷鋒鏑，鉏豪桀。」 |</v>
      </c>
    </row>
    <row r="10181" spans="1:44" hidden="1">
      <c r="A10181" s="1" t="s">
        <v>20173</v>
      </c>
      <c r="C10181" s="1">
        <v>1</v>
      </c>
      <c r="D10181" s="1" t="str">
        <f>"08543"</f>
        <v>08543</v>
      </c>
      <c r="E10181" s="1" t="s">
        <v>55</v>
      </c>
      <c r="F10181" s="1">
        <v>15</v>
      </c>
      <c r="G10181" s="1">
        <v>7</v>
      </c>
      <c r="H10181" s="1">
        <v>0</v>
      </c>
      <c r="I10181" s="1" t="s">
        <v>20147</v>
      </c>
      <c r="K10181" s="1" t="str">
        <f t="shared" si="629"/>
        <v>ㄔ</v>
      </c>
      <c r="L10181" s="1" t="str">
        <f t="shared" si="628"/>
        <v>ㄨ</v>
      </c>
      <c r="N10181" s="3" t="s">
        <v>30575</v>
      </c>
      <c r="O10181" s="3"/>
      <c r="P10181" s="1" t="s">
        <v>20</v>
      </c>
      <c r="R10181" s="1" t="s">
        <v>20148</v>
      </c>
      <c r="V10181" s="1" t="s">
        <v>20174</v>
      </c>
      <c r="AR10181" s="1" t="str">
        <f t="shared" si="630"/>
        <v>| [ㄔㄨˊ](ㄔㄨˊ.md) | [鋤](鋤.md) |  | chú | [名]
鬆土、除草的農具。晉．陶淵明〈歸園田居〉詩五首之三：「晨興理荒穢，帶月荷鋤歸。」唐．王維〈渭川田家〉詩：「田夫荷鋤至，相見語依依。」
[動]
1.用鋤頭鬆土或除草。《楚辭．屈原．卜居》：「寧誅鋤草茅以力耕乎？將游大人以成名乎？」
2.剷除、消滅。如：「剷奸鋤惡」。《漢書．卷一三．異姓諸侯王表》：「內鋤雄俊，外攘胡粵。」《宋史．卷三五八．李綱傳上》：「誅鋤內姦，使君子之道長。」 |</v>
      </c>
    </row>
    <row r="10182" spans="1:44" hidden="1">
      <c r="A10182" s="1" t="s">
        <v>20175</v>
      </c>
      <c r="C10182" s="1">
        <v>1</v>
      </c>
      <c r="D10182" s="1" t="str">
        <f>"08544"</f>
        <v>08544</v>
      </c>
      <c r="E10182" s="1" t="s">
        <v>447</v>
      </c>
      <c r="F10182" s="1">
        <v>15</v>
      </c>
      <c r="G10182" s="1">
        <v>12</v>
      </c>
      <c r="H10182" s="1">
        <v>0</v>
      </c>
      <c r="I10182" s="1" t="s">
        <v>20147</v>
      </c>
      <c r="K10182" s="1" t="str">
        <f t="shared" si="629"/>
        <v>ㄔ</v>
      </c>
      <c r="L10182" s="1" t="str">
        <f t="shared" si="628"/>
        <v>ㄨ</v>
      </c>
      <c r="N10182" s="3" t="s">
        <v>30575</v>
      </c>
      <c r="O10182" s="3"/>
      <c r="P10182" s="1" t="s">
        <v>20</v>
      </c>
      <c r="R10182" s="1" t="s">
        <v>20148</v>
      </c>
      <c r="V10182" s="1" t="s">
        <v>20176</v>
      </c>
      <c r="AR10182" s="1" t="str">
        <f t="shared" si="630"/>
        <v>| [ㄔㄨˊ](ㄔㄨˊ.md) | [廚](廚.md) |  | chú | [名]
1.烹調食物的地方。《孟子．梁惠王上》：「是以君子遠庖廚也。」
2.儲藏東西的櫃子。通「櫥」。如：「衣廚」、「書廚」。唐．皮日休〈秋晚訪李處士所居〉詩：「書閣鼠穿廚簏破，竹園霜後桔槔閒。」
3.櫥形的床帳。通「幮」。唐．司空圖〈王官〉詩二首之二：「盡日無人只高臥，一雙白鳥隔紗廚。」 |</v>
      </c>
    </row>
    <row r="10183" spans="1:44" hidden="1">
      <c r="A10183" s="1" t="s">
        <v>20177</v>
      </c>
      <c r="C10183" s="1">
        <v>1</v>
      </c>
      <c r="D10183" s="1" t="str">
        <f>"08545"</f>
        <v>08545</v>
      </c>
      <c r="E10183" s="1" t="s">
        <v>222</v>
      </c>
      <c r="F10183" s="1">
        <v>18</v>
      </c>
      <c r="G10183" s="1">
        <v>15</v>
      </c>
      <c r="H10183" s="1">
        <v>0</v>
      </c>
      <c r="I10183" s="1" t="s">
        <v>20147</v>
      </c>
      <c r="K10183" s="1" t="str">
        <f t="shared" si="629"/>
        <v>ㄔ</v>
      </c>
      <c r="L10183" s="1" t="str">
        <f t="shared" si="628"/>
        <v>ㄨ</v>
      </c>
      <c r="N10183" s="3" t="s">
        <v>30575</v>
      </c>
      <c r="O10183" s="3"/>
      <c r="P10183" s="1" t="s">
        <v>20</v>
      </c>
      <c r="R10183" s="1" t="s">
        <v>20148</v>
      </c>
      <c r="V10183" s="1" t="s">
        <v>20178</v>
      </c>
      <c r="AR10183" s="1" t="str">
        <f t="shared" si="630"/>
        <v>| [ㄔㄨˊ](ㄔㄨˊ.md) | [幮](幮.md) |  | chú | [名]
形狀似櫥子的床帳。《廣韻．平聲．虞韻》：「幮，帳也，似廚形也。」《董西廂》卷一：「初夏永，薰風池館，有藤床、冰簟、紗幮。」 |</v>
      </c>
    </row>
    <row r="10184" spans="1:44" hidden="1">
      <c r="A10184" s="1" t="s">
        <v>20179</v>
      </c>
      <c r="C10184" s="1">
        <v>1</v>
      </c>
      <c r="D10184" s="1" t="str">
        <f>"08546"</f>
        <v>08546</v>
      </c>
      <c r="E10184" s="1" t="s">
        <v>139</v>
      </c>
      <c r="F10184" s="1">
        <v>19</v>
      </c>
      <c r="G10184" s="1">
        <v>15</v>
      </c>
      <c r="H10184" s="1">
        <v>0</v>
      </c>
      <c r="I10184" s="1" t="s">
        <v>20147</v>
      </c>
      <c r="K10184" s="1" t="str">
        <f t="shared" si="629"/>
        <v>ㄔ</v>
      </c>
      <c r="L10184" s="1" t="str">
        <f t="shared" si="628"/>
        <v>ㄨ</v>
      </c>
      <c r="N10184" s="3" t="s">
        <v>30575</v>
      </c>
      <c r="O10184" s="3"/>
      <c r="P10184" s="1" t="s">
        <v>20</v>
      </c>
      <c r="R10184" s="1" t="s">
        <v>20148</v>
      </c>
      <c r="V10184" s="1" t="s">
        <v>20180</v>
      </c>
      <c r="AR10184" s="1" t="str">
        <f t="shared" si="630"/>
        <v>| [ㄔㄨˊ](ㄔㄨˊ.md) | [櫥](櫥.md) |  | chú | [名]
貯藏東西用的櫃子。如：「碗櫥」、「衣櫥」。也稱為「櫥子」、「櫥兒」。 |</v>
      </c>
    </row>
    <row r="10185" spans="1:44" hidden="1">
      <c r="A10185" s="1" t="s">
        <v>20181</v>
      </c>
      <c r="C10185" s="1">
        <v>1</v>
      </c>
      <c r="D10185" s="1" t="str">
        <f>"08547"</f>
        <v>08547</v>
      </c>
      <c r="E10185" s="1" t="s">
        <v>77</v>
      </c>
      <c r="F10185" s="1">
        <v>22</v>
      </c>
      <c r="G10185" s="1">
        <v>15</v>
      </c>
      <c r="H10185" s="1">
        <v>0</v>
      </c>
      <c r="I10185" s="1" t="s">
        <v>20147</v>
      </c>
      <c r="K10185" s="1" t="str">
        <f t="shared" si="629"/>
        <v>ㄔ</v>
      </c>
      <c r="L10185" s="1" t="str">
        <f t="shared" si="628"/>
        <v>ㄨ</v>
      </c>
      <c r="N10185" s="3" t="s">
        <v>30575</v>
      </c>
      <c r="O10185" s="3"/>
      <c r="P10185" s="1" t="s">
        <v>20</v>
      </c>
      <c r="R10185" s="1" t="s">
        <v>20148</v>
      </c>
      <c r="V10185" s="1" t="s">
        <v>19374</v>
      </c>
      <c r="AR10185" s="1" t="str">
        <f t="shared" si="630"/>
        <v>| [ㄔㄨˊ](ㄔㄨˊ.md) | [躕](躕.md) |  | chú | 參見「踟躕」條。 |</v>
      </c>
    </row>
    <row r="10186" spans="1:44" hidden="1">
      <c r="A10186" s="1" t="s">
        <v>20182</v>
      </c>
      <c r="C10186" s="1">
        <v>1</v>
      </c>
      <c r="D10186" s="1" t="str">
        <f>"08548"</f>
        <v>08548</v>
      </c>
      <c r="E10186" s="1" t="s">
        <v>139</v>
      </c>
      <c r="F10186" s="1">
        <v>8</v>
      </c>
      <c r="G10186" s="1">
        <v>4</v>
      </c>
      <c r="H10186" s="1">
        <v>0</v>
      </c>
      <c r="I10186" s="1" t="s">
        <v>20183</v>
      </c>
      <c r="K10186" s="1" t="str">
        <f t="shared" si="629"/>
        <v>ㄔ</v>
      </c>
      <c r="L10186" s="1" t="str">
        <f t="shared" ref="L10186:L10249" si="631">MID(I10186, 2, 1)</f>
        <v>ㄨ</v>
      </c>
      <c r="N10186" s="3" t="s">
        <v>30576</v>
      </c>
      <c r="O10186" s="3"/>
      <c r="P10186" s="1" t="s">
        <v>20</v>
      </c>
      <c r="R10186" s="1" t="s">
        <v>20184</v>
      </c>
      <c r="V10186" s="1" t="s">
        <v>20185</v>
      </c>
      <c r="AR10186" s="1" t="str">
        <f t="shared" si="630"/>
        <v>| [ㄔㄨˇ](ㄔㄨˇ.md) | [杵](杵.md) |  | chǔ | [名]
1.舂米、擣藥、擣衣或擣實砂土時用的圓木棒。由上細下粗的堅木做成。如：「藥杵」、「杵臼」。《易經．繫辭下》：「斷木為杵，掘地為臼。」唐．儲光羲〈田家雜興〉詩八首之一：「百草被霜露，秋山響砧杵。」
2.兵器名。因形如杵而得名。《書經．武成》：「罔有敵于我師，前徒倒戈，攻于後以北，血流漂杵。」《宋史．卷二七九．呼延贊傳》：「及作破陣刀、降魔杵；鐵折上巾，兩旁有刃，皆重十數斤。」
[動]
1.捅、突刺。如：「拿指頭杵他一下。」
2.呆立不動。如：「你杵在那裡幹嘛？」 |</v>
      </c>
    </row>
    <row r="10187" spans="1:44" hidden="1">
      <c r="A10187" s="1" t="s">
        <v>20186</v>
      </c>
      <c r="C10187" s="1">
        <v>1</v>
      </c>
      <c r="D10187" s="1" t="str">
        <f>"08549"</f>
        <v>08549</v>
      </c>
      <c r="E10187" s="1" t="s">
        <v>660</v>
      </c>
      <c r="F10187" s="1">
        <v>11</v>
      </c>
      <c r="G10187" s="1">
        <v>5</v>
      </c>
      <c r="H10187" s="1">
        <v>2</v>
      </c>
      <c r="I10187" s="1" t="s">
        <v>20183</v>
      </c>
      <c r="K10187" s="1" t="str">
        <f t="shared" si="629"/>
        <v>ㄔ</v>
      </c>
      <c r="L10187" s="1" t="str">
        <f t="shared" si="631"/>
        <v>ㄨ</v>
      </c>
      <c r="N10187" s="3" t="s">
        <v>30576</v>
      </c>
      <c r="O10187" s="3"/>
      <c r="P10187" s="1" t="s">
        <v>20</v>
      </c>
      <c r="R10187" s="1" t="s">
        <v>20184</v>
      </c>
      <c r="V10187" s="1" t="s">
        <v>20187</v>
      </c>
      <c r="W10187" s="1" t="s">
        <v>20188</v>
      </c>
      <c r="AR10187" s="1" t="str">
        <f t="shared" si="630"/>
        <v>| [ㄔㄨˇ](ㄔㄨˇ.md) | [處](處.md) |  | chǔ | [動]
1.居住、止息。《左傳．僖公四年》：「君處北海，寡人處南海。」《墨子．節用中》：「古者人之始生，未有宮室之時，因陵丘掘穴而處焉。」
2.存在、置身於。如：「處於逆境」、「設身處地」、「處變不驚」。
3.交往、對待、共同生活。如：「相處」、「和平共處」。
4.安頓、安排。如：「何以自處」。《國語．魯語下》：「昔聖之處民也，擇瘠土而處之。」
5.裁制、懲罰。如：「處分」、「處罰」、「懲處」。
6.辦理。如：「處理」。《三國志．卷三五．蜀書．諸葛亮傳》：「將軍量力而處之。」
7.決斷。如：「處斷」。《漢書．卷八五．谷永傳》：「臣愚不能處也。」
8.退隱自居。如：「出處進退」。
[形]
在家未出仕或未出嫁的。如：「處士」、「處子」、「處女」。
[名]
姓。如漢代有處興。 |</v>
      </c>
    </row>
    <row r="10188" spans="1:44" hidden="1">
      <c r="A10188" s="1" t="s">
        <v>20189</v>
      </c>
      <c r="C10188" s="1">
        <v>1</v>
      </c>
      <c r="D10188" s="1" t="str">
        <f>"08550"</f>
        <v>08550</v>
      </c>
      <c r="E10188" s="1" t="s">
        <v>139</v>
      </c>
      <c r="F10188" s="1">
        <v>12</v>
      </c>
      <c r="G10188" s="1">
        <v>8</v>
      </c>
      <c r="H10188" s="1">
        <v>0</v>
      </c>
      <c r="I10188" s="1" t="s">
        <v>20183</v>
      </c>
      <c r="K10188" s="1" t="str">
        <f t="shared" si="629"/>
        <v>ㄔ</v>
      </c>
      <c r="L10188" s="1" t="str">
        <f t="shared" si="631"/>
        <v>ㄨ</v>
      </c>
      <c r="N10188" s="3" t="s">
        <v>30576</v>
      </c>
      <c r="O10188" s="3"/>
      <c r="P10188" s="1" t="s">
        <v>20</v>
      </c>
      <c r="R10188" s="1" t="s">
        <v>20184</v>
      </c>
      <c r="V10188" s="1" t="s">
        <v>20190</v>
      </c>
      <c r="AR10188" s="1" t="str">
        <f t="shared" si="630"/>
        <v>| [ㄔㄨˇ](ㄔㄨˇ.md) | [楮](楮.md) |  | chǔ | [名]
1.植物名。桑科楮屬，落葉灌木。葉為卵形或闊卵形，單性花，樹皮可為造紙的原料。
2.紙。如：「縑楮」。宋．蘇軾〈書鄢陵王主簿所畫折枝〉詩二首之二：「若人富天巧，春色入毫楮。」
3.紙幣。宋金元三代多以楮皮紙製成紙幣，故借指紙幣。《宋史．卷四二一．常楙傳》：「值水災，捐萬楮以振之。」
4.俗稱祭祀用的冥錢為「楮」。元．楊文奎《兒女團圓》第二折：「不強如焚錢烈楮，滅罪消災。」
5.姓。如明代有楮山。 |</v>
      </c>
    </row>
    <row r="10189" spans="1:44" hidden="1">
      <c r="A10189" s="1" t="s">
        <v>20191</v>
      </c>
      <c r="C10189" s="1">
        <v>1</v>
      </c>
      <c r="D10189" s="1" t="str">
        <f>"08551"</f>
        <v>08551</v>
      </c>
      <c r="E10189" s="1" t="s">
        <v>340</v>
      </c>
      <c r="F10189" s="1">
        <v>14</v>
      </c>
      <c r="G10189" s="1">
        <v>8</v>
      </c>
      <c r="H10189" s="1">
        <v>0</v>
      </c>
      <c r="I10189" s="1" t="s">
        <v>20183</v>
      </c>
      <c r="K10189" s="1" t="str">
        <f t="shared" si="629"/>
        <v>ㄔ</v>
      </c>
      <c r="L10189" s="1" t="str">
        <f t="shared" si="631"/>
        <v>ㄨ</v>
      </c>
      <c r="N10189" s="3" t="s">
        <v>30576</v>
      </c>
      <c r="O10189" s="3"/>
      <c r="P10189" s="1" t="s">
        <v>20</v>
      </c>
      <c r="R10189" s="1" t="s">
        <v>20184</v>
      </c>
      <c r="V10189" s="1" t="s">
        <v>20192</v>
      </c>
      <c r="AR10189" s="1" t="str">
        <f t="shared" si="630"/>
        <v>| [ㄔㄨˇ](ㄔㄨˇ.md) | [褚](褚.md) |  | chǔ | [動]
1.以絲綿鋪衣。《玉篇．衣部》：「褚，裝衣也。」漢．史游〈急就篇〉：「襜褕袷複褶褲褌。」唐．顏師古．注：「褚之以綿曰複。」
2.貯藏。《左傳．襄公三十年》：「取我衣冠而褚之。」
[名]
1.口袋。《莊子．至樂》：「褚小者不可以懷大，綆短者不可汲深。」《南史．卷七六．隱逸傳下．張孝秀傳》：「有商人置諸褚中，展轉入東林。」
2.姓。如漢代有褚大。 |</v>
      </c>
    </row>
    <row r="10190" spans="1:44" hidden="1">
      <c r="A10190" s="1" t="s">
        <v>20163</v>
      </c>
      <c r="C10190" s="1">
        <v>1</v>
      </c>
      <c r="D10190" s="1" t="str">
        <f>"08552"</f>
        <v>08552</v>
      </c>
      <c r="E10190" s="1" t="s">
        <v>114</v>
      </c>
      <c r="F10190" s="1">
        <v>17</v>
      </c>
      <c r="G10190" s="1">
        <v>15</v>
      </c>
      <c r="H10190" s="1">
        <v>2</v>
      </c>
      <c r="I10190" s="1" t="s">
        <v>20183</v>
      </c>
      <c r="K10190" s="1" t="str">
        <f t="shared" si="629"/>
        <v>ㄔ</v>
      </c>
      <c r="L10190" s="1" t="str">
        <f t="shared" si="631"/>
        <v>ㄨ</v>
      </c>
      <c r="N10190" s="3" t="s">
        <v>30576</v>
      </c>
      <c r="O10190" s="3"/>
      <c r="P10190" s="1" t="s">
        <v>110</v>
      </c>
      <c r="R10190" s="1" t="s">
        <v>20184</v>
      </c>
      <c r="V10190" s="1" t="s">
        <v>111</v>
      </c>
      <c r="W10190" s="1" t="s">
        <v>20193</v>
      </c>
      <c r="AR10190" s="1" t="str">
        <f t="shared" si="630"/>
        <v>| [ㄔㄨˇ](ㄔㄨˇ.md) | [儲](儲.md) |  | chǔ | (一)之又音。 |</v>
      </c>
    </row>
    <row r="10191" spans="1:44" hidden="1">
      <c r="A10191" s="1" t="s">
        <v>20194</v>
      </c>
      <c r="C10191" s="1">
        <v>1</v>
      </c>
      <c r="D10191" s="1" t="str">
        <f>"08553"</f>
        <v>08553</v>
      </c>
      <c r="E10191" s="1" t="s">
        <v>139</v>
      </c>
      <c r="F10191" s="1">
        <v>13</v>
      </c>
      <c r="G10191" s="1">
        <v>9</v>
      </c>
      <c r="H10191" s="1">
        <v>0</v>
      </c>
      <c r="I10191" s="1" t="s">
        <v>20183</v>
      </c>
      <c r="K10191" s="1" t="str">
        <f t="shared" si="629"/>
        <v>ㄔ</v>
      </c>
      <c r="L10191" s="1" t="str">
        <f t="shared" si="631"/>
        <v>ㄨ</v>
      </c>
      <c r="N10191" s="3" t="s">
        <v>30576</v>
      </c>
      <c r="O10191" s="3"/>
      <c r="P10191" s="1" t="s">
        <v>20</v>
      </c>
      <c r="R10191" s="1" t="s">
        <v>20184</v>
      </c>
      <c r="V10191" s="1" t="s">
        <v>20195</v>
      </c>
      <c r="AR10191" s="1" t="str">
        <f t="shared" si="630"/>
        <v>| [ㄔㄨˇ](ㄔㄨˇ.md) | [楚](楚.md) |  | chǔ | [形]
1.痛苦。如：「苦楚」。《史記．卷一〇．孝文本紀》：「夫刑至斷支體，刻肌膚，終身不息，何其楚痛而不德也，豈稱為民父母之意哉！」
2.清晰、整齊。如：「清楚」。《詩經．小雅．賓之初筵》：「邊豆有楚，殽核維旅。」
3.鮮明、華麗。《詩經．曹風．蜉蝣》：「蜉蝣之羽，衣裳楚楚。」南朝梁．沈約〈少年新婚為之詠詩〉：「腰肢既軟弱，衣服亦華楚。」
[名]
1.古時教師用以責罰學生的小杖。《禮記．學記》：「夏楚二物，收其威也。」漢．鄭玄．注：「夏，槄也；楚，荊也。二者所以撲撻犯禮者。」
2.國名：(1)周成王封熊繹於楚，春秋時稱王，為戰國七雄之一。領有今大陸地區湖南、湖北、安徽、浙江及河南南部，後為秦所滅。(2)五代時馬殷所建，為五代十國之一。有今大陸地區湖南及廣西東部等地，後為南唐所滅。
3.大陸地區湖南、湖北的通稱。或專指大陸地區湖北而言。
4.植物名。馬鞭草科蔓荊屬，落葉灌木。葉為掌狀複葉，邊緣有細鋸齒。七八月間開淡黃紫色花。也稱為「牡荊」。
5.姓。如宋代有楚公輔。
[動]
拷打。《聊齋志異．卷一．三生》：「鬼力楚之，痛甚而蹶。」 |</v>
      </c>
    </row>
    <row r="10192" spans="1:44" hidden="1">
      <c r="A10192" s="1" t="s">
        <v>20196</v>
      </c>
      <c r="C10192" s="1">
        <v>1</v>
      </c>
      <c r="D10192" s="1" t="str">
        <f>"08554"</f>
        <v>08554</v>
      </c>
      <c r="E10192" s="1" t="s">
        <v>169</v>
      </c>
      <c r="F10192" s="1">
        <v>18</v>
      </c>
      <c r="G10192" s="1">
        <v>13</v>
      </c>
      <c r="H10192" s="1">
        <v>0</v>
      </c>
      <c r="I10192" s="1" t="s">
        <v>20183</v>
      </c>
      <c r="K10192" s="1" t="str">
        <f t="shared" si="629"/>
        <v>ㄔ</v>
      </c>
      <c r="L10192" s="1" t="str">
        <f t="shared" si="631"/>
        <v>ㄨ</v>
      </c>
      <c r="N10192" s="3" t="s">
        <v>30576</v>
      </c>
      <c r="O10192" s="3"/>
      <c r="P10192" s="1" t="s">
        <v>20</v>
      </c>
      <c r="R10192" s="1" t="s">
        <v>20184</v>
      </c>
      <c r="V10192" s="1" t="s">
        <v>20197</v>
      </c>
      <c r="AR10192" s="1" t="str">
        <f t="shared" si="630"/>
        <v>| [ㄔㄨˇ](ㄔㄨˇ.md) | [礎](礎.md) |  | chǔ | [名]
1.墊在柱下的石頭。如：「礎石」。《淮南子．說林》：「山雲蒸，柱礎潤。」
2.事情的初步成就或根本。如：「基礎」、「立礎」。 |</v>
      </c>
    </row>
    <row r="10193" spans="1:44" hidden="1">
      <c r="A10193" s="1" t="s">
        <v>20198</v>
      </c>
      <c r="C10193" s="1">
        <v>1</v>
      </c>
      <c r="D10193" s="1" t="str">
        <f>"08555"</f>
        <v>08555</v>
      </c>
      <c r="E10193" s="1" t="s">
        <v>592</v>
      </c>
      <c r="F10193" s="1">
        <v>23</v>
      </c>
      <c r="G10193" s="1">
        <v>8</v>
      </c>
      <c r="H10193" s="1">
        <v>0</v>
      </c>
      <c r="I10193" s="1" t="s">
        <v>20183</v>
      </c>
      <c r="K10193" s="1" t="str">
        <f t="shared" si="629"/>
        <v>ㄔ</v>
      </c>
      <c r="L10193" s="1" t="str">
        <f t="shared" si="631"/>
        <v>ㄨ</v>
      </c>
      <c r="N10193" s="3" t="s">
        <v>30576</v>
      </c>
      <c r="O10193" s="3"/>
      <c r="P10193" s="1" t="s">
        <v>20</v>
      </c>
      <c r="R10193" s="1" t="s">
        <v>20184</v>
      </c>
      <c r="V10193" s="1" t="s">
        <v>20199</v>
      </c>
      <c r="AR10193" s="1" t="str">
        <f t="shared" si="630"/>
        <v>| [ㄔㄨˇ](ㄔㄨˇ.md) | [齭](齭.md) |  | chǔ | [動]
牙齒酸痛。《說文解字．齒部》：「齭，齒傷酢也。」 |</v>
      </c>
    </row>
    <row r="10194" spans="1:44" hidden="1">
      <c r="A10194" s="1" t="s">
        <v>20521</v>
      </c>
      <c r="C10194" s="1">
        <v>1</v>
      </c>
      <c r="D10194" s="1" t="str">
        <f>"08686"</f>
        <v>08686</v>
      </c>
      <c r="E10194" s="1" t="s">
        <v>871</v>
      </c>
      <c r="F10194" s="1">
        <v>3</v>
      </c>
      <c r="G10194" s="1">
        <v>0</v>
      </c>
      <c r="H10194" s="1">
        <v>0</v>
      </c>
      <c r="I10194" s="1" t="s">
        <v>20522</v>
      </c>
      <c r="K10194" s="1" t="str">
        <f t="shared" si="629"/>
        <v>ㄕ</v>
      </c>
      <c r="L10194" s="1" t="str">
        <f t="shared" si="631"/>
        <v/>
      </c>
      <c r="M10194" s="1" t="str">
        <f t="shared" ref="M10194:M10257" si="632">MID(I10194, 3, 1)</f>
        <v/>
      </c>
      <c r="P10194" s="1" t="s">
        <v>20</v>
      </c>
      <c r="R10194" s="1" t="s">
        <v>20523</v>
      </c>
      <c r="V10194" s="1" t="s">
        <v>20524</v>
      </c>
      <c r="AR10194" s="1" t="str">
        <f t="shared" si="630"/>
        <v>| [ㄕ](ㄕ.md) | [尸](尸.md) |  | shī | [名]
1.死人的軀體。同「屍」。《左傳．成公二年》：「襄老死於邲，不獲其尸。」《文選．劉孝標．辯命論》：「至乃伍員浮尸於江流，三閭沉骸於湘渚。」
2.古時祭禮中代表死者受祭的活人。《儀禮．特牲饋食禮》：「主人再拜，尸答拜。」唐．李華〈卜論〉：「夫祭有尸，自虞夏商周不變，戰國蕩古法，祭無尸。」
3.神像、神主。《儀禮．士虞禮》：「祝迎尸，一人衰絰奉篚哭從尸。」唐．皮日休〈正尸祭〉：「生象其死，窮其思也，尸象其生，極其敬也。」
4.姓。如春秋時秦國有尸佼。
5.二一四部首之一。
[動]
1.主持。《詩經．召南．采蘋》：「誰其尸之，有齊季女。」《新唐書．卷一一八．裴潾傳》：「凡驛，有官專尸之。」
2.空占職位而不做事。如：「尸位素餐」。《莊子．逍遙遊》：「夫子立而天下治，而我猶尸之，吾自視缺然。」
3.陳屍示眾。《左傳．僖公二十八年》：「晉侯圍曹門焉，多死，曹人尸諸城上。」《國語．晉語六》：「殺三郤而尸諸朝，納其室以分婦人。」 |</v>
      </c>
    </row>
    <row r="10195" spans="1:44" hidden="1">
      <c r="A10195" s="1" t="s">
        <v>20525</v>
      </c>
      <c r="C10195" s="1">
        <v>1</v>
      </c>
      <c r="D10195" s="1" t="str">
        <f>"08687"</f>
        <v>08687</v>
      </c>
      <c r="E10195" s="1" t="s">
        <v>871</v>
      </c>
      <c r="F10195" s="1">
        <v>9</v>
      </c>
      <c r="G10195" s="1">
        <v>6</v>
      </c>
      <c r="H10195" s="1">
        <v>0</v>
      </c>
      <c r="I10195" s="1" t="s">
        <v>20522</v>
      </c>
      <c r="K10195" s="1" t="str">
        <f t="shared" si="629"/>
        <v>ㄕ</v>
      </c>
      <c r="L10195" s="1" t="str">
        <f t="shared" si="631"/>
        <v/>
      </c>
      <c r="M10195" s="1" t="str">
        <f t="shared" si="632"/>
        <v/>
      </c>
      <c r="P10195" s="1" t="s">
        <v>20</v>
      </c>
      <c r="R10195" s="1" t="s">
        <v>20523</v>
      </c>
      <c r="V10195" s="1" t="s">
        <v>20526</v>
      </c>
      <c r="AR10195" s="1" t="str">
        <f t="shared" si="630"/>
        <v>| [ㄕ](ㄕ.md) | [屍](屍.md) |  | shī | [名]
死人的軀體。如：「僵屍」、「行屍走肉」。唐．韓愈〈歸彭城〉詩：「去歲東郡水，生民為流屍。」 |</v>
      </c>
    </row>
    <row r="10196" spans="1:44" hidden="1">
      <c r="A10196" s="1" t="s">
        <v>20527</v>
      </c>
      <c r="C10196" s="1">
        <v>1</v>
      </c>
      <c r="D10196" s="1" t="str">
        <f>"08688"</f>
        <v>08688</v>
      </c>
      <c r="E10196" s="1" t="s">
        <v>272</v>
      </c>
      <c r="F10196" s="1">
        <v>14</v>
      </c>
      <c r="G10196" s="1">
        <v>3</v>
      </c>
      <c r="H10196" s="1">
        <v>0</v>
      </c>
      <c r="I10196" s="1" t="s">
        <v>20522</v>
      </c>
      <c r="K10196" s="1" t="str">
        <f t="shared" si="629"/>
        <v>ㄕ</v>
      </c>
      <c r="L10196" s="1" t="str">
        <f t="shared" si="631"/>
        <v/>
      </c>
      <c r="M10196" s="1" t="str">
        <f t="shared" si="632"/>
        <v/>
      </c>
      <c r="P10196" s="1" t="s">
        <v>20</v>
      </c>
      <c r="R10196" s="1" t="s">
        <v>20523</v>
      </c>
      <c r="V10196" s="1" t="s">
        <v>20528</v>
      </c>
      <c r="AR10196" s="1" t="str">
        <f t="shared" si="630"/>
        <v>| [ㄕ](ㄕ.md) | [鳲](鳲.md) |  | shī | 參見「鳲鳩」條。 |</v>
      </c>
    </row>
    <row r="10197" spans="1:44" hidden="1">
      <c r="A10197" s="1" t="s">
        <v>20529</v>
      </c>
      <c r="C10197" s="1">
        <v>1</v>
      </c>
      <c r="D10197" s="1" t="str">
        <f>"08689"</f>
        <v>08689</v>
      </c>
      <c r="E10197" s="1" t="s">
        <v>563</v>
      </c>
      <c r="F10197" s="1">
        <v>5</v>
      </c>
      <c r="G10197" s="1">
        <v>2</v>
      </c>
      <c r="H10197" s="1">
        <v>0</v>
      </c>
      <c r="I10197" s="1" t="s">
        <v>20522</v>
      </c>
      <c r="K10197" s="1" t="str">
        <f t="shared" si="629"/>
        <v>ㄕ</v>
      </c>
      <c r="L10197" s="1" t="str">
        <f t="shared" si="631"/>
        <v/>
      </c>
      <c r="M10197" s="1" t="str">
        <f t="shared" si="632"/>
        <v/>
      </c>
      <c r="P10197" s="1" t="s">
        <v>20</v>
      </c>
      <c r="R10197" s="1" t="s">
        <v>20523</v>
      </c>
      <c r="V10197" s="1" t="s">
        <v>20530</v>
      </c>
      <c r="AR10197" s="1" t="str">
        <f t="shared" si="630"/>
        <v>| [ㄕ](ㄕ.md) | [失](失.md) |  | shī | [動]
1.丟掉、遺落。如：「喪失」、「遺失」、「失而復得」、「失魂落魄」。
2.錯過、縱放。如：「錯失良機」、「機不可失」。
3.找不到。如：「迷失方向」。《楚辭．屈原．九章．惜誦》：「欲橫奔而失路兮，堅志而不忍。」
4.違背、不合乎。如：「失常」、「失態」、「失禮」。
[名]
錯誤。如：「過失」、「智者千慮必有一失。」 |</v>
      </c>
    </row>
    <row r="10198" spans="1:44" hidden="1">
      <c r="A10198" s="1" t="s">
        <v>20531</v>
      </c>
      <c r="C10198" s="1">
        <v>1</v>
      </c>
      <c r="D10198" s="1" t="str">
        <f>"08690"</f>
        <v>08690</v>
      </c>
      <c r="E10198" s="1" t="s">
        <v>679</v>
      </c>
      <c r="F10198" s="1">
        <v>8</v>
      </c>
      <c r="G10198" s="1">
        <v>2</v>
      </c>
      <c r="H10198" s="1">
        <v>0</v>
      </c>
      <c r="I10198" s="1" t="s">
        <v>20522</v>
      </c>
      <c r="K10198" s="1" t="str">
        <f t="shared" si="629"/>
        <v>ㄕ</v>
      </c>
      <c r="L10198" s="1" t="str">
        <f t="shared" si="631"/>
        <v/>
      </c>
      <c r="M10198" s="1" t="str">
        <f t="shared" si="632"/>
        <v/>
      </c>
      <c r="P10198" s="1" t="s">
        <v>20</v>
      </c>
      <c r="R10198" s="1" t="s">
        <v>20523</v>
      </c>
      <c r="V10198" s="1" t="s">
        <v>20532</v>
      </c>
      <c r="AR10198" s="1" t="str">
        <f t="shared" si="630"/>
        <v>| [ㄕ](ㄕ.md) | [虱](虱.md) |  | shī | 同「蝨」。 |</v>
      </c>
    </row>
    <row r="10199" spans="1:44" hidden="1">
      <c r="A10199" s="1" t="s">
        <v>20533</v>
      </c>
      <c r="C10199" s="1">
        <v>1</v>
      </c>
      <c r="D10199" s="1" t="str">
        <f>"08691"</f>
        <v>08691</v>
      </c>
      <c r="E10199" s="1" t="s">
        <v>800</v>
      </c>
      <c r="F10199" s="1">
        <v>9</v>
      </c>
      <c r="G10199" s="1">
        <v>5</v>
      </c>
      <c r="H10199" s="1">
        <v>1</v>
      </c>
      <c r="I10199" s="1" t="s">
        <v>20522</v>
      </c>
      <c r="K10199" s="1" t="str">
        <f t="shared" si="629"/>
        <v>ㄕ</v>
      </c>
      <c r="L10199" s="1" t="str">
        <f t="shared" si="631"/>
        <v/>
      </c>
      <c r="M10199" s="1" t="str">
        <f t="shared" si="632"/>
        <v/>
      </c>
      <c r="P10199" s="1" t="s">
        <v>20</v>
      </c>
      <c r="R10199" s="1" t="s">
        <v>20523</v>
      </c>
      <c r="V10199" s="1" t="s">
        <v>20534</v>
      </c>
      <c r="W10199" s="1" t="s">
        <v>20535</v>
      </c>
      <c r="AR10199" s="1" t="str">
        <f t="shared" si="630"/>
        <v>| [ㄕ](ㄕ.md) | [施](施.md) |  | shī | [動]
1.實行、推行。如：「無計可施」、「恩威並施」。
2.給予。如：「施比受更有福」。《論語．雍也》：「如有博施於民而能濟眾，何如？」宋．錢公輔〈義田記〉：「擇其親而貧、疏而賢者，咸施之。」
3.加。如：「施壓」、「薄施脂粉」。《論語．衛靈公》：「己所不欲，勿施於人。」《莊子．大宗師》：「利澤施乎萬世。」
4.設置、安置。《隋書．卷四十．宇文愷傳》：「下施輪軸，推移倏忽有若神功。」明．徐弘祖《徐霞客遊記．卷九下．滇遊日記十一》：「水分兩派來，一東南，一西北，俱成懸流，橋不復能施。」
[名]
1.恩惠、德澤。如：「受施慎勿忘」。《左傳．僖公二十七年》：「報施救患，取威定霸，於是乎在矣。」
2.姓。如漢代有施讎。 |</v>
      </c>
    </row>
    <row r="10200" spans="1:44" hidden="1">
      <c r="A10200" s="1" t="s">
        <v>20536</v>
      </c>
      <c r="C10200" s="1">
        <v>1</v>
      </c>
      <c r="D10200" s="1" t="str">
        <f>"08692"</f>
        <v>08692</v>
      </c>
      <c r="E10200" s="1" t="s">
        <v>725</v>
      </c>
      <c r="F10200" s="1">
        <v>11</v>
      </c>
      <c r="G10200" s="1">
        <v>5</v>
      </c>
      <c r="H10200" s="1">
        <v>0</v>
      </c>
      <c r="I10200" s="1" t="s">
        <v>20522</v>
      </c>
      <c r="K10200" s="1" t="str">
        <f t="shared" si="629"/>
        <v>ㄕ</v>
      </c>
      <c r="L10200" s="1" t="str">
        <f t="shared" si="631"/>
        <v/>
      </c>
      <c r="M10200" s="1" t="str">
        <f t="shared" si="632"/>
        <v/>
      </c>
      <c r="P10200" s="1" t="s">
        <v>20</v>
      </c>
      <c r="R10200" s="1" t="s">
        <v>20523</v>
      </c>
      <c r="V10200" s="1" t="s">
        <v>20537</v>
      </c>
      <c r="AR10200" s="1" t="str">
        <f t="shared" si="630"/>
        <v>| [ㄕ](ㄕ.md) | [絁](絁.md) |  | shī | [名]
粗綢。清．任大椿《釋繒》：「絁質粗大，次于羅絹，故以之作巾，次于冕弁也。」 |</v>
      </c>
    </row>
    <row r="10201" spans="1:44" hidden="1">
      <c r="A10201" s="1" t="s">
        <v>20538</v>
      </c>
      <c r="C10201" s="1">
        <v>1</v>
      </c>
      <c r="D10201" s="1" t="str">
        <f>"08693"</f>
        <v>08693</v>
      </c>
      <c r="E10201" s="1" t="s">
        <v>37</v>
      </c>
      <c r="F10201" s="1">
        <v>13</v>
      </c>
      <c r="G10201" s="1">
        <v>9</v>
      </c>
      <c r="H10201" s="1">
        <v>0</v>
      </c>
      <c r="I10201" s="1" t="s">
        <v>20522</v>
      </c>
      <c r="K10201" s="1" t="str">
        <f t="shared" si="629"/>
        <v>ㄕ</v>
      </c>
      <c r="L10201" s="1" t="str">
        <f t="shared" si="631"/>
        <v/>
      </c>
      <c r="M10201" s="1" t="str">
        <f t="shared" si="632"/>
        <v/>
      </c>
      <c r="P10201" s="1" t="s">
        <v>20</v>
      </c>
      <c r="R10201" s="1" t="s">
        <v>20523</v>
      </c>
      <c r="V10201" s="1" t="s">
        <v>20539</v>
      </c>
      <c r="AR10201" s="1" t="str">
        <f t="shared" si="630"/>
        <v>| [ㄕ](ㄕ.md) | [葹](葹.md) |  | shī | [名]
植物名。菊科蒼耳屬，「蒼耳」、「羊帶來」之古稱，參見「羊帶來」條。 |</v>
      </c>
    </row>
    <row r="10202" spans="1:44" hidden="1">
      <c r="A10202" s="1" t="s">
        <v>20540</v>
      </c>
      <c r="C10202" s="1">
        <v>1</v>
      </c>
      <c r="D10202" s="1" t="str">
        <f>"08694"</f>
        <v>08694</v>
      </c>
      <c r="E10202" s="1" t="s">
        <v>256</v>
      </c>
      <c r="F10202" s="1">
        <v>9</v>
      </c>
      <c r="G10202" s="1">
        <v>6</v>
      </c>
      <c r="H10202" s="1">
        <v>0</v>
      </c>
      <c r="I10202" s="1" t="s">
        <v>20522</v>
      </c>
      <c r="K10202" s="1" t="str">
        <f t="shared" si="629"/>
        <v>ㄕ</v>
      </c>
      <c r="L10202" s="1" t="str">
        <f t="shared" si="631"/>
        <v/>
      </c>
      <c r="M10202" s="1" t="str">
        <f t="shared" si="632"/>
        <v/>
      </c>
      <c r="P10202" s="1" t="s">
        <v>20</v>
      </c>
      <c r="R10202" s="1" t="s">
        <v>20523</v>
      </c>
      <c r="V10202" s="1" t="s">
        <v>20541</v>
      </c>
      <c r="AR10202" s="1" t="str">
        <f t="shared" si="630"/>
        <v>| [ㄕ](ㄕ.md) | [邿](邿.md) |  | shī | [名]
國名。春秋時為魯國的附庸國。故址在今大陸地區山東省濟寧縣東南。 |</v>
      </c>
    </row>
    <row r="10203" spans="1:44" hidden="1">
      <c r="A10203" s="1" t="s">
        <v>20542</v>
      </c>
      <c r="C10203" s="1">
        <v>1</v>
      </c>
      <c r="D10203" s="1" t="str">
        <f>"08695"</f>
        <v>08695</v>
      </c>
      <c r="E10203" s="1" t="s">
        <v>331</v>
      </c>
      <c r="F10203" s="1">
        <v>13</v>
      </c>
      <c r="G10203" s="1">
        <v>6</v>
      </c>
      <c r="H10203" s="1">
        <v>0</v>
      </c>
      <c r="I10203" s="1" t="s">
        <v>20522</v>
      </c>
      <c r="K10203" s="1" t="str">
        <f t="shared" si="629"/>
        <v>ㄕ</v>
      </c>
      <c r="L10203" s="1" t="str">
        <f t="shared" si="631"/>
        <v/>
      </c>
      <c r="M10203" s="1" t="str">
        <f t="shared" si="632"/>
        <v/>
      </c>
      <c r="P10203" s="1" t="s">
        <v>20</v>
      </c>
      <c r="R10203" s="1" t="s">
        <v>20523</v>
      </c>
      <c r="V10203" s="1" t="s">
        <v>20543</v>
      </c>
      <c r="AR10203" s="1" t="str">
        <f t="shared" si="630"/>
        <v>| [ㄕ](ㄕ.md) | [詩](詩.md) |  | shī | [名]
1.文體名。一般與「文」相對。指以精粹而富節奏的語言文字來表現美感、抒發情緒的藝術性作品。《文選．陸機．文賦》：「詩緣情而綺靡，賦體物而瀏亮。」唐．白居易〈與元九書〉：「詩者，根情，苗言，華聲，實義。」
2.六經之一，即《詩經》。《論語．為政》：「子曰：『《詩三百》，一言以蔽之，曰思無邪。』」唐．韓愈〈進學解〉：「《易》奇而法，《詩》正而葩。」
[動]
詠誦。《史記．卷一一七．司馬相如傳》：「詢封禪之事，詩大澤之博，廣符瑞之富。」 |</v>
      </c>
    </row>
    <row r="10204" spans="1:44" hidden="1">
      <c r="A10204" s="1" t="s">
        <v>20544</v>
      </c>
      <c r="C10204" s="1">
        <v>1</v>
      </c>
      <c r="D10204" s="1" t="str">
        <f>"08696"</f>
        <v>08696</v>
      </c>
      <c r="E10204" s="1" t="s">
        <v>24</v>
      </c>
      <c r="F10204" s="1">
        <v>9</v>
      </c>
      <c r="G10204" s="1">
        <v>6</v>
      </c>
      <c r="H10204" s="1">
        <v>3</v>
      </c>
      <c r="I10204" s="1" t="s">
        <v>20522</v>
      </c>
      <c r="K10204" s="1" t="str">
        <f t="shared" si="629"/>
        <v>ㄕ</v>
      </c>
      <c r="L10204" s="1" t="str">
        <f t="shared" si="631"/>
        <v/>
      </c>
      <c r="M10204" s="1" t="str">
        <f t="shared" si="632"/>
        <v/>
      </c>
      <c r="P10204" s="1" t="s">
        <v>20</v>
      </c>
      <c r="R10204" s="1" t="s">
        <v>20523</v>
      </c>
      <c r="V10204" s="1" t="s">
        <v>20545</v>
      </c>
      <c r="W10204" s="1" t="s">
        <v>20546</v>
      </c>
      <c r="AR10204" s="1" t="str">
        <f t="shared" si="630"/>
        <v>| [ㄕ](ㄕ.md) | [拾](拾.md) |  | shī | 參見「拾翻」條。 |</v>
      </c>
    </row>
    <row r="10205" spans="1:44" hidden="1">
      <c r="A10205" s="1" t="s">
        <v>20547</v>
      </c>
      <c r="C10205" s="1">
        <v>1</v>
      </c>
      <c r="D10205" s="1" t="str">
        <f>"08697"</f>
        <v>08697</v>
      </c>
      <c r="E10205" s="1" t="s">
        <v>222</v>
      </c>
      <c r="F10205" s="1">
        <v>10</v>
      </c>
      <c r="G10205" s="1">
        <v>7</v>
      </c>
      <c r="H10205" s="1">
        <v>0</v>
      </c>
      <c r="I10205" s="1" t="s">
        <v>20522</v>
      </c>
      <c r="K10205" s="1" t="str">
        <f t="shared" si="629"/>
        <v>ㄕ</v>
      </c>
      <c r="L10205" s="1" t="str">
        <f t="shared" si="631"/>
        <v/>
      </c>
      <c r="M10205" s="1" t="str">
        <f t="shared" si="632"/>
        <v/>
      </c>
      <c r="P10205" s="1" t="s">
        <v>20</v>
      </c>
      <c r="R10205" s="1" t="s">
        <v>20523</v>
      </c>
      <c r="V10205" s="1" t="s">
        <v>20548</v>
      </c>
      <c r="AR10205" s="1" t="str">
        <f t="shared" si="630"/>
        <v>| [ㄕ](ㄕ.md) | [師](師.md) |  | shī | [名]
1.教授學問、知識的人。如：「教師」、「導師」。《論語．述而》：「三人行，必有我師焉。」唐．韓愈〈師說〉：「師者，所以傳道受業解惑也。」
2.具有專門技藝的人。如：「醫師」、「律師」、「廚師」、「工程師」、「會計師」。
3.對道士或僧尼的尊稱。如：「法師」、「禪師」。
4.古代兵制以二千五百人為一師。今為軍以下，旅以上的軍隊編制單位。
5.軍隊。如：「出師」、「會師」、「班師回朝」。《詩經．秦風．無衣》：「王于興師，脩我戈矛，與子同仇。」
6.都邑、都城。如：「京師」。《書經．洛誥》：「予惟乙卯，朝至于洛師。」
7.榜樣、借鏡。如：「前事不忘，後事之師。」
8.《易經》卦名。六十四卦之一。坎（☵）下坤（☷）上。象君子以容民畜眾。
9.姓。如漢代有師丹。
[動]
效法、採用。如：「師心自用」。《史記．卷六．秦始皇本紀》：「今諸生不師今而學古，以非當世，惑亂黔首。」唐．韓愈〈答劉正夫書〉：「師其意，不師其辭。」 |</v>
      </c>
    </row>
    <row r="10206" spans="1:44" hidden="1">
      <c r="A10206" s="1" t="s">
        <v>20549</v>
      </c>
      <c r="C10206" s="1">
        <v>1</v>
      </c>
      <c r="D10206" s="1" t="str">
        <f>"08698"</f>
        <v>08698</v>
      </c>
      <c r="E10206" s="1" t="s">
        <v>198</v>
      </c>
      <c r="F10206" s="1">
        <v>13</v>
      </c>
      <c r="G10206" s="1">
        <v>10</v>
      </c>
      <c r="H10206" s="1">
        <v>0</v>
      </c>
      <c r="I10206" s="1" t="s">
        <v>20522</v>
      </c>
      <c r="K10206" s="1" t="str">
        <f t="shared" si="629"/>
        <v>ㄕ</v>
      </c>
      <c r="L10206" s="1" t="str">
        <f t="shared" si="631"/>
        <v/>
      </c>
      <c r="M10206" s="1" t="str">
        <f t="shared" si="632"/>
        <v/>
      </c>
      <c r="P10206" s="1" t="s">
        <v>20</v>
      </c>
      <c r="R10206" s="1" t="s">
        <v>20523</v>
      </c>
      <c r="V10206" s="1" t="s">
        <v>20550</v>
      </c>
      <c r="AR10206" s="1" t="str">
        <f t="shared" si="630"/>
        <v>| [ㄕ](ㄕ.md) | [獅](獅.md) |  | shī | [名]
動物名。哺乳綱食肉目貓科。身長約二、三公尺，頭圓肩闊，四肢強健，有鉤爪，尾細長，末端有長的毛叢。雄獅頭至頸部有鬣，雌獅體型較小，無鬣。以大型草食性動物為主食，多分布於印度及非洲一帶。 |</v>
      </c>
    </row>
    <row r="10207" spans="1:44" hidden="1">
      <c r="A10207" s="1" t="s">
        <v>20551</v>
      </c>
      <c r="C10207" s="1">
        <v>1</v>
      </c>
      <c r="D10207" s="1" t="str">
        <f>"08699"</f>
        <v>08699</v>
      </c>
      <c r="E10207" s="1" t="s">
        <v>37</v>
      </c>
      <c r="F10207" s="1">
        <v>14</v>
      </c>
      <c r="G10207" s="1">
        <v>10</v>
      </c>
      <c r="H10207" s="1">
        <v>0</v>
      </c>
      <c r="I10207" s="1" t="s">
        <v>20522</v>
      </c>
      <c r="K10207" s="1" t="str">
        <f t="shared" si="629"/>
        <v>ㄕ</v>
      </c>
      <c r="L10207" s="1" t="str">
        <f t="shared" si="631"/>
        <v/>
      </c>
      <c r="M10207" s="1" t="str">
        <f t="shared" si="632"/>
        <v/>
      </c>
      <c r="P10207" s="1" t="s">
        <v>20</v>
      </c>
      <c r="R10207" s="1" t="s">
        <v>20523</v>
      </c>
      <c r="V10207" s="1" t="s">
        <v>20552</v>
      </c>
      <c r="AR10207" s="1" t="str">
        <f t="shared" si="630"/>
        <v>| [ㄕ](ㄕ.md) | [蒒](蒒.md) |  | shī | [名]
植物名。莎草科薹屬，「蒒草」、「禹餘糧」之一種。參見「禹餘糧」條。 |</v>
      </c>
    </row>
    <row r="10208" spans="1:44" hidden="1">
      <c r="A10208" s="1" t="s">
        <v>20553</v>
      </c>
      <c r="C10208" s="1">
        <v>1</v>
      </c>
      <c r="D10208" s="1" t="str">
        <f>"08700"</f>
        <v>08700</v>
      </c>
      <c r="E10208" s="1" t="s">
        <v>129</v>
      </c>
      <c r="F10208" s="1">
        <v>13</v>
      </c>
      <c r="G10208" s="1">
        <v>10</v>
      </c>
      <c r="H10208" s="1">
        <v>0</v>
      </c>
      <c r="I10208" s="1" t="s">
        <v>20522</v>
      </c>
      <c r="K10208" s="1" t="str">
        <f t="shared" si="629"/>
        <v>ㄕ</v>
      </c>
      <c r="L10208" s="1" t="str">
        <f t="shared" si="631"/>
        <v/>
      </c>
      <c r="M10208" s="1" t="str">
        <f t="shared" si="632"/>
        <v/>
      </c>
      <c r="P10208" s="1" t="s">
        <v>20</v>
      </c>
      <c r="R10208" s="1" t="s">
        <v>20523</v>
      </c>
      <c r="V10208" s="1" t="s">
        <v>20554</v>
      </c>
      <c r="AR10208" s="1" t="str">
        <f t="shared" si="630"/>
        <v>| [ㄕ](ㄕ.md) | [溼](溼.md) |  | shī | [形]
水分多、含有水分的。如：「把溼毛巾擰乾。」宋．姜夔〈昔遊〉詩：「燎茅烘溼衣，客有見留者。」
[動]
沾水、沾潤。如：「淚溼衣襟」、「全身溼透」。
[名]
中醫六淫之一。因溼氣過大，阻滯氣的活動而致病，流行於長夏。如：「溼毒」、「風溼」。 |</v>
      </c>
    </row>
    <row r="10209" spans="1:44" hidden="1">
      <c r="A10209" s="1" t="s">
        <v>20555</v>
      </c>
      <c r="C10209" s="1">
        <v>1</v>
      </c>
      <c r="D10209" s="1" t="str">
        <f>"08701"</f>
        <v>08701</v>
      </c>
      <c r="E10209" s="1" t="s">
        <v>37</v>
      </c>
      <c r="F10209" s="1">
        <v>14</v>
      </c>
      <c r="G10209" s="1">
        <v>10</v>
      </c>
      <c r="H10209" s="1">
        <v>0</v>
      </c>
      <c r="I10209" s="1" t="s">
        <v>20522</v>
      </c>
      <c r="K10209" s="1" t="str">
        <f t="shared" si="629"/>
        <v>ㄕ</v>
      </c>
      <c r="L10209" s="1" t="str">
        <f t="shared" si="631"/>
        <v/>
      </c>
      <c r="M10209" s="1" t="str">
        <f t="shared" si="632"/>
        <v/>
      </c>
      <c r="P10209" s="1" t="s">
        <v>20</v>
      </c>
      <c r="R10209" s="1" t="s">
        <v>20523</v>
      </c>
      <c r="V10209" s="1" t="s">
        <v>20556</v>
      </c>
      <c r="AR10209" s="1" t="str">
        <f t="shared" si="630"/>
        <v>| [ㄕ](ㄕ.md) | [蓍](蓍.md) |  | shī | [名]
植物名。菊科蓍屬，「鋸齒草」之古稱，參見「鋸齒草」條。古時取其莖以為占卜之用。 |</v>
      </c>
    </row>
    <row r="10210" spans="1:44" hidden="1">
      <c r="A10210" s="1" t="s">
        <v>20557</v>
      </c>
      <c r="C10210" s="1">
        <v>1</v>
      </c>
      <c r="D10210" s="1" t="str">
        <f>"08702"</f>
        <v>08702</v>
      </c>
      <c r="E10210" s="1" t="s">
        <v>679</v>
      </c>
      <c r="F10210" s="1">
        <v>15</v>
      </c>
      <c r="G10210" s="1">
        <v>9</v>
      </c>
      <c r="H10210" s="1">
        <v>0</v>
      </c>
      <c r="I10210" s="1" t="s">
        <v>20522</v>
      </c>
      <c r="K10210" s="1" t="str">
        <f t="shared" si="629"/>
        <v>ㄕ</v>
      </c>
      <c r="L10210" s="1" t="str">
        <f t="shared" si="631"/>
        <v/>
      </c>
      <c r="M10210" s="1" t="str">
        <f t="shared" si="632"/>
        <v/>
      </c>
      <c r="P10210" s="1" t="s">
        <v>20</v>
      </c>
      <c r="R10210" s="1" t="s">
        <v>20523</v>
      </c>
      <c r="V10210" s="1" t="s">
        <v>20558</v>
      </c>
      <c r="AR10210" s="1" t="str">
        <f t="shared" si="630"/>
        <v>| [ㄕ](ㄕ.md) | [蝨](蝨.md) |  | shī | [名]
1.動物名。寄生在人、動物和植物上的小型昆蟲。頭小，口突，腹大，無翅，以吸食動物血液或植物體液為生。會傳染疾病。
2.比喻占著職位不做事的人。《商君書．說民》：「民貧則弱，國富則淫，淫則有蝨，有蝨則弱。」 |</v>
      </c>
    </row>
    <row r="10211" spans="1:44" hidden="1">
      <c r="A10211" s="1" t="s">
        <v>16252</v>
      </c>
      <c r="C10211" s="1">
        <v>1</v>
      </c>
      <c r="D10211" s="1" t="str">
        <f>"08703"</f>
        <v>08703</v>
      </c>
      <c r="E10211" s="1" t="s">
        <v>129</v>
      </c>
      <c r="F10211" s="1">
        <v>17</v>
      </c>
      <c r="G10211" s="1">
        <v>14</v>
      </c>
      <c r="H10211" s="1">
        <v>1</v>
      </c>
      <c r="I10211" s="1" t="s">
        <v>20522</v>
      </c>
      <c r="K10211" s="1" t="str">
        <f t="shared" si="629"/>
        <v>ㄕ</v>
      </c>
      <c r="L10211" s="1" t="str">
        <f t="shared" si="631"/>
        <v/>
      </c>
      <c r="M10211" s="1" t="str">
        <f t="shared" si="632"/>
        <v/>
      </c>
      <c r="P10211" s="1" t="s">
        <v>20</v>
      </c>
      <c r="R10211" s="1" t="s">
        <v>20523</v>
      </c>
      <c r="V10211" s="1" t="s">
        <v>20559</v>
      </c>
      <c r="W10211" s="1" t="s">
        <v>20560</v>
      </c>
      <c r="AR10211" s="1" t="str">
        <f t="shared" si="630"/>
        <v>| [ㄕ](ㄕ.md) | [濕](濕.md) |  | shī | 同「溼」。 |</v>
      </c>
    </row>
    <row r="10212" spans="1:44" hidden="1">
      <c r="A10212" s="1" t="s">
        <v>20561</v>
      </c>
      <c r="C10212" s="1">
        <v>1</v>
      </c>
      <c r="D10212" s="1" t="str">
        <f>"08704"</f>
        <v>08704</v>
      </c>
      <c r="E10212" s="1" t="s">
        <v>340</v>
      </c>
      <c r="F10212" s="1">
        <v>17</v>
      </c>
      <c r="G10212" s="1">
        <v>11</v>
      </c>
      <c r="H10212" s="1">
        <v>0</v>
      </c>
      <c r="I10212" s="1" t="s">
        <v>20522</v>
      </c>
      <c r="K10212" s="1" t="str">
        <f t="shared" si="629"/>
        <v>ㄕ</v>
      </c>
      <c r="L10212" s="1" t="str">
        <f t="shared" si="631"/>
        <v/>
      </c>
      <c r="M10212" s="1" t="str">
        <f t="shared" si="632"/>
        <v/>
      </c>
      <c r="P10212" s="1" t="s">
        <v>20</v>
      </c>
      <c r="R10212" s="1" t="s">
        <v>20523</v>
      </c>
      <c r="V10212" s="1" t="s">
        <v>20562</v>
      </c>
      <c r="AR10212" s="1" t="str">
        <f t="shared" si="630"/>
        <v>| [ㄕ](ㄕ.md) | [褷](褷.md) |  | shī | 參見「離褷」條。 |</v>
      </c>
    </row>
    <row r="10213" spans="1:44" hidden="1">
      <c r="A10213" s="1" t="s">
        <v>20734</v>
      </c>
      <c r="C10213" s="1">
        <v>1</v>
      </c>
      <c r="D10213" s="1" t="str">
        <f>"08783"</f>
        <v>08783</v>
      </c>
      <c r="E10213" s="1" t="s">
        <v>129</v>
      </c>
      <c r="F10213" s="1">
        <v>7</v>
      </c>
      <c r="G10213" s="1">
        <v>4</v>
      </c>
      <c r="H10213" s="1">
        <v>0</v>
      </c>
      <c r="I10213" s="1" t="s">
        <v>20735</v>
      </c>
      <c r="K10213" s="1" t="str">
        <f t="shared" si="629"/>
        <v>ㄕ</v>
      </c>
      <c r="L10213" s="1" t="str">
        <f t="shared" si="631"/>
        <v>ㄚ</v>
      </c>
      <c r="M10213" s="1" t="str">
        <f t="shared" si="632"/>
        <v/>
      </c>
      <c r="P10213" s="1" t="s">
        <v>20</v>
      </c>
      <c r="R10213" s="1" t="s">
        <v>20736</v>
      </c>
      <c r="V10213" s="1" t="s">
        <v>20737</v>
      </c>
      <c r="AR10213" s="1" t="str">
        <f t="shared" si="630"/>
        <v>| [ㄕㄚ](ㄕㄚ.md) | [沙](沙.md) |  | shā | [名]
1.細碎的石粒。如：「風沙」、「泥沙」、「飛沙走石」。也稱為「沙子」。
2.水邊的土地。《詩經．大雅．鳧鷖》：「鳧鷖在沙，公尸來燕來宜。」漢．毛亨．傳：「沙，水旁也。」
3.細碎而呈顆粒狀的東西。如：「豆沙」、「金沙」、「鐵沙」。
4.姓。如宋代有沙世堅。
[副]
聲音嘶啞。如：「沙啞」。《周禮．天官．內饔》：「鳥皫色而沙鳴。」．漢．鄭玄．注：「沙，澌也。」
[形]
1.瓜果過度成熟，使肉質鬆散而呈微粒。如：「沙瓤的西瓜。」
2.粗糙呈顆粒狀的。如：「沙紙」。宋．陸游《老學庵筆記》卷六：「沙糖，中國本無之。唐太宗時，外國貢至。」
[助]
語尾助詞。同「唦」。相當於「啊」。元．石君寶《曲江池》第一折：「不因你個小名兒沙，他怎肯誤入桃源？」 |</v>
      </c>
    </row>
    <row r="10214" spans="1:44" hidden="1">
      <c r="A10214" s="1" t="s">
        <v>20738</v>
      </c>
      <c r="C10214" s="1">
        <v>1</v>
      </c>
      <c r="D10214" s="1" t="str">
        <f>"08784"</f>
        <v>08784</v>
      </c>
      <c r="E10214" s="1" t="s">
        <v>169</v>
      </c>
      <c r="F10214" s="1">
        <v>9</v>
      </c>
      <c r="G10214" s="1">
        <v>4</v>
      </c>
      <c r="H10214" s="1">
        <v>0</v>
      </c>
      <c r="I10214" s="1" t="s">
        <v>20735</v>
      </c>
      <c r="K10214" s="1" t="str">
        <f t="shared" si="629"/>
        <v>ㄕ</v>
      </c>
      <c r="L10214" s="1" t="str">
        <f t="shared" si="631"/>
        <v>ㄚ</v>
      </c>
      <c r="M10214" s="1" t="str">
        <f t="shared" si="632"/>
        <v/>
      </c>
      <c r="P10214" s="1" t="s">
        <v>20</v>
      </c>
      <c r="R10214" s="1" t="s">
        <v>20736</v>
      </c>
      <c r="V10214" s="1" t="s">
        <v>20739</v>
      </c>
      <c r="AR10214" s="1" t="str">
        <f t="shared" si="630"/>
        <v>| [ㄕㄚ](ㄕㄚ.md) | [砂](砂.md) |  | shā | [名]
1.細碎的石粒。如：「飛砂走石」。
2.細碎呈顆粒狀的物質。同「沙」。如：「礦砂」、「鐵砂」。
3.參見「朱砂」條。 |</v>
      </c>
    </row>
    <row r="10215" spans="1:44" hidden="1">
      <c r="A10215" s="1" t="s">
        <v>20740</v>
      </c>
      <c r="C10215" s="1">
        <v>1</v>
      </c>
      <c r="D10215" s="1" t="str">
        <f>"08785"</f>
        <v>08785</v>
      </c>
      <c r="E10215" s="1" t="s">
        <v>28</v>
      </c>
      <c r="F10215" s="1">
        <v>10</v>
      </c>
      <c r="G10215" s="1">
        <v>7</v>
      </c>
      <c r="H10215" s="1">
        <v>0</v>
      </c>
      <c r="I10215" s="1" t="s">
        <v>20735</v>
      </c>
      <c r="K10215" s="1" t="str">
        <f t="shared" si="629"/>
        <v>ㄕ</v>
      </c>
      <c r="L10215" s="1" t="str">
        <f t="shared" si="631"/>
        <v>ㄚ</v>
      </c>
      <c r="M10215" s="1" t="str">
        <f t="shared" si="632"/>
        <v/>
      </c>
      <c r="P10215" s="1" t="s">
        <v>20</v>
      </c>
      <c r="R10215" s="1" t="s">
        <v>20736</v>
      </c>
      <c r="V10215" s="1" t="s">
        <v>20741</v>
      </c>
      <c r="AR10215" s="1" t="str">
        <f t="shared" si="630"/>
        <v>| [ㄕㄚ](ㄕㄚ.md) | [唦](唦.md) |  | shā | [助]
語尾助詞。相當於「啊」。《董西廂》卷七：「他別求了婦，你只管裡守志唦，當甚貞烈？」 |</v>
      </c>
    </row>
    <row r="10216" spans="1:44" hidden="1">
      <c r="A10216" s="1" t="s">
        <v>20742</v>
      </c>
      <c r="C10216" s="1">
        <v>1</v>
      </c>
      <c r="D10216" s="1" t="str">
        <f>"08786"</f>
        <v>08786</v>
      </c>
      <c r="E10216" s="1" t="s">
        <v>198</v>
      </c>
      <c r="F10216" s="1">
        <v>10</v>
      </c>
      <c r="G10216" s="1">
        <v>7</v>
      </c>
      <c r="H10216" s="1">
        <v>0</v>
      </c>
      <c r="I10216" s="1" t="s">
        <v>20735</v>
      </c>
      <c r="K10216" s="1" t="str">
        <f t="shared" si="629"/>
        <v>ㄕ</v>
      </c>
      <c r="L10216" s="1" t="str">
        <f t="shared" si="631"/>
        <v>ㄚ</v>
      </c>
      <c r="M10216" s="1" t="str">
        <f t="shared" si="632"/>
        <v/>
      </c>
      <c r="P10216" s="1" t="s">
        <v>20</v>
      </c>
      <c r="R10216" s="1" t="s">
        <v>20736</v>
      </c>
      <c r="V10216" s="1" t="s">
        <v>20743</v>
      </c>
      <c r="AR10216" s="1" t="str">
        <f t="shared" si="630"/>
        <v>| [ㄕㄚ](ㄕㄚ.md) | [猀](猀.md) |  | shā | [名]
中國古代南方少數民族之一。多分布在大陸地區廣西一帶。 |</v>
      </c>
    </row>
    <row r="10217" spans="1:44" hidden="1">
      <c r="A10217" s="1" t="s">
        <v>20744</v>
      </c>
      <c r="C10217" s="1">
        <v>1</v>
      </c>
      <c r="D10217" s="1" t="str">
        <f>"08787"</f>
        <v>08787</v>
      </c>
      <c r="E10217" s="1" t="s">
        <v>725</v>
      </c>
      <c r="F10217" s="1">
        <v>10</v>
      </c>
      <c r="G10217" s="1">
        <v>4</v>
      </c>
      <c r="H10217" s="1">
        <v>0</v>
      </c>
      <c r="I10217" s="1" t="s">
        <v>20735</v>
      </c>
      <c r="K10217" s="1" t="str">
        <f t="shared" si="629"/>
        <v>ㄕ</v>
      </c>
      <c r="L10217" s="1" t="str">
        <f t="shared" si="631"/>
        <v>ㄚ</v>
      </c>
      <c r="M10217" s="1" t="str">
        <f t="shared" si="632"/>
        <v/>
      </c>
      <c r="P10217" s="1" t="s">
        <v>20</v>
      </c>
      <c r="R10217" s="1" t="s">
        <v>20736</v>
      </c>
      <c r="V10217" s="1" t="s">
        <v>20745</v>
      </c>
      <c r="AR10217" s="1" t="str">
        <f t="shared" si="630"/>
        <v>| [ㄕㄚ](ㄕㄚ.md) | [紗](紗.md) |  | shā | [名]
1.輕軟細薄的絲織品。宋．陸游《老學庵筆記》卷六：「亳州出輕紗，舉之若無，裁以為衣，真若煙霧。」《紅樓夢》第一〇五回：「綢緞一百三十卷，紗綾一百八十卷。」
2.經緯線稀疏或有小孔的紡織物。如：「窗紗」、「鐵紗」。
3.用綿、麻紡成的細絲。如：「棉紗」、「紡紗」。唐．王維〈洛陽女兒行〉：「誰憐越女顏如玉，貧賤江頭自浣紗。」
[形]
用紗製成的。如：「紗帽」、「紗罩」。 |</v>
      </c>
    </row>
    <row r="10218" spans="1:44" hidden="1">
      <c r="A10218" s="1" t="s">
        <v>20746</v>
      </c>
      <c r="C10218" s="1">
        <v>1</v>
      </c>
      <c r="D10218" s="1" t="str">
        <f>"08788"</f>
        <v>08788</v>
      </c>
      <c r="E10218" s="1" t="s">
        <v>558</v>
      </c>
      <c r="F10218" s="1">
        <v>11</v>
      </c>
      <c r="G10218" s="1">
        <v>7</v>
      </c>
      <c r="H10218" s="1">
        <v>0</v>
      </c>
      <c r="I10218" s="1" t="s">
        <v>20735</v>
      </c>
      <c r="K10218" s="1" t="str">
        <f t="shared" si="629"/>
        <v>ㄕ</v>
      </c>
      <c r="L10218" s="1" t="str">
        <f t="shared" si="631"/>
        <v>ㄚ</v>
      </c>
      <c r="M10218" s="1" t="str">
        <f t="shared" si="632"/>
        <v/>
      </c>
      <c r="P10218" s="1" t="s">
        <v>20</v>
      </c>
      <c r="R10218" s="1" t="s">
        <v>20736</v>
      </c>
      <c r="V10218" s="1" t="s">
        <v>20747</v>
      </c>
      <c r="AR10218" s="1" t="str">
        <f t="shared" si="630"/>
        <v>| [ㄕㄚ](ㄕㄚ.md) | [逤](逤.md) |  | shā | [名]
邏逤：城市名。唐代時吐蕃的都城。 |</v>
      </c>
    </row>
    <row r="10219" spans="1:44" hidden="1">
      <c r="A10219" s="1" t="s">
        <v>20748</v>
      </c>
      <c r="C10219" s="1">
        <v>1</v>
      </c>
      <c r="D10219" s="1" t="str">
        <f>"08789"</f>
        <v>08789</v>
      </c>
      <c r="E10219" s="1" t="s">
        <v>37</v>
      </c>
      <c r="F10219" s="1">
        <v>11</v>
      </c>
      <c r="G10219" s="1">
        <v>7</v>
      </c>
      <c r="H10219" s="1">
        <v>2</v>
      </c>
      <c r="I10219" s="1" t="s">
        <v>20735</v>
      </c>
      <c r="K10219" s="1" t="str">
        <f t="shared" si="629"/>
        <v>ㄕ</v>
      </c>
      <c r="L10219" s="1" t="str">
        <f t="shared" si="631"/>
        <v>ㄚ</v>
      </c>
      <c r="M10219" s="1" t="str">
        <f t="shared" si="632"/>
        <v/>
      </c>
      <c r="P10219" s="1" t="s">
        <v>20</v>
      </c>
      <c r="R10219" s="1" t="s">
        <v>20736</v>
      </c>
      <c r="V10219" s="1" t="s">
        <v>20749</v>
      </c>
      <c r="W10219" s="1" t="s">
        <v>20750</v>
      </c>
      <c r="AR10219" s="1" t="str">
        <f t="shared" si="630"/>
        <v>| [ㄕㄚ](ㄕㄚ.md) | [莎](莎.md) |  | shā | 動物名。指莎雞。一種似蚱蜢的昆蟲，色黑，有數重翅膀。常在夏季的夜晚振翅作聲，鳴聲急促似紡絲。也稱為「絡緯」。 |</v>
      </c>
    </row>
    <row r="10220" spans="1:44" hidden="1">
      <c r="A10220" s="1" t="s">
        <v>20751</v>
      </c>
      <c r="C10220" s="1">
        <v>1</v>
      </c>
      <c r="D10220" s="1" t="str">
        <f>"08790"</f>
        <v>08790</v>
      </c>
      <c r="E10220" s="1" t="s">
        <v>40</v>
      </c>
      <c r="F10220" s="1">
        <v>12</v>
      </c>
      <c r="G10220" s="1">
        <v>7</v>
      </c>
      <c r="H10220" s="1">
        <v>0</v>
      </c>
      <c r="I10220" s="1" t="s">
        <v>20735</v>
      </c>
      <c r="K10220" s="1" t="str">
        <f t="shared" si="629"/>
        <v>ㄕ</v>
      </c>
      <c r="L10220" s="1" t="str">
        <f t="shared" si="631"/>
        <v>ㄚ</v>
      </c>
      <c r="M10220" s="1" t="str">
        <f t="shared" si="632"/>
        <v/>
      </c>
      <c r="P10220" s="1" t="s">
        <v>20</v>
      </c>
      <c r="R10220" s="1" t="s">
        <v>20736</v>
      </c>
      <c r="V10220" s="1" t="s">
        <v>20752</v>
      </c>
      <c r="AR10220" s="1" t="str">
        <f t="shared" si="630"/>
        <v>| [ㄕㄚ](ㄕㄚ.md) | [痧](痧.md) |  | shā | [名]
中醫上指中暑、霍亂、麻疹等疾病。如霍亂稱為「絞腸痧」、「弔腳痧」；麻疹稱為「痧子」。《文明小史》第四回：「他兩個又在路上中了暑，發了痧，不能趕路。」 |</v>
      </c>
    </row>
    <row r="10221" spans="1:44" hidden="1">
      <c r="A10221" s="1" t="s">
        <v>20753</v>
      </c>
      <c r="C10221" s="1">
        <v>1</v>
      </c>
      <c r="D10221" s="1" t="str">
        <f>"08791"</f>
        <v>08791</v>
      </c>
      <c r="E10221" s="1" t="s">
        <v>340</v>
      </c>
      <c r="F10221" s="1">
        <v>13</v>
      </c>
      <c r="G10221" s="1">
        <v>7</v>
      </c>
      <c r="H10221" s="1">
        <v>0</v>
      </c>
      <c r="I10221" s="1" t="s">
        <v>20735</v>
      </c>
      <c r="K10221" s="1" t="str">
        <f t="shared" si="629"/>
        <v>ㄕ</v>
      </c>
      <c r="L10221" s="1" t="str">
        <f t="shared" si="631"/>
        <v>ㄚ</v>
      </c>
      <c r="M10221" s="1" t="str">
        <f t="shared" si="632"/>
        <v/>
      </c>
      <c r="P10221" s="1" t="s">
        <v>20</v>
      </c>
      <c r="R10221" s="1" t="s">
        <v>20736</v>
      </c>
      <c r="V10221" s="1" t="s">
        <v>13246</v>
      </c>
      <c r="AR10221" s="1" t="str">
        <f t="shared" si="630"/>
        <v>| [ㄕㄚ](ㄕㄚ.md) | [裟](裟.md) |  | shā | 參見「袈裟」條。 |</v>
      </c>
    </row>
    <row r="10222" spans="1:44" hidden="1">
      <c r="A10222" s="1" t="s">
        <v>20754</v>
      </c>
      <c r="C10222" s="1">
        <v>1</v>
      </c>
      <c r="D10222" s="1" t="str">
        <f>"08792"</f>
        <v>08792</v>
      </c>
      <c r="E10222" s="1" t="s">
        <v>156</v>
      </c>
      <c r="F10222" s="1">
        <v>15</v>
      </c>
      <c r="G10222" s="1">
        <v>4</v>
      </c>
      <c r="H10222" s="1">
        <v>0</v>
      </c>
      <c r="I10222" s="1" t="s">
        <v>20735</v>
      </c>
      <c r="K10222" s="1" t="str">
        <f t="shared" si="629"/>
        <v>ㄕ</v>
      </c>
      <c r="L10222" s="1" t="str">
        <f t="shared" si="631"/>
        <v>ㄚ</v>
      </c>
      <c r="M10222" s="1" t="str">
        <f t="shared" si="632"/>
        <v/>
      </c>
      <c r="P10222" s="1" t="s">
        <v>20</v>
      </c>
      <c r="R10222" s="1" t="s">
        <v>20736</v>
      </c>
      <c r="V10222" s="1" t="s">
        <v>20755</v>
      </c>
      <c r="AR10222" s="1" t="str">
        <f t="shared" si="630"/>
        <v>| [ㄕㄚ](ㄕㄚ.md) | [魦](魦.md) |  | shā | 同「鯊」。 |</v>
      </c>
    </row>
    <row r="10223" spans="1:44" hidden="1">
      <c r="A10223" s="1" t="s">
        <v>20756</v>
      </c>
      <c r="C10223" s="1">
        <v>1</v>
      </c>
      <c r="D10223" s="1" t="str">
        <f>"08793"</f>
        <v>08793</v>
      </c>
      <c r="E10223" s="1" t="s">
        <v>156</v>
      </c>
      <c r="F10223" s="1">
        <v>18</v>
      </c>
      <c r="G10223" s="1">
        <v>7</v>
      </c>
      <c r="H10223" s="1">
        <v>0</v>
      </c>
      <c r="I10223" s="1" t="s">
        <v>20735</v>
      </c>
      <c r="K10223" s="1" t="str">
        <f t="shared" si="629"/>
        <v>ㄕ</v>
      </c>
      <c r="L10223" s="1" t="str">
        <f t="shared" si="631"/>
        <v>ㄚ</v>
      </c>
      <c r="M10223" s="1" t="str">
        <f t="shared" si="632"/>
        <v/>
      </c>
      <c r="P10223" s="1" t="s">
        <v>20</v>
      </c>
      <c r="R10223" s="1" t="s">
        <v>20736</v>
      </c>
      <c r="V10223" s="1" t="s">
        <v>20757</v>
      </c>
      <c r="AR10223" s="1" t="str">
        <f t="shared" si="630"/>
        <v>| [ㄕㄚ](ㄕㄚ.md) | [鯊](鯊.md) |  | shā | [名]
1.軟骨魚綱鮫目魚類的通稱。約有二百至二百五十種，多生活在海中。肉食性，性情凶猛。肉可食，肝可製成魚肝油，鰭可做魚翅，用途很廣。
2.一種生活在溪澗的小魚。明．李時珍《本草綱目．卷四四．鱗部．鯊魚》：「此非海中沙魚，乃南方溪澗中小魚也。居沙溝中，吹沙而游，咂沙而食。」 |</v>
      </c>
    </row>
    <row r="10224" spans="1:44" hidden="1">
      <c r="A10224" s="1" t="s">
        <v>20758</v>
      </c>
      <c r="C10224" s="1">
        <v>1</v>
      </c>
      <c r="D10224" s="1" t="str">
        <f>"08794"</f>
        <v>08794</v>
      </c>
      <c r="E10224" s="1" t="s">
        <v>139</v>
      </c>
      <c r="F10224" s="1">
        <v>7</v>
      </c>
      <c r="G10224" s="1">
        <v>3</v>
      </c>
      <c r="H10224" s="1">
        <v>2</v>
      </c>
      <c r="I10224" s="1" t="s">
        <v>20735</v>
      </c>
      <c r="K10224" s="1" t="str">
        <f t="shared" ref="K10224:K10287" si="633">LEFT(I10224, 1)</f>
        <v>ㄕ</v>
      </c>
      <c r="L10224" s="1" t="str">
        <f t="shared" si="631"/>
        <v>ㄚ</v>
      </c>
      <c r="M10224" s="1" t="str">
        <f t="shared" si="632"/>
        <v/>
      </c>
      <c r="P10224" s="1" t="s">
        <v>388</v>
      </c>
      <c r="R10224" s="1" t="s">
        <v>20736</v>
      </c>
      <c r="V10224" s="1" t="s">
        <v>407</v>
      </c>
      <c r="W10224" s="1" t="s">
        <v>20759</v>
      </c>
      <c r="AR10224" s="1" t="str">
        <f t="shared" si="630"/>
        <v>| [ㄕㄚ](ㄕㄚ.md) | [杉](杉.md) |  | shā | (一)之語音。 |</v>
      </c>
    </row>
    <row r="10225" spans="1:44" hidden="1">
      <c r="A10225" s="1" t="s">
        <v>19519</v>
      </c>
      <c r="C10225" s="1">
        <v>1</v>
      </c>
      <c r="D10225" s="1" t="str">
        <f>"08795"</f>
        <v>08795</v>
      </c>
      <c r="E10225" s="1" t="s">
        <v>185</v>
      </c>
      <c r="F10225" s="1">
        <v>9</v>
      </c>
      <c r="G10225" s="1">
        <v>7</v>
      </c>
      <c r="H10225" s="1">
        <v>2</v>
      </c>
      <c r="I10225" s="1" t="s">
        <v>20735</v>
      </c>
      <c r="K10225" s="1" t="str">
        <f t="shared" si="633"/>
        <v>ㄕ</v>
      </c>
      <c r="L10225" s="1" t="str">
        <f t="shared" si="631"/>
        <v>ㄚ</v>
      </c>
      <c r="M10225" s="1" t="str">
        <f t="shared" si="632"/>
        <v/>
      </c>
      <c r="P10225" s="1" t="s">
        <v>20</v>
      </c>
      <c r="R10225" s="1" t="s">
        <v>20736</v>
      </c>
      <c r="V10225" s="1" t="s">
        <v>20760</v>
      </c>
      <c r="W10225" s="1" t="s">
        <v>20761</v>
      </c>
      <c r="AR10225" s="1" t="str">
        <f t="shared" si="630"/>
        <v>| [ㄕㄚ](ㄕㄚ.md) | [剎](剎.md) |  | shā | [動]
止住。如：「剎車」。 |</v>
      </c>
    </row>
    <row r="10226" spans="1:44" hidden="1">
      <c r="A10226" s="1" t="s">
        <v>20762</v>
      </c>
      <c r="C10226" s="1">
        <v>1</v>
      </c>
      <c r="D10226" s="1" t="str">
        <f>"08796"</f>
        <v>08796</v>
      </c>
      <c r="E10226" s="1" t="s">
        <v>5505</v>
      </c>
      <c r="F10226" s="1">
        <v>11</v>
      </c>
      <c r="G10226" s="1">
        <v>7</v>
      </c>
      <c r="H10226" s="1">
        <v>1</v>
      </c>
      <c r="I10226" s="1" t="s">
        <v>20735</v>
      </c>
      <c r="K10226" s="1" t="str">
        <f t="shared" si="633"/>
        <v>ㄕ</v>
      </c>
      <c r="L10226" s="1" t="str">
        <f t="shared" si="631"/>
        <v>ㄚ</v>
      </c>
      <c r="M10226" s="1" t="str">
        <f t="shared" si="632"/>
        <v/>
      </c>
      <c r="P10226" s="1" t="s">
        <v>20</v>
      </c>
      <c r="R10226" s="1" t="s">
        <v>20736</v>
      </c>
      <c r="V10226" s="1" t="s">
        <v>20763</v>
      </c>
      <c r="W10226" s="1" t="s">
        <v>20764</v>
      </c>
      <c r="AR10226" s="1" t="str">
        <f t="shared" si="630"/>
        <v>| [ㄕㄚ](ㄕㄚ.md) | [殺](殺.md) |  | shā | [動]
1.以刀或武器使人或禽獸等失去生命。如：「殺人放火」、「殺豬宰羊」。
2.戰鬥。如：「殺出重圍」。《三國演義》第五回：「殺至天明，雄方引兵上關。」
3.敗壞。如：「殺風景」。
4.減省。如：「殺價」。 |</v>
      </c>
    </row>
    <row r="10227" spans="1:44" hidden="1">
      <c r="A10227" s="1" t="s">
        <v>20765</v>
      </c>
      <c r="C10227" s="1">
        <v>1</v>
      </c>
      <c r="D10227" s="1" t="str">
        <f>"08797"</f>
        <v>08797</v>
      </c>
      <c r="E10227" s="1" t="s">
        <v>24</v>
      </c>
      <c r="F10227" s="1">
        <v>14</v>
      </c>
      <c r="G10227" s="1">
        <v>11</v>
      </c>
      <c r="H10227" s="1">
        <v>2</v>
      </c>
      <c r="I10227" s="1" t="s">
        <v>20735</v>
      </c>
      <c r="K10227" s="1" t="str">
        <f t="shared" si="633"/>
        <v>ㄕ</v>
      </c>
      <c r="L10227" s="1" t="str">
        <f t="shared" si="631"/>
        <v>ㄚ</v>
      </c>
      <c r="M10227" s="1" t="str">
        <f t="shared" si="632"/>
        <v/>
      </c>
      <c r="P10227" s="1" t="s">
        <v>20</v>
      </c>
      <c r="R10227" s="1" t="s">
        <v>20736</v>
      </c>
      <c r="V10227" s="1" t="s">
        <v>20766</v>
      </c>
      <c r="W10227" s="1" t="s">
        <v>20767</v>
      </c>
      <c r="AR10227" s="1" t="str">
        <f t="shared" si="630"/>
        <v>| [ㄕㄚ](ㄕㄚ.md) | [摋](摋.md) |  | shā | [動]
雜揉。《淮南子．俶真》：「獨浮游無方之外，不與物相弊摋。」 |</v>
      </c>
    </row>
    <row r="10228" spans="1:44" hidden="1">
      <c r="A10228" s="1" t="s">
        <v>20768</v>
      </c>
      <c r="C10228" s="1">
        <v>1</v>
      </c>
      <c r="D10228" s="1" t="str">
        <f>"08798"</f>
        <v>08798</v>
      </c>
      <c r="E10228" s="1" t="s">
        <v>37</v>
      </c>
      <c r="F10228" s="1">
        <v>15</v>
      </c>
      <c r="G10228" s="1">
        <v>11</v>
      </c>
      <c r="H10228" s="1">
        <v>0</v>
      </c>
      <c r="I10228" s="1" t="s">
        <v>20735</v>
      </c>
      <c r="K10228" s="1" t="str">
        <f t="shared" si="633"/>
        <v>ㄕ</v>
      </c>
      <c r="L10228" s="1" t="str">
        <f t="shared" si="631"/>
        <v>ㄚ</v>
      </c>
      <c r="M10228" s="1" t="str">
        <f t="shared" si="632"/>
        <v/>
      </c>
      <c r="P10228" s="1" t="s">
        <v>20</v>
      </c>
      <c r="R10228" s="1" t="s">
        <v>20736</v>
      </c>
      <c r="V10228" s="1" t="s">
        <v>20769</v>
      </c>
      <c r="AR10228" s="1" t="str">
        <f t="shared" si="630"/>
        <v>| [ㄕㄚ](ㄕㄚ.md) | [蔱](蔱.md) |  | shā | 參見「蔱蘠」條。 |</v>
      </c>
    </row>
    <row r="10229" spans="1:44" hidden="1">
      <c r="A10229" s="1" t="s">
        <v>20770</v>
      </c>
      <c r="C10229" s="1">
        <v>1</v>
      </c>
      <c r="D10229" s="1" t="str">
        <f>"08799"</f>
        <v>08799</v>
      </c>
      <c r="E10229" s="1" t="s">
        <v>55</v>
      </c>
      <c r="F10229" s="1">
        <v>19</v>
      </c>
      <c r="G10229" s="1">
        <v>11</v>
      </c>
      <c r="H10229" s="1">
        <v>1</v>
      </c>
      <c r="I10229" s="1" t="s">
        <v>20735</v>
      </c>
      <c r="K10229" s="1" t="str">
        <f t="shared" si="633"/>
        <v>ㄕ</v>
      </c>
      <c r="L10229" s="1" t="str">
        <f t="shared" si="631"/>
        <v>ㄚ</v>
      </c>
      <c r="M10229" s="1" t="str">
        <f t="shared" si="632"/>
        <v/>
      </c>
      <c r="P10229" s="1" t="s">
        <v>20</v>
      </c>
      <c r="R10229" s="1" t="s">
        <v>20736</v>
      </c>
      <c r="V10229" s="1" t="s">
        <v>20771</v>
      </c>
      <c r="W10229" s="1" t="s">
        <v>20772</v>
      </c>
      <c r="AR10229" s="1" t="str">
        <f t="shared" si="630"/>
        <v>| [ㄕㄚ](ㄕㄚ.md) | [鎩](鎩.md) |  | shā | [名]
長矛。《文選．陸機．辯亡論》：「長棘勁鎩，望飆而奮。」
[動]
摧殘。《文選．左思．蜀都賦》：「鳥鎩翮，獸廢足。」南朝宋．鮑照〈拜侍郎上疏〉：「鎩羽暴鱗，復見翻躍。」 |</v>
      </c>
    </row>
    <row r="10230" spans="1:44" hidden="1">
      <c r="A10230" s="1" t="s">
        <v>20773</v>
      </c>
      <c r="C10230" s="1">
        <v>1</v>
      </c>
      <c r="D10230" s="1" t="str">
        <f>"08800"</f>
        <v>08800</v>
      </c>
      <c r="E10230" s="1" t="s">
        <v>336</v>
      </c>
      <c r="F10230" s="1">
        <v>13</v>
      </c>
      <c r="G10230" s="1">
        <v>9</v>
      </c>
      <c r="H10230" s="1">
        <v>2</v>
      </c>
      <c r="I10230" s="1" t="s">
        <v>20735</v>
      </c>
      <c r="K10230" s="1" t="str">
        <f t="shared" si="633"/>
        <v>ㄕ</v>
      </c>
      <c r="L10230" s="1" t="str">
        <f t="shared" si="631"/>
        <v>ㄚ</v>
      </c>
      <c r="M10230" s="1" t="str">
        <f t="shared" si="632"/>
        <v/>
      </c>
      <c r="P10230" s="1" t="s">
        <v>20</v>
      </c>
      <c r="R10230" s="1" t="s">
        <v>20736</v>
      </c>
      <c r="V10230" s="1" t="s">
        <v>20774</v>
      </c>
      <c r="W10230" s="1" t="s">
        <v>20775</v>
      </c>
      <c r="AR10230" s="1" t="str">
        <f t="shared" si="630"/>
        <v>| [ㄕㄚ](ㄕㄚ.md) | [煞](煞.md) |  | shā | [動]
1.殺死。同「殺」。明．朱有燉〈清河縣繼母大賢〉：「王謙在莒城打煞人了，叫我寄個信去，報與他母親知。」
2.停止。如：「煞車」。《紅樓夢》第九六回：「黛玉煞住腳聽時，又聽不出是誰的聲音。」 |</v>
      </c>
    </row>
    <row r="10231" spans="1:44" hidden="1">
      <c r="A10231" s="1" t="s">
        <v>18013</v>
      </c>
      <c r="C10231" s="1">
        <v>1</v>
      </c>
      <c r="D10231" s="1" t="str">
        <f>"08817"</f>
        <v>08817</v>
      </c>
      <c r="E10231" s="1" t="s">
        <v>563</v>
      </c>
      <c r="F10231" s="1">
        <v>9</v>
      </c>
      <c r="G10231" s="1">
        <v>6</v>
      </c>
      <c r="H10231" s="1">
        <v>2</v>
      </c>
      <c r="I10231" s="1" t="s">
        <v>20815</v>
      </c>
      <c r="K10231" s="1" t="str">
        <f t="shared" si="633"/>
        <v>ㄕ</v>
      </c>
      <c r="L10231" s="1" t="str">
        <f t="shared" si="631"/>
        <v>ㄜ</v>
      </c>
      <c r="M10231" s="1" t="str">
        <f t="shared" si="632"/>
        <v/>
      </c>
      <c r="P10231" s="1" t="s">
        <v>20</v>
      </c>
      <c r="R10231" s="1" t="s">
        <v>20816</v>
      </c>
      <c r="V10231" s="1" t="s">
        <v>20817</v>
      </c>
      <c r="W10231" s="1" t="s">
        <v>20818</v>
      </c>
      <c r="AR10231" s="1" t="str">
        <f t="shared" si="630"/>
        <v>| [ㄕㄜ](ㄕㄜ.md) | [奓](奓.md) |  | shē | [形]
奢侈、誇張。同「奢」。《說文解字．奢部》：「奢，張也。奓，籀文。」 |</v>
      </c>
    </row>
    <row r="10232" spans="1:44" hidden="1">
      <c r="A10232" s="1" t="s">
        <v>20819</v>
      </c>
      <c r="C10232" s="1">
        <v>1</v>
      </c>
      <c r="D10232" s="1" t="str">
        <f>"08818"</f>
        <v>08818</v>
      </c>
      <c r="E10232" s="1" t="s">
        <v>563</v>
      </c>
      <c r="F10232" s="1">
        <v>11</v>
      </c>
      <c r="G10232" s="1">
        <v>8</v>
      </c>
      <c r="H10232" s="1">
        <v>0</v>
      </c>
      <c r="I10232" s="1" t="s">
        <v>20815</v>
      </c>
      <c r="K10232" s="1" t="str">
        <f t="shared" si="633"/>
        <v>ㄕ</v>
      </c>
      <c r="L10232" s="1" t="str">
        <f t="shared" si="631"/>
        <v>ㄜ</v>
      </c>
      <c r="M10232" s="1" t="str">
        <f t="shared" si="632"/>
        <v/>
      </c>
      <c r="P10232" s="1" t="s">
        <v>20</v>
      </c>
      <c r="R10232" s="1" t="s">
        <v>20816</v>
      </c>
      <c r="V10232" s="1" t="s">
        <v>20820</v>
      </c>
      <c r="AR10232" s="1" t="str">
        <f t="shared" si="630"/>
        <v>| [ㄕㄜ](ㄕㄜ.md) | [奢](奢.md) |  | shē | [形]
1.用錢浪費，沒有節制。參見「奢侈」條。
2.誇張。《文選．司馬相如．子虛賦》：「今足下不稱楚王之德厚，而盛推雲夢以為高，奢言淫樂而顯侈靡。」
[副]
過分的、過多的。如：「奢望」、「奢求」。
[名]
姓。如明代有奢寅。 |</v>
      </c>
    </row>
    <row r="10233" spans="1:44" hidden="1">
      <c r="A10233" s="1" t="s">
        <v>20821</v>
      </c>
      <c r="C10233" s="1">
        <v>1</v>
      </c>
      <c r="D10233" s="1" t="str">
        <f>"08819"</f>
        <v>08819</v>
      </c>
      <c r="E10233" s="1" t="s">
        <v>753</v>
      </c>
      <c r="F10233" s="1">
        <v>12</v>
      </c>
      <c r="G10233" s="1">
        <v>7</v>
      </c>
      <c r="H10233" s="1">
        <v>2</v>
      </c>
      <c r="I10233" s="1" t="s">
        <v>20815</v>
      </c>
      <c r="K10233" s="1" t="str">
        <f t="shared" si="633"/>
        <v>ㄕ</v>
      </c>
      <c r="L10233" s="1" t="str">
        <f t="shared" si="631"/>
        <v>ㄜ</v>
      </c>
      <c r="M10233" s="1" t="str">
        <f t="shared" si="632"/>
        <v/>
      </c>
      <c r="P10233" s="1" t="s">
        <v>20</v>
      </c>
      <c r="R10233" s="1" t="s">
        <v>20816</v>
      </c>
      <c r="V10233" s="1" t="s">
        <v>20822</v>
      </c>
      <c r="W10233" s="1" t="s">
        <v>20823</v>
      </c>
      <c r="AR10233" s="1" t="str">
        <f t="shared" si="630"/>
        <v>| [ㄕㄜ](ㄕㄜ.md) | [畬](畬.md) |  | shē | [動]
用火燎原而後種植的耕作方式。晉．陶淵明〈和劉柴桑詩〉：「茅茨已就治，新疇復應畬。」
[名]
1.待火耕的荒田。唐．劉禹錫〈竹枝詞〉九首之九：「銀釧金釵來負水，長刀短笠去燒畬。」
2.姓。如明代有畬恭。 |</v>
      </c>
    </row>
    <row r="10234" spans="1:44" hidden="1">
      <c r="A10234" s="1" t="s">
        <v>20824</v>
      </c>
      <c r="C10234" s="1">
        <v>1</v>
      </c>
      <c r="D10234" s="1" t="str">
        <f>"08820"</f>
        <v>08820</v>
      </c>
      <c r="E10234" s="1" t="s">
        <v>505</v>
      </c>
      <c r="F10234" s="1">
        <v>14</v>
      </c>
      <c r="G10234" s="1">
        <v>7</v>
      </c>
      <c r="H10234" s="1">
        <v>0</v>
      </c>
      <c r="I10234" s="1" t="s">
        <v>20815</v>
      </c>
      <c r="K10234" s="1" t="str">
        <f t="shared" si="633"/>
        <v>ㄕ</v>
      </c>
      <c r="L10234" s="1" t="str">
        <f t="shared" si="631"/>
        <v>ㄜ</v>
      </c>
      <c r="M10234" s="1" t="str">
        <f t="shared" si="632"/>
        <v/>
      </c>
      <c r="P10234" s="1" t="s">
        <v>20</v>
      </c>
      <c r="R10234" s="1" t="s">
        <v>20816</v>
      </c>
      <c r="V10234" s="1" t="s">
        <v>20825</v>
      </c>
      <c r="AR10234" s="1" t="str">
        <f t="shared" si="630"/>
        <v>| [ㄕㄜ](ㄕㄜ.md) | [賒](賒.md) |  | shē | [動]
1.買賣貨物時先記帳，而後延期付款或收款。如：「賒帳」、「賒欠」。
2.寬恕、寬宥。南朝梁．江淹〈尚書符〉：「此而可賒，孰不可宥！」
[形]
1.遙遠。唐．王勃〈滕王閣序〉：「北海雖賒，扶搖可接。」明．王謙〈戲題扇上蹇驢作一小畫〉詩：「負重那堪道路賒，行行未得到村家。」
2.長久。唐．李中〈旅夜聞笛〉詩：「長笛起誰家，秋涼夜漏賒。」
3.稀疏、稀少。唐．錢起〈送費秀才歸衡州〉詩：「不畏心期阻，惟愁面會賒。」唐．張說〈岳州作〉詩：「物土南州異，關河北信賒。」
[名]
奢侈的行為。通「奢」。《後漢書．卷四九．王充等傳．論曰》：「楚楚衣服，戒在窮賒。」 |</v>
      </c>
    </row>
    <row r="10235" spans="1:44" hidden="1">
      <c r="A10235" s="1" t="s">
        <v>20893</v>
      </c>
      <c r="C10235" s="1">
        <v>1</v>
      </c>
      <c r="D10235" s="1" t="str">
        <f>"08851"</f>
        <v>08851</v>
      </c>
      <c r="E10235" s="1" t="s">
        <v>49</v>
      </c>
      <c r="F10235" s="1">
        <v>16</v>
      </c>
      <c r="G10235" s="1">
        <v>10</v>
      </c>
      <c r="H10235" s="1">
        <v>0</v>
      </c>
      <c r="I10235" s="1" t="s">
        <v>20894</v>
      </c>
      <c r="K10235" s="1" t="str">
        <f t="shared" si="633"/>
        <v>ㄕ</v>
      </c>
      <c r="L10235" s="1" t="str">
        <f t="shared" si="631"/>
        <v>ㄞ</v>
      </c>
      <c r="M10235" s="1" t="str">
        <f t="shared" si="632"/>
        <v/>
      </c>
      <c r="P10235" s="1" t="s">
        <v>20</v>
      </c>
      <c r="R10235" s="1" t="s">
        <v>20895</v>
      </c>
      <c r="V10235" s="1" t="s">
        <v>20896</v>
      </c>
      <c r="AR10235" s="1" t="str">
        <f t="shared" si="630"/>
        <v>| [ㄕㄞ](ㄕㄞ.md) | [篩](篩.md) |  | shāi | [名]
一種有密孔的竹器，可將粗細不同的顆粒分離。明．張自烈《正字通．竹部》：「篩，竹器，有孔以下物，去粗取細。」唐．李洞〈喜鸞公自蜀歸〉詩：「掃石月盈帚，濾泉花滿篩。」也稱為「篩子」。
[動]
1.用篩子過濾東西。如：「篩米」。《漢書．卷五一．賈山傳》：「縣石鑄鐘虡，篩土築阿房之宮。」
2.從孔隙中透過或漏下。多指風、光線等。如：「月光從竹簾外篩進來。」宋．范成大〈驚蟄家人子輩為易疏簾〉詩：「幽蟄夜驚雷奮地，小窗朝爽日篩簾。」
3.灑、落。《董西廂》卷七：「況是暮春天色，落紅萬點，風兒細細，雨兒微篩。」《西遊記》第八三回：「棒舉一天寒霧漫，劍迎滿地黑塵篩。」
4.斟酒、倒酒。《警世通言．卷一九．崔衙內白鷂招妖》：「衙內見篩下酒色紅，心中早驚：『如何恁地紅！』」
5.溫酒。如：「把酒篩一篩再喝！」《紅樓夢》第六三回：「兩個老婆子蹲在外面火盆上篩酒。」
6.敲打。如：「篩了幾下鑼。」《水滸傳》第四八回：「宋江又教小嘍囉篩鑼，聚攏眾好漢，且戰且走。」
7.妄言、胡言亂語。明．湯顯祖《牡丹亭》第二三齣：「則你那小鬼頭胡亂篩，俺判官頭何處買？」 |</v>
      </c>
    </row>
    <row r="10236" spans="1:44" hidden="1">
      <c r="A10236" s="1" t="s">
        <v>20914</v>
      </c>
      <c r="C10236" s="1">
        <v>1</v>
      </c>
      <c r="D10236" s="1" t="str">
        <f>"08858"</f>
        <v>08858</v>
      </c>
      <c r="E10236" s="1" t="s">
        <v>24</v>
      </c>
      <c r="F10236" s="1">
        <v>10</v>
      </c>
      <c r="G10236" s="1">
        <v>7</v>
      </c>
      <c r="H10236" s="1">
        <v>1</v>
      </c>
      <c r="I10236" s="1" t="s">
        <v>20915</v>
      </c>
      <c r="K10236" s="1" t="str">
        <f t="shared" si="633"/>
        <v>ㄕ</v>
      </c>
      <c r="L10236" s="1" t="str">
        <f t="shared" si="631"/>
        <v>ㄠ</v>
      </c>
      <c r="M10236" s="1" t="str">
        <f t="shared" si="632"/>
        <v/>
      </c>
      <c r="P10236" s="1" t="s">
        <v>20</v>
      </c>
      <c r="R10236" s="1" t="s">
        <v>20916</v>
      </c>
      <c r="V10236" s="1" t="s">
        <v>20917</v>
      </c>
      <c r="W10236" s="1" t="s">
        <v>20918</v>
      </c>
      <c r="AR10236" s="1" t="str">
        <f t="shared" si="630"/>
        <v>| [ㄕㄠ](ㄕㄠ.md) | [捎](捎.md) |  | shāo | [動]
1.順便請人攜帶物品。如：「捎信」、「捎帶」。《水滸傳》第五六回：「先父臨終之日，留下這些東西，教寄與哥哥做遺念。為因無心腹之人，不曾捎來。」
2.拂、掠。唐．白居易〈新樂府．秦吉了〉：「鳶捎乳燕一巢覆，烏啄母雞雙眼枯。」明．沈周〈題畫〉：「西風捎鬢腳，直得不梳頭。」
3.割除。漢．張衡〈東京賦〉：「捎魑魅，斮獝狂。」三國魏．曹植〈野田黃雀行〉：「拔劍捎羅網，黃雀得飛飛。」 |</v>
      </c>
    </row>
    <row r="10237" spans="1:44" hidden="1">
      <c r="A10237" s="1" t="s">
        <v>20919</v>
      </c>
      <c r="C10237" s="1">
        <v>1</v>
      </c>
      <c r="D10237" s="1" t="str">
        <f>"08859"</f>
        <v>08859</v>
      </c>
      <c r="E10237" s="1" t="s">
        <v>103</v>
      </c>
      <c r="F10237" s="1">
        <v>10</v>
      </c>
      <c r="G10237" s="1">
        <v>7</v>
      </c>
      <c r="H10237" s="1">
        <v>0</v>
      </c>
      <c r="I10237" s="1" t="s">
        <v>20915</v>
      </c>
      <c r="K10237" s="1" t="str">
        <f t="shared" si="633"/>
        <v>ㄕ</v>
      </c>
      <c r="L10237" s="1" t="str">
        <f t="shared" si="631"/>
        <v>ㄠ</v>
      </c>
      <c r="M10237" s="1" t="str">
        <f t="shared" si="632"/>
        <v/>
      </c>
      <c r="P10237" s="1" t="s">
        <v>20</v>
      </c>
      <c r="R10237" s="1" t="s">
        <v>20916</v>
      </c>
      <c r="V10237" s="1" t="s">
        <v>20920</v>
      </c>
      <c r="AR10237" s="1" t="str">
        <f t="shared" si="630"/>
        <v>| [ㄕㄠ](ㄕㄠ.md) | [弰](弰.md) |  | shāo | [名]
1.弓的兩端。《集韻．平聲．肴韻》：「弰，弓末。」北周．庾信〈擬詠懷詩〉二七首之一五：「輕雲飄馬足，明月動弓弰。」
2.泛指弓。唐．劉禹錫〈壯士行〉：「壯士走馬去，鐙前彎玉弰。」 |</v>
      </c>
    </row>
    <row r="10238" spans="1:44" hidden="1">
      <c r="A10238" s="1" t="s">
        <v>20921</v>
      </c>
      <c r="C10238" s="1">
        <v>1</v>
      </c>
      <c r="D10238" s="1" t="str">
        <f>"08860"</f>
        <v>08860</v>
      </c>
      <c r="E10238" s="1" t="s">
        <v>139</v>
      </c>
      <c r="F10238" s="1">
        <v>11</v>
      </c>
      <c r="G10238" s="1">
        <v>7</v>
      </c>
      <c r="H10238" s="1">
        <v>0</v>
      </c>
      <c r="I10238" s="1" t="s">
        <v>20915</v>
      </c>
      <c r="K10238" s="1" t="str">
        <f t="shared" si="633"/>
        <v>ㄕ</v>
      </c>
      <c r="L10238" s="1" t="str">
        <f t="shared" si="631"/>
        <v>ㄠ</v>
      </c>
      <c r="M10238" s="1" t="str">
        <f t="shared" si="632"/>
        <v/>
      </c>
      <c r="P10238" s="1" t="s">
        <v>20</v>
      </c>
      <c r="R10238" s="1" t="s">
        <v>20916</v>
      </c>
      <c r="V10238" s="1" t="s">
        <v>20922</v>
      </c>
      <c r="AR10238" s="1" t="str">
        <f t="shared" si="630"/>
        <v>| [ㄕㄠ](ㄕㄠ.md) | [梢](梢.md) |  | shāo | [名]
1.樹枝的末端。如：「樹梢」、「柳梢」。
2.事物或時間的末尾。如：「眉梢」、「髮梢」。宋．楊萬里〈月下杲飲〉詩七首之三：「一年過暑一番愁，六月梢時七月頭。」
3.小木柴。《淮南子．兵略》：「曳梢肆柴，揚塵起堨，所以營其目者。」
4.竿子。《漢書．卷二二．禮樂志》：「飾玉梢以舞歌，體招搖若永望。」
5.旌旗上的飄帶。通「旓」。《漢書．卷八七．揚雄傳上》：「揚左纛，被雲梢。」 |</v>
      </c>
    </row>
    <row r="10239" spans="1:44" hidden="1">
      <c r="A10239" s="1" t="s">
        <v>20923</v>
      </c>
      <c r="C10239" s="1">
        <v>1</v>
      </c>
      <c r="D10239" s="1" t="str">
        <f>"08861"</f>
        <v>08861</v>
      </c>
      <c r="E10239" s="1" t="s">
        <v>429</v>
      </c>
      <c r="F10239" s="1">
        <v>12</v>
      </c>
      <c r="G10239" s="1">
        <v>7</v>
      </c>
      <c r="H10239" s="1">
        <v>1</v>
      </c>
      <c r="I10239" s="1" t="s">
        <v>20915</v>
      </c>
      <c r="K10239" s="1" t="str">
        <f t="shared" si="633"/>
        <v>ㄕ</v>
      </c>
      <c r="L10239" s="1" t="str">
        <f t="shared" si="631"/>
        <v>ㄠ</v>
      </c>
      <c r="M10239" s="1" t="str">
        <f t="shared" si="632"/>
        <v/>
      </c>
      <c r="P10239" s="1" t="s">
        <v>20</v>
      </c>
      <c r="R10239" s="1" t="s">
        <v>20916</v>
      </c>
      <c r="V10239" s="1" t="s">
        <v>20924</v>
      </c>
      <c r="W10239" s="1" t="s">
        <v>20925</v>
      </c>
      <c r="AR10239" s="1" t="str">
        <f t="shared" si="630"/>
        <v>| [ㄕㄠ](ㄕㄠ.md) | [稍](稍.md) |  | shāo | [副]
1.略微。如：「請稍候」、「稍縱即逝」。
2.頗、甚。《文選．江淹．恨賦》：「紫臺稍遠，關山無極。」唐．柳宗元〈與崔策登西山〉詩：「謫居安所習？稍厭從紛擾。」
3.已經。唐．趙冬曦〈和尹懋秋夜遊灉湖〉詩二首之一：「山暗雲猶辨，潭幽月稍來。」
4.正、方才。宋．陳師道〈寄晁無斁春懷〉詩：「稍聽春鳥語叮嚀，又見官池出斷冰。」
[名]
1.俸祿。《儀禮．聘禮》：「赴者至，則衰而出，唯稍受之。」漢．鄭玄．注：「稍，廩食也。」
2.錢財、賭本。《喻世明言．卷二一．臨安里錢婆留發跡》：「公子寬坐，容在下回家去，再取稍來決賭何如？」
3.姓。如漢代有稍騰。 |</v>
      </c>
    </row>
    <row r="10240" spans="1:44" hidden="1">
      <c r="A10240" s="1" t="s">
        <v>20926</v>
      </c>
      <c r="C10240" s="1">
        <v>1</v>
      </c>
      <c r="D10240" s="1" t="str">
        <f>"08862"</f>
        <v>08862</v>
      </c>
      <c r="E10240" s="1" t="s">
        <v>800</v>
      </c>
      <c r="F10240" s="1">
        <v>13</v>
      </c>
      <c r="G10240" s="1">
        <v>9</v>
      </c>
      <c r="H10240" s="1">
        <v>0</v>
      </c>
      <c r="I10240" s="1" t="s">
        <v>20915</v>
      </c>
      <c r="K10240" s="1" t="str">
        <f t="shared" si="633"/>
        <v>ㄕ</v>
      </c>
      <c r="L10240" s="1" t="str">
        <f t="shared" si="631"/>
        <v>ㄠ</v>
      </c>
      <c r="M10240" s="1" t="str">
        <f t="shared" si="632"/>
        <v/>
      </c>
      <c r="P10240" s="1" t="s">
        <v>20</v>
      </c>
      <c r="R10240" s="1" t="s">
        <v>20916</v>
      </c>
      <c r="V10240" s="1" t="s">
        <v>20927</v>
      </c>
      <c r="AR10240" s="1" t="str">
        <f t="shared" si="630"/>
        <v>| [ㄕㄠ](ㄕㄠ.md) | [旓](旓.md) |  | shāo | [名]
古代裝飾旌旗的飄帶。《文選．揚雄．甘泉賦》：「建光燿之長旓兮，昭華覆之威威。」 |</v>
      </c>
    </row>
    <row r="10241" spans="1:44" hidden="1">
      <c r="A10241" s="1" t="s">
        <v>20928</v>
      </c>
      <c r="C10241" s="1">
        <v>1</v>
      </c>
      <c r="D10241" s="1" t="str">
        <f>"08863"</f>
        <v>08863</v>
      </c>
      <c r="E10241" s="1" t="s">
        <v>37</v>
      </c>
      <c r="F10241" s="1">
        <v>13</v>
      </c>
      <c r="G10241" s="1">
        <v>9</v>
      </c>
      <c r="H10241" s="1">
        <v>1</v>
      </c>
      <c r="I10241" s="1" t="s">
        <v>20915</v>
      </c>
      <c r="K10241" s="1" t="str">
        <f t="shared" si="633"/>
        <v>ㄕ</v>
      </c>
      <c r="L10241" s="1" t="str">
        <f t="shared" si="631"/>
        <v>ㄠ</v>
      </c>
      <c r="M10241" s="1" t="str">
        <f t="shared" si="632"/>
        <v/>
      </c>
      <c r="P10241" s="1" t="s">
        <v>20</v>
      </c>
      <c r="R10241" s="1" t="s">
        <v>20916</v>
      </c>
      <c r="V10241" s="1" t="s">
        <v>20929</v>
      </c>
      <c r="W10241" s="1" t="s">
        <v>20930</v>
      </c>
      <c r="AR10241" s="1" t="str">
        <f t="shared" si="630"/>
        <v>| [ㄕㄠ](ㄕㄠ.md) | [萷](萷.md) |  | shāo | [名]
樹梢。同「梢」。《楚辭．宋玉．九辯》：「萷櫹槮之可哀兮，形銷鑠而瘀傷。」 |</v>
      </c>
    </row>
    <row r="10242" spans="1:44" hidden="1">
      <c r="A10242" s="1" t="s">
        <v>16622</v>
      </c>
      <c r="C10242" s="1">
        <v>1</v>
      </c>
      <c r="D10242" s="1" t="str">
        <f>"08864"</f>
        <v>08864</v>
      </c>
      <c r="E10242" s="1" t="s">
        <v>679</v>
      </c>
      <c r="F10242" s="1">
        <v>13</v>
      </c>
      <c r="G10242" s="1">
        <v>7</v>
      </c>
      <c r="H10242" s="1">
        <v>2</v>
      </c>
      <c r="I10242" s="1" t="s">
        <v>20915</v>
      </c>
      <c r="K10242" s="1" t="str">
        <f t="shared" si="633"/>
        <v>ㄕ</v>
      </c>
      <c r="L10242" s="1" t="str">
        <f t="shared" si="631"/>
        <v>ㄠ</v>
      </c>
      <c r="M10242" s="1" t="str">
        <f t="shared" si="632"/>
        <v/>
      </c>
      <c r="P10242" s="1" t="s">
        <v>20</v>
      </c>
      <c r="R10242" s="1" t="s">
        <v>20916</v>
      </c>
      <c r="V10242" s="1" t="s">
        <v>16659</v>
      </c>
      <c r="W10242" s="1" t="s">
        <v>20931</v>
      </c>
      <c r="AR10242" s="1" t="str">
        <f t="shared" si="630"/>
        <v>| [ㄕㄠ](ㄕㄠ.md) | [蛸](蛸.md) |  | shāo | 參見「蠨蛸」條。 |</v>
      </c>
    </row>
    <row r="10243" spans="1:44" hidden="1">
      <c r="A10243" s="1" t="s">
        <v>20932</v>
      </c>
      <c r="C10243" s="1">
        <v>1</v>
      </c>
      <c r="D10243" s="1" t="str">
        <f>"08865"</f>
        <v>08865</v>
      </c>
      <c r="E10243" s="1" t="s">
        <v>49</v>
      </c>
      <c r="F10243" s="1">
        <v>13</v>
      </c>
      <c r="G10243" s="1">
        <v>7</v>
      </c>
      <c r="H10243" s="1">
        <v>0</v>
      </c>
      <c r="I10243" s="1" t="s">
        <v>20915</v>
      </c>
      <c r="K10243" s="1" t="str">
        <f t="shared" si="633"/>
        <v>ㄕ</v>
      </c>
      <c r="L10243" s="1" t="str">
        <f t="shared" si="631"/>
        <v>ㄠ</v>
      </c>
      <c r="M10243" s="1" t="str">
        <f t="shared" si="632"/>
        <v/>
      </c>
      <c r="P10243" s="1" t="s">
        <v>20</v>
      </c>
      <c r="R10243" s="1" t="s">
        <v>20916</v>
      </c>
      <c r="V10243" s="1" t="s">
        <v>20933</v>
      </c>
      <c r="AR10243" s="1" t="str">
        <f t="shared" ref="AR10243:AR10306" si="634">"| ["&amp;I10243&amp;"]("&amp;I10243&amp;".md) | ["&amp;A10243&amp;"]("&amp;A10243&amp;".md) | "&amp;" | "&amp;R10243&amp;" | "&amp;V10243&amp;" |"</f>
        <v>| [ㄕㄠ](ㄕㄠ.md) | [筲](筲.md) |  | shāo | [名]_x000D_
1.裝筷子的竹器。清．王念孫《廣雅疏證．卷七下．釋器》：「筲，箸筩也。」_x000D_
2.古代用來裝飯的竹器，可容納一斗二升。《新唐書．卷二二二．南蠻傳下．兩爨蠻傳》：「飯用竹筲摶而啖之，烏杯貯羹如雞彞。」唐．陸龜蒙〈奉和襲美新秋言懷〉詩：「白菌盈枯櫱，黃精滿綠筲。」_x000D_
3.大陸北方地區一帶稱挑水的水桶為「筲」。_x000D_
[形]_x000D_
參見「斗筲」條。 |</v>
      </c>
    </row>
    <row r="10244" spans="1:44" hidden="1">
      <c r="A10244" s="1" t="s">
        <v>20934</v>
      </c>
      <c r="C10244" s="1">
        <v>1</v>
      </c>
      <c r="D10244" s="1" t="str">
        <f>"08866"</f>
        <v>08866</v>
      </c>
      <c r="E10244" s="1" t="s">
        <v>181</v>
      </c>
      <c r="F10244" s="1">
        <v>13</v>
      </c>
      <c r="G10244" s="1">
        <v>7</v>
      </c>
      <c r="H10244" s="1">
        <v>0</v>
      </c>
      <c r="I10244" s="1" t="s">
        <v>20915</v>
      </c>
      <c r="K10244" s="1" t="str">
        <f t="shared" si="633"/>
        <v>ㄕ</v>
      </c>
      <c r="L10244" s="1" t="str">
        <f t="shared" si="631"/>
        <v>ㄠ</v>
      </c>
      <c r="M10244" s="1" t="str">
        <f t="shared" si="632"/>
        <v/>
      </c>
      <c r="P10244" s="1" t="s">
        <v>20</v>
      </c>
      <c r="R10244" s="1" t="s">
        <v>20916</v>
      </c>
      <c r="V10244" s="1" t="s">
        <v>20935</v>
      </c>
      <c r="AR10244" s="1" t="str">
        <f t="shared" si="634"/>
        <v>| [ㄕㄠ](ㄕㄠ.md) | [艄](艄.md) |  | shāo | [名]
1.船尾。《醒世恆言．卷三二．黃秀才徼靈玉馬墜》：「但前艙貨物充滿，只可以艄頭存生，夜間在火艙歇宿。」《儒林外史》第五一回：「在艄上一個夾剪艙底下，拿出一個大口袋來。」
2.船舵。如：「掌艄」。《初刻拍案驚奇》卷二二：「從此只在往來船隻上，替他執艄度日。」 |</v>
      </c>
    </row>
    <row r="10245" spans="1:44" hidden="1">
      <c r="A10245" s="1" t="s">
        <v>15282</v>
      </c>
      <c r="C10245" s="1">
        <v>1</v>
      </c>
      <c r="D10245" s="1" t="str">
        <f>"08867"</f>
        <v>08867</v>
      </c>
      <c r="E10245" s="1" t="s">
        <v>96</v>
      </c>
      <c r="F10245" s="1">
        <v>16</v>
      </c>
      <c r="G10245" s="1">
        <v>7</v>
      </c>
      <c r="H10245" s="1">
        <v>2</v>
      </c>
      <c r="I10245" s="1" t="s">
        <v>20915</v>
      </c>
      <c r="K10245" s="1" t="str">
        <f t="shared" si="633"/>
        <v>ㄕ</v>
      </c>
      <c r="L10245" s="1" t="str">
        <f t="shared" si="631"/>
        <v>ㄠ</v>
      </c>
      <c r="M10245" s="1" t="str">
        <f t="shared" si="632"/>
        <v/>
      </c>
      <c r="P10245" s="1" t="s">
        <v>20</v>
      </c>
      <c r="R10245" s="1" t="s">
        <v>20916</v>
      </c>
      <c r="V10245" s="1" t="s">
        <v>20936</v>
      </c>
      <c r="W10245" s="1" t="s">
        <v>20937</v>
      </c>
      <c r="AR10245" s="1" t="str">
        <f t="shared" si="634"/>
        <v>| [ㄕㄠ](ㄕㄠ.md) | [鞘](鞘.md) |  | shāo | [名]
拴在鞭子上頭的細皮條。《晉書．卷一一四．苻堅載記下》：「長鞘馬鞭擊左股，太歲南行當復虜。」 |</v>
      </c>
    </row>
    <row r="10246" spans="1:44" hidden="1">
      <c r="A10246" s="1" t="s">
        <v>20938</v>
      </c>
      <c r="C10246" s="1">
        <v>1</v>
      </c>
      <c r="D10246" s="1" t="str">
        <f>"08868"</f>
        <v>08868</v>
      </c>
      <c r="E10246" s="1" t="s">
        <v>49</v>
      </c>
      <c r="F10246" s="1">
        <v>16</v>
      </c>
      <c r="G10246" s="1">
        <v>10</v>
      </c>
      <c r="H10246" s="1">
        <v>0</v>
      </c>
      <c r="I10246" s="1" t="s">
        <v>20915</v>
      </c>
      <c r="K10246" s="1" t="str">
        <f t="shared" si="633"/>
        <v>ㄕ</v>
      </c>
      <c r="L10246" s="1" t="str">
        <f t="shared" si="631"/>
        <v>ㄠ</v>
      </c>
      <c r="M10246" s="1" t="str">
        <f t="shared" si="632"/>
        <v/>
      </c>
      <c r="P10246" s="1" t="s">
        <v>20</v>
      </c>
      <c r="R10246" s="1" t="s">
        <v>20916</v>
      </c>
      <c r="V10246" s="1" t="s">
        <v>20939</v>
      </c>
      <c r="AR10246" s="1" t="str">
        <f t="shared" si="634"/>
        <v>| [ㄕㄠ](ㄕㄠ.md) | [䈰](䈰.md) |  | shāo | [名]
1.用細竹條製成的刷鍋用具。《說文解字．竹部》：「䈰，陳留謂飯帚曰䈰。」
2.古代盛飯的竹器。《說文解字．竹部》：「䈰，一曰飯器，容五升。」
3.裝筷子的竹筒。《說文解字．竹部》：「䈰，一曰宋、魏謂箸筩為䈰。」
4.桶子。如：「水䈰」。 |</v>
      </c>
    </row>
    <row r="10247" spans="1:44" hidden="1">
      <c r="A10247" s="1" t="s">
        <v>20940</v>
      </c>
      <c r="C10247" s="1">
        <v>1</v>
      </c>
      <c r="D10247" s="1" t="str">
        <f>"08869"</f>
        <v>08869</v>
      </c>
      <c r="E10247" s="1" t="s">
        <v>1078</v>
      </c>
      <c r="F10247" s="1">
        <v>17</v>
      </c>
      <c r="G10247" s="1">
        <v>7</v>
      </c>
      <c r="H10247" s="1">
        <v>0</v>
      </c>
      <c r="I10247" s="1" t="s">
        <v>20915</v>
      </c>
      <c r="K10247" s="1" t="str">
        <f t="shared" si="633"/>
        <v>ㄕ</v>
      </c>
      <c r="L10247" s="1" t="str">
        <f t="shared" si="631"/>
        <v>ㄠ</v>
      </c>
      <c r="M10247" s="1" t="str">
        <f t="shared" si="632"/>
        <v/>
      </c>
      <c r="P10247" s="1" t="s">
        <v>20</v>
      </c>
      <c r="R10247" s="1" t="s">
        <v>20916</v>
      </c>
      <c r="V10247" s="1" t="s">
        <v>20941</v>
      </c>
      <c r="AR10247" s="1" t="str">
        <f t="shared" si="634"/>
        <v>| [ㄕㄠ](ㄕㄠ.md) | [髾](髾.md) |  | shāo | [名]
1.髮梢。《廣韻．平聲．肴韻》：「髾，髮尾。」《宋史．卷四八九．外國傳五．占城傳》：「撮髮為髻，散垂餘髾於其後。」
2.古代婦女衣服上的飾物，形似燕尾。《漢書．卷五七．司馬相如傳上》：「衯衯裶裶，揚衪戌削，蜚襳垂髾。」唐．顏師古．注：「髾謂燕尾之屬，皆衣上假飾，非髻垂也。」
3.旌旗上所垂飾的羽毛。《後漢書．卷六〇上．馬融傳》：「曳長庚之飛髾，載日月之太常。」 |</v>
      </c>
    </row>
    <row r="10248" spans="1:44" hidden="1">
      <c r="A10248" s="1" t="s">
        <v>20942</v>
      </c>
      <c r="C10248" s="1">
        <v>1</v>
      </c>
      <c r="D10248" s="1" t="str">
        <f>"08870"</f>
        <v>08870</v>
      </c>
      <c r="E10248" s="1" t="s">
        <v>49</v>
      </c>
      <c r="F10248" s="1">
        <v>17</v>
      </c>
      <c r="G10248" s="1">
        <v>11</v>
      </c>
      <c r="H10248" s="1">
        <v>0</v>
      </c>
      <c r="I10248" s="1" t="s">
        <v>20915</v>
      </c>
      <c r="K10248" s="1" t="str">
        <f t="shared" si="633"/>
        <v>ㄕ</v>
      </c>
      <c r="L10248" s="1" t="str">
        <f t="shared" si="631"/>
        <v>ㄠ</v>
      </c>
      <c r="M10248" s="1" t="str">
        <f t="shared" si="632"/>
        <v/>
      </c>
      <c r="P10248" s="1" t="s">
        <v>20</v>
      </c>
      <c r="R10248" s="1" t="s">
        <v>20916</v>
      </c>
      <c r="V10248" s="1" t="s">
        <v>20943</v>
      </c>
      <c r="AR10248" s="1" t="str">
        <f t="shared" si="634"/>
        <v>| [ㄕㄠ](ㄕㄠ.md) | [䈾](䈾.md) |  | shāo | [名]
船舵的尾端。明．張自烈《正字通．竹部》：「䈾，俗呼船舵尾曰䈾。」
[動]
搖動。《文選．馬融．長笛賦》：「故其應清風也，纖末奮䈾。」 |</v>
      </c>
    </row>
    <row r="10249" spans="1:44" hidden="1">
      <c r="A10249" s="1" t="s">
        <v>20944</v>
      </c>
      <c r="C10249" s="1">
        <v>1</v>
      </c>
      <c r="D10249" s="1" t="str">
        <f>"08871"</f>
        <v>08871</v>
      </c>
      <c r="E10249" s="1" t="s">
        <v>336</v>
      </c>
      <c r="F10249" s="1">
        <v>16</v>
      </c>
      <c r="G10249" s="1">
        <v>12</v>
      </c>
      <c r="H10249" s="1">
        <v>0</v>
      </c>
      <c r="I10249" s="1" t="s">
        <v>20915</v>
      </c>
      <c r="K10249" s="1" t="str">
        <f t="shared" si="633"/>
        <v>ㄕ</v>
      </c>
      <c r="L10249" s="1" t="str">
        <f t="shared" si="631"/>
        <v>ㄠ</v>
      </c>
      <c r="M10249" s="1" t="str">
        <f t="shared" si="632"/>
        <v/>
      </c>
      <c r="P10249" s="1" t="s">
        <v>20</v>
      </c>
      <c r="R10249" s="1" t="s">
        <v>20916</v>
      </c>
      <c r="V10249" s="1" t="s">
        <v>20945</v>
      </c>
      <c r="AR10249" s="1" t="str">
        <f t="shared" si="634"/>
        <v>| [ㄕㄠ](ㄕㄠ.md) | [燒](燒.md) |  | shāo | [動]
1.使東西著火。如：「燃燒」。唐．白居易〈賦得古原草送別〉詩：「野火燒不盡，春風吹又生。」
2.加熱使物體發生變化。如：「燒飯」、「燒水」、「燒炭」、「燒磚」。
3.一種烹調方法：(1)先用油炸，再加湯汁來炒或煮。如：「燒茄子」、「紅燒鯉魚」。(2)烤。如：「燒烤」、「叉燒」。
[名]
人因病而體溫失常，發生高熱。如：「發燒」。
[形]
1.燒烤的。如：「燒餅」、「燒雞」、「燒鴨」。
2.在音響界極受注目的。如：「這一張紀念莫札特二百年的選曲唱片，是一張狂熱的燒碟。」 |</v>
      </c>
    </row>
    <row r="10250" spans="1:44" hidden="1">
      <c r="A10250" s="1" t="s">
        <v>20987</v>
      </c>
      <c r="C10250" s="1">
        <v>1</v>
      </c>
      <c r="D10250" s="1" t="str">
        <f>"08889"</f>
        <v>08889</v>
      </c>
      <c r="E10250" s="1" t="s">
        <v>426</v>
      </c>
      <c r="F10250" s="1">
        <v>6</v>
      </c>
      <c r="G10250" s="1">
        <v>2</v>
      </c>
      <c r="H10250" s="1">
        <v>0</v>
      </c>
      <c r="I10250" s="1" t="s">
        <v>20988</v>
      </c>
      <c r="K10250" s="1" t="str">
        <f t="shared" si="633"/>
        <v>ㄕ</v>
      </c>
      <c r="L10250" s="1" t="str">
        <f t="shared" ref="L10250:L10313" si="635">MID(I10250, 2, 1)</f>
        <v>ㄡ</v>
      </c>
      <c r="M10250" s="1" t="str">
        <f t="shared" si="632"/>
        <v/>
      </c>
      <c r="P10250" s="1" t="s">
        <v>20</v>
      </c>
      <c r="R10250" s="1" t="s">
        <v>20989</v>
      </c>
      <c r="V10250" s="1" t="s">
        <v>20990</v>
      </c>
      <c r="AR10250" s="1" t="str">
        <f t="shared" si="634"/>
        <v>| [ㄕㄡ](ㄕㄡ.md) | [收](收.md) |  | shōu | [動]
1.拘押、捉拿。如：「收押禁見」、「收捕罪犯」、「收妖降奸」。
2.收回、取回。如：「收復」、「資源回收」、「鳴金收兵」。
3.獲得、索取。如：「收入」、「收支」、「徵收稅款」。
4.接到、接受。如：「收信」、「簽收」、「驗收」、「查收」、「接收」。
5.割取成熟的農作物。如：「秋收冬藏」、「收割稻子」。
6.保存儲藏。如：「收藏」、「這張字畫，要小心收好！」
7.聚斂、縮合。如：「收斂」、「收縮」、「把傘收起來，擺到門外。」、「瘡傷已經收口兒了。」
8.容納、接納。如：「收容」、「收留」、「這本詩集收了他的詩。」
9.整飭、整理。如：「收拾行李」、「院子的雜物，趕快收一收，客人快來了。」
10. 埋葬。如：「收埋屍體」。《左傳．僖公三十二年》：「必死是間，余收爾骨焉。」
11. 購買。如：「大肆收購一番。」、「專收便宜貨。」
12. 結束、停止。如：「收工」、「收攤」、「收假」。
13. 控制、約束。如：「收不住腳」、「收心不想」。 |</v>
      </c>
    </row>
    <row r="10251" spans="1:44" hidden="1">
      <c r="A10251" s="1" t="s">
        <v>21028</v>
      </c>
      <c r="C10251" s="1">
        <v>1</v>
      </c>
      <c r="D10251" s="1" t="str">
        <f>"08905"</f>
        <v>08905</v>
      </c>
      <c r="E10251" s="1" t="s">
        <v>190</v>
      </c>
      <c r="F10251" s="1">
        <v>3</v>
      </c>
      <c r="G10251" s="1">
        <v>0</v>
      </c>
      <c r="H10251" s="1">
        <v>0</v>
      </c>
      <c r="I10251" s="1" t="s">
        <v>21029</v>
      </c>
      <c r="K10251" s="1" t="str">
        <f t="shared" si="633"/>
        <v>ㄕ</v>
      </c>
      <c r="L10251" s="1" t="str">
        <f t="shared" si="635"/>
        <v>ㄢ</v>
      </c>
      <c r="M10251" s="1" t="str">
        <f t="shared" si="632"/>
        <v/>
      </c>
      <c r="P10251" s="1" t="s">
        <v>20</v>
      </c>
      <c r="R10251" s="1" t="s">
        <v>21030</v>
      </c>
      <c r="V10251" s="1" t="s">
        <v>21031</v>
      </c>
      <c r="AR10251" s="1" t="str">
        <f t="shared" si="634"/>
        <v>| [ㄕㄢ](ㄕㄢ.md) | [山](山.md) |  | shān | [名]
1.陸地上高起的部分。如：「崇山峻嶺」。《左傳．襄公二十五年》：「吳師奔，登山以望，見楚師不繼復逐之。」
2.墳墓。唐．李華〈含元殿賦〉：「靡迤秦山，陂陀漢陵。」
3.姓。如晉代有山濤。
4.二一四部首之一。
[形]
山中的。如：「山村」、「山寨」。 |</v>
      </c>
    </row>
    <row r="10252" spans="1:44" hidden="1">
      <c r="A10252" s="1" t="s">
        <v>21032</v>
      </c>
      <c r="C10252" s="1">
        <v>1</v>
      </c>
      <c r="D10252" s="1" t="str">
        <f>"08906"</f>
        <v>08906</v>
      </c>
      <c r="E10252" s="1" t="s">
        <v>181</v>
      </c>
      <c r="F10252" s="1">
        <v>9</v>
      </c>
      <c r="G10252" s="1">
        <v>3</v>
      </c>
      <c r="H10252" s="1">
        <v>0</v>
      </c>
      <c r="I10252" s="1" t="s">
        <v>21029</v>
      </c>
      <c r="K10252" s="1" t="str">
        <f t="shared" si="633"/>
        <v>ㄕ</v>
      </c>
      <c r="L10252" s="1" t="str">
        <f t="shared" si="635"/>
        <v>ㄢ</v>
      </c>
      <c r="M10252" s="1" t="str">
        <f t="shared" si="632"/>
        <v/>
      </c>
      <c r="P10252" s="1" t="s">
        <v>20</v>
      </c>
      <c r="R10252" s="1" t="s">
        <v>21030</v>
      </c>
      <c r="V10252" s="1" t="s">
        <v>21033</v>
      </c>
      <c r="AR10252" s="1" t="str">
        <f t="shared" si="634"/>
        <v>| [ㄕㄢ](ㄕㄢ.md) | [舢](舢.md) |  | shān | 參見「舢板」條。 |</v>
      </c>
    </row>
    <row r="10253" spans="1:44" hidden="1">
      <c r="A10253" s="1" t="s">
        <v>21034</v>
      </c>
      <c r="C10253" s="1">
        <v>1</v>
      </c>
      <c r="D10253" s="1" t="str">
        <f>"08907"</f>
        <v>08907</v>
      </c>
      <c r="E10253" s="1" t="s">
        <v>1335</v>
      </c>
      <c r="F10253" s="1">
        <v>3</v>
      </c>
      <c r="G10253" s="1">
        <v>0</v>
      </c>
      <c r="H10253" s="1">
        <v>0</v>
      </c>
      <c r="I10253" s="1" t="s">
        <v>21029</v>
      </c>
      <c r="K10253" s="1" t="str">
        <f t="shared" si="633"/>
        <v>ㄕ</v>
      </c>
      <c r="L10253" s="1" t="str">
        <f t="shared" si="635"/>
        <v>ㄢ</v>
      </c>
      <c r="M10253" s="1" t="str">
        <f t="shared" si="632"/>
        <v/>
      </c>
      <c r="P10253" s="1" t="s">
        <v>20</v>
      </c>
      <c r="R10253" s="1" t="s">
        <v>21030</v>
      </c>
      <c r="V10253" s="1" t="s">
        <v>21035</v>
      </c>
      <c r="AR10253" s="1" t="str">
        <f t="shared" si="634"/>
        <v>| [ㄕㄢ](ㄕㄢ.md) | [彡](彡.md) |  | shān | [名]
1.筆所畫的花紋。《說文解字．彡部》：「彡，毛飾畫文也。」
2.二一四部首之一。
[形]
毛長的樣子。《廣韻．平聲．銜韻》：「彡，毛長也。」 |</v>
      </c>
    </row>
    <row r="10254" spans="1:44" hidden="1">
      <c r="A10254" s="1" t="s">
        <v>20758</v>
      </c>
      <c r="C10254" s="1">
        <v>1</v>
      </c>
      <c r="D10254" s="1" t="str">
        <f>"08908"</f>
        <v>08908</v>
      </c>
      <c r="E10254" s="1" t="s">
        <v>139</v>
      </c>
      <c r="F10254" s="1">
        <v>7</v>
      </c>
      <c r="G10254" s="1">
        <v>3</v>
      </c>
      <c r="H10254" s="1">
        <v>1</v>
      </c>
      <c r="I10254" s="1" t="s">
        <v>21029</v>
      </c>
      <c r="K10254" s="1" t="str">
        <f t="shared" si="633"/>
        <v>ㄕ</v>
      </c>
      <c r="L10254" s="1" t="str">
        <f t="shared" si="635"/>
        <v>ㄢ</v>
      </c>
      <c r="M10254" s="1" t="str">
        <f t="shared" si="632"/>
        <v/>
      </c>
      <c r="P10254" s="1" t="s">
        <v>186</v>
      </c>
      <c r="R10254" s="1" t="s">
        <v>21030</v>
      </c>
      <c r="V10254" s="1" t="s">
        <v>21036</v>
      </c>
      <c r="W10254" s="1" t="s">
        <v>21037</v>
      </c>
      <c r="AR10254" s="1" t="str">
        <f t="shared" si="634"/>
        <v>| [ㄕㄢ](ㄕㄢ.md) | [杉](杉.md) |  | shān | 杉科杉屬，「杉木」之簡稱，參見「杉木」條。 |</v>
      </c>
    </row>
    <row r="10255" spans="1:44" hidden="1">
      <c r="A10255" s="1" t="s">
        <v>21038</v>
      </c>
      <c r="C10255" s="1">
        <v>1</v>
      </c>
      <c r="D10255" s="1" t="str">
        <f>"08909"</f>
        <v>08909</v>
      </c>
      <c r="E10255" s="1" t="s">
        <v>340</v>
      </c>
      <c r="F10255" s="1">
        <v>9</v>
      </c>
      <c r="G10255" s="1">
        <v>3</v>
      </c>
      <c r="H10255" s="1">
        <v>0</v>
      </c>
      <c r="I10255" s="1" t="s">
        <v>21029</v>
      </c>
      <c r="K10255" s="1" t="str">
        <f t="shared" si="633"/>
        <v>ㄕ</v>
      </c>
      <c r="L10255" s="1" t="str">
        <f t="shared" si="635"/>
        <v>ㄢ</v>
      </c>
      <c r="M10255" s="1" t="str">
        <f t="shared" si="632"/>
        <v/>
      </c>
      <c r="P10255" s="1" t="s">
        <v>20</v>
      </c>
      <c r="R10255" s="1" t="s">
        <v>21030</v>
      </c>
      <c r="V10255" s="1" t="s">
        <v>21039</v>
      </c>
      <c r="AR10255" s="1" t="str">
        <f t="shared" si="634"/>
        <v>| [ㄕㄢ](ㄕㄢ.md) | [衫](衫.md) |  | shān | [名]
1.衣服的通稱。明．張自烈《正字通．衣部》：「衫，衣之通稱。」如：「衣衫」、「棉衫」。
2.單衣。如：「汗衫」、「羅衫」。唐．白居易〈寄生衣與微之因題封上〉詩：「淺色縠衫輕似霧，紡花紗褲薄於雲。」 |</v>
      </c>
    </row>
    <row r="10256" spans="1:44" hidden="1">
      <c r="A10256" s="1" t="s">
        <v>1155</v>
      </c>
      <c r="C10256" s="1">
        <v>1</v>
      </c>
      <c r="D10256" s="1" t="str">
        <f>"08910"</f>
        <v>08910</v>
      </c>
      <c r="E10256" s="1" t="s">
        <v>1078</v>
      </c>
      <c r="F10256" s="1">
        <v>10</v>
      </c>
      <c r="G10256" s="1">
        <v>0</v>
      </c>
      <c r="H10256" s="1">
        <v>2</v>
      </c>
      <c r="I10256" s="1" t="s">
        <v>21029</v>
      </c>
      <c r="K10256" s="1" t="str">
        <f t="shared" si="633"/>
        <v>ㄕ</v>
      </c>
      <c r="L10256" s="1" t="str">
        <f t="shared" si="635"/>
        <v>ㄢ</v>
      </c>
      <c r="M10256" s="1" t="str">
        <f t="shared" si="632"/>
        <v/>
      </c>
      <c r="P10256" s="1" t="s">
        <v>20</v>
      </c>
      <c r="R10256" s="1" t="s">
        <v>21030</v>
      </c>
      <c r="V10256" s="1" t="s">
        <v>21040</v>
      </c>
      <c r="W10256" s="1" t="s">
        <v>21041</v>
      </c>
      <c r="AR10256" s="1" t="str">
        <f t="shared" si="634"/>
        <v>| [ㄕㄢ](ㄕㄢ.md) | [髟](髟.md) |  | shān | [名]
屋簷的角端。《廣韻．平聲．銜韻》：「髟，屋翼也。」 |</v>
      </c>
    </row>
    <row r="10257" spans="1:44" hidden="1">
      <c r="A10257" s="1" t="s">
        <v>21042</v>
      </c>
      <c r="C10257" s="1">
        <v>1</v>
      </c>
      <c r="D10257" s="1" t="str">
        <f>"08911"</f>
        <v>08911</v>
      </c>
      <c r="E10257" s="1" t="s">
        <v>55</v>
      </c>
      <c r="F10257" s="1">
        <v>11</v>
      </c>
      <c r="G10257" s="1">
        <v>3</v>
      </c>
      <c r="H10257" s="1">
        <v>2</v>
      </c>
      <c r="I10257" s="1" t="s">
        <v>21029</v>
      </c>
      <c r="K10257" s="1" t="str">
        <f t="shared" si="633"/>
        <v>ㄕ</v>
      </c>
      <c r="L10257" s="1" t="str">
        <f t="shared" si="635"/>
        <v>ㄢ</v>
      </c>
      <c r="M10257" s="1" t="str">
        <f t="shared" si="632"/>
        <v/>
      </c>
      <c r="P10257" s="1" t="s">
        <v>20</v>
      </c>
      <c r="R10257" s="1" t="s">
        <v>21030</v>
      </c>
      <c r="V10257" s="1" t="s">
        <v>21043</v>
      </c>
      <c r="W10257" s="1" t="s">
        <v>21044</v>
      </c>
      <c r="AR10257" s="1" t="str">
        <f t="shared" si="634"/>
        <v>| [ㄕㄢ](ㄕㄢ.md) | [釤](釤.md) |  | shān | [名]
1.（samarium，Sm）化學元素。原子序62。灰白色金屬，質硬，主要與其他稀土元素存在於獨居石中。在空氣中會被氧化，具有高度吸收中子的能力。可用於核反應爐操縱桿及吸收中子等工業用途上，亦可供雷射材料、紅外吸光玻璃、催化劑及電子、製陶工業用。
2.姓。如明代有釤資。 |</v>
      </c>
    </row>
    <row r="10258" spans="1:44" hidden="1">
      <c r="A10258" s="1" t="s">
        <v>21045</v>
      </c>
      <c r="C10258" s="1">
        <v>1</v>
      </c>
      <c r="D10258" s="1" t="str">
        <f>"08912"</f>
        <v>08912</v>
      </c>
      <c r="E10258" s="1" t="s">
        <v>185</v>
      </c>
      <c r="F10258" s="1">
        <v>7</v>
      </c>
      <c r="G10258" s="1">
        <v>5</v>
      </c>
      <c r="H10258" s="1">
        <v>0</v>
      </c>
      <c r="I10258" s="1" t="s">
        <v>21029</v>
      </c>
      <c r="K10258" s="1" t="str">
        <f t="shared" si="633"/>
        <v>ㄕ</v>
      </c>
      <c r="L10258" s="1" t="str">
        <f t="shared" si="635"/>
        <v>ㄢ</v>
      </c>
      <c r="M10258" s="1" t="str">
        <f t="shared" ref="M10258:M10321" si="636">MID(I10258, 3, 1)</f>
        <v/>
      </c>
      <c r="P10258" s="1" t="s">
        <v>20</v>
      </c>
      <c r="R10258" s="1" t="s">
        <v>21030</v>
      </c>
      <c r="V10258" s="1" t="s">
        <v>21046</v>
      </c>
      <c r="AR10258" s="1" t="str">
        <f t="shared" si="634"/>
        <v>| [ㄕㄢ](ㄕㄢ.md) | [刪](刪.md) |  | shān | [動]
1.削除。如：「刪除」、「刪減」。《漢書．卷二一．律曆志》：「故刪其偽辭，取正義，著于篇。」
2.截取。《漢書．卷三〇．藝文志》：「今刪其要，以備篇籍。」 |</v>
      </c>
    </row>
    <row r="10259" spans="1:44" hidden="1">
      <c r="A10259" s="1" t="s">
        <v>16800</v>
      </c>
      <c r="C10259" s="1">
        <v>1</v>
      </c>
      <c r="D10259" s="1" t="str">
        <f>"08913"</f>
        <v>08913</v>
      </c>
      <c r="E10259" s="1" t="s">
        <v>534</v>
      </c>
      <c r="F10259" s="1">
        <v>8</v>
      </c>
      <c r="G10259" s="1">
        <v>5</v>
      </c>
      <c r="H10259" s="1">
        <v>1</v>
      </c>
      <c r="I10259" s="1" t="s">
        <v>21029</v>
      </c>
      <c r="K10259" s="1" t="str">
        <f t="shared" si="633"/>
        <v>ㄕ</v>
      </c>
      <c r="L10259" s="1" t="str">
        <f t="shared" si="635"/>
        <v>ㄢ</v>
      </c>
      <c r="M10259" s="1" t="str">
        <f t="shared" si="636"/>
        <v/>
      </c>
      <c r="P10259" s="1" t="s">
        <v>20</v>
      </c>
      <c r="R10259" s="1" t="s">
        <v>21030</v>
      </c>
      <c r="V10259" s="1" t="s">
        <v>21047</v>
      </c>
      <c r="W10259" s="1" t="s">
        <v>21048</v>
      </c>
      <c r="AR10259" s="1" t="str">
        <f t="shared" si="634"/>
        <v>| [ㄕㄢ](ㄕㄢ.md) | [姍](姍.md) |  | shān | [動]
誹謗、詆毀。《漢書．卷九三．佞幸傳．石顯傳》：「顯恐天下學士姍己。」宋．陸游〈容齋燕集詩序〉：「遇怒罵姍侮，如風葉之過吾前。」
[形]
參見「姍姍」條。 |</v>
      </c>
    </row>
    <row r="10260" spans="1:44" hidden="1">
      <c r="A10260" s="1" t="s">
        <v>21049</v>
      </c>
      <c r="C10260" s="1">
        <v>1</v>
      </c>
      <c r="D10260" s="1" t="str">
        <f>"08914"</f>
        <v>08914</v>
      </c>
      <c r="E10260" s="1" t="s">
        <v>142</v>
      </c>
      <c r="F10260" s="1">
        <v>9</v>
      </c>
      <c r="G10260" s="1">
        <v>5</v>
      </c>
      <c r="H10260" s="1">
        <v>0</v>
      </c>
      <c r="I10260" s="1" t="s">
        <v>21029</v>
      </c>
      <c r="K10260" s="1" t="str">
        <f t="shared" si="633"/>
        <v>ㄕ</v>
      </c>
      <c r="L10260" s="1" t="str">
        <f t="shared" si="635"/>
        <v>ㄢ</v>
      </c>
      <c r="M10260" s="1" t="str">
        <f t="shared" si="636"/>
        <v/>
      </c>
      <c r="P10260" s="1" t="s">
        <v>20</v>
      </c>
      <c r="R10260" s="1" t="s">
        <v>21030</v>
      </c>
      <c r="V10260" s="1" t="s">
        <v>21050</v>
      </c>
      <c r="AR10260" s="1" t="str">
        <f t="shared" si="634"/>
        <v>| [ㄕㄢ](ㄕㄢ.md) | [珊](珊.md) |  | shān | 參見「珊瑚」條。 |</v>
      </c>
    </row>
    <row r="10261" spans="1:44" hidden="1">
      <c r="A10261" s="1" t="s">
        <v>21051</v>
      </c>
      <c r="C10261" s="1">
        <v>1</v>
      </c>
      <c r="D10261" s="1" t="str">
        <f>"08915"</f>
        <v>08915</v>
      </c>
      <c r="E10261" s="1" t="s">
        <v>77</v>
      </c>
      <c r="F10261" s="1">
        <v>12</v>
      </c>
      <c r="G10261" s="1">
        <v>5</v>
      </c>
      <c r="H10261" s="1">
        <v>0</v>
      </c>
      <c r="I10261" s="1" t="s">
        <v>21029</v>
      </c>
      <c r="K10261" s="1" t="str">
        <f t="shared" si="633"/>
        <v>ㄕ</v>
      </c>
      <c r="L10261" s="1" t="str">
        <f t="shared" si="635"/>
        <v>ㄢ</v>
      </c>
      <c r="M10261" s="1" t="str">
        <f t="shared" si="636"/>
        <v/>
      </c>
      <c r="P10261" s="1" t="s">
        <v>20</v>
      </c>
      <c r="R10261" s="1" t="s">
        <v>21030</v>
      </c>
      <c r="V10261" s="1" t="s">
        <v>21052</v>
      </c>
      <c r="AR10261" s="1" t="str">
        <f t="shared" si="634"/>
        <v>| [ㄕㄢ](ㄕㄢ.md) | [跚](跚.md) |  | shān | [形]
參見「蹣跚」條。
[動]
踩、踏。元．無名氏《小尉遲》第三折：「劉無敵跚馬兒領番卒上。」元．關漢卿《五侯宴》第三折：「引著沙三去跚橇，伴著王留學調鬼。」 |</v>
      </c>
    </row>
    <row r="10262" spans="1:44" hidden="1">
      <c r="A10262" s="1" t="s">
        <v>21053</v>
      </c>
      <c r="C10262" s="1">
        <v>1</v>
      </c>
      <c r="D10262" s="1" t="str">
        <f>"08916"</f>
        <v>08916</v>
      </c>
      <c r="E10262" s="1" t="s">
        <v>37</v>
      </c>
      <c r="F10262" s="1">
        <v>8</v>
      </c>
      <c r="G10262" s="1">
        <v>4</v>
      </c>
      <c r="H10262" s="1">
        <v>0</v>
      </c>
      <c r="I10262" s="1" t="s">
        <v>21029</v>
      </c>
      <c r="K10262" s="1" t="str">
        <f t="shared" si="633"/>
        <v>ㄕ</v>
      </c>
      <c r="L10262" s="1" t="str">
        <f t="shared" si="635"/>
        <v>ㄢ</v>
      </c>
      <c r="M10262" s="1" t="str">
        <f t="shared" si="636"/>
        <v/>
      </c>
      <c r="P10262" s="1" t="s">
        <v>20</v>
      </c>
      <c r="R10262" s="1" t="s">
        <v>21030</v>
      </c>
      <c r="V10262" s="1" t="s">
        <v>21054</v>
      </c>
      <c r="AR10262" s="1" t="str">
        <f t="shared" si="634"/>
        <v>| [ㄕㄢ](ㄕㄢ.md) | [芟](芟.md) |  | shān | [動]
1.除草。《說文解字．艸部》：「芟，刈草也。」《詩經．周頌．載芟》：「載芟載柞，其耕澤澤。」漢．毛亨．傳：「除草曰芟，除木曰柞。」
2.削除。通「刪」。《三國志．卷一三．魏書．王朗傳》：「賴先王芟除寇賊。」南朝梁．劉勰《文心雕龍．鎔裁》：「芟繁剪穢，弛於負擔。」
[名]
大鐮刀。《國語．齊語》：「耒、耜、耞、芟。」三國吳．韋昭．注：「芟，大鐮，所以芟草也。」唐．柳宗元〈宥蝮蛇文〉：「彼樵豎持芟，農夫執耒，不幸而遇，將除其害。」 |</v>
      </c>
    </row>
    <row r="10263" spans="1:44" hidden="1">
      <c r="A10263" s="1" t="s">
        <v>21055</v>
      </c>
      <c r="C10263" s="1">
        <v>1</v>
      </c>
      <c r="D10263" s="1" t="str">
        <f>"08917"</f>
        <v>08917</v>
      </c>
      <c r="E10263" s="1" t="s">
        <v>37</v>
      </c>
      <c r="F10263" s="1">
        <v>9</v>
      </c>
      <c r="G10263" s="1">
        <v>5</v>
      </c>
      <c r="H10263" s="1">
        <v>0</v>
      </c>
      <c r="I10263" s="1" t="s">
        <v>21029</v>
      </c>
      <c r="K10263" s="1" t="str">
        <f t="shared" si="633"/>
        <v>ㄕ</v>
      </c>
      <c r="L10263" s="1" t="str">
        <f t="shared" si="635"/>
        <v>ㄢ</v>
      </c>
      <c r="M10263" s="1" t="str">
        <f t="shared" si="636"/>
        <v/>
      </c>
      <c r="P10263" s="1" t="s">
        <v>20</v>
      </c>
      <c r="R10263" s="1" t="s">
        <v>21030</v>
      </c>
      <c r="V10263" s="1" t="s">
        <v>21056</v>
      </c>
      <c r="AR10263" s="1" t="str">
        <f t="shared" si="634"/>
        <v>| [ㄕㄢ](ㄕㄢ.md) | [苫](苫.md) |  | shān | [動]
覆蓋。宋．陸游〈幽居歲暮〉詩五首之五：「刈茅苫鹿屋，插棘護雞栖。」《西遊記》第三七回：「你那衣服，半邊苫身，半邊露臂。」
[名]
1.以草編成的覆蓋物。清．汪中〈先母鄒孺人靈表〉：「再徙北城，所居止三席地，其左無壁，覆之以苫。」
2.以草編成的墊蓆，居喪時使用，以示哀戚。《儀禮．喪服》：「居倚廬，寢苫枕塊，哭晝夜無時。」唐．賈公彥．疏：「外寢苫者，哀親之在草。」 |</v>
      </c>
    </row>
    <row r="10264" spans="1:44" hidden="1">
      <c r="A10264" s="1" t="s">
        <v>21057</v>
      </c>
      <c r="C10264" s="1">
        <v>1</v>
      </c>
      <c r="D10264" s="1" t="str">
        <f>"08918"</f>
        <v>08918</v>
      </c>
      <c r="E10264" s="1" t="s">
        <v>49</v>
      </c>
      <c r="F10264" s="1">
        <v>11</v>
      </c>
      <c r="G10264" s="1">
        <v>5</v>
      </c>
      <c r="H10264" s="1">
        <v>0</v>
      </c>
      <c r="I10264" s="1" t="s">
        <v>21029</v>
      </c>
      <c r="K10264" s="1" t="str">
        <f t="shared" si="633"/>
        <v>ㄕ</v>
      </c>
      <c r="L10264" s="1" t="str">
        <f t="shared" si="635"/>
        <v>ㄢ</v>
      </c>
      <c r="M10264" s="1" t="str">
        <f t="shared" si="636"/>
        <v/>
      </c>
      <c r="P10264" s="1" t="s">
        <v>20</v>
      </c>
      <c r="R10264" s="1" t="s">
        <v>21030</v>
      </c>
      <c r="V10264" s="1" t="s">
        <v>21058</v>
      </c>
      <c r="AR10264" s="1" t="str">
        <f t="shared" si="634"/>
        <v>| [ㄕㄢ](ㄕㄢ.md) | [笘](笘.md) |  | shān | [名]
古代童子學習書法所用的板子，通常以竹製而成。《說文解字．竹部》：「笘，折竹箠也。……潁川人名小兒所書寫為笘。」 |</v>
      </c>
    </row>
    <row r="10265" spans="1:44" hidden="1">
      <c r="A10265" s="1" t="s">
        <v>21059</v>
      </c>
      <c r="C10265" s="1">
        <v>1</v>
      </c>
      <c r="D10265" s="1" t="str">
        <f>"08919"</f>
        <v>08919</v>
      </c>
      <c r="E10265" s="1" t="s">
        <v>1252</v>
      </c>
      <c r="F10265" s="1">
        <v>10</v>
      </c>
      <c r="G10265" s="1">
        <v>6</v>
      </c>
      <c r="H10265" s="1">
        <v>2</v>
      </c>
      <c r="I10265" s="1" t="s">
        <v>21029</v>
      </c>
      <c r="K10265" s="1" t="str">
        <f t="shared" si="633"/>
        <v>ㄕ</v>
      </c>
      <c r="L10265" s="1" t="str">
        <f t="shared" si="635"/>
        <v>ㄢ</v>
      </c>
      <c r="M10265" s="1" t="str">
        <f t="shared" si="636"/>
        <v/>
      </c>
      <c r="P10265" s="1" t="s">
        <v>20</v>
      </c>
      <c r="R10265" s="1" t="s">
        <v>21030</v>
      </c>
      <c r="V10265" s="1" t="s">
        <v>21060</v>
      </c>
      <c r="W10265" s="1" t="s">
        <v>21061</v>
      </c>
      <c r="AR10265" s="1" t="str">
        <f t="shared" si="634"/>
        <v>| [ㄕㄢ](ㄕㄢ.md) | [扇](扇.md) |  | shān | [動]
1.搖動扇子使空氣流通而生風。通「搧」。《淮南子．人間》：「武王蔭暍人於樾下，左擁而右扇之，而天下懷其德。」
2.從旁鼓動，挑撥事端。通「煽」。如：「扇動」。《後漢書．卷七四下．劉表傳》：「初，荊州人情好擾，加四方駭震，寇賊相扇，處處麋沸。」 |</v>
      </c>
    </row>
    <row r="10266" spans="1:44" hidden="1">
      <c r="A10266" s="1" t="s">
        <v>21062</v>
      </c>
      <c r="C10266" s="1">
        <v>1</v>
      </c>
      <c r="D10266" s="1" t="str">
        <f>"08920"</f>
        <v>08920</v>
      </c>
      <c r="E10266" s="1" t="s">
        <v>24</v>
      </c>
      <c r="F10266" s="1">
        <v>13</v>
      </c>
      <c r="G10266" s="1">
        <v>10</v>
      </c>
      <c r="H10266" s="1">
        <v>0</v>
      </c>
      <c r="I10266" s="1" t="s">
        <v>21029</v>
      </c>
      <c r="K10266" s="1" t="str">
        <f t="shared" si="633"/>
        <v>ㄕ</v>
      </c>
      <c r="L10266" s="1" t="str">
        <f t="shared" si="635"/>
        <v>ㄢ</v>
      </c>
      <c r="M10266" s="1" t="str">
        <f t="shared" si="636"/>
        <v/>
      </c>
      <c r="P10266" s="1" t="s">
        <v>20</v>
      </c>
      <c r="R10266" s="1" t="s">
        <v>21030</v>
      </c>
      <c r="V10266" s="1" t="s">
        <v>21063</v>
      </c>
      <c r="AR10266" s="1" t="str">
        <f t="shared" si="634"/>
        <v>| [ㄕㄢ](ㄕㄢ.md) | [搧](搧.md) |  | shān | [動]
1.用手摑臉。如：「搧他一個大耳光。」
2.搖動扇子使生風。如：「搧火」、「搧煙」。
3.從旁鼓動、挑撥事端。通「煽」。如：「搧動」、「搧惑」。 |</v>
      </c>
    </row>
    <row r="10267" spans="1:44" hidden="1">
      <c r="A10267" s="1" t="s">
        <v>21064</v>
      </c>
      <c r="C10267" s="1">
        <v>1</v>
      </c>
      <c r="D10267" s="1" t="str">
        <f>"08921"</f>
        <v>08921</v>
      </c>
      <c r="E10267" s="1" t="s">
        <v>336</v>
      </c>
      <c r="F10267" s="1">
        <v>14</v>
      </c>
      <c r="G10267" s="1">
        <v>10</v>
      </c>
      <c r="H10267" s="1">
        <v>0</v>
      </c>
      <c r="I10267" s="1" t="s">
        <v>21029</v>
      </c>
      <c r="K10267" s="1" t="str">
        <f t="shared" si="633"/>
        <v>ㄕ</v>
      </c>
      <c r="L10267" s="1" t="str">
        <f t="shared" si="635"/>
        <v>ㄢ</v>
      </c>
      <c r="M10267" s="1" t="str">
        <f t="shared" si="636"/>
        <v/>
      </c>
      <c r="P10267" s="1" t="s">
        <v>20</v>
      </c>
      <c r="R10267" s="1" t="s">
        <v>21030</v>
      </c>
      <c r="V10267" s="1" t="s">
        <v>21065</v>
      </c>
      <c r="AR10267" s="1" t="str">
        <f t="shared" si="634"/>
        <v>| [ㄕㄢ](ㄕㄢ.md) | [煽](煽.md) |  | shān | [形]
火焰熾盛。《廣韻．平聲．仙韻》：「煽，火盛也。」
[動]
1.用扇子搧火，使熾盛。《水滸傳》第二四回：「王婆只做不看見，只顧在茶局裡煽風爐子，不出來問茶。」
2.以讒言或手段鼓動，挑撥人事。如：「煽動」。《晉書．卷五九．汝南王亮等傳．序》：「西晉之政亂朝危，雖由時主，然而煽其風，速其禍者，咎在八王。」 |</v>
      </c>
    </row>
    <row r="10268" spans="1:44" hidden="1">
      <c r="A10268" s="1" t="s">
        <v>21066</v>
      </c>
      <c r="C10268" s="1">
        <v>1</v>
      </c>
      <c r="D10268" s="1" t="str">
        <f>"08922"</f>
        <v>08922</v>
      </c>
      <c r="E10268" s="1" t="s">
        <v>132</v>
      </c>
      <c r="F10268" s="1">
        <v>11</v>
      </c>
      <c r="G10268" s="1">
        <v>8</v>
      </c>
      <c r="H10268" s="1">
        <v>2</v>
      </c>
      <c r="I10268" s="1" t="s">
        <v>21029</v>
      </c>
      <c r="K10268" s="1" t="str">
        <f t="shared" si="633"/>
        <v>ㄕ</v>
      </c>
      <c r="L10268" s="1" t="str">
        <f t="shared" si="635"/>
        <v>ㄢ</v>
      </c>
      <c r="M10268" s="1" t="str">
        <f t="shared" si="636"/>
        <v/>
      </c>
      <c r="P10268" s="1" t="s">
        <v>20</v>
      </c>
      <c r="R10268" s="1" t="s">
        <v>21030</v>
      </c>
      <c r="V10268" s="1" t="s">
        <v>21067</v>
      </c>
      <c r="W10268" s="1" t="s">
        <v>21068</v>
      </c>
      <c r="AR10268" s="1" t="str">
        <f t="shared" si="634"/>
        <v>| [ㄕㄢ](ㄕㄢ.md) | [埏](埏.md) |  | shān | [動]
用水和泥。參見「埏埴」條。
[名]
製造瓦器的土模。《管子．任法》：「昔者堯之治天下也，猶埴之在埏也。」 |</v>
      </c>
    </row>
    <row r="10269" spans="1:44" hidden="1">
      <c r="A10269" s="1" t="s">
        <v>19742</v>
      </c>
      <c r="C10269" s="1">
        <v>1</v>
      </c>
      <c r="D10269" s="1" t="str">
        <f>"08923"</f>
        <v>08923</v>
      </c>
      <c r="E10269" s="1" t="s">
        <v>24</v>
      </c>
      <c r="F10269" s="1">
        <v>14</v>
      </c>
      <c r="G10269" s="1">
        <v>11</v>
      </c>
      <c r="H10269" s="1">
        <v>1</v>
      </c>
      <c r="I10269" s="1" t="s">
        <v>21029</v>
      </c>
      <c r="K10269" s="1" t="str">
        <f t="shared" si="633"/>
        <v>ㄕ</v>
      </c>
      <c r="L10269" s="1" t="str">
        <f t="shared" si="635"/>
        <v>ㄢ</v>
      </c>
      <c r="M10269" s="1" t="str">
        <f t="shared" si="636"/>
        <v/>
      </c>
      <c r="P10269" s="1" t="s">
        <v>20</v>
      </c>
      <c r="R10269" s="1" t="s">
        <v>21030</v>
      </c>
      <c r="V10269" s="1" t="s">
        <v>21069</v>
      </c>
      <c r="W10269" s="1" t="s">
        <v>21070</v>
      </c>
      <c r="AR10269" s="1" t="str">
        <f t="shared" si="634"/>
        <v>| [ㄕㄢ](ㄕㄢ.md) | [摻](摻.md) |  | shān | 參見「摻摻」條。 |</v>
      </c>
    </row>
    <row r="10270" spans="1:44" hidden="1">
      <c r="A10270" s="1" t="s">
        <v>21071</v>
      </c>
      <c r="C10270" s="1">
        <v>1</v>
      </c>
      <c r="D10270" s="1" t="str">
        <f>"08924"</f>
        <v>08924</v>
      </c>
      <c r="E10270" s="1" t="s">
        <v>340</v>
      </c>
      <c r="F10270" s="1">
        <v>17</v>
      </c>
      <c r="G10270" s="1">
        <v>11</v>
      </c>
      <c r="H10270" s="1">
        <v>0</v>
      </c>
      <c r="I10270" s="1" t="s">
        <v>21029</v>
      </c>
      <c r="K10270" s="1" t="str">
        <f t="shared" si="633"/>
        <v>ㄕ</v>
      </c>
      <c r="L10270" s="1" t="str">
        <f t="shared" si="635"/>
        <v>ㄢ</v>
      </c>
      <c r="M10270" s="1" t="str">
        <f t="shared" si="636"/>
        <v/>
      </c>
      <c r="P10270" s="1" t="s">
        <v>20</v>
      </c>
      <c r="R10270" s="1" t="s">
        <v>21030</v>
      </c>
      <c r="V10270" s="1" t="s">
        <v>21072</v>
      </c>
      <c r="AR10270" s="1" t="str">
        <f t="shared" si="634"/>
        <v>| [ㄕㄢ](ㄕㄢ.md) | [襂](襂.md) |  | shān | [名]
旌旗上的正幅。同「縿」。《集韻．平聲．銜韻》：「縿，《說文》：『旌旗之游也。』一曰正幅，或作襂。」 |</v>
      </c>
    </row>
    <row r="10271" spans="1:44" hidden="1">
      <c r="A10271" s="1" t="s">
        <v>21073</v>
      </c>
      <c r="C10271" s="1">
        <v>1</v>
      </c>
      <c r="D10271" s="1" t="str">
        <f>"08925"</f>
        <v>08925</v>
      </c>
      <c r="E10271" s="1" t="s">
        <v>725</v>
      </c>
      <c r="F10271" s="1">
        <v>17</v>
      </c>
      <c r="G10271" s="1">
        <v>11</v>
      </c>
      <c r="H10271" s="1">
        <v>0</v>
      </c>
      <c r="I10271" s="1" t="s">
        <v>21029</v>
      </c>
      <c r="K10271" s="1" t="str">
        <f t="shared" si="633"/>
        <v>ㄕ</v>
      </c>
      <c r="L10271" s="1" t="str">
        <f t="shared" si="635"/>
        <v>ㄢ</v>
      </c>
      <c r="M10271" s="1" t="str">
        <f t="shared" si="636"/>
        <v/>
      </c>
      <c r="P10271" s="1" t="s">
        <v>20</v>
      </c>
      <c r="R10271" s="1" t="s">
        <v>21030</v>
      </c>
      <c r="V10271" s="1" t="s">
        <v>21074</v>
      </c>
      <c r="AR10271" s="1" t="str">
        <f t="shared" si="634"/>
        <v>| [ㄕㄢ](ㄕㄢ.md) | [縿](縿.md) |  | shān | [名]
旌旗上的正幅。《周禮．春官．巾車》「建大常，十有二斿」句下漢．鄭玄．注：「大常，九旗之畫日月者，正幅為縿，斿則屬焉。」 |</v>
      </c>
    </row>
    <row r="10272" spans="1:44" hidden="1">
      <c r="A10272" s="1" t="s">
        <v>21075</v>
      </c>
      <c r="C10272" s="1">
        <v>1</v>
      </c>
      <c r="D10272" s="1" t="str">
        <f>"08926"</f>
        <v>08926</v>
      </c>
      <c r="E10272" s="1" t="s">
        <v>129</v>
      </c>
      <c r="F10272" s="1">
        <v>15</v>
      </c>
      <c r="G10272" s="1">
        <v>12</v>
      </c>
      <c r="H10272" s="1">
        <v>0</v>
      </c>
      <c r="I10272" s="1" t="s">
        <v>21029</v>
      </c>
      <c r="K10272" s="1" t="str">
        <f t="shared" si="633"/>
        <v>ㄕ</v>
      </c>
      <c r="L10272" s="1" t="str">
        <f t="shared" si="635"/>
        <v>ㄢ</v>
      </c>
      <c r="M10272" s="1" t="str">
        <f t="shared" si="636"/>
        <v/>
      </c>
      <c r="P10272" s="1" t="s">
        <v>20</v>
      </c>
      <c r="R10272" s="1" t="s">
        <v>21030</v>
      </c>
      <c r="V10272" s="1" t="s">
        <v>21076</v>
      </c>
      <c r="AR10272" s="1" t="str">
        <f t="shared" si="634"/>
        <v>| [ㄕㄢ](ㄕㄢ.md) | [潸](潸.md) |  | shān | [副]
流淚的樣子。《詩經．小雅．大東》：「睠言顧之，潸焉出涕。」《紅樓夢》第二九回：「都低著頭細嚼這句的滋味，都不覺潸然泣下。」 |</v>
      </c>
    </row>
    <row r="10273" spans="1:44" hidden="1">
      <c r="A10273" s="1" t="s">
        <v>13872</v>
      </c>
      <c r="C10273" s="1">
        <v>1</v>
      </c>
      <c r="D10273" s="1" t="str">
        <f>"08927"</f>
        <v>08927</v>
      </c>
      <c r="E10273" s="1" t="s">
        <v>37</v>
      </c>
      <c r="F10273" s="1">
        <v>15</v>
      </c>
      <c r="G10273" s="1">
        <v>11</v>
      </c>
      <c r="H10273" s="1">
        <v>2</v>
      </c>
      <c r="I10273" s="1" t="s">
        <v>21029</v>
      </c>
      <c r="K10273" s="1" t="str">
        <f t="shared" si="633"/>
        <v>ㄕ</v>
      </c>
      <c r="L10273" s="1" t="str">
        <f t="shared" si="635"/>
        <v>ㄢ</v>
      </c>
      <c r="M10273" s="1" t="str">
        <f t="shared" si="636"/>
        <v/>
      </c>
      <c r="P10273" s="1" t="s">
        <v>20</v>
      </c>
      <c r="R10273" s="1" t="s">
        <v>21030</v>
      </c>
      <c r="V10273" s="1" t="s">
        <v>21077</v>
      </c>
      <c r="W10273" s="1" t="s">
        <v>21078</v>
      </c>
      <c r="AR10273" s="1" t="str">
        <f t="shared" si="634"/>
        <v>| [ㄕㄢ](ㄕㄢ.md) | [蔪](蔪.md) |  | shān | [動]
割除、去除。《漢書．卷四八．賈誼傳》：「故蔪去不義諸侯，而虛其國。」 |</v>
      </c>
    </row>
    <row r="10274" spans="1:44" hidden="1">
      <c r="A10274" s="1" t="s">
        <v>4974</v>
      </c>
      <c r="C10274" s="1">
        <v>1</v>
      </c>
      <c r="D10274" s="1" t="str">
        <f>"08927A"</f>
        <v>08927A</v>
      </c>
      <c r="E10274" s="1" t="s">
        <v>68</v>
      </c>
      <c r="F10274" s="1">
        <v>17</v>
      </c>
      <c r="G10274" s="1">
        <v>13</v>
      </c>
      <c r="H10274" s="1">
        <v>1</v>
      </c>
      <c r="I10274" s="1" t="s">
        <v>21029</v>
      </c>
      <c r="K10274" s="1" t="str">
        <f t="shared" si="633"/>
        <v>ㄕ</v>
      </c>
      <c r="L10274" s="1" t="str">
        <f t="shared" si="635"/>
        <v>ㄢ</v>
      </c>
      <c r="M10274" s="1" t="str">
        <f t="shared" si="636"/>
        <v/>
      </c>
      <c r="P10274" s="1" t="s">
        <v>20</v>
      </c>
      <c r="R10274" s="1" t="s">
        <v>21030</v>
      </c>
      <c r="V10274" s="1" t="s">
        <v>21079</v>
      </c>
      <c r="W10274" s="1" t="s">
        <v>21080</v>
      </c>
      <c r="AR10274" s="1" t="str">
        <f t="shared" si="634"/>
        <v>| [ㄕㄢ](ㄕㄢ.md) | [膻](膻.md) |  | shān | 羊身上的臊味。同「羶」。《列子．周穆王》：「王之嬪御，膻惡而不可親。」 |</v>
      </c>
    </row>
    <row r="10275" spans="1:44" hidden="1">
      <c r="A10275" s="1" t="s">
        <v>21081</v>
      </c>
      <c r="C10275" s="1">
        <v>1</v>
      </c>
      <c r="D10275" s="1" t="str">
        <f>"08928"</f>
        <v>08928</v>
      </c>
      <c r="E10275" s="1" t="s">
        <v>43</v>
      </c>
      <c r="F10275" s="1">
        <v>19</v>
      </c>
      <c r="G10275" s="1">
        <v>13</v>
      </c>
      <c r="H10275" s="1">
        <v>0</v>
      </c>
      <c r="I10275" s="1" t="s">
        <v>21029</v>
      </c>
      <c r="K10275" s="1" t="str">
        <f t="shared" si="633"/>
        <v>ㄕ</v>
      </c>
      <c r="L10275" s="1" t="str">
        <f t="shared" si="635"/>
        <v>ㄢ</v>
      </c>
      <c r="M10275" s="1" t="str">
        <f t="shared" si="636"/>
        <v/>
      </c>
      <c r="P10275" s="1" t="s">
        <v>20</v>
      </c>
      <c r="R10275" s="1" t="s">
        <v>21030</v>
      </c>
      <c r="V10275" s="1" t="s">
        <v>21082</v>
      </c>
      <c r="AR10275" s="1" t="str">
        <f t="shared" si="634"/>
        <v>| [ㄕㄢ](ㄕㄢ.md) | [羶](羶.md) |  | shān | [名]
羊身上的臊味。《廣韻．平聲．仙韻》：「羶，羊臭也。」宋．陸游〈書事〉詩：「醪酒芳醇偏易醉，胡羊肥美了無羶。」 |</v>
      </c>
    </row>
    <row r="10276" spans="1:44" hidden="1">
      <c r="A10276" s="1" t="s">
        <v>21152</v>
      </c>
      <c r="C10276" s="1">
        <v>1</v>
      </c>
      <c r="D10276" s="1" t="str">
        <f>"08961"</f>
        <v>08961</v>
      </c>
      <c r="E10276" s="1" t="s">
        <v>753</v>
      </c>
      <c r="F10276" s="1">
        <v>5</v>
      </c>
      <c r="G10276" s="1">
        <v>0</v>
      </c>
      <c r="H10276" s="1">
        <v>0</v>
      </c>
      <c r="I10276" s="1" t="s">
        <v>21153</v>
      </c>
      <c r="K10276" s="1" t="str">
        <f t="shared" si="633"/>
        <v>ㄕ</v>
      </c>
      <c r="L10276" s="1" t="str">
        <f t="shared" si="635"/>
        <v>ㄣ</v>
      </c>
      <c r="M10276" s="1" t="str">
        <f t="shared" si="636"/>
        <v/>
      </c>
      <c r="P10276" s="1" t="s">
        <v>20</v>
      </c>
      <c r="R10276" s="1" t="s">
        <v>21154</v>
      </c>
      <c r="V10276" s="1" t="s">
        <v>21155</v>
      </c>
      <c r="AR10276" s="1" t="str">
        <f t="shared" si="634"/>
        <v>| [ㄕㄣ](ㄕㄣ.md) | [申](申.md) |  | shēn | [動]
1.陳述、說明。如：「申訴」。《楚辭．屈原．九章．抽思》：「道卓遠而日忘兮，願自申而不得。」
2.舒展。通「伸」。漢．桓寬《鹽鐵論．利議》：「乃安得鼓口舌，申顏眉，預前論議是非國家之事也。」《文選．曹植．洛神賦》：「申禮防以自持。」
[名]
1.地支的第九位。
2.時辰名。約當下午三時至五時。
3.國名。故址約於今大陸地區河南省南陽縣北方。
4.姓。如戰國時韓有申不害。
[副]
再、重複。《文選．陸機．辯亡論》：「而加之以篤固，申之以節儉。」《資治通鑑．卷一一五．晉紀三十七．安帝義熙六年》：「卿且申一戰，死復何晚！」 |</v>
      </c>
    </row>
    <row r="10277" spans="1:44" hidden="1">
      <c r="A10277" s="1" t="s">
        <v>21156</v>
      </c>
      <c r="C10277" s="1">
        <v>1</v>
      </c>
      <c r="D10277" s="1" t="str">
        <f>"08962"</f>
        <v>08962</v>
      </c>
      <c r="E10277" s="1" t="s">
        <v>114</v>
      </c>
      <c r="F10277" s="1">
        <v>7</v>
      </c>
      <c r="G10277" s="1">
        <v>5</v>
      </c>
      <c r="H10277" s="1">
        <v>0</v>
      </c>
      <c r="I10277" s="1" t="s">
        <v>21153</v>
      </c>
      <c r="K10277" s="1" t="str">
        <f t="shared" si="633"/>
        <v>ㄕ</v>
      </c>
      <c r="L10277" s="1" t="str">
        <f t="shared" si="635"/>
        <v>ㄣ</v>
      </c>
      <c r="M10277" s="1" t="str">
        <f t="shared" si="636"/>
        <v/>
      </c>
      <c r="P10277" s="1" t="s">
        <v>20</v>
      </c>
      <c r="R10277" s="1" t="s">
        <v>21154</v>
      </c>
      <c r="V10277" s="1" t="s">
        <v>21157</v>
      </c>
      <c r="AR10277" s="1" t="str">
        <f t="shared" si="634"/>
        <v>| [ㄕㄣ](ㄕㄣ.md) | [伸](伸.md) |  | shēn | [動]_x000D_
1.使肢體或彈性物體由彎、短的狀態變直或變長。如：「伸懶腰」、「伸直」、「伸長」。_x000D_
2.表白、陳述。通「申」。如：「伸冤」、「伸白」。唐．李白〈春夜宴從弟桃花園序〉：「不有佳作，何伸雅懷！」 |</v>
      </c>
    </row>
    <row r="10278" spans="1:44" hidden="1">
      <c r="A10278" s="1" t="s">
        <v>21158</v>
      </c>
      <c r="C10278" s="1">
        <v>1</v>
      </c>
      <c r="D10278" s="1" t="str">
        <f>"08963"</f>
        <v>08963</v>
      </c>
      <c r="E10278" s="1" t="s">
        <v>28</v>
      </c>
      <c r="F10278" s="1">
        <v>8</v>
      </c>
      <c r="G10278" s="1">
        <v>5</v>
      </c>
      <c r="H10278" s="1">
        <v>0</v>
      </c>
      <c r="I10278" s="1" t="s">
        <v>21153</v>
      </c>
      <c r="K10278" s="1" t="str">
        <f t="shared" si="633"/>
        <v>ㄕ</v>
      </c>
      <c r="L10278" s="1" t="str">
        <f t="shared" si="635"/>
        <v>ㄣ</v>
      </c>
      <c r="M10278" s="1" t="str">
        <f t="shared" si="636"/>
        <v/>
      </c>
      <c r="P10278" s="1" t="s">
        <v>20</v>
      </c>
      <c r="R10278" s="1" t="s">
        <v>21154</v>
      </c>
      <c r="V10278" s="1" t="s">
        <v>21159</v>
      </c>
      <c r="AR10278" s="1" t="str">
        <f t="shared" si="634"/>
        <v>| [ㄕㄣ](ㄕㄣ.md) | [呻](呻.md) |  | shēn | [動]
1.吟誦、吟詠。《禮記．學記》：「今之教者，呻其佔畢，多其訊。」
2.因身心痛苦而由口中發出聲音。如：「呻吟」、「呻呼」。 |</v>
      </c>
    </row>
    <row r="10279" spans="1:44" hidden="1">
      <c r="A10279" s="1" t="s">
        <v>21160</v>
      </c>
      <c r="C10279" s="1">
        <v>1</v>
      </c>
      <c r="D10279" s="1" t="str">
        <f>"08964"</f>
        <v>08964</v>
      </c>
      <c r="E10279" s="1" t="s">
        <v>2228</v>
      </c>
      <c r="F10279" s="1">
        <v>9</v>
      </c>
      <c r="G10279" s="1">
        <v>5</v>
      </c>
      <c r="H10279" s="1">
        <v>0</v>
      </c>
      <c r="I10279" s="1" t="s">
        <v>21153</v>
      </c>
      <c r="K10279" s="1" t="str">
        <f t="shared" si="633"/>
        <v>ㄕ</v>
      </c>
      <c r="L10279" s="1" t="str">
        <f t="shared" si="635"/>
        <v>ㄣ</v>
      </c>
      <c r="M10279" s="1" t="str">
        <f t="shared" si="636"/>
        <v/>
      </c>
      <c r="P10279" s="1" t="s">
        <v>20</v>
      </c>
      <c r="R10279" s="1" t="s">
        <v>21154</v>
      </c>
      <c r="V10279" s="1" t="s">
        <v>16071</v>
      </c>
      <c r="AR10279" s="1" t="str">
        <f t="shared" si="634"/>
        <v>| [ㄕㄣ](ㄕㄣ.md) | [氠](氠.md) |  | shēn | [名]
化學元素。氙的舊譯。 |</v>
      </c>
    </row>
    <row r="10280" spans="1:44" hidden="1">
      <c r="A10280" s="1" t="s">
        <v>21161</v>
      </c>
      <c r="C10280" s="1">
        <v>1</v>
      </c>
      <c r="D10280" s="1" t="str">
        <f>"08965"</f>
        <v>08965</v>
      </c>
      <c r="E10280" s="1" t="s">
        <v>68</v>
      </c>
      <c r="F10280" s="1">
        <v>9</v>
      </c>
      <c r="G10280" s="1">
        <v>5</v>
      </c>
      <c r="H10280" s="1">
        <v>0</v>
      </c>
      <c r="I10280" s="1" t="s">
        <v>21153</v>
      </c>
      <c r="K10280" s="1" t="str">
        <f t="shared" si="633"/>
        <v>ㄕ</v>
      </c>
      <c r="L10280" s="1" t="str">
        <f t="shared" si="635"/>
        <v>ㄣ</v>
      </c>
      <c r="M10280" s="1" t="str">
        <f t="shared" si="636"/>
        <v/>
      </c>
      <c r="P10280" s="1" t="s">
        <v>20</v>
      </c>
      <c r="R10280" s="1" t="s">
        <v>21154</v>
      </c>
      <c r="V10280" s="1" t="s">
        <v>21162</v>
      </c>
      <c r="AR10280" s="1" t="str">
        <f t="shared" si="634"/>
        <v>| [ㄕㄣ](ㄕㄣ.md) | [胂](胂.md) |  | shēn | [名]
夾脊肉。《說文解字．肉部》：「胂，夾脊肉也。」段玉裁注引王弼云：「當中脊之肉也。」《黃帝內經素問．卷一一．刺腰痛論》：「刺腰尻交者，兩髁胂上。」 |</v>
      </c>
    </row>
    <row r="10281" spans="1:44" hidden="1">
      <c r="A10281" s="1" t="s">
        <v>21163</v>
      </c>
      <c r="C10281" s="1">
        <v>1</v>
      </c>
      <c r="D10281" s="1" t="str">
        <f>"08966"</f>
        <v>08966</v>
      </c>
      <c r="E10281" s="1" t="s">
        <v>169</v>
      </c>
      <c r="F10281" s="1">
        <v>10</v>
      </c>
      <c r="G10281" s="1">
        <v>5</v>
      </c>
      <c r="H10281" s="1">
        <v>0</v>
      </c>
      <c r="I10281" s="1" t="s">
        <v>21153</v>
      </c>
      <c r="K10281" s="1" t="str">
        <f t="shared" si="633"/>
        <v>ㄕ</v>
      </c>
      <c r="L10281" s="1" t="str">
        <f t="shared" si="635"/>
        <v>ㄣ</v>
      </c>
      <c r="M10281" s="1" t="str">
        <f t="shared" si="636"/>
        <v/>
      </c>
      <c r="P10281" s="1" t="s">
        <v>20</v>
      </c>
      <c r="R10281" s="1" t="s">
        <v>21154</v>
      </c>
      <c r="V10281" s="1" t="s">
        <v>21164</v>
      </c>
      <c r="AR10281" s="1" t="str">
        <f t="shared" si="634"/>
        <v>| [ㄕㄣ](ㄕㄣ.md) | [砷](砷.md) |  | shēn | [名]
（arsenic，As）化學元素。原子序33。即砒。類金屬元素之一。有黃、灰、黑褐三種同素異形體，質脆而有毒。其化合物可用於殺蟲、殺菌和醫療等方面。砷亦可與鉛、銅等製成合金。 |</v>
      </c>
    </row>
    <row r="10282" spans="1:44" hidden="1">
      <c r="A10282" s="1" t="s">
        <v>21165</v>
      </c>
      <c r="C10282" s="1">
        <v>1</v>
      </c>
      <c r="D10282" s="1" t="str">
        <f>"08967"</f>
        <v>08967</v>
      </c>
      <c r="E10282" s="1" t="s">
        <v>725</v>
      </c>
      <c r="F10282" s="1">
        <v>11</v>
      </c>
      <c r="G10282" s="1">
        <v>5</v>
      </c>
      <c r="H10282" s="1">
        <v>0</v>
      </c>
      <c r="I10282" s="1" t="s">
        <v>21153</v>
      </c>
      <c r="K10282" s="1" t="str">
        <f t="shared" si="633"/>
        <v>ㄕ</v>
      </c>
      <c r="L10282" s="1" t="str">
        <f t="shared" si="635"/>
        <v>ㄣ</v>
      </c>
      <c r="M10282" s="1" t="str">
        <f t="shared" si="636"/>
        <v/>
      </c>
      <c r="P10282" s="1" t="s">
        <v>20</v>
      </c>
      <c r="R10282" s="1" t="s">
        <v>21154</v>
      </c>
      <c r="V10282" s="1" t="s">
        <v>21166</v>
      </c>
      <c r="AR10282" s="1" t="str">
        <f t="shared" si="634"/>
        <v>| [ㄕㄣ](ㄕㄣ.md) | [紳](紳.md) |  | shēn | [名]
1.古代官員束在腰間的大帶子。《說文解字．糸部》：「紳，大帶也。」《論語．鄉黨》：「疾，君視之，東首，加朝服，拖紳。」三國魏．何晏．集解：「紳，大帶也。」
2.退職的官僚或地方上有名望的人。如：「官紳」、「鄉紳」、「土豪劣紳」。
[動]
約束。《韓非子．外儲說左上》：「書曰：『紳之束之』；宋人有治者，因重帶自紳束也。」 |</v>
      </c>
    </row>
    <row r="10283" spans="1:44" hidden="1">
      <c r="A10283" s="1" t="s">
        <v>14673</v>
      </c>
      <c r="C10283" s="1">
        <v>1</v>
      </c>
      <c r="D10283" s="1" t="str">
        <f>"08968"</f>
        <v>08968</v>
      </c>
      <c r="E10283" s="1" t="s">
        <v>5692</v>
      </c>
      <c r="F10283" s="1">
        <v>7</v>
      </c>
      <c r="G10283" s="1">
        <v>0</v>
      </c>
      <c r="H10283" s="1">
        <v>1</v>
      </c>
      <c r="I10283" s="1" t="s">
        <v>21153</v>
      </c>
      <c r="K10283" s="1" t="str">
        <f t="shared" si="633"/>
        <v>ㄕ</v>
      </c>
      <c r="L10283" s="1" t="str">
        <f t="shared" si="635"/>
        <v>ㄣ</v>
      </c>
      <c r="M10283" s="1" t="str">
        <f t="shared" si="636"/>
        <v/>
      </c>
      <c r="P10283" s="1" t="s">
        <v>20</v>
      </c>
      <c r="R10283" s="1" t="s">
        <v>21154</v>
      </c>
      <c r="V10283" s="1" t="s">
        <v>21167</v>
      </c>
      <c r="W10283" s="1" t="s">
        <v>21168</v>
      </c>
      <c r="AR10283" s="1" t="str">
        <f t="shared" si="634"/>
        <v>| [ㄕㄣ](ㄕㄣ.md) | [身](身.md) |  | shēn | [名]
1.軀體的總稱，或專指軀幹。如：「搜身」、「翻身」、「隨身攜帶」、「身長七尺」。《孟子．告子下》：「餓其體膚，空乏其身。」《楚辭．屈原．九歌．國殤》：「首身離兮心不懲。」
2.物體的中心或主要部分。如：「車身」、「船身」、「機身」。
3.生命。如：「奮不顧身」、「捨身救人」。《石點頭．卷八．貪婪漢六院賣風流》：「五臟六腑，顯出在外，方才氣斷身絕。」
4.自己。如：「以身作則」。《論語．學而》：「吾日三省吾身。」《戰國策．趙策四》：「此其近者禍及身，遠者及其子孫。」
5.品格、修養。如：「修身齊家」。《晏子春秋．內篇．問上》：「稱身就位，計能受祿。」
6.身分、地位。如：「出身寒微」、「身敗名裂」。《論語．微子》：「不降其志，不辱其身。」
7.女子懷孕稱為「有身」。《詩經．大雅．大明》：「大任有身，生此文王。」《金瓶梅》第四〇回：「一腳躡滑了，把個六、七個月身扭吊了。」
8.量詞。計算佛像數量的單位。如：「夾道兩旁有菩薩五百身。」
9.二一四部首之一。
[副]
親自。如：「身臨其境」。《墨子．號令》：「伍有罪，若能身捕罪人，若告之吏，皆構之。」
[代]
第一人稱，相當於「我」。魏、晉朝人多自稱為「身」。《三國志．卷三六．蜀書．張飛傳》：「身是張益德也，可來共決死！」南朝宋．劉義慶《世說新語．文學》：「身今日當與君共談析理。」 |</v>
      </c>
    </row>
    <row r="10284" spans="1:44" hidden="1">
      <c r="A10284" s="1" t="s">
        <v>21169</v>
      </c>
      <c r="C10284" s="1">
        <v>1</v>
      </c>
      <c r="D10284" s="1" t="str">
        <f>"08969"</f>
        <v>08969</v>
      </c>
      <c r="E10284" s="1" t="s">
        <v>156</v>
      </c>
      <c r="F10284" s="1">
        <v>18</v>
      </c>
      <c r="G10284" s="1">
        <v>7</v>
      </c>
      <c r="H10284" s="1">
        <v>0</v>
      </c>
      <c r="I10284" s="1" t="s">
        <v>21153</v>
      </c>
      <c r="K10284" s="1" t="str">
        <f t="shared" si="633"/>
        <v>ㄕ</v>
      </c>
      <c r="L10284" s="1" t="str">
        <f t="shared" si="635"/>
        <v>ㄣ</v>
      </c>
      <c r="M10284" s="1" t="str">
        <f t="shared" si="636"/>
        <v/>
      </c>
      <c r="P10284" s="1" t="s">
        <v>20</v>
      </c>
      <c r="R10284" s="1" t="s">
        <v>21154</v>
      </c>
      <c r="V10284" s="1" t="s">
        <v>21170</v>
      </c>
      <c r="AR10284" s="1" t="str">
        <f t="shared" si="634"/>
        <v>| [ㄕㄣ](ㄕㄣ.md) | [鯓](鯓.md) |  | shēn | 參見「鯤鯓」條。 |</v>
      </c>
    </row>
    <row r="10285" spans="1:44" hidden="1">
      <c r="A10285" s="1" t="s">
        <v>21171</v>
      </c>
      <c r="C10285" s="1">
        <v>1</v>
      </c>
      <c r="D10285" s="1" t="str">
        <f>"08970"</f>
        <v>08970</v>
      </c>
      <c r="E10285" s="1" t="s">
        <v>114</v>
      </c>
      <c r="F10285" s="1">
        <v>8</v>
      </c>
      <c r="G10285" s="1">
        <v>6</v>
      </c>
      <c r="H10285" s="1">
        <v>0</v>
      </c>
      <c r="I10285" s="1" t="s">
        <v>21153</v>
      </c>
      <c r="K10285" s="1" t="str">
        <f t="shared" si="633"/>
        <v>ㄕ</v>
      </c>
      <c r="L10285" s="1" t="str">
        <f t="shared" si="635"/>
        <v>ㄣ</v>
      </c>
      <c r="M10285" s="1" t="str">
        <f t="shared" si="636"/>
        <v/>
      </c>
      <c r="P10285" s="1" t="s">
        <v>20</v>
      </c>
      <c r="R10285" s="1" t="s">
        <v>21154</v>
      </c>
      <c r="V10285" s="1" t="s">
        <v>21172</v>
      </c>
      <c r="AR10285" s="1" t="str">
        <f t="shared" si="634"/>
        <v>| [ㄕㄣ](ㄕㄣ.md) | [侁](侁.md) |  | shēn | [形]
1.行走的樣子。《說文解字．人部》：「侁，行貌。」
2.眾多。晉．傅咸〈皇太子釋奠頌〉：「濟濟儒生，侁侁胄子。」 |</v>
      </c>
    </row>
    <row r="10286" spans="1:44" hidden="1">
      <c r="A10286" s="1" t="s">
        <v>21173</v>
      </c>
      <c r="C10286" s="1">
        <v>1</v>
      </c>
      <c r="D10286" s="1" t="str">
        <f>"08971"</f>
        <v>08971</v>
      </c>
      <c r="E10286" s="1" t="s">
        <v>331</v>
      </c>
      <c r="F10286" s="1">
        <v>13</v>
      </c>
      <c r="G10286" s="1">
        <v>6</v>
      </c>
      <c r="H10286" s="1">
        <v>0</v>
      </c>
      <c r="I10286" s="1" t="s">
        <v>21153</v>
      </c>
      <c r="K10286" s="1" t="str">
        <f t="shared" si="633"/>
        <v>ㄕ</v>
      </c>
      <c r="L10286" s="1" t="str">
        <f t="shared" si="635"/>
        <v>ㄣ</v>
      </c>
      <c r="M10286" s="1" t="str">
        <f t="shared" si="636"/>
        <v/>
      </c>
      <c r="P10286" s="1" t="s">
        <v>20</v>
      </c>
      <c r="R10286" s="1" t="s">
        <v>21154</v>
      </c>
      <c r="V10286" s="1" t="s">
        <v>21174</v>
      </c>
      <c r="AR10286" s="1" t="str">
        <f t="shared" si="634"/>
        <v>| [ㄕㄣ](ㄕㄣ.md) | [詵](詵.md) |  | shēn | [動]
發言、詢問。《說文解字．言部》：「詵，致言也。」
[形]
參見「詵詵」條。 |</v>
      </c>
    </row>
    <row r="10287" spans="1:44" hidden="1">
      <c r="A10287" s="1" t="s">
        <v>21175</v>
      </c>
      <c r="C10287" s="1">
        <v>1</v>
      </c>
      <c r="D10287" s="1" t="str">
        <f>"08972"</f>
        <v>08972</v>
      </c>
      <c r="E10287" s="1" t="s">
        <v>319</v>
      </c>
      <c r="F10287" s="1">
        <v>16</v>
      </c>
      <c r="G10287" s="1">
        <v>6</v>
      </c>
      <c r="H10287" s="1">
        <v>0</v>
      </c>
      <c r="I10287" s="1" t="s">
        <v>21153</v>
      </c>
      <c r="K10287" s="1" t="str">
        <f t="shared" si="633"/>
        <v>ㄕ</v>
      </c>
      <c r="L10287" s="1" t="str">
        <f t="shared" si="635"/>
        <v>ㄣ</v>
      </c>
      <c r="M10287" s="1" t="str">
        <f t="shared" si="636"/>
        <v/>
      </c>
      <c r="P10287" s="1" t="s">
        <v>20</v>
      </c>
      <c r="R10287" s="1" t="s">
        <v>21154</v>
      </c>
      <c r="V10287" s="1" t="s">
        <v>21176</v>
      </c>
      <c r="AR10287" s="1" t="str">
        <f t="shared" si="634"/>
        <v>| [ㄕㄣ](ㄕㄣ.md) | [駪](駪.md) |  | shēn | [形]
馬群眾多的樣子。《說文解字．馬部》：「駪，馬眾多貌。」 |</v>
      </c>
    </row>
    <row r="10288" spans="1:44" hidden="1">
      <c r="A10288" s="1" t="s">
        <v>21177</v>
      </c>
      <c r="C10288" s="1">
        <v>1</v>
      </c>
      <c r="D10288" s="1" t="str">
        <f>"08973"</f>
        <v>08973</v>
      </c>
      <c r="E10288" s="1" t="s">
        <v>46</v>
      </c>
      <c r="F10288" s="1">
        <v>9</v>
      </c>
      <c r="G10288" s="1">
        <v>3</v>
      </c>
      <c r="H10288" s="1">
        <v>0</v>
      </c>
      <c r="I10288" s="1" t="s">
        <v>21153</v>
      </c>
      <c r="K10288" s="1" t="str">
        <f t="shared" ref="K10288:K10351" si="637">LEFT(I10288, 1)</f>
        <v>ㄕ</v>
      </c>
      <c r="L10288" s="1" t="str">
        <f t="shared" si="635"/>
        <v>ㄣ</v>
      </c>
      <c r="M10288" s="1" t="str">
        <f t="shared" si="636"/>
        <v/>
      </c>
      <c r="P10288" s="1" t="s">
        <v>20</v>
      </c>
      <c r="R10288" s="1" t="s">
        <v>21154</v>
      </c>
      <c r="V10288" s="1" t="s">
        <v>21178</v>
      </c>
      <c r="AR10288" s="1" t="str">
        <f t="shared" si="634"/>
        <v>| [ㄕㄣ](ㄕㄣ.md) | [籸](籸.md) |  | shēn | [名]
1.糧食加工後所餘的渣滓。《玉篇．米部》：「籸，粉滓也。」元．司農司《農桑輯要．卷七．孳畜．豬》：「閹豬子待瘡口乾乎復後，取巴豆兩粒，去殼爛擣，和麻籸糟糠之類飼之。」
2.凝固的粥。《玉篇．米部》：「籸，粥凝也。」 |</v>
      </c>
    </row>
    <row r="10289" spans="1:44" hidden="1">
      <c r="A10289" s="1" t="s">
        <v>17028</v>
      </c>
      <c r="C10289" s="1">
        <v>1</v>
      </c>
      <c r="D10289" s="1" t="str">
        <f>"08974"</f>
        <v>08974</v>
      </c>
      <c r="E10289" s="1" t="s">
        <v>114</v>
      </c>
      <c r="F10289" s="1">
        <v>9</v>
      </c>
      <c r="G10289" s="1">
        <v>7</v>
      </c>
      <c r="H10289" s="1">
        <v>2</v>
      </c>
      <c r="I10289" s="1" t="s">
        <v>21153</v>
      </c>
      <c r="K10289" s="1" t="str">
        <f t="shared" si="637"/>
        <v>ㄕ</v>
      </c>
      <c r="L10289" s="1" t="str">
        <f t="shared" si="635"/>
        <v>ㄣ</v>
      </c>
      <c r="M10289" s="1" t="str">
        <f t="shared" si="636"/>
        <v/>
      </c>
      <c r="P10289" s="1" t="s">
        <v>20</v>
      </c>
      <c r="R10289" s="1" t="s">
        <v>21154</v>
      </c>
      <c r="V10289" s="1" t="s">
        <v>21179</v>
      </c>
      <c r="W10289" s="1" t="s">
        <v>21180</v>
      </c>
      <c r="AR10289" s="1" t="str">
        <f t="shared" si="634"/>
        <v>| [ㄕㄣ](ㄕㄣ.md) | [信](信.md) |  | shēn | [動]
1.伸直、舒展。通「伸」。《易經．繫辭下》：「往者屈也，來者信也。」《漢書．卷六二．司馬遷傳》：「乃欲卬首信眉，論列是非。」
2.陳述表白。通「申」。《穀梁傳．隱公元年》：「春秋貴義而不貴惠，信道而不信邪。」 |</v>
      </c>
    </row>
    <row r="10290" spans="1:44" hidden="1">
      <c r="A10290" s="1" t="s">
        <v>21181</v>
      </c>
      <c r="C10290" s="1">
        <v>1</v>
      </c>
      <c r="D10290" s="1" t="str">
        <f>"08975"</f>
        <v>08975</v>
      </c>
      <c r="E10290" s="1" t="s">
        <v>19817</v>
      </c>
      <c r="F10290" s="1">
        <v>10</v>
      </c>
      <c r="G10290" s="1">
        <v>5</v>
      </c>
      <c r="H10290" s="1">
        <v>0</v>
      </c>
      <c r="I10290" s="1" t="s">
        <v>21153</v>
      </c>
      <c r="K10290" s="1" t="str">
        <f t="shared" si="637"/>
        <v>ㄕ</v>
      </c>
      <c r="L10290" s="1" t="str">
        <f t="shared" si="635"/>
        <v>ㄣ</v>
      </c>
      <c r="M10290" s="1" t="str">
        <f t="shared" si="636"/>
        <v/>
      </c>
      <c r="P10290" s="1" t="s">
        <v>20</v>
      </c>
      <c r="R10290" s="1" t="s">
        <v>21154</v>
      </c>
      <c r="V10290" s="1" t="s">
        <v>21182</v>
      </c>
      <c r="AR10290" s="1" t="str">
        <f t="shared" si="634"/>
        <v>| [ㄕㄣ](ㄕㄣ.md) | [甡](甡.md) |  | shēn | [形]
眾多。《說文解字．生部》：「甡，眾生並立之貌。」 |</v>
      </c>
    </row>
    <row r="10291" spans="1:44" hidden="1">
      <c r="A10291" s="1" t="s">
        <v>18620</v>
      </c>
      <c r="C10291" s="1">
        <v>1</v>
      </c>
      <c r="D10291" s="1" t="str">
        <f>"08976"</f>
        <v>08976</v>
      </c>
      <c r="E10291" s="1" t="s">
        <v>534</v>
      </c>
      <c r="F10291" s="1">
        <v>10</v>
      </c>
      <c r="G10291" s="1">
        <v>7</v>
      </c>
      <c r="H10291" s="1">
        <v>1</v>
      </c>
      <c r="I10291" s="1" t="s">
        <v>21153</v>
      </c>
      <c r="K10291" s="1" t="str">
        <f t="shared" si="637"/>
        <v>ㄕ</v>
      </c>
      <c r="L10291" s="1" t="str">
        <f t="shared" si="635"/>
        <v>ㄣ</v>
      </c>
      <c r="M10291" s="1" t="str">
        <f t="shared" si="636"/>
        <v/>
      </c>
      <c r="P10291" s="1" t="s">
        <v>20</v>
      </c>
      <c r="R10291" s="1" t="s">
        <v>21154</v>
      </c>
      <c r="V10291" s="1" t="s">
        <v>21183</v>
      </c>
      <c r="W10291" s="1" t="s">
        <v>21184</v>
      </c>
      <c r="AR10291" s="1" t="str">
        <f t="shared" si="634"/>
        <v>| [ㄕㄣ](ㄕㄣ.md) | [娠](娠.md) |  | shēn | [動]
1.懷孕、懷胎。《左傳．哀公元年》：「后緡方娠，逃出自竇，歸于有仍，生少康焉。」
2.孕含、孕育。宋．蘇軾〈桂酒頌〉：「水娠黃金山空青，丹砂晨暾珠夜明。」宋．毛滂〈踏莎行．映竹幽妍〉詞：「映竹幽妍，臨池娟靚。芳苞先暖香初娠。」
[名]
身孕、胎兒。《漢書．卷一．高帝紀上》：「已而有娠，遂產高祖。」《資治通鑑．卷八三．晉紀五．惠帝元康九年》：「又詐為有娠，內稿物、產具。」 |</v>
      </c>
    </row>
    <row r="10292" spans="1:44" hidden="1">
      <c r="A10292" s="1" t="s">
        <v>21185</v>
      </c>
      <c r="C10292" s="1">
        <v>1</v>
      </c>
      <c r="D10292" s="1" t="str">
        <f>"08977"</f>
        <v>08977</v>
      </c>
      <c r="E10292" s="1" t="s">
        <v>129</v>
      </c>
      <c r="F10292" s="1">
        <v>11</v>
      </c>
      <c r="G10292" s="1">
        <v>8</v>
      </c>
      <c r="H10292" s="1">
        <v>0</v>
      </c>
      <c r="I10292" s="1" t="s">
        <v>21153</v>
      </c>
      <c r="K10292" s="1" t="str">
        <f t="shared" si="637"/>
        <v>ㄕ</v>
      </c>
      <c r="L10292" s="1" t="str">
        <f t="shared" si="635"/>
        <v>ㄣ</v>
      </c>
      <c r="M10292" s="1" t="str">
        <f t="shared" si="636"/>
        <v/>
      </c>
      <c r="P10292" s="1" t="s">
        <v>20</v>
      </c>
      <c r="R10292" s="1" t="s">
        <v>21154</v>
      </c>
      <c r="V10292" s="1" t="s">
        <v>21186</v>
      </c>
      <c r="AR10292" s="1" t="str">
        <f t="shared" si="634"/>
        <v>| [ㄕㄣ](ㄕㄣ.md) | [深](深.md) |  | shēn | [形]
1.從高到下，從表面到底部的距離很大。與「淺」相反。如：「深海」、「深淵」。
2.高奧、精微。如：「他這句話的用意很深。」
3.濃厚。如：「一往情深」、「深藍色」。
4.形容時間的久、晚。如：「年深日久」。
5.茂盛。唐．杜甫〈春望〉詩：「國破山河在，城春草木深。」
[副]
很、非常。如：「深得人緣」、「深加讚美」。 |</v>
      </c>
    </row>
    <row r="10293" spans="1:44" hidden="1">
      <c r="A10293" s="1" t="s">
        <v>16984</v>
      </c>
      <c r="C10293" s="1">
        <v>1</v>
      </c>
      <c r="D10293" s="1" t="str">
        <f>"08978"</f>
        <v>08978</v>
      </c>
      <c r="E10293" s="1" t="s">
        <v>37</v>
      </c>
      <c r="F10293" s="1">
        <v>11</v>
      </c>
      <c r="G10293" s="1">
        <v>7</v>
      </c>
      <c r="H10293" s="1">
        <v>1</v>
      </c>
      <c r="I10293" s="1" t="s">
        <v>21153</v>
      </c>
      <c r="K10293" s="1" t="str">
        <f t="shared" si="637"/>
        <v>ㄕ</v>
      </c>
      <c r="L10293" s="1" t="str">
        <f t="shared" si="635"/>
        <v>ㄣ</v>
      </c>
      <c r="M10293" s="1" t="str">
        <f t="shared" si="636"/>
        <v/>
      </c>
      <c r="P10293" s="1" t="s">
        <v>20</v>
      </c>
      <c r="R10293" s="1" t="s">
        <v>21154</v>
      </c>
      <c r="V10293" s="1" t="s">
        <v>21187</v>
      </c>
      <c r="W10293" s="1" t="s">
        <v>21188</v>
      </c>
      <c r="AR10293" s="1" t="str">
        <f t="shared" si="634"/>
        <v>| [ㄕㄣ](ㄕㄣ.md) | [莘](莘.md) |  | shēn | [形]
1.長的樣子。《詩經．小雅．魚藻》：「魚在在藻，有莘其尾。」
2.眾多。如：「莘莘學子」。
[名]
姓。如宋代有莘融。 |</v>
      </c>
    </row>
    <row r="10294" spans="1:44" hidden="1">
      <c r="A10294" s="1" t="s">
        <v>21189</v>
      </c>
      <c r="C10294" s="1">
        <v>1</v>
      </c>
      <c r="D10294" s="1" t="str">
        <f>"08979"</f>
        <v>08979</v>
      </c>
      <c r="E10294" s="1" t="s">
        <v>14794</v>
      </c>
      <c r="F10294" s="1">
        <v>11</v>
      </c>
      <c r="G10294" s="1">
        <v>9</v>
      </c>
      <c r="H10294" s="1">
        <v>2</v>
      </c>
      <c r="I10294" s="1" t="s">
        <v>21153</v>
      </c>
      <c r="K10294" s="1" t="str">
        <f t="shared" si="637"/>
        <v>ㄕ</v>
      </c>
      <c r="L10294" s="1" t="str">
        <f t="shared" si="635"/>
        <v>ㄣ</v>
      </c>
      <c r="M10294" s="1" t="str">
        <f t="shared" si="636"/>
        <v/>
      </c>
      <c r="P10294" s="1" t="s">
        <v>20</v>
      </c>
      <c r="R10294" s="1" t="s">
        <v>21154</v>
      </c>
      <c r="V10294" s="1" t="s">
        <v>21190</v>
      </c>
      <c r="W10294" s="1" t="s">
        <v>21191</v>
      </c>
      <c r="AR10294" s="1" t="str">
        <f t="shared" si="634"/>
        <v>| [ㄕㄣ](ㄕㄣ.md) | [參](參.md) |  | shēn | [名]
1.人參、沙參等藥材的總稱。一般多指人參。
2.星宿名。二十八星宿之一，為西方白虎七宿的最後一宿。
3.星官名，參宿之首，由七顆星組成，在西方屬獵戶座。 |</v>
      </c>
    </row>
    <row r="10295" spans="1:44" hidden="1">
      <c r="A10295" s="1" t="s">
        <v>21192</v>
      </c>
      <c r="C10295" s="1">
        <v>1</v>
      </c>
      <c r="D10295" s="1" t="str">
        <f>"08980"</f>
        <v>08980</v>
      </c>
      <c r="E10295" s="1" t="s">
        <v>37</v>
      </c>
      <c r="F10295" s="1">
        <v>15</v>
      </c>
      <c r="G10295" s="1">
        <v>11</v>
      </c>
      <c r="H10295" s="1">
        <v>1</v>
      </c>
      <c r="I10295" s="1" t="s">
        <v>21153</v>
      </c>
      <c r="K10295" s="1" t="str">
        <f t="shared" si="637"/>
        <v>ㄕ</v>
      </c>
      <c r="L10295" s="1" t="str">
        <f t="shared" si="635"/>
        <v>ㄣ</v>
      </c>
      <c r="M10295" s="1" t="str">
        <f t="shared" si="636"/>
        <v/>
      </c>
      <c r="P10295" s="1" t="s">
        <v>20</v>
      </c>
      <c r="R10295" s="1" t="s">
        <v>21154</v>
      </c>
      <c r="V10295" s="1" t="s">
        <v>21193</v>
      </c>
      <c r="W10295" s="1" t="s">
        <v>21194</v>
      </c>
      <c r="AR10295" s="1" t="str">
        <f t="shared" si="634"/>
        <v>| [ㄕㄣ](ㄕㄣ.md) | [蔘](蔘.md) |  | shēn | [名]
人參。《廣韻．平聲．侵韻》：「蔘，人蔘，藥也。」宋．沈括《夢溪筆談．卷九．人事一》：「王荊公病喘，藥用紫團山人蔘，不可得。」
[形]
樹幹直立或高聳的樣子。《史記．卷一一七．司馬相如傳》：「紛容蕭蔘，旖旎從風。」 |</v>
      </c>
    </row>
    <row r="10296" spans="1:44" hidden="1">
      <c r="A10296" s="1" t="s">
        <v>21195</v>
      </c>
      <c r="C10296" s="1">
        <v>1</v>
      </c>
      <c r="D10296" s="1" t="str">
        <f>"08981"</f>
        <v>08981</v>
      </c>
      <c r="E10296" s="1" t="s">
        <v>139</v>
      </c>
      <c r="F10296" s="1">
        <v>12</v>
      </c>
      <c r="G10296" s="1">
        <v>8</v>
      </c>
      <c r="H10296" s="1">
        <v>0</v>
      </c>
      <c r="I10296" s="1" t="s">
        <v>21153</v>
      </c>
      <c r="K10296" s="1" t="str">
        <f t="shared" si="637"/>
        <v>ㄕ</v>
      </c>
      <c r="L10296" s="1" t="str">
        <f t="shared" si="635"/>
        <v>ㄣ</v>
      </c>
      <c r="M10296" s="1" t="str">
        <f t="shared" si="636"/>
        <v/>
      </c>
      <c r="P10296" s="1" t="s">
        <v>20</v>
      </c>
      <c r="R10296" s="1" t="s">
        <v>21154</v>
      </c>
      <c r="V10296" s="1" t="s">
        <v>21196</v>
      </c>
      <c r="AR10296" s="1" t="str">
        <f t="shared" si="634"/>
        <v>| [ㄕㄣ](ㄕㄣ.md) | [棽](棽.md) |  | shēn | 參見「棽棽」條。 |</v>
      </c>
    </row>
    <row r="10297" spans="1:44" hidden="1">
      <c r="A10297" s="1" t="s">
        <v>21197</v>
      </c>
      <c r="C10297" s="1">
        <v>1</v>
      </c>
      <c r="D10297" s="1" t="str">
        <f>"08982"</f>
        <v>08982</v>
      </c>
      <c r="E10297" s="1" t="s">
        <v>336</v>
      </c>
      <c r="F10297" s="1">
        <v>16</v>
      </c>
      <c r="G10297" s="1">
        <v>12</v>
      </c>
      <c r="H10297" s="1">
        <v>0</v>
      </c>
      <c r="I10297" s="1" t="s">
        <v>21153</v>
      </c>
      <c r="K10297" s="1" t="str">
        <f t="shared" si="637"/>
        <v>ㄕ</v>
      </c>
      <c r="L10297" s="1" t="str">
        <f t="shared" si="635"/>
        <v>ㄣ</v>
      </c>
      <c r="M10297" s="1" t="str">
        <f t="shared" si="636"/>
        <v/>
      </c>
      <c r="P10297" s="1" t="s">
        <v>20</v>
      </c>
      <c r="R10297" s="1" t="s">
        <v>21154</v>
      </c>
      <c r="V10297" s="1" t="s">
        <v>21198</v>
      </c>
      <c r="AR10297" s="1" t="str">
        <f t="shared" si="634"/>
        <v>| [ㄕㄣ](ㄕㄣ.md) | [燊](燊.md) |  | shēn | [形]
熾盛、興盛。《說文解字．焱部》：「燊，盛貌。」 |</v>
      </c>
    </row>
    <row r="10298" spans="1:44" hidden="1">
      <c r="A10298" s="1" t="s">
        <v>21252</v>
      </c>
      <c r="C10298" s="1">
        <v>1</v>
      </c>
      <c r="D10298" s="1" t="str">
        <f>"09006"</f>
        <v>09006</v>
      </c>
      <c r="E10298" s="1" t="s">
        <v>28</v>
      </c>
      <c r="F10298" s="1">
        <v>11</v>
      </c>
      <c r="G10298" s="1">
        <v>8</v>
      </c>
      <c r="H10298" s="1">
        <v>0</v>
      </c>
      <c r="I10298" s="1" t="s">
        <v>21253</v>
      </c>
      <c r="K10298" s="1" t="str">
        <f t="shared" si="637"/>
        <v>ㄕ</v>
      </c>
      <c r="L10298" s="1" t="str">
        <f t="shared" si="635"/>
        <v>ㄤ</v>
      </c>
      <c r="M10298" s="1" t="str">
        <f t="shared" si="636"/>
        <v/>
      </c>
      <c r="P10298" s="1" t="s">
        <v>20</v>
      </c>
      <c r="R10298" s="1" t="s">
        <v>21254</v>
      </c>
      <c r="V10298" s="1" t="s">
        <v>21255</v>
      </c>
      <c r="AR10298" s="1" t="str">
        <f t="shared" si="634"/>
        <v>| [ㄕㄤ](ㄕㄤ.md) | [商](商.md) |  | shāng | [名]
1.做生意的人。如：「布商」、「米商」。漢．王充《論衡．偶會》：「富家之商，必奪貧室之財。」
2.做生意的事業。如：「經商」、「習商」。
3.五音之一。音調清勁而淒愴。如：「宮、商、角、徵、羽。」
4.朝代名。參見「商朝」條。
5.算術中某數以他數除之，所得的值稱為「商」。如：「六除以三的商為二。」
6.姓。如春秋時魏國有商鞅。
[動]
討論、計劃。《漢書．卷六九．趙充國傳》：「勤勞而至，虜必商軍進退，稍引去。」《鏡花緣》第六六回：「國舅又再再苦勸，無奈若花心如鐵石，竟無一字可商。」
[形]
秋天的。古人以秋天肅殺之氣與商聲悽愴悲涼之音相符，故稱秋為商。《楚辭．東方朔．七諫．沈江》：「商風肅而害生兮，百草育而不長。」唐．孟郊〈秋懷〉詩一六首之七：「商蟲哭衰運，繁響不可尋。」 |</v>
      </c>
    </row>
    <row r="10299" spans="1:44" hidden="1">
      <c r="A10299" s="1" t="s">
        <v>21256</v>
      </c>
      <c r="C10299" s="1">
        <v>1</v>
      </c>
      <c r="D10299" s="1" t="str">
        <f>"09007"</f>
        <v>09007</v>
      </c>
      <c r="E10299" s="1" t="s">
        <v>37</v>
      </c>
      <c r="F10299" s="1">
        <v>15</v>
      </c>
      <c r="G10299" s="1">
        <v>11</v>
      </c>
      <c r="H10299" s="1">
        <v>0</v>
      </c>
      <c r="I10299" s="1" t="s">
        <v>21253</v>
      </c>
      <c r="K10299" s="1" t="str">
        <f t="shared" si="637"/>
        <v>ㄕ</v>
      </c>
      <c r="L10299" s="1" t="str">
        <f t="shared" si="635"/>
        <v>ㄤ</v>
      </c>
      <c r="M10299" s="1" t="str">
        <f t="shared" si="636"/>
        <v/>
      </c>
      <c r="P10299" s="1" t="s">
        <v>20</v>
      </c>
      <c r="R10299" s="1" t="s">
        <v>21254</v>
      </c>
      <c r="V10299" s="1" t="s">
        <v>21257</v>
      </c>
      <c r="AR10299" s="1" t="str">
        <f t="shared" si="634"/>
        <v>| [ㄕㄤ](ㄕㄤ.md) | [蔏](蔏.md) |  | shāng | 參見「蔏藋」、「蔏蔞」等條。 |</v>
      </c>
    </row>
    <row r="10300" spans="1:44" hidden="1">
      <c r="A10300" s="1" t="s">
        <v>6307</v>
      </c>
      <c r="C10300" s="1">
        <v>1</v>
      </c>
      <c r="D10300" s="1" t="str">
        <f>"09008"</f>
        <v>09008</v>
      </c>
      <c r="E10300" s="1" t="s">
        <v>129</v>
      </c>
      <c r="F10300" s="1">
        <v>12</v>
      </c>
      <c r="G10300" s="1">
        <v>9</v>
      </c>
      <c r="H10300" s="1">
        <v>2</v>
      </c>
      <c r="I10300" s="1" t="s">
        <v>21253</v>
      </c>
      <c r="K10300" s="1" t="str">
        <f t="shared" si="637"/>
        <v>ㄕ</v>
      </c>
      <c r="L10300" s="1" t="str">
        <f t="shared" si="635"/>
        <v>ㄤ</v>
      </c>
      <c r="M10300" s="1" t="str">
        <f t="shared" si="636"/>
        <v/>
      </c>
      <c r="P10300" s="1" t="s">
        <v>20</v>
      </c>
      <c r="R10300" s="1" t="s">
        <v>21254</v>
      </c>
      <c r="V10300" s="1" t="s">
        <v>21258</v>
      </c>
      <c r="W10300" s="1" t="s">
        <v>21259</v>
      </c>
      <c r="AR10300" s="1" t="str">
        <f t="shared" si="634"/>
        <v>| [ㄕㄤ](ㄕㄤ.md) | [湯](湯.md) |  | shāng | 參見「湯湯」條。 |</v>
      </c>
    </row>
    <row r="10301" spans="1:44" hidden="1">
      <c r="A10301" s="1" t="s">
        <v>21260</v>
      </c>
      <c r="C10301" s="1">
        <v>1</v>
      </c>
      <c r="D10301" s="1" t="str">
        <f>"09009"</f>
        <v>09009</v>
      </c>
      <c r="E10301" s="1" t="s">
        <v>250</v>
      </c>
      <c r="F10301" s="1">
        <v>12</v>
      </c>
      <c r="G10301" s="1">
        <v>9</v>
      </c>
      <c r="H10301" s="1">
        <v>0</v>
      </c>
      <c r="I10301" s="1" t="s">
        <v>21253</v>
      </c>
      <c r="K10301" s="1" t="str">
        <f t="shared" si="637"/>
        <v>ㄕ</v>
      </c>
      <c r="L10301" s="1" t="str">
        <f t="shared" si="635"/>
        <v>ㄤ</v>
      </c>
      <c r="M10301" s="1" t="str">
        <f t="shared" si="636"/>
        <v/>
      </c>
      <c r="P10301" s="1" t="s">
        <v>20</v>
      </c>
      <c r="R10301" s="1" t="s">
        <v>21254</v>
      </c>
      <c r="V10301" s="1" t="s">
        <v>21261</v>
      </c>
      <c r="AR10301" s="1" t="str">
        <f t="shared" si="634"/>
        <v>| [ㄕㄤ](ㄕㄤ.md) | [愓](愓.md) |  | shāng | 參見「愓愓」條。 |</v>
      </c>
    </row>
    <row r="10302" spans="1:44" hidden="1">
      <c r="A10302" s="1" t="s">
        <v>21262</v>
      </c>
      <c r="C10302" s="1">
        <v>1</v>
      </c>
      <c r="D10302" s="1" t="str">
        <f>"09010"</f>
        <v>09010</v>
      </c>
      <c r="E10302" s="1" t="s">
        <v>114</v>
      </c>
      <c r="F10302" s="1">
        <v>13</v>
      </c>
      <c r="G10302" s="1">
        <v>11</v>
      </c>
      <c r="H10302" s="1">
        <v>0</v>
      </c>
      <c r="I10302" s="1" t="s">
        <v>21253</v>
      </c>
      <c r="K10302" s="1" t="str">
        <f t="shared" si="637"/>
        <v>ㄕ</v>
      </c>
      <c r="L10302" s="1" t="str">
        <f t="shared" si="635"/>
        <v>ㄤ</v>
      </c>
      <c r="M10302" s="1" t="str">
        <f t="shared" si="636"/>
        <v/>
      </c>
      <c r="P10302" s="1" t="s">
        <v>20</v>
      </c>
      <c r="R10302" s="1" t="s">
        <v>21254</v>
      </c>
      <c r="V10302" s="1" t="s">
        <v>21263</v>
      </c>
      <c r="AR10302" s="1" t="str">
        <f t="shared" si="634"/>
        <v>| [ㄕㄤ](ㄕㄤ.md) | [傷](傷.md) |  | shāng | [名]
1.皮肉破損的地方。如：「他腿上有一處傷。」
2.姓。如春秋時宋國有傷省。
[動]
1.受傷、使受傷。《左傳．成公二年》：「郤克傷於矢，流血及屨，未絕鼓音。」《史記．卷三一．吳太伯世家》：「越因伐吳，敗之姑蘇，傷吳王闔廬指，軍卻七里。」
2.耗損、毀壞。如：「傷身」、「傷神」、「傷腦筋」。
3.妨礙。如：「無傷大雅」。唐．白居易〈效陶潛體詩〉一六首之一六：「濟水澄而潔，河水渾而黃，交流列四瀆，清濁不相傷。」
4.毀謗。如：「出口傷人」。《呂氏春秋．離俗覽．舉難》：「人傷堯以不慈之名。」
5.悲痛，使憂心悲痛。如：「傷別」、「傷慟」、「傷兮感舊」。《詩經．周南．卷耳》：「我姑酌彼兕觥，維以不永傷。」《隋書．卷七〇．李密傳》：「柴孝和溺死於洛水，密甚傷之。」 |</v>
      </c>
    </row>
    <row r="10303" spans="1:44" hidden="1">
      <c r="A10303" s="1" t="s">
        <v>21264</v>
      </c>
      <c r="C10303" s="1">
        <v>1</v>
      </c>
      <c r="D10303" s="1" t="str">
        <f>"09011"</f>
        <v>09011</v>
      </c>
      <c r="E10303" s="1" t="s">
        <v>1372</v>
      </c>
      <c r="F10303" s="1">
        <v>15</v>
      </c>
      <c r="G10303" s="1">
        <v>11</v>
      </c>
      <c r="H10303" s="1">
        <v>0</v>
      </c>
      <c r="I10303" s="1" t="s">
        <v>21253</v>
      </c>
      <c r="K10303" s="1" t="str">
        <f t="shared" si="637"/>
        <v>ㄕ</v>
      </c>
      <c r="L10303" s="1" t="str">
        <f t="shared" si="635"/>
        <v>ㄤ</v>
      </c>
      <c r="M10303" s="1" t="str">
        <f t="shared" si="636"/>
        <v/>
      </c>
      <c r="P10303" s="1" t="s">
        <v>20</v>
      </c>
      <c r="R10303" s="1" t="s">
        <v>21254</v>
      </c>
      <c r="V10303" s="1" t="s">
        <v>21265</v>
      </c>
      <c r="AR10303" s="1" t="str">
        <f t="shared" si="634"/>
        <v>| [ㄕㄤ](ㄕㄤ.md) | [殤](殤.md) |  | shāng | [名]
未成年而夭折稱為「殤」。《儀禮．喪服》：「年十九至十六為長殤，十五至十二為中殤，十一至八歲為下殤。不滿八歲以下，皆為無服之殤。」 |</v>
      </c>
    </row>
    <row r="10304" spans="1:44" hidden="1">
      <c r="A10304" s="1" t="s">
        <v>21266</v>
      </c>
      <c r="C10304" s="1">
        <v>1</v>
      </c>
      <c r="D10304" s="1" t="str">
        <f>"09012"</f>
        <v>09012</v>
      </c>
      <c r="E10304" s="1" t="s">
        <v>1117</v>
      </c>
      <c r="F10304" s="1">
        <v>18</v>
      </c>
      <c r="G10304" s="1">
        <v>11</v>
      </c>
      <c r="H10304" s="1">
        <v>0</v>
      </c>
      <c r="I10304" s="1" t="s">
        <v>21253</v>
      </c>
      <c r="K10304" s="1" t="str">
        <f t="shared" si="637"/>
        <v>ㄕ</v>
      </c>
      <c r="L10304" s="1" t="str">
        <f t="shared" si="635"/>
        <v>ㄤ</v>
      </c>
      <c r="M10304" s="1" t="str">
        <f t="shared" si="636"/>
        <v/>
      </c>
      <c r="P10304" s="1" t="s">
        <v>20</v>
      </c>
      <c r="R10304" s="1" t="s">
        <v>21254</v>
      </c>
      <c r="V10304" s="1" t="s">
        <v>21267</v>
      </c>
      <c r="AR10304" s="1" t="str">
        <f t="shared" si="634"/>
        <v>| [ㄕㄤ](ㄕㄤ.md) | [觴](觴.md) |  | shāng | [名]
酒杯、酒器。如：「銜觴賦詩」。《韓非子．十過》：「平公提觴而起為師曠壽。」《聊齋志異．卷一．嬌娜》：「又命以巨觴行酒，三更始罷。」
[動]
飲酒，或勸人飲酒、敬酒。《呂氏春秋．恃君覽．達鬱》：「管仲觴桓公，曰：『暮矣！』」宋．范成大〈九月三日宿胥口始聞雁〉詩：「把酒不能觴，送目問行李。」 |</v>
      </c>
    </row>
    <row r="10305" spans="1:44" hidden="1">
      <c r="A10305" s="1" t="s">
        <v>21268</v>
      </c>
      <c r="C10305" s="1">
        <v>1</v>
      </c>
      <c r="D10305" s="1" t="str">
        <f>"09013"</f>
        <v>09013</v>
      </c>
      <c r="E10305" s="1" t="s">
        <v>275</v>
      </c>
      <c r="F10305" s="1">
        <v>21</v>
      </c>
      <c r="G10305" s="1">
        <v>11</v>
      </c>
      <c r="H10305" s="1">
        <v>0</v>
      </c>
      <c r="I10305" s="1" t="s">
        <v>21253</v>
      </c>
      <c r="K10305" s="1" t="str">
        <f t="shared" si="637"/>
        <v>ㄕ</v>
      </c>
      <c r="L10305" s="1" t="str">
        <f t="shared" si="635"/>
        <v>ㄤ</v>
      </c>
      <c r="M10305" s="1" t="str">
        <f t="shared" si="636"/>
        <v/>
      </c>
      <c r="P10305" s="1" t="s">
        <v>20</v>
      </c>
      <c r="R10305" s="1" t="s">
        <v>21254</v>
      </c>
      <c r="V10305" s="1" t="s">
        <v>21269</v>
      </c>
      <c r="AR10305" s="1" t="str">
        <f t="shared" si="634"/>
        <v>| [ㄕㄤ](ㄕㄤ.md) | [鬺](鬺.md) |  | shāng | [動]
烹煮。《史記．卷一二．孝武本紀》：「禹收九牧之金，鑄九鼎，皆嘗鬺烹上帝鬼神。」 |</v>
      </c>
    </row>
    <row r="10306" spans="1:44" hidden="1">
      <c r="A10306" s="1" t="s">
        <v>19978</v>
      </c>
      <c r="C10306" s="1">
        <v>1</v>
      </c>
      <c r="D10306" s="1" t="str">
        <f>"09014"</f>
        <v>09014</v>
      </c>
      <c r="E10306" s="1" t="s">
        <v>340</v>
      </c>
      <c r="F10306" s="1">
        <v>14</v>
      </c>
      <c r="G10306" s="1">
        <v>8</v>
      </c>
      <c r="H10306" s="1">
        <v>2</v>
      </c>
      <c r="I10306" s="1" t="s">
        <v>21253</v>
      </c>
      <c r="K10306" s="1" t="str">
        <f t="shared" si="637"/>
        <v>ㄕ</v>
      </c>
      <c r="L10306" s="1" t="str">
        <f t="shared" si="635"/>
        <v>ㄤ</v>
      </c>
      <c r="M10306" s="1" t="str">
        <f t="shared" si="636"/>
        <v/>
      </c>
      <c r="P10306" s="1" t="s">
        <v>110</v>
      </c>
      <c r="R10306" s="1" t="s">
        <v>21254</v>
      </c>
      <c r="V10306" s="1" t="s">
        <v>111</v>
      </c>
      <c r="W10306" s="1" t="s">
        <v>21270</v>
      </c>
      <c r="AR10306" s="1" t="str">
        <f t="shared" si="634"/>
        <v>| [ㄕㄤ](ㄕㄤ.md) | [裳](裳.md) |  | shāng | (一)之又音。 |</v>
      </c>
    </row>
    <row r="10307" spans="1:44" hidden="1">
      <c r="A10307" s="1" t="s">
        <v>21289</v>
      </c>
      <c r="C10307" s="1">
        <v>1</v>
      </c>
      <c r="D10307" s="1" t="str">
        <f>"09021"</f>
        <v>09021</v>
      </c>
      <c r="E10307" s="1" t="s">
        <v>286</v>
      </c>
      <c r="F10307" s="1">
        <v>4</v>
      </c>
      <c r="G10307" s="1">
        <v>2</v>
      </c>
      <c r="H10307" s="1">
        <v>0</v>
      </c>
      <c r="I10307" s="1" t="s">
        <v>21290</v>
      </c>
      <c r="K10307" s="1" t="str">
        <f t="shared" si="637"/>
        <v>ㄕ</v>
      </c>
      <c r="L10307" s="1" t="str">
        <f t="shared" si="635"/>
        <v>ㄥ</v>
      </c>
      <c r="M10307" s="1" t="str">
        <f t="shared" si="636"/>
        <v/>
      </c>
      <c r="P10307" s="1" t="s">
        <v>20</v>
      </c>
      <c r="R10307" s="1" t="s">
        <v>21291</v>
      </c>
      <c r="V10307" s="1" t="s">
        <v>21292</v>
      </c>
      <c r="AR10307" s="1" t="str">
        <f t="shared" ref="AR10307:AR10370" si="638">"| ["&amp;I10307&amp;"]("&amp;I10307&amp;".md) | ["&amp;A10307&amp;"]("&amp;A10307&amp;".md) | "&amp;" | "&amp;R10307&amp;" | "&amp;V10307&amp;" |"</f>
        <v>| [ㄕㄥ](ㄕㄥ.md) | [升](升.md) |  | shēng | [動]
1.由下而上。如：「升旗」、「升官」、「升級」。唐．白居易〈祭盧虔文〉：「名因文著，位以才升。」
2.登。《論語．先進》：「子曰：『由也，升堂矣，未入於室也。』」
[名]
1.量詞。表示容量的單位，也稱為「公升」。一升等於一千毫升。
2.《易經》卦名。六十四卦之一。巽（☴）下坤（☷）上。表示亨通之義。
3.姓。如南朝宋有升元。 |</v>
      </c>
    </row>
    <row r="10308" spans="1:44" hidden="1">
      <c r="A10308" s="1" t="s">
        <v>21293</v>
      </c>
      <c r="C10308" s="1">
        <v>1</v>
      </c>
      <c r="D10308" s="1" t="str">
        <f>"09022"</f>
        <v>09022</v>
      </c>
      <c r="E10308" s="1" t="s">
        <v>646</v>
      </c>
      <c r="F10308" s="1">
        <v>8</v>
      </c>
      <c r="G10308" s="1">
        <v>4</v>
      </c>
      <c r="H10308" s="1">
        <v>0</v>
      </c>
      <c r="I10308" s="1" t="s">
        <v>21290</v>
      </c>
      <c r="K10308" s="1" t="str">
        <f t="shared" si="637"/>
        <v>ㄕ</v>
      </c>
      <c r="L10308" s="1" t="str">
        <f t="shared" si="635"/>
        <v>ㄥ</v>
      </c>
      <c r="M10308" s="1" t="str">
        <f t="shared" si="636"/>
        <v/>
      </c>
      <c r="P10308" s="1" t="s">
        <v>20</v>
      </c>
      <c r="R10308" s="1" t="s">
        <v>21291</v>
      </c>
      <c r="V10308" s="1" t="s">
        <v>21294</v>
      </c>
      <c r="AR10308" s="1" t="str">
        <f t="shared" si="638"/>
        <v>| [ㄕㄥ](ㄕㄥ.md) | [昇](昇.md) |  | shēng | [動]
1.上升。南朝梁．江淹〈石劫賦〉：「日照水而東昇，山出波而隱沒。」
2.晉級、登進。《舊唐書．卷七十四．馬周傳》：「自古郡守、縣令，皆妙選賢德，欲有擢昇宰相必先試以臨人。」
[名]
姓。如宋代有昇元中。 |</v>
      </c>
    </row>
    <row r="10309" spans="1:44" hidden="1">
      <c r="A10309" s="1" t="s">
        <v>21295</v>
      </c>
      <c r="C10309" s="1">
        <v>1</v>
      </c>
      <c r="D10309" s="1" t="str">
        <f>"09023"</f>
        <v>09023</v>
      </c>
      <c r="E10309" s="1" t="s">
        <v>691</v>
      </c>
      <c r="F10309" s="1">
        <v>10</v>
      </c>
      <c r="G10309" s="1">
        <v>7</v>
      </c>
      <c r="H10309" s="1">
        <v>0</v>
      </c>
      <c r="I10309" s="1" t="s">
        <v>21290</v>
      </c>
      <c r="K10309" s="1" t="str">
        <f t="shared" si="637"/>
        <v>ㄕ</v>
      </c>
      <c r="L10309" s="1" t="str">
        <f t="shared" si="635"/>
        <v>ㄥ</v>
      </c>
      <c r="M10309" s="1" t="str">
        <f t="shared" si="636"/>
        <v/>
      </c>
      <c r="P10309" s="1" t="s">
        <v>20</v>
      </c>
      <c r="R10309" s="1" t="s">
        <v>21291</v>
      </c>
      <c r="V10309" s="1" t="s">
        <v>21296</v>
      </c>
      <c r="AR10309" s="1" t="str">
        <f t="shared" si="638"/>
        <v>| [ㄕㄥ](ㄕㄥ.md) | [陞](陞.md) |  | shēng | 同「升」。 |</v>
      </c>
    </row>
    <row r="10310" spans="1:44" hidden="1">
      <c r="A10310" s="1" t="s">
        <v>21297</v>
      </c>
      <c r="C10310" s="1">
        <v>1</v>
      </c>
      <c r="D10310" s="1" t="str">
        <f>"09024"</f>
        <v>09024</v>
      </c>
      <c r="E10310" s="1" t="s">
        <v>19817</v>
      </c>
      <c r="F10310" s="1">
        <v>5</v>
      </c>
      <c r="G10310" s="1">
        <v>0</v>
      </c>
      <c r="H10310" s="1">
        <v>0</v>
      </c>
      <c r="I10310" s="1" t="s">
        <v>21290</v>
      </c>
      <c r="K10310" s="1" t="str">
        <f t="shared" si="637"/>
        <v>ㄕ</v>
      </c>
      <c r="L10310" s="1" t="str">
        <f t="shared" si="635"/>
        <v>ㄥ</v>
      </c>
      <c r="M10310" s="1" t="str">
        <f t="shared" si="636"/>
        <v/>
      </c>
      <c r="P10310" s="1" t="s">
        <v>20</v>
      </c>
      <c r="R10310" s="1" t="s">
        <v>21291</v>
      </c>
      <c r="V10310" s="1" t="s">
        <v>21298</v>
      </c>
      <c r="AR10310" s="1" t="str">
        <f t="shared" si="638"/>
        <v>| [ㄕㄥ](ㄕㄥ.md) | [生](生.md) |  | shēng | [動]
1.長出、生長。如：「生出一對角。」《詩經．大雅．卷阿》：「梧桐生矣，于彼朝陽。」
2.生產、生育。《詩經．大雅．生民》：「不康禋祀，居然生子。」唐．白居易〈長恨歌〉：「遂令天下父母心，不重生男重生女。」
3.發生、產生。如：「生病」、「生效」、「橫生枝節」。《左傳．成公二年》：「義以生利，利以平民。」唐．杜甫〈愁〉詩：「江草日日喚愁生，巫峽泠泠非世情。」
4.生存、活存。如：「置之死地而後生」。
5.製造、新創。如：「惹事生非」、「你又生出新花樣來了。」
[名]
1.生存、生活。如：「起死回生」、「忍辱偷生」。《論語．顏淵》：「死生有命，富貴在天。」
2.量詞。計算一輩子的單位。如：「三生三世」、「緣定三生」、「三生姻緣」。
3.生命。如：「輕生」、「餘生」。
4.泛指生物。如：「眾生」、「群生」、「放生」。
5.生計。如：「謀生」、「無以為生」。
6.讀書人稱為「生」。如：「書生」、「儒生」。
7.學習者、門徒。如：「生徒」、「門生」、「師生」、「學生」。
8.戲劇裡的角色名稱。如：「小生」、「老生」、「武生」。
9.姓。如明代有生用和。
10. 二一四部首之一。
[形]
1.果實尚未成熟。如：「這個番石榴太生了，不能吃。」
2.沒有煮熟的。如：「生肉」、「生飯」。
3.罕見、不熟悉。如：「生人」、「面生」、「生手」、「生字」。
4.沒有加工或鍛鍊過的。如：「生鐵」。
[副]
1.很、甚。如：「生怕」、「生恐」。唐．劉采春〈囉嗊曲〉六首之一：「不喜秦淮水，生憎江上船。」
2.強迫。如：「生拉硬扯」。元．關漢卿《蝴蝶夢》第二折：「把三個未發跡小秀士，生扭做吃勘問死囚徒。」
[助]
語助詞，無義。《儒林外史》第七回：「況我看見你不喜我這煩劇的事，怎生是好？」 |</v>
      </c>
    </row>
    <row r="10311" spans="1:44" hidden="1">
      <c r="A10311" s="1" t="s">
        <v>17143</v>
      </c>
      <c r="C10311" s="1">
        <v>1</v>
      </c>
      <c r="D10311" s="1" t="str">
        <f>"09025"</f>
        <v>09025</v>
      </c>
      <c r="E10311" s="1" t="s">
        <v>198</v>
      </c>
      <c r="F10311" s="1">
        <v>8</v>
      </c>
      <c r="G10311" s="1">
        <v>5</v>
      </c>
      <c r="H10311" s="1">
        <v>1</v>
      </c>
      <c r="I10311" s="1" t="s">
        <v>21290</v>
      </c>
      <c r="K10311" s="1" t="str">
        <f t="shared" si="637"/>
        <v>ㄕ</v>
      </c>
      <c r="L10311" s="1" t="str">
        <f t="shared" si="635"/>
        <v>ㄥ</v>
      </c>
      <c r="M10311" s="1" t="str">
        <f t="shared" si="636"/>
        <v/>
      </c>
      <c r="P10311" s="1" t="s">
        <v>20</v>
      </c>
      <c r="R10311" s="1" t="s">
        <v>21291</v>
      </c>
      <c r="V10311" s="1" t="s">
        <v>21299</v>
      </c>
      <c r="W10311" s="1" t="s">
        <v>21300</v>
      </c>
      <c r="AR10311" s="1" t="str">
        <f t="shared" si="638"/>
        <v>| [ㄕㄥ](ㄕㄥ.md) | [狌](狌.md) |  | shēng | [名]_x000D_
鼬鼠，黃鼠狼，善捕鼠。江東人稱為「鼪」。《集韻．去聲．勁韻》：「狌，鼠屬。」《莊子．秋水》：「騏驥驊騮，一日而馳千里，捕鼠不如狸、狌。」唐．陸德明．釋文：「狌，崔本作鼬。」宋．楊時〈歸鴻閣記〉：「縣宇西北墉之隅，有廢址焉，久茀不治，畜豕之所游，鼯、狌、狸、鼠之所家，荒堙蕪沒，蔚為穢墟。」金．趙秉文〈黄河九昭．避礙〉：「犛牛捕鼠兮，不如狌、狸。」 |</v>
      </c>
    </row>
    <row r="10312" spans="1:44" hidden="1">
      <c r="A10312" s="1" t="s">
        <v>21301</v>
      </c>
      <c r="C10312" s="1">
        <v>1</v>
      </c>
      <c r="D10312" s="1" t="str">
        <f>"09026"</f>
        <v>09026</v>
      </c>
      <c r="E10312" s="1" t="s">
        <v>518</v>
      </c>
      <c r="F10312" s="1">
        <v>9</v>
      </c>
      <c r="G10312" s="1">
        <v>5</v>
      </c>
      <c r="H10312" s="1">
        <v>0</v>
      </c>
      <c r="I10312" s="1" t="s">
        <v>21290</v>
      </c>
      <c r="K10312" s="1" t="str">
        <f t="shared" si="637"/>
        <v>ㄕ</v>
      </c>
      <c r="L10312" s="1" t="str">
        <f t="shared" si="635"/>
        <v>ㄥ</v>
      </c>
      <c r="M10312" s="1" t="str">
        <f t="shared" si="636"/>
        <v/>
      </c>
      <c r="P10312" s="1" t="s">
        <v>20</v>
      </c>
      <c r="R10312" s="1" t="s">
        <v>21291</v>
      </c>
      <c r="V10312" s="1" t="s">
        <v>21302</v>
      </c>
      <c r="AR10312" s="1" t="str">
        <f t="shared" si="638"/>
        <v>| [ㄕㄥ](ㄕㄥ.md) | [牲](牲.md) |  | shēng | [名]
1.祭祀時所用的家畜。如：「三牲」。
2.泛指牛、羊、豬、馬等一般的家畜。如：「牲口」、「畜牲」。 |</v>
      </c>
    </row>
    <row r="10313" spans="1:44" hidden="1">
      <c r="A10313" s="1" t="s">
        <v>21303</v>
      </c>
      <c r="C10313" s="1">
        <v>1</v>
      </c>
      <c r="D10313" s="1" t="str">
        <f>"09027"</f>
        <v>09027</v>
      </c>
      <c r="E10313" s="1" t="s">
        <v>68</v>
      </c>
      <c r="F10313" s="1">
        <v>9</v>
      </c>
      <c r="G10313" s="1">
        <v>5</v>
      </c>
      <c r="H10313" s="1">
        <v>0</v>
      </c>
      <c r="I10313" s="1" t="s">
        <v>21290</v>
      </c>
      <c r="K10313" s="1" t="str">
        <f t="shared" si="637"/>
        <v>ㄕ</v>
      </c>
      <c r="L10313" s="1" t="str">
        <f t="shared" si="635"/>
        <v>ㄥ</v>
      </c>
      <c r="M10313" s="1" t="str">
        <f t="shared" si="636"/>
        <v/>
      </c>
      <c r="P10313" s="1" t="s">
        <v>20</v>
      </c>
      <c r="R10313" s="1" t="s">
        <v>21291</v>
      </c>
      <c r="V10313" s="1" t="s">
        <v>21304</v>
      </c>
      <c r="AR10313" s="1" t="str">
        <f t="shared" si="638"/>
        <v>| [ㄕㄥ](ㄕㄥ.md) | [胜](胜.md) |  | shēng | 參見「胜鍵」、「雙胜類」等條。 |</v>
      </c>
    </row>
    <row r="10314" spans="1:44" hidden="1">
      <c r="A10314" s="1" t="s">
        <v>21305</v>
      </c>
      <c r="C10314" s="1">
        <v>1</v>
      </c>
      <c r="D10314" s="1" t="str">
        <f>"09028"</f>
        <v>09028</v>
      </c>
      <c r="E10314" s="1" t="s">
        <v>49</v>
      </c>
      <c r="F10314" s="1">
        <v>11</v>
      </c>
      <c r="G10314" s="1">
        <v>5</v>
      </c>
      <c r="H10314" s="1">
        <v>0</v>
      </c>
      <c r="I10314" s="1" t="s">
        <v>21290</v>
      </c>
      <c r="K10314" s="1" t="str">
        <f t="shared" si="637"/>
        <v>ㄕ</v>
      </c>
      <c r="L10314" s="1" t="str">
        <f t="shared" ref="L10314:L10338" si="639">MID(I10314, 2, 1)</f>
        <v>ㄥ</v>
      </c>
      <c r="M10314" s="1" t="str">
        <f t="shared" si="636"/>
        <v/>
      </c>
      <c r="P10314" s="1" t="s">
        <v>20</v>
      </c>
      <c r="R10314" s="1" t="s">
        <v>21291</v>
      </c>
      <c r="V10314" s="1" t="s">
        <v>21306</v>
      </c>
      <c r="AR10314" s="1" t="str">
        <f t="shared" si="638"/>
        <v>| [ㄕㄥ](ㄕㄥ.md) | [笙](笙.md) |  | shēng | [名]
1.樂器名，吹管樂器。源自中國的簧管樂器。用十三至十七根裝有簧片的竹管和一根吹氣管，裝在一個鍋形的底座上製成。演奏時以口接於吹管，分別以指按簧管，吹之發聲。能奏和聲，吹氣及吸氣皆能發聲，其音色清晰透亮。今常用的高音笙多為三十六簧，常用於獨奏與合奏。目前還有中音笙、次中音笙、低音笙，多用於合奏。
2.古代東方之樂。《周禮．春官．眡瞭》：「凡樂事，播鞀，擊頌磬、笙磬。」漢．鄭玄．注：「東方曰笙。笙，生也。在西方曰頌。」清．孫詒讓．正義：「東方之樂，與樂器之笙物異，而取義於生則同也。」
3.竹簟。漢．揚雄《方言》卷五：「簟，宋、魏之間謂之笙。」晉．左思〈吳都賦〉：「桃笙象簟，盛於筒中。」李善注引劉逵曰：「桃笙，桃枝簟也，吳人謂簟為笙。」 |</v>
      </c>
    </row>
    <row r="10315" spans="1:44" hidden="1">
      <c r="A10315" s="1" t="s">
        <v>21307</v>
      </c>
      <c r="C10315" s="1">
        <v>1</v>
      </c>
      <c r="D10315" s="1" t="str">
        <f>"09029"</f>
        <v>09029</v>
      </c>
      <c r="E10315" s="1" t="s">
        <v>19817</v>
      </c>
      <c r="F10315" s="1">
        <v>12</v>
      </c>
      <c r="G10315" s="1">
        <v>7</v>
      </c>
      <c r="H10315" s="1">
        <v>0</v>
      </c>
      <c r="I10315" s="1" t="s">
        <v>21290</v>
      </c>
      <c r="K10315" s="1" t="str">
        <f t="shared" si="637"/>
        <v>ㄕ</v>
      </c>
      <c r="L10315" s="1" t="str">
        <f t="shared" si="639"/>
        <v>ㄥ</v>
      </c>
      <c r="M10315" s="1" t="str">
        <f t="shared" si="636"/>
        <v/>
      </c>
      <c r="P10315" s="1" t="s">
        <v>20</v>
      </c>
      <c r="R10315" s="1" t="s">
        <v>21291</v>
      </c>
      <c r="V10315" s="1" t="s">
        <v>21308</v>
      </c>
      <c r="AR10315" s="1" t="str">
        <f t="shared" si="638"/>
        <v>| [ㄕㄥ](ㄕㄥ.md) | [甥](甥.md) |  | shēng | [名]
1.稱謂：(1)用以稱姊妹的孩子。《爾雅．釋親》：「謂我舅者，吾謂之甥也。」如：「外甥」。(2)男子對阿姨、舅舅的自稱。(3)用以稱外孫。《詩經．齊風．猗嗟》：「終日射侯，不出正兮，展我甥兮。」漢．毛亨．傳：「外孫曰甥。」
2.女婿。《孟子．萬章下》：「舜尚見帝，帝館甥于貳室，亦饗舜，迭為賓主，是天子而友匹夫也。」漢．趙岐．注：「堯以女妻舜，故謂舜甥。」 |</v>
      </c>
    </row>
    <row r="10316" spans="1:44" hidden="1">
      <c r="A10316" s="1" t="s">
        <v>21309</v>
      </c>
      <c r="C10316" s="1">
        <v>1</v>
      </c>
      <c r="D10316" s="1" t="str">
        <f>"09030"</f>
        <v>09030</v>
      </c>
      <c r="E10316" s="1" t="s">
        <v>245</v>
      </c>
      <c r="F10316" s="1">
        <v>12</v>
      </c>
      <c r="G10316" s="1">
        <v>10</v>
      </c>
      <c r="H10316" s="1">
        <v>2</v>
      </c>
      <c r="I10316" s="1" t="s">
        <v>21290</v>
      </c>
      <c r="K10316" s="1" t="str">
        <f t="shared" si="637"/>
        <v>ㄕ</v>
      </c>
      <c r="L10316" s="1" t="str">
        <f t="shared" si="639"/>
        <v>ㄥ</v>
      </c>
      <c r="M10316" s="1" t="str">
        <f t="shared" si="636"/>
        <v/>
      </c>
      <c r="P10316" s="1" t="s">
        <v>20</v>
      </c>
      <c r="R10316" s="1" t="s">
        <v>21291</v>
      </c>
      <c r="V10316" s="1" t="s">
        <v>21310</v>
      </c>
      <c r="W10316" s="1" t="s">
        <v>21311</v>
      </c>
      <c r="AR10316" s="1" t="str">
        <f t="shared" si="638"/>
        <v>| [ㄕㄥ](ㄕㄥ.md) | [勝](勝.md) |  | shēng | [動]_x000D_
禁得起、承受得了。如：「勝任」、「不勝其擾」。唐．韓愈〈題木居士〉詩二首之二：「朽蠹不勝刀鋸力，匠人雖巧欲何如。」_x000D_
[副]_x000D_
盡皆、全部。如：「不勝枚舉」、「不可勝數」。《孟子．梁惠王上》：「斧斤以時入山林，材木不可勝用也。」 |</v>
      </c>
    </row>
    <row r="10317" spans="1:44" hidden="1">
      <c r="A10317" s="1" t="s">
        <v>21312</v>
      </c>
      <c r="C10317" s="1">
        <v>1</v>
      </c>
      <c r="D10317" s="1" t="str">
        <f>"09031"</f>
        <v>09031</v>
      </c>
      <c r="E10317" s="1" t="s">
        <v>2419</v>
      </c>
      <c r="F10317" s="1">
        <v>17</v>
      </c>
      <c r="G10317" s="1">
        <v>11</v>
      </c>
      <c r="H10317" s="1">
        <v>0</v>
      </c>
      <c r="I10317" s="1" t="s">
        <v>21290</v>
      </c>
      <c r="K10317" s="1" t="str">
        <f t="shared" si="637"/>
        <v>ㄕ</v>
      </c>
      <c r="L10317" s="1" t="str">
        <f t="shared" si="639"/>
        <v>ㄥ</v>
      </c>
      <c r="M10317" s="1" t="str">
        <f t="shared" si="636"/>
        <v/>
      </c>
      <c r="P10317" s="1" t="s">
        <v>20</v>
      </c>
      <c r="R10317" s="1" t="s">
        <v>21291</v>
      </c>
      <c r="V10317" s="1" t="s">
        <v>21313</v>
      </c>
      <c r="AR10317" s="1" t="str">
        <f t="shared" si="638"/>
        <v>| [ㄕㄥ](ㄕㄥ.md) | [聲](聲.md) |  | shēng | [名]
1.因物體撞擊或摩擦所產生，能引起聽覺的音波。如：「笑聲」、「雷聲」。
2.音樂。如：「聲色之美」。《禮記．樂記》：「感於物而動，故形於聲。」漢．鄭玄．注：「宮商角徵羽，雜比曰音，單出曰聲，亦猶見也。」
3.言語。《史記．卷八〇．樂毅傳》：「臣聞古之君子，交絕不出惡聲。」《樂府詩集．卷七三．雜曲歌辭十三．古辭．焦仲卿妻》：「阿女默無聲，手巾掩口啼，淚落便如瀉。」
4.名譽。如：「政聲」、「名聲大振」。南朝梁．劉勰《文心雕龍．情采》：「諸子之徒，心非鬱陶，苟馳夸飾，鬻聲釣世，此為文而造情也。」
5.音信、音訊。《漢書．卷七六．趙廣漢傳》：「界上亭長寄聲謝我，何以不為致問？」
6.量詞。計算發聲次數的單位。如：「大叫一聲」、「三聲無奈」。
7.參見「聲母」條。
8.聲調，漢字字音的高低長短。如中古音有平聲、上聲、去聲、入聲四個聲調。
[動]
宣布、張揚。《孟子．萬章下》：「孔子之謂集大成，集大成也者，金聲而玉振之也。」《國語．晉語五》：「是故伐備鍾鼓，聲其罪也。」 |</v>
      </c>
    </row>
    <row r="10318" spans="1:44" hidden="1">
      <c r="A10318" s="1" t="s">
        <v>21347</v>
      </c>
      <c r="C10318" s="1">
        <v>1</v>
      </c>
      <c r="D10318" s="1" t="str">
        <f>"09045"</f>
        <v>09045</v>
      </c>
      <c r="E10318" s="1" t="s">
        <v>5505</v>
      </c>
      <c r="F10318" s="1">
        <v>4</v>
      </c>
      <c r="G10318" s="1">
        <v>0</v>
      </c>
      <c r="H10318" s="1">
        <v>0</v>
      </c>
      <c r="I10318" s="1" t="s">
        <v>21348</v>
      </c>
      <c r="K10318" s="1" t="str">
        <f t="shared" si="637"/>
        <v>ㄕ</v>
      </c>
      <c r="L10318" s="1" t="str">
        <f t="shared" si="639"/>
        <v>ㄨ</v>
      </c>
      <c r="M10318" s="1" t="str">
        <f t="shared" si="636"/>
        <v/>
      </c>
      <c r="P10318" s="1" t="s">
        <v>20</v>
      </c>
      <c r="R10318" s="1" t="s">
        <v>21349</v>
      </c>
      <c r="V10318" s="1" t="s">
        <v>21350</v>
      </c>
      <c r="AR10318" s="1" t="str">
        <f t="shared" si="638"/>
        <v>| [ㄕㄨ](ㄕㄨ.md) | [殳](殳.md) |  | shū | [名]
1.兵器名。古代一種用竹、木做成的兵器，長一丈二尺，有稜無刃。《詩經．衛風．伯兮》：「伯也執殳，為王前驅。」《淮南子．齊俗》：「昔武王執戈秉鉞以伐紂勝殷，搢笏杖殳以臨朝。」
2.姓。如南朝宋有殳季真。
3.二一四部首之一。 |</v>
      </c>
    </row>
    <row r="10319" spans="1:44" hidden="1">
      <c r="A10319" s="1" t="s">
        <v>2172</v>
      </c>
      <c r="C10319" s="1">
        <v>1</v>
      </c>
      <c r="D10319" s="1" t="str">
        <f>"09046"</f>
        <v>09046</v>
      </c>
      <c r="E10319" s="1" t="s">
        <v>2173</v>
      </c>
      <c r="F10319" s="1">
        <v>5</v>
      </c>
      <c r="G10319" s="1">
        <v>0</v>
      </c>
      <c r="H10319" s="1">
        <v>3</v>
      </c>
      <c r="I10319" s="1" t="s">
        <v>21348</v>
      </c>
      <c r="K10319" s="1" t="str">
        <f t="shared" si="637"/>
        <v>ㄕ</v>
      </c>
      <c r="L10319" s="1" t="str">
        <f t="shared" si="639"/>
        <v>ㄨ</v>
      </c>
      <c r="M10319" s="1" t="str">
        <f t="shared" si="636"/>
        <v/>
      </c>
      <c r="P10319" s="1" t="s">
        <v>20</v>
      </c>
      <c r="R10319" s="1" t="s">
        <v>21349</v>
      </c>
      <c r="V10319" s="1" t="s">
        <v>21351</v>
      </c>
      <c r="W10319" s="1" t="s">
        <v>21352</v>
      </c>
      <c r="AR10319" s="1" t="str">
        <f t="shared" si="638"/>
        <v>| [ㄕㄨ](ㄕㄨ.md) | [疋](疋.md) |  | shū | [名]
1.腳。《說文解字．疋部》：「疋，足也。」
2.二一四部首之一。
[動]
記。《廣韻．上聲．語韻》：「疋，記也。」 |</v>
      </c>
    </row>
    <row r="10320" spans="1:44" hidden="1">
      <c r="A10320" s="1" t="s">
        <v>21353</v>
      </c>
      <c r="C10320" s="1">
        <v>1</v>
      </c>
      <c r="D10320" s="1" t="str">
        <f>"09047"</f>
        <v>09047</v>
      </c>
      <c r="E10320" s="1" t="s">
        <v>24</v>
      </c>
      <c r="F10320" s="1">
        <v>7</v>
      </c>
      <c r="G10320" s="1">
        <v>4</v>
      </c>
      <c r="H10320" s="1">
        <v>0</v>
      </c>
      <c r="I10320" s="1" t="s">
        <v>21348</v>
      </c>
      <c r="K10320" s="1" t="str">
        <f t="shared" si="637"/>
        <v>ㄕ</v>
      </c>
      <c r="L10320" s="1" t="str">
        <f t="shared" si="639"/>
        <v>ㄨ</v>
      </c>
      <c r="M10320" s="1" t="str">
        <f t="shared" si="636"/>
        <v/>
      </c>
      <c r="P10320" s="1" t="s">
        <v>20</v>
      </c>
      <c r="R10320" s="1" t="s">
        <v>21349</v>
      </c>
      <c r="V10320" s="1" t="s">
        <v>21354</v>
      </c>
      <c r="AR10320" s="1" t="str">
        <f t="shared" si="638"/>
        <v>| [ㄕㄨ](ㄕㄨ.md) | [抒](抒.md) |  | shū | [動]
1.發洩、表達。如：「抒憤」、「各抒己見」、「直抒胸臆」。
2.解除、清除。通「紓」。《左傳．文公六年》：「有此四德者，難必抒矣。」 |</v>
      </c>
    </row>
    <row r="10321" spans="1:44" hidden="1">
      <c r="A10321" s="1" t="s">
        <v>21355</v>
      </c>
      <c r="C10321" s="1">
        <v>1</v>
      </c>
      <c r="D10321" s="1" t="str">
        <f>"09048"</f>
        <v>09048</v>
      </c>
      <c r="E10321" s="1" t="s">
        <v>725</v>
      </c>
      <c r="F10321" s="1">
        <v>10</v>
      </c>
      <c r="G10321" s="1">
        <v>4</v>
      </c>
      <c r="H10321" s="1">
        <v>0</v>
      </c>
      <c r="I10321" s="1" t="s">
        <v>21348</v>
      </c>
      <c r="K10321" s="1" t="str">
        <f t="shared" si="637"/>
        <v>ㄕ</v>
      </c>
      <c r="L10321" s="1" t="str">
        <f t="shared" si="639"/>
        <v>ㄨ</v>
      </c>
      <c r="M10321" s="1" t="str">
        <f t="shared" si="636"/>
        <v/>
      </c>
      <c r="P10321" s="1" t="s">
        <v>20</v>
      </c>
      <c r="R10321" s="1" t="s">
        <v>21349</v>
      </c>
      <c r="V10321" s="1" t="s">
        <v>21356</v>
      </c>
      <c r="AR10321" s="1" t="str">
        <f t="shared" si="638"/>
        <v>| [ㄕㄨ](ㄕㄨ.md) | [紓](紓.md) |  | shū | [動]
排除、解除。《左傳．莊公三十年》：「鬥穀於菟為人令尹，自毀其家，以紓楚國之難。」宋．陸游〈秋思〉詩：「嬾不近筆硯，何以紓幽情？」
[形]
寬緩、寬裕。宋．蘇軾〈論給田募役狀〉：「若官與買則田穀皆重，農可小紓，其利三也。」《宋史．卷三九八．李蘩傳》：「民力稍紓，得以盡於農畝。」 |</v>
      </c>
    </row>
    <row r="10322" spans="1:44" hidden="1">
      <c r="A10322" s="1" t="s">
        <v>21357</v>
      </c>
      <c r="C10322" s="1">
        <v>1</v>
      </c>
      <c r="D10322" s="1" t="str">
        <f>"09049"</f>
        <v>09049</v>
      </c>
      <c r="E10322" s="1" t="s">
        <v>6303</v>
      </c>
      <c r="F10322" s="1">
        <v>12</v>
      </c>
      <c r="G10322" s="1">
        <v>6</v>
      </c>
      <c r="H10322" s="1">
        <v>0</v>
      </c>
      <c r="I10322" s="1" t="s">
        <v>21348</v>
      </c>
      <c r="K10322" s="1" t="str">
        <f t="shared" si="637"/>
        <v>ㄕ</v>
      </c>
      <c r="L10322" s="1" t="str">
        <f t="shared" si="639"/>
        <v>ㄨ</v>
      </c>
      <c r="M10322" s="1" t="str">
        <f t="shared" ref="M10322:M10385" si="640">MID(I10322, 3, 1)</f>
        <v/>
      </c>
      <c r="P10322" s="1" t="s">
        <v>20</v>
      </c>
      <c r="R10322" s="1" t="s">
        <v>21349</v>
      </c>
      <c r="V10322" s="1" t="s">
        <v>21358</v>
      </c>
      <c r="AR10322" s="1" t="str">
        <f t="shared" si="638"/>
        <v>| [ㄕㄨ](ㄕㄨ.md) | [舒](舒.md) |  | shū | [動]
1.伸展。如：「舒手舒腳」、「舒眉弄眼」。
2.宣洩、抒發。如：「舒懷」。《楚辭．屈原．九章．思美人》：「申旦以舒中情兮，志忱菀而莫達。」《文選．司馬遷．報任少卿書》：「退而論書策，以舒其憤。」
[形]
1.遲緩、從容不迫。《詩經．召南．野有死麕》：「舒而脫脫兮，無感我帨兮，無使尨也吠。」唐．柳宗元〈游黃溪記〉：「又南一里，至大冥之川，山舒水緩，有土田。」
2.安適、舒暢。如：「舒泰」、「舒服」。《文選．張衡．西京賦》：「夫人在陽時則舒，在陰時則慘。」
[名]
姓。如唐代有舒元輿。 |</v>
      </c>
    </row>
    <row r="10323" spans="1:44" hidden="1">
      <c r="A10323" s="1" t="s">
        <v>18794</v>
      </c>
      <c r="C10323" s="1">
        <v>1</v>
      </c>
      <c r="D10323" s="1" t="str">
        <f>"09050"</f>
        <v>09050</v>
      </c>
      <c r="E10323" s="1" t="s">
        <v>129</v>
      </c>
      <c r="F10323" s="1">
        <v>9</v>
      </c>
      <c r="G10323" s="1">
        <v>6</v>
      </c>
      <c r="H10323" s="1">
        <v>2</v>
      </c>
      <c r="I10323" s="1" t="s">
        <v>21348</v>
      </c>
      <c r="K10323" s="1" t="str">
        <f t="shared" si="637"/>
        <v>ㄕ</v>
      </c>
      <c r="L10323" s="1" t="str">
        <f t="shared" si="639"/>
        <v>ㄨ</v>
      </c>
      <c r="M10323" s="1" t="str">
        <f t="shared" si="640"/>
        <v/>
      </c>
      <c r="P10323" s="1" t="s">
        <v>110</v>
      </c>
      <c r="R10323" s="1" t="s">
        <v>21349</v>
      </c>
      <c r="V10323" s="1" t="s">
        <v>111</v>
      </c>
      <c r="W10323" s="1" t="s">
        <v>21359</v>
      </c>
      <c r="AR10323" s="1" t="str">
        <f t="shared" si="638"/>
        <v>| [ㄕㄨ](ㄕㄨ.md) | [洙](洙.md) |  | shū | (一)之又音。 |</v>
      </c>
    </row>
    <row r="10324" spans="1:44" hidden="1">
      <c r="A10324" s="1" t="s">
        <v>21360</v>
      </c>
      <c r="C10324" s="1">
        <v>1</v>
      </c>
      <c r="D10324" s="1" t="str">
        <f>"09051"</f>
        <v>09051</v>
      </c>
      <c r="E10324" s="1" t="s">
        <v>534</v>
      </c>
      <c r="F10324" s="1">
        <v>9</v>
      </c>
      <c r="G10324" s="1">
        <v>6</v>
      </c>
      <c r="H10324" s="1">
        <v>0</v>
      </c>
      <c r="I10324" s="1" t="s">
        <v>21348</v>
      </c>
      <c r="K10324" s="1" t="str">
        <f t="shared" si="637"/>
        <v>ㄕ</v>
      </c>
      <c r="L10324" s="1" t="str">
        <f t="shared" si="639"/>
        <v>ㄨ</v>
      </c>
      <c r="M10324" s="1" t="str">
        <f t="shared" si="640"/>
        <v/>
      </c>
      <c r="P10324" s="1" t="s">
        <v>20</v>
      </c>
      <c r="R10324" s="1" t="s">
        <v>21349</v>
      </c>
      <c r="V10324" s="1" t="s">
        <v>21361</v>
      </c>
      <c r="AR10324" s="1" t="str">
        <f t="shared" si="638"/>
        <v>| [ㄕㄨ](ㄕㄨ.md) | [姝](姝.md) |  | shū | [形]
容貌美麗。《詩經．邶風．靜女》：「靜女其姝，俟我於城隅。」《後漢書．卷一〇．皇后紀上．和熹鄧皇后傳》：「后長七尺二寸，姿顏姝麗。」
[名]
美女。《文選．宋玉．登徒子好色賦》：「此郊之姝，華色含光。」《聊齋志異．卷一一．書痴》：「下几亭亭，宛然絕代之姝。」 |</v>
      </c>
    </row>
    <row r="10325" spans="1:44" hidden="1">
      <c r="A10325" s="1" t="s">
        <v>21362</v>
      </c>
      <c r="C10325" s="1">
        <v>1</v>
      </c>
      <c r="D10325" s="1" t="str">
        <f>"09052"</f>
        <v>09052</v>
      </c>
      <c r="E10325" s="1" t="s">
        <v>1372</v>
      </c>
      <c r="F10325" s="1">
        <v>10</v>
      </c>
      <c r="G10325" s="1">
        <v>6</v>
      </c>
      <c r="H10325" s="1">
        <v>0</v>
      </c>
      <c r="I10325" s="1" t="s">
        <v>21348</v>
      </c>
      <c r="K10325" s="1" t="str">
        <f t="shared" si="637"/>
        <v>ㄕ</v>
      </c>
      <c r="L10325" s="1" t="str">
        <f t="shared" si="639"/>
        <v>ㄨ</v>
      </c>
      <c r="M10325" s="1" t="str">
        <f t="shared" si="640"/>
        <v/>
      </c>
      <c r="P10325" s="1" t="s">
        <v>20</v>
      </c>
      <c r="R10325" s="1" t="s">
        <v>21349</v>
      </c>
      <c r="V10325" s="1" t="s">
        <v>21363</v>
      </c>
      <c r="AR10325" s="1" t="str">
        <f t="shared" si="638"/>
        <v>| [ㄕㄨ](ㄕㄨ.md) | [殊](殊.md) |  | shū | [動]_x000D_
1.斬首、殺死。《說文解字．歺部》：「殊，死也。」清．段玉裁．注：「凡漢紹云殊死者，皆謂死罪也。死罪者，首身分離，故曰殊死。」《後漢書．卷六〇上．馬融傳》：「或夷由未殊，顛狽頓躓，蝡蝡蟫蟫。」_x000D_
2.斷絕。《左傳．昭公二十三年》：「斷其後之木而弗殊。」《漢書．卷八．宣帝紀》：「蓋聞象有罪，舜封之。骨肉之親粲而不殊。」_x000D_
3.超過。《後漢書．卷三四．梁統傳》：「母氏年殊七十。」唐．章懷太子．注：「殊，猶過也。」《三國志．卷一九．魏書．陳思王植傳》：「恩紀之違，甚於路人；隔閡之異，殊於胡越。」_x000D_
4.區別。《史記．卷一三〇．太史公自序》：「法家不別親疏，不殊貴賤，一斷於法。」三國魏．曹植〈節遊賦〉：「觀靡靡而無終，何渺渺而難殊。」_x000D_
[形]_x000D_
1.不同的、互異的。如：「殊途同歸」。《易經．繫辭下》：「天下同歸而殊塗。」《史記．卷二十四．樂書》：「紂樂好之，與萬國殊心。」_x000D_
2.特別的、異常的。如：「殊榮」。《晉書．卷五二．阮种傳》：「弱冠有殊操，為嵇康所重。」《資治通鑑．卷四二．漢紀三十四．光武帝建武八年》：「帝聞而善之，以宣告百僚，乃置酒高會，待融等以殊禮。」_x000D_
[副]_x000D_
1.拚死、決死。《史記．卷九二．淮陰侯傳》：「軍皆殊死戰，不可敗。」_x000D_
2.非常、極、甚。如：「殊為失當。」明．徐弘祖《徐霞客遊記．卷一上．遊武彞山日記》：「泉從壁半突出，疏竹掩映，殊有佳致。」_x000D_
3.猶、尚。《文選．謝靈運．南樓中望所遲客詩》：「圓景早已滿，佳人殊未適。」唐．白居易〈早蟬〉詩：「西風殊未起，秋思先秋生。」 |</v>
      </c>
    </row>
    <row r="10326" spans="1:44" hidden="1">
      <c r="A10326" s="1" t="s">
        <v>21364</v>
      </c>
      <c r="C10326" s="1">
        <v>1</v>
      </c>
      <c r="D10326" s="1" t="str">
        <f>"09053"</f>
        <v>09053</v>
      </c>
      <c r="E10326" s="1" t="s">
        <v>114</v>
      </c>
      <c r="F10326" s="1">
        <v>9</v>
      </c>
      <c r="G10326" s="1">
        <v>7</v>
      </c>
      <c r="H10326" s="1">
        <v>3</v>
      </c>
      <c r="I10326" s="1" t="s">
        <v>21348</v>
      </c>
      <c r="K10326" s="1" t="str">
        <f t="shared" si="637"/>
        <v>ㄕ</v>
      </c>
      <c r="L10326" s="1" t="str">
        <f t="shared" si="639"/>
        <v>ㄨ</v>
      </c>
      <c r="M10326" s="1" t="str">
        <f t="shared" si="640"/>
        <v/>
      </c>
      <c r="P10326" s="1" t="s">
        <v>20</v>
      </c>
      <c r="R10326" s="1" t="s">
        <v>21349</v>
      </c>
      <c r="V10326" s="1" t="s">
        <v>21365</v>
      </c>
      <c r="W10326" s="1" t="s">
        <v>21366</v>
      </c>
      <c r="AR10326" s="1" t="str">
        <f t="shared" si="638"/>
        <v>| [ㄕㄨ](ㄕㄨ.md) | [俞](俞.md) |  | shū | [名]
1.國名。為漢代封與欒布的侯國，其治所約在今大陸地區山東省平原縣西南。
2.參見「俞兒」條。 |</v>
      </c>
    </row>
    <row r="10327" spans="1:44" hidden="1">
      <c r="A10327" s="1" t="s">
        <v>21367</v>
      </c>
      <c r="C10327" s="1">
        <v>1</v>
      </c>
      <c r="D10327" s="1" t="str">
        <f>"09054"</f>
        <v>09054</v>
      </c>
      <c r="E10327" s="1" t="s">
        <v>1703</v>
      </c>
      <c r="F10327" s="1">
        <v>13</v>
      </c>
      <c r="G10327" s="1">
        <v>9</v>
      </c>
      <c r="H10327" s="1">
        <v>2</v>
      </c>
      <c r="I10327" s="1" t="s">
        <v>21348</v>
      </c>
      <c r="K10327" s="1" t="str">
        <f t="shared" si="637"/>
        <v>ㄕ</v>
      </c>
      <c r="L10327" s="1" t="str">
        <f t="shared" si="639"/>
        <v>ㄨ</v>
      </c>
      <c r="M10327" s="1" t="str">
        <f t="shared" si="640"/>
        <v/>
      </c>
      <c r="P10327" s="1" t="s">
        <v>110</v>
      </c>
      <c r="R10327" s="1" t="s">
        <v>21349</v>
      </c>
      <c r="V10327" s="1" t="s">
        <v>111</v>
      </c>
      <c r="W10327" s="1" t="s">
        <v>21368</v>
      </c>
      <c r="AR10327" s="1" t="str">
        <f t="shared" si="638"/>
        <v>| [ㄕㄨ](ㄕㄨ.md) | [毹](毹.md) |  | shū | (一)之又音。 |</v>
      </c>
    </row>
    <row r="10328" spans="1:44" hidden="1">
      <c r="A10328" s="1" t="s">
        <v>21369</v>
      </c>
      <c r="C10328" s="1">
        <v>1</v>
      </c>
      <c r="D10328" s="1" t="str">
        <f>"09055"</f>
        <v>09055</v>
      </c>
      <c r="E10328" s="1" t="s">
        <v>71</v>
      </c>
      <c r="F10328" s="1">
        <v>16</v>
      </c>
      <c r="G10328" s="1">
        <v>9</v>
      </c>
      <c r="H10328" s="1">
        <v>0</v>
      </c>
      <c r="I10328" s="1" t="s">
        <v>21348</v>
      </c>
      <c r="K10328" s="1" t="str">
        <f t="shared" si="637"/>
        <v>ㄕ</v>
      </c>
      <c r="L10328" s="1" t="str">
        <f t="shared" si="639"/>
        <v>ㄨ</v>
      </c>
      <c r="M10328" s="1" t="str">
        <f t="shared" si="640"/>
        <v/>
      </c>
      <c r="P10328" s="1" t="s">
        <v>20</v>
      </c>
      <c r="R10328" s="1" t="s">
        <v>21349</v>
      </c>
      <c r="V10328" s="1" t="s">
        <v>21370</v>
      </c>
      <c r="AR10328" s="1" t="str">
        <f t="shared" si="638"/>
        <v>| [ㄕㄨ](ㄕㄨ.md) | [輸](輸.md) |  | shū | [動]
1.運送。如：「運輸」、「輸油」。《左傳．僖公十三年》：「秦於是乎輸粟于晉。」
2.捐獻、獻納。《左傳．襄公九年》：「魏絳請施舍，輸積聚以貸。」《漢書．卷五八．卜式傳》：「時漢方事匈奴，式上書，願輸家財半助邊。」
3.失敗。如：「比賽結果，他們輸了三球。」
[名]
1.負、敗。如：「服輸」、「認輸」。
2.姓。如漢代有輸子陽。 |</v>
      </c>
    </row>
    <row r="10329" spans="1:44" hidden="1">
      <c r="A10329" s="1" t="s">
        <v>21371</v>
      </c>
      <c r="C10329" s="1">
        <v>1</v>
      </c>
      <c r="D10329" s="1" t="str">
        <f>"09056"</f>
        <v>09056</v>
      </c>
      <c r="E10329" s="1" t="s">
        <v>139</v>
      </c>
      <c r="F10329" s="1">
        <v>10</v>
      </c>
      <c r="G10329" s="1">
        <v>6</v>
      </c>
      <c r="H10329" s="1">
        <v>0</v>
      </c>
      <c r="I10329" s="1" t="s">
        <v>21348</v>
      </c>
      <c r="K10329" s="1" t="str">
        <f t="shared" si="637"/>
        <v>ㄕ</v>
      </c>
      <c r="L10329" s="1" t="str">
        <f t="shared" si="639"/>
        <v>ㄨ</v>
      </c>
      <c r="M10329" s="1" t="str">
        <f t="shared" si="640"/>
        <v/>
      </c>
      <c r="P10329" s="1" t="s">
        <v>20</v>
      </c>
      <c r="R10329" s="1" t="s">
        <v>21349</v>
      </c>
      <c r="V10329" s="1" t="s">
        <v>21372</v>
      </c>
      <c r="AR10329" s="1" t="str">
        <f t="shared" si="638"/>
        <v>| [ㄕㄨ](ㄕㄨ.md) | [梳](梳.md) |  | shū | [名]
整理頭髮的用具。如：「木梳」、「骨梳」。《新唐書．卷一三二．吳兢傳》：「朝有諷諫，猶髮之有梳。」
[動]
用梳子整理頭髮。《文選．揚雄．長楊賦》：「頭蓬不暇梳，飢不及餐。」唐．白居易〈和夢遊春詩一百韻〉：「風流薄梳洗，時世寬妝束。」 |</v>
      </c>
    </row>
    <row r="10330" spans="1:44" hidden="1">
      <c r="A10330" s="1" t="s">
        <v>21373</v>
      </c>
      <c r="C10330" s="1">
        <v>1</v>
      </c>
      <c r="D10330" s="1" t="str">
        <f>"09057"</f>
        <v>09057</v>
      </c>
      <c r="E10330" s="1" t="s">
        <v>2173</v>
      </c>
      <c r="F10330" s="1">
        <v>11</v>
      </c>
      <c r="G10330" s="1">
        <v>6</v>
      </c>
      <c r="H10330" s="1">
        <v>1</v>
      </c>
      <c r="I10330" s="1" t="s">
        <v>21348</v>
      </c>
      <c r="K10330" s="1" t="str">
        <f t="shared" si="637"/>
        <v>ㄕ</v>
      </c>
      <c r="L10330" s="1" t="str">
        <f t="shared" si="639"/>
        <v>ㄨ</v>
      </c>
      <c r="M10330" s="1" t="str">
        <f t="shared" si="640"/>
        <v/>
      </c>
      <c r="P10330" s="1" t="s">
        <v>20</v>
      </c>
      <c r="R10330" s="1" t="s">
        <v>21349</v>
      </c>
      <c r="V10330" s="1" t="s">
        <v>21374</v>
      </c>
      <c r="W10330" s="1" t="s">
        <v>21375</v>
      </c>
      <c r="AR10330" s="1" t="str">
        <f t="shared" si="638"/>
        <v>| [ㄕㄨ](ㄕㄨ.md) | [疏](疏.md) |  | shū | [動]
1.開通、使通暢。如：「疏通」。《孟子．滕文公上》：「禹疏九河。」
2.分散、散開。如：「疏散人群」。
3.清除、排解。《國語．楚語上》：「教之樂，以疏其穢而鎮其浮。」《文選．孫綽．遊天台山賦》：「過靈溪而一濯，疏煩想於心胸。」
4.刻鏤、雕繪。《文選．張衡．西京賦》：「何工巧之瑰瑋，交綺豁以疏寮。」唐．張說〈蒲津橋贊〉：「又疏其舟閒，畫其鷁首。」
[形]
1.稀少、稀闊。如：「疏林」、「疏星」、「疏疏落落幾戶人家」。
2.不親近、不熟悉。如：「人地生疏」、「親疏遠近」。晉．陶淵明〈詠荊軻詩〉：「惜哉劍術疏，奇功遂不成。」
3.粗心、不注意、不細密。如：「人為疏忽」。《史記．卷七九．范雎蔡澤傳》：「其於計疏矣。」宋．沈括《夢溪筆談．卷七．象數一》：「落下閎曆法極疏，蓋當時以為密耳。」
4.空虛、不實在。如：「空疏」、「才疏學淺」。《三國演義》第八五回：「愚才疏智淺，恐不堪當此任。」
5.粗糙、不精細。《論語．述而》：「飯疏食飲水，曲肱而枕之。」唐．韓愈〈山石〉詩：「鋪床拂席置羹飯，疏糲亦足飽我飢。」
[名]
1.窗。《史記．卷二三．禮書》：「疏房床笫几席，所以養體也。」
2.窗上的刻鏤花紋。《文選．王延壽．魯靈光殿賦》：「爾乃懸棟結阿，天窗綺疏。」
3.蔬果。通「蔬」。《淮南子．主術》：「夏取果蓏，秋畜疏食。」 |</v>
      </c>
    </row>
    <row r="10331" spans="1:44" hidden="1">
      <c r="A10331" s="1" t="s">
        <v>21376</v>
      </c>
      <c r="C10331" s="1">
        <v>1</v>
      </c>
      <c r="D10331" s="1" t="str">
        <f>"09058"</f>
        <v>09058</v>
      </c>
      <c r="E10331" s="1" t="s">
        <v>37</v>
      </c>
      <c r="F10331" s="1">
        <v>15</v>
      </c>
      <c r="G10331" s="1">
        <v>11</v>
      </c>
      <c r="H10331" s="1">
        <v>1</v>
      </c>
      <c r="I10331" s="1" t="s">
        <v>21348</v>
      </c>
      <c r="K10331" s="1" t="str">
        <f t="shared" si="637"/>
        <v>ㄕ</v>
      </c>
      <c r="L10331" s="1" t="str">
        <f t="shared" si="639"/>
        <v>ㄨ</v>
      </c>
      <c r="M10331" s="1" t="str">
        <f t="shared" si="640"/>
        <v/>
      </c>
      <c r="P10331" s="1" t="s">
        <v>20</v>
      </c>
      <c r="R10331" s="1" t="s">
        <v>21349</v>
      </c>
      <c r="V10331" s="1" t="s">
        <v>21377</v>
      </c>
      <c r="W10331" s="1" t="s">
        <v>21378</v>
      </c>
      <c r="AR10331" s="1" t="str">
        <f t="shared" si="638"/>
        <v>| [ㄕㄨ](ㄕㄨ.md) | [蔬](蔬.md) |  | shū | [名]
食用草本植物的通稱。《爾雅．釋天》：「蔬不熟為饉。」晉．郭璞．注：「凡草菜可食者通名為蔬。」
[形]
粗劣的。如：「蔬飧」、「蔬膳」。 |</v>
      </c>
    </row>
    <row r="10332" spans="1:44" hidden="1">
      <c r="A10332" s="1" t="s">
        <v>21379</v>
      </c>
      <c r="C10332" s="1">
        <v>1</v>
      </c>
      <c r="D10332" s="1" t="str">
        <f>"09059"</f>
        <v>09059</v>
      </c>
      <c r="E10332" s="1" t="s">
        <v>6488</v>
      </c>
      <c r="F10332" s="1">
        <v>10</v>
      </c>
      <c r="G10332" s="1">
        <v>6</v>
      </c>
      <c r="H10332" s="1">
        <v>0</v>
      </c>
      <c r="I10332" s="1" t="s">
        <v>21348</v>
      </c>
      <c r="K10332" s="1" t="str">
        <f t="shared" si="637"/>
        <v>ㄕ</v>
      </c>
      <c r="L10332" s="1" t="str">
        <f t="shared" si="639"/>
        <v>ㄨ</v>
      </c>
      <c r="M10332" s="1" t="str">
        <f t="shared" si="640"/>
        <v/>
      </c>
      <c r="P10332" s="1" t="s">
        <v>20</v>
      </c>
      <c r="R10332" s="1" t="s">
        <v>21349</v>
      </c>
      <c r="V10332" s="1" t="s">
        <v>21380</v>
      </c>
      <c r="AR10332" s="1" t="str">
        <f t="shared" si="638"/>
        <v>| [ㄕㄨ](ㄕㄨ.md) | [書](書.md) |  | shū | [名]
1.有文字或圖畫的冊子。如：「教科書」、「圖畫書」、「百科全書」。
2.信件。如：「家書」、「情書」。唐．杜甫〈石壕吏〉詩：「一男附書至，二男新戰死。」
3.文件。如：「證書」、「說明書」、「申請書」。《儒林外史》第一九回：「卻因講親的時節，不曾寫個婚書，沒有憑據。」
4.字體。如：「草書」、「楷書」、「隸書」。《隋書．卷六八．閻毗傳》：「能篆書，工草隸。尤善畫，為當時之妙。」
5.參見「六書」條。
6.姓。如清代有書綸。
[動]
1.寫。如：「請以中文書寫。」、「大書凌煙閣三字。」
2.記載。《周禮．地官．黨正》：「正歲屬民讀法，而書其德行道藝。」 |</v>
      </c>
    </row>
    <row r="10333" spans="1:44" hidden="1">
      <c r="A10333" s="1" t="s">
        <v>6759</v>
      </c>
      <c r="C10333" s="1">
        <v>1</v>
      </c>
      <c r="D10333" s="1" t="str">
        <f>"09060"</f>
        <v>09060</v>
      </c>
      <c r="E10333" s="1" t="s">
        <v>37</v>
      </c>
      <c r="F10333" s="1">
        <v>11</v>
      </c>
      <c r="G10333" s="1">
        <v>7</v>
      </c>
      <c r="H10333" s="1">
        <v>2</v>
      </c>
      <c r="I10333" s="1" t="s">
        <v>21348</v>
      </c>
      <c r="K10333" s="1" t="str">
        <f t="shared" si="637"/>
        <v>ㄕ</v>
      </c>
      <c r="L10333" s="1" t="str">
        <f t="shared" si="639"/>
        <v>ㄨ</v>
      </c>
      <c r="M10333" s="1" t="str">
        <f t="shared" si="640"/>
        <v/>
      </c>
      <c r="P10333" s="1" t="s">
        <v>20</v>
      </c>
      <c r="R10333" s="1" t="s">
        <v>21349</v>
      </c>
      <c r="V10333" s="1" t="s">
        <v>21381</v>
      </c>
      <c r="W10333" s="1" t="s">
        <v>21382</v>
      </c>
      <c r="AR10333" s="1" t="str">
        <f t="shared" si="638"/>
        <v>| [ㄕㄨ](ㄕㄨ.md) | [荼](荼.md) |  | shū | [名]
1.古時諸侯朝見天子所執的玉板。《荀子．大略》：「天子御珽，諸侯御荼，大夫服笏，禮也。」唐．楊倞．注：「荼，古舒字，玉之上圓下方者也。」
2.門神。參見「神荼鬱壘」條。
[形]
舒緩、從容不迫。《周禮．冬官考工記．弓人》：「析幹必倫，析角無邪，斲目必荼。」 |</v>
      </c>
    </row>
    <row r="10334" spans="1:44" hidden="1">
      <c r="A10334" s="1" t="s">
        <v>21383</v>
      </c>
      <c r="C10334" s="1">
        <v>1</v>
      </c>
      <c r="D10334" s="1" t="str">
        <f>"09061"</f>
        <v>09061</v>
      </c>
      <c r="E10334" s="1" t="s">
        <v>725</v>
      </c>
      <c r="F10334" s="1">
        <v>13</v>
      </c>
      <c r="G10334" s="1">
        <v>7</v>
      </c>
      <c r="H10334" s="1">
        <v>0</v>
      </c>
      <c r="I10334" s="1" t="s">
        <v>21348</v>
      </c>
      <c r="K10334" s="1" t="str">
        <f t="shared" si="637"/>
        <v>ㄕ</v>
      </c>
      <c r="L10334" s="1" t="str">
        <f t="shared" si="639"/>
        <v>ㄨ</v>
      </c>
      <c r="M10334" s="1" t="str">
        <f t="shared" si="640"/>
        <v/>
      </c>
      <c r="P10334" s="1" t="s">
        <v>20</v>
      </c>
      <c r="R10334" s="1" t="s">
        <v>21349</v>
      </c>
      <c r="V10334" s="1" t="s">
        <v>21384</v>
      </c>
      <c r="AR10334" s="1" t="str">
        <f t="shared" si="638"/>
        <v>| [ㄕㄨ](ㄕㄨ.md) | [綀](綀.md) |  | shū | [動]
紡粗的絲。《玉篇．糸部》：「綀，紡麤絲。」
[名]
一種像苧布的紡織品。宋．范成大《桂海虞衡志．志器》：「綀子出兩江州洞，大略似苧布，有花紋者謂之花綀。」 |</v>
      </c>
    </row>
    <row r="10335" spans="1:44" hidden="1">
      <c r="A10335" s="1" t="s">
        <v>21385</v>
      </c>
      <c r="C10335" s="1">
        <v>1</v>
      </c>
      <c r="D10335" s="1" t="str">
        <f>"09062"</f>
        <v>09062</v>
      </c>
      <c r="E10335" s="1" t="s">
        <v>24</v>
      </c>
      <c r="F10335" s="1">
        <v>14</v>
      </c>
      <c r="G10335" s="1">
        <v>11</v>
      </c>
      <c r="H10335" s="1">
        <v>0</v>
      </c>
      <c r="I10335" s="1" t="s">
        <v>21348</v>
      </c>
      <c r="K10335" s="1" t="str">
        <f t="shared" si="637"/>
        <v>ㄕ</v>
      </c>
      <c r="L10335" s="1" t="str">
        <f t="shared" si="639"/>
        <v>ㄨ</v>
      </c>
      <c r="M10335" s="1" t="str">
        <f t="shared" si="640"/>
        <v/>
      </c>
      <c r="P10335" s="1" t="s">
        <v>20</v>
      </c>
      <c r="R10335" s="1" t="s">
        <v>21349</v>
      </c>
      <c r="V10335" s="1" t="s">
        <v>21386</v>
      </c>
      <c r="AR10335" s="1" t="str">
        <f t="shared" si="638"/>
        <v>| [ㄕㄨ](ㄕㄨ.md) | [摴](摴.md) |  | shū | [名]
古代的一種賭博遊戲。參見「摴蒱」、「樗蒲」等條。 |</v>
      </c>
    </row>
    <row r="10336" spans="1:44" hidden="1">
      <c r="A10336" s="1" t="s">
        <v>21387</v>
      </c>
      <c r="C10336" s="1">
        <v>1</v>
      </c>
      <c r="D10336" s="1" t="str">
        <f>"09063"</f>
        <v>09063</v>
      </c>
      <c r="E10336" s="1" t="s">
        <v>139</v>
      </c>
      <c r="F10336" s="1">
        <v>15</v>
      </c>
      <c r="G10336" s="1">
        <v>11</v>
      </c>
      <c r="H10336" s="1">
        <v>0</v>
      </c>
      <c r="I10336" s="1" t="s">
        <v>21348</v>
      </c>
      <c r="K10336" s="1" t="str">
        <f t="shared" si="637"/>
        <v>ㄕ</v>
      </c>
      <c r="L10336" s="1" t="str">
        <f t="shared" si="639"/>
        <v>ㄨ</v>
      </c>
      <c r="M10336" s="1" t="str">
        <f t="shared" si="640"/>
        <v/>
      </c>
      <c r="P10336" s="1" t="s">
        <v>20</v>
      </c>
      <c r="R10336" s="1" t="s">
        <v>21349</v>
      </c>
      <c r="V10336" s="1" t="s">
        <v>21388</v>
      </c>
      <c r="AR10336" s="1" t="str">
        <f t="shared" si="638"/>
        <v>| [ㄕㄨ](ㄕㄨ.md) | [樗](樗.md) |  | shū | [名]
植物名。苦木科樗樹屬，落葉喬木。樹皮平滑而有淡白色條紋，幼枝有暗黃、赤褐色細毛，其葉揉碎時有臭味。奇數羽狀複葉，小葉十三至二十七枚，卵狀披針形，基部兩側各具一或二個粗鋸齒，齒背具腺體一枚。圓錐花序。翅果長橢圓形。可栽植供作行道樹。也稱為「臭椿」。 |</v>
      </c>
    </row>
    <row r="10337" spans="1:44" hidden="1">
      <c r="A10337" s="1" t="s">
        <v>21389</v>
      </c>
      <c r="C10337" s="1">
        <v>1</v>
      </c>
      <c r="D10337" s="1" t="str">
        <f>"09064"</f>
        <v>09064</v>
      </c>
      <c r="E10337" s="1" t="s">
        <v>139</v>
      </c>
      <c r="F10337" s="1">
        <v>15</v>
      </c>
      <c r="G10337" s="1">
        <v>11</v>
      </c>
      <c r="H10337" s="1">
        <v>0</v>
      </c>
      <c r="I10337" s="1" t="s">
        <v>21348</v>
      </c>
      <c r="K10337" s="1" t="str">
        <f t="shared" si="637"/>
        <v>ㄕ</v>
      </c>
      <c r="L10337" s="1" t="str">
        <f t="shared" si="639"/>
        <v>ㄨ</v>
      </c>
      <c r="M10337" s="1" t="str">
        <f t="shared" si="640"/>
        <v/>
      </c>
      <c r="P10337" s="1" t="s">
        <v>20</v>
      </c>
      <c r="R10337" s="1" t="s">
        <v>21349</v>
      </c>
      <c r="V10337" s="1" t="s">
        <v>21390</v>
      </c>
      <c r="AR10337" s="1" t="str">
        <f t="shared" si="638"/>
        <v>| [ㄕㄨ](ㄕㄨ.md) | [樞](樞.md) |  | shū | [名]
1.門戶的轉軸。如：「戶樞」。《莊子．讓王》：「蓬戶不完，桑以為樞而甕牖。」漢．王符《潛夫論．忠貴》：「懼門之不堅而為作鐵樞。」
2.中心部分、重要關鍵。如：「中樞」、「樞紐」。《莊子．齊物論》：「彼是莫得其偶，謂之道樞。」
3.星名。北斗七星的第一顆，在西方為大熊座α星。《呂氏春秋．有始覽．有始》：「夏至日行近道，乃參于上，當樞之下，無晝夜。」《晉書．卷一一．天文志上》：「北斗七星在太微北，……又魁第一星曰天樞，二曰琁，三曰璣，四曰權，五曰玉衡，六曰開陽，七曰搖光；一至四為魁，五至七為杓。」也稱為「天樞」。 |</v>
      </c>
    </row>
    <row r="10338" spans="1:44" hidden="1">
      <c r="A10338" s="1" t="s">
        <v>21391</v>
      </c>
      <c r="C10338" s="1">
        <v>1</v>
      </c>
      <c r="D10338" s="1" t="str">
        <f>"09065"</f>
        <v>09065</v>
      </c>
      <c r="E10338" s="1" t="s">
        <v>24</v>
      </c>
      <c r="F10338" s="1">
        <v>18</v>
      </c>
      <c r="G10338" s="1">
        <v>15</v>
      </c>
      <c r="H10338" s="1">
        <v>0</v>
      </c>
      <c r="I10338" s="1" t="s">
        <v>21348</v>
      </c>
      <c r="K10338" s="1" t="str">
        <f t="shared" si="637"/>
        <v>ㄕ</v>
      </c>
      <c r="L10338" s="1" t="str">
        <f t="shared" si="639"/>
        <v>ㄨ</v>
      </c>
      <c r="M10338" s="1" t="str">
        <f t="shared" si="640"/>
        <v/>
      </c>
      <c r="P10338" s="1" t="s">
        <v>20</v>
      </c>
      <c r="R10338" s="1" t="s">
        <v>21349</v>
      </c>
      <c r="V10338" s="1" t="s">
        <v>21392</v>
      </c>
      <c r="AR10338" s="1" t="str">
        <f t="shared" si="638"/>
        <v>| [ㄕㄨ](ㄕㄨ.md) | [攄](攄.md) |  | shū | [動]
1.抒發、發表。《文選．班固．西都賦》：「願賓攄懷舊之蓄念，發思古之幽情。」唐．白居易〈讀謝靈運〉詩：「豈惟玩景物，亦欲攄心素。」
2.流傳。唐．張說〈唐西臺舍人贈泗洲刺史徐府君碑〉：「迺刊石立頌，將以識往行，攄無窮，使本支百代，不忘先人之不隕其名也。」
3.騰躍。《後漢書．卷五九．張衡傳》：「僕夫儼其正策兮，八乘攄而超驤。」 |</v>
      </c>
    </row>
    <row r="10339" spans="1:44" hidden="1">
      <c r="A10339" s="1" t="s">
        <v>20632</v>
      </c>
      <c r="C10339" s="1">
        <v>1</v>
      </c>
      <c r="D10339" s="1" t="str">
        <f>"08734"</f>
        <v>08734</v>
      </c>
      <c r="E10339" s="1" t="s">
        <v>11385</v>
      </c>
      <c r="F10339" s="1">
        <v>3</v>
      </c>
      <c r="G10339" s="1">
        <v>0</v>
      </c>
      <c r="H10339" s="1">
        <v>0</v>
      </c>
      <c r="I10339" s="1" t="s">
        <v>20633</v>
      </c>
      <c r="K10339" s="1" t="str">
        <f t="shared" si="637"/>
        <v>ㄕ</v>
      </c>
      <c r="M10339" s="1" t="str">
        <f t="shared" si="640"/>
        <v/>
      </c>
      <c r="N10339" s="3" t="s">
        <v>30574</v>
      </c>
      <c r="O10339" s="3"/>
      <c r="P10339" s="1" t="s">
        <v>20</v>
      </c>
      <c r="R10339" s="1" t="s">
        <v>20634</v>
      </c>
      <c r="V10339" s="1" t="s">
        <v>20635</v>
      </c>
      <c r="AR10339" s="1" t="str">
        <f t="shared" si="638"/>
        <v>| [ㄕˋ](ㄕˋ.md) | [士](士.md) |  | shì | [名]
1.未婚的男子。《易經．歸妹卦．上六》：「女承筐，無實；士刲羊，無血、無攸利。」《詩經．召南．野有死麕》：「有女懷春，吉士誘之。」
2.男子的美稱。《詩經．鄭風．女曰雞鳴》：「女曰：『雞鳴』，士曰：『昧旦』。」
3.四民之一。指讀書人、知識分子。如：「士農工商」。漢．王充《論衡．實知》：「故智能之士，不學不成，不問不知。」
4.古代社會階層的等級之一，為貴族中等級最低者。如：「天子、諸侯、大夫、士、庶人。」
5.泛稱居官受祿的人。《禮記．中庸》：「忠信重祿，所以勸士也。」
6.對品德好、有睿智或特殊技藝的人的美稱。如：「明士」、「勇士」、「護士」、「博士」、「碩士」。
7.對人的美稱。如：「男士」、「女士」、「地方人士」。
8.兵卒。如：「士兵」、「士卒」。
9.現今軍中的階級名稱，在尉級以下。如：「上士」、「中士」、「下士」。
10. 職業、工作。《論語．述而》：「富而可求也，雖執鞭之士，吾亦為之。」
11. 姓。如戰國時晉國有士蒍。
12. 二一四部首之一。 |</v>
      </c>
    </row>
    <row r="10340" spans="1:44" hidden="1">
      <c r="A10340" s="1" t="s">
        <v>20636</v>
      </c>
      <c r="C10340" s="1">
        <v>1</v>
      </c>
      <c r="D10340" s="1" t="str">
        <f>"08735"</f>
        <v>08735</v>
      </c>
      <c r="E10340" s="1" t="s">
        <v>114</v>
      </c>
      <c r="F10340" s="1">
        <v>5</v>
      </c>
      <c r="G10340" s="1">
        <v>3</v>
      </c>
      <c r="H10340" s="1">
        <v>0</v>
      </c>
      <c r="I10340" s="1" t="s">
        <v>20633</v>
      </c>
      <c r="K10340" s="1" t="str">
        <f t="shared" si="637"/>
        <v>ㄕ</v>
      </c>
      <c r="M10340" s="1" t="str">
        <f t="shared" si="640"/>
        <v/>
      </c>
      <c r="N10340" s="3" t="s">
        <v>30574</v>
      </c>
      <c r="O10340" s="3"/>
      <c r="P10340" s="1" t="s">
        <v>20</v>
      </c>
      <c r="R10340" s="1" t="s">
        <v>20634</v>
      </c>
      <c r="V10340" s="1" t="s">
        <v>20637</v>
      </c>
      <c r="AR10340" s="1" t="str">
        <f t="shared" si="638"/>
        <v>| [ㄕˋ](ㄕˋ.md) | [仕](仕.md) |  | shì | [動]
1.做官、任職。《論語．公冶長》：「子使漆雕開仕。對曰：『吾斯之未能信子說。』」《喻世明言．卷七．羊角哀捨命全交》：「吾嘗三仕三見逐，鮑叔不以我為不肖。」
2.視察。《詩經．小雅．節南山》：「弗問弗仕，勿罔君子。」
3.工作。通「事」。《詩經．大雅．文王有聲》：「武王豈不仕，詒厥孫謀，以燕翼子。」漢．毛亨．傳：「仕，事。」漢．鄭玄．箋：「武王豈不以其功業為事乎？」
[名]
姓。如元代有仕鳳。 |</v>
      </c>
    </row>
    <row r="10341" spans="1:44" hidden="1">
      <c r="A10341" s="1" t="s">
        <v>17707</v>
      </c>
      <c r="C10341" s="1">
        <v>1</v>
      </c>
      <c r="D10341" s="1" t="str">
        <f>"08736"</f>
        <v>08736</v>
      </c>
      <c r="E10341" s="1" t="s">
        <v>3195</v>
      </c>
      <c r="F10341" s="1">
        <v>4</v>
      </c>
      <c r="G10341" s="1">
        <v>0</v>
      </c>
      <c r="H10341" s="1">
        <v>1</v>
      </c>
      <c r="I10341" s="1" t="s">
        <v>20633</v>
      </c>
      <c r="K10341" s="1" t="str">
        <f t="shared" si="637"/>
        <v>ㄕ</v>
      </c>
      <c r="M10341" s="1" t="str">
        <f t="shared" si="640"/>
        <v/>
      </c>
      <c r="N10341" s="3" t="s">
        <v>30574</v>
      </c>
      <c r="O10341" s="3"/>
      <c r="P10341" s="1" t="s">
        <v>20</v>
      </c>
      <c r="R10341" s="1" t="s">
        <v>20634</v>
      </c>
      <c r="V10341" s="1" t="s">
        <v>20638</v>
      </c>
      <c r="W10341" s="1" t="s">
        <v>20639</v>
      </c>
      <c r="AR10341" s="1" t="str">
        <f t="shared" si="638"/>
        <v>| [ㄕˋ](ㄕˋ.md) | [氏](氏.md) |  | shì | [名]
1.古代巴蜀一帶稱突出而將要崩頹的山崖。《說文解字．氏部》：「氏，巴蜀山名岸脅之旁箸欲落墮者曰氏。」
2.姓的支系。古代姓和氏分用，姓表族號，氏是姓的分支，用以分別子孫的支派，漢以後姓氏則互用不分。
3.古代傳說的人物或國名、朝代等，均繫以氏。如：「伏羲氏」、「神農氏」、「葛天氏」、「有扈氏」。唐．韓愈〈送孟東野序〉：「其下魏晉氏，鳴者不及於古，然亦未嘗絕也。」
4.古代少數民族支系的稱號。如鮮卑族有慕容氏、拓跋氏、宇文氏。
5.稱學有專長或有聲望的人。如：「春秋左氏傳」、「段氏說文解字注」。
6.古代稱呼已婚婦女，常於父姓或夫姓與父姓之後繫氏。如：「張氏」、「王氏」、「陳林氏」、「孫李氏」。
7.古代於官爵名後繫氏以稱呼。如：「師氏」、「太史氏」。漢．許慎〈說文解字序〉：「《周禮》八歲入小學，保氏教國子先以六書。」
8.對親屬的尊稱。於親屬稱謂後繫氏。如：「母氏」、「舅氏」、「仲氏」。
9.學術派別。如：「老氏」、「釋氏」。《文選．曹丕．與朝歌令吳質書》：「妙思六經，逍遙百氏。」
10. 二一四部首之一。 |</v>
      </c>
    </row>
    <row r="10342" spans="1:44" hidden="1">
      <c r="A10342" s="1" t="s">
        <v>20640</v>
      </c>
      <c r="C10342" s="1">
        <v>1</v>
      </c>
      <c r="D10342" s="1" t="str">
        <f>"08737"</f>
        <v>08737</v>
      </c>
      <c r="E10342" s="1" t="s">
        <v>6303</v>
      </c>
      <c r="F10342" s="1">
        <v>10</v>
      </c>
      <c r="G10342" s="1">
        <v>4</v>
      </c>
      <c r="H10342" s="1">
        <v>0</v>
      </c>
      <c r="I10342" s="1" t="s">
        <v>20633</v>
      </c>
      <c r="K10342" s="1" t="str">
        <f t="shared" si="637"/>
        <v>ㄕ</v>
      </c>
      <c r="M10342" s="1" t="str">
        <f t="shared" si="640"/>
        <v/>
      </c>
      <c r="N10342" s="3" t="s">
        <v>30574</v>
      </c>
      <c r="O10342" s="3"/>
      <c r="P10342" s="1" t="s">
        <v>20</v>
      </c>
      <c r="R10342" s="1" t="s">
        <v>20634</v>
      </c>
      <c r="V10342" s="1" t="s">
        <v>20641</v>
      </c>
      <c r="AR10342" s="1" t="str">
        <f t="shared" si="638"/>
        <v>| [ㄕˋ](ㄕˋ.md) | [舐](舐.md) |  | shì | [動]
用舌頭舔東西。如：「舐犢之愛」。《莊子．列禦寇》：「秦王有病召醫，破癰潰痤者得車一乘，舐痔者得車五乘。」 |</v>
      </c>
    </row>
    <row r="10343" spans="1:44" hidden="1">
      <c r="A10343" s="1" t="s">
        <v>20642</v>
      </c>
      <c r="C10343" s="1">
        <v>1</v>
      </c>
      <c r="D10343" s="1" t="str">
        <f>"08738"</f>
        <v>08738</v>
      </c>
      <c r="E10343" s="1" t="s">
        <v>222</v>
      </c>
      <c r="F10343" s="1">
        <v>5</v>
      </c>
      <c r="G10343" s="1">
        <v>2</v>
      </c>
      <c r="H10343" s="1">
        <v>0</v>
      </c>
      <c r="I10343" s="1" t="s">
        <v>20633</v>
      </c>
      <c r="K10343" s="1" t="str">
        <f t="shared" si="637"/>
        <v>ㄕ</v>
      </c>
      <c r="M10343" s="1" t="str">
        <f t="shared" si="640"/>
        <v/>
      </c>
      <c r="N10343" s="3" t="s">
        <v>30574</v>
      </c>
      <c r="O10343" s="3"/>
      <c r="P10343" s="1" t="s">
        <v>20</v>
      </c>
      <c r="R10343" s="1" t="s">
        <v>20634</v>
      </c>
      <c r="V10343" s="1" t="s">
        <v>20643</v>
      </c>
      <c r="AR10343" s="1" t="str">
        <f t="shared" si="638"/>
        <v>| [ㄕˋ](ㄕˋ.md) | [市](市.md) |  | shì | [名]
1.進行買賣、交易物品的地方。如：「夜市」、「米市」、「新裝上市」。南朝梁．無名氏〈木蘭詩〉二首之一：「西市買駿馬，東市買鞍韉。」
2.人口密集，工商業發達的城鎮。如：「都市」、「城市」。
3.行政區域的劃分單位。如：「臺北市」、「臺中市」、「新竹縣竹北市」。
4.姓。如戰國時燕國有市被。
[動]
1.買。南朝梁．無名氏〈木蘭詩〉二首之一：「願為市鞍馬，從此替爺征。」《聊齋志異．卷一．王成》：「嫗以釵授婦，使姑質錢市米，三日外請復相見。」
2.賣。《宋史．卷三．太祖本紀三》：「乙丑，詔市二價者以枉法論。」 |</v>
      </c>
    </row>
    <row r="10344" spans="1:44" hidden="1">
      <c r="A10344" s="1" t="s">
        <v>20644</v>
      </c>
      <c r="C10344" s="1">
        <v>1</v>
      </c>
      <c r="D10344" s="1" t="str">
        <f>"08739"</f>
        <v>08739</v>
      </c>
      <c r="E10344" s="1" t="s">
        <v>139</v>
      </c>
      <c r="F10344" s="1">
        <v>9</v>
      </c>
      <c r="G10344" s="1">
        <v>5</v>
      </c>
      <c r="H10344" s="1">
        <v>0</v>
      </c>
      <c r="I10344" s="1" t="s">
        <v>20633</v>
      </c>
      <c r="K10344" s="1" t="str">
        <f t="shared" si="637"/>
        <v>ㄕ</v>
      </c>
      <c r="M10344" s="1" t="str">
        <f t="shared" si="640"/>
        <v/>
      </c>
      <c r="N10344" s="3" t="s">
        <v>30574</v>
      </c>
      <c r="O10344" s="3"/>
      <c r="P10344" s="1" t="s">
        <v>20</v>
      </c>
      <c r="R10344" s="1" t="s">
        <v>20634</v>
      </c>
      <c r="V10344" s="1" t="s">
        <v>20645</v>
      </c>
      <c r="AR10344" s="1" t="str">
        <f t="shared" si="638"/>
        <v>| [ㄕˋ](ㄕˋ.md) | [柿](柿.md) |  | shì | [名]_x000D_
植物名。落葉喬木。幹高達十公尺以上，小枝被短毛。葉闊橢圓形或倒卵形，互生。花單性，腋生，雄花三朵組成聚繖花序，雌花單生，花冠壺形，四裂，黃綠色。開淡黃色花。果實也稱為「柿」，球形或扁球形，具宿存增大之萼片，熟時橙黃或橙紅色，可供食用，或製為柿餅。品種很多。 |</v>
      </c>
    </row>
    <row r="10345" spans="1:44" hidden="1">
      <c r="A10345" s="1" t="s">
        <v>20646</v>
      </c>
      <c r="C10345" s="1">
        <v>1</v>
      </c>
      <c r="D10345" s="1" t="str">
        <f>"08740"</f>
        <v>08740</v>
      </c>
      <c r="E10345" s="1" t="s">
        <v>55</v>
      </c>
      <c r="F10345" s="1">
        <v>13</v>
      </c>
      <c r="G10345" s="1">
        <v>5</v>
      </c>
      <c r="H10345" s="1">
        <v>0</v>
      </c>
      <c r="I10345" s="1" t="s">
        <v>20633</v>
      </c>
      <c r="K10345" s="1" t="str">
        <f t="shared" si="637"/>
        <v>ㄕ</v>
      </c>
      <c r="M10345" s="1" t="str">
        <f t="shared" si="640"/>
        <v/>
      </c>
      <c r="N10345" s="3" t="s">
        <v>30574</v>
      </c>
      <c r="O10345" s="3"/>
      <c r="P10345" s="1" t="s">
        <v>20</v>
      </c>
      <c r="R10345" s="1" t="s">
        <v>20634</v>
      </c>
      <c r="V10345" s="1" t="s">
        <v>20647</v>
      </c>
      <c r="AR10345" s="1" t="str">
        <f t="shared" si="638"/>
        <v>| [ㄕˋ](ㄕˋ.md) | [鈰](鈰.md) |  | shì | [名]
（cerium，Ce）化學元素。原子序58。金屬元素之一。色灰黑，有延展性，為稀土金屬。能溶於酸，不溶於水，燃燒時可以發光。 |</v>
      </c>
    </row>
    <row r="10346" spans="1:44" hidden="1">
      <c r="A10346" s="1" t="s">
        <v>14927</v>
      </c>
      <c r="C10346" s="1">
        <v>1</v>
      </c>
      <c r="D10346" s="1" t="str">
        <f>"08741"</f>
        <v>08741</v>
      </c>
      <c r="E10346" s="1" t="s">
        <v>825</v>
      </c>
      <c r="F10346" s="1">
        <v>5</v>
      </c>
      <c r="G10346" s="1">
        <v>0</v>
      </c>
      <c r="H10346" s="1">
        <v>2</v>
      </c>
      <c r="I10346" s="1" t="s">
        <v>20633</v>
      </c>
      <c r="K10346" s="1" t="str">
        <f t="shared" si="637"/>
        <v>ㄕ</v>
      </c>
      <c r="M10346" s="1" t="str">
        <f t="shared" si="640"/>
        <v/>
      </c>
      <c r="N10346" s="3" t="s">
        <v>30574</v>
      </c>
      <c r="O10346" s="3"/>
      <c r="P10346" s="1" t="s">
        <v>20</v>
      </c>
      <c r="R10346" s="1" t="s">
        <v>20634</v>
      </c>
      <c r="V10346" s="1" t="s">
        <v>20648</v>
      </c>
      <c r="W10346" s="1" t="s">
        <v>20649</v>
      </c>
      <c r="AR10346" s="1" t="str">
        <f t="shared" si="638"/>
        <v>| [ㄕˋ](ㄕˋ.md) | [示](示.md) |  | shì | [動]_x000D_
1.上天藉天象顯現徵兆，向人預告凶吉禍福。《說文解字．示部》：「示，天垂象，見吉凶，所以示人也。」_x000D_
2.把事物顯現予人。如：「示範」、「展示」。《老子》第三六章：「國之利器，不可以示人。」_x000D_
3.告訴、宣布。如：「訓示」。《禮記．禮運》：「刑仁講讓，示民有常。」_x000D_
4.教導。漢．桓寬《鹽鐵論．本議》：「夫導民以德，則民歸厚，示民以利，則民俗薄。」_x000D_
[名]_x000D_
1.命令、布告。如：「告示」。《儒林外史》第五〇回：「戲子們請老爺的示：還是伺候，還是回去？」_x000D_
2.尊稱人家的來信。如：「來示敬悉」。_x000D_
3.二一四部首之一。 |</v>
      </c>
    </row>
    <row r="10347" spans="1:44" hidden="1">
      <c r="A10347" s="1" t="s">
        <v>20650</v>
      </c>
      <c r="C10347" s="1">
        <v>1</v>
      </c>
      <c r="D10347" s="1" t="str">
        <f>"08742"</f>
        <v>08742</v>
      </c>
      <c r="E10347" s="1" t="s">
        <v>2233</v>
      </c>
      <c r="F10347" s="1">
        <v>12</v>
      </c>
      <c r="G10347" s="1">
        <v>5</v>
      </c>
      <c r="H10347" s="1">
        <v>0</v>
      </c>
      <c r="I10347" s="1" t="s">
        <v>20633</v>
      </c>
      <c r="K10347" s="1" t="str">
        <f t="shared" si="637"/>
        <v>ㄕ</v>
      </c>
      <c r="M10347" s="1" t="str">
        <f t="shared" si="640"/>
        <v/>
      </c>
      <c r="N10347" s="3" t="s">
        <v>30574</v>
      </c>
      <c r="O10347" s="3"/>
      <c r="P10347" s="1" t="s">
        <v>20</v>
      </c>
      <c r="R10347" s="1" t="s">
        <v>20634</v>
      </c>
      <c r="V10347" s="1" t="s">
        <v>20651</v>
      </c>
      <c r="AR10347" s="1" t="str">
        <f t="shared" si="638"/>
        <v>| [ㄕˋ](ㄕˋ.md) | [視](視.md) |  | shì | [動]_x000D_
1.看、見。如：「凝視」、「注視」。唐．杜甫〈彭衙行〉：「從此出妻孥，相視涕闌干。」_x000D_
2.察看、觀察。如：「視察」、「巡視」。《論語．為政》：「視其所以，觀其所由，察其所安，人焉廋哉，人焉廋哉？」《管子．四時》：「令有時，無時則必視，順天之所以來。」_x000D_
3.看待、對待。如：「忽視」、「仇視」、「一視同仁」、「視如己出」。《孟子．離婁下》：「君之視臣如手足，則臣視君如腹心。」_x000D_
4.辦理、治理。如：「就職視事」。《史記．卷五．秦本紀》：「韓王衰絰入弔祠，諸侯皆使其將相來弔祠，視喪事。」_x000D_
5.顯示、表示。通「示」。《詩經．小雅．鹿鳴》：「視民不恌，君子是則是傚。」《漢書．卷三一．陳勝項籍傳．項籍》：「已渡，皆湛舡，破釜甑，燒廬舍，持三日糧，視士必死，無還心。」_x000D_
6.比較、比擬。《孟子．萬章下》：「大夫受地視伯，元士受地視子男。」。民國．孫文〈黃花岡烈士事略序〉：「環顧國內，賊氛方熾，杌隉之象，視清季有加。」_x000D_
7.效法。《書經．太甲中》：「王懋乃德，視乃厥祖，無時豫怠。」漢．孔安國．傳：「言當勉修其德，法視其祖而行之，無為是逸豫怠惰。」_x000D_
[名]_x000D_
眼力。唐．韓愈〈祭十二郎文〉：「吾年未四十而視茫茫，而髮蒼蒼。」 |</v>
      </c>
    </row>
    <row r="10348" spans="1:44" hidden="1">
      <c r="A10348" s="1" t="s">
        <v>20652</v>
      </c>
      <c r="C10348" s="1">
        <v>1</v>
      </c>
      <c r="D10348" s="1" t="str">
        <f>"08743"</f>
        <v>08743</v>
      </c>
      <c r="E10348" s="1" t="s">
        <v>789</v>
      </c>
      <c r="F10348" s="1">
        <v>5</v>
      </c>
      <c r="G10348" s="1">
        <v>4</v>
      </c>
      <c r="H10348" s="1">
        <v>0</v>
      </c>
      <c r="I10348" s="1" t="s">
        <v>20633</v>
      </c>
      <c r="K10348" s="1" t="str">
        <f t="shared" si="637"/>
        <v>ㄕ</v>
      </c>
      <c r="M10348" s="1" t="str">
        <f t="shared" si="640"/>
        <v/>
      </c>
      <c r="N10348" s="3" t="s">
        <v>30574</v>
      </c>
      <c r="O10348" s="3"/>
      <c r="P10348" s="1" t="s">
        <v>20</v>
      </c>
      <c r="R10348" s="1" t="s">
        <v>20634</v>
      </c>
      <c r="V10348" s="1" t="s">
        <v>20653</v>
      </c>
      <c r="AR10348" s="1" t="str">
        <f t="shared" si="638"/>
        <v>| [ㄕˋ](ㄕˋ.md) | [世](世.md) |  | shì | [名]_x000D_
1.三十年稱為「一世」。《說文解字．十部》：「世，三十年為一世。」《論語．子路》：「如有王者，必世而後仁。」_x000D_
2.父子相繼稱為「一世」，即一代。《字彙．一部》：「世，父子相代為一世。」如：「五世其昌」、「秦二世」。《詩經．大雅．文王》：「文王孫子，本支百世。」《三國演義》第五回：「袁本初四世三公，門多故吏，漢朝名相之裔，可為盟主。」_x000D_
3.朝代。《詩經．大雅．蕩》：「殷鑒不遠，在夏后之世。」晉．陶淵明〈桃花源記〉：「問今是何世，乃不知有漢，無論魏、晉。」南朝梁．劉勰《文心雕龍．詮賦》：「秦世不文，頗有雜賦。」_x000D_
4.時代。《易經．繫辭下》：「易之興也，其當殷之末世。」漢．王充《論衡．逢遇》：「伯夷，帝者之佐也，出於王者之世。」_x000D_
5.年、歲。《禮記．曲禮下》：「去國三世，爵祿有列於朝，出入有詔於國。」_x000D_
7.世界、世間、世人。如：「傳世」、「避世」、「世外桃源」。《莊子．天地》：「千歲厭世，去而上僊；乘彼白雲，至於帝鄉。」《楚辭．屈原．漁父》：「舉世皆濁我獨清，眾人皆醉我獨醒。」_x000D_
8.姓。如戰國時秦國有世鈞。_x000D_
[量]_x000D_
計算一生、一輩子的單位。如：「七世夫妻」、「三生三世」。《紅樓夢》第三回：「凡有外姓親友之人，一概不見，方可平安了此一世。」_x000D_
[形]_x000D_
1.與先輩有交誼的。如：「世姪」。《儒林外史》第三回：「貴房師高要縣湯公，就是先祖的門生，我和你是親切的世弟兄。」_x000D_
2.世間的、世俗的。如：「世局」、「人情世故」。宋．黃機〈木蘭花慢．問功名何處〉詞：「世事翻雲覆雨，滿懷何止離憂。」《聊齋志異．卷八．夏雪》：「世風之變也，下者益諂，上者益驕。」_x000D_
3.累代的。如：「世交」、「世仇」。《官場現形記》第二九回：「他自從到省之後，同寅當中不多幾日，居然很結識得幾個人，不是世誼，便是鄉誼，就是一無瓜葛的人，到了此時，一經拉攏，彼此亦就要好起來。所謂『臭味相投』，正是這個道理。」 |</v>
      </c>
    </row>
    <row r="10349" spans="1:44" hidden="1">
      <c r="A10349" s="1" t="s">
        <v>20654</v>
      </c>
      <c r="C10349" s="1">
        <v>1</v>
      </c>
      <c r="D10349" s="1" t="str">
        <f>"08744"</f>
        <v>08744</v>
      </c>
      <c r="E10349" s="1" t="s">
        <v>505</v>
      </c>
      <c r="F10349" s="1">
        <v>12</v>
      </c>
      <c r="G10349" s="1">
        <v>5</v>
      </c>
      <c r="H10349" s="1">
        <v>0</v>
      </c>
      <c r="I10349" s="1" t="s">
        <v>20633</v>
      </c>
      <c r="K10349" s="1" t="str">
        <f t="shared" si="637"/>
        <v>ㄕ</v>
      </c>
      <c r="M10349" s="1" t="str">
        <f t="shared" si="640"/>
        <v/>
      </c>
      <c r="N10349" s="3" t="s">
        <v>30574</v>
      </c>
      <c r="O10349" s="3"/>
      <c r="P10349" s="1" t="s">
        <v>20</v>
      </c>
      <c r="R10349" s="1" t="s">
        <v>20634</v>
      </c>
      <c r="V10349" s="1" t="s">
        <v>20655</v>
      </c>
      <c r="AR10349" s="1" t="str">
        <f t="shared" si="638"/>
        <v>| [ㄕˋ](ㄕˋ.md) | [貰](貰.md) |  | shì | [動]
1.出借、租賃。如：「貰屋」、「貰船」、「貰器」。
2.賒欠。如：「貰米」。《史記．卷八．高祖本紀》：「常從王媼、武負貰酒。」
3.寬貸、赦免。《漢書．卷五四．蘇建傳》：「陵雖駑怯，令漢且貰陵罪，全其老母，使得奮大辱之積志，庶幾乎曹柯之盟，此陵宿昔之所不忘也。」 |</v>
      </c>
    </row>
    <row r="10350" spans="1:44" hidden="1">
      <c r="A10350" s="1" t="s">
        <v>6069</v>
      </c>
      <c r="C10350" s="1">
        <v>1</v>
      </c>
      <c r="D10350" s="1" t="str">
        <f>"08745"</f>
        <v>08745</v>
      </c>
      <c r="E10350" s="1" t="s">
        <v>250</v>
      </c>
      <c r="F10350" s="1">
        <v>6</v>
      </c>
      <c r="G10350" s="1">
        <v>3</v>
      </c>
      <c r="H10350" s="1">
        <v>2</v>
      </c>
      <c r="I10350" s="1" t="s">
        <v>20633</v>
      </c>
      <c r="K10350" s="1" t="str">
        <f t="shared" si="637"/>
        <v>ㄕ</v>
      </c>
      <c r="M10350" s="1" t="str">
        <f t="shared" si="640"/>
        <v/>
      </c>
      <c r="N10350" s="3" t="s">
        <v>30574</v>
      </c>
      <c r="O10350" s="3"/>
      <c r="P10350" s="1" t="s">
        <v>20</v>
      </c>
      <c r="R10350" s="1" t="s">
        <v>20634</v>
      </c>
      <c r="V10350" s="1" t="s">
        <v>20656</v>
      </c>
      <c r="W10350" s="1" t="s">
        <v>20657</v>
      </c>
      <c r="AR10350" s="1" t="str">
        <f t="shared" si="638"/>
        <v>| [ㄕˋ](ㄕˋ.md) | [忕](忕.md) |  | shì | [動]
習慣、慣於。《史記．卷一七．漢興以來諸侯年表．序》：「諸侯或驕奢，忕邪臣計謀為淫亂。」唐．司馬貞．索隱：「忕訓習，言習於邪臣之謀計。」 |</v>
      </c>
    </row>
    <row r="10351" spans="1:44" hidden="1">
      <c r="A10351" s="1" t="s">
        <v>20658</v>
      </c>
      <c r="C10351" s="1">
        <v>1</v>
      </c>
      <c r="D10351" s="1" t="str">
        <f>"08746"</f>
        <v>08746</v>
      </c>
      <c r="E10351" s="1" t="s">
        <v>20659</v>
      </c>
      <c r="F10351" s="1">
        <v>6</v>
      </c>
      <c r="G10351" s="1">
        <v>3</v>
      </c>
      <c r="H10351" s="1">
        <v>0</v>
      </c>
      <c r="I10351" s="1" t="s">
        <v>20633</v>
      </c>
      <c r="K10351" s="1" t="str">
        <f t="shared" si="637"/>
        <v>ㄕ</v>
      </c>
      <c r="M10351" s="1" t="str">
        <f t="shared" si="640"/>
        <v/>
      </c>
      <c r="N10351" s="3" t="s">
        <v>30574</v>
      </c>
      <c r="O10351" s="3"/>
      <c r="P10351" s="1" t="s">
        <v>20</v>
      </c>
      <c r="R10351" s="1" t="s">
        <v>20634</v>
      </c>
      <c r="V10351" s="1" t="s">
        <v>20660</v>
      </c>
      <c r="AR10351" s="1" t="str">
        <f t="shared" si="638"/>
        <v>| [ㄕˋ](ㄕˋ.md) | [式](式.md) |  | shì | [名]
1.法則、模範。《書經．微子之命》：「世世享德，萬邦作式。」《後漢書．卷四四．鄧彪傳》：「彪在位清白，為百僚式。」
2.儀節、典禮。如：「儀式」、「閱兵式」、「結婚式」。
3.規格、樣式。如：「格式」、「款式」。
4.古代車前的橫木。通「軾」。《周禮．冬官考工記．輿人》：「參分其隧，一在前，二在後，以揉其式。」《宋史．卷四三三．儒林傳三．楊萬里傳》：「苟有車必見其式，苟有言必聞其聲。」
5.自然科學中指表示某種規律的一組符號。如：「方程式」、「分子式」、「化學式」。
[動]
1.效法。《後漢書．卷五二．崔駰傳》：「必欲行若言，當大定其本，使人主師五帝而式三王。」
2.用。《左傳．成公二年》：「蠻夷戎狄，不式王命。」晉．杜預．注：「式，用也。」
3.古時人立而乘車，俯而憑軾以示敬意。《書經．武成》：「釋箕子囚，封比干墓，式商容閶。」唐．孔穎達．正義：「式者，車上之橫木，男子立乘有所敬則俯而憑式，遂以式為敬名。」《漢書．卷四〇．周勃傳》：「天子為動，改容式車。」
[助]
發語詞，無義。《詩經．邶風．式微》：「式微式微，胡不歸？」漢．鄭玄．箋：「式，發聲也。」 |</v>
      </c>
    </row>
    <row r="10352" spans="1:44" hidden="1">
      <c r="A10352" s="1" t="s">
        <v>20661</v>
      </c>
      <c r="C10352" s="1">
        <v>1</v>
      </c>
      <c r="D10352" s="1" t="str">
        <f>"08747"</f>
        <v>08747</v>
      </c>
      <c r="E10352" s="1" t="s">
        <v>24</v>
      </c>
      <c r="F10352" s="1">
        <v>9</v>
      </c>
      <c r="G10352" s="1">
        <v>6</v>
      </c>
      <c r="H10352" s="1">
        <v>0</v>
      </c>
      <c r="I10352" s="1" t="s">
        <v>20633</v>
      </c>
      <c r="K10352" s="1" t="str">
        <f t="shared" ref="K10352:K10415" si="641">LEFT(I10352, 1)</f>
        <v>ㄕ</v>
      </c>
      <c r="M10352" s="1" t="str">
        <f t="shared" si="640"/>
        <v/>
      </c>
      <c r="N10352" s="3" t="s">
        <v>30574</v>
      </c>
      <c r="O10352" s="3"/>
      <c r="P10352" s="1" t="s">
        <v>20</v>
      </c>
      <c r="R10352" s="1" t="s">
        <v>20634</v>
      </c>
      <c r="V10352" s="1" t="s">
        <v>20662</v>
      </c>
      <c r="AR10352" s="1" t="str">
        <f t="shared" si="638"/>
        <v>| [ㄕˋ](ㄕˋ.md) | [拭](拭.md) |  | shì | [動]
揩、擦抹。如：「擦拭」、「拂拭」、「拭淚」、「拭目以待」。《儀禮．聘禮》：「賈人北面坐，拭圭。」漢．鄭玄．注：「拭，清也。」 |</v>
      </c>
    </row>
    <row r="10353" spans="1:44" hidden="1">
      <c r="A10353" s="1" t="s">
        <v>20663</v>
      </c>
      <c r="C10353" s="1">
        <v>1</v>
      </c>
      <c r="D10353" s="1" t="str">
        <f>"08748"</f>
        <v>08748</v>
      </c>
      <c r="E10353" s="1" t="s">
        <v>139</v>
      </c>
      <c r="F10353" s="1">
        <v>10</v>
      </c>
      <c r="G10353" s="1">
        <v>6</v>
      </c>
      <c r="H10353" s="1">
        <v>0</v>
      </c>
      <c r="I10353" s="1" t="s">
        <v>20633</v>
      </c>
      <c r="K10353" s="1" t="str">
        <f t="shared" si="641"/>
        <v>ㄕ</v>
      </c>
      <c r="M10353" s="1" t="str">
        <f t="shared" si="640"/>
        <v/>
      </c>
      <c r="N10353" s="3" t="s">
        <v>30574</v>
      </c>
      <c r="O10353" s="3"/>
      <c r="P10353" s="1" t="s">
        <v>20</v>
      </c>
      <c r="R10353" s="1" t="s">
        <v>20634</v>
      </c>
      <c r="V10353" s="1" t="s">
        <v>20664</v>
      </c>
      <c r="AR10353" s="1" t="str">
        <f t="shared" si="638"/>
        <v>| [ㄕˋ](ㄕˋ.md) | [栻](栻.md) |  | shì | [名]
古代占卜用的器具，形狀像羅盤。《漢書．卷九九．王莽傳下》：「天文郎按栻於前，日時加某，莽旋席隨斗柄而坐。」 |</v>
      </c>
    </row>
    <row r="10354" spans="1:44" hidden="1">
      <c r="A10354" s="1" t="s">
        <v>20665</v>
      </c>
      <c r="C10354" s="1">
        <v>1</v>
      </c>
      <c r="D10354" s="1" t="str">
        <f>"08749"</f>
        <v>08749</v>
      </c>
      <c r="E10354" s="1" t="s">
        <v>331</v>
      </c>
      <c r="F10354" s="1">
        <v>13</v>
      </c>
      <c r="G10354" s="1">
        <v>6</v>
      </c>
      <c r="H10354" s="1">
        <v>0</v>
      </c>
      <c r="I10354" s="1" t="s">
        <v>20633</v>
      </c>
      <c r="K10354" s="1" t="str">
        <f t="shared" si="641"/>
        <v>ㄕ</v>
      </c>
      <c r="M10354" s="1" t="str">
        <f t="shared" si="640"/>
        <v/>
      </c>
      <c r="N10354" s="3" t="s">
        <v>30574</v>
      </c>
      <c r="O10354" s="3"/>
      <c r="P10354" s="1" t="s">
        <v>20</v>
      </c>
      <c r="R10354" s="1" t="s">
        <v>20634</v>
      </c>
      <c r="V10354" s="1" t="s">
        <v>20666</v>
      </c>
      <c r="AR10354" s="1" t="str">
        <f t="shared" si="638"/>
        <v>| [ㄕˋ](ㄕˋ.md) | [試](試.md) |  | shì | [名]
測驗。如：「考試」、「口試」、「筆試」。
[動]
1.考驗、測驗。《周禮．夏官．藳人》：「試其弓弩。」
2.嘗試。如：「試行」、「試飛」。唐．杜甫〈去矣行〉：「未試囊中餐玉法，明朝且入藍田山。」
3.探測、刺探。《韓非子．外儲說左下》：「主賢明，則悉心以事之；不肖，則飾姦而試之。」唐．韓偓〈詠浴〉詩：「教移蘭燭頻羞影，自試香湯更怕深。」 |</v>
      </c>
    </row>
    <row r="10355" spans="1:44" hidden="1">
      <c r="A10355" s="1" t="s">
        <v>20667</v>
      </c>
      <c r="C10355" s="1">
        <v>1</v>
      </c>
      <c r="D10355" s="1" t="str">
        <f>"08750"</f>
        <v>08750</v>
      </c>
      <c r="E10355" s="1" t="s">
        <v>71</v>
      </c>
      <c r="F10355" s="1">
        <v>13</v>
      </c>
      <c r="G10355" s="1">
        <v>6</v>
      </c>
      <c r="H10355" s="1">
        <v>0</v>
      </c>
      <c r="I10355" s="1" t="s">
        <v>20633</v>
      </c>
      <c r="K10355" s="1" t="str">
        <f t="shared" si="641"/>
        <v>ㄕ</v>
      </c>
      <c r="M10355" s="1" t="str">
        <f t="shared" si="640"/>
        <v/>
      </c>
      <c r="N10355" s="3" t="s">
        <v>30574</v>
      </c>
      <c r="O10355" s="3"/>
      <c r="P10355" s="1" t="s">
        <v>20</v>
      </c>
      <c r="R10355" s="1" t="s">
        <v>20634</v>
      </c>
      <c r="V10355" s="1" t="s">
        <v>20668</v>
      </c>
      <c r="AR10355" s="1" t="str">
        <f t="shared" si="638"/>
        <v>| [ㄕˋ](ㄕˋ.md) | [軾](軾.md) |  | shì | [名]
古代車子前面可供憑依的橫木。《左傳．莊公十年》：「登軾而望之。」
[動]
古人靠著車前的橫木以表示尊敬。《淮南子．脩務》：「魏文侯過其閭而軾之。」 |</v>
      </c>
    </row>
    <row r="10356" spans="1:44" hidden="1">
      <c r="A10356" s="1" t="s">
        <v>20669</v>
      </c>
      <c r="C10356" s="1">
        <v>1</v>
      </c>
      <c r="D10356" s="1" t="str">
        <f>"08751"</f>
        <v>08751</v>
      </c>
      <c r="E10356" s="1" t="s">
        <v>20659</v>
      </c>
      <c r="F10356" s="1">
        <v>13</v>
      </c>
      <c r="G10356" s="1">
        <v>10</v>
      </c>
      <c r="H10356" s="1">
        <v>0</v>
      </c>
      <c r="I10356" s="1" t="s">
        <v>20633</v>
      </c>
      <c r="K10356" s="1" t="str">
        <f t="shared" si="641"/>
        <v>ㄕ</v>
      </c>
      <c r="M10356" s="1" t="str">
        <f t="shared" si="640"/>
        <v/>
      </c>
      <c r="N10356" s="3" t="s">
        <v>30574</v>
      </c>
      <c r="O10356" s="3"/>
      <c r="P10356" s="1" t="s">
        <v>20</v>
      </c>
      <c r="R10356" s="1" t="s">
        <v>20634</v>
      </c>
      <c r="V10356" s="1" t="s">
        <v>20670</v>
      </c>
      <c r="AR10356" s="1" t="str">
        <f t="shared" si="638"/>
        <v>| [ㄕˋ](ㄕˋ.md) | [弒](弒.md) |  | shì | [動]
地位低的人殺死地位高的人。《易經．坤卦．文言曰》：「臣弒其君，子弒其父，非一朝一夕之故，其所由來者漸矣。」 |</v>
      </c>
    </row>
    <row r="10357" spans="1:44" hidden="1">
      <c r="A10357" s="1" t="s">
        <v>20671</v>
      </c>
      <c r="C10357" s="1">
        <v>1</v>
      </c>
      <c r="D10357" s="1" t="str">
        <f>"08752"</f>
        <v>08752</v>
      </c>
      <c r="E10357" s="1" t="s">
        <v>7857</v>
      </c>
      <c r="F10357" s="1">
        <v>8</v>
      </c>
      <c r="G10357" s="1">
        <v>7</v>
      </c>
      <c r="H10357" s="1">
        <v>0</v>
      </c>
      <c r="I10357" s="1" t="s">
        <v>20633</v>
      </c>
      <c r="K10357" s="1" t="str">
        <f t="shared" si="641"/>
        <v>ㄕ</v>
      </c>
      <c r="M10357" s="1" t="str">
        <f t="shared" si="640"/>
        <v/>
      </c>
      <c r="N10357" s="3" t="s">
        <v>30574</v>
      </c>
      <c r="O10357" s="3"/>
      <c r="P10357" s="1" t="s">
        <v>20</v>
      </c>
      <c r="R10357" s="1" t="s">
        <v>20634</v>
      </c>
      <c r="V10357" s="1" t="s">
        <v>20672</v>
      </c>
      <c r="AR10357" s="1" t="str">
        <f t="shared" si="638"/>
        <v>| [ㄕˋ](ㄕˋ.md) | [事](事.md) |  | shì | [名]
1.工作、職務。《論語．子路》：「居處恭，執事敬，與人忠，雖之夷狄不可棄也。」《禮記．祭法》：「以死勤事則祀之。」
2.人類所作所為及自然界的一切現象、活動，都稱為「事」。如：「人事」、「國事」。《禮記．大學》：「物有本末，事有終始，知所先後，則近道矣。」
3.變故。如：「多事之秋」、「平安無事」。
[動]
1.侍奉。《論語．學而》：「事父母能竭其力，事君能致其身。」
2.做、為。《論語．顏淵》：「回雖不敏，請事斯語矣。」
3.插入。通「剚」。《漢書．卷四五．蒯通傳》：「慈父孝子所以不敢事刃於公之腹者，畏秦法也。」 |</v>
      </c>
    </row>
    <row r="10358" spans="1:44" hidden="1">
      <c r="A10358" s="1" t="s">
        <v>20673</v>
      </c>
      <c r="C10358" s="1">
        <v>1</v>
      </c>
      <c r="D10358" s="1" t="str">
        <f>"08753"</f>
        <v>08753</v>
      </c>
      <c r="E10358" s="1" t="s">
        <v>114</v>
      </c>
      <c r="F10358" s="1">
        <v>8</v>
      </c>
      <c r="G10358" s="1">
        <v>6</v>
      </c>
      <c r="H10358" s="1">
        <v>0</v>
      </c>
      <c r="I10358" s="1" t="s">
        <v>20633</v>
      </c>
      <c r="K10358" s="1" t="str">
        <f t="shared" si="641"/>
        <v>ㄕ</v>
      </c>
      <c r="M10358" s="1" t="str">
        <f t="shared" si="640"/>
        <v/>
      </c>
      <c r="N10358" s="3" t="s">
        <v>30574</v>
      </c>
      <c r="O10358" s="3"/>
      <c r="P10358" s="1" t="s">
        <v>20</v>
      </c>
      <c r="R10358" s="1" t="s">
        <v>20634</v>
      </c>
      <c r="V10358" s="1" t="s">
        <v>20674</v>
      </c>
      <c r="AR10358" s="1" t="str">
        <f t="shared" si="638"/>
        <v>| [ㄕˋ](ㄕˋ.md) | [侍](侍.md) |  | shì | [動]
1.伺候。如：「服侍病人要有耐心。」
2.在一旁陪著。《論語．先進》：「閔子侍側，誾誾如也。」《史記．卷六．秦始皇本紀》：「旁有宦者一人，侍不敢去。」
[名]
1.服侍或隨從他人的人。如：「女侍」、「侍從」。
2.侍生的簡稱。參見「侍生」條。
3.姓。如明代有侍錦。 |</v>
      </c>
    </row>
    <row r="10359" spans="1:44" hidden="1">
      <c r="A10359" s="1" t="s">
        <v>20675</v>
      </c>
      <c r="C10359" s="1">
        <v>1</v>
      </c>
      <c r="D10359" s="1" t="str">
        <f>"08754"</f>
        <v>08754</v>
      </c>
      <c r="E10359" s="1" t="s">
        <v>250</v>
      </c>
      <c r="F10359" s="1">
        <v>9</v>
      </c>
      <c r="G10359" s="1">
        <v>6</v>
      </c>
      <c r="H10359" s="1">
        <v>0</v>
      </c>
      <c r="I10359" s="1" t="s">
        <v>20633</v>
      </c>
      <c r="K10359" s="1" t="str">
        <f t="shared" si="641"/>
        <v>ㄕ</v>
      </c>
      <c r="M10359" s="1" t="str">
        <f t="shared" si="640"/>
        <v/>
      </c>
      <c r="N10359" s="3" t="s">
        <v>30574</v>
      </c>
      <c r="O10359" s="3"/>
      <c r="P10359" s="1" t="s">
        <v>20</v>
      </c>
      <c r="R10359" s="1" t="s">
        <v>20634</v>
      </c>
      <c r="V10359" s="1" t="s">
        <v>20676</v>
      </c>
      <c r="AR10359" s="1" t="str">
        <f t="shared" si="638"/>
        <v>| [ㄕˋ](ㄕˋ.md) | [恃](恃.md) |  | shì | [動]
依賴、依仗。《廣韻．上聲．止韻》：「恃，依也，賴也。」如：「恃才傲物」、「有恃無恐」。《左傳．僖公二十六年》：「室如懸罄，野無青草，何恃而不恐。」
[名]
母親。語本《詩經．小雅．蓼莪》：「無父何怙？無母何恃？」唐．韋應物〈送楊氏女〉詩：「爾輩況無恃，撫念益慈柔。」《聊齋志異．卷四．公孫九娘》：「先是，生有甥女，早失恃，遺生鞠養，十五始歸其家。」 |</v>
      </c>
    </row>
    <row r="10360" spans="1:44" hidden="1">
      <c r="A10360" s="1" t="s">
        <v>20612</v>
      </c>
      <c r="C10360" s="1">
        <v>1</v>
      </c>
      <c r="D10360" s="1" t="str">
        <f>"08755"</f>
        <v>08755</v>
      </c>
      <c r="E10360" s="1" t="s">
        <v>114</v>
      </c>
      <c r="F10360" s="1">
        <v>8</v>
      </c>
      <c r="G10360" s="1">
        <v>6</v>
      </c>
      <c r="H10360" s="1">
        <v>2</v>
      </c>
      <c r="I10360" s="1" t="s">
        <v>20633</v>
      </c>
      <c r="K10360" s="1" t="str">
        <f t="shared" si="641"/>
        <v>ㄕ</v>
      </c>
      <c r="M10360" s="1" t="str">
        <f t="shared" si="640"/>
        <v/>
      </c>
      <c r="N10360" s="3" t="s">
        <v>30574</v>
      </c>
      <c r="O10360" s="3"/>
      <c r="P10360" s="1" t="s">
        <v>20</v>
      </c>
      <c r="R10360" s="1" t="s">
        <v>20634</v>
      </c>
      <c r="V10360" s="1" t="s">
        <v>20677</v>
      </c>
      <c r="W10360" s="1" t="s">
        <v>20678</v>
      </c>
      <c r="AR10360" s="1" t="str">
        <f t="shared" si="638"/>
        <v>| [ㄕˋ](ㄕˋ.md) | [使](使.md) |  | shì | (一)[名]、[動]7.之又音。 |</v>
      </c>
    </row>
    <row r="10361" spans="1:44" hidden="1">
      <c r="A10361" s="1" t="s">
        <v>20623</v>
      </c>
      <c r="C10361" s="1">
        <v>1</v>
      </c>
      <c r="D10361" s="1" t="str">
        <f>"08756"</f>
        <v>08756</v>
      </c>
      <c r="E10361" s="1" t="s">
        <v>534</v>
      </c>
      <c r="F10361" s="1">
        <v>8</v>
      </c>
      <c r="G10361" s="1">
        <v>5</v>
      </c>
      <c r="H10361" s="1">
        <v>2</v>
      </c>
      <c r="I10361" s="1" t="s">
        <v>20633</v>
      </c>
      <c r="K10361" s="1" t="str">
        <f t="shared" si="641"/>
        <v>ㄕ</v>
      </c>
      <c r="M10361" s="1" t="str">
        <f t="shared" si="640"/>
        <v/>
      </c>
      <c r="N10361" s="3" t="s">
        <v>30574</v>
      </c>
      <c r="O10361" s="3"/>
      <c r="P10361" s="1" t="s">
        <v>20</v>
      </c>
      <c r="R10361" s="1" t="s">
        <v>20634</v>
      </c>
      <c r="V10361" s="1" t="s">
        <v>20679</v>
      </c>
      <c r="W10361" s="1" t="s">
        <v>20680</v>
      </c>
      <c r="AR10361" s="1" t="str">
        <f t="shared" si="638"/>
        <v>| [ㄕˋ](ㄕˋ.md) | [始](始.md) |  | shì | (一)[副]1.2.之又音。 |</v>
      </c>
    </row>
    <row r="10362" spans="1:44" hidden="1">
      <c r="A10362" s="1" t="s">
        <v>20681</v>
      </c>
      <c r="C10362" s="1">
        <v>1</v>
      </c>
      <c r="D10362" s="1" t="str">
        <f>"08757"</f>
        <v>08757</v>
      </c>
      <c r="E10362" s="1" t="s">
        <v>624</v>
      </c>
      <c r="F10362" s="1">
        <v>9</v>
      </c>
      <c r="G10362" s="1">
        <v>6</v>
      </c>
      <c r="H10362" s="1">
        <v>0</v>
      </c>
      <c r="I10362" s="1" t="s">
        <v>20633</v>
      </c>
      <c r="K10362" s="1" t="str">
        <f t="shared" si="641"/>
        <v>ㄕ</v>
      </c>
      <c r="M10362" s="1" t="str">
        <f t="shared" si="640"/>
        <v/>
      </c>
      <c r="N10362" s="3" t="s">
        <v>30574</v>
      </c>
      <c r="O10362" s="3"/>
      <c r="P10362" s="1" t="s">
        <v>20</v>
      </c>
      <c r="R10362" s="1" t="s">
        <v>20634</v>
      </c>
      <c r="V10362" s="1" t="s">
        <v>20682</v>
      </c>
      <c r="AR10362" s="1" t="str">
        <f t="shared" si="638"/>
        <v>| [ㄕˋ](ㄕˋ.md) | [室](室.md) |  | shì | [名]
1.房間。如：「教室」、「臥室」、「休息室」、「工作室」。
2.朝廷、朝代。《書經．康王之誥》：「雖爾身在外，乃心罔不在王室。」宋．蘇軾〈教戰守策〉：「天下分裂，而唐室因以微矣。」
3.家、戶。《孟子．離婁上》：「為政不難，不得罪於巨室。」漢．王充《論衡．偶會》：「富家之商，必奪貧室之財。」
4.妻子。《禮記．曲禮上》：「三十曰壯，有室。」《警世通言．卷二九．宿香亭張浩遇鶯鶯》：「緣此至弱冠之年，猶未納室。」
5.墳墓、墓穴。《詩經．唐風．葛生》：「百歲之後，歸於其室。」唐．韓愈〈柳子厚墓誌銘〉：「是惟子厚之室，既固既安，以利其嗣人。」
6.刀鞘、劍鞘。《史記．卷七八．春申君傳》：「趙使欲夸楚，為玳瑁簪刀劍室以珠玉飾之，請命春申君客。」唐．劉禹錫〈砥石賦．序〉：「始予有佩刀甚良，至是澀不可拔，剖其室乃能出。」
7.機關團體中的工作單位。如：「人事室」、「祕書室」、「公共關係室」。
8.姓。如遼代有室昉。 |</v>
      </c>
    </row>
    <row r="10363" spans="1:44" hidden="1">
      <c r="A10363" s="1" t="s">
        <v>20683</v>
      </c>
      <c r="C10363" s="1">
        <v>1</v>
      </c>
      <c r="D10363" s="1" t="str">
        <f>"08758"</f>
        <v>08758</v>
      </c>
      <c r="E10363" s="1" t="s">
        <v>646</v>
      </c>
      <c r="F10363" s="1">
        <v>9</v>
      </c>
      <c r="G10363" s="1">
        <v>5</v>
      </c>
      <c r="H10363" s="1">
        <v>0</v>
      </c>
      <c r="I10363" s="1" t="s">
        <v>20633</v>
      </c>
      <c r="K10363" s="1" t="str">
        <f t="shared" si="641"/>
        <v>ㄕ</v>
      </c>
      <c r="M10363" s="1" t="str">
        <f t="shared" si="640"/>
        <v/>
      </c>
      <c r="N10363" s="3" t="s">
        <v>30574</v>
      </c>
      <c r="O10363" s="3"/>
      <c r="P10363" s="1" t="s">
        <v>20</v>
      </c>
      <c r="R10363" s="1" t="s">
        <v>20634</v>
      </c>
      <c r="V10363" s="1" t="s">
        <v>20684</v>
      </c>
      <c r="AR10363" s="1" t="str">
        <f t="shared" si="638"/>
        <v>| [ㄕˋ](ㄕˋ.md) | [是](是.md) |  | shì | [名]
1.對、正確。如：「自以為是」、「積非成是」。
2.事情。如：「國是」。
3.姓。如唐代有是光。
[動]
1.贊成、稱讚。如：「是古非今」、「深是其言」。
2.表示肯定判斷的話。如：「我是學生」、「他是外國人」、「老人與海的作者是海明威。」
3.表示存在的事實。如：「全身是傷」、「滿身是汗」。
4.對命令的應答之詞。如：「是，我這就去。」、「是，我馬上就來。」
[形]
這。指示形容詞。如：「是人」、「是日」。《論語．學而》：「夫子至於是邦也，必聞其政。」
[代]
此。指示代名詞。《孟子．梁惠王上》：「是乃仁術也，見牛未見羊也。」
[連]
於是，表示前後相關。《書經．禹貢》：「桑土既蠶，是降丘宅土。」《管子．心術下》：「心安是國安也；心治是國治也。」
[助]
用於句中，使賓語提前。如：「惟命是從」、「惟利是圖」、「惟你是問」。 |</v>
      </c>
    </row>
    <row r="10364" spans="1:44" hidden="1">
      <c r="A10364" s="1" t="s">
        <v>20685</v>
      </c>
      <c r="C10364" s="1">
        <v>1</v>
      </c>
      <c r="D10364" s="1" t="str">
        <f>"08759"</f>
        <v>08759</v>
      </c>
      <c r="E10364" s="1" t="s">
        <v>234</v>
      </c>
      <c r="F10364" s="1">
        <v>12</v>
      </c>
      <c r="G10364" s="1">
        <v>9</v>
      </c>
      <c r="H10364" s="1">
        <v>0</v>
      </c>
      <c r="I10364" s="1" t="s">
        <v>20633</v>
      </c>
      <c r="K10364" s="1" t="str">
        <f t="shared" si="641"/>
        <v>ㄕ</v>
      </c>
      <c r="M10364" s="1" t="str">
        <f t="shared" si="640"/>
        <v/>
      </c>
      <c r="N10364" s="3" t="s">
        <v>30574</v>
      </c>
      <c r="O10364" s="3"/>
      <c r="P10364" s="1" t="s">
        <v>20</v>
      </c>
      <c r="R10364" s="1" t="s">
        <v>20634</v>
      </c>
      <c r="V10364" s="1" t="s">
        <v>20686</v>
      </c>
      <c r="AR10364" s="1" t="str">
        <f t="shared" si="638"/>
        <v>| [ㄕˋ](ㄕˋ.md) | [徥](徥.md) |  | shì | [形]
走路的樣子。《廣韻．上聲．紙韻》：「徥，行貌。」 |</v>
      </c>
    </row>
    <row r="10365" spans="1:44" hidden="1">
      <c r="A10365" s="1" t="s">
        <v>20687</v>
      </c>
      <c r="C10365" s="1">
        <v>1</v>
      </c>
      <c r="D10365" s="1" t="str">
        <f>"08760"</f>
        <v>08760</v>
      </c>
      <c r="E10365" s="1" t="s">
        <v>2271</v>
      </c>
      <c r="F10365" s="1">
        <v>15</v>
      </c>
      <c r="G10365" s="1">
        <v>9</v>
      </c>
      <c r="H10365" s="1">
        <v>0</v>
      </c>
      <c r="I10365" s="1" t="s">
        <v>20633</v>
      </c>
      <c r="K10365" s="1" t="str">
        <f t="shared" si="641"/>
        <v>ㄕ</v>
      </c>
      <c r="M10365" s="1" t="str">
        <f t="shared" si="640"/>
        <v/>
      </c>
      <c r="N10365" s="3" t="s">
        <v>30574</v>
      </c>
      <c r="O10365" s="3"/>
      <c r="P10365" s="1" t="s">
        <v>20</v>
      </c>
      <c r="R10365" s="1" t="s">
        <v>20634</v>
      </c>
      <c r="V10365" s="1" t="s">
        <v>20688</v>
      </c>
      <c r="AR10365" s="1" t="str">
        <f t="shared" si="638"/>
        <v>| [ㄕˋ](ㄕˋ.md) | [翨](翨.md) |  | shì | [名]
鳥尾及鳥翼上巨大的羽毛。《說文解字．羽部》：「翨，鳥之彊羽猛者。」 |</v>
      </c>
    </row>
    <row r="10366" spans="1:44" hidden="1">
      <c r="A10366" s="1" t="s">
        <v>20689</v>
      </c>
      <c r="C10366" s="1">
        <v>1</v>
      </c>
      <c r="D10366" s="1" t="str">
        <f>"08761"</f>
        <v>08761</v>
      </c>
      <c r="E10366" s="1" t="s">
        <v>331</v>
      </c>
      <c r="F10366" s="1">
        <v>16</v>
      </c>
      <c r="G10366" s="1">
        <v>9</v>
      </c>
      <c r="H10366" s="1">
        <v>0</v>
      </c>
      <c r="I10366" s="1" t="s">
        <v>20633</v>
      </c>
      <c r="K10366" s="1" t="str">
        <f t="shared" si="641"/>
        <v>ㄕ</v>
      </c>
      <c r="M10366" s="1" t="str">
        <f t="shared" si="640"/>
        <v/>
      </c>
      <c r="N10366" s="3" t="s">
        <v>30574</v>
      </c>
      <c r="O10366" s="3"/>
      <c r="P10366" s="1" t="s">
        <v>20</v>
      </c>
      <c r="R10366" s="1" t="s">
        <v>20634</v>
      </c>
      <c r="V10366" s="1" t="s">
        <v>20690</v>
      </c>
      <c r="AR10366" s="1" t="str">
        <f t="shared" si="638"/>
        <v>| [ㄕˋ](ㄕˋ.md) | [諟](諟.md) |  | shì | [動]
審核、明辨、校正。《書經．太甲》：「先王顧諟天之明命。」《陳書．卷二七．姚察傳》：「尤好研覈古今，諟正文字。」 |</v>
      </c>
    </row>
    <row r="10367" spans="1:44" hidden="1">
      <c r="A10367" s="1" t="s">
        <v>20691</v>
      </c>
      <c r="C10367" s="1">
        <v>1</v>
      </c>
      <c r="D10367" s="1" t="str">
        <f>"08762"</f>
        <v>08762</v>
      </c>
      <c r="E10367" s="1" t="s">
        <v>132</v>
      </c>
      <c r="F10367" s="1">
        <v>11</v>
      </c>
      <c r="G10367" s="1">
        <v>8</v>
      </c>
      <c r="H10367" s="1">
        <v>2</v>
      </c>
      <c r="I10367" s="1" t="s">
        <v>20633</v>
      </c>
      <c r="K10367" s="1" t="str">
        <f t="shared" si="641"/>
        <v>ㄕ</v>
      </c>
      <c r="M10367" s="1" t="str">
        <f t="shared" si="640"/>
        <v/>
      </c>
      <c r="N10367" s="3" t="s">
        <v>30574</v>
      </c>
      <c r="O10367" s="3"/>
      <c r="P10367" s="1" t="s">
        <v>20</v>
      </c>
      <c r="R10367" s="1" t="s">
        <v>20634</v>
      </c>
      <c r="V10367" s="1" t="s">
        <v>20692</v>
      </c>
      <c r="W10367" s="1" t="s">
        <v>20693</v>
      </c>
      <c r="AR10367" s="1" t="str">
        <f t="shared" si="638"/>
        <v>| [ㄕˋ](ㄕˋ.md) | [埶](埶.md) |  | shì | 同「勢」。《說文解字．󷆟部》「埶」字．清．段玉裁．注：「《說文》無勢字，蓋古用埶為之。」 |</v>
      </c>
    </row>
    <row r="10368" spans="1:44" hidden="1">
      <c r="A10368" s="1" t="s">
        <v>20694</v>
      </c>
      <c r="C10368" s="1">
        <v>1</v>
      </c>
      <c r="D10368" s="1" t="str">
        <f>"08763"</f>
        <v>08763</v>
      </c>
      <c r="E10368" s="1" t="s">
        <v>245</v>
      </c>
      <c r="F10368" s="1">
        <v>13</v>
      </c>
      <c r="G10368" s="1">
        <v>11</v>
      </c>
      <c r="H10368" s="1">
        <v>0</v>
      </c>
      <c r="I10368" s="1" t="s">
        <v>20633</v>
      </c>
      <c r="K10368" s="1" t="str">
        <f t="shared" si="641"/>
        <v>ㄕ</v>
      </c>
      <c r="M10368" s="1" t="str">
        <f t="shared" si="640"/>
        <v/>
      </c>
      <c r="N10368" s="3" t="s">
        <v>30574</v>
      </c>
      <c r="O10368" s="3"/>
      <c r="P10368" s="1" t="s">
        <v>20</v>
      </c>
      <c r="R10368" s="1" t="s">
        <v>20634</v>
      </c>
      <c r="V10368" s="1" t="s">
        <v>20695</v>
      </c>
      <c r="AR10368" s="1" t="str">
        <f t="shared" si="638"/>
        <v>| [ㄕˋ](ㄕˋ.md) | [勢](勢.md) |  | shì | [名]
1.權力。如：「有錢有勢」、「仗勢欺人」。《書經．君陳》：「無依勢作威，無倚法以削。」
2.威力。如：「火勢」、「風勢」。
3.動作的狀態。如：「手勢」、「姿勢」。
4.形貌。如：「山勢」、「地勢」。
5.情形、狀況。如：「時勢」、「局勢」。
6.機會。《孟子．公孫丑上》：「雖有智慧，不如乘勢。」
7.雄性動物的生殖器官。如：「去勢」。《晉書．卷三〇．刑法志》：「盜淫者割其勢。」 |</v>
      </c>
    </row>
    <row r="10369" spans="1:44" hidden="1">
      <c r="A10369" s="1" t="s">
        <v>20696</v>
      </c>
      <c r="C10369" s="1">
        <v>1</v>
      </c>
      <c r="D10369" s="1" t="str">
        <f>"08764"</f>
        <v>08764</v>
      </c>
      <c r="E10369" s="1" t="s">
        <v>558</v>
      </c>
      <c r="F10369" s="1">
        <v>11</v>
      </c>
      <c r="G10369" s="1">
        <v>7</v>
      </c>
      <c r="H10369" s="1">
        <v>0</v>
      </c>
      <c r="I10369" s="1" t="s">
        <v>20633</v>
      </c>
      <c r="K10369" s="1" t="str">
        <f t="shared" si="641"/>
        <v>ㄕ</v>
      </c>
      <c r="M10369" s="1" t="str">
        <f t="shared" si="640"/>
        <v/>
      </c>
      <c r="N10369" s="3" t="s">
        <v>30574</v>
      </c>
      <c r="O10369" s="3"/>
      <c r="P10369" s="1" t="s">
        <v>20</v>
      </c>
      <c r="R10369" s="1" t="s">
        <v>20634</v>
      </c>
      <c r="V10369" s="1" t="s">
        <v>20697</v>
      </c>
      <c r="AR10369" s="1" t="str">
        <f t="shared" si="638"/>
        <v>| [ㄕˋ](ㄕˋ.md) | [逝](逝.md) |  | shì | [動]
1.往、過去、去而不返。如：「消逝」。《論語．陽貨》：「日月逝矣，歲不我與。」晉．陸機〈折楊柳行〉：「日落似有竟，時逝恆若催。」
2.死亡。如：「逝世」。《文選．司馬遷．報任少卿書》：「是僕終已不得舒憤懣以曉左右，則長逝者魂魄私恨無窮。」宋．陸游〈舒悲〉詩：「管葛逝已久，千古困俗學。」 |</v>
      </c>
    </row>
    <row r="10370" spans="1:44" hidden="1">
      <c r="A10370" s="1" t="s">
        <v>20698</v>
      </c>
      <c r="C10370" s="1">
        <v>1</v>
      </c>
      <c r="D10370" s="1" t="str">
        <f>"08765"</f>
        <v>08765</v>
      </c>
      <c r="E10370" s="1" t="s">
        <v>331</v>
      </c>
      <c r="F10370" s="1">
        <v>14</v>
      </c>
      <c r="G10370" s="1">
        <v>7</v>
      </c>
      <c r="H10370" s="1">
        <v>0</v>
      </c>
      <c r="I10370" s="1" t="s">
        <v>20633</v>
      </c>
      <c r="K10370" s="1" t="str">
        <f t="shared" si="641"/>
        <v>ㄕ</v>
      </c>
      <c r="M10370" s="1" t="str">
        <f t="shared" si="640"/>
        <v/>
      </c>
      <c r="N10370" s="3" t="s">
        <v>30574</v>
      </c>
      <c r="O10370" s="3"/>
      <c r="P10370" s="1" t="s">
        <v>20</v>
      </c>
      <c r="R10370" s="1" t="s">
        <v>20634</v>
      </c>
      <c r="V10370" s="1" t="s">
        <v>20699</v>
      </c>
      <c r="AR10370" s="1" t="str">
        <f t="shared" si="638"/>
        <v>| [ㄕˋ](ㄕˋ.md) | [誓](誓.md) |  | shì | [名]
表明決心、矢志不渝的言詞。如：「立誓」、「發誓」、「山盟海誓」。《詩經．衛風．氓》：「信誓旦旦，不思其反。」
[動]
告誡。如：「誓師」。《書經．泰誓下》：「王乃大巡六師，明誓眾士。」《國語．越語上》：「句踐既許之，乃致其眾而誓之。」
[副]
1.絕對。如：「誓不兩立」、「誓不甘休」。
2.受命。《周禮．春官．典命》：「凡諸侯之適子，誓于天子攝其君。」 |</v>
      </c>
    </row>
    <row r="10371" spans="1:44" hidden="1">
      <c r="A10371" s="1" t="s">
        <v>19397</v>
      </c>
      <c r="C10371" s="1">
        <v>1</v>
      </c>
      <c r="D10371" s="1" t="str">
        <f>"08766"</f>
        <v>08766</v>
      </c>
      <c r="E10371" s="1" t="s">
        <v>4293</v>
      </c>
      <c r="F10371" s="1">
        <v>11</v>
      </c>
      <c r="G10371" s="1">
        <v>4</v>
      </c>
      <c r="H10371" s="1">
        <v>1</v>
      </c>
      <c r="I10371" s="1" t="s">
        <v>20633</v>
      </c>
      <c r="K10371" s="1" t="str">
        <f t="shared" si="641"/>
        <v>ㄕ</v>
      </c>
      <c r="M10371" s="1" t="str">
        <f t="shared" si="640"/>
        <v/>
      </c>
      <c r="N10371" s="3" t="s">
        <v>30574</v>
      </c>
      <c r="O10371" s="3"/>
      <c r="P10371" s="1" t="s">
        <v>186</v>
      </c>
      <c r="R10371" s="1" t="s">
        <v>20634</v>
      </c>
      <c r="V10371" s="1" t="s">
        <v>20700</v>
      </c>
      <c r="W10371" s="1" t="s">
        <v>20701</v>
      </c>
      <c r="AR10371" s="1" t="str">
        <f t="shared" ref="AR10371:AR10434" si="642">"| ["&amp;I10371&amp;"]("&amp;I10371&amp;".md) | ["&amp;A10371&amp;"]("&amp;A10371&amp;".md) | "&amp;" | "&amp;R10371&amp;" | "&amp;V10371&amp;" |"</f>
        <v>| [ㄕˋ](ㄕˋ.md) | [豉](豉.md) |  | shì | [名]
1.動物名。一種浮游在水面的蟲。體大如豆，顏色黑亮。
2.豆豉的豉的又音。 |</v>
      </c>
    </row>
    <row r="10372" spans="1:44" hidden="1">
      <c r="A10372" s="1" t="s">
        <v>20702</v>
      </c>
      <c r="C10372" s="1">
        <v>1</v>
      </c>
      <c r="D10372" s="1" t="str">
        <f>"08767"</f>
        <v>08767</v>
      </c>
      <c r="E10372" s="1" t="s">
        <v>1015</v>
      </c>
      <c r="F10372" s="1">
        <v>13</v>
      </c>
      <c r="G10372" s="1">
        <v>8</v>
      </c>
      <c r="H10372" s="1">
        <v>0</v>
      </c>
      <c r="I10372" s="1" t="s">
        <v>20633</v>
      </c>
      <c r="K10372" s="1" t="str">
        <f t="shared" si="641"/>
        <v>ㄕ</v>
      </c>
      <c r="M10372" s="1" t="str">
        <f t="shared" si="640"/>
        <v/>
      </c>
      <c r="N10372" s="3" t="s">
        <v>30574</v>
      </c>
      <c r="O10372" s="3"/>
      <c r="P10372" s="1" t="s">
        <v>20</v>
      </c>
      <c r="R10372" s="1" t="s">
        <v>20634</v>
      </c>
      <c r="V10372" s="1" t="s">
        <v>20703</v>
      </c>
      <c r="AR10372" s="1" t="str">
        <f t="shared" si="642"/>
        <v>| [ㄕˋ](ㄕˋ.md) | [睗](睗.md) |  | shì | [動]
疾視。《說文解字．目部》：「睗，目疾視也。」《文選．左思．吳都賦》：「忘其所以睒睗，失其所以去就。」 |</v>
      </c>
    </row>
    <row r="10373" spans="1:44" hidden="1">
      <c r="A10373" s="1" t="s">
        <v>20704</v>
      </c>
      <c r="C10373" s="1">
        <v>1</v>
      </c>
      <c r="D10373" s="1" t="str">
        <f>"08768"</f>
        <v>08768</v>
      </c>
      <c r="E10373" s="1" t="s">
        <v>28</v>
      </c>
      <c r="F10373" s="1">
        <v>13</v>
      </c>
      <c r="G10373" s="1">
        <v>10</v>
      </c>
      <c r="H10373" s="1">
        <v>0</v>
      </c>
      <c r="I10373" s="1" t="s">
        <v>20633</v>
      </c>
      <c r="K10373" s="1" t="str">
        <f t="shared" si="641"/>
        <v>ㄕ</v>
      </c>
      <c r="M10373" s="1" t="str">
        <f t="shared" si="640"/>
        <v/>
      </c>
      <c r="N10373" s="3" t="s">
        <v>30574</v>
      </c>
      <c r="O10373" s="3"/>
      <c r="P10373" s="1" t="s">
        <v>20</v>
      </c>
      <c r="R10373" s="1" t="s">
        <v>20634</v>
      </c>
      <c r="V10373" s="1" t="s">
        <v>20705</v>
      </c>
      <c r="AR10373" s="1" t="str">
        <f t="shared" si="642"/>
        <v>| [ㄕˋ](ㄕˋ.md) | [嗜](嗜.md) |  | shì | [動]
1.喜愛、愛好。如：「嗜賭」、「嗜酒如命」。《聊齋志異．卷七．宦娘》：「溫如春，秦之世家也，少癖嗜琴，雖逆旅未嘗暫舍。」
2.貪求、貪愛。《國語．楚語下》：「吾聞國家將敗，必用姦人，而嗜其疾味。」唐．柳宗元〈蝜蝂傳〉：「今世之嗜取者，遇貨不避，以厚其室。」 |</v>
      </c>
    </row>
    <row r="10374" spans="1:44" hidden="1">
      <c r="A10374" s="1" t="s">
        <v>20706</v>
      </c>
      <c r="C10374" s="1">
        <v>1</v>
      </c>
      <c r="D10374" s="1" t="str">
        <f>"08769"</f>
        <v>08769</v>
      </c>
      <c r="E10374" s="1" t="s">
        <v>49</v>
      </c>
      <c r="F10374" s="1">
        <v>13</v>
      </c>
      <c r="G10374" s="1">
        <v>7</v>
      </c>
      <c r="H10374" s="1">
        <v>0</v>
      </c>
      <c r="I10374" s="1" t="s">
        <v>20633</v>
      </c>
      <c r="K10374" s="1" t="str">
        <f t="shared" si="641"/>
        <v>ㄕ</v>
      </c>
      <c r="M10374" s="1" t="str">
        <f t="shared" si="640"/>
        <v/>
      </c>
      <c r="N10374" s="3" t="s">
        <v>30574</v>
      </c>
      <c r="O10374" s="3"/>
      <c r="P10374" s="1" t="s">
        <v>20</v>
      </c>
      <c r="R10374" s="1" t="s">
        <v>20634</v>
      </c>
      <c r="V10374" s="1" t="s">
        <v>20707</v>
      </c>
      <c r="AR10374" s="1" t="str">
        <f t="shared" si="642"/>
        <v>| [ㄕˋ](ㄕˋ.md) | [筮](筮.md) |  | shì | [名]
古代用蓍草占卜吉凶的方法。《左傳．僖公四年》：「卜人曰：『筮短龜長，不如從長。』」
[動]
占卜。唐．王勃〈益州夫子廟碑〉：「鳳德鉤深，玉策筮亡秦之兆。」 |</v>
      </c>
    </row>
    <row r="10375" spans="1:44" hidden="1">
      <c r="A10375" s="1" t="s">
        <v>20708</v>
      </c>
      <c r="C10375" s="1">
        <v>1</v>
      </c>
      <c r="D10375" s="1" t="str">
        <f>"08770"</f>
        <v>08770</v>
      </c>
      <c r="E10375" s="1" t="s">
        <v>129</v>
      </c>
      <c r="F10375" s="1">
        <v>16</v>
      </c>
      <c r="G10375" s="1">
        <v>13</v>
      </c>
      <c r="H10375" s="1">
        <v>0</v>
      </c>
      <c r="I10375" s="1" t="s">
        <v>20633</v>
      </c>
      <c r="K10375" s="1" t="str">
        <f t="shared" si="641"/>
        <v>ㄕ</v>
      </c>
      <c r="M10375" s="1" t="str">
        <f t="shared" si="640"/>
        <v/>
      </c>
      <c r="N10375" s="3" t="s">
        <v>30574</v>
      </c>
      <c r="O10375" s="3"/>
      <c r="P10375" s="1" t="s">
        <v>20</v>
      </c>
      <c r="R10375" s="1" t="s">
        <v>20634</v>
      </c>
      <c r="V10375" s="1" t="s">
        <v>20709</v>
      </c>
      <c r="AR10375" s="1" t="str">
        <f t="shared" si="642"/>
        <v>| [ㄕˋ](ㄕˋ.md) | [澨](澨.md) |  | shì | [名]
1.堤防。《說文解字．水部》：「澨，埤增水邊土，人所止者。」
2.水邊、岸邊。《楚辭．屈原．九歌．湘夫人》：「朝馳余馬兮江皋，夕濟兮西澨。」《文選．潘岳．秋興賦》：「泉涌湍於石間兮，菊揚芳於崖澨。」
3.河川名。即澨水。源出於今大陸地區湖北省京山縣的潼泉山，東流入漢水。 |</v>
      </c>
    </row>
    <row r="10376" spans="1:44" hidden="1">
      <c r="A10376" s="1" t="s">
        <v>20710</v>
      </c>
      <c r="C10376" s="1">
        <v>1</v>
      </c>
      <c r="D10376" s="1" t="str">
        <f>"08771"</f>
        <v>08771</v>
      </c>
      <c r="E10376" s="1" t="s">
        <v>28</v>
      </c>
      <c r="F10376" s="1">
        <v>16</v>
      </c>
      <c r="G10376" s="1">
        <v>13</v>
      </c>
      <c r="H10376" s="1">
        <v>0</v>
      </c>
      <c r="I10376" s="1" t="s">
        <v>20633</v>
      </c>
      <c r="K10376" s="1" t="str">
        <f t="shared" si="641"/>
        <v>ㄕ</v>
      </c>
      <c r="M10376" s="1" t="str">
        <f t="shared" si="640"/>
        <v/>
      </c>
      <c r="N10376" s="3" t="s">
        <v>30574</v>
      </c>
      <c r="O10376" s="3"/>
      <c r="P10376" s="1" t="s">
        <v>20</v>
      </c>
      <c r="R10376" s="1" t="s">
        <v>20634</v>
      </c>
      <c r="V10376" s="1" t="s">
        <v>20711</v>
      </c>
      <c r="AR10376" s="1" t="str">
        <f t="shared" si="642"/>
        <v>| [ㄕˋ](ㄕˋ.md) | [噬](噬.md) |  | shì | [動]
1.咬、吃。如：「吞噬」。《左傳．哀公十二年》：「國狗之瘈，無不噬也。」唐．柳宗元〈三戒．黔之驢〉：「他日，驢一鳴，虎大駭遠遁，以為且噬己也，甚恐。」
2.侵吞、侵占。唐．狄仁傑〈檄告西楚霸王文〉：「自祖龍御宇，橫噬諸侯。」 |</v>
      </c>
    </row>
    <row r="10377" spans="1:44" hidden="1">
      <c r="A10377" s="1" t="s">
        <v>20712</v>
      </c>
      <c r="C10377" s="1">
        <v>1</v>
      </c>
      <c r="D10377" s="1" t="str">
        <f>"08772"</f>
        <v>08772</v>
      </c>
      <c r="E10377" s="1" t="s">
        <v>49</v>
      </c>
      <c r="F10377" s="1">
        <v>18</v>
      </c>
      <c r="G10377" s="1">
        <v>12</v>
      </c>
      <c r="H10377" s="1">
        <v>0</v>
      </c>
      <c r="I10377" s="1" t="s">
        <v>20633</v>
      </c>
      <c r="K10377" s="1" t="str">
        <f t="shared" si="641"/>
        <v>ㄕ</v>
      </c>
      <c r="M10377" s="1" t="str">
        <f t="shared" si="640"/>
        <v/>
      </c>
      <c r="N10377" s="3" t="s">
        <v>30574</v>
      </c>
      <c r="O10377" s="3"/>
      <c r="P10377" s="1" t="s">
        <v>20</v>
      </c>
      <c r="R10377" s="1" t="s">
        <v>20634</v>
      </c>
      <c r="V10377" s="1" t="s">
        <v>20713</v>
      </c>
      <c r="AR10377" s="1" t="str">
        <f t="shared" si="642"/>
        <v>| [ㄕˋ](ㄕˋ.md) | [簭](簭.md) |  | shì | [名]
以蓍草占卜的方法。同「筮」。《周禮．春官．簭人》：「簭人掌三易，以辨九簭之名。」
[動]
咬。通「噬」。《周禮．冬官考工記．梓人》：「凡㩴閷援簭之類，必深其爪，出其目，作其鱗之而。」唐．賈公彥．疏：「云㩴閷者，㩴著則殺之，援攬則噬之。」 |</v>
      </c>
    </row>
    <row r="10378" spans="1:44" hidden="1">
      <c r="A10378" s="1" t="s">
        <v>20714</v>
      </c>
      <c r="C10378" s="1">
        <v>1</v>
      </c>
      <c r="D10378" s="1" t="str">
        <f>"08773"</f>
        <v>08773</v>
      </c>
      <c r="E10378" s="1" t="s">
        <v>193</v>
      </c>
      <c r="F10378" s="1">
        <v>13</v>
      </c>
      <c r="G10378" s="1">
        <v>5</v>
      </c>
      <c r="H10378" s="1">
        <v>0</v>
      </c>
      <c r="I10378" s="1" t="s">
        <v>20633</v>
      </c>
      <c r="K10378" s="1" t="str">
        <f t="shared" si="641"/>
        <v>ㄕ</v>
      </c>
      <c r="M10378" s="1" t="str">
        <f t="shared" si="640"/>
        <v/>
      </c>
      <c r="N10378" s="3" t="s">
        <v>30574</v>
      </c>
      <c r="O10378" s="3"/>
      <c r="P10378" s="1" t="s">
        <v>20</v>
      </c>
      <c r="R10378" s="1" t="s">
        <v>20634</v>
      </c>
      <c r="V10378" s="1" t="s">
        <v>20715</v>
      </c>
      <c r="AR10378" s="1" t="str">
        <f t="shared" si="642"/>
        <v>| [ㄕˋ](ㄕˋ.md) | [飾](飾.md) |  | shì | [動]
1.裝扮、打扮。《說文解字．巾部》「飾」字．清．段玉裁．注：「凡踵事增華皆謂之飾。」如：「修飾」、「裝飾」。
2.遮掩、偽裝。如：「掩飾」、「粉飾太平」、「文過飾非」。《漢書．卷五八．公孫弘傳》：「夫以三公為布被，誠飾詐欲以釣名。」
3.假託。參見「飾詞」2.條。
4.刷洗清潔。通「拭」。《周禮．地官．封人》：「凡祭祀，飾其牛牲。」
5.整治。通「飭」。《穀梁傳．襄公二十五年》：「古者大國過小邑，小邑必飾城而請罪，禮也。」晉．范甯．注：「飾城者，修守備。」
6.扮演。如：「這齣戲由他飾演主角。」
[名]
1.服裝。如：「服飾」。《左傳．昭公元年》：「子晳盛飾入，布幣而出。」
2.用來裝扮的物品。如：「首飾」、「衣飾」、「髮飾」。 |</v>
      </c>
    </row>
    <row r="10379" spans="1:44" hidden="1">
      <c r="A10379" s="1" t="s">
        <v>5182</v>
      </c>
      <c r="C10379" s="1">
        <v>1</v>
      </c>
      <c r="D10379" s="1" t="str">
        <f>"08774"</f>
        <v>08774</v>
      </c>
      <c r="E10379" s="1" t="s">
        <v>558</v>
      </c>
      <c r="F10379" s="1">
        <v>15</v>
      </c>
      <c r="G10379" s="1">
        <v>11</v>
      </c>
      <c r="H10379" s="1">
        <v>1</v>
      </c>
      <c r="I10379" s="1" t="s">
        <v>20633</v>
      </c>
      <c r="K10379" s="1" t="str">
        <f t="shared" si="641"/>
        <v>ㄕ</v>
      </c>
      <c r="M10379" s="1" t="str">
        <f t="shared" si="640"/>
        <v/>
      </c>
      <c r="N10379" s="3" t="s">
        <v>30574</v>
      </c>
      <c r="O10379" s="3"/>
      <c r="P10379" s="1" t="s">
        <v>20</v>
      </c>
      <c r="R10379" s="1" t="s">
        <v>20634</v>
      </c>
      <c r="V10379" s="1" t="s">
        <v>20716</v>
      </c>
      <c r="W10379" s="1" t="s">
        <v>20717</v>
      </c>
      <c r="AR10379" s="1" t="str">
        <f t="shared" si="642"/>
        <v>| [ㄕˋ](ㄕˋ.md) | [適](適.md) |  | shì | [形]
舒服、自得。如：「舒適」、「安適」。
[動]
1.往、至。《論語．子路》：「子適衛，冉有僕。」
2.女子出嫁。《文選．潘岳．寡婦賦》：「少喪父母，適人而所天又殞。」宋．歐陽修〈江鄰幾墓誌銘〉：「女三人，長適祕書丞蕃蹭。」
3.相合、相當。《後漢書．卷六二．荀爽傳》：「截趾適履，孰云其愚！」宋．蘇軾〈答莫提刑啟〉：「得請江湖，雖適平生之願。」
4.順從。《樂府詩集．卷七三．雜曲歌辭十三．古辭．焦仲卿妻》：「處分適兄意，那得自任專？」
5.貶謫。同「謫」。《漢書．卷八八．儒林傳．序》：「陳涉起匹夫，敺適戍以立號，不滿歲而滅亡。」
[副]
1.僅、只。《戰國策．秦策二》：「疑臣者不適三人。」
2.偶然、偶爾。《聊齋志異．卷一．賈兒》：「適從父入市，見帽肆挂狐尾，乞翁市之。」
3.剛才。如：「適才」。《韓非子．內儲》：「王適有言，必可從命。」
4.恰巧。《史記．卷一〇七．灌夫傳》：「夫身中大創十餘，適有萬金良藥，故得無死。」 |</v>
      </c>
    </row>
    <row r="10380" spans="1:44" hidden="1">
      <c r="A10380" s="1" t="s">
        <v>20718</v>
      </c>
      <c r="C10380" s="1">
        <v>1</v>
      </c>
      <c r="D10380" s="1" t="str">
        <f>"08775"</f>
        <v>08775</v>
      </c>
      <c r="E10380" s="1" t="s">
        <v>563</v>
      </c>
      <c r="F10380" s="1">
        <v>15</v>
      </c>
      <c r="G10380" s="1">
        <v>12</v>
      </c>
      <c r="H10380" s="1">
        <v>0</v>
      </c>
      <c r="I10380" s="1" t="s">
        <v>20633</v>
      </c>
      <c r="K10380" s="1" t="str">
        <f t="shared" si="641"/>
        <v>ㄕ</v>
      </c>
      <c r="M10380" s="1" t="str">
        <f t="shared" si="640"/>
        <v/>
      </c>
      <c r="N10380" s="3" t="s">
        <v>30574</v>
      </c>
      <c r="O10380" s="3"/>
      <c r="P10380" s="1" t="s">
        <v>20</v>
      </c>
      <c r="R10380" s="1" t="s">
        <v>20634</v>
      </c>
      <c r="V10380" s="1" t="s">
        <v>20719</v>
      </c>
      <c r="AR10380" s="1" t="str">
        <f t="shared" si="642"/>
        <v>| [ㄕˋ](ㄕˋ.md) | [奭](奭.md) |  | shì | [形]
1.盛、大。《說文解字．皕部》：「奭，盛也。」《商君書．墾令》：「然則商賈少，民不能喜酣奭，大臣不為荒飽。」
2.驚視的樣子。《廣韻．入聲．昔韻》：「奭，驚視貌。」
[動]
發怒、惱怒。《漢書．卷五二．竇嬰傳》：「有如兩宮奭將軍，則妻子無類矣。」
[名]
1.用茜草染成的紅色。《詩經．小雅．采芑》：「四騏翼翼，路車有奭。」
2.姓。如漢代有奭偉。 |</v>
      </c>
    </row>
    <row r="10381" spans="1:44" hidden="1">
      <c r="A10381" s="1" t="s">
        <v>20720</v>
      </c>
      <c r="C10381" s="1">
        <v>1</v>
      </c>
      <c r="D10381" s="1" t="str">
        <f>"08776"</f>
        <v>08776</v>
      </c>
      <c r="E10381" s="1" t="s">
        <v>340</v>
      </c>
      <c r="F10381" s="1">
        <v>21</v>
      </c>
      <c r="G10381" s="1">
        <v>15</v>
      </c>
      <c r="H10381" s="1">
        <v>0</v>
      </c>
      <c r="I10381" s="1" t="s">
        <v>20633</v>
      </c>
      <c r="K10381" s="1" t="str">
        <f t="shared" si="641"/>
        <v>ㄕ</v>
      </c>
      <c r="M10381" s="1" t="str">
        <f t="shared" si="640"/>
        <v/>
      </c>
      <c r="N10381" s="3" t="s">
        <v>30574</v>
      </c>
      <c r="O10381" s="3"/>
      <c r="P10381" s="1" t="s">
        <v>20</v>
      </c>
      <c r="R10381" s="1" t="s">
        <v>20634</v>
      </c>
      <c r="V10381" s="1" t="s">
        <v>348</v>
      </c>
      <c r="AR10381" s="1" t="str">
        <f t="shared" si="642"/>
        <v>| [ㄕˋ](ㄕˋ.md) | [襫](襫.md) |  | shì | 參見「襏襫」條。 |</v>
      </c>
    </row>
    <row r="10382" spans="1:44" hidden="1">
      <c r="A10382" s="1" t="s">
        <v>20721</v>
      </c>
      <c r="C10382" s="1">
        <v>1</v>
      </c>
      <c r="D10382" s="1" t="str">
        <f>"08777"</f>
        <v>08777</v>
      </c>
      <c r="E10382" s="1" t="s">
        <v>114</v>
      </c>
      <c r="F10382" s="1">
        <v>15</v>
      </c>
      <c r="G10382" s="1">
        <v>13</v>
      </c>
      <c r="H10382" s="1">
        <v>0</v>
      </c>
      <c r="I10382" s="1" t="s">
        <v>20633</v>
      </c>
      <c r="K10382" s="1" t="str">
        <f t="shared" si="641"/>
        <v>ㄕ</v>
      </c>
      <c r="M10382" s="1" t="str">
        <f t="shared" si="640"/>
        <v/>
      </c>
      <c r="N10382" s="3" t="s">
        <v>30574</v>
      </c>
      <c r="O10382" s="3"/>
      <c r="P10382" s="1" t="s">
        <v>20</v>
      </c>
      <c r="R10382" s="1" t="s">
        <v>20634</v>
      </c>
      <c r="V10382" s="1" t="s">
        <v>20722</v>
      </c>
      <c r="AR10382" s="1" t="str">
        <f t="shared" si="642"/>
        <v>| [ㄕˋ](ㄕˋ.md) | [僿](僿.md) |  | shì | [名]
無義氣、沒有誠意。《集韻．去聲．代韻》：「僿，無悃誠也。」《史記．卷八．高祖本紀》：「救僿莫若以忠。」 |</v>
      </c>
    </row>
    <row r="10383" spans="1:44" hidden="1">
      <c r="A10383" s="1" t="s">
        <v>20723</v>
      </c>
      <c r="C10383" s="1">
        <v>1</v>
      </c>
      <c r="D10383" s="1" t="str">
        <f>"08778"</f>
        <v>08778</v>
      </c>
      <c r="E10383" s="1" t="s">
        <v>331</v>
      </c>
      <c r="F10383" s="1">
        <v>16</v>
      </c>
      <c r="G10383" s="1">
        <v>9</v>
      </c>
      <c r="H10383" s="1">
        <v>0</v>
      </c>
      <c r="I10383" s="1" t="s">
        <v>20633</v>
      </c>
      <c r="K10383" s="1" t="str">
        <f t="shared" si="641"/>
        <v>ㄕ</v>
      </c>
      <c r="M10383" s="1" t="str">
        <f t="shared" si="640"/>
        <v/>
      </c>
      <c r="N10383" s="3" t="s">
        <v>30574</v>
      </c>
      <c r="O10383" s="3"/>
      <c r="P10383" s="1" t="s">
        <v>20</v>
      </c>
      <c r="R10383" s="1" t="s">
        <v>20634</v>
      </c>
      <c r="V10383" s="1" t="s">
        <v>20724</v>
      </c>
      <c r="AR10383" s="1" t="str">
        <f t="shared" si="642"/>
        <v>| [ㄕˋ](ㄕˋ.md) | [諡](諡.md) |  | shì | [名]
古代禮制，依死者生前功過和品德所給予的稱號，多用於貴族、大臣和曾任官職的文人、學者。《說文解字．言部》：「諡，行之跡也。」《禮記．樂記》：「故觀其舞，知其德，聞其諡，知其行也。」
[動]
加諡號。《左傳．宣公十年》：「改葬幽公，諡之曰靈。」 |</v>
      </c>
    </row>
    <row r="10384" spans="1:44" hidden="1">
      <c r="A10384" s="1" t="s">
        <v>18123</v>
      </c>
      <c r="C10384" s="1">
        <v>1</v>
      </c>
      <c r="D10384" s="1" t="str">
        <f>"08779"</f>
        <v>08779</v>
      </c>
      <c r="E10384" s="1" t="s">
        <v>679</v>
      </c>
      <c r="F10384" s="1">
        <v>17</v>
      </c>
      <c r="G10384" s="1">
        <v>11</v>
      </c>
      <c r="H10384" s="1">
        <v>2</v>
      </c>
      <c r="I10384" s="1" t="s">
        <v>20633</v>
      </c>
      <c r="K10384" s="1" t="str">
        <f t="shared" si="641"/>
        <v>ㄕ</v>
      </c>
      <c r="M10384" s="1" t="str">
        <f t="shared" si="640"/>
        <v/>
      </c>
      <c r="N10384" s="3" t="s">
        <v>30574</v>
      </c>
      <c r="O10384" s="3"/>
      <c r="P10384" s="1" t="s">
        <v>186</v>
      </c>
      <c r="R10384" s="1" t="s">
        <v>20634</v>
      </c>
      <c r="V10384" s="1" t="s">
        <v>206</v>
      </c>
      <c r="W10384" s="1" t="s">
        <v>20725</v>
      </c>
      <c r="AR10384" s="1" t="str">
        <f t="shared" si="642"/>
        <v>| [ㄕˋ](ㄕˋ.md) | [螫](螫.md) |  | shì | (一)之讀音。 |</v>
      </c>
    </row>
    <row r="10385" spans="1:44" hidden="1">
      <c r="A10385" s="1" t="s">
        <v>17968</v>
      </c>
      <c r="C10385" s="1">
        <v>1</v>
      </c>
      <c r="D10385" s="1" t="str">
        <f>"08780"</f>
        <v>08780</v>
      </c>
      <c r="E10385" s="1" t="s">
        <v>331</v>
      </c>
      <c r="F10385" s="1">
        <v>19</v>
      </c>
      <c r="G10385" s="1">
        <v>12</v>
      </c>
      <c r="H10385" s="1">
        <v>1</v>
      </c>
      <c r="I10385" s="1" t="s">
        <v>20633</v>
      </c>
      <c r="K10385" s="1" t="str">
        <f t="shared" si="641"/>
        <v>ㄕ</v>
      </c>
      <c r="M10385" s="1" t="str">
        <f t="shared" si="640"/>
        <v/>
      </c>
      <c r="N10385" s="3" t="s">
        <v>30574</v>
      </c>
      <c r="O10385" s="3"/>
      <c r="P10385" s="1" t="s">
        <v>20</v>
      </c>
      <c r="R10385" s="1" t="s">
        <v>20634</v>
      </c>
      <c r="V10385" s="1" t="s">
        <v>20726</v>
      </c>
      <c r="W10385" s="1" t="s">
        <v>20727</v>
      </c>
      <c r="AR10385" s="1" t="str">
        <f t="shared" si="642"/>
        <v>| [ㄕˋ](ㄕˋ.md) | [識](識.md) |  | shì | [名]
1.見解、見聞。如：「見識」、「遠識」、「才識」、「膽識」。
2.事物的道理。如：「知識」、「常識」。
3.思想、內在思維。如：「意識」。《南史．卷四．齊武帝本紀》：「我識滅後，身上著夏衣、畫天衣。」
4.知己、朋友。《梁書．卷九．王茂傳》：「茂年數歲，為大父深所異，常謂親識曰：『此吾家之千里駒。』」唐．劉禹錫〈元日感懷〉詩：「異鄉無舊識，車馬到門稀。」
[動]
知道、了解。如：「素不相識」、「有眼不識泰山」。唐．白居易〈琵琶行〉：「同是天涯淪落人，相逢何必曾相識。」
[副]
剛才。通「適」。《左傳．成公十六年》：「識見不穀而趨，無乃傷乎？」 |</v>
      </c>
    </row>
    <row r="10386" spans="1:44" hidden="1">
      <c r="A10386" s="1" t="s">
        <v>20728</v>
      </c>
      <c r="C10386" s="1">
        <v>1</v>
      </c>
      <c r="D10386" s="1" t="str">
        <f>"08781"</f>
        <v>08781</v>
      </c>
      <c r="E10386" s="1" t="s">
        <v>1299</v>
      </c>
      <c r="F10386" s="1">
        <v>20</v>
      </c>
      <c r="G10386" s="1">
        <v>13</v>
      </c>
      <c r="H10386" s="1">
        <v>0</v>
      </c>
      <c r="I10386" s="1" t="s">
        <v>20633</v>
      </c>
      <c r="K10386" s="1" t="str">
        <f t="shared" si="641"/>
        <v>ㄕ</v>
      </c>
      <c r="M10386" s="1" t="str">
        <f t="shared" ref="M10386:M10449" si="643">MID(I10386, 3, 1)</f>
        <v/>
      </c>
      <c r="N10386" s="3" t="s">
        <v>30574</v>
      </c>
      <c r="O10386" s="3"/>
      <c r="P10386" s="1" t="s">
        <v>20</v>
      </c>
      <c r="R10386" s="1" t="s">
        <v>20634</v>
      </c>
      <c r="V10386" s="1" t="s">
        <v>20729</v>
      </c>
      <c r="AR10386" s="1" t="str">
        <f t="shared" si="642"/>
        <v>| [ㄕˋ](ㄕˋ.md) | [釋](釋.md) |  | shì | [名]
1.佛教始祖釋迦牟尼的簡稱。唐．王勃〈彭州九隴縣龍懷寺碑〉：「十千天子，新朝帝釋之宮。」
2.泛稱佛教。明．徐弘祖《徐霞客遊記．卷八下．滇遊日記九》：「他處皆釋盛於道，而此獨反之。」
3.姓。如南朝梁有釋道安。
[動]
1.解說、說明。如：「解釋」、「注釋」、「詮釋」。
2.解除、消散。如：「釋懷」、「冰釋」、「如釋重負」、「盡釋前嫌」。《國語．晉語四》：「遂伐曹、衛，出穀戍，釋宋圍。」
3.放開、赦免。如：「釋放」、「開釋」、「保釋」。漢．王充《論衡．變虛》：「方伯聞其言，釋其罪，委之去乎？」
4.放棄、捨去。《左傳．昭公二十六年》：「諸侯釋位，以間王政。」《史記．卷九七．酈生傳》：「農夫釋耒，工女下機。」
5.脫下。如：「釋甲」。《漢書．卷六八．霍光傳》：「食監奏未釋服，未可御故食。」唐．顏師古．注：「釋，謂解脫也。」 |</v>
      </c>
    </row>
    <row r="10387" spans="1:44" hidden="1">
      <c r="A10387" s="1" t="s">
        <v>20567</v>
      </c>
      <c r="C10387" s="1">
        <v>1</v>
      </c>
      <c r="D10387" s="1" t="str">
        <f>"08706"</f>
        <v>08706</v>
      </c>
      <c r="E10387" s="1" t="s">
        <v>286</v>
      </c>
      <c r="F10387" s="1">
        <v>2</v>
      </c>
      <c r="G10387" s="1">
        <v>0</v>
      </c>
      <c r="H10387" s="1">
        <v>0</v>
      </c>
      <c r="I10387" s="1" t="s">
        <v>20568</v>
      </c>
      <c r="K10387" s="1" t="str">
        <f t="shared" si="641"/>
        <v>ㄕ</v>
      </c>
      <c r="M10387" s="1" t="str">
        <f t="shared" si="643"/>
        <v/>
      </c>
      <c r="N10387" s="3" t="s">
        <v>30575</v>
      </c>
      <c r="O10387" s="3"/>
      <c r="P10387" s="1" t="s">
        <v>20</v>
      </c>
      <c r="R10387" s="1" t="s">
        <v>20569</v>
      </c>
      <c r="V10387" s="1" t="s">
        <v>20570</v>
      </c>
      <c r="AR10387" s="1" t="str">
        <f t="shared" si="642"/>
        <v>| [ㄕˊ](ㄕˊ.md) | [十](十.md) |  | shí | [名]
1.數目字，為九加一的總和。大寫為「拾」，阿拉伯數字作「10」。
2.二一四部首之一。
[副]
滿足、完滿。如：「十足」、「十全十美」。 |</v>
      </c>
    </row>
    <row r="10388" spans="1:44" hidden="1">
      <c r="A10388" s="1" t="s">
        <v>20571</v>
      </c>
      <c r="C10388" s="1">
        <v>1</v>
      </c>
      <c r="D10388" s="1" t="str">
        <f>"08707"</f>
        <v>08707</v>
      </c>
      <c r="E10388" s="1" t="s">
        <v>114</v>
      </c>
      <c r="F10388" s="1">
        <v>4</v>
      </c>
      <c r="G10388" s="1">
        <v>2</v>
      </c>
      <c r="H10388" s="1">
        <v>1</v>
      </c>
      <c r="I10388" s="1" t="s">
        <v>20568</v>
      </c>
      <c r="K10388" s="1" t="str">
        <f t="shared" si="641"/>
        <v>ㄕ</v>
      </c>
      <c r="M10388" s="1" t="str">
        <f t="shared" si="643"/>
        <v/>
      </c>
      <c r="N10388" s="3" t="s">
        <v>30575</v>
      </c>
      <c r="O10388" s="3"/>
      <c r="P10388" s="1" t="s">
        <v>20</v>
      </c>
      <c r="R10388" s="1" t="s">
        <v>20569</v>
      </c>
      <c r="V10388" s="1" t="s">
        <v>20572</v>
      </c>
      <c r="W10388" s="1" t="s">
        <v>20573</v>
      </c>
      <c r="AR10388" s="1" t="str">
        <f t="shared" si="642"/>
        <v>| [ㄕˊ](ㄕˊ.md) | [什](什.md) |  | shí | [名]
1.數目字。同「十」。如：「什佰」、「什家」。
2.《詩經》中的雅、頌以十篇為一卷，故稱詩篇為「篇什」，簡稱為「什」。如：「佳什」、「篇什」。
3.姓。如後魏有什翼犍。
[形]
數多品雜。《後漢書．卷二七．宣秉傳》：「即賜布帛帳帷什物。」 |</v>
      </c>
    </row>
    <row r="10389" spans="1:44" hidden="1">
      <c r="A10389" s="1" t="s">
        <v>4963</v>
      </c>
      <c r="C10389" s="1">
        <v>1</v>
      </c>
      <c r="D10389" s="1" t="str">
        <f>"08708"</f>
        <v>08708</v>
      </c>
      <c r="E10389" s="1" t="s">
        <v>169</v>
      </c>
      <c r="F10389" s="1">
        <v>5</v>
      </c>
      <c r="G10389" s="1">
        <v>0</v>
      </c>
      <c r="H10389" s="1">
        <v>1</v>
      </c>
      <c r="I10389" s="1" t="s">
        <v>20568</v>
      </c>
      <c r="K10389" s="1" t="str">
        <f t="shared" si="641"/>
        <v>ㄕ</v>
      </c>
      <c r="M10389" s="1" t="str">
        <f t="shared" si="643"/>
        <v/>
      </c>
      <c r="N10389" s="3" t="s">
        <v>30575</v>
      </c>
      <c r="O10389" s="3"/>
      <c r="P10389" s="1" t="s">
        <v>20</v>
      </c>
      <c r="R10389" s="1" t="s">
        <v>20569</v>
      </c>
      <c r="V10389" s="1" t="s">
        <v>20574</v>
      </c>
      <c r="W10389" s="1" t="s">
        <v>20575</v>
      </c>
      <c r="AR10389" s="1" t="str">
        <f t="shared" si="642"/>
        <v>| [ㄕˊ](ㄕˊ.md) | [石](石.md) |  | shí | [名]
1.由礦物集結而成的堅硬塊狀物，是構成地殼的物質。如：「岩石」、「礦石」、「花岡石」。
2.碑、碣。《呂氏春秋．慎行論．求人》：「故功績銘乎金石，著於盤盂。」《史記．卷六．秦始皇本紀》：「乃遂上泰山，立石。」
3.藥石。《左傳．襄公二十三年》：「季孫之愛我，疾疢也；孟孫之惡我，藥石也，美疢不如惡石。」唐．孔穎達．正義：「治病藥分用石。《本草》云：『鍾乳、礬、磁石之類多矣。』」
4.姓。如宋代有石延年。
5.二一四部首之一。
6.中國古代樂器「八音」分類法之一，通常以製作材質來分，此處泛指石類樂器，如磬之屬一類的敲擊樂器。《周禮．春官．大師》：「皆播之以八音：金、石、土、革、絲、木、匏、竹。」 |</v>
      </c>
    </row>
    <row r="10390" spans="1:44" hidden="1">
      <c r="A10390" s="1" t="s">
        <v>20576</v>
      </c>
      <c r="C10390" s="1">
        <v>1</v>
      </c>
      <c r="D10390" s="1" t="str">
        <f>"08709"</f>
        <v>08709</v>
      </c>
      <c r="E10390" s="1" t="s">
        <v>825</v>
      </c>
      <c r="F10390" s="1">
        <v>10</v>
      </c>
      <c r="G10390" s="1">
        <v>5</v>
      </c>
      <c r="H10390" s="1">
        <v>0</v>
      </c>
      <c r="I10390" s="1" t="s">
        <v>20568</v>
      </c>
      <c r="K10390" s="1" t="str">
        <f t="shared" si="641"/>
        <v>ㄕ</v>
      </c>
      <c r="M10390" s="1" t="str">
        <f t="shared" si="643"/>
        <v/>
      </c>
      <c r="N10390" s="3" t="s">
        <v>30575</v>
      </c>
      <c r="O10390" s="3"/>
      <c r="P10390" s="1" t="s">
        <v>20</v>
      </c>
      <c r="R10390" s="1" t="s">
        <v>20569</v>
      </c>
      <c r="V10390" s="1" t="s">
        <v>20577</v>
      </c>
      <c r="AR10390" s="1" t="str">
        <f t="shared" si="642"/>
        <v>| [ㄕˊ](ㄕˊ.md) | [祏](祏.md) |  | shí | [名]
宗廟裡擺放祖先牌位的石室。《玉篇．示部》：「祏，廟主石室也。」《左傳．昭公十八年》：「使祝史徙主祏於周廟，告於先君。」唐．孔穎達．正義：「每廟木主皆以石函盛之，當祭則出之。事畢則納於函，藏於廟之北壁之內，所以辟火災也。」 |</v>
      </c>
    </row>
    <row r="10391" spans="1:44" hidden="1">
      <c r="A10391" s="1" t="s">
        <v>20578</v>
      </c>
      <c r="C10391" s="1">
        <v>1</v>
      </c>
      <c r="D10391" s="1" t="str">
        <f>"08710"</f>
        <v>08710</v>
      </c>
      <c r="E10391" s="1" t="s">
        <v>169</v>
      </c>
      <c r="F10391" s="1">
        <v>14</v>
      </c>
      <c r="G10391" s="1">
        <v>9</v>
      </c>
      <c r="H10391" s="1">
        <v>2</v>
      </c>
      <c r="I10391" s="1" t="s">
        <v>20568</v>
      </c>
      <c r="K10391" s="1" t="str">
        <f t="shared" si="641"/>
        <v>ㄕ</v>
      </c>
      <c r="M10391" s="1" t="str">
        <f t="shared" si="643"/>
        <v/>
      </c>
      <c r="N10391" s="3" t="s">
        <v>30575</v>
      </c>
      <c r="O10391" s="3"/>
      <c r="P10391" s="1" t="s">
        <v>110</v>
      </c>
      <c r="R10391" s="1" t="s">
        <v>20569</v>
      </c>
      <c r="V10391" s="1" t="s">
        <v>111</v>
      </c>
      <c r="W10391" s="1" t="s">
        <v>20579</v>
      </c>
      <c r="AR10391" s="1" t="str">
        <f t="shared" si="642"/>
        <v>| [ㄕˊ](ㄕˊ.md) | [碩](碩.md) |  | shí | (一)之又音。 |</v>
      </c>
    </row>
    <row r="10392" spans="1:44" hidden="1">
      <c r="A10392" s="1" t="s">
        <v>20580</v>
      </c>
      <c r="C10392" s="1">
        <v>1</v>
      </c>
      <c r="D10392" s="1" t="str">
        <f>"08711"</f>
        <v>08711</v>
      </c>
      <c r="E10392" s="1" t="s">
        <v>86</v>
      </c>
      <c r="F10392" s="1">
        <v>18</v>
      </c>
      <c r="G10392" s="1">
        <v>5</v>
      </c>
      <c r="H10392" s="1">
        <v>0</v>
      </c>
      <c r="I10392" s="1" t="s">
        <v>20568</v>
      </c>
      <c r="K10392" s="1" t="str">
        <f t="shared" si="641"/>
        <v>ㄕ</v>
      </c>
      <c r="M10392" s="1" t="str">
        <f t="shared" si="643"/>
        <v/>
      </c>
      <c r="N10392" s="3" t="s">
        <v>30575</v>
      </c>
      <c r="O10392" s="3"/>
      <c r="P10392" s="1" t="s">
        <v>20</v>
      </c>
      <c r="R10392" s="1" t="s">
        <v>20569</v>
      </c>
      <c r="V10392" s="1" t="s">
        <v>20581</v>
      </c>
      <c r="AR10392" s="1" t="str">
        <f t="shared" si="642"/>
        <v>| [ㄕˊ](ㄕˊ.md) | [鼫](鼫.md) |  | shí | [名]
動物名。即鼫鼠。一種外形似兔，短尾、紅眼的鼠。嗜食粟豆，造成田害。 |</v>
      </c>
    </row>
    <row r="10393" spans="1:44" hidden="1">
      <c r="A10393" s="1" t="s">
        <v>20544</v>
      </c>
      <c r="C10393" s="1">
        <v>1</v>
      </c>
      <c r="D10393" s="1" t="str">
        <f>"08712"</f>
        <v>08712</v>
      </c>
      <c r="E10393" s="1" t="s">
        <v>24</v>
      </c>
      <c r="F10393" s="1">
        <v>9</v>
      </c>
      <c r="G10393" s="1">
        <v>6</v>
      </c>
      <c r="H10393" s="1">
        <v>1</v>
      </c>
      <c r="I10393" s="1" t="s">
        <v>20568</v>
      </c>
      <c r="K10393" s="1" t="str">
        <f t="shared" si="641"/>
        <v>ㄕ</v>
      </c>
      <c r="M10393" s="1" t="str">
        <f t="shared" si="643"/>
        <v/>
      </c>
      <c r="N10393" s="3" t="s">
        <v>30575</v>
      </c>
      <c r="O10393" s="3"/>
      <c r="P10393" s="1" t="s">
        <v>20</v>
      </c>
      <c r="R10393" s="1" t="s">
        <v>20569</v>
      </c>
      <c r="V10393" s="1" t="s">
        <v>20582</v>
      </c>
      <c r="W10393" s="1" t="s">
        <v>20583</v>
      </c>
      <c r="AR10393" s="1" t="str">
        <f t="shared" si="642"/>
        <v>| [ㄕˊ](ㄕˊ.md) | [拾](拾.md) |  | shí | [動]
1.撿取、拿起。如：「拾穗」、「拾人牙慧」、「拾金不昧」。《史記．卷四七．孔子世家》：「塗不拾遺。」
2.收集、收斂、整理。如：「把房間收拾乾淨。」
[名]
1.射韝，古代射箭時所用的皮製護袖。也稱為「遂」。《詩經．小雅．車攻》：「決拾既佽，弓矢既調。」漢．毛亨．傳：「決，鉤弦也。拾，遂也。」
2.十的大寫。 |</v>
      </c>
    </row>
    <row r="10394" spans="1:44" hidden="1">
      <c r="A10394" s="1" t="s">
        <v>20584</v>
      </c>
      <c r="C10394" s="1">
        <v>1</v>
      </c>
      <c r="D10394" s="1" t="str">
        <f>"08713"</f>
        <v>08713</v>
      </c>
      <c r="E10394" s="1" t="s">
        <v>193</v>
      </c>
      <c r="F10394" s="1">
        <v>9</v>
      </c>
      <c r="G10394" s="1">
        <v>0</v>
      </c>
      <c r="H10394" s="1">
        <v>1</v>
      </c>
      <c r="I10394" s="1" t="s">
        <v>20568</v>
      </c>
      <c r="K10394" s="1" t="str">
        <f t="shared" si="641"/>
        <v>ㄕ</v>
      </c>
      <c r="M10394" s="1" t="str">
        <f t="shared" si="643"/>
        <v/>
      </c>
      <c r="N10394" s="3" t="s">
        <v>30575</v>
      </c>
      <c r="O10394" s="3"/>
      <c r="P10394" s="1" t="s">
        <v>20</v>
      </c>
      <c r="R10394" s="1" t="s">
        <v>20569</v>
      </c>
      <c r="V10394" s="1" t="s">
        <v>20585</v>
      </c>
      <c r="W10394" s="1" t="s">
        <v>20586</v>
      </c>
      <c r="AR10394" s="1" t="str">
        <f t="shared" si="642"/>
        <v>| [ㄕˊ](ㄕˊ.md) | [食](食.md) |  | shí | [名]_x000D_
1.吃的東西。如：「糧食」、「麵食」、「素食」、「節衣縮食」。《禮記．王制》：「三年耕必有一年之食，九年耕必有三年之食。」《史記．卷九七．酈生陸賈列傳．酈生》：「王者以民人為天，而民人以食為天。」_x000D_
2.生計、俸祿。《論語．衛靈公》：「君子謀道不謀食。」《禮記．坊記》：「故君子與其使食浮於人也，寧使人浮於食。」_x000D_
3.二一四部首之一。_x000D_
[動]_x000D_
1.吃、喝。如：「食髓知味」、「發憤忘食」、「廢寢忘食」。《戰國策．齊策四》：「長鋏歸來乎，食無魚。」《晉書．卷九七．四夷列傳．西戎．大秦國》：「途經大海，海水鹹苦不可食，商客往來皆齎三歲糧，是以至者稀少。」_x000D_
2.賴以為生。《國語．晉語四》：「公食貢，大夫食邑，士食田，庶人食力。」《東周列國志》第八六回：「又公族五世以上者，令自食其力，比於編氓。」《幼學瓊林．卷二．夫婦類》：「冀郤缺夫妻，相敬如賓；陳仲子夫婦，灌園食力。」_x000D_
3.耕種。《周禮．地官司徒．遂師》：「經牧其田野，辨其可食者。」《史記．卷七八．春申君列傳》：「山林谿谷，不食之地也。」_x000D_
4.嚐到、承受。如：「自食惡果」。《漢書．卷一〇〇．敘傳下》：「廣阿之廑，食厥舊德。」《宋史．卷三八六．列傳．范成大》：「上中下溉灌有序，民食其利。」_x000D_
5.消耗、虧損。通「蝕」。《易經．豐卦》：「《彖》曰：日中則昃，月盈則食。」《逸周書．卷九．周祝解》：「故日之中也仄，月之望也食。」《宋史．卷八．真宗本紀三》：「三月戊午朔，日有食之。遣呂夷簡體訪陝、亳民訛言。」_x000D_
6.違背、背棄。參見「食言」條。 |</v>
      </c>
    </row>
    <row r="10395" spans="1:44" hidden="1">
      <c r="A10395" s="1" t="s">
        <v>20587</v>
      </c>
      <c r="C10395" s="1">
        <v>1</v>
      </c>
      <c r="D10395" s="1" t="str">
        <f>"08714"</f>
        <v>08714</v>
      </c>
      <c r="E10395" s="1" t="s">
        <v>679</v>
      </c>
      <c r="F10395" s="1">
        <v>14</v>
      </c>
      <c r="G10395" s="1">
        <v>8</v>
      </c>
      <c r="H10395" s="1">
        <v>0</v>
      </c>
      <c r="I10395" s="1" t="s">
        <v>20568</v>
      </c>
      <c r="K10395" s="1" t="str">
        <f t="shared" si="641"/>
        <v>ㄕ</v>
      </c>
      <c r="M10395" s="1" t="str">
        <f t="shared" si="643"/>
        <v/>
      </c>
      <c r="N10395" s="3" t="s">
        <v>30575</v>
      </c>
      <c r="O10395" s="3"/>
      <c r="P10395" s="1" t="s">
        <v>20</v>
      </c>
      <c r="R10395" s="1" t="s">
        <v>20569</v>
      </c>
      <c r="V10395" s="1" t="s">
        <v>20588</v>
      </c>
      <c r="AR10395" s="1" t="str">
        <f t="shared" si="642"/>
        <v>| [ㄕˊ](ㄕˊ.md) | [蝕](蝕.md) |  | shí | [動]
1.損耗、虧損。如：「侵蝕」、「腐蝕」、「蝕本」。宋．梅堯臣〈劉原甫古錢勸酒〉詩：「精銅不蠹蝕，肉好鉤婉全。」
2.消失、損缺。如：「日全蝕」、「月偏蝕」。 |</v>
      </c>
    </row>
    <row r="10396" spans="1:44" hidden="1">
      <c r="A10396" s="1" t="s">
        <v>20589</v>
      </c>
      <c r="C10396" s="1">
        <v>1</v>
      </c>
      <c r="D10396" s="1" t="str">
        <f>"08715"</f>
        <v>08715</v>
      </c>
      <c r="E10396" s="1" t="s">
        <v>646</v>
      </c>
      <c r="F10396" s="1">
        <v>10</v>
      </c>
      <c r="G10396" s="1">
        <v>6</v>
      </c>
      <c r="H10396" s="1">
        <v>0</v>
      </c>
      <c r="I10396" s="1" t="s">
        <v>20568</v>
      </c>
      <c r="K10396" s="1" t="str">
        <f t="shared" si="641"/>
        <v>ㄕ</v>
      </c>
      <c r="M10396" s="1" t="str">
        <f t="shared" si="643"/>
        <v/>
      </c>
      <c r="N10396" s="3" t="s">
        <v>30575</v>
      </c>
      <c r="O10396" s="3"/>
      <c r="P10396" s="1" t="s">
        <v>20</v>
      </c>
      <c r="R10396" s="1" t="s">
        <v>20569</v>
      </c>
      <c r="V10396" s="1" t="s">
        <v>20590</v>
      </c>
      <c r="AR10396" s="1" t="str">
        <f t="shared" si="642"/>
        <v>| [ㄕˊ](ㄕˊ.md) | [時](時.md) |  | shí | [名]
1.季節。如：「四時」。
2.將一天依十二地支順序，所分成的時段，共有十二個時辰，簡稱為「時」。如：「子時」、「辰時」。
3.一日的二十四分之一。一時有六十分。
4.量詞。計算時間的單位。一時為六十分。如：「這件事不是一時三刻的時間就可以完成。」
5.年代，較長的一段時間。如：「古時」、「盛行一時」。
6.現在或過去的某一時候。如：「此時」、「當時」、「那時」。
7.規定的時刻。如：「按時」、「準時」。
8.歲月、光陰。如：「時不我與」。《呂氏春秋．孝行覽．首時》：「天不再與，時不久留。」
9.機會。如：「失時」、「時機」。《三國演義》第七回：「今不乘時報恨，更待何年！」
10.姓。如明代有時大彬。
[形]
1.因時制宜的、能變通的。《孟子．萬章下》：「孔子，聖之時者也。」
2.當前的、現在的。如：「時事」、「時局」、「時勢」、「時裝」。
[副]
1.經常、常常。如：「時常」。《論語．學而》：「學而時習之，不亦說乎！」
2.偶爾。如：「有時」。 |</v>
      </c>
    </row>
    <row r="10397" spans="1:44" hidden="1">
      <c r="A10397" s="1" t="s">
        <v>20591</v>
      </c>
      <c r="C10397" s="1">
        <v>1</v>
      </c>
      <c r="D10397" s="1" t="str">
        <f>"08716"</f>
        <v>08716</v>
      </c>
      <c r="E10397" s="1" t="s">
        <v>132</v>
      </c>
      <c r="F10397" s="1">
        <v>13</v>
      </c>
      <c r="G10397" s="1">
        <v>10</v>
      </c>
      <c r="H10397" s="1">
        <v>0</v>
      </c>
      <c r="I10397" s="1" t="s">
        <v>20568</v>
      </c>
      <c r="K10397" s="1" t="str">
        <f t="shared" si="641"/>
        <v>ㄕ</v>
      </c>
      <c r="M10397" s="1" t="str">
        <f t="shared" si="643"/>
        <v/>
      </c>
      <c r="N10397" s="3" t="s">
        <v>30575</v>
      </c>
      <c r="O10397" s="3"/>
      <c r="P10397" s="1" t="s">
        <v>20</v>
      </c>
      <c r="R10397" s="1" t="s">
        <v>20569</v>
      </c>
      <c r="V10397" s="1" t="s">
        <v>20592</v>
      </c>
      <c r="AR10397" s="1" t="str">
        <f t="shared" si="642"/>
        <v>| [ㄕˊ](ㄕˊ.md) | [塒](塒.md) |  | shí | [名]
鑿牆做成的雞窩。《爾雅．釋宮》：「雞棲於弋為榤，鑿垣而棲為塒。」《詩經．王風．君子于役》：「雞棲于塒，日之夕矣，羊牛下來。」 |</v>
      </c>
    </row>
    <row r="10398" spans="1:44" hidden="1">
      <c r="A10398" s="1" t="s">
        <v>20593</v>
      </c>
      <c r="C10398" s="1">
        <v>1</v>
      </c>
      <c r="D10398" s="1" t="str">
        <f>"08717"</f>
        <v>08717</v>
      </c>
      <c r="E10398" s="1" t="s">
        <v>37</v>
      </c>
      <c r="F10398" s="1">
        <v>14</v>
      </c>
      <c r="G10398" s="1">
        <v>10</v>
      </c>
      <c r="H10398" s="1">
        <v>0</v>
      </c>
      <c r="I10398" s="1" t="s">
        <v>20568</v>
      </c>
      <c r="K10398" s="1" t="str">
        <f t="shared" si="641"/>
        <v>ㄕ</v>
      </c>
      <c r="M10398" s="1" t="str">
        <f t="shared" si="643"/>
        <v/>
      </c>
      <c r="N10398" s="3" t="s">
        <v>30575</v>
      </c>
      <c r="O10398" s="3"/>
      <c r="P10398" s="1" t="s">
        <v>20</v>
      </c>
      <c r="R10398" s="1" t="s">
        <v>20569</v>
      </c>
      <c r="V10398" s="1" t="s">
        <v>20594</v>
      </c>
      <c r="AR10398" s="1" t="str">
        <f t="shared" si="642"/>
        <v>| [ㄕˊ](ㄕˊ.md) | [蒔](蒔.md) |  | shí | [動]
1.移植、分種。《說文解字．艸部》：「蒔，更別種。」清．段玉裁．注：「今江蘇人移秧插田中曰蒔秧。」宋．楊萬里〈插秧歌〉：「秧根未牢蒔未匝，照管鵝兒與雛鴨。」
2.種植。如：「蒔花養卉」。《文選．左思．魏都賦》：「水澍粳稌，陸蒔稷黍。」
[名]
參見「蒔蘿」條。 |</v>
      </c>
    </row>
    <row r="10399" spans="1:44" hidden="1">
      <c r="A10399" s="1" t="s">
        <v>20595</v>
      </c>
      <c r="C10399" s="1">
        <v>1</v>
      </c>
      <c r="D10399" s="1" t="str">
        <f>"08718"</f>
        <v>08718</v>
      </c>
      <c r="E10399" s="1" t="s">
        <v>156</v>
      </c>
      <c r="F10399" s="1">
        <v>21</v>
      </c>
      <c r="G10399" s="1">
        <v>10</v>
      </c>
      <c r="H10399" s="1">
        <v>0</v>
      </c>
      <c r="I10399" s="1" t="s">
        <v>20568</v>
      </c>
      <c r="K10399" s="1" t="str">
        <f t="shared" si="641"/>
        <v>ㄕ</v>
      </c>
      <c r="M10399" s="1" t="str">
        <f t="shared" si="643"/>
        <v/>
      </c>
      <c r="N10399" s="3" t="s">
        <v>30575</v>
      </c>
      <c r="O10399" s="3"/>
      <c r="P10399" s="1" t="s">
        <v>20</v>
      </c>
      <c r="R10399" s="1" t="s">
        <v>20569</v>
      </c>
      <c r="V10399" s="1" t="s">
        <v>20596</v>
      </c>
      <c r="AR10399" s="1" t="str">
        <f t="shared" si="642"/>
        <v>| [ㄕˊ](ㄕˊ.md) | [鰣](鰣.md) |  | shí | [名]
動物名。脊椎動物亞門硬骨魚綱條鰭亞綱鯡形目。形扁而長，背黑腹白。肉質肥美，多細刺，腹下有稜鱗。夏初產卵於河口。明．李時珍《本草綱目．卷四四．鱗部．鰣魚》：「鰣，形秀而扁，微似魴而長。白色如銀，肉中多細刺如毛，其子甚細膩。」 |</v>
      </c>
    </row>
    <row r="10400" spans="1:44" hidden="1">
      <c r="A10400" s="1" t="s">
        <v>20597</v>
      </c>
      <c r="C10400" s="1">
        <v>1</v>
      </c>
      <c r="D10400" s="1" t="str">
        <f>"08719"</f>
        <v>08719</v>
      </c>
      <c r="E10400" s="1" t="s">
        <v>1595</v>
      </c>
      <c r="F10400" s="1">
        <v>10</v>
      </c>
      <c r="G10400" s="1">
        <v>7</v>
      </c>
      <c r="H10400" s="1">
        <v>2</v>
      </c>
      <c r="I10400" s="1" t="s">
        <v>20568</v>
      </c>
      <c r="K10400" s="1" t="str">
        <f t="shared" si="641"/>
        <v>ㄕ</v>
      </c>
      <c r="M10400" s="1" t="str">
        <f t="shared" si="643"/>
        <v/>
      </c>
      <c r="N10400" s="3" t="s">
        <v>30575</v>
      </c>
      <c r="O10400" s="3"/>
      <c r="P10400" s="1" t="s">
        <v>20</v>
      </c>
      <c r="R10400" s="1" t="s">
        <v>20569</v>
      </c>
      <c r="V10400" s="1" t="s">
        <v>20598</v>
      </c>
      <c r="W10400" s="1" t="s">
        <v>20599</v>
      </c>
      <c r="AR10400" s="1" t="str">
        <f t="shared" si="642"/>
        <v>| [ㄕˊ](ㄕˊ.md) | [射](射.md) |  | shí | [動]
放箭使中目標物。《論語．述而》：「子釣而不綱，弋不射宿。」 |</v>
      </c>
    </row>
    <row r="10401" spans="1:44" hidden="1">
      <c r="A10401" s="1" t="s">
        <v>20600</v>
      </c>
      <c r="C10401" s="1">
        <v>1</v>
      </c>
      <c r="D10401" s="1" t="str">
        <f>"08720"</f>
        <v>08720</v>
      </c>
      <c r="E10401" s="1" t="s">
        <v>129</v>
      </c>
      <c r="F10401" s="1">
        <v>12</v>
      </c>
      <c r="G10401" s="1">
        <v>9</v>
      </c>
      <c r="H10401" s="1">
        <v>0</v>
      </c>
      <c r="I10401" s="1" t="s">
        <v>20568</v>
      </c>
      <c r="K10401" s="1" t="str">
        <f t="shared" si="641"/>
        <v>ㄕ</v>
      </c>
      <c r="M10401" s="1" t="str">
        <f t="shared" si="643"/>
        <v/>
      </c>
      <c r="N10401" s="3" t="s">
        <v>30575</v>
      </c>
      <c r="O10401" s="3"/>
      <c r="P10401" s="1" t="s">
        <v>20</v>
      </c>
      <c r="R10401" s="1" t="s">
        <v>20569</v>
      </c>
      <c r="V10401" s="1" t="s">
        <v>20601</v>
      </c>
      <c r="AR10401" s="1" t="str">
        <f t="shared" si="642"/>
        <v>| [ㄕˊ](ㄕˊ.md) | [湜](湜.md) |  | shí | 參見「湜湜」條。 |</v>
      </c>
    </row>
    <row r="10402" spans="1:44" hidden="1">
      <c r="A10402" s="1" t="s">
        <v>20602</v>
      </c>
      <c r="C10402" s="1">
        <v>1</v>
      </c>
      <c r="D10402" s="1" t="str">
        <f>"08721"</f>
        <v>08721</v>
      </c>
      <c r="E10402" s="1" t="s">
        <v>624</v>
      </c>
      <c r="F10402" s="1">
        <v>12</v>
      </c>
      <c r="G10402" s="1">
        <v>9</v>
      </c>
      <c r="H10402" s="1">
        <v>0</v>
      </c>
      <c r="I10402" s="1" t="s">
        <v>20568</v>
      </c>
      <c r="K10402" s="1" t="str">
        <f t="shared" si="641"/>
        <v>ㄕ</v>
      </c>
      <c r="M10402" s="1" t="str">
        <f t="shared" si="643"/>
        <v/>
      </c>
      <c r="N10402" s="3" t="s">
        <v>30575</v>
      </c>
      <c r="O10402" s="3"/>
      <c r="P10402" s="1" t="s">
        <v>20</v>
      </c>
      <c r="R10402" s="1" t="s">
        <v>20569</v>
      </c>
      <c r="V10402" s="1" t="s">
        <v>20603</v>
      </c>
      <c r="AR10402" s="1" t="str">
        <f t="shared" si="642"/>
        <v>| [ㄕˊ](ㄕˊ.md) | [寔](寔.md) |  | shí | [動]
安置。唐．陸德明《經典釋文．卷二．周易音義》：「寘，姚作寔。寔，置也。」
[副]
真實、實在。通「實」。《禮記．坊記》：「東鄰殺牛，不如西鄰之禴祭，寔受其福。」 |</v>
      </c>
    </row>
    <row r="10403" spans="1:44" hidden="1">
      <c r="A10403" s="1" t="s">
        <v>5143</v>
      </c>
      <c r="C10403" s="1">
        <v>1</v>
      </c>
      <c r="D10403" s="1" t="str">
        <f>"08722"</f>
        <v>08722</v>
      </c>
      <c r="E10403" s="1" t="s">
        <v>24</v>
      </c>
      <c r="F10403" s="1">
        <v>12</v>
      </c>
      <c r="G10403" s="1">
        <v>9</v>
      </c>
      <c r="H10403" s="1">
        <v>3</v>
      </c>
      <c r="I10403" s="1" t="s">
        <v>20568</v>
      </c>
      <c r="K10403" s="1" t="str">
        <f t="shared" si="641"/>
        <v>ㄕ</v>
      </c>
      <c r="M10403" s="1" t="str">
        <f t="shared" si="643"/>
        <v/>
      </c>
      <c r="N10403" s="3" t="s">
        <v>30575</v>
      </c>
      <c r="O10403" s="3"/>
      <c r="P10403" s="1" t="s">
        <v>20</v>
      </c>
      <c r="R10403" s="1" t="s">
        <v>20569</v>
      </c>
      <c r="V10403" s="1" t="s">
        <v>20604</v>
      </c>
      <c r="W10403" s="1" t="s">
        <v>20605</v>
      </c>
      <c r="AR10403" s="1" t="str">
        <f t="shared" si="642"/>
        <v>| [ㄕˊ](ㄕˊ.md) | [提](提.md) |  | shí | 參見「朱提」條。 |</v>
      </c>
    </row>
    <row r="10404" spans="1:44" hidden="1">
      <c r="A10404" s="1" t="s">
        <v>20606</v>
      </c>
      <c r="C10404" s="1">
        <v>1</v>
      </c>
      <c r="D10404" s="1" t="str">
        <f>"08723"</f>
        <v>08723</v>
      </c>
      <c r="E10404" s="1" t="s">
        <v>624</v>
      </c>
      <c r="F10404" s="1">
        <v>14</v>
      </c>
      <c r="G10404" s="1">
        <v>11</v>
      </c>
      <c r="H10404" s="1">
        <v>0</v>
      </c>
      <c r="I10404" s="1" t="s">
        <v>20568</v>
      </c>
      <c r="K10404" s="1" t="str">
        <f t="shared" si="641"/>
        <v>ㄕ</v>
      </c>
      <c r="M10404" s="1" t="str">
        <f t="shared" si="643"/>
        <v/>
      </c>
      <c r="N10404" s="3" t="s">
        <v>30575</v>
      </c>
      <c r="O10404" s="3"/>
      <c r="P10404" s="1" t="s">
        <v>20</v>
      </c>
      <c r="R10404" s="1" t="s">
        <v>20569</v>
      </c>
      <c r="V10404" s="1" t="s">
        <v>20607</v>
      </c>
      <c r="AR10404" s="1" t="str">
        <f t="shared" si="642"/>
        <v>| [ㄕˊ](ㄕˊ.md) | [實](實.md) |  | shí | [形]
1.充足、富裕。如：「殷實」。《孟子．梁惠王下》：「君之倉廩實，府庫充。」
2.填滿而沒有空隙的。如：「實心」。《淮南子．氾論》：「察子之事，田野蕪，倉廩虛，囹圄實。」
3.真誠不虛偽。如：「誠實無欺」、「忠實」。《文選．諸葛亮．出師表》：「此皆良實，志慮忠純，是以先帝簡拔以遺陛下。」
4.真正、真確。如：「實話」、「實情」、「真才實學」。
[名]
1.植物的種子、果實。如：「開花結實」。《莊子．逍遙遊》：「魏王貽我大瓠之種，我樹之成，而實五石。」
2.事跡。如：「事實」、「史實」、「寫實」。
3.哲學上指內容。與「名」相對。如：「有名無實」、「名實相符」。
[動]
充滿、加強。《三國志．卷五四．吳書．周瑜傳》：「乃取蒙衝鬥艦數十艘，實以薪草，膏油灌其中，裹以帷幕，上建牙旗，先書報曹公，欺以欲降。」《新唐書．卷一一五．狄仁傑傳》：「損四鎮，肥中國，罷安東，實遼西。」 |</v>
      </c>
    </row>
    <row r="10405" spans="1:44" hidden="1">
      <c r="A10405" s="1" t="s">
        <v>20608</v>
      </c>
      <c r="C10405" s="1">
        <v>1</v>
      </c>
      <c r="D10405" s="1" t="str">
        <f>"08724"</f>
        <v>08724</v>
      </c>
      <c r="E10405" s="1" t="s">
        <v>28</v>
      </c>
      <c r="F10405" s="1">
        <v>5</v>
      </c>
      <c r="G10405" s="1">
        <v>2</v>
      </c>
      <c r="H10405" s="1">
        <v>0</v>
      </c>
      <c r="I10405" s="1" t="s">
        <v>20609</v>
      </c>
      <c r="K10405" s="1" t="str">
        <f t="shared" si="641"/>
        <v>ㄕ</v>
      </c>
      <c r="M10405" s="1" t="str">
        <f t="shared" si="643"/>
        <v/>
      </c>
      <c r="N10405" s="3" t="s">
        <v>30576</v>
      </c>
      <c r="O10405" s="3"/>
      <c r="P10405" s="1" t="s">
        <v>20</v>
      </c>
      <c r="R10405" s="1" t="s">
        <v>20610</v>
      </c>
      <c r="V10405" s="1" t="s">
        <v>20611</v>
      </c>
      <c r="AR10405" s="1" t="str">
        <f t="shared" si="642"/>
        <v>| [ㄕˇ](ㄕˇ.md) | [史](史.md) |  | shǐ | [名]
1.古代掌管文書和記事等的官吏。如：「太史」。《禮記．玉藻》：「動則左史書之，言則右史書之。」
2.過去的時事、事跡。如：「歷史」、「羅曼史」。
3.記載過去事跡的書籍。如：「正史」、「通史」、「野史」。
4.姓。如明代有史可法。
[形]
文辭繁雜。《論語．雍也》：「質勝文則野，文勝質則史。」 |</v>
      </c>
    </row>
    <row r="10406" spans="1:44" hidden="1">
      <c r="A10406" s="1" t="s">
        <v>20612</v>
      </c>
      <c r="C10406" s="1">
        <v>1</v>
      </c>
      <c r="D10406" s="1" t="str">
        <f>"08725"</f>
        <v>08725</v>
      </c>
      <c r="E10406" s="1" t="s">
        <v>114</v>
      </c>
      <c r="F10406" s="1">
        <v>8</v>
      </c>
      <c r="G10406" s="1">
        <v>6</v>
      </c>
      <c r="H10406" s="1">
        <v>1</v>
      </c>
      <c r="I10406" s="1" t="s">
        <v>20609</v>
      </c>
      <c r="K10406" s="1" t="str">
        <f t="shared" si="641"/>
        <v>ㄕ</v>
      </c>
      <c r="M10406" s="1" t="str">
        <f t="shared" si="643"/>
        <v/>
      </c>
      <c r="N10406" s="3" t="s">
        <v>30576</v>
      </c>
      <c r="O10406" s="3"/>
      <c r="P10406" s="1" t="s">
        <v>20</v>
      </c>
      <c r="R10406" s="1" t="s">
        <v>20610</v>
      </c>
      <c r="V10406" s="1" t="s">
        <v>20613</v>
      </c>
      <c r="W10406" s="1" t="s">
        <v>20614</v>
      </c>
      <c r="AR10406" s="1" t="str">
        <f t="shared" si="642"/>
        <v>| [ㄕˇ](ㄕˇ.md) | [使](使.md) |  | shǐ | [動]
1.命令、派遣。《左傳．桓公五年》：「夜鄭伯使祭足勞王，且問左右。」《水滸傳》第八五回：「若得如此，宋江星夜使人回家搬取老父，以絕根本。」
2.讓、以致於。《詩經．鄭風．狡童》：「維子之故，使我不能餐兮。」唐．杜甫〈蜀相〉詩：「出師未捷身先死，長使英雄淚滿襟。」
3.役用、役使。《論語．學而》：「節用而愛人，使民以時。」晉．范甯〈為豫章臨發上疏〉：「古之使人，歲不過三日；今之勞擾，殆無二日休停。」
4.可、行、做。如：「使不得」。《紅樓夢》第九六回：「若說服裡娶親，當真使不得。」《文明小史》第一六回：「如要看全，也不過一百多錢，倘若租看，亦使得。」
5.用。《文明小史》第一五回：「至少也得幾百塊錢，少了不夠使的。」
6.放縱、放任。如：「使性子」。
7.出使。《論語．子路》：「行己有恥，使于四方，不辱君命，可謂士矣。」
[名]
奉命到外國執行任務或留駐的外交長官。如：「大使」、「公使」。
[連]
假設、如果。《論語．泰伯》：「如有周公之才之美，使驕且吝，其餘不足觀也已。」漢．王充《論衡．祀義》：「使天地有口能食，祭食宜食盡。」 |</v>
      </c>
    </row>
    <row r="10407" spans="1:44" hidden="1">
      <c r="A10407" s="1" t="s">
        <v>20615</v>
      </c>
      <c r="C10407" s="1">
        <v>1</v>
      </c>
      <c r="D10407" s="1" t="str">
        <f>"08726"</f>
        <v>08726</v>
      </c>
      <c r="E10407" s="1" t="s">
        <v>319</v>
      </c>
      <c r="F10407" s="1">
        <v>15</v>
      </c>
      <c r="G10407" s="1">
        <v>5</v>
      </c>
      <c r="H10407" s="1">
        <v>0</v>
      </c>
      <c r="I10407" s="1" t="s">
        <v>20609</v>
      </c>
      <c r="K10407" s="1" t="str">
        <f t="shared" si="641"/>
        <v>ㄕ</v>
      </c>
      <c r="M10407" s="1" t="str">
        <f t="shared" si="643"/>
        <v/>
      </c>
      <c r="N10407" s="3" t="s">
        <v>30576</v>
      </c>
      <c r="O10407" s="3"/>
      <c r="P10407" s="1" t="s">
        <v>20</v>
      </c>
      <c r="R10407" s="1" t="s">
        <v>20610</v>
      </c>
      <c r="V10407" s="1" t="s">
        <v>20616</v>
      </c>
      <c r="AR10407" s="1" t="str">
        <f t="shared" si="642"/>
        <v>| [ㄕˇ](ㄕˇ.md) | [駛](駛.md) |  | shǐ | [動]
1.車馬快速的跑。如：「疾駛而過」。元．袁桷〈次韻子瑾過梁山濼二十韻〉：「遶如林鳥旋，疾若坂馬駛。」元．謝翶〈登西臺慟哭記〉：「是日風帆怒駛，逾久而後濟。」
2.操縱車、船、飛機等交通工具的行動。如：「行駛」、「駕駛」、「駛入港口」。
3.疾逝、流逝。晉．陶淵明〈雜詩〉一二首之六：「傾家持作樂，竟此歲月駛。」南朝梁．簡文帝〈雜句春情詩〉：「鶯啼春欲駛，無為空掩扉。」 |</v>
      </c>
    </row>
    <row r="10408" spans="1:44" hidden="1">
      <c r="A10408" s="1" t="s">
        <v>20617</v>
      </c>
      <c r="C10408" s="1">
        <v>1</v>
      </c>
      <c r="D10408" s="1" t="str">
        <f>"08727"</f>
        <v>08727</v>
      </c>
      <c r="E10408" s="1" t="s">
        <v>122</v>
      </c>
      <c r="F10408" s="1">
        <v>5</v>
      </c>
      <c r="G10408" s="1">
        <v>0</v>
      </c>
      <c r="H10408" s="1">
        <v>0</v>
      </c>
      <c r="I10408" s="1" t="s">
        <v>20609</v>
      </c>
      <c r="K10408" s="1" t="str">
        <f t="shared" si="641"/>
        <v>ㄕ</v>
      </c>
      <c r="M10408" s="1" t="str">
        <f t="shared" si="643"/>
        <v/>
      </c>
      <c r="N10408" s="3" t="s">
        <v>30576</v>
      </c>
      <c r="O10408" s="3"/>
      <c r="P10408" s="1" t="s">
        <v>20</v>
      </c>
      <c r="R10408" s="1" t="s">
        <v>20610</v>
      </c>
      <c r="V10408" s="1" t="s">
        <v>20618</v>
      </c>
      <c r="AR10408" s="1" t="str">
        <f t="shared" si="642"/>
        <v>| [ㄕˇ](ㄕˇ.md) | [矢](矢.md) |  | shǐ | [名]
1.箭。如：「流矢」、「無的放矢」。《漢書．卷五四．李廣傳》：「廣出獵，見草中石，以為虎而射之，中石沒矢。」
2.古代投壺燕飲時所用的籌碼。《禮記．投壺》：「投壺之禮，主人奉矢，司射奉中，使人執壺。」
3.糞便。通「屎」。《左傳．文公十八年》：「仲以君命召惠伯……弗聽乃入，殺而埋之馬矢之中。」《史記．卷八一．廉頗藺相如傳》：「廉將軍雖老，尚善飯，然與臣坐，頃之，三遺矢矣。」
4.二一四部首之一。
[動]
發誓。如：「矢志不忘」、「矢勤矢勇」。《論語．雍也》：「夫子矢之曰：『予所否者，天厭之，天厭之！』」
[形]
正直的、端正的。《書經．盤庚上》：「盤庚遷于殷，民不適有居。率籲眾慼，出矢言。」漢．孔安國．傳：「出正直之言。」 |</v>
      </c>
    </row>
    <row r="10409" spans="1:44" hidden="1">
      <c r="A10409" s="1" t="s">
        <v>19345</v>
      </c>
      <c r="C10409" s="1">
        <v>1</v>
      </c>
      <c r="D10409" s="1" t="str">
        <f>"08728"</f>
        <v>08728</v>
      </c>
      <c r="E10409" s="1" t="s">
        <v>103</v>
      </c>
      <c r="F10409" s="1">
        <v>6</v>
      </c>
      <c r="G10409" s="1">
        <v>3</v>
      </c>
      <c r="H10409" s="1">
        <v>1</v>
      </c>
      <c r="I10409" s="1" t="s">
        <v>20609</v>
      </c>
      <c r="K10409" s="1" t="str">
        <f t="shared" si="641"/>
        <v>ㄕ</v>
      </c>
      <c r="M10409" s="1" t="str">
        <f t="shared" si="643"/>
        <v/>
      </c>
      <c r="N10409" s="3" t="s">
        <v>30576</v>
      </c>
      <c r="O10409" s="3"/>
      <c r="P10409" s="1" t="s">
        <v>20</v>
      </c>
      <c r="R10409" s="1" t="s">
        <v>20610</v>
      </c>
      <c r="V10409" s="1" t="s">
        <v>20619</v>
      </c>
      <c r="W10409" s="1" t="s">
        <v>20620</v>
      </c>
      <c r="AR10409" s="1" t="str">
        <f t="shared" si="642"/>
        <v>| [ㄕˇ](ㄕˇ.md) | [弛](弛.md) |  | shǐ | [動]
1.放鬆弓弦。《左傳．襄公十八年》：「乃弛弓而自後縛之。」《墨子．三辯》：「此譬之猶馬駕而不稅，弓張而不弛。」
2.鬆懈、怠緩。如：「鬆弛」。唐．柳宗元〈答韋中立論師道書〉：「未嘗敢以怠心易之，懼其弛而不嚴也。」
3.捨棄、廢除。《文選．張衡．西京賦》：「城尉不弛柝，而內外潛通。」宋．沈括《夢溪筆談．卷一二．官政二》：「慶曆中，議弛茶鹽之禁及減商稅。」
4.毀壞。《國語．魯語上》：「文公欲弛孟文子之宅。」《文選．賈誼．過秦論》：「宗廟崩弛，國家為墟。」 |</v>
      </c>
    </row>
    <row r="10410" spans="1:44" hidden="1">
      <c r="A10410" s="1" t="s">
        <v>20621</v>
      </c>
      <c r="C10410" s="1">
        <v>1</v>
      </c>
      <c r="D10410" s="1" t="str">
        <f>"08729"</f>
        <v>08729</v>
      </c>
      <c r="E10410" s="1" t="s">
        <v>52</v>
      </c>
      <c r="F10410" s="1">
        <v>7</v>
      </c>
      <c r="G10410" s="1">
        <v>0</v>
      </c>
      <c r="H10410" s="1">
        <v>0</v>
      </c>
      <c r="I10410" s="1" t="s">
        <v>20609</v>
      </c>
      <c r="K10410" s="1" t="str">
        <f t="shared" si="641"/>
        <v>ㄕ</v>
      </c>
      <c r="M10410" s="1" t="str">
        <f t="shared" si="643"/>
        <v/>
      </c>
      <c r="N10410" s="3" t="s">
        <v>30576</v>
      </c>
      <c r="O10410" s="3"/>
      <c r="P10410" s="1" t="s">
        <v>20</v>
      </c>
      <c r="R10410" s="1" t="s">
        <v>20610</v>
      </c>
      <c r="V10410" s="1" t="s">
        <v>20622</v>
      </c>
      <c r="AR10410" s="1" t="str">
        <f t="shared" si="642"/>
        <v>| [ㄕˇ](ㄕˇ.md) | [豕](豕.md) |  | shǐ | [名]
1.豬，家畜之一。《詩經．小雅．漸漸之石》：「有豕白蹢，烝涉波矣。」漢．毛亨．傳：「豕，豬也。」
2.二一四部首之一。 |</v>
      </c>
    </row>
    <row r="10411" spans="1:44" hidden="1">
      <c r="A10411" s="1" t="s">
        <v>20623</v>
      </c>
      <c r="C10411" s="1">
        <v>1</v>
      </c>
      <c r="D10411" s="1" t="str">
        <f>"08730"</f>
        <v>08730</v>
      </c>
      <c r="E10411" s="1" t="s">
        <v>534</v>
      </c>
      <c r="F10411" s="1">
        <v>8</v>
      </c>
      <c r="G10411" s="1">
        <v>5</v>
      </c>
      <c r="H10411" s="1">
        <v>1</v>
      </c>
      <c r="I10411" s="1" t="s">
        <v>20609</v>
      </c>
      <c r="K10411" s="1" t="str">
        <f t="shared" si="641"/>
        <v>ㄕ</v>
      </c>
      <c r="M10411" s="1" t="str">
        <f t="shared" si="643"/>
        <v/>
      </c>
      <c r="N10411" s="3" t="s">
        <v>30576</v>
      </c>
      <c r="O10411" s="3"/>
      <c r="P10411" s="1" t="s">
        <v>20</v>
      </c>
      <c r="R10411" s="1" t="s">
        <v>20610</v>
      </c>
      <c r="V10411" s="1" t="s">
        <v>20624</v>
      </c>
      <c r="W10411" s="1" t="s">
        <v>20625</v>
      </c>
      <c r="AR10411" s="1" t="str">
        <f t="shared" si="642"/>
        <v>| [ㄕˇ](ㄕˇ.md) | [始](始.md) |  | shǐ | [名]
起點、開端。如：「周而復始」、「自始至終」。《孟子．梁惠王上》：「養生喪死無憾，王道之始也。」《禮記．大學》：「物有本末，事有終始。」
[副]
1.方才、然後。如：「始告完成」、「始見成效」。唐．白居易〈琵琶行〉：「千呼萬喚始出來，猶抱琵琶半遮面。」
2.嘗、曾。《莊子．齊物論》：「有以為未始有物者。」宋．王禹偁〈答張扶書〉：「吾觀吏部之文，未始句之難道也。」
3.最初、當初。《左傳．莊公十一年》：「始吾敬子，今子魯囚也，吾弗敬子矣。」《史記．卷五四．曹相國世家》：「參始微時，與蕭何善；及為將相，有郤。」 |</v>
      </c>
    </row>
    <row r="10412" spans="1:44" hidden="1">
      <c r="A10412" s="1" t="s">
        <v>16115</v>
      </c>
      <c r="C10412" s="1">
        <v>1</v>
      </c>
      <c r="D10412" s="1" t="str">
        <f>"08731"</f>
        <v>08731</v>
      </c>
      <c r="E10412" s="1" t="s">
        <v>871</v>
      </c>
      <c r="F10412" s="1">
        <v>9</v>
      </c>
      <c r="G10412" s="1">
        <v>6</v>
      </c>
      <c r="H10412" s="1">
        <v>1</v>
      </c>
      <c r="I10412" s="1" t="s">
        <v>20609</v>
      </c>
      <c r="K10412" s="1" t="str">
        <f t="shared" si="641"/>
        <v>ㄕ</v>
      </c>
      <c r="M10412" s="1" t="str">
        <f t="shared" si="643"/>
        <v/>
      </c>
      <c r="N10412" s="3" t="s">
        <v>30576</v>
      </c>
      <c r="O10412" s="3"/>
      <c r="P10412" s="1" t="s">
        <v>20</v>
      </c>
      <c r="R10412" s="1" t="s">
        <v>20610</v>
      </c>
      <c r="V10412" s="1" t="s">
        <v>20626</v>
      </c>
      <c r="W10412" s="1" t="s">
        <v>20627</v>
      </c>
      <c r="AR10412" s="1" t="str">
        <f t="shared" si="642"/>
        <v>| [ㄕˇ](ㄕˇ.md) | [屎](屎.md) |  | shǐ | [名]
1.糞便。如：「拉屎」、「狗改不了吃屎」。《兒女英雄傳》第三一回：「見兩個人爬過房來，他就嚷起來，把屎也嚇回去了。」
2.眼、耳等器官的分泌物。如：「眼屎」、「耳屎」。
[形]
嘲笑低劣的人或事。如：「屎蛋」、「屎棋」。 |</v>
      </c>
    </row>
    <row r="10413" spans="1:44" hidden="1">
      <c r="A10413" s="1" t="s">
        <v>20628</v>
      </c>
      <c r="C10413" s="1">
        <v>1</v>
      </c>
      <c r="D10413" s="1" t="str">
        <f>"08732"</f>
        <v>08732</v>
      </c>
      <c r="E10413" s="1" t="s">
        <v>725</v>
      </c>
      <c r="F10413" s="1">
        <v>17</v>
      </c>
      <c r="G10413" s="1">
        <v>11</v>
      </c>
      <c r="H10413" s="1">
        <v>0</v>
      </c>
      <c r="I10413" s="1" t="s">
        <v>20609</v>
      </c>
      <c r="K10413" s="1" t="str">
        <f t="shared" si="641"/>
        <v>ㄕ</v>
      </c>
      <c r="M10413" s="1" t="str">
        <f t="shared" si="643"/>
        <v/>
      </c>
      <c r="N10413" s="3" t="s">
        <v>30576</v>
      </c>
      <c r="O10413" s="3"/>
      <c r="P10413" s="1" t="s">
        <v>20</v>
      </c>
      <c r="R10413" s="1" t="s">
        <v>20610</v>
      </c>
      <c r="V10413" s="1" t="s">
        <v>20629</v>
      </c>
      <c r="AR10413" s="1" t="str">
        <f t="shared" si="642"/>
        <v>| [ㄕˇ](ㄕˇ.md) | [縰](縰.md) |  | shǐ | [名]
古代用來包頭髮的絲織品。同「纚」。《文選．左思．魏都賦》：「岌岌冠縰，纍纍辮髮。」李善注引鄭玄曰：「纚，今之幘也。纚與縰同。」 |</v>
      </c>
    </row>
    <row r="10414" spans="1:44" hidden="1">
      <c r="A10414" s="1" t="s">
        <v>20630</v>
      </c>
      <c r="C10414" s="1">
        <v>1</v>
      </c>
      <c r="D10414" s="1" t="str">
        <f>"08733"</f>
        <v>08733</v>
      </c>
      <c r="E10414" s="1" t="s">
        <v>725</v>
      </c>
      <c r="F10414" s="1">
        <v>25</v>
      </c>
      <c r="G10414" s="1">
        <v>19</v>
      </c>
      <c r="H10414" s="1">
        <v>0</v>
      </c>
      <c r="I10414" s="1" t="s">
        <v>20609</v>
      </c>
      <c r="K10414" s="1" t="str">
        <f t="shared" si="641"/>
        <v>ㄕ</v>
      </c>
      <c r="M10414" s="1" t="str">
        <f t="shared" si="643"/>
        <v/>
      </c>
      <c r="N10414" s="3" t="s">
        <v>30576</v>
      </c>
      <c r="O10414" s="3"/>
      <c r="P10414" s="1" t="s">
        <v>20</v>
      </c>
      <c r="R10414" s="1" t="s">
        <v>20610</v>
      </c>
      <c r="V10414" s="1" t="s">
        <v>20631</v>
      </c>
      <c r="AR10414" s="1" t="str">
        <f t="shared" si="642"/>
        <v>| [ㄕˇ](ㄕˇ.md) | [纚](纚.md) |  | shǐ | [名]
古代用來包頭髮的絲織品。《說文解字．糸部》：「纚，冠織也。」《儀禮．士冠禮》：「緇纚，廣終幅、長六尺。」漢．鄭玄．注：「纚，今之幘梁也，終充也。纚一幅長六尺，足以韜髮而結之矣。」 |</v>
      </c>
    </row>
    <row r="10415" spans="1:44" hidden="1">
      <c r="A10415" s="1" t="s">
        <v>21494</v>
      </c>
      <c r="C10415" s="1">
        <v>1</v>
      </c>
      <c r="D10415" s="1" t="str">
        <f>"09111"</f>
        <v>09111</v>
      </c>
      <c r="E10415" s="1" t="s">
        <v>185</v>
      </c>
      <c r="F10415" s="1">
        <v>8</v>
      </c>
      <c r="G10415" s="1">
        <v>6</v>
      </c>
      <c r="H10415" s="1">
        <v>1</v>
      </c>
      <c r="I10415" s="1" t="s">
        <v>21495</v>
      </c>
      <c r="K10415" s="1" t="str">
        <f t="shared" si="641"/>
        <v>ㄕ</v>
      </c>
      <c r="L10415" s="1" t="str">
        <f t="shared" ref="L10415:L10446" si="644">MID(I10415, 2, 1)</f>
        <v>ㄨ</v>
      </c>
      <c r="M10415" s="1" t="str">
        <f t="shared" si="643"/>
        <v>ㄚ</v>
      </c>
      <c r="P10415" s="1" t="s">
        <v>20</v>
      </c>
      <c r="R10415" s="1" t="s">
        <v>21496</v>
      </c>
      <c r="V10415" s="1" t="s">
        <v>21497</v>
      </c>
      <c r="W10415" s="1" t="s">
        <v>21498</v>
      </c>
      <c r="AR10415" s="1" t="str">
        <f t="shared" si="642"/>
        <v>| [ㄕㄨㄚ](ㄕㄨㄚ.md) | [刷](刷.md) |  | shuā | [動]
1.清除、去垢。《爾雅．釋詁下》：「刷，清也。」如：「刷牙」、「刷鞋」。《晏子春秋．內篇．諫上》：「公刷涕而顧晏子。」
2.洗雪。如：「洗刷冤情」。《史記．卷四〇．楚世家》：「昭雎曰：『王雖東取地於越，不足以刷恥；必且取地於秦，而後足以刷恥於諸侯。』」
3.塗抹。如：「刷牆」、「刷油漆」。
4.淘汰。如：「他在決賽中被刷掉了。」
[名]
用來清除汙垢或塗抹的器具。如：「牙刷」、「鞋刷」、「油漆刷」。
[擬]
形容迅速擦過的聲音。如：「刷刷作響」。 |</v>
      </c>
    </row>
    <row r="10416" spans="1:44" hidden="1">
      <c r="A10416" s="1" t="s">
        <v>21499</v>
      </c>
      <c r="C10416" s="1">
        <v>1</v>
      </c>
      <c r="D10416" s="1" t="str">
        <f>"09112"</f>
        <v>09112</v>
      </c>
      <c r="E10416" s="1" t="s">
        <v>5778</v>
      </c>
      <c r="F10416" s="1">
        <v>9</v>
      </c>
      <c r="G10416" s="1">
        <v>3</v>
      </c>
      <c r="H10416" s="1">
        <v>0</v>
      </c>
      <c r="I10416" s="1" t="s">
        <v>21500</v>
      </c>
      <c r="K10416" s="1" t="str">
        <f t="shared" ref="K10416:K10479" si="645">LEFT(I10416, 1)</f>
        <v>ㄕ</v>
      </c>
      <c r="L10416" s="1" t="str">
        <f t="shared" si="644"/>
        <v>ㄨ</v>
      </c>
      <c r="M10416" s="1" t="str">
        <f t="shared" si="643"/>
        <v>ㄚ</v>
      </c>
      <c r="P10416" s="1" t="s">
        <v>20</v>
      </c>
      <c r="R10416" s="1" t="s">
        <v>21501</v>
      </c>
      <c r="V10416" s="1" t="s">
        <v>21502</v>
      </c>
      <c r="AR10416" s="1" t="str">
        <f t="shared" si="642"/>
        <v>| [ㄕㄨㄚˇ](ㄕㄨㄚˇ.md) | [耍](耍.md) |  | shuǎ | [動]
1.遊戲、玩樂。如：「玩耍」、「戲耍」。《西遊記》第一回：「一群猴子耍了一會，卻去那山澗中洗澡。」
2.玩弄、賣弄。如：「耍花樣」、「耍大刀」、「耍嘴皮」。
3.展現（含貶義）。如：「耍威風」、「耍大牌」、「耍脾氣」。 |</v>
      </c>
    </row>
    <row r="10417" spans="1:44" hidden="1">
      <c r="A10417" s="1" t="s">
        <v>21494</v>
      </c>
      <c r="C10417" s="1">
        <v>1</v>
      </c>
      <c r="D10417" s="1" t="str">
        <f>"09113"</f>
        <v>09113</v>
      </c>
      <c r="E10417" s="1" t="s">
        <v>185</v>
      </c>
      <c r="F10417" s="1">
        <v>8</v>
      </c>
      <c r="G10417" s="1">
        <v>6</v>
      </c>
      <c r="H10417" s="1">
        <v>2</v>
      </c>
      <c r="I10417" s="1" t="s">
        <v>21503</v>
      </c>
      <c r="K10417" s="1" t="str">
        <f t="shared" si="645"/>
        <v>ㄕ</v>
      </c>
      <c r="L10417" s="1" t="str">
        <f t="shared" si="644"/>
        <v>ㄨ</v>
      </c>
      <c r="M10417" s="1" t="str">
        <f t="shared" si="643"/>
        <v>ㄚ</v>
      </c>
      <c r="P10417" s="1" t="s">
        <v>20</v>
      </c>
      <c r="R10417" s="1" t="s">
        <v>21504</v>
      </c>
      <c r="V10417" s="1" t="s">
        <v>21505</v>
      </c>
      <c r="W10417" s="1" t="s">
        <v>21506</v>
      </c>
      <c r="AR10417" s="1" t="str">
        <f t="shared" si="642"/>
        <v>| [ㄕㄨㄚˋ](ㄕㄨㄚˋ.md) | [刷](刷.md) |  | shuà | 參見「刷選」條。 |</v>
      </c>
    </row>
    <row r="10418" spans="1:44" hidden="1">
      <c r="A10418" s="1" t="s">
        <v>21507</v>
      </c>
      <c r="C10418" s="1">
        <v>1</v>
      </c>
      <c r="D10418" s="1" t="str">
        <f>"09114"</f>
        <v>09114</v>
      </c>
      <c r="E10418" s="1" t="s">
        <v>331</v>
      </c>
      <c r="F10418" s="1">
        <v>14</v>
      </c>
      <c r="G10418" s="1">
        <v>7</v>
      </c>
      <c r="H10418" s="1">
        <v>1</v>
      </c>
      <c r="I10418" s="1" t="s">
        <v>21508</v>
      </c>
      <c r="K10418" s="1" t="str">
        <f t="shared" si="645"/>
        <v>ㄕ</v>
      </c>
      <c r="L10418" s="1" t="str">
        <f t="shared" si="644"/>
        <v>ㄨ</v>
      </c>
      <c r="M10418" s="1" t="str">
        <f t="shared" si="643"/>
        <v>ㄛ</v>
      </c>
      <c r="P10418" s="1" t="s">
        <v>20</v>
      </c>
      <c r="R10418" s="1" t="s">
        <v>21509</v>
      </c>
      <c r="V10418" s="1" t="s">
        <v>21510</v>
      </c>
      <c r="W10418" s="1" t="s">
        <v>21511</v>
      </c>
      <c r="AR10418" s="1" t="str">
        <f t="shared" si="642"/>
        <v>| [ㄕㄨㄛ](ㄕㄨㄛ.md) | [說](說.md) |  | shuō | [動]_x000D_
1.訴說、告訴。南朝宋．劉義慶《世說新語．德行》：「有人向張華說此事。」唐．韋莊〈應天長．別來年歲音書絕〉詞：「暗相思，無處說。」_x000D_
2.解釋。如：「說明」、「說理」、「解說」。漢．王充《論衡．正說》：「儒者說五經，多失其實。」_x000D_
3.談論。南朝宋．劉義慶《世說新語．品藻》：「世論溫太真是過江第二流之高者，時名輩共說人物。第一將盡之間，溫常失色。」唐．封演《封氏聞見記．卷六．飲茶》：「楚人陸鴻漸為茶論，說茶之功效并煎茶炙茶之法。」_x000D_
4.責備、指責。如：「說了他一頓。」《儒林外史》第二三回：「牛玉圃在萬家喫酒，直到更把天纔回來，上樓又把牛浦數說了一頓。」_x000D_
5.介紹親事。如：「說媒」、「說婆家」。《平妖傳》第二二回：「我家只養得這個女兒，年方一十九歲，要與他說親。特請你二人來商議則個。」_x000D_
[名]_x000D_
言論、道理。如：「學說」、「著書立說」。《易經．繫辭上》：「原始反終，故知死生之說。」 |</v>
      </c>
    </row>
    <row r="10419" spans="1:44" hidden="1">
      <c r="A10419" s="1" t="s">
        <v>18986</v>
      </c>
      <c r="C10419" s="1">
        <v>1</v>
      </c>
      <c r="D10419" s="1" t="str">
        <f>"09115"</f>
        <v>09115</v>
      </c>
      <c r="E10419" s="1" t="s">
        <v>570</v>
      </c>
      <c r="F10419" s="1">
        <v>3</v>
      </c>
      <c r="G10419" s="1">
        <v>1</v>
      </c>
      <c r="H10419" s="1">
        <v>3</v>
      </c>
      <c r="I10419" s="1" t="s">
        <v>21512</v>
      </c>
      <c r="K10419" s="1" t="str">
        <f t="shared" si="645"/>
        <v>ㄕ</v>
      </c>
      <c r="L10419" s="1" t="str">
        <f t="shared" si="644"/>
        <v>ㄨ</v>
      </c>
      <c r="M10419" s="1" t="str">
        <f t="shared" si="643"/>
        <v>ㄛ</v>
      </c>
      <c r="P10419" s="1" t="s">
        <v>20</v>
      </c>
      <c r="R10419" s="1" t="s">
        <v>21513</v>
      </c>
      <c r="V10419" s="1" t="s">
        <v>21514</v>
      </c>
      <c r="W10419" s="1" t="s">
        <v>21515</v>
      </c>
      <c r="AR10419" s="1" t="str">
        <f t="shared" si="642"/>
        <v>| [ㄕㄨㄛˋ](ㄕㄨㄛˋ.md) | [勺](勺.md) |  | shuò | [名]
1.(一)之讀音。
2.(二)之又音。 |</v>
      </c>
    </row>
    <row r="10420" spans="1:44" hidden="1">
      <c r="A10420" s="1" t="s">
        <v>21516</v>
      </c>
      <c r="C10420" s="1">
        <v>1</v>
      </c>
      <c r="D10420" s="1" t="str">
        <f>"09116"</f>
        <v>09116</v>
      </c>
      <c r="E10420" s="1" t="s">
        <v>534</v>
      </c>
      <c r="F10420" s="1">
        <v>6</v>
      </c>
      <c r="G10420" s="1">
        <v>3</v>
      </c>
      <c r="H10420" s="1">
        <v>0</v>
      </c>
      <c r="I10420" s="1" t="s">
        <v>21512</v>
      </c>
      <c r="K10420" s="1" t="str">
        <f t="shared" si="645"/>
        <v>ㄕ</v>
      </c>
      <c r="L10420" s="1" t="str">
        <f t="shared" si="644"/>
        <v>ㄨ</v>
      </c>
      <c r="M10420" s="1" t="str">
        <f t="shared" si="643"/>
        <v>ㄛ</v>
      </c>
      <c r="P10420" s="1" t="s">
        <v>20</v>
      </c>
      <c r="R10420" s="1" t="s">
        <v>21513</v>
      </c>
      <c r="V10420" s="1" t="s">
        <v>21517</v>
      </c>
      <c r="AR10420" s="1" t="str">
        <f t="shared" si="642"/>
        <v>| [ㄕㄨㄛˋ](ㄕㄨㄛˋ.md) | [妁](妁.md) |  | shuò | [名]
女方家的媒人。《孟子．滕文公下》：「父母之命，媒妁之言。」《兒女英雄傳》第二六回：「我知道男家的媒人叫作媒，女家的媒人叫作妁。」 |</v>
      </c>
    </row>
    <row r="10421" spans="1:44" hidden="1">
      <c r="A10421" s="1" t="s">
        <v>20952</v>
      </c>
      <c r="C10421" s="1">
        <v>1</v>
      </c>
      <c r="D10421" s="1" t="str">
        <f>"09117"</f>
        <v>09117</v>
      </c>
      <c r="E10421" s="1" t="s">
        <v>37</v>
      </c>
      <c r="F10421" s="1">
        <v>7</v>
      </c>
      <c r="G10421" s="1">
        <v>3</v>
      </c>
      <c r="H10421" s="1">
        <v>2</v>
      </c>
      <c r="I10421" s="1" t="s">
        <v>21512</v>
      </c>
      <c r="K10421" s="1" t="str">
        <f t="shared" si="645"/>
        <v>ㄕ</v>
      </c>
      <c r="L10421" s="1" t="str">
        <f t="shared" si="644"/>
        <v>ㄨ</v>
      </c>
      <c r="M10421" s="1" t="str">
        <f t="shared" si="643"/>
        <v>ㄛ</v>
      </c>
      <c r="P10421" s="1" t="s">
        <v>186</v>
      </c>
      <c r="R10421" s="1" t="s">
        <v>21513</v>
      </c>
      <c r="V10421" s="1" t="s">
        <v>206</v>
      </c>
      <c r="W10421" s="1" t="s">
        <v>21518</v>
      </c>
      <c r="AR10421" s="1" t="str">
        <f t="shared" si="642"/>
        <v>| [ㄕㄨㄛˋ](ㄕㄨㄛˋ.md) | [芍](芍.md) |  | shuò | (一)之讀音。 |</v>
      </c>
    </row>
    <row r="10422" spans="1:44" hidden="1">
      <c r="A10422" s="1" t="s">
        <v>21519</v>
      </c>
      <c r="C10422" s="1">
        <v>1</v>
      </c>
      <c r="D10422" s="1" t="str">
        <f>"09118"</f>
        <v>09118</v>
      </c>
      <c r="E10422" s="1" t="s">
        <v>222</v>
      </c>
      <c r="F10422" s="1">
        <v>9</v>
      </c>
      <c r="G10422" s="1">
        <v>6</v>
      </c>
      <c r="H10422" s="1">
        <v>2</v>
      </c>
      <c r="I10422" s="1" t="s">
        <v>21512</v>
      </c>
      <c r="K10422" s="1" t="str">
        <f t="shared" si="645"/>
        <v>ㄕ</v>
      </c>
      <c r="L10422" s="1" t="str">
        <f t="shared" si="644"/>
        <v>ㄨ</v>
      </c>
      <c r="M10422" s="1" t="str">
        <f t="shared" si="643"/>
        <v>ㄛ</v>
      </c>
      <c r="P10422" s="1" t="s">
        <v>186</v>
      </c>
      <c r="R10422" s="1" t="s">
        <v>21513</v>
      </c>
      <c r="V10422" s="1" t="s">
        <v>206</v>
      </c>
      <c r="W10422" s="1" t="s">
        <v>21520</v>
      </c>
      <c r="AR10422" s="1" t="str">
        <f t="shared" si="642"/>
        <v>| [ㄕㄨㄛˋ](ㄕㄨㄛˋ.md) | [帥](帥.md) |  | shuò | (一)之讀音。 |</v>
      </c>
    </row>
    <row r="10423" spans="1:44" hidden="1">
      <c r="A10423" s="1" t="s">
        <v>21521</v>
      </c>
      <c r="C10423" s="1">
        <v>1</v>
      </c>
      <c r="D10423" s="1" t="str">
        <f>"09119"</f>
        <v>09119</v>
      </c>
      <c r="E10423" s="1" t="s">
        <v>2014</v>
      </c>
      <c r="F10423" s="1">
        <v>10</v>
      </c>
      <c r="G10423" s="1">
        <v>6</v>
      </c>
      <c r="H10423" s="1">
        <v>0</v>
      </c>
      <c r="I10423" s="1" t="s">
        <v>21512</v>
      </c>
      <c r="K10423" s="1" t="str">
        <f t="shared" si="645"/>
        <v>ㄕ</v>
      </c>
      <c r="L10423" s="1" t="str">
        <f t="shared" si="644"/>
        <v>ㄨ</v>
      </c>
      <c r="M10423" s="1" t="str">
        <f t="shared" si="643"/>
        <v>ㄛ</v>
      </c>
      <c r="P10423" s="1" t="s">
        <v>20</v>
      </c>
      <c r="R10423" s="1" t="s">
        <v>21513</v>
      </c>
      <c r="V10423" s="1" t="s">
        <v>21522</v>
      </c>
      <c r="AR10423" s="1" t="str">
        <f t="shared" si="642"/>
        <v>| [ㄕㄨㄛˋ](ㄕㄨㄛˋ.md) | [朔](朔.md) |  | shuò | [名]
1.農曆每月初一日。元．劉因〈桃源行〉：「天家正朔不得知，手種桃枝辨四時。」《初刻拍案驚奇》卷二〇：「每逢月朔，便獻一番利市。」
2.開始、最初。《禮記．禮運》：「治其麻絲，以為布帛，以養生送死，以事鬼神上帝，皆從其朔。」
3.北方。《書經．堯典》：「申命和叔，宅朔方，曰幽都。」
[形]
北方的。《文選．曹植．朔風詩》：「仰彼朔風，用懷魏都。」唐．杜甫〈詠懷古跡〉詩五首之三：「一去紫臺連朔漠，獨留青冢向黃昏。」 |</v>
      </c>
    </row>
    <row r="10424" spans="1:44" hidden="1">
      <c r="A10424" s="1" t="s">
        <v>21523</v>
      </c>
      <c r="C10424" s="1">
        <v>1</v>
      </c>
      <c r="D10424" s="1" t="str">
        <f>"09120"</f>
        <v>09120</v>
      </c>
      <c r="E10424" s="1" t="s">
        <v>24</v>
      </c>
      <c r="F10424" s="1">
        <v>13</v>
      </c>
      <c r="G10424" s="1">
        <v>10</v>
      </c>
      <c r="H10424" s="1">
        <v>0</v>
      </c>
      <c r="I10424" s="1" t="s">
        <v>21512</v>
      </c>
      <c r="K10424" s="1" t="str">
        <f t="shared" si="645"/>
        <v>ㄕ</v>
      </c>
      <c r="L10424" s="1" t="str">
        <f t="shared" si="644"/>
        <v>ㄨ</v>
      </c>
      <c r="M10424" s="1" t="str">
        <f t="shared" si="643"/>
        <v>ㄛ</v>
      </c>
      <c r="P10424" s="1" t="s">
        <v>20</v>
      </c>
      <c r="R10424" s="1" t="s">
        <v>21513</v>
      </c>
      <c r="V10424" s="1" t="s">
        <v>21524</v>
      </c>
      <c r="AR10424" s="1" t="str">
        <f t="shared" si="642"/>
        <v>| [ㄕㄨㄛˋ](ㄕㄨㄛˋ.md) | [搠](搠.md) |  | shuò | [動]
1.刺、扎。《京本通俗小說．錯斬崔寧》：「連搠一兩刀，血流在地，眼見得老王養不大了。」《水滸傳》第一〇回：「林冲舉手，肐察的一鎗，先搠倒差撥。」
2.插、豎。元．無名氏《爭報恩．楔子》：「忠義堂高搠杏黃旗一面，上寫著替天行道宋公明。」《三國演義》第五一回：「只見女牆邊虛搠旌旗，無人守護。」
3.提、拿。元．無名氏《漁樵記》第二折：「則問那映雪的書生安在，便是凍蘇秦也怎生去搠筆巡街！」《水滸傳》第八七回：「小將軍搠戟在手，勒馬陣前，高聲大叫。」
4.摔、推。《初刻拍案驚奇》卷三：「那婦人將盤一搠，且不收拾。」 |</v>
      </c>
    </row>
    <row r="10425" spans="1:44" hidden="1">
      <c r="A10425" s="1" t="s">
        <v>21525</v>
      </c>
      <c r="C10425" s="1">
        <v>1</v>
      </c>
      <c r="D10425" s="1" t="str">
        <f>"09121"</f>
        <v>09121</v>
      </c>
      <c r="E10425" s="1" t="s">
        <v>28</v>
      </c>
      <c r="F10425" s="1">
        <v>13</v>
      </c>
      <c r="G10425" s="1">
        <v>10</v>
      </c>
      <c r="H10425" s="1">
        <v>0</v>
      </c>
      <c r="I10425" s="1" t="s">
        <v>21512</v>
      </c>
      <c r="K10425" s="1" t="str">
        <f t="shared" si="645"/>
        <v>ㄕ</v>
      </c>
      <c r="L10425" s="1" t="str">
        <f t="shared" si="644"/>
        <v>ㄨ</v>
      </c>
      <c r="M10425" s="1" t="str">
        <f t="shared" si="643"/>
        <v>ㄛ</v>
      </c>
      <c r="P10425" s="1" t="s">
        <v>20</v>
      </c>
      <c r="R10425" s="1" t="s">
        <v>21513</v>
      </c>
      <c r="V10425" s="1" t="s">
        <v>21526</v>
      </c>
      <c r="AR10425" s="1" t="str">
        <f t="shared" si="642"/>
        <v>| [ㄕㄨㄛˋ](ㄕㄨㄛˋ.md) | [嗍](嗍.md) |  | shuò | [動]
以口吸吮。清．邵長蘅〈吳趨吟．重賦〉：「刮膏嗍民髓，髓竭國亦僵。」 |</v>
      </c>
    </row>
    <row r="10426" spans="1:44" hidden="1">
      <c r="A10426" s="1" t="s">
        <v>21527</v>
      </c>
      <c r="C10426" s="1">
        <v>1</v>
      </c>
      <c r="D10426" s="1" t="str">
        <f>"09122"</f>
        <v>09122</v>
      </c>
      <c r="E10426" s="1" t="s">
        <v>139</v>
      </c>
      <c r="F10426" s="1">
        <v>14</v>
      </c>
      <c r="G10426" s="1">
        <v>10</v>
      </c>
      <c r="H10426" s="1">
        <v>0</v>
      </c>
      <c r="I10426" s="1" t="s">
        <v>21512</v>
      </c>
      <c r="K10426" s="1" t="str">
        <f t="shared" si="645"/>
        <v>ㄕ</v>
      </c>
      <c r="L10426" s="1" t="str">
        <f t="shared" si="644"/>
        <v>ㄨ</v>
      </c>
      <c r="M10426" s="1" t="str">
        <f t="shared" si="643"/>
        <v>ㄛ</v>
      </c>
      <c r="P10426" s="1" t="s">
        <v>20</v>
      </c>
      <c r="R10426" s="1" t="s">
        <v>21513</v>
      </c>
      <c r="V10426" s="1" t="s">
        <v>21528</v>
      </c>
      <c r="AR10426" s="1" t="str">
        <f t="shared" si="642"/>
        <v>| [ㄕㄨㄛˋ](ㄕㄨㄛˋ.md) | [槊](槊.md) |  | shuò | [名]
武器名。一種長矛。如：「橫槊賦詩」。《魏書．卷五八．楊播傳》：「不畏利槊堅城，唯畏楊公鐵星。」 |</v>
      </c>
    </row>
    <row r="10427" spans="1:44" hidden="1">
      <c r="A10427" s="1" t="s">
        <v>21529</v>
      </c>
      <c r="C10427" s="1">
        <v>1</v>
      </c>
      <c r="D10427" s="1" t="str">
        <f>"09123"</f>
        <v>09123</v>
      </c>
      <c r="E10427" s="1" t="s">
        <v>37</v>
      </c>
      <c r="F10427" s="1">
        <v>14</v>
      </c>
      <c r="G10427" s="1">
        <v>10</v>
      </c>
      <c r="H10427" s="1">
        <v>0</v>
      </c>
      <c r="I10427" s="1" t="s">
        <v>21512</v>
      </c>
      <c r="K10427" s="1" t="str">
        <f t="shared" si="645"/>
        <v>ㄕ</v>
      </c>
      <c r="L10427" s="1" t="str">
        <f t="shared" si="644"/>
        <v>ㄨ</v>
      </c>
      <c r="M10427" s="1" t="str">
        <f t="shared" si="643"/>
        <v>ㄛ</v>
      </c>
      <c r="P10427" s="1" t="s">
        <v>20</v>
      </c>
      <c r="R10427" s="1" t="s">
        <v>21513</v>
      </c>
      <c r="V10427" s="1" t="s">
        <v>21530</v>
      </c>
      <c r="AR10427" s="1" t="str">
        <f t="shared" si="642"/>
        <v>| [ㄕㄨㄛˋ](ㄕㄨㄛˋ.md) | [蒴](蒴.md) |  | shuò | [名]
蘚苔植物的成熟之孢子體，產生或貯藏孢子之器官，稱為「蒴」，也稱為「苔蒴」。 |</v>
      </c>
    </row>
    <row r="10428" spans="1:44" hidden="1">
      <c r="A10428" s="1" t="s">
        <v>9487</v>
      </c>
      <c r="C10428" s="1">
        <v>1</v>
      </c>
      <c r="D10428" s="1" t="str">
        <f>"09124"</f>
        <v>09124</v>
      </c>
      <c r="E10428" s="1" t="s">
        <v>9085</v>
      </c>
      <c r="F10428" s="1">
        <v>11</v>
      </c>
      <c r="G10428" s="1">
        <v>6</v>
      </c>
      <c r="H10428" s="1">
        <v>2</v>
      </c>
      <c r="I10428" s="1" t="s">
        <v>21512</v>
      </c>
      <c r="K10428" s="1" t="str">
        <f t="shared" si="645"/>
        <v>ㄕ</v>
      </c>
      <c r="L10428" s="1" t="str">
        <f t="shared" si="644"/>
        <v>ㄨ</v>
      </c>
      <c r="M10428" s="1" t="str">
        <f t="shared" si="643"/>
        <v>ㄛ</v>
      </c>
      <c r="P10428" s="1" t="s">
        <v>20</v>
      </c>
      <c r="R10428" s="1" t="s">
        <v>21513</v>
      </c>
      <c r="V10428" s="1" t="s">
        <v>21531</v>
      </c>
      <c r="W10428" s="1" t="s">
        <v>21532</v>
      </c>
      <c r="AR10428" s="1" t="str">
        <f t="shared" si="642"/>
        <v>| [ㄕㄨㄛˋ](ㄕㄨㄛˋ.md) | [率](率.md) |  | shuò | 同「帥」(一)的讀音。 |</v>
      </c>
    </row>
    <row r="10429" spans="1:44" hidden="1">
      <c r="A10429" s="1" t="s">
        <v>21533</v>
      </c>
      <c r="C10429" s="1">
        <v>1</v>
      </c>
      <c r="D10429" s="1" t="str">
        <f>"09125"</f>
        <v>09125</v>
      </c>
      <c r="E10429" s="1" t="s">
        <v>679</v>
      </c>
      <c r="F10429" s="1">
        <v>17</v>
      </c>
      <c r="G10429" s="1">
        <v>11</v>
      </c>
      <c r="H10429" s="1">
        <v>2</v>
      </c>
      <c r="I10429" s="1" t="s">
        <v>21512</v>
      </c>
      <c r="K10429" s="1" t="str">
        <f t="shared" si="645"/>
        <v>ㄕ</v>
      </c>
      <c r="L10429" s="1" t="str">
        <f t="shared" si="644"/>
        <v>ㄨ</v>
      </c>
      <c r="M10429" s="1" t="str">
        <f t="shared" si="643"/>
        <v>ㄛ</v>
      </c>
      <c r="P10429" s="1" t="s">
        <v>186</v>
      </c>
      <c r="R10429" s="1" t="s">
        <v>21513</v>
      </c>
      <c r="V10429" s="1" t="s">
        <v>206</v>
      </c>
      <c r="W10429" s="1" t="s">
        <v>21534</v>
      </c>
      <c r="AR10429" s="1" t="str">
        <f t="shared" si="642"/>
        <v>| [ㄕㄨㄛˋ](ㄕㄨㄛˋ.md) | [蟀](蟀.md) |  | shuò | (一)之讀音。 |</v>
      </c>
    </row>
    <row r="10430" spans="1:44" hidden="1">
      <c r="A10430" s="1" t="s">
        <v>21535</v>
      </c>
      <c r="C10430" s="1">
        <v>1</v>
      </c>
      <c r="D10430" s="1" t="str">
        <f>"09126"</f>
        <v>09126</v>
      </c>
      <c r="E10430" s="1" t="s">
        <v>1908</v>
      </c>
      <c r="F10430" s="1">
        <v>11</v>
      </c>
      <c r="G10430" s="1">
        <v>7</v>
      </c>
      <c r="H10430" s="1">
        <v>1</v>
      </c>
      <c r="I10430" s="1" t="s">
        <v>21512</v>
      </c>
      <c r="K10430" s="1" t="str">
        <f t="shared" si="645"/>
        <v>ㄕ</v>
      </c>
      <c r="L10430" s="1" t="str">
        <f t="shared" si="644"/>
        <v>ㄨ</v>
      </c>
      <c r="M10430" s="1" t="str">
        <f t="shared" si="643"/>
        <v>ㄛ</v>
      </c>
      <c r="P10430" s="1" t="s">
        <v>20</v>
      </c>
      <c r="R10430" s="1" t="s">
        <v>21513</v>
      </c>
      <c r="V10430" s="1" t="s">
        <v>21536</v>
      </c>
      <c r="W10430" s="1" t="s">
        <v>21537</v>
      </c>
      <c r="AR10430" s="1" t="str">
        <f t="shared" si="642"/>
        <v>| [ㄕㄨㄛˋ](ㄕㄨㄛˋ.md) | [欶](欶.md) |  | shuò | [動]
飲。唐．韓愈、孟郊〈納涼聯句〉：「車馬獲同驅，酒醪欣共欶。」 |</v>
      </c>
    </row>
    <row r="10431" spans="1:44" hidden="1">
      <c r="A10431" s="1" t="s">
        <v>20928</v>
      </c>
      <c r="C10431" s="1">
        <v>1</v>
      </c>
      <c r="D10431" s="1" t="str">
        <f>"09127"</f>
        <v>09127</v>
      </c>
      <c r="E10431" s="1" t="s">
        <v>37</v>
      </c>
      <c r="F10431" s="1">
        <v>13</v>
      </c>
      <c r="G10431" s="1">
        <v>9</v>
      </c>
      <c r="H10431" s="1">
        <v>2</v>
      </c>
      <c r="I10431" s="1" t="s">
        <v>21512</v>
      </c>
      <c r="K10431" s="1" t="str">
        <f t="shared" si="645"/>
        <v>ㄕ</v>
      </c>
      <c r="L10431" s="1" t="str">
        <f t="shared" si="644"/>
        <v>ㄨ</v>
      </c>
      <c r="M10431" s="1" t="str">
        <f t="shared" si="643"/>
        <v>ㄛ</v>
      </c>
      <c r="P10431" s="1" t="s">
        <v>20</v>
      </c>
      <c r="R10431" s="1" t="s">
        <v>21513</v>
      </c>
      <c r="V10431" s="1" t="s">
        <v>21538</v>
      </c>
      <c r="W10431" s="1" t="s">
        <v>21539</v>
      </c>
      <c r="AR10431" s="1" t="str">
        <f t="shared" si="642"/>
        <v>| [ㄕㄨㄛˋ](ㄕㄨㄛˋ.md) | [萷](萷.md) |  | shuò | [名]
萷藋：一種藥草。《集韻．入聲．覺韻》：「萷，萷藋，藥草。」 |</v>
      </c>
    </row>
    <row r="10432" spans="1:44" hidden="1">
      <c r="A10432" s="1" t="s">
        <v>21540</v>
      </c>
      <c r="C10432" s="1">
        <v>1</v>
      </c>
      <c r="D10432" s="1" t="str">
        <f>"09128"</f>
        <v>09128</v>
      </c>
      <c r="E10432" s="1" t="s">
        <v>49</v>
      </c>
      <c r="F10432" s="1">
        <v>15</v>
      </c>
      <c r="G10432" s="1">
        <v>9</v>
      </c>
      <c r="H10432" s="1">
        <v>0</v>
      </c>
      <c r="I10432" s="1" t="s">
        <v>21512</v>
      </c>
      <c r="K10432" s="1" t="str">
        <f t="shared" si="645"/>
        <v>ㄕ</v>
      </c>
      <c r="L10432" s="1" t="str">
        <f t="shared" si="644"/>
        <v>ㄨ</v>
      </c>
      <c r="M10432" s="1" t="str">
        <f t="shared" si="643"/>
        <v>ㄛ</v>
      </c>
      <c r="P10432" s="1" t="s">
        <v>20</v>
      </c>
      <c r="R10432" s="1" t="s">
        <v>21513</v>
      </c>
      <c r="V10432" s="1" t="s">
        <v>21541</v>
      </c>
      <c r="AR10432" s="1" t="str">
        <f t="shared" si="642"/>
        <v>| [ㄕㄨㄛˋ](ㄕㄨㄛˋ.md) | [箾](箾.md) |  | shuò | [動]
用竿子打人。《說文解字．竹部》：「箾，以竿擊人也。」
[名]
古代舞者所拿的竿子。《廣韻．入聲．覺韻》：「箾，舞者所執。」 |</v>
      </c>
    </row>
    <row r="10433" spans="1:44" hidden="1">
      <c r="A10433" s="1" t="s">
        <v>20578</v>
      </c>
      <c r="C10433" s="1">
        <v>1</v>
      </c>
      <c r="D10433" s="1" t="str">
        <f>"09129"</f>
        <v>09129</v>
      </c>
      <c r="E10433" s="1" t="s">
        <v>169</v>
      </c>
      <c r="F10433" s="1">
        <v>14</v>
      </c>
      <c r="G10433" s="1">
        <v>9</v>
      </c>
      <c r="H10433" s="1">
        <v>1</v>
      </c>
      <c r="I10433" s="1" t="s">
        <v>21512</v>
      </c>
      <c r="K10433" s="1" t="str">
        <f t="shared" si="645"/>
        <v>ㄕ</v>
      </c>
      <c r="L10433" s="1" t="str">
        <f t="shared" si="644"/>
        <v>ㄨ</v>
      </c>
      <c r="M10433" s="1" t="str">
        <f t="shared" si="643"/>
        <v>ㄛ</v>
      </c>
      <c r="P10433" s="1" t="s">
        <v>20</v>
      </c>
      <c r="R10433" s="1" t="s">
        <v>21513</v>
      </c>
      <c r="V10433" s="1" t="s">
        <v>21542</v>
      </c>
      <c r="W10433" s="1" t="s">
        <v>21543</v>
      </c>
      <c r="AR10433" s="1" t="str">
        <f t="shared" si="642"/>
        <v>| [ㄕㄨㄛˋ](ㄕㄨㄛˋ.md) | [碩](碩.md) |  | shuò | [形]
1.大的、高大的。如：「碩大」、「碩德」。《詩經．魏風．碩鼠》：「碩鼠碩鼠，無食我黍。」
2.學識淵博的。如：「碩士」、「碩彥」、「碩儒」。
3.美好的。《詩經．衛風．碩人》：「碩人其頎，衣錦褧衣。」
4.堅固的。漢．阮瑀〈為曹公作書與孫權〉：「忍絕王命，明棄碩交，實為佞人所構會也。」 |</v>
      </c>
    </row>
    <row r="10434" spans="1:44" hidden="1">
      <c r="A10434" s="1" t="s">
        <v>21437</v>
      </c>
      <c r="C10434" s="1">
        <v>1</v>
      </c>
      <c r="D10434" s="1" t="str">
        <f>"09130"</f>
        <v>09130</v>
      </c>
      <c r="E10434" s="1" t="s">
        <v>426</v>
      </c>
      <c r="F10434" s="1">
        <v>15</v>
      </c>
      <c r="G10434" s="1">
        <v>11</v>
      </c>
      <c r="H10434" s="1">
        <v>3</v>
      </c>
      <c r="I10434" s="1" t="s">
        <v>21512</v>
      </c>
      <c r="K10434" s="1" t="str">
        <f t="shared" si="645"/>
        <v>ㄕ</v>
      </c>
      <c r="L10434" s="1" t="str">
        <f t="shared" si="644"/>
        <v>ㄨ</v>
      </c>
      <c r="M10434" s="1" t="str">
        <f t="shared" si="643"/>
        <v>ㄛ</v>
      </c>
      <c r="P10434" s="1" t="s">
        <v>20</v>
      </c>
      <c r="R10434" s="1" t="s">
        <v>21513</v>
      </c>
      <c r="V10434" s="1" t="s">
        <v>21544</v>
      </c>
      <c r="W10434" s="1" t="s">
        <v>21545</v>
      </c>
      <c r="AR10434" s="1" t="str">
        <f t="shared" si="642"/>
        <v>| [ㄕㄨㄛˋ](ㄕㄨㄛˋ.md) | [數](數.md) |  | shuò | [副]
頻頻、屢次。如：「數見不鮮」。《孫子．行軍》：「屢賞者窘也；數罰者困也。」 |</v>
      </c>
    </row>
    <row r="10435" spans="1:44" hidden="1">
      <c r="A10435" s="1" t="s">
        <v>21546</v>
      </c>
      <c r="C10435" s="1">
        <v>1</v>
      </c>
      <c r="D10435" s="1" t="str">
        <f>"09131"</f>
        <v>09131</v>
      </c>
      <c r="E10435" s="1" t="s">
        <v>198</v>
      </c>
      <c r="F10435" s="1">
        <v>15</v>
      </c>
      <c r="G10435" s="1">
        <v>12</v>
      </c>
      <c r="H10435" s="1">
        <v>0</v>
      </c>
      <c r="I10435" s="1" t="s">
        <v>21512</v>
      </c>
      <c r="K10435" s="1" t="str">
        <f t="shared" si="645"/>
        <v>ㄕ</v>
      </c>
      <c r="L10435" s="1" t="str">
        <f t="shared" si="644"/>
        <v>ㄨ</v>
      </c>
      <c r="M10435" s="1" t="str">
        <f t="shared" si="643"/>
        <v>ㄛ</v>
      </c>
      <c r="P10435" s="1" t="s">
        <v>20</v>
      </c>
      <c r="R10435" s="1" t="s">
        <v>21513</v>
      </c>
      <c r="V10435" s="1" t="s">
        <v>21547</v>
      </c>
      <c r="AR10435" s="1" t="str">
        <f t="shared" ref="AR10435:AR10498" si="646">"| ["&amp;I10435&amp;"]("&amp;I10435&amp;".md) | ["&amp;A10435&amp;"]("&amp;A10435&amp;".md) | "&amp;" | "&amp;R10435&amp;" | "&amp;V10435&amp;" |"</f>
        <v>| [ㄕㄨㄛˋ](ㄕㄨㄛˋ.md) | [獡](獡.md) |  | shuò | [形]
驚怕的樣子。《說文解字．犬部》：「獡，犬獡獡不附人也。……。南楚謂相驚曰獡。」 |</v>
      </c>
    </row>
    <row r="10436" spans="1:44" hidden="1">
      <c r="A10436" s="1" t="s">
        <v>21548</v>
      </c>
      <c r="C10436" s="1">
        <v>1</v>
      </c>
      <c r="D10436" s="1" t="str">
        <f>"09132"</f>
        <v>09132</v>
      </c>
      <c r="E10436" s="1" t="s">
        <v>336</v>
      </c>
      <c r="F10436" s="1">
        <v>19</v>
      </c>
      <c r="G10436" s="1">
        <v>15</v>
      </c>
      <c r="H10436" s="1">
        <v>0</v>
      </c>
      <c r="I10436" s="1" t="s">
        <v>21512</v>
      </c>
      <c r="K10436" s="1" t="str">
        <f t="shared" si="645"/>
        <v>ㄕ</v>
      </c>
      <c r="L10436" s="1" t="str">
        <f t="shared" si="644"/>
        <v>ㄨ</v>
      </c>
      <c r="M10436" s="1" t="str">
        <f t="shared" si="643"/>
        <v>ㄛ</v>
      </c>
      <c r="P10436" s="1" t="s">
        <v>20</v>
      </c>
      <c r="R10436" s="1" t="s">
        <v>21513</v>
      </c>
      <c r="V10436" s="1" t="s">
        <v>21549</v>
      </c>
      <c r="AR10436" s="1" t="str">
        <f t="shared" si="646"/>
        <v>| [ㄕㄨㄛˋ](ㄕㄨㄛˋ.md) | [爍](爍.md) |  | shuò | [形]
1.光亮閃動的樣子。如：「燈光閃爍」、「目光爍爍」。《文明小史》第一四回：「就這洋燈而論，晶光爍亮，已是外國人文明的證據。」
2.炎熱。唐．柳宗元〈永州龍興寺東邱記〉：「溫風不爍，清氣自至。」
[動]
1.銷鎔、鎔化。同「鑠」。《周禮．冬官考工記》：「爍金以為刃，凝土以為器。」漢．王充《論衡．奇怪》：「爍一鼎之銅，以灌一錢之形，不能成一鼎，明矣。」
2.燒、灼。唐．李白〈感時留別從兄徐王延年從弟延陵〉詩：「驕陽何太赫，海水爍龍龜。」 |</v>
      </c>
    </row>
    <row r="10437" spans="1:44" hidden="1">
      <c r="A10437" s="1" t="s">
        <v>21550</v>
      </c>
      <c r="C10437" s="1">
        <v>1</v>
      </c>
      <c r="D10437" s="1" t="str">
        <f>"09133"</f>
        <v>09133</v>
      </c>
      <c r="E10437" s="1" t="s">
        <v>55</v>
      </c>
      <c r="F10437" s="1">
        <v>23</v>
      </c>
      <c r="G10437" s="1">
        <v>15</v>
      </c>
      <c r="H10437" s="1">
        <v>0</v>
      </c>
      <c r="I10437" s="1" t="s">
        <v>21512</v>
      </c>
      <c r="K10437" s="1" t="str">
        <f t="shared" si="645"/>
        <v>ㄕ</v>
      </c>
      <c r="L10437" s="1" t="str">
        <f t="shared" si="644"/>
        <v>ㄨ</v>
      </c>
      <c r="M10437" s="1" t="str">
        <f t="shared" si="643"/>
        <v>ㄛ</v>
      </c>
      <c r="P10437" s="1" t="s">
        <v>20</v>
      </c>
      <c r="R10437" s="1" t="s">
        <v>21513</v>
      </c>
      <c r="V10437" s="1" t="s">
        <v>21551</v>
      </c>
      <c r="AR10437" s="1" t="str">
        <f t="shared" si="646"/>
        <v>| [ㄕㄨㄛˋ](ㄕㄨㄛˋ.md) | [鑠](鑠.md) |  | shuò | [動]
1.鎔化。如：「燒鑠」、「眾口鑠金」。
2.消損、削弱。《戰國策．秦策五》：「秦先得齊宋，則韓氏鑠，韓氏鑠則楚孤而受兵也。」宋．陸游〈晨起對鏡〉詩：「朱顏豈是一朝去，暗鑠潛銷五十年。」
3.鍛鍊。《孟子．告子上》：「仁、義、禮、智，非由外鑠我也。」
[形]
1.美好光明的。《詩經．周頌．酌》：「於鑠王師，遵養時晦。」漢．毛亨．傳：「鑠，美也。」
2.光亮閃耀的樣子。通「爍」。如：「震古鑠今」。 |</v>
      </c>
    </row>
    <row r="10438" spans="1:44" hidden="1">
      <c r="A10438" s="1" t="s">
        <v>21552</v>
      </c>
      <c r="C10438" s="1">
        <v>1</v>
      </c>
      <c r="D10438" s="1" t="str">
        <f>"09134"</f>
        <v>09134</v>
      </c>
      <c r="E10438" s="1" t="s">
        <v>340</v>
      </c>
      <c r="F10438" s="1">
        <v>10</v>
      </c>
      <c r="G10438" s="1">
        <v>4</v>
      </c>
      <c r="H10438" s="1">
        <v>1</v>
      </c>
      <c r="I10438" s="1" t="s">
        <v>21553</v>
      </c>
      <c r="K10438" s="1" t="str">
        <f t="shared" si="645"/>
        <v>ㄕ</v>
      </c>
      <c r="L10438" s="1" t="str">
        <f t="shared" si="644"/>
        <v>ㄨ</v>
      </c>
      <c r="M10438" s="1" t="str">
        <f t="shared" si="643"/>
        <v>ㄞ</v>
      </c>
      <c r="P10438" s="1" t="s">
        <v>20</v>
      </c>
      <c r="R10438" s="1" t="s">
        <v>21554</v>
      </c>
      <c r="V10438" s="1" t="s">
        <v>21555</v>
      </c>
      <c r="W10438" s="1" t="s">
        <v>21556</v>
      </c>
      <c r="AR10438" s="1" t="str">
        <f t="shared" si="646"/>
        <v>| [ㄕㄨㄞ](ㄕㄨㄞ.md) | [衰](衰.md) |  | shuāi | [動]_x000D_
減退、由強盛而微弱。《楚辭．屈原．九章．涉江》：「余幼好比奇服兮，年既老而不衰。」《禮記．王制》：「五十始衰，六十非肉不飽。」 |</v>
      </c>
    </row>
    <row r="10439" spans="1:44" hidden="1">
      <c r="A10439" s="1" t="s">
        <v>21557</v>
      </c>
      <c r="C10439" s="1">
        <v>1</v>
      </c>
      <c r="D10439" s="1" t="str">
        <f>"09135"</f>
        <v>09135</v>
      </c>
      <c r="E10439" s="1" t="s">
        <v>24</v>
      </c>
      <c r="F10439" s="1">
        <v>14</v>
      </c>
      <c r="G10439" s="1">
        <v>11</v>
      </c>
      <c r="H10439" s="1">
        <v>0</v>
      </c>
      <c r="I10439" s="1" t="s">
        <v>21553</v>
      </c>
      <c r="K10439" s="1" t="str">
        <f t="shared" si="645"/>
        <v>ㄕ</v>
      </c>
      <c r="L10439" s="1" t="str">
        <f t="shared" si="644"/>
        <v>ㄨ</v>
      </c>
      <c r="M10439" s="1" t="str">
        <f t="shared" si="643"/>
        <v>ㄞ</v>
      </c>
      <c r="P10439" s="1" t="s">
        <v>20</v>
      </c>
      <c r="R10439" s="1" t="s">
        <v>21554</v>
      </c>
      <c r="V10439" s="1" t="s">
        <v>21558</v>
      </c>
      <c r="AR10439" s="1" t="str">
        <f t="shared" si="646"/>
        <v>| [ㄕㄨㄞ](ㄕㄨㄞ.md) | [摔](摔.md) |  | shuāi | [動]
1.用力扔、丟。如：「把書狠狠地往桌上一摔。」《紅樓夢》第三回：「寶玉聽了，登時發作起痴狂病來，摘下那玉，就狠命摔去。」
2.墜落、掉落。如：「小心！別從樓梯上摔下來。」
3.使掉落而受損。如：「他不小心，把碗給摔了。」
4.擺脫掉。如：「現代人生活忙碌，無法將工作壓力摔在一邊。」
5.跌倒。如：「摔一跤」。
[名]
柔道技巧摔的動作。如：「過肩摔」。 |</v>
      </c>
    </row>
    <row r="10440" spans="1:44" hidden="1">
      <c r="A10440" s="1" t="s">
        <v>21559</v>
      </c>
      <c r="C10440" s="1">
        <v>1</v>
      </c>
      <c r="D10440" s="1" t="str">
        <f>"09136"</f>
        <v>09136</v>
      </c>
      <c r="E10440" s="1" t="s">
        <v>839</v>
      </c>
      <c r="F10440" s="1">
        <v>5</v>
      </c>
      <c r="G10440" s="1">
        <v>0</v>
      </c>
      <c r="H10440" s="1">
        <v>0</v>
      </c>
      <c r="I10440" s="1" t="s">
        <v>21560</v>
      </c>
      <c r="K10440" s="1" t="str">
        <f t="shared" si="645"/>
        <v>ㄕ</v>
      </c>
      <c r="L10440" s="1" t="str">
        <f t="shared" si="644"/>
        <v>ㄨ</v>
      </c>
      <c r="M10440" s="1" t="str">
        <f t="shared" si="643"/>
        <v>ㄞ</v>
      </c>
      <c r="P10440" s="1" t="s">
        <v>20</v>
      </c>
      <c r="R10440" s="1" t="s">
        <v>21561</v>
      </c>
      <c r="V10440" s="1" t="s">
        <v>21562</v>
      </c>
      <c r="AR10440" s="1" t="str">
        <f t="shared" si="646"/>
        <v>| [ㄕㄨㄞˇ](ㄕㄨㄞˇ.md) | [甩](甩.md) |  | shuǎi | [動]
1.搖擺、揮動。如：「甩甩頭」、「甩尾巴」、「甩辮子」、「甩水袖」。
2.扔、丟。如：「甩手榴彈」、「把球棒一甩」。
3.拋棄、拋開。如：「他把咱們給甩了！」「等一會兒吧！別把他一個人甩在後面。」
4.理會。如：「我才不甩他那一套！」 |</v>
      </c>
    </row>
    <row r="10441" spans="1:44" hidden="1">
      <c r="A10441" s="1" t="s">
        <v>21519</v>
      </c>
      <c r="C10441" s="1">
        <v>1</v>
      </c>
      <c r="D10441" s="1" t="str">
        <f>"09137"</f>
        <v>09137</v>
      </c>
      <c r="E10441" s="1" t="s">
        <v>222</v>
      </c>
      <c r="F10441" s="1">
        <v>9</v>
      </c>
      <c r="G10441" s="1">
        <v>6</v>
      </c>
      <c r="H10441" s="1">
        <v>1</v>
      </c>
      <c r="I10441" s="1" t="s">
        <v>21563</v>
      </c>
      <c r="K10441" s="1" t="str">
        <f t="shared" si="645"/>
        <v>ㄕ</v>
      </c>
      <c r="L10441" s="1" t="str">
        <f t="shared" si="644"/>
        <v>ㄨ</v>
      </c>
      <c r="M10441" s="1" t="str">
        <f t="shared" si="643"/>
        <v>ㄞ</v>
      </c>
      <c r="P10441" s="1" t="s">
        <v>388</v>
      </c>
      <c r="R10441" s="1" t="s">
        <v>21564</v>
      </c>
      <c r="V10441" s="1" t="s">
        <v>21565</v>
      </c>
      <c r="W10441" s="1" t="s">
        <v>21566</v>
      </c>
      <c r="AR10441" s="1" t="str">
        <f t="shared" si="646"/>
        <v>| [ㄕㄨㄞˋ](ㄕㄨㄞˋ.md) | [帥](帥.md) |  | shuài | [名]
1.軍隊中級職最高的指揮官。如：「統帥」、「元帥」。
2.姓。如宋代有帥範。
[動]
1.引導、率領。如：「帥師」。《左傳．隱公元年》：「命子封帥車二百乘以伐京。」
2.遵循。《左傳．莊公二十三年》：「帥長幼之序。」《國語．周語下》：「帥象禹之功，度之于軌儀。」三國吳．韋昭．注：「帥，循也。」
[形]
1.面容俊俏或舉止瀟灑、有風度。如：「帥氣」、「這個男孩長得很帥。」
2.事情美好，令人滿意。如：「帥啊！好一支再見全壘打。」、「他寫的這幾個字真帥！」 |</v>
      </c>
    </row>
    <row r="10442" spans="1:44" hidden="1">
      <c r="A10442" s="1" t="s">
        <v>9487</v>
      </c>
      <c r="C10442" s="1">
        <v>1</v>
      </c>
      <c r="D10442" s="1" t="str">
        <f>"09138"</f>
        <v>09138</v>
      </c>
      <c r="E10442" s="1" t="s">
        <v>9085</v>
      </c>
      <c r="F10442" s="1">
        <v>11</v>
      </c>
      <c r="G10442" s="1">
        <v>6</v>
      </c>
      <c r="H10442" s="1">
        <v>1</v>
      </c>
      <c r="I10442" s="1" t="s">
        <v>21563</v>
      </c>
      <c r="K10442" s="1" t="str">
        <f t="shared" si="645"/>
        <v>ㄕ</v>
      </c>
      <c r="L10442" s="1" t="str">
        <f t="shared" si="644"/>
        <v>ㄨ</v>
      </c>
      <c r="M10442" s="1" t="str">
        <f t="shared" si="643"/>
        <v>ㄞ</v>
      </c>
      <c r="P10442" s="1" t="s">
        <v>20</v>
      </c>
      <c r="R10442" s="1" t="s">
        <v>21564</v>
      </c>
      <c r="V10442" s="1" t="s">
        <v>21567</v>
      </c>
      <c r="W10442" s="1" t="s">
        <v>21568</v>
      </c>
      <c r="AR10442" s="1" t="str">
        <f t="shared" si="646"/>
        <v>| [ㄕㄨㄞˋ](ㄕㄨㄞˋ.md) | [率](率.md) |  | shuài | [名]
1.榜樣。如：「表率」。《史記．卷一一二．平津侯主父傳》：「夫三公者，百寮之率，萬民之表也。」
2.姓。如宋代有率子廉。
[動]
1.帶領。如：「率領」、「率團訪問」。
2.遵循。《詩經．大雅．假樂》：「不愆不忘，率由舊章。」漢．鄭玄．箋：「率，循也。……循用舊典之文章，謂周公之禮法。」
[形]
1.輕浮、不細心。如：「輕率」、「草率」。
2.坦白、豪爽。如：「坦率」、「直率」。
[副]
大約、通常。如：「大率」、「率皆如此」。南朝梁．劉勰《文心雕龍．明詩》：「乃正始明道，詩雜仙心，何晏之徒，率多浮淺。」 |</v>
      </c>
    </row>
    <row r="10443" spans="1:44" hidden="1">
      <c r="A10443" s="1" t="s">
        <v>21533</v>
      </c>
      <c r="C10443" s="1">
        <v>1</v>
      </c>
      <c r="D10443" s="1" t="str">
        <f>"09139"</f>
        <v>09139</v>
      </c>
      <c r="E10443" s="1" t="s">
        <v>679</v>
      </c>
      <c r="F10443" s="1">
        <v>17</v>
      </c>
      <c r="G10443" s="1">
        <v>11</v>
      </c>
      <c r="H10443" s="1">
        <v>1</v>
      </c>
      <c r="I10443" s="1" t="s">
        <v>21563</v>
      </c>
      <c r="K10443" s="1" t="str">
        <f t="shared" si="645"/>
        <v>ㄕ</v>
      </c>
      <c r="L10443" s="1" t="str">
        <f t="shared" si="644"/>
        <v>ㄨ</v>
      </c>
      <c r="M10443" s="1" t="str">
        <f t="shared" si="643"/>
        <v>ㄞ</v>
      </c>
      <c r="P10443" s="1" t="s">
        <v>388</v>
      </c>
      <c r="R10443" s="1" t="s">
        <v>21564</v>
      </c>
      <c r="V10443" s="1" t="s">
        <v>16153</v>
      </c>
      <c r="W10443" s="1" t="s">
        <v>21569</v>
      </c>
      <c r="AR10443" s="1" t="str">
        <f t="shared" si="646"/>
        <v>| [ㄕㄨㄞˋ](ㄕㄨㄞˋ.md) | [蟀](蟀.md) |  | shuài | 參見「蟋蟀」條。 |</v>
      </c>
    </row>
    <row r="10444" spans="1:44" hidden="1">
      <c r="A10444" s="1" t="s">
        <v>20909</v>
      </c>
      <c r="C10444" s="1">
        <v>1</v>
      </c>
      <c r="D10444" s="1" t="str">
        <f>"09140"</f>
        <v>09140</v>
      </c>
      <c r="E10444" s="1" t="s">
        <v>331</v>
      </c>
      <c r="F10444" s="1">
        <v>15</v>
      </c>
      <c r="G10444" s="1">
        <v>8</v>
      </c>
      <c r="H10444" s="1">
        <v>2</v>
      </c>
      <c r="I10444" s="1" t="s">
        <v>21570</v>
      </c>
      <c r="K10444" s="1" t="str">
        <f t="shared" si="645"/>
        <v>ㄕ</v>
      </c>
      <c r="L10444" s="1" t="str">
        <f t="shared" si="644"/>
        <v>ㄨ</v>
      </c>
      <c r="M10444" s="1" t="str">
        <f t="shared" si="643"/>
        <v>ㄟ</v>
      </c>
      <c r="P10444" s="1" t="s">
        <v>186</v>
      </c>
      <c r="R10444" s="1" t="s">
        <v>21571</v>
      </c>
      <c r="V10444" s="1" t="s">
        <v>206</v>
      </c>
      <c r="W10444" s="1" t="s">
        <v>21572</v>
      </c>
      <c r="AR10444" s="1" t="str">
        <f t="shared" si="646"/>
        <v>| [ㄕㄨㄟˊ](ㄕㄨㄟˊ.md) | [誰](誰.md) |  | shuí | (一)之讀音。 |</v>
      </c>
    </row>
    <row r="10445" spans="1:44" hidden="1">
      <c r="A10445" s="1" t="s">
        <v>21573</v>
      </c>
      <c r="C10445" s="1">
        <v>1</v>
      </c>
      <c r="D10445" s="1" t="str">
        <f>"09141"</f>
        <v>09141</v>
      </c>
      <c r="E10445" s="1" t="s">
        <v>129</v>
      </c>
      <c r="F10445" s="1">
        <v>4</v>
      </c>
      <c r="G10445" s="1">
        <v>0</v>
      </c>
      <c r="H10445" s="1">
        <v>0</v>
      </c>
      <c r="I10445" s="1" t="s">
        <v>21574</v>
      </c>
      <c r="K10445" s="1" t="str">
        <f t="shared" si="645"/>
        <v>ㄕ</v>
      </c>
      <c r="L10445" s="1" t="str">
        <f t="shared" si="644"/>
        <v>ㄨ</v>
      </c>
      <c r="M10445" s="1" t="str">
        <f t="shared" si="643"/>
        <v>ㄟ</v>
      </c>
      <c r="P10445" s="1" t="s">
        <v>20</v>
      </c>
      <c r="R10445" s="1" t="s">
        <v>21575</v>
      </c>
      <c r="V10445" s="1" t="s">
        <v>21576</v>
      </c>
      <c r="AR10445" s="1" t="str">
        <f t="shared" si="646"/>
        <v>| [ㄕㄨㄟˇ](ㄕㄨㄟˇ.md) | [水](水.md) |  | shuǐ | [名]
1.無色無臭的液體。由氫氣與氧氣化合而成。
2.汁、液。如：「墨水」、「藥水」、「橘子水」、「檸檬水」。
3.海、河、江、湖的總稱。如：「漢水」。《書經．微子》：「今殷其淪喪，若涉大水，其無津涯。」
4.五行之一。參見「五行」條。
5.水星的簡稱。參見「水星」條。
6.額外的收入、費用。如：「撈油水」。《鄰女語》第二回：「你一路上發的水還不彀麼？還要到這地方來想方麼？」
7.量詞。計算衣物刷洗次數的單位。如：「這件衣服洗兩水就走樣了。」
8.姓。如明代有水甦民。
9.二一四部首之一。
[形]
瓜果等多汁而不脆甜。如：「這梨吃起來水水的，不脆。」 |</v>
      </c>
    </row>
    <row r="10446" spans="1:44" hidden="1">
      <c r="A10446" s="1" t="s">
        <v>21577</v>
      </c>
      <c r="C10446" s="1">
        <v>1</v>
      </c>
      <c r="D10446" s="1" t="str">
        <f>"09142"</f>
        <v>09142</v>
      </c>
      <c r="E10446" s="1" t="s">
        <v>129</v>
      </c>
      <c r="F10446" s="1">
        <v>10</v>
      </c>
      <c r="G10446" s="1">
        <v>7</v>
      </c>
      <c r="H10446" s="1">
        <v>0</v>
      </c>
      <c r="I10446" s="1" t="s">
        <v>21578</v>
      </c>
      <c r="K10446" s="1" t="str">
        <f t="shared" si="645"/>
        <v>ㄕ</v>
      </c>
      <c r="L10446" s="1" t="str">
        <f t="shared" si="644"/>
        <v>ㄨ</v>
      </c>
      <c r="M10446" s="1" t="str">
        <f t="shared" si="643"/>
        <v>ㄟ</v>
      </c>
      <c r="P10446" s="1" t="s">
        <v>20</v>
      </c>
      <c r="R10446" s="1" t="s">
        <v>21579</v>
      </c>
      <c r="V10446" s="1" t="s">
        <v>21580</v>
      </c>
      <c r="AR10446" s="1" t="str">
        <f t="shared" si="646"/>
        <v>| [ㄕㄨㄟˋ](ㄕㄨㄟˋ.md) | [涗](涗.md) |  | shuì | [名]
溫水。《玉篇．水部》：「涗，溫水也。」
[形]
清澈。《周禮．冬官考工記．&amp;91dd._104_0.gif;氏》：「&amp;91dd._104_0.gif;氏湅絲，以涗水漚其絲，七日，去地尺，暴之。」 |</v>
      </c>
    </row>
    <row r="10447" spans="1:44" hidden="1">
      <c r="A10447" s="1" t="s">
        <v>21581</v>
      </c>
      <c r="C10447" s="1">
        <v>1</v>
      </c>
      <c r="D10447" s="1" t="str">
        <f>"09143"</f>
        <v>09143</v>
      </c>
      <c r="E10447" s="1" t="s">
        <v>222</v>
      </c>
      <c r="F10447" s="1">
        <v>10</v>
      </c>
      <c r="G10447" s="1">
        <v>7</v>
      </c>
      <c r="H10447" s="1">
        <v>0</v>
      </c>
      <c r="I10447" s="1" t="s">
        <v>21578</v>
      </c>
      <c r="K10447" s="1" t="str">
        <f t="shared" si="645"/>
        <v>ㄕ</v>
      </c>
      <c r="L10447" s="1" t="str">
        <f t="shared" ref="L10447:L10479" si="647">MID(I10447, 2, 1)</f>
        <v>ㄨ</v>
      </c>
      <c r="M10447" s="1" t="str">
        <f t="shared" si="643"/>
        <v>ㄟ</v>
      </c>
      <c r="P10447" s="1" t="s">
        <v>20</v>
      </c>
      <c r="R10447" s="1" t="s">
        <v>21579</v>
      </c>
      <c r="V10447" s="1" t="s">
        <v>21582</v>
      </c>
      <c r="AR10447" s="1" t="str">
        <f t="shared" si="646"/>
        <v>| [ㄕㄨㄟˋ](ㄕㄨㄟˋ.md) | [帨](帨.md) |  | shuì | [名]
佩巾，即手帕。《詩經．召南．野有死麕》：「舒而脫脫兮，無感我帨兮。」漢．毛亨．傳：「帨，佩巾也。」 |</v>
      </c>
    </row>
    <row r="10448" spans="1:44" hidden="1">
      <c r="A10448" s="1" t="s">
        <v>21583</v>
      </c>
      <c r="C10448" s="1">
        <v>1</v>
      </c>
      <c r="D10448" s="1" t="str">
        <f>"09144"</f>
        <v>09144</v>
      </c>
      <c r="E10448" s="1" t="s">
        <v>429</v>
      </c>
      <c r="F10448" s="1">
        <v>12</v>
      </c>
      <c r="G10448" s="1">
        <v>7</v>
      </c>
      <c r="H10448" s="1">
        <v>0</v>
      </c>
      <c r="I10448" s="1" t="s">
        <v>21578</v>
      </c>
      <c r="K10448" s="1" t="str">
        <f t="shared" si="645"/>
        <v>ㄕ</v>
      </c>
      <c r="L10448" s="1" t="str">
        <f t="shared" si="647"/>
        <v>ㄨ</v>
      </c>
      <c r="M10448" s="1" t="str">
        <f t="shared" si="643"/>
        <v>ㄟ</v>
      </c>
      <c r="P10448" s="1" t="s">
        <v>20</v>
      </c>
      <c r="R10448" s="1" t="s">
        <v>21579</v>
      </c>
      <c r="V10448" s="1" t="s">
        <v>21584</v>
      </c>
      <c r="AR10448" s="1" t="str">
        <f t="shared" si="646"/>
        <v>| [ㄕㄨㄟˋ](ㄕㄨㄟˋ.md) | [稅](稅.md) |  | shuì | [名]
國家向人民徵收所得的一部分，作為國家經費。如：「所得稅」、「營業稅」。
[動]
1.租賃。唐．白行簡《李娃傳》：「聞茲地有隙院，願稅以居，信乎？」《聊齋志異．卷二．俠女》：「對戶舊有空第，一老嫗及少女，稅居其中。」
2.以物贈人。《禮記．檀弓上》：「未仕者不敢稅人，如稅人則以父兄之命。」 |</v>
      </c>
    </row>
    <row r="10449" spans="1:44" hidden="1">
      <c r="A10449" s="1" t="s">
        <v>6936</v>
      </c>
      <c r="C10449" s="1">
        <v>1</v>
      </c>
      <c r="D10449" s="1" t="str">
        <f>"09145"</f>
        <v>09145</v>
      </c>
      <c r="E10449" s="1" t="s">
        <v>679</v>
      </c>
      <c r="F10449" s="1">
        <v>13</v>
      </c>
      <c r="G10449" s="1">
        <v>7</v>
      </c>
      <c r="H10449" s="1">
        <v>2</v>
      </c>
      <c r="I10449" s="1" t="s">
        <v>21578</v>
      </c>
      <c r="K10449" s="1" t="str">
        <f t="shared" si="645"/>
        <v>ㄕ</v>
      </c>
      <c r="L10449" s="1" t="str">
        <f t="shared" si="647"/>
        <v>ㄨ</v>
      </c>
      <c r="M10449" s="1" t="str">
        <f t="shared" si="643"/>
        <v>ㄟ</v>
      </c>
      <c r="P10449" s="1" t="s">
        <v>110</v>
      </c>
      <c r="R10449" s="1" t="s">
        <v>21579</v>
      </c>
      <c r="V10449" s="1" t="s">
        <v>21585</v>
      </c>
      <c r="W10449" s="1" t="s">
        <v>21586</v>
      </c>
      <c r="AR10449" s="1" t="str">
        <f t="shared" si="646"/>
        <v>| [ㄕㄨㄟˋ](ㄕㄨㄟˋ.md) | [蛻](蛻.md) |  | shuì | 參見「蛻變」條。 |</v>
      </c>
    </row>
    <row r="10450" spans="1:44" hidden="1">
      <c r="A10450" s="1" t="s">
        <v>21507</v>
      </c>
      <c r="C10450" s="1">
        <v>1</v>
      </c>
      <c r="D10450" s="1" t="str">
        <f>"09146"</f>
        <v>09146</v>
      </c>
      <c r="E10450" s="1" t="s">
        <v>331</v>
      </c>
      <c r="F10450" s="1">
        <v>14</v>
      </c>
      <c r="G10450" s="1">
        <v>7</v>
      </c>
      <c r="H10450" s="1">
        <v>2</v>
      </c>
      <c r="I10450" s="1" t="s">
        <v>21578</v>
      </c>
      <c r="K10450" s="1" t="str">
        <f t="shared" si="645"/>
        <v>ㄕ</v>
      </c>
      <c r="L10450" s="1" t="str">
        <f t="shared" si="647"/>
        <v>ㄨ</v>
      </c>
      <c r="M10450" s="1" t="str">
        <f t="shared" ref="M10450:M10479" si="648">MID(I10450, 3, 1)</f>
        <v>ㄟ</v>
      </c>
      <c r="P10450" s="1" t="s">
        <v>20</v>
      </c>
      <c r="R10450" s="1" t="s">
        <v>21579</v>
      </c>
      <c r="V10450" s="1" t="s">
        <v>21587</v>
      </c>
      <c r="W10450" s="1" t="s">
        <v>21588</v>
      </c>
      <c r="AR10450" s="1" t="str">
        <f t="shared" si="646"/>
        <v>| [ㄕㄨㄟˋ](ㄕㄨㄟˋ.md) | [說](說.md) |  | shuì | [動]_x000D_
用言語勸說，使人聽從或採納自己的意見。如：「說客」、「說服」、「遊說」。《孟子．萬章上》：「其自任以天下之重如此，故就湯而說之以伐夏救民。」 |</v>
      </c>
    </row>
    <row r="10451" spans="1:44" hidden="1">
      <c r="A10451" s="1" t="s">
        <v>21589</v>
      </c>
      <c r="C10451" s="1">
        <v>1</v>
      </c>
      <c r="D10451" s="1" t="str">
        <f>"09147"</f>
        <v>09147</v>
      </c>
      <c r="E10451" s="1" t="s">
        <v>1015</v>
      </c>
      <c r="F10451" s="1">
        <v>14</v>
      </c>
      <c r="G10451" s="1">
        <v>9</v>
      </c>
      <c r="H10451" s="1">
        <v>0</v>
      </c>
      <c r="I10451" s="1" t="s">
        <v>21578</v>
      </c>
      <c r="K10451" s="1" t="str">
        <f t="shared" si="645"/>
        <v>ㄕ</v>
      </c>
      <c r="L10451" s="1" t="str">
        <f t="shared" si="647"/>
        <v>ㄨ</v>
      </c>
      <c r="M10451" s="1" t="str">
        <f t="shared" si="648"/>
        <v>ㄟ</v>
      </c>
      <c r="P10451" s="1" t="s">
        <v>20</v>
      </c>
      <c r="R10451" s="1" t="s">
        <v>21579</v>
      </c>
      <c r="V10451" s="1" t="s">
        <v>21590</v>
      </c>
      <c r="AR10451" s="1" t="str">
        <f t="shared" si="646"/>
        <v>| [ㄕㄨㄟˋ](ㄕㄨㄟˋ.md) | [睡](睡.md) |  | shuì | [動]
1.閉目安息，使身心凝定沉靜，以休養精神。如：「沉睡」。《漢書．卷四八．賈誼傳》：「斥候望烽燧不得臥，將吏披介冑而睡。」
2.躺。《儒林外史》第一二回：「那些朋友們和我賭賽，叫我睡在街心裡，把膀子伸著，等那車來。」
[形]
睡眠時用的。如：「睡衣」、「睡袍」。 |</v>
      </c>
    </row>
    <row r="10452" spans="1:44" hidden="1">
      <c r="A10452" s="1" t="s">
        <v>21591</v>
      </c>
      <c r="C10452" s="1">
        <v>1</v>
      </c>
      <c r="D10452" s="1" t="str">
        <f>"09148"</f>
        <v>09148</v>
      </c>
      <c r="E10452" s="1" t="s">
        <v>24</v>
      </c>
      <c r="F10452" s="1">
        <v>9</v>
      </c>
      <c r="G10452" s="1">
        <v>6</v>
      </c>
      <c r="H10452" s="1">
        <v>0</v>
      </c>
      <c r="I10452" s="1" t="s">
        <v>21592</v>
      </c>
      <c r="K10452" s="1" t="str">
        <f t="shared" si="645"/>
        <v>ㄕ</v>
      </c>
      <c r="L10452" s="1" t="str">
        <f t="shared" si="647"/>
        <v>ㄨ</v>
      </c>
      <c r="M10452" s="1" t="str">
        <f t="shared" si="648"/>
        <v>ㄢ</v>
      </c>
      <c r="P10452" s="1" t="s">
        <v>20</v>
      </c>
      <c r="R10452" s="1" t="s">
        <v>21593</v>
      </c>
      <c r="V10452" s="1" t="s">
        <v>21594</v>
      </c>
      <c r="AR10452" s="1" t="str">
        <f t="shared" si="646"/>
        <v>| [ㄕㄨㄢ](ㄕㄨㄢ.md) | [拴](拴.md) |  | shuān | [動]
繫、綁。如：「她被孩子拴住了，走不開。」《紅樓夢》第四七回：「湘蓮見前面人跡已稀，且有一帶葦塘。便下馬將馬拴在樹上。」
[名]
門閂。《水滸傳》第四回：「門子只得捻腳捻手，把拴拽了，飛也似閃入房裡躲了。」 |</v>
      </c>
    </row>
    <row r="10453" spans="1:44" hidden="1">
      <c r="A10453" s="1" t="s">
        <v>21595</v>
      </c>
      <c r="C10453" s="1">
        <v>1</v>
      </c>
      <c r="D10453" s="1" t="str">
        <f>"09149"</f>
        <v>09149</v>
      </c>
      <c r="E10453" s="1" t="s">
        <v>139</v>
      </c>
      <c r="F10453" s="1">
        <v>10</v>
      </c>
      <c r="G10453" s="1">
        <v>6</v>
      </c>
      <c r="H10453" s="1">
        <v>0</v>
      </c>
      <c r="I10453" s="1" t="s">
        <v>21592</v>
      </c>
      <c r="K10453" s="1" t="str">
        <f t="shared" si="645"/>
        <v>ㄕ</v>
      </c>
      <c r="L10453" s="1" t="str">
        <f t="shared" si="647"/>
        <v>ㄨ</v>
      </c>
      <c r="M10453" s="1" t="str">
        <f t="shared" si="648"/>
        <v>ㄢ</v>
      </c>
      <c r="P10453" s="1" t="s">
        <v>20</v>
      </c>
      <c r="R10453" s="1" t="s">
        <v>21593</v>
      </c>
      <c r="V10453" s="1" t="s">
        <v>21596</v>
      </c>
      <c r="AR10453" s="1" t="str">
        <f t="shared" si="646"/>
        <v>| [ㄕㄨㄢ](ㄕㄨㄢ.md) | [栓](栓.md) |  | shuān | [名]
1.木釘。《玉篇．木部》：「栓，木丁也。」
2.器物上可以開關的活門。如：「門栓」、「消防栓」。
3.瓶塞。如：「瓶栓」、「木栓」。 |</v>
      </c>
    </row>
    <row r="10454" spans="1:44" hidden="1">
      <c r="A10454" s="1" t="s">
        <v>21597</v>
      </c>
      <c r="C10454" s="1">
        <v>1</v>
      </c>
      <c r="D10454" s="1" t="str">
        <f>"09150"</f>
        <v>09150</v>
      </c>
      <c r="E10454" s="1" t="s">
        <v>709</v>
      </c>
      <c r="F10454" s="1">
        <v>9</v>
      </c>
      <c r="G10454" s="1">
        <v>1</v>
      </c>
      <c r="H10454" s="1">
        <v>0</v>
      </c>
      <c r="I10454" s="1" t="s">
        <v>21592</v>
      </c>
      <c r="K10454" s="1" t="str">
        <f t="shared" si="645"/>
        <v>ㄕ</v>
      </c>
      <c r="L10454" s="1" t="str">
        <f t="shared" si="647"/>
        <v>ㄨ</v>
      </c>
      <c r="M10454" s="1" t="str">
        <f t="shared" si="648"/>
        <v>ㄢ</v>
      </c>
      <c r="P10454" s="1" t="s">
        <v>20</v>
      </c>
      <c r="R10454" s="1" t="s">
        <v>21593</v>
      </c>
      <c r="V10454" s="1" t="s">
        <v>21598</v>
      </c>
      <c r="AR10454" s="1" t="str">
        <f t="shared" si="646"/>
        <v>| [ㄕㄨㄢ](ㄕㄨㄢ.md) | [閂](閂.md) |  | shuān | [名]
栓門戶的橫木。如：「門閂」。《紅樓夢》第七一回：「只見角門虛掩，猶未上閂。」
[動]
插上門閂，把門關緊。《老殘遊記》第五回：「此地有酒，你閂了大門，可以來喝一杯罷！」 |</v>
      </c>
    </row>
    <row r="10455" spans="1:44" hidden="1">
      <c r="A10455" s="1" t="s">
        <v>21599</v>
      </c>
      <c r="C10455" s="1">
        <v>1</v>
      </c>
      <c r="D10455" s="1" t="str">
        <f>"09151"</f>
        <v>09151</v>
      </c>
      <c r="E10455" s="1" t="s">
        <v>129</v>
      </c>
      <c r="F10455" s="1">
        <v>11</v>
      </c>
      <c r="G10455" s="1">
        <v>8</v>
      </c>
      <c r="H10455" s="1">
        <v>0</v>
      </c>
      <c r="I10455" s="1" t="s">
        <v>21600</v>
      </c>
      <c r="K10455" s="1" t="str">
        <f t="shared" si="645"/>
        <v>ㄕ</v>
      </c>
      <c r="L10455" s="1" t="str">
        <f t="shared" si="647"/>
        <v>ㄨ</v>
      </c>
      <c r="M10455" s="1" t="str">
        <f t="shared" si="648"/>
        <v>ㄢ</v>
      </c>
      <c r="P10455" s="1" t="s">
        <v>20</v>
      </c>
      <c r="R10455" s="1" t="s">
        <v>21601</v>
      </c>
      <c r="V10455" s="1" t="s">
        <v>21602</v>
      </c>
      <c r="AR10455" s="1" t="str">
        <f t="shared" si="646"/>
        <v>| [ㄕㄨㄢˋ](ㄕㄨㄢˋ.md) | [涮](涮.md) |  | shuàn | [動]
1.清洗、洗滌。如：「涮碗碟」、「涮瓶子」、「涮杯子」。
2.一種烹飪方法。由進食者將切好的薄肉片，放入滾湯中，燙一下即刻取出，沾佐料而食。如：「涮羊肉」、「涮毛肚」。
3.戲弄、作弄。如：「你別涮人了。」 |</v>
      </c>
    </row>
    <row r="10456" spans="1:44" hidden="1">
      <c r="A10456" s="1" t="s">
        <v>17460</v>
      </c>
      <c r="C10456" s="1">
        <v>1</v>
      </c>
      <c r="D10456" s="1" t="str">
        <f>"09152"</f>
        <v>09152</v>
      </c>
      <c r="E10456" s="1" t="s">
        <v>331</v>
      </c>
      <c r="F10456" s="1">
        <v>16</v>
      </c>
      <c r="G10456" s="1">
        <v>9</v>
      </c>
      <c r="H10456" s="1">
        <v>2</v>
      </c>
      <c r="I10456" s="1" t="s">
        <v>21600</v>
      </c>
      <c r="K10456" s="1" t="str">
        <f t="shared" si="645"/>
        <v>ㄕ</v>
      </c>
      <c r="L10456" s="1" t="str">
        <f t="shared" si="647"/>
        <v>ㄨ</v>
      </c>
      <c r="M10456" s="1" t="str">
        <f t="shared" si="648"/>
        <v>ㄢ</v>
      </c>
      <c r="P10456" s="1" t="s">
        <v>20</v>
      </c>
      <c r="R10456" s="1" t="s">
        <v>21601</v>
      </c>
      <c r="V10456" s="1" t="s">
        <v>21603</v>
      </c>
      <c r="W10456" s="1" t="s">
        <v>21604</v>
      </c>
      <c r="AR10456" s="1" t="str">
        <f t="shared" si="646"/>
        <v>| [ㄕㄨㄢˋ](ㄕㄨㄢˋ.md) | [諼](諼.md) |  | shuàn | [動]
戲弄、說謊開玩笑。如：「他出帖請客，主人卻爽約不到，把人給諼了。」 |</v>
      </c>
    </row>
    <row r="10457" spans="1:44" hidden="1">
      <c r="A10457" s="1" t="s">
        <v>20303</v>
      </c>
      <c r="C10457" s="1">
        <v>1</v>
      </c>
      <c r="D10457" s="1" t="str">
        <f>"09153"</f>
        <v>09153</v>
      </c>
      <c r="E10457" s="1" t="s">
        <v>77</v>
      </c>
      <c r="F10457" s="1">
        <v>16</v>
      </c>
      <c r="G10457" s="1">
        <v>9</v>
      </c>
      <c r="H10457" s="1">
        <v>1</v>
      </c>
      <c r="I10457" s="1" t="s">
        <v>21600</v>
      </c>
      <c r="K10457" s="1" t="str">
        <f t="shared" si="645"/>
        <v>ㄕ</v>
      </c>
      <c r="L10457" s="1" t="str">
        <f t="shared" si="647"/>
        <v>ㄨ</v>
      </c>
      <c r="M10457" s="1" t="str">
        <f t="shared" si="648"/>
        <v>ㄢ</v>
      </c>
      <c r="P10457" s="1" t="s">
        <v>20</v>
      </c>
      <c r="R10457" s="1" t="s">
        <v>21601</v>
      </c>
      <c r="V10457" s="1" t="s">
        <v>21605</v>
      </c>
      <c r="W10457" s="1" t="s">
        <v>21606</v>
      </c>
      <c r="AR10457" s="1" t="str">
        <f t="shared" si="646"/>
        <v>| [ㄕㄨㄢˋ](ㄕㄨㄢˋ.md) | [踹](踹.md) |  | shuàn | [名]
腳後跟。《玉篇．足部》：「踹，足跟也。」
[動]
躍。《淮南子．人間》：「追者至，踹足而怒。」漢．高誘．注：「踹足，躍足也。」 |</v>
      </c>
    </row>
    <row r="10458" spans="1:44" hidden="1">
      <c r="A10458" s="1" t="s">
        <v>21607</v>
      </c>
      <c r="C10458" s="1">
        <v>1</v>
      </c>
      <c r="D10458" s="1" t="str">
        <f>"09154"</f>
        <v>09154</v>
      </c>
      <c r="E10458" s="1" t="s">
        <v>28</v>
      </c>
      <c r="F10458" s="1">
        <v>7</v>
      </c>
      <c r="G10458" s="1">
        <v>4</v>
      </c>
      <c r="H10458" s="1">
        <v>0</v>
      </c>
      <c r="I10458" s="1" t="s">
        <v>21608</v>
      </c>
      <c r="K10458" s="1" t="str">
        <f t="shared" si="645"/>
        <v>ㄕ</v>
      </c>
      <c r="L10458" s="1" t="str">
        <f t="shared" si="647"/>
        <v>ㄨ</v>
      </c>
      <c r="M10458" s="1" t="str">
        <f t="shared" si="648"/>
        <v>ㄣ</v>
      </c>
      <c r="P10458" s="1" t="s">
        <v>20</v>
      </c>
      <c r="R10458" s="1" t="s">
        <v>21609</v>
      </c>
      <c r="V10458" s="1" t="s">
        <v>21610</v>
      </c>
      <c r="AR10458" s="1" t="str">
        <f t="shared" si="646"/>
        <v>| [ㄕㄨㄣˇ](ㄕㄨㄣˇ.md) | [吮](吮.md) |  | shǔn | [動]
用口吸取。如：「吮奶」、「吮血」、「吸吮」。《韓非子．備內》：「醫善吮人之傷，含人之血。」 |</v>
      </c>
    </row>
    <row r="10459" spans="1:44" hidden="1">
      <c r="A10459" s="1" t="s">
        <v>5847</v>
      </c>
      <c r="C10459" s="1">
        <v>1</v>
      </c>
      <c r="D10459" s="1" t="str">
        <f>"09155"</f>
        <v>09155</v>
      </c>
      <c r="E10459" s="1" t="s">
        <v>1015</v>
      </c>
      <c r="F10459" s="1">
        <v>9</v>
      </c>
      <c r="G10459" s="1">
        <v>4</v>
      </c>
      <c r="H10459" s="1">
        <v>2</v>
      </c>
      <c r="I10459" s="1" t="s">
        <v>21608</v>
      </c>
      <c r="K10459" s="1" t="str">
        <f t="shared" si="645"/>
        <v>ㄕ</v>
      </c>
      <c r="L10459" s="1" t="str">
        <f t="shared" si="647"/>
        <v>ㄨ</v>
      </c>
      <c r="M10459" s="1" t="str">
        <f t="shared" si="648"/>
        <v>ㄣ</v>
      </c>
      <c r="P10459" s="1" t="s">
        <v>110</v>
      </c>
      <c r="R10459" s="1" t="s">
        <v>21609</v>
      </c>
      <c r="V10459" s="1" t="s">
        <v>111</v>
      </c>
      <c r="W10459" s="1" t="s">
        <v>21611</v>
      </c>
      <c r="AR10459" s="1" t="str">
        <f t="shared" si="646"/>
        <v>| [ㄕㄨㄣˇ](ㄕㄨㄣˇ.md) | [盾](盾.md) |  | shǔn | (一)之又音。 |</v>
      </c>
    </row>
    <row r="10460" spans="1:44" hidden="1">
      <c r="A10460" s="1" t="s">
        <v>21612</v>
      </c>
      <c r="C10460" s="1">
        <v>1</v>
      </c>
      <c r="D10460" s="1" t="str">
        <f>"09156"</f>
        <v>09156</v>
      </c>
      <c r="E10460" s="1" t="s">
        <v>139</v>
      </c>
      <c r="F10460" s="1">
        <v>13</v>
      </c>
      <c r="G10460" s="1">
        <v>9</v>
      </c>
      <c r="H10460" s="1">
        <v>0</v>
      </c>
      <c r="I10460" s="1" t="s">
        <v>21608</v>
      </c>
      <c r="K10460" s="1" t="str">
        <f t="shared" si="645"/>
        <v>ㄕ</v>
      </c>
      <c r="L10460" s="1" t="str">
        <f t="shared" si="647"/>
        <v>ㄨ</v>
      </c>
      <c r="M10460" s="1" t="str">
        <f t="shared" si="648"/>
        <v>ㄣ</v>
      </c>
      <c r="P10460" s="1" t="s">
        <v>20</v>
      </c>
      <c r="R10460" s="1" t="s">
        <v>21609</v>
      </c>
      <c r="V10460" s="1" t="s">
        <v>21613</v>
      </c>
      <c r="AR10460" s="1" t="str">
        <f t="shared" si="646"/>
        <v>| [ㄕㄨㄣˇ](ㄕㄨㄣˇ.md) | [楯](楯.md) |  | shǔn | [名]
1.欄杆的橫木，泛指欄杆。宋．黃銖〈江神子．秋風嫋嫋夕陽紅〉詞：「獨上高樓三百尺，憑玉楯，睇層空。」
2.古代用來抵禦敵人兵刃及保護自己的兵器。通「盾」。《宋書．卷五一．長沙王道憐傳》：「有質幹，善於用短楯。」 |</v>
      </c>
    </row>
    <row r="10461" spans="1:44" hidden="1">
      <c r="A10461" s="1" t="s">
        <v>21614</v>
      </c>
      <c r="C10461" s="1">
        <v>1</v>
      </c>
      <c r="D10461" s="1" t="str">
        <f>"09157"</f>
        <v>09157</v>
      </c>
      <c r="E10461" s="1" t="s">
        <v>1015</v>
      </c>
      <c r="F10461" s="1">
        <v>10</v>
      </c>
      <c r="G10461" s="1">
        <v>5</v>
      </c>
      <c r="H10461" s="1">
        <v>0</v>
      </c>
      <c r="I10461" s="1" t="s">
        <v>21615</v>
      </c>
      <c r="K10461" s="1" t="str">
        <f t="shared" si="645"/>
        <v>ㄕ</v>
      </c>
      <c r="L10461" s="1" t="str">
        <f t="shared" si="647"/>
        <v>ㄨ</v>
      </c>
      <c r="M10461" s="1" t="str">
        <f t="shared" si="648"/>
        <v>ㄣ</v>
      </c>
      <c r="P10461" s="1" t="s">
        <v>20</v>
      </c>
      <c r="R10461" s="1" t="s">
        <v>21616</v>
      </c>
      <c r="V10461" s="1" t="s">
        <v>21617</v>
      </c>
      <c r="AR10461" s="1" t="str">
        <f t="shared" si="646"/>
        <v>| [ㄕㄨㄣˋ](ㄕㄨㄣˋ.md) | [䀢](䀢.md) |  | shùn | [動]
以眼示意。《公羊傳．成公二年》：「郤克䀢魯衛之使，使以其辭而謂之請。」清．袁枚〈祭妹文〉：「家中文墨，䀢汝辦治。」 |</v>
      </c>
    </row>
    <row r="10462" spans="1:44" hidden="1">
      <c r="A10462" s="1" t="s">
        <v>21618</v>
      </c>
      <c r="C10462" s="1">
        <v>1</v>
      </c>
      <c r="D10462" s="1" t="str">
        <f>"09158"</f>
        <v>09158</v>
      </c>
      <c r="E10462" s="1" t="s">
        <v>16438</v>
      </c>
      <c r="F10462" s="1">
        <v>12</v>
      </c>
      <c r="G10462" s="1">
        <v>6</v>
      </c>
      <c r="H10462" s="1">
        <v>0</v>
      </c>
      <c r="I10462" s="1" t="s">
        <v>21615</v>
      </c>
      <c r="K10462" s="1" t="str">
        <f t="shared" si="645"/>
        <v>ㄕ</v>
      </c>
      <c r="L10462" s="1" t="str">
        <f t="shared" si="647"/>
        <v>ㄨ</v>
      </c>
      <c r="M10462" s="1" t="str">
        <f t="shared" si="648"/>
        <v>ㄣ</v>
      </c>
      <c r="P10462" s="1" t="s">
        <v>20</v>
      </c>
      <c r="R10462" s="1" t="s">
        <v>21616</v>
      </c>
      <c r="V10462" s="1" t="s">
        <v>21619</v>
      </c>
      <c r="AR10462" s="1" t="str">
        <f t="shared" si="646"/>
        <v>| [ㄕㄨㄣˋ](ㄕㄨㄣˋ.md) | [舜](舜.md) |  | shùn | [名]
1.參見「虞舜」條。
2.木槿的別名。參見「木槿」條。
3.姓。如春秋時晉國有舜華。 |</v>
      </c>
    </row>
    <row r="10463" spans="1:44" hidden="1">
      <c r="A10463" s="1" t="s">
        <v>21620</v>
      </c>
      <c r="C10463" s="1">
        <v>1</v>
      </c>
      <c r="D10463" s="1" t="str">
        <f>"09159"</f>
        <v>09159</v>
      </c>
      <c r="E10463" s="1" t="s">
        <v>37</v>
      </c>
      <c r="F10463" s="1">
        <v>16</v>
      </c>
      <c r="G10463" s="1">
        <v>12</v>
      </c>
      <c r="H10463" s="1">
        <v>0</v>
      </c>
      <c r="I10463" s="1" t="s">
        <v>21615</v>
      </c>
      <c r="K10463" s="1" t="str">
        <f t="shared" si="645"/>
        <v>ㄕ</v>
      </c>
      <c r="L10463" s="1" t="str">
        <f t="shared" si="647"/>
        <v>ㄨ</v>
      </c>
      <c r="M10463" s="1" t="str">
        <f t="shared" si="648"/>
        <v>ㄣ</v>
      </c>
      <c r="P10463" s="1" t="s">
        <v>20</v>
      </c>
      <c r="R10463" s="1" t="s">
        <v>21616</v>
      </c>
      <c r="V10463" s="1" t="s">
        <v>21621</v>
      </c>
      <c r="AR10463" s="1" t="str">
        <f t="shared" si="646"/>
        <v>| [ㄕㄨㄣˋ](ㄕㄨㄣˋ.md) | [蕣](蕣.md) |  | shùn | [名]
植物名。錦葵科木槿屬，「木槿」之古稱，參見「木槿」條。 |</v>
      </c>
    </row>
    <row r="10464" spans="1:44" hidden="1">
      <c r="A10464" s="1" t="s">
        <v>21622</v>
      </c>
      <c r="C10464" s="1">
        <v>1</v>
      </c>
      <c r="D10464" s="1" t="str">
        <f>"09160"</f>
        <v>09160</v>
      </c>
      <c r="E10464" s="1" t="s">
        <v>1015</v>
      </c>
      <c r="F10464" s="1">
        <v>17</v>
      </c>
      <c r="G10464" s="1">
        <v>12</v>
      </c>
      <c r="H10464" s="1">
        <v>0</v>
      </c>
      <c r="I10464" s="1" t="s">
        <v>21615</v>
      </c>
      <c r="K10464" s="1" t="str">
        <f t="shared" si="645"/>
        <v>ㄕ</v>
      </c>
      <c r="L10464" s="1" t="str">
        <f t="shared" si="647"/>
        <v>ㄨ</v>
      </c>
      <c r="M10464" s="1" t="str">
        <f t="shared" si="648"/>
        <v>ㄣ</v>
      </c>
      <c r="P10464" s="1" t="s">
        <v>20</v>
      </c>
      <c r="R10464" s="1" t="s">
        <v>21616</v>
      </c>
      <c r="V10464" s="1" t="s">
        <v>21623</v>
      </c>
      <c r="AR10464" s="1" t="str">
        <f t="shared" si="646"/>
        <v>| [ㄕㄨㄣˋ](ㄕㄨㄣˋ.md) | [瞬](瞬.md) |  | shùn | [動]
眨眼、眼珠轉動。《列子．湯問》：「爾先學不瞬，而後可言射矣。」
[名]
比喻短暫的時間。宋．蘇軾〈赤壁賦〉：「蓋將自其變者而觀之，天地曾不能以一瞬。」 |</v>
      </c>
    </row>
    <row r="10465" spans="1:44" hidden="1">
      <c r="A10465" s="1" t="s">
        <v>21624</v>
      </c>
      <c r="C10465" s="1">
        <v>1</v>
      </c>
      <c r="D10465" s="1" t="str">
        <f>"09161"</f>
        <v>09161</v>
      </c>
      <c r="E10465" s="1" t="s">
        <v>684</v>
      </c>
      <c r="F10465" s="1">
        <v>12</v>
      </c>
      <c r="G10465" s="1">
        <v>3</v>
      </c>
      <c r="H10465" s="1">
        <v>0</v>
      </c>
      <c r="I10465" s="1" t="s">
        <v>21615</v>
      </c>
      <c r="K10465" s="1" t="str">
        <f t="shared" si="645"/>
        <v>ㄕ</v>
      </c>
      <c r="L10465" s="1" t="str">
        <f t="shared" si="647"/>
        <v>ㄨ</v>
      </c>
      <c r="M10465" s="1" t="str">
        <f t="shared" si="648"/>
        <v>ㄣ</v>
      </c>
      <c r="P10465" s="1" t="s">
        <v>20</v>
      </c>
      <c r="R10465" s="1" t="s">
        <v>21616</v>
      </c>
      <c r="V10465" s="1" t="s">
        <v>21625</v>
      </c>
      <c r="AR10465" s="1" t="str">
        <f t="shared" si="646"/>
        <v>| [ㄕㄨㄣˋ](ㄕㄨㄣˋ.md) | [順](順.md) |  | shùn | [動]
1.遵循。如：「順序」。《詩經．魯頌．泮水》：「順此長道，屈此群醜。」
2.依從。宋．司馬光〈訓儉示康〉：「亦不敢服垢弊以矯俗干名，但順吾性而已。」
3.沿著同一個方向。如：「順風」、「順水」、「順流」。
4.歸服。如：「歸順」。《孟子．公孫丑下》：「多助之至，天下順之。」
5.適合、不違逆。如：「順心」、「順眼」。
6.整理。如：「把頭髮順一順。」
7.趁便。如：「順便」、「順道」。
[形]
1.調和的。如：「風調雨順」。
2.流利、通暢。如：「通順」。唐．韓愈〈南陽樊紹述墓志銘〉：「文從字順各識識。」
[副]
依序。《左傳．定公八年》：「冬十月，順祀先公而祈焉。」 |</v>
      </c>
    </row>
    <row r="10466" spans="1:44" hidden="1">
      <c r="A10466" s="1" t="s">
        <v>21626</v>
      </c>
      <c r="C10466" s="1">
        <v>1</v>
      </c>
      <c r="D10466" s="1" t="str">
        <f>"09162"</f>
        <v>09162</v>
      </c>
      <c r="E10466" s="1" t="s">
        <v>1015</v>
      </c>
      <c r="F10466" s="1">
        <v>16</v>
      </c>
      <c r="G10466" s="1">
        <v>11</v>
      </c>
      <c r="H10466" s="1">
        <v>0</v>
      </c>
      <c r="I10466" s="1" t="s">
        <v>21615</v>
      </c>
      <c r="K10466" s="1" t="str">
        <f t="shared" si="645"/>
        <v>ㄕ</v>
      </c>
      <c r="L10466" s="1" t="str">
        <f t="shared" si="647"/>
        <v>ㄨ</v>
      </c>
      <c r="M10466" s="1" t="str">
        <f t="shared" si="648"/>
        <v>ㄣ</v>
      </c>
      <c r="P10466" s="1" t="s">
        <v>20</v>
      </c>
      <c r="R10466" s="1" t="s">
        <v>21616</v>
      </c>
      <c r="V10466" s="1" t="s">
        <v>21627</v>
      </c>
      <c r="AR10466" s="1" t="str">
        <f t="shared" si="646"/>
        <v>| [ㄕㄨㄣˋ](ㄕㄨㄣˋ.md) | [瞚](瞚.md) |  | shùn | [動]
轉動眼珠。《莊子．庚桑楚》：「終日視而目不瞚。」《史記．卷一〇五．扁鵲倉公傳》：「中庶子聞扁鵲言，目眩然而不瞚。」 |</v>
      </c>
    </row>
    <row r="10467" spans="1:44" hidden="1">
      <c r="A10467" s="1" t="s">
        <v>21628</v>
      </c>
      <c r="C10467" s="1">
        <v>1</v>
      </c>
      <c r="D10467" s="1" t="str">
        <f>"09163"</f>
        <v>09163</v>
      </c>
      <c r="E10467" s="1" t="s">
        <v>1015</v>
      </c>
      <c r="F10467" s="1">
        <v>17</v>
      </c>
      <c r="G10467" s="1">
        <v>12</v>
      </c>
      <c r="H10467" s="1">
        <v>0</v>
      </c>
      <c r="I10467" s="1" t="s">
        <v>21615</v>
      </c>
      <c r="K10467" s="1" t="str">
        <f t="shared" si="645"/>
        <v>ㄕ</v>
      </c>
      <c r="L10467" s="1" t="str">
        <f t="shared" si="647"/>
        <v>ㄨ</v>
      </c>
      <c r="M10467" s="1" t="str">
        <f t="shared" si="648"/>
        <v>ㄣ</v>
      </c>
      <c r="P10467" s="1" t="s">
        <v>20</v>
      </c>
      <c r="R10467" s="1" t="s">
        <v>21616</v>
      </c>
      <c r="V10467" s="1" t="s">
        <v>21629</v>
      </c>
      <c r="AR10467" s="1" t="str">
        <f t="shared" si="646"/>
        <v>| [ㄕㄨㄣˋ](ㄕㄨㄣˋ.md) | [瞤](瞤.md) |  | shùn | [動]
眼珠跳動。《西京雜記》卷三：「夫目瞤得酒食，燈火華得錢財。」《聊齋志異．卷五．綠衣女》：「心動眼瞤，蓋是常也，何遽此云？」 |</v>
      </c>
    </row>
    <row r="10468" spans="1:44" hidden="1">
      <c r="A10468" s="1" t="s">
        <v>21630</v>
      </c>
      <c r="C10468" s="1">
        <v>1</v>
      </c>
      <c r="D10468" s="1" t="str">
        <f>"09164"</f>
        <v>09164</v>
      </c>
      <c r="E10468" s="1" t="s">
        <v>125</v>
      </c>
      <c r="F10468" s="1">
        <v>17</v>
      </c>
      <c r="G10468" s="1">
        <v>9</v>
      </c>
      <c r="H10468" s="1">
        <v>0</v>
      </c>
      <c r="I10468" s="1" t="s">
        <v>21631</v>
      </c>
      <c r="K10468" s="1" t="str">
        <f t="shared" si="645"/>
        <v>ㄕ</v>
      </c>
      <c r="L10468" s="1" t="str">
        <f t="shared" si="647"/>
        <v>ㄨ</v>
      </c>
      <c r="M10468" s="1" t="str">
        <f t="shared" si="648"/>
        <v>ㄤ</v>
      </c>
      <c r="P10468" s="1" t="s">
        <v>20</v>
      </c>
      <c r="R10468" s="1" t="s">
        <v>21632</v>
      </c>
      <c r="V10468" s="1" t="s">
        <v>21633</v>
      </c>
      <c r="AR10468" s="1" t="str">
        <f t="shared" si="646"/>
        <v>| [ㄕㄨㄤ](ㄕㄨㄤ.md) | [霜](霜.md) |  | shuāng | [名]
1.接近地面的水蒸氣，遇冷而凝結成白色的結晶顆粒。《詩經．秦風．蒹葭》：「蒹葭蒼蒼，白露為霜。」清．方苞〈左忠毅公軼事〉：「甲上冰霜迸落，鏗然有聲。」
2.白色如霜的粉末或膏脂。如：「砒霜」、「面霜」。
[形]
白色的。唐．杜甫〈古柏行〉：「霜皮溜雨四十圍，黛色參天二千尺。」 |</v>
      </c>
    </row>
    <row r="10469" spans="1:44" hidden="1">
      <c r="A10469" s="1" t="s">
        <v>21634</v>
      </c>
      <c r="C10469" s="1">
        <v>1</v>
      </c>
      <c r="D10469" s="1" t="str">
        <f>"09165"</f>
        <v>09165</v>
      </c>
      <c r="E10469" s="1" t="s">
        <v>534</v>
      </c>
      <c r="F10469" s="1">
        <v>20</v>
      </c>
      <c r="G10469" s="1">
        <v>17</v>
      </c>
      <c r="H10469" s="1">
        <v>0</v>
      </c>
      <c r="I10469" s="1" t="s">
        <v>21631</v>
      </c>
      <c r="K10469" s="1" t="str">
        <f t="shared" si="645"/>
        <v>ㄕ</v>
      </c>
      <c r="L10469" s="1" t="str">
        <f t="shared" si="647"/>
        <v>ㄨ</v>
      </c>
      <c r="M10469" s="1" t="str">
        <f t="shared" si="648"/>
        <v>ㄤ</v>
      </c>
      <c r="P10469" s="1" t="s">
        <v>20</v>
      </c>
      <c r="R10469" s="1" t="s">
        <v>21632</v>
      </c>
      <c r="V10469" s="1" t="s">
        <v>21635</v>
      </c>
      <c r="AR10469" s="1" t="str">
        <f t="shared" si="646"/>
        <v>| [ㄕㄨㄤ](ㄕㄨㄤ.md) | [孀](孀.md) |  | shuāng | [名]
寡婦，死了丈夫的女人。如：「遺孀」。《淮南子．脩務》：「弔死問疾，以養孤孀。」 |</v>
      </c>
    </row>
    <row r="10470" spans="1:44" hidden="1">
      <c r="A10470" s="1" t="s">
        <v>21636</v>
      </c>
      <c r="C10470" s="1">
        <v>1</v>
      </c>
      <c r="D10470" s="1" t="str">
        <f>"09166"</f>
        <v>09166</v>
      </c>
      <c r="E10470" s="1" t="s">
        <v>319</v>
      </c>
      <c r="F10470" s="1">
        <v>27</v>
      </c>
      <c r="G10470" s="1">
        <v>17</v>
      </c>
      <c r="H10470" s="1">
        <v>0</v>
      </c>
      <c r="I10470" s="1" t="s">
        <v>21631</v>
      </c>
      <c r="K10470" s="1" t="str">
        <f t="shared" si="645"/>
        <v>ㄕ</v>
      </c>
      <c r="L10470" s="1" t="str">
        <f t="shared" si="647"/>
        <v>ㄨ</v>
      </c>
      <c r="M10470" s="1" t="str">
        <f t="shared" si="648"/>
        <v>ㄤ</v>
      </c>
      <c r="P10470" s="1" t="s">
        <v>20</v>
      </c>
      <c r="R10470" s="1" t="s">
        <v>21632</v>
      </c>
      <c r="V10470" s="1" t="s">
        <v>21637</v>
      </c>
      <c r="AR10470" s="1" t="str">
        <f t="shared" si="646"/>
        <v>| [ㄕㄨㄤ](ㄕㄨㄤ.md) | [驦](驦.md) |  | shuāng | 參見「驌驦」條。 |</v>
      </c>
    </row>
    <row r="10471" spans="1:44" hidden="1">
      <c r="A10471" s="1" t="s">
        <v>21638</v>
      </c>
      <c r="C10471" s="1">
        <v>1</v>
      </c>
      <c r="D10471" s="1" t="str">
        <f>"09167"</f>
        <v>09167</v>
      </c>
      <c r="E10471" s="1" t="s">
        <v>5383</v>
      </c>
      <c r="F10471" s="1">
        <v>18</v>
      </c>
      <c r="G10471" s="1">
        <v>10</v>
      </c>
      <c r="H10471" s="1">
        <v>1</v>
      </c>
      <c r="I10471" s="1" t="s">
        <v>21631</v>
      </c>
      <c r="K10471" s="1" t="str">
        <f t="shared" si="645"/>
        <v>ㄕ</v>
      </c>
      <c r="L10471" s="1" t="str">
        <f t="shared" si="647"/>
        <v>ㄨ</v>
      </c>
      <c r="M10471" s="1" t="str">
        <f t="shared" si="648"/>
        <v>ㄤ</v>
      </c>
      <c r="P10471" s="1" t="s">
        <v>20</v>
      </c>
      <c r="R10471" s="1" t="s">
        <v>21632</v>
      </c>
      <c r="V10471" s="1" t="s">
        <v>21639</v>
      </c>
      <c r="W10471" s="1" t="s">
        <v>21640</v>
      </c>
      <c r="AR10471" s="1" t="str">
        <f t="shared" si="646"/>
        <v>| [ㄕㄨㄤ](ㄕㄨㄤ.md) | [雙](雙.md) |  | shuāng | [名]
1.量詞。計算成對物品的單位。如：「一雙鞋子」、「兩雙筷子」。
2.姓。如宋代有雙漸。
[形]
1.偶數的。如：「雙數」、「雙月」、「雙號」。
2.加倍的。如：「雙薪」、「雙份」。
[動]
匹敵。唐．韓愈〈病中贈張十八〉詩：「談舌久不掉，非君諒誰雙。」 |</v>
      </c>
    </row>
    <row r="10472" spans="1:44" hidden="1">
      <c r="A10472" s="1" t="s">
        <v>21641</v>
      </c>
      <c r="C10472" s="1">
        <v>1</v>
      </c>
      <c r="D10472" s="1" t="str">
        <f>"09168"</f>
        <v>09168</v>
      </c>
      <c r="E10472" s="1" t="s">
        <v>49</v>
      </c>
      <c r="F10472" s="1">
        <v>24</v>
      </c>
      <c r="G10472" s="1">
        <v>18</v>
      </c>
      <c r="H10472" s="1">
        <v>0</v>
      </c>
      <c r="I10472" s="1" t="s">
        <v>21631</v>
      </c>
      <c r="K10472" s="1" t="str">
        <f t="shared" si="645"/>
        <v>ㄕ</v>
      </c>
      <c r="L10472" s="1" t="str">
        <f t="shared" si="647"/>
        <v>ㄨ</v>
      </c>
      <c r="M10472" s="1" t="str">
        <f t="shared" si="648"/>
        <v>ㄤ</v>
      </c>
      <c r="P10472" s="1" t="s">
        <v>20</v>
      </c>
      <c r="R10472" s="1" t="s">
        <v>21632</v>
      </c>
      <c r="V10472" s="1" t="s">
        <v>17095</v>
      </c>
      <c r="AR10472" s="1" t="str">
        <f t="shared" si="646"/>
        <v>| [ㄕㄨㄤ](ㄕㄨㄤ.md) | [䉶](䉶.md) |  | shuāng | 參見「栙䉶」條。 |</v>
      </c>
    </row>
    <row r="10473" spans="1:44" hidden="1">
      <c r="A10473" s="1" t="s">
        <v>21642</v>
      </c>
      <c r="C10473" s="1">
        <v>1</v>
      </c>
      <c r="D10473" s="1" t="str">
        <f>"09169"</f>
        <v>09169</v>
      </c>
      <c r="E10473" s="1" t="s">
        <v>181</v>
      </c>
      <c r="F10473" s="1">
        <v>24</v>
      </c>
      <c r="G10473" s="1">
        <v>18</v>
      </c>
      <c r="H10473" s="1">
        <v>0</v>
      </c>
      <c r="I10473" s="1" t="s">
        <v>21631</v>
      </c>
      <c r="K10473" s="1" t="str">
        <f t="shared" si="645"/>
        <v>ㄕ</v>
      </c>
      <c r="L10473" s="1" t="str">
        <f t="shared" si="647"/>
        <v>ㄨ</v>
      </c>
      <c r="M10473" s="1" t="str">
        <f t="shared" si="648"/>
        <v>ㄤ</v>
      </c>
      <c r="P10473" s="1" t="s">
        <v>20</v>
      </c>
      <c r="R10473" s="1" t="s">
        <v>21632</v>
      </c>
      <c r="V10473" s="1" t="s">
        <v>21643</v>
      </c>
      <c r="AR10473" s="1" t="str">
        <f t="shared" si="646"/>
        <v>| [ㄕㄨㄤ](ㄕㄨㄤ.md) | [艭](艭.md) |  | shuāng | [名]
船隻。明．袁宏道〈和小修〉詩：「露稍千縷撲斜窗，黃笙藤枕夢吳艭。」 |</v>
      </c>
    </row>
    <row r="10474" spans="1:44" hidden="1">
      <c r="A10474" s="1" t="s">
        <v>21644</v>
      </c>
      <c r="C10474" s="1">
        <v>1</v>
      </c>
      <c r="D10474" s="1" t="str">
        <f>"09170"</f>
        <v>09170</v>
      </c>
      <c r="E10474" s="1" t="s">
        <v>77</v>
      </c>
      <c r="F10474" s="1">
        <v>25</v>
      </c>
      <c r="G10474" s="1">
        <v>18</v>
      </c>
      <c r="H10474" s="1">
        <v>0</v>
      </c>
      <c r="I10474" s="1" t="s">
        <v>21631</v>
      </c>
      <c r="K10474" s="1" t="str">
        <f t="shared" si="645"/>
        <v>ㄕ</v>
      </c>
      <c r="L10474" s="1" t="str">
        <f t="shared" si="647"/>
        <v>ㄨ</v>
      </c>
      <c r="M10474" s="1" t="str">
        <f t="shared" si="648"/>
        <v>ㄤ</v>
      </c>
      <c r="P10474" s="1" t="s">
        <v>20</v>
      </c>
      <c r="R10474" s="1" t="s">
        <v>21632</v>
      </c>
      <c r="V10474" s="1" t="s">
        <v>21645</v>
      </c>
      <c r="AR10474" s="1" t="str">
        <f t="shared" si="646"/>
        <v>| [ㄕㄨㄤ](ㄕㄨㄤ.md) | [𨇯](𨇯.md) |  | shuāng | [動]
跭𨇯：豎立。《廣韻．平聲．江韻》：「跭，跭𨇯，立也。」 |</v>
      </c>
    </row>
    <row r="10475" spans="1:44" hidden="1">
      <c r="A10475" s="1" t="s">
        <v>9395</v>
      </c>
      <c r="C10475" s="1">
        <v>1</v>
      </c>
      <c r="D10475" s="1" t="str">
        <f>"09171"</f>
        <v>09171</v>
      </c>
      <c r="E10475" s="1" t="s">
        <v>129</v>
      </c>
      <c r="F10475" s="1">
        <v>19</v>
      </c>
      <c r="G10475" s="1">
        <v>16</v>
      </c>
      <c r="H10475" s="1">
        <v>2</v>
      </c>
      <c r="I10475" s="1" t="s">
        <v>21631</v>
      </c>
      <c r="K10475" s="1" t="str">
        <f t="shared" si="645"/>
        <v>ㄕ</v>
      </c>
      <c r="L10475" s="1" t="str">
        <f t="shared" si="647"/>
        <v>ㄨ</v>
      </c>
      <c r="M10475" s="1" t="str">
        <f t="shared" si="648"/>
        <v>ㄤ</v>
      </c>
      <c r="P10475" s="1" t="s">
        <v>20</v>
      </c>
      <c r="R10475" s="1" t="s">
        <v>21632</v>
      </c>
      <c r="V10475" s="1" t="s">
        <v>21646</v>
      </c>
      <c r="W10475" s="1" t="s">
        <v>21647</v>
      </c>
      <c r="AR10475" s="1" t="str">
        <f t="shared" si="646"/>
        <v>| [ㄕㄨㄤ](ㄕㄨㄤ.md) | [瀧](瀧.md) |  | shuāng | [名]
1.河川名。源出大陸地區湖南省臨武縣西，流入廣東省，合於東江。
2.參見「瀧岡」條。 |</v>
      </c>
    </row>
    <row r="10476" spans="1:44" hidden="1">
      <c r="A10476" s="1" t="s">
        <v>21648</v>
      </c>
      <c r="C10476" s="1">
        <v>1</v>
      </c>
      <c r="D10476" s="1" t="str">
        <f>"09172"</f>
        <v>09172</v>
      </c>
      <c r="E10476" s="1" t="s">
        <v>272</v>
      </c>
      <c r="F10476" s="1">
        <v>22</v>
      </c>
      <c r="G10476" s="1">
        <v>11</v>
      </c>
      <c r="H10476" s="1">
        <v>0</v>
      </c>
      <c r="I10476" s="1" t="s">
        <v>21631</v>
      </c>
      <c r="K10476" s="1" t="str">
        <f t="shared" si="645"/>
        <v>ㄕ</v>
      </c>
      <c r="L10476" s="1" t="str">
        <f t="shared" si="647"/>
        <v>ㄨ</v>
      </c>
      <c r="M10476" s="1" t="str">
        <f t="shared" si="648"/>
        <v>ㄤ</v>
      </c>
      <c r="P10476" s="1" t="s">
        <v>20</v>
      </c>
      <c r="R10476" s="1" t="s">
        <v>21632</v>
      </c>
      <c r="V10476" s="1" t="s">
        <v>21649</v>
      </c>
      <c r="AR10476" s="1" t="str">
        <f t="shared" si="646"/>
        <v>| [ㄕㄨㄤ](ㄕㄨㄤ.md) | [鷞](鷞.md) |  | shuāng | 參見「鷫鷞」條。 |</v>
      </c>
    </row>
    <row r="10477" spans="1:44" hidden="1">
      <c r="A10477" s="1" t="s">
        <v>21650</v>
      </c>
      <c r="C10477" s="1">
        <v>1</v>
      </c>
      <c r="D10477" s="1" t="str">
        <f>"09173"</f>
        <v>09173</v>
      </c>
      <c r="E10477" s="1" t="s">
        <v>16671</v>
      </c>
      <c r="F10477" s="1">
        <v>11</v>
      </c>
      <c r="G10477" s="1">
        <v>7</v>
      </c>
      <c r="H10477" s="1">
        <v>0</v>
      </c>
      <c r="I10477" s="1" t="s">
        <v>21651</v>
      </c>
      <c r="K10477" s="1" t="str">
        <f t="shared" si="645"/>
        <v>ㄕ</v>
      </c>
      <c r="L10477" s="1" t="str">
        <f t="shared" si="647"/>
        <v>ㄨ</v>
      </c>
      <c r="M10477" s="1" t="str">
        <f t="shared" si="648"/>
        <v>ㄤ</v>
      </c>
      <c r="P10477" s="1" t="s">
        <v>20</v>
      </c>
      <c r="R10477" s="1" t="s">
        <v>21652</v>
      </c>
      <c r="V10477" s="1" t="s">
        <v>21653</v>
      </c>
      <c r="AR10477" s="1" t="str">
        <f t="shared" si="646"/>
        <v>| [ㄕㄨㄤˇ](ㄕㄨㄤˇ.md) | [爽](爽.md) |  | shuǎng | [形]
1.舒適、暢快。如：「神清氣爽」、「秋高氣爽」、「人逢喜事精神爽」。
2.豪邁、不拘小節的。如：「豪爽」、「直爽」。《水滸傳》第九四回：「關某單騎同唐斌到抱犢山。見文仲容、崔埜二人爽亮，毫無猥瑣之態。」
3.明亮。晉．陸機〈齊謳行〉：「營丘負海曲，沃野爽且平。」唐．李商隱〈別薛巖賓〉詩：「曙爽行將拂，晨清坐欲凌。」
[動]
1.犯錯、違失。如：「屢試不爽」。《詩經．衛風．氓》：「女也不爽，士貳其行。」
2.失、違反。如：「爽約」。 |</v>
      </c>
    </row>
    <row r="10478" spans="1:44" hidden="1">
      <c r="A10478" s="1" t="s">
        <v>21654</v>
      </c>
      <c r="C10478" s="1">
        <v>1</v>
      </c>
      <c r="D10478" s="1" t="str">
        <f>"09174"</f>
        <v>09174</v>
      </c>
      <c r="E10478" s="1" t="s">
        <v>132</v>
      </c>
      <c r="F10478" s="1">
        <v>14</v>
      </c>
      <c r="G10478" s="1">
        <v>11</v>
      </c>
      <c r="H10478" s="1">
        <v>0</v>
      </c>
      <c r="I10478" s="1" t="s">
        <v>21651</v>
      </c>
      <c r="K10478" s="1" t="str">
        <f t="shared" si="645"/>
        <v>ㄕ</v>
      </c>
      <c r="L10478" s="1" t="str">
        <f t="shared" si="647"/>
        <v>ㄨ</v>
      </c>
      <c r="M10478" s="1" t="str">
        <f t="shared" si="648"/>
        <v>ㄤ</v>
      </c>
      <c r="P10478" s="1" t="s">
        <v>20</v>
      </c>
      <c r="R10478" s="1" t="s">
        <v>21652</v>
      </c>
      <c r="V10478" s="1" t="s">
        <v>21655</v>
      </c>
      <c r="AR10478" s="1" t="str">
        <f t="shared" si="646"/>
        <v>| [ㄕㄨㄤˇ](ㄕㄨㄤˇ.md) | [塽](塽.md) |  | shuǎng | [名]
高朗的地方。《集韻．上聲．養韻》：「塽，地高明處。」 |</v>
      </c>
    </row>
    <row r="10479" spans="1:44" hidden="1">
      <c r="A10479" s="1" t="s">
        <v>21638</v>
      </c>
      <c r="C10479" s="1">
        <v>1</v>
      </c>
      <c r="D10479" s="1" t="str">
        <f>"09175"</f>
        <v>09175</v>
      </c>
      <c r="E10479" s="1" t="s">
        <v>5383</v>
      </c>
      <c r="F10479" s="1">
        <v>18</v>
      </c>
      <c r="G10479" s="1">
        <v>10</v>
      </c>
      <c r="H10479" s="1">
        <v>2</v>
      </c>
      <c r="I10479" s="1" t="s">
        <v>21656</v>
      </c>
      <c r="K10479" s="1" t="str">
        <f t="shared" si="645"/>
        <v>ㄕ</v>
      </c>
      <c r="L10479" s="1" t="str">
        <f t="shared" si="647"/>
        <v>ㄨ</v>
      </c>
      <c r="M10479" s="1" t="str">
        <f t="shared" si="648"/>
        <v>ㄤ</v>
      </c>
      <c r="P10479" s="1" t="s">
        <v>20</v>
      </c>
      <c r="R10479" s="1" t="s">
        <v>21657</v>
      </c>
      <c r="V10479" s="1" t="s">
        <v>21658</v>
      </c>
      <c r="W10479" s="1" t="s">
        <v>21659</v>
      </c>
      <c r="AR10479" s="1" t="str">
        <f t="shared" si="646"/>
        <v>| [ㄕㄨㄤˋ](ㄕㄨㄤˋ.md) | [雙](雙.md) |  | shuàng | 雙棒兒的雙的語音。 |</v>
      </c>
    </row>
    <row r="10480" spans="1:44" hidden="1">
      <c r="A10480" s="1" t="s">
        <v>19367</v>
      </c>
      <c r="C10480" s="1">
        <v>1</v>
      </c>
      <c r="D10480" s="1" t="str">
        <f>"08782"</f>
        <v>08782</v>
      </c>
      <c r="E10480" s="1" t="s">
        <v>360</v>
      </c>
      <c r="F10480" s="1">
        <v>11</v>
      </c>
      <c r="G10480" s="1">
        <v>9</v>
      </c>
      <c r="H10480" s="1">
        <v>2</v>
      </c>
      <c r="I10480" s="1" t="s">
        <v>20730</v>
      </c>
      <c r="J10480" s="2" t="s">
        <v>30559</v>
      </c>
      <c r="K10480" s="1" t="s">
        <v>20522</v>
      </c>
      <c r="L10480" s="1" t="s">
        <v>30571</v>
      </c>
      <c r="P10480" s="1" t="s">
        <v>20</v>
      </c>
      <c r="R10480" s="1" t="s">
        <v>20731</v>
      </c>
      <c r="V10480" s="1" t="s">
        <v>20732</v>
      </c>
      <c r="W10480" s="1" t="s">
        <v>20733</v>
      </c>
      <c r="AR10480" s="1" t="str">
        <f t="shared" si="646"/>
        <v>| [˙ㄕ](˙ㄕ.md) | [匙](匙.md) |  | shi | 參見「鑰匙」條。 |</v>
      </c>
    </row>
    <row r="10481" spans="1:44" hidden="1">
      <c r="A10481" s="1" t="s">
        <v>15160</v>
      </c>
      <c r="C10481" s="1">
        <v>1</v>
      </c>
      <c r="D10481" s="1" t="str">
        <f>"08803"</f>
        <v>08803</v>
      </c>
      <c r="E10481" s="1" t="s">
        <v>28</v>
      </c>
      <c r="F10481" s="1">
        <v>11</v>
      </c>
      <c r="G10481" s="1">
        <v>8</v>
      </c>
      <c r="H10481" s="1">
        <v>2</v>
      </c>
      <c r="I10481" s="1" t="s">
        <v>20784</v>
      </c>
      <c r="K10481" s="1" t="str">
        <f t="shared" ref="K10481:K10495" si="649">LEFT(I10481, 1)</f>
        <v>ㄕ</v>
      </c>
      <c r="L10481" s="1" t="str">
        <f t="shared" ref="L10481:L10495" si="650">MID(I10481, 2, 1)</f>
        <v>ㄚ</v>
      </c>
      <c r="N10481" s="3" t="s">
        <v>30574</v>
      </c>
      <c r="O10481" s="3"/>
      <c r="P10481" s="1" t="s">
        <v>20</v>
      </c>
      <c r="R10481" s="1" t="s">
        <v>20785</v>
      </c>
      <c r="V10481" s="1" t="s">
        <v>20786</v>
      </c>
      <c r="W10481" s="1" t="s">
        <v>20787</v>
      </c>
      <c r="AR10481" s="1" t="str">
        <f t="shared" si="646"/>
        <v>| [ㄕㄚˋ](ㄕㄚˋ.md) | [唼](唼.md) |  | shà | [動]
1.蟲咬東西。如：「這棵死樹根螞蟻唼了。」
2.魚、鳥在水中覓食。參見「唼喋」條。
3.除掉沒有用的東西。如：「用篩子唼細土。」、「吃飲時將沙唼出。」
4.小孔洩氣。參見「唼氣」條。 |</v>
      </c>
    </row>
    <row r="10482" spans="1:44" hidden="1">
      <c r="A10482" s="1" t="s">
        <v>20788</v>
      </c>
      <c r="C10482" s="1">
        <v>1</v>
      </c>
      <c r="D10482" s="1" t="str">
        <f>"08804"</f>
        <v>08804</v>
      </c>
      <c r="E10482" s="1" t="s">
        <v>2271</v>
      </c>
      <c r="F10482" s="1">
        <v>14</v>
      </c>
      <c r="G10482" s="1">
        <v>8</v>
      </c>
      <c r="H10482" s="1">
        <v>0</v>
      </c>
      <c r="I10482" s="1" t="s">
        <v>20784</v>
      </c>
      <c r="K10482" s="1" t="str">
        <f t="shared" si="649"/>
        <v>ㄕ</v>
      </c>
      <c r="L10482" s="1" t="str">
        <f t="shared" si="650"/>
        <v>ㄚ</v>
      </c>
      <c r="N10482" s="3" t="s">
        <v>30574</v>
      </c>
      <c r="O10482" s="3"/>
      <c r="P10482" s="1" t="s">
        <v>20</v>
      </c>
      <c r="R10482" s="1" t="s">
        <v>20785</v>
      </c>
      <c r="V10482" s="1" t="s">
        <v>20789</v>
      </c>
      <c r="AR10482" s="1" t="str">
        <f t="shared" si="646"/>
        <v>| [ㄕㄚˋ](ㄕㄚˋ.md) | [翣](翣.md) |  | shà | [名]
1.古時棺木兩旁形狀像扇子的飾物。《說文解字．羽部》：「翣，棺羽飾也。天子八，諸侯六，大夫四，士二。」
2.扇子。《淮南子．俶真》：「冬日之不用翣者，非簡之也，清有餘於適也。」 |</v>
      </c>
    </row>
    <row r="10483" spans="1:44" hidden="1">
      <c r="A10483" s="1" t="s">
        <v>20790</v>
      </c>
      <c r="C10483" s="1">
        <v>1</v>
      </c>
      <c r="D10483" s="1" t="str">
        <f>"08805"</f>
        <v>08805</v>
      </c>
      <c r="E10483" s="1" t="s">
        <v>125</v>
      </c>
      <c r="F10483" s="1">
        <v>16</v>
      </c>
      <c r="G10483" s="1">
        <v>8</v>
      </c>
      <c r="H10483" s="1">
        <v>0</v>
      </c>
      <c r="I10483" s="1" t="s">
        <v>20784</v>
      </c>
      <c r="K10483" s="1" t="str">
        <f t="shared" si="649"/>
        <v>ㄕ</v>
      </c>
      <c r="L10483" s="1" t="str">
        <f t="shared" si="650"/>
        <v>ㄚ</v>
      </c>
      <c r="N10483" s="3" t="s">
        <v>30574</v>
      </c>
      <c r="O10483" s="3"/>
      <c r="P10483" s="1" t="s">
        <v>20</v>
      </c>
      <c r="R10483" s="1" t="s">
        <v>20785</v>
      </c>
      <c r="V10483" s="1" t="s">
        <v>20791</v>
      </c>
      <c r="AR10483" s="1" t="str">
        <f t="shared" si="646"/>
        <v>| [ㄕㄚˋ](ㄕㄚˋ.md) | [霎](霎.md) |  | shà | [名]
小雨。《廣韻．入聲．葉韻》：「霎，小雨。」
[擬]
形容風雨聲。唐．韓偓〈夏夜〉詩：「猛風飄電黑雲生，霎霎高林簇雨聲。」
[形]
短促的。如：「霎時間」。唐．孟郊〈春雨後〉詩：「昨夜一霎雨，天意蘇群物。」 |</v>
      </c>
    </row>
    <row r="10484" spans="1:44" hidden="1">
      <c r="A10484" s="1" t="s">
        <v>13436</v>
      </c>
      <c r="C10484" s="1">
        <v>1</v>
      </c>
      <c r="D10484" s="1" t="str">
        <f>"08806"</f>
        <v>08806</v>
      </c>
      <c r="E10484" s="1" t="s">
        <v>28</v>
      </c>
      <c r="F10484" s="1">
        <v>11</v>
      </c>
      <c r="G10484" s="1">
        <v>8</v>
      </c>
      <c r="H10484" s="1">
        <v>1</v>
      </c>
      <c r="I10484" s="1" t="s">
        <v>20784</v>
      </c>
      <c r="K10484" s="1" t="str">
        <f t="shared" si="649"/>
        <v>ㄕ</v>
      </c>
      <c r="L10484" s="1" t="str">
        <f t="shared" si="650"/>
        <v>ㄚ</v>
      </c>
      <c r="N10484" s="3" t="s">
        <v>30574</v>
      </c>
      <c r="O10484" s="3"/>
      <c r="P10484" s="1" t="s">
        <v>20</v>
      </c>
      <c r="R10484" s="1" t="s">
        <v>20785</v>
      </c>
      <c r="V10484" s="1" t="s">
        <v>20792</v>
      </c>
      <c r="W10484" s="1" t="s">
        <v>20793</v>
      </c>
      <c r="AR10484" s="1" t="str">
        <f t="shared" si="646"/>
        <v>| [ㄕㄚˋ](ㄕㄚˋ.md) | [啑](啑.md) |  | shà | [名]
水鳥聚在一起吃東西的聲音。同「唼」。《玉篇．口部》：「啑，啑喋，鴨食也。亦作唼。」 |</v>
      </c>
    </row>
    <row r="10485" spans="1:44" hidden="1">
      <c r="A10485" s="1" t="s">
        <v>20794</v>
      </c>
      <c r="C10485" s="1">
        <v>1</v>
      </c>
      <c r="D10485" s="1" t="str">
        <f>"08807"</f>
        <v>08807</v>
      </c>
      <c r="E10485" s="1" t="s">
        <v>37</v>
      </c>
      <c r="F10485" s="1">
        <v>12</v>
      </c>
      <c r="G10485" s="1">
        <v>8</v>
      </c>
      <c r="H10485" s="1">
        <v>0</v>
      </c>
      <c r="I10485" s="1" t="s">
        <v>20784</v>
      </c>
      <c r="K10485" s="1" t="str">
        <f t="shared" si="649"/>
        <v>ㄕ</v>
      </c>
      <c r="L10485" s="1" t="str">
        <f t="shared" si="650"/>
        <v>ㄚ</v>
      </c>
      <c r="N10485" s="3" t="s">
        <v>30574</v>
      </c>
      <c r="O10485" s="3"/>
      <c r="P10485" s="1" t="s">
        <v>20</v>
      </c>
      <c r="R10485" s="1" t="s">
        <v>20785</v>
      </c>
      <c r="V10485" s="1" t="s">
        <v>4527</v>
      </c>
      <c r="AR10485" s="1" t="str">
        <f t="shared" si="646"/>
        <v>| [ㄕㄚˋ](ㄕㄚˋ.md) | [萐](萐.md) |  | shà | 參見「萐莆」條。 |</v>
      </c>
    </row>
    <row r="10486" spans="1:44" hidden="1">
      <c r="A10486" s="1" t="s">
        <v>13443</v>
      </c>
      <c r="C10486" s="1">
        <v>1</v>
      </c>
      <c r="D10486" s="1" t="str">
        <f>"08808"</f>
        <v>08808</v>
      </c>
      <c r="E10486" s="1" t="s">
        <v>49</v>
      </c>
      <c r="F10486" s="1">
        <v>14</v>
      </c>
      <c r="G10486" s="1">
        <v>8</v>
      </c>
      <c r="H10486" s="1">
        <v>1</v>
      </c>
      <c r="I10486" s="1" t="s">
        <v>20784</v>
      </c>
      <c r="K10486" s="1" t="str">
        <f t="shared" si="649"/>
        <v>ㄕ</v>
      </c>
      <c r="L10486" s="1" t="str">
        <f t="shared" si="650"/>
        <v>ㄚ</v>
      </c>
      <c r="N10486" s="3" t="s">
        <v>30574</v>
      </c>
      <c r="O10486" s="3"/>
      <c r="P10486" s="1" t="s">
        <v>20</v>
      </c>
      <c r="R10486" s="1" t="s">
        <v>20785</v>
      </c>
      <c r="V10486" s="1" t="s">
        <v>20795</v>
      </c>
      <c r="W10486" s="1" t="s">
        <v>20796</v>
      </c>
      <c r="AR10486" s="1" t="str">
        <f t="shared" si="646"/>
        <v>| [ㄕㄚˋ](ㄕㄚˋ.md) | [箑](箑.md) |  | shà | [名]
用竹、羽毛等製成的扇子。《淮南子．精神》：「知冬日之箑、夏日之裘，無用於己，則萬物之變為塵埃矣。」 |</v>
      </c>
    </row>
    <row r="10487" spans="1:44" hidden="1">
      <c r="A10487" s="1" t="s">
        <v>20762</v>
      </c>
      <c r="C10487" s="1">
        <v>1</v>
      </c>
      <c r="D10487" s="1" t="str">
        <f>"08809"</f>
        <v>08809</v>
      </c>
      <c r="E10487" s="1" t="s">
        <v>5505</v>
      </c>
      <c r="F10487" s="1">
        <v>11</v>
      </c>
      <c r="G10487" s="1">
        <v>7</v>
      </c>
      <c r="H10487" s="1">
        <v>3</v>
      </c>
      <c r="I10487" s="1" t="s">
        <v>20784</v>
      </c>
      <c r="K10487" s="1" t="str">
        <f t="shared" si="649"/>
        <v>ㄕ</v>
      </c>
      <c r="L10487" s="1" t="str">
        <f t="shared" si="650"/>
        <v>ㄚ</v>
      </c>
      <c r="N10487" s="3" t="s">
        <v>30574</v>
      </c>
      <c r="O10487" s="3"/>
      <c r="P10487" s="1" t="s">
        <v>20</v>
      </c>
      <c r="R10487" s="1" t="s">
        <v>20785</v>
      </c>
      <c r="V10487" s="1" t="s">
        <v>20797</v>
      </c>
      <c r="W10487" s="1" t="s">
        <v>20798</v>
      </c>
      <c r="AR10487" s="1" t="str">
        <f t="shared" si="646"/>
        <v>| [ㄕㄚˋ](ㄕㄚˋ.md) | [殺](殺.md) |  | shà | [副]
甚、極。同「煞」。如：「愁殺人」。元．張養浩〈詠江南．一江煙水照晴嵐〉曲：「畫船兒天邊至，酒旗兒風外颭，愛殺江南。」 |</v>
      </c>
    </row>
    <row r="10488" spans="1:44" hidden="1">
      <c r="A10488" s="1" t="s">
        <v>20799</v>
      </c>
      <c r="C10488" s="1">
        <v>1</v>
      </c>
      <c r="D10488" s="1" t="str">
        <f>"08810"</f>
        <v>08810</v>
      </c>
      <c r="E10488" s="1" t="s">
        <v>28</v>
      </c>
      <c r="F10488" s="1">
        <v>12</v>
      </c>
      <c r="G10488" s="1">
        <v>9</v>
      </c>
      <c r="H10488" s="1">
        <v>0</v>
      </c>
      <c r="I10488" s="1" t="s">
        <v>20784</v>
      </c>
      <c r="K10488" s="1" t="str">
        <f t="shared" si="649"/>
        <v>ㄕ</v>
      </c>
      <c r="L10488" s="1" t="str">
        <f t="shared" si="650"/>
        <v>ㄚ</v>
      </c>
      <c r="N10488" s="3" t="s">
        <v>30574</v>
      </c>
      <c r="O10488" s="3"/>
      <c r="P10488" s="1" t="s">
        <v>20</v>
      </c>
      <c r="R10488" s="1" t="s">
        <v>20785</v>
      </c>
      <c r="V10488" s="1" t="s">
        <v>20800</v>
      </c>
      <c r="AR10488" s="1" t="str">
        <f t="shared" si="646"/>
        <v>| [ㄕㄚˋ](ㄕㄚˋ.md) | [喢](喢.md) |  | shà | 同「歃」。 |</v>
      </c>
    </row>
    <row r="10489" spans="1:44" hidden="1">
      <c r="A10489" s="1" t="s">
        <v>20801</v>
      </c>
      <c r="C10489" s="1">
        <v>1</v>
      </c>
      <c r="D10489" s="1" t="str">
        <f>"08811"</f>
        <v>08811</v>
      </c>
      <c r="E10489" s="1" t="s">
        <v>1908</v>
      </c>
      <c r="F10489" s="1">
        <v>13</v>
      </c>
      <c r="G10489" s="1">
        <v>9</v>
      </c>
      <c r="H10489" s="1">
        <v>0</v>
      </c>
      <c r="I10489" s="1" t="s">
        <v>20784</v>
      </c>
      <c r="K10489" s="1" t="str">
        <f t="shared" si="649"/>
        <v>ㄕ</v>
      </c>
      <c r="L10489" s="1" t="str">
        <f t="shared" si="650"/>
        <v>ㄚ</v>
      </c>
      <c r="N10489" s="3" t="s">
        <v>30574</v>
      </c>
      <c r="O10489" s="3"/>
      <c r="P10489" s="1" t="s">
        <v>20</v>
      </c>
      <c r="R10489" s="1" t="s">
        <v>20785</v>
      </c>
      <c r="V10489" s="1" t="s">
        <v>20802</v>
      </c>
      <c r="AR10489" s="1" t="str">
        <f t="shared" si="646"/>
        <v>| [ㄕㄚˋ](ㄕㄚˋ.md) | [歃](歃.md) |  | shà | 參見「歃血」條。 |</v>
      </c>
    </row>
    <row r="10490" spans="1:44" hidden="1">
      <c r="A10490" s="1" t="s">
        <v>16450</v>
      </c>
      <c r="C10490" s="1">
        <v>1</v>
      </c>
      <c r="D10490" s="1" t="str">
        <f>"08812"</f>
        <v>08812</v>
      </c>
      <c r="E10490" s="1" t="s">
        <v>447</v>
      </c>
      <c r="F10490" s="1">
        <v>13</v>
      </c>
      <c r="G10490" s="1">
        <v>10</v>
      </c>
      <c r="H10490" s="1">
        <v>2</v>
      </c>
      <c r="I10490" s="1" t="s">
        <v>20784</v>
      </c>
      <c r="K10490" s="1" t="str">
        <f t="shared" si="649"/>
        <v>ㄕ</v>
      </c>
      <c r="L10490" s="1" t="str">
        <f t="shared" si="650"/>
        <v>ㄚ</v>
      </c>
      <c r="N10490" s="3" t="s">
        <v>30574</v>
      </c>
      <c r="O10490" s="3"/>
      <c r="P10490" s="1" t="s">
        <v>388</v>
      </c>
      <c r="R10490" s="1" t="s">
        <v>20785</v>
      </c>
      <c r="V10490" s="1" t="s">
        <v>407</v>
      </c>
      <c r="W10490" s="1" t="s">
        <v>20803</v>
      </c>
      <c r="AR10490" s="1" t="str">
        <f t="shared" si="646"/>
        <v>| [ㄕㄚˋ](ㄕㄚˋ.md) | [廈](廈.md) |  | shà | (一)之語音。 |</v>
      </c>
    </row>
    <row r="10491" spans="1:44" hidden="1">
      <c r="A10491" s="1" t="s">
        <v>20804</v>
      </c>
      <c r="C10491" s="1">
        <v>1</v>
      </c>
      <c r="D10491" s="1" t="str">
        <f>"08813"</f>
        <v>08813</v>
      </c>
      <c r="E10491" s="1" t="s">
        <v>28</v>
      </c>
      <c r="F10491" s="1">
        <v>13</v>
      </c>
      <c r="G10491" s="1">
        <v>10</v>
      </c>
      <c r="H10491" s="1">
        <v>1</v>
      </c>
      <c r="I10491" s="1" t="s">
        <v>20784</v>
      </c>
      <c r="K10491" s="1" t="str">
        <f t="shared" si="649"/>
        <v>ㄕ</v>
      </c>
      <c r="L10491" s="1" t="str">
        <f t="shared" si="650"/>
        <v>ㄚ</v>
      </c>
      <c r="N10491" s="3" t="s">
        <v>30574</v>
      </c>
      <c r="O10491" s="3"/>
      <c r="P10491" s="1" t="s">
        <v>20</v>
      </c>
      <c r="R10491" s="1" t="s">
        <v>20785</v>
      </c>
      <c r="V10491" s="1" t="s">
        <v>20805</v>
      </c>
      <c r="W10491" s="1" t="s">
        <v>20806</v>
      </c>
      <c r="AR10491" s="1" t="str">
        <f t="shared" si="646"/>
        <v>| [ㄕㄚˋ](ㄕㄚˋ.md) | [嗄](嗄.md) |  | shà | [形]_x000D_
聲音嘶啞。《老子》第五五章：「終日號而不嗄，和之至也。」 |</v>
      </c>
    </row>
    <row r="10492" spans="1:44" hidden="1">
      <c r="A10492" s="1" t="s">
        <v>20773</v>
      </c>
      <c r="C10492" s="1">
        <v>1</v>
      </c>
      <c r="D10492" s="1" t="str">
        <f>"08814"</f>
        <v>08814</v>
      </c>
      <c r="E10492" s="1" t="s">
        <v>336</v>
      </c>
      <c r="F10492" s="1">
        <v>13</v>
      </c>
      <c r="G10492" s="1">
        <v>9</v>
      </c>
      <c r="H10492" s="1">
        <v>1</v>
      </c>
      <c r="I10492" s="1" t="s">
        <v>20784</v>
      </c>
      <c r="K10492" s="1" t="str">
        <f t="shared" si="649"/>
        <v>ㄕ</v>
      </c>
      <c r="L10492" s="1" t="str">
        <f t="shared" si="650"/>
        <v>ㄚ</v>
      </c>
      <c r="N10492" s="3" t="s">
        <v>30574</v>
      </c>
      <c r="O10492" s="3"/>
      <c r="P10492" s="1" t="s">
        <v>20</v>
      </c>
      <c r="R10492" s="1" t="s">
        <v>20785</v>
      </c>
      <c r="V10492" s="1" t="s">
        <v>20807</v>
      </c>
      <c r="W10492" s="1" t="s">
        <v>20808</v>
      </c>
      <c r="AR10492" s="1" t="str">
        <f t="shared" si="646"/>
        <v>| [ㄕㄚˋ](ㄕㄚˋ.md) | [煞](煞.md) |  | shà | [名]
1.凶神。如：「凶煞」、「惡煞」、「黑煞」。
2.參見「回煞」條。
[副]
1.極、甚。如：「煞費苦心」。宋．柳永〈迎春樂．近來憔悴人驚怪〉詞：「近來憔悴人驚怪。為別後，相思煞！」
2.何、什麼。《紅樓夢》第六回：「這是什麼愛物兒，有煞用呢？」 |</v>
      </c>
    </row>
    <row r="10493" spans="1:44" hidden="1">
      <c r="A10493" s="1" t="s">
        <v>20809</v>
      </c>
      <c r="C10493" s="1">
        <v>1</v>
      </c>
      <c r="D10493" s="1" t="str">
        <f>"08815"</f>
        <v>08815</v>
      </c>
      <c r="E10493" s="1" t="s">
        <v>2271</v>
      </c>
      <c r="F10493" s="1">
        <v>13</v>
      </c>
      <c r="G10493" s="1">
        <v>7</v>
      </c>
      <c r="H10493" s="1">
        <v>0</v>
      </c>
      <c r="I10493" s="1" t="s">
        <v>20784</v>
      </c>
      <c r="K10493" s="1" t="str">
        <f t="shared" si="649"/>
        <v>ㄕ</v>
      </c>
      <c r="L10493" s="1" t="str">
        <f t="shared" si="650"/>
        <v>ㄚ</v>
      </c>
      <c r="N10493" s="3" t="s">
        <v>30574</v>
      </c>
      <c r="O10493" s="3"/>
      <c r="P10493" s="1" t="s">
        <v>20</v>
      </c>
      <c r="R10493" s="1" t="s">
        <v>20785</v>
      </c>
      <c r="V10493" s="1" t="s">
        <v>20810</v>
      </c>
      <c r="AR10493" s="1" t="str">
        <f t="shared" si="646"/>
        <v>| [ㄕㄚˋ](ㄕㄚˋ.md) | [翜](翜.md) |  | shà | [形]
飛行快速。《說文解字．羽部》：「翜，捷也，飛之疾也。」 |</v>
      </c>
    </row>
    <row r="10494" spans="1:44" hidden="1">
      <c r="A10494" s="1" t="s">
        <v>20776</v>
      </c>
      <c r="C10494" s="1">
        <v>1</v>
      </c>
      <c r="D10494" s="1" t="str">
        <f>"08801"</f>
        <v>08801</v>
      </c>
      <c r="E10494" s="1" t="s">
        <v>28</v>
      </c>
      <c r="F10494" s="1">
        <v>11</v>
      </c>
      <c r="G10494" s="1">
        <v>8</v>
      </c>
      <c r="H10494" s="1">
        <v>0</v>
      </c>
      <c r="I10494" s="1" t="s">
        <v>20777</v>
      </c>
      <c r="K10494" s="1" t="str">
        <f t="shared" si="649"/>
        <v>ㄕ</v>
      </c>
      <c r="L10494" s="1" t="str">
        <f t="shared" si="650"/>
        <v>ㄚ</v>
      </c>
      <c r="N10494" s="3" t="s">
        <v>30575</v>
      </c>
      <c r="O10494" s="3"/>
      <c r="P10494" s="1" t="s">
        <v>20</v>
      </c>
      <c r="R10494" s="1" t="s">
        <v>20778</v>
      </c>
      <c r="V10494" s="1" t="s">
        <v>20779</v>
      </c>
      <c r="AR10494" s="1" t="str">
        <f t="shared" si="646"/>
        <v>| [ㄕㄚˊ](ㄕㄚˊ.md) | [啥](啥.md) |  | shá | [代]
甚麼。《老殘遊記》第一四回：「送饅頭給誰吃？要這些船幹啥？」 |</v>
      </c>
    </row>
    <row r="10495" spans="1:44" hidden="1">
      <c r="A10495" s="1" t="s">
        <v>20780</v>
      </c>
      <c r="C10495" s="1">
        <v>1</v>
      </c>
      <c r="D10495" s="1" t="str">
        <f>"08802"</f>
        <v>08802</v>
      </c>
      <c r="E10495" s="1" t="s">
        <v>114</v>
      </c>
      <c r="F10495" s="1">
        <v>13</v>
      </c>
      <c r="G10495" s="1">
        <v>11</v>
      </c>
      <c r="H10495" s="1">
        <v>0</v>
      </c>
      <c r="I10495" s="1" t="s">
        <v>20781</v>
      </c>
      <c r="K10495" s="1" t="str">
        <f t="shared" si="649"/>
        <v>ㄕ</v>
      </c>
      <c r="L10495" s="1" t="str">
        <f t="shared" si="650"/>
        <v>ㄚ</v>
      </c>
      <c r="N10495" s="3" t="s">
        <v>30576</v>
      </c>
      <c r="O10495" s="3"/>
      <c r="P10495" s="1" t="s">
        <v>20</v>
      </c>
      <c r="R10495" s="1" t="s">
        <v>20782</v>
      </c>
      <c r="V10495" s="1" t="s">
        <v>20783</v>
      </c>
      <c r="AR10495" s="1" t="str">
        <f t="shared" si="646"/>
        <v>| [ㄕㄚˇ](ㄕㄚˇ.md) | [傻](傻.md) |  | shǎ | [形]
1.愚蠢、不聰慧。如：「傻話」、「傻大姐」。
2.形容人忠厚。如：「傻呵呵」。
[副]
發呆的樣子。如：「嚇傻了」、「看傻了」。 |</v>
      </c>
    </row>
    <row r="10496" spans="1:44" hidden="1">
      <c r="A10496" s="1" t="s">
        <v>20811</v>
      </c>
      <c r="C10496" s="1">
        <v>1</v>
      </c>
      <c r="D10496" s="1" t="str">
        <f>"08816"</f>
        <v>08816</v>
      </c>
      <c r="E10496" s="1" t="s">
        <v>24</v>
      </c>
      <c r="F10496" s="1">
        <v>11</v>
      </c>
      <c r="G10496" s="1">
        <v>7</v>
      </c>
      <c r="H10496" s="1">
        <v>2</v>
      </c>
      <c r="I10496" s="1" t="s">
        <v>20812</v>
      </c>
      <c r="J10496" s="2" t="s">
        <v>30559</v>
      </c>
      <c r="K10496" s="1" t="s">
        <v>20522</v>
      </c>
      <c r="L10496" s="1" t="s">
        <v>24143</v>
      </c>
      <c r="P10496" s="1" t="s">
        <v>20</v>
      </c>
      <c r="R10496" s="1" t="s">
        <v>20813</v>
      </c>
      <c r="V10496" s="1" t="s">
        <v>18012</v>
      </c>
      <c r="W10496" s="1" t="s">
        <v>20814</v>
      </c>
      <c r="AR10496" s="1" t="str">
        <f t="shared" si="646"/>
        <v>| [˙ㄕㄚ](˙ㄕㄚ.md) | [挲](挲.md) |  | sha | 參見「挓挲」條。 |</v>
      </c>
    </row>
    <row r="10497" spans="1:44" hidden="1">
      <c r="A10497" s="1" t="s">
        <v>20851</v>
      </c>
      <c r="C10497" s="1">
        <v>1</v>
      </c>
      <c r="D10497" s="1" t="str">
        <f>"08831"</f>
        <v>08831</v>
      </c>
      <c r="E10497" s="1" t="s">
        <v>2433</v>
      </c>
      <c r="F10497" s="1">
        <v>6</v>
      </c>
      <c r="G10497" s="1">
        <v>0</v>
      </c>
      <c r="H10497" s="1">
        <v>3</v>
      </c>
      <c r="I10497" s="1" t="s">
        <v>20852</v>
      </c>
      <c r="K10497" s="1" t="str">
        <f t="shared" ref="K10497:K10560" si="651">LEFT(I10497, 1)</f>
        <v>ㄕ</v>
      </c>
      <c r="L10497" s="1" t="str">
        <f t="shared" ref="L10497:L10528" si="652">MID(I10497, 2, 1)</f>
        <v>ㄜ</v>
      </c>
      <c r="N10497" s="3" t="s">
        <v>30574</v>
      </c>
      <c r="O10497" s="3"/>
      <c r="P10497" s="1" t="s">
        <v>20</v>
      </c>
      <c r="R10497" s="1" t="s">
        <v>20853</v>
      </c>
      <c r="V10497" s="1" t="s">
        <v>20854</v>
      </c>
      <c r="W10497" s="1" t="s">
        <v>20855</v>
      </c>
      <c r="AR10497" s="1" t="str">
        <f t="shared" si="646"/>
        <v>| [ㄕㄜˋ](ㄕㄜˋ.md) | [色](色.md) |  | shè | [名]_x000D_
俗稱性慾衝動。 |</v>
      </c>
    </row>
    <row r="10498" spans="1:44" hidden="1">
      <c r="A10498" s="1" t="s">
        <v>20856</v>
      </c>
      <c r="C10498" s="1">
        <v>1</v>
      </c>
      <c r="D10498" s="1" t="str">
        <f>"08832"</f>
        <v>08832</v>
      </c>
      <c r="E10498" s="1" t="s">
        <v>825</v>
      </c>
      <c r="F10498" s="1">
        <v>8</v>
      </c>
      <c r="G10498" s="1">
        <v>3</v>
      </c>
      <c r="H10498" s="1">
        <v>0</v>
      </c>
      <c r="I10498" s="1" t="s">
        <v>20852</v>
      </c>
      <c r="K10498" s="1" t="str">
        <f t="shared" si="651"/>
        <v>ㄕ</v>
      </c>
      <c r="L10498" s="1" t="str">
        <f t="shared" si="652"/>
        <v>ㄜ</v>
      </c>
      <c r="N10498" s="3" t="s">
        <v>30574</v>
      </c>
      <c r="O10498" s="3"/>
      <c r="P10498" s="1" t="s">
        <v>20</v>
      </c>
      <c r="R10498" s="1" t="s">
        <v>20853</v>
      </c>
      <c r="V10498" s="1" t="s">
        <v>20857</v>
      </c>
      <c r="AR10498" s="1" t="str">
        <f t="shared" si="646"/>
        <v>| [ㄕㄜˋ](ㄕㄜˋ.md) | [社](社.md) |  | shè | [名]
1.傳說中的土地神。《禮記．祭法》：「共工氏之霸九州也，其子曰后土，能平九州，故祀以為社。」
2.祭土地神的地方。《左傳．昭公十七年》：「日有食之，天子不舉，伐鼓於社。」
3.祭祀土地神的節日。如：「春社」、「秋社」。
4.祭土地神的典禮。《左傳．莊公二十三年》：「公如齊觀社，非禮也。」
5.為工作、生活或共同目標結合成的組織、團體。如：「報社」、「通訊社」、「合作社」、「學社」。
6.姓。如元代有社佑。
[動]
祭祀土地神。《書經．召誥》：「戊午，乃社于新邑。牛一、羊一、豕一。」 |</v>
      </c>
    </row>
    <row r="10499" spans="1:44" hidden="1">
      <c r="A10499" s="1" t="s">
        <v>20844</v>
      </c>
      <c r="C10499" s="1">
        <v>1</v>
      </c>
      <c r="D10499" s="1" t="str">
        <f>"08833"</f>
        <v>08833</v>
      </c>
      <c r="E10499" s="1" t="s">
        <v>6303</v>
      </c>
      <c r="F10499" s="1">
        <v>8</v>
      </c>
      <c r="G10499" s="1">
        <v>2</v>
      </c>
      <c r="H10499" s="1">
        <v>1</v>
      </c>
      <c r="I10499" s="1" t="s">
        <v>20852</v>
      </c>
      <c r="K10499" s="1" t="str">
        <f t="shared" si="651"/>
        <v>ㄕ</v>
      </c>
      <c r="L10499" s="1" t="str">
        <f t="shared" si="652"/>
        <v>ㄜ</v>
      </c>
      <c r="N10499" s="3" t="s">
        <v>30574</v>
      </c>
      <c r="O10499" s="3"/>
      <c r="P10499" s="1" t="s">
        <v>20</v>
      </c>
      <c r="R10499" s="1" t="s">
        <v>20853</v>
      </c>
      <c r="V10499" s="1" t="s">
        <v>20858</v>
      </c>
      <c r="W10499" s="1" t="s">
        <v>20859</v>
      </c>
      <c r="AR10499" s="1" t="str">
        <f t="shared" ref="AR10499:AR10562" si="653">"| ["&amp;I10499&amp;"]("&amp;I10499&amp;".md) | ["&amp;A10499&amp;"]("&amp;A10499&amp;".md) | "&amp;" | "&amp;R10499&amp;" | "&amp;V10499&amp;" |"</f>
        <v>| [ㄕㄜˋ](ㄕㄜˋ.md) | [舍](舍.md) |  | shè | [名]
1.房屋、住宅。如：「宿舍」、「田舍」、「房舍」、「茅舍」。
2.謙稱自己的住所。如：「寒舍」、「敝舍」。
3.飼養牲畜的地方。如：「豬舍」、「牛舍」。
4.宋元時代稱顯貴人家的子弟。多見於元人小說、戲曲中。元．關漢卿《救風塵》第一折：「自家鄭州人氏，周同知的孩兒周舍是也。」元．武漢臣《玉壺春》第二折：「近日有個客人，姓甚喚做甚舍。」
5.量詞。古代計算行軍里數的單位。三十里為一舍。如：「退避三舍」。《左傳．僖公二十三年》：「若以君之靈得反晉國，晉、楚治兵，遇於中原，其辟君三舍。」
6.一宿、一夜。《左傳．莊公三年》：「凡師一宿為舍，再宿為信，過信為次。」
[動]
1.住宿、居住。《左傳．宣公二年》：「宣子田於首山，舍于翳桑。」
2.止息、停止。《左傳．哀公十五年》：「舍於孔氏之外圃。」
3.安置。《戰國策．魏策二》：「王不如舍需於側，以稽二人者之所為。」
[形]
對人謙稱自己卑幼的親屬或親戚。如：「舍弟」、「舍妹」、「舍親」。 |</v>
      </c>
    </row>
    <row r="10500" spans="1:44" hidden="1">
      <c r="A10500" s="1" t="s">
        <v>20860</v>
      </c>
      <c r="C10500" s="1">
        <v>1</v>
      </c>
      <c r="D10500" s="1" t="str">
        <f>"08834"</f>
        <v>08834</v>
      </c>
      <c r="E10500" s="1" t="s">
        <v>198</v>
      </c>
      <c r="F10500" s="1">
        <v>11</v>
      </c>
      <c r="G10500" s="1">
        <v>8</v>
      </c>
      <c r="H10500" s="1">
        <v>0</v>
      </c>
      <c r="I10500" s="1" t="s">
        <v>20852</v>
      </c>
      <c r="K10500" s="1" t="str">
        <f t="shared" si="651"/>
        <v>ㄕ</v>
      </c>
      <c r="L10500" s="1" t="str">
        <f t="shared" si="652"/>
        <v>ㄜ</v>
      </c>
      <c r="N10500" s="3" t="s">
        <v>30574</v>
      </c>
      <c r="O10500" s="3"/>
      <c r="P10500" s="1" t="s">
        <v>20</v>
      </c>
      <c r="R10500" s="1" t="s">
        <v>20853</v>
      </c>
      <c r="V10500" s="1" t="s">
        <v>8455</v>
      </c>
      <c r="AR10500" s="1" t="str">
        <f t="shared" si="653"/>
        <v>| [ㄕㄜˋ](ㄕㄜˋ.md) | [猞](猞.md) |  | shè | 參見「猞猁孫」條。 |</v>
      </c>
    </row>
    <row r="10501" spans="1:44" hidden="1">
      <c r="A10501" s="1" t="s">
        <v>20544</v>
      </c>
      <c r="C10501" s="1">
        <v>1</v>
      </c>
      <c r="D10501" s="1" t="str">
        <f>"08835"</f>
        <v>08835</v>
      </c>
      <c r="E10501" s="1" t="s">
        <v>24</v>
      </c>
      <c r="F10501" s="1">
        <v>9</v>
      </c>
      <c r="G10501" s="1">
        <v>6</v>
      </c>
      <c r="H10501" s="1">
        <v>2</v>
      </c>
      <c r="I10501" s="1" t="s">
        <v>20852</v>
      </c>
      <c r="K10501" s="1" t="str">
        <f t="shared" si="651"/>
        <v>ㄕ</v>
      </c>
      <c r="L10501" s="1" t="str">
        <f t="shared" si="652"/>
        <v>ㄜ</v>
      </c>
      <c r="N10501" s="3" t="s">
        <v>30574</v>
      </c>
      <c r="O10501" s="3"/>
      <c r="P10501" s="1" t="s">
        <v>20</v>
      </c>
      <c r="R10501" s="1" t="s">
        <v>20853</v>
      </c>
      <c r="V10501" s="1" t="s">
        <v>20861</v>
      </c>
      <c r="W10501" s="1" t="s">
        <v>20862</v>
      </c>
      <c r="AR10501" s="1" t="str">
        <f t="shared" si="653"/>
        <v>| [ㄕㄜˋ](ㄕㄜˋ.md) | [拾](拾.md) |  | shè | 參見「拾級」條。 |</v>
      </c>
    </row>
    <row r="10502" spans="1:44" hidden="1">
      <c r="A10502" s="1" t="s">
        <v>20863</v>
      </c>
      <c r="C10502" s="1">
        <v>1</v>
      </c>
      <c r="D10502" s="1" t="str">
        <f>"08836"</f>
        <v>08836</v>
      </c>
      <c r="E10502" s="1" t="s">
        <v>129</v>
      </c>
      <c r="F10502" s="1">
        <v>10</v>
      </c>
      <c r="G10502" s="1">
        <v>7</v>
      </c>
      <c r="H10502" s="1">
        <v>0</v>
      </c>
      <c r="I10502" s="1" t="s">
        <v>20852</v>
      </c>
      <c r="K10502" s="1" t="str">
        <f t="shared" si="651"/>
        <v>ㄕ</v>
      </c>
      <c r="L10502" s="1" t="str">
        <f t="shared" si="652"/>
        <v>ㄜ</v>
      </c>
      <c r="N10502" s="3" t="s">
        <v>30574</v>
      </c>
      <c r="O10502" s="3"/>
      <c r="P10502" s="1" t="s">
        <v>20</v>
      </c>
      <c r="R10502" s="1" t="s">
        <v>20853</v>
      </c>
      <c r="V10502" s="1" t="s">
        <v>20864</v>
      </c>
      <c r="AR10502" s="1" t="str">
        <f t="shared" si="653"/>
        <v>| [ㄕㄜˋ](ㄕㄜˋ.md) | [涉](涉.md) |  | shè | [動]
1.徒步渡水。如：「跋山涉水」。宋．陸游〈秋郊有懷〉詩四首之四：「秋山瘦益奇，秋水淺可涉。」
2.乘船渡水。《詩經．邶風．匏有苦葉》：「招招舟子，人涉卬否。」唐．韓愈〈閔已賦〉：「行舟楫而不識四方兮，涉大水之漫漫。」
3.經歷。如：「涉險」、「涉世未深」。《管子．兵法》：「厲士利械，則涉難而不匱。」
4.牽連、相關。如：「牽涉」、「涉嫌」。《南史．卷一五．劉穆之傳》：「目覽詞訟，手答牋書，耳行聽受，口並酬應，不相參涉，皆悉贍舉。」
5.進入、陷入。如：「涉足」。《左傳．僖公四年》：「不虞君之涉吾地也。」
6.泛讀、博覽。如：「涉獵群書」。宋．王安石〈祭韓欽聖學士文〉：「紛百家兮並涉，超獨懷兮道德。」
[名]
姓。如宋代有涉緯。 |</v>
      </c>
    </row>
    <row r="10503" spans="1:44" hidden="1">
      <c r="A10503" s="1" t="s">
        <v>11139</v>
      </c>
      <c r="C10503" s="1">
        <v>1</v>
      </c>
      <c r="D10503" s="1" t="str">
        <f>"08837"</f>
        <v>08837</v>
      </c>
      <c r="E10503" s="1" t="s">
        <v>447</v>
      </c>
      <c r="F10503" s="1">
        <v>10</v>
      </c>
      <c r="G10503" s="1">
        <v>7</v>
      </c>
      <c r="H10503" s="1">
        <v>2</v>
      </c>
      <c r="I10503" s="1" t="s">
        <v>20852</v>
      </c>
      <c r="K10503" s="1" t="str">
        <f t="shared" si="651"/>
        <v>ㄕ</v>
      </c>
      <c r="L10503" s="1" t="str">
        <f t="shared" si="652"/>
        <v>ㄜ</v>
      </c>
      <c r="N10503" s="3" t="s">
        <v>30574</v>
      </c>
      <c r="O10503" s="3"/>
      <c r="P10503" s="1" t="s">
        <v>20</v>
      </c>
      <c r="R10503" s="1" t="s">
        <v>20853</v>
      </c>
      <c r="V10503" s="1" t="s">
        <v>20865</v>
      </c>
      <c r="W10503" s="1" t="s">
        <v>20866</v>
      </c>
      <c r="AR10503" s="1" t="str">
        <f t="shared" si="653"/>
        <v>| [ㄕㄜˋ](ㄕㄜˋ.md) | [庫](庫.md) |  | shè | [名]
姓。如漢代有庫鈞。 |</v>
      </c>
    </row>
    <row r="10504" spans="1:44" hidden="1">
      <c r="A10504" s="1" t="s">
        <v>20597</v>
      </c>
      <c r="C10504" s="1">
        <v>1</v>
      </c>
      <c r="D10504" s="1" t="str">
        <f>"08838"</f>
        <v>08838</v>
      </c>
      <c r="E10504" s="1" t="s">
        <v>1595</v>
      </c>
      <c r="F10504" s="1">
        <v>10</v>
      </c>
      <c r="G10504" s="1">
        <v>7</v>
      </c>
      <c r="H10504" s="1">
        <v>1</v>
      </c>
      <c r="I10504" s="1" t="s">
        <v>20852</v>
      </c>
      <c r="K10504" s="1" t="str">
        <f t="shared" si="651"/>
        <v>ㄕ</v>
      </c>
      <c r="L10504" s="1" t="str">
        <f t="shared" si="652"/>
        <v>ㄜ</v>
      </c>
      <c r="N10504" s="3" t="s">
        <v>30574</v>
      </c>
      <c r="O10504" s="3"/>
      <c r="P10504" s="1" t="s">
        <v>20</v>
      </c>
      <c r="R10504" s="1" t="s">
        <v>20853</v>
      </c>
      <c r="V10504" s="1" t="s">
        <v>20867</v>
      </c>
      <c r="W10504" s="1" t="s">
        <v>20868</v>
      </c>
      <c r="AR10504" s="1" t="str">
        <f t="shared" si="653"/>
        <v>| [ㄕㄜˋ](ㄕㄜˋ.md) | [射](射.md) |  | shè | [動]
1.用推力或彈力等送出弓箭、炮彈或某種物體。如：「發射」、「注射」、「掃射」、「噴射」。
2.猜度、猜測。如：「金銀銅鐵射一地名。」
3.用言語文字暗示或中傷。如：「影射」。《資治通鑑．卷一四．漢紀六．文帝前六年》：「胡亥今日即位而明日射人，忠諫者謂之誹謗，深計者謂之妖言，其視殺人若艾草菅然。」
4.光線映照。如：「反射」、「折射」、「光芒四射」。
[名]
有關放箭技能的訓練。《周禮．地官．大司徒》：「三曰六藝：禮、樂、射、御、書、數。」 |</v>
      </c>
    </row>
    <row r="10505" spans="1:44" hidden="1">
      <c r="A10505" s="1" t="s">
        <v>20869</v>
      </c>
      <c r="C10505" s="1">
        <v>1</v>
      </c>
      <c r="D10505" s="1" t="str">
        <f>"08839"</f>
        <v>08839</v>
      </c>
      <c r="E10505" s="1" t="s">
        <v>1190</v>
      </c>
      <c r="F10505" s="1">
        <v>21</v>
      </c>
      <c r="G10505" s="1">
        <v>10</v>
      </c>
      <c r="H10505" s="1">
        <v>0</v>
      </c>
      <c r="I10505" s="1" t="s">
        <v>20852</v>
      </c>
      <c r="K10505" s="1" t="str">
        <f t="shared" si="651"/>
        <v>ㄕ</v>
      </c>
      <c r="L10505" s="1" t="str">
        <f t="shared" si="652"/>
        <v>ㄜ</v>
      </c>
      <c r="N10505" s="3" t="s">
        <v>30574</v>
      </c>
      <c r="O10505" s="3"/>
      <c r="P10505" s="1" t="s">
        <v>20</v>
      </c>
      <c r="R10505" s="1" t="s">
        <v>20853</v>
      </c>
      <c r="V10505" s="1" t="s">
        <v>20870</v>
      </c>
      <c r="AR10505" s="1" t="str">
        <f t="shared" si="653"/>
        <v>| [ㄕㄜˋ](ㄕㄜˋ.md) | [麝](麝.md) |  | shè | [名]
1.動物名。哺乳綱偶蹄目鹿科。形似鹿而小，無角，尾短，善跳躍。毛黑褐色或灰褐色。雄麝犬齒細長，露出口外，腹部有香囊，能分泌香氣。
2.麝香的香氣。唐．李商隱〈無題〉詩四首之一：「蠟照半籠金翡翠，麝熏微度繡芙蓉。」 |</v>
      </c>
    </row>
    <row r="10506" spans="1:44" hidden="1">
      <c r="A10506" s="1" t="s">
        <v>20871</v>
      </c>
      <c r="C10506" s="1">
        <v>1</v>
      </c>
      <c r="D10506" s="1" t="str">
        <f>"08840"</f>
        <v>08840</v>
      </c>
      <c r="E10506" s="1" t="s">
        <v>331</v>
      </c>
      <c r="F10506" s="1">
        <v>11</v>
      </c>
      <c r="G10506" s="1">
        <v>4</v>
      </c>
      <c r="H10506" s="1">
        <v>0</v>
      </c>
      <c r="I10506" s="1" t="s">
        <v>20852</v>
      </c>
      <c r="K10506" s="1" t="str">
        <f t="shared" si="651"/>
        <v>ㄕ</v>
      </c>
      <c r="L10506" s="1" t="str">
        <f t="shared" si="652"/>
        <v>ㄜ</v>
      </c>
      <c r="N10506" s="3" t="s">
        <v>30574</v>
      </c>
      <c r="O10506" s="3"/>
      <c r="P10506" s="1" t="s">
        <v>20</v>
      </c>
      <c r="R10506" s="1" t="s">
        <v>20853</v>
      </c>
      <c r="V10506" s="1" t="s">
        <v>20872</v>
      </c>
      <c r="AR10506" s="1" t="str">
        <f t="shared" si="653"/>
        <v>| [ㄕㄜˋ](ㄕㄜˋ.md) | [設](設.md) |  | shè | [動]
1.安置、陳列。如：「擺設」。《左傳．僖公二十八年》：「狐主設二旆而退之。」《紅樓夢》第三回：「大紫檀雕螭案上設著三尺來高青綠古銅鼎。」
2.建立、制訂。《韓非子．八經》：「設法度以齊民，信賞罰以盡能。」《禮記．禮運》：「以設制度，以立田里。」
3.籌劃。參見「設計」、「設法」等條。
[連]
表示揣測的語詞。即假若。《史記．卷一〇七．魏其武安侯傳》：「此特帝在，即錄錄，設百歲後，是屬寧有可信者乎？」 |</v>
      </c>
    </row>
    <row r="10507" spans="1:44" hidden="1">
      <c r="A10507" s="1" t="s">
        <v>20873</v>
      </c>
      <c r="C10507" s="1">
        <v>1</v>
      </c>
      <c r="D10507" s="1" t="str">
        <f>"08841"</f>
        <v>08841</v>
      </c>
      <c r="E10507" s="1" t="s">
        <v>37</v>
      </c>
      <c r="F10507" s="1">
        <v>15</v>
      </c>
      <c r="G10507" s="1">
        <v>11</v>
      </c>
      <c r="H10507" s="1">
        <v>0</v>
      </c>
      <c r="I10507" s="1" t="s">
        <v>20852</v>
      </c>
      <c r="K10507" s="1" t="str">
        <f t="shared" si="651"/>
        <v>ㄕ</v>
      </c>
      <c r="L10507" s="1" t="str">
        <f t="shared" si="652"/>
        <v>ㄜ</v>
      </c>
      <c r="N10507" s="3" t="s">
        <v>30574</v>
      </c>
      <c r="O10507" s="3"/>
      <c r="P10507" s="1" t="s">
        <v>20</v>
      </c>
      <c r="R10507" s="1" t="s">
        <v>20853</v>
      </c>
      <c r="V10507" s="1" t="s">
        <v>20874</v>
      </c>
      <c r="AR10507" s="1" t="str">
        <f t="shared" si="653"/>
        <v>| [ㄕㄜˋ](ㄕㄜˋ.md) | [蔎](蔎.md) |  | shè | [名]
一種香草。《說文解字．艸部》：「蔎，香艸也。」 |</v>
      </c>
    </row>
    <row r="10508" spans="1:44" hidden="1">
      <c r="A10508" s="1" t="s">
        <v>20875</v>
      </c>
      <c r="C10508" s="1">
        <v>1</v>
      </c>
      <c r="D10508" s="1" t="str">
        <f>"08842"</f>
        <v>08842</v>
      </c>
      <c r="E10508" s="1" t="s">
        <v>6340</v>
      </c>
      <c r="F10508" s="1">
        <v>11</v>
      </c>
      <c r="G10508" s="1">
        <v>4</v>
      </c>
      <c r="H10508" s="1">
        <v>0</v>
      </c>
      <c r="I10508" s="1" t="s">
        <v>20852</v>
      </c>
      <c r="K10508" s="1" t="str">
        <f t="shared" si="651"/>
        <v>ㄕ</v>
      </c>
      <c r="L10508" s="1" t="str">
        <f t="shared" si="652"/>
        <v>ㄜ</v>
      </c>
      <c r="N10508" s="3" t="s">
        <v>30574</v>
      </c>
      <c r="O10508" s="3"/>
      <c r="P10508" s="1" t="s">
        <v>20</v>
      </c>
      <c r="R10508" s="1" t="s">
        <v>20853</v>
      </c>
      <c r="V10508" s="1" t="s">
        <v>20876</v>
      </c>
      <c r="AR10508" s="1" t="str">
        <f t="shared" si="653"/>
        <v>| [ㄕㄜˋ](ㄕㄜˋ.md) | [赦](赦.md) |  | shè | [動]
寬免應得的刑罰。如：「大赦」、「特赦」、「十惡不赦」。《文選．丘遲．與陳伯之書》：「聖朝赦罪責功，棄瑕錄用，推赤心於天下，安反側於萬物。」
[名]
姓。如明代有赦敬。 |</v>
      </c>
    </row>
    <row r="10509" spans="1:44" hidden="1">
      <c r="A10509" s="1" t="s">
        <v>20877</v>
      </c>
      <c r="C10509" s="1">
        <v>1</v>
      </c>
      <c r="D10509" s="1" t="str">
        <f>"08843"</f>
        <v>08843</v>
      </c>
      <c r="E10509" s="1" t="s">
        <v>37</v>
      </c>
      <c r="F10509" s="1">
        <v>13</v>
      </c>
      <c r="G10509" s="1">
        <v>9</v>
      </c>
      <c r="H10509" s="1">
        <v>2</v>
      </c>
      <c r="I10509" s="1" t="s">
        <v>20852</v>
      </c>
      <c r="K10509" s="1" t="str">
        <f t="shared" si="651"/>
        <v>ㄕ</v>
      </c>
      <c r="L10509" s="1" t="str">
        <f t="shared" si="652"/>
        <v>ㄜ</v>
      </c>
      <c r="N10509" s="3" t="s">
        <v>30574</v>
      </c>
      <c r="O10509" s="3"/>
      <c r="P10509" s="1" t="s">
        <v>20</v>
      </c>
      <c r="R10509" s="1" t="s">
        <v>20853</v>
      </c>
      <c r="V10509" s="1" t="s">
        <v>20878</v>
      </c>
      <c r="W10509" s="1" t="s">
        <v>20879</v>
      </c>
      <c r="AR10509" s="1" t="str">
        <f t="shared" si="653"/>
        <v>| [ㄕㄜˋ](ㄕㄜˋ.md) | [葉](葉.md) |  | shè | [名]
地名。春秋時楚國的邑地，故址約在今大陸地區河南省葉縣南方三十里。 |</v>
      </c>
    </row>
    <row r="10510" spans="1:44" hidden="1">
      <c r="A10510" s="1" t="s">
        <v>20880</v>
      </c>
      <c r="C10510" s="1">
        <v>1</v>
      </c>
      <c r="D10510" s="1" t="str">
        <f>"08844"</f>
        <v>08844</v>
      </c>
      <c r="E10510" s="1" t="s">
        <v>1058</v>
      </c>
      <c r="F10510" s="1">
        <v>18</v>
      </c>
      <c r="G10510" s="1">
        <v>9</v>
      </c>
      <c r="H10510" s="1">
        <v>0</v>
      </c>
      <c r="I10510" s="1" t="s">
        <v>20852</v>
      </c>
      <c r="K10510" s="1" t="str">
        <f t="shared" si="651"/>
        <v>ㄕ</v>
      </c>
      <c r="L10510" s="1" t="str">
        <f t="shared" si="652"/>
        <v>ㄜ</v>
      </c>
      <c r="N10510" s="3" t="s">
        <v>30574</v>
      </c>
      <c r="O10510" s="3"/>
      <c r="P10510" s="1" t="s">
        <v>20</v>
      </c>
      <c r="R10510" s="1" t="s">
        <v>20853</v>
      </c>
      <c r="V10510" s="1" t="s">
        <v>20881</v>
      </c>
      <c r="AR10510" s="1" t="str">
        <f t="shared" si="653"/>
        <v>| [ㄕㄜˋ](ㄕㄜˋ.md) | [韘](韘.md) |  | shè | [名]
古代射箭時套在大拇指的器具。以象骨製成，用來鉤拉弓弦。《詩經．衛風．芄蘭》：「芄蘭之葉，童子佩韘。」清．徐珂《清稗類鈔．服飾類．扳指》：「以象牙、晶玉為之，著於右手之大指，實即古所謂韘。」 |</v>
      </c>
    </row>
    <row r="10511" spans="1:44" hidden="1">
      <c r="A10511" s="1" t="s">
        <v>20882</v>
      </c>
      <c r="C10511" s="1">
        <v>1</v>
      </c>
      <c r="D10511" s="1" t="str">
        <f>"08845"</f>
        <v>08845</v>
      </c>
      <c r="E10511" s="1" t="s">
        <v>24</v>
      </c>
      <c r="F10511" s="1">
        <v>14</v>
      </c>
      <c r="G10511" s="1">
        <v>11</v>
      </c>
      <c r="H10511" s="1">
        <v>0</v>
      </c>
      <c r="I10511" s="1" t="s">
        <v>20852</v>
      </c>
      <c r="K10511" s="1" t="str">
        <f t="shared" si="651"/>
        <v>ㄕ</v>
      </c>
      <c r="L10511" s="1" t="str">
        <f t="shared" si="652"/>
        <v>ㄜ</v>
      </c>
      <c r="N10511" s="3" t="s">
        <v>30574</v>
      </c>
      <c r="O10511" s="3"/>
      <c r="P10511" s="1" t="s">
        <v>20</v>
      </c>
      <c r="R10511" s="1" t="s">
        <v>20853</v>
      </c>
      <c r="V10511" s="1" t="s">
        <v>20883</v>
      </c>
      <c r="AR10511" s="1" t="str">
        <f t="shared" si="653"/>
        <v>| [ㄕㄜˋ](ㄕㄜˋ.md) | [摵](摵.md) |  | shè | [形]
樹葉掉落，枝頭光禿禿的樣子。《文選．潘岳．秋興賦》：「庭樹摵以灑落兮，勁風戾而吹帷。」 |</v>
      </c>
    </row>
    <row r="10512" spans="1:44" hidden="1">
      <c r="A10512" s="1" t="s">
        <v>16349</v>
      </c>
      <c r="C10512" s="1">
        <v>1</v>
      </c>
      <c r="D10512" s="1" t="str">
        <f>"08846"</f>
        <v>08846</v>
      </c>
      <c r="E10512" s="1" t="s">
        <v>1908</v>
      </c>
      <c r="F10512" s="1">
        <v>16</v>
      </c>
      <c r="G10512" s="1">
        <v>12</v>
      </c>
      <c r="H10512" s="1">
        <v>2</v>
      </c>
      <c r="I10512" s="1" t="s">
        <v>20852</v>
      </c>
      <c r="K10512" s="1" t="str">
        <f t="shared" si="651"/>
        <v>ㄕ</v>
      </c>
      <c r="L10512" s="1" t="str">
        <f t="shared" si="652"/>
        <v>ㄜ</v>
      </c>
      <c r="N10512" s="3" t="s">
        <v>30574</v>
      </c>
      <c r="O10512" s="3"/>
      <c r="P10512" s="1" t="s">
        <v>20</v>
      </c>
      <c r="R10512" s="1" t="s">
        <v>20853</v>
      </c>
      <c r="V10512" s="1" t="s">
        <v>20884</v>
      </c>
      <c r="W10512" s="1" t="s">
        <v>20885</v>
      </c>
      <c r="AR10512" s="1" t="str">
        <f t="shared" si="653"/>
        <v>| [ㄕㄜˋ](ㄕㄜˋ.md) | [歙](歙.md) |  | shè | 參見「歙縣」、「歙硯」等條。 |</v>
      </c>
    </row>
    <row r="10513" spans="1:44" hidden="1">
      <c r="A10513" s="1" t="s">
        <v>20886</v>
      </c>
      <c r="C10513" s="1">
        <v>1</v>
      </c>
      <c r="D10513" s="1" t="str">
        <f>"08847"</f>
        <v>08847</v>
      </c>
      <c r="E10513" s="1" t="s">
        <v>129</v>
      </c>
      <c r="F10513" s="1">
        <v>21</v>
      </c>
      <c r="G10513" s="1">
        <v>18</v>
      </c>
      <c r="H10513" s="1">
        <v>0</v>
      </c>
      <c r="I10513" s="1" t="s">
        <v>20852</v>
      </c>
      <c r="K10513" s="1" t="str">
        <f t="shared" si="651"/>
        <v>ㄕ</v>
      </c>
      <c r="L10513" s="1" t="str">
        <f t="shared" si="652"/>
        <v>ㄜ</v>
      </c>
      <c r="N10513" s="3" t="s">
        <v>30574</v>
      </c>
      <c r="O10513" s="3"/>
      <c r="P10513" s="1" t="s">
        <v>20</v>
      </c>
      <c r="R10513" s="1" t="s">
        <v>20853</v>
      </c>
      <c r="V10513" s="1" t="s">
        <v>20887</v>
      </c>
      <c r="AR10513" s="1" t="str">
        <f t="shared" si="653"/>
        <v>| [ㄕㄜˋ](ㄕㄜˋ.md) | [灄](灄.md) |  | shè | [名]
河川名。有東西二源，東源出大陸地區湖北省黃安縣，西源出河南省羅山縣，二源至黃陂縣合而南流，注入長江。 |</v>
      </c>
    </row>
    <row r="10514" spans="1:44" hidden="1">
      <c r="A10514" s="1" t="s">
        <v>18159</v>
      </c>
      <c r="C10514" s="1">
        <v>1</v>
      </c>
      <c r="D10514" s="1" t="str">
        <f>"08848"</f>
        <v>08848</v>
      </c>
      <c r="E10514" s="1" t="s">
        <v>250</v>
      </c>
      <c r="F10514" s="1">
        <v>21</v>
      </c>
      <c r="G10514" s="1">
        <v>18</v>
      </c>
      <c r="H10514" s="1">
        <v>2</v>
      </c>
      <c r="I10514" s="1" t="s">
        <v>20852</v>
      </c>
      <c r="K10514" s="1" t="str">
        <f t="shared" si="651"/>
        <v>ㄕ</v>
      </c>
      <c r="L10514" s="1" t="str">
        <f t="shared" si="652"/>
        <v>ㄜ</v>
      </c>
      <c r="N10514" s="3" t="s">
        <v>30574</v>
      </c>
      <c r="O10514" s="3"/>
      <c r="P10514" s="1" t="s">
        <v>110</v>
      </c>
      <c r="R10514" s="1" t="s">
        <v>20853</v>
      </c>
      <c r="V10514" s="1" t="s">
        <v>111</v>
      </c>
      <c r="W10514" s="1" t="s">
        <v>20888</v>
      </c>
      <c r="AR10514" s="1" t="str">
        <f t="shared" si="653"/>
        <v>| [ㄕㄜˋ](ㄕㄜˋ.md) | [懾](懾.md) |  | shè | (一)之又音。 |</v>
      </c>
    </row>
    <row r="10515" spans="1:44" hidden="1">
      <c r="A10515" s="1" t="s">
        <v>7463</v>
      </c>
      <c r="C10515" s="1">
        <v>1</v>
      </c>
      <c r="D10515" s="1" t="str">
        <f>"08849"</f>
        <v>08849</v>
      </c>
      <c r="E10515" s="1" t="s">
        <v>24</v>
      </c>
      <c r="F10515" s="1">
        <v>21</v>
      </c>
      <c r="G10515" s="1">
        <v>18</v>
      </c>
      <c r="H10515" s="1">
        <v>1</v>
      </c>
      <c r="I10515" s="1" t="s">
        <v>20852</v>
      </c>
      <c r="K10515" s="1" t="str">
        <f t="shared" si="651"/>
        <v>ㄕ</v>
      </c>
      <c r="L10515" s="1" t="str">
        <f t="shared" si="652"/>
        <v>ㄜ</v>
      </c>
      <c r="N10515" s="3" t="s">
        <v>30574</v>
      </c>
      <c r="O10515" s="3"/>
      <c r="P10515" s="1" t="s">
        <v>20</v>
      </c>
      <c r="R10515" s="1" t="s">
        <v>20853</v>
      </c>
      <c r="V10515" s="1" t="s">
        <v>20889</v>
      </c>
      <c r="W10515" s="1" t="s">
        <v>20890</v>
      </c>
      <c r="AR10515" s="1" t="str">
        <f t="shared" si="653"/>
        <v>| [ㄕㄜˋ](ㄕㄜˋ.md) | [攝](攝.md) |  | shè | [動]
1.引持、牽提。《漢書．卷三二．張耳陳餘傳》：「吏嘗以過笞餘，餘欲起，耳攝使受笞。」
2.整理。《史記．卷七七．魏公子傳》：「侯生攝敝衣冠，直上載公子上坐，不讓。」
3.維持、保持。《國語．晉語四》：「姓利相更，成而不遷，乃能攝固，保其土房。」
4.留取、收。如：「攝影」、「拍攝」、「攝取鏡頭」。
5.吸引、吸取。如：「勾魂攝魄」。唐．顧況〈廣陵白沙大雲寺碑〉：「磁石攝鐵，不攝鴻毛。」《西遊記》第二〇回：「把我師父攝了，倒轉問我做甚！」
6.捉拿、拘捕。如：「勾攝」。《國語．吳語》：「攝少司馬茲與王士五人。」
7.統轄、管理。如：「統攝」。《後漢書．卷六六．陳蕃傳》：「人君者，攝天地之政，秉四海之維。」
8.代理、兼理。如：「攝政」。《孟子．萬章上》：「堯老而舜攝也。」唐．陳鴻〈東城老父傳〉：「老人見黃門侍郎杜暹出為磧西節度，攝御史大夫，始假風憲以威遠。」
9.輔佐、幫助。《詩經．大雅．既醉》：「朋友攸攝，攝以威儀。」
10. 迫近、夾處。《論語．先進》：「千乘之國，攝乎大國之間。」
11. 保養。如：「攝生」。南朝梁．沈約〈神不滅論〉：「虛用損年，善攝增壽。」 |</v>
      </c>
    </row>
    <row r="10516" spans="1:44" hidden="1">
      <c r="A10516" s="1" t="s">
        <v>20891</v>
      </c>
      <c r="C10516" s="1">
        <v>1</v>
      </c>
      <c r="D10516" s="1" t="str">
        <f>"08850"</f>
        <v>08850</v>
      </c>
      <c r="E10516" s="1" t="s">
        <v>139</v>
      </c>
      <c r="F10516" s="1">
        <v>22</v>
      </c>
      <c r="G10516" s="1">
        <v>18</v>
      </c>
      <c r="H10516" s="1">
        <v>0</v>
      </c>
      <c r="I10516" s="1" t="s">
        <v>20852</v>
      </c>
      <c r="K10516" s="1" t="str">
        <f t="shared" si="651"/>
        <v>ㄕ</v>
      </c>
      <c r="L10516" s="1" t="str">
        <f t="shared" si="652"/>
        <v>ㄜ</v>
      </c>
      <c r="N10516" s="3" t="s">
        <v>30574</v>
      </c>
      <c r="O10516" s="3"/>
      <c r="P10516" s="1" t="s">
        <v>20</v>
      </c>
      <c r="R10516" s="1" t="s">
        <v>20853</v>
      </c>
      <c r="V10516" s="1" t="s">
        <v>20892</v>
      </c>
      <c r="AR10516" s="1" t="str">
        <f t="shared" si="653"/>
        <v>| [ㄕㄜˋ](ㄕㄜˋ.md) | [欇](欇.md) |  | shè | [名]
植物名。即虎豆。豆科血藤屬，一年生蔓性草本。頂葉卵狀菱形，側葉闊卵形。夏秋間開紫色蝶形花。莢果密生白毛。 |</v>
      </c>
    </row>
    <row r="10517" spans="1:44" hidden="1">
      <c r="A10517" s="1" t="s">
        <v>20571</v>
      </c>
      <c r="C10517" s="1">
        <v>1</v>
      </c>
      <c r="D10517" s="1" t="str">
        <f>"08821"</f>
        <v>08821</v>
      </c>
      <c r="E10517" s="1" t="s">
        <v>114</v>
      </c>
      <c r="F10517" s="1">
        <v>4</v>
      </c>
      <c r="G10517" s="1">
        <v>2</v>
      </c>
      <c r="H10517" s="1">
        <v>3</v>
      </c>
      <c r="I10517" s="1" t="s">
        <v>20826</v>
      </c>
      <c r="K10517" s="1" t="str">
        <f t="shared" si="651"/>
        <v>ㄕ</v>
      </c>
      <c r="L10517" s="1" t="str">
        <f t="shared" si="652"/>
        <v>ㄜ</v>
      </c>
      <c r="N10517" s="3" t="s">
        <v>30575</v>
      </c>
      <c r="O10517" s="3"/>
      <c r="P10517" s="1" t="s">
        <v>110</v>
      </c>
      <c r="R10517" s="1" t="s">
        <v>20827</v>
      </c>
      <c r="V10517" s="1" t="s">
        <v>1633</v>
      </c>
      <c r="W10517" s="1" t="s">
        <v>20828</v>
      </c>
      <c r="AR10517" s="1" t="str">
        <f t="shared" si="653"/>
        <v>| [ㄕㄜˊ](ㄕㄜˊ.md) | [什](什.md) |  | shé | (二)之又音。 |</v>
      </c>
    </row>
    <row r="10518" spans="1:44" hidden="1">
      <c r="A10518" s="1" t="s">
        <v>20829</v>
      </c>
      <c r="C10518" s="1">
        <v>1</v>
      </c>
      <c r="D10518" s="1" t="str">
        <f>"08822"</f>
        <v>08822</v>
      </c>
      <c r="E10518" s="1" t="s">
        <v>6303</v>
      </c>
      <c r="F10518" s="1">
        <v>6</v>
      </c>
      <c r="G10518" s="1">
        <v>0</v>
      </c>
      <c r="H10518" s="1">
        <v>0</v>
      </c>
      <c r="I10518" s="1" t="s">
        <v>20826</v>
      </c>
      <c r="K10518" s="1" t="str">
        <f t="shared" si="651"/>
        <v>ㄕ</v>
      </c>
      <c r="L10518" s="1" t="str">
        <f t="shared" si="652"/>
        <v>ㄜ</v>
      </c>
      <c r="N10518" s="3" t="s">
        <v>30575</v>
      </c>
      <c r="O10518" s="3"/>
      <c r="P10518" s="1" t="s">
        <v>20</v>
      </c>
      <c r="R10518" s="1" t="s">
        <v>20827</v>
      </c>
      <c r="V10518" s="1" t="s">
        <v>20830</v>
      </c>
      <c r="AR10518" s="1" t="str">
        <f t="shared" si="653"/>
        <v>| [ㄕㄜˊ](ㄕㄜˊ.md) | [舌](舌.md) |  | shé | [名]
1.動物口腔中專司辨別味道，幫助咀嚼與發音的味覺器官。也稱為「舌頭」。
2.物體像舌頭的部分。如：「火舌」、「帽舌」、「筆舌」。
3.二一四部首之一。 |</v>
      </c>
    </row>
    <row r="10519" spans="1:44" hidden="1">
      <c r="A10519" s="1" t="s">
        <v>18110</v>
      </c>
      <c r="C10519" s="1">
        <v>1</v>
      </c>
      <c r="D10519" s="1" t="str">
        <f>"08823"</f>
        <v>08823</v>
      </c>
      <c r="E10519" s="1" t="s">
        <v>24</v>
      </c>
      <c r="F10519" s="1">
        <v>7</v>
      </c>
      <c r="G10519" s="1">
        <v>4</v>
      </c>
      <c r="H10519" s="1">
        <v>2</v>
      </c>
      <c r="I10519" s="1" t="s">
        <v>20826</v>
      </c>
      <c r="K10519" s="1" t="str">
        <f t="shared" si="651"/>
        <v>ㄕ</v>
      </c>
      <c r="L10519" s="1" t="str">
        <f t="shared" si="652"/>
        <v>ㄜ</v>
      </c>
      <c r="N10519" s="3" t="s">
        <v>30575</v>
      </c>
      <c r="O10519" s="3"/>
      <c r="P10519" s="1" t="s">
        <v>20</v>
      </c>
      <c r="R10519" s="1" t="s">
        <v>20827</v>
      </c>
      <c r="V10519" s="1" t="s">
        <v>20831</v>
      </c>
      <c r="W10519" s="1" t="s">
        <v>20832</v>
      </c>
      <c r="AR10519" s="1" t="str">
        <f t="shared" si="653"/>
        <v>| [ㄕㄜˊ](ㄕㄜˊ.md) | [折](折.md) |  | shé | [動]
1.斷。如：「棍子折了！」
2.虧損。《漢書．卷二四．食貨志下》：「均官有以考檢厥實，用其本賈取之，毋令折錢。」《紅樓夢》第一〇〇回：「前兩天還聽見一個荒信，說是南邊當鋪也因為折了本兒收了。」 |</v>
      </c>
    </row>
    <row r="10520" spans="1:44" hidden="1">
      <c r="A10520" s="1" t="s">
        <v>20833</v>
      </c>
      <c r="C10520" s="1">
        <v>1</v>
      </c>
      <c r="D10520" s="1" t="str">
        <f>"08824"</f>
        <v>08824</v>
      </c>
      <c r="E10520" s="1" t="s">
        <v>114</v>
      </c>
      <c r="F10520" s="1">
        <v>7</v>
      </c>
      <c r="G10520" s="1">
        <v>5</v>
      </c>
      <c r="H10520" s="1">
        <v>0</v>
      </c>
      <c r="I10520" s="1" t="s">
        <v>20826</v>
      </c>
      <c r="K10520" s="1" t="str">
        <f t="shared" si="651"/>
        <v>ㄕ</v>
      </c>
      <c r="L10520" s="1" t="str">
        <f t="shared" si="652"/>
        <v>ㄜ</v>
      </c>
      <c r="N10520" s="3" t="s">
        <v>30575</v>
      </c>
      <c r="O10520" s="3"/>
      <c r="P10520" s="1" t="s">
        <v>20</v>
      </c>
      <c r="R10520" s="1" t="s">
        <v>20827</v>
      </c>
      <c r="V10520" s="1" t="s">
        <v>20834</v>
      </c>
      <c r="AR10520" s="1" t="str">
        <f t="shared" si="653"/>
        <v>| [ㄕㄜˊ](ㄕㄜˊ.md) | [佘](佘.md) |  | shé | [名]
姓。如唐代有佘欽。 |</v>
      </c>
    </row>
    <row r="10521" spans="1:44" hidden="1">
      <c r="A10521" s="1" t="s">
        <v>20835</v>
      </c>
      <c r="C10521" s="1">
        <v>1</v>
      </c>
      <c r="D10521" s="1" t="str">
        <f>"08825"</f>
        <v>08825</v>
      </c>
      <c r="E10521" s="1" t="s">
        <v>6621</v>
      </c>
      <c r="F10521" s="1">
        <v>9</v>
      </c>
      <c r="G10521" s="1">
        <v>4</v>
      </c>
      <c r="H10521" s="1">
        <v>3</v>
      </c>
      <c r="I10521" s="1" t="s">
        <v>20826</v>
      </c>
      <c r="K10521" s="1" t="str">
        <f t="shared" si="651"/>
        <v>ㄕ</v>
      </c>
      <c r="L10521" s="1" t="str">
        <f t="shared" si="652"/>
        <v>ㄜ</v>
      </c>
      <c r="N10521" s="3" t="s">
        <v>30575</v>
      </c>
      <c r="O10521" s="3"/>
      <c r="P10521" s="1" t="s">
        <v>110</v>
      </c>
      <c r="R10521" s="1" t="s">
        <v>20827</v>
      </c>
      <c r="V10521" s="1" t="s">
        <v>1633</v>
      </c>
      <c r="W10521" s="1" t="s">
        <v>20836</v>
      </c>
      <c r="AR10521" s="1" t="str">
        <f t="shared" si="653"/>
        <v>| [ㄕㄜˊ](ㄕㄜˊ.md) | [甚](甚.md) |  | shé | (二)之又音。 |</v>
      </c>
    </row>
    <row r="10522" spans="1:44" hidden="1">
      <c r="A10522" s="1" t="s">
        <v>20837</v>
      </c>
      <c r="C10522" s="1">
        <v>1</v>
      </c>
      <c r="D10522" s="1" t="str">
        <f>"08826"</f>
        <v>08826</v>
      </c>
      <c r="E10522" s="1" t="s">
        <v>679</v>
      </c>
      <c r="F10522" s="1">
        <v>11</v>
      </c>
      <c r="G10522" s="1">
        <v>5</v>
      </c>
      <c r="H10522" s="1">
        <v>1</v>
      </c>
      <c r="I10522" s="1" t="s">
        <v>20826</v>
      </c>
      <c r="K10522" s="1" t="str">
        <f t="shared" si="651"/>
        <v>ㄕ</v>
      </c>
      <c r="L10522" s="1" t="str">
        <f t="shared" si="652"/>
        <v>ㄜ</v>
      </c>
      <c r="N10522" s="3" t="s">
        <v>30575</v>
      </c>
      <c r="O10522" s="3"/>
      <c r="P10522" s="1" t="s">
        <v>20</v>
      </c>
      <c r="R10522" s="1" t="s">
        <v>20827</v>
      </c>
      <c r="V10522" s="1" t="s">
        <v>20838</v>
      </c>
      <c r="W10522" s="1" t="s">
        <v>20839</v>
      </c>
      <c r="AR10522" s="1" t="str">
        <f t="shared" si="653"/>
        <v>| [ㄕㄜˊ](ㄕㄜˊ.md) | [蛇](蛇.md) |  | shé | [名]
有鱗目蛇亞目爬行動物的總稱。約二千七百種，臺灣約產五十八種。體圓長，無四肢，有鱗，口大，舌細長而分叉，體色不一，有蛻皮現象。卵生或卵胎生，分有毒跟無毒二種。 |</v>
      </c>
    </row>
    <row r="10523" spans="1:44" hidden="1">
      <c r="A10523" s="1" t="s">
        <v>20840</v>
      </c>
      <c r="C10523" s="1">
        <v>1</v>
      </c>
      <c r="D10523" s="1" t="str">
        <f>"08827"</f>
        <v>08827</v>
      </c>
      <c r="E10523" s="1" t="s">
        <v>24</v>
      </c>
      <c r="F10523" s="1">
        <v>12</v>
      </c>
      <c r="G10523" s="1">
        <v>9</v>
      </c>
      <c r="H10523" s="1">
        <v>0</v>
      </c>
      <c r="I10523" s="1" t="s">
        <v>20826</v>
      </c>
      <c r="K10523" s="1" t="str">
        <f t="shared" si="651"/>
        <v>ㄕ</v>
      </c>
      <c r="L10523" s="1" t="str">
        <f t="shared" si="652"/>
        <v>ㄜ</v>
      </c>
      <c r="N10523" s="3" t="s">
        <v>30575</v>
      </c>
      <c r="O10523" s="3"/>
      <c r="P10523" s="1" t="s">
        <v>20</v>
      </c>
      <c r="R10523" s="1" t="s">
        <v>20827</v>
      </c>
      <c r="V10523" s="1" t="s">
        <v>20841</v>
      </c>
      <c r="AR10523" s="1" t="str">
        <f t="shared" si="653"/>
        <v>| [ㄕㄜˊ](ㄕㄜˊ.md) | [揲](揲.md) |  | shé | [動]
1.以手抽點物品的數目。古時多用於數蓍草占卜，以測吉凶。《玉篇．手部》：「揲，數蓍也。」《易經．繫辭上》：「揲之以四，以象四時。」《儒林外史》第三五回：「自己揲了一個蓍，筮得『天山遁』。」
2.拿取。《史記．卷一〇五．扁鵲倉公傳》：「揲荒爪幕，湔浣腸胃。」
3.折疊。唐．劉駕〈長門怨〉詩：「閒揲舞衣歸未得，夜來砧杵六宮秋。」 |</v>
      </c>
    </row>
    <row r="10524" spans="1:44" hidden="1">
      <c r="A10524" s="1" t="s">
        <v>5574</v>
      </c>
      <c r="C10524" s="1">
        <v>1</v>
      </c>
      <c r="D10524" s="1" t="str">
        <f>"08828"</f>
        <v>08828</v>
      </c>
      <c r="E10524" s="1" t="s">
        <v>709</v>
      </c>
      <c r="F10524" s="1">
        <v>16</v>
      </c>
      <c r="G10524" s="1">
        <v>8</v>
      </c>
      <c r="H10524" s="1">
        <v>2</v>
      </c>
      <c r="I10524" s="1" t="s">
        <v>20826</v>
      </c>
      <c r="K10524" s="1" t="str">
        <f t="shared" si="651"/>
        <v>ㄕ</v>
      </c>
      <c r="L10524" s="1" t="str">
        <f t="shared" si="652"/>
        <v>ㄜ</v>
      </c>
      <c r="N10524" s="3" t="s">
        <v>30575</v>
      </c>
      <c r="O10524" s="3"/>
      <c r="P10524" s="1" t="s">
        <v>20</v>
      </c>
      <c r="R10524" s="1" t="s">
        <v>20827</v>
      </c>
      <c r="V10524" s="1" t="s">
        <v>20842</v>
      </c>
      <c r="W10524" s="1" t="s">
        <v>20843</v>
      </c>
      <c r="AR10524" s="1" t="str">
        <f t="shared" si="653"/>
        <v>| [ㄕㄜˊ](ㄕㄜˊ.md) | [闍](闍.md) |  | shé | 參見「阿闍梨」條。 |</v>
      </c>
    </row>
    <row r="10525" spans="1:44" hidden="1">
      <c r="A10525" s="1" t="s">
        <v>20844</v>
      </c>
      <c r="C10525" s="1">
        <v>1</v>
      </c>
      <c r="D10525" s="1" t="str">
        <f>"08829"</f>
        <v>08829</v>
      </c>
      <c r="E10525" s="1" t="s">
        <v>6303</v>
      </c>
      <c r="F10525" s="1">
        <v>8</v>
      </c>
      <c r="G10525" s="1">
        <v>2</v>
      </c>
      <c r="H10525" s="1">
        <v>2</v>
      </c>
      <c r="I10525" s="1" t="s">
        <v>20845</v>
      </c>
      <c r="K10525" s="1" t="str">
        <f t="shared" si="651"/>
        <v>ㄕ</v>
      </c>
      <c r="L10525" s="1" t="str">
        <f t="shared" si="652"/>
        <v>ㄜ</v>
      </c>
      <c r="N10525" s="3" t="s">
        <v>30576</v>
      </c>
      <c r="O10525" s="3"/>
      <c r="P10525" s="1" t="s">
        <v>20</v>
      </c>
      <c r="R10525" s="1" t="s">
        <v>20846</v>
      </c>
      <c r="V10525" s="1" t="s">
        <v>20847</v>
      </c>
      <c r="W10525" s="1" t="s">
        <v>20848</v>
      </c>
      <c r="AR10525" s="1" t="str">
        <f t="shared" si="653"/>
        <v>| [ㄕㄜˇ](ㄕㄜˇ.md) | [舍](舍.md) |  | shě | [動]
1.放棄、放下。通「捨」。《論語．雍也》：「犁牛之子騂且角，雖欲勿用，山川其舍諸？」《荀子．勸學》：「鍥而不舍，金石可鏤。」
2.除去、除開。《孟子．公孫丑下》：「當今之世，舍我其誰也？」
3.止息、停止。《論語．子罕》：「逝者如斯夫，不舍晝夜。」 |</v>
      </c>
    </row>
    <row r="10526" spans="1:44" hidden="1">
      <c r="A10526" s="1" t="s">
        <v>20849</v>
      </c>
      <c r="C10526" s="1">
        <v>1</v>
      </c>
      <c r="D10526" s="1" t="str">
        <f>"08830"</f>
        <v>08830</v>
      </c>
      <c r="E10526" s="1" t="s">
        <v>24</v>
      </c>
      <c r="F10526" s="1">
        <v>11</v>
      </c>
      <c r="G10526" s="1">
        <v>8</v>
      </c>
      <c r="H10526" s="1">
        <v>0</v>
      </c>
      <c r="I10526" s="1" t="s">
        <v>20845</v>
      </c>
      <c r="K10526" s="1" t="str">
        <f t="shared" si="651"/>
        <v>ㄕ</v>
      </c>
      <c r="L10526" s="1" t="str">
        <f t="shared" si="652"/>
        <v>ㄜ</v>
      </c>
      <c r="N10526" s="3" t="s">
        <v>30576</v>
      </c>
      <c r="O10526" s="3"/>
      <c r="P10526" s="1" t="s">
        <v>20</v>
      </c>
      <c r="R10526" s="1" t="s">
        <v>20846</v>
      </c>
      <c r="V10526" s="1" t="s">
        <v>20850</v>
      </c>
      <c r="AR10526" s="1" t="str">
        <f t="shared" si="653"/>
        <v>| [ㄕㄜˇ](ㄕㄜˇ.md) | [捨](捨.md) |  | shě | [動]
1.放下、放棄。如：「割捨」、「捨棄」、「捨近求遠」、「依依不捨」。
2.布施、給予。如：「施捨」、「捨財」、「捨藥」。《兒女英雄傳》第三八回：「又有捨了一吊香錢，抱個紙元寶去，說是借財氣的。」
3.離開。唐．韓愈〈祭十二郎文〉：「故捨汝而旅食京師。」 |</v>
      </c>
    </row>
    <row r="10527" spans="1:44" hidden="1">
      <c r="A10527" s="1" t="s">
        <v>20902</v>
      </c>
      <c r="C10527" s="1">
        <v>1</v>
      </c>
      <c r="D10527" s="1" t="str">
        <f>"08854"</f>
        <v>08854</v>
      </c>
      <c r="E10527" s="1" t="s">
        <v>646</v>
      </c>
      <c r="F10527" s="1">
        <v>10</v>
      </c>
      <c r="G10527" s="1">
        <v>6</v>
      </c>
      <c r="H10527" s="1">
        <v>0</v>
      </c>
      <c r="I10527" s="1" t="s">
        <v>20903</v>
      </c>
      <c r="K10527" s="1" t="str">
        <f t="shared" si="651"/>
        <v>ㄕ</v>
      </c>
      <c r="L10527" s="1" t="str">
        <f t="shared" si="652"/>
        <v>ㄞ</v>
      </c>
      <c r="N10527" s="3" t="s">
        <v>30574</v>
      </c>
      <c r="O10527" s="3"/>
      <c r="P10527" s="1" t="s">
        <v>20</v>
      </c>
      <c r="R10527" s="1" t="s">
        <v>20904</v>
      </c>
      <c r="V10527" s="1" t="s">
        <v>20905</v>
      </c>
      <c r="AR10527" s="1" t="str">
        <f t="shared" si="653"/>
        <v>| [ㄕㄞˋ](ㄕㄞˋ.md) | [晒](晒.md) |  | shài | [動]
1.物體曝露在陽光下，吸收光和熱，使其乾燥。如：「晒衣服」、「晒書」。
2.將浸過藥水的底片取出，使其乾燥。如：「晒底片」。 |</v>
      </c>
    </row>
    <row r="10528" spans="1:44" hidden="1">
      <c r="A10528" s="1" t="s">
        <v>20762</v>
      </c>
      <c r="C10528" s="1">
        <v>1</v>
      </c>
      <c r="D10528" s="1" t="str">
        <f>"08855"</f>
        <v>08855</v>
      </c>
      <c r="E10528" s="1" t="s">
        <v>5505</v>
      </c>
      <c r="F10528" s="1">
        <v>11</v>
      </c>
      <c r="G10528" s="1">
        <v>7</v>
      </c>
      <c r="H10528" s="1">
        <v>2</v>
      </c>
      <c r="I10528" s="1" t="s">
        <v>20903</v>
      </c>
      <c r="K10528" s="1" t="str">
        <f t="shared" si="651"/>
        <v>ㄕ</v>
      </c>
      <c r="L10528" s="1" t="str">
        <f t="shared" si="652"/>
        <v>ㄞ</v>
      </c>
      <c r="N10528" s="3" t="s">
        <v>30574</v>
      </c>
      <c r="O10528" s="3"/>
      <c r="P10528" s="1" t="s">
        <v>20</v>
      </c>
      <c r="R10528" s="1" t="s">
        <v>20904</v>
      </c>
      <c r="V10528" s="1" t="s">
        <v>20906</v>
      </c>
      <c r="W10528" s="1" t="s">
        <v>20907</v>
      </c>
      <c r="AR10528" s="1" t="str">
        <f t="shared" si="653"/>
        <v>| [ㄕㄞˋ](ㄕㄞˋ.md) | [殺](殺.md) |  | shài | [名]
等差。《禮記．文王世子》：「其族食世降一等，親親之殺也。」漢．鄭玄．注：「殺，差也。」
[動]
1.減、削。《周禮．地官．廩人》：「若食不能人二釜，則令邦移民就穀，詔王殺邦用。」漢．鄭玄．注：「殺，猶減也。」
2.衰微。《呂氏春秋．恃君覽．長利》：「是故地日削，子孫彌殺。」漢．高誘．注：「殺，衰也。」
[形]
細小。《呂氏春秋．士容論．審時》：「先時者，大本而華，莖殺而不遂，葉稿短穗。後時者，小莖而麻長，短穗而厚糠，小米鉗而不香。」 |</v>
      </c>
    </row>
    <row r="10529" spans="1:44" hidden="1">
      <c r="A10529" s="1" t="s">
        <v>20770</v>
      </c>
      <c r="C10529" s="1">
        <v>1</v>
      </c>
      <c r="D10529" s="1" t="str">
        <f>"08856"</f>
        <v>08856</v>
      </c>
      <c r="E10529" s="1" t="s">
        <v>55</v>
      </c>
      <c r="F10529" s="1">
        <v>19</v>
      </c>
      <c r="G10529" s="1">
        <v>11</v>
      </c>
      <c r="H10529" s="1">
        <v>2</v>
      </c>
      <c r="I10529" s="1" t="s">
        <v>20903</v>
      </c>
      <c r="K10529" s="1" t="str">
        <f t="shared" si="651"/>
        <v>ㄕ</v>
      </c>
      <c r="L10529" s="1" t="str">
        <f t="shared" ref="L10529:L10560" si="654">MID(I10529, 2, 1)</f>
        <v>ㄞ</v>
      </c>
      <c r="N10529" s="3" t="s">
        <v>30574</v>
      </c>
      <c r="O10529" s="3"/>
      <c r="P10529" s="1" t="s">
        <v>110</v>
      </c>
      <c r="R10529" s="1" t="s">
        <v>20904</v>
      </c>
      <c r="V10529" s="1" t="s">
        <v>111</v>
      </c>
      <c r="W10529" s="1" t="s">
        <v>20908</v>
      </c>
      <c r="AR10529" s="1" t="str">
        <f t="shared" si="653"/>
        <v>| [ㄕㄞˋ](ㄕㄞˋ.md) | [鎩](鎩.md) |  | shài | (一)之又音。 |</v>
      </c>
    </row>
    <row r="10530" spans="1:44" hidden="1">
      <c r="A10530" s="1" t="s">
        <v>20851</v>
      </c>
      <c r="C10530" s="1">
        <v>1</v>
      </c>
      <c r="D10530" s="1" t="str">
        <f>"08852"</f>
        <v>08852</v>
      </c>
      <c r="E10530" s="1" t="s">
        <v>2433</v>
      </c>
      <c r="F10530" s="1">
        <v>6</v>
      </c>
      <c r="G10530" s="1">
        <v>0</v>
      </c>
      <c r="H10530" s="1">
        <v>2</v>
      </c>
      <c r="I10530" s="1" t="s">
        <v>20897</v>
      </c>
      <c r="K10530" s="1" t="str">
        <f t="shared" si="651"/>
        <v>ㄕ</v>
      </c>
      <c r="L10530" s="1" t="str">
        <f t="shared" si="654"/>
        <v>ㄞ</v>
      </c>
      <c r="N10530" s="3" t="s">
        <v>30576</v>
      </c>
      <c r="O10530" s="3"/>
      <c r="P10530" s="1" t="s">
        <v>20</v>
      </c>
      <c r="R10530" s="1" t="s">
        <v>20898</v>
      </c>
      <c r="V10530" s="1" t="s">
        <v>20899</v>
      </c>
      <c r="W10530" s="1" t="s">
        <v>20900</v>
      </c>
      <c r="AR10530" s="1" t="str">
        <f t="shared" si="653"/>
        <v>| [ㄕㄞˇ](ㄕㄞˇ.md) | [色](色.md) |  | shǎi | (一)[名]1.之語音。 |</v>
      </c>
    </row>
    <row r="10531" spans="1:44" hidden="1">
      <c r="A10531" s="1" t="s">
        <v>6173</v>
      </c>
      <c r="C10531" s="1">
        <v>1</v>
      </c>
      <c r="D10531" s="1" t="str">
        <f>"08853"</f>
        <v>08853</v>
      </c>
      <c r="E10531" s="1" t="s">
        <v>283</v>
      </c>
      <c r="F10531" s="1">
        <v>14</v>
      </c>
      <c r="G10531" s="1">
        <v>4</v>
      </c>
      <c r="H10531" s="1">
        <v>2</v>
      </c>
      <c r="I10531" s="1" t="s">
        <v>20897</v>
      </c>
      <c r="K10531" s="1" t="str">
        <f t="shared" si="651"/>
        <v>ㄕ</v>
      </c>
      <c r="L10531" s="1" t="str">
        <f t="shared" si="654"/>
        <v>ㄞ</v>
      </c>
      <c r="N10531" s="3" t="s">
        <v>30576</v>
      </c>
      <c r="O10531" s="3"/>
      <c r="P10531" s="1" t="s">
        <v>388</v>
      </c>
      <c r="R10531" s="1" t="s">
        <v>20898</v>
      </c>
      <c r="V10531" s="1" t="s">
        <v>407</v>
      </c>
      <c r="W10531" s="1" t="s">
        <v>20901</v>
      </c>
      <c r="AR10531" s="1" t="str">
        <f t="shared" si="653"/>
        <v>| [ㄕㄞˇ](ㄕㄞˇ.md) | [骰](骰.md) |  | shǎi | (一)之語音。 |</v>
      </c>
    </row>
    <row r="10532" spans="1:44" hidden="1">
      <c r="A10532" s="1" t="s">
        <v>20909</v>
      </c>
      <c r="C10532" s="1">
        <v>1</v>
      </c>
      <c r="D10532" s="1" t="str">
        <f>"08857"</f>
        <v>08857</v>
      </c>
      <c r="E10532" s="1" t="s">
        <v>331</v>
      </c>
      <c r="F10532" s="1">
        <v>15</v>
      </c>
      <c r="G10532" s="1">
        <v>8</v>
      </c>
      <c r="H10532" s="1">
        <v>1</v>
      </c>
      <c r="I10532" s="1" t="s">
        <v>20910</v>
      </c>
      <c r="K10532" s="1" t="str">
        <f t="shared" si="651"/>
        <v>ㄕ</v>
      </c>
      <c r="L10532" s="1" t="str">
        <f t="shared" si="654"/>
        <v>ㄟ</v>
      </c>
      <c r="N10532" s="3" t="s">
        <v>30575</v>
      </c>
      <c r="O10532" s="3"/>
      <c r="P10532" s="1" t="s">
        <v>388</v>
      </c>
      <c r="R10532" s="1" t="s">
        <v>20911</v>
      </c>
      <c r="V10532" s="1" t="s">
        <v>20912</v>
      </c>
      <c r="W10532" s="1" t="s">
        <v>20913</v>
      </c>
      <c r="AR10532" s="1" t="str">
        <f t="shared" si="653"/>
        <v>| [ㄕㄟˊ](ㄕㄟˊ.md) | [誰](誰.md) |  | shéi | [代]
1.甚麼人。表疑問。如：「誰敲門哪？」
2.任何人。表斷定的口氣。如：「這種小事誰都會作。」
[副]
難道。《漢書．卷四八．賈誼傳》：「壹動而五業附，陛下誰憚而久不為此？」 |</v>
      </c>
    </row>
    <row r="10533" spans="1:44" hidden="1">
      <c r="A10533" s="1" t="s">
        <v>20959</v>
      </c>
      <c r="C10533" s="1">
        <v>1</v>
      </c>
      <c r="D10533" s="1" t="str">
        <f>"08878"</f>
        <v>08878</v>
      </c>
      <c r="E10533" s="1" t="s">
        <v>13811</v>
      </c>
      <c r="F10533" s="1">
        <v>4</v>
      </c>
      <c r="G10533" s="1">
        <v>1</v>
      </c>
      <c r="H10533" s="1">
        <v>2</v>
      </c>
      <c r="I10533" s="1" t="s">
        <v>20964</v>
      </c>
      <c r="K10533" s="1" t="str">
        <f t="shared" si="651"/>
        <v>ㄕ</v>
      </c>
      <c r="L10533" s="1" t="str">
        <f t="shared" si="654"/>
        <v>ㄠ</v>
      </c>
      <c r="N10533" s="3" t="s">
        <v>30574</v>
      </c>
      <c r="O10533" s="3"/>
      <c r="P10533" s="1" t="s">
        <v>20</v>
      </c>
      <c r="R10533" s="1" t="s">
        <v>20965</v>
      </c>
      <c r="V10533" s="1" t="s">
        <v>20966</v>
      </c>
      <c r="W10533" s="1" t="s">
        <v>20967</v>
      </c>
      <c r="AR10533" s="1" t="str">
        <f t="shared" si="653"/>
        <v>| [ㄕㄠˋ](ㄕㄠˋ.md) | [少](少.md) |  | shào | [形]
年幼的、年輕的。如：「少男」、「少女」、「少爺」。
[名]
1.幼年或年輕的時候。《墨子．兼愛中》：「少失其父母者，有所放依而長。」三國魏．嵇康〈與山巨源絕交書〉：「此由禽鹿，少見馴育，則服從教制。」
2.年輕的人。《晉書．卷八〇．列傳．王羲之》：「王氏諸少並佳。」《儒林外史》第四一回：「那些好事的惡少，都一傳兩，兩傳三的來物色，非止一日。」
3.姓。如漢代有少年唯。 |</v>
      </c>
    </row>
    <row r="10534" spans="1:44" hidden="1">
      <c r="A10534" s="1" t="s">
        <v>18278</v>
      </c>
      <c r="C10534" s="1">
        <v>1</v>
      </c>
      <c r="D10534" s="1" t="str">
        <f>"08879"</f>
        <v>08879</v>
      </c>
      <c r="E10534" s="1" t="s">
        <v>28</v>
      </c>
      <c r="F10534" s="1">
        <v>5</v>
      </c>
      <c r="G10534" s="1">
        <v>2</v>
      </c>
      <c r="H10534" s="1">
        <v>2</v>
      </c>
      <c r="I10534" s="1" t="s">
        <v>20964</v>
      </c>
      <c r="K10534" s="1" t="str">
        <f t="shared" si="651"/>
        <v>ㄕ</v>
      </c>
      <c r="L10534" s="1" t="str">
        <f t="shared" si="654"/>
        <v>ㄠ</v>
      </c>
      <c r="N10534" s="3" t="s">
        <v>30574</v>
      </c>
      <c r="O10534" s="3"/>
      <c r="P10534" s="1" t="s">
        <v>20</v>
      </c>
      <c r="R10534" s="1" t="s">
        <v>20965</v>
      </c>
      <c r="V10534" s="1" t="s">
        <v>20968</v>
      </c>
      <c r="W10534" s="1" t="s">
        <v>20969</v>
      </c>
      <c r="AR10534" s="1" t="str">
        <f t="shared" si="653"/>
        <v>| [ㄕㄠˋ](ㄕㄠˋ.md) | [召](召.md) |  | shào | [名]
1.國名。周畿內國，故址約在今大陸地區陝西省岐山縣西南。
2.姓。如漢代有召平。 |</v>
      </c>
    </row>
    <row r="10535" spans="1:44" hidden="1">
      <c r="A10535" s="1" t="s">
        <v>20970</v>
      </c>
      <c r="C10535" s="1">
        <v>1</v>
      </c>
      <c r="D10535" s="1" t="str">
        <f>"08880"</f>
        <v>08880</v>
      </c>
      <c r="E10535" s="1" t="s">
        <v>2954</v>
      </c>
      <c r="F10535" s="1">
        <v>7</v>
      </c>
      <c r="G10535" s="1">
        <v>5</v>
      </c>
      <c r="H10535" s="1">
        <v>0</v>
      </c>
      <c r="I10535" s="1" t="s">
        <v>20964</v>
      </c>
      <c r="K10535" s="1" t="str">
        <f t="shared" si="651"/>
        <v>ㄕ</v>
      </c>
      <c r="L10535" s="1" t="str">
        <f t="shared" si="654"/>
        <v>ㄠ</v>
      </c>
      <c r="N10535" s="3" t="s">
        <v>30574</v>
      </c>
      <c r="O10535" s="3"/>
      <c r="P10535" s="1" t="s">
        <v>20</v>
      </c>
      <c r="R10535" s="1" t="s">
        <v>20965</v>
      </c>
      <c r="V10535" s="1" t="s">
        <v>20971</v>
      </c>
      <c r="AR10535" s="1" t="str">
        <f t="shared" si="653"/>
        <v>| [ㄕㄠˋ](ㄕㄠˋ.md) | [卲](卲.md) |  | shào | [形]
高尚、美好。同「劭」。如：「年高德卲」。 |</v>
      </c>
    </row>
    <row r="10536" spans="1:44" hidden="1">
      <c r="A10536" s="1" t="s">
        <v>20972</v>
      </c>
      <c r="C10536" s="1">
        <v>1</v>
      </c>
      <c r="D10536" s="1" t="str">
        <f>"08881"</f>
        <v>08881</v>
      </c>
      <c r="E10536" s="1" t="s">
        <v>245</v>
      </c>
      <c r="F10536" s="1">
        <v>7</v>
      </c>
      <c r="G10536" s="1">
        <v>5</v>
      </c>
      <c r="H10536" s="1">
        <v>0</v>
      </c>
      <c r="I10536" s="1" t="s">
        <v>20964</v>
      </c>
      <c r="K10536" s="1" t="str">
        <f t="shared" si="651"/>
        <v>ㄕ</v>
      </c>
      <c r="L10536" s="1" t="str">
        <f t="shared" si="654"/>
        <v>ㄠ</v>
      </c>
      <c r="N10536" s="3" t="s">
        <v>30574</v>
      </c>
      <c r="O10536" s="3"/>
      <c r="P10536" s="1" t="s">
        <v>20</v>
      </c>
      <c r="R10536" s="1" t="s">
        <v>20965</v>
      </c>
      <c r="V10536" s="1" t="s">
        <v>20973</v>
      </c>
      <c r="AR10536" s="1" t="str">
        <f t="shared" si="653"/>
        <v>| [ㄕㄠˋ](ㄕㄠˋ.md) | [劭](劭.md) |  | shào | [動]
勸勉。《漢書．卷一〇．成帝紀》：「先帝劭農，薄其租稅，寵其彊力，令與孝弟同科。」
[形]
優美、高尚。如：「才劭」、「年高德劭」。 |</v>
      </c>
    </row>
    <row r="10537" spans="1:44" hidden="1">
      <c r="A10537" s="1" t="s">
        <v>20974</v>
      </c>
      <c r="C10537" s="1">
        <v>1</v>
      </c>
      <c r="D10537" s="1" t="str">
        <f>"08882"</f>
        <v>08882</v>
      </c>
      <c r="E10537" s="1" t="s">
        <v>256</v>
      </c>
      <c r="F10537" s="1">
        <v>8</v>
      </c>
      <c r="G10537" s="1">
        <v>5</v>
      </c>
      <c r="H10537" s="1">
        <v>0</v>
      </c>
      <c r="I10537" s="1" t="s">
        <v>20964</v>
      </c>
      <c r="K10537" s="1" t="str">
        <f t="shared" si="651"/>
        <v>ㄕ</v>
      </c>
      <c r="L10537" s="1" t="str">
        <f t="shared" si="654"/>
        <v>ㄠ</v>
      </c>
      <c r="N10537" s="3" t="s">
        <v>30574</v>
      </c>
      <c r="O10537" s="3"/>
      <c r="P10537" s="1" t="s">
        <v>20</v>
      </c>
      <c r="R10537" s="1" t="s">
        <v>20965</v>
      </c>
      <c r="V10537" s="1" t="s">
        <v>20975</v>
      </c>
      <c r="AR10537" s="1" t="str">
        <f t="shared" si="653"/>
        <v>| [ㄕㄠˋ](ㄕㄠˋ.md) | [邵](邵.md) |  | shào | [名]
1.地名。春秋時晉邑，故址約在今大陸地區河南省濟源縣西。
2.姓。如三國時魏國有邵登，清代有邵長蘅。 |</v>
      </c>
    </row>
    <row r="10538" spans="1:44" hidden="1">
      <c r="A10538" s="1" t="s">
        <v>20976</v>
      </c>
      <c r="C10538" s="1">
        <v>1</v>
      </c>
      <c r="D10538" s="1" t="str">
        <f>"08883"</f>
        <v>08883</v>
      </c>
      <c r="E10538" s="1" t="s">
        <v>340</v>
      </c>
      <c r="F10538" s="1">
        <v>11</v>
      </c>
      <c r="G10538" s="1">
        <v>5</v>
      </c>
      <c r="H10538" s="1">
        <v>0</v>
      </c>
      <c r="I10538" s="1" t="s">
        <v>20964</v>
      </c>
      <c r="K10538" s="1" t="str">
        <f t="shared" si="651"/>
        <v>ㄕ</v>
      </c>
      <c r="L10538" s="1" t="str">
        <f t="shared" si="654"/>
        <v>ㄠ</v>
      </c>
      <c r="N10538" s="3" t="s">
        <v>30574</v>
      </c>
      <c r="O10538" s="3"/>
      <c r="P10538" s="1" t="s">
        <v>20</v>
      </c>
      <c r="R10538" s="1" t="s">
        <v>20965</v>
      </c>
      <c r="V10538" s="1" t="s">
        <v>20977</v>
      </c>
      <c r="AR10538" s="1" t="str">
        <f t="shared" si="653"/>
        <v>| [ㄕㄠˋ](ㄕㄠˋ.md) | [袑](袑.md) |  | shào | [名]
褲子上半褲襠的部分。《說文解字．衣部》：「袑，褲上也。」《漢書．卷八三．朱博傳》：「官屬多褒衣大袑，不中節度。」 |</v>
      </c>
    </row>
    <row r="10539" spans="1:44" hidden="1">
      <c r="A10539" s="1" t="s">
        <v>20978</v>
      </c>
      <c r="C10539" s="1">
        <v>1</v>
      </c>
      <c r="D10539" s="1" t="str">
        <f>"08884"</f>
        <v>08884</v>
      </c>
      <c r="E10539" s="1" t="s">
        <v>725</v>
      </c>
      <c r="F10539" s="1">
        <v>11</v>
      </c>
      <c r="G10539" s="1">
        <v>5</v>
      </c>
      <c r="H10539" s="1">
        <v>0</v>
      </c>
      <c r="I10539" s="1" t="s">
        <v>20964</v>
      </c>
      <c r="K10539" s="1" t="str">
        <f t="shared" si="651"/>
        <v>ㄕ</v>
      </c>
      <c r="L10539" s="1" t="str">
        <f t="shared" si="654"/>
        <v>ㄠ</v>
      </c>
      <c r="N10539" s="3" t="s">
        <v>30574</v>
      </c>
      <c r="O10539" s="3"/>
      <c r="P10539" s="1" t="s">
        <v>20</v>
      </c>
      <c r="R10539" s="1" t="s">
        <v>20965</v>
      </c>
      <c r="V10539" s="1" t="s">
        <v>20979</v>
      </c>
      <c r="AR10539" s="1" t="str">
        <f t="shared" si="653"/>
        <v>| [ㄕㄠˋ](ㄕㄠˋ.md) | [紹](紹.md) |  | shào | [動]
1.接續、繼承。如：「紹業」、「克紹箕裘」。《書經．盤庚上》：「紹復先王之大業，底綏四方。」
2.從中引薦。如：「介紹」。《戰國策．趙策三》：「勝請為紹介而見之於將軍。」《晏子春秋．內篇．問下》：「諸侯之交，紹而相見，辭之有所隱也。」
[名]
姓。如明代有紹陽。 |</v>
      </c>
    </row>
    <row r="10540" spans="1:44" hidden="1">
      <c r="A10540" s="1" t="s">
        <v>20914</v>
      </c>
      <c r="C10540" s="1">
        <v>1</v>
      </c>
      <c r="D10540" s="1" t="str">
        <f>"08885"</f>
        <v>08885</v>
      </c>
      <c r="E10540" s="1" t="s">
        <v>24</v>
      </c>
      <c r="F10540" s="1">
        <v>10</v>
      </c>
      <c r="G10540" s="1">
        <v>7</v>
      </c>
      <c r="H10540" s="1">
        <v>2</v>
      </c>
      <c r="I10540" s="1" t="s">
        <v>20964</v>
      </c>
      <c r="K10540" s="1" t="str">
        <f t="shared" si="651"/>
        <v>ㄕ</v>
      </c>
      <c r="L10540" s="1" t="str">
        <f t="shared" si="654"/>
        <v>ㄠ</v>
      </c>
      <c r="N10540" s="3" t="s">
        <v>30574</v>
      </c>
      <c r="O10540" s="3"/>
      <c r="P10540" s="1" t="s">
        <v>20</v>
      </c>
      <c r="R10540" s="1" t="s">
        <v>20965</v>
      </c>
      <c r="V10540" s="1" t="s">
        <v>20980</v>
      </c>
      <c r="W10540" s="1" t="s">
        <v>20981</v>
      </c>
      <c r="AR10540" s="1" t="str">
        <f t="shared" si="653"/>
        <v>| [ㄕㄠˋ](ㄕㄠˋ.md) | [捎](捎.md) |  | shào | [動]
1.退後。如：「巷口狹窄，請把車子往後捎捎。」
2.退去、退除。如：「捎色」。
3.擊打。宋．李燾《續資治通鑑長編．卷四八五．哲宗紹聖四年》：「時有賊馬至好水、峗濟嚕、新結溝等處濳伏伺隙，欲出捎擊糧道。」明．朱權《卓文君》第二折：「也不用蜂媒蝶使，更何須燕侶鶯儔，硬撞八鳳窟鸞穴，只消我移宮換羽，便是我捎關打節。」
4.雨水濺入、雨水敲打。通「潲」。如：「把窗戶關上！雨捎進來了。」宋．葛天民〈荷&amp;f50fc_.gif;浦中〉詩：「急雨捎荷分外奇，珠璣狼籍錦紛披。」 |</v>
      </c>
    </row>
    <row r="10541" spans="1:44" hidden="1">
      <c r="A10541" s="1" t="s">
        <v>20982</v>
      </c>
      <c r="C10541" s="1">
        <v>1</v>
      </c>
      <c r="D10541" s="1" t="str">
        <f>"08886"</f>
        <v>08886</v>
      </c>
      <c r="E10541" s="1" t="s">
        <v>28</v>
      </c>
      <c r="F10541" s="1">
        <v>10</v>
      </c>
      <c r="G10541" s="1">
        <v>7</v>
      </c>
      <c r="H10541" s="1">
        <v>0</v>
      </c>
      <c r="I10541" s="1" t="s">
        <v>20964</v>
      </c>
      <c r="K10541" s="1" t="str">
        <f t="shared" si="651"/>
        <v>ㄕ</v>
      </c>
      <c r="L10541" s="1" t="str">
        <f t="shared" si="654"/>
        <v>ㄠ</v>
      </c>
      <c r="N10541" s="3" t="s">
        <v>30574</v>
      </c>
      <c r="O10541" s="3"/>
      <c r="P10541" s="1" t="s">
        <v>20</v>
      </c>
      <c r="R10541" s="1" t="s">
        <v>20965</v>
      </c>
      <c r="V10541" s="1" t="s">
        <v>20983</v>
      </c>
      <c r="AR10541" s="1" t="str">
        <f t="shared" si="653"/>
        <v>| [ㄕㄠˋ](ㄕㄠˋ.md) | [哨](哨.md) |  | shào | [名]
1.駐兵擔任巡邏警戒的人或崗位。如：「放哨」、「崗哨」。
2.用來示警的吹器。如：「哨子」。
3.將手指放在嘴裡，或將嘴脣撮成圓形，用力向外吹氣所發出的尖銳聲音。如：「他的口哨吹得挺好。」 |</v>
      </c>
    </row>
    <row r="10542" spans="1:44" hidden="1">
      <c r="A10542" s="1" t="s">
        <v>20923</v>
      </c>
      <c r="C10542" s="1">
        <v>1</v>
      </c>
      <c r="D10542" s="1" t="str">
        <f>"08887"</f>
        <v>08887</v>
      </c>
      <c r="E10542" s="1" t="s">
        <v>429</v>
      </c>
      <c r="F10542" s="1">
        <v>12</v>
      </c>
      <c r="G10542" s="1">
        <v>7</v>
      </c>
      <c r="H10542" s="1">
        <v>2</v>
      </c>
      <c r="I10542" s="1" t="s">
        <v>20964</v>
      </c>
      <c r="K10542" s="1" t="str">
        <f t="shared" si="651"/>
        <v>ㄕ</v>
      </c>
      <c r="L10542" s="1" t="str">
        <f t="shared" si="654"/>
        <v>ㄠ</v>
      </c>
      <c r="N10542" s="3" t="s">
        <v>30574</v>
      </c>
      <c r="O10542" s="3"/>
      <c r="P10542" s="1" t="s">
        <v>110</v>
      </c>
      <c r="R10542" s="1" t="s">
        <v>20965</v>
      </c>
      <c r="V10542" s="1" t="s">
        <v>111</v>
      </c>
      <c r="W10542" s="1" t="s">
        <v>20984</v>
      </c>
      <c r="AR10542" s="1" t="str">
        <f t="shared" si="653"/>
        <v>| [ㄕㄠˋ](ㄕㄠˋ.md) | [稍](稍.md) |  | shào | (一)之又音。 |</v>
      </c>
    </row>
    <row r="10543" spans="1:44" hidden="1">
      <c r="A10543" s="1" t="s">
        <v>20985</v>
      </c>
      <c r="C10543" s="1">
        <v>1</v>
      </c>
      <c r="D10543" s="1" t="str">
        <f>"08888"</f>
        <v>08888</v>
      </c>
      <c r="E10543" s="1" t="s">
        <v>129</v>
      </c>
      <c r="F10543" s="1">
        <v>15</v>
      </c>
      <c r="G10543" s="1">
        <v>12</v>
      </c>
      <c r="H10543" s="1">
        <v>0</v>
      </c>
      <c r="I10543" s="1" t="s">
        <v>20964</v>
      </c>
      <c r="K10543" s="1" t="str">
        <f t="shared" si="651"/>
        <v>ㄕ</v>
      </c>
      <c r="L10543" s="1" t="str">
        <f t="shared" si="654"/>
        <v>ㄠ</v>
      </c>
      <c r="N10543" s="3" t="s">
        <v>30574</v>
      </c>
      <c r="O10543" s="3"/>
      <c r="P10543" s="1" t="s">
        <v>20</v>
      </c>
      <c r="R10543" s="1" t="s">
        <v>20965</v>
      </c>
      <c r="V10543" s="1" t="s">
        <v>20986</v>
      </c>
      <c r="AR10543" s="1" t="str">
        <f t="shared" si="653"/>
        <v>| [ㄕㄠˋ](ㄕㄠˋ.md) | [潲](潲.md) |  | shào | [名]
臭汁，或淘米水做成的豬食。《玉篇．水部》：「潲，臭汁也。」《廣韻．去聲．效韻》：「潲，豕食。」
[動]
雨水斜落。《廣韻．去聲．效韻》：「潲，雨濺也。」如：「潲雨」、「西潲」。 |</v>
      </c>
    </row>
    <row r="10544" spans="1:44" hidden="1">
      <c r="A10544" s="1" t="s">
        <v>18986</v>
      </c>
      <c r="C10544" s="1">
        <v>1</v>
      </c>
      <c r="D10544" s="1" t="str">
        <f>"08872"</f>
        <v>08872</v>
      </c>
      <c r="E10544" s="1" t="s">
        <v>570</v>
      </c>
      <c r="F10544" s="1">
        <v>3</v>
      </c>
      <c r="G10544" s="1">
        <v>1</v>
      </c>
      <c r="H10544" s="1">
        <v>1</v>
      </c>
      <c r="I10544" s="1" t="s">
        <v>20946</v>
      </c>
      <c r="K10544" s="1" t="str">
        <f t="shared" si="651"/>
        <v>ㄕ</v>
      </c>
      <c r="L10544" s="1" t="str">
        <f t="shared" si="654"/>
        <v>ㄠ</v>
      </c>
      <c r="N10544" s="3" t="s">
        <v>30575</v>
      </c>
      <c r="O10544" s="3"/>
      <c r="P10544" s="1" t="s">
        <v>20</v>
      </c>
      <c r="R10544" s="1" t="s">
        <v>20947</v>
      </c>
      <c r="V10544" s="1" t="s">
        <v>20948</v>
      </c>
      <c r="W10544" s="1" t="s">
        <v>20949</v>
      </c>
      <c r="AR10544" s="1" t="str">
        <f t="shared" si="653"/>
        <v>| [ㄕㄠˊ](ㄕㄠˊ.md) | [勺](勺.md) |  | sháo | [名]
1.舀東西的器具。如：「鐵勺」、「湯勺」。
2.量詞：(1)計算容量的單位。公制一勺等於百分之一公升。也稱為「公勺」。(2)計算勺子容裝物的單位。如：「一勺水」。 |</v>
      </c>
    </row>
    <row r="10545" spans="1:44" hidden="1">
      <c r="A10545" s="1" t="s">
        <v>1150</v>
      </c>
      <c r="C10545" s="1">
        <v>1</v>
      </c>
      <c r="D10545" s="1" t="str">
        <f>"08873"</f>
        <v>08873</v>
      </c>
      <c r="E10545" s="1" t="s">
        <v>139</v>
      </c>
      <c r="F10545" s="1">
        <v>7</v>
      </c>
      <c r="G10545" s="1">
        <v>3</v>
      </c>
      <c r="H10545" s="1">
        <v>2</v>
      </c>
      <c r="I10545" s="1" t="s">
        <v>20946</v>
      </c>
      <c r="K10545" s="1" t="str">
        <f t="shared" si="651"/>
        <v>ㄕ</v>
      </c>
      <c r="L10545" s="1" t="str">
        <f t="shared" si="654"/>
        <v>ㄠ</v>
      </c>
      <c r="N10545" s="3" t="s">
        <v>30575</v>
      </c>
      <c r="O10545" s="3"/>
      <c r="P10545" s="1" t="s">
        <v>20</v>
      </c>
      <c r="R10545" s="1" t="s">
        <v>20947</v>
      </c>
      <c r="V10545" s="1" t="s">
        <v>20950</v>
      </c>
      <c r="W10545" s="1" t="s">
        <v>20951</v>
      </c>
      <c r="AR10545" s="1" t="str">
        <f t="shared" si="653"/>
        <v>| [ㄕㄠˊ](ㄕㄠˊ.md) | [杓](杓.md) |  | sháo | [名]
取水、舀東西的器具。同「勺」。《文選．李康．運命論》：「則執杓而飲河者，不過滿腹。」 |</v>
      </c>
    </row>
    <row r="10546" spans="1:44" hidden="1">
      <c r="A10546" s="1" t="s">
        <v>20952</v>
      </c>
      <c r="C10546" s="1">
        <v>1</v>
      </c>
      <c r="D10546" s="1" t="str">
        <f>"08874"</f>
        <v>08874</v>
      </c>
      <c r="E10546" s="1" t="s">
        <v>37</v>
      </c>
      <c r="F10546" s="1">
        <v>7</v>
      </c>
      <c r="G10546" s="1">
        <v>3</v>
      </c>
      <c r="H10546" s="1">
        <v>1</v>
      </c>
      <c r="I10546" s="1" t="s">
        <v>20946</v>
      </c>
      <c r="K10546" s="1" t="str">
        <f t="shared" si="651"/>
        <v>ㄕ</v>
      </c>
      <c r="L10546" s="1" t="str">
        <f t="shared" si="654"/>
        <v>ㄠ</v>
      </c>
      <c r="N10546" s="3" t="s">
        <v>30575</v>
      </c>
      <c r="O10546" s="3"/>
      <c r="P10546" s="1" t="s">
        <v>388</v>
      </c>
      <c r="R10546" s="1" t="s">
        <v>20947</v>
      </c>
      <c r="V10546" s="1" t="s">
        <v>20953</v>
      </c>
      <c r="W10546" s="1" t="s">
        <v>20954</v>
      </c>
      <c r="AR10546" s="1" t="str">
        <f t="shared" si="653"/>
        <v>| [ㄕㄠˊ](ㄕㄠˊ.md) | [芍](芍.md) |  | sháo | 參見「芍藥」條。 |</v>
      </c>
    </row>
    <row r="10547" spans="1:44" hidden="1">
      <c r="A10547" s="1" t="s">
        <v>15220</v>
      </c>
      <c r="C10547" s="1">
        <v>1</v>
      </c>
      <c r="D10547" s="1" t="str">
        <f>"08875"</f>
        <v>08875</v>
      </c>
      <c r="E10547" s="1" t="s">
        <v>24</v>
      </c>
      <c r="F10547" s="1">
        <v>8</v>
      </c>
      <c r="G10547" s="1">
        <v>5</v>
      </c>
      <c r="H10547" s="1">
        <v>2</v>
      </c>
      <c r="I10547" s="1" t="s">
        <v>20946</v>
      </c>
      <c r="K10547" s="1" t="str">
        <f t="shared" si="651"/>
        <v>ㄕ</v>
      </c>
      <c r="L10547" s="1" t="str">
        <f t="shared" si="654"/>
        <v>ㄠ</v>
      </c>
      <c r="N10547" s="3" t="s">
        <v>30575</v>
      </c>
      <c r="O10547" s="3"/>
      <c r="P10547" s="1" t="s">
        <v>20</v>
      </c>
      <c r="R10547" s="1" t="s">
        <v>20947</v>
      </c>
      <c r="V10547" s="1" t="s">
        <v>20955</v>
      </c>
      <c r="W10547" s="1" t="s">
        <v>20956</v>
      </c>
      <c r="AR10547" s="1" t="str">
        <f t="shared" si="653"/>
        <v>| [ㄕㄠˊ](ㄕㄠˊ.md) | [招](招.md) |  | sháo | [名]
古代虞舜時的樂名曲稱。同「韶」。《史記．卷一．五帝本紀》：「禹乃與九招之樂。」 |</v>
      </c>
    </row>
    <row r="10548" spans="1:44" hidden="1">
      <c r="A10548" s="1" t="s">
        <v>20957</v>
      </c>
      <c r="C10548" s="1">
        <v>1</v>
      </c>
      <c r="D10548" s="1" t="str">
        <f>"08876"</f>
        <v>08876</v>
      </c>
      <c r="E10548" s="1" t="s">
        <v>14314</v>
      </c>
      <c r="F10548" s="1">
        <v>14</v>
      </c>
      <c r="G10548" s="1">
        <v>5</v>
      </c>
      <c r="H10548" s="1">
        <v>0</v>
      </c>
      <c r="I10548" s="1" t="s">
        <v>20946</v>
      </c>
      <c r="K10548" s="1" t="str">
        <f t="shared" si="651"/>
        <v>ㄕ</v>
      </c>
      <c r="L10548" s="1" t="str">
        <f t="shared" si="654"/>
        <v>ㄠ</v>
      </c>
      <c r="N10548" s="3" t="s">
        <v>30575</v>
      </c>
      <c r="O10548" s="3"/>
      <c r="P10548" s="1" t="s">
        <v>20</v>
      </c>
      <c r="R10548" s="1" t="s">
        <v>20947</v>
      </c>
      <c r="V10548" s="1" t="s">
        <v>20958</v>
      </c>
      <c r="AR10548" s="1" t="str">
        <f t="shared" si="653"/>
        <v>| [ㄕㄠˊ](ㄕㄠˊ.md) | [韶](韶.md) |  | sháo | [名]
1.相傳為古代虞舜時的樂曲名稱。《說文解字．音部》：「韶，虞舜樂也。」
2.姓。如晉代有韶石。
[形]
美好的。如：「韶光易逝」。南朝宋．鮑照〈發後渚〉詩：「華志分馳年，韶顏慘驚節。」 |</v>
      </c>
    </row>
    <row r="10549" spans="1:44" hidden="1">
      <c r="A10549" s="1" t="s">
        <v>20959</v>
      </c>
      <c r="C10549" s="1">
        <v>1</v>
      </c>
      <c r="D10549" s="1" t="str">
        <f>"08877"</f>
        <v>08877</v>
      </c>
      <c r="E10549" s="1" t="s">
        <v>13811</v>
      </c>
      <c r="F10549" s="1">
        <v>4</v>
      </c>
      <c r="G10549" s="1">
        <v>1</v>
      </c>
      <c r="H10549" s="1">
        <v>1</v>
      </c>
      <c r="I10549" s="1" t="s">
        <v>20960</v>
      </c>
      <c r="K10549" s="1" t="str">
        <f t="shared" si="651"/>
        <v>ㄕ</v>
      </c>
      <c r="L10549" s="1" t="str">
        <f t="shared" si="654"/>
        <v>ㄠ</v>
      </c>
      <c r="N10549" s="3" t="s">
        <v>30576</v>
      </c>
      <c r="O10549" s="3"/>
      <c r="P10549" s="1" t="s">
        <v>20</v>
      </c>
      <c r="R10549" s="1" t="s">
        <v>20961</v>
      </c>
      <c r="V10549" s="1" t="s">
        <v>20962</v>
      </c>
      <c r="W10549" s="1" t="s">
        <v>20963</v>
      </c>
      <c r="AR10549" s="1" t="str">
        <f t="shared" si="653"/>
        <v>| [ㄕㄠˇ](ㄕㄠˇ.md) | [少](少.md) |  | shǎo | [形]
不多。如：「稀少」、「和平日相比，她今天的話好像少了一點。」
[動]
1.短缺、不夠。如：「米麵是一天不可少的。」、「少了一個人，不知有沒有候補的？」
2.二數相較的差。如：「五比八少三。」
3.丟失、遺失。如：「我屋裡少了幾件東西，你們知不知道？」
4.輕視、不滿。《史記．卷六九．蘇秦傳》：「顯王左右素習知蘇秦，皆少之，弗信。」
[副]
1.不久、短時間。《孟子．萬章上》：「始舍之，圉圉焉，少則洋洋焉，攸然而逝。」
2.不經常的。如：「這是少有的事。」
3.略微、稍微。《莊子．徐无鬼》：「今予病少痊，予又且復遊於六合之外。」《史記．卷一一〇．匈奴傳》：「兒能騎羊，引弓射鳥鼠；少長則射狐兔，用為食。」 |</v>
      </c>
    </row>
    <row r="10550" spans="1:44" hidden="1">
      <c r="A10550" s="1" t="s">
        <v>21001</v>
      </c>
      <c r="C10550" s="1">
        <v>1</v>
      </c>
      <c r="D10550" s="1" t="str">
        <f>"08896"</f>
        <v>08896</v>
      </c>
      <c r="E10550" s="1" t="s">
        <v>624</v>
      </c>
      <c r="F10550" s="1">
        <v>6</v>
      </c>
      <c r="G10550" s="1">
        <v>3</v>
      </c>
      <c r="H10550" s="1">
        <v>2</v>
      </c>
      <c r="I10550" s="1" t="s">
        <v>21008</v>
      </c>
      <c r="K10550" s="1" t="str">
        <f t="shared" si="651"/>
        <v>ㄕ</v>
      </c>
      <c r="L10550" s="1" t="str">
        <f t="shared" si="654"/>
        <v>ㄡ</v>
      </c>
      <c r="N10550" s="3" t="s">
        <v>30574</v>
      </c>
      <c r="O10550" s="3"/>
      <c r="P10550" s="1" t="s">
        <v>20</v>
      </c>
      <c r="R10550" s="1" t="s">
        <v>21009</v>
      </c>
      <c r="V10550" s="1" t="s">
        <v>21010</v>
      </c>
      <c r="W10550" s="1" t="s">
        <v>21011</v>
      </c>
      <c r="AR10550" s="1" t="str">
        <f t="shared" si="653"/>
        <v>| [ㄕㄡˋ](ㄕㄡˋ.md) | [守](守.md) |  | shòu | 通「狩」。參見「巡守」條。 |</v>
      </c>
    </row>
    <row r="10551" spans="1:44" hidden="1">
      <c r="A10551" s="1" t="s">
        <v>21012</v>
      </c>
      <c r="C10551" s="1">
        <v>1</v>
      </c>
      <c r="D10551" s="1" t="str">
        <f>"08897"</f>
        <v>08897</v>
      </c>
      <c r="E10551" s="1" t="s">
        <v>198</v>
      </c>
      <c r="F10551" s="1">
        <v>9</v>
      </c>
      <c r="G10551" s="1">
        <v>6</v>
      </c>
      <c r="H10551" s="1">
        <v>0</v>
      </c>
      <c r="I10551" s="1" t="s">
        <v>21008</v>
      </c>
      <c r="K10551" s="1" t="str">
        <f t="shared" si="651"/>
        <v>ㄕ</v>
      </c>
      <c r="L10551" s="1" t="str">
        <f t="shared" si="654"/>
        <v>ㄡ</v>
      </c>
      <c r="N10551" s="3" t="s">
        <v>30574</v>
      </c>
      <c r="O10551" s="3"/>
      <c r="P10551" s="1" t="s">
        <v>20</v>
      </c>
      <c r="R10551" s="1" t="s">
        <v>21009</v>
      </c>
      <c r="V10551" s="1" t="s">
        <v>21013</v>
      </c>
      <c r="AR10551" s="1" t="str">
        <f t="shared" si="653"/>
        <v>| [ㄕㄡˋ](ㄕㄡˋ.md) | [狩](狩.md) |  | shòu | [動]
1.打獵。《詩經．魏風．伐檀》：「不狩不獵，胡瞻爾庭有縣貆兮。」《列子．黃帝》：「趙襄子率徒十萬，狩於中山。」
2.參見「巡狩」條。 |</v>
      </c>
    </row>
    <row r="10552" spans="1:44" hidden="1">
      <c r="A10552" s="1" t="s">
        <v>21014</v>
      </c>
      <c r="C10552" s="1">
        <v>1</v>
      </c>
      <c r="D10552" s="1" t="str">
        <f>"08898"</f>
        <v>08898</v>
      </c>
      <c r="E10552" s="1" t="s">
        <v>1880</v>
      </c>
      <c r="F10552" s="1">
        <v>8</v>
      </c>
      <c r="G10552" s="1">
        <v>6</v>
      </c>
      <c r="H10552" s="1">
        <v>0</v>
      </c>
      <c r="I10552" s="1" t="s">
        <v>21008</v>
      </c>
      <c r="K10552" s="1" t="str">
        <f t="shared" si="651"/>
        <v>ㄕ</v>
      </c>
      <c r="L10552" s="1" t="str">
        <f t="shared" si="654"/>
        <v>ㄡ</v>
      </c>
      <c r="N10552" s="3" t="s">
        <v>30574</v>
      </c>
      <c r="O10552" s="3"/>
      <c r="P10552" s="1" t="s">
        <v>20</v>
      </c>
      <c r="R10552" s="1" t="s">
        <v>21009</v>
      </c>
      <c r="V10552" s="1" t="s">
        <v>21015</v>
      </c>
      <c r="AR10552" s="1" t="str">
        <f t="shared" si="653"/>
        <v>| [ㄕㄡˋ](ㄕㄡˋ.md) | [受](受.md) |  | shòu | [動]
1.收得、接獲。如：「受到優待」、「受之有愧」。唐．李白〈聞李太尉大舉秦兵百萬出征東南懦夫請纓冀申一割之用半道病還留別金陵崔侍御十九韻〉：「三軍受號令，千里肅雷霆。」
2.容納、容忍。如：「承受」、「受不了」。《易經．咸卦．象曰》：「山上有澤，咸君子以虛受人。」唐．杜甫〈南鄰〉詩：「秋水纔深四五尺，野航恰受兩三人。」
3.被、遭到。如：「受挫」、「受凍」、「受批評」、「受驚嚇」。
[副]
中、適合。如：「他說的話很受聽。」 |</v>
      </c>
    </row>
    <row r="10553" spans="1:44" hidden="1">
      <c r="A10553" s="1" t="s">
        <v>21016</v>
      </c>
      <c r="C10553" s="1">
        <v>1</v>
      </c>
      <c r="D10553" s="1" t="str">
        <f>"08899"</f>
        <v>08899</v>
      </c>
      <c r="E10553" s="1" t="s">
        <v>24</v>
      </c>
      <c r="F10553" s="1">
        <v>11</v>
      </c>
      <c r="G10553" s="1">
        <v>8</v>
      </c>
      <c r="H10553" s="1">
        <v>0</v>
      </c>
      <c r="I10553" s="1" t="s">
        <v>21008</v>
      </c>
      <c r="K10553" s="1" t="str">
        <f t="shared" si="651"/>
        <v>ㄕ</v>
      </c>
      <c r="L10553" s="1" t="str">
        <f t="shared" si="654"/>
        <v>ㄡ</v>
      </c>
      <c r="N10553" s="3" t="s">
        <v>30574</v>
      </c>
      <c r="O10553" s="3"/>
      <c r="P10553" s="1" t="s">
        <v>20</v>
      </c>
      <c r="R10553" s="1" t="s">
        <v>21009</v>
      </c>
      <c r="V10553" s="1" t="s">
        <v>21017</v>
      </c>
      <c r="AR10553" s="1" t="str">
        <f t="shared" si="653"/>
        <v>| [ㄕㄡˋ](ㄕㄡˋ.md) | [授](授.md) |  | shòu | [動]
1.給與、交與。《說文解字．手部》：「授，予也。」如：「授權」、「授旗」。《禮記．曲禮上》：「女不雜坐，不同椸枷，不同巾櫛，不親授。」
2.以學術相傳習。如：「講授」、「函授」、「傳授」。《三國志．卷四三．蜀書．王平傳》：「其所識不過十字，而口授作書，皆有意理。」
3.任命。《晉書．卷九二．文苑傳．左思傳》：「父雍，起小吏，以能擢授殿中侍御史。」 |</v>
      </c>
    </row>
    <row r="10554" spans="1:44" hidden="1">
      <c r="A10554" s="1" t="s">
        <v>21018</v>
      </c>
      <c r="C10554" s="1">
        <v>1</v>
      </c>
      <c r="D10554" s="1" t="str">
        <f>"08900"</f>
        <v>08900</v>
      </c>
      <c r="E10554" s="1" t="s">
        <v>725</v>
      </c>
      <c r="F10554" s="1">
        <v>14</v>
      </c>
      <c r="G10554" s="1">
        <v>8</v>
      </c>
      <c r="H10554" s="1">
        <v>0</v>
      </c>
      <c r="I10554" s="1" t="s">
        <v>21008</v>
      </c>
      <c r="K10554" s="1" t="str">
        <f t="shared" si="651"/>
        <v>ㄕ</v>
      </c>
      <c r="L10554" s="1" t="str">
        <f t="shared" si="654"/>
        <v>ㄡ</v>
      </c>
      <c r="N10554" s="3" t="s">
        <v>30574</v>
      </c>
      <c r="O10554" s="3"/>
      <c r="P10554" s="1" t="s">
        <v>20</v>
      </c>
      <c r="R10554" s="1" t="s">
        <v>21009</v>
      </c>
      <c r="V10554" s="1" t="s">
        <v>21019</v>
      </c>
      <c r="AR10554" s="1" t="str">
        <f t="shared" si="653"/>
        <v>| [ㄕㄡˋ](ㄕㄡˋ.md) | [綬](綬.md) |  | shòu | [名]
繫在玉飾或印信上的絲帶。如：「印綬」、「紫綬」。《文選．孔稚珪．北山移文》：「至其紐金章，綰墨綬，跨屬城之雄，冠百里之首。」 |</v>
      </c>
    </row>
    <row r="10555" spans="1:44" hidden="1">
      <c r="A10555" s="1" t="s">
        <v>21020</v>
      </c>
      <c r="C10555" s="1">
        <v>1</v>
      </c>
      <c r="D10555" s="1" t="str">
        <f>"08901"</f>
        <v>08901</v>
      </c>
      <c r="E10555" s="1" t="s">
        <v>28</v>
      </c>
      <c r="F10555" s="1">
        <v>11</v>
      </c>
      <c r="G10555" s="1">
        <v>8</v>
      </c>
      <c r="H10555" s="1">
        <v>0</v>
      </c>
      <c r="I10555" s="1" t="s">
        <v>21008</v>
      </c>
      <c r="K10555" s="1" t="str">
        <f t="shared" si="651"/>
        <v>ㄕ</v>
      </c>
      <c r="L10555" s="1" t="str">
        <f t="shared" si="654"/>
        <v>ㄡ</v>
      </c>
      <c r="N10555" s="3" t="s">
        <v>30574</v>
      </c>
      <c r="O10555" s="3"/>
      <c r="P10555" s="1" t="s">
        <v>20</v>
      </c>
      <c r="R10555" s="1" t="s">
        <v>21009</v>
      </c>
      <c r="V10555" s="1" t="s">
        <v>21021</v>
      </c>
      <c r="AR10555" s="1" t="str">
        <f t="shared" si="653"/>
        <v>| [ㄕㄡˋ](ㄕㄡˋ.md) | [售](售.md) |  | shòu | [動]
1.賣出。如：「銷售」、「零售」、「拋售」。南朝梁．劉勰《文心雕龍．定勢》：「是楚人鬻矛譽楯，兩難得而俱售也。」
2.實現、實行。如：「奸計不售」、「詭計得售」。唐．韓愈〈讀墨子〉：「余以為辯生於末學，各務售其師之說。」 |</v>
      </c>
    </row>
    <row r="10556" spans="1:44" hidden="1">
      <c r="A10556" s="1" t="s">
        <v>21022</v>
      </c>
      <c r="C10556" s="1">
        <v>1</v>
      </c>
      <c r="D10556" s="1" t="str">
        <f>"08902"</f>
        <v>08902</v>
      </c>
      <c r="E10556" s="1" t="s">
        <v>11385</v>
      </c>
      <c r="F10556" s="1">
        <v>14</v>
      </c>
      <c r="G10556" s="1">
        <v>11</v>
      </c>
      <c r="H10556" s="1">
        <v>0</v>
      </c>
      <c r="I10556" s="1" t="s">
        <v>21008</v>
      </c>
      <c r="K10556" s="1" t="str">
        <f t="shared" si="651"/>
        <v>ㄕ</v>
      </c>
      <c r="L10556" s="1" t="str">
        <f t="shared" si="654"/>
        <v>ㄡ</v>
      </c>
      <c r="N10556" s="3" t="s">
        <v>30574</v>
      </c>
      <c r="O10556" s="3"/>
      <c r="P10556" s="1" t="s">
        <v>20</v>
      </c>
      <c r="R10556" s="1" t="s">
        <v>21009</v>
      </c>
      <c r="V10556" s="1" t="s">
        <v>21023</v>
      </c>
      <c r="AR10556" s="1" t="str">
        <f t="shared" si="653"/>
        <v>| [ㄕㄡˋ](ㄕㄡˋ.md) | [壽](壽.md) |  | shòu | [名]
1.長久、長命。如：「福壽雙全」。《詩經．小雅．天保》：「如月之恆，如日之升，如南山之壽，不騫不崩。」《莊子．人間世》：「是不材之木也，無所可用，故能若是之壽。」
2.年齡。《左傳．僖公三十二年》：「爾何知中壽，爾墓之木拱矣。」
3.生日。如：「祝壽」。
4.姓。如清代有壽山。
[動]
以金、帛贈人或對尊長敬酒祝賀均稱為「壽」。《史記．卷六．秦始皇本紀》：「始皇置酒咸陽宮，博士七十人前為壽。」
[形]
生前預為死後準備裝殮用的。如：「壽衣」、「壽木」。 |</v>
      </c>
    </row>
    <row r="10557" spans="1:44" hidden="1">
      <c r="A10557" s="1" t="s">
        <v>21024</v>
      </c>
      <c r="C10557" s="1">
        <v>1</v>
      </c>
      <c r="D10557" s="1" t="str">
        <f>"08903"</f>
        <v>08903</v>
      </c>
      <c r="E10557" s="1" t="s">
        <v>40</v>
      </c>
      <c r="F10557" s="1">
        <v>15</v>
      </c>
      <c r="G10557" s="1">
        <v>10</v>
      </c>
      <c r="H10557" s="1">
        <v>0</v>
      </c>
      <c r="I10557" s="1" t="s">
        <v>21008</v>
      </c>
      <c r="K10557" s="1" t="str">
        <f t="shared" si="651"/>
        <v>ㄕ</v>
      </c>
      <c r="L10557" s="1" t="str">
        <f t="shared" si="654"/>
        <v>ㄡ</v>
      </c>
      <c r="N10557" s="3" t="s">
        <v>30574</v>
      </c>
      <c r="O10557" s="3"/>
      <c r="P10557" s="1" t="s">
        <v>20</v>
      </c>
      <c r="R10557" s="1" t="s">
        <v>21009</v>
      </c>
      <c r="V10557" s="1" t="s">
        <v>21025</v>
      </c>
      <c r="AR10557" s="1" t="str">
        <f t="shared" si="653"/>
        <v>| [ㄕㄡˋ](ㄕㄡˋ.md) | [瘦](瘦.md) |  | shòu | [形]
1.肌肉不豐滿。如：「瘦弱」、「瘦小」、「骨瘦如柴」、「燕瘦環肥」。
2.精赤不帶脂肪的。如：「瘦肉」、「這塊肉太肥，我要瘦一點的。」
3.纖細、不豐富。唐．白居易〈茅城驛〉詩：「地薄桑麻瘦，村貧屋舍低。」宋．陸游〈泛舟〉詩：「葉凋山寺出，溪瘦石橋高。」
4.土地瘠薄。唐．孟郊〈秋夕貧居述懷〉詩：「淺井不供飲，瘦田長廢耕。」
5.書法筆畫細而有力。唐．杜甫〈李潮八分小篆歌〉：「苦縣光和尚骨立，書貴瘦硬方通神。」
[動]
減損。如：「消瘦」。宋．李清照〈如夢令．昨夜雨疏風驟〉詞：「知否，知否，應是綠肥紅瘦。」 |</v>
      </c>
    </row>
    <row r="10558" spans="1:44" hidden="1">
      <c r="A10558" s="1" t="s">
        <v>21026</v>
      </c>
      <c r="C10558" s="1">
        <v>1</v>
      </c>
      <c r="D10558" s="1" t="str">
        <f>"08904"</f>
        <v>08904</v>
      </c>
      <c r="E10558" s="1" t="s">
        <v>198</v>
      </c>
      <c r="F10558" s="1">
        <v>19</v>
      </c>
      <c r="G10558" s="1">
        <v>15</v>
      </c>
      <c r="H10558" s="1">
        <v>0</v>
      </c>
      <c r="I10558" s="1" t="s">
        <v>21008</v>
      </c>
      <c r="K10558" s="1" t="str">
        <f t="shared" si="651"/>
        <v>ㄕ</v>
      </c>
      <c r="L10558" s="1" t="str">
        <f t="shared" si="654"/>
        <v>ㄡ</v>
      </c>
      <c r="N10558" s="3" t="s">
        <v>30574</v>
      </c>
      <c r="O10558" s="3"/>
      <c r="P10558" s="1" t="s">
        <v>20</v>
      </c>
      <c r="R10558" s="1" t="s">
        <v>21009</v>
      </c>
      <c r="V10558" s="1" t="s">
        <v>21027</v>
      </c>
      <c r="AR10558" s="1" t="str">
        <f t="shared" si="653"/>
        <v>| [ㄕㄡˋ](ㄕㄡˋ.md) | [獸](獸.md) |  | shòu | [名]
總稱有四足而全身有毛的脊椎動物。如：「野獸」、「禽獸」、「走獸」。
[形]
野蠻、不合禮法的。如：「獸心」、「獸性」、「獸行」。 |</v>
      </c>
    </row>
    <row r="10559" spans="1:44" hidden="1">
      <c r="A10559" s="1" t="s">
        <v>20991</v>
      </c>
      <c r="C10559" s="1">
        <v>1</v>
      </c>
      <c r="D10559" s="1" t="str">
        <f>"08890"</f>
        <v>08890</v>
      </c>
      <c r="E10559" s="1" t="s">
        <v>336</v>
      </c>
      <c r="F10559" s="1">
        <v>15</v>
      </c>
      <c r="G10559" s="1">
        <v>11</v>
      </c>
      <c r="H10559" s="1">
        <v>2</v>
      </c>
      <c r="I10559" s="1" t="s">
        <v>20992</v>
      </c>
      <c r="K10559" s="1" t="str">
        <f t="shared" si="651"/>
        <v>ㄕ</v>
      </c>
      <c r="L10559" s="1" t="str">
        <f t="shared" si="654"/>
        <v>ㄡ</v>
      </c>
      <c r="N10559" s="3" t="s">
        <v>30575</v>
      </c>
      <c r="O10559" s="3"/>
      <c r="P10559" s="1" t="s">
        <v>388</v>
      </c>
      <c r="R10559" s="1" t="s">
        <v>20993</v>
      </c>
      <c r="V10559" s="1" t="s">
        <v>407</v>
      </c>
      <c r="W10559" s="1" t="s">
        <v>20994</v>
      </c>
      <c r="AR10559" s="1" t="str">
        <f t="shared" si="653"/>
        <v>| [ㄕㄡˊ](ㄕㄡˊ.md) | [熟](熟.md) |  | shóu | (一)之語音。 |</v>
      </c>
    </row>
    <row r="10560" spans="1:44" hidden="1">
      <c r="A10560" s="1" t="s">
        <v>20995</v>
      </c>
      <c r="C10560" s="1">
        <v>1</v>
      </c>
      <c r="D10560" s="1" t="str">
        <f>"08891"</f>
        <v>08891</v>
      </c>
      <c r="E10560" s="1" t="s">
        <v>24</v>
      </c>
      <c r="F10560" s="1">
        <v>4</v>
      </c>
      <c r="G10560" s="1">
        <v>0</v>
      </c>
      <c r="H10560" s="1">
        <v>0</v>
      </c>
      <c r="I10560" s="1" t="s">
        <v>20996</v>
      </c>
      <c r="K10560" s="1" t="str">
        <f t="shared" si="651"/>
        <v>ㄕ</v>
      </c>
      <c r="L10560" s="1" t="str">
        <f t="shared" si="654"/>
        <v>ㄡ</v>
      </c>
      <c r="N10560" s="3" t="s">
        <v>30576</v>
      </c>
      <c r="O10560" s="3"/>
      <c r="P10560" s="1" t="s">
        <v>20</v>
      </c>
      <c r="R10560" s="1" t="s">
        <v>20997</v>
      </c>
      <c r="V10560" s="1" t="s">
        <v>20998</v>
      </c>
      <c r="AR10560" s="1" t="str">
        <f t="shared" si="653"/>
        <v>| [ㄕㄡˇ](ㄕㄡˇ.md) | [手](手.md) |  | shǒu | [名]
1.人體的上肢。如：「右手」、「手腦並用」。
2.從事某種事情或擅長某種技藝的人。如：「水手」、「選手」、「國手」、「高手」。
3.做事的人。如：「助手」、「幫手」、「人手不足」。
4.技能、本領。如：「在運動方面，他真有一手。」
5.作法。如：「眼高手低」、「心狠手辣」。
6.二一四部首之一。
[形]
1.親手寫的。如：「手諭」、「手書」、「手抄」。
2.與手有關的。如：「手杖」、「手榴彈」。
3.小巧的、便於攜帶的。如：「手冊」。 |</v>
      </c>
    </row>
    <row r="10561" spans="1:44" hidden="1">
      <c r="A10561" s="1" t="s">
        <v>20999</v>
      </c>
      <c r="C10561" s="1">
        <v>1</v>
      </c>
      <c r="D10561" s="1" t="str">
        <f>"08892"</f>
        <v>08892</v>
      </c>
      <c r="E10561" s="1" t="s">
        <v>24</v>
      </c>
      <c r="F10561" s="1">
        <v>12</v>
      </c>
      <c r="G10561" s="1">
        <v>8</v>
      </c>
      <c r="H10561" s="1">
        <v>0</v>
      </c>
      <c r="I10561" s="1" t="s">
        <v>20996</v>
      </c>
      <c r="K10561" s="1" t="str">
        <f t="shared" ref="K10561:K10624" si="655">LEFT(I10561, 1)</f>
        <v>ㄕ</v>
      </c>
      <c r="L10561" s="1" t="str">
        <f t="shared" ref="L10561:L10592" si="656">MID(I10561, 2, 1)</f>
        <v>ㄡ</v>
      </c>
      <c r="N10561" s="3" t="s">
        <v>30576</v>
      </c>
      <c r="O10561" s="3"/>
      <c r="P10561" s="1" t="s">
        <v>20</v>
      </c>
      <c r="R10561" s="1" t="s">
        <v>20997</v>
      </c>
      <c r="V10561" s="1" t="s">
        <v>21000</v>
      </c>
      <c r="AR10561" s="1" t="str">
        <f t="shared" si="653"/>
        <v>| [ㄕㄡˇ](ㄕㄡˇ.md) | [掱](掱.md) |  | shǒu | [名]
扒手。清．徐珂《清稗類鈔．盜賊類．掱手》：「滬人呼翦綹賊曰掱手，猶言扒手也，亦曰癟三碼子。」 |</v>
      </c>
    </row>
    <row r="10562" spans="1:44" hidden="1">
      <c r="A10562" s="1" t="s">
        <v>21001</v>
      </c>
      <c r="C10562" s="1">
        <v>1</v>
      </c>
      <c r="D10562" s="1" t="str">
        <f>"08893"</f>
        <v>08893</v>
      </c>
      <c r="E10562" s="1" t="s">
        <v>624</v>
      </c>
      <c r="F10562" s="1">
        <v>6</v>
      </c>
      <c r="G10562" s="1">
        <v>3</v>
      </c>
      <c r="H10562" s="1">
        <v>1</v>
      </c>
      <c r="I10562" s="1" t="s">
        <v>20996</v>
      </c>
      <c r="K10562" s="1" t="str">
        <f t="shared" si="655"/>
        <v>ㄕ</v>
      </c>
      <c r="L10562" s="1" t="str">
        <f t="shared" si="656"/>
        <v>ㄡ</v>
      </c>
      <c r="N10562" s="3" t="s">
        <v>30576</v>
      </c>
      <c r="O10562" s="3"/>
      <c r="P10562" s="1" t="s">
        <v>20</v>
      </c>
      <c r="R10562" s="1" t="s">
        <v>20997</v>
      </c>
      <c r="V10562" s="1" t="s">
        <v>21002</v>
      </c>
      <c r="W10562" s="1" t="s">
        <v>21003</v>
      </c>
      <c r="AR10562" s="1" t="str">
        <f t="shared" si="653"/>
        <v>| [ㄕㄡˇ](ㄕㄡˇ.md) | [守](守.md) |  | shǒu | [名]
1.官職、職責。《漢書．卷三〇．藝文志》：「墨家者流，蓋出於清廟之守。」元．關漢卿《謝天香》第四折：「官守所拘，功名在念，豈飲酒。」
2.職官名。古代一郡的行政長官。如：「郡守」、「太守」。
3.節操、品性。如：「操守」。《禮記．儒行》：「劫之以眾，沮之以兵，見死不更其守。」
4.姓。如宋代有守恭。
[動]
1.防衛、保護。如：「防守」、「駐守」、「堅守」。
2.保持、堅持。如：「守信」、「守節」、「墨守成規」、「守身如玉」。
3.遵行。如：「恪守」、「守法」、「遵守」、「守規律」。
4.等待。如：「守候」、「獨守」、「守歲」、「空守一夜」。
5.依賴、依傍。《水滸傳》第一八回：「自和他父親宋太公在村中務農，守些田園過活。」 |</v>
      </c>
    </row>
    <row r="10563" spans="1:44" hidden="1">
      <c r="A10563" s="1" t="s">
        <v>21004</v>
      </c>
      <c r="C10563" s="1">
        <v>1</v>
      </c>
      <c r="D10563" s="1" t="str">
        <f>"08894"</f>
        <v>08894</v>
      </c>
      <c r="E10563" s="1" t="s">
        <v>10311</v>
      </c>
      <c r="F10563" s="1">
        <v>9</v>
      </c>
      <c r="G10563" s="1">
        <v>0</v>
      </c>
      <c r="H10563" s="1">
        <v>0</v>
      </c>
      <c r="I10563" s="1" t="s">
        <v>20996</v>
      </c>
      <c r="K10563" s="1" t="str">
        <f t="shared" si="655"/>
        <v>ㄕ</v>
      </c>
      <c r="L10563" s="1" t="str">
        <f t="shared" si="656"/>
        <v>ㄡ</v>
      </c>
      <c r="N10563" s="3" t="s">
        <v>30576</v>
      </c>
      <c r="O10563" s="3"/>
      <c r="P10563" s="1" t="s">
        <v>20</v>
      </c>
      <c r="R10563" s="1" t="s">
        <v>20997</v>
      </c>
      <c r="V10563" s="1" t="s">
        <v>21005</v>
      </c>
      <c r="AR10563" s="1" t="str">
        <f t="shared" ref="AR10563:AR10626" si="657">"| ["&amp;I10563&amp;"]("&amp;I10563&amp;".md) | ["&amp;A10563&amp;"]("&amp;A10563&amp;".md) | "&amp;" | "&amp;R10563&amp;" | "&amp;V10563&amp;" |"</f>
        <v>| [ㄕㄡˇ](ㄕㄡˇ.md) | [首](首.md) |  | shǒu | [名]
1.頭、腦袋。如：「頓首」、「叩首」、「昂首闊步」、「搔首弄姿」。
2.領袖、帶頭的人。如：「元首」、「罪魁禍首」、「群龍無首」。
3.開端、開始。如：「歲首」、「篇首」。
4.要領。《書經．秦誓》：「予誓告汝，群言之首。」
5.量詞。計算詩、詞、歌曲等的單位。如：「一首小詩」、「兩首歌」。
6.方、邊。如：「右首」、「東首」、「上首」。
7.二一四部首之一。
[形]
最高的、第一的。如：「首次」、「首富」、「首席代表」。
[副]
開始、最先的。如：「首創先例」、「首當其衝」。
[動]
1.朝向。《史記．卷九二．淮陰侯傳》：「北首燕路，而後遣辯士奉咫尺之書。」
2.出面檢舉告發或自陳罪狀。如：「出首」、「自首」。《醒世恆言．卷四．灌園叟晚逢仙女》：「我明日就將落花上枝為由，教張󹑜到府，首他以妖術惑人。」 |</v>
      </c>
    </row>
    <row r="10564" spans="1:44" hidden="1">
      <c r="A10564" s="1" t="s">
        <v>21006</v>
      </c>
      <c r="C10564" s="1">
        <v>1</v>
      </c>
      <c r="D10564" s="1" t="str">
        <f>"08895"</f>
        <v>08895</v>
      </c>
      <c r="E10564" s="1" t="s">
        <v>181</v>
      </c>
      <c r="F10564" s="1">
        <v>15</v>
      </c>
      <c r="G10564" s="1">
        <v>9</v>
      </c>
      <c r="H10564" s="1">
        <v>0</v>
      </c>
      <c r="I10564" s="1" t="s">
        <v>20996</v>
      </c>
      <c r="K10564" s="1" t="str">
        <f t="shared" si="655"/>
        <v>ㄕ</v>
      </c>
      <c r="L10564" s="1" t="str">
        <f t="shared" si="656"/>
        <v>ㄡ</v>
      </c>
      <c r="N10564" s="3" t="s">
        <v>30576</v>
      </c>
      <c r="O10564" s="3"/>
      <c r="P10564" s="1" t="s">
        <v>20</v>
      </c>
      <c r="R10564" s="1" t="s">
        <v>20997</v>
      </c>
      <c r="V10564" s="1" t="s">
        <v>21007</v>
      </c>
      <c r="AR10564" s="1" t="str">
        <f t="shared" si="657"/>
        <v>| [ㄕㄡˇ](ㄕㄡˇ.md) | [艏](艏.md) |  | shǒu | [名]
造船工程上指船首。 |</v>
      </c>
    </row>
    <row r="10565" spans="1:44" hidden="1">
      <c r="A10565" s="1" t="s">
        <v>21093</v>
      </c>
      <c r="C10565" s="1">
        <v>1</v>
      </c>
      <c r="D10565" s="1" t="str">
        <f>"08933"</f>
        <v>08933</v>
      </c>
      <c r="E10565" s="1" t="s">
        <v>129</v>
      </c>
      <c r="F10565" s="1">
        <v>6</v>
      </c>
      <c r="G10565" s="1">
        <v>3</v>
      </c>
      <c r="H10565" s="1">
        <v>0</v>
      </c>
      <c r="I10565" s="1" t="s">
        <v>21094</v>
      </c>
      <c r="K10565" s="1" t="str">
        <f t="shared" si="655"/>
        <v>ㄕ</v>
      </c>
      <c r="L10565" s="1" t="str">
        <f t="shared" si="656"/>
        <v>ㄢ</v>
      </c>
      <c r="N10565" s="3" t="s">
        <v>30574</v>
      </c>
      <c r="O10565" s="3"/>
      <c r="P10565" s="1" t="s">
        <v>20</v>
      </c>
      <c r="R10565" s="1" t="s">
        <v>21095</v>
      </c>
      <c r="V10565" s="1" t="s">
        <v>21096</v>
      </c>
      <c r="AR10565" s="1" t="str">
        <f t="shared" si="657"/>
        <v>| [ㄕㄢˋ](ㄕㄢˋ.md) | [汕](汕.md) |  | shàn | [形]
魚游來游去的樣子。《說文解字．水部》：「汕，魚游水貌。」
[名]
用竹子編成的捕魚工具。《爾雅．釋器》：「罺謂之汕。」晉．郭璞．注：「今之撩罟。」 |</v>
      </c>
    </row>
    <row r="10566" spans="1:44" hidden="1">
      <c r="A10566" s="1" t="s">
        <v>21097</v>
      </c>
      <c r="C10566" s="1">
        <v>1</v>
      </c>
      <c r="D10566" s="1" t="str">
        <f>"08934"</f>
        <v>08934</v>
      </c>
      <c r="E10566" s="1" t="s">
        <v>40</v>
      </c>
      <c r="F10566" s="1">
        <v>8</v>
      </c>
      <c r="G10566" s="1">
        <v>3</v>
      </c>
      <c r="H10566" s="1">
        <v>0</v>
      </c>
      <c r="I10566" s="1" t="s">
        <v>21094</v>
      </c>
      <c r="K10566" s="1" t="str">
        <f t="shared" si="655"/>
        <v>ㄕ</v>
      </c>
      <c r="L10566" s="1" t="str">
        <f t="shared" si="656"/>
        <v>ㄢ</v>
      </c>
      <c r="N10566" s="3" t="s">
        <v>30574</v>
      </c>
      <c r="O10566" s="3"/>
      <c r="P10566" s="1" t="s">
        <v>20</v>
      </c>
      <c r="R10566" s="1" t="s">
        <v>21095</v>
      </c>
      <c r="V10566" s="1" t="s">
        <v>21098</v>
      </c>
      <c r="AR10566" s="1" t="str">
        <f t="shared" si="657"/>
        <v>| [ㄕㄢˋ](ㄕㄢˋ.md) | [疝](疝.md) |  | shàn | 參見「疝氣」條。 |</v>
      </c>
    </row>
    <row r="10567" spans="1:44" hidden="1">
      <c r="A10567" s="1" t="s">
        <v>21099</v>
      </c>
      <c r="C10567" s="1">
        <v>1</v>
      </c>
      <c r="D10567" s="1" t="str">
        <f>"08935"</f>
        <v>08935</v>
      </c>
      <c r="E10567" s="1" t="s">
        <v>331</v>
      </c>
      <c r="F10567" s="1">
        <v>10</v>
      </c>
      <c r="G10567" s="1">
        <v>3</v>
      </c>
      <c r="H10567" s="1">
        <v>0</v>
      </c>
      <c r="I10567" s="1" t="s">
        <v>21094</v>
      </c>
      <c r="K10567" s="1" t="str">
        <f t="shared" si="655"/>
        <v>ㄕ</v>
      </c>
      <c r="L10567" s="1" t="str">
        <f t="shared" si="656"/>
        <v>ㄢ</v>
      </c>
      <c r="N10567" s="3" t="s">
        <v>30574</v>
      </c>
      <c r="O10567" s="3"/>
      <c r="P10567" s="1" t="s">
        <v>20</v>
      </c>
      <c r="R10567" s="1" t="s">
        <v>21095</v>
      </c>
      <c r="V10567" s="1" t="s">
        <v>21100</v>
      </c>
      <c r="AR10567" s="1" t="str">
        <f t="shared" si="657"/>
        <v>| [ㄕㄢˋ](ㄕㄢˋ.md) | [訕](訕.md) |  | shàn | [動]
毀謗、嘲諷。《論語．陽貨》：「惡居下流而訕上者。」《孟子．離婁下》：「與其妾訕其良人，而相泣於中庭。」
[形]
參見「訕臉」、「訕訕」等條。 |</v>
      </c>
    </row>
    <row r="10568" spans="1:44" hidden="1">
      <c r="A10568" s="1" t="s">
        <v>21101</v>
      </c>
      <c r="C10568" s="1">
        <v>1</v>
      </c>
      <c r="D10568" s="1" t="str">
        <f>"08936"</f>
        <v>08936</v>
      </c>
      <c r="E10568" s="1" t="s">
        <v>4563</v>
      </c>
      <c r="F10568" s="1">
        <v>10</v>
      </c>
      <c r="G10568" s="1">
        <v>3</v>
      </c>
      <c r="H10568" s="1">
        <v>0</v>
      </c>
      <c r="I10568" s="1" t="s">
        <v>21094</v>
      </c>
      <c r="K10568" s="1" t="str">
        <f t="shared" si="655"/>
        <v>ㄕ</v>
      </c>
      <c r="L10568" s="1" t="str">
        <f t="shared" si="656"/>
        <v>ㄢ</v>
      </c>
      <c r="N10568" s="3" t="s">
        <v>30574</v>
      </c>
      <c r="O10568" s="3"/>
      <c r="P10568" s="1" t="s">
        <v>20</v>
      </c>
      <c r="R10568" s="1" t="s">
        <v>21095</v>
      </c>
      <c r="V10568" s="1" t="s">
        <v>21102</v>
      </c>
      <c r="AR10568" s="1" t="str">
        <f t="shared" si="657"/>
        <v>| [ㄕㄢˋ](ㄕㄢˋ.md) | [赸](赸.md) |  | shàn | [動]
1.跳躍。清．洪昇《長生殿》第一七齣：「馬蹄兒潑剌剌旋風赸。」徐朔方．注：「赸，跳躍。」
2.離開、散去。元．王實甫《西廂記．第三本．第二折》：「你也赸，我也赸；請先生休訕，早尋個酒闌人散。」 |</v>
      </c>
    </row>
    <row r="10569" spans="1:44" hidden="1">
      <c r="A10569" s="1" t="s">
        <v>18102</v>
      </c>
      <c r="C10569" s="1">
        <v>1</v>
      </c>
      <c r="D10569" s="1" t="str">
        <f>"08937"</f>
        <v>08937</v>
      </c>
      <c r="E10569" s="1" t="s">
        <v>139</v>
      </c>
      <c r="F10569" s="1">
        <v>9</v>
      </c>
      <c r="G10569" s="1">
        <v>5</v>
      </c>
      <c r="H10569" s="1">
        <v>2</v>
      </c>
      <c r="I10569" s="1" t="s">
        <v>21094</v>
      </c>
      <c r="K10569" s="1" t="str">
        <f t="shared" si="655"/>
        <v>ㄕ</v>
      </c>
      <c r="L10569" s="1" t="str">
        <f t="shared" si="656"/>
        <v>ㄢ</v>
      </c>
      <c r="N10569" s="3" t="s">
        <v>30574</v>
      </c>
      <c r="O10569" s="3"/>
      <c r="P10569" s="1" t="s">
        <v>110</v>
      </c>
      <c r="R10569" s="1" t="s">
        <v>21095</v>
      </c>
      <c r="V10569" s="1" t="s">
        <v>111</v>
      </c>
      <c r="W10569" s="1" t="s">
        <v>21103</v>
      </c>
      <c r="AR10569" s="1" t="str">
        <f t="shared" si="657"/>
        <v>| [ㄕㄢˋ](ㄕㄢˋ.md) | [柵](柵.md) |  | shàn | (一)之又音。 |</v>
      </c>
    </row>
    <row r="10570" spans="1:44" hidden="1">
      <c r="A10570" s="1" t="s">
        <v>21104</v>
      </c>
      <c r="C10570" s="1">
        <v>1</v>
      </c>
      <c r="D10570" s="1" t="str">
        <f>"08938"</f>
        <v>08938</v>
      </c>
      <c r="E10570" s="1" t="s">
        <v>185</v>
      </c>
      <c r="F10570" s="1">
        <v>10</v>
      </c>
      <c r="G10570" s="1">
        <v>8</v>
      </c>
      <c r="H10570" s="1">
        <v>2</v>
      </c>
      <c r="I10570" s="1" t="s">
        <v>21094</v>
      </c>
      <c r="K10570" s="1" t="str">
        <f t="shared" si="655"/>
        <v>ㄕ</v>
      </c>
      <c r="L10570" s="1" t="str">
        <f t="shared" si="656"/>
        <v>ㄢ</v>
      </c>
      <c r="N10570" s="3" t="s">
        <v>30574</v>
      </c>
      <c r="O10570" s="3"/>
      <c r="P10570" s="1" t="s">
        <v>20</v>
      </c>
      <c r="R10570" s="1" t="s">
        <v>21095</v>
      </c>
      <c r="V10570" s="1" t="s">
        <v>21105</v>
      </c>
      <c r="W10570" s="1" t="s">
        <v>21106</v>
      </c>
      <c r="AR10570" s="1" t="str">
        <f t="shared" si="657"/>
        <v>| [ㄕㄢˋ](ㄕㄢˋ.md) | [剡](剡.md) |  | shàn | 參見「剡溪」條。 |</v>
      </c>
    </row>
    <row r="10571" spans="1:44" hidden="1">
      <c r="A10571" s="1" t="s">
        <v>21107</v>
      </c>
      <c r="C10571" s="1">
        <v>1</v>
      </c>
      <c r="D10571" s="1" t="str">
        <f>"08939"</f>
        <v>08939</v>
      </c>
      <c r="E10571" s="1" t="s">
        <v>24</v>
      </c>
      <c r="F10571" s="1">
        <v>11</v>
      </c>
      <c r="G10571" s="1">
        <v>8</v>
      </c>
      <c r="H10571" s="1">
        <v>1</v>
      </c>
      <c r="I10571" s="1" t="s">
        <v>21094</v>
      </c>
      <c r="K10571" s="1" t="str">
        <f t="shared" si="655"/>
        <v>ㄕ</v>
      </c>
      <c r="L10571" s="1" t="str">
        <f t="shared" si="656"/>
        <v>ㄢ</v>
      </c>
      <c r="N10571" s="3" t="s">
        <v>30574</v>
      </c>
      <c r="O10571" s="3"/>
      <c r="P10571" s="1" t="s">
        <v>20</v>
      </c>
      <c r="R10571" s="1" t="s">
        <v>21095</v>
      </c>
      <c r="V10571" s="1" t="s">
        <v>21108</v>
      </c>
      <c r="W10571" s="1" t="s">
        <v>21109</v>
      </c>
      <c r="AR10571" s="1" t="str">
        <f t="shared" si="657"/>
        <v>| [ㄕㄢˋ](ㄕㄢˋ.md) | [掞](掞.md) |  | shàn | [動]
舒展、發舒。《三國志．卷四五．蜀書．鄧張宗楊傳．鄧芝》：「丁厷掞張，陰化不盡；和合二國，唯有鄧芝。」《集韻．去聲．豔韻》：「掞，舒也。」 |</v>
      </c>
    </row>
    <row r="10572" spans="1:44" hidden="1">
      <c r="A10572" s="1" t="s">
        <v>21059</v>
      </c>
      <c r="C10572" s="1">
        <v>1</v>
      </c>
      <c r="D10572" s="1" t="str">
        <f>"08940"</f>
        <v>08940</v>
      </c>
      <c r="E10572" s="1" t="s">
        <v>1252</v>
      </c>
      <c r="F10572" s="1">
        <v>10</v>
      </c>
      <c r="G10572" s="1">
        <v>6</v>
      </c>
      <c r="H10572" s="1">
        <v>1</v>
      </c>
      <c r="I10572" s="1" t="s">
        <v>21094</v>
      </c>
      <c r="K10572" s="1" t="str">
        <f t="shared" si="655"/>
        <v>ㄕ</v>
      </c>
      <c r="L10572" s="1" t="str">
        <f t="shared" si="656"/>
        <v>ㄢ</v>
      </c>
      <c r="N10572" s="3" t="s">
        <v>30574</v>
      </c>
      <c r="O10572" s="3"/>
      <c r="P10572" s="1" t="s">
        <v>20</v>
      </c>
      <c r="R10572" s="1" t="s">
        <v>21095</v>
      </c>
      <c r="V10572" s="1" t="s">
        <v>21110</v>
      </c>
      <c r="W10572" s="1" t="s">
        <v>21111</v>
      </c>
      <c r="AR10572" s="1" t="str">
        <f t="shared" si="657"/>
        <v>| [ㄕㄢˋ](ㄕㄢˋ.md) | [扇](扇.md) |  | shàn | [名]
1.門扉。《老殘遊記》第一四回：「也有桌椅板凳，也有窗戶門扇。」
2.搖動生風的用具。如：「摺扇」、「團扇」、「電風扇」。
3.量詞。計算板狀物或片狀物的單位。如：「一扇門板」、「兩扇窗子」。
4.去勢的、割掉睪丸的。通「騸」。《新五代史．卷二四．郭崇韜傳》：「當盡去宦官，至於扇馬，亦不可騎。」 |</v>
      </c>
    </row>
    <row r="10573" spans="1:44" hidden="1">
      <c r="A10573" s="1" t="s">
        <v>21112</v>
      </c>
      <c r="C10573" s="1">
        <v>1</v>
      </c>
      <c r="D10573" s="1" t="str">
        <f>"08941"</f>
        <v>08941</v>
      </c>
      <c r="E10573" s="1" t="s">
        <v>319</v>
      </c>
      <c r="F10573" s="1">
        <v>20</v>
      </c>
      <c r="G10573" s="1">
        <v>10</v>
      </c>
      <c r="H10573" s="1">
        <v>0</v>
      </c>
      <c r="I10573" s="1" t="s">
        <v>21094</v>
      </c>
      <c r="K10573" s="1" t="str">
        <f t="shared" si="655"/>
        <v>ㄕ</v>
      </c>
      <c r="L10573" s="1" t="str">
        <f t="shared" si="656"/>
        <v>ㄢ</v>
      </c>
      <c r="N10573" s="3" t="s">
        <v>30574</v>
      </c>
      <c r="O10573" s="3"/>
      <c r="P10573" s="1" t="s">
        <v>20</v>
      </c>
      <c r="R10573" s="1" t="s">
        <v>21095</v>
      </c>
      <c r="V10573" s="1" t="s">
        <v>21113</v>
      </c>
      <c r="AR10573" s="1" t="str">
        <f t="shared" si="657"/>
        <v>| [ㄕㄢˋ](ㄕㄢˋ.md) | [騸](騸.md) |  | shàn | [動]
1.閹割牲畜、動物。《西遊記》第三九回：「點汙他不得，他是個騸了的獅子。」
2.截去主根，培植果樹。元．魯明善《農桑衣食撮要．卷上．騸諸色果木樹》：「樹芽未生之時，於根旁掘土，須要寬深，尋纂心釘地根截去，留四邊亂根勿動，卻用土覆蓋，築令實，則結果肥大，勝插接者，謂之騸樹。」 |</v>
      </c>
    </row>
    <row r="10574" spans="1:44" hidden="1">
      <c r="A10574" s="1" t="s">
        <v>21042</v>
      </c>
      <c r="C10574" s="1">
        <v>1</v>
      </c>
      <c r="D10574" s="1" t="str">
        <f>"08942"</f>
        <v>08942</v>
      </c>
      <c r="E10574" s="1" t="s">
        <v>55</v>
      </c>
      <c r="F10574" s="1">
        <v>11</v>
      </c>
      <c r="G10574" s="1">
        <v>3</v>
      </c>
      <c r="H10574" s="1">
        <v>1</v>
      </c>
      <c r="I10574" s="1" t="s">
        <v>21094</v>
      </c>
      <c r="K10574" s="1" t="str">
        <f t="shared" si="655"/>
        <v>ㄕ</v>
      </c>
      <c r="L10574" s="1" t="str">
        <f t="shared" si="656"/>
        <v>ㄢ</v>
      </c>
      <c r="N10574" s="3" t="s">
        <v>30574</v>
      </c>
      <c r="O10574" s="3"/>
      <c r="P10574" s="1" t="s">
        <v>20</v>
      </c>
      <c r="R10574" s="1" t="s">
        <v>21095</v>
      </c>
      <c r="V10574" s="1" t="s">
        <v>21114</v>
      </c>
      <c r="W10574" s="1" t="s">
        <v>21115</v>
      </c>
      <c r="AR10574" s="1" t="str">
        <f t="shared" si="657"/>
        <v>| [ㄕㄢˋ](ㄕㄢˋ.md) | [釤](釤.md) |  | shàn | [名]
長柄的大鐮刀。唐．韓愈〈鳳翔隴州節度使李公墓誌銘〉：「鑄鎛、釤、鉏、斸，以給農之不能自具者。」
[動]
割、劈。《抱朴子．外篇．博喻》：「猶釤禾以討蝗蟲，伐木以殺蠹蝎。」元．王實甫《西廂記．第二本．楔子》：「遠的破開步將鐵棒颩，近的順著手把戒刀釤。」 |</v>
      </c>
    </row>
    <row r="10575" spans="1:44" hidden="1">
      <c r="A10575" s="1" t="s">
        <v>21116</v>
      </c>
      <c r="C10575" s="1">
        <v>1</v>
      </c>
      <c r="D10575" s="1" t="str">
        <f>"08943"</f>
        <v>08943</v>
      </c>
      <c r="E10575" s="1" t="s">
        <v>43</v>
      </c>
      <c r="F10575" s="1">
        <v>12</v>
      </c>
      <c r="G10575" s="1">
        <v>6</v>
      </c>
      <c r="H10575" s="1">
        <v>0</v>
      </c>
      <c r="I10575" s="1" t="s">
        <v>21094</v>
      </c>
      <c r="K10575" s="1" t="str">
        <f t="shared" si="655"/>
        <v>ㄕ</v>
      </c>
      <c r="L10575" s="1" t="str">
        <f t="shared" si="656"/>
        <v>ㄢ</v>
      </c>
      <c r="N10575" s="3" t="s">
        <v>30574</v>
      </c>
      <c r="O10575" s="3"/>
      <c r="P10575" s="1" t="s">
        <v>20</v>
      </c>
      <c r="R10575" s="1" t="s">
        <v>21095</v>
      </c>
      <c r="V10575" s="1" t="s">
        <v>21117</v>
      </c>
      <c r="AR10575" s="1" t="str">
        <f t="shared" si="657"/>
        <v>| [ㄕㄢˋ](ㄕㄢˋ.md) | [善](善.md) |  | shàn | [名]
1.美好的事。如：「日行一善」、「為善最樂」、「隱惡揚善」。
2.有德行的人、好人。《禮記．中庸》：「送往迎來，嘉善而矜不能，所以柔遠人也。」
3.姓。如宋代有善辰。
[動]
1.親善、交好。《左傳．隱公六年》：「親仁善鄰，國之寶也。」《後漢書．卷七〇．孔融傳》：「與蔡邕素善。」
2.喜好、喜愛。《左傳．襄公三十一年》：「其所善者，吾則行之；其所惡者，吾則改之。」《楚辭．屈原．離騷》：「亦余心之所善兮，雖九死其猶未悔。」
3.愛惜。《荀子．彊國》：「故善日者王，善時者霸。」
[形]
1.美好的。如：「善人」、「善事」、「善行」。
2.熟悉的。如：「面善」。
[副]
1.擅長。如：「能歌善舞」、「英勇善戰」。《禮記．學記》：「善歌者使人繼其聲，善教者使人繼其志。」
2.容易。如：「善變」、「善疑」、「多愁善感」、「善解人意」。
[歎]
表讚美、稱許之詞。《文選．枚乘．七發》：「太子曰：『善！願復聞之！』」 |</v>
      </c>
    </row>
    <row r="10576" spans="1:44" hidden="1">
      <c r="A10576" s="1" t="s">
        <v>21118</v>
      </c>
      <c r="C10576" s="1">
        <v>1</v>
      </c>
      <c r="D10576" s="1" t="str">
        <f>"08944"</f>
        <v>08944</v>
      </c>
      <c r="E10576" s="1" t="s">
        <v>256</v>
      </c>
      <c r="F10576" s="1">
        <v>15</v>
      </c>
      <c r="G10576" s="1">
        <v>12</v>
      </c>
      <c r="H10576" s="1">
        <v>0</v>
      </c>
      <c r="I10576" s="1" t="s">
        <v>21094</v>
      </c>
      <c r="K10576" s="1" t="str">
        <f t="shared" si="655"/>
        <v>ㄕ</v>
      </c>
      <c r="L10576" s="1" t="str">
        <f t="shared" si="656"/>
        <v>ㄢ</v>
      </c>
      <c r="N10576" s="3" t="s">
        <v>30574</v>
      </c>
      <c r="O10576" s="3"/>
      <c r="P10576" s="1" t="s">
        <v>20</v>
      </c>
      <c r="R10576" s="1" t="s">
        <v>21095</v>
      </c>
      <c r="V10576" s="1" t="s">
        <v>21119</v>
      </c>
      <c r="AR10576" s="1" t="str">
        <f t="shared" si="657"/>
        <v>| [ㄕㄢˋ](ㄕㄢˋ.md) | [鄯](鄯.md) |  | shàn | 參見「鄯善」條。 |</v>
      </c>
    </row>
    <row r="10577" spans="1:44" hidden="1">
      <c r="A10577" s="1" t="s">
        <v>21120</v>
      </c>
      <c r="C10577" s="1">
        <v>1</v>
      </c>
      <c r="D10577" s="1" t="str">
        <f>"08945"</f>
        <v>08945</v>
      </c>
      <c r="E10577" s="1" t="s">
        <v>132</v>
      </c>
      <c r="F10577" s="1">
        <v>15</v>
      </c>
      <c r="G10577" s="1">
        <v>12</v>
      </c>
      <c r="H10577" s="1">
        <v>0</v>
      </c>
      <c r="I10577" s="1" t="s">
        <v>21094</v>
      </c>
      <c r="K10577" s="1" t="str">
        <f t="shared" si="655"/>
        <v>ㄕ</v>
      </c>
      <c r="L10577" s="1" t="str">
        <f t="shared" si="656"/>
        <v>ㄢ</v>
      </c>
      <c r="N10577" s="3" t="s">
        <v>30574</v>
      </c>
      <c r="O10577" s="3"/>
      <c r="P10577" s="1" t="s">
        <v>20</v>
      </c>
      <c r="R10577" s="1" t="s">
        <v>21095</v>
      </c>
      <c r="V10577" s="1" t="s">
        <v>21121</v>
      </c>
      <c r="AR10577" s="1" t="str">
        <f t="shared" si="657"/>
        <v>| [ㄕㄢˋ](ㄕㄢˋ.md) | [墡](墡.md) |  | shàn | [名]
白埴土。可與油攪和在一起，塗飾門牆。《玉篇．土部》：「墡，白堊名，白墡也。」俗稱為「白墡」。 |</v>
      </c>
    </row>
    <row r="10578" spans="1:44" hidden="1">
      <c r="A10578" s="1" t="s">
        <v>21122</v>
      </c>
      <c r="C10578" s="1">
        <v>1</v>
      </c>
      <c r="D10578" s="1" t="str">
        <f>"08946"</f>
        <v>08946</v>
      </c>
      <c r="E10578" s="1" t="s">
        <v>68</v>
      </c>
      <c r="F10578" s="1">
        <v>16</v>
      </c>
      <c r="G10578" s="1">
        <v>12</v>
      </c>
      <c r="H10578" s="1">
        <v>0</v>
      </c>
      <c r="I10578" s="1" t="s">
        <v>21094</v>
      </c>
      <c r="K10578" s="1" t="str">
        <f t="shared" si="655"/>
        <v>ㄕ</v>
      </c>
      <c r="L10578" s="1" t="str">
        <f t="shared" si="656"/>
        <v>ㄢ</v>
      </c>
      <c r="N10578" s="3" t="s">
        <v>30574</v>
      </c>
      <c r="O10578" s="3"/>
      <c r="P10578" s="1" t="s">
        <v>20</v>
      </c>
      <c r="R10578" s="1" t="s">
        <v>21095</v>
      </c>
      <c r="V10578" s="1" t="s">
        <v>21123</v>
      </c>
      <c r="AR10578" s="1" t="str">
        <f t="shared" si="657"/>
        <v>| [ㄕㄢˋ](ㄕㄢˋ.md) | [膳](膳.md) |  | shàn | [動]
1.置備食物。《說文解字．肉部》：「膳，具食也。」
2.進獻飯食。《呂氏春秋．離俗覽．上德》：「太子祠而膳于公，麗姬易之。」
[名]
飯食。如：「早膳」、「晚膳」、「用膳」。《文選．曹植．箜篌引》：「中廚辦豐膳，烹羊宰肥牛。」 |</v>
      </c>
    </row>
    <row r="10579" spans="1:44" hidden="1">
      <c r="A10579" s="1" t="s">
        <v>21124</v>
      </c>
      <c r="C10579" s="1">
        <v>1</v>
      </c>
      <c r="D10579" s="1" t="str">
        <f>"08947"</f>
        <v>08947</v>
      </c>
      <c r="E10579" s="1" t="s">
        <v>725</v>
      </c>
      <c r="F10579" s="1">
        <v>18</v>
      </c>
      <c r="G10579" s="1">
        <v>12</v>
      </c>
      <c r="H10579" s="1">
        <v>0</v>
      </c>
      <c r="I10579" s="1" t="s">
        <v>21094</v>
      </c>
      <c r="K10579" s="1" t="str">
        <f t="shared" si="655"/>
        <v>ㄕ</v>
      </c>
      <c r="L10579" s="1" t="str">
        <f t="shared" si="656"/>
        <v>ㄢ</v>
      </c>
      <c r="N10579" s="3" t="s">
        <v>30574</v>
      </c>
      <c r="O10579" s="3"/>
      <c r="P10579" s="1" t="s">
        <v>20</v>
      </c>
      <c r="R10579" s="1" t="s">
        <v>21095</v>
      </c>
      <c r="V10579" s="1" t="s">
        <v>21125</v>
      </c>
      <c r="AR10579" s="1" t="str">
        <f t="shared" si="657"/>
        <v>| [ㄕㄢˋ](ㄕㄢˋ.md) | [繕](繕.md) |  | shàn | [動]
1.修補。《說文解字．糸部》：「繕，補也。」如：「修繕」。《左傳．襄公三十年》：「聚禾粟，繕城郭。」
2.整治。《左傳．成公十六年》：「補卒乘，繕甲兵，展兵馬。」晉．杜預．注：「繕，治也。」
3.謄寫。漢．劉向〈管子書錄〉：「定著八十六篇，殺青而書可繕寫。」 |</v>
      </c>
    </row>
    <row r="10580" spans="1:44" hidden="1">
      <c r="A10580" s="1" t="s">
        <v>21126</v>
      </c>
      <c r="C10580" s="1">
        <v>1</v>
      </c>
      <c r="D10580" s="1" t="str">
        <f>"08948"</f>
        <v>08948</v>
      </c>
      <c r="E10580" s="1" t="s">
        <v>156</v>
      </c>
      <c r="F10580" s="1">
        <v>23</v>
      </c>
      <c r="G10580" s="1">
        <v>12</v>
      </c>
      <c r="H10580" s="1">
        <v>0</v>
      </c>
      <c r="I10580" s="1" t="s">
        <v>21094</v>
      </c>
      <c r="K10580" s="1" t="str">
        <f t="shared" si="655"/>
        <v>ㄕ</v>
      </c>
      <c r="L10580" s="1" t="str">
        <f t="shared" si="656"/>
        <v>ㄢ</v>
      </c>
      <c r="N10580" s="3" t="s">
        <v>30574</v>
      </c>
      <c r="O10580" s="3"/>
      <c r="P10580" s="1" t="s">
        <v>20</v>
      </c>
      <c r="R10580" s="1" t="s">
        <v>21095</v>
      </c>
      <c r="V10580" s="1" t="s">
        <v>21127</v>
      </c>
      <c r="AR10580" s="1" t="str">
        <f t="shared" si="657"/>
        <v>| [ㄕㄢˋ](ㄕㄢˋ.md) | [鱔](鱔.md) |  | shàn | [名]
動物名。脊椎動物亞門硬骨魚綱條鰭亞綱合鰓目。似鰻而細長，體呈赤褐色，腹呈黃色，具暗色斑點，光滑無鱗。產於淡水中，可食用。俗稱為「黃鱔」。 |</v>
      </c>
    </row>
    <row r="10581" spans="1:44" hidden="1">
      <c r="A10581" s="1" t="s">
        <v>4920</v>
      </c>
      <c r="C10581" s="1">
        <v>1</v>
      </c>
      <c r="D10581" s="1" t="str">
        <f>"08949"</f>
        <v>08949</v>
      </c>
      <c r="E10581" s="1" t="s">
        <v>28</v>
      </c>
      <c r="F10581" s="1">
        <v>12</v>
      </c>
      <c r="G10581" s="1">
        <v>9</v>
      </c>
      <c r="H10581" s="1">
        <v>2</v>
      </c>
      <c r="I10581" s="1" t="s">
        <v>21094</v>
      </c>
      <c r="K10581" s="1" t="str">
        <f t="shared" si="655"/>
        <v>ㄕ</v>
      </c>
      <c r="L10581" s="1" t="str">
        <f t="shared" si="656"/>
        <v>ㄢ</v>
      </c>
      <c r="N10581" s="3" t="s">
        <v>30574</v>
      </c>
      <c r="O10581" s="3"/>
      <c r="P10581" s="1" t="s">
        <v>20</v>
      </c>
      <c r="R10581" s="1" t="s">
        <v>21095</v>
      </c>
      <c r="V10581" s="1" t="s">
        <v>21128</v>
      </c>
      <c r="W10581" s="1" t="s">
        <v>21129</v>
      </c>
      <c r="AR10581" s="1" t="str">
        <f t="shared" si="657"/>
        <v>| [ㄕㄢˋ](ㄕㄢˋ.md) | [單](單.md) |  | shàn | [名]
1.參見「單縣」條。
2.姓。如明代有單安仁。 |</v>
      </c>
    </row>
    <row r="10582" spans="1:44" hidden="1">
      <c r="A10582" s="1" t="s">
        <v>21130</v>
      </c>
      <c r="C10582" s="1">
        <v>1</v>
      </c>
      <c r="D10582" s="1" t="str">
        <f>"08950"</f>
        <v>08950</v>
      </c>
      <c r="E10582" s="1" t="s">
        <v>132</v>
      </c>
      <c r="F10582" s="1">
        <v>15</v>
      </c>
      <c r="G10582" s="1">
        <v>12</v>
      </c>
      <c r="H10582" s="1">
        <v>0</v>
      </c>
      <c r="I10582" s="1" t="s">
        <v>21094</v>
      </c>
      <c r="K10582" s="1" t="str">
        <f t="shared" si="655"/>
        <v>ㄕ</v>
      </c>
      <c r="L10582" s="1" t="str">
        <f t="shared" si="656"/>
        <v>ㄢ</v>
      </c>
      <c r="N10582" s="3" t="s">
        <v>30574</v>
      </c>
      <c r="O10582" s="3"/>
      <c r="P10582" s="1" t="s">
        <v>20</v>
      </c>
      <c r="R10582" s="1" t="s">
        <v>21095</v>
      </c>
      <c r="V10582" s="1" t="s">
        <v>21131</v>
      </c>
      <c r="AR10582" s="1" t="str">
        <f t="shared" si="657"/>
        <v>| [ㄕㄢˋ](ㄕㄢˋ.md) | [墠](墠.md) |  | shàn | [名]
祭祀的場地。《禮記．祭法》：「是故王立七廟，一壇一墠。」 |</v>
      </c>
    </row>
    <row r="10583" spans="1:44" hidden="1">
      <c r="A10583" s="1" t="s">
        <v>4958</v>
      </c>
      <c r="C10583" s="1">
        <v>1</v>
      </c>
      <c r="D10583" s="1" t="str">
        <f>"08951"</f>
        <v>08951</v>
      </c>
      <c r="E10583" s="1" t="s">
        <v>24</v>
      </c>
      <c r="F10583" s="1">
        <v>15</v>
      </c>
      <c r="G10583" s="1">
        <v>12</v>
      </c>
      <c r="H10583" s="1">
        <v>2</v>
      </c>
      <c r="I10583" s="1" t="s">
        <v>21094</v>
      </c>
      <c r="K10583" s="1" t="str">
        <f t="shared" si="655"/>
        <v>ㄕ</v>
      </c>
      <c r="L10583" s="1" t="str">
        <f t="shared" si="656"/>
        <v>ㄢ</v>
      </c>
      <c r="N10583" s="3" t="s">
        <v>30574</v>
      </c>
      <c r="O10583" s="3"/>
      <c r="P10583" s="1" t="s">
        <v>20</v>
      </c>
      <c r="R10583" s="1" t="s">
        <v>21095</v>
      </c>
      <c r="V10583" s="1" t="s">
        <v>21132</v>
      </c>
      <c r="W10583" s="1" t="s">
        <v>21133</v>
      </c>
      <c r="AR10583" s="1" t="str">
        <f t="shared" si="657"/>
        <v>| [ㄕㄢˋ](ㄕㄢˋ.md) | [撣](撣.md) |  | shàn | [名]
古代少數民族之一。居住於大陸地區雲南及越南、泰國等處。 |</v>
      </c>
    </row>
    <row r="10584" spans="1:44" hidden="1">
      <c r="A10584" s="1" t="s">
        <v>18469</v>
      </c>
      <c r="C10584" s="1">
        <v>1</v>
      </c>
      <c r="D10584" s="1" t="str">
        <f>"08952"</f>
        <v>08952</v>
      </c>
      <c r="E10584" s="1" t="s">
        <v>139</v>
      </c>
      <c r="F10584" s="1">
        <v>16</v>
      </c>
      <c r="G10584" s="1">
        <v>12</v>
      </c>
      <c r="H10584" s="1">
        <v>1</v>
      </c>
      <c r="I10584" s="1" t="s">
        <v>21094</v>
      </c>
      <c r="K10584" s="1" t="str">
        <f t="shared" si="655"/>
        <v>ㄕ</v>
      </c>
      <c r="L10584" s="1" t="str">
        <f t="shared" si="656"/>
        <v>ㄢ</v>
      </c>
      <c r="N10584" s="3" t="s">
        <v>30574</v>
      </c>
      <c r="O10584" s="3"/>
      <c r="P10584" s="1" t="s">
        <v>20</v>
      </c>
      <c r="R10584" s="1" t="s">
        <v>21095</v>
      </c>
      <c r="V10584" s="1" t="s">
        <v>21134</v>
      </c>
      <c r="W10584" s="1" t="s">
        <v>21135</v>
      </c>
      <c r="AR10584" s="1" t="str">
        <f t="shared" si="657"/>
        <v>| [ㄕㄢˋ](ㄕㄢˋ.md) | [樿](樿.md) |  | shàn | [名]
一種有白紋的樹木，可製成梳子、杓子等器物。《禮記．玉藻》：「櫛用樿櫛，髮晞用象櫛。」 |</v>
      </c>
    </row>
    <row r="10585" spans="1:44" hidden="1">
      <c r="A10585" s="1" t="s">
        <v>19757</v>
      </c>
      <c r="C10585" s="1">
        <v>1</v>
      </c>
      <c r="D10585" s="1" t="str">
        <f>"08953"</f>
        <v>08953</v>
      </c>
      <c r="E10585" s="1" t="s">
        <v>825</v>
      </c>
      <c r="F10585" s="1">
        <v>17</v>
      </c>
      <c r="G10585" s="1">
        <v>12</v>
      </c>
      <c r="H10585" s="1">
        <v>2</v>
      </c>
      <c r="I10585" s="1" t="s">
        <v>21094</v>
      </c>
      <c r="K10585" s="1" t="str">
        <f t="shared" si="655"/>
        <v>ㄕ</v>
      </c>
      <c r="L10585" s="1" t="str">
        <f t="shared" si="656"/>
        <v>ㄢ</v>
      </c>
      <c r="N10585" s="3" t="s">
        <v>30574</v>
      </c>
      <c r="O10585" s="3"/>
      <c r="P10585" s="1" t="s">
        <v>20</v>
      </c>
      <c r="R10585" s="1" t="s">
        <v>21095</v>
      </c>
      <c r="V10585" s="1" t="s">
        <v>21136</v>
      </c>
      <c r="W10585" s="1" t="s">
        <v>21137</v>
      </c>
      <c r="AR10585" s="1" t="str">
        <f t="shared" si="657"/>
        <v>| [ㄕㄢˋ](ㄕㄢˋ.md) | [禪](禪.md) |  | shàn | [動]
1.祭祀天地山川。《說文解字．示部》：「禪，祭天也。」《大戴禮記．保傅》：「是以封泰山而禪梁甫。」
2.帝王讓位或傳位給他姓。如：「禪位」。《莊子．秋水》：「帝王殊禪，三代殊繼。」《史記．卷一九．惠景閒侯者年表》：「至孝惠時，唯獨長沙全，禪五世，以無嗣絕。」 |</v>
      </c>
    </row>
    <row r="10586" spans="1:44" hidden="1">
      <c r="A10586" s="1" t="s">
        <v>21138</v>
      </c>
      <c r="C10586" s="1">
        <v>1</v>
      </c>
      <c r="D10586" s="1" t="str">
        <f>"08954"</f>
        <v>08954</v>
      </c>
      <c r="E10586" s="1" t="s">
        <v>24</v>
      </c>
      <c r="F10586" s="1">
        <v>14</v>
      </c>
      <c r="G10586" s="1">
        <v>11</v>
      </c>
      <c r="H10586" s="1">
        <v>0</v>
      </c>
      <c r="I10586" s="1" t="s">
        <v>21094</v>
      </c>
      <c r="K10586" s="1" t="str">
        <f t="shared" si="655"/>
        <v>ㄕ</v>
      </c>
      <c r="L10586" s="1" t="str">
        <f t="shared" si="656"/>
        <v>ㄢ</v>
      </c>
      <c r="N10586" s="3" t="s">
        <v>30574</v>
      </c>
      <c r="O10586" s="3"/>
      <c r="P10586" s="1" t="s">
        <v>20</v>
      </c>
      <c r="R10586" s="1" t="s">
        <v>21095</v>
      </c>
      <c r="V10586" s="1" t="s">
        <v>21139</v>
      </c>
      <c r="AR10586" s="1" t="str">
        <f t="shared" si="657"/>
        <v>| [ㄕㄢˋ](ㄕㄢˋ.md) | [摲](摲.md) |  | shàn | [動]
割除、割掉。《禮記．禮器》：「君子之於禮也，……，有摲而播也。」 |</v>
      </c>
    </row>
    <row r="10587" spans="1:44" hidden="1">
      <c r="A10587" s="1" t="s">
        <v>6271</v>
      </c>
      <c r="C10587" s="1">
        <v>1</v>
      </c>
      <c r="D10587" s="1" t="str">
        <f>"08955"</f>
        <v>08955</v>
      </c>
      <c r="E10587" s="1" t="s">
        <v>114</v>
      </c>
      <c r="F10587" s="1">
        <v>15</v>
      </c>
      <c r="G10587" s="1">
        <v>13</v>
      </c>
      <c r="H10587" s="1">
        <v>3</v>
      </c>
      <c r="I10587" s="1" t="s">
        <v>21094</v>
      </c>
      <c r="K10587" s="1" t="str">
        <f t="shared" si="655"/>
        <v>ㄕ</v>
      </c>
      <c r="L10587" s="1" t="str">
        <f t="shared" si="656"/>
        <v>ㄢ</v>
      </c>
      <c r="N10587" s="3" t="s">
        <v>30574</v>
      </c>
      <c r="O10587" s="3"/>
      <c r="P10587" s="1" t="s">
        <v>20</v>
      </c>
      <c r="R10587" s="1" t="s">
        <v>21095</v>
      </c>
      <c r="V10587" s="1" t="s">
        <v>21140</v>
      </c>
      <c r="W10587" s="1" t="s">
        <v>21141</v>
      </c>
      <c r="AR10587" s="1" t="str">
        <f t="shared" si="657"/>
        <v>| [ㄕㄢˋ](ㄕㄢˋ.md) | [儃](儃.md) |  | shàn | 同「禪」。 |</v>
      </c>
    </row>
    <row r="10588" spans="1:44" hidden="1">
      <c r="A10588" s="1" t="s">
        <v>21142</v>
      </c>
      <c r="C10588" s="1">
        <v>1</v>
      </c>
      <c r="D10588" s="1" t="str">
        <f>"08956"</f>
        <v>08956</v>
      </c>
      <c r="E10588" s="1" t="s">
        <v>24</v>
      </c>
      <c r="F10588" s="1">
        <v>16</v>
      </c>
      <c r="G10588" s="1">
        <v>13</v>
      </c>
      <c r="H10588" s="1">
        <v>0</v>
      </c>
      <c r="I10588" s="1" t="s">
        <v>21094</v>
      </c>
      <c r="K10588" s="1" t="str">
        <f t="shared" si="655"/>
        <v>ㄕ</v>
      </c>
      <c r="L10588" s="1" t="str">
        <f t="shared" si="656"/>
        <v>ㄢ</v>
      </c>
      <c r="N10588" s="3" t="s">
        <v>30574</v>
      </c>
      <c r="O10588" s="3"/>
      <c r="P10588" s="1" t="s">
        <v>20</v>
      </c>
      <c r="R10588" s="1" t="s">
        <v>21095</v>
      </c>
      <c r="V10588" s="1" t="s">
        <v>21143</v>
      </c>
      <c r="AR10588" s="1" t="str">
        <f t="shared" si="657"/>
        <v>| [ㄕㄢˋ](ㄕㄢˋ.md) | [擅](擅.md) |  | shàn | [動]
1.專斷、獨行、包攬。《韓非子．孤憤》：「當塗之人擅事要，則外內為之用矣。」《漢書．卷四．文帝紀》：「夫以呂太后之嚴，立諸呂為三王，擅權專制。」
2.據有。《戰國策．秦策三》：「且昔者中山之地，方五百里，趙獨擅之。」
3.精於、善於。如：「擅長」、「擅繪畫」、「不擅言談」。
[副]
一味以自己的意思行事。如：「擅離職守」。《商君書．定分》：「有擅發禁室印，及入禁室視禁法令，及禁剟一字以上，罪皆死不赦。」 |</v>
      </c>
    </row>
    <row r="10589" spans="1:44" hidden="1">
      <c r="A10589" s="1" t="s">
        <v>21144</v>
      </c>
      <c r="C10589" s="1">
        <v>1</v>
      </c>
      <c r="D10589" s="1" t="str">
        <f>"08957"</f>
        <v>08957</v>
      </c>
      <c r="E10589" s="1" t="s">
        <v>534</v>
      </c>
      <c r="F10589" s="1">
        <v>16</v>
      </c>
      <c r="G10589" s="1">
        <v>13</v>
      </c>
      <c r="H10589" s="1">
        <v>0</v>
      </c>
      <c r="I10589" s="1" t="s">
        <v>21094</v>
      </c>
      <c r="K10589" s="1" t="str">
        <f t="shared" si="655"/>
        <v>ㄕ</v>
      </c>
      <c r="L10589" s="1" t="str">
        <f t="shared" si="656"/>
        <v>ㄢ</v>
      </c>
      <c r="N10589" s="3" t="s">
        <v>30574</v>
      </c>
      <c r="O10589" s="3"/>
      <c r="P10589" s="1" t="s">
        <v>20</v>
      </c>
      <c r="R10589" s="1" t="s">
        <v>21095</v>
      </c>
      <c r="V10589" s="1" t="s">
        <v>21145</v>
      </c>
      <c r="AR10589" s="1" t="str">
        <f t="shared" si="657"/>
        <v>| [ㄕㄢˋ](ㄕㄢˋ.md) | [嬗](嬗.md) |  | shàn | [動]
更替、演變。《史記．卷八四．屈原賈生傳》：「形氣轉續兮，變化而嬗。」 |</v>
      </c>
    </row>
    <row r="10590" spans="1:44" hidden="1">
      <c r="A10590" s="1" t="s">
        <v>19784</v>
      </c>
      <c r="C10590" s="1">
        <v>1</v>
      </c>
      <c r="D10590" s="1" t="str">
        <f>"08958"</f>
        <v>08958</v>
      </c>
      <c r="E10590" s="1" t="s">
        <v>679</v>
      </c>
      <c r="F10590" s="1">
        <v>19</v>
      </c>
      <c r="G10590" s="1">
        <v>13</v>
      </c>
      <c r="H10590" s="1">
        <v>1</v>
      </c>
      <c r="I10590" s="1" t="s">
        <v>21094</v>
      </c>
      <c r="K10590" s="1" t="str">
        <f t="shared" si="655"/>
        <v>ㄕ</v>
      </c>
      <c r="L10590" s="1" t="str">
        <f t="shared" si="656"/>
        <v>ㄢ</v>
      </c>
      <c r="N10590" s="3" t="s">
        <v>30574</v>
      </c>
      <c r="O10590" s="3"/>
      <c r="P10590" s="1" t="s">
        <v>20</v>
      </c>
      <c r="R10590" s="1" t="s">
        <v>21095</v>
      </c>
      <c r="V10590" s="1" t="s">
        <v>21146</v>
      </c>
      <c r="W10590" s="1" t="s">
        <v>21147</v>
      </c>
      <c r="AR10590" s="1" t="str">
        <f t="shared" si="657"/>
        <v>| [ㄕㄢˋ](ㄕㄢˋ.md) | [蟺](蟺.md) |  | shàn | 參見「蜿蟺」條。 |</v>
      </c>
    </row>
    <row r="10591" spans="1:44" hidden="1">
      <c r="A10591" s="1" t="s">
        <v>18443</v>
      </c>
      <c r="C10591" s="1">
        <v>1</v>
      </c>
      <c r="D10591" s="1" t="str">
        <f>"08959"</f>
        <v>08959</v>
      </c>
      <c r="E10591" s="1" t="s">
        <v>156</v>
      </c>
      <c r="F10591" s="1">
        <v>24</v>
      </c>
      <c r="G10591" s="1">
        <v>13</v>
      </c>
      <c r="H10591" s="1">
        <v>2</v>
      </c>
      <c r="I10591" s="1" t="s">
        <v>21094</v>
      </c>
      <c r="K10591" s="1" t="str">
        <f t="shared" si="655"/>
        <v>ㄕ</v>
      </c>
      <c r="L10591" s="1" t="str">
        <f t="shared" si="656"/>
        <v>ㄢ</v>
      </c>
      <c r="N10591" s="3" t="s">
        <v>30574</v>
      </c>
      <c r="O10591" s="3"/>
      <c r="P10591" s="1" t="s">
        <v>20</v>
      </c>
      <c r="R10591" s="1" t="s">
        <v>21095</v>
      </c>
      <c r="V10591" s="1" t="s">
        <v>21148</v>
      </c>
      <c r="W10591" s="1" t="s">
        <v>21149</v>
      </c>
      <c r="AR10591" s="1" t="str">
        <f t="shared" si="657"/>
        <v>| [ㄕㄢˋ](ㄕㄢˋ.md) | [鱣](鱣.md) |  | shàn | 同「鱔」。 |</v>
      </c>
    </row>
    <row r="10592" spans="1:44" hidden="1">
      <c r="A10592" s="1" t="s">
        <v>21150</v>
      </c>
      <c r="C10592" s="1">
        <v>1</v>
      </c>
      <c r="D10592" s="1" t="str">
        <f>"08960"</f>
        <v>08960</v>
      </c>
      <c r="E10592" s="1" t="s">
        <v>505</v>
      </c>
      <c r="F10592" s="1">
        <v>20</v>
      </c>
      <c r="G10592" s="1">
        <v>13</v>
      </c>
      <c r="H10592" s="1">
        <v>0</v>
      </c>
      <c r="I10592" s="1" t="s">
        <v>21094</v>
      </c>
      <c r="K10592" s="1" t="str">
        <f t="shared" si="655"/>
        <v>ㄕ</v>
      </c>
      <c r="L10592" s="1" t="str">
        <f t="shared" si="656"/>
        <v>ㄢ</v>
      </c>
      <c r="N10592" s="3" t="s">
        <v>30574</v>
      </c>
      <c r="O10592" s="3"/>
      <c r="P10592" s="1" t="s">
        <v>20</v>
      </c>
      <c r="R10592" s="1" t="s">
        <v>21095</v>
      </c>
      <c r="V10592" s="1" t="s">
        <v>21151</v>
      </c>
      <c r="AR10592" s="1" t="str">
        <f t="shared" si="657"/>
        <v>| [ㄕㄢˋ](ㄕㄢˋ.md) | [贍](贍.md) |  | shàn | [動]
1.供給、供養。《晉書．卷九四．陶潛傳》：「至於酒米，乏絕，亦時相贍。」唐．裴守真〈請重耕織表〉：「一夫之耕，纔兼數口；一婦之織，不贍一家。」
2.滿足。北齊．顏之推《顏氏家訓．治家》：「率能躬儉節用以贍衣食。」
3.補助、救濟。《史記．卷三二．齊太公世家》：「設輕重魚鹽之利，以贍貧窮。」《隋書．卷七〇．李密傳》：「乃散家產，賙贍親故。」
[形]
1.充足、富足。《墨子．節葬下》：「亦有力不足、財不贍、智不智，然後已矣。」《後漢書．卷一五．李通等傳．贊曰》：「李鄧豪贍，舍家從讖。」
2.文辭廣博華麗。《後漢書．卷四〇．班彪傳．論曰》：「遷文直而事覈，固文贍而事詳。」 |</v>
      </c>
    </row>
    <row r="10593" spans="1:44" hidden="1">
      <c r="A10593" s="1" t="s">
        <v>21083</v>
      </c>
      <c r="C10593" s="1">
        <v>1</v>
      </c>
      <c r="D10593" s="1" t="str">
        <f>"08929"</f>
        <v>08929</v>
      </c>
      <c r="E10593" s="1" t="s">
        <v>709</v>
      </c>
      <c r="F10593" s="1">
        <v>10</v>
      </c>
      <c r="G10593" s="1">
        <v>2</v>
      </c>
      <c r="H10593" s="1">
        <v>0</v>
      </c>
      <c r="I10593" s="1" t="s">
        <v>21084</v>
      </c>
      <c r="K10593" s="1" t="str">
        <f t="shared" si="655"/>
        <v>ㄕ</v>
      </c>
      <c r="L10593" s="1" t="str">
        <f t="shared" ref="L10593:L10624" si="658">MID(I10593, 2, 1)</f>
        <v>ㄢ</v>
      </c>
      <c r="N10593" s="3" t="s">
        <v>30576</v>
      </c>
      <c r="O10593" s="3"/>
      <c r="P10593" s="1" t="s">
        <v>20</v>
      </c>
      <c r="R10593" s="1" t="s">
        <v>21085</v>
      </c>
      <c r="V10593" s="1" t="s">
        <v>21086</v>
      </c>
      <c r="AR10593" s="1" t="str">
        <f t="shared" si="657"/>
        <v>| [ㄕㄢˇ](ㄕㄢˇ.md) | [閃](閃.md) |  | shǎn | [動]
1.探頭窺視。《三國志．卷一五．魏書．梁習傳》「思亦能吏，然苛碎無大體」句下裴松之注引《魏略》：「白日常自於牆壁間闚閃。」
2.避開、躲避。元．曾瑞〈四塊玉．官況甜〉曲：「讎多恩少人皆厭，業貫盈，橫禍添，無處閃。」《警世通言．卷二〇．計押番金鰻產禍》：「掇開門閃身入去，隨手關了。」
3.突然顯現、忽隱忽現。如：「閃光」、「腦中閃過一個念頭。」
4.弄、逼迫。《水滸傳》第一一回：「誰想今日被高俅這賊坑陷了我這一場，……閃得我有家難奔，有國難投，受此寂寞。」
5.拋棄、撇下。元．馬致遠《青衫淚》第二折：「你好下得白解元，閃下我女少年。」《西遊記》第二回：「怎麼一去許久，把我們俱閃在這裡。」
6.扭傷、挫傷。如：「閃了腰」。元．王實甫《西廂記．第四本．第二折》：「夫人休閃了手，且息怒停嗔。」
[名]
1.雷電所發出的光。如：「西邊又打閃，可能快下雨了。」
2.差錯、危險。如：「萬一有什麼閃失，我如何向你父母交代？」《水滸傳》第一二回：「不想又吃了這一閃！高太尉，你忒毒害，恁地剋剝！」 |</v>
      </c>
    </row>
    <row r="10594" spans="1:44" hidden="1">
      <c r="A10594" s="1" t="s">
        <v>21087</v>
      </c>
      <c r="C10594" s="1">
        <v>1</v>
      </c>
      <c r="D10594" s="1" t="str">
        <f>"08930"</f>
        <v>08930</v>
      </c>
      <c r="E10594" s="1" t="s">
        <v>691</v>
      </c>
      <c r="F10594" s="1">
        <v>10</v>
      </c>
      <c r="G10594" s="1">
        <v>7</v>
      </c>
      <c r="H10594" s="1">
        <v>0</v>
      </c>
      <c r="I10594" s="1" t="s">
        <v>21084</v>
      </c>
      <c r="K10594" s="1" t="str">
        <f t="shared" si="655"/>
        <v>ㄕ</v>
      </c>
      <c r="L10594" s="1" t="str">
        <f t="shared" si="658"/>
        <v>ㄢ</v>
      </c>
      <c r="N10594" s="3" t="s">
        <v>30576</v>
      </c>
      <c r="O10594" s="3"/>
      <c r="P10594" s="1" t="s">
        <v>20</v>
      </c>
      <c r="R10594" s="1" t="s">
        <v>21085</v>
      </c>
      <c r="V10594" s="1" t="s">
        <v>21088</v>
      </c>
      <c r="AR10594" s="1" t="str">
        <f t="shared" si="657"/>
        <v>| [ㄕㄢˇ](ㄕㄢˇ.md) | [陝](陝.md) |  | shǎn | [名]
1.地名。即今大陸地區河南省陝縣，周初為周公、召公分治的界限。
2.大陸地區陝西省的簡稱。如：「陝北」。
3.姓。如明代有陝通。 |</v>
      </c>
    </row>
    <row r="10595" spans="1:44" hidden="1">
      <c r="A10595" s="1" t="s">
        <v>21089</v>
      </c>
      <c r="C10595" s="1">
        <v>1</v>
      </c>
      <c r="D10595" s="1" t="str">
        <f>"08931"</f>
        <v>08931</v>
      </c>
      <c r="E10595" s="1" t="s">
        <v>1015</v>
      </c>
      <c r="F10595" s="1">
        <v>13</v>
      </c>
      <c r="G10595" s="1">
        <v>8</v>
      </c>
      <c r="H10595" s="1">
        <v>0</v>
      </c>
      <c r="I10595" s="1" t="s">
        <v>21084</v>
      </c>
      <c r="K10595" s="1" t="str">
        <f t="shared" si="655"/>
        <v>ㄕ</v>
      </c>
      <c r="L10595" s="1" t="str">
        <f t="shared" si="658"/>
        <v>ㄢ</v>
      </c>
      <c r="N10595" s="3" t="s">
        <v>30576</v>
      </c>
      <c r="O10595" s="3"/>
      <c r="P10595" s="1" t="s">
        <v>20</v>
      </c>
      <c r="R10595" s="1" t="s">
        <v>21085</v>
      </c>
      <c r="V10595" s="1" t="s">
        <v>21090</v>
      </c>
      <c r="AR10595" s="1" t="str">
        <f t="shared" si="657"/>
        <v>| [ㄕㄢˇ](ㄕㄢˇ.md) | [睒](睒.md) |  | shǎn | [形]
眼睛快速一瞥的樣子。《說文解字．目部》：「睒，暫視貌。」
[動]
窺視。漢．揚雄《太玄經．卷六．瞢》：「瞢復睒天，不睹其軫。」 |</v>
      </c>
    </row>
    <row r="10596" spans="1:44" hidden="1">
      <c r="A10596" s="1" t="s">
        <v>19742</v>
      </c>
      <c r="C10596" s="1">
        <v>1</v>
      </c>
      <c r="D10596" s="1" t="str">
        <f>"08932"</f>
        <v>08932</v>
      </c>
      <c r="E10596" s="1" t="s">
        <v>24</v>
      </c>
      <c r="F10596" s="1">
        <v>14</v>
      </c>
      <c r="G10596" s="1">
        <v>11</v>
      </c>
      <c r="H10596" s="1">
        <v>2</v>
      </c>
      <c r="I10596" s="1" t="s">
        <v>21084</v>
      </c>
      <c r="K10596" s="1" t="str">
        <f t="shared" si="655"/>
        <v>ㄕ</v>
      </c>
      <c r="L10596" s="1" t="str">
        <f t="shared" si="658"/>
        <v>ㄢ</v>
      </c>
      <c r="N10596" s="3" t="s">
        <v>30576</v>
      </c>
      <c r="O10596" s="3"/>
      <c r="P10596" s="1" t="s">
        <v>20</v>
      </c>
      <c r="R10596" s="1" t="s">
        <v>21085</v>
      </c>
      <c r="V10596" s="1" t="s">
        <v>21091</v>
      </c>
      <c r="W10596" s="1" t="s">
        <v>21092</v>
      </c>
      <c r="AR10596" s="1" t="str">
        <f t="shared" si="657"/>
        <v>| [ㄕㄢˇ](ㄕㄢˇ.md) | [摻](摻.md) |  | shǎn | [動]
持、握住。《詩經．鄭風．遵大路》：「遵大路兮，摻執子之袪兮。」唐．李白〈感時留別從兄徐王延年從弟延陵〉詩：「摻袂何所道，援毫投此辭。」 |</v>
      </c>
    </row>
    <row r="10597" spans="1:44" hidden="1">
      <c r="A10597" s="1" t="s">
        <v>19861</v>
      </c>
      <c r="C10597" s="1">
        <v>1</v>
      </c>
      <c r="D10597" s="1" t="str">
        <f>"08997"</f>
        <v>08997</v>
      </c>
      <c r="E10597" s="1" t="s">
        <v>24</v>
      </c>
      <c r="F10597" s="1">
        <v>8</v>
      </c>
      <c r="G10597" s="1">
        <v>5</v>
      </c>
      <c r="H10597" s="1">
        <v>1</v>
      </c>
      <c r="I10597" s="1" t="s">
        <v>21231</v>
      </c>
      <c r="K10597" s="1" t="str">
        <f t="shared" si="655"/>
        <v>ㄕ</v>
      </c>
      <c r="L10597" s="1" t="str">
        <f t="shared" si="658"/>
        <v>ㄣ</v>
      </c>
      <c r="N10597" s="3" t="s">
        <v>30574</v>
      </c>
      <c r="O10597" s="3"/>
      <c r="P10597" s="1" t="s">
        <v>20</v>
      </c>
      <c r="R10597" s="1" t="s">
        <v>21232</v>
      </c>
      <c r="V10597" s="1" t="s">
        <v>21233</v>
      </c>
      <c r="W10597" s="1" t="s">
        <v>21234</v>
      </c>
      <c r="AR10597" s="1" t="str">
        <f t="shared" si="657"/>
        <v>| [ㄕㄣˋ](ㄕㄣˋ.md) | [抻](抻.md) |  | shèn | [動]_x000D_
以輾壓的方式拉長。《廣韻．去聲．震韻》：「抻，物長也。」 |</v>
      </c>
    </row>
    <row r="10598" spans="1:44" hidden="1">
      <c r="A10598" s="1" t="s">
        <v>20835</v>
      </c>
      <c r="C10598" s="1">
        <v>1</v>
      </c>
      <c r="D10598" s="1" t="str">
        <f>"08998"</f>
        <v>08998</v>
      </c>
      <c r="E10598" s="1" t="s">
        <v>6621</v>
      </c>
      <c r="F10598" s="1">
        <v>9</v>
      </c>
      <c r="G10598" s="1">
        <v>4</v>
      </c>
      <c r="H10598" s="1">
        <v>1</v>
      </c>
      <c r="I10598" s="1" t="s">
        <v>21231</v>
      </c>
      <c r="K10598" s="1" t="str">
        <f t="shared" si="655"/>
        <v>ㄕ</v>
      </c>
      <c r="L10598" s="1" t="str">
        <f t="shared" si="658"/>
        <v>ㄣ</v>
      </c>
      <c r="N10598" s="3" t="s">
        <v>30574</v>
      </c>
      <c r="O10598" s="3"/>
      <c r="P10598" s="1" t="s">
        <v>20</v>
      </c>
      <c r="R10598" s="1" t="s">
        <v>21232</v>
      </c>
      <c r="V10598" s="1" t="s">
        <v>21235</v>
      </c>
      <c r="W10598" s="1" t="s">
        <v>21236</v>
      </c>
      <c r="AR10598" s="1" t="str">
        <f t="shared" si="657"/>
        <v>| [ㄕㄣˋ](ㄕㄣˋ.md) | [甚](甚.md) |  | shèn | [副]
1.很、非常。如：「甚多」、「甚好」、「甚佳」。
2.過分、過度。如：「欺人太甚」。 |</v>
      </c>
    </row>
    <row r="10599" spans="1:44" hidden="1">
      <c r="A10599" s="1" t="s">
        <v>18563</v>
      </c>
      <c r="C10599" s="1">
        <v>1</v>
      </c>
      <c r="D10599" s="1" t="str">
        <f>"08999"</f>
        <v>08999</v>
      </c>
      <c r="E10599" s="1" t="s">
        <v>139</v>
      </c>
      <c r="F10599" s="1">
        <v>13</v>
      </c>
      <c r="G10599" s="1">
        <v>9</v>
      </c>
      <c r="H10599" s="1">
        <v>2</v>
      </c>
      <c r="I10599" s="1" t="s">
        <v>21231</v>
      </c>
      <c r="K10599" s="1" t="str">
        <f t="shared" si="655"/>
        <v>ㄕ</v>
      </c>
      <c r="L10599" s="1" t="str">
        <f t="shared" si="658"/>
        <v>ㄣ</v>
      </c>
      <c r="N10599" s="3" t="s">
        <v>30574</v>
      </c>
      <c r="O10599" s="3"/>
      <c r="P10599" s="1" t="s">
        <v>20</v>
      </c>
      <c r="R10599" s="1" t="s">
        <v>21232</v>
      </c>
      <c r="V10599" s="1" t="s">
        <v>21237</v>
      </c>
      <c r="W10599" s="1" t="s">
        <v>21238</v>
      </c>
      <c r="AR10599" s="1" t="str">
        <f t="shared" si="657"/>
        <v>| [ㄕㄣˋ](ㄕㄣˋ.md) | [椹](椹.md) |  | shèn | [名]
1.桑樹的果實。晉．曹毗〈涉江賦〉：「紫蓮被翠波而抗英，碧椹乘天岸而星懸。」
2.木頭上所生的菌類。北周．庾信〈對雨詩〉：「濕楊生細椹，爛草變初螢。」 |</v>
      </c>
    </row>
    <row r="10600" spans="1:44" hidden="1">
      <c r="A10600" s="1" t="s">
        <v>21239</v>
      </c>
      <c r="C10600" s="1">
        <v>1</v>
      </c>
      <c r="D10600" s="1" t="str">
        <f>"09000"</f>
        <v>09000</v>
      </c>
      <c r="E10600" s="1" t="s">
        <v>37</v>
      </c>
      <c r="F10600" s="1">
        <v>13</v>
      </c>
      <c r="G10600" s="1">
        <v>9</v>
      </c>
      <c r="H10600" s="1">
        <v>1</v>
      </c>
      <c r="I10600" s="1" t="s">
        <v>21231</v>
      </c>
      <c r="K10600" s="1" t="str">
        <f t="shared" si="655"/>
        <v>ㄕ</v>
      </c>
      <c r="L10600" s="1" t="str">
        <f t="shared" si="658"/>
        <v>ㄣ</v>
      </c>
      <c r="N10600" s="3" t="s">
        <v>30574</v>
      </c>
      <c r="O10600" s="3"/>
      <c r="P10600" s="1" t="s">
        <v>388</v>
      </c>
      <c r="R10600" s="1" t="s">
        <v>21232</v>
      </c>
      <c r="V10600" s="1" t="s">
        <v>21240</v>
      </c>
      <c r="W10600" s="1" t="s">
        <v>21241</v>
      </c>
      <c r="AR10600" s="1" t="str">
        <f t="shared" si="657"/>
        <v>| [ㄕㄣˋ](ㄕㄣˋ.md) | [葚](葚.md) |  | shèn | [名]
桑樹的果實。《說文解字．艸部》：「葚，桑實也。」《詩經．衛風．氓》：「于嗟鳩兮，無食桑葚。」也作「椹」。 |</v>
      </c>
    </row>
    <row r="10601" spans="1:44" hidden="1">
      <c r="A10601" s="1" t="s">
        <v>21242</v>
      </c>
      <c r="C10601" s="1">
        <v>1</v>
      </c>
      <c r="D10601" s="1" t="str">
        <f>"09001"</f>
        <v>09001</v>
      </c>
      <c r="E10601" s="1" t="s">
        <v>68</v>
      </c>
      <c r="F10601" s="1">
        <v>11</v>
      </c>
      <c r="G10601" s="1">
        <v>7</v>
      </c>
      <c r="H10601" s="1">
        <v>0</v>
      </c>
      <c r="I10601" s="1" t="s">
        <v>21231</v>
      </c>
      <c r="K10601" s="1" t="str">
        <f t="shared" si="655"/>
        <v>ㄕ</v>
      </c>
      <c r="L10601" s="1" t="str">
        <f t="shared" si="658"/>
        <v>ㄣ</v>
      </c>
      <c r="N10601" s="3" t="s">
        <v>30574</v>
      </c>
      <c r="O10601" s="3"/>
      <c r="P10601" s="1" t="s">
        <v>20</v>
      </c>
      <c r="R10601" s="1" t="s">
        <v>21232</v>
      </c>
      <c r="V10601" s="1" t="s">
        <v>21243</v>
      </c>
      <c r="AR10601" s="1" t="str">
        <f t="shared" si="657"/>
        <v>| [ㄕㄣˋ](ㄕㄣˋ.md) | [脤](脤.md) |  | shèn | [名]
古代帝王祭祀用的生肉。《玉篇．肉部》：「以脤膰之禮，親兄弟之國，皆社稷宗廟之肉也。」《左傳．閔公二年》：「帥師者，受命於廟，受脤於社。」 |</v>
      </c>
    </row>
    <row r="10602" spans="1:44" hidden="1">
      <c r="A10602" s="1" t="s">
        <v>21244</v>
      </c>
      <c r="C10602" s="1">
        <v>1</v>
      </c>
      <c r="D10602" s="1" t="str">
        <f>"09002"</f>
        <v>09002</v>
      </c>
      <c r="E10602" s="1" t="s">
        <v>679</v>
      </c>
      <c r="F10602" s="1">
        <v>13</v>
      </c>
      <c r="G10602" s="1">
        <v>7</v>
      </c>
      <c r="H10602" s="1">
        <v>0</v>
      </c>
      <c r="I10602" s="1" t="s">
        <v>21231</v>
      </c>
      <c r="K10602" s="1" t="str">
        <f t="shared" si="655"/>
        <v>ㄕ</v>
      </c>
      <c r="L10602" s="1" t="str">
        <f t="shared" si="658"/>
        <v>ㄣ</v>
      </c>
      <c r="N10602" s="3" t="s">
        <v>30574</v>
      </c>
      <c r="O10602" s="3"/>
      <c r="P10602" s="1" t="s">
        <v>20</v>
      </c>
      <c r="R10602" s="1" t="s">
        <v>21232</v>
      </c>
      <c r="V10602" s="1" t="s">
        <v>21245</v>
      </c>
      <c r="AR10602" s="1" t="str">
        <f t="shared" si="657"/>
        <v>| [ㄕㄣˋ](ㄕㄣˋ.md) | [蜃](蜃.md) |  | shèn | [名]
一種大的蛤蜊。《國語．晉語九》：「雀入于海為蛤，雉入于淮為蜃。」三國吳．韋昭．注：「小曰蛤，大曰蜃。皆介物，蚌類。」 |</v>
      </c>
    </row>
    <row r="10603" spans="1:44" hidden="1">
      <c r="A10603" s="1" t="s">
        <v>21246</v>
      </c>
      <c r="C10603" s="1">
        <v>1</v>
      </c>
      <c r="D10603" s="1" t="str">
        <f>"09003"</f>
        <v>09003</v>
      </c>
      <c r="E10603" s="1" t="s">
        <v>68</v>
      </c>
      <c r="F10603" s="1">
        <v>12</v>
      </c>
      <c r="G10603" s="1">
        <v>8</v>
      </c>
      <c r="H10603" s="1">
        <v>0</v>
      </c>
      <c r="I10603" s="1" t="s">
        <v>21231</v>
      </c>
      <c r="K10603" s="1" t="str">
        <f t="shared" si="655"/>
        <v>ㄕ</v>
      </c>
      <c r="L10603" s="1" t="str">
        <f t="shared" si="658"/>
        <v>ㄣ</v>
      </c>
      <c r="N10603" s="3" t="s">
        <v>30574</v>
      </c>
      <c r="O10603" s="3"/>
      <c r="P10603" s="1" t="s">
        <v>20</v>
      </c>
      <c r="R10603" s="1" t="s">
        <v>21232</v>
      </c>
      <c r="V10603" s="1" t="s">
        <v>21247</v>
      </c>
      <c r="AR10603" s="1" t="str">
        <f t="shared" si="657"/>
        <v>| [ㄕㄣˋ](ㄕㄣˋ.md) | [腎](腎.md) |  | shèn | [名]
人體的內臟之一。位於腰部，在腰椎的兩側，呈蠶豆狀，左右共二枚，左高右低；有過濾血液中的廢料為尿液的功能，是人體中主要的排泄器官之一。也稱為「腎臟」。 |</v>
      </c>
    </row>
    <row r="10604" spans="1:44" hidden="1">
      <c r="A10604" s="1" t="s">
        <v>21248</v>
      </c>
      <c r="C10604" s="1">
        <v>1</v>
      </c>
      <c r="D10604" s="1" t="str">
        <f>"09004"</f>
        <v>09004</v>
      </c>
      <c r="E10604" s="1" t="s">
        <v>129</v>
      </c>
      <c r="F10604" s="1">
        <v>14</v>
      </c>
      <c r="G10604" s="1">
        <v>11</v>
      </c>
      <c r="H10604" s="1">
        <v>0</v>
      </c>
      <c r="I10604" s="1" t="s">
        <v>21231</v>
      </c>
      <c r="K10604" s="1" t="str">
        <f t="shared" si="655"/>
        <v>ㄕ</v>
      </c>
      <c r="L10604" s="1" t="str">
        <f t="shared" si="658"/>
        <v>ㄣ</v>
      </c>
      <c r="N10604" s="3" t="s">
        <v>30574</v>
      </c>
      <c r="O10604" s="3"/>
      <c r="P10604" s="1" t="s">
        <v>20</v>
      </c>
      <c r="R10604" s="1" t="s">
        <v>21232</v>
      </c>
      <c r="V10604" s="1" t="s">
        <v>21249</v>
      </c>
      <c r="AR10604" s="1" t="str">
        <f t="shared" si="657"/>
        <v>| [ㄕㄣˋ](ㄕㄣˋ.md) | [滲](滲.md) |  | shèn | [動]
液體慢慢的浸透或漏出。如：「滲透」、「水滲到土裡去了。」 |</v>
      </c>
    </row>
    <row r="10605" spans="1:44" hidden="1">
      <c r="A10605" s="1" t="s">
        <v>21250</v>
      </c>
      <c r="C10605" s="1">
        <v>1</v>
      </c>
      <c r="D10605" s="1" t="str">
        <f>"09005"</f>
        <v>09005</v>
      </c>
      <c r="E10605" s="1" t="s">
        <v>250</v>
      </c>
      <c r="F10605" s="1">
        <v>13</v>
      </c>
      <c r="G10605" s="1">
        <v>10</v>
      </c>
      <c r="H10605" s="1">
        <v>0</v>
      </c>
      <c r="I10605" s="1" t="s">
        <v>21231</v>
      </c>
      <c r="K10605" s="1" t="str">
        <f t="shared" si="655"/>
        <v>ㄕ</v>
      </c>
      <c r="L10605" s="1" t="str">
        <f t="shared" si="658"/>
        <v>ㄣ</v>
      </c>
      <c r="N10605" s="3" t="s">
        <v>30574</v>
      </c>
      <c r="O10605" s="3"/>
      <c r="P10605" s="1" t="s">
        <v>20</v>
      </c>
      <c r="R10605" s="1" t="s">
        <v>21232</v>
      </c>
      <c r="V10605" s="1" t="s">
        <v>21251</v>
      </c>
      <c r="AR10605" s="1" t="str">
        <f t="shared" si="657"/>
        <v>| [ㄕㄣˋ](ㄕㄣˋ.md) | [慎](慎.md) |  | shèn | [動]
1.小心。如：「謹慎」。《論語．學而》：「敏於事而慎於言，就有道而正焉，可謂好學也已。」南朝宋．劉義慶《世說新語．德行》：「晉文王稱阮嗣宗至慎，每與之言，言皆玄遠，未嘗臧否人物。」
2.重視。《荀子．彊國》：「必將慎禮義、務忠信然後可。」
[副]
與「勿」、「無」、「毋」等連用，表示吩咐告誡的話。《史記．卷七．項羽本紀》：「謹守成皋，則漢欲挑戰，慎勿與戰。」
[名]
姓。如晉代有慎修。 |</v>
      </c>
    </row>
    <row r="10606" spans="1:44" hidden="1">
      <c r="A10606" s="1" t="s">
        <v>20571</v>
      </c>
      <c r="C10606" s="1">
        <v>1</v>
      </c>
      <c r="D10606" s="1" t="str">
        <f>"08983"</f>
        <v>08983</v>
      </c>
      <c r="E10606" s="1" t="s">
        <v>114</v>
      </c>
      <c r="F10606" s="1">
        <v>4</v>
      </c>
      <c r="G10606" s="1">
        <v>2</v>
      </c>
      <c r="H10606" s="1">
        <v>2</v>
      </c>
      <c r="I10606" s="1" t="s">
        <v>21199</v>
      </c>
      <c r="K10606" s="1" t="str">
        <f t="shared" si="655"/>
        <v>ㄕ</v>
      </c>
      <c r="L10606" s="1" t="str">
        <f t="shared" si="658"/>
        <v>ㄣ</v>
      </c>
      <c r="N10606" s="3" t="s">
        <v>30575</v>
      </c>
      <c r="O10606" s="3"/>
      <c r="P10606" s="1" t="s">
        <v>20</v>
      </c>
      <c r="R10606" s="1" t="s">
        <v>21200</v>
      </c>
      <c r="V10606" s="1" t="s">
        <v>21201</v>
      </c>
      <c r="W10606" s="1" t="s">
        <v>21202</v>
      </c>
      <c r="AR10606" s="1" t="str">
        <f t="shared" si="657"/>
        <v>| [ㄕㄣˊ](ㄕㄣˊ.md) | [什](什.md) |  | shén | 參見「什麼」條。 |</v>
      </c>
    </row>
    <row r="10607" spans="1:44" hidden="1">
      <c r="A10607" s="1" t="s">
        <v>20835</v>
      </c>
      <c r="C10607" s="1">
        <v>1</v>
      </c>
      <c r="D10607" s="1" t="str">
        <f>"08984"</f>
        <v>08984</v>
      </c>
      <c r="E10607" s="1" t="s">
        <v>6621</v>
      </c>
      <c r="F10607" s="1">
        <v>9</v>
      </c>
      <c r="G10607" s="1">
        <v>4</v>
      </c>
      <c r="H10607" s="1">
        <v>2</v>
      </c>
      <c r="I10607" s="1" t="s">
        <v>21199</v>
      </c>
      <c r="K10607" s="1" t="str">
        <f t="shared" si="655"/>
        <v>ㄕ</v>
      </c>
      <c r="L10607" s="1" t="str">
        <f t="shared" si="658"/>
        <v>ㄣ</v>
      </c>
      <c r="N10607" s="3" t="s">
        <v>30575</v>
      </c>
      <c r="O10607" s="3"/>
      <c r="P10607" s="1" t="s">
        <v>20</v>
      </c>
      <c r="R10607" s="1" t="s">
        <v>21200</v>
      </c>
      <c r="V10607" s="1" t="s">
        <v>21203</v>
      </c>
      <c r="W10607" s="1" t="s">
        <v>21204</v>
      </c>
      <c r="AR10607" s="1" t="str">
        <f t="shared" si="657"/>
        <v>| [ㄕㄣˊ](ㄕㄣˊ.md) | [甚](甚.md) |  | shén | 參見「甚麼」條。 |</v>
      </c>
    </row>
    <row r="10608" spans="1:44" hidden="1">
      <c r="A10608" s="1" t="s">
        <v>21205</v>
      </c>
      <c r="C10608" s="1">
        <v>1</v>
      </c>
      <c r="D10608" s="1" t="str">
        <f>"08985"</f>
        <v>08985</v>
      </c>
      <c r="E10608" s="1" t="s">
        <v>825</v>
      </c>
      <c r="F10608" s="1">
        <v>10</v>
      </c>
      <c r="G10608" s="1">
        <v>5</v>
      </c>
      <c r="H10608" s="1">
        <v>0</v>
      </c>
      <c r="I10608" s="1" t="s">
        <v>21199</v>
      </c>
      <c r="K10608" s="1" t="str">
        <f t="shared" si="655"/>
        <v>ㄕ</v>
      </c>
      <c r="L10608" s="1" t="str">
        <f t="shared" si="658"/>
        <v>ㄣ</v>
      </c>
      <c r="N10608" s="3" t="s">
        <v>30575</v>
      </c>
      <c r="O10608" s="3"/>
      <c r="P10608" s="1" t="s">
        <v>20</v>
      </c>
      <c r="R10608" s="1" t="s">
        <v>21200</v>
      </c>
      <c r="V10608" s="1" t="s">
        <v>21206</v>
      </c>
      <c r="AR10608" s="1" t="str">
        <f t="shared" si="657"/>
        <v>| [ㄕㄣˊ](ㄕㄣˊ.md) | [神](神.md) |  | shén | [名]
1.天地萬物的創造者與主宰者稱為「神」。如：「山神」、「天神」、「海神」。
2.聖賢或所崇拜的人死後的精靈也稱為「神」。《後漢書．卷四十四．張禹傳》：「中土皆以江有子胥之神，難於濟涉。」
3.人的精氣或注意力。如：「留神」、「傷神」、「聚精會神」。
4.姓。如漢代有神曜。
[形]
稀奇、玄妙、不平凡的。如：「神童」、「神機妙算」。 |</v>
      </c>
    </row>
    <row r="10609" spans="1:44" hidden="1">
      <c r="A10609" s="1" t="s">
        <v>19883</v>
      </c>
      <c r="C10609" s="1">
        <v>1</v>
      </c>
      <c r="D10609" s="1" t="str">
        <f>"08986"</f>
        <v>08986</v>
      </c>
      <c r="E10609" s="1" t="s">
        <v>129</v>
      </c>
      <c r="F10609" s="1">
        <v>7</v>
      </c>
      <c r="G10609" s="1">
        <v>4</v>
      </c>
      <c r="H10609" s="1">
        <v>2</v>
      </c>
      <c r="I10609" s="1" t="s">
        <v>21207</v>
      </c>
      <c r="K10609" s="1" t="str">
        <f t="shared" si="655"/>
        <v>ㄕ</v>
      </c>
      <c r="L10609" s="1" t="str">
        <f t="shared" si="658"/>
        <v>ㄣ</v>
      </c>
      <c r="N10609" s="3" t="s">
        <v>30576</v>
      </c>
      <c r="O10609" s="3"/>
      <c r="P10609" s="1" t="s">
        <v>20</v>
      </c>
      <c r="R10609" s="1" t="s">
        <v>21208</v>
      </c>
      <c r="V10609" s="1" t="s">
        <v>21209</v>
      </c>
      <c r="W10609" s="1" t="s">
        <v>21210</v>
      </c>
      <c r="AR10609" s="1" t="str">
        <f t="shared" si="657"/>
        <v>| [ㄕㄣˇ](ㄕㄣˇ.md) | [沈](沈.md) |  | shěn | [名]
姓。如宋代有沈括。 |</v>
      </c>
    </row>
    <row r="10610" spans="1:44" hidden="1">
      <c r="A10610" s="1" t="s">
        <v>21211</v>
      </c>
      <c r="C10610" s="1">
        <v>1</v>
      </c>
      <c r="D10610" s="1" t="str">
        <f>"08987"</f>
        <v>08987</v>
      </c>
      <c r="E10610" s="1" t="s">
        <v>256</v>
      </c>
      <c r="F10610" s="1">
        <v>7</v>
      </c>
      <c r="G10610" s="1">
        <v>4</v>
      </c>
      <c r="H10610" s="1">
        <v>0</v>
      </c>
      <c r="I10610" s="1" t="s">
        <v>21207</v>
      </c>
      <c r="K10610" s="1" t="str">
        <f t="shared" si="655"/>
        <v>ㄕ</v>
      </c>
      <c r="L10610" s="1" t="str">
        <f t="shared" si="658"/>
        <v>ㄣ</v>
      </c>
      <c r="N10610" s="3" t="s">
        <v>30576</v>
      </c>
      <c r="O10610" s="3"/>
      <c r="P10610" s="1" t="s">
        <v>20</v>
      </c>
      <c r="R10610" s="1" t="s">
        <v>21208</v>
      </c>
      <c r="V10610" s="1" t="s">
        <v>21212</v>
      </c>
      <c r="AR10610" s="1" t="str">
        <f t="shared" si="657"/>
        <v>| [ㄕㄣˇ](ㄕㄣˇ.md) | [邥](邥.md) |  | shěn | [名]
地名。春秋時周朝的屬地。 |</v>
      </c>
    </row>
    <row r="10611" spans="1:44" hidden="1">
      <c r="A10611" s="1" t="s">
        <v>21213</v>
      </c>
      <c r="C10611" s="1">
        <v>1</v>
      </c>
      <c r="D10611" s="1" t="str">
        <f>"08988"</f>
        <v>08988</v>
      </c>
      <c r="E10611" s="1" t="s">
        <v>28</v>
      </c>
      <c r="F10611" s="1">
        <v>9</v>
      </c>
      <c r="G10611" s="1">
        <v>6</v>
      </c>
      <c r="H10611" s="1">
        <v>0</v>
      </c>
      <c r="I10611" s="1" t="s">
        <v>21207</v>
      </c>
      <c r="K10611" s="1" t="str">
        <f t="shared" si="655"/>
        <v>ㄕ</v>
      </c>
      <c r="L10611" s="1" t="str">
        <f t="shared" si="658"/>
        <v>ㄣ</v>
      </c>
      <c r="N10611" s="3" t="s">
        <v>30576</v>
      </c>
      <c r="O10611" s="3"/>
      <c r="P10611" s="1" t="s">
        <v>20</v>
      </c>
      <c r="R10611" s="1" t="s">
        <v>21208</v>
      </c>
      <c r="V10611" s="1" t="s">
        <v>21214</v>
      </c>
      <c r="AR10611" s="1" t="str">
        <f t="shared" si="657"/>
        <v>| [ㄕㄣˇ](ㄕㄣˇ.md) | [哂](哂.md) |  | shěn | [動]
1.微笑。《論語．先進》：「夫子哂之。」宋．陳師道〈示三子〉詩：「喜極不得語，淚盡方一哂。」
2.譏諷、嘲笑。《晉書．卷七七．蔡謨傳》：「我若為司徒，將為後代所哂，義不敢拜也。」 |</v>
      </c>
    </row>
    <row r="10612" spans="1:44" hidden="1">
      <c r="A10612" s="1" t="s">
        <v>21215</v>
      </c>
      <c r="C10612" s="1">
        <v>1</v>
      </c>
      <c r="D10612" s="1" t="str">
        <f>"08989"</f>
        <v>08989</v>
      </c>
      <c r="E10612" s="1" t="s">
        <v>122</v>
      </c>
      <c r="F10612" s="1">
        <v>9</v>
      </c>
      <c r="G10612" s="1">
        <v>4</v>
      </c>
      <c r="H10612" s="1">
        <v>0</v>
      </c>
      <c r="I10612" s="1" t="s">
        <v>21207</v>
      </c>
      <c r="K10612" s="1" t="str">
        <f t="shared" si="655"/>
        <v>ㄕ</v>
      </c>
      <c r="L10612" s="1" t="str">
        <f t="shared" si="658"/>
        <v>ㄣ</v>
      </c>
      <c r="N10612" s="3" t="s">
        <v>30576</v>
      </c>
      <c r="O10612" s="3"/>
      <c r="P10612" s="1" t="s">
        <v>20</v>
      </c>
      <c r="R10612" s="1" t="s">
        <v>21208</v>
      </c>
      <c r="V10612" s="1" t="s">
        <v>21216</v>
      </c>
      <c r="AR10612" s="1" t="str">
        <f t="shared" si="657"/>
        <v>| [ㄕㄣˇ](ㄕㄣˇ.md) | [矧](矧.md) |  | shěn | [連]
況且。晉．陶淵明〈勸農〉詩六首之四：「相彼賢達，猶勤壟畝；矧伊眾庶，曳裾拱手！」《南史．卷三五．顧覬之傳》：「死且不憚，矧伊刑罰；身且不愛，何況妻子。」
[副]
亦。《書經．康誥》：「元惡大憝，矧惟不孝不友。」
[名]
齒根。通「齗」。《禮記．曲禮上》：「笑不至矧，怒不自詈。」漢．鄭玄．注：「齒本曰矧，大笑則見。」 |</v>
      </c>
    </row>
    <row r="10613" spans="1:44" hidden="1">
      <c r="A10613" s="1" t="s">
        <v>7561</v>
      </c>
      <c r="C10613" s="1">
        <v>1</v>
      </c>
      <c r="D10613" s="1" t="str">
        <f>"08990"</f>
        <v>08990</v>
      </c>
      <c r="E10613" s="1" t="s">
        <v>129</v>
      </c>
      <c r="F10613" s="1">
        <v>11</v>
      </c>
      <c r="G10613" s="1">
        <v>8</v>
      </c>
      <c r="H10613" s="1">
        <v>2</v>
      </c>
      <c r="I10613" s="1" t="s">
        <v>21207</v>
      </c>
      <c r="K10613" s="1" t="str">
        <f t="shared" si="655"/>
        <v>ㄕ</v>
      </c>
      <c r="L10613" s="1" t="str">
        <f t="shared" si="658"/>
        <v>ㄣ</v>
      </c>
      <c r="N10613" s="3" t="s">
        <v>30576</v>
      </c>
      <c r="O10613" s="3"/>
      <c r="P10613" s="1" t="s">
        <v>20</v>
      </c>
      <c r="R10613" s="1" t="s">
        <v>21208</v>
      </c>
      <c r="V10613" s="1" t="s">
        <v>21217</v>
      </c>
      <c r="W10613" s="1" t="s">
        <v>21218</v>
      </c>
      <c r="AR10613" s="1" t="str">
        <f t="shared" si="657"/>
        <v>| [ㄕㄣˇ](ㄕㄣˇ.md) | [淰](淰.md) |  | shěn | [動]
魚因驚駭而四處游散。《禮記．禮運》：「故龍以為畜，故魚鮪不淰。」唐．孔穎達．正義：「淰，水中驚走也。」 |</v>
      </c>
    </row>
    <row r="10614" spans="1:44" hidden="1">
      <c r="A10614" s="1" t="s">
        <v>21219</v>
      </c>
      <c r="C10614" s="1">
        <v>1</v>
      </c>
      <c r="D10614" s="1" t="str">
        <f>"08991"</f>
        <v>08991</v>
      </c>
      <c r="E10614" s="1" t="s">
        <v>331</v>
      </c>
      <c r="F10614" s="1">
        <v>15</v>
      </c>
      <c r="G10614" s="1">
        <v>8</v>
      </c>
      <c r="H10614" s="1">
        <v>0</v>
      </c>
      <c r="I10614" s="1" t="s">
        <v>21207</v>
      </c>
      <c r="K10614" s="1" t="str">
        <f t="shared" si="655"/>
        <v>ㄕ</v>
      </c>
      <c r="L10614" s="1" t="str">
        <f t="shared" si="658"/>
        <v>ㄣ</v>
      </c>
      <c r="N10614" s="3" t="s">
        <v>30576</v>
      </c>
      <c r="O10614" s="3"/>
      <c r="P10614" s="1" t="s">
        <v>20</v>
      </c>
      <c r="R10614" s="1" t="s">
        <v>21208</v>
      </c>
      <c r="V10614" s="1" t="s">
        <v>21220</v>
      </c>
      <c r="AR10614" s="1" t="str">
        <f t="shared" si="657"/>
        <v>| [ㄕㄣˇ](ㄕㄣˇ.md) | [諗](諗.md) |  | shěn | [動]
1.勸諫、規諫。《左傳．閔公二年》：「昔辛伯諗周桓公。」明．徐弘祖《徐霞客遊記．卷八上．滇遊日記八》：「見余過，故父子相諗而挽留余飯焉。」
2.想念、思念。《詩經．小雅．四牡》：「豈不懷歸？是用作歌，將母來諗。」三國魏．邯鄲淳〈漢鴻臚陳紀碑〉：「思齊古公，邠土是因，不忘諗國，惠我無垠。」
3.告知。《宋史．卷三六五．岳飛傳》：「世忠以書來諗，飛復曰：『均為國家，何分彼此？』」
4.知悉。同「讅」。元．戴良〈跋錢舜舉所臨閻立本西域圖〉：「因茅元禮攜至求題，姑志所聞如是，博雅君子，必有能諗之者。」
5.潛藏、四處游散。通「淰」。《孔子家語．卷七．禮運》：「故龍以為畜，而魚鮪不諗。」 |</v>
      </c>
    </row>
    <row r="10615" spans="1:44" hidden="1">
      <c r="A10615" s="1" t="s">
        <v>21221</v>
      </c>
      <c r="C10615" s="1">
        <v>1</v>
      </c>
      <c r="D10615" s="1" t="str">
        <f>"08992"</f>
        <v>08992</v>
      </c>
      <c r="E10615" s="1" t="s">
        <v>624</v>
      </c>
      <c r="F10615" s="1">
        <v>15</v>
      </c>
      <c r="G10615" s="1">
        <v>12</v>
      </c>
      <c r="H10615" s="1">
        <v>0</v>
      </c>
      <c r="I10615" s="1" t="s">
        <v>21207</v>
      </c>
      <c r="K10615" s="1" t="str">
        <f t="shared" si="655"/>
        <v>ㄕ</v>
      </c>
      <c r="L10615" s="1" t="str">
        <f t="shared" si="658"/>
        <v>ㄣ</v>
      </c>
      <c r="N10615" s="3" t="s">
        <v>30576</v>
      </c>
      <c r="O10615" s="3"/>
      <c r="P10615" s="1" t="s">
        <v>20</v>
      </c>
      <c r="R10615" s="1" t="s">
        <v>21208</v>
      </c>
      <c r="V10615" s="1" t="s">
        <v>21222</v>
      </c>
      <c r="AR10615" s="1" t="str">
        <f t="shared" si="657"/>
        <v>| [ㄕㄣˇ](ㄕㄣˇ.md) | [審](審.md) |  | shěn | [動]
1.知道、明白、清楚。同「諗」、「讅」。《史記．卷二三．禮書》：「君子審禮，則不可欺以詐偽。」《三國演義》第一一五回：「臣困鄧艾於祁山，陛下連降三詔，召臣回朝，未審聖意為何？」
2.推究、分析。《呂氏春秋．慎大覽．察今》：「故審堂下之陰，而知日月之行，陰陽之變。」
3.偵訊訴訟案件。如：「審判」、「審訊」。
4.謹慎。宋．蘇軾〈張文定公墓誌銘〉：「契丹遣使為言，卿宜審處其事。」
[副]
周密、詳細。《聊齋志異．卷一．賈兒》：「審顧之，四肢皆如人，但尾垂後部。」
[名]
姓。如漢代有審食其。 |</v>
      </c>
    </row>
    <row r="10616" spans="1:44" hidden="1">
      <c r="A10616" s="1" t="s">
        <v>21223</v>
      </c>
      <c r="C10616" s="1">
        <v>1</v>
      </c>
      <c r="D10616" s="1" t="str">
        <f>"08993"</f>
        <v>08993</v>
      </c>
      <c r="E10616" s="1" t="s">
        <v>129</v>
      </c>
      <c r="F10616" s="1">
        <v>18</v>
      </c>
      <c r="G10616" s="1">
        <v>15</v>
      </c>
      <c r="H10616" s="1">
        <v>0</v>
      </c>
      <c r="I10616" s="1" t="s">
        <v>21207</v>
      </c>
      <c r="K10616" s="1" t="str">
        <f t="shared" si="655"/>
        <v>ㄕ</v>
      </c>
      <c r="L10616" s="1" t="str">
        <f t="shared" si="658"/>
        <v>ㄣ</v>
      </c>
      <c r="N10616" s="3" t="s">
        <v>30576</v>
      </c>
      <c r="O10616" s="3"/>
      <c r="P10616" s="1" t="s">
        <v>20</v>
      </c>
      <c r="R10616" s="1" t="s">
        <v>21208</v>
      </c>
      <c r="V10616" s="1" t="s">
        <v>21224</v>
      </c>
      <c r="AR10616" s="1" t="str">
        <f t="shared" si="657"/>
        <v>| [ㄕㄣˇ](ㄕㄣˇ.md) | [瀋](瀋.md) |  | shěn | [名]
1.汁。《說文解字．水部》：「瀋，汁也。」如：「墨瀋未乾」。元．陶宗儀《南村輟耕錄．卷二九．墨》：「所以晉人多用凹心硯者，欲磨墨貯瀋耳。」
2.大陸地區瀋陽市的簡稱。如：「安瀋鐵路」。 |</v>
      </c>
    </row>
    <row r="10617" spans="1:44" hidden="1">
      <c r="A10617" s="1" t="s">
        <v>21225</v>
      </c>
      <c r="C10617" s="1">
        <v>1</v>
      </c>
      <c r="D10617" s="1" t="str">
        <f>"08994"</f>
        <v>08994</v>
      </c>
      <c r="E10617" s="1" t="s">
        <v>534</v>
      </c>
      <c r="F10617" s="1">
        <v>18</v>
      </c>
      <c r="G10617" s="1">
        <v>15</v>
      </c>
      <c r="H10617" s="1">
        <v>0</v>
      </c>
      <c r="I10617" s="1" t="s">
        <v>21207</v>
      </c>
      <c r="K10617" s="1" t="str">
        <f t="shared" si="655"/>
        <v>ㄕ</v>
      </c>
      <c r="L10617" s="1" t="str">
        <f t="shared" si="658"/>
        <v>ㄣ</v>
      </c>
      <c r="N10617" s="3" t="s">
        <v>30576</v>
      </c>
      <c r="O10617" s="3"/>
      <c r="P10617" s="1" t="s">
        <v>20</v>
      </c>
      <c r="R10617" s="1" t="s">
        <v>21208</v>
      </c>
      <c r="V10617" s="1" t="s">
        <v>21226</v>
      </c>
      <c r="AR10617" s="1" t="str">
        <f t="shared" si="657"/>
        <v>| [ㄕㄣˇ](ㄕㄣˇ.md) | [嬸](嬸.md) |  | shěn | [名]
稱謂：(1)用以稱叔父的妻子。即叔母。《集韻．上聲．寑韻》：「嬸，俗謂叔母曰嬸。」(2)用以稱丈夫的弟婦。如：「小嬸」。(3)用以尊稱結過婚的女性長輩。如：「大嬸」。 |</v>
      </c>
    </row>
    <row r="10618" spans="1:44" hidden="1">
      <c r="A10618" s="1" t="s">
        <v>21227</v>
      </c>
      <c r="C10618" s="1">
        <v>1</v>
      </c>
      <c r="D10618" s="1" t="str">
        <f>"08995"</f>
        <v>08995</v>
      </c>
      <c r="E10618" s="1" t="s">
        <v>331</v>
      </c>
      <c r="F10618" s="1">
        <v>22</v>
      </c>
      <c r="G10618" s="1">
        <v>15</v>
      </c>
      <c r="H10618" s="1">
        <v>0</v>
      </c>
      <c r="I10618" s="1" t="s">
        <v>21207</v>
      </c>
      <c r="K10618" s="1" t="str">
        <f t="shared" si="655"/>
        <v>ㄕ</v>
      </c>
      <c r="L10618" s="1" t="str">
        <f t="shared" si="658"/>
        <v>ㄣ</v>
      </c>
      <c r="N10618" s="3" t="s">
        <v>30576</v>
      </c>
      <c r="O10618" s="3"/>
      <c r="P10618" s="1" t="s">
        <v>20</v>
      </c>
      <c r="R10618" s="1" t="s">
        <v>21208</v>
      </c>
      <c r="V10618" s="1" t="s">
        <v>21228</v>
      </c>
      <c r="AR10618" s="1" t="str">
        <f t="shared" si="657"/>
        <v>| [ㄕㄣˇ](ㄕㄣˇ.md) | [讅](讅.md) |  | shěn | [動]
知悉、詳知。同「審」。清．徐珂《清稗類鈔．棍騙類．飾為某王以行騙》：「僧急白鹽政，鹽政固讅某邸狀貌，又知其請假也，因偕僧赴寺。」 |</v>
      </c>
    </row>
    <row r="10619" spans="1:44" hidden="1">
      <c r="A10619" s="1" t="s">
        <v>21229</v>
      </c>
      <c r="C10619" s="1">
        <v>1</v>
      </c>
      <c r="D10619" s="1" t="str">
        <f>"08996"</f>
        <v>08996</v>
      </c>
      <c r="E10619" s="1" t="s">
        <v>1015</v>
      </c>
      <c r="F10619" s="1">
        <v>17</v>
      </c>
      <c r="G10619" s="1">
        <v>12</v>
      </c>
      <c r="H10619" s="1">
        <v>0</v>
      </c>
      <c r="I10619" s="1" t="s">
        <v>21207</v>
      </c>
      <c r="K10619" s="1" t="str">
        <f t="shared" si="655"/>
        <v>ㄕ</v>
      </c>
      <c r="L10619" s="1" t="str">
        <f t="shared" si="658"/>
        <v>ㄣ</v>
      </c>
      <c r="N10619" s="3" t="s">
        <v>30576</v>
      </c>
      <c r="O10619" s="3"/>
      <c r="P10619" s="1" t="s">
        <v>20</v>
      </c>
      <c r="R10619" s="1" t="s">
        <v>21208</v>
      </c>
      <c r="V10619" s="1" t="s">
        <v>21230</v>
      </c>
      <c r="AR10619" s="1" t="str">
        <f t="shared" si="657"/>
        <v>| [ㄕㄣˇ](ㄕㄣˇ.md) | [瞫](瞫.md) |  | shěn | [動]
深視。《說文解字．目部》：「瞫，深視也。」 |</v>
      </c>
    </row>
    <row r="10620" spans="1:44" hidden="1">
      <c r="A10620" s="1" t="s">
        <v>21271</v>
      </c>
      <c r="C10620" s="1">
        <v>1</v>
      </c>
      <c r="D10620" s="1" t="str">
        <f>"09018"</f>
        <v>09018</v>
      </c>
      <c r="E10620" s="1" t="s">
        <v>789</v>
      </c>
      <c r="F10620" s="1">
        <v>3</v>
      </c>
      <c r="G10620" s="1">
        <v>2</v>
      </c>
      <c r="H10620" s="1">
        <v>1</v>
      </c>
      <c r="I10620" s="1" t="s">
        <v>21280</v>
      </c>
      <c r="K10620" s="1" t="str">
        <f t="shared" si="655"/>
        <v>ㄕ</v>
      </c>
      <c r="L10620" s="1" t="str">
        <f t="shared" si="658"/>
        <v>ㄤ</v>
      </c>
      <c r="N10620" s="3" t="s">
        <v>30574</v>
      </c>
      <c r="O10620" s="3"/>
      <c r="P10620" s="1" t="s">
        <v>20</v>
      </c>
      <c r="R10620" s="1" t="s">
        <v>21281</v>
      </c>
      <c r="V10620" s="1" t="s">
        <v>21282</v>
      </c>
      <c r="W10620" s="1" t="s">
        <v>21283</v>
      </c>
      <c r="AR10620" s="1" t="str">
        <f t="shared" si="657"/>
        <v>| [ㄕㄤˋ](ㄕㄤˋ.md) | [上](上.md) |  | shàng | [名]_x000D_
1.表方向或位置，與「下」相對。如：「上有天堂，下有蘇杭。」、「上頂天，下貼地」。《莊子．讓王》：「原憲居魯，環堵之室，茨以生草，蓬戶不完。桑以為樞而甕牖二室，褐以為塞，上漏下溼，匡坐而弦。」《何典》第九回：「上無片瓦遮身，下無立錐之地。」《兒女英雄傳》第二四回：「鄧九公朝上把那匣子一舉，又把身子往旁邊一閃。」_x000D_
2.物體的表面、上面。如：「門上」、「臉上」、「桌上」。唐．張若虛〈春江花月夜〉詩：「春江潮水連海平，海上明月共潮生。」元．錢惟善〈和季文山齋早春〉詩其二：「落梅風細小窗寒，石上餘香點點斑。」《老殘遊記》第九回：「抬頭看見北牆上挂著四幅大屏，草書寫得龍飛鳳舞。」_x000D_
3.邊側，旁邊。《論語．子罕》：「子在川上，曰：『逝者如斯夫，不舍晝夜。』」《史記．卷四七．孔子世家》：「唯子贛廬於冢上，凡六年，然後去。」唐．司馬貞．索隱：「蓋『上』者，亦是邊側之義。」_x000D_
4.君主、皇帝。如：「上諭」。《史記．卷八．高祖本紀》：「上問左右，左右爭欲擊之。」《後漢書．卷三〇下．郎顗襄楷列傳．郎顗》：「今三公皆令色足恭，外厲內荏，以虛事上，無佐國之實。」《三國演義》第一〇〇回：「汝可回成都布散流言，說孔明有怨上之意，早晚欲稱為帝。」_x000D_
5.高位、尊位。《書經．伊訓》：「居上克明，為下克忠。」唐．韓愈〈送董邵南序〉：「明天子在上，可以出而仕矣。」_x000D_
6.尊長或職位在上的人。《禮記．王制》：「樂事勸功，尊君親上，然後興學。」《孝經．士章》：「忠順不失，以事其上。」_x000D_
7.第一席位。《禮記．曲禮上》：「席：南鄉北鄉，以西方為上。」_x000D_
8.表示範圍或某方面。如：「路上」、「文學上」。《禮記．喪大記》：「大夫內子、士妻、特拜命婦，氾拜眾賓於堂上。」《三國演義》第一回：「安得快人如翼德，盡誅世上負心人。」《英烈傳》第五四回：「吾豈不愛將軍雄杰，但天理人情上，難以相疑。」_x000D_
9.表時間，相當於「時候」。《儒林外史》第一回：「這人姓王名冕，在諸暨縣鄉村裡住，七歲上死了父親。」《二十年目睹之怪現狀》第九五回：「不料當到第三年上，忽然來了個九省欽差，是奉旨到九省地方清理財賦的。」_x000D_
[動]_x000D_
1.升、由低處往高處。如：「上樓」、「上山」。漢．枚乘〈上書諫吳王〉：「必若所欲為，危如累卵，難於上天。」唐．王之渙〈登鸛雀樓〉詩：「欲窮千里目，更上一層樓。」_x000D_
2.向上級進呈、獻納。如：「上奏」。《戰國策．齊策一》：「上書諫寡人者，受中賞。」《史記．卷九．呂太后本紀》：「王誠以一郡上太后，為公主湯沐邑，太后必喜，王必無憂。」《京本通俗小說．拗相公》：「文彥博、韓琦許多名臣，先誇佳說好的，到此也自悔失言，一個個上表爭論，不聽，辭官而去。」_x000D_
3.去、到。若為城市間移動，多用於由南到北、鄉間到都市。如：「上街」、「北上」、「上臺北」、「上廁所」。《警世通言．卷一八．老門生三世報恩》：「蒯公愈加懶散，上京會試，只照常規，全無作興加厚之意。」《二十年目睹之怪現狀》第四六回：「這就難了！不比館子裡跑堂的，還可以去上館子，假以辭色，問他底細。」《孽海花》第三〇回：「小油嘴兒，你怎麼知道我要上那兒去呢？」_x000D_
4.向前、前進。《戰國策．秦策二》：「甘茂攻宜陽，三鼓之而卒不上。」元．無名氏《小尉遲》第三折：「劉無敵跚馬兒領番卒上。」_x000D_
5.就職、赴任。唐．韓愈〈國子監論新注學官牒〉：「其新受官，上日必加研試，然後放行。」宋．范成大〈後催租行〉詩：「自從鄉官新上來，黃紙放盡白紙催。」_x000D_
6.出場、登臺。如：「上場比賽」、「上臺領獎」。元．張國賓《合汗衫》第三折：「正末同卜兒薄藍上云：『叫化咱！叫化咱！可憐見俺許來大家私，被一場天火燒的光光蕩蕩。』」元．孟漢卿《魔合羅．楔子》：「正末扮李德昌同旦、倈上云：『自家李德昌是也。』」_x000D_
7.被登載在。如：「上報」、「他上了全國優良教師名單。」《南齊書．卷九．禮志上》：「孫毓議稱京兆列在正廟，臣下應諱，而不上榜。」《三寶太監西洋記通俗演義》第三四回：「只見左右先鋒解將夜來拿的番兵上帳紀功。」《說岳全傳》第八〇回：「岳雷也命上了功勞簿，擇日渡江。」_x000D_
8.指按規定時間工作或教習。如：「上班」、「上學」、「上宿」、「上夜」。清．孔尚任《桃花扇》第二齣：「楊老爺不是外人，取出曲本快快溫習。待你師父對過，好上新腔。」《紅樓夢》第九回：「可巧這日代儒有事，早已回家去了，只留下一句七言對聯命學生對了，明日再來上書。」《文明小史》第四一回：「大家都約定了今天不上課，直至府署探病。」_x000D_
9.繳交、交出。《漢書．卷一二．平帝紀》：「哀帝崩，太皇太后詔曰：『大司馬賢年少，不合眾心，其上印綬，罷。』賢即日自殺。」《儒林外史》第三回：「金有餘將著銀子，上了藩庫，討出庫收來。」_x000D_
10.欺凌、霸凌。《左傳．桓公五年》：「君子不欲多上人，況敢陵天子乎？」《國語．周語中》：「民可近也，而不可上也。」三國吳．韋昭．注：「上，陵也。」_x000D_
11.遭受、落入。如：「上圈套」。《儒林外史》第五一回：「鳳四老爹猛然大悟，指著絲客人道：『是了！你這客人想是少年不老成，如今上了當了！』」《老殘遊記二編》第四回：「眼前我只要略為撩撥他們下子，一定上鉤。」_x000D_
12.施用、添加。如：「惹禍上身」、「齒輪該上油了。」、「這鋪子總不上新貨。」《禮記．曲禮上》：「禮不下庶人，刑不上大夫。」《老殘遊記》第一七回：「你上他這手銬腳鐐是甚麼意思？難道怕他越獄走了嗎？」_x000D_
13.安裝。如：「上刺刀」。元．無名氏《爭報恩》第三折：「上了板搭，關了門戶，打掃街道。」《鏡花緣》第三七回：「鏤窗上鎖，不能開放。」_x000D_
14.旋緊、繃緊。如：「上發條」。《水滸傳》第九五回：「當下宋兵深栽鹿角，牢豎柵寨，弓上弦，刀出鞘，帶甲枕戈，提鈴喝號。」_x000D_
15.塗抹。如：「上漆」、「上藥」、「上顏色」。《兒女英雄傳》第二七回：「舅太太打發送禮的男女家人去後，便叫人鋪水挖單，放梳頭匣兒，催姑娘上妝。」清．徐珂《清稗類鈔．鑒賞類．畢秋帆賞古磚》：「僕遽將其主人如何覓舊本摹仿，如何在某處定造，如何上色，如何使之剝落，如何使之生苔蘚之術，一一言之，不稍諱。」_x000D_
16.點燃。《儒林外史》第六回：「直到上燈時候，連四斗子也不見回來。」《二十年目睹之怪現狀》第五七回：「吃過了晩飯，已是上火時候。」_x000D_
17.達到，指夠一定數量或程度。如：「上了歲數」、「成千上萬」。《儒林外史》第七回：「王員外共借了上千兩的銀子與荀家。」《紅樓夢》第九九回：「現在打聽節度衙門這幾天有生日，別的府道老爺都上千上萬的送了，我們到底送多少呢？」_x000D_
18.表動作的趨向。如：「爬上去」。《儒林外史》第八回：「幾十個兵卒跳上船來，走進中艙，把王道臺反剪了手，捉上大船。」《文明小史》第五五回：「秦鳳梧下午方才出來，見了湘蘭，疾忙跳上馬車。」_x000D_
19.表示動作發生且有結果。如：「考上大學」、「關上大門」。《三國演義》第二六回：「文醜回頭見二將趕上，遂按住鐵鎗，拈弓搭箭，正射張遼。」《儒林外史》第二四回：「向知縣取了和尚口供，叫上那鄰居來問。」《文明小史》第三七回：「學上三年，英國話居然也能夠說幾句將就的，文法也懂得些。」_x000D_
20.強調動作開始並能持續。如：「迷上武俠小說」、「玉山早已飄上雪花。」《紅樓夢》第三八回：「你知道，你璉二爺愛上了你，要和老太太討了你作小老婆呢。」《兒女英雄傳》第二一回：「只因安老爺生恐這裡話沒定規，親家太太來了，再鬧上一陣，不防頭的怯話兒，給弄糟了。」_x000D_
[形]_x000D_
1.次序或時間在前的。如：「上篇」、「上卷」、「上半年」、「上半場」、「上一位」、「上上星期」。《商君書．開塞》：「上不及虞夏之時，而下不修湯武。」《鏡花緣》第九〇回：「大約上句說的是諸位姐姐美玉無瑕，下句是我醜態百出了。」《紅樓夢》第七二回：「只從上月行了經之後，這一個月竟瀝瀝淅淅的沒有止住。」_x000D_
2.地位高的、尊貴的。如：「上級」、「上流社會」。漢．劉向《新序．卷一．雜事》：「秦使者至，昭奚恤曰：『君，客也，請就上位。』」《景德傳燈錄．卷二二．泉州萬安清運禪師》：「僧曰：『忽遇上客來，將何祗待？』」《三國演義》第六五回：「玄德親自接入，待以上賓之禮。」_x000D_
3.最好的、優等的。如：「走為上策」、「列為上品」。《管子．國蓄》：「以珠玉為上幣，以黃金為中幣，以刀布為下幣。」《戰國策．西周策》：「趙之上計，莫如令秦、魏復戰。」《紅樓夢》第四八回：「如今聽你一說，原來這些格調規矩竟是末事，只要詞句新奇為上。」_x000D_
4.軍制中某一軍階最高級的。如：「上將」、「上校」、「上尉」。《水滸傳》第六三回：「若以禮幣請他，拜為上將，可以掃清水寨，殄滅狂徒，保國安民。」 |</v>
      </c>
    </row>
    <row r="10621" spans="1:44" hidden="1">
      <c r="A10621" s="1" t="s">
        <v>21284</v>
      </c>
      <c r="C10621" s="1">
        <v>1</v>
      </c>
      <c r="D10621" s="1" t="str">
        <f>"09019"</f>
        <v>09019</v>
      </c>
      <c r="E10621" s="1" t="s">
        <v>13811</v>
      </c>
      <c r="F10621" s="1">
        <v>8</v>
      </c>
      <c r="G10621" s="1">
        <v>5</v>
      </c>
      <c r="H10621" s="1">
        <v>0</v>
      </c>
      <c r="I10621" s="1" t="s">
        <v>21280</v>
      </c>
      <c r="K10621" s="1" t="str">
        <f t="shared" si="655"/>
        <v>ㄕ</v>
      </c>
      <c r="L10621" s="1" t="str">
        <f t="shared" si="658"/>
        <v>ㄤ</v>
      </c>
      <c r="N10621" s="3" t="s">
        <v>30574</v>
      </c>
      <c r="O10621" s="3"/>
      <c r="P10621" s="1" t="s">
        <v>20</v>
      </c>
      <c r="R10621" s="1" t="s">
        <v>21281</v>
      </c>
      <c r="V10621" s="1" t="s">
        <v>21285</v>
      </c>
      <c r="AR10621" s="1" t="str">
        <f t="shared" si="657"/>
        <v>| [ㄕㄤˋ](ㄕㄤˋ.md) | [尚](尚.md) |  | shàng | [動]_x000D_
1.尊崇、仰慕。如：「尚文」、「尚武」。《禮記．檀弓上》：「夏后氏尚黑……殷人尚白……周人尚赤。」《墨子．尚賢上》：「不能以尚賢事能為政也。」_x000D_
2.主管其事。通「掌」。《史記．卷九．呂太后本紀》：「襄平侯通尚符節，乃令持節矯內太尉北軍。」_x000D_
3.娶公主為妻。《史記．卷八七．李斯列傳》：「諸男皆尚秦公主，女悉嫁秦諸公子。」《正字通．小部》：「尚，娶公主謂之尚。言帝王之女尊而尚之，不敢言娶。」_x000D_
[副]_x000D_
1.猶、還。如：「他至今尚未結婚。」《詩經．大雅．蕩》：「雖無老成人，尚有典型。」清．孔尚任《桃花扇》第一四齣：「目今議立紛紛，尚無定局，好生愁悶。」_x000D_
2.尚且、況且。《老子》第二三章：「天地尚不能久，而況於人乎？」《漢書．卷五六．董仲舒傳》：「窮急愁苦而上不救民，則民不樂生，民不樂生，尚不避死，安能避罪？」_x000D_
3.希望，表示祈求。《穆天子傳》卷三：「將子無死，尚能復來。」唐．韓愈〈汴州東西水門記〉：「乃伐山石，刻之日月，尚俾來者知作之所始。」元．謝應芳〈寒食祭曾祖墓祝文〉：「匪云報本，庶不敢忘，伏維尚饗。」_x000D_
[名]_x000D_
姓。如漢代有尚長。 |</v>
      </c>
    </row>
    <row r="10622" spans="1:44" hidden="1">
      <c r="A10622" s="1" t="s">
        <v>21286</v>
      </c>
      <c r="C10622" s="1">
        <v>1</v>
      </c>
      <c r="D10622" s="1" t="str">
        <f>"09020"</f>
        <v>09020</v>
      </c>
      <c r="E10622" s="1" t="s">
        <v>679</v>
      </c>
      <c r="F10622" s="1">
        <v>23</v>
      </c>
      <c r="G10622" s="1">
        <v>17</v>
      </c>
      <c r="H10622" s="1">
        <v>1</v>
      </c>
      <c r="I10622" s="1" t="s">
        <v>21280</v>
      </c>
      <c r="K10622" s="1" t="str">
        <f t="shared" si="655"/>
        <v>ㄕ</v>
      </c>
      <c r="L10622" s="1" t="str">
        <f t="shared" si="658"/>
        <v>ㄤ</v>
      </c>
      <c r="N10622" s="3" t="s">
        <v>30574</v>
      </c>
      <c r="O10622" s="3"/>
      <c r="P10622" s="1" t="s">
        <v>20</v>
      </c>
      <c r="R10622" s="1" t="s">
        <v>21281</v>
      </c>
      <c r="V10622" s="1" t="s">
        <v>21287</v>
      </c>
      <c r="W10622" s="1" t="s">
        <v>21288</v>
      </c>
      <c r="AR10622" s="1" t="str">
        <f t="shared" si="657"/>
        <v>| [ㄕㄤˋ](ㄕㄤˋ.md) | [蠰](蠰.md) |  | shàng | [名]
一種類似天牛的蟲。體上有白點，喜食桑葉。《爾雅．釋蟲》：「蠰，齧桑。」晉．郭璞．注：「似天牛，角長，體有白點，喜齧桑樹，作孔，入其中，江東呼為齧髮。」 |</v>
      </c>
    </row>
    <row r="10623" spans="1:44" hidden="1">
      <c r="A10623" s="1" t="s">
        <v>21271</v>
      </c>
      <c r="C10623" s="1">
        <v>1</v>
      </c>
      <c r="D10623" s="1" t="str">
        <f>"09015"</f>
        <v>09015</v>
      </c>
      <c r="E10623" s="1" t="s">
        <v>789</v>
      </c>
      <c r="F10623" s="1">
        <v>3</v>
      </c>
      <c r="G10623" s="1">
        <v>2</v>
      </c>
      <c r="H10623" s="1">
        <v>2</v>
      </c>
      <c r="I10623" s="1" t="s">
        <v>21272</v>
      </c>
      <c r="K10623" s="1" t="str">
        <f t="shared" si="655"/>
        <v>ㄕ</v>
      </c>
      <c r="L10623" s="1" t="str">
        <f t="shared" si="658"/>
        <v>ㄤ</v>
      </c>
      <c r="N10623" s="3" t="s">
        <v>30576</v>
      </c>
      <c r="O10623" s="3"/>
      <c r="P10623" s="1" t="s">
        <v>20</v>
      </c>
      <c r="R10623" s="1" t="s">
        <v>21273</v>
      </c>
      <c r="V10623" s="1" t="s">
        <v>21274</v>
      </c>
      <c r="W10623" s="1" t="s">
        <v>21275</v>
      </c>
      <c r="AR10623" s="1" t="str">
        <f t="shared" si="657"/>
        <v>| [ㄕㄤˇ](ㄕㄤˇ.md) | [上](上.md) |  | shǎng | 參見「上聲」條。 |</v>
      </c>
    </row>
    <row r="10624" spans="1:44" hidden="1">
      <c r="A10624" s="1" t="s">
        <v>21276</v>
      </c>
      <c r="C10624" s="1">
        <v>1</v>
      </c>
      <c r="D10624" s="1" t="str">
        <f>"09016"</f>
        <v>09016</v>
      </c>
      <c r="E10624" s="1" t="s">
        <v>646</v>
      </c>
      <c r="F10624" s="1">
        <v>10</v>
      </c>
      <c r="G10624" s="1">
        <v>6</v>
      </c>
      <c r="H10624" s="1">
        <v>0</v>
      </c>
      <c r="I10624" s="1" t="s">
        <v>21272</v>
      </c>
      <c r="K10624" s="1" t="str">
        <f t="shared" si="655"/>
        <v>ㄕ</v>
      </c>
      <c r="L10624" s="1" t="str">
        <f t="shared" si="658"/>
        <v>ㄤ</v>
      </c>
      <c r="N10624" s="3" t="s">
        <v>30576</v>
      </c>
      <c r="O10624" s="3"/>
      <c r="P10624" s="1" t="s">
        <v>20</v>
      </c>
      <c r="R10624" s="1" t="s">
        <v>21273</v>
      </c>
      <c r="V10624" s="1" t="s">
        <v>21277</v>
      </c>
      <c r="AR10624" s="1" t="str">
        <f t="shared" si="657"/>
        <v>| [ㄕㄤˇ](ㄕㄤˇ.md) | [晌](晌.md) |  | shǎng | [名]
1.正午。如：「晌午」。
2.一會兒、片刻的時間。如：「他呆了半晌。」 |</v>
      </c>
    </row>
    <row r="10625" spans="1:44" hidden="1">
      <c r="A10625" s="1" t="s">
        <v>21278</v>
      </c>
      <c r="C10625" s="1">
        <v>1</v>
      </c>
      <c r="D10625" s="1" t="str">
        <f>"09017"</f>
        <v>09017</v>
      </c>
      <c r="E10625" s="1" t="s">
        <v>505</v>
      </c>
      <c r="F10625" s="1">
        <v>15</v>
      </c>
      <c r="G10625" s="1">
        <v>8</v>
      </c>
      <c r="H10625" s="1">
        <v>0</v>
      </c>
      <c r="I10625" s="1" t="s">
        <v>21272</v>
      </c>
      <c r="K10625" s="1" t="str">
        <f t="shared" ref="K10625:K10688" si="659">LEFT(I10625, 1)</f>
        <v>ㄕ</v>
      </c>
      <c r="L10625" s="1" t="str">
        <f t="shared" ref="L10625:L10656" si="660">MID(I10625, 2, 1)</f>
        <v>ㄤ</v>
      </c>
      <c r="N10625" s="3" t="s">
        <v>30576</v>
      </c>
      <c r="O10625" s="3"/>
      <c r="P10625" s="1" t="s">
        <v>20</v>
      </c>
      <c r="R10625" s="1" t="s">
        <v>21273</v>
      </c>
      <c r="V10625" s="1" t="s">
        <v>21279</v>
      </c>
      <c r="AR10625" s="1" t="str">
        <f t="shared" si="657"/>
        <v>| [ㄕㄤˇ](ㄕㄤˇ.md) | [賞](賞.md) |  | shǎng | [動]
1.把財物賜給有功的人。如：「獎賞」、「賞賜」、「賞罰分明」。《禮記．月令》：「賞公卿諸侯大夫於朝。」
2.器重、看重。如：「賞識」。唐．孟浩然〈夏日南亭懷辛大〉詩：「欲取鳴琴彈，恨無知音賞。」
3.讚美、嘉許、宣揚。如：「讚賞」。《左傳．襄公十四年》：「善則賞之」。
4.欣賞、把玩。如：「賞月」、「玩賞」、「雅俗共賞」。
5.尊崇。通「尚」。《荀子．王霸》：「賞賢便能以次之。」
6.對他人加恩惠於己的敬稱。參見「賞光」、「賞臉」等條。
[名]
1.賜予或獎給的東西。如：「懸賞」、「重賞」。《左傳．宣公十二年》：「先濟者有賞。」《荀子．不苟》：「身之所短，上雖不知，不以取賞。」
2.姓。如晉代有賞慶。 |</v>
      </c>
    </row>
    <row r="10626" spans="1:44" hidden="1">
      <c r="A10626" s="1" t="s">
        <v>20071</v>
      </c>
      <c r="C10626" s="1">
        <v>1</v>
      </c>
      <c r="D10626" s="1" t="str">
        <f>"09037"</f>
        <v>09037</v>
      </c>
      <c r="E10626" s="1" t="s">
        <v>646</v>
      </c>
      <c r="F10626" s="1">
        <v>10</v>
      </c>
      <c r="G10626" s="1">
        <v>6</v>
      </c>
      <c r="H10626" s="1">
        <v>1</v>
      </c>
      <c r="I10626" s="1" t="s">
        <v>21329</v>
      </c>
      <c r="K10626" s="1" t="str">
        <f t="shared" si="659"/>
        <v>ㄕ</v>
      </c>
      <c r="L10626" s="1" t="str">
        <f t="shared" si="660"/>
        <v>ㄥ</v>
      </c>
      <c r="N10626" s="3" t="s">
        <v>30574</v>
      </c>
      <c r="O10626" s="3"/>
      <c r="P10626" s="1" t="s">
        <v>20</v>
      </c>
      <c r="R10626" s="1" t="s">
        <v>21330</v>
      </c>
      <c r="V10626" s="1" t="s">
        <v>21331</v>
      </c>
      <c r="W10626" s="1" t="s">
        <v>21332</v>
      </c>
      <c r="AR10626" s="1" t="str">
        <f t="shared" si="657"/>
        <v>| [ㄕㄥˋ](ㄕㄥˋ.md) | [晟](晟.md) |  | shèng | [形]
熾盛、明亮。《廣韻．去聲．勁韻》：「晟，熾也。」《集韻．去聲．勁韻》：「晟，明也。」 |</v>
      </c>
    </row>
    <row r="10627" spans="1:44" hidden="1">
      <c r="A10627" s="1" t="s">
        <v>20073</v>
      </c>
      <c r="C10627" s="1">
        <v>1</v>
      </c>
      <c r="D10627" s="1" t="str">
        <f>"09038"</f>
        <v>09038</v>
      </c>
      <c r="E10627" s="1" t="s">
        <v>438</v>
      </c>
      <c r="F10627" s="1">
        <v>11</v>
      </c>
      <c r="G10627" s="1">
        <v>6</v>
      </c>
      <c r="H10627" s="1">
        <v>2</v>
      </c>
      <c r="I10627" s="1" t="s">
        <v>21329</v>
      </c>
      <c r="K10627" s="1" t="str">
        <f t="shared" si="659"/>
        <v>ㄕ</v>
      </c>
      <c r="L10627" s="1" t="str">
        <f t="shared" si="660"/>
        <v>ㄥ</v>
      </c>
      <c r="N10627" s="3" t="s">
        <v>30574</v>
      </c>
      <c r="O10627" s="3"/>
      <c r="P10627" s="1" t="s">
        <v>20</v>
      </c>
      <c r="R10627" s="1" t="s">
        <v>21330</v>
      </c>
      <c r="V10627" s="1" t="s">
        <v>21333</v>
      </c>
      <c r="W10627" s="1" t="s">
        <v>21334</v>
      </c>
      <c r="AR10627" s="1" t="str">
        <f t="shared" ref="AR10627:AR10690" si="661">"| ["&amp;I10627&amp;"]("&amp;I10627&amp;".md) | ["&amp;A10627&amp;"]("&amp;A10627&amp;".md) | "&amp;" | "&amp;R10627&amp;" | "&amp;V10627&amp;" |"</f>
        <v>| [ㄕㄥˋ](ㄕㄥˋ.md) | [盛](盛.md) |  | shèng | [形]
1.興旺、繁茂、豐富。如：「興盛」、「旺盛」、「茂盛」、「豐盛」、「盛饌」。
2.濃厚的。如：「盛情」、「盛意」。
3.大規模的。如：「盛大」、「盛舉」、「盛事」。
[副]
極，表程度之深。如：「盛怒」、「盛誇」、「盛贊」。《三國演義》第二三回：「曄盛稱操德，且曰：『丞相若記舊怨，安肯使某來結好將軍乎？』」
[名]
姓。如漢代有盛苞。 |</v>
      </c>
    </row>
    <row r="10628" spans="1:44" hidden="1">
      <c r="A10628" s="1" t="s">
        <v>20098</v>
      </c>
      <c r="C10628" s="1">
        <v>1</v>
      </c>
      <c r="D10628" s="1" t="str">
        <f>"09039"</f>
        <v>09039</v>
      </c>
      <c r="E10628" s="1" t="s">
        <v>1663</v>
      </c>
      <c r="F10628" s="1">
        <v>10</v>
      </c>
      <c r="G10628" s="1">
        <v>9</v>
      </c>
      <c r="H10628" s="1">
        <v>2</v>
      </c>
      <c r="I10628" s="1" t="s">
        <v>21329</v>
      </c>
      <c r="K10628" s="1" t="str">
        <f t="shared" si="659"/>
        <v>ㄕ</v>
      </c>
      <c r="L10628" s="1" t="str">
        <f t="shared" si="660"/>
        <v>ㄥ</v>
      </c>
      <c r="N10628" s="3" t="s">
        <v>30574</v>
      </c>
      <c r="O10628" s="3"/>
      <c r="P10628" s="1" t="s">
        <v>20</v>
      </c>
      <c r="R10628" s="1" t="s">
        <v>21330</v>
      </c>
      <c r="V10628" s="1" t="s">
        <v>21335</v>
      </c>
      <c r="W10628" s="1" t="s">
        <v>21336</v>
      </c>
      <c r="AR10628" s="1" t="str">
        <f t="shared" si="661"/>
        <v>| [ㄕㄥˋ](ㄕㄥˋ.md) | [乘](乘.md) |  | shèng | [名]
1.量詞。古代計算車輛的單位。如：「萬乘之國」、「百乘之家」。
2.史書。如：「史乘」。《孟子．離婁下》：「晉之乘，楚之檮杌，魯之春秋，一也。」
3.佛教用語。本是車乘之意，用來譬喻教法，以其能載修行者到達解脫的境界。如：「大乘」、「小乘」。 |</v>
      </c>
    </row>
    <row r="10629" spans="1:44" hidden="1">
      <c r="A10629" s="1" t="s">
        <v>21337</v>
      </c>
      <c r="C10629" s="1">
        <v>1</v>
      </c>
      <c r="D10629" s="1" t="str">
        <f>"09040"</f>
        <v>09040</v>
      </c>
      <c r="E10629" s="1" t="s">
        <v>185</v>
      </c>
      <c r="F10629" s="1">
        <v>12</v>
      </c>
      <c r="G10629" s="1">
        <v>10</v>
      </c>
      <c r="H10629" s="1">
        <v>0</v>
      </c>
      <c r="I10629" s="1" t="s">
        <v>21329</v>
      </c>
      <c r="K10629" s="1" t="str">
        <f t="shared" si="659"/>
        <v>ㄕ</v>
      </c>
      <c r="L10629" s="1" t="str">
        <f t="shared" si="660"/>
        <v>ㄥ</v>
      </c>
      <c r="N10629" s="3" t="s">
        <v>30574</v>
      </c>
      <c r="O10629" s="3"/>
      <c r="P10629" s="1" t="s">
        <v>20</v>
      </c>
      <c r="R10629" s="1" t="s">
        <v>21330</v>
      </c>
      <c r="V10629" s="1" t="s">
        <v>21338</v>
      </c>
      <c r="AR10629" s="1" t="str">
        <f t="shared" si="661"/>
        <v>| [ㄕㄥˋ](ㄕㄥˋ.md) | [剩](剩.md) |  | shèng | [形]
多餘的。如：「剩飯」、「剩菜」。
[動]
多餘、餘留。如：「人都走光了，只剩下他一個人。」 |</v>
      </c>
    </row>
    <row r="10630" spans="1:44" hidden="1">
      <c r="A10630" s="1" t="s">
        <v>21339</v>
      </c>
      <c r="C10630" s="1">
        <v>1</v>
      </c>
      <c r="D10630" s="1" t="str">
        <f>"09041"</f>
        <v>09041</v>
      </c>
      <c r="E10630" s="1" t="s">
        <v>190</v>
      </c>
      <c r="F10630" s="1">
        <v>13</v>
      </c>
      <c r="G10630" s="1">
        <v>10</v>
      </c>
      <c r="H10630" s="1">
        <v>0</v>
      </c>
      <c r="I10630" s="1" t="s">
        <v>21329</v>
      </c>
      <c r="K10630" s="1" t="str">
        <f t="shared" si="659"/>
        <v>ㄕ</v>
      </c>
      <c r="L10630" s="1" t="str">
        <f t="shared" si="660"/>
        <v>ㄥ</v>
      </c>
      <c r="N10630" s="3" t="s">
        <v>30574</v>
      </c>
      <c r="O10630" s="3"/>
      <c r="P10630" s="1" t="s">
        <v>20</v>
      </c>
      <c r="R10630" s="1" t="s">
        <v>21330</v>
      </c>
      <c r="V10630" s="1" t="s">
        <v>21340</v>
      </c>
      <c r="AR10630" s="1" t="str">
        <f t="shared" si="661"/>
        <v>| [ㄕㄥˋ](ㄕㄥˋ.md) | [嵊](嵊.md) |  | shèng | 參見「嵊縣」條。 |</v>
      </c>
    </row>
    <row r="10631" spans="1:44" hidden="1">
      <c r="A10631" s="1" t="s">
        <v>21309</v>
      </c>
      <c r="C10631" s="1">
        <v>1</v>
      </c>
      <c r="D10631" s="1" t="str">
        <f>"09042"</f>
        <v>09042</v>
      </c>
      <c r="E10631" s="1" t="s">
        <v>245</v>
      </c>
      <c r="F10631" s="1">
        <v>12</v>
      </c>
      <c r="G10631" s="1">
        <v>10</v>
      </c>
      <c r="H10631" s="1">
        <v>1</v>
      </c>
      <c r="I10631" s="1" t="s">
        <v>21329</v>
      </c>
      <c r="K10631" s="1" t="str">
        <f t="shared" si="659"/>
        <v>ㄕ</v>
      </c>
      <c r="L10631" s="1" t="str">
        <f t="shared" si="660"/>
        <v>ㄥ</v>
      </c>
      <c r="N10631" s="3" t="s">
        <v>30574</v>
      </c>
      <c r="O10631" s="3"/>
      <c r="P10631" s="1" t="s">
        <v>20</v>
      </c>
      <c r="R10631" s="1" t="s">
        <v>21330</v>
      </c>
      <c r="V10631" s="1" t="s">
        <v>21341</v>
      </c>
      <c r="W10631" s="1" t="s">
        <v>21342</v>
      </c>
      <c r="AR10631" s="1" t="str">
        <f t="shared" si="661"/>
        <v>| [ㄕㄥˋ](ㄕㄥˋ.md) | [勝](勝.md) |  | shèng | [動]
1.占優勢。如：「勝利」、「戰勝」、「勝訴」。《孟子．梁惠王上》：「鄒人與楚人戰，則王以為孰勝？」
2.超越。如：「略勝一籌」。《論語．雍也》：「質勝文則野，文勝質則史。」唐．杜甫〈北征〉詩：「平生所嬌兒，顏色白勝雪。」
3.克制、制服。《論語．子路》：「善人為邦百年，亦可以勝殘去殺矣。」《呂氏春秋．季春紀．先己》：「故欲勝人者，必先自勝。」
[形]
美好的、優越的。如：「勝會」、「勝地」、「名山勝景」。 |</v>
      </c>
    </row>
    <row r="10632" spans="1:44" hidden="1">
      <c r="A10632" s="1" t="s">
        <v>21343</v>
      </c>
      <c r="C10632" s="1">
        <v>1</v>
      </c>
      <c r="D10632" s="1" t="str">
        <f>"09043"</f>
        <v>09043</v>
      </c>
      <c r="E10632" s="1" t="s">
        <v>505</v>
      </c>
      <c r="F10632" s="1">
        <v>17</v>
      </c>
      <c r="G10632" s="1">
        <v>10</v>
      </c>
      <c r="H10632" s="1">
        <v>0</v>
      </c>
      <c r="I10632" s="1" t="s">
        <v>21329</v>
      </c>
      <c r="K10632" s="1" t="str">
        <f t="shared" si="659"/>
        <v>ㄕ</v>
      </c>
      <c r="L10632" s="1" t="str">
        <f t="shared" si="660"/>
        <v>ㄥ</v>
      </c>
      <c r="N10632" s="3" t="s">
        <v>30574</v>
      </c>
      <c r="O10632" s="3"/>
      <c r="P10632" s="1" t="s">
        <v>20</v>
      </c>
      <c r="R10632" s="1" t="s">
        <v>21330</v>
      </c>
      <c r="V10632" s="1" t="s">
        <v>21344</v>
      </c>
      <c r="AR10632" s="1" t="str">
        <f t="shared" si="661"/>
        <v>| [ㄕㄥˋ](ㄕㄥˋ.md) | [賸](賸.md) |  | shèng | [形]
餘留下來的。通「剩」。《新唐書．卷二〇一．文藝傳上．杜甫傳》：「殘膏賸馥，沾丐後人多矣。」
[副]
1.只管。宋．晏幾道〈鷓鴣天．彩袖殷勤捧玉鍾〉詞：「今宵賸把銀釭照，猶恐相逢是夢中。」
2.多。宋．辛棄疾〈賀新郎．踏入門前柳〉詞：「鳥倦飛還平林去，雲肯無心出岫。賸準備、新詩幾首。」元．曾端〈端正好．一枕夢魂驚套．二煞〉：「飽養雞豚，廣栽桃李，多植桑麻，賸種粳禾。」 |</v>
      </c>
    </row>
    <row r="10633" spans="1:44" hidden="1">
      <c r="A10633" s="1" t="s">
        <v>21345</v>
      </c>
      <c r="C10633" s="1">
        <v>1</v>
      </c>
      <c r="D10633" s="1" t="str">
        <f>"09044"</f>
        <v>09044</v>
      </c>
      <c r="E10633" s="1" t="s">
        <v>2419</v>
      </c>
      <c r="F10633" s="1">
        <v>13</v>
      </c>
      <c r="G10633" s="1">
        <v>7</v>
      </c>
      <c r="H10633" s="1">
        <v>0</v>
      </c>
      <c r="I10633" s="1" t="s">
        <v>21329</v>
      </c>
      <c r="K10633" s="1" t="str">
        <f t="shared" si="659"/>
        <v>ㄕ</v>
      </c>
      <c r="L10633" s="1" t="str">
        <f t="shared" si="660"/>
        <v>ㄥ</v>
      </c>
      <c r="N10633" s="3" t="s">
        <v>30574</v>
      </c>
      <c r="O10633" s="3"/>
      <c r="P10633" s="1" t="s">
        <v>20</v>
      </c>
      <c r="R10633" s="1" t="s">
        <v>21330</v>
      </c>
      <c r="V10633" s="1" t="s">
        <v>21346</v>
      </c>
      <c r="AR10633" s="1" t="str">
        <f t="shared" si="661"/>
        <v>| [ㄕㄥˋ](ㄕㄥˋ.md) | [聖](聖.md) |  | shèng | [名]
1.德行高尚、博通事理的人。《論語．子罕》：「固天縱之將聖，又多能也。」晉．夏侯湛〈閔子騫贊〉：「聖既擬天，賢亦希聖。」
2.通稱在學識或技藝上有很深造詣的人。如：「詩聖」、「樂聖」。
[形]
1.品德崇高、通達事理。如：「聖人」、「神聖」。
2.君主的。如：「聖恩」、「聖旨」。 |</v>
      </c>
    </row>
    <row r="10634" spans="1:44" hidden="1">
      <c r="A10634" s="1" t="s">
        <v>3677</v>
      </c>
      <c r="C10634" s="1">
        <v>1</v>
      </c>
      <c r="D10634" s="1" t="str">
        <f>"09032"</f>
        <v>09032</v>
      </c>
      <c r="E10634" s="1" t="s">
        <v>129</v>
      </c>
      <c r="F10634" s="1">
        <v>16</v>
      </c>
      <c r="G10634" s="1">
        <v>13</v>
      </c>
      <c r="H10634" s="1">
        <v>2</v>
      </c>
      <c r="I10634" s="1" t="s">
        <v>21314</v>
      </c>
      <c r="K10634" s="1" t="str">
        <f t="shared" si="659"/>
        <v>ㄕ</v>
      </c>
      <c r="L10634" s="1" t="str">
        <f t="shared" si="660"/>
        <v>ㄥ</v>
      </c>
      <c r="N10634" s="3" t="s">
        <v>30575</v>
      </c>
      <c r="O10634" s="3"/>
      <c r="P10634" s="1" t="s">
        <v>20</v>
      </c>
      <c r="R10634" s="1" t="s">
        <v>21315</v>
      </c>
      <c r="V10634" s="1" t="s">
        <v>21316</v>
      </c>
      <c r="W10634" s="1" t="s">
        <v>21317</v>
      </c>
      <c r="AR10634" s="1" t="str">
        <f t="shared" si="661"/>
        <v>| [ㄕㄥˊ](ㄕㄥˊ.md) | [澠](澠.md) |  | shéng | [名]
河川名。源出大陸地區山東省臨淄縣西北古齊城外，西北流經博興縣東南，注入時水。 |</v>
      </c>
    </row>
    <row r="10635" spans="1:44" hidden="1">
      <c r="A10635" s="1" t="s">
        <v>21318</v>
      </c>
      <c r="C10635" s="1">
        <v>1</v>
      </c>
      <c r="D10635" s="1" t="str">
        <f>"09033"</f>
        <v>09033</v>
      </c>
      <c r="E10635" s="1" t="s">
        <v>725</v>
      </c>
      <c r="F10635" s="1">
        <v>19</v>
      </c>
      <c r="G10635" s="1">
        <v>13</v>
      </c>
      <c r="H10635" s="1">
        <v>0</v>
      </c>
      <c r="I10635" s="1" t="s">
        <v>21314</v>
      </c>
      <c r="K10635" s="1" t="str">
        <f t="shared" si="659"/>
        <v>ㄕ</v>
      </c>
      <c r="L10635" s="1" t="str">
        <f t="shared" si="660"/>
        <v>ㄥ</v>
      </c>
      <c r="N10635" s="3" t="s">
        <v>30575</v>
      </c>
      <c r="O10635" s="3"/>
      <c r="P10635" s="1" t="s">
        <v>20</v>
      </c>
      <c r="R10635" s="1" t="s">
        <v>21315</v>
      </c>
      <c r="V10635" s="1" t="s">
        <v>21319</v>
      </c>
      <c r="AR10635" s="1" t="str">
        <f t="shared" si="661"/>
        <v>| [ㄕㄥˊ](ㄕㄥˊ.md) | [繩](繩.md) |  | shéng | [名]
1.用兩股以上的麻、絲、草或尼龍絲、金屬絲絞揉成的長條物。如：「麻繩」、「草繩」、「尼龍繩」。
2.繩墨，木匠用以取直的工具。《荀子．勸學》：「木直中繩，輮以為輪。」
3.規矩、準則。如：「準繩」。《淮南子．天文》：「其佐后土，執繩而制四方。」
4.姓。如明代有繩服。
[動]
1.約束、制裁。如：「繩之以法」。《史記．卷六．秦始皇本紀》：「天下初定，遠方黔首未集，諸生皆誦法孔子，今上皆重法繩之，臣恐天下不安。唯上察之。」
2.糾正。三國魏．嵇康〈釋私論〉：「今執必公之理，以繩不公之情。」
3.衡量。《禮記．樂記》：「省其文采，以繩德厚。」漢．鄭玄．注：「繩，猶度也。」唐．孔穎達．正義：「繩是量度之物，經云以繩德厚謂度量之以道德仁厚。」
4.繼承。《詩經．大雅．下武》：「昭茲來許，繩其祖武。」 |</v>
      </c>
    </row>
    <row r="10636" spans="1:44" hidden="1">
      <c r="A10636" s="1" t="s">
        <v>21320</v>
      </c>
      <c r="C10636" s="1">
        <v>1</v>
      </c>
      <c r="D10636" s="1" t="str">
        <f>"09034"</f>
        <v>09034</v>
      </c>
      <c r="E10636" s="1" t="s">
        <v>1381</v>
      </c>
      <c r="F10636" s="1">
        <v>8</v>
      </c>
      <c r="G10636" s="1">
        <v>6</v>
      </c>
      <c r="H10636" s="1">
        <v>1</v>
      </c>
      <c r="I10636" s="1" t="s">
        <v>21321</v>
      </c>
      <c r="K10636" s="1" t="str">
        <f t="shared" si="659"/>
        <v>ㄕ</v>
      </c>
      <c r="L10636" s="1" t="str">
        <f t="shared" si="660"/>
        <v>ㄥ</v>
      </c>
      <c r="N10636" s="3" t="s">
        <v>30576</v>
      </c>
      <c r="O10636" s="3"/>
      <c r="P10636" s="1" t="s">
        <v>20</v>
      </c>
      <c r="R10636" s="1" t="s">
        <v>21322</v>
      </c>
      <c r="V10636" s="1" t="s">
        <v>21323</v>
      </c>
      <c r="W10636" s="1" t="s">
        <v>21324</v>
      </c>
      <c r="AR10636" s="1" t="str">
        <f t="shared" si="661"/>
        <v>| [ㄕㄥˇ](ㄕㄥˇ.md) | [冼](冼.md) |  | shěng | [形]
𠗌冼：寒冷的樣子。《集韻．上聲．拯韻》：「冼，𠗌冼，寒貌。」 |</v>
      </c>
    </row>
    <row r="10637" spans="1:44" hidden="1">
      <c r="A10637" s="1" t="s">
        <v>17192</v>
      </c>
      <c r="C10637" s="1">
        <v>1</v>
      </c>
      <c r="D10637" s="1" t="str">
        <f>"09035"</f>
        <v>09035</v>
      </c>
      <c r="E10637" s="1" t="s">
        <v>1015</v>
      </c>
      <c r="F10637" s="1">
        <v>9</v>
      </c>
      <c r="G10637" s="1">
        <v>4</v>
      </c>
      <c r="H10637" s="1">
        <v>1</v>
      </c>
      <c r="I10637" s="1" t="s">
        <v>21321</v>
      </c>
      <c r="K10637" s="1" t="str">
        <f t="shared" si="659"/>
        <v>ㄕ</v>
      </c>
      <c r="L10637" s="1" t="str">
        <f t="shared" si="660"/>
        <v>ㄥ</v>
      </c>
      <c r="N10637" s="3" t="s">
        <v>30576</v>
      </c>
      <c r="O10637" s="3"/>
      <c r="P10637" s="1" t="s">
        <v>20</v>
      </c>
      <c r="R10637" s="1" t="s">
        <v>21322</v>
      </c>
      <c r="V10637" s="1" t="s">
        <v>21325</v>
      </c>
      <c r="W10637" s="1" t="s">
        <v>21326</v>
      </c>
      <c r="AR10637" s="1" t="str">
        <f t="shared" si="661"/>
        <v>| [ㄕㄥˇ](ㄕㄥˇ.md) | [省](省.md) |  | shěng | [名]
1.古代的一種行政機構名稱。如：「中書省」、「尚書省」、「門下省」。
2.地方行政區域的名稱之一。在縣之上。如：「臺灣省」、「福建省」。
3.宮禁。《三國演義》第二回：「中官統領禁省，漢家故事。」
[動]
1.節約。如：「節省」。《西遊記》第四七回：「你這等家業，也虧你省將起來的。」
2.減少、去掉。如：「省去一道不必要的手續。」
3.不要、休要。宋．黃庭堅〈江城子．畫堂高會酒闌珊〉詞：「倩人傳語問平安。省愁煩，淚休彈。」元．孟漢卿《魔合羅．楔子》：「你可便省煩惱，莫傷懷。」 |</v>
      </c>
    </row>
    <row r="10638" spans="1:44" hidden="1">
      <c r="A10638" s="1" t="s">
        <v>21327</v>
      </c>
      <c r="C10638" s="1">
        <v>1</v>
      </c>
      <c r="D10638" s="1" t="str">
        <f>"09036"</f>
        <v>09036</v>
      </c>
      <c r="E10638" s="1" t="s">
        <v>1015</v>
      </c>
      <c r="F10638" s="1">
        <v>10</v>
      </c>
      <c r="G10638" s="1">
        <v>5</v>
      </c>
      <c r="H10638" s="1">
        <v>0</v>
      </c>
      <c r="I10638" s="1" t="s">
        <v>21321</v>
      </c>
      <c r="K10638" s="1" t="str">
        <f t="shared" si="659"/>
        <v>ㄕ</v>
      </c>
      <c r="L10638" s="1" t="str">
        <f t="shared" si="660"/>
        <v>ㄥ</v>
      </c>
      <c r="N10638" s="3" t="s">
        <v>30576</v>
      </c>
      <c r="O10638" s="3"/>
      <c r="P10638" s="1" t="s">
        <v>20</v>
      </c>
      <c r="R10638" s="1" t="s">
        <v>21322</v>
      </c>
      <c r="V10638" s="1" t="s">
        <v>21328</v>
      </c>
      <c r="AR10638" s="1" t="str">
        <f t="shared" si="661"/>
        <v>| [ㄕㄥˇ](ㄕㄥˇ.md) | [眚](眚.md) |  | shěng | [名]
1.眼睛長了遮蔽視線的病。《說文解字．目部》：「眚，目病生翳也。」
2.疾病、疾苦。唐．沈既濟《任氏傳》：「鄭子如市，果見一人牽馬求售者，眚在左股。」
3.過失。《左傳．僖公三十三年》：「大夫何罪？且吾不以一眚掩大德。」
4.災禍、災難。《易經．訟卦．九二》：「不克訟，歸而逋其邑，人三百戶無眚。」
[動]
減省。通「省」。《說文解字．目部》「眚」字．清．段玉裁．注：「眚，又假為減省之省。」《周禮．地官．大司徒》：「七曰眚禮。」唐．賈公彥．疏：「眚禮者，謂吉禮之中眚其禮數。」 |</v>
      </c>
    </row>
    <row r="10639" spans="1:44" hidden="1">
      <c r="A10639" s="1" t="s">
        <v>21440</v>
      </c>
      <c r="C10639" s="1">
        <v>1</v>
      </c>
      <c r="D10639" s="1" t="str">
        <f>"09087"</f>
        <v>09087</v>
      </c>
      <c r="E10639" s="1" t="s">
        <v>4785</v>
      </c>
      <c r="F10639" s="1">
        <v>6</v>
      </c>
      <c r="G10639" s="1">
        <v>2</v>
      </c>
      <c r="H10639" s="1">
        <v>0</v>
      </c>
      <c r="I10639" s="1" t="s">
        <v>21441</v>
      </c>
      <c r="K10639" s="1" t="str">
        <f t="shared" si="659"/>
        <v>ㄕ</v>
      </c>
      <c r="L10639" s="1" t="str">
        <f t="shared" si="660"/>
        <v>ㄨ</v>
      </c>
      <c r="N10639" s="3" t="s">
        <v>30574</v>
      </c>
      <c r="O10639" s="3"/>
      <c r="P10639" s="1" t="s">
        <v>20</v>
      </c>
      <c r="R10639" s="1" t="s">
        <v>21442</v>
      </c>
      <c r="V10639" s="1" t="s">
        <v>21443</v>
      </c>
      <c r="AR10639" s="1" t="str">
        <f t="shared" si="661"/>
        <v>| [ㄕㄨˋ](ㄕㄨˋ.md) | [戍](戍.md) |  | shù | [動]
以兵卒防守邊疆。如：「戍守」。《左傳．僖公三十年》：「秦伯說，與鄭人盟，使杞子、逢孫、楊孫戍之乃還。」宋．陸游〈十一月四日風雨大作〉詩：「僵臥孤村不自哀，尚思為國戍輪臺。」
[名]
1.守衛的人。《史記．卷六．秦始皇本紀》：「為桂林、象郡、南海，以適遣戍。」宋．陸游〈悲秋〉詩八首之一：「可使江淮間，歲歲常列戍。」
2.軍隊駐守的營房。《晉書．卷七三．庾亮傳》：「其謝尚、王愆期等，悉令還據本戍。」唐．元結〈欸乃曲〉五首之二：「唱橈欲過平陽戍，守吏相呼問姓名。」 |</v>
      </c>
    </row>
    <row r="10640" spans="1:44" hidden="1">
      <c r="A10640" s="1" t="s">
        <v>21444</v>
      </c>
      <c r="C10640" s="1">
        <v>1</v>
      </c>
      <c r="D10640" s="1" t="str">
        <f>"09088"</f>
        <v>09088</v>
      </c>
      <c r="E10640" s="1" t="s">
        <v>139</v>
      </c>
      <c r="F10640" s="1">
        <v>7</v>
      </c>
      <c r="G10640" s="1">
        <v>3</v>
      </c>
      <c r="H10640" s="1">
        <v>0</v>
      </c>
      <c r="I10640" s="1" t="s">
        <v>21441</v>
      </c>
      <c r="K10640" s="1" t="str">
        <f t="shared" si="659"/>
        <v>ㄕ</v>
      </c>
      <c r="L10640" s="1" t="str">
        <f t="shared" si="660"/>
        <v>ㄨ</v>
      </c>
      <c r="N10640" s="3" t="s">
        <v>30574</v>
      </c>
      <c r="O10640" s="3"/>
      <c r="P10640" s="1" t="s">
        <v>20</v>
      </c>
      <c r="R10640" s="1" t="s">
        <v>21442</v>
      </c>
      <c r="V10640" s="1" t="s">
        <v>21445</v>
      </c>
      <c r="AR10640" s="1" t="str">
        <f t="shared" si="661"/>
        <v>| [ㄕㄨˋ](ㄕㄨˋ.md) | [束](束.md) |  | shù | [名]
1.量詞。計算成束物品的單位。如：「一束鮮花」。
2.聚集成一束的東西。如：「花束」、「光束」。
3.姓。如晉代有束晳。
[動]
1.捆縛、捆紮。如：「以帶束腰」、「束緊」。
2.限制、管制。如：「無拘無束」、「管束」、「約束」、「拘束」。
3.整理、收拾。如：「束裝」。《戰國策．燕策二》：「老婦不知長者之計，乃命公子束車製衣為行具。」宋．陸游〈蜀州大閱〉詩：「曉束戎衣一悵然，五年奔走遍窮邊。」 |</v>
      </c>
    </row>
    <row r="10641" spans="1:44" hidden="1">
      <c r="A10641" s="1" t="s">
        <v>21446</v>
      </c>
      <c r="C10641" s="1">
        <v>1</v>
      </c>
      <c r="D10641" s="1" t="str">
        <f>"09089"</f>
        <v>09089</v>
      </c>
      <c r="E10641" s="1" t="s">
        <v>129</v>
      </c>
      <c r="F10641" s="1">
        <v>14</v>
      </c>
      <c r="G10641" s="1">
        <v>11</v>
      </c>
      <c r="H10641" s="1">
        <v>1</v>
      </c>
      <c r="I10641" s="1" t="s">
        <v>21441</v>
      </c>
      <c r="K10641" s="1" t="str">
        <f t="shared" si="659"/>
        <v>ㄕ</v>
      </c>
      <c r="L10641" s="1" t="str">
        <f t="shared" si="660"/>
        <v>ㄨ</v>
      </c>
      <c r="N10641" s="3" t="s">
        <v>30574</v>
      </c>
      <c r="O10641" s="3"/>
      <c r="P10641" s="1" t="s">
        <v>186</v>
      </c>
      <c r="R10641" s="1" t="s">
        <v>21442</v>
      </c>
      <c r="V10641" s="1" t="s">
        <v>21447</v>
      </c>
      <c r="W10641" s="1" t="s">
        <v>21448</v>
      </c>
      <c r="AR10641" s="1" t="str">
        <f t="shared" si="661"/>
        <v>| [ㄕㄨˋ](ㄕㄨˋ.md) | [漱](漱.md) |  | shù | [動]
1.含水洗滌口腔。如：「盥漱」、「飯前洗手，飯後漱口。」唐．柳宗元〈晨詣超師院讀禪經〉詩：「汲井漱寒齒，清心拂塵服。」
2.洗滌。《禮記．曲禮上》：「諸母不漱裳。」
3.沖刷、沖蝕。漢．馬融〈長笛賦〉：「秋潦漱其下趾兮，冬雪揣封乎其枝。」唐．孟郊〈遊韋七洞庭別業〉詩：「波濤漱古岸，鏗鏘辨奇石。」 |</v>
      </c>
    </row>
    <row r="10642" spans="1:44" hidden="1">
      <c r="A10642" s="1" t="s">
        <v>21449</v>
      </c>
      <c r="C10642" s="1">
        <v>1</v>
      </c>
      <c r="D10642" s="1" t="str">
        <f>"09090"</f>
        <v>09090</v>
      </c>
      <c r="E10642" s="1" t="s">
        <v>129</v>
      </c>
      <c r="F10642" s="1">
        <v>8</v>
      </c>
      <c r="G10642" s="1">
        <v>5</v>
      </c>
      <c r="H10642" s="1">
        <v>0</v>
      </c>
      <c r="I10642" s="1" t="s">
        <v>21441</v>
      </c>
      <c r="K10642" s="1" t="str">
        <f t="shared" si="659"/>
        <v>ㄕ</v>
      </c>
      <c r="L10642" s="1" t="str">
        <f t="shared" si="660"/>
        <v>ㄨ</v>
      </c>
      <c r="N10642" s="3" t="s">
        <v>30574</v>
      </c>
      <c r="O10642" s="3"/>
      <c r="P10642" s="1" t="s">
        <v>20</v>
      </c>
      <c r="R10642" s="1" t="s">
        <v>21442</v>
      </c>
      <c r="V10642" s="1" t="s">
        <v>21450</v>
      </c>
      <c r="AR10642" s="1" t="str">
        <f t="shared" si="661"/>
        <v>| [ㄕㄨˋ](ㄕㄨˋ.md) | [沭](沭.md) |  | shù | 參見「沭河」條。 |</v>
      </c>
    </row>
    <row r="10643" spans="1:44" hidden="1">
      <c r="A10643" s="1" t="s">
        <v>21451</v>
      </c>
      <c r="C10643" s="1">
        <v>1</v>
      </c>
      <c r="D10643" s="1" t="str">
        <f>"09091"</f>
        <v>09091</v>
      </c>
      <c r="E10643" s="1" t="s">
        <v>558</v>
      </c>
      <c r="F10643" s="1">
        <v>9</v>
      </c>
      <c r="G10643" s="1">
        <v>5</v>
      </c>
      <c r="H10643" s="1">
        <v>0</v>
      </c>
      <c r="I10643" s="1" t="s">
        <v>21441</v>
      </c>
      <c r="K10643" s="1" t="str">
        <f t="shared" si="659"/>
        <v>ㄕ</v>
      </c>
      <c r="L10643" s="1" t="str">
        <f t="shared" si="660"/>
        <v>ㄨ</v>
      </c>
      <c r="N10643" s="3" t="s">
        <v>30574</v>
      </c>
      <c r="O10643" s="3"/>
      <c r="P10643" s="1" t="s">
        <v>20</v>
      </c>
      <c r="R10643" s="1" t="s">
        <v>21442</v>
      </c>
      <c r="V10643" s="1" t="s">
        <v>21452</v>
      </c>
      <c r="AR10643" s="1" t="str">
        <f t="shared" si="661"/>
        <v>| [ㄕㄨˋ](ㄕㄨˋ.md) | [述](述.md) |  | shù | [動]
1.遵循。《說文解字．辵部》：「述，循也。」《漢書．卷三〇．藝文志》：「祖述堯舜，憲章文武。」唐．顏師古．注：「述，修也。言以堯舜為本始而遵修之。」
2.繼續別人的事業或闡述他人的學說。《論語．述而》：「述而不作，信而好古。」南朝梁．皇侃．疏：「述者，傳於舊章也。」
3.說明、記敘。如：「口述」、「描述」。清．方苞〈左忠毅公軼事〉：「後常流淚述其事以語人曰：『吾師肺肝，皆鐵石所鑄造也。』」 |</v>
      </c>
    </row>
    <row r="10644" spans="1:44" hidden="1">
      <c r="A10644" s="1" t="s">
        <v>21453</v>
      </c>
      <c r="C10644" s="1">
        <v>1</v>
      </c>
      <c r="D10644" s="1" t="str">
        <f>"09092"</f>
        <v>09092</v>
      </c>
      <c r="E10644" s="1" t="s">
        <v>7105</v>
      </c>
      <c r="F10644" s="1">
        <v>11</v>
      </c>
      <c r="G10644" s="1">
        <v>5</v>
      </c>
      <c r="H10644" s="1">
        <v>1</v>
      </c>
      <c r="I10644" s="1" t="s">
        <v>21441</v>
      </c>
      <c r="K10644" s="1" t="str">
        <f t="shared" si="659"/>
        <v>ㄕ</v>
      </c>
      <c r="L10644" s="1" t="str">
        <f t="shared" si="660"/>
        <v>ㄨ</v>
      </c>
      <c r="N10644" s="3" t="s">
        <v>30574</v>
      </c>
      <c r="O10644" s="3"/>
      <c r="P10644" s="1" t="s">
        <v>20</v>
      </c>
      <c r="R10644" s="1" t="s">
        <v>21442</v>
      </c>
      <c r="V10644" s="1" t="s">
        <v>21454</v>
      </c>
      <c r="W10644" s="1" t="s">
        <v>21455</v>
      </c>
      <c r="AR10644" s="1" t="str">
        <f t="shared" si="661"/>
        <v>| [ㄕㄨˋ](ㄕㄨˋ.md) | [術](術.md) |  | shù | [名]
1.邑中通行的道路。《墨子．旗幟》：「巷術周道者必為之門。門二人守之，非有信符，勿行。」《文選．左思．詠史詩八首之四》：「冠蓋陰四術，朱輪竟長衢。」
2.技藝。如：「武術」、「美術」、「技術」。晉．陶淵明〈詠荊軻〉詩：「惜哉劍術疏，奇功遂不成。」
3.方法、策略。如：「戰術」、「權術」、「算術」。《韓非子．定法》：「術者，因任而授官，循名而責實，操殺生之柄，課群臣之能者也。此人主之所執也。」 |</v>
      </c>
    </row>
    <row r="10645" spans="1:44" hidden="1">
      <c r="A10645" s="1" t="s">
        <v>21456</v>
      </c>
      <c r="C10645" s="1">
        <v>1</v>
      </c>
      <c r="D10645" s="1" t="str">
        <f>"09093"</f>
        <v>09093</v>
      </c>
      <c r="E10645" s="1" t="s">
        <v>55</v>
      </c>
      <c r="F10645" s="1">
        <v>13</v>
      </c>
      <c r="G10645" s="1">
        <v>5</v>
      </c>
      <c r="H10645" s="1">
        <v>0</v>
      </c>
      <c r="I10645" s="1" t="s">
        <v>21441</v>
      </c>
      <c r="K10645" s="1" t="str">
        <f t="shared" si="659"/>
        <v>ㄕ</v>
      </c>
      <c r="L10645" s="1" t="str">
        <f t="shared" si="660"/>
        <v>ㄨ</v>
      </c>
      <c r="N10645" s="3" t="s">
        <v>30574</v>
      </c>
      <c r="O10645" s="3"/>
      <c r="P10645" s="1" t="s">
        <v>20</v>
      </c>
      <c r="R10645" s="1" t="s">
        <v>21442</v>
      </c>
      <c r="V10645" s="1" t="s">
        <v>21457</v>
      </c>
      <c r="AR10645" s="1" t="str">
        <f t="shared" si="661"/>
        <v>| [ㄕㄨˋ](ㄕㄨˋ.md) | [鉥](鉥.md) |  | shù | [名]
長針。《玉篇．金部》：「鉥，長針也。」《管子．輕重乙》：「一女必有一刀、一錐、一箴、一鉥，然後成為女。」
[動]
1.刺。唐．韓愈〈貞曜先生墓誌銘〉：「及其為詩，劌目鉥心。」
2.引導。《國語．晉語二》：「子盍入乎？吾請為子鉥。」三國吳．韋昭．注：「鉥，道也。」唐．柳宗元〈夢歸賦〉：「若有鉥余以往路兮，馭儗儗以回復。」 |</v>
      </c>
    </row>
    <row r="10646" spans="1:44" hidden="1">
      <c r="A10646" s="1" t="s">
        <v>21458</v>
      </c>
      <c r="C10646" s="1">
        <v>1</v>
      </c>
      <c r="D10646" s="1" t="str">
        <f>"09094"</f>
        <v>09094</v>
      </c>
      <c r="E10646" s="1" t="s">
        <v>250</v>
      </c>
      <c r="F10646" s="1">
        <v>10</v>
      </c>
      <c r="G10646" s="1">
        <v>6</v>
      </c>
      <c r="H10646" s="1">
        <v>0</v>
      </c>
      <c r="I10646" s="1" t="s">
        <v>21441</v>
      </c>
      <c r="K10646" s="1" t="str">
        <f t="shared" si="659"/>
        <v>ㄕ</v>
      </c>
      <c r="L10646" s="1" t="str">
        <f t="shared" si="660"/>
        <v>ㄨ</v>
      </c>
      <c r="N10646" s="3" t="s">
        <v>30574</v>
      </c>
      <c r="O10646" s="3"/>
      <c r="P10646" s="1" t="s">
        <v>20</v>
      </c>
      <c r="R10646" s="1" t="s">
        <v>21442</v>
      </c>
      <c r="V10646" s="1" t="s">
        <v>21459</v>
      </c>
      <c r="AR10646" s="1" t="str">
        <f t="shared" si="661"/>
        <v>| [ㄕㄨˋ](ㄕㄨˋ.md) | [恕](恕.md) |  | shù | [名]
推己及人之道。《論語．衛靈公》：「其恕乎！己所不欲，勿施於人。」
[動]
寬宥、原諒。如：「饒恕」、「寬恕」。《水滸傳》第一三回：「如無紅葉，便是汝等虛妄，官府定行責罰不恕。」 |</v>
      </c>
    </row>
    <row r="10647" spans="1:44" hidden="1">
      <c r="A10647" s="1" t="s">
        <v>21460</v>
      </c>
      <c r="C10647" s="1">
        <v>1</v>
      </c>
      <c r="D10647" s="1" t="str">
        <f>"09095"</f>
        <v>09095</v>
      </c>
      <c r="E10647" s="1" t="s">
        <v>447</v>
      </c>
      <c r="F10647" s="1">
        <v>11</v>
      </c>
      <c r="G10647" s="1">
        <v>8</v>
      </c>
      <c r="H10647" s="1">
        <v>0</v>
      </c>
      <c r="I10647" s="1" t="s">
        <v>21441</v>
      </c>
      <c r="K10647" s="1" t="str">
        <f t="shared" si="659"/>
        <v>ㄕ</v>
      </c>
      <c r="L10647" s="1" t="str">
        <f t="shared" si="660"/>
        <v>ㄨ</v>
      </c>
      <c r="N10647" s="3" t="s">
        <v>30574</v>
      </c>
      <c r="O10647" s="3"/>
      <c r="P10647" s="1" t="s">
        <v>20</v>
      </c>
      <c r="R10647" s="1" t="s">
        <v>21442</v>
      </c>
      <c r="V10647" s="1" t="s">
        <v>21461</v>
      </c>
      <c r="AR10647" s="1" t="str">
        <f t="shared" si="661"/>
        <v>| [ㄕㄨˋ](ㄕㄨˋ.md) | [庶](庶.md) |  | shù | [形]
1.眾多。《爾雅．釋詁下》：「庶，眾也。」《詩經．小雅．小明》：「念我獨兮，我事孔庶。」《禮記．孔子閒居》：「地載神氣，神氣風霆，風霆流水，庶物露生，無非教也。」
2.旁支的、旁系的。參見「庶子」、「庶母」等條。
[名]
古代平民稱為「庶」。《左傳．昭公三十二年》：「三后之姓，于今為庶。」
[副]
相近、差不多。《論語．先進》：「回也，其庶乎！屢空。」三國魏．何晏．集解：「言回庶幾聖道，雖數空匱而樂在其中。」 |</v>
      </c>
    </row>
    <row r="10648" spans="1:44" hidden="1">
      <c r="A10648" s="1" t="s">
        <v>21462</v>
      </c>
      <c r="C10648" s="1">
        <v>1</v>
      </c>
      <c r="D10648" s="1" t="str">
        <f>"09096"</f>
        <v>09096</v>
      </c>
      <c r="E10648" s="1" t="s">
        <v>114</v>
      </c>
      <c r="F10648" s="1">
        <v>11</v>
      </c>
      <c r="G10648" s="1">
        <v>9</v>
      </c>
      <c r="H10648" s="1">
        <v>0</v>
      </c>
      <c r="I10648" s="1" t="s">
        <v>21441</v>
      </c>
      <c r="K10648" s="1" t="str">
        <f t="shared" si="659"/>
        <v>ㄕ</v>
      </c>
      <c r="L10648" s="1" t="str">
        <f t="shared" si="660"/>
        <v>ㄨ</v>
      </c>
      <c r="N10648" s="3" t="s">
        <v>30574</v>
      </c>
      <c r="O10648" s="3"/>
      <c r="P10648" s="1" t="s">
        <v>20</v>
      </c>
      <c r="R10648" s="1" t="s">
        <v>21442</v>
      </c>
      <c r="V10648" s="1" t="s">
        <v>21463</v>
      </c>
      <c r="AR10648" s="1" t="str">
        <f t="shared" si="661"/>
        <v>| [ㄕㄨˋ](ㄕㄨˋ.md) | [倏](倏.md) |  | shù | [副]
急速。《說文解字．犬部》「倏」字．清．段玉裁．注：「倏，引伸為凡忽然之詞。」唐．李白〈大鵬賦〉：「左迴右旋，倏陰忽明。」《紅樓夢》第一二回：「倏忽又臘盡春回，這病更又沉重。」 |</v>
      </c>
    </row>
    <row r="10649" spans="1:44" hidden="1">
      <c r="A10649" s="1" t="s">
        <v>16643</v>
      </c>
      <c r="C10649" s="1">
        <v>1</v>
      </c>
      <c r="D10649" s="1" t="str">
        <f>"09097"</f>
        <v>09097</v>
      </c>
      <c r="E10649" s="1" t="s">
        <v>2271</v>
      </c>
      <c r="F10649" s="1">
        <v>13</v>
      </c>
      <c r="G10649" s="1">
        <v>7</v>
      </c>
      <c r="H10649" s="1">
        <v>2</v>
      </c>
      <c r="I10649" s="1" t="s">
        <v>21441</v>
      </c>
      <c r="K10649" s="1" t="str">
        <f t="shared" si="659"/>
        <v>ㄕ</v>
      </c>
      <c r="L10649" s="1" t="str">
        <f t="shared" si="660"/>
        <v>ㄨ</v>
      </c>
      <c r="N10649" s="3" t="s">
        <v>30574</v>
      </c>
      <c r="O10649" s="3"/>
      <c r="P10649" s="1" t="s">
        <v>20</v>
      </c>
      <c r="R10649" s="1" t="s">
        <v>21442</v>
      </c>
      <c r="V10649" s="1" t="s">
        <v>21464</v>
      </c>
      <c r="W10649" s="1" t="s">
        <v>21465</v>
      </c>
      <c r="AR10649" s="1" t="str">
        <f t="shared" si="661"/>
        <v>| [ㄕㄨˋ](ㄕㄨˋ.md) | [翛](翛.md) |  | shù | 通「倏」。 |</v>
      </c>
    </row>
    <row r="10650" spans="1:44" hidden="1">
      <c r="A10650" s="1" t="s">
        <v>21466</v>
      </c>
      <c r="C10650" s="1">
        <v>1</v>
      </c>
      <c r="D10650" s="1" t="str">
        <f>"09098"</f>
        <v>09098</v>
      </c>
      <c r="E10650" s="1" t="s">
        <v>114</v>
      </c>
      <c r="F10650" s="1">
        <v>19</v>
      </c>
      <c r="G10650" s="1">
        <v>17</v>
      </c>
      <c r="H10650" s="1">
        <v>0</v>
      </c>
      <c r="I10650" s="1" t="s">
        <v>21441</v>
      </c>
      <c r="K10650" s="1" t="str">
        <f t="shared" si="659"/>
        <v>ㄕ</v>
      </c>
      <c r="L10650" s="1" t="str">
        <f t="shared" si="660"/>
        <v>ㄨ</v>
      </c>
      <c r="N10650" s="3" t="s">
        <v>30574</v>
      </c>
      <c r="O10650" s="3"/>
      <c r="P10650" s="1" t="s">
        <v>20</v>
      </c>
      <c r="R10650" s="1" t="s">
        <v>21442</v>
      </c>
      <c r="V10650" s="1" t="s">
        <v>21467</v>
      </c>
      <c r="AR10650" s="1" t="str">
        <f t="shared" si="661"/>
        <v>| [ㄕㄨˋ](ㄕㄨˋ.md) | [儵](儵.md) |  | shù | [副]
快速、急速。《楚辭．屈原．九歌．少司命》：「儵而來兮忽而逝。」《文選．謝朓．和王著作八公山詩》：「道峻芳塵流，業遙年運儵。」 |</v>
      </c>
    </row>
    <row r="10651" spans="1:44" hidden="1">
      <c r="A10651" s="1" t="s">
        <v>21373</v>
      </c>
      <c r="C10651" s="1">
        <v>1</v>
      </c>
      <c r="D10651" s="1" t="str">
        <f>"09099"</f>
        <v>09099</v>
      </c>
      <c r="E10651" s="1" t="s">
        <v>2173</v>
      </c>
      <c r="F10651" s="1">
        <v>11</v>
      </c>
      <c r="G10651" s="1">
        <v>6</v>
      </c>
      <c r="H10651" s="1">
        <v>3</v>
      </c>
      <c r="I10651" s="1" t="s">
        <v>21441</v>
      </c>
      <c r="K10651" s="1" t="str">
        <f t="shared" si="659"/>
        <v>ㄕ</v>
      </c>
      <c r="L10651" s="1" t="str">
        <f t="shared" si="660"/>
        <v>ㄨ</v>
      </c>
      <c r="N10651" s="3" t="s">
        <v>30574</v>
      </c>
      <c r="O10651" s="3"/>
      <c r="P10651" s="1" t="s">
        <v>20</v>
      </c>
      <c r="R10651" s="1" t="s">
        <v>21442</v>
      </c>
      <c r="V10651" s="1" t="s">
        <v>21468</v>
      </c>
      <c r="W10651" s="1" t="s">
        <v>21469</v>
      </c>
      <c r="AR10651" s="1" t="str">
        <f t="shared" si="661"/>
        <v>| [ㄕㄨˋ](ㄕㄨˋ.md) | [疏](疏.md) |  | shù | [名]
1.闡明經義或古注的文字。如：「注疏」、「義疏」。唐．柳冕〈與權德輿書〉：「其有明聖人之道，盡六經之意，而不能誦疏與注，一切棄之。」
2.古代臣下進呈君王的奏章。如：「上疏」。唐．杜甫〈秋興〉詩八首之三：「匡衡抗疏功名簿，劉向傳經心事違。」
3.書信。唐．杜甫〈潭州送韋員外牧韶州〉詩：「洞庭無過雁，書疏莫相忘。」
[動]
分條陳述、記錄。《漢書．卷五四．蘇建傳》：「初桀、安與大將軍霍光爭權，數疏光過失予燕王，令上書告之。」 |</v>
      </c>
    </row>
    <row r="10652" spans="1:44" hidden="1">
      <c r="A10652" s="1" t="s">
        <v>21470</v>
      </c>
      <c r="C10652" s="1">
        <v>1</v>
      </c>
      <c r="D10652" s="1" t="str">
        <f>"09100"</f>
        <v>09100</v>
      </c>
      <c r="E10652" s="1" t="s">
        <v>1595</v>
      </c>
      <c r="F10652" s="1">
        <v>12</v>
      </c>
      <c r="G10652" s="1">
        <v>9</v>
      </c>
      <c r="H10652" s="1">
        <v>0</v>
      </c>
      <c r="I10652" s="1" t="s">
        <v>21441</v>
      </c>
      <c r="K10652" s="1" t="str">
        <f t="shared" si="659"/>
        <v>ㄕ</v>
      </c>
      <c r="L10652" s="1" t="str">
        <f t="shared" si="660"/>
        <v>ㄨ</v>
      </c>
      <c r="N10652" s="3" t="s">
        <v>30574</v>
      </c>
      <c r="O10652" s="3"/>
      <c r="P10652" s="1" t="s">
        <v>20</v>
      </c>
      <c r="R10652" s="1" t="s">
        <v>21442</v>
      </c>
      <c r="V10652" s="1" t="s">
        <v>21471</v>
      </c>
      <c r="AR10652" s="1" t="str">
        <f t="shared" si="661"/>
        <v>| [ㄕㄨˋ](ㄕㄨˋ.md) | [尌](尌.md) |  | shù | [動]
豎立。通「樹」。《說文解字．壴部》：「尌，立也。」
[名]
姓。如春秋時鄭國有尌拊。 |</v>
      </c>
    </row>
    <row r="10653" spans="1:44" hidden="1">
      <c r="A10653" s="1" t="s">
        <v>21472</v>
      </c>
      <c r="C10653" s="1">
        <v>1</v>
      </c>
      <c r="D10653" s="1" t="str">
        <f>"09101"</f>
        <v>09101</v>
      </c>
      <c r="E10653" s="1" t="s">
        <v>129</v>
      </c>
      <c r="F10653" s="1">
        <v>15</v>
      </c>
      <c r="G10653" s="1">
        <v>12</v>
      </c>
      <c r="H10653" s="1">
        <v>0</v>
      </c>
      <c r="I10653" s="1" t="s">
        <v>21441</v>
      </c>
      <c r="K10653" s="1" t="str">
        <f t="shared" si="659"/>
        <v>ㄕ</v>
      </c>
      <c r="L10653" s="1" t="str">
        <f t="shared" si="660"/>
        <v>ㄨ</v>
      </c>
      <c r="N10653" s="3" t="s">
        <v>30574</v>
      </c>
      <c r="O10653" s="3"/>
      <c r="P10653" s="1" t="s">
        <v>20</v>
      </c>
      <c r="R10653" s="1" t="s">
        <v>21442</v>
      </c>
      <c r="V10653" s="1" t="s">
        <v>21473</v>
      </c>
      <c r="AR10653" s="1" t="str">
        <f t="shared" si="661"/>
        <v>| [ㄕㄨˋ](ㄕㄨˋ.md) | [澍](澍.md) |  | shù | [名]
及時的雨。宋．陸游〈喜雨〉詩：「樂哉甘澍及時至，九衢一洗塵沙黃。」
[動]
1.降、落。宋．王禹偁〈對雪示嘉祐〉詩：「秋來連澍百日雨，禾黍漂溺多不收。」《水滸傳》第九四回：「喬冽揭榜上壇，甘霖大澍。」
2.潤澤、滋潤。《淮南子．泰族》：「若春雨之灌萬物也，……無地而不澍，無物不生。」漢．王充《論衡．雷虛》：「說雨者以為天施氣。天施氣，氣渥為雨，故雨潤萬物，名曰澍。」 |</v>
      </c>
    </row>
    <row r="10654" spans="1:44" hidden="1">
      <c r="A10654" s="1" t="s">
        <v>21474</v>
      </c>
      <c r="C10654" s="1">
        <v>1</v>
      </c>
      <c r="D10654" s="1" t="str">
        <f>"09102"</f>
        <v>09102</v>
      </c>
      <c r="E10654" s="1" t="s">
        <v>139</v>
      </c>
      <c r="F10654" s="1">
        <v>16</v>
      </c>
      <c r="G10654" s="1">
        <v>12</v>
      </c>
      <c r="H10654" s="1">
        <v>0</v>
      </c>
      <c r="I10654" s="1" t="s">
        <v>21441</v>
      </c>
      <c r="K10654" s="1" t="str">
        <f t="shared" si="659"/>
        <v>ㄕ</v>
      </c>
      <c r="L10654" s="1" t="str">
        <f t="shared" si="660"/>
        <v>ㄨ</v>
      </c>
      <c r="N10654" s="3" t="s">
        <v>30574</v>
      </c>
      <c r="O10654" s="3"/>
      <c r="P10654" s="1" t="s">
        <v>20</v>
      </c>
      <c r="R10654" s="1" t="s">
        <v>21442</v>
      </c>
      <c r="V10654" s="1" t="s">
        <v>21475</v>
      </c>
      <c r="AR10654" s="1" t="str">
        <f t="shared" si="661"/>
        <v>| [ㄕㄨˋ](ㄕㄨˋ.md) | [樹](樹.md) |  | shù | [名]
1.樹木，即木本植物的總稱。如：「植物園種了各種各樣的樹。」
2.門屏。《禮記．郊特牲》：「臺門而旅樹。」漢．鄭玄．注：「屏謂之樹。樹所以蔽行道。」
[動]
1.種植、栽培。如：「十年樹木，百年樹人。」《呂氏春秋．士容論．任地》：「日至，苦菜死而資生，而樹麻與菽。」
2.建立。《書經．泰誓下》：「樹德務滋，除惡務本。」唐．李白〈與賈少公書〉：「白不樹矯抗之跡，恥振元邈之風。」 |</v>
      </c>
    </row>
    <row r="10655" spans="1:44" hidden="1">
      <c r="A10655" s="1" t="s">
        <v>21476</v>
      </c>
      <c r="C10655" s="1">
        <v>1</v>
      </c>
      <c r="D10655" s="1" t="str">
        <f>"09103"</f>
        <v>09103</v>
      </c>
      <c r="E10655" s="1" t="s">
        <v>340</v>
      </c>
      <c r="F10655" s="1">
        <v>13</v>
      </c>
      <c r="G10655" s="1">
        <v>7</v>
      </c>
      <c r="H10655" s="1">
        <v>0</v>
      </c>
      <c r="I10655" s="1" t="s">
        <v>21441</v>
      </c>
      <c r="K10655" s="1" t="str">
        <f t="shared" si="659"/>
        <v>ㄕ</v>
      </c>
      <c r="L10655" s="1" t="str">
        <f t="shared" si="660"/>
        <v>ㄨ</v>
      </c>
      <c r="N10655" s="3" t="s">
        <v>30574</v>
      </c>
      <c r="O10655" s="3"/>
      <c r="P10655" s="1" t="s">
        <v>20</v>
      </c>
      <c r="R10655" s="1" t="s">
        <v>21442</v>
      </c>
      <c r="V10655" s="1" t="s">
        <v>21477</v>
      </c>
      <c r="AR10655" s="1" t="str">
        <f t="shared" si="661"/>
        <v>| [ㄕㄨˋ](ㄕㄨˋ.md) | [裋](裋.md) |  | shù | [名]
僮僕所穿的粗布短衣。參見「裋褐」條。 |</v>
      </c>
    </row>
    <row r="10656" spans="1:44" hidden="1">
      <c r="A10656" s="1" t="s">
        <v>21478</v>
      </c>
      <c r="C10656" s="1">
        <v>1</v>
      </c>
      <c r="D10656" s="1" t="str">
        <f>"09104"</f>
        <v>09104</v>
      </c>
      <c r="E10656" s="1" t="s">
        <v>4293</v>
      </c>
      <c r="F10656" s="1">
        <v>15</v>
      </c>
      <c r="G10656" s="1">
        <v>8</v>
      </c>
      <c r="H10656" s="1">
        <v>0</v>
      </c>
      <c r="I10656" s="1" t="s">
        <v>21441</v>
      </c>
      <c r="K10656" s="1" t="str">
        <f t="shared" si="659"/>
        <v>ㄕ</v>
      </c>
      <c r="L10656" s="1" t="str">
        <f t="shared" si="660"/>
        <v>ㄨ</v>
      </c>
      <c r="N10656" s="3" t="s">
        <v>30574</v>
      </c>
      <c r="O10656" s="3"/>
      <c r="P10656" s="1" t="s">
        <v>20</v>
      </c>
      <c r="R10656" s="1" t="s">
        <v>21442</v>
      </c>
      <c r="V10656" s="1" t="s">
        <v>21479</v>
      </c>
      <c r="AR10656" s="1" t="str">
        <f t="shared" si="661"/>
        <v>| [ㄕㄨˋ](ㄕㄨˋ.md) | [豎](豎.md) |  | shù | [動]
使物體直立。清．王念孫《廣雅疏證．卷四上．釋詁》：「豎，立也。」《全唐詩．卷七九八．花蕊夫人．述國亡詩》：「君王城上豎降旗，妾在深宮那得知。」
[名]
1.一種書寫筆法。指由上到下的直筆。如：「一橫一豎」。
2.宮內小臣。《左傳．僖公二十四年》：「晉侯之豎頭須，守藏者也。」晉．杜預．注：「豎，左右小吏。」《文選．司馬遷．報任少卿書》：「夫以中才之人，事有關於宦豎，莫不傷氣，而況於慷慨之士乎！」
3.家中未成年的僮僕。《列子．說符》：「楊子之鄰人亡羊，既率其黨，又請楊子之豎追之。」 |</v>
      </c>
    </row>
    <row r="10657" spans="1:44" hidden="1">
      <c r="A10657" s="1" t="s">
        <v>21418</v>
      </c>
      <c r="C10657" s="1">
        <v>1</v>
      </c>
      <c r="D10657" s="1" t="str">
        <f>"09105"</f>
        <v>09105</v>
      </c>
      <c r="E10657" s="1" t="s">
        <v>118</v>
      </c>
      <c r="F10657" s="1">
        <v>13</v>
      </c>
      <c r="G10657" s="1">
        <v>8</v>
      </c>
      <c r="H10657" s="1">
        <v>2</v>
      </c>
      <c r="I10657" s="1" t="s">
        <v>21441</v>
      </c>
      <c r="K10657" s="1" t="str">
        <f t="shared" si="659"/>
        <v>ㄕ</v>
      </c>
      <c r="L10657" s="1" t="str">
        <f t="shared" ref="L10657:L10685" si="662">MID(I10657, 2, 1)</f>
        <v>ㄨ</v>
      </c>
      <c r="N10657" s="3" t="s">
        <v>30574</v>
      </c>
      <c r="O10657" s="3"/>
      <c r="P10657" s="1" t="s">
        <v>20</v>
      </c>
      <c r="R10657" s="1" t="s">
        <v>21442</v>
      </c>
      <c r="V10657" s="1" t="s">
        <v>21480</v>
      </c>
      <c r="W10657" s="1" t="s">
        <v>21481</v>
      </c>
      <c r="AR10657" s="1" t="str">
        <f t="shared" si="661"/>
        <v>| [ㄕㄨˋ](ㄕㄨˋ.md) | [署](署.md) |  | shù | [動]
1.布置、安排。如：「部署就緒」。
2.簽寫、題寫。如：「簽署」、「署名」。《漢書．卷五四．蘇建傳》：「署其官爵姓名。」
3.暫代或試充某種職務。《三國志．卷三五．蜀書．諸葛亮傳》：「成都平，以亮為軍師將軍，署左將軍府事。」《清史稿．卷三九三．周天爵傳》：「星沅既疏請特簡總統督師，尋病歿，命天爵暫署欽差大臣。」 |</v>
      </c>
    </row>
    <row r="10658" spans="1:44" hidden="1">
      <c r="A10658" s="1" t="s">
        <v>21482</v>
      </c>
      <c r="C10658" s="1">
        <v>1</v>
      </c>
      <c r="D10658" s="1" t="str">
        <f>"09106"</f>
        <v>09106</v>
      </c>
      <c r="E10658" s="1" t="s">
        <v>646</v>
      </c>
      <c r="F10658" s="1">
        <v>17</v>
      </c>
      <c r="G10658" s="1">
        <v>13</v>
      </c>
      <c r="H10658" s="1">
        <v>0</v>
      </c>
      <c r="I10658" s="1" t="s">
        <v>21441</v>
      </c>
      <c r="K10658" s="1" t="str">
        <f t="shared" si="659"/>
        <v>ㄕ</v>
      </c>
      <c r="L10658" s="1" t="str">
        <f t="shared" si="662"/>
        <v>ㄨ</v>
      </c>
      <c r="N10658" s="3" t="s">
        <v>30574</v>
      </c>
      <c r="O10658" s="3"/>
      <c r="P10658" s="1" t="s">
        <v>20</v>
      </c>
      <c r="R10658" s="1" t="s">
        <v>21442</v>
      </c>
      <c r="V10658" s="1" t="s">
        <v>21483</v>
      </c>
      <c r="AR10658" s="1" t="str">
        <f t="shared" si="661"/>
        <v>| [ㄕㄨˋ](ㄕㄨˋ.md) | [曙](曙.md) |  | shù | [名]
天剛亮，破曉時分。《楚辭．屈原．九章．悲回風》：「涕泣交而凄凄兮，思不眠以至曙。」
[形]
拂曉時的。如：「曙日」、「曙光」。 |</v>
      </c>
    </row>
    <row r="10659" spans="1:44" hidden="1">
      <c r="A10659" s="1" t="s">
        <v>21484</v>
      </c>
      <c r="C10659" s="1">
        <v>1</v>
      </c>
      <c r="D10659" s="1" t="str">
        <f>"09107"</f>
        <v>09107</v>
      </c>
      <c r="E10659" s="1" t="s">
        <v>68</v>
      </c>
      <c r="F10659" s="1">
        <v>13</v>
      </c>
      <c r="G10659" s="1">
        <v>9</v>
      </c>
      <c r="H10659" s="1">
        <v>1</v>
      </c>
      <c r="I10659" s="1" t="s">
        <v>21441</v>
      </c>
      <c r="K10659" s="1" t="str">
        <f t="shared" si="659"/>
        <v>ㄕ</v>
      </c>
      <c r="L10659" s="1" t="str">
        <f t="shared" si="662"/>
        <v>ㄨ</v>
      </c>
      <c r="N10659" s="3" t="s">
        <v>30574</v>
      </c>
      <c r="O10659" s="3"/>
      <c r="P10659" s="1" t="s">
        <v>20</v>
      </c>
      <c r="R10659" s="1" t="s">
        <v>21442</v>
      </c>
      <c r="V10659" s="1" t="s">
        <v>21485</v>
      </c>
      <c r="W10659" s="1" t="s">
        <v>21486</v>
      </c>
      <c r="AR10659" s="1" t="str">
        <f t="shared" si="661"/>
        <v>| [ㄕㄨˋ](ㄕㄨˋ.md) | [腧](腧.md) |  | shù | [名]
人體中的穴道。如：「胃腧」、「肩外腧」。《黃帝素問靈樞經．卷一．九鍼十二原》：「五臟五腧，五五二十五腧；六府六腧，六六三十六腧。」 |</v>
      </c>
    </row>
    <row r="10660" spans="1:44" hidden="1">
      <c r="A10660" s="1" t="s">
        <v>21487</v>
      </c>
      <c r="C10660" s="1">
        <v>1</v>
      </c>
      <c r="D10660" s="1" t="str">
        <f>"09108"</f>
        <v>09108</v>
      </c>
      <c r="E10660" s="1" t="s">
        <v>132</v>
      </c>
      <c r="F10660" s="1">
        <v>14</v>
      </c>
      <c r="G10660" s="1">
        <v>11</v>
      </c>
      <c r="H10660" s="1">
        <v>0</v>
      </c>
      <c r="I10660" s="1" t="s">
        <v>21441</v>
      </c>
      <c r="K10660" s="1" t="str">
        <f t="shared" si="659"/>
        <v>ㄕ</v>
      </c>
      <c r="L10660" s="1" t="str">
        <f t="shared" si="662"/>
        <v>ㄨ</v>
      </c>
      <c r="N10660" s="3" t="s">
        <v>30574</v>
      </c>
      <c r="O10660" s="3"/>
      <c r="P10660" s="1" t="s">
        <v>20</v>
      </c>
      <c r="R10660" s="1" t="s">
        <v>21442</v>
      </c>
      <c r="V10660" s="1" t="s">
        <v>21488</v>
      </c>
      <c r="AR10660" s="1" t="str">
        <f t="shared" si="661"/>
        <v>| [ㄕㄨˋ](ㄕㄨˋ.md) | [墅](墅.md) |  | shù | [名]
1.田舍、農莊。三國魏．曹植〈泰山梁甫行〉：「劇哉邊海民，寄身於草墅。」南朝梁．沈約〈少年新婚為之詠〉：「山陰柳家女，莫言出田墅。」
2.在住宅以外，專供休養、遊樂的園林房屋。如：「別墅」。《晉書．卷七九．謝安傳》：「又於土山營墅，樓館林竹甚盛。」 |</v>
      </c>
    </row>
    <row r="10661" spans="1:44" hidden="1">
      <c r="A10661" s="1" t="s">
        <v>21437</v>
      </c>
      <c r="C10661" s="1">
        <v>1</v>
      </c>
      <c r="D10661" s="1" t="str">
        <f>"09109"</f>
        <v>09109</v>
      </c>
      <c r="E10661" s="1" t="s">
        <v>426</v>
      </c>
      <c r="F10661" s="1">
        <v>15</v>
      </c>
      <c r="G10661" s="1">
        <v>11</v>
      </c>
      <c r="H10661" s="1">
        <v>1</v>
      </c>
      <c r="I10661" s="1" t="s">
        <v>21441</v>
      </c>
      <c r="K10661" s="1" t="str">
        <f t="shared" si="659"/>
        <v>ㄕ</v>
      </c>
      <c r="L10661" s="1" t="str">
        <f t="shared" si="662"/>
        <v>ㄨ</v>
      </c>
      <c r="N10661" s="3" t="s">
        <v>30574</v>
      </c>
      <c r="O10661" s="3"/>
      <c r="P10661" s="1" t="s">
        <v>20</v>
      </c>
      <c r="R10661" s="1" t="s">
        <v>21442</v>
      </c>
      <c r="V10661" s="1" t="s">
        <v>21489</v>
      </c>
      <c r="W10661" s="1" t="s">
        <v>21490</v>
      </c>
      <c r="AR10661" s="1" t="str">
        <f t="shared" si="661"/>
        <v>| [ㄕㄨˋ](ㄕㄨˋ.md) | [數](數.md) |  | shù | [名]
1.數目、數量。如：「人數」、「次數」。
2.古代計算的方法。為六藝之一。《周禮．地官．大司徒》：「三曰六藝：禮、樂、射、御、書、數。」
3.占卜之術。《左傳．僖公十五年》：「龜，象也。筮，數也。」
4.技藝。《孟子．告子上》：「今夫奕之為數，小數也。」
5.氣運、命運。如：「天數」、「劫數」、「氣數」。《文選．李康．運命論》：「吉凶成敗，各以數至。」北魏．高允〈酒訓〉：「歷觀往代成敗之效，吉凶由人，不在數也。」
6.規律、法則。《後漢書．卷六三．李固傳》：「夫窮高則危，大滿則溢，月盈則缺，日中則移，凡此四者，自然之數也。」
7.法制。《管子．任法》：「聖君任法而不任智，任數而不任說。」
[形]
幾，為約舉之詞。《孟子．梁惠王上》：「數口之家，可以無饑矣。」 |</v>
      </c>
    </row>
    <row r="10662" spans="1:44" hidden="1">
      <c r="A10662" s="1" t="s">
        <v>21491</v>
      </c>
      <c r="C10662" s="1">
        <v>1</v>
      </c>
      <c r="D10662" s="1" t="str">
        <f>"09110"</f>
        <v>09110</v>
      </c>
      <c r="E10662" s="1" t="s">
        <v>49</v>
      </c>
      <c r="F10662" s="1">
        <v>21</v>
      </c>
      <c r="G10662" s="1">
        <v>15</v>
      </c>
      <c r="H10662" s="1">
        <v>1</v>
      </c>
      <c r="I10662" s="1" t="s">
        <v>21441</v>
      </c>
      <c r="K10662" s="1" t="str">
        <f t="shared" si="659"/>
        <v>ㄕ</v>
      </c>
      <c r="L10662" s="1" t="str">
        <f t="shared" si="662"/>
        <v>ㄨ</v>
      </c>
      <c r="N10662" s="3" t="s">
        <v>30574</v>
      </c>
      <c r="O10662" s="3"/>
      <c r="P10662" s="1" t="s">
        <v>20</v>
      </c>
      <c r="R10662" s="1" t="s">
        <v>21442</v>
      </c>
      <c r="V10662" s="1" t="s">
        <v>21492</v>
      </c>
      <c r="W10662" s="1" t="s">
        <v>21493</v>
      </c>
      <c r="AR10662" s="1" t="str">
        <f t="shared" si="661"/>
        <v>| [ㄕㄨˋ](ㄕㄨˋ.md) | [籔](籔.md) |  | shù | [名]
量詞。古代計算容積的單位。十六斗稱為「籔」。《玉篇．竹部》：「籔，十六斗曰籔。」 |</v>
      </c>
    </row>
    <row r="10663" spans="1:44" hidden="1">
      <c r="A10663" s="1" t="s">
        <v>18787</v>
      </c>
      <c r="C10663" s="1">
        <v>1</v>
      </c>
      <c r="D10663" s="1" t="str">
        <f>"09066"</f>
        <v>09066</v>
      </c>
      <c r="E10663" s="1" t="s">
        <v>139</v>
      </c>
      <c r="F10663" s="1">
        <v>6</v>
      </c>
      <c r="G10663" s="1">
        <v>2</v>
      </c>
      <c r="H10663" s="1">
        <v>2</v>
      </c>
      <c r="I10663" s="1" t="s">
        <v>21393</v>
      </c>
      <c r="K10663" s="1" t="str">
        <f t="shared" si="659"/>
        <v>ㄕ</v>
      </c>
      <c r="L10663" s="1" t="str">
        <f t="shared" si="662"/>
        <v>ㄨ</v>
      </c>
      <c r="N10663" s="3" t="s">
        <v>30575</v>
      </c>
      <c r="O10663" s="3"/>
      <c r="P10663" s="1" t="s">
        <v>20</v>
      </c>
      <c r="R10663" s="1" t="s">
        <v>21394</v>
      </c>
      <c r="V10663" s="1" t="s">
        <v>20604</v>
      </c>
      <c r="W10663" s="1" t="s">
        <v>21395</v>
      </c>
      <c r="AR10663" s="1" t="str">
        <f t="shared" si="661"/>
        <v>| [ㄕㄨˊ](ㄕㄨˊ.md) | [朱](朱.md) |  | shú | 參見「朱提」條。 |</v>
      </c>
    </row>
    <row r="10664" spans="1:44" hidden="1">
      <c r="A10664" s="1" t="s">
        <v>21396</v>
      </c>
      <c r="C10664" s="1">
        <v>1</v>
      </c>
      <c r="D10664" s="1" t="str">
        <f>"09067"</f>
        <v>09067</v>
      </c>
      <c r="E10664" s="1" t="s">
        <v>1880</v>
      </c>
      <c r="F10664" s="1">
        <v>8</v>
      </c>
      <c r="G10664" s="1">
        <v>6</v>
      </c>
      <c r="H10664" s="1">
        <v>0</v>
      </c>
      <c r="I10664" s="1" t="s">
        <v>21393</v>
      </c>
      <c r="K10664" s="1" t="str">
        <f t="shared" si="659"/>
        <v>ㄕ</v>
      </c>
      <c r="L10664" s="1" t="str">
        <f t="shared" si="662"/>
        <v>ㄨ</v>
      </c>
      <c r="N10664" s="3" t="s">
        <v>30575</v>
      </c>
      <c r="O10664" s="3"/>
      <c r="P10664" s="1" t="s">
        <v>20</v>
      </c>
      <c r="R10664" s="1" t="s">
        <v>21394</v>
      </c>
      <c r="V10664" s="1" t="s">
        <v>21397</v>
      </c>
      <c r="AR10664" s="1" t="str">
        <f t="shared" si="661"/>
        <v>| [ㄕㄨˊ](ㄕㄨˊ.md) | [叔](叔.md) |  | shú | [名]
1.稱謂：(1)用以稱父親的弟弟。如：「叔父」、「叔侄」。(2)用以稱丈夫的弟弟。如：「小叔」。(3)用以稱父親平輩朋友中年紀小於父親的人。如：「王叔叔」。
2.姓。如漢代有叔壽。
[形]
1.兄弟中排行第三的。《儀禮．士冠禮》：「伯某甫，仲、叔、季，唯其所當。」
2.衰微、衰末。參見「叔世」、「叔季」等條。 |</v>
      </c>
    </row>
    <row r="10665" spans="1:44" hidden="1">
      <c r="A10665" s="1" t="s">
        <v>21398</v>
      </c>
      <c r="C10665" s="1">
        <v>1</v>
      </c>
      <c r="D10665" s="1" t="str">
        <f>"09068"</f>
        <v>09068</v>
      </c>
      <c r="E10665" s="1" t="s">
        <v>129</v>
      </c>
      <c r="F10665" s="1">
        <v>11</v>
      </c>
      <c r="G10665" s="1">
        <v>8</v>
      </c>
      <c r="H10665" s="1">
        <v>0</v>
      </c>
      <c r="I10665" s="1" t="s">
        <v>21393</v>
      </c>
      <c r="K10665" s="1" t="str">
        <f t="shared" si="659"/>
        <v>ㄕ</v>
      </c>
      <c r="L10665" s="1" t="str">
        <f t="shared" si="662"/>
        <v>ㄨ</v>
      </c>
      <c r="N10665" s="3" t="s">
        <v>30575</v>
      </c>
      <c r="O10665" s="3"/>
      <c r="P10665" s="1" t="s">
        <v>20</v>
      </c>
      <c r="R10665" s="1" t="s">
        <v>21394</v>
      </c>
      <c r="V10665" s="1" t="s">
        <v>21399</v>
      </c>
      <c r="AR10665" s="1" t="str">
        <f t="shared" si="661"/>
        <v>| [ㄕㄨˊ](ㄕㄨˊ.md) | [淑](淑.md) |  | shú | [形]
1.清湛、清澈。《說文解字．水部》：「淑，清湛也。」《淮南子．本經》：「日月淑清而揚光，五星循軌而不失其行。」
2.善良、美好。如：「賢淑」、「遇人不淑」。《詩經．周南．關雎》：「窈窕淑女，君子好逑。」
[動]
認為好而學習、取法。《孟子．離婁下》：「予未得為孔子徒也，予私淑諸人也。」 |</v>
      </c>
    </row>
    <row r="10666" spans="1:44" hidden="1">
      <c r="A10666" s="1" t="s">
        <v>21400</v>
      </c>
      <c r="C10666" s="1">
        <v>1</v>
      </c>
      <c r="D10666" s="1" t="str">
        <f>"09069"</f>
        <v>09069</v>
      </c>
      <c r="E10666" s="1" t="s">
        <v>37</v>
      </c>
      <c r="F10666" s="1">
        <v>12</v>
      </c>
      <c r="G10666" s="1">
        <v>8</v>
      </c>
      <c r="H10666" s="1">
        <v>0</v>
      </c>
      <c r="I10666" s="1" t="s">
        <v>21393</v>
      </c>
      <c r="K10666" s="1" t="str">
        <f t="shared" si="659"/>
        <v>ㄕ</v>
      </c>
      <c r="L10666" s="1" t="str">
        <f t="shared" si="662"/>
        <v>ㄨ</v>
      </c>
      <c r="N10666" s="3" t="s">
        <v>30575</v>
      </c>
      <c r="O10666" s="3"/>
      <c r="P10666" s="1" t="s">
        <v>20</v>
      </c>
      <c r="R10666" s="1" t="s">
        <v>21394</v>
      </c>
      <c r="V10666" s="1" t="s">
        <v>21401</v>
      </c>
      <c r="AR10666" s="1" t="str">
        <f t="shared" si="661"/>
        <v>| [ㄕㄨˊ](ㄕㄨˊ.md) | [菽](菽.md) |  | shú | [名]
豆類的總稱。《詩經．豳風．七月》：「六月食鬱及薁，七月亨葵及菽。」 |</v>
      </c>
    </row>
    <row r="10667" spans="1:44" hidden="1">
      <c r="A10667" s="1" t="s">
        <v>21402</v>
      </c>
      <c r="C10667" s="1">
        <v>1</v>
      </c>
      <c r="D10667" s="1" t="str">
        <f>"09070"</f>
        <v>09070</v>
      </c>
      <c r="E10667" s="1" t="s">
        <v>429</v>
      </c>
      <c r="F10667" s="1">
        <v>10</v>
      </c>
      <c r="G10667" s="1">
        <v>5</v>
      </c>
      <c r="H10667" s="1">
        <v>0</v>
      </c>
      <c r="I10667" s="1" t="s">
        <v>21393</v>
      </c>
      <c r="K10667" s="1" t="str">
        <f t="shared" si="659"/>
        <v>ㄕ</v>
      </c>
      <c r="L10667" s="1" t="str">
        <f t="shared" si="662"/>
        <v>ㄨ</v>
      </c>
      <c r="N10667" s="3" t="s">
        <v>30575</v>
      </c>
      <c r="O10667" s="3"/>
      <c r="P10667" s="1" t="s">
        <v>20</v>
      </c>
      <c r="R10667" s="1" t="s">
        <v>21394</v>
      </c>
      <c r="V10667" s="1" t="s">
        <v>21403</v>
      </c>
      <c r="AR10667" s="1" t="str">
        <f t="shared" si="661"/>
        <v>| [ㄕㄨˊ](ㄕㄨˊ.md) | [秫](秫.md) |  | shú | [名]
帶有黏性的穀物。《說文解字．禾部》：「秫，稷之粘者。」清．段玉裁．注：「秫為黏稷，而不黏者亦通呼為秫；秫而他穀之黏者，亦假借通偁之曰秫。」宋．王炎〈豐年謠〉：「五風十雨天時好，又見西郊稻秫肥。」 |</v>
      </c>
    </row>
    <row r="10668" spans="1:44" hidden="1">
      <c r="A10668" s="1" t="s">
        <v>21404</v>
      </c>
      <c r="C10668" s="1">
        <v>1</v>
      </c>
      <c r="D10668" s="1" t="str">
        <f>"09071"</f>
        <v>09071</v>
      </c>
      <c r="E10668" s="1" t="s">
        <v>241</v>
      </c>
      <c r="F10668" s="1">
        <v>11</v>
      </c>
      <c r="G10668" s="1">
        <v>8</v>
      </c>
      <c r="H10668" s="1">
        <v>0</v>
      </c>
      <c r="I10668" s="1" t="s">
        <v>21393</v>
      </c>
      <c r="K10668" s="1" t="str">
        <f t="shared" si="659"/>
        <v>ㄕ</v>
      </c>
      <c r="L10668" s="1" t="str">
        <f t="shared" si="662"/>
        <v>ㄨ</v>
      </c>
      <c r="N10668" s="3" t="s">
        <v>30575</v>
      </c>
      <c r="O10668" s="3"/>
      <c r="P10668" s="1" t="s">
        <v>20</v>
      </c>
      <c r="R10668" s="1" t="s">
        <v>21394</v>
      </c>
      <c r="V10668" s="1" t="s">
        <v>21405</v>
      </c>
      <c r="AR10668" s="1" t="str">
        <f t="shared" si="661"/>
        <v>| [ㄕㄨˊ](ㄕㄨˊ.md) | [孰](孰.md) |  | shú | [動]
成熟。熟的本字。《說文解字．丮部》：「孰，食飪也。」清．段玉裁．注：「後人乃分別熟為生熟，孰為誰孰矣。」
[代]
1.誰。《論語．公冶長》：「孰謂微生高直？」唐．杜甫〈夏日李公見訪〉詩：「苦遭此物聒，孰謂吾廬幽？」
2.何、什麼。《論語．八佾》：「八佾舞於庭，是可忍也，孰不可忍也？」 |</v>
      </c>
    </row>
    <row r="10669" spans="1:44" hidden="1">
      <c r="A10669" s="1" t="s">
        <v>21406</v>
      </c>
      <c r="C10669" s="1">
        <v>1</v>
      </c>
      <c r="D10669" s="1" t="str">
        <f>"09072"</f>
        <v>09072</v>
      </c>
      <c r="E10669" s="1" t="s">
        <v>132</v>
      </c>
      <c r="F10669" s="1">
        <v>14</v>
      </c>
      <c r="G10669" s="1">
        <v>11</v>
      </c>
      <c r="H10669" s="1">
        <v>0</v>
      </c>
      <c r="I10669" s="1" t="s">
        <v>21393</v>
      </c>
      <c r="K10669" s="1" t="str">
        <f t="shared" si="659"/>
        <v>ㄕ</v>
      </c>
      <c r="L10669" s="1" t="str">
        <f t="shared" si="662"/>
        <v>ㄨ</v>
      </c>
      <c r="N10669" s="3" t="s">
        <v>30575</v>
      </c>
      <c r="O10669" s="3"/>
      <c r="P10669" s="1" t="s">
        <v>20</v>
      </c>
      <c r="R10669" s="1" t="s">
        <v>21394</v>
      </c>
      <c r="V10669" s="1" t="s">
        <v>21407</v>
      </c>
      <c r="AR10669" s="1" t="str">
        <f t="shared" si="661"/>
        <v>| [ㄕㄨˊ](ㄕㄨˊ.md) | [塾](塾.md) |  | shú | [名]
1.大門兩側的廳堂。《爾雅．釋宮》：「門側之堂謂之塾。」《儀禮．士冠禮》：「筮與席，所卦者，具饌于西塾。」
2.舊時私人設立的教學場所。如：「私塾」、「家塾」。 |</v>
      </c>
    </row>
    <row r="10670" spans="1:44" hidden="1">
      <c r="A10670" s="1" t="s">
        <v>20991</v>
      </c>
      <c r="C10670" s="1">
        <v>1</v>
      </c>
      <c r="D10670" s="1" t="str">
        <f>"09073"</f>
        <v>09073</v>
      </c>
      <c r="E10670" s="1" t="s">
        <v>336</v>
      </c>
      <c r="F10670" s="1">
        <v>15</v>
      </c>
      <c r="G10670" s="1">
        <v>11</v>
      </c>
      <c r="H10670" s="1">
        <v>1</v>
      </c>
      <c r="I10670" s="1" t="s">
        <v>21393</v>
      </c>
      <c r="K10670" s="1" t="str">
        <f t="shared" si="659"/>
        <v>ㄕ</v>
      </c>
      <c r="L10670" s="1" t="str">
        <f t="shared" si="662"/>
        <v>ㄨ</v>
      </c>
      <c r="N10670" s="3" t="s">
        <v>30575</v>
      </c>
      <c r="O10670" s="3"/>
      <c r="P10670" s="1" t="s">
        <v>186</v>
      </c>
      <c r="R10670" s="1" t="s">
        <v>21394</v>
      </c>
      <c r="V10670" s="1" t="s">
        <v>21408</v>
      </c>
      <c r="W10670" s="1" t="s">
        <v>21409</v>
      </c>
      <c r="AR10670" s="1" t="str">
        <f t="shared" si="661"/>
        <v>| [ㄕㄨˊ](ㄕㄨˊ.md) | [熟](熟.md) |  | shú | [動]
1.烹煮使可食。如：「煮熟」。《論語．鄉黨》：「君賜腥，必熟而薦之。」
2.農作物長成。《孟子．告子上》：「五穀者，種之美者也。苟為不熟，不如荑稗。」唐．皮日休〈橡媼歎〉：「秋深橡子熟，散落榛蕪崗。」
[形]
1.技藝精巧的。如：「熟手」、「技藝純熟」。
2.常見的、認識的。如：「熟人」、「熟客」。
3.留有深刻印象的。如：「耳熟能詳」。
4.經常使用的。如：「熟字」、「熟語」。
5.豐收的。如：「熟年」。
6.經過加工煉製的。如：「熟鐵」、「熟藥」。北周．庾信〈仙山詩〉二首之二：「石軟如香飯，鉛銷似熟銀。」
[副]
1.深沉安穩。如：「熟睡」。
2.仔細、精詳。如：「熟察」、「熟讀」、「熟視」、「深思熟慮」。 |</v>
      </c>
    </row>
    <row r="10671" spans="1:44" hidden="1">
      <c r="A10671" s="1" t="s">
        <v>21410</v>
      </c>
      <c r="C10671" s="1">
        <v>1</v>
      </c>
      <c r="D10671" s="1" t="str">
        <f>"09074"</f>
        <v>09074</v>
      </c>
      <c r="E10671" s="1" t="s">
        <v>340</v>
      </c>
      <c r="F10671" s="1">
        <v>19</v>
      </c>
      <c r="G10671" s="1">
        <v>13</v>
      </c>
      <c r="H10671" s="1">
        <v>0</v>
      </c>
      <c r="I10671" s="1" t="s">
        <v>21393</v>
      </c>
      <c r="K10671" s="1" t="str">
        <f t="shared" si="659"/>
        <v>ㄕ</v>
      </c>
      <c r="L10671" s="1" t="str">
        <f t="shared" si="662"/>
        <v>ㄨ</v>
      </c>
      <c r="N10671" s="3" t="s">
        <v>30575</v>
      </c>
      <c r="O10671" s="3"/>
      <c r="P10671" s="1" t="s">
        <v>20</v>
      </c>
      <c r="R10671" s="1" t="s">
        <v>21394</v>
      </c>
      <c r="V10671" s="1" t="s">
        <v>21411</v>
      </c>
      <c r="AR10671" s="1" t="str">
        <f t="shared" si="661"/>
        <v>| [ㄕㄨˊ](ㄕㄨˊ.md) | [襡](襡.md) |  | shú | [名]
短衣。《晉書．卷九四．隱逸傳．夏統傳》：「又使妓女之徒服褂襡，炫金翠，繞其船三匝。」 |</v>
      </c>
    </row>
    <row r="10672" spans="1:44" hidden="1">
      <c r="A10672" s="1" t="s">
        <v>21412</v>
      </c>
      <c r="C10672" s="1">
        <v>1</v>
      </c>
      <c r="D10672" s="1" t="str">
        <f>"09075"</f>
        <v>09075</v>
      </c>
      <c r="E10672" s="1" t="s">
        <v>505</v>
      </c>
      <c r="F10672" s="1">
        <v>22</v>
      </c>
      <c r="G10672" s="1">
        <v>15</v>
      </c>
      <c r="H10672" s="1">
        <v>0</v>
      </c>
      <c r="I10672" s="1" t="s">
        <v>21393</v>
      </c>
      <c r="K10672" s="1" t="str">
        <f t="shared" si="659"/>
        <v>ㄕ</v>
      </c>
      <c r="L10672" s="1" t="str">
        <f t="shared" si="662"/>
        <v>ㄨ</v>
      </c>
      <c r="N10672" s="3" t="s">
        <v>30575</v>
      </c>
      <c r="O10672" s="3"/>
      <c r="P10672" s="1" t="s">
        <v>20</v>
      </c>
      <c r="R10672" s="1" t="s">
        <v>21394</v>
      </c>
      <c r="V10672" s="1" t="s">
        <v>21413</v>
      </c>
      <c r="AR10672" s="1" t="str">
        <f t="shared" si="661"/>
        <v>| [ㄕㄨˊ](ㄕㄨˊ.md) | [贖](贖.md) |  | shú | [動]
1.以財物換回人質或抵押品。如：「贖回人質」、「贖出當物」。
2.以財物或勞役來抵銷罪過或免除刑罰。如：「將功贖罪」。《史記．卷一〇五．扁鵲倉公傳》：「妾願入身為官婢，以贖父刑罪。」
3.購買。《水滸傳》第二五回：「大官人家裡取些砒霜來，卻教大娘子自去贖一帖心疼的藥來。」
4.除去。《管子．五行》：「草木區萌，贖蟄蟲卵菱。」 |</v>
      </c>
    </row>
    <row r="10673" spans="1:44" hidden="1">
      <c r="A10673" s="1" t="s">
        <v>21414</v>
      </c>
      <c r="C10673" s="1">
        <v>1</v>
      </c>
      <c r="D10673" s="1" t="str">
        <f>"09076"</f>
        <v>09076</v>
      </c>
      <c r="E10673" s="1" t="s">
        <v>646</v>
      </c>
      <c r="F10673" s="1">
        <v>12</v>
      </c>
      <c r="G10673" s="1">
        <v>8</v>
      </c>
      <c r="H10673" s="1">
        <v>0</v>
      </c>
      <c r="I10673" s="1" t="s">
        <v>21415</v>
      </c>
      <c r="K10673" s="1" t="str">
        <f t="shared" si="659"/>
        <v>ㄕ</v>
      </c>
      <c r="L10673" s="1" t="str">
        <f t="shared" si="662"/>
        <v>ㄨ</v>
      </c>
      <c r="N10673" s="3" t="s">
        <v>30576</v>
      </c>
      <c r="O10673" s="3"/>
      <c r="P10673" s="1" t="s">
        <v>20</v>
      </c>
      <c r="R10673" s="1" t="s">
        <v>21416</v>
      </c>
      <c r="V10673" s="1" t="s">
        <v>21417</v>
      </c>
      <c r="AR10673" s="1" t="str">
        <f t="shared" si="661"/>
        <v>| [ㄕㄨˇ](ㄕㄨˇ.md) | [暑](暑.md) |  | shǔ | [名]
1.炎熱的夏天。如：「盛暑」、「酷暑」。
2.熱。如：「避暑」、「溽暑」。
[形]
炎熱的。如：「暑天」、「暑氣」。 |</v>
      </c>
    </row>
    <row r="10674" spans="1:44" hidden="1">
      <c r="A10674" s="1" t="s">
        <v>21418</v>
      </c>
      <c r="C10674" s="1">
        <v>1</v>
      </c>
      <c r="D10674" s="1" t="str">
        <f>"09077"</f>
        <v>09077</v>
      </c>
      <c r="E10674" s="1" t="s">
        <v>118</v>
      </c>
      <c r="F10674" s="1">
        <v>13</v>
      </c>
      <c r="G10674" s="1">
        <v>8</v>
      </c>
      <c r="H10674" s="1">
        <v>1</v>
      </c>
      <c r="I10674" s="1" t="s">
        <v>21415</v>
      </c>
      <c r="K10674" s="1" t="str">
        <f t="shared" si="659"/>
        <v>ㄕ</v>
      </c>
      <c r="L10674" s="1" t="str">
        <f t="shared" si="662"/>
        <v>ㄨ</v>
      </c>
      <c r="N10674" s="3" t="s">
        <v>30576</v>
      </c>
      <c r="O10674" s="3"/>
      <c r="P10674" s="1" t="s">
        <v>20</v>
      </c>
      <c r="R10674" s="1" t="s">
        <v>21416</v>
      </c>
      <c r="V10674" s="1" t="s">
        <v>21419</v>
      </c>
      <c r="W10674" s="1" t="s">
        <v>21420</v>
      </c>
      <c r="AR10674" s="1" t="str">
        <f t="shared" si="661"/>
        <v>| [ㄕㄨˇ](ㄕㄨˇ.md) | [署](署.md) |  | shǔ | [名]
1.官吏辦公的地方。如：「官署」、「公署」。
2.政府機關的組織單位。
3.姓。如漢代有署奎。 |</v>
      </c>
    </row>
    <row r="10675" spans="1:44" hidden="1">
      <c r="A10675" s="1" t="s">
        <v>21421</v>
      </c>
      <c r="C10675" s="1">
        <v>1</v>
      </c>
      <c r="D10675" s="1" t="str">
        <f>"09078"</f>
        <v>09078</v>
      </c>
      <c r="E10675" s="1" t="s">
        <v>37</v>
      </c>
      <c r="F10675" s="1">
        <v>17</v>
      </c>
      <c r="G10675" s="1">
        <v>13</v>
      </c>
      <c r="H10675" s="1">
        <v>0</v>
      </c>
      <c r="I10675" s="1" t="s">
        <v>21415</v>
      </c>
      <c r="K10675" s="1" t="str">
        <f t="shared" si="659"/>
        <v>ㄕ</v>
      </c>
      <c r="L10675" s="1" t="str">
        <f t="shared" si="662"/>
        <v>ㄨ</v>
      </c>
      <c r="N10675" s="3" t="s">
        <v>30576</v>
      </c>
      <c r="O10675" s="3"/>
      <c r="P10675" s="1" t="s">
        <v>20</v>
      </c>
      <c r="R10675" s="1" t="s">
        <v>21416</v>
      </c>
      <c r="V10675" s="1" t="s">
        <v>21422</v>
      </c>
      <c r="AR10675" s="1" t="str">
        <f t="shared" si="661"/>
        <v>| [ㄕㄨˇ](ㄕㄨˇ.md) | [薯](薯.md) |  | shǔ | 參見「番薯」、「馬鈴薯」等條。 |</v>
      </c>
    </row>
    <row r="10676" spans="1:44" hidden="1">
      <c r="A10676" s="1" t="s">
        <v>21423</v>
      </c>
      <c r="C10676" s="1">
        <v>1</v>
      </c>
      <c r="D10676" s="1" t="str">
        <f>"09079"</f>
        <v>09079</v>
      </c>
      <c r="E10676" s="1" t="s">
        <v>46</v>
      </c>
      <c r="F10676" s="1">
        <v>19</v>
      </c>
      <c r="G10676" s="1">
        <v>13</v>
      </c>
      <c r="H10676" s="1">
        <v>0</v>
      </c>
      <c r="I10676" s="1" t="s">
        <v>21415</v>
      </c>
      <c r="K10676" s="1" t="str">
        <f t="shared" si="659"/>
        <v>ㄕ</v>
      </c>
      <c r="L10676" s="1" t="str">
        <f t="shared" si="662"/>
        <v>ㄨ</v>
      </c>
      <c r="N10676" s="3" t="s">
        <v>30576</v>
      </c>
      <c r="O10676" s="3"/>
      <c r="P10676" s="1" t="s">
        <v>20</v>
      </c>
      <c r="R10676" s="1" t="s">
        <v>21416</v>
      </c>
      <c r="V10676" s="1" t="s">
        <v>21424</v>
      </c>
      <c r="AR10676" s="1" t="str">
        <f t="shared" si="661"/>
        <v>| [ㄕㄨˇ](ㄕㄨˇ.md) | [糬](糬.md) |  | shǔ | 參見「麻糬」條。 |</v>
      </c>
    </row>
    <row r="10677" spans="1:44" hidden="1">
      <c r="A10677" s="1" t="s">
        <v>18826</v>
      </c>
      <c r="C10677" s="1">
        <v>1</v>
      </c>
      <c r="D10677" s="1" t="str">
        <f>"09080"</f>
        <v>09080</v>
      </c>
      <c r="E10677" s="1" t="s">
        <v>37</v>
      </c>
      <c r="F10677" s="1">
        <v>19</v>
      </c>
      <c r="G10677" s="1">
        <v>15</v>
      </c>
      <c r="H10677" s="1">
        <v>2</v>
      </c>
      <c r="I10677" s="1" t="s">
        <v>21415</v>
      </c>
      <c r="K10677" s="1" t="str">
        <f t="shared" si="659"/>
        <v>ㄕ</v>
      </c>
      <c r="L10677" s="1" t="str">
        <f t="shared" si="662"/>
        <v>ㄨ</v>
      </c>
      <c r="N10677" s="3" t="s">
        <v>30576</v>
      </c>
      <c r="O10677" s="3"/>
      <c r="P10677" s="1" t="s">
        <v>20</v>
      </c>
      <c r="R10677" s="1" t="s">
        <v>21416</v>
      </c>
      <c r="V10677" s="1" t="s">
        <v>21425</v>
      </c>
      <c r="W10677" s="1" t="s">
        <v>21426</v>
      </c>
      <c r="AR10677" s="1" t="str">
        <f t="shared" si="661"/>
        <v>| [ㄕㄨˇ](ㄕㄨˇ.md) | [藷](藷.md) |  | shǔ | 通「薯」。 |</v>
      </c>
    </row>
    <row r="10678" spans="1:44" hidden="1">
      <c r="A10678" s="1" t="s">
        <v>21427</v>
      </c>
      <c r="C10678" s="1">
        <v>1</v>
      </c>
      <c r="D10678" s="1" t="str">
        <f>"09081"</f>
        <v>09081</v>
      </c>
      <c r="E10678" s="1" t="s">
        <v>7553</v>
      </c>
      <c r="F10678" s="1">
        <v>12</v>
      </c>
      <c r="G10678" s="1">
        <v>0</v>
      </c>
      <c r="H10678" s="1">
        <v>0</v>
      </c>
      <c r="I10678" s="1" t="s">
        <v>21415</v>
      </c>
      <c r="K10678" s="1" t="str">
        <f t="shared" si="659"/>
        <v>ㄕ</v>
      </c>
      <c r="L10678" s="1" t="str">
        <f t="shared" si="662"/>
        <v>ㄨ</v>
      </c>
      <c r="N10678" s="3" t="s">
        <v>30576</v>
      </c>
      <c r="O10678" s="3"/>
      <c r="P10678" s="1" t="s">
        <v>20</v>
      </c>
      <c r="R10678" s="1" t="s">
        <v>21416</v>
      </c>
      <c r="V10678" s="1" t="s">
        <v>21428</v>
      </c>
      <c r="AR10678" s="1" t="str">
        <f t="shared" si="661"/>
        <v>| [ㄕㄨˇ](ㄕㄨˇ.md) | [黍](黍.md) |  | shǔ | [名]
1.植物名。禾本科黍屬，「黍子」之簡稱，參見「黍子」條。
2.古代的一種酒器。《呂氏春秋．慎大覽．權勛》：「臨戰，司馬子反渴而求飲，豎陽穀操黍酒而進之。」漢．高誘．注：「酒器受三升曰黍。」
3.二一四部首之一。 |</v>
      </c>
    </row>
    <row r="10679" spans="1:44" hidden="1">
      <c r="A10679" s="1" t="s">
        <v>21429</v>
      </c>
      <c r="C10679" s="1">
        <v>1</v>
      </c>
      <c r="D10679" s="1" t="str">
        <f>"09082"</f>
        <v>09082</v>
      </c>
      <c r="E10679" s="1" t="s">
        <v>679</v>
      </c>
      <c r="F10679" s="1">
        <v>13</v>
      </c>
      <c r="G10679" s="1">
        <v>7</v>
      </c>
      <c r="H10679" s="1">
        <v>0</v>
      </c>
      <c r="I10679" s="1" t="s">
        <v>21415</v>
      </c>
      <c r="K10679" s="1" t="str">
        <f t="shared" si="659"/>
        <v>ㄕ</v>
      </c>
      <c r="L10679" s="1" t="str">
        <f t="shared" si="662"/>
        <v>ㄨ</v>
      </c>
      <c r="N10679" s="3" t="s">
        <v>30576</v>
      </c>
      <c r="O10679" s="3"/>
      <c r="P10679" s="1" t="s">
        <v>20</v>
      </c>
      <c r="R10679" s="1" t="s">
        <v>21416</v>
      </c>
      <c r="V10679" s="1" t="s">
        <v>21430</v>
      </c>
      <c r="AR10679" s="1" t="str">
        <f t="shared" si="661"/>
        <v>| [ㄕㄨˇ](ㄕㄨˇ.md) | [蜀](蜀.md) |  | shǔ | [名]
1.朝代名：(1)參見「蜀漢」條。(2)十國之一。起訖年不詳。王建建立，為後唐所滅。歷史上稱為「前蜀」。(3)參見「後蜀」條。
2.大陸地區四川省的簡稱。秦時隸屬巴、蜀二郡屬地，故簡稱為「蜀」。 |</v>
      </c>
    </row>
    <row r="10680" spans="1:44" hidden="1">
      <c r="A10680" s="1" t="s">
        <v>18885</v>
      </c>
      <c r="C10680" s="1">
        <v>1</v>
      </c>
      <c r="D10680" s="1" t="str">
        <f>"09083"</f>
        <v>09083</v>
      </c>
      <c r="E10680" s="1" t="s">
        <v>871</v>
      </c>
      <c r="F10680" s="1">
        <v>21</v>
      </c>
      <c r="G10680" s="1">
        <v>18</v>
      </c>
      <c r="H10680" s="1">
        <v>1</v>
      </c>
      <c r="I10680" s="1" t="s">
        <v>21415</v>
      </c>
      <c r="K10680" s="1" t="str">
        <f t="shared" si="659"/>
        <v>ㄕ</v>
      </c>
      <c r="L10680" s="1" t="str">
        <f t="shared" si="662"/>
        <v>ㄨ</v>
      </c>
      <c r="N10680" s="3" t="s">
        <v>30576</v>
      </c>
      <c r="O10680" s="3"/>
      <c r="P10680" s="1" t="s">
        <v>20</v>
      </c>
      <c r="R10680" s="1" t="s">
        <v>21416</v>
      </c>
      <c r="V10680" s="1" t="s">
        <v>21431</v>
      </c>
      <c r="W10680" s="1" t="s">
        <v>21432</v>
      </c>
      <c r="AR10680" s="1" t="str">
        <f t="shared" si="661"/>
        <v>| [ㄕㄨˇ](ㄕㄨˇ.md) | [屬](屬.md) |  | shǔ | [名]
1.類別。如：「金屬」。《周禮．冬官考工記．梓人》：「小蟲之屬，以為雕琢。」
2.生物分類的名稱之一。如：「界、門、綱、目、科、屬、種。」
3.親眷。如：「眷屬」、「親屬」。《孟子．離婁下》：「夫章子豈不欲有夫妻子母之屬哉！」
4.部下。如：「下屬」、「部屬」。《書經．周官》：「六卿分職，各率其屬，以倡九牧，阜成兆民。」
[動]
1.附著、歸於。如：「附屬」。《荀子．王制》：「雖庶人之子孫也，積文學、正身行、能屬於禮儀，則歸之卿相士大夫。」
2.用十二生肖配十二地支來記生年。如：「丑年出生的人屬牛。」
[形]
歸某方所有或管轄的。如：「屬地」、「屬國」。 |</v>
      </c>
    </row>
    <row r="10681" spans="1:44" hidden="1">
      <c r="A10681" s="1" t="s">
        <v>21433</v>
      </c>
      <c r="C10681" s="1">
        <v>1</v>
      </c>
      <c r="D10681" s="1" t="str">
        <f>"09084"</f>
        <v>09084</v>
      </c>
      <c r="E10681" s="1" t="s">
        <v>86</v>
      </c>
      <c r="F10681" s="1">
        <v>13</v>
      </c>
      <c r="G10681" s="1">
        <v>0</v>
      </c>
      <c r="H10681" s="1">
        <v>0</v>
      </c>
      <c r="I10681" s="1" t="s">
        <v>21415</v>
      </c>
      <c r="K10681" s="1" t="str">
        <f t="shared" si="659"/>
        <v>ㄕ</v>
      </c>
      <c r="L10681" s="1" t="str">
        <f t="shared" si="662"/>
        <v>ㄨ</v>
      </c>
      <c r="N10681" s="3" t="s">
        <v>30576</v>
      </c>
      <c r="O10681" s="3"/>
      <c r="P10681" s="1" t="s">
        <v>20</v>
      </c>
      <c r="R10681" s="1" t="s">
        <v>21416</v>
      </c>
      <c r="V10681" s="1" t="s">
        <v>21434</v>
      </c>
      <c r="AR10681" s="1" t="str">
        <f t="shared" si="661"/>
        <v>| [ㄕㄨˇ](ㄕㄨˇ.md) | [鼠](鼠.md) |  | shǔ | [名]
1.哺乳類齧齒目鼠科動物的總稱。體形小，腳短尾長，毛柔軟、呈灰褐色，性怯懦，行動迅速，門齒發達，常穴居人家，繁殖力強，為傳播鼠疫的媒介。
2.二一四部首之一。
[形]
憂。參見「鼠思」條。 |</v>
      </c>
    </row>
    <row r="10682" spans="1:44" hidden="1">
      <c r="A10682" s="1" t="s">
        <v>21435</v>
      </c>
      <c r="C10682" s="1">
        <v>1</v>
      </c>
      <c r="D10682" s="1" t="str">
        <f>"09085"</f>
        <v>09085</v>
      </c>
      <c r="E10682" s="1" t="s">
        <v>40</v>
      </c>
      <c r="F10682" s="1">
        <v>18</v>
      </c>
      <c r="G10682" s="1">
        <v>13</v>
      </c>
      <c r="H10682" s="1">
        <v>0</v>
      </c>
      <c r="I10682" s="1" t="s">
        <v>21415</v>
      </c>
      <c r="K10682" s="1" t="str">
        <f t="shared" si="659"/>
        <v>ㄕ</v>
      </c>
      <c r="L10682" s="1" t="str">
        <f t="shared" si="662"/>
        <v>ㄨ</v>
      </c>
      <c r="N10682" s="3" t="s">
        <v>30576</v>
      </c>
      <c r="O10682" s="3"/>
      <c r="P10682" s="1" t="s">
        <v>20</v>
      </c>
      <c r="R10682" s="1" t="s">
        <v>21416</v>
      </c>
      <c r="V10682" s="1" t="s">
        <v>21436</v>
      </c>
      <c r="AR10682" s="1" t="str">
        <f t="shared" si="661"/>
        <v>| [ㄕㄨˇ](ㄕㄨˇ.md) | [癙](癙.md) |  | shǔ | [名]
因憂悶而產生的疾病。《集韻．上聲．語韻》：「癙，憂病。」 |</v>
      </c>
    </row>
    <row r="10683" spans="1:44" hidden="1">
      <c r="A10683" s="1" t="s">
        <v>21437</v>
      </c>
      <c r="C10683" s="1">
        <v>1</v>
      </c>
      <c r="D10683" s="1" t="str">
        <f>"09086"</f>
        <v>09086</v>
      </c>
      <c r="E10683" s="1" t="s">
        <v>426</v>
      </c>
      <c r="F10683" s="1">
        <v>15</v>
      </c>
      <c r="G10683" s="1">
        <v>11</v>
      </c>
      <c r="H10683" s="1">
        <v>2</v>
      </c>
      <c r="I10683" s="1" t="s">
        <v>21415</v>
      </c>
      <c r="K10683" s="1" t="str">
        <f t="shared" si="659"/>
        <v>ㄕ</v>
      </c>
      <c r="L10683" s="1" t="str">
        <f t="shared" si="662"/>
        <v>ㄨ</v>
      </c>
      <c r="N10683" s="3" t="s">
        <v>30576</v>
      </c>
      <c r="O10683" s="3"/>
      <c r="P10683" s="1" t="s">
        <v>20</v>
      </c>
      <c r="R10683" s="1" t="s">
        <v>21416</v>
      </c>
      <c r="V10683" s="1" t="s">
        <v>21438</v>
      </c>
      <c r="W10683" s="1" t="s">
        <v>21439</v>
      </c>
      <c r="AR10683" s="1" t="str">
        <f t="shared" si="661"/>
        <v>| [ㄕㄨˇ](ㄕㄨˇ.md) | [數](數.md) |  | shǔ | [動]_x000D_
1.計算。《左傳．宣公十二年》：「右廣初駕，數及日中；左則受之，以至于昏。」民國．楊伯峻．注：「數者，數漏刻也。」《莊子．秋水》：「噴則大者如珠，小者如霧，雜而下者，不可勝數也。」_x000D_
2.責備。如：「數落」、「面數其罪」。《左傳．莊公二十八年》：「齊侯伐衞，戰，敗衞師，數之以王命，取賂而還。」《列子．周穆王》：「於乎！予一人不盈于德，而諧於樂，後世其追數吾過乎？」_x000D_
3.比較起來算最突出。如：「全班就數他功課最好。」「這群狗當中最兇猛的當數小黑，最黏人的就數小白。」 |</v>
      </c>
    </row>
    <row r="10684" spans="1:44" hidden="1">
      <c r="A10684" s="1" t="s">
        <v>21825</v>
      </c>
      <c r="C10684" s="1">
        <v>1</v>
      </c>
      <c r="D10684" s="1" t="str">
        <f>"09244"</f>
        <v>09244</v>
      </c>
      <c r="E10684" s="1" t="s">
        <v>28</v>
      </c>
      <c r="F10684" s="1">
        <v>20</v>
      </c>
      <c r="G10684" s="1">
        <v>17</v>
      </c>
      <c r="H10684" s="1">
        <v>2</v>
      </c>
      <c r="I10684" s="1" t="s">
        <v>21826</v>
      </c>
      <c r="K10684" s="1" t="str">
        <f t="shared" si="659"/>
        <v>ㄖ</v>
      </c>
      <c r="L10684" s="1" t="str">
        <f t="shared" si="662"/>
        <v>ㄤ</v>
      </c>
      <c r="M10684" s="1" t="str">
        <f t="shared" ref="M10684:M10715" si="663">MID(I10684, 3, 1)</f>
        <v/>
      </c>
      <c r="P10684" s="1" t="s">
        <v>20</v>
      </c>
      <c r="R10684" s="1" t="s">
        <v>21827</v>
      </c>
      <c r="V10684" s="1" t="s">
        <v>21828</v>
      </c>
      <c r="W10684" s="1" t="s">
        <v>21829</v>
      </c>
      <c r="AR10684" s="1" t="str">
        <f t="shared" si="661"/>
        <v>| [ㄖㄤ](ㄖㄤ.md) | [嚷](嚷.md) |  | rāng | 參見「嚷嚷」條。 |</v>
      </c>
    </row>
    <row r="10685" spans="1:44" hidden="1">
      <c r="A10685" s="1" t="s">
        <v>21874</v>
      </c>
      <c r="C10685" s="1">
        <v>1</v>
      </c>
      <c r="D10685" s="1" t="str">
        <f>"09263"</f>
        <v>09263</v>
      </c>
      <c r="E10685" s="1" t="s">
        <v>24</v>
      </c>
      <c r="F10685" s="1">
        <v>5</v>
      </c>
      <c r="G10685" s="1">
        <v>2</v>
      </c>
      <c r="H10685" s="1">
        <v>1</v>
      </c>
      <c r="I10685" s="1" t="s">
        <v>21875</v>
      </c>
      <c r="K10685" s="1" t="str">
        <f t="shared" si="659"/>
        <v>ㄖ</v>
      </c>
      <c r="L10685" s="1" t="str">
        <f t="shared" si="662"/>
        <v>ㄥ</v>
      </c>
      <c r="M10685" s="1" t="str">
        <f t="shared" si="663"/>
        <v/>
      </c>
      <c r="P10685" s="1" t="s">
        <v>20</v>
      </c>
      <c r="R10685" s="1" t="s">
        <v>21876</v>
      </c>
      <c r="V10685" s="1" t="s">
        <v>21877</v>
      </c>
      <c r="W10685" s="1" t="s">
        <v>21878</v>
      </c>
      <c r="AR10685" s="1" t="str">
        <f t="shared" si="661"/>
        <v>| [ㄖㄥ](ㄖㄥ.md) | [扔](扔.md) |  | rēng | [動]
1.拋棄。如：「他扔下書本就走了。」
2.投、擲。如：「把球扔過來。」 |</v>
      </c>
    </row>
    <row r="10686" spans="1:44" hidden="1">
      <c r="A10686" s="1" t="s">
        <v>21660</v>
      </c>
      <c r="C10686" s="1">
        <v>1</v>
      </c>
      <c r="D10686" s="1" t="str">
        <f>"09176"</f>
        <v>09176</v>
      </c>
      <c r="E10686" s="1" t="s">
        <v>7132</v>
      </c>
      <c r="F10686" s="1">
        <v>2</v>
      </c>
      <c r="G10686" s="1">
        <v>0</v>
      </c>
      <c r="H10686" s="1">
        <v>2</v>
      </c>
      <c r="I10686" s="1" t="s">
        <v>21661</v>
      </c>
      <c r="K10686" s="1" t="str">
        <f t="shared" si="659"/>
        <v>ㄖ</v>
      </c>
      <c r="M10686" s="1" t="str">
        <f t="shared" si="663"/>
        <v/>
      </c>
      <c r="N10686" s="3" t="s">
        <v>30574</v>
      </c>
      <c r="O10686" s="3"/>
      <c r="P10686" s="1" t="s">
        <v>20</v>
      </c>
      <c r="R10686" s="1" t="s">
        <v>21662</v>
      </c>
      <c r="V10686" s="1" t="s">
        <v>21663</v>
      </c>
      <c r="W10686" s="1" t="s">
        <v>21664</v>
      </c>
      <c r="AR10686" s="1" t="str">
        <f t="shared" si="661"/>
        <v>| [ㄖˋ](ㄖˋ.md) | [入](入.md) |  | rì | [動]
發生性關係。《水滸傳》第五一回：「那婆婆那裡有好氣，便指著罵道：『你這……亂人入的賤母狗！做什麼倒罵我！』」 |</v>
      </c>
    </row>
    <row r="10687" spans="1:44" hidden="1">
      <c r="A10687" s="1" t="s">
        <v>3441</v>
      </c>
      <c r="C10687" s="1">
        <v>1</v>
      </c>
      <c r="D10687" s="1" t="str">
        <f>"09177"</f>
        <v>09177</v>
      </c>
      <c r="E10687" s="1" t="s">
        <v>646</v>
      </c>
      <c r="F10687" s="1">
        <v>4</v>
      </c>
      <c r="G10687" s="1">
        <v>0</v>
      </c>
      <c r="H10687" s="1">
        <v>1</v>
      </c>
      <c r="I10687" s="1" t="s">
        <v>21661</v>
      </c>
      <c r="K10687" s="1" t="str">
        <f t="shared" si="659"/>
        <v>ㄖ</v>
      </c>
      <c r="M10687" s="1" t="str">
        <f t="shared" si="663"/>
        <v/>
      </c>
      <c r="N10687" s="3" t="s">
        <v>30574</v>
      </c>
      <c r="O10687" s="3"/>
      <c r="P10687" s="1" t="s">
        <v>20</v>
      </c>
      <c r="R10687" s="1" t="s">
        <v>21662</v>
      </c>
      <c r="V10687" s="1" t="s">
        <v>21665</v>
      </c>
      <c r="W10687" s="1" t="s">
        <v>21666</v>
      </c>
      <c r="AR10687" s="1" t="str">
        <f t="shared" si="661"/>
        <v>| [ㄖˋ](ㄖˋ.md) | [日](日.md) |  | rì | [名]
1.太陽。漢．王充《論衡．感虛》：「日之行也，行天星度。」唐．李白〈古風〉詩五九首之二八：「草綠霜已白，日西月復東。」
2.白天。與「夜」相對。《詩經．唐風．葛生》：「夏之日，冬之夜，百歲之後，歸于其居。」《孟子．離婁下》：「周公思兼三王以施四事，其有不合者，仰而思之，夜以繼日。」
3.地球自轉一周所需的時間。
4.每天。《易經．大畜卦》：「《彖》曰：大畜剛健篤實輝光，日新其德。」《論語．學而》：「吾日三省吾身。」
5.特定的一日。如：「國慶日」、「生日」。《書經．舜典》：「正月上日，受終于文祖。」
6.季節。如：「春日」、「冬日」。
7.光陰。《漢書．卷二五．郊祀志下》：「曠日經年，靡有毫釐之驗，足以揆今。」
8.量詞。計算時間的單位。一日有二十四小時。如：「家無三日糧」。
9.從前、往昔。《左傳．文公七年》：「日衛不睦，故取其地。」《國語．晉語四》：「日，吾來此也，非以狄為榮，可以成事也。」
10.日本的簡稱。如：「中日條約」、「中、美、英、日、法」。
11.二一四部首之一。 |</v>
      </c>
    </row>
    <row r="10688" spans="1:44" hidden="1">
      <c r="A10688" s="1" t="s">
        <v>21667</v>
      </c>
      <c r="C10688" s="1">
        <v>1</v>
      </c>
      <c r="D10688" s="1" t="str">
        <f>"09178"</f>
        <v>09178</v>
      </c>
      <c r="E10688" s="1" t="s">
        <v>319</v>
      </c>
      <c r="F10688" s="1">
        <v>14</v>
      </c>
      <c r="G10688" s="1">
        <v>4</v>
      </c>
      <c r="H10688" s="1">
        <v>0</v>
      </c>
      <c r="I10688" s="1" t="s">
        <v>21661</v>
      </c>
      <c r="K10688" s="1" t="str">
        <f t="shared" si="659"/>
        <v>ㄖ</v>
      </c>
      <c r="M10688" s="1" t="str">
        <f t="shared" si="663"/>
        <v/>
      </c>
      <c r="N10688" s="3" t="s">
        <v>30574</v>
      </c>
      <c r="O10688" s="3"/>
      <c r="P10688" s="1" t="s">
        <v>20</v>
      </c>
      <c r="R10688" s="1" t="s">
        <v>21662</v>
      </c>
      <c r="V10688" s="1" t="s">
        <v>21668</v>
      </c>
      <c r="AR10688" s="1" t="str">
        <f t="shared" si="661"/>
        <v>| [ㄖˋ](ㄖˋ.md) | [馹](馹.md) |  | rì | [名]
古代驛站所用的驛車或馬匹。《爾雅．釋言》：「馹、遽，傳也。」晉．郭璞．注：「皆傳車、驛馬之名。」《左傳．文公十六年》：「楚子乘馹，會師于臨品。」 |</v>
      </c>
    </row>
    <row r="10689" spans="1:44" hidden="1">
      <c r="A10689" s="1" t="s">
        <v>21978</v>
      </c>
      <c r="C10689" s="1">
        <v>1</v>
      </c>
      <c r="D10689" s="1" t="str">
        <f>"09309"</f>
        <v>09309</v>
      </c>
      <c r="E10689" s="1" t="s">
        <v>1880</v>
      </c>
      <c r="F10689" s="1">
        <v>6</v>
      </c>
      <c r="G10689" s="1">
        <v>4</v>
      </c>
      <c r="H10689" s="1">
        <v>0</v>
      </c>
      <c r="I10689" s="1" t="s">
        <v>21979</v>
      </c>
      <c r="K10689" s="1" t="str">
        <f t="shared" ref="K10689:K10752" si="664">LEFT(I10689, 1)</f>
        <v>ㄖ</v>
      </c>
      <c r="L10689" s="1" t="str">
        <f t="shared" ref="L10689:L10752" si="665">MID(I10689, 2, 1)</f>
        <v>ㄨ</v>
      </c>
      <c r="M10689" s="1" t="str">
        <f t="shared" si="663"/>
        <v>ㄛ</v>
      </c>
      <c r="P10689" s="1" t="s">
        <v>20</v>
      </c>
      <c r="R10689" s="1" t="s">
        <v>21980</v>
      </c>
      <c r="V10689" s="1" t="s">
        <v>21981</v>
      </c>
      <c r="AR10689" s="1" t="str">
        <f t="shared" si="661"/>
        <v>| [ㄖㄨㄛˋ](ㄖㄨㄛˋ.md) | [叒](叒.md) |  | ruò | [名]
古代神話中的樹木名稱。《說文解字．叒部》：「叒，日初出東方湯谷所登榑桑，叒木也。」 |</v>
      </c>
    </row>
    <row r="10690" spans="1:44" hidden="1">
      <c r="A10690" s="1" t="s">
        <v>21669</v>
      </c>
      <c r="C10690" s="1">
        <v>1</v>
      </c>
      <c r="D10690" s="1" t="str">
        <f>"09310"</f>
        <v>09310</v>
      </c>
      <c r="E10690" s="1" t="s">
        <v>37</v>
      </c>
      <c r="F10690" s="1">
        <v>9</v>
      </c>
      <c r="G10690" s="1">
        <v>5</v>
      </c>
      <c r="H10690" s="1">
        <v>1</v>
      </c>
      <c r="I10690" s="1" t="s">
        <v>21979</v>
      </c>
      <c r="K10690" s="1" t="str">
        <f t="shared" si="664"/>
        <v>ㄖ</v>
      </c>
      <c r="L10690" s="1" t="str">
        <f t="shared" si="665"/>
        <v>ㄨ</v>
      </c>
      <c r="M10690" s="1" t="str">
        <f t="shared" si="663"/>
        <v>ㄛ</v>
      </c>
      <c r="P10690" s="1" t="s">
        <v>20</v>
      </c>
      <c r="R10690" s="1" t="s">
        <v>21980</v>
      </c>
      <c r="V10690" s="1" t="s">
        <v>21982</v>
      </c>
      <c r="W10690" s="1" t="s">
        <v>21983</v>
      </c>
      <c r="AR10690" s="1" t="str">
        <f t="shared" si="661"/>
        <v>| [ㄖㄨㄛˋ](ㄖㄨㄛˋ.md) | [若](若.md) |  | ruò | [名]
1.一種香草。《楚辭．屈原．九章．惜往日》：「自前世之嫉賢兮，謂蕙若其不可佩。」唐．陸龜蒙〈美人〉詩：「猶欲悟君心，朝朝佩蘭若。」
2.姓。如漢代有若章。
[動]
1.順從。《左傳．宣公三年》：「故民入川澤山林，不逢不若。」
2.及、比得上。《國語．晉語五》：「病未若死，祗以解志。」《論語．學而》：「未若貧而樂，富而好禮者也。」
3.奈。《左傳．僖公十五年》：「寇深矣，若之何？」
[連]
1.如果、假如，表示假設。《左傳．僖公二十三年》：「公子若反晉國，則何以報不穀？」唐．李賀〈金銅仙人辭漢歌〉：「天若有情天亦老，攜盤獨出月荒涼。」
2.至於，表示另提一件事。《孟子．梁惠王上》：「若民，則無恆產因無恆心。」《荀子．勸學》：「故學數有終，若其義則不可須臾舍也。」
3.或、或者，表示選擇。《史記．卷一〇七．魏其武安侯傳》：「願取吳王若將軍頭，以報父之仇。」《紅樓夢》第七四回：「將鏡奩、妝盒、衾袱、衣包若大若小之物，一齊打開。」
[副]
1.乃、才。《國語．周語中》：「必有忍也，若能有濟也。」
2.似、好像。如：「欣喜若狂」、「旁若無人」。《左傳．定公四年》：「若聞蔡將先衛，信乎？」明．李時珍《本草綱目．卷四九．禽部．杜鵑》：「其鳴若曰：『不如歸去。』」
[代]
1.你、你的。《莊子．齊物論》：「然則我與若與人俱不能相知也。」《史記．卷七．項羽本紀》：「吾翁即若翁，必欲烹而翁，則幸分我一杯羹。」
2.如此、這樣。《書經．大誥》：「爾知寧王若勤哉？」唐．白居易〈見敏中初到邠寧秋日登城樓詩詩中頗多鄉思因以寄和〉詩：「望鄉心若苦，不用數登樓。」 |</v>
      </c>
    </row>
    <row r="10691" spans="1:44" hidden="1">
      <c r="A10691" s="1" t="s">
        <v>21984</v>
      </c>
      <c r="C10691" s="1">
        <v>1</v>
      </c>
      <c r="D10691" s="1" t="str">
        <f>"09311"</f>
        <v>09311</v>
      </c>
      <c r="E10691" s="1" t="s">
        <v>114</v>
      </c>
      <c r="F10691" s="1">
        <v>11</v>
      </c>
      <c r="G10691" s="1">
        <v>9</v>
      </c>
      <c r="H10691" s="1">
        <v>0</v>
      </c>
      <c r="I10691" s="1" t="s">
        <v>21979</v>
      </c>
      <c r="K10691" s="1" t="str">
        <f t="shared" si="664"/>
        <v>ㄖ</v>
      </c>
      <c r="L10691" s="1" t="str">
        <f t="shared" si="665"/>
        <v>ㄨ</v>
      </c>
      <c r="M10691" s="1" t="str">
        <f t="shared" si="663"/>
        <v>ㄛ</v>
      </c>
      <c r="P10691" s="1" t="s">
        <v>20</v>
      </c>
      <c r="R10691" s="1" t="s">
        <v>21980</v>
      </c>
      <c r="V10691" s="1" t="s">
        <v>21985</v>
      </c>
      <c r="AR10691" s="1" t="str">
        <f t="shared" ref="AR10691:AR10754" si="666">"| ["&amp;I10691&amp;"]("&amp;I10691&amp;".md) | ["&amp;A10691&amp;"]("&amp;A10691&amp;".md) | "&amp;" | "&amp;R10691&amp;" | "&amp;V10691&amp;" |"</f>
        <v>| [ㄖㄨㄛˋ](ㄖㄨㄛˋ.md) | [偌](偌.md) |  | ruò | [副]
如此、這麼。如：「偌大的房子。」元．關漢卿《魯齋郎．楔子》：「小人不敢要偌多銀子。」 |</v>
      </c>
    </row>
    <row r="10692" spans="1:44" hidden="1">
      <c r="A10692" s="1" t="s">
        <v>21986</v>
      </c>
      <c r="C10692" s="1">
        <v>1</v>
      </c>
      <c r="D10692" s="1" t="str">
        <f>"09312"</f>
        <v>09312</v>
      </c>
      <c r="E10692" s="1" t="s">
        <v>129</v>
      </c>
      <c r="F10692" s="1">
        <v>12</v>
      </c>
      <c r="G10692" s="1">
        <v>9</v>
      </c>
      <c r="H10692" s="1">
        <v>0</v>
      </c>
      <c r="I10692" s="1" t="s">
        <v>21979</v>
      </c>
      <c r="K10692" s="1" t="str">
        <f t="shared" si="664"/>
        <v>ㄖ</v>
      </c>
      <c r="L10692" s="1" t="str">
        <f t="shared" si="665"/>
        <v>ㄨ</v>
      </c>
      <c r="M10692" s="1" t="str">
        <f t="shared" si="663"/>
        <v>ㄛ</v>
      </c>
      <c r="P10692" s="1" t="s">
        <v>20</v>
      </c>
      <c r="R10692" s="1" t="s">
        <v>21980</v>
      </c>
      <c r="V10692" s="1" t="s">
        <v>21987</v>
      </c>
      <c r="AR10692" s="1" t="str">
        <f t="shared" si="666"/>
        <v>| [ㄖㄨㄛˋ](ㄖㄨㄛˋ.md) | [渃](渃.md) |  | ruò | [名]
河川名。位於今大陸地區四川省境內。發源於陝西省南鄭縣之青石關，南流而東，至四川省達縣注入渠江。 |</v>
      </c>
    </row>
    <row r="10693" spans="1:44" hidden="1">
      <c r="A10693" s="1" t="s">
        <v>20283</v>
      </c>
      <c r="C10693" s="1">
        <v>1</v>
      </c>
      <c r="D10693" s="1" t="str">
        <f>"09312A"</f>
        <v>09312A</v>
      </c>
      <c r="E10693" s="1" t="s">
        <v>534</v>
      </c>
      <c r="F10693" s="1">
        <v>12</v>
      </c>
      <c r="G10693" s="1">
        <v>9</v>
      </c>
      <c r="H10693" s="1">
        <v>2</v>
      </c>
      <c r="I10693" s="1" t="s">
        <v>21979</v>
      </c>
      <c r="K10693" s="1" t="str">
        <f t="shared" si="664"/>
        <v>ㄖ</v>
      </c>
      <c r="L10693" s="1" t="str">
        <f t="shared" si="665"/>
        <v>ㄨ</v>
      </c>
      <c r="M10693" s="1" t="str">
        <f t="shared" si="663"/>
        <v>ㄛ</v>
      </c>
      <c r="P10693" s="1" t="s">
        <v>20</v>
      </c>
      <c r="R10693" s="1" t="s">
        <v>21980</v>
      </c>
      <c r="V10693" s="1" t="s">
        <v>21988</v>
      </c>
      <c r="W10693" s="1" t="s">
        <v>21989</v>
      </c>
      <c r="AR10693" s="1" t="str">
        <f t="shared" si="666"/>
        <v>| [ㄖㄨㄛˋ](ㄖㄨㄛˋ.md) | [婼](婼.md) |  | ruò | 參見「婼羌」條。 |</v>
      </c>
    </row>
    <row r="10694" spans="1:44" hidden="1">
      <c r="A10694" s="1" t="s">
        <v>21990</v>
      </c>
      <c r="C10694" s="1">
        <v>1</v>
      </c>
      <c r="D10694" s="1" t="str">
        <f>"09313"</f>
        <v>09313</v>
      </c>
      <c r="E10694" s="1" t="s">
        <v>256</v>
      </c>
      <c r="F10694" s="1">
        <v>12</v>
      </c>
      <c r="G10694" s="1">
        <v>9</v>
      </c>
      <c r="H10694" s="1">
        <v>0</v>
      </c>
      <c r="I10694" s="1" t="s">
        <v>21979</v>
      </c>
      <c r="K10694" s="1" t="str">
        <f t="shared" si="664"/>
        <v>ㄖ</v>
      </c>
      <c r="L10694" s="1" t="str">
        <f t="shared" si="665"/>
        <v>ㄨ</v>
      </c>
      <c r="M10694" s="1" t="str">
        <f t="shared" si="663"/>
        <v>ㄛ</v>
      </c>
      <c r="P10694" s="1" t="s">
        <v>20</v>
      </c>
      <c r="R10694" s="1" t="s">
        <v>21980</v>
      </c>
      <c r="V10694" s="1" t="s">
        <v>21991</v>
      </c>
      <c r="AR10694" s="1" t="str">
        <f t="shared" si="666"/>
        <v>| [ㄖㄨㄛˋ](ㄖㄨㄛˋ.md) | [鄀](鄀.md) |  | ruò | [名]
1.國名。位於秦楚邊界上的小國，故城約在今大陸地區河南省淅川縣西方。後為晉所滅。
2.地名。為春秋時楚邑，故城約在今大陸地區湖北省宜城縣東南方。 |</v>
      </c>
    </row>
    <row r="10695" spans="1:44" hidden="1">
      <c r="A10695" s="1" t="s">
        <v>21992</v>
      </c>
      <c r="C10695" s="1">
        <v>1</v>
      </c>
      <c r="D10695" s="1" t="str">
        <f>"09314"</f>
        <v>09314</v>
      </c>
      <c r="E10695" s="1" t="s">
        <v>103</v>
      </c>
      <c r="F10695" s="1">
        <v>10</v>
      </c>
      <c r="G10695" s="1">
        <v>7</v>
      </c>
      <c r="H10695" s="1">
        <v>0</v>
      </c>
      <c r="I10695" s="1" t="s">
        <v>21979</v>
      </c>
      <c r="K10695" s="1" t="str">
        <f t="shared" si="664"/>
        <v>ㄖ</v>
      </c>
      <c r="L10695" s="1" t="str">
        <f t="shared" si="665"/>
        <v>ㄨ</v>
      </c>
      <c r="M10695" s="1" t="str">
        <f t="shared" si="663"/>
        <v>ㄛ</v>
      </c>
      <c r="P10695" s="1" t="s">
        <v>20</v>
      </c>
      <c r="R10695" s="1" t="s">
        <v>21980</v>
      </c>
      <c r="V10695" s="1" t="s">
        <v>21993</v>
      </c>
      <c r="AR10695" s="1" t="str">
        <f t="shared" si="666"/>
        <v>| [ㄖㄨㄛˋ](ㄖㄨㄛˋ.md) | [弱](弱.md) |  | ruò | [形]
1.體力或能力差。與「強」相對。《文選．曹丕．與吳質書》：「惜其體弱，不足起其文。」宋．蘇軾〈和子由除日見寄〉詩：「但恐詩力弱，鬥健未免馘。」
2.纖柔、不夠堅強。如：「柔弱」、「弱不禁風」。唐．杜甫〈田舍〉詩：「櫸柳枝枝弱，枇杷樹樹香。」
3.數量不足。如：「十分之一弱」、「一寸五分弱」。
4.年紀小的。唐．李白〈秋日鍊藥院鑷白髮贈元六兄林宗〉詩：「弱齡接光景，矯翼攀鴻鸞。」
[動]
1.喪失、損失。《左傳．昭公三年》：「又弱一個焉，姜其危哉！」
2.衰敗。《左傳．昭公三年》：「姜族弱矣，而媯將始昌。」
3.侵害、削弱。《左傳．襄公十七年》：「宋華閱卒，華臣弱皋比之室。」《文選．賈誼．過秦論》：「諸侯恐懼，會盟而謀弱秦。」 |</v>
      </c>
    </row>
    <row r="10696" spans="1:44" hidden="1">
      <c r="A10696" s="1" t="s">
        <v>21994</v>
      </c>
      <c r="C10696" s="1">
        <v>1</v>
      </c>
      <c r="D10696" s="1" t="str">
        <f>"09315"</f>
        <v>09315</v>
      </c>
      <c r="E10696" s="1" t="s">
        <v>37</v>
      </c>
      <c r="F10696" s="1">
        <v>14</v>
      </c>
      <c r="G10696" s="1">
        <v>10</v>
      </c>
      <c r="H10696" s="1">
        <v>0</v>
      </c>
      <c r="I10696" s="1" t="s">
        <v>21979</v>
      </c>
      <c r="K10696" s="1" t="str">
        <f t="shared" si="664"/>
        <v>ㄖ</v>
      </c>
      <c r="L10696" s="1" t="str">
        <f t="shared" si="665"/>
        <v>ㄨ</v>
      </c>
      <c r="M10696" s="1" t="str">
        <f t="shared" si="663"/>
        <v>ㄛ</v>
      </c>
      <c r="P10696" s="1" t="s">
        <v>20</v>
      </c>
      <c r="R10696" s="1" t="s">
        <v>21980</v>
      </c>
      <c r="V10696" s="1" t="s">
        <v>21995</v>
      </c>
      <c r="AR10696" s="1" t="str">
        <f t="shared" si="666"/>
        <v>| [ㄖㄨㄛˋ](ㄖㄨㄛˋ.md) | [蒻](蒻.md) |  | ruò | [名]
1.荷莖下部深入泥中的部分。《廣韻．入聲．藥韻》：「蒻，荷莖入泥之處。」
2.細嫩的香蒲。漢．史游《急就篇》卷三：「蒲蒻藺席帳帷幢。」唐．顏師古．注：「蒻，謂蒲之柔弱者也。」
3.參見「蒟蒻」條。
4.用蒲草編成的蓆子。漢．桓寬《鹽鐵論．散不足》：「古者皮毛草蓐，無茵席之加，旃蒻之美。」 |</v>
      </c>
    </row>
    <row r="10697" spans="1:44" hidden="1">
      <c r="A10697" s="1" t="s">
        <v>21996</v>
      </c>
      <c r="C10697" s="1">
        <v>1</v>
      </c>
      <c r="D10697" s="1" t="str">
        <f>"09316"</f>
        <v>09316</v>
      </c>
      <c r="E10697" s="1" t="s">
        <v>49</v>
      </c>
      <c r="F10697" s="1">
        <v>16</v>
      </c>
      <c r="G10697" s="1">
        <v>10</v>
      </c>
      <c r="H10697" s="1">
        <v>0</v>
      </c>
      <c r="I10697" s="1" t="s">
        <v>21979</v>
      </c>
      <c r="K10697" s="1" t="str">
        <f t="shared" si="664"/>
        <v>ㄖ</v>
      </c>
      <c r="L10697" s="1" t="str">
        <f t="shared" si="665"/>
        <v>ㄨ</v>
      </c>
      <c r="M10697" s="1" t="str">
        <f t="shared" si="663"/>
        <v>ㄛ</v>
      </c>
      <c r="P10697" s="1" t="s">
        <v>20</v>
      </c>
      <c r="R10697" s="1" t="s">
        <v>21980</v>
      </c>
      <c r="V10697" s="1" t="s">
        <v>21997</v>
      </c>
      <c r="AR10697" s="1" t="str">
        <f t="shared" si="666"/>
        <v>| [ㄖㄨㄛˋ](ㄖㄨㄛˋ.md) | [篛](篛.md) |  | ruò | [名]
1.竹皮。俗稱為「筍殼」。同「箬」。《集韻．入聲．藥韻》：「箬篛，《說文》所謂竹皮曰箬，或作篛。」
2.植物名。同「箬」。參見「篛竹」條。
3.篛竹的葉子。同「箬」。唐．張志和〈漁父歌〉：「青篛笠，綠簑衣，斜風細雨不須歸。」 |</v>
      </c>
    </row>
    <row r="10698" spans="1:44" hidden="1">
      <c r="A10698" s="1" t="s">
        <v>21682</v>
      </c>
      <c r="C10698" s="1">
        <v>1</v>
      </c>
      <c r="D10698" s="1" t="str">
        <f>"09317"</f>
        <v>09317</v>
      </c>
      <c r="E10698" s="1" t="s">
        <v>336</v>
      </c>
      <c r="F10698" s="1">
        <v>19</v>
      </c>
      <c r="G10698" s="1">
        <v>15</v>
      </c>
      <c r="H10698" s="1">
        <v>1</v>
      </c>
      <c r="I10698" s="1" t="s">
        <v>21979</v>
      </c>
      <c r="K10698" s="1" t="str">
        <f t="shared" si="664"/>
        <v>ㄖ</v>
      </c>
      <c r="L10698" s="1" t="str">
        <f t="shared" si="665"/>
        <v>ㄨ</v>
      </c>
      <c r="M10698" s="1" t="str">
        <f t="shared" si="663"/>
        <v>ㄛ</v>
      </c>
      <c r="P10698" s="1" t="s">
        <v>20</v>
      </c>
      <c r="R10698" s="1" t="s">
        <v>21980</v>
      </c>
      <c r="V10698" s="1" t="s">
        <v>21998</v>
      </c>
      <c r="W10698" s="1" t="s">
        <v>21999</v>
      </c>
      <c r="AR10698" s="1" t="str">
        <f t="shared" si="666"/>
        <v>| [ㄖㄨㄛˋ](ㄖㄨㄛˋ.md) | [爇](爇.md) |  | ruò | [動]
焚燒。《左傳．昭公二十七年》：「遂令攻郤氏，且爇之。」晉．杜預．注：「爇，燒也。」 |</v>
      </c>
    </row>
    <row r="10699" spans="1:44" hidden="1">
      <c r="A10699" s="1" t="s">
        <v>30539</v>
      </c>
      <c r="C10699" s="1">
        <v>1</v>
      </c>
      <c r="D10699" s="1" t="str">
        <f>"119060025"</f>
        <v>119060025</v>
      </c>
      <c r="E10699" s="1" t="s">
        <v>49</v>
      </c>
      <c r="F10699" s="1">
        <v>15</v>
      </c>
      <c r="G10699" s="1">
        <v>9</v>
      </c>
      <c r="H10699" s="1">
        <v>0</v>
      </c>
      <c r="I10699" s="1" t="s">
        <v>21979</v>
      </c>
      <c r="K10699" s="1" t="str">
        <f t="shared" si="664"/>
        <v>ㄖ</v>
      </c>
      <c r="L10699" s="1" t="str">
        <f t="shared" si="665"/>
        <v>ㄨ</v>
      </c>
      <c r="M10699" s="1" t="str">
        <f t="shared" si="663"/>
        <v>ㄛ</v>
      </c>
      <c r="P10699" s="1" t="s">
        <v>20</v>
      </c>
      <c r="R10699" s="1" t="s">
        <v>21980</v>
      </c>
      <c r="V10699" s="1" t="s">
        <v>30540</v>
      </c>
      <c r="AR10699" s="1" t="str">
        <f t="shared" si="666"/>
        <v>| [ㄖㄨㄛˋ](ㄖㄨㄛˋ.md) | [箬](箬.md) |  | ruò | [名]
1.竹皮。「篛」的本字。《說文解字．竹部》：「箬，楚謂竹皮曰箬。」
2.竹名。稈細柱形，高約一公尺，葉片很大，可包粽子及做斗笠等。同「篛」。《玉篇．竹部》：「箬，竹大葉。」
3.箬竹的葉子。同「篛」。唐．柳宗元〈柳州峒氓〉詩：「青箬裹鹽歸峒客，綠荷包飯趁虛人。」 |</v>
      </c>
    </row>
    <row r="10700" spans="1:44" hidden="1">
      <c r="A10700" s="1" t="s">
        <v>22000</v>
      </c>
      <c r="C10700" s="1">
        <v>1</v>
      </c>
      <c r="D10700" s="1" t="str">
        <f>"09318"</f>
        <v>09318</v>
      </c>
      <c r="E10700" s="1" t="s">
        <v>37</v>
      </c>
      <c r="F10700" s="1">
        <v>16</v>
      </c>
      <c r="G10700" s="1">
        <v>12</v>
      </c>
      <c r="H10700" s="1">
        <v>0</v>
      </c>
      <c r="I10700" s="1" t="s">
        <v>22001</v>
      </c>
      <c r="K10700" s="1" t="str">
        <f t="shared" si="664"/>
        <v>ㄖ</v>
      </c>
      <c r="L10700" s="1" t="str">
        <f t="shared" si="665"/>
        <v>ㄨ</v>
      </c>
      <c r="M10700" s="1" t="str">
        <f t="shared" si="663"/>
        <v>ㄟ</v>
      </c>
      <c r="P10700" s="1" t="s">
        <v>20</v>
      </c>
      <c r="R10700" s="1" t="s">
        <v>22002</v>
      </c>
      <c r="V10700" s="1" t="s">
        <v>22003</v>
      </c>
      <c r="AR10700" s="1" t="str">
        <f t="shared" si="666"/>
        <v>| [ㄖㄨㄟˊ](ㄖㄨㄟˊ.md) | [蕤](蕤.md) |  | ruí | [形]
繁花盛開下垂的樣子。《說文解字．艸部》：「蕤，艸木花垂貌。」
[名]
1.泛指草木所垂結的花。《文選．陸機．文賦》：「播芳蕤之馥馥，發青條之森森。」宋．蘇軾〈南鄉子．寒雀滿疏籬〉詞：「寒雀滿疏籬，爭抱寒柯看玉蕤。」
2.帽上所繫的下垂狀飾物。《文選．左思．吳都賦》：「羽旄揚蕤，雄戟耀芒。」
3.參見「葳蕤」條。 |</v>
      </c>
    </row>
    <row r="10701" spans="1:44" hidden="1">
      <c r="A10701" s="1" t="s">
        <v>22004</v>
      </c>
      <c r="C10701" s="1">
        <v>1</v>
      </c>
      <c r="D10701" s="1" t="str">
        <f>"09319"</f>
        <v>09319</v>
      </c>
      <c r="E10701" s="1" t="s">
        <v>725</v>
      </c>
      <c r="F10701" s="1">
        <v>14</v>
      </c>
      <c r="G10701" s="1">
        <v>8</v>
      </c>
      <c r="H10701" s="1">
        <v>0</v>
      </c>
      <c r="I10701" s="1" t="s">
        <v>22001</v>
      </c>
      <c r="K10701" s="1" t="str">
        <f t="shared" si="664"/>
        <v>ㄖ</v>
      </c>
      <c r="L10701" s="1" t="str">
        <f t="shared" si="665"/>
        <v>ㄨ</v>
      </c>
      <c r="M10701" s="1" t="str">
        <f t="shared" si="663"/>
        <v>ㄟ</v>
      </c>
      <c r="P10701" s="1" t="s">
        <v>20</v>
      </c>
      <c r="R10701" s="1" t="s">
        <v>22002</v>
      </c>
      <c r="V10701" s="1" t="s">
        <v>22005</v>
      </c>
      <c r="AR10701" s="1" t="str">
        <f t="shared" si="666"/>
        <v>| [ㄖㄨㄟˊ](ㄖㄨㄟˊ.md) | [緌](緌.md) |  | ruí | [名]
古時帽帶散垂下來的部分。《詩經．齊風．南山》：「葛屨五兩，冠緌雙止。」唐．白居易〈秦中吟．不致仕〉：「挂冠顧翠緌，懸車惜朱輪。」 |</v>
      </c>
    </row>
    <row r="10702" spans="1:44" hidden="1">
      <c r="A10702" s="1" t="s">
        <v>22006</v>
      </c>
      <c r="C10702" s="1">
        <v>1</v>
      </c>
      <c r="D10702" s="1" t="str">
        <f>"09320"</f>
        <v>09320</v>
      </c>
      <c r="E10702" s="1" t="s">
        <v>139</v>
      </c>
      <c r="F10702" s="1">
        <v>11</v>
      </c>
      <c r="G10702" s="1">
        <v>7</v>
      </c>
      <c r="H10702" s="1">
        <v>0</v>
      </c>
      <c r="I10702" s="1" t="s">
        <v>22007</v>
      </c>
      <c r="K10702" s="1" t="str">
        <f t="shared" si="664"/>
        <v>ㄖ</v>
      </c>
      <c r="L10702" s="1" t="str">
        <f t="shared" si="665"/>
        <v>ㄨ</v>
      </c>
      <c r="M10702" s="1" t="str">
        <f t="shared" si="663"/>
        <v>ㄟ</v>
      </c>
      <c r="P10702" s="1" t="s">
        <v>20</v>
      </c>
      <c r="R10702" s="1" t="s">
        <v>22008</v>
      </c>
      <c r="V10702" s="1" t="s">
        <v>22009</v>
      </c>
      <c r="AR10702" s="1" t="str">
        <f t="shared" si="666"/>
        <v>| [ㄖㄨㄟˇ](ㄖㄨㄟˇ.md) | [桵](桵.md) |  | ruǐ | 參見「白桵」條。 |</v>
      </c>
    </row>
    <row r="10703" spans="1:44" hidden="1">
      <c r="A10703" s="1" t="s">
        <v>22010</v>
      </c>
      <c r="C10703" s="1">
        <v>1</v>
      </c>
      <c r="D10703" s="1" t="str">
        <f>"09321"</f>
        <v>09321</v>
      </c>
      <c r="E10703" s="1" t="s">
        <v>139</v>
      </c>
      <c r="F10703" s="1">
        <v>16</v>
      </c>
      <c r="G10703" s="1">
        <v>12</v>
      </c>
      <c r="H10703" s="1">
        <v>0</v>
      </c>
      <c r="I10703" s="1" t="s">
        <v>22007</v>
      </c>
      <c r="K10703" s="1" t="str">
        <f t="shared" si="664"/>
        <v>ㄖ</v>
      </c>
      <c r="L10703" s="1" t="str">
        <f t="shared" si="665"/>
        <v>ㄨ</v>
      </c>
      <c r="M10703" s="1" t="str">
        <f t="shared" si="663"/>
        <v>ㄟ</v>
      </c>
      <c r="P10703" s="1" t="s">
        <v>20</v>
      </c>
      <c r="R10703" s="1" t="s">
        <v>22008</v>
      </c>
      <c r="V10703" s="1" t="s">
        <v>22011</v>
      </c>
      <c r="AR10703" s="1" t="str">
        <f t="shared" si="666"/>
        <v>| [ㄖㄨㄟˇ](ㄖㄨㄟˇ.md) | [橤](橤.md) |  | ruǐ | 同「蕊」。 |</v>
      </c>
    </row>
    <row r="10704" spans="1:44" hidden="1">
      <c r="A10704" s="1" t="s">
        <v>22012</v>
      </c>
      <c r="C10704" s="1">
        <v>1</v>
      </c>
      <c r="D10704" s="1" t="str">
        <f>"09322"</f>
        <v>09322</v>
      </c>
      <c r="E10704" s="1" t="s">
        <v>37</v>
      </c>
      <c r="F10704" s="1">
        <v>16</v>
      </c>
      <c r="G10704" s="1">
        <v>12</v>
      </c>
      <c r="H10704" s="1">
        <v>0</v>
      </c>
      <c r="I10704" s="1" t="s">
        <v>22007</v>
      </c>
      <c r="K10704" s="1" t="str">
        <f t="shared" si="664"/>
        <v>ㄖ</v>
      </c>
      <c r="L10704" s="1" t="str">
        <f t="shared" si="665"/>
        <v>ㄨ</v>
      </c>
      <c r="M10704" s="1" t="str">
        <f t="shared" si="663"/>
        <v>ㄟ</v>
      </c>
      <c r="P10704" s="1" t="s">
        <v>20</v>
      </c>
      <c r="R10704" s="1" t="s">
        <v>22008</v>
      </c>
      <c r="V10704" s="1" t="s">
        <v>22013</v>
      </c>
      <c r="AR10704" s="1" t="str">
        <f t="shared" si="666"/>
        <v>| [ㄖㄨㄟˇ](ㄖㄨㄟˇ.md) | [蕊](蕊.md) |  | ruǐ | [名]
1.植物的生殖器官。有雄蕊、雌蕊之分。
2.花苞、花。唐．杜甫〈花底〉詩：「紫萼扶千蕊，黃鬚照萬花。」唐．黃巢〈題菊花〉詩：「颯颯西風滿院栽，蕊寒香冷蝶難來。」 |</v>
      </c>
    </row>
    <row r="10705" spans="1:44" hidden="1">
      <c r="A10705" s="1" t="s">
        <v>22014</v>
      </c>
      <c r="C10705" s="1">
        <v>1</v>
      </c>
      <c r="D10705" s="1" t="str">
        <f>"09323"</f>
        <v>09323</v>
      </c>
      <c r="E10705" s="1" t="s">
        <v>725</v>
      </c>
      <c r="F10705" s="1">
        <v>18</v>
      </c>
      <c r="G10705" s="1">
        <v>12</v>
      </c>
      <c r="H10705" s="1">
        <v>0</v>
      </c>
      <c r="I10705" s="1" t="s">
        <v>22007</v>
      </c>
      <c r="K10705" s="1" t="str">
        <f t="shared" si="664"/>
        <v>ㄖ</v>
      </c>
      <c r="L10705" s="1" t="str">
        <f t="shared" si="665"/>
        <v>ㄨ</v>
      </c>
      <c r="M10705" s="1" t="str">
        <f t="shared" si="663"/>
        <v>ㄟ</v>
      </c>
      <c r="P10705" s="1" t="s">
        <v>20</v>
      </c>
      <c r="R10705" s="1" t="s">
        <v>22008</v>
      </c>
      <c r="V10705" s="1" t="s">
        <v>22015</v>
      </c>
      <c r="AR10705" s="1" t="str">
        <f t="shared" si="666"/>
        <v>| [ㄖㄨㄟˇ](ㄖㄨㄟˇ.md) | [繠](繠.md) |  | ruǐ | [形]
下垂的樣子。《說文解字．惢部》：「繠，垂也。」《左傳．哀公十三年》：「佩玉繠兮，余無所繫之。」 |</v>
      </c>
    </row>
    <row r="10706" spans="1:44" hidden="1">
      <c r="A10706" s="1" t="s">
        <v>22016</v>
      </c>
      <c r="C10706" s="1">
        <v>1</v>
      </c>
      <c r="D10706" s="1" t="str">
        <f>"09324"</f>
        <v>09324</v>
      </c>
      <c r="E10706" s="1" t="s">
        <v>129</v>
      </c>
      <c r="F10706" s="1">
        <v>7</v>
      </c>
      <c r="G10706" s="1">
        <v>4</v>
      </c>
      <c r="H10706" s="1">
        <v>0</v>
      </c>
      <c r="I10706" s="1" t="s">
        <v>22017</v>
      </c>
      <c r="K10706" s="1" t="str">
        <f t="shared" si="664"/>
        <v>ㄖ</v>
      </c>
      <c r="L10706" s="1" t="str">
        <f t="shared" si="665"/>
        <v>ㄨ</v>
      </c>
      <c r="M10706" s="1" t="str">
        <f t="shared" si="663"/>
        <v>ㄟ</v>
      </c>
      <c r="P10706" s="1" t="s">
        <v>20</v>
      </c>
      <c r="R10706" s="1" t="s">
        <v>22018</v>
      </c>
      <c r="V10706" s="1" t="s">
        <v>22019</v>
      </c>
      <c r="AR10706" s="1" t="str">
        <f t="shared" si="666"/>
        <v>| [ㄖㄨㄟˋ](ㄖㄨㄟˋ.md) | [汭](汭.md) |  | ruì | [名]
1.河水彎曲的地方或兩條河會合之處。《說文解字．水部》：「汭，水相入貌。」《書經．禹貢》：「浮于積石，至於龍門西河，會于渭汭。」
2.水邊。《文選．木華．海賦》：「若乃雲錦散文於沙汭之際，綾羅被光於螺蚌之節。」
3.河川名：(1)位於大陸地區山西省永濟縣境內，西流注入黃河。(2)大陸地區涇水支流，至甘肅省涇川縣流入涇水。 |</v>
      </c>
    </row>
    <row r="10707" spans="1:44" hidden="1">
      <c r="A10707" s="1" t="s">
        <v>22020</v>
      </c>
      <c r="C10707" s="1">
        <v>1</v>
      </c>
      <c r="D10707" s="1" t="str">
        <f>"09325"</f>
        <v>09325</v>
      </c>
      <c r="E10707" s="1" t="s">
        <v>139</v>
      </c>
      <c r="F10707" s="1">
        <v>8</v>
      </c>
      <c r="G10707" s="1">
        <v>4</v>
      </c>
      <c r="H10707" s="1">
        <v>0</v>
      </c>
      <c r="I10707" s="1" t="s">
        <v>22017</v>
      </c>
      <c r="K10707" s="1" t="str">
        <f t="shared" si="664"/>
        <v>ㄖ</v>
      </c>
      <c r="L10707" s="1" t="str">
        <f t="shared" si="665"/>
        <v>ㄨ</v>
      </c>
      <c r="M10707" s="1" t="str">
        <f t="shared" si="663"/>
        <v>ㄟ</v>
      </c>
      <c r="P10707" s="1" t="s">
        <v>20</v>
      </c>
      <c r="R10707" s="1" t="s">
        <v>22018</v>
      </c>
      <c r="V10707" s="1" t="s">
        <v>22021</v>
      </c>
      <c r="AR10707" s="1" t="str">
        <f t="shared" si="666"/>
        <v>| [ㄖㄨㄟˋ](ㄖㄨㄟˋ.md) | [枘](枘.md) |  | ruì | [名]
一端削成方形的短木頭。《史記．卷七四．孟子荀卿傳》：「持方枘欲內圜鑿，其能入乎？」唐．司馬貞．索隱：「方枘是筍也，圜鑿是孔也。謂工人斲木，以方筍而內圜孔，不可入也。」也稱為「榫頭」。 |</v>
      </c>
    </row>
    <row r="10708" spans="1:44" hidden="1">
      <c r="A10708" s="1" t="s">
        <v>22022</v>
      </c>
      <c r="C10708" s="1">
        <v>1</v>
      </c>
      <c r="D10708" s="1" t="str">
        <f>"09326"</f>
        <v>09326</v>
      </c>
      <c r="E10708" s="1" t="s">
        <v>37</v>
      </c>
      <c r="F10708" s="1">
        <v>8</v>
      </c>
      <c r="G10708" s="1">
        <v>4</v>
      </c>
      <c r="H10708" s="1">
        <v>0</v>
      </c>
      <c r="I10708" s="1" t="s">
        <v>22017</v>
      </c>
      <c r="K10708" s="1" t="str">
        <f t="shared" si="664"/>
        <v>ㄖ</v>
      </c>
      <c r="L10708" s="1" t="str">
        <f t="shared" si="665"/>
        <v>ㄨ</v>
      </c>
      <c r="M10708" s="1" t="str">
        <f t="shared" si="663"/>
        <v>ㄟ</v>
      </c>
      <c r="P10708" s="1" t="s">
        <v>20</v>
      </c>
      <c r="R10708" s="1" t="s">
        <v>22018</v>
      </c>
      <c r="V10708" s="1" t="s">
        <v>22023</v>
      </c>
      <c r="AR10708" s="1" t="str">
        <f t="shared" si="666"/>
        <v>| [ㄖㄨㄟˋ](ㄖㄨㄟˋ.md) | [芮](芮.md) |  | ruì | [形]
草初生時柔嫩的樣子。《說文解字．艸部》：「芮，芮芮，艸生貌。」清．段玉裁．注：「芮芮與茙茙雙聲，柔細之狀。」
[名]
1.繫在楯後的絲帶。《史記．卷六九．蘇秦傳》：「當敵則斬堅甲鐵幕、革抉、㕹芮，無不畢具。」
2.水邊。《詩經．大雅．公劉》：「止旅乃密，芮鞫之即。」《文選．木華．海賦》：「若乃雲錦散文於沙芮之際。」
3.姓。如三國時吳國有芮祉。 |</v>
      </c>
    </row>
    <row r="10709" spans="1:44" hidden="1">
      <c r="A10709" s="1" t="s">
        <v>22024</v>
      </c>
      <c r="C10709" s="1">
        <v>1</v>
      </c>
      <c r="D10709" s="1" t="str">
        <f>"09327"</f>
        <v>09327</v>
      </c>
      <c r="E10709" s="1" t="s">
        <v>679</v>
      </c>
      <c r="F10709" s="1">
        <v>10</v>
      </c>
      <c r="G10709" s="1">
        <v>4</v>
      </c>
      <c r="H10709" s="1">
        <v>1</v>
      </c>
      <c r="I10709" s="1" t="s">
        <v>22017</v>
      </c>
      <c r="K10709" s="1" t="str">
        <f t="shared" si="664"/>
        <v>ㄖ</v>
      </c>
      <c r="L10709" s="1" t="str">
        <f t="shared" si="665"/>
        <v>ㄨ</v>
      </c>
      <c r="M10709" s="1" t="str">
        <f t="shared" si="663"/>
        <v>ㄟ</v>
      </c>
      <c r="P10709" s="1" t="s">
        <v>20</v>
      </c>
      <c r="R10709" s="1" t="s">
        <v>22018</v>
      </c>
      <c r="V10709" s="1" t="s">
        <v>22025</v>
      </c>
      <c r="AR10709" s="1" t="str">
        <f t="shared" si="666"/>
        <v>| [ㄖㄨㄟˋ](ㄖㄨㄟˋ.md) | [蚋](蚋.md) |  | ruì | [名]_x000D_
昆蟲綱雙翅目蚋科蚊類的通稱。體長一至五公釐，褐色或黑色。頭小，足短，胸背隆起，觸角粗短，翼透明。吸食人畜血液。幼蟲則生活在水中。 |</v>
      </c>
    </row>
    <row r="10710" spans="1:44" hidden="1">
      <c r="A10710" s="1" t="s">
        <v>22026</v>
      </c>
      <c r="C10710" s="1">
        <v>1</v>
      </c>
      <c r="D10710" s="1" t="str">
        <f>"09328"</f>
        <v>09328</v>
      </c>
      <c r="E10710" s="1" t="s">
        <v>679</v>
      </c>
      <c r="F10710" s="1">
        <v>14</v>
      </c>
      <c r="G10710" s="1">
        <v>8</v>
      </c>
      <c r="H10710" s="1">
        <v>0</v>
      </c>
      <c r="I10710" s="1" t="s">
        <v>22017</v>
      </c>
      <c r="K10710" s="1" t="str">
        <f t="shared" si="664"/>
        <v>ㄖ</v>
      </c>
      <c r="L10710" s="1" t="str">
        <f t="shared" si="665"/>
        <v>ㄨ</v>
      </c>
      <c r="M10710" s="1" t="str">
        <f t="shared" si="663"/>
        <v>ㄟ</v>
      </c>
      <c r="P10710" s="1" t="s">
        <v>20</v>
      </c>
      <c r="R10710" s="1" t="s">
        <v>22018</v>
      </c>
      <c r="V10710" s="1" t="s">
        <v>22027</v>
      </c>
      <c r="AR10710" s="1" t="str">
        <f t="shared" si="666"/>
        <v>| [ㄖㄨㄟˋ](ㄖㄨㄟˋ.md) | [蜹](蜹.md) |  | ruì | 同「蚋」。 |</v>
      </c>
    </row>
    <row r="10711" spans="1:44" hidden="1">
      <c r="A10711" s="1" t="s">
        <v>22028</v>
      </c>
      <c r="C10711" s="1">
        <v>1</v>
      </c>
      <c r="D10711" s="1" t="str">
        <f>"09329"</f>
        <v>09329</v>
      </c>
      <c r="E10711" s="1" t="s">
        <v>142</v>
      </c>
      <c r="F10711" s="1">
        <v>13</v>
      </c>
      <c r="G10711" s="1">
        <v>9</v>
      </c>
      <c r="H10711" s="1">
        <v>0</v>
      </c>
      <c r="I10711" s="1" t="s">
        <v>22017</v>
      </c>
      <c r="K10711" s="1" t="str">
        <f t="shared" si="664"/>
        <v>ㄖ</v>
      </c>
      <c r="L10711" s="1" t="str">
        <f t="shared" si="665"/>
        <v>ㄨ</v>
      </c>
      <c r="M10711" s="1" t="str">
        <f t="shared" si="663"/>
        <v>ㄟ</v>
      </c>
      <c r="P10711" s="1" t="s">
        <v>20</v>
      </c>
      <c r="R10711" s="1" t="s">
        <v>22018</v>
      </c>
      <c r="V10711" s="1" t="s">
        <v>22029</v>
      </c>
      <c r="AR10711" s="1" t="str">
        <f t="shared" si="666"/>
        <v>| [ㄖㄨㄟˋ](ㄖㄨㄟˋ.md) | [瑞](瑞.md) |  | ruì | [名]
1.古代用玉做成的信物，諸侯持以朝祭或作為符節。《說文解字．玉部》：「瑞，以玉為信也。」
2.吉祥的徵兆。《鏡花緣》第八三回：「野人晝見蟢子者，……以為有喜樂之瑞。」
[形]
吉祥的。如：「瑞兆」、「瑞雲」。唐．杜甫〈鳳凰臺〉詩：「自天銜瑞圖，飛下十二樓。」 |</v>
      </c>
    </row>
    <row r="10712" spans="1:44" hidden="1">
      <c r="A10712" s="1" t="s">
        <v>22030</v>
      </c>
      <c r="C10712" s="1">
        <v>1</v>
      </c>
      <c r="D10712" s="1" t="str">
        <f>"09330"</f>
        <v>09330</v>
      </c>
      <c r="E10712" s="1" t="s">
        <v>1015</v>
      </c>
      <c r="F10712" s="1">
        <v>14</v>
      </c>
      <c r="G10712" s="1">
        <v>9</v>
      </c>
      <c r="H10712" s="1">
        <v>0</v>
      </c>
      <c r="I10712" s="1" t="s">
        <v>22017</v>
      </c>
      <c r="K10712" s="1" t="str">
        <f t="shared" si="664"/>
        <v>ㄖ</v>
      </c>
      <c r="L10712" s="1" t="str">
        <f t="shared" si="665"/>
        <v>ㄨ</v>
      </c>
      <c r="M10712" s="1" t="str">
        <f t="shared" si="663"/>
        <v>ㄟ</v>
      </c>
      <c r="P10712" s="1" t="s">
        <v>20</v>
      </c>
      <c r="R10712" s="1" t="s">
        <v>22018</v>
      </c>
      <c r="V10712" s="1" t="s">
        <v>22031</v>
      </c>
      <c r="AR10712" s="1" t="str">
        <f t="shared" si="666"/>
        <v>| [ㄖㄨㄟˋ](ㄖㄨㄟˋ.md) | [睿](睿.md) |  | ruì | [形]
1.明智、聰明的。如：「聰明睿智」。宋．蘇軾〈賈誼論〉：「是故非聰明睿哲不惑之主，則不能全其用。」
2.古代頌揚天子的明智，故用以稱與天子有關的。如：「睿旨」、「睿謨」。
[名]
通達事理的才智。《書經．洪範》：「視曰明，聽曰聰，思曰睿。」 |</v>
      </c>
    </row>
    <row r="10713" spans="1:44" hidden="1">
      <c r="A10713" s="1" t="s">
        <v>22032</v>
      </c>
      <c r="C10713" s="1">
        <v>1</v>
      </c>
      <c r="D10713" s="1" t="str">
        <f>"09331"</f>
        <v>09331</v>
      </c>
      <c r="E10713" s="1" t="s">
        <v>1880</v>
      </c>
      <c r="F10713" s="1">
        <v>16</v>
      </c>
      <c r="G10713" s="1">
        <v>14</v>
      </c>
      <c r="H10713" s="1">
        <v>0</v>
      </c>
      <c r="I10713" s="1" t="s">
        <v>22017</v>
      </c>
      <c r="K10713" s="1" t="str">
        <f t="shared" si="664"/>
        <v>ㄖ</v>
      </c>
      <c r="L10713" s="1" t="str">
        <f t="shared" si="665"/>
        <v>ㄨ</v>
      </c>
      <c r="M10713" s="1" t="str">
        <f t="shared" si="663"/>
        <v>ㄟ</v>
      </c>
      <c r="P10713" s="1" t="s">
        <v>20</v>
      </c>
      <c r="R10713" s="1" t="s">
        <v>22018</v>
      </c>
      <c r="V10713" s="1" t="s">
        <v>22033</v>
      </c>
      <c r="AR10713" s="1" t="str">
        <f t="shared" si="666"/>
        <v>| [ㄖㄨㄟˋ](ㄖㄨㄟˋ.md) | [叡](叡.md) |  | ruì | [形]
明智的、佳美的。通「睿」。南朝梁．劉勰《文心雕龍．誄碑》：「觀其憖遺之切，嗚呼之歎，雖非叡作，古式存焉。」 |</v>
      </c>
    </row>
    <row r="10714" spans="1:44" hidden="1">
      <c r="A10714" s="1" t="s">
        <v>22034</v>
      </c>
      <c r="C10714" s="1">
        <v>1</v>
      </c>
      <c r="D10714" s="1" t="str">
        <f>"09332"</f>
        <v>09332</v>
      </c>
      <c r="E10714" s="1" t="s">
        <v>55</v>
      </c>
      <c r="F10714" s="1">
        <v>15</v>
      </c>
      <c r="G10714" s="1">
        <v>7</v>
      </c>
      <c r="H10714" s="1">
        <v>0</v>
      </c>
      <c r="I10714" s="1" t="s">
        <v>22017</v>
      </c>
      <c r="K10714" s="1" t="str">
        <f t="shared" si="664"/>
        <v>ㄖ</v>
      </c>
      <c r="L10714" s="1" t="str">
        <f t="shared" si="665"/>
        <v>ㄨ</v>
      </c>
      <c r="M10714" s="1" t="str">
        <f t="shared" si="663"/>
        <v>ㄟ</v>
      </c>
      <c r="P10714" s="1" t="s">
        <v>20</v>
      </c>
      <c r="R10714" s="1" t="s">
        <v>22018</v>
      </c>
      <c r="V10714" s="1" t="s">
        <v>22035</v>
      </c>
      <c r="AR10714" s="1" t="str">
        <f t="shared" si="666"/>
        <v>| [ㄖㄨㄟˋ](ㄖㄨㄟˋ.md) | [銳](銳.md) |  | ruì | [形]
1.鋒利。清．王念孫《廣雅疏證．卷二下．釋詁》：「銳，利也。」《荀子．賦》：「長其尾而銳其剽者邪？」
2.上小下大，即尖。《爾雅．釋山》：「銳而高嶠。」唐．杜甫〈久雨期王將軍不至〉詩：「銳頭將軍來何遲，令我心中苦不足。」
3.精強、有力量的。《左傳．桓公十一年》：「我以銳師宵加於鄖，鄖有虞心而恃其城，莫有鬥志。」《戰國策．齊策一》：「然後背太山，左濟，右天唐，軍重踵高宛，使輕車銳騎衝雍門。」
4.精明、靈敏。如：「感覺敏銳」。唐．朱敬則〈魏武帝論〉：「觀曹公明銳權略，神變不窮，兵折而意不衰。」
5.急劇、明顯的。《聊齋志異．卷九．雲蘿公主》：「父忿恚得疾，食銳減。」
[名]
1.鋒利的兵器。《漢書．卷一．高帝紀下》：「朕親被堅執銳，自帥士卒，犯危難，平暴亂。」唐．王維〈為羽林將軍祭武大將軍文〉：「帝在紫微，與君為衛，身恆披堅，手不捨銳。」
2.精強的力量。如：「養精蓄銳」。
3.姓。如晉代有銳管。 |</v>
      </c>
    </row>
    <row r="10715" spans="1:44" hidden="1">
      <c r="A10715" s="1" t="s">
        <v>22036</v>
      </c>
      <c r="C10715" s="1">
        <v>1</v>
      </c>
      <c r="D10715" s="1" t="str">
        <f>"09333"</f>
        <v>09333</v>
      </c>
      <c r="E10715" s="1" t="s">
        <v>132</v>
      </c>
      <c r="F10715" s="1">
        <v>12</v>
      </c>
      <c r="G10715" s="1">
        <v>9</v>
      </c>
      <c r="H10715" s="1">
        <v>0</v>
      </c>
      <c r="I10715" s="1" t="s">
        <v>22037</v>
      </c>
      <c r="K10715" s="1" t="str">
        <f t="shared" si="664"/>
        <v>ㄖ</v>
      </c>
      <c r="L10715" s="1" t="str">
        <f t="shared" si="665"/>
        <v>ㄨ</v>
      </c>
      <c r="M10715" s="1" t="str">
        <f t="shared" si="663"/>
        <v>ㄢ</v>
      </c>
      <c r="P10715" s="1" t="s">
        <v>20</v>
      </c>
      <c r="R10715" s="1" t="s">
        <v>22038</v>
      </c>
      <c r="V10715" s="1" t="s">
        <v>22039</v>
      </c>
      <c r="AR10715" s="1" t="str">
        <f t="shared" si="666"/>
        <v>| [ㄖㄨㄢˊ](ㄖㄨㄢˊ.md) | [堧](堧.md) |  | ruán | [名]
1.江河或城郭邊的土地。《玉篇．土部》：「堧，韋昭曰：『河邊地也。』張晏云：『城旁地也。』」《漢書．卷八四．翟方進傳》：「奏請一切增賦，稅城郭堧及園田。」
2.宮殿的外牆。《玉篇．土部》：「堧，服虔曰：『宮外垣也。』」《史記．卷九六．張丞相傳》：「錯為內史，門東出，不便，更穿一門南出。南出者，太上皇廟堧垣。」 |</v>
      </c>
    </row>
    <row r="10716" spans="1:44" hidden="1">
      <c r="A10716" s="1" t="s">
        <v>22040</v>
      </c>
      <c r="C10716" s="1">
        <v>1</v>
      </c>
      <c r="D10716" s="1" t="str">
        <f>"09334"</f>
        <v>09334</v>
      </c>
      <c r="E10716" s="1" t="s">
        <v>24</v>
      </c>
      <c r="F10716" s="1">
        <v>15</v>
      </c>
      <c r="G10716" s="1">
        <v>12</v>
      </c>
      <c r="H10716" s="1">
        <v>0</v>
      </c>
      <c r="I10716" s="1" t="s">
        <v>22037</v>
      </c>
      <c r="K10716" s="1" t="str">
        <f t="shared" si="664"/>
        <v>ㄖ</v>
      </c>
      <c r="L10716" s="1" t="str">
        <f t="shared" si="665"/>
        <v>ㄨ</v>
      </c>
      <c r="M10716" s="1" t="str">
        <f t="shared" ref="M10716:M10750" si="667">MID(I10716, 3, 1)</f>
        <v>ㄢ</v>
      </c>
      <c r="P10716" s="1" t="s">
        <v>20</v>
      </c>
      <c r="R10716" s="1" t="s">
        <v>22038</v>
      </c>
      <c r="V10716" s="1" t="s">
        <v>22041</v>
      </c>
      <c r="AR10716" s="1" t="str">
        <f t="shared" si="666"/>
        <v>| [ㄖㄨㄢˊ](ㄖㄨㄢˊ.md) | [撋](撋.md) |  | ruán | [動]
兩手相搓揉。宋．蘇軾〈東坡酒經〉：「投之糟中，熟撋而再釀之。」 |</v>
      </c>
    </row>
    <row r="10717" spans="1:44" hidden="1">
      <c r="A10717" s="1" t="s">
        <v>22042</v>
      </c>
      <c r="C10717" s="1">
        <v>1</v>
      </c>
      <c r="D10717" s="1" t="str">
        <f>"09335"</f>
        <v>09335</v>
      </c>
      <c r="E10717" s="1" t="s">
        <v>691</v>
      </c>
      <c r="F10717" s="1">
        <v>7</v>
      </c>
      <c r="G10717" s="1">
        <v>4</v>
      </c>
      <c r="H10717" s="1">
        <v>0</v>
      </c>
      <c r="I10717" s="1" t="s">
        <v>22043</v>
      </c>
      <c r="K10717" s="1" t="str">
        <f t="shared" si="664"/>
        <v>ㄖ</v>
      </c>
      <c r="L10717" s="1" t="str">
        <f t="shared" si="665"/>
        <v>ㄨ</v>
      </c>
      <c r="M10717" s="1" t="str">
        <f t="shared" si="667"/>
        <v>ㄢ</v>
      </c>
      <c r="P10717" s="1" t="s">
        <v>20</v>
      </c>
      <c r="R10717" s="1" t="s">
        <v>22044</v>
      </c>
      <c r="V10717" s="1" t="s">
        <v>22045</v>
      </c>
      <c r="AR10717" s="1" t="str">
        <f t="shared" si="666"/>
        <v>| [ㄖㄨㄢˇ](ㄖㄨㄢˇ.md) | [阮](阮.md) |  | ruǎn | [名]
1.樂器名。一種彈撥樂器。參見「阮咸」條。
2.國名。為殷商時的小國，故城約在今大陸地區甘肅省涇川縣東南。後為周文王所滅。
3.姓。如晉代有阮籍。 |</v>
      </c>
    </row>
    <row r="10718" spans="1:44" hidden="1">
      <c r="A10718" s="1" t="s">
        <v>22046</v>
      </c>
      <c r="C10718" s="1">
        <v>1</v>
      </c>
      <c r="D10718" s="1" t="str">
        <f>"09336"</f>
        <v>09336</v>
      </c>
      <c r="E10718" s="1" t="s">
        <v>5778</v>
      </c>
      <c r="F10718" s="1">
        <v>9</v>
      </c>
      <c r="G10718" s="1">
        <v>3</v>
      </c>
      <c r="H10718" s="1">
        <v>0</v>
      </c>
      <c r="I10718" s="1" t="s">
        <v>22043</v>
      </c>
      <c r="K10718" s="1" t="str">
        <f t="shared" si="664"/>
        <v>ㄖ</v>
      </c>
      <c r="L10718" s="1" t="str">
        <f t="shared" si="665"/>
        <v>ㄨ</v>
      </c>
      <c r="M10718" s="1" t="str">
        <f t="shared" si="667"/>
        <v>ㄢ</v>
      </c>
      <c r="P10718" s="1" t="s">
        <v>20</v>
      </c>
      <c r="R10718" s="1" t="s">
        <v>22044</v>
      </c>
      <c r="V10718" s="1" t="s">
        <v>22047</v>
      </c>
      <c r="AR10718" s="1" t="str">
        <f t="shared" si="666"/>
        <v>| [ㄖㄨㄢˇ](ㄖㄨㄢˇ.md) | [耎](耎.md) |  | ruǎn | [形]
柔弱、柔軟。通「軟」。《漢書．卷六二．司馬遷傳》：「僕雖怯耎欲苟活，亦頗識去就之分矣。」唐．李賀〈南園〉詩一三首之九：「泉沙耎臥鴛鴦暖，曲岸迴篙舴艋遲。」
[動]
退縮。《史記．卷二七．天官書》：「其已出三日而復，有微入，入三日乃復盛出，是謂耎。」裴駰集解引晉灼曰：「耎，退之不進。」 |</v>
      </c>
    </row>
    <row r="10719" spans="1:44" hidden="1">
      <c r="A10719" s="1" t="s">
        <v>22048</v>
      </c>
      <c r="C10719" s="1">
        <v>1</v>
      </c>
      <c r="D10719" s="1" t="str">
        <f>"09337"</f>
        <v>09337</v>
      </c>
      <c r="E10719" s="1" t="s">
        <v>679</v>
      </c>
      <c r="F10719" s="1">
        <v>15</v>
      </c>
      <c r="G10719" s="1">
        <v>9</v>
      </c>
      <c r="H10719" s="1">
        <v>0</v>
      </c>
      <c r="I10719" s="1" t="s">
        <v>22043</v>
      </c>
      <c r="K10719" s="1" t="str">
        <f t="shared" si="664"/>
        <v>ㄖ</v>
      </c>
      <c r="L10719" s="1" t="str">
        <f t="shared" si="665"/>
        <v>ㄨ</v>
      </c>
      <c r="M10719" s="1" t="str">
        <f t="shared" si="667"/>
        <v>ㄢ</v>
      </c>
      <c r="P10719" s="1" t="s">
        <v>20</v>
      </c>
      <c r="R10719" s="1" t="s">
        <v>22044</v>
      </c>
      <c r="V10719" s="1" t="s">
        <v>22049</v>
      </c>
      <c r="AR10719" s="1" t="str">
        <f t="shared" si="666"/>
        <v>| [ㄖㄨㄢˇ](ㄖㄨㄢˇ.md) | [蝡](蝡.md) |  | ruǎn | [動]
微動、爬動。《荀子．勸學》：「端而言，蝡而動，亦可以為法則。」《漢書．卷九四．匈奴傳上》：「元元萬民，下及魚鱉，上及飛鳥，跂行喙息蝡動之類，莫不就安利，避危殆。」 |</v>
      </c>
    </row>
    <row r="10720" spans="1:44" hidden="1">
      <c r="A10720" s="1" t="s">
        <v>22050</v>
      </c>
      <c r="C10720" s="1">
        <v>1</v>
      </c>
      <c r="D10720" s="1" t="str">
        <f>"09338"</f>
        <v>09338</v>
      </c>
      <c r="E10720" s="1" t="s">
        <v>71</v>
      </c>
      <c r="F10720" s="1">
        <v>11</v>
      </c>
      <c r="G10720" s="1">
        <v>4</v>
      </c>
      <c r="H10720" s="1">
        <v>0</v>
      </c>
      <c r="I10720" s="1" t="s">
        <v>22043</v>
      </c>
      <c r="K10720" s="1" t="str">
        <f t="shared" si="664"/>
        <v>ㄖ</v>
      </c>
      <c r="L10720" s="1" t="str">
        <f t="shared" si="665"/>
        <v>ㄨ</v>
      </c>
      <c r="M10720" s="1" t="str">
        <f t="shared" si="667"/>
        <v>ㄢ</v>
      </c>
      <c r="P10720" s="1" t="s">
        <v>20</v>
      </c>
      <c r="R10720" s="1" t="s">
        <v>22044</v>
      </c>
      <c r="V10720" s="1" t="s">
        <v>22051</v>
      </c>
      <c r="AR10720" s="1" t="str">
        <f t="shared" si="666"/>
        <v>| [ㄖㄨㄢˇ](ㄖㄨㄢˇ.md) | [軟](軟.md) |  | ruǎn | [形]_x000D_
1.柔而不堅硬。如：「鬆軟」、「柔軟」。北周．庾信〈奉和夏日應令〉詩：「早菱生軟角，初蓮開細房。」_x000D_
2.柔和、溫和。宋．楊萬里〈最愛東山晴後雪二絕句〉之一：「最愛東山晴後雪，軟紅光裡湧金山。」_x000D_
3.沒有氣力。如：「手腳酸軟」、「軟而無力」。《西遊記》第一八回：「慌得他手麻腳軟。」_x000D_
4.容易受感動或意志動搖而不能堅持。如：「心軟」、「耳根軟」。_x000D_
5.品質差、不豐富、不高明而不受欣賞。如：「這家館子菜軟。」、「這部戲碼軟了點。」_x000D_
[名]_x000D_
1.懦弱而缺乏決斷力的人。元．王實甫《西廂記．第二本．楔子》：「我從來欺硬怕軟，喫苦不甘，你休只因親事胡撲掩。」_x000D_
2.溫和委婉的態度。如：「吃軟不吃硬」。_x000D_
[副]_x000D_
用溫和的方式和平進行。如：「軟禁」。《二十年目睹之怪現狀》第三〇回：「氣的又不敢惱出來，只得和他軟商量。」 |</v>
      </c>
    </row>
    <row r="10721" spans="1:44" hidden="1">
      <c r="A10721" s="1" t="s">
        <v>22052</v>
      </c>
      <c r="C10721" s="1">
        <v>1</v>
      </c>
      <c r="D10721" s="1" t="str">
        <f>"09339"</f>
        <v>09339</v>
      </c>
      <c r="E10721" s="1" t="s">
        <v>142</v>
      </c>
      <c r="F10721" s="1">
        <v>18</v>
      </c>
      <c r="G10721" s="1">
        <v>14</v>
      </c>
      <c r="H10721" s="1">
        <v>0</v>
      </c>
      <c r="I10721" s="1" t="s">
        <v>22043</v>
      </c>
      <c r="K10721" s="1" t="str">
        <f t="shared" si="664"/>
        <v>ㄖ</v>
      </c>
      <c r="L10721" s="1" t="str">
        <f t="shared" si="665"/>
        <v>ㄨ</v>
      </c>
      <c r="M10721" s="1" t="str">
        <f t="shared" si="667"/>
        <v>ㄢ</v>
      </c>
      <c r="P10721" s="1" t="s">
        <v>20</v>
      </c>
      <c r="R10721" s="1" t="s">
        <v>22044</v>
      </c>
      <c r="V10721" s="1" t="s">
        <v>22053</v>
      </c>
      <c r="AR10721" s="1" t="str">
        <f t="shared" si="666"/>
        <v>| [ㄖㄨㄢˇ](ㄖㄨㄢˇ.md) | [瓀](瓀.md) |  | ruǎn | [名]
像玉的美石。《文選．張衡．西京賦》：「珊瑚琳碧，瓀珉璘彬。」 |</v>
      </c>
    </row>
    <row r="10722" spans="1:44" hidden="1">
      <c r="A10722" s="1" t="s">
        <v>21936</v>
      </c>
      <c r="C10722" s="1">
        <v>1</v>
      </c>
      <c r="D10722" s="1" t="str">
        <f>"09340"</f>
        <v>09340</v>
      </c>
      <c r="E10722" s="1" t="s">
        <v>679</v>
      </c>
      <c r="F10722" s="1">
        <v>20</v>
      </c>
      <c r="G10722" s="1">
        <v>14</v>
      </c>
      <c r="H10722" s="1">
        <v>1</v>
      </c>
      <c r="I10722" s="1" t="s">
        <v>22043</v>
      </c>
      <c r="K10722" s="1" t="str">
        <f t="shared" si="664"/>
        <v>ㄖ</v>
      </c>
      <c r="L10722" s="1" t="str">
        <f t="shared" si="665"/>
        <v>ㄨ</v>
      </c>
      <c r="M10722" s="1" t="str">
        <f t="shared" si="667"/>
        <v>ㄢ</v>
      </c>
      <c r="P10722" s="1" t="s">
        <v>20</v>
      </c>
      <c r="R10722" s="1" t="s">
        <v>22044</v>
      </c>
      <c r="V10722" s="1" t="s">
        <v>22054</v>
      </c>
      <c r="W10722" s="1" t="s">
        <v>22055</v>
      </c>
      <c r="AR10722" s="1" t="str">
        <f t="shared" si="666"/>
        <v>| [ㄖㄨㄢˇ](ㄖㄨㄢˇ.md) | [蠕](蠕.md) |  | ruǎn | [動]
緩慢爬行。《史記．卷一一〇．匈奴傳》：「元元萬民，下及魚鱉，上及飛鳥，跂行、喙息、蠕動之類，莫不就安利而辟危殆。」 |</v>
      </c>
    </row>
    <row r="10723" spans="1:44" hidden="1">
      <c r="A10723" s="1" t="s">
        <v>22056</v>
      </c>
      <c r="C10723" s="1">
        <v>1</v>
      </c>
      <c r="D10723" s="1" t="str">
        <f>"09341"</f>
        <v>09341</v>
      </c>
      <c r="E10723" s="1" t="s">
        <v>518</v>
      </c>
      <c r="F10723" s="1">
        <v>12</v>
      </c>
      <c r="G10723" s="1">
        <v>8</v>
      </c>
      <c r="H10723" s="1">
        <v>0</v>
      </c>
      <c r="I10723" s="1" t="s">
        <v>22057</v>
      </c>
      <c r="K10723" s="1" t="str">
        <f t="shared" si="664"/>
        <v>ㄖ</v>
      </c>
      <c r="L10723" s="1" t="str">
        <f t="shared" si="665"/>
        <v>ㄨ</v>
      </c>
      <c r="M10723" s="1" t="str">
        <f t="shared" si="667"/>
        <v>ㄣ</v>
      </c>
      <c r="P10723" s="1" t="s">
        <v>20</v>
      </c>
      <c r="R10723" s="1" t="s">
        <v>22058</v>
      </c>
      <c r="V10723" s="1" t="s">
        <v>22059</v>
      </c>
      <c r="AR10723" s="1" t="str">
        <f t="shared" si="666"/>
        <v>| [ㄖㄨㄣˊ](ㄖㄨㄣˊ.md) | [犉](犉.md) |  | rún | [名]
1.黃色黑脣的牛。《說文解字．牛部》：「犉，黃牛黑脣也。」《詩經．小雅．無羊》：「誰謂爾無牛，九十其犉。」
2.七尺高的牛。《爾雅．釋畜》：「牛七尺為犉。」 |</v>
      </c>
    </row>
    <row r="10724" spans="1:44" hidden="1">
      <c r="A10724" s="1" t="s">
        <v>22060</v>
      </c>
      <c r="C10724" s="1">
        <v>1</v>
      </c>
      <c r="D10724" s="1" t="str">
        <f>"09342"</f>
        <v>09342</v>
      </c>
      <c r="E10724" s="1" t="s">
        <v>709</v>
      </c>
      <c r="F10724" s="1">
        <v>12</v>
      </c>
      <c r="G10724" s="1">
        <v>4</v>
      </c>
      <c r="H10724" s="1">
        <v>0</v>
      </c>
      <c r="I10724" s="1" t="s">
        <v>22061</v>
      </c>
      <c r="K10724" s="1" t="str">
        <f t="shared" si="664"/>
        <v>ㄖ</v>
      </c>
      <c r="L10724" s="1" t="str">
        <f t="shared" si="665"/>
        <v>ㄨ</v>
      </c>
      <c r="M10724" s="1" t="str">
        <f t="shared" si="667"/>
        <v>ㄣ</v>
      </c>
      <c r="P10724" s="1" t="s">
        <v>20</v>
      </c>
      <c r="R10724" s="1" t="s">
        <v>22062</v>
      </c>
      <c r="V10724" s="1" t="s">
        <v>22063</v>
      </c>
      <c r="AR10724" s="1" t="str">
        <f t="shared" si="666"/>
        <v>| [ㄖㄨㄣˋ](ㄖㄨㄣˋ.md) | [閏](閏.md) |  | rùn | [名]
1.由於回歸年的長度不剛好是朔望月或太陽日的整數倍，為調整曆法與這些天象間的差距，必須在適當的年分中增加完整的一日或一個月，稱為「閏」。參見「閏年」、「閏月」條。
2.偏。參見「閏統」、「閏位」條。 |</v>
      </c>
    </row>
    <row r="10725" spans="1:44" hidden="1">
      <c r="A10725" s="1" t="s">
        <v>22064</v>
      </c>
      <c r="C10725" s="1">
        <v>1</v>
      </c>
      <c r="D10725" s="1" t="str">
        <f>"09343"</f>
        <v>09343</v>
      </c>
      <c r="E10725" s="1" t="s">
        <v>129</v>
      </c>
      <c r="F10725" s="1">
        <v>15</v>
      </c>
      <c r="G10725" s="1">
        <v>12</v>
      </c>
      <c r="H10725" s="1">
        <v>0</v>
      </c>
      <c r="I10725" s="1" t="s">
        <v>22061</v>
      </c>
      <c r="K10725" s="1" t="str">
        <f t="shared" si="664"/>
        <v>ㄖ</v>
      </c>
      <c r="L10725" s="1" t="str">
        <f t="shared" si="665"/>
        <v>ㄨ</v>
      </c>
      <c r="M10725" s="1" t="str">
        <f t="shared" si="667"/>
        <v>ㄣ</v>
      </c>
      <c r="P10725" s="1" t="s">
        <v>20</v>
      </c>
      <c r="R10725" s="1" t="s">
        <v>22062</v>
      </c>
      <c r="V10725" s="1" t="s">
        <v>22065</v>
      </c>
      <c r="AR10725" s="1" t="str">
        <f t="shared" si="666"/>
        <v>| [ㄖㄨㄣˋ](ㄖㄨㄣˋ.md) | [潤](潤.md) |  | rùn | [名]
利益。如：「利潤」。明．張煌言〈答曹雲林監軍書〉：「徐兄適會弟子阮途，勿克稍為分潤，何梁伯鸞偏遇范萊蕪乎？一笑。」
[動]
1.使潮溼、不枯乾。如：「潤喉」、「潤嗓」、「潤澤」。唐．杜甫〈春夜喜雨〉詩：「隨風潛入夜，潤物細無聲。」
2.修飾。如：「潤色」、「潤飾」。明．徐弘祖《徐霞客遊記．卷六上．滇遊日記四》：「出西門，見門內有新潤之房，頗麗。」
3.使得到好處、幫助。《漢書．卷五一．路溫舒傳》：「故桓、文扶微興壞，尊文、武之業，澤加百姓，功潤諸侯。」
[形]
1.潮溼、不枯燥。如：「溼潤」、「滋潤」。《文選．王襃．洞簫賦》：「吸至精之滋熙，稟蒼色之潤堅。」
2.細膩光滑。如：「光潤」、「珠圓玉潤」。《警世通言．卷三二．杜十娘怒沉百寶箱》：「兩彎眉畫遠山青，一對眼明秋水潤。」 |</v>
      </c>
    </row>
    <row r="10726" spans="1:44" hidden="1">
      <c r="A10726" s="1" t="s">
        <v>22066</v>
      </c>
      <c r="C10726" s="1">
        <v>1</v>
      </c>
      <c r="D10726" s="1" t="str">
        <f>"09344"</f>
        <v>09344</v>
      </c>
      <c r="E10726" s="1" t="s">
        <v>4785</v>
      </c>
      <c r="F10726" s="1">
        <v>6</v>
      </c>
      <c r="G10726" s="1">
        <v>2</v>
      </c>
      <c r="H10726" s="1">
        <v>0</v>
      </c>
      <c r="I10726" s="1" t="s">
        <v>22067</v>
      </c>
      <c r="K10726" s="1" t="str">
        <f t="shared" si="664"/>
        <v>ㄖ</v>
      </c>
      <c r="L10726" s="1" t="str">
        <f t="shared" si="665"/>
        <v>ㄨ</v>
      </c>
      <c r="M10726" s="1" t="str">
        <f t="shared" si="667"/>
        <v>ㄥ</v>
      </c>
      <c r="P10726" s="1" t="s">
        <v>20</v>
      </c>
      <c r="R10726" s="1" t="s">
        <v>22068</v>
      </c>
      <c r="V10726" s="1" t="s">
        <v>22069</v>
      </c>
      <c r="AR10726" s="1" t="str">
        <f t="shared" si="666"/>
        <v>| [ㄖㄨㄥˊ](ㄖㄨㄥˊ.md) | [戎](戎.md) |  | róng | [名]
1.兵器。《禮記．月令》：「天子乃教於田獵，以習五戎。」漢．鄭玄．注：「五戎謂五兵：弓矢、殳、矛、戈、戟也。」
2.兵車。《左傳．僖公三十三年》：「梁弘御戎，萊駒為右。」唐．柳宗元〈嶺南節度饗軍堂記〉：「其大小之戎，號令之用，則聽于節度使焉。」
3.兵士。《易經．同人卦．象曰》：「伏戎于莽，敵剛也。」《國語．吳語》：「王不如設戎，約辭行成，以喜其民，以廣侈吳王之心。」
4.軍旅。如：「投筆從戎」。唐．皮日休〈白門表〉：「監戎者以聞。上赫然大怒，命大將職正其罪。」
5.戰爭。《書經．說命中》：「惟口起羞，惟甲冑起戎。」《新唐書．卷一二二．魏元忠傳》：「是知大將臨戎，以智為本。」
6.泛指西方的少數民族。《三國志．卷三五．蜀書．諸葛亮傳》：「西和諸戎，南撫夷越。」
7.姓。如漢代有戎賜。
[形]
大。《詩經．周頌．烈文》：「念茲戎功，繼序其皇之。」漢．毛亨．傳：「戎，大。」
[代]
你、汝。《詩經．大雅．民勞》：「戎雖小子，而式弘大。」漢．鄭玄．箋：「戎，猶女也。」 |</v>
      </c>
    </row>
    <row r="10727" spans="1:44" hidden="1">
      <c r="A10727" s="1" t="s">
        <v>22070</v>
      </c>
      <c r="C10727" s="1">
        <v>1</v>
      </c>
      <c r="D10727" s="1" t="str">
        <f>"09345"</f>
        <v>09345</v>
      </c>
      <c r="E10727" s="1" t="s">
        <v>198</v>
      </c>
      <c r="F10727" s="1">
        <v>9</v>
      </c>
      <c r="G10727" s="1">
        <v>6</v>
      </c>
      <c r="H10727" s="1">
        <v>0</v>
      </c>
      <c r="I10727" s="1" t="s">
        <v>22067</v>
      </c>
      <c r="K10727" s="1" t="str">
        <f t="shared" si="664"/>
        <v>ㄖ</v>
      </c>
      <c r="L10727" s="1" t="str">
        <f t="shared" si="665"/>
        <v>ㄨ</v>
      </c>
      <c r="M10727" s="1" t="str">
        <f t="shared" si="667"/>
        <v>ㄥ</v>
      </c>
      <c r="P10727" s="1" t="s">
        <v>20</v>
      </c>
      <c r="R10727" s="1" t="s">
        <v>22068</v>
      </c>
      <c r="V10727" s="1" t="s">
        <v>22071</v>
      </c>
      <c r="AR10727" s="1" t="str">
        <f t="shared" si="666"/>
        <v>| [ㄖㄨㄥˊ](ㄖㄨㄥˊ.md) | [狨](狨.md) |  | róng | [名]
1.細布。通「絨」。《廣韻．平聲．東韻》：「狨，細布。」
2.動物名。脊椎動物門哺乳綱靈長目猿科。體型矮小，被黃色的絲狀軟毛，耳上有白色長叢毛。頭圓，尾長，通常棲於樹上，類似松鼠。 |</v>
      </c>
    </row>
    <row r="10728" spans="1:44" hidden="1">
      <c r="A10728" s="1" t="s">
        <v>22072</v>
      </c>
      <c r="C10728" s="1">
        <v>1</v>
      </c>
      <c r="D10728" s="1" t="str">
        <f>"09346"</f>
        <v>09346</v>
      </c>
      <c r="E10728" s="1" t="s">
        <v>37</v>
      </c>
      <c r="F10728" s="1">
        <v>10</v>
      </c>
      <c r="G10728" s="1">
        <v>6</v>
      </c>
      <c r="H10728" s="1">
        <v>0</v>
      </c>
      <c r="I10728" s="1" t="s">
        <v>22067</v>
      </c>
      <c r="K10728" s="1" t="str">
        <f t="shared" si="664"/>
        <v>ㄖ</v>
      </c>
      <c r="L10728" s="1" t="str">
        <f t="shared" si="665"/>
        <v>ㄨ</v>
      </c>
      <c r="M10728" s="1" t="str">
        <f t="shared" si="667"/>
        <v>ㄥ</v>
      </c>
      <c r="P10728" s="1" t="s">
        <v>20</v>
      </c>
      <c r="R10728" s="1" t="s">
        <v>22068</v>
      </c>
      <c r="V10728" s="1" t="s">
        <v>22073</v>
      </c>
      <c r="AR10728" s="1" t="str">
        <f t="shared" si="666"/>
        <v>| [ㄖㄨㄥˊ](ㄖㄨㄥˊ.md) | [茙](茙.md) |  | róng | 參見「茙菽」條。 |</v>
      </c>
    </row>
    <row r="10729" spans="1:44" hidden="1">
      <c r="A10729" s="1" t="s">
        <v>22074</v>
      </c>
      <c r="C10729" s="1">
        <v>1</v>
      </c>
      <c r="D10729" s="1" t="str">
        <f>"09347"</f>
        <v>09347</v>
      </c>
      <c r="E10729" s="1" t="s">
        <v>1703</v>
      </c>
      <c r="F10729" s="1">
        <v>10</v>
      </c>
      <c r="G10729" s="1">
        <v>6</v>
      </c>
      <c r="H10729" s="1">
        <v>0</v>
      </c>
      <c r="I10729" s="1" t="s">
        <v>22067</v>
      </c>
      <c r="K10729" s="1" t="str">
        <f t="shared" si="664"/>
        <v>ㄖ</v>
      </c>
      <c r="L10729" s="1" t="str">
        <f t="shared" si="665"/>
        <v>ㄨ</v>
      </c>
      <c r="M10729" s="1" t="str">
        <f t="shared" si="667"/>
        <v>ㄥ</v>
      </c>
      <c r="P10729" s="1" t="s">
        <v>20</v>
      </c>
      <c r="R10729" s="1" t="s">
        <v>22068</v>
      </c>
      <c r="V10729" s="1" t="s">
        <v>22075</v>
      </c>
      <c r="AR10729" s="1" t="str">
        <f t="shared" si="666"/>
        <v>| [ㄖㄨㄥˊ](ㄖㄨㄥˊ.md) | [毧](毧.md) |  | róng | [名]
1.細毛。如：「羊毧」、「鴨毧」。
2.毛織品。如：「呢毧」、「駱駝毧」、「長毛毧」。 |</v>
      </c>
    </row>
    <row r="10730" spans="1:44" hidden="1">
      <c r="A10730" s="1" t="s">
        <v>22076</v>
      </c>
      <c r="C10730" s="1">
        <v>1</v>
      </c>
      <c r="D10730" s="1" t="str">
        <f>"09348"</f>
        <v>09348</v>
      </c>
      <c r="E10730" s="1" t="s">
        <v>43</v>
      </c>
      <c r="F10730" s="1">
        <v>12</v>
      </c>
      <c r="G10730" s="1">
        <v>6</v>
      </c>
      <c r="H10730" s="1">
        <v>0</v>
      </c>
      <c r="I10730" s="1" t="s">
        <v>22067</v>
      </c>
      <c r="K10730" s="1" t="str">
        <f t="shared" si="664"/>
        <v>ㄖ</v>
      </c>
      <c r="L10730" s="1" t="str">
        <f t="shared" si="665"/>
        <v>ㄨ</v>
      </c>
      <c r="M10730" s="1" t="str">
        <f t="shared" si="667"/>
        <v>ㄥ</v>
      </c>
      <c r="P10730" s="1" t="s">
        <v>20</v>
      </c>
      <c r="R10730" s="1" t="s">
        <v>22068</v>
      </c>
      <c r="V10730" s="1" t="s">
        <v>22077</v>
      </c>
      <c r="AR10730" s="1" t="str">
        <f t="shared" si="666"/>
        <v>| [ㄖㄨㄥˊ](ㄖㄨㄥˊ.md) | [羢](羢.md) |  | róng | [名]
纖細的羊毛。元．武漢臣《玉壺春》第三折：「怎比的我有三十車羊羢潞紬。」 |</v>
      </c>
    </row>
    <row r="10731" spans="1:44" hidden="1">
      <c r="A10731" s="1" t="s">
        <v>22078</v>
      </c>
      <c r="C10731" s="1">
        <v>1</v>
      </c>
      <c r="D10731" s="1" t="str">
        <f>"09349"</f>
        <v>09349</v>
      </c>
      <c r="E10731" s="1" t="s">
        <v>725</v>
      </c>
      <c r="F10731" s="1">
        <v>12</v>
      </c>
      <c r="G10731" s="1">
        <v>6</v>
      </c>
      <c r="H10731" s="1">
        <v>0</v>
      </c>
      <c r="I10731" s="1" t="s">
        <v>22067</v>
      </c>
      <c r="K10731" s="1" t="str">
        <f t="shared" si="664"/>
        <v>ㄖ</v>
      </c>
      <c r="L10731" s="1" t="str">
        <f t="shared" si="665"/>
        <v>ㄨ</v>
      </c>
      <c r="M10731" s="1" t="str">
        <f t="shared" si="667"/>
        <v>ㄥ</v>
      </c>
      <c r="P10731" s="1" t="s">
        <v>20</v>
      </c>
      <c r="R10731" s="1" t="s">
        <v>22068</v>
      </c>
      <c r="V10731" s="1" t="s">
        <v>22079</v>
      </c>
      <c r="AR10731" s="1" t="str">
        <f t="shared" si="666"/>
        <v>| [ㄖㄨㄥˊ](ㄖㄨㄥˊ.md) | [絨](絨.md) |  | róng | [名]
1.細布。《玉篇．糸部》：「絨，細布也。」
2.表面有柔細短毛的絲織品。如：「絲絨」、「呢絨」。
3.刺繡用的絲線。明．楊基〈美人刺繡〉詩：「閒情正在停針處，笑嚼殘絨唾碧窗。」 |</v>
      </c>
    </row>
    <row r="10732" spans="1:44" hidden="1">
      <c r="A10732" s="1" t="s">
        <v>22080</v>
      </c>
      <c r="C10732" s="1">
        <v>1</v>
      </c>
      <c r="D10732" s="1" t="str">
        <f>"09350"</f>
        <v>09350</v>
      </c>
      <c r="E10732" s="1" t="s">
        <v>68</v>
      </c>
      <c r="F10732" s="1">
        <v>7</v>
      </c>
      <c r="G10732" s="1">
        <v>3</v>
      </c>
      <c r="H10732" s="1">
        <v>0</v>
      </c>
      <c r="I10732" s="1" t="s">
        <v>22067</v>
      </c>
      <c r="K10732" s="1" t="str">
        <f t="shared" si="664"/>
        <v>ㄖ</v>
      </c>
      <c r="L10732" s="1" t="str">
        <f t="shared" si="665"/>
        <v>ㄨ</v>
      </c>
      <c r="M10732" s="1" t="str">
        <f t="shared" si="667"/>
        <v>ㄥ</v>
      </c>
      <c r="P10732" s="1" t="s">
        <v>20</v>
      </c>
      <c r="R10732" s="1" t="s">
        <v>22068</v>
      </c>
      <c r="V10732" s="1" t="s">
        <v>22081</v>
      </c>
      <c r="AR10732" s="1" t="str">
        <f t="shared" si="666"/>
        <v>| [ㄖㄨㄥˊ](ㄖㄨㄥˊ.md) | [肜](肜.md) |  | róng | [名]
古代的一種祭祀名稱。乃指祭祀後第二天又進行的祭祀。《爾雅．釋天》：「繹，又祭也。周曰繹，商曰肜。」 |</v>
      </c>
    </row>
    <row r="10733" spans="1:44" hidden="1">
      <c r="A10733" s="1" t="s">
        <v>22082</v>
      </c>
      <c r="C10733" s="1">
        <v>1</v>
      </c>
      <c r="D10733" s="1" t="str">
        <f>"09351"</f>
        <v>09351</v>
      </c>
      <c r="E10733" s="1" t="s">
        <v>624</v>
      </c>
      <c r="F10733" s="1">
        <v>10</v>
      </c>
      <c r="G10733" s="1">
        <v>7</v>
      </c>
      <c r="H10733" s="1">
        <v>0</v>
      </c>
      <c r="I10733" s="1" t="s">
        <v>22067</v>
      </c>
      <c r="K10733" s="1" t="str">
        <f t="shared" si="664"/>
        <v>ㄖ</v>
      </c>
      <c r="L10733" s="1" t="str">
        <f t="shared" si="665"/>
        <v>ㄨ</v>
      </c>
      <c r="M10733" s="1" t="str">
        <f t="shared" si="667"/>
        <v>ㄥ</v>
      </c>
      <c r="P10733" s="1" t="s">
        <v>20</v>
      </c>
      <c r="R10733" s="1" t="s">
        <v>22068</v>
      </c>
      <c r="V10733" s="1" t="s">
        <v>22083</v>
      </c>
      <c r="AR10733" s="1" t="str">
        <f t="shared" si="666"/>
        <v>| [ㄖㄨㄥˊ](ㄖㄨㄥˊ.md) | [容](容.md) |  | róng | [動]
1.含納。如：「容身之所」。《詩經．衛風．河廣》：「誰謂河廣，曾不容刀。」宋．蘇軾〈留侯論〉：「子房之不死者，其間不能容髮，蓋亦已危矣。」
2.收留。《左傳．僖公七年》：「無適小國，將不女容焉。」《戰國策．燕策三》：「樊將軍亡秦之燕，太子容之。」
3.寬待、原諒。《史記．卷一一八．淮南王傳》：「兄弟二人不能相容。」南朝宋．劉義慶《世說新語．方正》：「君性亮直，必不容於寇讎。」
4.修飾、妝飾。如：「女為悅己者容」。宋．辛棄疾〈江神子．梅梅柳柳鬥纖穠〉詞：「梅梅柳柳鬥纖穠。亂山中，為誰容？」
5.可、允許。如：「容許」。《後漢書．卷六三．李固傳》：「竊感古人一飯之報，況言嗹遇而容不盡乎？」
[名]
1.面貌。《詩經．周頌．振鷺》：「振鷺于飛，于彼西雝。我客戾止，亦有斯容。」唐．韓愈〈獨孤申叔哀辭〉：「如聞其聲，如見其容。」
2.承裝量。漢．王充《論衡．骨相》：「察表候以知命，猶察斗斛以知容矣。」
3.姓。如明代有容悌與。
[副]
1.應當。《後漢書．卷六三．李固傳》：「宮省之內，容有陰謀。」
2.或許、也許。如：「容或有之」。明．宋應星《天工開物．卷上．粹精》：「凡稻最佳九穰一秕，倘風雨不時，耘耔失節，則六穰四秕者容有之。」 |</v>
      </c>
    </row>
    <row r="10734" spans="1:44" hidden="1">
      <c r="A10734" s="1" t="s">
        <v>22084</v>
      </c>
      <c r="C10734" s="1">
        <v>1</v>
      </c>
      <c r="D10734" s="1" t="str">
        <f>"09352"</f>
        <v>09352</v>
      </c>
      <c r="E10734" s="1" t="s">
        <v>129</v>
      </c>
      <c r="F10734" s="1">
        <v>13</v>
      </c>
      <c r="G10734" s="1">
        <v>10</v>
      </c>
      <c r="H10734" s="1">
        <v>0</v>
      </c>
      <c r="I10734" s="1" t="s">
        <v>22067</v>
      </c>
      <c r="K10734" s="1" t="str">
        <f t="shared" si="664"/>
        <v>ㄖ</v>
      </c>
      <c r="L10734" s="1" t="str">
        <f t="shared" si="665"/>
        <v>ㄨ</v>
      </c>
      <c r="M10734" s="1" t="str">
        <f t="shared" si="667"/>
        <v>ㄥ</v>
      </c>
      <c r="P10734" s="1" t="s">
        <v>20</v>
      </c>
      <c r="R10734" s="1" t="s">
        <v>22068</v>
      </c>
      <c r="V10734" s="1" t="s">
        <v>22085</v>
      </c>
      <c r="AR10734" s="1" t="str">
        <f t="shared" si="666"/>
        <v>| [ㄖㄨㄥˊ](ㄖㄨㄥˊ.md) | [溶](溶.md) |  | róng | [動]
物質在液體中分解。如：「溶化」、「溶解」、「即溶」。
[形]
水流盛大的樣子。南朝梁．江淹〈江上之山賦〉：「淵潾澒溶兮，楚水而吳江。」 |</v>
      </c>
    </row>
    <row r="10735" spans="1:44" hidden="1">
      <c r="A10735" s="1" t="s">
        <v>22086</v>
      </c>
      <c r="C10735" s="1">
        <v>1</v>
      </c>
      <c r="D10735" s="1" t="str">
        <f>"09353"</f>
        <v>09353</v>
      </c>
      <c r="E10735" s="1" t="s">
        <v>336</v>
      </c>
      <c r="F10735" s="1">
        <v>14</v>
      </c>
      <c r="G10735" s="1">
        <v>10</v>
      </c>
      <c r="H10735" s="1">
        <v>0</v>
      </c>
      <c r="I10735" s="1" t="s">
        <v>22067</v>
      </c>
      <c r="K10735" s="1" t="str">
        <f t="shared" si="664"/>
        <v>ㄖ</v>
      </c>
      <c r="L10735" s="1" t="str">
        <f t="shared" si="665"/>
        <v>ㄨ</v>
      </c>
      <c r="M10735" s="1" t="str">
        <f t="shared" si="667"/>
        <v>ㄥ</v>
      </c>
      <c r="P10735" s="1" t="s">
        <v>20</v>
      </c>
      <c r="R10735" s="1" t="s">
        <v>22068</v>
      </c>
      <c r="V10735" s="1" t="s">
        <v>22087</v>
      </c>
      <c r="AR10735" s="1" t="str">
        <f t="shared" si="666"/>
        <v>| [ㄖㄨㄥˊ](ㄖㄨㄥˊ.md) | [熔](熔.md) |  | róng | [動]
用高溫使金屬或固體物質變為液體狀態。如：「熔解」、「熔煉」、「熔化」。 |</v>
      </c>
    </row>
    <row r="10736" spans="1:44" hidden="1">
      <c r="A10736" s="1" t="s">
        <v>22088</v>
      </c>
      <c r="C10736" s="1">
        <v>1</v>
      </c>
      <c r="D10736" s="1" t="str">
        <f>"09354"</f>
        <v>09354</v>
      </c>
      <c r="E10736" s="1" t="s">
        <v>142</v>
      </c>
      <c r="F10736" s="1">
        <v>14</v>
      </c>
      <c r="G10736" s="1">
        <v>10</v>
      </c>
      <c r="H10736" s="1">
        <v>0</v>
      </c>
      <c r="I10736" s="1" t="s">
        <v>22067</v>
      </c>
      <c r="K10736" s="1" t="str">
        <f t="shared" si="664"/>
        <v>ㄖ</v>
      </c>
      <c r="L10736" s="1" t="str">
        <f t="shared" si="665"/>
        <v>ㄨ</v>
      </c>
      <c r="M10736" s="1" t="str">
        <f t="shared" si="667"/>
        <v>ㄥ</v>
      </c>
      <c r="P10736" s="1" t="s">
        <v>20</v>
      </c>
      <c r="R10736" s="1" t="s">
        <v>22068</v>
      </c>
      <c r="V10736" s="1" t="s">
        <v>22089</v>
      </c>
      <c r="AR10736" s="1" t="str">
        <f t="shared" si="666"/>
        <v>| [ㄖㄨㄥˊ](ㄖㄨㄥˊ.md) | [瑢](瑢.md) |  | róng | 參見「瑽瑢」條。 |</v>
      </c>
    </row>
    <row r="10737" spans="1:44" hidden="1">
      <c r="A10737" s="1" t="s">
        <v>22090</v>
      </c>
      <c r="C10737" s="1">
        <v>1</v>
      </c>
      <c r="D10737" s="1" t="str">
        <f>"09355"</f>
        <v>09355</v>
      </c>
      <c r="E10737" s="1" t="s">
        <v>139</v>
      </c>
      <c r="F10737" s="1">
        <v>14</v>
      </c>
      <c r="G10737" s="1">
        <v>10</v>
      </c>
      <c r="H10737" s="1">
        <v>0</v>
      </c>
      <c r="I10737" s="1" t="s">
        <v>22067</v>
      </c>
      <c r="K10737" s="1" t="str">
        <f t="shared" si="664"/>
        <v>ㄖ</v>
      </c>
      <c r="L10737" s="1" t="str">
        <f t="shared" si="665"/>
        <v>ㄨ</v>
      </c>
      <c r="M10737" s="1" t="str">
        <f t="shared" si="667"/>
        <v>ㄥ</v>
      </c>
      <c r="P10737" s="1" t="s">
        <v>20</v>
      </c>
      <c r="R10737" s="1" t="s">
        <v>22068</v>
      </c>
      <c r="V10737" s="1" t="s">
        <v>22091</v>
      </c>
      <c r="AR10737" s="1" t="str">
        <f t="shared" si="666"/>
        <v>| [ㄖㄨㄥˊ](ㄖㄨㄥˊ.md) | [榕](榕.md) |  | róng | [名]
植物名。桑科，常綠喬木。分枝極多，覆蓋面廣。由枝出叢生氣根，狀如馬尾，長者下垂入地。葉橢圓呈倒卵形，表面深綠色。開紅花，果實圓而小，似無花果。樹皮可入藥。產於熱帶地區。材質較柔軟，可製木器。園藝上常作盆栽以觀賞。繁殖容易且生長快速，常植為行道樹。 |</v>
      </c>
    </row>
    <row r="10738" spans="1:44" hidden="1">
      <c r="A10738" s="1" t="s">
        <v>22092</v>
      </c>
      <c r="C10738" s="1">
        <v>1</v>
      </c>
      <c r="D10738" s="1" t="str">
        <f>"09356"</f>
        <v>09356</v>
      </c>
      <c r="E10738" s="1" t="s">
        <v>37</v>
      </c>
      <c r="F10738" s="1">
        <v>14</v>
      </c>
      <c r="G10738" s="1">
        <v>10</v>
      </c>
      <c r="H10738" s="1">
        <v>0</v>
      </c>
      <c r="I10738" s="1" t="s">
        <v>22067</v>
      </c>
      <c r="K10738" s="1" t="str">
        <f t="shared" si="664"/>
        <v>ㄖ</v>
      </c>
      <c r="L10738" s="1" t="str">
        <f t="shared" si="665"/>
        <v>ㄨ</v>
      </c>
      <c r="M10738" s="1" t="str">
        <f t="shared" si="667"/>
        <v>ㄥ</v>
      </c>
      <c r="P10738" s="1" t="s">
        <v>20</v>
      </c>
      <c r="R10738" s="1" t="s">
        <v>22068</v>
      </c>
      <c r="V10738" s="1" t="s">
        <v>22093</v>
      </c>
      <c r="AR10738" s="1" t="str">
        <f t="shared" si="666"/>
        <v>| [ㄖㄨㄥˊ](ㄖㄨㄥˊ.md) | [蓉](蓉.md) |  | róng | [名]
1.參見「芙蓉」條。
2.蓉城的簡稱。今大陸地區四川省城的別名。參見「蓉城」條。
3.瓜果、豆類磨粉後製成的糕餅餡。如：「豆沙蓮蓉」、「椰蓉」。 |</v>
      </c>
    </row>
    <row r="10739" spans="1:44" hidden="1">
      <c r="A10739" s="1" t="s">
        <v>22094</v>
      </c>
      <c r="C10739" s="1">
        <v>1</v>
      </c>
      <c r="D10739" s="1" t="str">
        <f>"09357"</f>
        <v>09357</v>
      </c>
      <c r="E10739" s="1" t="s">
        <v>55</v>
      </c>
      <c r="F10739" s="1">
        <v>18</v>
      </c>
      <c r="G10739" s="1">
        <v>10</v>
      </c>
      <c r="H10739" s="1">
        <v>0</v>
      </c>
      <c r="I10739" s="1" t="s">
        <v>22067</v>
      </c>
      <c r="K10739" s="1" t="str">
        <f t="shared" si="664"/>
        <v>ㄖ</v>
      </c>
      <c r="L10739" s="1" t="str">
        <f t="shared" si="665"/>
        <v>ㄨ</v>
      </c>
      <c r="M10739" s="1" t="str">
        <f t="shared" si="667"/>
        <v>ㄥ</v>
      </c>
      <c r="P10739" s="1" t="s">
        <v>20</v>
      </c>
      <c r="R10739" s="1" t="s">
        <v>22068</v>
      </c>
      <c r="V10739" s="1" t="s">
        <v>22095</v>
      </c>
      <c r="AR10739" s="1" t="str">
        <f t="shared" si="666"/>
        <v>| [ㄖㄨㄥˊ](ㄖㄨㄥˊ.md) | [鎔](鎔.md) |  | róng | [名]
鑄造金屬器物的模型。漢．董仲舒〈賢良策〉：「上之化下，下之從上，猶泥之在鈞，唯甄者之所為；猶金之在鎔，惟冶者之所鑄。」
[動]
用火融化金屬。南朝陳．徐陵〈天台山館徐則法師碑〉：「玉粒雖軟，金膏未鎔。」 |</v>
      </c>
    </row>
    <row r="10740" spans="1:44" hidden="1">
      <c r="A10740" s="1" t="s">
        <v>22096</v>
      </c>
      <c r="C10740" s="1">
        <v>1</v>
      </c>
      <c r="D10740" s="1" t="str">
        <f>"09358"</f>
        <v>09358</v>
      </c>
      <c r="E10740" s="1" t="s">
        <v>156</v>
      </c>
      <c r="F10740" s="1">
        <v>21</v>
      </c>
      <c r="G10740" s="1">
        <v>10</v>
      </c>
      <c r="H10740" s="1">
        <v>0</v>
      </c>
      <c r="I10740" s="1" t="s">
        <v>22067</v>
      </c>
      <c r="K10740" s="1" t="str">
        <f t="shared" si="664"/>
        <v>ㄖ</v>
      </c>
      <c r="L10740" s="1" t="str">
        <f t="shared" si="665"/>
        <v>ㄨ</v>
      </c>
      <c r="M10740" s="1" t="str">
        <f t="shared" si="667"/>
        <v>ㄥ</v>
      </c>
      <c r="P10740" s="1" t="s">
        <v>20</v>
      </c>
      <c r="R10740" s="1" t="s">
        <v>22068</v>
      </c>
      <c r="V10740" s="1" t="s">
        <v>22097</v>
      </c>
      <c r="AR10740" s="1" t="str">
        <f t="shared" si="666"/>
        <v>| [ㄖㄨㄥˊ](ㄖㄨㄥˊ.md) | [鰫](鰫.md) |  | róng | [名]
一種形體似鰱的魚。《集韻．平聲．鍾韻》：「鰫，似鰱而黑。」 |</v>
      </c>
    </row>
    <row r="10741" spans="1:44" hidden="1">
      <c r="A10741" s="1" t="s">
        <v>22098</v>
      </c>
      <c r="C10741" s="1">
        <v>1</v>
      </c>
      <c r="D10741" s="1" t="str">
        <f>"09359"</f>
        <v>09359</v>
      </c>
      <c r="E10741" s="1" t="s">
        <v>37</v>
      </c>
      <c r="F10741" s="1">
        <v>10</v>
      </c>
      <c r="G10741" s="1">
        <v>6</v>
      </c>
      <c r="H10741" s="1">
        <v>1</v>
      </c>
      <c r="I10741" s="1" t="s">
        <v>22067</v>
      </c>
      <c r="K10741" s="1" t="str">
        <f t="shared" si="664"/>
        <v>ㄖ</v>
      </c>
      <c r="L10741" s="1" t="str">
        <f t="shared" si="665"/>
        <v>ㄨ</v>
      </c>
      <c r="M10741" s="1" t="str">
        <f t="shared" si="667"/>
        <v>ㄥ</v>
      </c>
      <c r="P10741" s="1" t="s">
        <v>20</v>
      </c>
      <c r="R10741" s="1" t="s">
        <v>22068</v>
      </c>
      <c r="V10741" s="1" t="s">
        <v>22099</v>
      </c>
      <c r="W10741" s="1" t="s">
        <v>22100</v>
      </c>
      <c r="AR10741" s="1" t="str">
        <f t="shared" si="666"/>
        <v>| [ㄖㄨㄥˊ](ㄖㄨㄥˊ.md) | [茸](茸.md) |  | róng | [形]_x000D_
1.草木初生時細柔的樣子。《說文解字．艸部》：「茸，艸茸茸貌。」_x000D_
2.散亂不整齊。唐．李商隱〈李肱所遺畫松詩書兩紙得四十韻〉：「旖旎狐裘茸，鄒顛蓐髮軟。」_x000D_
[名]_x000D_
1.草木初生時的嫩苗。唐．韓愈、孟郊〈有所思聯句〉：「臺鏡晦舊暉，庭草滋深茸。」_x000D_
2.鹿茸的簡稱。因初生的鹿角被有細短的毛，所以稱為「鹿茸」。宋．黃庭堅〈夏日夢伯兄寄江南〉詩：「河天月暈魚生子，槲夜風微鹿養茸。」_x000D_
3.鳥獸細柔的毛。宋．蘇軾〈正月一日雪中過淮謁客回作〉詩二首之一：「水崖落屐齒，風葉亂裘茸。」_x000D_
4.繡線。通「絨」。明．高啟〈效香奩〉詩二首之一：「青瑣初空別恨長，繡茸留得唾痕香。」 |</v>
      </c>
    </row>
    <row r="10742" spans="1:44" hidden="1">
      <c r="A10742" s="1" t="s">
        <v>22101</v>
      </c>
      <c r="C10742" s="1">
        <v>1</v>
      </c>
      <c r="D10742" s="1" t="str">
        <f>"09360"</f>
        <v>09360</v>
      </c>
      <c r="E10742" s="1" t="s">
        <v>1078</v>
      </c>
      <c r="F10742" s="1">
        <v>16</v>
      </c>
      <c r="G10742" s="1">
        <v>6</v>
      </c>
      <c r="H10742" s="1">
        <v>0</v>
      </c>
      <c r="I10742" s="1" t="s">
        <v>22067</v>
      </c>
      <c r="K10742" s="1" t="str">
        <f t="shared" si="664"/>
        <v>ㄖ</v>
      </c>
      <c r="L10742" s="1" t="str">
        <f t="shared" si="665"/>
        <v>ㄨ</v>
      </c>
      <c r="M10742" s="1" t="str">
        <f t="shared" si="667"/>
        <v>ㄥ</v>
      </c>
      <c r="P10742" s="1" t="s">
        <v>20</v>
      </c>
      <c r="R10742" s="1" t="s">
        <v>22068</v>
      </c>
      <c r="V10742" s="1" t="s">
        <v>22102</v>
      </c>
      <c r="AR10742" s="1" t="str">
        <f t="shared" si="666"/>
        <v>| [ㄖㄨㄥˊ](ㄖㄨㄥˊ.md) | [髶](髶.md) |  | róng | [形]
蓬頭散髮的樣子。《廣韻．平聲．鍾韻》：「髶，髮多亂貌。」 |</v>
      </c>
    </row>
    <row r="10743" spans="1:44" hidden="1">
      <c r="A10743" s="1" t="s">
        <v>22103</v>
      </c>
      <c r="C10743" s="1">
        <v>1</v>
      </c>
      <c r="D10743" s="1" t="str">
        <f>"09361"</f>
        <v>09361</v>
      </c>
      <c r="E10743" s="1" t="s">
        <v>684</v>
      </c>
      <c r="F10743" s="1">
        <v>13</v>
      </c>
      <c r="G10743" s="1">
        <v>4</v>
      </c>
      <c r="H10743" s="1">
        <v>2</v>
      </c>
      <c r="I10743" s="1" t="s">
        <v>22067</v>
      </c>
      <c r="K10743" s="1" t="str">
        <f t="shared" si="664"/>
        <v>ㄖ</v>
      </c>
      <c r="L10743" s="1" t="str">
        <f t="shared" si="665"/>
        <v>ㄨ</v>
      </c>
      <c r="M10743" s="1" t="str">
        <f t="shared" si="667"/>
        <v>ㄥ</v>
      </c>
      <c r="P10743" s="1" t="s">
        <v>20</v>
      </c>
      <c r="R10743" s="1" t="s">
        <v>22068</v>
      </c>
      <c r="V10743" s="1" t="s">
        <v>22104</v>
      </c>
      <c r="W10743" s="1" t="s">
        <v>22105</v>
      </c>
      <c r="AR10743" s="1" t="str">
        <f t="shared" si="666"/>
        <v>| [ㄖㄨㄥˊ](ㄖㄨㄥˊ.md) | [頌](頌.md) |  | róng | [名]
儀容。通「容」。《說文解字．頁部》：「頌，貌也。」清．段玉裁．注：「貌下曰：『頌，儀也。』古作頌貌，今作容貌。」《漢書．卷八八．儒林傳．毛公傳》：「教時，徐生以頌為禮官大夫，傳子至孫延、襄。」
[動]
寬容。通「容」。《史記．卷八三．魯仲連鄒陽傳》：「世以鮑焦為無從頌而死者，皆非也。」 |</v>
      </c>
    </row>
    <row r="10744" spans="1:44" hidden="1">
      <c r="A10744" s="1" t="s">
        <v>22106</v>
      </c>
      <c r="C10744" s="1">
        <v>1</v>
      </c>
      <c r="D10744" s="1" t="str">
        <f>"09362"</f>
        <v>09362</v>
      </c>
      <c r="E10744" s="1" t="s">
        <v>139</v>
      </c>
      <c r="F10744" s="1">
        <v>14</v>
      </c>
      <c r="G10744" s="1">
        <v>10</v>
      </c>
      <c r="H10744" s="1">
        <v>0</v>
      </c>
      <c r="I10744" s="1" t="s">
        <v>22067</v>
      </c>
      <c r="K10744" s="1" t="str">
        <f t="shared" si="664"/>
        <v>ㄖ</v>
      </c>
      <c r="L10744" s="1" t="str">
        <f t="shared" si="665"/>
        <v>ㄨ</v>
      </c>
      <c r="M10744" s="1" t="str">
        <f t="shared" si="667"/>
        <v>ㄥ</v>
      </c>
      <c r="P10744" s="1" t="s">
        <v>20</v>
      </c>
      <c r="R10744" s="1" t="s">
        <v>22068</v>
      </c>
      <c r="V10744" s="1" t="s">
        <v>22107</v>
      </c>
      <c r="AR10744" s="1" t="str">
        <f t="shared" si="666"/>
        <v>| [ㄖㄨㄥˊ](ㄖㄨㄥˊ.md) | [榮](榮.md) |  | róng | [名]
1.屋檐兩頭翹起的部分。《說文解字．木部》：「屋梠之兩頭起者為榮。」清．段玉裁．注：「齊謂之檐，楚謂之梠，檐之兩頭軒起為榮。」
2.花。《文選．古詩十九首．庭中有奇樹》：「攀條折其榮，將以遺所思。」唐．陳子昂〈送客〉詩：「白蘋已堪把，綠芷復含榮。」
3.富貴、顯達。如：「榮華富貴」。唐．杜甫〈自京赴奉先縣詠懷五百字〉詩：「榮枯咫尺異，惆悵難再述。」
4.光耀、光榮。如：「引以為榮」。《易經．繫辭上》：「言行君子之樞機，樞機之發，榮辱之主也。」
5.姓。如清代有榮祿。
[形]
茂盛、繁多。《荀子．大略》：「室宮榮與？婦謁盛與？」
[副]
光耀的。如：「榮獲」、「榮任」、「衣錦榮歸」。 |</v>
      </c>
    </row>
    <row r="10745" spans="1:44" hidden="1">
      <c r="A10745" s="1" t="s">
        <v>12798</v>
      </c>
      <c r="C10745" s="1">
        <v>1</v>
      </c>
      <c r="D10745" s="1" t="str">
        <f>"09363"</f>
        <v>09363</v>
      </c>
      <c r="E10745" s="1" t="s">
        <v>190</v>
      </c>
      <c r="F10745" s="1">
        <v>17</v>
      </c>
      <c r="G10745" s="1">
        <v>14</v>
      </c>
      <c r="H10745" s="1">
        <v>1</v>
      </c>
      <c r="I10745" s="1" t="s">
        <v>22067</v>
      </c>
      <c r="K10745" s="1" t="str">
        <f t="shared" si="664"/>
        <v>ㄖ</v>
      </c>
      <c r="L10745" s="1" t="str">
        <f t="shared" si="665"/>
        <v>ㄨ</v>
      </c>
      <c r="M10745" s="1" t="str">
        <f t="shared" si="667"/>
        <v>ㄥ</v>
      </c>
      <c r="P10745" s="1" t="s">
        <v>20</v>
      </c>
      <c r="R10745" s="1" t="s">
        <v>22068</v>
      </c>
      <c r="V10745" s="1" t="s">
        <v>18735</v>
      </c>
      <c r="W10745" s="1" t="s">
        <v>22108</v>
      </c>
      <c r="AR10745" s="1" t="str">
        <f t="shared" si="666"/>
        <v>| [ㄖㄨㄥˊ](ㄖㄨㄥˊ.md) | [嶸](嶸.md) |  | róng | 參見「崢嶸」條。 |</v>
      </c>
    </row>
    <row r="10746" spans="1:44" hidden="1">
      <c r="A10746" s="1" t="s">
        <v>22109</v>
      </c>
      <c r="C10746" s="1">
        <v>1</v>
      </c>
      <c r="D10746" s="1" t="str">
        <f>"09364"</f>
        <v>09364</v>
      </c>
      <c r="E10746" s="1" t="s">
        <v>679</v>
      </c>
      <c r="F10746" s="1">
        <v>20</v>
      </c>
      <c r="G10746" s="1">
        <v>14</v>
      </c>
      <c r="H10746" s="1">
        <v>0</v>
      </c>
      <c r="I10746" s="1" t="s">
        <v>22067</v>
      </c>
      <c r="K10746" s="1" t="str">
        <f t="shared" si="664"/>
        <v>ㄖ</v>
      </c>
      <c r="L10746" s="1" t="str">
        <f t="shared" si="665"/>
        <v>ㄨ</v>
      </c>
      <c r="M10746" s="1" t="str">
        <f t="shared" si="667"/>
        <v>ㄥ</v>
      </c>
      <c r="P10746" s="1" t="s">
        <v>20</v>
      </c>
      <c r="R10746" s="1" t="s">
        <v>22068</v>
      </c>
      <c r="V10746" s="1" t="s">
        <v>22110</v>
      </c>
      <c r="AR10746" s="1" t="str">
        <f t="shared" si="666"/>
        <v>| [ㄖㄨㄥˊ](ㄖㄨㄥˊ.md) | [蠑](蠑.md) |  | róng | 參見「蠑螺」、「蠑螈」等條。 |</v>
      </c>
    </row>
    <row r="10747" spans="1:44" hidden="1">
      <c r="A10747" s="1" t="s">
        <v>22111</v>
      </c>
      <c r="C10747" s="1">
        <v>1</v>
      </c>
      <c r="D10747" s="1" t="str">
        <f>"09365"</f>
        <v>09365</v>
      </c>
      <c r="E10747" s="1" t="s">
        <v>679</v>
      </c>
      <c r="F10747" s="1">
        <v>16</v>
      </c>
      <c r="G10747" s="1">
        <v>10</v>
      </c>
      <c r="H10747" s="1">
        <v>0</v>
      </c>
      <c r="I10747" s="1" t="s">
        <v>22067</v>
      </c>
      <c r="K10747" s="1" t="str">
        <f t="shared" si="664"/>
        <v>ㄖ</v>
      </c>
      <c r="L10747" s="1" t="str">
        <f t="shared" si="665"/>
        <v>ㄨ</v>
      </c>
      <c r="M10747" s="1" t="str">
        <f t="shared" si="667"/>
        <v>ㄥ</v>
      </c>
      <c r="P10747" s="1" t="s">
        <v>20</v>
      </c>
      <c r="R10747" s="1" t="s">
        <v>22068</v>
      </c>
      <c r="V10747" s="1" t="s">
        <v>22112</v>
      </c>
      <c r="AR10747" s="1" t="str">
        <f t="shared" si="666"/>
        <v>| [ㄖㄨㄥˊ](ㄖㄨㄥˊ.md) | [融](融.md) |  | róng | [動]
1.炊煮時，火氣上升消散。《說文解字．鬲部》：「融，炊气上出也。」
2.消溶、溶化。唐．盧仝〈酬願公雪中見寄〉詩：「梅柳意卻活，園圃冰始融。」宋．王安石〈北山道人栽松〉詩：「陽坡風暖雪初融，度谷遙看積翠重。」
3.調和。如：「水乳交融」。
4.流通。如：「融通資金」。《文選．何晏．景福殿賦》：「雲行雨施，品物咸融。」
[形]
1.和樂。如：「其樂融融」。
2.長久。《文選．蔡邕．郭有道碑文》：「稟命不融，享年四十有二。」
[名]
傳說中的火神。即祝融。《墨子．非攻下》：「天命融隆火。」《國語．周語上》：「昔夏之興也，融降于崇山；其亡也，回祿信於耹隧。」 |</v>
      </c>
    </row>
    <row r="10748" spans="1:44" hidden="1">
      <c r="A10748" s="1" t="s">
        <v>22113</v>
      </c>
      <c r="C10748" s="1">
        <v>1</v>
      </c>
      <c r="D10748" s="1" t="str">
        <f>"09366"</f>
        <v>09366</v>
      </c>
      <c r="E10748" s="1" t="s">
        <v>3359</v>
      </c>
      <c r="F10748" s="1">
        <v>4</v>
      </c>
      <c r="G10748" s="1">
        <v>2</v>
      </c>
      <c r="H10748" s="1">
        <v>0</v>
      </c>
      <c r="I10748" s="1" t="s">
        <v>22114</v>
      </c>
      <c r="K10748" s="1" t="str">
        <f t="shared" si="664"/>
        <v>ㄖ</v>
      </c>
      <c r="L10748" s="1" t="str">
        <f t="shared" si="665"/>
        <v>ㄨ</v>
      </c>
      <c r="M10748" s="1" t="str">
        <f t="shared" si="667"/>
        <v>ㄥ</v>
      </c>
      <c r="P10748" s="1" t="s">
        <v>20</v>
      </c>
      <c r="R10748" s="1" t="s">
        <v>22115</v>
      </c>
      <c r="V10748" s="1" t="s">
        <v>22116</v>
      </c>
      <c r="AR10748" s="1" t="str">
        <f t="shared" si="666"/>
        <v>| [ㄖㄨㄥˇ](ㄖㄨㄥˇ.md) | [冗](冗.md) |  | rǒng | [形]
1.閒散。《周禮．地官．槁人》：「槁人掌共外內朝冗食者之食。」唐．韓愈〈進學解〉：「三年博士，冗不見治。」
2.雜亂。宋．王安石〈進修南郊敕式表〉：「而臣等承撰次之明詔，迨茲彌歲，僅乃終篇，猶因用於故常，特刪除其紛冗。」《金史．卷一〇八．胥鼎傳》：「天下之大，萬機之眾，錢穀之冗，非九重所能兼。」
3.繁忙。宋．劉宰〈走筆謝王去非遣餽江鱭〉詩：「知君束裝冗，不敢折簡致。」
4.多餘無用的。如：「冗員」。《文選．陸機．文賦》：「要辭達而理舉，故無取乎冗長。」
5.愚劣。晉．傅咸〈致汝南王亮書〉：「咸之愚冗，不惟失望而已，竊以為憂。」 |</v>
      </c>
    </row>
    <row r="10749" spans="1:44" hidden="1">
      <c r="A10749" s="1" t="s">
        <v>22098</v>
      </c>
      <c r="C10749" s="1">
        <v>1</v>
      </c>
      <c r="D10749" s="1" t="str">
        <f>"09367"</f>
        <v>09367</v>
      </c>
      <c r="E10749" s="1" t="s">
        <v>37</v>
      </c>
      <c r="F10749" s="1">
        <v>10</v>
      </c>
      <c r="G10749" s="1">
        <v>6</v>
      </c>
      <c r="H10749" s="1">
        <v>2</v>
      </c>
      <c r="I10749" s="1" t="s">
        <v>22114</v>
      </c>
      <c r="K10749" s="1" t="str">
        <f t="shared" si="664"/>
        <v>ㄖ</v>
      </c>
      <c r="L10749" s="1" t="str">
        <f t="shared" si="665"/>
        <v>ㄨ</v>
      </c>
      <c r="M10749" s="1" t="str">
        <f t="shared" si="667"/>
        <v>ㄥ</v>
      </c>
      <c r="P10749" s="1" t="s">
        <v>20</v>
      </c>
      <c r="R10749" s="1" t="s">
        <v>22115</v>
      </c>
      <c r="V10749" s="1" t="s">
        <v>22117</v>
      </c>
      <c r="W10749" s="1" t="s">
        <v>22118</v>
      </c>
      <c r="AR10749" s="1" t="str">
        <f t="shared" si="666"/>
        <v>| [ㄖㄨㄥˇ](ㄖㄨㄥˇ.md) | [茸](茸.md) |  | rǒng | [動]
推入、推致。《漢書．卷六二．司馬遷傳》：「而僕又茸以蠶室，重為天下觀笑。」 |</v>
      </c>
    </row>
    <row r="10750" spans="1:44" hidden="1">
      <c r="A10750" s="1" t="s">
        <v>22119</v>
      </c>
      <c r="C10750" s="1">
        <v>1</v>
      </c>
      <c r="D10750" s="1" t="str">
        <f>"09368"</f>
        <v>09368</v>
      </c>
      <c r="E10750" s="1" t="s">
        <v>1703</v>
      </c>
      <c r="F10750" s="1">
        <v>16</v>
      </c>
      <c r="G10750" s="1">
        <v>12</v>
      </c>
      <c r="H10750" s="1">
        <v>0</v>
      </c>
      <c r="I10750" s="1" t="s">
        <v>22114</v>
      </c>
      <c r="K10750" s="1" t="str">
        <f t="shared" si="664"/>
        <v>ㄖ</v>
      </c>
      <c r="L10750" s="1" t="str">
        <f t="shared" si="665"/>
        <v>ㄨ</v>
      </c>
      <c r="M10750" s="1" t="str">
        <f t="shared" si="667"/>
        <v>ㄥ</v>
      </c>
      <c r="P10750" s="1" t="s">
        <v>20</v>
      </c>
      <c r="R10750" s="1" t="s">
        <v>22115</v>
      </c>
      <c r="V10750" s="1" t="s">
        <v>22120</v>
      </c>
      <c r="AR10750" s="1" t="str">
        <f t="shared" si="666"/>
        <v>| [ㄖㄨㄥˇ](ㄖㄨㄥˇ.md) | [氄](氄.md) |  | rǒng | [名]
鳥獸細密的毛髮。《書經．堯典》：「厥民隩，鳥獸氄毛。」漢．孔安國．傳：「鳥獸皆生耎毳細毛以自溫焉。」 |</v>
      </c>
    </row>
    <row r="10751" spans="1:44" hidden="1">
      <c r="A10751" s="1" t="s">
        <v>21678</v>
      </c>
      <c r="C10751" s="1">
        <v>1</v>
      </c>
      <c r="D10751" s="1" t="str">
        <f>"09182"</f>
        <v>09182</v>
      </c>
      <c r="E10751" s="1" t="s">
        <v>336</v>
      </c>
      <c r="F10751" s="1">
        <v>15</v>
      </c>
      <c r="G10751" s="1">
        <v>11</v>
      </c>
      <c r="H10751" s="1">
        <v>0</v>
      </c>
      <c r="I10751" s="1" t="s">
        <v>21679</v>
      </c>
      <c r="K10751" s="1" t="str">
        <f t="shared" si="664"/>
        <v>ㄖ</v>
      </c>
      <c r="L10751" s="1" t="str">
        <f t="shared" si="665"/>
        <v>ㄜ</v>
      </c>
      <c r="N10751" s="3" t="s">
        <v>30574</v>
      </c>
      <c r="O10751" s="3"/>
      <c r="P10751" s="1" t="s">
        <v>20</v>
      </c>
      <c r="R10751" s="1" t="s">
        <v>21680</v>
      </c>
      <c r="V10751" s="1" t="s">
        <v>21681</v>
      </c>
      <c r="AR10751" s="1" t="str">
        <f t="shared" si="666"/>
        <v>| [ㄖㄜˋ](ㄖㄜˋ.md) | [熱](熱.md) |  | rè | [名]
1.高溫度。與「冷」相對。如：「發熱」、「冷熱」。
2.物體溫度升高所釋出的一種能。如：「地熱」、「白熱」、「導熱」。
3.熱氣、暑氣。《文選．揚雄．解嘲》：「天收其聲，地藏其熱。」
4.某一種受人喜愛的潮流。如：「大陸熱」、「觀光熱」。
5.姓。如宋代有熱煥。
[動]
加熱、使溫度升高。如：「把這碗湯拿去再熱一下。」
[形]
1.溫度高的。如：「熱水」、「熱氣」。
2.親切、情意濃厚。如：「熱心」、「熱絡」。
3.受人喜愛的。如：「熱門」。
4.心中著急。《陳書．卷三三．鄭灼傳》：「灼常蔬食，講授多苦心熱。」
[副]
強烈的、非常的。如：「熱戀」、「熱愛」。 |</v>
      </c>
    </row>
    <row r="10752" spans="1:44" hidden="1">
      <c r="A10752" s="1" t="s">
        <v>21682</v>
      </c>
      <c r="C10752" s="1">
        <v>1</v>
      </c>
      <c r="D10752" s="1" t="str">
        <f>"09183"</f>
        <v>09183</v>
      </c>
      <c r="E10752" s="1" t="s">
        <v>336</v>
      </c>
      <c r="F10752" s="1">
        <v>19</v>
      </c>
      <c r="G10752" s="1">
        <v>15</v>
      </c>
      <c r="H10752" s="1">
        <v>2</v>
      </c>
      <c r="I10752" s="1" t="s">
        <v>21679</v>
      </c>
      <c r="K10752" s="1" t="str">
        <f t="shared" si="664"/>
        <v>ㄖ</v>
      </c>
      <c r="L10752" s="1" t="str">
        <f t="shared" si="665"/>
        <v>ㄜ</v>
      </c>
      <c r="N10752" s="3" t="s">
        <v>30574</v>
      </c>
      <c r="O10752" s="3"/>
      <c r="P10752" s="1" t="s">
        <v>110</v>
      </c>
      <c r="R10752" s="1" t="s">
        <v>21680</v>
      </c>
      <c r="V10752" s="1" t="s">
        <v>111</v>
      </c>
      <c r="W10752" s="1" t="s">
        <v>21683</v>
      </c>
      <c r="AR10752" s="1" t="str">
        <f t="shared" si="666"/>
        <v>| [ㄖㄜˋ](ㄖㄜˋ.md) | [爇](爇.md) |  | rè | (一)之又音。 |</v>
      </c>
    </row>
    <row r="10753" spans="1:44" hidden="1">
      <c r="A10753" s="1" t="s">
        <v>21669</v>
      </c>
      <c r="C10753" s="1">
        <v>1</v>
      </c>
      <c r="D10753" s="1" t="str">
        <f>"09179"</f>
        <v>09179</v>
      </c>
      <c r="E10753" s="1" t="s">
        <v>37</v>
      </c>
      <c r="F10753" s="1">
        <v>9</v>
      </c>
      <c r="G10753" s="1">
        <v>5</v>
      </c>
      <c r="H10753" s="1">
        <v>2</v>
      </c>
      <c r="I10753" s="1" t="s">
        <v>21670</v>
      </c>
      <c r="K10753" s="1" t="str">
        <f t="shared" ref="K10753:K10816" si="668">LEFT(I10753, 1)</f>
        <v>ㄖ</v>
      </c>
      <c r="L10753" s="1" t="str">
        <f t="shared" ref="L10753:L10816" si="669">MID(I10753, 2, 1)</f>
        <v>ㄜ</v>
      </c>
      <c r="N10753" s="3" t="s">
        <v>30576</v>
      </c>
      <c r="O10753" s="3"/>
      <c r="P10753" s="1" t="s">
        <v>20</v>
      </c>
      <c r="R10753" s="1" t="s">
        <v>21671</v>
      </c>
      <c r="V10753" s="1" t="s">
        <v>21672</v>
      </c>
      <c r="W10753" s="1" t="s">
        <v>21673</v>
      </c>
      <c r="AR10753" s="1" t="str">
        <f t="shared" si="666"/>
        <v>| [ㄖㄜˇ](ㄖㄜˇ.md) | [若](若.md) |  | rě | 參見「般若」、「蘭若」等條。 |</v>
      </c>
    </row>
    <row r="10754" spans="1:44" hidden="1">
      <c r="A10754" s="1" t="s">
        <v>7693</v>
      </c>
      <c r="C10754" s="1">
        <v>1</v>
      </c>
      <c r="D10754" s="1" t="str">
        <f>"09180"</f>
        <v>09180</v>
      </c>
      <c r="E10754" s="1" t="s">
        <v>28</v>
      </c>
      <c r="F10754" s="1">
        <v>12</v>
      </c>
      <c r="G10754" s="1">
        <v>9</v>
      </c>
      <c r="H10754" s="1">
        <v>1</v>
      </c>
      <c r="I10754" s="1" t="s">
        <v>21670</v>
      </c>
      <c r="K10754" s="1" t="str">
        <f t="shared" si="668"/>
        <v>ㄖ</v>
      </c>
      <c r="L10754" s="1" t="str">
        <f t="shared" si="669"/>
        <v>ㄜ</v>
      </c>
      <c r="N10754" s="3" t="s">
        <v>30576</v>
      </c>
      <c r="O10754" s="3"/>
      <c r="P10754" s="1" t="s">
        <v>20</v>
      </c>
      <c r="R10754" s="1" t="s">
        <v>21671</v>
      </c>
      <c r="V10754" s="1" t="s">
        <v>21674</v>
      </c>
      <c r="W10754" s="1" t="s">
        <v>21675</v>
      </c>
      <c r="AR10754" s="1" t="str">
        <f t="shared" si="666"/>
        <v>| [ㄖㄜˇ](ㄖㄜˇ.md) | [喏](喏.md) |  | rě | 參見「唱喏」條。 |</v>
      </c>
    </row>
    <row r="10755" spans="1:44" hidden="1">
      <c r="A10755" s="1" t="s">
        <v>21676</v>
      </c>
      <c r="C10755" s="1">
        <v>1</v>
      </c>
      <c r="D10755" s="1" t="str">
        <f>"09181"</f>
        <v>09181</v>
      </c>
      <c r="E10755" s="1" t="s">
        <v>250</v>
      </c>
      <c r="F10755" s="1">
        <v>13</v>
      </c>
      <c r="G10755" s="1">
        <v>9</v>
      </c>
      <c r="H10755" s="1">
        <v>0</v>
      </c>
      <c r="I10755" s="1" t="s">
        <v>21670</v>
      </c>
      <c r="K10755" s="1" t="str">
        <f t="shared" si="668"/>
        <v>ㄖ</v>
      </c>
      <c r="L10755" s="1" t="str">
        <f t="shared" si="669"/>
        <v>ㄜ</v>
      </c>
      <c r="N10755" s="3" t="s">
        <v>30576</v>
      </c>
      <c r="O10755" s="3"/>
      <c r="P10755" s="1" t="s">
        <v>20</v>
      </c>
      <c r="R10755" s="1" t="s">
        <v>21671</v>
      </c>
      <c r="V10755" s="1" t="s">
        <v>21677</v>
      </c>
      <c r="AR10755" s="1" t="str">
        <f t="shared" ref="AR10755:AR10818" si="670">"| ["&amp;I10755&amp;"]("&amp;I10755&amp;".md) | ["&amp;A10755&amp;"]("&amp;A10755&amp;".md) | "&amp;" | "&amp;R10755&amp;" | "&amp;V10755&amp;" |"</f>
        <v>| [ㄖㄜˇ](ㄖㄜˇ.md) | [惹](惹.md) |  | rě | [動]
1.招引。《清平山堂話本．西湖三塔記》：「只因清明都來西湖上閑翫，惹出一場事來。」明．湯顯祖《紫釵記》第一三齣：「坐雲霞飄颻半天，惹人處行光一片。」
2.牽掛。唐．李賀〈昌谷北園新筍〉詩四首之四：「古竹老梢惹碧雲，茂陵歸臥歎清貧。」
3.染上、沾著。《儒林外史》第五二回：「我就是『羊肉不曾喫，空惹一身羶』。」
4.冒犯。《清平山堂話本．快嘴李翠蓮記》：「阿姆我又不惹你。」元．關漢卿《竇娥冤》第一折：「只是我那媳婦兒氣性最不好惹的。」 |</v>
      </c>
    </row>
    <row r="10756" spans="1:44" hidden="1">
      <c r="A10756" s="1" t="s">
        <v>21703</v>
      </c>
      <c r="C10756" s="1">
        <v>1</v>
      </c>
      <c r="D10756" s="1" t="str">
        <f>"09191"</f>
        <v>09191</v>
      </c>
      <c r="E10756" s="1" t="s">
        <v>558</v>
      </c>
      <c r="F10756" s="1">
        <v>16</v>
      </c>
      <c r="G10756" s="1">
        <v>12</v>
      </c>
      <c r="H10756" s="1">
        <v>0</v>
      </c>
      <c r="I10756" s="1" t="s">
        <v>21704</v>
      </c>
      <c r="K10756" s="1" t="str">
        <f t="shared" si="668"/>
        <v>ㄖ</v>
      </c>
      <c r="L10756" s="1" t="str">
        <f t="shared" si="669"/>
        <v>ㄠ</v>
      </c>
      <c r="N10756" s="3" t="s">
        <v>30574</v>
      </c>
      <c r="O10756" s="3"/>
      <c r="P10756" s="1" t="s">
        <v>20</v>
      </c>
      <c r="R10756" s="1" t="s">
        <v>21705</v>
      </c>
      <c r="V10756" s="1" t="s">
        <v>21706</v>
      </c>
      <c r="AR10756" s="1" t="str">
        <f t="shared" si="670"/>
        <v>| [ㄖㄠˋ](ㄖㄠˋ.md) | [遶](遶.md) |  | rào | [動]
圍繞。《文選．曹植．雜詩六首之三》：「飛鳥遶樹翔，噭噭鳴索群。」清．方苞〈三山林湛傳〉：「時問疾者遶床，謂將以家累屬成之也。」 |</v>
      </c>
    </row>
    <row r="10757" spans="1:44" hidden="1">
      <c r="A10757" s="1" t="s">
        <v>21707</v>
      </c>
      <c r="C10757" s="1">
        <v>1</v>
      </c>
      <c r="D10757" s="1" t="str">
        <f>"09192"</f>
        <v>09192</v>
      </c>
      <c r="E10757" s="1" t="s">
        <v>725</v>
      </c>
      <c r="F10757" s="1">
        <v>18</v>
      </c>
      <c r="G10757" s="1">
        <v>12</v>
      </c>
      <c r="H10757" s="1">
        <v>0</v>
      </c>
      <c r="I10757" s="1" t="s">
        <v>21704</v>
      </c>
      <c r="K10757" s="1" t="str">
        <f t="shared" si="668"/>
        <v>ㄖ</v>
      </c>
      <c r="L10757" s="1" t="str">
        <f t="shared" si="669"/>
        <v>ㄠ</v>
      </c>
      <c r="N10757" s="3" t="s">
        <v>30574</v>
      </c>
      <c r="O10757" s="3"/>
      <c r="P10757" s="1" t="s">
        <v>20</v>
      </c>
      <c r="R10757" s="1" t="s">
        <v>21705</v>
      </c>
      <c r="V10757" s="1" t="s">
        <v>21708</v>
      </c>
      <c r="AR10757" s="1" t="str">
        <f t="shared" si="670"/>
        <v>| [ㄖㄠˋ](ㄖㄠˋ.md) | [繞](繞.md) |  | rào | [動]
1.纏束、糾纏。如：「纏繞」、「縈繞」。《韓非子．內儲說下》：「晉平公觴客，少庶子進炙而髮繞之。」
2.圍著轉動。如：「繞場一周」、「繞圈子」。
3.圍、環。三國魏．曹丕〈芙蓉池作詩〉：「雙渠相溉灌，嘉木繞通川。」
4.不從正面通過，改由側面或其他方向通行。如：「此路不通，車輛請繞道。」
5.設圈套算計他人。參見「繞磨」條。 |</v>
      </c>
    </row>
    <row r="10758" spans="1:44" hidden="1">
      <c r="A10758" s="1" t="s">
        <v>21684</v>
      </c>
      <c r="C10758" s="1">
        <v>1</v>
      </c>
      <c r="D10758" s="1" t="str">
        <f>"09184"</f>
        <v>09184</v>
      </c>
      <c r="E10758" s="1" t="s">
        <v>534</v>
      </c>
      <c r="F10758" s="1">
        <v>15</v>
      </c>
      <c r="G10758" s="1">
        <v>12</v>
      </c>
      <c r="H10758" s="1">
        <v>1</v>
      </c>
      <c r="I10758" s="1" t="s">
        <v>21685</v>
      </c>
      <c r="K10758" s="1" t="str">
        <f t="shared" si="668"/>
        <v>ㄖ</v>
      </c>
      <c r="L10758" s="1" t="str">
        <f t="shared" si="669"/>
        <v>ㄠ</v>
      </c>
      <c r="N10758" s="3" t="s">
        <v>30575</v>
      </c>
      <c r="O10758" s="3"/>
      <c r="P10758" s="1" t="s">
        <v>20</v>
      </c>
      <c r="R10758" s="1" t="s">
        <v>21686</v>
      </c>
      <c r="V10758" s="1" t="s">
        <v>21687</v>
      </c>
      <c r="W10758" s="1" t="s">
        <v>21688</v>
      </c>
      <c r="AR10758" s="1" t="str">
        <f t="shared" si="670"/>
        <v>| [ㄖㄠˊ](ㄖㄠˊ.md) | [嬈](嬈.md) |  | ráo | 參見「嬌嬈」條。 |</v>
      </c>
    </row>
    <row r="10759" spans="1:44" hidden="1">
      <c r="A10759" s="1" t="s">
        <v>21689</v>
      </c>
      <c r="C10759" s="1">
        <v>1</v>
      </c>
      <c r="D10759" s="1" t="str">
        <f>"09185"</f>
        <v>09185</v>
      </c>
      <c r="E10759" s="1" t="s">
        <v>37</v>
      </c>
      <c r="F10759" s="1">
        <v>16</v>
      </c>
      <c r="G10759" s="1">
        <v>12</v>
      </c>
      <c r="H10759" s="1">
        <v>0</v>
      </c>
      <c r="I10759" s="1" t="s">
        <v>21685</v>
      </c>
      <c r="K10759" s="1" t="str">
        <f t="shared" si="668"/>
        <v>ㄖ</v>
      </c>
      <c r="L10759" s="1" t="str">
        <f t="shared" si="669"/>
        <v>ㄠ</v>
      </c>
      <c r="N10759" s="3" t="s">
        <v>30575</v>
      </c>
      <c r="O10759" s="3"/>
      <c r="P10759" s="1" t="s">
        <v>20</v>
      </c>
      <c r="R10759" s="1" t="s">
        <v>21686</v>
      </c>
      <c r="V10759" s="1" t="s">
        <v>21690</v>
      </c>
      <c r="AR10759" s="1" t="str">
        <f t="shared" si="670"/>
        <v>| [ㄖㄠˊ](ㄖㄠˊ.md) | [蕘](蕘.md) |  | ráo | [名]
1.一種蔬菜。即蕪菁。漢．揚雄《方言》卷三：「蘴、蕘，蕪菁也。陳、楚之郊謂之蘴，魯、齊之郊謂之蕘，關之東西謂之蕪菁。」
2.燃燒用的柴草。《管子．輕重甲》：「今北澤燒莫之續，則是農夫得居裝而賣其薪蕘。」
3.打柴的人。《詩經．大雅．板》：「先民有言，詢於芻蕘。」
[動]
採薪、打柴草。唐．柳宗元〈童區寄傳〉：「童區寄者，郴州蕘牧兒也，行牧且蕘。」 |</v>
      </c>
    </row>
    <row r="10760" spans="1:44" hidden="1">
      <c r="A10760" s="1" t="s">
        <v>21691</v>
      </c>
      <c r="C10760" s="1">
        <v>1</v>
      </c>
      <c r="D10760" s="1" t="str">
        <f>"09186"</f>
        <v>09186</v>
      </c>
      <c r="E10760" s="1" t="s">
        <v>340</v>
      </c>
      <c r="F10760" s="1">
        <v>18</v>
      </c>
      <c r="G10760" s="1">
        <v>12</v>
      </c>
      <c r="H10760" s="1">
        <v>0</v>
      </c>
      <c r="I10760" s="1" t="s">
        <v>21685</v>
      </c>
      <c r="K10760" s="1" t="str">
        <f t="shared" si="668"/>
        <v>ㄖ</v>
      </c>
      <c r="L10760" s="1" t="str">
        <f t="shared" si="669"/>
        <v>ㄠ</v>
      </c>
      <c r="N10760" s="3" t="s">
        <v>30575</v>
      </c>
      <c r="O10760" s="3"/>
      <c r="P10760" s="1" t="s">
        <v>20</v>
      </c>
      <c r="R10760" s="1" t="s">
        <v>21686</v>
      </c>
      <c r="V10760" s="1" t="s">
        <v>21692</v>
      </c>
      <c r="AR10760" s="1" t="str">
        <f t="shared" si="670"/>
        <v>| [ㄖㄠˊ](ㄖㄠˊ.md) | [襓](襓.md) |  | ráo | [名]
劍套、裹劍的繒帛。《玉篇．衣部》：「襓，劍衣。」《禮記．少儀》「加夫橈與劍焉」句下唐．孔穎達．正義：「襓字從衣當以繒帛為之。」 |</v>
      </c>
    </row>
    <row r="10761" spans="1:44" hidden="1">
      <c r="A10761" s="1" t="s">
        <v>21693</v>
      </c>
      <c r="C10761" s="1">
        <v>1</v>
      </c>
      <c r="D10761" s="1" t="str">
        <f>"09187"</f>
        <v>09187</v>
      </c>
      <c r="E10761" s="1" t="s">
        <v>679</v>
      </c>
      <c r="F10761" s="1">
        <v>18</v>
      </c>
      <c r="G10761" s="1">
        <v>12</v>
      </c>
      <c r="H10761" s="1">
        <v>0</v>
      </c>
      <c r="I10761" s="1" t="s">
        <v>21685</v>
      </c>
      <c r="K10761" s="1" t="str">
        <f t="shared" si="668"/>
        <v>ㄖ</v>
      </c>
      <c r="L10761" s="1" t="str">
        <f t="shared" si="669"/>
        <v>ㄠ</v>
      </c>
      <c r="N10761" s="3" t="s">
        <v>30575</v>
      </c>
      <c r="O10761" s="3"/>
      <c r="P10761" s="1" t="s">
        <v>20</v>
      </c>
      <c r="R10761" s="1" t="s">
        <v>21686</v>
      </c>
      <c r="V10761" s="1" t="s">
        <v>21694</v>
      </c>
      <c r="AR10761" s="1" t="str">
        <f t="shared" si="670"/>
        <v>| [ㄖㄠˊ](ㄖㄠˊ.md) | [蟯](蟯.md) |  | ráo | 參見「蟯蟲」條。 |</v>
      </c>
    </row>
    <row r="10762" spans="1:44" hidden="1">
      <c r="A10762" s="1" t="s">
        <v>21695</v>
      </c>
      <c r="C10762" s="1">
        <v>1</v>
      </c>
      <c r="D10762" s="1" t="str">
        <f>"09188"</f>
        <v>09188</v>
      </c>
      <c r="E10762" s="1" t="s">
        <v>193</v>
      </c>
      <c r="F10762" s="1">
        <v>20</v>
      </c>
      <c r="G10762" s="1">
        <v>12</v>
      </c>
      <c r="H10762" s="1">
        <v>0</v>
      </c>
      <c r="I10762" s="1" t="s">
        <v>21685</v>
      </c>
      <c r="K10762" s="1" t="str">
        <f t="shared" si="668"/>
        <v>ㄖ</v>
      </c>
      <c r="L10762" s="1" t="str">
        <f t="shared" si="669"/>
        <v>ㄠ</v>
      </c>
      <c r="N10762" s="3" t="s">
        <v>30575</v>
      </c>
      <c r="O10762" s="3"/>
      <c r="P10762" s="1" t="s">
        <v>20</v>
      </c>
      <c r="R10762" s="1" t="s">
        <v>21686</v>
      </c>
      <c r="V10762" s="1" t="s">
        <v>21696</v>
      </c>
      <c r="AR10762" s="1" t="str">
        <f t="shared" si="670"/>
        <v>| [ㄖㄠˊ](ㄖㄠˊ.md) | [饒](饒.md) |  | ráo | [動]
1.寬恕、赦免。如：「饒恕」、「歲月不饒人」。南朝宋．鮑照〈擬行路難〉一八首之一七：「日月流邁不相饒，令我愁思怨恨多。」
2.添加。《水滸傳》第二一回：「不還！再饒你一百個不還！若要還時，在鄆城縣還你！」
3.讓。《水滸傳》第六八回：「眾人都饒讓你一步，我自天也不怕！你只管讓來讓去做甚鳥。」
[形]
豐厚、富足。如：「富饒」、「豐饒」。《孫子．九地》：「掠於饒野，三軍足食。」《文選．王粲．從軍詩五首之一》：「軍人多飫饒，人馬皆溢肥。」
[副]
任憑、儘管。唐．杜牧〈猿〉詩：「三聲欲斷疑腸斷，饒是少年今白頭。」《紅樓夢》第四五回：「饒這麼嚴，他們還偷空兒鬧個亂子來。」
[名]
姓。如漢代有饒斌。 |</v>
      </c>
    </row>
    <row r="10763" spans="1:44" hidden="1">
      <c r="A10763" s="1" t="s">
        <v>21684</v>
      </c>
      <c r="C10763" s="1">
        <v>1</v>
      </c>
      <c r="D10763" s="1" t="str">
        <f>"09189"</f>
        <v>09189</v>
      </c>
      <c r="E10763" s="1" t="s">
        <v>534</v>
      </c>
      <c r="F10763" s="1">
        <v>15</v>
      </c>
      <c r="G10763" s="1">
        <v>12</v>
      </c>
      <c r="H10763" s="1">
        <v>2</v>
      </c>
      <c r="I10763" s="1" t="s">
        <v>21697</v>
      </c>
      <c r="K10763" s="1" t="str">
        <f t="shared" si="668"/>
        <v>ㄖ</v>
      </c>
      <c r="L10763" s="1" t="str">
        <f t="shared" si="669"/>
        <v>ㄠ</v>
      </c>
      <c r="N10763" s="3" t="s">
        <v>30576</v>
      </c>
      <c r="O10763" s="3"/>
      <c r="P10763" s="1" t="s">
        <v>20</v>
      </c>
      <c r="R10763" s="1" t="s">
        <v>21698</v>
      </c>
      <c r="V10763" s="1" t="s">
        <v>21699</v>
      </c>
      <c r="W10763" s="1" t="s">
        <v>21700</v>
      </c>
      <c r="AR10763" s="1" t="str">
        <f t="shared" si="670"/>
        <v>| [ㄖㄠˇ](ㄖㄠˇ.md) | [嬈](嬈.md) |  | rǎo | [動]
擾亂。《廣韻．上聲．小韻》：「嬈，亂也。」《淮南子．原道》：「其魂不躁，其神不嬈。」 |</v>
      </c>
    </row>
    <row r="10764" spans="1:44" hidden="1">
      <c r="A10764" s="1" t="s">
        <v>21701</v>
      </c>
      <c r="C10764" s="1">
        <v>1</v>
      </c>
      <c r="D10764" s="1" t="str">
        <f>"09190"</f>
        <v>09190</v>
      </c>
      <c r="E10764" s="1" t="s">
        <v>24</v>
      </c>
      <c r="F10764" s="1">
        <v>18</v>
      </c>
      <c r="G10764" s="1">
        <v>15</v>
      </c>
      <c r="H10764" s="1">
        <v>0</v>
      </c>
      <c r="I10764" s="1" t="s">
        <v>21697</v>
      </c>
      <c r="K10764" s="1" t="str">
        <f t="shared" si="668"/>
        <v>ㄖ</v>
      </c>
      <c r="L10764" s="1" t="str">
        <f t="shared" si="669"/>
        <v>ㄠ</v>
      </c>
      <c r="N10764" s="3" t="s">
        <v>30576</v>
      </c>
      <c r="O10764" s="3"/>
      <c r="P10764" s="1" t="s">
        <v>20</v>
      </c>
      <c r="R10764" s="1" t="s">
        <v>21698</v>
      </c>
      <c r="V10764" s="1" t="s">
        <v>21702</v>
      </c>
      <c r="AR10764" s="1" t="str">
        <f t="shared" si="670"/>
        <v>| [ㄖㄠˇ](ㄖㄠˇ.md) | [擾](擾.md) |  | rǎo | [動]
1.亂。《左傳．襄公四年》：「經啟九道，民有寢廟，獸有茂草，各有攸處，德用不擾。」晉．杜預．注：「擾，亂也。」《史記．卷一三〇．太史公自序》：「秦失其道，豪桀並擾。」
2.因受人招待而表示客氣的話。如：「叨擾」。《水滸傳》第二六回：「小人不曾與都頭接風，何故反擾？」
3.安定、安撫。《書經．周官》：「司徒掌邦教，敷五典，擾兆民。」漢．孔安國．傳：「以安和天下眾民，使小大皆協睦。」宋．王安石〈原教〉：「善教者浹於民心，而耳目無聞焉，以道擾民者也。」
4.馴養、馴服。《周禮．夏官．服不氏》：「掌養猛獸而教擾之。」漢．鄭玄．注：「擾，馴也。教習使之馴服。」《荀子．性惡》：「是以為之起禮義，制法度，以矯飾人之情性而正之，以擾化人之情性而導之也。」
[形]
柔順。《書經．皋陶謨》：「亂而敬，擾而毅，直而溫。」
[名]
家畜。《周禮．夏官．職方氏》：「其畜宜六擾。」漢．鄭玄．注：「六擾：馬、牛、羊、豕、犬、雞。」 |</v>
      </c>
    </row>
    <row r="10765" spans="1:44" hidden="1">
      <c r="A10765" s="1" t="s">
        <v>21731</v>
      </c>
      <c r="C10765" s="1">
        <v>1</v>
      </c>
      <c r="D10765" s="1" t="str">
        <f>"09202"</f>
        <v>09202</v>
      </c>
      <c r="E10765" s="1" t="s">
        <v>68</v>
      </c>
      <c r="F10765" s="1">
        <v>6</v>
      </c>
      <c r="G10765" s="1">
        <v>0</v>
      </c>
      <c r="H10765" s="1">
        <v>1</v>
      </c>
      <c r="I10765" s="1" t="s">
        <v>21732</v>
      </c>
      <c r="K10765" s="1" t="str">
        <f t="shared" si="668"/>
        <v>ㄖ</v>
      </c>
      <c r="L10765" s="1" t="str">
        <f t="shared" si="669"/>
        <v>ㄡ</v>
      </c>
      <c r="N10765" s="3" t="s">
        <v>30574</v>
      </c>
      <c r="O10765" s="3"/>
      <c r="P10765" s="1" t="s">
        <v>20</v>
      </c>
      <c r="R10765" s="1" t="s">
        <v>21733</v>
      </c>
      <c r="V10765" s="1" t="s">
        <v>21734</v>
      </c>
      <c r="W10765" s="1" t="s">
        <v>21735</v>
      </c>
      <c r="AR10765" s="1" t="str">
        <f t="shared" si="670"/>
        <v>| [ㄖㄡˋ](ㄖㄡˋ.md) | [肉](肉.md) |  | ròu | [名]
1.動物體中包住骨骼的柔韌物質。如：「肌肉」、「雞肉」、「豬肉」、「牛肉」。
2.身體。與「精神」相對。如：「靈肉一致」、「肉體」。
3.蔬果除去皮核的部分。如：「果肉」。《文選．蔡邕．為陳留太守上孝子狀》：「舅偃哀其嬴劣，嚼棗肉以哺之，未見食。」宋．沈括《夢溪筆談．卷二四．雜志一》：「閩中荔枝，核有小如丁香者，多肉而甘。」
4.二一四部首之一。
[形]
柔軟不脆。如：「這西瓜瓤兒太肉。」
[副]
行動遲緩。如：「肉得慌」、「做事真肉」。 |</v>
      </c>
    </row>
    <row r="10766" spans="1:44" hidden="1">
      <c r="A10766" s="1" t="s">
        <v>15329</v>
      </c>
      <c r="C10766" s="1">
        <v>1</v>
      </c>
      <c r="D10766" s="1" t="str">
        <f>"09193"</f>
        <v>09193</v>
      </c>
      <c r="E10766" s="1" t="s">
        <v>14794</v>
      </c>
      <c r="F10766" s="1">
        <v>4</v>
      </c>
      <c r="G10766" s="1">
        <v>2</v>
      </c>
      <c r="H10766" s="1">
        <v>1</v>
      </c>
      <c r="I10766" s="1" t="s">
        <v>21709</v>
      </c>
      <c r="K10766" s="1" t="str">
        <f t="shared" si="668"/>
        <v>ㄖ</v>
      </c>
      <c r="L10766" s="1" t="str">
        <f t="shared" si="669"/>
        <v>ㄡ</v>
      </c>
      <c r="N10766" s="3" t="s">
        <v>30575</v>
      </c>
      <c r="O10766" s="3"/>
      <c r="P10766" s="1" t="s">
        <v>20</v>
      </c>
      <c r="R10766" s="1" t="s">
        <v>21710</v>
      </c>
      <c r="V10766" s="1" t="s">
        <v>21711</v>
      </c>
      <c r="W10766" s="1" t="s">
        <v>21712</v>
      </c>
      <c r="AR10766" s="1" t="str">
        <f t="shared" si="670"/>
        <v>| [ㄖㄡˊ](ㄖㄡˊ.md) | [厹](厹.md) |  | róu | [動]
野獸踐踏地面。《說文解字．厹部》：「厹，獸足蹂地也。」 |</v>
      </c>
    </row>
    <row r="10767" spans="1:44" hidden="1">
      <c r="A10767" s="1" t="s">
        <v>21713</v>
      </c>
      <c r="C10767" s="1">
        <v>1</v>
      </c>
      <c r="D10767" s="1" t="str">
        <f>"09194"</f>
        <v>09194</v>
      </c>
      <c r="E10767" s="1" t="s">
        <v>15579</v>
      </c>
      <c r="F10767" s="1">
        <v>5</v>
      </c>
      <c r="G10767" s="1">
        <v>0</v>
      </c>
      <c r="H10767" s="1">
        <v>0</v>
      </c>
      <c r="I10767" s="1" t="s">
        <v>21709</v>
      </c>
      <c r="K10767" s="1" t="str">
        <f t="shared" si="668"/>
        <v>ㄖ</v>
      </c>
      <c r="L10767" s="1" t="str">
        <f t="shared" si="669"/>
        <v>ㄡ</v>
      </c>
      <c r="N10767" s="3" t="s">
        <v>30575</v>
      </c>
      <c r="O10767" s="3"/>
      <c r="P10767" s="1" t="s">
        <v>20</v>
      </c>
      <c r="R10767" s="1" t="s">
        <v>21710</v>
      </c>
      <c r="V10767" s="1" t="s">
        <v>21714</v>
      </c>
      <c r="AR10767" s="1" t="str">
        <f t="shared" si="670"/>
        <v>| [ㄖㄡˊ](ㄖㄡˊ.md) | [禸](禸.md) |  | róu | [動]
獸類踐踏地面。《說文解字．禸部》：「禸，獸足蹂地也。」
[名]
二一四部首之一。 |</v>
      </c>
    </row>
    <row r="10768" spans="1:44" hidden="1">
      <c r="A10768" s="1" t="s">
        <v>21715</v>
      </c>
      <c r="C10768" s="1">
        <v>1</v>
      </c>
      <c r="D10768" s="1" t="str">
        <f>"09195"</f>
        <v>09195</v>
      </c>
      <c r="E10768" s="1" t="s">
        <v>139</v>
      </c>
      <c r="F10768" s="1">
        <v>9</v>
      </c>
      <c r="G10768" s="1">
        <v>5</v>
      </c>
      <c r="H10768" s="1">
        <v>0</v>
      </c>
      <c r="I10768" s="1" t="s">
        <v>21709</v>
      </c>
      <c r="K10768" s="1" t="str">
        <f t="shared" si="668"/>
        <v>ㄖ</v>
      </c>
      <c r="L10768" s="1" t="str">
        <f t="shared" si="669"/>
        <v>ㄡ</v>
      </c>
      <c r="N10768" s="3" t="s">
        <v>30575</v>
      </c>
      <c r="O10768" s="3"/>
      <c r="P10768" s="1" t="s">
        <v>20</v>
      </c>
      <c r="R10768" s="1" t="s">
        <v>21710</v>
      </c>
      <c r="V10768" s="1" t="s">
        <v>21716</v>
      </c>
      <c r="AR10768" s="1" t="str">
        <f t="shared" si="670"/>
        <v>| [ㄖㄡˊ](ㄖㄡˊ.md) | [柔](柔.md) |  | róu | [形]
1.軟弱。如：「柔弱」、「柔能克剛」。
2.溫和、和順。《管子．四時》：「解怨赦罪，通四方，然則柔風甘雨乃至。」《後漢書．卷四四．胡廣傳》：「柔而不犯，文而有禮。」
3.草木新生，莖葉幼嫩的樣子。《詩經．小雅．采薇》：「采薇采薇，薇亦柔止。」《文選．曹植．美女篇》：「柔條紛冉冉，葉落何翩翩。」
[動]
安撫。《禮記．中庸》：「送往迎來，嘉善而矜不能，所以柔遠人也。」《金史．卷八六．李石傳》：「北俗無定居，出沒不常，惟當以德柔之。」 |</v>
      </c>
    </row>
    <row r="10769" spans="1:44" hidden="1">
      <c r="A10769" s="1" t="s">
        <v>21717</v>
      </c>
      <c r="C10769" s="1">
        <v>1</v>
      </c>
      <c r="D10769" s="1" t="str">
        <f>"09196"</f>
        <v>09196</v>
      </c>
      <c r="E10769" s="1" t="s">
        <v>24</v>
      </c>
      <c r="F10769" s="1">
        <v>12</v>
      </c>
      <c r="G10769" s="1">
        <v>9</v>
      </c>
      <c r="H10769" s="1">
        <v>0</v>
      </c>
      <c r="I10769" s="1" t="s">
        <v>21709</v>
      </c>
      <c r="K10769" s="1" t="str">
        <f t="shared" si="668"/>
        <v>ㄖ</v>
      </c>
      <c r="L10769" s="1" t="str">
        <f t="shared" si="669"/>
        <v>ㄡ</v>
      </c>
      <c r="N10769" s="3" t="s">
        <v>30575</v>
      </c>
      <c r="O10769" s="3"/>
      <c r="P10769" s="1" t="s">
        <v>20</v>
      </c>
      <c r="R10769" s="1" t="s">
        <v>21710</v>
      </c>
      <c r="V10769" s="1" t="s">
        <v>21718</v>
      </c>
      <c r="AR10769" s="1" t="str">
        <f t="shared" si="670"/>
        <v>| [ㄖㄡˊ](ㄖㄡˊ.md) | [揉](揉.md) |  | róu | [動]
1.反覆摩擦、搓動。唐．王建〈照鏡〉詩：「暖手揉雙目，看圖引四肢。」《聊齋志異．卷一〇．席方平》：「鬼脫席衣，掬置其上，反覆揉捺之。」
2.搓成團狀。如：「揉麵」、「把紙揉成一團」。
3.使彎曲。《周禮．冬官考工記．輪人》：「揉幅必齊，平況必均。」《漢書．卷五八．公孫弘傳》：「臣聞揉曲木者不累日，銷鉐者不累月。」
4.安服。《詩經．大雅．崧高》：「申伯之德柔惠且直，揉此萬邦，聞于四國。」
[形]
雜亂。南朝宋．劉義慶《世說新語．文學》：「版後皆粲然成章，不相揉雜。」宋．司馬光〈進交趾獻奇獸賦表〉：「眾說紛揉，自非聖人莫能識其真。」 |</v>
      </c>
    </row>
    <row r="10770" spans="1:44" hidden="1">
      <c r="A10770" s="1" t="s">
        <v>21719</v>
      </c>
      <c r="C10770" s="1">
        <v>1</v>
      </c>
      <c r="D10770" s="1" t="str">
        <f>"09197"</f>
        <v>09197</v>
      </c>
      <c r="E10770" s="1" t="s">
        <v>71</v>
      </c>
      <c r="F10770" s="1">
        <v>16</v>
      </c>
      <c r="G10770" s="1">
        <v>9</v>
      </c>
      <c r="H10770" s="1">
        <v>0</v>
      </c>
      <c r="I10770" s="1" t="s">
        <v>21709</v>
      </c>
      <c r="K10770" s="1" t="str">
        <f t="shared" si="668"/>
        <v>ㄖ</v>
      </c>
      <c r="L10770" s="1" t="str">
        <f t="shared" si="669"/>
        <v>ㄡ</v>
      </c>
      <c r="N10770" s="3" t="s">
        <v>30575</v>
      </c>
      <c r="O10770" s="3"/>
      <c r="P10770" s="1" t="s">
        <v>20</v>
      </c>
      <c r="R10770" s="1" t="s">
        <v>21710</v>
      </c>
      <c r="V10770" s="1" t="s">
        <v>21720</v>
      </c>
      <c r="AR10770" s="1" t="str">
        <f t="shared" si="670"/>
        <v>| [ㄖㄡˊ](ㄖㄡˊ.md) | [輮](輮.md) |  | róu | [名]_x000D_
車輪的外框。漢．王襃〈僮約〉：「持斧入山，斷輮裁轅。」_x000D_
[動]_x000D_
1.使彎曲。通「揉」。《荀子．勸學》：「木直中繩，輮以為輪，其曲中規。」_x000D_
2.踐踏、踩踏。通「蹂」。《漢書．卷五四．李廣蘇建傳．李廣》：「且陵提步卒不滿五千，深輮戎馬之地，抑數萬之師。」《新唐書．卷八四．列傳．李密》：「民食興洛倉者，給授無檢，至負取不勝，委於道，踐輮狼扈。」 |</v>
      </c>
    </row>
    <row r="10771" spans="1:44" hidden="1">
      <c r="A10771" s="1" t="s">
        <v>21721</v>
      </c>
      <c r="C10771" s="1">
        <v>1</v>
      </c>
      <c r="D10771" s="1" t="str">
        <f>"09198"</f>
        <v>09198</v>
      </c>
      <c r="E10771" s="1" t="s">
        <v>77</v>
      </c>
      <c r="F10771" s="1">
        <v>16</v>
      </c>
      <c r="G10771" s="1">
        <v>9</v>
      </c>
      <c r="H10771" s="1">
        <v>0</v>
      </c>
      <c r="I10771" s="1" t="s">
        <v>21709</v>
      </c>
      <c r="K10771" s="1" t="str">
        <f t="shared" si="668"/>
        <v>ㄖ</v>
      </c>
      <c r="L10771" s="1" t="str">
        <f t="shared" si="669"/>
        <v>ㄡ</v>
      </c>
      <c r="N10771" s="3" t="s">
        <v>30575</v>
      </c>
      <c r="O10771" s="3"/>
      <c r="P10771" s="1" t="s">
        <v>20</v>
      </c>
      <c r="R10771" s="1" t="s">
        <v>21710</v>
      </c>
      <c r="V10771" s="1" t="s">
        <v>21722</v>
      </c>
      <c r="AR10771" s="1" t="str">
        <f t="shared" si="670"/>
        <v>| [ㄖㄡˊ](ㄖㄡˊ.md) | [蹂](蹂.md) |  | róu | [動]
踐踏。《史記．卷七．項羽本紀》：「王翳取其頭，餘騎相蹂踐爭項王。」唐．柳宗元〈招海賈文〉：「上黨易野恬以舒，蹈蹂厚土堅無虞。」 |</v>
      </c>
    </row>
    <row r="10772" spans="1:44" hidden="1">
      <c r="A10772" s="1" t="s">
        <v>21723</v>
      </c>
      <c r="C10772" s="1">
        <v>1</v>
      </c>
      <c r="D10772" s="1" t="str">
        <f>"09199"</f>
        <v>09199</v>
      </c>
      <c r="E10772" s="1" t="s">
        <v>96</v>
      </c>
      <c r="F10772" s="1">
        <v>18</v>
      </c>
      <c r="G10772" s="1">
        <v>9</v>
      </c>
      <c r="H10772" s="1">
        <v>0</v>
      </c>
      <c r="I10772" s="1" t="s">
        <v>21709</v>
      </c>
      <c r="K10772" s="1" t="str">
        <f t="shared" si="668"/>
        <v>ㄖ</v>
      </c>
      <c r="L10772" s="1" t="str">
        <f t="shared" si="669"/>
        <v>ㄡ</v>
      </c>
      <c r="N10772" s="3" t="s">
        <v>30575</v>
      </c>
      <c r="O10772" s="3"/>
      <c r="P10772" s="1" t="s">
        <v>20</v>
      </c>
      <c r="R10772" s="1" t="s">
        <v>21710</v>
      </c>
      <c r="V10772" s="1" t="s">
        <v>21724</v>
      </c>
      <c r="AR10772" s="1" t="str">
        <f t="shared" si="670"/>
        <v>| [ㄖㄡˊ](ㄖㄡˊ.md) | [鞣](鞣.md) |  | róu | [動]
使柔軟。《說文解字．革部》：「鞣，耎也。」清．錢坫《說文解字斠詮》卷三：「鞣，今人治皮，俗猶曰鞣。」如：「鞣皮革」。
[名]
柔軟的皮革。《廣韻．去聲．宥韻》：「鞣，柔皮。」 |</v>
      </c>
    </row>
    <row r="10773" spans="1:44" hidden="1">
      <c r="A10773" s="1" t="s">
        <v>21725</v>
      </c>
      <c r="C10773" s="1">
        <v>1</v>
      </c>
      <c r="D10773" s="1" t="str">
        <f>"09200"</f>
        <v>09200</v>
      </c>
      <c r="E10773" s="1" t="s">
        <v>336</v>
      </c>
      <c r="F10773" s="1">
        <v>13</v>
      </c>
      <c r="G10773" s="1">
        <v>9</v>
      </c>
      <c r="H10773" s="1">
        <v>0</v>
      </c>
      <c r="I10773" s="1" t="s">
        <v>21709</v>
      </c>
      <c r="K10773" s="1" t="str">
        <f t="shared" si="668"/>
        <v>ㄖ</v>
      </c>
      <c r="L10773" s="1" t="str">
        <f t="shared" si="669"/>
        <v>ㄡ</v>
      </c>
      <c r="N10773" s="3" t="s">
        <v>30575</v>
      </c>
      <c r="O10773" s="3"/>
      <c r="P10773" s="1" t="s">
        <v>20</v>
      </c>
      <c r="R10773" s="1" t="s">
        <v>21710</v>
      </c>
      <c r="V10773" s="1" t="s">
        <v>21726</v>
      </c>
      <c r="AR10773" s="1" t="str">
        <f t="shared" si="670"/>
        <v>| [ㄖㄡˊ](ㄖㄡˊ.md) | [煣](煣.md) |  | róu | [動]
用火烘烤木材使其彎曲。《玉篇．火部》：「煣，以火屈木曲。」 |</v>
      </c>
    </row>
    <row r="10774" spans="1:44" hidden="1">
      <c r="A10774" s="1" t="s">
        <v>21727</v>
      </c>
      <c r="C10774" s="1">
        <v>1</v>
      </c>
      <c r="D10774" s="1" t="str">
        <f>"09201"</f>
        <v>09201</v>
      </c>
      <c r="E10774" s="1" t="s">
        <v>46</v>
      </c>
      <c r="F10774" s="1">
        <v>15</v>
      </c>
      <c r="G10774" s="1">
        <v>9</v>
      </c>
      <c r="H10774" s="1">
        <v>0</v>
      </c>
      <c r="I10774" s="1" t="s">
        <v>21728</v>
      </c>
      <c r="K10774" s="1" t="str">
        <f t="shared" si="668"/>
        <v>ㄖ</v>
      </c>
      <c r="L10774" s="1" t="str">
        <f t="shared" si="669"/>
        <v>ㄡ</v>
      </c>
      <c r="N10774" s="3" t="s">
        <v>30576</v>
      </c>
      <c r="O10774" s="3"/>
      <c r="P10774" s="1" t="s">
        <v>20</v>
      </c>
      <c r="R10774" s="1" t="s">
        <v>21729</v>
      </c>
      <c r="V10774" s="1" t="s">
        <v>21730</v>
      </c>
      <c r="AR10774" s="1" t="str">
        <f t="shared" si="670"/>
        <v>| [ㄖㄡˇ](ㄖㄡˇ.md) | [糅](糅.md) |  | rǒu | [動]
摻雜、混合。《儀禮．鄉射禮》：「無物，則以白羽與朱羽糅。」《新唐書．卷八五．王世充傳》：「世充糧且盡，人相食，至以水汨泥去礫，取浮土糅米屑為餅。」 |</v>
      </c>
    </row>
    <row r="10775" spans="1:44" hidden="1">
      <c r="A10775" s="1" t="s">
        <v>21736</v>
      </c>
      <c r="C10775" s="1">
        <v>1</v>
      </c>
      <c r="D10775" s="1" t="str">
        <f>"09203"</f>
        <v>09203</v>
      </c>
      <c r="E10775" s="1" t="s">
        <v>28</v>
      </c>
      <c r="F10775" s="1">
        <v>8</v>
      </c>
      <c r="G10775" s="1">
        <v>5</v>
      </c>
      <c r="H10775" s="1">
        <v>0</v>
      </c>
      <c r="I10775" s="1" t="s">
        <v>21737</v>
      </c>
      <c r="K10775" s="1" t="str">
        <f t="shared" si="668"/>
        <v>ㄖ</v>
      </c>
      <c r="L10775" s="1" t="str">
        <f t="shared" si="669"/>
        <v>ㄢ</v>
      </c>
      <c r="N10775" s="3" t="s">
        <v>30575</v>
      </c>
      <c r="O10775" s="3"/>
      <c r="P10775" s="1" t="s">
        <v>20</v>
      </c>
      <c r="R10775" s="1" t="s">
        <v>21738</v>
      </c>
      <c r="V10775" s="1" t="s">
        <v>21739</v>
      </c>
      <c r="AR10775" s="1" t="str">
        <f t="shared" si="670"/>
        <v>| [ㄖㄢˊ](ㄖㄢˊ.md) | [呥](呥.md) |  | rán | 參見「呥呥」條。 |</v>
      </c>
    </row>
    <row r="10776" spans="1:44" hidden="1">
      <c r="A10776" s="1" t="s">
        <v>21740</v>
      </c>
      <c r="C10776" s="1">
        <v>1</v>
      </c>
      <c r="D10776" s="1" t="str">
        <f>"09204"</f>
        <v>09204</v>
      </c>
      <c r="E10776" s="1" t="s">
        <v>340</v>
      </c>
      <c r="F10776" s="1">
        <v>11</v>
      </c>
      <c r="G10776" s="1">
        <v>5</v>
      </c>
      <c r="H10776" s="1">
        <v>0</v>
      </c>
      <c r="I10776" s="1" t="s">
        <v>21737</v>
      </c>
      <c r="K10776" s="1" t="str">
        <f t="shared" si="668"/>
        <v>ㄖ</v>
      </c>
      <c r="L10776" s="1" t="str">
        <f t="shared" si="669"/>
        <v>ㄢ</v>
      </c>
      <c r="N10776" s="3" t="s">
        <v>30575</v>
      </c>
      <c r="O10776" s="3"/>
      <c r="P10776" s="1" t="s">
        <v>20</v>
      </c>
      <c r="R10776" s="1" t="s">
        <v>21738</v>
      </c>
      <c r="V10776" s="1" t="s">
        <v>21741</v>
      </c>
      <c r="AR10776" s="1" t="str">
        <f t="shared" si="670"/>
        <v>| [ㄖㄢˊ](ㄖㄢˊ.md) | [袡](袡.md) |  | rán | [名]
衣邊、衣緣。《儀禮．士昏禮》：「純衣纁袡。」漢．鄭玄．注：「袡，亦緣也。」 |</v>
      </c>
    </row>
    <row r="10777" spans="1:44" hidden="1">
      <c r="A10777" s="1" t="s">
        <v>21742</v>
      </c>
      <c r="C10777" s="1">
        <v>1</v>
      </c>
      <c r="D10777" s="1" t="str">
        <f>"09206"</f>
        <v>09206</v>
      </c>
      <c r="E10777" s="1" t="s">
        <v>1078</v>
      </c>
      <c r="F10777" s="1">
        <v>15</v>
      </c>
      <c r="G10777" s="1">
        <v>5</v>
      </c>
      <c r="H10777" s="1">
        <v>0</v>
      </c>
      <c r="I10777" s="1" t="s">
        <v>21737</v>
      </c>
      <c r="K10777" s="1" t="str">
        <f t="shared" si="668"/>
        <v>ㄖ</v>
      </c>
      <c r="L10777" s="1" t="str">
        <f t="shared" si="669"/>
        <v>ㄢ</v>
      </c>
      <c r="N10777" s="3" t="s">
        <v>30575</v>
      </c>
      <c r="O10777" s="3"/>
      <c r="P10777" s="1" t="s">
        <v>20</v>
      </c>
      <c r="R10777" s="1" t="s">
        <v>21738</v>
      </c>
      <c r="V10777" s="1" t="s">
        <v>21743</v>
      </c>
      <c r="AR10777" s="1" t="str">
        <f t="shared" si="670"/>
        <v>| [ㄖㄢˊ](ㄖㄢˊ.md) | [髯](髯.md) |  | rán | [名]
1.兩頰上的鬍鬚。《玉篇．髟部》：「髯，頰須。」唐．杜光庭《虯髯客傳》：「忽有一人，中形，赤髯如虯，乘蹇驢而來。」
2.多鬚的人。三國蜀．諸葛亮〈答關羽書〉：「黥、彭之徒，當與益德并驅爭先，猶未及髯之絕倫逸群也。」明．袁宏道〈贈李雲峰〉詩：「何處識老髯，自虎跑泉始。」 |</v>
      </c>
    </row>
    <row r="10778" spans="1:44" hidden="1">
      <c r="A10778" s="1" t="s">
        <v>21744</v>
      </c>
      <c r="C10778" s="1">
        <v>1</v>
      </c>
      <c r="D10778" s="1" t="str">
        <f>"09207"</f>
        <v>09207</v>
      </c>
      <c r="E10778" s="1" t="s">
        <v>336</v>
      </c>
      <c r="F10778" s="1">
        <v>12</v>
      </c>
      <c r="G10778" s="1">
        <v>8</v>
      </c>
      <c r="H10778" s="1">
        <v>0</v>
      </c>
      <c r="I10778" s="1" t="s">
        <v>21737</v>
      </c>
      <c r="K10778" s="1" t="str">
        <f t="shared" si="668"/>
        <v>ㄖ</v>
      </c>
      <c r="L10778" s="1" t="str">
        <f t="shared" si="669"/>
        <v>ㄢ</v>
      </c>
      <c r="N10778" s="3" t="s">
        <v>30575</v>
      </c>
      <c r="O10778" s="3"/>
      <c r="P10778" s="1" t="s">
        <v>20</v>
      </c>
      <c r="R10778" s="1" t="s">
        <v>21738</v>
      </c>
      <c r="V10778" s="1" t="s">
        <v>21745</v>
      </c>
      <c r="AR10778" s="1" t="str">
        <f t="shared" si="670"/>
        <v>| [ㄖㄢˊ](ㄖㄢˊ.md) | [然](然.md) |  | rán | [動]
1.燒。燃的本字。《孟子．公孫丑上》：「若火之始然，泉之始達。」
2.贊同。《史記．卷八．高祖本紀》：「沛公然其計，從之。」《三國演義》第一回：「劉焉然其說，隨即出榜招募義兵。」
[形]
對、正確。如：「不以為然」。《論語．雍也》：「雍之言然。」
[代]
如此。《論語．憲問》：「子曰：『何必高宗，古之人皆然。』」唐．柳宗元〈桐葉封弟辯〉：「周公曰：『天子不可戲。』乃封小弱弟於唐。吾意不然。」
[連]
1.但是、可是。《左傳．僖公三十年》：「吾不能早用子，今急而求子，是寡人之過也。然鄭亡，子亦有不利焉。」
2.雖。《董西廂》卷八：「師言然善，奈處凡浮，遭此屈辱，不能無恨。」
3.然後。《隋書．卷七〇．李密傳》：「待士馬肥充，然可與人爭利。」
[助]
1.形容詞或副詞詞尾。如：「斐然」、「赫然」、「恍然」。《詩經．邶風．終風》：「終風且霾，惠然肯來。」
2.用於句末，表肯定、斷定的語氣。《論語．憲問》：「羿善射，奡盪舟，俱不得其死然。」《禮記．檀弓下》：「穆公召縣子而問然。」
3.表示比擬的語助詞。《呂氏春秋．孟秋紀．蕩兵》：「夫兵不可偃也，譬之若水火然，善用之則為福，不能用之則為禍。」
[歎]
唯，表應答。《論語．陽貨》：「子曰：『然！有是言也。』」《晏子春秋．內篇．雜下》：「公見其妻曰：『此子之內子邪？』晏子對曰：『然！是也。』」
[名]
姓。如漢代有然溫。 |</v>
      </c>
    </row>
    <row r="10779" spans="1:44" hidden="1">
      <c r="A10779" s="1" t="s">
        <v>21746</v>
      </c>
      <c r="C10779" s="1">
        <v>1</v>
      </c>
      <c r="D10779" s="1" t="str">
        <f>"09208"</f>
        <v>09208</v>
      </c>
      <c r="E10779" s="1" t="s">
        <v>336</v>
      </c>
      <c r="F10779" s="1">
        <v>16</v>
      </c>
      <c r="G10779" s="1">
        <v>12</v>
      </c>
      <c r="H10779" s="1">
        <v>0</v>
      </c>
      <c r="I10779" s="1" t="s">
        <v>21737</v>
      </c>
      <c r="K10779" s="1" t="str">
        <f t="shared" si="668"/>
        <v>ㄖ</v>
      </c>
      <c r="L10779" s="1" t="str">
        <f t="shared" si="669"/>
        <v>ㄢ</v>
      </c>
      <c r="N10779" s="3" t="s">
        <v>30575</v>
      </c>
      <c r="O10779" s="3"/>
      <c r="P10779" s="1" t="s">
        <v>20</v>
      </c>
      <c r="R10779" s="1" t="s">
        <v>21738</v>
      </c>
      <c r="V10779" s="1" t="s">
        <v>21747</v>
      </c>
      <c r="AR10779" s="1" t="str">
        <f t="shared" si="670"/>
        <v>| [ㄖㄢˊ](ㄖㄢˊ.md) | [燃](燃.md) |  | rán | [動]
點燃、焚燒。如：「燃燈」、「燃香」、「燃燒」、「燃眉之急」。
[形]
可以燃燒的。如：「燃料」。 |</v>
      </c>
    </row>
    <row r="10780" spans="1:44" hidden="1">
      <c r="A10780" s="1" t="s">
        <v>21748</v>
      </c>
      <c r="C10780" s="1">
        <v>1</v>
      </c>
      <c r="D10780" s="1" t="str">
        <f>"09209"</f>
        <v>09209</v>
      </c>
      <c r="E10780" s="1" t="s">
        <v>2729</v>
      </c>
      <c r="F10780" s="1">
        <v>5</v>
      </c>
      <c r="G10780" s="1">
        <v>3</v>
      </c>
      <c r="H10780" s="1">
        <v>0</v>
      </c>
      <c r="I10780" s="1" t="s">
        <v>21749</v>
      </c>
      <c r="K10780" s="1" t="str">
        <f t="shared" si="668"/>
        <v>ㄖ</v>
      </c>
      <c r="L10780" s="1" t="str">
        <f t="shared" si="669"/>
        <v>ㄢ</v>
      </c>
      <c r="N10780" s="3" t="s">
        <v>30576</v>
      </c>
      <c r="O10780" s="3"/>
      <c r="P10780" s="1" t="s">
        <v>20</v>
      </c>
      <c r="R10780" s="1" t="s">
        <v>21750</v>
      </c>
      <c r="V10780" s="1" t="s">
        <v>21751</v>
      </c>
      <c r="AR10780" s="1" t="str">
        <f t="shared" si="670"/>
        <v>| [ㄖㄢˇ](ㄖㄢˇ.md) | [冉](冉.md) |  | rǎn | [副]
參見「冉冉」條。
[名]
1.龜甲的邊緣。《漢書．卷二四．食貨志下》：「元龜岠冉長尺二寸。」
2.姓。如春秋時魯國有冉求。 |</v>
      </c>
    </row>
    <row r="10781" spans="1:44" hidden="1">
      <c r="A10781" s="1" t="s">
        <v>21752</v>
      </c>
      <c r="C10781" s="1">
        <v>1</v>
      </c>
      <c r="D10781" s="1" t="str">
        <f>"09210"</f>
        <v>09210</v>
      </c>
      <c r="E10781" s="1" t="s">
        <v>534</v>
      </c>
      <c r="F10781" s="1">
        <v>8</v>
      </c>
      <c r="G10781" s="1">
        <v>5</v>
      </c>
      <c r="H10781" s="1">
        <v>0</v>
      </c>
      <c r="I10781" s="1" t="s">
        <v>21749</v>
      </c>
      <c r="K10781" s="1" t="str">
        <f t="shared" si="668"/>
        <v>ㄖ</v>
      </c>
      <c r="L10781" s="1" t="str">
        <f t="shared" si="669"/>
        <v>ㄢ</v>
      </c>
      <c r="N10781" s="3" t="s">
        <v>30576</v>
      </c>
      <c r="O10781" s="3"/>
      <c r="P10781" s="1" t="s">
        <v>20</v>
      </c>
      <c r="R10781" s="1" t="s">
        <v>21750</v>
      </c>
      <c r="V10781" s="1" t="s">
        <v>21753</v>
      </c>
      <c r="AR10781" s="1" t="str">
        <f t="shared" si="670"/>
        <v>| [ㄖㄢˇ](ㄖㄢˇ.md) | [姌](姌.md) |  | rǎn | 參見「姌嫋」條。 |</v>
      </c>
    </row>
    <row r="10782" spans="1:44" hidden="1">
      <c r="A10782" s="1" t="s">
        <v>21754</v>
      </c>
      <c r="C10782" s="1">
        <v>1</v>
      </c>
      <c r="D10782" s="1" t="str">
        <f>"09211"</f>
        <v>09211</v>
      </c>
      <c r="E10782" s="1" t="s">
        <v>37</v>
      </c>
      <c r="F10782" s="1">
        <v>9</v>
      </c>
      <c r="G10782" s="1">
        <v>5</v>
      </c>
      <c r="H10782" s="1">
        <v>0</v>
      </c>
      <c r="I10782" s="1" t="s">
        <v>21749</v>
      </c>
      <c r="K10782" s="1" t="str">
        <f t="shared" si="668"/>
        <v>ㄖ</v>
      </c>
      <c r="L10782" s="1" t="str">
        <f t="shared" si="669"/>
        <v>ㄢ</v>
      </c>
      <c r="N10782" s="3" t="s">
        <v>30576</v>
      </c>
      <c r="O10782" s="3"/>
      <c r="P10782" s="1" t="s">
        <v>20</v>
      </c>
      <c r="R10782" s="1" t="s">
        <v>21750</v>
      </c>
      <c r="V10782" s="1" t="s">
        <v>21755</v>
      </c>
      <c r="AR10782" s="1" t="str">
        <f t="shared" si="670"/>
        <v>| [ㄖㄢˇ](ㄖㄢˇ.md) | [苒](苒.md) |  | rǎn | 參見「苒苒」、「苒荏」等條。 |</v>
      </c>
    </row>
    <row r="10783" spans="1:44" hidden="1">
      <c r="A10783" s="1" t="s">
        <v>21756</v>
      </c>
      <c r="C10783" s="1">
        <v>1</v>
      </c>
      <c r="D10783" s="1" t="str">
        <f>"09212"</f>
        <v>09212</v>
      </c>
      <c r="E10783" s="1" t="s">
        <v>139</v>
      </c>
      <c r="F10783" s="1">
        <v>9</v>
      </c>
      <c r="G10783" s="1">
        <v>5</v>
      </c>
      <c r="H10783" s="1">
        <v>0</v>
      </c>
      <c r="I10783" s="1" t="s">
        <v>21749</v>
      </c>
      <c r="K10783" s="1" t="str">
        <f t="shared" si="668"/>
        <v>ㄖ</v>
      </c>
      <c r="L10783" s="1" t="str">
        <f t="shared" si="669"/>
        <v>ㄢ</v>
      </c>
      <c r="N10783" s="3" t="s">
        <v>30576</v>
      </c>
      <c r="O10783" s="3"/>
      <c r="P10783" s="1" t="s">
        <v>20</v>
      </c>
      <c r="R10783" s="1" t="s">
        <v>21750</v>
      </c>
      <c r="V10783" s="1" t="s">
        <v>21757</v>
      </c>
      <c r="AR10783" s="1" t="str">
        <f t="shared" si="670"/>
        <v>| [ㄖㄢˇ](ㄖㄢˇ.md) | [染](染.md) |  | rǎn | [動]_x000D_
1.著色於布帛等物體上。如：「染布」、「染絲帛」。《淮南子．齊俗》：「縑之性黃，染之以丹則赤。」明．李時珍《本草綱目．卷五．水部一．流水》：「淬劍、染帛，色各不同；煮粥、烹茶，味亦有異。則其入藥豈可無辨乎？」_x000D_
2.書畫時著色落墨。如：「揮染」、「灑染」。唐．蔣防《霍小玉傳》：「生素多才思，授筆成章。……染畢，命藏於寶篋之內。」元．夏文彥《圖繪寶鑑．卷二．晉．顧愷之》：「傅染以濃色，微加點綴，不求暈飾。」_x000D_
3.沾到。如：「一塵不染」。宋．蘇軾〈雨中花．今歲花時深院〉詞：「有國豔帶酒，天香染袂，為我留連。」宋．王安石〈送和甫至龍安微雨因寄吳氏女子〉詩：「荒煙涼雨助人悲，淚染衣巾不自知。」_x000D_
4.行為習慣或疾病的傳遞與接受。如：「感染」、「傳染」。《墨子．所染》：「舜染於許由、伯陽，禹染於臯陶、伯益，湯染於伊尹、仲虺，武王染於太公、周公。此四王者所染當，故王天下。」《晉書．卷八八．孝友列傳．庾袞》：「始疑疫癘之不相染也。」《舊唐書．卷七四．列傳．劉洎》：「皇太子幼在朕膝前，每見朕心悅諫，昔者因染以成性，固有今日之諫耳。」《董西廂》卷七：「妾未知姐姐所染何患，當以藥理之。」_x000D_
5.牽連、受累。《後漢書．卷一〇．皇后紀上．光武郭皇后紀》：「嵩卒，追坐染楚王英事，國廢。」金．元好問〈大中大夫劉公墓碑〉：「大豪以苞苴私見，欲相誣染，公發其奸，并以所賄者曉于眾。」《明史．卷一九四．列傳．喬宇》：「劉瑾敗，大臣多以黨附見劾，宇獨無所染。」_x000D_
6.發生性關係。宋．洪邁《夷堅支志．卷四．鄭四妻子》：「鄭頗知妻與此子相染著，初未然其請。他日再吿，度終不可輟，且虞其狠悍肆虐，勉從之。」清．紀昀《閱微草堂筆記．卷二三．灤陽續錄五》：「眾言兒女戲嬉，實無所染，婢眉與乳可驗也。」_x000D_
[名]_x000D_
姓。如晉代有染閔。 |</v>
      </c>
    </row>
    <row r="10784" spans="1:44" hidden="1">
      <c r="A10784" s="1" t="s">
        <v>21758</v>
      </c>
      <c r="C10784" s="1">
        <v>1</v>
      </c>
      <c r="D10784" s="1" t="str">
        <f>"09213"</f>
        <v>09213</v>
      </c>
      <c r="E10784" s="1" t="s">
        <v>139</v>
      </c>
      <c r="F10784" s="1">
        <v>16</v>
      </c>
      <c r="G10784" s="1">
        <v>12</v>
      </c>
      <c r="H10784" s="1">
        <v>0</v>
      </c>
      <c r="I10784" s="1" t="s">
        <v>21749</v>
      </c>
      <c r="K10784" s="1" t="str">
        <f t="shared" si="668"/>
        <v>ㄖ</v>
      </c>
      <c r="L10784" s="1" t="str">
        <f t="shared" si="669"/>
        <v>ㄢ</v>
      </c>
      <c r="N10784" s="3" t="s">
        <v>30576</v>
      </c>
      <c r="O10784" s="3"/>
      <c r="P10784" s="1" t="s">
        <v>20</v>
      </c>
      <c r="R10784" s="1" t="s">
        <v>21750</v>
      </c>
      <c r="V10784" s="1" t="s">
        <v>21759</v>
      </c>
      <c r="AR10784" s="1" t="str">
        <f t="shared" si="670"/>
        <v>| [ㄖㄢˇ](ㄖㄢˇ.md) | [橪](橪.md) |  | rǎn | [名]
一種樹木。果實圓形黑色，稱為「橪」。明．張自烈《正字通．木部》：「橪，或曰雀梅。實小黑而圜。皮可染綠。」 |</v>
      </c>
    </row>
    <row r="10785" spans="1:44" hidden="1">
      <c r="A10785" s="1" t="s">
        <v>21791</v>
      </c>
      <c r="C10785" s="1">
        <v>1</v>
      </c>
      <c r="D10785" s="1" t="str">
        <f>"09227"</f>
        <v>09227</v>
      </c>
      <c r="E10785" s="1" t="s">
        <v>185</v>
      </c>
      <c r="F10785" s="1">
        <v>3</v>
      </c>
      <c r="G10785" s="1">
        <v>1</v>
      </c>
      <c r="H10785" s="1">
        <v>0</v>
      </c>
      <c r="I10785" s="1" t="s">
        <v>21792</v>
      </c>
      <c r="K10785" s="1" t="str">
        <f t="shared" si="668"/>
        <v>ㄖ</v>
      </c>
      <c r="L10785" s="1" t="str">
        <f t="shared" si="669"/>
        <v>ㄣ</v>
      </c>
      <c r="N10785" s="3" t="s">
        <v>30574</v>
      </c>
      <c r="O10785" s="3"/>
      <c r="P10785" s="1" t="s">
        <v>20</v>
      </c>
      <c r="R10785" s="1" t="s">
        <v>21793</v>
      </c>
      <c r="V10785" s="1" t="s">
        <v>21794</v>
      </c>
      <c r="AR10785" s="1" t="str">
        <f t="shared" si="670"/>
        <v>| [ㄖㄣˋ](ㄖㄣˋ.md) | [刃](刃.md) |  | rèn | [名]
1.兵器銳利的部分。俗稱為「刀口」。如：「刀刃」、「鋒刃」、「迎刃而解」。
2.泛稱具有鋒刃的兵器。唐．柳宗元〈童區寄傳〉：「因取刃殺之。」
[動]
殺。《韓非子．姦劫弒臣》：「公請自刃於廟。」《史記．卷八一．廉頗藺相如傳》：「左右欲刃相如，相如張目叱之，左右皆靡。」 |</v>
      </c>
    </row>
    <row r="10786" spans="1:44" hidden="1">
      <c r="A10786" s="1" t="s">
        <v>21795</v>
      </c>
      <c r="C10786" s="1">
        <v>1</v>
      </c>
      <c r="D10786" s="1" t="str">
        <f>"09228"</f>
        <v>09228</v>
      </c>
      <c r="E10786" s="1" t="s">
        <v>114</v>
      </c>
      <c r="F10786" s="1">
        <v>5</v>
      </c>
      <c r="G10786" s="1">
        <v>3</v>
      </c>
      <c r="H10786" s="1">
        <v>0</v>
      </c>
      <c r="I10786" s="1" t="s">
        <v>21792</v>
      </c>
      <c r="K10786" s="1" t="str">
        <f t="shared" si="668"/>
        <v>ㄖ</v>
      </c>
      <c r="L10786" s="1" t="str">
        <f t="shared" si="669"/>
        <v>ㄣ</v>
      </c>
      <c r="N10786" s="3" t="s">
        <v>30574</v>
      </c>
      <c r="O10786" s="3"/>
      <c r="P10786" s="1" t="s">
        <v>20</v>
      </c>
      <c r="R10786" s="1" t="s">
        <v>21793</v>
      </c>
      <c r="V10786" s="1" t="s">
        <v>21796</v>
      </c>
      <c r="AR10786" s="1" t="str">
        <f t="shared" si="670"/>
        <v>| [ㄖㄣˋ](ㄖㄣˋ.md) | [仞](仞.md) |  | rèn | [名]
量詞。古代計算長度的單位。八尺為一仞，一說七尺為一仞。《說文解字．人部》：「仞，伸臂一尋，八尺。」《書經．旅獒》：「為山九仞，功虧一簣。」《論語．子張》：「夫子之牆數仞。」
[動]
1.測量深度。《左傳．昭公三十二年》：「度厚薄，仞溝洫。」晉．杜預．注：「度深曰仞。」
2.辨認。通「認」。《淮南子．人間》：「非其事者勿仞也，非其名者勿就也。」
3.填塞、充滿。通「牣」。《史記．卷三．殷本紀》：「益收狗馬奇物，充仞宮室。」 |</v>
      </c>
    </row>
    <row r="10787" spans="1:44" hidden="1">
      <c r="A10787" s="1" t="s">
        <v>21797</v>
      </c>
      <c r="C10787" s="1">
        <v>1</v>
      </c>
      <c r="D10787" s="1" t="str">
        <f>"09229"</f>
        <v>09229</v>
      </c>
      <c r="E10787" s="1" t="s">
        <v>518</v>
      </c>
      <c r="F10787" s="1">
        <v>7</v>
      </c>
      <c r="G10787" s="1">
        <v>3</v>
      </c>
      <c r="H10787" s="1">
        <v>0</v>
      </c>
      <c r="I10787" s="1" t="s">
        <v>21792</v>
      </c>
      <c r="K10787" s="1" t="str">
        <f t="shared" si="668"/>
        <v>ㄖ</v>
      </c>
      <c r="L10787" s="1" t="str">
        <f t="shared" si="669"/>
        <v>ㄣ</v>
      </c>
      <c r="N10787" s="3" t="s">
        <v>30574</v>
      </c>
      <c r="O10787" s="3"/>
      <c r="P10787" s="1" t="s">
        <v>20</v>
      </c>
      <c r="R10787" s="1" t="s">
        <v>21793</v>
      </c>
      <c r="V10787" s="1" t="s">
        <v>21798</v>
      </c>
      <c r="AR10787" s="1" t="str">
        <f t="shared" si="670"/>
        <v>| [ㄖㄣˋ](ㄖㄣˋ.md) | [牣](牣.md) |  | rèn | [形]
1.充滿的樣子。《詩經．大雅．靈臺》：「王在靈沼，於牣魚躍。」
2.柔軟而結實。通「韌」。《呂氏春秋．似順論．別類》：「白所以為堅也，黃所以為牣也。黃白雜，則堅且牣，良劍也。」 |</v>
      </c>
    </row>
    <row r="10788" spans="1:44" hidden="1">
      <c r="A10788" s="1" t="s">
        <v>21799</v>
      </c>
      <c r="C10788" s="1">
        <v>1</v>
      </c>
      <c r="D10788" s="1" t="str">
        <f>"09230"</f>
        <v>09230</v>
      </c>
      <c r="E10788" s="1" t="s">
        <v>68</v>
      </c>
      <c r="F10788" s="1">
        <v>7</v>
      </c>
      <c r="G10788" s="1">
        <v>3</v>
      </c>
      <c r="H10788" s="1">
        <v>0</v>
      </c>
      <c r="I10788" s="1" t="s">
        <v>21792</v>
      </c>
      <c r="K10788" s="1" t="str">
        <f t="shared" si="668"/>
        <v>ㄖ</v>
      </c>
      <c r="L10788" s="1" t="str">
        <f t="shared" si="669"/>
        <v>ㄣ</v>
      </c>
      <c r="N10788" s="3" t="s">
        <v>30574</v>
      </c>
      <c r="O10788" s="3"/>
      <c r="P10788" s="1" t="s">
        <v>20</v>
      </c>
      <c r="R10788" s="1" t="s">
        <v>21793</v>
      </c>
      <c r="V10788" s="1" t="s">
        <v>21800</v>
      </c>
      <c r="AR10788" s="1" t="str">
        <f t="shared" si="670"/>
        <v>| [ㄖㄣˋ](ㄖㄣˋ.md) | [肕](肕.md) |  | rèn | [形]
柔韌結實。《管子．心術下》：「人能正靜者，筋肕而骨強。能戴大圓者體乎大方。」 |</v>
      </c>
    </row>
    <row r="10789" spans="1:44" hidden="1">
      <c r="A10789" s="1" t="s">
        <v>21801</v>
      </c>
      <c r="C10789" s="1">
        <v>1</v>
      </c>
      <c r="D10789" s="1" t="str">
        <f>"09231"</f>
        <v>09231</v>
      </c>
      <c r="E10789" s="1" t="s">
        <v>725</v>
      </c>
      <c r="F10789" s="1">
        <v>9</v>
      </c>
      <c r="G10789" s="1">
        <v>3</v>
      </c>
      <c r="H10789" s="1">
        <v>0</v>
      </c>
      <c r="I10789" s="1" t="s">
        <v>21792</v>
      </c>
      <c r="K10789" s="1" t="str">
        <f t="shared" si="668"/>
        <v>ㄖ</v>
      </c>
      <c r="L10789" s="1" t="str">
        <f t="shared" si="669"/>
        <v>ㄣ</v>
      </c>
      <c r="N10789" s="3" t="s">
        <v>30574</v>
      </c>
      <c r="O10789" s="3"/>
      <c r="P10789" s="1" t="s">
        <v>20</v>
      </c>
      <c r="R10789" s="1" t="s">
        <v>21793</v>
      </c>
      <c r="V10789" s="1" t="s">
        <v>21802</v>
      </c>
      <c r="AR10789" s="1" t="str">
        <f t="shared" si="670"/>
        <v>| [ㄖㄣˋ](ㄖㄣˋ.md) | [紉](紉.md) |  | rèn | [動]
1.搓捻。楚辭．賈誼〈惜誓〉：「傷誠是之不察兮，并紉茅絲以為索。」唐．段成式《酉陽雜俎．卷六．樂》：「使一人吹空管，一人紉繩，則琴瑟竽筑皆作，與真樂不異。」
2.縫補。如：「縫紉」。明．徐弘祖《徐霞客遊記．卷五上．滇遊日記二》：「澣濯汙衣，且補紉之。」
3.引線穿針。《禮記．內則》：「衣裳綻裂，紉箴請補綴。」
4.綴結、佩帶。《楚辭．屈原．離騷》：「扈江離與辟芷兮，紉秋蘭以為佩。」《北史．卷三一．高允傳》：「體襲朱裳，腰紉雙佩。」
5.心服、感佩。如：「感紉」、「敬紉高誼」。 |</v>
      </c>
    </row>
    <row r="10790" spans="1:44" hidden="1">
      <c r="A10790" s="1" t="s">
        <v>21803</v>
      </c>
      <c r="C10790" s="1">
        <v>1</v>
      </c>
      <c r="D10790" s="1" t="str">
        <f>"09232"</f>
        <v>09232</v>
      </c>
      <c r="E10790" s="1" t="s">
        <v>331</v>
      </c>
      <c r="F10790" s="1">
        <v>10</v>
      </c>
      <c r="G10790" s="1">
        <v>3</v>
      </c>
      <c r="H10790" s="1">
        <v>0</v>
      </c>
      <c r="I10790" s="1" t="s">
        <v>21792</v>
      </c>
      <c r="K10790" s="1" t="str">
        <f t="shared" si="668"/>
        <v>ㄖ</v>
      </c>
      <c r="L10790" s="1" t="str">
        <f t="shared" si="669"/>
        <v>ㄣ</v>
      </c>
      <c r="N10790" s="3" t="s">
        <v>30574</v>
      </c>
      <c r="O10790" s="3"/>
      <c r="P10790" s="1" t="s">
        <v>20</v>
      </c>
      <c r="R10790" s="1" t="s">
        <v>21793</v>
      </c>
      <c r="V10790" s="1" t="s">
        <v>21804</v>
      </c>
      <c r="AR10790" s="1" t="str">
        <f t="shared" si="670"/>
        <v>| [ㄖㄣˋ](ㄖㄣˋ.md) | [訒](訒.md) |  | rèn | [副]
說話謹慎、難以啟口的樣子。《廣韻．去聲．震韻》：「訒，難言。」《論語．顏淵》：「司馬牛問仁，子曰：『仁者其言也訒。』」 |</v>
      </c>
    </row>
    <row r="10791" spans="1:44" hidden="1">
      <c r="A10791" s="1" t="s">
        <v>21805</v>
      </c>
      <c r="C10791" s="1">
        <v>1</v>
      </c>
      <c r="D10791" s="1" t="str">
        <f>"09233"</f>
        <v>09233</v>
      </c>
      <c r="E10791" s="1" t="s">
        <v>71</v>
      </c>
      <c r="F10791" s="1">
        <v>10</v>
      </c>
      <c r="G10791" s="1">
        <v>3</v>
      </c>
      <c r="H10791" s="1">
        <v>0</v>
      </c>
      <c r="I10791" s="1" t="s">
        <v>21792</v>
      </c>
      <c r="K10791" s="1" t="str">
        <f t="shared" si="668"/>
        <v>ㄖ</v>
      </c>
      <c r="L10791" s="1" t="str">
        <f t="shared" si="669"/>
        <v>ㄣ</v>
      </c>
      <c r="N10791" s="3" t="s">
        <v>30574</v>
      </c>
      <c r="O10791" s="3"/>
      <c r="P10791" s="1" t="s">
        <v>20</v>
      </c>
      <c r="R10791" s="1" t="s">
        <v>21793</v>
      </c>
      <c r="V10791" s="1" t="s">
        <v>21806</v>
      </c>
      <c r="AR10791" s="1" t="str">
        <f t="shared" si="670"/>
        <v>| [ㄖㄣˋ](ㄖㄣˋ.md) | [軔](軔.md) |  | rèn | [名]
1.阻止車輪滑轉的橫木。漢．揚雄〈長楊賦〉：「是以車不安軔，日未靡旃。」
2.量詞。古代計算長度的單位。八尺為一軔。通「仞」。《孟子．盡心上》：「掘井九軔而不及泉，猶為棄井也。」
[動]
阻止。《戰國策．秦策五》：「陛下嘗軔車於趙矣。」《後漢書．卷二九．申屠剛傳》：「諫不見聽，遂以頭軔乘輿輪，帝遂為止。」 |</v>
      </c>
    </row>
    <row r="10792" spans="1:44" hidden="1">
      <c r="A10792" s="1" t="s">
        <v>21807</v>
      </c>
      <c r="C10792" s="1">
        <v>1</v>
      </c>
      <c r="D10792" s="1" t="str">
        <f>"09234"</f>
        <v>09234</v>
      </c>
      <c r="E10792" s="1" t="s">
        <v>1058</v>
      </c>
      <c r="F10792" s="1">
        <v>12</v>
      </c>
      <c r="G10792" s="1">
        <v>3</v>
      </c>
      <c r="H10792" s="1">
        <v>0</v>
      </c>
      <c r="I10792" s="1" t="s">
        <v>21792</v>
      </c>
      <c r="K10792" s="1" t="str">
        <f t="shared" si="668"/>
        <v>ㄖ</v>
      </c>
      <c r="L10792" s="1" t="str">
        <f t="shared" si="669"/>
        <v>ㄣ</v>
      </c>
      <c r="N10792" s="3" t="s">
        <v>30574</v>
      </c>
      <c r="O10792" s="3"/>
      <c r="P10792" s="1" t="s">
        <v>20</v>
      </c>
      <c r="R10792" s="1" t="s">
        <v>21793</v>
      </c>
      <c r="V10792" s="1" t="s">
        <v>21808</v>
      </c>
      <c r="AR10792" s="1" t="str">
        <f t="shared" si="670"/>
        <v>| [ㄖㄣˋ](ㄖㄣˋ.md) | [韌](韌.md) |  | rèn | [形]
柔軟而結實。如：「堅韌」、「柔韌」、「韌性」。宋．沈括《夢溪筆談．卷一九．器用》：「青堂羌善鍛甲，鐵色青黑，瑩徹可鑒毛髮，以麝皮為䋶旅之，柔薄而韌。」 |</v>
      </c>
    </row>
    <row r="10793" spans="1:44" hidden="1">
      <c r="A10793" s="1" t="s">
        <v>21809</v>
      </c>
      <c r="C10793" s="1">
        <v>1</v>
      </c>
      <c r="D10793" s="1" t="str">
        <f>"09235"</f>
        <v>09235</v>
      </c>
      <c r="E10793" s="1" t="s">
        <v>331</v>
      </c>
      <c r="F10793" s="1">
        <v>14</v>
      </c>
      <c r="G10793" s="1">
        <v>7</v>
      </c>
      <c r="H10793" s="1">
        <v>0</v>
      </c>
      <c r="I10793" s="1" t="s">
        <v>21792</v>
      </c>
      <c r="K10793" s="1" t="str">
        <f t="shared" si="668"/>
        <v>ㄖ</v>
      </c>
      <c r="L10793" s="1" t="str">
        <f t="shared" si="669"/>
        <v>ㄣ</v>
      </c>
      <c r="N10793" s="3" t="s">
        <v>30574</v>
      </c>
      <c r="O10793" s="3"/>
      <c r="P10793" s="1" t="s">
        <v>20</v>
      </c>
      <c r="R10793" s="1" t="s">
        <v>21793</v>
      </c>
      <c r="V10793" s="1" t="s">
        <v>21810</v>
      </c>
      <c r="AR10793" s="1" t="str">
        <f t="shared" si="670"/>
        <v>| [ㄖㄣˋ](ㄖㄣˋ.md) | [認](認.md) |  | rèn | [動]
1.辨識、分別。如：「認字」、「認人」、「辨認」、「認路」。宋．劉克莊〈鐵塔寺〉詩：「細認苔間字，方知鑄塔時。」
2.表示同意、接受。如：「承認」、「認輸」、「認罪」、「認可」。《三國演義》第四五回：「操雖心知中計，卻不肯認錯。」
3.當作、以為。宋．劉克莊〈答婦兄林公遇〉詩四首之一：「夢回殘月在，錯認是天明。」
4.無血緣關係而結成親屬。如：「認乾爹」、「認賊作父」。 |</v>
      </c>
    </row>
    <row r="10794" spans="1:44" hidden="1">
      <c r="A10794" s="1" t="s">
        <v>21768</v>
      </c>
      <c r="C10794" s="1">
        <v>1</v>
      </c>
      <c r="D10794" s="1" t="str">
        <f>"09236"</f>
        <v>09236</v>
      </c>
      <c r="E10794" s="1" t="s">
        <v>114</v>
      </c>
      <c r="F10794" s="1">
        <v>6</v>
      </c>
      <c r="G10794" s="1">
        <v>4</v>
      </c>
      <c r="H10794" s="1">
        <v>1</v>
      </c>
      <c r="I10794" s="1" t="s">
        <v>21792</v>
      </c>
      <c r="K10794" s="1" t="str">
        <f t="shared" si="668"/>
        <v>ㄖ</v>
      </c>
      <c r="L10794" s="1" t="str">
        <f t="shared" si="669"/>
        <v>ㄣ</v>
      </c>
      <c r="N10794" s="3" t="s">
        <v>30574</v>
      </c>
      <c r="O10794" s="3"/>
      <c r="P10794" s="1" t="s">
        <v>20</v>
      </c>
      <c r="R10794" s="1" t="s">
        <v>21793</v>
      </c>
      <c r="V10794" s="1" t="s">
        <v>21811</v>
      </c>
      <c r="W10794" s="1" t="s">
        <v>21812</v>
      </c>
      <c r="AR10794" s="1" t="str">
        <f t="shared" si="670"/>
        <v>| [ㄖㄣˋ](ㄖㄣˋ.md) | [任](任.md) |  | rèn | [名]
1.職責、職務。如：「責任」、「任務」、「任重道遠」。
2.職位。如：「就任」、「赴任」、「卸任」。
3.量詞。計算擔任某種職務或具有某種身分期間的單位。如：「他連續當選三任會長。」
[動]
1.委派。如：「派任」、「任免」。《書經．大禹謨》：「任賢勿貳」。
2.聽憑。如：「任意」、「任其自然」。
3.擔當、承受。如：「擔任」、「任職」、「任教」、「任勞任怨」。
4.相信。如：「信任」。《戰國策．魏策二》：「王聞之而弗任也。」
5.懷孕。通「妊」。《漢書．卷一〇〇．敘傳上》：「劉媼任高祖而夢與神遇。」唐．顏師古．注：「任謂懷任也。」
[副]
無論。如：「任你怎麼解釋，他都不聽。」 |</v>
      </c>
    </row>
    <row r="10795" spans="1:44" hidden="1">
      <c r="A10795" s="1" t="s">
        <v>21771</v>
      </c>
      <c r="C10795" s="1">
        <v>1</v>
      </c>
      <c r="D10795" s="1" t="str">
        <f>"09237"</f>
        <v>09237</v>
      </c>
      <c r="E10795" s="1" t="s">
        <v>534</v>
      </c>
      <c r="F10795" s="1">
        <v>7</v>
      </c>
      <c r="G10795" s="1">
        <v>4</v>
      </c>
      <c r="H10795" s="1">
        <v>1</v>
      </c>
      <c r="I10795" s="1" t="s">
        <v>21792</v>
      </c>
      <c r="K10795" s="1" t="str">
        <f t="shared" si="668"/>
        <v>ㄖ</v>
      </c>
      <c r="L10795" s="1" t="str">
        <f t="shared" si="669"/>
        <v>ㄣ</v>
      </c>
      <c r="N10795" s="3" t="s">
        <v>30574</v>
      </c>
      <c r="O10795" s="3"/>
      <c r="P10795" s="1" t="s">
        <v>20</v>
      </c>
      <c r="R10795" s="1" t="s">
        <v>21793</v>
      </c>
      <c r="V10795" s="1" t="s">
        <v>21813</v>
      </c>
      <c r="W10795" s="1" t="s">
        <v>21814</v>
      </c>
      <c r="AR10795" s="1" t="str">
        <f t="shared" si="670"/>
        <v>| [ㄖㄣˋ](ㄖㄣˋ.md) | [妊](妊.md) |  | rèn | [動]
懷孕。《說文解字．女部》：「妊，孕也。」如：「妊娠」。漢．王充《論衡．吉驗》：「傳言黃帝妊二十月而生。」 |</v>
      </c>
    </row>
    <row r="10796" spans="1:44" hidden="1">
      <c r="A10796" s="1" t="s">
        <v>21815</v>
      </c>
      <c r="C10796" s="1">
        <v>1</v>
      </c>
      <c r="D10796" s="1" t="str">
        <f>"09238"</f>
        <v>09238</v>
      </c>
      <c r="E10796" s="1" t="s">
        <v>340</v>
      </c>
      <c r="F10796" s="1">
        <v>10</v>
      </c>
      <c r="G10796" s="1">
        <v>4</v>
      </c>
      <c r="H10796" s="1">
        <v>0</v>
      </c>
      <c r="I10796" s="1" t="s">
        <v>21792</v>
      </c>
      <c r="K10796" s="1" t="str">
        <f t="shared" si="668"/>
        <v>ㄖ</v>
      </c>
      <c r="L10796" s="1" t="str">
        <f t="shared" si="669"/>
        <v>ㄣ</v>
      </c>
      <c r="N10796" s="3" t="s">
        <v>30574</v>
      </c>
      <c r="O10796" s="3"/>
      <c r="P10796" s="1" t="s">
        <v>20</v>
      </c>
      <c r="R10796" s="1" t="s">
        <v>21793</v>
      </c>
      <c r="V10796" s="1" t="s">
        <v>21816</v>
      </c>
      <c r="AR10796" s="1" t="str">
        <f t="shared" si="670"/>
        <v>| [ㄖㄣˋ](ㄖㄣˋ.md) | [衽](衽.md) |  | rèn | [名]
1.衣襟。《論語．憲問》：「微管仲，吾其被髮左衽矣。」《楚辭．屈原．離騷》：「跪敷衽以陳辭兮，耿吾既得此中正。」
2.衣袖。漢．劉向《列女傳．卷一．魯季敬姜傳》：「文伯引衽攘捲而親饋之。」
3.睡覺用的席子。《禮記．曲禮上》：「請席何鄉，請衽何趾？」《史記．卷八三．魯仲連鄒陽傳》：「攝衽抱機，視膳於堂下。」
4.古代用來接合棺身和棺蓋的木楔。漢．劉熙《釋名．釋喪制》：「古者棺不釘也。旁際曰小要，其要約小也。又謂之衽。衽，任也。任制祭會使不解也。」
[動]
1.扣合、整理。漢．劉向《新序．卷七．節士上》：「原憲冠桑葉冠，杖藜而應門，正冠則纓絕，衽襟則肘見。」
2.睡臥。《禮記．中庸》：「衽金革，死而不厭，北方之強也。」 |</v>
      </c>
    </row>
    <row r="10797" spans="1:44" hidden="1">
      <c r="A10797" s="1" t="s">
        <v>7587</v>
      </c>
      <c r="C10797" s="1">
        <v>1</v>
      </c>
      <c r="D10797" s="1" t="str">
        <f>"09239"</f>
        <v>09239</v>
      </c>
      <c r="E10797" s="1" t="s">
        <v>250</v>
      </c>
      <c r="F10797" s="1">
        <v>10</v>
      </c>
      <c r="G10797" s="1">
        <v>6</v>
      </c>
      <c r="H10797" s="1">
        <v>1</v>
      </c>
      <c r="I10797" s="1" t="s">
        <v>21792</v>
      </c>
      <c r="K10797" s="1" t="str">
        <f t="shared" si="668"/>
        <v>ㄖ</v>
      </c>
      <c r="L10797" s="1" t="str">
        <f t="shared" si="669"/>
        <v>ㄣ</v>
      </c>
      <c r="N10797" s="3" t="s">
        <v>30574</v>
      </c>
      <c r="O10797" s="3"/>
      <c r="P10797" s="1" t="s">
        <v>20</v>
      </c>
      <c r="R10797" s="1" t="s">
        <v>21793</v>
      </c>
      <c r="V10797" s="1" t="s">
        <v>21817</v>
      </c>
      <c r="W10797" s="1" t="s">
        <v>21818</v>
      </c>
      <c r="AR10797" s="1" t="str">
        <f t="shared" si="670"/>
        <v>| [ㄖㄣˋ](ㄖㄣˋ.md) | [恁](恁.md) |  | rèn | [動]
思、念。《文選．班固．典引》：「若然受之，宜亦懃恁旅力。」宋．王安石〈酬王伯虎〉詩：「徂年幸未暮，此意可勤恁。」
[代]
1.哪。如：「恁時」。元．馬致遠《漢宮秋》第三折：「若是他不戀恁春風畫堂，我便官封你一字王。」
2.什麼、何。《初刻拍案驚奇》卷二一：「我歇之後，有恁人在此房中安歇？」
3.如此、這樣。如：「恁的」、「恁般」。宋．歐陽修〈玉樓春．酒美春濃花世界〉詞：「已去少年無計奈，且願芳心長恁在。」明．湯顯祖《牡丹亭》第七齣：「昔氏賢文，把人禁殺，恁時節則好教鸚哥喚茶。」
4.怎麼。如：「恁麼」。《水滸傳》第三回：「你也須認的洒家，卻恁地教甚麼人在間壁吱吱的哭，攪俺弟兄們吃酒？」 |</v>
      </c>
    </row>
    <row r="10798" spans="1:44" hidden="1">
      <c r="A10798" s="1" t="s">
        <v>21773</v>
      </c>
      <c r="C10798" s="1">
        <v>1</v>
      </c>
      <c r="D10798" s="1" t="str">
        <f>"09240"</f>
        <v>09240</v>
      </c>
      <c r="E10798" s="1" t="s">
        <v>725</v>
      </c>
      <c r="F10798" s="1">
        <v>10</v>
      </c>
      <c r="G10798" s="1">
        <v>4</v>
      </c>
      <c r="H10798" s="1">
        <v>1</v>
      </c>
      <c r="I10798" s="1" t="s">
        <v>21792</v>
      </c>
      <c r="K10798" s="1" t="str">
        <f t="shared" si="668"/>
        <v>ㄖ</v>
      </c>
      <c r="L10798" s="1" t="str">
        <f t="shared" si="669"/>
        <v>ㄣ</v>
      </c>
      <c r="N10798" s="3" t="s">
        <v>30574</v>
      </c>
      <c r="O10798" s="3"/>
      <c r="P10798" s="1" t="s">
        <v>20</v>
      </c>
      <c r="R10798" s="1" t="s">
        <v>21793</v>
      </c>
      <c r="V10798" s="1" t="s">
        <v>21819</v>
      </c>
      <c r="W10798" s="1" t="s">
        <v>21820</v>
      </c>
      <c r="AR10798" s="1" t="str">
        <f t="shared" si="670"/>
        <v>| [ㄖㄣˋ](ㄖㄣˋ.md) | [紝](紝.md) |  | rèn | [名]
織布帛的絲縷。《漢書．卷六四上．嚴助傳》：「婦人不得紡績織紝。」清．蔣士銓〈鳴機夜課圖記〉：「明年娶婦張氏，母女視之，訓以紡績織紝事，一如教兒時。」
[動]
用線穿針孔。《董西廂》卷六：「行待紝針關，卻便紝針尖。」 |</v>
      </c>
    </row>
    <row r="10799" spans="1:44" hidden="1">
      <c r="A10799" s="1" t="s">
        <v>21821</v>
      </c>
      <c r="C10799" s="1">
        <v>1</v>
      </c>
      <c r="D10799" s="1" t="str">
        <f>"09241"</f>
        <v>09241</v>
      </c>
      <c r="E10799" s="1" t="s">
        <v>193</v>
      </c>
      <c r="F10799" s="1">
        <v>12</v>
      </c>
      <c r="G10799" s="1">
        <v>4</v>
      </c>
      <c r="H10799" s="1">
        <v>0</v>
      </c>
      <c r="I10799" s="1" t="s">
        <v>21792</v>
      </c>
      <c r="K10799" s="1" t="str">
        <f t="shared" si="668"/>
        <v>ㄖ</v>
      </c>
      <c r="L10799" s="1" t="str">
        <f t="shared" si="669"/>
        <v>ㄣ</v>
      </c>
      <c r="N10799" s="3" t="s">
        <v>30574</v>
      </c>
      <c r="O10799" s="3"/>
      <c r="P10799" s="1" t="s">
        <v>20</v>
      </c>
      <c r="R10799" s="1" t="s">
        <v>21793</v>
      </c>
      <c r="V10799" s="1" t="s">
        <v>21822</v>
      </c>
      <c r="AR10799" s="1" t="str">
        <f t="shared" si="670"/>
        <v>| [ㄖㄣˋ](ㄖㄣˋ.md) | [飪](飪.md) |  | rèn | [動]
煮熟。《廣韻．上聲．寑韻》：「飪，熟食。」如：「烹飪」。《論語．鄉黨》：「失飪，不食。」 |</v>
      </c>
    </row>
    <row r="10800" spans="1:44" hidden="1">
      <c r="A10800" s="1" t="s">
        <v>8918</v>
      </c>
      <c r="C10800" s="1">
        <v>1</v>
      </c>
      <c r="D10800" s="1" t="str">
        <f>"09242"</f>
        <v>09242</v>
      </c>
      <c r="E10800" s="1" t="s">
        <v>505</v>
      </c>
      <c r="F10800" s="1">
        <v>13</v>
      </c>
      <c r="G10800" s="1">
        <v>6</v>
      </c>
      <c r="H10800" s="1">
        <v>2</v>
      </c>
      <c r="I10800" s="1" t="s">
        <v>21792</v>
      </c>
      <c r="K10800" s="1" t="str">
        <f t="shared" si="668"/>
        <v>ㄖ</v>
      </c>
      <c r="L10800" s="1" t="str">
        <f t="shared" si="669"/>
        <v>ㄣ</v>
      </c>
      <c r="N10800" s="3" t="s">
        <v>30574</v>
      </c>
      <c r="O10800" s="3"/>
      <c r="P10800" s="1" t="s">
        <v>186</v>
      </c>
      <c r="R10800" s="1" t="s">
        <v>21793</v>
      </c>
      <c r="V10800" s="1" t="s">
        <v>206</v>
      </c>
      <c r="W10800" s="1" t="s">
        <v>21823</v>
      </c>
      <c r="AR10800" s="1" t="str">
        <f t="shared" si="670"/>
        <v>| [ㄖㄣˋ](ㄖㄣˋ.md) | [賃](賃.md) |  | rèn | (一)之讀音。 |</v>
      </c>
    </row>
    <row r="10801" spans="1:44" hidden="1">
      <c r="A10801" s="1" t="s">
        <v>21239</v>
      </c>
      <c r="C10801" s="1">
        <v>1</v>
      </c>
      <c r="D10801" s="1" t="str">
        <f>"09243"</f>
        <v>09243</v>
      </c>
      <c r="E10801" s="1" t="s">
        <v>37</v>
      </c>
      <c r="F10801" s="1">
        <v>13</v>
      </c>
      <c r="G10801" s="1">
        <v>9</v>
      </c>
      <c r="H10801" s="1">
        <v>2</v>
      </c>
      <c r="I10801" s="1" t="s">
        <v>21792</v>
      </c>
      <c r="K10801" s="1" t="str">
        <f t="shared" si="668"/>
        <v>ㄖ</v>
      </c>
      <c r="L10801" s="1" t="str">
        <f t="shared" si="669"/>
        <v>ㄣ</v>
      </c>
      <c r="N10801" s="3" t="s">
        <v>30574</v>
      </c>
      <c r="O10801" s="3"/>
      <c r="P10801" s="1" t="s">
        <v>186</v>
      </c>
      <c r="R10801" s="1" t="s">
        <v>21793</v>
      </c>
      <c r="V10801" s="1" t="s">
        <v>206</v>
      </c>
      <c r="W10801" s="1" t="s">
        <v>21824</v>
      </c>
      <c r="AR10801" s="1" t="str">
        <f t="shared" si="670"/>
        <v>| [ㄖㄣˋ](ㄖㄣˋ.md) | [葚](葚.md) |  | rèn | (一)之讀音。 |</v>
      </c>
    </row>
    <row r="10802" spans="1:44" hidden="1">
      <c r="A10802" s="1" t="s">
        <v>21760</v>
      </c>
      <c r="C10802" s="1">
        <v>1</v>
      </c>
      <c r="D10802" s="1" t="str">
        <f>"09214"</f>
        <v>09214</v>
      </c>
      <c r="E10802" s="1" t="s">
        <v>114</v>
      </c>
      <c r="F10802" s="1">
        <v>2</v>
      </c>
      <c r="G10802" s="1">
        <v>0</v>
      </c>
      <c r="H10802" s="1">
        <v>0</v>
      </c>
      <c r="I10802" s="1" t="s">
        <v>21761</v>
      </c>
      <c r="K10802" s="1" t="str">
        <f t="shared" si="668"/>
        <v>ㄖ</v>
      </c>
      <c r="L10802" s="1" t="str">
        <f t="shared" si="669"/>
        <v>ㄣ</v>
      </c>
      <c r="N10802" s="3" t="s">
        <v>30575</v>
      </c>
      <c r="O10802" s="3"/>
      <c r="P10802" s="1" t="s">
        <v>20</v>
      </c>
      <c r="R10802" s="1" t="s">
        <v>21762</v>
      </c>
      <c r="V10802" s="1" t="s">
        <v>21763</v>
      </c>
      <c r="AR10802" s="1" t="str">
        <f t="shared" si="670"/>
        <v>| [ㄖㄣˊ](ㄖㄣˊ.md) | [人](人.md) |  | rén | [名]
1.具有高度智慧和靈性，且能製造並使用工具以進行勞動的高等動物。如：「男人」、「女人」、「人類」。
2.別人、他人。如：「己所不欲，勿施於人。」
3.每人。如：「人盡皆知」、「人手一冊」。《後漢書．卷一八．吳漢傳》：「若能同心一力，人自為戰，大功可立。」
4.某種類型、身分的人。如：「軍人」、「主持人」、「介紹人」、「臺北人」。
5.人的品格和性情。如：「文如其人」。《孟子．萬章下》：「頌其詩，讀其書，不知其人，可乎？」宋．王安石〈祭歐陽文忠公文〉：「世之學者，無問乎識與不識，而讀其文，則其人可知。」
6.姓。如明代有人杰。
7.二一四部首之一。 |</v>
      </c>
    </row>
    <row r="10803" spans="1:44" hidden="1">
      <c r="A10803" s="1" t="s">
        <v>21764</v>
      </c>
      <c r="C10803" s="1">
        <v>1</v>
      </c>
      <c r="D10803" s="1" t="str">
        <f>"09215"</f>
        <v>09215</v>
      </c>
      <c r="E10803" s="1" t="s">
        <v>3581</v>
      </c>
      <c r="F10803" s="1">
        <v>2</v>
      </c>
      <c r="G10803" s="1">
        <v>0</v>
      </c>
      <c r="H10803" s="1">
        <v>0</v>
      </c>
      <c r="I10803" s="1" t="s">
        <v>21761</v>
      </c>
      <c r="K10803" s="1" t="str">
        <f t="shared" si="668"/>
        <v>ㄖ</v>
      </c>
      <c r="L10803" s="1" t="str">
        <f t="shared" si="669"/>
        <v>ㄣ</v>
      </c>
      <c r="N10803" s="3" t="s">
        <v>30575</v>
      </c>
      <c r="O10803" s="3"/>
      <c r="P10803" s="1" t="s">
        <v>20</v>
      </c>
      <c r="R10803" s="1" t="s">
        <v>21762</v>
      </c>
      <c r="V10803" s="1" t="s">
        <v>21765</v>
      </c>
      <c r="AR10803" s="1" t="str">
        <f t="shared" si="670"/>
        <v>| [ㄖㄣˊ](ㄖㄣˊ.md) | [儿](儿.md) |  | rén | [名]
1.同「人」。《說文解字．儿部》：「儿，古文奇字人也。」元．戴侗《六書故．卷八．人》：「按人、儿非二字，特因所合而稍變其勢。合於左者，若『伯』若『仲』，則不變其本文而為人；合於下者，若『兒』若『見』則微變其本文為儿。」
2.二一四部首之一。 |</v>
      </c>
    </row>
    <row r="10804" spans="1:44" hidden="1">
      <c r="A10804" s="1" t="s">
        <v>21766</v>
      </c>
      <c r="C10804" s="1">
        <v>1</v>
      </c>
      <c r="D10804" s="1" t="str">
        <f>"09216"</f>
        <v>09216</v>
      </c>
      <c r="E10804" s="1" t="s">
        <v>11385</v>
      </c>
      <c r="F10804" s="1">
        <v>4</v>
      </c>
      <c r="G10804" s="1">
        <v>1</v>
      </c>
      <c r="H10804" s="1">
        <v>0</v>
      </c>
      <c r="I10804" s="1" t="s">
        <v>21761</v>
      </c>
      <c r="K10804" s="1" t="str">
        <f t="shared" si="668"/>
        <v>ㄖ</v>
      </c>
      <c r="L10804" s="1" t="str">
        <f t="shared" si="669"/>
        <v>ㄣ</v>
      </c>
      <c r="N10804" s="3" t="s">
        <v>30575</v>
      </c>
      <c r="O10804" s="3"/>
      <c r="P10804" s="1" t="s">
        <v>20</v>
      </c>
      <c r="R10804" s="1" t="s">
        <v>21762</v>
      </c>
      <c r="V10804" s="1" t="s">
        <v>21767</v>
      </c>
      <c r="AR10804" s="1" t="str">
        <f t="shared" si="670"/>
        <v>| [ㄖㄣˊ](ㄖㄣˊ.md) | [壬](壬.md) |  | rén | [名]
1.天干的第九位。
2.姓。如明代有壬士亨。
[形]
1.奸佞。《書經．皋陶謨》：「何畏乎巧言令色孔壬。」
2.盛大。《詩經．小雅．賓之初筵》：「百禮既至，有壬有林。」漢．毛亨．傳：「壬，大；林，君也。」 |</v>
      </c>
    </row>
    <row r="10805" spans="1:44" hidden="1">
      <c r="A10805" s="1" t="s">
        <v>21768</v>
      </c>
      <c r="C10805" s="1">
        <v>1</v>
      </c>
      <c r="D10805" s="1" t="str">
        <f>"09217"</f>
        <v>09217</v>
      </c>
      <c r="E10805" s="1" t="s">
        <v>114</v>
      </c>
      <c r="F10805" s="1">
        <v>6</v>
      </c>
      <c r="G10805" s="1">
        <v>4</v>
      </c>
      <c r="H10805" s="1">
        <v>2</v>
      </c>
      <c r="I10805" s="1" t="s">
        <v>21761</v>
      </c>
      <c r="K10805" s="1" t="str">
        <f t="shared" si="668"/>
        <v>ㄖ</v>
      </c>
      <c r="L10805" s="1" t="str">
        <f t="shared" si="669"/>
        <v>ㄣ</v>
      </c>
      <c r="N10805" s="3" t="s">
        <v>30575</v>
      </c>
      <c r="O10805" s="3"/>
      <c r="P10805" s="1" t="s">
        <v>20</v>
      </c>
      <c r="R10805" s="1" t="s">
        <v>21762</v>
      </c>
      <c r="V10805" s="1" t="s">
        <v>21769</v>
      </c>
      <c r="W10805" s="1" t="s">
        <v>21770</v>
      </c>
      <c r="AR10805" s="1" t="str">
        <f t="shared" si="670"/>
        <v>| [ㄖㄣˊ](ㄖㄣˊ.md) | [任](任.md) |  | rén | [形]
奸佞。《書經．舜典》：「惇德允元，而難任人。」唐．孔穎達．正義：「任，佞也。」
[名]
姓。如漢代有任尚。 |</v>
      </c>
    </row>
    <row r="10806" spans="1:44" hidden="1">
      <c r="A10806" s="1" t="s">
        <v>21771</v>
      </c>
      <c r="C10806" s="1">
        <v>1</v>
      </c>
      <c r="D10806" s="1" t="str">
        <f>"09218"</f>
        <v>09218</v>
      </c>
      <c r="E10806" s="1" t="s">
        <v>534</v>
      </c>
      <c r="F10806" s="1">
        <v>7</v>
      </c>
      <c r="G10806" s="1">
        <v>4</v>
      </c>
      <c r="H10806" s="1">
        <v>2</v>
      </c>
      <c r="I10806" s="1" t="s">
        <v>21761</v>
      </c>
      <c r="K10806" s="1" t="str">
        <f t="shared" si="668"/>
        <v>ㄖ</v>
      </c>
      <c r="L10806" s="1" t="str">
        <f t="shared" si="669"/>
        <v>ㄣ</v>
      </c>
      <c r="N10806" s="3" t="s">
        <v>30575</v>
      </c>
      <c r="O10806" s="3"/>
      <c r="P10806" s="1" t="s">
        <v>110</v>
      </c>
      <c r="R10806" s="1" t="s">
        <v>21762</v>
      </c>
      <c r="V10806" s="1" t="s">
        <v>111</v>
      </c>
      <c r="W10806" s="1" t="s">
        <v>21772</v>
      </c>
      <c r="AR10806" s="1" t="str">
        <f t="shared" si="670"/>
        <v>| [ㄖㄣˊ](ㄖㄣˊ.md) | [妊](妊.md) |  | rén | (一)之又音。 |</v>
      </c>
    </row>
    <row r="10807" spans="1:44" hidden="1">
      <c r="A10807" s="1" t="s">
        <v>21773</v>
      </c>
      <c r="C10807" s="1">
        <v>1</v>
      </c>
      <c r="D10807" s="1" t="str">
        <f>"09219"</f>
        <v>09219</v>
      </c>
      <c r="E10807" s="1" t="s">
        <v>725</v>
      </c>
      <c r="F10807" s="1">
        <v>10</v>
      </c>
      <c r="G10807" s="1">
        <v>4</v>
      </c>
      <c r="H10807" s="1">
        <v>2</v>
      </c>
      <c r="I10807" s="1" t="s">
        <v>21761</v>
      </c>
      <c r="K10807" s="1" t="str">
        <f t="shared" si="668"/>
        <v>ㄖ</v>
      </c>
      <c r="L10807" s="1" t="str">
        <f t="shared" si="669"/>
        <v>ㄣ</v>
      </c>
      <c r="N10807" s="3" t="s">
        <v>30575</v>
      </c>
      <c r="O10807" s="3"/>
      <c r="P10807" s="1" t="s">
        <v>110</v>
      </c>
      <c r="R10807" s="1" t="s">
        <v>21762</v>
      </c>
      <c r="V10807" s="1" t="s">
        <v>111</v>
      </c>
      <c r="W10807" s="1" t="s">
        <v>21774</v>
      </c>
      <c r="AR10807" s="1" t="str">
        <f t="shared" si="670"/>
        <v>| [ㄖㄣˊ](ㄖㄣˊ.md) | [紝](紝.md) |  | rén | (一)之又音。 |</v>
      </c>
    </row>
    <row r="10808" spans="1:44" hidden="1">
      <c r="A10808" s="1" t="s">
        <v>21775</v>
      </c>
      <c r="C10808" s="1">
        <v>1</v>
      </c>
      <c r="D10808" s="1" t="str">
        <f>"09220"</f>
        <v>09220</v>
      </c>
      <c r="E10808" s="1" t="s">
        <v>272</v>
      </c>
      <c r="F10808" s="1">
        <v>17</v>
      </c>
      <c r="G10808" s="1">
        <v>6</v>
      </c>
      <c r="H10808" s="1">
        <v>0</v>
      </c>
      <c r="I10808" s="1" t="s">
        <v>21761</v>
      </c>
      <c r="K10808" s="1" t="str">
        <f t="shared" si="668"/>
        <v>ㄖ</v>
      </c>
      <c r="L10808" s="1" t="str">
        <f t="shared" si="669"/>
        <v>ㄣ</v>
      </c>
      <c r="N10808" s="3" t="s">
        <v>30575</v>
      </c>
      <c r="O10808" s="3"/>
      <c r="P10808" s="1" t="s">
        <v>20</v>
      </c>
      <c r="R10808" s="1" t="s">
        <v>21762</v>
      </c>
      <c r="V10808" s="1" t="s">
        <v>21776</v>
      </c>
      <c r="AR10808" s="1" t="str">
        <f t="shared" si="670"/>
        <v>| [ㄖㄣˊ](ㄖㄣˊ.md) | [鵀](鵀.md) |  | rén | [名]
動物名。即戴勝鳥。佛法僧目戴勝科。頭上具漂亮的羽冠，以昆蟲為食。分布於溫帶與熱帶地區。《爾雅．釋鳥》：「鵖鴔，戴鵀。」晉．郭璞．注：「鵀即頭上勝。今亦呼為戴勝。」 |</v>
      </c>
    </row>
    <row r="10809" spans="1:44" hidden="1">
      <c r="A10809" s="1" t="s">
        <v>21777</v>
      </c>
      <c r="C10809" s="1">
        <v>1</v>
      </c>
      <c r="D10809" s="1" t="str">
        <f>"09221"</f>
        <v>09221</v>
      </c>
      <c r="E10809" s="1" t="s">
        <v>114</v>
      </c>
      <c r="F10809" s="1">
        <v>4</v>
      </c>
      <c r="G10809" s="1">
        <v>2</v>
      </c>
      <c r="H10809" s="1">
        <v>0</v>
      </c>
      <c r="I10809" s="1" t="s">
        <v>21761</v>
      </c>
      <c r="K10809" s="1" t="str">
        <f t="shared" si="668"/>
        <v>ㄖ</v>
      </c>
      <c r="L10809" s="1" t="str">
        <f t="shared" si="669"/>
        <v>ㄣ</v>
      </c>
      <c r="N10809" s="3" t="s">
        <v>30575</v>
      </c>
      <c r="O10809" s="3"/>
      <c r="P10809" s="1" t="s">
        <v>20</v>
      </c>
      <c r="R10809" s="1" t="s">
        <v>21762</v>
      </c>
      <c r="V10809" s="1" t="s">
        <v>21778</v>
      </c>
      <c r="AR10809" s="1" t="str">
        <f t="shared" si="670"/>
        <v>| [ㄖㄣˊ](ㄖㄣˊ.md) | [仁](仁.md) |  | rén | [動]
親愛。如：「仁民愛物」。
[名]
1.寬惠善良的德行。如：「仁愛」。《論語．陽貨》：「子張問仁於孔子。孔子曰：『能行五者於天下為仁矣。』請問之，曰：『恭、寬、信、敏、惠。』」
2.有仁德的人。如：「泛愛眾而親仁。」
3.一般人。通「人」。如：「同仁」。
4.果核中的種子。如：「果仁」、「杏仁」、「桃仁」、「花生仁」。
5.姓。如五代時有仁裕。
[形]
1.寬厚、有德性的。如：「仁政」、「仁心仁術」、「仁人君子」。
2.有感覺、感受的。如：「麻木不仁」。 |</v>
      </c>
    </row>
    <row r="10810" spans="1:44" hidden="1">
      <c r="A10810" s="1" t="s">
        <v>21779</v>
      </c>
      <c r="C10810" s="1">
        <v>1</v>
      </c>
      <c r="D10810" s="1" t="str">
        <f>"09222"</f>
        <v>09222</v>
      </c>
      <c r="E10810" s="1" t="s">
        <v>250</v>
      </c>
      <c r="F10810" s="1">
        <v>7</v>
      </c>
      <c r="G10810" s="1">
        <v>3</v>
      </c>
      <c r="H10810" s="1">
        <v>0</v>
      </c>
      <c r="I10810" s="1" t="s">
        <v>21780</v>
      </c>
      <c r="K10810" s="1" t="str">
        <f t="shared" si="668"/>
        <v>ㄖ</v>
      </c>
      <c r="L10810" s="1" t="str">
        <f t="shared" si="669"/>
        <v>ㄣ</v>
      </c>
      <c r="N10810" s="3" t="s">
        <v>30576</v>
      </c>
      <c r="O10810" s="3"/>
      <c r="P10810" s="1" t="s">
        <v>20</v>
      </c>
      <c r="R10810" s="1" t="s">
        <v>21781</v>
      </c>
      <c r="V10810" s="1" t="s">
        <v>21782</v>
      </c>
      <c r="AR10810" s="1" t="str">
        <f t="shared" si="670"/>
        <v>| [ㄖㄣˇ](ㄖㄣˇ.md) | [忍](忍.md) |  | rěn | [動]
1.含容。《論語．八佾》：「八佾舞於庭，是可忍也，孰不可忍也？」
2.承受。《文選．張衡．東京賦》：「百姓弗能忍，是用息肩於大漢，而欣戴高祖。」
3.抑制、強抑。如：「忍俊不住」。《楚辭．屈原．離騷》：「澆身被服強圉兮，縱欲而不忍。」
[副]
願意、能夠。漢．王符《潛夫論．忠貴》：「寧見朽貫千萬，而不忍賜人一錢。」南唐．馮延巳〈采桑子．花前失卻遊春侶〉詞：「各自雙雙，忍更思量，綠樹青苔半夕陽。」
[形]
狠心、不仁慈。如：「殘忍」。 |</v>
      </c>
    </row>
    <row r="10811" spans="1:44" hidden="1">
      <c r="A10811" s="1" t="s">
        <v>21783</v>
      </c>
      <c r="C10811" s="1">
        <v>1</v>
      </c>
      <c r="D10811" s="1" t="str">
        <f>"09223"</f>
        <v>09223</v>
      </c>
      <c r="E10811" s="1" t="s">
        <v>37</v>
      </c>
      <c r="F10811" s="1">
        <v>11</v>
      </c>
      <c r="G10811" s="1">
        <v>7</v>
      </c>
      <c r="H10811" s="1">
        <v>0</v>
      </c>
      <c r="I10811" s="1" t="s">
        <v>21780</v>
      </c>
      <c r="K10811" s="1" t="str">
        <f t="shared" si="668"/>
        <v>ㄖ</v>
      </c>
      <c r="L10811" s="1" t="str">
        <f t="shared" si="669"/>
        <v>ㄣ</v>
      </c>
      <c r="N10811" s="3" t="s">
        <v>30576</v>
      </c>
      <c r="O10811" s="3"/>
      <c r="P10811" s="1" t="s">
        <v>20</v>
      </c>
      <c r="R10811" s="1" t="s">
        <v>21781</v>
      </c>
      <c r="V10811" s="1" t="s">
        <v>21784</v>
      </c>
      <c r="AR10811" s="1" t="str">
        <f t="shared" si="670"/>
        <v>| [ㄖㄣˇ](ㄖㄣˇ.md) | [荵](荵.md) |  | rěn | 參見「隱荵」條。 |</v>
      </c>
    </row>
    <row r="10812" spans="1:44" hidden="1">
      <c r="A10812" s="1" t="s">
        <v>21785</v>
      </c>
      <c r="C10812" s="1">
        <v>1</v>
      </c>
      <c r="D10812" s="1" t="str">
        <f>"09224"</f>
        <v>09224</v>
      </c>
      <c r="E10812" s="1" t="s">
        <v>37</v>
      </c>
      <c r="F10812" s="1">
        <v>10</v>
      </c>
      <c r="G10812" s="1">
        <v>6</v>
      </c>
      <c r="H10812" s="1">
        <v>0</v>
      </c>
      <c r="I10812" s="1" t="s">
        <v>21780</v>
      </c>
      <c r="K10812" s="1" t="str">
        <f t="shared" si="668"/>
        <v>ㄖ</v>
      </c>
      <c r="L10812" s="1" t="str">
        <f t="shared" si="669"/>
        <v>ㄣ</v>
      </c>
      <c r="N10812" s="3" t="s">
        <v>30576</v>
      </c>
      <c r="O10812" s="3"/>
      <c r="P10812" s="1" t="s">
        <v>20</v>
      </c>
      <c r="R10812" s="1" t="s">
        <v>21781</v>
      </c>
      <c r="V10812" s="1" t="s">
        <v>21786</v>
      </c>
      <c r="AR10812" s="1" t="str">
        <f t="shared" si="670"/>
        <v>| [ㄖㄣˇ](ㄖㄣˇ.md) | [荏](荏.md) |  | rěn | [名]
植物名。脣形科紫蘇屬，「白蘇」之古稱，參見「白蘇」條。
[形]
柔弱、怯懦。《論語．陽貨》：「色厲而內荏，譬諸小人，其猶穿窬之盜也與？」 |</v>
      </c>
    </row>
    <row r="10813" spans="1:44" hidden="1">
      <c r="A10813" s="1" t="s">
        <v>21787</v>
      </c>
      <c r="C10813" s="1">
        <v>1</v>
      </c>
      <c r="D10813" s="1" t="str">
        <f>"09225"</f>
        <v>09225</v>
      </c>
      <c r="E10813" s="1" t="s">
        <v>68</v>
      </c>
      <c r="F10813" s="1">
        <v>12</v>
      </c>
      <c r="G10813" s="1">
        <v>8</v>
      </c>
      <c r="H10813" s="1">
        <v>0</v>
      </c>
      <c r="I10813" s="1" t="s">
        <v>21780</v>
      </c>
      <c r="K10813" s="1" t="str">
        <f t="shared" si="668"/>
        <v>ㄖ</v>
      </c>
      <c r="L10813" s="1" t="str">
        <f t="shared" si="669"/>
        <v>ㄣ</v>
      </c>
      <c r="N10813" s="3" t="s">
        <v>30576</v>
      </c>
      <c r="O10813" s="3"/>
      <c r="P10813" s="1" t="s">
        <v>20</v>
      </c>
      <c r="R10813" s="1" t="s">
        <v>21781</v>
      </c>
      <c r="V10813" s="1" t="s">
        <v>21788</v>
      </c>
      <c r="AR10813" s="1" t="str">
        <f t="shared" si="670"/>
        <v>| [ㄖㄣˇ](ㄖㄣˇ.md) | [腍](腍.md) |  | rěn | [形]
熟的。《玉篇．肉部》：「腍，熟也。」《禮記．郊特牲》：「腥肆爛腍祭，豈知神之所饗也。」 |</v>
      </c>
    </row>
    <row r="10814" spans="1:44" hidden="1">
      <c r="A10814" s="1" t="s">
        <v>21789</v>
      </c>
      <c r="C10814" s="1">
        <v>1</v>
      </c>
      <c r="D10814" s="1" t="str">
        <f>"09226"</f>
        <v>09226</v>
      </c>
      <c r="E10814" s="1" t="s">
        <v>429</v>
      </c>
      <c r="F10814" s="1">
        <v>13</v>
      </c>
      <c r="G10814" s="1">
        <v>8</v>
      </c>
      <c r="H10814" s="1">
        <v>0</v>
      </c>
      <c r="I10814" s="1" t="s">
        <v>21780</v>
      </c>
      <c r="K10814" s="1" t="str">
        <f t="shared" si="668"/>
        <v>ㄖ</v>
      </c>
      <c r="L10814" s="1" t="str">
        <f t="shared" si="669"/>
        <v>ㄣ</v>
      </c>
      <c r="N10814" s="3" t="s">
        <v>30576</v>
      </c>
      <c r="O10814" s="3"/>
      <c r="P10814" s="1" t="s">
        <v>20</v>
      </c>
      <c r="R10814" s="1" t="s">
        <v>21781</v>
      </c>
      <c r="V10814" s="1" t="s">
        <v>21790</v>
      </c>
      <c r="AR10814" s="1" t="str">
        <f t="shared" si="670"/>
        <v>| [ㄖㄣˇ](ㄖㄣˇ.md) | [稔](稔.md) |  | rěn | [形]
稻麥等農作物成熟。《說文解字．禾部》：「稔，穀熟也。」
[名]
1.收成。《南史．卷三五．顧顗之傳》：「吳興頻歲失稔，今茲尤饉。」
2.年。《左傳．襄公二十七年》：「所謂不及五稔者，夫子之謂矣。」晉．杜預．注：「稔，一年也。」
[動]
了解、熟悉。如：「素稔」、「未稔」。 |</v>
      </c>
    </row>
    <row r="10815" spans="1:44" hidden="1">
      <c r="A10815" s="1" t="s">
        <v>21835</v>
      </c>
      <c r="C10815" s="1">
        <v>1</v>
      </c>
      <c r="D10815" s="1" t="str">
        <f>"09260"</f>
        <v>09260</v>
      </c>
      <c r="E10815" s="1" t="s">
        <v>129</v>
      </c>
      <c r="F10815" s="1">
        <v>20</v>
      </c>
      <c r="G10815" s="1">
        <v>17</v>
      </c>
      <c r="H10815" s="1">
        <v>2</v>
      </c>
      <c r="I10815" s="1" t="s">
        <v>21866</v>
      </c>
      <c r="K10815" s="1" t="str">
        <f t="shared" si="668"/>
        <v>ㄖ</v>
      </c>
      <c r="L10815" s="1" t="str">
        <f t="shared" si="669"/>
        <v>ㄤ</v>
      </c>
      <c r="N10815" s="3" t="s">
        <v>30574</v>
      </c>
      <c r="O10815" s="3"/>
      <c r="P10815" s="1" t="s">
        <v>20</v>
      </c>
      <c r="R10815" s="1" t="s">
        <v>21867</v>
      </c>
      <c r="V10815" s="1" t="s">
        <v>21868</v>
      </c>
      <c r="W10815" s="1" t="s">
        <v>21869</v>
      </c>
      <c r="AR10815" s="1" t="str">
        <f t="shared" si="670"/>
        <v>| [ㄖㄤˋ](ㄖㄤˋ.md) | [瀼](瀼.md) |  | ràng | [名]
山間的溪流通到江裡去的，蜀人多稱為「瀼」。明．張自烈《正字通．水部》：「瀼，夔州澗水橫通山谷間，市人謂之瀼，居人分其左右謂瀼東、瀼西」。 |</v>
      </c>
    </row>
    <row r="10816" spans="1:44" hidden="1">
      <c r="A10816" s="1" t="s">
        <v>21870</v>
      </c>
      <c r="C10816" s="1">
        <v>1</v>
      </c>
      <c r="D10816" s="1" t="str">
        <f>"09261"</f>
        <v>09261</v>
      </c>
      <c r="E10816" s="1" t="s">
        <v>250</v>
      </c>
      <c r="F10816" s="1">
        <v>20</v>
      </c>
      <c r="G10816" s="1">
        <v>17</v>
      </c>
      <c r="H10816" s="1">
        <v>0</v>
      </c>
      <c r="I10816" s="1" t="s">
        <v>21866</v>
      </c>
      <c r="K10816" s="1" t="str">
        <f t="shared" si="668"/>
        <v>ㄖ</v>
      </c>
      <c r="L10816" s="1" t="str">
        <f t="shared" si="669"/>
        <v>ㄤ</v>
      </c>
      <c r="N10816" s="3" t="s">
        <v>30574</v>
      </c>
      <c r="O10816" s="3"/>
      <c r="P10816" s="1" t="s">
        <v>20</v>
      </c>
      <c r="R10816" s="1" t="s">
        <v>21867</v>
      </c>
      <c r="V10816" s="1" t="s">
        <v>21871</v>
      </c>
      <c r="AR10816" s="1" t="str">
        <f t="shared" si="670"/>
        <v>| [ㄖㄤˋ](ㄖㄤˋ.md) | [懹](懹.md) |  | ràng | [動]
畏懼、懼怕。《玉篇．心部》：「懹，憚也，相畏也。」 |</v>
      </c>
    </row>
    <row r="10817" spans="1:44" hidden="1">
      <c r="A10817" s="1" t="s">
        <v>21872</v>
      </c>
      <c r="C10817" s="1">
        <v>1</v>
      </c>
      <c r="D10817" s="1" t="str">
        <f>"09262"</f>
        <v>09262</v>
      </c>
      <c r="E10817" s="1" t="s">
        <v>331</v>
      </c>
      <c r="F10817" s="1">
        <v>24</v>
      </c>
      <c r="G10817" s="1">
        <v>17</v>
      </c>
      <c r="H10817" s="1">
        <v>0</v>
      </c>
      <c r="I10817" s="1" t="s">
        <v>21866</v>
      </c>
      <c r="K10817" s="1" t="str">
        <f t="shared" ref="K10817:K10880" si="671">LEFT(I10817, 1)</f>
        <v>ㄖ</v>
      </c>
      <c r="L10817" s="1" t="str">
        <f t="shared" ref="L10817:L10880" si="672">MID(I10817, 2, 1)</f>
        <v>ㄤ</v>
      </c>
      <c r="N10817" s="3" t="s">
        <v>30574</v>
      </c>
      <c r="O10817" s="3"/>
      <c r="P10817" s="1" t="s">
        <v>20</v>
      </c>
      <c r="R10817" s="1" t="s">
        <v>21867</v>
      </c>
      <c r="V10817" s="1" t="s">
        <v>21873</v>
      </c>
      <c r="AR10817" s="1" t="str">
        <f t="shared" si="670"/>
        <v>| [ㄖㄤˋ](ㄖㄤˋ.md) | [讓](讓.md) |  | ràng | [動]
1.譴責。《左傳．僖公五年》：「夷吾訴之，公使讓之。」晉．杜預．注：「讓，譴讓之。」《文選．司馬相如．喻巴蜀檄》：「讓三老孝弟以不教誨之過。」
2.謙退。《論語．衛靈公》：「當仁不讓於師。」《莊子．達生》：「田子無讓，寡人願聞之。」唐．成玄英．疏：「讓，猶謙也。」
3.拒絕。《楚辭．屈原．九章．懷沙》：「知死不可讓，願勿愛兮。」唐．王勃〈上劉右相書〉：「江海不讓纖流，所以存其廣。」
4.把自己的東西轉給別人。如：「出讓」、「廉讓」。
5.放棄自己的權利給別人。如：「他是生手，我讓他三步棋。」《水滸傳》第七回：「林冲不合吃著他的請受，權且讓他這一次。」
6.任、隨、允許。如：「別管他，讓他去吧！」
7.使、令。如：「我讓他去買東西。」
8.躲避。如：「讓開，車來了。」
[介]
被。如：「這杯茶讓他碰灑了。」 |</v>
      </c>
    </row>
    <row r="10818" spans="1:44" hidden="1">
      <c r="A10818" s="1" t="s">
        <v>17067</v>
      </c>
      <c r="C10818" s="1">
        <v>1</v>
      </c>
      <c r="D10818" s="1" t="str">
        <f>"09245"</f>
        <v>09245</v>
      </c>
      <c r="E10818" s="1" t="s">
        <v>245</v>
      </c>
      <c r="F10818" s="1">
        <v>19</v>
      </c>
      <c r="G10818" s="1">
        <v>17</v>
      </c>
      <c r="H10818" s="1">
        <v>1</v>
      </c>
      <c r="I10818" s="1" t="s">
        <v>21830</v>
      </c>
      <c r="K10818" s="1" t="str">
        <f t="shared" si="671"/>
        <v>ㄖ</v>
      </c>
      <c r="L10818" s="1" t="str">
        <f t="shared" si="672"/>
        <v>ㄤ</v>
      </c>
      <c r="N10818" s="3" t="s">
        <v>30575</v>
      </c>
      <c r="O10818" s="3"/>
      <c r="P10818" s="1" t="s">
        <v>20</v>
      </c>
      <c r="R10818" s="1" t="s">
        <v>21831</v>
      </c>
      <c r="V10818" s="1" t="s">
        <v>11398</v>
      </c>
      <c r="W10818" s="1" t="s">
        <v>21832</v>
      </c>
      <c r="AR10818" s="1" t="str">
        <f t="shared" si="670"/>
        <v>| [ㄖㄤˊ](ㄖㄤˊ.md) | [勷](勷.md) |  | ráng | 參見「劻勷」條。 |</v>
      </c>
    </row>
    <row r="10819" spans="1:44" hidden="1">
      <c r="A10819" s="1" t="s">
        <v>21833</v>
      </c>
      <c r="C10819" s="1">
        <v>1</v>
      </c>
      <c r="D10819" s="1" t="str">
        <f>"09246"</f>
        <v>09246</v>
      </c>
      <c r="E10819" s="1" t="s">
        <v>114</v>
      </c>
      <c r="F10819" s="1">
        <v>19</v>
      </c>
      <c r="G10819" s="1">
        <v>17</v>
      </c>
      <c r="H10819" s="1">
        <v>0</v>
      </c>
      <c r="I10819" s="1" t="s">
        <v>21830</v>
      </c>
      <c r="K10819" s="1" t="str">
        <f t="shared" si="671"/>
        <v>ㄖ</v>
      </c>
      <c r="L10819" s="1" t="str">
        <f t="shared" si="672"/>
        <v>ㄤ</v>
      </c>
      <c r="N10819" s="3" t="s">
        <v>30575</v>
      </c>
      <c r="O10819" s="3"/>
      <c r="P10819" s="1" t="s">
        <v>20</v>
      </c>
      <c r="R10819" s="1" t="s">
        <v>21831</v>
      </c>
      <c r="V10819" s="1" t="s">
        <v>21834</v>
      </c>
      <c r="AR10819" s="1" t="str">
        <f t="shared" ref="AR10819:AR10882" si="673">"| ["&amp;I10819&amp;"]("&amp;I10819&amp;".md) | ["&amp;A10819&amp;"]("&amp;A10819&amp;".md) | "&amp;" | "&amp;R10819&amp;" | "&amp;V10819&amp;" |"</f>
        <v>| [ㄖㄤˊ](ㄖㄤˊ.md) | [儴](儴.md) |  | ráng | [動]
依循、沿襲。漢．陸賈《新語．至德》：「儴道者眾歸之，恃刑者民畏之。」 |</v>
      </c>
    </row>
    <row r="10820" spans="1:44" hidden="1">
      <c r="A10820" s="1" t="s">
        <v>21835</v>
      </c>
      <c r="C10820" s="1">
        <v>1</v>
      </c>
      <c r="D10820" s="1" t="str">
        <f>"09247"</f>
        <v>09247</v>
      </c>
      <c r="E10820" s="1" t="s">
        <v>129</v>
      </c>
      <c r="F10820" s="1">
        <v>20</v>
      </c>
      <c r="G10820" s="1">
        <v>17</v>
      </c>
      <c r="H10820" s="1">
        <v>1</v>
      </c>
      <c r="I10820" s="1" t="s">
        <v>21830</v>
      </c>
      <c r="K10820" s="1" t="str">
        <f t="shared" si="671"/>
        <v>ㄖ</v>
      </c>
      <c r="L10820" s="1" t="str">
        <f t="shared" si="672"/>
        <v>ㄤ</v>
      </c>
      <c r="N10820" s="3" t="s">
        <v>30575</v>
      </c>
      <c r="O10820" s="3"/>
      <c r="P10820" s="1" t="s">
        <v>20</v>
      </c>
      <c r="R10820" s="1" t="s">
        <v>21831</v>
      </c>
      <c r="V10820" s="1" t="s">
        <v>21836</v>
      </c>
      <c r="W10820" s="1" t="s">
        <v>21837</v>
      </c>
      <c r="AR10820" s="1" t="str">
        <f t="shared" si="673"/>
        <v>| [ㄖㄤˊ](ㄖㄤˊ.md) | [瀼](瀼.md) |  | ráng | 參見「瀼瀼」條。 |</v>
      </c>
    </row>
    <row r="10821" spans="1:44" hidden="1">
      <c r="A10821" s="1" t="s">
        <v>21838</v>
      </c>
      <c r="C10821" s="1">
        <v>1</v>
      </c>
      <c r="D10821" s="1" t="str">
        <f>"09248"</f>
        <v>09248</v>
      </c>
      <c r="E10821" s="1" t="s">
        <v>24</v>
      </c>
      <c r="F10821" s="1">
        <v>20</v>
      </c>
      <c r="G10821" s="1">
        <v>17</v>
      </c>
      <c r="H10821" s="1">
        <v>2</v>
      </c>
      <c r="I10821" s="1" t="s">
        <v>21830</v>
      </c>
      <c r="K10821" s="1" t="str">
        <f t="shared" si="671"/>
        <v>ㄖ</v>
      </c>
      <c r="L10821" s="1" t="str">
        <f t="shared" si="672"/>
        <v>ㄤ</v>
      </c>
      <c r="N10821" s="3" t="s">
        <v>30575</v>
      </c>
      <c r="O10821" s="3"/>
      <c r="P10821" s="1" t="s">
        <v>20</v>
      </c>
      <c r="R10821" s="1" t="s">
        <v>21831</v>
      </c>
      <c r="V10821" s="1" t="s">
        <v>21839</v>
      </c>
      <c r="W10821" s="1" t="s">
        <v>21840</v>
      </c>
      <c r="AR10821" s="1" t="str">
        <f t="shared" si="673"/>
        <v>| [ㄖㄤˊ](ㄖㄤˊ.md) | [攘](攘.md) |  | ráng | [動]
1.排斥、排擠。《公羊傳．僖公四年》：「桓公救中國而攘夷狄。」《楚辭．東方朔．七諫．沈江》：「正臣端其操行兮，反離謗而見攘。」
2.捋。指捲袖露出手臂的動作。《孟子．盡心下》：「馮婦攘臂下車，眾皆悅之。」《文選．曹植．美女篇》：「攘袖見素手，皓腕約金環。」
3.竊取。《孟子．滕文公下》：「今有人日攘其鄰之雞者，或告之曰：『是非君子之道。』」
4.侵奪。《莊子．漁父》：「諸侯暴亂，擅相攘伐，以殘民人。」《漢書．卷六四．嚴助傳》：「南夷相攘，使邊騷然不安，朕甚懼焉。」
5.祭祀神祇以除不祥。《禮記．月令》：「九門磔攘，以畢春氣。」 |</v>
      </c>
    </row>
    <row r="10822" spans="1:44" hidden="1">
      <c r="A10822" s="1" t="s">
        <v>21841</v>
      </c>
      <c r="C10822" s="1">
        <v>1</v>
      </c>
      <c r="D10822" s="1" t="str">
        <f>"09249"</f>
        <v>09249</v>
      </c>
      <c r="E10822" s="1" t="s">
        <v>37</v>
      </c>
      <c r="F10822" s="1">
        <v>21</v>
      </c>
      <c r="G10822" s="1">
        <v>17</v>
      </c>
      <c r="H10822" s="1">
        <v>0</v>
      </c>
      <c r="I10822" s="1" t="s">
        <v>21830</v>
      </c>
      <c r="K10822" s="1" t="str">
        <f t="shared" si="671"/>
        <v>ㄖ</v>
      </c>
      <c r="L10822" s="1" t="str">
        <f t="shared" si="672"/>
        <v>ㄤ</v>
      </c>
      <c r="N10822" s="3" t="s">
        <v>30575</v>
      </c>
      <c r="O10822" s="3"/>
      <c r="P10822" s="1" t="s">
        <v>20</v>
      </c>
      <c r="R10822" s="1" t="s">
        <v>21831</v>
      </c>
      <c r="V10822" s="1" t="s">
        <v>21842</v>
      </c>
      <c r="AR10822" s="1" t="str">
        <f t="shared" si="673"/>
        <v>| [ㄖㄤˊ](ㄖㄤˊ.md) | [蘘](蘘.md) |  | ráng | 參見「蘘荷」條。 |</v>
      </c>
    </row>
    <row r="10823" spans="1:44" hidden="1">
      <c r="A10823" s="1" t="s">
        <v>21843</v>
      </c>
      <c r="C10823" s="1">
        <v>1</v>
      </c>
      <c r="D10823" s="1" t="str">
        <f>"09250"</f>
        <v>09250</v>
      </c>
      <c r="E10823" s="1" t="s">
        <v>238</v>
      </c>
      <c r="F10823" s="1">
        <v>22</v>
      </c>
      <c r="G10823" s="1">
        <v>17</v>
      </c>
      <c r="H10823" s="1">
        <v>0</v>
      </c>
      <c r="I10823" s="1" t="s">
        <v>21830</v>
      </c>
      <c r="K10823" s="1" t="str">
        <f t="shared" si="671"/>
        <v>ㄖ</v>
      </c>
      <c r="L10823" s="1" t="str">
        <f t="shared" si="672"/>
        <v>ㄤ</v>
      </c>
      <c r="N10823" s="3" t="s">
        <v>30575</v>
      </c>
      <c r="O10823" s="3"/>
      <c r="P10823" s="1" t="s">
        <v>20</v>
      </c>
      <c r="R10823" s="1" t="s">
        <v>21831</v>
      </c>
      <c r="V10823" s="1" t="s">
        <v>21844</v>
      </c>
      <c r="AR10823" s="1" t="str">
        <f t="shared" si="673"/>
        <v>| [ㄖㄤˊ](ㄖㄤˊ.md) | [瓤](瓤.md) |  | ráng | [名]
1.瓜、果內部可食的部分。如：「西瓜瓤」。漢．劉楨〈瓜賦〉：「藍皮蜜理，素肌丹瓤，乃命圃師，貢其最良。」唐．白居易〈荔枝圖序〉：「瓤肉瑩白如冰雪，漿液甘酸如醴酪。」
2.泛指物體內部包著的東西。如：「這封信只剩信封，沒有信瓤了。」
3.吳語。指餡。如：「菜瓤」、「肉瓤」、「月餅瓤」。
4.大陸地區的北方方言。指差、不好。如：「你開車的技術真瓤。」 |</v>
      </c>
    </row>
    <row r="10824" spans="1:44" hidden="1">
      <c r="A10824" s="1" t="s">
        <v>21845</v>
      </c>
      <c r="C10824" s="1">
        <v>1</v>
      </c>
      <c r="D10824" s="1" t="str">
        <f>"09251"</f>
        <v>09251</v>
      </c>
      <c r="E10824" s="1" t="s">
        <v>825</v>
      </c>
      <c r="F10824" s="1">
        <v>22</v>
      </c>
      <c r="G10824" s="1">
        <v>17</v>
      </c>
      <c r="H10824" s="1">
        <v>0</v>
      </c>
      <c r="I10824" s="1" t="s">
        <v>21830</v>
      </c>
      <c r="K10824" s="1" t="str">
        <f t="shared" si="671"/>
        <v>ㄖ</v>
      </c>
      <c r="L10824" s="1" t="str">
        <f t="shared" si="672"/>
        <v>ㄤ</v>
      </c>
      <c r="N10824" s="3" t="s">
        <v>30575</v>
      </c>
      <c r="O10824" s="3"/>
      <c r="P10824" s="1" t="s">
        <v>20</v>
      </c>
      <c r="R10824" s="1" t="s">
        <v>21831</v>
      </c>
      <c r="V10824" s="1" t="s">
        <v>21846</v>
      </c>
      <c r="AR10824" s="1" t="str">
        <f t="shared" si="673"/>
        <v>| [ㄖㄤˊ](ㄖㄤˊ.md) | [禳](禳.md) |  | ráng | [名]
祈求解除災禍、疾病的祭祀。《廣韻．平聲．陽韻》：「禳，除殃祭也。」
[動]
1.祭神祈求消除災變。《左傳．昭公二十六年》：「齊有彗星，齊侯使禳之。」
2.去除、解除。南朝梁．宗懍《荊楚歲時記．五月五日》：「採艾以為人，懸門戶上，以禳毒氣。」《南史．卷七五．顧歡傳》：「善禳惡，正勝邪，此病者所以差也。」 |</v>
      </c>
    </row>
    <row r="10825" spans="1:44" hidden="1">
      <c r="A10825" s="1" t="s">
        <v>21847</v>
      </c>
      <c r="C10825" s="1">
        <v>1</v>
      </c>
      <c r="D10825" s="1" t="str">
        <f>"09252"</f>
        <v>09252</v>
      </c>
      <c r="E10825" s="1" t="s">
        <v>429</v>
      </c>
      <c r="F10825" s="1">
        <v>22</v>
      </c>
      <c r="G10825" s="1">
        <v>17</v>
      </c>
      <c r="H10825" s="1">
        <v>1</v>
      </c>
      <c r="I10825" s="1" t="s">
        <v>21830</v>
      </c>
      <c r="K10825" s="1" t="str">
        <f t="shared" si="671"/>
        <v>ㄖ</v>
      </c>
      <c r="L10825" s="1" t="str">
        <f t="shared" si="672"/>
        <v>ㄤ</v>
      </c>
      <c r="N10825" s="3" t="s">
        <v>30575</v>
      </c>
      <c r="O10825" s="3"/>
      <c r="P10825" s="1" t="s">
        <v>20</v>
      </c>
      <c r="R10825" s="1" t="s">
        <v>21831</v>
      </c>
      <c r="V10825" s="1" t="s">
        <v>21848</v>
      </c>
      <c r="W10825" s="1" t="s">
        <v>21849</v>
      </c>
      <c r="AR10825" s="1" t="str">
        <f t="shared" si="673"/>
        <v>| [ㄖㄤˊ](ㄖㄤˊ.md) | [穰](穰.md) |  | ráng | [名]
1.稻、麥的莖。《齊民要術．雜說》：「凡人家秋收後，治糧場上所有穰、穀、𥢧等，並須收貯壹處。」
2.瓜、果內部可食的部分。通「瓤」。清．徐珂《清稗類鈔．飲食類．蓮房魚包》：「蓮房魚包者，取蓮房，去柄截底，剜穰留其孔。」
[形]
穀物豐熟。《管子．國蓄》：「歲有凶穰，故穀有貴賤。」宋．陸游〈閑居對食書媿〉詩二首之二：「老病家居幸歲穰，味兼南北飫枯腸。」 |</v>
      </c>
    </row>
    <row r="10826" spans="1:44" hidden="1">
      <c r="A10826" s="1" t="s">
        <v>17074</v>
      </c>
      <c r="C10826" s="1">
        <v>1</v>
      </c>
      <c r="D10826" s="1" t="str">
        <f>"09253"</f>
        <v>09253</v>
      </c>
      <c r="E10826" s="1" t="s">
        <v>55</v>
      </c>
      <c r="F10826" s="1">
        <v>25</v>
      </c>
      <c r="G10826" s="1">
        <v>17</v>
      </c>
      <c r="H10826" s="1">
        <v>2</v>
      </c>
      <c r="I10826" s="1" t="s">
        <v>21830</v>
      </c>
      <c r="K10826" s="1" t="str">
        <f t="shared" si="671"/>
        <v>ㄖ</v>
      </c>
      <c r="L10826" s="1" t="str">
        <f t="shared" si="672"/>
        <v>ㄤ</v>
      </c>
      <c r="N10826" s="3" t="s">
        <v>30575</v>
      </c>
      <c r="O10826" s="3"/>
      <c r="P10826" s="1" t="s">
        <v>20</v>
      </c>
      <c r="R10826" s="1" t="s">
        <v>21831</v>
      </c>
      <c r="V10826" s="1" t="s">
        <v>21850</v>
      </c>
      <c r="W10826" s="1" t="s">
        <v>21851</v>
      </c>
      <c r="AR10826" s="1" t="str">
        <f t="shared" si="673"/>
        <v>| [ㄖㄤˊ](ㄖㄤˊ.md) | [鑲](鑲.md) |  | ráng | [名]
鑄造銅、鐵器的模型的中心部分。《說文解字．金部》：「鑲，作型中腸也。」 |</v>
      </c>
    </row>
    <row r="10827" spans="1:44" hidden="1">
      <c r="A10827" s="1" t="s">
        <v>21852</v>
      </c>
      <c r="C10827" s="1">
        <v>1</v>
      </c>
      <c r="D10827" s="1" t="str">
        <f>"09254"</f>
        <v>09254</v>
      </c>
      <c r="E10827" s="1" t="s">
        <v>132</v>
      </c>
      <c r="F10827" s="1">
        <v>20</v>
      </c>
      <c r="G10827" s="1">
        <v>17</v>
      </c>
      <c r="H10827" s="1">
        <v>0</v>
      </c>
      <c r="I10827" s="1" t="s">
        <v>21853</v>
      </c>
      <c r="K10827" s="1" t="str">
        <f t="shared" si="671"/>
        <v>ㄖ</v>
      </c>
      <c r="L10827" s="1" t="str">
        <f t="shared" si="672"/>
        <v>ㄤ</v>
      </c>
      <c r="N10827" s="3" t="s">
        <v>30576</v>
      </c>
      <c r="O10827" s="3"/>
      <c r="P10827" s="1" t="s">
        <v>20</v>
      </c>
      <c r="R10827" s="1" t="s">
        <v>21854</v>
      </c>
      <c r="V10827" s="1" t="s">
        <v>21855</v>
      </c>
      <c r="AR10827" s="1" t="str">
        <f t="shared" si="673"/>
        <v>| [ㄖㄤˇ](ㄖㄤˇ.md) | [壤](壤.md) |  | rǎng | [名]
1.鬆軟的泥土。《說文解字．土部》：「壤，柔土也。」《書經．禹貢》：「厥土惟白壤，厥賦惟上上錯，厥田惟中中。」
2.耕地。《管子．八觀》：「壤地肥饒，則桑麻易植也。」
3.地。如：「天壤之別」。唐．李白〈南都行〉：「陶朱與五羖，名播天壤間。」
4.疆域、地區。如：「接壤」、「窮鄉僻壤」。《左傳．哀公元年》：「與我同壤，而世為仇讎。」
5.古代一種遊戲用的玩具。參見「擊壤」條。
[動]
接連。《史記．卷六九．蘇秦傳》：「且夫韓、魏之所以重畏秦者，為與秦接境壤界也。」
[形]
豐收。《莊子．庚桑楚》：「居三年，畏壘大壤。」 |</v>
      </c>
    </row>
    <row r="10828" spans="1:44" hidden="1">
      <c r="A10828" s="1" t="s">
        <v>21838</v>
      </c>
      <c r="C10828" s="1">
        <v>1</v>
      </c>
      <c r="D10828" s="1" t="str">
        <f>"09255"</f>
        <v>09255</v>
      </c>
      <c r="E10828" s="1" t="s">
        <v>24</v>
      </c>
      <c r="F10828" s="1">
        <v>20</v>
      </c>
      <c r="G10828" s="1">
        <v>17</v>
      </c>
      <c r="H10828" s="1">
        <v>1</v>
      </c>
      <c r="I10828" s="1" t="s">
        <v>21853</v>
      </c>
      <c r="K10828" s="1" t="str">
        <f t="shared" si="671"/>
        <v>ㄖ</v>
      </c>
      <c r="L10828" s="1" t="str">
        <f t="shared" si="672"/>
        <v>ㄤ</v>
      </c>
      <c r="N10828" s="3" t="s">
        <v>30576</v>
      </c>
      <c r="O10828" s="3"/>
      <c r="P10828" s="1" t="s">
        <v>20</v>
      </c>
      <c r="R10828" s="1" t="s">
        <v>21854</v>
      </c>
      <c r="V10828" s="1" t="s">
        <v>21856</v>
      </c>
      <c r="W10828" s="1" t="s">
        <v>21857</v>
      </c>
      <c r="AR10828" s="1" t="str">
        <f t="shared" si="673"/>
        <v>| [ㄖㄤˇ](ㄖㄤˇ.md) | [攘](攘.md) |  | rǎng | [動]
擾亂。《淮南子．兵略》：「故至於攘天下，害百姓。」《漢書．卷四〇．張良等傳．贊曰》：「陳平之志，見於社下，傾側擾攘楚、魏之間，卒歸於漢，而為謀臣。」 |</v>
      </c>
    </row>
    <row r="10829" spans="1:44" hidden="1">
      <c r="A10829" s="1" t="s">
        <v>21825</v>
      </c>
      <c r="C10829" s="1">
        <v>1</v>
      </c>
      <c r="D10829" s="1" t="str">
        <f>"09256"</f>
        <v>09256</v>
      </c>
      <c r="E10829" s="1" t="s">
        <v>28</v>
      </c>
      <c r="F10829" s="1">
        <v>20</v>
      </c>
      <c r="G10829" s="1">
        <v>17</v>
      </c>
      <c r="H10829" s="1">
        <v>1</v>
      </c>
      <c r="I10829" s="1" t="s">
        <v>21853</v>
      </c>
      <c r="K10829" s="1" t="str">
        <f t="shared" si="671"/>
        <v>ㄖ</v>
      </c>
      <c r="L10829" s="1" t="str">
        <f t="shared" si="672"/>
        <v>ㄤ</v>
      </c>
      <c r="N10829" s="3" t="s">
        <v>30576</v>
      </c>
      <c r="O10829" s="3"/>
      <c r="P10829" s="1" t="s">
        <v>20</v>
      </c>
      <c r="R10829" s="1" t="s">
        <v>21854</v>
      </c>
      <c r="V10829" s="1" t="s">
        <v>21858</v>
      </c>
      <c r="W10829" s="1" t="s">
        <v>21859</v>
      </c>
      <c r="AR10829" s="1" t="str">
        <f t="shared" si="673"/>
        <v>| [ㄖㄤˇ](ㄖㄤˇ.md) | [嚷](嚷.md) |  | rǎng | [動]
1.喊叫。如：「大嚷大叫」。《紅樓夢》第二回：「那些人只嚷：『快請出甄爺來！』」《老殘遊記》第一四回：「半夜裡聽見人嚷說：『水下來了！』，大家聽說，都連忙起來。」
2.喧鬧。如：「吵嚷」。
3.北方方言。指斥責、責備。如：「這件事若讓媽媽知道又要嚷我了！」 |</v>
      </c>
    </row>
    <row r="10830" spans="1:44" hidden="1">
      <c r="A10830" s="1" t="s">
        <v>21847</v>
      </c>
      <c r="C10830" s="1">
        <v>1</v>
      </c>
      <c r="D10830" s="1" t="str">
        <f>"09257"</f>
        <v>09257</v>
      </c>
      <c r="E10830" s="1" t="s">
        <v>429</v>
      </c>
      <c r="F10830" s="1">
        <v>22</v>
      </c>
      <c r="G10830" s="1">
        <v>17</v>
      </c>
      <c r="H10830" s="1">
        <v>2</v>
      </c>
      <c r="I10830" s="1" t="s">
        <v>21853</v>
      </c>
      <c r="K10830" s="1" t="str">
        <f t="shared" si="671"/>
        <v>ㄖ</v>
      </c>
      <c r="L10830" s="1" t="str">
        <f t="shared" si="672"/>
        <v>ㄤ</v>
      </c>
      <c r="N10830" s="3" t="s">
        <v>30576</v>
      </c>
      <c r="O10830" s="3"/>
      <c r="P10830" s="1" t="s">
        <v>20</v>
      </c>
      <c r="R10830" s="1" t="s">
        <v>21854</v>
      </c>
      <c r="V10830" s="1" t="s">
        <v>21860</v>
      </c>
      <c r="W10830" s="1" t="s">
        <v>21861</v>
      </c>
      <c r="AR10830" s="1" t="str">
        <f t="shared" si="673"/>
        <v>| [ㄖㄤˇ](ㄖㄤˇ.md) | [穰](穰.md) |  | rǎng | [形]
1.繁盛、眾多。《漢書．卷七六．張敞傳》：「長安中浩穰，於三輔尤為劇。」《水滸傳》第五二回：「高唐州城池雖小，人物稠穰，軍廣糧多，不可輕敵。」
2.紛亂、煩亂。元．孟漢卿《魔合羅》第三折：「又不是公事忙，不由咱心緒穰。」
[動]
祈福、祈禱。通「禳」。如：「祝穰」。 |</v>
      </c>
    </row>
    <row r="10831" spans="1:44" hidden="1">
      <c r="A10831" s="1" t="s">
        <v>21286</v>
      </c>
      <c r="C10831" s="1">
        <v>1</v>
      </c>
      <c r="D10831" s="1" t="str">
        <f>"09258"</f>
        <v>09258</v>
      </c>
      <c r="E10831" s="1" t="s">
        <v>679</v>
      </c>
      <c r="F10831" s="1">
        <v>23</v>
      </c>
      <c r="G10831" s="1">
        <v>17</v>
      </c>
      <c r="H10831" s="1">
        <v>2</v>
      </c>
      <c r="I10831" s="1" t="s">
        <v>21853</v>
      </c>
      <c r="K10831" s="1" t="str">
        <f t="shared" si="671"/>
        <v>ㄖ</v>
      </c>
      <c r="L10831" s="1" t="str">
        <f t="shared" si="672"/>
        <v>ㄤ</v>
      </c>
      <c r="N10831" s="3" t="s">
        <v>30576</v>
      </c>
      <c r="O10831" s="3"/>
      <c r="P10831" s="1" t="s">
        <v>20</v>
      </c>
      <c r="R10831" s="1" t="s">
        <v>21854</v>
      </c>
      <c r="V10831" s="1" t="s">
        <v>21862</v>
      </c>
      <c r="W10831" s="1" t="s">
        <v>21863</v>
      </c>
      <c r="AR10831" s="1" t="str">
        <f t="shared" si="673"/>
        <v>| [ㄖㄤˇ](ㄖㄤˇ.md) | [蠰](蠰.md) |  | rǎng | [名]
一種形似蝗蟲而體型較小的蟲。善於跳躍。《爾雅．釋蟲》：「工螽，蠰谿。」宋．邢昺．疏：「土螽一名蠰谿，今謂之土磔，江南呼虴蛨，又名虴蜢，形似蝗而小，善跳者是也。」 |</v>
      </c>
    </row>
    <row r="10832" spans="1:44" hidden="1">
      <c r="A10832" s="1" t="s">
        <v>21864</v>
      </c>
      <c r="C10832" s="1">
        <v>1</v>
      </c>
      <c r="D10832" s="1" t="str">
        <f>"09259"</f>
        <v>09259</v>
      </c>
      <c r="E10832" s="1" t="s">
        <v>77</v>
      </c>
      <c r="F10832" s="1">
        <v>24</v>
      </c>
      <c r="G10832" s="1">
        <v>17</v>
      </c>
      <c r="H10832" s="1">
        <v>0</v>
      </c>
      <c r="I10832" s="1" t="s">
        <v>21853</v>
      </c>
      <c r="K10832" s="1" t="str">
        <f t="shared" si="671"/>
        <v>ㄖ</v>
      </c>
      <c r="L10832" s="1" t="str">
        <f t="shared" si="672"/>
        <v>ㄤ</v>
      </c>
      <c r="N10832" s="3" t="s">
        <v>30576</v>
      </c>
      <c r="O10832" s="3"/>
      <c r="P10832" s="1" t="s">
        <v>20</v>
      </c>
      <c r="R10832" s="1" t="s">
        <v>21854</v>
      </c>
      <c r="V10832" s="1" t="s">
        <v>21865</v>
      </c>
      <c r="AR10832" s="1" t="str">
        <f t="shared" si="673"/>
        <v>| [ㄖㄤˇ](ㄖㄤˇ.md) | [躟](躟.md) |  | rǎng | [形]
行走快速的樣子。《玉篇．足部》：「躟，行疾貌。」
[副]
倉促。《文選．傅毅．舞賦》：「擾躟就駕，僕夫正策。」 |</v>
      </c>
    </row>
    <row r="10833" spans="1:44" hidden="1">
      <c r="A10833" s="1" t="s">
        <v>21874</v>
      </c>
      <c r="C10833" s="1">
        <v>1</v>
      </c>
      <c r="D10833" s="1" t="str">
        <f>"09269"</f>
        <v>09269</v>
      </c>
      <c r="E10833" s="1" t="s">
        <v>24</v>
      </c>
      <c r="F10833" s="1">
        <v>5</v>
      </c>
      <c r="G10833" s="1">
        <v>2</v>
      </c>
      <c r="H10833" s="1">
        <v>4</v>
      </c>
      <c r="I10833" s="1" t="s">
        <v>21892</v>
      </c>
      <c r="K10833" s="1" t="str">
        <f t="shared" si="671"/>
        <v>ㄖ</v>
      </c>
      <c r="L10833" s="1" t="str">
        <f t="shared" si="672"/>
        <v>ㄥ</v>
      </c>
      <c r="N10833" s="3" t="s">
        <v>30574</v>
      </c>
      <c r="O10833" s="3"/>
      <c r="P10833" s="1" t="s">
        <v>20</v>
      </c>
      <c r="R10833" s="1" t="s">
        <v>21893</v>
      </c>
      <c r="V10833" s="1" t="s">
        <v>21894</v>
      </c>
      <c r="W10833" s="1" t="s">
        <v>21895</v>
      </c>
      <c r="AR10833" s="1" t="str">
        <f t="shared" si="673"/>
        <v>| [ㄖㄥˋ](ㄖㄥˋ.md) | [扔](扔.md) |  | rèng | [動]
1.牽引。清．王念孫《廣雅疏證．卷一下．釋詁》：「扔，引也。」
2.摧毀。《後漢書．卷六〇．馬融傳》：「竄伏扔輪，發作梧槥。」 |</v>
      </c>
    </row>
    <row r="10834" spans="1:44" hidden="1">
      <c r="A10834" s="1" t="s">
        <v>21879</v>
      </c>
      <c r="C10834" s="1">
        <v>1</v>
      </c>
      <c r="D10834" s="1" t="str">
        <f>"09264"</f>
        <v>09264</v>
      </c>
      <c r="E10834" s="1" t="s">
        <v>114</v>
      </c>
      <c r="F10834" s="1">
        <v>4</v>
      </c>
      <c r="G10834" s="1">
        <v>2</v>
      </c>
      <c r="H10834" s="1">
        <v>0</v>
      </c>
      <c r="I10834" s="1" t="s">
        <v>21880</v>
      </c>
      <c r="K10834" s="1" t="str">
        <f t="shared" si="671"/>
        <v>ㄖ</v>
      </c>
      <c r="L10834" s="1" t="str">
        <f t="shared" si="672"/>
        <v>ㄥ</v>
      </c>
      <c r="N10834" s="3" t="s">
        <v>30575</v>
      </c>
      <c r="O10834" s="3"/>
      <c r="P10834" s="1" t="s">
        <v>20</v>
      </c>
      <c r="R10834" s="1" t="s">
        <v>21881</v>
      </c>
      <c r="V10834" s="1" t="s">
        <v>21882</v>
      </c>
      <c r="AR10834" s="1" t="str">
        <f t="shared" si="673"/>
        <v>| [ㄖㄥˊ](ㄖㄥˊ.md) | [仍](仍.md) |  | réng | [動]
因循、沿襲。《文選．張衡．思玄賦》：「夫吉凶之相仍兮，怕反庂而靡所。」唐．柳宗元〈封建論〉：「徇之以為安，仍之以為俗。」
[副]
1.屢次、頻頻。《國語．周語下》：「晉仍無道而鮮胄，其將失之矣。」《漢書．卷九．元帝紀》：「百姓仍遭凶阨，無以相振。」
2.依然、還。如：「他的病仍不見好轉。」、「革命尚未成功，同志仍須努力。」
[連]
於是、因此。南朝宋．劉義慶《世說新語．忿狷》：「雞子於地圓轉未止，仍下地以屐齒蹍之。」《南史．卷四九．劉懷珍傳》：「與崔祖思友善……及聞祖思死，慟哭，仍得病，建元二年卒。」 |</v>
      </c>
    </row>
    <row r="10835" spans="1:44" hidden="1">
      <c r="A10835" s="1" t="s">
        <v>21874</v>
      </c>
      <c r="C10835" s="1">
        <v>1</v>
      </c>
      <c r="D10835" s="1" t="str">
        <f>"09265"</f>
        <v>09265</v>
      </c>
      <c r="E10835" s="1" t="s">
        <v>24</v>
      </c>
      <c r="F10835" s="1">
        <v>5</v>
      </c>
      <c r="G10835" s="1">
        <v>2</v>
      </c>
      <c r="H10835" s="1">
        <v>3</v>
      </c>
      <c r="I10835" s="1" t="s">
        <v>21880</v>
      </c>
      <c r="K10835" s="1" t="str">
        <f t="shared" si="671"/>
        <v>ㄖ</v>
      </c>
      <c r="L10835" s="1" t="str">
        <f t="shared" si="672"/>
        <v>ㄥ</v>
      </c>
      <c r="N10835" s="3" t="s">
        <v>30575</v>
      </c>
      <c r="O10835" s="3"/>
      <c r="P10835" s="1" t="s">
        <v>20</v>
      </c>
      <c r="R10835" s="1" t="s">
        <v>21881</v>
      </c>
      <c r="V10835" s="1" t="s">
        <v>21883</v>
      </c>
      <c r="W10835" s="1" t="s">
        <v>21884</v>
      </c>
      <c r="AR10835" s="1" t="str">
        <f t="shared" si="673"/>
        <v>| [ㄖㄥˊ](ㄖㄥˊ.md) | [扔](扔.md) |  | réng | [動]
因、就。《老子》第三八章：「上禮為之而莫之應，則攘臂而扔之。」 |</v>
      </c>
    </row>
    <row r="10836" spans="1:44" hidden="1">
      <c r="A10836" s="1" t="s">
        <v>21885</v>
      </c>
      <c r="C10836" s="1">
        <v>1</v>
      </c>
      <c r="D10836" s="1" t="str">
        <f>"09266"</f>
        <v>09266</v>
      </c>
      <c r="E10836" s="1" t="s">
        <v>825</v>
      </c>
      <c r="F10836" s="1">
        <v>7</v>
      </c>
      <c r="G10836" s="1">
        <v>2</v>
      </c>
      <c r="H10836" s="1">
        <v>0</v>
      </c>
      <c r="I10836" s="1" t="s">
        <v>21880</v>
      </c>
      <c r="K10836" s="1" t="str">
        <f t="shared" si="671"/>
        <v>ㄖ</v>
      </c>
      <c r="L10836" s="1" t="str">
        <f t="shared" si="672"/>
        <v>ㄥ</v>
      </c>
      <c r="N10836" s="3" t="s">
        <v>30575</v>
      </c>
      <c r="O10836" s="3"/>
      <c r="P10836" s="1" t="s">
        <v>20</v>
      </c>
      <c r="R10836" s="1" t="s">
        <v>21881</v>
      </c>
      <c r="V10836" s="1" t="s">
        <v>21886</v>
      </c>
      <c r="AR10836" s="1" t="str">
        <f t="shared" si="673"/>
        <v>| [ㄖㄥˊ](ㄖㄥˊ.md) | [礽](礽.md) |  | réng | [名]
福祉。《玉篇．示部》：「礽，福也。」 |</v>
      </c>
    </row>
    <row r="10837" spans="1:44" hidden="1">
      <c r="A10837" s="1" t="s">
        <v>21887</v>
      </c>
      <c r="C10837" s="1">
        <v>1</v>
      </c>
      <c r="D10837" s="1" t="str">
        <f>"09267"</f>
        <v>09267</v>
      </c>
      <c r="E10837" s="1" t="s">
        <v>691</v>
      </c>
      <c r="F10837" s="1">
        <v>12</v>
      </c>
      <c r="G10837" s="1">
        <v>9</v>
      </c>
      <c r="H10837" s="1">
        <v>0</v>
      </c>
      <c r="I10837" s="1" t="s">
        <v>21880</v>
      </c>
      <c r="K10837" s="1" t="str">
        <f t="shared" si="671"/>
        <v>ㄖ</v>
      </c>
      <c r="L10837" s="1" t="str">
        <f t="shared" si="672"/>
        <v>ㄥ</v>
      </c>
      <c r="N10837" s="3" t="s">
        <v>30575</v>
      </c>
      <c r="O10837" s="3"/>
      <c r="P10837" s="1" t="s">
        <v>20</v>
      </c>
      <c r="R10837" s="1" t="s">
        <v>21881</v>
      </c>
      <c r="V10837" s="1" t="s">
        <v>21888</v>
      </c>
      <c r="AR10837" s="1" t="str">
        <f t="shared" si="673"/>
        <v>| [ㄖㄥˊ](ㄖㄥˊ.md) | [陾](陾.md) |  | réng | 參見「陾陾」條。 |</v>
      </c>
    </row>
    <row r="10838" spans="1:44" hidden="1">
      <c r="A10838" s="1" t="s">
        <v>21874</v>
      </c>
      <c r="C10838" s="1">
        <v>1</v>
      </c>
      <c r="D10838" s="1" t="str">
        <f>"09268"</f>
        <v>09268</v>
      </c>
      <c r="E10838" s="1" t="s">
        <v>24</v>
      </c>
      <c r="F10838" s="1">
        <v>5</v>
      </c>
      <c r="G10838" s="1">
        <v>2</v>
      </c>
      <c r="H10838" s="1">
        <v>2</v>
      </c>
      <c r="I10838" s="1" t="s">
        <v>21889</v>
      </c>
      <c r="K10838" s="1" t="str">
        <f t="shared" si="671"/>
        <v>ㄖ</v>
      </c>
      <c r="L10838" s="1" t="str">
        <f t="shared" si="672"/>
        <v>ㄥ</v>
      </c>
      <c r="N10838" s="3" t="s">
        <v>30576</v>
      </c>
      <c r="O10838" s="3"/>
      <c r="P10838" s="1" t="s">
        <v>110</v>
      </c>
      <c r="R10838" s="1" t="s">
        <v>21890</v>
      </c>
      <c r="V10838" s="1" t="s">
        <v>111</v>
      </c>
      <c r="W10838" s="1" t="s">
        <v>21891</v>
      </c>
      <c r="AR10838" s="1" t="str">
        <f t="shared" si="673"/>
        <v>| [ㄖㄥˇ](ㄖㄥˇ.md) | [扔](扔.md) |  | rěng | (一)之又音。 |</v>
      </c>
    </row>
    <row r="10839" spans="1:44" hidden="1">
      <c r="A10839" s="1" t="s">
        <v>21660</v>
      </c>
      <c r="C10839" s="1">
        <v>1</v>
      </c>
      <c r="D10839" s="1" t="str">
        <f>"09298"</f>
        <v>09298</v>
      </c>
      <c r="E10839" s="1" t="s">
        <v>7132</v>
      </c>
      <c r="F10839" s="1">
        <v>2</v>
      </c>
      <c r="G10839" s="1">
        <v>0</v>
      </c>
      <c r="H10839" s="1">
        <v>1</v>
      </c>
      <c r="I10839" s="1" t="s">
        <v>21956</v>
      </c>
      <c r="K10839" s="1" t="str">
        <f t="shared" si="671"/>
        <v>ㄖ</v>
      </c>
      <c r="L10839" s="1" t="str">
        <f t="shared" si="672"/>
        <v>ㄨ</v>
      </c>
      <c r="N10839" s="3" t="s">
        <v>30574</v>
      </c>
      <c r="O10839" s="3"/>
      <c r="P10839" s="1" t="s">
        <v>20</v>
      </c>
      <c r="R10839" s="1" t="s">
        <v>21957</v>
      </c>
      <c r="V10839" s="1" t="s">
        <v>21958</v>
      </c>
      <c r="W10839" s="1" t="s">
        <v>21959</v>
      </c>
      <c r="AR10839" s="1" t="str">
        <f t="shared" si="673"/>
        <v>| [ㄖㄨˋ](ㄖㄨˋ.md) | [入](入.md) |  | rù | [動]
1.進，由外面到裡面。如：「入內」、「入場」、「入境」。
2.收進。如：「收入」、「月入十萬」。《史記．卷七五．孟嘗君傳》：「歲餘不入，貨錢者多不能與其息，客奉將不給。」
3.接納、繳納。《國語．吳語》：「昔楚靈王不君，其臣箴諫以不入。」《金瓶梅》第一七回：「到明日他蓋這房子，多是入官抄沒的數兒。」
4.參加。如：「入會」、「入股」、「入學」、「入伍」。
5.到、達。如：「入夜」、「入冬」。
6.沉沒。如：「日出而作，日入而息。」
7.合宜、適合。如：「入時」、「入情入理」。
8.沉浸、深透。如：「入味」、「入骨」、「入迷」。
[名]
1.平上去入四聲之一。參見「入聲」條。
2.二一四部首之一。 |</v>
      </c>
    </row>
    <row r="10840" spans="1:44" hidden="1">
      <c r="A10840" s="1" t="s">
        <v>21731</v>
      </c>
      <c r="C10840" s="1">
        <v>1</v>
      </c>
      <c r="D10840" s="1" t="str">
        <f>"09299"</f>
        <v>09299</v>
      </c>
      <c r="E10840" s="1" t="s">
        <v>68</v>
      </c>
      <c r="F10840" s="1">
        <v>6</v>
      </c>
      <c r="G10840" s="1">
        <v>0</v>
      </c>
      <c r="H10840" s="1">
        <v>2</v>
      </c>
      <c r="I10840" s="1" t="s">
        <v>21956</v>
      </c>
      <c r="K10840" s="1" t="str">
        <f t="shared" si="671"/>
        <v>ㄖ</v>
      </c>
      <c r="L10840" s="1" t="str">
        <f t="shared" si="672"/>
        <v>ㄨ</v>
      </c>
      <c r="N10840" s="3" t="s">
        <v>30574</v>
      </c>
      <c r="O10840" s="3"/>
      <c r="P10840" s="1" t="s">
        <v>110</v>
      </c>
      <c r="R10840" s="1" t="s">
        <v>21957</v>
      </c>
      <c r="V10840" s="1" t="s">
        <v>111</v>
      </c>
      <c r="W10840" s="1" t="s">
        <v>21960</v>
      </c>
      <c r="AR10840" s="1" t="str">
        <f t="shared" si="673"/>
        <v>| [ㄖㄨˋ](ㄖㄨˋ.md) | [肉](肉.md) |  | rù | (一)之又音。 |</v>
      </c>
    </row>
    <row r="10841" spans="1:44" hidden="1">
      <c r="A10841" s="1" t="s">
        <v>21961</v>
      </c>
      <c r="C10841" s="1">
        <v>1</v>
      </c>
      <c r="D10841" s="1" t="str">
        <f>"09300"</f>
        <v>09300</v>
      </c>
      <c r="E10841" s="1" t="s">
        <v>129</v>
      </c>
      <c r="F10841" s="1">
        <v>9</v>
      </c>
      <c r="G10841" s="1">
        <v>6</v>
      </c>
      <c r="H10841" s="1">
        <v>0</v>
      </c>
      <c r="I10841" s="1" t="s">
        <v>21956</v>
      </c>
      <c r="K10841" s="1" t="str">
        <f t="shared" si="671"/>
        <v>ㄖ</v>
      </c>
      <c r="L10841" s="1" t="str">
        <f t="shared" si="672"/>
        <v>ㄨ</v>
      </c>
      <c r="N10841" s="3" t="s">
        <v>30574</v>
      </c>
      <c r="O10841" s="3"/>
      <c r="P10841" s="1" t="s">
        <v>20</v>
      </c>
      <c r="R10841" s="1" t="s">
        <v>21957</v>
      </c>
      <c r="V10841" s="1" t="s">
        <v>21962</v>
      </c>
      <c r="AR10841" s="1" t="str">
        <f t="shared" si="673"/>
        <v>| [ㄖㄨˋ](ㄖㄨˋ.md) | [洳](洳.md) |  | rù | [形]
潮溼。清．王念孫《廣雅疏證．卷一下．釋詁》：「洳，濕也。」
[名]
參見「洳河」條。 |</v>
      </c>
    </row>
    <row r="10842" spans="1:44" hidden="1">
      <c r="A10842" s="1" t="s">
        <v>21904</v>
      </c>
      <c r="C10842" s="1">
        <v>1</v>
      </c>
      <c r="D10842" s="1" t="str">
        <f>"09301"</f>
        <v>09301</v>
      </c>
      <c r="E10842" s="1" t="s">
        <v>37</v>
      </c>
      <c r="F10842" s="1">
        <v>10</v>
      </c>
      <c r="G10842" s="1">
        <v>6</v>
      </c>
      <c r="H10842" s="1">
        <v>2</v>
      </c>
      <c r="I10842" s="1" t="s">
        <v>21956</v>
      </c>
      <c r="K10842" s="1" t="str">
        <f t="shared" si="671"/>
        <v>ㄖ</v>
      </c>
      <c r="L10842" s="1" t="str">
        <f t="shared" si="672"/>
        <v>ㄨ</v>
      </c>
      <c r="N10842" s="3" t="s">
        <v>30574</v>
      </c>
      <c r="O10842" s="3"/>
      <c r="P10842" s="1" t="s">
        <v>110</v>
      </c>
      <c r="R10842" s="1" t="s">
        <v>21957</v>
      </c>
      <c r="V10842" s="1" t="s">
        <v>111</v>
      </c>
      <c r="W10842" s="1" t="s">
        <v>21963</v>
      </c>
      <c r="AR10842" s="1" t="str">
        <f t="shared" si="673"/>
        <v>| [ㄖㄨˋ](ㄖㄨˋ.md) | [茹](茹.md) |  | rù | (一)之又音。 |</v>
      </c>
    </row>
    <row r="10843" spans="1:44" hidden="1">
      <c r="A10843" s="1" t="s">
        <v>21954</v>
      </c>
      <c r="C10843" s="1">
        <v>1</v>
      </c>
      <c r="D10843" s="1" t="str">
        <f>"09302"</f>
        <v>09302</v>
      </c>
      <c r="E10843" s="1" t="s">
        <v>7720</v>
      </c>
      <c r="F10843" s="1">
        <v>10</v>
      </c>
      <c r="G10843" s="1">
        <v>3</v>
      </c>
      <c r="H10843" s="1">
        <v>1</v>
      </c>
      <c r="I10843" s="1" t="s">
        <v>21956</v>
      </c>
      <c r="K10843" s="1" t="str">
        <f t="shared" si="671"/>
        <v>ㄖ</v>
      </c>
      <c r="L10843" s="1" t="str">
        <f t="shared" si="672"/>
        <v>ㄨ</v>
      </c>
      <c r="N10843" s="3" t="s">
        <v>30574</v>
      </c>
      <c r="O10843" s="3"/>
      <c r="P10843" s="1" t="s">
        <v>20</v>
      </c>
      <c r="R10843" s="1" t="s">
        <v>21957</v>
      </c>
      <c r="V10843" s="1" t="s">
        <v>21964</v>
      </c>
      <c r="W10843" s="1" t="s">
        <v>21965</v>
      </c>
      <c r="AR10843" s="1" t="str">
        <f t="shared" si="673"/>
        <v>| [ㄖㄨˋ](ㄖㄨˋ.md) | [辱](辱.md) |  | rù | [名]
羞恥。《說文解字．辰部》：「辱，恥也。」如：「恥辱」。《左傳．襄公十八年》：「子殿國師，齊之辱也。」宋．范仲淹〈岳陽樓記〉：「登斯樓也，則有心曠神怡，寵辱皆忘，把酒臨風，其喜洋洋者矣。」
[副]
謙辭，有承蒙之意。如：「辱臨」、「辱蒙惠顧」。《左傳．僖公四年》：「君惠徼福於敝邑之社稷，辱收寡君，寡君之願也。」
[動]
1.辜負、玷汙。如：「辱沒」、「辱命」。《史記．卷八八．蒙恬傳》：「然自知必死而守義者，不敢辱先人之教。」
2.羞辱。如：「喪權辱國」。《左傳．昭公五年》：「若吾以韓起為閽，以羊舌肸為司宮，足以辱晉。」 |</v>
      </c>
    </row>
    <row r="10844" spans="1:44" hidden="1">
      <c r="A10844" s="1" t="s">
        <v>21966</v>
      </c>
      <c r="C10844" s="1">
        <v>1</v>
      </c>
      <c r="D10844" s="1" t="str">
        <f>"09303"</f>
        <v>09303</v>
      </c>
      <c r="E10844" s="1" t="s">
        <v>129</v>
      </c>
      <c r="F10844" s="1">
        <v>13</v>
      </c>
      <c r="G10844" s="1">
        <v>10</v>
      </c>
      <c r="H10844" s="1">
        <v>0</v>
      </c>
      <c r="I10844" s="1" t="s">
        <v>21956</v>
      </c>
      <c r="K10844" s="1" t="str">
        <f t="shared" si="671"/>
        <v>ㄖ</v>
      </c>
      <c r="L10844" s="1" t="str">
        <f t="shared" si="672"/>
        <v>ㄨ</v>
      </c>
      <c r="N10844" s="3" t="s">
        <v>30574</v>
      </c>
      <c r="O10844" s="3"/>
      <c r="P10844" s="1" t="s">
        <v>20</v>
      </c>
      <c r="R10844" s="1" t="s">
        <v>21957</v>
      </c>
      <c r="V10844" s="1" t="s">
        <v>21967</v>
      </c>
      <c r="AR10844" s="1" t="str">
        <f t="shared" si="673"/>
        <v>| [ㄖㄨˋ](ㄖㄨˋ.md) | [溽](溽.md) |  | rù | [形]
1.潮溼。《文選．郭璞．江賦》：「林無不溽，岸無不津。」
2.濃厚。《禮記．儒行》：「其居處不淫，其飲食不溽。」唐．孔穎達．正義：「飲食不溽者，溽之言欲也，即濃厚也。」 |</v>
      </c>
    </row>
    <row r="10845" spans="1:44" hidden="1">
      <c r="A10845" s="1" t="s">
        <v>21968</v>
      </c>
      <c r="C10845" s="1">
        <v>1</v>
      </c>
      <c r="D10845" s="1" t="str">
        <f>"09304"</f>
        <v>09304</v>
      </c>
      <c r="E10845" s="1" t="s">
        <v>256</v>
      </c>
      <c r="F10845" s="1">
        <v>13</v>
      </c>
      <c r="G10845" s="1">
        <v>10</v>
      </c>
      <c r="H10845" s="1">
        <v>0</v>
      </c>
      <c r="I10845" s="1" t="s">
        <v>21956</v>
      </c>
      <c r="K10845" s="1" t="str">
        <f t="shared" si="671"/>
        <v>ㄖ</v>
      </c>
      <c r="L10845" s="1" t="str">
        <f t="shared" si="672"/>
        <v>ㄨ</v>
      </c>
      <c r="N10845" s="3" t="s">
        <v>30574</v>
      </c>
      <c r="O10845" s="3"/>
      <c r="P10845" s="1" t="s">
        <v>20</v>
      </c>
      <c r="R10845" s="1" t="s">
        <v>21957</v>
      </c>
      <c r="V10845" s="1" t="s">
        <v>21969</v>
      </c>
      <c r="AR10845" s="1" t="str">
        <f t="shared" si="673"/>
        <v>| [ㄖㄨˋ](ㄖㄨˋ.md) | [鄏](鄏.md) |  | rù | [名]
郟鄏：地名。周成王定鼎於此，故址約位於今大陸地區河南省洛陽縣西。 |</v>
      </c>
    </row>
    <row r="10846" spans="1:44" hidden="1">
      <c r="A10846" s="1" t="s">
        <v>21970</v>
      </c>
      <c r="C10846" s="1">
        <v>1</v>
      </c>
      <c r="D10846" s="1" t="str">
        <f>"09305"</f>
        <v>09305</v>
      </c>
      <c r="E10846" s="1" t="s">
        <v>37</v>
      </c>
      <c r="F10846" s="1">
        <v>14</v>
      </c>
      <c r="G10846" s="1">
        <v>10</v>
      </c>
      <c r="H10846" s="1">
        <v>0</v>
      </c>
      <c r="I10846" s="1" t="s">
        <v>21956</v>
      </c>
      <c r="K10846" s="1" t="str">
        <f t="shared" si="671"/>
        <v>ㄖ</v>
      </c>
      <c r="L10846" s="1" t="str">
        <f t="shared" si="672"/>
        <v>ㄨ</v>
      </c>
      <c r="N10846" s="3" t="s">
        <v>30574</v>
      </c>
      <c r="O10846" s="3"/>
      <c r="P10846" s="1" t="s">
        <v>20</v>
      </c>
      <c r="R10846" s="1" t="s">
        <v>21957</v>
      </c>
      <c r="V10846" s="1" t="s">
        <v>21971</v>
      </c>
      <c r="AR10846" s="1" t="str">
        <f t="shared" si="673"/>
        <v>| [ㄖㄨˋ](ㄖㄨˋ.md) | [蓐](蓐.md) |  | rù | [名]
1.草蓆、草墊。《爾雅．釋器》：「蓐謂之茲。」晉．郭璞．注：「茲者，蓐席也。」
2.床上的墊褥。亦借指床。《後漢書．卷六四．趙岐傳》：「有重疾，臥蓐七年。」《文選．李密．陳情表》：「而劉夙嬰疾病，常在床蓐。」 |</v>
      </c>
    </row>
    <row r="10847" spans="1:44" hidden="1">
      <c r="A10847" s="1" t="s">
        <v>21972</v>
      </c>
      <c r="C10847" s="1">
        <v>1</v>
      </c>
      <c r="D10847" s="1" t="str">
        <f>"09306"</f>
        <v>09306</v>
      </c>
      <c r="E10847" s="1" t="s">
        <v>340</v>
      </c>
      <c r="F10847" s="1">
        <v>16</v>
      </c>
      <c r="G10847" s="1">
        <v>10</v>
      </c>
      <c r="H10847" s="1">
        <v>0</v>
      </c>
      <c r="I10847" s="1" t="s">
        <v>21956</v>
      </c>
      <c r="K10847" s="1" t="str">
        <f t="shared" si="671"/>
        <v>ㄖ</v>
      </c>
      <c r="L10847" s="1" t="str">
        <f t="shared" si="672"/>
        <v>ㄨ</v>
      </c>
      <c r="N10847" s="3" t="s">
        <v>30574</v>
      </c>
      <c r="O10847" s="3"/>
      <c r="P10847" s="1" t="s">
        <v>20</v>
      </c>
      <c r="R10847" s="1" t="s">
        <v>21957</v>
      </c>
      <c r="V10847" s="1" t="s">
        <v>21973</v>
      </c>
      <c r="AR10847" s="1" t="str">
        <f t="shared" si="673"/>
        <v>| [ㄖㄨˋ](ㄖㄨˋ.md) | [褥](褥.md) |  | rù | [名]
坐臥時鋪在身體下面的墊子。如：「床褥」、「被褥」。唐．韓偓〈已涼〉詩：「八尺龍鬚方錦褥，已涼天氣未寒時。」也稱為「褥子」。 |</v>
      </c>
    </row>
    <row r="10848" spans="1:44" hidden="1">
      <c r="A10848" s="1" t="s">
        <v>21974</v>
      </c>
      <c r="C10848" s="1">
        <v>1</v>
      </c>
      <c r="D10848" s="1" t="str">
        <f>"09307"</f>
        <v>09307</v>
      </c>
      <c r="E10848" s="1" t="s">
        <v>725</v>
      </c>
      <c r="F10848" s="1">
        <v>16</v>
      </c>
      <c r="G10848" s="1">
        <v>10</v>
      </c>
      <c r="H10848" s="1">
        <v>0</v>
      </c>
      <c r="I10848" s="1" t="s">
        <v>21956</v>
      </c>
      <c r="K10848" s="1" t="str">
        <f t="shared" si="671"/>
        <v>ㄖ</v>
      </c>
      <c r="L10848" s="1" t="str">
        <f t="shared" si="672"/>
        <v>ㄨ</v>
      </c>
      <c r="N10848" s="3" t="s">
        <v>30574</v>
      </c>
      <c r="O10848" s="3"/>
      <c r="P10848" s="1" t="s">
        <v>20</v>
      </c>
      <c r="R10848" s="1" t="s">
        <v>21957</v>
      </c>
      <c r="V10848" s="1" t="s">
        <v>21975</v>
      </c>
      <c r="AR10848" s="1" t="str">
        <f t="shared" si="673"/>
        <v>| [ㄖㄨˋ](ㄖㄨˋ.md) | [縟](縟.md) |  | rù | [形]
1.文彩繁多。《文選．張衡．西京賦》：「故其館室次舍，采飾纖縟。」
2.繁多、繁瑣。如：「縟禮」、「繁文縟節」。 |</v>
      </c>
    </row>
    <row r="10849" spans="1:44" hidden="1">
      <c r="A10849" s="1" t="s">
        <v>21976</v>
      </c>
      <c r="C10849" s="1">
        <v>1</v>
      </c>
      <c r="D10849" s="1" t="str">
        <f>"09308"</f>
        <v>09308</v>
      </c>
      <c r="E10849" s="1" t="s">
        <v>24</v>
      </c>
      <c r="F10849" s="1">
        <v>17</v>
      </c>
      <c r="G10849" s="1">
        <v>14</v>
      </c>
      <c r="H10849" s="1">
        <v>0</v>
      </c>
      <c r="I10849" s="1" t="s">
        <v>21956</v>
      </c>
      <c r="K10849" s="1" t="str">
        <f t="shared" si="671"/>
        <v>ㄖ</v>
      </c>
      <c r="L10849" s="1" t="str">
        <f t="shared" si="672"/>
        <v>ㄨ</v>
      </c>
      <c r="N10849" s="3" t="s">
        <v>30574</v>
      </c>
      <c r="O10849" s="3"/>
      <c r="P10849" s="1" t="s">
        <v>20</v>
      </c>
      <c r="R10849" s="1" t="s">
        <v>21957</v>
      </c>
      <c r="V10849" s="1" t="s">
        <v>21977</v>
      </c>
      <c r="AR10849" s="1" t="str">
        <f t="shared" si="673"/>
        <v>| [ㄖㄨˋ](ㄖㄨˋ.md) | [擩](擩.md) |  | rù | [動]
染。《儀禮．公食大夫禮》：「賓升席，坐，取韭菹，以辯擩于醢，上豆之間祭。」漢．鄭玄．注：「擩，猶染也。」 |</v>
      </c>
    </row>
    <row r="10850" spans="1:44" hidden="1">
      <c r="A10850" s="1" t="s">
        <v>21896</v>
      </c>
      <c r="C10850" s="1">
        <v>1</v>
      </c>
      <c r="D10850" s="1" t="str">
        <f>"09270"</f>
        <v>09270</v>
      </c>
      <c r="E10850" s="1" t="s">
        <v>534</v>
      </c>
      <c r="F10850" s="1">
        <v>6</v>
      </c>
      <c r="G10850" s="1">
        <v>3</v>
      </c>
      <c r="H10850" s="1">
        <v>0</v>
      </c>
      <c r="I10850" s="1" t="s">
        <v>21897</v>
      </c>
      <c r="K10850" s="1" t="str">
        <f t="shared" si="671"/>
        <v>ㄖ</v>
      </c>
      <c r="L10850" s="1" t="str">
        <f t="shared" si="672"/>
        <v>ㄨ</v>
      </c>
      <c r="N10850" s="3" t="s">
        <v>30575</v>
      </c>
      <c r="O10850" s="3"/>
      <c r="P10850" s="1" t="s">
        <v>20</v>
      </c>
      <c r="R10850" s="1" t="s">
        <v>21898</v>
      </c>
      <c r="V10850" s="1" t="s">
        <v>21899</v>
      </c>
      <c r="AR10850" s="1" t="str">
        <f t="shared" si="673"/>
        <v>| [ㄖㄨˊ](ㄖㄨˊ.md) | [如](如.md) |  | rú | [動]
1.順從、依照。如：「如約」、「如命」。《左傳．宣公十二年》：「有律以如己也。」晉．杜預．注：「如，從也。」
2.如同、好像。如：「愛人如己」、「數十年如一日」。唐．白居易〈琵琶行〉：「大絃嘈嘈如急雨，小絃切切如私語。」
3.往、至。如：「如廁」。《左傳．隱公五年》：「公將如棠觀魚者。」
4.及、比得上。如：「遠親不如近鄰」。《史記．卷七．項羽本紀》：「夫被堅執銳，義不如公；坐而運策，公不如義。」
5.表示舉例。如：「例如」、「譬如」。
[介]
於，表示比較。《呂氏春秋．仲秋紀．愛士》：「人之困窮，甚如饑寒。」
[連]
1.假若。《論語．述而》：「如不可求，從吾所好。」《鏡花緣》第四回：「姑且施恩，再限兩個時辰。如再無花，就怨不得朕了。」
2.或者。《論語．先進》：「安見方六七十，如五六十，而非邦也者。」
[助]
形容詞詞尾。相當於「然」，表情形或狀況。如：「突如其來」。《論語．述而》：「子之燕居，申申如也，夭夭如也。」
[名]
姓。如三國時魏國有如淳。 |</v>
      </c>
    </row>
    <row r="10851" spans="1:44" hidden="1">
      <c r="A10851" s="1" t="s">
        <v>21900</v>
      </c>
      <c r="C10851" s="1">
        <v>1</v>
      </c>
      <c r="D10851" s="1" t="str">
        <f>"09271"</f>
        <v>09271</v>
      </c>
      <c r="E10851" s="1" t="s">
        <v>114</v>
      </c>
      <c r="F10851" s="1">
        <v>8</v>
      </c>
      <c r="G10851" s="1">
        <v>6</v>
      </c>
      <c r="H10851" s="1">
        <v>0</v>
      </c>
      <c r="I10851" s="1" t="s">
        <v>21897</v>
      </c>
      <c r="K10851" s="1" t="str">
        <f t="shared" si="671"/>
        <v>ㄖ</v>
      </c>
      <c r="L10851" s="1" t="str">
        <f t="shared" si="672"/>
        <v>ㄨ</v>
      </c>
      <c r="N10851" s="3" t="s">
        <v>30575</v>
      </c>
      <c r="O10851" s="3"/>
      <c r="P10851" s="1" t="s">
        <v>20</v>
      </c>
      <c r="R10851" s="1" t="s">
        <v>21898</v>
      </c>
      <c r="V10851" s="1" t="s">
        <v>21901</v>
      </c>
      <c r="AR10851" s="1" t="str">
        <f t="shared" si="673"/>
        <v>| [ㄖㄨˊ](ㄖㄨˊ.md) | [侞](侞.md) |  | rú | [動]
使平均。《集韻．平聲．魚韻》：「侞，均也。」 |</v>
      </c>
    </row>
    <row r="10852" spans="1:44" hidden="1">
      <c r="A10852" s="1" t="s">
        <v>21902</v>
      </c>
      <c r="C10852" s="1">
        <v>1</v>
      </c>
      <c r="D10852" s="1" t="str">
        <f>"09272"</f>
        <v>09272</v>
      </c>
      <c r="E10852" s="1" t="s">
        <v>222</v>
      </c>
      <c r="F10852" s="1">
        <v>9</v>
      </c>
      <c r="G10852" s="1">
        <v>6</v>
      </c>
      <c r="H10852" s="1">
        <v>0</v>
      </c>
      <c r="I10852" s="1" t="s">
        <v>21897</v>
      </c>
      <c r="K10852" s="1" t="str">
        <f t="shared" si="671"/>
        <v>ㄖ</v>
      </c>
      <c r="L10852" s="1" t="str">
        <f t="shared" si="672"/>
        <v>ㄨ</v>
      </c>
      <c r="N10852" s="3" t="s">
        <v>30575</v>
      </c>
      <c r="O10852" s="3"/>
      <c r="P10852" s="1" t="s">
        <v>20</v>
      </c>
      <c r="R10852" s="1" t="s">
        <v>21898</v>
      </c>
      <c r="V10852" s="1" t="s">
        <v>21903</v>
      </c>
      <c r="AR10852" s="1" t="str">
        <f t="shared" si="673"/>
        <v>| [ㄖㄨˊ](ㄖㄨˊ.md) | [帤](帤.md) |  | rú | [名]
1.大巾。漢．揚雄《方言》卷四：「大巾謂之帉。嵩嶽之南，陳、潁之間謂之帤，亦謂之幪。」
2.破舊的布、巾。通「袽」。唐．白居易〈喜照密閑實四上人見過〉詩：「臭帤世界終須出，香火因緣久願同。」 |</v>
      </c>
    </row>
    <row r="10853" spans="1:44" hidden="1">
      <c r="A10853" s="1" t="s">
        <v>21904</v>
      </c>
      <c r="C10853" s="1">
        <v>1</v>
      </c>
      <c r="D10853" s="1" t="str">
        <f>"09273"</f>
        <v>09273</v>
      </c>
      <c r="E10853" s="1" t="s">
        <v>37</v>
      </c>
      <c r="F10853" s="1">
        <v>10</v>
      </c>
      <c r="G10853" s="1">
        <v>6</v>
      </c>
      <c r="H10853" s="1">
        <v>1</v>
      </c>
      <c r="I10853" s="1" t="s">
        <v>21897</v>
      </c>
      <c r="K10853" s="1" t="str">
        <f t="shared" si="671"/>
        <v>ㄖ</v>
      </c>
      <c r="L10853" s="1" t="str">
        <f t="shared" si="672"/>
        <v>ㄨ</v>
      </c>
      <c r="N10853" s="3" t="s">
        <v>30575</v>
      </c>
      <c r="O10853" s="3"/>
      <c r="P10853" s="1" t="s">
        <v>20</v>
      </c>
      <c r="R10853" s="1" t="s">
        <v>21898</v>
      </c>
      <c r="V10853" s="1" t="s">
        <v>21905</v>
      </c>
      <c r="W10853" s="1" t="s">
        <v>21906</v>
      </c>
      <c r="AR10853" s="1" t="str">
        <f t="shared" si="673"/>
        <v>| [ㄖㄨˊ](ㄖㄨˊ.md) | [茹](茹.md) |  | rú | [動]
1.吃、咀嚼、吞嚥。《孟子．盡心下》：「舜之飯糗茹草也，若將終身焉。」《禮記．禮運》：「未有火化，食草木之實，鳥獸之肉，飲其血，茹其毛。」
2.受、含。如：「含辛茹苦」。《詩經．大雅．烝民》：「柔亦不茹，剛亦不吐。」北齊．顏之推《顏氏家訓．文章》：「銜酷茹恨，徹於心髓。」
3.揣測、度量。《詩經．邶風．柏舟》：「我心匪鑒，不可以茹。」
[形]
1.柔軟、軟弱。《楚辭．屈原．離騷》：「攬茹蕙以掩涕兮，霑余襟之浪浪。」《韓非子．亡徵》：「緩心而無成，柔茹而寡斷，好惡無決，而無所定立者，可亡也。」
2.腐敗、臭敗的。《呂氏春秋．仲春紀．功名》：「以茹魚去蠅，蠅愈至。」
[名]
1.蔬菜的總稱。《文選．枚乘．七發》：「秋黃之蘇，白露之茹。」《後漢書．卷六六．陳蕃傳》：「又青、徐炎旱，五穀損傷，民物流遷，茹菽不足。」
2.姓。如清代有茹棻。 |</v>
      </c>
    </row>
    <row r="10854" spans="1:44" hidden="1">
      <c r="A10854" s="1" t="s">
        <v>21907</v>
      </c>
      <c r="C10854" s="1">
        <v>1</v>
      </c>
      <c r="D10854" s="1" t="str">
        <f>"09274"</f>
        <v>09274</v>
      </c>
      <c r="E10854" s="1" t="s">
        <v>24</v>
      </c>
      <c r="F10854" s="1">
        <v>10</v>
      </c>
      <c r="G10854" s="1">
        <v>6</v>
      </c>
      <c r="H10854" s="1">
        <v>1</v>
      </c>
      <c r="I10854" s="1" t="s">
        <v>21897</v>
      </c>
      <c r="K10854" s="1" t="str">
        <f t="shared" si="671"/>
        <v>ㄖ</v>
      </c>
      <c r="L10854" s="1" t="str">
        <f t="shared" si="672"/>
        <v>ㄨ</v>
      </c>
      <c r="N10854" s="3" t="s">
        <v>30575</v>
      </c>
      <c r="O10854" s="3"/>
      <c r="P10854" s="1" t="s">
        <v>20</v>
      </c>
      <c r="R10854" s="1" t="s">
        <v>21898</v>
      </c>
      <c r="V10854" s="1" t="s">
        <v>21908</v>
      </c>
      <c r="W10854" s="1" t="s">
        <v>21909</v>
      </c>
      <c r="AR10854" s="1" t="str">
        <f t="shared" si="673"/>
        <v>| [ㄖㄨˊ](ㄖㄨˊ.md) | [挐](挐.md) |  | rú | [動]
1.牽引。《廣韻．平聲．魚韻》：「挐，牽引。」唐．韓愈〈送區冊序〉：「有區生者，誓言相好，自南海挐舟而來。」
2.連續。《漢書．卷六四．嚴安傳》：「禍挐而不解，兵休而復起。」
3.摻雜。《楚辭．宋玉．招魂》：「稻粢穱麥，挐黃粱些。」
[形]
雜亂。《楚辭．宋玉．九辯》：「葉菸邑而無色兮，枝煩挐而交橫。」《淮南子．覽冥》：「美人挐首墨面而不容，曼聲吞炭內閉而不歌。」 |</v>
      </c>
    </row>
    <row r="10855" spans="1:44" hidden="1">
      <c r="A10855" s="1" t="s">
        <v>21910</v>
      </c>
      <c r="C10855" s="1">
        <v>1</v>
      </c>
      <c r="D10855" s="1" t="str">
        <f>"09275"</f>
        <v>09275</v>
      </c>
      <c r="E10855" s="1" t="s">
        <v>340</v>
      </c>
      <c r="F10855" s="1">
        <v>12</v>
      </c>
      <c r="G10855" s="1">
        <v>6</v>
      </c>
      <c r="H10855" s="1">
        <v>0</v>
      </c>
      <c r="I10855" s="1" t="s">
        <v>21897</v>
      </c>
      <c r="K10855" s="1" t="str">
        <f t="shared" si="671"/>
        <v>ㄖ</v>
      </c>
      <c r="L10855" s="1" t="str">
        <f t="shared" si="672"/>
        <v>ㄨ</v>
      </c>
      <c r="N10855" s="3" t="s">
        <v>30575</v>
      </c>
      <c r="O10855" s="3"/>
      <c r="P10855" s="1" t="s">
        <v>20</v>
      </c>
      <c r="R10855" s="1" t="s">
        <v>21898</v>
      </c>
      <c r="V10855" s="1" t="s">
        <v>21911</v>
      </c>
      <c r="AR10855" s="1" t="str">
        <f t="shared" si="673"/>
        <v>| [ㄖㄨˊ](ㄖㄨˊ.md) | [袽](袽.md) |  | rú | [名]
破舊的衣服，古人用來堵塞舟船的漏洞。《易經．既濟卦．六四》：「繻有衣袽。」三國魏．王弼．注：「繻宜曰濡，衣袽所以塞舟漏也。」唐．劉禹錫〈儆舟〉：「予聞言若厲，繇是袽以窒之，灰以墐之。」 |</v>
      </c>
    </row>
    <row r="10856" spans="1:44" hidden="1">
      <c r="A10856" s="1" t="s">
        <v>21912</v>
      </c>
      <c r="C10856" s="1">
        <v>1</v>
      </c>
      <c r="D10856" s="1" t="str">
        <f>"09276"</f>
        <v>09276</v>
      </c>
      <c r="E10856" s="1" t="s">
        <v>37</v>
      </c>
      <c r="F10856" s="1">
        <v>14</v>
      </c>
      <c r="G10856" s="1">
        <v>10</v>
      </c>
      <c r="H10856" s="1">
        <v>0</v>
      </c>
      <c r="I10856" s="1" t="s">
        <v>21897</v>
      </c>
      <c r="K10856" s="1" t="str">
        <f t="shared" si="671"/>
        <v>ㄖ</v>
      </c>
      <c r="L10856" s="1" t="str">
        <f t="shared" si="672"/>
        <v>ㄨ</v>
      </c>
      <c r="N10856" s="3" t="s">
        <v>30575</v>
      </c>
      <c r="O10856" s="3"/>
      <c r="P10856" s="1" t="s">
        <v>20</v>
      </c>
      <c r="R10856" s="1" t="s">
        <v>21898</v>
      </c>
      <c r="V10856" s="1" t="s">
        <v>21913</v>
      </c>
      <c r="AR10856" s="1" t="str">
        <f t="shared" si="673"/>
        <v>| [ㄖㄨˊ](ㄖㄨˊ.md) | [蒘](蒘.md) |  | rú | [名]
蘮蒘：一種草，似芹，可食。《爾雅．釋草》：「蘮蒘，竊衣。」晉．郭璞．注：「似芹，可食。子大如麥，有毛，著人衣。」 |</v>
      </c>
    </row>
    <row r="10857" spans="1:44" hidden="1">
      <c r="A10857" s="1" t="s">
        <v>21914</v>
      </c>
      <c r="C10857" s="1">
        <v>1</v>
      </c>
      <c r="D10857" s="1" t="str">
        <f>"09277"</f>
        <v>09277</v>
      </c>
      <c r="E10857" s="1" t="s">
        <v>55</v>
      </c>
      <c r="F10857" s="1">
        <v>14</v>
      </c>
      <c r="G10857" s="1">
        <v>6</v>
      </c>
      <c r="H10857" s="1">
        <v>0</v>
      </c>
      <c r="I10857" s="1" t="s">
        <v>21897</v>
      </c>
      <c r="K10857" s="1" t="str">
        <f t="shared" si="671"/>
        <v>ㄖ</v>
      </c>
      <c r="L10857" s="1" t="str">
        <f t="shared" si="672"/>
        <v>ㄨ</v>
      </c>
      <c r="N10857" s="3" t="s">
        <v>30575</v>
      </c>
      <c r="O10857" s="3"/>
      <c r="P10857" s="1" t="s">
        <v>20</v>
      </c>
      <c r="R10857" s="1" t="s">
        <v>21898</v>
      </c>
      <c r="V10857" s="1" t="s">
        <v>21915</v>
      </c>
      <c r="AR10857" s="1" t="str">
        <f t="shared" si="673"/>
        <v>| [ㄖㄨˊ](ㄖㄨˊ.md) | [銣](銣.md) |  | rú | [名]
（rubidium，Rb）化學元素。原子序37。鹼金屬元素之一。呈銀白色，質軟易熔，在空氣中極易氧化，故需保存於燈油、石腦油及類似物質之中，是製造光電管的材料。 |</v>
      </c>
    </row>
    <row r="10858" spans="1:44" hidden="1">
      <c r="A10858" s="1" t="s">
        <v>21916</v>
      </c>
      <c r="C10858" s="1">
        <v>1</v>
      </c>
      <c r="D10858" s="1" t="str">
        <f>"09278"</f>
        <v>09278</v>
      </c>
      <c r="E10858" s="1" t="s">
        <v>272</v>
      </c>
      <c r="F10858" s="1">
        <v>17</v>
      </c>
      <c r="G10858" s="1">
        <v>6</v>
      </c>
      <c r="H10858" s="1">
        <v>0</v>
      </c>
      <c r="I10858" s="1" t="s">
        <v>21897</v>
      </c>
      <c r="K10858" s="1" t="str">
        <f t="shared" si="671"/>
        <v>ㄖ</v>
      </c>
      <c r="L10858" s="1" t="str">
        <f t="shared" si="672"/>
        <v>ㄨ</v>
      </c>
      <c r="N10858" s="3" t="s">
        <v>30575</v>
      </c>
      <c r="O10858" s="3"/>
      <c r="P10858" s="1" t="s">
        <v>20</v>
      </c>
      <c r="R10858" s="1" t="s">
        <v>21898</v>
      </c>
      <c r="V10858" s="1" t="s">
        <v>21917</v>
      </c>
      <c r="AR10858" s="1" t="str">
        <f t="shared" si="673"/>
        <v>| [ㄖㄨˊ](ㄖㄨˊ.md) | [鴽](鴽.md) |  | rú | [名]
鵪鶉之類的小鳥。《爾雅．釋鳥》：「鴽，鴾母。」晉．郭璞．注：「鵪也，青州呼鴾母。」《大戴禮記．夏小正》：「是時恆有小旱，田鼠化為鴽。鴽，鵪也。」 |</v>
      </c>
    </row>
    <row r="10859" spans="1:44" hidden="1">
      <c r="A10859" s="1" t="s">
        <v>17266</v>
      </c>
      <c r="C10859" s="1">
        <v>1</v>
      </c>
      <c r="D10859" s="1" t="str">
        <f>"09279"</f>
        <v>09279</v>
      </c>
      <c r="E10859" s="1" t="s">
        <v>125</v>
      </c>
      <c r="F10859" s="1">
        <v>14</v>
      </c>
      <c r="G10859" s="1">
        <v>6</v>
      </c>
      <c r="H10859" s="1">
        <v>2</v>
      </c>
      <c r="I10859" s="1" t="s">
        <v>21897</v>
      </c>
      <c r="K10859" s="1" t="str">
        <f t="shared" si="671"/>
        <v>ㄖ</v>
      </c>
      <c r="L10859" s="1" t="str">
        <f t="shared" si="672"/>
        <v>ㄨ</v>
      </c>
      <c r="N10859" s="3" t="s">
        <v>30575</v>
      </c>
      <c r="O10859" s="3"/>
      <c r="P10859" s="1" t="s">
        <v>20</v>
      </c>
      <c r="R10859" s="1" t="s">
        <v>21898</v>
      </c>
      <c r="V10859" s="1" t="s">
        <v>21918</v>
      </c>
      <c r="W10859" s="1" t="s">
        <v>21919</v>
      </c>
      <c r="AR10859" s="1" t="str">
        <f t="shared" si="673"/>
        <v>| [ㄖㄨˊ](ㄖㄨˊ.md) | [需](需.md) |  | rú | [形]_x000D_
如獸皮柔滑的樣子。《戰國策．秦策二》：「其需弱者來使，則王必聽之。」 |</v>
      </c>
    </row>
    <row r="10860" spans="1:44" hidden="1">
      <c r="A10860" s="1" t="s">
        <v>21920</v>
      </c>
      <c r="C10860" s="1">
        <v>1</v>
      </c>
      <c r="D10860" s="1" t="str">
        <f>"09280"</f>
        <v>09280</v>
      </c>
      <c r="E10860" s="1" t="s">
        <v>114</v>
      </c>
      <c r="F10860" s="1">
        <v>16</v>
      </c>
      <c r="G10860" s="1">
        <v>14</v>
      </c>
      <c r="H10860" s="1">
        <v>0</v>
      </c>
      <c r="I10860" s="1" t="s">
        <v>21897</v>
      </c>
      <c r="K10860" s="1" t="str">
        <f t="shared" si="671"/>
        <v>ㄖ</v>
      </c>
      <c r="L10860" s="1" t="str">
        <f t="shared" si="672"/>
        <v>ㄨ</v>
      </c>
      <c r="N10860" s="3" t="s">
        <v>30575</v>
      </c>
      <c r="O10860" s="3"/>
      <c r="P10860" s="1" t="s">
        <v>20</v>
      </c>
      <c r="R10860" s="1" t="s">
        <v>21898</v>
      </c>
      <c r="V10860" s="1" t="s">
        <v>21921</v>
      </c>
      <c r="AR10860" s="1" t="str">
        <f t="shared" si="673"/>
        <v>| [ㄖㄨˊ](ㄖㄨˊ.md) | [儒](儒.md) |  | rú | [名]
1.術士，古代指有某種特殊技能或知識的人。《說文解字．人部》：「儒，術士之偁。」《周禮．天官．大宰》：「四曰儒，以道得民。」漢．鄭玄．注：「儒，諸侯保氏有六藝以教民者。」
2.學者、讀書人。如：「博學鴻儒」。《紅樓夢》第一回：「忽見隔壁葫蘆廟內寄居一個窮儒。」
3.孔子所創的思想學派。《孟子．盡心下》：「逃墨必歸於楊，逃楊必歸於儒。」《史記．卷一三〇．太史公自序》：「夫陰陽、儒、墨、名、法、道德，此務為治者也，直所從言之異路，有省不省耳。」
4.參見「侏儒」條。
[形]
懦弱畏事。通「懦」。《魏書．卷八八．良吏傳．序》：「是故搏擊為侯，起不旋踵；儒弱貽咎，錄用無時。」 |</v>
      </c>
    </row>
    <row r="10861" spans="1:44" hidden="1">
      <c r="A10861" s="1" t="s">
        <v>21922</v>
      </c>
      <c r="C10861" s="1">
        <v>1</v>
      </c>
      <c r="D10861" s="1" t="str">
        <f>"09281"</f>
        <v>09281</v>
      </c>
      <c r="E10861" s="1" t="s">
        <v>129</v>
      </c>
      <c r="F10861" s="1">
        <v>17</v>
      </c>
      <c r="G10861" s="1">
        <v>14</v>
      </c>
      <c r="H10861" s="1">
        <v>0</v>
      </c>
      <c r="I10861" s="1" t="s">
        <v>21897</v>
      </c>
      <c r="K10861" s="1" t="str">
        <f t="shared" si="671"/>
        <v>ㄖ</v>
      </c>
      <c r="L10861" s="1" t="str">
        <f t="shared" si="672"/>
        <v>ㄨ</v>
      </c>
      <c r="N10861" s="3" t="s">
        <v>30575</v>
      </c>
      <c r="O10861" s="3"/>
      <c r="P10861" s="1" t="s">
        <v>20</v>
      </c>
      <c r="R10861" s="1" t="s">
        <v>21898</v>
      </c>
      <c r="V10861" s="1" t="s">
        <v>21923</v>
      </c>
      <c r="AR10861" s="1" t="str">
        <f t="shared" si="673"/>
        <v>| [ㄖㄨˊ](ㄖㄨˊ.md) | [濡](濡.md) |  | rú | [動]
1.浸溼、沾溼。《詩經．邶風．匏有苦葉》：「濟盈不濡軌，雉鳴求其牡。」宋．蘇軾〈飲酒〉詩四首之四：「雷觴淡於水，經年不濡脣。」
2.習染、感染。如：「耳濡目染」。
3.停留、停滯。參見「濡滯」條。
[形]
1.潮溼。《禮記．曲禮上》：「濡肉齒決，乾肉不齒決。」唐．孔穎達．正義：「濡，濕也。濕軟不可用手擘，故用齒斷決而食之。」
2.含忍。參見「濡忍」條。 |</v>
      </c>
    </row>
    <row r="10862" spans="1:44" hidden="1">
      <c r="A10862" s="1" t="s">
        <v>21924</v>
      </c>
      <c r="C10862" s="1">
        <v>1</v>
      </c>
      <c r="D10862" s="1" t="str">
        <f>"09282"</f>
        <v>09282</v>
      </c>
      <c r="E10862" s="1" t="s">
        <v>28</v>
      </c>
      <c r="F10862" s="1">
        <v>17</v>
      </c>
      <c r="G10862" s="1">
        <v>14</v>
      </c>
      <c r="H10862" s="1">
        <v>0</v>
      </c>
      <c r="I10862" s="1" t="s">
        <v>21897</v>
      </c>
      <c r="K10862" s="1" t="str">
        <f t="shared" si="671"/>
        <v>ㄖ</v>
      </c>
      <c r="L10862" s="1" t="str">
        <f t="shared" si="672"/>
        <v>ㄨ</v>
      </c>
      <c r="N10862" s="3" t="s">
        <v>30575</v>
      </c>
      <c r="O10862" s="3"/>
      <c r="P10862" s="1" t="s">
        <v>20</v>
      </c>
      <c r="R10862" s="1" t="s">
        <v>21898</v>
      </c>
      <c r="V10862" s="1" t="s">
        <v>21925</v>
      </c>
      <c r="AR10862" s="1" t="str">
        <f t="shared" si="673"/>
        <v>| [ㄖㄨˊ](ㄖㄨˊ.md) | [嚅](嚅.md) |  | rú | 參見「嚅囁」、「嚅唲」等條。 |</v>
      </c>
    </row>
    <row r="10863" spans="1:44" hidden="1">
      <c r="A10863" s="1" t="s">
        <v>21926</v>
      </c>
      <c r="C10863" s="1">
        <v>1</v>
      </c>
      <c r="D10863" s="1" t="str">
        <f>"09283"</f>
        <v>09283</v>
      </c>
      <c r="E10863" s="1" t="s">
        <v>534</v>
      </c>
      <c r="F10863" s="1">
        <v>17</v>
      </c>
      <c r="G10863" s="1">
        <v>14</v>
      </c>
      <c r="H10863" s="1">
        <v>0</v>
      </c>
      <c r="I10863" s="1" t="s">
        <v>21897</v>
      </c>
      <c r="K10863" s="1" t="str">
        <f t="shared" si="671"/>
        <v>ㄖ</v>
      </c>
      <c r="L10863" s="1" t="str">
        <f t="shared" si="672"/>
        <v>ㄨ</v>
      </c>
      <c r="N10863" s="3" t="s">
        <v>30575</v>
      </c>
      <c r="O10863" s="3"/>
      <c r="P10863" s="1" t="s">
        <v>20</v>
      </c>
      <c r="R10863" s="1" t="s">
        <v>21898</v>
      </c>
      <c r="V10863" s="1" t="s">
        <v>21927</v>
      </c>
      <c r="AR10863" s="1" t="str">
        <f t="shared" si="673"/>
        <v>| [ㄖㄨˊ](ㄖㄨˊ.md) | [嬬](嬬.md) |  | rú | [名]
小妾。《說文解字．女部》：「嬬，下妻也。」清．段玉裁．注：「下妻，猶小妻也。」民國．章太炎《新方言．釋親屬》：「廣州謂妾曰嬬。」 |</v>
      </c>
    </row>
    <row r="10864" spans="1:44" hidden="1">
      <c r="A10864" s="1" t="s">
        <v>21928</v>
      </c>
      <c r="C10864" s="1">
        <v>1</v>
      </c>
      <c r="D10864" s="1" t="str">
        <f>"09284"</f>
        <v>09284</v>
      </c>
      <c r="E10864" s="1" t="s">
        <v>241</v>
      </c>
      <c r="F10864" s="1">
        <v>17</v>
      </c>
      <c r="G10864" s="1">
        <v>14</v>
      </c>
      <c r="H10864" s="1">
        <v>0</v>
      </c>
      <c r="I10864" s="1" t="s">
        <v>21897</v>
      </c>
      <c r="K10864" s="1" t="str">
        <f t="shared" si="671"/>
        <v>ㄖ</v>
      </c>
      <c r="L10864" s="1" t="str">
        <f t="shared" si="672"/>
        <v>ㄨ</v>
      </c>
      <c r="N10864" s="3" t="s">
        <v>30575</v>
      </c>
      <c r="O10864" s="3"/>
      <c r="P10864" s="1" t="s">
        <v>20</v>
      </c>
      <c r="R10864" s="1" t="s">
        <v>21898</v>
      </c>
      <c r="V10864" s="1" t="s">
        <v>21929</v>
      </c>
      <c r="AR10864" s="1" t="str">
        <f t="shared" si="673"/>
        <v>| [ㄖㄨˊ](ㄖㄨˊ.md) | [孺](孺.md) |  | rú | [名]
1.幼童、小孩。《說文解字．子部》：「孺，乳子也。」如：「孩孺」、「童孺」。
2.參見「孺人」條。
3.姓。如春秋時魯國有孺悲。
[動]
親慕、相親。如：「孺慕」。《詩經．小雅．常棣》：「兄弟既具，和樂且孺。」唐．孔穎達．正義：「和而甚忻樂，且復骨肉相親屬也。」
[形]
幼小、稚幼。《孟子．公孫丑上》：「今人乍見孺子將入於井，皆有怵惕惻隱之心。」《太平廣記．卷三二〇．劉道錫》：「廳事東頭桑樹上，有鬼，形尚孺，長必害人。」 |</v>
      </c>
    </row>
    <row r="10865" spans="1:44" hidden="1">
      <c r="A10865" s="1" t="s">
        <v>21930</v>
      </c>
      <c r="C10865" s="1">
        <v>1</v>
      </c>
      <c r="D10865" s="1" t="str">
        <f>"09285"</f>
        <v>09285</v>
      </c>
      <c r="E10865" s="1" t="s">
        <v>37</v>
      </c>
      <c r="F10865" s="1">
        <v>18</v>
      </c>
      <c r="G10865" s="1">
        <v>14</v>
      </c>
      <c r="H10865" s="1">
        <v>0</v>
      </c>
      <c r="I10865" s="1" t="s">
        <v>21897</v>
      </c>
      <c r="K10865" s="1" t="str">
        <f t="shared" si="671"/>
        <v>ㄖ</v>
      </c>
      <c r="L10865" s="1" t="str">
        <f t="shared" si="672"/>
        <v>ㄨ</v>
      </c>
      <c r="N10865" s="3" t="s">
        <v>30575</v>
      </c>
      <c r="O10865" s="3"/>
      <c r="P10865" s="1" t="s">
        <v>20</v>
      </c>
      <c r="R10865" s="1" t="s">
        <v>21898</v>
      </c>
      <c r="V10865" s="1" t="s">
        <v>21931</v>
      </c>
      <c r="AR10865" s="1" t="str">
        <f t="shared" si="673"/>
        <v>| [ㄖㄨˊ](ㄖㄨˊ.md) | [薷](薷.md) |  | rú | [名]
1.木耳。《集韻．平聲．虞韻》：「薷，木耳。」
2.參見「香薷」條。 |</v>
      </c>
    </row>
    <row r="10866" spans="1:44" hidden="1">
      <c r="A10866" s="1" t="s">
        <v>7258</v>
      </c>
      <c r="C10866" s="1">
        <v>1</v>
      </c>
      <c r="D10866" s="1" t="str">
        <f>"09286"</f>
        <v>09286</v>
      </c>
      <c r="E10866" s="1" t="s">
        <v>68</v>
      </c>
      <c r="F10866" s="1">
        <v>18</v>
      </c>
      <c r="G10866" s="1">
        <v>14</v>
      </c>
      <c r="H10866" s="1">
        <v>1</v>
      </c>
      <c r="I10866" s="1" t="s">
        <v>21897</v>
      </c>
      <c r="K10866" s="1" t="str">
        <f t="shared" si="671"/>
        <v>ㄖ</v>
      </c>
      <c r="L10866" s="1" t="str">
        <f t="shared" si="672"/>
        <v>ㄨ</v>
      </c>
      <c r="N10866" s="3" t="s">
        <v>30575</v>
      </c>
      <c r="O10866" s="3"/>
      <c r="P10866" s="1" t="s">
        <v>20</v>
      </c>
      <c r="R10866" s="1" t="s">
        <v>21898</v>
      </c>
      <c r="V10866" s="1" t="s">
        <v>21932</v>
      </c>
      <c r="W10866" s="1" t="s">
        <v>21933</v>
      </c>
      <c r="AR10866" s="1" t="str">
        <f t="shared" si="673"/>
        <v>| [ㄖㄨˊ](ㄖㄨˊ.md) | [臑](臑.md) |  | rú | [名]
羊、豬等牲畜的前腿。後泛指人的上肢或動物的前肢。《說文解字．肉部》：「臑，臂，羊豕曰臑。」清．段玉裁．注：「謂人之臂在羊豕則曰臑也。」《儀禮．少牢饋食禮》：「司馬升羊右胖，髀不升，肩臂臑。」 |</v>
      </c>
    </row>
    <row r="10867" spans="1:44" hidden="1">
      <c r="A10867" s="1" t="s">
        <v>21934</v>
      </c>
      <c r="C10867" s="1">
        <v>1</v>
      </c>
      <c r="D10867" s="1" t="str">
        <f>"09287"</f>
        <v>09287</v>
      </c>
      <c r="E10867" s="1" t="s">
        <v>340</v>
      </c>
      <c r="F10867" s="1">
        <v>20</v>
      </c>
      <c r="G10867" s="1">
        <v>14</v>
      </c>
      <c r="H10867" s="1">
        <v>0</v>
      </c>
      <c r="I10867" s="1" t="s">
        <v>21897</v>
      </c>
      <c r="K10867" s="1" t="str">
        <f t="shared" si="671"/>
        <v>ㄖ</v>
      </c>
      <c r="L10867" s="1" t="str">
        <f t="shared" si="672"/>
        <v>ㄨ</v>
      </c>
      <c r="N10867" s="3" t="s">
        <v>30575</v>
      </c>
      <c r="O10867" s="3"/>
      <c r="P10867" s="1" t="s">
        <v>20</v>
      </c>
      <c r="R10867" s="1" t="s">
        <v>21898</v>
      </c>
      <c r="V10867" s="1" t="s">
        <v>21935</v>
      </c>
      <c r="AR10867" s="1" t="str">
        <f t="shared" si="673"/>
        <v>| [ㄖㄨˊ](ㄖㄨˊ.md) | [襦](襦.md) |  | rú | [名]
1.短襖。《左傳．昭公二十五年》：「鴝鵒跦跦，公在乾侯，徵褰與襦。」唐．杜甫〈新婚別〉詩：「羅襦不復施，對君洗紅妝。」
2.幼兒用的圍兜。唐．白居易〈阿崔〉詩：「膩剃新胎髮，香繃小繡襦。」
3.捕捉禽獸用的細密羅網。《周禮．夏官．羅氏》：「羅氏掌羅烏鳥，蜡則作羅襦。」漢．鄭玄．注：「襦，細密之羅。」 |</v>
      </c>
    </row>
    <row r="10868" spans="1:44" hidden="1">
      <c r="A10868" s="1" t="s">
        <v>21936</v>
      </c>
      <c r="C10868" s="1">
        <v>1</v>
      </c>
      <c r="D10868" s="1" t="str">
        <f>"09288"</f>
        <v>09288</v>
      </c>
      <c r="E10868" s="1" t="s">
        <v>679</v>
      </c>
      <c r="F10868" s="1">
        <v>20</v>
      </c>
      <c r="G10868" s="1">
        <v>14</v>
      </c>
      <c r="H10868" s="1">
        <v>2</v>
      </c>
      <c r="I10868" s="1" t="s">
        <v>21897</v>
      </c>
      <c r="K10868" s="1" t="str">
        <f t="shared" si="671"/>
        <v>ㄖ</v>
      </c>
      <c r="L10868" s="1" t="str">
        <f t="shared" si="672"/>
        <v>ㄨ</v>
      </c>
      <c r="N10868" s="3" t="s">
        <v>30575</v>
      </c>
      <c r="O10868" s="3"/>
      <c r="P10868" s="1" t="s">
        <v>110</v>
      </c>
      <c r="R10868" s="1" t="s">
        <v>21898</v>
      </c>
      <c r="V10868" s="1" t="s">
        <v>111</v>
      </c>
      <c r="W10868" s="1" t="s">
        <v>21937</v>
      </c>
      <c r="AR10868" s="1" t="str">
        <f t="shared" si="673"/>
        <v>| [ㄖㄨˊ](ㄖㄨˊ.md) | [蠕](蠕.md) |  | rú | (一)之又音。 |</v>
      </c>
    </row>
    <row r="10869" spans="1:44" hidden="1">
      <c r="A10869" s="1" t="s">
        <v>17269</v>
      </c>
      <c r="C10869" s="1">
        <v>1</v>
      </c>
      <c r="D10869" s="1" t="str">
        <f>"09289"</f>
        <v>09289</v>
      </c>
      <c r="E10869" s="1" t="s">
        <v>725</v>
      </c>
      <c r="F10869" s="1">
        <v>20</v>
      </c>
      <c r="G10869" s="1">
        <v>14</v>
      </c>
      <c r="H10869" s="1">
        <v>2</v>
      </c>
      <c r="I10869" s="1" t="s">
        <v>21897</v>
      </c>
      <c r="K10869" s="1" t="str">
        <f t="shared" si="671"/>
        <v>ㄖ</v>
      </c>
      <c r="L10869" s="1" t="str">
        <f t="shared" si="672"/>
        <v>ㄨ</v>
      </c>
      <c r="N10869" s="3" t="s">
        <v>30575</v>
      </c>
      <c r="O10869" s="3"/>
      <c r="P10869" s="1" t="s">
        <v>110</v>
      </c>
      <c r="R10869" s="1" t="s">
        <v>21898</v>
      </c>
      <c r="V10869" s="1" t="s">
        <v>111</v>
      </c>
      <c r="W10869" s="1" t="s">
        <v>21938</v>
      </c>
      <c r="AR10869" s="1" t="str">
        <f t="shared" si="673"/>
        <v>| [ㄖㄨˊ](ㄖㄨˊ.md) | [繻](繻.md) |  | rú | (一)之又音。 |</v>
      </c>
    </row>
    <row r="10870" spans="1:44" hidden="1">
      <c r="A10870" s="1" t="s">
        <v>21939</v>
      </c>
      <c r="C10870" s="1">
        <v>1</v>
      </c>
      <c r="D10870" s="1" t="str">
        <f>"09290"</f>
        <v>09290</v>
      </c>
      <c r="E10870" s="1" t="s">
        <v>1462</v>
      </c>
      <c r="F10870" s="1">
        <v>21</v>
      </c>
      <c r="G10870" s="1">
        <v>14</v>
      </c>
      <c r="H10870" s="1">
        <v>0</v>
      </c>
      <c r="I10870" s="1" t="s">
        <v>21897</v>
      </c>
      <c r="K10870" s="1" t="str">
        <f t="shared" si="671"/>
        <v>ㄖ</v>
      </c>
      <c r="L10870" s="1" t="str">
        <f t="shared" si="672"/>
        <v>ㄨ</v>
      </c>
      <c r="N10870" s="3" t="s">
        <v>30575</v>
      </c>
      <c r="O10870" s="3"/>
      <c r="P10870" s="1" t="s">
        <v>20</v>
      </c>
      <c r="R10870" s="1" t="s">
        <v>21898</v>
      </c>
      <c r="V10870" s="1" t="s">
        <v>21940</v>
      </c>
      <c r="AR10870" s="1" t="str">
        <f t="shared" si="673"/>
        <v>| [ㄖㄨˊ](ㄖㄨˊ.md) | [醹](醹.md) |  | rú | [名]
醇酒。《說文解字．酉部》：「醹，厚酒也。」《詩經．大雅．行葦》：「曾孫維主，酒𥽈維醹。」唐．孔穎達．正義：「醹，厚，謂酒之醇者。」 |</v>
      </c>
    </row>
    <row r="10871" spans="1:44" hidden="1">
      <c r="A10871" s="1" t="s">
        <v>21941</v>
      </c>
      <c r="C10871" s="1">
        <v>1</v>
      </c>
      <c r="D10871" s="1" t="str">
        <f>"09291"</f>
        <v>09291</v>
      </c>
      <c r="E10871" s="1" t="s">
        <v>684</v>
      </c>
      <c r="F10871" s="1">
        <v>23</v>
      </c>
      <c r="G10871" s="1">
        <v>14</v>
      </c>
      <c r="H10871" s="1">
        <v>0</v>
      </c>
      <c r="I10871" s="1" t="s">
        <v>21897</v>
      </c>
      <c r="K10871" s="1" t="str">
        <f t="shared" si="671"/>
        <v>ㄖ</v>
      </c>
      <c r="L10871" s="1" t="str">
        <f t="shared" si="672"/>
        <v>ㄨ</v>
      </c>
      <c r="N10871" s="3" t="s">
        <v>30575</v>
      </c>
      <c r="O10871" s="3"/>
      <c r="P10871" s="1" t="s">
        <v>20</v>
      </c>
      <c r="R10871" s="1" t="s">
        <v>21898</v>
      </c>
      <c r="V10871" s="1" t="s">
        <v>7474</v>
      </c>
      <c r="AR10871" s="1" t="str">
        <f t="shared" si="673"/>
        <v>| [ㄖㄨˊ](ㄖㄨˊ.md) | [顬](顬.md) |  | rú | [名]
顳顬：顳骨，頭骨之一。在頂骨下方位於兩耳上前方的部位，形狀扁平。《廣韻．入聲．葉韻》：「顳，顳顬，鬢骨。」 |</v>
      </c>
    </row>
    <row r="10872" spans="1:44" hidden="1">
      <c r="A10872" s="1" t="s">
        <v>21942</v>
      </c>
      <c r="C10872" s="1">
        <v>1</v>
      </c>
      <c r="D10872" s="1" t="str">
        <f>"09292"</f>
        <v>09292</v>
      </c>
      <c r="E10872" s="1" t="s">
        <v>83</v>
      </c>
      <c r="F10872" s="1">
        <v>24</v>
      </c>
      <c r="G10872" s="1">
        <v>14</v>
      </c>
      <c r="H10872" s="1">
        <v>0</v>
      </c>
      <c r="I10872" s="1" t="s">
        <v>21897</v>
      </c>
      <c r="K10872" s="1" t="str">
        <f t="shared" si="671"/>
        <v>ㄖ</v>
      </c>
      <c r="L10872" s="1" t="str">
        <f t="shared" si="672"/>
        <v>ㄨ</v>
      </c>
      <c r="N10872" s="3" t="s">
        <v>30575</v>
      </c>
      <c r="O10872" s="3"/>
      <c r="P10872" s="1" t="s">
        <v>20</v>
      </c>
      <c r="R10872" s="1" t="s">
        <v>21898</v>
      </c>
      <c r="V10872" s="1" t="s">
        <v>21943</v>
      </c>
      <c r="AR10872" s="1" t="str">
        <f t="shared" si="673"/>
        <v>| [ㄖㄨˊ](ㄖㄨˊ.md) | [䰰](䰰.md) |  | rú | 參見「䰰䰰」條。 |</v>
      </c>
    </row>
    <row r="10873" spans="1:44" hidden="1">
      <c r="A10873" s="1" t="s">
        <v>21660</v>
      </c>
      <c r="C10873" s="1">
        <v>1</v>
      </c>
      <c r="D10873" s="1" t="str">
        <f>"09293"</f>
        <v>09293</v>
      </c>
      <c r="E10873" s="1" t="s">
        <v>7132</v>
      </c>
      <c r="F10873" s="1">
        <v>2</v>
      </c>
      <c r="G10873" s="1">
        <v>0</v>
      </c>
      <c r="H10873" s="1">
        <v>3</v>
      </c>
      <c r="I10873" s="1" t="s">
        <v>21944</v>
      </c>
      <c r="K10873" s="1" t="str">
        <f t="shared" si="671"/>
        <v>ㄖ</v>
      </c>
      <c r="L10873" s="1" t="str">
        <f t="shared" si="672"/>
        <v>ㄨ</v>
      </c>
      <c r="N10873" s="3" t="s">
        <v>30576</v>
      </c>
      <c r="O10873" s="3"/>
      <c r="P10873" s="1" t="s">
        <v>20</v>
      </c>
      <c r="R10873" s="1" t="s">
        <v>21945</v>
      </c>
      <c r="V10873" s="1" t="s">
        <v>21946</v>
      </c>
      <c r="W10873" s="1" t="s">
        <v>21947</v>
      </c>
      <c r="AR10873" s="1" t="str">
        <f t="shared" si="673"/>
        <v>| [ㄖㄨˇ](ㄖㄨˇ.md) | [入](入.md) |  | rǔ | [動]
1.不留心的塞放。如：「一張鈔票不知入到那裡？」
2.暗中把財物給人。如：「偷偷入給他一包東西。」
3.陷於其中、投於其中。如：「一腳入到泥裡了。」 |</v>
      </c>
    </row>
    <row r="10874" spans="1:44" hidden="1">
      <c r="A10874" s="1" t="s">
        <v>7745</v>
      </c>
      <c r="C10874" s="1">
        <v>1</v>
      </c>
      <c r="D10874" s="1" t="str">
        <f>"09294"</f>
        <v>09294</v>
      </c>
      <c r="E10874" s="1" t="s">
        <v>534</v>
      </c>
      <c r="F10874" s="1">
        <v>3</v>
      </c>
      <c r="G10874" s="1">
        <v>0</v>
      </c>
      <c r="H10874" s="1">
        <v>3</v>
      </c>
      <c r="I10874" s="1" t="s">
        <v>21944</v>
      </c>
      <c r="K10874" s="1" t="str">
        <f t="shared" si="671"/>
        <v>ㄖ</v>
      </c>
      <c r="L10874" s="1" t="str">
        <f t="shared" si="672"/>
        <v>ㄨ</v>
      </c>
      <c r="N10874" s="3" t="s">
        <v>30576</v>
      </c>
      <c r="O10874" s="3"/>
      <c r="P10874" s="1" t="s">
        <v>20</v>
      </c>
      <c r="R10874" s="1" t="s">
        <v>21945</v>
      </c>
      <c r="V10874" s="1" t="s">
        <v>21948</v>
      </c>
      <c r="W10874" s="1" t="s">
        <v>21949</v>
      </c>
      <c r="AR10874" s="1" t="str">
        <f t="shared" si="673"/>
        <v>| [ㄖㄨˇ](ㄖㄨˇ.md) | [女](女.md) |  | rǔ | [代]
你。同「汝」。《左傳．宣公十一年》：「諸侯縣公皆慶寡人，女獨不慶寡人。」
[名]
姓。如商代有女方。 |</v>
      </c>
    </row>
    <row r="10875" spans="1:44" hidden="1">
      <c r="A10875" s="1" t="s">
        <v>21950</v>
      </c>
      <c r="C10875" s="1">
        <v>1</v>
      </c>
      <c r="D10875" s="1" t="str">
        <f>"09295"</f>
        <v>09295</v>
      </c>
      <c r="E10875" s="1" t="s">
        <v>129</v>
      </c>
      <c r="F10875" s="1">
        <v>6</v>
      </c>
      <c r="G10875" s="1">
        <v>3</v>
      </c>
      <c r="H10875" s="1">
        <v>0</v>
      </c>
      <c r="I10875" s="1" t="s">
        <v>21944</v>
      </c>
      <c r="K10875" s="1" t="str">
        <f t="shared" si="671"/>
        <v>ㄖ</v>
      </c>
      <c r="L10875" s="1" t="str">
        <f t="shared" si="672"/>
        <v>ㄨ</v>
      </c>
      <c r="N10875" s="3" t="s">
        <v>30576</v>
      </c>
      <c r="O10875" s="3"/>
      <c r="P10875" s="1" t="s">
        <v>20</v>
      </c>
      <c r="R10875" s="1" t="s">
        <v>21945</v>
      </c>
      <c r="V10875" s="1" t="s">
        <v>21951</v>
      </c>
      <c r="AR10875" s="1" t="str">
        <f t="shared" si="673"/>
        <v>| [ㄖㄨˇ](ㄖㄨˇ.md) | [汝](汝.md) |  | rǔ | [代]
你。《書經．堯典》：「汝能庸命，巽朕位。」宋．陸游〈戰城南〉詩：「詔書許汝以不死，股栗何為汗如洗！」
[名]
1.參見「汝水」條。
2.姓。如明代有汝訥。 |</v>
      </c>
    </row>
    <row r="10876" spans="1:44" hidden="1">
      <c r="A10876" s="1" t="s">
        <v>21952</v>
      </c>
      <c r="C10876" s="1">
        <v>1</v>
      </c>
      <c r="D10876" s="1" t="str">
        <f>"09296"</f>
        <v>09296</v>
      </c>
      <c r="E10876" s="1" t="s">
        <v>3480</v>
      </c>
      <c r="F10876" s="1">
        <v>8</v>
      </c>
      <c r="G10876" s="1">
        <v>7</v>
      </c>
      <c r="H10876" s="1">
        <v>0</v>
      </c>
      <c r="I10876" s="1" t="s">
        <v>21944</v>
      </c>
      <c r="K10876" s="1" t="str">
        <f t="shared" si="671"/>
        <v>ㄖ</v>
      </c>
      <c r="L10876" s="1" t="str">
        <f t="shared" si="672"/>
        <v>ㄨ</v>
      </c>
      <c r="N10876" s="3" t="s">
        <v>30576</v>
      </c>
      <c r="O10876" s="3"/>
      <c r="P10876" s="1" t="s">
        <v>20</v>
      </c>
      <c r="R10876" s="1" t="s">
        <v>21945</v>
      </c>
      <c r="V10876" s="1" t="s">
        <v>21953</v>
      </c>
      <c r="AR10876" s="1" t="str">
        <f t="shared" si="673"/>
        <v>| [ㄖㄨˇ](ㄖㄨˇ.md) | [乳](乳.md) |  | rǔ | [動]
1.生產、繁殖。如：「孳乳」。《史記．卷一〇五．扁鵲倉公傳》：「菑川王美人懷子而不乳，來召臣意。」《漢書．卷五四．蘇建傳》：「乃徙武北海上無人處，使牧羝，羝乳乃得歸。」
2.孵卵、孵化。《禮記．月令》：「雉雊雞乳。」《魏書．卷一〇七．律曆志上》：「立春，雞始乳。」
3.哺育、餵奶。《左傳．宣公四年》：「䢵夫人使棄諸夢中，虎乳之。」《新唐書．卷一九四．元德秀傳》：「德秀自乳之。」
4.飲、喝。《文選．鮑照．蕪城賦》：「伏虣藏虎，乳血飧膚。」
[名]
1.乳房的簡稱。《史記．卷一〇五．扁鵲倉公傳》：「意告之後百餘日，果為疽發乳上，入缺盆，死。」
2.奶汁。如：「母乳」、「牛乳」、「鮮乳」。
3.像乳房的物體。明．徐弘祖《徐霞客遊記．卷三下．粵西遊日記二》：「岐中倒垂一乳，長數丈，其端空懸，水由端涓涓下。」
4.類似乳汁的液體。如：「豆乳」、「蜂王乳」。
[形]
初生的。如：「乳燕」、「乳豬」、「乳鴿」。 |</v>
      </c>
    </row>
    <row r="10877" spans="1:44" hidden="1">
      <c r="A10877" s="1" t="s">
        <v>21954</v>
      </c>
      <c r="C10877" s="1">
        <v>1</v>
      </c>
      <c r="D10877" s="1" t="str">
        <f>"09297"</f>
        <v>09297</v>
      </c>
      <c r="E10877" s="1" t="s">
        <v>7720</v>
      </c>
      <c r="F10877" s="1">
        <v>10</v>
      </c>
      <c r="G10877" s="1">
        <v>3</v>
      </c>
      <c r="H10877" s="1">
        <v>2</v>
      </c>
      <c r="I10877" s="1" t="s">
        <v>21944</v>
      </c>
      <c r="K10877" s="1" t="str">
        <f t="shared" si="671"/>
        <v>ㄖ</v>
      </c>
      <c r="L10877" s="1" t="str">
        <f t="shared" si="672"/>
        <v>ㄨ</v>
      </c>
      <c r="N10877" s="3" t="s">
        <v>30576</v>
      </c>
      <c r="O10877" s="3"/>
      <c r="P10877" s="1" t="s">
        <v>110</v>
      </c>
      <c r="R10877" s="1" t="s">
        <v>21945</v>
      </c>
      <c r="V10877" s="1" t="s">
        <v>111</v>
      </c>
      <c r="W10877" s="1" t="s">
        <v>21955</v>
      </c>
      <c r="AR10877" s="1" t="str">
        <f t="shared" si="673"/>
        <v>| [ㄖㄨˇ](ㄖㄨˇ.md) | [辱](辱.md) |  | rǔ | (一)之又音。 |</v>
      </c>
    </row>
    <row r="10878" spans="1:44" hidden="1">
      <c r="A10878" s="1" t="s">
        <v>22121</v>
      </c>
      <c r="C10878" s="1">
        <v>1</v>
      </c>
      <c r="D10878" s="1" t="str">
        <f>"09369"</f>
        <v>09369</v>
      </c>
      <c r="E10878" s="1" t="s">
        <v>114</v>
      </c>
      <c r="F10878" s="1">
        <v>5</v>
      </c>
      <c r="G10878" s="1">
        <v>3</v>
      </c>
      <c r="H10878" s="1">
        <v>1</v>
      </c>
      <c r="I10878" s="1" t="s">
        <v>22122</v>
      </c>
      <c r="K10878" s="1" t="str">
        <f t="shared" si="671"/>
        <v>ㄗ</v>
      </c>
      <c r="L10878" s="1" t="str">
        <f t="shared" si="672"/>
        <v/>
      </c>
      <c r="M10878" s="1" t="str">
        <f t="shared" ref="M10878:M10909" si="674">MID(I10878, 3, 1)</f>
        <v/>
      </c>
      <c r="P10878" s="1" t="s">
        <v>20</v>
      </c>
      <c r="R10878" s="1" t="s">
        <v>22123</v>
      </c>
      <c r="V10878" s="1" t="s">
        <v>22124</v>
      </c>
      <c r="W10878" s="1" t="s">
        <v>22125</v>
      </c>
      <c r="AR10878" s="1" t="str">
        <f t="shared" si="673"/>
        <v>| [ㄗ](ㄗ.md) | [仔](仔.md) |  | zī | 參見「仔肩」條。 |</v>
      </c>
    </row>
    <row r="10879" spans="1:44" hidden="1">
      <c r="A10879" s="1" t="s">
        <v>22126</v>
      </c>
      <c r="C10879" s="1">
        <v>1</v>
      </c>
      <c r="D10879" s="1" t="str">
        <f>"09370"</f>
        <v>09370</v>
      </c>
      <c r="E10879" s="1" t="s">
        <v>241</v>
      </c>
      <c r="F10879" s="1">
        <v>6</v>
      </c>
      <c r="G10879" s="1">
        <v>3</v>
      </c>
      <c r="H10879" s="1">
        <v>0</v>
      </c>
      <c r="I10879" s="1" t="s">
        <v>22122</v>
      </c>
      <c r="K10879" s="1" t="str">
        <f t="shared" si="671"/>
        <v>ㄗ</v>
      </c>
      <c r="L10879" s="1" t="str">
        <f t="shared" si="672"/>
        <v/>
      </c>
      <c r="M10879" s="1" t="str">
        <f t="shared" si="674"/>
        <v/>
      </c>
      <c r="P10879" s="1" t="s">
        <v>20</v>
      </c>
      <c r="R10879" s="1" t="s">
        <v>22123</v>
      </c>
      <c r="V10879" s="1" t="s">
        <v>22127</v>
      </c>
      <c r="AR10879" s="1" t="str">
        <f t="shared" si="673"/>
        <v>| [ㄗ](ㄗ.md) | [孖](孖.md) |  | zī | [動]
繁殖生長。通「滋」。《玉篇．子部》：「孖，亦作滋，蕃長也。」
[名]
雙生子。《廣韻．平聲．之韻》：「孖，雙生子也。」 |</v>
      </c>
    </row>
    <row r="10880" spans="1:44" hidden="1">
      <c r="A10880" s="1" t="s">
        <v>22128</v>
      </c>
      <c r="C10880" s="1">
        <v>1</v>
      </c>
      <c r="D10880" s="1" t="str">
        <f>"09371"</f>
        <v>09371</v>
      </c>
      <c r="E10880" s="1" t="s">
        <v>241</v>
      </c>
      <c r="F10880" s="1">
        <v>7</v>
      </c>
      <c r="G10880" s="1">
        <v>4</v>
      </c>
      <c r="H10880" s="1">
        <v>0</v>
      </c>
      <c r="I10880" s="1" t="s">
        <v>22122</v>
      </c>
      <c r="K10880" s="1" t="str">
        <f t="shared" si="671"/>
        <v>ㄗ</v>
      </c>
      <c r="L10880" s="1" t="str">
        <f t="shared" si="672"/>
        <v/>
      </c>
      <c r="M10880" s="1" t="str">
        <f t="shared" si="674"/>
        <v/>
      </c>
      <c r="P10880" s="1" t="s">
        <v>20</v>
      </c>
      <c r="R10880" s="1" t="s">
        <v>22123</v>
      </c>
      <c r="V10880" s="1" t="s">
        <v>22129</v>
      </c>
      <c r="AR10880" s="1" t="str">
        <f t="shared" si="673"/>
        <v>| [ㄗ](ㄗ.md) | [孜](孜.md) |  | zī | 參見「孜煎」、「孜孜」等條。 |</v>
      </c>
    </row>
    <row r="10881" spans="1:44" hidden="1">
      <c r="A10881" s="1" t="s">
        <v>22130</v>
      </c>
      <c r="C10881" s="1">
        <v>1</v>
      </c>
      <c r="D10881" s="1" t="str">
        <f>"09372"</f>
        <v>09372</v>
      </c>
      <c r="E10881" s="1" t="s">
        <v>1908</v>
      </c>
      <c r="F10881" s="1">
        <v>6</v>
      </c>
      <c r="G10881" s="1">
        <v>2</v>
      </c>
      <c r="H10881" s="1">
        <v>2</v>
      </c>
      <c r="I10881" s="1" t="s">
        <v>22122</v>
      </c>
      <c r="K10881" s="1" t="str">
        <f t="shared" ref="K10881:K10944" si="675">LEFT(I10881, 1)</f>
        <v>ㄗ</v>
      </c>
      <c r="L10881" s="1" t="str">
        <f t="shared" ref="L10881:L10944" si="676">MID(I10881, 2, 1)</f>
        <v/>
      </c>
      <c r="M10881" s="1" t="str">
        <f t="shared" si="674"/>
        <v/>
      </c>
      <c r="P10881" s="1" t="s">
        <v>20</v>
      </c>
      <c r="R10881" s="1" t="s">
        <v>22123</v>
      </c>
      <c r="V10881" s="1" t="s">
        <v>22131</v>
      </c>
      <c r="W10881" s="1" t="s">
        <v>22132</v>
      </c>
      <c r="AR10881" s="1" t="str">
        <f t="shared" si="673"/>
        <v>| [ㄗ](ㄗ.md) | [次](次.md) |  | zī | 參見「次且」條。 |</v>
      </c>
    </row>
    <row r="10882" spans="1:44" hidden="1">
      <c r="A10882" s="1" t="s">
        <v>22133</v>
      </c>
      <c r="C10882" s="1">
        <v>1</v>
      </c>
      <c r="D10882" s="1" t="str">
        <f>"09373"</f>
        <v>09373</v>
      </c>
      <c r="E10882" s="1" t="s">
        <v>28</v>
      </c>
      <c r="F10882" s="1">
        <v>9</v>
      </c>
      <c r="G10882" s="1">
        <v>6</v>
      </c>
      <c r="H10882" s="1">
        <v>0</v>
      </c>
      <c r="I10882" s="1" t="s">
        <v>22122</v>
      </c>
      <c r="K10882" s="1" t="str">
        <f t="shared" si="675"/>
        <v>ㄗ</v>
      </c>
      <c r="L10882" s="1" t="str">
        <f t="shared" si="676"/>
        <v/>
      </c>
      <c r="M10882" s="1" t="str">
        <f t="shared" si="674"/>
        <v/>
      </c>
      <c r="P10882" s="1" t="s">
        <v>20</v>
      </c>
      <c r="R10882" s="1" t="s">
        <v>22123</v>
      </c>
      <c r="V10882" s="1" t="s">
        <v>22134</v>
      </c>
      <c r="AR10882" s="1" t="str">
        <f t="shared" si="673"/>
        <v>| [ㄗ](ㄗ.md) | [咨](咨.md) |  | zī | [動]
商量、謀劃。通「諮」。如：「咨詢」、「咨謀」、「咨商」。《文選．諸葛亮．出師表》：「愚以為宮中之事，事無大小，悉以咨之，然後施行，必能裨補闕漏，有所廣益也。」
[名]
一種平行機關往來的公文。今僅總統與立法、監察兩院公文往復時使用，其他平行機關則用函。
[歎]
表示感嘆的語氣。《書經．堯典》：「浩浩滔天，下民其咨。」《文選．張衡．思玄賦》：「咨姤嫮之難並兮，想依韓以流亡。」 |</v>
      </c>
    </row>
    <row r="10883" spans="1:44" hidden="1">
      <c r="A10883" s="1" t="s">
        <v>22135</v>
      </c>
      <c r="C10883" s="1">
        <v>1</v>
      </c>
      <c r="D10883" s="1" t="str">
        <f>"09374"</f>
        <v>09374</v>
      </c>
      <c r="E10883" s="1" t="s">
        <v>534</v>
      </c>
      <c r="F10883" s="1">
        <v>9</v>
      </c>
      <c r="G10883" s="1">
        <v>6</v>
      </c>
      <c r="H10883" s="1">
        <v>0</v>
      </c>
      <c r="I10883" s="1" t="s">
        <v>22122</v>
      </c>
      <c r="K10883" s="1" t="str">
        <f t="shared" si="675"/>
        <v>ㄗ</v>
      </c>
      <c r="L10883" s="1" t="str">
        <f t="shared" si="676"/>
        <v/>
      </c>
      <c r="M10883" s="1" t="str">
        <f t="shared" si="674"/>
        <v/>
      </c>
      <c r="P10883" s="1" t="s">
        <v>20</v>
      </c>
      <c r="R10883" s="1" t="s">
        <v>22123</v>
      </c>
      <c r="V10883" s="1" t="s">
        <v>22136</v>
      </c>
      <c r="AR10883" s="1" t="str">
        <f t="shared" ref="AR10883:AR10946" si="677">"| ["&amp;I10883&amp;"]("&amp;I10883&amp;".md) | ["&amp;A10883&amp;"]("&amp;A10883&amp;".md) | "&amp;" | "&amp;R10883&amp;" | "&amp;V10883&amp;" |"</f>
        <v>| [ㄗ](ㄗ.md) | [姿](姿.md) |  | zī | [名]
1.容貌、態勢。如：「姿顏」、「姿容曼妙」、「舞姿」、「搖曳生姿」。唐．韓愈〈君子法天運〉詩：「利害有常勢，取捨無定姿。」
2.資質。通「資」。如：「姿質超人」。漢．王充《論衡．本性》：「初稟天然之姿，受純一之質。」
[副]
放任、縱情。《紅樓夢》第六二回：「二者恐丫鬟們年青，乘王夫人不在家，不服探春等約束，姿意痛飲，失了體統。」 |</v>
      </c>
    </row>
    <row r="10884" spans="1:44" hidden="1">
      <c r="A10884" s="1" t="s">
        <v>22137</v>
      </c>
      <c r="C10884" s="1">
        <v>1</v>
      </c>
      <c r="D10884" s="1" t="str">
        <f>"09375"</f>
        <v>09375</v>
      </c>
      <c r="E10884" s="1" t="s">
        <v>250</v>
      </c>
      <c r="F10884" s="1">
        <v>10</v>
      </c>
      <c r="G10884" s="1">
        <v>6</v>
      </c>
      <c r="H10884" s="1">
        <v>2</v>
      </c>
      <c r="I10884" s="1" t="s">
        <v>22122</v>
      </c>
      <c r="K10884" s="1" t="str">
        <f t="shared" si="675"/>
        <v>ㄗ</v>
      </c>
      <c r="L10884" s="1" t="str">
        <f t="shared" si="676"/>
        <v/>
      </c>
      <c r="M10884" s="1" t="str">
        <f t="shared" si="674"/>
        <v/>
      </c>
      <c r="P10884" s="1" t="s">
        <v>110</v>
      </c>
      <c r="R10884" s="1" t="s">
        <v>22123</v>
      </c>
      <c r="V10884" s="1" t="s">
        <v>111</v>
      </c>
      <c r="W10884" s="1" t="s">
        <v>22138</v>
      </c>
      <c r="AR10884" s="1" t="str">
        <f t="shared" si="677"/>
        <v>| [ㄗ](ㄗ.md) | [恣](恣.md) |  | zī | (一)之又音。 |</v>
      </c>
    </row>
    <row r="10885" spans="1:44" hidden="1">
      <c r="A10885" s="1" t="s">
        <v>22139</v>
      </c>
      <c r="C10885" s="1">
        <v>1</v>
      </c>
      <c r="D10885" s="1" t="str">
        <f>"09376"</f>
        <v>09376</v>
      </c>
      <c r="E10885" s="1" t="s">
        <v>46</v>
      </c>
      <c r="F10885" s="1">
        <v>12</v>
      </c>
      <c r="G10885" s="1">
        <v>6</v>
      </c>
      <c r="H10885" s="1">
        <v>0</v>
      </c>
      <c r="I10885" s="1" t="s">
        <v>22122</v>
      </c>
      <c r="K10885" s="1" t="str">
        <f t="shared" si="675"/>
        <v>ㄗ</v>
      </c>
      <c r="L10885" s="1" t="str">
        <f t="shared" si="676"/>
        <v/>
      </c>
      <c r="M10885" s="1" t="str">
        <f t="shared" si="674"/>
        <v/>
      </c>
      <c r="P10885" s="1" t="s">
        <v>20</v>
      </c>
      <c r="R10885" s="1" t="s">
        <v>22123</v>
      </c>
      <c r="V10885" s="1" t="s">
        <v>22140</v>
      </c>
      <c r="AR10885" s="1" t="str">
        <f t="shared" si="677"/>
        <v>| [ㄗ](ㄗ.md) | [粢](粢.md) |  | zī | [名]
黍、稷、稻、粱、麥、菰等六種穀物的總稱。《左傳．桓公二年》：「粢食不鑿，昭其儉也。」唐．孔穎達．正義：「粢，亦諸穀總名。」 |</v>
      </c>
    </row>
    <row r="10886" spans="1:44" hidden="1">
      <c r="A10886" s="1" t="s">
        <v>22141</v>
      </c>
      <c r="C10886" s="1">
        <v>1</v>
      </c>
      <c r="D10886" s="1" t="str">
        <f>"09377"</f>
        <v>09377</v>
      </c>
      <c r="E10886" s="1" t="s">
        <v>505</v>
      </c>
      <c r="F10886" s="1">
        <v>13</v>
      </c>
      <c r="G10886" s="1">
        <v>6</v>
      </c>
      <c r="H10886" s="1">
        <v>0</v>
      </c>
      <c r="I10886" s="1" t="s">
        <v>22122</v>
      </c>
      <c r="K10886" s="1" t="str">
        <f t="shared" si="675"/>
        <v>ㄗ</v>
      </c>
      <c r="L10886" s="1" t="str">
        <f t="shared" si="676"/>
        <v/>
      </c>
      <c r="M10886" s="1" t="str">
        <f t="shared" si="674"/>
        <v/>
      </c>
      <c r="P10886" s="1" t="s">
        <v>20</v>
      </c>
      <c r="R10886" s="1" t="s">
        <v>22123</v>
      </c>
      <c r="V10886" s="1" t="s">
        <v>22142</v>
      </c>
      <c r="AR10886" s="1" t="str">
        <f t="shared" si="677"/>
        <v>| [ㄗ](ㄗ.md) | [資](資.md) |  | zī | [名]
1.財貨。如：「物資」、「資金」、「資本」。
2.費用。如：「工資」、「車資」、「郵資」。
3.經歷、身分。如：「年資」、「資次」。唐．韓愈〈永貞行〉：「夜作詔書朝拜官，超資越序曾無難。」
4.天生的才智。如：「資質」、「天資」。《荀子．性惡》：「今人之性，生而離其朴，離其資，必失而喪之。」
5.資本家的簡稱。如：「資方」、「勞資合作」。
6.憑藉。《史記．卷五五．留侯世家》：「夫為天下除殘賊，宜縞素為資。」《淮南子．王術》：「夫七尺之橈，而制船之左右者，以水為資。」
7.材料。參見「資料」條。
8.姓。如明代有資金。
[動]
1.蓄積。《國語．越語上》：「臣聞之賈人，夏則資皮，冬則資絺，旱則資舟，水則資車，以待乏也。」
2.供給、幫助。《戰國策．秦策四》：「韓天下之咽喉，魏天下之胸腹，王資臣萬金而遊。」漢．高誘．注：「資，給。」《宋史．卷三一二．韓琦傳》：「今棄不耕，適足以資敵，將皆為所有矣，遂請距北界十里為禁地。」
3.取用。《易經．乾卦．彖曰》：「大哉，乾元，萬物資始。」唐．孔穎達．正義：「以萬象之物皆資取乾元而各得始生。」 |</v>
      </c>
    </row>
    <row r="10887" spans="1:44" hidden="1">
      <c r="A10887" s="1" t="s">
        <v>22143</v>
      </c>
      <c r="C10887" s="1">
        <v>1</v>
      </c>
      <c r="D10887" s="1" t="str">
        <f>"09378"</f>
        <v>09378</v>
      </c>
      <c r="E10887" s="1" t="s">
        <v>4563</v>
      </c>
      <c r="F10887" s="1">
        <v>13</v>
      </c>
      <c r="G10887" s="1">
        <v>6</v>
      </c>
      <c r="H10887" s="1">
        <v>0</v>
      </c>
      <c r="I10887" s="1" t="s">
        <v>22122</v>
      </c>
      <c r="K10887" s="1" t="str">
        <f t="shared" si="675"/>
        <v>ㄗ</v>
      </c>
      <c r="L10887" s="1" t="str">
        <f t="shared" si="676"/>
        <v/>
      </c>
      <c r="M10887" s="1" t="str">
        <f t="shared" si="674"/>
        <v/>
      </c>
      <c r="P10887" s="1" t="s">
        <v>20</v>
      </c>
      <c r="R10887" s="1" t="s">
        <v>22123</v>
      </c>
      <c r="V10887" s="1" t="s">
        <v>14348</v>
      </c>
      <c r="AR10887" s="1" t="str">
        <f t="shared" si="677"/>
        <v>| [ㄗ](ㄗ.md) | [趑](趑.md) |  | zī | 參見「趑趄」條。 |</v>
      </c>
    </row>
    <row r="10888" spans="1:44" hidden="1">
      <c r="A10888" s="1" t="s">
        <v>22144</v>
      </c>
      <c r="C10888" s="1">
        <v>1</v>
      </c>
      <c r="D10888" s="1" t="str">
        <f>"09379"</f>
        <v>09379</v>
      </c>
      <c r="E10888" s="1" t="s">
        <v>331</v>
      </c>
      <c r="F10888" s="1">
        <v>16</v>
      </c>
      <c r="G10888" s="1">
        <v>9</v>
      </c>
      <c r="H10888" s="1">
        <v>0</v>
      </c>
      <c r="I10888" s="1" t="s">
        <v>22122</v>
      </c>
      <c r="K10888" s="1" t="str">
        <f t="shared" si="675"/>
        <v>ㄗ</v>
      </c>
      <c r="L10888" s="1" t="str">
        <f t="shared" si="676"/>
        <v/>
      </c>
      <c r="M10888" s="1" t="str">
        <f t="shared" si="674"/>
        <v/>
      </c>
      <c r="P10888" s="1" t="s">
        <v>20</v>
      </c>
      <c r="R10888" s="1" t="s">
        <v>22123</v>
      </c>
      <c r="V10888" s="1" t="s">
        <v>22145</v>
      </c>
      <c r="AR10888" s="1" t="str">
        <f t="shared" si="677"/>
        <v>| [ㄗ](ㄗ.md) | [諮](諮.md) |  | zī | [動]
商量、詢問。通「咨」。如：「諮詢」、「諮商」。《後漢書．卷四四．胡廣傳》：「國有大政，必議之於前訓，諮之於故老。」三國魏．王粲〈七哀〉詩三首之三：「蓼蟲不知辛，去來勿與諮。」 |</v>
      </c>
    </row>
    <row r="10889" spans="1:44" hidden="1">
      <c r="A10889" s="1" t="s">
        <v>22146</v>
      </c>
      <c r="C10889" s="1">
        <v>1</v>
      </c>
      <c r="D10889" s="1" t="str">
        <f>"09381"</f>
        <v>09381</v>
      </c>
      <c r="E10889" s="1" t="s">
        <v>753</v>
      </c>
      <c r="F10889" s="1">
        <v>8</v>
      </c>
      <c r="G10889" s="1">
        <v>3</v>
      </c>
      <c r="H10889" s="1">
        <v>1</v>
      </c>
      <c r="I10889" s="1" t="s">
        <v>22122</v>
      </c>
      <c r="K10889" s="1" t="str">
        <f t="shared" si="675"/>
        <v>ㄗ</v>
      </c>
      <c r="L10889" s="1" t="str">
        <f t="shared" si="676"/>
        <v/>
      </c>
      <c r="M10889" s="1" t="str">
        <f t="shared" si="674"/>
        <v/>
      </c>
      <c r="P10889" s="1" t="s">
        <v>20</v>
      </c>
      <c r="R10889" s="1" t="s">
        <v>22123</v>
      </c>
      <c r="V10889" s="1" t="s">
        <v>22147</v>
      </c>
      <c r="W10889" s="1" t="s">
        <v>22148</v>
      </c>
      <c r="AR10889" s="1" t="str">
        <f t="shared" si="677"/>
        <v>| [ㄗ](ㄗ.md) | [甾](甾.md) |  | zī | [名]
古代盛酒漿的陶器。《說文解字．田部》：「甾，東楚名缶曰淄。」清．段玉裁．注：「缶下曰瓦器，所以盛酒漿。」 |</v>
      </c>
    </row>
    <row r="10890" spans="1:44" hidden="1">
      <c r="A10890" s="1" t="s">
        <v>22149</v>
      </c>
      <c r="C10890" s="1">
        <v>1</v>
      </c>
      <c r="D10890" s="1" t="str">
        <f>"09382"</f>
        <v>09382</v>
      </c>
      <c r="E10890" s="1" t="s">
        <v>129</v>
      </c>
      <c r="F10890" s="1">
        <v>11</v>
      </c>
      <c r="G10890" s="1">
        <v>8</v>
      </c>
      <c r="H10890" s="1">
        <v>0</v>
      </c>
      <c r="I10890" s="1" t="s">
        <v>22122</v>
      </c>
      <c r="K10890" s="1" t="str">
        <f t="shared" si="675"/>
        <v>ㄗ</v>
      </c>
      <c r="L10890" s="1" t="str">
        <f t="shared" si="676"/>
        <v/>
      </c>
      <c r="M10890" s="1" t="str">
        <f t="shared" si="674"/>
        <v/>
      </c>
      <c r="P10890" s="1" t="s">
        <v>20</v>
      </c>
      <c r="R10890" s="1" t="s">
        <v>22123</v>
      </c>
      <c r="V10890" s="1" t="s">
        <v>22150</v>
      </c>
      <c r="AR10890" s="1" t="str">
        <f t="shared" si="677"/>
        <v>| [ㄗ](ㄗ.md) | [淄](淄.md) |  | zī | [名]
參見「淄水」條。
[動]
染黑、玷汙。《史記．卷四七．孔子世家》：「不曰堅乎，磨而不磷；不曰白乎，涅而不淄。」 |</v>
      </c>
    </row>
    <row r="10891" spans="1:44" hidden="1">
      <c r="A10891" s="1" t="s">
        <v>22151</v>
      </c>
      <c r="C10891" s="1">
        <v>1</v>
      </c>
      <c r="D10891" s="1" t="str">
        <f>"09383"</f>
        <v>09383</v>
      </c>
      <c r="E10891" s="1" t="s">
        <v>139</v>
      </c>
      <c r="F10891" s="1">
        <v>12</v>
      </c>
      <c r="G10891" s="1">
        <v>8</v>
      </c>
      <c r="H10891" s="1">
        <v>0</v>
      </c>
      <c r="I10891" s="1" t="s">
        <v>22122</v>
      </c>
      <c r="K10891" s="1" t="str">
        <f t="shared" si="675"/>
        <v>ㄗ</v>
      </c>
      <c r="L10891" s="1" t="str">
        <f t="shared" si="676"/>
        <v/>
      </c>
      <c r="M10891" s="1" t="str">
        <f t="shared" si="674"/>
        <v/>
      </c>
      <c r="P10891" s="1" t="s">
        <v>20</v>
      </c>
      <c r="R10891" s="1" t="s">
        <v>22123</v>
      </c>
      <c r="V10891" s="1" t="s">
        <v>22152</v>
      </c>
      <c r="AR10891" s="1" t="str">
        <f t="shared" si="677"/>
        <v>| [ㄗ](ㄗ.md) | [椔](椔.md) |  | zī | [名]
直立的枯木。《爾雅．釋木》：「木立死，椔。」 |</v>
      </c>
    </row>
    <row r="10892" spans="1:44" hidden="1">
      <c r="A10892" s="1" t="s">
        <v>22153</v>
      </c>
      <c r="C10892" s="1">
        <v>1</v>
      </c>
      <c r="D10892" s="1" t="str">
        <f>"09384"</f>
        <v>09384</v>
      </c>
      <c r="E10892" s="1" t="s">
        <v>37</v>
      </c>
      <c r="F10892" s="1">
        <v>12</v>
      </c>
      <c r="G10892" s="1">
        <v>8</v>
      </c>
      <c r="H10892" s="1">
        <v>1</v>
      </c>
      <c r="I10892" s="1" t="s">
        <v>22122</v>
      </c>
      <c r="K10892" s="1" t="str">
        <f t="shared" si="675"/>
        <v>ㄗ</v>
      </c>
      <c r="L10892" s="1" t="str">
        <f t="shared" si="676"/>
        <v/>
      </c>
      <c r="M10892" s="1" t="str">
        <f t="shared" si="674"/>
        <v/>
      </c>
      <c r="P10892" s="1" t="s">
        <v>20</v>
      </c>
      <c r="R10892" s="1" t="s">
        <v>22123</v>
      </c>
      <c r="V10892" s="1" t="s">
        <v>22154</v>
      </c>
      <c r="W10892" s="1" t="s">
        <v>22155</v>
      </c>
      <c r="AR10892" s="1" t="str">
        <f t="shared" si="677"/>
        <v>| [ㄗ](ㄗ.md) | [菑](菑.md) |  | zī | [名]
1.初開墾一年的田地。《爾雅．釋地》：「田一歲曰菑。」《淮南子．泰族》：「后稷墾草發菑，糞土樹穀，使五種各得其宜。」
2.泛指田。唐．王維〈積雨輞川莊作〉詩：「積雨空林煙火遲，蒸藜炊黍餉東菑。」
3.姓。如漢代有菑壯。
[動]
割草開墾。《書經．大誥》：「厥父菑，厥子乃弗肯播，矧肯穫。」 |</v>
      </c>
    </row>
    <row r="10893" spans="1:44" hidden="1">
      <c r="A10893" s="1" t="s">
        <v>22156</v>
      </c>
      <c r="C10893" s="1">
        <v>1</v>
      </c>
      <c r="D10893" s="1" t="str">
        <f>"09385"</f>
        <v>09385</v>
      </c>
      <c r="E10893" s="1" t="s">
        <v>725</v>
      </c>
      <c r="F10893" s="1">
        <v>14</v>
      </c>
      <c r="G10893" s="1">
        <v>8</v>
      </c>
      <c r="H10893" s="1">
        <v>0</v>
      </c>
      <c r="I10893" s="1" t="s">
        <v>22122</v>
      </c>
      <c r="K10893" s="1" t="str">
        <f t="shared" si="675"/>
        <v>ㄗ</v>
      </c>
      <c r="L10893" s="1" t="str">
        <f t="shared" si="676"/>
        <v/>
      </c>
      <c r="M10893" s="1" t="str">
        <f t="shared" si="674"/>
        <v/>
      </c>
      <c r="P10893" s="1" t="s">
        <v>20</v>
      </c>
      <c r="R10893" s="1" t="s">
        <v>22123</v>
      </c>
      <c r="V10893" s="1" t="s">
        <v>22157</v>
      </c>
      <c r="AR10893" s="1" t="str">
        <f t="shared" si="677"/>
        <v>| [ㄗ](ㄗ.md) | [緇](緇.md) |  | zī | [名]
1.黑色。漢．王充《論衡．程材》：「白紗入緇，不染自黑。」宋．陸游〈自小雲頂上雲頂寺〉詩：「素衣雖成緇，不為京洛塵。」
2.僧衣。《儒林外史》第八回：「自此更改姓名，削髮披緇去了。」
3.僧侶。唐．裴休〈唐故左街僧錄內供奉三教談論引駕大德安國寺上座賜紫方袍大達法師元秘塔碑銘〉：「詔和尚率緇屬迎真骨於靈山。」
[動]
染黑。《論語．陽貨》：「不曰白乎，涅而不緇。」漢．崔瑗〈座右銘〉：「在涅貴不緇，曖曖內含光。」
[形]
黑色的。《詩經．鄭風．緇衣》：「緇衣之宜兮，敝，予又改為兮。」 |</v>
      </c>
    </row>
    <row r="10894" spans="1:44" hidden="1">
      <c r="A10894" s="1" t="s">
        <v>22158</v>
      </c>
      <c r="C10894" s="1">
        <v>1</v>
      </c>
      <c r="D10894" s="1" t="str">
        <f>"09386"</f>
        <v>09386</v>
      </c>
      <c r="E10894" s="1" t="s">
        <v>71</v>
      </c>
      <c r="F10894" s="1">
        <v>15</v>
      </c>
      <c r="G10894" s="1">
        <v>8</v>
      </c>
      <c r="H10894" s="1">
        <v>0</v>
      </c>
      <c r="I10894" s="1" t="s">
        <v>22122</v>
      </c>
      <c r="K10894" s="1" t="str">
        <f t="shared" si="675"/>
        <v>ㄗ</v>
      </c>
      <c r="L10894" s="1" t="str">
        <f t="shared" si="676"/>
        <v/>
      </c>
      <c r="M10894" s="1" t="str">
        <f t="shared" si="674"/>
        <v/>
      </c>
      <c r="P10894" s="1" t="s">
        <v>20</v>
      </c>
      <c r="R10894" s="1" t="s">
        <v>22123</v>
      </c>
      <c r="V10894" s="1" t="s">
        <v>22159</v>
      </c>
      <c r="AR10894" s="1" t="str">
        <f t="shared" si="677"/>
        <v>| [ㄗ](ㄗ.md) | [輜](輜.md) |  | zī | [名]
古代一種前後都有帷幔的車。《說文解字．車部》：「輜，衣車也。」清．段玉裁．注：「衣車，謂有衣蔽之車也。」 |</v>
      </c>
    </row>
    <row r="10895" spans="1:44" hidden="1">
      <c r="A10895" s="1" t="s">
        <v>22160</v>
      </c>
      <c r="C10895" s="1">
        <v>1</v>
      </c>
      <c r="D10895" s="1" t="str">
        <f>"09387"</f>
        <v>09387</v>
      </c>
      <c r="E10895" s="1" t="s">
        <v>55</v>
      </c>
      <c r="F10895" s="1">
        <v>16</v>
      </c>
      <c r="G10895" s="1">
        <v>8</v>
      </c>
      <c r="H10895" s="1">
        <v>0</v>
      </c>
      <c r="I10895" s="1" t="s">
        <v>22122</v>
      </c>
      <c r="K10895" s="1" t="str">
        <f t="shared" si="675"/>
        <v>ㄗ</v>
      </c>
      <c r="L10895" s="1" t="str">
        <f t="shared" si="676"/>
        <v/>
      </c>
      <c r="M10895" s="1" t="str">
        <f t="shared" si="674"/>
        <v/>
      </c>
      <c r="P10895" s="1" t="s">
        <v>20</v>
      </c>
      <c r="R10895" s="1" t="s">
        <v>22123</v>
      </c>
      <c r="V10895" s="1" t="s">
        <v>22161</v>
      </c>
      <c r="AR10895" s="1" t="str">
        <f t="shared" si="677"/>
        <v>| [ㄗ](ㄗ.md) | [錙](錙.md) |  | zī | [名]
量詞。古代計算重量的單位。六銖為一錙，二十四銖為一兩。《說文解字．金部》：「錙，六銖也。」《淮南子．說山》：「有千金之璧，而無錙錘之礛諸。」漢．高誘．注：「六銖曰錙，八銖曰錘。」 |</v>
      </c>
    </row>
    <row r="10896" spans="1:44" hidden="1">
      <c r="A10896" s="1" t="s">
        <v>22162</v>
      </c>
      <c r="C10896" s="1">
        <v>1</v>
      </c>
      <c r="D10896" s="1" t="str">
        <f>"09388"</f>
        <v>09388</v>
      </c>
      <c r="E10896" s="1" t="s">
        <v>156</v>
      </c>
      <c r="F10896" s="1">
        <v>19</v>
      </c>
      <c r="G10896" s="1">
        <v>8</v>
      </c>
      <c r="H10896" s="1">
        <v>0</v>
      </c>
      <c r="I10896" s="1" t="s">
        <v>22122</v>
      </c>
      <c r="K10896" s="1" t="str">
        <f t="shared" si="675"/>
        <v>ㄗ</v>
      </c>
      <c r="L10896" s="1" t="str">
        <f t="shared" si="676"/>
        <v/>
      </c>
      <c r="M10896" s="1" t="str">
        <f t="shared" si="674"/>
        <v/>
      </c>
      <c r="P10896" s="1" t="s">
        <v>20</v>
      </c>
      <c r="R10896" s="1" t="s">
        <v>22123</v>
      </c>
      <c r="V10896" s="1" t="s">
        <v>22163</v>
      </c>
      <c r="AR10896" s="1" t="str">
        <f t="shared" si="677"/>
        <v>| [ㄗ](ㄗ.md) | [鯔](鯔.md) |  | zī | [名]
動物名。魚綱鯔科。頭部闊大，體長而側扁，鱗為櫛狀，背部暗灰色，腹部銀白色。生活於淺海和河口鹹水、淡水交界處，好食泥土。 |</v>
      </c>
    </row>
    <row r="10897" spans="1:44" hidden="1">
      <c r="A10897" s="1" t="s">
        <v>22164</v>
      </c>
      <c r="C10897" s="1">
        <v>1</v>
      </c>
      <c r="D10897" s="1" t="str">
        <f>"09389"</f>
        <v>09389</v>
      </c>
      <c r="E10897" s="1" t="s">
        <v>37</v>
      </c>
      <c r="F10897" s="1">
        <v>10</v>
      </c>
      <c r="G10897" s="1">
        <v>6</v>
      </c>
      <c r="H10897" s="1">
        <v>1</v>
      </c>
      <c r="I10897" s="1" t="s">
        <v>22122</v>
      </c>
      <c r="K10897" s="1" t="str">
        <f t="shared" si="675"/>
        <v>ㄗ</v>
      </c>
      <c r="L10897" s="1" t="str">
        <f t="shared" si="676"/>
        <v/>
      </c>
      <c r="M10897" s="1" t="str">
        <f t="shared" si="674"/>
        <v/>
      </c>
      <c r="P10897" s="1" t="s">
        <v>20</v>
      </c>
      <c r="R10897" s="1" t="s">
        <v>22123</v>
      </c>
      <c r="V10897" s="1" t="s">
        <v>22165</v>
      </c>
      <c r="W10897" s="1" t="s">
        <v>22166</v>
      </c>
      <c r="AR10897" s="1" t="str">
        <f t="shared" si="677"/>
        <v>| [ㄗ](ㄗ.md) | [茲](茲.md) |  | zī | [代]
此。如：「念茲在茲」。《論語．子罕》：「文王既沒，文不在茲乎？」
[副]
1.更加。通「滋」。《漢書．卷二七．五行志下》：「賦斂茲重，而百姓屈竭。」
2.現在。《史記．卷七一．樗里子甘茂傳》：「今臣生十二歲於茲矣，君其試臣，何遽叱乎？」
[名]
1.年、時。《孟子．滕文公下》：「今茲未能，請輕之，以待來年。」《文選．古詩十九首．生年不滿百》：「為樂當及時，何能待來茲。」
2.姓。如春秋時魯國有茲無還。 |</v>
      </c>
    </row>
    <row r="10898" spans="1:44" hidden="1">
      <c r="A10898" s="1" t="s">
        <v>22167</v>
      </c>
      <c r="C10898" s="1">
        <v>1</v>
      </c>
      <c r="D10898" s="1" t="str">
        <f>"09390"</f>
        <v>09390</v>
      </c>
      <c r="E10898" s="1" t="s">
        <v>129</v>
      </c>
      <c r="F10898" s="1">
        <v>12</v>
      </c>
      <c r="G10898" s="1">
        <v>9</v>
      </c>
      <c r="H10898" s="1">
        <v>0</v>
      </c>
      <c r="I10898" s="1" t="s">
        <v>22122</v>
      </c>
      <c r="K10898" s="1" t="str">
        <f t="shared" si="675"/>
        <v>ㄗ</v>
      </c>
      <c r="L10898" s="1" t="str">
        <f t="shared" si="676"/>
        <v/>
      </c>
      <c r="M10898" s="1" t="str">
        <f t="shared" si="674"/>
        <v/>
      </c>
      <c r="P10898" s="1" t="s">
        <v>20</v>
      </c>
      <c r="R10898" s="1" t="s">
        <v>22123</v>
      </c>
      <c r="V10898" s="1" t="s">
        <v>22168</v>
      </c>
      <c r="AR10898" s="1" t="str">
        <f t="shared" si="677"/>
        <v>| [ㄗ](ㄗ.md) | [滋](滋.md) |  | zī | [動]
1.生長、繁殖。如：「滋生」。《呂氏春秋．季夏紀．明理》：「草木庳小不滋，五穀萎敗不成。」
2.培植、培養。《楚辭．屈原．離騷》：「余既滋蘭之九畹兮，又樹蕙之百畝。」
3.引發、惹發。如：「滋事」。《文選．蘇武．詩四首之三》：「握手一長歎，淚為生別滋。」
4.潤澤。《文選．謝惠連．擣衣詩》：「白露滋園菊，秋風落庭槐。」唐．李商隱〈潭州〉詩：「湘淚淺深滋竹色，楚歌重疊怨蘭叢。」
5.補身體。如：「他身子十分虛弱，須好好滋補一番。」
6.北平方言。指噴射、冒。如：「管子裂了，直滋水。」
[形]
繁多、茂盛。《文選．潘岳．射雉賦》：「靡木不滋，無草不茂。」
[副]
更加。《孟子．公孫丑上》：「若是，則弟子之惑滋甚。」《史記．卷一一二．酷吏傳．序》：「法令滋章，盜賊多有。」
[名]
1.味道、美味。《漢書．卷六〇下．蔡邕傳》：「汦汦庶類，含甘吮滋。」唐．白居易〈效陶潛體詩〉一六首之四：「持玩已可悅，歡嘗有餘滋。」
2.汁液。《文選．揚雄．羽獵賦》：「方將上獵三靈之流，下決醴泉之滋。」《文選．左思．魏都賦》：「墨井鹽池，玄滋素液。」 |</v>
      </c>
    </row>
    <row r="10899" spans="1:44" hidden="1">
      <c r="A10899" s="1" t="s">
        <v>22169</v>
      </c>
      <c r="C10899" s="1">
        <v>1</v>
      </c>
      <c r="D10899" s="1" t="str">
        <f>"09391"</f>
        <v>09391</v>
      </c>
      <c r="E10899" s="1" t="s">
        <v>241</v>
      </c>
      <c r="F10899" s="1">
        <v>12</v>
      </c>
      <c r="G10899" s="1">
        <v>9</v>
      </c>
      <c r="H10899" s="1">
        <v>1</v>
      </c>
      <c r="I10899" s="1" t="s">
        <v>22122</v>
      </c>
      <c r="K10899" s="1" t="str">
        <f t="shared" si="675"/>
        <v>ㄗ</v>
      </c>
      <c r="L10899" s="1" t="str">
        <f t="shared" si="676"/>
        <v/>
      </c>
      <c r="M10899" s="1" t="str">
        <f t="shared" si="674"/>
        <v/>
      </c>
      <c r="P10899" s="1" t="s">
        <v>20</v>
      </c>
      <c r="R10899" s="1" t="s">
        <v>22123</v>
      </c>
      <c r="V10899" s="1" t="s">
        <v>22170</v>
      </c>
      <c r="W10899" s="1" t="s">
        <v>22171</v>
      </c>
      <c r="AR10899" s="1" t="str">
        <f t="shared" si="677"/>
        <v>| [ㄗ](ㄗ.md) | [孳](孳.md) |  | zī | [動]
滋生、繁殖。通「滋」。《漢書．卷二一．律曆志上》：「故陽氣施種於黃泉，孳萌萬物，為六氣元也。」《文選．鮑照．蕪城賦》：「孳貨鹽田，鏟利銅山。」
[副]
勤勞不息。通「孜」。《書經．泰誓》：「孳孳無怠，天將有立父母，民之有政有居。」《漢書．卷八五．谷永傳》：「夙夜孳孳，婁省無怠。」 |</v>
      </c>
    </row>
    <row r="10900" spans="1:44" hidden="1">
      <c r="A10900" s="1" t="s">
        <v>22172</v>
      </c>
      <c r="C10900" s="1">
        <v>1</v>
      </c>
      <c r="D10900" s="1" t="str">
        <f>"09392"</f>
        <v>09392</v>
      </c>
      <c r="E10900" s="1" t="s">
        <v>28</v>
      </c>
      <c r="F10900" s="1">
        <v>12</v>
      </c>
      <c r="G10900" s="1">
        <v>9</v>
      </c>
      <c r="H10900" s="1">
        <v>0</v>
      </c>
      <c r="I10900" s="1" t="s">
        <v>22122</v>
      </c>
      <c r="K10900" s="1" t="str">
        <f t="shared" si="675"/>
        <v>ㄗ</v>
      </c>
      <c r="L10900" s="1" t="str">
        <f t="shared" si="676"/>
        <v/>
      </c>
      <c r="M10900" s="1" t="str">
        <f t="shared" si="674"/>
        <v/>
      </c>
      <c r="P10900" s="1" t="s">
        <v>20</v>
      </c>
      <c r="R10900" s="1" t="s">
        <v>22123</v>
      </c>
      <c r="V10900" s="1" t="s">
        <v>22173</v>
      </c>
      <c r="AR10900" s="1" t="str">
        <f t="shared" si="677"/>
        <v>| [ㄗ](ㄗ.md) | [嗞](嗞.md) |  | zī | [歎]
表示感慨的語氣。《說文解字．口部》：「嗞，嗟也。」《戰國策．秦策五》：「嗟嗞乎，司空馬。」
[擬]
形容尖銳而連續不斷的聲音。如：「你別嗞嗞亂叫行不行？」 |</v>
      </c>
    </row>
    <row r="10901" spans="1:44" hidden="1">
      <c r="A10901" s="1" t="s">
        <v>22174</v>
      </c>
      <c r="C10901" s="1">
        <v>1</v>
      </c>
      <c r="D10901" s="1" t="str">
        <f>"09393"</f>
        <v>09393</v>
      </c>
      <c r="E10901" s="1" t="s">
        <v>190</v>
      </c>
      <c r="F10901" s="1">
        <v>12</v>
      </c>
      <c r="G10901" s="1">
        <v>9</v>
      </c>
      <c r="H10901" s="1">
        <v>0</v>
      </c>
      <c r="I10901" s="1" t="s">
        <v>22122</v>
      </c>
      <c r="K10901" s="1" t="str">
        <f t="shared" si="675"/>
        <v>ㄗ</v>
      </c>
      <c r="L10901" s="1" t="str">
        <f t="shared" si="676"/>
        <v/>
      </c>
      <c r="M10901" s="1" t="str">
        <f t="shared" si="674"/>
        <v/>
      </c>
      <c r="P10901" s="1" t="s">
        <v>20</v>
      </c>
      <c r="R10901" s="1" t="s">
        <v>22123</v>
      </c>
      <c r="V10901" s="1" t="s">
        <v>22175</v>
      </c>
      <c r="AR10901" s="1" t="str">
        <f t="shared" si="677"/>
        <v>| [ㄗ](ㄗ.md) | [嵫](嵫.md) |  | zī | 參見「崦嵫」條。 |</v>
      </c>
    </row>
    <row r="10902" spans="1:44" hidden="1">
      <c r="A10902" s="1" t="s">
        <v>22176</v>
      </c>
      <c r="C10902" s="1">
        <v>1</v>
      </c>
      <c r="D10902" s="1" t="str">
        <f>"09394"</f>
        <v>09394</v>
      </c>
      <c r="E10902" s="1" t="s">
        <v>55</v>
      </c>
      <c r="F10902" s="1">
        <v>17</v>
      </c>
      <c r="G10902" s="1">
        <v>9</v>
      </c>
      <c r="H10902" s="1">
        <v>0</v>
      </c>
      <c r="I10902" s="1" t="s">
        <v>22122</v>
      </c>
      <c r="K10902" s="1" t="str">
        <f t="shared" si="675"/>
        <v>ㄗ</v>
      </c>
      <c r="L10902" s="1" t="str">
        <f t="shared" si="676"/>
        <v/>
      </c>
      <c r="M10902" s="1" t="str">
        <f t="shared" si="674"/>
        <v/>
      </c>
      <c r="P10902" s="1" t="s">
        <v>20</v>
      </c>
      <c r="R10902" s="1" t="s">
        <v>22123</v>
      </c>
      <c r="V10902" s="1" t="s">
        <v>22177</v>
      </c>
      <c r="AR10902" s="1" t="str">
        <f t="shared" si="677"/>
        <v>| [ㄗ](ㄗ.md) | [鎡](鎡.md) |  | zī | 參見「鎡基」條。 |</v>
      </c>
    </row>
    <row r="10903" spans="1:44" hidden="1">
      <c r="A10903" s="1" t="s">
        <v>14119</v>
      </c>
      <c r="C10903" s="1">
        <v>1</v>
      </c>
      <c r="D10903" s="1" t="str">
        <f>"09395"</f>
        <v>09395</v>
      </c>
      <c r="E10903" s="1" t="s">
        <v>256</v>
      </c>
      <c r="F10903" s="1">
        <v>13</v>
      </c>
      <c r="G10903" s="1">
        <v>10</v>
      </c>
      <c r="H10903" s="1">
        <v>2</v>
      </c>
      <c r="I10903" s="1" t="s">
        <v>22122</v>
      </c>
      <c r="K10903" s="1" t="str">
        <f t="shared" si="675"/>
        <v>ㄗ</v>
      </c>
      <c r="L10903" s="1" t="str">
        <f t="shared" si="676"/>
        <v/>
      </c>
      <c r="M10903" s="1" t="str">
        <f t="shared" si="674"/>
        <v/>
      </c>
      <c r="P10903" s="1" t="s">
        <v>110</v>
      </c>
      <c r="R10903" s="1" t="s">
        <v>22123</v>
      </c>
      <c r="V10903" s="1" t="s">
        <v>111</v>
      </c>
      <c r="W10903" s="1" t="s">
        <v>22178</v>
      </c>
      <c r="AR10903" s="1" t="str">
        <f t="shared" si="677"/>
        <v>| [ㄗ](ㄗ.md) | [鄑](鄑.md) |  | zī | (一)之又音。 |</v>
      </c>
    </row>
    <row r="10904" spans="1:44" hidden="1">
      <c r="A10904" s="1" t="s">
        <v>22179</v>
      </c>
      <c r="C10904" s="1">
        <v>1</v>
      </c>
      <c r="D10904" s="1" t="str">
        <f>"09396"</f>
        <v>09396</v>
      </c>
      <c r="E10904" s="1" t="s">
        <v>331</v>
      </c>
      <c r="F10904" s="1">
        <v>13</v>
      </c>
      <c r="G10904" s="1">
        <v>6</v>
      </c>
      <c r="H10904" s="1">
        <v>1</v>
      </c>
      <c r="I10904" s="1" t="s">
        <v>22122</v>
      </c>
      <c r="K10904" s="1" t="str">
        <f t="shared" si="675"/>
        <v>ㄗ</v>
      </c>
      <c r="L10904" s="1" t="str">
        <f t="shared" si="676"/>
        <v/>
      </c>
      <c r="M10904" s="1" t="str">
        <f t="shared" si="674"/>
        <v/>
      </c>
      <c r="P10904" s="1" t="s">
        <v>20</v>
      </c>
      <c r="R10904" s="1" t="s">
        <v>22123</v>
      </c>
      <c r="V10904" s="1" t="s">
        <v>22180</v>
      </c>
      <c r="W10904" s="1" t="s">
        <v>22181</v>
      </c>
      <c r="AR10904" s="1" t="str">
        <f t="shared" si="677"/>
        <v>| [ㄗ](ㄗ.md) | [訾](訾.md) |  | zī | [名]
1.財貨。通「資」。《史記．卷一二二．杜周傳》：「及身久任事，至三公列，子孫尊官，家訾累數巨萬矣。」
2.參見「訾黃」條。
3.姓。如漢代有訾順。
[動]
計算、估量。通「貲」。《商君書．墾令》：「訾粟而稅，則上壹而民平。」《列子．說符》：「錢帛無量，財貨無訾。」 |</v>
      </c>
    </row>
    <row r="10905" spans="1:44" hidden="1">
      <c r="A10905" s="1" t="s">
        <v>22182</v>
      </c>
      <c r="C10905" s="1">
        <v>1</v>
      </c>
      <c r="D10905" s="1" t="str">
        <f>"09397"</f>
        <v>09397</v>
      </c>
      <c r="E10905" s="1" t="s">
        <v>505</v>
      </c>
      <c r="F10905" s="1">
        <v>13</v>
      </c>
      <c r="G10905" s="1">
        <v>6</v>
      </c>
      <c r="H10905" s="1">
        <v>0</v>
      </c>
      <c r="I10905" s="1" t="s">
        <v>22122</v>
      </c>
      <c r="K10905" s="1" t="str">
        <f t="shared" si="675"/>
        <v>ㄗ</v>
      </c>
      <c r="L10905" s="1" t="str">
        <f t="shared" si="676"/>
        <v/>
      </c>
      <c r="M10905" s="1" t="str">
        <f t="shared" si="674"/>
        <v/>
      </c>
      <c r="P10905" s="1" t="s">
        <v>20</v>
      </c>
      <c r="R10905" s="1" t="s">
        <v>22123</v>
      </c>
      <c r="V10905" s="1" t="s">
        <v>22183</v>
      </c>
      <c r="AR10905" s="1" t="str">
        <f t="shared" si="677"/>
        <v>| [ㄗ](ㄗ.md) | [貲](貲.md) |  | zī | [動]
1.罰繳財物。古代刑法強制犯人服徭役或繳納一定的財物，如秦律中有「貲盾」、「貲布」、「貲徭」。漢代則指對未成年者征收稅賦。《說文解字．貝部》：「貲，……也。從貝此聲。漢律：民不繇，貲錢二十三。」
2.計量、估量。如：「所費不貲」。《後漢書．卷六六．陳蕃傳》：「而采女數千，食肉衣綺，脂油粉黛，不可貲計。」唐．章懷太子．注：「貲，量也。」
[名]
財貨。通「資」。《明史．卷二五一．徐光啟傳》：「蓋棺之日，囊無餘貲。」 |</v>
      </c>
    </row>
    <row r="10906" spans="1:44" hidden="1">
      <c r="A10906" s="1" t="s">
        <v>22184</v>
      </c>
      <c r="C10906" s="1">
        <v>1</v>
      </c>
      <c r="D10906" s="1" t="str">
        <f>"09398"</f>
        <v>09398</v>
      </c>
      <c r="E10906" s="1" t="s">
        <v>1117</v>
      </c>
      <c r="F10906" s="1">
        <v>13</v>
      </c>
      <c r="G10906" s="1">
        <v>6</v>
      </c>
      <c r="H10906" s="1">
        <v>1</v>
      </c>
      <c r="I10906" s="1" t="s">
        <v>22122</v>
      </c>
      <c r="K10906" s="1" t="str">
        <f t="shared" si="675"/>
        <v>ㄗ</v>
      </c>
      <c r="L10906" s="1" t="str">
        <f t="shared" si="676"/>
        <v/>
      </c>
      <c r="M10906" s="1" t="str">
        <f t="shared" si="674"/>
        <v/>
      </c>
      <c r="P10906" s="1" t="s">
        <v>20</v>
      </c>
      <c r="R10906" s="1" t="s">
        <v>22123</v>
      </c>
      <c r="V10906" s="1" t="s">
        <v>22185</v>
      </c>
      <c r="W10906" s="1" t="s">
        <v>22186</v>
      </c>
      <c r="AR10906" s="1" t="str">
        <f t="shared" si="677"/>
        <v>| [ㄗ](ㄗ.md) | [觜](觜.md) |  | zī | [名]
1.貓頭鷹頭上的毛角。《說文解字．角部》：「觜，鴟舊頭上角觜也。」
2.星宿名。二十八星宿之一，為西方白虎七宿的第六宿。
3.星官名，觜宿之首，有三顆星，在西方屬獵戶座。《史記．卷二七．天官書》：「參為白虎……，小三星隅置，曰觜觿，為虎首。」《晉書．卷一一．天文志上》：「觜觿三星，為三軍之候，行軍之藏府，主葆旅，收斂萬物。」 |</v>
      </c>
    </row>
    <row r="10907" spans="1:44" hidden="1">
      <c r="A10907" s="1" t="s">
        <v>22187</v>
      </c>
      <c r="C10907" s="1">
        <v>1</v>
      </c>
      <c r="D10907" s="1" t="str">
        <f>"09399"</f>
        <v>09399</v>
      </c>
      <c r="E10907" s="1" t="s">
        <v>1078</v>
      </c>
      <c r="F10907" s="1">
        <v>16</v>
      </c>
      <c r="G10907" s="1">
        <v>6</v>
      </c>
      <c r="H10907" s="1">
        <v>0</v>
      </c>
      <c r="I10907" s="1" t="s">
        <v>22122</v>
      </c>
      <c r="K10907" s="1" t="str">
        <f t="shared" si="675"/>
        <v>ㄗ</v>
      </c>
      <c r="L10907" s="1" t="str">
        <f t="shared" si="676"/>
        <v/>
      </c>
      <c r="M10907" s="1" t="str">
        <f t="shared" si="674"/>
        <v/>
      </c>
      <c r="P10907" s="1" t="s">
        <v>20</v>
      </c>
      <c r="R10907" s="1" t="s">
        <v>22123</v>
      </c>
      <c r="V10907" s="1" t="s">
        <v>22188</v>
      </c>
      <c r="AR10907" s="1" t="str">
        <f t="shared" si="677"/>
        <v>| [ㄗ](ㄗ.md) | [髭](髭.md) |  | zī | [名]
嘴脣上邊的短鬚。《玉篇．髟部》：「髭，口上須。」如：「髭鬚」、「鬍髭」。五代十國南唐．李煜〈病中感懷〉詩：「夜鼎唯煎藥，朝髭半染霜。」
[形]
毛髮直豎張散的樣子。參見「髭髭著」條。 |</v>
      </c>
    </row>
    <row r="10908" spans="1:44" hidden="1">
      <c r="A10908" s="1" t="s">
        <v>22189</v>
      </c>
      <c r="C10908" s="1">
        <v>1</v>
      </c>
      <c r="D10908" s="1" t="str">
        <f>"09400"</f>
        <v>09400</v>
      </c>
      <c r="E10908" s="1" t="s">
        <v>592</v>
      </c>
      <c r="F10908" s="1">
        <v>21</v>
      </c>
      <c r="G10908" s="1">
        <v>6</v>
      </c>
      <c r="H10908" s="1">
        <v>0</v>
      </c>
      <c r="I10908" s="1" t="s">
        <v>22122</v>
      </c>
      <c r="K10908" s="1" t="str">
        <f t="shared" si="675"/>
        <v>ㄗ</v>
      </c>
      <c r="L10908" s="1" t="str">
        <f t="shared" si="676"/>
        <v/>
      </c>
      <c r="M10908" s="1" t="str">
        <f t="shared" si="674"/>
        <v/>
      </c>
      <c r="P10908" s="1" t="s">
        <v>20</v>
      </c>
      <c r="R10908" s="1" t="s">
        <v>22123</v>
      </c>
      <c r="V10908" s="1" t="s">
        <v>22190</v>
      </c>
      <c r="AR10908" s="1" t="str">
        <f t="shared" si="677"/>
        <v>| [ㄗ](ㄗ.md) | [齜](齜.md) |  | zī | [動]
上下牙齒相磨。《說文解字．齒部》：「齜，齒相齘也。」
[形]
張嘴露牙的樣子。《說文解字．齒部》：「齜，一曰開口見齒之貌。」 |</v>
      </c>
    </row>
    <row r="10909" spans="1:44" hidden="1">
      <c r="A10909" s="1" t="s">
        <v>13172</v>
      </c>
      <c r="C10909" s="1">
        <v>1</v>
      </c>
      <c r="D10909" s="1" t="str">
        <f>"09401"</f>
        <v>09401</v>
      </c>
      <c r="E10909" s="1" t="s">
        <v>12924</v>
      </c>
      <c r="F10909" s="1">
        <v>14</v>
      </c>
      <c r="G10909" s="1">
        <v>0</v>
      </c>
      <c r="H10909" s="1">
        <v>4</v>
      </c>
      <c r="I10909" s="1" t="s">
        <v>22122</v>
      </c>
      <c r="K10909" s="1" t="str">
        <f t="shared" si="675"/>
        <v>ㄗ</v>
      </c>
      <c r="L10909" s="1" t="str">
        <f t="shared" si="676"/>
        <v/>
      </c>
      <c r="M10909" s="1" t="str">
        <f t="shared" si="674"/>
        <v/>
      </c>
      <c r="P10909" s="1" t="s">
        <v>20</v>
      </c>
      <c r="R10909" s="1" t="s">
        <v>22123</v>
      </c>
      <c r="V10909" s="1" t="s">
        <v>22191</v>
      </c>
      <c r="W10909" s="1" t="s">
        <v>22192</v>
      </c>
      <c r="AR10909" s="1" t="str">
        <f t="shared" si="677"/>
        <v>| [ㄗ](ㄗ.md) | [齊](齊.md) |  | zī | [名]
1.衣服的下襬。《論語．鄉黨》：「攝齊下堂，鞠躬如也。」
2.黍稷等穀物。通「粢」。《詩經．小雅．甫田》：「以我齊明，與我犧羊。」《禮記．祭統》：「是故天子親耕於南郊，以共齊盛。」漢．鄭玄．注：「齊，或為粢。」 |</v>
      </c>
    </row>
    <row r="10910" spans="1:44" hidden="1">
      <c r="A10910" s="1" t="s">
        <v>22193</v>
      </c>
      <c r="C10910" s="1">
        <v>1</v>
      </c>
      <c r="D10910" s="1" t="str">
        <f>"09402"</f>
        <v>09402</v>
      </c>
      <c r="E10910" s="1" t="s">
        <v>12924</v>
      </c>
      <c r="F10910" s="1">
        <v>19</v>
      </c>
      <c r="G10910" s="1">
        <v>5</v>
      </c>
      <c r="H10910" s="1">
        <v>0</v>
      </c>
      <c r="I10910" s="1" t="s">
        <v>22122</v>
      </c>
      <c r="K10910" s="1" t="str">
        <f t="shared" si="675"/>
        <v>ㄗ</v>
      </c>
      <c r="L10910" s="1" t="str">
        <f t="shared" si="676"/>
        <v/>
      </c>
      <c r="M10910" s="1" t="str">
        <f t="shared" ref="M10910:M10941" si="678">MID(I10910, 3, 1)</f>
        <v/>
      </c>
      <c r="P10910" s="1" t="s">
        <v>20</v>
      </c>
      <c r="R10910" s="1" t="s">
        <v>22123</v>
      </c>
      <c r="V10910" s="1" t="s">
        <v>22194</v>
      </c>
      <c r="AR10910" s="1" t="str">
        <f t="shared" si="677"/>
        <v>| [ㄗ](ㄗ.md) | [齍](齍.md) |  | zī | [名]
1.盛黍稷的祭器。《說文解字．皿部》：「齍，黍稷器，所以祀者。」《周禮．天官．九嬪》：「凡祭祀，贊玉齍。」
2.黍稷。通「粢」。《周禮．春官．小宗伯》：「辨六齍之名物與其用，使六官之人共奉之。」漢．鄭玄．注：「齍，讀為粢。六粢謂六穀：黍、稷、稻、粱、麥、苽。」 |</v>
      </c>
    </row>
    <row r="10911" spans="1:44" hidden="1">
      <c r="A10911" s="1" t="s">
        <v>22195</v>
      </c>
      <c r="C10911" s="1">
        <v>1</v>
      </c>
      <c r="D10911" s="1" t="str">
        <f>"09403"</f>
        <v>09403</v>
      </c>
      <c r="E10911" s="1" t="s">
        <v>3437</v>
      </c>
      <c r="F10911" s="1">
        <v>16</v>
      </c>
      <c r="G10911" s="1">
        <v>3</v>
      </c>
      <c r="H10911" s="1">
        <v>0</v>
      </c>
      <c r="I10911" s="1" t="s">
        <v>22122</v>
      </c>
      <c r="K10911" s="1" t="str">
        <f t="shared" si="675"/>
        <v>ㄗ</v>
      </c>
      <c r="L10911" s="1" t="str">
        <f t="shared" si="676"/>
        <v/>
      </c>
      <c r="M10911" s="1" t="str">
        <f t="shared" si="678"/>
        <v/>
      </c>
      <c r="P10911" s="1" t="s">
        <v>20</v>
      </c>
      <c r="R10911" s="1" t="s">
        <v>22123</v>
      </c>
      <c r="V10911" s="1" t="s">
        <v>22196</v>
      </c>
      <c r="AR10911" s="1" t="str">
        <f t="shared" si="677"/>
        <v>| [ㄗ](ㄗ.md) | [鼒](鼒.md) |  | zī | [名]_x000D_
收口小的鼎。《爾雅．釋器》：「鼎絕大謂之鼐，圜弇上謂之鼒。」晉．郭璞．注：「鼎斂上而小口。」《詩經．周頌．絲衣》：「鼐鼎及鼒，兕觥其觩。」 |</v>
      </c>
    </row>
    <row r="10912" spans="1:44" hidden="1">
      <c r="A10912" s="1" t="s">
        <v>22261</v>
      </c>
      <c r="C10912" s="1">
        <v>1</v>
      </c>
      <c r="D10912" s="1" t="str">
        <f>"09432"</f>
        <v>09432</v>
      </c>
      <c r="E10912" s="1" t="s">
        <v>3892</v>
      </c>
      <c r="F10912" s="1">
        <v>5</v>
      </c>
      <c r="G10912" s="1">
        <v>3</v>
      </c>
      <c r="H10912" s="1">
        <v>0</v>
      </c>
      <c r="I10912" s="1" t="s">
        <v>22262</v>
      </c>
      <c r="K10912" s="1" t="str">
        <f t="shared" si="675"/>
        <v>ㄗ</v>
      </c>
      <c r="L10912" s="1" t="str">
        <f t="shared" si="676"/>
        <v>ㄚ</v>
      </c>
      <c r="M10912" s="1" t="str">
        <f t="shared" si="678"/>
        <v/>
      </c>
      <c r="P10912" s="1" t="s">
        <v>20</v>
      </c>
      <c r="R10912" s="1" t="s">
        <v>22263</v>
      </c>
      <c r="V10912" s="1" t="s">
        <v>22264</v>
      </c>
      <c r="AR10912" s="1" t="str">
        <f t="shared" si="677"/>
        <v>| [ㄗㄚ](ㄗㄚ.md) | [匝](匝.md) |  | zā | [名]
量詞。計算環繞圈數的單位。《文選．曹操．短歌行》：「繞樹三匝，何枝可依？」
[動]
圍繞、籠罩。唐．元結〈招陶別駕家陽華作〉詩：「清渠匝庭堂，出門仍灌田。」《鏡花緣》第八八回：「近披香雨，遠匝醲煙。」
[形]
滿、整。唐．沈佺期〈寒食〉詩：「普天皆滅焰，匝地盡藏煙。」 |</v>
      </c>
    </row>
    <row r="10913" spans="1:44" hidden="1">
      <c r="A10913" s="1" t="s">
        <v>22265</v>
      </c>
      <c r="C10913" s="1">
        <v>1</v>
      </c>
      <c r="D10913" s="1" t="str">
        <f>"09433"</f>
        <v>09433</v>
      </c>
      <c r="E10913" s="1" t="s">
        <v>28</v>
      </c>
      <c r="F10913" s="1">
        <v>8</v>
      </c>
      <c r="G10913" s="1">
        <v>5</v>
      </c>
      <c r="H10913" s="1">
        <v>0</v>
      </c>
      <c r="I10913" s="1" t="s">
        <v>22262</v>
      </c>
      <c r="K10913" s="1" t="str">
        <f t="shared" si="675"/>
        <v>ㄗ</v>
      </c>
      <c r="L10913" s="1" t="str">
        <f t="shared" si="676"/>
        <v>ㄚ</v>
      </c>
      <c r="M10913" s="1" t="str">
        <f t="shared" si="678"/>
        <v/>
      </c>
      <c r="P10913" s="1" t="s">
        <v>20</v>
      </c>
      <c r="R10913" s="1" t="s">
        <v>22263</v>
      </c>
      <c r="V10913" s="1" t="s">
        <v>22266</v>
      </c>
      <c r="AR10913" s="1" t="str">
        <f t="shared" si="677"/>
        <v>| [ㄗㄚ](ㄗㄚ.md) | [咂](咂.md) |  | zā | [動]
1.品嚐、吸吮。如：「咂一口酒」、「咂指頭」。元．無名氏《陳州糶米》第一折：「都是些喫倉廒的鼠耗，咂濃血的蒼蠅。」
2.體會。《兒女英雄傳》第四〇回：「我這半天細咂你這句話的滋味兒。」 |</v>
      </c>
    </row>
    <row r="10914" spans="1:44" hidden="1">
      <c r="A10914" s="1" t="s">
        <v>18026</v>
      </c>
      <c r="C10914" s="1">
        <v>1</v>
      </c>
      <c r="D10914" s="1" t="str">
        <f>"09434"</f>
        <v>09434</v>
      </c>
      <c r="E10914" s="1" t="s">
        <v>725</v>
      </c>
      <c r="F10914" s="1">
        <v>11</v>
      </c>
      <c r="G10914" s="1">
        <v>5</v>
      </c>
      <c r="H10914" s="1">
        <v>2</v>
      </c>
      <c r="I10914" s="1" t="s">
        <v>22262</v>
      </c>
      <c r="K10914" s="1" t="str">
        <f t="shared" si="675"/>
        <v>ㄗ</v>
      </c>
      <c r="L10914" s="1" t="str">
        <f t="shared" si="676"/>
        <v>ㄚ</v>
      </c>
      <c r="M10914" s="1" t="str">
        <f t="shared" si="678"/>
        <v/>
      </c>
      <c r="P10914" s="1" t="s">
        <v>20</v>
      </c>
      <c r="R10914" s="1" t="s">
        <v>22263</v>
      </c>
      <c r="V10914" s="1" t="s">
        <v>22267</v>
      </c>
      <c r="W10914" s="1" t="s">
        <v>22268</v>
      </c>
      <c r="AR10914" s="1" t="str">
        <f t="shared" si="677"/>
        <v>| [ㄗㄚ](ㄗㄚ.md) | [紮](紮.md) |  | zā | [動]
纏束。如：「包紮」、「紮彩」、「結紮」、「紮辮子」。 |</v>
      </c>
    </row>
    <row r="10915" spans="1:44" hidden="1">
      <c r="A10915" s="1" t="s">
        <v>15160</v>
      </c>
      <c r="C10915" s="1">
        <v>1</v>
      </c>
      <c r="D10915" s="1" t="str">
        <f>"09435"</f>
        <v>09435</v>
      </c>
      <c r="E10915" s="1" t="s">
        <v>28</v>
      </c>
      <c r="F10915" s="1">
        <v>11</v>
      </c>
      <c r="G10915" s="1">
        <v>8</v>
      </c>
      <c r="H10915" s="1">
        <v>1</v>
      </c>
      <c r="I10915" s="1" t="s">
        <v>22262</v>
      </c>
      <c r="K10915" s="1" t="str">
        <f t="shared" si="675"/>
        <v>ㄗ</v>
      </c>
      <c r="L10915" s="1" t="str">
        <f t="shared" si="676"/>
        <v>ㄚ</v>
      </c>
      <c r="M10915" s="1" t="str">
        <f t="shared" si="678"/>
        <v/>
      </c>
      <c r="P10915" s="1" t="s">
        <v>20</v>
      </c>
      <c r="R10915" s="1" t="s">
        <v>22263</v>
      </c>
      <c r="V10915" s="1" t="s">
        <v>22269</v>
      </c>
      <c r="W10915" s="1" t="s">
        <v>22270</v>
      </c>
      <c r="AR10915" s="1" t="str">
        <f t="shared" si="677"/>
        <v>| [ㄗㄚ](ㄗㄚ.md) | [唼](唼.md) |  | zā | [動]
食。《楚辭．宋玉．九辯》：「鳧鴈皆唼夫梁藻兮，鳳愈飄翔而高舉。」 |</v>
      </c>
    </row>
    <row r="10916" spans="1:44" hidden="1">
      <c r="A10916" s="1" t="s">
        <v>22271</v>
      </c>
      <c r="C10916" s="1">
        <v>1</v>
      </c>
      <c r="D10916" s="1" t="str">
        <f>"09436"</f>
        <v>09436</v>
      </c>
      <c r="E10916" s="1" t="s">
        <v>68</v>
      </c>
      <c r="F10916" s="1">
        <v>23</v>
      </c>
      <c r="G10916" s="1">
        <v>19</v>
      </c>
      <c r="H10916" s="1">
        <v>2</v>
      </c>
      <c r="I10916" s="1" t="s">
        <v>22262</v>
      </c>
      <c r="K10916" s="1" t="str">
        <f t="shared" si="675"/>
        <v>ㄗ</v>
      </c>
      <c r="L10916" s="1" t="str">
        <f t="shared" si="676"/>
        <v>ㄚ</v>
      </c>
      <c r="M10916" s="1" t="str">
        <f t="shared" si="678"/>
        <v/>
      </c>
      <c r="P10916" s="1" t="s">
        <v>110</v>
      </c>
      <c r="R10916" s="1" t="s">
        <v>22263</v>
      </c>
      <c r="V10916" s="1" t="s">
        <v>111</v>
      </c>
      <c r="W10916" s="1" t="s">
        <v>22272</v>
      </c>
      <c r="AR10916" s="1" t="str">
        <f t="shared" si="677"/>
        <v>| [ㄗㄚ](ㄗㄚ.md) | [臢](臢.md) |  | zā | (一)之又音。 |</v>
      </c>
    </row>
    <row r="10917" spans="1:44" hidden="1">
      <c r="A10917" s="1" t="s">
        <v>22359</v>
      </c>
      <c r="C10917" s="1">
        <v>1</v>
      </c>
      <c r="D10917" s="1" t="str">
        <f>"09474"</f>
        <v>09474</v>
      </c>
      <c r="E10917" s="1" t="s">
        <v>336</v>
      </c>
      <c r="F10917" s="1">
        <v>7</v>
      </c>
      <c r="G10917" s="1">
        <v>3</v>
      </c>
      <c r="H10917" s="1">
        <v>0</v>
      </c>
      <c r="I10917" s="1" t="s">
        <v>22360</v>
      </c>
      <c r="K10917" s="1" t="str">
        <f t="shared" si="675"/>
        <v>ㄗ</v>
      </c>
      <c r="L10917" s="1" t="str">
        <f t="shared" si="676"/>
        <v>ㄞ</v>
      </c>
      <c r="M10917" s="1" t="str">
        <f t="shared" si="678"/>
        <v/>
      </c>
      <c r="P10917" s="1" t="s">
        <v>20</v>
      </c>
      <c r="R10917" s="1" t="s">
        <v>22361</v>
      </c>
      <c r="V10917" s="1" t="s">
        <v>22362</v>
      </c>
      <c r="AR10917" s="1" t="str">
        <f t="shared" si="677"/>
        <v>| [ㄗㄞ](ㄗㄞ.md) | [災](災.md) |  | zāi | [名]
1.水、火、刀兵、荒旱等自然或人為禍害的通稱。如：「水災」、「火災」、「旱災」。《國語．周語下》：「古者，天災降戾，於是乎量資幣，權輕重，以振救民。」
2.不幸的事。如：「招災惹禍」、「沒病沒災」。
[形]
受禍害的。如：「災民」、「災區」。 |</v>
      </c>
    </row>
    <row r="10918" spans="1:44" hidden="1">
      <c r="A10918" s="1" t="s">
        <v>22146</v>
      </c>
      <c r="C10918" s="1">
        <v>1</v>
      </c>
      <c r="D10918" s="1" t="str">
        <f>"09475"</f>
        <v>09475</v>
      </c>
      <c r="E10918" s="1" t="s">
        <v>753</v>
      </c>
      <c r="F10918" s="1">
        <v>8</v>
      </c>
      <c r="G10918" s="1">
        <v>3</v>
      </c>
      <c r="H10918" s="1">
        <v>2</v>
      </c>
      <c r="I10918" s="1" t="s">
        <v>22360</v>
      </c>
      <c r="K10918" s="1" t="str">
        <f t="shared" si="675"/>
        <v>ㄗ</v>
      </c>
      <c r="L10918" s="1" t="str">
        <f t="shared" si="676"/>
        <v>ㄞ</v>
      </c>
      <c r="M10918" s="1" t="str">
        <f t="shared" si="678"/>
        <v/>
      </c>
      <c r="P10918" s="1" t="s">
        <v>20</v>
      </c>
      <c r="R10918" s="1" t="s">
        <v>22361</v>
      </c>
      <c r="V10918" s="1" t="s">
        <v>22363</v>
      </c>
      <c r="W10918" s="1" t="s">
        <v>22364</v>
      </c>
      <c r="AR10918" s="1" t="str">
        <f t="shared" si="677"/>
        <v>| [ㄗㄞ](ㄗㄞ.md) | [甾](甾.md) |  | zāi | [名]
災禍。《史記．卷六．秦始皇本紀》：「闡并天下，甾害絕息，永偃戎兵。」 |</v>
      </c>
    </row>
    <row r="10919" spans="1:44" hidden="1">
      <c r="A10919" s="1" t="s">
        <v>22153</v>
      </c>
      <c r="C10919" s="1">
        <v>1</v>
      </c>
      <c r="D10919" s="1" t="str">
        <f>"09476"</f>
        <v>09476</v>
      </c>
      <c r="E10919" s="1" t="s">
        <v>37</v>
      </c>
      <c r="F10919" s="1">
        <v>12</v>
      </c>
      <c r="G10919" s="1">
        <v>8</v>
      </c>
      <c r="H10919" s="1">
        <v>2</v>
      </c>
      <c r="I10919" s="1" t="s">
        <v>22360</v>
      </c>
      <c r="K10919" s="1" t="str">
        <f t="shared" si="675"/>
        <v>ㄗ</v>
      </c>
      <c r="L10919" s="1" t="str">
        <f t="shared" si="676"/>
        <v>ㄞ</v>
      </c>
      <c r="M10919" s="1" t="str">
        <f t="shared" si="678"/>
        <v/>
      </c>
      <c r="P10919" s="1" t="s">
        <v>20</v>
      </c>
      <c r="R10919" s="1" t="s">
        <v>22361</v>
      </c>
      <c r="V10919" s="1" t="s">
        <v>22365</v>
      </c>
      <c r="W10919" s="1" t="s">
        <v>22366</v>
      </c>
      <c r="AR10919" s="1" t="str">
        <f t="shared" si="677"/>
        <v>| [ㄗㄞ](ㄗㄞ.md) | [菑](菑.md) |  | zāi | [名]
災禍、禍害。通「災」。《詩經．大雅．生民》：「大拆不副，無菑無害。」《史記．卷三九．晉世家》：「天菑流行，國家代有，救菑恤鄰，國之道也。」 |</v>
      </c>
    </row>
    <row r="10920" spans="1:44" hidden="1">
      <c r="A10920" s="1" t="s">
        <v>22367</v>
      </c>
      <c r="C10920" s="1">
        <v>1</v>
      </c>
      <c r="D10920" s="1" t="str">
        <f>"09477"</f>
        <v>09477</v>
      </c>
      <c r="E10920" s="1" t="s">
        <v>28</v>
      </c>
      <c r="F10920" s="1">
        <v>9</v>
      </c>
      <c r="G10920" s="1">
        <v>6</v>
      </c>
      <c r="H10920" s="1">
        <v>0</v>
      </c>
      <c r="I10920" s="1" t="s">
        <v>22360</v>
      </c>
      <c r="K10920" s="1" t="str">
        <f t="shared" si="675"/>
        <v>ㄗ</v>
      </c>
      <c r="L10920" s="1" t="str">
        <f t="shared" si="676"/>
        <v>ㄞ</v>
      </c>
      <c r="M10920" s="1" t="str">
        <f t="shared" si="678"/>
        <v/>
      </c>
      <c r="P10920" s="1" t="s">
        <v>20</v>
      </c>
      <c r="R10920" s="1" t="s">
        <v>22361</v>
      </c>
      <c r="V10920" s="1" t="s">
        <v>22368</v>
      </c>
      <c r="AR10920" s="1" t="str">
        <f t="shared" si="677"/>
        <v>| [ㄗㄞ](ㄗㄞ.md) | [哉](哉.md) |  | zāi | [副]
始。《爾雅．釋詁》：「哉，始也。」
[助]
1.表示疑問或反問的語氣。如：「何足道哉！」《詩經．邶風．北門》：「天實為之，謂之何哉？」《孟子．滕文公下》：「陳仲子豈不誠廉士哉？」
2.表示驚嘆的語氣。如：「大哉中華！」。《文選．宋玉．風賦》：「快哉此風！寡人所與庶人共者邪？」唐．李白〈古風〉詩五九首之三：「秦王掃六合，虎視何雄哉！」
3.表示悲哀的語氣。如：「嗚呼哀哉！」
4.表示肯定的語氣。《左傳．宣公十一年》：「對曰：『猶可辭乎？』王曰：『可哉。』」
5.吳語。表示事情已經發生。同「了」。《海上花列傳》第一回：「比仔從前省得多哉。」 |</v>
      </c>
    </row>
    <row r="10921" spans="1:44" hidden="1">
      <c r="A10921" s="1" t="s">
        <v>22369</v>
      </c>
      <c r="C10921" s="1">
        <v>1</v>
      </c>
      <c r="D10921" s="1" t="str">
        <f>"09478"</f>
        <v>09478</v>
      </c>
      <c r="E10921" s="1" t="s">
        <v>139</v>
      </c>
      <c r="F10921" s="1">
        <v>10</v>
      </c>
      <c r="G10921" s="1">
        <v>6</v>
      </c>
      <c r="H10921" s="1">
        <v>0</v>
      </c>
      <c r="I10921" s="1" t="s">
        <v>22360</v>
      </c>
      <c r="K10921" s="1" t="str">
        <f t="shared" si="675"/>
        <v>ㄗ</v>
      </c>
      <c r="L10921" s="1" t="str">
        <f t="shared" si="676"/>
        <v>ㄞ</v>
      </c>
      <c r="M10921" s="1" t="str">
        <f t="shared" si="678"/>
        <v/>
      </c>
      <c r="P10921" s="1" t="s">
        <v>20</v>
      </c>
      <c r="R10921" s="1" t="s">
        <v>22361</v>
      </c>
      <c r="V10921" s="1" t="s">
        <v>22370</v>
      </c>
      <c r="AR10921" s="1" t="str">
        <f t="shared" si="677"/>
        <v>| [ㄗㄞ](ㄗㄞ.md) | [栽](栽.md) |  | zāi | [動]
1.種植。如：「栽樹」、「栽花」。唐．劉禹錫〈戲贈看花諸君子〉詩：「玄都觀裡桃千樹，盡是劉郎去後栽。」
2.安上。如：「栽牙刷」、「栽贓」。
3.跌倒。如：「栽跟頭」。《紅樓夢》第九六回：「只見黛玉身子往前一栽，『哇』的一聲，一口血直吐出來。」
[名]
可栽種的植物幼苗。如：「桃栽」、「樹栽」。 |</v>
      </c>
    </row>
    <row r="10922" spans="1:44" hidden="1">
      <c r="A10922" s="1" t="s">
        <v>22396</v>
      </c>
      <c r="C10922" s="1">
        <v>1</v>
      </c>
      <c r="D10922" s="1" t="str">
        <f>"09488"</f>
        <v>09488</v>
      </c>
      <c r="E10922" s="1" t="s">
        <v>558</v>
      </c>
      <c r="F10922" s="1">
        <v>15</v>
      </c>
      <c r="G10922" s="1">
        <v>11</v>
      </c>
      <c r="H10922" s="1">
        <v>0</v>
      </c>
      <c r="I10922" s="1" t="s">
        <v>22397</v>
      </c>
      <c r="K10922" s="1" t="str">
        <f t="shared" si="675"/>
        <v>ㄗ</v>
      </c>
      <c r="L10922" s="1" t="str">
        <f t="shared" si="676"/>
        <v>ㄠ</v>
      </c>
      <c r="M10922" s="1" t="str">
        <f t="shared" si="678"/>
        <v/>
      </c>
      <c r="P10922" s="1" t="s">
        <v>20</v>
      </c>
      <c r="R10922" s="1" t="s">
        <v>22398</v>
      </c>
      <c r="V10922" s="1" t="s">
        <v>22399</v>
      </c>
      <c r="AR10922" s="1" t="str">
        <f t="shared" si="677"/>
        <v>| [ㄗㄠ](ㄗㄠ.md) | [遭](遭.md) |  | zāo | [動]
1.遇、逢。如：「遭殃」、「遭逢毒手」。《後漢書．卷七九．儒林傳．張玄傳》：「今日相遭，真解矇矣！」
2.受。如：「慘遭淘汰」。唐．杜甫〈戲簡鄭廣文虔兼呈蘇司業源明〉詩：「醉則騎馬歸，頗遭官長罵。」
[名]
1.際遇。唐．柳宗元〈鈷鉧潭西小邱記〉：「書於石，所以賀茲丘之遭也。」
2.周圍。元．沙正卿〈一枝花．荒陂寒雁鳴〉曲：「愁和悶共淒涼廝纏繳，不離我周遭。」
3.量詞。計算事情次數的單位。相當於「回」、「次」。如：「頭一遭」。唐．孟郊〈寒地百姓吟〉：「華膏隔仙羅，虛遶千萬遭。」 |</v>
      </c>
    </row>
    <row r="10923" spans="1:44" hidden="1">
      <c r="A10923" s="1" t="s">
        <v>22400</v>
      </c>
      <c r="C10923" s="1">
        <v>1</v>
      </c>
      <c r="D10923" s="1" t="str">
        <f>"09489"</f>
        <v>09489</v>
      </c>
      <c r="E10923" s="1" t="s">
        <v>46</v>
      </c>
      <c r="F10923" s="1">
        <v>17</v>
      </c>
      <c r="G10923" s="1">
        <v>11</v>
      </c>
      <c r="H10923" s="1">
        <v>0</v>
      </c>
      <c r="I10923" s="1" t="s">
        <v>22397</v>
      </c>
      <c r="K10923" s="1" t="str">
        <f t="shared" si="675"/>
        <v>ㄗ</v>
      </c>
      <c r="L10923" s="1" t="str">
        <f t="shared" si="676"/>
        <v>ㄠ</v>
      </c>
      <c r="M10923" s="1" t="str">
        <f t="shared" si="678"/>
        <v/>
      </c>
      <c r="P10923" s="1" t="s">
        <v>20</v>
      </c>
      <c r="R10923" s="1" t="s">
        <v>22398</v>
      </c>
      <c r="V10923" s="1" t="s">
        <v>22401</v>
      </c>
      <c r="AR10923" s="1" t="str">
        <f t="shared" si="677"/>
        <v>| [ㄗㄠ](ㄗㄠ.md) | [糟](糟.md) |  | zāo | [名]
1.釀酒時濾下來的渣滓。如：「酒糟」。《文選．劉伶．酒德頌》：「奮髯踑踞，枕麴藉糟，無思無慮，其樂陶陶。」
2.比喻沒有價值的東西。參見「糟粕」條。
3.姓。如明代有糟士奇。
[動]
1.以酒醃漬食品。如：「糟魚」、「糟肉」。《晉書．卷七八．孔愉傳》：「公不見肉糟淹更堪久邪？」
2.不好、敗壞。如：「糟糕」、「他這學期的成績很糟」。《兒女英雄傳》第一一回：「這事更糟了，怎麼和尚腦袋上會長出辮子來呢？這不是野忿兒嗎！」
3.腐爛、腐朽。如：「布糟了。」、「椅腿兒糟了。」《孤本元明雜劇．裴度還帶．第三折》：「我則見梁漕椽爛柱根糟，這的是欠九分來待倒。」 |</v>
      </c>
    </row>
    <row r="10924" spans="1:44" hidden="1">
      <c r="A10924" s="1" t="s">
        <v>22402</v>
      </c>
      <c r="C10924" s="1">
        <v>1</v>
      </c>
      <c r="D10924" s="1" t="str">
        <f>"09490"</f>
        <v>09490</v>
      </c>
      <c r="E10924" s="1" t="s">
        <v>77</v>
      </c>
      <c r="F10924" s="1">
        <v>18</v>
      </c>
      <c r="G10924" s="1">
        <v>11</v>
      </c>
      <c r="H10924" s="1">
        <v>0</v>
      </c>
      <c r="I10924" s="1" t="s">
        <v>22397</v>
      </c>
      <c r="K10924" s="1" t="str">
        <f t="shared" si="675"/>
        <v>ㄗ</v>
      </c>
      <c r="L10924" s="1" t="str">
        <f t="shared" si="676"/>
        <v>ㄠ</v>
      </c>
      <c r="M10924" s="1" t="str">
        <f t="shared" si="678"/>
        <v/>
      </c>
      <c r="P10924" s="1" t="s">
        <v>20</v>
      </c>
      <c r="R10924" s="1" t="s">
        <v>22398</v>
      </c>
      <c r="V10924" s="1" t="s">
        <v>22403</v>
      </c>
      <c r="AR10924" s="1" t="str">
        <f t="shared" si="677"/>
        <v>| [ㄗㄠ](ㄗㄠ.md) | [蹧](蹧.md) |  | zāo | 參見「蹧蹋」、「蹧踐」等條。 |</v>
      </c>
    </row>
    <row r="10925" spans="1:44" hidden="1">
      <c r="A10925" s="1" t="s">
        <v>22457</v>
      </c>
      <c r="C10925" s="1">
        <v>1</v>
      </c>
      <c r="D10925" s="1" t="str">
        <f>"09513"</f>
        <v>09513</v>
      </c>
      <c r="E10925" s="1" t="s">
        <v>256</v>
      </c>
      <c r="F10925" s="1">
        <v>11</v>
      </c>
      <c r="G10925" s="1">
        <v>8</v>
      </c>
      <c r="H10925" s="1">
        <v>0</v>
      </c>
      <c r="I10925" s="1" t="s">
        <v>22458</v>
      </c>
      <c r="K10925" s="1" t="str">
        <f t="shared" si="675"/>
        <v>ㄗ</v>
      </c>
      <c r="L10925" s="1" t="str">
        <f t="shared" si="676"/>
        <v>ㄡ</v>
      </c>
      <c r="M10925" s="1" t="str">
        <f t="shared" si="678"/>
        <v/>
      </c>
      <c r="P10925" s="1" t="s">
        <v>20</v>
      </c>
      <c r="R10925" s="1" t="s">
        <v>22459</v>
      </c>
      <c r="V10925" s="1" t="s">
        <v>22460</v>
      </c>
      <c r="AR10925" s="1" t="str">
        <f t="shared" si="677"/>
        <v>| [ㄗㄡ](ㄗㄡ.md) | [郰](郰.md) |  | zōu | [名]
地名。春秋時魯國邑地。故址在今大陸地區山東省曲阜縣東南的郰城，為孔子的故里。 |</v>
      </c>
    </row>
    <row r="10926" spans="1:44" hidden="1">
      <c r="A10926" s="1" t="s">
        <v>22461</v>
      </c>
      <c r="C10926" s="1">
        <v>1</v>
      </c>
      <c r="D10926" s="1" t="str">
        <f>"09514"</f>
        <v>09514</v>
      </c>
      <c r="E10926" s="1" t="s">
        <v>24</v>
      </c>
      <c r="F10926" s="1">
        <v>11</v>
      </c>
      <c r="G10926" s="1">
        <v>8</v>
      </c>
      <c r="H10926" s="1">
        <v>0</v>
      </c>
      <c r="I10926" s="1" t="s">
        <v>22458</v>
      </c>
      <c r="K10926" s="1" t="str">
        <f t="shared" si="675"/>
        <v>ㄗ</v>
      </c>
      <c r="L10926" s="1" t="str">
        <f t="shared" si="676"/>
        <v>ㄡ</v>
      </c>
      <c r="M10926" s="1" t="str">
        <f t="shared" si="678"/>
        <v/>
      </c>
      <c r="P10926" s="1" t="s">
        <v>20</v>
      </c>
      <c r="R10926" s="1" t="s">
        <v>22459</v>
      </c>
      <c r="V10926" s="1" t="s">
        <v>22462</v>
      </c>
      <c r="AR10926" s="1" t="str">
        <f t="shared" si="677"/>
        <v>| [ㄗㄡ](ㄗㄡ.md) | [掫](掫.md) |  | zōu | [動]
巡夜打更。《說文解字．手部》：「掫，夜戒守有所擊。」《左傳．昭公二十年》：「賓將掫，主人辭。」晉．杜預．注：「掫，行夜。」 |</v>
      </c>
    </row>
    <row r="10927" spans="1:44" hidden="1">
      <c r="A10927" s="1" t="s">
        <v>22463</v>
      </c>
      <c r="C10927" s="1">
        <v>1</v>
      </c>
      <c r="D10927" s="1" t="str">
        <f>"09515"</f>
        <v>09515</v>
      </c>
      <c r="E10927" s="1" t="s">
        <v>691</v>
      </c>
      <c r="F10927" s="1">
        <v>11</v>
      </c>
      <c r="G10927" s="1">
        <v>8</v>
      </c>
      <c r="H10927" s="1">
        <v>0</v>
      </c>
      <c r="I10927" s="1" t="s">
        <v>22458</v>
      </c>
      <c r="K10927" s="1" t="str">
        <f t="shared" si="675"/>
        <v>ㄗ</v>
      </c>
      <c r="L10927" s="1" t="str">
        <f t="shared" si="676"/>
        <v>ㄡ</v>
      </c>
      <c r="M10927" s="1" t="str">
        <f t="shared" si="678"/>
        <v/>
      </c>
      <c r="P10927" s="1" t="s">
        <v>20</v>
      </c>
      <c r="R10927" s="1" t="s">
        <v>22459</v>
      </c>
      <c r="V10927" s="1" t="s">
        <v>22464</v>
      </c>
      <c r="AR10927" s="1" t="str">
        <f t="shared" si="677"/>
        <v>| [ㄗㄡ](ㄗㄡ.md) | [陬](陬.md) |  | zōu | [名]
1.角落。如：「城陬」。《聊齋志異．卷四．辛十四娘》：「忽憶堂陬撲滿，常見十四娘投錢於中。」
2.山腳。如：「山陬」。宋．楊萬里〈次日醉歸〉詩：「歸路意昏昏，落日在嶺陬。」
3.偏遠的地方。《文選．左思．吳都賦》：「其荒陬譎詭，則有龍穴內蒸，雲雨所儲。」
4.聚落、聚居之處。《文選．左思．魏都賦》：「蠻陬夷落，譯導而通。」 |</v>
      </c>
    </row>
    <row r="10928" spans="1:44" hidden="1">
      <c r="A10928" s="1" t="s">
        <v>22465</v>
      </c>
      <c r="C10928" s="1">
        <v>1</v>
      </c>
      <c r="D10928" s="1" t="str">
        <f>"09516"</f>
        <v>09516</v>
      </c>
      <c r="E10928" s="1" t="s">
        <v>139</v>
      </c>
      <c r="F10928" s="1">
        <v>12</v>
      </c>
      <c r="G10928" s="1">
        <v>8</v>
      </c>
      <c r="H10928" s="1">
        <v>0</v>
      </c>
      <c r="I10928" s="1" t="s">
        <v>22458</v>
      </c>
      <c r="K10928" s="1" t="str">
        <f t="shared" si="675"/>
        <v>ㄗ</v>
      </c>
      <c r="L10928" s="1" t="str">
        <f t="shared" si="676"/>
        <v>ㄡ</v>
      </c>
      <c r="M10928" s="1" t="str">
        <f t="shared" si="678"/>
        <v/>
      </c>
      <c r="P10928" s="1" t="s">
        <v>20</v>
      </c>
      <c r="R10928" s="1" t="s">
        <v>22459</v>
      </c>
      <c r="V10928" s="1" t="s">
        <v>22466</v>
      </c>
      <c r="AR10928" s="1" t="str">
        <f t="shared" si="677"/>
        <v>| [ㄗㄡ](ㄗㄡ.md) | [棸](棸.md) |  | zōu | [名]
姓。如晉代有棸籌。 |</v>
      </c>
    </row>
    <row r="10929" spans="1:44" hidden="1">
      <c r="A10929" s="1" t="s">
        <v>22467</v>
      </c>
      <c r="C10929" s="1">
        <v>1</v>
      </c>
      <c r="D10929" s="1" t="str">
        <f>"09517"</f>
        <v>09517</v>
      </c>
      <c r="E10929" s="1" t="s">
        <v>139</v>
      </c>
      <c r="F10929" s="1">
        <v>12</v>
      </c>
      <c r="G10929" s="1">
        <v>8</v>
      </c>
      <c r="H10929" s="1">
        <v>0</v>
      </c>
      <c r="I10929" s="1" t="s">
        <v>22458</v>
      </c>
      <c r="K10929" s="1" t="str">
        <f t="shared" si="675"/>
        <v>ㄗ</v>
      </c>
      <c r="L10929" s="1" t="str">
        <f t="shared" si="676"/>
        <v>ㄡ</v>
      </c>
      <c r="M10929" s="1" t="str">
        <f t="shared" si="678"/>
        <v/>
      </c>
      <c r="P10929" s="1" t="s">
        <v>20</v>
      </c>
      <c r="R10929" s="1" t="s">
        <v>22459</v>
      </c>
      <c r="V10929" s="1" t="s">
        <v>22468</v>
      </c>
      <c r="AR10929" s="1" t="str">
        <f t="shared" si="677"/>
        <v>| [ㄗㄡ](ㄗㄡ.md) | [棷](棷.md) |  | zōu | [名]
木柴、柴火。《說文解字．木部》：「棷，木薪也。」 |</v>
      </c>
    </row>
    <row r="10930" spans="1:44" hidden="1">
      <c r="A10930" s="1" t="s">
        <v>22469</v>
      </c>
      <c r="C10930" s="1">
        <v>1</v>
      </c>
      <c r="D10930" s="1" t="str">
        <f>"09518"</f>
        <v>09518</v>
      </c>
      <c r="E10930" s="1" t="s">
        <v>37</v>
      </c>
      <c r="F10930" s="1">
        <v>12</v>
      </c>
      <c r="G10930" s="1">
        <v>8</v>
      </c>
      <c r="H10930" s="1">
        <v>0</v>
      </c>
      <c r="I10930" s="1" t="s">
        <v>22458</v>
      </c>
      <c r="K10930" s="1" t="str">
        <f t="shared" si="675"/>
        <v>ㄗ</v>
      </c>
      <c r="L10930" s="1" t="str">
        <f t="shared" si="676"/>
        <v>ㄡ</v>
      </c>
      <c r="M10930" s="1" t="str">
        <f t="shared" si="678"/>
        <v/>
      </c>
      <c r="P10930" s="1" t="s">
        <v>20</v>
      </c>
      <c r="R10930" s="1" t="s">
        <v>22459</v>
      </c>
      <c r="V10930" s="1" t="s">
        <v>22470</v>
      </c>
      <c r="AR10930" s="1" t="str">
        <f t="shared" si="677"/>
        <v>| [ㄗㄡ](ㄗㄡ.md) | [菆](菆.md) |  | zōu | [名]
1.草莖。《集韻．平聲．侯韻》：「菆，莖也。」《儀禮．既夕禮》：「御以蒲菆。」漢．鄭玄．注：「蒲菆，牡蒲莖。」
2.好箭、利箭。《左傳．宣公十二年》：「樂伯曰：『吾聞致師者，左射以菆。』」晉．杜預．注：「菆，矢之善者。」
[形]
雜草叢生的。《文選．潘岳．西征賦》：「感市閭之菆井，歎尸韓之舊處。」 |</v>
      </c>
    </row>
    <row r="10931" spans="1:44" hidden="1">
      <c r="A10931" s="1" t="s">
        <v>22471</v>
      </c>
      <c r="C10931" s="1">
        <v>1</v>
      </c>
      <c r="D10931" s="1" t="str">
        <f>"09519"</f>
        <v>09519</v>
      </c>
      <c r="E10931" s="1" t="s">
        <v>725</v>
      </c>
      <c r="F10931" s="1">
        <v>14</v>
      </c>
      <c r="G10931" s="1">
        <v>8</v>
      </c>
      <c r="H10931" s="1">
        <v>0</v>
      </c>
      <c r="I10931" s="1" t="s">
        <v>22458</v>
      </c>
      <c r="K10931" s="1" t="str">
        <f t="shared" si="675"/>
        <v>ㄗ</v>
      </c>
      <c r="L10931" s="1" t="str">
        <f t="shared" si="676"/>
        <v>ㄡ</v>
      </c>
      <c r="M10931" s="1" t="str">
        <f t="shared" si="678"/>
        <v/>
      </c>
      <c r="P10931" s="1" t="s">
        <v>20</v>
      </c>
      <c r="R10931" s="1" t="s">
        <v>22459</v>
      </c>
      <c r="V10931" s="1" t="s">
        <v>22472</v>
      </c>
      <c r="AR10931" s="1" t="str">
        <f t="shared" si="677"/>
        <v>| [ㄗㄡ](ㄗㄡ.md) | [緅](緅.md) |  | zōu | [形]
青赤色的。唐．柳宗元〈故襄陽丞趙君墓誌〉：「緋衣緅衾。」 |</v>
      </c>
    </row>
    <row r="10932" spans="1:44" hidden="1">
      <c r="A10932" s="1" t="s">
        <v>22473</v>
      </c>
      <c r="C10932" s="1">
        <v>1</v>
      </c>
      <c r="D10932" s="1" t="str">
        <f>"09520"</f>
        <v>09520</v>
      </c>
      <c r="E10932" s="1" t="s">
        <v>331</v>
      </c>
      <c r="F10932" s="1">
        <v>15</v>
      </c>
      <c r="G10932" s="1">
        <v>8</v>
      </c>
      <c r="H10932" s="1">
        <v>0</v>
      </c>
      <c r="I10932" s="1" t="s">
        <v>22458</v>
      </c>
      <c r="K10932" s="1" t="str">
        <f t="shared" si="675"/>
        <v>ㄗ</v>
      </c>
      <c r="L10932" s="1" t="str">
        <f t="shared" si="676"/>
        <v>ㄡ</v>
      </c>
      <c r="M10932" s="1" t="str">
        <f t="shared" si="678"/>
        <v/>
      </c>
      <c r="P10932" s="1" t="s">
        <v>20</v>
      </c>
      <c r="R10932" s="1" t="s">
        <v>22459</v>
      </c>
      <c r="V10932" s="1" t="s">
        <v>22474</v>
      </c>
      <c r="AR10932" s="1" t="str">
        <f t="shared" si="677"/>
        <v>| [ㄗㄡ](ㄗㄡ.md) | [諏](諏.md) |  | zōu | [動]
1.商量、諮詢。《國語．晉語四》：「諏於蔡原而訪於辛尹。」《文選．諸葛亮．出師表》：「陛下亦宜自課，以諮諏善道，察納雅言。」
2.選擇。《儀禮．特牲饋食禮》：「特牲饋食之禮，不諏日。」 |</v>
      </c>
    </row>
    <row r="10933" spans="1:44" hidden="1">
      <c r="A10933" s="1" t="s">
        <v>22475</v>
      </c>
      <c r="C10933" s="1">
        <v>1</v>
      </c>
      <c r="D10933" s="1" t="str">
        <f>"09521"</f>
        <v>09521</v>
      </c>
      <c r="E10933" s="1" t="s">
        <v>256</v>
      </c>
      <c r="F10933" s="1">
        <v>17</v>
      </c>
      <c r="G10933" s="1">
        <v>14</v>
      </c>
      <c r="H10933" s="1">
        <v>0</v>
      </c>
      <c r="I10933" s="1" t="s">
        <v>22458</v>
      </c>
      <c r="K10933" s="1" t="str">
        <f t="shared" si="675"/>
        <v>ㄗ</v>
      </c>
      <c r="L10933" s="1" t="str">
        <f t="shared" si="676"/>
        <v>ㄡ</v>
      </c>
      <c r="M10933" s="1" t="str">
        <f t="shared" si="678"/>
        <v/>
      </c>
      <c r="P10933" s="1" t="s">
        <v>20</v>
      </c>
      <c r="R10933" s="1" t="s">
        <v>22459</v>
      </c>
      <c r="V10933" s="1" t="s">
        <v>22476</v>
      </c>
      <c r="AR10933" s="1" t="str">
        <f t="shared" si="677"/>
        <v>| [ㄗㄡ](ㄗㄡ.md) | [鄹](鄹.md) |  | zōu | [名]
1.國名。同「鄒」。
2.地名。同「郰」。 |</v>
      </c>
    </row>
    <row r="10934" spans="1:44" hidden="1">
      <c r="A10934" s="1" t="s">
        <v>22477</v>
      </c>
      <c r="C10934" s="1">
        <v>1</v>
      </c>
      <c r="D10934" s="1" t="str">
        <f>"09522"</f>
        <v>09522</v>
      </c>
      <c r="E10934" s="1" t="s">
        <v>156</v>
      </c>
      <c r="F10934" s="1">
        <v>19</v>
      </c>
      <c r="G10934" s="1">
        <v>8</v>
      </c>
      <c r="H10934" s="1">
        <v>0</v>
      </c>
      <c r="I10934" s="1" t="s">
        <v>22458</v>
      </c>
      <c r="K10934" s="1" t="str">
        <f t="shared" si="675"/>
        <v>ㄗ</v>
      </c>
      <c r="L10934" s="1" t="str">
        <f t="shared" si="676"/>
        <v>ㄡ</v>
      </c>
      <c r="M10934" s="1" t="str">
        <f t="shared" si="678"/>
        <v/>
      </c>
      <c r="P10934" s="1" t="s">
        <v>20</v>
      </c>
      <c r="R10934" s="1" t="s">
        <v>22459</v>
      </c>
      <c r="V10934" s="1" t="s">
        <v>22478</v>
      </c>
      <c r="AR10934" s="1" t="str">
        <f t="shared" si="677"/>
        <v>| [ㄗㄡ](ㄗㄡ.md) | [鯫](鯫.md) |  | zōu | [名]
1.一種白魚。《說文解字．魚部》：「鯫，白魚也。」
2.一種小魚。《集韻．平聲．侯韻》：「鯫，小魚也。」
[形]
小。《集韻．上聲．厚韻》：「鯫，一曰小也。」 |</v>
      </c>
    </row>
    <row r="10935" spans="1:44" hidden="1">
      <c r="A10935" s="1" t="s">
        <v>22479</v>
      </c>
      <c r="C10935" s="1">
        <v>1</v>
      </c>
      <c r="D10935" s="1" t="str">
        <f>"09523"</f>
        <v>09523</v>
      </c>
      <c r="E10935" s="1" t="s">
        <v>592</v>
      </c>
      <c r="F10935" s="1">
        <v>23</v>
      </c>
      <c r="G10935" s="1">
        <v>8</v>
      </c>
      <c r="H10935" s="1">
        <v>0</v>
      </c>
      <c r="I10935" s="1" t="s">
        <v>22458</v>
      </c>
      <c r="K10935" s="1" t="str">
        <f t="shared" si="675"/>
        <v>ㄗ</v>
      </c>
      <c r="L10935" s="1" t="str">
        <f t="shared" si="676"/>
        <v>ㄡ</v>
      </c>
      <c r="M10935" s="1" t="str">
        <f t="shared" si="678"/>
        <v/>
      </c>
      <c r="P10935" s="1" t="s">
        <v>20</v>
      </c>
      <c r="R10935" s="1" t="s">
        <v>22459</v>
      </c>
      <c r="V10935" s="1" t="s">
        <v>22480</v>
      </c>
      <c r="AR10935" s="1" t="str">
        <f t="shared" si="677"/>
        <v>| [ㄗㄡ](ㄗㄡ.md) | [齱](齱.md) |  | zōu | [形]
齱齵：牙齒歪斜不正。《說文解字．齒部》：「齱，齱齵，齒不正也。」 |</v>
      </c>
    </row>
    <row r="10936" spans="1:44" hidden="1">
      <c r="A10936" s="1" t="s">
        <v>22481</v>
      </c>
      <c r="C10936" s="1">
        <v>1</v>
      </c>
      <c r="D10936" s="1" t="str">
        <f>"09524"</f>
        <v>09524</v>
      </c>
      <c r="E10936" s="1" t="s">
        <v>256</v>
      </c>
      <c r="F10936" s="1">
        <v>13</v>
      </c>
      <c r="G10936" s="1">
        <v>10</v>
      </c>
      <c r="H10936" s="1">
        <v>0</v>
      </c>
      <c r="I10936" s="1" t="s">
        <v>22458</v>
      </c>
      <c r="K10936" s="1" t="str">
        <f t="shared" si="675"/>
        <v>ㄗ</v>
      </c>
      <c r="L10936" s="1" t="str">
        <f t="shared" si="676"/>
        <v>ㄡ</v>
      </c>
      <c r="M10936" s="1" t="str">
        <f t="shared" si="678"/>
        <v/>
      </c>
      <c r="P10936" s="1" t="s">
        <v>20</v>
      </c>
      <c r="R10936" s="1" t="s">
        <v>22459</v>
      </c>
      <c r="V10936" s="1" t="s">
        <v>22482</v>
      </c>
      <c r="AR10936" s="1" t="str">
        <f t="shared" si="677"/>
        <v>| [ㄗㄡ](ㄗㄡ.md) | [鄒](鄒.md) |  | zōu | [名]
1.國名。春秋時邾國，故址在今大陸地區山東省鄒縣地，戰國時改為鄒，為楚所滅。
2.姓。如明代有鄒允隆。 |</v>
      </c>
    </row>
    <row r="10937" spans="1:44" hidden="1">
      <c r="A10937" s="1" t="s">
        <v>22483</v>
      </c>
      <c r="C10937" s="1">
        <v>1</v>
      </c>
      <c r="D10937" s="1" t="str">
        <f>"09525"</f>
        <v>09525</v>
      </c>
      <c r="E10937" s="1" t="s">
        <v>331</v>
      </c>
      <c r="F10937" s="1">
        <v>17</v>
      </c>
      <c r="G10937" s="1">
        <v>10</v>
      </c>
      <c r="H10937" s="1">
        <v>0</v>
      </c>
      <c r="I10937" s="1" t="s">
        <v>22458</v>
      </c>
      <c r="K10937" s="1" t="str">
        <f t="shared" si="675"/>
        <v>ㄗ</v>
      </c>
      <c r="L10937" s="1" t="str">
        <f t="shared" si="676"/>
        <v>ㄡ</v>
      </c>
      <c r="M10937" s="1" t="str">
        <f t="shared" si="678"/>
        <v/>
      </c>
      <c r="P10937" s="1" t="s">
        <v>20</v>
      </c>
      <c r="R10937" s="1" t="s">
        <v>22459</v>
      </c>
      <c r="V10937" s="1" t="s">
        <v>22484</v>
      </c>
      <c r="AR10937" s="1" t="str">
        <f t="shared" si="677"/>
        <v>| [ㄗㄡ](ㄗㄡ.md) | [謅](謅.md) |  | zōu | [動]
1.胡說。如：「瞎謅」、「滿口胡謅」。
2.編造。《儒林外史》第一一回：「閒暇也教他謅幾句詩，以為笑話。」 |</v>
      </c>
    </row>
    <row r="10938" spans="1:44" hidden="1">
      <c r="A10938" s="1" t="s">
        <v>22485</v>
      </c>
      <c r="C10938" s="1">
        <v>1</v>
      </c>
      <c r="D10938" s="1" t="str">
        <f>"09526"</f>
        <v>09526</v>
      </c>
      <c r="E10938" s="1" t="s">
        <v>319</v>
      </c>
      <c r="F10938" s="1">
        <v>20</v>
      </c>
      <c r="G10938" s="1">
        <v>10</v>
      </c>
      <c r="H10938" s="1">
        <v>0</v>
      </c>
      <c r="I10938" s="1" t="s">
        <v>22458</v>
      </c>
      <c r="K10938" s="1" t="str">
        <f t="shared" si="675"/>
        <v>ㄗ</v>
      </c>
      <c r="L10938" s="1" t="str">
        <f t="shared" si="676"/>
        <v>ㄡ</v>
      </c>
      <c r="M10938" s="1" t="str">
        <f t="shared" si="678"/>
        <v/>
      </c>
      <c r="P10938" s="1" t="s">
        <v>20</v>
      </c>
      <c r="R10938" s="1" t="s">
        <v>22459</v>
      </c>
      <c r="V10938" s="1" t="s">
        <v>22486</v>
      </c>
      <c r="AR10938" s="1" t="str">
        <f t="shared" si="677"/>
        <v>| [ㄗㄡ](ㄗㄡ.md) | [騶](騶.md) |  | zōu | [名]
1.古代主管駕駛車馬的小官。《禮記．月令》：「命僕及七騶咸駕。」《後漢書．卷七八．宦者傳．張讓傳》：「凡詔所徵求，皆令西園騶密約敕，號曰『中使』。」
2.古代貴族出行時，居前導或後隨的騎士。《漢書．卷二．惠帝紀》：「外郎不滿二歲，賜錢萬。……執戟、武士、騶比外郎。」晉．干寶《搜神記》卷四：「忽于樹間逢一絳衣騶，呼班云：『泰山府君召！』」
3.姓。如漢代有騶餘善。 |</v>
      </c>
    </row>
    <row r="10939" spans="1:44" hidden="1">
      <c r="A10939" s="1" t="s">
        <v>22487</v>
      </c>
      <c r="C10939" s="1">
        <v>1</v>
      </c>
      <c r="D10939" s="1" t="str">
        <f>"09527"</f>
        <v>09527</v>
      </c>
      <c r="E10939" s="1" t="s">
        <v>592</v>
      </c>
      <c r="F10939" s="1">
        <v>25</v>
      </c>
      <c r="G10939" s="1">
        <v>10</v>
      </c>
      <c r="H10939" s="1">
        <v>0</v>
      </c>
      <c r="I10939" s="1" t="s">
        <v>22458</v>
      </c>
      <c r="K10939" s="1" t="str">
        <f t="shared" si="675"/>
        <v>ㄗ</v>
      </c>
      <c r="L10939" s="1" t="str">
        <f t="shared" si="676"/>
        <v>ㄡ</v>
      </c>
      <c r="M10939" s="1" t="str">
        <f t="shared" si="678"/>
        <v/>
      </c>
      <c r="P10939" s="1" t="s">
        <v>20</v>
      </c>
      <c r="R10939" s="1" t="s">
        <v>22459</v>
      </c>
      <c r="V10939" s="1" t="s">
        <v>22488</v>
      </c>
      <c r="AR10939" s="1" t="str">
        <f t="shared" si="677"/>
        <v>| [ㄗㄡ](ㄗㄡ.md) | [齺](齺.md) |  | zōu | [動]
1.牙齒折斷。《說文解字．齒部》：「齺，齒搚也。」
2.咬。《說文解字．齒部》：「齺，一曰齰。」
[名]
橫在馬口裡駕馭馬匹的器具。《說文解字．齒部》：「齺，一曰馬口中橛也。」 |</v>
      </c>
    </row>
    <row r="10940" spans="1:44" hidden="1">
      <c r="A10940" s="1" t="s">
        <v>22501</v>
      </c>
      <c r="C10940" s="1">
        <v>1</v>
      </c>
      <c r="D10940" s="1" t="str">
        <f>"09532"</f>
        <v>09532</v>
      </c>
      <c r="E10940" s="1" t="s">
        <v>68</v>
      </c>
      <c r="F10940" s="1">
        <v>16</v>
      </c>
      <c r="G10940" s="1">
        <v>12</v>
      </c>
      <c r="H10940" s="1">
        <v>0</v>
      </c>
      <c r="I10940" s="1" t="s">
        <v>22502</v>
      </c>
      <c r="K10940" s="1" t="str">
        <f t="shared" si="675"/>
        <v>ㄗ</v>
      </c>
      <c r="L10940" s="1" t="str">
        <f t="shared" si="676"/>
        <v>ㄢ</v>
      </c>
      <c r="M10940" s="1" t="str">
        <f t="shared" si="678"/>
        <v/>
      </c>
      <c r="P10940" s="1" t="s">
        <v>20</v>
      </c>
      <c r="R10940" s="1" t="s">
        <v>22503</v>
      </c>
      <c r="V10940" s="1" t="s">
        <v>22504</v>
      </c>
      <c r="AR10940" s="1" t="str">
        <f t="shared" si="677"/>
        <v>| [ㄗㄢ](ㄗㄢ.md) | [䐶](䐶.md) |  | zān | 參見「腤䐶」條。 |</v>
      </c>
    </row>
    <row r="10941" spans="1:44" hidden="1">
      <c r="A10941" s="1" t="s">
        <v>22505</v>
      </c>
      <c r="C10941" s="1">
        <v>1</v>
      </c>
      <c r="D10941" s="1" t="str">
        <f>"09533"</f>
        <v>09533</v>
      </c>
      <c r="E10941" s="1" t="s">
        <v>49</v>
      </c>
      <c r="F10941" s="1">
        <v>18</v>
      </c>
      <c r="G10941" s="1">
        <v>12</v>
      </c>
      <c r="H10941" s="1">
        <v>1</v>
      </c>
      <c r="I10941" s="1" t="s">
        <v>22502</v>
      </c>
      <c r="K10941" s="1" t="str">
        <f t="shared" si="675"/>
        <v>ㄗ</v>
      </c>
      <c r="L10941" s="1" t="str">
        <f t="shared" si="676"/>
        <v>ㄢ</v>
      </c>
      <c r="M10941" s="1" t="str">
        <f t="shared" si="678"/>
        <v/>
      </c>
      <c r="P10941" s="1" t="s">
        <v>20</v>
      </c>
      <c r="R10941" s="1" t="s">
        <v>22503</v>
      </c>
      <c r="V10941" s="1" t="s">
        <v>22506</v>
      </c>
      <c r="W10941" s="1" t="s">
        <v>22507</v>
      </c>
      <c r="AR10941" s="1" t="str">
        <f t="shared" si="677"/>
        <v>| [ㄗㄢ](ㄗㄢ.md) | [簪](簪.md) |  | zān | [名]
古人用來綰髮或固定頭冠的頭飾。如：「頭簪」。《史記．卷四九．外戚世家》：「夫人脫簪珥叩頭。」唐．杜甫〈春望〉詩：「白頭搔更短，渾欲不勝簪。」也稱為「簪子」。
[動]
1.插、戴。唐．李嶠〈扈從還洛呈侍從群官〉詩：「並輯蛟龍書，同簪鳳皇筆。」宋．蘇軾〈答陳述古〉詩二首之一：「城西亦有紅千葉，人老簪花卻自羞。」
2.連綴。《儀禮．士喪禮》：「以爵弁服，簪裳於衣左。」漢．鄭玄．注：「簪，連也。」 |</v>
      </c>
    </row>
    <row r="10942" spans="1:44" hidden="1">
      <c r="A10942" s="1" t="s">
        <v>22508</v>
      </c>
      <c r="C10942" s="1">
        <v>1</v>
      </c>
      <c r="D10942" s="1" t="str">
        <f>"09534"</f>
        <v>09534</v>
      </c>
      <c r="E10942" s="1" t="s">
        <v>55</v>
      </c>
      <c r="F10942" s="1">
        <v>20</v>
      </c>
      <c r="G10942" s="1">
        <v>12</v>
      </c>
      <c r="H10942" s="1">
        <v>0</v>
      </c>
      <c r="I10942" s="1" t="s">
        <v>22502</v>
      </c>
      <c r="K10942" s="1" t="str">
        <f t="shared" si="675"/>
        <v>ㄗ</v>
      </c>
      <c r="L10942" s="1" t="str">
        <f t="shared" si="676"/>
        <v>ㄢ</v>
      </c>
      <c r="M10942" s="1" t="str">
        <f t="shared" ref="M10942:M10973" si="679">MID(I10942, 3, 1)</f>
        <v/>
      </c>
      <c r="P10942" s="1" t="s">
        <v>20</v>
      </c>
      <c r="R10942" s="1" t="s">
        <v>22503</v>
      </c>
      <c r="V10942" s="1" t="s">
        <v>22509</v>
      </c>
      <c r="AR10942" s="1" t="str">
        <f t="shared" si="677"/>
        <v>| [ㄗㄢ](ㄗㄢ.md) | [鐕](鐕.md) |  | zān | [名]
一種無蓋的釘子。《玉篇．金部》：「鐕，無蓋釘。」《禮記．喪大記》：「君裡棺用朱綠，用雜金鐕；大夫裡棺用玄綠，用牛骨鐕。」 |</v>
      </c>
    </row>
    <row r="10943" spans="1:44" hidden="1">
      <c r="A10943" s="1" t="s">
        <v>22510</v>
      </c>
      <c r="C10943" s="1">
        <v>1</v>
      </c>
      <c r="D10943" s="1" t="str">
        <f>"09535"</f>
        <v>09535</v>
      </c>
      <c r="E10943" s="1" t="s">
        <v>49</v>
      </c>
      <c r="F10943" s="1">
        <v>17</v>
      </c>
      <c r="G10943" s="1">
        <v>11</v>
      </c>
      <c r="H10943" s="1">
        <v>2</v>
      </c>
      <c r="I10943" s="1" t="s">
        <v>22502</v>
      </c>
      <c r="K10943" s="1" t="str">
        <f t="shared" si="675"/>
        <v>ㄗ</v>
      </c>
      <c r="L10943" s="1" t="str">
        <f t="shared" si="676"/>
        <v>ㄢ</v>
      </c>
      <c r="M10943" s="1" t="str">
        <f t="shared" si="679"/>
        <v/>
      </c>
      <c r="P10943" s="1" t="s">
        <v>20</v>
      </c>
      <c r="R10943" s="1" t="s">
        <v>22503</v>
      </c>
      <c r="V10943" s="1" t="s">
        <v>22511</v>
      </c>
      <c r="W10943" s="1" t="s">
        <v>22512</v>
      </c>
      <c r="AR10943" s="1" t="str">
        <f t="shared" si="677"/>
        <v>| [ㄗㄢ](ㄗㄢ.md) | [篸](篸.md) |  | zān | [名]
1.縫衣針。《廣韻．平聲．覃韻》：「篸，所以綴衣。」
2.用以綰住頭髮的竹針。通「簪」。南朝梁．沈約〈江南曲〉：「羅衣織成帶，墮馬碧玉篸。」唐．韓愈〈送桂州嚴大人〉詩：「江作青羅帶，山如白玉篸。」 |</v>
      </c>
    </row>
    <row r="10944" spans="1:44" hidden="1">
      <c r="A10944" s="1" t="s">
        <v>22505</v>
      </c>
      <c r="C10944" s="1">
        <v>1</v>
      </c>
      <c r="D10944" s="1" t="str">
        <f>"09557"</f>
        <v>09557</v>
      </c>
      <c r="E10944" s="1" t="s">
        <v>49</v>
      </c>
      <c r="F10944" s="1">
        <v>18</v>
      </c>
      <c r="G10944" s="1">
        <v>12</v>
      </c>
      <c r="H10944" s="1">
        <v>2</v>
      </c>
      <c r="I10944" s="1" t="s">
        <v>22561</v>
      </c>
      <c r="K10944" s="1" t="str">
        <f t="shared" si="675"/>
        <v>ㄗ</v>
      </c>
      <c r="L10944" s="1" t="str">
        <f t="shared" si="676"/>
        <v>ㄣ</v>
      </c>
      <c r="M10944" s="1" t="str">
        <f t="shared" si="679"/>
        <v/>
      </c>
      <c r="P10944" s="1" t="s">
        <v>110</v>
      </c>
      <c r="R10944" s="1" t="s">
        <v>22562</v>
      </c>
      <c r="V10944" s="1" t="s">
        <v>111</v>
      </c>
      <c r="W10944" s="1" t="s">
        <v>22563</v>
      </c>
      <c r="AR10944" s="1" t="str">
        <f t="shared" si="677"/>
        <v>| [ㄗㄣ](ㄗㄣ.md) | [簪](簪.md) |  | zēn | (一)之又音。 |</v>
      </c>
    </row>
    <row r="10945" spans="1:44" hidden="1">
      <c r="A10945" s="1" t="s">
        <v>22572</v>
      </c>
      <c r="C10945" s="1">
        <v>1</v>
      </c>
      <c r="D10945" s="1" t="str">
        <f>"09560"</f>
        <v>09560</v>
      </c>
      <c r="E10945" s="1" t="s">
        <v>712</v>
      </c>
      <c r="F10945" s="1">
        <v>10</v>
      </c>
      <c r="G10945" s="1">
        <v>6</v>
      </c>
      <c r="H10945" s="1">
        <v>0</v>
      </c>
      <c r="I10945" s="1" t="s">
        <v>22573</v>
      </c>
      <c r="K10945" s="1" t="str">
        <f t="shared" ref="K10945:K11008" si="680">LEFT(I10945, 1)</f>
        <v>ㄗ</v>
      </c>
      <c r="L10945" s="1" t="str">
        <f t="shared" ref="L10945:L10958" si="681">MID(I10945, 2, 1)</f>
        <v>ㄤ</v>
      </c>
      <c r="M10945" s="1" t="str">
        <f t="shared" si="679"/>
        <v/>
      </c>
      <c r="P10945" s="1" t="s">
        <v>20</v>
      </c>
      <c r="R10945" s="1" t="s">
        <v>22574</v>
      </c>
      <c r="V10945" s="1" t="s">
        <v>22575</v>
      </c>
      <c r="AR10945" s="1" t="str">
        <f t="shared" si="677"/>
        <v>| [ㄗㄤ](ㄗㄤ.md) | [牂](牂.md) |  | zāng | [名]
母羊。清．王念孫《廣雅疏證．卷一〇下．釋獸》：「吳羊牡一歲曰牡䍮，三歲曰羝；其牝一歲曰牸䍮，三歲曰牂。」《詩經．小雅．苕之華》：「牂羊墳首，三星在罶。」漢．毛亨．傳：「牂羊，牝羊也。」 |</v>
      </c>
    </row>
    <row r="10946" spans="1:44" hidden="1">
      <c r="A10946" s="1" t="s">
        <v>22576</v>
      </c>
      <c r="C10946" s="1">
        <v>1</v>
      </c>
      <c r="D10946" s="1" t="str">
        <f>"09561"</f>
        <v>09561</v>
      </c>
      <c r="E10946" s="1" t="s">
        <v>8899</v>
      </c>
      <c r="F10946" s="1">
        <v>14</v>
      </c>
      <c r="G10946" s="1">
        <v>8</v>
      </c>
      <c r="H10946" s="1">
        <v>0</v>
      </c>
      <c r="I10946" s="1" t="s">
        <v>22573</v>
      </c>
      <c r="K10946" s="1" t="str">
        <f t="shared" si="680"/>
        <v>ㄗ</v>
      </c>
      <c r="L10946" s="1" t="str">
        <f t="shared" si="681"/>
        <v>ㄤ</v>
      </c>
      <c r="M10946" s="1" t="str">
        <f t="shared" si="679"/>
        <v/>
      </c>
      <c r="P10946" s="1" t="s">
        <v>20</v>
      </c>
      <c r="R10946" s="1" t="s">
        <v>22574</v>
      </c>
      <c r="V10946" s="1" t="s">
        <v>22577</v>
      </c>
      <c r="AR10946" s="1" t="str">
        <f t="shared" si="677"/>
        <v>| [ㄗㄤ](ㄗㄤ.md) | [臧](臧.md) |  | zāng | [形]
善。《爾雅．釋詁上》：「臧，善也。」《詩經．邶風．雄雉》：「不忮不求，何用不臧。」唐．柳宗元〈與呂道州溫論非國語書〉：「輒乃黜其不臧，究世之謬。」
[動]
稱許、頌揚。漢．王充《論衡．自紀》：「文德不豐，非吾所臧。」《晉書．卷四十九．阮籍傳》：「籍雖不拘禮教，然發言玄遠，口不臧否人物。」
[名]
1.奴隸、奴婢。《荀子．禮論》：「君子以倍叛之心接臧穀，猶且羞之。」
2.以非法手段取得的財物。通「贓」。《漢書．卷九〇．酷吏傳．尹賞傳》：「終身廢棄無有赦時，其羞辱甚於貪汙坐臧。」
3.姓。如漢代有臧洪。 |</v>
      </c>
    </row>
    <row r="10947" spans="1:44" hidden="1">
      <c r="A10947" s="1" t="s">
        <v>22578</v>
      </c>
      <c r="C10947" s="1">
        <v>1</v>
      </c>
      <c r="D10947" s="1" t="str">
        <f>"09562"</f>
        <v>09562</v>
      </c>
      <c r="E10947" s="1" t="s">
        <v>505</v>
      </c>
      <c r="F10947" s="1">
        <v>21</v>
      </c>
      <c r="G10947" s="1">
        <v>14</v>
      </c>
      <c r="H10947" s="1">
        <v>0</v>
      </c>
      <c r="I10947" s="1" t="s">
        <v>22573</v>
      </c>
      <c r="K10947" s="1" t="str">
        <f t="shared" si="680"/>
        <v>ㄗ</v>
      </c>
      <c r="L10947" s="1" t="str">
        <f t="shared" si="681"/>
        <v>ㄤ</v>
      </c>
      <c r="M10947" s="1" t="str">
        <f t="shared" si="679"/>
        <v/>
      </c>
      <c r="P10947" s="1" t="s">
        <v>20</v>
      </c>
      <c r="R10947" s="1" t="s">
        <v>22574</v>
      </c>
      <c r="V10947" s="1" t="s">
        <v>22579</v>
      </c>
      <c r="AR10947" s="1" t="str">
        <f t="shared" ref="AR10947:AR11010" si="682">"| ["&amp;I10947&amp;"]("&amp;I10947&amp;".md) | ["&amp;A10947&amp;"]("&amp;A10947&amp;".md) | "&amp;" | "&amp;R10947&amp;" | "&amp;V10947&amp;" |"</f>
        <v>| [ㄗㄤ](ㄗㄤ.md) | [贓](贓.md) |  | zāng | [名]
以非法手段取得的財物。如：「貪贓枉法」、「追贓」、「人贓俱獲」。《警世通言．卷一五．金令史美婢酬秀童》：「見拿著了真贓真賊，咬牙切齒的罵。」
[形]
偷搶而來的。如：「贓款」、「贓物」。 |</v>
      </c>
    </row>
    <row r="10948" spans="1:44" hidden="1">
      <c r="A10948" s="1" t="s">
        <v>22580</v>
      </c>
      <c r="C10948" s="1">
        <v>1</v>
      </c>
      <c r="D10948" s="1" t="str">
        <f>"09563"</f>
        <v>09563</v>
      </c>
      <c r="E10948" s="1" t="s">
        <v>283</v>
      </c>
      <c r="F10948" s="1">
        <v>23</v>
      </c>
      <c r="G10948" s="1">
        <v>13</v>
      </c>
      <c r="H10948" s="1">
        <v>1</v>
      </c>
      <c r="I10948" s="1" t="s">
        <v>22573</v>
      </c>
      <c r="K10948" s="1" t="str">
        <f t="shared" si="680"/>
        <v>ㄗ</v>
      </c>
      <c r="L10948" s="1" t="str">
        <f t="shared" si="681"/>
        <v>ㄤ</v>
      </c>
      <c r="M10948" s="1" t="str">
        <f t="shared" si="679"/>
        <v/>
      </c>
      <c r="P10948" s="1" t="s">
        <v>20</v>
      </c>
      <c r="R10948" s="1" t="s">
        <v>22574</v>
      </c>
      <c r="V10948" s="1" t="s">
        <v>22581</v>
      </c>
      <c r="W10948" s="1" t="s">
        <v>22582</v>
      </c>
      <c r="AR10948" s="1" t="str">
        <f t="shared" si="682"/>
        <v>| [ㄗㄤ](ㄗㄤ.md) | [髒](髒.md) |  | zāng | [形]
1.汙穢不清潔。如：「髒亂」、「又髒又破的衣服。」
2.粗魯不文雅。如：「髒話」。
[動]
弄汙。《兒女英雄傳》第三回：「咱一來是為行好，二來也怕髒了我的店。」 |</v>
      </c>
    </row>
    <row r="10949" spans="1:44" hidden="1">
      <c r="A10949" s="1" t="s">
        <v>22271</v>
      </c>
      <c r="C10949" s="1">
        <v>1</v>
      </c>
      <c r="D10949" s="1" t="str">
        <f>"09564"</f>
        <v>09564</v>
      </c>
      <c r="E10949" s="1" t="s">
        <v>68</v>
      </c>
      <c r="F10949" s="1">
        <v>23</v>
      </c>
      <c r="G10949" s="1">
        <v>19</v>
      </c>
      <c r="H10949" s="1">
        <v>1</v>
      </c>
      <c r="I10949" s="1" t="s">
        <v>22573</v>
      </c>
      <c r="K10949" s="1" t="str">
        <f t="shared" si="680"/>
        <v>ㄗ</v>
      </c>
      <c r="L10949" s="1" t="str">
        <f t="shared" si="681"/>
        <v>ㄤ</v>
      </c>
      <c r="M10949" s="1" t="str">
        <f t="shared" si="679"/>
        <v/>
      </c>
      <c r="P10949" s="1" t="s">
        <v>20</v>
      </c>
      <c r="R10949" s="1" t="s">
        <v>22574</v>
      </c>
      <c r="V10949" s="1" t="s">
        <v>22583</v>
      </c>
      <c r="W10949" s="1" t="s">
        <v>22584</v>
      </c>
      <c r="AR10949" s="1" t="str">
        <f t="shared" si="682"/>
        <v>| [ㄗㄤ](ㄗㄤ.md) | [臢](臢.md) |  | zāng | 參見「腌臢」條。 |</v>
      </c>
    </row>
    <row r="10950" spans="1:44" hidden="1">
      <c r="A10950" s="1" t="s">
        <v>22604</v>
      </c>
      <c r="C10950" s="1">
        <v>1</v>
      </c>
      <c r="D10950" s="1" t="str">
        <f>"09572"</f>
        <v>09572</v>
      </c>
      <c r="E10950" s="1" t="s">
        <v>6488</v>
      </c>
      <c r="F10950" s="1">
        <v>12</v>
      </c>
      <c r="G10950" s="1">
        <v>8</v>
      </c>
      <c r="H10950" s="1">
        <v>1</v>
      </c>
      <c r="I10950" s="1" t="s">
        <v>22605</v>
      </c>
      <c r="K10950" s="1" t="str">
        <f t="shared" si="680"/>
        <v>ㄗ</v>
      </c>
      <c r="L10950" s="1" t="str">
        <f t="shared" si="681"/>
        <v>ㄥ</v>
      </c>
      <c r="M10950" s="1" t="str">
        <f t="shared" si="679"/>
        <v/>
      </c>
      <c r="P10950" s="1" t="s">
        <v>20</v>
      </c>
      <c r="R10950" s="1" t="s">
        <v>22606</v>
      </c>
      <c r="V10950" s="1" t="s">
        <v>22607</v>
      </c>
      <c r="W10950" s="1" t="s">
        <v>22608</v>
      </c>
      <c r="AR10950" s="1" t="str">
        <f t="shared" si="682"/>
        <v>| [ㄗㄥ](ㄗㄥ.md) | [曾](曾.md) |  | zēng | [副]
1.乃、竟然。《論語．為政》：「有酒食，先生饌，曾是以為孝乎？」
2.尚且。《列子．湯問》：「以君之力，曾不能損魁父之丘，如太行、王屋何？」
[形]
重疊的，中間隔兩代親屬關係的。如：「曾祖父」、「曾孫」。
[動]
加多。同「增」。《孟子．告子下》：「所以動心忍性，曾益其所不能。」
[名]
姓。如春秋時魯國有曾參。 |</v>
      </c>
    </row>
    <row r="10951" spans="1:44" hidden="1">
      <c r="A10951" s="1" t="s">
        <v>22609</v>
      </c>
      <c r="C10951" s="1">
        <v>1</v>
      </c>
      <c r="D10951" s="1" t="str">
        <f>"09573"</f>
        <v>09573</v>
      </c>
      <c r="E10951" s="1" t="s">
        <v>250</v>
      </c>
      <c r="F10951" s="1">
        <v>15</v>
      </c>
      <c r="G10951" s="1">
        <v>12</v>
      </c>
      <c r="H10951" s="1">
        <v>0</v>
      </c>
      <c r="I10951" s="1" t="s">
        <v>22605</v>
      </c>
      <c r="K10951" s="1" t="str">
        <f t="shared" si="680"/>
        <v>ㄗ</v>
      </c>
      <c r="L10951" s="1" t="str">
        <f t="shared" si="681"/>
        <v>ㄥ</v>
      </c>
      <c r="M10951" s="1" t="str">
        <f t="shared" si="679"/>
        <v/>
      </c>
      <c r="P10951" s="1" t="s">
        <v>20</v>
      </c>
      <c r="R10951" s="1" t="s">
        <v>22606</v>
      </c>
      <c r="V10951" s="1" t="s">
        <v>22610</v>
      </c>
      <c r="AR10951" s="1" t="str">
        <f t="shared" si="682"/>
        <v>| [ㄗㄥ](ㄗㄥ.md) | [憎](憎.md) |  | zēng | [動]
厭惡。如：「愛憎分明」、「面目可憎」。《史記．卷九九．叔孫通傳》：「叔孫通儒服，漢王憎之。」唐．李中〈落花〉詩：「酷恨西園雨，生憎南陌風。」 |</v>
      </c>
    </row>
    <row r="10952" spans="1:44" hidden="1">
      <c r="A10952" s="1" t="s">
        <v>22611</v>
      </c>
      <c r="C10952" s="1">
        <v>1</v>
      </c>
      <c r="D10952" s="1" t="str">
        <f>"09574"</f>
        <v>09574</v>
      </c>
      <c r="E10952" s="1" t="s">
        <v>132</v>
      </c>
      <c r="F10952" s="1">
        <v>15</v>
      </c>
      <c r="G10952" s="1">
        <v>12</v>
      </c>
      <c r="H10952" s="1">
        <v>0</v>
      </c>
      <c r="I10952" s="1" t="s">
        <v>22605</v>
      </c>
      <c r="K10952" s="1" t="str">
        <f t="shared" si="680"/>
        <v>ㄗ</v>
      </c>
      <c r="L10952" s="1" t="str">
        <f t="shared" si="681"/>
        <v>ㄥ</v>
      </c>
      <c r="M10952" s="1" t="str">
        <f t="shared" si="679"/>
        <v/>
      </c>
      <c r="P10952" s="1" t="s">
        <v>20</v>
      </c>
      <c r="R10952" s="1" t="s">
        <v>22606</v>
      </c>
      <c r="V10952" s="1" t="s">
        <v>22612</v>
      </c>
      <c r="AR10952" s="1" t="str">
        <f t="shared" si="682"/>
        <v>| [ㄗㄥ](ㄗㄥ.md) | [增](增.md) |  | zēng | [動]
加多。如：「倍增」、「遞增」、「激增」、「有增無減」。
[形]
重疊的。通「層」。《文選．揚雄．甘泉賦》：「增宮嵾差。」《文選．郭璞．遊仙詩一九首之五》：「清源無增瀾，安得運吞舟？」 |</v>
      </c>
    </row>
    <row r="10953" spans="1:44" hidden="1">
      <c r="A10953" s="1" t="s">
        <v>22613</v>
      </c>
      <c r="C10953" s="1">
        <v>1</v>
      </c>
      <c r="D10953" s="1" t="str">
        <f>"09575"</f>
        <v>09575</v>
      </c>
      <c r="E10953" s="1" t="s">
        <v>139</v>
      </c>
      <c r="F10953" s="1">
        <v>16</v>
      </c>
      <c r="G10953" s="1">
        <v>12</v>
      </c>
      <c r="H10953" s="1">
        <v>0</v>
      </c>
      <c r="I10953" s="1" t="s">
        <v>22605</v>
      </c>
      <c r="K10953" s="1" t="str">
        <f t="shared" si="680"/>
        <v>ㄗ</v>
      </c>
      <c r="L10953" s="1" t="str">
        <f t="shared" si="681"/>
        <v>ㄥ</v>
      </c>
      <c r="M10953" s="1" t="str">
        <f t="shared" si="679"/>
        <v/>
      </c>
      <c r="P10953" s="1" t="s">
        <v>20</v>
      </c>
      <c r="R10953" s="1" t="s">
        <v>22606</v>
      </c>
      <c r="V10953" s="1" t="s">
        <v>22614</v>
      </c>
      <c r="AR10953" s="1" t="str">
        <f t="shared" si="682"/>
        <v>| [ㄗㄥ](ㄗㄥ.md) | [橧](橧.md) |  | zēng | [名]
用木柴堆築而成的居處。清．王念孫《廣雅疏證．卷七上．釋宮》：「橧，巢也。」《禮記．禮運》：「昔者先王未有宮室，冬則居營窟，夏則居橧巢。」唐．孔穎達．正義：「夏則居橧巢者，謂橧聚其薪以為巢。」 |</v>
      </c>
    </row>
    <row r="10954" spans="1:44" hidden="1">
      <c r="A10954" s="1" t="s">
        <v>22615</v>
      </c>
      <c r="C10954" s="1">
        <v>1</v>
      </c>
      <c r="D10954" s="1" t="str">
        <f>"09576"</f>
        <v>09576</v>
      </c>
      <c r="E10954" s="1" t="s">
        <v>118</v>
      </c>
      <c r="F10954" s="1">
        <v>17</v>
      </c>
      <c r="G10954" s="1">
        <v>12</v>
      </c>
      <c r="H10954" s="1">
        <v>1</v>
      </c>
      <c r="I10954" s="1" t="s">
        <v>22605</v>
      </c>
      <c r="K10954" s="1" t="str">
        <f t="shared" si="680"/>
        <v>ㄗ</v>
      </c>
      <c r="L10954" s="1" t="str">
        <f t="shared" si="681"/>
        <v>ㄥ</v>
      </c>
      <c r="M10954" s="1" t="str">
        <f t="shared" si="679"/>
        <v/>
      </c>
      <c r="P10954" s="1" t="s">
        <v>20</v>
      </c>
      <c r="R10954" s="1" t="s">
        <v>22606</v>
      </c>
      <c r="V10954" s="1" t="s">
        <v>22616</v>
      </c>
      <c r="W10954" s="1" t="s">
        <v>22617</v>
      </c>
      <c r="AR10954" s="1" t="str">
        <f t="shared" si="682"/>
        <v>| [ㄗㄥ](ㄗㄥ.md) | [罾](罾.md) |  | zēng | [名]
四邊有支架的方形魚網。《說文解字．网部》：「罾，魚網也。」段玉裁注引顏師古曰：「形如仰繖，蓋四維而舉之。」宋．陸游《入蜀記．第三》：「漁人依石挽罾，宛如畫圖間所見。」
[動]
以網捕魚。《史記．卷四八．陳涉世家》：「乃丹書帛曰：『陳勝王』，置人所罾魚腹中。」 |</v>
      </c>
    </row>
    <row r="10955" spans="1:44" hidden="1">
      <c r="A10955" s="1" t="s">
        <v>22618</v>
      </c>
      <c r="C10955" s="1">
        <v>1</v>
      </c>
      <c r="D10955" s="1" t="str">
        <f>"09577"</f>
        <v>09577</v>
      </c>
      <c r="E10955" s="1" t="s">
        <v>122</v>
      </c>
      <c r="F10955" s="1">
        <v>17</v>
      </c>
      <c r="G10955" s="1">
        <v>12</v>
      </c>
      <c r="H10955" s="1">
        <v>0</v>
      </c>
      <c r="I10955" s="1" t="s">
        <v>22605</v>
      </c>
      <c r="K10955" s="1" t="str">
        <f t="shared" si="680"/>
        <v>ㄗ</v>
      </c>
      <c r="L10955" s="1" t="str">
        <f t="shared" si="681"/>
        <v>ㄥ</v>
      </c>
      <c r="M10955" s="1" t="str">
        <f t="shared" si="679"/>
        <v/>
      </c>
      <c r="P10955" s="1" t="s">
        <v>20</v>
      </c>
      <c r="R10955" s="1" t="s">
        <v>22606</v>
      </c>
      <c r="V10955" s="1" t="s">
        <v>22619</v>
      </c>
      <c r="AR10955" s="1" t="str">
        <f t="shared" si="682"/>
        <v>| [ㄗㄥ](ㄗㄥ.md) | [矰](矰.md) |  | zēng | [名]
繫有絲繩，用以射鳥的箭。《楚辭．屈原．九章．惜誦》：「矰弋機而在上兮，罻羅張而在下。」漢．王逸．注：「矰，繳射矢也。」《文選．張華．鷦鷯賦》：「然皆負矰嬰繳，羽毛入貢。」 |</v>
      </c>
    </row>
    <row r="10956" spans="1:44" hidden="1">
      <c r="A10956" s="1" t="s">
        <v>22620</v>
      </c>
      <c r="C10956" s="1">
        <v>1</v>
      </c>
      <c r="D10956" s="1" t="str">
        <f>"09578"</f>
        <v>09578</v>
      </c>
      <c r="E10956" s="1" t="s">
        <v>725</v>
      </c>
      <c r="F10956" s="1">
        <v>18</v>
      </c>
      <c r="G10956" s="1">
        <v>12</v>
      </c>
      <c r="H10956" s="1">
        <v>1</v>
      </c>
      <c r="I10956" s="1" t="s">
        <v>22605</v>
      </c>
      <c r="K10956" s="1" t="str">
        <f t="shared" si="680"/>
        <v>ㄗ</v>
      </c>
      <c r="L10956" s="1" t="str">
        <f t="shared" si="681"/>
        <v>ㄥ</v>
      </c>
      <c r="M10956" s="1" t="str">
        <f t="shared" si="679"/>
        <v/>
      </c>
      <c r="P10956" s="1" t="s">
        <v>20</v>
      </c>
      <c r="R10956" s="1" t="s">
        <v>22606</v>
      </c>
      <c r="V10956" s="1" t="s">
        <v>22621</v>
      </c>
      <c r="W10956" s="1" t="s">
        <v>22622</v>
      </c>
      <c r="AR10956" s="1" t="str">
        <f t="shared" si="682"/>
        <v>| [ㄗㄥ](ㄗㄥ.md) | [繒](繒.md) |  | zēng | [名]
1.絲織品的總稱。《說文解字．糸部》：「繒，帛也。」如：「文繒」、「細繒」。《漢書．卷四一．樊酈滕灌傅靳周傳．灌嬰》：「灌嬰，睢陽販繒者也。」唐．顏師古．注：「繒者，帛之總名。」
2.姓。如漢代有繒賀。 |</v>
      </c>
    </row>
    <row r="10957" spans="1:44" hidden="1">
      <c r="A10957" s="1" t="s">
        <v>22633</v>
      </c>
      <c r="C10957" s="1">
        <v>1</v>
      </c>
      <c r="D10957" s="1" t="str">
        <f>"09583"</f>
        <v>09583</v>
      </c>
      <c r="E10957" s="1" t="s">
        <v>429</v>
      </c>
      <c r="F10957" s="1">
        <v>10</v>
      </c>
      <c r="G10957" s="1">
        <v>5</v>
      </c>
      <c r="H10957" s="1">
        <v>0</v>
      </c>
      <c r="I10957" s="1" t="s">
        <v>22634</v>
      </c>
      <c r="K10957" s="1" t="str">
        <f t="shared" si="680"/>
        <v>ㄗ</v>
      </c>
      <c r="L10957" s="1" t="str">
        <f t="shared" si="681"/>
        <v>ㄨ</v>
      </c>
      <c r="M10957" s="1" t="str">
        <f t="shared" si="679"/>
        <v/>
      </c>
      <c r="P10957" s="1" t="s">
        <v>20</v>
      </c>
      <c r="R10957" s="1" t="s">
        <v>22635</v>
      </c>
      <c r="V10957" s="1" t="s">
        <v>22636</v>
      </c>
      <c r="AR10957" s="1" t="str">
        <f t="shared" si="682"/>
        <v>| [ㄗㄨ](ㄗㄨ.md) | [租](租.md) |  | zū | [名]
1.田賦。《說文解字．禾部》：「租，田賦也。」《漢書．卷四．文帝紀》：「其賜天下民今年田租之半。」《新唐書．卷五一．食貨志一》：「凡授田者，丁歲輸粟二斛，稻三斛，謂之租。」
2.稅捐。《史記．卷一〇二．張釋之傳》：「李牧為趙將居邊，軍市之租皆自用饗士，賞賜決於外，不從中擾也。」
3.出借房屋、物品等所收取的報酬費用。如：「房租」、「收租」。
[動]
以一定的代價出借或借用他人物品、房地。如：「吉屋出租」。《紅樓夢》第四回：「偏生這拐子又租了我們的房舍居住。」 |</v>
      </c>
    </row>
    <row r="10958" spans="1:44" hidden="1">
      <c r="A10958" s="1" t="s">
        <v>22637</v>
      </c>
      <c r="C10958" s="1">
        <v>1</v>
      </c>
      <c r="D10958" s="1" t="str">
        <f>"09584"</f>
        <v>09584</v>
      </c>
      <c r="E10958" s="1" t="s">
        <v>37</v>
      </c>
      <c r="F10958" s="1">
        <v>14</v>
      </c>
      <c r="G10958" s="1">
        <v>10</v>
      </c>
      <c r="H10958" s="1">
        <v>0</v>
      </c>
      <c r="I10958" s="1" t="s">
        <v>22634</v>
      </c>
      <c r="K10958" s="1" t="str">
        <f t="shared" si="680"/>
        <v>ㄗ</v>
      </c>
      <c r="L10958" s="1" t="str">
        <f t="shared" si="681"/>
        <v>ㄨ</v>
      </c>
      <c r="M10958" s="1" t="str">
        <f t="shared" si="679"/>
        <v/>
      </c>
      <c r="P10958" s="1" t="s">
        <v>20</v>
      </c>
      <c r="R10958" s="1" t="s">
        <v>22635</v>
      </c>
      <c r="V10958" s="1" t="s">
        <v>22638</v>
      </c>
      <c r="AR10958" s="1" t="str">
        <f t="shared" si="682"/>
        <v>| [ㄗㄨ](ㄗㄨ.md) | [蒩](蒩.md) |  | zū | [名]
1.草墊。《說文解字．艸部》：「蒩，茅藉也。……《禮》曰：『封諸侯以土蒩、以白茅。』」《周禮．地官．鄉師》：「大祭祀，羞牛牲，共茅蒩。」
2.蕺菜。清．王念孫《廣雅疏證．卷十上．釋草》：「蒩，蕺也。」 |</v>
      </c>
    </row>
    <row r="10959" spans="1:44" hidden="1">
      <c r="A10959" s="1" t="s">
        <v>22230</v>
      </c>
      <c r="C10959" s="1">
        <v>1</v>
      </c>
      <c r="D10959" s="1" t="str">
        <f>"09419"</f>
        <v>09419</v>
      </c>
      <c r="E10959" s="1" t="s">
        <v>241</v>
      </c>
      <c r="F10959" s="1">
        <v>6</v>
      </c>
      <c r="G10959" s="1">
        <v>3</v>
      </c>
      <c r="H10959" s="1">
        <v>0</v>
      </c>
      <c r="I10959" s="1" t="s">
        <v>22231</v>
      </c>
      <c r="K10959" s="1" t="str">
        <f t="shared" si="680"/>
        <v>ㄗ</v>
      </c>
      <c r="M10959" s="1" t="str">
        <f t="shared" si="679"/>
        <v/>
      </c>
      <c r="N10959" s="3" t="s">
        <v>30574</v>
      </c>
      <c r="O10959" s="3"/>
      <c r="P10959" s="1" t="s">
        <v>20</v>
      </c>
      <c r="R10959" s="1" t="s">
        <v>22232</v>
      </c>
      <c r="V10959" s="1" t="s">
        <v>22233</v>
      </c>
      <c r="AR10959" s="1" t="str">
        <f t="shared" si="682"/>
        <v>| [ㄗˋ](ㄗˋ.md) | [字](字.md) |  | zì | [名]
1.文字，記錄語言的符號。漢．許慎〈說文解字序〉：「倉頡之初作書，蓋依類象形，故謂之文，其後形聲相益，即謂之字。」如：「單字」、「漢字」、「同義字」。
2.本名以外另取的別號。如：「岳飛字鵬舉」。《左傳．隱公八年》：「諸侯以字為謚，因以為族。」《後漢書．卷五八．傅燮傳》：「燮慨然而歎，呼幹小字。」
3.契約、單據。如：「字據」、「空口無憑，立字為證。」《紅樓夢》第六四回：「給他十幾兩銀子，寫上一張退婚的字兒。」
4.發出的字音。如：「咬字清楚」、「字正腔圓」。
5.姓。如漢代有字長孺。
[動]
1.女子許嫁。如：「尚未字人」、「待字閨中」。
2.撫育。《左傳．昭公十一年》：「其僚無子，使字敬叔。」《聊齋志異．卷一一．書痴》：「過八九月，女果舉一男，買媼撫字之。」
3.愛。《書經．康誥》：「于父不能字厥子，乃疾厥子。」《左傳．成公四年》：「楚雖大，非吾族也，其肯字我乎？」 |</v>
      </c>
    </row>
    <row r="10960" spans="1:44" hidden="1">
      <c r="A10960" s="1" t="s">
        <v>22234</v>
      </c>
      <c r="C10960" s="1">
        <v>1</v>
      </c>
      <c r="D10960" s="1" t="str">
        <f>"09420"</f>
        <v>09420</v>
      </c>
      <c r="E10960" s="1" t="s">
        <v>518</v>
      </c>
      <c r="F10960" s="1">
        <v>10</v>
      </c>
      <c r="G10960" s="1">
        <v>6</v>
      </c>
      <c r="H10960" s="1">
        <v>0</v>
      </c>
      <c r="I10960" s="1" t="s">
        <v>22231</v>
      </c>
      <c r="K10960" s="1" t="str">
        <f t="shared" si="680"/>
        <v>ㄗ</v>
      </c>
      <c r="M10960" s="1" t="str">
        <f t="shared" si="679"/>
        <v/>
      </c>
      <c r="N10960" s="3" t="s">
        <v>30574</v>
      </c>
      <c r="O10960" s="3"/>
      <c r="P10960" s="1" t="s">
        <v>20</v>
      </c>
      <c r="R10960" s="1" t="s">
        <v>22232</v>
      </c>
      <c r="V10960" s="1" t="s">
        <v>22235</v>
      </c>
      <c r="AR10960" s="1" t="str">
        <f t="shared" si="682"/>
        <v>| [ㄗˋ](ㄗˋ.md) | [牸](牸.md) |  | zì | [名]
1.母牛。《玉篇．牛部》：「牸，母牛也。」
2.雌性牲畜的總稱。《齊民要術．卷六．養牛馬驢騾》：「子欲速富，當畜五牸。」 |</v>
      </c>
    </row>
    <row r="10961" spans="1:44" hidden="1">
      <c r="A10961" s="1" t="s">
        <v>22236</v>
      </c>
      <c r="C10961" s="1">
        <v>1</v>
      </c>
      <c r="D10961" s="1" t="str">
        <f>"09421"</f>
        <v>09421</v>
      </c>
      <c r="E10961" s="1" t="s">
        <v>7438</v>
      </c>
      <c r="F10961" s="1">
        <v>6</v>
      </c>
      <c r="G10961" s="1">
        <v>0</v>
      </c>
      <c r="H10961" s="1">
        <v>0</v>
      </c>
      <c r="I10961" s="1" t="s">
        <v>22231</v>
      </c>
      <c r="K10961" s="1" t="str">
        <f t="shared" si="680"/>
        <v>ㄗ</v>
      </c>
      <c r="M10961" s="1" t="str">
        <f t="shared" si="679"/>
        <v/>
      </c>
      <c r="N10961" s="3" t="s">
        <v>30574</v>
      </c>
      <c r="O10961" s="3"/>
      <c r="P10961" s="1" t="s">
        <v>20</v>
      </c>
      <c r="R10961" s="1" t="s">
        <v>22232</v>
      </c>
      <c r="V10961" s="1" t="s">
        <v>22237</v>
      </c>
      <c r="AR10961" s="1" t="str">
        <f t="shared" si="682"/>
        <v>| [ㄗˋ](ㄗˋ.md) | [自](自.md) |  | zì | [名]
1.起源的地方。清．朱駿聲《說文通訓定聲．履部》：「自，自之通訓當為始。」如：「其來有自」。《禮記．中庸》：「知風之自，知微之顯，可以入德也。」
2.姓。如明代有自勖。
3.二一四部首之一。
[代]
己身。如：「自言自語」、「自給自足」、「自以為是」、「各人自掃門前雪，休管他人瓦上霜。」
[副]
1.主動。如：「自覺」、「自願」。
2.本來。唐．白居易〈嵩陽觀夜奏霓裳〉詩：「開元遺曲自淒涼，況近秋天調是商。」
3.自然、當然。如：「自不待言」、「公道自在人心」。《老子》第五七章：「我無為而民自化，我好靜而民自正。」《紅樓夢》第四回：「姊姊們暮年相見，自不必說悲喜交集，泣笑敘闊一番。」
4.依然。唐．王勃〈滕王閣〉詩：「閣中帝子今何在？檻外長江空自流。」
[介]
從、由。如：「自古以來」、「自遠而近」。《論語．學而》：「有朋自遠方來，不亦樂乎？」唐．柳宗元〈石渠記〉：「自渴西南行不能百步，得石渠，民橋其上。」
[連]
1.如果，表示假設的語氣。《左傳．成公十六年》：「自非聖人，外寧必有內憂。」
2.雖然。《禮記．檀弓下》：「自吾母而不得吾情，吾惡乎用吾情？」《史記．卷三〇．平準書》：「自天子不能具鈞駟，而將相或乘牛車。」 |</v>
      </c>
    </row>
    <row r="10962" spans="1:44" hidden="1">
      <c r="A10962" s="1" t="s">
        <v>22137</v>
      </c>
      <c r="C10962" s="1">
        <v>1</v>
      </c>
      <c r="D10962" s="1" t="str">
        <f>"09422"</f>
        <v>09422</v>
      </c>
      <c r="E10962" s="1" t="s">
        <v>250</v>
      </c>
      <c r="F10962" s="1">
        <v>10</v>
      </c>
      <c r="G10962" s="1">
        <v>6</v>
      </c>
      <c r="H10962" s="1">
        <v>1</v>
      </c>
      <c r="I10962" s="1" t="s">
        <v>22231</v>
      </c>
      <c r="K10962" s="1" t="str">
        <f t="shared" si="680"/>
        <v>ㄗ</v>
      </c>
      <c r="M10962" s="1" t="str">
        <f t="shared" si="679"/>
        <v/>
      </c>
      <c r="N10962" s="3" t="s">
        <v>30574</v>
      </c>
      <c r="O10962" s="3"/>
      <c r="P10962" s="1" t="s">
        <v>20</v>
      </c>
      <c r="R10962" s="1" t="s">
        <v>22232</v>
      </c>
      <c r="V10962" s="1" t="s">
        <v>22238</v>
      </c>
      <c r="W10962" s="1" t="s">
        <v>22239</v>
      </c>
      <c r="AR10962" s="1" t="str">
        <f t="shared" si="682"/>
        <v>| [ㄗˋ](ㄗˋ.md) | [恣](恣.md) |  | zì | [動]
1.放縱。如：「恣情作樂」。《文選．張衡．思玄賦》：「淹棲遲以恣欲兮，耀靈忽其西藏。」《文選．陳琳．檄吳將校部曲文》：「及吳王濞驕恣，屈強猖猾始亂。」
2.任憑、聽任。《戰國策．趙策四》：「諾，恣君之所使之。」《史記．卷八六．荊軻傳》：「車騎美女，恣荊卿所欲，以順適其意。」 |</v>
      </c>
    </row>
    <row r="10963" spans="1:44" hidden="1">
      <c r="A10963" s="1" t="s">
        <v>22240</v>
      </c>
      <c r="C10963" s="1">
        <v>1</v>
      </c>
      <c r="D10963" s="1" t="str">
        <f>"09423"</f>
        <v>09423</v>
      </c>
      <c r="E10963" s="1" t="s">
        <v>185</v>
      </c>
      <c r="F10963" s="1">
        <v>10</v>
      </c>
      <c r="G10963" s="1">
        <v>8</v>
      </c>
      <c r="H10963" s="1">
        <v>0</v>
      </c>
      <c r="I10963" s="1" t="s">
        <v>22231</v>
      </c>
      <c r="K10963" s="1" t="str">
        <f t="shared" si="680"/>
        <v>ㄗ</v>
      </c>
      <c r="M10963" s="1" t="str">
        <f t="shared" si="679"/>
        <v/>
      </c>
      <c r="N10963" s="3" t="s">
        <v>30574</v>
      </c>
      <c r="O10963" s="3"/>
      <c r="P10963" s="1" t="s">
        <v>20</v>
      </c>
      <c r="R10963" s="1" t="s">
        <v>22232</v>
      </c>
      <c r="V10963" s="1" t="s">
        <v>22241</v>
      </c>
      <c r="AR10963" s="1" t="str">
        <f t="shared" si="682"/>
        <v>| [ㄗˋ](ㄗˋ.md) | [剚](剚.md) |  | zì | [動]
插入。《文選．丘遲．與陳伯之書》：「朱鮪涉血於友于，張繡剚刃於愛子。」《文選．張衡．思玄賦》：「梁叟患夫黎丘兮，丁厥子而剚刃。」 |</v>
      </c>
    </row>
    <row r="10964" spans="1:44" hidden="1">
      <c r="A10964" s="1" t="s">
        <v>22242</v>
      </c>
      <c r="C10964" s="1">
        <v>1</v>
      </c>
      <c r="D10964" s="1" t="str">
        <f>"09424"</f>
        <v>09424</v>
      </c>
      <c r="E10964" s="1" t="s">
        <v>114</v>
      </c>
      <c r="F10964" s="1">
        <v>10</v>
      </c>
      <c r="G10964" s="1">
        <v>8</v>
      </c>
      <c r="H10964" s="1">
        <v>0</v>
      </c>
      <c r="I10964" s="1" t="s">
        <v>22231</v>
      </c>
      <c r="K10964" s="1" t="str">
        <f t="shared" si="680"/>
        <v>ㄗ</v>
      </c>
      <c r="M10964" s="1" t="str">
        <f t="shared" si="679"/>
        <v/>
      </c>
      <c r="N10964" s="3" t="s">
        <v>30574</v>
      </c>
      <c r="O10964" s="3"/>
      <c r="P10964" s="1" t="s">
        <v>20</v>
      </c>
      <c r="R10964" s="1" t="s">
        <v>22232</v>
      </c>
      <c r="V10964" s="1" t="s">
        <v>22243</v>
      </c>
      <c r="AR10964" s="1" t="str">
        <f t="shared" si="682"/>
        <v>| [ㄗˋ](ㄗˋ.md) | [倳](倳.md) |  | zì | [動]
1.樹立、建立。漢．劉熙《釋名．釋言語》：「事，倳也。倳，立也。」
2.插入。《管子．輕重甲》：「則春有以倳耜，夏有以決芸。」《史記．卷八九．張耳陳餘傳》：「然而慈父孝子莫敢倳刃公之腹中者，畏秦法耳。」 |</v>
      </c>
    </row>
    <row r="10965" spans="1:44" hidden="1">
      <c r="A10965" s="1" t="s">
        <v>22244</v>
      </c>
      <c r="C10965" s="1">
        <v>1</v>
      </c>
      <c r="D10965" s="1" t="str">
        <f>"09425"</f>
        <v>09425</v>
      </c>
      <c r="E10965" s="1" t="s">
        <v>1015</v>
      </c>
      <c r="F10965" s="1">
        <v>11</v>
      </c>
      <c r="G10965" s="1">
        <v>6</v>
      </c>
      <c r="H10965" s="1">
        <v>0</v>
      </c>
      <c r="I10965" s="1" t="s">
        <v>22231</v>
      </c>
      <c r="K10965" s="1" t="str">
        <f t="shared" si="680"/>
        <v>ㄗ</v>
      </c>
      <c r="M10965" s="1" t="str">
        <f t="shared" si="679"/>
        <v/>
      </c>
      <c r="N10965" s="3" t="s">
        <v>30574</v>
      </c>
      <c r="O10965" s="3"/>
      <c r="P10965" s="1" t="s">
        <v>20</v>
      </c>
      <c r="R10965" s="1" t="s">
        <v>22232</v>
      </c>
      <c r="V10965" s="1" t="s">
        <v>22245</v>
      </c>
      <c r="AR10965" s="1" t="str">
        <f t="shared" si="682"/>
        <v>| [ㄗˋ](ㄗˋ.md) | [眥](眥.md) |  | zì | [名]
眼眶。《史記．卷七．項羽本紀》：「頭髮上指，目眥盡裂。」唐．杜甫〈望嶽〉詩：「盪胸生曾雲，決眥入歸鳥。」 |</v>
      </c>
    </row>
    <row r="10966" spans="1:44" hidden="1">
      <c r="A10966" s="1" t="s">
        <v>22246</v>
      </c>
      <c r="C10966" s="1">
        <v>1</v>
      </c>
      <c r="D10966" s="1" t="str">
        <f>"09426"</f>
        <v>09426</v>
      </c>
      <c r="E10966" s="1" t="s">
        <v>68</v>
      </c>
      <c r="F10966" s="1">
        <v>12</v>
      </c>
      <c r="G10966" s="1">
        <v>6</v>
      </c>
      <c r="H10966" s="1">
        <v>0</v>
      </c>
      <c r="I10966" s="1" t="s">
        <v>22231</v>
      </c>
      <c r="K10966" s="1" t="str">
        <f t="shared" si="680"/>
        <v>ㄗ</v>
      </c>
      <c r="M10966" s="1" t="str">
        <f t="shared" si="679"/>
        <v/>
      </c>
      <c r="N10966" s="3" t="s">
        <v>30574</v>
      </c>
      <c r="O10966" s="3"/>
      <c r="P10966" s="1" t="s">
        <v>20</v>
      </c>
      <c r="R10966" s="1" t="s">
        <v>22232</v>
      </c>
      <c r="V10966" s="1" t="s">
        <v>22247</v>
      </c>
      <c r="AR10966" s="1" t="str">
        <f t="shared" si="682"/>
        <v>| [ㄗˋ](ㄗˋ.md) | [胔](胔.md) |  | zì | [名]
人或鳥獸帶有腐肉的殘骨。《晏子春秋．內篇．諫上》：「景公出遊于寒途，睹死胔，默然不問。」《新唐書．卷一三六．李光弼傳》：「自顏杲卿死，郡為戰區，露胔蔽野，光弼酹而哭之，出為賊幽閉者，厚恤其家。」 |</v>
      </c>
    </row>
    <row r="10967" spans="1:44" hidden="1">
      <c r="A10967" s="1" t="s">
        <v>22169</v>
      </c>
      <c r="C10967" s="1">
        <v>1</v>
      </c>
      <c r="D10967" s="1" t="str">
        <f>"09427"</f>
        <v>09427</v>
      </c>
      <c r="E10967" s="1" t="s">
        <v>241</v>
      </c>
      <c r="F10967" s="1">
        <v>12</v>
      </c>
      <c r="G10967" s="1">
        <v>9</v>
      </c>
      <c r="H10967" s="1">
        <v>2</v>
      </c>
      <c r="I10967" s="1" t="s">
        <v>22231</v>
      </c>
      <c r="K10967" s="1" t="str">
        <f t="shared" si="680"/>
        <v>ㄗ</v>
      </c>
      <c r="M10967" s="1" t="str">
        <f t="shared" si="679"/>
        <v/>
      </c>
      <c r="N10967" s="3" t="s">
        <v>30574</v>
      </c>
      <c r="O10967" s="3"/>
      <c r="P10967" s="1" t="s">
        <v>20</v>
      </c>
      <c r="R10967" s="1" t="s">
        <v>22232</v>
      </c>
      <c r="V10967" s="1" t="s">
        <v>22248</v>
      </c>
      <c r="W10967" s="1" t="s">
        <v>22249</v>
      </c>
      <c r="AR10967" s="1" t="str">
        <f t="shared" si="682"/>
        <v>| [ㄗˋ](ㄗˋ.md) | [孳](孳.md) |  | zì | 參見「孳尾」條。 |</v>
      </c>
    </row>
    <row r="10968" spans="1:44" hidden="1">
      <c r="A10968" s="1" t="s">
        <v>22250</v>
      </c>
      <c r="C10968" s="1">
        <v>1</v>
      </c>
      <c r="D10968" s="1" t="str">
        <f>"09428"</f>
        <v>09428</v>
      </c>
      <c r="E10968" s="1" t="s">
        <v>68</v>
      </c>
      <c r="F10968" s="1">
        <v>12</v>
      </c>
      <c r="G10968" s="1">
        <v>6</v>
      </c>
      <c r="H10968" s="1">
        <v>0</v>
      </c>
      <c r="I10968" s="1" t="s">
        <v>22231</v>
      </c>
      <c r="K10968" s="1" t="str">
        <f t="shared" si="680"/>
        <v>ㄗ</v>
      </c>
      <c r="M10968" s="1" t="str">
        <f t="shared" si="679"/>
        <v/>
      </c>
      <c r="N10968" s="3" t="s">
        <v>30574</v>
      </c>
      <c r="O10968" s="3"/>
      <c r="P10968" s="1" t="s">
        <v>20</v>
      </c>
      <c r="R10968" s="1" t="s">
        <v>22232</v>
      </c>
      <c r="V10968" s="1" t="s">
        <v>22251</v>
      </c>
      <c r="AR10968" s="1" t="str">
        <f t="shared" si="682"/>
        <v>| [ㄗˋ](ㄗˋ.md) | [胾](胾.md) |  | zì | [名]
切成大塊的肉。《說文解字．肉部》：「胾，大臠也。」《荀子．非相》：「啜其羹，食其胾。」 |</v>
      </c>
    </row>
    <row r="10969" spans="1:44" hidden="1">
      <c r="A10969" s="1" t="s">
        <v>22252</v>
      </c>
      <c r="C10969" s="1">
        <v>1</v>
      </c>
      <c r="D10969" s="1" t="str">
        <f>"09429"</f>
        <v>09429</v>
      </c>
      <c r="E10969" s="1" t="s">
        <v>129</v>
      </c>
      <c r="F10969" s="1">
        <v>14</v>
      </c>
      <c r="G10969" s="1">
        <v>11</v>
      </c>
      <c r="H10969" s="1">
        <v>0</v>
      </c>
      <c r="I10969" s="1" t="s">
        <v>22231</v>
      </c>
      <c r="K10969" s="1" t="str">
        <f t="shared" si="680"/>
        <v>ㄗ</v>
      </c>
      <c r="M10969" s="1" t="str">
        <f t="shared" si="679"/>
        <v/>
      </c>
      <c r="N10969" s="3" t="s">
        <v>30574</v>
      </c>
      <c r="O10969" s="3"/>
      <c r="P10969" s="1" t="s">
        <v>20</v>
      </c>
      <c r="R10969" s="1" t="s">
        <v>22232</v>
      </c>
      <c r="V10969" s="1" t="s">
        <v>22253</v>
      </c>
      <c r="AR10969" s="1" t="str">
        <f t="shared" si="682"/>
        <v>| [ㄗˋ](ㄗˋ.md) | [漬](漬.md) |  | zì | [動]
1.浸泡。如：「醃漬」、「浸漬」。《三國志．卷二九．方技傳．華佗傳》：「佗令溫湯近熱，漬手其中，卒可得寐。」
2.沾染。宋．陸游〈醉歌〉：「百騎河灘獵盛秋，至今血漬短貂裘。」
3.牲畜感染疫病而死。《禮記．曲禮下》：「天子死曰崩……羽鳥曰降，四足曰漬。」
[名]
積留在物體上的汙痕。如：「油漬」、「墨漬」、「汙漬」。 |</v>
      </c>
    </row>
    <row r="10970" spans="1:44" hidden="1">
      <c r="A10970" s="1" t="s">
        <v>22254</v>
      </c>
      <c r="C10970" s="1">
        <v>1</v>
      </c>
      <c r="D10970" s="1" t="str">
        <f>"09430"</f>
        <v>09430</v>
      </c>
      <c r="E10970" s="1" t="s">
        <v>283</v>
      </c>
      <c r="F10970" s="1">
        <v>20</v>
      </c>
      <c r="G10970" s="1">
        <v>10</v>
      </c>
      <c r="H10970" s="1">
        <v>3</v>
      </c>
      <c r="I10970" s="1" t="s">
        <v>22231</v>
      </c>
      <c r="K10970" s="1" t="str">
        <f t="shared" si="680"/>
        <v>ㄗ</v>
      </c>
      <c r="M10970" s="1" t="str">
        <f t="shared" si="679"/>
        <v/>
      </c>
      <c r="N10970" s="3" t="s">
        <v>30574</v>
      </c>
      <c r="O10970" s="3"/>
      <c r="P10970" s="1" t="s">
        <v>20</v>
      </c>
      <c r="R10970" s="1" t="s">
        <v>22232</v>
      </c>
      <c r="V10970" s="1" t="s">
        <v>22255</v>
      </c>
      <c r="W10970" s="1" t="s">
        <v>22256</v>
      </c>
      <c r="AR10970" s="1" t="str">
        <f t="shared" si="682"/>
        <v>| [ㄗˋ](ㄗˋ.md) | [髊](髊.md) |  | zì | [名]
帶有腐肉的人骨。《玉篇．疋部》：「髊，腐骨也。」《呂氏春秋．孟春紀．孟春》：「無置城郭，揜骼霾髊。」漢．高誘．注：「髊，讀水漬物之漬。白骨曰骼，有肉曰髊。」 |</v>
      </c>
    </row>
    <row r="10971" spans="1:44" hidden="1">
      <c r="A10971" s="1" t="s">
        <v>22197</v>
      </c>
      <c r="C10971" s="1">
        <v>1</v>
      </c>
      <c r="D10971" s="1" t="str">
        <f>"09404"</f>
        <v>09404</v>
      </c>
      <c r="E10971" s="1" t="s">
        <v>241</v>
      </c>
      <c r="F10971" s="1">
        <v>3</v>
      </c>
      <c r="G10971" s="1">
        <v>0</v>
      </c>
      <c r="H10971" s="1">
        <v>1</v>
      </c>
      <c r="I10971" s="1" t="s">
        <v>22198</v>
      </c>
      <c r="K10971" s="1" t="str">
        <f t="shared" si="680"/>
        <v>ㄗ</v>
      </c>
      <c r="M10971" s="1" t="str">
        <f t="shared" si="679"/>
        <v/>
      </c>
      <c r="N10971" s="3" t="s">
        <v>30576</v>
      </c>
      <c r="O10971" s="3"/>
      <c r="P10971" s="1" t="s">
        <v>20</v>
      </c>
      <c r="R10971" s="1" t="s">
        <v>22199</v>
      </c>
      <c r="V10971" s="1" t="s">
        <v>22200</v>
      </c>
      <c r="W10971" s="1" t="s">
        <v>22201</v>
      </c>
      <c r="AR10971" s="1" t="str">
        <f t="shared" si="682"/>
        <v>| [ㄗˇ](ㄗˇ.md) | [子](子.md) |  | zǐ | [名]_x000D_
1.地支的第一位。_x000D_
2.時辰名。約當晚上十一點到一點。_x000D_
3.古時指子女，現專指兒子。如：「四子二女」、「父子」、「獨生子」。_x000D_
4.後代子孫、子代。如：「絕子絕孫」。《荀子．正論》：「聖王之子也，有天下之後也，埶籍之所在也，天下之宗室也。」晉．石崇〈王明君辭〉：「我本漢家子，將適單于庭。」_x000D_
5.稚幼的鳥獸。如：「鹿子」、「鶴子」、「不入虎穴，焉得虎子。」《論語．雍也》：「犁牛之子，騂且角。」_x000D_
6.植物的果實、種子或動物的卵。如：「菜子」、「魚子」、「瓜子」、「蓮子」。_x000D_
7.對一般人的通稱。如：「小女子」、「無聊男子」。《詩經．邶風．匏有苦葉》：「招招舟子，人涉卬否。」_x000D_
8.對男子的美稱，多指有學問、道德或地位的人。如：「孔子」、「孟子」。_x000D_
9.夫婦之間相互的稱呼。如：「內子」、「外子」。_x000D_
10.稱輩分小、年紀輕的人。如：「子弟」。《論語．述而》：「二三子以我為隱乎？」_x000D_
11.棋粒。唐．鄭谷〈寄棋客〉詩：「覆圖聞夜雨，下子對秋燈。」宋．蘇軾〈觀棋〉詩：「不聞人聲，時聞落子。紋枰坐對，誰究此味？」《山歌．卷六．棋》：「收子象棋著圍碁。」_x000D_
12.古代圖書分類的第三部。包括諸子百家著作、技藝、術數等書籍。如：「經、史、子、集。」_x000D_
13.古代五等爵位的第四等。《禮記．王制》：「王者之制祿爵，公、侯、伯、子、男凡五等。」_x000D_
14.姓。如商代有子昭。_x000D_
15.二一四部首之一。_x000D_
[代]_x000D_
你。《韓非子．難勢》：「以子之矛陷子之楯何如？」《史記．卷七〇．張儀列傳》：「子亦知子之賤於王乎？」_x000D_
[形]_x000D_
1.幼小的。如：「子雞」、「子薑」、「子豬」。_x000D_
2.和母對稱的。參見「子金」、「子音」等條。_x000D_
3.派生的、有所屬的。參見「子目」、「子句」等條。_x000D_
[動]_x000D_
照顧、撫愛。《禮記．中庸》：「子庶民，來百工也。」唐．柳宗元〈封建論〉：「封建者，必私其土，子其人。」 |</v>
      </c>
    </row>
    <row r="10972" spans="1:44" hidden="1">
      <c r="A10972" s="1" t="s">
        <v>22121</v>
      </c>
      <c r="C10972" s="1">
        <v>1</v>
      </c>
      <c r="D10972" s="1" t="str">
        <f>"09405"</f>
        <v>09405</v>
      </c>
      <c r="E10972" s="1" t="s">
        <v>114</v>
      </c>
      <c r="F10972" s="1">
        <v>5</v>
      </c>
      <c r="G10972" s="1">
        <v>3</v>
      </c>
      <c r="H10972" s="1">
        <v>3</v>
      </c>
      <c r="I10972" s="1" t="s">
        <v>22198</v>
      </c>
      <c r="K10972" s="1" t="str">
        <f t="shared" si="680"/>
        <v>ㄗ</v>
      </c>
      <c r="M10972" s="1" t="str">
        <f t="shared" si="679"/>
        <v/>
      </c>
      <c r="N10972" s="3" t="s">
        <v>30576</v>
      </c>
      <c r="O10972" s="3"/>
      <c r="P10972" s="1" t="s">
        <v>20</v>
      </c>
      <c r="R10972" s="1" t="s">
        <v>22199</v>
      </c>
      <c r="V10972" s="1" t="s">
        <v>22202</v>
      </c>
      <c r="W10972" s="1" t="s">
        <v>22203</v>
      </c>
      <c r="AR10972" s="1" t="str">
        <f t="shared" si="682"/>
        <v>| [ㄗˇ](ㄗˇ.md) | [仔](仔.md) |  | zǐ | [名]
植物的種子。如：「菜仔」、「麥仔」。
[副]
小心、細心。如：「他做事很仔細。」
[助]
方言中的語助詞。如：「囝仔」、「阿飛仔」、「歌仔戲」。 |</v>
      </c>
    </row>
    <row r="10973" spans="1:44" hidden="1">
      <c r="A10973" s="1" t="s">
        <v>22204</v>
      </c>
      <c r="C10973" s="1">
        <v>1</v>
      </c>
      <c r="D10973" s="1" t="str">
        <f>"09406"</f>
        <v>09406</v>
      </c>
      <c r="E10973" s="1" t="s">
        <v>46</v>
      </c>
      <c r="F10973" s="1">
        <v>9</v>
      </c>
      <c r="G10973" s="1">
        <v>3</v>
      </c>
      <c r="H10973" s="1">
        <v>0</v>
      </c>
      <c r="I10973" s="1" t="s">
        <v>22198</v>
      </c>
      <c r="K10973" s="1" t="str">
        <f t="shared" si="680"/>
        <v>ㄗ</v>
      </c>
      <c r="M10973" s="1" t="str">
        <f t="shared" si="679"/>
        <v/>
      </c>
      <c r="N10973" s="3" t="s">
        <v>30576</v>
      </c>
      <c r="O10973" s="3"/>
      <c r="P10973" s="1" t="s">
        <v>20</v>
      </c>
      <c r="R10973" s="1" t="s">
        <v>22199</v>
      </c>
      <c r="V10973" s="1" t="s">
        <v>22205</v>
      </c>
      <c r="AR10973" s="1" t="str">
        <f t="shared" si="682"/>
        <v>| [ㄗˇ](ㄗˇ.md) | [籽](籽.md) |  | zǐ | [名]
植物的種子。如：「菜籽」、「稻籽」。 |</v>
      </c>
    </row>
    <row r="10974" spans="1:44" hidden="1">
      <c r="A10974" s="1" t="s">
        <v>22206</v>
      </c>
      <c r="C10974" s="1">
        <v>1</v>
      </c>
      <c r="D10974" s="1" t="str">
        <f>"09407"</f>
        <v>09407</v>
      </c>
      <c r="E10974" s="1" t="s">
        <v>109</v>
      </c>
      <c r="F10974" s="1">
        <v>9</v>
      </c>
      <c r="G10974" s="1">
        <v>3</v>
      </c>
      <c r="H10974" s="1">
        <v>0</v>
      </c>
      <c r="I10974" s="1" t="s">
        <v>22198</v>
      </c>
      <c r="K10974" s="1" t="str">
        <f t="shared" si="680"/>
        <v>ㄗ</v>
      </c>
      <c r="M10974" s="1" t="str">
        <f t="shared" ref="M10974:M11005" si="683">MID(I10974, 3, 1)</f>
        <v/>
      </c>
      <c r="N10974" s="3" t="s">
        <v>30576</v>
      </c>
      <c r="O10974" s="3"/>
      <c r="P10974" s="1" t="s">
        <v>20</v>
      </c>
      <c r="R10974" s="1" t="s">
        <v>22199</v>
      </c>
      <c r="V10974" s="1" t="s">
        <v>22207</v>
      </c>
      <c r="AR10974" s="1" t="str">
        <f t="shared" si="682"/>
        <v>| [ㄗˇ](ㄗˇ.md) | [耔](耔.md) |  | zǐ | [動]
培土，將土堆在苗根旁邊。《詩經．小雅．甫田》：「今適南畝，或耘或耔。」《文選．陶淵明．歸去來辭》：「懷良辰以孤往，或植杖而耘耔。」
[名]
植物的種子。《清史稿．卷三〇七．劉於義傳》：「請酌借耔糧農器，於瓜州諸地開墾屯種，耕犁以馬代牛，並募耕夫二百，教回民農事。」 |</v>
      </c>
    </row>
    <row r="10975" spans="1:44" hidden="1">
      <c r="A10975" s="1" t="s">
        <v>13493</v>
      </c>
      <c r="C10975" s="1">
        <v>1</v>
      </c>
      <c r="D10975" s="1" t="str">
        <f>"09408"</f>
        <v>09408</v>
      </c>
      <c r="E10975" s="1" t="s">
        <v>534</v>
      </c>
      <c r="F10975" s="1">
        <v>8</v>
      </c>
      <c r="G10975" s="1">
        <v>5</v>
      </c>
      <c r="H10975" s="1">
        <v>1</v>
      </c>
      <c r="I10975" s="1" t="s">
        <v>22198</v>
      </c>
      <c r="K10975" s="1" t="str">
        <f t="shared" si="680"/>
        <v>ㄗ</v>
      </c>
      <c r="M10975" s="1" t="str">
        <f t="shared" si="683"/>
        <v/>
      </c>
      <c r="N10975" s="3" t="s">
        <v>30576</v>
      </c>
      <c r="O10975" s="3"/>
      <c r="P10975" s="1" t="s">
        <v>186</v>
      </c>
      <c r="R10975" s="1" t="s">
        <v>22199</v>
      </c>
      <c r="V10975" s="1" t="s">
        <v>22208</v>
      </c>
      <c r="W10975" s="1" t="s">
        <v>22209</v>
      </c>
      <c r="AR10975" s="1" t="str">
        <f t="shared" si="682"/>
        <v>| [ㄗˇ](ㄗˇ.md) | [姊](姊.md) |  | zǐ | [名]
稱謂：(1)用以稱比自己先出生的同胞女子。如：「大姊」、「二姊」。南朝梁．無名氏〈木蘭詩〉二首之一：「小弟聞姊來，磨刀霍霍向豬羊。」俗稱為「姊姊」。(2)用以稱同輩親戚中比自己年長的女子。如：「表姊」、「堂姊」。(3)用以稱同輩女性。如：「學姊」、「師姊」。 |</v>
      </c>
    </row>
    <row r="10976" spans="1:44" hidden="1">
      <c r="A10976" s="1" t="s">
        <v>22210</v>
      </c>
      <c r="C10976" s="1">
        <v>1</v>
      </c>
      <c r="D10976" s="1" t="str">
        <f>"09409"</f>
        <v>09409</v>
      </c>
      <c r="E10976" s="1" t="s">
        <v>68</v>
      </c>
      <c r="F10976" s="1">
        <v>9</v>
      </c>
      <c r="G10976" s="1">
        <v>5</v>
      </c>
      <c r="H10976" s="1">
        <v>0</v>
      </c>
      <c r="I10976" s="1" t="s">
        <v>22198</v>
      </c>
      <c r="K10976" s="1" t="str">
        <f t="shared" si="680"/>
        <v>ㄗ</v>
      </c>
      <c r="M10976" s="1" t="str">
        <f t="shared" si="683"/>
        <v/>
      </c>
      <c r="N10976" s="3" t="s">
        <v>30576</v>
      </c>
      <c r="O10976" s="3"/>
      <c r="P10976" s="1" t="s">
        <v>20</v>
      </c>
      <c r="R10976" s="1" t="s">
        <v>22199</v>
      </c>
      <c r="V10976" s="1" t="s">
        <v>22211</v>
      </c>
      <c r="AR10976" s="1" t="str">
        <f t="shared" si="682"/>
        <v>| [ㄗˇ](ㄗˇ.md) | [胏](胏.md) |  | zǐ | [名]
有骨的乾肉。《易經．噬嗑卦．九四》：「噬乾胏，得金矢，利艱貞，吉。」 |</v>
      </c>
    </row>
    <row r="10977" spans="1:44" hidden="1">
      <c r="A10977" s="1" t="s">
        <v>22212</v>
      </c>
      <c r="C10977" s="1">
        <v>1</v>
      </c>
      <c r="D10977" s="1" t="str">
        <f>"09410"</f>
        <v>09410</v>
      </c>
      <c r="E10977" s="1" t="s">
        <v>429</v>
      </c>
      <c r="F10977" s="1">
        <v>10</v>
      </c>
      <c r="G10977" s="1">
        <v>5</v>
      </c>
      <c r="H10977" s="1">
        <v>0</v>
      </c>
      <c r="I10977" s="1" t="s">
        <v>22198</v>
      </c>
      <c r="K10977" s="1" t="str">
        <f t="shared" si="680"/>
        <v>ㄗ</v>
      </c>
      <c r="M10977" s="1" t="str">
        <f t="shared" si="683"/>
        <v/>
      </c>
      <c r="N10977" s="3" t="s">
        <v>30576</v>
      </c>
      <c r="O10977" s="3"/>
      <c r="P10977" s="1" t="s">
        <v>20</v>
      </c>
      <c r="R10977" s="1" t="s">
        <v>22199</v>
      </c>
      <c r="V10977" s="1" t="s">
        <v>22213</v>
      </c>
      <c r="AR10977" s="1" t="str">
        <f t="shared" si="682"/>
        <v>| [ㄗˇ](ㄗˇ.md) | [秭](秭.md) |  | zǐ | [名]
數目字。舊稱一萬億為「秭」。 |</v>
      </c>
    </row>
    <row r="10978" spans="1:44" hidden="1">
      <c r="A10978" s="1" t="s">
        <v>22214</v>
      </c>
      <c r="C10978" s="1">
        <v>1</v>
      </c>
      <c r="D10978" s="1" t="str">
        <f>"09411"</f>
        <v>09411</v>
      </c>
      <c r="E10978" s="1" t="s">
        <v>49</v>
      </c>
      <c r="F10978" s="1">
        <v>11</v>
      </c>
      <c r="G10978" s="1">
        <v>5</v>
      </c>
      <c r="H10978" s="1">
        <v>0</v>
      </c>
      <c r="I10978" s="1" t="s">
        <v>22198</v>
      </c>
      <c r="K10978" s="1" t="str">
        <f t="shared" si="680"/>
        <v>ㄗ</v>
      </c>
      <c r="M10978" s="1" t="str">
        <f t="shared" si="683"/>
        <v/>
      </c>
      <c r="N10978" s="3" t="s">
        <v>30576</v>
      </c>
      <c r="O10978" s="3"/>
      <c r="P10978" s="1" t="s">
        <v>20</v>
      </c>
      <c r="R10978" s="1" t="s">
        <v>22199</v>
      </c>
      <c r="V10978" s="1" t="s">
        <v>22215</v>
      </c>
      <c r="AR10978" s="1" t="str">
        <f t="shared" si="682"/>
        <v>| [ㄗˇ](ㄗˇ.md) | [笫](笫.md) |  | zǐ | [名]
床席。《左傳．襄公二十七年》：「床笫之言不踰閾，況在野乎！」 |</v>
      </c>
    </row>
    <row r="10979" spans="1:44" hidden="1">
      <c r="A10979" s="1" t="s">
        <v>22216</v>
      </c>
      <c r="C10979" s="1">
        <v>1</v>
      </c>
      <c r="D10979" s="1" t="str">
        <f>"09412"</f>
        <v>09412</v>
      </c>
      <c r="E10979" s="1" t="s">
        <v>28</v>
      </c>
      <c r="F10979" s="1">
        <v>9</v>
      </c>
      <c r="G10979" s="1">
        <v>6</v>
      </c>
      <c r="H10979" s="1">
        <v>0</v>
      </c>
      <c r="I10979" s="1" t="s">
        <v>22198</v>
      </c>
      <c r="K10979" s="1" t="str">
        <f t="shared" si="680"/>
        <v>ㄗ</v>
      </c>
      <c r="M10979" s="1" t="str">
        <f t="shared" si="683"/>
        <v/>
      </c>
      <c r="N10979" s="3" t="s">
        <v>30576</v>
      </c>
      <c r="O10979" s="3"/>
      <c r="P10979" s="1" t="s">
        <v>20</v>
      </c>
      <c r="R10979" s="1" t="s">
        <v>22199</v>
      </c>
      <c r="V10979" s="1" t="s">
        <v>22217</v>
      </c>
      <c r="AR10979" s="1" t="str">
        <f t="shared" si="682"/>
        <v>| [ㄗˇ](ㄗˇ.md) | [呰](呰.md) |  | zǐ | [動]
誹謗、詆毀。《文選．曹植．與楊德祖書》：「昔田巴毀五帝，罪三王，呰五霸於稷下，一旦而服千人。」
[形]
參見「呰窳」條。 |</v>
      </c>
    </row>
    <row r="10980" spans="1:44" hidden="1">
      <c r="A10980" s="1" t="s">
        <v>19571</v>
      </c>
      <c r="C10980" s="1">
        <v>1</v>
      </c>
      <c r="D10980" s="1" t="str">
        <f>"09413"</f>
        <v>09413</v>
      </c>
      <c r="E10980" s="1" t="s">
        <v>37</v>
      </c>
      <c r="F10980" s="1">
        <v>10</v>
      </c>
      <c r="G10980" s="1">
        <v>6</v>
      </c>
      <c r="H10980" s="1">
        <v>1</v>
      </c>
      <c r="I10980" s="1" t="s">
        <v>22198</v>
      </c>
      <c r="K10980" s="1" t="str">
        <f t="shared" si="680"/>
        <v>ㄗ</v>
      </c>
      <c r="M10980" s="1" t="str">
        <f t="shared" si="683"/>
        <v/>
      </c>
      <c r="N10980" s="3" t="s">
        <v>30576</v>
      </c>
      <c r="O10980" s="3"/>
      <c r="P10980" s="1" t="s">
        <v>20</v>
      </c>
      <c r="R10980" s="1" t="s">
        <v>22199</v>
      </c>
      <c r="V10980" s="1" t="s">
        <v>22218</v>
      </c>
      <c r="W10980" s="1" t="s">
        <v>22219</v>
      </c>
      <c r="AR10980" s="1" t="str">
        <f t="shared" si="682"/>
        <v>| [ㄗˇ](ㄗˇ.md) | [茈](茈.md) |  | zǐ | 繖形科柴胡屬，「茈胡」、「柴胡」之古稱，參見「茈胡」、「柴胡」條。 |</v>
      </c>
    </row>
    <row r="10981" spans="1:44" hidden="1">
      <c r="A10981" s="1" t="s">
        <v>22220</v>
      </c>
      <c r="C10981" s="1">
        <v>1</v>
      </c>
      <c r="D10981" s="1" t="str">
        <f>"09414"</f>
        <v>09414</v>
      </c>
      <c r="E10981" s="1" t="s">
        <v>725</v>
      </c>
      <c r="F10981" s="1">
        <v>12</v>
      </c>
      <c r="G10981" s="1">
        <v>6</v>
      </c>
      <c r="H10981" s="1">
        <v>0</v>
      </c>
      <c r="I10981" s="1" t="s">
        <v>22198</v>
      </c>
      <c r="K10981" s="1" t="str">
        <f t="shared" si="680"/>
        <v>ㄗ</v>
      </c>
      <c r="M10981" s="1" t="str">
        <f t="shared" si="683"/>
        <v/>
      </c>
      <c r="N10981" s="3" t="s">
        <v>30576</v>
      </c>
      <c r="O10981" s="3"/>
      <c r="P10981" s="1" t="s">
        <v>20</v>
      </c>
      <c r="R10981" s="1" t="s">
        <v>22199</v>
      </c>
      <c r="V10981" s="1" t="s">
        <v>22221</v>
      </c>
      <c r="AR10981" s="1" t="str">
        <f t="shared" si="682"/>
        <v>| [ㄗˇ](ㄗˇ.md) | [紫](紫.md) |  | zǐ | [名]
1.紅、藍合成的顏色。《論語．陽貨》：「惡紫之奪朱也，惡鄭聲之亂雅樂也。」
2.姓。如宋代有紫景望。 |</v>
      </c>
    </row>
    <row r="10982" spans="1:44" hidden="1">
      <c r="A10982" s="1" t="s">
        <v>22222</v>
      </c>
      <c r="C10982" s="1">
        <v>1</v>
      </c>
      <c r="D10982" s="1" t="str">
        <f>"09415"</f>
        <v>09415</v>
      </c>
      <c r="E10982" s="1" t="s">
        <v>331</v>
      </c>
      <c r="F10982" s="1">
        <v>13</v>
      </c>
      <c r="G10982" s="1">
        <v>6</v>
      </c>
      <c r="H10982" s="1">
        <v>0</v>
      </c>
      <c r="I10982" s="1" t="s">
        <v>22198</v>
      </c>
      <c r="K10982" s="1" t="str">
        <f t="shared" si="680"/>
        <v>ㄗ</v>
      </c>
      <c r="M10982" s="1" t="str">
        <f t="shared" si="683"/>
        <v/>
      </c>
      <c r="N10982" s="3" t="s">
        <v>30576</v>
      </c>
      <c r="O10982" s="3"/>
      <c r="P10982" s="1" t="s">
        <v>20</v>
      </c>
      <c r="R10982" s="1" t="s">
        <v>22199</v>
      </c>
      <c r="V10982" s="1" t="s">
        <v>22223</v>
      </c>
      <c r="AR10982" s="1" t="str">
        <f t="shared" si="682"/>
        <v>| [ㄗˇ](ㄗˇ.md) | [訿](訿.md) |  | zǐ | [動]
詆毀。《玉篇．言部》：「訿，毀也。」《楚辭．王逸．九思．遭厄》：「指正義兮為曲，訿玉璧兮為石。」 |</v>
      </c>
    </row>
    <row r="10983" spans="1:44" hidden="1">
      <c r="A10983" s="1" t="s">
        <v>22179</v>
      </c>
      <c r="C10983" s="1">
        <v>1</v>
      </c>
      <c r="D10983" s="1" t="str">
        <f>"09416"</f>
        <v>09416</v>
      </c>
      <c r="E10983" s="1" t="s">
        <v>331</v>
      </c>
      <c r="F10983" s="1">
        <v>13</v>
      </c>
      <c r="G10983" s="1">
        <v>6</v>
      </c>
      <c r="H10983" s="1">
        <v>2</v>
      </c>
      <c r="I10983" s="1" t="s">
        <v>22198</v>
      </c>
      <c r="K10983" s="1" t="str">
        <f t="shared" si="680"/>
        <v>ㄗ</v>
      </c>
      <c r="M10983" s="1" t="str">
        <f t="shared" si="683"/>
        <v/>
      </c>
      <c r="N10983" s="3" t="s">
        <v>30576</v>
      </c>
      <c r="O10983" s="3"/>
      <c r="P10983" s="1" t="s">
        <v>20</v>
      </c>
      <c r="R10983" s="1" t="s">
        <v>22199</v>
      </c>
      <c r="V10983" s="1" t="s">
        <v>22224</v>
      </c>
      <c r="W10983" s="1" t="s">
        <v>22225</v>
      </c>
      <c r="AR10983" s="1" t="str">
        <f t="shared" si="682"/>
        <v>| [ㄗˇ](ㄗˇ.md) | [訾](訾.md) |  | zǐ | [動]
1.詆毀。《莊子．山木》：「若夫乘道德而浮游則不然，无譽无訾。」唐．韓愈〈進學解〉：「是所謂詰匠氏之不以杙為楹，而訾醫師以昌陽引年，欲進其豨苓也。」
2.厭惡。《管子．形勢》：「訾食者不肥體。」唐．尹知章．注：「訾，惡也。」
3.計算、衡量。《商君書．墾令》：「訾粟而稅，則上壹而民平。」
4.考慮。《韓非子．亡徵》：「心悁忿而不訾前後者，可亡也。」
[形]
約束的、參照的。《管子．君臣上》：「吏嗇夫盡有訾程事律論法辟，衡權斗斛；文劾不以私論，而以事為正。」
[名]
瑕疵。《禮記．檀弓下》：「故子之所刺於禮者，亦非禮之訾也。」 |</v>
      </c>
    </row>
    <row r="10984" spans="1:44" hidden="1">
      <c r="A10984" s="1" t="s">
        <v>22226</v>
      </c>
      <c r="C10984" s="1">
        <v>1</v>
      </c>
      <c r="D10984" s="1" t="str">
        <f>"09417"</f>
        <v>09417</v>
      </c>
      <c r="E10984" s="1" t="s">
        <v>139</v>
      </c>
      <c r="F10984" s="1">
        <v>11</v>
      </c>
      <c r="G10984" s="1">
        <v>7</v>
      </c>
      <c r="H10984" s="1">
        <v>0</v>
      </c>
      <c r="I10984" s="1" t="s">
        <v>22198</v>
      </c>
      <c r="K10984" s="1" t="str">
        <f t="shared" si="680"/>
        <v>ㄗ</v>
      </c>
      <c r="M10984" s="1" t="str">
        <f t="shared" si="683"/>
        <v/>
      </c>
      <c r="N10984" s="3" t="s">
        <v>30576</v>
      </c>
      <c r="O10984" s="3"/>
      <c r="P10984" s="1" t="s">
        <v>20</v>
      </c>
      <c r="R10984" s="1" t="s">
        <v>22199</v>
      </c>
      <c r="V10984" s="1" t="s">
        <v>22227</v>
      </c>
      <c r="AR10984" s="1" t="str">
        <f t="shared" si="682"/>
        <v>| [ㄗˇ](ㄗˇ.md) | [梓](梓.md) |  | zǐ | [名]
1.植物名。紫葳科梓屬，落葉喬木。葉對生，闊卵形至近圓形，全緣偶掌狀淺裂。夏日開花，聚繖狀圓錐花序，花冠黃色，帶暗紫斑點。蒴果圓柱形，二瓣裂，種子兩短具長柔毛。木材供建築及製作器具。
2.製作木器的工匠。《孟子．盡心下》：「梓、匠、輪、輿，能與人規矩，不能使人巧。」
3.故鄉。漢．張衡〈南都賦〉：「永世克孝，懷桑梓焉，真人南巡，睹舊里焉。」
4.姓。如春秋時鄭國有梓慎。
[動]
出版。明．袁宏道〈敘咼氏家繩集〉：「近者吳川公梓其家集，始獲盡公及咼氏三世之藏。」 |</v>
      </c>
    </row>
    <row r="10985" spans="1:44" hidden="1">
      <c r="A10985" s="1" t="s">
        <v>22228</v>
      </c>
      <c r="C10985" s="1">
        <v>1</v>
      </c>
      <c r="D10985" s="1" t="str">
        <f>"09418"</f>
        <v>09418</v>
      </c>
      <c r="E10985" s="1" t="s">
        <v>129</v>
      </c>
      <c r="F10985" s="1">
        <v>13</v>
      </c>
      <c r="G10985" s="1">
        <v>10</v>
      </c>
      <c r="H10985" s="1">
        <v>0</v>
      </c>
      <c r="I10985" s="1" t="s">
        <v>22198</v>
      </c>
      <c r="K10985" s="1" t="str">
        <f t="shared" si="680"/>
        <v>ㄗ</v>
      </c>
      <c r="M10985" s="1" t="str">
        <f t="shared" si="683"/>
        <v/>
      </c>
      <c r="N10985" s="3" t="s">
        <v>30576</v>
      </c>
      <c r="O10985" s="3"/>
      <c r="P10985" s="1" t="s">
        <v>20</v>
      </c>
      <c r="R10985" s="1" t="s">
        <v>22199</v>
      </c>
      <c r="V10985" s="1" t="s">
        <v>22229</v>
      </c>
      <c r="AR10985" s="1" t="str">
        <f t="shared" si="682"/>
        <v>| [ㄗˇ](ㄗˇ.md) | [滓](滓.md) |  | zǐ | [名]
物品提出水分或精華後剩下的東西。如：「渣滓」。《文選．馬融．長笛賦》：「溉盥汙穢，澡雪垢滓矣。」
[形]
汙穢。《聊齋志異．卷七．仙人島》：「驅馬至西村，見父衣服滓敝，衰老堪憐。」 |</v>
      </c>
    </row>
    <row r="10986" spans="1:44" hidden="1">
      <c r="A10986" s="1" t="s">
        <v>22678</v>
      </c>
      <c r="C10986" s="1">
        <v>1</v>
      </c>
      <c r="D10986" s="1" t="str">
        <f>"09600"</f>
        <v>09600</v>
      </c>
      <c r="E10986" s="1" t="s">
        <v>114</v>
      </c>
      <c r="F10986" s="1">
        <v>7</v>
      </c>
      <c r="G10986" s="1">
        <v>5</v>
      </c>
      <c r="H10986" s="1">
        <v>2</v>
      </c>
      <c r="I10986" s="1" t="s">
        <v>22679</v>
      </c>
      <c r="K10986" s="1" t="str">
        <f t="shared" si="680"/>
        <v>ㄗ</v>
      </c>
      <c r="L10986" s="1" t="str">
        <f t="shared" ref="L10986:L11017" si="684">MID(I10986, 2, 1)</f>
        <v>ㄨ</v>
      </c>
      <c r="M10986" s="1" t="str">
        <f t="shared" si="683"/>
        <v>ㄛ</v>
      </c>
      <c r="P10986" s="1" t="s">
        <v>20</v>
      </c>
      <c r="R10986" s="1" t="s">
        <v>22680</v>
      </c>
      <c r="V10986" s="1" t="s">
        <v>22681</v>
      </c>
      <c r="W10986" s="1" t="s">
        <v>22682</v>
      </c>
      <c r="AR10986" s="1" t="str">
        <f t="shared" si="682"/>
        <v>| [ㄗㄨㄛ](ㄗㄨㄛ.md) | [作](作.md) |  | zuō | [名]_x000D_
1.工人、工匠。如：「木作」、「石作」、「瓦作」。_x000D_
2.製作某些工藝作品的場所。如：「作坊」。《三國志．卷二四．魏書．韓崔高孫王傳．孫禮》：「明帝方修宮室，而節氣不和，天下少穀。禮固爭，罷役，詔曰：『敬納讜言，促遣民作。』時李惠監作，復奏留一月，有所成訖。禮徑至作所。不復重奏，稱詔罷民，帝奇其意而不責也。」宋．灌圃耐得翁《都城紀勝．諸行》：「其他工伎之人，或名為作，如篦刃作、腰帶作、金銀鍍作、鈒作是也。」《水滸傳》第四四回：「再說這楊雄的丈人潘公自和石秀商量要開屠宰作坊。」_x000D_
[動]_x000D_
招惹、自找。如：「自作自受」。 |</v>
      </c>
    </row>
    <row r="10987" spans="1:44" hidden="1">
      <c r="A10987" s="1" t="s">
        <v>20298</v>
      </c>
      <c r="C10987" s="1">
        <v>1</v>
      </c>
      <c r="D10987" s="1" t="str">
        <f>"09601"</f>
        <v>09601</v>
      </c>
      <c r="E10987" s="1" t="s">
        <v>28</v>
      </c>
      <c r="F10987" s="1">
        <v>15</v>
      </c>
      <c r="G10987" s="1">
        <v>12</v>
      </c>
      <c r="H10987" s="1">
        <v>2</v>
      </c>
      <c r="I10987" s="1" t="s">
        <v>22679</v>
      </c>
      <c r="K10987" s="1" t="str">
        <f t="shared" si="680"/>
        <v>ㄗ</v>
      </c>
      <c r="L10987" s="1" t="str">
        <f t="shared" si="684"/>
        <v>ㄨ</v>
      </c>
      <c r="M10987" s="1" t="str">
        <f t="shared" si="683"/>
        <v>ㄛ</v>
      </c>
      <c r="P10987" s="1" t="s">
        <v>388</v>
      </c>
      <c r="R10987" s="1" t="s">
        <v>22680</v>
      </c>
      <c r="V10987" s="1" t="s">
        <v>407</v>
      </c>
      <c r="W10987" s="1" t="s">
        <v>22683</v>
      </c>
      <c r="AR10987" s="1" t="str">
        <f t="shared" si="682"/>
        <v>| [ㄗㄨㄛ](ㄗㄨㄛ.md) | [嘬](嘬.md) |  | zuō | (一)之語音。 |</v>
      </c>
    </row>
    <row r="10988" spans="1:44" hidden="1">
      <c r="A10988" s="1" t="s">
        <v>22678</v>
      </c>
      <c r="C10988" s="1">
        <v>1</v>
      </c>
      <c r="D10988" s="1" t="str">
        <f>"09602"</f>
        <v>09602</v>
      </c>
      <c r="E10988" s="1" t="s">
        <v>114</v>
      </c>
      <c r="F10988" s="1">
        <v>7</v>
      </c>
      <c r="G10988" s="1">
        <v>5</v>
      </c>
      <c r="H10988" s="1">
        <v>3</v>
      </c>
      <c r="I10988" s="1" t="s">
        <v>22684</v>
      </c>
      <c r="K10988" s="1" t="str">
        <f t="shared" si="680"/>
        <v>ㄗ</v>
      </c>
      <c r="L10988" s="1" t="str">
        <f t="shared" si="684"/>
        <v>ㄨ</v>
      </c>
      <c r="M10988" s="1" t="str">
        <f t="shared" si="683"/>
        <v>ㄛ</v>
      </c>
      <c r="P10988" s="1" t="s">
        <v>20</v>
      </c>
      <c r="R10988" s="1" t="s">
        <v>22685</v>
      </c>
      <c r="V10988" s="1" t="s">
        <v>22686</v>
      </c>
      <c r="W10988" s="1" t="s">
        <v>22687</v>
      </c>
      <c r="AR10988" s="1" t="str">
        <f t="shared" si="682"/>
        <v>| [ㄗㄨㄛˊ](ㄗㄨㄛˊ.md) | [作](作.md) |  | zuó | 參見「作摩」、「作料」等條。 |</v>
      </c>
    </row>
    <row r="10989" spans="1:44" hidden="1">
      <c r="A10989" s="1" t="s">
        <v>22688</v>
      </c>
      <c r="C10989" s="1">
        <v>1</v>
      </c>
      <c r="D10989" s="1" t="str">
        <f>"09603"</f>
        <v>09603</v>
      </c>
      <c r="E10989" s="1" t="s">
        <v>646</v>
      </c>
      <c r="F10989" s="1">
        <v>9</v>
      </c>
      <c r="G10989" s="1">
        <v>5</v>
      </c>
      <c r="H10989" s="1">
        <v>0</v>
      </c>
      <c r="I10989" s="1" t="s">
        <v>22684</v>
      </c>
      <c r="K10989" s="1" t="str">
        <f t="shared" si="680"/>
        <v>ㄗ</v>
      </c>
      <c r="L10989" s="1" t="str">
        <f t="shared" si="684"/>
        <v>ㄨ</v>
      </c>
      <c r="M10989" s="1" t="str">
        <f t="shared" si="683"/>
        <v>ㄛ</v>
      </c>
      <c r="P10989" s="1" t="s">
        <v>20</v>
      </c>
      <c r="R10989" s="1" t="s">
        <v>22685</v>
      </c>
      <c r="V10989" s="1" t="s">
        <v>22689</v>
      </c>
      <c r="AR10989" s="1" t="str">
        <f t="shared" si="682"/>
        <v>| [ㄗㄨㄛˊ](ㄗㄨㄛˊ.md) | [昨](昨.md) |  | zuó | [名]
1.前一天。《廣韻．入聲．鐸韻》：「昨，昨日，隔一宵。」《莊子．外物》：「周昨來，有中道而呼者。」
2.以往、過去。同「昔」。明．張自烈《正字通．日部》：「昨，往日也。」如：「今是昨非」。《文選．陶淵明．歸去來辭》：「寔迷途其未遠，覺今是而昨非。」
[形]
前一天的。如：「昨夜」。 |</v>
      </c>
    </row>
    <row r="10990" spans="1:44" hidden="1">
      <c r="A10990" s="1" t="s">
        <v>22690</v>
      </c>
      <c r="C10990" s="1">
        <v>1</v>
      </c>
      <c r="D10990" s="1" t="str">
        <f>"09604"</f>
        <v>09604</v>
      </c>
      <c r="E10990" s="1" t="s">
        <v>49</v>
      </c>
      <c r="F10990" s="1">
        <v>13</v>
      </c>
      <c r="G10990" s="1">
        <v>7</v>
      </c>
      <c r="H10990" s="1">
        <v>0</v>
      </c>
      <c r="I10990" s="1" t="s">
        <v>22684</v>
      </c>
      <c r="K10990" s="1" t="str">
        <f t="shared" si="680"/>
        <v>ㄗ</v>
      </c>
      <c r="L10990" s="1" t="str">
        <f t="shared" si="684"/>
        <v>ㄨ</v>
      </c>
      <c r="M10990" s="1" t="str">
        <f t="shared" si="683"/>
        <v>ㄛ</v>
      </c>
      <c r="P10990" s="1" t="s">
        <v>20</v>
      </c>
      <c r="R10990" s="1" t="s">
        <v>22685</v>
      </c>
      <c r="V10990" s="1" t="s">
        <v>22691</v>
      </c>
      <c r="AR10990" s="1" t="str">
        <f t="shared" si="682"/>
        <v>| [ㄗㄨㄛˊ](ㄗㄨㄛˊ.md) | [筰](筰.md) |  | zuó | [名]
用竹皮編成的繩索。《玉篇．竹部》：「筰，竹索也。」 |</v>
      </c>
    </row>
    <row r="10991" spans="1:44" hidden="1">
      <c r="A10991" s="1" t="s">
        <v>22648</v>
      </c>
      <c r="C10991" s="1">
        <v>1</v>
      </c>
      <c r="D10991" s="1" t="str">
        <f>"09605"</f>
        <v>09605</v>
      </c>
      <c r="E10991" s="1" t="s">
        <v>24</v>
      </c>
      <c r="F10991" s="1">
        <v>11</v>
      </c>
      <c r="G10991" s="1">
        <v>8</v>
      </c>
      <c r="H10991" s="1">
        <v>2</v>
      </c>
      <c r="I10991" s="1" t="s">
        <v>22684</v>
      </c>
      <c r="K10991" s="1" t="str">
        <f t="shared" si="680"/>
        <v>ㄗ</v>
      </c>
      <c r="L10991" s="1" t="str">
        <f t="shared" si="684"/>
        <v>ㄨ</v>
      </c>
      <c r="M10991" s="1" t="str">
        <f t="shared" si="683"/>
        <v>ㄛ</v>
      </c>
      <c r="P10991" s="1" t="s">
        <v>388</v>
      </c>
      <c r="R10991" s="1" t="s">
        <v>22685</v>
      </c>
      <c r="V10991" s="1" t="s">
        <v>407</v>
      </c>
      <c r="W10991" s="1" t="s">
        <v>22692</v>
      </c>
      <c r="AR10991" s="1" t="str">
        <f t="shared" si="682"/>
        <v>| [ㄗㄨㄛˊ](ㄗㄨㄛˊ.md) | [捽](捽.md) |  | zuó | (一)之語音。 |</v>
      </c>
    </row>
    <row r="10992" spans="1:44" hidden="1">
      <c r="A10992" s="1" t="s">
        <v>22693</v>
      </c>
      <c r="C10992" s="1">
        <v>1</v>
      </c>
      <c r="D10992" s="1" t="str">
        <f>"09606"</f>
        <v>09606</v>
      </c>
      <c r="E10992" s="1" t="s">
        <v>24</v>
      </c>
      <c r="F10992" s="1">
        <v>15</v>
      </c>
      <c r="G10992" s="1">
        <v>12</v>
      </c>
      <c r="H10992" s="1">
        <v>3</v>
      </c>
      <c r="I10992" s="1" t="s">
        <v>22684</v>
      </c>
      <c r="K10992" s="1" t="str">
        <f t="shared" si="680"/>
        <v>ㄗ</v>
      </c>
      <c r="L10992" s="1" t="str">
        <f t="shared" si="684"/>
        <v>ㄨ</v>
      </c>
      <c r="M10992" s="1" t="str">
        <f t="shared" si="683"/>
        <v>ㄛ</v>
      </c>
      <c r="P10992" s="1" t="s">
        <v>20</v>
      </c>
      <c r="R10992" s="1" t="s">
        <v>22685</v>
      </c>
      <c r="V10992" s="1" t="s">
        <v>22694</v>
      </c>
      <c r="W10992" s="1" t="s">
        <v>22695</v>
      </c>
      <c r="AR10992" s="1" t="str">
        <f t="shared" si="682"/>
        <v>| [ㄗㄨㄛˊ](ㄗㄨㄛˊ.md) | [撮](撮.md) |  | zuó | [動]
牽引。《集韻．入聲．末韻》：「撮，挽也。」 |</v>
      </c>
    </row>
    <row r="10993" spans="1:44" hidden="1">
      <c r="A10993" s="1" t="s">
        <v>22696</v>
      </c>
      <c r="C10993" s="1">
        <v>1</v>
      </c>
      <c r="D10993" s="1" t="str">
        <f>"09607"</f>
        <v>09607</v>
      </c>
      <c r="E10993" s="1" t="s">
        <v>10636</v>
      </c>
      <c r="F10993" s="1">
        <v>5</v>
      </c>
      <c r="G10993" s="1">
        <v>2</v>
      </c>
      <c r="H10993" s="1">
        <v>0</v>
      </c>
      <c r="I10993" s="1" t="s">
        <v>22697</v>
      </c>
      <c r="K10993" s="1" t="str">
        <f t="shared" si="680"/>
        <v>ㄗ</v>
      </c>
      <c r="L10993" s="1" t="str">
        <f t="shared" si="684"/>
        <v>ㄨ</v>
      </c>
      <c r="M10993" s="1" t="str">
        <f t="shared" si="683"/>
        <v>ㄛ</v>
      </c>
      <c r="P10993" s="1" t="s">
        <v>20</v>
      </c>
      <c r="R10993" s="1" t="s">
        <v>22698</v>
      </c>
      <c r="V10993" s="1" t="s">
        <v>22699</v>
      </c>
      <c r="AR10993" s="1" t="str">
        <f t="shared" si="682"/>
        <v>| [ㄗㄨㄛˇ](ㄗㄨㄛˇ.md) | [左](左.md) |  | zuǒ | [動]
1.輔佐。《說文解字．左部》：「手相左也。」《易經．泰卦．象曰》：「輔相天地之宜，以左右民。」
2.違背。如：「意見相左」。唐．韓愈〈答竇秀才書〉：「身勤而事左，辭重而請約，非計之得也。」
[名]
1.表示方向、位置。與「右」相對。如：「向左轉」、「前後左右」。
2.東方。如：「江左」、「山左」。《詩經．唐風．有杕之杜》：「有杕之杜，生于道左。」
3.姓。如晉代有左思。
[形]
1.左手這邊的。相對於「右」。如：「左方」、「左面」。
2.急進的、偏激的。如：「左派」、「左性子」。
3.不正當的。如：「旁門左道」。
[副]
1.參見「左計」條。
2.參見「左遷」條。
3.偏、差錯。如：「你想左了。」、「他說左了。」 |</v>
      </c>
    </row>
    <row r="10994" spans="1:44" hidden="1">
      <c r="A10994" s="1" t="s">
        <v>22700</v>
      </c>
      <c r="C10994" s="1">
        <v>1</v>
      </c>
      <c r="D10994" s="1" t="str">
        <f>"09608"</f>
        <v>09608</v>
      </c>
      <c r="E10994" s="1" t="s">
        <v>114</v>
      </c>
      <c r="F10994" s="1">
        <v>7</v>
      </c>
      <c r="G10994" s="1">
        <v>5</v>
      </c>
      <c r="H10994" s="1">
        <v>0</v>
      </c>
      <c r="I10994" s="1" t="s">
        <v>22697</v>
      </c>
      <c r="K10994" s="1" t="str">
        <f t="shared" si="680"/>
        <v>ㄗ</v>
      </c>
      <c r="L10994" s="1" t="str">
        <f t="shared" si="684"/>
        <v>ㄨ</v>
      </c>
      <c r="M10994" s="1" t="str">
        <f t="shared" si="683"/>
        <v>ㄛ</v>
      </c>
      <c r="P10994" s="1" t="s">
        <v>20</v>
      </c>
      <c r="R10994" s="1" t="s">
        <v>22698</v>
      </c>
      <c r="V10994" s="1" t="s">
        <v>22701</v>
      </c>
      <c r="AR10994" s="1" t="str">
        <f t="shared" si="682"/>
        <v>| [ㄗㄨㄛˇ](ㄗㄨㄛˇ.md) | [佐](佐.md) |  | zuǒ | [動]
1.輔助。如：「輔佐」、「佐理」。《左傳．襄公十三年》：「使趙武將上軍，韓起佐之。」
2.勸飲、配食。《國語．晉語九》：「召之，使佐食。比已食，三歎。」三國吳．韋昭．注：「佐，猶勸也。」《漢書．卷一．高帝紀下》：「置酒沛宮，悉召故人父老子弟佐酒。」顏師古注引應劭曰：「佐，助行酒。」
[名]
輔助的人員。如：「縣佐」、「軍佐」、「郵務佐」。
[形]
副的。《禮記．少儀》：「乘貳車則式，佐車則否。」 |</v>
      </c>
    </row>
    <row r="10995" spans="1:44" hidden="1">
      <c r="A10995" s="1" t="s">
        <v>22693</v>
      </c>
      <c r="C10995" s="1">
        <v>1</v>
      </c>
      <c r="D10995" s="1" t="str">
        <f>"09609"</f>
        <v>09609</v>
      </c>
      <c r="E10995" s="1" t="s">
        <v>24</v>
      </c>
      <c r="F10995" s="1">
        <v>15</v>
      </c>
      <c r="G10995" s="1">
        <v>12</v>
      </c>
      <c r="H10995" s="1">
        <v>4</v>
      </c>
      <c r="I10995" s="1" t="s">
        <v>22697</v>
      </c>
      <c r="K10995" s="1" t="str">
        <f t="shared" si="680"/>
        <v>ㄗ</v>
      </c>
      <c r="L10995" s="1" t="str">
        <f t="shared" si="684"/>
        <v>ㄨ</v>
      </c>
      <c r="M10995" s="1" t="str">
        <f t="shared" si="683"/>
        <v>ㄛ</v>
      </c>
      <c r="P10995" s="1" t="s">
        <v>20</v>
      </c>
      <c r="R10995" s="1" t="s">
        <v>22698</v>
      </c>
      <c r="V10995" s="1" t="s">
        <v>22702</v>
      </c>
      <c r="W10995" s="1" t="s">
        <v>22703</v>
      </c>
      <c r="AR10995" s="1" t="str">
        <f t="shared" si="682"/>
        <v>| [ㄗㄨㄛˇ](ㄗㄨㄛˇ.md) | [撮](撮.md) |  | zuǒ | [名]
量詞。計算成叢的毛髮或野草等的單位。如：「一撮頭髮」。 |</v>
      </c>
    </row>
    <row r="10996" spans="1:44" hidden="1">
      <c r="A10996" s="1" t="s">
        <v>22678</v>
      </c>
      <c r="C10996" s="1">
        <v>1</v>
      </c>
      <c r="D10996" s="1" t="str">
        <f>"09610"</f>
        <v>09610</v>
      </c>
      <c r="E10996" s="1" t="s">
        <v>114</v>
      </c>
      <c r="F10996" s="1">
        <v>7</v>
      </c>
      <c r="G10996" s="1">
        <v>5</v>
      </c>
      <c r="H10996" s="1">
        <v>1</v>
      </c>
      <c r="I10996" s="1" t="s">
        <v>22704</v>
      </c>
      <c r="K10996" s="1" t="str">
        <f t="shared" si="680"/>
        <v>ㄗ</v>
      </c>
      <c r="L10996" s="1" t="str">
        <f t="shared" si="684"/>
        <v>ㄨ</v>
      </c>
      <c r="M10996" s="1" t="str">
        <f t="shared" si="683"/>
        <v>ㄛ</v>
      </c>
      <c r="P10996" s="1" t="s">
        <v>20</v>
      </c>
      <c r="R10996" s="1" t="s">
        <v>22705</v>
      </c>
      <c r="V10996" s="1" t="s">
        <v>22706</v>
      </c>
      <c r="W10996" s="1" t="s">
        <v>22707</v>
      </c>
      <c r="AR10996" s="1" t="str">
        <f t="shared" si="682"/>
        <v>| [ㄗㄨㄛˋ](ㄗㄨㄛˋ.md) | [作](作.md) |  | zuò | [動]
1.興起、振起。《說文解字．人部》：「作，起也。」如：「興風作浪」。《易經．乾卦．九五》：「雲從龍，風從虎，聖人作而萬物睹。」《左傳．莊公十年》：「一鼓作氣，再而衰，三而竭。」
2.造就、培育。如：「天作之合」。《書經．康誥》：「亦惟助王宅天命，作新民。」
3.創作。如：「寫作」、「作畫」、「作詩」。《論語．述而》：「述而不作，信而好古。」
4.進行、舉行。如：「作戰」、「作簡報」。
5.為、當。如：「認賊作父」。
6.假裝。如：「裝腔作勢」、「裝模作樣」。
7.進行某事。同「做」。如：「作媒」、「作證」、「作事」。
8.成為。同「做」。如：「作人」、「作官」。
9.製造。唐．秦韜玉〈貧女〉詩：「苦恨年年壓金線，為他人作嫁衣裳。」
[名]
1.事業。如：「工作」。《禮記．緇衣》：「毋以小謀敗大作，毋以嬖御人疾莊后。」
2.詩文書畫與藝術品稱為「作」。如：「傑作」、「佳作」、「名作」。 |</v>
      </c>
    </row>
    <row r="10997" spans="1:44" hidden="1">
      <c r="A10997" s="1" t="s">
        <v>22708</v>
      </c>
      <c r="C10997" s="1">
        <v>1</v>
      </c>
      <c r="D10997" s="1" t="str">
        <f>"09611"</f>
        <v>09611</v>
      </c>
      <c r="E10997" s="1" t="s">
        <v>250</v>
      </c>
      <c r="F10997" s="1">
        <v>8</v>
      </c>
      <c r="G10997" s="1">
        <v>5</v>
      </c>
      <c r="H10997" s="1">
        <v>0</v>
      </c>
      <c r="I10997" s="1" t="s">
        <v>22704</v>
      </c>
      <c r="K10997" s="1" t="str">
        <f t="shared" si="680"/>
        <v>ㄗ</v>
      </c>
      <c r="L10997" s="1" t="str">
        <f t="shared" si="684"/>
        <v>ㄨ</v>
      </c>
      <c r="M10997" s="1" t="str">
        <f t="shared" si="683"/>
        <v>ㄛ</v>
      </c>
      <c r="P10997" s="1" t="s">
        <v>20</v>
      </c>
      <c r="R10997" s="1" t="s">
        <v>22705</v>
      </c>
      <c r="V10997" s="1" t="s">
        <v>22709</v>
      </c>
      <c r="AR10997" s="1" t="str">
        <f t="shared" si="682"/>
        <v>| [ㄗㄨㄛˋ](ㄗㄨㄛˋ.md) | [怍](怍.md) |  | zuò | [動]
1.慚愧。如：「愧怍」。《孟子．盡心上》：「仰不愧於天，俯不怍於人。」
2.面色改變。《管子．弟子職》：「危坐鄉師，顏色毋怍。」《宋書．卷六九．范曄傳》：「仍以手擊曄頸及頰，曄顏色不怍。」 |</v>
      </c>
    </row>
    <row r="10998" spans="1:44" hidden="1">
      <c r="A10998" s="1" t="s">
        <v>22710</v>
      </c>
      <c r="C10998" s="1">
        <v>1</v>
      </c>
      <c r="D10998" s="1" t="str">
        <f>"09612"</f>
        <v>09612</v>
      </c>
      <c r="E10998" s="1" t="s">
        <v>691</v>
      </c>
      <c r="F10998" s="1">
        <v>8</v>
      </c>
      <c r="G10998" s="1">
        <v>5</v>
      </c>
      <c r="H10998" s="1">
        <v>0</v>
      </c>
      <c r="I10998" s="1" t="s">
        <v>22704</v>
      </c>
      <c r="K10998" s="1" t="str">
        <f t="shared" si="680"/>
        <v>ㄗ</v>
      </c>
      <c r="L10998" s="1" t="str">
        <f t="shared" si="684"/>
        <v>ㄨ</v>
      </c>
      <c r="M10998" s="1" t="str">
        <f t="shared" si="683"/>
        <v>ㄛ</v>
      </c>
      <c r="P10998" s="1" t="s">
        <v>20</v>
      </c>
      <c r="R10998" s="1" t="s">
        <v>22705</v>
      </c>
      <c r="V10998" s="1" t="s">
        <v>22711</v>
      </c>
      <c r="AR10998" s="1" t="str">
        <f t="shared" si="682"/>
        <v>| [ㄗㄨㄛˋ](ㄗㄨㄛˋ.md) | [阼](阼.md) |  | zuò | [名]
1.古代廳堂前東面的臺階，為主人迎接賓客的地方。《集韻．入聲．鐸韻》：「阼，東階。」唐．杜甫〈朝享太廟賦〉：「階有賓阼，帳有甲乙。」
2.帝位、王位。如：「踐阼」。《禮記．文王世子》：「成王幼，不能蒞阼。」
3.祭肉。通「胙」。《儀禮．特牲饋食禮》：「祝命徹阼俎、豆籩，設于東序下。」 |</v>
      </c>
    </row>
    <row r="10999" spans="1:44" hidden="1">
      <c r="A10999" s="1" t="s">
        <v>22302</v>
      </c>
      <c r="C10999" s="1">
        <v>1</v>
      </c>
      <c r="D10999" s="1" t="str">
        <f>"09613"</f>
        <v>09613</v>
      </c>
      <c r="E10999" s="1" t="s">
        <v>139</v>
      </c>
      <c r="F10999" s="1">
        <v>9</v>
      </c>
      <c r="G10999" s="1">
        <v>5</v>
      </c>
      <c r="H10999" s="1">
        <v>1</v>
      </c>
      <c r="I10999" s="1" t="s">
        <v>22704</v>
      </c>
      <c r="K10999" s="1" t="str">
        <f t="shared" si="680"/>
        <v>ㄗ</v>
      </c>
      <c r="L10999" s="1" t="str">
        <f t="shared" si="684"/>
        <v>ㄨ</v>
      </c>
      <c r="M10999" s="1" t="str">
        <f t="shared" si="683"/>
        <v>ㄛ</v>
      </c>
      <c r="P10999" s="1" t="s">
        <v>20</v>
      </c>
      <c r="R10999" s="1" t="s">
        <v>22705</v>
      </c>
      <c r="V10999" s="1" t="s">
        <v>22712</v>
      </c>
      <c r="W10999" s="1" t="s">
        <v>22713</v>
      </c>
      <c r="AR10999" s="1" t="str">
        <f t="shared" si="682"/>
        <v>| [ㄗㄨㄛˋ](ㄗㄨㄛˋ.md) | [柞](柞.md) |  | zuò | [名]
植物名：(1)殼斗科麻櫟屬，「柞樹」之簡稱，參見「柞樹」條。(2)大風子科柞木屬，常綠喬木或灌木，枝光滑，刺腋生。葉寬卵形至橢圓形，圓鈍鋸齒緣。總狀花序腋生；萼片四至六枚，黃綠色，花瓣不存。漿果球形，黑熟。也稱為「柞木」。 |</v>
      </c>
    </row>
    <row r="11000" spans="1:44" hidden="1">
      <c r="A11000" s="1" t="s">
        <v>22305</v>
      </c>
      <c r="C11000" s="1">
        <v>1</v>
      </c>
      <c r="D11000" s="1" t="str">
        <f>"09614"</f>
        <v>09614</v>
      </c>
      <c r="E11000" s="1" t="s">
        <v>558</v>
      </c>
      <c r="F11000" s="1">
        <v>9</v>
      </c>
      <c r="G11000" s="1">
        <v>5</v>
      </c>
      <c r="H11000" s="1">
        <v>2</v>
      </c>
      <c r="I11000" s="1" t="s">
        <v>22704</v>
      </c>
      <c r="K11000" s="1" t="str">
        <f t="shared" si="680"/>
        <v>ㄗ</v>
      </c>
      <c r="L11000" s="1" t="str">
        <f t="shared" si="684"/>
        <v>ㄨ</v>
      </c>
      <c r="M11000" s="1" t="str">
        <f t="shared" si="683"/>
        <v>ㄛ</v>
      </c>
      <c r="P11000" s="1" t="s">
        <v>110</v>
      </c>
      <c r="R11000" s="1" t="s">
        <v>22705</v>
      </c>
      <c r="V11000" s="1" t="s">
        <v>111</v>
      </c>
      <c r="W11000" s="1" t="s">
        <v>22714</v>
      </c>
      <c r="AR11000" s="1" t="str">
        <f t="shared" si="682"/>
        <v>| [ㄗㄨㄛˋ](ㄗㄨㄛˋ.md) | [迮](迮.md) |  | zuò | (一)之又音。 |</v>
      </c>
    </row>
    <row r="11001" spans="1:44" hidden="1">
      <c r="A11001" s="1" t="s">
        <v>22715</v>
      </c>
      <c r="C11001" s="1">
        <v>1</v>
      </c>
      <c r="D11001" s="1" t="str">
        <f>"09615"</f>
        <v>09615</v>
      </c>
      <c r="E11001" s="1" t="s">
        <v>68</v>
      </c>
      <c r="F11001" s="1">
        <v>9</v>
      </c>
      <c r="G11001" s="1">
        <v>5</v>
      </c>
      <c r="H11001" s="1">
        <v>0</v>
      </c>
      <c r="I11001" s="1" t="s">
        <v>22704</v>
      </c>
      <c r="K11001" s="1" t="str">
        <f t="shared" si="680"/>
        <v>ㄗ</v>
      </c>
      <c r="L11001" s="1" t="str">
        <f t="shared" si="684"/>
        <v>ㄨ</v>
      </c>
      <c r="M11001" s="1" t="str">
        <f t="shared" si="683"/>
        <v>ㄛ</v>
      </c>
      <c r="P11001" s="1" t="s">
        <v>20</v>
      </c>
      <c r="R11001" s="1" t="s">
        <v>22705</v>
      </c>
      <c r="V11001" s="1" t="s">
        <v>22716</v>
      </c>
      <c r="AR11001" s="1" t="str">
        <f t="shared" si="682"/>
        <v>| [ㄗㄨㄛˋ](ㄗㄨㄛˋ.md) | [胙](胙.md) |  | zuò | [名]
祭祀所用的肉。《說文解字．肉部》：「胙，祭福肉也。」
[動]
1.降福。《國語．周語下》：「天地所胙，小而後國。」《漢書．卷一〇〇．敘傳下》：「德薄位尊，非胙惟殃。」
2.酬答。《左傳．隱公八年》：「胙之土而命之氏。」《北周．庾信．哀江南賦》：「分南陽而賜田，裂東嶽而胙土。」 |</v>
      </c>
    </row>
    <row r="11002" spans="1:44" hidden="1">
      <c r="A11002" s="1" t="s">
        <v>22717</v>
      </c>
      <c r="C11002" s="1">
        <v>1</v>
      </c>
      <c r="D11002" s="1" t="str">
        <f>"09616"</f>
        <v>09616</v>
      </c>
      <c r="E11002" s="1" t="s">
        <v>825</v>
      </c>
      <c r="F11002" s="1">
        <v>10</v>
      </c>
      <c r="G11002" s="1">
        <v>5</v>
      </c>
      <c r="H11002" s="1">
        <v>0</v>
      </c>
      <c r="I11002" s="1" t="s">
        <v>22704</v>
      </c>
      <c r="K11002" s="1" t="str">
        <f t="shared" si="680"/>
        <v>ㄗ</v>
      </c>
      <c r="L11002" s="1" t="str">
        <f t="shared" si="684"/>
        <v>ㄨ</v>
      </c>
      <c r="M11002" s="1" t="str">
        <f t="shared" si="683"/>
        <v>ㄛ</v>
      </c>
      <c r="P11002" s="1" t="s">
        <v>20</v>
      </c>
      <c r="R11002" s="1" t="s">
        <v>22705</v>
      </c>
      <c r="V11002" s="1" t="s">
        <v>22718</v>
      </c>
      <c r="AR11002" s="1" t="str">
        <f t="shared" si="682"/>
        <v>| [ㄗㄨㄛˋ](ㄗㄨㄛˋ.md) | [祚](祚.md) |  | zuò | [名]
1.福氣。《文選．李密．陳情表》：「門衰祚薄，晚有兒息。」
2.君位。《史記．卷一六．秦楚之際月表》：「撥亂誅暴，平定海內，卒踐帝祚，成於漢家。」《文選．班固．東都賦》：「往者王莽作逆，漢祚中缺。」
3.年歲。三國魏．曹植〈正會詩〉：「初歲元祚，吉日惟良。」《晉書．卷九二．文苑傳．王沈傳》：「彈琴詠典，以保年祚。」
[動]
1.福佑。《左傳．宣公三年》：「天祚明德，有所厎止。」《文選．張衡．東京賦》：「神歆馨而顧德，祚靈主以元吉。」
2.獎賞。漢．蔡邕〈太尉楊賜碑〉：「申僃九錫，以祚其庸。」 |</v>
      </c>
    </row>
    <row r="11003" spans="1:44" hidden="1">
      <c r="A11003" s="1" t="s">
        <v>22719</v>
      </c>
      <c r="C11003" s="1">
        <v>1</v>
      </c>
      <c r="D11003" s="1" t="str">
        <f>"09617"</f>
        <v>09617</v>
      </c>
      <c r="E11003" s="1" t="s">
        <v>1462</v>
      </c>
      <c r="F11003" s="1">
        <v>12</v>
      </c>
      <c r="G11003" s="1">
        <v>5</v>
      </c>
      <c r="H11003" s="1">
        <v>1</v>
      </c>
      <c r="I11003" s="1" t="s">
        <v>22704</v>
      </c>
      <c r="K11003" s="1" t="str">
        <f t="shared" si="680"/>
        <v>ㄗ</v>
      </c>
      <c r="L11003" s="1" t="str">
        <f t="shared" si="684"/>
        <v>ㄨ</v>
      </c>
      <c r="M11003" s="1" t="str">
        <f t="shared" si="683"/>
        <v>ㄛ</v>
      </c>
      <c r="P11003" s="1" t="s">
        <v>20</v>
      </c>
      <c r="R11003" s="1" t="s">
        <v>22705</v>
      </c>
      <c r="V11003" s="1" t="s">
        <v>22720</v>
      </c>
      <c r="W11003" s="1" t="s">
        <v>22721</v>
      </c>
      <c r="AR11003" s="1" t="str">
        <f t="shared" si="682"/>
        <v>| [ㄗㄨㄛˋ](ㄗㄨㄛˋ.md) | [酢](酢.md) |  | zuò | [動]
1.客人以酒回敬主人。如：「酬酢」。《詩經．大雅．行葦》：「或獻或酢，洗爵奠斝。」
2.應答。宋．陸游〈書感〉詩：「對客輒坐睡，有問莫能酢。」 |</v>
      </c>
    </row>
    <row r="11004" spans="1:44" hidden="1">
      <c r="A11004" s="1" t="s">
        <v>22722</v>
      </c>
      <c r="C11004" s="1">
        <v>1</v>
      </c>
      <c r="D11004" s="1" t="str">
        <f>"09618"</f>
        <v>09618</v>
      </c>
      <c r="E11004" s="1" t="s">
        <v>37</v>
      </c>
      <c r="F11004" s="1">
        <v>13</v>
      </c>
      <c r="G11004" s="1">
        <v>9</v>
      </c>
      <c r="H11004" s="1">
        <v>0</v>
      </c>
      <c r="I11004" s="1" t="s">
        <v>22704</v>
      </c>
      <c r="K11004" s="1" t="str">
        <f t="shared" si="680"/>
        <v>ㄗ</v>
      </c>
      <c r="L11004" s="1" t="str">
        <f t="shared" si="684"/>
        <v>ㄨ</v>
      </c>
      <c r="M11004" s="1" t="str">
        <f t="shared" si="683"/>
        <v>ㄛ</v>
      </c>
      <c r="P11004" s="1" t="s">
        <v>20</v>
      </c>
      <c r="R11004" s="1" t="s">
        <v>22705</v>
      </c>
      <c r="V11004" s="1" t="s">
        <v>22723</v>
      </c>
      <c r="AR11004" s="1" t="str">
        <f t="shared" si="682"/>
        <v>| [ㄗㄨㄛˋ](ㄗㄨㄛˋ.md) | [葄](葄.md) |  | zuò | [動]
藉、枕。《新唐書．卷一五〇．李揆傳》：「而迂學陋生，葄枕圖史，且不能自措于詞。」 |</v>
      </c>
    </row>
    <row r="11005" spans="1:44" hidden="1">
      <c r="A11005" s="1" t="s">
        <v>22724</v>
      </c>
      <c r="C11005" s="1">
        <v>1</v>
      </c>
      <c r="D11005" s="1" t="str">
        <f>"09619"</f>
        <v>09619</v>
      </c>
      <c r="E11005" s="1" t="s">
        <v>132</v>
      </c>
      <c r="F11005" s="1">
        <v>7</v>
      </c>
      <c r="G11005" s="1">
        <v>4</v>
      </c>
      <c r="H11005" s="1">
        <v>0</v>
      </c>
      <c r="I11005" s="1" t="s">
        <v>22704</v>
      </c>
      <c r="K11005" s="1" t="str">
        <f t="shared" si="680"/>
        <v>ㄗ</v>
      </c>
      <c r="L11005" s="1" t="str">
        <f t="shared" si="684"/>
        <v>ㄨ</v>
      </c>
      <c r="M11005" s="1" t="str">
        <f t="shared" si="683"/>
        <v>ㄛ</v>
      </c>
      <c r="P11005" s="1" t="s">
        <v>20</v>
      </c>
      <c r="R11005" s="1" t="s">
        <v>22705</v>
      </c>
      <c r="V11005" s="1" t="s">
        <v>22725</v>
      </c>
      <c r="AR11005" s="1" t="str">
        <f t="shared" si="682"/>
        <v>| [ㄗㄨㄛˋ](ㄗㄨㄛˋ.md) | [坐](坐.md) |  | zuò | [動]
1.彎曲下肢，將臀部附著在座位上休息。與站相對。如：「坐下」、「坐在椅子上」。
2.古人席地而坐時兩膝著地，故亦稱跪為「坐」。《禮記．玉藻》：「退則坐取屨。」唐．孔穎達．正義：「坐，跪也。」
3.居、處。如：「坐落」、「坐北朝南」、「坐二望一」。
4.搭乘。如：「坐車」、「坐船」。
5.干犯。如：「坐法當死」。
6.處斷、定罪。如：「連坐」、「坐死」。《韓非子．定法》：「公孫鞅之治秦也，設告相坐而責其實。」《隋書．卷八三．西域傳．吐谷渾傳》：「殺人及盜馬者死，餘坐則徵物以贖罪。」
7.北平、河北、天津方言。指物體重心極力向下壓。如：「這房子向下坐了。」
8.蒞臨。參見「坐殿」、「坐堂」等條。
[名]
席位。通「座」。《三國志．卷二一．魏書．王粲傳》：「時邕才學顯著，貴重朝廷，常車騎填巷，賓客盈坐。」
[副]
1.堅守不去。參見「坐鎮」、「坐索」等條。
2.比喻平白的、不勞而獲的。如：「坐享其成」、「坐收漁利」。
[介]
因為。《後漢書．卷二四．馬援傳》：「曾祖父通，以功封重合侯，坐兄何羅反，被誅。」唐．杜牧〈山行〉：「停車坐愛楓林晚，霜葉紅於二月花。」 |</v>
      </c>
    </row>
    <row r="11006" spans="1:44" hidden="1">
      <c r="A11006" s="1" t="s">
        <v>22726</v>
      </c>
      <c r="C11006" s="1">
        <v>1</v>
      </c>
      <c r="D11006" s="1" t="str">
        <f>"09620"</f>
        <v>09620</v>
      </c>
      <c r="E11006" s="1" t="s">
        <v>447</v>
      </c>
      <c r="F11006" s="1">
        <v>10</v>
      </c>
      <c r="G11006" s="1">
        <v>7</v>
      </c>
      <c r="H11006" s="1">
        <v>0</v>
      </c>
      <c r="I11006" s="1" t="s">
        <v>22704</v>
      </c>
      <c r="K11006" s="1" t="str">
        <f t="shared" si="680"/>
        <v>ㄗ</v>
      </c>
      <c r="L11006" s="1" t="str">
        <f t="shared" si="684"/>
        <v>ㄨ</v>
      </c>
      <c r="M11006" s="1" t="str">
        <f t="shared" ref="M11006:M11037" si="685">MID(I11006, 3, 1)</f>
        <v>ㄛ</v>
      </c>
      <c r="P11006" s="1" t="s">
        <v>20</v>
      </c>
      <c r="R11006" s="1" t="s">
        <v>22705</v>
      </c>
      <c r="V11006" s="1" t="s">
        <v>22727</v>
      </c>
      <c r="AR11006" s="1" t="str">
        <f t="shared" si="682"/>
        <v>| [ㄗㄨㄛˋ](ㄗㄨㄛˋ.md) | [座](座.md) |  | zuò | [名]
1.位子、席位。如：「讓座」、「入座」、「高朋滿座」。
2.器物的托架。如：「瓶座」、「鐘座」、「香爐座」。也稱為「座子」。
3.星座。如：「獅子座」、「獵戶座」。
4.量詞。計算有底座或大型物體的單位。如：「一座山」、「兩座鐘」、「三座樓房」。 |</v>
      </c>
    </row>
    <row r="11007" spans="1:44" hidden="1">
      <c r="A11007" s="1" t="s">
        <v>22728</v>
      </c>
      <c r="C11007" s="1">
        <v>1</v>
      </c>
      <c r="D11007" s="1" t="str">
        <f>"09621"</f>
        <v>09621</v>
      </c>
      <c r="E11007" s="1" t="s">
        <v>114</v>
      </c>
      <c r="F11007" s="1">
        <v>11</v>
      </c>
      <c r="G11007" s="1">
        <v>9</v>
      </c>
      <c r="H11007" s="1">
        <v>0</v>
      </c>
      <c r="I11007" s="1" t="s">
        <v>22704</v>
      </c>
      <c r="K11007" s="1" t="str">
        <f t="shared" si="680"/>
        <v>ㄗ</v>
      </c>
      <c r="L11007" s="1" t="str">
        <f t="shared" si="684"/>
        <v>ㄨ</v>
      </c>
      <c r="M11007" s="1" t="str">
        <f t="shared" si="685"/>
        <v>ㄛ</v>
      </c>
      <c r="P11007" s="1" t="s">
        <v>20</v>
      </c>
      <c r="R11007" s="1" t="s">
        <v>22705</v>
      </c>
      <c r="V11007" s="1" t="s">
        <v>22729</v>
      </c>
      <c r="AR11007" s="1" t="str">
        <f t="shared" si="682"/>
        <v>| [ㄗㄨㄛˋ](ㄗㄨㄛˋ.md) | [做](做.md) |  | zuò | [動]
1.成為。如：「做人」、「做官」。
2.進行某事。如：「做生意」、「做實驗」、「做事」。
3.舉辦。如：「做生日」、「做滿月」、「做週年」。
4.製造。如：「做衣服」、「做鞋子」。
5.假裝。《水滸傳》第三五回：「宋江教分作三起下山，只做去收捕梁山泊的官軍。」 |</v>
      </c>
    </row>
    <row r="11008" spans="1:44" hidden="1">
      <c r="A11008" s="1" t="s">
        <v>22730</v>
      </c>
      <c r="C11008" s="1">
        <v>1</v>
      </c>
      <c r="D11008" s="1" t="str">
        <f>"09622"</f>
        <v>09622</v>
      </c>
      <c r="E11008" s="1" t="s">
        <v>1462</v>
      </c>
      <c r="F11008" s="1">
        <v>15</v>
      </c>
      <c r="G11008" s="1">
        <v>8</v>
      </c>
      <c r="H11008" s="1">
        <v>2</v>
      </c>
      <c r="I11008" s="1" t="s">
        <v>22704</v>
      </c>
      <c r="K11008" s="1" t="str">
        <f t="shared" si="680"/>
        <v>ㄗ</v>
      </c>
      <c r="L11008" s="1" t="str">
        <f t="shared" si="684"/>
        <v>ㄨ</v>
      </c>
      <c r="M11008" s="1" t="str">
        <f t="shared" si="685"/>
        <v>ㄛ</v>
      </c>
      <c r="P11008" s="1" t="s">
        <v>20</v>
      </c>
      <c r="R11008" s="1" t="s">
        <v>22705</v>
      </c>
      <c r="V11008" s="1" t="s">
        <v>22731</v>
      </c>
      <c r="W11008" s="1" t="s">
        <v>22732</v>
      </c>
      <c r="AR11008" s="1" t="str">
        <f t="shared" si="682"/>
        <v>| [ㄗㄨㄛˋ](ㄗㄨㄛˋ.md) | [醋](醋.md) |  | zuò | [動]
客人以酒回敬主人。「酢」的本字。《說文解字．酉部》：「醋，客酌主人也。」清．段玉裁．注：「諸經多以酢為醋；唯禮經尚仍其舊，後人醋、酢互易。」《儀禮．特牲饋食禮》：「祝酌授尸，尸以醋主人。」 |</v>
      </c>
    </row>
    <row r="11009" spans="1:44" hidden="1">
      <c r="A11009" s="1" t="s">
        <v>22404</v>
      </c>
      <c r="C11009" s="1">
        <v>1</v>
      </c>
      <c r="D11009" s="1" t="str">
        <f>"09623"</f>
        <v>09623</v>
      </c>
      <c r="E11009" s="1" t="s">
        <v>55</v>
      </c>
      <c r="F11009" s="1">
        <v>28</v>
      </c>
      <c r="G11009" s="1">
        <v>20</v>
      </c>
      <c r="H11009" s="1">
        <v>1</v>
      </c>
      <c r="I11009" s="1" t="s">
        <v>22704</v>
      </c>
      <c r="K11009" s="1" t="str">
        <f t="shared" ref="K11009:K11070" si="686">LEFT(I11009, 1)</f>
        <v>ㄗ</v>
      </c>
      <c r="L11009" s="1" t="str">
        <f t="shared" si="684"/>
        <v>ㄨ</v>
      </c>
      <c r="M11009" s="1" t="str">
        <f t="shared" si="685"/>
        <v>ㄛ</v>
      </c>
      <c r="P11009" s="1" t="s">
        <v>186</v>
      </c>
      <c r="R11009" s="1" t="s">
        <v>22705</v>
      </c>
      <c r="V11009" s="1" t="s">
        <v>22733</v>
      </c>
      <c r="W11009" s="1" t="s">
        <v>22734</v>
      </c>
      <c r="AR11009" s="1" t="str">
        <f t="shared" si="682"/>
        <v>| [ㄗㄨㄛˋ](ㄗㄨㄛˋ.md) | [鑿](鑿.md) |  | zuò | [名]
1.穿孔或挖削用的工具。漢．王充《論衡．效力》：「鑿所以入木者，槌叩之也。」也稱為「鑿子」。
2.器物上可鑲嵌東西的下凹部分。參見「枘鑿」條。
[動]
1.挖掘，將器物打洞穿通。如：「鑿壁借光」。《管子．輕重戊》：「疏三江，鑿五湖。」唐．李白〈丁督護歌〉：「萬人鑿盤石，無由達江滸。」
2.牽強附會而求合於義理。如：「穿鑿附會」。
[形]
確實。如：「罪證確鑿」、「確鑿不移」。 |</v>
      </c>
    </row>
    <row r="11010" spans="1:44" hidden="1">
      <c r="A11010" s="1" t="s">
        <v>22735</v>
      </c>
      <c r="C11010" s="1">
        <v>1</v>
      </c>
      <c r="D11010" s="1" t="str">
        <f>"09624"</f>
        <v>09624</v>
      </c>
      <c r="E11010" s="1" t="s">
        <v>68</v>
      </c>
      <c r="F11010" s="1">
        <v>11</v>
      </c>
      <c r="G11010" s="1">
        <v>7</v>
      </c>
      <c r="H11010" s="1">
        <v>0</v>
      </c>
      <c r="I11010" s="1" t="s">
        <v>22736</v>
      </c>
      <c r="K11010" s="1" t="str">
        <f t="shared" si="686"/>
        <v>ㄗ</v>
      </c>
      <c r="L11010" s="1" t="str">
        <f t="shared" si="684"/>
        <v>ㄨ</v>
      </c>
      <c r="M11010" s="1" t="str">
        <f t="shared" si="685"/>
        <v>ㄟ</v>
      </c>
      <c r="P11010" s="1" t="s">
        <v>20</v>
      </c>
      <c r="R11010" s="1" t="s">
        <v>22737</v>
      </c>
      <c r="V11010" s="1" t="s">
        <v>22738</v>
      </c>
      <c r="AR11010" s="1" t="str">
        <f t="shared" si="682"/>
        <v>| [ㄗㄨㄟ](ㄗㄨㄟ.md) | [脧](脧.md) |  | zuī | [名]
小男孩的生殖器。《說文解字．肉部》：「脧，赤子陰也。」 |</v>
      </c>
    </row>
    <row r="11011" spans="1:44" hidden="1">
      <c r="A11011" s="1" t="s">
        <v>22739</v>
      </c>
      <c r="C11011" s="1">
        <v>1</v>
      </c>
      <c r="D11011" s="1" t="str">
        <f>"09625"</f>
        <v>09625</v>
      </c>
      <c r="E11011" s="1" t="s">
        <v>43</v>
      </c>
      <c r="F11011" s="1">
        <v>13</v>
      </c>
      <c r="G11011" s="1">
        <v>7</v>
      </c>
      <c r="H11011" s="1">
        <v>1</v>
      </c>
      <c r="I11011" s="1" t="s">
        <v>22736</v>
      </c>
      <c r="K11011" s="1" t="str">
        <f t="shared" si="686"/>
        <v>ㄗ</v>
      </c>
      <c r="L11011" s="1" t="str">
        <f t="shared" si="684"/>
        <v>ㄨ</v>
      </c>
      <c r="M11011" s="1" t="str">
        <f t="shared" si="685"/>
        <v>ㄟ</v>
      </c>
      <c r="P11011" s="1" t="s">
        <v>20</v>
      </c>
      <c r="R11011" s="1" t="s">
        <v>22737</v>
      </c>
      <c r="V11011" s="1" t="s">
        <v>22740</v>
      </c>
      <c r="AR11011" s="1" t="str">
        <f t="shared" ref="AR11011:AR11074" si="687">"| ["&amp;I11011&amp;"]("&amp;I11011&amp;".md) | ["&amp;A11011&amp;"]("&amp;A11011&amp;".md) | "&amp;" | "&amp;R11011&amp;" | "&amp;V11011&amp;" |"</f>
        <v>| [ㄗㄨㄟ](ㄗㄨㄟ.md) | [羧](羧.md) |  | zuī | [名]_x000D_
毛織品。《後漢書．卷八六．南蠻西南夷傳．西南夷傳》：「其人能作旄氈、班罽、青頓、毞毲、羊羧之屬。」 |</v>
      </c>
    </row>
    <row r="11012" spans="1:44" hidden="1">
      <c r="A11012" s="1" t="s">
        <v>22184</v>
      </c>
      <c r="C11012" s="1">
        <v>1</v>
      </c>
      <c r="D11012" s="1" t="str">
        <f>"09626"</f>
        <v>09626</v>
      </c>
      <c r="E11012" s="1" t="s">
        <v>1117</v>
      </c>
      <c r="F11012" s="1">
        <v>13</v>
      </c>
      <c r="G11012" s="1">
        <v>6</v>
      </c>
      <c r="H11012" s="1">
        <v>2</v>
      </c>
      <c r="I11012" s="1" t="s">
        <v>22741</v>
      </c>
      <c r="K11012" s="1" t="str">
        <f t="shared" si="686"/>
        <v>ㄗ</v>
      </c>
      <c r="L11012" s="1" t="str">
        <f t="shared" si="684"/>
        <v>ㄨ</v>
      </c>
      <c r="M11012" s="1" t="str">
        <f t="shared" si="685"/>
        <v>ㄟ</v>
      </c>
      <c r="P11012" s="1" t="s">
        <v>20</v>
      </c>
      <c r="R11012" s="1" t="s">
        <v>22742</v>
      </c>
      <c r="V11012" s="1" t="s">
        <v>22743</v>
      </c>
      <c r="W11012" s="1" t="s">
        <v>22744</v>
      </c>
      <c r="AR11012" s="1" t="str">
        <f t="shared" si="687"/>
        <v>| [ㄗㄨㄟˇ](ㄗㄨㄟˇ.md) | [觜](觜.md) |  | zuǐ | [名]
1.鳥嘴。通「嘴」。《廣韻．上聲．紙韻》：「觜，喙也。」《文選．張衡．東京賦》：「秦政利觜長距，終得擅場。」三國吳．薛綜．注：「喻七雄為鬥雞，利喙長距者，終擅一長也。」唐．李白〈壁畫蒼鷹讚〉：「觜銛劍戟，爪握刀錐。」
2.泛指人、獸或器物的口。通「嘴」。《南齊書．卷三四．劉休傳》：「覆背騰其喉脣，武人厲其觜吻。」《元史．卷七九．輿服志二》：「水瓶，制如湯瓶，有蓋，有提，有觜，銀為之，塗以黃金。」 |</v>
      </c>
    </row>
    <row r="11013" spans="1:44" hidden="1">
      <c r="A11013" s="1" t="s">
        <v>22745</v>
      </c>
      <c r="C11013" s="1">
        <v>1</v>
      </c>
      <c r="D11013" s="1" t="str">
        <f>"09627"</f>
        <v>09627</v>
      </c>
      <c r="E11013" s="1" t="s">
        <v>28</v>
      </c>
      <c r="F11013" s="1">
        <v>16</v>
      </c>
      <c r="G11013" s="1">
        <v>13</v>
      </c>
      <c r="H11013" s="1">
        <v>0</v>
      </c>
      <c r="I11013" s="1" t="s">
        <v>22741</v>
      </c>
      <c r="K11013" s="1" t="str">
        <f t="shared" si="686"/>
        <v>ㄗ</v>
      </c>
      <c r="L11013" s="1" t="str">
        <f t="shared" si="684"/>
        <v>ㄨ</v>
      </c>
      <c r="M11013" s="1" t="str">
        <f t="shared" si="685"/>
        <v>ㄟ</v>
      </c>
      <c r="P11013" s="1" t="s">
        <v>20</v>
      </c>
      <c r="R11013" s="1" t="s">
        <v>22742</v>
      </c>
      <c r="V11013" s="1" t="s">
        <v>22746</v>
      </c>
      <c r="AR11013" s="1" t="str">
        <f t="shared" si="687"/>
        <v>| [ㄗㄨㄟˇ](ㄗㄨㄟˇ.md) | [嘴](嘴.md) |  | zuǐ | [名]
1.本指鳥口。後泛指人與動物的口。如：「張嘴」、「閉嘴」。《西遊記》第六回：「（三郎）又變了一隻朱繡頂的灰鶴，伸著一個長嘴，與一把尖頭鐵鉗子相似，徑來喫這水蛇。」
2.器物上形狀或功能像嘴的部位。如：「瓶嘴」、「茶壺嘴」、「煙嘴」。
3.突出如口的地形。如：「山嘴」、「沙嘴」。
4.比喻說話。如：「貧嘴」、「多嘴」、「插嘴」。 |</v>
      </c>
    </row>
    <row r="11014" spans="1:44" hidden="1">
      <c r="A11014" s="1" t="s">
        <v>22747</v>
      </c>
      <c r="C11014" s="1">
        <v>1</v>
      </c>
      <c r="D11014" s="1" t="str">
        <f>"09628"</f>
        <v>09628</v>
      </c>
      <c r="E11014" s="1" t="s">
        <v>190</v>
      </c>
      <c r="F11014" s="1">
        <v>14</v>
      </c>
      <c r="G11014" s="1">
        <v>11</v>
      </c>
      <c r="H11014" s="1">
        <v>0</v>
      </c>
      <c r="I11014" s="1" t="s">
        <v>22741</v>
      </c>
      <c r="K11014" s="1" t="str">
        <f t="shared" si="686"/>
        <v>ㄗ</v>
      </c>
      <c r="L11014" s="1" t="str">
        <f t="shared" si="684"/>
        <v>ㄨ</v>
      </c>
      <c r="M11014" s="1" t="str">
        <f t="shared" si="685"/>
        <v>ㄟ</v>
      </c>
      <c r="P11014" s="1" t="s">
        <v>20</v>
      </c>
      <c r="R11014" s="1" t="s">
        <v>22742</v>
      </c>
      <c r="V11014" s="1" t="s">
        <v>22748</v>
      </c>
      <c r="AR11014" s="1" t="str">
        <f t="shared" si="687"/>
        <v>| [ㄗㄨㄟˇ](ㄗㄨㄟˇ.md) | [嶊](嶊.md) |  | zuǐ | [形]
嶊嶉：崇高的樣子。《漢書．卷八七．揚雄傳上》：「於是大夏雲譎波詭，嶊嶉而成觀。」 |</v>
      </c>
    </row>
    <row r="11015" spans="1:44" hidden="1">
      <c r="A11015" s="1" t="s">
        <v>14508</v>
      </c>
      <c r="C11015" s="1">
        <v>1</v>
      </c>
      <c r="D11015" s="1" t="str">
        <f>"09629"</f>
        <v>09629</v>
      </c>
      <c r="E11015" s="1" t="s">
        <v>3359</v>
      </c>
      <c r="F11015" s="1">
        <v>10</v>
      </c>
      <c r="G11015" s="1">
        <v>8</v>
      </c>
      <c r="H11015" s="1">
        <v>2</v>
      </c>
      <c r="I11015" s="1" t="s">
        <v>22749</v>
      </c>
      <c r="K11015" s="1" t="str">
        <f t="shared" si="686"/>
        <v>ㄗ</v>
      </c>
      <c r="L11015" s="1" t="str">
        <f t="shared" si="684"/>
        <v>ㄨ</v>
      </c>
      <c r="M11015" s="1" t="str">
        <f t="shared" si="685"/>
        <v>ㄟ</v>
      </c>
      <c r="P11015" s="1" t="s">
        <v>20</v>
      </c>
      <c r="R11015" s="1" t="s">
        <v>22750</v>
      </c>
      <c r="V11015" s="1" t="s">
        <v>22751</v>
      </c>
      <c r="W11015" s="1" t="s">
        <v>22752</v>
      </c>
      <c r="AR11015" s="1" t="str">
        <f t="shared" si="687"/>
        <v>| [ㄗㄨㄟˋ](ㄗㄨㄟˋ.md) | [冣](冣.md) |  | zuì | [副]
極。通「最」。《說文解字．冖部》「冣」字．清．段玉裁．注：「冣與最音義皆別……至乎南北朝冣最不分。」 |</v>
      </c>
    </row>
    <row r="11016" spans="1:44" hidden="1">
      <c r="A11016" s="1" t="s">
        <v>22753</v>
      </c>
      <c r="C11016" s="1">
        <v>1</v>
      </c>
      <c r="D11016" s="1" t="str">
        <f>"09630"</f>
        <v>09630</v>
      </c>
      <c r="E11016" s="1" t="s">
        <v>2729</v>
      </c>
      <c r="F11016" s="1">
        <v>12</v>
      </c>
      <c r="G11016" s="1">
        <v>10</v>
      </c>
      <c r="H11016" s="1">
        <v>0</v>
      </c>
      <c r="I11016" s="1" t="s">
        <v>22749</v>
      </c>
      <c r="K11016" s="1" t="str">
        <f t="shared" si="686"/>
        <v>ㄗ</v>
      </c>
      <c r="L11016" s="1" t="str">
        <f t="shared" si="684"/>
        <v>ㄨ</v>
      </c>
      <c r="M11016" s="1" t="str">
        <f t="shared" si="685"/>
        <v>ㄟ</v>
      </c>
      <c r="P11016" s="1" t="s">
        <v>20</v>
      </c>
      <c r="R11016" s="1" t="s">
        <v>22750</v>
      </c>
      <c r="V11016" s="1" t="s">
        <v>22754</v>
      </c>
      <c r="AR11016" s="1" t="str">
        <f t="shared" si="687"/>
        <v>| [ㄗㄨㄟˋ](ㄗㄨㄟˋ.md) | [最](最.md) |  | zuì | [副]
1.至極。如：「最好」、「最大」、「最美」。《史記．卷一二六．滑稽傳．褚少孫補西門豹傳》：「三子之才能誰最賢哉？辨治者當能別之。」
2.凡、總計。《史記．卷五七．絳侯周勃世家》：「最從高帝得相國一人，丞相二人，將軍、二千石各三人。」漢．王符《潛夫論．實貢》：「最其行能，多不及中。」
[名]
菁華，居首要性的人或物。唐．司馬札〈賣花者〉詩：「長安甲第多，處處花堪愛，良金不惜費，競取園中最。」明．湯顯祖《牡丹亭》第二齣：「河東舊族，柳氏名門最。」
[動]
聚合。宋．陸游〈澹齋居士詩序〉：「最其詩，得三卷，屬某為序。」 |</v>
      </c>
    </row>
    <row r="11017" spans="1:44" hidden="1">
      <c r="A11017" s="1" t="s">
        <v>22693</v>
      </c>
      <c r="C11017" s="1">
        <v>1</v>
      </c>
      <c r="D11017" s="1" t="str">
        <f>"09631"</f>
        <v>09631</v>
      </c>
      <c r="E11017" s="1" t="s">
        <v>24</v>
      </c>
      <c r="F11017" s="1">
        <v>15</v>
      </c>
      <c r="G11017" s="1">
        <v>12</v>
      </c>
      <c r="H11017" s="1">
        <v>5</v>
      </c>
      <c r="I11017" s="1" t="s">
        <v>22749</v>
      </c>
      <c r="K11017" s="1" t="str">
        <f t="shared" si="686"/>
        <v>ㄗ</v>
      </c>
      <c r="L11017" s="1" t="str">
        <f t="shared" si="684"/>
        <v>ㄨ</v>
      </c>
      <c r="M11017" s="1" t="str">
        <f t="shared" si="685"/>
        <v>ㄟ</v>
      </c>
      <c r="P11017" s="1" t="s">
        <v>20</v>
      </c>
      <c r="R11017" s="1" t="s">
        <v>22750</v>
      </c>
      <c r="V11017" s="1" t="s">
        <v>22755</v>
      </c>
      <c r="W11017" s="1" t="s">
        <v>22756</v>
      </c>
      <c r="AR11017" s="1" t="str">
        <f t="shared" si="687"/>
        <v>| [ㄗㄨㄟˋ](ㄗㄨㄟˋ.md) | [撮](撮.md) |  | zuì | 參見「會撮」條。 |</v>
      </c>
    </row>
    <row r="11018" spans="1:44" hidden="1">
      <c r="A11018" s="1" t="s">
        <v>22757</v>
      </c>
      <c r="C11018" s="1">
        <v>1</v>
      </c>
      <c r="D11018" s="1" t="str">
        <f>"09632"</f>
        <v>09632</v>
      </c>
      <c r="E11018" s="1" t="s">
        <v>37</v>
      </c>
      <c r="F11018" s="1">
        <v>16</v>
      </c>
      <c r="G11018" s="1">
        <v>12</v>
      </c>
      <c r="H11018" s="1">
        <v>0</v>
      </c>
      <c r="I11018" s="1" t="s">
        <v>22749</v>
      </c>
      <c r="K11018" s="1" t="str">
        <f t="shared" si="686"/>
        <v>ㄗ</v>
      </c>
      <c r="L11018" s="1" t="str">
        <f t="shared" ref="L11018:L11049" si="688">MID(I11018, 2, 1)</f>
        <v>ㄨ</v>
      </c>
      <c r="M11018" s="1" t="str">
        <f t="shared" si="685"/>
        <v>ㄟ</v>
      </c>
      <c r="P11018" s="1" t="s">
        <v>20</v>
      </c>
      <c r="R11018" s="1" t="s">
        <v>22750</v>
      </c>
      <c r="V11018" s="1" t="s">
        <v>22758</v>
      </c>
      <c r="AR11018" s="1" t="str">
        <f t="shared" si="687"/>
        <v>| [ㄗㄨㄟˋ](ㄗㄨㄟˋ.md) | [蕞](蕞.md) |  | zuì | [形]
小。《廣韻．去聲．泰韻》：「蕞，小貌。」《左傳．昭公七年》：「鄭雖無腆，抑諺曰蕞爾國，而三世執其政柄。」 |</v>
      </c>
    </row>
    <row r="11019" spans="1:44" hidden="1">
      <c r="A11019" s="1" t="s">
        <v>22759</v>
      </c>
      <c r="C11019" s="1">
        <v>1</v>
      </c>
      <c r="D11019" s="1" t="str">
        <f>"09633"</f>
        <v>09633</v>
      </c>
      <c r="E11019" s="1" t="s">
        <v>646</v>
      </c>
      <c r="F11019" s="1">
        <v>12</v>
      </c>
      <c r="G11019" s="1">
        <v>8</v>
      </c>
      <c r="H11019" s="1">
        <v>0</v>
      </c>
      <c r="I11019" s="1" t="s">
        <v>22749</v>
      </c>
      <c r="K11019" s="1" t="str">
        <f t="shared" si="686"/>
        <v>ㄗ</v>
      </c>
      <c r="L11019" s="1" t="str">
        <f t="shared" si="688"/>
        <v>ㄨ</v>
      </c>
      <c r="M11019" s="1" t="str">
        <f t="shared" si="685"/>
        <v>ㄟ</v>
      </c>
      <c r="P11019" s="1" t="s">
        <v>20</v>
      </c>
      <c r="R11019" s="1" t="s">
        <v>22750</v>
      </c>
      <c r="V11019" s="1" t="s">
        <v>22760</v>
      </c>
      <c r="AR11019" s="1" t="str">
        <f t="shared" si="687"/>
        <v>| [ㄗㄨㄟˋ](ㄗㄨㄟˋ.md) | [晬](晬.md) |  | zuì | [名]
小孩出生後滿一周歲稱為「晬」。《集韻．去聲．隊韻》：「晬，子生一歲也。」《遼史．卷一．太祖本紀上》：「三月能行，晬而能言，知未然事。」 |</v>
      </c>
    </row>
    <row r="11020" spans="1:44" hidden="1">
      <c r="A11020" s="1" t="s">
        <v>22761</v>
      </c>
      <c r="C11020" s="1">
        <v>1</v>
      </c>
      <c r="D11020" s="1" t="str">
        <f>"09634"</f>
        <v>09634</v>
      </c>
      <c r="E11020" s="1" t="s">
        <v>1462</v>
      </c>
      <c r="F11020" s="1">
        <v>15</v>
      </c>
      <c r="G11020" s="1">
        <v>8</v>
      </c>
      <c r="H11020" s="1">
        <v>0</v>
      </c>
      <c r="I11020" s="1" t="s">
        <v>22749</v>
      </c>
      <c r="K11020" s="1" t="str">
        <f t="shared" si="686"/>
        <v>ㄗ</v>
      </c>
      <c r="L11020" s="1" t="str">
        <f t="shared" si="688"/>
        <v>ㄨ</v>
      </c>
      <c r="M11020" s="1" t="str">
        <f t="shared" si="685"/>
        <v>ㄟ</v>
      </c>
      <c r="P11020" s="1" t="s">
        <v>20</v>
      </c>
      <c r="R11020" s="1" t="s">
        <v>22750</v>
      </c>
      <c r="V11020" s="1" t="s">
        <v>22762</v>
      </c>
      <c r="AR11020" s="1" t="str">
        <f t="shared" si="687"/>
        <v>| [ㄗㄨㄟˋ](ㄗㄨㄟˋ.md) | [醉](醉.md) |  | zuì | [動]
1.飲酒過量以致神志不清。如：「不醉不歸」。南朝梁．蕭統〈陶淵明傳〉：「淵明若先醉，便語客：『我醉欲眠，卿可去。』」
2.沉迷、迷戀。如：「沉醉」、「心醉」、「陶醉」。
[形]
1.喝酒過多而神志模糊的樣子。如：「醉漢」、「爛醉如泥」。
2.用酒浸漬的。如：「醉蝦」、「醉雞」。《儒林外史》第二八回：「堂官上來問菜，季恬逸點了一賣肘子、一賣板鴨、一賣醉白魚。」 |</v>
      </c>
    </row>
    <row r="11021" spans="1:44" hidden="1">
      <c r="A11021" s="1" t="s">
        <v>22763</v>
      </c>
      <c r="C11021" s="1">
        <v>1</v>
      </c>
      <c r="D11021" s="1" t="str">
        <f>"09635"</f>
        <v>09635</v>
      </c>
      <c r="E11021" s="1" t="s">
        <v>118</v>
      </c>
      <c r="F11021" s="1">
        <v>13</v>
      </c>
      <c r="G11021" s="1">
        <v>8</v>
      </c>
      <c r="H11021" s="1">
        <v>0</v>
      </c>
      <c r="I11021" s="1" t="s">
        <v>22749</v>
      </c>
      <c r="K11021" s="1" t="str">
        <f t="shared" si="686"/>
        <v>ㄗ</v>
      </c>
      <c r="L11021" s="1" t="str">
        <f t="shared" si="688"/>
        <v>ㄨ</v>
      </c>
      <c r="M11021" s="1" t="str">
        <f t="shared" si="685"/>
        <v>ㄟ</v>
      </c>
      <c r="P11021" s="1" t="s">
        <v>20</v>
      </c>
      <c r="R11021" s="1" t="s">
        <v>22750</v>
      </c>
      <c r="V11021" s="1" t="s">
        <v>22764</v>
      </c>
      <c r="AR11021" s="1" t="str">
        <f t="shared" si="687"/>
        <v>| [ㄗㄨㄟˋ](ㄗㄨㄟˋ.md) | [罪](罪.md) |  | zuì | [名]
1.過失。如：「將功贖罪」、「戴罪立功」。《史記．卷七．項羽本紀》：「此天之亡我，非戰之罪也。」
2.犯法的行為。如：「犯罪」、「俯首認罪」。《易經．解卦．象曰》：「雷雨作解，君子以赦過宥罪。」
3.苦痛、苦難。如：「活受罪」、「受不了這個罪！」
4.刑罰。如：「死罪可免，活罪難逃。」《史記．卷八．高祖本紀》：「殺人者死，傷人及盜抵罪！」
[動]
歸咎、責備。如：「歸罪」、「怪罪」。《左傳．莊公十一年》：「禹、湯罪己，其興也悖焉；桀、紂罪人，其亡也忽焉。」《孟子．滕文公下》：「罪我者，其惟春秋乎！」 |</v>
      </c>
    </row>
    <row r="11022" spans="1:44" hidden="1">
      <c r="A11022" s="1" t="s">
        <v>22765</v>
      </c>
      <c r="C11022" s="1">
        <v>1</v>
      </c>
      <c r="D11022" s="1" t="str">
        <f>"09636"</f>
        <v>09636</v>
      </c>
      <c r="E11022" s="1" t="s">
        <v>139</v>
      </c>
      <c r="F11022" s="1">
        <v>16</v>
      </c>
      <c r="G11022" s="1">
        <v>12</v>
      </c>
      <c r="H11022" s="1">
        <v>0</v>
      </c>
      <c r="I11022" s="1" t="s">
        <v>22749</v>
      </c>
      <c r="K11022" s="1" t="str">
        <f t="shared" si="686"/>
        <v>ㄗ</v>
      </c>
      <c r="L11022" s="1" t="str">
        <f t="shared" si="688"/>
        <v>ㄨ</v>
      </c>
      <c r="M11022" s="1" t="str">
        <f t="shared" si="685"/>
        <v>ㄟ</v>
      </c>
      <c r="P11022" s="1" t="s">
        <v>20</v>
      </c>
      <c r="R11022" s="1" t="s">
        <v>22750</v>
      </c>
      <c r="V11022" s="1" t="s">
        <v>22766</v>
      </c>
      <c r="AR11022" s="1" t="str">
        <f t="shared" si="687"/>
        <v>| [ㄗㄨㄟˋ](ㄗㄨㄟˋ.md) | [檇](檇.md) |  | zuì | [動]
以棒擣物。《說文解字．木部》：「檇，以木有所擣也。」 |</v>
      </c>
    </row>
    <row r="11023" spans="1:44" hidden="1">
      <c r="A11023" s="1" t="s">
        <v>14621</v>
      </c>
      <c r="C11023" s="1">
        <v>1</v>
      </c>
      <c r="D11023" s="1" t="str">
        <f>"09637"</f>
        <v>09637</v>
      </c>
      <c r="E11023" s="1" t="s">
        <v>37</v>
      </c>
      <c r="F11023" s="1">
        <v>16</v>
      </c>
      <c r="G11023" s="1">
        <v>12</v>
      </c>
      <c r="H11023" s="1">
        <v>2</v>
      </c>
      <c r="I11023" s="1" t="s">
        <v>22749</v>
      </c>
      <c r="K11023" s="1" t="str">
        <f t="shared" si="686"/>
        <v>ㄗ</v>
      </c>
      <c r="L11023" s="1" t="str">
        <f t="shared" si="688"/>
        <v>ㄨ</v>
      </c>
      <c r="M11023" s="1" t="str">
        <f t="shared" si="685"/>
        <v>ㄟ</v>
      </c>
      <c r="P11023" s="1" t="s">
        <v>110</v>
      </c>
      <c r="R11023" s="1" t="s">
        <v>22750</v>
      </c>
      <c r="V11023" s="1" t="s">
        <v>111</v>
      </c>
      <c r="W11023" s="1" t="s">
        <v>22767</v>
      </c>
      <c r="AR11023" s="1" t="str">
        <f t="shared" si="687"/>
        <v>| [ㄗㄨㄟˋ](ㄗㄨㄟˋ.md) | [蕝](蕝.md) |  | zuì | (一)之又音。 |</v>
      </c>
    </row>
    <row r="11024" spans="1:44" hidden="1">
      <c r="A11024" s="1" t="s">
        <v>22768</v>
      </c>
      <c r="C11024" s="1">
        <v>1</v>
      </c>
      <c r="D11024" s="1" t="str">
        <f>"09638"</f>
        <v>09638</v>
      </c>
      <c r="E11024" s="1" t="s">
        <v>77</v>
      </c>
      <c r="F11024" s="1">
        <v>26</v>
      </c>
      <c r="G11024" s="1">
        <v>19</v>
      </c>
      <c r="H11024" s="1">
        <v>0</v>
      </c>
      <c r="I11024" s="1" t="s">
        <v>22769</v>
      </c>
      <c r="K11024" s="1" t="str">
        <f t="shared" si="686"/>
        <v>ㄗ</v>
      </c>
      <c r="L11024" s="1" t="str">
        <f t="shared" si="688"/>
        <v>ㄨ</v>
      </c>
      <c r="M11024" s="1" t="str">
        <f t="shared" si="685"/>
        <v>ㄢ</v>
      </c>
      <c r="P11024" s="1" t="s">
        <v>20</v>
      </c>
      <c r="R11024" s="1" t="s">
        <v>22770</v>
      </c>
      <c r="V11024" s="1" t="s">
        <v>22771</v>
      </c>
      <c r="AR11024" s="1" t="str">
        <f t="shared" si="687"/>
        <v>| [ㄗㄨㄢ](ㄗㄨㄢ.md) | [躦](躦.md) |  | zuān | 同「鑽」。 |</v>
      </c>
    </row>
    <row r="11025" spans="1:44" hidden="1">
      <c r="A11025" s="1" t="s">
        <v>22772</v>
      </c>
      <c r="C11025" s="1">
        <v>1</v>
      </c>
      <c r="D11025" s="1" t="str">
        <f>"09639"</f>
        <v>09639</v>
      </c>
      <c r="E11025" s="1" t="s">
        <v>55</v>
      </c>
      <c r="F11025" s="1">
        <v>27</v>
      </c>
      <c r="G11025" s="1">
        <v>19</v>
      </c>
      <c r="H11025" s="1">
        <v>1</v>
      </c>
      <c r="I11025" s="1" t="s">
        <v>22769</v>
      </c>
      <c r="K11025" s="1" t="str">
        <f t="shared" si="686"/>
        <v>ㄗ</v>
      </c>
      <c r="L11025" s="1" t="str">
        <f t="shared" si="688"/>
        <v>ㄨ</v>
      </c>
      <c r="M11025" s="1" t="str">
        <f t="shared" si="685"/>
        <v>ㄢ</v>
      </c>
      <c r="P11025" s="1" t="s">
        <v>20</v>
      </c>
      <c r="R11025" s="1" t="s">
        <v>22770</v>
      </c>
      <c r="V11025" s="1" t="s">
        <v>22773</v>
      </c>
      <c r="W11025" s="1" t="s">
        <v>22774</v>
      </c>
      <c r="AR11025" s="1" t="str">
        <f t="shared" si="687"/>
        <v>| [ㄗㄨㄢ](ㄗㄨㄢ.md) | [鑽](鑽.md) |  | zuān | [動]
1.以鑽子之類的器具在物體旋轉穿洞。如：「鑽洞」、「鑽孔」。《論語．陽貨》：「鑽燧改火，期可已矣。」
2.穿行、穿進。如：「鑽山洞」、「鑽煙囪」。宋．蘇軾〈戲贈虔州慈雲寺鑑老〉詩：「窗間但見蠅鑽紙，門外惟聞佛放光。」
3.攀附以求進身。《文選．班固．答賓戲》：「商鞅挾三術以鑽孝公。」
4.深入研究。如：「鑽研」。《論語．子罕》：「仰之彌高，鑽之彌堅。」
5.尋找、尋探。如：「你還真會鑽，連這種小地方也找得到。」 |</v>
      </c>
    </row>
    <row r="11026" spans="1:44" hidden="1">
      <c r="A11026" s="1" t="s">
        <v>19165</v>
      </c>
      <c r="C11026" s="1">
        <v>1</v>
      </c>
      <c r="D11026" s="1" t="str">
        <f>"09640"</f>
        <v>09640</v>
      </c>
      <c r="E11026" s="1" t="s">
        <v>49</v>
      </c>
      <c r="F11026" s="1">
        <v>16</v>
      </c>
      <c r="G11026" s="1">
        <v>10</v>
      </c>
      <c r="H11026" s="1">
        <v>3</v>
      </c>
      <c r="I11026" s="1" t="s">
        <v>22775</v>
      </c>
      <c r="K11026" s="1" t="str">
        <f t="shared" si="686"/>
        <v>ㄗ</v>
      </c>
      <c r="L11026" s="1" t="str">
        <f t="shared" si="688"/>
        <v>ㄨ</v>
      </c>
      <c r="M11026" s="1" t="str">
        <f t="shared" si="685"/>
        <v>ㄢ</v>
      </c>
      <c r="P11026" s="1" t="s">
        <v>20</v>
      </c>
      <c r="R11026" s="1" t="s">
        <v>22776</v>
      </c>
      <c r="V11026" s="1" t="s">
        <v>22777</v>
      </c>
      <c r="W11026" s="1" t="s">
        <v>22778</v>
      </c>
      <c r="AR11026" s="1" t="str">
        <f t="shared" si="687"/>
        <v>| [ㄗㄨㄢˇ](ㄗㄨㄢˇ.md) | [篹](篹.md) |  | zuǎn | [動]
蒐集、編輯。通「纂」。《新唐書．卷一九九．儒學傳中．路敬淳傳》：「數受詔篹輯慶卹儀典，武后稱之。」
[名]
(二)[名]之又音。 |</v>
      </c>
    </row>
    <row r="11027" spans="1:44" hidden="1">
      <c r="A11027" s="1" t="s">
        <v>22779</v>
      </c>
      <c r="C11027" s="1">
        <v>1</v>
      </c>
      <c r="D11027" s="1" t="str">
        <f>"09641"</f>
        <v>09641</v>
      </c>
      <c r="E11027" s="1" t="s">
        <v>725</v>
      </c>
      <c r="F11027" s="1">
        <v>20</v>
      </c>
      <c r="G11027" s="1">
        <v>14</v>
      </c>
      <c r="H11027" s="1">
        <v>0</v>
      </c>
      <c r="I11027" s="1" t="s">
        <v>22775</v>
      </c>
      <c r="K11027" s="1" t="str">
        <f t="shared" si="686"/>
        <v>ㄗ</v>
      </c>
      <c r="L11027" s="1" t="str">
        <f t="shared" si="688"/>
        <v>ㄨ</v>
      </c>
      <c r="M11027" s="1" t="str">
        <f t="shared" si="685"/>
        <v>ㄢ</v>
      </c>
      <c r="P11027" s="1" t="s">
        <v>20</v>
      </c>
      <c r="R11027" s="1" t="s">
        <v>22776</v>
      </c>
      <c r="V11027" s="1" t="s">
        <v>22780</v>
      </c>
      <c r="AR11027" s="1" t="str">
        <f t="shared" si="687"/>
        <v>| [ㄗㄨㄢˇ](ㄗㄨㄢˇ.md) | [纂](纂.md) |  | zuǎn | [名]
1.紅色的絲帶。《說文解字．糸部》：「纂，似組而赤。」清．段玉裁．注：「按：組之色不同，似組而赤者則謂之纂。」
2.婦女梳在頭後的髮髻。通「䰖」。如：「她頭上綰個纂。」
[動]
1.編輯。《晉書．卷三〇．刑法志》：「時雖有蠲革，而舊律繁蕪，未經纂集。」唐．白居易〈與元九書〉：「今且各纂詩律，麤為卷第。」
2.匯聚、招集。《晉書．卷一〇四．石勒載記上》：「勒纂兵戒期，將襲浚。」
3.繼承。通「纘」。《禮記．祭統》：「獻公乃命成叔，纂乃祖服。」《文選．張衡．東京賦》：「且夫挈缾之智，守不假器，況纂帝業而輕天位。」 |</v>
      </c>
    </row>
    <row r="11028" spans="1:44" hidden="1">
      <c r="A11028" s="1" t="s">
        <v>22781</v>
      </c>
      <c r="C11028" s="1">
        <v>1</v>
      </c>
      <c r="D11028" s="1" t="str">
        <f>"09642"</f>
        <v>09642</v>
      </c>
      <c r="E11028" s="1" t="s">
        <v>725</v>
      </c>
      <c r="F11028" s="1">
        <v>25</v>
      </c>
      <c r="G11028" s="1">
        <v>19</v>
      </c>
      <c r="H11028" s="1">
        <v>0</v>
      </c>
      <c r="I11028" s="1" t="s">
        <v>22775</v>
      </c>
      <c r="K11028" s="1" t="str">
        <f t="shared" si="686"/>
        <v>ㄗ</v>
      </c>
      <c r="L11028" s="1" t="str">
        <f t="shared" si="688"/>
        <v>ㄨ</v>
      </c>
      <c r="M11028" s="1" t="str">
        <f t="shared" si="685"/>
        <v>ㄢ</v>
      </c>
      <c r="P11028" s="1" t="s">
        <v>20</v>
      </c>
      <c r="R11028" s="1" t="s">
        <v>22776</v>
      </c>
      <c r="V11028" s="1" t="s">
        <v>22782</v>
      </c>
      <c r="AR11028" s="1" t="str">
        <f t="shared" si="687"/>
        <v>| [ㄗㄨㄢˇ](ㄗㄨㄢˇ.md) | [纘](纘.md) |  | zuǎn | [動]
繼承。《書經．仲虺之誥》：「表正萬邦，纘禹舊服。」唐．孔安國．傳：「繼禹之功，統其故服。」《禮記．中庸》：「武王纘大王、王季、文王之緒。」 |</v>
      </c>
    </row>
    <row r="11029" spans="1:44" hidden="1">
      <c r="A11029" s="1" t="s">
        <v>22772</v>
      </c>
      <c r="C11029" s="1">
        <v>1</v>
      </c>
      <c r="D11029" s="1" t="str">
        <f>"09643"</f>
        <v>09643</v>
      </c>
      <c r="E11029" s="1" t="s">
        <v>55</v>
      </c>
      <c r="F11029" s="1">
        <v>27</v>
      </c>
      <c r="G11029" s="1">
        <v>19</v>
      </c>
      <c r="H11029" s="1">
        <v>2</v>
      </c>
      <c r="I11029" s="1" t="s">
        <v>22775</v>
      </c>
      <c r="K11029" s="1" t="str">
        <f t="shared" si="686"/>
        <v>ㄗ</v>
      </c>
      <c r="L11029" s="1" t="str">
        <f t="shared" si="688"/>
        <v>ㄨ</v>
      </c>
      <c r="M11029" s="1" t="str">
        <f t="shared" si="685"/>
        <v>ㄢ</v>
      </c>
      <c r="P11029" s="1" t="s">
        <v>110</v>
      </c>
      <c r="R11029" s="1" t="s">
        <v>22776</v>
      </c>
      <c r="V11029" s="1" t="s">
        <v>111</v>
      </c>
      <c r="W11029" s="1" t="s">
        <v>22783</v>
      </c>
      <c r="AR11029" s="1" t="str">
        <f t="shared" si="687"/>
        <v>| [ㄗㄨㄢˇ](ㄗㄨㄢˇ.md) | [鑽](鑽.md) |  | zuǎn | (一)之又音。 |</v>
      </c>
    </row>
    <row r="11030" spans="1:44" hidden="1">
      <c r="A11030" s="1" t="s">
        <v>22540</v>
      </c>
      <c r="C11030" s="1">
        <v>1</v>
      </c>
      <c r="D11030" s="1" t="str">
        <f>"09644"</f>
        <v>09644</v>
      </c>
      <c r="E11030" s="1" t="s">
        <v>1078</v>
      </c>
      <c r="F11030" s="1">
        <v>29</v>
      </c>
      <c r="G11030" s="1">
        <v>19</v>
      </c>
      <c r="H11030" s="1">
        <v>1</v>
      </c>
      <c r="I11030" s="1" t="s">
        <v>22775</v>
      </c>
      <c r="K11030" s="1" t="str">
        <f t="shared" si="686"/>
        <v>ㄗ</v>
      </c>
      <c r="L11030" s="1" t="str">
        <f t="shared" si="688"/>
        <v>ㄨ</v>
      </c>
      <c r="M11030" s="1" t="str">
        <f t="shared" si="685"/>
        <v>ㄢ</v>
      </c>
      <c r="P11030" s="1" t="s">
        <v>20</v>
      </c>
      <c r="R11030" s="1" t="s">
        <v>22776</v>
      </c>
      <c r="V11030" s="1" t="s">
        <v>22784</v>
      </c>
      <c r="W11030" s="1" t="s">
        <v>22785</v>
      </c>
      <c r="AR11030" s="1" t="str">
        <f t="shared" si="687"/>
        <v>| [ㄗㄨㄢˇ](ㄗㄨㄢˇ.md) | [䰖](䰖.md) |  | zuǎn | [名]
婦女梳在頭後的髮髻。《紅樓夢》第二四回：「（那丫頭）倒是一頭黑鬒鬒的好頭髮，挽著個䰖。」 |</v>
      </c>
    </row>
    <row r="11031" spans="1:44" hidden="1">
      <c r="A11031" s="1" t="s">
        <v>19168</v>
      </c>
      <c r="C11031" s="1">
        <v>1</v>
      </c>
      <c r="D11031" s="1" t="str">
        <f>"09645"</f>
        <v>09645</v>
      </c>
      <c r="E11031" s="1" t="s">
        <v>505</v>
      </c>
      <c r="F11031" s="1">
        <v>17</v>
      </c>
      <c r="G11031" s="1">
        <v>10</v>
      </c>
      <c r="H11031" s="1">
        <v>2</v>
      </c>
      <c r="I11031" s="1" t="s">
        <v>22786</v>
      </c>
      <c r="K11031" s="1" t="str">
        <f t="shared" si="686"/>
        <v>ㄗ</v>
      </c>
      <c r="L11031" s="1" t="str">
        <f t="shared" si="688"/>
        <v>ㄨ</v>
      </c>
      <c r="M11031" s="1" t="str">
        <f t="shared" si="685"/>
        <v>ㄢ</v>
      </c>
      <c r="P11031" s="1" t="s">
        <v>20</v>
      </c>
      <c r="R11031" s="1" t="s">
        <v>22787</v>
      </c>
      <c r="V11031" s="1" t="s">
        <v>22788</v>
      </c>
      <c r="W11031" s="1" t="s">
        <v>22789</v>
      </c>
      <c r="AR11031" s="1" t="str">
        <f t="shared" si="687"/>
        <v>| [ㄗㄨㄢˋ](ㄗㄨㄢˋ.md) | [賺](賺.md) |  | zuàn | [動]
詐騙、哄騙。如：「賺人」。元．關漢卿《竇娥冤》第一折：「他賺我到無人去處，行起凶來。」《水滸傳》第三回：「史進道：『如何使得！恁地時，是我賺你們來，捉你請賞。枉惹天下人笑我！』」 |</v>
      </c>
    </row>
    <row r="11032" spans="1:44" hidden="1">
      <c r="A11032" s="1" t="s">
        <v>22790</v>
      </c>
      <c r="C11032" s="1">
        <v>1</v>
      </c>
      <c r="D11032" s="1" t="str">
        <f>"09646"</f>
        <v>09646</v>
      </c>
      <c r="E11032" s="1" t="s">
        <v>24</v>
      </c>
      <c r="F11032" s="1">
        <v>23</v>
      </c>
      <c r="G11032" s="1">
        <v>20</v>
      </c>
      <c r="H11032" s="1">
        <v>0</v>
      </c>
      <c r="I11032" s="1" t="s">
        <v>22786</v>
      </c>
      <c r="K11032" s="1" t="str">
        <f t="shared" si="686"/>
        <v>ㄗ</v>
      </c>
      <c r="L11032" s="1" t="str">
        <f t="shared" si="688"/>
        <v>ㄨ</v>
      </c>
      <c r="M11032" s="1" t="str">
        <f t="shared" si="685"/>
        <v>ㄢ</v>
      </c>
      <c r="P11032" s="1" t="s">
        <v>20</v>
      </c>
      <c r="R11032" s="1" t="s">
        <v>22787</v>
      </c>
      <c r="V11032" s="1" t="s">
        <v>22791</v>
      </c>
      <c r="AR11032" s="1" t="str">
        <f t="shared" si="687"/>
        <v>| [ㄗㄨㄢˋ](ㄗㄨㄢˋ.md) | [攥](攥.md) |  | zuàn | [動]
握住。如：「攥緊拳頭」。《紅樓夢》第七七回：「一把死攥住他的手，哽咽了半日。」 |</v>
      </c>
    </row>
    <row r="11033" spans="1:44" hidden="1">
      <c r="A11033" s="1" t="s">
        <v>22772</v>
      </c>
      <c r="C11033" s="1">
        <v>1</v>
      </c>
      <c r="D11033" s="1" t="str">
        <f>"09647"</f>
        <v>09647</v>
      </c>
      <c r="E11033" s="1" t="s">
        <v>55</v>
      </c>
      <c r="F11033" s="1">
        <v>27</v>
      </c>
      <c r="G11033" s="1">
        <v>19</v>
      </c>
      <c r="H11033" s="1">
        <v>3</v>
      </c>
      <c r="I11033" s="1" t="s">
        <v>22786</v>
      </c>
      <c r="K11033" s="1" t="str">
        <f t="shared" si="686"/>
        <v>ㄗ</v>
      </c>
      <c r="L11033" s="1" t="str">
        <f t="shared" si="688"/>
        <v>ㄨ</v>
      </c>
      <c r="M11033" s="1" t="str">
        <f t="shared" si="685"/>
        <v>ㄢ</v>
      </c>
      <c r="P11033" s="1" t="s">
        <v>20</v>
      </c>
      <c r="R11033" s="1" t="s">
        <v>22787</v>
      </c>
      <c r="V11033" s="1" t="s">
        <v>22792</v>
      </c>
      <c r="W11033" s="1" t="s">
        <v>22793</v>
      </c>
      <c r="AR11033" s="1" t="str">
        <f t="shared" si="687"/>
        <v>| [ㄗㄨㄢˋ](ㄗㄨㄢˋ.md) | [鑽](鑽.md) |  | zuàn | [名]
1.金剛石。明．張自烈《正字通．金部》：「鑽，金剛鑽。」如：「鑽石」。
2.穿孔的器具。如：「電鑽」。
3.姓。如戰國時有鑽茶。 |</v>
      </c>
    </row>
    <row r="11034" spans="1:44" hidden="1">
      <c r="A11034" s="1" t="s">
        <v>22794</v>
      </c>
      <c r="C11034" s="1">
        <v>1</v>
      </c>
      <c r="D11034" s="1" t="str">
        <f>"09648"</f>
        <v>09648</v>
      </c>
      <c r="E11034" s="1" t="s">
        <v>1595</v>
      </c>
      <c r="F11034" s="1">
        <v>12</v>
      </c>
      <c r="G11034" s="1">
        <v>9</v>
      </c>
      <c r="H11034" s="1">
        <v>0</v>
      </c>
      <c r="I11034" s="1" t="s">
        <v>22795</v>
      </c>
      <c r="K11034" s="1" t="str">
        <f t="shared" si="686"/>
        <v>ㄗ</v>
      </c>
      <c r="L11034" s="1" t="str">
        <f t="shared" si="688"/>
        <v>ㄨ</v>
      </c>
      <c r="M11034" s="1" t="str">
        <f t="shared" si="685"/>
        <v>ㄣ</v>
      </c>
      <c r="P11034" s="1" t="s">
        <v>20</v>
      </c>
      <c r="R11034" s="1" t="s">
        <v>22796</v>
      </c>
      <c r="V11034" s="1" t="s">
        <v>22797</v>
      </c>
      <c r="AR11034" s="1" t="str">
        <f t="shared" si="687"/>
        <v>| [ㄗㄨㄣ](ㄗㄨㄣ.md) | [尊](尊.md) |  | zūn | [名]
1.酒器。《廣韻．平聲．魂韻》：「尊，《說文》曰：『酒器也。』」《周禮．春官．小宗伯》：「辨六尊之名物，以待祭祀賓客。」
2.對長輩的敬稱。如：「尊長」。北齊．顏之推《顏氏家訓．風操》：「凡宗親世數，有從父，有從祖，有族祖。江南風俗，自茲已往，高秩者，通呼為尊。」
3.量詞。計算大炮或神像的單位。如：「十尊大炮」、「五尊神像」。
[動]
敬重。如：「尊敬」、「尊師重道」。《禮記．曲禮上》：「禮者自卑而尊人。」
[形]
1.稱人的敬辭，通常加在與對方有關的人事物上。如：「尊體」、「尊囑」、「尊夫人」、「尊姓大名」。
2.高。《易經．繫辭上》：「天尊地卑，乾坤定矣。」
3.顯貴的。如：「尊貴」。《禮記．曲禮上》：「尊客之前不叱狗。」 |</v>
      </c>
    </row>
    <row r="11035" spans="1:44" hidden="1">
      <c r="A11035" s="1" t="s">
        <v>22798</v>
      </c>
      <c r="C11035" s="1">
        <v>1</v>
      </c>
      <c r="D11035" s="1" t="str">
        <f>"09649"</f>
        <v>09649</v>
      </c>
      <c r="E11035" s="1" t="s">
        <v>190</v>
      </c>
      <c r="F11035" s="1">
        <v>15</v>
      </c>
      <c r="G11035" s="1">
        <v>12</v>
      </c>
      <c r="H11035" s="1">
        <v>0</v>
      </c>
      <c r="I11035" s="1" t="s">
        <v>22795</v>
      </c>
      <c r="K11035" s="1" t="str">
        <f t="shared" si="686"/>
        <v>ㄗ</v>
      </c>
      <c r="L11035" s="1" t="str">
        <f t="shared" si="688"/>
        <v>ㄨ</v>
      </c>
      <c r="M11035" s="1" t="str">
        <f t="shared" si="685"/>
        <v>ㄣ</v>
      </c>
      <c r="P11035" s="1" t="s">
        <v>20</v>
      </c>
      <c r="R11035" s="1" t="s">
        <v>22796</v>
      </c>
      <c r="V11035" s="1" t="s">
        <v>22799</v>
      </c>
      <c r="AR11035" s="1" t="str">
        <f t="shared" si="687"/>
        <v>| [ㄗㄨㄣ](ㄗㄨㄣ.md) | [嶟](嶟.md) |  | zūn | [形]
山勢高峻、陡峭。《集韻．平聲．魂韻》：「嶟，山高貌。」 |</v>
      </c>
    </row>
    <row r="11036" spans="1:44" hidden="1">
      <c r="A11036" s="1" t="s">
        <v>22800</v>
      </c>
      <c r="C11036" s="1">
        <v>1</v>
      </c>
      <c r="D11036" s="1" t="str">
        <f>"09650"</f>
        <v>09650</v>
      </c>
      <c r="E11036" s="1" t="s">
        <v>558</v>
      </c>
      <c r="F11036" s="1">
        <v>16</v>
      </c>
      <c r="G11036" s="1">
        <v>12</v>
      </c>
      <c r="H11036" s="1">
        <v>0</v>
      </c>
      <c r="I11036" s="1" t="s">
        <v>22795</v>
      </c>
      <c r="K11036" s="1" t="str">
        <f t="shared" si="686"/>
        <v>ㄗ</v>
      </c>
      <c r="L11036" s="1" t="str">
        <f t="shared" si="688"/>
        <v>ㄨ</v>
      </c>
      <c r="M11036" s="1" t="str">
        <f t="shared" si="685"/>
        <v>ㄣ</v>
      </c>
      <c r="P11036" s="1" t="s">
        <v>20</v>
      </c>
      <c r="R11036" s="1" t="s">
        <v>22796</v>
      </c>
      <c r="V11036" s="1" t="s">
        <v>22801</v>
      </c>
      <c r="AR11036" s="1" t="str">
        <f t="shared" si="687"/>
        <v>| [ㄗㄨㄣ](ㄗㄨㄣ.md) | [遵](遵.md) |  | zūn | [動]
1.順著、循著。《楚辭．屈原．九章．哀郢》：「去故鄉而就遠兮，遵江夏以流亡。」《文選．陸機．文賦》：「遵四時以歎逝，瞻萬物而思紛。」
2.依照。如：「遵命」。《書經．洪範》：「無偏無陂，遵王之義。」《史記．卷四．周本紀》：「西伯曰文王，遵后稷、公劉之業，則古公、公季之法。」 |</v>
      </c>
    </row>
    <row r="11037" spans="1:44" hidden="1">
      <c r="A11037" s="1" t="s">
        <v>22802</v>
      </c>
      <c r="C11037" s="1">
        <v>1</v>
      </c>
      <c r="D11037" s="1" t="str">
        <f>"09651"</f>
        <v>09651</v>
      </c>
      <c r="E11037" s="1" t="s">
        <v>139</v>
      </c>
      <c r="F11037" s="1">
        <v>16</v>
      </c>
      <c r="G11037" s="1">
        <v>12</v>
      </c>
      <c r="H11037" s="1">
        <v>0</v>
      </c>
      <c r="I11037" s="1" t="s">
        <v>22795</v>
      </c>
      <c r="K11037" s="1" t="str">
        <f t="shared" si="686"/>
        <v>ㄗ</v>
      </c>
      <c r="L11037" s="1" t="str">
        <f t="shared" si="688"/>
        <v>ㄨ</v>
      </c>
      <c r="M11037" s="1" t="str">
        <f t="shared" si="685"/>
        <v>ㄣ</v>
      </c>
      <c r="P11037" s="1" t="s">
        <v>20</v>
      </c>
      <c r="R11037" s="1" t="s">
        <v>22796</v>
      </c>
      <c r="V11037" s="1" t="s">
        <v>22803</v>
      </c>
      <c r="AR11037" s="1" t="str">
        <f t="shared" si="687"/>
        <v>| [ㄗㄨㄣ](ㄗㄨㄣ.md) | [樽](樽.md) |  | zūn | [名]
酒器。《玉篇．木部》：「樽，酒器也。」《文選．陶淵明．歸去來辭》：「攜幼入室，有酒盈樽。」 |</v>
      </c>
    </row>
    <row r="11038" spans="1:44" hidden="1">
      <c r="A11038" s="1" t="s">
        <v>22804</v>
      </c>
      <c r="C11038" s="1">
        <v>1</v>
      </c>
      <c r="D11038" s="1" t="str">
        <f>"09652"</f>
        <v>09652</v>
      </c>
      <c r="E11038" s="1" t="s">
        <v>725</v>
      </c>
      <c r="F11038" s="1">
        <v>18</v>
      </c>
      <c r="G11038" s="1">
        <v>12</v>
      </c>
      <c r="H11038" s="1">
        <v>1</v>
      </c>
      <c r="I11038" s="1" t="s">
        <v>22795</v>
      </c>
      <c r="K11038" s="1" t="str">
        <f t="shared" si="686"/>
        <v>ㄗ</v>
      </c>
      <c r="L11038" s="1" t="str">
        <f t="shared" si="688"/>
        <v>ㄨ</v>
      </c>
      <c r="M11038" s="1" t="str">
        <f t="shared" ref="M11038:M11070" si="689">MID(I11038, 3, 1)</f>
        <v>ㄣ</v>
      </c>
      <c r="P11038" s="1" t="s">
        <v>20</v>
      </c>
      <c r="R11038" s="1" t="s">
        <v>22796</v>
      </c>
      <c r="V11038" s="1" t="s">
        <v>22805</v>
      </c>
      <c r="W11038" s="1" t="s">
        <v>22806</v>
      </c>
      <c r="AR11038" s="1" t="str">
        <f t="shared" si="687"/>
        <v>| [ㄗㄨㄣ](ㄗㄨㄣ.md) | [繜](繜.md) |  | zūn | [名]
古代婦女所穿的小衣。《說文解字．糸部》：「繜，薉貉中女子無褲，以帛為脛空，用絮補核名曰繜衣，狀如襜褕。」 |</v>
      </c>
    </row>
    <row r="11039" spans="1:44" hidden="1">
      <c r="A11039" s="1" t="s">
        <v>22807</v>
      </c>
      <c r="C11039" s="1">
        <v>1</v>
      </c>
      <c r="D11039" s="1" t="str">
        <f>"09653"</f>
        <v>09653</v>
      </c>
      <c r="E11039" s="1" t="s">
        <v>55</v>
      </c>
      <c r="F11039" s="1">
        <v>20</v>
      </c>
      <c r="G11039" s="1">
        <v>12</v>
      </c>
      <c r="H11039" s="1">
        <v>0</v>
      </c>
      <c r="I11039" s="1" t="s">
        <v>22795</v>
      </c>
      <c r="K11039" s="1" t="str">
        <f t="shared" si="686"/>
        <v>ㄗ</v>
      </c>
      <c r="L11039" s="1" t="str">
        <f t="shared" si="688"/>
        <v>ㄨ</v>
      </c>
      <c r="M11039" s="1" t="str">
        <f t="shared" si="689"/>
        <v>ㄣ</v>
      </c>
      <c r="P11039" s="1" t="s">
        <v>20</v>
      </c>
      <c r="R11039" s="1" t="s">
        <v>22796</v>
      </c>
      <c r="V11039" s="1" t="s">
        <v>22808</v>
      </c>
      <c r="AR11039" s="1" t="str">
        <f t="shared" si="687"/>
        <v>| [ㄗㄨㄣ](ㄗㄨㄣ.md) | [鐏](鐏.md) |  | zūn | [名]
戈柄下端銅製的圓錐形部分。《說文解字．金部》：「鐏，柲下銅也。」《新唐書．卷一二五．張說傳》：「是猶倒持劍戟，示人鐏柄，臣竊為陛下不取。」 |</v>
      </c>
    </row>
    <row r="11040" spans="1:44" hidden="1">
      <c r="A11040" s="1" t="s">
        <v>22809</v>
      </c>
      <c r="C11040" s="1">
        <v>1</v>
      </c>
      <c r="D11040" s="1" t="str">
        <f>"09654"</f>
        <v>09654</v>
      </c>
      <c r="E11040" s="1" t="s">
        <v>114</v>
      </c>
      <c r="F11040" s="1">
        <v>14</v>
      </c>
      <c r="G11040" s="1">
        <v>12</v>
      </c>
      <c r="H11040" s="1">
        <v>0</v>
      </c>
      <c r="I11040" s="1" t="s">
        <v>22810</v>
      </c>
      <c r="K11040" s="1" t="str">
        <f t="shared" si="686"/>
        <v>ㄗ</v>
      </c>
      <c r="L11040" s="1" t="str">
        <f t="shared" si="688"/>
        <v>ㄨ</v>
      </c>
      <c r="M11040" s="1" t="str">
        <f t="shared" si="689"/>
        <v>ㄣ</v>
      </c>
      <c r="P11040" s="1" t="s">
        <v>20</v>
      </c>
      <c r="R11040" s="1" t="s">
        <v>22811</v>
      </c>
      <c r="V11040" s="1" t="s">
        <v>22812</v>
      </c>
      <c r="AR11040" s="1" t="str">
        <f t="shared" si="687"/>
        <v>| [ㄗㄨㄣˇ](ㄗㄨㄣˇ.md) | [僔](僔.md) |  | zǔn | [動]
聚集。《說文解字．人部》：「僔，聚也。……《詩》曰：『僔沓背憎。』」 |</v>
      </c>
    </row>
    <row r="11041" spans="1:44" hidden="1">
      <c r="A11041" s="1" t="s">
        <v>22813</v>
      </c>
      <c r="C11041" s="1">
        <v>1</v>
      </c>
      <c r="D11041" s="1" t="str">
        <f>"09655"</f>
        <v>09655</v>
      </c>
      <c r="E11041" s="1" t="s">
        <v>24</v>
      </c>
      <c r="F11041" s="1">
        <v>15</v>
      </c>
      <c r="G11041" s="1">
        <v>12</v>
      </c>
      <c r="H11041" s="1">
        <v>0</v>
      </c>
      <c r="I11041" s="1" t="s">
        <v>22810</v>
      </c>
      <c r="K11041" s="1" t="str">
        <f t="shared" si="686"/>
        <v>ㄗ</v>
      </c>
      <c r="L11041" s="1" t="str">
        <f t="shared" si="688"/>
        <v>ㄨ</v>
      </c>
      <c r="M11041" s="1" t="str">
        <f t="shared" si="689"/>
        <v>ㄣ</v>
      </c>
      <c r="P11041" s="1" t="s">
        <v>20</v>
      </c>
      <c r="R11041" s="1" t="s">
        <v>22811</v>
      </c>
      <c r="V11041" s="1" t="s">
        <v>22814</v>
      </c>
      <c r="AR11041" s="1" t="str">
        <f t="shared" si="687"/>
        <v>| [ㄗㄨㄣˇ](ㄗㄨㄣˇ.md) | [撙](撙.md) |  | zǔn | [動]
1.節省、縮減。如：「撙節開支」。《管子．五輔》：「節飲食，撙衣服，則財用足。」
2.抑制、壓制。《禮記．曲禮上》：「君子恭敬撙節，退讓以明禮。」《荀子．儒效》：「然不然之情，以相薦撙，以相恥怍，君子不若惠施、鄧析。」 |</v>
      </c>
    </row>
    <row r="11042" spans="1:44" hidden="1">
      <c r="A11042" s="1" t="s">
        <v>22815</v>
      </c>
      <c r="C11042" s="1">
        <v>1</v>
      </c>
      <c r="D11042" s="1" t="str">
        <f>"09656"</f>
        <v>09656</v>
      </c>
      <c r="E11042" s="1" t="s">
        <v>28</v>
      </c>
      <c r="F11042" s="1">
        <v>15</v>
      </c>
      <c r="G11042" s="1">
        <v>12</v>
      </c>
      <c r="H11042" s="1">
        <v>0</v>
      </c>
      <c r="I11042" s="1" t="s">
        <v>22810</v>
      </c>
      <c r="K11042" s="1" t="str">
        <f t="shared" si="686"/>
        <v>ㄗ</v>
      </c>
      <c r="L11042" s="1" t="str">
        <f t="shared" si="688"/>
        <v>ㄨ</v>
      </c>
      <c r="M11042" s="1" t="str">
        <f t="shared" si="689"/>
        <v>ㄣ</v>
      </c>
      <c r="P11042" s="1" t="s">
        <v>20</v>
      </c>
      <c r="R11042" s="1" t="s">
        <v>22811</v>
      </c>
      <c r="V11042" s="1" t="s">
        <v>22816</v>
      </c>
      <c r="AR11042" s="1" t="str">
        <f t="shared" si="687"/>
        <v>| [ㄗㄨㄣˇ](ㄗㄨㄣˇ.md) | [噂](噂.md) |  | zǔn | [動]
聚在一起說話。《說文解字．口部》：「噂，聚語也。」《詩經．小雅．十月之交》：「噂沓背憎，職競由人。」 |</v>
      </c>
    </row>
    <row r="11043" spans="1:44" hidden="1">
      <c r="A11043" s="1" t="s">
        <v>22804</v>
      </c>
      <c r="C11043" s="1">
        <v>1</v>
      </c>
      <c r="D11043" s="1" t="str">
        <f>"09657"</f>
        <v>09657</v>
      </c>
      <c r="E11043" s="1" t="s">
        <v>725</v>
      </c>
      <c r="F11043" s="1">
        <v>18</v>
      </c>
      <c r="G11043" s="1">
        <v>12</v>
      </c>
      <c r="H11043" s="1">
        <v>2</v>
      </c>
      <c r="I11043" s="1" t="s">
        <v>22810</v>
      </c>
      <c r="K11043" s="1" t="str">
        <f t="shared" si="686"/>
        <v>ㄗ</v>
      </c>
      <c r="L11043" s="1" t="str">
        <f t="shared" si="688"/>
        <v>ㄨ</v>
      </c>
      <c r="M11043" s="1" t="str">
        <f t="shared" si="689"/>
        <v>ㄣ</v>
      </c>
      <c r="P11043" s="1" t="s">
        <v>20</v>
      </c>
      <c r="R11043" s="1" t="s">
        <v>22811</v>
      </c>
      <c r="V11043" s="1" t="s">
        <v>22817</v>
      </c>
      <c r="W11043" s="1" t="s">
        <v>22818</v>
      </c>
      <c r="AR11043" s="1" t="str">
        <f t="shared" si="687"/>
        <v>| [ㄗㄨㄣˇ](ㄗㄨㄣˇ.md) | [繜](繜.md) |  | zǔn | [動]
折損、抑制。通「撙」。《荀子．不苟》：「君子能則寬容易直以開道人，不能則恭敬繜絀以畏事人。」唐．楊倞．注：「繜與撙同，絀與黜同，謂自撙節貶損。」 |</v>
      </c>
    </row>
    <row r="11044" spans="1:44" hidden="1">
      <c r="A11044" s="1" t="s">
        <v>18603</v>
      </c>
      <c r="C11044" s="1">
        <v>1</v>
      </c>
      <c r="D11044" s="1" t="str">
        <f>"09658"</f>
        <v>09658</v>
      </c>
      <c r="E11044" s="1" t="s">
        <v>132</v>
      </c>
      <c r="F11044" s="1">
        <v>6</v>
      </c>
      <c r="G11044" s="1">
        <v>3</v>
      </c>
      <c r="H11044" s="1">
        <v>1</v>
      </c>
      <c r="I11044" s="1" t="s">
        <v>22819</v>
      </c>
      <c r="K11044" s="1" t="str">
        <f t="shared" si="686"/>
        <v>ㄗ</v>
      </c>
      <c r="L11044" s="1" t="str">
        <f t="shared" si="688"/>
        <v>ㄨ</v>
      </c>
      <c r="M11044" s="1" t="str">
        <f t="shared" si="689"/>
        <v>ㄣ</v>
      </c>
      <c r="P11044" s="1" t="s">
        <v>20</v>
      </c>
      <c r="R11044" s="1" t="s">
        <v>22820</v>
      </c>
      <c r="V11044" s="1" t="s">
        <v>22821</v>
      </c>
      <c r="W11044" s="1" t="s">
        <v>22822</v>
      </c>
      <c r="AR11044" s="1" t="str">
        <f t="shared" si="687"/>
        <v>| [ㄗㄨㄣˋ](ㄗㄨㄣˋ.md) | [圳](圳.md) |  | zùn | [名]
閩粵方言。指灌溉用的水渠。如：「八堡圳」、「嘉南大圳」。 |</v>
      </c>
    </row>
    <row r="11045" spans="1:44" hidden="1">
      <c r="A11045" s="1" t="s">
        <v>22823</v>
      </c>
      <c r="C11045" s="1">
        <v>1</v>
      </c>
      <c r="D11045" s="1" t="str">
        <f>"09659"</f>
        <v>09659</v>
      </c>
      <c r="E11045" s="1" t="s">
        <v>24</v>
      </c>
      <c r="F11045" s="1">
        <v>10</v>
      </c>
      <c r="G11045" s="1">
        <v>7</v>
      </c>
      <c r="H11045" s="1">
        <v>0</v>
      </c>
      <c r="I11045" s="1" t="s">
        <v>22819</v>
      </c>
      <c r="K11045" s="1" t="str">
        <f t="shared" si="686"/>
        <v>ㄗ</v>
      </c>
      <c r="L11045" s="1" t="str">
        <f t="shared" si="688"/>
        <v>ㄨ</v>
      </c>
      <c r="M11045" s="1" t="str">
        <f t="shared" si="689"/>
        <v>ㄣ</v>
      </c>
      <c r="P11045" s="1" t="s">
        <v>20</v>
      </c>
      <c r="R11045" s="1" t="s">
        <v>22820</v>
      </c>
      <c r="V11045" s="1" t="s">
        <v>22824</v>
      </c>
      <c r="AR11045" s="1" t="str">
        <f t="shared" si="687"/>
        <v>| [ㄗㄨㄣˋ](ㄗㄨㄣˋ.md) | [捘](捘.md) |  | zùn | [動]
1.推擠。《左傳．定公八年》：「將歃，涉佗捘衛侯之手及捥。」
2.按、捏。《文選．馬融．長笛賦》：「挼拏捘臧，遞相乘邅。」《聊齋志異．卷二．嬰寧》：「生扶之，陰捘其腕。」 |</v>
      </c>
    </row>
    <row r="11046" spans="1:44" hidden="1">
      <c r="A11046" s="1" t="s">
        <v>22825</v>
      </c>
      <c r="C11046" s="1">
        <v>1</v>
      </c>
      <c r="D11046" s="1" t="str">
        <f>"09660"</f>
        <v>09660</v>
      </c>
      <c r="E11046" s="1" t="s">
        <v>156</v>
      </c>
      <c r="F11046" s="1">
        <v>23</v>
      </c>
      <c r="G11046" s="1">
        <v>12</v>
      </c>
      <c r="H11046" s="1">
        <v>0</v>
      </c>
      <c r="I11046" s="1" t="s">
        <v>22819</v>
      </c>
      <c r="K11046" s="1" t="str">
        <f t="shared" si="686"/>
        <v>ㄗ</v>
      </c>
      <c r="L11046" s="1" t="str">
        <f t="shared" si="688"/>
        <v>ㄨ</v>
      </c>
      <c r="M11046" s="1" t="str">
        <f t="shared" si="689"/>
        <v>ㄣ</v>
      </c>
      <c r="P11046" s="1" t="s">
        <v>20</v>
      </c>
      <c r="R11046" s="1" t="s">
        <v>22820</v>
      </c>
      <c r="V11046" s="1" t="s">
        <v>22826</v>
      </c>
      <c r="AR11046" s="1" t="str">
        <f t="shared" si="687"/>
        <v>| [ㄗㄨㄣˋ](ㄗㄨㄣˋ.md) | [鱒](鱒.md) |  | zùn | [名]
動物名。脊椎動物亞門硬骨魚類條鰭亞綱鮭目。似鯶而小，鱗細，鱗後有一小黑斑，背濃藍，腹白，體長者至二尺餘，為冷水性魚種。 |</v>
      </c>
    </row>
    <row r="11047" spans="1:44" hidden="1">
      <c r="A11047" s="1" t="s">
        <v>22827</v>
      </c>
      <c r="C11047" s="1">
        <v>1</v>
      </c>
      <c r="D11047" s="1" t="str">
        <f>"09661"</f>
        <v>09661</v>
      </c>
      <c r="E11047" s="1" t="s">
        <v>624</v>
      </c>
      <c r="F11047" s="1">
        <v>8</v>
      </c>
      <c r="G11047" s="1">
        <v>5</v>
      </c>
      <c r="H11047" s="1">
        <v>0</v>
      </c>
      <c r="I11047" s="1" t="s">
        <v>22828</v>
      </c>
      <c r="K11047" s="1" t="str">
        <f t="shared" si="686"/>
        <v>ㄗ</v>
      </c>
      <c r="L11047" s="1" t="str">
        <f t="shared" si="688"/>
        <v>ㄨ</v>
      </c>
      <c r="M11047" s="1" t="str">
        <f t="shared" si="689"/>
        <v>ㄥ</v>
      </c>
      <c r="P11047" s="1" t="s">
        <v>20</v>
      </c>
      <c r="R11047" s="1" t="s">
        <v>22829</v>
      </c>
      <c r="V11047" s="1" t="s">
        <v>22830</v>
      </c>
      <c r="AR11047" s="1" t="str">
        <f t="shared" si="687"/>
        <v>| [ㄗㄨㄥ](ㄗㄨㄥ.md) | [宗](宗.md) |  | zōng | [名]
1.祖廟。《左傳．成公三年》：「首其請於寡君而以戮於宗。」
2.祖先。如：「列祖列宗」、「祖宗」。
3.家族。《左傳．僖公五年》：「晉吾宗也，豈害我哉？」南朝宋．劉義慶《世說新語．規箴》：「卿一宗在朝有幾人？」
4.根本、主旨。《國語．晉語四》：「禮賓矜窮，禮之宗也。」《老子》第四章：「淵兮似萬物之宗。」
5.派別。宋．嚴羽《滄浪詩話．詩辨》：「禪家者流，乘有大小，宗有南北，道有邪正。」
6.古代諸侯朝見天子的禮節。《周禮．春官．大宗伯》：「春見曰朝，夏見曰宗。」
7.量詞。計算交易或事物數量的單位。如：「一宗買賣」、「數宗公文」。《儒林外史》第四七回：「方六老爺拿手一宗一宗的指著說與他聽。」
8.姓。如宋代有宗澤。
[動]
尊崇、效法。《詩經．大雅．公劉》：「食之飲之，君之宗之。」《後漢書．卷一一．劉盆子傳》：「崇雖起勇力而為眾所宗，然不知書數。」
[形]
1.同姓的。如：「宗兄」、「宗弟」。
2.主要的。如：「宗旨」。 |</v>
      </c>
    </row>
    <row r="11048" spans="1:44" hidden="1">
      <c r="A11048" s="1" t="s">
        <v>22831</v>
      </c>
      <c r="C11048" s="1">
        <v>1</v>
      </c>
      <c r="D11048" s="1" t="str">
        <f>"09662"</f>
        <v>09662</v>
      </c>
      <c r="E11048" s="1" t="s">
        <v>114</v>
      </c>
      <c r="F11048" s="1">
        <v>10</v>
      </c>
      <c r="G11048" s="1">
        <v>8</v>
      </c>
      <c r="H11048" s="1">
        <v>0</v>
      </c>
      <c r="I11048" s="1" t="s">
        <v>22828</v>
      </c>
      <c r="K11048" s="1" t="str">
        <f t="shared" si="686"/>
        <v>ㄗ</v>
      </c>
      <c r="L11048" s="1" t="str">
        <f t="shared" si="688"/>
        <v>ㄨ</v>
      </c>
      <c r="M11048" s="1" t="str">
        <f t="shared" si="689"/>
        <v>ㄥ</v>
      </c>
      <c r="P11048" s="1" t="s">
        <v>20</v>
      </c>
      <c r="R11048" s="1" t="s">
        <v>22829</v>
      </c>
      <c r="V11048" s="1" t="s">
        <v>22832</v>
      </c>
      <c r="AR11048" s="1" t="str">
        <f t="shared" si="687"/>
        <v>| [ㄗㄨㄥ](ㄗㄨㄥ.md) | [倧](倧.md) |  | zōng | 參見「估倧」條。 |</v>
      </c>
    </row>
    <row r="11049" spans="1:44" hidden="1">
      <c r="A11049" s="1" t="s">
        <v>22833</v>
      </c>
      <c r="C11049" s="1">
        <v>1</v>
      </c>
      <c r="D11049" s="1" t="str">
        <f>"09663"</f>
        <v>09663</v>
      </c>
      <c r="E11049" s="1" t="s">
        <v>139</v>
      </c>
      <c r="F11049" s="1">
        <v>12</v>
      </c>
      <c r="G11049" s="1">
        <v>8</v>
      </c>
      <c r="H11049" s="1">
        <v>0</v>
      </c>
      <c r="I11049" s="1" t="s">
        <v>22828</v>
      </c>
      <c r="K11049" s="1" t="str">
        <f t="shared" si="686"/>
        <v>ㄗ</v>
      </c>
      <c r="L11049" s="1" t="str">
        <f t="shared" si="688"/>
        <v>ㄨ</v>
      </c>
      <c r="M11049" s="1" t="str">
        <f t="shared" si="689"/>
        <v>ㄥ</v>
      </c>
      <c r="P11049" s="1" t="s">
        <v>20</v>
      </c>
      <c r="R11049" s="1" t="s">
        <v>22829</v>
      </c>
      <c r="V11049" s="1" t="s">
        <v>22834</v>
      </c>
      <c r="AR11049" s="1" t="str">
        <f t="shared" si="687"/>
        <v>| [ㄗㄨㄥ](ㄗㄨㄥ.md) | [棕](棕.md) |  | zōng | 1.像棕毛一樣的顏色。
2.參見「棕櫚」條。 |</v>
      </c>
    </row>
    <row r="11050" spans="1:44" hidden="1">
      <c r="A11050" s="1" t="s">
        <v>22835</v>
      </c>
      <c r="C11050" s="1">
        <v>1</v>
      </c>
      <c r="D11050" s="1" t="str">
        <f>"09664"</f>
        <v>09664</v>
      </c>
      <c r="E11050" s="1" t="s">
        <v>1078</v>
      </c>
      <c r="F11050" s="1">
        <v>18</v>
      </c>
      <c r="G11050" s="1">
        <v>8</v>
      </c>
      <c r="H11050" s="1">
        <v>0</v>
      </c>
      <c r="I11050" s="1" t="s">
        <v>22828</v>
      </c>
      <c r="K11050" s="1" t="str">
        <f t="shared" si="686"/>
        <v>ㄗ</v>
      </c>
      <c r="L11050" s="1" t="str">
        <f t="shared" ref="L11050:L11070" si="690">MID(I11050, 2, 1)</f>
        <v>ㄨ</v>
      </c>
      <c r="M11050" s="1" t="str">
        <f t="shared" si="689"/>
        <v>ㄥ</v>
      </c>
      <c r="P11050" s="1" t="s">
        <v>20</v>
      </c>
      <c r="R11050" s="1" t="s">
        <v>22829</v>
      </c>
      <c r="V11050" s="1" t="s">
        <v>22836</v>
      </c>
      <c r="AR11050" s="1" t="str">
        <f t="shared" si="687"/>
        <v>| [ㄗㄨㄥ](ㄗㄨㄥ.md) | [鬃](鬃.md) |  | zōng | [名]
1.高髻。《玉篇．髟部》：「鬃，高髻貌。」
2.獸類頸上的毛。如：「馬鬃」、「豬鬃」。 |</v>
      </c>
    </row>
    <row r="11051" spans="1:44" hidden="1">
      <c r="A11051" s="1" t="s">
        <v>22837</v>
      </c>
      <c r="C11051" s="1">
        <v>1</v>
      </c>
      <c r="D11051" s="1" t="str">
        <f>"09665"</f>
        <v>09665</v>
      </c>
      <c r="E11051" s="1" t="s">
        <v>234</v>
      </c>
      <c r="F11051" s="1">
        <v>11</v>
      </c>
      <c r="G11051" s="1">
        <v>8</v>
      </c>
      <c r="H11051" s="1">
        <v>4</v>
      </c>
      <c r="I11051" s="1" t="s">
        <v>22828</v>
      </c>
      <c r="K11051" s="1" t="str">
        <f t="shared" si="686"/>
        <v>ㄗ</v>
      </c>
      <c r="L11051" s="1" t="str">
        <f t="shared" si="690"/>
        <v>ㄨ</v>
      </c>
      <c r="M11051" s="1" t="str">
        <f t="shared" si="689"/>
        <v>ㄥ</v>
      </c>
      <c r="P11051" s="1" t="s">
        <v>20</v>
      </c>
      <c r="R11051" s="1" t="s">
        <v>22829</v>
      </c>
      <c r="V11051" s="1" t="s">
        <v>22838</v>
      </c>
      <c r="W11051" s="1" t="s">
        <v>22839</v>
      </c>
      <c r="AR11051" s="1" t="str">
        <f t="shared" si="687"/>
        <v>| [ㄗㄨㄥ](ㄗㄨㄥ.md) | [從](從.md) |  | zōng | [名]_x000D_
蹤跡。同「蹤」。《史記．卷八六．刺客列傳．聶政》：「今乃以妾尚在之故，重自刑以絕從。」《漢書．卷五九．張湯傳》：「上問：『變事從跡安起？』湯陽驚曰：『此殆文故人怨之。』」 |</v>
      </c>
    </row>
    <row r="11052" spans="1:44" hidden="1">
      <c r="A11052" s="1" t="s">
        <v>22840</v>
      </c>
      <c r="C11052" s="1">
        <v>1</v>
      </c>
      <c r="D11052" s="1" t="str">
        <f>"09666"</f>
        <v>09666</v>
      </c>
      <c r="E11052" s="1" t="s">
        <v>190</v>
      </c>
      <c r="F11052" s="1">
        <v>14</v>
      </c>
      <c r="G11052" s="1">
        <v>11</v>
      </c>
      <c r="H11052" s="1">
        <v>0</v>
      </c>
      <c r="I11052" s="1" t="s">
        <v>22828</v>
      </c>
      <c r="K11052" s="1" t="str">
        <f t="shared" si="686"/>
        <v>ㄗ</v>
      </c>
      <c r="L11052" s="1" t="str">
        <f t="shared" si="690"/>
        <v>ㄨ</v>
      </c>
      <c r="M11052" s="1" t="str">
        <f t="shared" si="689"/>
        <v>ㄥ</v>
      </c>
      <c r="P11052" s="1" t="s">
        <v>20</v>
      </c>
      <c r="R11052" s="1" t="s">
        <v>22829</v>
      </c>
      <c r="V11052" s="1" t="s">
        <v>22841</v>
      </c>
      <c r="AR11052" s="1" t="str">
        <f t="shared" si="687"/>
        <v>| [ㄗㄨㄥ](ㄗㄨㄥ.md) | [嵷](嵷.md) |  | zōng | [形]
山勢高峻。《文選．潘岳．西征賦》：「九嵕巀嶭，太一巃嵷。」 |</v>
      </c>
    </row>
    <row r="11053" spans="1:44" hidden="1">
      <c r="A11053" s="1" t="s">
        <v>22842</v>
      </c>
      <c r="C11053" s="1">
        <v>1</v>
      </c>
      <c r="D11053" s="1" t="str">
        <f>"09667"</f>
        <v>09667</v>
      </c>
      <c r="E11053" s="1" t="s">
        <v>725</v>
      </c>
      <c r="F11053" s="1">
        <v>17</v>
      </c>
      <c r="G11053" s="1">
        <v>11</v>
      </c>
      <c r="H11053" s="1">
        <v>2</v>
      </c>
      <c r="I11053" s="1" t="s">
        <v>22828</v>
      </c>
      <c r="K11053" s="1" t="str">
        <f t="shared" si="686"/>
        <v>ㄗ</v>
      </c>
      <c r="L11053" s="1" t="str">
        <f t="shared" si="690"/>
        <v>ㄨ</v>
      </c>
      <c r="M11053" s="1" t="str">
        <f t="shared" si="689"/>
        <v>ㄥ</v>
      </c>
      <c r="P11053" s="1" t="s">
        <v>20</v>
      </c>
      <c r="R11053" s="1" t="s">
        <v>22829</v>
      </c>
      <c r="V11053" s="1" t="s">
        <v>22843</v>
      </c>
      <c r="W11053" s="1" t="s">
        <v>22844</v>
      </c>
      <c r="AR11053" s="1" t="str">
        <f t="shared" si="687"/>
        <v>| [ㄗㄨㄥ](ㄗㄨㄥ.md) | [縱](縱.md) |  | zōng | [名]
1.直的線、面，南北稱為「縱」。同「從」。《楚辭．東方朔．七諫．沈江》：「不開寤而難道兮，不別橫之與縱。」
2.足跡、形影。同「蹤」。唐．李白〈估客行〉：「譬如雲中鳥，一去無縱跡。」 |</v>
      </c>
    </row>
    <row r="11054" spans="1:44" hidden="1">
      <c r="A11054" s="1" t="s">
        <v>22845</v>
      </c>
      <c r="C11054" s="1">
        <v>1</v>
      </c>
      <c r="D11054" s="1" t="str">
        <f>"09668"</f>
        <v>09668</v>
      </c>
      <c r="E11054" s="1" t="s">
        <v>52</v>
      </c>
      <c r="F11054" s="1">
        <v>18</v>
      </c>
      <c r="G11054" s="1">
        <v>11</v>
      </c>
      <c r="H11054" s="1">
        <v>0</v>
      </c>
      <c r="I11054" s="1" t="s">
        <v>22828</v>
      </c>
      <c r="K11054" s="1" t="str">
        <f t="shared" si="686"/>
        <v>ㄗ</v>
      </c>
      <c r="L11054" s="1" t="str">
        <f t="shared" si="690"/>
        <v>ㄨ</v>
      </c>
      <c r="M11054" s="1" t="str">
        <f t="shared" si="689"/>
        <v>ㄥ</v>
      </c>
      <c r="P11054" s="1" t="s">
        <v>20</v>
      </c>
      <c r="R11054" s="1" t="s">
        <v>22829</v>
      </c>
      <c r="V11054" s="1" t="s">
        <v>22846</v>
      </c>
      <c r="AR11054" s="1" t="str">
        <f t="shared" si="687"/>
        <v>| [ㄗㄨㄥ](ㄗㄨㄥ.md) | [豵](豵.md) |  | zōng | [名]
出生六個月的小豬。《說文解字．豕部》：「豵，生六月豚。」 |</v>
      </c>
    </row>
    <row r="11055" spans="1:44" hidden="1">
      <c r="A11055" s="1" t="s">
        <v>22847</v>
      </c>
      <c r="C11055" s="1">
        <v>1</v>
      </c>
      <c r="D11055" s="1" t="str">
        <f>"09669"</f>
        <v>09669</v>
      </c>
      <c r="E11055" s="1" t="s">
        <v>77</v>
      </c>
      <c r="F11055" s="1">
        <v>18</v>
      </c>
      <c r="G11055" s="1">
        <v>11</v>
      </c>
      <c r="H11055" s="1">
        <v>0</v>
      </c>
      <c r="I11055" s="1" t="s">
        <v>22828</v>
      </c>
      <c r="K11055" s="1" t="str">
        <f t="shared" si="686"/>
        <v>ㄗ</v>
      </c>
      <c r="L11055" s="1" t="str">
        <f t="shared" si="690"/>
        <v>ㄨ</v>
      </c>
      <c r="M11055" s="1" t="str">
        <f t="shared" si="689"/>
        <v>ㄥ</v>
      </c>
      <c r="P11055" s="1" t="s">
        <v>20</v>
      </c>
      <c r="R11055" s="1" t="s">
        <v>22829</v>
      </c>
      <c r="V11055" s="1" t="s">
        <v>22848</v>
      </c>
      <c r="AR11055" s="1" t="str">
        <f t="shared" si="687"/>
        <v>| [ㄗㄨㄥ](ㄗㄨㄥ.md) | [蹤](蹤.md) |  | zōng | [名]
足跡。《漢書．卷八七．揚雄傳上》：「軼五帝之遐跡兮，躡三皇之高蹤。」唐．李白〈謁老君廟〉詩：「草合人蹤斷，塵濃鳥跡深。」
[動]
追隨。《晉書．卷一〇三．劉曜載記》：「義孫年長明德，又先世子也，朕欲遠追周文，近蹤光武，使宗廟有太山之安。」《新唐書．卷一二〇．桓彥範傳》：「如普思等方伎猥下，安足繼蹤前烈。」 |</v>
      </c>
    </row>
    <row r="11056" spans="1:44" hidden="1">
      <c r="A11056" s="1" t="s">
        <v>22849</v>
      </c>
      <c r="C11056" s="1">
        <v>1</v>
      </c>
      <c r="D11056" s="1" t="str">
        <f>"09670"</f>
        <v>09670</v>
      </c>
      <c r="E11056" s="1" t="s">
        <v>250</v>
      </c>
      <c r="F11056" s="1">
        <v>12</v>
      </c>
      <c r="G11056" s="1">
        <v>9</v>
      </c>
      <c r="H11056" s="1">
        <v>0</v>
      </c>
      <c r="I11056" s="1" t="s">
        <v>22828</v>
      </c>
      <c r="K11056" s="1" t="str">
        <f t="shared" si="686"/>
        <v>ㄗ</v>
      </c>
      <c r="L11056" s="1" t="str">
        <f t="shared" si="690"/>
        <v>ㄨ</v>
      </c>
      <c r="M11056" s="1" t="str">
        <f t="shared" si="689"/>
        <v>ㄥ</v>
      </c>
      <c r="P11056" s="1" t="s">
        <v>20</v>
      </c>
      <c r="R11056" s="1" t="s">
        <v>22829</v>
      </c>
      <c r="V11056" s="1" t="s">
        <v>22850</v>
      </c>
      <c r="AR11056" s="1" t="str">
        <f t="shared" si="687"/>
        <v>| [ㄗㄨㄥ](ㄗㄨㄥ.md) | [惾](惾.md) |  | zōng | [動]
堵塞不通。《莊子．天地》：「五臭薰鼻，困惾中顙。」唐．成玄英．疏：「惾，塞也。言鼻耽五臭，故壅塞不通，而中傷顙額。」 |</v>
      </c>
    </row>
    <row r="11057" spans="1:44" hidden="1">
      <c r="A11057" s="1" t="s">
        <v>22851</v>
      </c>
      <c r="C11057" s="1">
        <v>1</v>
      </c>
      <c r="D11057" s="1" t="str">
        <f>"09671"</f>
        <v>09671</v>
      </c>
      <c r="E11057" s="1" t="s">
        <v>275</v>
      </c>
      <c r="F11057" s="1">
        <v>19</v>
      </c>
      <c r="G11057" s="1">
        <v>9</v>
      </c>
      <c r="H11057" s="1">
        <v>0</v>
      </c>
      <c r="I11057" s="1" t="s">
        <v>22828</v>
      </c>
      <c r="K11057" s="1" t="str">
        <f t="shared" si="686"/>
        <v>ㄗ</v>
      </c>
      <c r="L11057" s="1" t="str">
        <f t="shared" si="690"/>
        <v>ㄨ</v>
      </c>
      <c r="M11057" s="1" t="str">
        <f t="shared" si="689"/>
        <v>ㄥ</v>
      </c>
      <c r="P11057" s="1" t="s">
        <v>20</v>
      </c>
      <c r="R11057" s="1" t="s">
        <v>22829</v>
      </c>
      <c r="V11057" s="1" t="s">
        <v>22852</v>
      </c>
      <c r="AR11057" s="1" t="str">
        <f t="shared" si="687"/>
        <v>| [ㄗㄨㄥ](ㄗㄨㄥ.md) | [鬷](鬷.md) |  | zōng | [名]
1.釜類的器皿。《說文解字．鬲部》：「鬷，鬴屬。」
2.姓。如春秋時鄭國有鬷蔑。
[動]
聚集。《詩經．陳風．東門之枌》：「穀旦于逝，越以鬷邁。」唐．張說〈弔國殤文〉：「鬷六校之飛將，鎮五營之勁卒。」 |</v>
      </c>
    </row>
    <row r="11058" spans="1:44" hidden="1">
      <c r="A11058" s="1" t="s">
        <v>22853</v>
      </c>
      <c r="C11058" s="1">
        <v>1</v>
      </c>
      <c r="D11058" s="1" t="str">
        <f>"09672"</f>
        <v>09672</v>
      </c>
      <c r="E11058" s="1" t="s">
        <v>1078</v>
      </c>
      <c r="F11058" s="1">
        <v>19</v>
      </c>
      <c r="G11058" s="1">
        <v>9</v>
      </c>
      <c r="H11058" s="1">
        <v>0</v>
      </c>
      <c r="I11058" s="1" t="s">
        <v>22828</v>
      </c>
      <c r="K11058" s="1" t="str">
        <f t="shared" si="686"/>
        <v>ㄗ</v>
      </c>
      <c r="L11058" s="1" t="str">
        <f t="shared" si="690"/>
        <v>ㄨ</v>
      </c>
      <c r="M11058" s="1" t="str">
        <f t="shared" si="689"/>
        <v>ㄥ</v>
      </c>
      <c r="P11058" s="1" t="s">
        <v>20</v>
      </c>
      <c r="R11058" s="1" t="s">
        <v>22829</v>
      </c>
      <c r="V11058" s="1" t="s">
        <v>22854</v>
      </c>
      <c r="AR11058" s="1" t="str">
        <f t="shared" si="687"/>
        <v>| [ㄗㄨㄥ](ㄗㄨㄥ.md) | [鬉](鬉.md) |  | zōng | [形]
毛髮雜亂。《玉篇．髟部》：「鬉，毛亂也。」《集韻．平聲．東韻》：「鬉，髮亂。」
[名]
走獸頸上的毛。唐．李白〈結客少年場行〉：「紫燕黃金瞳，啾啾搖綠鬉。」 |</v>
      </c>
    </row>
    <row r="11059" spans="1:44" hidden="1">
      <c r="A11059" s="1" t="s">
        <v>22855</v>
      </c>
      <c r="C11059" s="1">
        <v>1</v>
      </c>
      <c r="D11059" s="1" t="str">
        <f>"09673"</f>
        <v>09673</v>
      </c>
      <c r="E11059" s="1" t="s">
        <v>319</v>
      </c>
      <c r="F11059" s="1">
        <v>19</v>
      </c>
      <c r="G11059" s="1">
        <v>9</v>
      </c>
      <c r="H11059" s="1">
        <v>0</v>
      </c>
      <c r="I11059" s="1" t="s">
        <v>22828</v>
      </c>
      <c r="K11059" s="1" t="str">
        <f t="shared" si="686"/>
        <v>ㄗ</v>
      </c>
      <c r="L11059" s="1" t="str">
        <f t="shared" si="690"/>
        <v>ㄨ</v>
      </c>
      <c r="M11059" s="1" t="str">
        <f t="shared" si="689"/>
        <v>ㄥ</v>
      </c>
      <c r="P11059" s="1" t="s">
        <v>20</v>
      </c>
      <c r="R11059" s="1" t="s">
        <v>22829</v>
      </c>
      <c r="V11059" s="1" t="s">
        <v>22856</v>
      </c>
      <c r="AR11059" s="1" t="str">
        <f t="shared" si="687"/>
        <v>| [ㄗㄨㄥ](ㄗㄨㄥ.md) | [騣](騣.md) |  | zōng | [名]
1.馬冠。《玉篇．馬部》：「騣，金騣，馬冠也。」
2.馬頸上的長毛。同「鬃」。南朝梁．簡文帝〈豔歌行〉二首之一：「金鞍隨繫尾，銜巢映纏騣。」 |</v>
      </c>
    </row>
    <row r="11060" spans="1:44" hidden="1">
      <c r="A11060" s="1" t="s">
        <v>22857</v>
      </c>
      <c r="C11060" s="1">
        <v>1</v>
      </c>
      <c r="D11060" s="1" t="str">
        <f>"09674"</f>
        <v>09674</v>
      </c>
      <c r="E11060" s="1" t="s">
        <v>725</v>
      </c>
      <c r="F11060" s="1">
        <v>15</v>
      </c>
      <c r="G11060" s="1">
        <v>9</v>
      </c>
      <c r="H11060" s="1">
        <v>1</v>
      </c>
      <c r="I11060" s="1" t="s">
        <v>22828</v>
      </c>
      <c r="K11060" s="1" t="str">
        <f t="shared" si="686"/>
        <v>ㄗ</v>
      </c>
      <c r="L11060" s="1" t="str">
        <f t="shared" si="690"/>
        <v>ㄨ</v>
      </c>
      <c r="M11060" s="1" t="str">
        <f t="shared" si="689"/>
        <v>ㄥ</v>
      </c>
      <c r="P11060" s="1" t="s">
        <v>20</v>
      </c>
      <c r="R11060" s="1" t="s">
        <v>22829</v>
      </c>
      <c r="V11060" s="1" t="s">
        <v>22858</v>
      </c>
      <c r="W11060" s="1" t="s">
        <v>22859</v>
      </c>
      <c r="AR11060" s="1" t="str">
        <f t="shared" si="687"/>
        <v>| [ㄗㄨㄥ](ㄗㄨㄥ.md) | [緫](緫.md) |  | zōng | [名]
量詞。計算絲的單位。《詩經．召南．羔羊》：「羔羊之縫，素絲五緫。」 |</v>
      </c>
    </row>
    <row r="11061" spans="1:44" hidden="1">
      <c r="A11061" s="1" t="s">
        <v>22860</v>
      </c>
      <c r="C11061" s="1">
        <v>1</v>
      </c>
      <c r="D11061" s="1" t="str">
        <f>"09675"</f>
        <v>09675</v>
      </c>
      <c r="E11061" s="1" t="s">
        <v>114</v>
      </c>
      <c r="F11061" s="1">
        <v>13</v>
      </c>
      <c r="G11061" s="1">
        <v>11</v>
      </c>
      <c r="H11061" s="1">
        <v>0</v>
      </c>
      <c r="I11061" s="1" t="s">
        <v>22861</v>
      </c>
      <c r="K11061" s="1" t="str">
        <f t="shared" si="686"/>
        <v>ㄗ</v>
      </c>
      <c r="L11061" s="1" t="str">
        <f t="shared" si="690"/>
        <v>ㄨ</v>
      </c>
      <c r="M11061" s="1" t="str">
        <f t="shared" si="689"/>
        <v>ㄥ</v>
      </c>
      <c r="P11061" s="1" t="s">
        <v>20</v>
      </c>
      <c r="R11061" s="1" t="s">
        <v>22862</v>
      </c>
      <c r="V11061" s="1" t="s">
        <v>11462</v>
      </c>
      <c r="AR11061" s="1" t="str">
        <f t="shared" si="687"/>
        <v>| [ㄗㄨㄥˇ](ㄗㄨㄥˇ.md) | [傯](傯.md) |  | zǒng | 參見「倥傯」條。 |</v>
      </c>
    </row>
    <row r="11062" spans="1:44" hidden="1">
      <c r="A11062" s="1" t="s">
        <v>22863</v>
      </c>
      <c r="C11062" s="1">
        <v>1</v>
      </c>
      <c r="D11062" s="1" t="str">
        <f>"09676"</f>
        <v>09676</v>
      </c>
      <c r="E11062" s="1" t="s">
        <v>250</v>
      </c>
      <c r="F11062" s="1">
        <v>14</v>
      </c>
      <c r="G11062" s="1">
        <v>11</v>
      </c>
      <c r="H11062" s="1">
        <v>0</v>
      </c>
      <c r="I11062" s="1" t="s">
        <v>22861</v>
      </c>
      <c r="K11062" s="1" t="str">
        <f t="shared" si="686"/>
        <v>ㄗ</v>
      </c>
      <c r="L11062" s="1" t="str">
        <f t="shared" si="690"/>
        <v>ㄨ</v>
      </c>
      <c r="M11062" s="1" t="str">
        <f t="shared" si="689"/>
        <v>ㄥ</v>
      </c>
      <c r="P11062" s="1" t="s">
        <v>20</v>
      </c>
      <c r="R11062" s="1" t="s">
        <v>22862</v>
      </c>
      <c r="V11062" s="1" t="s">
        <v>22864</v>
      </c>
      <c r="AR11062" s="1" t="str">
        <f t="shared" si="687"/>
        <v>| [ㄗㄨㄥˇ](ㄗㄨㄥˇ.md) | [憁](憁.md) |  | zǒng | 參見「悾憁」、「憁恫」等條。 |</v>
      </c>
    </row>
    <row r="11063" spans="1:44" hidden="1">
      <c r="A11063" s="1" t="s">
        <v>22865</v>
      </c>
      <c r="C11063" s="1">
        <v>1</v>
      </c>
      <c r="D11063" s="1" t="str">
        <f>"09677"</f>
        <v>09677</v>
      </c>
      <c r="E11063" s="1" t="s">
        <v>24</v>
      </c>
      <c r="F11063" s="1">
        <v>14</v>
      </c>
      <c r="G11063" s="1">
        <v>11</v>
      </c>
      <c r="H11063" s="1">
        <v>0</v>
      </c>
      <c r="I11063" s="1" t="s">
        <v>22861</v>
      </c>
      <c r="K11063" s="1" t="str">
        <f t="shared" si="686"/>
        <v>ㄗ</v>
      </c>
      <c r="L11063" s="1" t="str">
        <f t="shared" si="690"/>
        <v>ㄨ</v>
      </c>
      <c r="M11063" s="1" t="str">
        <f t="shared" si="689"/>
        <v>ㄥ</v>
      </c>
      <c r="P11063" s="1" t="s">
        <v>20</v>
      </c>
      <c r="R11063" s="1" t="s">
        <v>22862</v>
      </c>
      <c r="V11063" s="1" t="s">
        <v>22866</v>
      </c>
      <c r="AR11063" s="1" t="str">
        <f t="shared" si="687"/>
        <v>| [ㄗㄨㄥˇ](ㄗㄨㄥˇ.md) | [摠](摠.md) |  | zǒng | 同「總」。《集韻．上聲．董韻》：「總，《說文》：聚束也；一曰皆也。或從手，古作摠。」 |</v>
      </c>
    </row>
    <row r="11064" spans="1:44" hidden="1">
      <c r="A11064" s="1" t="s">
        <v>22867</v>
      </c>
      <c r="C11064" s="1">
        <v>1</v>
      </c>
      <c r="D11064" s="1" t="str">
        <f>"09678"</f>
        <v>09678</v>
      </c>
      <c r="E11064" s="1" t="s">
        <v>725</v>
      </c>
      <c r="F11064" s="1">
        <v>17</v>
      </c>
      <c r="G11064" s="1">
        <v>11</v>
      </c>
      <c r="H11064" s="1">
        <v>0</v>
      </c>
      <c r="I11064" s="1" t="s">
        <v>22861</v>
      </c>
      <c r="K11064" s="1" t="str">
        <f t="shared" si="686"/>
        <v>ㄗ</v>
      </c>
      <c r="L11064" s="1" t="str">
        <f t="shared" si="690"/>
        <v>ㄨ</v>
      </c>
      <c r="M11064" s="1" t="str">
        <f t="shared" si="689"/>
        <v>ㄥ</v>
      </c>
      <c r="P11064" s="1" t="s">
        <v>20</v>
      </c>
      <c r="R11064" s="1" t="s">
        <v>22862</v>
      </c>
      <c r="V11064" s="1" t="s">
        <v>22868</v>
      </c>
      <c r="AR11064" s="1" t="str">
        <f t="shared" si="687"/>
        <v>| [ㄗㄨㄥˇ](ㄗㄨㄥˇ.md) | [總](總.md) |  | zǒng | [動]_x000D_
1.聚合。《淮南子．精神》：「夫天地運而相通，萬物總而為一。」南朝梁．劉勰《文心雕龍．奏啟》：「治繁總要，此其體也。」_x000D_
2.繫結。《楚辭．屈原．離騷》：「飲余馬於成池兮，總余轡乎扶桑。」_x000D_
[形]_x000D_
統括、全部的。如：「總額」、「總綱」、「總店」、「總司令」。_x000D_
[副]_x000D_
1.都。宋．朱熹〈春日〉詩：「等閒識得東風面，萬紫千紅總是春。」_x000D_
2.一直、一向。如：「他總不聽話！」_x000D_
3.終究。如：「不管怎麼說，他總不答應。」_x000D_
4.全面、全部。如：「總動員」、「總複習」。 |</v>
      </c>
    </row>
    <row r="11065" spans="1:44" hidden="1">
      <c r="A11065" s="1" t="s">
        <v>22842</v>
      </c>
      <c r="C11065" s="1">
        <v>1</v>
      </c>
      <c r="D11065" s="1" t="str">
        <f>"09679"</f>
        <v>09679</v>
      </c>
      <c r="E11065" s="1" t="s">
        <v>725</v>
      </c>
      <c r="F11065" s="1">
        <v>17</v>
      </c>
      <c r="G11065" s="1">
        <v>11</v>
      </c>
      <c r="H11065" s="1">
        <v>3</v>
      </c>
      <c r="I11065" s="1" t="s">
        <v>22861</v>
      </c>
      <c r="K11065" s="1" t="str">
        <f t="shared" si="686"/>
        <v>ㄗ</v>
      </c>
      <c r="L11065" s="1" t="str">
        <f t="shared" si="690"/>
        <v>ㄨ</v>
      </c>
      <c r="M11065" s="1" t="str">
        <f t="shared" si="689"/>
        <v>ㄥ</v>
      </c>
      <c r="P11065" s="1" t="s">
        <v>20</v>
      </c>
      <c r="R11065" s="1" t="s">
        <v>22862</v>
      </c>
      <c r="V11065" s="1" t="s">
        <v>22869</v>
      </c>
      <c r="W11065" s="1" t="s">
        <v>22870</v>
      </c>
      <c r="AR11065" s="1" t="str">
        <f t="shared" si="687"/>
        <v>| [ㄗㄨㄥˇ](ㄗㄨㄥˇ.md) | [縱](縱.md) |  | zǒng | 參見「縱縱」、「縱臾」等條。 |</v>
      </c>
    </row>
    <row r="11066" spans="1:44" hidden="1">
      <c r="A11066" s="1" t="s">
        <v>22837</v>
      </c>
      <c r="C11066" s="1">
        <v>1</v>
      </c>
      <c r="D11066" s="1" t="str">
        <f>"09680"</f>
        <v>09680</v>
      </c>
      <c r="E11066" s="1" t="s">
        <v>234</v>
      </c>
      <c r="F11066" s="1">
        <v>11</v>
      </c>
      <c r="G11066" s="1">
        <v>8</v>
      </c>
      <c r="H11066" s="1">
        <v>2</v>
      </c>
      <c r="I11066" s="1" t="s">
        <v>22871</v>
      </c>
      <c r="K11066" s="1" t="str">
        <f t="shared" si="686"/>
        <v>ㄗ</v>
      </c>
      <c r="L11066" s="1" t="str">
        <f t="shared" si="690"/>
        <v>ㄨ</v>
      </c>
      <c r="M11066" s="1" t="str">
        <f t="shared" si="689"/>
        <v>ㄥ</v>
      </c>
      <c r="P11066" s="1" t="s">
        <v>20</v>
      </c>
      <c r="R11066" s="1" t="s">
        <v>22872</v>
      </c>
      <c r="V11066" s="1" t="s">
        <v>22873</v>
      </c>
      <c r="W11066" s="1" t="s">
        <v>22874</v>
      </c>
      <c r="AR11066" s="1" t="str">
        <f t="shared" si="687"/>
        <v>| [ㄗㄨㄥˋ](ㄗㄨㄥˋ.md) | [從](從.md) |  | zòng | [名]
隨侍的人。如：「侍從」、「僕從」。
[形]
1.堂房親屬中比至親稍疏的。如：「從兄弟」、「從伯叔」。
2.附屬的、次要的。如：「從犯」、「從吏」。《魏書．卷一一三．官氏志》：「前世職次皆無從品，魏氏始置之。」 |</v>
      </c>
    </row>
    <row r="11067" spans="1:44" hidden="1">
      <c r="A11067" s="1" t="s">
        <v>22875</v>
      </c>
      <c r="C11067" s="1">
        <v>1</v>
      </c>
      <c r="D11067" s="1" t="str">
        <f>"09681"</f>
        <v>09681</v>
      </c>
      <c r="E11067" s="1" t="s">
        <v>40</v>
      </c>
      <c r="F11067" s="1">
        <v>16</v>
      </c>
      <c r="G11067" s="1">
        <v>11</v>
      </c>
      <c r="H11067" s="1">
        <v>0</v>
      </c>
      <c r="I11067" s="1" t="s">
        <v>22871</v>
      </c>
      <c r="K11067" s="1" t="str">
        <f t="shared" si="686"/>
        <v>ㄗ</v>
      </c>
      <c r="L11067" s="1" t="str">
        <f t="shared" si="690"/>
        <v>ㄨ</v>
      </c>
      <c r="M11067" s="1" t="str">
        <f t="shared" si="689"/>
        <v>ㄥ</v>
      </c>
      <c r="P11067" s="1" t="s">
        <v>20</v>
      </c>
      <c r="R11067" s="1" t="s">
        <v>22872</v>
      </c>
      <c r="V11067" s="1" t="s">
        <v>15087</v>
      </c>
      <c r="AR11067" s="1" t="str">
        <f t="shared" si="687"/>
        <v>| [ㄗㄨㄥˋ](ㄗㄨㄥˋ.md) | [瘲](瘲.md) |  | zòng | 參見「瘈瘲」條。 |</v>
      </c>
    </row>
    <row r="11068" spans="1:44" hidden="1">
      <c r="A11068" s="1" t="s">
        <v>22842</v>
      </c>
      <c r="C11068" s="1">
        <v>1</v>
      </c>
      <c r="D11068" s="1" t="str">
        <f>"09682"</f>
        <v>09682</v>
      </c>
      <c r="E11068" s="1" t="s">
        <v>725</v>
      </c>
      <c r="F11068" s="1">
        <v>17</v>
      </c>
      <c r="G11068" s="1">
        <v>11</v>
      </c>
      <c r="H11068" s="1">
        <v>1</v>
      </c>
      <c r="I11068" s="1" t="s">
        <v>22871</v>
      </c>
      <c r="K11068" s="1" t="str">
        <f t="shared" si="686"/>
        <v>ㄗ</v>
      </c>
      <c r="L11068" s="1" t="str">
        <f t="shared" si="690"/>
        <v>ㄨ</v>
      </c>
      <c r="M11068" s="1" t="str">
        <f t="shared" si="689"/>
        <v>ㄥ</v>
      </c>
      <c r="P11068" s="1" t="s">
        <v>20</v>
      </c>
      <c r="R11068" s="1" t="s">
        <v>22872</v>
      </c>
      <c r="V11068" s="1" t="s">
        <v>22876</v>
      </c>
      <c r="W11068" s="1" t="s">
        <v>22877</v>
      </c>
      <c r="AR11068" s="1" t="str">
        <f t="shared" si="687"/>
        <v>| [ㄗㄨㄥˋ](ㄗㄨㄥˋ.md) | [縱](縱.md) |  | zòng | [動]
1.釋放。如：「縱虎歸山」。《左傳．僖公三十三年》：「吾聞一日縱敵，數世之患也。」《三國志．卷一．魏書．武帝紀》：「劉備不可縱。」
2.施放。《史記．卷一．五帝本紀》：「瞽叟從下縱火焚廩。」
3.不加拘束。《楚辭．屈原．離騷》：「啟九辯與九歌兮，夏康娛以自縱。」宋．蘇軾〈赤壁賦〉：「縱一葦之所如，凌萬頃之茫然。」
4.身體往上跳。漢．王充《論衡．道虛》：「若士者舉臂而縱身，遂入雲中。」
[連]
即使。如：「縱然」、「縱使」。《史記．卷七．項羽本紀》：「縱江東父兄憐而王我，我何面目見之？」 |</v>
      </c>
    </row>
    <row r="11069" spans="1:44" hidden="1">
      <c r="A11069" s="1" t="s">
        <v>19294</v>
      </c>
      <c r="C11069" s="1">
        <v>1</v>
      </c>
      <c r="D11069" s="1" t="str">
        <f>"09683"</f>
        <v>09683</v>
      </c>
      <c r="E11069" s="1" t="s">
        <v>46</v>
      </c>
      <c r="F11069" s="1">
        <v>14</v>
      </c>
      <c r="G11069" s="1">
        <v>8</v>
      </c>
      <c r="H11069" s="1">
        <v>1</v>
      </c>
      <c r="I11069" s="1" t="s">
        <v>22871</v>
      </c>
      <c r="K11069" s="1" t="str">
        <f t="shared" si="686"/>
        <v>ㄗ</v>
      </c>
      <c r="L11069" s="1" t="str">
        <f t="shared" si="690"/>
        <v>ㄨ</v>
      </c>
      <c r="M11069" s="1" t="str">
        <f t="shared" si="689"/>
        <v>ㄥ</v>
      </c>
      <c r="P11069" s="1" t="s">
        <v>20</v>
      </c>
      <c r="R11069" s="1" t="s">
        <v>22872</v>
      </c>
      <c r="V11069" s="1" t="s">
        <v>22878</v>
      </c>
      <c r="W11069" s="1" t="s">
        <v>22879</v>
      </c>
      <c r="AR11069" s="1" t="str">
        <f t="shared" si="687"/>
        <v>| [ㄗㄨㄥˋ](ㄗㄨㄥˋ.md) | [粽](粽.md) |  | zòng | [名]
用竹葉等包裹糯米和作料，蒸煮熟的角形食品。俗稱為「粽子」。通常在端午節時包食。如：「鹼粽」、「鹹粽」。也稱為「角黍」。 |</v>
      </c>
    </row>
    <row r="11070" spans="1:44" hidden="1">
      <c r="A11070" s="1" t="s">
        <v>22880</v>
      </c>
      <c r="C11070" s="1">
        <v>1</v>
      </c>
      <c r="D11070" s="1" t="str">
        <f>"09684"</f>
        <v>09684</v>
      </c>
      <c r="E11070" s="1" t="s">
        <v>725</v>
      </c>
      <c r="F11070" s="1">
        <v>14</v>
      </c>
      <c r="G11070" s="1">
        <v>8</v>
      </c>
      <c r="H11070" s="1">
        <v>0</v>
      </c>
      <c r="I11070" s="1" t="s">
        <v>22871</v>
      </c>
      <c r="K11070" s="1" t="str">
        <f t="shared" si="686"/>
        <v>ㄗ</v>
      </c>
      <c r="L11070" s="1" t="str">
        <f t="shared" si="690"/>
        <v>ㄨ</v>
      </c>
      <c r="M11070" s="1" t="str">
        <f t="shared" si="689"/>
        <v>ㄥ</v>
      </c>
      <c r="P11070" s="1" t="s">
        <v>20</v>
      </c>
      <c r="R11070" s="1" t="s">
        <v>22872</v>
      </c>
      <c r="V11070" s="1" t="s">
        <v>22881</v>
      </c>
      <c r="AR11070" s="1" t="str">
        <f t="shared" si="687"/>
        <v>| [ㄗㄨㄥˋ](ㄗㄨㄥˋ.md) | [綜](綜.md) |  | zòng | [名]
織布機上，使經緯線交織的裝置。《說文解字．糸部》：「綜，機縷也。」唐．虞世南〈中婦織流黃〉詩：「綜新交縷澀，經脆斷絲多。」
[動]
1.總合、聚集。《易經．繫辭上》：「參伍以變，錯綜其數。」南朝梁．劉勰《文心雕龍．情采》：「若乃綜述性靈，敷寫器象。」
2.治理。晉．桓溫〈上疏陳便宜七事〉：「古以九卿綜事，不專尚書。」北齊．顏之推《顏氏家訓．省事》：「近世有兩人，朗悟士也，性多營綜。」 |</v>
      </c>
    </row>
    <row r="11071" spans="1:44" hidden="1">
      <c r="A11071" s="1" t="s">
        <v>22197</v>
      </c>
      <c r="C11071" s="1">
        <v>1</v>
      </c>
      <c r="D11071" s="1" t="str">
        <f>"09431"</f>
        <v>09431</v>
      </c>
      <c r="E11071" s="1" t="s">
        <v>241</v>
      </c>
      <c r="F11071" s="1">
        <v>3</v>
      </c>
      <c r="G11071" s="1">
        <v>0</v>
      </c>
      <c r="H11071" s="1">
        <v>2</v>
      </c>
      <c r="I11071" s="1" t="s">
        <v>22257</v>
      </c>
      <c r="J11071" s="2" t="s">
        <v>30559</v>
      </c>
      <c r="K11071" s="1" t="s">
        <v>22122</v>
      </c>
      <c r="L11071" s="1" t="s">
        <v>30571</v>
      </c>
      <c r="P11071" s="1" t="s">
        <v>20</v>
      </c>
      <c r="R11071" s="1" t="s">
        <v>22258</v>
      </c>
      <c r="V11071" s="1" t="s">
        <v>22259</v>
      </c>
      <c r="W11071" s="1" t="s">
        <v>22260</v>
      </c>
      <c r="AR11071" s="1" t="str">
        <f t="shared" si="687"/>
        <v>| [˙ㄗ](˙ㄗ.md) | [子](子.md) |  | zi | [綴]
詞尾：(1)接名詞。如：「桌子」、「筷子」。(2)接動詞。如：「起子」、「拍子」。(3)接形容詞。如：「聾子」、「亂子」。(4)接量詞。如：「兩下子」、「一檔子」。 |</v>
      </c>
    </row>
    <row r="11072" spans="1:44" hidden="1">
      <c r="A11072" s="1" t="s">
        <v>22273</v>
      </c>
      <c r="C11072" s="1">
        <v>1</v>
      </c>
      <c r="D11072" s="1" t="str">
        <f>"09437"</f>
        <v>09437</v>
      </c>
      <c r="E11072" s="1" t="s">
        <v>24</v>
      </c>
      <c r="F11072" s="1">
        <v>9</v>
      </c>
      <c r="G11072" s="1">
        <v>6</v>
      </c>
      <c r="H11072" s="1">
        <v>1</v>
      </c>
      <c r="I11072" s="1" t="s">
        <v>22274</v>
      </c>
      <c r="K11072" s="1" t="str">
        <f t="shared" ref="K11072:K11135" si="691">LEFT(I11072, 1)</f>
        <v>ㄗ</v>
      </c>
      <c r="L11072" s="1" t="str">
        <f t="shared" ref="L11072:L11103" si="692">MID(I11072, 2, 1)</f>
        <v>ㄚ</v>
      </c>
      <c r="N11072" s="3" t="s">
        <v>30575</v>
      </c>
      <c r="O11072" s="3"/>
      <c r="P11072" s="1" t="s">
        <v>20</v>
      </c>
      <c r="R11072" s="1" t="s">
        <v>22275</v>
      </c>
      <c r="V11072" s="1" t="s">
        <v>22276</v>
      </c>
      <c r="W11072" s="1" t="s">
        <v>22277</v>
      </c>
      <c r="AR11072" s="1" t="str">
        <f t="shared" si="687"/>
        <v>| [ㄗㄚˊ](ㄗㄚˊ.md) | [拶](拶.md) |  | zá | [動]
擠壓、逼迫。唐．韓愈〈辛卯年雪〉詩：「崩騰相排拶，龍鳳交橫飛。」 |</v>
      </c>
    </row>
    <row r="11073" spans="1:44" hidden="1">
      <c r="A11073" s="1" t="s">
        <v>22278</v>
      </c>
      <c r="C11073" s="1">
        <v>1</v>
      </c>
      <c r="D11073" s="1" t="str">
        <f>"09438"</f>
        <v>09438</v>
      </c>
      <c r="E11073" s="1" t="s">
        <v>28</v>
      </c>
      <c r="F11073" s="1">
        <v>9</v>
      </c>
      <c r="G11073" s="1">
        <v>6</v>
      </c>
      <c r="H11073" s="1">
        <v>2</v>
      </c>
      <c r="I11073" s="1" t="s">
        <v>22274</v>
      </c>
      <c r="K11073" s="1" t="str">
        <f t="shared" si="691"/>
        <v>ㄗ</v>
      </c>
      <c r="L11073" s="1" t="str">
        <f t="shared" si="692"/>
        <v>ㄚ</v>
      </c>
      <c r="N11073" s="3" t="s">
        <v>30575</v>
      </c>
      <c r="O11073" s="3"/>
      <c r="P11073" s="1" t="s">
        <v>20</v>
      </c>
      <c r="R11073" s="1" t="s">
        <v>22275</v>
      </c>
      <c r="V11073" s="1" t="s">
        <v>22279</v>
      </c>
      <c r="W11073" s="1" t="s">
        <v>22280</v>
      </c>
      <c r="AR11073" s="1" t="str">
        <f t="shared" si="687"/>
        <v>| [ㄗㄚˊ](ㄗㄚˊ.md) | [咱](咱.md) |  | zá | 參見「咱家」條。 |</v>
      </c>
    </row>
    <row r="11074" spans="1:44" hidden="1">
      <c r="A11074" s="1" t="s">
        <v>22281</v>
      </c>
      <c r="C11074" s="1">
        <v>1</v>
      </c>
      <c r="D11074" s="1" t="str">
        <f>"09439"</f>
        <v>09439</v>
      </c>
      <c r="E11074" s="1" t="s">
        <v>169</v>
      </c>
      <c r="F11074" s="1">
        <v>10</v>
      </c>
      <c r="G11074" s="1">
        <v>5</v>
      </c>
      <c r="H11074" s="1">
        <v>0</v>
      </c>
      <c r="I11074" s="1" t="s">
        <v>22274</v>
      </c>
      <c r="K11074" s="1" t="str">
        <f t="shared" si="691"/>
        <v>ㄗ</v>
      </c>
      <c r="L11074" s="1" t="str">
        <f t="shared" si="692"/>
        <v>ㄚ</v>
      </c>
      <c r="N11074" s="3" t="s">
        <v>30575</v>
      </c>
      <c r="O11074" s="3"/>
      <c r="P11074" s="1" t="s">
        <v>20</v>
      </c>
      <c r="R11074" s="1" t="s">
        <v>22275</v>
      </c>
      <c r="V11074" s="1" t="s">
        <v>22282</v>
      </c>
      <c r="AR11074" s="1" t="str">
        <f t="shared" si="687"/>
        <v>| [ㄗㄚˊ](ㄗㄚˊ.md) | [砸](砸.md) |  | zá | [動]
1.丟。如：「砸石頭」、「砸雞蛋」。
2.壓。如：「牆塌了，砸壞許多東西。」、「他被大石頭砸傷了。」
3.打壞、打碎。如：「他不小心把鍋子砸了。」
4.積壓。如：「錯過時機，貨就砸到手裡了。」
5.把東西搗爛。如：「砸蒜」、「砸薑」。
[副]
失敗。如：「演砸了」、「辦砸了」、「搞砸了」。 |</v>
      </c>
    </row>
    <row r="11075" spans="1:44" hidden="1">
      <c r="A11075" s="1" t="s">
        <v>22283</v>
      </c>
      <c r="C11075" s="1">
        <v>1</v>
      </c>
      <c r="D11075" s="1" t="str">
        <f>"09440"</f>
        <v>09440</v>
      </c>
      <c r="E11075" s="1" t="s">
        <v>114</v>
      </c>
      <c r="F11075" s="1">
        <v>11</v>
      </c>
      <c r="G11075" s="1">
        <v>9</v>
      </c>
      <c r="H11075" s="1">
        <v>2</v>
      </c>
      <c r="I11075" s="1" t="s">
        <v>22274</v>
      </c>
      <c r="K11075" s="1" t="str">
        <f t="shared" si="691"/>
        <v>ㄗ</v>
      </c>
      <c r="L11075" s="1" t="str">
        <f t="shared" si="692"/>
        <v>ㄚ</v>
      </c>
      <c r="N11075" s="3" t="s">
        <v>30575</v>
      </c>
      <c r="O11075" s="3"/>
      <c r="P11075" s="1" t="s">
        <v>20</v>
      </c>
      <c r="R11075" s="1" t="s">
        <v>22275</v>
      </c>
      <c r="V11075" s="1" t="s">
        <v>22284</v>
      </c>
      <c r="W11075" s="1" t="s">
        <v>22285</v>
      </c>
      <c r="AR11075" s="1" t="str">
        <f t="shared" ref="AR11075:AR11138" si="693">"| ["&amp;I11075&amp;"]("&amp;I11075&amp;".md) | ["&amp;A11075&amp;"]("&amp;A11075&amp;".md) | "&amp;" | "&amp;R11075&amp;" | "&amp;V11075&amp;" |"</f>
        <v>| [ㄗㄚˊ](ㄗㄚˊ.md) | [偺](偺.md) |  | zá | 同「咱」(二)。 |</v>
      </c>
    </row>
    <row r="11076" spans="1:44" hidden="1">
      <c r="A11076" s="1" t="s">
        <v>22286</v>
      </c>
      <c r="C11076" s="1">
        <v>1</v>
      </c>
      <c r="D11076" s="1" t="str">
        <f>"09441"</f>
        <v>09441</v>
      </c>
      <c r="E11076" s="1" t="s">
        <v>28</v>
      </c>
      <c r="F11076" s="1">
        <v>12</v>
      </c>
      <c r="G11076" s="1">
        <v>9</v>
      </c>
      <c r="H11076" s="1">
        <v>2</v>
      </c>
      <c r="I11076" s="1" t="s">
        <v>22274</v>
      </c>
      <c r="K11076" s="1" t="str">
        <f t="shared" si="691"/>
        <v>ㄗ</v>
      </c>
      <c r="L11076" s="1" t="str">
        <f t="shared" si="692"/>
        <v>ㄚ</v>
      </c>
      <c r="N11076" s="3" t="s">
        <v>30575</v>
      </c>
      <c r="O11076" s="3"/>
      <c r="P11076" s="1" t="s">
        <v>20</v>
      </c>
      <c r="R11076" s="1" t="s">
        <v>22275</v>
      </c>
      <c r="V11076" s="1" t="s">
        <v>22284</v>
      </c>
      <c r="W11076" s="1" t="s">
        <v>22287</v>
      </c>
      <c r="AR11076" s="1" t="str">
        <f t="shared" si="693"/>
        <v>| [ㄗㄚˊ](ㄗㄚˊ.md) | [喒](喒.md) |  | zá | 同「咱」(二)。 |</v>
      </c>
    </row>
    <row r="11077" spans="1:44" hidden="1">
      <c r="A11077" s="1" t="s">
        <v>14902</v>
      </c>
      <c r="C11077" s="1">
        <v>1</v>
      </c>
      <c r="D11077" s="1" t="str">
        <f>"09442"</f>
        <v>09442</v>
      </c>
      <c r="E11077" s="1" t="s">
        <v>28</v>
      </c>
      <c r="F11077" s="1">
        <v>14</v>
      </c>
      <c r="G11077" s="1">
        <v>11</v>
      </c>
      <c r="H11077" s="1">
        <v>1</v>
      </c>
      <c r="I11077" s="1" t="s">
        <v>22274</v>
      </c>
      <c r="K11077" s="1" t="str">
        <f t="shared" si="691"/>
        <v>ㄗ</v>
      </c>
      <c r="L11077" s="1" t="str">
        <f t="shared" si="692"/>
        <v>ㄚ</v>
      </c>
      <c r="N11077" s="3" t="s">
        <v>30575</v>
      </c>
      <c r="O11077" s="3"/>
      <c r="P11077" s="1" t="s">
        <v>20</v>
      </c>
      <c r="R11077" s="1" t="s">
        <v>22275</v>
      </c>
      <c r="V11077" s="1" t="s">
        <v>22288</v>
      </c>
      <c r="W11077" s="1" t="s">
        <v>22289</v>
      </c>
      <c r="AR11077" s="1" t="str">
        <f t="shared" si="693"/>
        <v>| [ㄗㄚˊ](ㄗㄚˊ.md) | [嘁](嘁.md) |  | zá | [副]
忸怩的樣子。如：「嘁咨」。 |</v>
      </c>
    </row>
    <row r="11078" spans="1:44" hidden="1">
      <c r="A11078" s="1" t="s">
        <v>22290</v>
      </c>
      <c r="C11078" s="1">
        <v>1</v>
      </c>
      <c r="D11078" s="1" t="str">
        <f>"09443"</f>
        <v>09443</v>
      </c>
      <c r="E11078" s="1" t="s">
        <v>169</v>
      </c>
      <c r="F11078" s="1">
        <v>17</v>
      </c>
      <c r="G11078" s="1">
        <v>12</v>
      </c>
      <c r="H11078" s="1">
        <v>0</v>
      </c>
      <c r="I11078" s="1" t="s">
        <v>22274</v>
      </c>
      <c r="K11078" s="1" t="str">
        <f t="shared" si="691"/>
        <v>ㄗ</v>
      </c>
      <c r="L11078" s="1" t="str">
        <f t="shared" si="692"/>
        <v>ㄚ</v>
      </c>
      <c r="N11078" s="3" t="s">
        <v>30575</v>
      </c>
      <c r="O11078" s="3"/>
      <c r="P11078" s="1" t="s">
        <v>20</v>
      </c>
      <c r="R11078" s="1" t="s">
        <v>22275</v>
      </c>
      <c r="V11078" s="1" t="s">
        <v>22291</v>
      </c>
      <c r="AR11078" s="1" t="str">
        <f t="shared" si="693"/>
        <v>| [ㄗㄚˊ](ㄗㄚˊ.md) | [磼](磼.md) |  | zá | [形]
磼嶪：山勢高峻。《廣韻．入聲．合韻》：「磼，磼嶪，山高。」《史記．卷一一七．司馬相如傳》：「嵯峨磼嶪，刻削崢嶸。」 |</v>
      </c>
    </row>
    <row r="11079" spans="1:44" hidden="1">
      <c r="A11079" s="1" t="s">
        <v>22292</v>
      </c>
      <c r="C11079" s="1">
        <v>1</v>
      </c>
      <c r="D11079" s="1" t="str">
        <f>"09444"</f>
        <v>09444</v>
      </c>
      <c r="E11079" s="1" t="s">
        <v>5383</v>
      </c>
      <c r="F11079" s="1">
        <v>18</v>
      </c>
      <c r="G11079" s="1">
        <v>10</v>
      </c>
      <c r="H11079" s="1">
        <v>0</v>
      </c>
      <c r="I11079" s="1" t="s">
        <v>22274</v>
      </c>
      <c r="K11079" s="1" t="str">
        <f t="shared" si="691"/>
        <v>ㄗ</v>
      </c>
      <c r="L11079" s="1" t="str">
        <f t="shared" si="692"/>
        <v>ㄚ</v>
      </c>
      <c r="N11079" s="3" t="s">
        <v>30575</v>
      </c>
      <c r="O11079" s="3"/>
      <c r="P11079" s="1" t="s">
        <v>20</v>
      </c>
      <c r="R11079" s="1" t="s">
        <v>22275</v>
      </c>
      <c r="V11079" s="1" t="s">
        <v>22293</v>
      </c>
      <c r="AR11079" s="1" t="str">
        <f t="shared" si="693"/>
        <v>| [ㄗㄚˊ](ㄗㄚˊ.md) | [雜](雜.md) |  | zá | [動]
1.五彩相合。《說文解字．衣部》：「雜，五彩相會。」南朝梁．劉勰《文心雕龍．情采》：「五色雜而成黼黻，五音比而成韶夏。」
2.混合、摻入。如：「摻雜」、「夾雜」。《漢書．卷九．元帝紀》：「漢家自有制度，本以霸王道雜之，柰何純任德教，用周政乎！」
[形]
1.瑣碎、繁亂。如：「雜務」、「雜亂」、「繁雜」。《易經．繫辭下》：「其稱名也，雜而不越。」
2.不單純、不純粹的。如：「複雜」、「雜種」。
3.非正項的。如：「雜支」、「雜稅」、「雜糧」。
4.不同類的。如：「雜燴」、「南北雜貨」。
[副]
混亂。《禮記．曲禮上》：「男女不雜坐，不同椸枷。」《後漢書．卷三九．趙咨傳》：「法度衰毀，上下僭雜。」
[名]
國劇裡不重要的角色，扮演供役使奔走的人。 |</v>
      </c>
    </row>
    <row r="11080" spans="1:44" hidden="1">
      <c r="A11080" s="1" t="s">
        <v>22294</v>
      </c>
      <c r="C11080" s="1">
        <v>1</v>
      </c>
      <c r="D11080" s="1" t="str">
        <f>"09445"</f>
        <v>09445</v>
      </c>
      <c r="E11080" s="1" t="s">
        <v>5383</v>
      </c>
      <c r="F11080" s="1">
        <v>24</v>
      </c>
      <c r="G11080" s="1">
        <v>16</v>
      </c>
      <c r="H11080" s="1">
        <v>0</v>
      </c>
      <c r="I11080" s="1" t="s">
        <v>22274</v>
      </c>
      <c r="K11080" s="1" t="str">
        <f t="shared" si="691"/>
        <v>ㄗ</v>
      </c>
      <c r="L11080" s="1" t="str">
        <f t="shared" si="692"/>
        <v>ㄚ</v>
      </c>
      <c r="N11080" s="3" t="s">
        <v>30575</v>
      </c>
      <c r="O11080" s="3"/>
      <c r="P11080" s="1" t="s">
        <v>20</v>
      </c>
      <c r="R11080" s="1" t="s">
        <v>22275</v>
      </c>
      <c r="V11080" s="1" t="s">
        <v>22295</v>
      </c>
      <c r="AR11080" s="1" t="str">
        <f t="shared" si="693"/>
        <v>| [ㄗㄚˊ](ㄗㄚˊ.md) | [雥](雥.md) |  | zá | [名]
群鳥。《說文解字．雥部》：「雥，群鳥也。」 |</v>
      </c>
    </row>
    <row r="11081" spans="1:44" hidden="1">
      <c r="A11081" s="1" t="s">
        <v>22343</v>
      </c>
      <c r="C11081" s="1">
        <v>1</v>
      </c>
      <c r="D11081" s="1" t="str">
        <f>"09467"</f>
        <v>09467</v>
      </c>
      <c r="E11081" s="1" t="s">
        <v>114</v>
      </c>
      <c r="F11081" s="1">
        <v>4</v>
      </c>
      <c r="G11081" s="1">
        <v>2</v>
      </c>
      <c r="H11081" s="1">
        <v>0</v>
      </c>
      <c r="I11081" s="1" t="s">
        <v>22344</v>
      </c>
      <c r="K11081" s="1" t="str">
        <f t="shared" si="691"/>
        <v>ㄗ</v>
      </c>
      <c r="L11081" s="1" t="str">
        <f t="shared" si="692"/>
        <v>ㄜ</v>
      </c>
      <c r="N11081" s="3" t="s">
        <v>30574</v>
      </c>
      <c r="O11081" s="3"/>
      <c r="P11081" s="1" t="s">
        <v>20</v>
      </c>
      <c r="R11081" s="1" t="s">
        <v>22345</v>
      </c>
      <c r="V11081" s="1" t="s">
        <v>22346</v>
      </c>
      <c r="AR11081" s="1" t="str">
        <f t="shared" si="693"/>
        <v>| [ㄗㄜˋ](ㄗㄜˋ.md) | [仄](仄.md) |  | zè | [動]
傾斜。通「側」。《管子．白心》：「日極則仄，月滿則虧。」《後漢書．卷一．光武帝紀下》：「每旦視朝，日仄乃罷。」
[形]
1.狹小。如：「狹仄」、「仄路」。《漢書．卷四九．鼂錯傳》：「險道傾仄，且馳且射。」《明史．卷二一二．戚繼光傳》：「山谷仄隘，林薄蓊翳，邊外之形也。」
2.心中不安。《紅樓夢》第九九回：「衷懷歉仄，自歎無緣。」
[名]
韻文稱四聲中上、去、入三聲為「仄聲」。簡稱為「仄」。 |</v>
      </c>
    </row>
    <row r="11082" spans="1:44" hidden="1">
      <c r="A11082" s="1" t="s">
        <v>22347</v>
      </c>
      <c r="C11082" s="1">
        <v>1</v>
      </c>
      <c r="D11082" s="1" t="str">
        <f>"09468"</f>
        <v>09468</v>
      </c>
      <c r="E11082" s="1" t="s">
        <v>447</v>
      </c>
      <c r="F11082" s="1">
        <v>5</v>
      </c>
      <c r="G11082" s="1">
        <v>2</v>
      </c>
      <c r="H11082" s="1">
        <v>0</v>
      </c>
      <c r="I11082" s="1" t="s">
        <v>22344</v>
      </c>
      <c r="K11082" s="1" t="str">
        <f t="shared" si="691"/>
        <v>ㄗ</v>
      </c>
      <c r="L11082" s="1" t="str">
        <f t="shared" si="692"/>
        <v>ㄜ</v>
      </c>
      <c r="N11082" s="3" t="s">
        <v>30574</v>
      </c>
      <c r="O11082" s="3"/>
      <c r="P11082" s="1" t="s">
        <v>20</v>
      </c>
      <c r="R11082" s="1" t="s">
        <v>22345</v>
      </c>
      <c r="V11082" s="1" t="s">
        <v>22348</v>
      </c>
      <c r="AR11082" s="1" t="str">
        <f t="shared" si="693"/>
        <v>| [ㄗㄜˋ](ㄗㄜˋ.md) | [庂](庂.md) |  | zè | 同「仄」。 |</v>
      </c>
    </row>
    <row r="11083" spans="1:44" hidden="1">
      <c r="A11083" s="1" t="s">
        <v>22349</v>
      </c>
      <c r="C11083" s="1">
        <v>1</v>
      </c>
      <c r="D11083" s="1" t="str">
        <f>"09469"</f>
        <v>09469</v>
      </c>
      <c r="E11083" s="1" t="s">
        <v>646</v>
      </c>
      <c r="F11083" s="1">
        <v>8</v>
      </c>
      <c r="G11083" s="1">
        <v>4</v>
      </c>
      <c r="H11083" s="1">
        <v>0</v>
      </c>
      <c r="I11083" s="1" t="s">
        <v>22344</v>
      </c>
      <c r="K11083" s="1" t="str">
        <f t="shared" si="691"/>
        <v>ㄗ</v>
      </c>
      <c r="L11083" s="1" t="str">
        <f t="shared" si="692"/>
        <v>ㄜ</v>
      </c>
      <c r="N11083" s="3" t="s">
        <v>30574</v>
      </c>
      <c r="O11083" s="3"/>
      <c r="P11083" s="1" t="s">
        <v>20</v>
      </c>
      <c r="R11083" s="1" t="s">
        <v>22345</v>
      </c>
      <c r="V11083" s="1" t="s">
        <v>22350</v>
      </c>
      <c r="AR11083" s="1" t="str">
        <f t="shared" si="693"/>
        <v>| [ㄗㄜˋ](ㄗㄜˋ.md) | [昃](昃.md) |  | zè | [動]
太陽向西傾斜。《易經．豐卦．彖曰》：「日中則昃，月盈則食。」《漢書．卷五六．董仲舒傳》：「周文王至於日昃不暇食，而宇內亦治。」 |</v>
      </c>
    </row>
    <row r="11084" spans="1:44" hidden="1">
      <c r="A11084" s="1" t="s">
        <v>22351</v>
      </c>
      <c r="C11084" s="1">
        <v>1</v>
      </c>
      <c r="D11084" s="1" t="str">
        <f>"09470"</f>
        <v>09470</v>
      </c>
      <c r="E11084" s="1" t="s">
        <v>563</v>
      </c>
      <c r="F11084" s="1">
        <v>4</v>
      </c>
      <c r="G11084" s="1">
        <v>1</v>
      </c>
      <c r="H11084" s="1">
        <v>0</v>
      </c>
      <c r="I11084" s="1" t="s">
        <v>22344</v>
      </c>
      <c r="K11084" s="1" t="str">
        <f t="shared" si="691"/>
        <v>ㄗ</v>
      </c>
      <c r="L11084" s="1" t="str">
        <f t="shared" si="692"/>
        <v>ㄜ</v>
      </c>
      <c r="N11084" s="3" t="s">
        <v>30574</v>
      </c>
      <c r="O11084" s="3"/>
      <c r="P11084" s="1" t="s">
        <v>20</v>
      </c>
      <c r="R11084" s="1" t="s">
        <v>22345</v>
      </c>
      <c r="V11084" s="1" t="s">
        <v>22352</v>
      </c>
      <c r="AR11084" s="1" t="str">
        <f t="shared" si="693"/>
        <v>| [ㄗㄜˋ](ㄗㄜˋ.md) | [夨](夨.md) |  | zè | [動]
傾斜著頭。《說文解字．夨部》：「夨，傾頭也。」 |</v>
      </c>
    </row>
    <row r="11085" spans="1:44" hidden="1">
      <c r="A11085" s="1" t="s">
        <v>13011</v>
      </c>
      <c r="C11085" s="1">
        <v>1</v>
      </c>
      <c r="D11085" s="1" t="str">
        <f>"09471"</f>
        <v>09471</v>
      </c>
      <c r="E11085" s="1" t="s">
        <v>28</v>
      </c>
      <c r="F11085" s="1">
        <v>11</v>
      </c>
      <c r="G11085" s="1">
        <v>8</v>
      </c>
      <c r="H11085" s="1">
        <v>3</v>
      </c>
      <c r="I11085" s="1" t="s">
        <v>22344</v>
      </c>
      <c r="K11085" s="1" t="str">
        <f t="shared" si="691"/>
        <v>ㄗ</v>
      </c>
      <c r="L11085" s="1" t="str">
        <f t="shared" si="692"/>
        <v>ㄜ</v>
      </c>
      <c r="N11085" s="3" t="s">
        <v>30574</v>
      </c>
      <c r="O11085" s="3"/>
      <c r="P11085" s="1" t="s">
        <v>20</v>
      </c>
      <c r="R11085" s="1" t="s">
        <v>22345</v>
      </c>
      <c r="V11085" s="1" t="s">
        <v>22353</v>
      </c>
      <c r="W11085" s="1" t="s">
        <v>22354</v>
      </c>
      <c r="AR11085" s="1" t="str">
        <f t="shared" si="693"/>
        <v>| [ㄗㄜˋ](ㄗㄜˋ.md) | [唶](唶.md) |  | zè | 參見「嚄唶」條。 |</v>
      </c>
    </row>
    <row r="11086" spans="1:44" hidden="1">
      <c r="A11086" s="1" t="s">
        <v>22355</v>
      </c>
      <c r="C11086" s="1">
        <v>1</v>
      </c>
      <c r="D11086" s="1" t="str">
        <f>"09472"</f>
        <v>09472</v>
      </c>
      <c r="E11086" s="1" t="s">
        <v>114</v>
      </c>
      <c r="F11086" s="1">
        <v>11</v>
      </c>
      <c r="G11086" s="1">
        <v>9</v>
      </c>
      <c r="H11086" s="1">
        <v>2</v>
      </c>
      <c r="I11086" s="1" t="s">
        <v>22344</v>
      </c>
      <c r="K11086" s="1" t="str">
        <f t="shared" si="691"/>
        <v>ㄗ</v>
      </c>
      <c r="L11086" s="1" t="str">
        <f t="shared" si="692"/>
        <v>ㄜ</v>
      </c>
      <c r="N11086" s="3" t="s">
        <v>30574</v>
      </c>
      <c r="O11086" s="3"/>
      <c r="P11086" s="1" t="s">
        <v>110</v>
      </c>
      <c r="R11086" s="1" t="s">
        <v>22345</v>
      </c>
      <c r="V11086" s="1" t="s">
        <v>111</v>
      </c>
      <c r="W11086" s="1" t="s">
        <v>22356</v>
      </c>
      <c r="AR11086" s="1" t="str">
        <f t="shared" si="693"/>
        <v>| [ㄗㄜˋ](ㄗㄜˋ.md) | [側](側.md) |  | zè | (一)之又音。 |</v>
      </c>
    </row>
    <row r="11087" spans="1:44" hidden="1">
      <c r="A11087" s="1" t="s">
        <v>22357</v>
      </c>
      <c r="C11087" s="1">
        <v>1</v>
      </c>
      <c r="D11087" s="1" t="str">
        <f>"09473"</f>
        <v>09473</v>
      </c>
      <c r="E11087" s="1" t="s">
        <v>190</v>
      </c>
      <c r="F11087" s="1">
        <v>12</v>
      </c>
      <c r="G11087" s="1">
        <v>9</v>
      </c>
      <c r="H11087" s="1">
        <v>0</v>
      </c>
      <c r="I11087" s="1" t="s">
        <v>22344</v>
      </c>
      <c r="K11087" s="1" t="str">
        <f t="shared" si="691"/>
        <v>ㄗ</v>
      </c>
      <c r="L11087" s="1" t="str">
        <f t="shared" si="692"/>
        <v>ㄜ</v>
      </c>
      <c r="N11087" s="3" t="s">
        <v>30574</v>
      </c>
      <c r="O11087" s="3"/>
      <c r="P11087" s="1" t="s">
        <v>20</v>
      </c>
      <c r="R11087" s="1" t="s">
        <v>22345</v>
      </c>
      <c r="V11087" s="1" t="s">
        <v>22358</v>
      </c>
      <c r="AR11087" s="1" t="str">
        <f t="shared" si="693"/>
        <v>| [ㄗㄜˋ](ㄗㄜˋ.md) | [崱](崱.md) |  | zè | 參見「崱屴」條。 |</v>
      </c>
    </row>
    <row r="11088" spans="1:44" hidden="1">
      <c r="A11088" s="1" t="s">
        <v>18076</v>
      </c>
      <c r="C11088" s="1">
        <v>1</v>
      </c>
      <c r="D11088" s="1" t="str">
        <f>"09446"</f>
        <v>09446</v>
      </c>
      <c r="E11088" s="1" t="s">
        <v>28</v>
      </c>
      <c r="F11088" s="1">
        <v>8</v>
      </c>
      <c r="G11088" s="1">
        <v>5</v>
      </c>
      <c r="H11088" s="1">
        <v>2</v>
      </c>
      <c r="I11088" s="1" t="s">
        <v>22296</v>
      </c>
      <c r="K11088" s="1" t="str">
        <f t="shared" si="691"/>
        <v>ㄗ</v>
      </c>
      <c r="L11088" s="1" t="str">
        <f t="shared" si="692"/>
        <v>ㄜ</v>
      </c>
      <c r="N11088" s="3" t="s">
        <v>30575</v>
      </c>
      <c r="O11088" s="3"/>
      <c r="P11088" s="1" t="s">
        <v>20</v>
      </c>
      <c r="R11088" s="1" t="s">
        <v>22297</v>
      </c>
      <c r="V11088" s="1" t="s">
        <v>22298</v>
      </c>
      <c r="W11088" s="1" t="s">
        <v>22299</v>
      </c>
      <c r="AR11088" s="1" t="str">
        <f t="shared" si="693"/>
        <v>| [ㄗㄜˊ](ㄗㄜˊ.md) | [咋](咋.md) |  | zé | [副]
大聲的。《集韻．入聲．陌韻》：「咋，大聲。」《宋史．卷三六四．韓世忠傳》：「與賊遇。世忠步走挺戈而前，賊望見，咋曰：『此韓將軍也！』皆驚潰。」
[動]
囓、咬。北齊．顏之推《顏氏家訓．勉學》：「且負甲為兵，咋筆為吏，身死名滅者如牛毛，角立傑出者如芝草。」《聊齋志異．卷七．甄后》：「一日，有瞽媼牽黃犬丐食其家，拍板俚歌。女出窺，立未定，犬斷索咋女。」 |</v>
      </c>
    </row>
    <row r="11089" spans="1:44" hidden="1">
      <c r="A11089" s="1" t="s">
        <v>22300</v>
      </c>
      <c r="C11089" s="1">
        <v>1</v>
      </c>
      <c r="D11089" s="1" t="str">
        <f>"09447"</f>
        <v>09447</v>
      </c>
      <c r="E11089" s="1" t="s">
        <v>190</v>
      </c>
      <c r="F11089" s="1">
        <v>8</v>
      </c>
      <c r="G11089" s="1">
        <v>5</v>
      </c>
      <c r="H11089" s="1">
        <v>0</v>
      </c>
      <c r="I11089" s="1" t="s">
        <v>22296</v>
      </c>
      <c r="K11089" s="1" t="str">
        <f t="shared" si="691"/>
        <v>ㄗ</v>
      </c>
      <c r="L11089" s="1" t="str">
        <f t="shared" si="692"/>
        <v>ㄜ</v>
      </c>
      <c r="N11089" s="3" t="s">
        <v>30575</v>
      </c>
      <c r="O11089" s="3"/>
      <c r="P11089" s="1" t="s">
        <v>20</v>
      </c>
      <c r="R11089" s="1" t="s">
        <v>22297</v>
      </c>
      <c r="V11089" s="1" t="s">
        <v>22301</v>
      </c>
      <c r="AR11089" s="1" t="str">
        <f t="shared" si="693"/>
        <v>| [ㄗㄜˊ](ㄗㄜˊ.md) | [岝](岝.md) |  | zé | [形]
岝崿：高峻。《廣韻．入聲．鐸韻》：「岝，岝崿，山高。」南朝梁．何遜〈渡連圻〉詩二之一：「硣磟上爭險，岝崿下相崩。」 |</v>
      </c>
    </row>
    <row r="11090" spans="1:44" hidden="1">
      <c r="A11090" s="1" t="s">
        <v>22302</v>
      </c>
      <c r="C11090" s="1">
        <v>1</v>
      </c>
      <c r="D11090" s="1" t="str">
        <f>"09448"</f>
        <v>09448</v>
      </c>
      <c r="E11090" s="1" t="s">
        <v>139</v>
      </c>
      <c r="F11090" s="1">
        <v>9</v>
      </c>
      <c r="G11090" s="1">
        <v>5</v>
      </c>
      <c r="H11090" s="1">
        <v>2</v>
      </c>
      <c r="I11090" s="1" t="s">
        <v>22296</v>
      </c>
      <c r="K11090" s="1" t="str">
        <f t="shared" si="691"/>
        <v>ㄗ</v>
      </c>
      <c r="L11090" s="1" t="str">
        <f t="shared" si="692"/>
        <v>ㄜ</v>
      </c>
      <c r="N11090" s="3" t="s">
        <v>30575</v>
      </c>
      <c r="O11090" s="3"/>
      <c r="P11090" s="1" t="s">
        <v>20</v>
      </c>
      <c r="R11090" s="1" t="s">
        <v>22297</v>
      </c>
      <c r="V11090" s="1" t="s">
        <v>22303</v>
      </c>
      <c r="W11090" s="1" t="s">
        <v>22304</v>
      </c>
      <c r="AR11090" s="1" t="str">
        <f t="shared" si="693"/>
        <v>| [ㄗㄜˊ](ㄗㄜˊ.md) | [柞](柞.md) |  | zé | [動]
砍伐樹木。《文選．張衡．西京賦》：「焚萊平場，柞木翦棘。」
[形]
1.狹窄。通「窄」。《周禮．冬官考工記．輪人》：「轂小而長則柞，大而短則摰。」
2.大聲。《周禮．冬官考工記．鳧氏》：「鐘已厚則石，已薄則播，侈則柞，弇則鬱。」 |</v>
      </c>
    </row>
    <row r="11091" spans="1:44" hidden="1">
      <c r="A11091" s="1" t="s">
        <v>22305</v>
      </c>
      <c r="C11091" s="1">
        <v>1</v>
      </c>
      <c r="D11091" s="1" t="str">
        <f>"09449"</f>
        <v>09449</v>
      </c>
      <c r="E11091" s="1" t="s">
        <v>558</v>
      </c>
      <c r="F11091" s="1">
        <v>9</v>
      </c>
      <c r="G11091" s="1">
        <v>5</v>
      </c>
      <c r="H11091" s="1">
        <v>1</v>
      </c>
      <c r="I11091" s="1" t="s">
        <v>22296</v>
      </c>
      <c r="K11091" s="1" t="str">
        <f t="shared" si="691"/>
        <v>ㄗ</v>
      </c>
      <c r="L11091" s="1" t="str">
        <f t="shared" si="692"/>
        <v>ㄜ</v>
      </c>
      <c r="N11091" s="3" t="s">
        <v>30575</v>
      </c>
      <c r="O11091" s="3"/>
      <c r="P11091" s="1" t="s">
        <v>20</v>
      </c>
      <c r="R11091" s="1" t="s">
        <v>22297</v>
      </c>
      <c r="V11091" s="1" t="s">
        <v>22306</v>
      </c>
      <c r="W11091" s="1" t="s">
        <v>22307</v>
      </c>
      <c r="AR11091" s="1" t="str">
        <f t="shared" si="693"/>
        <v>| [ㄗㄜˊ](ㄗㄜˊ.md) | [迮](迮.md) |  | zé | [動]_x000D_
逼迫。《後漢書．卷四六．郭陳列傳．陳寵》：「鄰舍比里，共相壓迮。」宋．蘇轍〈和子瞻沉香山子賦〉：「紛然馳走，不守其宅，光寵所眩，憂患所迮。」_x000D_
[形]_x000D_
1.狹窄。通「窄」。《三國志．卷三六．蜀書．關張馬黃趙傳．張飛》：「山道迮狹，前後不得相救，飛遂破郃。」唐．杜甫〈溪上〉詩：「古苕生迮地，秋竹隱疏花。」_x000D_
2.倉促。《公羊傳．襄公二十九年》：「今若是迮而與季子國，季子猶不受也。」漢．何休．解詁：「迮，倉卒意。」_x000D_
[名]_x000D_
姓。如明代有迮原霖。 |</v>
      </c>
    </row>
    <row r="11092" spans="1:44" hidden="1">
      <c r="A11092" s="1" t="s">
        <v>18220</v>
      </c>
      <c r="C11092" s="1">
        <v>1</v>
      </c>
      <c r="D11092" s="1" t="str">
        <f>"09450"</f>
        <v>09450</v>
      </c>
      <c r="E11092" s="1" t="s">
        <v>1274</v>
      </c>
      <c r="F11092" s="1">
        <v>10</v>
      </c>
      <c r="G11092" s="1">
        <v>5</v>
      </c>
      <c r="H11092" s="1">
        <v>2</v>
      </c>
      <c r="I11092" s="1" t="s">
        <v>22296</v>
      </c>
      <c r="K11092" s="1" t="str">
        <f t="shared" si="691"/>
        <v>ㄗ</v>
      </c>
      <c r="L11092" s="1" t="str">
        <f t="shared" si="692"/>
        <v>ㄜ</v>
      </c>
      <c r="N11092" s="3" t="s">
        <v>30575</v>
      </c>
      <c r="O11092" s="3"/>
      <c r="P11092" s="1" t="s">
        <v>186</v>
      </c>
      <c r="R11092" s="1" t="s">
        <v>22297</v>
      </c>
      <c r="V11092" s="1" t="s">
        <v>206</v>
      </c>
      <c r="W11092" s="1" t="s">
        <v>22308</v>
      </c>
      <c r="AR11092" s="1" t="str">
        <f t="shared" si="693"/>
        <v>| [ㄗㄜˊ](ㄗㄜˊ.md) | [窄](窄.md) |  | zé | (一)之讀音。 |</v>
      </c>
    </row>
    <row r="11093" spans="1:44" hidden="1">
      <c r="A11093" s="1" t="s">
        <v>18087</v>
      </c>
      <c r="C11093" s="1">
        <v>1</v>
      </c>
      <c r="D11093" s="1" t="str">
        <f>"09451"</f>
        <v>09451</v>
      </c>
      <c r="E11093" s="1" t="s">
        <v>49</v>
      </c>
      <c r="F11093" s="1">
        <v>11</v>
      </c>
      <c r="G11093" s="1">
        <v>5</v>
      </c>
      <c r="H11093" s="1">
        <v>1</v>
      </c>
      <c r="I11093" s="1" t="s">
        <v>22296</v>
      </c>
      <c r="K11093" s="1" t="str">
        <f t="shared" si="691"/>
        <v>ㄗ</v>
      </c>
      <c r="L11093" s="1" t="str">
        <f t="shared" si="692"/>
        <v>ㄜ</v>
      </c>
      <c r="N11093" s="3" t="s">
        <v>30575</v>
      </c>
      <c r="O11093" s="3"/>
      <c r="P11093" s="1" t="s">
        <v>20</v>
      </c>
      <c r="R11093" s="1" t="s">
        <v>22297</v>
      </c>
      <c r="V11093" s="1" t="s">
        <v>22309</v>
      </c>
      <c r="W11093" s="1" t="s">
        <v>22310</v>
      </c>
      <c r="AR11093" s="1" t="str">
        <f t="shared" si="693"/>
        <v>| [ㄗㄜˊ](ㄗㄜˊ.md) | [笮](笮.md) |  | zé | [名]
1.竹編的箭袋。《廣韻．入聲．陌韻》：「笮，矢箙。」《儀禮．既夕禮》：「役器：甲冑干笮。」漢．鄭玄．注：「笮，矢箙。」
2.屋頂上承瓦的竹板。《廣韻．入聲．陌韻》：「笮，又屋上版。」
3.姓。如漢代有笮融。
[動]
壓迫、逼迫。漢．應劭《風俗通義．卷一．六國》：「燕外迫蠻、陌，內笮齊、晉。」《三國志．卷五二．吳書．諸葛謹傳》：「以操笮其頭，畏操威嚴，故竭心盡意，不敢為非耳。」
[形]
狹窄、狹隘。漢．曹丕〈陌上桑〉詩：「側足獨窘步，路局笮。」 |</v>
      </c>
    </row>
    <row r="11094" spans="1:44" hidden="1">
      <c r="A11094" s="1" t="s">
        <v>22311</v>
      </c>
      <c r="C11094" s="1">
        <v>1</v>
      </c>
      <c r="D11094" s="1" t="str">
        <f>"09452"</f>
        <v>09452</v>
      </c>
      <c r="E11094" s="1" t="s">
        <v>181</v>
      </c>
      <c r="F11094" s="1">
        <v>11</v>
      </c>
      <c r="G11094" s="1">
        <v>5</v>
      </c>
      <c r="H11094" s="1">
        <v>0</v>
      </c>
      <c r="I11094" s="1" t="s">
        <v>22296</v>
      </c>
      <c r="K11094" s="1" t="str">
        <f t="shared" si="691"/>
        <v>ㄗ</v>
      </c>
      <c r="L11094" s="1" t="str">
        <f t="shared" si="692"/>
        <v>ㄜ</v>
      </c>
      <c r="N11094" s="3" t="s">
        <v>30575</v>
      </c>
      <c r="O11094" s="3"/>
      <c r="P11094" s="1" t="s">
        <v>20</v>
      </c>
      <c r="R11094" s="1" t="s">
        <v>22297</v>
      </c>
      <c r="V11094" s="1" t="s">
        <v>3324</v>
      </c>
      <c r="AR11094" s="1" t="str">
        <f t="shared" si="693"/>
        <v>| [ㄗㄜˊ](ㄗㄜˊ.md) | [舴](舴.md) |  | zé | 參見「舴艋」條。 |</v>
      </c>
    </row>
    <row r="11095" spans="1:44" hidden="1">
      <c r="A11095" s="1" t="s">
        <v>22312</v>
      </c>
      <c r="C11095" s="1">
        <v>1</v>
      </c>
      <c r="D11095" s="1" t="str">
        <f>"09453"</f>
        <v>09453</v>
      </c>
      <c r="E11095" s="1" t="s">
        <v>185</v>
      </c>
      <c r="F11095" s="1">
        <v>9</v>
      </c>
      <c r="G11095" s="1">
        <v>7</v>
      </c>
      <c r="H11095" s="1">
        <v>0</v>
      </c>
      <c r="I11095" s="1" t="s">
        <v>22296</v>
      </c>
      <c r="K11095" s="1" t="str">
        <f t="shared" si="691"/>
        <v>ㄗ</v>
      </c>
      <c r="L11095" s="1" t="str">
        <f t="shared" si="692"/>
        <v>ㄜ</v>
      </c>
      <c r="N11095" s="3" t="s">
        <v>30575</v>
      </c>
      <c r="O11095" s="3"/>
      <c r="P11095" s="1" t="s">
        <v>20</v>
      </c>
      <c r="R11095" s="1" t="s">
        <v>22297</v>
      </c>
      <c r="V11095" s="1" t="s">
        <v>22313</v>
      </c>
      <c r="AR11095" s="1" t="str">
        <f t="shared" si="693"/>
        <v>| [ㄗㄜˊ](ㄗㄜˊ.md) | [則](則.md) |  | zé | [動]
1.依照等級劃分物體。《說文解字．刀部》：「則，等畫物也。」
2.效法。《孟子．滕文公上》：「惟天為大，惟堯則之。」《史記．卷二．夏本紀》：「皋陶於是敬禹之德，令民皆則禹。」
3.做。參見「則甚」、「則聲」等條。
[名]
1.法度、規章。如：「法則」、「細則」、「稅則」、「青年守則」。《書經．五子之歌》：「有典有則，貽厥子孫。」
2.規範、榜樣。如：「以身作則」。《詩經．大雅．抑》：「敬慎威儀，維民之則。」
3.量詞。計算文字分項段落的單位。如：「一則消息」、「三則寓言」、「試題二則」、「新聞五則」。
4.姓。如漢代有則長。
[連]
1.便、就。如：「學如逆水行舟，不進則退。」《詩經．召南．草蟲》：「亦既見止，亦既覯止，我心則降。」《鏡花緣》第一二回：「酒過一、二巡，則上小盤小碗。」
2.表示平列、對待的關係。《論語．學而》：「弟子入則孝，出則悌。」
3.只、僅。《荀子．勸學》：「口、耳之閒則四寸耳，曷足以美七尺之軀哉？」元．關漢卿《竇娥冤．楔子》：「端雲孩兒該打呵，看小生面則罵幾句。」
4.卻、而。如：「欲速則不達。」《孟子．梁惠王下》：「竭力以事大國，則不得免焉。」
5.如果。《左傳．僖公七年》：「心則不競，何憚于病？」
6.是、乃是。《孟子．公孫丑下》：「此則寡人之罪也。」 |</v>
      </c>
    </row>
    <row r="11096" spans="1:44" hidden="1">
      <c r="A11096" s="1" t="s">
        <v>22314</v>
      </c>
      <c r="C11096" s="1">
        <v>1</v>
      </c>
      <c r="D11096" s="1" t="str">
        <f>"09454"</f>
        <v>09454</v>
      </c>
      <c r="E11096" s="1" t="s">
        <v>37</v>
      </c>
      <c r="F11096" s="1">
        <v>13</v>
      </c>
      <c r="G11096" s="1">
        <v>9</v>
      </c>
      <c r="H11096" s="1">
        <v>0</v>
      </c>
      <c r="I11096" s="1" t="s">
        <v>22296</v>
      </c>
      <c r="K11096" s="1" t="str">
        <f t="shared" si="691"/>
        <v>ㄗ</v>
      </c>
      <c r="L11096" s="1" t="str">
        <f t="shared" si="692"/>
        <v>ㄜ</v>
      </c>
      <c r="N11096" s="3" t="s">
        <v>30575</v>
      </c>
      <c r="O11096" s="3"/>
      <c r="P11096" s="1" t="s">
        <v>20</v>
      </c>
      <c r="R11096" s="1" t="s">
        <v>22297</v>
      </c>
      <c r="V11096" s="1" t="s">
        <v>22315</v>
      </c>
      <c r="AR11096" s="1" t="str">
        <f t="shared" si="693"/>
        <v>| [ㄗㄜˊ](ㄗㄜˊ.md) | [萴](萴.md) |  | zé | [名]
植物名。毛茛科烏頭屬，「烏頭」之古稱，參見「烏頭」條。 |</v>
      </c>
    </row>
    <row r="11097" spans="1:44" hidden="1">
      <c r="A11097" s="1" t="s">
        <v>22316</v>
      </c>
      <c r="C11097" s="1">
        <v>1</v>
      </c>
      <c r="D11097" s="1" t="str">
        <f>"09455"</f>
        <v>09455</v>
      </c>
      <c r="E11097" s="1" t="s">
        <v>156</v>
      </c>
      <c r="F11097" s="1">
        <v>20</v>
      </c>
      <c r="G11097" s="1">
        <v>9</v>
      </c>
      <c r="H11097" s="1">
        <v>0</v>
      </c>
      <c r="I11097" s="1" t="s">
        <v>22296</v>
      </c>
      <c r="K11097" s="1" t="str">
        <f t="shared" si="691"/>
        <v>ㄗ</v>
      </c>
      <c r="L11097" s="1" t="str">
        <f t="shared" si="692"/>
        <v>ㄜ</v>
      </c>
      <c r="N11097" s="3" t="s">
        <v>30575</v>
      </c>
      <c r="O11097" s="3"/>
      <c r="P11097" s="1" t="s">
        <v>20</v>
      </c>
      <c r="R11097" s="1" t="s">
        <v>22297</v>
      </c>
      <c r="V11097" s="1" t="s">
        <v>22317</v>
      </c>
      <c r="AR11097" s="1" t="str">
        <f t="shared" si="693"/>
        <v>| [ㄗㄜˊ](ㄗㄜˊ.md) | [鰂](鰂.md) |  | zé | [名]
烏賊。《說文解字．魚部》：「鰂，烏鰂魚也。」 |</v>
      </c>
    </row>
    <row r="11098" spans="1:44" hidden="1">
      <c r="A11098" s="1" t="s">
        <v>18232</v>
      </c>
      <c r="C11098" s="1">
        <v>1</v>
      </c>
      <c r="D11098" s="1" t="str">
        <f>"09456"</f>
        <v>09456</v>
      </c>
      <c r="E11098" s="1" t="s">
        <v>505</v>
      </c>
      <c r="F11098" s="1">
        <v>11</v>
      </c>
      <c r="G11098" s="1">
        <v>4</v>
      </c>
      <c r="H11098" s="1">
        <v>1</v>
      </c>
      <c r="I11098" s="1" t="s">
        <v>22296</v>
      </c>
      <c r="K11098" s="1" t="str">
        <f t="shared" si="691"/>
        <v>ㄗ</v>
      </c>
      <c r="L11098" s="1" t="str">
        <f t="shared" si="692"/>
        <v>ㄜ</v>
      </c>
      <c r="N11098" s="3" t="s">
        <v>30575</v>
      </c>
      <c r="O11098" s="3"/>
      <c r="P11098" s="1" t="s">
        <v>20</v>
      </c>
      <c r="R11098" s="1" t="s">
        <v>22297</v>
      </c>
      <c r="V11098" s="1" t="s">
        <v>22318</v>
      </c>
      <c r="W11098" s="1" t="s">
        <v>22319</v>
      </c>
      <c r="AR11098" s="1" t="str">
        <f t="shared" si="693"/>
        <v>| [ㄗㄜˊ](ㄗㄜˊ.md) | [責](責.md) |  | zé | [名]
分內的事情。如：「責任」、「盡責」、「職責」、「責無旁貸」。
[動]
1.要求、索取。如：「責求」。《左傳．桓公十三年》：「宋多責賂於鄭。」
2.詰問。如：「責問」、「責備」、「指責」。《文選．李密．陳情表》：「詔書切峻，責臣逋慢。」
3.處罰。如：「責罵」、「杖責」、「責罰」。 |</v>
      </c>
    </row>
    <row r="11099" spans="1:44" hidden="1">
      <c r="A11099" s="1" t="s">
        <v>22320</v>
      </c>
      <c r="C11099" s="1">
        <v>1</v>
      </c>
      <c r="D11099" s="1" t="str">
        <f>"09457"</f>
        <v>09457</v>
      </c>
      <c r="E11099" s="1" t="s">
        <v>28</v>
      </c>
      <c r="F11099" s="1">
        <v>14</v>
      </c>
      <c r="G11099" s="1">
        <v>11</v>
      </c>
      <c r="H11099" s="1">
        <v>0</v>
      </c>
      <c r="I11099" s="1" t="s">
        <v>22296</v>
      </c>
      <c r="K11099" s="1" t="str">
        <f t="shared" si="691"/>
        <v>ㄗ</v>
      </c>
      <c r="L11099" s="1" t="str">
        <f t="shared" si="692"/>
        <v>ㄜ</v>
      </c>
      <c r="N11099" s="3" t="s">
        <v>30575</v>
      </c>
      <c r="O11099" s="3"/>
      <c r="P11099" s="1" t="s">
        <v>20</v>
      </c>
      <c r="R11099" s="1" t="s">
        <v>22297</v>
      </c>
      <c r="V11099" s="1" t="s">
        <v>22321</v>
      </c>
      <c r="AR11099" s="1" t="str">
        <f t="shared" si="693"/>
        <v>| [ㄗㄜˊ](ㄗㄜˊ.md) | [嘖](嘖.md) |  | zé | 參見「嘖嘖」、「嘖有煩言」等條。 |</v>
      </c>
    </row>
    <row r="11100" spans="1:44" hidden="1">
      <c r="A11100" s="1" t="s">
        <v>22322</v>
      </c>
      <c r="C11100" s="1">
        <v>1</v>
      </c>
      <c r="D11100" s="1" t="str">
        <f>"09458"</f>
        <v>09458</v>
      </c>
      <c r="E11100" s="1" t="s">
        <v>222</v>
      </c>
      <c r="F11100" s="1">
        <v>14</v>
      </c>
      <c r="G11100" s="1">
        <v>11</v>
      </c>
      <c r="H11100" s="1">
        <v>0</v>
      </c>
      <c r="I11100" s="1" t="s">
        <v>22296</v>
      </c>
      <c r="K11100" s="1" t="str">
        <f t="shared" si="691"/>
        <v>ㄗ</v>
      </c>
      <c r="L11100" s="1" t="str">
        <f t="shared" si="692"/>
        <v>ㄜ</v>
      </c>
      <c r="N11100" s="3" t="s">
        <v>30575</v>
      </c>
      <c r="O11100" s="3"/>
      <c r="P11100" s="1" t="s">
        <v>20</v>
      </c>
      <c r="R11100" s="1" t="s">
        <v>22297</v>
      </c>
      <c r="V11100" s="1" t="s">
        <v>22323</v>
      </c>
      <c r="AR11100" s="1" t="str">
        <f t="shared" si="693"/>
        <v>| [ㄗㄜˊ](ㄗㄜˊ.md) | [幘](幘.md) |  | zé | [名]
古代用來包裹頭髮的布巾。南朝宋．劉義慶《幽明錄．甄沖》：「既去，便見兩岸有人著幘捉馬鞭，羅列相隨，行從甚多。」《醒世恆言．卷三．賣油郎獨占花魁》：「秦重洗了臉，因夜來未曾脫幘，不用梳頭。」 |</v>
      </c>
    </row>
    <row r="11101" spans="1:44" hidden="1">
      <c r="A11101" s="1" t="s">
        <v>22324</v>
      </c>
      <c r="C11101" s="1">
        <v>1</v>
      </c>
      <c r="D11101" s="1" t="str">
        <f>"09459"</f>
        <v>09459</v>
      </c>
      <c r="E11101" s="1" t="s">
        <v>49</v>
      </c>
      <c r="F11101" s="1">
        <v>17</v>
      </c>
      <c r="G11101" s="1">
        <v>11</v>
      </c>
      <c r="H11101" s="1">
        <v>0</v>
      </c>
      <c r="I11101" s="1" t="s">
        <v>22296</v>
      </c>
      <c r="K11101" s="1" t="str">
        <f t="shared" si="691"/>
        <v>ㄗ</v>
      </c>
      <c r="L11101" s="1" t="str">
        <f t="shared" si="692"/>
        <v>ㄜ</v>
      </c>
      <c r="N11101" s="3" t="s">
        <v>30575</v>
      </c>
      <c r="O11101" s="3"/>
      <c r="P11101" s="1" t="s">
        <v>20</v>
      </c>
      <c r="R11101" s="1" t="s">
        <v>22297</v>
      </c>
      <c r="V11101" s="1" t="s">
        <v>22325</v>
      </c>
      <c r="AR11101" s="1" t="str">
        <f t="shared" si="693"/>
        <v>| [ㄗㄜˊ](ㄗㄜˊ.md) | [簀](簀.md) |  | zé | [名]
用竹子或木條編成的席子。《史記．卷七九．范雎蔡澤傳》：「雎詳死，即卷以簀，置廁中。」唐．司馬貞．索隱：「簀，謂葦荻之薄也，用之以裹屍也。」 |</v>
      </c>
    </row>
    <row r="11102" spans="1:44" hidden="1">
      <c r="A11102" s="1" t="s">
        <v>22326</v>
      </c>
      <c r="C11102" s="1">
        <v>1</v>
      </c>
      <c r="D11102" s="1" t="str">
        <f>"09460"</f>
        <v>09460</v>
      </c>
      <c r="E11102" s="1" t="s">
        <v>505</v>
      </c>
      <c r="F11102" s="1">
        <v>18</v>
      </c>
      <c r="G11102" s="1">
        <v>11</v>
      </c>
      <c r="H11102" s="1">
        <v>0</v>
      </c>
      <c r="I11102" s="1" t="s">
        <v>22296</v>
      </c>
      <c r="K11102" s="1" t="str">
        <f t="shared" si="691"/>
        <v>ㄗ</v>
      </c>
      <c r="L11102" s="1" t="str">
        <f t="shared" si="692"/>
        <v>ㄜ</v>
      </c>
      <c r="N11102" s="3" t="s">
        <v>30575</v>
      </c>
      <c r="O11102" s="3"/>
      <c r="P11102" s="1" t="s">
        <v>20</v>
      </c>
      <c r="R11102" s="1" t="s">
        <v>22297</v>
      </c>
      <c r="V11102" s="1" t="s">
        <v>22327</v>
      </c>
      <c r="AR11102" s="1" t="str">
        <f t="shared" si="693"/>
        <v>| [ㄗㄜˊ](ㄗㄜˊ.md) | [賾](賾.md) |  | zé | [名]
幽深玄妙的事物。如：「探賾索隱」。《易經．繫辭上》：「聖人有以見天下之賾，而擬諸其形容，象其物宜。」
[形]
幽深的。唐．孟郊〈弔元魯山〉詩一〇首之九：「將謠魯山德，賾海誰能涯？」 |</v>
      </c>
    </row>
    <row r="11103" spans="1:44" hidden="1">
      <c r="A11103" s="1" t="s">
        <v>22328</v>
      </c>
      <c r="C11103" s="1">
        <v>1</v>
      </c>
      <c r="D11103" s="1" t="str">
        <f>"09461"</f>
        <v>09461</v>
      </c>
      <c r="E11103" s="1" t="s">
        <v>505</v>
      </c>
      <c r="F11103" s="1">
        <v>13</v>
      </c>
      <c r="G11103" s="1">
        <v>6</v>
      </c>
      <c r="H11103" s="1">
        <v>2</v>
      </c>
      <c r="I11103" s="1" t="s">
        <v>22296</v>
      </c>
      <c r="K11103" s="1" t="str">
        <f t="shared" si="691"/>
        <v>ㄗ</v>
      </c>
      <c r="L11103" s="1" t="str">
        <f t="shared" si="692"/>
        <v>ㄜ</v>
      </c>
      <c r="N11103" s="3" t="s">
        <v>30575</v>
      </c>
      <c r="O11103" s="3"/>
      <c r="P11103" s="1" t="s">
        <v>20</v>
      </c>
      <c r="R11103" s="1" t="s">
        <v>22297</v>
      </c>
      <c r="V11103" s="1" t="s">
        <v>22329</v>
      </c>
      <c r="W11103" s="1" t="s">
        <v>22330</v>
      </c>
      <c r="AR11103" s="1" t="str">
        <f t="shared" si="693"/>
        <v>| [ㄗㄜˊ](ㄗㄜˊ.md) | [賊](賊.md) |  | zé | [動]
1.毀壞。《說文解字．戈部》：「賊，敗也。」《左傳．文公十八年》：「毀則為賊，掩賊為藏。」晉．杜預．注：「毀則，壞法也。」《淮南子．主術》：「若欲飾之，乃是賊之。」
2.傷害、殺害。如：「賊害」、「戕賊」。《論語．先進》：「子路使子羔為費宰，子曰：『賊夫人之子。』」 |</v>
      </c>
    </row>
    <row r="11104" spans="1:44" hidden="1">
      <c r="A11104" s="1" t="s">
        <v>22331</v>
      </c>
      <c r="C11104" s="1">
        <v>1</v>
      </c>
      <c r="D11104" s="1" t="str">
        <f>"09462"</f>
        <v>09462</v>
      </c>
      <c r="E11104" s="1" t="s">
        <v>129</v>
      </c>
      <c r="F11104" s="1">
        <v>16</v>
      </c>
      <c r="G11104" s="1">
        <v>13</v>
      </c>
      <c r="H11104" s="1">
        <v>0</v>
      </c>
      <c r="I11104" s="1" t="s">
        <v>22296</v>
      </c>
      <c r="K11104" s="1" t="str">
        <f t="shared" si="691"/>
        <v>ㄗ</v>
      </c>
      <c r="L11104" s="1" t="str">
        <f t="shared" ref="L11104:L11135" si="694">MID(I11104, 2, 1)</f>
        <v>ㄜ</v>
      </c>
      <c r="N11104" s="3" t="s">
        <v>30575</v>
      </c>
      <c r="O11104" s="3"/>
      <c r="P11104" s="1" t="s">
        <v>20</v>
      </c>
      <c r="R11104" s="1" t="s">
        <v>22297</v>
      </c>
      <c r="V11104" s="1" t="s">
        <v>22332</v>
      </c>
      <c r="AR11104" s="1" t="str">
        <f t="shared" si="693"/>
        <v>| [ㄗㄜˊ](ㄗㄜˊ.md) | [澤](澤.md) |  | zé | [名]
1.水流匯聚的地方。如：「沼澤」、「深山大澤」。《書經．禹貢》：「九州刊旅，九川滌源，九澤既陂，四海會同。」北周．庾信〈傷心賦〉：「至如三虎二龍，三珠兩鳳，並有山澤之靈，各入熊羆三夢。」
2.使髮膚光潤的油脂。《韓非子．顯學》：「故善毛嗇、西施之美，無益吾面，用脂澤粉黛，則倍其初。」
3.恩惠。如：「恩澤」、「德澤」。《書經．多士》：「殷王亦罔敢失帝，罔不配天其澤。」《莊子．大宗師》：「澤及萬世而不為仁。」
4.遺留下來的痕跡。宋．陸游〈曝舊畫〉詩：「百年手澤存無幾，蟲蠹塵侵祇涕橫。」
5.內衣。即汗衫。通「襗」。《詩經．秦風．無衣》：「豈曰無衣？與子同澤。」
6.含鹽質而不能耕種的土地。參見「澤鹵」條。
7.姓。如明代有澤義。
[動]
1.滋潤。唐．皮日休〈霍山賦〉：「若雨用淫，岳能霽之；若歲用旱，岳能澤之。」
2.摩擦。《禮記．曲禮上》：「共食不飽，共飯不澤手。」漢．鄭玄．注：「為汗手不絜也。澤謂捼莎也。」
[形]
光滑、光潤。如：「滑澤」。《左傳．襄公二十八年》：「車甚澤，人必瘁。」 |</v>
      </c>
    </row>
    <row r="11105" spans="1:44" hidden="1">
      <c r="A11105" s="1" t="s">
        <v>18218</v>
      </c>
      <c r="C11105" s="1">
        <v>1</v>
      </c>
      <c r="D11105" s="1" t="str">
        <f>"09463"</f>
        <v>09463</v>
      </c>
      <c r="E11105" s="1" t="s">
        <v>24</v>
      </c>
      <c r="F11105" s="1">
        <v>16</v>
      </c>
      <c r="G11105" s="1">
        <v>13</v>
      </c>
      <c r="H11105" s="1">
        <v>1</v>
      </c>
      <c r="I11105" s="1" t="s">
        <v>22296</v>
      </c>
      <c r="K11105" s="1" t="str">
        <f t="shared" si="691"/>
        <v>ㄗ</v>
      </c>
      <c r="L11105" s="1" t="str">
        <f t="shared" si="694"/>
        <v>ㄜ</v>
      </c>
      <c r="N11105" s="3" t="s">
        <v>30575</v>
      </c>
      <c r="O11105" s="3"/>
      <c r="P11105" s="1" t="s">
        <v>20</v>
      </c>
      <c r="R11105" s="1" t="s">
        <v>22297</v>
      </c>
      <c r="V11105" s="1" t="s">
        <v>22333</v>
      </c>
      <c r="W11105" s="1" t="s">
        <v>22334</v>
      </c>
      <c r="AR11105" s="1" t="str">
        <f t="shared" si="693"/>
        <v>| [ㄗㄜˊ](ㄗㄜˊ.md) | [擇](擇.md) |  | zé | [動]
1.挑選。如：「選擇」、「飢不擇食」。《左傳．襄公三十一年》：「子產之從政也，擇能而使之。」
2.區別、分別。《呂氏春秋．仲春紀．情欲》：「耳不樂聲，目不樂色，口不甘味，與死無擇。」漢．高誘．注：「擇，別也。」 |</v>
      </c>
    </row>
    <row r="11106" spans="1:44" hidden="1">
      <c r="A11106" s="1" t="s">
        <v>5678</v>
      </c>
      <c r="C11106" s="1">
        <v>1</v>
      </c>
      <c r="D11106" s="1" t="str">
        <f>"09464"</f>
        <v>09464</v>
      </c>
      <c r="E11106" s="1" t="s">
        <v>340</v>
      </c>
      <c r="F11106" s="1">
        <v>19</v>
      </c>
      <c r="G11106" s="1">
        <v>13</v>
      </c>
      <c r="H11106" s="1">
        <v>1</v>
      </c>
      <c r="I11106" s="1" t="s">
        <v>22296</v>
      </c>
      <c r="K11106" s="1" t="str">
        <f t="shared" si="691"/>
        <v>ㄗ</v>
      </c>
      <c r="L11106" s="1" t="str">
        <f t="shared" si="694"/>
        <v>ㄜ</v>
      </c>
      <c r="N11106" s="3" t="s">
        <v>30575</v>
      </c>
      <c r="O11106" s="3"/>
      <c r="P11106" s="1" t="s">
        <v>20</v>
      </c>
      <c r="R11106" s="1" t="s">
        <v>22297</v>
      </c>
      <c r="V11106" s="1" t="s">
        <v>22335</v>
      </c>
      <c r="W11106" s="1" t="s">
        <v>22336</v>
      </c>
      <c r="AR11106" s="1" t="str">
        <f t="shared" si="693"/>
        <v>| [ㄗㄜˊ](ㄗㄜˊ.md) | [襗](襗.md) |  | zé | [名]
內衣。《廣韻．入聲．鐸韻》：「襗，褻衣。」 |</v>
      </c>
    </row>
    <row r="11107" spans="1:44" hidden="1">
      <c r="A11107" s="1" t="s">
        <v>22337</v>
      </c>
      <c r="C11107" s="1">
        <v>1</v>
      </c>
      <c r="D11107" s="1" t="str">
        <f>"09465"</f>
        <v>09465</v>
      </c>
      <c r="E11107" s="1" t="s">
        <v>592</v>
      </c>
      <c r="F11107" s="1">
        <v>23</v>
      </c>
      <c r="G11107" s="1">
        <v>8</v>
      </c>
      <c r="H11107" s="1">
        <v>0</v>
      </c>
      <c r="I11107" s="1" t="s">
        <v>22296</v>
      </c>
      <c r="K11107" s="1" t="str">
        <f t="shared" si="691"/>
        <v>ㄗ</v>
      </c>
      <c r="L11107" s="1" t="str">
        <f t="shared" si="694"/>
        <v>ㄜ</v>
      </c>
      <c r="N11107" s="3" t="s">
        <v>30575</v>
      </c>
      <c r="O11107" s="3"/>
      <c r="P11107" s="1" t="s">
        <v>20</v>
      </c>
      <c r="R11107" s="1" t="s">
        <v>22297</v>
      </c>
      <c r="V11107" s="1" t="s">
        <v>22338</v>
      </c>
      <c r="AR11107" s="1" t="str">
        <f t="shared" si="693"/>
        <v>| [ㄗㄜˊ](ㄗㄜˊ.md) | [齰](齰.md) |  | zé | [動]
咬。《說文解字．齒部》：「齰，齧也。」《史記．卷一〇七．魏其武安侯傳》：「魏其必內愧，杜門齰舌自殺。」 |</v>
      </c>
    </row>
    <row r="11108" spans="1:44" hidden="1">
      <c r="A11108" s="1" t="s">
        <v>22339</v>
      </c>
      <c r="C11108" s="1">
        <v>1</v>
      </c>
      <c r="D11108" s="1" t="str">
        <f>"09466"</f>
        <v>09466</v>
      </c>
      <c r="E11108" s="1" t="s">
        <v>250</v>
      </c>
      <c r="F11108" s="1">
        <v>9</v>
      </c>
      <c r="G11108" s="1">
        <v>5</v>
      </c>
      <c r="H11108" s="1">
        <v>2</v>
      </c>
      <c r="I11108" s="1" t="s">
        <v>22340</v>
      </c>
      <c r="K11108" s="1" t="str">
        <f t="shared" si="691"/>
        <v>ㄗ</v>
      </c>
      <c r="L11108" s="1" t="str">
        <f t="shared" si="694"/>
        <v>ㄜ</v>
      </c>
      <c r="N11108" s="3" t="s">
        <v>30576</v>
      </c>
      <c r="O11108" s="3"/>
      <c r="P11108" s="1" t="s">
        <v>110</v>
      </c>
      <c r="R11108" s="1" t="s">
        <v>22341</v>
      </c>
      <c r="V11108" s="1" t="s">
        <v>111</v>
      </c>
      <c r="W11108" s="1" t="s">
        <v>22342</v>
      </c>
      <c r="AR11108" s="1" t="str">
        <f t="shared" si="693"/>
        <v>| [ㄗㄜˇ](ㄗㄜˇ.md) | [怎](怎.md) |  | zě | (一)之又音。 |</v>
      </c>
    </row>
    <row r="11109" spans="1:44" hidden="1">
      <c r="A11109" s="1" t="s">
        <v>22382</v>
      </c>
      <c r="C11109" s="1">
        <v>1</v>
      </c>
      <c r="D11109" s="1" t="str">
        <f>"09483"</f>
        <v>09483</v>
      </c>
      <c r="E11109" s="1" t="s">
        <v>2729</v>
      </c>
      <c r="F11109" s="1">
        <v>6</v>
      </c>
      <c r="G11109" s="1">
        <v>4</v>
      </c>
      <c r="H11109" s="1">
        <v>0</v>
      </c>
      <c r="I11109" s="1" t="s">
        <v>22383</v>
      </c>
      <c r="K11109" s="1" t="str">
        <f t="shared" si="691"/>
        <v>ㄗ</v>
      </c>
      <c r="L11109" s="1" t="str">
        <f t="shared" si="694"/>
        <v>ㄞ</v>
      </c>
      <c r="N11109" s="3" t="s">
        <v>30574</v>
      </c>
      <c r="O11109" s="3"/>
      <c r="P11109" s="1" t="s">
        <v>20</v>
      </c>
      <c r="R11109" s="1" t="s">
        <v>22384</v>
      </c>
      <c r="V11109" s="1" t="s">
        <v>22385</v>
      </c>
      <c r="AR11109" s="1" t="str">
        <f t="shared" si="693"/>
        <v>| [ㄗㄞˋ](ㄗㄞˋ.md) | [再](再.md) |  | zài | [副]
1.第二次、又一次、兩次。如：「再見」、「再嫁」、「再鞠躬」。《史記．卷六九．蘇秦傳》：「秦趙五戰，秦再勝而趙三勝。」
2.表示動作繼續重複。如：「再接再厲」、「再版」、「失敗了再努力。」唐．杜甫〈自京赴奉先縣詠懷五百字〉詩：「榮枯咫尺異，惆悵難再述。」
3.表示一個動作接續在另一動作結束之後。如：「吃完飯再走！」、「先擦窗戶，再洗地板。」
4.更。表示行為程度的加深。如：「你能這麼想，真是再好不過了。」
5.表示另有補充。如：「再則」、「再說」、「再不然」。 |</v>
      </c>
    </row>
    <row r="11110" spans="1:44" hidden="1">
      <c r="A11110" s="1" t="s">
        <v>22386</v>
      </c>
      <c r="C11110" s="1">
        <v>1</v>
      </c>
      <c r="D11110" s="1" t="str">
        <f>"09484"</f>
        <v>09484</v>
      </c>
      <c r="E11110" s="1" t="s">
        <v>132</v>
      </c>
      <c r="F11110" s="1">
        <v>6</v>
      </c>
      <c r="G11110" s="1">
        <v>3</v>
      </c>
      <c r="H11110" s="1">
        <v>0</v>
      </c>
      <c r="I11110" s="1" t="s">
        <v>22383</v>
      </c>
      <c r="K11110" s="1" t="str">
        <f t="shared" si="691"/>
        <v>ㄗ</v>
      </c>
      <c r="L11110" s="1" t="str">
        <f t="shared" si="694"/>
        <v>ㄞ</v>
      </c>
      <c r="N11110" s="3" t="s">
        <v>30574</v>
      </c>
      <c r="O11110" s="3"/>
      <c r="P11110" s="1" t="s">
        <v>20</v>
      </c>
      <c r="R11110" s="1" t="s">
        <v>22384</v>
      </c>
      <c r="V11110" s="1" t="s">
        <v>22387</v>
      </c>
      <c r="AR11110" s="1" t="str">
        <f t="shared" si="693"/>
        <v>| [ㄗㄞˋ](ㄗㄞˋ.md) | [在](在.md) |  | zài | [動]
1.存、存活。如：「健在」、「精神永在」。《論語．學而》：「父在，觀其志；父沒，觀其行。」
2.居於、處於。如：「在任」、「在位」、「在職進修」。《易經．乾卦．九三》：「是故居上位而不驕，在下位而不憂。」
3.決定、依靠。如：「事在人為」、「謀事在人，成事在天。」
4.觀察。《書經．舜典》：「在璿璣玉衡，以齊七政。」《禮記．文王世子》：「食上必在視寒暖之節。」
[副]
表示動作正在進行。如：「我在聽音樂。」、「妹妹在唱歌。」
[介]
1.表示時間。如：「他喜歡在晚上看書。」
2.表示處所、位置。如：「人生在世」、「他不在家」。
3.表示範疇。如：「在心理學方面的研究，他是個傑出的專家。」
[名]
1.居所、處所。《漢書．卷六．武帝紀》：「舉獨行之君子，徵詣行在所。」《遼史．卷三一．營衛志上》：「無日不營，無在不衛。」
2.姓。如晉代有在育。 |</v>
      </c>
    </row>
    <row r="11111" spans="1:44" hidden="1">
      <c r="A11111" s="1" t="s">
        <v>22379</v>
      </c>
      <c r="C11111" s="1">
        <v>1</v>
      </c>
      <c r="D11111" s="1" t="str">
        <f>"09485"</f>
        <v>09485</v>
      </c>
      <c r="E11111" s="1" t="s">
        <v>71</v>
      </c>
      <c r="F11111" s="1">
        <v>13</v>
      </c>
      <c r="G11111" s="1">
        <v>6</v>
      </c>
      <c r="H11111" s="1">
        <v>1</v>
      </c>
      <c r="I11111" s="1" t="s">
        <v>22383</v>
      </c>
      <c r="K11111" s="1" t="str">
        <f t="shared" si="691"/>
        <v>ㄗ</v>
      </c>
      <c r="L11111" s="1" t="str">
        <f t="shared" si="694"/>
        <v>ㄞ</v>
      </c>
      <c r="N11111" s="3" t="s">
        <v>30574</v>
      </c>
      <c r="O11111" s="3"/>
      <c r="P11111" s="1" t="s">
        <v>20</v>
      </c>
      <c r="R11111" s="1" t="s">
        <v>22384</v>
      </c>
      <c r="V11111" s="1" t="s">
        <v>22388</v>
      </c>
      <c r="W11111" s="1" t="s">
        <v>22389</v>
      </c>
      <c r="AR11111" s="1" t="str">
        <f t="shared" si="693"/>
        <v>| [ㄗㄞˋ](ㄗㄞˋ.md) | [載](載.md) |  | zài | [動]
1.乘坐。《說文解字．車部》：「載，乘也。」《史記．卷二九．河渠書》：「陸行載車，水行載舟。」唐．孟郊〈感興〉詩：「吾欲載車馬，太行路崢嶸。」
2.裝運。如：「載人」、「載貨」。唐．李白〈懷仙歌〉：「巨鼇莫載三山去，我欲蓬萊頂上行。」
3.記錄。如：「記載」、「刊載」、「轉載」。
4.承受。《易經．坤卦．象曰》：「君子以厚德載物。」《三國志．卷二七．魏書．王基傳》：「臣聞古人以水喻民，曰：『水所以載舟，亦所以覆舟。』」
5.充滿。如：「怨聲載道」。唐．李白〈天長節度使鄂州刺史韋公德政碑〉：「頌聲載路，豐碑是刊。」
[連]
且、又。同時做兩個動作。如：「載歌載舞」。《詩經．鄘風．載馳》：「載馳載驅，歸唁衛侯。」 |</v>
      </c>
    </row>
    <row r="11112" spans="1:44" hidden="1">
      <c r="A11112" s="1" t="s">
        <v>22390</v>
      </c>
      <c r="C11112" s="1">
        <v>1</v>
      </c>
      <c r="D11112" s="1" t="str">
        <f>"09486"</f>
        <v>09486</v>
      </c>
      <c r="E11112" s="1" t="s">
        <v>193</v>
      </c>
      <c r="F11112" s="1">
        <v>27</v>
      </c>
      <c r="G11112" s="1">
        <v>19</v>
      </c>
      <c r="H11112" s="1">
        <v>0</v>
      </c>
      <c r="I11112" s="1" t="s">
        <v>22383</v>
      </c>
      <c r="K11112" s="1" t="str">
        <f t="shared" si="691"/>
        <v>ㄗ</v>
      </c>
      <c r="L11112" s="1" t="str">
        <f t="shared" si="694"/>
        <v>ㄞ</v>
      </c>
      <c r="N11112" s="3" t="s">
        <v>30574</v>
      </c>
      <c r="O11112" s="3"/>
      <c r="P11112" s="1" t="s">
        <v>20</v>
      </c>
      <c r="R11112" s="1" t="s">
        <v>22384</v>
      </c>
      <c r="V11112" s="1" t="s">
        <v>22391</v>
      </c>
      <c r="AR11112" s="1" t="str">
        <f t="shared" si="693"/>
        <v>| [ㄗㄞˋ](ㄗㄞˋ.md) | [饡](饡.md) |  | zài | [動]
用羹湯澆飯。《說文解字．食部》：「饡，以羹澆飯也。」如：「澆饡」。 |</v>
      </c>
    </row>
    <row r="11113" spans="1:44" hidden="1">
      <c r="A11113" s="1" t="s">
        <v>22121</v>
      </c>
      <c r="C11113" s="1">
        <v>1</v>
      </c>
      <c r="D11113" s="1" t="str">
        <f>"09479"</f>
        <v>09479</v>
      </c>
      <c r="E11113" s="1" t="s">
        <v>114</v>
      </c>
      <c r="F11113" s="1">
        <v>5</v>
      </c>
      <c r="G11113" s="1">
        <v>3</v>
      </c>
      <c r="H11113" s="1">
        <v>2</v>
      </c>
      <c r="I11113" s="1" t="s">
        <v>22371</v>
      </c>
      <c r="K11113" s="1" t="str">
        <f t="shared" si="691"/>
        <v>ㄗ</v>
      </c>
      <c r="L11113" s="1" t="str">
        <f t="shared" si="694"/>
        <v>ㄞ</v>
      </c>
      <c r="N11113" s="3" t="s">
        <v>30576</v>
      </c>
      <c r="O11113" s="3"/>
      <c r="P11113" s="1" t="s">
        <v>20</v>
      </c>
      <c r="R11113" s="1" t="s">
        <v>22372</v>
      </c>
      <c r="V11113" s="1" t="s">
        <v>22373</v>
      </c>
      <c r="W11113" s="1" t="s">
        <v>22374</v>
      </c>
      <c r="AR11113" s="1" t="str">
        <f t="shared" si="693"/>
        <v>| [ㄗㄞˇ](ㄗㄞˇ.md) | [仔](仔.md) |  | zǎi | [名]
廣東方言。指幼小的東西。如：「豬仔」、「雞仔」。
[形]
幼小的。如：「仔豬」、「仔雞」。 |</v>
      </c>
    </row>
    <row r="11114" spans="1:44" hidden="1">
      <c r="A11114" s="1" t="s">
        <v>22375</v>
      </c>
      <c r="C11114" s="1">
        <v>1</v>
      </c>
      <c r="D11114" s="1" t="str">
        <f>"09480"</f>
        <v>09480</v>
      </c>
      <c r="E11114" s="1" t="s">
        <v>624</v>
      </c>
      <c r="F11114" s="1">
        <v>10</v>
      </c>
      <c r="G11114" s="1">
        <v>7</v>
      </c>
      <c r="H11114" s="1">
        <v>0</v>
      </c>
      <c r="I11114" s="1" t="s">
        <v>22371</v>
      </c>
      <c r="K11114" s="1" t="str">
        <f t="shared" si="691"/>
        <v>ㄗ</v>
      </c>
      <c r="L11114" s="1" t="str">
        <f t="shared" si="694"/>
        <v>ㄞ</v>
      </c>
      <c r="N11114" s="3" t="s">
        <v>30576</v>
      </c>
      <c r="O11114" s="3"/>
      <c r="P11114" s="1" t="s">
        <v>20</v>
      </c>
      <c r="R11114" s="1" t="s">
        <v>22372</v>
      </c>
      <c r="V11114" s="1" t="s">
        <v>22376</v>
      </c>
      <c r="AR11114" s="1" t="str">
        <f t="shared" si="693"/>
        <v>| [ㄗㄞˇ](ㄗㄞˇ.md) | [宰](宰.md) |  | zǎi | [名]
1.具有支配權力的人、物。明．張自烈《正字通．宀部》：「凡為事物之主者亦曰宰。」《呂氏春秋．季秋紀．精通》：「德也者萬民之宰也，月也者群陰之本也。」
2.職官名：(1)某種職位的長官。如：「太宰」、「膳宰」。(2)家臣的長官。《論語．子路》：「仲弓為季氏宰，問政。」(3)地方行政長官。《後漢書．卷一一．劉盆子傳》：「子為縣吏，犯小罪，宰論殺之。」
3.姓。如春秋時魯國有宰予。
[動]
1.主持、治理。如：「主宰」。《老子》第五一章：「生而不有，為而不恃，長而不宰，是謂玄德。」
2.屠殺、分割。如：「殺豬宰羊」。 |</v>
      </c>
    </row>
    <row r="11115" spans="1:44" hidden="1">
      <c r="A11115" s="1" t="s">
        <v>22377</v>
      </c>
      <c r="C11115" s="1">
        <v>1</v>
      </c>
      <c r="D11115" s="1" t="str">
        <f>"09481"</f>
        <v>09481</v>
      </c>
      <c r="E11115" s="1" t="s">
        <v>190</v>
      </c>
      <c r="F11115" s="1">
        <v>12</v>
      </c>
      <c r="G11115" s="1">
        <v>9</v>
      </c>
      <c r="H11115" s="1">
        <v>0</v>
      </c>
      <c r="I11115" s="1" t="s">
        <v>22371</v>
      </c>
      <c r="K11115" s="1" t="str">
        <f t="shared" si="691"/>
        <v>ㄗ</v>
      </c>
      <c r="L11115" s="1" t="str">
        <f t="shared" si="694"/>
        <v>ㄞ</v>
      </c>
      <c r="N11115" s="3" t="s">
        <v>30576</v>
      </c>
      <c r="O11115" s="3"/>
      <c r="P11115" s="1" t="s">
        <v>20</v>
      </c>
      <c r="R11115" s="1" t="s">
        <v>22372</v>
      </c>
      <c r="V11115" s="1" t="s">
        <v>22378</v>
      </c>
      <c r="AR11115" s="1" t="str">
        <f t="shared" si="693"/>
        <v>| [ㄗㄞˇ](ㄗㄞˇ.md) | [崽](崽.md) |  | zǎi | [名]
1.兒子。漢．揚雄《方言》卷一〇：「崽者，子也。湘沅之會，凡言是子者，謂之崽；若東齊言子矣。」
2.幼小的動物。如：「貓崽」、「狗下崽兒了。」
3.參見「崽子」條。 |</v>
      </c>
    </row>
    <row r="11116" spans="1:44" hidden="1">
      <c r="A11116" s="1" t="s">
        <v>22379</v>
      </c>
      <c r="C11116" s="1">
        <v>1</v>
      </c>
      <c r="D11116" s="1" t="str">
        <f>"09482"</f>
        <v>09482</v>
      </c>
      <c r="E11116" s="1" t="s">
        <v>71</v>
      </c>
      <c r="F11116" s="1">
        <v>13</v>
      </c>
      <c r="G11116" s="1">
        <v>6</v>
      </c>
      <c r="H11116" s="1">
        <v>2</v>
      </c>
      <c r="I11116" s="1" t="s">
        <v>22371</v>
      </c>
      <c r="K11116" s="1" t="str">
        <f t="shared" si="691"/>
        <v>ㄗ</v>
      </c>
      <c r="L11116" s="1" t="str">
        <f t="shared" si="694"/>
        <v>ㄞ</v>
      </c>
      <c r="N11116" s="3" t="s">
        <v>30576</v>
      </c>
      <c r="O11116" s="3"/>
      <c r="P11116" s="1" t="s">
        <v>20</v>
      </c>
      <c r="R11116" s="1" t="s">
        <v>22372</v>
      </c>
      <c r="V11116" s="1" t="s">
        <v>22380</v>
      </c>
      <c r="W11116" s="1" t="s">
        <v>22381</v>
      </c>
      <c r="AR11116" s="1" t="str">
        <f t="shared" si="693"/>
        <v>| [ㄗㄞˇ](ㄗㄞˇ.md) | [載](載.md) |  | zǎi | [名]
量詞。計算時間的單位。相當於「年」。如：「一年半載」、「三年五載」、「千載難逢」。 |</v>
      </c>
    </row>
    <row r="11117" spans="1:44" hidden="1">
      <c r="A11117" s="1" t="s">
        <v>22328</v>
      </c>
      <c r="C11117" s="1">
        <v>1</v>
      </c>
      <c r="D11117" s="1" t="str">
        <f>"09487"</f>
        <v>09487</v>
      </c>
      <c r="E11117" s="1" t="s">
        <v>505</v>
      </c>
      <c r="F11117" s="1">
        <v>13</v>
      </c>
      <c r="G11117" s="1">
        <v>6</v>
      </c>
      <c r="H11117" s="1">
        <v>1</v>
      </c>
      <c r="I11117" s="1" t="s">
        <v>22392</v>
      </c>
      <c r="K11117" s="1" t="str">
        <f t="shared" si="691"/>
        <v>ㄗ</v>
      </c>
      <c r="L11117" s="1" t="str">
        <f t="shared" si="694"/>
        <v>ㄟ</v>
      </c>
      <c r="N11117" s="3" t="s">
        <v>30575</v>
      </c>
      <c r="O11117" s="3"/>
      <c r="P11117" s="1" t="s">
        <v>20</v>
      </c>
      <c r="R11117" s="1" t="s">
        <v>22393</v>
      </c>
      <c r="V11117" s="1" t="s">
        <v>22394</v>
      </c>
      <c r="W11117" s="1" t="s">
        <v>22395</v>
      </c>
      <c r="AR11117" s="1" t="str">
        <f t="shared" si="693"/>
        <v>| [ㄗㄟˊ](ㄗㄟˊ.md) | [賊](賊.md) |  | zéi | [名]
1.竊盜財物的人。如：「山賊」、「竊賊」、「盜賊」。
2.泛指使壞作亂的人。如：「賣國賊」、「亂臣賊子」。《文選．諸葛亮．出師表》：「願陛下託臣以討賊興復之效，不效則治臣之罪，以告先帝之靈。」
[形]
奸詐、狡猾、不正派的。如：「賊眼」、「賊頭賊腦」。《史記．卷一二八．褚少孫補．龜策傳》：「寒暑不和，賊氣相奸。」 |</v>
      </c>
    </row>
    <row r="11118" spans="1:44" hidden="1">
      <c r="A11118" s="1" t="s">
        <v>22425</v>
      </c>
      <c r="C11118" s="1">
        <v>1</v>
      </c>
      <c r="D11118" s="1" t="str">
        <f>"09499"</f>
        <v>09499</v>
      </c>
      <c r="E11118" s="1" t="s">
        <v>336</v>
      </c>
      <c r="F11118" s="1">
        <v>7</v>
      </c>
      <c r="G11118" s="1">
        <v>3</v>
      </c>
      <c r="H11118" s="1">
        <v>0</v>
      </c>
      <c r="I11118" s="1" t="s">
        <v>22426</v>
      </c>
      <c r="K11118" s="1" t="str">
        <f t="shared" si="691"/>
        <v>ㄗ</v>
      </c>
      <c r="L11118" s="1" t="str">
        <f t="shared" si="694"/>
        <v>ㄠ</v>
      </c>
      <c r="N11118" s="3" t="s">
        <v>30574</v>
      </c>
      <c r="O11118" s="3"/>
      <c r="P11118" s="1" t="s">
        <v>20</v>
      </c>
      <c r="R11118" s="1" t="s">
        <v>22427</v>
      </c>
      <c r="V11118" s="1" t="s">
        <v>22428</v>
      </c>
      <c r="AR11118" s="1" t="str">
        <f t="shared" si="693"/>
        <v>| [ㄗㄠˋ](ㄗㄠˋ.md) | [灶](灶.md) |  | zào | [名]
以磚土或石塊砌成，用來生火烹飪的設備。如：「土灶」、「爐灶」、「石灶」。 |</v>
      </c>
    </row>
    <row r="11119" spans="1:44" hidden="1">
      <c r="A11119" s="1" t="s">
        <v>22429</v>
      </c>
      <c r="C11119" s="1">
        <v>1</v>
      </c>
      <c r="D11119" s="1" t="str">
        <f>"09500"</f>
        <v>09500</v>
      </c>
      <c r="E11119" s="1" t="s">
        <v>205</v>
      </c>
      <c r="F11119" s="1">
        <v>7</v>
      </c>
      <c r="G11119" s="1">
        <v>2</v>
      </c>
      <c r="H11119" s="1">
        <v>0</v>
      </c>
      <c r="I11119" s="1" t="s">
        <v>22426</v>
      </c>
      <c r="K11119" s="1" t="str">
        <f t="shared" si="691"/>
        <v>ㄗ</v>
      </c>
      <c r="L11119" s="1" t="str">
        <f t="shared" si="694"/>
        <v>ㄠ</v>
      </c>
      <c r="N11119" s="3" t="s">
        <v>30574</v>
      </c>
      <c r="O11119" s="3"/>
      <c r="P11119" s="1" t="s">
        <v>20</v>
      </c>
      <c r="R11119" s="1" t="s">
        <v>22427</v>
      </c>
      <c r="V11119" s="1" t="s">
        <v>22430</v>
      </c>
      <c r="AR11119" s="1" t="str">
        <f t="shared" si="693"/>
        <v>| [ㄗㄠˋ](ㄗㄠˋ.md) | [皁](皁.md) |  | zào | [名]
1.黑色。《玉篇．白部》：「皁，色黑也。」如：「皁白」。
2.古代官署中從事卑賤職業的差役。如：「皁隸」。《集韻．上聲．皓韻》：「皁，賤人。」《左傳．昭公七年》：「人有十等，下所以事上，上所以共神也。故……士臣皁，皁臣輿，輿臣隸。」
3.餵食牛馬的食槽。宋．文天祥〈正氣歌〉：「牛驥同一皁，雞棲鳳凰食。」
4.洗衣去汙的用品。同「皂」。
5.已經結成但尚未堅實的穀實。《詩經．小雅．大田》：「既方既皁，既堅既好。」漢．毛亨．傳：「實未堅者曰皁。」
[形]
黑色的。《漢書．卷四八．賈誼傳》：「且帝之身自衣皁綈，而富民牆屋被文繡。」《三國志．卷一一．魏書．管寧傳》：「寧常著皁帽，布襦褲，布裙。」 |</v>
      </c>
    </row>
    <row r="11120" spans="1:44" hidden="1">
      <c r="A11120" s="1" t="s">
        <v>22431</v>
      </c>
      <c r="C11120" s="1">
        <v>1</v>
      </c>
      <c r="D11120" s="1" t="str">
        <f>"09501"</f>
        <v>09501</v>
      </c>
      <c r="E11120" s="1" t="s">
        <v>205</v>
      </c>
      <c r="F11120" s="1">
        <v>7</v>
      </c>
      <c r="G11120" s="1">
        <v>2</v>
      </c>
      <c r="H11120" s="1">
        <v>0</v>
      </c>
      <c r="I11120" s="1" t="s">
        <v>22426</v>
      </c>
      <c r="K11120" s="1" t="str">
        <f t="shared" si="691"/>
        <v>ㄗ</v>
      </c>
      <c r="L11120" s="1" t="str">
        <f t="shared" si="694"/>
        <v>ㄠ</v>
      </c>
      <c r="N11120" s="3" t="s">
        <v>30574</v>
      </c>
      <c r="O11120" s="3"/>
      <c r="P11120" s="1" t="s">
        <v>20</v>
      </c>
      <c r="R11120" s="1" t="s">
        <v>22427</v>
      </c>
      <c r="V11120" s="1" t="s">
        <v>22432</v>
      </c>
      <c r="AR11120" s="1" t="str">
        <f t="shared" si="693"/>
        <v>| [ㄗㄠˋ](ㄗㄠˋ.md) | [皂](皂.md) |  | zào | [名]
1.去汙垢的鹼性用品。如：「肥皂」、「香皂」、「藥皂」。
2.黑色。同「皁」。如：「不分青紅皂白」。
[形]
黑色的。同「皁」。清．孔尚任《桃花扇》第二四齣：「簇新新帽烏襯袍紅，搔皂皮靴綠縫，皂皮靴綠縫。」 |</v>
      </c>
    </row>
    <row r="11121" spans="1:44" hidden="1">
      <c r="A11121" s="1" t="s">
        <v>22433</v>
      </c>
      <c r="C11121" s="1">
        <v>1</v>
      </c>
      <c r="D11121" s="1" t="str">
        <f>"09502"</f>
        <v>09502</v>
      </c>
      <c r="E11121" s="1" t="s">
        <v>28</v>
      </c>
      <c r="F11121" s="1">
        <v>10</v>
      </c>
      <c r="G11121" s="1">
        <v>7</v>
      </c>
      <c r="H11121" s="1">
        <v>0</v>
      </c>
      <c r="I11121" s="1" t="s">
        <v>22426</v>
      </c>
      <c r="K11121" s="1" t="str">
        <f t="shared" si="691"/>
        <v>ㄗ</v>
      </c>
      <c r="L11121" s="1" t="str">
        <f t="shared" si="694"/>
        <v>ㄠ</v>
      </c>
      <c r="N11121" s="3" t="s">
        <v>30574</v>
      </c>
      <c r="O11121" s="3"/>
      <c r="P11121" s="1" t="s">
        <v>20</v>
      </c>
      <c r="R11121" s="1" t="s">
        <v>22427</v>
      </c>
      <c r="V11121" s="1" t="s">
        <v>22434</v>
      </c>
      <c r="AR11121" s="1" t="str">
        <f t="shared" si="693"/>
        <v>| [ㄗㄠˋ](ㄗㄠˋ.md) | [唕](唕.md) |  | zào | 參見「囉唕」條。 |</v>
      </c>
    </row>
    <row r="11122" spans="1:44" hidden="1">
      <c r="A11122" s="1" t="s">
        <v>22435</v>
      </c>
      <c r="C11122" s="1">
        <v>1</v>
      </c>
      <c r="D11122" s="1" t="str">
        <f>"09503"</f>
        <v>09503</v>
      </c>
      <c r="E11122" s="1" t="s">
        <v>558</v>
      </c>
      <c r="F11122" s="1">
        <v>11</v>
      </c>
      <c r="G11122" s="1">
        <v>7</v>
      </c>
      <c r="H11122" s="1">
        <v>1</v>
      </c>
      <c r="I11122" s="1" t="s">
        <v>22426</v>
      </c>
      <c r="K11122" s="1" t="str">
        <f t="shared" si="691"/>
        <v>ㄗ</v>
      </c>
      <c r="L11122" s="1" t="str">
        <f t="shared" si="694"/>
        <v>ㄠ</v>
      </c>
      <c r="N11122" s="3" t="s">
        <v>30574</v>
      </c>
      <c r="O11122" s="3"/>
      <c r="P11122" s="1" t="s">
        <v>20</v>
      </c>
      <c r="R11122" s="1" t="s">
        <v>22427</v>
      </c>
      <c r="V11122" s="1" t="s">
        <v>22436</v>
      </c>
      <c r="W11122" s="1" t="s">
        <v>22437</v>
      </c>
      <c r="AR11122" s="1" t="str">
        <f t="shared" si="693"/>
        <v>| [ㄗㄠˋ](ㄗㄠˋ.md) | [造](造.md) |  | zào | [動]
1.製作。如：「製造」、「釀造」、「仿造」。
2.建設、建築。如：「建造」、「營造」、「造船」、「造屋」。
3.創建、創製。如：「創造」、「締造」、「蔡倫造紙」。
4.虛構。如：「造謠」、「捏造」。
5.至、到達。如：「登峰造極」、「造訪」。南朝宋．劉義慶《世說新語．任誕》：「經宿方至，造門不前而返。」唐．柳宗元〈答韋中立論師道書〉：「明日造朝。」
6.給予生命。如：「再造之恩」、「恩同再造」。
7.培養。如：「造就」、「可造之才」。
[名]
1.成就。如：「造詣」。《詩經．大雅．思齊》：「肆成人有德，小子有造。」《左傳．成公十三年》：「秦師克還無害，則是我有大造于西也。」
2.對立的兩方。如訴訟時原告與被告稱為「兩造」。《書經．呂刑》：「兩造具備，師聽五辭。」《文選．潘岳．馬汧督誄》：「兩造未具，儲隸蓋鮮。」
3.時代、時期。如：「滿清末造」。《儀禮．士冠禮》：「公侯之有冠禮也，夏之末造也。」
4.術數用語。命相家稱人的生辰八字為「造」。如：「坤造」、「乾造」。明．沈受先《三元記》第二五齣：「請問小姐貴造？」《聊齋志異．卷九．邵臨淄》：「有術士推其造，決其必受官刑。」
5.姓。如周代有造父。
[副]
1.急遽、倉促、突然。通「猝」。《禮記．玉藻》：「造受命於君前，則書於笏。」
2.開始。《書經．伊訓》：「造攻自鳴條，朕哉自亳。」 |</v>
      </c>
    </row>
    <row r="11123" spans="1:44" hidden="1">
      <c r="A11123" s="1" t="s">
        <v>22438</v>
      </c>
      <c r="C11123" s="1">
        <v>1</v>
      </c>
      <c r="D11123" s="1" t="str">
        <f>"09504"</f>
        <v>09504</v>
      </c>
      <c r="E11123" s="1" t="s">
        <v>250</v>
      </c>
      <c r="F11123" s="1">
        <v>14</v>
      </c>
      <c r="G11123" s="1">
        <v>11</v>
      </c>
      <c r="H11123" s="1">
        <v>1</v>
      </c>
      <c r="I11123" s="1" t="s">
        <v>22426</v>
      </c>
      <c r="K11123" s="1" t="str">
        <f t="shared" si="691"/>
        <v>ㄗ</v>
      </c>
      <c r="L11123" s="1" t="str">
        <f t="shared" si="694"/>
        <v>ㄠ</v>
      </c>
      <c r="N11123" s="3" t="s">
        <v>30574</v>
      </c>
      <c r="O11123" s="3"/>
      <c r="P11123" s="1" t="s">
        <v>20</v>
      </c>
      <c r="R11123" s="1" t="s">
        <v>22427</v>
      </c>
      <c r="V11123" s="1" t="s">
        <v>22439</v>
      </c>
      <c r="W11123" s="1" t="s">
        <v>22440</v>
      </c>
      <c r="AR11123" s="1" t="str">
        <f t="shared" si="693"/>
        <v>| [ㄗㄠˋ](ㄗㄠˋ.md) | [慥](慥.md) |  | zào | 參見「慥慥」條。 |</v>
      </c>
    </row>
    <row r="11124" spans="1:44" hidden="1">
      <c r="A11124" s="1" t="s">
        <v>19736</v>
      </c>
      <c r="C11124" s="1">
        <v>1</v>
      </c>
      <c r="D11124" s="1" t="str">
        <f>"09505"</f>
        <v>09505</v>
      </c>
      <c r="E11124" s="1" t="s">
        <v>49</v>
      </c>
      <c r="F11124" s="1">
        <v>17</v>
      </c>
      <c r="G11124" s="1">
        <v>11</v>
      </c>
      <c r="H11124" s="1">
        <v>1</v>
      </c>
      <c r="I11124" s="1" t="s">
        <v>22426</v>
      </c>
      <c r="K11124" s="1" t="str">
        <f t="shared" si="691"/>
        <v>ㄗ</v>
      </c>
      <c r="L11124" s="1" t="str">
        <f t="shared" si="694"/>
        <v>ㄠ</v>
      </c>
      <c r="N11124" s="3" t="s">
        <v>30574</v>
      </c>
      <c r="O11124" s="3"/>
      <c r="P11124" s="1" t="s">
        <v>20</v>
      </c>
      <c r="R11124" s="1" t="s">
        <v>22427</v>
      </c>
      <c r="V11124" s="1" t="s">
        <v>22441</v>
      </c>
      <c r="W11124" s="1" t="s">
        <v>22442</v>
      </c>
      <c r="AR11124" s="1" t="str">
        <f t="shared" si="693"/>
        <v>| [ㄗㄠˋ](ㄗㄠˋ.md) | [簉](簉.md) |  | zào | [形]
副的、附屬的。如：「簉室」。 |</v>
      </c>
    </row>
    <row r="11125" spans="1:44" hidden="1">
      <c r="A11125" s="1" t="s">
        <v>22443</v>
      </c>
      <c r="C11125" s="1">
        <v>1</v>
      </c>
      <c r="D11125" s="1" t="str">
        <f>"09506"</f>
        <v>09506</v>
      </c>
      <c r="E11125" s="1" t="s">
        <v>129</v>
      </c>
      <c r="F11125" s="1">
        <v>14</v>
      </c>
      <c r="G11125" s="1">
        <v>11</v>
      </c>
      <c r="H11125" s="1">
        <v>2</v>
      </c>
      <c r="I11125" s="1" t="s">
        <v>22426</v>
      </c>
      <c r="K11125" s="1" t="str">
        <f t="shared" si="691"/>
        <v>ㄗ</v>
      </c>
      <c r="L11125" s="1" t="str">
        <f t="shared" si="694"/>
        <v>ㄠ</v>
      </c>
      <c r="N11125" s="3" t="s">
        <v>30574</v>
      </c>
      <c r="O11125" s="3"/>
      <c r="P11125" s="1" t="s">
        <v>110</v>
      </c>
      <c r="R11125" s="1" t="s">
        <v>22427</v>
      </c>
      <c r="V11125" s="1" t="s">
        <v>111</v>
      </c>
      <c r="W11125" s="1" t="s">
        <v>22444</v>
      </c>
      <c r="AR11125" s="1" t="str">
        <f t="shared" si="693"/>
        <v>| [ㄗㄠˋ](ㄗㄠˋ.md) | [漕](漕.md) |  | zào | (一)之又音。 |</v>
      </c>
    </row>
    <row r="11126" spans="1:44" hidden="1">
      <c r="A11126" s="1" t="s">
        <v>22445</v>
      </c>
      <c r="C11126" s="1">
        <v>1</v>
      </c>
      <c r="D11126" s="1" t="str">
        <f>"09507"</f>
        <v>09507</v>
      </c>
      <c r="E11126" s="1" t="s">
        <v>28</v>
      </c>
      <c r="F11126" s="1">
        <v>16</v>
      </c>
      <c r="G11126" s="1">
        <v>13</v>
      </c>
      <c r="H11126" s="1">
        <v>0</v>
      </c>
      <c r="I11126" s="1" t="s">
        <v>22426</v>
      </c>
      <c r="K11126" s="1" t="str">
        <f t="shared" si="691"/>
        <v>ㄗ</v>
      </c>
      <c r="L11126" s="1" t="str">
        <f t="shared" si="694"/>
        <v>ㄠ</v>
      </c>
      <c r="N11126" s="3" t="s">
        <v>30574</v>
      </c>
      <c r="O11126" s="3"/>
      <c r="P11126" s="1" t="s">
        <v>20</v>
      </c>
      <c r="R11126" s="1" t="s">
        <v>22427</v>
      </c>
      <c r="V11126" s="1" t="s">
        <v>22446</v>
      </c>
      <c r="AR11126" s="1" t="str">
        <f t="shared" si="693"/>
        <v>| [ㄗㄠˋ](ㄗㄠˋ.md) | [噪](噪.md) |  | zào | [動]
1.喧鬧、吵鬧。如：「鼓噪」、「聒噪不休」。
2.蟲鳥爭鳴。如：「群鴉亂噪」。唐．王維〈酬諸公見過〉詩：「雀噪荒村，雞鳴空館。」 |</v>
      </c>
    </row>
    <row r="11127" spans="1:44" hidden="1">
      <c r="A11127" s="1" t="s">
        <v>22447</v>
      </c>
      <c r="C11127" s="1">
        <v>1</v>
      </c>
      <c r="D11127" s="1" t="str">
        <f>"09508"</f>
        <v>09508</v>
      </c>
      <c r="E11127" s="1" t="s">
        <v>336</v>
      </c>
      <c r="F11127" s="1">
        <v>17</v>
      </c>
      <c r="G11127" s="1">
        <v>13</v>
      </c>
      <c r="H11127" s="1">
        <v>1</v>
      </c>
      <c r="I11127" s="1" t="s">
        <v>22426</v>
      </c>
      <c r="K11127" s="1" t="str">
        <f t="shared" si="691"/>
        <v>ㄗ</v>
      </c>
      <c r="L11127" s="1" t="str">
        <f t="shared" si="694"/>
        <v>ㄠ</v>
      </c>
      <c r="N11127" s="3" t="s">
        <v>30574</v>
      </c>
      <c r="O11127" s="3"/>
      <c r="P11127" s="1" t="s">
        <v>20</v>
      </c>
      <c r="R11127" s="1" t="s">
        <v>22427</v>
      </c>
      <c r="V11127" s="1" t="s">
        <v>22448</v>
      </c>
      <c r="W11127" s="1" t="s">
        <v>22449</v>
      </c>
      <c r="AR11127" s="1" t="str">
        <f t="shared" si="693"/>
        <v>| [ㄗㄠˋ](ㄗㄠˋ.md) | [燥](燥.md) |  | zào | [形]
1.乾的、缺少水分的。如：「乾燥」、「燥材」、「天乾物燥」。
2.內心焦急不安。通「躁」。如：「燥灼」、「急燥」。 |</v>
      </c>
    </row>
    <row r="11128" spans="1:44" hidden="1">
      <c r="A11128" s="1" t="s">
        <v>22450</v>
      </c>
      <c r="C11128" s="1">
        <v>1</v>
      </c>
      <c r="D11128" s="1" t="str">
        <f>"09509"</f>
        <v>09509</v>
      </c>
      <c r="E11128" s="1" t="s">
        <v>1703</v>
      </c>
      <c r="F11128" s="1">
        <v>17</v>
      </c>
      <c r="G11128" s="1">
        <v>13</v>
      </c>
      <c r="H11128" s="1">
        <v>0</v>
      </c>
      <c r="I11128" s="1" t="s">
        <v>22426</v>
      </c>
      <c r="K11128" s="1" t="str">
        <f t="shared" si="691"/>
        <v>ㄗ</v>
      </c>
      <c r="L11128" s="1" t="str">
        <f t="shared" si="694"/>
        <v>ㄠ</v>
      </c>
      <c r="N11128" s="3" t="s">
        <v>30574</v>
      </c>
      <c r="O11128" s="3"/>
      <c r="P11128" s="1" t="s">
        <v>20</v>
      </c>
      <c r="R11128" s="1" t="s">
        <v>22427</v>
      </c>
      <c r="V11128" s="1" t="s">
        <v>2980</v>
      </c>
      <c r="AR11128" s="1" t="str">
        <f t="shared" si="693"/>
        <v>| [ㄗㄠˋ](ㄗㄠˋ.md) | [氉](氉.md) |  | zào | 參見「毷氉」條。 |</v>
      </c>
    </row>
    <row r="11129" spans="1:44" hidden="1">
      <c r="A11129" s="1" t="s">
        <v>22451</v>
      </c>
      <c r="C11129" s="1">
        <v>1</v>
      </c>
      <c r="D11129" s="1" t="str">
        <f>"09510"</f>
        <v>09510</v>
      </c>
      <c r="E11129" s="1" t="s">
        <v>331</v>
      </c>
      <c r="F11129" s="1">
        <v>20</v>
      </c>
      <c r="G11129" s="1">
        <v>13</v>
      </c>
      <c r="H11129" s="1">
        <v>0</v>
      </c>
      <c r="I11129" s="1" t="s">
        <v>22426</v>
      </c>
      <c r="K11129" s="1" t="str">
        <f t="shared" si="691"/>
        <v>ㄗ</v>
      </c>
      <c r="L11129" s="1" t="str">
        <f t="shared" si="694"/>
        <v>ㄠ</v>
      </c>
      <c r="N11129" s="3" t="s">
        <v>30574</v>
      </c>
      <c r="O11129" s="3"/>
      <c r="P11129" s="1" t="s">
        <v>20</v>
      </c>
      <c r="R11129" s="1" t="s">
        <v>22427</v>
      </c>
      <c r="V11129" s="1" t="s">
        <v>22452</v>
      </c>
      <c r="AR11129" s="1" t="str">
        <f t="shared" si="693"/>
        <v>| [ㄗㄠˋ](ㄗㄠˋ.md) | [譟](譟.md) |  | zào | [動]
1.喧譁、喧擾。《左傳．文公十三年》：「既濟，魏人譟而還。」唐．柳宗元〈段太尉逸事狀〉：「晞一營大譟，盡甲。」
2.歡呼。《周禮．夏官．大司馬》：「及所弊，鼓皆駴，車徒皆譟。」《國語．鄭語》：「王使婦人不幃而譟之，化為玄黿，似入于王府。」 |</v>
      </c>
    </row>
    <row r="11130" spans="1:44" hidden="1">
      <c r="A11130" s="1" t="s">
        <v>22453</v>
      </c>
      <c r="C11130" s="1">
        <v>1</v>
      </c>
      <c r="D11130" s="1" t="str">
        <f>"09511"</f>
        <v>09511</v>
      </c>
      <c r="E11130" s="1" t="s">
        <v>4563</v>
      </c>
      <c r="F11130" s="1">
        <v>20</v>
      </c>
      <c r="G11130" s="1">
        <v>13</v>
      </c>
      <c r="H11130" s="1">
        <v>0</v>
      </c>
      <c r="I11130" s="1" t="s">
        <v>22426</v>
      </c>
      <c r="K11130" s="1" t="str">
        <f t="shared" si="691"/>
        <v>ㄗ</v>
      </c>
      <c r="L11130" s="1" t="str">
        <f t="shared" si="694"/>
        <v>ㄠ</v>
      </c>
      <c r="N11130" s="3" t="s">
        <v>30574</v>
      </c>
      <c r="O11130" s="3"/>
      <c r="P11130" s="1" t="s">
        <v>20</v>
      </c>
      <c r="R11130" s="1" t="s">
        <v>22427</v>
      </c>
      <c r="V11130" s="1" t="s">
        <v>22454</v>
      </c>
      <c r="AR11130" s="1" t="str">
        <f t="shared" si="693"/>
        <v>| [ㄗㄠˋ](ㄗㄠˋ.md) | [趮](趮.md) |  | zào | [形]
急切、急躁。《管子．心術上》：「搖者不定，趮者不靜。」
[動]
快速掉落。《周禮．冬官考工記．矢人》：「羽豐則遲，羽殺則趮。」 |</v>
      </c>
    </row>
    <row r="11131" spans="1:44" hidden="1">
      <c r="A11131" s="1" t="s">
        <v>22455</v>
      </c>
      <c r="C11131" s="1">
        <v>1</v>
      </c>
      <c r="D11131" s="1" t="str">
        <f>"09512"</f>
        <v>09512</v>
      </c>
      <c r="E11131" s="1" t="s">
        <v>77</v>
      </c>
      <c r="F11131" s="1">
        <v>20</v>
      </c>
      <c r="G11131" s="1">
        <v>13</v>
      </c>
      <c r="H11131" s="1">
        <v>0</v>
      </c>
      <c r="I11131" s="1" t="s">
        <v>22426</v>
      </c>
      <c r="K11131" s="1" t="str">
        <f t="shared" si="691"/>
        <v>ㄗ</v>
      </c>
      <c r="L11131" s="1" t="str">
        <f t="shared" si="694"/>
        <v>ㄠ</v>
      </c>
      <c r="N11131" s="3" t="s">
        <v>30574</v>
      </c>
      <c r="O11131" s="3"/>
      <c r="P11131" s="1" t="s">
        <v>20</v>
      </c>
      <c r="R11131" s="1" t="s">
        <v>22427</v>
      </c>
      <c r="V11131" s="1" t="s">
        <v>22456</v>
      </c>
      <c r="AR11131" s="1" t="str">
        <f t="shared" si="693"/>
        <v>| [ㄗㄠˋ](ㄗㄠˋ.md) | [躁](躁.md) |  | zào | [形]
1.性急、不冷靜。如：「暴躁」、「煩躁」、「急躁」。《論語．季氏》：「言未及之而言，謂之躁。」
2.狡猾。《易經．繫辭下》：「躁人之辭多。」
[動]
動、擾動。《淮南子．精神》：「七月而成，八月而動，九月而躁，十月而生。」三國魏．王基〈戒司馬景王書〉：「心靜則眾事不躁，思慮審定，則教令不煩。」 |</v>
      </c>
    </row>
    <row r="11132" spans="1:44" hidden="1">
      <c r="A11132" s="1" t="s">
        <v>22404</v>
      </c>
      <c r="C11132" s="1">
        <v>1</v>
      </c>
      <c r="D11132" s="1" t="str">
        <f>"09491"</f>
        <v>09491</v>
      </c>
      <c r="E11132" s="1" t="s">
        <v>55</v>
      </c>
      <c r="F11132" s="1">
        <v>28</v>
      </c>
      <c r="G11132" s="1">
        <v>20</v>
      </c>
      <c r="H11132" s="1">
        <v>2</v>
      </c>
      <c r="I11132" s="1" t="s">
        <v>22405</v>
      </c>
      <c r="K11132" s="1" t="str">
        <f t="shared" si="691"/>
        <v>ㄗ</v>
      </c>
      <c r="L11132" s="1" t="str">
        <f t="shared" si="694"/>
        <v>ㄠ</v>
      </c>
      <c r="N11132" s="3" t="s">
        <v>30575</v>
      </c>
      <c r="O11132" s="3"/>
      <c r="P11132" s="1" t="s">
        <v>388</v>
      </c>
      <c r="R11132" s="1" t="s">
        <v>22406</v>
      </c>
      <c r="V11132" s="1" t="s">
        <v>407</v>
      </c>
      <c r="W11132" s="1" t="s">
        <v>22407</v>
      </c>
      <c r="AR11132" s="1" t="str">
        <f t="shared" si="693"/>
        <v>| [ㄗㄠˊ](ㄗㄠˊ.md) | [鑿](鑿.md) |  | záo | (一)之語音。 |</v>
      </c>
    </row>
    <row r="11133" spans="1:44" hidden="1">
      <c r="A11133" s="1" t="s">
        <v>22408</v>
      </c>
      <c r="C11133" s="1">
        <v>1</v>
      </c>
      <c r="D11133" s="1" t="str">
        <f>"09492"</f>
        <v>09492</v>
      </c>
      <c r="E11133" s="1" t="s">
        <v>646</v>
      </c>
      <c r="F11133" s="1">
        <v>6</v>
      </c>
      <c r="G11133" s="1">
        <v>2</v>
      </c>
      <c r="H11133" s="1">
        <v>0</v>
      </c>
      <c r="I11133" s="1" t="s">
        <v>22409</v>
      </c>
      <c r="K11133" s="1" t="str">
        <f t="shared" si="691"/>
        <v>ㄗ</v>
      </c>
      <c r="L11133" s="1" t="str">
        <f t="shared" si="694"/>
        <v>ㄠ</v>
      </c>
      <c r="N11133" s="3" t="s">
        <v>30576</v>
      </c>
      <c r="O11133" s="3"/>
      <c r="P11133" s="1" t="s">
        <v>20</v>
      </c>
      <c r="R11133" s="1" t="s">
        <v>22410</v>
      </c>
      <c r="V11133" s="1" t="s">
        <v>22411</v>
      </c>
      <c r="AR11133" s="1" t="str">
        <f t="shared" si="693"/>
        <v>| [ㄗㄠˇ](ㄗㄠˇ.md) | [早](早.md) |  | zǎo | [名]
1.天剛亮的時候。如：「一大早」、「大清早」、「從早到晚」。
2.參見「早安」條。
3.姓。如晉代有早衍。
[形]
1.晨間的。如：「早飯」、「早操」、「早班」。
2.較原時間提前的，未到預定時間的。如：「早退」、「急什麼，離開演的時間還早呢！」《左傳．宣公二年》：「盛服將朝，尚早，坐而假寐。」
3.不晚。如：「天色還早，您多坐會兒吧！」
4.初時的、先時的。如：「早期」、「早稻」。
[副]
1.事情的發生離現在已有一段時間。如：「我們早說好了。」、「他早走了。」
2.已經。宋．秦觀〈阮郎歸．退花新綠漸團枝〉詞：「怨春春怎知，日長早被酒禁持。」《京本通俗小說．錯斬崔寧》：「劉官人謝了又謝，……到得城中，天色卻早晚了。」
3.還未到適當時間的。如：「早婚」、「早夭」、「早產」。
4.到達某一程度還有段距離的。如：「你想趕上他，還早得很呢！」 |</v>
      </c>
    </row>
    <row r="11134" spans="1:44" hidden="1">
      <c r="A11134" s="1" t="s">
        <v>22412</v>
      </c>
      <c r="C11134" s="1">
        <v>1</v>
      </c>
      <c r="D11134" s="1" t="str">
        <f>"09493"</f>
        <v>09493</v>
      </c>
      <c r="E11134" s="1" t="s">
        <v>679</v>
      </c>
      <c r="F11134" s="1">
        <v>10</v>
      </c>
      <c r="G11134" s="1">
        <v>4</v>
      </c>
      <c r="H11134" s="1">
        <v>0</v>
      </c>
      <c r="I11134" s="1" t="s">
        <v>22409</v>
      </c>
      <c r="K11134" s="1" t="str">
        <f t="shared" si="691"/>
        <v>ㄗ</v>
      </c>
      <c r="L11134" s="1" t="str">
        <f t="shared" si="694"/>
        <v>ㄠ</v>
      </c>
      <c r="N11134" s="3" t="s">
        <v>30576</v>
      </c>
      <c r="O11134" s="3"/>
      <c r="P11134" s="1" t="s">
        <v>20</v>
      </c>
      <c r="R11134" s="1" t="s">
        <v>22410</v>
      </c>
      <c r="V11134" s="1" t="s">
        <v>22413</v>
      </c>
      <c r="AR11134" s="1" t="str">
        <f t="shared" si="693"/>
        <v>| [ㄗㄠˇ](ㄗㄠˇ.md) | [蚤](蚤.md) |  | zǎo | [名]_x000D_
1.一種昆蟲的總稱。頭小體肥，無翅，腳上有棘刺，後腳發達，善跳躍。寄生於人、貓及鼠等動物身上，以吸食血液為生。為重要的傳染病媒。俗稱為「跳蚤」。_x000D_
2.早晨。通「早」。《孟子．離婁下》：「蚤起，施從良人之所之。」《醒世恆言．卷三四．一文錢小隙造奇冤》：「這一蚤要到田頭去割稻，同著十來個家人，拿了許多扁挑索子鐮刀，正來下舡。」_x000D_
[副]_x000D_
時間提前的。通「早」。《淮南子．人間》：「禍生而不蚤滅，若火之得燥、水之得溼，浸而益大。」《醒世恆言．卷一〇．劉小官雌雄兄弟》：「明日莫管天晴下雪，蚤些走罷。」 |</v>
      </c>
    </row>
    <row r="11135" spans="1:44" hidden="1">
      <c r="A11135" s="1" t="s">
        <v>22414</v>
      </c>
      <c r="C11135" s="1">
        <v>1</v>
      </c>
      <c r="D11135" s="1" t="str">
        <f>"09494"</f>
        <v>09494</v>
      </c>
      <c r="E11135" s="1" t="s">
        <v>139</v>
      </c>
      <c r="F11135" s="1">
        <v>12</v>
      </c>
      <c r="G11135" s="1">
        <v>8</v>
      </c>
      <c r="H11135" s="1">
        <v>0</v>
      </c>
      <c r="I11135" s="1" t="s">
        <v>22409</v>
      </c>
      <c r="K11135" s="1" t="str">
        <f t="shared" si="691"/>
        <v>ㄗ</v>
      </c>
      <c r="L11135" s="1" t="str">
        <f t="shared" si="694"/>
        <v>ㄠ</v>
      </c>
      <c r="N11135" s="3" t="s">
        <v>30576</v>
      </c>
      <c r="O11135" s="3"/>
      <c r="P11135" s="1" t="s">
        <v>20</v>
      </c>
      <c r="R11135" s="1" t="s">
        <v>22410</v>
      </c>
      <c r="V11135" s="1" t="s">
        <v>22415</v>
      </c>
      <c r="AR11135" s="1" t="str">
        <f t="shared" si="693"/>
        <v>| [ㄗㄠˇ](ㄗㄠˇ.md) | [棗](棗.md) |  | zǎo | [名]
1.植物名。鼠李科棗屬，包括「酸棗」、「棗」、「無刺棗」、「印度棗」等一群栽培棗屬樹種之混稱。大灌木或喬木。枝傾垂有刺，葉互生，卵形或長橢圓形，邊緣具細鈍鋸齒。花小，黃綠色。所結核果也稱為「棗」，橙黃或暗紅色，橢圓形，可食。種類很多，主要產於亞洲熱帶地區及歐洲南部。參見「酸棗」條。
2.姓。如晉代有棗據。 |</v>
      </c>
    </row>
    <row r="11136" spans="1:44" hidden="1">
      <c r="A11136" s="1" t="s">
        <v>22416</v>
      </c>
      <c r="C11136" s="1">
        <v>1</v>
      </c>
      <c r="D11136" s="1" t="str">
        <f>"09495"</f>
        <v>09495</v>
      </c>
      <c r="E11136" s="1" t="s">
        <v>129</v>
      </c>
      <c r="F11136" s="1">
        <v>16</v>
      </c>
      <c r="G11136" s="1">
        <v>13</v>
      </c>
      <c r="H11136" s="1">
        <v>0</v>
      </c>
      <c r="I11136" s="1" t="s">
        <v>22409</v>
      </c>
      <c r="K11136" s="1" t="str">
        <f t="shared" ref="K11136:K11199" si="695">LEFT(I11136, 1)</f>
        <v>ㄗ</v>
      </c>
      <c r="L11136" s="1" t="str">
        <f t="shared" ref="L11136:L11167" si="696">MID(I11136, 2, 1)</f>
        <v>ㄠ</v>
      </c>
      <c r="N11136" s="3" t="s">
        <v>30576</v>
      </c>
      <c r="O11136" s="3"/>
      <c r="P11136" s="1" t="s">
        <v>20</v>
      </c>
      <c r="R11136" s="1" t="s">
        <v>22410</v>
      </c>
      <c r="V11136" s="1" t="s">
        <v>22417</v>
      </c>
      <c r="AR11136" s="1" t="str">
        <f t="shared" si="693"/>
        <v>| [ㄗㄠˇ](ㄗㄠˇ.md) | [澡](澡.md) |  | zǎo | [動]
1.洗手。《說文解字．水部》：「澡，洒手也。」《魏書．卷一〇二．西域傳．悅般國傳》：「日三澡漱，然後飲食。」
2.清洗。《史記．卷一二八．褚少孫補．龜策傳》：「常以月旦祓龜，先以清水澡之。」
3.參見「洗澡」條。 |</v>
      </c>
    </row>
    <row r="11137" spans="1:44" hidden="1">
      <c r="A11137" s="1" t="s">
        <v>22418</v>
      </c>
      <c r="C11137" s="1">
        <v>1</v>
      </c>
      <c r="D11137" s="1" t="str">
        <f>"09496"</f>
        <v>09496</v>
      </c>
      <c r="E11137" s="1" t="s">
        <v>142</v>
      </c>
      <c r="F11137" s="1">
        <v>17</v>
      </c>
      <c r="G11137" s="1">
        <v>13</v>
      </c>
      <c r="H11137" s="1">
        <v>0</v>
      </c>
      <c r="I11137" s="1" t="s">
        <v>22409</v>
      </c>
      <c r="K11137" s="1" t="str">
        <f t="shared" si="695"/>
        <v>ㄗ</v>
      </c>
      <c r="L11137" s="1" t="str">
        <f t="shared" si="696"/>
        <v>ㄠ</v>
      </c>
      <c r="N11137" s="3" t="s">
        <v>30576</v>
      </c>
      <c r="O11137" s="3"/>
      <c r="P11137" s="1" t="s">
        <v>20</v>
      </c>
      <c r="R11137" s="1" t="s">
        <v>22410</v>
      </c>
      <c r="V11137" s="1" t="s">
        <v>22419</v>
      </c>
      <c r="AR11137" s="1" t="str">
        <f t="shared" si="693"/>
        <v>| [ㄗㄠˇ](ㄗㄠˇ.md) | [璪](璪.md) |  | zǎo | [名]
1.有水藻花紋的玉飾。《說文解字．玉部》：「璪，玉飾如水藻之文。」
2.古代掛在帽上的裝飾品。以五彩絲線穿串玉石而成。《禮記．郊特牲》：「戴冕璪十有二旒，則天數也。」清．孫希旦．集解：「璪者，用五采絲為繩，垂之以為冕之旒也。」 |</v>
      </c>
    </row>
    <row r="11138" spans="1:44" hidden="1">
      <c r="A11138" s="1" t="s">
        <v>22420</v>
      </c>
      <c r="C11138" s="1">
        <v>1</v>
      </c>
      <c r="D11138" s="1" t="str">
        <f>"09497"</f>
        <v>09497</v>
      </c>
      <c r="E11138" s="1" t="s">
        <v>725</v>
      </c>
      <c r="F11138" s="1">
        <v>19</v>
      </c>
      <c r="G11138" s="1">
        <v>13</v>
      </c>
      <c r="H11138" s="1">
        <v>1</v>
      </c>
      <c r="I11138" s="1" t="s">
        <v>22409</v>
      </c>
      <c r="K11138" s="1" t="str">
        <f t="shared" si="695"/>
        <v>ㄗ</v>
      </c>
      <c r="L11138" s="1" t="str">
        <f t="shared" si="696"/>
        <v>ㄠ</v>
      </c>
      <c r="N11138" s="3" t="s">
        <v>30576</v>
      </c>
      <c r="O11138" s="3"/>
      <c r="P11138" s="1" t="s">
        <v>20</v>
      </c>
      <c r="R11138" s="1" t="s">
        <v>22410</v>
      </c>
      <c r="V11138" s="1" t="s">
        <v>22421</v>
      </c>
      <c r="W11138" s="1" t="s">
        <v>22422</v>
      </c>
      <c r="AR11138" s="1" t="str">
        <f t="shared" si="693"/>
        <v>| [ㄗㄠˇ](ㄗㄠˇ.md) | [繰](繰.md) |  | zǎo | [名]
有文采的絲織品。清．袁枚《隨園詩話》卷一四：「余在揚州江魯佩家，見桓圭，長七寸，葵首垂繰，質粹沁紅，真三代物也。」 |</v>
      </c>
    </row>
    <row r="11139" spans="1:44" hidden="1">
      <c r="A11139" s="1" t="s">
        <v>22423</v>
      </c>
      <c r="C11139" s="1">
        <v>1</v>
      </c>
      <c r="D11139" s="1" t="str">
        <f>"09498"</f>
        <v>09498</v>
      </c>
      <c r="E11139" s="1" t="s">
        <v>37</v>
      </c>
      <c r="F11139" s="1">
        <v>20</v>
      </c>
      <c r="G11139" s="1">
        <v>16</v>
      </c>
      <c r="H11139" s="1">
        <v>0</v>
      </c>
      <c r="I11139" s="1" t="s">
        <v>22409</v>
      </c>
      <c r="K11139" s="1" t="str">
        <f t="shared" si="695"/>
        <v>ㄗ</v>
      </c>
      <c r="L11139" s="1" t="str">
        <f t="shared" si="696"/>
        <v>ㄠ</v>
      </c>
      <c r="N11139" s="3" t="s">
        <v>30576</v>
      </c>
      <c r="O11139" s="3"/>
      <c r="P11139" s="1" t="s">
        <v>20</v>
      </c>
      <c r="R11139" s="1" t="s">
        <v>22410</v>
      </c>
      <c r="V11139" s="1" t="s">
        <v>22424</v>
      </c>
      <c r="AR11139" s="1" t="str">
        <f t="shared" ref="AR11139:AR11202" si="697">"| ["&amp;I11139&amp;"]("&amp;I11139&amp;".md) | ["&amp;A11139&amp;"]("&amp;A11139&amp;".md) | "&amp;" | "&amp;R11139&amp;" | "&amp;V11139&amp;" |"</f>
        <v>| [ㄗㄠˇ](ㄗㄠˇ.md) | [藻](藻.md) |  | zǎo | [名]
1.水草植物的總稱。如：「水藻」、「綠藻」、「海藻」。唐．杜甫〈早行〉：「碧藻非不茂，高帆終日征。」
2.華麗的文彩。《文選．曹植．七啟》：「步光之劍，華藻繁縟，飾以文犀，雕以翠綠，綴以驪龍之珠，錯以荊山之玉。」
3.文辭、文章。如：「詞藻」。《文選．陸機．文賦》：「遊文章之林府，嘉麗藻之彬彬。」
[動]
參見「品藻」條。 |</v>
      </c>
    </row>
    <row r="11140" spans="1:44" hidden="1">
      <c r="A11140" s="1" t="s">
        <v>22493</v>
      </c>
      <c r="C11140" s="1">
        <v>1</v>
      </c>
      <c r="D11140" s="1" t="str">
        <f>"09529"</f>
        <v>09529</v>
      </c>
      <c r="E11140" s="1" t="s">
        <v>563</v>
      </c>
      <c r="F11140" s="1">
        <v>9</v>
      </c>
      <c r="G11140" s="1">
        <v>6</v>
      </c>
      <c r="H11140" s="1">
        <v>0</v>
      </c>
      <c r="I11140" s="1" t="s">
        <v>22494</v>
      </c>
      <c r="K11140" s="1" t="str">
        <f t="shared" si="695"/>
        <v>ㄗ</v>
      </c>
      <c r="L11140" s="1" t="str">
        <f t="shared" si="696"/>
        <v>ㄡ</v>
      </c>
      <c r="N11140" s="3" t="s">
        <v>30574</v>
      </c>
      <c r="O11140" s="3"/>
      <c r="P11140" s="1" t="s">
        <v>20</v>
      </c>
      <c r="R11140" s="1" t="s">
        <v>22495</v>
      </c>
      <c r="V11140" s="1" t="s">
        <v>22496</v>
      </c>
      <c r="AR11140" s="1" t="str">
        <f t="shared" si="697"/>
        <v>| [ㄗㄡˋ](ㄗㄡˋ.md) | [奏](奏.md) |  | zòu | [動]
1.進獻。《漢書．卷七四．丙吉傳》：「不得令晨夜去皇孫敖盪，數奏甘毳食物。」漢．王充《論衡．逢遇》：「以夏進鑪，以冬奏扇。」
2.古代臣下向皇帝上書或進言。如：「啟奏」。《漢書．卷六八．霍光傳》：「光遂復與丞相敞等上奏。」
3.吹彈樂器。如：「吹奏」、「伴奏」、「彈奏」、「演奏」、「獨奏」。
4.顯現、發生。如：「大奏奇功」、「奏效」。《明史．卷八四．河渠志二》：「（崇禎）帝趣鳩工，未奏績而明亡。」
5.往、走。通「走」。《新唐書．卷一五五．馬燧傳》：「比悅至，火止，氣少衰，燧縱兵擊之。悅敗奏橋。橋已焚，眾赴水死者不可計。」
[名]
1.古代臣下向皇帝進呈的文書。如：「奏狀」、「奏褶」。南朝梁．劉勰《文心雕龍．章表》：「漢定禮儀，則有四品：一曰章，二曰奏，三曰表，四曰議。」
2.音樂高低抑揚的節拍。如：「節奏輕快」。 |</v>
      </c>
    </row>
    <row r="11141" spans="1:44" hidden="1">
      <c r="A11141" s="1" t="s">
        <v>22497</v>
      </c>
      <c r="C11141" s="1">
        <v>1</v>
      </c>
      <c r="D11141" s="1" t="str">
        <f>"09530"</f>
        <v>09530</v>
      </c>
      <c r="E11141" s="1" t="s">
        <v>24</v>
      </c>
      <c r="F11141" s="1">
        <v>12</v>
      </c>
      <c r="G11141" s="1">
        <v>9</v>
      </c>
      <c r="H11141" s="1">
        <v>0</v>
      </c>
      <c r="I11141" s="1" t="s">
        <v>22494</v>
      </c>
      <c r="K11141" s="1" t="str">
        <f t="shared" si="695"/>
        <v>ㄗ</v>
      </c>
      <c r="L11141" s="1" t="str">
        <f t="shared" si="696"/>
        <v>ㄡ</v>
      </c>
      <c r="N11141" s="3" t="s">
        <v>30574</v>
      </c>
      <c r="O11141" s="3"/>
      <c r="P11141" s="1" t="s">
        <v>20</v>
      </c>
      <c r="R11141" s="1" t="s">
        <v>22495</v>
      </c>
      <c r="V11141" s="1" t="s">
        <v>22498</v>
      </c>
      <c r="AR11141" s="1" t="str">
        <f t="shared" si="697"/>
        <v>| [ㄗㄡˋ](ㄗㄡˋ.md) | [揍](揍.md) |  | zòu | [動]
1.打。如：「揍人」、「揍他一頓」。
2.北平方言。指打破、打碎。如：「他一不留神把茶碗打揍了。」 |</v>
      </c>
    </row>
    <row r="11142" spans="1:44" hidden="1">
      <c r="A11142" s="1" t="s">
        <v>22499</v>
      </c>
      <c r="C11142" s="1">
        <v>1</v>
      </c>
      <c r="D11142" s="1" t="str">
        <f>"09531"</f>
        <v>09531</v>
      </c>
      <c r="E11142" s="1" t="s">
        <v>319</v>
      </c>
      <c r="F11142" s="1">
        <v>24</v>
      </c>
      <c r="G11142" s="1">
        <v>14</v>
      </c>
      <c r="H11142" s="1">
        <v>0</v>
      </c>
      <c r="I11142" s="1" t="s">
        <v>22494</v>
      </c>
      <c r="K11142" s="1" t="str">
        <f t="shared" si="695"/>
        <v>ㄗ</v>
      </c>
      <c r="L11142" s="1" t="str">
        <f t="shared" si="696"/>
        <v>ㄡ</v>
      </c>
      <c r="N11142" s="3" t="s">
        <v>30574</v>
      </c>
      <c r="O11142" s="3"/>
      <c r="P11142" s="1" t="s">
        <v>20</v>
      </c>
      <c r="R11142" s="1" t="s">
        <v>22495</v>
      </c>
      <c r="V11142" s="1" t="s">
        <v>22500</v>
      </c>
      <c r="AR11142" s="1" t="str">
        <f t="shared" si="697"/>
        <v>| [ㄗㄡˋ](ㄗㄡˋ.md) | [驟](驟.md) |  | zòu | [動]
1.馬快跑。《說文解字．馬部》：「驟，馬疾步也。」《詩經．小雅．四牡》：「駕彼四駱，載驟駸駸。」唐．韓愈〈南山〉詩：「或翩若船遊，或決若馬驟。」
2.泛指奔馳。《莊子．齊物論》：「麋鹿見之決驟。」
[副]
1.常常、屢次。《左傳．宣公二年》：「宣子驟諫，公患之。」《呂氏春秋．離俗覽．適威》：「驟戰而驟勝。」
2.忽然、突然。如：「驟變」、「驟然」、「驟發事件」。
3.迅速。《左傳．成公十八年》：「杞伯於是驟朝于晉而請為昏。」唐．白行簡《李娃傳》：「郎驟往覘之，某當繼至。」
[形]
急速。如：「狂風驟雨」。宋．李清照〈如夢令．昨夜雨疏風驟〉詞：「昨夜雨疏風驟，濃睡不消殘酒。」 |</v>
      </c>
    </row>
    <row r="11143" spans="1:44" hidden="1">
      <c r="A11143" s="1" t="s">
        <v>22489</v>
      </c>
      <c r="C11143" s="1">
        <v>1</v>
      </c>
      <c r="D11143" s="1" t="str">
        <f>"09528"</f>
        <v>09528</v>
      </c>
      <c r="E11143" s="1" t="s">
        <v>4563</v>
      </c>
      <c r="F11143" s="1">
        <v>7</v>
      </c>
      <c r="G11143" s="1">
        <v>0</v>
      </c>
      <c r="H11143" s="1">
        <v>0</v>
      </c>
      <c r="I11143" s="1" t="s">
        <v>22490</v>
      </c>
      <c r="K11143" s="1" t="str">
        <f t="shared" si="695"/>
        <v>ㄗ</v>
      </c>
      <c r="L11143" s="1" t="str">
        <f t="shared" si="696"/>
        <v>ㄡ</v>
      </c>
      <c r="N11143" s="3" t="s">
        <v>30576</v>
      </c>
      <c r="O11143" s="3"/>
      <c r="P11143" s="1" t="s">
        <v>20</v>
      </c>
      <c r="R11143" s="1" t="s">
        <v>22491</v>
      </c>
      <c r="V11143" s="1" t="s">
        <v>22492</v>
      </c>
      <c r="AR11143" s="1" t="str">
        <f t="shared" si="697"/>
        <v>| [ㄗㄡˇ](ㄗㄡˇ.md) | [走](走.md) |  | zǒu | [動]
1.疾行、奔跑。漢．劉熙《釋名．釋姿容》：「徐行曰步，疾行曰趨，……疾趨曰走。」如：「奔走」。《韓非子．五蠹》：「兔走觸株，折頸而死。」
2.步行。如：「走路」。《文選．張衡．西京賦》：「走索上而相逢。」
3.逃跑。如：「逃走」、「敗走」。《孟子．梁惠王上》：「填然鼓之，兵刃既接，棄甲曳兵而走。」
4.離開。如：「走開」、「我明天就要走了。」
5.洩漏。如：「走漏」、「走光」、「走電」。《水滸傳》第一八回：「三人大驚：『莫不走漏了消息，這件事發了？』」
6.接觸、交往。如：「他們兩家走得很勤。」
7.失去原來的形態。如：「走味」、「走樣」、「走調」。
8.移動、挪動。如：「拿走」、「我的錶走得很準。」、「這步棋走錯了。」
9.到處遊蕩。參見「走江湖」條。
10. 往、去。如：「走往」、「走訪」。
[形]
1.供行走的。如：「走道」。
2.供驅使的、供使役的。如：「販夫走卒」。
3.在陸地上行動的。如：「飛禽走獸」。
[名]
1.獸類的總稱。《文選．左思．吳都賦》：「窮飛走之栖宿。」
2.二一四部首之一。 |</v>
      </c>
    </row>
    <row r="11144" spans="1:44" hidden="1">
      <c r="A11144" s="1" t="s">
        <v>18489</v>
      </c>
      <c r="C11144" s="1">
        <v>1</v>
      </c>
      <c r="D11144" s="1" t="str">
        <f>"09548"</f>
        <v>09548</v>
      </c>
      <c r="E11144" s="1" t="s">
        <v>646</v>
      </c>
      <c r="F11144" s="1">
        <v>15</v>
      </c>
      <c r="G11144" s="1">
        <v>11</v>
      </c>
      <c r="H11144" s="1">
        <v>2</v>
      </c>
      <c r="I11144" s="1" t="s">
        <v>22543</v>
      </c>
      <c r="K11144" s="1" t="str">
        <f t="shared" si="695"/>
        <v>ㄗ</v>
      </c>
      <c r="L11144" s="1" t="str">
        <f t="shared" si="696"/>
        <v>ㄢ</v>
      </c>
      <c r="N11144" s="3" t="s">
        <v>30574</v>
      </c>
      <c r="O11144" s="3"/>
      <c r="P11144" s="1" t="s">
        <v>186</v>
      </c>
      <c r="R11144" s="1" t="s">
        <v>22544</v>
      </c>
      <c r="V11144" s="1" t="s">
        <v>206</v>
      </c>
      <c r="W11144" s="1" t="s">
        <v>22545</v>
      </c>
      <c r="AR11144" s="1" t="str">
        <f t="shared" si="697"/>
        <v>| [ㄗㄢˋ](ㄗㄢˋ.md) | [暫](暫.md) |  | zàn | (一)之讀音。 |</v>
      </c>
    </row>
    <row r="11145" spans="1:44" hidden="1">
      <c r="A11145" s="1" t="s">
        <v>18492</v>
      </c>
      <c r="C11145" s="1">
        <v>1</v>
      </c>
      <c r="D11145" s="1" t="str">
        <f>"09549"</f>
        <v>09549</v>
      </c>
      <c r="E11145" s="1" t="s">
        <v>77</v>
      </c>
      <c r="F11145" s="1">
        <v>18</v>
      </c>
      <c r="G11145" s="1">
        <v>11</v>
      </c>
      <c r="H11145" s="1">
        <v>2</v>
      </c>
      <c r="I11145" s="1" t="s">
        <v>22543</v>
      </c>
      <c r="K11145" s="1" t="str">
        <f t="shared" si="695"/>
        <v>ㄗ</v>
      </c>
      <c r="L11145" s="1" t="str">
        <f t="shared" si="696"/>
        <v>ㄢ</v>
      </c>
      <c r="N11145" s="3" t="s">
        <v>30574</v>
      </c>
      <c r="O11145" s="3"/>
      <c r="P11145" s="1" t="s">
        <v>186</v>
      </c>
      <c r="R11145" s="1" t="s">
        <v>22544</v>
      </c>
      <c r="V11145" s="1" t="s">
        <v>206</v>
      </c>
      <c r="W11145" s="1" t="s">
        <v>22546</v>
      </c>
      <c r="AR11145" s="1" t="str">
        <f t="shared" si="697"/>
        <v>| [ㄗㄢˋ](ㄗㄢˋ.md) | [蹔](蹔.md) |  | zàn | (一)之讀音。 |</v>
      </c>
    </row>
    <row r="11146" spans="1:44" hidden="1">
      <c r="A11146" s="1" t="s">
        <v>22547</v>
      </c>
      <c r="C11146" s="1">
        <v>1</v>
      </c>
      <c r="D11146" s="1" t="str">
        <f>"09550"</f>
        <v>09550</v>
      </c>
      <c r="E11146" s="1" t="s">
        <v>55</v>
      </c>
      <c r="F11146" s="1">
        <v>19</v>
      </c>
      <c r="G11146" s="1">
        <v>11</v>
      </c>
      <c r="H11146" s="1">
        <v>0</v>
      </c>
      <c r="I11146" s="1" t="s">
        <v>22543</v>
      </c>
      <c r="K11146" s="1" t="str">
        <f t="shared" si="695"/>
        <v>ㄗ</v>
      </c>
      <c r="L11146" s="1" t="str">
        <f t="shared" si="696"/>
        <v>ㄢ</v>
      </c>
      <c r="N11146" s="3" t="s">
        <v>30574</v>
      </c>
      <c r="O11146" s="3"/>
      <c r="P11146" s="1" t="s">
        <v>20</v>
      </c>
      <c r="R11146" s="1" t="s">
        <v>22544</v>
      </c>
      <c r="V11146" s="1" t="s">
        <v>22548</v>
      </c>
      <c r="AR11146" s="1" t="str">
        <f t="shared" si="697"/>
        <v>| [ㄗㄢˋ](ㄗㄢˋ.md) | [鏨](鏨.md) |  | zàn | [名]
鑿刻金石的工具。《說文解字．金部》：「鏨，小鑿也。」也稱為「鏨子」。
[動]
鐫刻、雕鑿。如：「鏨花」、「鏨字」。《紅樓夢》第六六回：「又將鴛鴦劍取出，……一把上面鏨一鴛字，一把上面鏨一鴦字。」《警世通言．卷一五．金令史美婢酬秀童》：「你家常常鏨鑿什麼東西？」 |</v>
      </c>
    </row>
    <row r="11147" spans="1:44" hidden="1">
      <c r="A11147" s="1" t="s">
        <v>22510</v>
      </c>
      <c r="C11147" s="1">
        <v>1</v>
      </c>
      <c r="D11147" s="1" t="str">
        <f>"09551"</f>
        <v>09551</v>
      </c>
      <c r="E11147" s="1" t="s">
        <v>49</v>
      </c>
      <c r="F11147" s="1">
        <v>17</v>
      </c>
      <c r="G11147" s="1">
        <v>11</v>
      </c>
      <c r="H11147" s="1">
        <v>3</v>
      </c>
      <c r="I11147" s="1" t="s">
        <v>22543</v>
      </c>
      <c r="K11147" s="1" t="str">
        <f t="shared" si="695"/>
        <v>ㄗ</v>
      </c>
      <c r="L11147" s="1" t="str">
        <f t="shared" si="696"/>
        <v>ㄢ</v>
      </c>
      <c r="N11147" s="3" t="s">
        <v>30574</v>
      </c>
      <c r="O11147" s="3"/>
      <c r="P11147" s="1" t="s">
        <v>20</v>
      </c>
      <c r="R11147" s="1" t="s">
        <v>22544</v>
      </c>
      <c r="V11147" s="1" t="s">
        <v>22549</v>
      </c>
      <c r="W11147" s="1" t="s">
        <v>22550</v>
      </c>
      <c r="AR11147" s="1" t="str">
        <f t="shared" si="697"/>
        <v>| [ㄗㄢˋ](ㄗㄢˋ.md) | [篸](篸.md) |  | zàn | [動]
綴、插。北周．庾信〈入道士館〉詩：「野衣縫蕙葉，山巾篸筍皮。」宋．黃庭堅〈南鄉子．諸將說封侯〉詞：「花向老人頭上笑，羞羞。白髮篸花不解愁。」 |</v>
      </c>
    </row>
    <row r="11148" spans="1:44" hidden="1">
      <c r="A11148" s="1" t="s">
        <v>22551</v>
      </c>
      <c r="C11148" s="1">
        <v>1</v>
      </c>
      <c r="D11148" s="1" t="str">
        <f>"09552"</f>
        <v>09552</v>
      </c>
      <c r="E11148" s="1" t="s">
        <v>505</v>
      </c>
      <c r="F11148" s="1">
        <v>19</v>
      </c>
      <c r="G11148" s="1">
        <v>12</v>
      </c>
      <c r="H11148" s="1">
        <v>0</v>
      </c>
      <c r="I11148" s="1" t="s">
        <v>22543</v>
      </c>
      <c r="K11148" s="1" t="str">
        <f t="shared" si="695"/>
        <v>ㄗ</v>
      </c>
      <c r="L11148" s="1" t="str">
        <f t="shared" si="696"/>
        <v>ㄢ</v>
      </c>
      <c r="N11148" s="3" t="s">
        <v>30574</v>
      </c>
      <c r="O11148" s="3"/>
      <c r="P11148" s="1" t="s">
        <v>20</v>
      </c>
      <c r="R11148" s="1" t="s">
        <v>22544</v>
      </c>
      <c r="V11148" s="1" t="s">
        <v>22552</v>
      </c>
      <c r="AR11148" s="1" t="str">
        <f t="shared" si="697"/>
        <v>| [ㄗㄢˋ](ㄗㄢˋ.md) | [贊](贊.md) |  | zàn | [動]
1.謁見。《說文解字．貝部》：「贊，見也。」《漢書．卷七八．蕭望之傳》：「其以客禮待之，令單于位在諸侯王上，贊謁稱臣而不名。」
2.佐助、輔導。如：「贊助」。《左傳．襄公二十七年》：「大叔儀不貳，能贊大事。」《禮記．中庸》：「可以贊天地之化育。」
3.引導。《國語．周語上》：「太史贊王，王敬從之。」
4.推薦。《禮記．月令》：「命太尉贊桀俊，遂賢良，舉長大。」《漢書．卷六五．東方朔傳》：「朔自贊曰：『臣嘗受易，請射之。』」
5.告訴、介紹。《史記．卷七七．魏公子傳》：「公子引侯生坐上坐，遍贊賓客，賓客皆驚。」
6.同意。如：「贊同」。
7.頌揚、稱美。通「讚」。《三國志．卷一八．魏書．許褚傳》：「帝思褚忠孝，下詔褒贊。」《紅樓夢》第五六回：「我才贊你，你倒來捉弄我了。」
8.參與。《史記．卷四七．孔子世家》：「至於為春秋，筆則筆，削則削，子夏之徒不能贊一辭。」
[名]
文體名。以稱述評論為主，分雜贊、哀贊、史贊三種。如夏侯湛有〈東方朔畫贊〉、袁宏有〈三國名臣序贊〉。《南史．卷八．梁元帝本紀》：「自圖宣尼像，為之贊而書之。」 |</v>
      </c>
    </row>
    <row r="11149" spans="1:44" hidden="1">
      <c r="A11149" s="1" t="s">
        <v>22553</v>
      </c>
      <c r="C11149" s="1">
        <v>1</v>
      </c>
      <c r="D11149" s="1" t="str">
        <f>"09553"</f>
        <v>09553</v>
      </c>
      <c r="E11149" s="1" t="s">
        <v>28</v>
      </c>
      <c r="F11149" s="1">
        <v>22</v>
      </c>
      <c r="G11149" s="1">
        <v>19</v>
      </c>
      <c r="H11149" s="1">
        <v>0</v>
      </c>
      <c r="I11149" s="1" t="s">
        <v>22543</v>
      </c>
      <c r="K11149" s="1" t="str">
        <f t="shared" si="695"/>
        <v>ㄗ</v>
      </c>
      <c r="L11149" s="1" t="str">
        <f t="shared" si="696"/>
        <v>ㄢ</v>
      </c>
      <c r="N11149" s="3" t="s">
        <v>30574</v>
      </c>
      <c r="O11149" s="3"/>
      <c r="P11149" s="1" t="s">
        <v>20</v>
      </c>
      <c r="R11149" s="1" t="s">
        <v>22544</v>
      </c>
      <c r="V11149" s="1" t="s">
        <v>22554</v>
      </c>
      <c r="AR11149" s="1" t="str">
        <f t="shared" si="697"/>
        <v>| [ㄗㄢˋ](ㄗㄢˋ.md) | [囋](囋.md) |  | zàn | [形]
言語繁瑣無節制。《荀子．勸學》：「故不問而告謂之傲，問一而告二謂之囋。」王先謙集解引郝懿行曰：「囋者，嘈囋謂語聲繁碎也。」宋．可旻〈漁家傲．我佛蓮華隨步踏〉詞：「水鳥樹林皆念法，聲嘈囋，空中零亂天華撒。」 |</v>
      </c>
    </row>
    <row r="11150" spans="1:44" hidden="1">
      <c r="A11150" s="1" t="s">
        <v>22555</v>
      </c>
      <c r="C11150" s="1">
        <v>1</v>
      </c>
      <c r="D11150" s="1" t="str">
        <f>"09554"</f>
        <v>09554</v>
      </c>
      <c r="E11150" s="1" t="s">
        <v>256</v>
      </c>
      <c r="F11150" s="1">
        <v>22</v>
      </c>
      <c r="G11150" s="1">
        <v>19</v>
      </c>
      <c r="H11150" s="1">
        <v>0</v>
      </c>
      <c r="I11150" s="1" t="s">
        <v>22543</v>
      </c>
      <c r="K11150" s="1" t="str">
        <f t="shared" si="695"/>
        <v>ㄗ</v>
      </c>
      <c r="L11150" s="1" t="str">
        <f t="shared" si="696"/>
        <v>ㄢ</v>
      </c>
      <c r="N11150" s="3" t="s">
        <v>30574</v>
      </c>
      <c r="O11150" s="3"/>
      <c r="P11150" s="1" t="s">
        <v>20</v>
      </c>
      <c r="R11150" s="1" t="s">
        <v>22544</v>
      </c>
      <c r="V11150" s="1" t="s">
        <v>22556</v>
      </c>
      <c r="AR11150" s="1" t="str">
        <f t="shared" si="697"/>
        <v>| [ㄗㄢˋ](ㄗㄢˋ.md) | [酇](酇.md) |  | zàn | [名]
1.周代地方行政組織之一，百家聚居一處稱為「酇」。《周禮．地官．遂人》：「五家為鄰，五鄰為里，四里為酇。」
2.縣名。漢置，南朝梁時廢，約在今大陸地區湖北省光化縣舊縣北。 |</v>
      </c>
    </row>
    <row r="11151" spans="1:44" hidden="1">
      <c r="A11151" s="1" t="s">
        <v>22557</v>
      </c>
      <c r="C11151" s="1">
        <v>1</v>
      </c>
      <c r="D11151" s="1" t="str">
        <f>"09555"</f>
        <v>09555</v>
      </c>
      <c r="E11151" s="1" t="s">
        <v>142</v>
      </c>
      <c r="F11151" s="1">
        <v>23</v>
      </c>
      <c r="G11151" s="1">
        <v>19</v>
      </c>
      <c r="H11151" s="1">
        <v>0</v>
      </c>
      <c r="I11151" s="1" t="s">
        <v>22543</v>
      </c>
      <c r="K11151" s="1" t="str">
        <f t="shared" si="695"/>
        <v>ㄗ</v>
      </c>
      <c r="L11151" s="1" t="str">
        <f t="shared" si="696"/>
        <v>ㄢ</v>
      </c>
      <c r="N11151" s="3" t="s">
        <v>30574</v>
      </c>
      <c r="O11151" s="3"/>
      <c r="P11151" s="1" t="s">
        <v>20</v>
      </c>
      <c r="R11151" s="1" t="s">
        <v>22544</v>
      </c>
      <c r="V11151" s="1" t="s">
        <v>22558</v>
      </c>
      <c r="AR11151" s="1" t="str">
        <f t="shared" si="697"/>
        <v>| [ㄗㄢˋ](ㄗㄢˋ.md) | [瓚](瓚.md) |  | zàn | [名]
1.含有雜質的玉。《周禮．冬官考工記．玉人》：「天子用全，上公用龍，侯用瓚，伯用將。」
2.古代祭禮中用來舀酒的玉勺。《詩經．大雅．旱麓》：「瑟彼玉瓚，黃流在中。」《左傳．昭公十七年》：「若我用瓘斝玉瓚，鄭必不火。」 |</v>
      </c>
    </row>
    <row r="11152" spans="1:44" hidden="1">
      <c r="A11152" s="1" t="s">
        <v>22559</v>
      </c>
      <c r="C11152" s="1">
        <v>1</v>
      </c>
      <c r="D11152" s="1" t="str">
        <f>"09556"</f>
        <v>09556</v>
      </c>
      <c r="E11152" s="1" t="s">
        <v>331</v>
      </c>
      <c r="F11152" s="1">
        <v>26</v>
      </c>
      <c r="G11152" s="1">
        <v>19</v>
      </c>
      <c r="H11152" s="1">
        <v>0</v>
      </c>
      <c r="I11152" s="1" t="s">
        <v>22543</v>
      </c>
      <c r="K11152" s="1" t="str">
        <f t="shared" si="695"/>
        <v>ㄗ</v>
      </c>
      <c r="L11152" s="1" t="str">
        <f t="shared" si="696"/>
        <v>ㄢ</v>
      </c>
      <c r="N11152" s="3" t="s">
        <v>30574</v>
      </c>
      <c r="O11152" s="3"/>
      <c r="P11152" s="1" t="s">
        <v>20</v>
      </c>
      <c r="R11152" s="1" t="s">
        <v>22544</v>
      </c>
      <c r="V11152" s="1" t="s">
        <v>22560</v>
      </c>
      <c r="AR11152" s="1" t="str">
        <f t="shared" si="697"/>
        <v>| [ㄗㄢˋ](ㄗㄢˋ.md) | [讚](讚.md) |  | zàn | [動]
1.稱美、頌揚。如：「讚不絕口」。《鏡花緣》第三八回：「越看越愛，不覺讚好。」
2.佐助。通「贊」。《文選．潘岳．為賈謐贈陸機》：「齊轡群龍，光讚納言。」《文選．丘遲．與陳伯之書》：「佩紫懷黃，讚帷幄之謀。」
[名]
文體名。旨在稱頌人物功德事蹟。通「贊」。《後漢書．卷六〇．蔡邕傳》：「所著詩、賦、碑、誄、銘、讚、連珠……凡百四篇，傳於世。」 |</v>
      </c>
    </row>
    <row r="11153" spans="1:44" hidden="1">
      <c r="A11153" s="1" t="s">
        <v>22278</v>
      </c>
      <c r="C11153" s="1">
        <v>1</v>
      </c>
      <c r="D11153" s="1" t="str">
        <f>"09536"</f>
        <v>09536</v>
      </c>
      <c r="E11153" s="1" t="s">
        <v>28</v>
      </c>
      <c r="F11153" s="1">
        <v>9</v>
      </c>
      <c r="G11153" s="1">
        <v>6</v>
      </c>
      <c r="H11153" s="1">
        <v>1</v>
      </c>
      <c r="I11153" s="1" t="s">
        <v>22513</v>
      </c>
      <c r="K11153" s="1" t="str">
        <f t="shared" si="695"/>
        <v>ㄗ</v>
      </c>
      <c r="L11153" s="1" t="str">
        <f t="shared" si="696"/>
        <v>ㄢ</v>
      </c>
      <c r="N11153" s="3" t="s">
        <v>30575</v>
      </c>
      <c r="O11153" s="3"/>
      <c r="P11153" s="1" t="s">
        <v>20</v>
      </c>
      <c r="R11153" s="1" t="s">
        <v>22514</v>
      </c>
      <c r="V11153" s="1" t="s">
        <v>22515</v>
      </c>
      <c r="W11153" s="1" t="s">
        <v>22516</v>
      </c>
      <c r="AR11153" s="1" t="str">
        <f t="shared" si="697"/>
        <v>| [ㄗㄢˊ](ㄗㄢˊ.md) | [咱](咱.md) |  | zán | [代]
1.我。元．楊梓《豫讓吞炭》第二折：「今早智氏對咱說，……韓魏有反意。」《鏡花緣》第五四回：「紅女道：『咱姓顏，不知誰是小山姐姐？』」
2.我們，包括聽話者。《前漢書平話．卷上》：「咱眾官員就此處買馬積草，共謀奪劉氏江山。」《兒女英雄傳》第二七回：「咱爺兒兩的交情就說不到個借字兒、還字兒。」 |</v>
      </c>
    </row>
    <row r="11154" spans="1:44" hidden="1">
      <c r="A11154" s="1" t="s">
        <v>22283</v>
      </c>
      <c r="C11154" s="1">
        <v>1</v>
      </c>
      <c r="D11154" s="1" t="str">
        <f>"09537"</f>
        <v>09537</v>
      </c>
      <c r="E11154" s="1" t="s">
        <v>114</v>
      </c>
      <c r="F11154" s="1">
        <v>11</v>
      </c>
      <c r="G11154" s="1">
        <v>9</v>
      </c>
      <c r="H11154" s="1">
        <v>1</v>
      </c>
      <c r="I11154" s="1" t="s">
        <v>22513</v>
      </c>
      <c r="K11154" s="1" t="str">
        <f t="shared" si="695"/>
        <v>ㄗ</v>
      </c>
      <c r="L11154" s="1" t="str">
        <f t="shared" si="696"/>
        <v>ㄢ</v>
      </c>
      <c r="N11154" s="3" t="s">
        <v>30575</v>
      </c>
      <c r="O11154" s="3"/>
      <c r="P11154" s="1" t="s">
        <v>20</v>
      </c>
      <c r="R11154" s="1" t="s">
        <v>22514</v>
      </c>
      <c r="V11154" s="1" t="s">
        <v>22517</v>
      </c>
      <c r="W11154" s="1" t="s">
        <v>22518</v>
      </c>
      <c r="AR11154" s="1" t="str">
        <f t="shared" si="697"/>
        <v>| [ㄗㄢˊ](ㄗㄢˊ.md) | [偺](偺.md) |  | zán | [代]
我。同「咱」(一)。《兒女英雄傳》第四回：「你不聽這個，偺唱個好的。」 |</v>
      </c>
    </row>
    <row r="11155" spans="1:44" hidden="1">
      <c r="A11155" s="1" t="s">
        <v>22286</v>
      </c>
      <c r="C11155" s="1">
        <v>1</v>
      </c>
      <c r="D11155" s="1" t="str">
        <f>"09538"</f>
        <v>09538</v>
      </c>
      <c r="E11155" s="1" t="s">
        <v>28</v>
      </c>
      <c r="F11155" s="1">
        <v>12</v>
      </c>
      <c r="G11155" s="1">
        <v>9</v>
      </c>
      <c r="H11155" s="1">
        <v>1</v>
      </c>
      <c r="I11155" s="1" t="s">
        <v>22513</v>
      </c>
      <c r="K11155" s="1" t="str">
        <f t="shared" si="695"/>
        <v>ㄗ</v>
      </c>
      <c r="L11155" s="1" t="str">
        <f t="shared" si="696"/>
        <v>ㄢ</v>
      </c>
      <c r="N11155" s="3" t="s">
        <v>30575</v>
      </c>
      <c r="O11155" s="3"/>
      <c r="P11155" s="1" t="s">
        <v>20</v>
      </c>
      <c r="R11155" s="1" t="s">
        <v>22514</v>
      </c>
      <c r="V11155" s="1" t="s">
        <v>22519</v>
      </c>
      <c r="W11155" s="1" t="s">
        <v>22520</v>
      </c>
      <c r="AR11155" s="1" t="str">
        <f t="shared" si="697"/>
        <v>| [ㄗㄢˊ](ㄗㄢˊ.md) | [喒](喒.md) |  | zán | [代]
我。同「咱」(一)。《警世通言．卷三二．杜十娘怒沉百寶箱》：「娘叫喒去尋你，是必同去走一遭。」 |</v>
      </c>
    </row>
    <row r="11156" spans="1:44" hidden="1">
      <c r="A11156" s="1" t="s">
        <v>22521</v>
      </c>
      <c r="C11156" s="1">
        <v>1</v>
      </c>
      <c r="D11156" s="1" t="str">
        <f>"09539"</f>
        <v>09539</v>
      </c>
      <c r="E11156" s="1" t="s">
        <v>46</v>
      </c>
      <c r="F11156" s="1">
        <v>15</v>
      </c>
      <c r="G11156" s="1">
        <v>9</v>
      </c>
      <c r="H11156" s="1">
        <v>0</v>
      </c>
      <c r="I11156" s="1" t="s">
        <v>22513</v>
      </c>
      <c r="K11156" s="1" t="str">
        <f t="shared" si="695"/>
        <v>ㄗ</v>
      </c>
      <c r="L11156" s="1" t="str">
        <f t="shared" si="696"/>
        <v>ㄢ</v>
      </c>
      <c r="N11156" s="3" t="s">
        <v>30575</v>
      </c>
      <c r="O11156" s="3"/>
      <c r="P11156" s="1" t="s">
        <v>20</v>
      </c>
      <c r="R11156" s="1" t="s">
        <v>22514</v>
      </c>
      <c r="V11156" s="1" t="s">
        <v>22522</v>
      </c>
      <c r="AR11156" s="1" t="str">
        <f t="shared" si="697"/>
        <v>| [ㄗㄢˊ](ㄗㄢˊ.md) | [糌](糌.md) |  | zán | 參見「糌粑」條。 |</v>
      </c>
    </row>
    <row r="11157" spans="1:44" hidden="1">
      <c r="A11157" s="1" t="s">
        <v>22273</v>
      </c>
      <c r="C11157" s="1">
        <v>1</v>
      </c>
      <c r="D11157" s="1" t="str">
        <f>"09540"</f>
        <v>09540</v>
      </c>
      <c r="E11157" s="1" t="s">
        <v>24</v>
      </c>
      <c r="F11157" s="1">
        <v>9</v>
      </c>
      <c r="G11157" s="1">
        <v>6</v>
      </c>
      <c r="H11157" s="1">
        <v>2</v>
      </c>
      <c r="I11157" s="1" t="s">
        <v>22523</v>
      </c>
      <c r="K11157" s="1" t="str">
        <f t="shared" si="695"/>
        <v>ㄗ</v>
      </c>
      <c r="L11157" s="1" t="str">
        <f t="shared" si="696"/>
        <v>ㄢ</v>
      </c>
      <c r="N11157" s="3" t="s">
        <v>30576</v>
      </c>
      <c r="O11157" s="3"/>
      <c r="P11157" s="1" t="s">
        <v>20</v>
      </c>
      <c r="R11157" s="1" t="s">
        <v>22524</v>
      </c>
      <c r="V11157" s="1" t="s">
        <v>22525</v>
      </c>
      <c r="W11157" s="1" t="s">
        <v>22526</v>
      </c>
      <c r="AR11157" s="1" t="str">
        <f t="shared" si="697"/>
        <v>| [ㄗㄢˇ](ㄗㄢˇ.md) | [拶](拶.md) |  | zǎn | [動]
古代的一種刑罰。以木條用力夾指。明．姚茂良《精忠記》第一八齣：「叫你打，著實打；叫你拶，著實拶。若有容情，一概問罪。」清．孔尚任《桃花扇》第一七齣：「楊老爺新做了禮部，連你們官兒都管的著，明日拿去拶掉你指頭。」 |</v>
      </c>
    </row>
    <row r="11158" spans="1:44" hidden="1">
      <c r="A11158" s="1" t="s">
        <v>22527</v>
      </c>
      <c r="C11158" s="1">
        <v>1</v>
      </c>
      <c r="D11158" s="1" t="str">
        <f>"09541"</f>
        <v>09541</v>
      </c>
      <c r="E11158" s="1" t="s">
        <v>646</v>
      </c>
      <c r="F11158" s="1">
        <v>9</v>
      </c>
      <c r="G11158" s="1">
        <v>5</v>
      </c>
      <c r="H11158" s="1">
        <v>0</v>
      </c>
      <c r="I11158" s="1" t="s">
        <v>22523</v>
      </c>
      <c r="K11158" s="1" t="str">
        <f t="shared" si="695"/>
        <v>ㄗ</v>
      </c>
      <c r="L11158" s="1" t="str">
        <f t="shared" si="696"/>
        <v>ㄢ</v>
      </c>
      <c r="N11158" s="3" t="s">
        <v>30576</v>
      </c>
      <c r="O11158" s="3"/>
      <c r="P11158" s="1" t="s">
        <v>20</v>
      </c>
      <c r="R11158" s="1" t="s">
        <v>22524</v>
      </c>
      <c r="V11158" s="1" t="s">
        <v>22528</v>
      </c>
      <c r="AR11158" s="1" t="str">
        <f t="shared" si="697"/>
        <v>| [ㄗㄢˇ](ㄗㄢˇ.md) | [昝](昝.md) |  | zǎn | [名]
姓。如明代有昝學易。 |</v>
      </c>
    </row>
    <row r="11159" spans="1:44" hidden="1">
      <c r="A11159" s="1" t="s">
        <v>22529</v>
      </c>
      <c r="C11159" s="1">
        <v>1</v>
      </c>
      <c r="D11159" s="1" t="str">
        <f>"09542"</f>
        <v>09542</v>
      </c>
      <c r="E11159" s="1" t="s">
        <v>624</v>
      </c>
      <c r="F11159" s="1">
        <v>11</v>
      </c>
      <c r="G11159" s="1">
        <v>8</v>
      </c>
      <c r="H11159" s="1">
        <v>0</v>
      </c>
      <c r="I11159" s="1" t="s">
        <v>22523</v>
      </c>
      <c r="K11159" s="1" t="str">
        <f t="shared" si="695"/>
        <v>ㄗ</v>
      </c>
      <c r="L11159" s="1" t="str">
        <f t="shared" si="696"/>
        <v>ㄢ</v>
      </c>
      <c r="N11159" s="3" t="s">
        <v>30576</v>
      </c>
      <c r="O11159" s="3"/>
      <c r="P11159" s="1" t="s">
        <v>20</v>
      </c>
      <c r="R11159" s="1" t="s">
        <v>22524</v>
      </c>
      <c r="V11159" s="1" t="s">
        <v>22530</v>
      </c>
      <c r="AR11159" s="1" t="str">
        <f t="shared" si="697"/>
        <v>| [ㄗㄢˇ](ㄗㄢˇ.md) | [寁](寁.md) |  | zǎn | [形]
疾速、快速。《詩經．鄭風．遵大路》：「無我惡兮，不寁故也。」 |</v>
      </c>
    </row>
    <row r="11160" spans="1:44" hidden="1">
      <c r="A11160" s="1" t="s">
        <v>22531</v>
      </c>
      <c r="C11160" s="1">
        <v>1</v>
      </c>
      <c r="D11160" s="1" t="str">
        <f>"09543"</f>
        <v>09543</v>
      </c>
      <c r="E11160" s="1" t="s">
        <v>28</v>
      </c>
      <c r="F11160" s="1">
        <v>15</v>
      </c>
      <c r="G11160" s="1">
        <v>12</v>
      </c>
      <c r="H11160" s="1">
        <v>0</v>
      </c>
      <c r="I11160" s="1" t="s">
        <v>22523</v>
      </c>
      <c r="K11160" s="1" t="str">
        <f t="shared" si="695"/>
        <v>ㄗ</v>
      </c>
      <c r="L11160" s="1" t="str">
        <f t="shared" si="696"/>
        <v>ㄢ</v>
      </c>
      <c r="N11160" s="3" t="s">
        <v>30576</v>
      </c>
      <c r="O11160" s="3"/>
      <c r="P11160" s="1" t="s">
        <v>20</v>
      </c>
      <c r="R11160" s="1" t="s">
        <v>22524</v>
      </c>
      <c r="V11160" s="1" t="s">
        <v>22532</v>
      </c>
      <c r="AR11160" s="1" t="str">
        <f t="shared" si="697"/>
        <v>| [ㄗㄢˇ](ㄗㄢˇ.md) | [噆](噆.md) |  | zǎn | [動]
1.銜、含。《淮南子．覽冥》：「榛薄，食薦梅，噆味含甘。」
2.叮、咬。《莊子．天運》：「蚊虻噆膚，則通昔不寐矣。」唐．元稹〈蟻子〉詩三首之二：「攻穿漏江海，噆食困蛟鯨。」 |</v>
      </c>
    </row>
    <row r="11161" spans="1:44" hidden="1">
      <c r="A11161" s="1" t="s">
        <v>22533</v>
      </c>
      <c r="C11161" s="1">
        <v>1</v>
      </c>
      <c r="D11161" s="1" t="str">
        <f>"09544"</f>
        <v>09544</v>
      </c>
      <c r="E11161" s="1" t="s">
        <v>114</v>
      </c>
      <c r="F11161" s="1">
        <v>21</v>
      </c>
      <c r="G11161" s="1">
        <v>19</v>
      </c>
      <c r="H11161" s="1">
        <v>0</v>
      </c>
      <c r="I11161" s="1" t="s">
        <v>22523</v>
      </c>
      <c r="K11161" s="1" t="str">
        <f t="shared" si="695"/>
        <v>ㄗ</v>
      </c>
      <c r="L11161" s="1" t="str">
        <f t="shared" si="696"/>
        <v>ㄢ</v>
      </c>
      <c r="N11161" s="3" t="s">
        <v>30576</v>
      </c>
      <c r="O11161" s="3"/>
      <c r="P11161" s="1" t="s">
        <v>20</v>
      </c>
      <c r="R11161" s="1" t="s">
        <v>22524</v>
      </c>
      <c r="V11161" s="1" t="s">
        <v>22534</v>
      </c>
      <c r="AR11161" s="1" t="str">
        <f t="shared" si="697"/>
        <v>| [ㄗㄢˇ](ㄗㄢˇ.md) | [儹](儹.md) |  | zǎn | [動]
聚集、積蓄。漢．揚雄〈覈靈賦〉：「文王之始起，浸仁漸義，會賢儹智。」元．無名氏《爭報恩》第一折：「儹得黃金盛，重將寶劍磨。」 |</v>
      </c>
    </row>
    <row r="11162" spans="1:44" hidden="1">
      <c r="A11162" s="1" t="s">
        <v>22535</v>
      </c>
      <c r="C11162" s="1">
        <v>1</v>
      </c>
      <c r="D11162" s="1" t="str">
        <f>"09545"</f>
        <v>09545</v>
      </c>
      <c r="E11162" s="1" t="s">
        <v>24</v>
      </c>
      <c r="F11162" s="1">
        <v>22</v>
      </c>
      <c r="G11162" s="1">
        <v>19</v>
      </c>
      <c r="H11162" s="1">
        <v>1</v>
      </c>
      <c r="I11162" s="1" t="s">
        <v>22523</v>
      </c>
      <c r="K11162" s="1" t="str">
        <f t="shared" si="695"/>
        <v>ㄗ</v>
      </c>
      <c r="L11162" s="1" t="str">
        <f t="shared" si="696"/>
        <v>ㄢ</v>
      </c>
      <c r="N11162" s="3" t="s">
        <v>30576</v>
      </c>
      <c r="O11162" s="3"/>
      <c r="P11162" s="1" t="s">
        <v>20</v>
      </c>
      <c r="R11162" s="1" t="s">
        <v>22524</v>
      </c>
      <c r="V11162" s="1" t="s">
        <v>22536</v>
      </c>
      <c r="W11162" s="1" t="s">
        <v>22537</v>
      </c>
      <c r="AR11162" s="1" t="str">
        <f t="shared" si="697"/>
        <v>| [ㄗㄢˇ](ㄗㄢˇ.md) | [攢](攢.md) |  | zǎn | [動]
積蓄、儲蓄。《紅樓夢》第二七回：「他就抱怨起來，說我攢的錢為什麼給你使？倒不給環兒使呢？」《老殘遊記》第一四回：「我就一兩個月攢個三千兩吊的給他寄來。」 |</v>
      </c>
    </row>
    <row r="11163" spans="1:44" hidden="1">
      <c r="A11163" s="1" t="s">
        <v>22538</v>
      </c>
      <c r="C11163" s="1">
        <v>1</v>
      </c>
      <c r="D11163" s="1" t="str">
        <f>"09546"</f>
        <v>09546</v>
      </c>
      <c r="E11163" s="1" t="s">
        <v>4563</v>
      </c>
      <c r="F11163" s="1">
        <v>26</v>
      </c>
      <c r="G11163" s="1">
        <v>19</v>
      </c>
      <c r="H11163" s="1">
        <v>0</v>
      </c>
      <c r="I11163" s="1" t="s">
        <v>22523</v>
      </c>
      <c r="K11163" s="1" t="str">
        <f t="shared" si="695"/>
        <v>ㄗ</v>
      </c>
      <c r="L11163" s="1" t="str">
        <f t="shared" si="696"/>
        <v>ㄢ</v>
      </c>
      <c r="N11163" s="3" t="s">
        <v>30576</v>
      </c>
      <c r="O11163" s="3"/>
      <c r="P11163" s="1" t="s">
        <v>20</v>
      </c>
      <c r="R11163" s="1" t="s">
        <v>22524</v>
      </c>
      <c r="V11163" s="1" t="s">
        <v>22539</v>
      </c>
      <c r="AR11163" s="1" t="str">
        <f t="shared" si="697"/>
        <v>| [ㄗㄢˇ](ㄗㄢˇ.md) | [趲](趲.md) |  | zǎn | [動]
1.逼趕、催促。宋．趙師俠〈酹江月．丙午螺川〉詞：「趲柳催花，摧紅長翠，多少風和雨。」《兒女英雄傳》第五回：「公子只得催著牲口，趲向前去。」
2.用、使。《儒林外史》第四九回：「他若是趲一個勁，那怕幾千斤的石塊，打落在他頭上、身上，他會絲毫不覺得。」
3.積聚。通「攢」。《西遊記》第六八回：「（那獃子）跳起來道：『哥哥！這遭我擾你，待下次趲錢，我也請你回席。』」《警世通言．卷二八．白娘子永鎮雷峰塔》：「丈夫，可知小舅要娶老婆，原來自趲得些私房。」 |</v>
      </c>
    </row>
    <row r="11164" spans="1:44" hidden="1">
      <c r="A11164" s="1" t="s">
        <v>22540</v>
      </c>
      <c r="C11164" s="1">
        <v>1</v>
      </c>
      <c r="D11164" s="1" t="str">
        <f>"09547"</f>
        <v>09547</v>
      </c>
      <c r="E11164" s="1" t="s">
        <v>1078</v>
      </c>
      <c r="F11164" s="1">
        <v>29</v>
      </c>
      <c r="G11164" s="1">
        <v>19</v>
      </c>
      <c r="H11164" s="1">
        <v>2</v>
      </c>
      <c r="I11164" s="1" t="s">
        <v>22523</v>
      </c>
      <c r="K11164" s="1" t="str">
        <f t="shared" si="695"/>
        <v>ㄗ</v>
      </c>
      <c r="L11164" s="1" t="str">
        <f t="shared" si="696"/>
        <v>ㄢ</v>
      </c>
      <c r="N11164" s="3" t="s">
        <v>30576</v>
      </c>
      <c r="O11164" s="3"/>
      <c r="P11164" s="1" t="s">
        <v>20</v>
      </c>
      <c r="R11164" s="1" t="s">
        <v>22524</v>
      </c>
      <c r="V11164" s="1" t="s">
        <v>22541</v>
      </c>
      <c r="W11164" s="1" t="s">
        <v>22542</v>
      </c>
      <c r="AR11164" s="1" t="str">
        <f t="shared" si="697"/>
        <v>| [ㄗㄢˇ](ㄗㄢˇ.md) | [䰖](䰖.md) |  | zǎn | [形]
頭髮有光澤。《字彙．髟部》：「䰖，髮光澤。」 |</v>
      </c>
    </row>
    <row r="11165" spans="1:44" hidden="1">
      <c r="A11165" s="1" t="s">
        <v>22568</v>
      </c>
      <c r="C11165" s="1">
        <v>1</v>
      </c>
      <c r="D11165" s="1" t="str">
        <f>"09559"</f>
        <v>09559</v>
      </c>
      <c r="E11165" s="1" t="s">
        <v>331</v>
      </c>
      <c r="F11165" s="1">
        <v>19</v>
      </c>
      <c r="G11165" s="1">
        <v>12</v>
      </c>
      <c r="H11165" s="1">
        <v>0</v>
      </c>
      <c r="I11165" s="1" t="s">
        <v>22569</v>
      </c>
      <c r="K11165" s="1" t="str">
        <f t="shared" si="695"/>
        <v>ㄗ</v>
      </c>
      <c r="L11165" s="1" t="str">
        <f t="shared" si="696"/>
        <v>ㄣ</v>
      </c>
      <c r="N11165" s="3" t="s">
        <v>30574</v>
      </c>
      <c r="O11165" s="3"/>
      <c r="P11165" s="1" t="s">
        <v>20</v>
      </c>
      <c r="R11165" s="1" t="s">
        <v>22570</v>
      </c>
      <c r="V11165" s="1" t="s">
        <v>22571</v>
      </c>
      <c r="AR11165" s="1" t="str">
        <f t="shared" si="697"/>
        <v>| [ㄗㄣˋ](ㄗㄣˋ.md) | [譖](譖.md) |  | zèn | [動]
毀謗、誣陷。《公羊傳．莊公元年》：「夫人譖公於齊侯。」唐．柳宗元〈罵尸蟲文〉：「譖下謾上，恆其心術，妒人之能，幸人之失。」 |</v>
      </c>
    </row>
    <row r="11166" spans="1:44" hidden="1">
      <c r="A11166" s="1" t="s">
        <v>22339</v>
      </c>
      <c r="C11166" s="1">
        <v>1</v>
      </c>
      <c r="D11166" s="1" t="str">
        <f>"09558"</f>
        <v>09558</v>
      </c>
      <c r="E11166" s="1" t="s">
        <v>250</v>
      </c>
      <c r="F11166" s="1">
        <v>9</v>
      </c>
      <c r="G11166" s="1">
        <v>5</v>
      </c>
      <c r="H11166" s="1">
        <v>1</v>
      </c>
      <c r="I11166" s="1" t="s">
        <v>22564</v>
      </c>
      <c r="K11166" s="1" t="str">
        <f t="shared" si="695"/>
        <v>ㄗ</v>
      </c>
      <c r="L11166" s="1" t="str">
        <f t="shared" si="696"/>
        <v>ㄣ</v>
      </c>
      <c r="N11166" s="3" t="s">
        <v>30576</v>
      </c>
      <c r="O11166" s="3"/>
      <c r="P11166" s="1" t="s">
        <v>20</v>
      </c>
      <c r="R11166" s="1" t="s">
        <v>22565</v>
      </c>
      <c r="V11166" s="1" t="s">
        <v>22566</v>
      </c>
      <c r="W11166" s="1" t="s">
        <v>22567</v>
      </c>
      <c r="AR11166" s="1" t="str">
        <f t="shared" si="697"/>
        <v>| [ㄗㄣˇ](ㄗㄣˇ.md) | [怎](怎.md) |  | zěn | [副]
如何。表疑問、詢問之意。如：「怎麼」、「怎說」、「怎想」。宋．李清照〈聲聲慢．尋尋覓覓〉詞：「這次第，怎一個愁字了得。」 |</v>
      </c>
    </row>
    <row r="11167" spans="1:44" hidden="1">
      <c r="A11167" s="1" t="s">
        <v>19211</v>
      </c>
      <c r="C11167" s="1">
        <v>1</v>
      </c>
      <c r="D11167" s="1" t="str">
        <f>"09567"</f>
        <v>09567</v>
      </c>
      <c r="E11167" s="1" t="s">
        <v>563</v>
      </c>
      <c r="F11167" s="1">
        <v>10</v>
      </c>
      <c r="G11167" s="1">
        <v>7</v>
      </c>
      <c r="H11167" s="1">
        <v>1</v>
      </c>
      <c r="I11167" s="1" t="s">
        <v>22591</v>
      </c>
      <c r="K11167" s="1" t="str">
        <f t="shared" si="695"/>
        <v>ㄗ</v>
      </c>
      <c r="L11167" s="1" t="str">
        <f t="shared" si="696"/>
        <v>ㄤ</v>
      </c>
      <c r="N11167" s="3" t="s">
        <v>30574</v>
      </c>
      <c r="O11167" s="3"/>
      <c r="P11167" s="1" t="s">
        <v>20</v>
      </c>
      <c r="R11167" s="1" t="s">
        <v>22592</v>
      </c>
      <c r="V11167" s="1" t="s">
        <v>22593</v>
      </c>
      <c r="W11167" s="1" t="s">
        <v>22594</v>
      </c>
      <c r="AR11167" s="1" t="str">
        <f t="shared" si="697"/>
        <v>| [ㄗㄤˋ](ㄗㄤˋ.md) | [奘](奘.md) |  | zàng | [形]
粗大。《玉篇．大部》：「奘，大也。」《西遊記》第九五回：「見那短棍兒一頭奘，一頭細，卻似舂碓臼的杵頭模樣。」 |</v>
      </c>
    </row>
    <row r="11168" spans="1:44" hidden="1">
      <c r="A11168" s="1" t="s">
        <v>22595</v>
      </c>
      <c r="C11168" s="1">
        <v>1</v>
      </c>
      <c r="D11168" s="1" t="str">
        <f>"09568"</f>
        <v>09568</v>
      </c>
      <c r="E11168" s="1" t="s">
        <v>37</v>
      </c>
      <c r="F11168" s="1">
        <v>13</v>
      </c>
      <c r="G11168" s="1">
        <v>9</v>
      </c>
      <c r="H11168" s="1">
        <v>0</v>
      </c>
      <c r="I11168" s="1" t="s">
        <v>22591</v>
      </c>
      <c r="K11168" s="1" t="str">
        <f t="shared" si="695"/>
        <v>ㄗ</v>
      </c>
      <c r="L11168" s="1" t="str">
        <f t="shared" ref="L11168:L11199" si="698">MID(I11168, 2, 1)</f>
        <v>ㄤ</v>
      </c>
      <c r="N11168" s="3" t="s">
        <v>30574</v>
      </c>
      <c r="O11168" s="3"/>
      <c r="P11168" s="1" t="s">
        <v>20</v>
      </c>
      <c r="R11168" s="1" t="s">
        <v>22592</v>
      </c>
      <c r="V11168" s="1" t="s">
        <v>22596</v>
      </c>
      <c r="AR11168" s="1" t="str">
        <f t="shared" si="697"/>
        <v>| [ㄗㄤˋ](ㄗㄤˋ.md) | [葬](葬.md) |  | zàng | [動]
掩埋。如：「埋葬」、「葬身」。《紅樓夢》第二七回：「儂今葬花人笑痴，他年葬儂知是誰。」
[名]
屍體掩埋、處理的方式。如：「土葬」、「海葬」、「火葬」。 |</v>
      </c>
    </row>
    <row r="11169" spans="1:44" hidden="1">
      <c r="A11169" s="1" t="s">
        <v>22597</v>
      </c>
      <c r="C11169" s="1">
        <v>1</v>
      </c>
      <c r="D11169" s="1" t="str">
        <f>"09569"</f>
        <v>09569</v>
      </c>
      <c r="E11169" s="1" t="s">
        <v>28</v>
      </c>
      <c r="F11169" s="1">
        <v>16</v>
      </c>
      <c r="G11169" s="1">
        <v>13</v>
      </c>
      <c r="H11169" s="1">
        <v>0</v>
      </c>
      <c r="I11169" s="1" t="s">
        <v>22591</v>
      </c>
      <c r="K11169" s="1" t="str">
        <f t="shared" si="695"/>
        <v>ㄗ</v>
      </c>
      <c r="L11169" s="1" t="str">
        <f t="shared" si="698"/>
        <v>ㄤ</v>
      </c>
      <c r="N11169" s="3" t="s">
        <v>30574</v>
      </c>
      <c r="O11169" s="3"/>
      <c r="P11169" s="1" t="s">
        <v>20</v>
      </c>
      <c r="R11169" s="1" t="s">
        <v>22592</v>
      </c>
      <c r="V11169" s="1" t="s">
        <v>22598</v>
      </c>
      <c r="AR11169" s="1" t="str">
        <f t="shared" si="697"/>
        <v>| [ㄗㄤˋ](ㄗㄤˋ.md) | [𠿺](𠿺.md) |  | zàng | [副]
痛苦的呻吟。 |</v>
      </c>
    </row>
    <row r="11170" spans="1:44" hidden="1">
      <c r="A11170" s="1" t="s">
        <v>22599</v>
      </c>
      <c r="C11170" s="1">
        <v>1</v>
      </c>
      <c r="D11170" s="1" t="str">
        <f>"09570"</f>
        <v>09570</v>
      </c>
      <c r="E11170" s="1" t="s">
        <v>37</v>
      </c>
      <c r="F11170" s="1">
        <v>18</v>
      </c>
      <c r="G11170" s="1">
        <v>14</v>
      </c>
      <c r="H11170" s="1">
        <v>2</v>
      </c>
      <c r="I11170" s="1" t="s">
        <v>22591</v>
      </c>
      <c r="K11170" s="1" t="str">
        <f t="shared" si="695"/>
        <v>ㄗ</v>
      </c>
      <c r="L11170" s="1" t="str">
        <f t="shared" si="698"/>
        <v>ㄤ</v>
      </c>
      <c r="N11170" s="3" t="s">
        <v>30574</v>
      </c>
      <c r="O11170" s="3"/>
      <c r="P11170" s="1" t="s">
        <v>20</v>
      </c>
      <c r="R11170" s="1" t="s">
        <v>22592</v>
      </c>
      <c r="V11170" s="1" t="s">
        <v>22600</v>
      </c>
      <c r="W11170" s="1" t="s">
        <v>22601</v>
      </c>
      <c r="AR11170" s="1" t="str">
        <f t="shared" si="697"/>
        <v>| [ㄗㄤˋ](ㄗㄤˋ.md) | [藏](藏.md) |  | zàng | [名]
1.儲存東西的地方。如：「寶藏」。《禮記．月令》：「命百官，謹蓋藏。」《史記．卷三〇．平準書》：「山海，天地之藏也。」
2.內臟。通「臟」。《淮南子．原道》：「夫心者，五藏之主也。」唐．李白〈東海有勇婦〉詩：「斬首掉國門，蹴踏五藏行。」
3.西藏的簡稱。如：「蒙藏一帶」。
4.邊疆民族。舊稱為「吐蕃」。
5.佛教、道教經典的總稱。如：「道藏」、「藏經」。明．徐弘祖《徐霞客遊記．卷八上．滇遊日記八》：「寶臺大寺，為立禪師所建，三年前立師東遊請藏，久離此山。」 |</v>
      </c>
    </row>
    <row r="11171" spans="1:44" hidden="1">
      <c r="A11171" s="1" t="s">
        <v>22602</v>
      </c>
      <c r="C11171" s="1">
        <v>1</v>
      </c>
      <c r="D11171" s="1" t="str">
        <f>"09571"</f>
        <v>09571</v>
      </c>
      <c r="E11171" s="1" t="s">
        <v>68</v>
      </c>
      <c r="F11171" s="1">
        <v>22</v>
      </c>
      <c r="G11171" s="1">
        <v>18</v>
      </c>
      <c r="H11171" s="1">
        <v>0</v>
      </c>
      <c r="I11171" s="1" t="s">
        <v>22591</v>
      </c>
      <c r="K11171" s="1" t="str">
        <f t="shared" si="695"/>
        <v>ㄗ</v>
      </c>
      <c r="L11171" s="1" t="str">
        <f t="shared" si="698"/>
        <v>ㄤ</v>
      </c>
      <c r="N11171" s="3" t="s">
        <v>30574</v>
      </c>
      <c r="O11171" s="3"/>
      <c r="P11171" s="1" t="s">
        <v>20</v>
      </c>
      <c r="R11171" s="1" t="s">
        <v>22592</v>
      </c>
      <c r="V11171" s="1" t="s">
        <v>22603</v>
      </c>
      <c r="AR11171" s="1" t="str">
        <f t="shared" si="697"/>
        <v>| [ㄗㄤˋ](ㄗㄤˋ.md) | [臟](臟.md) |  | zàng | [名]
胸、腹腔內各器官的總稱。如：「心臟」、「腎臟」、「脾臟」。 |</v>
      </c>
    </row>
    <row r="11172" spans="1:44" hidden="1">
      <c r="A11172" s="1" t="s">
        <v>22585</v>
      </c>
      <c r="C11172" s="1">
        <v>1</v>
      </c>
      <c r="D11172" s="1" t="str">
        <f>"09565"</f>
        <v>09565</v>
      </c>
      <c r="E11172" s="1" t="s">
        <v>319</v>
      </c>
      <c r="F11172" s="1">
        <v>15</v>
      </c>
      <c r="G11172" s="1">
        <v>5</v>
      </c>
      <c r="H11172" s="1">
        <v>1</v>
      </c>
      <c r="I11172" s="1" t="s">
        <v>22586</v>
      </c>
      <c r="K11172" s="1" t="str">
        <f t="shared" si="695"/>
        <v>ㄗ</v>
      </c>
      <c r="L11172" s="1" t="str">
        <f t="shared" si="698"/>
        <v>ㄤ</v>
      </c>
      <c r="N11172" s="3" t="s">
        <v>30576</v>
      </c>
      <c r="O11172" s="3"/>
      <c r="P11172" s="1" t="s">
        <v>20</v>
      </c>
      <c r="R11172" s="1" t="s">
        <v>22587</v>
      </c>
      <c r="V11172" s="1" t="s">
        <v>22588</v>
      </c>
      <c r="W11172" s="1" t="s">
        <v>22589</v>
      </c>
      <c r="AR11172" s="1" t="str">
        <f t="shared" si="697"/>
        <v>| [ㄗㄤˇ](ㄗㄤˇ.md) | [駔](駔.md) |  | zǎng | [名]
1.居中介紹買賣馬隻的人。《史記．卷一二九．貨殖傳》：「子貸金錢千貫，節駔會。」裴駰集解引徐廣曰：「駔，馬儈也。」
2.泛指商人。《儒林外史》第一一回：「那知辭官未久，被了這一場橫禍，受小人駔儈之欺！」 |</v>
      </c>
    </row>
    <row r="11173" spans="1:44" hidden="1">
      <c r="A11173" s="1" t="s">
        <v>22580</v>
      </c>
      <c r="C11173" s="1">
        <v>1</v>
      </c>
      <c r="D11173" s="1" t="str">
        <f>"09566"</f>
        <v>09566</v>
      </c>
      <c r="E11173" s="1" t="s">
        <v>283</v>
      </c>
      <c r="F11173" s="1">
        <v>23</v>
      </c>
      <c r="G11173" s="1">
        <v>13</v>
      </c>
      <c r="H11173" s="1">
        <v>2</v>
      </c>
      <c r="I11173" s="1" t="s">
        <v>22586</v>
      </c>
      <c r="K11173" s="1" t="str">
        <f t="shared" si="695"/>
        <v>ㄗ</v>
      </c>
      <c r="L11173" s="1" t="str">
        <f t="shared" si="698"/>
        <v>ㄤ</v>
      </c>
      <c r="N11173" s="3" t="s">
        <v>30576</v>
      </c>
      <c r="O11173" s="3"/>
      <c r="P11173" s="1" t="s">
        <v>20</v>
      </c>
      <c r="R11173" s="1" t="s">
        <v>22587</v>
      </c>
      <c r="V11173" s="1" t="s">
        <v>11072</v>
      </c>
      <c r="W11173" s="1" t="s">
        <v>22590</v>
      </c>
      <c r="AR11173" s="1" t="str">
        <f t="shared" si="697"/>
        <v>| [ㄗㄤˇ](ㄗㄤˇ.md) | [髒](髒.md) |  | zǎng | 參見「骯髒」(一)條。 |</v>
      </c>
    </row>
    <row r="11174" spans="1:44" hidden="1">
      <c r="A11174" s="1" t="s">
        <v>22623</v>
      </c>
      <c r="C11174" s="1">
        <v>1</v>
      </c>
      <c r="D11174" s="1" t="str">
        <f>"09579"</f>
        <v>09579</v>
      </c>
      <c r="E11174" s="1" t="s">
        <v>1824</v>
      </c>
      <c r="F11174" s="1">
        <v>17</v>
      </c>
      <c r="G11174" s="1">
        <v>12</v>
      </c>
      <c r="H11174" s="1">
        <v>0</v>
      </c>
      <c r="I11174" s="1" t="s">
        <v>22624</v>
      </c>
      <c r="K11174" s="1" t="str">
        <f t="shared" si="695"/>
        <v>ㄗ</v>
      </c>
      <c r="L11174" s="1" t="str">
        <f t="shared" si="698"/>
        <v>ㄥ</v>
      </c>
      <c r="N11174" s="3" t="s">
        <v>30574</v>
      </c>
      <c r="O11174" s="3"/>
      <c r="P11174" s="1" t="s">
        <v>20</v>
      </c>
      <c r="R11174" s="1" t="s">
        <v>22625</v>
      </c>
      <c r="V11174" s="1" t="s">
        <v>22626</v>
      </c>
      <c r="AR11174" s="1" t="str">
        <f t="shared" si="697"/>
        <v>| [ㄗㄥˋ](ㄗㄥˋ.md) | [甑](甑.md) |  | zèng | [名]
古代蒸煮食物的瓦器，底部有許多小孔，放在鬲上，有如現代的蒸籠。《孟子．滕文公上》：「許子以釜甑爨，以鐵耕乎？」 |</v>
      </c>
    </row>
    <row r="11175" spans="1:44" hidden="1">
      <c r="A11175" s="1" t="s">
        <v>22615</v>
      </c>
      <c r="C11175" s="1">
        <v>1</v>
      </c>
      <c r="D11175" s="1" t="str">
        <f>"09580"</f>
        <v>09580</v>
      </c>
      <c r="E11175" s="1" t="s">
        <v>118</v>
      </c>
      <c r="F11175" s="1">
        <v>17</v>
      </c>
      <c r="G11175" s="1">
        <v>12</v>
      </c>
      <c r="H11175" s="1">
        <v>2</v>
      </c>
      <c r="I11175" s="1" t="s">
        <v>22624</v>
      </c>
      <c r="K11175" s="1" t="str">
        <f t="shared" si="695"/>
        <v>ㄗ</v>
      </c>
      <c r="L11175" s="1" t="str">
        <f t="shared" si="698"/>
        <v>ㄥ</v>
      </c>
      <c r="N11175" s="3" t="s">
        <v>30574</v>
      </c>
      <c r="O11175" s="3"/>
      <c r="P11175" s="1" t="s">
        <v>20</v>
      </c>
      <c r="R11175" s="1" t="s">
        <v>22625</v>
      </c>
      <c r="V11175" s="1" t="s">
        <v>22627</v>
      </c>
      <c r="W11175" s="1" t="s">
        <v>22628</v>
      </c>
      <c r="AR11175" s="1" t="str">
        <f t="shared" si="697"/>
        <v>| [ㄗㄥˋ](ㄗㄥˋ.md) | [罾](罾.md) |  | zèng | 參見「巴巴罾兒」條。 |</v>
      </c>
    </row>
    <row r="11176" spans="1:44" hidden="1">
      <c r="A11176" s="1" t="s">
        <v>22620</v>
      </c>
      <c r="C11176" s="1">
        <v>1</v>
      </c>
      <c r="D11176" s="1" t="str">
        <f>"09581"</f>
        <v>09581</v>
      </c>
      <c r="E11176" s="1" t="s">
        <v>725</v>
      </c>
      <c r="F11176" s="1">
        <v>18</v>
      </c>
      <c r="G11176" s="1">
        <v>12</v>
      </c>
      <c r="H11176" s="1">
        <v>2</v>
      </c>
      <c r="I11176" s="1" t="s">
        <v>22624</v>
      </c>
      <c r="K11176" s="1" t="str">
        <f t="shared" si="695"/>
        <v>ㄗ</v>
      </c>
      <c r="L11176" s="1" t="str">
        <f t="shared" si="698"/>
        <v>ㄥ</v>
      </c>
      <c r="N11176" s="3" t="s">
        <v>30574</v>
      </c>
      <c r="O11176" s="3"/>
      <c r="P11176" s="1" t="s">
        <v>20</v>
      </c>
      <c r="R11176" s="1" t="s">
        <v>22625</v>
      </c>
      <c r="V11176" s="1" t="s">
        <v>22629</v>
      </c>
      <c r="W11176" s="1" t="s">
        <v>22630</v>
      </c>
      <c r="AR11176" s="1" t="str">
        <f t="shared" si="697"/>
        <v>| [ㄗㄥˋ](ㄗㄥˋ.md) | [繒](繒.md) |  | zèng | 參見「繒繃」條。 |</v>
      </c>
    </row>
    <row r="11177" spans="1:44" hidden="1">
      <c r="A11177" s="1" t="s">
        <v>22631</v>
      </c>
      <c r="C11177" s="1">
        <v>1</v>
      </c>
      <c r="D11177" s="1" t="str">
        <f>"09582"</f>
        <v>09582</v>
      </c>
      <c r="E11177" s="1" t="s">
        <v>505</v>
      </c>
      <c r="F11177" s="1">
        <v>19</v>
      </c>
      <c r="G11177" s="1">
        <v>12</v>
      </c>
      <c r="H11177" s="1">
        <v>0</v>
      </c>
      <c r="I11177" s="1" t="s">
        <v>22624</v>
      </c>
      <c r="K11177" s="1" t="str">
        <f t="shared" si="695"/>
        <v>ㄗ</v>
      </c>
      <c r="L11177" s="1" t="str">
        <f t="shared" si="698"/>
        <v>ㄥ</v>
      </c>
      <c r="N11177" s="3" t="s">
        <v>30574</v>
      </c>
      <c r="O11177" s="3"/>
      <c r="P11177" s="1" t="s">
        <v>20</v>
      </c>
      <c r="R11177" s="1" t="s">
        <v>22625</v>
      </c>
      <c r="V11177" s="1" t="s">
        <v>22632</v>
      </c>
      <c r="AR11177" s="1" t="str">
        <f t="shared" si="697"/>
        <v>| [ㄗㄥˋ](ㄗㄥˋ.md) | [贈](贈.md) |  | zèng | [動]
1.把東西送給他人。如：「贈閱」、「贈款」。唐．王勃〈滕王閣序〉：「臨別贈言，幸承恩於偉餞，登高作賦。」唐．杜甫〈天末懷李白〉詩：「應共冤魂語，投詩贈汨羅。」
2.追賜官爵給已死的有功之人，或官吏的祖先。如：「追贈」、「封贈」。《後漢書．卷一六．鄧禹傳》：「皆遺言薄葬，不受爵贈，太后並從之。」宋．歐陽修〈瀧岡阡表〉：「皇祖府君累贈金紫光祿大夫、太師、中書令兼尚書令。」 |</v>
      </c>
    </row>
    <row r="11178" spans="1:44" hidden="1">
      <c r="A11178" s="1" t="s">
        <v>22585</v>
      </c>
      <c r="C11178" s="1">
        <v>1</v>
      </c>
      <c r="D11178" s="1" t="str">
        <f>"09599"</f>
        <v>09599</v>
      </c>
      <c r="E11178" s="1" t="s">
        <v>319</v>
      </c>
      <c r="F11178" s="1">
        <v>15</v>
      </c>
      <c r="G11178" s="1">
        <v>5</v>
      </c>
      <c r="H11178" s="1">
        <v>2</v>
      </c>
      <c r="I11178" s="1" t="s">
        <v>22674</v>
      </c>
      <c r="K11178" s="1" t="str">
        <f t="shared" si="695"/>
        <v>ㄗ</v>
      </c>
      <c r="L11178" s="1" t="str">
        <f t="shared" si="698"/>
        <v>ㄨ</v>
      </c>
      <c r="N11178" s="3" t="s">
        <v>30574</v>
      </c>
      <c r="O11178" s="3"/>
      <c r="P11178" s="1" t="s">
        <v>20</v>
      </c>
      <c r="R11178" s="1" t="s">
        <v>22675</v>
      </c>
      <c r="V11178" s="1" t="s">
        <v>22676</v>
      </c>
      <c r="W11178" s="1" t="s">
        <v>22677</v>
      </c>
      <c r="AR11178" s="1" t="str">
        <f t="shared" si="697"/>
        <v>| [ㄗㄨˋ](ㄗㄨˋ.md) | [駔](駔.md) |  | zù | [名]
駿馬，高大健壯的馬。《楚辭．劉向．九歎．憂苦》：「同駑騾與椉駔兮，雜斑駁與闒茸。」 |</v>
      </c>
    </row>
    <row r="11179" spans="1:44" hidden="1">
      <c r="A11179" s="1" t="s">
        <v>14493</v>
      </c>
      <c r="C11179" s="1">
        <v>1</v>
      </c>
      <c r="D11179" s="1" t="str">
        <f>"09585"</f>
        <v>09585</v>
      </c>
      <c r="E11179" s="1" t="s">
        <v>77</v>
      </c>
      <c r="F11179" s="1">
        <v>7</v>
      </c>
      <c r="G11179" s="1">
        <v>0</v>
      </c>
      <c r="H11179" s="1">
        <v>1</v>
      </c>
      <c r="I11179" s="1" t="s">
        <v>22639</v>
      </c>
      <c r="K11179" s="1" t="str">
        <f t="shared" si="695"/>
        <v>ㄗ</v>
      </c>
      <c r="L11179" s="1" t="str">
        <f t="shared" si="698"/>
        <v>ㄨ</v>
      </c>
      <c r="N11179" s="3" t="s">
        <v>30575</v>
      </c>
      <c r="O11179" s="3"/>
      <c r="P11179" s="1" t="s">
        <v>20</v>
      </c>
      <c r="R11179" s="1" t="s">
        <v>22640</v>
      </c>
      <c r="V11179" s="1" t="s">
        <v>22641</v>
      </c>
      <c r="W11179" s="1" t="s">
        <v>22642</v>
      </c>
      <c r="AR11179" s="1" t="str">
        <f t="shared" si="697"/>
        <v>| [ㄗㄨˊ](ㄗㄨˊ.md) | [足](足.md) |  | zú | [名]
1.人體下肢的總稱。亦專指踝骨以下的部分，今稱為「腳」。《說文解字．足部》：「足，人之足也，在下。」如：「舉足」、「失足跌跤」。唐．韓愈〈山石〉詩：「當流赤足蹋澗石，水聲激激風吹衣。」
2.動物的下肢，用來奔走或爬行。如：「節足動物」、「百足之蟲」。南朝梁．無名氏〈木蘭詩〉二首之一：「願駝千里足，送兒還故鄉。」
3.器物下面支撐的部分。《易經．鼎卦．九四》：「鼎折足。」唐．劉禹錫〈蜀先主廟〉詩：「勢分三足鼎，業復五銖錢。」
4.姓。如戰國時韓國有足強。
5.二一四部首之一。
[動]
1.踏。《文選．司馬相如．上林賦》：「手熊羆，足野羊。」
2.滿足、使滿足。《漢書．卷五．景帝紀》：「其唯廉士，寡欲易足。」《三國志．卷一．魏書．武帝紀》：「紹謀臣許攸貪財，紹不能足，來奔。」
3.停止、止息。《老子》第二八章：「為天下谷，常德乃足，復歸於樸。」《史記．卷一〇二．張釋之傳》：「釋之免冠頓首謝曰：『法如是足也。』」
[形]
1.夠量的、不缺乏的。如：「充足」、「心滿意足」、「豐衣足食」。
2.富裕。如：「富足」。
[副]
1.整整的、完全的。如：「足足玩了一星期」、「足足樂了一天」、「在水中悶了足足有二分鐘的氣。」
2.堪、可以。如：「足供參考」、「足慰吾懷」、「足以自豪」。
3.值得。如：「何足掛齒」、「微不足道」。 |</v>
      </c>
    </row>
    <row r="11180" spans="1:44" hidden="1">
      <c r="A11180" s="1" t="s">
        <v>22643</v>
      </c>
      <c r="C11180" s="1">
        <v>1</v>
      </c>
      <c r="D11180" s="1" t="str">
        <f>"09586"</f>
        <v>09586</v>
      </c>
      <c r="E11180" s="1" t="s">
        <v>28</v>
      </c>
      <c r="F11180" s="1">
        <v>10</v>
      </c>
      <c r="G11180" s="1">
        <v>7</v>
      </c>
      <c r="H11180" s="1">
        <v>0</v>
      </c>
      <c r="I11180" s="1" t="s">
        <v>22639</v>
      </c>
      <c r="K11180" s="1" t="str">
        <f t="shared" si="695"/>
        <v>ㄗ</v>
      </c>
      <c r="L11180" s="1" t="str">
        <f t="shared" si="698"/>
        <v>ㄨ</v>
      </c>
      <c r="N11180" s="3" t="s">
        <v>30575</v>
      </c>
      <c r="O11180" s="3"/>
      <c r="P11180" s="1" t="s">
        <v>20</v>
      </c>
      <c r="R11180" s="1" t="s">
        <v>22640</v>
      </c>
      <c r="V11180" s="1" t="s">
        <v>22644</v>
      </c>
      <c r="AR11180" s="1" t="str">
        <f t="shared" si="697"/>
        <v>| [ㄗㄨˊ](ㄗㄨˊ.md) | [哫](哫.md) |  | zú | 參見「哫訾」條。 |</v>
      </c>
    </row>
    <row r="11181" spans="1:44" hidden="1">
      <c r="A11181" s="1" t="s">
        <v>22645</v>
      </c>
      <c r="C11181" s="1">
        <v>1</v>
      </c>
      <c r="D11181" s="1" t="str">
        <f>"09587"</f>
        <v>09587</v>
      </c>
      <c r="E11181" s="1" t="s">
        <v>286</v>
      </c>
      <c r="F11181" s="1">
        <v>8</v>
      </c>
      <c r="G11181" s="1">
        <v>6</v>
      </c>
      <c r="H11181" s="1">
        <v>1</v>
      </c>
      <c r="I11181" s="1" t="s">
        <v>22639</v>
      </c>
      <c r="K11181" s="1" t="str">
        <f t="shared" si="695"/>
        <v>ㄗ</v>
      </c>
      <c r="L11181" s="1" t="str">
        <f t="shared" si="698"/>
        <v>ㄨ</v>
      </c>
      <c r="N11181" s="3" t="s">
        <v>30575</v>
      </c>
      <c r="O11181" s="3"/>
      <c r="P11181" s="1" t="s">
        <v>20</v>
      </c>
      <c r="R11181" s="1" t="s">
        <v>22640</v>
      </c>
      <c r="V11181" s="1" t="s">
        <v>22646</v>
      </c>
      <c r="W11181" s="1" t="s">
        <v>22647</v>
      </c>
      <c r="AR11181" s="1" t="str">
        <f t="shared" si="697"/>
        <v>| [ㄗㄨˊ](ㄗㄨˊ.md) | [卒](卒.md) |  | zú | [名]
1.供驅遣、差役的人。如：「役卒」、「隸卒」、「販夫走卒」。《史記．卷二九．河渠書》：「悉發卒數萬人穿漕渠，三歲而通。」
2.士兵。如：「勁卒」、「士卒」。《左傳．隱公元年》：「大叔完聚，繕甲兵，具卒乘，將襲鄭。」唐．杜甫〈北征〉詩：「至尊尚蒙塵，幾日休練卒？」
3.古代軍隊的一種編制。參見「卒伍」條。
[動]
1.終止、結束。《詩經．豳風．七月》：「無衣無褐，何以卒歲？」《禮記．奔喪》：「三日五哭，卒，主人出送賓。」
2.死亡。如：「暴卒」、「病卒」。
[副]
終於、終究。《史記．卷八一．廉頗藺相如傳》：「卒廷見相如，畢禮而歸之。」漢．桓寬《鹽鐵論．非鞅》：「秦任商君，國以富強，其後卒并六國而成帝業。」 |</v>
      </c>
    </row>
    <row r="11182" spans="1:44" hidden="1">
      <c r="A11182" s="1" t="s">
        <v>22648</v>
      </c>
      <c r="C11182" s="1">
        <v>1</v>
      </c>
      <c r="D11182" s="1" t="str">
        <f>"09588"</f>
        <v>09588</v>
      </c>
      <c r="E11182" s="1" t="s">
        <v>24</v>
      </c>
      <c r="F11182" s="1">
        <v>11</v>
      </c>
      <c r="G11182" s="1">
        <v>8</v>
      </c>
      <c r="H11182" s="1">
        <v>1</v>
      </c>
      <c r="I11182" s="1" t="s">
        <v>22639</v>
      </c>
      <c r="K11182" s="1" t="str">
        <f t="shared" si="695"/>
        <v>ㄗ</v>
      </c>
      <c r="L11182" s="1" t="str">
        <f t="shared" si="698"/>
        <v>ㄨ</v>
      </c>
      <c r="N11182" s="3" t="s">
        <v>30575</v>
      </c>
      <c r="O11182" s="3"/>
      <c r="P11182" s="1" t="s">
        <v>186</v>
      </c>
      <c r="R11182" s="1" t="s">
        <v>22640</v>
      </c>
      <c r="V11182" s="1" t="s">
        <v>22649</v>
      </c>
      <c r="W11182" s="1" t="s">
        <v>22650</v>
      </c>
      <c r="AR11182" s="1" t="str">
        <f t="shared" si="697"/>
        <v>| [ㄗㄨˊ](ㄗㄨˊ.md) | [捽](捽.md) |  | zú | [動]
1.揪著頭髮。《說文解字．手部》：「捽，持頭髮也。」《戰國策．楚策一》：「吾將軍深入吳軍，若扑一人，若捽一人。」
2.抓。《水滸傳》第二六回：「連肩胛只一提，右手早捽住西門慶左腳。」
3.拔取。《漢書．卷七二．貢禹傳》：「不避寒暑，捽屮杷土，手足胼胝。」《清史稿．卷四九六．忠義傳十．劉錫祺傳》：「黨人適同舟，面辱之，捽其冠，遽投江死。」
4.抵觸、碰撞。《國語．晉語一》：「戎、夏交捽。」三國吳．韋昭．注：「捽，交對也。」唐．韓愈〈贈別元十八協律〉六首之六：「峽山逢颶風，雷電助撞捽。」 |</v>
      </c>
    </row>
    <row r="11183" spans="1:44" hidden="1">
      <c r="A11183" s="1" t="s">
        <v>22651</v>
      </c>
      <c r="C11183" s="1">
        <v>1</v>
      </c>
      <c r="D11183" s="1" t="str">
        <f>"09589"</f>
        <v>09589</v>
      </c>
      <c r="E11183" s="1" t="s">
        <v>190</v>
      </c>
      <c r="F11183" s="1">
        <v>11</v>
      </c>
      <c r="G11183" s="1">
        <v>8</v>
      </c>
      <c r="H11183" s="1">
        <v>0</v>
      </c>
      <c r="I11183" s="1" t="s">
        <v>22639</v>
      </c>
      <c r="K11183" s="1" t="str">
        <f t="shared" si="695"/>
        <v>ㄗ</v>
      </c>
      <c r="L11183" s="1" t="str">
        <f t="shared" si="698"/>
        <v>ㄨ</v>
      </c>
      <c r="N11183" s="3" t="s">
        <v>30575</v>
      </c>
      <c r="O11183" s="3"/>
      <c r="P11183" s="1" t="s">
        <v>20</v>
      </c>
      <c r="R11183" s="1" t="s">
        <v>22640</v>
      </c>
      <c r="V11183" s="1" t="s">
        <v>22652</v>
      </c>
      <c r="AR11183" s="1" t="str">
        <f t="shared" si="697"/>
        <v>| [ㄗㄨˊ](ㄗㄨˊ.md) | [崒](崒.md) |  | zú | [形]
山勢高峻。《文選．鮑照．蕪城詩》：「崒若斷岸，矗似長雲。」唐．李善．注：「崒，高峻也。」唐．韓愈〈伯夷頌〉：「昭乎日月不足為明，崒乎泰山不足為高。」 |</v>
      </c>
    </row>
    <row r="11184" spans="1:44" hidden="1">
      <c r="A11184" s="1" t="s">
        <v>22653</v>
      </c>
      <c r="C11184" s="1">
        <v>1</v>
      </c>
      <c r="D11184" s="1" t="str">
        <f>"09590"</f>
        <v>09590</v>
      </c>
      <c r="E11184" s="1" t="s">
        <v>77</v>
      </c>
      <c r="F11184" s="1">
        <v>15</v>
      </c>
      <c r="G11184" s="1">
        <v>8</v>
      </c>
      <c r="H11184" s="1">
        <v>0</v>
      </c>
      <c r="I11184" s="1" t="s">
        <v>22639</v>
      </c>
      <c r="K11184" s="1" t="str">
        <f t="shared" si="695"/>
        <v>ㄗ</v>
      </c>
      <c r="L11184" s="1" t="str">
        <f t="shared" si="698"/>
        <v>ㄨ</v>
      </c>
      <c r="N11184" s="3" t="s">
        <v>30575</v>
      </c>
      <c r="O11184" s="3"/>
      <c r="P11184" s="1" t="s">
        <v>20</v>
      </c>
      <c r="R11184" s="1" t="s">
        <v>22640</v>
      </c>
      <c r="V11184" s="1" t="s">
        <v>22654</v>
      </c>
      <c r="AR11184" s="1" t="str">
        <f t="shared" si="697"/>
        <v>| [ㄗㄨˊ](ㄗㄨˊ.md) | [踤](踤.md) |  | zú | [動]
觸擊、衝撞。《文選．左思．吳都賦》：「衝踤而斷筋骨。」 |</v>
      </c>
    </row>
    <row r="11185" spans="1:44" hidden="1">
      <c r="A11185" s="1" t="s">
        <v>22655</v>
      </c>
      <c r="C11185" s="1">
        <v>1</v>
      </c>
      <c r="D11185" s="1" t="str">
        <f>"09591"</f>
        <v>09591</v>
      </c>
      <c r="E11185" s="1" t="s">
        <v>800</v>
      </c>
      <c r="F11185" s="1">
        <v>11</v>
      </c>
      <c r="G11185" s="1">
        <v>7</v>
      </c>
      <c r="H11185" s="1">
        <v>0</v>
      </c>
      <c r="I11185" s="1" t="s">
        <v>22639</v>
      </c>
      <c r="K11185" s="1" t="str">
        <f t="shared" si="695"/>
        <v>ㄗ</v>
      </c>
      <c r="L11185" s="1" t="str">
        <f t="shared" si="698"/>
        <v>ㄨ</v>
      </c>
      <c r="N11185" s="3" t="s">
        <v>30575</v>
      </c>
      <c r="O11185" s="3"/>
      <c r="P11185" s="1" t="s">
        <v>20</v>
      </c>
      <c r="R11185" s="1" t="s">
        <v>22640</v>
      </c>
      <c r="V11185" s="1" t="s">
        <v>22656</v>
      </c>
      <c r="AR11185" s="1" t="str">
        <f t="shared" si="697"/>
        <v>| [ㄗㄨˊ](ㄗㄨˊ.md) | [族](族.md) |  | zú | [名]
1.親屬。如：「家族」、「九族」。《晉書．卷一〇〇．孫恩傳》：「孫恩字靈秀，瑯邪人，孫秀之族也。」
2.泛指同姓的人。如：「同族」、「宗族」。
3.人種的類別。如：「漢族」、「苗族」。
4.有共同屬性的群類。如：「水族」、「甲族」、「貴族」、「火腿族」。《淮南子．俶真》：「萬物百族，使各有經紀條貫。」唐．韓愈〈師說〉：「士大夫之族，曰師曰弟子云者，則群聚而笑之。」
[動]
1.古時刑罰連及罪人的家屬親人。《書經．泰誓上》：「罪人以族，官人以世。」漢．孔安國．傳：「一人有罪，刑及父母兄弟妻子。」
2.滅。唐．杜牧〈阿房宮賦〉：「族秦者，秦也，非天下也。」
[副]
叢聚、群集。如：「族居」。《爾雅．釋木》：「木族生為灌。」晉．郭璞．注：「族，叢。」《莊子．在宥》：「雲氣不待族而雨，草木不待黃而落。」 |</v>
      </c>
    </row>
    <row r="11186" spans="1:44" hidden="1">
      <c r="A11186" s="1" t="s">
        <v>22657</v>
      </c>
      <c r="C11186" s="1">
        <v>1</v>
      </c>
      <c r="D11186" s="1" t="str">
        <f>"09592"</f>
        <v>09592</v>
      </c>
      <c r="E11186" s="1" t="s">
        <v>28</v>
      </c>
      <c r="F11186" s="1">
        <v>14</v>
      </c>
      <c r="G11186" s="1">
        <v>11</v>
      </c>
      <c r="H11186" s="1">
        <v>2</v>
      </c>
      <c r="I11186" s="1" t="s">
        <v>22639</v>
      </c>
      <c r="K11186" s="1" t="str">
        <f t="shared" si="695"/>
        <v>ㄗ</v>
      </c>
      <c r="L11186" s="1" t="str">
        <f t="shared" si="698"/>
        <v>ㄨ</v>
      </c>
      <c r="N11186" s="3" t="s">
        <v>30575</v>
      </c>
      <c r="O11186" s="3"/>
      <c r="P11186" s="1" t="s">
        <v>110</v>
      </c>
      <c r="R11186" s="1" t="s">
        <v>22640</v>
      </c>
      <c r="V11186" s="1" t="s">
        <v>111</v>
      </c>
      <c r="W11186" s="1" t="s">
        <v>22658</v>
      </c>
      <c r="AR11186" s="1" t="str">
        <f t="shared" si="697"/>
        <v>| [ㄗㄨˊ](ㄗㄨˊ.md) | [嗾](嗾.md) |  | zú | (一)之又音。 |</v>
      </c>
    </row>
    <row r="11187" spans="1:44" hidden="1">
      <c r="A11187" s="1" t="s">
        <v>22659</v>
      </c>
      <c r="C11187" s="1">
        <v>1</v>
      </c>
      <c r="D11187" s="1" t="str">
        <f>"09593"</f>
        <v>09593</v>
      </c>
      <c r="E11187" s="1" t="s">
        <v>55</v>
      </c>
      <c r="F11187" s="1">
        <v>19</v>
      </c>
      <c r="G11187" s="1">
        <v>11</v>
      </c>
      <c r="H11187" s="1">
        <v>1</v>
      </c>
      <c r="I11187" s="1" t="s">
        <v>22639</v>
      </c>
      <c r="K11187" s="1" t="str">
        <f t="shared" si="695"/>
        <v>ㄗ</v>
      </c>
      <c r="L11187" s="1" t="str">
        <f t="shared" si="698"/>
        <v>ㄨ</v>
      </c>
      <c r="N11187" s="3" t="s">
        <v>30575</v>
      </c>
      <c r="O11187" s="3"/>
      <c r="P11187" s="1" t="s">
        <v>20</v>
      </c>
      <c r="R11187" s="1" t="s">
        <v>22640</v>
      </c>
      <c r="V11187" s="1" t="s">
        <v>22660</v>
      </c>
      <c r="W11187" s="1" t="s">
        <v>22661</v>
      </c>
      <c r="AR11187" s="1" t="str">
        <f t="shared" si="697"/>
        <v>| [ㄗㄨˊ](ㄗㄨˊ.md) | [鏃](鏃.md) |  | zú | [名]
箭頭。唐．李華〈弔古戰場文〉：「利鏃穿骨，驚沙入面。」《新唐書．卷二一九．北狄傳．黑水靺鞨傳》：「其矢石鏃，長二寸，蓋楛砮遺法。」
[形]
鋒利。《呂氏春秋．開春論．貴卒》：「所為貴鏃矢者，為其應聲而至。」 |</v>
      </c>
    </row>
    <row r="11188" spans="1:44" hidden="1">
      <c r="A11188" s="1" t="s">
        <v>22662</v>
      </c>
      <c r="C11188" s="1">
        <v>1</v>
      </c>
      <c r="D11188" s="1" t="str">
        <f>"09594"</f>
        <v>09594</v>
      </c>
      <c r="E11188" s="1" t="s">
        <v>691</v>
      </c>
      <c r="F11188" s="1">
        <v>8</v>
      </c>
      <c r="G11188" s="1">
        <v>5</v>
      </c>
      <c r="H11188" s="1">
        <v>0</v>
      </c>
      <c r="I11188" s="1" t="s">
        <v>22663</v>
      </c>
      <c r="K11188" s="1" t="str">
        <f t="shared" si="695"/>
        <v>ㄗ</v>
      </c>
      <c r="L11188" s="1" t="str">
        <f t="shared" si="698"/>
        <v>ㄨ</v>
      </c>
      <c r="N11188" s="3" t="s">
        <v>30576</v>
      </c>
      <c r="O11188" s="3"/>
      <c r="P11188" s="1" t="s">
        <v>20</v>
      </c>
      <c r="R11188" s="1" t="s">
        <v>22664</v>
      </c>
      <c r="V11188" s="1" t="s">
        <v>22665</v>
      </c>
      <c r="AR11188" s="1" t="str">
        <f t="shared" si="697"/>
        <v>| [ㄗㄨˇ](ㄗㄨˇ.md) | [阻](阻.md) |  | zǔ | [名]
1.險要的地方。《說文解字．阜部》：「阻，險也。」如：「天阻」、「險阻」。《文選．班固．西都賦》：「左據函谷、二崤之阻，表以太華、終南之山。」
2.障礙。如：「路阻」、「通行無阻」。
[動]
1.妨礙、隔斷。如：「阻隔」、「阻礙」。唐．杜甫〈遣興〉詩五首之五：「煙塵阻長河，樹羽成皋間。」
2.攔、擋。如：「攔阻」、「遏阻」。明．徐弘祖《徐霞客遊記．卷二下．楚遊日記》：「風與水交逼，而火復為阻，遂捨之出。」
3.推辭、拒絕。如：「推三阻四」。《詩經．邶風．谷風》：「既阻我德，賈用不售。」
4.依恃、依仗。《左傳．隱公四年》：「夫州吁阻兵而安忍。」《文選．潘岳．馬汧督誄》：「蠢蠢犬羊，阻眾陵寡。」
5.懷疑、疑惑。《左傳．閔公二年》：「是服也，狂夫阻之。」三國魏．嵇康〈與呂長悌絕交書〉：「足下陰自阻疑，密表繫都。」
[形]
艱險難行。《文選．古詩十九首．行行重行行》：「道路阻且長，會面安可知？」明．徐弘祖《徐霞客遊記．卷八上．滇遊日記八》：「以壁削路阻，不得達。」 |</v>
      </c>
    </row>
    <row r="11189" spans="1:44" hidden="1">
      <c r="A11189" s="1" t="s">
        <v>22666</v>
      </c>
      <c r="C11189" s="1">
        <v>1</v>
      </c>
      <c r="D11189" s="1" t="str">
        <f>"09595"</f>
        <v>09595</v>
      </c>
      <c r="E11189" s="1" t="s">
        <v>114</v>
      </c>
      <c r="F11189" s="1">
        <v>9</v>
      </c>
      <c r="G11189" s="1">
        <v>7</v>
      </c>
      <c r="H11189" s="1">
        <v>0</v>
      </c>
      <c r="I11189" s="1" t="s">
        <v>22663</v>
      </c>
      <c r="K11189" s="1" t="str">
        <f t="shared" si="695"/>
        <v>ㄗ</v>
      </c>
      <c r="L11189" s="1" t="str">
        <f t="shared" si="698"/>
        <v>ㄨ</v>
      </c>
      <c r="N11189" s="3" t="s">
        <v>30576</v>
      </c>
      <c r="O11189" s="3"/>
      <c r="P11189" s="1" t="s">
        <v>20</v>
      </c>
      <c r="R11189" s="1" t="s">
        <v>22664</v>
      </c>
      <c r="V11189" s="1" t="s">
        <v>22667</v>
      </c>
      <c r="AR11189" s="1" t="str">
        <f t="shared" si="697"/>
        <v>| [ㄗㄨˇ](ㄗㄨˇ.md) | [俎](俎.md) |  | zǔ | [名]
1.古代祭祀時，用來盛祭品的禮器。《左傳．隱公五年》：「鳥獸之肉，不登於俎。」晉．杜預．注：「俎，祭宗廟器。」
2.割肉用的砧板。《史記．卷七．項羽本紀》：「如今人方為刀俎，我為魚肉，何辭為。」俗稱為「砧板」。
3.姓。如明代有俎有用。 |</v>
      </c>
    </row>
    <row r="11190" spans="1:44" hidden="1">
      <c r="A11190" s="1" t="s">
        <v>22668</v>
      </c>
      <c r="C11190" s="1">
        <v>1</v>
      </c>
      <c r="D11190" s="1" t="str">
        <f>"09596"</f>
        <v>09596</v>
      </c>
      <c r="E11190" s="1" t="s">
        <v>825</v>
      </c>
      <c r="F11190" s="1">
        <v>10</v>
      </c>
      <c r="G11190" s="1">
        <v>5</v>
      </c>
      <c r="H11190" s="1">
        <v>0</v>
      </c>
      <c r="I11190" s="1" t="s">
        <v>22663</v>
      </c>
      <c r="K11190" s="1" t="str">
        <f t="shared" si="695"/>
        <v>ㄗ</v>
      </c>
      <c r="L11190" s="1" t="str">
        <f t="shared" si="698"/>
        <v>ㄨ</v>
      </c>
      <c r="N11190" s="3" t="s">
        <v>30576</v>
      </c>
      <c r="O11190" s="3"/>
      <c r="P11190" s="1" t="s">
        <v>20</v>
      </c>
      <c r="R11190" s="1" t="s">
        <v>22664</v>
      </c>
      <c r="V11190" s="1" t="s">
        <v>22669</v>
      </c>
      <c r="AR11190" s="1" t="str">
        <f t="shared" si="697"/>
        <v>| [ㄗㄨˇ](ㄗㄨˇ.md) | [祖](祖.md) |  | zǔ | [名]
1.稱謂。用以尊稱父母親的父母。如：「祖父母」、「外祖父母」。《荀子．成相》：「下以教誨子弟，上以事祖考。」唐．柳宗元〈捕蛇者說〉：「吾祖死於是，吾父死於是，今吾嗣為之十二年，幾死者數矣。」
2.通稱先代的人。如：「遠祖」、「先祖」。
3.祭祀始祖神主的廟。《荀子．成相》：「紂卒易鄉啟乃下，武王善之，封之於宋立其祖。」《漢書．卷五二．韓安國傳》：「是以古之人君謀事必就祖，發政占古語，重作事也。」
4.事物的創始者。如：「鼻祖」。《周禮．春官．籥章》：「祈年于田祖。」漢．鄭玄．注：「田祖，始耕田者，謂神農也。」
5.姓。如漢代有祖沂。
[動]
1.古代出行時祭祀路神稱為「祖」。《詩經．大雅．韓奕》：「韓侯出祖，出宿于屠。」《左傳．昭公七年》：「公將往，夢襄公祖。」晉．杜預．注：「祖，祭道神。」
2.餞行。南朝宋．劉義慶《世說新語．方正》：「杜預之荊州，頓七里橋，朝士悉祖。」唐．李白〈留別金陵諸公〉詩：「五月金陵西，祖余白下亭。」
3.宗仰、效法。《戰國策．韓策二》：「秦王必祖張儀之故謀。」《漢書．卷三〇．藝文志》：「祖述堯舜，憲章文武。」
4.熟悉。《國語．魯語下》：「是故天子大采朝日，與三公、九卿祖識地德。」 |</v>
      </c>
    </row>
    <row r="11191" spans="1:44" hidden="1">
      <c r="A11191" s="1" t="s">
        <v>22670</v>
      </c>
      <c r="C11191" s="1">
        <v>1</v>
      </c>
      <c r="D11191" s="1" t="str">
        <f>"09597"</f>
        <v>09597</v>
      </c>
      <c r="E11191" s="1" t="s">
        <v>725</v>
      </c>
      <c r="F11191" s="1">
        <v>11</v>
      </c>
      <c r="G11191" s="1">
        <v>5</v>
      </c>
      <c r="H11191" s="1">
        <v>0</v>
      </c>
      <c r="I11191" s="1" t="s">
        <v>22663</v>
      </c>
      <c r="K11191" s="1" t="str">
        <f t="shared" si="695"/>
        <v>ㄗ</v>
      </c>
      <c r="L11191" s="1" t="str">
        <f t="shared" si="698"/>
        <v>ㄨ</v>
      </c>
      <c r="N11191" s="3" t="s">
        <v>30576</v>
      </c>
      <c r="O11191" s="3"/>
      <c r="P11191" s="1" t="s">
        <v>20</v>
      </c>
      <c r="R11191" s="1" t="s">
        <v>22664</v>
      </c>
      <c r="V11191" s="1" t="s">
        <v>22671</v>
      </c>
      <c r="AR11191" s="1" t="str">
        <f t="shared" si="697"/>
        <v>| [ㄗㄨˇ](ㄗㄨˇ.md) | [組](組.md) |  | zǔ | [名]
1.古時用來繫印信等物的絲帶。《說文解字．糸部》：「組，綬屬。」《史記．卷八七．李斯傳》：「子嬰與妻子自係其頸以組。」唐．陳鴻《長恨傳》：「倉皇展轉，竟就死于尺組之下。」
2.借指官印或官職。宋．蘇軾〈景純見和復次韻贈之〉詩二首之一：「解組歸來道益光，坐看百物自炎涼。」
3.量詞。計算成套的物品或人事編制的單位。如：「一組茶具」、「這項遊戲分兩組進行。」
4.機關社團中因一定目的和需要合成的單位。如：「宣傳組」、「廣告組」、「迅雷小組」。
5.事物性質相同或相近而分的類別。如：「自然組」、「社會組」、「理工組」。
[動]
構成、組織。如：「組閣」、「組團」。 |</v>
      </c>
    </row>
    <row r="11192" spans="1:44" hidden="1">
      <c r="A11192" s="1" t="s">
        <v>22672</v>
      </c>
      <c r="C11192" s="1">
        <v>1</v>
      </c>
      <c r="D11192" s="1" t="str">
        <f>"09598"</f>
        <v>09598</v>
      </c>
      <c r="E11192" s="1" t="s">
        <v>331</v>
      </c>
      <c r="F11192" s="1">
        <v>12</v>
      </c>
      <c r="G11192" s="1">
        <v>5</v>
      </c>
      <c r="H11192" s="1">
        <v>0</v>
      </c>
      <c r="I11192" s="1" t="s">
        <v>22663</v>
      </c>
      <c r="K11192" s="1" t="str">
        <f t="shared" si="695"/>
        <v>ㄗ</v>
      </c>
      <c r="L11192" s="1" t="str">
        <f t="shared" si="698"/>
        <v>ㄨ</v>
      </c>
      <c r="N11192" s="3" t="s">
        <v>30576</v>
      </c>
      <c r="O11192" s="3"/>
      <c r="P11192" s="1" t="s">
        <v>20</v>
      </c>
      <c r="R11192" s="1" t="s">
        <v>22664</v>
      </c>
      <c r="V11192" s="1" t="s">
        <v>22673</v>
      </c>
      <c r="AR11192" s="1" t="str">
        <f t="shared" si="697"/>
        <v>| [ㄗㄨˇ](ㄗㄨˇ.md) | [詛](詛.md) |  | zǔ | [動]
1.咒罵或祈求鬼神降禍給他人。如：「詛咒」。《左傳．昭公二十年》：「民人苦病，夫婦皆詛。」
2.立誓、起誓。《左傳．宣公二年》：「驪姬之亂，詛無畜群公子，自是晉無公族。」《漢書．卷六九．趙充國傳》：「先零遂與諸羌種二百餘人解仇交質盟詛。」
[名]
誓言。南朝梁．劉勰《文心雕龍．祝盟》：「及秦昭盟夷，設黃龍之詛。」 |</v>
      </c>
    </row>
    <row r="11193" spans="1:44" hidden="1">
      <c r="A11193" s="1" t="s">
        <v>22882</v>
      </c>
      <c r="C11193" s="1">
        <v>1</v>
      </c>
      <c r="D11193" s="1" t="str">
        <f>"09685"</f>
        <v>09685</v>
      </c>
      <c r="E11193" s="1" t="s">
        <v>28</v>
      </c>
      <c r="F11193" s="1">
        <v>9</v>
      </c>
      <c r="G11193" s="1">
        <v>6</v>
      </c>
      <c r="H11193" s="1">
        <v>0</v>
      </c>
      <c r="I11193" s="1" t="s">
        <v>22883</v>
      </c>
      <c r="K11193" s="1" t="str">
        <f t="shared" si="695"/>
        <v>ㄘ</v>
      </c>
      <c r="L11193" s="1" t="str">
        <f t="shared" si="698"/>
        <v/>
      </c>
      <c r="M11193" s="1" t="str">
        <f t="shared" ref="M11193:M11224" si="699">MID(I11193, 3, 1)</f>
        <v/>
      </c>
      <c r="P11193" s="1" t="s">
        <v>20</v>
      </c>
      <c r="R11193" s="1" t="s">
        <v>22884</v>
      </c>
      <c r="V11193" s="1" t="s">
        <v>22885</v>
      </c>
      <c r="AR11193" s="1" t="str">
        <f t="shared" si="697"/>
        <v>| [ㄘ](ㄘ.md) | [呲](呲.md) |  | cī | [動]
斥責。參見「挨呲」條。 |</v>
      </c>
    </row>
    <row r="11194" spans="1:44" hidden="1">
      <c r="A11194" s="1" t="s">
        <v>22886</v>
      </c>
      <c r="C11194" s="1">
        <v>1</v>
      </c>
      <c r="D11194" s="1" t="str">
        <f>"09686"</f>
        <v>09686</v>
      </c>
      <c r="E11194" s="1" t="s">
        <v>40</v>
      </c>
      <c r="F11194" s="1">
        <v>11</v>
      </c>
      <c r="G11194" s="1">
        <v>6</v>
      </c>
      <c r="H11194" s="1">
        <v>1</v>
      </c>
      <c r="I11194" s="1" t="s">
        <v>22883</v>
      </c>
      <c r="K11194" s="1" t="str">
        <f t="shared" si="695"/>
        <v>ㄘ</v>
      </c>
      <c r="L11194" s="1" t="str">
        <f t="shared" si="698"/>
        <v/>
      </c>
      <c r="M11194" s="1" t="str">
        <f t="shared" si="699"/>
        <v/>
      </c>
      <c r="P11194" s="1" t="s">
        <v>20</v>
      </c>
      <c r="R11194" s="1" t="s">
        <v>22884</v>
      </c>
      <c r="V11194" s="1" t="s">
        <v>22887</v>
      </c>
      <c r="W11194" s="1" t="s">
        <v>22888</v>
      </c>
      <c r="AR11194" s="1" t="str">
        <f t="shared" si="697"/>
        <v>| [ㄘ](ㄘ.md) | [疵](疵.md) |  | cī | [名]
毛病、缺點。如：「吹毛求疵」、「瑕疵」。《韓非子．大體》：「不逆天理，不傷情性；不吹毛而求小疵。」
[動]
苛求、責備。《荀子．不苟》：「正義直指，舉人之過，非毀疵也。」《漢書．卷七〇．陳湯傳》：「論大功者不錄小過；舉大美者不疵細瑕。」 |</v>
      </c>
    </row>
    <row r="11195" spans="1:44" hidden="1">
      <c r="A11195" s="1" t="s">
        <v>22889</v>
      </c>
      <c r="C11195" s="1">
        <v>1</v>
      </c>
      <c r="D11195" s="1" t="str">
        <f>"09687"</f>
        <v>09687</v>
      </c>
      <c r="E11195" s="1" t="s">
        <v>77</v>
      </c>
      <c r="F11195" s="1">
        <v>13</v>
      </c>
      <c r="G11195" s="1">
        <v>6</v>
      </c>
      <c r="H11195" s="1">
        <v>3</v>
      </c>
      <c r="I11195" s="1" t="s">
        <v>22883</v>
      </c>
      <c r="K11195" s="1" t="str">
        <f t="shared" si="695"/>
        <v>ㄘ</v>
      </c>
      <c r="L11195" s="1" t="str">
        <f t="shared" si="698"/>
        <v/>
      </c>
      <c r="M11195" s="1" t="str">
        <f t="shared" si="699"/>
        <v/>
      </c>
      <c r="P11195" s="1" t="s">
        <v>20</v>
      </c>
      <c r="R11195" s="1" t="s">
        <v>22884</v>
      </c>
      <c r="V11195" s="1" t="s">
        <v>22890</v>
      </c>
      <c r="W11195" s="1" t="s">
        <v>22891</v>
      </c>
      <c r="AR11195" s="1" t="str">
        <f t="shared" si="697"/>
        <v>| [ㄘ](ㄘ.md) | [跐](跐.md) |  | cī | [動]
腳下滑動而使身體傾跌。《七俠五義》第五一回：「腳下一跐，也就溜下去了。」 |</v>
      </c>
    </row>
    <row r="11196" spans="1:44" hidden="1">
      <c r="A11196" s="1" t="s">
        <v>22892</v>
      </c>
      <c r="C11196" s="1">
        <v>1</v>
      </c>
      <c r="D11196" s="1" t="str">
        <f>"09688"</f>
        <v>09688</v>
      </c>
      <c r="E11196" s="1" t="s">
        <v>5383</v>
      </c>
      <c r="F11196" s="1">
        <v>14</v>
      </c>
      <c r="G11196" s="1">
        <v>6</v>
      </c>
      <c r="H11196" s="1">
        <v>1</v>
      </c>
      <c r="I11196" s="1" t="s">
        <v>22883</v>
      </c>
      <c r="K11196" s="1" t="str">
        <f t="shared" si="695"/>
        <v>ㄘ</v>
      </c>
      <c r="L11196" s="1" t="str">
        <f t="shared" si="698"/>
        <v/>
      </c>
      <c r="M11196" s="1" t="str">
        <f t="shared" si="699"/>
        <v/>
      </c>
      <c r="P11196" s="1" t="s">
        <v>20</v>
      </c>
      <c r="R11196" s="1" t="s">
        <v>22884</v>
      </c>
      <c r="V11196" s="1" t="s">
        <v>22893</v>
      </c>
      <c r="W11196" s="1" t="s">
        <v>22894</v>
      </c>
      <c r="AR11196" s="1" t="str">
        <f t="shared" si="697"/>
        <v>| [ㄘ](ㄘ.md) | [雌](雌.md) |  | cī | [名]
1.母鳥。《說文解字．隹部》：「雌，鳥母也。」《詩經．小雅．小弁》：「雉之朝雊，尚求其雌。」
2.特稱女性。唐．李白〈雙燕離〉詩：「憔悴一身在，孀雌憶故雄。」
3.形容聲音柔細。唐．韓愈〈病中贈張十八〉詩：「雌聲吐款要，酒壺綴羊腔。」宋．陸游《老學庵筆記》卷七：「韓魏公聲雌，文潞公步碎。」
[形]
1.陰性的、母的。與「雄」相對。如：「雌雄」、「雌蕊」、「雌兔」。
2.柔弱的。《淮南子．原道》：「是故聖人守清道而抱雌節。」漢．高誘．注：「雌，柔弱也。」
[動]
通「齜」。參見「雌牙露嘴」條。 |</v>
      </c>
    </row>
    <row r="11197" spans="1:44" hidden="1">
      <c r="A11197" s="1" t="s">
        <v>22895</v>
      </c>
      <c r="C11197" s="1">
        <v>1</v>
      </c>
      <c r="D11197" s="1" t="str">
        <f>"09689"</f>
        <v>09689</v>
      </c>
      <c r="E11197" s="1" t="s">
        <v>283</v>
      </c>
      <c r="F11197" s="1">
        <v>16</v>
      </c>
      <c r="G11197" s="1">
        <v>6</v>
      </c>
      <c r="H11197" s="1">
        <v>0</v>
      </c>
      <c r="I11197" s="1" t="s">
        <v>22883</v>
      </c>
      <c r="K11197" s="1" t="str">
        <f t="shared" si="695"/>
        <v>ㄘ</v>
      </c>
      <c r="L11197" s="1" t="str">
        <f t="shared" si="698"/>
        <v/>
      </c>
      <c r="M11197" s="1" t="str">
        <f t="shared" si="699"/>
        <v/>
      </c>
      <c r="P11197" s="1" t="s">
        <v>20</v>
      </c>
      <c r="R11197" s="1" t="s">
        <v>22884</v>
      </c>
      <c r="V11197" s="1" t="s">
        <v>22896</v>
      </c>
      <c r="AR11197" s="1" t="str">
        <f t="shared" si="697"/>
        <v>| [ㄘ](ㄘ.md) | [骴](骴.md) |  | cī | [名]
留有腐肉的骸骨。唐．韓愈〈寄崔二十六立之〉詩：「過半黑頭死，陰蟲食枯骴。」《明史．卷三〇九．流賊傳．李自成傳》：「自成兵所至風靡，乃詣米脂祭墓。向為官軍所發，焚棄遺骴，築土封之。」 |</v>
      </c>
    </row>
    <row r="11198" spans="1:44" hidden="1">
      <c r="A11198" s="1" t="s">
        <v>19458</v>
      </c>
      <c r="C11198" s="1">
        <v>1</v>
      </c>
      <c r="D11198" s="1" t="str">
        <f>"09690"</f>
        <v>09690</v>
      </c>
      <c r="E11198" s="1" t="s">
        <v>10636</v>
      </c>
      <c r="F11198" s="1">
        <v>10</v>
      </c>
      <c r="G11198" s="1">
        <v>7</v>
      </c>
      <c r="H11198" s="1">
        <v>5</v>
      </c>
      <c r="I11198" s="1" t="s">
        <v>22883</v>
      </c>
      <c r="K11198" s="1" t="str">
        <f t="shared" si="695"/>
        <v>ㄘ</v>
      </c>
      <c r="L11198" s="1" t="str">
        <f t="shared" si="698"/>
        <v/>
      </c>
      <c r="M11198" s="1" t="str">
        <f t="shared" si="699"/>
        <v/>
      </c>
      <c r="P11198" s="1" t="s">
        <v>20</v>
      </c>
      <c r="R11198" s="1" t="s">
        <v>22884</v>
      </c>
      <c r="V11198" s="1" t="s">
        <v>22897</v>
      </c>
      <c r="W11198" s="1" t="s">
        <v>22898</v>
      </c>
      <c r="AR11198" s="1" t="str">
        <f t="shared" si="697"/>
        <v>| [ㄘ](ㄘ.md) | [差](差.md) |  | cī | [形]
不整齊、不齊一。如：「參差」、「差互」。
[動]
分別、區分。《荀子．大略》：「列官職，差爵祿，非以尊大夫而已。」《元史．卷七二．呂思誠傳》：「差民戶為三等，均其徭役。」
[名]
等級。《孟子．滕文公上》：「愛無差等，施由親始。」 |</v>
      </c>
    </row>
    <row r="11199" spans="1:44" hidden="1">
      <c r="A11199" s="1" t="s">
        <v>22254</v>
      </c>
      <c r="C11199" s="1">
        <v>1</v>
      </c>
      <c r="D11199" s="1" t="str">
        <f>"09691"</f>
        <v>09691</v>
      </c>
      <c r="E11199" s="1" t="s">
        <v>283</v>
      </c>
      <c r="F11199" s="1">
        <v>20</v>
      </c>
      <c r="G11199" s="1">
        <v>10</v>
      </c>
      <c r="H11199" s="1">
        <v>1</v>
      </c>
      <c r="I11199" s="1" t="s">
        <v>22883</v>
      </c>
      <c r="K11199" s="1" t="str">
        <f t="shared" si="695"/>
        <v>ㄘ</v>
      </c>
      <c r="L11199" s="1" t="str">
        <f t="shared" si="698"/>
        <v/>
      </c>
      <c r="M11199" s="1" t="str">
        <f t="shared" si="699"/>
        <v/>
      </c>
      <c r="P11199" s="1" t="s">
        <v>20</v>
      </c>
      <c r="R11199" s="1" t="s">
        <v>22884</v>
      </c>
      <c r="V11199" s="1" t="s">
        <v>22899</v>
      </c>
      <c r="W11199" s="1" t="s">
        <v>22900</v>
      </c>
      <c r="AR11199" s="1" t="str">
        <f t="shared" si="697"/>
        <v>| [ㄘ](ㄘ.md) | [髊](髊.md) |  | cī | [名]
鳥獸的殘骨。《集韻．去聲．寘韻》：「骴，鳥獸殘骨。亦作髊。」 |</v>
      </c>
    </row>
    <row r="11200" spans="1:44" hidden="1">
      <c r="A11200" s="1" t="s">
        <v>22137</v>
      </c>
      <c r="C11200" s="1">
        <v>1</v>
      </c>
      <c r="D11200" s="1" t="str">
        <f>"09692"</f>
        <v>09692</v>
      </c>
      <c r="E11200" s="1" t="s">
        <v>250</v>
      </c>
      <c r="F11200" s="1">
        <v>10</v>
      </c>
      <c r="G11200" s="1">
        <v>6</v>
      </c>
      <c r="H11200" s="1">
        <v>3</v>
      </c>
      <c r="I11200" s="1" t="s">
        <v>22883</v>
      </c>
      <c r="K11200" s="1" t="str">
        <f t="shared" ref="K11200:K11263" si="700">LEFT(I11200, 1)</f>
        <v>ㄘ</v>
      </c>
      <c r="L11200" s="1" t="str">
        <f t="shared" ref="L11200:L11221" si="701">MID(I11200, 2, 1)</f>
        <v/>
      </c>
      <c r="M11200" s="1" t="str">
        <f t="shared" si="699"/>
        <v/>
      </c>
      <c r="P11200" s="1" t="s">
        <v>20</v>
      </c>
      <c r="R11200" s="1" t="s">
        <v>22884</v>
      </c>
      <c r="V11200" s="1" t="s">
        <v>22901</v>
      </c>
      <c r="W11200" s="1" t="s">
        <v>22902</v>
      </c>
      <c r="AR11200" s="1" t="str">
        <f t="shared" si="697"/>
        <v>| [ㄘ](ㄘ.md) | [恣](恣.md) |  | cī | 參見「恣睢」條。 |</v>
      </c>
    </row>
    <row r="11201" spans="1:44" hidden="1">
      <c r="A11201" s="1" t="s">
        <v>19484</v>
      </c>
      <c r="C11201" s="1">
        <v>1</v>
      </c>
      <c r="D11201" s="1" t="str">
        <f>"09720"</f>
        <v>09720</v>
      </c>
      <c r="E11201" s="1" t="s">
        <v>24</v>
      </c>
      <c r="F11201" s="1">
        <v>13</v>
      </c>
      <c r="G11201" s="1">
        <v>10</v>
      </c>
      <c r="H11201" s="1">
        <v>2</v>
      </c>
      <c r="I11201" s="1" t="s">
        <v>22961</v>
      </c>
      <c r="K11201" s="1" t="str">
        <f t="shared" si="700"/>
        <v>ㄘ</v>
      </c>
      <c r="L11201" s="1" t="str">
        <f t="shared" si="701"/>
        <v>ㄚ</v>
      </c>
      <c r="M11201" s="1" t="str">
        <f t="shared" si="699"/>
        <v/>
      </c>
      <c r="P11201" s="1" t="s">
        <v>110</v>
      </c>
      <c r="R11201" s="1" t="s">
        <v>22962</v>
      </c>
      <c r="V11201" s="1" t="s">
        <v>111</v>
      </c>
      <c r="W11201" s="1" t="s">
        <v>22963</v>
      </c>
      <c r="AR11201" s="1" t="str">
        <f t="shared" si="697"/>
        <v>| [ㄘㄚ](ㄘㄚ.md) | [搽](搽.md) |  | cā | (一)之又音。 |</v>
      </c>
    </row>
    <row r="11202" spans="1:44" hidden="1">
      <c r="A11202" s="1" t="s">
        <v>22964</v>
      </c>
      <c r="C11202" s="1">
        <v>1</v>
      </c>
      <c r="D11202" s="1" t="str">
        <f>"09721"</f>
        <v>09721</v>
      </c>
      <c r="E11202" s="1" t="s">
        <v>24</v>
      </c>
      <c r="F11202" s="1">
        <v>17</v>
      </c>
      <c r="G11202" s="1">
        <v>14</v>
      </c>
      <c r="H11202" s="1">
        <v>0</v>
      </c>
      <c r="I11202" s="1" t="s">
        <v>22961</v>
      </c>
      <c r="K11202" s="1" t="str">
        <f t="shared" si="700"/>
        <v>ㄘ</v>
      </c>
      <c r="L11202" s="1" t="str">
        <f t="shared" si="701"/>
        <v>ㄚ</v>
      </c>
      <c r="M11202" s="1" t="str">
        <f t="shared" si="699"/>
        <v/>
      </c>
      <c r="P11202" s="1" t="s">
        <v>20</v>
      </c>
      <c r="R11202" s="1" t="s">
        <v>22962</v>
      </c>
      <c r="V11202" s="1" t="s">
        <v>22965</v>
      </c>
      <c r="AR11202" s="1" t="str">
        <f t="shared" si="697"/>
        <v>| [ㄘㄚ](ㄘㄚ.md) | [擦](擦.md) |  | cā | [動]
1.摩。如：「摩拳擦掌」。《老殘遊記》第二回：「那荷葉初枯，擦的船嗤嗤價響。」
2.揩拭。如：「擦掉」、「擦皮鞋」。《紅樓夢》第四〇回：「李紈先侵晨起來，看著老婆子丫頭們掃那些落葉，並擦抹桌椅，預備茶酒器皿。」
3.塗抹。如：「擦藥」、「擦油」。《紅樓夢》第四四回：「姐姐還該擦上些脂粉，不然，倒像是和鳳姐姐賭氣子似的。」
4.貼近、靠近。如：「擦身而過」、「擦肩而過」。
[名]
擦抹的用具。如：「黑板擦」、「橡皮擦」。 |</v>
      </c>
    </row>
    <row r="11203" spans="1:44" hidden="1">
      <c r="A11203" s="1" t="s">
        <v>22994</v>
      </c>
      <c r="C11203" s="1">
        <v>1</v>
      </c>
      <c r="D11203" s="1" t="str">
        <f>"09733"</f>
        <v>09733</v>
      </c>
      <c r="E11203" s="1" t="s">
        <v>198</v>
      </c>
      <c r="F11203" s="1">
        <v>11</v>
      </c>
      <c r="G11203" s="1">
        <v>8</v>
      </c>
      <c r="H11203" s="1">
        <v>0</v>
      </c>
      <c r="I11203" s="1" t="s">
        <v>22995</v>
      </c>
      <c r="K11203" s="1" t="str">
        <f t="shared" si="700"/>
        <v>ㄘ</v>
      </c>
      <c r="L11203" s="1" t="str">
        <f t="shared" si="701"/>
        <v>ㄞ</v>
      </c>
      <c r="M11203" s="1" t="str">
        <f t="shared" si="699"/>
        <v/>
      </c>
      <c r="P11203" s="1" t="s">
        <v>20</v>
      </c>
      <c r="R11203" s="1" t="s">
        <v>22996</v>
      </c>
      <c r="V11203" s="1" t="s">
        <v>22997</v>
      </c>
      <c r="AR11203" s="1" t="str">
        <f t="shared" ref="AR11203:AR11266" si="702">"| ["&amp;I11203&amp;"]("&amp;I11203&amp;".md) | ["&amp;A11203&amp;"]("&amp;A11203&amp;".md) | "&amp;" | "&amp;R11203&amp;" | "&amp;V11203&amp;" |"</f>
        <v>| [ㄘㄞ](ㄘㄞ.md) | [猜](猜.md) |  | cāi | [動]
1.懷疑、起疑心。如：「猜忌」。《左傳．昭公三年》：「雖朝夕辱於敝邑，寡君猜焉。」宋．歐陽修〈清平樂．小庭春老〉詞：「別來音信全乖。舊期前事堪猜。」
2.推測、想像。如：「猜測」、「猜想」。《紅樓夢》第五〇回：「眾人都不解，想了半日，也有猜是和尚的，也有猜是道士的，也有猜是偶戲人的。」
[名]
忌疑、妒恨之心。如：「兩小無猜」。《後漢書．卷三八．馮緄傳》：「苟曰無猜，盜跖可信。」 |</v>
      </c>
    </row>
    <row r="11204" spans="1:44" hidden="1">
      <c r="A11204" s="1" t="s">
        <v>23042</v>
      </c>
      <c r="C11204" s="1">
        <v>1</v>
      </c>
      <c r="D11204" s="1" t="str">
        <f>"09752"</f>
        <v>09752</v>
      </c>
      <c r="E11204" s="1" t="s">
        <v>24</v>
      </c>
      <c r="F11204" s="1">
        <v>16</v>
      </c>
      <c r="G11204" s="1">
        <v>13</v>
      </c>
      <c r="H11204" s="1">
        <v>1</v>
      </c>
      <c r="I11204" s="1" t="s">
        <v>23043</v>
      </c>
      <c r="K11204" s="1" t="str">
        <f t="shared" si="700"/>
        <v>ㄘ</v>
      </c>
      <c r="L11204" s="1" t="str">
        <f t="shared" si="701"/>
        <v>ㄠ</v>
      </c>
      <c r="M11204" s="1" t="str">
        <f t="shared" si="699"/>
        <v/>
      </c>
      <c r="P11204" s="1" t="s">
        <v>20</v>
      </c>
      <c r="R11204" s="1" t="s">
        <v>23044</v>
      </c>
      <c r="V11204" s="1" t="s">
        <v>23045</v>
      </c>
      <c r="W11204" s="1" t="s">
        <v>23046</v>
      </c>
      <c r="AR11204" s="1" t="str">
        <f t="shared" si="702"/>
        <v>| [ㄘㄠ](ㄘㄠ.md) | [操](操.md) |  | cāo | [動]_x000D_
1.持、拿。《左傳．襄公三十一年》：「今吾子愛人則以政，猶未能操刀而使割也，其傷實多。」漢．王充《論衡．感虛》：「武王左操黃鉞，右執白旄，瞋目而麾之。」_x000D_
2.掌握。《商君書．弱民》：「主變事能得齊國守安，主操權利。」_x000D_
3.駕駛。《莊子．達生》：「吾嘗濟乎觴深之淵，津人操舟若神。」《楚辭．屈原．九章．思美人》：「勒騏驥而更駕兮，造父為我操之。」_x000D_
4.從事。如：「重操舊業」。《聊齋志異．卷四．促織》：「邑有成名者，操童子業，久不售。」_x000D_
5.訓練、鍛鍊。如：「操兵演練」。清．孔尚任《桃花扇》第三一齣：「今日江上大操，看他兵馬過處，雞犬無聲，好不肅靜。」_x000D_
6.使用某種語言或口音說話。如：「操英語」、「操北方口音」。_x000D_
[名]_x000D_
1.一種經過設計，用來鍛鍊體力的運動。如：「體操」、「早操」、「暖身操」、「健美操」。_x000D_
2.品格、德行。如：「節操」、「操守」。《孟子．滕文公下》：「充仲子之操，則蚓而後可者也。」_x000D_
3.琴曲。《列子．湯問》：「伯牙游於泰山之陰，卒逢暴雨，止於巖下，心悲；乃援琴而鼓之，初為霖雨之操，更造崩山之音。」《紅樓夢》第八七回：「又將琴譜翻出，借他猗蘭思賢兩操，合成音韻。」_x000D_
4.姓。如明代有操欽。 |</v>
      </c>
    </row>
    <row r="11205" spans="1:44" hidden="1">
      <c r="A11205" s="1" t="s">
        <v>23047</v>
      </c>
      <c r="C11205" s="1">
        <v>1</v>
      </c>
      <c r="D11205" s="1" t="str">
        <f>"09753"</f>
        <v>09753</v>
      </c>
      <c r="E11205" s="1" t="s">
        <v>46</v>
      </c>
      <c r="F11205" s="1">
        <v>17</v>
      </c>
      <c r="G11205" s="1">
        <v>11</v>
      </c>
      <c r="H11205" s="1">
        <v>1</v>
      </c>
      <c r="I11205" s="1" t="s">
        <v>23043</v>
      </c>
      <c r="K11205" s="1" t="str">
        <f t="shared" si="700"/>
        <v>ㄘ</v>
      </c>
      <c r="L11205" s="1" t="str">
        <f t="shared" si="701"/>
        <v>ㄠ</v>
      </c>
      <c r="M11205" s="1" t="str">
        <f t="shared" si="699"/>
        <v/>
      </c>
      <c r="P11205" s="1" t="s">
        <v>388</v>
      </c>
      <c r="R11205" s="1" t="s">
        <v>23044</v>
      </c>
      <c r="V11205" s="1" t="s">
        <v>23048</v>
      </c>
      <c r="W11205" s="1" t="s">
        <v>23049</v>
      </c>
      <c r="AR11205" s="1" t="str">
        <f t="shared" si="702"/>
        <v>| [ㄘㄠ](ㄘㄠ.md) | [糙](糙.md) |  | cāo | [名]
參見「糙米」條。
[形]
1.不細緻。如：「粗糙」。清．洪昇《長生殿》第二一齣：「春纖十個擂槌，玉體渾身糙漆。」
2.草率、鹵莽。如：「毛糙」。《兒女英雄傳》第三九回：「老弟，你瞧愚兄是個糙人，也不懂得如今那些拜老師收門生的規矩。」 |</v>
      </c>
    </row>
    <row r="11206" spans="1:44" hidden="1">
      <c r="A11206" s="1" t="s">
        <v>21189</v>
      </c>
      <c r="C11206" s="1">
        <v>1</v>
      </c>
      <c r="D11206" s="1" t="str">
        <f>"09773"</f>
        <v>09773</v>
      </c>
      <c r="E11206" s="1" t="s">
        <v>14794</v>
      </c>
      <c r="F11206" s="1">
        <v>11</v>
      </c>
      <c r="G11206" s="1">
        <v>9</v>
      </c>
      <c r="H11206" s="1">
        <v>1</v>
      </c>
      <c r="I11206" s="1" t="s">
        <v>23093</v>
      </c>
      <c r="K11206" s="1" t="str">
        <f t="shared" si="700"/>
        <v>ㄘ</v>
      </c>
      <c r="L11206" s="1" t="str">
        <f t="shared" si="701"/>
        <v>ㄢ</v>
      </c>
      <c r="M11206" s="1" t="str">
        <f t="shared" si="699"/>
        <v/>
      </c>
      <c r="P11206" s="1" t="s">
        <v>20</v>
      </c>
      <c r="R11206" s="1" t="s">
        <v>23094</v>
      </c>
      <c r="V11206" s="1" t="s">
        <v>23095</v>
      </c>
      <c r="W11206" s="1" t="s">
        <v>23096</v>
      </c>
      <c r="AR11206" s="1" t="str">
        <f t="shared" si="702"/>
        <v>| [ㄘㄢ](ㄘㄢ.md) | [參](參.md) |  | cān | [動]
1.摻雜。唐．魏徵〈論時政疏〉：「雜茅茨於桂棟，參玉砌於土階。」
2.加入。如：「參戰」、「參政」。
3.進謁。如：「參拜」、「參見」。《北史．卷六十四．韋孝寬傳》：「每夷狄參謁，必整儀衛，盛服以見之。」
4.彈劾。《喻世明言．卷四〇．沈小霞相會出師表》：「卻說保安州父老，聞知沈經歷為上本參嚴閣老貶斥到此，人人敬仰，都來拜望。」《紅樓夢》第二回：「不上兩年，便被上司尋了一個空隙，作成一本，參他『生性狡滑，擅纂禮儀。』」
5.研究。如：「參禪」、「參透」。
[副]
驗證。《荀子．解蔽》：「疏觀萬物而知其情，參稽治亂而通其度。」 |</v>
      </c>
    </row>
    <row r="11207" spans="1:44" hidden="1">
      <c r="A11207" s="1" t="s">
        <v>23097</v>
      </c>
      <c r="C11207" s="1">
        <v>1</v>
      </c>
      <c r="D11207" s="1" t="str">
        <f>"09774"</f>
        <v>09774</v>
      </c>
      <c r="E11207" s="1" t="s">
        <v>319</v>
      </c>
      <c r="F11207" s="1">
        <v>21</v>
      </c>
      <c r="G11207" s="1">
        <v>11</v>
      </c>
      <c r="H11207" s="1">
        <v>0</v>
      </c>
      <c r="I11207" s="1" t="s">
        <v>23093</v>
      </c>
      <c r="K11207" s="1" t="str">
        <f t="shared" si="700"/>
        <v>ㄘ</v>
      </c>
      <c r="L11207" s="1" t="str">
        <f t="shared" si="701"/>
        <v>ㄢ</v>
      </c>
      <c r="M11207" s="1" t="str">
        <f t="shared" si="699"/>
        <v/>
      </c>
      <c r="P11207" s="1" t="s">
        <v>20</v>
      </c>
      <c r="R11207" s="1" t="s">
        <v>23094</v>
      </c>
      <c r="V11207" s="1" t="s">
        <v>23098</v>
      </c>
      <c r="AR11207" s="1" t="str">
        <f t="shared" si="702"/>
        <v>| [ㄘㄢ](ㄘㄢ.md) | [驂](驂.md) |  | cān | [名]
1.古代在車旁駕車的兩匹馬。《詩經．鄭風．大叔于田》：「執轡如組，兩驂如舞。」《楚辭．屈原．九歌．國殤》：「凌余陣兮躐余行，左驂殪兮右刃傷。」
2.泛指馬匹。《文選．謝朓．新亭渚別范零陵詩》：「停驂我悵望，輟棹子夷猶。」唐．賈島〈別徐明府〉詩：「明日疲驂去，蕭條過古城。」
[動]
乘、駕。《楚辭．屈原．九章．涉江》：「駕青虯兮驂白螭，吾與重華遊兮瑤之圃。」 |</v>
      </c>
    </row>
    <row r="11208" spans="1:44" hidden="1">
      <c r="A11208" s="1" t="s">
        <v>23099</v>
      </c>
      <c r="C11208" s="1">
        <v>1</v>
      </c>
      <c r="D11208" s="1" t="str">
        <f>"09775"</f>
        <v>09775</v>
      </c>
      <c r="E11208" s="1" t="s">
        <v>193</v>
      </c>
      <c r="F11208" s="1">
        <v>16</v>
      </c>
      <c r="G11208" s="1">
        <v>7</v>
      </c>
      <c r="H11208" s="1">
        <v>0</v>
      </c>
      <c r="I11208" s="1" t="s">
        <v>23093</v>
      </c>
      <c r="K11208" s="1" t="str">
        <f t="shared" si="700"/>
        <v>ㄘ</v>
      </c>
      <c r="L11208" s="1" t="str">
        <f t="shared" si="701"/>
        <v>ㄢ</v>
      </c>
      <c r="M11208" s="1" t="str">
        <f t="shared" si="699"/>
        <v/>
      </c>
      <c r="P11208" s="1" t="s">
        <v>20</v>
      </c>
      <c r="R11208" s="1" t="s">
        <v>23094</v>
      </c>
      <c r="V11208" s="1" t="s">
        <v>23100</v>
      </c>
      <c r="AR11208" s="1" t="str">
        <f t="shared" si="702"/>
        <v>| [ㄘㄢ](ㄘㄢ.md) | [餐](餐.md) |  | cān | [動]
1.吃、食。如：「聚餐」、「野餐」。《詩經．鄭風．狡童》：「維子之故，使我不能餐兮。」
2.捱、受。元．康進之《李逵負荊》第四折：「呼保義哥哥見責，我李山兒情願餐柴。」元．無名氏《陳州糶米》第一折：「有一日受法，餐刀正典刑。」
3.採取、聽取。《文選．王儉．褚淵碑文》：「餐輿誦於丘里，瞻雅詠於京國。」
[名]
1.食物、飯食。如：「早餐」、「西餐」。
2.量詞。計算飲食次數的單位。如：「一天三餐飯」。 |</v>
      </c>
    </row>
    <row r="11209" spans="1:44" hidden="1">
      <c r="A11209" s="1" t="s">
        <v>21189</v>
      </c>
      <c r="C11209" s="1">
        <v>1</v>
      </c>
      <c r="D11209" s="1" t="str">
        <f>"09788"</f>
        <v>09788</v>
      </c>
      <c r="E11209" s="1" t="s">
        <v>14794</v>
      </c>
      <c r="F11209" s="1">
        <v>11</v>
      </c>
      <c r="G11209" s="1">
        <v>9</v>
      </c>
      <c r="H11209" s="1">
        <v>3</v>
      </c>
      <c r="I11209" s="1" t="s">
        <v>23131</v>
      </c>
      <c r="K11209" s="1" t="str">
        <f t="shared" si="700"/>
        <v>ㄘ</v>
      </c>
      <c r="L11209" s="1" t="str">
        <f t="shared" si="701"/>
        <v>ㄣ</v>
      </c>
      <c r="M11209" s="1" t="str">
        <f t="shared" si="699"/>
        <v/>
      </c>
      <c r="P11209" s="1" t="s">
        <v>20</v>
      </c>
      <c r="R11209" s="1" t="s">
        <v>23132</v>
      </c>
      <c r="V11209" s="1" t="s">
        <v>23133</v>
      </c>
      <c r="W11209" s="1" t="s">
        <v>23134</v>
      </c>
      <c r="AR11209" s="1" t="str">
        <f t="shared" si="702"/>
        <v>| [ㄘㄣ](ㄘㄣ.md) | [參](參.md) |  | cēn | 參見「參差」、「參錯」等條。 |</v>
      </c>
    </row>
    <row r="11210" spans="1:44" hidden="1">
      <c r="A11210" s="1" t="s">
        <v>23135</v>
      </c>
      <c r="C11210" s="1">
        <v>1</v>
      </c>
      <c r="D11210" s="1" t="str">
        <f>"09789"</f>
        <v>09789</v>
      </c>
      <c r="E11210" s="1" t="s">
        <v>190</v>
      </c>
      <c r="F11210" s="1">
        <v>14</v>
      </c>
      <c r="G11210" s="1">
        <v>11</v>
      </c>
      <c r="H11210" s="1">
        <v>0</v>
      </c>
      <c r="I11210" s="1" t="s">
        <v>23131</v>
      </c>
      <c r="K11210" s="1" t="str">
        <f t="shared" si="700"/>
        <v>ㄘ</v>
      </c>
      <c r="L11210" s="1" t="str">
        <f t="shared" si="701"/>
        <v>ㄣ</v>
      </c>
      <c r="M11210" s="1" t="str">
        <f t="shared" si="699"/>
        <v/>
      </c>
      <c r="P11210" s="1" t="s">
        <v>20</v>
      </c>
      <c r="R11210" s="1" t="s">
        <v>23132</v>
      </c>
      <c r="V11210" s="1" t="s">
        <v>23136</v>
      </c>
      <c r="AR11210" s="1" t="str">
        <f t="shared" si="702"/>
        <v>| [ㄘㄣ](ㄘㄣ.md) | [嵾](嵾.md) |  | cēn | [形]
嵾嵯：不整齊。《文選．司馬相如．上林賦》：「深林巨木，嶄巖嵾嵯。」《楚辭．劉向．九歎．遠逝》：「阜隘狹而幽險兮，石嵾嵯以翳日。」 |</v>
      </c>
    </row>
    <row r="11211" spans="1:44" hidden="1">
      <c r="A11211" s="1" t="s">
        <v>22510</v>
      </c>
      <c r="C11211" s="1">
        <v>1</v>
      </c>
      <c r="D11211" s="1" t="str">
        <f>"09790"</f>
        <v>09790</v>
      </c>
      <c r="E11211" s="1" t="s">
        <v>49</v>
      </c>
      <c r="F11211" s="1">
        <v>17</v>
      </c>
      <c r="G11211" s="1">
        <v>11</v>
      </c>
      <c r="H11211" s="1">
        <v>1</v>
      </c>
      <c r="I11211" s="1" t="s">
        <v>23131</v>
      </c>
      <c r="K11211" s="1" t="str">
        <f t="shared" si="700"/>
        <v>ㄘ</v>
      </c>
      <c r="L11211" s="1" t="str">
        <f t="shared" si="701"/>
        <v>ㄣ</v>
      </c>
      <c r="M11211" s="1" t="str">
        <f t="shared" si="699"/>
        <v/>
      </c>
      <c r="P11211" s="1" t="s">
        <v>20</v>
      </c>
      <c r="R11211" s="1" t="s">
        <v>23132</v>
      </c>
      <c r="V11211" s="1" t="s">
        <v>23137</v>
      </c>
      <c r="W11211" s="1" t="s">
        <v>23138</v>
      </c>
      <c r="AR11211" s="1" t="str">
        <f t="shared" si="702"/>
        <v>| [ㄘㄣ](ㄘㄣ.md) | [篸](篸.md) |  | cēn | [形]
長短不齊的樣子。《說文解字．竹部》：「篸，篸差也。」清．段玉裁．注：「蓋物有長有短，則參差不齊，竹、木皆然。今人作『參差』。」 |</v>
      </c>
    </row>
    <row r="11212" spans="1:44" hidden="1">
      <c r="A11212" s="1" t="s">
        <v>23145</v>
      </c>
      <c r="C11212" s="1">
        <v>1</v>
      </c>
      <c r="D11212" s="1" t="str">
        <f>"09793"</f>
        <v>09793</v>
      </c>
      <c r="E11212" s="1" t="s">
        <v>114</v>
      </c>
      <c r="F11212" s="1">
        <v>10</v>
      </c>
      <c r="G11212" s="1">
        <v>8</v>
      </c>
      <c r="H11212" s="1">
        <v>0</v>
      </c>
      <c r="I11212" s="1" t="s">
        <v>23146</v>
      </c>
      <c r="K11212" s="1" t="str">
        <f t="shared" si="700"/>
        <v>ㄘ</v>
      </c>
      <c r="L11212" s="1" t="str">
        <f t="shared" si="701"/>
        <v>ㄤ</v>
      </c>
      <c r="M11212" s="1" t="str">
        <f t="shared" si="699"/>
        <v/>
      </c>
      <c r="P11212" s="1" t="s">
        <v>20</v>
      </c>
      <c r="R11212" s="1" t="s">
        <v>23147</v>
      </c>
      <c r="V11212" s="1" t="s">
        <v>23148</v>
      </c>
      <c r="AR11212" s="1" t="str">
        <f t="shared" si="702"/>
        <v>| [ㄘㄤ](ㄘㄤ.md) | [倉](倉.md) |  | cāng | [名]
1.收藏穀物的地方。如：「米倉」。唐．聶夷中〈田家〉詩二首之一：「六月禾未秀，官家已修倉。」
2.泛指屯聚物品的建築物。如：「貨倉」、「鹽倉」。
3.船的內部。通「艙」。宋．楊萬里〈五月初二日苦熱〉詩：「船倉周圍各五尺，且道此中底寬窄。」
4.姓。如春秋時周有倉葛。
[形]
青色的。通「蒼」。《禮記．月令》：「駕倉龍，載青旂。」
[副]
匆促的樣子。參見「倉皇」、「倉卒」等條。 |</v>
      </c>
    </row>
    <row r="11213" spans="1:44" hidden="1">
      <c r="A11213" s="1" t="s">
        <v>20110</v>
      </c>
      <c r="C11213" s="1">
        <v>1</v>
      </c>
      <c r="D11213" s="1" t="str">
        <f>"09794"</f>
        <v>09794</v>
      </c>
      <c r="E11213" s="1" t="s">
        <v>114</v>
      </c>
      <c r="F11213" s="1">
        <v>12</v>
      </c>
      <c r="G11213" s="1">
        <v>10</v>
      </c>
      <c r="H11213" s="1">
        <v>1</v>
      </c>
      <c r="I11213" s="1" t="s">
        <v>23146</v>
      </c>
      <c r="K11213" s="1" t="str">
        <f t="shared" si="700"/>
        <v>ㄘ</v>
      </c>
      <c r="L11213" s="1" t="str">
        <f t="shared" si="701"/>
        <v>ㄤ</v>
      </c>
      <c r="M11213" s="1" t="str">
        <f t="shared" si="699"/>
        <v/>
      </c>
      <c r="P11213" s="1" t="s">
        <v>20</v>
      </c>
      <c r="R11213" s="1" t="s">
        <v>23147</v>
      </c>
      <c r="V11213" s="1" t="s">
        <v>23149</v>
      </c>
      <c r="W11213" s="1" t="s">
        <v>23150</v>
      </c>
      <c r="AR11213" s="1" t="str">
        <f t="shared" si="702"/>
        <v>| [ㄘㄤ](ㄘㄤ.md) | [傖](傖.md) |  | cāng | [名]
庸俗鄙賤的人。如：「愚傖」。清．劉獻廷《廣陽雜記》卷四：「此等書不知出于何傖之手，乃託文章巨公之名，以誑世之聾瞽。」
[形]
粗俗、粗鄙。唐．劉禹錫〈楚望賦〉：「傖音俚態，幽怨委曲。」宋．蘇軾〈荊州〉詩一〇首之五：「遊人多問卜，傖叟盡攜龜。」 |</v>
      </c>
    </row>
    <row r="11214" spans="1:44" hidden="1">
      <c r="A11214" s="1" t="s">
        <v>23151</v>
      </c>
      <c r="C11214" s="1">
        <v>1</v>
      </c>
      <c r="D11214" s="1" t="str">
        <f>"09795"</f>
        <v>09795</v>
      </c>
      <c r="E11214" s="1" t="s">
        <v>129</v>
      </c>
      <c r="F11214" s="1">
        <v>13</v>
      </c>
      <c r="G11214" s="1">
        <v>10</v>
      </c>
      <c r="H11214" s="1">
        <v>0</v>
      </c>
      <c r="I11214" s="1" t="s">
        <v>23146</v>
      </c>
      <c r="K11214" s="1" t="str">
        <f t="shared" si="700"/>
        <v>ㄘ</v>
      </c>
      <c r="L11214" s="1" t="str">
        <f t="shared" si="701"/>
        <v>ㄤ</v>
      </c>
      <c r="M11214" s="1" t="str">
        <f t="shared" si="699"/>
        <v/>
      </c>
      <c r="P11214" s="1" t="s">
        <v>20</v>
      </c>
      <c r="R11214" s="1" t="s">
        <v>23147</v>
      </c>
      <c r="V11214" s="1" t="s">
        <v>23152</v>
      </c>
      <c r="AR11214" s="1" t="str">
        <f t="shared" si="702"/>
        <v>| [ㄘㄤ](ㄘㄤ.md) | [滄](滄.md) |  | cāng | [形]
1.寒。《說文解字．水部》：「滄，寒也。」《文選．枚乘．上書諫吳王》：「欲湯之滄，一人炊之，百人揚之，無益也，不如絕薪止火而已。」
2.青綠色的。通「蒼」。《文選．揚雄．甘泉賦》：「東爥滄海，西耀流沙。」唐．杜甫〈秋興〉詩八首之五：「一臥滄江驚歲晚，幾迴青瑣照朝班。」 |</v>
      </c>
    </row>
    <row r="11215" spans="1:44" hidden="1">
      <c r="A11215" s="1" t="s">
        <v>23153</v>
      </c>
      <c r="C11215" s="1">
        <v>1</v>
      </c>
      <c r="D11215" s="1" t="str">
        <f>"09796"</f>
        <v>09796</v>
      </c>
      <c r="E11215" s="1" t="s">
        <v>37</v>
      </c>
      <c r="F11215" s="1">
        <v>14</v>
      </c>
      <c r="G11215" s="1">
        <v>10</v>
      </c>
      <c r="H11215" s="1">
        <v>0</v>
      </c>
      <c r="I11215" s="1" t="s">
        <v>23146</v>
      </c>
      <c r="K11215" s="1" t="str">
        <f t="shared" si="700"/>
        <v>ㄘ</v>
      </c>
      <c r="L11215" s="1" t="str">
        <f t="shared" si="701"/>
        <v>ㄤ</v>
      </c>
      <c r="M11215" s="1" t="str">
        <f t="shared" si="699"/>
        <v/>
      </c>
      <c r="P11215" s="1" t="s">
        <v>20</v>
      </c>
      <c r="R11215" s="1" t="s">
        <v>23147</v>
      </c>
      <c r="V11215" s="1" t="s">
        <v>23154</v>
      </c>
      <c r="AR11215" s="1" t="str">
        <f t="shared" si="702"/>
        <v>| [ㄘㄤ](ㄘㄤ.md) | [蒼](蒼.md) |  | cāng | [名]
1.草色、深青色。《黃帝內經素問．卷二．陰陽應象大論》：「在色為蒼，在音為角。」
2.姓。如漢代有蒼英。
[形]
1.頭髮斑白的。如：「白髮蒼蒼」。唐．杜甫〈贈衛八處士〉詩：「少壯能幾時，鬢髮各已蒼。」
2.青色的。如：「蒼天」、「蒼苔」。 |</v>
      </c>
    </row>
    <row r="11216" spans="1:44" hidden="1">
      <c r="A11216" s="1" t="s">
        <v>23155</v>
      </c>
      <c r="C11216" s="1">
        <v>1</v>
      </c>
      <c r="D11216" s="1" t="str">
        <f>"09797"</f>
        <v>09797</v>
      </c>
      <c r="E11216" s="1" t="s">
        <v>181</v>
      </c>
      <c r="F11216" s="1">
        <v>16</v>
      </c>
      <c r="G11216" s="1">
        <v>10</v>
      </c>
      <c r="H11216" s="1">
        <v>0</v>
      </c>
      <c r="I11216" s="1" t="s">
        <v>23146</v>
      </c>
      <c r="K11216" s="1" t="str">
        <f t="shared" si="700"/>
        <v>ㄘ</v>
      </c>
      <c r="L11216" s="1" t="str">
        <f t="shared" si="701"/>
        <v>ㄤ</v>
      </c>
      <c r="M11216" s="1" t="str">
        <f t="shared" si="699"/>
        <v/>
      </c>
      <c r="P11216" s="1" t="s">
        <v>20</v>
      </c>
      <c r="R11216" s="1" t="s">
        <v>23147</v>
      </c>
      <c r="V11216" s="1" t="s">
        <v>23156</v>
      </c>
      <c r="AR11216" s="1" t="str">
        <f t="shared" si="702"/>
        <v>| [ㄘㄤ](ㄘㄤ.md) | [艙](艙.md) |  | cāng | [名]
船或飛機裡可以容納客人及貨物的空間。如：「客艙」、「貨艙」、「機艙」、「船艙」。 |</v>
      </c>
    </row>
    <row r="11217" spans="1:44" hidden="1">
      <c r="A11217" s="1" t="s">
        <v>23157</v>
      </c>
      <c r="C11217" s="1">
        <v>1</v>
      </c>
      <c r="D11217" s="1" t="str">
        <f>"09798"</f>
        <v>09798</v>
      </c>
      <c r="E11217" s="1" t="s">
        <v>272</v>
      </c>
      <c r="F11217" s="1">
        <v>21</v>
      </c>
      <c r="G11217" s="1">
        <v>10</v>
      </c>
      <c r="H11217" s="1">
        <v>0</v>
      </c>
      <c r="I11217" s="1" t="s">
        <v>23146</v>
      </c>
      <c r="K11217" s="1" t="str">
        <f t="shared" si="700"/>
        <v>ㄘ</v>
      </c>
      <c r="L11217" s="1" t="str">
        <f t="shared" si="701"/>
        <v>ㄤ</v>
      </c>
      <c r="M11217" s="1" t="str">
        <f t="shared" si="699"/>
        <v/>
      </c>
      <c r="P11217" s="1" t="s">
        <v>20</v>
      </c>
      <c r="R11217" s="1" t="s">
        <v>23147</v>
      </c>
      <c r="V11217" s="1" t="s">
        <v>23158</v>
      </c>
      <c r="AR11217" s="1" t="str">
        <f t="shared" si="702"/>
        <v>| [ㄘㄤ](ㄘㄤ.md) | [鶬](鶬.md) |  | cāng | 參見「鶬鶊」、「鶬鴰」等條。 |</v>
      </c>
    </row>
    <row r="11218" spans="1:44" hidden="1">
      <c r="A11218" s="1" t="s">
        <v>20049</v>
      </c>
      <c r="C11218" s="1">
        <v>1</v>
      </c>
      <c r="D11218" s="1" t="str">
        <f>"09801"</f>
        <v>09801</v>
      </c>
      <c r="E11218" s="1" t="s">
        <v>28</v>
      </c>
      <c r="F11218" s="1">
        <v>15</v>
      </c>
      <c r="G11218" s="1">
        <v>12</v>
      </c>
      <c r="H11218" s="1">
        <v>2</v>
      </c>
      <c r="I11218" s="1" t="s">
        <v>23167</v>
      </c>
      <c r="K11218" s="1" t="str">
        <f t="shared" si="700"/>
        <v>ㄘ</v>
      </c>
      <c r="L11218" s="1" t="str">
        <f t="shared" si="701"/>
        <v>ㄥ</v>
      </c>
      <c r="M11218" s="1" t="str">
        <f t="shared" si="699"/>
        <v/>
      </c>
      <c r="P11218" s="1" t="s">
        <v>20</v>
      </c>
      <c r="R11218" s="1" t="s">
        <v>23168</v>
      </c>
      <c r="V11218" s="1" t="s">
        <v>23169</v>
      </c>
      <c r="W11218" s="1" t="s">
        <v>23170</v>
      </c>
      <c r="AR11218" s="1" t="str">
        <f t="shared" si="702"/>
        <v>| [ㄘㄥ](ㄘㄥ.md) | [噌](噌.md) |  | cēng | [動]
申斥、叱責。如：「我被他噌了一頓。」 |</v>
      </c>
    </row>
    <row r="11219" spans="1:44" hidden="1">
      <c r="A11219" s="1" t="s">
        <v>23189</v>
      </c>
      <c r="C11219" s="1">
        <v>1</v>
      </c>
      <c r="D11219" s="1" t="str">
        <f>"09808"</f>
        <v>09808</v>
      </c>
      <c r="E11219" s="1" t="s">
        <v>46</v>
      </c>
      <c r="F11219" s="1">
        <v>11</v>
      </c>
      <c r="G11219" s="1">
        <v>5</v>
      </c>
      <c r="H11219" s="1">
        <v>0</v>
      </c>
      <c r="I11219" s="1" t="s">
        <v>23190</v>
      </c>
      <c r="K11219" s="1" t="str">
        <f t="shared" si="700"/>
        <v>ㄘ</v>
      </c>
      <c r="L11219" s="1" t="str">
        <f t="shared" si="701"/>
        <v>ㄨ</v>
      </c>
      <c r="M11219" s="1" t="str">
        <f t="shared" si="699"/>
        <v/>
      </c>
      <c r="P11219" s="1" t="s">
        <v>20</v>
      </c>
      <c r="R11219" s="1" t="s">
        <v>23191</v>
      </c>
      <c r="V11219" s="1" t="s">
        <v>23192</v>
      </c>
      <c r="AR11219" s="1" t="str">
        <f t="shared" si="702"/>
        <v>| [ㄘㄨ](ㄘㄨ.md) | [粗](粗.md) |  | cū | [形]
1.疏忽、不周密。如：「粗心大意」。
2.不精緻、不細膩。如：「粗糙」、「粗茶淡飯」、「手工太粗了。」
3.大而厚。如：「粗聲粗氣」。唐．皮日休〈新秋即事〉詩三首之二：「秋期淨掃雲根瘦，山信迴緘乳管粗。」
4.魯莽、不文雅。如：「粗話」、「粗野」。
[副]
稍微、略微。如：「粗具規模」。《晉書．卷八九．忠義傳．嵇紹傳》：「華歷位內外，雖粗有善事，然闔棺之責，著于遠近，兆禍始亂，華實為之。」 |</v>
      </c>
    </row>
    <row r="11220" spans="1:44" hidden="1">
      <c r="A11220" s="1" t="s">
        <v>23193</v>
      </c>
      <c r="C11220" s="1">
        <v>1</v>
      </c>
      <c r="D11220" s="1" t="str">
        <f>"09809"</f>
        <v>09809</v>
      </c>
      <c r="E11220" s="1" t="s">
        <v>1117</v>
      </c>
      <c r="F11220" s="1">
        <v>11</v>
      </c>
      <c r="G11220" s="1">
        <v>4</v>
      </c>
      <c r="H11220" s="1">
        <v>0</v>
      </c>
      <c r="I11220" s="1" t="s">
        <v>23190</v>
      </c>
      <c r="K11220" s="1" t="str">
        <f t="shared" si="700"/>
        <v>ㄘ</v>
      </c>
      <c r="L11220" s="1" t="str">
        <f t="shared" si="701"/>
        <v>ㄨ</v>
      </c>
      <c r="M11220" s="1" t="str">
        <f t="shared" si="699"/>
        <v/>
      </c>
      <c r="P11220" s="1" t="s">
        <v>20</v>
      </c>
      <c r="R11220" s="1" t="s">
        <v>23191</v>
      </c>
      <c r="V11220" s="1" t="s">
        <v>23194</v>
      </c>
      <c r="AR11220" s="1" t="str">
        <f t="shared" si="702"/>
        <v>| [ㄘㄨ](ㄘㄨ.md) | [觕](觕.md) |  | cū | 同「粗」。 |</v>
      </c>
    </row>
    <row r="11221" spans="1:44" hidden="1">
      <c r="A11221" s="1" t="s">
        <v>23195</v>
      </c>
      <c r="C11221" s="1">
        <v>1</v>
      </c>
      <c r="D11221" s="1" t="str">
        <f>"09810"</f>
        <v>09810</v>
      </c>
      <c r="E11221" s="1" t="s">
        <v>1190</v>
      </c>
      <c r="F11221" s="1">
        <v>33</v>
      </c>
      <c r="G11221" s="1">
        <v>22</v>
      </c>
      <c r="H11221" s="1">
        <v>0</v>
      </c>
      <c r="I11221" s="1" t="s">
        <v>23190</v>
      </c>
      <c r="K11221" s="1" t="str">
        <f t="shared" si="700"/>
        <v>ㄘ</v>
      </c>
      <c r="L11221" s="1" t="str">
        <f t="shared" si="701"/>
        <v>ㄨ</v>
      </c>
      <c r="M11221" s="1" t="str">
        <f t="shared" si="699"/>
        <v/>
      </c>
      <c r="P11221" s="1" t="s">
        <v>20</v>
      </c>
      <c r="R11221" s="1" t="s">
        <v>23191</v>
      </c>
      <c r="V11221" s="1" t="s">
        <v>23196</v>
      </c>
      <c r="AR11221" s="1" t="str">
        <f t="shared" si="702"/>
        <v>| [ㄘㄨ](ㄘㄨ.md) | [麤](麤.md) |  | cū | [形]
1.超遠、遙遠。《說文解字．麤部》：「麤，行超遠也。」
2.同「粗」。 |</v>
      </c>
    </row>
    <row r="11222" spans="1:44" hidden="1">
      <c r="A11222" s="1" t="s">
        <v>22130</v>
      </c>
      <c r="C11222" s="1">
        <v>1</v>
      </c>
      <c r="D11222" s="1" t="str">
        <f>"09711"</f>
        <v>09711</v>
      </c>
      <c r="E11222" s="1" t="s">
        <v>1908</v>
      </c>
      <c r="F11222" s="1">
        <v>6</v>
      </c>
      <c r="G11222" s="1">
        <v>2</v>
      </c>
      <c r="H11222" s="1">
        <v>1</v>
      </c>
      <c r="I11222" s="1" t="s">
        <v>22939</v>
      </c>
      <c r="K11222" s="1" t="str">
        <f t="shared" si="700"/>
        <v>ㄘ</v>
      </c>
      <c r="M11222" s="1" t="str">
        <f t="shared" si="699"/>
        <v/>
      </c>
      <c r="N11222" s="3" t="s">
        <v>30574</v>
      </c>
      <c r="O11222" s="3"/>
      <c r="P11222" s="1" t="s">
        <v>20</v>
      </c>
      <c r="R11222" s="1" t="s">
        <v>22940</v>
      </c>
      <c r="V11222" s="1" t="s">
        <v>22941</v>
      </c>
      <c r="W11222" s="1" t="s">
        <v>22942</v>
      </c>
      <c r="AR11222" s="1" t="str">
        <f t="shared" si="702"/>
        <v>| [ㄘˋ](ㄘˋ.md) | [次](次.md) |  | cì | [形]
1.品質較差的。如：「次貨」、「次品」、「次車」。
2.第二的、副的。如：「次子」、「次年」、「次媳」、「次日」。《鏡花緣》第四〇回：「走有半年之久，於次歲六月到了嶺南。」
[名]
1.等第、順序。如：「次第」、「依次排列」、「席次」、「班次」、「名次」。
2.行列、隊伍。《左傳．桓公十三年》：「及鄢，亂次以濟，遂無次，且不設備。」《國語．晉語三》：「失次犯令，死。」三國吳．韋昭．注：「次，行列也。」
3.官職、職位。《左傳．襄公二十三年》：「敬共朝夕，恪居官次。」晉．桓溫〈上疏廢殷浩〉：「不能恭慎所任，恪居職次。」
4.外出居住的地方、處所。如：「客次」、「舟次」。
5.中、間。《莊子．田子方》：「喜怒哀樂不入于胸次。」
6.量詞。計算動作回數的單位。如：「第三次段考」、「初次嘗試」。《水滸傳》第一〇回：「張教頭那廝！三回五次托人情去說。」
[動]
1.在前項之後。《孟子．盡心下》：「民為貴，社稷次之，君為輕。」《孫子．謀攻》：「凡用兵之法，全國為上，破國次之；全軍為上，破軍次之。」
2.依序編排。《呂氏春秋．季冬紀．季冬》：「乃命太史，次諸侯之列，賦之犧牲。」
3.臨時駐紮或止宿。《楚辭．屈原．離騷》：「夕歸次於窮石兮，朝濯髮乎洧盤。」《左傳．僖公四年》：「師進，次於陘。」
4.至、及。《文選．潘岳．金谷集作詩》：「朝發晉京陽，夕次金谷湄。」 |</v>
      </c>
    </row>
    <row r="11223" spans="1:44" hidden="1">
      <c r="A11223" s="1" t="s">
        <v>22943</v>
      </c>
      <c r="C11223" s="1">
        <v>1</v>
      </c>
      <c r="D11223" s="1" t="str">
        <f>"09712"</f>
        <v>09712</v>
      </c>
      <c r="E11223" s="1" t="s">
        <v>114</v>
      </c>
      <c r="F11223" s="1">
        <v>8</v>
      </c>
      <c r="G11223" s="1">
        <v>6</v>
      </c>
      <c r="H11223" s="1">
        <v>0</v>
      </c>
      <c r="I11223" s="1" t="s">
        <v>22939</v>
      </c>
      <c r="K11223" s="1" t="str">
        <f t="shared" si="700"/>
        <v>ㄘ</v>
      </c>
      <c r="M11223" s="1" t="str">
        <f t="shared" si="699"/>
        <v/>
      </c>
      <c r="N11223" s="3" t="s">
        <v>30574</v>
      </c>
      <c r="O11223" s="3"/>
      <c r="P11223" s="1" t="s">
        <v>20</v>
      </c>
      <c r="R11223" s="1" t="s">
        <v>22940</v>
      </c>
      <c r="V11223" s="1" t="s">
        <v>22944</v>
      </c>
      <c r="AR11223" s="1" t="str">
        <f t="shared" si="702"/>
        <v>| [ㄘˋ](ㄘˋ.md) | [佽](佽.md) |  | cì | [動]
幫助。《詩經．唐風．杕杜》：「人無兄弟，胡不佽焉？」漢．毛亨．傳：「佽，助也。」
[名]
參見「佽飛」條。 |</v>
      </c>
    </row>
    <row r="11224" spans="1:44" hidden="1">
      <c r="A11224" s="1" t="s">
        <v>22945</v>
      </c>
      <c r="C11224" s="1">
        <v>1</v>
      </c>
      <c r="D11224" s="1" t="str">
        <f>"09713"</f>
        <v>09713</v>
      </c>
      <c r="E11224" s="1" t="s">
        <v>139</v>
      </c>
      <c r="F11224" s="1">
        <v>6</v>
      </c>
      <c r="G11224" s="1">
        <v>2</v>
      </c>
      <c r="H11224" s="1">
        <v>0</v>
      </c>
      <c r="I11224" s="1" t="s">
        <v>22939</v>
      </c>
      <c r="K11224" s="1" t="str">
        <f t="shared" si="700"/>
        <v>ㄘ</v>
      </c>
      <c r="M11224" s="1" t="str">
        <f t="shared" si="699"/>
        <v/>
      </c>
      <c r="N11224" s="3" t="s">
        <v>30574</v>
      </c>
      <c r="O11224" s="3"/>
      <c r="P11224" s="1" t="s">
        <v>20</v>
      </c>
      <c r="R11224" s="1" t="s">
        <v>22940</v>
      </c>
      <c r="V11224" s="1" t="s">
        <v>22946</v>
      </c>
      <c r="AR11224" s="1" t="str">
        <f t="shared" si="702"/>
        <v>| [ㄘˋ](ㄘˋ.md) | [朿](朿.md) |  | cì | [名]
木芒，樹木枝葉上最尖銳的部位。《說文解字．朿部》：「朿，木芒也。」 |</v>
      </c>
    </row>
    <row r="11225" spans="1:44" hidden="1">
      <c r="A11225" s="1" t="s">
        <v>22947</v>
      </c>
      <c r="C11225" s="1">
        <v>1</v>
      </c>
      <c r="D11225" s="1" t="str">
        <f>"09714"</f>
        <v>09714</v>
      </c>
      <c r="E11225" s="1" t="s">
        <v>185</v>
      </c>
      <c r="F11225" s="1">
        <v>8</v>
      </c>
      <c r="G11225" s="1">
        <v>6</v>
      </c>
      <c r="H11225" s="1">
        <v>0</v>
      </c>
      <c r="I11225" s="1" t="s">
        <v>22939</v>
      </c>
      <c r="K11225" s="1" t="str">
        <f t="shared" si="700"/>
        <v>ㄘ</v>
      </c>
      <c r="M11225" s="1" t="str">
        <f t="shared" ref="M11225:M11256" si="703">MID(I11225, 3, 1)</f>
        <v/>
      </c>
      <c r="N11225" s="3" t="s">
        <v>30574</v>
      </c>
      <c r="O11225" s="3"/>
      <c r="P11225" s="1" t="s">
        <v>20</v>
      </c>
      <c r="R11225" s="1" t="s">
        <v>22940</v>
      </c>
      <c r="V11225" s="1" t="s">
        <v>22948</v>
      </c>
      <c r="AR11225" s="1" t="str">
        <f t="shared" si="702"/>
        <v>| [ㄘˋ](ㄘˋ.md) | [刺](刺.md) |  | cì | [動]_x000D_
1.以尖銳的東西扎入。如：「穿刺」。《廣韻．入聲．昔韻》：「刺，穿也。」宋．陸游〈出塞曲〉：「佩刀一刺山為開，壯士大呼城為摧。」_x000D_
2.暗殺。《爾雅．釋詁上》：「刺，殺也。」如：「行刺」、「刺殺」。《史記．卷八六．刺客列傳．豫讓》：「（豫讓）乃變名姓為刑人，入宮塗廁，中挾匕首，欲以刺襄子。」_x000D_
3.以尖銳的話指出別人的過失。如：「諷刺」、「譏刺」。《漢書．卷八九．循吏傳．龔遂》：「面刺王過，王至掩耳起走。」_x000D_
4.暗中打聽。如：「刺探」。《漢書．卷七四．魏相丙吉傳．丙吉》：「馭吏因隨驛騎至公車刺取，知虜入雲中、代郡，遽歸府見吉白狀。」唐．顏師古．注：「刺，謂探候之也。」_x000D_
5.刺激使產生不好的感覺。如：「刺眼」、「刺耳」、「刺鼻」。_x000D_
[名]_x000D_
1.細而尖銳的東西。如：「竹刺」、「芒刺」、「魚刺」。_x000D_
2.名片、名帖。如：「名刺」、「刺帖」、「投刺」。_x000D_
3.姓。如唐代有刺正甫。 |</v>
      </c>
    </row>
    <row r="11226" spans="1:44" hidden="1">
      <c r="A11226" s="1" t="s">
        <v>22949</v>
      </c>
      <c r="C11226" s="1">
        <v>1</v>
      </c>
      <c r="D11226" s="1" t="str">
        <f>"09715"</f>
        <v>09715</v>
      </c>
      <c r="E11226" s="1" t="s">
        <v>37</v>
      </c>
      <c r="F11226" s="1">
        <v>12</v>
      </c>
      <c r="G11226" s="1">
        <v>8</v>
      </c>
      <c r="H11226" s="1">
        <v>0</v>
      </c>
      <c r="I11226" s="1" t="s">
        <v>22939</v>
      </c>
      <c r="K11226" s="1" t="str">
        <f t="shared" si="700"/>
        <v>ㄘ</v>
      </c>
      <c r="M11226" s="1" t="str">
        <f t="shared" si="703"/>
        <v/>
      </c>
      <c r="N11226" s="3" t="s">
        <v>30574</v>
      </c>
      <c r="O11226" s="3"/>
      <c r="P11226" s="1" t="s">
        <v>20</v>
      </c>
      <c r="R11226" s="1" t="s">
        <v>22940</v>
      </c>
      <c r="V11226" s="1" t="s">
        <v>22950</v>
      </c>
      <c r="AR11226" s="1" t="str">
        <f t="shared" si="702"/>
        <v>| [ㄘˋ](ㄘˋ.md) | [莿](莿.md) |  | cì | [名]
草木的刺。《玉篇．艸部》：「莿，芒也，草木針也。」 |</v>
      </c>
    </row>
    <row r="11227" spans="1:44" hidden="1">
      <c r="A11227" s="1" t="s">
        <v>22951</v>
      </c>
      <c r="C11227" s="1">
        <v>1</v>
      </c>
      <c r="D11227" s="1" t="str">
        <f>"09716"</f>
        <v>09716</v>
      </c>
      <c r="E11227" s="1" t="s">
        <v>114</v>
      </c>
      <c r="F11227" s="1">
        <v>7</v>
      </c>
      <c r="G11227" s="1">
        <v>5</v>
      </c>
      <c r="H11227" s="1">
        <v>2</v>
      </c>
      <c r="I11227" s="1" t="s">
        <v>22939</v>
      </c>
      <c r="K11227" s="1" t="str">
        <f t="shared" si="700"/>
        <v>ㄘ</v>
      </c>
      <c r="M11227" s="1" t="str">
        <f t="shared" si="703"/>
        <v/>
      </c>
      <c r="N11227" s="3" t="s">
        <v>30574</v>
      </c>
      <c r="O11227" s="3"/>
      <c r="P11227" s="1" t="s">
        <v>20</v>
      </c>
      <c r="R11227" s="1" t="s">
        <v>22940</v>
      </c>
      <c r="V11227" s="1" t="s">
        <v>22952</v>
      </c>
      <c r="W11227" s="1" t="s">
        <v>22953</v>
      </c>
      <c r="AR11227" s="1" t="str">
        <f t="shared" si="702"/>
        <v>| [ㄘˋ](ㄘˋ.md) | [伺](伺.md) |  | cì | 參見「伺候」條。 |</v>
      </c>
    </row>
    <row r="11228" spans="1:44" hidden="1">
      <c r="A11228" s="1" t="s">
        <v>22954</v>
      </c>
      <c r="C11228" s="1">
        <v>1</v>
      </c>
      <c r="D11228" s="1" t="str">
        <f>"09717"</f>
        <v>09717</v>
      </c>
      <c r="E11228" s="1" t="s">
        <v>447</v>
      </c>
      <c r="F11228" s="1">
        <v>12</v>
      </c>
      <c r="G11228" s="1">
        <v>9</v>
      </c>
      <c r="H11228" s="1">
        <v>1</v>
      </c>
      <c r="I11228" s="1" t="s">
        <v>22939</v>
      </c>
      <c r="K11228" s="1" t="str">
        <f t="shared" si="700"/>
        <v>ㄘ</v>
      </c>
      <c r="M11228" s="1" t="str">
        <f t="shared" si="703"/>
        <v/>
      </c>
      <c r="N11228" s="3" t="s">
        <v>30574</v>
      </c>
      <c r="O11228" s="3"/>
      <c r="P11228" s="1" t="s">
        <v>20</v>
      </c>
      <c r="R11228" s="1" t="s">
        <v>22940</v>
      </c>
      <c r="V11228" s="1" t="s">
        <v>22955</v>
      </c>
      <c r="W11228" s="1" t="s">
        <v>22956</v>
      </c>
      <c r="AR11228" s="1" t="str">
        <f t="shared" si="702"/>
        <v>| [ㄘˋ](ㄘˋ.md) | [廁](廁.md) |  | cì | [動]_x000D_
間雜、置身。漢．許慎《說文解字．敘》：「分別部居，不相雜廁也。」如：「廁身其中」、「廁身文壇」。漢．司馬遷〈報任少卿書〉：「嚮者，僕常廁下大夫之列，陪外廷末議。」 |</v>
      </c>
    </row>
    <row r="11229" spans="1:44" hidden="1">
      <c r="A11229" s="1" t="s">
        <v>22957</v>
      </c>
      <c r="C11229" s="1">
        <v>1</v>
      </c>
      <c r="D11229" s="1" t="str">
        <f>"09718"</f>
        <v>09718</v>
      </c>
      <c r="E11229" s="1" t="s">
        <v>679</v>
      </c>
      <c r="F11229" s="1">
        <v>12</v>
      </c>
      <c r="G11229" s="1">
        <v>6</v>
      </c>
      <c r="H11229" s="1">
        <v>0</v>
      </c>
      <c r="I11229" s="1" t="s">
        <v>22939</v>
      </c>
      <c r="K11229" s="1" t="str">
        <f t="shared" si="700"/>
        <v>ㄘ</v>
      </c>
      <c r="M11229" s="1" t="str">
        <f t="shared" si="703"/>
        <v/>
      </c>
      <c r="N11229" s="3" t="s">
        <v>30574</v>
      </c>
      <c r="O11229" s="3"/>
      <c r="P11229" s="1" t="s">
        <v>20</v>
      </c>
      <c r="R11229" s="1" t="s">
        <v>22940</v>
      </c>
      <c r="V11229" s="1" t="s">
        <v>22958</v>
      </c>
      <c r="AR11229" s="1" t="str">
        <f t="shared" si="702"/>
        <v>| [ㄘˋ](ㄘˋ.md) | [蛓](蛓.md) |  | cì | [名]
一種毛毛蟲。《說文解字．虫部》：「蛓，毛蟲也。」 |</v>
      </c>
    </row>
    <row r="11230" spans="1:44" hidden="1">
      <c r="A11230" s="1" t="s">
        <v>22959</v>
      </c>
      <c r="C11230" s="1">
        <v>1</v>
      </c>
      <c r="D11230" s="1" t="str">
        <f>"09719"</f>
        <v>09719</v>
      </c>
      <c r="E11230" s="1" t="s">
        <v>505</v>
      </c>
      <c r="F11230" s="1">
        <v>15</v>
      </c>
      <c r="G11230" s="1">
        <v>8</v>
      </c>
      <c r="H11230" s="1">
        <v>2</v>
      </c>
      <c r="I11230" s="1" t="s">
        <v>22939</v>
      </c>
      <c r="K11230" s="1" t="str">
        <f t="shared" si="700"/>
        <v>ㄘ</v>
      </c>
      <c r="M11230" s="1" t="str">
        <f t="shared" si="703"/>
        <v/>
      </c>
      <c r="N11230" s="3" t="s">
        <v>30574</v>
      </c>
      <c r="O11230" s="3"/>
      <c r="P11230" s="1" t="s">
        <v>388</v>
      </c>
      <c r="R11230" s="1" t="s">
        <v>22940</v>
      </c>
      <c r="V11230" s="1" t="s">
        <v>407</v>
      </c>
      <c r="W11230" s="1" t="s">
        <v>22960</v>
      </c>
      <c r="AR11230" s="1" t="str">
        <f t="shared" si="702"/>
        <v>| [ㄘˋ](ㄘˋ.md) | [賜](賜.md) |  | cì | (一)之語音。 |</v>
      </c>
    </row>
    <row r="11231" spans="1:44" hidden="1">
      <c r="A11231" s="1" t="s">
        <v>22903</v>
      </c>
      <c r="C11231" s="1">
        <v>1</v>
      </c>
      <c r="D11231" s="1" t="str">
        <f>"09693"</f>
        <v>09693</v>
      </c>
      <c r="E11231" s="1" t="s">
        <v>825</v>
      </c>
      <c r="F11231" s="1">
        <v>10</v>
      </c>
      <c r="G11231" s="1">
        <v>5</v>
      </c>
      <c r="H11231" s="1">
        <v>0</v>
      </c>
      <c r="I11231" s="1" t="s">
        <v>22904</v>
      </c>
      <c r="K11231" s="1" t="str">
        <f t="shared" si="700"/>
        <v>ㄘ</v>
      </c>
      <c r="M11231" s="1" t="str">
        <f t="shared" si="703"/>
        <v/>
      </c>
      <c r="N11231" s="3" t="s">
        <v>30575</v>
      </c>
      <c r="O11231" s="3"/>
      <c r="P11231" s="1" t="s">
        <v>20</v>
      </c>
      <c r="R11231" s="1" t="s">
        <v>22905</v>
      </c>
      <c r="V11231" s="1" t="s">
        <v>22906</v>
      </c>
      <c r="AR11231" s="1" t="str">
        <f t="shared" si="702"/>
        <v>| [ㄘˊ](ㄘˊ.md) | [祠](祠.md) |  | cí | [名]
1.春天的祭祀。《說文解字．示部》：「祠，春祭曰祠，品物少，多文詞也。」
2.供奉祖先或先賢烈士的地方。如：「祖祠」、「忠烈祠」。《紅樓夢》第五三回：「且說賈珍那邊開了宗祠，著人打掃，收拾供器，請神主。」
[動]
祭祀。《書經．伊訓》：「惟元祀十有二月乙丑，伊尹祠于先王。」《後漢書．卷三．肅宗孝章帝紀》：「戊辰，進幸中山，遣使者祠北嶽。」 |</v>
      </c>
    </row>
    <row r="11232" spans="1:44" hidden="1">
      <c r="A11232" s="1" t="s">
        <v>22907</v>
      </c>
      <c r="C11232" s="1">
        <v>1</v>
      </c>
      <c r="D11232" s="1" t="str">
        <f>"09694"</f>
        <v>09694</v>
      </c>
      <c r="E11232" s="1" t="s">
        <v>331</v>
      </c>
      <c r="F11232" s="1">
        <v>12</v>
      </c>
      <c r="G11232" s="1">
        <v>5</v>
      </c>
      <c r="H11232" s="1">
        <v>0</v>
      </c>
      <c r="I11232" s="1" t="s">
        <v>22904</v>
      </c>
      <c r="K11232" s="1" t="str">
        <f t="shared" si="700"/>
        <v>ㄘ</v>
      </c>
      <c r="M11232" s="1" t="str">
        <f t="shared" si="703"/>
        <v/>
      </c>
      <c r="N11232" s="3" t="s">
        <v>30575</v>
      </c>
      <c r="O11232" s="3"/>
      <c r="P11232" s="1" t="s">
        <v>20</v>
      </c>
      <c r="R11232" s="1" t="s">
        <v>22905</v>
      </c>
      <c r="V11232" s="1" t="s">
        <v>22908</v>
      </c>
      <c r="AR11232" s="1" t="str">
        <f t="shared" si="702"/>
        <v>| [ㄘˊ](ㄘˊ.md) | [詞](詞.md) |  | cí | [名]_x000D_
1.語句中具有完整概念，能獨立自由運用，是用來造句的單位。_x000D_
2.代表一個完整觀念的文字或語言。如：「言詞」、「措詞」。_x000D_
3.有組織的或片段的語言文字。如：「歌詞」、「演講詞」。_x000D_
4.文體名。興於唐，盛於宋，主要產生於配合燕樂演唱的歌辭；也有一部分來自詩，樂工加上和聲、泛聲而逐漸形成。句式多長短不一，且須遵守一定的格律限制。如：「唐詩宋詞」。也稱為「長短句」、「詩餘」。_x000D_
5.辯訟的話。通「辭」。如：「挑詞架訟」。《儒林外史》第二四回：「正值向知縣出門，就喊了冤。知縣叫補詞來。」 |</v>
      </c>
    </row>
    <row r="11233" spans="1:44" hidden="1">
      <c r="A11233" s="1" t="s">
        <v>22909</v>
      </c>
      <c r="C11233" s="1">
        <v>1</v>
      </c>
      <c r="D11233" s="1" t="str">
        <f>"09695"</f>
        <v>09695</v>
      </c>
      <c r="E11233" s="1" t="s">
        <v>37</v>
      </c>
      <c r="F11233" s="1">
        <v>10</v>
      </c>
      <c r="G11233" s="1">
        <v>6</v>
      </c>
      <c r="H11233" s="1">
        <v>0</v>
      </c>
      <c r="I11233" s="1" t="s">
        <v>22904</v>
      </c>
      <c r="K11233" s="1" t="str">
        <f t="shared" si="700"/>
        <v>ㄘ</v>
      </c>
      <c r="M11233" s="1" t="str">
        <f t="shared" si="703"/>
        <v/>
      </c>
      <c r="N11233" s="3" t="s">
        <v>30575</v>
      </c>
      <c r="O11233" s="3"/>
      <c r="P11233" s="1" t="s">
        <v>20</v>
      </c>
      <c r="R11233" s="1" t="s">
        <v>22905</v>
      </c>
      <c r="V11233" s="1" t="s">
        <v>22910</v>
      </c>
      <c r="AR11233" s="1" t="str">
        <f t="shared" si="702"/>
        <v>| [ㄘˊ](ㄘˊ.md) | [茨](茨.md) |  | cí | [動]
1.用茅草、葦草蓋屋。《說文解字．艸部》：「茨，茅蓋屋。」《新唐書．卷一二四．宋璟傳》：「廣人以竹茅茨屋，多火。」
2.積土填滿。《淮南子．泰族》：「掘其所流而深之，茨其所決而高之。」
[名]
1.用茅草或葦草蓋成的屋頂。《詩經．小雅．莆田》：「曾孫之稼，如茨如梁。」漢．鄭玄．注：「茨，屋蓋也。」《文選．王襃．聖主得賢臣頌》：「生於窮巷之中，長於蓬茨之下。」
2.蒺藜的舊稱。
3.姓。如漢代有茨充。 |</v>
      </c>
    </row>
    <row r="11234" spans="1:44" hidden="1">
      <c r="A11234" s="1" t="s">
        <v>22911</v>
      </c>
      <c r="C11234" s="1">
        <v>1</v>
      </c>
      <c r="D11234" s="1" t="str">
        <f>"09696"</f>
        <v>09696</v>
      </c>
      <c r="E11234" s="1" t="s">
        <v>1824</v>
      </c>
      <c r="F11234" s="1">
        <v>11</v>
      </c>
      <c r="G11234" s="1">
        <v>6</v>
      </c>
      <c r="H11234" s="1">
        <v>0</v>
      </c>
      <c r="I11234" s="1" t="s">
        <v>22904</v>
      </c>
      <c r="K11234" s="1" t="str">
        <f t="shared" si="700"/>
        <v>ㄘ</v>
      </c>
      <c r="M11234" s="1" t="str">
        <f t="shared" si="703"/>
        <v/>
      </c>
      <c r="N11234" s="3" t="s">
        <v>30575</v>
      </c>
      <c r="O11234" s="3"/>
      <c r="P11234" s="1" t="s">
        <v>20</v>
      </c>
      <c r="R11234" s="1" t="s">
        <v>22905</v>
      </c>
      <c r="V11234" s="1" t="s">
        <v>22912</v>
      </c>
      <c r="AR11234" s="1" t="str">
        <f t="shared" si="702"/>
        <v>| [ㄘˊ](ㄘˊ.md) | [瓷](瓷.md) |  | cí | [名]
瓷土的主要成分為長石及石英，經燒製後，質地堅硬細緻、光滑潤澤，呈白色半透明狀，可施以各種彩釉花紋稱為「瓷」。瓷與陶古或混而今有別，瓷質比陶質細緻、堅硬。《集韻．平聲．脂韻》：「瓷，陶器之緻堅者。」《文選．潘岳．笙賦》：「披黃包以授甘，傾縹瓷以酌酃。」
[形]
瓷質的。如：「瓷盤」、「瓷碗」、「瓷杯」。 |</v>
      </c>
    </row>
    <row r="11235" spans="1:44" hidden="1">
      <c r="A11235" s="1" t="s">
        <v>22913</v>
      </c>
      <c r="C11235" s="1">
        <v>1</v>
      </c>
      <c r="D11235" s="1" t="str">
        <f>"09697"</f>
        <v>09697</v>
      </c>
      <c r="E11235" s="1" t="s">
        <v>193</v>
      </c>
      <c r="F11235" s="1">
        <v>15</v>
      </c>
      <c r="G11235" s="1">
        <v>6</v>
      </c>
      <c r="H11235" s="1">
        <v>0</v>
      </c>
      <c r="I11235" s="1" t="s">
        <v>22904</v>
      </c>
      <c r="K11235" s="1" t="str">
        <f t="shared" si="700"/>
        <v>ㄘ</v>
      </c>
      <c r="M11235" s="1" t="str">
        <f t="shared" si="703"/>
        <v/>
      </c>
      <c r="N11235" s="3" t="s">
        <v>30575</v>
      </c>
      <c r="O11235" s="3"/>
      <c r="P11235" s="1" t="s">
        <v>20</v>
      </c>
      <c r="R11235" s="1" t="s">
        <v>22905</v>
      </c>
      <c r="V11235" s="1" t="s">
        <v>22914</v>
      </c>
      <c r="AR11235" s="1" t="str">
        <f t="shared" si="702"/>
        <v>| [ㄘˊ](ㄘˊ.md) | [餈](餈.md) |  | cí | [名]
糕餅。《周禮．天官．籩人》：「羞籩之實，糗餌粉餈。」漢．鄭玄．注：「餌、餈皆粉稻米黍米所為也。合蒸曰餌，餅之曰餈。」 |</v>
      </c>
    </row>
    <row r="11236" spans="1:44" hidden="1">
      <c r="A11236" s="1" t="s">
        <v>19571</v>
      </c>
      <c r="C11236" s="1">
        <v>1</v>
      </c>
      <c r="D11236" s="1" t="str">
        <f>"09698"</f>
        <v>09698</v>
      </c>
      <c r="E11236" s="1" t="s">
        <v>37</v>
      </c>
      <c r="F11236" s="1">
        <v>10</v>
      </c>
      <c r="G11236" s="1">
        <v>6</v>
      </c>
      <c r="H11236" s="1">
        <v>3</v>
      </c>
      <c r="I11236" s="1" t="s">
        <v>22904</v>
      </c>
      <c r="K11236" s="1" t="str">
        <f t="shared" si="700"/>
        <v>ㄘ</v>
      </c>
      <c r="M11236" s="1" t="str">
        <f t="shared" si="703"/>
        <v/>
      </c>
      <c r="N11236" s="3" t="s">
        <v>30575</v>
      </c>
      <c r="O11236" s="3"/>
      <c r="P11236" s="1" t="s">
        <v>20</v>
      </c>
      <c r="R11236" s="1" t="s">
        <v>22905</v>
      </c>
      <c r="V11236" s="1" t="s">
        <v>22915</v>
      </c>
      <c r="W11236" s="1" t="s">
        <v>22916</v>
      </c>
      <c r="AR11236" s="1" t="str">
        <f t="shared" si="702"/>
        <v>| [ㄘˊ](ㄘˊ.md) | [茈](茈.md) |  | cí | 參見「鳧茈」條。 |</v>
      </c>
    </row>
    <row r="11237" spans="1:44" hidden="1">
      <c r="A11237" s="1" t="s">
        <v>22886</v>
      </c>
      <c r="C11237" s="1">
        <v>1</v>
      </c>
      <c r="D11237" s="1" t="str">
        <f>"09699"</f>
        <v>09699</v>
      </c>
      <c r="E11237" s="1" t="s">
        <v>40</v>
      </c>
      <c r="F11237" s="1">
        <v>11</v>
      </c>
      <c r="G11237" s="1">
        <v>6</v>
      </c>
      <c r="H11237" s="1">
        <v>2</v>
      </c>
      <c r="I11237" s="1" t="s">
        <v>22904</v>
      </c>
      <c r="K11237" s="1" t="str">
        <f t="shared" si="700"/>
        <v>ㄘ</v>
      </c>
      <c r="M11237" s="1" t="str">
        <f t="shared" si="703"/>
        <v/>
      </c>
      <c r="N11237" s="3" t="s">
        <v>30575</v>
      </c>
      <c r="O11237" s="3"/>
      <c r="P11237" s="1" t="s">
        <v>110</v>
      </c>
      <c r="R11237" s="1" t="s">
        <v>22905</v>
      </c>
      <c r="V11237" s="1" t="s">
        <v>111</v>
      </c>
      <c r="W11237" s="1" t="s">
        <v>22917</v>
      </c>
      <c r="AR11237" s="1" t="str">
        <f t="shared" si="702"/>
        <v>| [ㄘˊ](ㄘˊ.md) | [疵](疵.md) |  | cí | (一)之又音。 |</v>
      </c>
    </row>
    <row r="11238" spans="1:44" hidden="1">
      <c r="A11238" s="1" t="s">
        <v>22892</v>
      </c>
      <c r="C11238" s="1">
        <v>1</v>
      </c>
      <c r="D11238" s="1" t="str">
        <f>"09700"</f>
        <v>09700</v>
      </c>
      <c r="E11238" s="1" t="s">
        <v>5383</v>
      </c>
      <c r="F11238" s="1">
        <v>14</v>
      </c>
      <c r="G11238" s="1">
        <v>6</v>
      </c>
      <c r="H11238" s="1">
        <v>2</v>
      </c>
      <c r="I11238" s="1" t="s">
        <v>22904</v>
      </c>
      <c r="K11238" s="1" t="str">
        <f t="shared" si="700"/>
        <v>ㄘ</v>
      </c>
      <c r="M11238" s="1" t="str">
        <f t="shared" si="703"/>
        <v/>
      </c>
      <c r="N11238" s="3" t="s">
        <v>30575</v>
      </c>
      <c r="O11238" s="3"/>
      <c r="P11238" s="1" t="s">
        <v>110</v>
      </c>
      <c r="R11238" s="1" t="s">
        <v>22905</v>
      </c>
      <c r="V11238" s="1" t="s">
        <v>111</v>
      </c>
      <c r="W11238" s="1" t="s">
        <v>22918</v>
      </c>
      <c r="AR11238" s="1" t="str">
        <f t="shared" si="702"/>
        <v>| [ㄘˊ](ㄘˊ.md) | [雌](雌.md) |  | cí | (一)之又音。 |</v>
      </c>
    </row>
    <row r="11239" spans="1:44" hidden="1">
      <c r="A11239" s="1" t="s">
        <v>22164</v>
      </c>
      <c r="C11239" s="1">
        <v>1</v>
      </c>
      <c r="D11239" s="1" t="str">
        <f>"09701"</f>
        <v>09701</v>
      </c>
      <c r="E11239" s="1" t="s">
        <v>37</v>
      </c>
      <c r="F11239" s="1">
        <v>10</v>
      </c>
      <c r="G11239" s="1">
        <v>6</v>
      </c>
      <c r="H11239" s="1">
        <v>2</v>
      </c>
      <c r="I11239" s="1" t="s">
        <v>22904</v>
      </c>
      <c r="K11239" s="1" t="str">
        <f t="shared" si="700"/>
        <v>ㄘ</v>
      </c>
      <c r="M11239" s="1" t="str">
        <f t="shared" si="703"/>
        <v/>
      </c>
      <c r="N11239" s="3" t="s">
        <v>30575</v>
      </c>
      <c r="O11239" s="3"/>
      <c r="P11239" s="1" t="s">
        <v>20</v>
      </c>
      <c r="R11239" s="1" t="s">
        <v>22905</v>
      </c>
      <c r="V11239" s="1" t="s">
        <v>15322</v>
      </c>
      <c r="W11239" s="1" t="s">
        <v>22919</v>
      </c>
      <c r="AR11239" s="1" t="str">
        <f t="shared" si="702"/>
        <v>| [ㄘˊ](ㄘˊ.md) | [茲](茲.md) |  | cí | 參見「龜茲」條。 |</v>
      </c>
    </row>
    <row r="11240" spans="1:44" hidden="1">
      <c r="A11240" s="1" t="s">
        <v>22920</v>
      </c>
      <c r="C11240" s="1">
        <v>1</v>
      </c>
      <c r="D11240" s="1" t="str">
        <f>"09702"</f>
        <v>09702</v>
      </c>
      <c r="E11240" s="1" t="s">
        <v>250</v>
      </c>
      <c r="F11240" s="1">
        <v>13</v>
      </c>
      <c r="G11240" s="1">
        <v>9</v>
      </c>
      <c r="H11240" s="1">
        <v>0</v>
      </c>
      <c r="I11240" s="1" t="s">
        <v>22904</v>
      </c>
      <c r="K11240" s="1" t="str">
        <f t="shared" si="700"/>
        <v>ㄘ</v>
      </c>
      <c r="M11240" s="1" t="str">
        <f t="shared" si="703"/>
        <v/>
      </c>
      <c r="N11240" s="3" t="s">
        <v>30575</v>
      </c>
      <c r="O11240" s="3"/>
      <c r="P11240" s="1" t="s">
        <v>20</v>
      </c>
      <c r="R11240" s="1" t="s">
        <v>22905</v>
      </c>
      <c r="V11240" s="1" t="s">
        <v>22921</v>
      </c>
      <c r="AR11240" s="1" t="str">
        <f t="shared" si="702"/>
        <v>| [ㄘˊ](ㄘˊ.md) | [慈](慈.md) |  | cí | [動]
愛憐。《史記．卷四．周本紀》：「則古公、公季之法，篤仁，敬老，慈少。」
[名]
1.父母對子女的愛稱為「慈」。北齊．顏之推《顏氏家訓．教子》：「父母威嚴而有慈，則子女畏慎而生孝矣。」
2.深篤的愛。《左傳．莊公二十七年》：「夫禮樂慈愛，戰所畜也。」唐．孔穎達．正義：「慈謂愛之深也。」《禮記．曲禮上》：「兄弟親戚稱其慈也，僚友稱其弟也。」
3.稱謂。用以尊稱母親。如：「令慈」、「家慈」。
4.吸鐵。通「磁」。如：「慈石」。
5.姓。如漢代有慈仁。 |</v>
      </c>
    </row>
    <row r="11241" spans="1:44" hidden="1">
      <c r="A11241" s="1" t="s">
        <v>22922</v>
      </c>
      <c r="C11241" s="1">
        <v>1</v>
      </c>
      <c r="D11241" s="1" t="str">
        <f>"09703"</f>
        <v>09703</v>
      </c>
      <c r="E11241" s="1" t="s">
        <v>169</v>
      </c>
      <c r="F11241" s="1">
        <v>14</v>
      </c>
      <c r="G11241" s="1">
        <v>9</v>
      </c>
      <c r="H11241" s="1">
        <v>0</v>
      </c>
      <c r="I11241" s="1" t="s">
        <v>22904</v>
      </c>
      <c r="K11241" s="1" t="str">
        <f t="shared" si="700"/>
        <v>ㄘ</v>
      </c>
      <c r="M11241" s="1" t="str">
        <f t="shared" si="703"/>
        <v/>
      </c>
      <c r="N11241" s="3" t="s">
        <v>30575</v>
      </c>
      <c r="O11241" s="3"/>
      <c r="P11241" s="1" t="s">
        <v>20</v>
      </c>
      <c r="R11241" s="1" t="s">
        <v>22905</v>
      </c>
      <c r="V11241" s="1" t="s">
        <v>22923</v>
      </c>
      <c r="AR11241" s="1" t="str">
        <f t="shared" si="702"/>
        <v>| [ㄘˊ](ㄘˊ.md) | [磁](磁.md) |  | cí | [名]
1.吸引鐵、鈷、鎳等金屬的性質。參見「磁鐵」條。
2.地名。參見「磁縣」條。
[形]
瓷質的。通「瓷」。如：「磁器」。《紅樓夢》第四一回：「這木頭的可比不得磁的，那都是一套，定要吃遍一套方使得！」 |</v>
      </c>
    </row>
    <row r="11242" spans="1:44" hidden="1">
      <c r="A11242" s="1" t="s">
        <v>22924</v>
      </c>
      <c r="C11242" s="1">
        <v>1</v>
      </c>
      <c r="D11242" s="1" t="str">
        <f>"09704"</f>
        <v>09704</v>
      </c>
      <c r="E11242" s="1" t="s">
        <v>272</v>
      </c>
      <c r="F11242" s="1">
        <v>20</v>
      </c>
      <c r="G11242" s="1">
        <v>9</v>
      </c>
      <c r="H11242" s="1">
        <v>0</v>
      </c>
      <c r="I11242" s="1" t="s">
        <v>22904</v>
      </c>
      <c r="K11242" s="1" t="str">
        <f t="shared" si="700"/>
        <v>ㄘ</v>
      </c>
      <c r="M11242" s="1" t="str">
        <f t="shared" si="703"/>
        <v/>
      </c>
      <c r="N11242" s="3" t="s">
        <v>30575</v>
      </c>
      <c r="O11242" s="3"/>
      <c r="P11242" s="1" t="s">
        <v>20</v>
      </c>
      <c r="R11242" s="1" t="s">
        <v>22905</v>
      </c>
      <c r="V11242" s="1" t="s">
        <v>9120</v>
      </c>
      <c r="AR11242" s="1" t="str">
        <f t="shared" si="702"/>
        <v>| [ㄘˊ](ㄘˊ.md) | [鶿](鶿.md) |  | cí | 參見「鸕鶿」條。 |</v>
      </c>
    </row>
    <row r="11243" spans="1:44" hidden="1">
      <c r="A11243" s="1" t="s">
        <v>22925</v>
      </c>
      <c r="C11243" s="1">
        <v>1</v>
      </c>
      <c r="D11243" s="1" t="str">
        <f>"09705"</f>
        <v>09705</v>
      </c>
      <c r="E11243" s="1" t="s">
        <v>732</v>
      </c>
      <c r="F11243" s="1">
        <v>19</v>
      </c>
      <c r="G11243" s="1">
        <v>12</v>
      </c>
      <c r="H11243" s="1">
        <v>0</v>
      </c>
      <c r="I11243" s="1" t="s">
        <v>22904</v>
      </c>
      <c r="K11243" s="1" t="str">
        <f t="shared" si="700"/>
        <v>ㄘ</v>
      </c>
      <c r="M11243" s="1" t="str">
        <f t="shared" si="703"/>
        <v/>
      </c>
      <c r="N11243" s="3" t="s">
        <v>30575</v>
      </c>
      <c r="O11243" s="3"/>
      <c r="P11243" s="1" t="s">
        <v>20</v>
      </c>
      <c r="R11243" s="1" t="s">
        <v>22905</v>
      </c>
      <c r="V11243" s="1" t="s">
        <v>22926</v>
      </c>
      <c r="AR11243" s="1" t="str">
        <f t="shared" si="702"/>
        <v>| [ㄘˊ](ㄘˊ.md) | [辭](辭.md) |  | cí | [名]
1.辯訟的話。《說文解字．辛部》：「辭，說也」。《周禮．秋官．鄉士》：「聽其獄訟，察其辭。」
2.敘述、說明的語言文字。通「詞」。如：「言辭」、「措辭」。《易經．繫辭下》：「吉人之辭寡，躁人之辭多。」
3.口實、話柄。如：「欲加之罪，何患無辭！」宋．辛棄疾〈論荊襄上流為東南重地〉：「朝廷固無辭以罪之也。」
4.文體名。起於戰國時期的楚國，屈原為最具代表性的作家。漢人集屈原、宋玉等人作品為楚辭，後人因稱此類賦體文學為「辭賦」或「辭」。
[動]
1.告知。《周禮．夏官．太僕》：「王不視朝，則辭於三公及孤卿。」漢．鄭玄．注：「辭，謂以王不視朝之意告之。」
2.推卻、不接受。如：「推辭」、「辭謝」、「赴湯蹈火，在所不辭。」
3.告別。如：「告辭」、「辭行」。《戰國策．趙策三》：「遂辭平原君而去，終身不復見。」
4.責備。《左傳．昭公九年》：「晉梁丙、張趯率陰戎伐潁，使詹桓伯辭於晉。」晉．杜預．注：「辭，責讓也。」
5.解雇、解聘。參見「辭退」條。 |</v>
      </c>
    </row>
    <row r="11244" spans="1:44" hidden="1">
      <c r="A11244" s="1" t="s">
        <v>22927</v>
      </c>
      <c r="C11244" s="1">
        <v>1</v>
      </c>
      <c r="D11244" s="1" t="str">
        <f>"09706"</f>
        <v>09706</v>
      </c>
      <c r="E11244" s="1" t="s">
        <v>1495</v>
      </c>
      <c r="F11244" s="1">
        <v>6</v>
      </c>
      <c r="G11244" s="1">
        <v>2</v>
      </c>
      <c r="H11244" s="1">
        <v>0</v>
      </c>
      <c r="I11244" s="1" t="s">
        <v>22928</v>
      </c>
      <c r="K11244" s="1" t="str">
        <f t="shared" si="700"/>
        <v>ㄘ</v>
      </c>
      <c r="M11244" s="1" t="str">
        <f t="shared" si="703"/>
        <v/>
      </c>
      <c r="N11244" s="3" t="s">
        <v>30576</v>
      </c>
      <c r="O11244" s="3"/>
      <c r="P11244" s="1" t="s">
        <v>20</v>
      </c>
      <c r="R11244" s="1" t="s">
        <v>22929</v>
      </c>
      <c r="V11244" s="1" t="s">
        <v>22930</v>
      </c>
      <c r="AR11244" s="1" t="str">
        <f t="shared" si="702"/>
        <v>| [ㄘˇ](ㄘˇ.md) | [此](此.md) |  | cǐ | [代]
這個。與「彼」相對。如：「此人」、「特此公告」、「不分彼此」。
[副]
如此、這樣。北周．庾信〈哀江南賦〉：「惜天下之一家，遭東南之反氣，以鶉首而賜秦，天何為而此醉！」
[連]
斯、乃、則。《禮記．大學》：「有德此有人，有人此有土，有土此有財，有財此有用。」 |</v>
      </c>
    </row>
    <row r="11245" spans="1:44" hidden="1">
      <c r="A11245" s="1" t="s">
        <v>22931</v>
      </c>
      <c r="C11245" s="1">
        <v>1</v>
      </c>
      <c r="D11245" s="1" t="str">
        <f>"09707"</f>
        <v>09707</v>
      </c>
      <c r="E11245" s="1" t="s">
        <v>114</v>
      </c>
      <c r="F11245" s="1">
        <v>8</v>
      </c>
      <c r="G11245" s="1">
        <v>6</v>
      </c>
      <c r="H11245" s="1">
        <v>0</v>
      </c>
      <c r="I11245" s="1" t="s">
        <v>22928</v>
      </c>
      <c r="K11245" s="1" t="str">
        <f t="shared" si="700"/>
        <v>ㄘ</v>
      </c>
      <c r="M11245" s="1" t="str">
        <f t="shared" si="703"/>
        <v/>
      </c>
      <c r="N11245" s="3" t="s">
        <v>30576</v>
      </c>
      <c r="O11245" s="3"/>
      <c r="P11245" s="1" t="s">
        <v>20</v>
      </c>
      <c r="R11245" s="1" t="s">
        <v>22929</v>
      </c>
      <c r="V11245" s="1" t="s">
        <v>22932</v>
      </c>
      <c r="AR11245" s="1" t="str">
        <f t="shared" si="702"/>
        <v>| [ㄘˇ](ㄘˇ.md) | [佌](佌.md) |  | cǐ | 參見「佌佌」條。 |</v>
      </c>
    </row>
    <row r="11246" spans="1:44" hidden="1">
      <c r="A11246" s="1" t="s">
        <v>22933</v>
      </c>
      <c r="C11246" s="1">
        <v>1</v>
      </c>
      <c r="D11246" s="1" t="str">
        <f>"09708"</f>
        <v>09708</v>
      </c>
      <c r="E11246" s="1" t="s">
        <v>129</v>
      </c>
      <c r="F11246" s="1">
        <v>9</v>
      </c>
      <c r="G11246" s="1">
        <v>6</v>
      </c>
      <c r="H11246" s="1">
        <v>0</v>
      </c>
      <c r="I11246" s="1" t="s">
        <v>22928</v>
      </c>
      <c r="K11246" s="1" t="str">
        <f t="shared" si="700"/>
        <v>ㄘ</v>
      </c>
      <c r="M11246" s="1" t="str">
        <f t="shared" si="703"/>
        <v/>
      </c>
      <c r="N11246" s="3" t="s">
        <v>30576</v>
      </c>
      <c r="O11246" s="3"/>
      <c r="P11246" s="1" t="s">
        <v>20</v>
      </c>
      <c r="R11246" s="1" t="s">
        <v>22929</v>
      </c>
      <c r="V11246" s="1" t="s">
        <v>22934</v>
      </c>
      <c r="AR11246" s="1" t="str">
        <f t="shared" si="702"/>
        <v>| [ㄘˇ](ㄘˇ.md) | [泚](泚.md) |  | cǐ | [形]
1.水清澈的樣子。《說文解字．水部》：「泚，清也。」《廣韻．上聲．薺韻》：「泚，水清也。」
2.流汗的樣子。《孟子．滕文公上》：「其顙有泚，睨而不視。」漢．趙岐．注：「泚，汗出泚泚然也。」
3.鮮明的樣子。《詩經．邶風．新臺》：「新臺有泚，河水瀰瀰。」漢．毛亨．傳：「泚，鮮明貌。」
[動]
沾濡、漬染。《新唐書．卷一〇二．岑文本傳》：「或叢令業遽，敕吏六七人泚筆待，分口占授，成無遺意。」《聊齋志異．卷五．郭生》：「又積窗課二十餘篇，待質名流。晨起，見翻攤案上，墨汁濃泚殆盡。」 |</v>
      </c>
    </row>
    <row r="11247" spans="1:44" hidden="1">
      <c r="A11247" s="1" t="s">
        <v>22935</v>
      </c>
      <c r="C11247" s="1">
        <v>1</v>
      </c>
      <c r="D11247" s="1" t="str">
        <f>"09709"</f>
        <v>09709</v>
      </c>
      <c r="E11247" s="1" t="s">
        <v>142</v>
      </c>
      <c r="F11247" s="1">
        <v>10</v>
      </c>
      <c r="G11247" s="1">
        <v>6</v>
      </c>
      <c r="H11247" s="1">
        <v>0</v>
      </c>
      <c r="I11247" s="1" t="s">
        <v>22928</v>
      </c>
      <c r="K11247" s="1" t="str">
        <f t="shared" si="700"/>
        <v>ㄘ</v>
      </c>
      <c r="M11247" s="1" t="str">
        <f t="shared" si="703"/>
        <v/>
      </c>
      <c r="N11247" s="3" t="s">
        <v>30576</v>
      </c>
      <c r="O11247" s="3"/>
      <c r="P11247" s="1" t="s">
        <v>20</v>
      </c>
      <c r="R11247" s="1" t="s">
        <v>22929</v>
      </c>
      <c r="V11247" s="1" t="s">
        <v>22936</v>
      </c>
      <c r="AR11247" s="1" t="str">
        <f t="shared" si="702"/>
        <v>| [ㄘˇ](ㄘˇ.md) | [玼](玼.md) |  | cǐ | [形]
物體顏色鮮明的樣子。《說文解字．玉部》：「玼，新玉色鮮也。」《詩經．鄘風．君子偕老》：「玼兮玼兮，其之翟也。」漢．毛亨．傳：「玼，鮮盛貌。」
[動]
汙垢、缺點。通「疵」。《後漢書．卷七八．宦者傳．呂強傳》：「夫立言無顯過之咎，明鏡無見玼之尤。」 |</v>
      </c>
    </row>
    <row r="11248" spans="1:44" hidden="1">
      <c r="A11248" s="1" t="s">
        <v>22889</v>
      </c>
      <c r="C11248" s="1">
        <v>1</v>
      </c>
      <c r="D11248" s="1" t="str">
        <f>"09710"</f>
        <v>09710</v>
      </c>
      <c r="E11248" s="1" t="s">
        <v>77</v>
      </c>
      <c r="F11248" s="1">
        <v>13</v>
      </c>
      <c r="G11248" s="1">
        <v>6</v>
      </c>
      <c r="H11248" s="1">
        <v>1</v>
      </c>
      <c r="I11248" s="1" t="s">
        <v>22928</v>
      </c>
      <c r="K11248" s="1" t="str">
        <f t="shared" si="700"/>
        <v>ㄘ</v>
      </c>
      <c r="M11248" s="1" t="str">
        <f t="shared" si="703"/>
        <v/>
      </c>
      <c r="N11248" s="3" t="s">
        <v>30576</v>
      </c>
      <c r="O11248" s="3"/>
      <c r="P11248" s="1" t="s">
        <v>20</v>
      </c>
      <c r="R11248" s="1" t="s">
        <v>22929</v>
      </c>
      <c r="V11248" s="1" t="s">
        <v>22937</v>
      </c>
      <c r="W11248" s="1" t="s">
        <v>22938</v>
      </c>
      <c r="AR11248" s="1" t="str">
        <f t="shared" si="702"/>
        <v>| [ㄘˇ](ㄘˇ.md) | [跐](跐.md) |  | cǐ | [動]
踩踏。《文選．左思．吳都賦》：「雖有雄虺之九首，將抗足而跐之。」《紅樓夢》第三六回：「鳳姐把袖子挽了幾挽，跐著那角門的門檻子。」 |</v>
      </c>
    </row>
    <row r="11249" spans="1:44" hidden="1">
      <c r="A11249" s="1" t="s">
        <v>19458</v>
      </c>
      <c r="C11249" s="1">
        <v>1</v>
      </c>
      <c r="D11249" s="1" t="str">
        <f>"09833"</f>
        <v>09833</v>
      </c>
      <c r="E11249" s="1" t="s">
        <v>10636</v>
      </c>
      <c r="F11249" s="1">
        <v>10</v>
      </c>
      <c r="G11249" s="1">
        <v>7</v>
      </c>
      <c r="H11249" s="1">
        <v>6</v>
      </c>
      <c r="I11249" s="1" t="s">
        <v>23245</v>
      </c>
      <c r="K11249" s="1" t="str">
        <f t="shared" si="700"/>
        <v>ㄘ</v>
      </c>
      <c r="L11249" s="1" t="str">
        <f t="shared" ref="L11249:L11312" si="704">MID(I11249, 2, 1)</f>
        <v>ㄨ</v>
      </c>
      <c r="M11249" s="1" t="str">
        <f t="shared" si="703"/>
        <v>ㄛ</v>
      </c>
      <c r="P11249" s="1" t="s">
        <v>20</v>
      </c>
      <c r="R11249" s="1" t="s">
        <v>23246</v>
      </c>
      <c r="V11249" s="1" t="s">
        <v>23247</v>
      </c>
      <c r="W11249" s="1" t="s">
        <v>23248</v>
      </c>
      <c r="AR11249" s="1" t="str">
        <f t="shared" si="702"/>
        <v>| [ㄘㄨㄛ](ㄘㄨㄛ.md) | [差](差.md) |  | cuō | [動]
搓磨、搓洗。《禮記．喪大記》：「御者差沐于堂上。」漢．鄭玄．注：「差，淅也。」唐．孔穎達．正義：「差是差摩，故云淅。」 |</v>
      </c>
    </row>
    <row r="11250" spans="1:44" hidden="1">
      <c r="A11250" s="1" t="s">
        <v>23249</v>
      </c>
      <c r="C11250" s="1">
        <v>1</v>
      </c>
      <c r="D11250" s="1" t="str">
        <f>"09834"</f>
        <v>09834</v>
      </c>
      <c r="E11250" s="1" t="s">
        <v>24</v>
      </c>
      <c r="F11250" s="1">
        <v>13</v>
      </c>
      <c r="G11250" s="1">
        <v>10</v>
      </c>
      <c r="H11250" s="1">
        <v>0</v>
      </c>
      <c r="I11250" s="1" t="s">
        <v>23245</v>
      </c>
      <c r="K11250" s="1" t="str">
        <f t="shared" si="700"/>
        <v>ㄘ</v>
      </c>
      <c r="L11250" s="1" t="str">
        <f t="shared" si="704"/>
        <v>ㄨ</v>
      </c>
      <c r="M11250" s="1" t="str">
        <f t="shared" si="703"/>
        <v>ㄛ</v>
      </c>
      <c r="P11250" s="1" t="s">
        <v>20</v>
      </c>
      <c r="R11250" s="1" t="s">
        <v>23246</v>
      </c>
      <c r="V11250" s="1" t="s">
        <v>23250</v>
      </c>
      <c r="AR11250" s="1" t="str">
        <f t="shared" si="702"/>
        <v>| [ㄘㄨㄛ](ㄘㄨㄛ.md) | [搓](搓.md) |  | cuō | [動]
1.兩手反覆相揉、磨擦。如：「搓湯圓」、「搓麻繩」。《兒女英雄傳》第一四回：「說著急得搓手頓足，滿面流淚。」
2.將物置於手中運轉。《兒女英雄傳》第一五回：「他一隻手，只管得兒楞楞的，得兒楞楞的，搓著那副鐵球。」 |</v>
      </c>
    </row>
    <row r="11251" spans="1:44" hidden="1">
      <c r="A11251" s="1" t="s">
        <v>23251</v>
      </c>
      <c r="C11251" s="1">
        <v>1</v>
      </c>
      <c r="D11251" s="1" t="str">
        <f>"09835"</f>
        <v>09835</v>
      </c>
      <c r="E11251" s="1" t="s">
        <v>142</v>
      </c>
      <c r="F11251" s="1">
        <v>14</v>
      </c>
      <c r="G11251" s="1">
        <v>10</v>
      </c>
      <c r="H11251" s="1">
        <v>1</v>
      </c>
      <c r="I11251" s="1" t="s">
        <v>23245</v>
      </c>
      <c r="K11251" s="1" t="str">
        <f t="shared" si="700"/>
        <v>ㄘ</v>
      </c>
      <c r="L11251" s="1" t="str">
        <f t="shared" si="704"/>
        <v>ㄨ</v>
      </c>
      <c r="M11251" s="1" t="str">
        <f t="shared" si="703"/>
        <v>ㄛ</v>
      </c>
      <c r="P11251" s="1" t="s">
        <v>20</v>
      </c>
      <c r="R11251" s="1" t="s">
        <v>23246</v>
      </c>
      <c r="V11251" s="1" t="s">
        <v>23252</v>
      </c>
      <c r="W11251" s="1" t="s">
        <v>23253</v>
      </c>
      <c r="AR11251" s="1" t="str">
        <f t="shared" si="702"/>
        <v>| [ㄘㄨㄛ](ㄘㄨㄛ.md) | [瑳](瑳.md) |  | cuō | [形]
1.玉色鮮白的樣子。《廣韻．平聲．歌韻》：「瑳，玉色鮮白也。」
2.鮮盛的樣子。《詩經．鄘風．君子偕老》：「瑳兮瑳兮，其之展也。」唐．韓愈〈高君畫讚〉：「澄源卷璞，含白瑳瑳。」
3.巧笑的樣子。《詩經．衛風．竹竿》：「巧笑之瑳，佩玉之儺。」 |</v>
      </c>
    </row>
    <row r="11252" spans="1:44" hidden="1">
      <c r="A11252" s="1" t="s">
        <v>23254</v>
      </c>
      <c r="C11252" s="1">
        <v>1</v>
      </c>
      <c r="D11252" s="1" t="str">
        <f>"09836"</f>
        <v>09836</v>
      </c>
      <c r="E11252" s="1" t="s">
        <v>169</v>
      </c>
      <c r="F11252" s="1">
        <v>15</v>
      </c>
      <c r="G11252" s="1">
        <v>10</v>
      </c>
      <c r="H11252" s="1">
        <v>0</v>
      </c>
      <c r="I11252" s="1" t="s">
        <v>23245</v>
      </c>
      <c r="K11252" s="1" t="str">
        <f t="shared" si="700"/>
        <v>ㄘ</v>
      </c>
      <c r="L11252" s="1" t="str">
        <f t="shared" si="704"/>
        <v>ㄨ</v>
      </c>
      <c r="M11252" s="1" t="str">
        <f t="shared" si="703"/>
        <v>ㄛ</v>
      </c>
      <c r="P11252" s="1" t="s">
        <v>20</v>
      </c>
      <c r="R11252" s="1" t="s">
        <v>23246</v>
      </c>
      <c r="V11252" s="1" t="s">
        <v>23255</v>
      </c>
      <c r="AR11252" s="1" t="str">
        <f t="shared" si="702"/>
        <v>| [ㄘㄨㄛ](ㄘㄨㄛ.md) | [磋](磋.md) |  | cuō | [動]
1.琢磨、磨製。《玉篇．石部》：「磋，治象也。」民國．章太炎《新方言．釋器》：「《爾雅》象謂之磋，玉謂之琢。今玉王謂攻玉為磋玉，則通名也。」
2.引申為相互研究、商討。如：「磋商」。《管子．弟子職》：「相切相磋，各長其儀。」《晉書．卷四一．劉寔傳》：「何不旦夕切磋，使知過而自改邪？」 |</v>
      </c>
    </row>
    <row r="11253" spans="1:44" hidden="1">
      <c r="A11253" s="1" t="s">
        <v>23256</v>
      </c>
      <c r="C11253" s="1">
        <v>1</v>
      </c>
      <c r="D11253" s="1" t="str">
        <f>"09837"</f>
        <v>09837</v>
      </c>
      <c r="E11253" s="1" t="s">
        <v>77</v>
      </c>
      <c r="F11253" s="1">
        <v>17</v>
      </c>
      <c r="G11253" s="1">
        <v>10</v>
      </c>
      <c r="H11253" s="1">
        <v>0</v>
      </c>
      <c r="I11253" s="1" t="s">
        <v>23245</v>
      </c>
      <c r="K11253" s="1" t="str">
        <f t="shared" si="700"/>
        <v>ㄘ</v>
      </c>
      <c r="L11253" s="1" t="str">
        <f t="shared" si="704"/>
        <v>ㄨ</v>
      </c>
      <c r="M11253" s="1" t="str">
        <f t="shared" si="703"/>
        <v>ㄛ</v>
      </c>
      <c r="P11253" s="1" t="s">
        <v>20</v>
      </c>
      <c r="R11253" s="1" t="s">
        <v>23246</v>
      </c>
      <c r="V11253" s="1" t="s">
        <v>23257</v>
      </c>
      <c r="AR11253" s="1" t="str">
        <f t="shared" si="702"/>
        <v>| [ㄘㄨㄛ](ㄘㄨㄛ.md) | [蹉](蹉.md) |  | cuō | [動]_x000D_
1.失時。如：「蹉跎」。三國魏．阮籍〈詠懷〉詩一七首之八：「娛樂未終極，白日忽蹉跎。」_x000D_
2.越過。晉．張華〈輕薄篇〉：「孟公結重關，賓客不得蹉。」唐．許渾〈將度故城湖阻風夜泊永陽戍〉詩：「行盡青溪日已蹉，雲容山影水嵯峨。」_x000D_
3.差誤。漢．揚雄〈并州箴〉：「宗幽罔識，日用爽蹉。」_x000D_
4.踩、踏。《儒林外史》第二二回：「牛浦眼瞪瞪的望著牛玉圃的臉說，不覺一腳蹉了個空，半截身子掉下塘去。」 |</v>
      </c>
    </row>
    <row r="11254" spans="1:44" hidden="1">
      <c r="A11254" s="1" t="s">
        <v>22254</v>
      </c>
      <c r="C11254" s="1">
        <v>1</v>
      </c>
      <c r="D11254" s="1" t="str">
        <f>"09838"</f>
        <v>09838</v>
      </c>
      <c r="E11254" s="1" t="s">
        <v>283</v>
      </c>
      <c r="F11254" s="1">
        <v>20</v>
      </c>
      <c r="G11254" s="1">
        <v>10</v>
      </c>
      <c r="H11254" s="1">
        <v>2</v>
      </c>
      <c r="I11254" s="1" t="s">
        <v>23245</v>
      </c>
      <c r="K11254" s="1" t="str">
        <f t="shared" si="700"/>
        <v>ㄘ</v>
      </c>
      <c r="L11254" s="1" t="str">
        <f t="shared" si="704"/>
        <v>ㄨ</v>
      </c>
      <c r="M11254" s="1" t="str">
        <f t="shared" si="703"/>
        <v>ㄛ</v>
      </c>
      <c r="P11254" s="1" t="s">
        <v>20</v>
      </c>
      <c r="R11254" s="1" t="s">
        <v>23246</v>
      </c>
      <c r="V11254" s="1" t="s">
        <v>23258</v>
      </c>
      <c r="W11254" s="1" t="s">
        <v>23259</v>
      </c>
      <c r="AR11254" s="1" t="str">
        <f t="shared" si="702"/>
        <v>| [ㄘㄨㄛ](ㄘㄨㄛ.md) | [髊](髊.md) |  | cuō | [動]
把牙、骨、角等材料製做成器物。《集韻．平聲．戈韻》：「髊，治牙骨也。」 |</v>
      </c>
    </row>
    <row r="11255" spans="1:44" hidden="1">
      <c r="A11255" s="1" t="s">
        <v>23260</v>
      </c>
      <c r="C11255" s="1">
        <v>1</v>
      </c>
      <c r="D11255" s="1" t="str">
        <f>"09839"</f>
        <v>09839</v>
      </c>
      <c r="E11255" s="1" t="s">
        <v>37</v>
      </c>
      <c r="F11255" s="1">
        <v>11</v>
      </c>
      <c r="G11255" s="1">
        <v>7</v>
      </c>
      <c r="H11255" s="1">
        <v>2</v>
      </c>
      <c r="I11255" s="1" t="s">
        <v>23245</v>
      </c>
      <c r="K11255" s="1" t="str">
        <f t="shared" si="700"/>
        <v>ㄘ</v>
      </c>
      <c r="L11255" s="1" t="str">
        <f t="shared" si="704"/>
        <v>ㄨ</v>
      </c>
      <c r="M11255" s="1" t="str">
        <f t="shared" si="703"/>
        <v>ㄛ</v>
      </c>
      <c r="P11255" s="1" t="s">
        <v>388</v>
      </c>
      <c r="R11255" s="1" t="s">
        <v>23246</v>
      </c>
      <c r="V11255" s="1" t="s">
        <v>407</v>
      </c>
      <c r="W11255" s="1" t="s">
        <v>23261</v>
      </c>
      <c r="AR11255" s="1" t="str">
        <f t="shared" si="702"/>
        <v>| [ㄘㄨㄛ](ㄘㄨㄛ.md) | [莏](莏.md) |  | cuō | (一)之語音。 |</v>
      </c>
    </row>
    <row r="11256" spans="1:44" hidden="1">
      <c r="A11256" s="1" t="s">
        <v>1160</v>
      </c>
      <c r="C11256" s="1">
        <v>1</v>
      </c>
      <c r="D11256" s="1" t="str">
        <f>"09840"</f>
        <v>09840</v>
      </c>
      <c r="E11256" s="1" t="s">
        <v>1161</v>
      </c>
      <c r="F11256" s="1">
        <v>12</v>
      </c>
      <c r="G11256" s="1">
        <v>3</v>
      </c>
      <c r="H11256" s="1">
        <v>3</v>
      </c>
      <c r="I11256" s="1" t="s">
        <v>23245</v>
      </c>
      <c r="K11256" s="1" t="str">
        <f t="shared" si="700"/>
        <v>ㄘ</v>
      </c>
      <c r="L11256" s="1" t="str">
        <f t="shared" si="704"/>
        <v>ㄨ</v>
      </c>
      <c r="M11256" s="1" t="str">
        <f t="shared" si="703"/>
        <v>ㄛ</v>
      </c>
      <c r="P11256" s="1" t="s">
        <v>20</v>
      </c>
      <c r="R11256" s="1" t="s">
        <v>23246</v>
      </c>
      <c r="V11256" s="1" t="s">
        <v>23262</v>
      </c>
      <c r="W11256" s="1" t="s">
        <v>23263</v>
      </c>
      <c r="AR11256" s="1" t="str">
        <f t="shared" si="702"/>
        <v>| [ㄘㄨㄛ](ㄘㄨㄛ.md) | [颩](颩.md) |  | cuō | [名]
量詞。計算大隊人馬的單位。元．睢景臣〈哨遍．社長排門套．耍孩兒〉曲：「見一颩人馬到莊門，匹頭裡幾面旗舒。」 |</v>
      </c>
    </row>
    <row r="11257" spans="1:44" hidden="1">
      <c r="A11257" s="1" t="s">
        <v>22693</v>
      </c>
      <c r="C11257" s="1">
        <v>1</v>
      </c>
      <c r="D11257" s="1" t="str">
        <f>"09841"</f>
        <v>09841</v>
      </c>
      <c r="E11257" s="1" t="s">
        <v>24</v>
      </c>
      <c r="F11257" s="1">
        <v>15</v>
      </c>
      <c r="G11257" s="1">
        <v>12</v>
      </c>
      <c r="H11257" s="1">
        <v>1</v>
      </c>
      <c r="I11257" s="1" t="s">
        <v>23245</v>
      </c>
      <c r="K11257" s="1" t="str">
        <f t="shared" si="700"/>
        <v>ㄘ</v>
      </c>
      <c r="L11257" s="1" t="str">
        <f t="shared" si="704"/>
        <v>ㄨ</v>
      </c>
      <c r="M11257" s="1" t="str">
        <f t="shared" ref="M11257:M11288" si="705">MID(I11257, 3, 1)</f>
        <v>ㄛ</v>
      </c>
      <c r="P11257" s="1" t="s">
        <v>20</v>
      </c>
      <c r="R11257" s="1" t="s">
        <v>23246</v>
      </c>
      <c r="V11257" s="1" t="s">
        <v>23264</v>
      </c>
      <c r="W11257" s="1" t="s">
        <v>23265</v>
      </c>
      <c r="AR11257" s="1" t="str">
        <f t="shared" si="702"/>
        <v>| [ㄘㄨㄛ](ㄘㄨㄛ.md) | [撮](撮.md) |  | cuō | [動]
1.抓取。《莊子．秋水》：「鴟鵂夜撮蚤，察毫末，晝出瞋目而不見丘山，言殊性也。」《儒林外史》第二回：「撮了一把苦丁茶葉。」
2.聚攏。《孔子家語．卷一．始誅》：「其聚處足以撮徒成黨，其談說足以飾褒榮眾。」
3.摘錄。《史記．卷一三〇．太史公自序》：「采儒、墨之善，撮名、法之要。」《紅樓夢》第四二回：「將市俗的粗話，撮其要，刪其繁，再加潤色比方出來。」
[名]
量詞：(1)計算容量的單位。公制一撮等於千分之一升。也稱為「公撮」。(2)計算手指抓取物的單位。如：「一撮鹽」、「一撮土」。 |</v>
      </c>
    </row>
    <row r="11258" spans="1:44" hidden="1">
      <c r="A11258" s="1" t="s">
        <v>23266</v>
      </c>
      <c r="C11258" s="1">
        <v>1</v>
      </c>
      <c r="D11258" s="1" t="str">
        <f>"09842"</f>
        <v>09842</v>
      </c>
      <c r="E11258" s="1" t="s">
        <v>558</v>
      </c>
      <c r="F11258" s="1">
        <v>15</v>
      </c>
      <c r="G11258" s="1">
        <v>11</v>
      </c>
      <c r="H11258" s="1">
        <v>0</v>
      </c>
      <c r="I11258" s="1" t="s">
        <v>23245</v>
      </c>
      <c r="K11258" s="1" t="str">
        <f t="shared" si="700"/>
        <v>ㄘ</v>
      </c>
      <c r="L11258" s="1" t="str">
        <f t="shared" si="704"/>
        <v>ㄨ</v>
      </c>
      <c r="M11258" s="1" t="str">
        <f t="shared" si="705"/>
        <v>ㄛ</v>
      </c>
      <c r="P11258" s="1" t="s">
        <v>20</v>
      </c>
      <c r="R11258" s="1" t="s">
        <v>23246</v>
      </c>
      <c r="V11258" s="1" t="s">
        <v>23267</v>
      </c>
      <c r="AR11258" s="1" t="str">
        <f t="shared" si="702"/>
        <v>| [ㄘㄨㄛ](ㄘㄨㄛ.md) | [遳](遳.md) |  | cuō | [形]
脆弱。唐．裴度〈蜀丞相諸葛武侯祠堂碑銘序〉：「誰謂阻深，殷為彊國；誰謂遳脆，勵為勁兵。」 |</v>
      </c>
    </row>
    <row r="11259" spans="1:44" hidden="1">
      <c r="A11259" s="1" t="s">
        <v>23268</v>
      </c>
      <c r="C11259" s="1">
        <v>1</v>
      </c>
      <c r="D11259" s="1" t="str">
        <f>"09843"</f>
        <v>09843</v>
      </c>
      <c r="E11259" s="1" t="s">
        <v>40</v>
      </c>
      <c r="F11259" s="1">
        <v>12</v>
      </c>
      <c r="G11259" s="1">
        <v>7</v>
      </c>
      <c r="H11259" s="1">
        <v>0</v>
      </c>
      <c r="I11259" s="1" t="s">
        <v>23269</v>
      </c>
      <c r="K11259" s="1" t="str">
        <f t="shared" si="700"/>
        <v>ㄘ</v>
      </c>
      <c r="L11259" s="1" t="str">
        <f t="shared" si="704"/>
        <v>ㄨ</v>
      </c>
      <c r="M11259" s="1" t="str">
        <f t="shared" si="705"/>
        <v>ㄛ</v>
      </c>
      <c r="P11259" s="1" t="s">
        <v>20</v>
      </c>
      <c r="R11259" s="1" t="s">
        <v>23270</v>
      </c>
      <c r="V11259" s="1" t="s">
        <v>23271</v>
      </c>
      <c r="AR11259" s="1" t="str">
        <f t="shared" si="702"/>
        <v>| [ㄘㄨㄛˊ](ㄘㄨㄛˊ.md) | [痤](痤.md) |  | cuó | [名]
膿瘡。《莊子．列禦寇》：「秦王有病召醫，破癰潰痤者，得車一乘。」 |</v>
      </c>
    </row>
    <row r="11260" spans="1:44" hidden="1">
      <c r="A11260" s="1" t="s">
        <v>23272</v>
      </c>
      <c r="C11260" s="1">
        <v>1</v>
      </c>
      <c r="D11260" s="1" t="str">
        <f>"09844"</f>
        <v>09844</v>
      </c>
      <c r="E11260" s="1" t="s">
        <v>122</v>
      </c>
      <c r="F11260" s="1">
        <v>12</v>
      </c>
      <c r="G11260" s="1">
        <v>7</v>
      </c>
      <c r="H11260" s="1">
        <v>0</v>
      </c>
      <c r="I11260" s="1" t="s">
        <v>23269</v>
      </c>
      <c r="K11260" s="1" t="str">
        <f t="shared" si="700"/>
        <v>ㄘ</v>
      </c>
      <c r="L11260" s="1" t="str">
        <f t="shared" si="704"/>
        <v>ㄨ</v>
      </c>
      <c r="M11260" s="1" t="str">
        <f t="shared" si="705"/>
        <v>ㄛ</v>
      </c>
      <c r="P11260" s="1" t="s">
        <v>20</v>
      </c>
      <c r="R11260" s="1" t="s">
        <v>23270</v>
      </c>
      <c r="V11260" s="1" t="s">
        <v>23273</v>
      </c>
      <c r="AR11260" s="1" t="str">
        <f t="shared" si="702"/>
        <v>| [ㄘㄨㄛˊ](ㄘㄨㄛˊ.md) | [矬](矬.md) |  | cuó | [形]
1.矮小。《抱朴子．內篇．塞難》：「而或矬陋尪弱，或且黑且醜。」《北史．卷二六．宋隱傳》：「形貌矬陋，而好臧否人物，時論甚疾之。」
2.很土氣、很沒見識、很笨拙的樣子。如：「你看他那個樣子，好矬喔！」
[動]
彎曲。《醒世恆言．卷三二．黃秀才徼靈玉馬墜》：「黃身不敢造次，乃矬身坐於窗口。」《儒林外史》第五二回：「那少年便痛得了不得，矬了身子，墩下去。」 |</v>
      </c>
    </row>
    <row r="11261" spans="1:44" hidden="1">
      <c r="A11261" s="1" t="s">
        <v>23274</v>
      </c>
      <c r="C11261" s="1">
        <v>1</v>
      </c>
      <c r="D11261" s="1" t="str">
        <f>"09845"</f>
        <v>09845</v>
      </c>
      <c r="E11261" s="1" t="s">
        <v>190</v>
      </c>
      <c r="F11261" s="1">
        <v>13</v>
      </c>
      <c r="G11261" s="1">
        <v>10</v>
      </c>
      <c r="H11261" s="1">
        <v>0</v>
      </c>
      <c r="I11261" s="1" t="s">
        <v>23269</v>
      </c>
      <c r="K11261" s="1" t="str">
        <f t="shared" si="700"/>
        <v>ㄘ</v>
      </c>
      <c r="L11261" s="1" t="str">
        <f t="shared" si="704"/>
        <v>ㄨ</v>
      </c>
      <c r="M11261" s="1" t="str">
        <f t="shared" si="705"/>
        <v>ㄛ</v>
      </c>
      <c r="P11261" s="1" t="s">
        <v>20</v>
      </c>
      <c r="R11261" s="1" t="s">
        <v>23270</v>
      </c>
      <c r="V11261" s="1" t="s">
        <v>23275</v>
      </c>
      <c r="AR11261" s="1" t="str">
        <f t="shared" si="702"/>
        <v>| [ㄘㄨㄛˊ](ㄘㄨㄛˊ.md) | [嵯](嵯.md) |  | cuó | 參見「嵯峨」條。 |</v>
      </c>
    </row>
    <row r="11262" spans="1:44" hidden="1">
      <c r="A11262" s="1" t="s">
        <v>19597</v>
      </c>
      <c r="C11262" s="1">
        <v>1</v>
      </c>
      <c r="D11262" s="1" t="str">
        <f>"09846"</f>
        <v>09846</v>
      </c>
      <c r="E11262" s="1" t="s">
        <v>40</v>
      </c>
      <c r="F11262" s="1">
        <v>15</v>
      </c>
      <c r="G11262" s="1">
        <v>10</v>
      </c>
      <c r="H11262" s="1">
        <v>2</v>
      </c>
      <c r="I11262" s="1" t="s">
        <v>23269</v>
      </c>
      <c r="K11262" s="1" t="str">
        <f t="shared" si="700"/>
        <v>ㄘ</v>
      </c>
      <c r="L11262" s="1" t="str">
        <f t="shared" si="704"/>
        <v>ㄨ</v>
      </c>
      <c r="M11262" s="1" t="str">
        <f t="shared" si="705"/>
        <v>ㄛ</v>
      </c>
      <c r="P11262" s="1" t="s">
        <v>20</v>
      </c>
      <c r="R11262" s="1" t="s">
        <v>23270</v>
      </c>
      <c r="V11262" s="1" t="s">
        <v>23276</v>
      </c>
      <c r="W11262" s="1" t="s">
        <v>23277</v>
      </c>
      <c r="AR11262" s="1" t="str">
        <f t="shared" si="702"/>
        <v>| [ㄘㄨㄛˊ](ㄘㄨㄛˊ.md) | [瘥](瘥.md) |  | cuó | [名]
病。《爾雅．釋詁下》：「瘥，病也。」唐．劉禹錫〈為淮南杜相公論新羅請廣利方狀〉：「搜方技之秘要，拯生靈之夭瘥。」 |</v>
      </c>
    </row>
    <row r="11263" spans="1:44" hidden="1">
      <c r="A11263" s="1" t="s">
        <v>23278</v>
      </c>
      <c r="C11263" s="1">
        <v>1</v>
      </c>
      <c r="D11263" s="1" t="str">
        <f>"09847"</f>
        <v>09847</v>
      </c>
      <c r="E11263" s="1" t="s">
        <v>9124</v>
      </c>
      <c r="F11263" s="1">
        <v>21</v>
      </c>
      <c r="G11263" s="1">
        <v>10</v>
      </c>
      <c r="H11263" s="1">
        <v>0</v>
      </c>
      <c r="I11263" s="1" t="s">
        <v>23269</v>
      </c>
      <c r="K11263" s="1" t="str">
        <f t="shared" si="700"/>
        <v>ㄘ</v>
      </c>
      <c r="L11263" s="1" t="str">
        <f t="shared" si="704"/>
        <v>ㄨ</v>
      </c>
      <c r="M11263" s="1" t="str">
        <f t="shared" si="705"/>
        <v>ㄛ</v>
      </c>
      <c r="P11263" s="1" t="s">
        <v>20</v>
      </c>
      <c r="R11263" s="1" t="s">
        <v>23270</v>
      </c>
      <c r="V11263" s="1" t="s">
        <v>23279</v>
      </c>
      <c r="AR11263" s="1" t="str">
        <f t="shared" si="702"/>
        <v>| [ㄘㄨㄛˊ](ㄘㄨㄛˊ.md) | [鹺](鹺.md) |  | cuó | [形]
鹹。如：「鹺魚」。
[名]
鹽。參見「鹺使」、「鹺務」等條。 |</v>
      </c>
    </row>
    <row r="11264" spans="1:44" hidden="1">
      <c r="A11264" s="1" t="s">
        <v>23280</v>
      </c>
      <c r="C11264" s="1">
        <v>1</v>
      </c>
      <c r="D11264" s="1" t="str">
        <f>"09848"</f>
        <v>09848</v>
      </c>
      <c r="E11264" s="1" t="s">
        <v>68</v>
      </c>
      <c r="F11264" s="1">
        <v>11</v>
      </c>
      <c r="G11264" s="1">
        <v>7</v>
      </c>
      <c r="H11264" s="1">
        <v>0</v>
      </c>
      <c r="I11264" s="1" t="s">
        <v>23281</v>
      </c>
      <c r="K11264" s="1" t="str">
        <f t="shared" ref="K11264:K11327" si="706">LEFT(I11264, 1)</f>
        <v>ㄘ</v>
      </c>
      <c r="L11264" s="1" t="str">
        <f t="shared" si="704"/>
        <v>ㄨ</v>
      </c>
      <c r="M11264" s="1" t="str">
        <f t="shared" si="705"/>
        <v>ㄛ</v>
      </c>
      <c r="P11264" s="1" t="s">
        <v>20</v>
      </c>
      <c r="R11264" s="1" t="s">
        <v>23282</v>
      </c>
      <c r="V11264" s="1" t="s">
        <v>23283</v>
      </c>
      <c r="AR11264" s="1" t="str">
        <f t="shared" si="702"/>
        <v>| [ㄘㄨㄛˇ](ㄘㄨㄛˇ.md) | [脞](脞.md) |  | cuǒ | [形]
細碎、瑣碎。元．楊弘道〈獅子石〉詩：「百步走魑魅，脞說多不經。」 |</v>
      </c>
    </row>
    <row r="11265" spans="1:44" hidden="1">
      <c r="A11265" s="1" t="s">
        <v>23251</v>
      </c>
      <c r="C11265" s="1">
        <v>1</v>
      </c>
      <c r="D11265" s="1" t="str">
        <f>"09849"</f>
        <v>09849</v>
      </c>
      <c r="E11265" s="1" t="s">
        <v>142</v>
      </c>
      <c r="F11265" s="1">
        <v>14</v>
      </c>
      <c r="G11265" s="1">
        <v>10</v>
      </c>
      <c r="H11265" s="1">
        <v>2</v>
      </c>
      <c r="I11265" s="1" t="s">
        <v>23281</v>
      </c>
      <c r="K11265" s="1" t="str">
        <f t="shared" si="706"/>
        <v>ㄘ</v>
      </c>
      <c r="L11265" s="1" t="str">
        <f t="shared" si="704"/>
        <v>ㄨ</v>
      </c>
      <c r="M11265" s="1" t="str">
        <f t="shared" si="705"/>
        <v>ㄛ</v>
      </c>
      <c r="P11265" s="1" t="s">
        <v>110</v>
      </c>
      <c r="R11265" s="1" t="s">
        <v>23282</v>
      </c>
      <c r="V11265" s="1" t="s">
        <v>111</v>
      </c>
      <c r="W11265" s="1" t="s">
        <v>23284</v>
      </c>
      <c r="AR11265" s="1" t="str">
        <f t="shared" si="702"/>
        <v>| [ㄘㄨㄛˇ](ㄘㄨㄛˇ.md) | [瑳](瑳.md) |  | cuǒ | (一)之又音。 |</v>
      </c>
    </row>
    <row r="11266" spans="1:44" hidden="1">
      <c r="A11266" s="1" t="s">
        <v>16213</v>
      </c>
      <c r="C11266" s="1">
        <v>1</v>
      </c>
      <c r="D11266" s="1" t="str">
        <f>"09850"</f>
        <v>09850</v>
      </c>
      <c r="E11266" s="1" t="s">
        <v>646</v>
      </c>
      <c r="F11266" s="1">
        <v>8</v>
      </c>
      <c r="G11266" s="1">
        <v>4</v>
      </c>
      <c r="H11266" s="1">
        <v>2</v>
      </c>
      <c r="I11266" s="1" t="s">
        <v>23285</v>
      </c>
      <c r="K11266" s="1" t="str">
        <f t="shared" si="706"/>
        <v>ㄘ</v>
      </c>
      <c r="L11266" s="1" t="str">
        <f t="shared" si="704"/>
        <v>ㄨ</v>
      </c>
      <c r="M11266" s="1" t="str">
        <f t="shared" si="705"/>
        <v>ㄛ</v>
      </c>
      <c r="P11266" s="1" t="s">
        <v>20</v>
      </c>
      <c r="R11266" s="1" t="s">
        <v>23286</v>
      </c>
      <c r="V11266" s="1" t="s">
        <v>23287</v>
      </c>
      <c r="W11266" s="1" t="s">
        <v>23288</v>
      </c>
      <c r="AR11266" s="1" t="str">
        <f t="shared" si="702"/>
        <v>| [ㄘㄨㄛˋ](ㄘㄨㄛˋ.md) | [昔](昔.md) |  | cuò | [形]
粗糙。《周禮．冬官考工記．弓人》：「老牛之角紾而昔。」 |</v>
      </c>
    </row>
    <row r="11267" spans="1:44" hidden="1">
      <c r="A11267" s="1" t="s">
        <v>23289</v>
      </c>
      <c r="C11267" s="1">
        <v>1</v>
      </c>
      <c r="D11267" s="1" t="str">
        <f>"09851"</f>
        <v>09851</v>
      </c>
      <c r="E11267" s="1" t="s">
        <v>185</v>
      </c>
      <c r="F11267" s="1">
        <v>10</v>
      </c>
      <c r="G11267" s="1">
        <v>8</v>
      </c>
      <c r="H11267" s="1">
        <v>0</v>
      </c>
      <c r="I11267" s="1" t="s">
        <v>23285</v>
      </c>
      <c r="K11267" s="1" t="str">
        <f t="shared" si="706"/>
        <v>ㄘ</v>
      </c>
      <c r="L11267" s="1" t="str">
        <f t="shared" si="704"/>
        <v>ㄨ</v>
      </c>
      <c r="M11267" s="1" t="str">
        <f t="shared" si="705"/>
        <v>ㄛ</v>
      </c>
      <c r="P11267" s="1" t="s">
        <v>20</v>
      </c>
      <c r="R11267" s="1" t="s">
        <v>23286</v>
      </c>
      <c r="V11267" s="1" t="s">
        <v>23290</v>
      </c>
      <c r="AR11267" s="1" t="str">
        <f t="shared" ref="AR11267:AR11330" si="707">"| ["&amp;I11267&amp;"]("&amp;I11267&amp;".md) | ["&amp;A11267&amp;"]("&amp;A11267&amp;".md) | "&amp;" | "&amp;R11267&amp;" | "&amp;V11267&amp;" |"</f>
        <v>| [ㄘㄨㄛˋ](ㄘㄨㄛˋ.md) | [剒](剒.md) |  | cuò | [動]
斬。如：「剒斷」。 |</v>
      </c>
    </row>
    <row r="11268" spans="1:44" hidden="1">
      <c r="A11268" s="1" t="s">
        <v>23291</v>
      </c>
      <c r="C11268" s="1">
        <v>1</v>
      </c>
      <c r="D11268" s="1" t="str">
        <f>"09852"</f>
        <v>09852</v>
      </c>
      <c r="E11268" s="1" t="s">
        <v>1941</v>
      </c>
      <c r="F11268" s="1">
        <v>10</v>
      </c>
      <c r="G11268" s="1">
        <v>8</v>
      </c>
      <c r="H11268" s="1">
        <v>0</v>
      </c>
      <c r="I11268" s="1" t="s">
        <v>23285</v>
      </c>
      <c r="K11268" s="1" t="str">
        <f t="shared" si="706"/>
        <v>ㄘ</v>
      </c>
      <c r="L11268" s="1" t="str">
        <f t="shared" si="704"/>
        <v>ㄨ</v>
      </c>
      <c r="M11268" s="1" t="str">
        <f t="shared" si="705"/>
        <v>ㄛ</v>
      </c>
      <c r="P11268" s="1" t="s">
        <v>20</v>
      </c>
      <c r="R11268" s="1" t="s">
        <v>23286</v>
      </c>
      <c r="V11268" s="1" t="s">
        <v>23292</v>
      </c>
      <c r="AR11268" s="1" t="str">
        <f t="shared" si="707"/>
        <v>| [ㄘㄨㄛˋ](ㄘㄨㄛˋ.md) | [厝](厝.md) |  | cuò | [名]
磨刀石。《說文解字．厂部》：「厝，厝石也。」
[動]
1.安置。通「措」。《戰國策．魏策二》：「王厝需於側以稽之，臣以為身利而便於事。」《後漢書．卷三〇．郎顗傳》：「征營惶怖，靡知厝身。」
2.停放靈柩待葬。如：「安厝」。《文選．潘岳．寡婦賦》：「痛存亡之殊制兮，將遷神而安厝。」 |</v>
      </c>
    </row>
    <row r="11269" spans="1:44" hidden="1">
      <c r="A11269" s="1" t="s">
        <v>23293</v>
      </c>
      <c r="C11269" s="1">
        <v>1</v>
      </c>
      <c r="D11269" s="1" t="str">
        <f>"09853"</f>
        <v>09853</v>
      </c>
      <c r="E11269" s="1" t="s">
        <v>24</v>
      </c>
      <c r="F11269" s="1">
        <v>11</v>
      </c>
      <c r="G11269" s="1">
        <v>8</v>
      </c>
      <c r="H11269" s="1">
        <v>0</v>
      </c>
      <c r="I11269" s="1" t="s">
        <v>23285</v>
      </c>
      <c r="K11269" s="1" t="str">
        <f t="shared" si="706"/>
        <v>ㄘ</v>
      </c>
      <c r="L11269" s="1" t="str">
        <f t="shared" si="704"/>
        <v>ㄨ</v>
      </c>
      <c r="M11269" s="1" t="str">
        <f t="shared" si="705"/>
        <v>ㄛ</v>
      </c>
      <c r="P11269" s="1" t="s">
        <v>20</v>
      </c>
      <c r="R11269" s="1" t="s">
        <v>23286</v>
      </c>
      <c r="V11269" s="1" t="s">
        <v>23294</v>
      </c>
      <c r="AR11269" s="1" t="str">
        <f t="shared" si="707"/>
        <v>| [ㄘㄨㄛˋ](ㄘㄨㄛˋ.md) | [措](措.md) |  | cuò | [動]_x000D_
1.安置。漢．桓寬《鹽鐵論．世務》：「是猶措重寶於道路而莫之守也，求其不亡，何可得乎？」_x000D_
2.棄置、廢置。《禮記．中庸》：「有弗學，學之弗能，弗措也。」唐．柳宗元〈斷刑論下〉：「敺天下之人入於罪，又緩而慢之，以滋其懈怠，此刑之所以不措也。」_x000D_
3.籌辦、準備。如：「籌措」。《紅樓夢》第一回：「只是目今行囊路費，一概無措。」_x000D_
4.刺、戮。《淮南子．繆稱》：「虎豹之文來射，猿狖之捷來措。」漢．高誘．注：「措，刺也。」 |</v>
      </c>
    </row>
    <row r="11270" spans="1:44" hidden="1">
      <c r="A11270" s="1" t="s">
        <v>23229</v>
      </c>
      <c r="C11270" s="1">
        <v>1</v>
      </c>
      <c r="D11270" s="1" t="str">
        <f>"09854"</f>
        <v>09854</v>
      </c>
      <c r="E11270" s="1" t="s">
        <v>55</v>
      </c>
      <c r="F11270" s="1">
        <v>16</v>
      </c>
      <c r="G11270" s="1">
        <v>8</v>
      </c>
      <c r="H11270" s="1">
        <v>1</v>
      </c>
      <c r="I11270" s="1" t="s">
        <v>23285</v>
      </c>
      <c r="K11270" s="1" t="str">
        <f t="shared" si="706"/>
        <v>ㄘ</v>
      </c>
      <c r="L11270" s="1" t="str">
        <f t="shared" si="704"/>
        <v>ㄨ</v>
      </c>
      <c r="M11270" s="1" t="str">
        <f t="shared" si="705"/>
        <v>ㄛ</v>
      </c>
      <c r="P11270" s="1" t="s">
        <v>20</v>
      </c>
      <c r="R11270" s="1" t="s">
        <v>23286</v>
      </c>
      <c r="V11270" s="1" t="s">
        <v>23295</v>
      </c>
      <c r="W11270" s="1" t="s">
        <v>23296</v>
      </c>
      <c r="AR11270" s="1" t="str">
        <f t="shared" si="707"/>
        <v>| [ㄘㄨㄛˋ](ㄘㄨㄛˋ.md) | [錯](錯.md) |  | cuò | [名]
1.磨刀石。《詩經．小雅．鶴鳴》：「它山之石，可以為錯。」漢．毛亨．傳：「錯，石也，可以琢玉。」
2.姓。如周時宋國有錯君。
[動]
1.相互交錯。《詩經．小雅．楚茨》：「為賓為客，獻酬交錯。」《楚辭．屈原．九歌．國殤》：「操吳戈兮被犀甲，車錯轂兮短兵接。」
2.岔開。如：「錯車」。
3.鑲嵌，繪繡花紋。《國語．晉語八》：「唯其功庸少也，而能金玉其車，文錯其服。」《史記．卷四三．趙世家》：「翦髮文身，錯臂左衽，甌越之民也。」
[形]
1.不對的。如：「錯字」。
2.壞的。如：「他們的交情不錯。」
[副]
錯誤。唐．杜甫〈堂成〉詩：「旁人錯比揚雄宅，懶惰無心作解嘲。」 |</v>
      </c>
    </row>
    <row r="11271" spans="1:44" hidden="1">
      <c r="A11271" s="1" t="s">
        <v>23297</v>
      </c>
      <c r="C11271" s="1">
        <v>1</v>
      </c>
      <c r="D11271" s="1" t="str">
        <f>"09855"</f>
        <v>09855</v>
      </c>
      <c r="E11271" s="1" t="s">
        <v>185</v>
      </c>
      <c r="F11271" s="1">
        <v>9</v>
      </c>
      <c r="G11271" s="1">
        <v>7</v>
      </c>
      <c r="H11271" s="1">
        <v>0</v>
      </c>
      <c r="I11271" s="1" t="s">
        <v>23285</v>
      </c>
      <c r="K11271" s="1" t="str">
        <f t="shared" si="706"/>
        <v>ㄘ</v>
      </c>
      <c r="L11271" s="1" t="str">
        <f t="shared" si="704"/>
        <v>ㄨ</v>
      </c>
      <c r="M11271" s="1" t="str">
        <f t="shared" si="705"/>
        <v>ㄛ</v>
      </c>
      <c r="P11271" s="1" t="s">
        <v>20</v>
      </c>
      <c r="R11271" s="1" t="s">
        <v>23286</v>
      </c>
      <c r="V11271" s="1" t="s">
        <v>23298</v>
      </c>
      <c r="AR11271" s="1" t="str">
        <f t="shared" si="707"/>
        <v>| [ㄘㄨㄛˋ](ㄘㄨㄛˋ.md) | [剉](剉.md) |  | cuò | [動]
1.折傷。《說文解字．刀部》：「剉，折傷也。」《呂氏春秋．孝行覽．必己》：「成則毀，大則衰，廉則剉。」
2.砍。南朝宋．劉義慶《世說新語．賢媛》：「剉諸薦以為馬草。」《魏書．卷一五．昭成子孫傳．秦王翰傳》：「收議害觚者高霸、程同等，皆夷五族，以大刃剉殺之。」 |</v>
      </c>
    </row>
    <row r="11272" spans="1:44" hidden="1">
      <c r="A11272" s="1" t="s">
        <v>23299</v>
      </c>
      <c r="C11272" s="1">
        <v>1</v>
      </c>
      <c r="D11272" s="1" t="str">
        <f>"09856"</f>
        <v>09856</v>
      </c>
      <c r="E11272" s="1" t="s">
        <v>24</v>
      </c>
      <c r="F11272" s="1">
        <v>10</v>
      </c>
      <c r="G11272" s="1">
        <v>7</v>
      </c>
      <c r="H11272" s="1">
        <v>0</v>
      </c>
      <c r="I11272" s="1" t="s">
        <v>23285</v>
      </c>
      <c r="K11272" s="1" t="str">
        <f t="shared" si="706"/>
        <v>ㄘ</v>
      </c>
      <c r="L11272" s="1" t="str">
        <f t="shared" si="704"/>
        <v>ㄨ</v>
      </c>
      <c r="M11272" s="1" t="str">
        <f t="shared" si="705"/>
        <v>ㄛ</v>
      </c>
      <c r="P11272" s="1" t="s">
        <v>20</v>
      </c>
      <c r="R11272" s="1" t="s">
        <v>23286</v>
      </c>
      <c r="V11272" s="1" t="s">
        <v>23300</v>
      </c>
      <c r="AR11272" s="1" t="str">
        <f t="shared" si="707"/>
        <v>| [ㄘㄨㄛˋ](ㄘㄨㄛˋ.md) | [挫](挫.md) |  | cuò | [動]
1.摧折、戰敗。《周禮．冬官考工記．輪人》：「凡揉牙，外不廉而內不挫。」《史記．卷八四．屈原賈生傳》：「兵挫地削，亡其六郡。」
2.壓抑、抑制。如：「挫挫銳氣」。《後漢書．卷六四．史弼傳》：「弼為政特挫抑豪強，其小民有罪，多所客貸。」
3.屈辱。《漢書．卷七〇．陳湯傳》：「延壽、湯既未獲受祉之報，反屈捐命之功，久挫於刀筆之前。」 |</v>
      </c>
    </row>
    <row r="11273" spans="1:44" hidden="1">
      <c r="A11273" s="1" t="s">
        <v>23301</v>
      </c>
      <c r="C11273" s="1">
        <v>1</v>
      </c>
      <c r="D11273" s="1" t="str">
        <f>"09857"</f>
        <v>09857</v>
      </c>
      <c r="E11273" s="1" t="s">
        <v>37</v>
      </c>
      <c r="F11273" s="1">
        <v>11</v>
      </c>
      <c r="G11273" s="1">
        <v>7</v>
      </c>
      <c r="H11273" s="1">
        <v>0</v>
      </c>
      <c r="I11273" s="1" t="s">
        <v>23285</v>
      </c>
      <c r="K11273" s="1" t="str">
        <f t="shared" si="706"/>
        <v>ㄘ</v>
      </c>
      <c r="L11273" s="1" t="str">
        <f t="shared" si="704"/>
        <v>ㄨ</v>
      </c>
      <c r="M11273" s="1" t="str">
        <f t="shared" si="705"/>
        <v>ㄛ</v>
      </c>
      <c r="P11273" s="1" t="s">
        <v>20</v>
      </c>
      <c r="R11273" s="1" t="s">
        <v>23286</v>
      </c>
      <c r="V11273" s="1" t="s">
        <v>23302</v>
      </c>
      <c r="AR11273" s="1" t="str">
        <f t="shared" si="707"/>
        <v>| [ㄘㄨㄛˋ](ㄘㄨㄛˋ.md) | [莝](莝.md) |  | cuò | [名]
被鋤碎的草。《史記．卷七九．范雎蔡澤傳》：「而坐須賈於堂下，置莝豆其前，令兩黥徒夾而馬食之。」唐．陸贄〈論裴延齡姦蠹書〉：「樵蘇不繼，軍廄輟莝。」
[動]
割草、鋤草。《詩經．小雅．鴛鴦》「乘馬在廄，摧之秣之」句下漢．鄭玄．箋：「摧，今之莝字也。」 |</v>
      </c>
    </row>
    <row r="11274" spans="1:44" hidden="1">
      <c r="A11274" s="1" t="s">
        <v>23303</v>
      </c>
      <c r="C11274" s="1">
        <v>1</v>
      </c>
      <c r="D11274" s="1" t="str">
        <f>"09858"</f>
        <v>09858</v>
      </c>
      <c r="E11274" s="1" t="s">
        <v>37</v>
      </c>
      <c r="F11274" s="1">
        <v>14</v>
      </c>
      <c r="G11274" s="1">
        <v>10</v>
      </c>
      <c r="H11274" s="1">
        <v>0</v>
      </c>
      <c r="I11274" s="1" t="s">
        <v>23285</v>
      </c>
      <c r="K11274" s="1" t="str">
        <f t="shared" si="706"/>
        <v>ㄘ</v>
      </c>
      <c r="L11274" s="1" t="str">
        <f t="shared" si="704"/>
        <v>ㄨ</v>
      </c>
      <c r="M11274" s="1" t="str">
        <f t="shared" si="705"/>
        <v>ㄛ</v>
      </c>
      <c r="P11274" s="1" t="s">
        <v>20</v>
      </c>
      <c r="R11274" s="1" t="s">
        <v>23286</v>
      </c>
      <c r="V11274" s="1" t="s">
        <v>23304</v>
      </c>
      <c r="AR11274" s="1" t="str">
        <f t="shared" si="707"/>
        <v>| [ㄘㄨㄛˋ](ㄘㄨㄛˋ.md) | [蓌](蓌.md) |  | cuò | [動]
蹲。《禮記．曲禮上》：「介者不拜，為其拜而蓌拜。」 |</v>
      </c>
    </row>
    <row r="11275" spans="1:44" hidden="1">
      <c r="A11275" s="1" t="s">
        <v>23305</v>
      </c>
      <c r="C11275" s="1">
        <v>1</v>
      </c>
      <c r="D11275" s="1" t="str">
        <f>"09859"</f>
        <v>09859</v>
      </c>
      <c r="E11275" s="1" t="s">
        <v>55</v>
      </c>
      <c r="F11275" s="1">
        <v>15</v>
      </c>
      <c r="G11275" s="1">
        <v>7</v>
      </c>
      <c r="H11275" s="1">
        <v>0</v>
      </c>
      <c r="I11275" s="1" t="s">
        <v>23285</v>
      </c>
      <c r="K11275" s="1" t="str">
        <f t="shared" si="706"/>
        <v>ㄘ</v>
      </c>
      <c r="L11275" s="1" t="str">
        <f t="shared" si="704"/>
        <v>ㄨ</v>
      </c>
      <c r="M11275" s="1" t="str">
        <f t="shared" si="705"/>
        <v>ㄛ</v>
      </c>
      <c r="P11275" s="1" t="s">
        <v>20</v>
      </c>
      <c r="R11275" s="1" t="s">
        <v>23286</v>
      </c>
      <c r="V11275" s="1" t="s">
        <v>23306</v>
      </c>
      <c r="AR11275" s="1" t="str">
        <f t="shared" si="707"/>
        <v>| [ㄘㄨㄛˋ](ㄘㄨㄛˋ.md) | [銼](銼.md) |  | cuò | [名]_x000D_
1.一種口大而似釜的器具。唐．杜甫〈聞斛斯六官未歸〉詩：「荊扉深蔓草，土銼冷疏煙。」明．謝肇淛〈南歸賦〉：「晨火斷兮銼冷，瓶粟罄兮徂饑。」_x000D_
2.銼刀的簡稱。明．夏言《南宮奏稿．卷四．一夷情疏》：「且夷人所貢鐡銼等件，俱無用之物。」明．楊一清《關中奏議．卷一七．提督類．一為捉獲奸細搆引大勢回賊犯邊等事》：「以致今日使西域賈回，圖利中國，以玉石鑌銼等項無用之物，往來神京，厚蒙賞賚。」_x000D_
[動]_x000D_
1.用銼刀磨物。如：「銼平」。清．紀昀《閱微草堂筆記．卷七．如是我聞一》：「驗取，果適所持入，乃銼而焚之，呦呦有聲，血出如縷。」《老殘遊記二編》第二回：「可知那州縣老爺們比娼妓還要下賤？遇見馴良百姓，他治死了還要抽筋剝皮，銼骨揚灰。」_x000D_
2.挫敗。漢．董仲舒《春秋繁露．王道》：「臣弑其君，子弑其父，孽殺其宗，不能統理，更相伐銼。」《史記．卷四〇．楚世家》：「亡地漢中，兵銼藍田。」 |</v>
      </c>
    </row>
    <row r="11276" spans="1:44" hidden="1">
      <c r="A11276" s="1" t="s">
        <v>22693</v>
      </c>
      <c r="C11276" s="1">
        <v>1</v>
      </c>
      <c r="D11276" s="1" t="str">
        <f>"09860"</f>
        <v>09860</v>
      </c>
      <c r="E11276" s="1" t="s">
        <v>24</v>
      </c>
      <c r="F11276" s="1">
        <v>15</v>
      </c>
      <c r="G11276" s="1">
        <v>12</v>
      </c>
      <c r="H11276" s="1">
        <v>2</v>
      </c>
      <c r="I11276" s="1" t="s">
        <v>23285</v>
      </c>
      <c r="K11276" s="1" t="str">
        <f t="shared" si="706"/>
        <v>ㄘ</v>
      </c>
      <c r="L11276" s="1" t="str">
        <f t="shared" si="704"/>
        <v>ㄨ</v>
      </c>
      <c r="M11276" s="1" t="str">
        <f t="shared" si="705"/>
        <v>ㄛ</v>
      </c>
      <c r="P11276" s="1" t="s">
        <v>110</v>
      </c>
      <c r="R11276" s="1" t="s">
        <v>23286</v>
      </c>
      <c r="V11276" s="1" t="s">
        <v>111</v>
      </c>
      <c r="W11276" s="1" t="s">
        <v>23307</v>
      </c>
      <c r="AR11276" s="1" t="str">
        <f t="shared" si="707"/>
        <v>| [ㄘㄨㄛˋ](ㄘㄨㄛˋ.md) | [撮](撮.md) |  | cuò | (一)之又音。 |</v>
      </c>
    </row>
    <row r="11277" spans="1:44" hidden="1">
      <c r="A11277" s="1" t="s">
        <v>23308</v>
      </c>
      <c r="C11277" s="1">
        <v>1</v>
      </c>
      <c r="D11277" s="1" t="str">
        <f>"09861"</f>
        <v>09861</v>
      </c>
      <c r="E11277" s="1" t="s">
        <v>3981</v>
      </c>
      <c r="F11277" s="1">
        <v>3</v>
      </c>
      <c r="G11277" s="1">
        <v>0</v>
      </c>
      <c r="H11277" s="1">
        <v>2</v>
      </c>
      <c r="I11277" s="1" t="s">
        <v>23309</v>
      </c>
      <c r="K11277" s="1" t="str">
        <f t="shared" si="706"/>
        <v>ㄘ</v>
      </c>
      <c r="L11277" s="1" t="str">
        <f t="shared" si="704"/>
        <v>ㄨ</v>
      </c>
      <c r="M11277" s="1" t="str">
        <f t="shared" si="705"/>
        <v>ㄟ</v>
      </c>
      <c r="P11277" s="1" t="s">
        <v>110</v>
      </c>
      <c r="R11277" s="1" t="s">
        <v>23310</v>
      </c>
      <c r="V11277" s="1" t="s">
        <v>111</v>
      </c>
      <c r="W11277" s="1" t="s">
        <v>23311</v>
      </c>
      <c r="AR11277" s="1" t="str">
        <f t="shared" si="707"/>
        <v>| [ㄘㄨㄟ](ㄘㄨㄟ.md) | [夊](夊.md) |  | cuī | (一)之又音。 |</v>
      </c>
    </row>
    <row r="11278" spans="1:44" hidden="1">
      <c r="A11278" s="1" t="s">
        <v>21552</v>
      </c>
      <c r="C11278" s="1">
        <v>1</v>
      </c>
      <c r="D11278" s="1" t="str">
        <f>"09862"</f>
        <v>09862</v>
      </c>
      <c r="E11278" s="1" t="s">
        <v>340</v>
      </c>
      <c r="F11278" s="1">
        <v>10</v>
      </c>
      <c r="G11278" s="1">
        <v>4</v>
      </c>
      <c r="H11278" s="1">
        <v>2</v>
      </c>
      <c r="I11278" s="1" t="s">
        <v>23309</v>
      </c>
      <c r="K11278" s="1" t="str">
        <f t="shared" si="706"/>
        <v>ㄘ</v>
      </c>
      <c r="L11278" s="1" t="str">
        <f t="shared" si="704"/>
        <v>ㄨ</v>
      </c>
      <c r="M11278" s="1" t="str">
        <f t="shared" si="705"/>
        <v>ㄟ</v>
      </c>
      <c r="P11278" s="1" t="s">
        <v>20</v>
      </c>
      <c r="R11278" s="1" t="s">
        <v>23310</v>
      </c>
      <c r="V11278" s="1" t="s">
        <v>23312</v>
      </c>
      <c r="W11278" s="1" t="s">
        <v>23313</v>
      </c>
      <c r="AR11278" s="1" t="str">
        <f t="shared" si="707"/>
        <v>| [ㄘㄨㄟ](ㄘㄨㄟ.md) | [衰](衰.md) |  | cuī | [名]
用粗麻布做成的毛邊喪服。《禮記．喪服小記》：「斬衰，括髮以麻。為母，括髮以麻，免而以布，齊衰惡笄以終喪。」
[動]
依一定的等級層遞而降。《管子．小匡》：「相地而衰其政，則民不移矣。」 |</v>
      </c>
    </row>
    <row r="11279" spans="1:44" hidden="1">
      <c r="A11279" s="1" t="s">
        <v>23314</v>
      </c>
      <c r="C11279" s="1">
        <v>1</v>
      </c>
      <c r="D11279" s="1" t="str">
        <f>"09863"</f>
        <v>09863</v>
      </c>
      <c r="E11279" s="1" t="s">
        <v>139</v>
      </c>
      <c r="F11279" s="1">
        <v>14</v>
      </c>
      <c r="G11279" s="1">
        <v>10</v>
      </c>
      <c r="H11279" s="1">
        <v>0</v>
      </c>
      <c r="I11279" s="1" t="s">
        <v>23309</v>
      </c>
      <c r="K11279" s="1" t="str">
        <f t="shared" si="706"/>
        <v>ㄘ</v>
      </c>
      <c r="L11279" s="1" t="str">
        <f t="shared" si="704"/>
        <v>ㄨ</v>
      </c>
      <c r="M11279" s="1" t="str">
        <f t="shared" si="705"/>
        <v>ㄟ</v>
      </c>
      <c r="P11279" s="1" t="s">
        <v>20</v>
      </c>
      <c r="R11279" s="1" t="s">
        <v>23310</v>
      </c>
      <c r="V11279" s="1" t="s">
        <v>23315</v>
      </c>
      <c r="AR11279" s="1" t="str">
        <f t="shared" si="707"/>
        <v>| [ㄘㄨㄟ](ㄘㄨㄟ.md) | [榱](榱.md) |  | cuī | [名]
屋椽。《左傳．襄公三十一年》：「棟折榱崩，僑將厭焉。」《聊齋志異．卷四．續黃粱》：「入家，則非舊所居第，繪棟雕榱，窮極壯麗。」 |</v>
      </c>
    </row>
    <row r="11280" spans="1:44" hidden="1">
      <c r="A11280" s="1" t="s">
        <v>23316</v>
      </c>
      <c r="C11280" s="1">
        <v>1</v>
      </c>
      <c r="D11280" s="1" t="str">
        <f>"09864"</f>
        <v>09864</v>
      </c>
      <c r="E11280" s="1" t="s">
        <v>725</v>
      </c>
      <c r="F11280" s="1">
        <v>16</v>
      </c>
      <c r="G11280" s="1">
        <v>10</v>
      </c>
      <c r="H11280" s="1">
        <v>0</v>
      </c>
      <c r="I11280" s="1" t="s">
        <v>23309</v>
      </c>
      <c r="K11280" s="1" t="str">
        <f t="shared" si="706"/>
        <v>ㄘ</v>
      </c>
      <c r="L11280" s="1" t="str">
        <f t="shared" si="704"/>
        <v>ㄨ</v>
      </c>
      <c r="M11280" s="1" t="str">
        <f t="shared" si="705"/>
        <v>ㄟ</v>
      </c>
      <c r="P11280" s="1" t="s">
        <v>20</v>
      </c>
      <c r="R11280" s="1" t="s">
        <v>23310</v>
      </c>
      <c r="V11280" s="1" t="s">
        <v>23317</v>
      </c>
      <c r="AR11280" s="1" t="str">
        <f t="shared" si="707"/>
        <v>| [ㄘㄨㄟ](ㄘㄨㄟ.md) | [縗](縗.md) |  | cuī | [名]
用粗麻布做成的喪服，服三年之喪所穿。《左傳．襄公十七年》：「齊晏桓子卒，晏嬰麤縗斬。」 |</v>
      </c>
    </row>
    <row r="11281" spans="1:44" hidden="1">
      <c r="A11281" s="1" t="s">
        <v>23318</v>
      </c>
      <c r="C11281" s="1">
        <v>1</v>
      </c>
      <c r="D11281" s="1" t="str">
        <f>"09865"</f>
        <v>09865</v>
      </c>
      <c r="E11281" s="1" t="s">
        <v>190</v>
      </c>
      <c r="F11281" s="1">
        <v>11</v>
      </c>
      <c r="G11281" s="1">
        <v>8</v>
      </c>
      <c r="H11281" s="1">
        <v>0</v>
      </c>
      <c r="I11281" s="1" t="s">
        <v>23309</v>
      </c>
      <c r="K11281" s="1" t="str">
        <f t="shared" si="706"/>
        <v>ㄘ</v>
      </c>
      <c r="L11281" s="1" t="str">
        <f t="shared" si="704"/>
        <v>ㄨ</v>
      </c>
      <c r="M11281" s="1" t="str">
        <f t="shared" si="705"/>
        <v>ㄟ</v>
      </c>
      <c r="P11281" s="1" t="s">
        <v>20</v>
      </c>
      <c r="R11281" s="1" t="s">
        <v>23310</v>
      </c>
      <c r="V11281" s="1" t="s">
        <v>23319</v>
      </c>
      <c r="AR11281" s="1" t="str">
        <f t="shared" si="707"/>
        <v>| [ㄘㄨㄟ](ㄘㄨㄟ.md) | [崔](崔.md) |  | cuī | [形]
高大險峻。《詩經．齊風．南山》：「南山崔崔，雄狐綏綏。」《文選．張衡．西京賦》：「隆崛崔崒，隱轔鬱律。」
[名]
姓。如唐代有崔顥。 |</v>
      </c>
    </row>
    <row r="11282" spans="1:44" hidden="1">
      <c r="A11282" s="1" t="s">
        <v>23320</v>
      </c>
      <c r="C11282" s="1">
        <v>1</v>
      </c>
      <c r="D11282" s="1" t="str">
        <f>"09866"</f>
        <v>09866</v>
      </c>
      <c r="E11282" s="1" t="s">
        <v>114</v>
      </c>
      <c r="F11282" s="1">
        <v>13</v>
      </c>
      <c r="G11282" s="1">
        <v>11</v>
      </c>
      <c r="H11282" s="1">
        <v>0</v>
      </c>
      <c r="I11282" s="1" t="s">
        <v>23309</v>
      </c>
      <c r="K11282" s="1" t="str">
        <f t="shared" si="706"/>
        <v>ㄘ</v>
      </c>
      <c r="L11282" s="1" t="str">
        <f t="shared" si="704"/>
        <v>ㄨ</v>
      </c>
      <c r="M11282" s="1" t="str">
        <f t="shared" si="705"/>
        <v>ㄟ</v>
      </c>
      <c r="P11282" s="1" t="s">
        <v>20</v>
      </c>
      <c r="R11282" s="1" t="s">
        <v>23310</v>
      </c>
      <c r="V11282" s="1" t="s">
        <v>23321</v>
      </c>
      <c r="AR11282" s="1" t="str">
        <f t="shared" si="707"/>
        <v>| [ㄘㄨㄟ](ㄘㄨㄟ.md) | [催](催.md) |  | cuī | [動]
促使行動開始，或加速進行。如：「催生」、「時間到了，催他上車。」《文選．李密．陳情表》：「郡縣逼迫，催臣上道。」 |</v>
      </c>
    </row>
    <row r="11283" spans="1:44" hidden="1">
      <c r="A11283" s="1" t="s">
        <v>23322</v>
      </c>
      <c r="C11283" s="1">
        <v>1</v>
      </c>
      <c r="D11283" s="1" t="str">
        <f>"09867"</f>
        <v>09867</v>
      </c>
      <c r="E11283" s="1" t="s">
        <v>24</v>
      </c>
      <c r="F11283" s="1">
        <v>14</v>
      </c>
      <c r="G11283" s="1">
        <v>11</v>
      </c>
      <c r="H11283" s="1">
        <v>0</v>
      </c>
      <c r="I11283" s="1" t="s">
        <v>23309</v>
      </c>
      <c r="K11283" s="1" t="str">
        <f t="shared" si="706"/>
        <v>ㄘ</v>
      </c>
      <c r="L11283" s="1" t="str">
        <f t="shared" si="704"/>
        <v>ㄨ</v>
      </c>
      <c r="M11283" s="1" t="str">
        <f t="shared" si="705"/>
        <v>ㄟ</v>
      </c>
      <c r="P11283" s="1" t="s">
        <v>20</v>
      </c>
      <c r="R11283" s="1" t="s">
        <v>23310</v>
      </c>
      <c r="V11283" s="1" t="s">
        <v>23323</v>
      </c>
      <c r="AR11283" s="1" t="str">
        <f t="shared" si="707"/>
        <v>| [ㄘㄨㄟ](ㄘㄨㄟ.md) | [摧](摧.md) |  | cuī | [動]
1.折斷。《說文解字．手部》：「摧，折也。」如：「摧折」、「摧枯拉朽」。《樂府詩集．卷七三．雜曲歌辭十三．古辭．焦仲卿妻》：「寒風摧樹木，嚴霜結庭蘭。」
2.毀壞、崩塌。如：「摧毀」、「無堅不摧」。唐．李賀〈雁門太守行〉：「黑雲壓城城欲摧，甲光向月金鱗開。」元．關漢卿《拜月亭．楔子》：「雖是這戰伐，負著個天摧地塌。」
3.挫折、壓抑。《史記．卷一〇〇．季布傳》：「當是時，諸公皆多季布能摧剛為柔。」《三國志．卷五八．吳書．陸遜傳》：「斯三虜者當世雄傑，皆摧其鋒。」
4.傷害。三國魏．曹丕〈燕歌行〉二首之二：「展詩清歌聊自寬，樂往哀來摧肺心。」唐．李白〈長相思〉詩：「長相思，摧心肝。」 |</v>
      </c>
    </row>
    <row r="11284" spans="1:44" hidden="1">
      <c r="A11284" s="1" t="s">
        <v>23324</v>
      </c>
      <c r="C11284" s="1">
        <v>1</v>
      </c>
      <c r="D11284" s="1" t="str">
        <f>"09868"</f>
        <v>09868</v>
      </c>
      <c r="E11284" s="1" t="s">
        <v>198</v>
      </c>
      <c r="F11284" s="1">
        <v>14</v>
      </c>
      <c r="G11284" s="1">
        <v>11</v>
      </c>
      <c r="H11284" s="1">
        <v>0</v>
      </c>
      <c r="I11284" s="1" t="s">
        <v>23309</v>
      </c>
      <c r="K11284" s="1" t="str">
        <f t="shared" si="706"/>
        <v>ㄘ</v>
      </c>
      <c r="L11284" s="1" t="str">
        <f t="shared" si="704"/>
        <v>ㄨ</v>
      </c>
      <c r="M11284" s="1" t="str">
        <f t="shared" si="705"/>
        <v>ㄟ</v>
      </c>
      <c r="P11284" s="1" t="s">
        <v>20</v>
      </c>
      <c r="R11284" s="1" t="s">
        <v>23310</v>
      </c>
      <c r="V11284" s="1" t="s">
        <v>23325</v>
      </c>
      <c r="AR11284" s="1" t="str">
        <f t="shared" si="707"/>
        <v>| [ㄘㄨㄟ](ㄘㄨㄟ.md) | [獕](獕.md) |  | cuī | 參見「猥獕」條。 |</v>
      </c>
    </row>
    <row r="11285" spans="1:44" hidden="1">
      <c r="A11285" s="1" t="s">
        <v>23326</v>
      </c>
      <c r="C11285" s="1">
        <v>1</v>
      </c>
      <c r="D11285" s="1" t="str">
        <f>"09869"</f>
        <v>09869</v>
      </c>
      <c r="E11285" s="1" t="s">
        <v>169</v>
      </c>
      <c r="F11285" s="1">
        <v>16</v>
      </c>
      <c r="G11285" s="1">
        <v>11</v>
      </c>
      <c r="H11285" s="1">
        <v>0</v>
      </c>
      <c r="I11285" s="1" t="s">
        <v>23309</v>
      </c>
      <c r="K11285" s="1" t="str">
        <f t="shared" si="706"/>
        <v>ㄘ</v>
      </c>
      <c r="L11285" s="1" t="str">
        <f t="shared" si="704"/>
        <v>ㄨ</v>
      </c>
      <c r="M11285" s="1" t="str">
        <f t="shared" si="705"/>
        <v>ㄟ</v>
      </c>
      <c r="P11285" s="1" t="s">
        <v>20</v>
      </c>
      <c r="R11285" s="1" t="s">
        <v>23310</v>
      </c>
      <c r="V11285" s="1" t="s">
        <v>23327</v>
      </c>
      <c r="AR11285" s="1" t="str">
        <f t="shared" si="707"/>
        <v>| [ㄘㄨㄟ](ㄘㄨㄟ.md) | [磪](磪.md) |  | cuī | [形]
山勢高峻。同「崔」。《集韻．平聲．灰韻》：「崔，《說文》：山高也。籀又作磪。」 |</v>
      </c>
    </row>
    <row r="11286" spans="1:44" hidden="1">
      <c r="A11286" s="1" t="s">
        <v>16261</v>
      </c>
      <c r="C11286" s="1">
        <v>1</v>
      </c>
      <c r="D11286" s="1" t="str">
        <f>"09870"</f>
        <v>09870</v>
      </c>
      <c r="E11286" s="1" t="s">
        <v>129</v>
      </c>
      <c r="F11286" s="1">
        <v>9</v>
      </c>
      <c r="G11286" s="1">
        <v>6</v>
      </c>
      <c r="H11286" s="1">
        <v>1</v>
      </c>
      <c r="I11286" s="1" t="s">
        <v>23328</v>
      </c>
      <c r="K11286" s="1" t="str">
        <f t="shared" si="706"/>
        <v>ㄘ</v>
      </c>
      <c r="L11286" s="1" t="str">
        <f t="shared" si="704"/>
        <v>ㄨ</v>
      </c>
      <c r="M11286" s="1" t="str">
        <f t="shared" si="705"/>
        <v>ㄟ</v>
      </c>
      <c r="P11286" s="1" t="s">
        <v>20</v>
      </c>
      <c r="R11286" s="1" t="s">
        <v>23329</v>
      </c>
      <c r="V11286" s="1" t="s">
        <v>23330</v>
      </c>
      <c r="W11286" s="1" t="s">
        <v>23331</v>
      </c>
      <c r="AR11286" s="1" t="str">
        <f t="shared" si="707"/>
        <v>| [ㄘㄨㄟˇ](ㄘㄨㄟˇ.md) | [洒](洒.md) |  | cuǐ | [形]
高峻。《詩經．邶風．新臺》：「新臺有洒，河水浼浼。」漢．毛亨．傳：「洒，高峻也。」 |</v>
      </c>
    </row>
    <row r="11287" spans="1:44" hidden="1">
      <c r="A11287" s="1" t="s">
        <v>23332</v>
      </c>
      <c r="C11287" s="1">
        <v>1</v>
      </c>
      <c r="D11287" s="1" t="str">
        <f>"09871"</f>
        <v>09871</v>
      </c>
      <c r="E11287" s="1" t="s">
        <v>129</v>
      </c>
      <c r="F11287" s="1">
        <v>14</v>
      </c>
      <c r="G11287" s="1">
        <v>11</v>
      </c>
      <c r="H11287" s="1">
        <v>0</v>
      </c>
      <c r="I11287" s="1" t="s">
        <v>23328</v>
      </c>
      <c r="K11287" s="1" t="str">
        <f t="shared" si="706"/>
        <v>ㄘ</v>
      </c>
      <c r="L11287" s="1" t="str">
        <f t="shared" si="704"/>
        <v>ㄨ</v>
      </c>
      <c r="M11287" s="1" t="str">
        <f t="shared" si="705"/>
        <v>ㄟ</v>
      </c>
      <c r="P11287" s="1" t="s">
        <v>20</v>
      </c>
      <c r="R11287" s="1" t="s">
        <v>23329</v>
      </c>
      <c r="V11287" s="1" t="s">
        <v>23333</v>
      </c>
      <c r="AR11287" s="1" t="str">
        <f t="shared" si="707"/>
        <v>| [ㄘㄨㄟˇ](ㄘㄨㄟˇ.md) | [漼](漼.md) |  | cuǐ | [形]
1.水深的樣子。《廣韻．上聲．賄韻》：「漼，水深貌。」《詩經．小雅．小弁》：「有漼者淵，萑葦淠淠。」
2.涕泣的樣子。唐．韓愈〈憶昨行和張十一〉詩：「危辭苦語感我耳，淚落不揜何漼漼！」
[動]
摧毀、敗壞。通「摧」。《後漢書．卷五二．崔駰傳》：「六柄制于家門兮，王綱漼以陵遲」。《文選．潘岳．西征賦》：「寮位儡其隆替，名節漼以隳落。」 |</v>
      </c>
    </row>
    <row r="11288" spans="1:44" hidden="1">
      <c r="A11288" s="1" t="s">
        <v>23334</v>
      </c>
      <c r="C11288" s="1">
        <v>1</v>
      </c>
      <c r="D11288" s="1" t="str">
        <f>"09872"</f>
        <v>09872</v>
      </c>
      <c r="E11288" s="1" t="s">
        <v>142</v>
      </c>
      <c r="F11288" s="1">
        <v>15</v>
      </c>
      <c r="G11288" s="1">
        <v>11</v>
      </c>
      <c r="H11288" s="1">
        <v>0</v>
      </c>
      <c r="I11288" s="1" t="s">
        <v>23328</v>
      </c>
      <c r="K11288" s="1" t="str">
        <f t="shared" si="706"/>
        <v>ㄘ</v>
      </c>
      <c r="L11288" s="1" t="str">
        <f t="shared" si="704"/>
        <v>ㄨ</v>
      </c>
      <c r="M11288" s="1" t="str">
        <f t="shared" si="705"/>
        <v>ㄟ</v>
      </c>
      <c r="P11288" s="1" t="s">
        <v>20</v>
      </c>
      <c r="R11288" s="1" t="s">
        <v>23329</v>
      </c>
      <c r="V11288" s="1" t="s">
        <v>23335</v>
      </c>
      <c r="AR11288" s="1" t="str">
        <f t="shared" si="707"/>
        <v>| [ㄘㄨㄟˇ](ㄘㄨㄟˇ.md) | [璀](璀.md) |  | cuǐ | [形]
色彩鮮明的樣子。如：「璀璨」。三國魏．曹植〈棄婦詩〉：「丹華灼烈烈，璀彩有光榮。」 |</v>
      </c>
    </row>
    <row r="11289" spans="1:44" hidden="1">
      <c r="A11289" s="1" t="s">
        <v>23336</v>
      </c>
      <c r="C11289" s="1">
        <v>1</v>
      </c>
      <c r="D11289" s="1" t="str">
        <f>"09873"</f>
        <v>09873</v>
      </c>
      <c r="E11289" s="1" t="s">
        <v>4563</v>
      </c>
      <c r="F11289" s="1">
        <v>15</v>
      </c>
      <c r="G11289" s="1">
        <v>8</v>
      </c>
      <c r="H11289" s="1">
        <v>0</v>
      </c>
      <c r="I11289" s="1" t="s">
        <v>23328</v>
      </c>
      <c r="K11289" s="1" t="str">
        <f t="shared" si="706"/>
        <v>ㄘ</v>
      </c>
      <c r="L11289" s="1" t="str">
        <f t="shared" si="704"/>
        <v>ㄨ</v>
      </c>
      <c r="M11289" s="1" t="str">
        <f t="shared" ref="M11289:M11320" si="708">MID(I11289, 3, 1)</f>
        <v>ㄟ</v>
      </c>
      <c r="P11289" s="1" t="s">
        <v>20</v>
      </c>
      <c r="R11289" s="1" t="s">
        <v>23329</v>
      </c>
      <c r="V11289" s="1" t="s">
        <v>23337</v>
      </c>
      <c r="AR11289" s="1" t="str">
        <f t="shared" si="707"/>
        <v>| [ㄘㄨㄟˇ](ㄘㄨㄟˇ.md) | [趡](趡.md) |  | cuǐ | [動]
奔跑。《史記．卷一一七．司馬相如傳》：「糾蓼叫奡蹋以艐路兮，蔑蒙踊躍騰而狂趡。」
[名]
地名。春秋時魯地。故城約在今大陸地區山東省鄒縣一帶。 |</v>
      </c>
    </row>
    <row r="11290" spans="1:44" hidden="1">
      <c r="A11290" s="1" t="s">
        <v>23338</v>
      </c>
      <c r="C11290" s="1">
        <v>1</v>
      </c>
      <c r="D11290" s="1" t="str">
        <f>"09874"</f>
        <v>09874</v>
      </c>
      <c r="E11290" s="1" t="s">
        <v>55</v>
      </c>
      <c r="F11290" s="1">
        <v>19</v>
      </c>
      <c r="G11290" s="1">
        <v>11</v>
      </c>
      <c r="H11290" s="1">
        <v>0</v>
      </c>
      <c r="I11290" s="1" t="s">
        <v>23328</v>
      </c>
      <c r="K11290" s="1" t="str">
        <f t="shared" si="706"/>
        <v>ㄘ</v>
      </c>
      <c r="L11290" s="1" t="str">
        <f t="shared" si="704"/>
        <v>ㄨ</v>
      </c>
      <c r="M11290" s="1" t="str">
        <f t="shared" si="708"/>
        <v>ㄟ</v>
      </c>
      <c r="P11290" s="1" t="s">
        <v>20</v>
      </c>
      <c r="R11290" s="1" t="s">
        <v>23329</v>
      </c>
      <c r="V11290" s="1" t="s">
        <v>23339</v>
      </c>
      <c r="AR11290" s="1" t="str">
        <f t="shared" si="707"/>
        <v>| [ㄘㄨㄟˇ](ㄘㄨㄟˇ.md) | [鏙](鏙.md) |  | cuǐ | [形]
鏙錯：夾雜的樣子。《文選．郭璞．江賦》：「鱗甲鏙錯，煥爛錦斑。」唐．李善．注：「鏙錯，閒雜之貌。」 |</v>
      </c>
    </row>
    <row r="11291" spans="1:44" hidden="1">
      <c r="A11291" s="1" t="s">
        <v>23340</v>
      </c>
      <c r="C11291" s="1">
        <v>1</v>
      </c>
      <c r="D11291" s="1" t="str">
        <f>"09875"</f>
        <v>09875</v>
      </c>
      <c r="E11291" s="1" t="s">
        <v>114</v>
      </c>
      <c r="F11291" s="1">
        <v>10</v>
      </c>
      <c r="G11291" s="1">
        <v>8</v>
      </c>
      <c r="H11291" s="1">
        <v>0</v>
      </c>
      <c r="I11291" s="1" t="s">
        <v>23341</v>
      </c>
      <c r="K11291" s="1" t="str">
        <f t="shared" si="706"/>
        <v>ㄘ</v>
      </c>
      <c r="L11291" s="1" t="str">
        <f t="shared" si="704"/>
        <v>ㄨ</v>
      </c>
      <c r="M11291" s="1" t="str">
        <f t="shared" si="708"/>
        <v>ㄟ</v>
      </c>
      <c r="P11291" s="1" t="s">
        <v>20</v>
      </c>
      <c r="R11291" s="1" t="s">
        <v>23342</v>
      </c>
      <c r="V11291" s="1" t="s">
        <v>23343</v>
      </c>
      <c r="AR11291" s="1" t="str">
        <f t="shared" si="707"/>
        <v>| [ㄘㄨㄟˋ](ㄘㄨㄟˋ.md) | [倅](倅.md) |  | cuì | [形]
副的。《周禮．夏官．戎僕》：「戎僕掌馭戎車，掌王倅車之政。」《漢書．卷六九．趙充國傳》：「發郡騎及屬國胡騎伉健各千，倅馬什二，就草，為田者遊兵。」
[名]
副官。如：「郡倅」、「縣倅」。 |</v>
      </c>
    </row>
    <row r="11292" spans="1:44" hidden="1">
      <c r="A11292" s="1" t="s">
        <v>23344</v>
      </c>
      <c r="C11292" s="1">
        <v>1</v>
      </c>
      <c r="D11292" s="1" t="str">
        <f>"09876"</f>
        <v>09876</v>
      </c>
      <c r="E11292" s="1" t="s">
        <v>129</v>
      </c>
      <c r="F11292" s="1">
        <v>11</v>
      </c>
      <c r="G11292" s="1">
        <v>8</v>
      </c>
      <c r="H11292" s="1">
        <v>0</v>
      </c>
      <c r="I11292" s="1" t="s">
        <v>23341</v>
      </c>
      <c r="K11292" s="1" t="str">
        <f t="shared" si="706"/>
        <v>ㄘ</v>
      </c>
      <c r="L11292" s="1" t="str">
        <f t="shared" si="704"/>
        <v>ㄨ</v>
      </c>
      <c r="M11292" s="1" t="str">
        <f t="shared" si="708"/>
        <v>ㄟ</v>
      </c>
      <c r="P11292" s="1" t="s">
        <v>20</v>
      </c>
      <c r="R11292" s="1" t="s">
        <v>23342</v>
      </c>
      <c r="V11292" s="1" t="s">
        <v>23345</v>
      </c>
      <c r="AR11292" s="1" t="str">
        <f t="shared" si="707"/>
        <v>| [ㄘㄨㄟˋ](ㄘㄨㄟˋ.md) | [淬](淬.md) |  | cuì | [名]
滅火器。《說文解字．水部》：「淬，滅火器也。」清．段玉裁．注：「滅火器者，蓋以器盛水，濡火使滅，其器謂之淬。」同「焠」。
[動]
1.打造刀劍時，將金屬燒紅後浸入水中，以增加其硬度，使其更堅利。同「焠」。《文選．王襃．聖主得賢臣頌》：「清水淬其鋒。」
2.塗染。《戰國策．燕策三》：「得趙人徐夫人之匕首，取之百金，使工以藥淬之。」
3.磨鍊。唐．柳宗元〈送嚴公貺下第歸興元觀省詩序〉：「端其趨嚮，以淬礪之。」
4.沒入水中。《西遊記》第六回：「（大聖）變作一個魚兒，淬入水。」 |</v>
      </c>
    </row>
    <row r="11293" spans="1:44" hidden="1">
      <c r="A11293" s="1" t="s">
        <v>23346</v>
      </c>
      <c r="C11293" s="1">
        <v>1</v>
      </c>
      <c r="D11293" s="1" t="str">
        <f>"09877"</f>
        <v>09877</v>
      </c>
      <c r="E11293" s="1" t="s">
        <v>250</v>
      </c>
      <c r="F11293" s="1">
        <v>11</v>
      </c>
      <c r="G11293" s="1">
        <v>8</v>
      </c>
      <c r="H11293" s="1">
        <v>0</v>
      </c>
      <c r="I11293" s="1" t="s">
        <v>23341</v>
      </c>
      <c r="K11293" s="1" t="str">
        <f t="shared" si="706"/>
        <v>ㄘ</v>
      </c>
      <c r="L11293" s="1" t="str">
        <f t="shared" si="704"/>
        <v>ㄨ</v>
      </c>
      <c r="M11293" s="1" t="str">
        <f t="shared" si="708"/>
        <v>ㄟ</v>
      </c>
      <c r="P11293" s="1" t="s">
        <v>20</v>
      </c>
      <c r="R11293" s="1" t="s">
        <v>23342</v>
      </c>
      <c r="V11293" s="1" t="s">
        <v>23347</v>
      </c>
      <c r="AR11293" s="1" t="str">
        <f t="shared" si="707"/>
        <v>| [ㄘㄨㄟˋ](ㄘㄨㄟˋ.md) | [悴](悴.md) |  | cuì | [動]
憂傷、憂愁。《晉書．卷八七．涼武昭王李玄盛傳》：「人力凋殘，百姓愁悴。」
[形]
1.窮困、困苦。唐．白居易〈與元九書〉：「李白、孟浩然輩，不及一命，窮悴終身。」
2.瘦弱、枯槁。《南史．卷一八．臧燾傳》：「父卒，居喪五年，不出廬戶，形骸枯悴，家人不識。」 |</v>
      </c>
    </row>
    <row r="11294" spans="1:44" hidden="1">
      <c r="A11294" s="1" t="s">
        <v>14851</v>
      </c>
      <c r="C11294" s="1">
        <v>1</v>
      </c>
      <c r="D11294" s="1" t="str">
        <f>"09878"</f>
        <v>09878</v>
      </c>
      <c r="E11294" s="1" t="s">
        <v>28</v>
      </c>
      <c r="F11294" s="1">
        <v>11</v>
      </c>
      <c r="G11294" s="1">
        <v>8</v>
      </c>
      <c r="H11294" s="1">
        <v>1</v>
      </c>
      <c r="I11294" s="1" t="s">
        <v>23341</v>
      </c>
      <c r="K11294" s="1" t="str">
        <f t="shared" si="706"/>
        <v>ㄘ</v>
      </c>
      <c r="L11294" s="1" t="str">
        <f t="shared" si="704"/>
        <v>ㄨ</v>
      </c>
      <c r="M11294" s="1" t="str">
        <f t="shared" si="708"/>
        <v>ㄟ</v>
      </c>
      <c r="P11294" s="1" t="s">
        <v>20</v>
      </c>
      <c r="R11294" s="1" t="s">
        <v>23342</v>
      </c>
      <c r="V11294" s="1" t="s">
        <v>23348</v>
      </c>
      <c r="W11294" s="1" t="s">
        <v>23349</v>
      </c>
      <c r="AR11294" s="1" t="str">
        <f t="shared" si="707"/>
        <v>| [ㄘㄨㄟˋ](ㄘㄨㄟˋ.md) | [啐](啐.md) |  | cuì | [動]
1.品嚐滋味。《禮記．雜記下》：「主人之酢也，嚌之，眾賓兄弟則皆啐之。」
2.用力吐出。如：「啐一口痰」。
3.發出唾聲，表示鄙夷或憤怒。《二刻拍案驚奇》卷三：「桂娘啐了一啐道：『虧你不羞。』」
[形]
喧鬧、嘈雜。如：「市場裡，人聲嘈啐。」
[歎]
表示鄙夷或憤怒的語氣。《水滸傳》第九三回：「李逵道：『啐！原來是夢，卻也快當！』」 |</v>
      </c>
    </row>
    <row r="11295" spans="1:44" hidden="1">
      <c r="A11295" s="1" t="s">
        <v>23350</v>
      </c>
      <c r="C11295" s="1">
        <v>1</v>
      </c>
      <c r="D11295" s="1" t="str">
        <f>"09879"</f>
        <v>09879</v>
      </c>
      <c r="E11295" s="1" t="s">
        <v>336</v>
      </c>
      <c r="F11295" s="1">
        <v>12</v>
      </c>
      <c r="G11295" s="1">
        <v>8</v>
      </c>
      <c r="H11295" s="1">
        <v>0</v>
      </c>
      <c r="I11295" s="1" t="s">
        <v>23341</v>
      </c>
      <c r="K11295" s="1" t="str">
        <f t="shared" si="706"/>
        <v>ㄘ</v>
      </c>
      <c r="L11295" s="1" t="str">
        <f t="shared" si="704"/>
        <v>ㄨ</v>
      </c>
      <c r="M11295" s="1" t="str">
        <f t="shared" si="708"/>
        <v>ㄟ</v>
      </c>
      <c r="P11295" s="1" t="s">
        <v>20</v>
      </c>
      <c r="R11295" s="1" t="s">
        <v>23342</v>
      </c>
      <c r="V11295" s="1" t="s">
        <v>23351</v>
      </c>
      <c r="AR11295" s="1" t="str">
        <f t="shared" si="707"/>
        <v>| [ㄘㄨㄟˋ](ㄘㄨㄟˋ.md) | [焠](焠.md) |  | cuì | [動]_x000D_
1.將金屬燒紅後浸入水中，以增加其硬度，使其更堅利。《說文解字．火部》：「焠，堅刀刃也。」《玉篇．火部》：「焠，火入水也。」_x000D_
2.燒灼。《荀子．解蔽》：「有子惡臥而焠掌，可謂能自忍矣！」唐．楊倞．注：「焠，灼也。」《水滸傳》第四六回：「便去灶前尋了把草，灶裡點個火，望裡面四下焠著。」_x000D_
3.塗染。通「淬」。《史記．卷八六．刺客列傳．荊軻》：「得趙人徐夫人匕首，取之百金，使工以藥焠之。」唐．司馬貞．索隱：「焠，染也。」 |</v>
      </c>
    </row>
    <row r="11296" spans="1:44" hidden="1">
      <c r="A11296" s="1" t="s">
        <v>23352</v>
      </c>
      <c r="C11296" s="1">
        <v>1</v>
      </c>
      <c r="D11296" s="1" t="str">
        <f>"09880"</f>
        <v>09880</v>
      </c>
      <c r="E11296" s="1" t="s">
        <v>37</v>
      </c>
      <c r="F11296" s="1">
        <v>12</v>
      </c>
      <c r="G11296" s="1">
        <v>8</v>
      </c>
      <c r="H11296" s="1">
        <v>0</v>
      </c>
      <c r="I11296" s="1" t="s">
        <v>23341</v>
      </c>
      <c r="K11296" s="1" t="str">
        <f t="shared" si="706"/>
        <v>ㄘ</v>
      </c>
      <c r="L11296" s="1" t="str">
        <f t="shared" si="704"/>
        <v>ㄨ</v>
      </c>
      <c r="M11296" s="1" t="str">
        <f t="shared" si="708"/>
        <v>ㄟ</v>
      </c>
      <c r="P11296" s="1" t="s">
        <v>20</v>
      </c>
      <c r="R11296" s="1" t="s">
        <v>23342</v>
      </c>
      <c r="V11296" s="1" t="s">
        <v>23353</v>
      </c>
      <c r="AR11296" s="1" t="str">
        <f t="shared" si="707"/>
        <v>| [ㄘㄨㄟˋ](ㄘㄨㄟˋ.md) | [萃](萃.md) |  | cuì | [形]
1.草叢生茂盛的樣子。《集韻．去聲．泰韻》：「萃，艸盛貌。」
2.勞苦、憔悴。通「顇」。《荀子．富國》：「勞苦頓萃而愈無功。」漢．王充《論衡．異虛》：「睹秋之零實，知冬之枯萃。」
[動]
1.棲息、停止。《詩經．陳風．墓門》：「墓門有梅，有鴞萃止。」
2.聚集。如：「人文薈萃」。《左傳．宣公十二年》：「楚師方壯，若萃於我，我師必盡，不如收而去之。」《楚辭．屈原．天問》：「蒼鳥群飛，孰使萃之？」
[名]
同類、群類。如：「出類拔萃」。《文選．陸機．謝平原內史表》：「擢自群萃，累蒙榮進。」 |</v>
      </c>
    </row>
    <row r="11297" spans="1:44" hidden="1">
      <c r="A11297" s="1" t="s">
        <v>23354</v>
      </c>
      <c r="C11297" s="1">
        <v>1</v>
      </c>
      <c r="D11297" s="1" t="str">
        <f>"09881"</f>
        <v>09881</v>
      </c>
      <c r="E11297" s="1" t="s">
        <v>68</v>
      </c>
      <c r="F11297" s="1">
        <v>12</v>
      </c>
      <c r="G11297" s="1">
        <v>8</v>
      </c>
      <c r="H11297" s="1">
        <v>0</v>
      </c>
      <c r="I11297" s="1" t="s">
        <v>23341</v>
      </c>
      <c r="K11297" s="1" t="str">
        <f t="shared" si="706"/>
        <v>ㄘ</v>
      </c>
      <c r="L11297" s="1" t="str">
        <f t="shared" si="704"/>
        <v>ㄨ</v>
      </c>
      <c r="M11297" s="1" t="str">
        <f t="shared" si="708"/>
        <v>ㄟ</v>
      </c>
      <c r="P11297" s="1" t="s">
        <v>20</v>
      </c>
      <c r="R11297" s="1" t="s">
        <v>23342</v>
      </c>
      <c r="V11297" s="1" t="s">
        <v>23355</v>
      </c>
      <c r="AR11297" s="1" t="str">
        <f t="shared" si="707"/>
        <v>| [ㄘㄨㄟˋ](ㄘㄨㄟˋ.md) | [脺](脺.md) |  | cuì | 參見「脺臟」、「脺液」等條。 |</v>
      </c>
    </row>
    <row r="11298" spans="1:44" hidden="1">
      <c r="A11298" s="1" t="s">
        <v>23356</v>
      </c>
      <c r="C11298" s="1">
        <v>1</v>
      </c>
      <c r="D11298" s="1" t="str">
        <f>"09882"</f>
        <v>09882</v>
      </c>
      <c r="E11298" s="1" t="s">
        <v>40</v>
      </c>
      <c r="F11298" s="1">
        <v>13</v>
      </c>
      <c r="G11298" s="1">
        <v>8</v>
      </c>
      <c r="H11298" s="1">
        <v>0</v>
      </c>
      <c r="I11298" s="1" t="s">
        <v>23341</v>
      </c>
      <c r="K11298" s="1" t="str">
        <f t="shared" si="706"/>
        <v>ㄘ</v>
      </c>
      <c r="L11298" s="1" t="str">
        <f t="shared" si="704"/>
        <v>ㄨ</v>
      </c>
      <c r="M11298" s="1" t="str">
        <f t="shared" si="708"/>
        <v>ㄟ</v>
      </c>
      <c r="P11298" s="1" t="s">
        <v>20</v>
      </c>
      <c r="R11298" s="1" t="s">
        <v>23342</v>
      </c>
      <c r="V11298" s="1" t="s">
        <v>23357</v>
      </c>
      <c r="AR11298" s="1" t="str">
        <f t="shared" si="707"/>
        <v>| [ㄘㄨㄟˋ](ㄘㄨㄟˋ.md) | [瘁](瘁.md) |  | cuì | [名]
疾病。清．貝青喬〈自臨安至於潛夜宿浮溪旅店作〉詩：「村農告瘁思懸耜，山賊乘機競揭竿。」
[形]
1.勞苦、勞累。《詩經．小雅．蓼莪》：「哀哀父母，生我勞瘁。」
2.憔悴、瘦弱。《文選．潘岳．楊仲武誄》：「爾舅惟榮，爾宗惟瘁。」《遼史．卷八一．蕭合卓傳》：「今形容毀瘁，恐陛下見而動心。」
[動]
1.勞累生病。如：「心力交瘁」。《詩經．小雅．雨無正》：「匪舌是出，維躬是瘁。」
2.哀傷、悲痛。《文選．宋玉．高唐賦》：「登高遠望，使人心瘁。」唐．李華〈唐丞相太尉房公德銘〉：「（房公）薨殂閬中，國瘁人哀。」 |</v>
      </c>
    </row>
    <row r="11299" spans="1:44" hidden="1">
      <c r="A11299" s="1" t="s">
        <v>23358</v>
      </c>
      <c r="C11299" s="1">
        <v>1</v>
      </c>
      <c r="D11299" s="1" t="str">
        <f>"09883"</f>
        <v>09883</v>
      </c>
      <c r="E11299" s="1" t="s">
        <v>46</v>
      </c>
      <c r="F11299" s="1">
        <v>14</v>
      </c>
      <c r="G11299" s="1">
        <v>8</v>
      </c>
      <c r="H11299" s="1">
        <v>0</v>
      </c>
      <c r="I11299" s="1" t="s">
        <v>23341</v>
      </c>
      <c r="K11299" s="1" t="str">
        <f t="shared" si="706"/>
        <v>ㄘ</v>
      </c>
      <c r="L11299" s="1" t="str">
        <f t="shared" si="704"/>
        <v>ㄨ</v>
      </c>
      <c r="M11299" s="1" t="str">
        <f t="shared" si="708"/>
        <v>ㄟ</v>
      </c>
      <c r="P11299" s="1" t="s">
        <v>20</v>
      </c>
      <c r="R11299" s="1" t="s">
        <v>23342</v>
      </c>
      <c r="V11299" s="1" t="s">
        <v>23359</v>
      </c>
      <c r="AR11299" s="1" t="str">
        <f t="shared" si="707"/>
        <v>| [ㄘㄨㄟˋ](ㄘㄨㄟˋ.md) | [粹](粹.md) |  | cuì | [形]
純美無雜。如：「純粹」。《淮南子．說山》：「貂裘而雜，不若狐裘而粹。」
[名]
人、物、事理的精華。如：「針灸乃是中國的國粹之一。」 |</v>
      </c>
    </row>
    <row r="11300" spans="1:44" hidden="1">
      <c r="A11300" s="1" t="s">
        <v>23360</v>
      </c>
      <c r="C11300" s="1">
        <v>1</v>
      </c>
      <c r="D11300" s="1" t="str">
        <f>"09884"</f>
        <v>09884</v>
      </c>
      <c r="E11300" s="1" t="s">
        <v>2271</v>
      </c>
      <c r="F11300" s="1">
        <v>14</v>
      </c>
      <c r="G11300" s="1">
        <v>8</v>
      </c>
      <c r="H11300" s="1">
        <v>0</v>
      </c>
      <c r="I11300" s="1" t="s">
        <v>23341</v>
      </c>
      <c r="K11300" s="1" t="str">
        <f t="shared" si="706"/>
        <v>ㄘ</v>
      </c>
      <c r="L11300" s="1" t="str">
        <f t="shared" si="704"/>
        <v>ㄨ</v>
      </c>
      <c r="M11300" s="1" t="str">
        <f t="shared" si="708"/>
        <v>ㄟ</v>
      </c>
      <c r="P11300" s="1" t="s">
        <v>20</v>
      </c>
      <c r="R11300" s="1" t="s">
        <v>23342</v>
      </c>
      <c r="V11300" s="1" t="s">
        <v>23361</v>
      </c>
      <c r="AR11300" s="1" t="str">
        <f t="shared" si="707"/>
        <v>| [ㄘㄨㄟˋ](ㄘㄨㄟˋ.md) | [翠](翠.md) |  | cuì | [名]
1.翠鳥的簡稱。《文選．左思．蜀都賦》：「孔翠群翔，犀象競馳。」
2.綠色的玉。參見「翡翠」條。如：「珠翠」。《文選．曹植．洛神賦》：「戴金翠之首飾，綴明珠以耀驅。」
3.古代婦女用來畫眉的深青色顏料。唐．溫庭筠〈更漏子．玉爐香〉詞：「眉翠薄，鬢雲殘，夜長衾枕寒。」
4.比喻美女、妓女。如：「倚翠偎紅」、「翠繞珠圍」。
5.姓。如漢代有翠鴛鴦。
[形]
1.用翠羽裝飾的。如：「翠衾」、「翠旌」。《文選．司馬相如．子虛賦》：「張翠帷，建羽蓋。」
2.青綠色的。如：「翠柏」、「翠樓」、「草木蒼翠」。 |</v>
      </c>
    </row>
    <row r="11301" spans="1:44" hidden="1">
      <c r="A11301" s="1" t="s">
        <v>23362</v>
      </c>
      <c r="C11301" s="1">
        <v>1</v>
      </c>
      <c r="D11301" s="1" t="str">
        <f>"09885"</f>
        <v>09885</v>
      </c>
      <c r="E11301" s="1" t="s">
        <v>725</v>
      </c>
      <c r="F11301" s="1">
        <v>14</v>
      </c>
      <c r="G11301" s="1">
        <v>8</v>
      </c>
      <c r="H11301" s="1">
        <v>0</v>
      </c>
      <c r="I11301" s="1" t="s">
        <v>23341</v>
      </c>
      <c r="K11301" s="1" t="str">
        <f t="shared" si="706"/>
        <v>ㄘ</v>
      </c>
      <c r="L11301" s="1" t="str">
        <f t="shared" si="704"/>
        <v>ㄨ</v>
      </c>
      <c r="M11301" s="1" t="str">
        <f t="shared" si="708"/>
        <v>ㄟ</v>
      </c>
      <c r="P11301" s="1" t="s">
        <v>20</v>
      </c>
      <c r="R11301" s="1" t="s">
        <v>23342</v>
      </c>
      <c r="V11301" s="1" t="s">
        <v>23363</v>
      </c>
      <c r="AR11301" s="1" t="str">
        <f t="shared" si="707"/>
        <v>| [ㄘㄨㄟˋ](ㄘㄨㄟˋ.md) | [綷](綷.md) |  | cuì | [動]
混合、混雜。《史記．卷一一七．司馬相如傳》：「屯余軍其萬乘兮，綷雲蓋而樹華旗。」《文選．何晏．景福殿賦》：「綴以萬年，綷以紫榛。」 |</v>
      </c>
    </row>
    <row r="11302" spans="1:44" hidden="1">
      <c r="A11302" s="1" t="s">
        <v>23364</v>
      </c>
      <c r="C11302" s="1">
        <v>1</v>
      </c>
      <c r="D11302" s="1" t="str">
        <f>"09886"</f>
        <v>09886</v>
      </c>
      <c r="E11302" s="1" t="s">
        <v>68</v>
      </c>
      <c r="F11302" s="1">
        <v>16</v>
      </c>
      <c r="G11302" s="1">
        <v>12</v>
      </c>
      <c r="H11302" s="1">
        <v>0</v>
      </c>
      <c r="I11302" s="1" t="s">
        <v>23341</v>
      </c>
      <c r="K11302" s="1" t="str">
        <f t="shared" si="706"/>
        <v>ㄘ</v>
      </c>
      <c r="L11302" s="1" t="str">
        <f t="shared" si="704"/>
        <v>ㄨ</v>
      </c>
      <c r="M11302" s="1" t="str">
        <f t="shared" si="708"/>
        <v>ㄟ</v>
      </c>
      <c r="P11302" s="1" t="s">
        <v>20</v>
      </c>
      <c r="R11302" s="1" t="s">
        <v>23342</v>
      </c>
      <c r="V11302" s="1" t="s">
        <v>23365</v>
      </c>
      <c r="AR11302" s="1" t="str">
        <f t="shared" si="707"/>
        <v>| [ㄘㄨㄟˋ](ㄘㄨㄟˋ.md) | [膵](膵.md) |  | cuì | 同「脺」。 |</v>
      </c>
    </row>
    <row r="11303" spans="1:44" hidden="1">
      <c r="A11303" s="1" t="s">
        <v>23366</v>
      </c>
      <c r="C11303" s="1">
        <v>1</v>
      </c>
      <c r="D11303" s="1" t="str">
        <f>"09887"</f>
        <v>09887</v>
      </c>
      <c r="E11303" s="1" t="s">
        <v>68</v>
      </c>
      <c r="F11303" s="1">
        <v>10</v>
      </c>
      <c r="G11303" s="1">
        <v>6</v>
      </c>
      <c r="H11303" s="1">
        <v>0</v>
      </c>
      <c r="I11303" s="1" t="s">
        <v>23341</v>
      </c>
      <c r="K11303" s="1" t="str">
        <f t="shared" si="706"/>
        <v>ㄘ</v>
      </c>
      <c r="L11303" s="1" t="str">
        <f t="shared" si="704"/>
        <v>ㄨ</v>
      </c>
      <c r="M11303" s="1" t="str">
        <f t="shared" si="708"/>
        <v>ㄟ</v>
      </c>
      <c r="P11303" s="1" t="s">
        <v>20</v>
      </c>
      <c r="R11303" s="1" t="s">
        <v>23342</v>
      </c>
      <c r="V11303" s="1" t="s">
        <v>23367</v>
      </c>
      <c r="AR11303" s="1" t="str">
        <f t="shared" si="707"/>
        <v>| [ㄘㄨㄟˋ](ㄘㄨㄟˋ.md) | [脆](脆.md) |  | cuì | [形]
1.不堅韌、容易破碎的。《老子》第七六章：「萬物草木之生也柔脆，其死也枯槁。」北周．庾信〈竹杖賦〉：「疏毛抵于矰繳，脆骨被于風霜。」
2.食物鬆酥，容易咬碎。如：「脆餅」、「剛出爐的餅乾，又脆又香。」《韓非子．揚搉》：「夫香美脆味，厚酒肥肉，甘口而病形。」
3.柔弱禁不起打擊。如：「脆弱」。《晉書．卷三三．石苞傳》：「吳人輕脆，終無能為。」
4.聲音清越響亮。如：「清脆」。唐．顧雲〈池陽醉歌贈匡廬處士姚巖傑〉詩：「弦索緊快管聲脆，急曲碎拍聲相連。」
5.行事爽快、不拖泥帶水。如：「乾脆」、「爽脆」。 |</v>
      </c>
    </row>
    <row r="11304" spans="1:44" hidden="1">
      <c r="A11304" s="1" t="s">
        <v>23368</v>
      </c>
      <c r="C11304" s="1">
        <v>1</v>
      </c>
      <c r="D11304" s="1" t="str">
        <f>"09888"</f>
        <v>09888</v>
      </c>
      <c r="E11304" s="1" t="s">
        <v>1703</v>
      </c>
      <c r="F11304" s="1">
        <v>12</v>
      </c>
      <c r="G11304" s="1">
        <v>8</v>
      </c>
      <c r="H11304" s="1">
        <v>0</v>
      </c>
      <c r="I11304" s="1" t="s">
        <v>23341</v>
      </c>
      <c r="K11304" s="1" t="str">
        <f t="shared" si="706"/>
        <v>ㄘ</v>
      </c>
      <c r="L11304" s="1" t="str">
        <f t="shared" si="704"/>
        <v>ㄨ</v>
      </c>
      <c r="M11304" s="1" t="str">
        <f t="shared" si="708"/>
        <v>ㄟ</v>
      </c>
      <c r="P11304" s="1" t="s">
        <v>20</v>
      </c>
      <c r="R11304" s="1" t="s">
        <v>23342</v>
      </c>
      <c r="V11304" s="1" t="s">
        <v>23369</v>
      </c>
      <c r="AR11304" s="1" t="str">
        <f t="shared" si="707"/>
        <v>| [ㄘㄨㄟˋ](ㄘㄨㄟˋ.md) | [毳](毳.md) |  | cuì | [名]
鳥獸的細毛。《說文解字．毳部》：「毳，獸細毛也。」唐．杜甫〈陪李金吾花下飲〉詩：「見輕吹鳥毳，隨意數花鬚。」唐．白居易〈青氈帳二十韻〉：「合聚千羊毳，施張百子弮。」
[形]
1.脆弱、不堅韌。通「脆」。《荀子．議兵》：「是事小敵毳，則偷可用也。」
2.食物酥鬆。通「脆」。《漢書．卷七四．丙吉傳》：「不得令晨夜去皇孫敖盪，數奏甘毳食物。」 |</v>
      </c>
    </row>
    <row r="11305" spans="1:44" hidden="1">
      <c r="A11305" s="1" t="s">
        <v>23370</v>
      </c>
      <c r="C11305" s="1">
        <v>1</v>
      </c>
      <c r="D11305" s="1" t="str">
        <f>"09889"</f>
        <v>09889</v>
      </c>
      <c r="E11305" s="1" t="s">
        <v>68</v>
      </c>
      <c r="F11305" s="1">
        <v>16</v>
      </c>
      <c r="G11305" s="1">
        <v>12</v>
      </c>
      <c r="H11305" s="1">
        <v>0</v>
      </c>
      <c r="I11305" s="1" t="s">
        <v>23341</v>
      </c>
      <c r="K11305" s="1" t="str">
        <f t="shared" si="706"/>
        <v>ㄘ</v>
      </c>
      <c r="L11305" s="1" t="str">
        <f t="shared" si="704"/>
        <v>ㄨ</v>
      </c>
      <c r="M11305" s="1" t="str">
        <f t="shared" si="708"/>
        <v>ㄟ</v>
      </c>
      <c r="P11305" s="1" t="s">
        <v>20</v>
      </c>
      <c r="R11305" s="1" t="s">
        <v>23342</v>
      </c>
      <c r="V11305" s="1" t="s">
        <v>23371</v>
      </c>
      <c r="AR11305" s="1" t="str">
        <f t="shared" si="707"/>
        <v>| [ㄘㄨㄟˋ](ㄘㄨㄟˋ.md) | [膬](膬.md) |  | cuì | [形]
不堅韌、容易破碎。《說文解字．肉部》：「膬，耎易破也。」同「脆」。《文選．枚乘．七發》：「飲食則溫淳甘膬，脭醲肥厚。」 |</v>
      </c>
    </row>
    <row r="11306" spans="1:44" hidden="1">
      <c r="A11306" s="1" t="s">
        <v>23372</v>
      </c>
      <c r="C11306" s="1">
        <v>1</v>
      </c>
      <c r="D11306" s="1" t="str">
        <f>"09890"</f>
        <v>09890</v>
      </c>
      <c r="E11306" s="1" t="s">
        <v>1274</v>
      </c>
      <c r="F11306" s="1">
        <v>17</v>
      </c>
      <c r="G11306" s="1">
        <v>12</v>
      </c>
      <c r="H11306" s="1">
        <v>0</v>
      </c>
      <c r="I11306" s="1" t="s">
        <v>23341</v>
      </c>
      <c r="K11306" s="1" t="str">
        <f t="shared" si="706"/>
        <v>ㄘ</v>
      </c>
      <c r="L11306" s="1" t="str">
        <f t="shared" si="704"/>
        <v>ㄨ</v>
      </c>
      <c r="M11306" s="1" t="str">
        <f t="shared" si="708"/>
        <v>ㄟ</v>
      </c>
      <c r="P11306" s="1" t="s">
        <v>20</v>
      </c>
      <c r="R11306" s="1" t="s">
        <v>23342</v>
      </c>
      <c r="V11306" s="1" t="s">
        <v>23373</v>
      </c>
      <c r="AR11306" s="1" t="str">
        <f t="shared" si="707"/>
        <v>| [ㄘㄨㄟˋ](ㄘㄨㄟˋ.md) | [竁](竁.md) |  | cuì | [動]_x000D_
1.掘地為墓穴。唐．褚遂良〈唐太宗文皇帝哀冊文〉：「周營甫竁，漢啟泉闈。」_x000D_
2.泛指挖地。明．徐弘祖《徐霞客遊記．卷九上．滇遊日記十》：「嘉靖壬子，城外週鑿城隍，至正南迤東，竁地丈許，有絡石，工役斲截之。」_x000D_
[名]_x000D_
1.墓穴。唐．柳宗元〈碑陰〉：「凡葬大浮圖，無竁穴，其於用碑不宜。」_x000D_
2.洞穴、孔洞。宋．洪邁《夷堅丁志．卷一七．琉璃瓶》：「以鐵固鼓腹之竁，使極窄，即敲環入竁中。」 |</v>
      </c>
    </row>
    <row r="11307" spans="1:44" hidden="1">
      <c r="A11307" s="1" t="s">
        <v>7018</v>
      </c>
      <c r="C11307" s="1">
        <v>1</v>
      </c>
      <c r="D11307" s="1" t="str">
        <f>"09891"</f>
        <v>09891</v>
      </c>
      <c r="E11307" s="1" t="s">
        <v>129</v>
      </c>
      <c r="F11307" s="1">
        <v>6</v>
      </c>
      <c r="G11307" s="1">
        <v>2</v>
      </c>
      <c r="H11307" s="1">
        <v>2</v>
      </c>
      <c r="I11307" s="1" t="s">
        <v>23374</v>
      </c>
      <c r="K11307" s="1" t="str">
        <f t="shared" si="706"/>
        <v>ㄘ</v>
      </c>
      <c r="L11307" s="1" t="str">
        <f t="shared" si="704"/>
        <v>ㄨ</v>
      </c>
      <c r="M11307" s="1" t="str">
        <f t="shared" si="708"/>
        <v>ㄢ</v>
      </c>
      <c r="P11307" s="1" t="s">
        <v>20</v>
      </c>
      <c r="R11307" s="1" t="s">
        <v>23375</v>
      </c>
      <c r="V11307" s="1" t="s">
        <v>23376</v>
      </c>
      <c r="W11307" s="1" t="s">
        <v>23377</v>
      </c>
      <c r="AR11307" s="1" t="str">
        <f t="shared" si="707"/>
        <v>| [ㄘㄨㄢ](ㄘㄨㄢ.md) | [汆](汆.md) |  | cuān | [動]
一種烹飪方法。將食物放入沸水中煮一下，隨即取出，以防食物養分因高溫烹調而流失，或食物本身變老、變黃。如：「汆丸子」、「汆羊肉」。 |</v>
      </c>
    </row>
    <row r="11308" spans="1:44" hidden="1">
      <c r="A11308" s="1" t="s">
        <v>23378</v>
      </c>
      <c r="C11308" s="1">
        <v>1</v>
      </c>
      <c r="D11308" s="1" t="str">
        <f>"09892"</f>
        <v>09892</v>
      </c>
      <c r="E11308" s="1" t="s">
        <v>24</v>
      </c>
      <c r="F11308" s="1">
        <v>21</v>
      </c>
      <c r="G11308" s="1">
        <v>18</v>
      </c>
      <c r="H11308" s="1">
        <v>0</v>
      </c>
      <c r="I11308" s="1" t="s">
        <v>23374</v>
      </c>
      <c r="K11308" s="1" t="str">
        <f t="shared" si="706"/>
        <v>ㄘ</v>
      </c>
      <c r="L11308" s="1" t="str">
        <f t="shared" si="704"/>
        <v>ㄨ</v>
      </c>
      <c r="M11308" s="1" t="str">
        <f t="shared" si="708"/>
        <v>ㄢ</v>
      </c>
      <c r="P11308" s="1" t="s">
        <v>20</v>
      </c>
      <c r="R11308" s="1" t="s">
        <v>23375</v>
      </c>
      <c r="V11308" s="1" t="s">
        <v>23379</v>
      </c>
      <c r="AR11308" s="1" t="str">
        <f t="shared" si="707"/>
        <v>| [ㄘㄨㄢ](ㄘㄨㄢ.md) | [攛](攛.md) |  | cuān | [動]
1.拋擲、投入。《集韻．平聲．桓韻》：「攛，擲也。」《水滸傳》第三二回：「武行者把那兩個屍首，都攛在火裡燒了。」
2.匆促行事。如：「事前不準備好，臨時現攛。」
3.發怒。如：「才說完，他就跟我攛啦！」 |</v>
      </c>
    </row>
    <row r="11309" spans="1:44" hidden="1">
      <c r="A11309" s="1" t="s">
        <v>23380</v>
      </c>
      <c r="C11309" s="1">
        <v>1</v>
      </c>
      <c r="D11309" s="1" t="str">
        <f>"09893"</f>
        <v>09893</v>
      </c>
      <c r="E11309" s="1" t="s">
        <v>77</v>
      </c>
      <c r="F11309" s="1">
        <v>25</v>
      </c>
      <c r="G11309" s="1">
        <v>18</v>
      </c>
      <c r="H11309" s="1">
        <v>0</v>
      </c>
      <c r="I11309" s="1" t="s">
        <v>23374</v>
      </c>
      <c r="K11309" s="1" t="str">
        <f t="shared" si="706"/>
        <v>ㄘ</v>
      </c>
      <c r="L11309" s="1" t="str">
        <f t="shared" si="704"/>
        <v>ㄨ</v>
      </c>
      <c r="M11309" s="1" t="str">
        <f t="shared" si="708"/>
        <v>ㄢ</v>
      </c>
      <c r="P11309" s="1" t="s">
        <v>20</v>
      </c>
      <c r="R11309" s="1" t="s">
        <v>23375</v>
      </c>
      <c r="V11309" s="1" t="s">
        <v>23381</v>
      </c>
      <c r="AR11309" s="1" t="str">
        <f t="shared" si="707"/>
        <v>| [ㄘㄨㄢ](ㄘㄨㄢ.md) | [躥](躥.md) |  | cuān | [動]
1.向上或向前跳。如：「躥越」、「縱身一躥」。
2.湧冒、噴射。如：「瀑布從山頂上飛躥下來。」、「才喝了一口，就覺得喉嚨直躥火。」
3.生氣、發怒。如：「他聽了這話就躥了起來。」 |</v>
      </c>
    </row>
    <row r="11310" spans="1:44" hidden="1">
      <c r="A11310" s="1" t="s">
        <v>23382</v>
      </c>
      <c r="C11310" s="1">
        <v>1</v>
      </c>
      <c r="D11310" s="1" t="str">
        <f>"09894"</f>
        <v>09894</v>
      </c>
      <c r="E11310" s="1" t="s">
        <v>55</v>
      </c>
      <c r="F11310" s="1">
        <v>26</v>
      </c>
      <c r="G11310" s="1">
        <v>18</v>
      </c>
      <c r="H11310" s="1">
        <v>2</v>
      </c>
      <c r="I11310" s="1" t="s">
        <v>23374</v>
      </c>
      <c r="K11310" s="1" t="str">
        <f t="shared" si="706"/>
        <v>ㄘ</v>
      </c>
      <c r="L11310" s="1" t="str">
        <f t="shared" si="704"/>
        <v>ㄨ</v>
      </c>
      <c r="M11310" s="1" t="str">
        <f t="shared" si="708"/>
        <v>ㄢ</v>
      </c>
      <c r="P11310" s="1" t="s">
        <v>20</v>
      </c>
      <c r="R11310" s="1" t="s">
        <v>23375</v>
      </c>
      <c r="V11310" s="1" t="s">
        <v>23383</v>
      </c>
      <c r="W11310" s="1" t="s">
        <v>23384</v>
      </c>
      <c r="AR11310" s="1" t="str">
        <f t="shared" si="707"/>
        <v>| [ㄘㄨㄢ](ㄘㄨㄢ.md) | [鑹](鑹.md) |  | cuān | [名]
一種鑿冰用的工具，通常用鐵製成。俗稱為「冰鑹」。 |</v>
      </c>
    </row>
    <row r="11311" spans="1:44" hidden="1">
      <c r="A11311" s="1" t="s">
        <v>22535</v>
      </c>
      <c r="C11311" s="1">
        <v>1</v>
      </c>
      <c r="D11311" s="1" t="str">
        <f>"09895"</f>
        <v>09895</v>
      </c>
      <c r="E11311" s="1" t="s">
        <v>24</v>
      </c>
      <c r="F11311" s="1">
        <v>22</v>
      </c>
      <c r="G11311" s="1">
        <v>19</v>
      </c>
      <c r="H11311" s="1">
        <v>2</v>
      </c>
      <c r="I11311" s="1" t="s">
        <v>23385</v>
      </c>
      <c r="K11311" s="1" t="str">
        <f t="shared" si="706"/>
        <v>ㄘ</v>
      </c>
      <c r="L11311" s="1" t="str">
        <f t="shared" si="704"/>
        <v>ㄨ</v>
      </c>
      <c r="M11311" s="1" t="str">
        <f t="shared" si="708"/>
        <v>ㄢ</v>
      </c>
      <c r="P11311" s="1" t="s">
        <v>20</v>
      </c>
      <c r="R11311" s="1" t="s">
        <v>23386</v>
      </c>
      <c r="V11311" s="1" t="s">
        <v>23387</v>
      </c>
      <c r="W11311" s="1" t="s">
        <v>23388</v>
      </c>
      <c r="AR11311" s="1" t="str">
        <f t="shared" si="707"/>
        <v>| [ㄘㄨㄢˊ](ㄘㄨㄢˊ.md) | [攢](攢.md) |  | cuán | [動]
拼湊、聚合。如：「他們攢了一筆錢，合買一臺電視機。」
[名]
量詞。計算聚集的人或物的單位。元．喬吉《金錢記》第二折：「我本是個花一攢錦一簇，芙蓉亭有情有意雙飛燕。」《鏡花緣》第七二回：「眾人因見亭內四壁懸著許多字畫，收拾的十分精緻，都不肯就走，分著這裡一攢，那裡一夥，圍著觀看。」 |</v>
      </c>
    </row>
    <row r="11312" spans="1:44" hidden="1">
      <c r="A11312" s="1" t="s">
        <v>23389</v>
      </c>
      <c r="C11312" s="1">
        <v>1</v>
      </c>
      <c r="D11312" s="1" t="str">
        <f>"09896"</f>
        <v>09896</v>
      </c>
      <c r="E11312" s="1" t="s">
        <v>190</v>
      </c>
      <c r="F11312" s="1">
        <v>22</v>
      </c>
      <c r="G11312" s="1">
        <v>19</v>
      </c>
      <c r="H11312" s="1">
        <v>0</v>
      </c>
      <c r="I11312" s="1" t="s">
        <v>23385</v>
      </c>
      <c r="K11312" s="1" t="str">
        <f t="shared" si="706"/>
        <v>ㄘ</v>
      </c>
      <c r="L11312" s="1" t="str">
        <f t="shared" si="704"/>
        <v>ㄨ</v>
      </c>
      <c r="M11312" s="1" t="str">
        <f t="shared" si="708"/>
        <v>ㄢ</v>
      </c>
      <c r="P11312" s="1" t="s">
        <v>20</v>
      </c>
      <c r="R11312" s="1" t="s">
        <v>23386</v>
      </c>
      <c r="V11312" s="1" t="s">
        <v>23390</v>
      </c>
      <c r="AR11312" s="1" t="str">
        <f t="shared" si="707"/>
        <v>| [ㄘㄨㄢˊ](ㄘㄨㄢˊ.md) | [巑](巑.md) |  | cuán | [形]
巑岏：高聳。三國蜀．諸葛亮〈黃陵廟記〉：「斂巨石於江中，崔嵬巑岏，列作三峰。」《文選．謝朓．和王著作八公山詩》：「茲嶺復巑岏，分區奠淮服。」 |</v>
      </c>
    </row>
    <row r="11313" spans="1:44" hidden="1">
      <c r="A11313" s="1" t="s">
        <v>23391</v>
      </c>
      <c r="C11313" s="1">
        <v>1</v>
      </c>
      <c r="D11313" s="1" t="str">
        <f>"09897"</f>
        <v>09897</v>
      </c>
      <c r="E11313" s="1" t="s">
        <v>139</v>
      </c>
      <c r="F11313" s="1">
        <v>23</v>
      </c>
      <c r="G11313" s="1">
        <v>19</v>
      </c>
      <c r="H11313" s="1">
        <v>0</v>
      </c>
      <c r="I11313" s="1" t="s">
        <v>23385</v>
      </c>
      <c r="K11313" s="1" t="str">
        <f t="shared" si="706"/>
        <v>ㄘ</v>
      </c>
      <c r="L11313" s="1" t="str">
        <f t="shared" ref="L11313:L11376" si="709">MID(I11313, 2, 1)</f>
        <v>ㄨ</v>
      </c>
      <c r="M11313" s="1" t="str">
        <f t="shared" si="708"/>
        <v>ㄢ</v>
      </c>
      <c r="P11313" s="1" t="s">
        <v>20</v>
      </c>
      <c r="R11313" s="1" t="s">
        <v>23386</v>
      </c>
      <c r="V11313" s="1" t="s">
        <v>23392</v>
      </c>
      <c r="AR11313" s="1" t="str">
        <f t="shared" si="707"/>
        <v>| [ㄘㄨㄢˊ](ㄘㄨㄢˊ.md) | [欑](欑.md) |  | cuán | [動]
聚合、拼湊。通「攢」。如：「欑集」。 |</v>
      </c>
    </row>
    <row r="11314" spans="1:44" hidden="1">
      <c r="A11314" s="1" t="s">
        <v>23393</v>
      </c>
      <c r="C11314" s="1">
        <v>1</v>
      </c>
      <c r="D11314" s="1" t="str">
        <f>"09898"</f>
        <v>09898</v>
      </c>
      <c r="E11314" s="1" t="s">
        <v>49</v>
      </c>
      <c r="F11314" s="1">
        <v>16</v>
      </c>
      <c r="G11314" s="1">
        <v>10</v>
      </c>
      <c r="H11314" s="1">
        <v>0</v>
      </c>
      <c r="I11314" s="1" t="s">
        <v>23394</v>
      </c>
      <c r="K11314" s="1" t="str">
        <f t="shared" si="706"/>
        <v>ㄘ</v>
      </c>
      <c r="L11314" s="1" t="str">
        <f t="shared" si="709"/>
        <v>ㄨ</v>
      </c>
      <c r="M11314" s="1" t="str">
        <f t="shared" si="708"/>
        <v>ㄢ</v>
      </c>
      <c r="P11314" s="1" t="s">
        <v>20</v>
      </c>
      <c r="R11314" s="1" t="s">
        <v>23395</v>
      </c>
      <c r="V11314" s="1" t="s">
        <v>23396</v>
      </c>
      <c r="AR11314" s="1" t="str">
        <f t="shared" si="707"/>
        <v>| [ㄘㄨㄢˋ](ㄘㄨㄢˋ.md) | [篡](篡.md) |  | cuàn | [動]
1.奪取。《漢書．卷五五．衛青傳》：「大長公主執囚青，欲殺之。其友騎郎公孫敖與壯士往篡之。」
2.以不正當的手段奪取君位或權力地位。《孟子．萬章上》：「而居堯之宮，逼堯之子，是篡也，非天與也。」《後漢書．卷一四．宗室四王三侯傳．齊武王縯傳》：「自王莽篡漢，常憤憤，懷復社稷之慮。」
3.獵取。《後漢書．卷八三．逸民傳．序》：「鴻飛冥冥，弋者何篡焉。」 |</v>
      </c>
    </row>
    <row r="11315" spans="1:44" hidden="1">
      <c r="A11315" s="1" t="s">
        <v>23397</v>
      </c>
      <c r="C11315" s="1">
        <v>1</v>
      </c>
      <c r="D11315" s="1" t="str">
        <f>"09899"</f>
        <v>09899</v>
      </c>
      <c r="E11315" s="1" t="s">
        <v>1274</v>
      </c>
      <c r="F11315" s="1">
        <v>18</v>
      </c>
      <c r="G11315" s="1">
        <v>13</v>
      </c>
      <c r="H11315" s="1">
        <v>0</v>
      </c>
      <c r="I11315" s="1" t="s">
        <v>23394</v>
      </c>
      <c r="K11315" s="1" t="str">
        <f t="shared" si="706"/>
        <v>ㄘ</v>
      </c>
      <c r="L11315" s="1" t="str">
        <f t="shared" si="709"/>
        <v>ㄨ</v>
      </c>
      <c r="M11315" s="1" t="str">
        <f t="shared" si="708"/>
        <v>ㄢ</v>
      </c>
      <c r="P11315" s="1" t="s">
        <v>20</v>
      </c>
      <c r="R11315" s="1" t="s">
        <v>23395</v>
      </c>
      <c r="V11315" s="1" t="s">
        <v>23398</v>
      </c>
      <c r="AR11315" s="1" t="str">
        <f t="shared" si="707"/>
        <v>| [ㄘㄨㄢˋ](ㄘㄨㄢˋ.md) | [竄](竄.md) |  | cuàn | [動]
1.躲藏、隱匿。《左傳．定公四年》：「天誘其衷，致罰於楚，而君又竄之。」《國語．周語上》：「我先王不窋用失其官，而自竄于戎、狄之閒。」
2.放置、安置。《荀子．大略》：「然故民不困財，貧窶者有所竄其手。」《新唐書．卷一九六．隱逸傳．陸龜蒙傳》：「文成，竄稿篋中，或歷年不省，為好事者盜去。」
3.逃走、逃跑。如：「流竄」、「竄逃」、「抱頭鼠竄」。
4.放逐。《書經．舜典》：「放驩兜于崇山，竄三苗于三危，殛鯀于羽山。」宋．陸游《老學庵筆記》卷四：「得其姦，奏之，鯨竄化州，籍沒貲產。」
5.修改、改易文字。如：「竄改」、「竄句」。唐．韓愈〈答張徹〉詩：「漬墨竄舊史，磨丹注前經。」
6.用藥薰身治病。《史記．卷一〇五．扁鵲倉公傳》：「即竄以藥，旋下，病已。」 |</v>
      </c>
    </row>
    <row r="11316" spans="1:44" hidden="1">
      <c r="A11316" s="1" t="s">
        <v>23382</v>
      </c>
      <c r="C11316" s="1">
        <v>1</v>
      </c>
      <c r="D11316" s="1" t="str">
        <f>"09900"</f>
        <v>09900</v>
      </c>
      <c r="E11316" s="1" t="s">
        <v>55</v>
      </c>
      <c r="F11316" s="1">
        <v>26</v>
      </c>
      <c r="G11316" s="1">
        <v>18</v>
      </c>
      <c r="H11316" s="1">
        <v>1</v>
      </c>
      <c r="I11316" s="1" t="s">
        <v>23394</v>
      </c>
      <c r="K11316" s="1" t="str">
        <f t="shared" si="706"/>
        <v>ㄘ</v>
      </c>
      <c r="L11316" s="1" t="str">
        <f t="shared" si="709"/>
        <v>ㄨ</v>
      </c>
      <c r="M11316" s="1" t="str">
        <f t="shared" si="708"/>
        <v>ㄢ</v>
      </c>
      <c r="P11316" s="1" t="s">
        <v>20</v>
      </c>
      <c r="R11316" s="1" t="s">
        <v>23395</v>
      </c>
      <c r="V11316" s="1" t="s">
        <v>23399</v>
      </c>
      <c r="W11316" s="1" t="s">
        <v>23400</v>
      </c>
      <c r="AR11316" s="1" t="str">
        <f t="shared" si="707"/>
        <v>| [ㄘㄨㄢˋ](ㄘㄨㄢˋ.md) | [鑹](鑹.md) |  | cuàn | [名]
短矛。明．張自烈《正字通．金部》：「鑹，短矛。」 |</v>
      </c>
    </row>
    <row r="11317" spans="1:44" hidden="1">
      <c r="A11317" s="1" t="s">
        <v>23401</v>
      </c>
      <c r="C11317" s="1">
        <v>1</v>
      </c>
      <c r="D11317" s="1" t="str">
        <f>"09901"</f>
        <v>09901</v>
      </c>
      <c r="E11317" s="1" t="s">
        <v>336</v>
      </c>
      <c r="F11317" s="1">
        <v>29</v>
      </c>
      <c r="G11317" s="1">
        <v>25</v>
      </c>
      <c r="H11317" s="1">
        <v>0</v>
      </c>
      <c r="I11317" s="1" t="s">
        <v>23394</v>
      </c>
      <c r="K11317" s="1" t="str">
        <f t="shared" si="706"/>
        <v>ㄘ</v>
      </c>
      <c r="L11317" s="1" t="str">
        <f t="shared" si="709"/>
        <v>ㄨ</v>
      </c>
      <c r="M11317" s="1" t="str">
        <f t="shared" si="708"/>
        <v>ㄢ</v>
      </c>
      <c r="P11317" s="1" t="s">
        <v>20</v>
      </c>
      <c r="R11317" s="1" t="s">
        <v>23395</v>
      </c>
      <c r="V11317" s="1" t="s">
        <v>23402</v>
      </c>
      <c r="AR11317" s="1" t="str">
        <f t="shared" si="707"/>
        <v>| [ㄘㄨㄢˋ](ㄘㄨㄢˋ.md) | [爨](爨.md) |  | cuàn | [動]
以火燒煮食物。《左傳．宣公十五年》：「易子而食，析骸以爨。」晉．杜預．注：「爨，炊也。」《紅樓夢》第一〇五回：「聞得赦老與政老同房各爨的，理應遵旨查看賈赦的家資。」
[名]
1.爐灶。《周禮．天官冢宰．亨人》：「職外內饔之爨亨煮，辦膳羞之物。」漢．鄭玄．注：「爨，今之灶。」宋．范成大〈欒城〉詩：「頹垣破屋古城邊，客傳蕭寒爨不煙。」
2.中國少數民族之一。分布於今大陸地區雲南省東部地區。
3.宋代雜劇或金代院本中某些簡短表演的名稱。如：「蹈爨」、「五花爨弄」。清．龔自珍〈己亥雜詩〉三一五首之一〇三：「梨園爨本募誰修，亦是風花一代愁。」
4.姓。如南朝宋有爨龍顏，晉代有爨寶子。 |</v>
      </c>
    </row>
    <row r="11318" spans="1:44" hidden="1">
      <c r="A11318" s="1" t="s">
        <v>23403</v>
      </c>
      <c r="C11318" s="1">
        <v>1</v>
      </c>
      <c r="D11318" s="1" t="str">
        <f>"09902"</f>
        <v>09902</v>
      </c>
      <c r="E11318" s="1" t="s">
        <v>139</v>
      </c>
      <c r="F11318" s="1">
        <v>7</v>
      </c>
      <c r="G11318" s="1">
        <v>3</v>
      </c>
      <c r="H11318" s="1">
        <v>0</v>
      </c>
      <c r="I11318" s="1" t="s">
        <v>23404</v>
      </c>
      <c r="K11318" s="1" t="str">
        <f t="shared" si="706"/>
        <v>ㄘ</v>
      </c>
      <c r="L11318" s="1" t="str">
        <f t="shared" si="709"/>
        <v>ㄨ</v>
      </c>
      <c r="M11318" s="1" t="str">
        <f t="shared" si="708"/>
        <v>ㄣ</v>
      </c>
      <c r="P11318" s="1" t="s">
        <v>20</v>
      </c>
      <c r="R11318" s="1" t="s">
        <v>23405</v>
      </c>
      <c r="V11318" s="1" t="s">
        <v>23406</v>
      </c>
      <c r="AR11318" s="1" t="str">
        <f t="shared" si="707"/>
        <v>| [ㄘㄨㄣ](ㄘㄨㄣ.md) | [村](村.md) |  | cūn | [名]
鄉民聚居的地方。如：「鄉村」、「農村」。宋．陸游〈遊山西村〉詩：「山重水複疑無路，柳暗花明又一村。」
[形]
粗俗、愚蠢。元．王實甫《西廂記．第一本．第四折》：「老的小的，村的俏的，沒顛沒倒，勝似鬧元宵。」
[動]
頂撞，以言語羞辱人。《水滸傳》第二回：「小官人若是不當村時，較量一棒耍子。」 |</v>
      </c>
    </row>
    <row r="11319" spans="1:44" hidden="1">
      <c r="A11319" s="1" t="s">
        <v>23407</v>
      </c>
      <c r="C11319" s="1">
        <v>1</v>
      </c>
      <c r="D11319" s="1" t="str">
        <f>"09903"</f>
        <v>09903</v>
      </c>
      <c r="E11319" s="1" t="s">
        <v>1792</v>
      </c>
      <c r="F11319" s="1">
        <v>12</v>
      </c>
      <c r="G11319" s="1">
        <v>7</v>
      </c>
      <c r="H11319" s="1">
        <v>0</v>
      </c>
      <c r="I11319" s="1" t="s">
        <v>23404</v>
      </c>
      <c r="K11319" s="1" t="str">
        <f t="shared" si="706"/>
        <v>ㄘ</v>
      </c>
      <c r="L11319" s="1" t="str">
        <f t="shared" si="709"/>
        <v>ㄨ</v>
      </c>
      <c r="M11319" s="1" t="str">
        <f t="shared" si="708"/>
        <v>ㄣ</v>
      </c>
      <c r="P11319" s="1" t="s">
        <v>20</v>
      </c>
      <c r="R11319" s="1" t="s">
        <v>23405</v>
      </c>
      <c r="V11319" s="1" t="s">
        <v>23408</v>
      </c>
      <c r="AR11319" s="1" t="str">
        <f t="shared" si="707"/>
        <v>| [ㄘㄨㄣ](ㄘㄨㄣ.md) | [皴](皴.md) |  | cūn | [動]
1.皮膚皸裂。唐．杜甫〈乾元中寓居同谷縣作〉詩七首之一：「中原無書歸不得，手腳凍皴皮肉死。」
2.皺縮。宋．張炎〈采桑子．西園冷罥秋千索〉詞：「雨過花皴，近覺江南無好春。」
[名]
1.皮膚上聚積的泥垢或脫落的表皮。如：「一脖子皴」、「一身子皴」。
2.一種國畫表現紋理的畫法。參見「皴法」條。 |</v>
      </c>
    </row>
    <row r="11320" spans="1:44" hidden="1">
      <c r="A11320" s="1" t="s">
        <v>16010</v>
      </c>
      <c r="C11320" s="1">
        <v>1</v>
      </c>
      <c r="D11320" s="1" t="str">
        <f>"09904"</f>
        <v>09904</v>
      </c>
      <c r="E11320" s="1" t="s">
        <v>77</v>
      </c>
      <c r="F11320" s="1">
        <v>14</v>
      </c>
      <c r="G11320" s="1">
        <v>7</v>
      </c>
      <c r="H11320" s="1">
        <v>1</v>
      </c>
      <c r="I11320" s="1" t="s">
        <v>23404</v>
      </c>
      <c r="K11320" s="1" t="str">
        <f t="shared" si="706"/>
        <v>ㄘ</v>
      </c>
      <c r="L11320" s="1" t="str">
        <f t="shared" si="709"/>
        <v>ㄨ</v>
      </c>
      <c r="M11320" s="1" t="str">
        <f t="shared" si="708"/>
        <v>ㄣ</v>
      </c>
      <c r="P11320" s="1" t="s">
        <v>20</v>
      </c>
      <c r="R11320" s="1" t="s">
        <v>23405</v>
      </c>
      <c r="V11320" s="1" t="s">
        <v>23409</v>
      </c>
      <c r="W11320" s="1" t="s">
        <v>23410</v>
      </c>
      <c r="AR11320" s="1" t="str">
        <f t="shared" si="707"/>
        <v>| [ㄘㄨㄣ](ㄘㄨㄣ.md) | [踆](踆.md) |  | cūn | [動]
踢。《集韻．平聲．魂韻》：「踆，以足逆蹋曰踆。」《公羊傳．宣公六年》：「祁彌明逆而踆之。」 |</v>
      </c>
    </row>
    <row r="11321" spans="1:44" hidden="1">
      <c r="A11321" s="1" t="s">
        <v>23411</v>
      </c>
      <c r="C11321" s="1">
        <v>1</v>
      </c>
      <c r="D11321" s="1" t="str">
        <f>"09905"</f>
        <v>09905</v>
      </c>
      <c r="E11321" s="1" t="s">
        <v>241</v>
      </c>
      <c r="F11321" s="1">
        <v>6</v>
      </c>
      <c r="G11321" s="1">
        <v>3</v>
      </c>
      <c r="H11321" s="1">
        <v>0</v>
      </c>
      <c r="I11321" s="1" t="s">
        <v>23412</v>
      </c>
      <c r="K11321" s="1" t="str">
        <f t="shared" si="706"/>
        <v>ㄘ</v>
      </c>
      <c r="L11321" s="1" t="str">
        <f t="shared" si="709"/>
        <v>ㄨ</v>
      </c>
      <c r="M11321" s="1" t="str">
        <f t="shared" ref="M11321:M11347" si="710">MID(I11321, 3, 1)</f>
        <v>ㄣ</v>
      </c>
      <c r="P11321" s="1" t="s">
        <v>20</v>
      </c>
      <c r="R11321" s="1" t="s">
        <v>23413</v>
      </c>
      <c r="V11321" s="1" t="s">
        <v>23414</v>
      </c>
      <c r="AR11321" s="1" t="str">
        <f t="shared" si="707"/>
        <v>| [ㄘㄨㄣˊ](ㄘㄨㄣˊ.md) | [存](存.md) |  | cún | [動]
1.省視、問候。《史記．卷七七．魏公子傳》：「臣迺市井鼓刀屠者，而公子親數存之。」《明史．卷一．太祖本紀》：「罷諸軍需，存恤貧無告者，民大悅。」
2.存在、生存。如：「共存」、「生死存亡」。唐．杜甫〈無家別〉詩：「存者無消息，死者為塵泥。」
3.寄放、儲蓄。如：「寄存」、「存款」。
4.有、心懷。如：「存心不良」、「心存仁厚」、「你存什麼心？」
5.保留、留下。如：「存疑」、「去偽存真」、「碩果僅存」。
6.停滯。《紅樓夢》第二〇回：「那寶玉正恐黛玉飯後貪眠，一時存了食。」
7.思念。《詩經．鄭風．出其東門》：「出其東門，有女如雲。雖則如雲，匪我思存。」
[名]
姓。如宋代有存光孫。 |</v>
      </c>
    </row>
    <row r="11322" spans="1:44" hidden="1">
      <c r="A11322" s="1" t="s">
        <v>5819</v>
      </c>
      <c r="C11322" s="1">
        <v>1</v>
      </c>
      <c r="D11322" s="1" t="str">
        <f>"09906"</f>
        <v>09906</v>
      </c>
      <c r="E11322" s="1" t="s">
        <v>77</v>
      </c>
      <c r="F11322" s="1">
        <v>19</v>
      </c>
      <c r="G11322" s="1">
        <v>12</v>
      </c>
      <c r="H11322" s="1">
        <v>2</v>
      </c>
      <c r="I11322" s="1" t="s">
        <v>23412</v>
      </c>
      <c r="K11322" s="1" t="str">
        <f t="shared" si="706"/>
        <v>ㄘ</v>
      </c>
      <c r="L11322" s="1" t="str">
        <f t="shared" si="709"/>
        <v>ㄨ</v>
      </c>
      <c r="M11322" s="1" t="str">
        <f t="shared" si="710"/>
        <v>ㄣ</v>
      </c>
      <c r="P11322" s="1" t="s">
        <v>20</v>
      </c>
      <c r="R11322" s="1" t="s">
        <v>23413</v>
      </c>
      <c r="V11322" s="1" t="s">
        <v>23415</v>
      </c>
      <c r="W11322" s="1" t="s">
        <v>23416</v>
      </c>
      <c r="AR11322" s="1" t="str">
        <f t="shared" si="707"/>
        <v>| [ㄘㄨㄣˊ](ㄘㄨㄣˊ.md) | [蹲](蹲.md) |  | cún | [動]
腳猛然落地而震傷。如：「蹲了腿！」 |</v>
      </c>
    </row>
    <row r="11323" spans="1:44" hidden="1">
      <c r="A11323" s="1" t="s">
        <v>23417</v>
      </c>
      <c r="C11323" s="1">
        <v>1</v>
      </c>
      <c r="D11323" s="1" t="str">
        <f>"09907"</f>
        <v>09907</v>
      </c>
      <c r="E11323" s="1" t="s">
        <v>185</v>
      </c>
      <c r="F11323" s="1">
        <v>5</v>
      </c>
      <c r="G11323" s="1">
        <v>3</v>
      </c>
      <c r="H11323" s="1">
        <v>0</v>
      </c>
      <c r="I11323" s="1" t="s">
        <v>23418</v>
      </c>
      <c r="K11323" s="1" t="str">
        <f t="shared" si="706"/>
        <v>ㄘ</v>
      </c>
      <c r="L11323" s="1" t="str">
        <f t="shared" si="709"/>
        <v>ㄨ</v>
      </c>
      <c r="M11323" s="1" t="str">
        <f t="shared" si="710"/>
        <v>ㄣ</v>
      </c>
      <c r="P11323" s="1" t="s">
        <v>20</v>
      </c>
      <c r="R11323" s="1" t="s">
        <v>23419</v>
      </c>
      <c r="V11323" s="1" t="s">
        <v>23420</v>
      </c>
      <c r="AR11323" s="1" t="str">
        <f t="shared" si="707"/>
        <v>| [ㄘㄨㄣˇ](ㄘㄨㄣˇ.md) | [刌](刌.md) |  | cǔn | [動]
割斷、切斷。《儀禮．特牲饋食禮》：「離肺一，刌肺三。」 |</v>
      </c>
    </row>
    <row r="11324" spans="1:44" hidden="1">
      <c r="A11324" s="1" t="s">
        <v>23421</v>
      </c>
      <c r="C11324" s="1">
        <v>1</v>
      </c>
      <c r="D11324" s="1" t="str">
        <f>"09908"</f>
        <v>09908</v>
      </c>
      <c r="E11324" s="1" t="s">
        <v>250</v>
      </c>
      <c r="F11324" s="1">
        <v>6</v>
      </c>
      <c r="G11324" s="1">
        <v>3</v>
      </c>
      <c r="H11324" s="1">
        <v>0</v>
      </c>
      <c r="I11324" s="1" t="s">
        <v>23418</v>
      </c>
      <c r="K11324" s="1" t="str">
        <f t="shared" si="706"/>
        <v>ㄘ</v>
      </c>
      <c r="L11324" s="1" t="str">
        <f t="shared" si="709"/>
        <v>ㄨ</v>
      </c>
      <c r="M11324" s="1" t="str">
        <f t="shared" si="710"/>
        <v>ㄣ</v>
      </c>
      <c r="P11324" s="1" t="s">
        <v>20</v>
      </c>
      <c r="R11324" s="1" t="s">
        <v>23419</v>
      </c>
      <c r="V11324" s="1" t="s">
        <v>23422</v>
      </c>
      <c r="AR11324" s="1" t="str">
        <f t="shared" si="707"/>
        <v>| [ㄘㄨㄣˇ](ㄘㄨㄣˇ.md) | [忖](忖.md) |  | cǔn | [動]
思量、揣度。如：「自忖」、「暗忖」。《詩經．小雅．巧言》：「他人有心，予忖度之。」
[名]
姓。如春秋時有忖乙。 |</v>
      </c>
    </row>
    <row r="11325" spans="1:44" hidden="1">
      <c r="A11325" s="1" t="s">
        <v>23423</v>
      </c>
      <c r="C11325" s="1">
        <v>1</v>
      </c>
      <c r="D11325" s="1" t="str">
        <f>"09909"</f>
        <v>09909</v>
      </c>
      <c r="E11325" s="1" t="s">
        <v>1595</v>
      </c>
      <c r="F11325" s="1">
        <v>3</v>
      </c>
      <c r="G11325" s="1">
        <v>0</v>
      </c>
      <c r="H11325" s="1">
        <v>0</v>
      </c>
      <c r="I11325" s="1" t="s">
        <v>23424</v>
      </c>
      <c r="K11325" s="1" t="str">
        <f t="shared" si="706"/>
        <v>ㄘ</v>
      </c>
      <c r="L11325" s="1" t="str">
        <f t="shared" si="709"/>
        <v>ㄨ</v>
      </c>
      <c r="M11325" s="1" t="str">
        <f t="shared" si="710"/>
        <v>ㄣ</v>
      </c>
      <c r="P11325" s="1" t="s">
        <v>20</v>
      </c>
      <c r="R11325" s="1" t="s">
        <v>23425</v>
      </c>
      <c r="V11325" s="1" t="s">
        <v>23426</v>
      </c>
      <c r="AR11325" s="1" t="str">
        <f t="shared" si="707"/>
        <v>| [ㄘㄨㄣˋ](ㄘㄨㄣˋ.md) | [寸](寸.md) |  | cùn | [名]
1.量詞。計算長度的單位。公制一寸等於十公分。也稱為「公寸」。
2.寸口的簡稱。中醫上稱距人手一寸的經脈部位。《紅樓夢》第一〇回：「看得尊夫人這脈息：左寸沉數，左關沉伏，右寸細而無力，右關虛而無神。」
3.姓。如明代有寸居敬。
4.二一四部首之一。
[形]
形容極小、極短、極少。如：「寸步不離」、「寸金難買寸光陰」、「鼠目寸光」。《史記．卷六九．蘇秦傳》：「無有分寸之功，而王親拜之於廟，而禮之於廷。」 |</v>
      </c>
    </row>
    <row r="11326" spans="1:44" hidden="1">
      <c r="A11326" s="1" t="s">
        <v>23427</v>
      </c>
      <c r="C11326" s="1">
        <v>1</v>
      </c>
      <c r="D11326" s="1" t="str">
        <f>"09910"</f>
        <v>09910</v>
      </c>
      <c r="E11326" s="1" t="s">
        <v>28</v>
      </c>
      <c r="F11326" s="1">
        <v>6</v>
      </c>
      <c r="G11326" s="1">
        <v>3</v>
      </c>
      <c r="H11326" s="1">
        <v>0</v>
      </c>
      <c r="I11326" s="1" t="s">
        <v>23424</v>
      </c>
      <c r="K11326" s="1" t="str">
        <f t="shared" si="706"/>
        <v>ㄘ</v>
      </c>
      <c r="L11326" s="1" t="str">
        <f t="shared" si="709"/>
        <v>ㄨ</v>
      </c>
      <c r="M11326" s="1" t="str">
        <f t="shared" si="710"/>
        <v>ㄣ</v>
      </c>
      <c r="P11326" s="1" t="s">
        <v>20</v>
      </c>
      <c r="R11326" s="1" t="s">
        <v>23425</v>
      </c>
      <c r="V11326" s="1" t="s">
        <v>23428</v>
      </c>
      <c r="AR11326" s="1" t="str">
        <f t="shared" si="707"/>
        <v>| [ㄘㄨㄣˋ](ㄘㄨㄣˋ.md) | [吋](吋.md) |  | cùn | [名]
量詞。英制的長度單位，也稱為英寸。一吋等於十二分之一英尺，合二點五四厘米（公分）。 |</v>
      </c>
    </row>
    <row r="11327" spans="1:44" hidden="1">
      <c r="A11327" s="1" t="s">
        <v>23429</v>
      </c>
      <c r="C11327" s="1">
        <v>1</v>
      </c>
      <c r="D11327" s="1" t="str">
        <f>"09911"</f>
        <v>09911</v>
      </c>
      <c r="E11327" s="1" t="s">
        <v>570</v>
      </c>
      <c r="F11327" s="1">
        <v>5</v>
      </c>
      <c r="G11327" s="1">
        <v>3</v>
      </c>
      <c r="H11327" s="1">
        <v>0</v>
      </c>
      <c r="I11327" s="1" t="s">
        <v>23430</v>
      </c>
      <c r="K11327" s="1" t="str">
        <f t="shared" si="706"/>
        <v>ㄘ</v>
      </c>
      <c r="L11327" s="1" t="str">
        <f t="shared" si="709"/>
        <v>ㄨ</v>
      </c>
      <c r="M11327" s="1" t="str">
        <f t="shared" si="710"/>
        <v>ㄥ</v>
      </c>
      <c r="P11327" s="1" t="s">
        <v>20</v>
      </c>
      <c r="R11327" s="1" t="s">
        <v>23431</v>
      </c>
      <c r="V11327" s="1" t="s">
        <v>23432</v>
      </c>
      <c r="AR11327" s="1" t="str">
        <f t="shared" si="707"/>
        <v>| [ㄘㄨㄥ](ㄘㄨㄥ.md) | [匆](匆.md) |  | cōng | [副]
急忙、急迫。如：「匆忙」、「匆促」。五代十國南唐．李煜〈相見歡．林花謝了春紅〉詞：「林花謝了春紅，太匆匆。無奈朝來寒雨晚來風。」 |</v>
      </c>
    </row>
    <row r="11328" spans="1:44" hidden="1">
      <c r="A11328" s="1" t="s">
        <v>22857</v>
      </c>
      <c r="C11328" s="1">
        <v>1</v>
      </c>
      <c r="D11328" s="1" t="str">
        <f>"09912"</f>
        <v>09912</v>
      </c>
      <c r="E11328" s="1" t="s">
        <v>725</v>
      </c>
      <c r="F11328" s="1">
        <v>15</v>
      </c>
      <c r="G11328" s="1">
        <v>9</v>
      </c>
      <c r="H11328" s="1">
        <v>2</v>
      </c>
      <c r="I11328" s="1" t="s">
        <v>23430</v>
      </c>
      <c r="K11328" s="1" t="str">
        <f t="shared" ref="K11328:K11391" si="711">LEFT(I11328, 1)</f>
        <v>ㄘ</v>
      </c>
      <c r="L11328" s="1" t="str">
        <f t="shared" si="709"/>
        <v>ㄨ</v>
      </c>
      <c r="M11328" s="1" t="str">
        <f t="shared" si="710"/>
        <v>ㄥ</v>
      </c>
      <c r="P11328" s="1" t="s">
        <v>20</v>
      </c>
      <c r="R11328" s="1" t="s">
        <v>23431</v>
      </c>
      <c r="V11328" s="1" t="s">
        <v>23433</v>
      </c>
      <c r="W11328" s="1" t="s">
        <v>23434</v>
      </c>
      <c r="AR11328" s="1" t="str">
        <f t="shared" si="707"/>
        <v>| [ㄘㄨㄥ](ㄘㄨㄥ.md) | [緫](緫.md) |  | cōng | [名]
青色的帛。《集韻．平聲．東韻》：「緫，《說文》：帛青色。」 |</v>
      </c>
    </row>
    <row r="11329" spans="1:44" hidden="1">
      <c r="A11329" s="1" t="s">
        <v>20429</v>
      </c>
      <c r="C11329" s="1">
        <v>1</v>
      </c>
      <c r="D11329" s="1" t="str">
        <f>"09913"</f>
        <v>09913</v>
      </c>
      <c r="E11329" s="1" t="s">
        <v>2557</v>
      </c>
      <c r="F11329" s="1">
        <v>7</v>
      </c>
      <c r="G11329" s="1">
        <v>4</v>
      </c>
      <c r="H11329" s="1">
        <v>1</v>
      </c>
      <c r="I11329" s="1" t="s">
        <v>23430</v>
      </c>
      <c r="K11329" s="1" t="str">
        <f t="shared" si="711"/>
        <v>ㄘ</v>
      </c>
      <c r="L11329" s="1" t="str">
        <f t="shared" si="709"/>
        <v>ㄨ</v>
      </c>
      <c r="M11329" s="1" t="str">
        <f t="shared" si="710"/>
        <v>ㄥ</v>
      </c>
      <c r="P11329" s="1" t="s">
        <v>20</v>
      </c>
      <c r="R11329" s="1" t="s">
        <v>23431</v>
      </c>
      <c r="V11329" s="1" t="s">
        <v>23435</v>
      </c>
      <c r="W11329" s="1" t="s">
        <v>23436</v>
      </c>
      <c r="AR11329" s="1" t="str">
        <f t="shared" si="707"/>
        <v>| [ㄘㄨㄥ](ㄘㄨㄥ.md) | [囪](囪.md) |  | cōng | [名]
爐灶通煙的孔道。俗稱為「煙囪」。 |</v>
      </c>
    </row>
    <row r="11330" spans="1:44" hidden="1">
      <c r="A11330" s="1" t="s">
        <v>23437</v>
      </c>
      <c r="C11330" s="1">
        <v>1</v>
      </c>
      <c r="D11330" s="1" t="str">
        <f>"09914"</f>
        <v>09914</v>
      </c>
      <c r="E11330" s="1" t="s">
        <v>142</v>
      </c>
      <c r="F11330" s="1">
        <v>15</v>
      </c>
      <c r="G11330" s="1">
        <v>11</v>
      </c>
      <c r="H11330" s="1">
        <v>0</v>
      </c>
      <c r="I11330" s="1" t="s">
        <v>23430</v>
      </c>
      <c r="K11330" s="1" t="str">
        <f t="shared" si="711"/>
        <v>ㄘ</v>
      </c>
      <c r="L11330" s="1" t="str">
        <f t="shared" si="709"/>
        <v>ㄨ</v>
      </c>
      <c r="M11330" s="1" t="str">
        <f t="shared" si="710"/>
        <v>ㄥ</v>
      </c>
      <c r="P11330" s="1" t="s">
        <v>20</v>
      </c>
      <c r="R11330" s="1" t="s">
        <v>23431</v>
      </c>
      <c r="V11330" s="1" t="s">
        <v>23438</v>
      </c>
      <c r="AR11330" s="1" t="str">
        <f t="shared" si="707"/>
        <v>| [ㄘㄨㄥ](ㄘㄨㄥ.md) | [璁](璁.md) |  | cōng | [名]
像玉的石頭。《說文解字．玉部》：「璁，石之似玉者。」南朝齊．王融〈贈族叔衛軍儉詩〉：「逶迤冕服，有鏘璁珩。」 |</v>
      </c>
    </row>
    <row r="11331" spans="1:44" hidden="1">
      <c r="A11331" s="1" t="s">
        <v>23439</v>
      </c>
      <c r="C11331" s="1">
        <v>1</v>
      </c>
      <c r="D11331" s="1" t="str">
        <f>"09915"</f>
        <v>09915</v>
      </c>
      <c r="E11331" s="1" t="s">
        <v>37</v>
      </c>
      <c r="F11331" s="1">
        <v>15</v>
      </c>
      <c r="G11331" s="1">
        <v>11</v>
      </c>
      <c r="H11331" s="1">
        <v>0</v>
      </c>
      <c r="I11331" s="1" t="s">
        <v>23430</v>
      </c>
      <c r="K11331" s="1" t="str">
        <f t="shared" si="711"/>
        <v>ㄘ</v>
      </c>
      <c r="L11331" s="1" t="str">
        <f t="shared" si="709"/>
        <v>ㄨ</v>
      </c>
      <c r="M11331" s="1" t="str">
        <f t="shared" si="710"/>
        <v>ㄥ</v>
      </c>
      <c r="P11331" s="1" t="s">
        <v>20</v>
      </c>
      <c r="R11331" s="1" t="s">
        <v>23431</v>
      </c>
      <c r="V11331" s="1" t="s">
        <v>23440</v>
      </c>
      <c r="AR11331" s="1" t="str">
        <f t="shared" ref="AR11331:AR11394" si="712">"| ["&amp;I11331&amp;"]("&amp;I11331&amp;".md) | ["&amp;A11331&amp;"]("&amp;A11331&amp;".md) | "&amp;" | "&amp;R11331&amp;" | "&amp;V11331&amp;" |"</f>
        <v>| [ㄘㄨㄥ](ㄘㄨㄥ.md) | [蔥](蔥.md) |  | cōng | [名]_x000D_
植物名。多年生草本，鱗莖單生，卵狀圓柱形，外皮白色或淡紅褐色。葉管狀，中空，先端尖，有平行脈，下部白色。繖形花序球形，多花，花梗纖細，花被片六枚，白色。可作為蔬菜、香辛料用。也稱為「青蔥」、「分蔥」。_x000D_
[形]_x000D_
參見「蔥翠」條。 |</v>
      </c>
    </row>
    <row r="11332" spans="1:44" hidden="1">
      <c r="A11332" s="1" t="s">
        <v>23441</v>
      </c>
      <c r="C11332" s="1">
        <v>1</v>
      </c>
      <c r="D11332" s="1" t="str">
        <f>"09916"</f>
        <v>09916</v>
      </c>
      <c r="E11332" s="1" t="s">
        <v>2419</v>
      </c>
      <c r="F11332" s="1">
        <v>17</v>
      </c>
      <c r="G11332" s="1">
        <v>11</v>
      </c>
      <c r="H11332" s="1">
        <v>0</v>
      </c>
      <c r="I11332" s="1" t="s">
        <v>23430</v>
      </c>
      <c r="K11332" s="1" t="str">
        <f t="shared" si="711"/>
        <v>ㄘ</v>
      </c>
      <c r="L11332" s="1" t="str">
        <f t="shared" si="709"/>
        <v>ㄨ</v>
      </c>
      <c r="M11332" s="1" t="str">
        <f t="shared" si="710"/>
        <v>ㄥ</v>
      </c>
      <c r="P11332" s="1" t="s">
        <v>20</v>
      </c>
      <c r="R11332" s="1" t="s">
        <v>23431</v>
      </c>
      <c r="V11332" s="1" t="s">
        <v>23442</v>
      </c>
      <c r="AR11332" s="1" t="str">
        <f t="shared" si="712"/>
        <v>| [ㄘㄨㄥ](ㄘㄨㄥ.md) | [聰](聰.md) |  | cōng | [動]
明察是非。《史記．卷八四．屈原賈生傳》：「屈平疾王聽之不聰也，讒諂之蔽明也。」
[名]
聽力、聽覺。如：「右耳失聰」。
[形]
1.天資高、領悟力好。如：「聰明」、「聰慧」。《漢書．卷八〇．宣元六王傳．淮陽憲王劉欽傳》：「聰達有材，帝甚愛之。」
2.聽覺敏銳。如：「耳聰目明」。《淮南子．本經》：「則目明而不以視，耳聰而不以聽。」 |</v>
      </c>
    </row>
    <row r="11333" spans="1:44" hidden="1">
      <c r="A11333" s="1" t="s">
        <v>23443</v>
      </c>
      <c r="C11333" s="1">
        <v>1</v>
      </c>
      <c r="D11333" s="1" t="str">
        <f>"09917"</f>
        <v>09917</v>
      </c>
      <c r="E11333" s="1" t="s">
        <v>319</v>
      </c>
      <c r="F11333" s="1">
        <v>21</v>
      </c>
      <c r="G11333" s="1">
        <v>11</v>
      </c>
      <c r="H11333" s="1">
        <v>0</v>
      </c>
      <c r="I11333" s="1" t="s">
        <v>23430</v>
      </c>
      <c r="K11333" s="1" t="str">
        <f t="shared" si="711"/>
        <v>ㄘ</v>
      </c>
      <c r="L11333" s="1" t="str">
        <f t="shared" si="709"/>
        <v>ㄨ</v>
      </c>
      <c r="M11333" s="1" t="str">
        <f t="shared" si="710"/>
        <v>ㄥ</v>
      </c>
      <c r="P11333" s="1" t="s">
        <v>20</v>
      </c>
      <c r="R11333" s="1" t="s">
        <v>23431</v>
      </c>
      <c r="V11333" s="1" t="s">
        <v>23444</v>
      </c>
      <c r="AR11333" s="1" t="str">
        <f t="shared" si="712"/>
        <v>| [ㄘㄨㄥ](ㄘㄨㄥ.md) | [驄](驄.md) |  | cōng | [名]
毛色青白相雜的馬。《說文解字．馬部》：「驄，馬青白雜毛也。」唐．李白〈長干行〉二首之二：「行人在何處，好乘浮雲驄。」 |</v>
      </c>
    </row>
    <row r="11334" spans="1:44" hidden="1">
      <c r="A11334" s="1" t="s">
        <v>22837</v>
      </c>
      <c r="C11334" s="1">
        <v>1</v>
      </c>
      <c r="D11334" s="1" t="str">
        <f>"09918"</f>
        <v>09918</v>
      </c>
      <c r="E11334" s="1" t="s">
        <v>234</v>
      </c>
      <c r="F11334" s="1">
        <v>11</v>
      </c>
      <c r="G11334" s="1">
        <v>8</v>
      </c>
      <c r="H11334" s="1">
        <v>3</v>
      </c>
      <c r="I11334" s="1" t="s">
        <v>23430</v>
      </c>
      <c r="K11334" s="1" t="str">
        <f t="shared" si="711"/>
        <v>ㄘ</v>
      </c>
      <c r="L11334" s="1" t="str">
        <f t="shared" si="709"/>
        <v>ㄨ</v>
      </c>
      <c r="M11334" s="1" t="str">
        <f t="shared" si="710"/>
        <v>ㄥ</v>
      </c>
      <c r="P11334" s="1" t="s">
        <v>20</v>
      </c>
      <c r="R11334" s="1" t="s">
        <v>23431</v>
      </c>
      <c r="V11334" s="1" t="s">
        <v>23445</v>
      </c>
      <c r="W11334" s="1" t="s">
        <v>23446</v>
      </c>
      <c r="AR11334" s="1" t="str">
        <f t="shared" si="712"/>
        <v>| [ㄘㄨㄥ](ㄘㄨㄥ.md) | [從](從.md) |  | cōng | 參見「從容」條。 |</v>
      </c>
    </row>
    <row r="11335" spans="1:44" hidden="1">
      <c r="A11335" s="1" t="s">
        <v>23447</v>
      </c>
      <c r="C11335" s="1">
        <v>1</v>
      </c>
      <c r="D11335" s="1" t="str">
        <f>"09919"</f>
        <v>09919</v>
      </c>
      <c r="E11335" s="1" t="s">
        <v>142</v>
      </c>
      <c r="F11335" s="1">
        <v>15</v>
      </c>
      <c r="G11335" s="1">
        <v>11</v>
      </c>
      <c r="H11335" s="1">
        <v>0</v>
      </c>
      <c r="I11335" s="1" t="s">
        <v>23430</v>
      </c>
      <c r="K11335" s="1" t="str">
        <f t="shared" si="711"/>
        <v>ㄘ</v>
      </c>
      <c r="L11335" s="1" t="str">
        <f t="shared" si="709"/>
        <v>ㄨ</v>
      </c>
      <c r="M11335" s="1" t="str">
        <f t="shared" si="710"/>
        <v>ㄥ</v>
      </c>
      <c r="P11335" s="1" t="s">
        <v>20</v>
      </c>
      <c r="R11335" s="1" t="s">
        <v>23431</v>
      </c>
      <c r="V11335" s="1" t="s">
        <v>22089</v>
      </c>
      <c r="AR11335" s="1" t="str">
        <f t="shared" si="712"/>
        <v>| [ㄘㄨㄥ](ㄘㄨㄥ.md) | [瑽](瑽.md) |  | cōng | 參見「瑽瑢」條。 |</v>
      </c>
    </row>
    <row r="11336" spans="1:44" hidden="1">
      <c r="A11336" s="1" t="s">
        <v>23448</v>
      </c>
      <c r="C11336" s="1">
        <v>1</v>
      </c>
      <c r="D11336" s="1" t="str">
        <f>"09920"</f>
        <v>09920</v>
      </c>
      <c r="E11336" s="1" t="s">
        <v>139</v>
      </c>
      <c r="F11336" s="1">
        <v>15</v>
      </c>
      <c r="G11336" s="1">
        <v>11</v>
      </c>
      <c r="H11336" s="1">
        <v>0</v>
      </c>
      <c r="I11336" s="1" t="s">
        <v>23430</v>
      </c>
      <c r="K11336" s="1" t="str">
        <f t="shared" si="711"/>
        <v>ㄘ</v>
      </c>
      <c r="L11336" s="1" t="str">
        <f t="shared" si="709"/>
        <v>ㄨ</v>
      </c>
      <c r="M11336" s="1" t="str">
        <f t="shared" si="710"/>
        <v>ㄥ</v>
      </c>
      <c r="P11336" s="1" t="s">
        <v>20</v>
      </c>
      <c r="R11336" s="1" t="s">
        <v>23431</v>
      </c>
      <c r="V11336" s="1" t="s">
        <v>23449</v>
      </c>
      <c r="AR11336" s="1" t="str">
        <f t="shared" si="712"/>
        <v>| [ㄘㄨㄥ](ㄘㄨㄥ.md) | [樅](樅.md) |  | cōng | [名]
1.植物名。松科冷杉屬，「冷杉」之古稱，參見「冷杉」條。
2.姓。如漢代有樅公。
[動]
撞擊。南朝梁．武帝〈移檄京邑〉：「樅金沸地，鳴鞞聒天。」 |</v>
      </c>
    </row>
    <row r="11337" spans="1:44" hidden="1">
      <c r="A11337" s="1" t="s">
        <v>23450</v>
      </c>
      <c r="C11337" s="1">
        <v>1</v>
      </c>
      <c r="D11337" s="1" t="str">
        <f>"09921"</f>
        <v>09921</v>
      </c>
      <c r="E11337" s="1" t="s">
        <v>37</v>
      </c>
      <c r="F11337" s="1">
        <v>15</v>
      </c>
      <c r="G11337" s="1">
        <v>11</v>
      </c>
      <c r="H11337" s="1">
        <v>0</v>
      </c>
      <c r="I11337" s="1" t="s">
        <v>23430</v>
      </c>
      <c r="K11337" s="1" t="str">
        <f t="shared" si="711"/>
        <v>ㄘ</v>
      </c>
      <c r="L11337" s="1" t="str">
        <f t="shared" si="709"/>
        <v>ㄨ</v>
      </c>
      <c r="M11337" s="1" t="str">
        <f t="shared" si="710"/>
        <v>ㄥ</v>
      </c>
      <c r="P11337" s="1" t="s">
        <v>20</v>
      </c>
      <c r="R11337" s="1" t="s">
        <v>23431</v>
      </c>
      <c r="V11337" s="1" t="s">
        <v>23451</v>
      </c>
      <c r="AR11337" s="1" t="str">
        <f t="shared" si="712"/>
        <v>| [ㄘㄨㄥ](ㄘㄨㄥ.md) | [蓯](蓯.md) |  | cōng | 參見「肉蓯蓉」條。 |</v>
      </c>
    </row>
    <row r="11338" spans="1:44" hidden="1">
      <c r="A11338" s="1" t="s">
        <v>23452</v>
      </c>
      <c r="C11338" s="1">
        <v>1</v>
      </c>
      <c r="D11338" s="1" t="str">
        <f>"09922"</f>
        <v>09922</v>
      </c>
      <c r="E11338" s="1" t="s">
        <v>55</v>
      </c>
      <c r="F11338" s="1">
        <v>19</v>
      </c>
      <c r="G11338" s="1">
        <v>11</v>
      </c>
      <c r="H11338" s="1">
        <v>0</v>
      </c>
      <c r="I11338" s="1" t="s">
        <v>23430</v>
      </c>
      <c r="K11338" s="1" t="str">
        <f t="shared" si="711"/>
        <v>ㄘ</v>
      </c>
      <c r="L11338" s="1" t="str">
        <f t="shared" si="709"/>
        <v>ㄨ</v>
      </c>
      <c r="M11338" s="1" t="str">
        <f t="shared" si="710"/>
        <v>ㄥ</v>
      </c>
      <c r="P11338" s="1" t="s">
        <v>20</v>
      </c>
      <c r="R11338" s="1" t="s">
        <v>23431</v>
      </c>
      <c r="V11338" s="1" t="s">
        <v>23453</v>
      </c>
      <c r="AR11338" s="1" t="str">
        <f t="shared" si="712"/>
        <v>| [ㄘㄨㄥ](ㄘㄨㄥ.md) | [鏦](鏦.md) |  | cōng | [名]
即矛。《廣韻．平聲．鐘韻》：「鏦，短矛。」《淮南子．兵略》：「脩鎩短鏦，齊為前行。」
[動]
用矛戟衝刺。《史記．卷一〇六．吳王濞傳》：「吳王出勞軍，即使人鏦殺吳王。」宋．蘇軾〈鐵拄杖〉詩：「披榛覓藥採芝菌，刺虎鏦蛟擉蛇蠍。」
[擬]
形容金屬器物撞擊的響聲。宋．歐陽修〈秋聲賦〉：「鏦鏦錚錚，金鐵皆鳴。」 |</v>
      </c>
    </row>
    <row r="11339" spans="1:44" hidden="1">
      <c r="A11339" s="1" t="s">
        <v>23454</v>
      </c>
      <c r="C11339" s="1">
        <v>1</v>
      </c>
      <c r="D11339" s="1" t="str">
        <f>"09923"</f>
        <v>09923</v>
      </c>
      <c r="E11339" s="1" t="s">
        <v>1880</v>
      </c>
      <c r="F11339" s="1">
        <v>18</v>
      </c>
      <c r="G11339" s="1">
        <v>16</v>
      </c>
      <c r="H11339" s="1">
        <v>2</v>
      </c>
      <c r="I11339" s="1" t="s">
        <v>23430</v>
      </c>
      <c r="K11339" s="1" t="str">
        <f t="shared" si="711"/>
        <v>ㄘ</v>
      </c>
      <c r="L11339" s="1" t="str">
        <f t="shared" si="709"/>
        <v>ㄨ</v>
      </c>
      <c r="M11339" s="1" t="str">
        <f t="shared" si="710"/>
        <v>ㄥ</v>
      </c>
      <c r="P11339" s="1" t="s">
        <v>110</v>
      </c>
      <c r="R11339" s="1" t="s">
        <v>23431</v>
      </c>
      <c r="V11339" s="1" t="s">
        <v>111</v>
      </c>
      <c r="W11339" s="1" t="s">
        <v>23455</v>
      </c>
      <c r="AR11339" s="1" t="str">
        <f t="shared" si="712"/>
        <v>| [ㄘㄨㄥ](ㄘㄨㄥ.md) | [叢](叢.md) |  | cōng | (一)之又音。 |</v>
      </c>
    </row>
    <row r="11340" spans="1:44" hidden="1">
      <c r="A11340" s="1" t="s">
        <v>23456</v>
      </c>
      <c r="C11340" s="1">
        <v>1</v>
      </c>
      <c r="D11340" s="1" t="str">
        <f>"09924"</f>
        <v>09924</v>
      </c>
      <c r="E11340" s="1" t="s">
        <v>129</v>
      </c>
      <c r="F11340" s="1">
        <v>11</v>
      </c>
      <c r="G11340" s="1">
        <v>8</v>
      </c>
      <c r="H11340" s="1">
        <v>0</v>
      </c>
      <c r="I11340" s="1" t="s">
        <v>23457</v>
      </c>
      <c r="K11340" s="1" t="str">
        <f t="shared" si="711"/>
        <v>ㄘ</v>
      </c>
      <c r="L11340" s="1" t="str">
        <f t="shared" si="709"/>
        <v>ㄨ</v>
      </c>
      <c r="M11340" s="1" t="str">
        <f t="shared" si="710"/>
        <v>ㄥ</v>
      </c>
      <c r="P11340" s="1" t="s">
        <v>20</v>
      </c>
      <c r="R11340" s="1" t="s">
        <v>23458</v>
      </c>
      <c r="V11340" s="1" t="s">
        <v>23459</v>
      </c>
      <c r="AR11340" s="1" t="str">
        <f t="shared" si="712"/>
        <v>| [ㄘㄨㄥˊ](ㄘㄨㄥˊ.md) | [淙](淙.md) |  | cóng | [擬]
1.形容水流動的聲音。《說文解字．水部》：「淙，水聲也。」唐．高適〈賦得還山吟送沈四山人〉詩：「石泉淙淙若風雨，桂花松子常滿地。」
2.形容樂器所發出的聲音。唐．元結〈補樂歌．六英〉：「我有金石兮，擊拊淙淙。」
[形]
水流的樣子。《廣韻．平聲．江韻》：「淙，水流貌。」 |</v>
      </c>
    </row>
    <row r="11341" spans="1:44" hidden="1">
      <c r="A11341" s="1" t="s">
        <v>23460</v>
      </c>
      <c r="C11341" s="1">
        <v>1</v>
      </c>
      <c r="D11341" s="1" t="str">
        <f>"09925"</f>
        <v>09925</v>
      </c>
      <c r="E11341" s="1" t="s">
        <v>250</v>
      </c>
      <c r="F11341" s="1">
        <v>11</v>
      </c>
      <c r="G11341" s="1">
        <v>8</v>
      </c>
      <c r="H11341" s="1">
        <v>0</v>
      </c>
      <c r="I11341" s="1" t="s">
        <v>23457</v>
      </c>
      <c r="K11341" s="1" t="str">
        <f t="shared" si="711"/>
        <v>ㄘ</v>
      </c>
      <c r="L11341" s="1" t="str">
        <f t="shared" si="709"/>
        <v>ㄨ</v>
      </c>
      <c r="M11341" s="1" t="str">
        <f t="shared" si="710"/>
        <v>ㄥ</v>
      </c>
      <c r="P11341" s="1" t="s">
        <v>20</v>
      </c>
      <c r="R11341" s="1" t="s">
        <v>23458</v>
      </c>
      <c r="V11341" s="1" t="s">
        <v>23461</v>
      </c>
      <c r="AR11341" s="1" t="str">
        <f t="shared" si="712"/>
        <v>| [ㄘㄨㄥˊ](ㄘㄨㄥˊ.md) | [悰](悰.md) |  | cóng | [名]
1.樂趣。《漢書．卷六三．武五子傳．廣陵厲王劉胥傳》：「何用為樂心所喜，出入無悰為樂亟。」《文選．謝朓．遊東田詩》：「慼慼苦無悰，攜手共行樂。」
2.心情、心緒。宋．陸游〈無題〉詩：「畫閣無人晝漏稀，離悰病思兩依依。」《董西廂》卷四：「述壯節，寫幽悰，閑愁萬斛，離情千種。」 |</v>
      </c>
    </row>
    <row r="11342" spans="1:44" hidden="1">
      <c r="A11342" s="1" t="s">
        <v>23462</v>
      </c>
      <c r="C11342" s="1">
        <v>1</v>
      </c>
      <c r="D11342" s="1" t="str">
        <f>"09926"</f>
        <v>09926</v>
      </c>
      <c r="E11342" s="1" t="s">
        <v>142</v>
      </c>
      <c r="F11342" s="1">
        <v>12</v>
      </c>
      <c r="G11342" s="1">
        <v>8</v>
      </c>
      <c r="H11342" s="1">
        <v>0</v>
      </c>
      <c r="I11342" s="1" t="s">
        <v>23457</v>
      </c>
      <c r="K11342" s="1" t="str">
        <f t="shared" si="711"/>
        <v>ㄘ</v>
      </c>
      <c r="L11342" s="1" t="str">
        <f t="shared" si="709"/>
        <v>ㄨ</v>
      </c>
      <c r="M11342" s="1" t="str">
        <f t="shared" si="710"/>
        <v>ㄥ</v>
      </c>
      <c r="P11342" s="1" t="s">
        <v>20</v>
      </c>
      <c r="R11342" s="1" t="s">
        <v>23458</v>
      </c>
      <c r="V11342" s="1" t="s">
        <v>23463</v>
      </c>
      <c r="AR11342" s="1" t="str">
        <f t="shared" si="712"/>
        <v>| [ㄘㄨㄥˊ](ㄘㄨㄥˊ.md) | [琮](琮.md) |  | cóng | [名]_x000D_
1.古代一種用以祭地的玉器，呈方柱形，中有圓孔。《說文解字．玉部》：「琮，瑞玉。大八寸，似車釭。」《周禮．春官宗伯．大宗伯》：「以蒼璧禮天，以黃琮禮地。」_x000D_
2.姓。如宋代有琮師古。 |</v>
      </c>
    </row>
    <row r="11343" spans="1:44" hidden="1">
      <c r="A11343" s="1" t="s">
        <v>23464</v>
      </c>
      <c r="C11343" s="1">
        <v>1</v>
      </c>
      <c r="D11343" s="1" t="str">
        <f>"09927"</f>
        <v>09927</v>
      </c>
      <c r="E11343" s="1" t="s">
        <v>505</v>
      </c>
      <c r="F11343" s="1">
        <v>15</v>
      </c>
      <c r="G11343" s="1">
        <v>8</v>
      </c>
      <c r="H11343" s="1">
        <v>0</v>
      </c>
      <c r="I11343" s="1" t="s">
        <v>23457</v>
      </c>
      <c r="K11343" s="1" t="str">
        <f t="shared" si="711"/>
        <v>ㄘ</v>
      </c>
      <c r="L11343" s="1" t="str">
        <f t="shared" si="709"/>
        <v>ㄨ</v>
      </c>
      <c r="M11343" s="1" t="str">
        <f t="shared" si="710"/>
        <v>ㄥ</v>
      </c>
      <c r="P11343" s="1" t="s">
        <v>20</v>
      </c>
      <c r="R11343" s="1" t="s">
        <v>23458</v>
      </c>
      <c r="V11343" s="1" t="s">
        <v>23465</v>
      </c>
      <c r="AR11343" s="1" t="str">
        <f t="shared" si="712"/>
        <v>| [ㄘㄨㄥˊ](ㄘㄨㄥˊ.md) | [賨](賨.md) |  | cóng | [名]
古代大陸地區四川、湖南等地古代少數民族的一種賦稅。《說文解字．貝部》：「賨，南蠻賦也。」 |</v>
      </c>
    </row>
    <row r="11344" spans="1:44" hidden="1">
      <c r="A11344" s="1" t="s">
        <v>22837</v>
      </c>
      <c r="C11344" s="1">
        <v>1</v>
      </c>
      <c r="D11344" s="1" t="str">
        <f>"09928"</f>
        <v>09928</v>
      </c>
      <c r="E11344" s="1" t="s">
        <v>234</v>
      </c>
      <c r="F11344" s="1">
        <v>11</v>
      </c>
      <c r="G11344" s="1">
        <v>8</v>
      </c>
      <c r="H11344" s="1">
        <v>1</v>
      </c>
      <c r="I11344" s="1" t="s">
        <v>23457</v>
      </c>
      <c r="K11344" s="1" t="str">
        <f t="shared" si="711"/>
        <v>ㄘ</v>
      </c>
      <c r="L11344" s="1" t="str">
        <f t="shared" si="709"/>
        <v>ㄨ</v>
      </c>
      <c r="M11344" s="1" t="str">
        <f t="shared" si="710"/>
        <v>ㄥ</v>
      </c>
      <c r="P11344" s="1" t="s">
        <v>20</v>
      </c>
      <c r="R11344" s="1" t="s">
        <v>23458</v>
      </c>
      <c r="V11344" s="1" t="s">
        <v>23466</v>
      </c>
      <c r="W11344" s="1" t="s">
        <v>23467</v>
      </c>
      <c r="AR11344" s="1" t="str">
        <f t="shared" si="712"/>
        <v>| [ㄘㄨㄥˊ](ㄘㄨㄥˊ.md) | [從](從.md) |  | cóng | [動]
1.跟隨。如：「跟從」。《論語．公冶長》：「道不行，乘桴浮于海，從我者其由與？」
2.依順。如：「從命」、「服從」。《禮記．樂記》：「樂者敦和率神而從天。」
3.參與。如：「從事」、「從政」。
4.採取。如：「從寬處理」。
[副]
向來。如：「他從未遲到過！」
[介]
自、由。《孟子．離婁下》：「施施從外來。」唐．杜甫〈月夜憶舍弟〉詩：「露從今夜白，月是故鄉明。」 |</v>
      </c>
    </row>
    <row r="11345" spans="1:44" hidden="1">
      <c r="A11345" s="1" t="s">
        <v>23468</v>
      </c>
      <c r="C11345" s="1">
        <v>1</v>
      </c>
      <c r="D11345" s="1" t="str">
        <f>"09929"</f>
        <v>09929</v>
      </c>
      <c r="E11345" s="1" t="s">
        <v>37</v>
      </c>
      <c r="F11345" s="1">
        <v>18</v>
      </c>
      <c r="G11345" s="1">
        <v>14</v>
      </c>
      <c r="H11345" s="1">
        <v>0</v>
      </c>
      <c r="I11345" s="1" t="s">
        <v>23457</v>
      </c>
      <c r="K11345" s="1" t="str">
        <f t="shared" si="711"/>
        <v>ㄘ</v>
      </c>
      <c r="L11345" s="1" t="str">
        <f t="shared" si="709"/>
        <v>ㄨ</v>
      </c>
      <c r="M11345" s="1" t="str">
        <f t="shared" si="710"/>
        <v>ㄥ</v>
      </c>
      <c r="P11345" s="1" t="s">
        <v>20</v>
      </c>
      <c r="R11345" s="1" t="s">
        <v>23458</v>
      </c>
      <c r="V11345" s="1" t="s">
        <v>23469</v>
      </c>
      <c r="AR11345" s="1" t="str">
        <f t="shared" si="712"/>
        <v>| [ㄘㄨㄥˊ](ㄘㄨㄥˊ.md) | [藂](藂.md) |  | cóng | [動]
聚集。同「叢」。《文選．司馬相如．上林賦》：「磷磷爛爛，采色澔汗，藂積乎其中。」 |</v>
      </c>
    </row>
    <row r="11346" spans="1:44" hidden="1">
      <c r="A11346" s="1" t="s">
        <v>23454</v>
      </c>
      <c r="C11346" s="1">
        <v>1</v>
      </c>
      <c r="D11346" s="1" t="str">
        <f>"09930"</f>
        <v>09930</v>
      </c>
      <c r="E11346" s="1" t="s">
        <v>1880</v>
      </c>
      <c r="F11346" s="1">
        <v>18</v>
      </c>
      <c r="G11346" s="1">
        <v>16</v>
      </c>
      <c r="H11346" s="1">
        <v>1</v>
      </c>
      <c r="I11346" s="1" t="s">
        <v>23457</v>
      </c>
      <c r="K11346" s="1" t="str">
        <f t="shared" si="711"/>
        <v>ㄘ</v>
      </c>
      <c r="L11346" s="1" t="str">
        <f t="shared" si="709"/>
        <v>ㄨ</v>
      </c>
      <c r="M11346" s="1" t="str">
        <f t="shared" si="710"/>
        <v>ㄥ</v>
      </c>
      <c r="P11346" s="1" t="s">
        <v>20</v>
      </c>
      <c r="R11346" s="1" t="s">
        <v>23458</v>
      </c>
      <c r="V11346" s="1" t="s">
        <v>23470</v>
      </c>
      <c r="W11346" s="1" t="s">
        <v>23471</v>
      </c>
      <c r="AR11346" s="1" t="str">
        <f t="shared" si="712"/>
        <v>| [ㄘㄨㄥˊ](ㄘㄨㄥˊ.md) | [叢](叢.md) |  | cóng | [動]
聚集。如：「草木叢生」。《漢書．卷六五．東方朔傳》：「飾文采，叢珍怪。」《資治通鑑．卷二四〇．唐紀五十六．憲宗元和十三年》：「今退既不許，言又不聽，臣如烈火燒心，眾鏑叢體。」
[名]
1.灌木。《淮南子．俶真》：「夫鳥飛千仞之上，獸走叢薄之中。」
2.引申指聚集在一起的人或事物。如：「花叢」、「草叢」、「人叢」、「論叢」。
3.姓。如南唐有叢鐇。
[形]
密集、繁雜。如：「叢書」。《漢書．卷九〇．酷吏傳．贊曰》：「張湯死後，罔密事叢，以㴆耗廢。」 |</v>
      </c>
    </row>
    <row r="11347" spans="1:44" hidden="1">
      <c r="A11347" s="1" t="s">
        <v>23472</v>
      </c>
      <c r="C11347" s="1">
        <v>1</v>
      </c>
      <c r="D11347" s="1" t="str">
        <f>"09931"</f>
        <v>09931</v>
      </c>
      <c r="E11347" s="1" t="s">
        <v>331</v>
      </c>
      <c r="F11347" s="1">
        <v>18</v>
      </c>
      <c r="G11347" s="1">
        <v>11</v>
      </c>
      <c r="H11347" s="1">
        <v>0</v>
      </c>
      <c r="I11347" s="1" t="s">
        <v>23473</v>
      </c>
      <c r="K11347" s="1" t="str">
        <f t="shared" si="711"/>
        <v>ㄘ</v>
      </c>
      <c r="L11347" s="1" t="str">
        <f t="shared" si="709"/>
        <v>ㄨ</v>
      </c>
      <c r="M11347" s="1" t="str">
        <f t="shared" si="710"/>
        <v>ㄥ</v>
      </c>
      <c r="P11347" s="1" t="s">
        <v>20</v>
      </c>
      <c r="R11347" s="1" t="s">
        <v>23474</v>
      </c>
      <c r="V11347" s="1" t="s">
        <v>23475</v>
      </c>
      <c r="AR11347" s="1" t="str">
        <f t="shared" si="712"/>
        <v>| [ㄘㄨㄥˋ](ㄘㄨㄥˋ.md) | [謥](謥.md) |  | còng | [動]
謥詷：草率決斷，任意行事。《後漢書．卷一〇．皇后紀上．和熹鄧皇后紀》：「每覽前代外戚賓客，假借威權，輕薄謥詷。」《三國志．卷一四．魏書．程曉傳》：「以謹慎為粗疏，以謥詷為賢能。」 |</v>
      </c>
    </row>
    <row r="11348" spans="1:44" hidden="1">
      <c r="A11348" s="1" t="s">
        <v>22970</v>
      </c>
      <c r="C11348" s="1">
        <v>1</v>
      </c>
      <c r="D11348" s="1" t="str">
        <f>"09723"</f>
        <v>09723</v>
      </c>
      <c r="E11348" s="1" t="s">
        <v>28</v>
      </c>
      <c r="F11348" s="1">
        <v>21</v>
      </c>
      <c r="G11348" s="1">
        <v>18</v>
      </c>
      <c r="H11348" s="1">
        <v>0</v>
      </c>
      <c r="I11348" s="1" t="s">
        <v>22971</v>
      </c>
      <c r="K11348" s="1" t="str">
        <f t="shared" si="711"/>
        <v>ㄘ</v>
      </c>
      <c r="L11348" s="1" t="str">
        <f t="shared" si="709"/>
        <v>ㄚ</v>
      </c>
      <c r="N11348" s="3" t="s">
        <v>30574</v>
      </c>
      <c r="O11348" s="3"/>
      <c r="P11348" s="1" t="s">
        <v>20</v>
      </c>
      <c r="R11348" s="1" t="s">
        <v>22972</v>
      </c>
      <c r="V11348" s="1" t="s">
        <v>22973</v>
      </c>
      <c r="AR11348" s="1" t="str">
        <f t="shared" si="712"/>
        <v>| [ㄘㄚˋ](ㄘㄚˋ.md) | [囃](囃.md) |  | cà | [動]
說、講。明．徐復祚《紅梨記》第一五齣：「休訝！他怎敢向夫人行亂囃？」 |</v>
      </c>
    </row>
    <row r="11349" spans="1:44" hidden="1">
      <c r="A11349" s="1" t="s">
        <v>22966</v>
      </c>
      <c r="C11349" s="1">
        <v>1</v>
      </c>
      <c r="D11349" s="1" t="str">
        <f>"09722"</f>
        <v>09722</v>
      </c>
      <c r="E11349" s="1" t="s">
        <v>169</v>
      </c>
      <c r="F11349" s="1">
        <v>20</v>
      </c>
      <c r="G11349" s="1">
        <v>15</v>
      </c>
      <c r="H11349" s="1">
        <v>0</v>
      </c>
      <c r="I11349" s="1" t="s">
        <v>22967</v>
      </c>
      <c r="K11349" s="1" t="str">
        <f t="shared" si="711"/>
        <v>ㄘ</v>
      </c>
      <c r="L11349" s="1" t="str">
        <f t="shared" si="709"/>
        <v>ㄚ</v>
      </c>
      <c r="N11349" s="3" t="s">
        <v>30576</v>
      </c>
      <c r="O11349" s="3"/>
      <c r="P11349" s="1" t="s">
        <v>20</v>
      </c>
      <c r="R11349" s="1" t="s">
        <v>22968</v>
      </c>
      <c r="V11349" s="1" t="s">
        <v>22969</v>
      </c>
      <c r="AR11349" s="1" t="str">
        <f t="shared" si="712"/>
        <v>| [ㄘㄚˇ](ㄘㄚˇ.md) | [礤](礤.md) |  | cǎ | 參見「礤床兒」條。 |</v>
      </c>
    </row>
    <row r="11350" spans="1:44" hidden="1">
      <c r="A11350" s="1" t="s">
        <v>19586</v>
      </c>
      <c r="C11350" s="1">
        <v>1</v>
      </c>
      <c r="D11350" s="1" t="str">
        <f>"09724"</f>
        <v>09724</v>
      </c>
      <c r="E11350" s="1" t="s">
        <v>2729</v>
      </c>
      <c r="F11350" s="1">
        <v>5</v>
      </c>
      <c r="G11350" s="1">
        <v>3</v>
      </c>
      <c r="H11350" s="1">
        <v>1</v>
      </c>
      <c r="I11350" s="1" t="s">
        <v>22974</v>
      </c>
      <c r="K11350" s="1" t="str">
        <f t="shared" si="711"/>
        <v>ㄘ</v>
      </c>
      <c r="L11350" s="1" t="str">
        <f t="shared" si="709"/>
        <v>ㄜ</v>
      </c>
      <c r="N11350" s="3" t="s">
        <v>30574</v>
      </c>
      <c r="O11350" s="3"/>
      <c r="P11350" s="1" t="s">
        <v>20</v>
      </c>
      <c r="R11350" s="1" t="s">
        <v>22975</v>
      </c>
      <c r="V11350" s="1" t="s">
        <v>22976</v>
      </c>
      <c r="W11350" s="1" t="s">
        <v>22977</v>
      </c>
      <c r="AR11350" s="1" t="str">
        <f t="shared" si="712"/>
        <v>| [ㄘㄜˋ](ㄘㄜˋ.md) | [冊](冊.md) |  | cè | [名]
1.古代稱編綴竹簡成書為冊。後泛指書籍、簿本。《書經．多士》：「惟爾知惟殷先人，有冊有典。」
2.泛指書籍、簿本。如：「名人冊」、「畫冊」、「紀念冊」。
3.量詞。計算書本數量的單位。如：「人手一冊」、「第二冊」。
4.計謀。同「策」。《漢書．卷六九．趙充國傳》：「此全師保勝安邊之冊。」漢．王充《論衡．骨相》：「大梁人尉繚說秦始皇以併天下之計，始皇從其冊。」
[動]
賜封。如：「冊封」。唐．陳鴻《長恨傳》：「明年，冊為貴妃，半后服用。」 |</v>
      </c>
    </row>
    <row r="11351" spans="1:44" hidden="1">
      <c r="A11351" s="1" t="s">
        <v>22978</v>
      </c>
      <c r="C11351" s="1">
        <v>1</v>
      </c>
      <c r="D11351" s="1" t="str">
        <f>"09725"</f>
        <v>09725</v>
      </c>
      <c r="E11351" s="1" t="s">
        <v>753</v>
      </c>
      <c r="F11351" s="1">
        <v>10</v>
      </c>
      <c r="G11351" s="1">
        <v>5</v>
      </c>
      <c r="H11351" s="1">
        <v>0</v>
      </c>
      <c r="I11351" s="1" t="s">
        <v>22974</v>
      </c>
      <c r="K11351" s="1" t="str">
        <f t="shared" si="711"/>
        <v>ㄘ</v>
      </c>
      <c r="L11351" s="1" t="str">
        <f t="shared" si="709"/>
        <v>ㄜ</v>
      </c>
      <c r="N11351" s="3" t="s">
        <v>30574</v>
      </c>
      <c r="O11351" s="3"/>
      <c r="P11351" s="1" t="s">
        <v>20</v>
      </c>
      <c r="R11351" s="1" t="s">
        <v>22975</v>
      </c>
      <c r="V11351" s="1" t="s">
        <v>22979</v>
      </c>
      <c r="AR11351" s="1" t="str">
        <f t="shared" si="712"/>
        <v>| [ㄘㄜˋ](ㄘㄜˋ.md) | [畟](畟.md) |  | cè | 參見「畟畟」條。 |</v>
      </c>
    </row>
    <row r="11352" spans="1:44" hidden="1">
      <c r="A11352" s="1" t="s">
        <v>22355</v>
      </c>
      <c r="C11352" s="1">
        <v>1</v>
      </c>
      <c r="D11352" s="1" t="str">
        <f>"09726"</f>
        <v>09726</v>
      </c>
      <c r="E11352" s="1" t="s">
        <v>114</v>
      </c>
      <c r="F11352" s="1">
        <v>11</v>
      </c>
      <c r="G11352" s="1">
        <v>9</v>
      </c>
      <c r="H11352" s="1">
        <v>1</v>
      </c>
      <c r="I11352" s="1" t="s">
        <v>22974</v>
      </c>
      <c r="K11352" s="1" t="str">
        <f t="shared" si="711"/>
        <v>ㄘ</v>
      </c>
      <c r="L11352" s="1" t="str">
        <f t="shared" si="709"/>
        <v>ㄜ</v>
      </c>
      <c r="N11352" s="3" t="s">
        <v>30574</v>
      </c>
      <c r="O11352" s="3"/>
      <c r="P11352" s="1" t="s">
        <v>20</v>
      </c>
      <c r="R11352" s="1" t="s">
        <v>22975</v>
      </c>
      <c r="V11352" s="1" t="s">
        <v>22980</v>
      </c>
      <c r="W11352" s="1" t="s">
        <v>22981</v>
      </c>
      <c r="AR11352" s="1" t="str">
        <f t="shared" si="712"/>
        <v>| [ㄘㄜˋ](ㄘㄜˋ.md) | [側](側.md) |  | cè | [名]
1.旁邊。如：「兩側」、「隨侍在側」。《晉書．卷四三．王戎傳》：「嘗與群兒戲於道側。」
2.不正。《書經．洪範》：「無反無側，王道正直。」《莊子．列禦寇》：「醉之以酒，而觀其側。」
[動]
1.傾斜。如：「側耳傾聽」、「側身而過」。唐．杜甫〈秋野〉詩五首之三：「掉頭紗帽側，曝背竹書光。」
2.處於。《淮南子．原道》：「處窮僻之鄉，側谿谷之閒。」唐．杜甫〈得舍弟消息〉詩二首之一：「側身千里道，寄食一家村。」
[形]
卑微、卑下。《書經．舜典》：「虞舜側微，堯聞之聰明，將使嗣位。」 |</v>
      </c>
    </row>
    <row r="11353" spans="1:44" hidden="1">
      <c r="A11353" s="1" t="s">
        <v>22982</v>
      </c>
      <c r="C11353" s="1">
        <v>1</v>
      </c>
      <c r="D11353" s="1" t="str">
        <f>"09727"</f>
        <v>09727</v>
      </c>
      <c r="E11353" s="1" t="s">
        <v>129</v>
      </c>
      <c r="F11353" s="1">
        <v>12</v>
      </c>
      <c r="G11353" s="1">
        <v>9</v>
      </c>
      <c r="H11353" s="1">
        <v>0</v>
      </c>
      <c r="I11353" s="1" t="s">
        <v>22974</v>
      </c>
      <c r="K11353" s="1" t="str">
        <f t="shared" si="711"/>
        <v>ㄘ</v>
      </c>
      <c r="L11353" s="1" t="str">
        <f t="shared" si="709"/>
        <v>ㄜ</v>
      </c>
      <c r="N11353" s="3" t="s">
        <v>30574</v>
      </c>
      <c r="O11353" s="3"/>
      <c r="P11353" s="1" t="s">
        <v>20</v>
      </c>
      <c r="R11353" s="1" t="s">
        <v>22975</v>
      </c>
      <c r="V11353" s="1" t="s">
        <v>22983</v>
      </c>
      <c r="AR11353" s="1" t="str">
        <f t="shared" si="712"/>
        <v>| [ㄘㄜˋ](ㄘㄜˋ.md) | [測](測.md) |  | cè | [動]
1.量度。《周禮．地官．大司徒》：「以土圭之法測土深，正景以求地中。」《淮南子．原道》：「高不可際，深不可測。」
2.推想、揣度。《國語．晉語一》：「君之使我，非歡也。抑欲測吾心也。」《漢書．卷四五．蒯通傳》：「患生於多欲而人心難測也。」
[形]
深。《周禮．冬官考工記．弓人》：「漆欲測，絲欲沉。」《文選．江淹．雜體詩．顏特進》：「測恩躋踰逸，沿牒懵浮賤。」 |</v>
      </c>
    </row>
    <row r="11354" spans="1:44" hidden="1">
      <c r="A11354" s="1" t="s">
        <v>22954</v>
      </c>
      <c r="C11354" s="1">
        <v>1</v>
      </c>
      <c r="D11354" s="1" t="str">
        <f>"09728"</f>
        <v>09728</v>
      </c>
      <c r="E11354" s="1" t="s">
        <v>447</v>
      </c>
      <c r="F11354" s="1">
        <v>12</v>
      </c>
      <c r="G11354" s="1">
        <v>9</v>
      </c>
      <c r="H11354" s="1">
        <v>2</v>
      </c>
      <c r="I11354" s="1" t="s">
        <v>22974</v>
      </c>
      <c r="K11354" s="1" t="str">
        <f t="shared" si="711"/>
        <v>ㄘ</v>
      </c>
      <c r="L11354" s="1" t="str">
        <f t="shared" si="709"/>
        <v>ㄜ</v>
      </c>
      <c r="N11354" s="3" t="s">
        <v>30574</v>
      </c>
      <c r="O11354" s="3"/>
      <c r="P11354" s="1" t="s">
        <v>20</v>
      </c>
      <c r="R11354" s="1" t="s">
        <v>22975</v>
      </c>
      <c r="V11354" s="1" t="s">
        <v>22984</v>
      </c>
      <c r="W11354" s="1" t="s">
        <v>22985</v>
      </c>
      <c r="AR11354" s="1" t="str">
        <f t="shared" si="712"/>
        <v>| [ㄘㄜˋ](ㄘㄜˋ.md) | [廁](廁.md) |  | cè | [名]
便所。如：「公廁」。《左傳．成公十年》：「（晉侯）如廁，陷而卒。」《資治通鑑．卷二五二．唐紀六十八．僖宗乾符二年》：「夏，四月，突將作亂，大譟突入府延；駢走匿於廁間。」
[動]
參見「廁足」條。 |</v>
      </c>
    </row>
    <row r="11355" spans="1:44" hidden="1">
      <c r="A11355" s="1" t="s">
        <v>22986</v>
      </c>
      <c r="C11355" s="1">
        <v>1</v>
      </c>
      <c r="D11355" s="1" t="str">
        <f>"09729"</f>
        <v>09729</v>
      </c>
      <c r="E11355" s="1" t="s">
        <v>250</v>
      </c>
      <c r="F11355" s="1">
        <v>12</v>
      </c>
      <c r="G11355" s="1">
        <v>9</v>
      </c>
      <c r="H11355" s="1">
        <v>0</v>
      </c>
      <c r="I11355" s="1" t="s">
        <v>22974</v>
      </c>
      <c r="K11355" s="1" t="str">
        <f t="shared" si="711"/>
        <v>ㄘ</v>
      </c>
      <c r="L11355" s="1" t="str">
        <f t="shared" si="709"/>
        <v>ㄜ</v>
      </c>
      <c r="N11355" s="3" t="s">
        <v>30574</v>
      </c>
      <c r="O11355" s="3"/>
      <c r="P11355" s="1" t="s">
        <v>20</v>
      </c>
      <c r="R11355" s="1" t="s">
        <v>22975</v>
      </c>
      <c r="V11355" s="1" t="s">
        <v>22987</v>
      </c>
      <c r="AR11355" s="1" t="str">
        <f t="shared" si="712"/>
        <v>| [ㄘㄜˋ](ㄘㄜˋ.md) | [惻](惻.md) |  | cè | [動]
悲痛。《說文解字．心部》：「惻，痛也。」《易經．井卦．九三》：「井渫不食，為我心惻，可用汲王明，並受其福。」《舊唐書．卷一六〇．柳宗元傳》：「為騷文十數篇，覽之者為之悽惻。」
[形]
參見「惻惻」條。 |</v>
      </c>
    </row>
    <row r="11356" spans="1:44" hidden="1">
      <c r="A11356" s="1" t="s">
        <v>22988</v>
      </c>
      <c r="C11356" s="1">
        <v>1</v>
      </c>
      <c r="D11356" s="1" t="str">
        <f>"09730"</f>
        <v>09730</v>
      </c>
      <c r="E11356" s="1" t="s">
        <v>49</v>
      </c>
      <c r="F11356" s="1">
        <v>12</v>
      </c>
      <c r="G11356" s="1">
        <v>6</v>
      </c>
      <c r="H11356" s="1">
        <v>0</v>
      </c>
      <c r="I11356" s="1" t="s">
        <v>22974</v>
      </c>
      <c r="K11356" s="1" t="str">
        <f t="shared" si="711"/>
        <v>ㄘ</v>
      </c>
      <c r="L11356" s="1" t="str">
        <f t="shared" si="709"/>
        <v>ㄜ</v>
      </c>
      <c r="N11356" s="3" t="s">
        <v>30574</v>
      </c>
      <c r="O11356" s="3"/>
      <c r="P11356" s="1" t="s">
        <v>20</v>
      </c>
      <c r="R11356" s="1" t="s">
        <v>22975</v>
      </c>
      <c r="V11356" s="1" t="s">
        <v>22989</v>
      </c>
      <c r="AR11356" s="1" t="str">
        <f t="shared" si="712"/>
        <v>| [ㄘㄜˋ](ㄘㄜˋ.md) | [策](策.md) |  | cè | [名]
1.馬鞭。《左傳．文公十三年》：「乃行繞朝贈之以策。」《文選．賈誼．過秦論》：「及至始皇，奮六世之餘烈，振長策而御宇內。」
2.枴扙。《淮南子．墬形》：「夸父棄其策，是為鄧林。」《文選．孫綽．遊天台山賦》：「被毛褐之森森，振金策之鈴鈴。」
3.蓍草稱為「策」。《史記．卷一二八．褚少孫補．龜策傳》：「夫摓策定數，灼龜觀兆，變化無窮。」宋．王安石〈禮樂論〉：「是故天之高也，日月星辰陰陽之氣，可端策而數也。」
4.計謀。如：「獻策」、「束手無策」。《戰國策．秦策一》：「臣出必故之楚，以順王與儀之策，而明臣之楚與不也。」
5.古代以竹簡記事然後連編成策。通「冊」。《孟子．盡心下》：「吾於武成，取二三策而已矣。」《儀禮．聘禮》：「百名以上書於策，不及百名書於方。」
6.文體名。內容以陳述政事的計畫為主。漢．武帝〈詔賢良〉：「賢良明於古今王事之體，受策察問，咸以書對。」
7.永字八法之一，為斜書向上之一筆。
8.姓。如明代有策敏。
[動]
1.鞭打、驅使。如：「策馬前進」。《楚辭．宋玉．九辯》：「郤騏驥而不乘兮，策駑駘而取路。」北周．庾信〈哀江南賦〉：「乘白馬而不前，策青騾而轉礙。」
2.督促、勉勵。南朝齊．蕭子良〈與孔中丞稚珪書〉：「孜孜策勵，良在於斯。」《宋史．卷四三四．葉適傳》：「抱此志意而可以策勵期望者誰乎？」
3.扶、拄。《文選．陶淵明．歸去來辭》：「策扶老以流憩，時矯首而遐觀。」 |</v>
      </c>
    </row>
    <row r="11357" spans="1:44" hidden="1">
      <c r="A11357" s="1" t="s">
        <v>22990</v>
      </c>
      <c r="C11357" s="1">
        <v>1</v>
      </c>
      <c r="D11357" s="1" t="str">
        <f>"09731"</f>
        <v>09731</v>
      </c>
      <c r="E11357" s="1" t="s">
        <v>49</v>
      </c>
      <c r="F11357" s="1">
        <v>13</v>
      </c>
      <c r="G11357" s="1">
        <v>7</v>
      </c>
      <c r="H11357" s="1">
        <v>0</v>
      </c>
      <c r="I11357" s="1" t="s">
        <v>22974</v>
      </c>
      <c r="K11357" s="1" t="str">
        <f t="shared" si="711"/>
        <v>ㄘ</v>
      </c>
      <c r="L11357" s="1" t="str">
        <f t="shared" si="709"/>
        <v>ㄜ</v>
      </c>
      <c r="N11357" s="3" t="s">
        <v>30574</v>
      </c>
      <c r="O11357" s="3"/>
      <c r="P11357" s="1" t="s">
        <v>20</v>
      </c>
      <c r="R11357" s="1" t="s">
        <v>22975</v>
      </c>
      <c r="V11357" s="1" t="s">
        <v>22991</v>
      </c>
      <c r="AR11357" s="1" t="str">
        <f t="shared" si="712"/>
        <v>| [ㄘㄜˋ](ㄘㄜˋ.md) | [筴](筴.md) |  | cè | [名]_x000D_
1.小簸箕。《莊子．人間世》：「鼓筴播精，足以食十人。」唐．成玄英．疏：「筴，小箕也。」_x000D_
2.同「策」。 |</v>
      </c>
    </row>
    <row r="11358" spans="1:44" hidden="1">
      <c r="A11358" s="1" t="s">
        <v>22992</v>
      </c>
      <c r="C11358" s="1">
        <v>1</v>
      </c>
      <c r="D11358" s="1" t="str">
        <f>"09732"</f>
        <v>09732</v>
      </c>
      <c r="E11358" s="1" t="s">
        <v>49</v>
      </c>
      <c r="F11358" s="1">
        <v>17</v>
      </c>
      <c r="G11358" s="1">
        <v>11</v>
      </c>
      <c r="H11358" s="1">
        <v>0</v>
      </c>
      <c r="I11358" s="1" t="s">
        <v>22974</v>
      </c>
      <c r="K11358" s="1" t="str">
        <f t="shared" si="711"/>
        <v>ㄘ</v>
      </c>
      <c r="L11358" s="1" t="str">
        <f t="shared" si="709"/>
        <v>ㄜ</v>
      </c>
      <c r="N11358" s="3" t="s">
        <v>30574</v>
      </c>
      <c r="O11358" s="3"/>
      <c r="P11358" s="1" t="s">
        <v>20</v>
      </c>
      <c r="R11358" s="1" t="s">
        <v>22975</v>
      </c>
      <c r="V11358" s="1" t="s">
        <v>22993</v>
      </c>
      <c r="AR11358" s="1" t="str">
        <f t="shared" si="712"/>
        <v>| [ㄘㄜˋ](ㄘㄜˋ.md) | [簎](簎.md) |  | cè | [動]
用杈刺取泥中魚鱉。《集韻．入聲．陌韻》：「簎，杈刺取魚鱉也。」《周禮．天官．鱉人》：「鱉人掌取互物，以時簎魚鱉龜蜃凡貍物。」
[名]
捕魚器。《廣韻．入聲．覺韻》：「簎，取魚箔也。」 |</v>
      </c>
    </row>
    <row r="11359" spans="1:44" hidden="1">
      <c r="A11359" s="1" t="s">
        <v>23010</v>
      </c>
      <c r="C11359" s="1">
        <v>1</v>
      </c>
      <c r="D11359" s="1" t="str">
        <f>"09748"</f>
        <v>09748</v>
      </c>
      <c r="E11359" s="1" t="s">
        <v>1299</v>
      </c>
      <c r="F11359" s="1">
        <v>8</v>
      </c>
      <c r="G11359" s="1">
        <v>1</v>
      </c>
      <c r="H11359" s="1">
        <v>2</v>
      </c>
      <c r="I11359" s="1" t="s">
        <v>23031</v>
      </c>
      <c r="K11359" s="1" t="str">
        <f t="shared" si="711"/>
        <v>ㄘ</v>
      </c>
      <c r="L11359" s="1" t="str">
        <f t="shared" si="709"/>
        <v>ㄞ</v>
      </c>
      <c r="N11359" s="3" t="s">
        <v>30574</v>
      </c>
      <c r="O11359" s="3"/>
      <c r="P11359" s="1" t="s">
        <v>20</v>
      </c>
      <c r="R11359" s="1" t="s">
        <v>23032</v>
      </c>
      <c r="V11359" s="1" t="s">
        <v>23033</v>
      </c>
      <c r="W11359" s="1" t="s">
        <v>23034</v>
      </c>
      <c r="AR11359" s="1" t="str">
        <f t="shared" si="712"/>
        <v>| [ㄘㄞˋ](ㄘㄞˋ.md) | [采](采.md) |  | cài | 參見「采地」條。 |</v>
      </c>
    </row>
    <row r="11360" spans="1:44" hidden="1">
      <c r="A11360" s="1" t="s">
        <v>23035</v>
      </c>
      <c r="C11360" s="1">
        <v>1</v>
      </c>
      <c r="D11360" s="1" t="str">
        <f>"09749"</f>
        <v>09749</v>
      </c>
      <c r="E11360" s="1" t="s">
        <v>37</v>
      </c>
      <c r="F11360" s="1">
        <v>12</v>
      </c>
      <c r="G11360" s="1">
        <v>8</v>
      </c>
      <c r="H11360" s="1">
        <v>0</v>
      </c>
      <c r="I11360" s="1" t="s">
        <v>23031</v>
      </c>
      <c r="K11360" s="1" t="str">
        <f t="shared" si="711"/>
        <v>ㄘ</v>
      </c>
      <c r="L11360" s="1" t="str">
        <f t="shared" si="709"/>
        <v>ㄞ</v>
      </c>
      <c r="N11360" s="3" t="s">
        <v>30574</v>
      </c>
      <c r="O11360" s="3"/>
      <c r="P11360" s="1" t="s">
        <v>20</v>
      </c>
      <c r="R11360" s="1" t="s">
        <v>23032</v>
      </c>
      <c r="V11360" s="1" t="s">
        <v>23036</v>
      </c>
      <c r="AR11360" s="1" t="str">
        <f t="shared" si="712"/>
        <v>| [ㄘㄞˋ](ㄘㄞˋ.md) | [菜](菜.md) |  | cài | [名]
1.蔬類的總稱。如：「白菜」、「菠菜」。《禮記．月令》：「乃命有司，趣民收斂，務畜菜多積聚。」
2.餚饌的總稱。如：「川菜」、「素菜」。《北史．卷三四．胡叟傳》：「飯菜精潔，醢醬調美。」
[形]
差勁、不出色。如：「菜鳥」、「這麼菜的成績，真是無顏見江東父老！」 |</v>
      </c>
    </row>
    <row r="11361" spans="1:44" hidden="1">
      <c r="A11361" s="1" t="s">
        <v>23037</v>
      </c>
      <c r="C11361" s="1">
        <v>1</v>
      </c>
      <c r="D11361" s="1" t="str">
        <f>"09750"</f>
        <v>09750</v>
      </c>
      <c r="E11361" s="1" t="s">
        <v>37</v>
      </c>
      <c r="F11361" s="1">
        <v>15</v>
      </c>
      <c r="G11361" s="1">
        <v>11</v>
      </c>
      <c r="H11361" s="1">
        <v>1</v>
      </c>
      <c r="I11361" s="1" t="s">
        <v>23031</v>
      </c>
      <c r="K11361" s="1" t="str">
        <f t="shared" si="711"/>
        <v>ㄘ</v>
      </c>
      <c r="L11361" s="1" t="str">
        <f t="shared" si="709"/>
        <v>ㄞ</v>
      </c>
      <c r="N11361" s="3" t="s">
        <v>30574</v>
      </c>
      <c r="O11361" s="3"/>
      <c r="P11361" s="1" t="s">
        <v>20</v>
      </c>
      <c r="R11361" s="1" t="s">
        <v>23032</v>
      </c>
      <c r="V11361" s="1" t="s">
        <v>23038</v>
      </c>
      <c r="W11361" s="1" t="s">
        <v>23039</v>
      </c>
      <c r="AR11361" s="1" t="str">
        <f t="shared" si="712"/>
        <v>| [ㄘㄞˋ](ㄘㄞˋ.md) | [蔡](蔡.md) |  | cài | [名]
1.野草。《說文解字．艸部》「蔡」字．清．段玉裁．注：「草生之散亂也。」《文選．左思．魏都賦》：「蔡莽螫剌，昆蟲毒噬。」
2.大龜。《左傳．襄公二十三年》：「臧武仲自邾使告臧賈，且致大蔡焉。」唐．元稹〈芳樹〉詩：「清池養神蔡，已復長蝦蟆。」
3.國名。周代諸侯國之一。故址約位於今大陸地區河南省新蔡、上蔡、汝南一帶。
4.姓。如春秋時晉國有蔡墨。 |</v>
      </c>
    </row>
    <row r="11362" spans="1:44" hidden="1">
      <c r="A11362" s="1" t="s">
        <v>23040</v>
      </c>
      <c r="C11362" s="1">
        <v>1</v>
      </c>
      <c r="D11362" s="1" t="str">
        <f>"09751"</f>
        <v>09751</v>
      </c>
      <c r="E11362" s="1" t="s">
        <v>725</v>
      </c>
      <c r="F11362" s="1">
        <v>17</v>
      </c>
      <c r="G11362" s="1">
        <v>11</v>
      </c>
      <c r="H11362" s="1">
        <v>0</v>
      </c>
      <c r="I11362" s="1" t="s">
        <v>23031</v>
      </c>
      <c r="K11362" s="1" t="str">
        <f t="shared" si="711"/>
        <v>ㄘ</v>
      </c>
      <c r="L11362" s="1" t="str">
        <f t="shared" si="709"/>
        <v>ㄞ</v>
      </c>
      <c r="N11362" s="3" t="s">
        <v>30574</v>
      </c>
      <c r="O11362" s="3"/>
      <c r="P11362" s="1" t="s">
        <v>20</v>
      </c>
      <c r="R11362" s="1" t="s">
        <v>23032</v>
      </c>
      <c r="V11362" s="1" t="s">
        <v>23041</v>
      </c>
      <c r="AR11362" s="1" t="str">
        <f t="shared" si="712"/>
        <v>| [ㄘㄞˋ](ㄘㄞˋ.md) | [縩](縩.md) |  | cài | 參見「綷縩」條。 |</v>
      </c>
    </row>
    <row r="11363" spans="1:44" hidden="1">
      <c r="A11363" s="1" t="s">
        <v>22998</v>
      </c>
      <c r="C11363" s="1">
        <v>1</v>
      </c>
      <c r="D11363" s="1" t="str">
        <f>"09734"</f>
        <v>09734</v>
      </c>
      <c r="E11363" s="1" t="s">
        <v>24</v>
      </c>
      <c r="F11363" s="1">
        <v>3</v>
      </c>
      <c r="G11363" s="1">
        <v>0</v>
      </c>
      <c r="H11363" s="1">
        <v>0</v>
      </c>
      <c r="I11363" s="1" t="s">
        <v>22999</v>
      </c>
      <c r="K11363" s="1" t="str">
        <f t="shared" si="711"/>
        <v>ㄘ</v>
      </c>
      <c r="L11363" s="1" t="str">
        <f t="shared" si="709"/>
        <v>ㄞ</v>
      </c>
      <c r="N11363" s="3" t="s">
        <v>30575</v>
      </c>
      <c r="O11363" s="3"/>
      <c r="P11363" s="1" t="s">
        <v>20</v>
      </c>
      <c r="R11363" s="1" t="s">
        <v>23000</v>
      </c>
      <c r="V11363" s="1" t="s">
        <v>23001</v>
      </c>
      <c r="AR11363" s="1" t="str">
        <f t="shared" si="712"/>
        <v>| [ㄘㄞˊ](ㄘㄞˊ.md) | [才](才.md) |  | cái | [名]_x000D_
1.天賦的能力、稟性。《孟子．告子上》：「富歲子弟多賴，凶歲子弟多暴，非天之降才爾殊也。」_x000D_
2.力量、智慧。通「材」。《詩經．魯頌．駉》：「思無期，思馬斯才。」漢．王充《論衡．實知》：「人才有高下，知物由學，學之乃知，不問不識。」_x000D_
3.有才能、智慧的人。如：「天才」、「英才」、「幹才」。《孟子．離婁下》：「中也養不中，才也養不才。」《禮記．文王世子》：「凡語于郊者，必取賢斂才焉。」_x000D_
4.諷稱某類的人。如：「蠢才」、「奴才」。_x000D_
5.姓。如明代有才寬。_x000D_
[副]_x000D_
1.方、始。如：「剛才」、「方才」、「戲才開鑼」、「呆了半晌，我才會意過來。」《晉書．卷七九．列傳．謝安》：「才小富貴，便豫人家事。」_x000D_
2.僅。如：「他今年才五歲。」「我身上才帶五塊錢。」_x000D_
3.表示強調的語氣。如：「我才不幹呢！」「他哪有累？我才累呢！」_x000D_
[量]_x000D_
1.臺灣地區用於計算木材體積的單位。一才為一台寸寬×一台寸厚×十台尺長。也作「材」。_x000D_
2.臺灣地區用於計算物體面積的單位。可見於紙張、玻璃、石材、窗簾等的計算，一才為一尺（三十公分）見方。也作「材」。 |</v>
      </c>
    </row>
    <row r="11364" spans="1:44" hidden="1">
      <c r="A11364" s="1" t="s">
        <v>23002</v>
      </c>
      <c r="C11364" s="1">
        <v>1</v>
      </c>
      <c r="D11364" s="1" t="str">
        <f>"09735"</f>
        <v>09735</v>
      </c>
      <c r="E11364" s="1" t="s">
        <v>139</v>
      </c>
      <c r="F11364" s="1">
        <v>7</v>
      </c>
      <c r="G11364" s="1">
        <v>3</v>
      </c>
      <c r="H11364" s="1">
        <v>0</v>
      </c>
      <c r="I11364" s="1" t="s">
        <v>22999</v>
      </c>
      <c r="K11364" s="1" t="str">
        <f t="shared" si="711"/>
        <v>ㄘ</v>
      </c>
      <c r="L11364" s="1" t="str">
        <f t="shared" si="709"/>
        <v>ㄞ</v>
      </c>
      <c r="N11364" s="3" t="s">
        <v>30575</v>
      </c>
      <c r="O11364" s="3"/>
      <c r="P11364" s="1" t="s">
        <v>20</v>
      </c>
      <c r="R11364" s="1" t="s">
        <v>23000</v>
      </c>
      <c r="V11364" s="1" t="s">
        <v>23003</v>
      </c>
      <c r="AR11364" s="1" t="str">
        <f t="shared" si="712"/>
        <v>| [ㄘㄞˊ](ㄘㄞˊ.md) | [材](材.md) |  | cái | [名]_x000D_
1.木料、樹幹。如：「木材」。《孟子．梁惠王上》：「斧斤以時入山林，材木不可勝用也。」_x000D_
2.原料、可供製造的物料。如：「藥材」、「器材」、「建材」、「鋼材」。_x000D_
3.棺材的簡稱。如：「壽材」。《紅樓夢》第一一六回：「我為是好幾口材都要帶回去。」_x000D_
4.資料。如：「教材」、「題材」、「素材」。_x000D_
5.資質、能力。如：「因材施教」。《左傳．隱公五年》：「其材不足以備器用，則君不舉也。」_x000D_
6.有才能的人。如：「人材」。三國魏．曹植〈贈丁翼〉詩：「大國多良材，譬海出明珠。」_x000D_
[量]_x000D_
1.計算木材體積的單位。宋．李誡《營造法式．卷四．材》：「凡構屋之制，皆以材為祖。材有八等，度屋之大小，因而用之。」_x000D_
2.臺灣地區用來計算某些建材體積或面積的單位。如：「今天工地共進了三百材櫸木和三分厚的玻璃兩百材。」也作「才」。_x000D_
[動]_x000D_
處置、安排。通「裁」。《國語．鄭語》：「計億事，材兆物。」 |</v>
      </c>
    </row>
    <row r="11365" spans="1:44" hidden="1">
      <c r="A11365" s="1" t="s">
        <v>23004</v>
      </c>
      <c r="C11365" s="1">
        <v>1</v>
      </c>
      <c r="D11365" s="1" t="str">
        <f>"09736"</f>
        <v>09736</v>
      </c>
      <c r="E11365" s="1" t="s">
        <v>505</v>
      </c>
      <c r="F11365" s="1">
        <v>10</v>
      </c>
      <c r="G11365" s="1">
        <v>3</v>
      </c>
      <c r="H11365" s="1">
        <v>0</v>
      </c>
      <c r="I11365" s="1" t="s">
        <v>22999</v>
      </c>
      <c r="K11365" s="1" t="str">
        <f t="shared" si="711"/>
        <v>ㄘ</v>
      </c>
      <c r="L11365" s="1" t="str">
        <f t="shared" si="709"/>
        <v>ㄞ</v>
      </c>
      <c r="N11365" s="3" t="s">
        <v>30575</v>
      </c>
      <c r="O11365" s="3"/>
      <c r="P11365" s="1" t="s">
        <v>20</v>
      </c>
      <c r="R11365" s="1" t="s">
        <v>23000</v>
      </c>
      <c r="V11365" s="1" t="s">
        <v>23005</v>
      </c>
      <c r="AR11365" s="1" t="str">
        <f t="shared" si="712"/>
        <v>| [ㄘㄞˊ](ㄘㄞˊ.md) | [財](財.md) |  | cái | [名]
1.金玉、布帛、粟米等錢幣貨物的總稱。如：「理財」、「生財有道」。《禮記．聘義》：「此輕財而重禮之義也。」《三國志．卷二四．魏書．高柔傳》：「夫農廣則穀積，用儉則財畜。」
2.才能。通「才」。《孟子．盡心上》：「有成德者，有達財者。」
[動]
裁斷。通「裁」。《荀子．天論》：「財非其類以養其類，夫是之謂天養。」《史記．卷一〇七．魏其武安侯傳》：「所賜金，陳之廊廡下，軍吏過，輒令財取為用，金無入家者。」
[副]
僅。通「纔」。《史記．卷一〇．孝文本紀》：「太僕見馬遺財足，餘皆以給傳置。」《漢書．卷五四．李廣傳》：「初，上遣貳師大軍山，財令陵為助兵。」 |</v>
      </c>
    </row>
    <row r="11366" spans="1:44" hidden="1">
      <c r="A11366" s="1" t="s">
        <v>23006</v>
      </c>
      <c r="C11366" s="1">
        <v>1</v>
      </c>
      <c r="D11366" s="1" t="str">
        <f>"09737"</f>
        <v>09737</v>
      </c>
      <c r="E11366" s="1" t="s">
        <v>340</v>
      </c>
      <c r="F11366" s="1">
        <v>12</v>
      </c>
      <c r="G11366" s="1">
        <v>6</v>
      </c>
      <c r="H11366" s="1">
        <v>0</v>
      </c>
      <c r="I11366" s="1" t="s">
        <v>22999</v>
      </c>
      <c r="K11366" s="1" t="str">
        <f t="shared" si="711"/>
        <v>ㄘ</v>
      </c>
      <c r="L11366" s="1" t="str">
        <f t="shared" si="709"/>
        <v>ㄞ</v>
      </c>
      <c r="N11366" s="3" t="s">
        <v>30575</v>
      </c>
      <c r="O11366" s="3"/>
      <c r="P11366" s="1" t="s">
        <v>20</v>
      </c>
      <c r="R11366" s="1" t="s">
        <v>23000</v>
      </c>
      <c r="V11366" s="1" t="s">
        <v>23007</v>
      </c>
      <c r="AR11366" s="1" t="str">
        <f t="shared" si="712"/>
        <v>| [ㄘㄞˊ](ㄘㄞˊ.md) | [裁](裁.md) |  | cái | [動]
1.用刀剪等把紙或布割裂、剪開。《說文解字．衣部》：「裁，制衣也。」如：「裁布」、「裁紙」。《南齊書．卷三二．張岱傳》：「恕未閑從政，美錦不宜濫裁。」
2.縫製。《文選．古詩十九首．客從遠方來》：「文綵雙鴛鴦，裁為合歡被。」
3.削減。如：「裁軍」、「裁員」。《紅樓夢》第三六回：「如今說因為襲人是寶玉的人，裁了這一兩銀子，斷乎使不得。」
4.決斷、判斷。如：「裁罪」。《左傳．僖公十五年》：「夕以入則朝以死，唯君裁之。」《韓非子．初見秦》：「臣願悉言所聞，唯大王裁其罪。」
5.量度。唐．韓愈〈感春〉詩五首之二：「孤吟屢闋莫與和，寸恨至短誰能裁。」
6.控制。如：「獨裁」。《楚辭．賈誼．惜誓》：「神龍失水而陸居合，為螻蟻之所裁。」
7.殺。《文選．司馬遷．報任少卿書》：「罪至罔加，不能引決自裁。」
8.寫作。唐．杜甫〈江亭〉詩：「故林歸未得，排悶強裁詩。」
[名]
體制、格式。如：「體裁」、「新裁」。《文選．張衡．西京賦》：「取殊裁於八都，豈啟度於往舊？」
[副]
僅。通「纔」。《戰國策．燕策一》：「雖大男子，裁如嬰兒。」《漢書．卷一六．高惠高后文功臣表》：「時大城名都民人散亡，戶口可得而數裁什二三。」 |</v>
      </c>
    </row>
    <row r="11367" spans="1:44" hidden="1">
      <c r="A11367" s="1" t="s">
        <v>23008</v>
      </c>
      <c r="C11367" s="1">
        <v>1</v>
      </c>
      <c r="D11367" s="1" t="str">
        <f>"09738"</f>
        <v>09738</v>
      </c>
      <c r="E11367" s="1" t="s">
        <v>725</v>
      </c>
      <c r="F11367" s="1">
        <v>23</v>
      </c>
      <c r="G11367" s="1">
        <v>17</v>
      </c>
      <c r="H11367" s="1">
        <v>0</v>
      </c>
      <c r="I11367" s="1" t="s">
        <v>22999</v>
      </c>
      <c r="K11367" s="1" t="str">
        <f t="shared" si="711"/>
        <v>ㄘ</v>
      </c>
      <c r="L11367" s="1" t="str">
        <f t="shared" si="709"/>
        <v>ㄞ</v>
      </c>
      <c r="N11367" s="3" t="s">
        <v>30575</v>
      </c>
      <c r="O11367" s="3"/>
      <c r="P11367" s="1" t="s">
        <v>20</v>
      </c>
      <c r="R11367" s="1" t="s">
        <v>23000</v>
      </c>
      <c r="V11367" s="1" t="s">
        <v>23009</v>
      </c>
      <c r="AR11367" s="1" t="str">
        <f t="shared" si="712"/>
        <v>| [ㄘㄞˊ](ㄘㄞˊ.md) | [纔](纔.md) |  | cái | [副]
1.方、始、剛剛。《漢書．卷四九．鼂錯傳》：「救之，少發則不足，多發，遠縣纔至，則胡又已去。」唐．魚玄機〈閨怨〉詩：「別日南鴻纔北去，今朝北雁又南飛。」
2.僅、只。《漢書．卷五一．賈山傳》：「然身死纔數月耳，天下四面而攻之，宗廟滅絕矣。」元．關漢卿《竇娥冤》第四折：「至十七歲與夫配合，纔得兩年，不幸兒夫亡化。」 |</v>
      </c>
    </row>
    <row r="11368" spans="1:44" hidden="1">
      <c r="A11368" s="1" t="s">
        <v>23010</v>
      </c>
      <c r="C11368" s="1">
        <v>1</v>
      </c>
      <c r="D11368" s="1" t="str">
        <f>"09739"</f>
        <v>09739</v>
      </c>
      <c r="E11368" s="1" t="s">
        <v>1299</v>
      </c>
      <c r="F11368" s="1">
        <v>8</v>
      </c>
      <c r="G11368" s="1">
        <v>1</v>
      </c>
      <c r="H11368" s="1">
        <v>1</v>
      </c>
      <c r="I11368" s="1" t="s">
        <v>23011</v>
      </c>
      <c r="K11368" s="1" t="str">
        <f t="shared" si="711"/>
        <v>ㄘ</v>
      </c>
      <c r="L11368" s="1" t="str">
        <f t="shared" si="709"/>
        <v>ㄞ</v>
      </c>
      <c r="N11368" s="3" t="s">
        <v>30576</v>
      </c>
      <c r="O11368" s="3"/>
      <c r="P11368" s="1" t="s">
        <v>20</v>
      </c>
      <c r="R11368" s="1" t="s">
        <v>23012</v>
      </c>
      <c r="V11368" s="1" t="s">
        <v>23013</v>
      </c>
      <c r="W11368" s="1" t="s">
        <v>23014</v>
      </c>
      <c r="AR11368" s="1" t="str">
        <f t="shared" si="712"/>
        <v>| [ㄘㄞˇ](ㄘㄞˇ.md) | [采](采.md) |  | cǎi | [動]
1.摘取。《詩經．周南．關雎》：「參差荇菜，左右采之。」宋．陸游〈春晚即事〉詩四首之四：「老農愛犢行泥緩，幼婦憂蠶采葉忙。」
2.擇取。《史記．卷六．秦始皇本紀》：「采上古『帝』位號，號曰『皇帝』。」
3.蒐集。《漢書．卷三〇．藝文志》：「故古有采詩之官，王者所以觀風俗，知得失，自考正也。」唐．柳宗元〈永州鐵爐步志〉：「予以為古有太史，觀民風，采民言。若是者，則有得矣。」
4.掘取。漢．桓寬《鹽鐵論．復古》：「往者豪強大家，得管山海之利，采鐵石鼓鑄煮鹽。」
[名]
1.有顏色的帛。《漢書．卷九一．貨殖傳》：「文采千匹。」唐．顏師古．注：「帛之有色者曰采。」
2.色彩。《禮記．月令》：「命婦官染采。」
3.神色。如：「神采」、「興高采烈」。《漢書．卷六八．霍光傳》：「初輔幼主，政自己出，天下想聞其風采。」《儒林外史》第八回：「前晤尊公大人，幸瞻丰采。」
4.文彩。《楚辭．屈原．九章．懷沙》：「文質疏內兮，眾不知余之異采。」南朝梁．劉勰《文心雕龍．情采》：「繁采寡情，味之必厭。」 |</v>
      </c>
    </row>
    <row r="11369" spans="1:44" hidden="1">
      <c r="A11369" s="1" t="s">
        <v>23015</v>
      </c>
      <c r="C11369" s="1">
        <v>1</v>
      </c>
      <c r="D11369" s="1" t="str">
        <f>"09740"</f>
        <v>09740</v>
      </c>
      <c r="E11369" s="1" t="s">
        <v>624</v>
      </c>
      <c r="F11369" s="1">
        <v>11</v>
      </c>
      <c r="G11369" s="1">
        <v>8</v>
      </c>
      <c r="H11369" s="1">
        <v>0</v>
      </c>
      <c r="I11369" s="1" t="s">
        <v>23011</v>
      </c>
      <c r="K11369" s="1" t="str">
        <f t="shared" si="711"/>
        <v>ㄘ</v>
      </c>
      <c r="L11369" s="1" t="str">
        <f t="shared" si="709"/>
        <v>ㄞ</v>
      </c>
      <c r="N11369" s="3" t="s">
        <v>30576</v>
      </c>
      <c r="O11369" s="3"/>
      <c r="P11369" s="1" t="s">
        <v>20</v>
      </c>
      <c r="R11369" s="1" t="s">
        <v>23012</v>
      </c>
      <c r="V11369" s="1" t="s">
        <v>23016</v>
      </c>
      <c r="AR11369" s="1" t="str">
        <f t="shared" si="712"/>
        <v>| [ㄘㄞˇ](ㄘㄞˇ.md) | [寀](寀.md) |  | cǎi | [名]
寀地：古代帝王封給臣下的土地，即采地。《爾雅．釋詁上》：「寀，官也。」晉．郭璞．注：「官地為寀。」 |</v>
      </c>
    </row>
    <row r="11370" spans="1:44" hidden="1">
      <c r="A11370" s="1" t="s">
        <v>23017</v>
      </c>
      <c r="C11370" s="1">
        <v>1</v>
      </c>
      <c r="D11370" s="1" t="str">
        <f>"09741"</f>
        <v>09741</v>
      </c>
      <c r="E11370" s="1" t="s">
        <v>24</v>
      </c>
      <c r="F11370" s="1">
        <v>11</v>
      </c>
      <c r="G11370" s="1">
        <v>8</v>
      </c>
      <c r="H11370" s="1">
        <v>0</v>
      </c>
      <c r="I11370" s="1" t="s">
        <v>23011</v>
      </c>
      <c r="K11370" s="1" t="str">
        <f t="shared" si="711"/>
        <v>ㄘ</v>
      </c>
      <c r="L11370" s="1" t="str">
        <f t="shared" si="709"/>
        <v>ㄞ</v>
      </c>
      <c r="N11370" s="3" t="s">
        <v>30576</v>
      </c>
      <c r="O11370" s="3"/>
      <c r="P11370" s="1" t="s">
        <v>20</v>
      </c>
      <c r="R11370" s="1" t="s">
        <v>23012</v>
      </c>
      <c r="V11370" s="1" t="s">
        <v>23018</v>
      </c>
      <c r="AR11370" s="1" t="str">
        <f t="shared" si="712"/>
        <v>| [ㄘㄞˇ](ㄘㄞˇ.md) | [採](採.md) |  | cǎi | [動]
1.摘取。同「采」。《史記．卷一一九．循吏傳》：「秋冬則勸民山採，春夏以水，各得其所便，民皆樂其生。」唐．李白〈子夜吳歌．春歌〉：「秦地羅敷女，採桑綠水邊。」
2.擇取。同「采」。《後漢書．卷六三．李固傳》：「可令中宮博簡嬪媵，兼採微賤宜子之人。」唐．李白〈明唐賦〉：「採殷制，酌夏步，雜以代室重屋之名，括以辰次火木之數。」
3.掘取。同「采」。《魏書．卷九三．恩倖傳．茹皓傳》：「皓性微工巧，多所興立，為山於天淵池西，採掘北邙及南山佳石，徙竹汝穎，羅蒔其間。」
4.扯、拔。《清平山堂話本．快嘴李翠蓮記》：「若是惱咱性兒起，揪住耳朵採頭髮。」
5.理會。通「睬」。《北齊書．卷九．後主穆后傳》：「后既以陸為母，提婆為家，更不採輕霄。」《醒世恆言．卷六．小水灣天狐詒書》：「眾人那個採他，一味亂打。」 |</v>
      </c>
    </row>
    <row r="11371" spans="1:44" hidden="1">
      <c r="A11371" s="1" t="s">
        <v>23019</v>
      </c>
      <c r="C11371" s="1">
        <v>1</v>
      </c>
      <c r="D11371" s="1" t="str">
        <f>"09742"</f>
        <v>09742</v>
      </c>
      <c r="E11371" s="1" t="s">
        <v>1335</v>
      </c>
      <c r="F11371" s="1">
        <v>11</v>
      </c>
      <c r="G11371" s="1">
        <v>8</v>
      </c>
      <c r="H11371" s="1">
        <v>0</v>
      </c>
      <c r="I11371" s="1" t="s">
        <v>23011</v>
      </c>
      <c r="K11371" s="1" t="str">
        <f t="shared" si="711"/>
        <v>ㄘ</v>
      </c>
      <c r="L11371" s="1" t="str">
        <f t="shared" si="709"/>
        <v>ㄞ</v>
      </c>
      <c r="N11371" s="3" t="s">
        <v>30576</v>
      </c>
      <c r="O11371" s="3"/>
      <c r="P11371" s="1" t="s">
        <v>20</v>
      </c>
      <c r="R11371" s="1" t="s">
        <v>23012</v>
      </c>
      <c r="V11371" s="1" t="s">
        <v>23020</v>
      </c>
      <c r="AR11371" s="1" t="str">
        <f t="shared" si="712"/>
        <v>| [ㄘㄞˇ](ㄘㄞˇ.md) | [彩](彩.md) |  | cǎi | [名]
1.文章。《宋書．卷七三．顏延之傳》：「延之與陳郡謝靈運俱以詞彩齊名。」
2.顏色、顏料。如：「五彩奪目」、「色彩」、「水彩」、「油彩」。
3.光華、光澤。唐．許渾〈鶴林寺中秋夜玩月〉詩：「輪彩漸移金殿外，鏡光猶挂玉樓前。」
4.讚美、誇獎的歡呼聲。如：「喝倒彩」。《兒女英雄傳》第一五回：「那四面看的人，就海潮一般，喝了個連環大彩。」
5.獎。如：「頭彩」、「摸彩」、「中彩」。
6.傷。如：「掛彩」。《兒女英雄傳》第六回：「那時三兒在旁邊正獃獃的望著公子的胸脯子，要看著這回刀尖出彩。」
[形]
多種顏色的。如：「彩霞」、「彩衣」、「彩蝶」。 |</v>
      </c>
    </row>
    <row r="11372" spans="1:44" hidden="1">
      <c r="A11372" s="1" t="s">
        <v>23021</v>
      </c>
      <c r="C11372" s="1">
        <v>1</v>
      </c>
      <c r="D11372" s="1" t="str">
        <f>"09743"</f>
        <v>09743</v>
      </c>
      <c r="E11372" s="1" t="s">
        <v>1015</v>
      </c>
      <c r="F11372" s="1">
        <v>13</v>
      </c>
      <c r="G11372" s="1">
        <v>8</v>
      </c>
      <c r="H11372" s="1">
        <v>0</v>
      </c>
      <c r="I11372" s="1" t="s">
        <v>23011</v>
      </c>
      <c r="K11372" s="1" t="str">
        <f t="shared" si="711"/>
        <v>ㄘ</v>
      </c>
      <c r="L11372" s="1" t="str">
        <f t="shared" si="709"/>
        <v>ㄞ</v>
      </c>
      <c r="N11372" s="3" t="s">
        <v>30576</v>
      </c>
      <c r="O11372" s="3"/>
      <c r="P11372" s="1" t="s">
        <v>20</v>
      </c>
      <c r="R11372" s="1" t="s">
        <v>23012</v>
      </c>
      <c r="V11372" s="1" t="s">
        <v>23022</v>
      </c>
      <c r="AR11372" s="1" t="str">
        <f t="shared" si="712"/>
        <v>| [ㄘㄞˇ](ㄘㄞˇ.md) | [睬](睬.md) |  | cǎi | [動]
理會。如：「不理不睬」。《紅樓夢》第一回：「士隱聽了，知是瘋話，也不睬他。」 |</v>
      </c>
    </row>
    <row r="11373" spans="1:44" hidden="1">
      <c r="A11373" s="1" t="s">
        <v>23023</v>
      </c>
      <c r="C11373" s="1">
        <v>1</v>
      </c>
      <c r="D11373" s="1" t="str">
        <f>"09744"</f>
        <v>09744</v>
      </c>
      <c r="E11373" s="1" t="s">
        <v>725</v>
      </c>
      <c r="F11373" s="1">
        <v>14</v>
      </c>
      <c r="G11373" s="1">
        <v>8</v>
      </c>
      <c r="H11373" s="1">
        <v>0</v>
      </c>
      <c r="I11373" s="1" t="s">
        <v>23011</v>
      </c>
      <c r="K11373" s="1" t="str">
        <f t="shared" si="711"/>
        <v>ㄘ</v>
      </c>
      <c r="L11373" s="1" t="str">
        <f t="shared" si="709"/>
        <v>ㄞ</v>
      </c>
      <c r="N11373" s="3" t="s">
        <v>30576</v>
      </c>
      <c r="O11373" s="3"/>
      <c r="P11373" s="1" t="s">
        <v>20</v>
      </c>
      <c r="R11373" s="1" t="s">
        <v>23012</v>
      </c>
      <c r="V11373" s="1" t="s">
        <v>23024</v>
      </c>
      <c r="AR11373" s="1" t="str">
        <f t="shared" si="712"/>
        <v>| [ㄘㄞˇ](ㄘㄞˇ.md) | [綵](綵.md) |  | cǎi | [名]
五彩的絲織品。唐．陳子昂〈為程處弼辭放流表〉：「臣往任郎將之日，陛下特以臣貧，賜銀及綵。」 |</v>
      </c>
    </row>
    <row r="11374" spans="1:44" hidden="1">
      <c r="A11374" s="1" t="s">
        <v>23025</v>
      </c>
      <c r="C11374" s="1">
        <v>1</v>
      </c>
      <c r="D11374" s="1" t="str">
        <f>"09745"</f>
        <v>09745</v>
      </c>
      <c r="E11374" s="1" t="s">
        <v>77</v>
      </c>
      <c r="F11374" s="1">
        <v>15</v>
      </c>
      <c r="G11374" s="1">
        <v>8</v>
      </c>
      <c r="H11374" s="1">
        <v>0</v>
      </c>
      <c r="I11374" s="1" t="s">
        <v>23011</v>
      </c>
      <c r="K11374" s="1" t="str">
        <f t="shared" si="711"/>
        <v>ㄘ</v>
      </c>
      <c r="L11374" s="1" t="str">
        <f t="shared" si="709"/>
        <v>ㄞ</v>
      </c>
      <c r="N11374" s="3" t="s">
        <v>30576</v>
      </c>
      <c r="O11374" s="3"/>
      <c r="P11374" s="1" t="s">
        <v>20</v>
      </c>
      <c r="R11374" s="1" t="s">
        <v>23012</v>
      </c>
      <c r="V11374" s="1" t="s">
        <v>23026</v>
      </c>
      <c r="AR11374" s="1" t="str">
        <f t="shared" si="712"/>
        <v>| [ㄘㄞˇ](ㄘㄞˇ.md) | [踩](踩.md) |  | cǎi | [動]
用腳在物體上蹬、踏。如：「踩高蹺」、「勿踩草皮」、「一腳踩空了」。 |</v>
      </c>
    </row>
    <row r="11375" spans="1:44" hidden="1">
      <c r="A11375" s="1" t="s">
        <v>23027</v>
      </c>
      <c r="C11375" s="1">
        <v>1</v>
      </c>
      <c r="D11375" s="1" t="str">
        <f>"09746"</f>
        <v>09746</v>
      </c>
      <c r="E11375" s="1" t="s">
        <v>77</v>
      </c>
      <c r="F11375" s="1">
        <v>13</v>
      </c>
      <c r="G11375" s="1">
        <v>6</v>
      </c>
      <c r="H11375" s="1">
        <v>0</v>
      </c>
      <c r="I11375" s="1" t="s">
        <v>23011</v>
      </c>
      <c r="K11375" s="1" t="str">
        <f t="shared" si="711"/>
        <v>ㄘ</v>
      </c>
      <c r="L11375" s="1" t="str">
        <f t="shared" si="709"/>
        <v>ㄞ</v>
      </c>
      <c r="N11375" s="3" t="s">
        <v>30576</v>
      </c>
      <c r="O11375" s="3"/>
      <c r="P11375" s="1" t="s">
        <v>20</v>
      </c>
      <c r="R11375" s="1" t="s">
        <v>23012</v>
      </c>
      <c r="V11375" s="1" t="s">
        <v>23028</v>
      </c>
      <c r="AR11375" s="1" t="str">
        <f t="shared" si="712"/>
        <v>| [ㄘㄞˇ](ㄘㄞˇ.md) | [跴](跴.md) |  | cǎi | [動]
1.踐踏。如：「你把我的帽子給跴壞了。」
2.追捕。參見「跴緝」條。 |</v>
      </c>
    </row>
    <row r="11376" spans="1:44" hidden="1">
      <c r="A11376" s="1" t="s">
        <v>22889</v>
      </c>
      <c r="C11376" s="1">
        <v>1</v>
      </c>
      <c r="D11376" s="1" t="str">
        <f>"09747"</f>
        <v>09747</v>
      </c>
      <c r="E11376" s="1" t="s">
        <v>77</v>
      </c>
      <c r="F11376" s="1">
        <v>13</v>
      </c>
      <c r="G11376" s="1">
        <v>6</v>
      </c>
      <c r="H11376" s="1">
        <v>2</v>
      </c>
      <c r="I11376" s="1" t="s">
        <v>23011</v>
      </c>
      <c r="K11376" s="1" t="str">
        <f t="shared" si="711"/>
        <v>ㄘ</v>
      </c>
      <c r="L11376" s="1" t="str">
        <f t="shared" si="709"/>
        <v>ㄞ</v>
      </c>
      <c r="N11376" s="3" t="s">
        <v>30576</v>
      </c>
      <c r="O11376" s="3"/>
      <c r="P11376" s="1" t="s">
        <v>20</v>
      </c>
      <c r="R11376" s="1" t="s">
        <v>23012</v>
      </c>
      <c r="V11376" s="1" t="s">
        <v>23029</v>
      </c>
      <c r="W11376" s="1" t="s">
        <v>23030</v>
      </c>
      <c r="AR11376" s="1" t="str">
        <f t="shared" si="712"/>
        <v>| [ㄘㄞˇ](ㄘㄞˇ.md) | [跐](跐.md) |  | cǎi | 同「跴」。 |</v>
      </c>
    </row>
    <row r="11377" spans="1:44" hidden="1">
      <c r="A11377" s="1" t="s">
        <v>23074</v>
      </c>
      <c r="C11377" s="1">
        <v>1</v>
      </c>
      <c r="D11377" s="1" t="str">
        <f>"09764"</f>
        <v>09764</v>
      </c>
      <c r="E11377" s="1" t="s">
        <v>68</v>
      </c>
      <c r="F11377" s="1">
        <v>8</v>
      </c>
      <c r="G11377" s="1">
        <v>2</v>
      </c>
      <c r="H11377" s="1">
        <v>0</v>
      </c>
      <c r="I11377" s="1" t="s">
        <v>23075</v>
      </c>
      <c r="K11377" s="1" t="str">
        <f t="shared" si="711"/>
        <v>ㄘ</v>
      </c>
      <c r="L11377" s="1" t="str">
        <f t="shared" ref="L11377:L11440" si="713">MID(I11377, 2, 1)</f>
        <v>ㄠ</v>
      </c>
      <c r="N11377" s="3" t="s">
        <v>30574</v>
      </c>
      <c r="O11377" s="3"/>
      <c r="P11377" s="1" t="s">
        <v>20</v>
      </c>
      <c r="R11377" s="1" t="s">
        <v>23076</v>
      </c>
      <c r="V11377" s="1" t="s">
        <v>23077</v>
      </c>
      <c r="AR11377" s="1" t="str">
        <f t="shared" si="712"/>
        <v>| [ㄘㄠˋ](ㄘㄠˋ.md) | [肏](肏.md) |  | cào | [動]
俗稱發生性關係。《程乙本紅樓夢》第一二回：「只見炕上那人笑道：『瑞大叔要肏我呢！』」 |</v>
      </c>
    </row>
    <row r="11378" spans="1:44" hidden="1">
      <c r="A11378" s="1" t="s">
        <v>22435</v>
      </c>
      <c r="C11378" s="1">
        <v>1</v>
      </c>
      <c r="D11378" s="1" t="str">
        <f>"09765"</f>
        <v>09765</v>
      </c>
      <c r="E11378" s="1" t="s">
        <v>558</v>
      </c>
      <c r="F11378" s="1">
        <v>11</v>
      </c>
      <c r="G11378" s="1">
        <v>7</v>
      </c>
      <c r="H11378" s="1">
        <v>2</v>
      </c>
      <c r="I11378" s="1" t="s">
        <v>23075</v>
      </c>
      <c r="K11378" s="1" t="str">
        <f t="shared" si="711"/>
        <v>ㄘ</v>
      </c>
      <c r="L11378" s="1" t="str">
        <f t="shared" si="713"/>
        <v>ㄠ</v>
      </c>
      <c r="N11378" s="3" t="s">
        <v>30574</v>
      </c>
      <c r="O11378" s="3"/>
      <c r="P11378" s="1" t="s">
        <v>20</v>
      </c>
      <c r="R11378" s="1" t="s">
        <v>23076</v>
      </c>
      <c r="V11378" s="1" t="s">
        <v>23078</v>
      </c>
      <c r="W11378" s="1" t="s">
        <v>23079</v>
      </c>
      <c r="AR11378" s="1" t="str">
        <f t="shared" si="712"/>
        <v>| [ㄘㄠˋ](ㄘㄠˋ.md) | [造](造.md) |  | cào | [動]
1.(一)[動]5.之又音。
2.納。《禮記．喪大記》：「君設大盤造冰焉，大夫設夷盤造冰焉。」
[名]
(一)[名]1.之又音。 |</v>
      </c>
    </row>
    <row r="11379" spans="1:44" hidden="1">
      <c r="A11379" s="1" t="s">
        <v>22438</v>
      </c>
      <c r="C11379" s="1">
        <v>1</v>
      </c>
      <c r="D11379" s="1" t="str">
        <f>"09766"</f>
        <v>09766</v>
      </c>
      <c r="E11379" s="1" t="s">
        <v>250</v>
      </c>
      <c r="F11379" s="1">
        <v>14</v>
      </c>
      <c r="G11379" s="1">
        <v>11</v>
      </c>
      <c r="H11379" s="1">
        <v>2</v>
      </c>
      <c r="I11379" s="1" t="s">
        <v>23075</v>
      </c>
      <c r="K11379" s="1" t="str">
        <f t="shared" si="711"/>
        <v>ㄘ</v>
      </c>
      <c r="L11379" s="1" t="str">
        <f t="shared" si="713"/>
        <v>ㄠ</v>
      </c>
      <c r="N11379" s="3" t="s">
        <v>30574</v>
      </c>
      <c r="O11379" s="3"/>
      <c r="P11379" s="1" t="s">
        <v>110</v>
      </c>
      <c r="R11379" s="1" t="s">
        <v>23076</v>
      </c>
      <c r="V11379" s="1" t="s">
        <v>111</v>
      </c>
      <c r="W11379" s="1" t="s">
        <v>23080</v>
      </c>
      <c r="AR11379" s="1" t="str">
        <f t="shared" si="712"/>
        <v>| [ㄘㄠˋ](ㄘㄠˋ.md) | [慥](慥.md) |  | cào | (一)之又音。 |</v>
      </c>
    </row>
    <row r="11380" spans="1:44" hidden="1">
      <c r="A11380" s="1" t="s">
        <v>23047</v>
      </c>
      <c r="C11380" s="1">
        <v>1</v>
      </c>
      <c r="D11380" s="1" t="str">
        <f>"09767"</f>
        <v>09767</v>
      </c>
      <c r="E11380" s="1" t="s">
        <v>46</v>
      </c>
      <c r="F11380" s="1">
        <v>17</v>
      </c>
      <c r="G11380" s="1">
        <v>11</v>
      </c>
      <c r="H11380" s="1">
        <v>2</v>
      </c>
      <c r="I11380" s="1" t="s">
        <v>23075</v>
      </c>
      <c r="K11380" s="1" t="str">
        <f t="shared" si="711"/>
        <v>ㄘ</v>
      </c>
      <c r="L11380" s="1" t="str">
        <f t="shared" si="713"/>
        <v>ㄠ</v>
      </c>
      <c r="N11380" s="3" t="s">
        <v>30574</v>
      </c>
      <c r="O11380" s="3"/>
      <c r="P11380" s="1" t="s">
        <v>186</v>
      </c>
      <c r="R11380" s="1" t="s">
        <v>23076</v>
      </c>
      <c r="V11380" s="1" t="s">
        <v>206</v>
      </c>
      <c r="W11380" s="1" t="s">
        <v>23081</v>
      </c>
      <c r="AR11380" s="1" t="str">
        <f t="shared" si="712"/>
        <v>| [ㄘㄠˋ](ㄘㄠˋ.md) | [糙](糙.md) |  | cào | (一)之讀音。 |</v>
      </c>
    </row>
    <row r="11381" spans="1:44" hidden="1">
      <c r="A11381" s="1" t="s">
        <v>23042</v>
      </c>
      <c r="C11381" s="1">
        <v>1</v>
      </c>
      <c r="D11381" s="1" t="str">
        <f>"09768"</f>
        <v>09768</v>
      </c>
      <c r="E11381" s="1" t="s">
        <v>24</v>
      </c>
      <c r="F11381" s="1">
        <v>16</v>
      </c>
      <c r="G11381" s="1">
        <v>13</v>
      </c>
      <c r="H11381" s="1">
        <v>2</v>
      </c>
      <c r="I11381" s="1" t="s">
        <v>23075</v>
      </c>
      <c r="K11381" s="1" t="str">
        <f t="shared" si="711"/>
        <v>ㄘ</v>
      </c>
      <c r="L11381" s="1" t="str">
        <f t="shared" si="713"/>
        <v>ㄠ</v>
      </c>
      <c r="N11381" s="3" t="s">
        <v>30574</v>
      </c>
      <c r="O11381" s="3"/>
      <c r="P11381" s="1" t="s">
        <v>110</v>
      </c>
      <c r="R11381" s="1" t="s">
        <v>23076</v>
      </c>
      <c r="V11381" s="1" t="s">
        <v>111</v>
      </c>
      <c r="W11381" s="1" t="s">
        <v>23082</v>
      </c>
      <c r="AR11381" s="1" t="str">
        <f t="shared" si="712"/>
        <v>| [ㄘㄠˋ](ㄘㄠˋ.md) | [操](操.md) |  | cào | (一)之又音。 |</v>
      </c>
    </row>
    <row r="11382" spans="1:44" hidden="1">
      <c r="A11382" s="1" t="s">
        <v>23050</v>
      </c>
      <c r="C11382" s="1">
        <v>1</v>
      </c>
      <c r="D11382" s="1" t="str">
        <f>"09754"</f>
        <v>09754</v>
      </c>
      <c r="E11382" s="1" t="s">
        <v>6488</v>
      </c>
      <c r="F11382" s="1">
        <v>11</v>
      </c>
      <c r="G11382" s="1">
        <v>7</v>
      </c>
      <c r="H11382" s="1">
        <v>0</v>
      </c>
      <c r="I11382" s="1" t="s">
        <v>23051</v>
      </c>
      <c r="K11382" s="1" t="str">
        <f t="shared" si="711"/>
        <v>ㄘ</v>
      </c>
      <c r="L11382" s="1" t="str">
        <f t="shared" si="713"/>
        <v>ㄠ</v>
      </c>
      <c r="N11382" s="3" t="s">
        <v>30575</v>
      </c>
      <c r="O11382" s="3"/>
      <c r="P11382" s="1" t="s">
        <v>20</v>
      </c>
      <c r="R11382" s="1" t="s">
        <v>23052</v>
      </c>
      <c r="V11382" s="1" t="s">
        <v>23053</v>
      </c>
      <c r="AR11382" s="1" t="str">
        <f t="shared" si="712"/>
        <v>| [ㄘㄠˊ](ㄘㄠˊ.md) | [曹](曹.md) |  | cáo | [名]
1.古代訴訟時，稱原告和被告兩方為「兩曹」。
2.古代分科辦事的官署部門或官職。《續漢書志．第二六．百官志三》：「成帝初置尚書四人，分為四曹。」《文明小史》第七回：「現在的人，都把知府看得是個閑曹。」
3.群眾、同伴。《左傳．昭公十二年》：「周原伯絞虐其輿臣，使曹逃。」唐．杜甫〈曲江三章章五句〉三首之一：「白石素沙亦相蕩，哀鴻獨叫求其曹。」
4.國名。周代諸侯國之一。故址約在今大陸地區山東西部。
5.姓。如三國時魏有曹植。
[代]
等輩、儕類。如：「爾曹」、「吾曹」、「女曹」。《後漢書．卷四七．班超傳》：「卿曹與我俱在絕域，欲立大功以求富貴。」
[副]
共同、一齊。《國語．周語下》：「且民所曹好，鮮其不濟也。」 |</v>
      </c>
    </row>
    <row r="11383" spans="1:44" hidden="1">
      <c r="A11383" s="1" t="s">
        <v>22443</v>
      </c>
      <c r="C11383" s="1">
        <v>1</v>
      </c>
      <c r="D11383" s="1" t="str">
        <f>"09755"</f>
        <v>09755</v>
      </c>
      <c r="E11383" s="1" t="s">
        <v>129</v>
      </c>
      <c r="F11383" s="1">
        <v>14</v>
      </c>
      <c r="G11383" s="1">
        <v>11</v>
      </c>
      <c r="H11383" s="1">
        <v>1</v>
      </c>
      <c r="I11383" s="1" t="s">
        <v>23051</v>
      </c>
      <c r="K11383" s="1" t="str">
        <f t="shared" si="711"/>
        <v>ㄘ</v>
      </c>
      <c r="L11383" s="1" t="str">
        <f t="shared" si="713"/>
        <v>ㄠ</v>
      </c>
      <c r="N11383" s="3" t="s">
        <v>30575</v>
      </c>
      <c r="O11383" s="3"/>
      <c r="P11383" s="1" t="s">
        <v>20</v>
      </c>
      <c r="R11383" s="1" t="s">
        <v>23052</v>
      </c>
      <c r="V11383" s="1" t="s">
        <v>23054</v>
      </c>
      <c r="W11383" s="1" t="s">
        <v>23055</v>
      </c>
      <c r="AR11383" s="1" t="str">
        <f t="shared" si="712"/>
        <v>| [ㄘㄠˊ](ㄘㄠˊ.md) | [漕](漕.md) |  | cáo | [動]
由水道轉運、輸送糧食。《說文解字．水部》：「漕，水轉穀也。」如：「漕糧」。《管子．輕重戊》：「齊即令隰朋漕粟於趙。」《文選．潘岳．西征賦》：「浸決鄭白之渠，漕引淮海之粟。」
[名]
1.河渠。《文選．班固．西都賦》：「東郊則有通溝大漕，潰渭洞河，泛舟山東，控引淮、湖。」
2.地名。春秋時代衛國有漕邑。故址約位於今大陸地區河南省滑縣東南。
3.姓。如漢代有漕中叔。 |</v>
      </c>
    </row>
    <row r="11384" spans="1:44" hidden="1">
      <c r="A11384" s="1" t="s">
        <v>23056</v>
      </c>
      <c r="C11384" s="1">
        <v>1</v>
      </c>
      <c r="D11384" s="1" t="str">
        <f>"09756"</f>
        <v>09756</v>
      </c>
      <c r="E11384" s="1" t="s">
        <v>28</v>
      </c>
      <c r="F11384" s="1">
        <v>14</v>
      </c>
      <c r="G11384" s="1">
        <v>11</v>
      </c>
      <c r="H11384" s="1">
        <v>0</v>
      </c>
      <c r="I11384" s="1" t="s">
        <v>23051</v>
      </c>
      <c r="K11384" s="1" t="str">
        <f t="shared" si="711"/>
        <v>ㄘ</v>
      </c>
      <c r="L11384" s="1" t="str">
        <f t="shared" si="713"/>
        <v>ㄠ</v>
      </c>
      <c r="N11384" s="3" t="s">
        <v>30575</v>
      </c>
      <c r="O11384" s="3"/>
      <c r="P11384" s="1" t="s">
        <v>20</v>
      </c>
      <c r="R11384" s="1" t="s">
        <v>23052</v>
      </c>
      <c r="V11384" s="1" t="s">
        <v>23057</v>
      </c>
      <c r="AR11384" s="1" t="str">
        <f t="shared" si="712"/>
        <v>| [ㄘㄠˊ](ㄘㄠˊ.md) | [嘈](嘈.md) |  | cáo | [形]
喧鬧、繁雜。如：「嘈雜」。唐．白居易〈琵琶行〉：「大弦嘈嘈如急雨，小弦切切如私語。」
[動]
1.一起發出聲音。《文選．潘岳．笙賦》：「光歧儼其偕列，雙鳳嘈以和鳴。」
2.吵。《水滸傳》第四五回：「（那婦人）口裡嘈道：『師兄，你只顧央我吃酒做什麼！』」《紅樓夢》第五八回：「探春因家務冗雜，且不時趙姨娘與賈環來嘈聒，甚不方便。」 |</v>
      </c>
    </row>
    <row r="11385" spans="1:44" hidden="1">
      <c r="A11385" s="1" t="s">
        <v>23058</v>
      </c>
      <c r="C11385" s="1">
        <v>1</v>
      </c>
      <c r="D11385" s="1" t="str">
        <f>"09757"</f>
        <v>09757</v>
      </c>
      <c r="E11385" s="1" t="s">
        <v>139</v>
      </c>
      <c r="F11385" s="1">
        <v>15</v>
      </c>
      <c r="G11385" s="1">
        <v>11</v>
      </c>
      <c r="H11385" s="1">
        <v>0</v>
      </c>
      <c r="I11385" s="1" t="s">
        <v>23051</v>
      </c>
      <c r="K11385" s="1" t="str">
        <f t="shared" si="711"/>
        <v>ㄘ</v>
      </c>
      <c r="L11385" s="1" t="str">
        <f t="shared" si="713"/>
        <v>ㄠ</v>
      </c>
      <c r="N11385" s="3" t="s">
        <v>30575</v>
      </c>
      <c r="O11385" s="3"/>
      <c r="P11385" s="1" t="s">
        <v>20</v>
      </c>
      <c r="R11385" s="1" t="s">
        <v>23052</v>
      </c>
      <c r="V11385" s="1" t="s">
        <v>23059</v>
      </c>
      <c r="AR11385" s="1" t="str">
        <f t="shared" si="712"/>
        <v>| [ㄘㄠˊ](ㄘㄠˊ.md) | [槽](槽.md) |  | cáo | [名]_x000D_
1.放飼料餵牲畜的器具。如：「馬槽」、「豬槽」。《晉書．卷一．宣帝紀》：「魏武察帝有雄豪志，……又嘗夢三馬同食一槽，甚惡焉。」唐．韓愈〈雜說〉：「故雖有名馬，祗辱于奴隸人之手，駢死于槽櫪之間，不以千里稱也。」_x000D_
2.泛指周邊高起、中間凹下，可盛液體的容器，多為長方形。如：「水槽」、「油槽」。《隋書．卷八一．東夷列傳．流求》：「以木槽中暴海水為鹽，木汁為酢，釀米麵為酒，其味甚薄。」唐．張籍〈和左司元郎中秋居〉詩一〇首之四：「就石安琴枕，穿松壓酒槽。」_x000D_
3.物體周邊高、中間凹下的部分。如：「在門框上挖個槽兒。」_x000D_
4.水道、溝渠。《宋史．卷四一二．列傳．孟珙》：「水跨九阜，建通天槽八十有三丈，溉田十萬頃。」宋．梅堯臣〈東城送運判馬察院〉詩：「役徒開汴前日放，亦將決水歸河槽。」_x000D_
5.弦樂器上架弦的凹格子。《魏書．卷一〇〇．烏洛侯列傳》：「樂有箜篌，木槽革面而施九弦。」_x000D_
6.量詞。(1)計算門窗或屋內隔斷物的單位。如：「兩槽窗戶」、「一槽隔扇」。(2)計算大小大致相同、同槽餵養的牲畜。如：「一槽豬」。 |</v>
      </c>
    </row>
    <row r="11386" spans="1:44" hidden="1">
      <c r="A11386" s="1" t="s">
        <v>23060</v>
      </c>
      <c r="C11386" s="1">
        <v>1</v>
      </c>
      <c r="D11386" s="1" t="str">
        <f>"09758"</f>
        <v>09758</v>
      </c>
      <c r="E11386" s="1" t="s">
        <v>679</v>
      </c>
      <c r="F11386" s="1">
        <v>17</v>
      </c>
      <c r="G11386" s="1">
        <v>11</v>
      </c>
      <c r="H11386" s="1">
        <v>0</v>
      </c>
      <c r="I11386" s="1" t="s">
        <v>23051</v>
      </c>
      <c r="K11386" s="1" t="str">
        <f t="shared" si="711"/>
        <v>ㄘ</v>
      </c>
      <c r="L11386" s="1" t="str">
        <f t="shared" si="713"/>
        <v>ㄠ</v>
      </c>
      <c r="N11386" s="3" t="s">
        <v>30575</v>
      </c>
      <c r="O11386" s="3"/>
      <c r="P11386" s="1" t="s">
        <v>20</v>
      </c>
      <c r="R11386" s="1" t="s">
        <v>23052</v>
      </c>
      <c r="V11386" s="1" t="s">
        <v>15025</v>
      </c>
      <c r="AR11386" s="1" t="str">
        <f t="shared" si="712"/>
        <v>| [ㄘㄠˊ](ㄘㄠˊ.md) | [螬](螬.md) |  | cáo | 參見「蠐螬」條。 |</v>
      </c>
    </row>
    <row r="11387" spans="1:44" hidden="1">
      <c r="A11387" s="1" t="s">
        <v>23061</v>
      </c>
      <c r="C11387" s="1">
        <v>1</v>
      </c>
      <c r="D11387" s="1" t="str">
        <f>"09759"</f>
        <v>09759</v>
      </c>
      <c r="E11387" s="1" t="s">
        <v>37</v>
      </c>
      <c r="F11387" s="1">
        <v>6</v>
      </c>
      <c r="G11387" s="1">
        <v>0</v>
      </c>
      <c r="H11387" s="1">
        <v>0</v>
      </c>
      <c r="I11387" s="1" t="s">
        <v>23062</v>
      </c>
      <c r="K11387" s="1" t="str">
        <f t="shared" si="711"/>
        <v>ㄘ</v>
      </c>
      <c r="L11387" s="1" t="str">
        <f t="shared" si="713"/>
        <v>ㄠ</v>
      </c>
      <c r="N11387" s="3" t="s">
        <v>30576</v>
      </c>
      <c r="O11387" s="3"/>
      <c r="P11387" s="1" t="s">
        <v>20</v>
      </c>
      <c r="R11387" s="1" t="s">
        <v>23063</v>
      </c>
      <c r="V11387" s="1" t="s">
        <v>23064</v>
      </c>
      <c r="AR11387" s="1" t="str">
        <f t="shared" si="712"/>
        <v>| [ㄘㄠˇ](ㄘㄠˇ.md) | [艸](艸.md) |  | cǎo | [名]
1.草本植物的總稱。同「草」。《說文解字．艸部》：「艸，百芔也。」
2.二一四部首之一。 |</v>
      </c>
    </row>
    <row r="11388" spans="1:44" hidden="1">
      <c r="A11388" s="1" t="s">
        <v>23065</v>
      </c>
      <c r="C11388" s="1">
        <v>1</v>
      </c>
      <c r="D11388" s="1" t="str">
        <f>"09760"</f>
        <v>09760</v>
      </c>
      <c r="E11388" s="1" t="s">
        <v>37</v>
      </c>
      <c r="F11388" s="1">
        <v>10</v>
      </c>
      <c r="G11388" s="1">
        <v>6</v>
      </c>
      <c r="H11388" s="1">
        <v>0</v>
      </c>
      <c r="I11388" s="1" t="s">
        <v>23062</v>
      </c>
      <c r="K11388" s="1" t="str">
        <f t="shared" si="711"/>
        <v>ㄘ</v>
      </c>
      <c r="L11388" s="1" t="str">
        <f t="shared" si="713"/>
        <v>ㄠ</v>
      </c>
      <c r="N11388" s="3" t="s">
        <v>30576</v>
      </c>
      <c r="O11388" s="3"/>
      <c r="P11388" s="1" t="s">
        <v>20</v>
      </c>
      <c r="R11388" s="1" t="s">
        <v>23063</v>
      </c>
      <c r="V11388" s="1" t="s">
        <v>23066</v>
      </c>
      <c r="AR11388" s="1" t="str">
        <f t="shared" si="712"/>
        <v>| [ㄘㄠˇ](ㄘㄠˇ.md) | [草](草.md) |  | cǎo | [名]
1.草本植物的總稱。如：「草木」、「花草」、「碧草如茵」。唐．柳宗元〈段太尉逸事狀〉：「是歲大旱，野無草。」
2.田野、荒野。如：「草澤」。《商君書．墾令》：「農不敗而有餘日，則草必墾矣。」
3.一種書法字體。如：「狂草」、「行草」。
4.底稿、文稿。如：「起草」、「擬草」。
5.姓。如漢代有草中。
[形]
1.馬虎、粗率、不細膩。如：「潦草」。
2.初步的、尚未決定的。如：「草案」、「草圖」、「草約」。
3.用草編成的。如：「草蓆」、「草繩」、「草履」。
4.用草搭蓋的。如：「草棚」、「草房」、「草菴」。
[動]
1.起稿、擬訂。《漢書．卷三〇．藝文志》：「蕭何草律，亦著其法。」《晉書．卷八三．江逌傳》：「冀以免咎，使太常博士草其制。」
2.草寫。清．鄭板橋〈清季野聞〉：「板橋卻之不得，亦草『難得糊塗』，付之。」
[副]
草率。如：「草草了事」。清．孔尚任《桃花扇》第六齣：「草辦妝奩，粗陳筵席。」 |</v>
      </c>
    </row>
    <row r="11389" spans="1:44" hidden="1">
      <c r="A11389" s="1" t="s">
        <v>23067</v>
      </c>
      <c r="C11389" s="1">
        <v>1</v>
      </c>
      <c r="D11389" s="1" t="str">
        <f>"09761"</f>
        <v>09761</v>
      </c>
      <c r="E11389" s="1" t="s">
        <v>319</v>
      </c>
      <c r="F11389" s="1">
        <v>20</v>
      </c>
      <c r="G11389" s="1">
        <v>10</v>
      </c>
      <c r="H11389" s="1">
        <v>0</v>
      </c>
      <c r="I11389" s="1" t="s">
        <v>23062</v>
      </c>
      <c r="K11389" s="1" t="str">
        <f t="shared" si="711"/>
        <v>ㄘ</v>
      </c>
      <c r="L11389" s="1" t="str">
        <f t="shared" si="713"/>
        <v>ㄠ</v>
      </c>
      <c r="N11389" s="3" t="s">
        <v>30576</v>
      </c>
      <c r="O11389" s="3"/>
      <c r="P11389" s="1" t="s">
        <v>20</v>
      </c>
      <c r="R11389" s="1" t="s">
        <v>23063</v>
      </c>
      <c r="V11389" s="1" t="s">
        <v>23068</v>
      </c>
      <c r="AR11389" s="1" t="str">
        <f t="shared" si="712"/>
        <v>| [ㄘㄠˇ](ㄘㄠˇ.md) | [騲](騲.md) |  | cǎo | [名]
1.母馬。《玉篇．馬部》：「騲，牝馬也。」
2.雌性牲畜的通稱。明．張自烈《正字通．馬部》：「騲，牝畜之通稱。」如：「騲驢」、「騲狗」。 |</v>
      </c>
    </row>
    <row r="11390" spans="1:44" hidden="1">
      <c r="A11390" s="1" t="s">
        <v>23069</v>
      </c>
      <c r="C11390" s="1">
        <v>1</v>
      </c>
      <c r="D11390" s="1" t="str">
        <f>"09762"</f>
        <v>09762</v>
      </c>
      <c r="E11390" s="1" t="s">
        <v>250</v>
      </c>
      <c r="F11390" s="1">
        <v>13</v>
      </c>
      <c r="G11390" s="1">
        <v>10</v>
      </c>
      <c r="H11390" s="1">
        <v>2</v>
      </c>
      <c r="I11390" s="1" t="s">
        <v>23062</v>
      </c>
      <c r="K11390" s="1" t="str">
        <f t="shared" si="711"/>
        <v>ㄘ</v>
      </c>
      <c r="L11390" s="1" t="str">
        <f t="shared" si="713"/>
        <v>ㄠ</v>
      </c>
      <c r="N11390" s="3" t="s">
        <v>30576</v>
      </c>
      <c r="O11390" s="3"/>
      <c r="P11390" s="1" t="s">
        <v>20</v>
      </c>
      <c r="R11390" s="1" t="s">
        <v>23063</v>
      </c>
      <c r="V11390" s="1" t="s">
        <v>23070</v>
      </c>
      <c r="W11390" s="1" t="s">
        <v>23071</v>
      </c>
      <c r="AR11390" s="1" t="str">
        <f t="shared" si="712"/>
        <v>| [ㄘㄠˇ](ㄘㄠˇ.md) | [慅](慅.md) |  | cǎo | [形]
憂愁。通「懆」。《詩經．陳風．月出》：「舒懮受兮，勞心慅兮。」南朝梁．武帝〈代蘇屬國婦詩〉：「愴愴獨涼枕，慅慅孤月帷。」 |</v>
      </c>
    </row>
    <row r="11391" spans="1:44" hidden="1">
      <c r="A11391" s="1" t="s">
        <v>23072</v>
      </c>
      <c r="C11391" s="1">
        <v>1</v>
      </c>
      <c r="D11391" s="1" t="str">
        <f>"09763"</f>
        <v>09763</v>
      </c>
      <c r="E11391" s="1" t="s">
        <v>250</v>
      </c>
      <c r="F11391" s="1">
        <v>16</v>
      </c>
      <c r="G11391" s="1">
        <v>13</v>
      </c>
      <c r="H11391" s="1">
        <v>0</v>
      </c>
      <c r="I11391" s="1" t="s">
        <v>23062</v>
      </c>
      <c r="K11391" s="1" t="str">
        <f t="shared" si="711"/>
        <v>ㄘ</v>
      </c>
      <c r="L11391" s="1" t="str">
        <f t="shared" si="713"/>
        <v>ㄠ</v>
      </c>
      <c r="N11391" s="3" t="s">
        <v>30576</v>
      </c>
      <c r="O11391" s="3"/>
      <c r="P11391" s="1" t="s">
        <v>20</v>
      </c>
      <c r="R11391" s="1" t="s">
        <v>23063</v>
      </c>
      <c r="V11391" s="1" t="s">
        <v>23073</v>
      </c>
      <c r="AR11391" s="1" t="str">
        <f t="shared" si="712"/>
        <v>| [ㄘㄠˇ](ㄘㄠˇ.md) | [懆](懆.md) |  | cǎo | 參見「懆懆」條。 |</v>
      </c>
    </row>
    <row r="11392" spans="1:44" hidden="1">
      <c r="A11392" s="1" t="s">
        <v>23083</v>
      </c>
      <c r="C11392" s="1">
        <v>1</v>
      </c>
      <c r="D11392" s="1" t="str">
        <f>"09769"</f>
        <v>09769</v>
      </c>
      <c r="E11392" s="1" t="s">
        <v>129</v>
      </c>
      <c r="F11392" s="1">
        <v>12</v>
      </c>
      <c r="G11392" s="1">
        <v>9</v>
      </c>
      <c r="H11392" s="1">
        <v>0</v>
      </c>
      <c r="I11392" s="1" t="s">
        <v>23084</v>
      </c>
      <c r="K11392" s="1" t="str">
        <f t="shared" ref="K11392:K11455" si="714">LEFT(I11392, 1)</f>
        <v>ㄘ</v>
      </c>
      <c r="L11392" s="1" t="str">
        <f t="shared" si="713"/>
        <v>ㄡ</v>
      </c>
      <c r="N11392" s="3" t="s">
        <v>30574</v>
      </c>
      <c r="O11392" s="3"/>
      <c r="P11392" s="1" t="s">
        <v>20</v>
      </c>
      <c r="R11392" s="1" t="s">
        <v>23085</v>
      </c>
      <c r="V11392" s="1" t="s">
        <v>23086</v>
      </c>
      <c r="AR11392" s="1" t="str">
        <f t="shared" si="712"/>
        <v>| [ㄘㄡˋ](ㄘㄡˋ.md) | [湊](湊.md) |  | còu | [動]
1.聚攏、聚合。通「輳」。唐．王建〈照鏡〉詩：「萬愁生旅夜，百病湊衰年。」《紅樓夢》第三七回：「二人研墨蘸筆，湘雲便寫，寶釵便念，一時湊了十個。」
2.挨近、就。如：「湊熱鬧」、「往前湊一步。」唐．岑參〈尋少室張山人聞與偃師周明府同入都〉詩：「春雲湊深水，秋雨懸空山。」
[名]
肌膚的紋理。通「腠」。 |</v>
      </c>
    </row>
    <row r="11393" spans="1:44" hidden="1">
      <c r="A11393" s="1" t="s">
        <v>23087</v>
      </c>
      <c r="C11393" s="1">
        <v>1</v>
      </c>
      <c r="D11393" s="1" t="str">
        <f>"09770"</f>
        <v>09770</v>
      </c>
      <c r="E11393" s="1" t="s">
        <v>139</v>
      </c>
      <c r="F11393" s="1">
        <v>13</v>
      </c>
      <c r="G11393" s="1">
        <v>9</v>
      </c>
      <c r="H11393" s="1">
        <v>0</v>
      </c>
      <c r="I11393" s="1" t="s">
        <v>23084</v>
      </c>
      <c r="K11393" s="1" t="str">
        <f t="shared" si="714"/>
        <v>ㄘ</v>
      </c>
      <c r="L11393" s="1" t="str">
        <f t="shared" si="713"/>
        <v>ㄡ</v>
      </c>
      <c r="N11393" s="3" t="s">
        <v>30574</v>
      </c>
      <c r="O11393" s="3"/>
      <c r="P11393" s="1" t="s">
        <v>20</v>
      </c>
      <c r="R11393" s="1" t="s">
        <v>23085</v>
      </c>
      <c r="V11393" s="1" t="s">
        <v>23088</v>
      </c>
      <c r="AR11393" s="1" t="str">
        <f t="shared" si="712"/>
        <v>| [ㄘㄡˋ](ㄘㄡˋ.md) | [楱](楱.md) |  | còu | [名]
一種橘子之類的果樹。《文選．司馬相如．上林賦》：「盧橘夏熟，黃甘橙楱。」李善注引郭璞曰：「亦橘之類也。」 |</v>
      </c>
    </row>
    <row r="11394" spans="1:44" hidden="1">
      <c r="A11394" s="1" t="s">
        <v>23089</v>
      </c>
      <c r="C11394" s="1">
        <v>1</v>
      </c>
      <c r="D11394" s="1" t="str">
        <f>"09771"</f>
        <v>09771</v>
      </c>
      <c r="E11394" s="1" t="s">
        <v>68</v>
      </c>
      <c r="F11394" s="1">
        <v>13</v>
      </c>
      <c r="G11394" s="1">
        <v>9</v>
      </c>
      <c r="H11394" s="1">
        <v>0</v>
      </c>
      <c r="I11394" s="1" t="s">
        <v>23084</v>
      </c>
      <c r="K11394" s="1" t="str">
        <f t="shared" si="714"/>
        <v>ㄘ</v>
      </c>
      <c r="L11394" s="1" t="str">
        <f t="shared" si="713"/>
        <v>ㄡ</v>
      </c>
      <c r="N11394" s="3" t="s">
        <v>30574</v>
      </c>
      <c r="O11394" s="3"/>
      <c r="P11394" s="1" t="s">
        <v>20</v>
      </c>
      <c r="R11394" s="1" t="s">
        <v>23085</v>
      </c>
      <c r="V11394" s="1" t="s">
        <v>23090</v>
      </c>
      <c r="AR11394" s="1" t="str">
        <f t="shared" si="712"/>
        <v>| [ㄘㄡˋ](ㄘㄡˋ.md) | [腠](腠.md) |  | còu | [名]
肌膚的紋理。漢．桓寬《鹽鐵論．輕重》：「夫拙醫不知脈理之腠，血氣之分。」 |</v>
      </c>
    </row>
    <row r="11395" spans="1:44" hidden="1">
      <c r="A11395" s="1" t="s">
        <v>23091</v>
      </c>
      <c r="C11395" s="1">
        <v>1</v>
      </c>
      <c r="D11395" s="1" t="str">
        <f>"09772"</f>
        <v>09772</v>
      </c>
      <c r="E11395" s="1" t="s">
        <v>71</v>
      </c>
      <c r="F11395" s="1">
        <v>16</v>
      </c>
      <c r="G11395" s="1">
        <v>9</v>
      </c>
      <c r="H11395" s="1">
        <v>0</v>
      </c>
      <c r="I11395" s="1" t="s">
        <v>23084</v>
      </c>
      <c r="K11395" s="1" t="str">
        <f t="shared" si="714"/>
        <v>ㄘ</v>
      </c>
      <c r="L11395" s="1" t="str">
        <f t="shared" si="713"/>
        <v>ㄡ</v>
      </c>
      <c r="N11395" s="3" t="s">
        <v>30574</v>
      </c>
      <c r="O11395" s="3"/>
      <c r="P11395" s="1" t="s">
        <v>20</v>
      </c>
      <c r="R11395" s="1" t="s">
        <v>23085</v>
      </c>
      <c r="V11395" s="1" t="s">
        <v>23092</v>
      </c>
      <c r="AR11395" s="1" t="str">
        <f t="shared" ref="AR11395:AR11458" si="715">"| ["&amp;I11395&amp;"]("&amp;I11395&amp;".md) | ["&amp;A11395&amp;"]("&amp;A11395&amp;".md) | "&amp;" | "&amp;R11395&amp;" | "&amp;V11395&amp;" |"</f>
        <v>| [ㄘㄡˋ](ㄘㄡˋ.md) | [輳](輳.md) |  | còu | [動]
1.車輪上的輻條集中於轂內。《玉篇．車部》：「輳，輻輳也。」
2.聚集。《漢書．卷四三．叔孫通傳》：「吏人人奉職，四方輻輳。」唐．顏師古．注：「輳，聚也。」 |</v>
      </c>
    </row>
    <row r="11396" spans="1:44" hidden="1">
      <c r="A11396" s="1" t="s">
        <v>19762</v>
      </c>
      <c r="C11396" s="1">
        <v>1</v>
      </c>
      <c r="D11396" s="1" t="str">
        <f>"09783"</f>
        <v>09783</v>
      </c>
      <c r="E11396" s="1" t="s">
        <v>241</v>
      </c>
      <c r="F11396" s="1">
        <v>12</v>
      </c>
      <c r="G11396" s="1">
        <v>9</v>
      </c>
      <c r="H11396" s="1">
        <v>2</v>
      </c>
      <c r="I11396" s="1" t="s">
        <v>23119</v>
      </c>
      <c r="K11396" s="1" t="str">
        <f t="shared" si="714"/>
        <v>ㄘ</v>
      </c>
      <c r="L11396" s="1" t="str">
        <f t="shared" si="713"/>
        <v>ㄢ</v>
      </c>
      <c r="N11396" s="3" t="s">
        <v>30574</v>
      </c>
      <c r="O11396" s="3"/>
      <c r="P11396" s="1" t="s">
        <v>20</v>
      </c>
      <c r="R11396" s="1" t="s">
        <v>23120</v>
      </c>
      <c r="V11396" s="1" t="s">
        <v>23121</v>
      </c>
      <c r="W11396" s="1" t="s">
        <v>23122</v>
      </c>
      <c r="AR11396" s="1" t="str">
        <f t="shared" si="715"/>
        <v>| [ㄘㄢˋ](ㄘㄢˋ.md) | [孱](孱.md) |  | càn | 參見「孱頭」條。 |</v>
      </c>
    </row>
    <row r="11397" spans="1:44" hidden="1">
      <c r="A11397" s="1" t="s">
        <v>23123</v>
      </c>
      <c r="C11397" s="1">
        <v>1</v>
      </c>
      <c r="D11397" s="1" t="str">
        <f>"09784"</f>
        <v>09784</v>
      </c>
      <c r="E11397" s="1" t="s">
        <v>46</v>
      </c>
      <c r="F11397" s="1">
        <v>13</v>
      </c>
      <c r="G11397" s="1">
        <v>7</v>
      </c>
      <c r="H11397" s="1">
        <v>0</v>
      </c>
      <c r="I11397" s="1" t="s">
        <v>23119</v>
      </c>
      <c r="K11397" s="1" t="str">
        <f t="shared" si="714"/>
        <v>ㄘ</v>
      </c>
      <c r="L11397" s="1" t="str">
        <f t="shared" si="713"/>
        <v>ㄢ</v>
      </c>
      <c r="N11397" s="3" t="s">
        <v>30574</v>
      </c>
      <c r="O11397" s="3"/>
      <c r="P11397" s="1" t="s">
        <v>20</v>
      </c>
      <c r="R11397" s="1" t="s">
        <v>23120</v>
      </c>
      <c r="V11397" s="1" t="s">
        <v>23124</v>
      </c>
      <c r="AR11397" s="1" t="str">
        <f t="shared" si="715"/>
        <v>| [ㄘㄢˋ](ㄘㄢˋ.md) | [粲](粲.md) |  | càn | [名]
1.精米。《說文解字．米部》「粲」字．清．段玉裁．注：「稻米九斗而舂為八斗，……則曰粲。……稻米至於粲，皆精之至矣。」
2.笑。清．徐珂《清稗類鈔．譏諷類．官金二十字之別解》：「今之弄筆，意在一粲。」
[形]
1.鮮明華美的樣子。《詩經．唐風．葛生》：「角枕粲兮，錦衾爛兮。」《文選．曹植．贈徐幹詩》：「圓景光未滿，眾星粲以繁。」
2.明白、清楚。《漢書．卷八．宣帝紀》：「骨肉之親粲而不殊。」唐．顏師古．注：「粲，明也。殊，絕也。」 |</v>
      </c>
    </row>
    <row r="11398" spans="1:44" hidden="1">
      <c r="A11398" s="1" t="s">
        <v>23125</v>
      </c>
      <c r="C11398" s="1">
        <v>1</v>
      </c>
      <c r="D11398" s="1" t="str">
        <f>"09785"</f>
        <v>09785</v>
      </c>
      <c r="E11398" s="1" t="s">
        <v>336</v>
      </c>
      <c r="F11398" s="1">
        <v>17</v>
      </c>
      <c r="G11398" s="1">
        <v>13</v>
      </c>
      <c r="H11398" s="1">
        <v>0</v>
      </c>
      <c r="I11398" s="1" t="s">
        <v>23119</v>
      </c>
      <c r="K11398" s="1" t="str">
        <f t="shared" si="714"/>
        <v>ㄘ</v>
      </c>
      <c r="L11398" s="1" t="str">
        <f t="shared" si="713"/>
        <v>ㄢ</v>
      </c>
      <c r="N11398" s="3" t="s">
        <v>30574</v>
      </c>
      <c r="O11398" s="3"/>
      <c r="P11398" s="1" t="s">
        <v>20</v>
      </c>
      <c r="R11398" s="1" t="s">
        <v>23120</v>
      </c>
      <c r="V11398" s="1" t="s">
        <v>23126</v>
      </c>
      <c r="AR11398" s="1" t="str">
        <f t="shared" si="715"/>
        <v>| [ㄘㄢˋ](ㄘㄢˋ.md) | [燦](燦.md) |  | càn | [形]
光彩鮮明、耀眼。如：「燦爛」。 |</v>
      </c>
    </row>
    <row r="11399" spans="1:44" hidden="1">
      <c r="A11399" s="1" t="s">
        <v>23127</v>
      </c>
      <c r="C11399" s="1">
        <v>1</v>
      </c>
      <c r="D11399" s="1" t="str">
        <f>"09786"</f>
        <v>09786</v>
      </c>
      <c r="E11399" s="1" t="s">
        <v>142</v>
      </c>
      <c r="F11399" s="1">
        <v>17</v>
      </c>
      <c r="G11399" s="1">
        <v>13</v>
      </c>
      <c r="H11399" s="1">
        <v>0</v>
      </c>
      <c r="I11399" s="1" t="s">
        <v>23119</v>
      </c>
      <c r="K11399" s="1" t="str">
        <f t="shared" si="714"/>
        <v>ㄘ</v>
      </c>
      <c r="L11399" s="1" t="str">
        <f t="shared" si="713"/>
        <v>ㄢ</v>
      </c>
      <c r="N11399" s="3" t="s">
        <v>30574</v>
      </c>
      <c r="O11399" s="3"/>
      <c r="P11399" s="1" t="s">
        <v>20</v>
      </c>
      <c r="R11399" s="1" t="s">
        <v>23120</v>
      </c>
      <c r="V11399" s="1" t="s">
        <v>23128</v>
      </c>
      <c r="AR11399" s="1" t="str">
        <f t="shared" si="715"/>
        <v>| [ㄘㄢˋ](ㄘㄢˋ.md) | [璨](璨.md) |  | càn | [名]
美玉。《廣韻．去聲．翰韻》：「璨，美玉。」
[形]
參見「璨璨」條。 |</v>
      </c>
    </row>
    <row r="11400" spans="1:44" hidden="1">
      <c r="A11400" s="1" t="s">
        <v>19742</v>
      </c>
      <c r="C11400" s="1">
        <v>1</v>
      </c>
      <c r="D11400" s="1" t="str">
        <f>"09787"</f>
        <v>09787</v>
      </c>
      <c r="E11400" s="1" t="s">
        <v>24</v>
      </c>
      <c r="F11400" s="1">
        <v>14</v>
      </c>
      <c r="G11400" s="1">
        <v>11</v>
      </c>
      <c r="H11400" s="1">
        <v>3</v>
      </c>
      <c r="I11400" s="1" t="s">
        <v>23119</v>
      </c>
      <c r="K11400" s="1" t="str">
        <f t="shared" si="714"/>
        <v>ㄘ</v>
      </c>
      <c r="L11400" s="1" t="str">
        <f t="shared" si="713"/>
        <v>ㄢ</v>
      </c>
      <c r="N11400" s="3" t="s">
        <v>30574</v>
      </c>
      <c r="O11400" s="3"/>
      <c r="P11400" s="1" t="s">
        <v>20</v>
      </c>
      <c r="R11400" s="1" t="s">
        <v>23120</v>
      </c>
      <c r="V11400" s="1" t="s">
        <v>23129</v>
      </c>
      <c r="W11400" s="1" t="s">
        <v>23130</v>
      </c>
      <c r="AR11400" s="1" t="str">
        <f t="shared" si="715"/>
        <v>| [ㄘㄢˋ](ㄘㄢˋ.md) | [摻](摻.md) |  | càn | 參見「漁陽摻撾」條。 |</v>
      </c>
    </row>
    <row r="11401" spans="1:44" hidden="1">
      <c r="A11401" s="1" t="s">
        <v>13915</v>
      </c>
      <c r="C11401" s="1">
        <v>1</v>
      </c>
      <c r="D11401" s="1" t="str">
        <f>"09776"</f>
        <v>09776</v>
      </c>
      <c r="E11401" s="1" t="s">
        <v>222</v>
      </c>
      <c r="F11401" s="1">
        <v>11</v>
      </c>
      <c r="G11401" s="1">
        <v>8</v>
      </c>
      <c r="H11401" s="1">
        <v>2</v>
      </c>
      <c r="I11401" s="1" t="s">
        <v>23101</v>
      </c>
      <c r="K11401" s="1" t="str">
        <f t="shared" si="714"/>
        <v>ㄘ</v>
      </c>
      <c r="L11401" s="1" t="str">
        <f t="shared" si="713"/>
        <v>ㄢ</v>
      </c>
      <c r="N11401" s="3" t="s">
        <v>30575</v>
      </c>
      <c r="O11401" s="3"/>
      <c r="P11401" s="1" t="s">
        <v>20</v>
      </c>
      <c r="R11401" s="1" t="s">
        <v>23102</v>
      </c>
      <c r="V11401" s="1" t="s">
        <v>23103</v>
      </c>
      <c r="W11401" s="1" t="s">
        <v>23104</v>
      </c>
      <c r="AR11401" s="1" t="str">
        <f t="shared" si="715"/>
        <v>| [ㄘㄢˊ](ㄘㄢˊ.md) | [帴](帴.md) |  | cán | [名]
女子的內衣。《說文解字．巾部》：「帴，一曰婦人脅衣。」 |</v>
      </c>
    </row>
    <row r="11402" spans="1:44" hidden="1">
      <c r="A11402" s="1" t="s">
        <v>23105</v>
      </c>
      <c r="C11402" s="1">
        <v>1</v>
      </c>
      <c r="D11402" s="1" t="str">
        <f>"09777"</f>
        <v>09777</v>
      </c>
      <c r="E11402" s="1" t="s">
        <v>1372</v>
      </c>
      <c r="F11402" s="1">
        <v>12</v>
      </c>
      <c r="G11402" s="1">
        <v>8</v>
      </c>
      <c r="H11402" s="1">
        <v>0</v>
      </c>
      <c r="I11402" s="1" t="s">
        <v>23101</v>
      </c>
      <c r="K11402" s="1" t="str">
        <f t="shared" si="714"/>
        <v>ㄘ</v>
      </c>
      <c r="L11402" s="1" t="str">
        <f t="shared" si="713"/>
        <v>ㄢ</v>
      </c>
      <c r="N11402" s="3" t="s">
        <v>30575</v>
      </c>
      <c r="O11402" s="3"/>
      <c r="P11402" s="1" t="s">
        <v>20</v>
      </c>
      <c r="R11402" s="1" t="s">
        <v>23102</v>
      </c>
      <c r="V11402" s="1" t="s">
        <v>23106</v>
      </c>
      <c r="AR11402" s="1" t="str">
        <f t="shared" si="715"/>
        <v>| [ㄘㄢˊ](ㄘㄢˊ.md) | [殘](殘.md) |  | cán | [動]
傷害、毀壞。如：「摧殘」、「骨肉相殘」。《墨子．天志下》：「入其溝境，刈其禾稼，斬其樹木，殘其城郭。」
[形]
1.凶惡、凶暴。如：「殘忍」、「殘暴」。《漢書．卷七一．雋不疑傳》：「故不疑為吏，嚴而不殘。」
2.不完整的。如：「殘缺不全」。《漢書．卷三六．楚元王劉交傳》：「孝成皇帝閔學殘文缺，稍離其真，乃陳發祕臧，校理舊文。」
3.剩餘的、將盡的。如：「殘冬」、「風燭殘年」。唐．杜甫〈重題鄭氏東亭〉詩：「向晚尋征路，殘雲傍馬飛。」唐．元稹〈聞樂天授江州司馬〉詩：「殘燈無焰影幢幢，此夕聞君謫九江。」
[名]
暴戾。《史記．卷八九．張耳陳餘傳》：「將軍瞋目張膽，出萬死不顧一生之計，為天下除殘也。」 |</v>
      </c>
    </row>
    <row r="11403" spans="1:44" hidden="1">
      <c r="A11403" s="1" t="s">
        <v>23107</v>
      </c>
      <c r="C11403" s="1">
        <v>1</v>
      </c>
      <c r="D11403" s="1" t="str">
        <f>"09778"</f>
        <v>09778</v>
      </c>
      <c r="E11403" s="1" t="s">
        <v>250</v>
      </c>
      <c r="F11403" s="1">
        <v>14</v>
      </c>
      <c r="G11403" s="1">
        <v>11</v>
      </c>
      <c r="H11403" s="1">
        <v>0</v>
      </c>
      <c r="I11403" s="1" t="s">
        <v>23101</v>
      </c>
      <c r="K11403" s="1" t="str">
        <f t="shared" si="714"/>
        <v>ㄘ</v>
      </c>
      <c r="L11403" s="1" t="str">
        <f t="shared" si="713"/>
        <v>ㄢ</v>
      </c>
      <c r="N11403" s="3" t="s">
        <v>30575</v>
      </c>
      <c r="O11403" s="3"/>
      <c r="P11403" s="1" t="s">
        <v>20</v>
      </c>
      <c r="R11403" s="1" t="s">
        <v>23102</v>
      </c>
      <c r="V11403" s="1" t="s">
        <v>23108</v>
      </c>
      <c r="AR11403" s="1" t="str">
        <f t="shared" si="715"/>
        <v>| [ㄘㄢˊ](ㄘㄢˊ.md) | [慚](慚.md) |  | cán | [形]
羞愧。如：「大言不慚」。《書經．仲虺之誥》：「成湯放桀于南巢，惟有慚德。」《聊齋志異．卷三．連瑣》：「與楊略話，見女慚懼可憐，乃出，分手去。」 |</v>
      </c>
    </row>
    <row r="11404" spans="1:44" hidden="1">
      <c r="A11404" s="1" t="s">
        <v>23109</v>
      </c>
      <c r="C11404" s="1">
        <v>1</v>
      </c>
      <c r="D11404" s="1" t="str">
        <f>"09779"</f>
        <v>09779</v>
      </c>
      <c r="E11404" s="1" t="s">
        <v>679</v>
      </c>
      <c r="F11404" s="1">
        <v>24</v>
      </c>
      <c r="G11404" s="1">
        <v>18</v>
      </c>
      <c r="H11404" s="1">
        <v>0</v>
      </c>
      <c r="I11404" s="1" t="s">
        <v>23101</v>
      </c>
      <c r="K11404" s="1" t="str">
        <f t="shared" si="714"/>
        <v>ㄘ</v>
      </c>
      <c r="L11404" s="1" t="str">
        <f t="shared" si="713"/>
        <v>ㄢ</v>
      </c>
      <c r="N11404" s="3" t="s">
        <v>30575</v>
      </c>
      <c r="O11404" s="3"/>
      <c r="P11404" s="1" t="s">
        <v>20</v>
      </c>
      <c r="R11404" s="1" t="s">
        <v>23102</v>
      </c>
      <c r="V11404" s="1" t="s">
        <v>23110</v>
      </c>
      <c r="AR11404" s="1" t="str">
        <f t="shared" si="715"/>
        <v>| [ㄘㄢˊ](ㄘㄢˊ.md) | [蠶](蠶.md) |  | cán | [名]
鱗翅目蠶蛾科和天蠶科昆蟲的通稱。能吐絲，以環節蠕動，胸腹及尾有六對腳，食桑葉。自幼蟲成長，必蛻皮數次，每次三、四日，經三、四次後，作繭變蛹，化為蛾。
[動]
養蠶。《晉書．卷一一〇．慕容皝載記》：「其耕而食，蠶而衣，亦天之道也。」《新唐書．卷一一二．韓思彥傳》：「一夫耕，一婦蠶，衣食百人，欲儲蓄有餘，安可得乎？」
[副]
參見「蠶食」條。 |</v>
      </c>
    </row>
    <row r="11405" spans="1:44" hidden="1">
      <c r="A11405" s="1" t="s">
        <v>23111</v>
      </c>
      <c r="C11405" s="1">
        <v>1</v>
      </c>
      <c r="D11405" s="1" t="str">
        <f>"09780"</f>
        <v>09780</v>
      </c>
      <c r="E11405" s="1" t="s">
        <v>250</v>
      </c>
      <c r="F11405" s="1">
        <v>14</v>
      </c>
      <c r="G11405" s="1">
        <v>11</v>
      </c>
      <c r="H11405" s="1">
        <v>0</v>
      </c>
      <c r="I11405" s="1" t="s">
        <v>23112</v>
      </c>
      <c r="K11405" s="1" t="str">
        <f t="shared" si="714"/>
        <v>ㄘ</v>
      </c>
      <c r="L11405" s="1" t="str">
        <f t="shared" si="713"/>
        <v>ㄢ</v>
      </c>
      <c r="N11405" s="3" t="s">
        <v>30576</v>
      </c>
      <c r="O11405" s="3"/>
      <c r="P11405" s="1" t="s">
        <v>20</v>
      </c>
      <c r="R11405" s="1" t="s">
        <v>23113</v>
      </c>
      <c r="V11405" s="1" t="s">
        <v>23114</v>
      </c>
      <c r="AR11405" s="1" t="str">
        <f t="shared" si="715"/>
        <v>| [ㄘㄢˇ](ㄘㄢˇ.md) | [慘](慘.md) |  | cǎn | [形]
1.凶惡、狠毒。《後漢書．卷七七．酷吏傳．周紡傳》：「然苛慘失中，數為有司所奏。」《三國志．卷四七．吳書．吳主權傳》：「性苛慘，用法深刻。」
2.悲哀、淒涼。如：「悽慘」、「悲慘」。
3.暗淡、昏暗。通「黲」。《文選．王粲．登樓賦》：「風蕭瑟而並興兮，天慘慘而無色。」唐．蔣凝〈望思臺賦〉：「煙昏日慘，全非望月之中。」
[副]
程度厲害、嚴重。如：「慘白」、「慘敗」、「損失慘重」。 |</v>
      </c>
    </row>
    <row r="11406" spans="1:44" hidden="1">
      <c r="A11406" s="1" t="s">
        <v>23115</v>
      </c>
      <c r="C11406" s="1">
        <v>1</v>
      </c>
      <c r="D11406" s="1" t="str">
        <f>"09781"</f>
        <v>09781</v>
      </c>
      <c r="E11406" s="1" t="s">
        <v>2777</v>
      </c>
      <c r="F11406" s="1">
        <v>23</v>
      </c>
      <c r="G11406" s="1">
        <v>11</v>
      </c>
      <c r="H11406" s="1">
        <v>0</v>
      </c>
      <c r="I11406" s="1" t="s">
        <v>23112</v>
      </c>
      <c r="K11406" s="1" t="str">
        <f t="shared" si="714"/>
        <v>ㄘ</v>
      </c>
      <c r="L11406" s="1" t="str">
        <f t="shared" si="713"/>
        <v>ㄢ</v>
      </c>
      <c r="N11406" s="3" t="s">
        <v>30576</v>
      </c>
      <c r="O11406" s="3"/>
      <c r="P11406" s="1" t="s">
        <v>20</v>
      </c>
      <c r="R11406" s="1" t="s">
        <v>23113</v>
      </c>
      <c r="V11406" s="1" t="s">
        <v>23116</v>
      </c>
      <c r="AR11406" s="1" t="str">
        <f t="shared" si="715"/>
        <v>| [ㄘㄢˇ](ㄘㄢˇ.md) | [黲](黲.md) |  | cǎn | [形]
淺青黑色的。宋．沈括《夢溪筆談．卷二．故事二》：「近歲京師士人朝服乘馬，以黲衣蒙之，謂之『涼衫』。」 |</v>
      </c>
    </row>
    <row r="11407" spans="1:44" hidden="1">
      <c r="A11407" s="1" t="s">
        <v>23117</v>
      </c>
      <c r="C11407" s="1">
        <v>1</v>
      </c>
      <c r="D11407" s="1" t="str">
        <f>"09782"</f>
        <v>09782</v>
      </c>
      <c r="E11407" s="1" t="s">
        <v>250</v>
      </c>
      <c r="F11407" s="1">
        <v>15</v>
      </c>
      <c r="G11407" s="1">
        <v>12</v>
      </c>
      <c r="H11407" s="1">
        <v>0</v>
      </c>
      <c r="I11407" s="1" t="s">
        <v>23112</v>
      </c>
      <c r="K11407" s="1" t="str">
        <f t="shared" si="714"/>
        <v>ㄘ</v>
      </c>
      <c r="L11407" s="1" t="str">
        <f t="shared" si="713"/>
        <v>ㄢ</v>
      </c>
      <c r="N11407" s="3" t="s">
        <v>30576</v>
      </c>
      <c r="O11407" s="3"/>
      <c r="P11407" s="1" t="s">
        <v>20</v>
      </c>
      <c r="R11407" s="1" t="s">
        <v>23113</v>
      </c>
      <c r="V11407" s="1" t="s">
        <v>23118</v>
      </c>
      <c r="AR11407" s="1" t="str">
        <f t="shared" si="715"/>
        <v>| [ㄘㄢˇ](ㄘㄢˇ.md) | [憯](憯.md) |  | cǎn | [形]
憂傷、慘痛。《漢書．卷四九．鼂錯傳》：「法令煩憯，刑罰暴酷。」
[副]
竟。《詩經．大雅．民勞》：「式遏寇虐，憯不畏明。」 |</v>
      </c>
    </row>
    <row r="11408" spans="1:44" hidden="1">
      <c r="A11408" s="1" t="s">
        <v>23139</v>
      </c>
      <c r="C11408" s="1">
        <v>1</v>
      </c>
      <c r="D11408" s="1" t="str">
        <f>"09791"</f>
        <v>09791</v>
      </c>
      <c r="E11408" s="1" t="s">
        <v>190</v>
      </c>
      <c r="F11408" s="1">
        <v>7</v>
      </c>
      <c r="G11408" s="1">
        <v>4</v>
      </c>
      <c r="H11408" s="1">
        <v>0</v>
      </c>
      <c r="I11408" s="1" t="s">
        <v>23140</v>
      </c>
      <c r="K11408" s="1" t="str">
        <f t="shared" si="714"/>
        <v>ㄘ</v>
      </c>
      <c r="L11408" s="1" t="str">
        <f t="shared" si="713"/>
        <v>ㄣ</v>
      </c>
      <c r="N11408" s="3" t="s">
        <v>30575</v>
      </c>
      <c r="O11408" s="3"/>
      <c r="P11408" s="1" t="s">
        <v>20</v>
      </c>
      <c r="R11408" s="1" t="s">
        <v>23141</v>
      </c>
      <c r="V11408" s="1" t="s">
        <v>23142</v>
      </c>
      <c r="AR11408" s="1" t="str">
        <f t="shared" si="715"/>
        <v>| [ㄘㄣˊ](ㄘㄣˊ.md) | [岑](岑.md) |  | cén | [形]
1.山高而小的樣子。《說文解字．山部》：「岑，山小而高。」
2.高。《孟子．告子下》：「方寸之木，可使高於岑樓。」
[名]
1.高而小的山。《文選．馬融．長笛賦》：「託九成之孤岑兮，臨萬仞之石磎。」《文選．謝靈運．登臨海嶠初發彊中作與從弟惠連見羊何共和之詩》：「明登天姥岑，高高入雲霓。」
2.姓。如漢代有岑彭。 |</v>
      </c>
    </row>
    <row r="11409" spans="1:44" hidden="1">
      <c r="A11409" s="1" t="s">
        <v>23143</v>
      </c>
      <c r="C11409" s="1">
        <v>1</v>
      </c>
      <c r="D11409" s="1" t="str">
        <f>"09792"</f>
        <v>09792</v>
      </c>
      <c r="E11409" s="1" t="s">
        <v>129</v>
      </c>
      <c r="F11409" s="1">
        <v>10</v>
      </c>
      <c r="G11409" s="1">
        <v>7</v>
      </c>
      <c r="H11409" s="1">
        <v>0</v>
      </c>
      <c r="I11409" s="1" t="s">
        <v>23140</v>
      </c>
      <c r="K11409" s="1" t="str">
        <f t="shared" si="714"/>
        <v>ㄘ</v>
      </c>
      <c r="L11409" s="1" t="str">
        <f t="shared" si="713"/>
        <v>ㄣ</v>
      </c>
      <c r="N11409" s="3" t="s">
        <v>30575</v>
      </c>
      <c r="O11409" s="3"/>
      <c r="P11409" s="1" t="s">
        <v>20</v>
      </c>
      <c r="R11409" s="1" t="s">
        <v>23141</v>
      </c>
      <c r="V11409" s="1" t="s">
        <v>23144</v>
      </c>
      <c r="AR11409" s="1" t="str">
        <f t="shared" si="715"/>
        <v>| [ㄘㄣˊ](ㄘㄣˊ.md) | [涔](涔.md) |  | cén | [形]
1.水多的樣子。《淮南子．說林》：「宮池涔則溢，旱則涸。」
2.流不停的樣子。《文選．江淹．雜體詩．謝法曹》：「芳塵未歇席，涔淚猶在袂。」 |</v>
      </c>
    </row>
    <row r="11410" spans="1:44" hidden="1">
      <c r="A11410" s="1" t="s">
        <v>22599</v>
      </c>
      <c r="C11410" s="1">
        <v>1</v>
      </c>
      <c r="D11410" s="1" t="str">
        <f>"09799"</f>
        <v>09799</v>
      </c>
      <c r="E11410" s="1" t="s">
        <v>37</v>
      </c>
      <c r="F11410" s="1">
        <v>18</v>
      </c>
      <c r="G11410" s="1">
        <v>14</v>
      </c>
      <c r="H11410" s="1">
        <v>1</v>
      </c>
      <c r="I11410" s="1" t="s">
        <v>23159</v>
      </c>
      <c r="K11410" s="1" t="str">
        <f t="shared" si="714"/>
        <v>ㄘ</v>
      </c>
      <c r="L11410" s="1" t="str">
        <f t="shared" si="713"/>
        <v>ㄤ</v>
      </c>
      <c r="N11410" s="3" t="s">
        <v>30575</v>
      </c>
      <c r="O11410" s="3"/>
      <c r="P11410" s="1" t="s">
        <v>20</v>
      </c>
      <c r="R11410" s="1" t="s">
        <v>23160</v>
      </c>
      <c r="V11410" s="1" t="s">
        <v>23161</v>
      </c>
      <c r="W11410" s="1" t="s">
        <v>23162</v>
      </c>
      <c r="AR11410" s="1" t="str">
        <f t="shared" si="715"/>
        <v>| [ㄘㄤˊ](ㄘㄤˊ.md) | [藏](藏.md) |  | cáng | [動]
1.儲存。如：「收藏」、「儲藏」。《荀子．王制》：「春耕、夏耘、秋收、冬藏，四者不失時。」
2.隱匿。如：「躲藏」、「藏拙」、「藏汙納垢」。《論語．述而》：「用之則行，舍之則藏。」唐．李白〈答湖州迦葉司馬問白是何人〉詩：「青蓮居士謫仙人，酒肆藏名三十春。」
3.懷抱。《易經．繫辭下》：「君子藏器於身，待時而動。」《莊子．應帝王》：「有虞氏其猶藏仁以要人，亦得人矣，而未始出於非人。」
[名]
姓。如南朝宋有藏凝之。 |</v>
      </c>
    </row>
    <row r="11411" spans="1:44" hidden="1">
      <c r="A11411" s="1" t="s">
        <v>22585</v>
      </c>
      <c r="C11411" s="1">
        <v>1</v>
      </c>
      <c r="D11411" s="1" t="str">
        <f>"09800"</f>
        <v>09800</v>
      </c>
      <c r="E11411" s="1" t="s">
        <v>319</v>
      </c>
      <c r="F11411" s="1">
        <v>15</v>
      </c>
      <c r="G11411" s="1">
        <v>5</v>
      </c>
      <c r="H11411" s="1">
        <v>3</v>
      </c>
      <c r="I11411" s="1" t="s">
        <v>23163</v>
      </c>
      <c r="K11411" s="1" t="str">
        <f t="shared" si="714"/>
        <v>ㄘ</v>
      </c>
      <c r="L11411" s="1" t="str">
        <f t="shared" si="713"/>
        <v>ㄤ</v>
      </c>
      <c r="N11411" s="3" t="s">
        <v>30576</v>
      </c>
      <c r="O11411" s="3"/>
      <c r="P11411" s="1" t="s">
        <v>20</v>
      </c>
      <c r="R11411" s="1" t="s">
        <v>23164</v>
      </c>
      <c r="V11411" s="1" t="s">
        <v>23165</v>
      </c>
      <c r="W11411" s="1" t="s">
        <v>23166</v>
      </c>
      <c r="AR11411" s="1" t="str">
        <f t="shared" si="715"/>
        <v>| [ㄘㄤˇ](ㄘㄤˇ.md) | [駔](駔.md) |  | cǎng | 參見「駔子」條。 |</v>
      </c>
    </row>
    <row r="11412" spans="1:44" hidden="1">
      <c r="A11412" s="1" t="s">
        <v>23185</v>
      </c>
      <c r="C11412" s="1">
        <v>1</v>
      </c>
      <c r="D11412" s="1" t="str">
        <f>"09807"</f>
        <v>09807</v>
      </c>
      <c r="E11412" s="1" t="s">
        <v>77</v>
      </c>
      <c r="F11412" s="1">
        <v>19</v>
      </c>
      <c r="G11412" s="1">
        <v>12</v>
      </c>
      <c r="H11412" s="1">
        <v>0</v>
      </c>
      <c r="I11412" s="1" t="s">
        <v>23186</v>
      </c>
      <c r="K11412" s="1" t="str">
        <f t="shared" si="714"/>
        <v>ㄘ</v>
      </c>
      <c r="L11412" s="1" t="str">
        <f t="shared" si="713"/>
        <v>ㄥ</v>
      </c>
      <c r="N11412" s="3" t="s">
        <v>30574</v>
      </c>
      <c r="O11412" s="3"/>
      <c r="P11412" s="1" t="s">
        <v>20</v>
      </c>
      <c r="R11412" s="1" t="s">
        <v>23187</v>
      </c>
      <c r="V11412" s="1" t="s">
        <v>23188</v>
      </c>
      <c r="AR11412" s="1" t="str">
        <f t="shared" si="715"/>
        <v>| [ㄘㄥˋ](ㄘㄥˋ.md) | [蹭](蹭.md) |  | cèng | [動]
1.擦。如：「在鐵門邊蹭了一身汙油漆。」
2.踱。《紅樓夢》第二三回：「寶玉只得前去，一步挪不了三寸，蹭到這邊來。」
[形]
參見「蹭蹬」條。 |</v>
      </c>
    </row>
    <row r="11413" spans="1:44" hidden="1">
      <c r="A11413" s="1" t="s">
        <v>22604</v>
      </c>
      <c r="C11413" s="1">
        <v>1</v>
      </c>
      <c r="D11413" s="1" t="str">
        <f>"09802"</f>
        <v>09802</v>
      </c>
      <c r="E11413" s="1" t="s">
        <v>6488</v>
      </c>
      <c r="F11413" s="1">
        <v>12</v>
      </c>
      <c r="G11413" s="1">
        <v>8</v>
      </c>
      <c r="H11413" s="1">
        <v>2</v>
      </c>
      <c r="I11413" s="1" t="s">
        <v>23171</v>
      </c>
      <c r="K11413" s="1" t="str">
        <f t="shared" si="714"/>
        <v>ㄘ</v>
      </c>
      <c r="L11413" s="1" t="str">
        <f t="shared" si="713"/>
        <v>ㄥ</v>
      </c>
      <c r="N11413" s="3" t="s">
        <v>30575</v>
      </c>
      <c r="O11413" s="3"/>
      <c r="P11413" s="1" t="s">
        <v>20</v>
      </c>
      <c r="R11413" s="1" t="s">
        <v>23172</v>
      </c>
      <c r="V11413" s="1" t="s">
        <v>23173</v>
      </c>
      <c r="W11413" s="1" t="s">
        <v>23174</v>
      </c>
      <c r="AR11413" s="1" t="str">
        <f t="shared" si="715"/>
        <v>| [ㄘㄥˊ](ㄘㄥˊ.md) | [曾](曾.md) |  | céng | [副]
嘗、已經。表示行為、動作已經發生、進行過。如：「似曾相識」。《公羊傳．閔公元年》：「莊公存之時，樂曾淫于宮中。」《史記．卷一〇一．爰盎鼂錯傳》：「梁王以此怨盎，曾使人刺盎。」
[形]
1.重疊的、一重一重的。通「層」。唐．杜甫〈成都府〉詩：「曾城填華屋，季冬樹木蒼。」
2.深。《文選．郭璞．江賦》：「若乃曾潭之府，靈湖之淵，澄澹汪洸，瀇滉淵泫。」 |</v>
      </c>
    </row>
    <row r="11414" spans="1:44" hidden="1">
      <c r="A11414" s="1" t="s">
        <v>23175</v>
      </c>
      <c r="C11414" s="1">
        <v>1</v>
      </c>
      <c r="D11414" s="1" t="str">
        <f>"09803"</f>
        <v>09803</v>
      </c>
      <c r="E11414" s="1" t="s">
        <v>256</v>
      </c>
      <c r="F11414" s="1">
        <v>15</v>
      </c>
      <c r="G11414" s="1">
        <v>12</v>
      </c>
      <c r="H11414" s="1">
        <v>0</v>
      </c>
      <c r="I11414" s="1" t="s">
        <v>23171</v>
      </c>
      <c r="K11414" s="1" t="str">
        <f t="shared" si="714"/>
        <v>ㄘ</v>
      </c>
      <c r="L11414" s="1" t="str">
        <f t="shared" si="713"/>
        <v>ㄥ</v>
      </c>
      <c r="N11414" s="3" t="s">
        <v>30575</v>
      </c>
      <c r="O11414" s="3"/>
      <c r="P11414" s="1" t="s">
        <v>20</v>
      </c>
      <c r="R11414" s="1" t="s">
        <v>23172</v>
      </c>
      <c r="V11414" s="1" t="s">
        <v>23176</v>
      </c>
      <c r="AR11414" s="1" t="str">
        <f t="shared" si="715"/>
        <v>| [ㄘㄥˊ](ㄘㄥˊ.md) | [鄫](鄫.md) |  | céng | [名]
1.國名。夏禹之後封於此，春秋時為莒所滅。其故城約在今大陸地區山東省嶧縣境。
2.地名。春秋時鄭地，故城約位於今大陸地區河南省睢縣境。 |</v>
      </c>
    </row>
    <row r="11415" spans="1:44" hidden="1">
      <c r="A11415" s="1" t="s">
        <v>23177</v>
      </c>
      <c r="C11415" s="1">
        <v>1</v>
      </c>
      <c r="D11415" s="1" t="str">
        <f>"09804"</f>
        <v>09804</v>
      </c>
      <c r="E11415" s="1" t="s">
        <v>190</v>
      </c>
      <c r="F11415" s="1">
        <v>15</v>
      </c>
      <c r="G11415" s="1">
        <v>12</v>
      </c>
      <c r="H11415" s="1">
        <v>0</v>
      </c>
      <c r="I11415" s="1" t="s">
        <v>23171</v>
      </c>
      <c r="K11415" s="1" t="str">
        <f t="shared" si="714"/>
        <v>ㄘ</v>
      </c>
      <c r="L11415" s="1" t="str">
        <f t="shared" si="713"/>
        <v>ㄥ</v>
      </c>
      <c r="N11415" s="3" t="s">
        <v>30575</v>
      </c>
      <c r="O11415" s="3"/>
      <c r="P11415" s="1" t="s">
        <v>20</v>
      </c>
      <c r="R11415" s="1" t="s">
        <v>23172</v>
      </c>
      <c r="V11415" s="1" t="s">
        <v>23178</v>
      </c>
      <c r="AR11415" s="1" t="str">
        <f t="shared" si="715"/>
        <v>| [ㄘㄥˊ](ㄘㄥˊ.md) | [嶒](嶒.md) |  | céng | 參見「嶒稜」條。 |</v>
      </c>
    </row>
    <row r="11416" spans="1:44" hidden="1">
      <c r="A11416" s="1" t="s">
        <v>23179</v>
      </c>
      <c r="C11416" s="1">
        <v>1</v>
      </c>
      <c r="D11416" s="1" t="str">
        <f>"09805"</f>
        <v>09805</v>
      </c>
      <c r="E11416" s="1" t="s">
        <v>871</v>
      </c>
      <c r="F11416" s="1">
        <v>15</v>
      </c>
      <c r="G11416" s="1">
        <v>12</v>
      </c>
      <c r="H11416" s="1">
        <v>0</v>
      </c>
      <c r="I11416" s="1" t="s">
        <v>23171</v>
      </c>
      <c r="K11416" s="1" t="str">
        <f t="shared" si="714"/>
        <v>ㄘ</v>
      </c>
      <c r="L11416" s="1" t="str">
        <f t="shared" si="713"/>
        <v>ㄥ</v>
      </c>
      <c r="N11416" s="3" t="s">
        <v>30575</v>
      </c>
      <c r="O11416" s="3"/>
      <c r="P11416" s="1" t="s">
        <v>20</v>
      </c>
      <c r="R11416" s="1" t="s">
        <v>23172</v>
      </c>
      <c r="V11416" s="1" t="s">
        <v>23180</v>
      </c>
      <c r="AR11416" s="1" t="str">
        <f t="shared" si="715"/>
        <v>| [ㄘㄥˊ](ㄘㄥˊ.md) | [層](層.md) |  | céng | [名]
1.數重相疊的房屋。《說文解字．尸部》：「層，重屋也。」南朝梁．劉孝綽〈栖隱寺碑〉：「珠殿連雲，金層輝景。」
2.級、等次。如：「階層」、「經理層」、「上層社會」。
3.量詞。計算重疊、累積物的單位。如：「五層樓房」、「兩層玻璃」、「三層蛋糕」。
[形]
重疊的。如：「層巒疊嶂」。《楚辭．宋玉．招魂》：「層臺累榭，臨高山些。」
[副]
重覆、不斷。如：「層出不窮」。 |</v>
      </c>
    </row>
    <row r="11417" spans="1:44" hidden="1">
      <c r="A11417" s="1" t="s">
        <v>20049</v>
      </c>
      <c r="C11417" s="1">
        <v>1</v>
      </c>
      <c r="D11417" s="1" t="str">
        <f>"09806"</f>
        <v>09806</v>
      </c>
      <c r="E11417" s="1" t="s">
        <v>28</v>
      </c>
      <c r="F11417" s="1">
        <v>15</v>
      </c>
      <c r="G11417" s="1">
        <v>12</v>
      </c>
      <c r="H11417" s="1">
        <v>3</v>
      </c>
      <c r="I11417" s="1" t="s">
        <v>23181</v>
      </c>
      <c r="K11417" s="1" t="str">
        <f t="shared" si="714"/>
        <v>ㄘ</v>
      </c>
      <c r="L11417" s="1" t="str">
        <f t="shared" si="713"/>
        <v>ㄥ</v>
      </c>
      <c r="N11417" s="3" t="s">
        <v>30576</v>
      </c>
      <c r="O11417" s="3"/>
      <c r="P11417" s="1" t="s">
        <v>20</v>
      </c>
      <c r="R11417" s="1" t="s">
        <v>23182</v>
      </c>
      <c r="V11417" s="1" t="s">
        <v>23183</v>
      </c>
      <c r="W11417" s="1" t="s">
        <v>23184</v>
      </c>
      <c r="AR11417" s="1" t="str">
        <f t="shared" si="715"/>
        <v>| [ㄘㄥˇ](ㄘㄥˇ.md) | [噌](噌.md) |  | cěng | [副]
決裂。如：「他們兩人說噌了。」 |</v>
      </c>
    </row>
    <row r="11418" spans="1:44" hidden="1">
      <c r="A11418" s="1" t="s">
        <v>22645</v>
      </c>
      <c r="C11418" s="1">
        <v>1</v>
      </c>
      <c r="D11418" s="1" t="str">
        <f>"09813"</f>
        <v>09813</v>
      </c>
      <c r="E11418" s="1" t="s">
        <v>286</v>
      </c>
      <c r="F11418" s="1">
        <v>8</v>
      </c>
      <c r="G11418" s="1">
        <v>6</v>
      </c>
      <c r="H11418" s="1">
        <v>2</v>
      </c>
      <c r="I11418" s="1" t="s">
        <v>23203</v>
      </c>
      <c r="K11418" s="1" t="str">
        <f t="shared" si="714"/>
        <v>ㄘ</v>
      </c>
      <c r="L11418" s="1" t="str">
        <f t="shared" si="713"/>
        <v>ㄨ</v>
      </c>
      <c r="N11418" s="3" t="s">
        <v>30574</v>
      </c>
      <c r="O11418" s="3"/>
      <c r="P11418" s="1" t="s">
        <v>20</v>
      </c>
      <c r="R11418" s="1" t="s">
        <v>23204</v>
      </c>
      <c r="V11418" s="1" t="s">
        <v>23205</v>
      </c>
      <c r="W11418" s="1" t="s">
        <v>23206</v>
      </c>
      <c r="AR11418" s="1" t="str">
        <f t="shared" si="715"/>
        <v>| [ㄘㄨˋ](ㄘㄨˋ.md) | [卒](卒.md) |  | cù | [副]
倉猝、突然。《漢書．卷六〇．杜周傳》：「卒搖易之則民心惑，若是者誠難施也。」《聊齋志異．卷二．蓮香》：「卒見，大驚曰：『蓮姊復出耶！』」 |</v>
      </c>
    </row>
    <row r="11419" spans="1:44" hidden="1">
      <c r="A11419" s="1" t="s">
        <v>23207</v>
      </c>
      <c r="C11419" s="1">
        <v>1</v>
      </c>
      <c r="D11419" s="1" t="str">
        <f>"09814"</f>
        <v>09814</v>
      </c>
      <c r="E11419" s="1" t="s">
        <v>198</v>
      </c>
      <c r="F11419" s="1">
        <v>11</v>
      </c>
      <c r="G11419" s="1">
        <v>8</v>
      </c>
      <c r="H11419" s="1">
        <v>0</v>
      </c>
      <c r="I11419" s="1" t="s">
        <v>23203</v>
      </c>
      <c r="K11419" s="1" t="str">
        <f t="shared" si="714"/>
        <v>ㄘ</v>
      </c>
      <c r="L11419" s="1" t="str">
        <f t="shared" si="713"/>
        <v>ㄨ</v>
      </c>
      <c r="N11419" s="3" t="s">
        <v>30574</v>
      </c>
      <c r="O11419" s="3"/>
      <c r="P11419" s="1" t="s">
        <v>20</v>
      </c>
      <c r="R11419" s="1" t="s">
        <v>23204</v>
      </c>
      <c r="V11419" s="1" t="s">
        <v>23208</v>
      </c>
      <c r="AR11419" s="1" t="str">
        <f t="shared" si="715"/>
        <v>| [ㄘㄨˋ](ㄘㄨˋ.md) | [猝](猝.md) |  | cù | [副]
突然。《董西廂》卷六：「紅娘拜曰：『不敢隱匿，張生猝病，與鶯往視疾。』」 |</v>
      </c>
    </row>
    <row r="11420" spans="1:44" hidden="1">
      <c r="A11420" s="1" t="s">
        <v>23209</v>
      </c>
      <c r="C11420" s="1">
        <v>1</v>
      </c>
      <c r="D11420" s="1" t="str">
        <f>"09815"</f>
        <v>09815</v>
      </c>
      <c r="E11420" s="1" t="s">
        <v>114</v>
      </c>
      <c r="F11420" s="1">
        <v>9</v>
      </c>
      <c r="G11420" s="1">
        <v>7</v>
      </c>
      <c r="H11420" s="1">
        <v>0</v>
      </c>
      <c r="I11420" s="1" t="s">
        <v>23203</v>
      </c>
      <c r="K11420" s="1" t="str">
        <f t="shared" si="714"/>
        <v>ㄘ</v>
      </c>
      <c r="L11420" s="1" t="str">
        <f t="shared" si="713"/>
        <v>ㄨ</v>
      </c>
      <c r="N11420" s="3" t="s">
        <v>30574</v>
      </c>
      <c r="O11420" s="3"/>
      <c r="P11420" s="1" t="s">
        <v>20</v>
      </c>
      <c r="R11420" s="1" t="s">
        <v>23204</v>
      </c>
      <c r="V11420" s="1" t="s">
        <v>23210</v>
      </c>
      <c r="AR11420" s="1" t="str">
        <f t="shared" si="715"/>
        <v>| [ㄘㄨˋ](ㄘㄨˋ.md) | [促](促.md) |  | cù | [副]
急迫、緊迫。《新唐書．卷九七．魏徵傳》：「密得寶藏書，輒稱善，既聞徵所為，促召之。」《聊齋志異．卷一〇．素秋》：「駭異聞，素秋促入，慘然曰：『兄弟何以隔閡？』」
[形]
短。晉．無名氏〈同生曲〉二首之一：「人生不滿百，常抱千歲憂。早知人命促，秉燭夜行遊。」唐．柳宗元〈封建論〉：「夏商周漢封建而延，秦郡邑而促。」
[動]
1.靠近。如：「促膝長談」。《文選．左思．蜀都賦》：「合樽促席，引滿相罰。」
2.催迫。如：「督促」、「敦促」。唐．李白〈魯郡堯祠送吳王之琅琊〉詩：「日色促歸人，連歌倒芳樽。」 |</v>
      </c>
    </row>
    <row r="11421" spans="1:44" hidden="1">
      <c r="A11421" s="1" t="s">
        <v>14899</v>
      </c>
      <c r="C11421" s="1">
        <v>1</v>
      </c>
      <c r="D11421" s="1" t="str">
        <f>"09816"</f>
        <v>09816</v>
      </c>
      <c r="E11421" s="1" t="s">
        <v>4785</v>
      </c>
      <c r="F11421" s="1">
        <v>11</v>
      </c>
      <c r="G11421" s="1">
        <v>7</v>
      </c>
      <c r="H11421" s="1">
        <v>2</v>
      </c>
      <c r="I11421" s="1" t="s">
        <v>23203</v>
      </c>
      <c r="K11421" s="1" t="str">
        <f t="shared" si="714"/>
        <v>ㄘ</v>
      </c>
      <c r="L11421" s="1" t="str">
        <f t="shared" si="713"/>
        <v>ㄨ</v>
      </c>
      <c r="N11421" s="3" t="s">
        <v>30574</v>
      </c>
      <c r="O11421" s="3"/>
      <c r="P11421" s="1" t="s">
        <v>20</v>
      </c>
      <c r="R11421" s="1" t="s">
        <v>23204</v>
      </c>
      <c r="V11421" s="1" t="s">
        <v>23211</v>
      </c>
      <c r="W11421" s="1" t="s">
        <v>23212</v>
      </c>
      <c r="AR11421" s="1" t="str">
        <f t="shared" si="715"/>
        <v>| [ㄘㄨˋ](ㄘㄨˋ.md) | [戚](戚.md) |  | cù | [形]
急迫、緊迫。同「促」。《周禮．冬官考工記》：「不微至，無以為戚速也。」 |</v>
      </c>
    </row>
    <row r="11422" spans="1:44" hidden="1">
      <c r="A11422" s="1" t="s">
        <v>23213</v>
      </c>
      <c r="C11422" s="1">
        <v>1</v>
      </c>
      <c r="D11422" s="1" t="str">
        <f>"09817"</f>
        <v>09817</v>
      </c>
      <c r="E11422" s="1" t="s">
        <v>139</v>
      </c>
      <c r="F11422" s="1">
        <v>15</v>
      </c>
      <c r="G11422" s="1">
        <v>11</v>
      </c>
      <c r="H11422" s="1">
        <v>0</v>
      </c>
      <c r="I11422" s="1" t="s">
        <v>23203</v>
      </c>
      <c r="K11422" s="1" t="str">
        <f t="shared" si="714"/>
        <v>ㄘ</v>
      </c>
      <c r="L11422" s="1" t="str">
        <f t="shared" si="713"/>
        <v>ㄨ</v>
      </c>
      <c r="N11422" s="3" t="s">
        <v>30574</v>
      </c>
      <c r="O11422" s="3"/>
      <c r="P11422" s="1" t="s">
        <v>20</v>
      </c>
      <c r="R11422" s="1" t="s">
        <v>23204</v>
      </c>
      <c r="V11422" s="1" t="s">
        <v>23214</v>
      </c>
      <c r="AR11422" s="1" t="str">
        <f t="shared" si="715"/>
        <v>| [ㄘㄨˋ](ㄘㄨˋ.md) | [槭](槭.md) |  | cù | [名]_x000D_
一種落葉喬木的總稱。樹幹平滑，枝條灰青色，葉交互對生，呈掌狀分裂。紅葉美麗，可供觀賞。木材可製器具。 |</v>
      </c>
    </row>
    <row r="11423" spans="1:44" hidden="1">
      <c r="A11423" s="1" t="s">
        <v>23215</v>
      </c>
      <c r="C11423" s="1">
        <v>1</v>
      </c>
      <c r="D11423" s="1" t="str">
        <f>"09818"</f>
        <v>09818</v>
      </c>
      <c r="E11423" s="1" t="s">
        <v>77</v>
      </c>
      <c r="F11423" s="1">
        <v>18</v>
      </c>
      <c r="G11423" s="1">
        <v>11</v>
      </c>
      <c r="H11423" s="1">
        <v>0</v>
      </c>
      <c r="I11423" s="1" t="s">
        <v>23203</v>
      </c>
      <c r="K11423" s="1" t="str">
        <f t="shared" si="714"/>
        <v>ㄘ</v>
      </c>
      <c r="L11423" s="1" t="str">
        <f t="shared" si="713"/>
        <v>ㄨ</v>
      </c>
      <c r="N11423" s="3" t="s">
        <v>30574</v>
      </c>
      <c r="O11423" s="3"/>
      <c r="P11423" s="1" t="s">
        <v>20</v>
      </c>
      <c r="R11423" s="1" t="s">
        <v>23204</v>
      </c>
      <c r="V11423" s="1" t="s">
        <v>23216</v>
      </c>
      <c r="AR11423" s="1" t="str">
        <f t="shared" si="715"/>
        <v>| [ㄘㄨˋ](ㄘㄨˋ.md) | [蹙](蹙.md) |  | cù | [動]_x000D_
1.逼迫、逼近。《周禮．冬官考工記．弓人》：「夫角之末，蹙於腦而休於氣。」《三國志．卷五八．吳書．陸遜傳》：「遜督促諸軍四面蹙之，土崩瓦解，死者萬數。」_x000D_
2.縮減。《詩經．大雅．召旻》：「昔先王受命，有如召公，日辟國百里。今也，日蹙國百里。」唐．李商隱〈行次西郊作一百韻〉：「國蹙賦更重，人稀役彌繁。」_x000D_
3.聚攏。《孟子．梁惠王下》：「百姓聞王鐘鼓之聲，管籥之音，舉疾首蹙頞而相告。」_x000D_
4.踩踏。通「蹴」。宋．蘇軾〈申王畫馬圖〉詩：「揚鞭一蹙破霜蹄，萬騎如風不能及。」_x000D_
5.踢。通「蹴」。《禮記．曲禮上》：「以足蹙路騶，有誅。」_x000D_
[形]_x000D_
恭敬的樣子。《儀禮．士相見禮》：「始見于君，執摯至下，容彌蹙。」 |</v>
      </c>
    </row>
    <row r="11424" spans="1:44" hidden="1">
      <c r="A11424" s="1" t="s">
        <v>23217</v>
      </c>
      <c r="C11424" s="1">
        <v>1</v>
      </c>
      <c r="D11424" s="1" t="str">
        <f>"09819"</f>
        <v>09819</v>
      </c>
      <c r="E11424" s="1" t="s">
        <v>684</v>
      </c>
      <c r="F11424" s="1">
        <v>20</v>
      </c>
      <c r="G11424" s="1">
        <v>11</v>
      </c>
      <c r="H11424" s="1">
        <v>0</v>
      </c>
      <c r="I11424" s="1" t="s">
        <v>23203</v>
      </c>
      <c r="K11424" s="1" t="str">
        <f t="shared" si="714"/>
        <v>ㄘ</v>
      </c>
      <c r="L11424" s="1" t="str">
        <f t="shared" si="713"/>
        <v>ㄨ</v>
      </c>
      <c r="N11424" s="3" t="s">
        <v>30574</v>
      </c>
      <c r="O11424" s="3"/>
      <c r="P11424" s="1" t="s">
        <v>20</v>
      </c>
      <c r="R11424" s="1" t="s">
        <v>23204</v>
      </c>
      <c r="V11424" s="1" t="s">
        <v>23218</v>
      </c>
      <c r="AR11424" s="1" t="str">
        <f t="shared" si="715"/>
        <v>| [ㄘㄨˋ](ㄘㄨˋ.md) | [顣](顣.md) |  | cù | [動]
聚攏。同「蹙」。《文選．劉孝標．辯命論》：「靡顏膩理，哆噅顣頞，形之異也。」 |</v>
      </c>
    </row>
    <row r="11425" spans="1:44" hidden="1">
      <c r="A11425" s="1" t="s">
        <v>22719</v>
      </c>
      <c r="C11425" s="1">
        <v>1</v>
      </c>
      <c r="D11425" s="1" t="str">
        <f>"09820"</f>
        <v>09820</v>
      </c>
      <c r="E11425" s="1" t="s">
        <v>1462</v>
      </c>
      <c r="F11425" s="1">
        <v>12</v>
      </c>
      <c r="G11425" s="1">
        <v>5</v>
      </c>
      <c r="H11425" s="1">
        <v>2</v>
      </c>
      <c r="I11425" s="1" t="s">
        <v>23203</v>
      </c>
      <c r="K11425" s="1" t="str">
        <f t="shared" si="714"/>
        <v>ㄘ</v>
      </c>
      <c r="L11425" s="1" t="str">
        <f t="shared" si="713"/>
        <v>ㄨ</v>
      </c>
      <c r="N11425" s="3" t="s">
        <v>30574</v>
      </c>
      <c r="O11425" s="3"/>
      <c r="P11425" s="1" t="s">
        <v>20</v>
      </c>
      <c r="R11425" s="1" t="s">
        <v>23204</v>
      </c>
      <c r="V11425" s="1" t="s">
        <v>23219</v>
      </c>
      <c r="W11425" s="1" t="s">
        <v>23220</v>
      </c>
      <c r="AR11425" s="1" t="str">
        <f t="shared" si="715"/>
        <v>| [ㄘㄨˋ](ㄘㄨˋ.md) | [酢](酢.md) |  | cù | [名]
用酒發酵或以米、麥、高粱等釀製而成的酸味液體。《說文解字．酉部》：「酢，醶也。」《隋書．卷七四．酷吏傳．崔弘度傳》：「寧飲三升酢，不見崔弘度。寧茹三升艾，不逢屈突蓋。」《新唐書．卷八六．薛舉傳》：「取富人倒縣，以酢注鼻，或杙其隱，以求財。」
[形]
酸的。北周．庾信〈小園賦〉：「棗酸梨酢，桃榹李薁。」元．王禎《農書．梅杏》：「杏類梅者，味酢；類桃者，味甘。」 |</v>
      </c>
    </row>
    <row r="11426" spans="1:44" hidden="1">
      <c r="A11426" s="1" t="s">
        <v>23221</v>
      </c>
      <c r="C11426" s="1">
        <v>1</v>
      </c>
      <c r="D11426" s="1" t="str">
        <f>"09821"</f>
        <v>09821</v>
      </c>
      <c r="E11426" s="1" t="s">
        <v>250</v>
      </c>
      <c r="F11426" s="1">
        <v>15</v>
      </c>
      <c r="G11426" s="1">
        <v>12</v>
      </c>
      <c r="H11426" s="1">
        <v>0</v>
      </c>
      <c r="I11426" s="1" t="s">
        <v>23203</v>
      </c>
      <c r="K11426" s="1" t="str">
        <f t="shared" si="714"/>
        <v>ㄘ</v>
      </c>
      <c r="L11426" s="1" t="str">
        <f t="shared" si="713"/>
        <v>ㄨ</v>
      </c>
      <c r="N11426" s="3" t="s">
        <v>30574</v>
      </c>
      <c r="O11426" s="3"/>
      <c r="P11426" s="1" t="s">
        <v>20</v>
      </c>
      <c r="R11426" s="1" t="s">
        <v>23204</v>
      </c>
      <c r="V11426" s="1" t="s">
        <v>23222</v>
      </c>
      <c r="AR11426" s="1" t="str">
        <f t="shared" si="715"/>
        <v>| [ㄘㄨˋ](ㄘㄨˋ.md) | [憱](憱.md) |  | cù | [副]
不高興的樣子。《韓非子．外儲說左下》：「及獄決罪定，公憱然不悅，形於顏色。」 |</v>
      </c>
    </row>
    <row r="11427" spans="1:44" hidden="1">
      <c r="A11427" s="1" t="s">
        <v>23223</v>
      </c>
      <c r="C11427" s="1">
        <v>1</v>
      </c>
      <c r="D11427" s="1" t="str">
        <f>"09822"</f>
        <v>09822</v>
      </c>
      <c r="E11427" s="1" t="s">
        <v>77</v>
      </c>
      <c r="F11427" s="1">
        <v>19</v>
      </c>
      <c r="G11427" s="1">
        <v>12</v>
      </c>
      <c r="H11427" s="1">
        <v>0</v>
      </c>
      <c r="I11427" s="1" t="s">
        <v>23203</v>
      </c>
      <c r="K11427" s="1" t="str">
        <f t="shared" si="714"/>
        <v>ㄘ</v>
      </c>
      <c r="L11427" s="1" t="str">
        <f t="shared" si="713"/>
        <v>ㄨ</v>
      </c>
      <c r="N11427" s="3" t="s">
        <v>30574</v>
      </c>
      <c r="O11427" s="3"/>
      <c r="P11427" s="1" t="s">
        <v>20</v>
      </c>
      <c r="R11427" s="1" t="s">
        <v>23204</v>
      </c>
      <c r="V11427" s="1" t="s">
        <v>23224</v>
      </c>
      <c r="AR11427" s="1" t="str">
        <f t="shared" si="715"/>
        <v>| [ㄘㄨˋ](ㄘㄨˋ.md) | [蹴](蹴.md) |  | cù | [動]
1.踏踩。《戰國策．韓策三》：「東孟之會，聶政、陽堅刺相兼君。許異蹴哀侯而殪之，立以為鄭君。」唐．杜甫〈遣興〉詩五首之二：「騂弓金爪鏑，白馬蹴微雪。」
2.踢。如：「蹴踘」、「蹴毬」。《晉書．卷六二．祖逖傳》：「中夜，聞荒雞鳴，蹴琨覺曰：『此非惡聲也。』因起舞。」
[副]
恭敬的樣子。參見「蹴然」條。 |</v>
      </c>
    </row>
    <row r="11428" spans="1:44" hidden="1">
      <c r="A11428" s="1" t="s">
        <v>15879</v>
      </c>
      <c r="C11428" s="1">
        <v>1</v>
      </c>
      <c r="D11428" s="1" t="str">
        <f>"09823"</f>
        <v>09823</v>
      </c>
      <c r="E11428" s="1" t="s">
        <v>4563</v>
      </c>
      <c r="F11428" s="1">
        <v>15</v>
      </c>
      <c r="G11428" s="1">
        <v>8</v>
      </c>
      <c r="H11428" s="1">
        <v>2</v>
      </c>
      <c r="I11428" s="1" t="s">
        <v>23203</v>
      </c>
      <c r="K11428" s="1" t="str">
        <f t="shared" si="714"/>
        <v>ㄘ</v>
      </c>
      <c r="L11428" s="1" t="str">
        <f t="shared" si="713"/>
        <v>ㄨ</v>
      </c>
      <c r="N11428" s="3" t="s">
        <v>30574</v>
      </c>
      <c r="O11428" s="3"/>
      <c r="P11428" s="1" t="s">
        <v>20</v>
      </c>
      <c r="R11428" s="1" t="s">
        <v>23204</v>
      </c>
      <c r="V11428" s="1" t="s">
        <v>23225</v>
      </c>
      <c r="W11428" s="1" t="s">
        <v>23226</v>
      </c>
      <c r="AR11428" s="1" t="str">
        <f t="shared" si="715"/>
        <v>| [ㄘㄨˋ](ㄘㄨˋ.md) | [趣](趣.md) |  | cù | [動]
催促。通「促」。《禮記．月令》：「趣民收斂。」《史記．卷七．項羽本紀》：「數使使趣齊兵，欲與俱西。」
[副]
立刻、趕快。《史記．卷七．項羽本紀》：「若不趣降漢，漢今虜若，若非漢敵也。」 |</v>
      </c>
    </row>
    <row r="11429" spans="1:44" hidden="1">
      <c r="A11429" s="1" t="s">
        <v>22730</v>
      </c>
      <c r="C11429" s="1">
        <v>1</v>
      </c>
      <c r="D11429" s="1" t="str">
        <f>"09824"</f>
        <v>09824</v>
      </c>
      <c r="E11429" s="1" t="s">
        <v>1462</v>
      </c>
      <c r="F11429" s="1">
        <v>15</v>
      </c>
      <c r="G11429" s="1">
        <v>8</v>
      </c>
      <c r="H11429" s="1">
        <v>1</v>
      </c>
      <c r="I11429" s="1" t="s">
        <v>23203</v>
      </c>
      <c r="K11429" s="1" t="str">
        <f t="shared" si="714"/>
        <v>ㄘ</v>
      </c>
      <c r="L11429" s="1" t="str">
        <f t="shared" si="713"/>
        <v>ㄨ</v>
      </c>
      <c r="N11429" s="3" t="s">
        <v>30574</v>
      </c>
      <c r="O11429" s="3"/>
      <c r="P11429" s="1" t="s">
        <v>20</v>
      </c>
      <c r="R11429" s="1" t="s">
        <v>23204</v>
      </c>
      <c r="V11429" s="1" t="s">
        <v>23227</v>
      </c>
      <c r="W11429" s="1" t="s">
        <v>23228</v>
      </c>
      <c r="AR11429" s="1" t="str">
        <f t="shared" si="715"/>
        <v>| [ㄘㄨˋ](ㄘㄨˋ.md) | [醋](醋.md) |  | cù | [名]
1.以米、麥、高粱等釀成，用來調味的酸味液體。如：「米醋」、「黑醋」。《宋史．卷一八五．食貨志下七》：「賣醋毋得越郡城五里外，凡縣、鎮、村並禁，其息悉歸轉運司。」
2.嫉妒的心理。如：「吃醋」、「醋罈子」。
[動]
1.害怕、畏懼。《西遊記》第二六回：「他見拿我不住，儘有幾分醋我。」
2.嫉妒。《紅樓夢》第九回：「因此賈瑞、金榮等一干人，也正醋妒他兩個。」 |</v>
      </c>
    </row>
    <row r="11430" spans="1:44" hidden="1">
      <c r="A11430" s="1" t="s">
        <v>23229</v>
      </c>
      <c r="C11430" s="1">
        <v>1</v>
      </c>
      <c r="D11430" s="1" t="str">
        <f>"09825"</f>
        <v>09825</v>
      </c>
      <c r="E11430" s="1" t="s">
        <v>55</v>
      </c>
      <c r="F11430" s="1">
        <v>16</v>
      </c>
      <c r="G11430" s="1">
        <v>8</v>
      </c>
      <c r="H11430" s="1">
        <v>2</v>
      </c>
      <c r="I11430" s="1" t="s">
        <v>23203</v>
      </c>
      <c r="K11430" s="1" t="str">
        <f t="shared" si="714"/>
        <v>ㄘ</v>
      </c>
      <c r="L11430" s="1" t="str">
        <f t="shared" si="713"/>
        <v>ㄨ</v>
      </c>
      <c r="N11430" s="3" t="s">
        <v>30574</v>
      </c>
      <c r="O11430" s="3"/>
      <c r="P11430" s="1" t="s">
        <v>20</v>
      </c>
      <c r="R11430" s="1" t="s">
        <v>23204</v>
      </c>
      <c r="V11430" s="1" t="s">
        <v>23230</v>
      </c>
      <c r="W11430" s="1" t="s">
        <v>23231</v>
      </c>
      <c r="AR11430" s="1" t="str">
        <f t="shared" si="715"/>
        <v>| [ㄘㄨˋ](ㄘㄨˋ.md) | [錯](錯.md) |  | cù | [動]
1.安置。《楚辭．屈原．九章．懷沙》：「萬民之生，各有所錯兮！」
2.廢棄。《論語．顏淵》：「舉直錯諸枉，能使枉者直。」《荀子．天論》：「故錯人而思天，則失萬物之情。」
3.停止。《史記．卷七〇．張儀傳》：「子何不少委焉以為衍功，則秦魏之交可錯矣。」漢．王充《論衡．儒增》：「能使刑錯不用，則能使兵寢不施。」
4.施行。《易經．序卦》：「禮義有所錯。」《禮記．仲尼燕居》：「君子明於禮樂，舉而錯之而已。」 |</v>
      </c>
    </row>
    <row r="11431" spans="1:44" hidden="1">
      <c r="A11431" s="1" t="s">
        <v>23232</v>
      </c>
      <c r="C11431" s="1">
        <v>1</v>
      </c>
      <c r="D11431" s="1" t="str">
        <f>"09826"</f>
        <v>09826</v>
      </c>
      <c r="E11431" s="1" t="s">
        <v>37</v>
      </c>
      <c r="F11431" s="1">
        <v>15</v>
      </c>
      <c r="G11431" s="1">
        <v>11</v>
      </c>
      <c r="H11431" s="1">
        <v>0</v>
      </c>
      <c r="I11431" s="1" t="s">
        <v>23203</v>
      </c>
      <c r="K11431" s="1" t="str">
        <f t="shared" si="714"/>
        <v>ㄘ</v>
      </c>
      <c r="L11431" s="1" t="str">
        <f t="shared" si="713"/>
        <v>ㄨ</v>
      </c>
      <c r="N11431" s="3" t="s">
        <v>30574</v>
      </c>
      <c r="O11431" s="3"/>
      <c r="P11431" s="1" t="s">
        <v>20</v>
      </c>
      <c r="R11431" s="1" t="s">
        <v>23204</v>
      </c>
      <c r="V11431" s="1" t="s">
        <v>23233</v>
      </c>
      <c r="AR11431" s="1" t="str">
        <f t="shared" si="715"/>
        <v>| [ㄘㄨˋ](ㄘㄨˋ.md) | [蔟](蔟.md) |  | cù | [名]
供蠶吐絲作繭的設備。《玉篇．艸部》：「蔟，蠶蓐也。」
[副]
攢聚、積聚。如：「蔟生」、「蔟居」。 |</v>
      </c>
    </row>
    <row r="11432" spans="1:44" hidden="1">
      <c r="A11432" s="1" t="s">
        <v>23234</v>
      </c>
      <c r="C11432" s="1">
        <v>1</v>
      </c>
      <c r="D11432" s="1" t="str">
        <f>"09827"</f>
        <v>09827</v>
      </c>
      <c r="E11432" s="1" t="s">
        <v>40</v>
      </c>
      <c r="F11432" s="1">
        <v>16</v>
      </c>
      <c r="G11432" s="1">
        <v>11</v>
      </c>
      <c r="H11432" s="1">
        <v>0</v>
      </c>
      <c r="I11432" s="1" t="s">
        <v>23203</v>
      </c>
      <c r="K11432" s="1" t="str">
        <f t="shared" si="714"/>
        <v>ㄘ</v>
      </c>
      <c r="L11432" s="1" t="str">
        <f t="shared" si="713"/>
        <v>ㄨ</v>
      </c>
      <c r="N11432" s="3" t="s">
        <v>30574</v>
      </c>
      <c r="O11432" s="3"/>
      <c r="P11432" s="1" t="s">
        <v>20</v>
      </c>
      <c r="R11432" s="1" t="s">
        <v>23204</v>
      </c>
      <c r="V11432" s="1" t="s">
        <v>23235</v>
      </c>
      <c r="AR11432" s="1" t="str">
        <f t="shared" si="715"/>
        <v>| [ㄘㄨˋ](ㄘㄨˋ.md) | [瘯](瘯.md) |  | cù | [名]
疥癬之類的皮膚病。《字彙．疒部》：「瘯，疥癬。」《左傳．桓公六年》：「謂其不疾瘯蠡也。」 |</v>
      </c>
    </row>
    <row r="11433" spans="1:44" hidden="1">
      <c r="A11433" s="1" t="s">
        <v>23236</v>
      </c>
      <c r="C11433" s="1">
        <v>1</v>
      </c>
      <c r="D11433" s="1" t="str">
        <f>"09828"</f>
        <v>09828</v>
      </c>
      <c r="E11433" s="1" t="s">
        <v>49</v>
      </c>
      <c r="F11433" s="1">
        <v>17</v>
      </c>
      <c r="G11433" s="1">
        <v>11</v>
      </c>
      <c r="H11433" s="1">
        <v>0</v>
      </c>
      <c r="I11433" s="1" t="s">
        <v>23203</v>
      </c>
      <c r="K11433" s="1" t="str">
        <f t="shared" si="714"/>
        <v>ㄘ</v>
      </c>
      <c r="L11433" s="1" t="str">
        <f t="shared" si="713"/>
        <v>ㄨ</v>
      </c>
      <c r="N11433" s="3" t="s">
        <v>30574</v>
      </c>
      <c r="O11433" s="3"/>
      <c r="P11433" s="1" t="s">
        <v>20</v>
      </c>
      <c r="R11433" s="1" t="s">
        <v>23204</v>
      </c>
      <c r="V11433" s="1" t="s">
        <v>23237</v>
      </c>
      <c r="AR11433" s="1" t="str">
        <f t="shared" si="715"/>
        <v>| [ㄘㄨˋ](ㄘㄨˋ.md) | [簇](簇.md) |  | cù | [動]
聚攏。唐．黃滔〈江州夜宴獻陳員外〉詩：「多少歡娛簇眼前，潯陽江上夜開筵。」唐．韋莊〈謁金門．春雨足〉詞：「雲淡水平煙樹簇，寸心千里目。」
[名]
1.聚集成堆或成團的物體。如：「花團錦簇」。宋．楊萬里〈再和羅武岡欽若酴醿長句〉：「春風一夜吹滕六，旋落旋銷不成簇。」
2.量詞。計算群集的人或物的單位。《水滸傳》第五回：「過了一條板橋，遠遠地望見了一簇紅霞。」《紅樓夢》第五回：「當下秦氏引了一簇人來至上房內間。」
[副]
1.很、全。《紅樓夢》第二八回：「我這裡得了一件奇物，今日早起方繫上，還是簇新的，聊可表我一點親熱之意。」《官場現形記》第一九回：「署院舉目一看，見他二人穿的都是簇新的袍褂。」
2.聚集、圍繞。如：「簇擁」、「簇捧」。 |</v>
      </c>
    </row>
    <row r="11434" spans="1:44" hidden="1">
      <c r="A11434" s="1" t="s">
        <v>22659</v>
      </c>
      <c r="C11434" s="1">
        <v>1</v>
      </c>
      <c r="D11434" s="1" t="str">
        <f>"09829"</f>
        <v>09829</v>
      </c>
      <c r="E11434" s="1" t="s">
        <v>55</v>
      </c>
      <c r="F11434" s="1">
        <v>19</v>
      </c>
      <c r="G11434" s="1">
        <v>11</v>
      </c>
      <c r="H11434" s="1">
        <v>2</v>
      </c>
      <c r="I11434" s="1" t="s">
        <v>23203</v>
      </c>
      <c r="K11434" s="1" t="str">
        <f t="shared" si="714"/>
        <v>ㄘ</v>
      </c>
      <c r="L11434" s="1" t="str">
        <f t="shared" si="713"/>
        <v>ㄨ</v>
      </c>
      <c r="N11434" s="3" t="s">
        <v>30574</v>
      </c>
      <c r="O11434" s="3"/>
      <c r="P11434" s="1" t="s">
        <v>110</v>
      </c>
      <c r="R11434" s="1" t="s">
        <v>23204</v>
      </c>
      <c r="V11434" s="1" t="s">
        <v>111</v>
      </c>
      <c r="W11434" s="1" t="s">
        <v>23238</v>
      </c>
      <c r="AR11434" s="1" t="str">
        <f t="shared" si="715"/>
        <v>| [ㄘㄨˋ](ㄘㄨˋ.md) | [鏃](鏃.md) |  | cù | (一)之又音。 |</v>
      </c>
    </row>
    <row r="11435" spans="1:44" hidden="1">
      <c r="A11435" s="1" t="s">
        <v>21437</v>
      </c>
      <c r="C11435" s="1">
        <v>1</v>
      </c>
      <c r="D11435" s="1" t="str">
        <f>"09830"</f>
        <v>09830</v>
      </c>
      <c r="E11435" s="1" t="s">
        <v>426</v>
      </c>
      <c r="F11435" s="1">
        <v>15</v>
      </c>
      <c r="G11435" s="1">
        <v>11</v>
      </c>
      <c r="H11435" s="1">
        <v>4</v>
      </c>
      <c r="I11435" s="1" t="s">
        <v>23203</v>
      </c>
      <c r="K11435" s="1" t="str">
        <f t="shared" si="714"/>
        <v>ㄘ</v>
      </c>
      <c r="L11435" s="1" t="str">
        <f t="shared" si="713"/>
        <v>ㄨ</v>
      </c>
      <c r="N11435" s="3" t="s">
        <v>30574</v>
      </c>
      <c r="O11435" s="3"/>
      <c r="P11435" s="1" t="s">
        <v>20</v>
      </c>
      <c r="R11435" s="1" t="s">
        <v>23204</v>
      </c>
      <c r="V11435" s="1" t="s">
        <v>23239</v>
      </c>
      <c r="W11435" s="1" t="s">
        <v>23240</v>
      </c>
      <c r="AR11435" s="1" t="str">
        <f t="shared" si="715"/>
        <v>| [ㄘㄨˋ](ㄘㄨˋ.md) | [數](數.md) |  | cù | [形]
細密。《孟子．梁惠王上》：「數罟不入洿池，魚鱉不可勝食也。」 |</v>
      </c>
    </row>
    <row r="11436" spans="1:44" hidden="1">
      <c r="A11436" s="1" t="s">
        <v>23241</v>
      </c>
      <c r="C11436" s="1">
        <v>1</v>
      </c>
      <c r="D11436" s="1" t="str">
        <f>"09831"</f>
        <v>09831</v>
      </c>
      <c r="E11436" s="1" t="s">
        <v>77</v>
      </c>
      <c r="F11436" s="1">
        <v>15</v>
      </c>
      <c r="G11436" s="1">
        <v>8</v>
      </c>
      <c r="H11436" s="1">
        <v>0</v>
      </c>
      <c r="I11436" s="1" t="s">
        <v>23203</v>
      </c>
      <c r="K11436" s="1" t="str">
        <f t="shared" si="714"/>
        <v>ㄘ</v>
      </c>
      <c r="L11436" s="1" t="str">
        <f t="shared" si="713"/>
        <v>ㄨ</v>
      </c>
      <c r="N11436" s="3" t="s">
        <v>30574</v>
      </c>
      <c r="O11436" s="3"/>
      <c r="P11436" s="1" t="s">
        <v>20</v>
      </c>
      <c r="R11436" s="1" t="s">
        <v>23204</v>
      </c>
      <c r="V11436" s="1" t="s">
        <v>23242</v>
      </c>
      <c r="AR11436" s="1" t="str">
        <f t="shared" si="715"/>
        <v>| [ㄘㄨˋ](ㄘㄨˋ.md) | [踧](踧.md) |  | cù | 1.參見「踧踖」條。
2.通「蹙」。 |</v>
      </c>
    </row>
    <row r="11437" spans="1:44" hidden="1">
      <c r="A11437" s="1" t="s">
        <v>15815</v>
      </c>
      <c r="C11437" s="1">
        <v>1</v>
      </c>
      <c r="D11437" s="1" t="str">
        <f>"09832"</f>
        <v>09832</v>
      </c>
      <c r="E11437" s="1" t="s">
        <v>4563</v>
      </c>
      <c r="F11437" s="1">
        <v>17</v>
      </c>
      <c r="G11437" s="1">
        <v>10</v>
      </c>
      <c r="H11437" s="1">
        <v>2</v>
      </c>
      <c r="I11437" s="1" t="s">
        <v>23203</v>
      </c>
      <c r="K11437" s="1" t="str">
        <f t="shared" si="714"/>
        <v>ㄘ</v>
      </c>
      <c r="L11437" s="1" t="str">
        <f t="shared" si="713"/>
        <v>ㄨ</v>
      </c>
      <c r="N11437" s="3" t="s">
        <v>30574</v>
      </c>
      <c r="O11437" s="3"/>
      <c r="P11437" s="1" t="s">
        <v>20</v>
      </c>
      <c r="R11437" s="1" t="s">
        <v>23204</v>
      </c>
      <c r="V11437" s="1" t="s">
        <v>23243</v>
      </c>
      <c r="W11437" s="1" t="s">
        <v>23244</v>
      </c>
      <c r="AR11437" s="1" t="str">
        <f t="shared" si="715"/>
        <v>| [ㄘㄨˋ](ㄘㄨˋ.md) | [趨](趨.md) |  | cù | 通「促」。 |</v>
      </c>
    </row>
    <row r="11438" spans="1:44" hidden="1">
      <c r="A11438" s="1" t="s">
        <v>23197</v>
      </c>
      <c r="C11438" s="1">
        <v>1</v>
      </c>
      <c r="D11438" s="1" t="str">
        <f>"09811"</f>
        <v>09811</v>
      </c>
      <c r="E11438" s="1" t="s">
        <v>234</v>
      </c>
      <c r="F11438" s="1">
        <v>8</v>
      </c>
      <c r="G11438" s="1">
        <v>5</v>
      </c>
      <c r="H11438" s="1">
        <v>0</v>
      </c>
      <c r="I11438" s="1" t="s">
        <v>23198</v>
      </c>
      <c r="K11438" s="1" t="str">
        <f t="shared" si="714"/>
        <v>ㄘ</v>
      </c>
      <c r="L11438" s="1" t="str">
        <f t="shared" si="713"/>
        <v>ㄨ</v>
      </c>
      <c r="N11438" s="3" t="s">
        <v>30575</v>
      </c>
      <c r="O11438" s="3"/>
      <c r="P11438" s="1" t="s">
        <v>20</v>
      </c>
      <c r="R11438" s="1" t="s">
        <v>23199</v>
      </c>
      <c r="V11438" s="1" t="s">
        <v>23200</v>
      </c>
      <c r="AR11438" s="1" t="str">
        <f t="shared" si="715"/>
        <v>| [ㄘㄨˊ](ㄘㄨˊ.md) | [徂](徂.md) |  | cú | [動]
1.往、去。《詩經．豳風．東山》：「我徂東山，慆慆不歸。」
2.死亡。通「殂」。晉．李遼〈上表請修孔廟〉：「二臣薨徂，成規不遂。」宋．王安石〈虞部郎中晁君墓誌銘〉：「方冬告役，君夏而徂，壽五十五，識者歎吁。」
[形]
已往的、過去的。《後漢書．卷二四．馬援傳．贊曰》：「徂年已流，壯情方勇。」宋．陸游〈病少愈偶作〉詩二首之二：「但恨著書終草草，不嫌徂歲去堂堂。」
[介]
至、及。《詩經．大雅．雲漢》：「不殄禋祀，自郊徂宮。」唐．韓愈〈祭董相公文〉：「自邇徂遠，混然一區。」 |</v>
      </c>
    </row>
    <row r="11439" spans="1:44" hidden="1">
      <c r="A11439" s="1" t="s">
        <v>23201</v>
      </c>
      <c r="C11439" s="1">
        <v>1</v>
      </c>
      <c r="D11439" s="1" t="str">
        <f>"09812"</f>
        <v>09812</v>
      </c>
      <c r="E11439" s="1" t="s">
        <v>1372</v>
      </c>
      <c r="F11439" s="1">
        <v>9</v>
      </c>
      <c r="G11439" s="1">
        <v>5</v>
      </c>
      <c r="H11439" s="1">
        <v>0</v>
      </c>
      <c r="I11439" s="1" t="s">
        <v>23198</v>
      </c>
      <c r="K11439" s="1" t="str">
        <f t="shared" si="714"/>
        <v>ㄘ</v>
      </c>
      <c r="L11439" s="1" t="str">
        <f t="shared" si="713"/>
        <v>ㄨ</v>
      </c>
      <c r="N11439" s="3" t="s">
        <v>30575</v>
      </c>
      <c r="O11439" s="3"/>
      <c r="P11439" s="1" t="s">
        <v>20</v>
      </c>
      <c r="R11439" s="1" t="s">
        <v>23199</v>
      </c>
      <c r="V11439" s="1" t="s">
        <v>23202</v>
      </c>
      <c r="AR11439" s="1" t="str">
        <f t="shared" si="715"/>
        <v>| [ㄘㄨˊ](ㄘㄨˊ.md) | [殂](殂.md) |  | cú | [動]
死亡。《魏書．卷一一．廢出三帝紀．後廢帝安定王紀》：「後以罪殂於門下外省，時年二十。」 |</v>
      </c>
    </row>
    <row r="11440" spans="1:44" hidden="1">
      <c r="A11440" s="1" t="s">
        <v>8376</v>
      </c>
      <c r="C11440" s="1">
        <v>1</v>
      </c>
      <c r="D11440" s="1" t="str">
        <f>"08705"</f>
        <v>08705</v>
      </c>
      <c r="E11440" s="1" t="s">
        <v>1462</v>
      </c>
      <c r="F11440" s="1">
        <v>26</v>
      </c>
      <c r="G11440" s="1">
        <v>19</v>
      </c>
      <c r="H11440" s="1">
        <v>1</v>
      </c>
      <c r="I11440" s="1" t="s">
        <v>20563</v>
      </c>
      <c r="K11440" s="1" t="str">
        <f t="shared" si="714"/>
        <v>ㄙ</v>
      </c>
      <c r="L11440" s="1" t="str">
        <f t="shared" si="713"/>
        <v/>
      </c>
      <c r="M11440" s="1" t="str">
        <f t="shared" ref="M11440:M11471" si="716">MID(I11440, 3, 1)</f>
        <v/>
      </c>
      <c r="P11440" s="1" t="s">
        <v>20</v>
      </c>
      <c r="R11440" s="1" t="s">
        <v>20564</v>
      </c>
      <c r="V11440" s="1" t="s">
        <v>20565</v>
      </c>
      <c r="W11440" s="1" t="s">
        <v>20566</v>
      </c>
      <c r="AR11440" s="1" t="str">
        <f t="shared" si="715"/>
        <v>| [ㄙ](ㄙ.md) | [釃](釃.md) |  | sī | [動]
1.濾酒。《說文解字．酉部》：「釃，下酒也。」《詩經．小雅．伐木》：「伐木許許，釃酒有藇。」《後漢書．卷二四．馬援列傳》：「援乃擊牛釃酒，勞饗軍士。」唐．章懷太子．注：「釃，猶濾也。」
2.斟。宋．蘇軾〈赤壁賦〉：「釃酒臨江，橫槊賦詩。」《水滸傳》第三二回：「店主人便去打兩角酒，大碗家釃來，教武行者吃。」
3.疏通、分流。《漢書．卷二九．溝洫志》：「乃釃二渠以引其河。」顏師古注引孟康曰：「釃，分也。分其流，泄其怒也。」 |</v>
      </c>
    </row>
    <row r="11441" spans="1:44" hidden="1">
      <c r="A11441" s="1" t="s">
        <v>23476</v>
      </c>
      <c r="C11441" s="1">
        <v>1</v>
      </c>
      <c r="D11441" s="1" t="str">
        <f>"09932"</f>
        <v>09932</v>
      </c>
      <c r="E11441" s="1" t="s">
        <v>14794</v>
      </c>
      <c r="F11441" s="1">
        <v>2</v>
      </c>
      <c r="G11441" s="1">
        <v>0</v>
      </c>
      <c r="H11441" s="1">
        <v>0</v>
      </c>
      <c r="I11441" s="1" t="s">
        <v>20563</v>
      </c>
      <c r="K11441" s="1" t="str">
        <f t="shared" si="714"/>
        <v>ㄙ</v>
      </c>
      <c r="L11441" s="1" t="str">
        <f t="shared" ref="L11441:L11504" si="717">MID(I11441, 2, 1)</f>
        <v/>
      </c>
      <c r="M11441" s="1" t="str">
        <f t="shared" si="716"/>
        <v/>
      </c>
      <c r="P11441" s="1" t="s">
        <v>20</v>
      </c>
      <c r="R11441" s="1" t="s">
        <v>20564</v>
      </c>
      <c r="V11441" s="1" t="s">
        <v>23477</v>
      </c>
      <c r="AR11441" s="1" t="str">
        <f t="shared" si="715"/>
        <v>| [ㄙ](ㄙ.md) | [厶](厶.md) |  | sī | [名]
1.「私」的古字。《說文解字．厶部》「厶」字．清．段玉裁．注：「公私字本如此，今字私行而厶廢矣。」
2.二一四部首之一。 |</v>
      </c>
    </row>
    <row r="11442" spans="1:44" hidden="1">
      <c r="A11442" s="1" t="s">
        <v>23478</v>
      </c>
      <c r="C11442" s="1">
        <v>1</v>
      </c>
      <c r="D11442" s="1" t="str">
        <f>"09933"</f>
        <v>09933</v>
      </c>
      <c r="E11442" s="1" t="s">
        <v>429</v>
      </c>
      <c r="F11442" s="1">
        <v>7</v>
      </c>
      <c r="G11442" s="1">
        <v>2</v>
      </c>
      <c r="H11442" s="1">
        <v>0</v>
      </c>
      <c r="I11442" s="1" t="s">
        <v>20563</v>
      </c>
      <c r="K11442" s="1" t="str">
        <f t="shared" si="714"/>
        <v>ㄙ</v>
      </c>
      <c r="L11442" s="1" t="str">
        <f t="shared" si="717"/>
        <v/>
      </c>
      <c r="M11442" s="1" t="str">
        <f t="shared" si="716"/>
        <v/>
      </c>
      <c r="P11442" s="1" t="s">
        <v>20</v>
      </c>
      <c r="R11442" s="1" t="s">
        <v>20564</v>
      </c>
      <c r="V11442" s="1" t="s">
        <v>23479</v>
      </c>
      <c r="AR11442" s="1" t="str">
        <f t="shared" si="715"/>
        <v>| [ㄙ](ㄙ.md) | [私](私.md) |  | sī | [名]_x000D_
1.屬於個人事物。與「公」相對。如：「大公無私」。《書經．周官》：「以公滅私，民其允懷。」_x000D_
2.財產。《儒林外史》第三回：「你不看見城裡張府上那些老爺，都有萬貫家私。」_x000D_
3.私下的言行舉止。《論語．為政》：「退而省其私，亦足以發。回也不愚。」_x000D_
4.古代指姊妹的丈夫。《詩經．衛風．碩人》：「邢侯之姨，譚公為私。」_x000D_
5.非法的貨物。如：「走私」、「緝私」。_x000D_
6.指生殖器官。清．袁枚《子不語．卷一一．醫妒》：「然裙裂損，幾露其私焉。」_x000D_
[形]_x000D_
1.個人的、非官方的。如：「私宅」、「私怨」、「私塾」、「私生活」。_x000D_
2.非法、不公開的。如：「私鹽」、「私娼」。_x000D_
[副]_x000D_
1.暗中的、祕密的。如：「私議」、「私相授受」。《史記．卷七九．范雎蔡澤傳》：「與私約而去。」唐．白居易〈長恨歌〉：「七月七日長生殿，夜半無人私語時。」_x000D_
2.偏重一方。《禮記．孔子閒居》：「天無私覆，地無私載，日月無私照。」 |</v>
      </c>
    </row>
    <row r="11443" spans="1:44" hidden="1">
      <c r="A11443" s="1" t="s">
        <v>23480</v>
      </c>
      <c r="C11443" s="1">
        <v>1</v>
      </c>
      <c r="D11443" s="1" t="str">
        <f>"09934"</f>
        <v>09934</v>
      </c>
      <c r="E11443" s="1" t="s">
        <v>28</v>
      </c>
      <c r="F11443" s="1">
        <v>5</v>
      </c>
      <c r="G11443" s="1">
        <v>2</v>
      </c>
      <c r="H11443" s="1">
        <v>0</v>
      </c>
      <c r="I11443" s="1" t="s">
        <v>20563</v>
      </c>
      <c r="K11443" s="1" t="str">
        <f t="shared" si="714"/>
        <v>ㄙ</v>
      </c>
      <c r="L11443" s="1" t="str">
        <f t="shared" si="717"/>
        <v/>
      </c>
      <c r="M11443" s="1" t="str">
        <f t="shared" si="716"/>
        <v/>
      </c>
      <c r="P11443" s="1" t="s">
        <v>20</v>
      </c>
      <c r="R11443" s="1" t="s">
        <v>20564</v>
      </c>
      <c r="V11443" s="1" t="s">
        <v>23481</v>
      </c>
      <c r="AR11443" s="1" t="str">
        <f t="shared" si="715"/>
        <v>| [ㄙ](ㄙ.md) | [司](司.md) |  | sī | [動]
掌管。如：「職司」、「司儀」、「各司其事」。《文選．陸機．文賦》：「辭程才以效伎，意司契而為匠。」
[名]
1.中央機關各部以下的組織單位。如：「外交部禮賓司」、「教育部社會教育司」。
2.姓。如宋代有司超。 |</v>
      </c>
    </row>
    <row r="11444" spans="1:44" hidden="1">
      <c r="A11444" s="1" t="s">
        <v>23482</v>
      </c>
      <c r="C11444" s="1">
        <v>1</v>
      </c>
      <c r="D11444" s="1" t="str">
        <f>"09935"</f>
        <v>09935</v>
      </c>
      <c r="E11444" s="1" t="s">
        <v>250</v>
      </c>
      <c r="F11444" s="1">
        <v>9</v>
      </c>
      <c r="G11444" s="1">
        <v>5</v>
      </c>
      <c r="H11444" s="1">
        <v>1</v>
      </c>
      <c r="I11444" s="1" t="s">
        <v>20563</v>
      </c>
      <c r="K11444" s="1" t="str">
        <f t="shared" si="714"/>
        <v>ㄙ</v>
      </c>
      <c r="L11444" s="1" t="str">
        <f t="shared" si="717"/>
        <v/>
      </c>
      <c r="M11444" s="1" t="str">
        <f t="shared" si="716"/>
        <v/>
      </c>
      <c r="P11444" s="1" t="s">
        <v>20</v>
      </c>
      <c r="R11444" s="1" t="s">
        <v>20564</v>
      </c>
      <c r="V11444" s="1" t="s">
        <v>23483</v>
      </c>
      <c r="W11444" s="1" t="s">
        <v>23484</v>
      </c>
      <c r="AR11444" s="1" t="str">
        <f t="shared" si="715"/>
        <v>| [ㄙ](ㄙ.md) | [思](思.md) |  | sī | [動]
1.考慮。如：「深思熟慮」、「三思而後行」。《論語．為政》：「學而不思則罔，思而不學則殆。」
2.想念、懷念。如：「思親」、「思家」。唐．李白〈靜夜思〉詩：「舉頭望明月，低頭思故鄉。」
3.悲悼。《文選．張華．勵志詩》：「吉士思秋，寔感物化。」
[名]
1.心緒、心情。如：「情思」、「愁思」。唐．李白〈宣州謝朓樓餞別校書叔雲〉詩：「俱懷逸興壯思飛，欲上青天覽日月。」
2.想法、意念。如：「心思」、「文思」。南朝梁．劉勰《文心雕龍．雜文》：「唯士衡運思，理新文敏。」
3.姓。如明代有思志道。
[助]
1.用於句首，無義。《詩經．魯頌．泮水》：「思樂泮水，薄采其芹。」
2.用於句中，無義。《詩經．大雅．文王有聲》：「無思不服，皇王烝哉。」
3.用於句末，相當於「啊」。《詩經．周南．漢廣》：「漢有游女，不可求思。」 |</v>
      </c>
    </row>
    <row r="11445" spans="1:44" hidden="1">
      <c r="A11445" s="1" t="s">
        <v>23485</v>
      </c>
      <c r="C11445" s="1">
        <v>1</v>
      </c>
      <c r="D11445" s="1" t="str">
        <f>"09936"</f>
        <v>09936</v>
      </c>
      <c r="E11445" s="1" t="s">
        <v>114</v>
      </c>
      <c r="F11445" s="1">
        <v>11</v>
      </c>
      <c r="G11445" s="1">
        <v>9</v>
      </c>
      <c r="H11445" s="1">
        <v>1</v>
      </c>
      <c r="I11445" s="1" t="s">
        <v>20563</v>
      </c>
      <c r="K11445" s="1" t="str">
        <f t="shared" si="714"/>
        <v>ㄙ</v>
      </c>
      <c r="L11445" s="1" t="str">
        <f t="shared" si="717"/>
        <v/>
      </c>
      <c r="M11445" s="1" t="str">
        <f t="shared" si="716"/>
        <v/>
      </c>
      <c r="P11445" s="1" t="s">
        <v>20</v>
      </c>
      <c r="R11445" s="1" t="s">
        <v>20564</v>
      </c>
      <c r="V11445" s="1" t="s">
        <v>23486</v>
      </c>
      <c r="W11445" s="1" t="s">
        <v>23487</v>
      </c>
      <c r="AR11445" s="1" t="str">
        <f t="shared" si="715"/>
        <v>| [ㄙ](ㄙ.md) | [偲](偲.md) |  | sī | 參見「偲偲」條。 |</v>
      </c>
    </row>
    <row r="11446" spans="1:44" hidden="1">
      <c r="A11446" s="1" t="s">
        <v>23488</v>
      </c>
      <c r="C11446" s="1">
        <v>1</v>
      </c>
      <c r="D11446" s="1" t="str">
        <f>"09937"</f>
        <v>09937</v>
      </c>
      <c r="E11446" s="1" t="s">
        <v>118</v>
      </c>
      <c r="F11446" s="1">
        <v>14</v>
      </c>
      <c r="G11446" s="1">
        <v>9</v>
      </c>
      <c r="H11446" s="1">
        <v>0</v>
      </c>
      <c r="I11446" s="1" t="s">
        <v>20563</v>
      </c>
      <c r="K11446" s="1" t="str">
        <f t="shared" si="714"/>
        <v>ㄙ</v>
      </c>
      <c r="L11446" s="1" t="str">
        <f t="shared" si="717"/>
        <v/>
      </c>
      <c r="M11446" s="1" t="str">
        <f t="shared" si="716"/>
        <v/>
      </c>
      <c r="P11446" s="1" t="s">
        <v>20</v>
      </c>
      <c r="R11446" s="1" t="s">
        <v>20564</v>
      </c>
      <c r="V11446" s="1" t="s">
        <v>23489</v>
      </c>
      <c r="AR11446" s="1" t="str">
        <f t="shared" si="715"/>
        <v>| [ㄙ](ㄙ.md) | [罳](罳.md) |  | sī | 參見「罘罳」條。 |</v>
      </c>
    </row>
    <row r="11447" spans="1:44" hidden="1">
      <c r="A11447" s="1" t="s">
        <v>23490</v>
      </c>
      <c r="C11447" s="1">
        <v>1</v>
      </c>
      <c r="D11447" s="1" t="str">
        <f>"09938"</f>
        <v>09938</v>
      </c>
      <c r="E11447" s="1" t="s">
        <v>725</v>
      </c>
      <c r="F11447" s="1">
        <v>15</v>
      </c>
      <c r="G11447" s="1">
        <v>9</v>
      </c>
      <c r="H11447" s="1">
        <v>0</v>
      </c>
      <c r="I11447" s="1" t="s">
        <v>20563</v>
      </c>
      <c r="K11447" s="1" t="str">
        <f t="shared" si="714"/>
        <v>ㄙ</v>
      </c>
      <c r="L11447" s="1" t="str">
        <f t="shared" si="717"/>
        <v/>
      </c>
      <c r="M11447" s="1" t="str">
        <f t="shared" si="716"/>
        <v/>
      </c>
      <c r="P11447" s="1" t="s">
        <v>20</v>
      </c>
      <c r="R11447" s="1" t="s">
        <v>20564</v>
      </c>
      <c r="V11447" s="1" t="s">
        <v>23491</v>
      </c>
      <c r="AR11447" s="1" t="str">
        <f t="shared" si="715"/>
        <v>| [ㄙ](ㄙ.md) | [緦](緦.md) |  | sī | [名]
製做喪服的細麻布。《儀禮．喪服》：「緦麻三月者。」漢．鄭玄．注：「緦麻，布衰裳而麻絰帶也。」南朝梁．何佟之〈毀墓服議〉：「改葬服緦，見柩不可無服故也。」 |</v>
      </c>
    </row>
    <row r="11448" spans="1:44" hidden="1">
      <c r="A11448" s="1" t="s">
        <v>23492</v>
      </c>
      <c r="C11448" s="1">
        <v>1</v>
      </c>
      <c r="D11448" s="1" t="str">
        <f>"09939"</f>
        <v>09939</v>
      </c>
      <c r="E11448" s="1" t="s">
        <v>55</v>
      </c>
      <c r="F11448" s="1">
        <v>17</v>
      </c>
      <c r="G11448" s="1">
        <v>9</v>
      </c>
      <c r="H11448" s="1">
        <v>0</v>
      </c>
      <c r="I11448" s="1" t="s">
        <v>20563</v>
      </c>
      <c r="K11448" s="1" t="str">
        <f t="shared" si="714"/>
        <v>ㄙ</v>
      </c>
      <c r="L11448" s="1" t="str">
        <f t="shared" si="717"/>
        <v/>
      </c>
      <c r="M11448" s="1" t="str">
        <f t="shared" si="716"/>
        <v/>
      </c>
      <c r="P11448" s="1" t="s">
        <v>20</v>
      </c>
      <c r="R11448" s="1" t="s">
        <v>20564</v>
      </c>
      <c r="V11448" s="1" t="s">
        <v>23493</v>
      </c>
      <c r="AR11448" s="1" t="str">
        <f t="shared" si="715"/>
        <v>| [ㄙ](ㄙ.md) | [鍶](鍶.md) |  | sī | [名]
（strontium，Sr）化學元素。原子序38。鹼土金屬元素之一。常存於天青石與碳酸鍶礦中，為銀白色結晶，質地柔軟似鉛，在空氣中容易氧化，燃燒時會發出深紅色火焰，是製造煙火的原料之一。 |</v>
      </c>
    </row>
    <row r="11449" spans="1:44" hidden="1">
      <c r="A11449" s="1" t="s">
        <v>23494</v>
      </c>
      <c r="C11449" s="1">
        <v>1</v>
      </c>
      <c r="D11449" s="1" t="str">
        <f>"09940"</f>
        <v>09940</v>
      </c>
      <c r="E11449" s="1" t="s">
        <v>1161</v>
      </c>
      <c r="F11449" s="1">
        <v>18</v>
      </c>
      <c r="G11449" s="1">
        <v>9</v>
      </c>
      <c r="H11449" s="1">
        <v>0</v>
      </c>
      <c r="I11449" s="1" t="s">
        <v>20563</v>
      </c>
      <c r="K11449" s="1" t="str">
        <f t="shared" si="714"/>
        <v>ㄙ</v>
      </c>
      <c r="L11449" s="1" t="str">
        <f t="shared" si="717"/>
        <v/>
      </c>
      <c r="M11449" s="1" t="str">
        <f t="shared" si="716"/>
        <v/>
      </c>
      <c r="P11449" s="1" t="s">
        <v>20</v>
      </c>
      <c r="R11449" s="1" t="s">
        <v>20564</v>
      </c>
      <c r="V11449" s="1" t="s">
        <v>23495</v>
      </c>
      <c r="AR11449" s="1" t="str">
        <f t="shared" si="715"/>
        <v>| [ㄙ](ㄙ.md) | [颸](颸.md) |  | sī | [名]
1.涼風。唐．宋華〈蟬鳴〉詩：「肅肅爾庭，遠近涼颸。」
2.疾風。唐．羅隱〈蟋蟀〉詩：「頑颸斃芳，吹愁夕長。」 |</v>
      </c>
    </row>
    <row r="11450" spans="1:44" hidden="1">
      <c r="A11450" s="1" t="s">
        <v>23496</v>
      </c>
      <c r="C11450" s="1">
        <v>1</v>
      </c>
      <c r="D11450" s="1" t="str">
        <f>"09941"</f>
        <v>09941</v>
      </c>
      <c r="E11450" s="1" t="s">
        <v>660</v>
      </c>
      <c r="F11450" s="1">
        <v>10</v>
      </c>
      <c r="G11450" s="1">
        <v>4</v>
      </c>
      <c r="H11450" s="1">
        <v>0</v>
      </c>
      <c r="I11450" s="1" t="s">
        <v>20563</v>
      </c>
      <c r="K11450" s="1" t="str">
        <f t="shared" si="714"/>
        <v>ㄙ</v>
      </c>
      <c r="L11450" s="1" t="str">
        <f t="shared" si="717"/>
        <v/>
      </c>
      <c r="M11450" s="1" t="str">
        <f t="shared" si="716"/>
        <v/>
      </c>
      <c r="P11450" s="1" t="s">
        <v>20</v>
      </c>
      <c r="R11450" s="1" t="s">
        <v>20564</v>
      </c>
      <c r="V11450" s="1" t="s">
        <v>23497</v>
      </c>
      <c r="AR11450" s="1" t="str">
        <f t="shared" si="715"/>
        <v>| [ㄙ](ㄙ.md) | [虒](虒.md) |  | sī | [名]
1.傳說中的水中怪獸。《廣韻．平聲．支韻》：「虒，似虎有角，能行水中。」
2.虒祁：古代宮室名稱。位於今大陸地區山西省曲沃縣西南，北臨汾水。《左傳．昭公八年》：「於是晉侯方築虒祁之宮。」 |</v>
      </c>
    </row>
    <row r="11451" spans="1:44" hidden="1">
      <c r="A11451" s="1" t="s">
        <v>23498</v>
      </c>
      <c r="C11451" s="1">
        <v>1</v>
      </c>
      <c r="D11451" s="1" t="str">
        <f>"09942"</f>
        <v>09942</v>
      </c>
      <c r="E11451" s="1" t="s">
        <v>4517</v>
      </c>
      <c r="F11451" s="1">
        <v>12</v>
      </c>
      <c r="G11451" s="1">
        <v>8</v>
      </c>
      <c r="H11451" s="1">
        <v>0</v>
      </c>
      <c r="I11451" s="1" t="s">
        <v>20563</v>
      </c>
      <c r="K11451" s="1" t="str">
        <f t="shared" si="714"/>
        <v>ㄙ</v>
      </c>
      <c r="L11451" s="1" t="str">
        <f t="shared" si="717"/>
        <v/>
      </c>
      <c r="M11451" s="1" t="str">
        <f t="shared" si="716"/>
        <v/>
      </c>
      <c r="P11451" s="1" t="s">
        <v>20</v>
      </c>
      <c r="R11451" s="1" t="s">
        <v>20564</v>
      </c>
      <c r="V11451" s="1" t="s">
        <v>23499</v>
      </c>
      <c r="AR11451" s="1" t="str">
        <f t="shared" si="715"/>
        <v>| [ㄙ](ㄙ.md) | [斯](斯.md) |  | sī | [動]_x000D_
1.劈開、析分。《說文解字．斤部》：「斯，析也。」《詩經．陳風．墓門》：「墓門有棘，斧以斯之。」《莊子．則陽》：「斯而析之，精至於無倫，大至於不可圍。」_x000D_
2.距離。《列子．黃帝》：「華胥氏之國……，不知斯齊國幾千萬里。」_x000D_
[代]_x000D_
此、這個、這裡。用於文言文。如：「斯人」、「以至於斯」、「生於斯，長於斯。」《論語．子罕》：「子在川上曰：『逝者如斯夫，不舍晝夜。』」宋．蘇軾〈答畢仲舉書〉：「處世得安穩無病，麤衣飽飯，不造冤業，乃為至足，三復斯言，感歎無窮。」_x000D_
[副]_x000D_
盡、都。《書經．金滕》：「周公居東二年，則罪人斯得。」《呂氏春秋．慎大覽．報更》：「宣孟與脯二朐，拜受而弗敢食也。問其故，對曰：『臣有老母，將以遺之。』宣孟曰：『斯食之，吾更與女。』」_x000D_
[連]_x000D_
則、就。用於文言文。《論語．述而》：「我欲仁，斯仁至矣。」《淮南子．本經》：「人之性，心有憂喪則悲，悲則哀，哀斯憤，憤斯怒。」_x000D_
[助]_x000D_
1.表示疑問的語氣。相當於「呢」。《詩經．小雅．何人斯》：「彼何人斯，其心孔艱。」_x000D_
2.表示感嘆的語氣。相當於「啊」。《詩經．豳風．鴟鴞》：「恩斯勤斯，鬻子之閔斯。」_x000D_
3.用於倒裝，表示賓語前置，相當於「是」。《詩經．豳風．七月》：「朋酒斯饗，曰殺羔羊。」_x000D_
4.用於形容詞後，相當於「然」。《詩經．大雅．皇矣》：「王赫斯怒，爰整其旅。」《禮記．玉藻》：「君子之飲酒也，受一爵而色洒如也，二爵而言言斯。」_x000D_
[名]_x000D_
姓。如三國時吳國有斯從。 |</v>
      </c>
    </row>
    <row r="11452" spans="1:44" hidden="1">
      <c r="A11452" s="1" t="s">
        <v>23500</v>
      </c>
      <c r="C11452" s="1">
        <v>1</v>
      </c>
      <c r="D11452" s="1" t="str">
        <f>"09943"</f>
        <v>09943</v>
      </c>
      <c r="E11452" s="1" t="s">
        <v>1381</v>
      </c>
      <c r="F11452" s="1">
        <v>14</v>
      </c>
      <c r="G11452" s="1">
        <v>12</v>
      </c>
      <c r="H11452" s="1">
        <v>0</v>
      </c>
      <c r="I11452" s="1" t="s">
        <v>20563</v>
      </c>
      <c r="K11452" s="1" t="str">
        <f t="shared" si="714"/>
        <v>ㄙ</v>
      </c>
      <c r="L11452" s="1" t="str">
        <f t="shared" si="717"/>
        <v/>
      </c>
      <c r="M11452" s="1" t="str">
        <f t="shared" si="716"/>
        <v/>
      </c>
      <c r="P11452" s="1" t="s">
        <v>20</v>
      </c>
      <c r="R11452" s="1" t="s">
        <v>20564</v>
      </c>
      <c r="V11452" s="1" t="s">
        <v>23501</v>
      </c>
      <c r="AR11452" s="1" t="str">
        <f t="shared" si="715"/>
        <v>| [ㄙ](ㄙ.md) | [凘](凘.md) |  | sī | [名]
解凍時漂流的冰塊。《說文解字．冫部》：「凘，流冰也。」 |</v>
      </c>
    </row>
    <row r="11453" spans="1:44" hidden="1">
      <c r="A11453" s="1" t="s">
        <v>23502</v>
      </c>
      <c r="C11453" s="1">
        <v>1</v>
      </c>
      <c r="D11453" s="1" t="str">
        <f>"09944"</f>
        <v>09944</v>
      </c>
      <c r="E11453" s="1" t="s">
        <v>129</v>
      </c>
      <c r="F11453" s="1">
        <v>15</v>
      </c>
      <c r="G11453" s="1">
        <v>12</v>
      </c>
      <c r="H11453" s="1">
        <v>0</v>
      </c>
      <c r="I11453" s="1" t="s">
        <v>20563</v>
      </c>
      <c r="K11453" s="1" t="str">
        <f t="shared" si="714"/>
        <v>ㄙ</v>
      </c>
      <c r="L11453" s="1" t="str">
        <f t="shared" si="717"/>
        <v/>
      </c>
      <c r="M11453" s="1" t="str">
        <f t="shared" si="716"/>
        <v/>
      </c>
      <c r="P11453" s="1" t="s">
        <v>20</v>
      </c>
      <c r="R11453" s="1" t="s">
        <v>20564</v>
      </c>
      <c r="V11453" s="1" t="s">
        <v>23503</v>
      </c>
      <c r="AR11453" s="1" t="str">
        <f t="shared" si="715"/>
        <v>| [ㄙ](ㄙ.md) | [澌](澌.md) |  | sī | [動]
竭盡、滅絕。宋．歐陽修〈送徐無黨南歸序〉：「草木鳥獸之為物，眾人之為人，其為生雖異，而為死則同，一歸於腐壞澌盡泯滅而已。」
[名]
解凍時漂流的冰塊。通「凘」。《楚辭．屈原．九歌．河伯》：「與女遊河之渚，流澌紛兮將來下。」唐．韓愈〈寄崔二十六立之〉詩：「還歸非無指，灞渭揚春澌。」
[擬]
參見「澌澌」條。 |</v>
      </c>
    </row>
    <row r="11454" spans="1:44" hidden="1">
      <c r="A11454" s="1" t="s">
        <v>23504</v>
      </c>
      <c r="C11454" s="1">
        <v>1</v>
      </c>
      <c r="D11454" s="1" t="str">
        <f>"09945"</f>
        <v>09945</v>
      </c>
      <c r="E11454" s="1" t="s">
        <v>447</v>
      </c>
      <c r="F11454" s="1">
        <v>15</v>
      </c>
      <c r="G11454" s="1">
        <v>12</v>
      </c>
      <c r="H11454" s="1">
        <v>0</v>
      </c>
      <c r="I11454" s="1" t="s">
        <v>20563</v>
      </c>
      <c r="K11454" s="1" t="str">
        <f t="shared" si="714"/>
        <v>ㄙ</v>
      </c>
      <c r="L11454" s="1" t="str">
        <f t="shared" si="717"/>
        <v/>
      </c>
      <c r="M11454" s="1" t="str">
        <f t="shared" si="716"/>
        <v/>
      </c>
      <c r="P11454" s="1" t="s">
        <v>20</v>
      </c>
      <c r="R11454" s="1" t="s">
        <v>20564</v>
      </c>
      <c r="V11454" s="1" t="s">
        <v>23505</v>
      </c>
      <c r="AR11454" s="1" t="str">
        <f t="shared" si="715"/>
        <v>| [ㄙ](ㄙ.md) | [廝](廝.md) |  | sī | [名]
1.僕役。《玉篇．广部》：「廝，賤也。」如：「小廝」。《史記．卷六九．蘇秦傳》：「廝徒十萬，車六百乘，騎五千匹。」
2.對人輕侮的稱呼。元．關漢卿《蝴蝶夢》第一折：「俺如今尋見那廝，扯到官償命來。」《三國演義》第一回：「我等親赴血戰，救了這廝，他卻如此無禮。」
[副]
互相。如：「廝殺」、「耳鬢廝磨」。宋．歐陽修〈漁家傲．荷葉田田青照水〉詞：「蓮子與人長廝類，無好意，年年苦在中心裡。」《水滸傳》第六回：「你是我手裡敗將，如何再來敢廝併？」 |</v>
      </c>
    </row>
    <row r="11455" spans="1:44" hidden="1">
      <c r="A11455" s="1" t="s">
        <v>16181</v>
      </c>
      <c r="C11455" s="1">
        <v>1</v>
      </c>
      <c r="D11455" s="1" t="str">
        <f>"09946"</f>
        <v>09946</v>
      </c>
      <c r="E11455" s="1" t="s">
        <v>24</v>
      </c>
      <c r="F11455" s="1">
        <v>15</v>
      </c>
      <c r="G11455" s="1">
        <v>12</v>
      </c>
      <c r="H11455" s="1">
        <v>1</v>
      </c>
      <c r="I11455" s="1" t="s">
        <v>20563</v>
      </c>
      <c r="K11455" s="1" t="str">
        <f t="shared" si="714"/>
        <v>ㄙ</v>
      </c>
      <c r="L11455" s="1" t="str">
        <f t="shared" si="717"/>
        <v/>
      </c>
      <c r="M11455" s="1" t="str">
        <f t="shared" si="716"/>
        <v/>
      </c>
      <c r="P11455" s="1" t="s">
        <v>20</v>
      </c>
      <c r="R11455" s="1" t="s">
        <v>20564</v>
      </c>
      <c r="V11455" s="1" t="s">
        <v>23506</v>
      </c>
      <c r="W11455" s="1" t="s">
        <v>23507</v>
      </c>
      <c r="AR11455" s="1" t="str">
        <f t="shared" si="715"/>
        <v>| [ㄙ](ㄙ.md) | [撕](撕.md) |  | sī | [動]
用手指將東西扯裂或使它離開附著處。如：「將紙撕成兩半。」、「把畫從牆壁撕下來。」、「將煮熟的雞肉撕成絲。」 |</v>
      </c>
    </row>
    <row r="11456" spans="1:44" hidden="1">
      <c r="A11456" s="1" t="s">
        <v>23508</v>
      </c>
      <c r="C11456" s="1">
        <v>1</v>
      </c>
      <c r="D11456" s="1" t="str">
        <f>"09947"</f>
        <v>09947</v>
      </c>
      <c r="E11456" s="1" t="s">
        <v>28</v>
      </c>
      <c r="F11456" s="1">
        <v>15</v>
      </c>
      <c r="G11456" s="1">
        <v>12</v>
      </c>
      <c r="H11456" s="1">
        <v>0</v>
      </c>
      <c r="I11456" s="1" t="s">
        <v>20563</v>
      </c>
      <c r="K11456" s="1" t="str">
        <f t="shared" ref="K11456:K11519" si="718">LEFT(I11456, 1)</f>
        <v>ㄙ</v>
      </c>
      <c r="L11456" s="1" t="str">
        <f t="shared" si="717"/>
        <v/>
      </c>
      <c r="M11456" s="1" t="str">
        <f t="shared" si="716"/>
        <v/>
      </c>
      <c r="P11456" s="1" t="s">
        <v>20</v>
      </c>
      <c r="R11456" s="1" t="s">
        <v>20564</v>
      </c>
      <c r="V11456" s="1" t="s">
        <v>23509</v>
      </c>
      <c r="AR11456" s="1" t="str">
        <f t="shared" si="715"/>
        <v>| [ㄙ](ㄙ.md) | [嘶](嘶.md) |  | sī | [動]
馬鳴。《廣韻．平聲．齊韻》：「嘶，馬嘶。」北周．庾信〈伏聞遊獵詩〉：「馬嘶山谷響，弓寒桑柘鳴。」唐．溫庭筠〈菩薩蠻．玉樓明月長相憶〉詞：「門外草萋萋，送君聞馬嘶。」
[形]
1.聲音沙啞。如：「聲嘶力竭」。《北史．卷三一．高允傳》：「崔公聲嘶股戰，不能一言。」
2.聲音淒愴、幽咽。南朝梁．簡文帝〈夜望單飛雁〉詩：「天霜河白夜星稀，一雁聲嘶何處歸。」 |</v>
      </c>
    </row>
    <row r="11457" spans="1:44" hidden="1">
      <c r="A11457" s="1" t="s">
        <v>23510</v>
      </c>
      <c r="C11457" s="1">
        <v>1</v>
      </c>
      <c r="D11457" s="1" t="str">
        <f>"09948"</f>
        <v>09948</v>
      </c>
      <c r="E11457" s="1" t="s">
        <v>725</v>
      </c>
      <c r="F11457" s="1">
        <v>12</v>
      </c>
      <c r="G11457" s="1">
        <v>6</v>
      </c>
      <c r="H11457" s="1">
        <v>0</v>
      </c>
      <c r="I11457" s="1" t="s">
        <v>20563</v>
      </c>
      <c r="K11457" s="1" t="str">
        <f t="shared" si="718"/>
        <v>ㄙ</v>
      </c>
      <c r="L11457" s="1" t="str">
        <f t="shared" si="717"/>
        <v/>
      </c>
      <c r="M11457" s="1" t="str">
        <f t="shared" si="716"/>
        <v/>
      </c>
      <c r="P11457" s="1" t="s">
        <v>20</v>
      </c>
      <c r="R11457" s="1" t="s">
        <v>20564</v>
      </c>
      <c r="V11457" s="1" t="s">
        <v>23511</v>
      </c>
      <c r="AR11457" s="1" t="str">
        <f t="shared" si="715"/>
        <v>| [ㄙ](ㄙ.md) | [絲](絲.md) |  | sī | [名]_x000D_
1.蠶所吐的東西，可製造絹帛。《說文解字．絲部》：「絲，蠶所吐也。」《詩經．衛風．氓》：「氓之蚩蚩，抱布貿絲。」_x000D_
2.絲織品的總稱。《史記．卷三〇．平準書》：「天下已平，高祖乃令賈人不得衣絲乘車。」_x000D_
3.纖細如絲的東西。如：「雨絲」、「髮絲」、「鋼絲」。唐．杜甫〈雨〉詩四首之二：「江雨舊無時，天晴忽散絲。」元．宋方壺〈一枝花．妖嬈體態輕套．梁州〉曲：「瘦伶仃腿似蛛絲，薄支辣翅如葦煤。」_x000D_
4.指極微或極少的量。如：「一絲不苟」、「一絲不掛」。《儒林外史》第四〇回：「兒子不能掙得一絲半粟孝敬父親，到要破費了父親的產業，實在不可自比於人。」_x000D_
5.中國古代樂器「八音」分類法之一，通常以製作材質來分，此處借指琴弦或弦樂器。《周禮．春官宗伯．大師》：「皆播之以八音：金、石、土、革、絲、木、匏、竹。」唐．元稹〈春六十韻〉：「啟齒呈編貝，彈絲動削蔥。」也借指弦樂器所奏的音樂。唐．韋應物〈金谷園歌〉：「洛陽陌上人迴首，絲竹飄颻入青天。」宋．釋道潛〈寄福州太守孫莘老龍圖〉詩：「黃金燕佳客，柔指鳴哀絲。」_x000D_
[量]_x000D_
1.古代計算重量、長度的微小單位。唐．李淳風《孫子算經》卷上：「十忽為一絲，十絲為一毫，十毫為一氂，十氂為一分，十分為一寸，十寸為一尺。」明．倪復《鐘律通考．卷六．十二律之義章》：「諸律之高下，悉以黃鐘一管之分、寸、釐、毫、絲、忽損益而取之。」_x000D_
2.計算絲線或纖細條狀事物的單位。明．湯顯祖《牡丹亭》第七齣：「則問你幾絲兒頭髮，幾條背花？敢也怕些些夫人堂上那些家法。」清．王念孫《廣雅疏證．卷四上．釋詁》：「紽，數也。」疏證：「紽、緎、總，皆數也。五絲為紽，四紽為緎，四緎為總。」_x000D_
[形]_x000D_
1.以絲製成的。如：「絲巾」、「絲綿」。《樂府詩集．卷七三．雜曲歌辭一三．古辭．焦仲卿妻》：「足下躡絲履，頭上玳瑁光。」_x000D_
2.極細微的、纖細如絲的。南朝宋．鮑照〈代陸平原君子有所思行〉：「蟻壤漏山阿，絲淚毀金骨。」宋．陸游〈舟中對月〉詩：「江空裊裊釣絲風，人靜翩翩葛巾影。」元．無名氏《抱妝盒》第三折：「雪消也見死屍，打的你氣咽聲絲。」明．朱權《荊釵記》第八齣：「若是嫁了他，餓斷了絲腸。」 |</v>
      </c>
    </row>
    <row r="11458" spans="1:44" hidden="1">
      <c r="A11458" s="1" t="s">
        <v>23512</v>
      </c>
      <c r="C11458" s="1">
        <v>1</v>
      </c>
      <c r="D11458" s="1" t="str">
        <f>"09949"</f>
        <v>09949</v>
      </c>
      <c r="E11458" s="1" t="s">
        <v>272</v>
      </c>
      <c r="F11458" s="1">
        <v>23</v>
      </c>
      <c r="G11458" s="1">
        <v>12</v>
      </c>
      <c r="H11458" s="1">
        <v>0</v>
      </c>
      <c r="I11458" s="1" t="s">
        <v>20563</v>
      </c>
      <c r="K11458" s="1" t="str">
        <f t="shared" si="718"/>
        <v>ㄙ</v>
      </c>
      <c r="L11458" s="1" t="str">
        <f t="shared" si="717"/>
        <v/>
      </c>
      <c r="M11458" s="1" t="str">
        <f t="shared" si="716"/>
        <v/>
      </c>
      <c r="P11458" s="1" t="s">
        <v>20</v>
      </c>
      <c r="R11458" s="1" t="s">
        <v>20564</v>
      </c>
      <c r="V11458" s="1" t="s">
        <v>23513</v>
      </c>
      <c r="AR11458" s="1" t="str">
        <f t="shared" si="715"/>
        <v>| [ㄙ](ㄙ.md) | [鷥](鷥.md) |  | sī | 參見「鷺鷥」條。 |</v>
      </c>
    </row>
    <row r="11459" spans="1:44" hidden="1">
      <c r="A11459" s="1" t="s">
        <v>23514</v>
      </c>
      <c r="C11459" s="1">
        <v>1</v>
      </c>
      <c r="D11459" s="1" t="str">
        <f>"09950"</f>
        <v>09950</v>
      </c>
      <c r="E11459" s="1" t="s">
        <v>679</v>
      </c>
      <c r="F11459" s="1">
        <v>14</v>
      </c>
      <c r="G11459" s="1">
        <v>8</v>
      </c>
      <c r="H11459" s="1">
        <v>0</v>
      </c>
      <c r="I11459" s="1" t="s">
        <v>20563</v>
      </c>
      <c r="K11459" s="1" t="str">
        <f t="shared" si="718"/>
        <v>ㄙ</v>
      </c>
      <c r="L11459" s="1" t="str">
        <f t="shared" si="717"/>
        <v/>
      </c>
      <c r="M11459" s="1" t="str">
        <f t="shared" si="716"/>
        <v/>
      </c>
      <c r="P11459" s="1" t="s">
        <v>20</v>
      </c>
      <c r="R11459" s="1" t="s">
        <v>20564</v>
      </c>
      <c r="V11459" s="1" t="s">
        <v>23515</v>
      </c>
      <c r="AR11459" s="1" t="str">
        <f t="shared" ref="AR11459:AR11522" si="719">"| ["&amp;I11459&amp;"]("&amp;I11459&amp;".md) | ["&amp;A11459&amp;"]("&amp;A11459&amp;".md) | "&amp;" | "&amp;R11459&amp;" | "&amp;V11459&amp;" |"</f>
        <v>| [ㄙ](ㄙ.md) | [蜤](蜤.md) |  | sī | [名]
蜤螽：螽斯。《爾雅．釋蟲》：「蜤螽，蜙蝑。」宋．邢昺．疏：「蜤螽，周南作螽斯，七月作斯螽。」 |</v>
      </c>
    </row>
    <row r="11460" spans="1:44" hidden="1">
      <c r="A11460" s="1" t="s">
        <v>23516</v>
      </c>
      <c r="C11460" s="1">
        <v>1</v>
      </c>
      <c r="D11460" s="1" t="str">
        <f>"09951"</f>
        <v>09951</v>
      </c>
      <c r="E11460" s="1" t="s">
        <v>679</v>
      </c>
      <c r="F11460" s="1">
        <v>16</v>
      </c>
      <c r="G11460" s="1">
        <v>10</v>
      </c>
      <c r="H11460" s="1">
        <v>0</v>
      </c>
      <c r="I11460" s="1" t="s">
        <v>20563</v>
      </c>
      <c r="K11460" s="1" t="str">
        <f t="shared" si="718"/>
        <v>ㄙ</v>
      </c>
      <c r="L11460" s="1" t="str">
        <f t="shared" si="717"/>
        <v/>
      </c>
      <c r="M11460" s="1" t="str">
        <f t="shared" si="716"/>
        <v/>
      </c>
      <c r="P11460" s="1" t="s">
        <v>20</v>
      </c>
      <c r="R11460" s="1" t="s">
        <v>20564</v>
      </c>
      <c r="V11460" s="1" t="s">
        <v>23517</v>
      </c>
      <c r="AR11460" s="1" t="str">
        <f t="shared" si="719"/>
        <v>| [ㄙ](ㄙ.md) | [螄](螄.md) |  | sī | 參見「螺螄」條。 |</v>
      </c>
    </row>
    <row r="11461" spans="1:44" hidden="1">
      <c r="A11461" s="1" t="s">
        <v>23574</v>
      </c>
      <c r="C11461" s="1">
        <v>1</v>
      </c>
      <c r="D11461" s="1" t="str">
        <f>"09979"</f>
        <v>09979</v>
      </c>
      <c r="E11461" s="1" t="s">
        <v>789</v>
      </c>
      <c r="F11461" s="1">
        <v>3</v>
      </c>
      <c r="G11461" s="1">
        <v>2</v>
      </c>
      <c r="H11461" s="1">
        <v>2</v>
      </c>
      <c r="I11461" s="1" t="s">
        <v>23575</v>
      </c>
      <c r="K11461" s="1" t="str">
        <f t="shared" si="718"/>
        <v>ㄙ</v>
      </c>
      <c r="L11461" s="1" t="str">
        <f t="shared" si="717"/>
        <v>ㄚ</v>
      </c>
      <c r="M11461" s="1" t="str">
        <f t="shared" si="716"/>
        <v/>
      </c>
      <c r="P11461" s="1" t="s">
        <v>20</v>
      </c>
      <c r="R11461" s="1" t="s">
        <v>23576</v>
      </c>
      <c r="V11461" s="1" t="s">
        <v>23577</v>
      </c>
      <c r="W11461" s="1" t="s">
        <v>23578</v>
      </c>
      <c r="AR11461" s="1" t="str">
        <f t="shared" si="719"/>
        <v>| [ㄙㄚ](ㄙㄚ.md) | [三](三.md) |  | sā | 同「仨」。 |</v>
      </c>
    </row>
    <row r="11462" spans="1:44" hidden="1">
      <c r="A11462" s="1" t="s">
        <v>23579</v>
      </c>
      <c r="C11462" s="1">
        <v>1</v>
      </c>
      <c r="D11462" s="1" t="str">
        <f>"09980"</f>
        <v>09980</v>
      </c>
      <c r="E11462" s="1" t="s">
        <v>114</v>
      </c>
      <c r="F11462" s="1">
        <v>5</v>
      </c>
      <c r="G11462" s="1">
        <v>3</v>
      </c>
      <c r="H11462" s="1">
        <v>0</v>
      </c>
      <c r="I11462" s="1" t="s">
        <v>23575</v>
      </c>
      <c r="K11462" s="1" t="str">
        <f t="shared" si="718"/>
        <v>ㄙ</v>
      </c>
      <c r="L11462" s="1" t="str">
        <f t="shared" si="717"/>
        <v>ㄚ</v>
      </c>
      <c r="M11462" s="1" t="str">
        <f t="shared" si="716"/>
        <v/>
      </c>
      <c r="P11462" s="1" t="s">
        <v>20</v>
      </c>
      <c r="R11462" s="1" t="s">
        <v>23576</v>
      </c>
      <c r="V11462" s="1" t="s">
        <v>23580</v>
      </c>
      <c r="AR11462" s="1" t="str">
        <f t="shared" si="719"/>
        <v>| [ㄙㄚ](ㄙㄚ.md) | [仨](仨.md) |  | sā | [形]
北方方言。指三個，使用時不必接量詞「個」。如：「哥兒仨」、「他們仨人買了仨大西瓜回來，累得滿頭大汗。」 |</v>
      </c>
    </row>
    <row r="11463" spans="1:44" hidden="1">
      <c r="A11463" s="1" t="s">
        <v>23581</v>
      </c>
      <c r="C11463" s="1">
        <v>1</v>
      </c>
      <c r="D11463" s="1" t="str">
        <f>"09981"</f>
        <v>09981</v>
      </c>
      <c r="E11463" s="1" t="s">
        <v>24</v>
      </c>
      <c r="F11463" s="1">
        <v>15</v>
      </c>
      <c r="G11463" s="1">
        <v>12</v>
      </c>
      <c r="H11463" s="1">
        <v>1</v>
      </c>
      <c r="I11463" s="1" t="s">
        <v>23575</v>
      </c>
      <c r="K11463" s="1" t="str">
        <f t="shared" si="718"/>
        <v>ㄙ</v>
      </c>
      <c r="L11463" s="1" t="str">
        <f t="shared" si="717"/>
        <v>ㄚ</v>
      </c>
      <c r="M11463" s="1" t="str">
        <f t="shared" si="716"/>
        <v/>
      </c>
      <c r="P11463" s="1" t="s">
        <v>20</v>
      </c>
      <c r="R11463" s="1" t="s">
        <v>23576</v>
      </c>
      <c r="V11463" s="1" t="s">
        <v>23582</v>
      </c>
      <c r="W11463" s="1" t="s">
        <v>23583</v>
      </c>
      <c r="AR11463" s="1" t="str">
        <f t="shared" si="719"/>
        <v>| [ㄙㄚ](ㄙㄚ.md) | [撒](撒.md) |  | sā | [動]
1.放開、散放。如：「撒手不管」。《紅樓夢》第五九回：「鶯兒聽見這般蠢話，便賭氣紅了臉，撒了手。」《兒女英雄傳》第一八回：「顧先生也不破他的桿子，只把右腿一撒，左腿一低，前身一低，紀獻唐那條桿子早從他脊梁上面過去。」
2.排出、排洩。如：「你也不撒泡尿照照，看看自己是什麼德性？」《水滸傳》第四回：「只在佛殿後撒尿撒屎，遍地都是。」
3.施展、表現。如：「撒嬌」。元．關漢卿《竇娥冤》第二折：「浪蕩乾坤，怎敢行兇撒潑，擅自勒死平民！」
[名]
姓。如明代有撒仲謙。 |</v>
      </c>
    </row>
    <row r="11464" spans="1:44" hidden="1">
      <c r="A11464" s="1" t="s">
        <v>23482</v>
      </c>
      <c r="C11464" s="1">
        <v>1</v>
      </c>
      <c r="D11464" s="1" t="str">
        <f>"10008"</f>
        <v>10008</v>
      </c>
      <c r="E11464" s="1" t="s">
        <v>250</v>
      </c>
      <c r="F11464" s="1">
        <v>9</v>
      </c>
      <c r="G11464" s="1">
        <v>5</v>
      </c>
      <c r="H11464" s="1">
        <v>3</v>
      </c>
      <c r="I11464" s="1" t="s">
        <v>23643</v>
      </c>
      <c r="K11464" s="1" t="str">
        <f t="shared" si="718"/>
        <v>ㄙ</v>
      </c>
      <c r="L11464" s="1" t="str">
        <f t="shared" si="717"/>
        <v>ㄞ</v>
      </c>
      <c r="M11464" s="1" t="str">
        <f t="shared" si="716"/>
        <v/>
      </c>
      <c r="P11464" s="1" t="s">
        <v>20</v>
      </c>
      <c r="R11464" s="1" t="s">
        <v>23644</v>
      </c>
      <c r="V11464" s="1" t="s">
        <v>23645</v>
      </c>
      <c r="W11464" s="1" t="s">
        <v>23646</v>
      </c>
      <c r="AR11464" s="1" t="str">
        <f t="shared" si="719"/>
        <v>| [ㄙㄞ](ㄙㄞ.md) | [思](思.md) |  | sāi | [形]
䯱思：鬍鬚多的樣子。《集韻．平聲．咍韻》：「䰄，䯱䰄，多鬚貌。或作思。」 |</v>
      </c>
    </row>
    <row r="11465" spans="1:44" hidden="1">
      <c r="A11465" s="1" t="s">
        <v>23485</v>
      </c>
      <c r="C11465" s="1">
        <v>1</v>
      </c>
      <c r="D11465" s="1" t="str">
        <f>"10009"</f>
        <v>10009</v>
      </c>
      <c r="E11465" s="1" t="s">
        <v>114</v>
      </c>
      <c r="F11465" s="1">
        <v>11</v>
      </c>
      <c r="G11465" s="1">
        <v>9</v>
      </c>
      <c r="H11465" s="1">
        <v>2</v>
      </c>
      <c r="I11465" s="1" t="s">
        <v>23643</v>
      </c>
      <c r="K11465" s="1" t="str">
        <f t="shared" si="718"/>
        <v>ㄙ</v>
      </c>
      <c r="L11465" s="1" t="str">
        <f t="shared" si="717"/>
        <v>ㄞ</v>
      </c>
      <c r="M11465" s="1" t="str">
        <f t="shared" si="716"/>
        <v/>
      </c>
      <c r="P11465" s="1" t="s">
        <v>20</v>
      </c>
      <c r="R11465" s="1" t="s">
        <v>23644</v>
      </c>
      <c r="V11465" s="1" t="s">
        <v>23647</v>
      </c>
      <c r="W11465" s="1" t="s">
        <v>23648</v>
      </c>
      <c r="AR11465" s="1" t="str">
        <f t="shared" si="719"/>
        <v>| [ㄙㄞ](ㄙㄞ.md) | [偲](偲.md) |  | sāi | [形]
能力好。《詩經．齊風．盧令》：「盧重鋂，其人美且偲。」漢．毛亨．傳：「偲，才也。」 |</v>
      </c>
    </row>
    <row r="11466" spans="1:44" hidden="1">
      <c r="A11466" s="1" t="s">
        <v>23649</v>
      </c>
      <c r="C11466" s="1">
        <v>1</v>
      </c>
      <c r="D11466" s="1" t="str">
        <f>"10010"</f>
        <v>10010</v>
      </c>
      <c r="E11466" s="1" t="s">
        <v>1703</v>
      </c>
      <c r="F11466" s="1">
        <v>13</v>
      </c>
      <c r="G11466" s="1">
        <v>9</v>
      </c>
      <c r="H11466" s="1">
        <v>0</v>
      </c>
      <c r="I11466" s="1" t="s">
        <v>23643</v>
      </c>
      <c r="K11466" s="1" t="str">
        <f t="shared" si="718"/>
        <v>ㄙ</v>
      </c>
      <c r="L11466" s="1" t="str">
        <f t="shared" si="717"/>
        <v>ㄞ</v>
      </c>
      <c r="M11466" s="1" t="str">
        <f t="shared" si="716"/>
        <v/>
      </c>
      <c r="P11466" s="1" t="s">
        <v>20</v>
      </c>
      <c r="R11466" s="1" t="s">
        <v>23644</v>
      </c>
      <c r="V11466" s="1" t="s">
        <v>1704</v>
      </c>
      <c r="AR11466" s="1" t="str">
        <f t="shared" si="719"/>
        <v>| [ㄙㄞ](ㄙㄞ.md) | [毸](毸.md) |  | sāi | 參見「毰毸」條。 |</v>
      </c>
    </row>
    <row r="11467" spans="1:44" hidden="1">
      <c r="A11467" s="1" t="s">
        <v>23650</v>
      </c>
      <c r="C11467" s="1">
        <v>1</v>
      </c>
      <c r="D11467" s="1" t="str">
        <f>"10011"</f>
        <v>10011</v>
      </c>
      <c r="E11467" s="1" t="s">
        <v>68</v>
      </c>
      <c r="F11467" s="1">
        <v>13</v>
      </c>
      <c r="G11467" s="1">
        <v>9</v>
      </c>
      <c r="H11467" s="1">
        <v>0</v>
      </c>
      <c r="I11467" s="1" t="s">
        <v>23643</v>
      </c>
      <c r="K11467" s="1" t="str">
        <f t="shared" si="718"/>
        <v>ㄙ</v>
      </c>
      <c r="L11467" s="1" t="str">
        <f t="shared" si="717"/>
        <v>ㄞ</v>
      </c>
      <c r="M11467" s="1" t="str">
        <f t="shared" si="716"/>
        <v/>
      </c>
      <c r="P11467" s="1" t="s">
        <v>20</v>
      </c>
      <c r="R11467" s="1" t="s">
        <v>23644</v>
      </c>
      <c r="V11467" s="1" t="s">
        <v>23651</v>
      </c>
      <c r="AR11467" s="1" t="str">
        <f t="shared" si="719"/>
        <v>| [ㄙㄞ](ㄙㄞ.md) | [腮](腮.md) |  | sāi | [名]
面頰。如：「她受了委屈，哭得眼腫腮紅。」《紅樓夢》第一二回：「賈瑞聽了，喜的抓耳撓腮。」 |</v>
      </c>
    </row>
    <row r="11468" spans="1:44" hidden="1">
      <c r="A11468" s="1" t="s">
        <v>16290</v>
      </c>
      <c r="C11468" s="1">
        <v>1</v>
      </c>
      <c r="D11468" s="1" t="str">
        <f>"10012"</f>
        <v>10012</v>
      </c>
      <c r="E11468" s="1" t="s">
        <v>156</v>
      </c>
      <c r="F11468" s="1">
        <v>20</v>
      </c>
      <c r="G11468" s="1">
        <v>9</v>
      </c>
      <c r="H11468" s="1">
        <v>1</v>
      </c>
      <c r="I11468" s="1" t="s">
        <v>23643</v>
      </c>
      <c r="K11468" s="1" t="str">
        <f t="shared" si="718"/>
        <v>ㄙ</v>
      </c>
      <c r="L11468" s="1" t="str">
        <f t="shared" si="717"/>
        <v>ㄞ</v>
      </c>
      <c r="M11468" s="1" t="str">
        <f t="shared" si="716"/>
        <v/>
      </c>
      <c r="P11468" s="1" t="s">
        <v>20</v>
      </c>
      <c r="R11468" s="1" t="s">
        <v>23644</v>
      </c>
      <c r="V11468" s="1" t="s">
        <v>23652</v>
      </c>
      <c r="W11468" s="1" t="s">
        <v>23653</v>
      </c>
      <c r="AR11468" s="1" t="str">
        <f t="shared" si="719"/>
        <v>| [ㄙㄞ](ㄙㄞ.md) | [鰓](鰓.md) |  | sāi | [名]
魚類的呼吸器官。位在頭部的兩頰，用來吸取溶解在水裡的氧氣。 |</v>
      </c>
    </row>
    <row r="11469" spans="1:44" hidden="1">
      <c r="A11469" s="1" t="s">
        <v>23624</v>
      </c>
      <c r="C11469" s="1">
        <v>1</v>
      </c>
      <c r="D11469" s="1" t="str">
        <f>"10013"</f>
        <v>10013</v>
      </c>
      <c r="E11469" s="1" t="s">
        <v>132</v>
      </c>
      <c r="F11469" s="1">
        <v>13</v>
      </c>
      <c r="G11469" s="1">
        <v>10</v>
      </c>
      <c r="H11469" s="1">
        <v>4</v>
      </c>
      <c r="I11469" s="1" t="s">
        <v>23643</v>
      </c>
      <c r="K11469" s="1" t="str">
        <f t="shared" si="718"/>
        <v>ㄙ</v>
      </c>
      <c r="L11469" s="1" t="str">
        <f t="shared" si="717"/>
        <v>ㄞ</v>
      </c>
      <c r="M11469" s="1" t="str">
        <f t="shared" si="716"/>
        <v/>
      </c>
      <c r="P11469" s="1" t="s">
        <v>20</v>
      </c>
      <c r="R11469" s="1" t="s">
        <v>23644</v>
      </c>
      <c r="V11469" s="1" t="s">
        <v>23654</v>
      </c>
      <c r="W11469" s="1" t="s">
        <v>23655</v>
      </c>
      <c r="AR11469" s="1" t="str">
        <f t="shared" si="719"/>
        <v>| [ㄙㄞ](ㄙㄞ.md) | [塞](塞.md) |  | sāi | [名]
封口的東西，通常用軟木或塑膠製成。如：「瓶塞」、「活塞」、「軟木塞」。也稱為「塞子」。
[動]
1.填滿空隙。如：「嘴裡塞滿了糖果。」
2.受阻不暢。如：「塞車」。 |</v>
      </c>
    </row>
    <row r="11470" spans="1:44" hidden="1">
      <c r="A11470" s="1" t="s">
        <v>23656</v>
      </c>
      <c r="C11470" s="1">
        <v>1</v>
      </c>
      <c r="D11470" s="1" t="str">
        <f>"10014"</f>
        <v>10014</v>
      </c>
      <c r="E11470" s="1" t="s">
        <v>28</v>
      </c>
      <c r="F11470" s="1">
        <v>20</v>
      </c>
      <c r="G11470" s="1">
        <v>17</v>
      </c>
      <c r="H11470" s="1">
        <v>1</v>
      </c>
      <c r="I11470" s="1" t="s">
        <v>23643</v>
      </c>
      <c r="K11470" s="1" t="str">
        <f t="shared" si="718"/>
        <v>ㄙ</v>
      </c>
      <c r="L11470" s="1" t="str">
        <f t="shared" si="717"/>
        <v>ㄞ</v>
      </c>
      <c r="M11470" s="1" t="str">
        <f t="shared" si="716"/>
        <v/>
      </c>
      <c r="P11470" s="1" t="s">
        <v>20</v>
      </c>
      <c r="R11470" s="1" t="s">
        <v>23644</v>
      </c>
      <c r="V11470" s="1" t="s">
        <v>23657</v>
      </c>
      <c r="W11470" s="1" t="s">
        <v>23658</v>
      </c>
      <c r="AR11470" s="1" t="str">
        <f t="shared" si="719"/>
        <v>| [ㄙㄞ](ㄙㄞ.md) | [㘔](㘔.md) |  | sāi | [動]
吃、飽嘗。如：「好酒好肉㘔一頓。」 |</v>
      </c>
    </row>
    <row r="11471" spans="1:44" hidden="1">
      <c r="A11471" s="1" t="s">
        <v>23624</v>
      </c>
      <c r="C11471" s="1">
        <v>1</v>
      </c>
      <c r="D11471" s="1" t="str">
        <f>"10019"</f>
        <v>10019</v>
      </c>
      <c r="E11471" s="1" t="s">
        <v>132</v>
      </c>
      <c r="F11471" s="1">
        <v>13</v>
      </c>
      <c r="G11471" s="1">
        <v>10</v>
      </c>
      <c r="H11471" s="1">
        <v>2</v>
      </c>
      <c r="I11471" s="1" t="s">
        <v>23670</v>
      </c>
      <c r="K11471" s="1" t="str">
        <f t="shared" si="718"/>
        <v>ㄙ</v>
      </c>
      <c r="L11471" s="1" t="str">
        <f t="shared" si="717"/>
        <v>ㄟ</v>
      </c>
      <c r="M11471" s="1" t="str">
        <f t="shared" si="716"/>
        <v/>
      </c>
      <c r="P11471" s="1" t="s">
        <v>110</v>
      </c>
      <c r="R11471" s="1" t="s">
        <v>23671</v>
      </c>
      <c r="V11471" s="1" t="s">
        <v>111</v>
      </c>
      <c r="W11471" s="1" t="s">
        <v>23672</v>
      </c>
      <c r="AR11471" s="1" t="str">
        <f t="shared" si="719"/>
        <v>| [ㄙㄟ](ㄙㄟ.md) | [塞](塞.md) |  | sēi | (一)之又音。 |</v>
      </c>
    </row>
    <row r="11472" spans="1:44" hidden="1">
      <c r="A11472" s="1" t="s">
        <v>23673</v>
      </c>
      <c r="C11472" s="1">
        <v>1</v>
      </c>
      <c r="D11472" s="1" t="str">
        <f>"10020"</f>
        <v>10020</v>
      </c>
      <c r="E11472" s="1" t="s">
        <v>129</v>
      </c>
      <c r="F11472" s="1">
        <v>13</v>
      </c>
      <c r="G11472" s="1">
        <v>10</v>
      </c>
      <c r="H11472" s="1">
        <v>0</v>
      </c>
      <c r="I11472" s="1" t="s">
        <v>23674</v>
      </c>
      <c r="K11472" s="1" t="str">
        <f t="shared" si="718"/>
        <v>ㄙ</v>
      </c>
      <c r="L11472" s="1" t="str">
        <f t="shared" si="717"/>
        <v>ㄠ</v>
      </c>
      <c r="M11472" s="1" t="str">
        <f t="shared" ref="M11472:M11503" si="720">MID(I11472, 3, 1)</f>
        <v/>
      </c>
      <c r="P11472" s="1" t="s">
        <v>20</v>
      </c>
      <c r="R11472" s="1" t="s">
        <v>23675</v>
      </c>
      <c r="V11472" s="1" t="s">
        <v>23676</v>
      </c>
      <c r="AR11472" s="1" t="str">
        <f t="shared" si="719"/>
        <v>| [ㄙㄠ](ㄙㄠ.md) | [溞](溞.md) |  | sāo | 參見「溞溞」條。 |</v>
      </c>
    </row>
    <row r="11473" spans="1:44" hidden="1">
      <c r="A11473" s="1" t="s">
        <v>23069</v>
      </c>
      <c r="C11473" s="1">
        <v>1</v>
      </c>
      <c r="D11473" s="1" t="str">
        <f>"10021"</f>
        <v>10021</v>
      </c>
      <c r="E11473" s="1" t="s">
        <v>250</v>
      </c>
      <c r="F11473" s="1">
        <v>13</v>
      </c>
      <c r="G11473" s="1">
        <v>10</v>
      </c>
      <c r="H11473" s="1">
        <v>1</v>
      </c>
      <c r="I11473" s="1" t="s">
        <v>23674</v>
      </c>
      <c r="K11473" s="1" t="str">
        <f t="shared" si="718"/>
        <v>ㄙ</v>
      </c>
      <c r="L11473" s="1" t="str">
        <f t="shared" si="717"/>
        <v>ㄠ</v>
      </c>
      <c r="M11473" s="1" t="str">
        <f t="shared" si="720"/>
        <v/>
      </c>
      <c r="P11473" s="1" t="s">
        <v>20</v>
      </c>
      <c r="R11473" s="1" t="s">
        <v>23675</v>
      </c>
      <c r="V11473" s="1" t="s">
        <v>23677</v>
      </c>
      <c r="W11473" s="1" t="s">
        <v>23678</v>
      </c>
      <c r="AR11473" s="1" t="str">
        <f t="shared" si="719"/>
        <v>| [ㄙㄠ](ㄙㄠ.md) | [慅](慅.md) |  | sāo | [動]
擾動。通「騷」。《魏書．卷五八．楊播傳》：「城中慅擾，不敢出戰。」 |</v>
      </c>
    </row>
    <row r="11474" spans="1:44" hidden="1">
      <c r="A11474" s="1" t="s">
        <v>23679</v>
      </c>
      <c r="C11474" s="1">
        <v>1</v>
      </c>
      <c r="D11474" s="1" t="str">
        <f>"10022"</f>
        <v>10022</v>
      </c>
      <c r="E11474" s="1" t="s">
        <v>24</v>
      </c>
      <c r="F11474" s="1">
        <v>13</v>
      </c>
      <c r="G11474" s="1">
        <v>10</v>
      </c>
      <c r="H11474" s="1">
        <v>0</v>
      </c>
      <c r="I11474" s="1" t="s">
        <v>23674</v>
      </c>
      <c r="K11474" s="1" t="str">
        <f t="shared" si="718"/>
        <v>ㄙ</v>
      </c>
      <c r="L11474" s="1" t="str">
        <f t="shared" si="717"/>
        <v>ㄠ</v>
      </c>
      <c r="M11474" s="1" t="str">
        <f t="shared" si="720"/>
        <v/>
      </c>
      <c r="P11474" s="1" t="s">
        <v>20</v>
      </c>
      <c r="R11474" s="1" t="s">
        <v>23675</v>
      </c>
      <c r="V11474" s="1" t="s">
        <v>23680</v>
      </c>
      <c r="AR11474" s="1" t="str">
        <f t="shared" si="719"/>
        <v>| [ㄙㄠ](ㄙㄠ.md) | [搔](搔.md) |  | sāo | [動]
1.以指甲或器物輕輕抓刮。如：「搔癢」、「搔爬」。唐．杜甫〈春望〉詩：「白頭搔更短，渾欲不勝簪。」
2.擾亂、騷動。通「騷」。《淮南子．兵略》：「貪昧饕餮之人，殘賊天下，萬人搔動。」 |</v>
      </c>
    </row>
    <row r="11475" spans="1:44" hidden="1">
      <c r="A11475" s="1" t="s">
        <v>23681</v>
      </c>
      <c r="C11475" s="1">
        <v>1</v>
      </c>
      <c r="D11475" s="1" t="str">
        <f>"10023"</f>
        <v>10023</v>
      </c>
      <c r="E11475" s="1" t="s">
        <v>40</v>
      </c>
      <c r="F11475" s="1">
        <v>15</v>
      </c>
      <c r="G11475" s="1">
        <v>10</v>
      </c>
      <c r="H11475" s="1">
        <v>0</v>
      </c>
      <c r="I11475" s="1" t="s">
        <v>23674</v>
      </c>
      <c r="K11475" s="1" t="str">
        <f t="shared" si="718"/>
        <v>ㄙ</v>
      </c>
      <c r="L11475" s="1" t="str">
        <f t="shared" si="717"/>
        <v>ㄠ</v>
      </c>
      <c r="M11475" s="1" t="str">
        <f t="shared" si="720"/>
        <v/>
      </c>
      <c r="P11475" s="1" t="s">
        <v>20</v>
      </c>
      <c r="R11475" s="1" t="s">
        <v>23675</v>
      </c>
      <c r="V11475" s="1" t="s">
        <v>23682</v>
      </c>
      <c r="AR11475" s="1" t="str">
        <f t="shared" si="719"/>
        <v>| [ㄙㄠ](ㄙㄠ.md) | [瘙](瘙.md) |  | sāo | [名]
疥瘡。明．李時珍《本草綱目．卷三三．果部．慈姑》：「（慈姑葉）搗爛封之，調蚌粉塗瘙疿。」 |</v>
      </c>
    </row>
    <row r="11476" spans="1:44" hidden="1">
      <c r="A11476" s="1" t="s">
        <v>23683</v>
      </c>
      <c r="C11476" s="1">
        <v>1</v>
      </c>
      <c r="D11476" s="1" t="str">
        <f>"10024"</f>
        <v>10024</v>
      </c>
      <c r="E11476" s="1" t="s">
        <v>319</v>
      </c>
      <c r="F11476" s="1">
        <v>20</v>
      </c>
      <c r="G11476" s="1">
        <v>10</v>
      </c>
      <c r="H11476" s="1">
        <v>0</v>
      </c>
      <c r="I11476" s="1" t="s">
        <v>23674</v>
      </c>
      <c r="K11476" s="1" t="str">
        <f t="shared" si="718"/>
        <v>ㄙ</v>
      </c>
      <c r="L11476" s="1" t="str">
        <f t="shared" si="717"/>
        <v>ㄠ</v>
      </c>
      <c r="M11476" s="1" t="str">
        <f t="shared" si="720"/>
        <v/>
      </c>
      <c r="P11476" s="1" t="s">
        <v>20</v>
      </c>
      <c r="R11476" s="1" t="s">
        <v>23675</v>
      </c>
      <c r="V11476" s="1" t="s">
        <v>23684</v>
      </c>
      <c r="AR11476" s="1" t="str">
        <f t="shared" si="719"/>
        <v>| [ㄙㄠ](ㄙㄠ.md) | [騷](騷.md) |  | sāo | [動]
擾亂、動盪。如：「騷擾」。《詩經．大雅．常武》：「徐方繹騷，震驚徐方。」漢．毛亨．傳：「騷，動也。」
[名]
1.憂愁。《史記．卷八四．屈原賈生列傳．屈原》：「離騷者，猶離憂也。」
2.抑鬱不滿的心理。如：「滿腹牢騷」。
3.《離騷》的簡稱。南朝梁．劉勰《文心雕龍．辨騷》：「昔漢武愛騷，而淮南作傳。」
4.詩體的一種。即楚辭體。如：「騷詞」、「騷賦」。
5.泛稱詩文。唐．劉長卿〈對雨贈濟陰馬少府考城蔣少府兼獻成武五兄南華二兄〉詩：「笑語和風騷，雍容事文墨。」
6.腥臭。通「臊」。如：「羊騷」。
[形]
1.指行為淫蕩、舉止輕佻。含貶義。如：「騷貨」、「風騷」。
2.風雅的。如：「騷人墨客」。
3.指雄性的家畜。如：「騷牛」、「騷馬」。 |</v>
      </c>
    </row>
    <row r="11477" spans="1:44" hidden="1">
      <c r="A11477" s="1" t="s">
        <v>23685</v>
      </c>
      <c r="C11477" s="1">
        <v>1</v>
      </c>
      <c r="D11477" s="1" t="str">
        <f>"10025"</f>
        <v>10025</v>
      </c>
      <c r="E11477" s="1" t="s">
        <v>181</v>
      </c>
      <c r="F11477" s="1">
        <v>16</v>
      </c>
      <c r="G11477" s="1">
        <v>10</v>
      </c>
      <c r="H11477" s="1">
        <v>1</v>
      </c>
      <c r="I11477" s="1" t="s">
        <v>23674</v>
      </c>
      <c r="K11477" s="1" t="str">
        <f t="shared" si="718"/>
        <v>ㄙ</v>
      </c>
      <c r="L11477" s="1" t="str">
        <f t="shared" si="717"/>
        <v>ㄠ</v>
      </c>
      <c r="M11477" s="1" t="str">
        <f t="shared" si="720"/>
        <v/>
      </c>
      <c r="P11477" s="1" t="s">
        <v>20</v>
      </c>
      <c r="R11477" s="1" t="s">
        <v>23675</v>
      </c>
      <c r="V11477" s="1" t="s">
        <v>23686</v>
      </c>
      <c r="W11477" s="1" t="s">
        <v>23687</v>
      </c>
      <c r="AR11477" s="1" t="str">
        <f t="shared" si="719"/>
        <v>| [ㄙㄠ](ㄙㄠ.md) | [艘](艘.md) |  | sāo | [名]
1.量詞。計算船隻、艦艇的單位。如：「一艘船」、「十艘軍艦」。《晉書．卷五六．孫楚傳》：「興造舟楫，簡習水戰，樓船萬艘，千里相望。」
2.舟船的總稱。宋．汪元量〈水龍吟．鼓鞞驚破霓裳〉詞：「自都門燕別，龍艘錦纜，空載得、春歸去。」《明史．卷八三．河渠志一》：「沛地淤填七八里，糧艘阻不進。」 |</v>
      </c>
    </row>
    <row r="11478" spans="1:44" hidden="1">
      <c r="A11478" s="1" t="s">
        <v>23688</v>
      </c>
      <c r="C11478" s="1">
        <v>1</v>
      </c>
      <c r="D11478" s="1" t="str">
        <f>"10026"</f>
        <v>10026</v>
      </c>
      <c r="E11478" s="1" t="s">
        <v>68</v>
      </c>
      <c r="F11478" s="1">
        <v>17</v>
      </c>
      <c r="G11478" s="1">
        <v>13</v>
      </c>
      <c r="H11478" s="1">
        <v>1</v>
      </c>
      <c r="I11478" s="1" t="s">
        <v>23674</v>
      </c>
      <c r="K11478" s="1" t="str">
        <f t="shared" si="718"/>
        <v>ㄙ</v>
      </c>
      <c r="L11478" s="1" t="str">
        <f t="shared" si="717"/>
        <v>ㄠ</v>
      </c>
      <c r="M11478" s="1" t="str">
        <f t="shared" si="720"/>
        <v/>
      </c>
      <c r="P11478" s="1" t="s">
        <v>20</v>
      </c>
      <c r="R11478" s="1" t="s">
        <v>23675</v>
      </c>
      <c r="V11478" s="1" t="s">
        <v>23689</v>
      </c>
      <c r="W11478" s="1" t="s">
        <v>23690</v>
      </c>
      <c r="AR11478" s="1" t="str">
        <f t="shared" si="719"/>
        <v>| [ㄙㄠ](ㄙㄠ.md) | [臊](臊.md) |  | sāo | [名]
腥臭的氣味。如：「牛臊」、「羊臊」。《荀子．榮辱》：「口辨酸鹹甘苦，鼻辨芬芳腥臊。」 |</v>
      </c>
    </row>
    <row r="11479" spans="1:44" hidden="1">
      <c r="A11479" s="1" t="s">
        <v>22420</v>
      </c>
      <c r="C11479" s="1">
        <v>1</v>
      </c>
      <c r="D11479" s="1" t="str">
        <f>"10027"</f>
        <v>10027</v>
      </c>
      <c r="E11479" s="1" t="s">
        <v>725</v>
      </c>
      <c r="F11479" s="1">
        <v>19</v>
      </c>
      <c r="G11479" s="1">
        <v>13</v>
      </c>
      <c r="H11479" s="1">
        <v>2</v>
      </c>
      <c r="I11479" s="1" t="s">
        <v>23674</v>
      </c>
      <c r="K11479" s="1" t="str">
        <f t="shared" si="718"/>
        <v>ㄙ</v>
      </c>
      <c r="L11479" s="1" t="str">
        <f t="shared" si="717"/>
        <v>ㄠ</v>
      </c>
      <c r="M11479" s="1" t="str">
        <f t="shared" si="720"/>
        <v/>
      </c>
      <c r="P11479" s="1" t="s">
        <v>20</v>
      </c>
      <c r="R11479" s="1" t="s">
        <v>23675</v>
      </c>
      <c r="V11479" s="1" t="s">
        <v>23691</v>
      </c>
      <c r="W11479" s="1" t="s">
        <v>23692</v>
      </c>
      <c r="AR11479" s="1" t="str">
        <f t="shared" si="719"/>
        <v>| [ㄙㄠ](ㄙㄠ.md) | [繰](繰.md) |  | sāo | [動]
煮繭抽絲。通「繅」。唐．李白〈贈清漳明姪聿〉詩：「繰絲鳴機杼，百里聲相聞。」 |</v>
      </c>
    </row>
    <row r="11480" spans="1:44" hidden="1">
      <c r="A11480" s="1" t="s">
        <v>23693</v>
      </c>
      <c r="C11480" s="1">
        <v>1</v>
      </c>
      <c r="D11480" s="1" t="str">
        <f>"10028"</f>
        <v>10028</v>
      </c>
      <c r="E11480" s="1" t="s">
        <v>725</v>
      </c>
      <c r="F11480" s="1">
        <v>17</v>
      </c>
      <c r="G11480" s="1">
        <v>11</v>
      </c>
      <c r="H11480" s="1">
        <v>0</v>
      </c>
      <c r="I11480" s="1" t="s">
        <v>23674</v>
      </c>
      <c r="K11480" s="1" t="str">
        <f t="shared" si="718"/>
        <v>ㄙ</v>
      </c>
      <c r="L11480" s="1" t="str">
        <f t="shared" si="717"/>
        <v>ㄠ</v>
      </c>
      <c r="M11480" s="1" t="str">
        <f t="shared" si="720"/>
        <v/>
      </c>
      <c r="P11480" s="1" t="s">
        <v>20</v>
      </c>
      <c r="R11480" s="1" t="s">
        <v>23675</v>
      </c>
      <c r="V11480" s="1" t="s">
        <v>23694</v>
      </c>
      <c r="AR11480" s="1" t="str">
        <f t="shared" si="719"/>
        <v>| [ㄙㄠ](ㄙㄠ.md) | [繅](繅.md) |  | sāo | [動]
將蠶繭煮過抽出絲來。《說文解字．糸部》：「繅，繹繭為絲也。」唐．李頻〈送許棠歸涇縣作尉〉詩：「遶郭看秧插，尋街聽繭繅。」 |</v>
      </c>
    </row>
    <row r="11481" spans="1:44" hidden="1">
      <c r="A11481" s="1" t="s">
        <v>23710</v>
      </c>
      <c r="C11481" s="1">
        <v>1</v>
      </c>
      <c r="D11481" s="1" t="str">
        <f>"10033"</f>
        <v>10033</v>
      </c>
      <c r="E11481" s="1" t="s">
        <v>1880</v>
      </c>
      <c r="F11481" s="1">
        <v>10</v>
      </c>
      <c r="G11481" s="1">
        <v>8</v>
      </c>
      <c r="H11481" s="1">
        <v>2</v>
      </c>
      <c r="I11481" s="1" t="s">
        <v>23711</v>
      </c>
      <c r="K11481" s="1" t="str">
        <f t="shared" si="718"/>
        <v>ㄙ</v>
      </c>
      <c r="L11481" s="1" t="str">
        <f t="shared" si="717"/>
        <v>ㄡ</v>
      </c>
      <c r="M11481" s="1" t="str">
        <f t="shared" si="720"/>
        <v/>
      </c>
      <c r="P11481" s="1" t="s">
        <v>20</v>
      </c>
      <c r="R11481" s="1" t="s">
        <v>23712</v>
      </c>
      <c r="V11481" s="1" t="s">
        <v>23713</v>
      </c>
      <c r="W11481" s="1" t="s">
        <v>23714</v>
      </c>
      <c r="AR11481" s="1" t="str">
        <f t="shared" si="719"/>
        <v>| [ㄙㄡ](ㄙㄡ.md) | [叟](叟.md) |  | sōu | 參見「叟兵」、「叟叟」等條。 |</v>
      </c>
    </row>
    <row r="11482" spans="1:44" hidden="1">
      <c r="A11482" s="1" t="s">
        <v>23715</v>
      </c>
      <c r="C11482" s="1">
        <v>1</v>
      </c>
      <c r="D11482" s="1" t="str">
        <f>"10034"</f>
        <v>10034</v>
      </c>
      <c r="E11482" s="1" t="s">
        <v>129</v>
      </c>
      <c r="F11482" s="1">
        <v>13</v>
      </c>
      <c r="G11482" s="1">
        <v>10</v>
      </c>
      <c r="H11482" s="1">
        <v>0</v>
      </c>
      <c r="I11482" s="1" t="s">
        <v>23711</v>
      </c>
      <c r="K11482" s="1" t="str">
        <f t="shared" si="718"/>
        <v>ㄙ</v>
      </c>
      <c r="L11482" s="1" t="str">
        <f t="shared" si="717"/>
        <v>ㄡ</v>
      </c>
      <c r="M11482" s="1" t="str">
        <f t="shared" si="720"/>
        <v/>
      </c>
      <c r="P11482" s="1" t="s">
        <v>20</v>
      </c>
      <c r="R11482" s="1" t="s">
        <v>23712</v>
      </c>
      <c r="V11482" s="1" t="s">
        <v>23716</v>
      </c>
      <c r="AR11482" s="1" t="str">
        <f t="shared" si="719"/>
        <v>| [ㄙㄡ](ㄙㄡ.md) | [溲](溲.md) |  | sōu | [名]
屎、尿。如：「解溲」。《後漢書．卷二七．張湛傳》：「湛至朝堂，遺失溲便，因自陳疾篤，不能復任朝事，遂罷之。」
[動]
1.排泄。《史記．卷一〇五．扁鵲倉公傳》：「湧疝也，令人不得前後溲。」
2.用水調和。《禮記．內則》：「為稻粉，糔溲之，以為酏。」宋．王禹偁〈甘菊冷淘〉詩：「俸麵新且細，溲牢如玉墩。」
3.淘洗。《聊齋志異．卷六．小謝》：「二女微笑，轉身向灶，析薪溲米，為生執爨。」 |</v>
      </c>
    </row>
    <row r="11483" spans="1:44" hidden="1">
      <c r="A11483" s="1" t="s">
        <v>23717</v>
      </c>
      <c r="C11483" s="1">
        <v>1</v>
      </c>
      <c r="D11483" s="1" t="str">
        <f>"10035"</f>
        <v>10035</v>
      </c>
      <c r="E11483" s="1" t="s">
        <v>447</v>
      </c>
      <c r="F11483" s="1">
        <v>13</v>
      </c>
      <c r="G11483" s="1">
        <v>10</v>
      </c>
      <c r="H11483" s="1">
        <v>0</v>
      </c>
      <c r="I11483" s="1" t="s">
        <v>23711</v>
      </c>
      <c r="K11483" s="1" t="str">
        <f t="shared" si="718"/>
        <v>ㄙ</v>
      </c>
      <c r="L11483" s="1" t="str">
        <f t="shared" si="717"/>
        <v>ㄡ</v>
      </c>
      <c r="M11483" s="1" t="str">
        <f t="shared" si="720"/>
        <v/>
      </c>
      <c r="P11483" s="1" t="s">
        <v>20</v>
      </c>
      <c r="R11483" s="1" t="s">
        <v>23712</v>
      </c>
      <c r="V11483" s="1" t="s">
        <v>23718</v>
      </c>
      <c r="AR11483" s="1" t="str">
        <f t="shared" si="719"/>
        <v>| [ㄙㄡ](ㄙㄡ.md) | [廋](廋.md) |  | sōu | [動]
1.隱匿。《玉篇．广部》：「廋，隱匿也。」《論語．為政》：「視其所以，觀其所由，察其所安，人焉廋哉？」
2.找尋。通「搜」。《漢書．卷七六．趙廣漢傳》：「直突入其門，廋索私屠酤。」唐．顏師古．注：「廋讀與搜同，謂入室求之也。」 |</v>
      </c>
    </row>
    <row r="11484" spans="1:44" hidden="1">
      <c r="A11484" s="1" t="s">
        <v>23719</v>
      </c>
      <c r="C11484" s="1">
        <v>1</v>
      </c>
      <c r="D11484" s="1" t="str">
        <f>"10036"</f>
        <v>10036</v>
      </c>
      <c r="E11484" s="1" t="s">
        <v>24</v>
      </c>
      <c r="F11484" s="1">
        <v>13</v>
      </c>
      <c r="G11484" s="1">
        <v>10</v>
      </c>
      <c r="H11484" s="1">
        <v>0</v>
      </c>
      <c r="I11484" s="1" t="s">
        <v>23711</v>
      </c>
      <c r="K11484" s="1" t="str">
        <f t="shared" si="718"/>
        <v>ㄙ</v>
      </c>
      <c r="L11484" s="1" t="str">
        <f t="shared" si="717"/>
        <v>ㄡ</v>
      </c>
      <c r="M11484" s="1" t="str">
        <f t="shared" si="720"/>
        <v/>
      </c>
      <c r="P11484" s="1" t="s">
        <v>20</v>
      </c>
      <c r="R11484" s="1" t="s">
        <v>23712</v>
      </c>
      <c r="V11484" s="1" t="s">
        <v>23720</v>
      </c>
      <c r="AR11484" s="1" t="str">
        <f t="shared" si="719"/>
        <v>| [ㄙㄡ](ㄙㄡ.md) | [搜](搜.md) |  | sōu | [動]
1.找尋、尋求。《漢書．卷六．武帝紀》：「秋，閉城門大搜，發謫戌屯五原。」《聊齋志異．卷一．狐嫁女》：「已而主人斂酒具，少一爵，冥搜不得。」
2.檢查、檢點。如：「搜身」。元．王實甫《西廂記．第三本．第二折》：「不肯搜自己狂為，只待要覓別人破綻。」 |</v>
      </c>
    </row>
    <row r="11485" spans="1:44" hidden="1">
      <c r="A11485" s="1" t="s">
        <v>23721</v>
      </c>
      <c r="C11485" s="1">
        <v>1</v>
      </c>
      <c r="D11485" s="1" t="str">
        <f>"10037"</f>
        <v>10037</v>
      </c>
      <c r="E11485" s="1" t="s">
        <v>28</v>
      </c>
      <c r="F11485" s="1">
        <v>13</v>
      </c>
      <c r="G11485" s="1">
        <v>10</v>
      </c>
      <c r="H11485" s="1">
        <v>0</v>
      </c>
      <c r="I11485" s="1" t="s">
        <v>23711</v>
      </c>
      <c r="K11485" s="1" t="str">
        <f t="shared" si="718"/>
        <v>ㄙ</v>
      </c>
      <c r="L11485" s="1" t="str">
        <f t="shared" si="717"/>
        <v>ㄡ</v>
      </c>
      <c r="M11485" s="1" t="str">
        <f t="shared" si="720"/>
        <v/>
      </c>
      <c r="P11485" s="1" t="s">
        <v>20</v>
      </c>
      <c r="R11485" s="1" t="s">
        <v>23712</v>
      </c>
      <c r="V11485" s="1" t="s">
        <v>23722</v>
      </c>
      <c r="AR11485" s="1" t="str">
        <f t="shared" si="719"/>
        <v>| [ㄙㄡ](ㄙㄡ.md) | [嗖](嗖.md) |  | sōu | [形]
笑的樣子。《玉篇．口部》：「嗖，笑貌。」
[擬]
1.形容驅鳥所發出的聲音。《集韻．去聲．宥韻》：「嗖，驅鳥聲。」
2.形容迅速通過的聲音。如：「子彈嗖嗖的掠過頭頂。」 |</v>
      </c>
    </row>
    <row r="11486" spans="1:44" hidden="1">
      <c r="A11486" s="1" t="s">
        <v>23723</v>
      </c>
      <c r="C11486" s="1">
        <v>1</v>
      </c>
      <c r="D11486" s="1" t="str">
        <f>"10038"</f>
        <v>10038</v>
      </c>
      <c r="E11486" s="1" t="s">
        <v>679</v>
      </c>
      <c r="F11486" s="1">
        <v>16</v>
      </c>
      <c r="G11486" s="1">
        <v>10</v>
      </c>
      <c r="H11486" s="1">
        <v>0</v>
      </c>
      <c r="I11486" s="1" t="s">
        <v>23711</v>
      </c>
      <c r="K11486" s="1" t="str">
        <f t="shared" si="718"/>
        <v>ㄙ</v>
      </c>
      <c r="L11486" s="1" t="str">
        <f t="shared" si="717"/>
        <v>ㄡ</v>
      </c>
      <c r="M11486" s="1" t="str">
        <f t="shared" si="720"/>
        <v/>
      </c>
      <c r="P11486" s="1" t="s">
        <v>20</v>
      </c>
      <c r="R11486" s="1" t="s">
        <v>23712</v>
      </c>
      <c r="V11486" s="1" t="s">
        <v>23724</v>
      </c>
      <c r="AR11486" s="1" t="str">
        <f t="shared" si="719"/>
        <v>| [ㄙㄡ](ㄙㄡ.md) | [螋](螋.md) |  | sōu | 參見「蠼螋」條。 |</v>
      </c>
    </row>
    <row r="11487" spans="1:44" hidden="1">
      <c r="A11487" s="1" t="s">
        <v>23685</v>
      </c>
      <c r="C11487" s="1">
        <v>1</v>
      </c>
      <c r="D11487" s="1" t="str">
        <f>"10039"</f>
        <v>10039</v>
      </c>
      <c r="E11487" s="1" t="s">
        <v>181</v>
      </c>
      <c r="F11487" s="1">
        <v>16</v>
      </c>
      <c r="G11487" s="1">
        <v>10</v>
      </c>
      <c r="H11487" s="1">
        <v>2</v>
      </c>
      <c r="I11487" s="1" t="s">
        <v>23711</v>
      </c>
      <c r="K11487" s="1" t="str">
        <f t="shared" si="718"/>
        <v>ㄙ</v>
      </c>
      <c r="L11487" s="1" t="str">
        <f t="shared" si="717"/>
        <v>ㄡ</v>
      </c>
      <c r="M11487" s="1" t="str">
        <f t="shared" si="720"/>
        <v/>
      </c>
      <c r="P11487" s="1" t="s">
        <v>110</v>
      </c>
      <c r="R11487" s="1" t="s">
        <v>23712</v>
      </c>
      <c r="V11487" s="1" t="s">
        <v>111</v>
      </c>
      <c r="W11487" s="1" t="s">
        <v>23725</v>
      </c>
      <c r="AR11487" s="1" t="str">
        <f t="shared" si="719"/>
        <v>| [ㄙㄡ](ㄙㄡ.md) | [艘](艘.md) |  | sōu | (一)之又音。 |</v>
      </c>
    </row>
    <row r="11488" spans="1:44" hidden="1">
      <c r="A11488" s="1" t="s">
        <v>23726</v>
      </c>
      <c r="C11488" s="1">
        <v>1</v>
      </c>
      <c r="D11488" s="1" t="str">
        <f>"10040"</f>
        <v>10040</v>
      </c>
      <c r="E11488" s="1" t="s">
        <v>55</v>
      </c>
      <c r="F11488" s="1">
        <v>18</v>
      </c>
      <c r="G11488" s="1">
        <v>10</v>
      </c>
      <c r="H11488" s="1">
        <v>0</v>
      </c>
      <c r="I11488" s="1" t="s">
        <v>23711</v>
      </c>
      <c r="K11488" s="1" t="str">
        <f t="shared" si="718"/>
        <v>ㄙ</v>
      </c>
      <c r="L11488" s="1" t="str">
        <f t="shared" si="717"/>
        <v>ㄡ</v>
      </c>
      <c r="M11488" s="1" t="str">
        <f t="shared" si="720"/>
        <v/>
      </c>
      <c r="P11488" s="1" t="s">
        <v>20</v>
      </c>
      <c r="R11488" s="1" t="s">
        <v>23712</v>
      </c>
      <c r="V11488" s="1" t="s">
        <v>23727</v>
      </c>
      <c r="AR11488" s="1" t="str">
        <f t="shared" si="719"/>
        <v>| [ㄙㄡ](ㄙㄡ.md) | [鎪](鎪.md) |  | sōu | [動]
1.刻鏤。《文選．左思．魏都賦》：「木無雕鎪，土無綈錦。」
2.侵、蝕。宋．陸游〈醉中步月湖上〉詩：「霜風鎪病骨，林月寫孤影。」 |</v>
      </c>
    </row>
    <row r="11489" spans="1:44" hidden="1">
      <c r="A11489" s="1" t="s">
        <v>23728</v>
      </c>
      <c r="C11489" s="1">
        <v>1</v>
      </c>
      <c r="D11489" s="1" t="str">
        <f>"10041"</f>
        <v>10041</v>
      </c>
      <c r="E11489" s="1" t="s">
        <v>193</v>
      </c>
      <c r="F11489" s="1">
        <v>18</v>
      </c>
      <c r="G11489" s="1">
        <v>10</v>
      </c>
      <c r="H11489" s="1">
        <v>0</v>
      </c>
      <c r="I11489" s="1" t="s">
        <v>23711</v>
      </c>
      <c r="K11489" s="1" t="str">
        <f t="shared" si="718"/>
        <v>ㄙ</v>
      </c>
      <c r="L11489" s="1" t="str">
        <f t="shared" si="717"/>
        <v>ㄡ</v>
      </c>
      <c r="M11489" s="1" t="str">
        <f t="shared" si="720"/>
        <v/>
      </c>
      <c r="P11489" s="1" t="s">
        <v>20</v>
      </c>
      <c r="R11489" s="1" t="s">
        <v>23712</v>
      </c>
      <c r="V11489" s="1" t="s">
        <v>23729</v>
      </c>
      <c r="AR11489" s="1" t="str">
        <f t="shared" si="719"/>
        <v>| [ㄙㄡ](ㄙㄡ.md) | [餿](餿.md) |  | sōu | [動]
食物腐敗而變味。如：「飯菜餿了。」
[形]
1.腐壞變味的。如：「餿水」。《紅樓夢》第六一回：「前兒要吃豆腐，你弄了些餿的，叫他說了我一頓。」
2.不管用、不高明的。如：「餿主意」。 |</v>
      </c>
    </row>
    <row r="11490" spans="1:44" hidden="1">
      <c r="A11490" s="1" t="s">
        <v>23730</v>
      </c>
      <c r="C11490" s="1">
        <v>1</v>
      </c>
      <c r="D11490" s="1" t="str">
        <f>"10042"</f>
        <v>10042</v>
      </c>
      <c r="E11490" s="1" t="s">
        <v>1161</v>
      </c>
      <c r="F11490" s="1">
        <v>19</v>
      </c>
      <c r="G11490" s="1">
        <v>10</v>
      </c>
      <c r="H11490" s="1">
        <v>0</v>
      </c>
      <c r="I11490" s="1" t="s">
        <v>23711</v>
      </c>
      <c r="K11490" s="1" t="str">
        <f t="shared" si="718"/>
        <v>ㄙ</v>
      </c>
      <c r="L11490" s="1" t="str">
        <f t="shared" si="717"/>
        <v>ㄡ</v>
      </c>
      <c r="M11490" s="1" t="str">
        <f t="shared" si="720"/>
        <v/>
      </c>
      <c r="P11490" s="1" t="s">
        <v>20</v>
      </c>
      <c r="R11490" s="1" t="s">
        <v>23712</v>
      </c>
      <c r="V11490" s="1" t="s">
        <v>23731</v>
      </c>
      <c r="AR11490" s="1" t="str">
        <f t="shared" si="719"/>
        <v>| [ㄙㄡ](ㄙㄡ.md) | [颼](颼.md) |  | sōu | [擬]
1.形容風吹的聲音。漢．趙壹〈迅風賦〉：「啾啾颼颼，吟嘯相求。」
2.形容行動迅速如風的聲音。《水滸傳》第七回：「那漢颼的把那口刀掣將出來。」
3.形容雨聲。唐．杜甫〈秋雨歎〉三首之三：「雨聲颼颼催早寒，胡雁翅溼高飛難。」
[形]
寒冷的樣子。如：「冷颼颼」。宋．蘇軾〈韋偃牧馬圖〉詩：「沙苑茫茫蒺藜秋，風髮霧鬣寒颼颼。」
[動]
風吹。如：「衣服被風颼乾了。」 |</v>
      </c>
    </row>
    <row r="11491" spans="1:44" hidden="1">
      <c r="A11491" s="1" t="s">
        <v>23732</v>
      </c>
      <c r="C11491" s="1">
        <v>1</v>
      </c>
      <c r="D11491" s="1" t="str">
        <f>"10043"</f>
        <v>10043</v>
      </c>
      <c r="E11491" s="1" t="s">
        <v>37</v>
      </c>
      <c r="F11491" s="1">
        <v>14</v>
      </c>
      <c r="G11491" s="1">
        <v>10</v>
      </c>
      <c r="H11491" s="1">
        <v>0</v>
      </c>
      <c r="I11491" s="1" t="s">
        <v>23711</v>
      </c>
      <c r="K11491" s="1" t="str">
        <f t="shared" si="718"/>
        <v>ㄙ</v>
      </c>
      <c r="L11491" s="1" t="str">
        <f t="shared" si="717"/>
        <v>ㄡ</v>
      </c>
      <c r="M11491" s="1" t="str">
        <f t="shared" si="720"/>
        <v/>
      </c>
      <c r="P11491" s="1" t="s">
        <v>20</v>
      </c>
      <c r="R11491" s="1" t="s">
        <v>23712</v>
      </c>
      <c r="V11491" s="1" t="s">
        <v>23733</v>
      </c>
      <c r="AR11491" s="1" t="str">
        <f t="shared" si="719"/>
        <v>| [ㄙㄡ](ㄙㄡ.md) | [蒐](蒐.md) |  | sōu | [名]
1.茜草，可作染料。《說文解字．艸部》：「蒐，茅蒐，茹慮。人血所生，可以染絳。」《山海經．中山經》：「其陽多玉，其陰多蒐。」
2.古代稱春天或秋天的打獵為「蒐」。《左傳．隱公五年》：「故春蒐、夏苗、秋獮、冬狩，皆於農隙以講事也。」
[動]
1.狩獵。《穀梁傳．昭公八年》：「秋，蒐于紅。」
2.聚集。《左傳．襄公二十六年》：「二人役歸一人，簡兵蒐乘。」
3.尋求。《宋史．卷一六四．職官志四》：「以稱朝廷蒐補闕軼，緝熙彌文之意。」
4.隱藏。《左傳．文公十八年》：「靖譖庸回，服讒蒐慝。」 |</v>
      </c>
    </row>
    <row r="11492" spans="1:44" hidden="1">
      <c r="A11492" s="1" t="s">
        <v>23574</v>
      </c>
      <c r="C11492" s="1">
        <v>1</v>
      </c>
      <c r="D11492" s="1" t="str">
        <f>"10054"</f>
        <v>10054</v>
      </c>
      <c r="E11492" s="1" t="s">
        <v>789</v>
      </c>
      <c r="F11492" s="1">
        <v>3</v>
      </c>
      <c r="G11492" s="1">
        <v>2</v>
      </c>
      <c r="H11492" s="1">
        <v>1</v>
      </c>
      <c r="I11492" s="1" t="s">
        <v>23758</v>
      </c>
      <c r="K11492" s="1" t="str">
        <f t="shared" si="718"/>
        <v>ㄙ</v>
      </c>
      <c r="L11492" s="1" t="str">
        <f t="shared" si="717"/>
        <v>ㄢ</v>
      </c>
      <c r="M11492" s="1" t="str">
        <f t="shared" si="720"/>
        <v/>
      </c>
      <c r="P11492" s="1" t="s">
        <v>20</v>
      </c>
      <c r="R11492" s="1" t="s">
        <v>23759</v>
      </c>
      <c r="V11492" s="1" t="s">
        <v>23760</v>
      </c>
      <c r="W11492" s="1" t="s">
        <v>23761</v>
      </c>
      <c r="AR11492" s="1" t="str">
        <f t="shared" si="719"/>
        <v>| [ㄙㄢ](ㄙㄢ.md) | [三](三.md) |  | sān | [名]
1.介於二和四之間的自然數。如：「二、三、四、五……」。大寫作「參」，阿拉伯數字作「3」。
2.姓。如明代有三成志。
[形]
1.第三位的。如：「這次比賽他得了第三名。」
2.表多數或多次的。如：「舉一反三」、「三番兩次」、「一問三不知」。 |</v>
      </c>
    </row>
    <row r="11493" spans="1:44" hidden="1">
      <c r="A11493" s="1" t="s">
        <v>23762</v>
      </c>
      <c r="C11493" s="1">
        <v>1</v>
      </c>
      <c r="D11493" s="1" t="str">
        <f>"10055"</f>
        <v>10055</v>
      </c>
      <c r="E11493" s="1" t="s">
        <v>14794</v>
      </c>
      <c r="F11493" s="1">
        <v>8</v>
      </c>
      <c r="G11493" s="1">
        <v>6</v>
      </c>
      <c r="H11493" s="1">
        <v>0</v>
      </c>
      <c r="I11493" s="1" t="s">
        <v>23758</v>
      </c>
      <c r="K11493" s="1" t="str">
        <f t="shared" si="718"/>
        <v>ㄙ</v>
      </c>
      <c r="L11493" s="1" t="str">
        <f t="shared" si="717"/>
        <v>ㄢ</v>
      </c>
      <c r="M11493" s="1" t="str">
        <f t="shared" si="720"/>
        <v/>
      </c>
      <c r="P11493" s="1" t="s">
        <v>20</v>
      </c>
      <c r="R11493" s="1" t="s">
        <v>23759</v>
      </c>
      <c r="V11493" s="1" t="s">
        <v>23763</v>
      </c>
      <c r="AR11493" s="1" t="str">
        <f t="shared" si="719"/>
        <v>| [ㄙㄢ](ㄙㄢ.md) | [参](参.md) |  | sān | [名]
三的大寫。 |</v>
      </c>
    </row>
    <row r="11494" spans="1:44" hidden="1">
      <c r="A11494" s="1" t="s">
        <v>21189</v>
      </c>
      <c r="C11494" s="1">
        <v>1</v>
      </c>
      <c r="D11494" s="1" t="str">
        <f>"10056"</f>
        <v>10056</v>
      </c>
      <c r="E11494" s="1" t="s">
        <v>14794</v>
      </c>
      <c r="F11494" s="1">
        <v>11</v>
      </c>
      <c r="G11494" s="1">
        <v>9</v>
      </c>
      <c r="H11494" s="1">
        <v>4</v>
      </c>
      <c r="I11494" s="1" t="s">
        <v>23758</v>
      </c>
      <c r="K11494" s="1" t="str">
        <f t="shared" si="718"/>
        <v>ㄙ</v>
      </c>
      <c r="L11494" s="1" t="str">
        <f t="shared" si="717"/>
        <v>ㄢ</v>
      </c>
      <c r="M11494" s="1" t="str">
        <f t="shared" si="720"/>
        <v/>
      </c>
      <c r="P11494" s="1" t="s">
        <v>20</v>
      </c>
      <c r="R11494" s="1" t="s">
        <v>23759</v>
      </c>
      <c r="V11494" s="1" t="s">
        <v>23764</v>
      </c>
      <c r="W11494" s="1" t="s">
        <v>23765</v>
      </c>
      <c r="AR11494" s="1" t="str">
        <f t="shared" si="719"/>
        <v>| [ㄙㄢ](ㄙㄢ.md) | [參](參.md) |  | sān | 同「三」。 |</v>
      </c>
    </row>
    <row r="11495" spans="1:44" hidden="1">
      <c r="A11495" s="1" t="s">
        <v>21192</v>
      </c>
      <c r="C11495" s="1">
        <v>1</v>
      </c>
      <c r="D11495" s="1" t="str">
        <f>"10057"</f>
        <v>10057</v>
      </c>
      <c r="E11495" s="1" t="s">
        <v>37</v>
      </c>
      <c r="F11495" s="1">
        <v>15</v>
      </c>
      <c r="G11495" s="1">
        <v>11</v>
      </c>
      <c r="H11495" s="1">
        <v>2</v>
      </c>
      <c r="I11495" s="1" t="s">
        <v>23758</v>
      </c>
      <c r="K11495" s="1" t="str">
        <f t="shared" si="718"/>
        <v>ㄙ</v>
      </c>
      <c r="L11495" s="1" t="str">
        <f t="shared" si="717"/>
        <v>ㄢ</v>
      </c>
      <c r="M11495" s="1" t="str">
        <f t="shared" si="720"/>
        <v/>
      </c>
      <c r="P11495" s="1" t="s">
        <v>20</v>
      </c>
      <c r="R11495" s="1" t="s">
        <v>23759</v>
      </c>
      <c r="V11495" s="1" t="s">
        <v>23766</v>
      </c>
      <c r="W11495" s="1" t="s">
        <v>23767</v>
      </c>
      <c r="AR11495" s="1" t="str">
        <f t="shared" si="719"/>
        <v>| [ㄙㄢ](ㄙㄢ.md) | [蔘](蔘.md) |  | sān | [形]
蔘綏：(1)廣大的。漢．揚雄《方言》卷二：「蔘綏，……言既廣又大也。……東甌之間謂之蔘綏。」(2)下垂的樣子。《廣韻．平聲．覃韻》：「蔘，蔘綏，垂貌。」 |</v>
      </c>
    </row>
    <row r="11496" spans="1:44" hidden="1">
      <c r="A11496" s="1" t="s">
        <v>23768</v>
      </c>
      <c r="C11496" s="1">
        <v>1</v>
      </c>
      <c r="D11496" s="1" t="str">
        <f>"10058"</f>
        <v>10058</v>
      </c>
      <c r="E11496" s="1" t="s">
        <v>1703</v>
      </c>
      <c r="F11496" s="1">
        <v>15</v>
      </c>
      <c r="G11496" s="1">
        <v>11</v>
      </c>
      <c r="H11496" s="1">
        <v>0</v>
      </c>
      <c r="I11496" s="1" t="s">
        <v>23758</v>
      </c>
      <c r="K11496" s="1" t="str">
        <f t="shared" si="718"/>
        <v>ㄙ</v>
      </c>
      <c r="L11496" s="1" t="str">
        <f t="shared" si="717"/>
        <v>ㄢ</v>
      </c>
      <c r="M11496" s="1" t="str">
        <f t="shared" si="720"/>
        <v/>
      </c>
      <c r="P11496" s="1" t="s">
        <v>20</v>
      </c>
      <c r="R11496" s="1" t="s">
        <v>23759</v>
      </c>
      <c r="V11496" s="1" t="s">
        <v>23769</v>
      </c>
      <c r="AR11496" s="1" t="str">
        <f t="shared" si="719"/>
        <v>| [ㄙㄢ](ㄙㄢ.md) | [毿](毿.md) |  | sān | [形]
毛髮細長的樣子。《玉篇．毛部》：「毿，毛長貌。」 |</v>
      </c>
    </row>
    <row r="11497" spans="1:44" hidden="1">
      <c r="A11497" s="1" t="s">
        <v>23770</v>
      </c>
      <c r="C11497" s="1">
        <v>1</v>
      </c>
      <c r="D11497" s="1" t="str">
        <f>"10059"</f>
        <v>10059</v>
      </c>
      <c r="E11497" s="1" t="s">
        <v>1078</v>
      </c>
      <c r="F11497" s="1">
        <v>21</v>
      </c>
      <c r="G11497" s="1">
        <v>11</v>
      </c>
      <c r="H11497" s="1">
        <v>0</v>
      </c>
      <c r="I11497" s="1" t="s">
        <v>23758</v>
      </c>
      <c r="K11497" s="1" t="str">
        <f t="shared" si="718"/>
        <v>ㄙ</v>
      </c>
      <c r="L11497" s="1" t="str">
        <f t="shared" si="717"/>
        <v>ㄢ</v>
      </c>
      <c r="M11497" s="1" t="str">
        <f t="shared" si="720"/>
        <v/>
      </c>
      <c r="P11497" s="1" t="s">
        <v>20</v>
      </c>
      <c r="R11497" s="1" t="s">
        <v>23759</v>
      </c>
      <c r="V11497" s="1" t="s">
        <v>23771</v>
      </c>
      <c r="AR11497" s="1" t="str">
        <f t="shared" si="719"/>
        <v>| [ㄙㄢ](ㄙㄢ.md) | [鬖](鬖.md) |  | sān | 參見「鬖鬖」、「鬖髿」等條。 |</v>
      </c>
    </row>
    <row r="11498" spans="1:44" hidden="1">
      <c r="A11498" s="1" t="s">
        <v>23794</v>
      </c>
      <c r="C11498" s="1">
        <v>1</v>
      </c>
      <c r="D11498" s="1" t="str">
        <f>"10068"</f>
        <v>10068</v>
      </c>
      <c r="E11498" s="1" t="s">
        <v>139</v>
      </c>
      <c r="F11498" s="1">
        <v>12</v>
      </c>
      <c r="G11498" s="1">
        <v>8</v>
      </c>
      <c r="H11498" s="1">
        <v>0</v>
      </c>
      <c r="I11498" s="1" t="s">
        <v>23795</v>
      </c>
      <c r="K11498" s="1" t="str">
        <f t="shared" si="718"/>
        <v>ㄙ</v>
      </c>
      <c r="L11498" s="1" t="str">
        <f t="shared" si="717"/>
        <v>ㄣ</v>
      </c>
      <c r="M11498" s="1" t="str">
        <f t="shared" si="720"/>
        <v/>
      </c>
      <c r="P11498" s="1" t="s">
        <v>20</v>
      </c>
      <c r="R11498" s="1" t="s">
        <v>23796</v>
      </c>
      <c r="V11498" s="1" t="s">
        <v>23797</v>
      </c>
      <c r="AR11498" s="1" t="str">
        <f t="shared" si="719"/>
        <v>| [ㄙㄣ](ㄙㄣ.md) | [森](森.md) |  | sēn | [形]
1.樹木濃密的樣子。《說文解字．木部》：「森，木多貌。」《文選．左思．蜀都賦》：「皛貙氓於葽草，彈言鳥於森木。」
2.灰暗陰冷的樣子。如：「陰森」。唐．顧況〈遊子吟〉：「泬寥群動異，眇默諸境森。」
3.整肅、不可侵犯的。如：「法度森嚴」。唐．李白〈出自薊北門行〉：「虎竹救邊急，戎車森已行。」
[副]
眾多的。如：「森列」、「森羅萬象」。《文選．潘岳．藉田賦》：「森奉璋以階列，望皇軒而肅震。」 |</v>
      </c>
    </row>
    <row r="11499" spans="1:44" hidden="1">
      <c r="A11499" s="1" t="s">
        <v>23783</v>
      </c>
      <c r="C11499" s="1">
        <v>1</v>
      </c>
      <c r="D11499" s="1" t="str">
        <f>"10069"</f>
        <v>10069</v>
      </c>
      <c r="E11499" s="1" t="s">
        <v>139</v>
      </c>
      <c r="F11499" s="1">
        <v>15</v>
      </c>
      <c r="G11499" s="1">
        <v>11</v>
      </c>
      <c r="H11499" s="1">
        <v>1</v>
      </c>
      <c r="I11499" s="1" t="s">
        <v>23795</v>
      </c>
      <c r="K11499" s="1" t="str">
        <f t="shared" si="718"/>
        <v>ㄙ</v>
      </c>
      <c r="L11499" s="1" t="str">
        <f t="shared" si="717"/>
        <v>ㄣ</v>
      </c>
      <c r="M11499" s="1" t="str">
        <f t="shared" si="720"/>
        <v/>
      </c>
      <c r="P11499" s="1" t="s">
        <v>20</v>
      </c>
      <c r="R11499" s="1" t="s">
        <v>23796</v>
      </c>
      <c r="V11499" s="1" t="s">
        <v>23798</v>
      </c>
      <c r="W11499" s="1" t="s">
        <v>23799</v>
      </c>
      <c r="AR11499" s="1" t="str">
        <f t="shared" si="719"/>
        <v>| [ㄙㄣ](ㄙㄣ.md) | [槮](槮.md) |  | sēn | [形]_x000D_
樹木高聳的樣子。《說文解字．木部》：「槮，長木貌。」《楚辭．宋玉．九辯》：「萷櫹槮之可哀兮，形銷鑠而瘀傷。」《文選．卷一八．賦．馬融．長笛賦》：「林簫蔓荊，森槮柞樸。」唐．李善．注：「森槮，木長貌。」 |</v>
      </c>
    </row>
    <row r="11500" spans="1:44" hidden="1">
      <c r="A11500" s="1" t="s">
        <v>23800</v>
      </c>
      <c r="C11500" s="1">
        <v>1</v>
      </c>
      <c r="D11500" s="1" t="str">
        <f>"10070"</f>
        <v>10070</v>
      </c>
      <c r="E11500" s="1" t="s">
        <v>139</v>
      </c>
      <c r="F11500" s="1">
        <v>10</v>
      </c>
      <c r="G11500" s="1">
        <v>6</v>
      </c>
      <c r="H11500" s="1">
        <v>0</v>
      </c>
      <c r="I11500" s="1" t="s">
        <v>23801</v>
      </c>
      <c r="K11500" s="1" t="str">
        <f t="shared" si="718"/>
        <v>ㄙ</v>
      </c>
      <c r="L11500" s="1" t="str">
        <f t="shared" si="717"/>
        <v>ㄤ</v>
      </c>
      <c r="M11500" s="1" t="str">
        <f t="shared" si="720"/>
        <v/>
      </c>
      <c r="P11500" s="1" t="s">
        <v>20</v>
      </c>
      <c r="R11500" s="1" t="s">
        <v>23802</v>
      </c>
      <c r="V11500" s="1" t="s">
        <v>23803</v>
      </c>
      <c r="AR11500" s="1" t="str">
        <f t="shared" si="719"/>
        <v>| [ㄙㄤ](ㄙㄤ.md) | [桑](桑.md) |  | sāng | [名]
1.植物名。桑科桑屬，「桑樹」之古稱，參見「桑樹」條。
2.姓。如漢代有桑弘羊。 |</v>
      </c>
    </row>
    <row r="11501" spans="1:44" hidden="1">
      <c r="A11501" s="1" t="s">
        <v>23804</v>
      </c>
      <c r="C11501" s="1">
        <v>1</v>
      </c>
      <c r="D11501" s="1" t="str">
        <f>"10071"</f>
        <v>10071</v>
      </c>
      <c r="E11501" s="1" t="s">
        <v>28</v>
      </c>
      <c r="F11501" s="1">
        <v>12</v>
      </c>
      <c r="G11501" s="1">
        <v>9</v>
      </c>
      <c r="H11501" s="1">
        <v>1</v>
      </c>
      <c r="I11501" s="1" t="s">
        <v>23801</v>
      </c>
      <c r="K11501" s="1" t="str">
        <f t="shared" si="718"/>
        <v>ㄙ</v>
      </c>
      <c r="L11501" s="1" t="str">
        <f t="shared" si="717"/>
        <v>ㄤ</v>
      </c>
      <c r="M11501" s="1" t="str">
        <f t="shared" si="720"/>
        <v/>
      </c>
      <c r="P11501" s="1" t="s">
        <v>20</v>
      </c>
      <c r="R11501" s="1" t="s">
        <v>23802</v>
      </c>
      <c r="V11501" s="1" t="s">
        <v>23805</v>
      </c>
      <c r="W11501" s="1" t="s">
        <v>23806</v>
      </c>
      <c r="AR11501" s="1" t="str">
        <f t="shared" si="719"/>
        <v>| [ㄙㄤ](ㄙㄤ.md) | [喪](喪.md) |  | sāng | [名]
1.有關死者的事宜。如：「居喪」、「治喪」、「弔喪」。《史記．卷八．高祖本紀》：「漢王聞之，袒而大哭。遂為義帝發喪，臨三日。」
2.屍體。《春秋．僖公元年》：「夫人氏之喪至自齊。」《資治通鑑．卷六〇．漢紀五十二．獻帝初平三年》：「鮑信戰死，操購求其喪不得，乃刻木如信狀，祭而哭焉。」
3.姓。如周代有喪左。 |</v>
      </c>
    </row>
    <row r="11502" spans="1:44" hidden="1">
      <c r="A11502" s="1" t="s">
        <v>23821</v>
      </c>
      <c r="C11502" s="1">
        <v>1</v>
      </c>
      <c r="D11502" s="1" t="str">
        <f>"10077"</f>
        <v>10077</v>
      </c>
      <c r="E11502" s="1" t="s">
        <v>114</v>
      </c>
      <c r="F11502" s="1">
        <v>14</v>
      </c>
      <c r="G11502" s="1">
        <v>12</v>
      </c>
      <c r="H11502" s="1">
        <v>0</v>
      </c>
      <c r="I11502" s="1" t="s">
        <v>23822</v>
      </c>
      <c r="K11502" s="1" t="str">
        <f t="shared" si="718"/>
        <v>ㄙ</v>
      </c>
      <c r="L11502" s="1" t="str">
        <f t="shared" si="717"/>
        <v>ㄥ</v>
      </c>
      <c r="M11502" s="1" t="str">
        <f t="shared" si="720"/>
        <v/>
      </c>
      <c r="P11502" s="1" t="s">
        <v>20</v>
      </c>
      <c r="R11502" s="1" t="s">
        <v>23823</v>
      </c>
      <c r="V11502" s="1" t="s">
        <v>23824</v>
      </c>
      <c r="AR11502" s="1" t="str">
        <f t="shared" si="719"/>
        <v>| [ㄙㄥ](ㄙㄥ.md) | [僧](僧.md) |  | sēng | [名]
1.和尚，出家修行的人。如：「老僧入定」。唐．賈島〈題李凝幽居〉詩：「鳥宿池邊樹，僧敲月下門。」
2.姓。如唐代有僧可朋。 |</v>
      </c>
    </row>
    <row r="11503" spans="1:44" hidden="1">
      <c r="A11503" s="1" t="s">
        <v>23825</v>
      </c>
      <c r="C11503" s="1">
        <v>1</v>
      </c>
      <c r="D11503" s="1" t="str">
        <f>"10078"</f>
        <v>10078</v>
      </c>
      <c r="E11503" s="1" t="s">
        <v>1078</v>
      </c>
      <c r="F11503" s="1">
        <v>22</v>
      </c>
      <c r="G11503" s="1">
        <v>12</v>
      </c>
      <c r="H11503" s="1">
        <v>0</v>
      </c>
      <c r="I11503" s="1" t="s">
        <v>23822</v>
      </c>
      <c r="K11503" s="1" t="str">
        <f t="shared" si="718"/>
        <v>ㄙ</v>
      </c>
      <c r="L11503" s="1" t="str">
        <f t="shared" si="717"/>
        <v>ㄥ</v>
      </c>
      <c r="M11503" s="1" t="str">
        <f t="shared" si="720"/>
        <v/>
      </c>
      <c r="P11503" s="1" t="s">
        <v>20</v>
      </c>
      <c r="R11503" s="1" t="s">
        <v>23823</v>
      </c>
      <c r="V11503" s="1" t="s">
        <v>23826</v>
      </c>
      <c r="AR11503" s="1" t="str">
        <f t="shared" si="719"/>
        <v>| [ㄙㄥ](ㄙㄥ.md) | [鬙](鬙.md) |  | sēng | 參見「鬅鬙」條。 |</v>
      </c>
    </row>
    <row r="11504" spans="1:44" hidden="1">
      <c r="A11504" s="1" t="s">
        <v>21373</v>
      </c>
      <c r="C11504" s="1">
        <v>1</v>
      </c>
      <c r="D11504" s="1" t="str">
        <f>"10079"</f>
        <v>10079</v>
      </c>
      <c r="E11504" s="1" t="s">
        <v>2173</v>
      </c>
      <c r="F11504" s="1">
        <v>11</v>
      </c>
      <c r="G11504" s="1">
        <v>6</v>
      </c>
      <c r="H11504" s="1">
        <v>2</v>
      </c>
      <c r="I11504" s="1" t="s">
        <v>23827</v>
      </c>
      <c r="K11504" s="1" t="str">
        <f t="shared" si="718"/>
        <v>ㄙ</v>
      </c>
      <c r="L11504" s="1" t="str">
        <f t="shared" si="717"/>
        <v>ㄨ</v>
      </c>
      <c r="M11504" s="1" t="str">
        <f t="shared" ref="M11504:M11535" si="721">MID(I11504, 3, 1)</f>
        <v/>
      </c>
      <c r="P11504" s="1" t="s">
        <v>110</v>
      </c>
      <c r="R11504" s="1" t="s">
        <v>23828</v>
      </c>
      <c r="V11504" s="1" t="s">
        <v>111</v>
      </c>
      <c r="W11504" s="1" t="s">
        <v>23829</v>
      </c>
      <c r="AR11504" s="1" t="str">
        <f t="shared" si="719"/>
        <v>| [ㄙㄨ](ㄙㄨ.md) | [疏](疏.md) |  | sū | (一)之又音。 |</v>
      </c>
    </row>
    <row r="11505" spans="1:44" hidden="1">
      <c r="A11505" s="1" t="s">
        <v>21376</v>
      </c>
      <c r="C11505" s="1">
        <v>1</v>
      </c>
      <c r="D11505" s="1" t="str">
        <f>"10080"</f>
        <v>10080</v>
      </c>
      <c r="E11505" s="1" t="s">
        <v>37</v>
      </c>
      <c r="F11505" s="1">
        <v>15</v>
      </c>
      <c r="G11505" s="1">
        <v>11</v>
      </c>
      <c r="H11505" s="1">
        <v>2</v>
      </c>
      <c r="I11505" s="1" t="s">
        <v>23827</v>
      </c>
      <c r="K11505" s="1" t="str">
        <f t="shared" si="718"/>
        <v>ㄙ</v>
      </c>
      <c r="L11505" s="1" t="str">
        <f t="shared" ref="L11505:L11510" si="722">MID(I11505, 2, 1)</f>
        <v>ㄨ</v>
      </c>
      <c r="M11505" s="1" t="str">
        <f t="shared" si="721"/>
        <v/>
      </c>
      <c r="P11505" s="1" t="s">
        <v>110</v>
      </c>
      <c r="R11505" s="1" t="s">
        <v>23828</v>
      </c>
      <c r="V11505" s="1" t="s">
        <v>111</v>
      </c>
      <c r="W11505" s="1" t="s">
        <v>23830</v>
      </c>
      <c r="AR11505" s="1" t="str">
        <f t="shared" si="719"/>
        <v>| [ㄙㄨ](ㄙㄨ.md) | [蔬](蔬.md) |  | sū | (一)之又音。 |</v>
      </c>
    </row>
    <row r="11506" spans="1:44" hidden="1">
      <c r="A11506" s="1" t="s">
        <v>23831</v>
      </c>
      <c r="C11506" s="1">
        <v>1</v>
      </c>
      <c r="D11506" s="1" t="str">
        <f>"10081"</f>
        <v>10081</v>
      </c>
      <c r="E11506" s="1" t="s">
        <v>19817</v>
      </c>
      <c r="F11506" s="1">
        <v>12</v>
      </c>
      <c r="G11506" s="1">
        <v>7</v>
      </c>
      <c r="H11506" s="1">
        <v>0</v>
      </c>
      <c r="I11506" s="1" t="s">
        <v>23827</v>
      </c>
      <c r="K11506" s="1" t="str">
        <f t="shared" si="718"/>
        <v>ㄙ</v>
      </c>
      <c r="L11506" s="1" t="str">
        <f t="shared" si="722"/>
        <v>ㄨ</v>
      </c>
      <c r="M11506" s="1" t="str">
        <f t="shared" si="721"/>
        <v/>
      </c>
      <c r="P11506" s="1" t="s">
        <v>20</v>
      </c>
      <c r="R11506" s="1" t="s">
        <v>23828</v>
      </c>
      <c r="V11506" s="1" t="s">
        <v>23832</v>
      </c>
      <c r="AR11506" s="1" t="str">
        <f t="shared" si="719"/>
        <v>| [ㄙㄨ](ㄙㄨ.md) | [甦](甦.md) |  | sū | [動]
蘇醒、死而復生。《董西廂》卷二：「夫人聞語，仆地諕倒。紅娘與鶯鶯連救，多時稍甦。」 |</v>
      </c>
    </row>
    <row r="11507" spans="1:44" hidden="1">
      <c r="A11507" s="1" t="s">
        <v>23833</v>
      </c>
      <c r="C11507" s="1">
        <v>1</v>
      </c>
      <c r="D11507" s="1" t="str">
        <f>"10082"</f>
        <v>10082</v>
      </c>
      <c r="E11507" s="1" t="s">
        <v>1462</v>
      </c>
      <c r="F11507" s="1">
        <v>12</v>
      </c>
      <c r="G11507" s="1">
        <v>5</v>
      </c>
      <c r="H11507" s="1">
        <v>0</v>
      </c>
      <c r="I11507" s="1" t="s">
        <v>23827</v>
      </c>
      <c r="K11507" s="1" t="str">
        <f t="shared" si="718"/>
        <v>ㄙ</v>
      </c>
      <c r="L11507" s="1" t="str">
        <f t="shared" si="722"/>
        <v>ㄨ</v>
      </c>
      <c r="M11507" s="1" t="str">
        <f t="shared" si="721"/>
        <v/>
      </c>
      <c r="P11507" s="1" t="s">
        <v>20</v>
      </c>
      <c r="R11507" s="1" t="s">
        <v>23828</v>
      </c>
      <c r="V11507" s="1" t="s">
        <v>23834</v>
      </c>
      <c r="AR11507" s="1" t="str">
        <f t="shared" si="719"/>
        <v>| [ㄙㄨ](ㄙㄨ.md) | [酥](酥.md) |  | sū | [名]_x000D_
1.用油和麵粉等製成的鬆脆食品。如：「鳳梨酥」、「核桃酥」。_x000D_
2.參見「酴酥」條。_x000D_
[動]_x000D_
酸軟。《水滸傳》第一〇一回：「王慶看到好處，不覺心頭撞鹿，骨軟觔麻，好便似雪獅子向火，霎時間酥了半邊。」_x000D_
[形]_x000D_
1.柔軟無力的。如：「酥軟」、「酥麻」。_x000D_
2.柔嫩而光潔的。宋．陸游〈釵頭鳳．紅酥手〉詞：「紅酥手，黃縢酒，滿城春色宮牆柳。」《水滸傳》第三八回：「冰肌玉骨，粉面酥胸。杏臉桃腮，醞釀出十分春色。」《金瓶梅詞話》第一九回：「攤開羅衫，露見美玉無瑕，香馥馥的酥胸。」 |</v>
      </c>
    </row>
    <row r="11508" spans="1:44" hidden="1">
      <c r="A11508" s="1" t="s">
        <v>23835</v>
      </c>
      <c r="C11508" s="1">
        <v>1</v>
      </c>
      <c r="D11508" s="1" t="str">
        <f>"10083"</f>
        <v>10083</v>
      </c>
      <c r="E11508" s="1" t="s">
        <v>429</v>
      </c>
      <c r="F11508" s="1">
        <v>16</v>
      </c>
      <c r="G11508" s="1">
        <v>11</v>
      </c>
      <c r="H11508" s="1">
        <v>0</v>
      </c>
      <c r="I11508" s="1" t="s">
        <v>23827</v>
      </c>
      <c r="K11508" s="1" t="str">
        <f t="shared" si="718"/>
        <v>ㄙ</v>
      </c>
      <c r="L11508" s="1" t="str">
        <f t="shared" si="722"/>
        <v>ㄨ</v>
      </c>
      <c r="M11508" s="1" t="str">
        <f t="shared" si="721"/>
        <v/>
      </c>
      <c r="P11508" s="1" t="s">
        <v>20</v>
      </c>
      <c r="R11508" s="1" t="s">
        <v>23828</v>
      </c>
      <c r="V11508" s="1" t="s">
        <v>23836</v>
      </c>
      <c r="AR11508" s="1" t="str">
        <f t="shared" si="719"/>
        <v>| [ㄙㄨ](ㄙㄨ.md) | [穌](穌.md) |  | sū | [動]
甦醒、死而復生。如：「復穌」。也作「甦」、「蘇」。 |</v>
      </c>
    </row>
    <row r="11509" spans="1:44" hidden="1">
      <c r="A11509" s="1" t="s">
        <v>23837</v>
      </c>
      <c r="C11509" s="1">
        <v>1</v>
      </c>
      <c r="D11509" s="1" t="str">
        <f>"10084"</f>
        <v>10084</v>
      </c>
      <c r="E11509" s="1" t="s">
        <v>37</v>
      </c>
      <c r="F11509" s="1">
        <v>20</v>
      </c>
      <c r="G11509" s="1">
        <v>16</v>
      </c>
      <c r="H11509" s="1">
        <v>0</v>
      </c>
      <c r="I11509" s="1" t="s">
        <v>23827</v>
      </c>
      <c r="K11509" s="1" t="str">
        <f t="shared" si="718"/>
        <v>ㄙ</v>
      </c>
      <c r="L11509" s="1" t="str">
        <f t="shared" si="722"/>
        <v>ㄨ</v>
      </c>
      <c r="M11509" s="1" t="str">
        <f t="shared" si="721"/>
        <v/>
      </c>
      <c r="P11509" s="1" t="s">
        <v>20</v>
      </c>
      <c r="R11509" s="1" t="s">
        <v>23828</v>
      </c>
      <c r="V11509" s="1" t="s">
        <v>23838</v>
      </c>
      <c r="AR11509" s="1" t="str">
        <f t="shared" si="719"/>
        <v>| [ㄙㄨ](ㄙㄨ.md) | [蘇](蘇.md) |  | sū | [名]
1.植物名。即紫蘇。脣形科紫蘇屬，「紫蘇」之古稱，參見「紫蘇」條。
2.下垂的穗狀裝飾物。如：「流蘇」。南朝梁．簡文帝〈七勵〉：「金蘇翠幄，玉案象床。」
3.江蘇省的簡稱。
4.蘇州的簡稱。如：「上有天堂，下有蘇杭。」
5.姓。如宋代有蘇軾。
[動]
1.甦醒、死而復生。同「穌」。《左傳．宣公八年》：「晉人獲秦諜，殺諸絳市，六日而蘇。」
2.睡醒。唐．杜荀鶴〈早發〉詩：「東窗未明塵夢蘇，呼童結束登征途。」
3.獲救、緩解。《書經．仲虺之誥》：「徯予后，后來其蘇。」唐．杜甫〈江漢〉詩：「落日心猶壯，秋風病欲蘇。」
4.割草。《史記．卷九二．淮陰侯列傳》：「樵蘇後爨，師不宿飽。」 |</v>
      </c>
    </row>
    <row r="11510" spans="1:44" hidden="1">
      <c r="A11510" s="1" t="s">
        <v>23839</v>
      </c>
      <c r="C11510" s="1">
        <v>1</v>
      </c>
      <c r="D11510" s="1" t="str">
        <f>"10085"</f>
        <v>10085</v>
      </c>
      <c r="E11510" s="1" t="s">
        <v>28</v>
      </c>
      <c r="F11510" s="1">
        <v>23</v>
      </c>
      <c r="G11510" s="1">
        <v>20</v>
      </c>
      <c r="H11510" s="1">
        <v>0</v>
      </c>
      <c r="I11510" s="1" t="s">
        <v>23827</v>
      </c>
      <c r="K11510" s="1" t="str">
        <f t="shared" si="718"/>
        <v>ㄙ</v>
      </c>
      <c r="L11510" s="1" t="str">
        <f t="shared" si="722"/>
        <v>ㄨ</v>
      </c>
      <c r="M11510" s="1" t="str">
        <f t="shared" si="721"/>
        <v/>
      </c>
      <c r="P11510" s="1" t="s">
        <v>20</v>
      </c>
      <c r="R11510" s="1" t="s">
        <v>23828</v>
      </c>
      <c r="V11510" s="1" t="s">
        <v>23840</v>
      </c>
      <c r="AR11510" s="1" t="str">
        <f t="shared" si="719"/>
        <v>| [ㄙㄨ](ㄙㄨ.md) | [囌](囌.md) |  | sū | 參見「嚕囌」條。 |</v>
      </c>
    </row>
    <row r="11511" spans="1:44" hidden="1">
      <c r="A11511" s="1" t="s">
        <v>23522</v>
      </c>
      <c r="C11511" s="1">
        <v>1</v>
      </c>
      <c r="D11511" s="1" t="str">
        <f>"09953"</f>
        <v>09953</v>
      </c>
      <c r="E11511" s="1" t="s">
        <v>31</v>
      </c>
      <c r="F11511" s="1">
        <v>3</v>
      </c>
      <c r="G11511" s="1">
        <v>0</v>
      </c>
      <c r="H11511" s="1">
        <v>0</v>
      </c>
      <c r="I11511" s="1" t="s">
        <v>23523</v>
      </c>
      <c r="K11511" s="1" t="str">
        <f t="shared" si="718"/>
        <v>ㄙ</v>
      </c>
      <c r="M11511" s="1" t="str">
        <f t="shared" si="721"/>
        <v/>
      </c>
      <c r="N11511" s="3" t="s">
        <v>30574</v>
      </c>
      <c r="O11511" s="3"/>
      <c r="P11511" s="1" t="s">
        <v>20</v>
      </c>
      <c r="R11511" s="1" t="s">
        <v>23524</v>
      </c>
      <c r="V11511" s="1" t="s">
        <v>23525</v>
      </c>
      <c r="AR11511" s="1" t="str">
        <f t="shared" si="719"/>
        <v>| [ㄙˋ](ㄙˋ.md) | [巳](巳.md) |  | sì | [名]
1.地支的第六位。
2.時辰名。約當早晨九點到十一點。 |</v>
      </c>
    </row>
    <row r="11512" spans="1:44" hidden="1">
      <c r="A11512" s="1" t="s">
        <v>23526</v>
      </c>
      <c r="C11512" s="1">
        <v>1</v>
      </c>
      <c r="D11512" s="1" t="str">
        <f>"09954"</f>
        <v>09954</v>
      </c>
      <c r="E11512" s="1" t="s">
        <v>129</v>
      </c>
      <c r="F11512" s="1">
        <v>6</v>
      </c>
      <c r="G11512" s="1">
        <v>3</v>
      </c>
      <c r="H11512" s="1">
        <v>0</v>
      </c>
      <c r="I11512" s="1" t="s">
        <v>23523</v>
      </c>
      <c r="K11512" s="1" t="str">
        <f t="shared" si="718"/>
        <v>ㄙ</v>
      </c>
      <c r="M11512" s="1" t="str">
        <f t="shared" si="721"/>
        <v/>
      </c>
      <c r="N11512" s="3" t="s">
        <v>30574</v>
      </c>
      <c r="O11512" s="3"/>
      <c r="P11512" s="1" t="s">
        <v>20</v>
      </c>
      <c r="R11512" s="1" t="s">
        <v>23524</v>
      </c>
      <c r="V11512" s="1" t="s">
        <v>23527</v>
      </c>
      <c r="AR11512" s="1" t="str">
        <f t="shared" si="719"/>
        <v>| [ㄙˋ](ㄙˋ.md) | [汜](汜.md) |  | sì | [名]
1.復回主流的支流。《爾雅．釋水》：「水決之澤為汧，決復入為汜。」晉．郭璞．注：「水出去復還。」
2.不流通的水。《爾雅．釋丘》：「窮瀆，汜。」晉．郭璞．注：「水無所通者。」
3.水涯、水邊。《楚辭．屈原．天問》：「出自湯谷，次于蒙汜。」漢．王逸．注：「汜，水涯也。」
4.參見「汜水」條。 |</v>
      </c>
    </row>
    <row r="11513" spans="1:44" hidden="1">
      <c r="A11513" s="1" t="s">
        <v>23528</v>
      </c>
      <c r="C11513" s="1">
        <v>1</v>
      </c>
      <c r="D11513" s="1" t="str">
        <f>"09955"</f>
        <v>09955</v>
      </c>
      <c r="E11513" s="1" t="s">
        <v>825</v>
      </c>
      <c r="F11513" s="1">
        <v>8</v>
      </c>
      <c r="G11513" s="1">
        <v>3</v>
      </c>
      <c r="H11513" s="1">
        <v>0</v>
      </c>
      <c r="I11513" s="1" t="s">
        <v>23523</v>
      </c>
      <c r="K11513" s="1" t="str">
        <f t="shared" si="718"/>
        <v>ㄙ</v>
      </c>
      <c r="M11513" s="1" t="str">
        <f t="shared" si="721"/>
        <v/>
      </c>
      <c r="N11513" s="3" t="s">
        <v>30574</v>
      </c>
      <c r="O11513" s="3"/>
      <c r="P11513" s="1" t="s">
        <v>20</v>
      </c>
      <c r="R11513" s="1" t="s">
        <v>23524</v>
      </c>
      <c r="V11513" s="1" t="s">
        <v>23529</v>
      </c>
      <c r="AR11513" s="1" t="str">
        <f t="shared" si="719"/>
        <v>| [ㄙˋ](ㄙˋ.md) | [祀](祀.md) |  | sì | [動]
祭祀。《爾雅．釋詁下》：「祀，祭也。」《周禮．春官．典瑞》：「四圭有邸，以祀天旅上帝。」
[名]
年。《書經．洪範》：「惟十有三祀，王訪于箕子。」南朝梁．蕭統〈文選序〉：「自姬漢以來，眇焉悠邈，時更七代，數逾千祀。」 |</v>
      </c>
    </row>
    <row r="11514" spans="1:44" hidden="1">
      <c r="A11514" s="1" t="s">
        <v>23530</v>
      </c>
      <c r="C11514" s="1">
        <v>1</v>
      </c>
      <c r="D11514" s="1" t="str">
        <f>"09956"</f>
        <v>09956</v>
      </c>
      <c r="E11514" s="1" t="s">
        <v>2557</v>
      </c>
      <c r="F11514" s="1">
        <v>5</v>
      </c>
      <c r="G11514" s="1">
        <v>2</v>
      </c>
      <c r="H11514" s="1">
        <v>0</v>
      </c>
      <c r="I11514" s="1" t="s">
        <v>23523</v>
      </c>
      <c r="K11514" s="1" t="str">
        <f t="shared" si="718"/>
        <v>ㄙ</v>
      </c>
      <c r="M11514" s="1" t="str">
        <f t="shared" si="721"/>
        <v/>
      </c>
      <c r="N11514" s="3" t="s">
        <v>30574</v>
      </c>
      <c r="O11514" s="3"/>
      <c r="P11514" s="1" t="s">
        <v>20</v>
      </c>
      <c r="R11514" s="1" t="s">
        <v>23524</v>
      </c>
      <c r="V11514" s="1" t="s">
        <v>23531</v>
      </c>
      <c r="AR11514" s="1" t="str">
        <f t="shared" si="719"/>
        <v>| [ㄙˋ](ㄙˋ.md) | [四](四.md) |  | sì | [名]
1.介於三和五之間的自然數。如：「三、四、五、六……」。大寫作「肆」，阿拉伯數字作「4」。
2.古代樂譜上用來表示音高的符號。如工尺譜、二四譜（潮州音樂）。
3.姓。如宋代有四象。
[形]
第四的。如：「四更天」、「四年級」、「四品官」。 |</v>
      </c>
    </row>
    <row r="11515" spans="1:44" hidden="1">
      <c r="A11515" s="1" t="s">
        <v>23532</v>
      </c>
      <c r="C11515" s="1">
        <v>1</v>
      </c>
      <c r="D11515" s="1" t="str">
        <f>"09957"</f>
        <v>09957</v>
      </c>
      <c r="E11515" s="1" t="s">
        <v>129</v>
      </c>
      <c r="F11515" s="1">
        <v>8</v>
      </c>
      <c r="G11515" s="1">
        <v>5</v>
      </c>
      <c r="H11515" s="1">
        <v>0</v>
      </c>
      <c r="I11515" s="1" t="s">
        <v>23523</v>
      </c>
      <c r="K11515" s="1" t="str">
        <f t="shared" si="718"/>
        <v>ㄙ</v>
      </c>
      <c r="M11515" s="1" t="str">
        <f t="shared" si="721"/>
        <v/>
      </c>
      <c r="N11515" s="3" t="s">
        <v>30574</v>
      </c>
      <c r="O11515" s="3"/>
      <c r="P11515" s="1" t="s">
        <v>20</v>
      </c>
      <c r="R11515" s="1" t="s">
        <v>23524</v>
      </c>
      <c r="V11515" s="1" t="s">
        <v>23533</v>
      </c>
      <c r="AR11515" s="1" t="str">
        <f t="shared" si="719"/>
        <v>| [ㄙˋ](ㄙˋ.md) | [泗](泗.md) |  | sì | [名]
1.參見「泗水」條。
2.鼻涕。《詩經．陳風．澤陂》：「寤寐無為，涕泗滂沱。」唐．李朝威〈柳毅傳〉：「悲泗淋漓，誠怛人心。」 |</v>
      </c>
    </row>
    <row r="11516" spans="1:44" hidden="1">
      <c r="A11516" s="1" t="s">
        <v>23534</v>
      </c>
      <c r="C11516" s="1">
        <v>1</v>
      </c>
      <c r="D11516" s="1" t="str">
        <f>"09958"</f>
        <v>09958</v>
      </c>
      <c r="E11516" s="1" t="s">
        <v>250</v>
      </c>
      <c r="F11516" s="1">
        <v>8</v>
      </c>
      <c r="G11516" s="1">
        <v>5</v>
      </c>
      <c r="H11516" s="1">
        <v>0</v>
      </c>
      <c r="I11516" s="1" t="s">
        <v>23523</v>
      </c>
      <c r="K11516" s="1" t="str">
        <f t="shared" si="718"/>
        <v>ㄙ</v>
      </c>
      <c r="M11516" s="1" t="str">
        <f t="shared" si="721"/>
        <v/>
      </c>
      <c r="N11516" s="3" t="s">
        <v>30574</v>
      </c>
      <c r="O11516" s="3"/>
      <c r="P11516" s="1" t="s">
        <v>20</v>
      </c>
      <c r="R11516" s="1" t="s">
        <v>23524</v>
      </c>
      <c r="V11516" s="1" t="s">
        <v>23535</v>
      </c>
      <c r="AR11516" s="1" t="str">
        <f t="shared" si="719"/>
        <v>| [ㄙˋ](ㄙˋ.md) | [怬](怬.md) |  | sì | [動]
1.欣喜。《玉篇．心部》：「怬，忻也。」
2.休息。《文選．張衡．思玄賦》：「怬河林之蓁蓁兮，偉關雎之戒女。」唐．段成式〈寂照和尚碑〉：「太和二年來延唐寺，數乎菩隄，怬乎禪那。」 |</v>
      </c>
    </row>
    <row r="11517" spans="1:44" hidden="1">
      <c r="A11517" s="1" t="s">
        <v>23536</v>
      </c>
      <c r="C11517" s="1">
        <v>1</v>
      </c>
      <c r="D11517" s="1" t="str">
        <f>"09959"</f>
        <v>09959</v>
      </c>
      <c r="E11517" s="1" t="s">
        <v>139</v>
      </c>
      <c r="F11517" s="1">
        <v>9</v>
      </c>
      <c r="G11517" s="1">
        <v>5</v>
      </c>
      <c r="H11517" s="1">
        <v>0</v>
      </c>
      <c r="I11517" s="1" t="s">
        <v>23523</v>
      </c>
      <c r="K11517" s="1" t="str">
        <f t="shared" si="718"/>
        <v>ㄙ</v>
      </c>
      <c r="M11517" s="1" t="str">
        <f t="shared" si="721"/>
        <v/>
      </c>
      <c r="N11517" s="3" t="s">
        <v>30574</v>
      </c>
      <c r="O11517" s="3"/>
      <c r="P11517" s="1" t="s">
        <v>20</v>
      </c>
      <c r="R11517" s="1" t="s">
        <v>23524</v>
      </c>
      <c r="V11517" s="1" t="s">
        <v>23537</v>
      </c>
      <c r="AR11517" s="1" t="str">
        <f t="shared" si="719"/>
        <v>| [ㄙˋ](ㄙˋ.md) | [柶](柶.md) |  | sì | [名]
一種祭祀用的禮器，以獸角製成，形狀如匙，用來舀取食物。《廣韻．去聲．至韻》：「柶，角匕，大喪用之。」《儀禮．士冠禮》：「有篚、實勺、觶、角柶。」漢．鄭玄．注：「柶，狀如匕，以角為之者，欲滑也。」 |</v>
      </c>
    </row>
    <row r="11518" spans="1:44" hidden="1">
      <c r="A11518" s="1" t="s">
        <v>23538</v>
      </c>
      <c r="C11518" s="1">
        <v>1</v>
      </c>
      <c r="D11518" s="1" t="str">
        <f>"09961"</f>
        <v>09961</v>
      </c>
      <c r="E11518" s="1" t="s">
        <v>319</v>
      </c>
      <c r="F11518" s="1">
        <v>15</v>
      </c>
      <c r="G11518" s="1">
        <v>5</v>
      </c>
      <c r="H11518" s="1">
        <v>0</v>
      </c>
      <c r="I11518" s="1" t="s">
        <v>23523</v>
      </c>
      <c r="K11518" s="1" t="str">
        <f t="shared" si="718"/>
        <v>ㄙ</v>
      </c>
      <c r="M11518" s="1" t="str">
        <f t="shared" si="721"/>
        <v/>
      </c>
      <c r="N11518" s="3" t="s">
        <v>30574</v>
      </c>
      <c r="O11518" s="3"/>
      <c r="P11518" s="1" t="s">
        <v>20</v>
      </c>
      <c r="R11518" s="1" t="s">
        <v>23524</v>
      </c>
      <c r="V11518" s="1" t="s">
        <v>23539</v>
      </c>
      <c r="AR11518" s="1" t="str">
        <f t="shared" si="719"/>
        <v>| [ㄙˋ](ㄙˋ.md) | [駟](駟.md) |  | sì | [名]
1.由四匹馬拉駛的車子。《文選．曹植．七啟》：「駕超野之駟，乘追風之輿。」
2.馬。《墨子．兼愛下》：「人之生乎地上之無幾何也，譬之猶駟馳而遇隙也。」《禮記．三年問》：「若駟之過隙，然而遂之，則是無窮也。」
3.量詞：(1)古代計算四匹馬所拉車輛的單位。相當於「輛」。《戰國策．齊策四》：「遣太傅齎黃金千斤，文車二駟，服劍一。」(2)古代計算馬匹的單位。馬四匹為一駟。《論語．季氏》：「齊景公有馬千駟。」
4.姓。如漢代有駟鈞。
[動]
駕、騎。《楚辭．屈原．離騷》：「駟玉虯以乘鷖兮，溘埃風余上征。」《文選．宋玉．高唐賦》：「王乃乘玉輿，駟倉螭。」 |</v>
      </c>
    </row>
    <row r="11519" spans="1:44" hidden="1">
      <c r="A11519" s="1" t="s">
        <v>23540</v>
      </c>
      <c r="C11519" s="1">
        <v>1</v>
      </c>
      <c r="D11519" s="1" t="str">
        <f>"09962"</f>
        <v>09962</v>
      </c>
      <c r="E11519" s="1" t="s">
        <v>1595</v>
      </c>
      <c r="F11519" s="1">
        <v>6</v>
      </c>
      <c r="G11519" s="1">
        <v>3</v>
      </c>
      <c r="H11519" s="1">
        <v>0</v>
      </c>
      <c r="I11519" s="1" t="s">
        <v>23523</v>
      </c>
      <c r="K11519" s="1" t="str">
        <f t="shared" si="718"/>
        <v>ㄙ</v>
      </c>
      <c r="M11519" s="1" t="str">
        <f t="shared" si="721"/>
        <v/>
      </c>
      <c r="N11519" s="3" t="s">
        <v>30574</v>
      </c>
      <c r="O11519" s="3"/>
      <c r="P11519" s="1" t="s">
        <v>20</v>
      </c>
      <c r="R11519" s="1" t="s">
        <v>23524</v>
      </c>
      <c r="V11519" s="1" t="s">
        <v>23541</v>
      </c>
      <c r="AR11519" s="1" t="str">
        <f t="shared" si="719"/>
        <v>| [ㄙˋ](ㄙˋ.md) | [寺](寺.md) |  | sì | [名]
1.古代的官舍、官署。《說文解字．寸部》：「寺，廷也。」如：「大理寺」、「太常寺」。《新唐書．卷四十六．百官志一》：「其官司之別，曰省、曰臺、曰寺、曰監、曰衛、曰府，各統其屬，以分職定位。」
2.佛教的廟宇，僧人所居住的地方。如：「少林寺」、「善導寺」。唐．張籍〈野寺後池寄友〉詩：「佛寺連野水，池幽夏景清。」
3.宦官。如：「寺人」、「閹寺」。《洛陽伽藍記．卷一．昭儀尼寺》：「太后臨朝，閽寺專寵。」 |</v>
      </c>
    </row>
    <row r="11520" spans="1:44" hidden="1">
      <c r="A11520" s="1" t="s">
        <v>23542</v>
      </c>
      <c r="C11520" s="1">
        <v>1</v>
      </c>
      <c r="D11520" s="1" t="str">
        <f>"09963"</f>
        <v>09963</v>
      </c>
      <c r="E11520" s="1" t="s">
        <v>3581</v>
      </c>
      <c r="F11520" s="1">
        <v>7</v>
      </c>
      <c r="G11520" s="1">
        <v>5</v>
      </c>
      <c r="H11520" s="1">
        <v>0</v>
      </c>
      <c r="I11520" s="1" t="s">
        <v>23523</v>
      </c>
      <c r="K11520" s="1" t="str">
        <f t="shared" ref="K11520:K11583" si="723">LEFT(I11520, 1)</f>
        <v>ㄙ</v>
      </c>
      <c r="M11520" s="1" t="str">
        <f t="shared" si="721"/>
        <v/>
      </c>
      <c r="N11520" s="3" t="s">
        <v>30574</v>
      </c>
      <c r="O11520" s="3"/>
      <c r="P11520" s="1" t="s">
        <v>20</v>
      </c>
      <c r="R11520" s="1" t="s">
        <v>23524</v>
      </c>
      <c r="V11520" s="1" t="s">
        <v>23543</v>
      </c>
      <c r="AR11520" s="1" t="str">
        <f t="shared" si="719"/>
        <v>| [ㄙˋ](ㄙˋ.md) | [兕](兕.md) |  | sì | [名]
古代一種似牛的野獸。《爾雅．釋獸》：「兕，似牛。」晉．郭璞．注：「一角，青色，重千斤。」《論語．季氏》：「虎兕出於柙，龜玉毀於櫝中。」 |</v>
      </c>
    </row>
    <row r="11521" spans="1:44" hidden="1">
      <c r="A11521" s="1" t="s">
        <v>23544</v>
      </c>
      <c r="C11521" s="1">
        <v>1</v>
      </c>
      <c r="D11521" s="1" t="str">
        <f>"09964"</f>
        <v>09964</v>
      </c>
      <c r="E11521" s="1" t="s">
        <v>114</v>
      </c>
      <c r="F11521" s="1">
        <v>7</v>
      </c>
      <c r="G11521" s="1">
        <v>5</v>
      </c>
      <c r="H11521" s="1">
        <v>0</v>
      </c>
      <c r="I11521" s="1" t="s">
        <v>23523</v>
      </c>
      <c r="K11521" s="1" t="str">
        <f t="shared" si="723"/>
        <v>ㄙ</v>
      </c>
      <c r="M11521" s="1" t="str">
        <f t="shared" si="721"/>
        <v/>
      </c>
      <c r="N11521" s="3" t="s">
        <v>30574</v>
      </c>
      <c r="O11521" s="3"/>
      <c r="P11521" s="1" t="s">
        <v>20</v>
      </c>
      <c r="R11521" s="1" t="s">
        <v>23524</v>
      </c>
      <c r="V11521" s="1" t="s">
        <v>23545</v>
      </c>
      <c r="AR11521" s="1" t="str">
        <f t="shared" si="719"/>
        <v>| [ㄙˋ](ㄙˋ.md) | [似](似.md) |  | sì | [動]
1.相像、相類。如：「相似」、「類似」。五代十國南唐．李煜〈虞美人．春花秋月何時了〉詞：「問君能有幾多愁？恰似一江春水向東流。」
2.繼嗣。如：「似嗣」。《詩經．小雅．斯干》：「無相猶矣，似續妣祖。」漢．毛亨．傳：「似，嗣。」
3.奉贈、給予。唐．賈島〈劍客〉詩：「今日把似君，誰為不平事。」宋．歐陽修〈紫石屏歌〉：「呼工畫石持寄似，幸子留意其無謙。」
[副]
好像。如：「似乎」、「似有不同」。南朝宋．劉義慶《世說新語．品藻》：「論王霸之餘策，覽倚伏之要害，吾似有一日之長。」
[連]
表示比較、差等之詞。如：「一個高似一個」、「一天好似一天」。宋．賀鑄〈浣溪沙．樓角初消一縷霞〉詞：「更垂簾幕護窗紗，東風寒似夜來些。」 |</v>
      </c>
    </row>
    <row r="11522" spans="1:44" hidden="1">
      <c r="A11522" s="1" t="s">
        <v>23546</v>
      </c>
      <c r="C11522" s="1">
        <v>1</v>
      </c>
      <c r="D11522" s="1" t="str">
        <f>"09965"</f>
        <v>09965</v>
      </c>
      <c r="E11522" s="1" t="s">
        <v>534</v>
      </c>
      <c r="F11522" s="1">
        <v>8</v>
      </c>
      <c r="G11522" s="1">
        <v>5</v>
      </c>
      <c r="H11522" s="1">
        <v>0</v>
      </c>
      <c r="I11522" s="1" t="s">
        <v>23523</v>
      </c>
      <c r="K11522" s="1" t="str">
        <f t="shared" si="723"/>
        <v>ㄙ</v>
      </c>
      <c r="M11522" s="1" t="str">
        <f t="shared" si="721"/>
        <v/>
      </c>
      <c r="N11522" s="3" t="s">
        <v>30574</v>
      </c>
      <c r="O11522" s="3"/>
      <c r="P11522" s="1" t="s">
        <v>20</v>
      </c>
      <c r="R11522" s="1" t="s">
        <v>23524</v>
      </c>
      <c r="V11522" s="1" t="s">
        <v>23547</v>
      </c>
      <c r="AR11522" s="1" t="str">
        <f t="shared" si="719"/>
        <v>| [ㄙˋ](ㄙˋ.md) | [姒](姒.md) |  | sì | [名]
1.古代眾妾同事一夫，少婦稱長婦為「姒」。《爾雅．釋親》：「女子同出，謂先生為姒，後生為娣。」晉．郭璞．注：「同出謂俱嫁事一夫。」
2.參見「姒娣」條。
3.姓。如元代有姒庸道。 |</v>
      </c>
    </row>
    <row r="11523" spans="1:44" hidden="1">
      <c r="A11523" s="1" t="s">
        <v>22951</v>
      </c>
      <c r="C11523" s="1">
        <v>1</v>
      </c>
      <c r="D11523" s="1" t="str">
        <f>"09966"</f>
        <v>09966</v>
      </c>
      <c r="E11523" s="1" t="s">
        <v>114</v>
      </c>
      <c r="F11523" s="1">
        <v>7</v>
      </c>
      <c r="G11523" s="1">
        <v>5</v>
      </c>
      <c r="H11523" s="1">
        <v>1</v>
      </c>
      <c r="I11523" s="1" t="s">
        <v>23523</v>
      </c>
      <c r="K11523" s="1" t="str">
        <f t="shared" si="723"/>
        <v>ㄙ</v>
      </c>
      <c r="M11523" s="1" t="str">
        <f t="shared" si="721"/>
        <v/>
      </c>
      <c r="N11523" s="3" t="s">
        <v>30574</v>
      </c>
      <c r="O11523" s="3"/>
      <c r="P11523" s="1" t="s">
        <v>20</v>
      </c>
      <c r="R11523" s="1" t="s">
        <v>23524</v>
      </c>
      <c r="V11523" s="1" t="s">
        <v>23548</v>
      </c>
      <c r="W11523" s="1" t="s">
        <v>23549</v>
      </c>
      <c r="AR11523" s="1" t="str">
        <f t="shared" ref="AR11523:AR11586" si="724">"| ["&amp;I11523&amp;"]("&amp;I11523&amp;".md) | ["&amp;A11523&amp;"]("&amp;A11523&amp;".md) | "&amp;" | "&amp;R11523&amp;" | "&amp;V11523&amp;" |"</f>
        <v>| [ㄙˋ](ㄙˋ.md) | [伺](伺.md) |  | sì | [動]
暗中偵察。如：「窺伺」、「伺探」。《韓非子．內儲說上》：「吾聞數夜有乘轀車至李史門者，謹為我伺之。」《史記．卷六六．伍子胥傳》：「且嚭使人微伺之，其使於齊也，乃屬其子於齊之鮑氏。」 |</v>
      </c>
    </row>
    <row r="11524" spans="1:44" hidden="1">
      <c r="A11524" s="1" t="s">
        <v>23550</v>
      </c>
      <c r="C11524" s="1">
        <v>1</v>
      </c>
      <c r="D11524" s="1" t="str">
        <f>"09967"</f>
        <v>09967</v>
      </c>
      <c r="E11524" s="1" t="s">
        <v>49</v>
      </c>
      <c r="F11524" s="1">
        <v>11</v>
      </c>
      <c r="G11524" s="1">
        <v>5</v>
      </c>
      <c r="H11524" s="1">
        <v>0</v>
      </c>
      <c r="I11524" s="1" t="s">
        <v>23523</v>
      </c>
      <c r="K11524" s="1" t="str">
        <f t="shared" si="723"/>
        <v>ㄙ</v>
      </c>
      <c r="M11524" s="1" t="str">
        <f t="shared" si="721"/>
        <v/>
      </c>
      <c r="N11524" s="3" t="s">
        <v>30574</v>
      </c>
      <c r="O11524" s="3"/>
      <c r="P11524" s="1" t="s">
        <v>20</v>
      </c>
      <c r="R11524" s="1" t="s">
        <v>23524</v>
      </c>
      <c r="V11524" s="1" t="s">
        <v>23551</v>
      </c>
      <c r="AR11524" s="1" t="str">
        <f t="shared" si="724"/>
        <v>| [ㄙˋ](ㄙˋ.md) | [笥](笥.md) |  | sì | [名]
1.以竹、葦編成，用來放衣物或食物的方形箱子。《說文解字．竹部》：「笥，飯及衣之器也。」《書經．說命中》：「惟衣裳在笥，惟干戈省厥躬。」
2.書箱。《晉書．卷三五．裴秀傳．贊曰》：「鉅鹿自然，亦云經笥。」宋．陸游〈晚晴〉詩：「潤侵書笥深防蠹，暖徹衣篝剩得香。」 |</v>
      </c>
    </row>
    <row r="11525" spans="1:44" hidden="1">
      <c r="A11525" s="1" t="s">
        <v>23552</v>
      </c>
      <c r="C11525" s="1">
        <v>1</v>
      </c>
      <c r="D11525" s="1" t="str">
        <f>"09968"</f>
        <v>09968</v>
      </c>
      <c r="E11525" s="1" t="s">
        <v>28</v>
      </c>
      <c r="F11525" s="1">
        <v>13</v>
      </c>
      <c r="G11525" s="1">
        <v>10</v>
      </c>
      <c r="H11525" s="1">
        <v>0</v>
      </c>
      <c r="I11525" s="1" t="s">
        <v>23523</v>
      </c>
      <c r="K11525" s="1" t="str">
        <f t="shared" si="723"/>
        <v>ㄙ</v>
      </c>
      <c r="M11525" s="1" t="str">
        <f t="shared" si="721"/>
        <v/>
      </c>
      <c r="N11525" s="3" t="s">
        <v>30574</v>
      </c>
      <c r="O11525" s="3"/>
      <c r="P11525" s="1" t="s">
        <v>20</v>
      </c>
      <c r="R11525" s="1" t="s">
        <v>23524</v>
      </c>
      <c r="V11525" s="1" t="s">
        <v>23553</v>
      </c>
      <c r="AR11525" s="1" t="str">
        <f t="shared" si="724"/>
        <v>| [ㄙˋ](ㄙˋ.md) | [嗣](嗣.md) |  | sì | [動]
繼續、承繼。如：「嗣位」、「嗣業」。唐．韓愈〈河南府同官記〉：「嗣紹家烈，不違其先。」
[名]
1.後代子孫。如：「後嗣」。《書經．大禹謨》：「罰弗及嗣，賞延于世。」唐．柳宗元〈封建論〉：「自天子至于里胥，其德在人者，死必求其嗣而奉之。」
2.接續職務的人。《左傳．襄公三年》：「祁奚請老，晉侯問嗣焉？」
3.姓。如漢代有嗣光宙。 |</v>
      </c>
    </row>
    <row r="11526" spans="1:44" hidden="1">
      <c r="A11526" s="1" t="s">
        <v>23554</v>
      </c>
      <c r="C11526" s="1">
        <v>1</v>
      </c>
      <c r="D11526" s="1" t="str">
        <f>"09969"</f>
        <v>09969</v>
      </c>
      <c r="E11526" s="1" t="s">
        <v>193</v>
      </c>
      <c r="F11526" s="1">
        <v>13</v>
      </c>
      <c r="G11526" s="1">
        <v>5</v>
      </c>
      <c r="H11526" s="1">
        <v>0</v>
      </c>
      <c r="I11526" s="1" t="s">
        <v>23523</v>
      </c>
      <c r="K11526" s="1" t="str">
        <f t="shared" si="723"/>
        <v>ㄙ</v>
      </c>
      <c r="M11526" s="1" t="str">
        <f t="shared" si="721"/>
        <v/>
      </c>
      <c r="N11526" s="3" t="s">
        <v>30574</v>
      </c>
      <c r="O11526" s="3"/>
      <c r="P11526" s="1" t="s">
        <v>20</v>
      </c>
      <c r="R11526" s="1" t="s">
        <v>23524</v>
      </c>
      <c r="V11526" s="1" t="s">
        <v>23555</v>
      </c>
      <c r="AR11526" s="1" t="str">
        <f t="shared" si="724"/>
        <v>| [ㄙˋ](ㄙˋ.md) | [飼](飼.md) |  | sì | [動]
餵養、畜養。如：「飼養」。唐．杜甫〈黃魚〉詩：「脂膏兼飼犬，長大不容身。」 |</v>
      </c>
    </row>
    <row r="11527" spans="1:44" hidden="1">
      <c r="A11527" s="1" t="s">
        <v>23482</v>
      </c>
      <c r="C11527" s="1">
        <v>1</v>
      </c>
      <c r="D11527" s="1" t="str">
        <f>"09970"</f>
        <v>09970</v>
      </c>
      <c r="E11527" s="1" t="s">
        <v>250</v>
      </c>
      <c r="F11527" s="1">
        <v>9</v>
      </c>
      <c r="G11527" s="1">
        <v>5</v>
      </c>
      <c r="H11527" s="1">
        <v>2</v>
      </c>
      <c r="I11527" s="1" t="s">
        <v>23523</v>
      </c>
      <c r="K11527" s="1" t="str">
        <f t="shared" si="723"/>
        <v>ㄙ</v>
      </c>
      <c r="M11527" s="1" t="str">
        <f t="shared" si="721"/>
        <v/>
      </c>
      <c r="N11527" s="3" t="s">
        <v>30574</v>
      </c>
      <c r="O11527" s="3"/>
      <c r="P11527" s="1" t="s">
        <v>186</v>
      </c>
      <c r="R11527" s="1" t="s">
        <v>23524</v>
      </c>
      <c r="V11527" s="1" t="s">
        <v>23556</v>
      </c>
      <c r="W11527" s="1" t="s">
        <v>23557</v>
      </c>
      <c r="AR11527" s="1" t="str">
        <f t="shared" si="724"/>
        <v>| [ㄙˋ](ㄙˋ.md) | [思](思.md) |  | sì | (一)[名]1.之讀音。 |</v>
      </c>
    </row>
    <row r="11528" spans="1:44" hidden="1">
      <c r="A11528" s="1" t="s">
        <v>15005</v>
      </c>
      <c r="C11528" s="1">
        <v>1</v>
      </c>
      <c r="D11528" s="1" t="str">
        <f>"09971"</f>
        <v>09971</v>
      </c>
      <c r="E11528" s="1" t="s">
        <v>114</v>
      </c>
      <c r="F11528" s="1">
        <v>9</v>
      </c>
      <c r="G11528" s="1">
        <v>7</v>
      </c>
      <c r="H11528" s="1">
        <v>1</v>
      </c>
      <c r="I11528" s="1" t="s">
        <v>23523</v>
      </c>
      <c r="K11528" s="1" t="str">
        <f t="shared" si="723"/>
        <v>ㄙ</v>
      </c>
      <c r="M11528" s="1" t="str">
        <f t="shared" si="721"/>
        <v/>
      </c>
      <c r="N11528" s="3" t="s">
        <v>30574</v>
      </c>
      <c r="O11528" s="3"/>
      <c r="P11528" s="1" t="s">
        <v>20</v>
      </c>
      <c r="R11528" s="1" t="s">
        <v>23524</v>
      </c>
      <c r="V11528" s="1" t="s">
        <v>23558</v>
      </c>
      <c r="W11528" s="1" t="s">
        <v>23559</v>
      </c>
      <c r="AR11528" s="1" t="str">
        <f t="shared" si="724"/>
        <v>| [ㄙˋ](ㄙˋ.md) | [俟](俟.md) |  | sì | [動]
等待。如：「俟機而動」。《詩經．邶風．靜女》：「靜女其姝，俟我於城隅。」 |</v>
      </c>
    </row>
    <row r="11529" spans="1:44" hidden="1">
      <c r="A11529" s="1" t="s">
        <v>23560</v>
      </c>
      <c r="C11529" s="1">
        <v>1</v>
      </c>
      <c r="D11529" s="1" t="str">
        <f>"09972"</f>
        <v>09972</v>
      </c>
      <c r="E11529" s="1" t="s">
        <v>129</v>
      </c>
      <c r="F11529" s="1">
        <v>10</v>
      </c>
      <c r="G11529" s="1">
        <v>7</v>
      </c>
      <c r="H11529" s="1">
        <v>0</v>
      </c>
      <c r="I11529" s="1" t="s">
        <v>23523</v>
      </c>
      <c r="K11529" s="1" t="str">
        <f t="shared" si="723"/>
        <v>ㄙ</v>
      </c>
      <c r="M11529" s="1" t="str">
        <f t="shared" si="721"/>
        <v/>
      </c>
      <c r="N11529" s="3" t="s">
        <v>30574</v>
      </c>
      <c r="O11529" s="3"/>
      <c r="P11529" s="1" t="s">
        <v>20</v>
      </c>
      <c r="R11529" s="1" t="s">
        <v>23524</v>
      </c>
      <c r="V11529" s="1" t="s">
        <v>23561</v>
      </c>
      <c r="AR11529" s="1" t="str">
        <f t="shared" si="724"/>
        <v>| [ㄙˋ](ㄙˋ.md) | [涘](涘.md) |  | sì | [名]
水邊、岸邊。《詩經．王風．葛藟》：「綿綿葛藟，在河之涘。」《文選．謝朓．晚登三山還望京邑詩》：「灞涘望長安，河陽視京縣。」 |</v>
      </c>
    </row>
    <row r="11530" spans="1:44" hidden="1">
      <c r="A11530" s="1" t="s">
        <v>20584</v>
      </c>
      <c r="C11530" s="1">
        <v>1</v>
      </c>
      <c r="D11530" s="1" t="str">
        <f>"09973"</f>
        <v>09973</v>
      </c>
      <c r="E11530" s="1" t="s">
        <v>193</v>
      </c>
      <c r="F11530" s="1">
        <v>9</v>
      </c>
      <c r="G11530" s="1">
        <v>0</v>
      </c>
      <c r="H11530" s="1">
        <v>2</v>
      </c>
      <c r="I11530" s="1" t="s">
        <v>23523</v>
      </c>
      <c r="K11530" s="1" t="str">
        <f t="shared" si="723"/>
        <v>ㄙ</v>
      </c>
      <c r="M11530" s="1" t="str">
        <f t="shared" si="721"/>
        <v/>
      </c>
      <c r="N11530" s="3" t="s">
        <v>30574</v>
      </c>
      <c r="O11530" s="3"/>
      <c r="P11530" s="1" t="s">
        <v>20</v>
      </c>
      <c r="R11530" s="1" t="s">
        <v>23524</v>
      </c>
      <c r="V11530" s="1" t="s">
        <v>23562</v>
      </c>
      <c r="W11530" s="1" t="s">
        <v>23563</v>
      </c>
      <c r="AR11530" s="1" t="str">
        <f t="shared" si="724"/>
        <v>| [ㄙˋ](ㄙˋ.md) | [食](食.md) |  | sì | [動]_x000D_
1.拿食物給人吃。《莊子．盜跖》：「介子推至忠也，自割其股，以食文公。」《戰國策．齊策四》：「左右以君賤之也，食以草具。」《史記．卷三八．宋微子世家》：「華元之將戰，殺羊以食士，其御羊羹不及，故怨。」_x000D_
2.飼養。《晏子春秋．外篇．重而異者》：「君之玩物，衣以文繡；君之鳧鴈，食以菽粟。」唐．韓愈〈雜說〉：「食馬者，不知其能千里而食也。」_x000D_
3.供給俸祿。《管子．權修》：「凡牧民者，以其所積者食之，不可不審也。」宋．李燾《續資治通鑑長編．卷一九六．仁宗嘉祐七年》：「澄清庶官，選練戰士，不祿無功，不食無用。」_x000D_
4.宴請、款待。《周禮．地官司徒．牛人》：「凡賓客之事，共其牢禮積膳之牛。饗食賓射，共其膳羞之牛。」《儀禮．公食大夫禮》：「公食大夫之禮，使大夫戒，各以其爵。」 |</v>
      </c>
    </row>
    <row r="11531" spans="1:44" hidden="1">
      <c r="A11531" s="1" t="s">
        <v>23564</v>
      </c>
      <c r="C11531" s="1">
        <v>1</v>
      </c>
      <c r="D11531" s="1" t="str">
        <f>"09974"</f>
        <v>09974</v>
      </c>
      <c r="E11531" s="1" t="s">
        <v>109</v>
      </c>
      <c r="F11531" s="1">
        <v>11</v>
      </c>
      <c r="G11531" s="1">
        <v>5</v>
      </c>
      <c r="H11531" s="1">
        <v>0</v>
      </c>
      <c r="I11531" s="1" t="s">
        <v>23523</v>
      </c>
      <c r="K11531" s="1" t="str">
        <f t="shared" si="723"/>
        <v>ㄙ</v>
      </c>
      <c r="M11531" s="1" t="str">
        <f t="shared" si="721"/>
        <v/>
      </c>
      <c r="N11531" s="3" t="s">
        <v>30574</v>
      </c>
      <c r="O11531" s="3"/>
      <c r="P11531" s="1" t="s">
        <v>20</v>
      </c>
      <c r="R11531" s="1" t="s">
        <v>23524</v>
      </c>
      <c r="V11531" s="1" t="s">
        <v>23565</v>
      </c>
      <c r="AR11531" s="1" t="str">
        <f t="shared" si="724"/>
        <v>| [ㄙˋ](ㄙˋ.md) | [耜](耜.md) |  | sì | [名]
掘土用的農具。即鐵鍬。古代多為木製。《國語．周語中》：「民無懸耜，野無奧草。」三國吳．韋昭．注：「入土曰耜，耜柄曰耒。」 |</v>
      </c>
    </row>
    <row r="11532" spans="1:44" hidden="1">
      <c r="A11532" s="1" t="s">
        <v>22954</v>
      </c>
      <c r="C11532" s="1">
        <v>1</v>
      </c>
      <c r="D11532" s="1" t="str">
        <f>"09975"</f>
        <v>09975</v>
      </c>
      <c r="E11532" s="1" t="s">
        <v>447</v>
      </c>
      <c r="F11532" s="1">
        <v>12</v>
      </c>
      <c r="G11532" s="1">
        <v>9</v>
      </c>
      <c r="H11532" s="1">
        <v>3</v>
      </c>
      <c r="I11532" s="1" t="s">
        <v>23523</v>
      </c>
      <c r="K11532" s="1" t="str">
        <f t="shared" si="723"/>
        <v>ㄙ</v>
      </c>
      <c r="M11532" s="1" t="str">
        <f t="shared" si="721"/>
        <v/>
      </c>
      <c r="N11532" s="3" t="s">
        <v>30574</v>
      </c>
      <c r="O11532" s="3"/>
      <c r="P11532" s="1" t="s">
        <v>20</v>
      </c>
      <c r="R11532" s="1" t="s">
        <v>23524</v>
      </c>
      <c r="V11532" s="1" t="s">
        <v>23566</v>
      </c>
      <c r="W11532" s="1" t="s">
        <v>23567</v>
      </c>
      <c r="AR11532" s="1" t="str">
        <f t="shared" si="724"/>
        <v>| [ㄙˋ](ㄙˋ.md) | [廁](廁.md) |  | sì | 「茅廁」的「廁」的讀音。 |</v>
      </c>
    </row>
    <row r="11533" spans="1:44" hidden="1">
      <c r="A11533" s="1" t="s">
        <v>23568</v>
      </c>
      <c r="C11533" s="1">
        <v>1</v>
      </c>
      <c r="D11533" s="1" t="str">
        <f>"09976"</f>
        <v>09976</v>
      </c>
      <c r="E11533" s="1" t="s">
        <v>18309</v>
      </c>
      <c r="F11533" s="1">
        <v>13</v>
      </c>
      <c r="G11533" s="1">
        <v>7</v>
      </c>
      <c r="H11533" s="1">
        <v>0</v>
      </c>
      <c r="I11533" s="1" t="s">
        <v>23523</v>
      </c>
      <c r="K11533" s="1" t="str">
        <f t="shared" si="723"/>
        <v>ㄙ</v>
      </c>
      <c r="M11533" s="1" t="str">
        <f t="shared" si="721"/>
        <v/>
      </c>
      <c r="N11533" s="3" t="s">
        <v>30574</v>
      </c>
      <c r="O11533" s="3"/>
      <c r="P11533" s="1" t="s">
        <v>20</v>
      </c>
      <c r="R11533" s="1" t="s">
        <v>23524</v>
      </c>
      <c r="V11533" s="1" t="s">
        <v>23569</v>
      </c>
      <c r="AR11533" s="1" t="str">
        <f t="shared" si="724"/>
        <v>| [ㄙˋ](ㄙˋ.md) | [肆](肆.md) |  | sì | [名]_x000D_
1.市集貿易的地方、店鋪。如：「酒肆」、「茶肆」。《論語．子張》：「百工居肆，以成其事。」_x000D_
2.四的大寫。_x000D_
3.姓。如漢代有肆敏。_x000D_
[動]_x000D_
1.放縱，不加拘束。如：「肆無忌憚」。唐．韓愈〈柳子厚墓誌銘〉：「為深博無涯涘，一自肆於山水閒。」_x000D_
2.擴張、伸展。《左傳．僖公三十年》：「既東封鄭，又欲肆其西封。」三國魏．嵇康〈琴賦．序〉：「是故復之而不足，則吟詠以肆志。」_x000D_
3.陳列、陳設。如：「肆筵設席」。《詩經．大雅．行葦》：「或肆之筵，或授之几。」_x000D_
4.操持。晉．陶淵明〈庚戌𡻕九月中於西田穫早稻〉詩：「晨出肆微勤，日入負耒還。」_x000D_
5.竭盡、用足。如：「肆力」、「肆目而望」。唐．柳宗元〈設漁者對智伯〉：「愈肆其力，逆流而上。」_x000D_
[形]_x000D_
任意、放縱。如：「放肆」。_x000D_
[副]_x000D_
恣意的。如：「肆虐」、「肆飲」。 |</v>
      </c>
    </row>
    <row r="11534" spans="1:44" hidden="1">
      <c r="A11534" s="1" t="s">
        <v>22959</v>
      </c>
      <c r="C11534" s="1">
        <v>1</v>
      </c>
      <c r="D11534" s="1" t="str">
        <f>"09977"</f>
        <v>09977</v>
      </c>
      <c r="E11534" s="1" t="s">
        <v>505</v>
      </c>
      <c r="F11534" s="1">
        <v>15</v>
      </c>
      <c r="G11534" s="1">
        <v>8</v>
      </c>
      <c r="H11534" s="1">
        <v>1</v>
      </c>
      <c r="I11534" s="1" t="s">
        <v>23523</v>
      </c>
      <c r="K11534" s="1" t="str">
        <f t="shared" si="723"/>
        <v>ㄙ</v>
      </c>
      <c r="M11534" s="1" t="str">
        <f t="shared" si="721"/>
        <v/>
      </c>
      <c r="N11534" s="3" t="s">
        <v>30574</v>
      </c>
      <c r="O11534" s="3"/>
      <c r="P11534" s="1" t="s">
        <v>186</v>
      </c>
      <c r="R11534" s="1" t="s">
        <v>23524</v>
      </c>
      <c r="V11534" s="1" t="s">
        <v>23570</v>
      </c>
      <c r="W11534" s="1" t="s">
        <v>23571</v>
      </c>
      <c r="AR11534" s="1" t="str">
        <f t="shared" si="724"/>
        <v>| [ㄙˋ](ㄙˋ.md) | [賜](賜.md) |  | sì | [動]_x000D_
1.給予，上級賞給下級。《說文解字．貝部》：「賜，予也。」如：「賞賜」。唐．李白〈古風〉詩五九首之四一：「呼我遊太素，玉杯賜瓊漿。」_x000D_
2.頒發。三國魏．曹植〈應詔詩〉：「嘉詔未賜，朝覲莫從。」_x000D_
3.有求於人時的敬詞。如：「賜教」。《儀禮．士相見禮》：「某不足以辱命，請終賜見。」_x000D_
[名]_x000D_
1.上級賞給下級的恩惠或財物。如：「受賜」。《論語．憲問》：「民到于今受其賜。」宋．錢公輔〈義田記〉：「昔晏平仲敝車羸馬，桓子曰：『是隱君之賜也。』」_x000D_
2.止盡、窮盡。通「儩」。晉．潘岳〈西征賦〉：「超長懷以遐念，若循環之無賜。」 |</v>
      </c>
    </row>
    <row r="11535" spans="1:44" hidden="1">
      <c r="A11535" s="1" t="s">
        <v>23572</v>
      </c>
      <c r="C11535" s="1">
        <v>1</v>
      </c>
      <c r="D11535" s="1" t="str">
        <f>"09978"</f>
        <v>09978</v>
      </c>
      <c r="E11535" s="1" t="s">
        <v>114</v>
      </c>
      <c r="F11535" s="1">
        <v>17</v>
      </c>
      <c r="G11535" s="1">
        <v>15</v>
      </c>
      <c r="H11535" s="1">
        <v>0</v>
      </c>
      <c r="I11535" s="1" t="s">
        <v>23523</v>
      </c>
      <c r="K11535" s="1" t="str">
        <f t="shared" si="723"/>
        <v>ㄙ</v>
      </c>
      <c r="M11535" s="1" t="str">
        <f t="shared" si="721"/>
        <v/>
      </c>
      <c r="N11535" s="3" t="s">
        <v>30574</v>
      </c>
      <c r="O11535" s="3"/>
      <c r="P11535" s="1" t="s">
        <v>20</v>
      </c>
      <c r="R11535" s="1" t="s">
        <v>23524</v>
      </c>
      <c r="V11535" s="1" t="s">
        <v>23573</v>
      </c>
      <c r="AR11535" s="1" t="str">
        <f t="shared" si="724"/>
        <v>| [ㄙˋ](ㄙˋ.md) | [儩](儩.md) |  | sì | [動]_x000D_
止盡、窮盡。《新唐書．卷八四．列傳．李密》：「敖庾之有時而儩，粟竭人散，胡仰而成功？」 |</v>
      </c>
    </row>
    <row r="11536" spans="1:44" hidden="1">
      <c r="A11536" s="1" t="s">
        <v>23518</v>
      </c>
      <c r="C11536" s="1">
        <v>1</v>
      </c>
      <c r="D11536" s="1" t="str">
        <f>"09952"</f>
        <v>09952</v>
      </c>
      <c r="E11536" s="1" t="s">
        <v>1372</v>
      </c>
      <c r="F11536" s="1">
        <v>6</v>
      </c>
      <c r="G11536" s="1">
        <v>2</v>
      </c>
      <c r="H11536" s="1">
        <v>0</v>
      </c>
      <c r="I11536" s="1" t="s">
        <v>23519</v>
      </c>
      <c r="K11536" s="1" t="str">
        <f t="shared" si="723"/>
        <v>ㄙ</v>
      </c>
      <c r="M11536" s="1" t="str">
        <f t="shared" ref="M11536:M11567" si="725">MID(I11536, 3, 1)</f>
        <v/>
      </c>
      <c r="N11536" s="3" t="s">
        <v>30576</v>
      </c>
      <c r="O11536" s="3"/>
      <c r="P11536" s="1" t="s">
        <v>20</v>
      </c>
      <c r="R11536" s="1" t="s">
        <v>23520</v>
      </c>
      <c r="V11536" s="1" t="s">
        <v>23521</v>
      </c>
      <c r="AR11536" s="1" t="str">
        <f t="shared" si="724"/>
        <v>| [ㄙˇ](ㄙˇ.md) | [死](死.md) |  | sǐ | [動]
1.喪失生命。與「活」相對。如：「死於非命」、「人死不能復生」。
2.斷絕、放棄。如：「死心」。《莊子．田子方》：「夫哀莫大於心死。」
3.為某人或某事犧牲生命。如：「死難」、「死節」。《史記．卷九二．淮陰侯傳》：「食人之食者，死人之事，吾豈可以鄉利倍義乎？」晉．陶淵明〈詠荊軻〉詩：「君子死知己，提劍出燕京。」
[形]
1.喪失生命的。如：「死狗」。
2.失去作用或效力的。如：「死會」、「死棋」、「死井」。
3.不通達的或不活動的。如：「死巷」、「死水」、「死結」。
4.呆板、不靈活。如：「死板」、「死腦筋」。
5.既定而不可改變的。如：「死法子」、「死規矩」。
6.咒罵的話，亦表示親暱的意思。如：「死鬼」、「死老頭」。
[副]
1.拚命的。如：「死守」、「死戰」。
2.非常、極甚。表示程度達到極點。如：「怕死了」、「熱死了」、「笑死了」。
3.堅決、固執或不知變通。如：「死記」、「死不肯說」、「死不承認」、「死賣力氣」、「死抓不放」。
4.固定而不能活動。如：「抽屜給釘死了。」、「給自己留點轉圜的餘地，別把話說死了。」
5.阻滯不通。如：「堵死了」。
6.毫無知覺，像死的樣子。如：「他睡得真死。」 |</v>
      </c>
    </row>
    <row r="11537" spans="1:44" hidden="1">
      <c r="A11537" s="1" t="s">
        <v>23909</v>
      </c>
      <c r="C11537" s="1">
        <v>1</v>
      </c>
      <c r="D11537" s="1" t="str">
        <f>"10120"</f>
        <v>10120</v>
      </c>
      <c r="E11537" s="1" t="s">
        <v>534</v>
      </c>
      <c r="F11537" s="1">
        <v>10</v>
      </c>
      <c r="G11537" s="1">
        <v>7</v>
      </c>
      <c r="H11537" s="1">
        <v>0</v>
      </c>
      <c r="I11537" s="1" t="s">
        <v>23910</v>
      </c>
      <c r="K11537" s="1" t="str">
        <f t="shared" si="723"/>
        <v>ㄙ</v>
      </c>
      <c r="L11537" s="1" t="str">
        <f t="shared" ref="L11537:L11568" si="726">MID(I11537, 2, 1)</f>
        <v>ㄨ</v>
      </c>
      <c r="M11537" s="1" t="str">
        <f t="shared" si="725"/>
        <v>ㄛ</v>
      </c>
      <c r="P11537" s="1" t="s">
        <v>20</v>
      </c>
      <c r="R11537" s="1" t="s">
        <v>23911</v>
      </c>
      <c r="V11537" s="1" t="s">
        <v>23912</v>
      </c>
      <c r="AR11537" s="1" t="str">
        <f t="shared" si="724"/>
        <v>| [ㄙㄨㄛ](ㄙㄨㄛ.md) | [娑](娑.md) |  | suō | [形]
參見「婆娑」條。
[助]
用於句中，無義。猶「個」。南朝宋．劉義慶《世說新語．雅量》：「下官家故可有兩娑千萬，隨公所取。」 |</v>
      </c>
    </row>
    <row r="11538" spans="1:44" hidden="1">
      <c r="A11538" s="1" t="s">
        <v>20811</v>
      </c>
      <c r="C11538" s="1">
        <v>1</v>
      </c>
      <c r="D11538" s="1" t="str">
        <f>"10121"</f>
        <v>10121</v>
      </c>
      <c r="E11538" s="1" t="s">
        <v>24</v>
      </c>
      <c r="F11538" s="1">
        <v>11</v>
      </c>
      <c r="G11538" s="1">
        <v>7</v>
      </c>
      <c r="H11538" s="1">
        <v>1</v>
      </c>
      <c r="I11538" s="1" t="s">
        <v>23910</v>
      </c>
      <c r="K11538" s="1" t="str">
        <f t="shared" si="723"/>
        <v>ㄙ</v>
      </c>
      <c r="L11538" s="1" t="str">
        <f t="shared" si="726"/>
        <v>ㄨ</v>
      </c>
      <c r="M11538" s="1" t="str">
        <f t="shared" si="725"/>
        <v>ㄛ</v>
      </c>
      <c r="P11538" s="1" t="s">
        <v>20</v>
      </c>
      <c r="R11538" s="1" t="s">
        <v>23911</v>
      </c>
      <c r="V11538" s="1" t="s">
        <v>23913</v>
      </c>
      <c r="W11538" s="1" t="s">
        <v>23914</v>
      </c>
      <c r="AR11538" s="1" t="str">
        <f t="shared" si="724"/>
        <v>| [ㄙㄨㄛ](ㄙㄨㄛ.md) | [挲](挲.md) |  | suō | [動]
以手撫摸。如：「摩挲」。 |</v>
      </c>
    </row>
    <row r="11539" spans="1:44" hidden="1">
      <c r="A11539" s="1" t="s">
        <v>23915</v>
      </c>
      <c r="C11539" s="1">
        <v>1</v>
      </c>
      <c r="D11539" s="1" t="str">
        <f>"10122"</f>
        <v>10122</v>
      </c>
      <c r="E11539" s="1" t="s">
        <v>139</v>
      </c>
      <c r="F11539" s="1">
        <v>11</v>
      </c>
      <c r="G11539" s="1">
        <v>7</v>
      </c>
      <c r="H11539" s="1">
        <v>0</v>
      </c>
      <c r="I11539" s="1" t="s">
        <v>23910</v>
      </c>
      <c r="K11539" s="1" t="str">
        <f t="shared" si="723"/>
        <v>ㄙ</v>
      </c>
      <c r="L11539" s="1" t="str">
        <f t="shared" si="726"/>
        <v>ㄨ</v>
      </c>
      <c r="M11539" s="1" t="str">
        <f t="shared" si="725"/>
        <v>ㄛ</v>
      </c>
      <c r="P11539" s="1" t="s">
        <v>20</v>
      </c>
      <c r="R11539" s="1" t="s">
        <v>23911</v>
      </c>
      <c r="V11539" s="1" t="s">
        <v>23916</v>
      </c>
      <c r="AR11539" s="1" t="str">
        <f t="shared" si="724"/>
        <v>| [ㄙㄨㄛ](ㄙㄨㄛ.md) | [桫](桫.md) |  | suō | 參見「桫欏」條。 |</v>
      </c>
    </row>
    <row r="11540" spans="1:44" hidden="1">
      <c r="A11540" s="1" t="s">
        <v>20748</v>
      </c>
      <c r="C11540" s="1">
        <v>1</v>
      </c>
      <c r="D11540" s="1" t="str">
        <f>"10123"</f>
        <v>10123</v>
      </c>
      <c r="E11540" s="1" t="s">
        <v>37</v>
      </c>
      <c r="F11540" s="1">
        <v>11</v>
      </c>
      <c r="G11540" s="1">
        <v>7</v>
      </c>
      <c r="H11540" s="1">
        <v>1</v>
      </c>
      <c r="I11540" s="1" t="s">
        <v>23910</v>
      </c>
      <c r="K11540" s="1" t="str">
        <f t="shared" si="723"/>
        <v>ㄙ</v>
      </c>
      <c r="L11540" s="1" t="str">
        <f t="shared" si="726"/>
        <v>ㄨ</v>
      </c>
      <c r="M11540" s="1" t="str">
        <f t="shared" si="725"/>
        <v>ㄛ</v>
      </c>
      <c r="P11540" s="1" t="s">
        <v>20</v>
      </c>
      <c r="R11540" s="1" t="s">
        <v>23911</v>
      </c>
      <c r="V11540" s="1" t="s">
        <v>23917</v>
      </c>
      <c r="W11540" s="1" t="s">
        <v>23918</v>
      </c>
      <c r="AR11540" s="1" t="str">
        <f t="shared" si="724"/>
        <v>| [ㄙㄨㄛ](ㄙㄨㄛ.md) | [莎](莎.md) |  | suō | [名]
參見「莎草」條。
[形]
生有莎草的。如：「莎州」、「莎岸」。 |</v>
      </c>
    </row>
    <row r="11541" spans="1:44" hidden="1">
      <c r="A11541" s="1" t="s">
        <v>23260</v>
      </c>
      <c r="C11541" s="1">
        <v>1</v>
      </c>
      <c r="D11541" s="1" t="str">
        <f>"10124"</f>
        <v>10124</v>
      </c>
      <c r="E11541" s="1" t="s">
        <v>37</v>
      </c>
      <c r="F11541" s="1">
        <v>11</v>
      </c>
      <c r="G11541" s="1">
        <v>7</v>
      </c>
      <c r="H11541" s="1">
        <v>1</v>
      </c>
      <c r="I11541" s="1" t="s">
        <v>23910</v>
      </c>
      <c r="K11541" s="1" t="str">
        <f t="shared" si="723"/>
        <v>ㄙ</v>
      </c>
      <c r="L11541" s="1" t="str">
        <f t="shared" si="726"/>
        <v>ㄨ</v>
      </c>
      <c r="M11541" s="1" t="str">
        <f t="shared" si="725"/>
        <v>ㄛ</v>
      </c>
      <c r="P11541" s="1" t="s">
        <v>186</v>
      </c>
      <c r="R11541" s="1" t="s">
        <v>23911</v>
      </c>
      <c r="V11541" s="1" t="s">
        <v>23919</v>
      </c>
      <c r="W11541" s="1" t="s">
        <v>23920</v>
      </c>
      <c r="AR11541" s="1" t="str">
        <f t="shared" si="724"/>
        <v>| [ㄙㄨㄛ](ㄙㄨㄛ.md) | [莏](莏.md) |  | suō | [動]
捼莏：兩手相互搓摩。《集韻．平聲．支韻》：「莏，捼莏，澤手也。」 |</v>
      </c>
    </row>
    <row r="11542" spans="1:44" hidden="1">
      <c r="A11542" s="1" t="s">
        <v>23921</v>
      </c>
      <c r="C11542" s="1">
        <v>1</v>
      </c>
      <c r="D11542" s="1" t="str">
        <f>"10125"</f>
        <v>10125</v>
      </c>
      <c r="E11542" s="1" t="s">
        <v>1078</v>
      </c>
      <c r="F11542" s="1">
        <v>17</v>
      </c>
      <c r="G11542" s="1">
        <v>7</v>
      </c>
      <c r="H11542" s="1">
        <v>0</v>
      </c>
      <c r="I11542" s="1" t="s">
        <v>23910</v>
      </c>
      <c r="K11542" s="1" t="str">
        <f t="shared" si="723"/>
        <v>ㄙ</v>
      </c>
      <c r="L11542" s="1" t="str">
        <f t="shared" si="726"/>
        <v>ㄨ</v>
      </c>
      <c r="M11542" s="1" t="str">
        <f t="shared" si="725"/>
        <v>ㄛ</v>
      </c>
      <c r="P11542" s="1" t="s">
        <v>20</v>
      </c>
      <c r="R11542" s="1" t="s">
        <v>23911</v>
      </c>
      <c r="V11542" s="1" t="s">
        <v>23922</v>
      </c>
      <c r="AR11542" s="1" t="str">
        <f t="shared" si="724"/>
        <v>| [ㄙㄨㄛ](ㄙㄨㄛ.md) | [髿](髿.md) |  | suō | 參見「鬖髿」條。 |</v>
      </c>
    </row>
    <row r="11543" spans="1:44" hidden="1">
      <c r="A11543" s="1" t="s">
        <v>23923</v>
      </c>
      <c r="C11543" s="1">
        <v>1</v>
      </c>
      <c r="D11543" s="1" t="str">
        <f>"10126"</f>
        <v>10126</v>
      </c>
      <c r="E11543" s="1" t="s">
        <v>28</v>
      </c>
      <c r="F11543" s="1">
        <v>10</v>
      </c>
      <c r="G11543" s="1">
        <v>7</v>
      </c>
      <c r="H11543" s="1">
        <v>0</v>
      </c>
      <c r="I11543" s="1" t="s">
        <v>23910</v>
      </c>
      <c r="K11543" s="1" t="str">
        <f t="shared" si="723"/>
        <v>ㄙ</v>
      </c>
      <c r="L11543" s="1" t="str">
        <f t="shared" si="726"/>
        <v>ㄨ</v>
      </c>
      <c r="M11543" s="1" t="str">
        <f t="shared" si="725"/>
        <v>ㄛ</v>
      </c>
      <c r="P11543" s="1" t="s">
        <v>20</v>
      </c>
      <c r="R11543" s="1" t="s">
        <v>23911</v>
      </c>
      <c r="V11543" s="1" t="s">
        <v>23924</v>
      </c>
      <c r="AR11543" s="1" t="str">
        <f t="shared" si="724"/>
        <v>| [ㄙㄨㄛ](ㄙㄨㄛ.md) | [唆](唆.md) |  | suō | [動]
指使、慫恿。如：「教唆」。《三國演義》第二〇回：「量汝是個醫人，安敢下毒害我？必有人唆使你來！」
[形]
說話煩多。如：「囉唆」。 |</v>
      </c>
    </row>
    <row r="11544" spans="1:44" hidden="1">
      <c r="A11544" s="1" t="s">
        <v>23925</v>
      </c>
      <c r="C11544" s="1">
        <v>1</v>
      </c>
      <c r="D11544" s="1" t="str">
        <f>"10127"</f>
        <v>10127</v>
      </c>
      <c r="E11544" s="1" t="s">
        <v>139</v>
      </c>
      <c r="F11544" s="1">
        <v>11</v>
      </c>
      <c r="G11544" s="1">
        <v>7</v>
      </c>
      <c r="H11544" s="1">
        <v>0</v>
      </c>
      <c r="I11544" s="1" t="s">
        <v>23910</v>
      </c>
      <c r="K11544" s="1" t="str">
        <f t="shared" si="723"/>
        <v>ㄙ</v>
      </c>
      <c r="L11544" s="1" t="str">
        <f t="shared" si="726"/>
        <v>ㄨ</v>
      </c>
      <c r="M11544" s="1" t="str">
        <f t="shared" si="725"/>
        <v>ㄛ</v>
      </c>
      <c r="P11544" s="1" t="s">
        <v>20</v>
      </c>
      <c r="R11544" s="1" t="s">
        <v>23911</v>
      </c>
      <c r="V11544" s="1" t="s">
        <v>23926</v>
      </c>
      <c r="AR11544" s="1" t="str">
        <f t="shared" si="724"/>
        <v>| [ㄙㄨㄛ](ㄙㄨㄛ.md) | [梭](梭.md) |  | suō | [名]
織布時用來牽引橫線的器具，兩頭尖，中間粗，絲束放於中空部分。《晉書．卷六六．陶侃傳》：「侃少時漁於雷澤，網得一織梭，以掛于壁。」宋．華岳〈田家〉詩：「老農鋤水子收禾，老婦攀機女織梭。」也稱為「梭子」。 |</v>
      </c>
    </row>
    <row r="11545" spans="1:44" hidden="1">
      <c r="A11545" s="1" t="s">
        <v>23927</v>
      </c>
      <c r="C11545" s="1">
        <v>1</v>
      </c>
      <c r="D11545" s="1" t="str">
        <f>"10128"</f>
        <v>10128</v>
      </c>
      <c r="E11545" s="1" t="s">
        <v>156</v>
      </c>
      <c r="F11545" s="1">
        <v>18</v>
      </c>
      <c r="G11545" s="1">
        <v>7</v>
      </c>
      <c r="H11545" s="1">
        <v>0</v>
      </c>
      <c r="I11545" s="1" t="s">
        <v>23910</v>
      </c>
      <c r="K11545" s="1" t="str">
        <f t="shared" si="723"/>
        <v>ㄙ</v>
      </c>
      <c r="L11545" s="1" t="str">
        <f t="shared" si="726"/>
        <v>ㄨ</v>
      </c>
      <c r="M11545" s="1" t="str">
        <f t="shared" si="725"/>
        <v>ㄛ</v>
      </c>
      <c r="P11545" s="1" t="s">
        <v>20</v>
      </c>
      <c r="R11545" s="1" t="s">
        <v>23911</v>
      </c>
      <c r="V11545" s="1" t="s">
        <v>23928</v>
      </c>
      <c r="AR11545" s="1" t="str">
        <f t="shared" si="724"/>
        <v>| [ㄙㄨㄛ](ㄙㄨㄛ.md) | [鮻](鮻.md) |  | suō | [名]
古代傳說中的怪魚。即鮻魚。明．張自烈《正字通．魚部》：「鮻，《山海經》：『西海中，姑射山有鮻魚，人面、人手、魚身，見則風濤起。』」 |</v>
      </c>
    </row>
    <row r="11546" spans="1:44" hidden="1">
      <c r="A11546" s="1" t="s">
        <v>23929</v>
      </c>
      <c r="C11546" s="1">
        <v>1</v>
      </c>
      <c r="D11546" s="1" t="str">
        <f>"10129"</f>
        <v>10129</v>
      </c>
      <c r="E11546" s="1" t="s">
        <v>114</v>
      </c>
      <c r="F11546" s="1">
        <v>12</v>
      </c>
      <c r="G11546" s="1">
        <v>10</v>
      </c>
      <c r="H11546" s="1">
        <v>0</v>
      </c>
      <c r="I11546" s="1" t="s">
        <v>23910</v>
      </c>
      <c r="K11546" s="1" t="str">
        <f t="shared" si="723"/>
        <v>ㄙ</v>
      </c>
      <c r="L11546" s="1" t="str">
        <f t="shared" si="726"/>
        <v>ㄨ</v>
      </c>
      <c r="M11546" s="1" t="str">
        <f t="shared" si="725"/>
        <v>ㄛ</v>
      </c>
      <c r="P11546" s="1" t="s">
        <v>20</v>
      </c>
      <c r="R11546" s="1" t="s">
        <v>23911</v>
      </c>
      <c r="V11546" s="1" t="s">
        <v>23930</v>
      </c>
      <c r="AR11546" s="1" t="str">
        <f t="shared" si="724"/>
        <v>| [ㄙㄨㄛ](ㄙㄨㄛ.md) | [傞](傞.md) |  | suō | 參見「傞傞」條。 |</v>
      </c>
    </row>
    <row r="11547" spans="1:44" hidden="1">
      <c r="A11547" s="1" t="s">
        <v>23931</v>
      </c>
      <c r="C11547" s="1">
        <v>1</v>
      </c>
      <c r="D11547" s="1" t="str">
        <f>"10130"</f>
        <v>10130</v>
      </c>
      <c r="E11547" s="1" t="s">
        <v>28</v>
      </c>
      <c r="F11547" s="1">
        <v>13</v>
      </c>
      <c r="G11547" s="1">
        <v>10</v>
      </c>
      <c r="H11547" s="1">
        <v>0</v>
      </c>
      <c r="I11547" s="1" t="s">
        <v>23910</v>
      </c>
      <c r="K11547" s="1" t="str">
        <f t="shared" si="723"/>
        <v>ㄙ</v>
      </c>
      <c r="L11547" s="1" t="str">
        <f t="shared" si="726"/>
        <v>ㄨ</v>
      </c>
      <c r="M11547" s="1" t="str">
        <f t="shared" si="725"/>
        <v>ㄛ</v>
      </c>
      <c r="P11547" s="1" t="s">
        <v>20</v>
      </c>
      <c r="R11547" s="1" t="s">
        <v>23911</v>
      </c>
      <c r="V11547" s="1" t="s">
        <v>23932</v>
      </c>
      <c r="AR11547" s="1" t="str">
        <f t="shared" si="724"/>
        <v>| [ㄙㄨㄛ](ㄙㄨㄛ.md) | [嗦](嗦.md) |  | suō | [動]
用嘴吸吮或舌頭舔條形物。如：「小孩子總喜歡嗦手指頭。」
[形]
1.說話煩多。如：「囉嗦」。
2.參見「哆嗦」條。 |</v>
      </c>
    </row>
    <row r="11548" spans="1:44" hidden="1">
      <c r="A11548" s="1" t="s">
        <v>23933</v>
      </c>
      <c r="C11548" s="1">
        <v>1</v>
      </c>
      <c r="D11548" s="1" t="str">
        <f>"10131"</f>
        <v>10131</v>
      </c>
      <c r="E11548" s="1" t="s">
        <v>37</v>
      </c>
      <c r="F11548" s="1">
        <v>14</v>
      </c>
      <c r="G11548" s="1">
        <v>10</v>
      </c>
      <c r="H11548" s="1">
        <v>0</v>
      </c>
      <c r="I11548" s="1" t="s">
        <v>23910</v>
      </c>
      <c r="K11548" s="1" t="str">
        <f t="shared" si="723"/>
        <v>ㄙ</v>
      </c>
      <c r="L11548" s="1" t="str">
        <f t="shared" si="726"/>
        <v>ㄨ</v>
      </c>
      <c r="M11548" s="1" t="str">
        <f t="shared" si="725"/>
        <v>ㄛ</v>
      </c>
      <c r="P11548" s="1" t="s">
        <v>20</v>
      </c>
      <c r="R11548" s="1" t="s">
        <v>23911</v>
      </c>
      <c r="V11548" s="1" t="s">
        <v>23934</v>
      </c>
      <c r="AR11548" s="1" t="str">
        <f t="shared" si="724"/>
        <v>| [ㄙㄨㄛ](ㄙㄨㄛ.md) | [蓑](蓑.md) |  | suō | [名]_x000D_
用草或棕櫚葉做成的雨具。《詩經．小雅．無羊》：「爾牧來思，何蓑何笠。」漢．毛亨．傳：「蓑，所以備雨。」唐．柳宗元〈江雪〉詩：「孤舟蓑笠翁，獨釣寒江雪。」_x000D_
[動]_x000D_
以草覆蓋。《公羊傳．定公元年》：「三月，晉人執宋仲幾于京師。仲幾之罪何？不蓑城也。」漢．何休．解詁：「若今以草衣城是也。」 |</v>
      </c>
    </row>
    <row r="11549" spans="1:44" hidden="1">
      <c r="A11549" s="1" t="s">
        <v>23935</v>
      </c>
      <c r="C11549" s="1">
        <v>1</v>
      </c>
      <c r="D11549" s="1" t="str">
        <f>"10132"</f>
        <v>10132</v>
      </c>
      <c r="E11549" s="1" t="s">
        <v>49</v>
      </c>
      <c r="F11549" s="1">
        <v>16</v>
      </c>
      <c r="G11549" s="1">
        <v>10</v>
      </c>
      <c r="H11549" s="1">
        <v>0</v>
      </c>
      <c r="I11549" s="1" t="s">
        <v>23910</v>
      </c>
      <c r="K11549" s="1" t="str">
        <f t="shared" si="723"/>
        <v>ㄙ</v>
      </c>
      <c r="L11549" s="1" t="str">
        <f t="shared" si="726"/>
        <v>ㄨ</v>
      </c>
      <c r="M11549" s="1" t="str">
        <f t="shared" si="725"/>
        <v>ㄛ</v>
      </c>
      <c r="P11549" s="1" t="s">
        <v>20</v>
      </c>
      <c r="R11549" s="1" t="s">
        <v>23911</v>
      </c>
      <c r="V11549" s="1" t="s">
        <v>23936</v>
      </c>
      <c r="AR11549" s="1" t="str">
        <f t="shared" si="724"/>
        <v>| [ㄙㄨㄛ](ㄙㄨㄛ.md) | [簑](簑.md) |  | suō | [名]
用草或棕櫚葉做成的雨衣。同「蓑」。《清史稿．卷八三．禮志二》：「黛耜青箱，畚鎛簑笠，咸寓知民疾苦至意。」 |</v>
      </c>
    </row>
    <row r="11550" spans="1:44" hidden="1">
      <c r="A11550" s="1" t="s">
        <v>23883</v>
      </c>
      <c r="C11550" s="1">
        <v>1</v>
      </c>
      <c r="D11550" s="1" t="str">
        <f>"10133"</f>
        <v>10133</v>
      </c>
      <c r="E11550" s="1" t="s">
        <v>725</v>
      </c>
      <c r="F11550" s="1">
        <v>17</v>
      </c>
      <c r="G11550" s="1">
        <v>11</v>
      </c>
      <c r="H11550" s="1">
        <v>1</v>
      </c>
      <c r="I11550" s="1" t="s">
        <v>23910</v>
      </c>
      <c r="K11550" s="1" t="str">
        <f t="shared" si="723"/>
        <v>ㄙ</v>
      </c>
      <c r="L11550" s="1" t="str">
        <f t="shared" si="726"/>
        <v>ㄨ</v>
      </c>
      <c r="M11550" s="1" t="str">
        <f t="shared" si="725"/>
        <v>ㄛ</v>
      </c>
      <c r="P11550" s="1" t="s">
        <v>388</v>
      </c>
      <c r="R11550" s="1" t="s">
        <v>23911</v>
      </c>
      <c r="V11550" s="1" t="s">
        <v>23937</v>
      </c>
      <c r="W11550" s="1" t="s">
        <v>23938</v>
      </c>
      <c r="AR11550" s="1" t="str">
        <f t="shared" si="724"/>
        <v>| [ㄙㄨㄛ](ㄙㄨㄛ.md) | [縮](縮.md) |  | suō | [動]
1.收斂、變小。如：「緊縮」、「縮小範圍」。《呂氏春秋．仲夏紀．古樂》：「筋骨瑟縮不達，故作為舞以宣導之。」
2.害怕、退避。如：「退縮」、「畏縮」。《國語．越語下》：「贏縮轉化，後將悔之。」
3.進退。《國語．越語下》：「贏縮轉化，後將悔之。」三國吳．韋昭．注：「贏縮，進退也。」
4.節省。如：「縮衣節食」。 |</v>
      </c>
    </row>
    <row r="11551" spans="1:44" hidden="1">
      <c r="A11551" s="1" t="s">
        <v>23939</v>
      </c>
      <c r="C11551" s="1">
        <v>1</v>
      </c>
      <c r="D11551" s="1" t="str">
        <f>"10134"</f>
        <v>10134</v>
      </c>
      <c r="E11551" s="1" t="s">
        <v>725</v>
      </c>
      <c r="F11551" s="1">
        <v>10</v>
      </c>
      <c r="G11551" s="1">
        <v>4</v>
      </c>
      <c r="H11551" s="1">
        <v>2</v>
      </c>
      <c r="I11551" s="1" t="s">
        <v>23940</v>
      </c>
      <c r="K11551" s="1" t="str">
        <f t="shared" si="723"/>
        <v>ㄙ</v>
      </c>
      <c r="L11551" s="1" t="str">
        <f t="shared" si="726"/>
        <v>ㄨ</v>
      </c>
      <c r="M11551" s="1" t="str">
        <f t="shared" si="725"/>
        <v>ㄛ</v>
      </c>
      <c r="P11551" s="1" t="s">
        <v>20</v>
      </c>
      <c r="R11551" s="1" t="s">
        <v>23941</v>
      </c>
      <c r="V11551" s="1" t="s">
        <v>23942</v>
      </c>
      <c r="W11551" s="1" t="s">
        <v>23943</v>
      </c>
      <c r="AR11551" s="1" t="str">
        <f t="shared" si="724"/>
        <v>| [ㄙㄨㄛˊ](ㄙㄨㄛˊ.md) | [索](索.md) |  | suó | 參見「索性」(二)條。 |</v>
      </c>
    </row>
    <row r="11552" spans="1:44" hidden="1">
      <c r="A11552" s="1" t="s">
        <v>23944</v>
      </c>
      <c r="C11552" s="1">
        <v>1</v>
      </c>
      <c r="D11552" s="1" t="str">
        <f>"10135"</f>
        <v>10135</v>
      </c>
      <c r="E11552" s="1" t="s">
        <v>1252</v>
      </c>
      <c r="F11552" s="1">
        <v>8</v>
      </c>
      <c r="G11552" s="1">
        <v>4</v>
      </c>
      <c r="H11552" s="1">
        <v>0</v>
      </c>
      <c r="I11552" s="1" t="s">
        <v>23945</v>
      </c>
      <c r="K11552" s="1" t="str">
        <f t="shared" si="723"/>
        <v>ㄙ</v>
      </c>
      <c r="L11552" s="1" t="str">
        <f t="shared" si="726"/>
        <v>ㄨ</v>
      </c>
      <c r="M11552" s="1" t="str">
        <f t="shared" si="725"/>
        <v>ㄛ</v>
      </c>
      <c r="P11552" s="1" t="s">
        <v>20</v>
      </c>
      <c r="R11552" s="1" t="s">
        <v>23946</v>
      </c>
      <c r="V11552" s="1" t="s">
        <v>23947</v>
      </c>
      <c r="AR11552" s="1" t="str">
        <f t="shared" si="724"/>
        <v>| [ㄙㄨㄛˇ](ㄙㄨㄛˇ.md) | [所](所.md) |  | suǒ | [名]
1.地方、處所。《呂氏春秋．恃君覽．達鬱》：「厥之諫我也，必於無人之所。」
2.恰當的位置。如：「死得其所」。《易經．繫辭下》：「交易而退，各得其所。」《文選．諸葛亮．出師表》：「必能使行陣和睦，優劣得所也。」
3.量詞。計算建築物的單位。如：「一所房子」、「三所學校」。
4.約略計算之詞。多置於數量、單位之後。《史記．卷五五．留侯世家》：「父去里所，復還。」《續漢書志．第一一．天文志中》：「彗星出天船北，長二尺所。」
5.機關或機構的名稱。如：「區公所」、「派出所」、「研究所」。
6.姓。如漢代有所忠、所輔。
[代]
1.表示指示。相當於「此」、「這」。《呂氏春秋．審應覽．審應》：「齊亡地而王加膳，所非兼愛之心也。」唐．杜甫〈示從孫濟〉詩：「所來為宗族，亦不為盤飧。」
2.表示疑問。相當於「何」、「什麼」。《國語．魯語上》：「長勺之役，曹劌問所以戰於莊公。」
[連]
假設、如果。《詩經．鄘風．牆有茨》：「中冓之言，不可道也；所可道也，言之醜也。」《左傳．僖公二十四年》：「所不與舅氏同心者，有如白水。」
[助]
1.虛字。置在動詞前，暗示動作達到的事物。如：「前所未聞」。《論語．顏淵》：「己所不欲，勿施於人。」
2.與「為」或「被」合用，表示被動的意思。如：「他的作品為一般青年人所喜愛。」
[副]
相當於「尚」、「還」。《樂府詩集．卷四六．清商曲辭三．無名氏．懊儂歌十四首之三》：「江陵去揚州，三千三百里。已行一千三，所有二千在。」 |</v>
      </c>
    </row>
    <row r="11553" spans="1:44" hidden="1">
      <c r="A11553" s="1" t="s">
        <v>23939</v>
      </c>
      <c r="C11553" s="1">
        <v>1</v>
      </c>
      <c r="D11553" s="1" t="str">
        <f>"10136"</f>
        <v>10136</v>
      </c>
      <c r="E11553" s="1" t="s">
        <v>725</v>
      </c>
      <c r="F11553" s="1">
        <v>10</v>
      </c>
      <c r="G11553" s="1">
        <v>4</v>
      </c>
      <c r="H11553" s="1">
        <v>1</v>
      </c>
      <c r="I11553" s="1" t="s">
        <v>23945</v>
      </c>
      <c r="K11553" s="1" t="str">
        <f t="shared" si="723"/>
        <v>ㄙ</v>
      </c>
      <c r="L11553" s="1" t="str">
        <f t="shared" si="726"/>
        <v>ㄨ</v>
      </c>
      <c r="M11553" s="1" t="str">
        <f t="shared" si="725"/>
        <v>ㄛ</v>
      </c>
      <c r="P11553" s="1" t="s">
        <v>20</v>
      </c>
      <c r="R11553" s="1" t="s">
        <v>23946</v>
      </c>
      <c r="V11553" s="1" t="s">
        <v>23948</v>
      </c>
      <c r="W11553" s="1" t="s">
        <v>23949</v>
      </c>
      <c r="AR11553" s="1" t="str">
        <f t="shared" si="724"/>
        <v>| [ㄙㄨㄛˇ](ㄙㄨㄛˇ.md) | [索](索.md) |  | suǒ | [名]
1.粗繩或粗鐵鍊。如：「麻索」、「鐵索」。《列子．天瑞》：「鹿裘帶索，鼓琴而歌。」《楚辭．賈誼．惜誓》：「傷誠是之不察兮，并紉茅絲以為索。」
2.姓。如晉代有索靖。
[動]
1.搓、絞緊。《楚辭．屈原．離騷》：「矯菌桂以紉蕙兮，索胡繩之纚纚。」《淮南子．主術》：「制觡伸鉤，索鐵歙金。」
2.探求、搜尋。如：「搜索」、「摸索」。《易經．繫辭上》：「探賾索隱，鉤深致遠。」唐．李白〈書情題蔡舍人雄〉詩：「倒海索明月，凌山採芳蓀。」
3.討、要。如：「索求」、「來函索取」。《韓非子．說林上》：「索救而得，今子有憂色何也？」《三國志．卷六．魏書．袁紹傳》：「馥懷懼，從紹索去，往依張邈。」
[副]
1.獨、散。如：「離群索居」。宋．陸游．《釵頭鳳．紅酥手》詞：「一懷愁緒，幾年離索。」
2.蕭條、寂寞。如：「興味索然」、「索然無味」。 |</v>
      </c>
    </row>
    <row r="11554" spans="1:44" hidden="1">
      <c r="A11554" s="1" t="s">
        <v>23950</v>
      </c>
      <c r="C11554" s="1">
        <v>1</v>
      </c>
      <c r="D11554" s="1" t="str">
        <f>"10137"</f>
        <v>10137</v>
      </c>
      <c r="E11554" s="1" t="s">
        <v>250</v>
      </c>
      <c r="F11554" s="1">
        <v>12</v>
      </c>
      <c r="G11554" s="1">
        <v>8</v>
      </c>
      <c r="H11554" s="1">
        <v>0</v>
      </c>
      <c r="I11554" s="1" t="s">
        <v>23945</v>
      </c>
      <c r="K11554" s="1" t="str">
        <f t="shared" si="723"/>
        <v>ㄙ</v>
      </c>
      <c r="L11554" s="1" t="str">
        <f t="shared" si="726"/>
        <v>ㄨ</v>
      </c>
      <c r="M11554" s="1" t="str">
        <f t="shared" si="725"/>
        <v>ㄛ</v>
      </c>
      <c r="P11554" s="1" t="s">
        <v>20</v>
      </c>
      <c r="R11554" s="1" t="s">
        <v>23946</v>
      </c>
      <c r="V11554" s="1" t="s">
        <v>23951</v>
      </c>
      <c r="AR11554" s="1" t="str">
        <f t="shared" si="724"/>
        <v>| [ㄙㄨㄛˇ](ㄙㄨㄛˇ.md) | [惢](惢.md) |  | suǒ | [動]
心疑、多慮。《說文解字．心部》：「惢，心疑也。」 |</v>
      </c>
    </row>
    <row r="11555" spans="1:44" hidden="1">
      <c r="A11555" s="1" t="s">
        <v>23952</v>
      </c>
      <c r="C11555" s="1">
        <v>1</v>
      </c>
      <c r="D11555" s="1" t="str">
        <f>"10138"</f>
        <v>10138</v>
      </c>
      <c r="E11555" s="1" t="s">
        <v>28</v>
      </c>
      <c r="F11555" s="1">
        <v>13</v>
      </c>
      <c r="G11555" s="1">
        <v>10</v>
      </c>
      <c r="H11555" s="1">
        <v>0</v>
      </c>
      <c r="I11555" s="1" t="s">
        <v>23945</v>
      </c>
      <c r="K11555" s="1" t="str">
        <f t="shared" si="723"/>
        <v>ㄙ</v>
      </c>
      <c r="L11555" s="1" t="str">
        <f t="shared" si="726"/>
        <v>ㄨ</v>
      </c>
      <c r="M11555" s="1" t="str">
        <f t="shared" si="725"/>
        <v>ㄛ</v>
      </c>
      <c r="P11555" s="1" t="s">
        <v>20</v>
      </c>
      <c r="R11555" s="1" t="s">
        <v>23946</v>
      </c>
      <c r="V11555" s="1" t="s">
        <v>23953</v>
      </c>
      <c r="AR11555" s="1" t="str">
        <f t="shared" si="724"/>
        <v>| [ㄙㄨㄛˇ](ㄙㄨㄛˇ.md) | [嗩](嗩.md) |  | suǒ | 參見「嗩吶」、「嗩吶草」等條。 |</v>
      </c>
    </row>
    <row r="11556" spans="1:44" hidden="1">
      <c r="A11556" s="1" t="s">
        <v>23954</v>
      </c>
      <c r="C11556" s="1">
        <v>1</v>
      </c>
      <c r="D11556" s="1" t="str">
        <f>"10139"</f>
        <v>10139</v>
      </c>
      <c r="E11556" s="1" t="s">
        <v>142</v>
      </c>
      <c r="F11556" s="1">
        <v>14</v>
      </c>
      <c r="G11556" s="1">
        <v>10</v>
      </c>
      <c r="H11556" s="1">
        <v>0</v>
      </c>
      <c r="I11556" s="1" t="s">
        <v>23945</v>
      </c>
      <c r="K11556" s="1" t="str">
        <f t="shared" si="723"/>
        <v>ㄙ</v>
      </c>
      <c r="L11556" s="1" t="str">
        <f t="shared" si="726"/>
        <v>ㄨ</v>
      </c>
      <c r="M11556" s="1" t="str">
        <f t="shared" si="725"/>
        <v>ㄛ</v>
      </c>
      <c r="P11556" s="1" t="s">
        <v>20</v>
      </c>
      <c r="R11556" s="1" t="s">
        <v>23946</v>
      </c>
      <c r="V11556" s="1" t="s">
        <v>23955</v>
      </c>
      <c r="AR11556" s="1" t="str">
        <f t="shared" si="724"/>
        <v>| [ㄙㄨㄛˇ](ㄙㄨㄛˇ.md) | [瑣](瑣.md) |  | suǒ | [名]
1.玉石相碰撞所發出的細微聲音。《說文解字．玉部》：「瑣，玉聲。」
2.如連環、鎖鏈般的紋飾。《楚辭．屈原．離騷》：「欲少留此靈瑣兮，日忽忽其將暮。」漢．王逸．注：「瑣，門鏤也，文如連瑣。楚王之省閣也。」
3.裝在門、窗、箱上，使人無法輕易開啟的器具。通「鎖」。
4.姓。如宋代有瑣政。
[形]
細小的、零碎的。如：「瑣務」、「瑣聞」。 |</v>
      </c>
    </row>
    <row r="11557" spans="1:44" hidden="1">
      <c r="A11557" s="1" t="s">
        <v>23956</v>
      </c>
      <c r="C11557" s="1">
        <v>1</v>
      </c>
      <c r="D11557" s="1" t="str">
        <f>"10140"</f>
        <v>10140</v>
      </c>
      <c r="E11557" s="1" t="s">
        <v>55</v>
      </c>
      <c r="F11557" s="1">
        <v>18</v>
      </c>
      <c r="G11557" s="1">
        <v>10</v>
      </c>
      <c r="H11557" s="1">
        <v>0</v>
      </c>
      <c r="I11557" s="1" t="s">
        <v>23945</v>
      </c>
      <c r="K11557" s="1" t="str">
        <f t="shared" si="723"/>
        <v>ㄙ</v>
      </c>
      <c r="L11557" s="1" t="str">
        <f t="shared" si="726"/>
        <v>ㄨ</v>
      </c>
      <c r="M11557" s="1" t="str">
        <f t="shared" si="725"/>
        <v>ㄛ</v>
      </c>
      <c r="P11557" s="1" t="s">
        <v>20</v>
      </c>
      <c r="R11557" s="1" t="s">
        <v>23946</v>
      </c>
      <c r="V11557" s="1" t="s">
        <v>23957</v>
      </c>
      <c r="AR11557" s="1" t="str">
        <f t="shared" si="724"/>
        <v>| [ㄙㄨㄛˇ](ㄙㄨㄛˇ.md) | [鎖](鎖.md) |  | suǒ | [名]
1.安裝在門戶、箱櫃等開合處，必須以鑰匙或暗碼打開的金屬器具。如：「銅鎖」、「暗鎖」。唐．杜甫〈憶昔行〉：「弟子誰依白茅室，盧老獨啟青銅鎖。」
2.鏈條。如：「枷鎖」。《漢書．卷九九．王莽傳下》：「以鐵鎖琅當其頸，傳詣鍾官，以十萬數。」明．徐弘祖《徐霞客遊記．卷一下．遊太華山日記》：「攀鎖上千尺幢，再上百尺峽。」
[動]
1.用鎖關住。如：「把門鎖上」。唐．王建〈烏棲曲〉：「夜深宮殿門不鎖，白露滿山山葉墮。」
2.幽禁、封閉。五代十國南唐．李煜〈相見歡．無言獨上西樓〉詞：「無言獨上西樓，月如鉤，寂寞梧桐深院鎖清秋。」宋．周邦彥〈鎖窗寒．暗柳啼鴉〉詞：「桐花半畝，靜鎖一庭愁雨。」
3.遮住、籠罩。元．孟漢卿《魔合羅》第一折：「我則見雨迷了山岫，雲鎖了青虛。」
4.蹙緊、緊皺。如：「愁眉深鎖」。
5.一種縫紉方法。用線順著布邊或扣眼密縫。如：「鎖邊」。《鏡花緣》第七〇回：「或用綾羅鑲邊，或以針線鎖口。」 |</v>
      </c>
    </row>
    <row r="11558" spans="1:44" hidden="1">
      <c r="A11558" s="1" t="s">
        <v>23958</v>
      </c>
      <c r="C11558" s="1">
        <v>1</v>
      </c>
      <c r="D11558" s="1" t="str">
        <f>"10141"</f>
        <v>10141</v>
      </c>
      <c r="E11558" s="1" t="s">
        <v>142</v>
      </c>
      <c r="F11558" s="1">
        <v>15</v>
      </c>
      <c r="G11558" s="1">
        <v>11</v>
      </c>
      <c r="H11558" s="1">
        <v>0</v>
      </c>
      <c r="I11558" s="1" t="s">
        <v>23945</v>
      </c>
      <c r="K11558" s="1" t="str">
        <f t="shared" si="723"/>
        <v>ㄙ</v>
      </c>
      <c r="L11558" s="1" t="str">
        <f t="shared" si="726"/>
        <v>ㄨ</v>
      </c>
      <c r="M11558" s="1" t="str">
        <f t="shared" si="725"/>
        <v>ㄛ</v>
      </c>
      <c r="P11558" s="1" t="s">
        <v>20</v>
      </c>
      <c r="R11558" s="1" t="s">
        <v>23946</v>
      </c>
      <c r="V11558" s="1" t="s">
        <v>23959</v>
      </c>
      <c r="AR11558" s="1" t="str">
        <f t="shared" si="724"/>
        <v>| [ㄙㄨㄛˇ](ㄙㄨㄛˇ.md) | [璅](璅.md) |  | suǒ | 同「瑣」。 |</v>
      </c>
    </row>
    <row r="11559" spans="1:44" hidden="1">
      <c r="A11559" s="1" t="s">
        <v>16462</v>
      </c>
      <c r="C11559" s="1">
        <v>1</v>
      </c>
      <c r="D11559" s="1" t="str">
        <f>"10142"</f>
        <v>10142</v>
      </c>
      <c r="E11559" s="1" t="s">
        <v>9954</v>
      </c>
      <c r="F11559" s="1">
        <v>8</v>
      </c>
      <c r="G11559" s="1">
        <v>6</v>
      </c>
      <c r="H11559" s="1">
        <v>2</v>
      </c>
      <c r="I11559" s="1" t="s">
        <v>23960</v>
      </c>
      <c r="K11559" s="1" t="str">
        <f t="shared" si="723"/>
        <v>ㄙ</v>
      </c>
      <c r="L11559" s="1" t="str">
        <f t="shared" si="726"/>
        <v>ㄨ</v>
      </c>
      <c r="M11559" s="1" t="str">
        <f t="shared" si="725"/>
        <v>ㄛ</v>
      </c>
      <c r="P11559" s="1" t="s">
        <v>20</v>
      </c>
      <c r="R11559" s="1" t="s">
        <v>23961</v>
      </c>
      <c r="V11559" s="1" t="s">
        <v>23962</v>
      </c>
      <c r="W11559" s="1" t="s">
        <v>23963</v>
      </c>
      <c r="AR11559" s="1" t="str">
        <f t="shared" si="724"/>
        <v>| [ㄙㄨㄛˋ](ㄙㄨㄛˋ.md) | [些](些.md) |  | suò | [助]
用於句末。表示疑問、感嘆、勸阻等語氣。在《楚辭．招魂》中常見。《楚辭．宋玉．招魂》：「魂兮歸來，南方不可以止些。」宋．沈括《夢溪筆談．卷三．辯證》：「楚詞招魂尾句皆曰『些』。今夔峽、湖湘及南北江獠人凡禁咒句尾皆稱『些』。此乃楚人舊俗。」 |</v>
      </c>
    </row>
    <row r="11560" spans="1:44" hidden="1">
      <c r="A11560" s="1" t="s">
        <v>22739</v>
      </c>
      <c r="C11560" s="1">
        <v>1</v>
      </c>
      <c r="D11560" s="1" t="str">
        <f>"096251"</f>
        <v>096251</v>
      </c>
      <c r="E11560" s="1" t="s">
        <v>43</v>
      </c>
      <c r="F11560" s="1">
        <v>13</v>
      </c>
      <c r="G11560" s="1">
        <v>7</v>
      </c>
      <c r="H11560" s="1">
        <v>2</v>
      </c>
      <c r="I11560" s="1" t="s">
        <v>23910</v>
      </c>
      <c r="K11560" s="1" t="str">
        <f t="shared" si="723"/>
        <v>ㄙ</v>
      </c>
      <c r="L11560" s="1" t="str">
        <f t="shared" si="726"/>
        <v>ㄨ</v>
      </c>
      <c r="M11560" s="1" t="str">
        <f t="shared" si="725"/>
        <v>ㄛ</v>
      </c>
      <c r="P11560" s="1" t="s">
        <v>20</v>
      </c>
      <c r="R11560" s="1" t="s">
        <v>23911</v>
      </c>
      <c r="V11560" s="1" t="s">
        <v>30548</v>
      </c>
      <c r="AR11560" s="1" t="str">
        <f t="shared" si="724"/>
        <v>| [ㄙㄨㄛ](ㄙㄨㄛ.md) | [羧](羧.md) |  | suō | 參見「羧酸」條。 |</v>
      </c>
    </row>
    <row r="11561" spans="1:44" hidden="1">
      <c r="A11561" s="1" t="s">
        <v>30550</v>
      </c>
      <c r="C11561" s="1">
        <v>1</v>
      </c>
      <c r="D11561" s="1" t="str">
        <f>"101331"</f>
        <v>101331</v>
      </c>
      <c r="E11561" s="1" t="s">
        <v>4563</v>
      </c>
      <c r="F11561" s="1">
        <v>14</v>
      </c>
      <c r="G11561" s="1">
        <v>7</v>
      </c>
      <c r="H11561" s="1">
        <v>0</v>
      </c>
      <c r="I11561" s="1" t="s">
        <v>23910</v>
      </c>
      <c r="K11561" s="1" t="str">
        <f t="shared" si="723"/>
        <v>ㄙ</v>
      </c>
      <c r="L11561" s="1" t="str">
        <f t="shared" si="726"/>
        <v>ㄨ</v>
      </c>
      <c r="M11561" s="1" t="str">
        <f t="shared" si="725"/>
        <v>ㄛ</v>
      </c>
      <c r="P11561" s="1" t="s">
        <v>20</v>
      </c>
      <c r="R11561" s="1" t="s">
        <v>23911</v>
      </c>
      <c r="V11561" s="1" t="s">
        <v>30551</v>
      </c>
      <c r="AR11561" s="1" t="str">
        <f t="shared" si="724"/>
        <v>| [ㄙㄨㄛ](ㄙㄨㄛ.md) | [趖](趖.md) |  | suō | 1.疾走的樣子。《玉篇．走部》：「趖，走貌。」_x000D_
2.下墜、落下。五代十國．歐陽炯〈南鄉子．袖斂鮫綃〉詞：「鋪葵席，豆蔲花間趖晚日。」《儒林外史》第二六回：「又慢慢梳頭、洗臉、穿衣服，直弄到日頭趖西纔清白。」清．陳維崧〈醉花陰．滿院黃花趖白晝〉詞：「滿院黃花趖白晝，絲雨篩銅獸。」_x000D_
3.參見「鼎邊趖」條。 |</v>
      </c>
    </row>
    <row r="11562" spans="1:44" hidden="1">
      <c r="A11562" s="1" t="s">
        <v>23308</v>
      </c>
      <c r="C11562" s="1">
        <v>1</v>
      </c>
      <c r="D11562" s="1" t="str">
        <f>"10143"</f>
        <v>10143</v>
      </c>
      <c r="E11562" s="1" t="s">
        <v>3981</v>
      </c>
      <c r="F11562" s="1">
        <v>3</v>
      </c>
      <c r="G11562" s="1">
        <v>0</v>
      </c>
      <c r="H11562" s="1">
        <v>1</v>
      </c>
      <c r="I11562" s="1" t="s">
        <v>23964</v>
      </c>
      <c r="K11562" s="1" t="str">
        <f t="shared" si="723"/>
        <v>ㄙ</v>
      </c>
      <c r="L11562" s="1" t="str">
        <f t="shared" si="726"/>
        <v>ㄨ</v>
      </c>
      <c r="M11562" s="1" t="str">
        <f t="shared" si="725"/>
        <v>ㄟ</v>
      </c>
      <c r="P11562" s="1" t="s">
        <v>20</v>
      </c>
      <c r="R11562" s="1" t="s">
        <v>23965</v>
      </c>
      <c r="V11562" s="1" t="s">
        <v>23966</v>
      </c>
      <c r="W11562" s="1" t="s">
        <v>23967</v>
      </c>
      <c r="AR11562" s="1" t="str">
        <f t="shared" si="724"/>
        <v>| [ㄙㄨㄟ](ㄙㄨㄟ.md) | [夊](夊.md) |  | suī | [形]
走路遲緩的樣子。《玉篇．夊部》：「夊，行遲貌。」
[名]
二一四部首之一。 |</v>
      </c>
    </row>
    <row r="11563" spans="1:44" hidden="1">
      <c r="A11563" s="1" t="s">
        <v>23968</v>
      </c>
      <c r="C11563" s="1">
        <v>1</v>
      </c>
      <c r="D11563" s="1" t="str">
        <f>"10144"</f>
        <v>10144</v>
      </c>
      <c r="E11563" s="1" t="s">
        <v>37</v>
      </c>
      <c r="F11563" s="1">
        <v>11</v>
      </c>
      <c r="G11563" s="1">
        <v>7</v>
      </c>
      <c r="H11563" s="1">
        <v>0</v>
      </c>
      <c r="I11563" s="1" t="s">
        <v>23964</v>
      </c>
      <c r="K11563" s="1" t="str">
        <f t="shared" si="723"/>
        <v>ㄙ</v>
      </c>
      <c r="L11563" s="1" t="str">
        <f t="shared" si="726"/>
        <v>ㄨ</v>
      </c>
      <c r="M11563" s="1" t="str">
        <f t="shared" si="725"/>
        <v>ㄟ</v>
      </c>
      <c r="P11563" s="1" t="s">
        <v>20</v>
      </c>
      <c r="R11563" s="1" t="s">
        <v>23965</v>
      </c>
      <c r="V11563" s="1" t="s">
        <v>23969</v>
      </c>
      <c r="AR11563" s="1" t="str">
        <f t="shared" si="724"/>
        <v>| [ㄙㄨㄟ](ㄙㄨㄟ.md) | [荽](荽.md) |  | suī | 參見「胡荽」、「芫荽」等條。 |</v>
      </c>
    </row>
    <row r="11564" spans="1:44" hidden="1">
      <c r="A11564" s="1" t="s">
        <v>23970</v>
      </c>
      <c r="C11564" s="1">
        <v>1</v>
      </c>
      <c r="D11564" s="1" t="str">
        <f>"10145"</f>
        <v>10145</v>
      </c>
      <c r="E11564" s="1" t="s">
        <v>725</v>
      </c>
      <c r="F11564" s="1">
        <v>13</v>
      </c>
      <c r="G11564" s="1">
        <v>7</v>
      </c>
      <c r="H11564" s="1">
        <v>1</v>
      </c>
      <c r="I11564" s="1" t="s">
        <v>23964</v>
      </c>
      <c r="K11564" s="1" t="str">
        <f t="shared" si="723"/>
        <v>ㄙ</v>
      </c>
      <c r="L11564" s="1" t="str">
        <f t="shared" si="726"/>
        <v>ㄨ</v>
      </c>
      <c r="M11564" s="1" t="str">
        <f t="shared" si="725"/>
        <v>ㄟ</v>
      </c>
      <c r="P11564" s="1" t="s">
        <v>20</v>
      </c>
      <c r="R11564" s="1" t="s">
        <v>23965</v>
      </c>
      <c r="V11564" s="1" t="s">
        <v>23971</v>
      </c>
      <c r="W11564" s="1" t="s">
        <v>23972</v>
      </c>
      <c r="AR11564" s="1" t="str">
        <f t="shared" si="724"/>
        <v>| [ㄙㄨㄟ](ㄙㄨㄟ.md) | [綏](綏.md) |  | suī | [名]
上車時用以拉引的繩索。《論語．鄉黨》：「升車，必正立執綏。」《史記．卷七〇．張儀傳》：「張儀至秦，洋失綏墮車，不朝三月。」
[動]
1.安撫。《書經．武成》：「肆予東征，綏厥士女。」《詩經．大雅．民勞》：「惠此中國，以綏四方。」
2.退卻。《左傳．文公十二年》：「秦以勝歸，我何以報，乃皆出戰，交綏。」南朝梁．任昉〈奏彈曹景宗〉：「臣聞將軍死綏，咫步無卻。」
3.制止。《國語．齊語》：「使民以勸，綏謗言，足以補官之不善政。」 |</v>
      </c>
    </row>
    <row r="11565" spans="1:44" hidden="1">
      <c r="A11565" s="1" t="s">
        <v>23973</v>
      </c>
      <c r="C11565" s="1">
        <v>1</v>
      </c>
      <c r="D11565" s="1" t="str">
        <f>"10146"</f>
        <v>10146</v>
      </c>
      <c r="E11565" s="1" t="s">
        <v>1015</v>
      </c>
      <c r="F11565" s="1">
        <v>11</v>
      </c>
      <c r="G11565" s="1">
        <v>6</v>
      </c>
      <c r="H11565" s="1">
        <v>0</v>
      </c>
      <c r="I11565" s="1" t="s">
        <v>23964</v>
      </c>
      <c r="K11565" s="1" t="str">
        <f t="shared" si="723"/>
        <v>ㄙ</v>
      </c>
      <c r="L11565" s="1" t="str">
        <f t="shared" si="726"/>
        <v>ㄨ</v>
      </c>
      <c r="M11565" s="1" t="str">
        <f t="shared" si="725"/>
        <v>ㄟ</v>
      </c>
      <c r="P11565" s="1" t="s">
        <v>20</v>
      </c>
      <c r="R11565" s="1" t="s">
        <v>23965</v>
      </c>
      <c r="V11565" s="1" t="s">
        <v>23974</v>
      </c>
      <c r="AR11565" s="1" t="str">
        <f t="shared" si="724"/>
        <v>| [ㄙㄨㄟ](ㄙㄨㄟ.md) | [眭](眭.md) |  | suī | [形]
目光深視的樣子。《集韻．平聲．支韻》：「眭，目深貌。」
[名]
姓。如漢代有眭弘。 |</v>
      </c>
    </row>
    <row r="11566" spans="1:44" hidden="1">
      <c r="A11566" s="1" t="s">
        <v>23975</v>
      </c>
      <c r="C11566" s="1">
        <v>1</v>
      </c>
      <c r="D11566" s="1" t="str">
        <f>"10147"</f>
        <v>10147</v>
      </c>
      <c r="E11566" s="1" t="s">
        <v>1015</v>
      </c>
      <c r="F11566" s="1">
        <v>13</v>
      </c>
      <c r="G11566" s="1">
        <v>8</v>
      </c>
      <c r="H11566" s="1">
        <v>0</v>
      </c>
      <c r="I11566" s="1" t="s">
        <v>23964</v>
      </c>
      <c r="K11566" s="1" t="str">
        <f t="shared" si="723"/>
        <v>ㄙ</v>
      </c>
      <c r="L11566" s="1" t="str">
        <f t="shared" si="726"/>
        <v>ㄨ</v>
      </c>
      <c r="M11566" s="1" t="str">
        <f t="shared" si="725"/>
        <v>ㄟ</v>
      </c>
      <c r="P11566" s="1" t="s">
        <v>20</v>
      </c>
      <c r="R11566" s="1" t="s">
        <v>23965</v>
      </c>
      <c r="V11566" s="1" t="s">
        <v>23976</v>
      </c>
      <c r="AR11566" s="1" t="str">
        <f t="shared" si="724"/>
        <v>| [ㄙㄨㄟ](ㄙㄨㄟ.md) | [睢](睢.md) |  | suī | [形]
參見「睢睢」條。
[名]
1.河川名。參見「睢河」條。
2.姓。如春秋時齊國有睢休相。 |</v>
      </c>
    </row>
    <row r="11567" spans="1:44" hidden="1">
      <c r="A11567" s="1" t="s">
        <v>23977</v>
      </c>
      <c r="C11567" s="1">
        <v>1</v>
      </c>
      <c r="D11567" s="1" t="str">
        <f>"10148"</f>
        <v>10148</v>
      </c>
      <c r="E11567" s="1" t="s">
        <v>5383</v>
      </c>
      <c r="F11567" s="1">
        <v>17</v>
      </c>
      <c r="G11567" s="1">
        <v>9</v>
      </c>
      <c r="H11567" s="1">
        <v>1</v>
      </c>
      <c r="I11567" s="1" t="s">
        <v>23964</v>
      </c>
      <c r="K11567" s="1" t="str">
        <f t="shared" si="723"/>
        <v>ㄙ</v>
      </c>
      <c r="L11567" s="1" t="str">
        <f t="shared" si="726"/>
        <v>ㄨ</v>
      </c>
      <c r="M11567" s="1" t="str">
        <f t="shared" si="725"/>
        <v>ㄟ</v>
      </c>
      <c r="P11567" s="1" t="s">
        <v>20</v>
      </c>
      <c r="R11567" s="1" t="s">
        <v>23965</v>
      </c>
      <c r="V11567" s="1" t="s">
        <v>23978</v>
      </c>
      <c r="W11567" s="1" t="s">
        <v>23979</v>
      </c>
      <c r="AR11567" s="1" t="str">
        <f t="shared" si="724"/>
        <v>| [ㄙㄨㄟ](ㄙㄨㄟ.md) | [雖](雖.md) |  | suī | [連]
1.雖然、儘管。表示容忍讓步。《孟子．滕文公上》：「詩云：『周雖舊邦，其命惟新。』」《韓非子．說林上》：「海水雖多，火必不滅矣。」
2.縱然、即使。表示假設推想。《論語．學而》：「雖曰未學，吾必謂之學矣。」《列子．湯問》：「雖我之死，有子存焉。」
[副]
獨、只。通「惟」。《論語．子罕》：「譬如平地，雖覆一簣，進，吾往也。」 |</v>
      </c>
    </row>
    <row r="11568" spans="1:44" hidden="1">
      <c r="A11568" s="1" t="s">
        <v>23980</v>
      </c>
      <c r="C11568" s="1">
        <v>1</v>
      </c>
      <c r="D11568" s="1" t="str">
        <f>"10149"</f>
        <v>10149</v>
      </c>
      <c r="E11568" s="1" t="s">
        <v>691</v>
      </c>
      <c r="F11568" s="1">
        <v>12</v>
      </c>
      <c r="G11568" s="1">
        <v>9</v>
      </c>
      <c r="H11568" s="1">
        <v>0</v>
      </c>
      <c r="I11568" s="1" t="s">
        <v>23981</v>
      </c>
      <c r="K11568" s="1" t="str">
        <f t="shared" si="723"/>
        <v>ㄙ</v>
      </c>
      <c r="L11568" s="1" t="str">
        <f t="shared" si="726"/>
        <v>ㄨ</v>
      </c>
      <c r="M11568" s="1" t="str">
        <f t="shared" ref="M11568:M11599" si="727">MID(I11568, 3, 1)</f>
        <v>ㄟ</v>
      </c>
      <c r="P11568" s="1" t="s">
        <v>20</v>
      </c>
      <c r="R11568" s="1" t="s">
        <v>23982</v>
      </c>
      <c r="V11568" s="1" t="s">
        <v>23983</v>
      </c>
      <c r="AR11568" s="1" t="str">
        <f t="shared" si="724"/>
        <v>| [ㄙㄨㄟˊ](ㄙㄨㄟˊ.md) | [隋](隋.md) |  | suí | [名]
1.朝代名。參見「隋朝」條。
2.姓。如漢代有隋昱。 |</v>
      </c>
    </row>
    <row r="11569" spans="1:44" hidden="1">
      <c r="A11569" s="1" t="s">
        <v>23984</v>
      </c>
      <c r="C11569" s="1">
        <v>1</v>
      </c>
      <c r="D11569" s="1" t="str">
        <f>"10150"</f>
        <v>10150</v>
      </c>
      <c r="E11569" s="1" t="s">
        <v>691</v>
      </c>
      <c r="F11569" s="1">
        <v>16</v>
      </c>
      <c r="G11569" s="1">
        <v>13</v>
      </c>
      <c r="H11569" s="1">
        <v>0</v>
      </c>
      <c r="I11569" s="1" t="s">
        <v>23981</v>
      </c>
      <c r="K11569" s="1" t="str">
        <f t="shared" si="723"/>
        <v>ㄙ</v>
      </c>
      <c r="L11569" s="1" t="str">
        <f t="shared" ref="L11569:L11600" si="728">MID(I11569, 2, 1)</f>
        <v>ㄨ</v>
      </c>
      <c r="M11569" s="1" t="str">
        <f t="shared" si="727"/>
        <v>ㄟ</v>
      </c>
      <c r="P11569" s="1" t="s">
        <v>20</v>
      </c>
      <c r="R11569" s="1" t="s">
        <v>23982</v>
      </c>
      <c r="V11569" s="1" t="s">
        <v>23985</v>
      </c>
      <c r="AR11569" s="1" t="str">
        <f t="shared" si="724"/>
        <v>| [ㄙㄨㄟˊ](ㄙㄨㄟˊ.md) | [隨](隨.md) |  | suí | [動]
1.跟從、順從。如：「跟隨」、「追隨」、「蕭規曹隨」。《三國志．卷三五．蜀書．諸葛亮傳》：「遭漢末擾亂，隨叔父玄避難荊州，躬耕于野，不求聞達。」
2.沿著、順著。《書經．禹貢》：「禹敷土，隨山刊木，奠高山大川。」《文選．楊惲．報孫會宗書》：「雖雅知惲者，猶隨風而靡。」
3.聽任、任憑。如：「去不去隨你」。《史記．卷四四．魏世家》：「聽使者之惡之，隨安陵氏而亡之。」
4.北方方言。指相像。如：「他長得隨他父親。」
[副]
立即、接著。如：「隨時」、「隨即」。《漢書．卷九三．佞幸傳．鄧通傳》：「長公主賜鄧通，吏輒隨沒入之，一簪不得著身。」 |</v>
      </c>
    </row>
    <row r="11570" spans="1:44" hidden="1">
      <c r="A11570" s="1" t="s">
        <v>23986</v>
      </c>
      <c r="C11570" s="1">
        <v>1</v>
      </c>
      <c r="D11570" s="1" t="str">
        <f>"10151"</f>
        <v>10151</v>
      </c>
      <c r="E11570" s="1" t="s">
        <v>558</v>
      </c>
      <c r="F11570" s="1">
        <v>13</v>
      </c>
      <c r="G11570" s="1">
        <v>9</v>
      </c>
      <c r="H11570" s="1">
        <v>2</v>
      </c>
      <c r="I11570" s="1" t="s">
        <v>23981</v>
      </c>
      <c r="K11570" s="1" t="str">
        <f t="shared" si="723"/>
        <v>ㄙ</v>
      </c>
      <c r="L11570" s="1" t="str">
        <f t="shared" si="728"/>
        <v>ㄨ</v>
      </c>
      <c r="M11570" s="1" t="str">
        <f t="shared" si="727"/>
        <v>ㄟ</v>
      </c>
      <c r="P11570" s="1" t="s">
        <v>110</v>
      </c>
      <c r="R11570" s="1" t="s">
        <v>23982</v>
      </c>
      <c r="V11570" s="1" t="s">
        <v>111</v>
      </c>
      <c r="W11570" s="1" t="s">
        <v>23987</v>
      </c>
      <c r="AR11570" s="1" t="str">
        <f t="shared" si="724"/>
        <v>| [ㄙㄨㄟˊ](ㄙㄨㄟˊ.md) | [遂](遂.md) |  | suí | (一)之又音。 |</v>
      </c>
    </row>
    <row r="11571" spans="1:44" hidden="1">
      <c r="A11571" s="1" t="s">
        <v>23970</v>
      </c>
      <c r="C11571" s="1">
        <v>1</v>
      </c>
      <c r="D11571" s="1" t="str">
        <f>"10152"</f>
        <v>10152</v>
      </c>
      <c r="E11571" s="1" t="s">
        <v>725</v>
      </c>
      <c r="F11571" s="1">
        <v>13</v>
      </c>
      <c r="G11571" s="1">
        <v>7</v>
      </c>
      <c r="H11571" s="1">
        <v>2</v>
      </c>
      <c r="I11571" s="1" t="s">
        <v>23981</v>
      </c>
      <c r="K11571" s="1" t="str">
        <f t="shared" si="723"/>
        <v>ㄙ</v>
      </c>
      <c r="L11571" s="1" t="str">
        <f t="shared" si="728"/>
        <v>ㄨ</v>
      </c>
      <c r="M11571" s="1" t="str">
        <f t="shared" si="727"/>
        <v>ㄟ</v>
      </c>
      <c r="P11571" s="1" t="s">
        <v>110</v>
      </c>
      <c r="R11571" s="1" t="s">
        <v>23982</v>
      </c>
      <c r="V11571" s="1" t="s">
        <v>111</v>
      </c>
      <c r="W11571" s="1" t="s">
        <v>23988</v>
      </c>
      <c r="AR11571" s="1" t="str">
        <f t="shared" si="724"/>
        <v>| [ㄙㄨㄟˊ](ㄙㄨㄟˊ.md) | [綏](綏.md) |  | suí | (一)之又音。 |</v>
      </c>
    </row>
    <row r="11572" spans="1:44" hidden="1">
      <c r="A11572" s="1" t="s">
        <v>23977</v>
      </c>
      <c r="C11572" s="1">
        <v>1</v>
      </c>
      <c r="D11572" s="1" t="str">
        <f>"10153"</f>
        <v>10153</v>
      </c>
      <c r="E11572" s="1" t="s">
        <v>5383</v>
      </c>
      <c r="F11572" s="1">
        <v>17</v>
      </c>
      <c r="G11572" s="1">
        <v>9</v>
      </c>
      <c r="H11572" s="1">
        <v>2</v>
      </c>
      <c r="I11572" s="1" t="s">
        <v>23981</v>
      </c>
      <c r="K11572" s="1" t="str">
        <f t="shared" si="723"/>
        <v>ㄙ</v>
      </c>
      <c r="L11572" s="1" t="str">
        <f t="shared" si="728"/>
        <v>ㄨ</v>
      </c>
      <c r="M11572" s="1" t="str">
        <f t="shared" si="727"/>
        <v>ㄟ</v>
      </c>
      <c r="P11572" s="1" t="s">
        <v>110</v>
      </c>
      <c r="R11572" s="1" t="s">
        <v>23982</v>
      </c>
      <c r="V11572" s="1" t="s">
        <v>111</v>
      </c>
      <c r="W11572" s="1" t="s">
        <v>23989</v>
      </c>
      <c r="AR11572" s="1" t="str">
        <f t="shared" si="724"/>
        <v>| [ㄙㄨㄟˊ](ㄙㄨㄟˊ.md) | [雖](雖.md) |  | suí | (一)之又音。 |</v>
      </c>
    </row>
    <row r="11573" spans="1:44" hidden="1">
      <c r="A11573" s="1" t="s">
        <v>23990</v>
      </c>
      <c r="C11573" s="1">
        <v>1</v>
      </c>
      <c r="D11573" s="1" t="str">
        <f>"10154"</f>
        <v>10154</v>
      </c>
      <c r="E11573" s="1" t="s">
        <v>129</v>
      </c>
      <c r="F11573" s="1">
        <v>19</v>
      </c>
      <c r="G11573" s="1">
        <v>16</v>
      </c>
      <c r="H11573" s="1">
        <v>0</v>
      </c>
      <c r="I11573" s="1" t="s">
        <v>23991</v>
      </c>
      <c r="K11573" s="1" t="str">
        <f t="shared" si="723"/>
        <v>ㄙ</v>
      </c>
      <c r="L11573" s="1" t="str">
        <f t="shared" si="728"/>
        <v>ㄨ</v>
      </c>
      <c r="M11573" s="1" t="str">
        <f t="shared" si="727"/>
        <v>ㄟ</v>
      </c>
      <c r="P11573" s="1" t="s">
        <v>20</v>
      </c>
      <c r="R11573" s="1" t="s">
        <v>23992</v>
      </c>
      <c r="V11573" s="1" t="s">
        <v>23993</v>
      </c>
      <c r="AR11573" s="1" t="str">
        <f t="shared" si="724"/>
        <v>| [ㄙㄨㄟˇ](ㄙㄨㄟˇ.md) | [瀡](瀡.md) |  | suǐ | 參見「滫瀡」條。 |</v>
      </c>
    </row>
    <row r="11574" spans="1:44" hidden="1">
      <c r="A11574" s="1" t="s">
        <v>23994</v>
      </c>
      <c r="C11574" s="1">
        <v>1</v>
      </c>
      <c r="D11574" s="1" t="str">
        <f>"10155"</f>
        <v>10155</v>
      </c>
      <c r="E11574" s="1" t="s">
        <v>283</v>
      </c>
      <c r="F11574" s="1">
        <v>23</v>
      </c>
      <c r="G11574" s="1">
        <v>13</v>
      </c>
      <c r="H11574" s="1">
        <v>0</v>
      </c>
      <c r="I11574" s="1" t="s">
        <v>23991</v>
      </c>
      <c r="K11574" s="1" t="str">
        <f t="shared" si="723"/>
        <v>ㄙ</v>
      </c>
      <c r="L11574" s="1" t="str">
        <f t="shared" si="728"/>
        <v>ㄨ</v>
      </c>
      <c r="M11574" s="1" t="str">
        <f t="shared" si="727"/>
        <v>ㄟ</v>
      </c>
      <c r="P11574" s="1" t="s">
        <v>20</v>
      </c>
      <c r="R11574" s="1" t="s">
        <v>23992</v>
      </c>
      <c r="V11574" s="1" t="s">
        <v>23995</v>
      </c>
      <c r="AR11574" s="1" t="str">
        <f t="shared" si="724"/>
        <v>| [ㄙㄨㄟˇ](ㄙㄨㄟˇ.md) | [髓](髓.md) |  | suǐ | [名]
1.骨頭中的膠狀物質。如：「骨髓」、「食髓知味」。唐．白居易〈與楊虞卿書〉：「去年六月，盜殺右丞相於通衢中，迸血髓。」
2.泛指膏脂狀的物質。《晉書．卷四九．嵇康傳》：「烈嘗得石髓如飴，即自服半。」唐．李賀〈昌谷〉詩：「小柏儼重扇，肥松突丹髓。」
3.比喻事物的精要部分。如：「精髓」、「神髓」。唐．李咸用〈讀修睦上人歌篇〉：「意下紛紛造化機，筆頭滴滴文章髓。」 |</v>
      </c>
    </row>
    <row r="11575" spans="1:44" hidden="1">
      <c r="A11575" s="1" t="s">
        <v>23996</v>
      </c>
      <c r="C11575" s="1">
        <v>1</v>
      </c>
      <c r="D11575" s="1" t="str">
        <f>"10156"</f>
        <v>10156</v>
      </c>
      <c r="E11575" s="1" t="s">
        <v>825</v>
      </c>
      <c r="F11575" s="1">
        <v>10</v>
      </c>
      <c r="G11575" s="1">
        <v>5</v>
      </c>
      <c r="H11575" s="1">
        <v>0</v>
      </c>
      <c r="I11575" s="1" t="s">
        <v>23997</v>
      </c>
      <c r="K11575" s="1" t="str">
        <f t="shared" si="723"/>
        <v>ㄙ</v>
      </c>
      <c r="L11575" s="1" t="str">
        <f t="shared" si="728"/>
        <v>ㄨ</v>
      </c>
      <c r="M11575" s="1" t="str">
        <f t="shared" si="727"/>
        <v>ㄟ</v>
      </c>
      <c r="P11575" s="1" t="s">
        <v>20</v>
      </c>
      <c r="R11575" s="1" t="s">
        <v>23998</v>
      </c>
      <c r="V11575" s="1" t="s">
        <v>23999</v>
      </c>
      <c r="AR11575" s="1" t="str">
        <f t="shared" si="724"/>
        <v>| [ㄙㄨㄟˋ](ㄙㄨㄟˋ.md) | [祟](祟.md) |  | suì | [動]
作怪、為害。《管子．權修》：「上恃龜筮，好用巫醫，則鬼神驟祟。」《莊子．天道》：「一心定而王天下，其鬼不祟，其魂不疲。」
[名]
災禍。《戰國策．齊策四》：「寡人不祥，被於宗廟之祟，沉於諂諛之臣，開罪於君，寡人不足為也。」《紅樓夢》第七二回：「這一起外祟何日是了！」
[副]
做事不光明正大。如：「他做事鬼鬼祟祟。」 |</v>
      </c>
    </row>
    <row r="11576" spans="1:44" hidden="1">
      <c r="A11576" s="1" t="s">
        <v>21453</v>
      </c>
      <c r="C11576" s="1">
        <v>1</v>
      </c>
      <c r="D11576" s="1" t="str">
        <f>"10157"</f>
        <v>10157</v>
      </c>
      <c r="E11576" s="1" t="s">
        <v>7105</v>
      </c>
      <c r="F11576" s="1">
        <v>11</v>
      </c>
      <c r="G11576" s="1">
        <v>5</v>
      </c>
      <c r="H11576" s="1">
        <v>2</v>
      </c>
      <c r="I11576" s="1" t="s">
        <v>23997</v>
      </c>
      <c r="K11576" s="1" t="str">
        <f t="shared" si="723"/>
        <v>ㄙ</v>
      </c>
      <c r="L11576" s="1" t="str">
        <f t="shared" si="728"/>
        <v>ㄨ</v>
      </c>
      <c r="M11576" s="1" t="str">
        <f t="shared" si="727"/>
        <v>ㄟ</v>
      </c>
      <c r="P11576" s="1" t="s">
        <v>20</v>
      </c>
      <c r="R11576" s="1" t="s">
        <v>23998</v>
      </c>
      <c r="V11576" s="1" t="s">
        <v>24000</v>
      </c>
      <c r="W11576" s="1" t="s">
        <v>24001</v>
      </c>
      <c r="AR11576" s="1" t="str">
        <f t="shared" si="724"/>
        <v>| [ㄙㄨㄟˋ](ㄙㄨㄟˋ.md) | [術](術.md) |  | suì | [名]
古代位於郊外的行政區域。通「遂」。《禮記．學記》：「古之教者，家有塾，黨有庠，術有序，國有學。」 |</v>
      </c>
    </row>
    <row r="11577" spans="1:44" hidden="1">
      <c r="A11577" s="1" t="s">
        <v>23986</v>
      </c>
      <c r="C11577" s="1">
        <v>1</v>
      </c>
      <c r="D11577" s="1" t="str">
        <f>"10158"</f>
        <v>10158</v>
      </c>
      <c r="E11577" s="1" t="s">
        <v>558</v>
      </c>
      <c r="F11577" s="1">
        <v>13</v>
      </c>
      <c r="G11577" s="1">
        <v>9</v>
      </c>
      <c r="H11577" s="1">
        <v>1</v>
      </c>
      <c r="I11577" s="1" t="s">
        <v>23997</v>
      </c>
      <c r="K11577" s="1" t="str">
        <f t="shared" si="723"/>
        <v>ㄙ</v>
      </c>
      <c r="L11577" s="1" t="str">
        <f t="shared" si="728"/>
        <v>ㄨ</v>
      </c>
      <c r="M11577" s="1" t="str">
        <f t="shared" si="727"/>
        <v>ㄟ</v>
      </c>
      <c r="P11577" s="1" t="s">
        <v>20</v>
      </c>
      <c r="R11577" s="1" t="s">
        <v>23998</v>
      </c>
      <c r="V11577" s="1" t="s">
        <v>24002</v>
      </c>
      <c r="W11577" s="1" t="s">
        <v>24003</v>
      </c>
      <c r="AR11577" s="1" t="str">
        <f t="shared" si="724"/>
        <v>| [ㄙㄨㄟˋ](ㄙㄨㄟˋ.md) | [遂](遂.md) |  | suì | [動]
1.稱心、滿足。如：「諸事不遂」。《史記．卷一一七．司馬相如傳》：「長卿久宦遊不遂，而來過我。」《紅樓夢》第四六回：「天下的事未必都遂心如意的。」
2.順從、順應。如：「半身不遂」。《國語．周語下》：「節之鼓而行之，以遂八風。」
3.成功、成就。如：「殺人未遂」。唐．柳宗元〈瓶賦〉：「功成事遂，復於土泥。」《喻世明言．卷三六．宋四公大鬧禁魂張》：「男兒未遂平生志，且樂高歌入醉鄉。」
4.進、通達。《易經．大壯卦．上六》：「象曰：不能退，不能遂。」
5.薦舉、進用。《書經．仲虺之誥》：「佑賢輔德，顯忠遂良。」《禮記．月令》：「命太尉，贊桀俊，遂賢良，舉長大。」
6.生長。《漢書．卷二二．禮樂志》：「青陽開動，根荄以遂。」
7.盡、止。《禮記．曲禮上》：「有後入者，闔而勿遂。」
[副]
1.終究、竟然。《史記．卷八．高祖本紀》：「及高祖貴，遂不知老父處。」北齊．顏之推《顏氏家訓．慕賢》：「此人後生無比，遂不為世所稱，亦是奇事。」
2.就、於是。《史記．卷八．高祖本紀》：「乃前，拔劍擊斬蛇，蛇遂分為兩。」《文選．李斯．上書秦始皇》：「而穆公用之并國三十，遂霸西戎。」
[名]
1.遠郊、郊外。《書經．費誓》：「魯人三郊三遂，峙乃芻茭。」《禮記．王制》：「不變，移之遂，如初禮。」
2.小溝。《周禮．地官．遂人》：「凡治野，夫間有遂，遂上有徑。」《儒林外史》第四〇回：「溝間有洫，洫間有遂。」
3.古代射箭的人所穿的臂衣。《儀禮．大射禮》：「袒決遂，執弓右，挾之出。」 |</v>
      </c>
    </row>
    <row r="11578" spans="1:44" hidden="1">
      <c r="A11578" s="1" t="s">
        <v>24004</v>
      </c>
      <c r="C11578" s="1">
        <v>1</v>
      </c>
      <c r="D11578" s="1" t="str">
        <f>"10159"</f>
        <v>10159</v>
      </c>
      <c r="E11578" s="1" t="s">
        <v>691</v>
      </c>
      <c r="F11578" s="1">
        <v>16</v>
      </c>
      <c r="G11578" s="1">
        <v>13</v>
      </c>
      <c r="H11578" s="1">
        <v>0</v>
      </c>
      <c r="I11578" s="1" t="s">
        <v>23997</v>
      </c>
      <c r="K11578" s="1" t="str">
        <f t="shared" si="723"/>
        <v>ㄙ</v>
      </c>
      <c r="L11578" s="1" t="str">
        <f t="shared" si="728"/>
        <v>ㄨ</v>
      </c>
      <c r="M11578" s="1" t="str">
        <f t="shared" si="727"/>
        <v>ㄟ</v>
      </c>
      <c r="P11578" s="1" t="s">
        <v>20</v>
      </c>
      <c r="R11578" s="1" t="s">
        <v>23998</v>
      </c>
      <c r="V11578" s="1" t="s">
        <v>24005</v>
      </c>
      <c r="AR11578" s="1" t="str">
        <f t="shared" si="724"/>
        <v>| [ㄙㄨㄟˋ](ㄙㄨㄟˋ.md) | [隧](隧.md) |  | suì | [名]
1.墓道。《玉篇．阜部》：「隧，墓道也。」唐．范傳正〈贈左拾遺翰林學士李公新墓碑〉：「猗歟琢石為二碑，一藏幽隧一臨歧。」
2.地下通道。《左傳．隱公元年》：「大隧之中，其樂也融融。」
3.通路、要道。《左傳．襄公二十五年》：「初，陳侯會楚子伐鄭，當陳隧者井堙木刊。」《禮記．曲禮上》：「升降不由阼階，出入不當門隧。」
4.古代邊塞上守烽火的亭子。通「燧」。《文選．班彪．北征賦》：「登鄣隧而遙望兮，聊須更以婆娑。」三國魏．王粲〈七哀〉詩三首之三：「登城望亭隧，翩翩飛戍旗。」
[動]
挖掘地道。《新唐書．卷一三六．李光弼傳》：「思明宴城下，倡優居臺上靳指天子，光弼遣人隧地禽取之。」 |</v>
      </c>
    </row>
    <row r="11579" spans="1:44" hidden="1">
      <c r="A11579" s="1" t="s">
        <v>24006</v>
      </c>
      <c r="C11579" s="1">
        <v>1</v>
      </c>
      <c r="D11579" s="1" t="str">
        <f>"10160"</f>
        <v>10160</v>
      </c>
      <c r="E11579" s="1" t="s">
        <v>336</v>
      </c>
      <c r="F11579" s="1">
        <v>17</v>
      </c>
      <c r="G11579" s="1">
        <v>13</v>
      </c>
      <c r="H11579" s="1">
        <v>0</v>
      </c>
      <c r="I11579" s="1" t="s">
        <v>23997</v>
      </c>
      <c r="K11579" s="1" t="str">
        <f t="shared" si="723"/>
        <v>ㄙ</v>
      </c>
      <c r="L11579" s="1" t="str">
        <f t="shared" si="728"/>
        <v>ㄨ</v>
      </c>
      <c r="M11579" s="1" t="str">
        <f t="shared" si="727"/>
        <v>ㄟ</v>
      </c>
      <c r="P11579" s="1" t="s">
        <v>20</v>
      </c>
      <c r="R11579" s="1" t="s">
        <v>23998</v>
      </c>
      <c r="V11579" s="1" t="s">
        <v>24007</v>
      </c>
      <c r="AR11579" s="1" t="str">
        <f t="shared" si="724"/>
        <v>| [ㄙㄨㄟˋ](ㄙㄨㄟˋ.md) | [燧](燧.md) |  | suì | [名]
1.古代用以取火的器具。如：「木燧」。《韓非子．五蠹》：「有聖人作，鑽燧取火，以化腥臊。」
2.古代邊防舉煙警示的訊號。《墨子．號令》：「比至城者三表，與城上烽燧相望。」 |</v>
      </c>
    </row>
    <row r="11580" spans="1:44" hidden="1">
      <c r="A11580" s="1" t="s">
        <v>24008</v>
      </c>
      <c r="C11580" s="1">
        <v>1</v>
      </c>
      <c r="D11580" s="1" t="str">
        <f>"10161"</f>
        <v>10161</v>
      </c>
      <c r="E11580" s="1" t="s">
        <v>142</v>
      </c>
      <c r="F11580" s="1">
        <v>17</v>
      </c>
      <c r="G11580" s="1">
        <v>13</v>
      </c>
      <c r="H11580" s="1">
        <v>0</v>
      </c>
      <c r="I11580" s="1" t="s">
        <v>23997</v>
      </c>
      <c r="K11580" s="1" t="str">
        <f t="shared" si="723"/>
        <v>ㄙ</v>
      </c>
      <c r="L11580" s="1" t="str">
        <f t="shared" si="728"/>
        <v>ㄨ</v>
      </c>
      <c r="M11580" s="1" t="str">
        <f t="shared" si="727"/>
        <v>ㄟ</v>
      </c>
      <c r="P11580" s="1" t="s">
        <v>20</v>
      </c>
      <c r="R11580" s="1" t="s">
        <v>23998</v>
      </c>
      <c r="V11580" s="1" t="s">
        <v>24009</v>
      </c>
      <c r="AR11580" s="1" t="str">
        <f t="shared" si="724"/>
        <v>| [ㄙㄨㄟˋ](ㄙㄨㄟˋ.md) | [璲](璲.md) |  | suì | [名]
一種瑞玉。《詩經．小雅．大東》：「鞙鞙佩璲，不以其長。」漢．毛亨．傳：「璲，瑞也。」漢．鄭玄．箋：「佩璲者，以瑞玉為佩。」 |</v>
      </c>
    </row>
    <row r="11581" spans="1:44" hidden="1">
      <c r="A11581" s="1" t="s">
        <v>24010</v>
      </c>
      <c r="C11581" s="1">
        <v>1</v>
      </c>
      <c r="D11581" s="1" t="str">
        <f>"10162"</f>
        <v>10162</v>
      </c>
      <c r="E11581" s="1" t="s">
        <v>139</v>
      </c>
      <c r="F11581" s="1">
        <v>17</v>
      </c>
      <c r="G11581" s="1">
        <v>13</v>
      </c>
      <c r="H11581" s="1">
        <v>0</v>
      </c>
      <c r="I11581" s="1" t="s">
        <v>23997</v>
      </c>
      <c r="K11581" s="1" t="str">
        <f t="shared" si="723"/>
        <v>ㄙ</v>
      </c>
      <c r="L11581" s="1" t="str">
        <f t="shared" si="728"/>
        <v>ㄨ</v>
      </c>
      <c r="M11581" s="1" t="str">
        <f t="shared" si="727"/>
        <v>ㄟ</v>
      </c>
      <c r="P11581" s="1" t="s">
        <v>20</v>
      </c>
      <c r="R11581" s="1" t="s">
        <v>23998</v>
      </c>
      <c r="V11581" s="1" t="s">
        <v>24011</v>
      </c>
      <c r="AR11581" s="1" t="str">
        <f t="shared" si="724"/>
        <v>| [ㄙㄨㄟˋ](ㄙㄨㄟˋ.md) | [檖](檖.md) |  | suì | [名]
植物名。薔薇科梨屬，落葉喬木。葉廣卵形至卵形，鋸齒緣，光滑無毛。繖形或近總狀花序具六至二十朵花，花瓣白色。梨果近球形，徑九至十毫米。《爾雅．釋木》：「檖，蘿。」晉．郭璞．注：「檖，今楊檖也。實似梨而小，酢可食。」也稱為「豆梨」、「鹿梨」、「陽檖」。 |</v>
      </c>
    </row>
    <row r="11582" spans="1:44" hidden="1">
      <c r="A11582" s="1" t="s">
        <v>24012</v>
      </c>
      <c r="C11582" s="1">
        <v>1</v>
      </c>
      <c r="D11582" s="1" t="str">
        <f>"10163"</f>
        <v>10163</v>
      </c>
      <c r="E11582" s="1" t="s">
        <v>558</v>
      </c>
      <c r="F11582" s="1">
        <v>18</v>
      </c>
      <c r="G11582" s="1">
        <v>14</v>
      </c>
      <c r="H11582" s="1">
        <v>0</v>
      </c>
      <c r="I11582" s="1" t="s">
        <v>23997</v>
      </c>
      <c r="K11582" s="1" t="str">
        <f t="shared" si="723"/>
        <v>ㄙ</v>
      </c>
      <c r="L11582" s="1" t="str">
        <f t="shared" si="728"/>
        <v>ㄨ</v>
      </c>
      <c r="M11582" s="1" t="str">
        <f t="shared" si="727"/>
        <v>ㄟ</v>
      </c>
      <c r="P11582" s="1" t="s">
        <v>20</v>
      </c>
      <c r="R11582" s="1" t="s">
        <v>23998</v>
      </c>
      <c r="V11582" s="1" t="s">
        <v>24013</v>
      </c>
      <c r="AR11582" s="1" t="str">
        <f t="shared" si="724"/>
        <v>| [ㄙㄨㄟˋ](ㄙㄨㄟˋ.md) | [邃](邃.md) |  | suì | [形]
深遠。如：「深邃」。唐．柳宗元〈至小邱西小石潭記〉：「坐潭上，四面竹樹環合，寂寥無人，淒神寒骨，悄愴幽邃。」
[動]
精通。《漢書．卷四二．任敖傳》：「蒼凡好書，無所不觀，無所不通，而尤邃律曆。」 |</v>
      </c>
    </row>
    <row r="11583" spans="1:44" hidden="1">
      <c r="A11583" s="1" t="s">
        <v>24014</v>
      </c>
      <c r="C11583" s="1">
        <v>1</v>
      </c>
      <c r="D11583" s="1" t="str">
        <f>"10164"</f>
        <v>10164</v>
      </c>
      <c r="E11583" s="1" t="s">
        <v>429</v>
      </c>
      <c r="F11583" s="1">
        <v>18</v>
      </c>
      <c r="G11583" s="1">
        <v>13</v>
      </c>
      <c r="H11583" s="1">
        <v>0</v>
      </c>
      <c r="I11583" s="1" t="s">
        <v>23997</v>
      </c>
      <c r="K11583" s="1" t="str">
        <f t="shared" si="723"/>
        <v>ㄙ</v>
      </c>
      <c r="L11583" s="1" t="str">
        <f t="shared" si="728"/>
        <v>ㄨ</v>
      </c>
      <c r="M11583" s="1" t="str">
        <f t="shared" si="727"/>
        <v>ㄟ</v>
      </c>
      <c r="P11583" s="1" t="s">
        <v>20</v>
      </c>
      <c r="R11583" s="1" t="s">
        <v>23998</v>
      </c>
      <c r="V11583" s="1" t="s">
        <v>24015</v>
      </c>
      <c r="AR11583" s="1" t="str">
        <f t="shared" si="724"/>
        <v>| [ㄙㄨㄟˋ](ㄙㄨㄟˋ.md) | [穟](穟.md) |  | suì | [名]
植物成串聚生的花或果實。通「穗」。唐．段成式〈折楊柳〉詩七首之七：「黃金穟短人多折，已恨東風不展眉。」宋．蘇軾〈又次前韻贈賈耘老〉詩：「白花半落紫穟香，攘臂欲助磨鎌鎩。」
[形]
禾實生長茂盛美好的樣子。《詩經．大雅．生民》：「禾役穟穟。」 |</v>
      </c>
    </row>
    <row r="11584" spans="1:44" hidden="1">
      <c r="A11584" s="1" t="s">
        <v>24016</v>
      </c>
      <c r="C11584" s="1">
        <v>1</v>
      </c>
      <c r="D11584" s="1" t="str">
        <f>"10165"</f>
        <v>10165</v>
      </c>
      <c r="E11584" s="1" t="s">
        <v>800</v>
      </c>
      <c r="F11584" s="1">
        <v>19</v>
      </c>
      <c r="G11584" s="1">
        <v>15</v>
      </c>
      <c r="H11584" s="1">
        <v>0</v>
      </c>
      <c r="I11584" s="1" t="s">
        <v>23997</v>
      </c>
      <c r="K11584" s="1" t="str">
        <f t="shared" ref="K11584:K11651" si="729">LEFT(I11584, 1)</f>
        <v>ㄙ</v>
      </c>
      <c r="L11584" s="1" t="str">
        <f t="shared" si="728"/>
        <v>ㄨ</v>
      </c>
      <c r="M11584" s="1" t="str">
        <f t="shared" si="727"/>
        <v>ㄟ</v>
      </c>
      <c r="P11584" s="1" t="s">
        <v>20</v>
      </c>
      <c r="R11584" s="1" t="s">
        <v>23998</v>
      </c>
      <c r="V11584" s="1" t="s">
        <v>24017</v>
      </c>
      <c r="AR11584" s="1" t="str">
        <f t="shared" si="724"/>
        <v>| [ㄙㄨㄟˋ](ㄙㄨㄟˋ.md) | [旞](旞.md) |  | suì | [名]
繫在旌旗上的五彩羽毛。《說文解字．㫃部》：「旞，導車所載，全羽以為允。允，進也。」 |</v>
      </c>
    </row>
    <row r="11585" spans="1:44" hidden="1">
      <c r="A11585" s="1" t="s">
        <v>24018</v>
      </c>
      <c r="C11585" s="1">
        <v>1</v>
      </c>
      <c r="D11585" s="1" t="str">
        <f>"10166"</f>
        <v>10166</v>
      </c>
      <c r="E11585" s="1" t="s">
        <v>340</v>
      </c>
      <c r="F11585" s="1">
        <v>19</v>
      </c>
      <c r="G11585" s="1">
        <v>13</v>
      </c>
      <c r="H11585" s="1">
        <v>0</v>
      </c>
      <c r="I11585" s="1" t="s">
        <v>23997</v>
      </c>
      <c r="K11585" s="1" t="str">
        <f t="shared" si="729"/>
        <v>ㄙ</v>
      </c>
      <c r="L11585" s="1" t="str">
        <f t="shared" si="728"/>
        <v>ㄨ</v>
      </c>
      <c r="M11585" s="1" t="str">
        <f t="shared" si="727"/>
        <v>ㄟ</v>
      </c>
      <c r="P11585" s="1" t="s">
        <v>20</v>
      </c>
      <c r="R11585" s="1" t="s">
        <v>23998</v>
      </c>
      <c r="V11585" s="1" t="s">
        <v>24019</v>
      </c>
      <c r="AR11585" s="1" t="str">
        <f t="shared" si="724"/>
        <v>| [ㄙㄨㄟˋ](ㄙㄨㄟˋ.md) | [襚](襚.md) |  | suì | [名]
1.送給死人穿的衣服。《史記．卷八三．魯仲連鄒陽傳》：「鄒、魯之臣，生則不得事養，死則不得賻襚。」唐．張守節．正義：「衣服曰襚，貨財曰賻，皆助生送死之禮。」
2.贈活人的衣物。《西京雜記》卷一：「今日嘉辰，貴姊懋膺洪冊，謹上襚三十五條，以陳踊躍之心。」 |</v>
      </c>
    </row>
    <row r="11586" spans="1:44" hidden="1">
      <c r="A11586" s="1" t="s">
        <v>24020</v>
      </c>
      <c r="C11586" s="1">
        <v>1</v>
      </c>
      <c r="D11586" s="1" t="str">
        <f>"10167"</f>
        <v>10167</v>
      </c>
      <c r="E11586" s="1" t="s">
        <v>725</v>
      </c>
      <c r="F11586" s="1">
        <v>19</v>
      </c>
      <c r="G11586" s="1">
        <v>13</v>
      </c>
      <c r="H11586" s="1">
        <v>0</v>
      </c>
      <c r="I11586" s="1" t="s">
        <v>23997</v>
      </c>
      <c r="K11586" s="1" t="str">
        <f t="shared" si="729"/>
        <v>ㄙ</v>
      </c>
      <c r="L11586" s="1" t="str">
        <f t="shared" si="728"/>
        <v>ㄨ</v>
      </c>
      <c r="M11586" s="1" t="str">
        <f t="shared" si="727"/>
        <v>ㄟ</v>
      </c>
      <c r="P11586" s="1" t="s">
        <v>20</v>
      </c>
      <c r="R11586" s="1" t="s">
        <v>23998</v>
      </c>
      <c r="V11586" s="1" t="s">
        <v>24021</v>
      </c>
      <c r="AR11586" s="1" t="str">
        <f t="shared" si="724"/>
        <v>| [ㄙㄨㄟˋ](ㄙㄨㄟˋ.md) | [繸](繸.md) |  | suì | [名]
用來繫佩玉的絲帶。即綬。《爾雅．釋器》：「繸，綬也。」晉．郭璞．注：「即佩玉之組，所以連繫瑞玉者。」 |</v>
      </c>
    </row>
    <row r="11587" spans="1:44" hidden="1">
      <c r="A11587" s="1" t="s">
        <v>24022</v>
      </c>
      <c r="C11587" s="1">
        <v>1</v>
      </c>
      <c r="D11587" s="1" t="str">
        <f>"10168"</f>
        <v>10168</v>
      </c>
      <c r="E11587" s="1" t="s">
        <v>169</v>
      </c>
      <c r="F11587" s="1">
        <v>13</v>
      </c>
      <c r="G11587" s="1">
        <v>8</v>
      </c>
      <c r="H11587" s="1">
        <v>0</v>
      </c>
      <c r="I11587" s="1" t="s">
        <v>23997</v>
      </c>
      <c r="K11587" s="1" t="str">
        <f t="shared" si="729"/>
        <v>ㄙ</v>
      </c>
      <c r="L11587" s="1" t="str">
        <f t="shared" si="728"/>
        <v>ㄨ</v>
      </c>
      <c r="M11587" s="1" t="str">
        <f t="shared" si="727"/>
        <v>ㄟ</v>
      </c>
      <c r="P11587" s="1" t="s">
        <v>20</v>
      </c>
      <c r="R11587" s="1" t="s">
        <v>23998</v>
      </c>
      <c r="V11587" s="1" t="s">
        <v>24023</v>
      </c>
      <c r="AR11587" s="1" t="str">
        <f t="shared" ref="AR11587:AR11650" si="730">"| ["&amp;I11587&amp;"]("&amp;I11587&amp;".md) | ["&amp;A11587&amp;"]("&amp;A11587&amp;".md) | "&amp;" | "&amp;R11587&amp;" | "&amp;V11587&amp;" |"</f>
        <v>| [ㄙㄨㄟˋ](ㄙㄨㄟˋ.md) | [碎](碎.md) |  | suì | [動]_x000D_
破裂。如：「破碎」、「粉碎」。《史記．卷八一．廉頗藺相如列傳》：「大王必欲急臣，臣頭今與璧俱碎於柱矣。」《西遊記》第一〇回：「不容分說，就把他招牌、筆、硯等一齊捽碎。」_x000D_
[形]_x000D_
1.細小、不完整的。如：「碎布」、「碎石」。《漢書．卷三〇．藝文志》：「後世經傳既已乖離，博學者又不思多聞闕疑之義，而務碎義逃難，便辭巧說，破壞形體。」《水滸傳》第三回：「只自收拾了些少碎銀兩，打拴一個包裹。」_x000D_
2.瑣細、煩雜。如：「瑣碎」。《晉書．卷四五．列傳．劉毅》：「尚書以毅懸車致仕，不宜勞以碎務。」南朝梁．劉勰《文心雕龍．序志》：「應論華而疏略，陸賦巧而碎亂。」_x000D_
3.言語叨絮、囉嗦。如：「閒言碎語」。《紅樓夢》第六二回：「二則姨媽老人家嘴碎饒這麼樣，我還聽見常說你們不知過日子。」 |</v>
      </c>
    </row>
    <row r="11588" spans="1:44" hidden="1">
      <c r="A11588" s="1" t="s">
        <v>24024</v>
      </c>
      <c r="C11588" s="1">
        <v>1</v>
      </c>
      <c r="D11588" s="1" t="str">
        <f>"10169"</f>
        <v>10169</v>
      </c>
      <c r="E11588" s="1" t="s">
        <v>1015</v>
      </c>
      <c r="F11588" s="1">
        <v>13</v>
      </c>
      <c r="G11588" s="1">
        <v>8</v>
      </c>
      <c r="H11588" s="1">
        <v>0</v>
      </c>
      <c r="I11588" s="1" t="s">
        <v>23997</v>
      </c>
      <c r="K11588" s="1" t="str">
        <f t="shared" si="729"/>
        <v>ㄙ</v>
      </c>
      <c r="L11588" s="1" t="str">
        <f t="shared" si="728"/>
        <v>ㄨ</v>
      </c>
      <c r="M11588" s="1" t="str">
        <f t="shared" si="727"/>
        <v>ㄟ</v>
      </c>
      <c r="P11588" s="1" t="s">
        <v>20</v>
      </c>
      <c r="R11588" s="1" t="s">
        <v>23998</v>
      </c>
      <c r="V11588" s="1" t="s">
        <v>24025</v>
      </c>
      <c r="AR11588" s="1" t="str">
        <f t="shared" si="730"/>
        <v>| [ㄙㄨㄟˋ](ㄙㄨㄟˋ.md) | [睟](睟.md) |  | suì | [形]
1.眼光清明的樣子。明．張自烈《正字通．目部》：「睟，目清明也。」
2.潤澤的樣子。唐．元稹《鶯鶯傳》：「常服睟容，不加新飾。」
3.顏色純一的樣子。漢．揚雄《法言．君子》：「牛玄騂白睟而角，其升諸廟乎。」唐．李德裕〈唐武宗皇帝真容贊〉：「至於天光睟清，日華明潤，非可圖也。」 |</v>
      </c>
    </row>
    <row r="11589" spans="1:44" hidden="1">
      <c r="A11589" s="1" t="s">
        <v>24026</v>
      </c>
      <c r="C11589" s="1">
        <v>1</v>
      </c>
      <c r="D11589" s="1" t="str">
        <f>"10170"</f>
        <v>10170</v>
      </c>
      <c r="E11589" s="1" t="s">
        <v>331</v>
      </c>
      <c r="F11589" s="1">
        <v>15</v>
      </c>
      <c r="G11589" s="1">
        <v>8</v>
      </c>
      <c r="H11589" s="1">
        <v>0</v>
      </c>
      <c r="I11589" s="1" t="s">
        <v>23997</v>
      </c>
      <c r="K11589" s="1" t="str">
        <f t="shared" si="729"/>
        <v>ㄙ</v>
      </c>
      <c r="L11589" s="1" t="str">
        <f t="shared" si="728"/>
        <v>ㄨ</v>
      </c>
      <c r="M11589" s="1" t="str">
        <f t="shared" si="727"/>
        <v>ㄟ</v>
      </c>
      <c r="P11589" s="1" t="s">
        <v>20</v>
      </c>
      <c r="R11589" s="1" t="s">
        <v>23998</v>
      </c>
      <c r="V11589" s="1" t="s">
        <v>24027</v>
      </c>
      <c r="AR11589" s="1" t="str">
        <f t="shared" si="730"/>
        <v>| [ㄙㄨㄟˋ](ㄙㄨㄟˋ.md) | [誶](誶.md) |  | suì | [動]
1.責罵、斥責。《聊齋志異．卷七．細柳》：「一日，生赴鄰村飲酒，適有追逋賦者，打門而誶。」
2.詰問。《莊子．山木》：「捐彈而反走，虞人逐而誶之。」
3.告知。《漢書．卷一〇〇．敘傳上》：「既誶爾以吉象兮，又申之以炯戒。」《後漢書．卷五九．張衡傳》：「慎灶顯於言天兮，占水火而妄誶。」
4.進諫、規勸。《楚辭．屈原．離騷》：「余雖好脩姱以鞿覊兮，謇朝誶而夕替。」 |</v>
      </c>
    </row>
    <row r="11590" spans="1:44" hidden="1">
      <c r="A11590" s="1" t="s">
        <v>24028</v>
      </c>
      <c r="C11590" s="1">
        <v>1</v>
      </c>
      <c r="D11590" s="1" t="str">
        <f>"10171"</f>
        <v>10171</v>
      </c>
      <c r="E11590" s="1" t="s">
        <v>1495</v>
      </c>
      <c r="F11590" s="1">
        <v>13</v>
      </c>
      <c r="G11590" s="1">
        <v>9</v>
      </c>
      <c r="H11590" s="1">
        <v>0</v>
      </c>
      <c r="I11590" s="1" t="s">
        <v>23997</v>
      </c>
      <c r="K11590" s="1" t="str">
        <f t="shared" si="729"/>
        <v>ㄙ</v>
      </c>
      <c r="L11590" s="1" t="str">
        <f t="shared" si="728"/>
        <v>ㄨ</v>
      </c>
      <c r="M11590" s="1" t="str">
        <f t="shared" si="727"/>
        <v>ㄟ</v>
      </c>
      <c r="P11590" s="1" t="s">
        <v>20</v>
      </c>
      <c r="R11590" s="1" t="s">
        <v>23998</v>
      </c>
      <c r="V11590" s="1" t="s">
        <v>24029</v>
      </c>
      <c r="AR11590" s="1" t="str">
        <f t="shared" si="730"/>
        <v>| [ㄙㄨㄟˋ](ㄙㄨㄟˋ.md) | [歲](歲.md) |  | suì | [名]
1.年。如：「舊歲」、「歲歲平安」。《書經．堯典》：「期，三百有六旬有六日，以閏月定四時，成歲。」《漢書．卷七〇．陳湯傳》：「發民作城，日作五百人，二歲乃已。」
2.時光。如：「歲月」。《論語．陽貨》：「日月逝矣，歲不我與。」《楚辭．宋玉．九辯》：「歲忽忽而遒盡兮，恐余壽之弗將。」
3.年齡。如：「周歲」、「足歲」。《晉書．卷六六．劉弘傳》：「侃與敏同郡，又同歲舉吏。」《北史．卷七〇．柳遐傳》：「遐幼而爽邁，神彩嶷然，髫歲便有成人之量。」
4.一年的穀物收成。《左傳．哀公十六年》：「國人望君，如望歲焉。」《漢書．卷五八．卜式傳》：「往年西河歲惡，率齊人入粟。」
5.量詞：(1)計算時間的單位。一歲等於一年。如：「數歲之間」。(2)計算年齡的單位。如：「孔子活了七十三歲。」 |</v>
      </c>
    </row>
    <row r="11591" spans="1:44" hidden="1">
      <c r="A11591" s="1" t="s">
        <v>24030</v>
      </c>
      <c r="C11591" s="1">
        <v>1</v>
      </c>
      <c r="D11591" s="1" t="str">
        <f>"10172"</f>
        <v>10172</v>
      </c>
      <c r="E11591" s="1" t="s">
        <v>429</v>
      </c>
      <c r="F11591" s="1">
        <v>17</v>
      </c>
      <c r="G11591" s="1">
        <v>12</v>
      </c>
      <c r="H11591" s="1">
        <v>0</v>
      </c>
      <c r="I11591" s="1" t="s">
        <v>23997</v>
      </c>
      <c r="K11591" s="1" t="str">
        <f t="shared" si="729"/>
        <v>ㄙ</v>
      </c>
      <c r="L11591" s="1" t="str">
        <f t="shared" si="728"/>
        <v>ㄨ</v>
      </c>
      <c r="M11591" s="1" t="str">
        <f t="shared" si="727"/>
        <v>ㄟ</v>
      </c>
      <c r="P11591" s="1" t="s">
        <v>20</v>
      </c>
      <c r="R11591" s="1" t="s">
        <v>23998</v>
      </c>
      <c r="V11591" s="1" t="s">
        <v>24031</v>
      </c>
      <c r="AR11591" s="1" t="str">
        <f t="shared" si="730"/>
        <v>| [ㄙㄨㄟˋ](ㄙㄨㄟˋ.md) | [穗](穗.md) |  | suì | [名]
1.植物莖端成串聚生的小花或果實。如：「稻穗」。《詩經．王風．黍離》：「彼黍離離，彼稷之穗。」唐．白居易〈新樂府．杜陵叟〉：「九月降霜秋早寒，禾穗未熟皆青乾。」
2.燭花、燈花。唐．韓偓〈懶卸頭〉詩：「時復見殘燈，和煙墜金穗。」宋．范成大〈晚步宣華舊苑〉詩：「歸來更了程書債，目眚昏花燭穗垂。」
3.用絲線或布條等結紮而成的穗狀裝飾物。如：「帽穗」。
4.廣州市的別稱。 |</v>
      </c>
    </row>
    <row r="11592" spans="1:44" hidden="1">
      <c r="A11592" s="1" t="s">
        <v>24032</v>
      </c>
      <c r="C11592" s="1">
        <v>1</v>
      </c>
      <c r="D11592" s="1" t="str">
        <f>"10173"</f>
        <v>10173</v>
      </c>
      <c r="E11592" s="1" t="s">
        <v>725</v>
      </c>
      <c r="F11592" s="1">
        <v>18</v>
      </c>
      <c r="G11592" s="1">
        <v>12</v>
      </c>
      <c r="H11592" s="1">
        <v>0</v>
      </c>
      <c r="I11592" s="1" t="s">
        <v>23997</v>
      </c>
      <c r="K11592" s="1" t="str">
        <f t="shared" si="729"/>
        <v>ㄙ</v>
      </c>
      <c r="L11592" s="1" t="str">
        <f t="shared" si="728"/>
        <v>ㄨ</v>
      </c>
      <c r="M11592" s="1" t="str">
        <f t="shared" si="727"/>
        <v>ㄟ</v>
      </c>
      <c r="P11592" s="1" t="s">
        <v>20</v>
      </c>
      <c r="R11592" s="1" t="s">
        <v>23998</v>
      </c>
      <c r="V11592" s="1" t="s">
        <v>24033</v>
      </c>
      <c r="AR11592" s="1" t="str">
        <f t="shared" si="730"/>
        <v>| [ㄙㄨㄟˋ](ㄙㄨㄟˋ.md) | [繐](繐.md) |  | suì | [名]
1.細而疏的麻布。《說文解字．糸部》：「繐，細疏布。」《儀禮．喪服》：「繐衰者何，以小功之繐也。」《文選．劉孝標．廣絕交論》：「歸骸洛浦，繐帳猶懸。」
2.用絲線或布條等結紮而成的穗狀裝飾品。同「穗」。《二十年目睹之怪現狀》第五六回：「（夏作人）匆忙之間，又沒有辮繐子，將就用一根黑頭繩打了結，換上衣冠，出來相見。」 |</v>
      </c>
    </row>
    <row r="11593" spans="1:44" hidden="1">
      <c r="A11593" s="1" t="s">
        <v>24034</v>
      </c>
      <c r="C11593" s="1">
        <v>1</v>
      </c>
      <c r="D11593" s="1" t="str">
        <f>"10174"</f>
        <v>10174</v>
      </c>
      <c r="E11593" s="1" t="s">
        <v>198</v>
      </c>
      <c r="F11593" s="1">
        <v>10</v>
      </c>
      <c r="G11593" s="1">
        <v>7</v>
      </c>
      <c r="H11593" s="1">
        <v>0</v>
      </c>
      <c r="I11593" s="1" t="s">
        <v>24035</v>
      </c>
      <c r="K11593" s="1" t="str">
        <f t="shared" si="729"/>
        <v>ㄙ</v>
      </c>
      <c r="L11593" s="1" t="str">
        <f t="shared" si="728"/>
        <v>ㄨ</v>
      </c>
      <c r="M11593" s="1" t="str">
        <f t="shared" si="727"/>
        <v>ㄢ</v>
      </c>
      <c r="P11593" s="1" t="s">
        <v>20</v>
      </c>
      <c r="R11593" s="1" t="s">
        <v>24036</v>
      </c>
      <c r="V11593" s="1" t="s">
        <v>7361</v>
      </c>
      <c r="AR11593" s="1" t="str">
        <f t="shared" si="730"/>
        <v>| [ㄙㄨㄢ](ㄙㄨㄢ.md) | [狻](狻.md) |  | suān | 參見「狻猊」條。 |</v>
      </c>
    </row>
    <row r="11594" spans="1:44" hidden="1">
      <c r="A11594" s="1" t="s">
        <v>24037</v>
      </c>
      <c r="C11594" s="1">
        <v>1</v>
      </c>
      <c r="D11594" s="1" t="str">
        <f>"10175"</f>
        <v>10175</v>
      </c>
      <c r="E11594" s="1" t="s">
        <v>40</v>
      </c>
      <c r="F11594" s="1">
        <v>12</v>
      </c>
      <c r="G11594" s="1">
        <v>7</v>
      </c>
      <c r="H11594" s="1">
        <v>0</v>
      </c>
      <c r="I11594" s="1" t="s">
        <v>24035</v>
      </c>
      <c r="K11594" s="1" t="str">
        <f t="shared" si="729"/>
        <v>ㄙ</v>
      </c>
      <c r="L11594" s="1" t="str">
        <f t="shared" si="728"/>
        <v>ㄨ</v>
      </c>
      <c r="M11594" s="1" t="str">
        <f t="shared" si="727"/>
        <v>ㄢ</v>
      </c>
      <c r="P11594" s="1" t="s">
        <v>20</v>
      </c>
      <c r="R11594" s="1" t="s">
        <v>24036</v>
      </c>
      <c r="V11594" s="1" t="s">
        <v>24038</v>
      </c>
      <c r="AR11594" s="1" t="str">
        <f t="shared" si="730"/>
        <v>| [ㄙㄨㄢ](ㄙㄨㄢ.md) | [痠](痠.md) |  | suān | [形]
酸痛、微痛無力。如：「腰痠」、「腿痠」。 |</v>
      </c>
    </row>
    <row r="11595" spans="1:44" hidden="1">
      <c r="A11595" s="1" t="s">
        <v>24039</v>
      </c>
      <c r="C11595" s="1">
        <v>1</v>
      </c>
      <c r="D11595" s="1" t="str">
        <f>"10176"</f>
        <v>10176</v>
      </c>
      <c r="E11595" s="1" t="s">
        <v>1462</v>
      </c>
      <c r="F11595" s="1">
        <v>14</v>
      </c>
      <c r="G11595" s="1">
        <v>7</v>
      </c>
      <c r="H11595" s="1">
        <v>0</v>
      </c>
      <c r="I11595" s="1" t="s">
        <v>24035</v>
      </c>
      <c r="K11595" s="1" t="str">
        <f t="shared" si="729"/>
        <v>ㄙ</v>
      </c>
      <c r="L11595" s="1" t="str">
        <f t="shared" si="728"/>
        <v>ㄨ</v>
      </c>
      <c r="M11595" s="1" t="str">
        <f t="shared" si="727"/>
        <v>ㄢ</v>
      </c>
      <c r="P11595" s="1" t="s">
        <v>20</v>
      </c>
      <c r="R11595" s="1" t="s">
        <v>24036</v>
      </c>
      <c r="V11595" s="1" t="s">
        <v>24040</v>
      </c>
      <c r="AR11595" s="1" t="str">
        <f t="shared" si="730"/>
        <v>| [ㄙㄨㄢ](ㄙㄨㄢ.md) | [酸](酸.md) |  | suān | [名]
1.像醋的味道或氣味。《荀子．榮辱》：「口辨酸、鹹、甘、苦。」唐．杜甫〈解悶〉詩一二首之一〇：「京中舊見君顏色，紅顆酸甜只自知。」
2.悲痛。《文選．江淹．恨賦》：「亦復含酸茹歎，銷落湮沉。」唐．韓愈〈賀冊尊號表〉：「銜酸抱痛，且恥且慚。」
3.化學上指在水溶液中進行電離時能產生氫離子的化合物。如：「硝酸」、「硫酸」、「鹽酸」。
[形]
1.水果或食品的味道酸澀。如：「酸梅」、「這青蘋果又酸又澀，實在難以下嚥。」
2.感覺微痛無力的。同「痠」。如：「腰酸背痛」。南朝梁．無名氏〈隴頭流水歌〉：「山高谷深，不覺腳酸。」
3.小氣、迂腐。如：「寒酸」、「窮酸」。
4.悲痛的。如：「心酸」、「辛酸」。
[動]
食物腐壞產生酸味。如：「牛奶已經酸了，不能喝。」 |</v>
      </c>
    </row>
    <row r="11596" spans="1:44" hidden="1">
      <c r="A11596" s="1" t="s">
        <v>24041</v>
      </c>
      <c r="C11596" s="1">
        <v>1</v>
      </c>
      <c r="D11596" s="1" t="str">
        <f>"10177"</f>
        <v>10177</v>
      </c>
      <c r="E11596" s="1" t="s">
        <v>3892</v>
      </c>
      <c r="F11596" s="1">
        <v>16</v>
      </c>
      <c r="G11596" s="1">
        <v>14</v>
      </c>
      <c r="H11596" s="1">
        <v>0</v>
      </c>
      <c r="I11596" s="1" t="s">
        <v>24042</v>
      </c>
      <c r="K11596" s="1" t="str">
        <f t="shared" si="729"/>
        <v>ㄙ</v>
      </c>
      <c r="L11596" s="1" t="str">
        <f t="shared" si="728"/>
        <v>ㄨ</v>
      </c>
      <c r="M11596" s="1" t="str">
        <f t="shared" si="727"/>
        <v>ㄢ</v>
      </c>
      <c r="P11596" s="1" t="s">
        <v>20</v>
      </c>
      <c r="R11596" s="1" t="s">
        <v>24043</v>
      </c>
      <c r="V11596" s="1" t="s">
        <v>24044</v>
      </c>
      <c r="AR11596" s="1" t="str">
        <f t="shared" si="730"/>
        <v>| [ㄙㄨㄢˇ](ㄙㄨㄢˇ.md) | [匴](匴.md) |  | suǎn | [名]
古代用來裝帽子的竹器。《廣韻．上聲．緩韻》：「匴，冠箱也。」《儀禮．士冠禮》：「爵弁、皮弁、緇布冠各一匴。」 |</v>
      </c>
    </row>
    <row r="11597" spans="1:44" hidden="1">
      <c r="A11597" s="1" t="s">
        <v>19165</v>
      </c>
      <c r="C11597" s="1">
        <v>1</v>
      </c>
      <c r="D11597" s="1" t="str">
        <f>"10178"</f>
        <v>10178</v>
      </c>
      <c r="E11597" s="1" t="s">
        <v>49</v>
      </c>
      <c r="F11597" s="1">
        <v>16</v>
      </c>
      <c r="G11597" s="1">
        <v>10</v>
      </c>
      <c r="H11597" s="1">
        <v>2</v>
      </c>
      <c r="I11597" s="1" t="s">
        <v>24042</v>
      </c>
      <c r="K11597" s="1" t="str">
        <f t="shared" si="729"/>
        <v>ㄙ</v>
      </c>
      <c r="L11597" s="1" t="str">
        <f t="shared" si="728"/>
        <v>ㄨ</v>
      </c>
      <c r="M11597" s="1" t="str">
        <f t="shared" si="727"/>
        <v>ㄢ</v>
      </c>
      <c r="P11597" s="1" t="s">
        <v>20</v>
      </c>
      <c r="R11597" s="1" t="s">
        <v>24043</v>
      </c>
      <c r="V11597" s="1" t="s">
        <v>24045</v>
      </c>
      <c r="W11597" s="1" t="s">
        <v>24046</v>
      </c>
      <c r="AR11597" s="1" t="str">
        <f t="shared" si="730"/>
        <v>| [ㄙㄨㄢˇ](ㄙㄨㄢˇ.md) | [篹](篹.md) |  | suǎn | [名]
古代用來裝盛食品的竹器。《禮記．明堂位》：「薦用玉豆雕篹。」 |</v>
      </c>
    </row>
    <row r="11598" spans="1:44" hidden="1">
      <c r="A11598" s="1" t="s">
        <v>24047</v>
      </c>
      <c r="C11598" s="1">
        <v>1</v>
      </c>
      <c r="D11598" s="1" t="str">
        <f>"10179"</f>
        <v>10179</v>
      </c>
      <c r="E11598" s="1" t="s">
        <v>49</v>
      </c>
      <c r="F11598" s="1">
        <v>13</v>
      </c>
      <c r="G11598" s="1">
        <v>7</v>
      </c>
      <c r="H11598" s="1">
        <v>0</v>
      </c>
      <c r="I11598" s="1" t="s">
        <v>24048</v>
      </c>
      <c r="K11598" s="1" t="str">
        <f t="shared" si="729"/>
        <v>ㄙ</v>
      </c>
      <c r="L11598" s="1" t="str">
        <f t="shared" si="728"/>
        <v>ㄨ</v>
      </c>
      <c r="M11598" s="1" t="str">
        <f t="shared" si="727"/>
        <v>ㄢ</v>
      </c>
      <c r="P11598" s="1" t="s">
        <v>20</v>
      </c>
      <c r="R11598" s="1" t="s">
        <v>24049</v>
      </c>
      <c r="V11598" s="1" t="s">
        <v>24050</v>
      </c>
      <c r="AR11598" s="1" t="str">
        <f t="shared" si="730"/>
        <v>| [ㄙㄨㄢˋ](ㄙㄨㄢˋ.md) | [筭](筭.md) |  | suàn | [名]
1.古代用來計數的器具。漢．王充《論衡．感虛》：「夫以箸撞鐘，以筭擊鼓，不能鳴者，所用撞擊之者小也。」南朝宋．劉義慶《世說新語．文學》：「如籌筭，雖無情，運之者有情。」
2.謀略。《文選．陸機．弔魏武帝文》：「長筭屈於短日，遠跡頓於促路。」
[動]
計數。同「算」。《文選．枚乘．七發》：「孔老覽觀，孟子持籌而筭之，萬不失一。」《後漢書．卷四八．翟酺傳》：「今自初政已來，日月未久，費用賞賜已不可筭。」 |</v>
      </c>
    </row>
    <row r="11599" spans="1:44" hidden="1">
      <c r="A11599" s="1" t="s">
        <v>24051</v>
      </c>
      <c r="C11599" s="1">
        <v>1</v>
      </c>
      <c r="D11599" s="1" t="str">
        <f>"10180"</f>
        <v>10180</v>
      </c>
      <c r="E11599" s="1" t="s">
        <v>37</v>
      </c>
      <c r="F11599" s="1">
        <v>14</v>
      </c>
      <c r="G11599" s="1">
        <v>10</v>
      </c>
      <c r="H11599" s="1">
        <v>0</v>
      </c>
      <c r="I11599" s="1" t="s">
        <v>24048</v>
      </c>
      <c r="K11599" s="1" t="str">
        <f t="shared" si="729"/>
        <v>ㄙ</v>
      </c>
      <c r="L11599" s="1" t="str">
        <f t="shared" si="728"/>
        <v>ㄨ</v>
      </c>
      <c r="M11599" s="1" t="str">
        <f t="shared" si="727"/>
        <v>ㄢ</v>
      </c>
      <c r="P11599" s="1" t="s">
        <v>20</v>
      </c>
      <c r="R11599" s="1" t="s">
        <v>24049</v>
      </c>
      <c r="V11599" s="1" t="s">
        <v>24052</v>
      </c>
      <c r="AR11599" s="1" t="str">
        <f t="shared" si="730"/>
        <v>| [ㄙㄨㄢˋ](ㄙㄨㄢˋ.md) | [蒜](蒜.md) |  | suàn | [名]_x000D_
植物名。多年生草本。「大蒜」之簡稱，參見「大蒜」條。 |</v>
      </c>
    </row>
    <row r="11600" spans="1:44" hidden="1">
      <c r="A11600" s="1" t="s">
        <v>24053</v>
      </c>
      <c r="C11600" s="1">
        <v>1</v>
      </c>
      <c r="D11600" s="1" t="str">
        <f>"10181"</f>
        <v>10181</v>
      </c>
      <c r="E11600" s="1" t="s">
        <v>49</v>
      </c>
      <c r="F11600" s="1">
        <v>14</v>
      </c>
      <c r="G11600" s="1">
        <v>8</v>
      </c>
      <c r="H11600" s="1">
        <v>0</v>
      </c>
      <c r="I11600" s="1" t="s">
        <v>24048</v>
      </c>
      <c r="K11600" s="1" t="str">
        <f t="shared" si="729"/>
        <v>ㄙ</v>
      </c>
      <c r="L11600" s="1" t="str">
        <f t="shared" si="728"/>
        <v>ㄨ</v>
      </c>
      <c r="M11600" s="1" t="str">
        <f t="shared" ref="M11600:M11631" si="731">MID(I11600, 3, 1)</f>
        <v>ㄢ</v>
      </c>
      <c r="P11600" s="1" t="s">
        <v>20</v>
      </c>
      <c r="R11600" s="1" t="s">
        <v>24049</v>
      </c>
      <c r="V11600" s="1" t="s">
        <v>24054</v>
      </c>
      <c r="AR11600" s="1" t="str">
        <f t="shared" si="730"/>
        <v>| [ㄙㄨㄢˋ](ㄙㄨㄢˋ.md) | [算](算.md) |  | suàn | [動]
1.核計數目。如：「核算」、「結算」、「心算」、「推算」。
2.謀劃、策劃。如：「盤算」、「失算」、「打算」。
3.屬於、當作。如：「這頓飯算我請客。」、「東西弄壞了，該算誰的？」
4.謀害。元．鄭廷玉《後庭花》第一折：「夫人教我所算了他，我可下不的手。」元．無名氏《硃砂擔》第三折：「有鐵旛竿白正圖了他財，又算他性命。」
5.當真、承認有效力。如：「說話算話」。《儒林外史》第六回：「這都由他麼？他算是個甚麼東西！」
6.推測、料想。如：「算命」、「我算準了他一定會來。」
7.作罷、不再計較。如：「算了，多說無益。」《兒女英雄傳》第九回：「十三妹想起他那兩隻手是方纔撒溺褲襠的，連忙攔他道：『你那兩隻手，算了罷。』」
[名]
1.數目。《新唐書．卷二一六．吐蕃傳上》：「其刑，雖小罪必抉目，或刖、劓，以皮為鞭抶之，從喜怒，無常算。」
2.計策、謀略。如：「勝算」、「神機妙算」。唐．盧綸〈皇帝感詞〉：「妙算干戈止，神謀宇宙清。」
3.古代用來計數的器具。同「筭」。《資治通鑑．卷二二八．唐紀四十四．德宗建中四年》：「吏執筆握算，入人室廬計其數。」
4.壽命。如：「添算一紀」。《三國志．卷六三．吳書．趙達傳》：「吾算訖盡某年月日，其終矣。」《醒世恆言．卷四．灌園叟晚逢仙女》：「張委損花害人，花神奏聞上帝，已奪其算。」
[副]
1.表姑且當作是的意思。如：「他竟然如此大逆不道，算我沒生這個兒子！」
2.表期盼後實現的意思。如：「經過一年的苦讀，他總算如願考上大學了。」
3.表肯定的意思。如：「你算是問對人了，他可是理財方面的專家。」 |</v>
      </c>
    </row>
    <row r="11601" spans="1:44" hidden="1">
      <c r="A11601" s="1" t="s">
        <v>17640</v>
      </c>
      <c r="C11601" s="1">
        <v>1</v>
      </c>
      <c r="D11601" s="1" t="str">
        <f>"10182"</f>
        <v>10182</v>
      </c>
      <c r="E11601" s="1" t="s">
        <v>241</v>
      </c>
      <c r="F11601" s="1">
        <v>10</v>
      </c>
      <c r="G11601" s="1">
        <v>7</v>
      </c>
      <c r="H11601" s="1">
        <v>1</v>
      </c>
      <c r="I11601" s="1" t="s">
        <v>24055</v>
      </c>
      <c r="K11601" s="1" t="str">
        <f t="shared" si="729"/>
        <v>ㄙ</v>
      </c>
      <c r="L11601" s="1" t="str">
        <f t="shared" ref="L11601:L11632" si="732">MID(I11601, 2, 1)</f>
        <v>ㄨ</v>
      </c>
      <c r="M11601" s="1" t="str">
        <f t="shared" si="731"/>
        <v>ㄣ</v>
      </c>
      <c r="P11601" s="1" t="s">
        <v>20</v>
      </c>
      <c r="R11601" s="1" t="s">
        <v>24056</v>
      </c>
      <c r="V11601" s="1" t="s">
        <v>24057</v>
      </c>
      <c r="W11601" s="1" t="s">
        <v>24058</v>
      </c>
      <c r="AR11601" s="1" t="str">
        <f t="shared" si="730"/>
        <v>| [ㄙㄨㄣ](ㄙㄨㄣ.md) | [孫](孫.md) |  | sūn | [名]
1.稱謂：(1)用以稱兒子的子女。如：「祖孫」。唐．杜甫〈石壕吏〉詩：「室中更無人，惟有乳下孫。」《紅樓夢》第二回：「只眼前現有二子一孫。」(2)用以稱同姓自孫子以下的後代。如：「曾孫」、「玄孫」。(3)用以稱與孫同輩的親族。如：「外孫」、「姪孫」、「姨孫」。
2.再生或孳生的植物。如：「稻孫」。宋．蘇軾〈擷菜〉詩：「秋來霜露滿東園，蘆菔生兒芥有孫。」
3.姓。如春秋時齊國有孫武。
[形]
小。參見「孫絡」條。 |</v>
      </c>
    </row>
    <row r="11602" spans="1:44" hidden="1">
      <c r="A11602" s="1" t="s">
        <v>24059</v>
      </c>
      <c r="C11602" s="1">
        <v>1</v>
      </c>
      <c r="D11602" s="1" t="str">
        <f>"10183"</f>
        <v>10183</v>
      </c>
      <c r="E11602" s="1" t="s">
        <v>24</v>
      </c>
      <c r="F11602" s="1">
        <v>13</v>
      </c>
      <c r="G11602" s="1">
        <v>10</v>
      </c>
      <c r="H11602" s="1">
        <v>0</v>
      </c>
      <c r="I11602" s="1" t="s">
        <v>24055</v>
      </c>
      <c r="K11602" s="1" t="str">
        <f t="shared" si="729"/>
        <v>ㄙ</v>
      </c>
      <c r="L11602" s="1" t="str">
        <f t="shared" si="732"/>
        <v>ㄨ</v>
      </c>
      <c r="M11602" s="1" t="str">
        <f t="shared" si="731"/>
        <v>ㄣ</v>
      </c>
      <c r="P11602" s="1" t="s">
        <v>20</v>
      </c>
      <c r="R11602" s="1" t="s">
        <v>24056</v>
      </c>
      <c r="V11602" s="1" t="s">
        <v>24060</v>
      </c>
      <c r="AR11602" s="1" t="str">
        <f t="shared" si="730"/>
        <v>| [ㄙㄨㄣ](ㄙㄨㄣ.md) | [搎](搎.md) |  | sūn | 參見「捫搎」條。 |</v>
      </c>
    </row>
    <row r="11603" spans="1:44" hidden="1">
      <c r="A11603" s="1" t="s">
        <v>24061</v>
      </c>
      <c r="C11603" s="1">
        <v>1</v>
      </c>
      <c r="D11603" s="1" t="str">
        <f>"10184"</f>
        <v>10184</v>
      </c>
      <c r="E11603" s="1" t="s">
        <v>198</v>
      </c>
      <c r="F11603" s="1">
        <v>13</v>
      </c>
      <c r="G11603" s="1">
        <v>10</v>
      </c>
      <c r="H11603" s="1">
        <v>0</v>
      </c>
      <c r="I11603" s="1" t="s">
        <v>24055</v>
      </c>
      <c r="K11603" s="1" t="str">
        <f t="shared" si="729"/>
        <v>ㄙ</v>
      </c>
      <c r="L11603" s="1" t="str">
        <f t="shared" si="732"/>
        <v>ㄨ</v>
      </c>
      <c r="M11603" s="1" t="str">
        <f t="shared" si="731"/>
        <v>ㄣ</v>
      </c>
      <c r="P11603" s="1" t="s">
        <v>20</v>
      </c>
      <c r="R11603" s="1" t="s">
        <v>24056</v>
      </c>
      <c r="V11603" s="1" t="s">
        <v>12062</v>
      </c>
      <c r="AR11603" s="1" t="str">
        <f t="shared" si="730"/>
        <v>| [ㄙㄨㄣ](ㄙㄨㄣ.md) | [猻](猻.md) |  | sūn | 參見「猢猻」條。 |</v>
      </c>
    </row>
    <row r="11604" spans="1:44" hidden="1">
      <c r="A11604" s="1" t="s">
        <v>24062</v>
      </c>
      <c r="C11604" s="1">
        <v>1</v>
      </c>
      <c r="D11604" s="1" t="str">
        <f>"10185"</f>
        <v>10185</v>
      </c>
      <c r="E11604" s="1" t="s">
        <v>37</v>
      </c>
      <c r="F11604" s="1">
        <v>14</v>
      </c>
      <c r="G11604" s="1">
        <v>10</v>
      </c>
      <c r="H11604" s="1">
        <v>0</v>
      </c>
      <c r="I11604" s="1" t="s">
        <v>24055</v>
      </c>
      <c r="K11604" s="1" t="str">
        <f t="shared" si="729"/>
        <v>ㄙ</v>
      </c>
      <c r="L11604" s="1" t="str">
        <f t="shared" si="732"/>
        <v>ㄨ</v>
      </c>
      <c r="M11604" s="1" t="str">
        <f t="shared" si="731"/>
        <v>ㄣ</v>
      </c>
      <c r="P11604" s="1" t="s">
        <v>20</v>
      </c>
      <c r="R11604" s="1" t="s">
        <v>24056</v>
      </c>
      <c r="V11604" s="1" t="s">
        <v>24063</v>
      </c>
      <c r="AR11604" s="1" t="str">
        <f t="shared" si="730"/>
        <v>| [ㄙㄨㄣ](ㄙㄨㄣ.md) | [蓀](蓀.md) |  | sūn | [名]
一種香草。《楚辭．屈原．九歌．湘君》：「薜荔柏兮蕙綢，蓀橈兮蘭旌。」漢．王逸．注：「蓀，香草也。」 |</v>
      </c>
    </row>
    <row r="11605" spans="1:44" hidden="1">
      <c r="A11605" s="1" t="s">
        <v>24064</v>
      </c>
      <c r="C11605" s="1">
        <v>1</v>
      </c>
      <c r="D11605" s="1" t="str">
        <f>"10186"</f>
        <v>10186</v>
      </c>
      <c r="E11605" s="1" t="s">
        <v>193</v>
      </c>
      <c r="F11605" s="1">
        <v>12</v>
      </c>
      <c r="G11605" s="1">
        <v>3</v>
      </c>
      <c r="H11605" s="1">
        <v>0</v>
      </c>
      <c r="I11605" s="1" t="s">
        <v>24055</v>
      </c>
      <c r="K11605" s="1" t="str">
        <f t="shared" si="729"/>
        <v>ㄙ</v>
      </c>
      <c r="L11605" s="1" t="str">
        <f t="shared" si="732"/>
        <v>ㄨ</v>
      </c>
      <c r="M11605" s="1" t="str">
        <f t="shared" si="731"/>
        <v>ㄣ</v>
      </c>
      <c r="P11605" s="1" t="s">
        <v>20</v>
      </c>
      <c r="R11605" s="1" t="s">
        <v>24056</v>
      </c>
      <c r="V11605" s="1" t="s">
        <v>24065</v>
      </c>
      <c r="AR11605" s="1" t="str">
        <f t="shared" si="730"/>
        <v>| [ㄙㄨㄣ](ㄙㄨㄣ.md) | [飧](飧.md) |  | sūn | [名]
1.晚飯。《孟子．滕文公上》：「賢者與民並耕而食，饔飧而治。」漢．趙岐．注：「朝曰饔，夕曰飧。」
2.煮熟的飯菜。如：「誰知盤中飧，粒粒皆辛苦。」
3.便飯。《儀禮．聘禮》：「宰夫朝服設飧。」漢．鄭玄．注：「食不備禮曰飧。」
[動]
以水泡飯。《禮記．玉藻》：「君未覆手，不敢飧。」唐．孔穎達．正義：「飧謂用飲澆飯於器中也。」 |</v>
      </c>
    </row>
    <row r="11606" spans="1:44" hidden="1">
      <c r="A11606" s="1" t="s">
        <v>24066</v>
      </c>
      <c r="C11606" s="1">
        <v>1</v>
      </c>
      <c r="D11606" s="1" t="str">
        <f>"10187"</f>
        <v>10187</v>
      </c>
      <c r="E11606" s="1" t="s">
        <v>37</v>
      </c>
      <c r="F11606" s="1">
        <v>17</v>
      </c>
      <c r="G11606" s="1">
        <v>13</v>
      </c>
      <c r="H11606" s="1">
        <v>0</v>
      </c>
      <c r="I11606" s="1" t="s">
        <v>24055</v>
      </c>
      <c r="K11606" s="1" t="str">
        <f t="shared" si="729"/>
        <v>ㄙ</v>
      </c>
      <c r="L11606" s="1" t="str">
        <f t="shared" si="732"/>
        <v>ㄨ</v>
      </c>
      <c r="M11606" s="1" t="str">
        <f t="shared" si="731"/>
        <v>ㄣ</v>
      </c>
      <c r="P11606" s="1" t="s">
        <v>20</v>
      </c>
      <c r="R11606" s="1" t="s">
        <v>24056</v>
      </c>
      <c r="V11606" s="1" t="s">
        <v>24067</v>
      </c>
      <c r="AR11606" s="1" t="str">
        <f t="shared" si="730"/>
        <v>| [ㄙㄨㄣ](ㄙㄨㄣ.md) | [薞](薞.md) |  | sūn | 參見「薞蕪」條。 |</v>
      </c>
    </row>
    <row r="11607" spans="1:44" hidden="1">
      <c r="A11607" s="1" t="s">
        <v>24068</v>
      </c>
      <c r="C11607" s="1">
        <v>1</v>
      </c>
      <c r="D11607" s="1" t="str">
        <f>"10188"</f>
        <v>10188</v>
      </c>
      <c r="E11607" s="1" t="s">
        <v>49</v>
      </c>
      <c r="F11607" s="1">
        <v>12</v>
      </c>
      <c r="G11607" s="1">
        <v>6</v>
      </c>
      <c r="H11607" s="1">
        <v>0</v>
      </c>
      <c r="I11607" s="1" t="s">
        <v>24069</v>
      </c>
      <c r="K11607" s="1" t="str">
        <f t="shared" si="729"/>
        <v>ㄙ</v>
      </c>
      <c r="L11607" s="1" t="str">
        <f t="shared" si="732"/>
        <v>ㄨ</v>
      </c>
      <c r="M11607" s="1" t="str">
        <f t="shared" si="731"/>
        <v>ㄣ</v>
      </c>
      <c r="P11607" s="1" t="s">
        <v>20</v>
      </c>
      <c r="R11607" s="1" t="s">
        <v>24070</v>
      </c>
      <c r="V11607" s="1" t="s">
        <v>24071</v>
      </c>
      <c r="AR11607" s="1" t="str">
        <f t="shared" si="730"/>
        <v>| [ㄙㄨㄣˇ](ㄙㄨㄣˇ.md) | [筍](筍.md) |  | sǔn | [名]
1.竹類地下莖所生的嫩芽，可食。如：「竹筍炒肉絲」。
2.懸掛鐘、磬等樂器的橫木。參見「筍虡」條。
3.器物在凹凸接合之處，凸出的部分。通「榫」。《直語補證．筍卯》：「凡剡木相入，以盈入虛謂之筍，以虛受盈謂之卯，故俗有筍頭卯眼之語。」
4.形狀似筍的東西。如：「石筍」。 |</v>
      </c>
    </row>
    <row r="11608" spans="1:44" hidden="1">
      <c r="A11608" s="1" t="s">
        <v>24072</v>
      </c>
      <c r="C11608" s="1">
        <v>1</v>
      </c>
      <c r="D11608" s="1" t="str">
        <f>"10189"</f>
        <v>10189</v>
      </c>
      <c r="E11608" s="1" t="s">
        <v>24</v>
      </c>
      <c r="F11608" s="1">
        <v>13</v>
      </c>
      <c r="G11608" s="1">
        <v>10</v>
      </c>
      <c r="H11608" s="1">
        <v>0</v>
      </c>
      <c r="I11608" s="1" t="s">
        <v>24069</v>
      </c>
      <c r="K11608" s="1" t="str">
        <f t="shared" si="729"/>
        <v>ㄙ</v>
      </c>
      <c r="L11608" s="1" t="str">
        <f t="shared" si="732"/>
        <v>ㄨ</v>
      </c>
      <c r="M11608" s="1" t="str">
        <f t="shared" si="731"/>
        <v>ㄣ</v>
      </c>
      <c r="P11608" s="1" t="s">
        <v>20</v>
      </c>
      <c r="R11608" s="1" t="s">
        <v>24070</v>
      </c>
      <c r="V11608" s="1" t="s">
        <v>24073</v>
      </c>
      <c r="AR11608" s="1" t="str">
        <f t="shared" si="730"/>
        <v>| [ㄙㄨㄣˇ](ㄙㄨㄣˇ.md) | [損](損.md) |  | sǔn | [動]
1.減少。《史記．卷八五．呂不韋傳》：「有能增損一字者，予千金。」宋．蘇軾〈郊祀奏議〉：「自秦、漢已來，天子儀物，日以滋多，有加無損，以至於今。」
2.失、喪失。《晉書．卷三四．杜預傳》：「不成，不過費損日月之間，何惜而不一試之！」《封神演義》第二回：「且言崇侯虎恃才妄作，提兵遠伐，孰知今日損軍折將，心甚羞慚。」
3.傷害、毀壞。如：「損人利己」、「破損」。唐．劉禹錫〈崔元受少府自貶所還遺山薑花以詩答之〉詩：「驛馬損筋骨，貴人滋齒牙。」宋．史達祖〈杏花天．細風微月垂楊院〉詞：「棲鶯未覺花梢顫，踏損殘紅幾片。」
4.貶抑、謙退。《三國志．卷二九．魏書．方技傳．管輅傳》：「未有損己而不光大，行非而不傷敗。」《晉書．卷三七．宗室傳．安平獻王孚傳》：「孚性至慎。宣帝執政，常自退損。」
5.用苛薄言語嘲諷他人。如：「你別損人了。」
[形]
北方方言。指尖酸刻薄。如：「你的話真損，頗令人吃不消。」
[名]
《易經》卦名。六十四卦之一。兌（☱）下艮（☶）上。象明損下益上，即能獲大吉之利而其道上行。 |</v>
      </c>
    </row>
    <row r="11609" spans="1:44" hidden="1">
      <c r="A11609" s="1" t="s">
        <v>24074</v>
      </c>
      <c r="C11609" s="1">
        <v>1</v>
      </c>
      <c r="D11609" s="1" t="str">
        <f>"10190"</f>
        <v>10190</v>
      </c>
      <c r="E11609" s="1" t="s">
        <v>139</v>
      </c>
      <c r="F11609" s="1">
        <v>14</v>
      </c>
      <c r="G11609" s="1">
        <v>10</v>
      </c>
      <c r="H11609" s="1">
        <v>0</v>
      </c>
      <c r="I11609" s="1" t="s">
        <v>24069</v>
      </c>
      <c r="K11609" s="1" t="str">
        <f t="shared" si="729"/>
        <v>ㄙ</v>
      </c>
      <c r="L11609" s="1" t="str">
        <f t="shared" si="732"/>
        <v>ㄨ</v>
      </c>
      <c r="M11609" s="1" t="str">
        <f t="shared" si="731"/>
        <v>ㄣ</v>
      </c>
      <c r="P11609" s="1" t="s">
        <v>20</v>
      </c>
      <c r="R11609" s="1" t="s">
        <v>24070</v>
      </c>
      <c r="V11609" s="1" t="s">
        <v>24075</v>
      </c>
      <c r="AR11609" s="1" t="str">
        <f t="shared" si="730"/>
        <v>| [ㄙㄨㄣˇ](ㄙㄨㄣˇ.md) | [榫](榫.md) |  | sǔn | [名]
製做木器時，以凹凸相入接合兩件材料，其中凸的部分即稱為「榫」。《集韻．上聲．準韻》：「榫，剡木相入。」 |</v>
      </c>
    </row>
    <row r="11610" spans="1:44" hidden="1">
      <c r="A11610" s="1" t="s">
        <v>24076</v>
      </c>
      <c r="C11610" s="1">
        <v>1</v>
      </c>
      <c r="D11610" s="1" t="str">
        <f>"10191"</f>
        <v>10191</v>
      </c>
      <c r="E11610" s="1" t="s">
        <v>49</v>
      </c>
      <c r="F11610" s="1">
        <v>18</v>
      </c>
      <c r="G11610" s="1">
        <v>12</v>
      </c>
      <c r="H11610" s="1">
        <v>0</v>
      </c>
      <c r="I11610" s="1" t="s">
        <v>24069</v>
      </c>
      <c r="K11610" s="1" t="str">
        <f t="shared" si="729"/>
        <v>ㄙ</v>
      </c>
      <c r="L11610" s="1" t="str">
        <f t="shared" si="732"/>
        <v>ㄨ</v>
      </c>
      <c r="M11610" s="1" t="str">
        <f t="shared" si="731"/>
        <v>ㄣ</v>
      </c>
      <c r="P11610" s="1" t="s">
        <v>20</v>
      </c>
      <c r="R11610" s="1" t="s">
        <v>24070</v>
      </c>
      <c r="V11610" s="1" t="s">
        <v>24077</v>
      </c>
      <c r="AR11610" s="1" t="str">
        <f t="shared" si="730"/>
        <v>| [ㄙㄨㄣˇ](ㄙㄨㄣˇ.md) | [簨](簨.md) |  | sǔn | [名]
古代用來懸掛鐘磬的架子上的橫木。《集韻．上聲．準韻》：「簨，所以縣鐘磬，橫曰簨。」《舊唐書．卷二九．音樂志二》：「樂縣，橫曰簨。」 |</v>
      </c>
    </row>
    <row r="11611" spans="1:44" hidden="1">
      <c r="A11611" s="1" t="s">
        <v>17640</v>
      </c>
      <c r="C11611" s="1">
        <v>1</v>
      </c>
      <c r="D11611" s="1" t="str">
        <f>"10192"</f>
        <v>10192</v>
      </c>
      <c r="E11611" s="1" t="s">
        <v>241</v>
      </c>
      <c r="F11611" s="1">
        <v>10</v>
      </c>
      <c r="G11611" s="1">
        <v>7</v>
      </c>
      <c r="H11611" s="1">
        <v>3</v>
      </c>
      <c r="I11611" s="1" t="s">
        <v>24078</v>
      </c>
      <c r="K11611" s="1" t="str">
        <f t="shared" si="729"/>
        <v>ㄙ</v>
      </c>
      <c r="L11611" s="1" t="str">
        <f t="shared" si="732"/>
        <v>ㄨ</v>
      </c>
      <c r="M11611" s="1" t="str">
        <f t="shared" si="731"/>
        <v>ㄣ</v>
      </c>
      <c r="P11611" s="1" t="s">
        <v>110</v>
      </c>
      <c r="R11611" s="1" t="s">
        <v>24079</v>
      </c>
      <c r="V11611" s="1" t="s">
        <v>1633</v>
      </c>
      <c r="W11611" s="1" t="s">
        <v>24080</v>
      </c>
      <c r="AR11611" s="1" t="str">
        <f t="shared" si="730"/>
        <v>| [ㄙㄨㄣˋ](ㄙㄨㄣˋ.md) | [孫](孫.md) |  | sùn | (二)之又音。 |</v>
      </c>
    </row>
    <row r="11612" spans="1:44" hidden="1">
      <c r="A11612" s="1" t="s">
        <v>17643</v>
      </c>
      <c r="C11612" s="1">
        <v>1</v>
      </c>
      <c r="D11612" s="1" t="str">
        <f>"10193"</f>
        <v>10193</v>
      </c>
      <c r="E11612" s="1" t="s">
        <v>558</v>
      </c>
      <c r="F11612" s="1">
        <v>14</v>
      </c>
      <c r="G11612" s="1">
        <v>10</v>
      </c>
      <c r="H11612" s="1">
        <v>2</v>
      </c>
      <c r="I11612" s="1" t="s">
        <v>24078</v>
      </c>
      <c r="K11612" s="1" t="str">
        <f t="shared" si="729"/>
        <v>ㄙ</v>
      </c>
      <c r="L11612" s="1" t="str">
        <f t="shared" si="732"/>
        <v>ㄨ</v>
      </c>
      <c r="M11612" s="1" t="str">
        <f t="shared" si="731"/>
        <v>ㄣ</v>
      </c>
      <c r="P11612" s="1" t="s">
        <v>110</v>
      </c>
      <c r="R11612" s="1" t="s">
        <v>24079</v>
      </c>
      <c r="V11612" s="1" t="s">
        <v>111</v>
      </c>
      <c r="W11612" s="1" t="s">
        <v>24081</v>
      </c>
      <c r="AR11612" s="1" t="str">
        <f t="shared" si="730"/>
        <v>| [ㄙㄨㄣˋ](ㄙㄨㄣˋ.md) | [遜](遜.md) |  | sùn | (一)之又音。 |</v>
      </c>
    </row>
    <row r="11613" spans="1:44" hidden="1">
      <c r="A11613" s="1" t="s">
        <v>17646</v>
      </c>
      <c r="C11613" s="1">
        <v>1</v>
      </c>
      <c r="D11613" s="1" t="str">
        <f>"10194"</f>
        <v>10194</v>
      </c>
      <c r="E11613" s="1" t="s">
        <v>31</v>
      </c>
      <c r="F11613" s="1">
        <v>12</v>
      </c>
      <c r="G11613" s="1">
        <v>9</v>
      </c>
      <c r="H11613" s="1">
        <v>2</v>
      </c>
      <c r="I11613" s="1" t="s">
        <v>24078</v>
      </c>
      <c r="K11613" s="1" t="str">
        <f t="shared" si="729"/>
        <v>ㄙ</v>
      </c>
      <c r="L11613" s="1" t="str">
        <f t="shared" si="732"/>
        <v>ㄨ</v>
      </c>
      <c r="M11613" s="1" t="str">
        <f t="shared" si="731"/>
        <v>ㄣ</v>
      </c>
      <c r="P11613" s="1" t="s">
        <v>110</v>
      </c>
      <c r="R11613" s="1" t="s">
        <v>24079</v>
      </c>
      <c r="V11613" s="1" t="s">
        <v>111</v>
      </c>
      <c r="W11613" s="1" t="s">
        <v>24082</v>
      </c>
      <c r="AR11613" s="1" t="str">
        <f t="shared" si="730"/>
        <v>| [ㄙㄨㄣˋ](ㄙㄨㄣˋ.md) | [巽](巽.md) |  | sùn | (一)之又音。 |</v>
      </c>
    </row>
    <row r="11614" spans="1:44" hidden="1">
      <c r="A11614" s="1" t="s">
        <v>17649</v>
      </c>
      <c r="C11614" s="1">
        <v>1</v>
      </c>
      <c r="D11614" s="1" t="str">
        <f>"10195"</f>
        <v>10195</v>
      </c>
      <c r="E11614" s="1" t="s">
        <v>129</v>
      </c>
      <c r="F11614" s="1">
        <v>15</v>
      </c>
      <c r="G11614" s="1">
        <v>12</v>
      </c>
      <c r="H11614" s="1">
        <v>1</v>
      </c>
      <c r="I11614" s="1" t="s">
        <v>24078</v>
      </c>
      <c r="K11614" s="1" t="str">
        <f t="shared" si="729"/>
        <v>ㄙ</v>
      </c>
      <c r="L11614" s="1" t="str">
        <f t="shared" si="732"/>
        <v>ㄨ</v>
      </c>
      <c r="M11614" s="1" t="str">
        <f t="shared" si="731"/>
        <v>ㄣ</v>
      </c>
      <c r="P11614" s="1" t="s">
        <v>20</v>
      </c>
      <c r="R11614" s="1" t="s">
        <v>24079</v>
      </c>
      <c r="V11614" s="1" t="s">
        <v>24083</v>
      </c>
      <c r="W11614" s="1" t="s">
        <v>24084</v>
      </c>
      <c r="AR11614" s="1" t="str">
        <f t="shared" si="730"/>
        <v>| [ㄙㄨㄣˋ](ㄙㄨㄣˋ.md) | [潠](潠.md) |  | sùn | [動]
將口中含的液體噴出。《後漢書．卷八二．方術傳上．郭憲傳》：「憲在位，忽回向東北，含酒三潠。」唐．李賀〈畫角東城〉詩：「淡菜生寒日，鮞魚潠白濤。」 |</v>
      </c>
    </row>
    <row r="11615" spans="1:44" hidden="1">
      <c r="A11615" s="1" t="s">
        <v>17651</v>
      </c>
      <c r="C11615" s="1">
        <v>1</v>
      </c>
      <c r="D11615" s="1" t="str">
        <f>"10196"</f>
        <v>10196</v>
      </c>
      <c r="E11615" s="1" t="s">
        <v>28</v>
      </c>
      <c r="F11615" s="1">
        <v>15</v>
      </c>
      <c r="G11615" s="1">
        <v>12</v>
      </c>
      <c r="H11615" s="1">
        <v>2</v>
      </c>
      <c r="I11615" s="1" t="s">
        <v>24078</v>
      </c>
      <c r="K11615" s="1" t="str">
        <f t="shared" si="729"/>
        <v>ㄙ</v>
      </c>
      <c r="L11615" s="1" t="str">
        <f t="shared" si="732"/>
        <v>ㄨ</v>
      </c>
      <c r="M11615" s="1" t="str">
        <f t="shared" si="731"/>
        <v>ㄣ</v>
      </c>
      <c r="P11615" s="1" t="s">
        <v>110</v>
      </c>
      <c r="R11615" s="1" t="s">
        <v>24079</v>
      </c>
      <c r="V11615" s="1" t="s">
        <v>111</v>
      </c>
      <c r="W11615" s="1" t="s">
        <v>24085</v>
      </c>
      <c r="AR11615" s="1" t="str">
        <f t="shared" si="730"/>
        <v>| [ㄙㄨㄣˋ](ㄙㄨㄣˋ.md) | [噀](噀.md) |  | sùn | (一)之又音。 |</v>
      </c>
    </row>
    <row r="11616" spans="1:44" hidden="1">
      <c r="A11616" s="1" t="s">
        <v>19248</v>
      </c>
      <c r="C11616" s="1">
        <v>1</v>
      </c>
      <c r="D11616" s="1" t="str">
        <f>"10197"</f>
        <v>10197</v>
      </c>
      <c r="E11616" s="1" t="s">
        <v>250</v>
      </c>
      <c r="F11616" s="1">
        <v>7</v>
      </c>
      <c r="G11616" s="1">
        <v>4</v>
      </c>
      <c r="H11616" s="1">
        <v>2</v>
      </c>
      <c r="I11616" s="1" t="s">
        <v>24086</v>
      </c>
      <c r="K11616" s="1" t="str">
        <f t="shared" si="729"/>
        <v>ㄙ</v>
      </c>
      <c r="L11616" s="1" t="str">
        <f t="shared" si="732"/>
        <v>ㄨ</v>
      </c>
      <c r="M11616" s="1" t="str">
        <f t="shared" si="731"/>
        <v>ㄥ</v>
      </c>
      <c r="P11616" s="1" t="s">
        <v>20</v>
      </c>
      <c r="R11616" s="1" t="s">
        <v>24087</v>
      </c>
      <c r="V11616" s="1" t="s">
        <v>24088</v>
      </c>
      <c r="W11616" s="1" t="s">
        <v>24089</v>
      </c>
      <c r="AR11616" s="1" t="str">
        <f t="shared" si="730"/>
        <v>| [ㄙㄨㄥ](ㄙㄨㄥ.md) | [忪](忪.md) |  | sōng | 參見「惺忪」條。 |</v>
      </c>
    </row>
    <row r="11617" spans="1:44" hidden="1">
      <c r="A11617" s="1" t="s">
        <v>24090</v>
      </c>
      <c r="C11617" s="1">
        <v>1</v>
      </c>
      <c r="D11617" s="1" t="str">
        <f>"10198"</f>
        <v>10198</v>
      </c>
      <c r="E11617" s="1" t="s">
        <v>139</v>
      </c>
      <c r="F11617" s="1">
        <v>8</v>
      </c>
      <c r="G11617" s="1">
        <v>4</v>
      </c>
      <c r="H11617" s="1">
        <v>0</v>
      </c>
      <c r="I11617" s="1" t="s">
        <v>24086</v>
      </c>
      <c r="K11617" s="1" t="str">
        <f t="shared" si="729"/>
        <v>ㄙ</v>
      </c>
      <c r="L11617" s="1" t="str">
        <f t="shared" si="732"/>
        <v>ㄨ</v>
      </c>
      <c r="M11617" s="1" t="str">
        <f t="shared" si="731"/>
        <v>ㄥ</v>
      </c>
      <c r="P11617" s="1" t="s">
        <v>20</v>
      </c>
      <c r="R11617" s="1" t="s">
        <v>24087</v>
      </c>
      <c r="V11617" s="1" t="s">
        <v>24091</v>
      </c>
      <c r="AR11617" s="1" t="str">
        <f t="shared" si="730"/>
        <v>| [ㄙㄨㄥ](ㄙㄨㄥ.md) | [松](松.md) |  | sōng | [名]
1.松科松屬樹木之泛稱。也稱為「木公」或「松樹」，參見「木公」、「松樹」條。
2.姓。如隋代有松贇。 |</v>
      </c>
    </row>
    <row r="11618" spans="1:44" hidden="1">
      <c r="A11618" s="1" t="s">
        <v>24092</v>
      </c>
      <c r="C11618" s="1">
        <v>1</v>
      </c>
      <c r="D11618" s="1" t="str">
        <f>"10199"</f>
        <v>10199</v>
      </c>
      <c r="E11618" s="1" t="s">
        <v>1381</v>
      </c>
      <c r="F11618" s="1">
        <v>10</v>
      </c>
      <c r="G11618" s="1">
        <v>8</v>
      </c>
      <c r="H11618" s="1">
        <v>0</v>
      </c>
      <c r="I11618" s="1" t="s">
        <v>24086</v>
      </c>
      <c r="K11618" s="1" t="str">
        <f t="shared" si="729"/>
        <v>ㄙ</v>
      </c>
      <c r="L11618" s="1" t="str">
        <f t="shared" si="732"/>
        <v>ㄨ</v>
      </c>
      <c r="M11618" s="1" t="str">
        <f t="shared" si="731"/>
        <v>ㄥ</v>
      </c>
      <c r="P11618" s="1" t="s">
        <v>20</v>
      </c>
      <c r="R11618" s="1" t="s">
        <v>24087</v>
      </c>
      <c r="V11618" s="1" t="s">
        <v>24093</v>
      </c>
      <c r="AR11618" s="1" t="str">
        <f t="shared" si="730"/>
        <v>| [ㄙㄨㄥ](ㄙㄨㄥ.md) | [凇](凇.md) |  | sōng | [名]
水氣遇冷凝結成的水珠。《廣韻．平聲．鍾韻》：「凇，凍落之貌。」 |</v>
      </c>
    </row>
    <row r="11619" spans="1:44" hidden="1">
      <c r="A11619" s="1" t="s">
        <v>24094</v>
      </c>
      <c r="C11619" s="1">
        <v>1</v>
      </c>
      <c r="D11619" s="1" t="str">
        <f>"10200"</f>
        <v>10200</v>
      </c>
      <c r="E11619" s="1" t="s">
        <v>129</v>
      </c>
      <c r="F11619" s="1">
        <v>11</v>
      </c>
      <c r="G11619" s="1">
        <v>8</v>
      </c>
      <c r="H11619" s="1">
        <v>0</v>
      </c>
      <c r="I11619" s="1" t="s">
        <v>24086</v>
      </c>
      <c r="K11619" s="1" t="str">
        <f t="shared" si="729"/>
        <v>ㄙ</v>
      </c>
      <c r="L11619" s="1" t="str">
        <f t="shared" si="732"/>
        <v>ㄨ</v>
      </c>
      <c r="M11619" s="1" t="str">
        <f t="shared" si="731"/>
        <v>ㄥ</v>
      </c>
      <c r="P11619" s="1" t="s">
        <v>20</v>
      </c>
      <c r="R11619" s="1" t="s">
        <v>24087</v>
      </c>
      <c r="V11619" s="1" t="s">
        <v>24095</v>
      </c>
      <c r="AR11619" s="1" t="str">
        <f t="shared" si="730"/>
        <v>| [ㄙㄨㄥ](ㄙㄨㄥ.md) | [淞](淞.md) |  | sōng | [名]
1.河川名。源出江蘇省太湖，經上海，合黃浦江入海。通稱為「吳淞江」。
2.水氣遇冷凝結成的水珠。通「凇」。宋．曾鞏〈冬夜即事〉詩：「香消一榻氍毹暖，月澹千門霧淞寒。」 |</v>
      </c>
    </row>
    <row r="11620" spans="1:44" hidden="1">
      <c r="A11620" s="1" t="s">
        <v>24096</v>
      </c>
      <c r="C11620" s="1">
        <v>1</v>
      </c>
      <c r="D11620" s="1" t="str">
        <f>"10201"</f>
        <v>10201</v>
      </c>
      <c r="E11620" s="1" t="s">
        <v>190</v>
      </c>
      <c r="F11620" s="1">
        <v>11</v>
      </c>
      <c r="G11620" s="1">
        <v>8</v>
      </c>
      <c r="H11620" s="1">
        <v>0</v>
      </c>
      <c r="I11620" s="1" t="s">
        <v>24086</v>
      </c>
      <c r="K11620" s="1" t="str">
        <f t="shared" si="729"/>
        <v>ㄙ</v>
      </c>
      <c r="L11620" s="1" t="str">
        <f t="shared" si="732"/>
        <v>ㄨ</v>
      </c>
      <c r="M11620" s="1" t="str">
        <f t="shared" si="731"/>
        <v>ㄥ</v>
      </c>
      <c r="P11620" s="1" t="s">
        <v>20</v>
      </c>
      <c r="R11620" s="1" t="s">
        <v>24087</v>
      </c>
      <c r="V11620" s="1" t="s">
        <v>24097</v>
      </c>
      <c r="AR11620" s="1" t="str">
        <f t="shared" si="730"/>
        <v>| [ㄙㄨㄥ](ㄙㄨㄥ.md) | [崧](崧.md) |  | sōng | 同「嵩」。 |</v>
      </c>
    </row>
    <row r="11621" spans="1:44" hidden="1">
      <c r="A11621" s="1" t="s">
        <v>24098</v>
      </c>
      <c r="C11621" s="1">
        <v>1</v>
      </c>
      <c r="D11621" s="1" t="str">
        <f>"10202"</f>
        <v>10202</v>
      </c>
      <c r="E11621" s="1" t="s">
        <v>37</v>
      </c>
      <c r="F11621" s="1">
        <v>12</v>
      </c>
      <c r="G11621" s="1">
        <v>8</v>
      </c>
      <c r="H11621" s="1">
        <v>0</v>
      </c>
      <c r="I11621" s="1" t="s">
        <v>24086</v>
      </c>
      <c r="K11621" s="1" t="str">
        <f t="shared" si="729"/>
        <v>ㄙ</v>
      </c>
      <c r="L11621" s="1" t="str">
        <f t="shared" si="732"/>
        <v>ㄨ</v>
      </c>
      <c r="M11621" s="1" t="str">
        <f t="shared" si="731"/>
        <v>ㄥ</v>
      </c>
      <c r="P11621" s="1" t="s">
        <v>20</v>
      </c>
      <c r="R11621" s="1" t="s">
        <v>24087</v>
      </c>
      <c r="V11621" s="1" t="s">
        <v>24099</v>
      </c>
      <c r="AR11621" s="1" t="str">
        <f t="shared" si="730"/>
        <v>| [ㄙㄨㄥ](ㄙㄨㄥ.md) | [菘](菘.md) |  | sōng | [名]
植物名。十字花科蕓薹屬，「白菜」之古稱，參見「白菜」條。 |</v>
      </c>
    </row>
    <row r="11622" spans="1:44" hidden="1">
      <c r="A11622" s="1" t="s">
        <v>24100</v>
      </c>
      <c r="C11622" s="1">
        <v>1</v>
      </c>
      <c r="D11622" s="1" t="str">
        <f>"10203"</f>
        <v>10203</v>
      </c>
      <c r="E11622" s="1" t="s">
        <v>679</v>
      </c>
      <c r="F11622" s="1">
        <v>14</v>
      </c>
      <c r="G11622" s="1">
        <v>8</v>
      </c>
      <c r="H11622" s="1">
        <v>0</v>
      </c>
      <c r="I11622" s="1" t="s">
        <v>24086</v>
      </c>
      <c r="K11622" s="1" t="str">
        <f t="shared" si="729"/>
        <v>ㄙ</v>
      </c>
      <c r="L11622" s="1" t="str">
        <f t="shared" si="732"/>
        <v>ㄨ</v>
      </c>
      <c r="M11622" s="1" t="str">
        <f t="shared" si="731"/>
        <v>ㄥ</v>
      </c>
      <c r="P11622" s="1" t="s">
        <v>20</v>
      </c>
      <c r="R11622" s="1" t="s">
        <v>24087</v>
      </c>
      <c r="V11622" s="1" t="s">
        <v>24101</v>
      </c>
      <c r="AR11622" s="1" t="str">
        <f t="shared" si="730"/>
        <v>| [ㄙㄨㄥ](ㄙㄨㄥ.md) | [蜙](蜙.md) |  | sōng | [名]
蜙蝑：動物名。即螽斯。觸角細長，體綠褐色，能發聲，雌者體大，尾端有產卵器。食害農作物。《爾雅．釋蟲》：「蜤螽，蜙蝑。」宋．邢昺．疏：「蜤螽，周南作螽斯，七月作斯螽……一名蜙蝑。」 |</v>
      </c>
    </row>
    <row r="11623" spans="1:44" hidden="1">
      <c r="A11623" s="1" t="s">
        <v>24102</v>
      </c>
      <c r="C11623" s="1">
        <v>1</v>
      </c>
      <c r="D11623" s="1" t="str">
        <f>"10204"</f>
        <v>10204</v>
      </c>
      <c r="E11623" s="1" t="s">
        <v>1078</v>
      </c>
      <c r="F11623" s="1">
        <v>18</v>
      </c>
      <c r="G11623" s="1">
        <v>8</v>
      </c>
      <c r="H11623" s="1">
        <v>0</v>
      </c>
      <c r="I11623" s="1" t="s">
        <v>24086</v>
      </c>
      <c r="K11623" s="1" t="str">
        <f t="shared" si="729"/>
        <v>ㄙ</v>
      </c>
      <c r="L11623" s="1" t="str">
        <f t="shared" si="732"/>
        <v>ㄨ</v>
      </c>
      <c r="M11623" s="1" t="str">
        <f t="shared" si="731"/>
        <v>ㄥ</v>
      </c>
      <c r="P11623" s="1" t="s">
        <v>20</v>
      </c>
      <c r="R11623" s="1" t="s">
        <v>24087</v>
      </c>
      <c r="V11623" s="1" t="s">
        <v>24103</v>
      </c>
      <c r="AR11623" s="1" t="str">
        <f t="shared" si="730"/>
        <v>| [ㄙㄨㄥ](ㄙㄨㄥ.md) | [鬆](鬆.md) |  | sōng | [形]
1.鬢髮蓬亂的樣子。《玉篇．髟部》：「鬆，亂髮貌。」如：「蓬鬆」。宋．汪元量〈湖州歌〉：「曉鬢鬅鬆懶不梳，忽聽人說是南徐。」
2.不緊。如：「鞋帶鬆了。」、「螺絲釘鬆了。」
3.不煩重、不緊要。如：「輕鬆」、「稀鬆平常」。
4.不嚴格。如：「檢查得很鬆。」、「管理得太鬆。」
5.寬裕。如：「最近手頭兒鬆了些，可以再買些書。」
6.精神懈怠。如：「鬆懈」。
7.物質脆軟不緊密。如：「鬆軟可口」、「土質很鬆」、「又鬆又脆的餅乾。」
[名]
將瘦肉煮熟炒乾，製成絨狀或纖維狀的食品。如：「魚鬆」、「肉鬆」。
[動]
1.放開。如：「鬆綁」、「鬆開手」。
2.解開、放寬。如：「天太熱了，把衣服鬆一鬆。」 |</v>
      </c>
    </row>
    <row r="11624" spans="1:44" hidden="1">
      <c r="A11624" s="1" t="s">
        <v>24104</v>
      </c>
      <c r="C11624" s="1">
        <v>1</v>
      </c>
      <c r="D11624" s="1" t="str">
        <f>"10205"</f>
        <v>10205</v>
      </c>
      <c r="E11624" s="1" t="s">
        <v>534</v>
      </c>
      <c r="F11624" s="1">
        <v>9</v>
      </c>
      <c r="G11624" s="1">
        <v>6</v>
      </c>
      <c r="H11624" s="1">
        <v>0</v>
      </c>
      <c r="I11624" s="1" t="s">
        <v>24086</v>
      </c>
      <c r="K11624" s="1" t="str">
        <f t="shared" si="729"/>
        <v>ㄙ</v>
      </c>
      <c r="L11624" s="1" t="str">
        <f t="shared" si="732"/>
        <v>ㄨ</v>
      </c>
      <c r="M11624" s="1" t="str">
        <f t="shared" si="731"/>
        <v>ㄥ</v>
      </c>
      <c r="P11624" s="1" t="s">
        <v>20</v>
      </c>
      <c r="R11624" s="1" t="s">
        <v>24087</v>
      </c>
      <c r="V11624" s="1" t="s">
        <v>24105</v>
      </c>
      <c r="AR11624" s="1" t="str">
        <f t="shared" si="730"/>
        <v>| [ㄙㄨㄥ](ㄙㄨㄥ.md) | [娀](娀.md) |  | sōng | [名]
國名。即有娀氏。故址約在今山西省運城縣附近。 |</v>
      </c>
    </row>
    <row r="11625" spans="1:44" hidden="1">
      <c r="A11625" s="1" t="s">
        <v>24106</v>
      </c>
      <c r="C11625" s="1">
        <v>1</v>
      </c>
      <c r="D11625" s="1" t="str">
        <f>"10206"</f>
        <v>10206</v>
      </c>
      <c r="E11625" s="1" t="s">
        <v>190</v>
      </c>
      <c r="F11625" s="1">
        <v>13</v>
      </c>
      <c r="G11625" s="1">
        <v>10</v>
      </c>
      <c r="H11625" s="1">
        <v>0</v>
      </c>
      <c r="I11625" s="1" t="s">
        <v>24086</v>
      </c>
      <c r="K11625" s="1" t="str">
        <f t="shared" si="729"/>
        <v>ㄙ</v>
      </c>
      <c r="L11625" s="1" t="str">
        <f t="shared" si="732"/>
        <v>ㄨ</v>
      </c>
      <c r="M11625" s="1" t="str">
        <f t="shared" si="731"/>
        <v>ㄥ</v>
      </c>
      <c r="P11625" s="1" t="s">
        <v>20</v>
      </c>
      <c r="R11625" s="1" t="s">
        <v>24087</v>
      </c>
      <c r="V11625" s="1" t="s">
        <v>24107</v>
      </c>
      <c r="AR11625" s="1" t="str">
        <f t="shared" si="730"/>
        <v>| [ㄙㄨㄥ](ㄙㄨㄥ.md) | [嵩](嵩.md) |  | sōng | [形]
高聳的。如：「嵩高」。《文選．陸機．赴洛道中作詩》：「頓轡倚嵩巖，側聽悲風響。」
[名]
1.參見「嵩山」條。
2.姓。如漢代有嵩真。 |</v>
      </c>
    </row>
    <row r="11626" spans="1:44" hidden="1">
      <c r="A11626" s="1" t="s">
        <v>24108</v>
      </c>
      <c r="C11626" s="1">
        <v>1</v>
      </c>
      <c r="D11626" s="1" t="str">
        <f>"10208"</f>
        <v>10208</v>
      </c>
      <c r="E11626" s="1" t="s">
        <v>871</v>
      </c>
      <c r="F11626" s="1">
        <v>14</v>
      </c>
      <c r="G11626" s="1">
        <v>11</v>
      </c>
      <c r="H11626" s="1">
        <v>0</v>
      </c>
      <c r="I11626" s="1" t="s">
        <v>24109</v>
      </c>
      <c r="K11626" s="1" t="str">
        <f t="shared" si="729"/>
        <v>ㄙ</v>
      </c>
      <c r="L11626" s="1" t="str">
        <f t="shared" si="732"/>
        <v>ㄨ</v>
      </c>
      <c r="M11626" s="1" t="str">
        <f t="shared" si="731"/>
        <v>ㄥ</v>
      </c>
      <c r="P11626" s="1" t="s">
        <v>20</v>
      </c>
      <c r="R11626" s="1" t="s">
        <v>24110</v>
      </c>
      <c r="V11626" s="1" t="s">
        <v>24111</v>
      </c>
      <c r="AR11626" s="1" t="str">
        <f t="shared" si="730"/>
        <v>| [ㄙㄨㄥˊ](ㄙㄨㄥˊ.md) | [㞞](㞞.md) |  | sóng | [名]
俗稱精液為「㞞」。《金瓶梅》第五〇回：「賊秫村村，你今日纔吃㞞，你從前已後，把㞞不知吃了多少！」 |</v>
      </c>
    </row>
    <row r="11627" spans="1:44" hidden="1">
      <c r="A11627" s="1" t="s">
        <v>24112</v>
      </c>
      <c r="C11627" s="1">
        <v>1</v>
      </c>
      <c r="D11627" s="1" t="str">
        <f>"10209"</f>
        <v>10209</v>
      </c>
      <c r="E11627" s="1" t="s">
        <v>250</v>
      </c>
      <c r="F11627" s="1">
        <v>10</v>
      </c>
      <c r="G11627" s="1">
        <v>7</v>
      </c>
      <c r="H11627" s="1">
        <v>0</v>
      </c>
      <c r="I11627" s="1" t="s">
        <v>24113</v>
      </c>
      <c r="K11627" s="1" t="str">
        <f t="shared" si="729"/>
        <v>ㄙ</v>
      </c>
      <c r="L11627" s="1" t="str">
        <f t="shared" si="732"/>
        <v>ㄨ</v>
      </c>
      <c r="M11627" s="1" t="str">
        <f t="shared" si="731"/>
        <v>ㄥ</v>
      </c>
      <c r="P11627" s="1" t="s">
        <v>20</v>
      </c>
      <c r="R11627" s="1" t="s">
        <v>24114</v>
      </c>
      <c r="V11627" s="1" t="s">
        <v>24115</v>
      </c>
      <c r="AR11627" s="1" t="str">
        <f t="shared" si="730"/>
        <v>| [ㄙㄨㄥˇ](ㄙㄨㄥˇ.md) | [悚](悚.md) |  | sǒng | [動]
恐懼、害怕。《文選．潘岳．笙賦》：「晉野悚而投琴，況齊瑟與秦箏。」《紅樓夢》第三三回：「賈政見他惶悚，應對不似往日。」 |</v>
      </c>
    </row>
    <row r="11628" spans="1:44" hidden="1">
      <c r="A11628" s="1" t="s">
        <v>24116</v>
      </c>
      <c r="C11628" s="1">
        <v>1</v>
      </c>
      <c r="D11628" s="1" t="str">
        <f>"10210"</f>
        <v>10210</v>
      </c>
      <c r="E11628" s="1" t="s">
        <v>5784</v>
      </c>
      <c r="F11628" s="1">
        <v>12</v>
      </c>
      <c r="G11628" s="1">
        <v>7</v>
      </c>
      <c r="H11628" s="1">
        <v>0</v>
      </c>
      <c r="I11628" s="1" t="s">
        <v>24113</v>
      </c>
      <c r="K11628" s="1" t="str">
        <f t="shared" si="729"/>
        <v>ㄙ</v>
      </c>
      <c r="L11628" s="1" t="str">
        <f t="shared" si="732"/>
        <v>ㄨ</v>
      </c>
      <c r="M11628" s="1" t="str">
        <f t="shared" si="731"/>
        <v>ㄥ</v>
      </c>
      <c r="P11628" s="1" t="s">
        <v>20</v>
      </c>
      <c r="R11628" s="1" t="s">
        <v>24114</v>
      </c>
      <c r="V11628" s="1" t="s">
        <v>24117</v>
      </c>
      <c r="AR11628" s="1" t="str">
        <f t="shared" si="730"/>
        <v>| [ㄙㄨㄥˇ](ㄙㄨㄥˇ.md) | [竦](竦.md) |  | sǒng | [動]
1.恭敬、肅敬。《漢書．卷二二．禮樂志》：「聽者無不虛己竦神，說而承流。」唐．顏師古．注：「竦，敬也。說，讀曰悅。」
2.拉長脖子，舉起腳跟而立。《漢書．卷三三．韓王信傳》：「士卒皆山東人，竦而望歸。」
3.直立、矗立。南朝宋．謝靈運〈發歸瀨三瀑布望兩溪詩〉：「積石竦兩溪，飛泉倒三山。」
4.持、握。《楚辭．屈原．九歌．少司命》：「竦長劍兮擁幼艾，蓀獨宜兮為民正。」
5.驚懼。通「愯」。《詩經．商頌．長發》：「不戁不竦，百祿是總。」《韓非子．主道》：「明君無為於上，群臣竦懼乎下。」
6.振奮、震動。《漢書．卷二五．郊祀志下》：「夫周秦之末，三五之隆，已嘗專意散財，厚爵祿，竦精神，舉天下以求之矣。」《文選．張協．七命》：「舉戈林竦，揮鋒電滅。」
[副]
恭敬的樣子。如：「竦然起敬」。明．高啟〈南宮生傳〉：「其人竦聽，居樽下拜。」 |</v>
      </c>
    </row>
    <row r="11629" spans="1:44" hidden="1">
      <c r="A11629" s="1" t="s">
        <v>24118</v>
      </c>
      <c r="C11629" s="1">
        <v>1</v>
      </c>
      <c r="D11629" s="1" t="str">
        <f>"10211"</f>
        <v>10211</v>
      </c>
      <c r="E11629" s="1" t="s">
        <v>319</v>
      </c>
      <c r="F11629" s="1">
        <v>17</v>
      </c>
      <c r="G11629" s="1">
        <v>7</v>
      </c>
      <c r="H11629" s="1">
        <v>0</v>
      </c>
      <c r="I11629" s="1" t="s">
        <v>24113</v>
      </c>
      <c r="K11629" s="1" t="str">
        <f t="shared" si="729"/>
        <v>ㄙ</v>
      </c>
      <c r="L11629" s="1" t="str">
        <f t="shared" si="732"/>
        <v>ㄨ</v>
      </c>
      <c r="M11629" s="1" t="str">
        <f t="shared" si="731"/>
        <v>ㄥ</v>
      </c>
      <c r="P11629" s="1" t="s">
        <v>20</v>
      </c>
      <c r="R11629" s="1" t="s">
        <v>24114</v>
      </c>
      <c r="V11629" s="1" t="s">
        <v>24119</v>
      </c>
      <c r="AR11629" s="1" t="str">
        <f t="shared" si="730"/>
        <v>| [ㄙㄨㄥˇ](ㄙㄨㄥˇ.md) | [駷](駷.md) |  | sǒng | [動]
搖動馬銜使馬行走。《公羊傳．定公八年》：「臨南駷馬。」漢．何休．解詁：「捶馬銜走。」唐．李白〈天馬歌〉：「天馬奔，戀君軒，駷躍驚矯浮雲翻。」 |</v>
      </c>
    </row>
    <row r="11630" spans="1:44" hidden="1">
      <c r="A11630" s="1" t="s">
        <v>24120</v>
      </c>
      <c r="C11630" s="1">
        <v>1</v>
      </c>
      <c r="D11630" s="1" t="str">
        <f>"10212"</f>
        <v>10212</v>
      </c>
      <c r="E11630" s="1" t="s">
        <v>250</v>
      </c>
      <c r="F11630" s="1">
        <v>13</v>
      </c>
      <c r="G11630" s="1">
        <v>10</v>
      </c>
      <c r="H11630" s="1">
        <v>0</v>
      </c>
      <c r="I11630" s="1" t="s">
        <v>24113</v>
      </c>
      <c r="K11630" s="1" t="str">
        <f t="shared" si="729"/>
        <v>ㄙ</v>
      </c>
      <c r="L11630" s="1" t="str">
        <f t="shared" si="732"/>
        <v>ㄨ</v>
      </c>
      <c r="M11630" s="1" t="str">
        <f t="shared" si="731"/>
        <v>ㄥ</v>
      </c>
      <c r="P11630" s="1" t="s">
        <v>20</v>
      </c>
      <c r="R11630" s="1" t="s">
        <v>24114</v>
      </c>
      <c r="V11630" s="1" t="s">
        <v>24121</v>
      </c>
      <c r="AR11630" s="1" t="str">
        <f t="shared" si="730"/>
        <v>| [ㄙㄨㄥˇ](ㄙㄨㄥˇ.md) | [愯](愯.md) |  | sǒng | [動]
恐懼。《漢書．卷二三．刑法志》：「故誨之以忠，愯之以行。」 |</v>
      </c>
    </row>
    <row r="11631" spans="1:44" hidden="1">
      <c r="A11631" s="1" t="s">
        <v>24122</v>
      </c>
      <c r="C11631" s="1">
        <v>1</v>
      </c>
      <c r="D11631" s="1" t="str">
        <f>"10213"</f>
        <v>10213</v>
      </c>
      <c r="E11631" s="1" t="s">
        <v>24</v>
      </c>
      <c r="F11631" s="1">
        <v>21</v>
      </c>
      <c r="G11631" s="1">
        <v>18</v>
      </c>
      <c r="H11631" s="1">
        <v>0</v>
      </c>
      <c r="I11631" s="1" t="s">
        <v>24113</v>
      </c>
      <c r="K11631" s="1" t="str">
        <f t="shared" si="729"/>
        <v>ㄙ</v>
      </c>
      <c r="L11631" s="1" t="str">
        <f t="shared" si="732"/>
        <v>ㄨ</v>
      </c>
      <c r="M11631" s="1" t="str">
        <f t="shared" si="731"/>
        <v>ㄥ</v>
      </c>
      <c r="P11631" s="1" t="s">
        <v>20</v>
      </c>
      <c r="R11631" s="1" t="s">
        <v>24114</v>
      </c>
      <c r="V11631" s="1" t="s">
        <v>24123</v>
      </c>
      <c r="AR11631" s="1" t="str">
        <f t="shared" si="730"/>
        <v>| [ㄙㄨㄥˇ](ㄙㄨㄥˇ.md) | [㩳](㩳.md) |  | sǒng | [動]
1.推。《醒世恆言．卷一．兩縣令競義婚孤女》：「賈婆不管三七二十一，和張婆兩個，你一推，我一㩳，㩳他出了大門。」
2.挺立、聳立。唐．杜甫〈畫鷹〉詩：「㩳身思狡兔，側目似愁胡。」 |</v>
      </c>
    </row>
    <row r="11632" spans="1:44" hidden="1">
      <c r="A11632" s="1" t="s">
        <v>24124</v>
      </c>
      <c r="C11632" s="1">
        <v>1</v>
      </c>
      <c r="D11632" s="1" t="str">
        <f>"10214"</f>
        <v>10214</v>
      </c>
      <c r="E11632" s="1" t="s">
        <v>114</v>
      </c>
      <c r="F11632" s="1">
        <v>13</v>
      </c>
      <c r="G11632" s="1">
        <v>11</v>
      </c>
      <c r="H11632" s="1">
        <v>0</v>
      </c>
      <c r="I11632" s="1" t="s">
        <v>24113</v>
      </c>
      <c r="K11632" s="1" t="str">
        <f t="shared" si="729"/>
        <v>ㄙ</v>
      </c>
      <c r="L11632" s="1" t="str">
        <f t="shared" si="732"/>
        <v>ㄨ</v>
      </c>
      <c r="M11632" s="1" t="str">
        <f t="shared" ref="M11632:M11639" si="733">MID(I11632, 3, 1)</f>
        <v>ㄥ</v>
      </c>
      <c r="P11632" s="1" t="s">
        <v>20</v>
      </c>
      <c r="R11632" s="1" t="s">
        <v>24114</v>
      </c>
      <c r="V11632" s="1" t="s">
        <v>24125</v>
      </c>
      <c r="AR11632" s="1" t="str">
        <f t="shared" si="730"/>
        <v>| [ㄙㄨㄥˇ](ㄙㄨㄥˇ.md) | [傱](傱.md) |  | sǒng | [形]
傱傱：疾進的樣子。《漢書．卷八七．揚雄傳上》：「風傱傱而扶轄兮，鸞鳳紛其御蕤。」唐．顏師古．注：「傱傱，前進之意也。」 |</v>
      </c>
    </row>
    <row r="11633" spans="1:44" hidden="1">
      <c r="A11633" s="1" t="s">
        <v>24126</v>
      </c>
      <c r="C11633" s="1">
        <v>1</v>
      </c>
      <c r="D11633" s="1" t="str">
        <f>"10215"</f>
        <v>10215</v>
      </c>
      <c r="E11633" s="1" t="s">
        <v>250</v>
      </c>
      <c r="F11633" s="1">
        <v>15</v>
      </c>
      <c r="G11633" s="1">
        <v>11</v>
      </c>
      <c r="H11633" s="1">
        <v>0</v>
      </c>
      <c r="I11633" s="1" t="s">
        <v>24113</v>
      </c>
      <c r="K11633" s="1" t="str">
        <f t="shared" si="729"/>
        <v>ㄙ</v>
      </c>
      <c r="L11633" s="1" t="str">
        <f t="shared" ref="L11633:L11651" si="734">MID(I11633, 2, 1)</f>
        <v>ㄨ</v>
      </c>
      <c r="M11633" s="1" t="str">
        <f t="shared" si="733"/>
        <v>ㄥ</v>
      </c>
      <c r="P11633" s="1" t="s">
        <v>20</v>
      </c>
      <c r="R11633" s="1" t="s">
        <v>24114</v>
      </c>
      <c r="V11633" s="1" t="s">
        <v>24127</v>
      </c>
      <c r="AR11633" s="1" t="str">
        <f t="shared" si="730"/>
        <v>| [ㄙㄨㄥˇ](ㄙㄨㄥˇ.md) | [慫](慫.md) |  | sǒng | [動]
1.驚懼。《文選．張衡．西京賦》：「將乍往而未半，怵悼慄而慫兢。」
2.參見「慫恿」條。 |</v>
      </c>
    </row>
    <row r="11634" spans="1:44" hidden="1">
      <c r="A11634" s="1" t="s">
        <v>24128</v>
      </c>
      <c r="C11634" s="1">
        <v>1</v>
      </c>
      <c r="D11634" s="1" t="str">
        <f>"10216"</f>
        <v>10216</v>
      </c>
      <c r="E11634" s="1" t="s">
        <v>2419</v>
      </c>
      <c r="F11634" s="1">
        <v>17</v>
      </c>
      <c r="G11634" s="1">
        <v>11</v>
      </c>
      <c r="H11634" s="1">
        <v>0</v>
      </c>
      <c r="I11634" s="1" t="s">
        <v>24113</v>
      </c>
      <c r="K11634" s="1" t="str">
        <f t="shared" si="729"/>
        <v>ㄙ</v>
      </c>
      <c r="L11634" s="1" t="str">
        <f t="shared" si="734"/>
        <v>ㄨ</v>
      </c>
      <c r="M11634" s="1" t="str">
        <f t="shared" si="733"/>
        <v>ㄥ</v>
      </c>
      <c r="P11634" s="1" t="s">
        <v>20</v>
      </c>
      <c r="R11634" s="1" t="s">
        <v>24114</v>
      </c>
      <c r="V11634" s="1" t="s">
        <v>24129</v>
      </c>
      <c r="AR11634" s="1" t="str">
        <f t="shared" si="730"/>
        <v>| [ㄙㄨㄥˇ](ㄙㄨㄥˇ.md) | [聳](聳.md) |  | sǒng | [動]
1.直立、高起。如：「聳肩」、「高聳入雲」。晉．陶淵明〈和郭主簿〉詩二首之二：「陵岑聳逸峰，遙瞻皆奇絕。」
2.獎勵、讚揚。《國語．楚語上》：「教之春秋，而為之聳善，而抑惡焉，以戒勸其心。」唐．姚崇〈冰壺誡〉：「固當聳廉勤之節，塞貪競之門。」
3.驚駭、驚動。如：「聳人聽聞」、「危言聳聽」。唐．劉禹錫〈觀柘枝舞〉詩二首之二：「體輕似無骨，觀者皆聳神。」
[形]
1.耳聾、聽覺不靈敏。漢．馬融〈廣成頌〉：「子野聽聳，離朱目眩。」
2.高。南朝梁．簡文帝〈登烽火樓詩〉：「聳樓排樹出，郤堞帶江清。」南朝梁．沈約〈寒松〉詩：「梢聳振寒聲，青蔥標暮色。」 |</v>
      </c>
    </row>
    <row r="11635" spans="1:44" hidden="1">
      <c r="A11635" s="1" t="s">
        <v>24130</v>
      </c>
      <c r="C11635" s="1">
        <v>1</v>
      </c>
      <c r="D11635" s="1" t="str">
        <f>"10217"</f>
        <v>10217</v>
      </c>
      <c r="E11635" s="1" t="s">
        <v>624</v>
      </c>
      <c r="F11635" s="1">
        <v>7</v>
      </c>
      <c r="G11635" s="1">
        <v>4</v>
      </c>
      <c r="H11635" s="1">
        <v>0</v>
      </c>
      <c r="I11635" s="1" t="s">
        <v>24131</v>
      </c>
      <c r="K11635" s="1" t="str">
        <f t="shared" si="729"/>
        <v>ㄙ</v>
      </c>
      <c r="L11635" s="1" t="str">
        <f t="shared" si="734"/>
        <v>ㄨ</v>
      </c>
      <c r="M11635" s="1" t="str">
        <f t="shared" si="733"/>
        <v>ㄥ</v>
      </c>
      <c r="P11635" s="1" t="s">
        <v>20</v>
      </c>
      <c r="R11635" s="1" t="s">
        <v>24132</v>
      </c>
      <c r="V11635" s="1" t="s">
        <v>24133</v>
      </c>
      <c r="AR11635" s="1" t="str">
        <f t="shared" si="730"/>
        <v>| [ㄙㄨㄥˋ](ㄙㄨㄥˋ.md) | [宋](宋.md) |  | sòng | [名]
1.國名。周朝分封微子之地。約位於今河南省商邱縣南，後為齊所滅。
2.朝代名：(1)參見「劉宋」條。(2)參見「宋朝」條。
3.姓。如戰國時代楚國有宋玉。 |</v>
      </c>
    </row>
    <row r="11636" spans="1:44" hidden="1">
      <c r="A11636" s="1" t="s">
        <v>24134</v>
      </c>
      <c r="C11636" s="1">
        <v>1</v>
      </c>
      <c r="D11636" s="1" t="str">
        <f>"10218"</f>
        <v>10218</v>
      </c>
      <c r="E11636" s="1" t="s">
        <v>558</v>
      </c>
      <c r="F11636" s="1">
        <v>10</v>
      </c>
      <c r="G11636" s="1">
        <v>6</v>
      </c>
      <c r="H11636" s="1">
        <v>0</v>
      </c>
      <c r="I11636" s="1" t="s">
        <v>24131</v>
      </c>
      <c r="K11636" s="1" t="str">
        <f t="shared" si="729"/>
        <v>ㄙ</v>
      </c>
      <c r="L11636" s="1" t="str">
        <f t="shared" si="734"/>
        <v>ㄨ</v>
      </c>
      <c r="M11636" s="1" t="str">
        <f t="shared" si="733"/>
        <v>ㄥ</v>
      </c>
      <c r="P11636" s="1" t="s">
        <v>20</v>
      </c>
      <c r="R11636" s="1" t="s">
        <v>24132</v>
      </c>
      <c r="V11636" s="1" t="s">
        <v>24135</v>
      </c>
      <c r="AR11636" s="1" t="str">
        <f t="shared" si="730"/>
        <v>| [ㄙㄨㄥˋ](ㄙㄨㄥˋ.md) | [送](送.md) |  | sòng | [動]
1.遣去。《說文解字．辵部》：「送，遣也。」宋．文天祥〈正氣歌〉：「楚囚纓其冠，傳車送窮北。」
2.陪伴著走。如：「護送」、「送小弟弟回家」、「送君千里，終須一別。」唐．杜甫〈兵車行〉：「耶娘妻子走相送，塵埃不見咸陽橋。」
3.告別。如：「送別」、「送舊迎新」、「送行」。
4.贈給。如：「贈送」、「他送我一本書。」
5.輸運。如：「送貨」、「送信」、「運送」。
6.供應。如：「送水」、「送電」。
7.傳遞。如：「送秋波」。唐．李白〈古風〉詩五九首之七：「去影忽不見，回風送天聲。」
8.犧牲。如：「送死」、「送命」。元．關漢卿《拜月亭》第三折：「您哥哥暑濕風寒縱較些，多被那煩惱憂愁上送了也。」 |</v>
      </c>
    </row>
    <row r="11637" spans="1:44" hidden="1">
      <c r="A11637" s="1" t="s">
        <v>24136</v>
      </c>
      <c r="C11637" s="1">
        <v>1</v>
      </c>
      <c r="D11637" s="1" t="str">
        <f>"10219"</f>
        <v>10219</v>
      </c>
      <c r="E11637" s="1" t="s">
        <v>331</v>
      </c>
      <c r="F11637" s="1">
        <v>11</v>
      </c>
      <c r="G11637" s="1">
        <v>4</v>
      </c>
      <c r="H11637" s="1">
        <v>0</v>
      </c>
      <c r="I11637" s="1" t="s">
        <v>24131</v>
      </c>
      <c r="K11637" s="1" t="str">
        <f t="shared" si="729"/>
        <v>ㄙ</v>
      </c>
      <c r="L11637" s="1" t="str">
        <f t="shared" si="734"/>
        <v>ㄨ</v>
      </c>
      <c r="M11637" s="1" t="str">
        <f t="shared" si="733"/>
        <v>ㄥ</v>
      </c>
      <c r="P11637" s="1" t="s">
        <v>20</v>
      </c>
      <c r="R11637" s="1" t="s">
        <v>24132</v>
      </c>
      <c r="V11637" s="1" t="s">
        <v>24137</v>
      </c>
      <c r="AR11637" s="1" t="str">
        <f t="shared" si="730"/>
        <v>| [ㄙㄨㄥˋ](ㄙㄨㄥˋ.md) | [訟](訟.md) |  | sòng | [動]
1.爭辯是非。《說文解字．言部》：「訟，爭也。」如：「聚訟紛紜」。《淮南子．俶真》：「周室衰而王道廢，儒墨乃始列道而議，分徒而訟。」
2.雙方打官司以爭論曲直。如：「訴訟」。《周禮．大司寇》：「以兩造禁民訟。」漢．鄭玄．注：「訟，謂以財貨相告者。」
3.責備。《論語．公冶長》：「吾未見能見其過而內自訟者也。」
[副]
公開的、明白的。《史記．卷九．呂太后本紀》：「太尉尚恐不勝諸呂，未敢訟言誅之。」 |</v>
      </c>
    </row>
    <row r="11638" spans="1:44" hidden="1">
      <c r="A11638" s="1" t="s">
        <v>22103</v>
      </c>
      <c r="C11638" s="1">
        <v>1</v>
      </c>
      <c r="D11638" s="1" t="str">
        <f>"10220"</f>
        <v>10220</v>
      </c>
      <c r="E11638" s="1" t="s">
        <v>684</v>
      </c>
      <c r="F11638" s="1">
        <v>13</v>
      </c>
      <c r="G11638" s="1">
        <v>4</v>
      </c>
      <c r="H11638" s="1">
        <v>1</v>
      </c>
      <c r="I11638" s="1" t="s">
        <v>24131</v>
      </c>
      <c r="K11638" s="1" t="str">
        <f t="shared" si="729"/>
        <v>ㄙ</v>
      </c>
      <c r="L11638" s="1" t="str">
        <f t="shared" si="734"/>
        <v>ㄨ</v>
      </c>
      <c r="M11638" s="1" t="str">
        <f t="shared" si="733"/>
        <v>ㄥ</v>
      </c>
      <c r="P11638" s="1" t="s">
        <v>20</v>
      </c>
      <c r="R11638" s="1" t="s">
        <v>24132</v>
      </c>
      <c r="V11638" s="1" t="s">
        <v>24138</v>
      </c>
      <c r="W11638" s="1" t="s">
        <v>24139</v>
      </c>
      <c r="AR11638" s="1" t="str">
        <f t="shared" si="730"/>
        <v>| [ㄙㄨㄥˋ](ㄙㄨㄥˋ.md) | [頌](頌.md) |  | sòng | [名]
1.《詩經》六義之一。是配合舞蹈，讚美祖先、神靈、君主的樂歌，可分為〈周頌〉、〈魯頌〉、〈商頌〉等。
2.文體名。一種以讚美表揚為內容的文體。如劉伶的〈酒德頌〉、陸機的〈漢高祖功臣頌〉。
[動]
1.稱讚別人的好處。如：「歌功頌德」。《史記．卷二八．封禪書》：「即帝位三年，東巡郡縣，祠騶嶧山，頌秦功業。」
2.祝禱。通常用於書信中。如：「敬頌近安」、「順頌時安」。
3.朗讀。通「誦」。《孟子．萬章下》：「頌其詩，讀其書，不知其人可乎？」 |</v>
      </c>
    </row>
    <row r="11639" spans="1:44" hidden="1">
      <c r="A11639" s="1" t="s">
        <v>24140</v>
      </c>
      <c r="C11639" s="1">
        <v>1</v>
      </c>
      <c r="D11639" s="1" t="str">
        <f>"10221"</f>
        <v>10221</v>
      </c>
      <c r="E11639" s="1" t="s">
        <v>331</v>
      </c>
      <c r="F11639" s="1">
        <v>14</v>
      </c>
      <c r="G11639" s="1">
        <v>7</v>
      </c>
      <c r="H11639" s="1">
        <v>0</v>
      </c>
      <c r="I11639" s="1" t="s">
        <v>24131</v>
      </c>
      <c r="K11639" s="1" t="str">
        <f t="shared" si="729"/>
        <v>ㄙ</v>
      </c>
      <c r="L11639" s="1" t="str">
        <f t="shared" si="734"/>
        <v>ㄨ</v>
      </c>
      <c r="M11639" s="1" t="str">
        <f t="shared" si="733"/>
        <v>ㄥ</v>
      </c>
      <c r="P11639" s="1" t="s">
        <v>20</v>
      </c>
      <c r="R11639" s="1" t="s">
        <v>24132</v>
      </c>
      <c r="V11639" s="1" t="s">
        <v>24141</v>
      </c>
      <c r="AR11639" s="1" t="str">
        <f t="shared" si="730"/>
        <v>| [ㄙㄨㄥˋ](ㄙㄨㄥˋ.md) | [誦](誦.md) |  | sòng | [動]
1.大聲朗讀。如：「朗誦」、「誦讀」。
2.陳述、稱說。《孟子．告子下》：「子服堯之服，誦堯之言，行堯之行，是堯而已矣。」
3.怨謗、諷諫。《左傳．襄公四年》：「臧紇救鄫侵邾，敗於狐駘……國人誦之。」《國語．楚語上》：「臨事有瞽史之導，宴居有師工之誦。」三國吳．韋昭．注：「誦，謂箴諫時世也。」
4.背念。如：「背誦」。唐．杜甫〈可歎〉：「群書萬卷常暗誦，孝經一通看在手。」
5.讚美。通「頌」。《左傳．襄公三十一年》：「文王之功，天下誦而歌舞之。」
[名]
詩文。《詩經．小雅．節南山》：「家父作誦，以究王訩。」
[副]
公開的。通「頌」。《漢書．卷三．高后紀》：「平陽侯馳語太尉勃，勃尚恐不勝，未敢誦言誅之。」顏師古注引鄧展曰：「誦言，公言也。」 |</v>
      </c>
    </row>
    <row r="11640" spans="1:44" hidden="1">
      <c r="A11640" s="1" t="s">
        <v>23594</v>
      </c>
      <c r="C11640" s="1">
        <v>1</v>
      </c>
      <c r="D11640" s="1" t="str">
        <f>"09986"</f>
        <v>09986</v>
      </c>
      <c r="E11640" s="1" t="s">
        <v>286</v>
      </c>
      <c r="F11640" s="1">
        <v>4</v>
      </c>
      <c r="G11640" s="1">
        <v>2</v>
      </c>
      <c r="H11640" s="1">
        <v>0</v>
      </c>
      <c r="I11640" s="1" t="s">
        <v>23595</v>
      </c>
      <c r="K11640" s="1" t="str">
        <f t="shared" si="729"/>
        <v>ㄙ</v>
      </c>
      <c r="L11640" s="1" t="str">
        <f t="shared" si="734"/>
        <v>ㄚ</v>
      </c>
      <c r="N11640" s="3" t="s">
        <v>30574</v>
      </c>
      <c r="O11640" s="3"/>
      <c r="P11640" s="1" t="s">
        <v>20</v>
      </c>
      <c r="R11640" s="1" t="s">
        <v>23596</v>
      </c>
      <c r="V11640" s="1" t="s">
        <v>23597</v>
      </c>
      <c r="AR11640" s="1" t="str">
        <f t="shared" si="730"/>
        <v>| [ㄙㄚˋ](ㄙㄚˋ.md) | [卅](卅.md) |  | sà | [名]
三十。如：「他今年卅八歲。」晉．王羲之〈雜帖〉：「建安靈柩至，慈陰幽絕，垂卅年。」 |</v>
      </c>
    </row>
    <row r="11641" spans="1:44" hidden="1">
      <c r="A11641" s="1" t="s">
        <v>5930</v>
      </c>
      <c r="C11641" s="1">
        <v>1</v>
      </c>
      <c r="D11641" s="1" t="str">
        <f>"09987"</f>
        <v>09987</v>
      </c>
      <c r="E11641" s="1" t="s">
        <v>77</v>
      </c>
      <c r="F11641" s="1">
        <v>11</v>
      </c>
      <c r="G11641" s="1">
        <v>4</v>
      </c>
      <c r="H11641" s="1">
        <v>1</v>
      </c>
      <c r="I11641" s="1" t="s">
        <v>23595</v>
      </c>
      <c r="K11641" s="1" t="str">
        <f t="shared" si="729"/>
        <v>ㄙ</v>
      </c>
      <c r="L11641" s="1" t="str">
        <f t="shared" si="734"/>
        <v>ㄚ</v>
      </c>
      <c r="N11641" s="3" t="s">
        <v>30574</v>
      </c>
      <c r="O11641" s="3"/>
      <c r="P11641" s="1" t="s">
        <v>20</v>
      </c>
      <c r="R11641" s="1" t="s">
        <v>23596</v>
      </c>
      <c r="V11641" s="1" t="s">
        <v>23598</v>
      </c>
      <c r="W11641" s="1" t="s">
        <v>23599</v>
      </c>
      <c r="AR11641" s="1" t="str">
        <f t="shared" si="730"/>
        <v>| [ㄙㄚˋ](ㄙㄚˋ.md) | [趿](趿.md) |  | sà | [動]
以腳撥取東西。唐．杜甫〈短歌行贈王郎司直〉：「西得諸侯棹錦水，欲向何門趿珠履。」 |</v>
      </c>
    </row>
    <row r="11642" spans="1:44" hidden="1">
      <c r="A11642" s="1" t="s">
        <v>23600</v>
      </c>
      <c r="C11642" s="1">
        <v>1</v>
      </c>
      <c r="D11642" s="1" t="str">
        <f>"09988"</f>
        <v>09988</v>
      </c>
      <c r="E11642" s="1" t="s">
        <v>1161</v>
      </c>
      <c r="F11642" s="1">
        <v>14</v>
      </c>
      <c r="G11642" s="1">
        <v>5</v>
      </c>
      <c r="H11642" s="1">
        <v>0</v>
      </c>
      <c r="I11642" s="1" t="s">
        <v>23595</v>
      </c>
      <c r="K11642" s="1" t="str">
        <f t="shared" si="729"/>
        <v>ㄙ</v>
      </c>
      <c r="L11642" s="1" t="str">
        <f t="shared" si="734"/>
        <v>ㄚ</v>
      </c>
      <c r="N11642" s="3" t="s">
        <v>30574</v>
      </c>
      <c r="O11642" s="3"/>
      <c r="P11642" s="1" t="s">
        <v>20</v>
      </c>
      <c r="R11642" s="1" t="s">
        <v>23596</v>
      </c>
      <c r="V11642" s="1" t="s">
        <v>23601</v>
      </c>
      <c r="AR11642" s="1" t="str">
        <f t="shared" si="730"/>
        <v>| [ㄙㄚˋ](ㄙㄚˋ.md) | [颯](颯.md) |  | sà | [擬]
形容風聲。唐．李商隱〈無題〉詩四首之二：「颯颯東風細雨來，芙蓉塘外有輕雷。」
[動]
1.狂風掀扯物體。明．湯顯祖《牡丹亭》第一八齣：「夢初回，燕尾翻風，亂颯起湘簾翠。」
2.衰落。南朝梁．陸倕〈思田賦〉：「歲聿忽其云暮，庭草颯以萎黃。」 |</v>
      </c>
    </row>
    <row r="11643" spans="1:44" hidden="1">
      <c r="A11643" s="1" t="s">
        <v>20765</v>
      </c>
      <c r="C11643" s="1">
        <v>1</v>
      </c>
      <c r="D11643" s="1" t="str">
        <f>"09989"</f>
        <v>09989</v>
      </c>
      <c r="E11643" s="1" t="s">
        <v>24</v>
      </c>
      <c r="F11643" s="1">
        <v>14</v>
      </c>
      <c r="G11643" s="1">
        <v>11</v>
      </c>
      <c r="H11643" s="1">
        <v>1</v>
      </c>
      <c r="I11643" s="1" t="s">
        <v>23595</v>
      </c>
      <c r="K11643" s="1" t="str">
        <f t="shared" si="729"/>
        <v>ㄙ</v>
      </c>
      <c r="L11643" s="1" t="str">
        <f t="shared" si="734"/>
        <v>ㄚ</v>
      </c>
      <c r="N11643" s="3" t="s">
        <v>30574</v>
      </c>
      <c r="O11643" s="3"/>
      <c r="P11643" s="1" t="s">
        <v>20</v>
      </c>
      <c r="R11643" s="1" t="s">
        <v>23596</v>
      </c>
      <c r="V11643" s="1" t="s">
        <v>23602</v>
      </c>
      <c r="W11643" s="1" t="s">
        <v>23603</v>
      </c>
      <c r="AR11643" s="1" t="str">
        <f t="shared" si="730"/>
        <v>| [ㄙㄚˋ](ㄙㄚˋ.md) | [摋](摋.md) |  | sà | [動]_x000D_
側手擊打。《公羊傳．莊公十二年》：「萬臂摋仇牧碎其首。」漢．何休．解詁：「側手曰摋。」 |</v>
      </c>
    </row>
    <row r="11644" spans="1:44" hidden="1">
      <c r="A11644" s="1" t="s">
        <v>23037</v>
      </c>
      <c r="C11644" s="1">
        <v>1</v>
      </c>
      <c r="D11644" s="1" t="str">
        <f>"09990"</f>
        <v>09990</v>
      </c>
      <c r="E11644" s="1" t="s">
        <v>37</v>
      </c>
      <c r="F11644" s="1">
        <v>15</v>
      </c>
      <c r="G11644" s="1">
        <v>11</v>
      </c>
      <c r="H11644" s="1">
        <v>2</v>
      </c>
      <c r="I11644" s="1" t="s">
        <v>23595</v>
      </c>
      <c r="K11644" s="1" t="str">
        <f t="shared" si="729"/>
        <v>ㄙ</v>
      </c>
      <c r="L11644" s="1" t="str">
        <f t="shared" si="734"/>
        <v>ㄚ</v>
      </c>
      <c r="N11644" s="3" t="s">
        <v>30574</v>
      </c>
      <c r="O11644" s="3"/>
      <c r="P11644" s="1" t="s">
        <v>20</v>
      </c>
      <c r="R11644" s="1" t="s">
        <v>23596</v>
      </c>
      <c r="V11644" s="1" t="s">
        <v>23604</v>
      </c>
      <c r="W11644" s="1" t="s">
        <v>23605</v>
      </c>
      <c r="AR11644" s="1" t="str">
        <f t="shared" si="730"/>
        <v>| [ㄙㄚˋ](ㄙㄚˋ.md) | [蔡](蔡.md) |  | sà | [動]
流放、放逐。《左傳．昭公元年》：「周公殺管叔而蔡蔡叔，夫豈不愛，王室故也。」晉．杜預．注：「蔡，放也。」 |</v>
      </c>
    </row>
    <row r="11645" spans="1:44" hidden="1">
      <c r="A11645" s="1" t="s">
        <v>23606</v>
      </c>
      <c r="C11645" s="1">
        <v>1</v>
      </c>
      <c r="D11645" s="1" t="str">
        <f>"09991"</f>
        <v>09991</v>
      </c>
      <c r="E11645" s="1" t="s">
        <v>37</v>
      </c>
      <c r="F11645" s="1">
        <v>18</v>
      </c>
      <c r="G11645" s="1">
        <v>14</v>
      </c>
      <c r="H11645" s="1">
        <v>0</v>
      </c>
      <c r="I11645" s="1" t="s">
        <v>23595</v>
      </c>
      <c r="K11645" s="1" t="str">
        <f t="shared" si="729"/>
        <v>ㄙ</v>
      </c>
      <c r="L11645" s="1" t="str">
        <f t="shared" si="734"/>
        <v>ㄚ</v>
      </c>
      <c r="N11645" s="3" t="s">
        <v>30574</v>
      </c>
      <c r="O11645" s="3"/>
      <c r="P11645" s="1" t="s">
        <v>20</v>
      </c>
      <c r="R11645" s="1" t="s">
        <v>23596</v>
      </c>
      <c r="V11645" s="1" t="s">
        <v>23607</v>
      </c>
      <c r="AR11645" s="1" t="str">
        <f t="shared" si="730"/>
        <v>| [ㄙㄚˋ](ㄙㄚˋ.md) | [薩](薩.md) |  | sà | [名]
1.參見「菩薩」條。
2.姓。如明代有薩琦。 |</v>
      </c>
    </row>
    <row r="11646" spans="1:44" hidden="1">
      <c r="A11646" s="1" t="s">
        <v>5947</v>
      </c>
      <c r="C11646" s="1">
        <v>1</v>
      </c>
      <c r="D11646" s="1" t="str">
        <f>"09992"</f>
        <v>09992</v>
      </c>
      <c r="E11646" s="1" t="s">
        <v>55</v>
      </c>
      <c r="F11646" s="1">
        <v>18</v>
      </c>
      <c r="G11646" s="1">
        <v>10</v>
      </c>
      <c r="H11646" s="1">
        <v>1</v>
      </c>
      <c r="I11646" s="1" t="s">
        <v>23595</v>
      </c>
      <c r="K11646" s="1" t="str">
        <f t="shared" si="729"/>
        <v>ㄙ</v>
      </c>
      <c r="L11646" s="1" t="str">
        <f t="shared" si="734"/>
        <v>ㄚ</v>
      </c>
      <c r="N11646" s="3" t="s">
        <v>30574</v>
      </c>
      <c r="O11646" s="3"/>
      <c r="P11646" s="1" t="s">
        <v>20</v>
      </c>
      <c r="R11646" s="1" t="s">
        <v>23596</v>
      </c>
      <c r="V11646" s="1" t="s">
        <v>23608</v>
      </c>
      <c r="W11646" s="1" t="s">
        <v>23609</v>
      </c>
      <c r="AR11646" s="1" t="str">
        <f t="shared" si="730"/>
        <v>| [ㄙㄚˋ](ㄙㄚˋ.md) | [鎝](鎝.md) |  | sà | [動]
刻鏤。《集韻．入聲．合韻》：「鎝，鏤也。」 |</v>
      </c>
    </row>
    <row r="11647" spans="1:44" hidden="1">
      <c r="A11647" s="1" t="s">
        <v>23610</v>
      </c>
      <c r="C11647" s="1">
        <v>1</v>
      </c>
      <c r="D11647" s="1" t="str">
        <f>"09993"</f>
        <v>09993</v>
      </c>
      <c r="E11647" s="1" t="s">
        <v>77</v>
      </c>
      <c r="F11647" s="1">
        <v>24</v>
      </c>
      <c r="G11647" s="1">
        <v>17</v>
      </c>
      <c r="H11647" s="1">
        <v>0</v>
      </c>
      <c r="I11647" s="1" t="s">
        <v>23595</v>
      </c>
      <c r="K11647" s="1" t="str">
        <f t="shared" si="729"/>
        <v>ㄙ</v>
      </c>
      <c r="L11647" s="1" t="str">
        <f t="shared" si="734"/>
        <v>ㄚ</v>
      </c>
      <c r="N11647" s="3" t="s">
        <v>30574</v>
      </c>
      <c r="O11647" s="3"/>
      <c r="P11647" s="1" t="s">
        <v>20</v>
      </c>
      <c r="R11647" s="1" t="s">
        <v>23596</v>
      </c>
      <c r="V11647" s="1" t="s">
        <v>1141</v>
      </c>
      <c r="AR11647" s="1" t="str">
        <f t="shared" si="730"/>
        <v>| [ㄙㄚˋ](ㄙㄚˋ.md) | [躠](躠.md) |  | sà | 參見「蹩躠」條。 |</v>
      </c>
    </row>
    <row r="11648" spans="1:44" hidden="1">
      <c r="A11648" s="1" t="s">
        <v>16261</v>
      </c>
      <c r="C11648" s="1">
        <v>1</v>
      </c>
      <c r="D11648" s="1" t="str">
        <f>"09982"</f>
        <v>09982</v>
      </c>
      <c r="E11648" s="1" t="s">
        <v>129</v>
      </c>
      <c r="F11648" s="1">
        <v>9</v>
      </c>
      <c r="G11648" s="1">
        <v>6</v>
      </c>
      <c r="H11648" s="1">
        <v>4</v>
      </c>
      <c r="I11648" s="1" t="s">
        <v>23584</v>
      </c>
      <c r="K11648" s="1" t="str">
        <f t="shared" si="729"/>
        <v>ㄙ</v>
      </c>
      <c r="L11648" s="1" t="str">
        <f t="shared" si="734"/>
        <v>ㄚ</v>
      </c>
      <c r="N11648" s="3" t="s">
        <v>30576</v>
      </c>
      <c r="O11648" s="3"/>
      <c r="P11648" s="1" t="s">
        <v>20</v>
      </c>
      <c r="R11648" s="1" t="s">
        <v>23585</v>
      </c>
      <c r="V11648" s="1" t="s">
        <v>23586</v>
      </c>
      <c r="W11648" s="1" t="s">
        <v>23587</v>
      </c>
      <c r="AR11648" s="1" t="str">
        <f t="shared" si="730"/>
        <v>| [ㄙㄚˇ](ㄙㄚˇ.md) | [洒](洒.md) |  | sǎ | 參見「洒家」條。 |</v>
      </c>
    </row>
    <row r="11649" spans="1:44" hidden="1">
      <c r="A11649" s="1" t="s">
        <v>5933</v>
      </c>
      <c r="C11649" s="1">
        <v>1</v>
      </c>
      <c r="D11649" s="1" t="str">
        <f>"09983"</f>
        <v>09983</v>
      </c>
      <c r="E11649" s="1" t="s">
        <v>96</v>
      </c>
      <c r="F11649" s="1">
        <v>13</v>
      </c>
      <c r="G11649" s="1">
        <v>4</v>
      </c>
      <c r="H11649" s="1">
        <v>2</v>
      </c>
      <c r="I11649" s="1" t="s">
        <v>23584</v>
      </c>
      <c r="K11649" s="1" t="str">
        <f t="shared" si="729"/>
        <v>ㄙ</v>
      </c>
      <c r="L11649" s="1" t="str">
        <f t="shared" si="734"/>
        <v>ㄚ</v>
      </c>
      <c r="N11649" s="3" t="s">
        <v>30576</v>
      </c>
      <c r="O11649" s="3"/>
      <c r="P11649" s="1" t="s">
        <v>20</v>
      </c>
      <c r="R11649" s="1" t="s">
        <v>23585</v>
      </c>
      <c r="V11649" s="1" t="s">
        <v>23588</v>
      </c>
      <c r="W11649" s="1" t="s">
        <v>23589</v>
      </c>
      <c r="AR11649" s="1" t="str">
        <f t="shared" si="730"/>
        <v>| [ㄙㄚˇ](ㄙㄚˇ.md) | [靸](靸.md) |  | sǎ | [名]
一種沒有後跟的鞋子。今日的拖鞋是其遺制。原以皮製，為朝祭之服飾或舞女所著。後亦代以草編。元．陶宗儀《南村輟耕錄．卷一八．靸鞋》：「西浙之人，以草為履而無跟，名曰：『靸鞋』。婦女非纏足者，通曳之。」 |</v>
      </c>
    </row>
    <row r="11650" spans="1:44" hidden="1">
      <c r="A11650" s="1" t="s">
        <v>23581</v>
      </c>
      <c r="C11650" s="1">
        <v>1</v>
      </c>
      <c r="D11650" s="1" t="str">
        <f>"09984"</f>
        <v>09984</v>
      </c>
      <c r="E11650" s="1" t="s">
        <v>24</v>
      </c>
      <c r="F11650" s="1">
        <v>15</v>
      </c>
      <c r="G11650" s="1">
        <v>12</v>
      </c>
      <c r="H11650" s="1">
        <v>2</v>
      </c>
      <c r="I11650" s="1" t="s">
        <v>23584</v>
      </c>
      <c r="K11650" s="1" t="str">
        <f t="shared" si="729"/>
        <v>ㄙ</v>
      </c>
      <c r="L11650" s="1" t="str">
        <f t="shared" si="734"/>
        <v>ㄚ</v>
      </c>
      <c r="N11650" s="3" t="s">
        <v>30576</v>
      </c>
      <c r="O11650" s="3"/>
      <c r="P11650" s="1" t="s">
        <v>20</v>
      </c>
      <c r="R11650" s="1" t="s">
        <v>23585</v>
      </c>
      <c r="V11650" s="1" t="s">
        <v>23590</v>
      </c>
      <c r="W11650" s="1" t="s">
        <v>23591</v>
      </c>
      <c r="AR11650" s="1" t="str">
        <f t="shared" si="730"/>
        <v>| [ㄙㄚˇ](ㄙㄚˇ.md) | [撒](撒.md) |  | sǎ | [動]
1.散布、分散。如：「播撒」、「撒胡椒粉」。南朝宋．劉義慶《世說新語．言語》：「兄子胡兒曰：『撒鹽空中差可擬。』」
2.東西散落或傾倒出來。明．張岱《夜航船．卷一九．物裡部．物類相感》：「水銀撒了，以青石引之，皆上石。」《儒林外史》第一七回：「那人把匡大擔子奪了下來，那些零零碎碎東西，撒了一地。」 |</v>
      </c>
    </row>
    <row r="11651" spans="1:44" hidden="1">
      <c r="A11651" s="1" t="s">
        <v>23592</v>
      </c>
      <c r="C11651" s="1">
        <v>1</v>
      </c>
      <c r="D11651" s="1" t="str">
        <f>"09985"</f>
        <v>09985</v>
      </c>
      <c r="E11651" s="1" t="s">
        <v>129</v>
      </c>
      <c r="F11651" s="1">
        <v>22</v>
      </c>
      <c r="G11651" s="1">
        <v>19</v>
      </c>
      <c r="H11651" s="1">
        <v>0</v>
      </c>
      <c r="I11651" s="1" t="s">
        <v>23584</v>
      </c>
      <c r="K11651" s="1" t="str">
        <f t="shared" si="729"/>
        <v>ㄙ</v>
      </c>
      <c r="L11651" s="1" t="str">
        <f t="shared" si="734"/>
        <v>ㄚ</v>
      </c>
      <c r="N11651" s="3" t="s">
        <v>30576</v>
      </c>
      <c r="O11651" s="3"/>
      <c r="P11651" s="1" t="s">
        <v>20</v>
      </c>
      <c r="R11651" s="1" t="s">
        <v>23585</v>
      </c>
      <c r="V11651" s="1" t="s">
        <v>23593</v>
      </c>
      <c r="AR11651" s="1" t="str">
        <f t="shared" ref="AR11651:AR11714" si="735">"| ["&amp;I11651&amp;"]("&amp;I11651&amp;".md) | ["&amp;A11651&amp;"]("&amp;A11651&amp;".md) | "&amp;" | "&amp;R11651&amp;" | "&amp;V11651&amp;" |"</f>
        <v>| [ㄙㄚˇ](ㄙㄚˇ.md) | [灑](灑.md) |  | sǎ | [動]
1.撒、潑。如：「灑水掃地」。南朝宋．劉義慶《世說新語．簡傲》：「主已知子猷當往，乃灑埽施設，在聽事坐相待。」
2.東西散落或傾倒。如：「湯灑了。」「花生灑了一地。」《鏡花緣》第三五回：「宮娥拾過，又斟一杯，林之洋接著，心中更覺發慌，登時又把酒灑了。」
3.拋、投。晉．潘岳〈西征賦〉：「灑釣投網，垂餌出入，挺叉來往。」
4.揮寫。如：「揮灑」。唐．李白〈獻從叔當塗宰陽冰〉詩：「落筆灑篆文，崩雲使人驚。」
[形]
自然不受拘束。如：「灑脫」、「瀟灑」。 |</v>
      </c>
    </row>
    <row r="11652" spans="1:44" hidden="1">
      <c r="A11652" s="1" t="s">
        <v>20811</v>
      </c>
      <c r="C11652" s="1">
        <v>1</v>
      </c>
      <c r="D11652" s="1" t="str">
        <f>"09994"</f>
        <v>09994</v>
      </c>
      <c r="E11652" s="1" t="s">
        <v>24</v>
      </c>
      <c r="F11652" s="1">
        <v>11</v>
      </c>
      <c r="G11652" s="1">
        <v>7</v>
      </c>
      <c r="H11652" s="1">
        <v>3</v>
      </c>
      <c r="I11652" s="1" t="s">
        <v>23611</v>
      </c>
      <c r="J11652" s="2" t="s">
        <v>30559</v>
      </c>
      <c r="K11652" s="1" t="s">
        <v>20563</v>
      </c>
      <c r="L11652" s="1" t="s">
        <v>24143</v>
      </c>
      <c r="P11652" s="1" t="s">
        <v>20</v>
      </c>
      <c r="R11652" s="1" t="s">
        <v>23612</v>
      </c>
      <c r="V11652" s="1" t="s">
        <v>23613</v>
      </c>
      <c r="W11652" s="1" t="s">
        <v>23614</v>
      </c>
      <c r="AR11652" s="1" t="str">
        <f t="shared" si="735"/>
        <v>| [˙ㄙㄚ](˙ㄙㄚ.md) | [挲](挲.md) |  | sa | 參見「摩挲」(二)條。 |</v>
      </c>
    </row>
    <row r="11653" spans="1:44" hidden="1">
      <c r="A11653" s="1" t="s">
        <v>20851</v>
      </c>
      <c r="C11653" s="1">
        <v>1</v>
      </c>
      <c r="D11653" s="1" t="str">
        <f>"09995"</f>
        <v>09995</v>
      </c>
      <c r="E11653" s="1" t="s">
        <v>2433</v>
      </c>
      <c r="F11653" s="1">
        <v>6</v>
      </c>
      <c r="G11653" s="1">
        <v>0</v>
      </c>
      <c r="H11653" s="1">
        <v>1</v>
      </c>
      <c r="I11653" s="1" t="s">
        <v>23615</v>
      </c>
      <c r="K11653" s="1" t="str">
        <f t="shared" ref="K11653:K11684" si="736">LEFT(I11653, 1)</f>
        <v>ㄙ</v>
      </c>
      <c r="L11653" s="1" t="str">
        <f t="shared" ref="L11653:L11684" si="737">MID(I11653, 2, 1)</f>
        <v>ㄜ</v>
      </c>
      <c r="N11653" s="3" t="s">
        <v>30574</v>
      </c>
      <c r="O11653" s="3"/>
      <c r="P11653" s="1" t="s">
        <v>20</v>
      </c>
      <c r="R11653" s="1" t="s">
        <v>23616</v>
      </c>
      <c r="V11653" s="1" t="s">
        <v>23617</v>
      </c>
      <c r="W11653" s="1" t="s">
        <v>23618</v>
      </c>
      <c r="AR11653" s="1" t="str">
        <f t="shared" si="735"/>
        <v>| [ㄙㄜˋ](ㄙㄜˋ.md) | [色](色.md) |  | sè | [名]
1.物體表面的色彩。如：「五顏六色」、「五光十色」、「花色鮮豔」。
2.面容、神情。如：「不動聲色」、「和顏悅色」、「面不改色」、「察言觀色」。
3.女色，容貌美麗的婦女。《論語．季氏》：「少之時，血氣未定，戒之在色。」唐．白居易〈長恨歌〉：「漢皇重色思傾國，御宇多年求不得。」
4.景象。如：「暮色深沉」、「景色宜人」。
5.種類、式樣。如：「貨色齊全」、「形形色色」、「花色繁多」。
6.品質、成分。多指金銀而言。如：「成色」、「足色」。
7.性慾、情慾。如：「色情」、「桃色糾紛」。《孟子．告子上》：「告子曰：『食、色，性也。』」
8.二一四部首之一。
[動]
1.生氣發怒，改變臉色。《戰國策．韓策二》：「怒於室者色於市，今公叔怨齊，無奈何也。」
2.訪求。如：「物色」。 |</v>
      </c>
    </row>
    <row r="11654" spans="1:44" hidden="1">
      <c r="A11654" s="1" t="s">
        <v>23619</v>
      </c>
      <c r="C11654" s="1">
        <v>1</v>
      </c>
      <c r="D11654" s="1" t="str">
        <f>"09996"</f>
        <v>09996</v>
      </c>
      <c r="E11654" s="1" t="s">
        <v>55</v>
      </c>
      <c r="F11654" s="1">
        <v>14</v>
      </c>
      <c r="G11654" s="1">
        <v>6</v>
      </c>
      <c r="H11654" s="1">
        <v>0</v>
      </c>
      <c r="I11654" s="1" t="s">
        <v>23615</v>
      </c>
      <c r="K11654" s="1" t="str">
        <f t="shared" si="736"/>
        <v>ㄙ</v>
      </c>
      <c r="L11654" s="1" t="str">
        <f t="shared" si="737"/>
        <v>ㄜ</v>
      </c>
      <c r="N11654" s="3" t="s">
        <v>30574</v>
      </c>
      <c r="O11654" s="3"/>
      <c r="P11654" s="1" t="s">
        <v>20</v>
      </c>
      <c r="R11654" s="1" t="s">
        <v>23616</v>
      </c>
      <c r="V11654" s="1" t="s">
        <v>23620</v>
      </c>
      <c r="AR11654" s="1" t="str">
        <f t="shared" si="735"/>
        <v>| [ㄙㄜˋ](ㄙㄜˋ.md) | [銫](銫.md) |  | sè | [名]
（cesium，Cs）化學元素。原子序55。鹼金屬元素之一。呈銀白色，質地柔軟，活性大，是熱與電的優良導體。在空氣中能自燃，火焰為青色。可用以製造光電管及真空管中的電極。 |</v>
      </c>
    </row>
    <row r="11655" spans="1:44" hidden="1">
      <c r="A11655" s="1" t="s">
        <v>12946</v>
      </c>
      <c r="C11655" s="1">
        <v>1</v>
      </c>
      <c r="D11655" s="1" t="str">
        <f>"09997"</f>
        <v>09997</v>
      </c>
      <c r="E11655" s="1" t="s">
        <v>132</v>
      </c>
      <c r="F11655" s="1">
        <v>7</v>
      </c>
      <c r="G11655" s="1">
        <v>4</v>
      </c>
      <c r="H11655" s="1">
        <v>2</v>
      </c>
      <c r="I11655" s="1" t="s">
        <v>23615</v>
      </c>
      <c r="K11655" s="1" t="str">
        <f t="shared" si="736"/>
        <v>ㄙ</v>
      </c>
      <c r="L11655" s="1" t="str">
        <f t="shared" si="737"/>
        <v>ㄜ</v>
      </c>
      <c r="N11655" s="3" t="s">
        <v>30574</v>
      </c>
      <c r="O11655" s="3"/>
      <c r="P11655" s="1" t="s">
        <v>20</v>
      </c>
      <c r="R11655" s="1" t="s">
        <v>23616</v>
      </c>
      <c r="V11655" s="1" t="s">
        <v>7845</v>
      </c>
      <c r="W11655" s="1" t="s">
        <v>23621</v>
      </c>
      <c r="AR11655" s="1" t="str">
        <f t="shared" si="735"/>
        <v>| [ㄙㄜˋ](ㄙㄜˋ.md) | [圾](圾.md) |  | sè | 參見「垃圾」條。 |</v>
      </c>
    </row>
    <row r="11656" spans="1:44" hidden="1">
      <c r="A11656" s="1" t="s">
        <v>12957</v>
      </c>
      <c r="C11656" s="1">
        <v>1</v>
      </c>
      <c r="D11656" s="1" t="str">
        <f>"09998"</f>
        <v>09998</v>
      </c>
      <c r="E11656" s="1" t="s">
        <v>55</v>
      </c>
      <c r="F11656" s="1">
        <v>12</v>
      </c>
      <c r="G11656" s="1">
        <v>4</v>
      </c>
      <c r="H11656" s="1">
        <v>1</v>
      </c>
      <c r="I11656" s="1" t="s">
        <v>23615</v>
      </c>
      <c r="K11656" s="1" t="str">
        <f t="shared" si="736"/>
        <v>ㄙ</v>
      </c>
      <c r="L11656" s="1" t="str">
        <f t="shared" si="737"/>
        <v>ㄜ</v>
      </c>
      <c r="N11656" s="3" t="s">
        <v>30574</v>
      </c>
      <c r="O11656" s="3"/>
      <c r="P11656" s="1" t="s">
        <v>20</v>
      </c>
      <c r="R11656" s="1" t="s">
        <v>23616</v>
      </c>
      <c r="V11656" s="1" t="s">
        <v>23622</v>
      </c>
      <c r="W11656" s="1" t="s">
        <v>23623</v>
      </c>
      <c r="AR11656" s="1" t="str">
        <f t="shared" si="735"/>
        <v>| [ㄙㄜˋ](ㄙㄜˋ.md) | [鈒](鈒.md) |  | sè | [名]
1.鐵把小矛，古代作為兵器或農具。晉．陸雲〈答車茂安書〉：「舉鈒成雲，下鈒成雨，既浸既潤，隨時代序也。」
2.戟。《北史．卷一〇．周宣帝本紀》：「又令武賁持鈒馬上，稱警蹕，以至同州。」
[動]
以金銀鑲飾器物。宋．吳曾《能改齋漫錄．卷一三．記事》：「近年賜帶者多，匠者務為新巧，遂以御仙花枝葉稍繁，改鈒荔枝，而葉極省。」 |</v>
      </c>
    </row>
    <row r="11657" spans="1:44" hidden="1">
      <c r="A11657" s="1" t="s">
        <v>23624</v>
      </c>
      <c r="C11657" s="1">
        <v>1</v>
      </c>
      <c r="D11657" s="1" t="str">
        <f>"09999"</f>
        <v>09999</v>
      </c>
      <c r="E11657" s="1" t="s">
        <v>132</v>
      </c>
      <c r="F11657" s="1">
        <v>13</v>
      </c>
      <c r="G11657" s="1">
        <v>10</v>
      </c>
      <c r="H11657" s="1">
        <v>1</v>
      </c>
      <c r="I11657" s="1" t="s">
        <v>23615</v>
      </c>
      <c r="K11657" s="1" t="str">
        <f t="shared" si="736"/>
        <v>ㄙ</v>
      </c>
      <c r="L11657" s="1" t="str">
        <f t="shared" si="737"/>
        <v>ㄜ</v>
      </c>
      <c r="N11657" s="3" t="s">
        <v>30574</v>
      </c>
      <c r="O11657" s="3"/>
      <c r="P11657" s="1" t="s">
        <v>20</v>
      </c>
      <c r="R11657" s="1" t="s">
        <v>23616</v>
      </c>
      <c r="V11657" s="1" t="s">
        <v>23625</v>
      </c>
      <c r="W11657" s="1" t="s">
        <v>23626</v>
      </c>
      <c r="AR11657" s="1" t="str">
        <f t="shared" si="735"/>
        <v>| [ㄙㄜˋ](ㄙㄜˋ.md) | [塞](塞.md) |  | sè | [動]
1.阻隔不通。如：「堵塞」、「阻塞」、「閉塞」。《文選．諸葛亮．出師表》：「不宜妄自菲薄，引喻失義，以塞忠諫之路也。」
2.充滿。如：「充塞」。《禮記．孔子閒居》：「志氣塞乎天地。」
3.推託、應付。如：「搪塞」、「塞責」。
4.補救。《漢書．卷七一．于定國傳》：「今丞相、御史將欲何施以塞此咎？悉意條狀，陳朕過失。」 |</v>
      </c>
    </row>
    <row r="11658" spans="1:44" hidden="1">
      <c r="A11658" s="1" t="s">
        <v>23627</v>
      </c>
      <c r="C11658" s="1">
        <v>1</v>
      </c>
      <c r="D11658" s="1" t="str">
        <f>"10000"</f>
        <v>10000</v>
      </c>
      <c r="E11658" s="1" t="s">
        <v>142</v>
      </c>
      <c r="F11658" s="1">
        <v>13</v>
      </c>
      <c r="G11658" s="1">
        <v>9</v>
      </c>
      <c r="H11658" s="1">
        <v>0</v>
      </c>
      <c r="I11658" s="1" t="s">
        <v>23615</v>
      </c>
      <c r="K11658" s="1" t="str">
        <f t="shared" si="736"/>
        <v>ㄙ</v>
      </c>
      <c r="L11658" s="1" t="str">
        <f t="shared" si="737"/>
        <v>ㄜ</v>
      </c>
      <c r="N11658" s="3" t="s">
        <v>30574</v>
      </c>
      <c r="O11658" s="3"/>
      <c r="P11658" s="1" t="s">
        <v>20</v>
      </c>
      <c r="R11658" s="1" t="s">
        <v>23616</v>
      </c>
      <c r="V11658" s="1" t="s">
        <v>23628</v>
      </c>
      <c r="AR11658" s="1" t="str">
        <f t="shared" si="735"/>
        <v>| [ㄙㄜˋ](ㄙㄜˋ.md) | [瑟](瑟.md) |  | sè | [名]
樂器名。一種彈撥弦樂器。形狀似琴，長八尺一吋，廣一尺八吋，相傳為庖犧所作。古有五十弦，後改為二十五弦，弦各有柱，可上下移動，以定聲音清濁高低。
[副]
單獨、寂寞、蕭條。如：「瑟居」、「蕭瑟」。
[擬]
形容風聲。如：「谷風瑟瑟」。 |</v>
      </c>
    </row>
    <row r="11659" spans="1:44" hidden="1">
      <c r="A11659" s="1" t="s">
        <v>23629</v>
      </c>
      <c r="C11659" s="1">
        <v>1</v>
      </c>
      <c r="D11659" s="1" t="str">
        <f>"10001"</f>
        <v>10001</v>
      </c>
      <c r="E11659" s="1" t="s">
        <v>142</v>
      </c>
      <c r="F11659" s="1">
        <v>17</v>
      </c>
      <c r="G11659" s="1">
        <v>13</v>
      </c>
      <c r="H11659" s="1">
        <v>0</v>
      </c>
      <c r="I11659" s="1" t="s">
        <v>23615</v>
      </c>
      <c r="K11659" s="1" t="str">
        <f t="shared" si="736"/>
        <v>ㄙ</v>
      </c>
      <c r="L11659" s="1" t="str">
        <f t="shared" si="737"/>
        <v>ㄜ</v>
      </c>
      <c r="N11659" s="3" t="s">
        <v>30574</v>
      </c>
      <c r="O11659" s="3"/>
      <c r="P11659" s="1" t="s">
        <v>20</v>
      </c>
      <c r="R11659" s="1" t="s">
        <v>23616</v>
      </c>
      <c r="V11659" s="1" t="s">
        <v>23630</v>
      </c>
      <c r="AR11659" s="1" t="str">
        <f t="shared" si="735"/>
        <v>| [ㄙㄜˋ](ㄙㄜˋ.md) | [璱](璱.md) |  | sè | [形]
形容玉的橫紋像琴弦一樣。《說文解字．玉部》：「璱，玉英華相帶如瑟弦。」 |</v>
      </c>
    </row>
    <row r="11660" spans="1:44" hidden="1">
      <c r="A11660" s="1" t="s">
        <v>23631</v>
      </c>
      <c r="C11660" s="1">
        <v>1</v>
      </c>
      <c r="D11660" s="1" t="str">
        <f>"10002"</f>
        <v>10002</v>
      </c>
      <c r="E11660" s="1" t="s">
        <v>1161</v>
      </c>
      <c r="F11660" s="1">
        <v>22</v>
      </c>
      <c r="G11660" s="1">
        <v>13</v>
      </c>
      <c r="H11660" s="1">
        <v>0</v>
      </c>
      <c r="I11660" s="1" t="s">
        <v>23615</v>
      </c>
      <c r="K11660" s="1" t="str">
        <f t="shared" si="736"/>
        <v>ㄙ</v>
      </c>
      <c r="L11660" s="1" t="str">
        <f t="shared" si="737"/>
        <v>ㄜ</v>
      </c>
      <c r="N11660" s="3" t="s">
        <v>30574</v>
      </c>
      <c r="O11660" s="3"/>
      <c r="P11660" s="1" t="s">
        <v>20</v>
      </c>
      <c r="R11660" s="1" t="s">
        <v>23616</v>
      </c>
      <c r="V11660" s="1" t="s">
        <v>23632</v>
      </c>
      <c r="AR11660" s="1" t="str">
        <f t="shared" si="735"/>
        <v>| [ㄙㄜˋ](ㄙㄜˋ.md) | [飋](飋.md) |  | sè | [名]
秋風。《玉篇．風部》：「飋，秋風。」《文選．王延壽．魯靈光殿賦》：「鴻爌炾以爣閬，飋蕭條而清冷。」
[擬]
形容風吹的聲音。唐．王周〈西山晚景〉詩：「半引彎彎月，微生飋飋風。」 |</v>
      </c>
    </row>
    <row r="11661" spans="1:44" hidden="1">
      <c r="A11661" s="1" t="s">
        <v>23633</v>
      </c>
      <c r="C11661" s="1">
        <v>1</v>
      </c>
      <c r="D11661" s="1" t="str">
        <f>"10003"</f>
        <v>10003</v>
      </c>
      <c r="E11661" s="1" t="s">
        <v>28</v>
      </c>
      <c r="F11661" s="1">
        <v>13</v>
      </c>
      <c r="G11661" s="1">
        <v>10</v>
      </c>
      <c r="H11661" s="1">
        <v>0</v>
      </c>
      <c r="I11661" s="1" t="s">
        <v>23615</v>
      </c>
      <c r="K11661" s="1" t="str">
        <f t="shared" si="736"/>
        <v>ㄙ</v>
      </c>
      <c r="L11661" s="1" t="str">
        <f t="shared" si="737"/>
        <v>ㄜ</v>
      </c>
      <c r="N11661" s="3" t="s">
        <v>30574</v>
      </c>
      <c r="O11661" s="3"/>
      <c r="P11661" s="1" t="s">
        <v>20</v>
      </c>
      <c r="R11661" s="1" t="s">
        <v>23616</v>
      </c>
      <c r="V11661" s="1" t="s">
        <v>23634</v>
      </c>
      <c r="AR11661" s="1" t="str">
        <f t="shared" si="735"/>
        <v>| [ㄙㄜˋ](ㄙㄜˋ.md) | [嗇](嗇.md) |  | sè | [形]
儉省。如：「吝嗇」、「慳嗇」。《管子．五輔》：「纖嗇省用，以備飢饉。」
[名]
耕作的事。通「穡」。《漢書．卷一〇．成帝紀》：「服田力嗇，乃亦有秋。」 |</v>
      </c>
    </row>
    <row r="11662" spans="1:44" hidden="1">
      <c r="A11662" s="1" t="s">
        <v>23635</v>
      </c>
      <c r="C11662" s="1">
        <v>1</v>
      </c>
      <c r="D11662" s="1" t="str">
        <f>"10004"</f>
        <v>10004</v>
      </c>
      <c r="E11662" s="1" t="s">
        <v>129</v>
      </c>
      <c r="F11662" s="1">
        <v>16</v>
      </c>
      <c r="G11662" s="1">
        <v>13</v>
      </c>
      <c r="H11662" s="1">
        <v>0</v>
      </c>
      <c r="I11662" s="1" t="s">
        <v>23615</v>
      </c>
      <c r="K11662" s="1" t="str">
        <f t="shared" si="736"/>
        <v>ㄙ</v>
      </c>
      <c r="L11662" s="1" t="str">
        <f t="shared" si="737"/>
        <v>ㄜ</v>
      </c>
      <c r="N11662" s="3" t="s">
        <v>30574</v>
      </c>
      <c r="O11662" s="3"/>
      <c r="P11662" s="1" t="s">
        <v>20</v>
      </c>
      <c r="R11662" s="1" t="s">
        <v>23616</v>
      </c>
      <c r="V11662" s="1" t="s">
        <v>23636</v>
      </c>
      <c r="AR11662" s="1" t="str">
        <f t="shared" si="735"/>
        <v>| [ㄙㄜˋ](ㄙㄜˋ.md) | [濇](濇.md) |  | sè | [形]_x000D_
不光滑、不順暢。《聊齋志異．卷六．雲翠仙》：「山路濇，母如此蹜蹜，妹如此纖纖，何能便至？」 |</v>
      </c>
    </row>
    <row r="11663" spans="1:44" hidden="1">
      <c r="A11663" s="1" t="s">
        <v>23637</v>
      </c>
      <c r="C11663" s="1">
        <v>1</v>
      </c>
      <c r="D11663" s="1" t="str">
        <f>"10005"</f>
        <v>10005</v>
      </c>
      <c r="E11663" s="1" t="s">
        <v>429</v>
      </c>
      <c r="F11663" s="1">
        <v>18</v>
      </c>
      <c r="G11663" s="1">
        <v>13</v>
      </c>
      <c r="H11663" s="1">
        <v>0</v>
      </c>
      <c r="I11663" s="1" t="s">
        <v>23615</v>
      </c>
      <c r="K11663" s="1" t="str">
        <f t="shared" si="736"/>
        <v>ㄙ</v>
      </c>
      <c r="L11663" s="1" t="str">
        <f t="shared" si="737"/>
        <v>ㄜ</v>
      </c>
      <c r="N11663" s="3" t="s">
        <v>30574</v>
      </c>
      <c r="O11663" s="3"/>
      <c r="P11663" s="1" t="s">
        <v>20</v>
      </c>
      <c r="R11663" s="1" t="s">
        <v>23616</v>
      </c>
      <c r="V11663" s="1" t="s">
        <v>23638</v>
      </c>
      <c r="AR11663" s="1" t="str">
        <f t="shared" si="735"/>
        <v>| [ㄙㄜˋ](ㄙㄜˋ.md) | [穡](穡.md) |  | sè | [名]
成熟可收割的穀物。《晉書．卷五二．阮种傳》：「如農者之殖磽野，旱年之望豐穡。」
[動]
1.收割穀物。《詩經．魏風．伐檀》：「不稼不穡，胡取禾三百廛兮？」
2.耕種。漢．桓寬《鹽鐵論．錯弊》：「古之仕者不穡，田者不漁。」
3.愛惜、節儉。《左傳．昭公元年》：「大國省穡而用之，其何實非命。」 |</v>
      </c>
    </row>
    <row r="11664" spans="1:44" hidden="1">
      <c r="A11664" s="1" t="s">
        <v>23639</v>
      </c>
      <c r="C11664" s="1">
        <v>1</v>
      </c>
      <c r="D11664" s="1" t="str">
        <f>"10006"</f>
        <v>10006</v>
      </c>
      <c r="E11664" s="1" t="s">
        <v>71</v>
      </c>
      <c r="F11664" s="1">
        <v>20</v>
      </c>
      <c r="G11664" s="1">
        <v>13</v>
      </c>
      <c r="H11664" s="1">
        <v>0</v>
      </c>
      <c r="I11664" s="1" t="s">
        <v>23615</v>
      </c>
      <c r="K11664" s="1" t="str">
        <f t="shared" si="736"/>
        <v>ㄙ</v>
      </c>
      <c r="L11664" s="1" t="str">
        <f t="shared" si="737"/>
        <v>ㄜ</v>
      </c>
      <c r="N11664" s="3" t="s">
        <v>30574</v>
      </c>
      <c r="O11664" s="3"/>
      <c r="P11664" s="1" t="s">
        <v>20</v>
      </c>
      <c r="R11664" s="1" t="s">
        <v>23616</v>
      </c>
      <c r="V11664" s="1" t="s">
        <v>23640</v>
      </c>
      <c r="AR11664" s="1" t="str">
        <f t="shared" si="735"/>
        <v>| [ㄙㄜˋ](ㄙㄜˋ.md) | [轖](轖.md) |  | sè | [名]
1.以漆過的皮革所覆蓋的車箱。南朝梁．江淹〈蕭驃騎讓油幢表〉：「不宜假文丹幰，空飾皁轖。」
2.借指車。《陳書．卷三三．儒林傳．沈不害傳》：「轖駕列庭，表紫拾地。」
[副]
梗塞不順。《文選．枚乘．七發》：「邪氣逆襲，中若結轖。」 |</v>
      </c>
    </row>
    <row r="11665" spans="1:44" hidden="1">
      <c r="A11665" s="1" t="s">
        <v>23641</v>
      </c>
      <c r="C11665" s="1">
        <v>1</v>
      </c>
      <c r="D11665" s="1" t="str">
        <f>"10007"</f>
        <v>10007</v>
      </c>
      <c r="E11665" s="1" t="s">
        <v>129</v>
      </c>
      <c r="F11665" s="1">
        <v>17</v>
      </c>
      <c r="G11665" s="1">
        <v>14</v>
      </c>
      <c r="H11665" s="1">
        <v>0</v>
      </c>
      <c r="I11665" s="1" t="s">
        <v>23615</v>
      </c>
      <c r="K11665" s="1" t="str">
        <f t="shared" si="736"/>
        <v>ㄙ</v>
      </c>
      <c r="L11665" s="1" t="str">
        <f t="shared" si="737"/>
        <v>ㄜ</v>
      </c>
      <c r="N11665" s="3" t="s">
        <v>30574</v>
      </c>
      <c r="O11665" s="3"/>
      <c r="P11665" s="1" t="s">
        <v>20</v>
      </c>
      <c r="R11665" s="1" t="s">
        <v>23616</v>
      </c>
      <c r="V11665" s="1" t="s">
        <v>23642</v>
      </c>
      <c r="AR11665" s="1" t="str">
        <f t="shared" si="735"/>
        <v>| [ㄙㄜˋ](ㄙㄜˋ.md) | [澀](澀.md) |  | sè | [形]
1.不滑潤。如：「粗澀」、「輪軸發澀」。
2.文字生硬難懂。如：「晦澀」。《宋史．卷三八〇．勾龍如淵傳》：「文章平易者多淺近，淵深者多艱澀。」
3.說話遲鈍不流利。南朝宋．劉義慶《世說新語．輕詆》：「王右軍少時甚澀訥。」《南齊書．卷七．東昏侯本紀》：「性重澀少言，不與朝士接，唯親信閹人及左右御刀應敕等。」
4.味道微苦不甘滑。如：「酸澀」、「這李子好澀。」。唐．李咸用〈和吳處士題村叟壁〉詩：「秋果樝梨澀，晨羞筍蕨鮮。」 |</v>
      </c>
    </row>
    <row r="11666" spans="1:44" hidden="1">
      <c r="A11666" s="1" t="s">
        <v>23624</v>
      </c>
      <c r="C11666" s="1">
        <v>1</v>
      </c>
      <c r="D11666" s="1" t="str">
        <f>"10016"</f>
        <v>10016</v>
      </c>
      <c r="E11666" s="1" t="s">
        <v>132</v>
      </c>
      <c r="F11666" s="1">
        <v>13</v>
      </c>
      <c r="G11666" s="1">
        <v>10</v>
      </c>
      <c r="H11666" s="1">
        <v>3</v>
      </c>
      <c r="I11666" s="1" t="s">
        <v>23662</v>
      </c>
      <c r="K11666" s="1" t="str">
        <f t="shared" si="736"/>
        <v>ㄙ</v>
      </c>
      <c r="L11666" s="1" t="str">
        <f t="shared" si="737"/>
        <v>ㄞ</v>
      </c>
      <c r="N11666" s="3" t="s">
        <v>30574</v>
      </c>
      <c r="O11666" s="3"/>
      <c r="P11666" s="1" t="s">
        <v>20</v>
      </c>
      <c r="R11666" s="1" t="s">
        <v>23663</v>
      </c>
      <c r="V11666" s="1" t="s">
        <v>23664</v>
      </c>
      <c r="W11666" s="1" t="s">
        <v>23665</v>
      </c>
      <c r="AR11666" s="1" t="str">
        <f t="shared" si="735"/>
        <v>| [ㄙㄞˋ](ㄙㄞˋ.md) | [塞](塞.md) |  | sài | [名]
1.險要的地方。如：「要塞」。《呂氏春秋．有始覽．有始》：「山有九塞，澤有九藪。」漢．高誘．注：「險阻曰塞。」
2.邊境。如：「邊塞」、「關塞」。唐．杜甫〈秋興〉詩八首之一：「江間波浪兼天湧，塞上風雲接地陰。」
[動]
酬報神明。通「賽」。《韓非子．外儲說右下》：「秦襄王病，百姓為之禱。病愈，殺牛塞禱。」《文選．阮籍．為鄭沖勸晉王牋》：「西塞江源，望祀民山。」 |</v>
      </c>
    </row>
    <row r="11667" spans="1:44" hidden="1">
      <c r="A11667" s="1" t="s">
        <v>23666</v>
      </c>
      <c r="C11667" s="1">
        <v>1</v>
      </c>
      <c r="D11667" s="1" t="str">
        <f>"10017"</f>
        <v>10017</v>
      </c>
      <c r="E11667" s="1" t="s">
        <v>505</v>
      </c>
      <c r="F11667" s="1">
        <v>17</v>
      </c>
      <c r="G11667" s="1">
        <v>10</v>
      </c>
      <c r="H11667" s="1">
        <v>0</v>
      </c>
      <c r="I11667" s="1" t="s">
        <v>23662</v>
      </c>
      <c r="K11667" s="1" t="str">
        <f t="shared" si="736"/>
        <v>ㄙ</v>
      </c>
      <c r="L11667" s="1" t="str">
        <f t="shared" si="737"/>
        <v>ㄞ</v>
      </c>
      <c r="N11667" s="3" t="s">
        <v>30574</v>
      </c>
      <c r="O11667" s="3"/>
      <c r="P11667" s="1" t="s">
        <v>20</v>
      </c>
      <c r="R11667" s="1" t="s">
        <v>23663</v>
      </c>
      <c r="V11667" s="1" t="s">
        <v>23667</v>
      </c>
      <c r="AR11667" s="1" t="str">
        <f t="shared" si="735"/>
        <v>| [ㄙㄞˋ](ㄙㄞˋ.md) | [賽](賽.md) |  | sài | [動]
1.競爭、較量。如：「競賽」、「賽跑」。
2.超越、勝過、比得上。如：「賽西施」。《劉知遠諸宮調．第二》：「貌賽嫦娥，顏過洛浦。」
3.完結、了結。宋．趙長卿〈清平樂．鴻來燕去〉詞：「何日利名俱賽，為予笑下愁城。」元．曾瑞卿《留鞋記》第二折：「這回償了鴛鴦債，則願的今朝賽。」
4.酬報神明。如：「賽神廟會」。漢．王充《論衡．辯祟》：「項羽攻襄安，襄安無噍類，未必不禱賽也。」
[名]
1.比較勝負、優劣的活動。如：「球賽」、「預賽」、「決賽」、「複賽」。
2.姓。如清代有賽尚阿。 |</v>
      </c>
    </row>
    <row r="11668" spans="1:44" hidden="1">
      <c r="A11668" s="1" t="s">
        <v>23668</v>
      </c>
      <c r="C11668" s="1">
        <v>1</v>
      </c>
      <c r="D11668" s="1" t="str">
        <f>"10018"</f>
        <v>10018</v>
      </c>
      <c r="E11668" s="1" t="s">
        <v>49</v>
      </c>
      <c r="F11668" s="1">
        <v>19</v>
      </c>
      <c r="G11668" s="1">
        <v>13</v>
      </c>
      <c r="H11668" s="1">
        <v>0</v>
      </c>
      <c r="I11668" s="1" t="s">
        <v>23662</v>
      </c>
      <c r="K11668" s="1" t="str">
        <f t="shared" si="736"/>
        <v>ㄙ</v>
      </c>
      <c r="L11668" s="1" t="str">
        <f t="shared" si="737"/>
        <v>ㄞ</v>
      </c>
      <c r="N11668" s="3" t="s">
        <v>30574</v>
      </c>
      <c r="O11668" s="3"/>
      <c r="P11668" s="1" t="s">
        <v>20</v>
      </c>
      <c r="R11668" s="1" t="s">
        <v>23663</v>
      </c>
      <c r="V11668" s="1" t="s">
        <v>23669</v>
      </c>
      <c r="AR11668" s="1" t="str">
        <f t="shared" si="735"/>
        <v>| [ㄙㄞˋ](ㄙㄞˋ.md) | [簺](簺.md) |  | sài | [名]
1.古代的一種博戲。《南齊書．卷四四．沈文季傳》：「尤善簺彈棋，簺用五子。」
2.用竹木編成的捕魚器具。《隋書．卷五五．乞伏慧傳》：「曾見人以簺捕魚者，出絹買而放之。」《新唐書．卷三．高宗本紀》：「閏五月丁卯，禁作簺捕魚、營圈取獸者。」 |</v>
      </c>
    </row>
    <row r="11669" spans="1:44" hidden="1">
      <c r="A11669" s="1" t="s">
        <v>23656</v>
      </c>
      <c r="C11669" s="1">
        <v>1</v>
      </c>
      <c r="D11669" s="1" t="str">
        <f>"10015"</f>
        <v>10015</v>
      </c>
      <c r="E11669" s="1" t="s">
        <v>28</v>
      </c>
      <c r="F11669" s="1">
        <v>20</v>
      </c>
      <c r="G11669" s="1">
        <v>17</v>
      </c>
      <c r="H11669" s="1">
        <v>2</v>
      </c>
      <c r="I11669" s="1" t="s">
        <v>23659</v>
      </c>
      <c r="K11669" s="1" t="str">
        <f t="shared" si="736"/>
        <v>ㄙ</v>
      </c>
      <c r="L11669" s="1" t="str">
        <f t="shared" si="737"/>
        <v>ㄞ</v>
      </c>
      <c r="N11669" s="3" t="s">
        <v>30575</v>
      </c>
      <c r="O11669" s="3"/>
      <c r="P11669" s="1" t="s">
        <v>110</v>
      </c>
      <c r="R11669" s="1" t="s">
        <v>23660</v>
      </c>
      <c r="V11669" s="1" t="s">
        <v>111</v>
      </c>
      <c r="W11669" s="1" t="s">
        <v>23661</v>
      </c>
      <c r="AR11669" s="1" t="str">
        <f t="shared" si="735"/>
        <v>| [ㄙㄞˊ](ㄙㄞˊ.md) | [㘔](㘔.md) |  | sái | (一)之又音。 |</v>
      </c>
    </row>
    <row r="11670" spans="1:44" hidden="1">
      <c r="A11670" s="1" t="s">
        <v>23695</v>
      </c>
      <c r="C11670" s="1">
        <v>1</v>
      </c>
      <c r="D11670" s="1" t="str">
        <f>"10031"</f>
        <v>10031</v>
      </c>
      <c r="E11670" s="1" t="s">
        <v>24</v>
      </c>
      <c r="F11670" s="1">
        <v>11</v>
      </c>
      <c r="G11670" s="1">
        <v>8</v>
      </c>
      <c r="H11670" s="1">
        <v>2</v>
      </c>
      <c r="I11670" s="1" t="s">
        <v>23702</v>
      </c>
      <c r="K11670" s="1" t="str">
        <f t="shared" si="736"/>
        <v>ㄙ</v>
      </c>
      <c r="L11670" s="1" t="str">
        <f t="shared" si="737"/>
        <v>ㄠ</v>
      </c>
      <c r="N11670" s="3" t="s">
        <v>30574</v>
      </c>
      <c r="O11670" s="3"/>
      <c r="P11670" s="1" t="s">
        <v>20</v>
      </c>
      <c r="R11670" s="1" t="s">
        <v>23703</v>
      </c>
      <c r="V11670" s="1" t="s">
        <v>23704</v>
      </c>
      <c r="W11670" s="1" t="s">
        <v>23705</v>
      </c>
      <c r="AR11670" s="1" t="str">
        <f t="shared" si="735"/>
        <v>| [ㄙㄠˋ](ㄙㄠˋ.md) | [掃](掃.md) |  | sào | 參見「掃帚」條。 |</v>
      </c>
    </row>
    <row r="11671" spans="1:44" hidden="1">
      <c r="A11671" s="1" t="s">
        <v>22447</v>
      </c>
      <c r="C11671" s="1">
        <v>1</v>
      </c>
      <c r="D11671" s="1" t="str">
        <f>"10031A"</f>
        <v>10031A</v>
      </c>
      <c r="E11671" s="1" t="s">
        <v>336</v>
      </c>
      <c r="F11671" s="1">
        <v>17</v>
      </c>
      <c r="G11671" s="1">
        <v>13</v>
      </c>
      <c r="H11671" s="1">
        <v>2</v>
      </c>
      <c r="I11671" s="1" t="s">
        <v>23702</v>
      </c>
      <c r="K11671" s="1" t="str">
        <f t="shared" si="736"/>
        <v>ㄙ</v>
      </c>
      <c r="L11671" s="1" t="str">
        <f t="shared" si="737"/>
        <v>ㄠ</v>
      </c>
      <c r="N11671" s="3" t="s">
        <v>30574</v>
      </c>
      <c r="O11671" s="3"/>
      <c r="P11671" s="1" t="s">
        <v>20</v>
      </c>
      <c r="R11671" s="1" t="s">
        <v>23703</v>
      </c>
      <c r="V11671" s="1" t="s">
        <v>23706</v>
      </c>
      <c r="W11671" s="1" t="s">
        <v>23707</v>
      </c>
      <c r="AR11671" s="1" t="str">
        <f t="shared" si="735"/>
        <v>| [ㄙㄠˋ](ㄙㄠˋ.md) | [燥](燥.md) |  | sào | [名]
剁成細碎的肉。如：「肉燥」、「燥子」。 |</v>
      </c>
    </row>
    <row r="11672" spans="1:44" hidden="1">
      <c r="A11672" s="1" t="s">
        <v>23688</v>
      </c>
      <c r="C11672" s="1">
        <v>1</v>
      </c>
      <c r="D11672" s="1" t="str">
        <f>"10032"</f>
        <v>10032</v>
      </c>
      <c r="E11672" s="1" t="s">
        <v>68</v>
      </c>
      <c r="F11672" s="1">
        <v>17</v>
      </c>
      <c r="G11672" s="1">
        <v>13</v>
      </c>
      <c r="H11672" s="1">
        <v>2</v>
      </c>
      <c r="I11672" s="1" t="s">
        <v>23702</v>
      </c>
      <c r="K11672" s="1" t="str">
        <f t="shared" si="736"/>
        <v>ㄙ</v>
      </c>
      <c r="L11672" s="1" t="str">
        <f t="shared" si="737"/>
        <v>ㄠ</v>
      </c>
      <c r="N11672" s="3" t="s">
        <v>30574</v>
      </c>
      <c r="O11672" s="3"/>
      <c r="P11672" s="1" t="s">
        <v>20</v>
      </c>
      <c r="R11672" s="1" t="s">
        <v>23703</v>
      </c>
      <c r="V11672" s="1" t="s">
        <v>23708</v>
      </c>
      <c r="W11672" s="1" t="s">
        <v>23709</v>
      </c>
      <c r="AR11672" s="1" t="str">
        <f t="shared" si="735"/>
        <v>| [ㄙㄠˋ](ㄙㄠˋ.md) | [臊](臊.md) |  | sào | [動]
1.害羞、難為情。如：「害臊」。《程乙本紅樓夢》第二四回：「那小紅臊的轉身一跑，卻被門檻子絆倒。」
2.羞辱。《紅樓夢》第二四回：「臊你娘的，瞎了眼睛，碰起我來了。」
[名]
參見「臊子」條。 |</v>
      </c>
    </row>
    <row r="11673" spans="1:44" hidden="1">
      <c r="A11673" s="1" t="s">
        <v>23695</v>
      </c>
      <c r="C11673" s="1">
        <v>1</v>
      </c>
      <c r="D11673" s="1" t="str">
        <f>"10029"</f>
        <v>10029</v>
      </c>
      <c r="E11673" s="1" t="s">
        <v>24</v>
      </c>
      <c r="F11673" s="1">
        <v>11</v>
      </c>
      <c r="G11673" s="1">
        <v>8</v>
      </c>
      <c r="H11673" s="1">
        <v>1</v>
      </c>
      <c r="I11673" s="1" t="s">
        <v>23696</v>
      </c>
      <c r="K11673" s="1" t="str">
        <f t="shared" si="736"/>
        <v>ㄙ</v>
      </c>
      <c r="L11673" s="1" t="str">
        <f t="shared" si="737"/>
        <v>ㄠ</v>
      </c>
      <c r="N11673" s="3" t="s">
        <v>30576</v>
      </c>
      <c r="O11673" s="3"/>
      <c r="P11673" s="1" t="s">
        <v>20</v>
      </c>
      <c r="R11673" s="1" t="s">
        <v>23697</v>
      </c>
      <c r="V11673" s="1" t="s">
        <v>23698</v>
      </c>
      <c r="W11673" s="1" t="s">
        <v>23699</v>
      </c>
      <c r="AR11673" s="1" t="str">
        <f t="shared" si="735"/>
        <v>| [ㄙㄠˇ](ㄙㄠˇ.md) | [掃](掃.md) |  | sǎo | [動]
1.清除汙穢。如：「灑掃庭院」。《新五代史．卷三三．死事傳．姚洪傳》：「昔為李七郎奴，掃馬糞。」
2.消除、消滅。如：「橫掃千軍」。《文選．張衡．東京賦》：「掃項軍於垓下，紲子嬰於軹塗。」
3.塗抹。唐．張祜〈集靈臺〉詩：「卻嫌脂粉汙顏色，淡掃娥眉朝至尊。」
4.掠過。如：「電激風掃」、「用眼睛一掃」。唐．李白〈大獵賦〉：「千騎飆掃，萬乘雷奔。」
5.打消、敗壞。如：「掃興」。
6.繪畫、書寫。唐．李白〈草書歌行〉：「吾師醉後倚繩床，須臾掃盡數千張。」 |</v>
      </c>
    </row>
    <row r="11674" spans="1:44" hidden="1">
      <c r="A11674" s="1" t="s">
        <v>23700</v>
      </c>
      <c r="C11674" s="1">
        <v>1</v>
      </c>
      <c r="D11674" s="1" t="str">
        <f>"10030"</f>
        <v>10030</v>
      </c>
      <c r="E11674" s="1" t="s">
        <v>534</v>
      </c>
      <c r="F11674" s="1">
        <v>13</v>
      </c>
      <c r="G11674" s="1">
        <v>10</v>
      </c>
      <c r="H11674" s="1">
        <v>0</v>
      </c>
      <c r="I11674" s="1" t="s">
        <v>23696</v>
      </c>
      <c r="K11674" s="1" t="str">
        <f t="shared" si="736"/>
        <v>ㄙ</v>
      </c>
      <c r="L11674" s="1" t="str">
        <f t="shared" si="737"/>
        <v>ㄠ</v>
      </c>
      <c r="N11674" s="3" t="s">
        <v>30576</v>
      </c>
      <c r="O11674" s="3"/>
      <c r="P11674" s="1" t="s">
        <v>20</v>
      </c>
      <c r="R11674" s="1" t="s">
        <v>23697</v>
      </c>
      <c r="V11674" s="1" t="s">
        <v>23701</v>
      </c>
      <c r="AR11674" s="1" t="str">
        <f t="shared" si="735"/>
        <v>| [ㄙㄠˇ](ㄙㄠˇ.md) | [嫂](嫂.md) |  | sǎo | [名]
稱謂：(1)對哥哥的妻子的稱呼。如：「兄嫂」、「大嫂」。《孟子．離婁上》：「嫂溺，則援之以手乎？」《史記．卷六九．蘇秦傳》：「蘇秦之昆弟妻嫂側目不敢仰視，俯伏等其食。」(2)對朋友之妻或一般婦女的敬稱。如：「尊嫂」、「嫂夫人」、「王嫂」、「李嫂」。 |</v>
      </c>
    </row>
    <row r="11675" spans="1:44" hidden="1">
      <c r="A11675" s="1" t="s">
        <v>21535</v>
      </c>
      <c r="C11675" s="1">
        <v>1</v>
      </c>
      <c r="D11675" s="1" t="str">
        <f>"10050"</f>
        <v>10050</v>
      </c>
      <c r="E11675" s="1" t="s">
        <v>1908</v>
      </c>
      <c r="F11675" s="1">
        <v>11</v>
      </c>
      <c r="G11675" s="1">
        <v>7</v>
      </c>
      <c r="H11675" s="1">
        <v>2</v>
      </c>
      <c r="I11675" s="1" t="s">
        <v>23749</v>
      </c>
      <c r="K11675" s="1" t="str">
        <f t="shared" si="736"/>
        <v>ㄙ</v>
      </c>
      <c r="L11675" s="1" t="str">
        <f t="shared" si="737"/>
        <v>ㄡ</v>
      </c>
      <c r="N11675" s="3" t="s">
        <v>30574</v>
      </c>
      <c r="O11675" s="3"/>
      <c r="P11675" s="1" t="s">
        <v>20</v>
      </c>
      <c r="R11675" s="1" t="s">
        <v>23750</v>
      </c>
      <c r="V11675" s="1" t="s">
        <v>23751</v>
      </c>
      <c r="W11675" s="1" t="s">
        <v>23752</v>
      </c>
      <c r="AR11675" s="1" t="str">
        <f t="shared" si="735"/>
        <v>| [ㄙㄡˋ](ㄙㄡˋ.md) | [欶](欶.md) |  | sòu | [動]
咳嗽。同「嗽」。 |</v>
      </c>
    </row>
    <row r="11676" spans="1:44" hidden="1">
      <c r="A11676" s="1" t="s">
        <v>21446</v>
      </c>
      <c r="C11676" s="1">
        <v>1</v>
      </c>
      <c r="D11676" s="1" t="str">
        <f>"10051"</f>
        <v>10051</v>
      </c>
      <c r="E11676" s="1" t="s">
        <v>129</v>
      </c>
      <c r="F11676" s="1">
        <v>14</v>
      </c>
      <c r="G11676" s="1">
        <v>11</v>
      </c>
      <c r="H11676" s="1">
        <v>2</v>
      </c>
      <c r="I11676" s="1" t="s">
        <v>23749</v>
      </c>
      <c r="K11676" s="1" t="str">
        <f t="shared" si="736"/>
        <v>ㄙ</v>
      </c>
      <c r="L11676" s="1" t="str">
        <f t="shared" si="737"/>
        <v>ㄡ</v>
      </c>
      <c r="N11676" s="3" t="s">
        <v>30574</v>
      </c>
      <c r="O11676" s="3"/>
      <c r="P11676" s="1" t="s">
        <v>388</v>
      </c>
      <c r="R11676" s="1" t="s">
        <v>23750</v>
      </c>
      <c r="V11676" s="1" t="s">
        <v>407</v>
      </c>
      <c r="W11676" s="1" t="s">
        <v>23753</v>
      </c>
      <c r="AR11676" s="1" t="str">
        <f t="shared" si="735"/>
        <v>| [ㄙㄡˋ](ㄙㄡˋ.md) | [漱](漱.md) |  | sòu | (一)之語音。 |</v>
      </c>
    </row>
    <row r="11677" spans="1:44" hidden="1">
      <c r="A11677" s="1" t="s">
        <v>23754</v>
      </c>
      <c r="C11677" s="1">
        <v>1</v>
      </c>
      <c r="D11677" s="1" t="str">
        <f>"10052"</f>
        <v>10052</v>
      </c>
      <c r="E11677" s="1" t="s">
        <v>28</v>
      </c>
      <c r="F11677" s="1">
        <v>14</v>
      </c>
      <c r="G11677" s="1">
        <v>11</v>
      </c>
      <c r="H11677" s="1">
        <v>0</v>
      </c>
      <c r="I11677" s="1" t="s">
        <v>23749</v>
      </c>
      <c r="K11677" s="1" t="str">
        <f t="shared" si="736"/>
        <v>ㄙ</v>
      </c>
      <c r="L11677" s="1" t="str">
        <f t="shared" si="737"/>
        <v>ㄡ</v>
      </c>
      <c r="N11677" s="3" t="s">
        <v>30574</v>
      </c>
      <c r="O11677" s="3"/>
      <c r="P11677" s="1" t="s">
        <v>20</v>
      </c>
      <c r="R11677" s="1" t="s">
        <v>23750</v>
      </c>
      <c r="V11677" s="1" t="s">
        <v>23755</v>
      </c>
      <c r="AR11677" s="1" t="str">
        <f t="shared" si="735"/>
        <v>| [ㄙㄡˋ](ㄙㄡˋ.md) | [嗽](嗽.md) |  | sòu | [動]
1.氣管受到痰或氣體的刺激，引起反射作用，而用力排出氣體。如：「咳嗽」、「嗽喘」。
2.以口吸吮。如：「嗽飲」。《漢書．卷九三．佞幸傳．鄧通傳》：「文帝嘗病癰，鄧通常為上嗽吮之。」
3.用水漱口。通「漱」。《史記．卷一〇五．扁鵲倉公傳》：「……苦參湯，日嗽三升，出入五六日，病已。」 |</v>
      </c>
    </row>
    <row r="11678" spans="1:44" hidden="1">
      <c r="A11678" s="1" t="s">
        <v>23742</v>
      </c>
      <c r="C11678" s="1">
        <v>1</v>
      </c>
      <c r="D11678" s="1" t="str">
        <f>"10053"</f>
        <v>10053</v>
      </c>
      <c r="E11678" s="1" t="s">
        <v>24</v>
      </c>
      <c r="F11678" s="1">
        <v>18</v>
      </c>
      <c r="G11678" s="1">
        <v>15</v>
      </c>
      <c r="H11678" s="1">
        <v>2</v>
      </c>
      <c r="I11678" s="1" t="s">
        <v>23749</v>
      </c>
      <c r="K11678" s="1" t="str">
        <f t="shared" si="736"/>
        <v>ㄙ</v>
      </c>
      <c r="L11678" s="1" t="str">
        <f t="shared" si="737"/>
        <v>ㄡ</v>
      </c>
      <c r="N11678" s="3" t="s">
        <v>30574</v>
      </c>
      <c r="O11678" s="3"/>
      <c r="P11678" s="1" t="s">
        <v>20</v>
      </c>
      <c r="R11678" s="1" t="s">
        <v>23750</v>
      </c>
      <c r="V11678" s="1" t="s">
        <v>23756</v>
      </c>
      <c r="W11678" s="1" t="s">
        <v>23757</v>
      </c>
      <c r="AR11678" s="1" t="str">
        <f t="shared" si="735"/>
        <v>| [ㄙㄡˋ](ㄙㄡˋ.md) | [擻](擻.md) |  | sòu | [動]
用火條或火筷子插到火爐裡，把灰搖掉或撥除。如：「把爐子擻一擻。」 |</v>
      </c>
    </row>
    <row r="11679" spans="1:44" hidden="1">
      <c r="A11679" s="1" t="s">
        <v>23710</v>
      </c>
      <c r="C11679" s="1">
        <v>1</v>
      </c>
      <c r="D11679" s="1" t="str">
        <f>"10044"</f>
        <v>10044</v>
      </c>
      <c r="E11679" s="1" t="s">
        <v>1880</v>
      </c>
      <c r="F11679" s="1">
        <v>10</v>
      </c>
      <c r="G11679" s="1">
        <v>8</v>
      </c>
      <c r="H11679" s="1">
        <v>1</v>
      </c>
      <c r="I11679" s="1" t="s">
        <v>23734</v>
      </c>
      <c r="K11679" s="1" t="str">
        <f t="shared" si="736"/>
        <v>ㄙ</v>
      </c>
      <c r="L11679" s="1" t="str">
        <f t="shared" si="737"/>
        <v>ㄡ</v>
      </c>
      <c r="N11679" s="3" t="s">
        <v>30576</v>
      </c>
      <c r="O11679" s="3"/>
      <c r="P11679" s="1" t="s">
        <v>20</v>
      </c>
      <c r="R11679" s="1" t="s">
        <v>23735</v>
      </c>
      <c r="V11679" s="1" t="s">
        <v>23736</v>
      </c>
      <c r="W11679" s="1" t="s">
        <v>23737</v>
      </c>
      <c r="AR11679" s="1" t="str">
        <f t="shared" si="735"/>
        <v>| [ㄙㄡˇ](ㄙㄡˇ.md) | [叟](叟.md) |  | sǒu | [名]
1.老人。如：「童叟無欺」。
2.稱謂。對老年男子的尊稱。如：「老叟」。《孟子．梁惠王上》：「叟，不遠千里而來。」 |</v>
      </c>
    </row>
    <row r="11680" spans="1:44" hidden="1">
      <c r="A11680" s="1" t="s">
        <v>23738</v>
      </c>
      <c r="C11680" s="1">
        <v>1</v>
      </c>
      <c r="D11680" s="1" t="str">
        <f>"10045"</f>
        <v>10045</v>
      </c>
      <c r="E11680" s="1" t="s">
        <v>1015</v>
      </c>
      <c r="F11680" s="1">
        <v>15</v>
      </c>
      <c r="G11680" s="1">
        <v>10</v>
      </c>
      <c r="H11680" s="1">
        <v>0</v>
      </c>
      <c r="I11680" s="1" t="s">
        <v>23734</v>
      </c>
      <c r="K11680" s="1" t="str">
        <f t="shared" si="736"/>
        <v>ㄙ</v>
      </c>
      <c r="L11680" s="1" t="str">
        <f t="shared" si="737"/>
        <v>ㄡ</v>
      </c>
      <c r="N11680" s="3" t="s">
        <v>30576</v>
      </c>
      <c r="O11680" s="3"/>
      <c r="P11680" s="1" t="s">
        <v>20</v>
      </c>
      <c r="R11680" s="1" t="s">
        <v>23735</v>
      </c>
      <c r="V11680" s="1" t="s">
        <v>23739</v>
      </c>
      <c r="AR11680" s="1" t="str">
        <f t="shared" si="735"/>
        <v>| [ㄙㄡˇ](ㄙㄡˇ.md) | [瞍](瞍.md) |  | sǒu | [名]
瞎子。《國語．周語上》：「故天子聽政，使公卿至於列士獻詩，瞽獻曲，史獻書，師箴，瞍賦，矇誦。」
[形]
瞎，眼睛沒有眼珠。《詩經．大雅．靈臺》：「鼉鼓逢逢，矇瞍奏公。」 |</v>
      </c>
    </row>
    <row r="11681" spans="1:44" hidden="1">
      <c r="A11681" s="1" t="s">
        <v>22657</v>
      </c>
      <c r="C11681" s="1">
        <v>1</v>
      </c>
      <c r="D11681" s="1" t="str">
        <f>"10046"</f>
        <v>10046</v>
      </c>
      <c r="E11681" s="1" t="s">
        <v>28</v>
      </c>
      <c r="F11681" s="1">
        <v>14</v>
      </c>
      <c r="G11681" s="1">
        <v>11</v>
      </c>
      <c r="H11681" s="1">
        <v>1</v>
      </c>
      <c r="I11681" s="1" t="s">
        <v>23734</v>
      </c>
      <c r="K11681" s="1" t="str">
        <f t="shared" si="736"/>
        <v>ㄙ</v>
      </c>
      <c r="L11681" s="1" t="str">
        <f t="shared" si="737"/>
        <v>ㄡ</v>
      </c>
      <c r="N11681" s="3" t="s">
        <v>30576</v>
      </c>
      <c r="O11681" s="3"/>
      <c r="P11681" s="1" t="s">
        <v>20</v>
      </c>
      <c r="R11681" s="1" t="s">
        <v>23735</v>
      </c>
      <c r="V11681" s="1" t="s">
        <v>23740</v>
      </c>
      <c r="W11681" s="1" t="s">
        <v>23741</v>
      </c>
      <c r="AR11681" s="1" t="str">
        <f t="shared" si="735"/>
        <v>| [ㄙㄡˇ](ㄙㄡˇ.md) | [嗾](嗾.md) |  | sǒu | [動]
1.以口作聲對狗發出命令。《左傳．宣公二年》：「公嗾夫獒焉，明搏而殺之。」唐．李賀〈公無出門〉詩：「嗾犬狺狺相索索，舐掌偏宜佩蘭客。」
2.教唆，指使別人做壞事。《北史．卷二六．宋隱傳》：「爾如狗耳！為人所嗾。」《聊齋志異．卷三．商三官》：「以醉謔忤邑豪，豪嗾家奴亂捶之，舁歸而斃。」 |</v>
      </c>
    </row>
    <row r="11682" spans="1:44" hidden="1">
      <c r="A11682" s="1" t="s">
        <v>23742</v>
      </c>
      <c r="C11682" s="1">
        <v>1</v>
      </c>
      <c r="D11682" s="1" t="str">
        <f>"10047"</f>
        <v>10047</v>
      </c>
      <c r="E11682" s="1" t="s">
        <v>24</v>
      </c>
      <c r="F11682" s="1">
        <v>18</v>
      </c>
      <c r="G11682" s="1">
        <v>15</v>
      </c>
      <c r="H11682" s="1">
        <v>1</v>
      </c>
      <c r="I11682" s="1" t="s">
        <v>23734</v>
      </c>
      <c r="K11682" s="1" t="str">
        <f t="shared" si="736"/>
        <v>ㄙ</v>
      </c>
      <c r="L11682" s="1" t="str">
        <f t="shared" si="737"/>
        <v>ㄡ</v>
      </c>
      <c r="N11682" s="3" t="s">
        <v>30576</v>
      </c>
      <c r="O11682" s="3"/>
      <c r="P11682" s="1" t="s">
        <v>20</v>
      </c>
      <c r="R11682" s="1" t="s">
        <v>23735</v>
      </c>
      <c r="V11682" s="1" t="s">
        <v>23743</v>
      </c>
      <c r="W11682" s="1" t="s">
        <v>23744</v>
      </c>
      <c r="AR11682" s="1" t="str">
        <f t="shared" si="735"/>
        <v>| [ㄙㄡˇ](ㄙㄡˇ.md) | [擻](擻.md) |  | sǒu | 參見「抖擻」、「擻抖抖」等條。 |</v>
      </c>
    </row>
    <row r="11683" spans="1:44" hidden="1">
      <c r="A11683" s="1" t="s">
        <v>23745</v>
      </c>
      <c r="C11683" s="1">
        <v>1</v>
      </c>
      <c r="D11683" s="1" t="str">
        <f>"10048"</f>
        <v>10048</v>
      </c>
      <c r="E11683" s="1" t="s">
        <v>37</v>
      </c>
      <c r="F11683" s="1">
        <v>19</v>
      </c>
      <c r="G11683" s="1">
        <v>15</v>
      </c>
      <c r="H11683" s="1">
        <v>0</v>
      </c>
      <c r="I11683" s="1" t="s">
        <v>23734</v>
      </c>
      <c r="K11683" s="1" t="str">
        <f t="shared" si="736"/>
        <v>ㄙ</v>
      </c>
      <c r="L11683" s="1" t="str">
        <f t="shared" si="737"/>
        <v>ㄡ</v>
      </c>
      <c r="N11683" s="3" t="s">
        <v>30576</v>
      </c>
      <c r="O11683" s="3"/>
      <c r="P11683" s="1" t="s">
        <v>20</v>
      </c>
      <c r="R11683" s="1" t="s">
        <v>23735</v>
      </c>
      <c r="V11683" s="1" t="s">
        <v>23746</v>
      </c>
      <c r="AR11683" s="1" t="str">
        <f t="shared" si="735"/>
        <v>| [ㄙㄡˇ](ㄙㄡˇ.md) | [藪](藪.md) |  | sǒu | [名]
1.密生雜草的湖澤、沼澤。《楚辭．屈原．九章．惜往日》：「君無度而弗察兮，使芳草為藪幽。」《國語．楚語下》：「又有藪曰雲連徒洲，金木竹箭之所生也。」
2.人物聚集的地方。《書經．武成》：「為天下逋逃主，萃淵藪。」漢．蔡邕〈胡廣黃瓊頌〉：「惟道之淵，惟德之藪。」
3.草野、鄉野。晉．湛方生〈後齋詩〉：「解纓復褐，辭朝歸藪。」 |</v>
      </c>
    </row>
    <row r="11684" spans="1:44" hidden="1">
      <c r="A11684" s="1" t="s">
        <v>21491</v>
      </c>
      <c r="C11684" s="1">
        <v>1</v>
      </c>
      <c r="D11684" s="1" t="str">
        <f>"10049"</f>
        <v>10049</v>
      </c>
      <c r="E11684" s="1" t="s">
        <v>49</v>
      </c>
      <c r="F11684" s="1">
        <v>21</v>
      </c>
      <c r="G11684" s="1">
        <v>15</v>
      </c>
      <c r="H11684" s="1">
        <v>2</v>
      </c>
      <c r="I11684" s="1" t="s">
        <v>23734</v>
      </c>
      <c r="K11684" s="1" t="str">
        <f t="shared" si="736"/>
        <v>ㄙ</v>
      </c>
      <c r="L11684" s="1" t="str">
        <f t="shared" si="737"/>
        <v>ㄡ</v>
      </c>
      <c r="N11684" s="3" t="s">
        <v>30576</v>
      </c>
      <c r="O11684" s="3"/>
      <c r="P11684" s="1" t="s">
        <v>20</v>
      </c>
      <c r="R11684" s="1" t="s">
        <v>23735</v>
      </c>
      <c r="V11684" s="1" t="s">
        <v>23747</v>
      </c>
      <c r="W11684" s="1" t="s">
        <v>23748</v>
      </c>
      <c r="AR11684" s="1" t="str">
        <f t="shared" si="735"/>
        <v>| [ㄙㄡˇ](ㄙㄡˇ.md) | [籔](籔.md) |  | sǒu | [名]
過濾米的竹器。《說文解字．竹部》：「籔，炊䉛也。」清．段玉裁．注：「本漉米具也。既浚乾，則可炊矣。故名炊䉛。」 |</v>
      </c>
    </row>
    <row r="11685" spans="1:44" hidden="1">
      <c r="A11685" s="1" t="s">
        <v>23574</v>
      </c>
      <c r="C11685" s="1">
        <v>1</v>
      </c>
      <c r="D11685" s="1" t="str">
        <f>"10066"</f>
        <v>10066</v>
      </c>
      <c r="E11685" s="1" t="s">
        <v>789</v>
      </c>
      <c r="F11685" s="1">
        <v>3</v>
      </c>
      <c r="G11685" s="1">
        <v>2</v>
      </c>
      <c r="H11685" s="1">
        <v>3</v>
      </c>
      <c r="I11685" s="1" t="s">
        <v>23788</v>
      </c>
      <c r="K11685" s="1" t="str">
        <f t="shared" ref="K11685:K11716" si="738">LEFT(I11685, 1)</f>
        <v>ㄙ</v>
      </c>
      <c r="L11685" s="1" t="str">
        <f t="shared" ref="L11685:L11716" si="739">MID(I11685, 2, 1)</f>
        <v>ㄢ</v>
      </c>
      <c r="N11685" s="3" t="s">
        <v>30574</v>
      </c>
      <c r="O11685" s="3"/>
      <c r="P11685" s="1" t="s">
        <v>20</v>
      </c>
      <c r="R11685" s="1" t="s">
        <v>23789</v>
      </c>
      <c r="V11685" s="1" t="s">
        <v>23790</v>
      </c>
      <c r="W11685" s="1" t="s">
        <v>23791</v>
      </c>
      <c r="AR11685" s="1" t="str">
        <f t="shared" si="735"/>
        <v>| [ㄙㄢˋ](ㄙㄢˋ.md) | [三](三.md) |  | sàn | [副]
屢次、再三。參見「三思」、「三復」等條。 |</v>
      </c>
    </row>
    <row r="11686" spans="1:44" hidden="1">
      <c r="A11686" s="1" t="s">
        <v>23772</v>
      </c>
      <c r="C11686" s="1">
        <v>1</v>
      </c>
      <c r="D11686" s="1" t="str">
        <f>"10067"</f>
        <v>10067</v>
      </c>
      <c r="E11686" s="1" t="s">
        <v>426</v>
      </c>
      <c r="F11686" s="1">
        <v>12</v>
      </c>
      <c r="G11686" s="1">
        <v>8</v>
      </c>
      <c r="H11686" s="1">
        <v>1</v>
      </c>
      <c r="I11686" s="1" t="s">
        <v>23788</v>
      </c>
      <c r="K11686" s="1" t="str">
        <f t="shared" si="738"/>
        <v>ㄙ</v>
      </c>
      <c r="L11686" s="1" t="str">
        <f t="shared" si="739"/>
        <v>ㄢ</v>
      </c>
      <c r="N11686" s="3" t="s">
        <v>30574</v>
      </c>
      <c r="O11686" s="3"/>
      <c r="P11686" s="1" t="s">
        <v>20</v>
      </c>
      <c r="R11686" s="1" t="s">
        <v>23789</v>
      </c>
      <c r="V11686" s="1" t="s">
        <v>23792</v>
      </c>
      <c r="W11686" s="1" t="s">
        <v>23793</v>
      </c>
      <c r="AR11686" s="1" t="str">
        <f t="shared" si="735"/>
        <v>| [ㄙㄢˋ](ㄙㄢˋ.md) | [散](散.md) |  | sàn | [動]
1.分離。如：「分散」、「離散」、「煙消雲散」。
2.分布、撒出。如：「散播」、「散發」、「天女散花」。
3.排遣、抒發。如：「散悶」、「散心」。唐．杜甫〈落日〉詩：「濁醪誰造汝，一酌散千憂。」
4.解雇、解職。如：「遣散」。
5.逃走。《孟子．梁惠王下》：「老弱轉乎溝壑，壯者散而之四方者，幾千人矣。」 |</v>
      </c>
    </row>
    <row r="11687" spans="1:44" hidden="1">
      <c r="A11687" s="1" t="s">
        <v>23772</v>
      </c>
      <c r="C11687" s="1">
        <v>1</v>
      </c>
      <c r="D11687" s="1" t="str">
        <f>"10060"</f>
        <v>10060</v>
      </c>
      <c r="E11687" s="1" t="s">
        <v>426</v>
      </c>
      <c r="F11687" s="1">
        <v>12</v>
      </c>
      <c r="G11687" s="1">
        <v>8</v>
      </c>
      <c r="H11687" s="1">
        <v>2</v>
      </c>
      <c r="I11687" s="1" t="s">
        <v>23773</v>
      </c>
      <c r="K11687" s="1" t="str">
        <f t="shared" si="738"/>
        <v>ㄙ</v>
      </c>
      <c r="L11687" s="1" t="str">
        <f t="shared" si="739"/>
        <v>ㄢ</v>
      </c>
      <c r="N11687" s="3" t="s">
        <v>30576</v>
      </c>
      <c r="O11687" s="3"/>
      <c r="P11687" s="1" t="s">
        <v>20</v>
      </c>
      <c r="R11687" s="1" t="s">
        <v>23774</v>
      </c>
      <c r="V11687" s="1" t="s">
        <v>23775</v>
      </c>
      <c r="W11687" s="1" t="s">
        <v>23776</v>
      </c>
      <c r="AR11687" s="1" t="str">
        <f t="shared" si="735"/>
        <v>| [ㄙㄢˇ](ㄙㄢˇ.md) | [散](散.md) |  | sǎn | [形]
1.不自約束的。如：「懶散」。《荀子．修身》：「庸眾駑散，則劫之以師友。」唐．楊倞．注：「散，不拘檢者也。」
2.零碎、不緊湊。如：「散工」、「散沙」。
3.閒逸。如：「閒散」、「散官」。
4.雜亂、沒有規則。如：《韓非子．大體》：「故至安之世，法如朝露，純樸不散。」
[動]
分開、解體。如：「隊伍散了」、「頭髮散了」。
[名]
1.藥粉。如：「胃散」、「藥散」、「消暑散」。
2.姓。如周代有散宜生。 |</v>
      </c>
    </row>
    <row r="11688" spans="1:44" hidden="1">
      <c r="A11688" s="1" t="s">
        <v>23777</v>
      </c>
      <c r="C11688" s="1">
        <v>1</v>
      </c>
      <c r="D11688" s="1" t="str">
        <f>"10061"</f>
        <v>10061</v>
      </c>
      <c r="E11688" s="1" t="s">
        <v>725</v>
      </c>
      <c r="F11688" s="1">
        <v>18</v>
      </c>
      <c r="G11688" s="1">
        <v>12</v>
      </c>
      <c r="H11688" s="1">
        <v>0</v>
      </c>
      <c r="I11688" s="1" t="s">
        <v>23773</v>
      </c>
      <c r="K11688" s="1" t="str">
        <f t="shared" si="738"/>
        <v>ㄙ</v>
      </c>
      <c r="L11688" s="1" t="str">
        <f t="shared" si="739"/>
        <v>ㄢ</v>
      </c>
      <c r="N11688" s="3" t="s">
        <v>30576</v>
      </c>
      <c r="O11688" s="3"/>
      <c r="P11688" s="1" t="s">
        <v>20</v>
      </c>
      <c r="R11688" s="1" t="s">
        <v>23774</v>
      </c>
      <c r="V11688" s="1" t="s">
        <v>23778</v>
      </c>
      <c r="AR11688" s="1" t="str">
        <f t="shared" si="735"/>
        <v>| [ㄙㄢˇ](ㄙㄢˇ.md) | [繖](繖.md) |  | sǎn | [名]
1.遮蔽雨水或陽光的用具。同「傘」。《集韻．上聲．緩韻》：「繖，亦作傘。」《晉書．卷八三．王雅傳》：「將拜，遇雨，請以繖入。」宋．陸游〈鏡湖女〉詩：「女兒妝面花樣紅，小繖翻翻亂荷葉。」
2.絲綾。《廣韻．上聲．旱韻》：「繖，繖絲綾。」 |</v>
      </c>
    </row>
    <row r="11689" spans="1:44" hidden="1">
      <c r="A11689" s="1" t="s">
        <v>23779</v>
      </c>
      <c r="C11689" s="1">
        <v>1</v>
      </c>
      <c r="D11689" s="1" t="str">
        <f>"10062"</f>
        <v>10062</v>
      </c>
      <c r="E11689" s="1" t="s">
        <v>193</v>
      </c>
      <c r="F11689" s="1">
        <v>20</v>
      </c>
      <c r="G11689" s="1">
        <v>12</v>
      </c>
      <c r="H11689" s="1">
        <v>0</v>
      </c>
      <c r="I11689" s="1" t="s">
        <v>23773</v>
      </c>
      <c r="K11689" s="1" t="str">
        <f t="shared" si="738"/>
        <v>ㄙ</v>
      </c>
      <c r="L11689" s="1" t="str">
        <f t="shared" si="739"/>
        <v>ㄢ</v>
      </c>
      <c r="N11689" s="3" t="s">
        <v>30576</v>
      </c>
      <c r="O11689" s="3"/>
      <c r="P11689" s="1" t="s">
        <v>20</v>
      </c>
      <c r="R11689" s="1" t="s">
        <v>23774</v>
      </c>
      <c r="V11689" s="1" t="s">
        <v>23780</v>
      </c>
      <c r="AR11689" s="1" t="str">
        <f t="shared" si="735"/>
        <v>| [ㄙㄢˇ](ㄙㄢˇ.md) | [饊](饊.md) |  | sǎn | [名]
一種用麵條扭成細絲後，油炸而成的食品。《水滸傳》第二四回：「取些銀子與武大，教買餅饊茶果請鄰舍吃茶。」 |</v>
      </c>
    </row>
    <row r="11690" spans="1:44" hidden="1">
      <c r="A11690" s="1" t="s">
        <v>23781</v>
      </c>
      <c r="C11690" s="1">
        <v>1</v>
      </c>
      <c r="D11690" s="1" t="str">
        <f>"10063"</f>
        <v>10063</v>
      </c>
      <c r="E11690" s="1" t="s">
        <v>114</v>
      </c>
      <c r="F11690" s="1">
        <v>12</v>
      </c>
      <c r="G11690" s="1">
        <v>10</v>
      </c>
      <c r="H11690" s="1">
        <v>0</v>
      </c>
      <c r="I11690" s="1" t="s">
        <v>23773</v>
      </c>
      <c r="K11690" s="1" t="str">
        <f t="shared" si="738"/>
        <v>ㄙ</v>
      </c>
      <c r="L11690" s="1" t="str">
        <f t="shared" si="739"/>
        <v>ㄢ</v>
      </c>
      <c r="N11690" s="3" t="s">
        <v>30576</v>
      </c>
      <c r="O11690" s="3"/>
      <c r="P11690" s="1" t="s">
        <v>20</v>
      </c>
      <c r="R11690" s="1" t="s">
        <v>23774</v>
      </c>
      <c r="V11690" s="1" t="s">
        <v>23782</v>
      </c>
      <c r="AR11690" s="1" t="str">
        <f t="shared" si="735"/>
        <v>| [ㄙㄢˇ](ㄙㄢˇ.md) | [傘](傘.md) |  | sǎn | [名]
1.遮蔽雨水或陽光的用具。通常以金屬或竹條做骨架，以布或油紙為傘面，可以任意張合。如：「雨傘」、「油紙傘」。
2.形狀像傘的東西。如：「降落傘」。 |</v>
      </c>
    </row>
    <row r="11691" spans="1:44" hidden="1">
      <c r="A11691" s="1" t="s">
        <v>23783</v>
      </c>
      <c r="C11691" s="1">
        <v>1</v>
      </c>
      <c r="D11691" s="1" t="str">
        <f>"10064"</f>
        <v>10064</v>
      </c>
      <c r="E11691" s="1" t="s">
        <v>139</v>
      </c>
      <c r="F11691" s="1">
        <v>15</v>
      </c>
      <c r="G11691" s="1">
        <v>11</v>
      </c>
      <c r="H11691" s="1">
        <v>2</v>
      </c>
      <c r="I11691" s="1" t="s">
        <v>23773</v>
      </c>
      <c r="K11691" s="1" t="str">
        <f t="shared" si="738"/>
        <v>ㄙ</v>
      </c>
      <c r="L11691" s="1" t="str">
        <f t="shared" si="739"/>
        <v>ㄢ</v>
      </c>
      <c r="N11691" s="3" t="s">
        <v>30576</v>
      </c>
      <c r="O11691" s="3"/>
      <c r="P11691" s="1" t="s">
        <v>20</v>
      </c>
      <c r="R11691" s="1" t="s">
        <v>23774</v>
      </c>
      <c r="V11691" s="1" t="s">
        <v>23784</v>
      </c>
      <c r="W11691" s="1" t="s">
        <v>23785</v>
      </c>
      <c r="AR11691" s="1" t="str">
        <f t="shared" si="735"/>
        <v>| [ㄙㄢˇ](ㄙㄢˇ.md) | [槮](槮.md) |  | sǎn | [動]
在水中積架柴木以圍捕魚群。《爾雅．釋器》：「槮謂之涔。」晉．郭璞．注：「今之作槮者，聚集柴木於水中，魚得寒，入其裡藏隱，因以簿圍捕取之。」 |</v>
      </c>
    </row>
    <row r="11692" spans="1:44" hidden="1">
      <c r="A11692" s="1" t="s">
        <v>23786</v>
      </c>
      <c r="C11692" s="1">
        <v>1</v>
      </c>
      <c r="D11692" s="1" t="str">
        <f>"10065"</f>
        <v>10065</v>
      </c>
      <c r="E11692" s="1" t="s">
        <v>46</v>
      </c>
      <c r="F11692" s="1">
        <v>17</v>
      </c>
      <c r="G11692" s="1">
        <v>11</v>
      </c>
      <c r="H11692" s="1">
        <v>0</v>
      </c>
      <c r="I11692" s="1" t="s">
        <v>23773</v>
      </c>
      <c r="K11692" s="1" t="str">
        <f t="shared" si="738"/>
        <v>ㄙ</v>
      </c>
      <c r="L11692" s="1" t="str">
        <f t="shared" si="739"/>
        <v>ㄢ</v>
      </c>
      <c r="N11692" s="3" t="s">
        <v>30576</v>
      </c>
      <c r="O11692" s="3"/>
      <c r="P11692" s="1" t="s">
        <v>20</v>
      </c>
      <c r="R11692" s="1" t="s">
        <v>23774</v>
      </c>
      <c r="V11692" s="1" t="s">
        <v>23787</v>
      </c>
      <c r="AR11692" s="1" t="str">
        <f t="shared" si="735"/>
        <v>| [ㄙㄢˇ](ㄙㄢˇ.md) | [糝](糝.md) |  | sǎn | [名]
1.飯粒。《說文解字．米部》「糂」字．清．段玉裁．注：「今南人俗語曰米糝飯，糝謂孰者也。」晉．江統〈徙戎論〉：「若有窮乏糝粒不繼者，故當傾關中之穀，以全其生生之計。」
2.以米調和羹或其他食物而製成的食品。宋．陸游〈晨起偶題〉詩：「風爐歙缽生涯在，且試新寒芋糝羹。」
[動]
撒落、散開。唐．李白〈春感〉詩：「榆莢錢生樹，楊花玉糝街。」 |</v>
      </c>
    </row>
    <row r="11693" spans="1:44" hidden="1">
      <c r="A11693" s="1" t="s">
        <v>23804</v>
      </c>
      <c r="C11693" s="1">
        <v>1</v>
      </c>
      <c r="D11693" s="1" t="str">
        <f>"10076"</f>
        <v>10076</v>
      </c>
      <c r="E11693" s="1" t="s">
        <v>28</v>
      </c>
      <c r="F11693" s="1">
        <v>12</v>
      </c>
      <c r="G11693" s="1">
        <v>9</v>
      </c>
      <c r="H11693" s="1">
        <v>2</v>
      </c>
      <c r="I11693" s="1" t="s">
        <v>23817</v>
      </c>
      <c r="K11693" s="1" t="str">
        <f t="shared" si="738"/>
        <v>ㄙ</v>
      </c>
      <c r="L11693" s="1" t="str">
        <f t="shared" si="739"/>
        <v>ㄤ</v>
      </c>
      <c r="N11693" s="3" t="s">
        <v>30574</v>
      </c>
      <c r="O11693" s="3"/>
      <c r="P11693" s="1" t="s">
        <v>20</v>
      </c>
      <c r="R11693" s="1" t="s">
        <v>23818</v>
      </c>
      <c r="V11693" s="1" t="s">
        <v>23819</v>
      </c>
      <c r="W11693" s="1" t="s">
        <v>23820</v>
      </c>
      <c r="AR11693" s="1" t="str">
        <f t="shared" si="735"/>
        <v>| [ㄙㄤˋ](ㄙㄤˋ.md) | [喪](喪.md) |  | sàng | [動]
1.逃亡。《詩經．唐風．葛生．序》：「好攻戰，則國人多喪矣。」
2.失去、丟掉。如：「喪盡天良」、「喪權辱國」、「垂頭喪志」。唐．韓愈〈李尚書書〉：「魂亡魄喪，影滅跡絕。」
3.失敗、毀滅。《論語．憲問》：「夫如是，奚而不喪？」《國語．晉語》：「若紂有良子，而先紂喪，無章其惡而厚其敗。」
4.死亡。《書經．金縢》：「武王既喪，管叔及其群弟乃流言於國。」南朝宋．劉義慶《世說新語．賢媛》：「郗嘉賓喪，婦兄弟欲迎妹還，終不肯歸。」 |</v>
      </c>
    </row>
    <row r="11694" spans="1:44" hidden="1">
      <c r="A11694" s="1" t="s">
        <v>23807</v>
      </c>
      <c r="C11694" s="1">
        <v>1</v>
      </c>
      <c r="D11694" s="1" t="str">
        <f>"10072"</f>
        <v>10072</v>
      </c>
      <c r="E11694" s="1" t="s">
        <v>24</v>
      </c>
      <c r="F11694" s="1">
        <v>13</v>
      </c>
      <c r="G11694" s="1">
        <v>10</v>
      </c>
      <c r="H11694" s="1">
        <v>0</v>
      </c>
      <c r="I11694" s="1" t="s">
        <v>23808</v>
      </c>
      <c r="K11694" s="1" t="str">
        <f t="shared" si="738"/>
        <v>ㄙ</v>
      </c>
      <c r="L11694" s="1" t="str">
        <f t="shared" si="739"/>
        <v>ㄤ</v>
      </c>
      <c r="N11694" s="3" t="s">
        <v>30576</v>
      </c>
      <c r="O11694" s="3"/>
      <c r="P11694" s="1" t="s">
        <v>20</v>
      </c>
      <c r="R11694" s="1" t="s">
        <v>23809</v>
      </c>
      <c r="V11694" s="1" t="s">
        <v>23810</v>
      </c>
      <c r="AR11694" s="1" t="str">
        <f t="shared" si="735"/>
        <v>| [ㄙㄤˇ](ㄙㄤˇ.md) | [搡](搡.md) |  | sǎng | [動]
推、擠。《儒林外史》第五四回：「被丁言志搡了一交，骨碌碌就滾到橋底下去了。」 |</v>
      </c>
    </row>
    <row r="11695" spans="1:44" hidden="1">
      <c r="A11695" s="1" t="s">
        <v>23811</v>
      </c>
      <c r="C11695" s="1">
        <v>1</v>
      </c>
      <c r="D11695" s="1" t="str">
        <f>"10073"</f>
        <v>10073</v>
      </c>
      <c r="E11695" s="1" t="s">
        <v>28</v>
      </c>
      <c r="F11695" s="1">
        <v>13</v>
      </c>
      <c r="G11695" s="1">
        <v>10</v>
      </c>
      <c r="H11695" s="1">
        <v>0</v>
      </c>
      <c r="I11695" s="1" t="s">
        <v>23808</v>
      </c>
      <c r="K11695" s="1" t="str">
        <f t="shared" si="738"/>
        <v>ㄙ</v>
      </c>
      <c r="L11695" s="1" t="str">
        <f t="shared" si="739"/>
        <v>ㄤ</v>
      </c>
      <c r="N11695" s="3" t="s">
        <v>30576</v>
      </c>
      <c r="O11695" s="3"/>
      <c r="P11695" s="1" t="s">
        <v>20</v>
      </c>
      <c r="R11695" s="1" t="s">
        <v>23809</v>
      </c>
      <c r="V11695" s="1" t="s">
        <v>23812</v>
      </c>
      <c r="AR11695" s="1" t="str">
        <f t="shared" si="735"/>
        <v>| [ㄙㄤˇ](ㄙㄤˇ.md) | [嗓](嗓.md) |  | sǎng | [名]
喉嚨。如：「他說話說的嗓子都啞了」。《兒女英雄傳》第二七回：「嘴也說酸了，嗓子也說乾了。」 |</v>
      </c>
    </row>
    <row r="11696" spans="1:44" hidden="1">
      <c r="A11696" s="1" t="s">
        <v>23813</v>
      </c>
      <c r="C11696" s="1">
        <v>1</v>
      </c>
      <c r="D11696" s="1" t="str">
        <f>"10074"</f>
        <v>10074</v>
      </c>
      <c r="E11696" s="1" t="s">
        <v>169</v>
      </c>
      <c r="F11696" s="1">
        <v>15</v>
      </c>
      <c r="G11696" s="1">
        <v>10</v>
      </c>
      <c r="H11696" s="1">
        <v>0</v>
      </c>
      <c r="I11696" s="1" t="s">
        <v>23808</v>
      </c>
      <c r="K11696" s="1" t="str">
        <f t="shared" si="738"/>
        <v>ㄙ</v>
      </c>
      <c r="L11696" s="1" t="str">
        <f t="shared" si="739"/>
        <v>ㄤ</v>
      </c>
      <c r="N11696" s="3" t="s">
        <v>30576</v>
      </c>
      <c r="O11696" s="3"/>
      <c r="P11696" s="1" t="s">
        <v>20</v>
      </c>
      <c r="R11696" s="1" t="s">
        <v>23809</v>
      </c>
      <c r="V11696" s="1" t="s">
        <v>23814</v>
      </c>
      <c r="AR11696" s="1" t="str">
        <f t="shared" si="735"/>
        <v>| [ㄙㄤˇ](ㄙㄤˇ.md) | [磉](磉.md) |  | sǎng | [名]
柱下的石頭。即礎。《廣韻．上聲．蕩韻》：「磉，柱下石也。」 |</v>
      </c>
    </row>
    <row r="11697" spans="1:44" hidden="1">
      <c r="A11697" s="1" t="s">
        <v>23815</v>
      </c>
      <c r="C11697" s="1">
        <v>1</v>
      </c>
      <c r="D11697" s="1" t="str">
        <f>"10075"</f>
        <v>10075</v>
      </c>
      <c r="E11697" s="1" t="s">
        <v>684</v>
      </c>
      <c r="F11697" s="1">
        <v>19</v>
      </c>
      <c r="G11697" s="1">
        <v>10</v>
      </c>
      <c r="H11697" s="1">
        <v>0</v>
      </c>
      <c r="I11697" s="1" t="s">
        <v>23808</v>
      </c>
      <c r="K11697" s="1" t="str">
        <f t="shared" si="738"/>
        <v>ㄙ</v>
      </c>
      <c r="L11697" s="1" t="str">
        <f t="shared" si="739"/>
        <v>ㄤ</v>
      </c>
      <c r="N11697" s="3" t="s">
        <v>30576</v>
      </c>
      <c r="O11697" s="3"/>
      <c r="P11697" s="1" t="s">
        <v>20</v>
      </c>
      <c r="R11697" s="1" t="s">
        <v>23809</v>
      </c>
      <c r="V11697" s="1" t="s">
        <v>23816</v>
      </c>
      <c r="AR11697" s="1" t="str">
        <f t="shared" si="735"/>
        <v>| [ㄙㄤˇ](ㄙㄤˇ.md) | [顙](顙.md) |  | sǎng | [名]
1.額頭、前額。《孟子．滕文公上》：「其顙有泚，睨而不視。」《史記．卷四七．孔子世家》：「東門有人，其顙類堯。」
2.泛指頭。唐．杜甫〈義鶻〉詩：「修鱗脫遠枝，巨顙拆老拳。」明．徐弘祖《徐霞客遊記．卷一〇上．滇遊日記十三》：「自顙及趾，靡有所遺。」
3.喉嚨、嗓子。元．龐德祥《殺狗勸夫》第四折：「動不動搯人的顙子。」
[動]
叩頭。《公羊傳．昭公二十五年》：「喪人不佞，失守魯國之社稷，執事以羞，再拜顙。」 |</v>
      </c>
    </row>
    <row r="11698" spans="1:44" hidden="1">
      <c r="A11698" s="1" t="s">
        <v>23845</v>
      </c>
      <c r="C11698" s="1">
        <v>1</v>
      </c>
      <c r="D11698" s="1" t="str">
        <f>"10087"</f>
        <v>10087</v>
      </c>
      <c r="E11698" s="1" t="s">
        <v>3347</v>
      </c>
      <c r="F11698" s="1">
        <v>6</v>
      </c>
      <c r="G11698" s="1">
        <v>3</v>
      </c>
      <c r="H11698" s="1">
        <v>0</v>
      </c>
      <c r="I11698" s="1" t="s">
        <v>23846</v>
      </c>
      <c r="K11698" s="1" t="str">
        <f t="shared" si="738"/>
        <v>ㄙ</v>
      </c>
      <c r="L11698" s="1" t="str">
        <f t="shared" si="739"/>
        <v>ㄨ</v>
      </c>
      <c r="N11698" s="3" t="s">
        <v>30574</v>
      </c>
      <c r="O11698" s="3"/>
      <c r="P11698" s="1" t="s">
        <v>20</v>
      </c>
      <c r="R11698" s="1" t="s">
        <v>23847</v>
      </c>
      <c r="V11698" s="1" t="s">
        <v>23848</v>
      </c>
      <c r="AR11698" s="1" t="str">
        <f t="shared" si="735"/>
        <v>| [ㄙㄨˋ](ㄙㄨˋ.md) | [夙](夙.md) |  | sù | [名]
早晨。如：「夙夜匪懈」。《書經．舜典》：「夙夜惟寅，直哉惟清。」唐．孔穎達．正義：「夙，早也。」《文選．潘岳．秋興賦》：「夙興晏寢，匪遑厎寧。」
[形]
1.舊的、以前的。《西遊記》第五二回：「且休題夙話。」
2.平常的、一向的。如：「夙願」、「夙志」。《後漢書．卷八〇．文苑傳下．趙壹傳》：「惟君明叡，平其夙心。」
3.飽學的。通「宿」。參見「夙儒」條。 |</v>
      </c>
    </row>
    <row r="11699" spans="1:44" hidden="1">
      <c r="A11699" s="1" t="s">
        <v>23849</v>
      </c>
      <c r="C11699" s="1">
        <v>1</v>
      </c>
      <c r="D11699" s="1" t="str">
        <f>"10088"</f>
        <v>10088</v>
      </c>
      <c r="E11699" s="1" t="s">
        <v>129</v>
      </c>
      <c r="F11699" s="1">
        <v>8</v>
      </c>
      <c r="G11699" s="1">
        <v>5</v>
      </c>
      <c r="H11699" s="1">
        <v>0</v>
      </c>
      <c r="I11699" s="1" t="s">
        <v>23846</v>
      </c>
      <c r="K11699" s="1" t="str">
        <f t="shared" si="738"/>
        <v>ㄙ</v>
      </c>
      <c r="L11699" s="1" t="str">
        <f t="shared" si="739"/>
        <v>ㄨ</v>
      </c>
      <c r="N11699" s="3" t="s">
        <v>30574</v>
      </c>
      <c r="O11699" s="3"/>
      <c r="P11699" s="1" t="s">
        <v>20</v>
      </c>
      <c r="R11699" s="1" t="s">
        <v>23847</v>
      </c>
      <c r="V11699" s="1" t="s">
        <v>23850</v>
      </c>
      <c r="AR11699" s="1" t="str">
        <f t="shared" si="735"/>
        <v>| [ㄙㄨˋ](ㄙㄨˋ.md) | [泝](泝.md) |  | sù | [動]
逆水而上。《左傳．文公十年》：「沿漢泝江，將入郢。」《新唐書．卷八五．竇建德傳》：「運糧泝河西上，舟相屬不絕。」 |</v>
      </c>
    </row>
    <row r="11700" spans="1:44" hidden="1">
      <c r="A11700" s="1" t="s">
        <v>23851</v>
      </c>
      <c r="C11700" s="1">
        <v>1</v>
      </c>
      <c r="D11700" s="1" t="str">
        <f>"10089"</f>
        <v>10089</v>
      </c>
      <c r="E11700" s="1" t="s">
        <v>331</v>
      </c>
      <c r="F11700" s="1">
        <v>12</v>
      </c>
      <c r="G11700" s="1">
        <v>5</v>
      </c>
      <c r="H11700" s="1">
        <v>0</v>
      </c>
      <c r="I11700" s="1" t="s">
        <v>23846</v>
      </c>
      <c r="K11700" s="1" t="str">
        <f t="shared" si="738"/>
        <v>ㄙ</v>
      </c>
      <c r="L11700" s="1" t="str">
        <f t="shared" si="739"/>
        <v>ㄨ</v>
      </c>
      <c r="N11700" s="3" t="s">
        <v>30574</v>
      </c>
      <c r="O11700" s="3"/>
      <c r="P11700" s="1" t="s">
        <v>20</v>
      </c>
      <c r="R11700" s="1" t="s">
        <v>23847</v>
      </c>
      <c r="V11700" s="1" t="s">
        <v>23852</v>
      </c>
      <c r="AR11700" s="1" t="str">
        <f t="shared" si="735"/>
        <v>| [ㄙㄨˋ](ㄙㄨˋ.md) | [訴](訴.md) |  | sù | [動]_x000D_
1.陳述、傾吐。如：「告訴」、「訴說」、「互訴衷曲」。晉．潘岳〈寡婦賦〉：「潛靈邈其不反兮，殷憂結而靡訴。」唐．白居易〈琵琶行〉：「弦弦掩抑聲聲思，似訴平生不得意。」_x000D_
2.告狀、控告。如：「起訴」、「上訴」。《漢書．卷一〇．成帝紀》：「刑罰不中，眾冤失職，趨闕告訴者不絕。」《新唐書．卷一一六．列傳．王綝》：「始，部中首領沓墨，民詣府訴，府曹素相餉謝，未嘗治。」_x000D_
3.詆毀。《左傳．成公十六年》：「取貨于宣伯，而訴公于晉侯，晉侯不見公。」《三國志．卷一四．魏書．程郭董劉蔣劉傳．郭嘉》：「初，陳群非嘉不治行檢，數廷訴嘉，嘉意自若。」_x000D_
4.求助、憑藉。如：「訴諸親情」、「訴諸武力」。_x000D_
[名]_x000D_
姓。如漢代有訴梵。 |</v>
      </c>
    </row>
    <row r="11701" spans="1:44" hidden="1">
      <c r="A11701" s="1" t="s">
        <v>23853</v>
      </c>
      <c r="C11701" s="1">
        <v>1</v>
      </c>
      <c r="D11701" s="1" t="str">
        <f>"10090"</f>
        <v>10090</v>
      </c>
      <c r="E11701" s="1" t="s">
        <v>129</v>
      </c>
      <c r="F11701" s="1">
        <v>10</v>
      </c>
      <c r="G11701" s="1">
        <v>7</v>
      </c>
      <c r="H11701" s="1">
        <v>0</v>
      </c>
      <c r="I11701" s="1" t="s">
        <v>23846</v>
      </c>
      <c r="K11701" s="1" t="str">
        <f t="shared" si="738"/>
        <v>ㄙ</v>
      </c>
      <c r="L11701" s="1" t="str">
        <f t="shared" si="739"/>
        <v>ㄨ</v>
      </c>
      <c r="N11701" s="3" t="s">
        <v>30574</v>
      </c>
      <c r="O11701" s="3"/>
      <c r="P11701" s="1" t="s">
        <v>20</v>
      </c>
      <c r="R11701" s="1" t="s">
        <v>23847</v>
      </c>
      <c r="V11701" s="1" t="s">
        <v>23854</v>
      </c>
      <c r="AR11701" s="1" t="str">
        <f t="shared" si="735"/>
        <v>| [ㄙㄨˋ](ㄙㄨˋ.md) | [涑](涑.md) |  | sù | 參見「涑水」條。 |</v>
      </c>
    </row>
    <row r="11702" spans="1:44" hidden="1">
      <c r="A11702" s="1" t="s">
        <v>23855</v>
      </c>
      <c r="C11702" s="1">
        <v>1</v>
      </c>
      <c r="D11702" s="1" t="str">
        <f>"10091"</f>
        <v>10091</v>
      </c>
      <c r="E11702" s="1" t="s">
        <v>558</v>
      </c>
      <c r="F11702" s="1">
        <v>11</v>
      </c>
      <c r="G11702" s="1">
        <v>7</v>
      </c>
      <c r="H11702" s="1">
        <v>0</v>
      </c>
      <c r="I11702" s="1" t="s">
        <v>23846</v>
      </c>
      <c r="K11702" s="1" t="str">
        <f t="shared" si="738"/>
        <v>ㄙ</v>
      </c>
      <c r="L11702" s="1" t="str">
        <f t="shared" si="739"/>
        <v>ㄨ</v>
      </c>
      <c r="N11702" s="3" t="s">
        <v>30574</v>
      </c>
      <c r="O11702" s="3"/>
      <c r="P11702" s="1" t="s">
        <v>20</v>
      </c>
      <c r="R11702" s="1" t="s">
        <v>23847</v>
      </c>
      <c r="V11702" s="1" t="s">
        <v>23856</v>
      </c>
      <c r="AR11702" s="1" t="str">
        <f t="shared" si="735"/>
        <v>| [ㄙㄨˋ](ㄙㄨˋ.md) | [速](速.md) |  | sù | [副]
快、急。表時間。如：「迅速」、「速成」、「速寫」。《論語．子路》：「欲速則不達，見小利大，大事不成。」
[動]
1.邀請。《易經．需卦．上六》：「有不速之客三人來，敬之終吉。」《文選．張衡．南都賦》：「以速遠朋，嘉賓是將；揖讓而升，宴于蘭堂。」
2.招致。《左傳．昭公二十六年》：「毋速天罰，赦圖不穀。」《國語．楚語下》：「是之不恤，而蓄聚不厭，其速怨於民多矣。」
[名]
速度的簡稱。如：「光速」、「音速」。 |</v>
      </c>
    </row>
    <row r="11703" spans="1:44" hidden="1">
      <c r="A11703" s="1" t="s">
        <v>23857</v>
      </c>
      <c r="C11703" s="1">
        <v>1</v>
      </c>
      <c r="D11703" s="1" t="str">
        <f>"10092"</f>
        <v>10092</v>
      </c>
      <c r="E11703" s="1" t="s">
        <v>1117</v>
      </c>
      <c r="F11703" s="1">
        <v>14</v>
      </c>
      <c r="G11703" s="1">
        <v>7</v>
      </c>
      <c r="H11703" s="1">
        <v>0</v>
      </c>
      <c r="I11703" s="1" t="s">
        <v>23846</v>
      </c>
      <c r="K11703" s="1" t="str">
        <f t="shared" si="738"/>
        <v>ㄙ</v>
      </c>
      <c r="L11703" s="1" t="str">
        <f t="shared" si="739"/>
        <v>ㄨ</v>
      </c>
      <c r="N11703" s="3" t="s">
        <v>30574</v>
      </c>
      <c r="O11703" s="3"/>
      <c r="P11703" s="1" t="s">
        <v>20</v>
      </c>
      <c r="R11703" s="1" t="s">
        <v>23847</v>
      </c>
      <c r="V11703" s="1" t="s">
        <v>23858</v>
      </c>
      <c r="AR11703" s="1" t="str">
        <f t="shared" si="735"/>
        <v>| [ㄙㄨˋ](ㄙㄨˋ.md) | [觫](觫.md) |  | sù | 參見「觳觫」條。 |</v>
      </c>
    </row>
    <row r="11704" spans="1:44" hidden="1">
      <c r="A11704" s="1" t="s">
        <v>23859</v>
      </c>
      <c r="C11704" s="1">
        <v>1</v>
      </c>
      <c r="D11704" s="1" t="str">
        <f>"10093"</f>
        <v>10093</v>
      </c>
      <c r="E11704" s="1" t="s">
        <v>139</v>
      </c>
      <c r="F11704" s="1">
        <v>15</v>
      </c>
      <c r="G11704" s="1">
        <v>11</v>
      </c>
      <c r="H11704" s="1">
        <v>0</v>
      </c>
      <c r="I11704" s="1" t="s">
        <v>23846</v>
      </c>
      <c r="K11704" s="1" t="str">
        <f t="shared" si="738"/>
        <v>ㄙ</v>
      </c>
      <c r="L11704" s="1" t="str">
        <f t="shared" si="739"/>
        <v>ㄨ</v>
      </c>
      <c r="N11704" s="3" t="s">
        <v>30574</v>
      </c>
      <c r="O11704" s="3"/>
      <c r="P11704" s="1" t="s">
        <v>20</v>
      </c>
      <c r="R11704" s="1" t="s">
        <v>23847</v>
      </c>
      <c r="V11704" s="1" t="s">
        <v>23860</v>
      </c>
      <c r="AR11704" s="1" t="str">
        <f t="shared" si="735"/>
        <v>| [ㄙㄨˋ](ㄙㄨˋ.md) | [樕](樕.md) |  | sù | 參見「樸樕」條。 |</v>
      </c>
    </row>
    <row r="11705" spans="1:44" hidden="1">
      <c r="A11705" s="1" t="s">
        <v>23861</v>
      </c>
      <c r="C11705" s="1">
        <v>1</v>
      </c>
      <c r="D11705" s="1" t="str">
        <f>"10094"</f>
        <v>10094</v>
      </c>
      <c r="E11705" s="1" t="s">
        <v>558</v>
      </c>
      <c r="F11705" s="1">
        <v>15</v>
      </c>
      <c r="G11705" s="1">
        <v>11</v>
      </c>
      <c r="H11705" s="1">
        <v>0</v>
      </c>
      <c r="I11705" s="1" t="s">
        <v>23846</v>
      </c>
      <c r="K11705" s="1" t="str">
        <f t="shared" si="738"/>
        <v>ㄙ</v>
      </c>
      <c r="L11705" s="1" t="str">
        <f t="shared" si="739"/>
        <v>ㄨ</v>
      </c>
      <c r="N11705" s="3" t="s">
        <v>30574</v>
      </c>
      <c r="O11705" s="3"/>
      <c r="P11705" s="1" t="s">
        <v>20</v>
      </c>
      <c r="R11705" s="1" t="s">
        <v>23847</v>
      </c>
      <c r="V11705" s="1" t="s">
        <v>23862</v>
      </c>
      <c r="AR11705" s="1" t="str">
        <f t="shared" si="735"/>
        <v>| [ㄙㄨˋ](ㄙㄨˋ.md) | [遬](遬.md) |  | sù | [動]
肅敬。《禮記．玉藻》：「君子之容舒遲，見所尊者齊遬。」 |</v>
      </c>
    </row>
    <row r="11706" spans="1:44" hidden="1">
      <c r="A11706" s="1" t="s">
        <v>23863</v>
      </c>
      <c r="C11706" s="1">
        <v>1</v>
      </c>
      <c r="D11706" s="1" t="str">
        <f>"10095"</f>
        <v>10095</v>
      </c>
      <c r="E11706" s="1" t="s">
        <v>37</v>
      </c>
      <c r="F11706" s="1">
        <v>15</v>
      </c>
      <c r="G11706" s="1">
        <v>11</v>
      </c>
      <c r="H11706" s="1">
        <v>0</v>
      </c>
      <c r="I11706" s="1" t="s">
        <v>23846</v>
      </c>
      <c r="K11706" s="1" t="str">
        <f t="shared" si="738"/>
        <v>ㄙ</v>
      </c>
      <c r="L11706" s="1" t="str">
        <f t="shared" si="739"/>
        <v>ㄨ</v>
      </c>
      <c r="N11706" s="3" t="s">
        <v>30574</v>
      </c>
      <c r="O11706" s="3"/>
      <c r="P11706" s="1" t="s">
        <v>20</v>
      </c>
      <c r="R11706" s="1" t="s">
        <v>23847</v>
      </c>
      <c r="V11706" s="1" t="s">
        <v>23864</v>
      </c>
      <c r="AR11706" s="1" t="str">
        <f t="shared" si="735"/>
        <v>| [ㄙㄨˋ](ㄙㄨˋ.md) | [蔌](蔌.md) |  | sù | [名]
蔬菜。《詩經．大雅．韓奕》：「其蔌維何？維筍及蒲。」漢．毛亨．傳：「蔌，菜殽也。」宋．歐陽修〈醉翁亭記〉：「山肴野蔌，雜然而前陳者，太守宴也。」 |</v>
      </c>
    </row>
    <row r="11707" spans="1:44" hidden="1">
      <c r="A11707" s="1" t="s">
        <v>23865</v>
      </c>
      <c r="C11707" s="1">
        <v>1</v>
      </c>
      <c r="D11707" s="1" t="str">
        <f>"10096"</f>
        <v>10096</v>
      </c>
      <c r="E11707" s="1" t="s">
        <v>118</v>
      </c>
      <c r="F11707" s="1">
        <v>16</v>
      </c>
      <c r="G11707" s="1">
        <v>11</v>
      </c>
      <c r="H11707" s="1">
        <v>0</v>
      </c>
      <c r="I11707" s="1" t="s">
        <v>23846</v>
      </c>
      <c r="K11707" s="1" t="str">
        <f t="shared" si="738"/>
        <v>ㄙ</v>
      </c>
      <c r="L11707" s="1" t="str">
        <f t="shared" si="739"/>
        <v>ㄨ</v>
      </c>
      <c r="N11707" s="3" t="s">
        <v>30574</v>
      </c>
      <c r="O11707" s="3"/>
      <c r="P11707" s="1" t="s">
        <v>20</v>
      </c>
      <c r="R11707" s="1" t="s">
        <v>23847</v>
      </c>
      <c r="V11707" s="1" t="s">
        <v>9190</v>
      </c>
      <c r="AR11707" s="1" t="str">
        <f t="shared" si="735"/>
        <v>| [ㄙㄨˋ](ㄙㄨˋ.md) | [𦌊](𦌊.md) |  | sù | 參見「䍡𦌊」條。 |</v>
      </c>
    </row>
    <row r="11708" spans="1:44" hidden="1">
      <c r="A11708" s="1" t="s">
        <v>23866</v>
      </c>
      <c r="C11708" s="1">
        <v>1</v>
      </c>
      <c r="D11708" s="1" t="str">
        <f>"10097"</f>
        <v>10097</v>
      </c>
      <c r="E11708" s="1" t="s">
        <v>193</v>
      </c>
      <c r="F11708" s="1">
        <v>15</v>
      </c>
      <c r="G11708" s="1">
        <v>7</v>
      </c>
      <c r="H11708" s="1">
        <v>0</v>
      </c>
      <c r="I11708" s="1" t="s">
        <v>23846</v>
      </c>
      <c r="K11708" s="1" t="str">
        <f t="shared" si="738"/>
        <v>ㄙ</v>
      </c>
      <c r="L11708" s="1" t="str">
        <f t="shared" si="739"/>
        <v>ㄨ</v>
      </c>
      <c r="N11708" s="3" t="s">
        <v>30574</v>
      </c>
      <c r="O11708" s="3"/>
      <c r="P11708" s="1" t="s">
        <v>20</v>
      </c>
      <c r="R11708" s="1" t="s">
        <v>23847</v>
      </c>
      <c r="V11708" s="1" t="s">
        <v>23867</v>
      </c>
      <c r="AR11708" s="1" t="str">
        <f t="shared" si="735"/>
        <v>| [ㄙㄨˋ](ㄙㄨˋ.md) | [餗](餗.md) |  | sù | [名]
1.鼎中的食物。《易經．鼎卦．九四》：「鼎折足，覆公餗。」唐．孔穎達．正義：「餗，糝也，八珍之膳，鼎之實也。」
2.泛指美味的佳餚。宋．梅堯臣〈就野人買兔〉詩：「剩付錢刀買庖餗，不須緣徑更求蹄。」明．張四維《雙烈記》第二八齣：「奇珍異味天庖餗，一飯須知恩可報，君恩似海深難掬。」 |</v>
      </c>
    </row>
    <row r="11709" spans="1:44" hidden="1">
      <c r="A11709" s="1" t="s">
        <v>23868</v>
      </c>
      <c r="C11709" s="1">
        <v>1</v>
      </c>
      <c r="D11709" s="1" t="str">
        <f>"10098"</f>
        <v>10098</v>
      </c>
      <c r="E11709" s="1" t="s">
        <v>49</v>
      </c>
      <c r="F11709" s="1">
        <v>17</v>
      </c>
      <c r="G11709" s="1">
        <v>11</v>
      </c>
      <c r="H11709" s="1">
        <v>0</v>
      </c>
      <c r="I11709" s="1" t="s">
        <v>23846</v>
      </c>
      <c r="K11709" s="1" t="str">
        <f t="shared" si="738"/>
        <v>ㄙ</v>
      </c>
      <c r="L11709" s="1" t="str">
        <f t="shared" si="739"/>
        <v>ㄨ</v>
      </c>
      <c r="N11709" s="3" t="s">
        <v>30574</v>
      </c>
      <c r="O11709" s="3"/>
      <c r="P11709" s="1" t="s">
        <v>20</v>
      </c>
      <c r="R11709" s="1" t="s">
        <v>23847</v>
      </c>
      <c r="V11709" s="1" t="s">
        <v>23869</v>
      </c>
      <c r="AR11709" s="1" t="str">
        <f t="shared" si="735"/>
        <v>| [ㄙㄨˋ](ㄙㄨˋ.md) | [簌](簌.md) |  | sù | [動]
搖動。元．白樸《牆頭馬上》第二折：「待月簾微簌，迎風戶半開。」 |</v>
      </c>
    </row>
    <row r="11710" spans="1:44" hidden="1">
      <c r="A11710" s="1" t="s">
        <v>23870</v>
      </c>
      <c r="C11710" s="1">
        <v>1</v>
      </c>
      <c r="D11710" s="1" t="str">
        <f>"10099"</f>
        <v>10099</v>
      </c>
      <c r="E11710" s="1" t="s">
        <v>725</v>
      </c>
      <c r="F11710" s="1">
        <v>10</v>
      </c>
      <c r="G11710" s="1">
        <v>4</v>
      </c>
      <c r="H11710" s="1">
        <v>0</v>
      </c>
      <c r="I11710" s="1" t="s">
        <v>23846</v>
      </c>
      <c r="K11710" s="1" t="str">
        <f t="shared" si="738"/>
        <v>ㄙ</v>
      </c>
      <c r="L11710" s="1" t="str">
        <f t="shared" si="739"/>
        <v>ㄨ</v>
      </c>
      <c r="N11710" s="3" t="s">
        <v>30574</v>
      </c>
      <c r="O11710" s="3"/>
      <c r="P11710" s="1" t="s">
        <v>20</v>
      </c>
      <c r="R11710" s="1" t="s">
        <v>23847</v>
      </c>
      <c r="V11710" s="1" t="s">
        <v>23871</v>
      </c>
      <c r="AR11710" s="1" t="str">
        <f t="shared" si="735"/>
        <v>| [ㄙㄨˋ](ㄙㄨˋ.md) | [素](素.md) |  | sù | [名]
1.白色的生絹。唐．杜牧〈杜秋娘〉詩：「寒衣一匹素，夜借鄰人機。」
2.事物的基本性質、根本。如：「因素」、「元素」、「色素」。《淮南子．俶真》：「是故虛無者道之舍，平易者道之素。」
3.用絹帛寫的書信。《文選．古樂府．飲馬長城窟行》：「客從遠方來，遺我雙鯉魚。呼兒烹鯉魚，中有尺素書。」唐．元稹〈魚中素〉詩：「重疊魚中素，幽緘手自開。」
4.真情、真誠。通「愫」。宋．蘇軾〈徐州謝上表〉：「惟有樸忠之素，既久而猶堅，遠不忘君，未忍改常度。」
5.不包括蔥、蒜、韭的蔬菜食物。如：「禮佛吃素」。
[形]
1.樸質無華的、清淡的。如：「樸素」、「素妝」、「素流」。《淮南子．本經》：「其心愉而不偽，其事素而不飾。」漢．高誘．注：「素，樸也。」
2.白色的。如：「素絲」、「素車白馬」。《禮記．雜記上》：「素錦以為屋而行。」《文選．左思．雜詩》：「明月出雲崖，皦皦流素光。」
3.一向的。如：「素志」、「素行」。《三國志．卷六．魏書．袁紹傳》：「緣紹素意，乃素尚代紹位。」
[副]
1.空的、平白的。如：「尸位素餐」。
2.平日的。如：「平素」、「素不相識」。《三國志．卷一一．魏書．張範傳》：「士不素撫，兵不練習，難以成功。」 |</v>
      </c>
    </row>
    <row r="11711" spans="1:44" hidden="1">
      <c r="A11711" s="1" t="s">
        <v>23872</v>
      </c>
      <c r="C11711" s="1">
        <v>1</v>
      </c>
      <c r="D11711" s="1" t="str">
        <f>"10100"</f>
        <v>10100</v>
      </c>
      <c r="E11711" s="1" t="s">
        <v>114</v>
      </c>
      <c r="F11711" s="1">
        <v>12</v>
      </c>
      <c r="G11711" s="1">
        <v>10</v>
      </c>
      <c r="H11711" s="1">
        <v>0</v>
      </c>
      <c r="I11711" s="1" t="s">
        <v>23846</v>
      </c>
      <c r="K11711" s="1" t="str">
        <f t="shared" si="738"/>
        <v>ㄙ</v>
      </c>
      <c r="L11711" s="1" t="str">
        <f t="shared" si="739"/>
        <v>ㄨ</v>
      </c>
      <c r="N11711" s="3" t="s">
        <v>30574</v>
      </c>
      <c r="O11711" s="3"/>
      <c r="P11711" s="1" t="s">
        <v>20</v>
      </c>
      <c r="R11711" s="1" t="s">
        <v>23847</v>
      </c>
      <c r="V11711" s="1" t="s">
        <v>23873</v>
      </c>
      <c r="AR11711" s="1" t="str">
        <f t="shared" si="735"/>
        <v>| [ㄙㄨˋ](ㄙㄨˋ.md) | [傃](傃.md) |  | sù | [動]
1.向、往。南朝齊．王融〈採菱曲〉：「雕輜傃平隰，朱櫂泊安流。」宋．蘇軾〈放鶴亭記〉：「暮則傃東山而歸，故名三日放鶴亭。」
2.遵循、遵守。宋．王安石〈諫官論〉：「循其名，傃其分，以事其上而不敢過也。」 |</v>
      </c>
    </row>
    <row r="11712" spans="1:44" hidden="1">
      <c r="A11712" s="1" t="s">
        <v>23874</v>
      </c>
      <c r="C11712" s="1">
        <v>1</v>
      </c>
      <c r="D11712" s="1" t="str">
        <f>"10101"</f>
        <v>10101</v>
      </c>
      <c r="E11712" s="1" t="s">
        <v>250</v>
      </c>
      <c r="F11712" s="1">
        <v>13</v>
      </c>
      <c r="G11712" s="1">
        <v>10</v>
      </c>
      <c r="H11712" s="1">
        <v>0</v>
      </c>
      <c r="I11712" s="1" t="s">
        <v>23846</v>
      </c>
      <c r="K11712" s="1" t="str">
        <f t="shared" si="738"/>
        <v>ㄙ</v>
      </c>
      <c r="L11712" s="1" t="str">
        <f t="shared" si="739"/>
        <v>ㄨ</v>
      </c>
      <c r="N11712" s="3" t="s">
        <v>30574</v>
      </c>
      <c r="O11712" s="3"/>
      <c r="P11712" s="1" t="s">
        <v>20</v>
      </c>
      <c r="R11712" s="1" t="s">
        <v>23847</v>
      </c>
      <c r="V11712" s="1" t="s">
        <v>23875</v>
      </c>
      <c r="AR11712" s="1" t="str">
        <f t="shared" si="735"/>
        <v>| [ㄙㄨˋ](ㄙㄨˋ.md) | [愫](愫.md) |  | sù | [名]
真情。明．張自烈《正字通．心部》：「愫，情實也。」如：「情愫」。 |</v>
      </c>
    </row>
    <row r="11713" spans="1:44" hidden="1">
      <c r="A11713" s="1" t="s">
        <v>23876</v>
      </c>
      <c r="C11713" s="1">
        <v>1</v>
      </c>
      <c r="D11713" s="1" t="str">
        <f>"10102"</f>
        <v>10102</v>
      </c>
      <c r="E11713" s="1" t="s">
        <v>28</v>
      </c>
      <c r="F11713" s="1">
        <v>13</v>
      </c>
      <c r="G11713" s="1">
        <v>10</v>
      </c>
      <c r="H11713" s="1">
        <v>0</v>
      </c>
      <c r="I11713" s="1" t="s">
        <v>23846</v>
      </c>
      <c r="K11713" s="1" t="str">
        <f t="shared" si="738"/>
        <v>ㄙ</v>
      </c>
      <c r="L11713" s="1" t="str">
        <f t="shared" si="739"/>
        <v>ㄨ</v>
      </c>
      <c r="N11713" s="3" t="s">
        <v>30574</v>
      </c>
      <c r="O11713" s="3"/>
      <c r="P11713" s="1" t="s">
        <v>20</v>
      </c>
      <c r="R11713" s="1" t="s">
        <v>23847</v>
      </c>
      <c r="V11713" s="1" t="s">
        <v>23877</v>
      </c>
      <c r="AR11713" s="1" t="str">
        <f t="shared" si="735"/>
        <v>| [ㄙㄨˋ](ㄙㄨˋ.md) | [嗉](嗉.md) |  | sù | [名]
位於鳥類食道後段，暫時貯存食物的囊狀部分。即嗉囊。唐．白居易〈新樂府．秦吉了〉：「豈無鵰與鶚，嗉中肉飽不肯搏。」 |</v>
      </c>
    </row>
    <row r="11714" spans="1:44" hidden="1">
      <c r="A11714" s="1" t="s">
        <v>23878</v>
      </c>
      <c r="C11714" s="1">
        <v>1</v>
      </c>
      <c r="D11714" s="1" t="str">
        <f>"10103"</f>
        <v>10103</v>
      </c>
      <c r="E11714" s="1" t="s">
        <v>68</v>
      </c>
      <c r="F11714" s="1">
        <v>14</v>
      </c>
      <c r="G11714" s="1">
        <v>10</v>
      </c>
      <c r="H11714" s="1">
        <v>0</v>
      </c>
      <c r="I11714" s="1" t="s">
        <v>23846</v>
      </c>
      <c r="K11714" s="1" t="str">
        <f t="shared" si="738"/>
        <v>ㄙ</v>
      </c>
      <c r="L11714" s="1" t="str">
        <f t="shared" si="739"/>
        <v>ㄨ</v>
      </c>
      <c r="N11714" s="3" t="s">
        <v>30574</v>
      </c>
      <c r="O11714" s="3"/>
      <c r="P11714" s="1" t="s">
        <v>20</v>
      </c>
      <c r="R11714" s="1" t="s">
        <v>23847</v>
      </c>
      <c r="V11714" s="1" t="s">
        <v>23879</v>
      </c>
      <c r="AR11714" s="1" t="str">
        <f t="shared" si="735"/>
        <v>| [ㄙㄨˋ](ㄙㄨˋ.md) | [膆](膆.md) |  | sù | [形]
肥胖。《玉篇．肉部》：「膆，肥也。」
[名]
鳥類食道末端貯藏食物的囊狀部分。同「嗉」。《文選．潘岳．射雉賦》：「當咮值胸，裂膆破觜。」 |</v>
      </c>
    </row>
    <row r="11715" spans="1:44" hidden="1">
      <c r="A11715" s="1" t="s">
        <v>16750</v>
      </c>
      <c r="C11715" s="1">
        <v>1</v>
      </c>
      <c r="D11715" s="1" t="str">
        <f>"10104"</f>
        <v>10104</v>
      </c>
      <c r="E11715" s="1" t="s">
        <v>624</v>
      </c>
      <c r="F11715" s="1">
        <v>11</v>
      </c>
      <c r="G11715" s="1">
        <v>8</v>
      </c>
      <c r="H11715" s="1">
        <v>1</v>
      </c>
      <c r="I11715" s="1" t="s">
        <v>23846</v>
      </c>
      <c r="K11715" s="1" t="str">
        <f t="shared" si="738"/>
        <v>ㄙ</v>
      </c>
      <c r="L11715" s="1" t="str">
        <f t="shared" si="739"/>
        <v>ㄨ</v>
      </c>
      <c r="N11715" s="3" t="s">
        <v>30574</v>
      </c>
      <c r="O11715" s="3"/>
      <c r="P11715" s="1" t="s">
        <v>20</v>
      </c>
      <c r="R11715" s="1" t="s">
        <v>23847</v>
      </c>
      <c r="V11715" s="1" t="s">
        <v>23880</v>
      </c>
      <c r="W11715" s="1" t="s">
        <v>23881</v>
      </c>
      <c r="AR11715" s="1" t="str">
        <f t="shared" ref="AR11715:AR11778" si="740">"| ["&amp;I11715&amp;"]("&amp;I11715&amp;".md) | ["&amp;A11715&amp;"]("&amp;A11715&amp;".md) | "&amp;" | "&amp;R11715&amp;" | "&amp;V11715&amp;" |"</f>
        <v>| [ㄙㄨˋ](ㄙㄨˋ.md) | [宿](宿.md) |  | sù | [名]
1.供休止的處所。如：「宿舍」。《周禮．地官．遺人》：「三十里有宿，宿有路室。」
2.國名。在今山東省東平縣東。
3.姓。如漢代有宿詳。
[動]
1.住夜。《論語．微子》：「止子路宿，殺雞為黍而食之。」
2.停留。《漢書．卷五二．韓安國傳》：「孝文寤於兵之不可宿。」
3.安、守。《左傳．昭公二十九年》：「官宿其業，其物乃至。」晉．杜預．注：「宿，猶安也。」
[形]
1.舊的、積久的。如：「宿怨」、「宿憂」。《漢書．卷七〇．陳湯傳》：「雪邊吏之宿恥。」
2.隔夜的。如：「宿雨」、「宿醉」。《鏡花緣》第四回：「睡到黎明，宿酒已消。」
3.前世的。如：「宿緣」。
4.平日的。通「夙」。《後漢書．卷八四．列女傳．王霸妻傳》：「奈何忘宿志而慚兒女子乎！」
[副]
1.素來、平時。《後漢書．卷五七．劉陶傳》：「靈帝宿聞其名，數引納之。」
2.早先。《管子．地圖》：「宿定所征伐之國。」唐．尹知章．注：「宿，猶先也。」 |</v>
      </c>
    </row>
    <row r="11716" spans="1:44" hidden="1">
      <c r="A11716" s="1" t="s">
        <v>23882</v>
      </c>
      <c r="C11716" s="1">
        <v>1</v>
      </c>
      <c r="D11716" s="1" t="str">
        <f>"10105"</f>
        <v>10105</v>
      </c>
      <c r="E11716" s="1" t="s">
        <v>37</v>
      </c>
      <c r="F11716" s="1">
        <v>15</v>
      </c>
      <c r="G11716" s="1">
        <v>11</v>
      </c>
      <c r="H11716" s="1">
        <v>0</v>
      </c>
      <c r="I11716" s="1" t="s">
        <v>23846</v>
      </c>
      <c r="K11716" s="1" t="str">
        <f t="shared" si="738"/>
        <v>ㄙ</v>
      </c>
      <c r="L11716" s="1" t="str">
        <f t="shared" si="739"/>
        <v>ㄨ</v>
      </c>
      <c r="N11716" s="3" t="s">
        <v>30574</v>
      </c>
      <c r="O11716" s="3"/>
      <c r="P11716" s="1" t="s">
        <v>20</v>
      </c>
      <c r="R11716" s="1" t="s">
        <v>23847</v>
      </c>
      <c r="V11716" s="1" t="s">
        <v>3768</v>
      </c>
      <c r="AR11716" s="1" t="str">
        <f t="shared" si="740"/>
        <v>| [ㄙㄨˋ](ㄙㄨˋ.md) | [蓿](蓿.md) |  | sù | 參見「苜蓿」條。 |</v>
      </c>
    </row>
    <row r="11717" spans="1:44" hidden="1">
      <c r="A11717" s="1" t="s">
        <v>23883</v>
      </c>
      <c r="C11717" s="1">
        <v>1</v>
      </c>
      <c r="D11717" s="1" t="str">
        <f>"10106"</f>
        <v>10106</v>
      </c>
      <c r="E11717" s="1" t="s">
        <v>725</v>
      </c>
      <c r="F11717" s="1">
        <v>17</v>
      </c>
      <c r="G11717" s="1">
        <v>11</v>
      </c>
      <c r="H11717" s="1">
        <v>2</v>
      </c>
      <c r="I11717" s="1" t="s">
        <v>23846</v>
      </c>
      <c r="K11717" s="1" t="str">
        <f t="shared" ref="K11717:K11737" si="741">LEFT(I11717, 1)</f>
        <v>ㄙ</v>
      </c>
      <c r="L11717" s="1" t="str">
        <f t="shared" ref="L11717:L11735" si="742">MID(I11717, 2, 1)</f>
        <v>ㄨ</v>
      </c>
      <c r="N11717" s="3" t="s">
        <v>30574</v>
      </c>
      <c r="O11717" s="3"/>
      <c r="P11717" s="1" t="s">
        <v>186</v>
      </c>
      <c r="R11717" s="1" t="s">
        <v>23847</v>
      </c>
      <c r="V11717" s="1" t="s">
        <v>206</v>
      </c>
      <c r="W11717" s="1" t="s">
        <v>23884</v>
      </c>
      <c r="AR11717" s="1" t="str">
        <f t="shared" si="740"/>
        <v>| [ㄙㄨˋ](ㄙㄨˋ.md) | [縮](縮.md) |  | sù | (一)之讀音。 |</v>
      </c>
    </row>
    <row r="11718" spans="1:44" hidden="1">
      <c r="A11718" s="1" t="s">
        <v>23885</v>
      </c>
      <c r="C11718" s="1">
        <v>1</v>
      </c>
      <c r="D11718" s="1" t="str">
        <f>"10107"</f>
        <v>10107</v>
      </c>
      <c r="E11718" s="1" t="s">
        <v>77</v>
      </c>
      <c r="F11718" s="1">
        <v>18</v>
      </c>
      <c r="G11718" s="1">
        <v>11</v>
      </c>
      <c r="H11718" s="1">
        <v>0</v>
      </c>
      <c r="I11718" s="1" t="s">
        <v>23846</v>
      </c>
      <c r="K11718" s="1" t="str">
        <f t="shared" si="741"/>
        <v>ㄙ</v>
      </c>
      <c r="L11718" s="1" t="str">
        <f t="shared" si="742"/>
        <v>ㄨ</v>
      </c>
      <c r="N11718" s="3" t="s">
        <v>30574</v>
      </c>
      <c r="O11718" s="3"/>
      <c r="P11718" s="1" t="s">
        <v>20</v>
      </c>
      <c r="R11718" s="1" t="s">
        <v>23847</v>
      </c>
      <c r="V11718" s="1" t="s">
        <v>23886</v>
      </c>
      <c r="AR11718" s="1" t="str">
        <f t="shared" si="740"/>
        <v>| [ㄙㄨˋ](ㄙㄨˋ.md) | [蹜](蹜.md) |  | sù | 參見「蹜蹜」條。 |</v>
      </c>
    </row>
    <row r="11719" spans="1:44" hidden="1">
      <c r="A11719" s="1" t="s">
        <v>23887</v>
      </c>
      <c r="C11719" s="1">
        <v>1</v>
      </c>
      <c r="D11719" s="1" t="str">
        <f>"10108"</f>
        <v>10108</v>
      </c>
      <c r="E11719" s="1" t="s">
        <v>46</v>
      </c>
      <c r="F11719" s="1">
        <v>12</v>
      </c>
      <c r="G11719" s="1">
        <v>6</v>
      </c>
      <c r="H11719" s="1">
        <v>0</v>
      </c>
      <c r="I11719" s="1" t="s">
        <v>23846</v>
      </c>
      <c r="K11719" s="1" t="str">
        <f t="shared" si="741"/>
        <v>ㄙ</v>
      </c>
      <c r="L11719" s="1" t="str">
        <f t="shared" si="742"/>
        <v>ㄨ</v>
      </c>
      <c r="N11719" s="3" t="s">
        <v>30574</v>
      </c>
      <c r="O11719" s="3"/>
      <c r="P11719" s="1" t="s">
        <v>20</v>
      </c>
      <c r="R11719" s="1" t="s">
        <v>23847</v>
      </c>
      <c r="V11719" s="1" t="s">
        <v>23888</v>
      </c>
      <c r="AR11719" s="1" t="str">
        <f t="shared" si="740"/>
        <v>| [ㄙㄨˋ](ㄙㄨˋ.md) | [粟](粟.md) |  | sù | [名]
1.植物名。禾本科狗尾草屬，「小米」之古稱。參見「小米」條。
2.穀實的總稱。《淮南子．詮言》：「量粟而舂，數米而炊，可以治家，而不可治國。」
3.俸祿。《史記．卷六一．伯夷列傳》：「義不食周粟，隱於首陽山，采薇而食。」
4.皮膚遇寒時在表面所起的小顆粒。宋．蘇軾〈雪後書北臺壁〉詩二首之二：「凍合玉樓寒起粟，光搖銀海眩生花。」俗稱為「雞皮疙瘩」。
5.姓。如漢代有粟舉。 |</v>
      </c>
    </row>
    <row r="11720" spans="1:44" hidden="1">
      <c r="A11720" s="1" t="s">
        <v>23889</v>
      </c>
      <c r="C11720" s="1">
        <v>1</v>
      </c>
      <c r="D11720" s="1" t="str">
        <f>"10109"</f>
        <v>10109</v>
      </c>
      <c r="E11720" s="1" t="s">
        <v>250</v>
      </c>
      <c r="F11720" s="1">
        <v>15</v>
      </c>
      <c r="G11720" s="1">
        <v>12</v>
      </c>
      <c r="H11720" s="1">
        <v>0</v>
      </c>
      <c r="I11720" s="1" t="s">
        <v>23846</v>
      </c>
      <c r="K11720" s="1" t="str">
        <f t="shared" si="741"/>
        <v>ㄙ</v>
      </c>
      <c r="L11720" s="1" t="str">
        <f t="shared" si="742"/>
        <v>ㄨ</v>
      </c>
      <c r="N11720" s="3" t="s">
        <v>30574</v>
      </c>
      <c r="O11720" s="3"/>
      <c r="P11720" s="1" t="s">
        <v>20</v>
      </c>
      <c r="R11720" s="1" t="s">
        <v>23847</v>
      </c>
      <c r="V11720" s="1" t="s">
        <v>23890</v>
      </c>
      <c r="AR11720" s="1" t="str">
        <f t="shared" si="740"/>
        <v>| [ㄙㄨˋ](ㄙㄨˋ.md) | [憟](憟.md) |  | sù | [動]
阿諛、奉承。《玉篇．心部》：「憟，承止顏色也。」 |</v>
      </c>
    </row>
    <row r="11721" spans="1:44" hidden="1">
      <c r="A11721" s="1" t="s">
        <v>23891</v>
      </c>
      <c r="C11721" s="1">
        <v>1</v>
      </c>
      <c r="D11721" s="1" t="str">
        <f>"10110"</f>
        <v>10110</v>
      </c>
      <c r="E11721" s="1" t="s">
        <v>18309</v>
      </c>
      <c r="F11721" s="1">
        <v>12</v>
      </c>
      <c r="G11721" s="1">
        <v>8</v>
      </c>
      <c r="H11721" s="1">
        <v>0</v>
      </c>
      <c r="I11721" s="1" t="s">
        <v>23846</v>
      </c>
      <c r="K11721" s="1" t="str">
        <f t="shared" si="741"/>
        <v>ㄙ</v>
      </c>
      <c r="L11721" s="1" t="str">
        <f t="shared" si="742"/>
        <v>ㄨ</v>
      </c>
      <c r="N11721" s="3" t="s">
        <v>30574</v>
      </c>
      <c r="O11721" s="3"/>
      <c r="P11721" s="1" t="s">
        <v>20</v>
      </c>
      <c r="R11721" s="1" t="s">
        <v>23847</v>
      </c>
      <c r="V11721" s="1" t="s">
        <v>23892</v>
      </c>
      <c r="AR11721" s="1" t="str">
        <f t="shared" si="740"/>
        <v>| [ㄙㄨˋ](ㄙㄨˋ.md) | [肅](肅.md) |  | sù | [形]
1.恭敬的。《左傳．僖公二十三年》：「其從者肅而寬，忠而能力。」
2.莊嚴的。如：「嚴肅」、「肅穆」。《禮記．玉藻》：「言容詻詻，色容厲肅。」
[動]
1.恭敬。晉．陸機〈漢高祖功臣頌〉：「稷嗣制禮，下肅上尊。」
2.敬畏。《漢書．卷七三．韋賢傳》：「皇帝祇肅舊禮，尊重神明，即告于祖宗而不敢失。」
3.戒備、整飭。《文選．曹植．應詔詩》：「命彼掌徒，肅我征旅。」
4.斂縮、萎縮。《禮記．月令》：「季春行冬令，則寒氣時發，草木皆肅。」
5.急迫、嚴峻。《禮記．禮運》：「刑肅而俗敝，則法無常。」漢．鄭玄．注：「肅，駿也。」
6.引導。參見「肅客」條。
7.用於書信的敬詞。如：「手肅」、「端肅」、「拜肅」。
[副]
恭敬的。如：「肅立」、「肅呈」、「肅謝」。北齊．顏之推《顏氏家訓．風操》：「斂容肅坐。」 |</v>
      </c>
    </row>
    <row r="11722" spans="1:44" hidden="1">
      <c r="A11722" s="1" t="s">
        <v>23893</v>
      </c>
      <c r="C11722" s="1">
        <v>1</v>
      </c>
      <c r="D11722" s="1" t="str">
        <f>"10111"</f>
        <v>10111</v>
      </c>
      <c r="E11722" s="1" t="s">
        <v>139</v>
      </c>
      <c r="F11722" s="1">
        <v>16</v>
      </c>
      <c r="G11722" s="1">
        <v>12</v>
      </c>
      <c r="H11722" s="1">
        <v>0</v>
      </c>
      <c r="I11722" s="1" t="s">
        <v>23846</v>
      </c>
      <c r="K11722" s="1" t="str">
        <f t="shared" si="741"/>
        <v>ㄙ</v>
      </c>
      <c r="L11722" s="1" t="str">
        <f t="shared" si="742"/>
        <v>ㄨ</v>
      </c>
      <c r="N11722" s="3" t="s">
        <v>30574</v>
      </c>
      <c r="O11722" s="3"/>
      <c r="P11722" s="1" t="s">
        <v>20</v>
      </c>
      <c r="R11722" s="1" t="s">
        <v>23847</v>
      </c>
      <c r="V11722" s="1" t="s">
        <v>23894</v>
      </c>
      <c r="AR11722" s="1" t="str">
        <f t="shared" si="740"/>
        <v>| [ㄙㄨˋ](ㄙㄨˋ.md) | [橚](橚.md) |  | sù | 參見「橚矗」、「橚爽」等條。 |</v>
      </c>
    </row>
    <row r="11723" spans="1:44" hidden="1">
      <c r="A11723" s="1" t="s">
        <v>23895</v>
      </c>
      <c r="C11723" s="1">
        <v>1</v>
      </c>
      <c r="D11723" s="1" t="str">
        <f>"10112"</f>
        <v>10112</v>
      </c>
      <c r="E11723" s="1" t="s">
        <v>319</v>
      </c>
      <c r="F11723" s="1">
        <v>22</v>
      </c>
      <c r="G11723" s="1">
        <v>12</v>
      </c>
      <c r="H11723" s="1">
        <v>0</v>
      </c>
      <c r="I11723" s="1" t="s">
        <v>23846</v>
      </c>
      <c r="K11723" s="1" t="str">
        <f t="shared" si="741"/>
        <v>ㄙ</v>
      </c>
      <c r="L11723" s="1" t="str">
        <f t="shared" si="742"/>
        <v>ㄨ</v>
      </c>
      <c r="N11723" s="3" t="s">
        <v>30574</v>
      </c>
      <c r="O11723" s="3"/>
      <c r="P11723" s="1" t="s">
        <v>20</v>
      </c>
      <c r="R11723" s="1" t="s">
        <v>23847</v>
      </c>
      <c r="V11723" s="1" t="s">
        <v>21637</v>
      </c>
      <c r="AR11723" s="1" t="str">
        <f t="shared" si="740"/>
        <v>| [ㄙㄨˋ](ㄙㄨˋ.md) | [驌](驌.md) |  | sù | 參見「驌驦」條。 |</v>
      </c>
    </row>
    <row r="11724" spans="1:44" hidden="1">
      <c r="A11724" s="1" t="s">
        <v>23896</v>
      </c>
      <c r="C11724" s="1">
        <v>1</v>
      </c>
      <c r="D11724" s="1" t="str">
        <f>"10113"</f>
        <v>10113</v>
      </c>
      <c r="E11724" s="1" t="s">
        <v>272</v>
      </c>
      <c r="F11724" s="1">
        <v>23</v>
      </c>
      <c r="G11724" s="1">
        <v>12</v>
      </c>
      <c r="H11724" s="1">
        <v>0</v>
      </c>
      <c r="I11724" s="1" t="s">
        <v>23846</v>
      </c>
      <c r="K11724" s="1" t="str">
        <f t="shared" si="741"/>
        <v>ㄙ</v>
      </c>
      <c r="L11724" s="1" t="str">
        <f t="shared" si="742"/>
        <v>ㄨ</v>
      </c>
      <c r="N11724" s="3" t="s">
        <v>30574</v>
      </c>
      <c r="O11724" s="3"/>
      <c r="P11724" s="1" t="s">
        <v>20</v>
      </c>
      <c r="R11724" s="1" t="s">
        <v>23847</v>
      </c>
      <c r="V11724" s="1" t="s">
        <v>21649</v>
      </c>
      <c r="AR11724" s="1" t="str">
        <f t="shared" si="740"/>
        <v>| [ㄙㄨˋ](ㄙㄨˋ.md) | [鷫](鷫.md) |  | sù | 參見「鷫鷞」條。 |</v>
      </c>
    </row>
    <row r="11725" spans="1:44" hidden="1">
      <c r="A11725" s="1" t="s">
        <v>23897</v>
      </c>
      <c r="C11725" s="1">
        <v>1</v>
      </c>
      <c r="D11725" s="1" t="str">
        <f>"10114"</f>
        <v>10114</v>
      </c>
      <c r="E11725" s="1" t="s">
        <v>129</v>
      </c>
      <c r="F11725" s="1">
        <v>13</v>
      </c>
      <c r="G11725" s="1">
        <v>10</v>
      </c>
      <c r="H11725" s="1">
        <v>0</v>
      </c>
      <c r="I11725" s="1" t="s">
        <v>23846</v>
      </c>
      <c r="K11725" s="1" t="str">
        <f t="shared" si="741"/>
        <v>ㄙ</v>
      </c>
      <c r="L11725" s="1" t="str">
        <f t="shared" si="742"/>
        <v>ㄨ</v>
      </c>
      <c r="N11725" s="3" t="s">
        <v>30574</v>
      </c>
      <c r="O11725" s="3"/>
      <c r="P11725" s="1" t="s">
        <v>20</v>
      </c>
      <c r="R11725" s="1" t="s">
        <v>23847</v>
      </c>
      <c r="V11725" s="1" t="s">
        <v>23898</v>
      </c>
      <c r="AR11725" s="1" t="str">
        <f t="shared" si="740"/>
        <v>| [ㄙㄨˋ](ㄙㄨˋ.md) | [溯](溯.md) |  | sù | [動]
1.逆流而上。《文選．王粲．七哀詩二首之二》：「方舟溯大江，日暮愁我心。」《晉書．卷一一三．苻堅載記上》：「晉將毛武生救魏興，遣前鋒督護趙福、將軍袁虞等將水軍一萬，溯江而上。」
2.往上或往前推求、回想。如：「推本溯源」、「不溯既往」、「追溯往事」。 |</v>
      </c>
    </row>
    <row r="11726" spans="1:44" hidden="1">
      <c r="A11726" s="1" t="s">
        <v>23899</v>
      </c>
      <c r="C11726" s="1">
        <v>1</v>
      </c>
      <c r="D11726" s="1" t="str">
        <f>"10115"</f>
        <v>10115</v>
      </c>
      <c r="E11726" s="1" t="s">
        <v>132</v>
      </c>
      <c r="F11726" s="1">
        <v>13</v>
      </c>
      <c r="G11726" s="1">
        <v>10</v>
      </c>
      <c r="H11726" s="1">
        <v>0</v>
      </c>
      <c r="I11726" s="1" t="s">
        <v>23846</v>
      </c>
      <c r="K11726" s="1" t="str">
        <f t="shared" si="741"/>
        <v>ㄙ</v>
      </c>
      <c r="L11726" s="1" t="str">
        <f t="shared" si="742"/>
        <v>ㄨ</v>
      </c>
      <c r="N11726" s="3" t="s">
        <v>30574</v>
      </c>
      <c r="O11726" s="3"/>
      <c r="P11726" s="1" t="s">
        <v>20</v>
      </c>
      <c r="R11726" s="1" t="s">
        <v>23847</v>
      </c>
      <c r="V11726" s="1" t="s">
        <v>23900</v>
      </c>
      <c r="AR11726" s="1" t="str">
        <f t="shared" si="740"/>
        <v>| [ㄙㄨˋ](ㄙㄨˋ.md) | [塑](塑.md) |  | sù | [動]
1.用泥土等做成人、物的形狀。如：「泥塑」、「雕塑」。《兒女英雄傳》第六回：「那時一定重修廟宇，再塑金身。」
2.陶冶、培養。如：「塑造形象」。 |</v>
      </c>
    </row>
    <row r="11727" spans="1:44" hidden="1">
      <c r="A11727" s="1" t="s">
        <v>23901</v>
      </c>
      <c r="C11727" s="1">
        <v>1</v>
      </c>
      <c r="D11727" s="1" t="str">
        <f>"10116"</f>
        <v>10116</v>
      </c>
      <c r="E11727" s="1" t="s">
        <v>250</v>
      </c>
      <c r="F11727" s="1">
        <v>14</v>
      </c>
      <c r="G11727" s="1">
        <v>10</v>
      </c>
      <c r="H11727" s="1">
        <v>0</v>
      </c>
      <c r="I11727" s="1" t="s">
        <v>23846</v>
      </c>
      <c r="K11727" s="1" t="str">
        <f t="shared" si="741"/>
        <v>ㄙ</v>
      </c>
      <c r="L11727" s="1" t="str">
        <f t="shared" si="742"/>
        <v>ㄨ</v>
      </c>
      <c r="N11727" s="3" t="s">
        <v>30574</v>
      </c>
      <c r="O11727" s="3"/>
      <c r="P11727" s="1" t="s">
        <v>20</v>
      </c>
      <c r="R11727" s="1" t="s">
        <v>23847</v>
      </c>
      <c r="V11727" s="1" t="s">
        <v>23902</v>
      </c>
      <c r="AR11727" s="1" t="str">
        <f t="shared" si="740"/>
        <v>| [ㄙㄨˋ](ㄙㄨˋ.md) | [愬](愬.md) |  | sù | [動]
1.訴說。通「訴」。《孟子．梁惠王上》：「天下之欲疾其君者，皆欲赴愬於王。」《文選．司馬遷．報任少卿書》：「深幽囹圄之中，誰可告愬者？」
2.詆毀、誣陷別人。《論語．憲問》：「公伯寮愬子路於季孫。」唐．劉禹錫〈上杜司徒書〉：「盡誠可以絕嫌猜，徇公可以弭讒愬。」
3.向。通「溯」。《文選．潘岳．西征賦》：「愬黃卷以濟潼，眺華岳之陰崖。」李善注引薛綜〈西京賦〉注曰：「愬，向也。愬與溯古字通。」南朝宋．謝莊〈月賦〉：「情紆軫其何託？愬皓月而長歌。」
[形]
驚懼。《公羊傳．宣公六年》：「靈公望見趙盾，愬而再拜。」 |</v>
      </c>
    </row>
    <row r="11728" spans="1:44" hidden="1">
      <c r="A11728" s="1" t="s">
        <v>23903</v>
      </c>
      <c r="C11728" s="1">
        <v>1</v>
      </c>
      <c r="D11728" s="1" t="str">
        <f>"10117"</f>
        <v>10117</v>
      </c>
      <c r="E11728" s="1" t="s">
        <v>1274</v>
      </c>
      <c r="F11728" s="1">
        <v>13</v>
      </c>
      <c r="G11728" s="1">
        <v>8</v>
      </c>
      <c r="H11728" s="1">
        <v>0</v>
      </c>
      <c r="I11728" s="1" t="s">
        <v>23846</v>
      </c>
      <c r="K11728" s="1" t="str">
        <f t="shared" si="741"/>
        <v>ㄙ</v>
      </c>
      <c r="L11728" s="1" t="str">
        <f t="shared" si="742"/>
        <v>ㄨ</v>
      </c>
      <c r="N11728" s="3" t="s">
        <v>30574</v>
      </c>
      <c r="O11728" s="3"/>
      <c r="P11728" s="1" t="s">
        <v>20</v>
      </c>
      <c r="R11728" s="1" t="s">
        <v>23847</v>
      </c>
      <c r="V11728" s="1" t="s">
        <v>23904</v>
      </c>
      <c r="AR11728" s="1" t="str">
        <f t="shared" si="740"/>
        <v>| [ㄙㄨˋ](ㄙㄨˋ.md) | [窣](窣.md) |  | sù | [動]
1.從洞穴中衝出來。《說文解字．穴部》：「窣，從穴中卒出。」
2.拂。唐．岑參〈衛節度赤驃馬歌〉：「請君鞲出看君騎，尾長窣地如紅絲。」
[擬]
形容細小的聲音。如：「窸窸窣窣」。宋．蘇軾〈入峽〉詩：「墜崖鳴窣窣，垂蔓綠毿毿。」 |</v>
      </c>
    </row>
    <row r="11729" spans="1:44" hidden="1">
      <c r="A11729" s="1" t="s">
        <v>21437</v>
      </c>
      <c r="C11729" s="1">
        <v>1</v>
      </c>
      <c r="D11729" s="1" t="str">
        <f>"10118"</f>
        <v>10118</v>
      </c>
      <c r="E11729" s="1" t="s">
        <v>426</v>
      </c>
      <c r="F11729" s="1">
        <v>15</v>
      </c>
      <c r="G11729" s="1">
        <v>11</v>
      </c>
      <c r="H11729" s="1">
        <v>5</v>
      </c>
      <c r="I11729" s="1" t="s">
        <v>23846</v>
      </c>
      <c r="K11729" s="1" t="str">
        <f t="shared" si="741"/>
        <v>ㄙ</v>
      </c>
      <c r="L11729" s="1" t="str">
        <f t="shared" si="742"/>
        <v>ㄨ</v>
      </c>
      <c r="N11729" s="3" t="s">
        <v>30574</v>
      </c>
      <c r="O11729" s="3"/>
      <c r="P11729" s="1" t="s">
        <v>20</v>
      </c>
      <c r="R11729" s="1" t="s">
        <v>23847</v>
      </c>
      <c r="V11729" s="1" t="s">
        <v>23905</v>
      </c>
      <c r="W11729" s="1" t="s">
        <v>23906</v>
      </c>
      <c r="AR11729" s="1" t="str">
        <f t="shared" si="740"/>
        <v>| [ㄙㄨˋ](ㄙㄨˋ.md) | [數](數.md) |  | sù | 參見「數珠」條。 |</v>
      </c>
    </row>
    <row r="11730" spans="1:44" hidden="1">
      <c r="A11730" s="1" t="s">
        <v>23907</v>
      </c>
      <c r="C11730" s="1">
        <v>1</v>
      </c>
      <c r="D11730" s="1" t="str">
        <f>"10119"</f>
        <v>10119</v>
      </c>
      <c r="E11730" s="1" t="s">
        <v>331</v>
      </c>
      <c r="F11730" s="1">
        <v>17</v>
      </c>
      <c r="G11730" s="1">
        <v>10</v>
      </c>
      <c r="H11730" s="1">
        <v>0</v>
      </c>
      <c r="I11730" s="1" t="s">
        <v>23846</v>
      </c>
      <c r="K11730" s="1" t="str">
        <f t="shared" si="741"/>
        <v>ㄙ</v>
      </c>
      <c r="L11730" s="1" t="str">
        <f t="shared" si="742"/>
        <v>ㄨ</v>
      </c>
      <c r="N11730" s="3" t="s">
        <v>30574</v>
      </c>
      <c r="O11730" s="3"/>
      <c r="P11730" s="1" t="s">
        <v>20</v>
      </c>
      <c r="R11730" s="1" t="s">
        <v>23847</v>
      </c>
      <c r="V11730" s="1" t="s">
        <v>23908</v>
      </c>
      <c r="AR11730" s="1" t="str">
        <f t="shared" si="740"/>
        <v>| [ㄙㄨˋ](ㄙㄨˋ.md) | [謖](謖.md) |  | sù | [動]
起。《禮記．祭統》：「是故尸謖，君與卿四人餕。」唐．柳宗元〈起廢答〉：「十有一人，謖足以進，列植以慶。」
[副]
收斂、整飭的樣子。《後漢書．卷六〇下．蔡邕傳》：「公子謖爾斂袂而興曰：『胡為其然也？』」 |</v>
      </c>
    </row>
    <row r="11731" spans="1:44" hidden="1">
      <c r="A11731" s="1" t="s">
        <v>23841</v>
      </c>
      <c r="C11731" s="1">
        <v>1</v>
      </c>
      <c r="D11731" s="1" t="str">
        <f>"10086"</f>
        <v>10086</v>
      </c>
      <c r="E11731" s="1" t="s">
        <v>114</v>
      </c>
      <c r="F11731" s="1">
        <v>9</v>
      </c>
      <c r="G11731" s="1">
        <v>7</v>
      </c>
      <c r="H11731" s="1">
        <v>0</v>
      </c>
      <c r="I11731" s="1" t="s">
        <v>23842</v>
      </c>
      <c r="K11731" s="1" t="str">
        <f t="shared" si="741"/>
        <v>ㄙ</v>
      </c>
      <c r="L11731" s="1" t="str">
        <f t="shared" si="742"/>
        <v>ㄨ</v>
      </c>
      <c r="N11731" s="3" t="s">
        <v>30575</v>
      </c>
      <c r="O11731" s="3"/>
      <c r="P11731" s="1" t="s">
        <v>20</v>
      </c>
      <c r="R11731" s="1" t="s">
        <v>23843</v>
      </c>
      <c r="V11731" s="1" t="s">
        <v>23844</v>
      </c>
      <c r="AR11731" s="1" t="str">
        <f t="shared" si="740"/>
        <v>| [ㄙㄨˊ](ㄙㄨˊ.md) | [俗](俗.md) |  | sú | [名]
1.群眾的風尚習慣。如：「禮俗」、「陋俗」、「入境隨俗」、「移風易俗」。《禮記．曲禮上》：「入國而問俗，入門而問諱。」
2.世人、一般人。漢．楊惲〈報孫會宗書〉：「足下不深惟其終始，而猥隨俗之毀譽也！」《三國志．卷五七．吳書．虞翻傳》：「性不協俗，多見謗毀。」
3.塵世、世間。如：「還俗」。元．關漢卿《裴度還帶》第二折：「自幼捨俗出家，在白馬寺中脩行。」
[形]
1.粗鄙的。如：「粗俗」、「鄙俗」。三國蜀．諸葛亮〈表廢廖立〉：「國家不任賢而任俗吏。」
2.平凡的、平庸的。如：「俗士」、「俗人」。唐．白居易〈早春聞提壺鳥因題鄰家〉詩：「欲期明日東鄰醉，變作騰騰一俗夫。」
3.大眾化的、淺近的。如：「俗語」、「俗諺」、「俗文學」、「通俗小說」。 |</v>
      </c>
    </row>
    <row r="11732" spans="1:44" hidden="1">
      <c r="A11732" s="1" t="s">
        <v>24142</v>
      </c>
      <c r="C11732" s="1">
        <v>1</v>
      </c>
      <c r="D11732" s="1" t="str">
        <f>"10222"</f>
        <v>10222</v>
      </c>
      <c r="E11732" s="1" t="s">
        <v>691</v>
      </c>
      <c r="F11732" s="1">
        <v>8</v>
      </c>
      <c r="G11732" s="1">
        <v>5</v>
      </c>
      <c r="H11732" s="1">
        <v>2</v>
      </c>
      <c r="I11732" s="1" t="s">
        <v>24143</v>
      </c>
      <c r="K11732" s="1" t="str">
        <f t="shared" si="741"/>
        <v>ㄚ</v>
      </c>
      <c r="L11732" s="1" t="str">
        <f t="shared" si="742"/>
        <v/>
      </c>
      <c r="M11732" s="1" t="str">
        <f t="shared" ref="M11732:M11737" si="743">MID(I11732, 3, 1)</f>
        <v/>
      </c>
      <c r="P11732" s="1" t="s">
        <v>20</v>
      </c>
      <c r="R11732" s="1" t="s">
        <v>24144</v>
      </c>
      <c r="V11732" s="1" t="s">
        <v>24145</v>
      </c>
      <c r="W11732" s="1" t="s">
        <v>24146</v>
      </c>
      <c r="AR11732" s="1" t="str">
        <f t="shared" si="740"/>
        <v>| [ㄚ](ㄚ.md) | [阿](阿.md) |  | ā | [助]
置於語尾。通「啊」。如：「做人阿！要腳踏實地才是。」
[歎]
表示疑問、驚訝等語氣。如：「阿！你怎麼啦？身體不舒服嗎？」
[綴]
詞頭：(1)加在稱謂上。如：「阿婆」、「阿爹」、「阿姨」、「阿兄」。南朝梁．無名氏〈木蘭詩〉二首之一：「阿爺無大兒，木蘭無長兄。」(2)加在名字上。如漢代曹操的小字稱為「阿瞞」、三國時蜀漢後主劉禪人稱「阿斗」。 |</v>
      </c>
    </row>
    <row r="11733" spans="1:44" hidden="1">
      <c r="A11733" s="1" t="s">
        <v>24147</v>
      </c>
      <c r="C11733" s="1">
        <v>1</v>
      </c>
      <c r="D11733" s="1" t="str">
        <f>"10223"</f>
        <v>10223</v>
      </c>
      <c r="E11733" s="1" t="s">
        <v>28</v>
      </c>
      <c r="F11733" s="1">
        <v>11</v>
      </c>
      <c r="G11733" s="1">
        <v>8</v>
      </c>
      <c r="H11733" s="1">
        <v>1</v>
      </c>
      <c r="I11733" s="1" t="s">
        <v>24143</v>
      </c>
      <c r="K11733" s="1" t="str">
        <f t="shared" si="741"/>
        <v>ㄚ</v>
      </c>
      <c r="L11733" s="1" t="str">
        <f t="shared" si="742"/>
        <v/>
      </c>
      <c r="M11733" s="1" t="str">
        <f t="shared" si="743"/>
        <v/>
      </c>
      <c r="P11733" s="1" t="s">
        <v>20</v>
      </c>
      <c r="R11733" s="1" t="s">
        <v>24144</v>
      </c>
      <c r="V11733" s="1" t="s">
        <v>24148</v>
      </c>
      <c r="W11733" s="1" t="s">
        <v>24149</v>
      </c>
      <c r="AR11733" s="1" t="str">
        <f t="shared" si="740"/>
        <v>| [ㄚ](ㄚ.md) | [啊](啊.md) |  | ā | [歎]
1.表驚訝、痛苦、贊嘆的語氣。如：「啊！失火了！」、「啊！這片風景好美！」
2.表疑問或反問的語氣。如：「啊！你說什麼？」 |</v>
      </c>
    </row>
    <row r="11734" spans="1:44" hidden="1">
      <c r="A11734" s="1" t="s">
        <v>24150</v>
      </c>
      <c r="C11734" s="1">
        <v>1</v>
      </c>
      <c r="D11734" s="1" t="str">
        <f>"10224"</f>
        <v>10224</v>
      </c>
      <c r="E11734" s="1" t="s">
        <v>55</v>
      </c>
      <c r="F11734" s="1">
        <v>16</v>
      </c>
      <c r="G11734" s="1">
        <v>8</v>
      </c>
      <c r="H11734" s="1">
        <v>0</v>
      </c>
      <c r="I11734" s="1" t="s">
        <v>24143</v>
      </c>
      <c r="K11734" s="1" t="str">
        <f t="shared" si="741"/>
        <v>ㄚ</v>
      </c>
      <c r="L11734" s="1" t="str">
        <f t="shared" si="742"/>
        <v/>
      </c>
      <c r="M11734" s="1" t="str">
        <f t="shared" si="743"/>
        <v/>
      </c>
      <c r="P11734" s="1" t="s">
        <v>20</v>
      </c>
      <c r="R11734" s="1" t="s">
        <v>24144</v>
      </c>
      <c r="V11734" s="1" t="s">
        <v>24151</v>
      </c>
      <c r="AR11734" s="1" t="str">
        <f t="shared" si="740"/>
        <v>| [ㄚ](ㄚ.md) | [錒](錒.md) |  | ā | [名]
（actinium，Ac）化學元素。原子序89。放射性元素之一。銀白色。在自然界中與鈾礦共存。除硫化物外，錒的化合物為無色。 |</v>
      </c>
    </row>
    <row r="11735" spans="1:44" hidden="1">
      <c r="A11735" s="1" t="s">
        <v>24152</v>
      </c>
      <c r="C11735" s="1">
        <v>1</v>
      </c>
      <c r="D11735" s="1" t="str">
        <f>"10225"</f>
        <v>10225</v>
      </c>
      <c r="E11735" s="1" t="s">
        <v>68</v>
      </c>
      <c r="F11735" s="1">
        <v>12</v>
      </c>
      <c r="G11735" s="1">
        <v>8</v>
      </c>
      <c r="H11735" s="1">
        <v>2</v>
      </c>
      <c r="I11735" s="1" t="s">
        <v>24143</v>
      </c>
      <c r="K11735" s="1" t="str">
        <f t="shared" si="741"/>
        <v>ㄚ</v>
      </c>
      <c r="L11735" s="1" t="str">
        <f t="shared" si="742"/>
        <v/>
      </c>
      <c r="M11735" s="1" t="str">
        <f t="shared" si="743"/>
        <v/>
      </c>
      <c r="P11735" s="1" t="s">
        <v>110</v>
      </c>
      <c r="R11735" s="1" t="s">
        <v>24144</v>
      </c>
      <c r="V11735" s="1" t="s">
        <v>111</v>
      </c>
      <c r="W11735" s="1" t="s">
        <v>24153</v>
      </c>
      <c r="AR11735" s="1" t="str">
        <f t="shared" si="740"/>
        <v>| [ㄚ](ㄚ.md) | [腌](腌.md) |  | ā | (一)之又音。 |</v>
      </c>
    </row>
    <row r="11736" spans="1:44" hidden="1">
      <c r="A11736" s="1" t="s">
        <v>24142</v>
      </c>
      <c r="C11736" s="1">
        <v>1</v>
      </c>
      <c r="D11736" s="1" t="str">
        <f>"10227"</f>
        <v>10227</v>
      </c>
      <c r="E11736" s="1" t="s">
        <v>691</v>
      </c>
      <c r="F11736" s="1">
        <v>8</v>
      </c>
      <c r="G11736" s="1">
        <v>5</v>
      </c>
      <c r="H11736" s="1">
        <v>3</v>
      </c>
      <c r="I11736" s="1" t="s">
        <v>24158</v>
      </c>
      <c r="K11736" s="1" t="str">
        <f t="shared" si="741"/>
        <v>ㄚ</v>
      </c>
      <c r="M11736" s="1" t="str">
        <f t="shared" si="743"/>
        <v/>
      </c>
      <c r="N11736" s="3" t="s">
        <v>30574</v>
      </c>
      <c r="O11736" s="3"/>
      <c r="P11736" s="1" t="s">
        <v>110</v>
      </c>
      <c r="R11736" s="1" t="s">
        <v>24159</v>
      </c>
      <c r="V11736" s="1" t="s">
        <v>1633</v>
      </c>
      <c r="W11736" s="1" t="s">
        <v>24160</v>
      </c>
      <c r="AR11736" s="1" t="str">
        <f t="shared" si="740"/>
        <v>| [ㄚˋ](ㄚˋ.md) | [阿](阿.md) |  | à | (二)之又音。 |</v>
      </c>
    </row>
    <row r="11737" spans="1:44" hidden="1">
      <c r="A11737" s="1" t="s">
        <v>20804</v>
      </c>
      <c r="C11737" s="1">
        <v>1</v>
      </c>
      <c r="D11737" s="1" t="str">
        <f>"10226"</f>
        <v>10226</v>
      </c>
      <c r="E11737" s="1" t="s">
        <v>28</v>
      </c>
      <c r="F11737" s="1">
        <v>13</v>
      </c>
      <c r="G11737" s="1">
        <v>10</v>
      </c>
      <c r="H11737" s="1">
        <v>2</v>
      </c>
      <c r="I11737" s="1" t="s">
        <v>24154</v>
      </c>
      <c r="K11737" s="1" t="str">
        <f t="shared" si="741"/>
        <v>ㄚ</v>
      </c>
      <c r="M11737" s="1" t="str">
        <f t="shared" si="743"/>
        <v/>
      </c>
      <c r="N11737" s="3" t="s">
        <v>30575</v>
      </c>
      <c r="O11737" s="3"/>
      <c r="P11737" s="1" t="s">
        <v>20</v>
      </c>
      <c r="R11737" s="1" t="s">
        <v>24155</v>
      </c>
      <c r="V11737" s="1" t="s">
        <v>24156</v>
      </c>
      <c r="W11737" s="1" t="s">
        <v>24157</v>
      </c>
      <c r="AR11737" s="1" t="str">
        <f t="shared" si="740"/>
        <v>| [ㄚˊ](ㄚˊ.md) | [嗄](嗄.md) |  | á | [歎]
表疑問或反詰的語氣。如：「嗄！有這種怪事？」 |</v>
      </c>
    </row>
    <row r="11738" spans="1:44" hidden="1">
      <c r="A11738" s="1" t="s">
        <v>24147</v>
      </c>
      <c r="C11738" s="1">
        <v>1</v>
      </c>
      <c r="D11738" s="1" t="str">
        <f>"10228"</f>
        <v>10228</v>
      </c>
      <c r="E11738" s="1" t="s">
        <v>28</v>
      </c>
      <c r="F11738" s="1">
        <v>11</v>
      </c>
      <c r="G11738" s="1">
        <v>8</v>
      </c>
      <c r="H11738" s="1">
        <v>3</v>
      </c>
      <c r="I11738" s="1" t="s">
        <v>24161</v>
      </c>
      <c r="J11738" s="2" t="s">
        <v>30559</v>
      </c>
      <c r="K11738" s="1" t="s">
        <v>24143</v>
      </c>
      <c r="L11738" s="1" t="s">
        <v>30571</v>
      </c>
      <c r="P11738" s="1" t="s">
        <v>20</v>
      </c>
      <c r="R11738" s="1" t="s">
        <v>24162</v>
      </c>
      <c r="V11738" s="1" t="s">
        <v>24163</v>
      </c>
      <c r="W11738" s="1" t="s">
        <v>24164</v>
      </c>
      <c r="AR11738" s="1" t="str">
        <f t="shared" si="740"/>
        <v>| [˙ㄚ](˙ㄚ.md) | [啊](啊.md) |  | a | [助]
語尾助詞，無義。如：「不錯啊！」、「好棒啊！」 |</v>
      </c>
    </row>
    <row r="11739" spans="1:44" hidden="1">
      <c r="A11739" s="1" t="s">
        <v>11493</v>
      </c>
      <c r="C11739" s="1">
        <v>1</v>
      </c>
      <c r="D11739" s="1" t="str">
        <f>"10229"</f>
        <v>10229</v>
      </c>
      <c r="E11739" s="1" t="s">
        <v>28</v>
      </c>
      <c r="F11739" s="1">
        <v>8</v>
      </c>
      <c r="G11739" s="1">
        <v>5</v>
      </c>
      <c r="H11739" s="1">
        <v>2</v>
      </c>
      <c r="I11739" s="1" t="s">
        <v>24165</v>
      </c>
      <c r="K11739" s="1" t="str">
        <f t="shared" ref="K11739:K11802" si="744">LEFT(I11739, 1)</f>
        <v>ㄛ</v>
      </c>
      <c r="L11739" s="1" t="str">
        <f>MID(I11739, 2, 1)</f>
        <v/>
      </c>
      <c r="M11739" s="1" t="str">
        <f t="shared" ref="M11739:M11802" si="745">MID(I11739, 3, 1)</f>
        <v/>
      </c>
      <c r="P11739" s="1" t="s">
        <v>20</v>
      </c>
      <c r="R11739" s="1" t="s">
        <v>24166</v>
      </c>
      <c r="V11739" s="1" t="s">
        <v>24167</v>
      </c>
      <c r="W11739" s="1" t="s">
        <v>24168</v>
      </c>
      <c r="AR11739" s="1" t="str">
        <f t="shared" si="740"/>
        <v>| [ㄛ](ㄛ.md) | [呵](呵.md) |  | ō | [助]_x000D_
用於句尾或語氣停頓處，表示驚訝的語氣。如：「這麼多錢呵！」 |</v>
      </c>
    </row>
    <row r="11740" spans="1:44" hidden="1">
      <c r="A11740" s="1" t="s">
        <v>24147</v>
      </c>
      <c r="C11740" s="1">
        <v>1</v>
      </c>
      <c r="D11740" s="1" t="str">
        <f>"10230"</f>
        <v>10230</v>
      </c>
      <c r="E11740" s="1" t="s">
        <v>28</v>
      </c>
      <c r="F11740" s="1">
        <v>11</v>
      </c>
      <c r="G11740" s="1">
        <v>8</v>
      </c>
      <c r="H11740" s="1">
        <v>2</v>
      </c>
      <c r="I11740" s="1" t="s">
        <v>24165</v>
      </c>
      <c r="K11740" s="1" t="str">
        <f t="shared" si="744"/>
        <v>ㄛ</v>
      </c>
      <c r="L11740" s="1" t="str">
        <f>MID(I11740, 2, 1)</f>
        <v/>
      </c>
      <c r="M11740" s="1" t="str">
        <f t="shared" si="745"/>
        <v/>
      </c>
      <c r="P11740" s="1" t="s">
        <v>110</v>
      </c>
      <c r="R11740" s="1" t="s">
        <v>24166</v>
      </c>
      <c r="V11740" s="1" t="s">
        <v>111</v>
      </c>
      <c r="W11740" s="1" t="s">
        <v>24169</v>
      </c>
      <c r="AR11740" s="1" t="str">
        <f t="shared" si="740"/>
        <v>| [ㄛ](ㄛ.md) | [啊](啊.md) |  | ō | (一)之又音。 |</v>
      </c>
    </row>
    <row r="11741" spans="1:44" hidden="1">
      <c r="A11741" s="1" t="s">
        <v>24170</v>
      </c>
      <c r="C11741" s="1">
        <v>1</v>
      </c>
      <c r="D11741" s="1" t="str">
        <f>"10231"</f>
        <v>10231</v>
      </c>
      <c r="E11741" s="1" t="s">
        <v>28</v>
      </c>
      <c r="F11741" s="1">
        <v>12</v>
      </c>
      <c r="G11741" s="1">
        <v>9</v>
      </c>
      <c r="H11741" s="1">
        <v>3</v>
      </c>
      <c r="I11741" s="1" t="s">
        <v>24165</v>
      </c>
      <c r="K11741" s="1" t="str">
        <f t="shared" si="744"/>
        <v>ㄛ</v>
      </c>
      <c r="L11741" s="1" t="str">
        <f>MID(I11741, 2, 1)</f>
        <v/>
      </c>
      <c r="M11741" s="1" t="str">
        <f t="shared" si="745"/>
        <v/>
      </c>
      <c r="P11741" s="1" t="s">
        <v>20</v>
      </c>
      <c r="R11741" s="1" t="s">
        <v>24166</v>
      </c>
      <c r="V11741" s="1" t="s">
        <v>24171</v>
      </c>
      <c r="W11741" s="1" t="s">
        <v>24172</v>
      </c>
      <c r="AR11741" s="1" t="str">
        <f t="shared" si="740"/>
        <v>| [ㄛ](ㄛ.md) | [喔](喔.md) |  | ō | [歎]_x000D_
表示了解的語氣。常配合語境，單獨成句。如：「喔！原來是這麼回事。」 |</v>
      </c>
    </row>
    <row r="11742" spans="1:44" hidden="1">
      <c r="A11742" s="1" t="s">
        <v>24173</v>
      </c>
      <c r="C11742" s="1">
        <v>1</v>
      </c>
      <c r="D11742" s="1" t="str">
        <f>"10232"</f>
        <v>10232</v>
      </c>
      <c r="E11742" s="1" t="s">
        <v>28</v>
      </c>
      <c r="F11742" s="1">
        <v>10</v>
      </c>
      <c r="G11742" s="1">
        <v>7</v>
      </c>
      <c r="H11742" s="1">
        <v>2</v>
      </c>
      <c r="I11742" s="1" t="s">
        <v>24174</v>
      </c>
      <c r="K11742" s="1" t="str">
        <f t="shared" si="744"/>
        <v>ㄛ</v>
      </c>
      <c r="M11742" s="1" t="str">
        <f t="shared" si="745"/>
        <v/>
      </c>
      <c r="N11742" s="3" t="s">
        <v>30575</v>
      </c>
      <c r="O11742" s="3"/>
      <c r="P11742" s="1" t="s">
        <v>20</v>
      </c>
      <c r="R11742" s="1" t="s">
        <v>24175</v>
      </c>
      <c r="V11742" s="1" t="s">
        <v>24176</v>
      </c>
      <c r="W11742" s="1" t="s">
        <v>24177</v>
      </c>
      <c r="AR11742" s="1" t="str">
        <f t="shared" si="740"/>
        <v>| [ㄛˊ](ㄛˊ.md) | [哦](哦.md) |  | ó | [歎]_x000D_
表示領悟的語氣。常配合語境，單獨成句。如：「哦！您就是孫先生。」「哦！我明白了。」 |</v>
      </c>
    </row>
    <row r="11743" spans="1:44" hidden="1">
      <c r="A11743" s="1" t="s">
        <v>12286</v>
      </c>
      <c r="C11743" s="1">
        <v>1</v>
      </c>
      <c r="D11743" s="1" t="str">
        <f>"10233"</f>
        <v>10233</v>
      </c>
      <c r="E11743" s="1" t="s">
        <v>28</v>
      </c>
      <c r="F11743" s="1">
        <v>17</v>
      </c>
      <c r="G11743" s="1">
        <v>14</v>
      </c>
      <c r="H11743" s="1">
        <v>2</v>
      </c>
      <c r="I11743" s="1" t="s">
        <v>24178</v>
      </c>
      <c r="K11743" s="1" t="str">
        <f t="shared" si="744"/>
        <v>ㄛ</v>
      </c>
      <c r="M11743" s="1" t="str">
        <f t="shared" si="745"/>
        <v/>
      </c>
      <c r="N11743" s="3" t="s">
        <v>30576</v>
      </c>
      <c r="O11743" s="3"/>
      <c r="P11743" s="1" t="s">
        <v>20</v>
      </c>
      <c r="R11743" s="1" t="s">
        <v>24179</v>
      </c>
      <c r="V11743" s="1" t="s">
        <v>24180</v>
      </c>
      <c r="W11743" s="1" t="s">
        <v>24181</v>
      </c>
      <c r="AR11743" s="1" t="str">
        <f t="shared" si="740"/>
        <v>| [ㄛˇ](ㄛˇ.md) | [嚄](嚄.md) |  | ǒ | [歎]
表疑惑、驚訝的語氣。如：「嚄！這道題怎麼還算不對？」 |</v>
      </c>
    </row>
    <row r="11744" spans="1:44" hidden="1">
      <c r="A11744" s="1" t="s">
        <v>24182</v>
      </c>
      <c r="C11744" s="1">
        <v>1</v>
      </c>
      <c r="D11744" s="1" t="str">
        <f>"10234"</f>
        <v>10234</v>
      </c>
      <c r="E11744" s="1" t="s">
        <v>534</v>
      </c>
      <c r="F11744" s="1">
        <v>8</v>
      </c>
      <c r="G11744" s="1">
        <v>5</v>
      </c>
      <c r="H11744" s="1">
        <v>1</v>
      </c>
      <c r="I11744" s="1" t="s">
        <v>24183</v>
      </c>
      <c r="K11744" s="1" t="str">
        <f t="shared" si="744"/>
        <v>ㄜ</v>
      </c>
      <c r="L11744" s="1" t="str">
        <f t="shared" ref="L11744:L11749" si="746">MID(I11744, 2, 1)</f>
        <v/>
      </c>
      <c r="M11744" s="1" t="str">
        <f t="shared" si="745"/>
        <v/>
      </c>
      <c r="P11744" s="1" t="s">
        <v>20</v>
      </c>
      <c r="R11744" s="1" t="s">
        <v>24184</v>
      </c>
      <c r="V11744" s="1" t="s">
        <v>24185</v>
      </c>
      <c r="W11744" s="1" t="s">
        <v>24186</v>
      </c>
      <c r="AR11744" s="1" t="str">
        <f t="shared" si="740"/>
        <v>| [ㄜ](ㄜ.md) | [妸](妸.md) |  | ē | [名]
女子的人名用字。《說文解字．女部》：「妸，女字也。」 |</v>
      </c>
    </row>
    <row r="11745" spans="1:44" hidden="1">
      <c r="A11745" s="1" t="s">
        <v>24142</v>
      </c>
      <c r="C11745" s="1">
        <v>1</v>
      </c>
      <c r="D11745" s="1" t="str">
        <f>"10235"</f>
        <v>10235</v>
      </c>
      <c r="E11745" s="1" t="s">
        <v>691</v>
      </c>
      <c r="F11745" s="1">
        <v>8</v>
      </c>
      <c r="G11745" s="1">
        <v>5</v>
      </c>
      <c r="H11745" s="1">
        <v>1</v>
      </c>
      <c r="I11745" s="1" t="s">
        <v>24183</v>
      </c>
      <c r="K11745" s="1" t="str">
        <f t="shared" si="744"/>
        <v>ㄜ</v>
      </c>
      <c r="L11745" s="1" t="str">
        <f t="shared" si="746"/>
        <v/>
      </c>
      <c r="M11745" s="1" t="str">
        <f t="shared" si="745"/>
        <v/>
      </c>
      <c r="P11745" s="1" t="s">
        <v>20</v>
      </c>
      <c r="R11745" s="1" t="s">
        <v>24184</v>
      </c>
      <c r="V11745" s="1" t="s">
        <v>24187</v>
      </c>
      <c r="W11745" s="1" t="s">
        <v>24188</v>
      </c>
      <c r="AR11745" s="1" t="str">
        <f t="shared" si="740"/>
        <v>| [ㄜ](ㄜ.md) | [阿](阿.md) |  | ē | [名]
1.大陵、大土丘。唐．王勃〈滕王閣序〉：「儼驂騑於上路，訪風景於崇阿。」
2.轉折、彎曲的地方。《文選．古詩十九首．冉冉孤生竹》：「冉冉孤生竹，結根泰山阿。」《漢書．卷二二．禮樂志》：「沛施祐，汾之阿，揚金光，橫泰河。」
3.屋宇、屋檐。《周禮．冬官考工記．匠人》：「堂崇三尺，四阿重屋。」《文選．古詩十九首．西北有高樓》：「交疏結綺窗，阿閣三重階。」
4.姓。如唐代有阿光進。
[動]
1.迎合、偏袒。如：「阿附」、「阿私」、「諂媚阿諛」。《孟子．公孫丑上》：「智足以知聖人，汙不至阿其所好。」《呂氏春秋．離俗覽．高義》：「阿有罪，廢國法，不可。」
2.倚靠。參見「阿衡」條。 |</v>
      </c>
    </row>
    <row r="11746" spans="1:44" hidden="1">
      <c r="A11746" s="1" t="s">
        <v>24189</v>
      </c>
      <c r="C11746" s="1">
        <v>1</v>
      </c>
      <c r="D11746" s="1" t="str">
        <f>"10236"</f>
        <v>10236</v>
      </c>
      <c r="E11746" s="1" t="s">
        <v>871</v>
      </c>
      <c r="F11746" s="1">
        <v>11</v>
      </c>
      <c r="G11746" s="1">
        <v>8</v>
      </c>
      <c r="H11746" s="1">
        <v>0</v>
      </c>
      <c r="I11746" s="1" t="s">
        <v>24183</v>
      </c>
      <c r="K11746" s="1" t="str">
        <f t="shared" si="744"/>
        <v>ㄜ</v>
      </c>
      <c r="L11746" s="1" t="str">
        <f t="shared" si="746"/>
        <v/>
      </c>
      <c r="M11746" s="1" t="str">
        <f t="shared" si="745"/>
        <v/>
      </c>
      <c r="P11746" s="1" t="s">
        <v>20</v>
      </c>
      <c r="R11746" s="1" t="s">
        <v>24184</v>
      </c>
      <c r="V11746" s="1" t="s">
        <v>24190</v>
      </c>
      <c r="AR11746" s="1" t="str">
        <f t="shared" si="740"/>
        <v>| [ㄜ](ㄜ.md) | [屙](屙.md) |  | ē | [動]
排泄。如：「屙屎」、「屙尿」。 |</v>
      </c>
    </row>
    <row r="11747" spans="1:44" hidden="1">
      <c r="A11747" s="1" t="s">
        <v>24191</v>
      </c>
      <c r="C11747" s="1">
        <v>1</v>
      </c>
      <c r="D11747" s="1" t="str">
        <f>"10237"</f>
        <v>10237</v>
      </c>
      <c r="E11747" s="1" t="s">
        <v>534</v>
      </c>
      <c r="F11747" s="1">
        <v>11</v>
      </c>
      <c r="G11747" s="1">
        <v>8</v>
      </c>
      <c r="H11747" s="1">
        <v>1</v>
      </c>
      <c r="I11747" s="1" t="s">
        <v>24183</v>
      </c>
      <c r="K11747" s="1" t="str">
        <f t="shared" si="744"/>
        <v>ㄜ</v>
      </c>
      <c r="L11747" s="1" t="str">
        <f t="shared" si="746"/>
        <v/>
      </c>
      <c r="M11747" s="1" t="str">
        <f t="shared" si="745"/>
        <v/>
      </c>
      <c r="P11747" s="1" t="s">
        <v>20</v>
      </c>
      <c r="R11747" s="1" t="s">
        <v>24184</v>
      </c>
      <c r="V11747" s="1" t="s">
        <v>24192</v>
      </c>
      <c r="W11747" s="1" t="s">
        <v>24193</v>
      </c>
      <c r="AR11747" s="1" t="str">
        <f t="shared" si="740"/>
        <v>| [ㄜ](ㄜ.md) | [婀](婀.md) |  | ē | 參見「婀娜」條。 |</v>
      </c>
    </row>
    <row r="11748" spans="1:44" hidden="1">
      <c r="A11748" s="1" t="s">
        <v>10756</v>
      </c>
      <c r="C11748" s="1">
        <v>1</v>
      </c>
      <c r="D11748" s="1" t="str">
        <f>"10238"</f>
        <v>10238</v>
      </c>
      <c r="E11748" s="1" t="s">
        <v>40</v>
      </c>
      <c r="F11748" s="1">
        <v>13</v>
      </c>
      <c r="G11748" s="1">
        <v>8</v>
      </c>
      <c r="H11748" s="1">
        <v>1</v>
      </c>
      <c r="I11748" s="1" t="s">
        <v>24183</v>
      </c>
      <c r="K11748" s="1" t="str">
        <f t="shared" si="744"/>
        <v>ㄜ</v>
      </c>
      <c r="L11748" s="1" t="str">
        <f t="shared" si="746"/>
        <v/>
      </c>
      <c r="M11748" s="1" t="str">
        <f t="shared" si="745"/>
        <v/>
      </c>
      <c r="P11748" s="1" t="s">
        <v>20</v>
      </c>
      <c r="R11748" s="1" t="s">
        <v>24184</v>
      </c>
      <c r="V11748" s="1" t="s">
        <v>24194</v>
      </c>
      <c r="W11748" s="1" t="s">
        <v>24195</v>
      </c>
      <c r="AR11748" s="1" t="str">
        <f t="shared" si="740"/>
        <v>| [ㄜ](ㄜ.md) | [痾](痾.md) |  | ē | [名]
1.疾病。如：「沉痾」。《文選．潘岳．閑居賦》：「常膳載加，舊痾有痊。」《文選．謝靈運．登池上樓詩》：「徇祿反窮海，臥痾對空林。」
2.仇隙、舊仇。《後漢書．卷七四下．袁紹傳》：「願捐棄百痾，追攝舊義，復為母子昆弟如初。」 |</v>
      </c>
    </row>
    <row r="11749" spans="1:44" hidden="1">
      <c r="A11749" s="1" t="s">
        <v>24196</v>
      </c>
      <c r="C11749" s="1">
        <v>1</v>
      </c>
      <c r="D11749" s="1" t="str">
        <f>"10239"</f>
        <v>10239</v>
      </c>
      <c r="E11749" s="1" t="s">
        <v>190</v>
      </c>
      <c r="F11749" s="1">
        <v>9</v>
      </c>
      <c r="G11749" s="1">
        <v>6</v>
      </c>
      <c r="H11749" s="1">
        <v>0</v>
      </c>
      <c r="I11749" s="1" t="s">
        <v>24183</v>
      </c>
      <c r="K11749" s="1" t="str">
        <f t="shared" si="744"/>
        <v>ㄜ</v>
      </c>
      <c r="L11749" s="1" t="str">
        <f t="shared" si="746"/>
        <v/>
      </c>
      <c r="M11749" s="1" t="str">
        <f t="shared" si="745"/>
        <v/>
      </c>
      <c r="P11749" s="1" t="s">
        <v>20</v>
      </c>
      <c r="R11749" s="1" t="s">
        <v>24184</v>
      </c>
      <c r="V11749" s="1" t="s">
        <v>24197</v>
      </c>
      <c r="AR11749" s="1" t="str">
        <f t="shared" si="740"/>
        <v>| [ㄜ](ㄜ.md) | [峉](峉.md) |  | ē | [形]
山勢高大的樣子。《集韻．入聲．陌韻》：「峉，山高大貌。」《楚辭．王逸．九思．憫上》：「川谷兮淵淵，山阜兮峉峉。」 |</v>
      </c>
    </row>
    <row r="11750" spans="1:44" hidden="1">
      <c r="A11750" s="1" t="s">
        <v>4725</v>
      </c>
      <c r="C11750" s="1">
        <v>1</v>
      </c>
      <c r="D11750" s="1" t="str">
        <f>"10266"</f>
        <v>10266</v>
      </c>
      <c r="E11750" s="1" t="s">
        <v>1372</v>
      </c>
      <c r="F11750" s="1">
        <v>4</v>
      </c>
      <c r="G11750" s="1">
        <v>0</v>
      </c>
      <c r="H11750" s="1">
        <v>2</v>
      </c>
      <c r="I11750" s="1" t="s">
        <v>24258</v>
      </c>
      <c r="K11750" s="1" t="str">
        <f t="shared" si="744"/>
        <v>ㄜ</v>
      </c>
      <c r="M11750" s="1" t="str">
        <f t="shared" si="745"/>
        <v/>
      </c>
      <c r="N11750" s="3" t="s">
        <v>30574</v>
      </c>
      <c r="O11750" s="3"/>
      <c r="P11750" s="1" t="s">
        <v>20</v>
      </c>
      <c r="R11750" s="1" t="s">
        <v>24259</v>
      </c>
      <c r="V11750" s="1" t="s">
        <v>24260</v>
      </c>
      <c r="W11750" s="1" t="s">
        <v>24261</v>
      </c>
      <c r="AR11750" s="1" t="str">
        <f t="shared" si="740"/>
        <v>| [ㄜˋ](ㄜˋ.md) | [歹](歹.md) |  | è | [名]
殘骨。《說文解字．歺部》：「歹，古文歺。」《廣韻．入聲．曷韻》：「歺，說文曰：『列骨之殘也。』凡從歺者，今亦作歹。」 |</v>
      </c>
    </row>
    <row r="11751" spans="1:44" hidden="1">
      <c r="A11751" s="1" t="s">
        <v>24262</v>
      </c>
      <c r="C11751" s="1">
        <v>1</v>
      </c>
      <c r="D11751" s="1" t="str">
        <f>"10267"</f>
        <v>10267</v>
      </c>
      <c r="E11751" s="1" t="s">
        <v>1941</v>
      </c>
      <c r="F11751" s="1">
        <v>4</v>
      </c>
      <c r="G11751" s="1">
        <v>2</v>
      </c>
      <c r="H11751" s="1">
        <v>0</v>
      </c>
      <c r="I11751" s="1" t="s">
        <v>24258</v>
      </c>
      <c r="K11751" s="1" t="str">
        <f t="shared" si="744"/>
        <v>ㄜ</v>
      </c>
      <c r="M11751" s="1" t="str">
        <f t="shared" si="745"/>
        <v/>
      </c>
      <c r="N11751" s="3" t="s">
        <v>30574</v>
      </c>
      <c r="O11751" s="3"/>
      <c r="P11751" s="1" t="s">
        <v>20</v>
      </c>
      <c r="R11751" s="1" t="s">
        <v>24259</v>
      </c>
      <c r="V11751" s="1" t="s">
        <v>24263</v>
      </c>
      <c r="AR11751" s="1" t="str">
        <f t="shared" si="740"/>
        <v>| [ㄜˋ](ㄜˋ.md) | [厄](厄.md) |  | è | [名]_x000D_
1.樹木的節。《說文解字．卩部》：「厄，科厄，木卩也。」_x000D_
2.災難、困難。晉．左思〈魏都賦〉：「英辯榮枯，能濟其厄。」宋．蘇軾〈三槐堂銘并敘〉：「盜跖之壽，孔顏之厄，此皆天之未定者也。」_x000D_
3.車轅前端套在牛、馬等頸上的橫木。通「軛」。《詩經．大雅．韓奕》：「鞹鞃淺幭，䩦革金厄。」_x000D_
[形]_x000D_
困窘的。如：「厄運」。唐．韓愈〈贈徐州族姪〉詩：「歲時易遷次，身命多厄窮。」 |</v>
      </c>
    </row>
    <row r="11752" spans="1:44" hidden="1">
      <c r="A11752" s="1" t="s">
        <v>24264</v>
      </c>
      <c r="C11752" s="1">
        <v>1</v>
      </c>
      <c r="D11752" s="1" t="str">
        <f>"10268"</f>
        <v>10268</v>
      </c>
      <c r="E11752" s="1" t="s">
        <v>24</v>
      </c>
      <c r="F11752" s="1">
        <v>7</v>
      </c>
      <c r="G11752" s="1">
        <v>4</v>
      </c>
      <c r="H11752" s="1">
        <v>0</v>
      </c>
      <c r="I11752" s="1" t="s">
        <v>24258</v>
      </c>
      <c r="K11752" s="1" t="str">
        <f t="shared" si="744"/>
        <v>ㄜ</v>
      </c>
      <c r="M11752" s="1" t="str">
        <f t="shared" si="745"/>
        <v/>
      </c>
      <c r="N11752" s="3" t="s">
        <v>30574</v>
      </c>
      <c r="O11752" s="3"/>
      <c r="P11752" s="1" t="s">
        <v>20</v>
      </c>
      <c r="R11752" s="1" t="s">
        <v>24259</v>
      </c>
      <c r="V11752" s="1" t="s">
        <v>24265</v>
      </c>
      <c r="AR11752" s="1" t="str">
        <f t="shared" si="740"/>
        <v>| [ㄜˋ](ㄜˋ.md) | [扼](扼.md) |  | è | [動]
1.捉、持、握。《戰國策．燕策三》：「樊於期偏袒扼腕而進曰：『此臣日夜切齒拊心也，乃今得聞教。』」《漢書．卷五四．李廣傳》：「臣所將屯邊者，皆荊楚勇士奇材劍客也。力扼虎，射命中。」
2.據守、控制。如：「扼險」。《新唐書．卷一七一．李光進傳》：「密遣田布伏精騎溝下，扼其歸。」
3.堵住、阻塞。《管子．度地》：「此五水者，因其利而往之可也，因而扼之可也。」《晉書．卷一．宣帝紀》：「凡攻敵，必扼其喉而舂其心。」
[名]
車轅前端套在牛、馬等頸上的橫木。通「軛」。《莊子．馬蹄》：「夫加之衡扼，齊之以月題，而馬知介倪。」 |</v>
      </c>
    </row>
    <row r="11753" spans="1:44" hidden="1">
      <c r="A11753" s="1" t="s">
        <v>24266</v>
      </c>
      <c r="C11753" s="1">
        <v>1</v>
      </c>
      <c r="D11753" s="1" t="str">
        <f>"10269"</f>
        <v>10269</v>
      </c>
      <c r="E11753" s="1" t="s">
        <v>28</v>
      </c>
      <c r="F11753" s="1">
        <v>7</v>
      </c>
      <c r="G11753" s="1">
        <v>4</v>
      </c>
      <c r="H11753" s="1">
        <v>0</v>
      </c>
      <c r="I11753" s="1" t="s">
        <v>24258</v>
      </c>
      <c r="K11753" s="1" t="str">
        <f t="shared" si="744"/>
        <v>ㄜ</v>
      </c>
      <c r="M11753" s="1" t="str">
        <f t="shared" si="745"/>
        <v/>
      </c>
      <c r="N11753" s="3" t="s">
        <v>30574</v>
      </c>
      <c r="O11753" s="3"/>
      <c r="P11753" s="1" t="s">
        <v>20</v>
      </c>
      <c r="R11753" s="1" t="s">
        <v>24259</v>
      </c>
      <c r="V11753" s="1" t="s">
        <v>24267</v>
      </c>
      <c r="AR11753" s="1" t="str">
        <f t="shared" si="740"/>
        <v>| [ㄜˋ](ㄜˋ.md) | [呃](呃.md) |  | è | [擬]
形容雞叫的聲音。《玉篇．口部》：「呝，雞聲。亦作呃。」
[動]
氣逆上衝。明．張自烈《正字通．口部》：「呃，方書有呃逆症，氣逆上衝作聲也。」如：「食飽氣呃」。 |</v>
      </c>
    </row>
    <row r="11754" spans="1:44" hidden="1">
      <c r="A11754" s="1" t="s">
        <v>24268</v>
      </c>
      <c r="C11754" s="1">
        <v>1</v>
      </c>
      <c r="D11754" s="1" t="str">
        <f>"10270"</f>
        <v>10270</v>
      </c>
      <c r="E11754" s="1" t="s">
        <v>691</v>
      </c>
      <c r="F11754" s="1">
        <v>7</v>
      </c>
      <c r="G11754" s="1">
        <v>4</v>
      </c>
      <c r="H11754" s="1">
        <v>1</v>
      </c>
      <c r="I11754" s="1" t="s">
        <v>24258</v>
      </c>
      <c r="K11754" s="1" t="str">
        <f t="shared" si="744"/>
        <v>ㄜ</v>
      </c>
      <c r="M11754" s="1" t="str">
        <f t="shared" si="745"/>
        <v/>
      </c>
      <c r="N11754" s="3" t="s">
        <v>30574</v>
      </c>
      <c r="O11754" s="3"/>
      <c r="P11754" s="1" t="s">
        <v>20</v>
      </c>
      <c r="R11754" s="1" t="s">
        <v>24259</v>
      </c>
      <c r="V11754" s="1" t="s">
        <v>24269</v>
      </c>
      <c r="W11754" s="1" t="s">
        <v>24270</v>
      </c>
      <c r="AR11754" s="1" t="str">
        <f t="shared" si="740"/>
        <v>| [ㄜˋ](ㄜˋ.md) | [阨](阨.md) |  | è | [名]
險要的地方。《史記．卷六八．商君傳》：「魏居領阨之西，都安邑。」
[形]
窮困。通「厄」。如：「困阨」。《孟子．公孫丑上》：「遺佚而不怨，阨窮而不憫。」
[動]
據守。《清史稿．卷四五三．銘安傳》：「東北與俄接壤，舊設卡倫，無兵駐守，迺遣將分阨要塞。」 |</v>
      </c>
    </row>
    <row r="11755" spans="1:44" hidden="1">
      <c r="A11755" s="1" t="s">
        <v>24271</v>
      </c>
      <c r="C11755" s="1">
        <v>1</v>
      </c>
      <c r="D11755" s="1" t="str">
        <f>"10271"</f>
        <v>10271</v>
      </c>
      <c r="E11755" s="1" t="s">
        <v>169</v>
      </c>
      <c r="F11755" s="1">
        <v>9</v>
      </c>
      <c r="G11755" s="1">
        <v>4</v>
      </c>
      <c r="H11755" s="1">
        <v>0</v>
      </c>
      <c r="I11755" s="1" t="s">
        <v>24258</v>
      </c>
      <c r="K11755" s="1" t="str">
        <f t="shared" si="744"/>
        <v>ㄜ</v>
      </c>
      <c r="M11755" s="1" t="str">
        <f t="shared" si="745"/>
        <v/>
      </c>
      <c r="N11755" s="3" t="s">
        <v>30574</v>
      </c>
      <c r="O11755" s="3"/>
      <c r="P11755" s="1" t="s">
        <v>20</v>
      </c>
      <c r="R11755" s="1" t="s">
        <v>24259</v>
      </c>
      <c r="V11755" s="1" t="s">
        <v>24272</v>
      </c>
      <c r="AR11755" s="1" t="str">
        <f t="shared" si="740"/>
        <v>| [ㄜˋ](ㄜˋ.md) | [砈](砈.md) |  | è | [名]
（astatine，At）化學元素。原子序85。全部同位素都具放射性，為鹵族中最重的元素。可用α粒子撞擊鉍而得，其性質似碘而易揮發。大陸地區譯為砹。 |</v>
      </c>
    </row>
    <row r="11756" spans="1:44" hidden="1">
      <c r="A11756" s="1" t="s">
        <v>24273</v>
      </c>
      <c r="C11756" s="1">
        <v>1</v>
      </c>
      <c r="D11756" s="1" t="str">
        <f>"10272"</f>
        <v>10272</v>
      </c>
      <c r="E11756" s="1" t="s">
        <v>71</v>
      </c>
      <c r="F11756" s="1">
        <v>11</v>
      </c>
      <c r="G11756" s="1">
        <v>4</v>
      </c>
      <c r="H11756" s="1">
        <v>0</v>
      </c>
      <c r="I11756" s="1" t="s">
        <v>24258</v>
      </c>
      <c r="K11756" s="1" t="str">
        <f t="shared" si="744"/>
        <v>ㄜ</v>
      </c>
      <c r="M11756" s="1" t="str">
        <f t="shared" si="745"/>
        <v/>
      </c>
      <c r="N11756" s="3" t="s">
        <v>30574</v>
      </c>
      <c r="O11756" s="3"/>
      <c r="P11756" s="1" t="s">
        <v>20</v>
      </c>
      <c r="R11756" s="1" t="s">
        <v>24259</v>
      </c>
      <c r="V11756" s="1" t="s">
        <v>24274</v>
      </c>
      <c r="AR11756" s="1" t="str">
        <f t="shared" si="740"/>
        <v>| [ㄜˋ](ㄜˋ.md) | [軛](軛.md) |  | è | [名]
在車衡兩端扼住牛、馬等頸背上的曲木。《楚辭．劉向．九歎．離世》：「執組者不能制兮，必折軛而摧轅。」 |</v>
      </c>
    </row>
    <row r="11757" spans="1:44" hidden="1">
      <c r="A11757" s="1" t="s">
        <v>24275</v>
      </c>
      <c r="C11757" s="1">
        <v>1</v>
      </c>
      <c r="D11757" s="1" t="str">
        <f>"10273"</f>
        <v>10273</v>
      </c>
      <c r="E11757" s="1" t="s">
        <v>190</v>
      </c>
      <c r="F11757" s="1">
        <v>5</v>
      </c>
      <c r="G11757" s="1">
        <v>2</v>
      </c>
      <c r="H11757" s="1">
        <v>0</v>
      </c>
      <c r="I11757" s="1" t="s">
        <v>24258</v>
      </c>
      <c r="K11757" s="1" t="str">
        <f t="shared" si="744"/>
        <v>ㄜ</v>
      </c>
      <c r="M11757" s="1" t="str">
        <f t="shared" si="745"/>
        <v/>
      </c>
      <c r="N11757" s="3" t="s">
        <v>30574</v>
      </c>
      <c r="O11757" s="3"/>
      <c r="P11757" s="1" t="s">
        <v>20</v>
      </c>
      <c r="R11757" s="1" t="s">
        <v>24259</v>
      </c>
      <c r="V11757" s="1" t="s">
        <v>24276</v>
      </c>
      <c r="AR11757" s="1" t="str">
        <f t="shared" si="740"/>
        <v>| [ㄜˋ](ㄜˋ.md) | [屵](屵.md) |  | è | [形]
岸高。《說文解字．人部》：「屵，岸高也。」 |</v>
      </c>
    </row>
    <row r="11758" spans="1:44" hidden="1">
      <c r="A11758" s="1" t="s">
        <v>24277</v>
      </c>
      <c r="C11758" s="1">
        <v>1</v>
      </c>
      <c r="D11758" s="1" t="str">
        <f>"10274"</f>
        <v>10274</v>
      </c>
      <c r="E11758" s="1" t="s">
        <v>1252</v>
      </c>
      <c r="F11758" s="1">
        <v>5</v>
      </c>
      <c r="G11758" s="1">
        <v>1</v>
      </c>
      <c r="H11758" s="1">
        <v>0</v>
      </c>
      <c r="I11758" s="1" t="s">
        <v>24258</v>
      </c>
      <c r="K11758" s="1" t="str">
        <f t="shared" si="744"/>
        <v>ㄜ</v>
      </c>
      <c r="M11758" s="1" t="str">
        <f t="shared" si="745"/>
        <v/>
      </c>
      <c r="N11758" s="3" t="s">
        <v>30574</v>
      </c>
      <c r="O11758" s="3"/>
      <c r="P11758" s="1" t="s">
        <v>20</v>
      </c>
      <c r="R11758" s="1" t="s">
        <v>24259</v>
      </c>
      <c r="V11758" s="1" t="s">
        <v>24278</v>
      </c>
      <c r="AR11758" s="1" t="str">
        <f t="shared" si="740"/>
        <v>| [ㄜˋ](ㄜˋ.md) | [戹](戹.md) |  | è | 同「厄」。 |</v>
      </c>
    </row>
    <row r="11759" spans="1:44" hidden="1">
      <c r="A11759" s="1" t="s">
        <v>24279</v>
      </c>
      <c r="C11759" s="1">
        <v>1</v>
      </c>
      <c r="D11759" s="1" t="str">
        <f>"10275"</f>
        <v>10275</v>
      </c>
      <c r="E11759" s="1" t="s">
        <v>28</v>
      </c>
      <c r="F11759" s="1">
        <v>8</v>
      </c>
      <c r="G11759" s="1">
        <v>5</v>
      </c>
      <c r="H11759" s="1">
        <v>0</v>
      </c>
      <c r="I11759" s="1" t="s">
        <v>24258</v>
      </c>
      <c r="K11759" s="1" t="str">
        <f t="shared" si="744"/>
        <v>ㄜ</v>
      </c>
      <c r="M11759" s="1" t="str">
        <f t="shared" si="745"/>
        <v/>
      </c>
      <c r="N11759" s="3" t="s">
        <v>30574</v>
      </c>
      <c r="O11759" s="3"/>
      <c r="P11759" s="1" t="s">
        <v>20</v>
      </c>
      <c r="R11759" s="1" t="s">
        <v>24259</v>
      </c>
      <c r="V11759" s="1" t="s">
        <v>24280</v>
      </c>
      <c r="AR11759" s="1" t="str">
        <f t="shared" si="740"/>
        <v>| [ㄜˋ](ㄜˋ.md) | [呝](呝.md) |  | è | 同「呃」。 |</v>
      </c>
    </row>
    <row r="11760" spans="1:44" hidden="1">
      <c r="A11760" s="1" t="s">
        <v>24281</v>
      </c>
      <c r="C11760" s="1">
        <v>1</v>
      </c>
      <c r="D11760" s="1" t="str">
        <f>"10276"</f>
        <v>10276</v>
      </c>
      <c r="E11760" s="1" t="s">
        <v>190</v>
      </c>
      <c r="F11760" s="1">
        <v>7</v>
      </c>
      <c r="G11760" s="1">
        <v>4</v>
      </c>
      <c r="H11760" s="1">
        <v>0</v>
      </c>
      <c r="I11760" s="1" t="s">
        <v>24258</v>
      </c>
      <c r="K11760" s="1" t="str">
        <f t="shared" si="744"/>
        <v>ㄜ</v>
      </c>
      <c r="M11760" s="1" t="str">
        <f t="shared" si="745"/>
        <v/>
      </c>
      <c r="N11760" s="3" t="s">
        <v>30574</v>
      </c>
      <c r="O11760" s="3"/>
      <c r="P11760" s="1" t="s">
        <v>20</v>
      </c>
      <c r="R11760" s="1" t="s">
        <v>24259</v>
      </c>
      <c r="V11760" s="1" t="s">
        <v>24282</v>
      </c>
      <c r="AR11760" s="1" t="str">
        <f t="shared" si="740"/>
        <v>| [ㄜˋ](ㄜˋ.md) | [岋](岋.md) |  | è | [形]
搖動的樣子。《南史．卷二〇．謝弘微傳》：「岋岋惙惙，常如行尸。」 |</v>
      </c>
    </row>
    <row r="11761" spans="1:44" hidden="1">
      <c r="A11761" s="1" t="s">
        <v>24283</v>
      </c>
      <c r="C11761" s="1">
        <v>1</v>
      </c>
      <c r="D11761" s="1" t="str">
        <f>"10277"</f>
        <v>10277</v>
      </c>
      <c r="E11761" s="1" t="s">
        <v>169</v>
      </c>
      <c r="F11761" s="1">
        <v>9</v>
      </c>
      <c r="G11761" s="1">
        <v>4</v>
      </c>
      <c r="H11761" s="1">
        <v>0</v>
      </c>
      <c r="I11761" s="1" t="s">
        <v>24258</v>
      </c>
      <c r="K11761" s="1" t="str">
        <f t="shared" si="744"/>
        <v>ㄜ</v>
      </c>
      <c r="M11761" s="1" t="str">
        <f t="shared" si="745"/>
        <v/>
      </c>
      <c r="N11761" s="3" t="s">
        <v>30574</v>
      </c>
      <c r="O11761" s="3"/>
      <c r="P11761" s="1" t="s">
        <v>20</v>
      </c>
      <c r="R11761" s="1" t="s">
        <v>24259</v>
      </c>
      <c r="V11761" s="1" t="s">
        <v>24242</v>
      </c>
      <c r="AR11761" s="1" t="str">
        <f t="shared" si="740"/>
        <v>| [ㄜˋ](ㄜˋ.md) | [砐](砐.md) |  | è | 參見「砐硪」條。 |</v>
      </c>
    </row>
    <row r="11762" spans="1:44" hidden="1">
      <c r="A11762" s="1" t="s">
        <v>24284</v>
      </c>
      <c r="C11762" s="1">
        <v>1</v>
      </c>
      <c r="D11762" s="1" t="str">
        <f>"10278"</f>
        <v>10278</v>
      </c>
      <c r="E11762" s="1" t="s">
        <v>28</v>
      </c>
      <c r="F11762" s="1">
        <v>9</v>
      </c>
      <c r="G11762" s="1">
        <v>6</v>
      </c>
      <c r="H11762" s="1">
        <v>0</v>
      </c>
      <c r="I11762" s="1" t="s">
        <v>24258</v>
      </c>
      <c r="K11762" s="1" t="str">
        <f t="shared" si="744"/>
        <v>ㄜ</v>
      </c>
      <c r="M11762" s="1" t="str">
        <f t="shared" si="745"/>
        <v/>
      </c>
      <c r="N11762" s="3" t="s">
        <v>30574</v>
      </c>
      <c r="O11762" s="3"/>
      <c r="P11762" s="1" t="s">
        <v>20</v>
      </c>
      <c r="R11762" s="1" t="s">
        <v>24259</v>
      </c>
      <c r="V11762" s="1" t="s">
        <v>24285</v>
      </c>
      <c r="AR11762" s="1" t="str">
        <f t="shared" si="740"/>
        <v>| [ㄜˋ](ㄜˋ.md) | [咢](咢.md) |  | è | [動]
1.爭論、爭辯。《說文解字．吅部》：「咢，譁訟也。」
2.徒手擊鼓。《詩經．大雅．行葦》：「嘉殽脾臄，或歌或咢。」
3.和歌、歌唱。唐．韓愈、李正封〈晚秋郾城夜會聯句〉：「爾牛時寢訛，我僕或歌咢。」
[形]
1.驚訝、驚懼。通「愕」。
2.參見「咢咢」條。
[名]
1.屋稜、屋角。《晉書．卷一三〇．赫連勃勃載記》：「飛簷舒咢，似翔鵬之矯翼。」
2.刀刃。通「鍔」。《漢書．卷六四下．王襃傳》：「清水焠其鋒，越砥斂其咢。」 |</v>
      </c>
    </row>
    <row r="11763" spans="1:44" hidden="1">
      <c r="A11763" s="1" t="s">
        <v>24286</v>
      </c>
      <c r="C11763" s="1">
        <v>1</v>
      </c>
      <c r="D11763" s="1" t="str">
        <f>"10279"</f>
        <v>10279</v>
      </c>
      <c r="E11763" s="1" t="s">
        <v>250</v>
      </c>
      <c r="F11763" s="1">
        <v>12</v>
      </c>
      <c r="G11763" s="1">
        <v>9</v>
      </c>
      <c r="H11763" s="1">
        <v>0</v>
      </c>
      <c r="I11763" s="1" t="s">
        <v>24258</v>
      </c>
      <c r="K11763" s="1" t="str">
        <f t="shared" si="744"/>
        <v>ㄜ</v>
      </c>
      <c r="M11763" s="1" t="str">
        <f t="shared" si="745"/>
        <v/>
      </c>
      <c r="N11763" s="3" t="s">
        <v>30574</v>
      </c>
      <c r="O11763" s="3"/>
      <c r="P11763" s="1" t="s">
        <v>20</v>
      </c>
      <c r="R11763" s="1" t="s">
        <v>24259</v>
      </c>
      <c r="V11763" s="1" t="s">
        <v>24287</v>
      </c>
      <c r="AR11763" s="1" t="str">
        <f t="shared" si="740"/>
        <v>| [ㄜˋ](ㄜˋ.md) | [愕](愕.md) |  | è | [動]
1.驚惶、驚駭。《戰國策．燕策三》：「荊軻逐秦王，秦王還柱而走，群臣驚愕，卒起不意，盡失其度。」元．陳基〈潼關〉詩：「前車未行後車卻，去馬一鳴來馬愕。」
2.直接言明。《三國志．卷五二．吳書．諸葛瑾傳》：「與權談說諫喻，未嘗切愕。」 |</v>
      </c>
    </row>
    <row r="11764" spans="1:44" hidden="1">
      <c r="A11764" s="1" t="s">
        <v>24288</v>
      </c>
      <c r="C11764" s="1">
        <v>1</v>
      </c>
      <c r="D11764" s="1" t="str">
        <f>"10280"</f>
        <v>10280</v>
      </c>
      <c r="E11764" s="1" t="s">
        <v>132</v>
      </c>
      <c r="F11764" s="1">
        <v>12</v>
      </c>
      <c r="G11764" s="1">
        <v>9</v>
      </c>
      <c r="H11764" s="1">
        <v>0</v>
      </c>
      <c r="I11764" s="1" t="s">
        <v>24258</v>
      </c>
      <c r="K11764" s="1" t="str">
        <f t="shared" si="744"/>
        <v>ㄜ</v>
      </c>
      <c r="M11764" s="1" t="str">
        <f t="shared" si="745"/>
        <v/>
      </c>
      <c r="N11764" s="3" t="s">
        <v>30574</v>
      </c>
      <c r="O11764" s="3"/>
      <c r="P11764" s="1" t="s">
        <v>20</v>
      </c>
      <c r="R11764" s="1" t="s">
        <v>24259</v>
      </c>
      <c r="V11764" s="1" t="s">
        <v>24289</v>
      </c>
      <c r="AR11764" s="1" t="str">
        <f t="shared" si="740"/>
        <v>| [ㄜˋ](ㄜˋ.md) | [堮](堮.md) |  | è | [名]
地面凸起的邊界。《說文解字．土部》「垠」字「地垠咢」句下清．段玉裁．注：「堮者，後人增土，咢則許書本然。……物之邊界有齊平者，有高起者，有捷業如鋸齒者，故統呼之曰垠咢。有單言垠，單言咢者。」 |</v>
      </c>
    </row>
    <row r="11765" spans="1:44" hidden="1">
      <c r="A11765" s="1" t="s">
        <v>24290</v>
      </c>
      <c r="C11765" s="1">
        <v>1</v>
      </c>
      <c r="D11765" s="1" t="str">
        <f>"10281"</f>
        <v>10281</v>
      </c>
      <c r="E11765" s="1" t="s">
        <v>256</v>
      </c>
      <c r="F11765" s="1">
        <v>12</v>
      </c>
      <c r="G11765" s="1">
        <v>9</v>
      </c>
      <c r="H11765" s="1">
        <v>0</v>
      </c>
      <c r="I11765" s="1" t="s">
        <v>24258</v>
      </c>
      <c r="K11765" s="1" t="str">
        <f t="shared" si="744"/>
        <v>ㄜ</v>
      </c>
      <c r="M11765" s="1" t="str">
        <f t="shared" si="745"/>
        <v/>
      </c>
      <c r="N11765" s="3" t="s">
        <v>30574</v>
      </c>
      <c r="O11765" s="3"/>
      <c r="P11765" s="1" t="s">
        <v>20</v>
      </c>
      <c r="R11765" s="1" t="s">
        <v>24259</v>
      </c>
      <c r="V11765" s="1" t="s">
        <v>24291</v>
      </c>
      <c r="AR11765" s="1" t="str">
        <f t="shared" si="740"/>
        <v>| [ㄜˋ](ㄜˋ.md) | [鄂](鄂.md) |  | è | [名]
1.地名：(1)春秋時楚國都邑，故城約在今湖北省武昌縣。(2)春秋時晉國都邑，故城約在今山西省鄉寧縣南方。
2.湖北省的簡稱。
3.邊際。《漢書．卷八七．揚雄傳上》：「并閭與茇䒷兮，紛被麗其亡鄂。」三國魏．徐幹．齊都賦：「南望無垠，北顧無鄂。」
4.托住花朵的部分。通「萼」。《詩經．小雅．常棣》：「常棣之華，鄂不韡韡。」
5.姓。如漢代有鄂千秋。
[動]
害怕。通「愕」。《漢書．卷六八．霍光傳》：「群臣皆驚鄂失色，莫敢發言。」 |</v>
      </c>
    </row>
    <row r="11766" spans="1:44" hidden="1">
      <c r="A11766" s="1" t="s">
        <v>24292</v>
      </c>
      <c r="C11766" s="1">
        <v>1</v>
      </c>
      <c r="D11766" s="1" t="str">
        <f>"10282"</f>
        <v>10282</v>
      </c>
      <c r="E11766" s="1" t="s">
        <v>190</v>
      </c>
      <c r="F11766" s="1">
        <v>12</v>
      </c>
      <c r="G11766" s="1">
        <v>9</v>
      </c>
      <c r="H11766" s="1">
        <v>0</v>
      </c>
      <c r="I11766" s="1" t="s">
        <v>24258</v>
      </c>
      <c r="K11766" s="1" t="str">
        <f t="shared" si="744"/>
        <v>ㄜ</v>
      </c>
      <c r="M11766" s="1" t="str">
        <f t="shared" si="745"/>
        <v/>
      </c>
      <c r="N11766" s="3" t="s">
        <v>30574</v>
      </c>
      <c r="O11766" s="3"/>
      <c r="P11766" s="1" t="s">
        <v>20</v>
      </c>
      <c r="R11766" s="1" t="s">
        <v>24259</v>
      </c>
      <c r="V11766" s="1" t="s">
        <v>24293</v>
      </c>
      <c r="AR11766" s="1" t="str">
        <f t="shared" si="740"/>
        <v>| [ㄜˋ](ㄜˋ.md) | [崿](崿.md) |  | è | [名]
山崖。《文選．張衡．西京賦》：「坻崿鱗眴，棧齴巉嶮。」明．徐弘祖《徐霞客遊記．卷三下．粵西遊日記二》：「南抵東南隅，石崿懸峭，片片飛雲綴空。」 |</v>
      </c>
    </row>
    <row r="11767" spans="1:44" hidden="1">
      <c r="A11767" s="1" t="s">
        <v>24294</v>
      </c>
      <c r="C11767" s="1">
        <v>1</v>
      </c>
      <c r="D11767" s="1" t="str">
        <f>"10283"</f>
        <v>10283</v>
      </c>
      <c r="E11767" s="1" t="s">
        <v>37</v>
      </c>
      <c r="F11767" s="1">
        <v>13</v>
      </c>
      <c r="G11767" s="1">
        <v>9</v>
      </c>
      <c r="H11767" s="1">
        <v>0</v>
      </c>
      <c r="I11767" s="1" t="s">
        <v>24258</v>
      </c>
      <c r="K11767" s="1" t="str">
        <f t="shared" si="744"/>
        <v>ㄜ</v>
      </c>
      <c r="M11767" s="1" t="str">
        <f t="shared" si="745"/>
        <v/>
      </c>
      <c r="N11767" s="3" t="s">
        <v>30574</v>
      </c>
      <c r="O11767" s="3"/>
      <c r="P11767" s="1" t="s">
        <v>20</v>
      </c>
      <c r="R11767" s="1" t="s">
        <v>24259</v>
      </c>
      <c r="V11767" s="1" t="s">
        <v>24295</v>
      </c>
      <c r="AR11767" s="1" t="str">
        <f t="shared" si="740"/>
        <v>| [ㄜˋ](ㄜˋ.md) | [萼](萼.md) |  | è | [名]
花最外圍的無性花器，常呈綠色，有時與花瓣顏色相同或相近，具有保護花芽的作用。《玉篇．艸部》：「萼，花萼也。」南朝宋．謝靈運〈酬從弟惠連詩〉：「山桃發紅萼，野蕨漸紫苞。」《晉書．卷五一．列傳．皇甫謐》：「春華發萼，夏繁其實。」 |</v>
      </c>
    </row>
    <row r="11768" spans="1:44" hidden="1">
      <c r="A11768" s="1" t="s">
        <v>24296</v>
      </c>
      <c r="C11768" s="1">
        <v>1</v>
      </c>
      <c r="D11768" s="1" t="str">
        <f>"10284"</f>
        <v>10284</v>
      </c>
      <c r="E11768" s="1" t="s">
        <v>331</v>
      </c>
      <c r="F11768" s="1">
        <v>16</v>
      </c>
      <c r="G11768" s="1">
        <v>9</v>
      </c>
      <c r="H11768" s="1">
        <v>0</v>
      </c>
      <c r="I11768" s="1" t="s">
        <v>24258</v>
      </c>
      <c r="K11768" s="1" t="str">
        <f t="shared" si="744"/>
        <v>ㄜ</v>
      </c>
      <c r="M11768" s="1" t="str">
        <f t="shared" si="745"/>
        <v/>
      </c>
      <c r="N11768" s="3" t="s">
        <v>30574</v>
      </c>
      <c r="O11768" s="3"/>
      <c r="P11768" s="1" t="s">
        <v>20</v>
      </c>
      <c r="R11768" s="1" t="s">
        <v>24259</v>
      </c>
      <c r="V11768" s="1" t="s">
        <v>24297</v>
      </c>
      <c r="AR11768" s="1" t="str">
        <f t="shared" si="740"/>
        <v>| [ㄜˋ](ㄜˋ.md) | [諤](諤.md) |  | è | [名]
正直的言詞。《玉篇．言部》：「諤，正直之言也。」宋．鄭俠〈示潮州吳宅三甥〉詩：「心雖在規益，世誰受忠諤。」 |</v>
      </c>
    </row>
    <row r="11769" spans="1:44" hidden="1">
      <c r="A11769" s="1" t="s">
        <v>24298</v>
      </c>
      <c r="C11769" s="1">
        <v>1</v>
      </c>
      <c r="D11769" s="1" t="str">
        <f>"10285"</f>
        <v>10285</v>
      </c>
      <c r="E11769" s="1" t="s">
        <v>55</v>
      </c>
      <c r="F11769" s="1">
        <v>17</v>
      </c>
      <c r="G11769" s="1">
        <v>9</v>
      </c>
      <c r="H11769" s="1">
        <v>0</v>
      </c>
      <c r="I11769" s="1" t="s">
        <v>24258</v>
      </c>
      <c r="K11769" s="1" t="str">
        <f t="shared" si="744"/>
        <v>ㄜ</v>
      </c>
      <c r="M11769" s="1" t="str">
        <f t="shared" si="745"/>
        <v/>
      </c>
      <c r="N11769" s="3" t="s">
        <v>30574</v>
      </c>
      <c r="O11769" s="3"/>
      <c r="P11769" s="1" t="s">
        <v>20</v>
      </c>
      <c r="R11769" s="1" t="s">
        <v>24259</v>
      </c>
      <c r="V11769" s="1" t="s">
        <v>24299</v>
      </c>
      <c r="AR11769" s="1" t="str">
        <f t="shared" si="740"/>
        <v>| [ㄜˋ](ㄜˋ.md) | [鍔](鍔.md) |  | è | [名]
刀鋒、劍端。《莊子．說劍》：「天子之劍，以燕谿石城為鋒，齊岱為鍔。」《漢書．卷七八．蕭望之傳》：「底厲鋒鍔，奉萬分之一。」 |</v>
      </c>
    </row>
    <row r="11770" spans="1:44" hidden="1">
      <c r="A11770" s="1" t="s">
        <v>24300</v>
      </c>
      <c r="C11770" s="1">
        <v>1</v>
      </c>
      <c r="D11770" s="1" t="str">
        <f>"10286"</f>
        <v>10286</v>
      </c>
      <c r="E11770" s="1" t="s">
        <v>684</v>
      </c>
      <c r="F11770" s="1">
        <v>18</v>
      </c>
      <c r="G11770" s="1">
        <v>9</v>
      </c>
      <c r="H11770" s="1">
        <v>0</v>
      </c>
      <c r="I11770" s="1" t="s">
        <v>24258</v>
      </c>
      <c r="K11770" s="1" t="str">
        <f t="shared" si="744"/>
        <v>ㄜ</v>
      </c>
      <c r="M11770" s="1" t="str">
        <f t="shared" si="745"/>
        <v/>
      </c>
      <c r="N11770" s="3" t="s">
        <v>30574</v>
      </c>
      <c r="O11770" s="3"/>
      <c r="P11770" s="1" t="s">
        <v>20</v>
      </c>
      <c r="R11770" s="1" t="s">
        <v>24259</v>
      </c>
      <c r="V11770" s="1" t="s">
        <v>24301</v>
      </c>
      <c r="AR11770" s="1" t="str">
        <f t="shared" si="740"/>
        <v>| [ㄜˋ](ㄜˋ.md) | [顎](顎.md) |  | è | 參見「顎骨」條。 |</v>
      </c>
    </row>
    <row r="11771" spans="1:44" hidden="1">
      <c r="A11771" s="1" t="s">
        <v>24302</v>
      </c>
      <c r="C11771" s="1">
        <v>1</v>
      </c>
      <c r="D11771" s="1" t="str">
        <f>"10287"</f>
        <v>10287</v>
      </c>
      <c r="E11771" s="1" t="s">
        <v>272</v>
      </c>
      <c r="F11771" s="1">
        <v>20</v>
      </c>
      <c r="G11771" s="1">
        <v>9</v>
      </c>
      <c r="H11771" s="1">
        <v>0</v>
      </c>
      <c r="I11771" s="1" t="s">
        <v>24258</v>
      </c>
      <c r="K11771" s="1" t="str">
        <f t="shared" si="744"/>
        <v>ㄜ</v>
      </c>
      <c r="M11771" s="1" t="str">
        <f t="shared" si="745"/>
        <v/>
      </c>
      <c r="N11771" s="3" t="s">
        <v>30574</v>
      </c>
      <c r="O11771" s="3"/>
      <c r="P11771" s="1" t="s">
        <v>20</v>
      </c>
      <c r="R11771" s="1" t="s">
        <v>24259</v>
      </c>
      <c r="V11771" s="1" t="s">
        <v>24303</v>
      </c>
      <c r="AR11771" s="1" t="str">
        <f t="shared" si="740"/>
        <v>| [ㄜˋ](ㄜˋ.md) | [鶚](鶚.md) |  | è | [名]
動物名。鴟鴞目。嘴頗短，趾有連膜，外趾且能前後轉動。背部黑褐色，喉部有褐斑，腹部白色。性情凶猛，好棲水渚，捕食魚類為生。俗稱為「魚鷹」。 |</v>
      </c>
    </row>
    <row r="11772" spans="1:44" hidden="1">
      <c r="A11772" s="1" t="s">
        <v>24304</v>
      </c>
      <c r="C11772" s="1">
        <v>1</v>
      </c>
      <c r="D11772" s="1" t="str">
        <f>"10288"</f>
        <v>10288</v>
      </c>
      <c r="E11772" s="1" t="s">
        <v>592</v>
      </c>
      <c r="F11772" s="1">
        <v>24</v>
      </c>
      <c r="G11772" s="1">
        <v>9</v>
      </c>
      <c r="H11772" s="1">
        <v>0</v>
      </c>
      <c r="I11772" s="1" t="s">
        <v>24258</v>
      </c>
      <c r="K11772" s="1" t="str">
        <f t="shared" si="744"/>
        <v>ㄜ</v>
      </c>
      <c r="M11772" s="1" t="str">
        <f t="shared" si="745"/>
        <v/>
      </c>
      <c r="N11772" s="3" t="s">
        <v>30574</v>
      </c>
      <c r="O11772" s="3"/>
      <c r="P11772" s="1" t="s">
        <v>20</v>
      </c>
      <c r="R11772" s="1" t="s">
        <v>24259</v>
      </c>
      <c r="V11772" s="1" t="s">
        <v>24305</v>
      </c>
      <c r="AR11772" s="1" t="str">
        <f t="shared" si="740"/>
        <v>| [ㄜˋ](ㄜˋ.md) | [齶](齶.md) |  | è | 同「顎」。 |</v>
      </c>
    </row>
    <row r="11773" spans="1:44" hidden="1">
      <c r="A11773" s="1" t="s">
        <v>24306</v>
      </c>
      <c r="C11773" s="1">
        <v>1</v>
      </c>
      <c r="D11773" s="1" t="str">
        <f>"10290"</f>
        <v>10290</v>
      </c>
      <c r="E11773" s="1" t="s">
        <v>193</v>
      </c>
      <c r="F11773" s="1">
        <v>15</v>
      </c>
      <c r="G11773" s="1">
        <v>7</v>
      </c>
      <c r="H11773" s="1">
        <v>0</v>
      </c>
      <c r="I11773" s="1" t="s">
        <v>24258</v>
      </c>
      <c r="K11773" s="1" t="str">
        <f t="shared" si="744"/>
        <v>ㄜ</v>
      </c>
      <c r="M11773" s="1" t="str">
        <f t="shared" si="745"/>
        <v/>
      </c>
      <c r="N11773" s="3" t="s">
        <v>30574</v>
      </c>
      <c r="O11773" s="3"/>
      <c r="P11773" s="1" t="s">
        <v>20</v>
      </c>
      <c r="R11773" s="1" t="s">
        <v>24259</v>
      </c>
      <c r="V11773" s="1" t="s">
        <v>24307</v>
      </c>
      <c r="AR11773" s="1" t="str">
        <f t="shared" si="740"/>
        <v>| [ㄜˋ](ㄜˋ.md) | [餓](餓.md) |  | è | [動]
1.腹飢。與「飽」相對。《論語．季氏》：「伯夷叔齊，餓于首陽之下。」唐．李紳〈古風〉詩二首之一：「四海無閒田，農夫猶餓死。」
2.使飢餓。《孟子．告子下》：「天將降大任於是人也，必先苦其心志，勞其筋骨，餓其體膚。」
[形]
不飽的。《管子．國畜》：「歲適，則市糴釜十繦，而道有餓民。」 |</v>
      </c>
    </row>
    <row r="11774" spans="1:44" hidden="1">
      <c r="A11774" s="1" t="s">
        <v>24308</v>
      </c>
      <c r="C11774" s="1">
        <v>1</v>
      </c>
      <c r="D11774" s="1" t="str">
        <f>"10291"</f>
        <v>10291</v>
      </c>
      <c r="E11774" s="1" t="s">
        <v>28</v>
      </c>
      <c r="F11774" s="1">
        <v>10</v>
      </c>
      <c r="G11774" s="1">
        <v>7</v>
      </c>
      <c r="H11774" s="1">
        <v>2</v>
      </c>
      <c r="I11774" s="1" t="s">
        <v>24258</v>
      </c>
      <c r="K11774" s="1" t="str">
        <f t="shared" si="744"/>
        <v>ㄜ</v>
      </c>
      <c r="M11774" s="1" t="str">
        <f t="shared" si="745"/>
        <v/>
      </c>
      <c r="N11774" s="3" t="s">
        <v>30574</v>
      </c>
      <c r="O11774" s="3"/>
      <c r="P11774" s="1" t="s">
        <v>110</v>
      </c>
      <c r="R11774" s="1" t="s">
        <v>24259</v>
      </c>
      <c r="V11774" s="1" t="s">
        <v>111</v>
      </c>
      <c r="W11774" s="1" t="s">
        <v>24309</v>
      </c>
      <c r="AR11774" s="1" t="str">
        <f t="shared" si="740"/>
        <v>| [ㄜˋ](ㄜˋ.md) | [唈](唈.md) |  | è | (一)之又音。 |</v>
      </c>
    </row>
    <row r="11775" spans="1:44" hidden="1">
      <c r="A11775" s="1" t="s">
        <v>24310</v>
      </c>
      <c r="C11775" s="1">
        <v>1</v>
      </c>
      <c r="D11775" s="1" t="str">
        <f>"10292"</f>
        <v>10292</v>
      </c>
      <c r="E11775" s="1" t="s">
        <v>132</v>
      </c>
      <c r="F11775" s="1">
        <v>11</v>
      </c>
      <c r="G11775" s="1">
        <v>8</v>
      </c>
      <c r="H11775" s="1">
        <v>0</v>
      </c>
      <c r="I11775" s="1" t="s">
        <v>24258</v>
      </c>
      <c r="K11775" s="1" t="str">
        <f t="shared" si="744"/>
        <v>ㄜ</v>
      </c>
      <c r="M11775" s="1" t="str">
        <f t="shared" si="745"/>
        <v/>
      </c>
      <c r="N11775" s="3" t="s">
        <v>30574</v>
      </c>
      <c r="O11775" s="3"/>
      <c r="P11775" s="1" t="s">
        <v>20</v>
      </c>
      <c r="R11775" s="1" t="s">
        <v>24259</v>
      </c>
      <c r="V11775" s="1" t="s">
        <v>24311</v>
      </c>
      <c r="AR11775" s="1" t="str">
        <f t="shared" si="740"/>
        <v>| [ㄜˋ](ㄜˋ.md) | [堊](堊.md) |  | è | [名]
1.白色的土。《莊子．徐无鬼》：「匠石運斤成風，聽而斲之，盡堊而鼻不傷。」
2.泛指有色而可作為塗飾的土。《山海經．中山經》：「又東三十五里，曰蔥聾之山，其中多大谷，是多白堊，黑、青、黃堊。」
[動]
用白粉塗飾。《韓非子．說林下》：「宮有堊器，有滌則潔矣。」《北史．卷八九．藝術傳上．陸法和傳》：「法和乃還州，堊其城門。」 |</v>
      </c>
    </row>
    <row r="11776" spans="1:44" hidden="1">
      <c r="A11776" s="1" t="s">
        <v>24312</v>
      </c>
      <c r="C11776" s="1">
        <v>1</v>
      </c>
      <c r="D11776" s="1" t="str">
        <f>"10293"</f>
        <v>10293</v>
      </c>
      <c r="E11776" s="1" t="s">
        <v>28</v>
      </c>
      <c r="F11776" s="1">
        <v>11</v>
      </c>
      <c r="G11776" s="1">
        <v>8</v>
      </c>
      <c r="H11776" s="1">
        <v>3</v>
      </c>
      <c r="I11776" s="1" t="s">
        <v>24258</v>
      </c>
      <c r="K11776" s="1" t="str">
        <f t="shared" si="744"/>
        <v>ㄜ</v>
      </c>
      <c r="M11776" s="1" t="str">
        <f t="shared" si="745"/>
        <v/>
      </c>
      <c r="N11776" s="3" t="s">
        <v>30574</v>
      </c>
      <c r="O11776" s="3"/>
      <c r="P11776" s="1" t="s">
        <v>20</v>
      </c>
      <c r="R11776" s="1" t="s">
        <v>24259</v>
      </c>
      <c r="V11776" s="1" t="s">
        <v>24313</v>
      </c>
      <c r="W11776" s="1" t="s">
        <v>24314</v>
      </c>
      <c r="AR11776" s="1" t="str">
        <f t="shared" si="740"/>
        <v>| [ㄜˋ](ㄜˋ.md) | [啞](啞.md) |  | è | 參見「啞啞」(二)條。 |</v>
      </c>
    </row>
    <row r="11777" spans="1:44" hidden="1">
      <c r="A11777" s="1" t="s">
        <v>24253</v>
      </c>
      <c r="C11777" s="1">
        <v>1</v>
      </c>
      <c r="D11777" s="1" t="str">
        <f>"10294"</f>
        <v>10294</v>
      </c>
      <c r="E11777" s="1" t="s">
        <v>250</v>
      </c>
      <c r="F11777" s="1">
        <v>12</v>
      </c>
      <c r="G11777" s="1">
        <v>8</v>
      </c>
      <c r="H11777" s="1">
        <v>1</v>
      </c>
      <c r="I11777" s="1" t="s">
        <v>24258</v>
      </c>
      <c r="K11777" s="1" t="str">
        <f t="shared" si="744"/>
        <v>ㄜ</v>
      </c>
      <c r="M11777" s="1" t="str">
        <f t="shared" si="745"/>
        <v/>
      </c>
      <c r="N11777" s="3" t="s">
        <v>30574</v>
      </c>
      <c r="O11777" s="3"/>
      <c r="P11777" s="1" t="s">
        <v>20</v>
      </c>
      <c r="R11777" s="1" t="s">
        <v>24259</v>
      </c>
      <c r="V11777" s="1" t="s">
        <v>24315</v>
      </c>
      <c r="W11777" s="1" t="s">
        <v>24316</v>
      </c>
      <c r="AR11777" s="1" t="str">
        <f t="shared" si="740"/>
        <v>| [ㄜˋ](ㄜˋ.md) | [惡](惡.md) |  | è | [名]
1.罪過、不良的行為。《易經．大有卦．象曰》：「君子以遏惡揚善，順天休命。」《三國志．卷三五．蜀書．諸葛亮傳》：「無惡不懲，無善不顯。」
2.疾病。《左傳．成公六年》：「郇瑕氏土薄水淺，其惡易覯。」南朝宋．劉義慶《世說新語．術解》：「郗愔信道甚精勤，常患腹內惡，諸醫不可療。」
3.汙垢、穢物。《左傳．成公六年》：「土厚水深，居之不疾，有汾澮以流其惡。」《周禮．天官．獸醫》：「凡療獸瘍，灌而劀之，以發其惡，然後藥之養之食之。」
4.糞便。《漢書．卷六三．武五子傳．昌邑哀王劉髆傳》：「陛下左側讒人眾多，如是青蠅惡矣。」《隋書．卷七二．孝義傳．田翼傳》：「母患暴痢，翼謂中毒，遂親嘗惡。」
[形]
1.不善的、壞的。《荀子．非相》：「形相雖善而心術惡，無害為小人也。」
2.粗劣的。《論語．里仁》：「士志於道，而恥惡衣惡食者，未足與議也。」《韓非子．說疑》：「不明臣之所言，雖節儉勤勞，布衣惡食，國猶自亡也。」
3.醜陋。《史記．卷六七．仲尼弟子傳．澹臺滅明傳》：「（澹臺滅明）狀貌甚惡，欲事孔子，孔子以為材薄。」《文選．謝靈運．永初三年七月十六日之郡初發都詩》：「良時不見遺，醜狀不成惡。」
4.不適、不快。《晉書．卷八〇．王羲之傳》：「中年以來，傷於哀樂，與親友別，輒作數日惡。」南朝宋．劉義慶《世說新語．文學》：「身今少惡，斐逸民跡近在此，君可往問。」
[副]
極、甚。《淮南子．墬形》：「其人大面短頤，美須惡肥。」宋．辛棄疾〈臨江仙．小靨人憐都惡瘦〉詞：「小靨人憐都惡瘦，曲眉夫與長顰。」
[動]
害。《淮南子．說林》：「病熱而強之餐，救暍而飲之寒，救經而引其索，拯溺而授之石，欲救之，反為惡。」 |</v>
      </c>
    </row>
    <row r="11778" spans="1:44" hidden="1">
      <c r="A11778" s="1" t="s">
        <v>24317</v>
      </c>
      <c r="C11778" s="1">
        <v>1</v>
      </c>
      <c r="D11778" s="1" t="str">
        <f>"10295"</f>
        <v>10295</v>
      </c>
      <c r="E11778" s="1" t="s">
        <v>570</v>
      </c>
      <c r="F11778" s="1">
        <v>12</v>
      </c>
      <c r="G11778" s="1">
        <v>10</v>
      </c>
      <c r="H11778" s="1">
        <v>0</v>
      </c>
      <c r="I11778" s="1" t="s">
        <v>24258</v>
      </c>
      <c r="K11778" s="1" t="str">
        <f t="shared" si="744"/>
        <v>ㄜ</v>
      </c>
      <c r="M11778" s="1" t="str">
        <f t="shared" si="745"/>
        <v/>
      </c>
      <c r="N11778" s="3" t="s">
        <v>30574</v>
      </c>
      <c r="O11778" s="3"/>
      <c r="P11778" s="1" t="s">
        <v>20</v>
      </c>
      <c r="R11778" s="1" t="s">
        <v>24259</v>
      </c>
      <c r="V11778" s="1" t="s">
        <v>24318</v>
      </c>
      <c r="AR11778" s="1" t="str">
        <f t="shared" si="740"/>
        <v>| [ㄜˋ](ㄜˋ.md) | [㔩](㔩.md) |  | è | [名]_x000D_
婦人髮上的花飾。《玉篇．勹部》：「㔩，㔩綵，婦人頭花髻飾也。」唐．杜甫〈麗人行〉：「頭上何所有？翠微㔩葉垂鬢脣。」明．湯顯祖《紫簫記》第一六齣：「金堂客至，下紅樓翠㔩銀篦。」 |</v>
      </c>
    </row>
    <row r="11779" spans="1:44" hidden="1">
      <c r="A11779" s="1" t="s">
        <v>24319</v>
      </c>
      <c r="C11779" s="1">
        <v>1</v>
      </c>
      <c r="D11779" s="1" t="str">
        <f>"10296"</f>
        <v>10296</v>
      </c>
      <c r="E11779" s="1" t="s">
        <v>331</v>
      </c>
      <c r="F11779" s="1">
        <v>13</v>
      </c>
      <c r="G11779" s="1">
        <v>6</v>
      </c>
      <c r="H11779" s="1">
        <v>0</v>
      </c>
      <c r="I11779" s="1" t="s">
        <v>24258</v>
      </c>
      <c r="K11779" s="1" t="str">
        <f t="shared" si="744"/>
        <v>ㄜ</v>
      </c>
      <c r="M11779" s="1" t="str">
        <f t="shared" si="745"/>
        <v/>
      </c>
      <c r="N11779" s="3" t="s">
        <v>30574</v>
      </c>
      <c r="O11779" s="3"/>
      <c r="P11779" s="1" t="s">
        <v>20</v>
      </c>
      <c r="R11779" s="1" t="s">
        <v>24259</v>
      </c>
      <c r="V11779" s="1" t="s">
        <v>24320</v>
      </c>
      <c r="AR11779" s="1" t="str">
        <f t="shared" ref="AR11779:AR11842" si="747">"| ["&amp;I11779&amp;"]("&amp;I11779&amp;".md) | ["&amp;A11779&amp;"]("&amp;A11779&amp;".md) | "&amp;" | "&amp;R11779&amp;" | "&amp;V11779&amp;" |"</f>
        <v>| [ㄜˋ](ㄜˋ.md) | [詻](詻.md) |  | è | [動]
爭辯是非曲直。《說文解字．言部》：「詻，論訟也。」《廣雅疏證．卷六上．釋訓》：「詻詻，語也。」《墨子．親士》：「君必有弗弗之臣，上必有詻詻之士。」 |</v>
      </c>
    </row>
    <row r="11780" spans="1:44" hidden="1">
      <c r="A11780" s="1" t="s">
        <v>24235</v>
      </c>
      <c r="C11780" s="1">
        <v>1</v>
      </c>
      <c r="D11780" s="1" t="str">
        <f>"10297"</f>
        <v>10297</v>
      </c>
      <c r="E11780" s="1" t="s">
        <v>684</v>
      </c>
      <c r="F11780" s="1">
        <v>18</v>
      </c>
      <c r="G11780" s="1">
        <v>9</v>
      </c>
      <c r="H11780" s="1">
        <v>2</v>
      </c>
      <c r="I11780" s="1" t="s">
        <v>24258</v>
      </c>
      <c r="K11780" s="1" t="str">
        <f t="shared" si="744"/>
        <v>ㄜ</v>
      </c>
      <c r="M11780" s="1" t="str">
        <f t="shared" si="745"/>
        <v/>
      </c>
      <c r="N11780" s="3" t="s">
        <v>30574</v>
      </c>
      <c r="O11780" s="3"/>
      <c r="P11780" s="1" t="s">
        <v>20</v>
      </c>
      <c r="R11780" s="1" t="s">
        <v>24259</v>
      </c>
      <c r="V11780" s="1" t="s">
        <v>24321</v>
      </c>
      <c r="W11780" s="1" t="s">
        <v>24322</v>
      </c>
      <c r="AR11780" s="1" t="str">
        <f t="shared" si="747"/>
        <v>| [ㄜˋ](ㄜˋ.md) | [額](額.md) |  | è | [名]
譯音用字。常用於山名、地名等的音譯。如：「額非爾士峰」、「額魯特蒙古」。 |</v>
      </c>
    </row>
    <row r="11781" spans="1:44" hidden="1">
      <c r="A11781" s="1" t="s">
        <v>24323</v>
      </c>
      <c r="C11781" s="1">
        <v>1</v>
      </c>
      <c r="D11781" s="1" t="str">
        <f>"10298"</f>
        <v>10298</v>
      </c>
      <c r="E11781" s="1" t="s">
        <v>24</v>
      </c>
      <c r="F11781" s="1">
        <v>13</v>
      </c>
      <c r="G11781" s="1">
        <v>10</v>
      </c>
      <c r="H11781" s="1">
        <v>0</v>
      </c>
      <c r="I11781" s="1" t="s">
        <v>24258</v>
      </c>
      <c r="K11781" s="1" t="str">
        <f t="shared" si="744"/>
        <v>ㄜ</v>
      </c>
      <c r="M11781" s="1" t="str">
        <f t="shared" si="745"/>
        <v/>
      </c>
      <c r="N11781" s="3" t="s">
        <v>30574</v>
      </c>
      <c r="O11781" s="3"/>
      <c r="P11781" s="1" t="s">
        <v>20</v>
      </c>
      <c r="R11781" s="1" t="s">
        <v>24259</v>
      </c>
      <c r="V11781" s="1" t="s">
        <v>24324</v>
      </c>
      <c r="AR11781" s="1" t="str">
        <f t="shared" si="747"/>
        <v>| [ㄜˋ](ㄜˋ.md) | [搤](搤.md) |  | è | 同「扼」。 |</v>
      </c>
    </row>
    <row r="11782" spans="1:44" hidden="1">
      <c r="A11782" s="1" t="s">
        <v>24325</v>
      </c>
      <c r="C11782" s="1">
        <v>1</v>
      </c>
      <c r="D11782" s="1" t="str">
        <f>"10299"</f>
        <v>10299</v>
      </c>
      <c r="E11782" s="1" t="s">
        <v>691</v>
      </c>
      <c r="F11782" s="1">
        <v>13</v>
      </c>
      <c r="G11782" s="1">
        <v>10</v>
      </c>
      <c r="H11782" s="1">
        <v>2</v>
      </c>
      <c r="I11782" s="1" t="s">
        <v>24258</v>
      </c>
      <c r="K11782" s="1" t="str">
        <f t="shared" si="744"/>
        <v>ㄜ</v>
      </c>
      <c r="M11782" s="1" t="str">
        <f t="shared" si="745"/>
        <v/>
      </c>
      <c r="N11782" s="3" t="s">
        <v>30574</v>
      </c>
      <c r="O11782" s="3"/>
      <c r="P11782" s="1" t="s">
        <v>20</v>
      </c>
      <c r="R11782" s="1" t="s">
        <v>24259</v>
      </c>
      <c r="V11782" s="1" t="s">
        <v>24326</v>
      </c>
      <c r="W11782" s="1" t="s">
        <v>24327</v>
      </c>
      <c r="AR11782" s="1" t="str">
        <f t="shared" si="747"/>
        <v>| [ㄜˋ](ㄜˋ.md) | [隘](隘.md) |  | è | [動]
1.隔絕。《戰國策．東周策》：「三國隘秦。」
2.阻止。《戰國策．楚策二》：「懷王薨，太子辭於齊王而歸，齊王隘之。」 |</v>
      </c>
    </row>
    <row r="11783" spans="1:44" hidden="1">
      <c r="A11783" s="1" t="s">
        <v>24328</v>
      </c>
      <c r="C11783" s="1">
        <v>1</v>
      </c>
      <c r="D11783" s="1" t="str">
        <f>"10300"</f>
        <v>10300</v>
      </c>
      <c r="E11783" s="1" t="s">
        <v>558</v>
      </c>
      <c r="F11783" s="1">
        <v>13</v>
      </c>
      <c r="G11783" s="1">
        <v>9</v>
      </c>
      <c r="H11783" s="1">
        <v>0</v>
      </c>
      <c r="I11783" s="1" t="s">
        <v>24258</v>
      </c>
      <c r="K11783" s="1" t="str">
        <f t="shared" si="744"/>
        <v>ㄜ</v>
      </c>
      <c r="M11783" s="1" t="str">
        <f t="shared" si="745"/>
        <v/>
      </c>
      <c r="N11783" s="3" t="s">
        <v>30574</v>
      </c>
      <c r="O11783" s="3"/>
      <c r="P11783" s="1" t="s">
        <v>20</v>
      </c>
      <c r="R11783" s="1" t="s">
        <v>24259</v>
      </c>
      <c r="V11783" s="1" t="s">
        <v>24329</v>
      </c>
      <c r="AR11783" s="1" t="str">
        <f t="shared" si="747"/>
        <v>| [ㄜˋ](ㄜˋ.md) | [遏](遏.md) |  | è | [動]
1.阻止、禁絕。《詩經．大雅．民勞》：「式遏寇虐，憯不畏明。」《元史．卷一七四．夾谷之奇傳》：「歲大旱，有司議平穀價，以遏騰涌之患。」
2.及。《爾雅．釋言》：「遏、遾，逮也。」晉．郭璞．注：「東齊曰遏，北燕曰遾，皆相及逮。」
3.傷害。《詩經．大雅．文王》：「命之不易，無遏爾躬。」
[名]
姓。如清代有遏必隆。 |</v>
      </c>
    </row>
    <row r="11784" spans="1:44" hidden="1">
      <c r="A11784" s="1" t="s">
        <v>24330</v>
      </c>
      <c r="C11784" s="1">
        <v>1</v>
      </c>
      <c r="D11784" s="1" t="str">
        <f>"10301"</f>
        <v>10301</v>
      </c>
      <c r="E11784" s="1" t="s">
        <v>684</v>
      </c>
      <c r="F11784" s="1">
        <v>15</v>
      </c>
      <c r="G11784" s="1">
        <v>6</v>
      </c>
      <c r="H11784" s="1">
        <v>0</v>
      </c>
      <c r="I11784" s="1" t="s">
        <v>24258</v>
      </c>
      <c r="K11784" s="1" t="str">
        <f t="shared" si="744"/>
        <v>ㄜ</v>
      </c>
      <c r="M11784" s="1" t="str">
        <f t="shared" si="745"/>
        <v/>
      </c>
      <c r="N11784" s="3" t="s">
        <v>30574</v>
      </c>
      <c r="O11784" s="3"/>
      <c r="P11784" s="1" t="s">
        <v>20</v>
      </c>
      <c r="R11784" s="1" t="s">
        <v>24259</v>
      </c>
      <c r="V11784" s="1" t="s">
        <v>24331</v>
      </c>
      <c r="AR11784" s="1" t="str">
        <f t="shared" si="747"/>
        <v>| [ㄜˋ](ㄜˋ.md) | [頞](頞.md) |  | è | [名]
鼻梁。《說文解字．頁部》：「頞，鼻莖也。」《文選．揚雄．解嘲》：「蔡澤，山東之匹夫也，顩頤折頞，涕唾流沫。」 |</v>
      </c>
    </row>
    <row r="11785" spans="1:44" hidden="1">
      <c r="A11785" s="1" t="s">
        <v>24332</v>
      </c>
      <c r="C11785" s="1">
        <v>1</v>
      </c>
      <c r="D11785" s="1" t="str">
        <f>"10302"</f>
        <v>10302</v>
      </c>
      <c r="E11785" s="1" t="s">
        <v>28</v>
      </c>
      <c r="F11785" s="1">
        <v>16</v>
      </c>
      <c r="G11785" s="1">
        <v>13</v>
      </c>
      <c r="H11785" s="1">
        <v>0</v>
      </c>
      <c r="I11785" s="1" t="s">
        <v>24258</v>
      </c>
      <c r="K11785" s="1" t="str">
        <f t="shared" si="744"/>
        <v>ㄜ</v>
      </c>
      <c r="M11785" s="1" t="str">
        <f t="shared" si="745"/>
        <v/>
      </c>
      <c r="N11785" s="3" t="s">
        <v>30574</v>
      </c>
      <c r="O11785" s="3"/>
      <c r="P11785" s="1" t="s">
        <v>20</v>
      </c>
      <c r="R11785" s="1" t="s">
        <v>24259</v>
      </c>
      <c r="V11785" s="1" t="s">
        <v>24333</v>
      </c>
      <c r="AR11785" s="1" t="str">
        <f t="shared" si="747"/>
        <v>| [ㄜˋ](ㄜˋ.md) | [噩](噩.md) |  | è | [形]
1.驚恐而嚇人的。如：「噩耗」。《周禮．春官．占夢》：「以日月星辰占六夢之吉凶，一曰正夢，二曰噩夢。」宋．范成大〈江州庾樓夜宴〉詩：「客從三峽來，噩夢隨奔瀧。」
2.嚴肅的樣子。漢．賈誼《新書．卷八．勸學》：「既過老聃，噩若慈父。」漢．揚雄《法言．問神》：「虞夏之書渾渾爾，商書灝灝爾，周書噩噩爾。」 |</v>
      </c>
    </row>
    <row r="11786" spans="1:44" hidden="1">
      <c r="A11786" s="1" t="s">
        <v>24334</v>
      </c>
      <c r="C11786" s="1">
        <v>1</v>
      </c>
      <c r="D11786" s="1" t="str">
        <f>"10303"</f>
        <v>10303</v>
      </c>
      <c r="E11786" s="1" t="s">
        <v>37</v>
      </c>
      <c r="F11786" s="1">
        <v>20</v>
      </c>
      <c r="G11786" s="1">
        <v>16</v>
      </c>
      <c r="H11786" s="1">
        <v>1</v>
      </c>
      <c r="I11786" s="1" t="s">
        <v>24258</v>
      </c>
      <c r="K11786" s="1" t="str">
        <f t="shared" si="744"/>
        <v>ㄜ</v>
      </c>
      <c r="M11786" s="1" t="str">
        <f t="shared" si="745"/>
        <v/>
      </c>
      <c r="N11786" s="3" t="s">
        <v>30574</v>
      </c>
      <c r="O11786" s="3"/>
      <c r="P11786" s="1" t="s">
        <v>20</v>
      </c>
      <c r="R11786" s="1" t="s">
        <v>24259</v>
      </c>
      <c r="V11786" s="1" t="s">
        <v>24335</v>
      </c>
      <c r="W11786" s="1" t="s">
        <v>24336</v>
      </c>
      <c r="AR11786" s="1" t="str">
        <f t="shared" si="747"/>
        <v>| [ㄜˋ](ㄜˋ.md) | [蘁](蘁.md) |  | è | [形]
驚駭的。通「噩」。《列子．周穆王》：「一曰正夢，二曰蘁夢。」 |</v>
      </c>
    </row>
    <row r="11787" spans="1:44" hidden="1">
      <c r="A11787" s="1" t="s">
        <v>24337</v>
      </c>
      <c r="C11787" s="1">
        <v>1</v>
      </c>
      <c r="D11787" s="1" t="str">
        <f>"10304"</f>
        <v>10304</v>
      </c>
      <c r="E11787" s="1" t="s">
        <v>156</v>
      </c>
      <c r="F11787" s="1">
        <v>27</v>
      </c>
      <c r="G11787" s="1">
        <v>16</v>
      </c>
      <c r="H11787" s="1">
        <v>0</v>
      </c>
      <c r="I11787" s="1" t="s">
        <v>24258</v>
      </c>
      <c r="K11787" s="1" t="str">
        <f t="shared" si="744"/>
        <v>ㄜ</v>
      </c>
      <c r="M11787" s="1" t="str">
        <f t="shared" si="745"/>
        <v/>
      </c>
      <c r="N11787" s="3" t="s">
        <v>30574</v>
      </c>
      <c r="O11787" s="3"/>
      <c r="P11787" s="1" t="s">
        <v>20</v>
      </c>
      <c r="R11787" s="1" t="s">
        <v>24259</v>
      </c>
      <c r="V11787" s="1" t="s">
        <v>24338</v>
      </c>
      <c r="AR11787" s="1" t="str">
        <f t="shared" si="747"/>
        <v>| [ㄜˋ](ㄜˋ.md) | [鱷](鱷.md) |  | è | [名]
爬蟲類鱷目的通稱。體型龐大，長者可至丈餘，吻長而廣，齒銳，上頜骨有一缺刻，以嵌合第四下頜齒，鱗甲堅硬，其四足均有蹼狀，可使鱷在淤泥上行走。性情凶猛，平時喜棲沼澤中，而以魚、鳥、哺乳類等小型動物為食，偶亦侵犯人。產於熱帶及亞熱帶地區。 |</v>
      </c>
    </row>
    <row r="11788" spans="1:44" hidden="1">
      <c r="A11788" s="1" t="s">
        <v>24339</v>
      </c>
      <c r="C11788" s="1">
        <v>1</v>
      </c>
      <c r="D11788" s="1" t="str">
        <f>"10305"</f>
        <v>10305</v>
      </c>
      <c r="E11788" s="1" t="s">
        <v>709</v>
      </c>
      <c r="F11788" s="1">
        <v>16</v>
      </c>
      <c r="G11788" s="1">
        <v>8</v>
      </c>
      <c r="H11788" s="1">
        <v>1</v>
      </c>
      <c r="I11788" s="1" t="s">
        <v>24258</v>
      </c>
      <c r="K11788" s="1" t="str">
        <f t="shared" si="744"/>
        <v>ㄜ</v>
      </c>
      <c r="M11788" s="1" t="str">
        <f t="shared" si="745"/>
        <v/>
      </c>
      <c r="N11788" s="3" t="s">
        <v>30574</v>
      </c>
      <c r="O11788" s="3"/>
      <c r="P11788" s="1" t="s">
        <v>20</v>
      </c>
      <c r="R11788" s="1" t="s">
        <v>24259</v>
      </c>
      <c r="V11788" s="1" t="s">
        <v>24340</v>
      </c>
      <c r="W11788" s="1" t="s">
        <v>24341</v>
      </c>
      <c r="AR11788" s="1" t="str">
        <f t="shared" si="747"/>
        <v>| [ㄜˋ](ㄜˋ.md) | [閼](閼.md) |  | è | [動]
阻塞、壅塞。《列子．楊朱》：「夫耳之所欲聞者音聲，而不得聽，謂之閼聰；目之所欲見者美色，而不得視，謂之閼明。」唐．劉禹錫〈唐故衡州刺史呂君集序〉：「孰能閼其勢，而爭夫光者乎？」
[名]
遮擋的器物。《荀子．禮論》：「抗折，其䫉以象槾茨番閼也。」唐．楊倞．注：「閼謂門戶壅閼風塵者。」《漢書．卷八九．循吏傳．召信臣傳》：「開通溝瀆，起水門提閼凡數十處，以廣溉灌。」 |</v>
      </c>
    </row>
    <row r="11789" spans="1:44" hidden="1">
      <c r="A11789" s="1" t="s">
        <v>24342</v>
      </c>
      <c r="C11789" s="1">
        <v>1</v>
      </c>
      <c r="D11789" s="1" t="str">
        <f>"10306"</f>
        <v>10306</v>
      </c>
      <c r="E11789" s="1" t="s">
        <v>558</v>
      </c>
      <c r="F11789" s="1">
        <v>16</v>
      </c>
      <c r="G11789" s="1">
        <v>12</v>
      </c>
      <c r="H11789" s="1">
        <v>1</v>
      </c>
      <c r="I11789" s="1" t="s">
        <v>24258</v>
      </c>
      <c r="K11789" s="1" t="str">
        <f t="shared" si="744"/>
        <v>ㄜ</v>
      </c>
      <c r="M11789" s="1" t="str">
        <f t="shared" si="745"/>
        <v/>
      </c>
      <c r="N11789" s="3" t="s">
        <v>30574</v>
      </c>
      <c r="O11789" s="3"/>
      <c r="P11789" s="1" t="s">
        <v>20</v>
      </c>
      <c r="R11789" s="1" t="s">
        <v>24259</v>
      </c>
      <c r="V11789" s="1" t="s">
        <v>24343</v>
      </c>
      <c r="W11789" s="1" t="s">
        <v>24344</v>
      </c>
      <c r="AR11789" s="1" t="str">
        <f t="shared" si="747"/>
        <v>| [ㄜˋ](ㄜˋ.md) | [遻](遻.md) |  | è | [動]
意外相遇。《爾雅．釋詁下》：「遻，見也。」晉．郭璞．注：「行而相值即見。」 |</v>
      </c>
    </row>
    <row r="11790" spans="1:44" hidden="1">
      <c r="A11790" s="1" t="s">
        <v>24345</v>
      </c>
      <c r="C11790" s="1">
        <v>1</v>
      </c>
      <c r="D11790" s="1" t="str">
        <f>"10307"</f>
        <v>10307</v>
      </c>
      <c r="E11790" s="1" t="s">
        <v>193</v>
      </c>
      <c r="F11790" s="1">
        <v>16</v>
      </c>
      <c r="G11790" s="1">
        <v>8</v>
      </c>
      <c r="H11790" s="1">
        <v>0</v>
      </c>
      <c r="I11790" s="1" t="s">
        <v>24258</v>
      </c>
      <c r="K11790" s="1" t="str">
        <f t="shared" si="744"/>
        <v>ㄜ</v>
      </c>
      <c r="M11790" s="1" t="str">
        <f t="shared" si="745"/>
        <v/>
      </c>
      <c r="N11790" s="3" t="s">
        <v>30574</v>
      </c>
      <c r="O11790" s="3"/>
      <c r="P11790" s="1" t="s">
        <v>20</v>
      </c>
      <c r="R11790" s="1" t="s">
        <v>24259</v>
      </c>
      <c r="V11790" s="1" t="s">
        <v>24346</v>
      </c>
      <c r="AR11790" s="1" t="str">
        <f t="shared" si="747"/>
        <v>| [ㄜˋ](ㄜˋ.md) | [餩](餩.md) |  | è | [動]
食物哽住喉嚨，吞嚥不下而氣不順。《玉篇．食部》：「餩，噎也。」 |</v>
      </c>
    </row>
    <row r="11791" spans="1:44" hidden="1">
      <c r="A11791" s="1" t="s">
        <v>24198</v>
      </c>
      <c r="C11791" s="1">
        <v>1</v>
      </c>
      <c r="D11791" s="1" t="str">
        <f>"10240"</f>
        <v>10240</v>
      </c>
      <c r="E11791" s="1" t="s">
        <v>28</v>
      </c>
      <c r="F11791" s="1">
        <v>7</v>
      </c>
      <c r="G11791" s="1">
        <v>4</v>
      </c>
      <c r="H11791" s="1">
        <v>0</v>
      </c>
      <c r="I11791" s="1" t="s">
        <v>24199</v>
      </c>
      <c r="K11791" s="1" t="str">
        <f t="shared" si="744"/>
        <v>ㄜ</v>
      </c>
      <c r="M11791" s="1" t="str">
        <f t="shared" si="745"/>
        <v/>
      </c>
      <c r="N11791" s="3" t="s">
        <v>30575</v>
      </c>
      <c r="O11791" s="3"/>
      <c r="P11791" s="1" t="s">
        <v>20</v>
      </c>
      <c r="R11791" s="1" t="s">
        <v>24200</v>
      </c>
      <c r="V11791" s="1" t="s">
        <v>24201</v>
      </c>
      <c r="AR11791" s="1" t="str">
        <f t="shared" si="747"/>
        <v>| [ㄜˊ](ㄜˊ.md) | [吪](吪.md) |  | é | [動]
1.行動。《說文解字．口部》：「吪，動也。」《詩經．王風．兔爰》：「我生之後，逢此百罹。尚寐無吪！」唐．郤昂〈岐邠涇寧四州八馬坊頌碑〉：「如龍如彪，或寢或吪。」
2.感化。《詩經．豳風．破斧》：「周公東征，四國是吪。」漢．毛亨．傳：「吪，化也。」 |</v>
      </c>
    </row>
    <row r="11792" spans="1:44" hidden="1">
      <c r="A11792" s="1" t="s">
        <v>24202</v>
      </c>
      <c r="C11792" s="1">
        <v>1</v>
      </c>
      <c r="D11792" s="1" t="str">
        <f>"10241"</f>
        <v>10241</v>
      </c>
      <c r="E11792" s="1" t="s">
        <v>2557</v>
      </c>
      <c r="F11792" s="1">
        <v>7</v>
      </c>
      <c r="G11792" s="1">
        <v>4</v>
      </c>
      <c r="H11792" s="1">
        <v>1</v>
      </c>
      <c r="I11792" s="1" t="s">
        <v>24199</v>
      </c>
      <c r="K11792" s="1" t="str">
        <f t="shared" si="744"/>
        <v>ㄜ</v>
      </c>
      <c r="M11792" s="1" t="str">
        <f t="shared" si="745"/>
        <v/>
      </c>
      <c r="N11792" s="3" t="s">
        <v>30575</v>
      </c>
      <c r="O11792" s="3"/>
      <c r="P11792" s="1" t="s">
        <v>20</v>
      </c>
      <c r="R11792" s="1" t="s">
        <v>24200</v>
      </c>
      <c r="V11792" s="1" t="s">
        <v>24203</v>
      </c>
      <c r="W11792" s="1" t="s">
        <v>24204</v>
      </c>
      <c r="AR11792" s="1" t="str">
        <f t="shared" si="747"/>
        <v>| [ㄜˊ](ㄜˊ.md) | [囮](囮.md) |  | é | [名]
鳥媒。即用以誘捕同類鳥的鳥。《廣韻．平聲．戈韻》：「囮，網鳥者媒。」
[動]
以威嚇的手段詐取財物。通「訛」。《儒林外史》第四二回：「被幾個喇子囮著，把衣服都剝掉了。」 |</v>
      </c>
    </row>
    <row r="11793" spans="1:44" hidden="1">
      <c r="A11793" s="1" t="s">
        <v>24205</v>
      </c>
      <c r="C11793" s="1">
        <v>1</v>
      </c>
      <c r="D11793" s="1" t="str">
        <f>"10242"</f>
        <v>10242</v>
      </c>
      <c r="E11793" s="1" t="s">
        <v>331</v>
      </c>
      <c r="F11793" s="1">
        <v>11</v>
      </c>
      <c r="G11793" s="1">
        <v>4</v>
      </c>
      <c r="H11793" s="1">
        <v>0</v>
      </c>
      <c r="I11793" s="1" t="s">
        <v>24199</v>
      </c>
      <c r="K11793" s="1" t="str">
        <f t="shared" si="744"/>
        <v>ㄜ</v>
      </c>
      <c r="M11793" s="1" t="str">
        <f t="shared" si="745"/>
        <v/>
      </c>
      <c r="N11793" s="3" t="s">
        <v>30575</v>
      </c>
      <c r="O11793" s="3"/>
      <c r="P11793" s="1" t="s">
        <v>20</v>
      </c>
      <c r="R11793" s="1" t="s">
        <v>24200</v>
      </c>
      <c r="V11793" s="1" t="s">
        <v>24206</v>
      </c>
      <c r="AR11793" s="1" t="str">
        <f t="shared" si="747"/>
        <v>| [ㄜˊ](ㄜˊ.md) | [訛](訛.md) |  | é | [名]_x000D_
1.錯誤。宋．朱熹〈山北紀行〉：「百世踵謬訛，彞倫日頹圮。」_x000D_
2.謠言。如：「以訛傳訛」。《宋史．卷二九三．張詠傳》：「止訛之術，在乎識斷。」_x000D_
3.姓。如宋代有訛勃囉。_x000D_
[形]_x000D_
不正確的、不實在的。如：「訛字」。《詩經．小雅．沔水》：「民之訛言，寧莫之懲。」_x000D_
[動]_x000D_
1.欺騙、恐嚇。如：「訛詐」。《紅樓夢》第四八回：「訛他拖欠官銀，拿他到衙門裡去。」_x000D_
2.感化。《書經．堯典》：「申命羲叔，宅南交，平秩南訛。」《詩經．小雅．節南山》：「式訛爾心，以畜萬邦。」 |</v>
      </c>
    </row>
    <row r="11794" spans="1:44" hidden="1">
      <c r="A11794" s="1" t="s">
        <v>24207</v>
      </c>
      <c r="C11794" s="1">
        <v>1</v>
      </c>
      <c r="D11794" s="1" t="str">
        <f>"10243"</f>
        <v>10243</v>
      </c>
      <c r="E11794" s="1" t="s">
        <v>114</v>
      </c>
      <c r="F11794" s="1">
        <v>9</v>
      </c>
      <c r="G11794" s="1">
        <v>7</v>
      </c>
      <c r="H11794" s="1">
        <v>0</v>
      </c>
      <c r="I11794" s="1" t="s">
        <v>24199</v>
      </c>
      <c r="K11794" s="1" t="str">
        <f t="shared" si="744"/>
        <v>ㄜ</v>
      </c>
      <c r="M11794" s="1" t="str">
        <f t="shared" si="745"/>
        <v/>
      </c>
      <c r="N11794" s="3" t="s">
        <v>30575</v>
      </c>
      <c r="O11794" s="3"/>
      <c r="P11794" s="1" t="s">
        <v>20</v>
      </c>
      <c r="R11794" s="1" t="s">
        <v>24200</v>
      </c>
      <c r="V11794" s="1" t="s">
        <v>24208</v>
      </c>
      <c r="AR11794" s="1" t="str">
        <f t="shared" si="747"/>
        <v>| [ㄜˊ](ㄜˊ.md) | [俄](俄.md) |  | é | [副]
須臾、片刻。《說文解字．人部》：「俄，頃也。」《列子．力命》：「俄而季梁之疾自瘳。」唐．沈千運〈贈史修文〉：「念離宛猶昨，俄已經數期。」
[形]
傾斜。《詩經．小雅．賓之初筵》：「是曰既醉，不知其郵；側弁之俄，屢舞傞傞。」漢．毛亨．傳：「俄，傾貌。」
[名]
俄羅斯共和國的簡稱。舊音ㄜˋ è。 |</v>
      </c>
    </row>
    <row r="11795" spans="1:44" hidden="1">
      <c r="A11795" s="1" t="s">
        <v>24173</v>
      </c>
      <c r="C11795" s="1">
        <v>1</v>
      </c>
      <c r="D11795" s="1" t="str">
        <f>"10244"</f>
        <v>10244</v>
      </c>
      <c r="E11795" s="1" t="s">
        <v>28</v>
      </c>
      <c r="F11795" s="1">
        <v>10</v>
      </c>
      <c r="G11795" s="1">
        <v>7</v>
      </c>
      <c r="H11795" s="1">
        <v>1</v>
      </c>
      <c r="I11795" s="1" t="s">
        <v>24199</v>
      </c>
      <c r="K11795" s="1" t="str">
        <f t="shared" si="744"/>
        <v>ㄜ</v>
      </c>
      <c r="M11795" s="1" t="str">
        <f t="shared" si="745"/>
        <v/>
      </c>
      <c r="N11795" s="3" t="s">
        <v>30575</v>
      </c>
      <c r="O11795" s="3"/>
      <c r="P11795" s="1" t="s">
        <v>20</v>
      </c>
      <c r="R11795" s="1" t="s">
        <v>24200</v>
      </c>
      <c r="V11795" s="1" t="s">
        <v>24209</v>
      </c>
      <c r="W11795" s="1" t="s">
        <v>24210</v>
      </c>
      <c r="AR11795" s="1" t="str">
        <f t="shared" si="747"/>
        <v>| [ㄜˊ](ㄜˊ.md) | [哦](哦.md) |  | é | [動]_x000D_
吟唱、吟詠。如：「吟哦」。唐．韓愈〈藍田縣丞廳壁記〉：「對樹二松，日哦其間。」宋．楊萬里〈雨夜〉詩：「歲晚能無感，詩成只獨哦。」 |</v>
      </c>
    </row>
    <row r="11796" spans="1:44" hidden="1">
      <c r="A11796" s="1" t="s">
        <v>24211</v>
      </c>
      <c r="C11796" s="1">
        <v>1</v>
      </c>
      <c r="D11796" s="1" t="str">
        <f>"10245"</f>
        <v>10245</v>
      </c>
      <c r="E11796" s="1" t="s">
        <v>190</v>
      </c>
      <c r="F11796" s="1">
        <v>10</v>
      </c>
      <c r="G11796" s="1">
        <v>7</v>
      </c>
      <c r="H11796" s="1">
        <v>0</v>
      </c>
      <c r="I11796" s="1" t="s">
        <v>24199</v>
      </c>
      <c r="K11796" s="1" t="str">
        <f t="shared" si="744"/>
        <v>ㄜ</v>
      </c>
      <c r="M11796" s="1" t="str">
        <f t="shared" si="745"/>
        <v/>
      </c>
      <c r="N11796" s="3" t="s">
        <v>30575</v>
      </c>
      <c r="O11796" s="3"/>
      <c r="P11796" s="1" t="s">
        <v>20</v>
      </c>
      <c r="R11796" s="1" t="s">
        <v>24200</v>
      </c>
      <c r="V11796" s="1" t="s">
        <v>24212</v>
      </c>
      <c r="AR11796" s="1" t="str">
        <f t="shared" si="747"/>
        <v>| [ㄜˊ](ㄜˊ.md) | [峨](峨.md) |  | é | [名]
峨嵋山的簡稱。《新唐書．卷一二三．盧藏用傳》：「登衡、廬，彷洋岷、峨。」宋．陸游〈秋夜獨醉戲題〉詩：「莫恨久為峨下客，江湖歸去得雄誇。」
[形]
高聳。如：「巍峨」。《楚辭．劉向．九歎．憂苦》：「聽玄鶴之晨鳴兮，于高岡之峨峨。」 |</v>
      </c>
    </row>
    <row r="11797" spans="1:44" hidden="1">
      <c r="A11797" s="1" t="s">
        <v>24213</v>
      </c>
      <c r="C11797" s="1">
        <v>1</v>
      </c>
      <c r="D11797" s="1" t="str">
        <f>"10246"</f>
        <v>10246</v>
      </c>
      <c r="E11797" s="1" t="s">
        <v>534</v>
      </c>
      <c r="F11797" s="1">
        <v>10</v>
      </c>
      <c r="G11797" s="1">
        <v>7</v>
      </c>
      <c r="H11797" s="1">
        <v>0</v>
      </c>
      <c r="I11797" s="1" t="s">
        <v>24199</v>
      </c>
      <c r="K11797" s="1" t="str">
        <f t="shared" si="744"/>
        <v>ㄜ</v>
      </c>
      <c r="M11797" s="1" t="str">
        <f t="shared" si="745"/>
        <v/>
      </c>
      <c r="N11797" s="3" t="s">
        <v>30575</v>
      </c>
      <c r="O11797" s="3"/>
      <c r="P11797" s="1" t="s">
        <v>20</v>
      </c>
      <c r="R11797" s="1" t="s">
        <v>24200</v>
      </c>
      <c r="V11797" s="1" t="s">
        <v>24214</v>
      </c>
      <c r="AR11797" s="1" t="str">
        <f t="shared" si="747"/>
        <v>| [ㄜˊ](ㄜˊ.md) | [娥](娥.md) |  | é | [形]
美好的樣子。《廣韻．平聲．歌韻》：「娥，美好也。」《文選．枚乘．七發》：「皓齒娥眉，命曰伐性之斧。」
[名]
美女。如：「宮娥」。《文選．陸機．擬古詩十二首．擬今日良宴會》：「齊僮梁甫吟，秦娥張女彈。」宋．梅堯臣〈牡丹〉詩：「及來江南花亦好，絳紫淺紅如舞娥。」 |</v>
      </c>
    </row>
    <row r="11798" spans="1:44" hidden="1">
      <c r="A11798" s="1" t="s">
        <v>24215</v>
      </c>
      <c r="C11798" s="1">
        <v>1</v>
      </c>
      <c r="D11798" s="1" t="str">
        <f>"10247"</f>
        <v>10247</v>
      </c>
      <c r="E11798" s="1" t="s">
        <v>37</v>
      </c>
      <c r="F11798" s="1">
        <v>11</v>
      </c>
      <c r="G11798" s="1">
        <v>7</v>
      </c>
      <c r="H11798" s="1">
        <v>0</v>
      </c>
      <c r="I11798" s="1" t="s">
        <v>24199</v>
      </c>
      <c r="K11798" s="1" t="str">
        <f t="shared" si="744"/>
        <v>ㄜ</v>
      </c>
      <c r="M11798" s="1" t="str">
        <f t="shared" si="745"/>
        <v/>
      </c>
      <c r="N11798" s="3" t="s">
        <v>30575</v>
      </c>
      <c r="O11798" s="3"/>
      <c r="P11798" s="1" t="s">
        <v>20</v>
      </c>
      <c r="R11798" s="1" t="s">
        <v>24200</v>
      </c>
      <c r="V11798" s="1" t="s">
        <v>24216</v>
      </c>
      <c r="AR11798" s="1" t="str">
        <f t="shared" si="747"/>
        <v>| [ㄜˊ](ㄜˊ.md) | [莪](莪.md) |  | é | [名]
植物名。即莪蒿。石竹科王不留行屬，「莪蒿」之古稱，參見「莪蒿」條。 |</v>
      </c>
    </row>
    <row r="11799" spans="1:44" hidden="1">
      <c r="A11799" s="1" t="s">
        <v>24217</v>
      </c>
      <c r="C11799" s="1">
        <v>1</v>
      </c>
      <c r="D11799" s="1" t="str">
        <f>"10248"</f>
        <v>10248</v>
      </c>
      <c r="E11799" s="1" t="s">
        <v>169</v>
      </c>
      <c r="F11799" s="1">
        <v>12</v>
      </c>
      <c r="G11799" s="1">
        <v>7</v>
      </c>
      <c r="H11799" s="1">
        <v>1</v>
      </c>
      <c r="I11799" s="1" t="s">
        <v>24199</v>
      </c>
      <c r="K11799" s="1" t="str">
        <f t="shared" si="744"/>
        <v>ㄜ</v>
      </c>
      <c r="M11799" s="1" t="str">
        <f t="shared" si="745"/>
        <v/>
      </c>
      <c r="N11799" s="3" t="s">
        <v>30575</v>
      </c>
      <c r="O11799" s="3"/>
      <c r="P11799" s="1" t="s">
        <v>20</v>
      </c>
      <c r="R11799" s="1" t="s">
        <v>24200</v>
      </c>
      <c r="V11799" s="1" t="s">
        <v>24218</v>
      </c>
      <c r="W11799" s="1" t="s">
        <v>24219</v>
      </c>
      <c r="AR11799" s="1" t="str">
        <f t="shared" si="747"/>
        <v>| [ㄜˊ](ㄜˊ.md) | [硪](硪.md) |  | é | [名]
石巖。《廣韻．平聲．歌韻》：「硪，《說文》曰：『石巖也。』」 |</v>
      </c>
    </row>
    <row r="11800" spans="1:44" hidden="1">
      <c r="A11800" s="1" t="s">
        <v>24220</v>
      </c>
      <c r="C11800" s="1">
        <v>1</v>
      </c>
      <c r="D11800" s="1" t="str">
        <f>"10249"</f>
        <v>10249</v>
      </c>
      <c r="E11800" s="1" t="s">
        <v>1015</v>
      </c>
      <c r="F11800" s="1">
        <v>12</v>
      </c>
      <c r="G11800" s="1">
        <v>7</v>
      </c>
      <c r="H11800" s="1">
        <v>0</v>
      </c>
      <c r="I11800" s="1" t="s">
        <v>24199</v>
      </c>
      <c r="K11800" s="1" t="str">
        <f t="shared" si="744"/>
        <v>ㄜ</v>
      </c>
      <c r="M11800" s="1" t="str">
        <f t="shared" si="745"/>
        <v/>
      </c>
      <c r="N11800" s="3" t="s">
        <v>30575</v>
      </c>
      <c r="O11800" s="3"/>
      <c r="P11800" s="1" t="s">
        <v>20</v>
      </c>
      <c r="R11800" s="1" t="s">
        <v>24200</v>
      </c>
      <c r="V11800" s="1" t="s">
        <v>24221</v>
      </c>
      <c r="AR11800" s="1" t="str">
        <f t="shared" si="747"/>
        <v>| [ㄜˊ](ㄜˊ.md) | [睋](睋.md) |  | é | [動]
視。《文選．班固．西都賦》：「於是睎秦嶺，睋北阜。」 |</v>
      </c>
    </row>
    <row r="11801" spans="1:44" hidden="1">
      <c r="A11801" s="1" t="s">
        <v>24222</v>
      </c>
      <c r="C11801" s="1">
        <v>1</v>
      </c>
      <c r="D11801" s="1" t="str">
        <f>"10250"</f>
        <v>10250</v>
      </c>
      <c r="E11801" s="1" t="s">
        <v>679</v>
      </c>
      <c r="F11801" s="1">
        <v>13</v>
      </c>
      <c r="G11801" s="1">
        <v>7</v>
      </c>
      <c r="H11801" s="1">
        <v>1</v>
      </c>
      <c r="I11801" s="1" t="s">
        <v>24199</v>
      </c>
      <c r="K11801" s="1" t="str">
        <f t="shared" si="744"/>
        <v>ㄜ</v>
      </c>
      <c r="M11801" s="1" t="str">
        <f t="shared" si="745"/>
        <v/>
      </c>
      <c r="N11801" s="3" t="s">
        <v>30575</v>
      </c>
      <c r="O11801" s="3"/>
      <c r="P11801" s="1" t="s">
        <v>20</v>
      </c>
      <c r="R11801" s="1" t="s">
        <v>24200</v>
      </c>
      <c r="V11801" s="1" t="s">
        <v>24223</v>
      </c>
      <c r="W11801" s="1" t="s">
        <v>24224</v>
      </c>
      <c r="AR11801" s="1" t="str">
        <f t="shared" si="747"/>
        <v>| [ㄜˊ](ㄜˊ.md) | [蛾](蛾.md) |  | é | [名]_x000D_
1.一種昆蟲的總稱。與蝶相類而軀體肥大，觸角細長如絲，翅面灰白色，靜止時呈水平放置，大都屬於晝伏夜出。其種類甚多，有天蛾、蠶蛾、燈蛾等。_x000D_
2.蛾眉的簡稱。指畫得像蠶蛾觸鬚般的眉毛。東周戰國．宋玉〈神女賦〉：「眉聯娟以蛾揚兮，朱脣的其若丹。」明．陳與郊《昭君出塞》：「美人！你雙蛾淡掃忒恁妝。教人追恨貪狼！」_x000D_
3.形狀像蛾的真菌子實體。如木耳也稱為「木蛾」，桑耳也稱為「桑蛾」，柳樹上之木耳，亦稱「柳蛾」。_x000D_
4.姓。如周代時晉國有蛾析。_x000D_
[副]_x000D_
須臾、不久。通「俄」。《漢書．卷九七．外戚傳下．孝成班倢伃》：「始為少使，蛾而大幸。」 |</v>
      </c>
    </row>
    <row r="11802" spans="1:44" hidden="1">
      <c r="A11802" s="1" t="s">
        <v>24225</v>
      </c>
      <c r="C11802" s="1">
        <v>1</v>
      </c>
      <c r="D11802" s="1" t="str">
        <f>"10251"</f>
        <v>10251</v>
      </c>
      <c r="E11802" s="1" t="s">
        <v>55</v>
      </c>
      <c r="F11802" s="1">
        <v>15</v>
      </c>
      <c r="G11802" s="1">
        <v>7</v>
      </c>
      <c r="H11802" s="1">
        <v>0</v>
      </c>
      <c r="I11802" s="1" t="s">
        <v>24199</v>
      </c>
      <c r="K11802" s="1" t="str">
        <f t="shared" si="744"/>
        <v>ㄜ</v>
      </c>
      <c r="M11802" s="1" t="str">
        <f t="shared" si="745"/>
        <v/>
      </c>
      <c r="N11802" s="3" t="s">
        <v>30575</v>
      </c>
      <c r="O11802" s="3"/>
      <c r="P11802" s="1" t="s">
        <v>20</v>
      </c>
      <c r="R11802" s="1" t="s">
        <v>24200</v>
      </c>
      <c r="V11802" s="1" t="s">
        <v>24226</v>
      </c>
      <c r="AR11802" s="1" t="str">
        <f t="shared" si="747"/>
        <v>| [ㄜˊ](ㄜˊ.md) | [鋨](鋨.md) |  | é | [名]
（osmium，Os）化學元素。原子序76。白色帶藍的金屬，質脆硬，為密度最高的元素。鋨銥合金可用來製鋼筆筆頭或鐘錶、儀器中的軸承及唱針等。 |</v>
      </c>
    </row>
    <row r="11803" spans="1:44" hidden="1">
      <c r="A11803" s="1" t="s">
        <v>24227</v>
      </c>
      <c r="C11803" s="1">
        <v>1</v>
      </c>
      <c r="D11803" s="1" t="str">
        <f>"10252"</f>
        <v>10252</v>
      </c>
      <c r="E11803" s="1" t="s">
        <v>272</v>
      </c>
      <c r="F11803" s="1">
        <v>18</v>
      </c>
      <c r="G11803" s="1">
        <v>7</v>
      </c>
      <c r="H11803" s="1">
        <v>0</v>
      </c>
      <c r="I11803" s="1" t="s">
        <v>24199</v>
      </c>
      <c r="K11803" s="1" t="str">
        <f t="shared" ref="K11803:K11866" si="748">LEFT(I11803, 1)</f>
        <v>ㄜ</v>
      </c>
      <c r="M11803" s="1" t="str">
        <f t="shared" ref="M11803:M11866" si="749">MID(I11803, 3, 1)</f>
        <v/>
      </c>
      <c r="N11803" s="3" t="s">
        <v>30575</v>
      </c>
      <c r="O11803" s="3"/>
      <c r="P11803" s="1" t="s">
        <v>20</v>
      </c>
      <c r="R11803" s="1" t="s">
        <v>24200</v>
      </c>
      <c r="V11803" s="1" t="s">
        <v>24228</v>
      </c>
      <c r="AR11803" s="1" t="str">
        <f t="shared" si="747"/>
        <v>| [ㄜˊ](ㄜˊ.md) | [鵝](鵝.md) |  | é | [名]
1.動物名。鳥綱雁形目。似雁而較大，身白頸長，尾短，腳有蹼，善游泳，翼力弱，不能飛翔。
2.一種陣勢的名稱。參見「鵝鸛」條。 |</v>
      </c>
    </row>
    <row r="11804" spans="1:44" hidden="1">
      <c r="A11804" s="1" t="s">
        <v>10751</v>
      </c>
      <c r="C11804" s="1">
        <v>1</v>
      </c>
      <c r="D11804" s="1" t="str">
        <f>"10252A"</f>
        <v>10252A</v>
      </c>
      <c r="E11804" s="1" t="s">
        <v>679</v>
      </c>
      <c r="F11804" s="1">
        <v>11</v>
      </c>
      <c r="G11804" s="1">
        <v>5</v>
      </c>
      <c r="H11804" s="1">
        <v>2</v>
      </c>
      <c r="I11804" s="1" t="s">
        <v>24199</v>
      </c>
      <c r="K11804" s="1" t="str">
        <f t="shared" si="748"/>
        <v>ㄜ</v>
      </c>
      <c r="M11804" s="1" t="str">
        <f t="shared" si="749"/>
        <v/>
      </c>
      <c r="N11804" s="3" t="s">
        <v>30575</v>
      </c>
      <c r="O11804" s="3"/>
      <c r="P11804" s="1" t="s">
        <v>20</v>
      </c>
      <c r="R11804" s="1" t="s">
        <v>24200</v>
      </c>
      <c r="V11804" s="1" t="s">
        <v>24229</v>
      </c>
      <c r="W11804" s="1" t="s">
        <v>24230</v>
      </c>
      <c r="AR11804" s="1" t="str">
        <f t="shared" si="747"/>
        <v>| [ㄜˊ](ㄜˊ.md) | [蚵](蚵.md) |  | é | [名]
牡蠣。閩南、臺灣地區的音讀。如：「青蚵」、「蚵仔煎」。 |</v>
      </c>
    </row>
    <row r="11805" spans="1:44" hidden="1">
      <c r="A11805" s="1" t="s">
        <v>24231</v>
      </c>
      <c r="C11805" s="1">
        <v>1</v>
      </c>
      <c r="D11805" s="1" t="str">
        <f>"10253"</f>
        <v>10253</v>
      </c>
      <c r="E11805" s="1" t="s">
        <v>139</v>
      </c>
      <c r="F11805" s="1">
        <v>15</v>
      </c>
      <c r="G11805" s="1">
        <v>11</v>
      </c>
      <c r="H11805" s="1">
        <v>2</v>
      </c>
      <c r="I11805" s="1" t="s">
        <v>24199</v>
      </c>
      <c r="K11805" s="1" t="str">
        <f t="shared" si="748"/>
        <v>ㄜ</v>
      </c>
      <c r="M11805" s="1" t="str">
        <f t="shared" si="749"/>
        <v/>
      </c>
      <c r="N11805" s="3" t="s">
        <v>30575</v>
      </c>
      <c r="O11805" s="3"/>
      <c r="P11805" s="1" t="s">
        <v>110</v>
      </c>
      <c r="R11805" s="1" t="s">
        <v>24200</v>
      </c>
      <c r="V11805" s="1" t="s">
        <v>111</v>
      </c>
      <c r="W11805" s="1" t="s">
        <v>24232</v>
      </c>
      <c r="AR11805" s="1" t="str">
        <f t="shared" si="747"/>
        <v>| [ㄜˊ](ㄜˊ.md) | [𣘨](𣘨.md) |  | é | (一)之又音。 |</v>
      </c>
    </row>
    <row r="11806" spans="1:44" hidden="1">
      <c r="A11806" s="1" t="s">
        <v>24233</v>
      </c>
      <c r="C11806" s="1">
        <v>1</v>
      </c>
      <c r="D11806" s="1" t="str">
        <f>"10254"</f>
        <v>10254</v>
      </c>
      <c r="E11806" s="1" t="s">
        <v>684</v>
      </c>
      <c r="F11806" s="1">
        <v>15</v>
      </c>
      <c r="G11806" s="1">
        <v>6</v>
      </c>
      <c r="H11806" s="1">
        <v>0</v>
      </c>
      <c r="I11806" s="1" t="s">
        <v>24199</v>
      </c>
      <c r="K11806" s="1" t="str">
        <f t="shared" si="748"/>
        <v>ㄜ</v>
      </c>
      <c r="M11806" s="1" t="str">
        <f t="shared" si="749"/>
        <v/>
      </c>
      <c r="N11806" s="3" t="s">
        <v>30575</v>
      </c>
      <c r="O11806" s="3"/>
      <c r="P11806" s="1" t="s">
        <v>20</v>
      </c>
      <c r="R11806" s="1" t="s">
        <v>24200</v>
      </c>
      <c r="V11806" s="1" t="s">
        <v>24234</v>
      </c>
      <c r="AR11806" s="1" t="str">
        <f t="shared" si="747"/>
        <v>| [ㄜˊ](ㄜˊ.md) | [頟](頟.md) |  | é | 1.同「額」。
2.參見「頟頟」條。 |</v>
      </c>
    </row>
    <row r="11807" spans="1:44" hidden="1">
      <c r="A11807" s="1" t="s">
        <v>24235</v>
      </c>
      <c r="C11807" s="1">
        <v>1</v>
      </c>
      <c r="D11807" s="1" t="str">
        <f>"10255"</f>
        <v>10255</v>
      </c>
      <c r="E11807" s="1" t="s">
        <v>684</v>
      </c>
      <c r="F11807" s="1">
        <v>18</v>
      </c>
      <c r="G11807" s="1">
        <v>9</v>
      </c>
      <c r="H11807" s="1">
        <v>1</v>
      </c>
      <c r="I11807" s="1" t="s">
        <v>24199</v>
      </c>
      <c r="K11807" s="1" t="str">
        <f t="shared" si="748"/>
        <v>ㄜ</v>
      </c>
      <c r="M11807" s="1" t="str">
        <f t="shared" si="749"/>
        <v/>
      </c>
      <c r="N11807" s="3" t="s">
        <v>30575</v>
      </c>
      <c r="O11807" s="3"/>
      <c r="P11807" s="1" t="s">
        <v>20</v>
      </c>
      <c r="R11807" s="1" t="s">
        <v>24200</v>
      </c>
      <c r="V11807" s="1" t="s">
        <v>24236</v>
      </c>
      <c r="W11807" s="1" t="s">
        <v>24237</v>
      </c>
      <c r="AR11807" s="1" t="str">
        <f t="shared" si="747"/>
        <v>| [ㄜˊ](ㄜˊ.md) | [額](額.md) |  | é | [名]
1.頭前眉上髮下的部分。唐．李白〈長干行〉二首之一：「妾髮初覆額，折花門前劇。」
2.限定的數目。如：「名額」、「兵額」、「額滿為止」。《新五代史．卷四八．雜傳．劉審交傳》：「租有定額，而天下比年無閑田，民之苦樂，不可等也。」
3.匾額。如：「門額」、「廟額」。唐．貫休〈寄杭州靈隱寺宋震使君〉詩：「僧房謝朓語，寺額葛洪書。」
4.器物上首靠近頂端的部分。如：「碑額」、「簾額」。唐．姚合〈酬任疇協律夏中苦雨見寄〉詩：「溼煙凝灶額，荒草覆牆頭。」
5.姓。如清代有額宜都。 |</v>
      </c>
    </row>
    <row r="11808" spans="1:44" hidden="1">
      <c r="A11808" s="1" t="s">
        <v>24238</v>
      </c>
      <c r="C11808" s="1">
        <v>1</v>
      </c>
      <c r="D11808" s="1" t="str">
        <f>"10256"</f>
        <v>10256</v>
      </c>
      <c r="E11808" s="1" t="s">
        <v>4785</v>
      </c>
      <c r="F11808" s="1">
        <v>7</v>
      </c>
      <c r="G11808" s="1">
        <v>3</v>
      </c>
      <c r="H11808" s="1">
        <v>2</v>
      </c>
      <c r="I11808" s="1" t="s">
        <v>24239</v>
      </c>
      <c r="K11808" s="1" t="str">
        <f t="shared" si="748"/>
        <v>ㄜ</v>
      </c>
      <c r="M11808" s="1" t="str">
        <f t="shared" si="749"/>
        <v/>
      </c>
      <c r="N11808" s="3" t="s">
        <v>30576</v>
      </c>
      <c r="O11808" s="3"/>
      <c r="P11808" s="1" t="s">
        <v>186</v>
      </c>
      <c r="R11808" s="1" t="s">
        <v>24240</v>
      </c>
      <c r="V11808" s="1" t="s">
        <v>206</v>
      </c>
      <c r="W11808" s="1" t="s">
        <v>24241</v>
      </c>
      <c r="AR11808" s="1" t="str">
        <f t="shared" si="747"/>
        <v>| [ㄜˇ](ㄜˇ.md) | [我](我.md) |  | ě | (一)之讀音。 |</v>
      </c>
    </row>
    <row r="11809" spans="1:44" hidden="1">
      <c r="A11809" s="1" t="s">
        <v>24217</v>
      </c>
      <c r="C11809" s="1">
        <v>1</v>
      </c>
      <c r="D11809" s="1" t="str">
        <f>"10257"</f>
        <v>10257</v>
      </c>
      <c r="E11809" s="1" t="s">
        <v>169</v>
      </c>
      <c r="F11809" s="1">
        <v>12</v>
      </c>
      <c r="G11809" s="1">
        <v>7</v>
      </c>
      <c r="H11809" s="1">
        <v>2</v>
      </c>
      <c r="I11809" s="1" t="s">
        <v>24239</v>
      </c>
      <c r="K11809" s="1" t="str">
        <f t="shared" si="748"/>
        <v>ㄜ</v>
      </c>
      <c r="M11809" s="1" t="str">
        <f t="shared" si="749"/>
        <v/>
      </c>
      <c r="N11809" s="3" t="s">
        <v>30576</v>
      </c>
      <c r="O11809" s="3"/>
      <c r="P11809" s="1" t="s">
        <v>20</v>
      </c>
      <c r="R11809" s="1" t="s">
        <v>24240</v>
      </c>
      <c r="V11809" s="1" t="s">
        <v>24242</v>
      </c>
      <c r="W11809" s="1" t="s">
        <v>24243</v>
      </c>
      <c r="AR11809" s="1" t="str">
        <f t="shared" si="747"/>
        <v>| [ㄜˇ](ㄜˇ.md) | [硪](硪.md) |  | ě | 參見「砐硪」條。 |</v>
      </c>
    </row>
    <row r="11810" spans="1:44" hidden="1">
      <c r="A11810" s="1" t="s">
        <v>24244</v>
      </c>
      <c r="C11810" s="1">
        <v>1</v>
      </c>
      <c r="D11810" s="1" t="str">
        <f>"10258"</f>
        <v>10258</v>
      </c>
      <c r="E11810" s="1" t="s">
        <v>319</v>
      </c>
      <c r="F11810" s="1">
        <v>17</v>
      </c>
      <c r="G11810" s="1">
        <v>7</v>
      </c>
      <c r="H11810" s="1">
        <v>0</v>
      </c>
      <c r="I11810" s="1" t="s">
        <v>24239</v>
      </c>
      <c r="K11810" s="1" t="str">
        <f t="shared" si="748"/>
        <v>ㄜ</v>
      </c>
      <c r="M11810" s="1" t="str">
        <f t="shared" si="749"/>
        <v/>
      </c>
      <c r="N11810" s="3" t="s">
        <v>30576</v>
      </c>
      <c r="O11810" s="3"/>
      <c r="P11810" s="1" t="s">
        <v>20</v>
      </c>
      <c r="R11810" s="1" t="s">
        <v>24240</v>
      </c>
      <c r="V11810" s="1" t="s">
        <v>1604</v>
      </c>
      <c r="AR11810" s="1" t="str">
        <f t="shared" si="747"/>
        <v>| [ㄜˇ](ㄜˇ.md) | [騀](騀.md) |  | ě | 參見「駊騀」條。 |</v>
      </c>
    </row>
    <row r="11811" spans="1:44" hidden="1">
      <c r="A11811" s="1" t="s">
        <v>24182</v>
      </c>
      <c r="C11811" s="1">
        <v>1</v>
      </c>
      <c r="D11811" s="1" t="str">
        <f>"10259"</f>
        <v>10259</v>
      </c>
      <c r="E11811" s="1" t="s">
        <v>534</v>
      </c>
      <c r="F11811" s="1">
        <v>8</v>
      </c>
      <c r="G11811" s="1">
        <v>5</v>
      </c>
      <c r="H11811" s="1">
        <v>2</v>
      </c>
      <c r="I11811" s="1" t="s">
        <v>24239</v>
      </c>
      <c r="K11811" s="1" t="str">
        <f t="shared" si="748"/>
        <v>ㄜ</v>
      </c>
      <c r="M11811" s="1" t="str">
        <f t="shared" si="749"/>
        <v/>
      </c>
      <c r="N11811" s="3" t="s">
        <v>30576</v>
      </c>
      <c r="O11811" s="3"/>
      <c r="P11811" s="1" t="s">
        <v>110</v>
      </c>
      <c r="R11811" s="1" t="s">
        <v>24240</v>
      </c>
      <c r="V11811" s="1" t="s">
        <v>111</v>
      </c>
      <c r="W11811" s="1" t="s">
        <v>24245</v>
      </c>
      <c r="AR11811" s="1" t="str">
        <f t="shared" si="747"/>
        <v>| [ㄜˇ](ㄜˇ.md) | [妸](妸.md) |  | ě | (一)之又音。 |</v>
      </c>
    </row>
    <row r="11812" spans="1:44" hidden="1">
      <c r="A11812" s="1" t="s">
        <v>24191</v>
      </c>
      <c r="C11812" s="1">
        <v>1</v>
      </c>
      <c r="D11812" s="1" t="str">
        <f>"10260"</f>
        <v>10260</v>
      </c>
      <c r="E11812" s="1" t="s">
        <v>534</v>
      </c>
      <c r="F11812" s="1">
        <v>11</v>
      </c>
      <c r="G11812" s="1">
        <v>8</v>
      </c>
      <c r="H11812" s="1">
        <v>2</v>
      </c>
      <c r="I11812" s="1" t="s">
        <v>24239</v>
      </c>
      <c r="K11812" s="1" t="str">
        <f t="shared" si="748"/>
        <v>ㄜ</v>
      </c>
      <c r="M11812" s="1" t="str">
        <f t="shared" si="749"/>
        <v/>
      </c>
      <c r="N11812" s="3" t="s">
        <v>30576</v>
      </c>
      <c r="O11812" s="3"/>
      <c r="P11812" s="1" t="s">
        <v>110</v>
      </c>
      <c r="R11812" s="1" t="s">
        <v>24240</v>
      </c>
      <c r="V11812" s="1" t="s">
        <v>111</v>
      </c>
      <c r="W11812" s="1" t="s">
        <v>24246</v>
      </c>
      <c r="AR11812" s="1" t="str">
        <f t="shared" si="747"/>
        <v>| [ㄜˇ](ㄜˇ.md) | [婀](婀.md) |  | ě | (一)之又音。 |</v>
      </c>
    </row>
    <row r="11813" spans="1:44" hidden="1">
      <c r="A11813" s="1" t="s">
        <v>24247</v>
      </c>
      <c r="C11813" s="1">
        <v>1</v>
      </c>
      <c r="D11813" s="1" t="str">
        <f>"10261"</f>
        <v>10261</v>
      </c>
      <c r="E11813" s="1" t="s">
        <v>198</v>
      </c>
      <c r="F11813" s="1">
        <v>11</v>
      </c>
      <c r="G11813" s="1">
        <v>8</v>
      </c>
      <c r="H11813" s="1">
        <v>3</v>
      </c>
      <c r="I11813" s="1" t="s">
        <v>24239</v>
      </c>
      <c r="K11813" s="1" t="str">
        <f t="shared" si="748"/>
        <v>ㄜ</v>
      </c>
      <c r="M11813" s="1" t="str">
        <f t="shared" si="749"/>
        <v/>
      </c>
      <c r="N11813" s="3" t="s">
        <v>30576</v>
      </c>
      <c r="O11813" s="3"/>
      <c r="P11813" s="1" t="s">
        <v>20</v>
      </c>
      <c r="R11813" s="1" t="s">
        <v>24240</v>
      </c>
      <c r="V11813" s="1" t="s">
        <v>24248</v>
      </c>
      <c r="W11813" s="1" t="s">
        <v>24249</v>
      </c>
      <c r="AR11813" s="1" t="str">
        <f t="shared" si="747"/>
        <v>| [ㄜˇ](ㄜˇ.md) | [猗](猗.md) |  | ě | 參見「猗儺」條。 |</v>
      </c>
    </row>
    <row r="11814" spans="1:44" hidden="1">
      <c r="A11814" s="1" t="s">
        <v>24231</v>
      </c>
      <c r="C11814" s="1">
        <v>1</v>
      </c>
      <c r="D11814" s="1" t="str">
        <f>"10262"</f>
        <v>10262</v>
      </c>
      <c r="E11814" s="1" t="s">
        <v>139</v>
      </c>
      <c r="F11814" s="1">
        <v>15</v>
      </c>
      <c r="G11814" s="1">
        <v>11</v>
      </c>
      <c r="H11814" s="1">
        <v>1</v>
      </c>
      <c r="I11814" s="1" t="s">
        <v>24239</v>
      </c>
      <c r="K11814" s="1" t="str">
        <f t="shared" si="748"/>
        <v>ㄜ</v>
      </c>
      <c r="M11814" s="1" t="str">
        <f t="shared" si="749"/>
        <v/>
      </c>
      <c r="N11814" s="3" t="s">
        <v>30576</v>
      </c>
      <c r="O11814" s="3"/>
      <c r="P11814" s="1" t="s">
        <v>20</v>
      </c>
      <c r="R11814" s="1" t="s">
        <v>24240</v>
      </c>
      <c r="V11814" s="1" t="s">
        <v>24250</v>
      </c>
      <c r="W11814" s="1" t="s">
        <v>24251</v>
      </c>
      <c r="AR11814" s="1" t="str">
        <f t="shared" si="747"/>
        <v>| [ㄜˇ](ㄜˇ.md) | [𣘨](𣘨.md) |  | ě | 參見「𣘨橠」條。 |</v>
      </c>
    </row>
    <row r="11815" spans="1:44" hidden="1">
      <c r="A11815" s="1" t="s">
        <v>24252</v>
      </c>
      <c r="C11815" s="1">
        <v>1</v>
      </c>
      <c r="D11815" s="1" t="str">
        <f>"10263"</f>
        <v>10263</v>
      </c>
      <c r="E11815" s="1" t="s">
        <v>534</v>
      </c>
      <c r="F11815" s="1">
        <v>11</v>
      </c>
      <c r="G11815" s="1">
        <v>8</v>
      </c>
      <c r="H11815" s="1">
        <v>0</v>
      </c>
      <c r="I11815" s="1" t="s">
        <v>24239</v>
      </c>
      <c r="K11815" s="1" t="str">
        <f t="shared" si="748"/>
        <v>ㄜ</v>
      </c>
      <c r="M11815" s="1" t="str">
        <f t="shared" si="749"/>
        <v/>
      </c>
      <c r="N11815" s="3" t="s">
        <v>30576</v>
      </c>
      <c r="O11815" s="3"/>
      <c r="P11815" s="1" t="s">
        <v>20</v>
      </c>
      <c r="R11815" s="1" t="s">
        <v>24240</v>
      </c>
      <c r="V11815" s="1" t="s">
        <v>7688</v>
      </c>
      <c r="AR11815" s="1" t="str">
        <f t="shared" si="747"/>
        <v>| [ㄜˇ](ㄜˇ.md) | [婐](婐.md) |  | ě | 參見「婐㛂」條。 |</v>
      </c>
    </row>
    <row r="11816" spans="1:44" hidden="1">
      <c r="A11816" s="1" t="s">
        <v>24253</v>
      </c>
      <c r="C11816" s="1">
        <v>1</v>
      </c>
      <c r="D11816" s="1" t="str">
        <f>"10264"</f>
        <v>10264</v>
      </c>
      <c r="E11816" s="1" t="s">
        <v>250</v>
      </c>
      <c r="F11816" s="1">
        <v>12</v>
      </c>
      <c r="G11816" s="1">
        <v>8</v>
      </c>
      <c r="H11816" s="1">
        <v>2</v>
      </c>
      <c r="I11816" s="1" t="s">
        <v>24239</v>
      </c>
      <c r="K11816" s="1" t="str">
        <f t="shared" si="748"/>
        <v>ㄜ</v>
      </c>
      <c r="M11816" s="1" t="str">
        <f t="shared" si="749"/>
        <v/>
      </c>
      <c r="N11816" s="3" t="s">
        <v>30576</v>
      </c>
      <c r="O11816" s="3"/>
      <c r="P11816" s="1" t="s">
        <v>20</v>
      </c>
      <c r="R11816" s="1" t="s">
        <v>24240</v>
      </c>
      <c r="V11816" s="1" t="s">
        <v>24254</v>
      </c>
      <c r="W11816" s="1" t="s">
        <v>24255</v>
      </c>
      <c r="AR11816" s="1" t="str">
        <f t="shared" si="747"/>
        <v>| [ㄜˇ](ㄜˇ.md) | [惡](惡.md) |  | ě | 參見「惡心」條。 |</v>
      </c>
    </row>
    <row r="11817" spans="1:44" hidden="1">
      <c r="A11817" s="1" t="s">
        <v>24256</v>
      </c>
      <c r="C11817" s="1">
        <v>1</v>
      </c>
      <c r="D11817" s="1" t="str">
        <f>"10265"</f>
        <v>10265</v>
      </c>
      <c r="E11817" s="1" t="s">
        <v>28</v>
      </c>
      <c r="F11817" s="1">
        <v>15</v>
      </c>
      <c r="G11817" s="1">
        <v>12</v>
      </c>
      <c r="H11817" s="1">
        <v>0</v>
      </c>
      <c r="I11817" s="1" t="s">
        <v>24239</v>
      </c>
      <c r="K11817" s="1" t="str">
        <f t="shared" si="748"/>
        <v>ㄜ</v>
      </c>
      <c r="M11817" s="1" t="str">
        <f t="shared" si="749"/>
        <v/>
      </c>
      <c r="N11817" s="3" t="s">
        <v>30576</v>
      </c>
      <c r="O11817" s="3"/>
      <c r="P11817" s="1" t="s">
        <v>20</v>
      </c>
      <c r="R11817" s="1" t="s">
        <v>24240</v>
      </c>
      <c r="V11817" s="1" t="s">
        <v>24257</v>
      </c>
      <c r="AR11817" s="1" t="str">
        <f t="shared" si="747"/>
        <v>| [ㄜˇ](ㄜˇ.md) | [噁](噁.md) |  | ě | 參見「噁心」條。 |</v>
      </c>
    </row>
    <row r="11818" spans="1:44" hidden="1">
      <c r="A11818" s="1" t="s">
        <v>16143</v>
      </c>
      <c r="C11818" s="1">
        <v>1</v>
      </c>
      <c r="D11818" s="1" t="str">
        <f>"10308"</f>
        <v>10308</v>
      </c>
      <c r="E11818" s="1" t="s">
        <v>331</v>
      </c>
      <c r="F11818" s="1">
        <v>14</v>
      </c>
      <c r="G11818" s="1">
        <v>7</v>
      </c>
      <c r="H11818" s="1">
        <v>2</v>
      </c>
      <c r="I11818" s="1" t="s">
        <v>24347</v>
      </c>
      <c r="K11818" s="1" t="str">
        <f t="shared" si="748"/>
        <v>ㄝ</v>
      </c>
      <c r="M11818" s="1" t="str">
        <f t="shared" si="749"/>
        <v/>
      </c>
      <c r="N11818" s="3" t="s">
        <v>30574</v>
      </c>
      <c r="O11818" s="3"/>
      <c r="P11818" s="1" t="s">
        <v>20</v>
      </c>
      <c r="R11818" s="1" t="s">
        <v>24348</v>
      </c>
      <c r="V11818" s="1" t="s">
        <v>24349</v>
      </c>
      <c r="W11818" s="1" t="s">
        <v>24350</v>
      </c>
      <c r="AR11818" s="1" t="str">
        <f t="shared" si="747"/>
        <v>| [ㄝˋ](ㄝˋ.md) | [誒](誒.md) |  | ề | [歎]
1.表示答應的意思。如：「誒！我在這裡。」
2.表示招呼的意思。如：「誒！你在那裡？」 |</v>
      </c>
    </row>
    <row r="11819" spans="1:44" hidden="1">
      <c r="A11819" s="1" t="s">
        <v>24351</v>
      </c>
      <c r="C11819" s="1">
        <v>1</v>
      </c>
      <c r="D11819" s="1" t="str">
        <f>"10309"</f>
        <v>10309</v>
      </c>
      <c r="E11819" s="1" t="s">
        <v>28</v>
      </c>
      <c r="F11819" s="1">
        <v>9</v>
      </c>
      <c r="G11819" s="1">
        <v>6</v>
      </c>
      <c r="H11819" s="1">
        <v>0</v>
      </c>
      <c r="I11819" s="1" t="s">
        <v>24352</v>
      </c>
      <c r="K11819" s="1" t="str">
        <f t="shared" si="748"/>
        <v>ㄞ</v>
      </c>
      <c r="L11819" s="1" t="str">
        <f t="shared" ref="L11819:L11824" si="750">MID(I11819, 2, 1)</f>
        <v/>
      </c>
      <c r="M11819" s="1" t="str">
        <f t="shared" si="749"/>
        <v/>
      </c>
      <c r="P11819" s="1" t="s">
        <v>20</v>
      </c>
      <c r="R11819" s="1" t="s">
        <v>24353</v>
      </c>
      <c r="V11819" s="1" t="s">
        <v>24354</v>
      </c>
      <c r="AR11819" s="1" t="str">
        <f t="shared" si="747"/>
        <v>| [ㄞ](ㄞ.md) | [哀](哀.md) |  | āi | [動]
1.憐憫。《詩經．小雅．鴻鴈》：「爰及矜人，哀此鰥寡。」《史記．卷九二．淮陰侯傳》：「大丈夫不能自食，吾哀王孫而進食，豈望報乎！」
2.悲傷。《楚辭．屈原．離騷》：「雖萎絕其亦何傷兮，哀眾芳之蕪穢。」唐．李白〈長干行〉二首之一：「五月不可觸，猿聲天上哀。」
3.愛惜。《呂氏春秋．慎大覽．報更》：「人主胡可以不務哀士，士其難知，唯博之為可。」漢．高誘．注：「哀，愛也。」
4.悼念。如：「默哀」。
[名]
悲痛憂傷的情緒。如：「節哀順變」。
[形]
死了母親的。參見「哀子」條。 |</v>
      </c>
    </row>
    <row r="11820" spans="1:44" hidden="1">
      <c r="A11820" s="1" t="s">
        <v>24355</v>
      </c>
      <c r="C11820" s="1">
        <v>1</v>
      </c>
      <c r="D11820" s="1" t="str">
        <f>"10310"</f>
        <v>10310</v>
      </c>
      <c r="E11820" s="1" t="s">
        <v>28</v>
      </c>
      <c r="F11820" s="1">
        <v>9</v>
      </c>
      <c r="G11820" s="1">
        <v>6</v>
      </c>
      <c r="H11820" s="1">
        <v>0</v>
      </c>
      <c r="I11820" s="1" t="s">
        <v>24352</v>
      </c>
      <c r="K11820" s="1" t="str">
        <f t="shared" si="748"/>
        <v>ㄞ</v>
      </c>
      <c r="L11820" s="1" t="str">
        <f t="shared" si="750"/>
        <v/>
      </c>
      <c r="M11820" s="1" t="str">
        <f t="shared" si="749"/>
        <v/>
      </c>
      <c r="P11820" s="1" t="s">
        <v>20</v>
      </c>
      <c r="R11820" s="1" t="s">
        <v>24353</v>
      </c>
      <c r="V11820" s="1" t="s">
        <v>24356</v>
      </c>
      <c r="AR11820" s="1" t="str">
        <f t="shared" si="747"/>
        <v>| [ㄞ](ㄞ.md) | [哎](哎.md) |  | āi | [歎]
1.表示驚愕的語氣。元．王實甫《西廂記．第二本．第一折》：「哎！你個饞窮酸倈沒意兒，賣弄你有家私，莫不圖謀你的東西到此？」
2.表示哀傷惋惜的語氣。元．關漢卿《竇娥冤》第三折：「哎，只落得兩淚漣漣。」明．汪錂《春蕪記》第六齣：「哎！寶劍，寶劍，你相隨我十餘年，我既坎坷，你又沉淪。」
[助]
句中襯字，以舒緩語氣。多用於戲曲唱詞中。元．石君寶《秋胡戲妻》第三折：「只見那濃陰冉冉，翠錦哎模糊。」元．無名氏《漁樵記》第三折：「這的是知恩哎報恩。」 |</v>
      </c>
    </row>
    <row r="11821" spans="1:44" hidden="1">
      <c r="A11821" s="1" t="s">
        <v>24357</v>
      </c>
      <c r="C11821" s="1">
        <v>1</v>
      </c>
      <c r="D11821" s="1" t="str">
        <f>"10311"</f>
        <v>10311</v>
      </c>
      <c r="E11821" s="1" t="s">
        <v>132</v>
      </c>
      <c r="F11821" s="1">
        <v>10</v>
      </c>
      <c r="G11821" s="1">
        <v>7</v>
      </c>
      <c r="H11821" s="1">
        <v>0</v>
      </c>
      <c r="I11821" s="1" t="s">
        <v>24352</v>
      </c>
      <c r="K11821" s="1" t="str">
        <f t="shared" si="748"/>
        <v>ㄞ</v>
      </c>
      <c r="L11821" s="1" t="str">
        <f t="shared" si="750"/>
        <v/>
      </c>
      <c r="M11821" s="1" t="str">
        <f t="shared" si="749"/>
        <v/>
      </c>
      <c r="P11821" s="1" t="s">
        <v>20</v>
      </c>
      <c r="R11821" s="1" t="s">
        <v>24353</v>
      </c>
      <c r="V11821" s="1" t="s">
        <v>24358</v>
      </c>
      <c r="AR11821" s="1" t="str">
        <f t="shared" si="747"/>
        <v>| [ㄞ](ㄞ.md) | [埃](埃.md) |  | āi | [名]
1.灰塵、塵土。如：「塵埃」。晉．潘岳〈藉田賦〉：「微風生於輕幰，纖埃起於朱輪。」
2.量詞。物理學上用以表示微小長度的單位。為英語angstrom的音譯。一埃等於一米的百億分之一。 |</v>
      </c>
    </row>
    <row r="11822" spans="1:44" hidden="1">
      <c r="A11822" s="1" t="s">
        <v>24359</v>
      </c>
      <c r="C11822" s="1">
        <v>1</v>
      </c>
      <c r="D11822" s="1" t="str">
        <f>"10312"</f>
        <v>10312</v>
      </c>
      <c r="E11822" s="1" t="s">
        <v>24</v>
      </c>
      <c r="F11822" s="1">
        <v>10</v>
      </c>
      <c r="G11822" s="1">
        <v>7</v>
      </c>
      <c r="H11822" s="1">
        <v>1</v>
      </c>
      <c r="I11822" s="1" t="s">
        <v>24352</v>
      </c>
      <c r="K11822" s="1" t="str">
        <f t="shared" si="748"/>
        <v>ㄞ</v>
      </c>
      <c r="L11822" s="1" t="str">
        <f t="shared" si="750"/>
        <v/>
      </c>
      <c r="M11822" s="1" t="str">
        <f t="shared" si="749"/>
        <v/>
      </c>
      <c r="P11822" s="1" t="s">
        <v>20</v>
      </c>
      <c r="R11822" s="1" t="s">
        <v>24353</v>
      </c>
      <c r="V11822" s="1" t="s">
        <v>24360</v>
      </c>
      <c r="W11822" s="1" t="s">
        <v>24361</v>
      </c>
      <c r="AR11822" s="1" t="str">
        <f t="shared" si="747"/>
        <v>| [ㄞ](ㄞ.md) | [挨](挨.md) |  | āi | [動]_x000D_
1.擊打、推擊。《廣韻．上聲．駭韻》：「挨，打也。」《列子．黃帝》：「既而狎侮欺詒，攩㧙挨抌，亡所不為。」_x000D_
2.靠近、迫近。如：「挨近」。宋．王安石〈和王微之登高齋〉詩三首之一：「衡門兼旬限泥潦，臥聽窾木鳴相挨。」_x000D_
3.擠。《水滸傳》第三六回：「宋江分開人叢，也挨入去看時，卻原來是一個使鎗棒賣膏藥的。」_x000D_
4.忍受、遭受。如：「挨打」、「挨罵」、「挨餓」。元．張國賓《合汗衫．第三折》：「我如今無鋪無蓋，教我冷難挨。」_x000D_
5.拖延。《水滸傳》第一六回：「你們不替洒家打這夫子，卻在背後也慢慢地挨。」_x000D_
6.等待。如：「挨到十點，我們就有點心吃！」_x000D_
7.依照次序。如：「挨家挨戶」。_x000D_
8.依靠。明．湯顯祖《牡丹亭》第三六齣：「想獨自誰挨？獨自誰挨？」 |</v>
      </c>
    </row>
    <row r="11823" spans="1:44" hidden="1">
      <c r="A11823" s="1" t="s">
        <v>24362</v>
      </c>
      <c r="C11823" s="1">
        <v>1</v>
      </c>
      <c r="D11823" s="1" t="str">
        <f>"10313"</f>
        <v>10313</v>
      </c>
      <c r="E11823" s="1" t="s">
        <v>28</v>
      </c>
      <c r="F11823" s="1">
        <v>10</v>
      </c>
      <c r="G11823" s="1">
        <v>7</v>
      </c>
      <c r="H11823" s="1">
        <v>0</v>
      </c>
      <c r="I11823" s="1" t="s">
        <v>24352</v>
      </c>
      <c r="K11823" s="1" t="str">
        <f t="shared" si="748"/>
        <v>ㄞ</v>
      </c>
      <c r="L11823" s="1" t="str">
        <f t="shared" si="750"/>
        <v/>
      </c>
      <c r="M11823" s="1" t="str">
        <f t="shared" si="749"/>
        <v/>
      </c>
      <c r="P11823" s="1" t="s">
        <v>20</v>
      </c>
      <c r="R11823" s="1" t="s">
        <v>24353</v>
      </c>
      <c r="V11823" s="1" t="s">
        <v>24363</v>
      </c>
      <c r="AR11823" s="1" t="str">
        <f t="shared" si="747"/>
        <v>| [ㄞ](ㄞ.md) | [唉](唉.md) |  | āi | [歎]
1.表示傷感或惋惜的語氣。如：「唉！想不到他竟會做出這種傷天害理的事。」《史記．卷七．項羽本紀》：「亞父受玉斗，置之地，拔劍撞而破之曰：『唉！豎子不足與謀。』」
2.表示答應的語氣。《莊子．知北遊》：「狂屈曰：『唉，予知之，將語若。』」
[動]
告誡。通「誋」。《管子．桓公問》：「禹立諫鼓於朝，而備訊唉。」 |</v>
      </c>
    </row>
    <row r="11824" spans="1:44" hidden="1">
      <c r="A11824" s="1" t="s">
        <v>24364</v>
      </c>
      <c r="C11824" s="1">
        <v>1</v>
      </c>
      <c r="D11824" s="1" t="str">
        <f>"10314"</f>
        <v>10314</v>
      </c>
      <c r="E11824" s="1" t="s">
        <v>1908</v>
      </c>
      <c r="F11824" s="1">
        <v>11</v>
      </c>
      <c r="G11824" s="1">
        <v>7</v>
      </c>
      <c r="H11824" s="1">
        <v>2</v>
      </c>
      <c r="I11824" s="1" t="s">
        <v>24352</v>
      </c>
      <c r="K11824" s="1" t="str">
        <f t="shared" si="748"/>
        <v>ㄞ</v>
      </c>
      <c r="L11824" s="1" t="str">
        <f t="shared" si="750"/>
        <v/>
      </c>
      <c r="M11824" s="1" t="str">
        <f t="shared" si="749"/>
        <v/>
      </c>
      <c r="P11824" s="1" t="s">
        <v>110</v>
      </c>
      <c r="R11824" s="1" t="s">
        <v>24353</v>
      </c>
      <c r="V11824" s="1" t="s">
        <v>111</v>
      </c>
      <c r="W11824" s="1" t="s">
        <v>24365</v>
      </c>
      <c r="AR11824" s="1" t="str">
        <f t="shared" si="747"/>
        <v>| [ㄞ](ㄞ.md) | [欸](欸.md) |  | āi | (一)之又音。 |</v>
      </c>
    </row>
    <row r="11825" spans="1:44" hidden="1">
      <c r="A11825" s="1" t="s">
        <v>24404</v>
      </c>
      <c r="C11825" s="1">
        <v>1</v>
      </c>
      <c r="D11825" s="1" t="str">
        <f>"10332"</f>
        <v>10332</v>
      </c>
      <c r="E11825" s="1" t="s">
        <v>1663</v>
      </c>
      <c r="F11825" s="1">
        <v>2</v>
      </c>
      <c r="G11825" s="1">
        <v>1</v>
      </c>
      <c r="H11825" s="1">
        <v>2</v>
      </c>
      <c r="I11825" s="1" t="s">
        <v>24405</v>
      </c>
      <c r="K11825" s="1" t="str">
        <f t="shared" si="748"/>
        <v>ㄞ</v>
      </c>
      <c r="M11825" s="1" t="str">
        <f t="shared" si="749"/>
        <v/>
      </c>
      <c r="N11825" s="3" t="s">
        <v>30574</v>
      </c>
      <c r="O11825" s="3"/>
      <c r="P11825" s="1" t="s">
        <v>20</v>
      </c>
      <c r="R11825" s="1" t="s">
        <v>24406</v>
      </c>
      <c r="V11825" s="1" t="s">
        <v>24407</v>
      </c>
      <c r="W11825" s="1" t="s">
        <v>24408</v>
      </c>
      <c r="AR11825" s="1" t="str">
        <f t="shared" si="747"/>
        <v>| [ㄞˋ](ㄞˋ.md) | [乂](乂.md) |  | ài | [動]
懲戒。如：「懲乂」。《新唐書．卷一〇〇．列傳．裴矩》：「太宗即位，疾貪吏，欲痛懲乂之。」 |</v>
      </c>
    </row>
    <row r="11826" spans="1:44" hidden="1">
      <c r="A11826" s="1" t="s">
        <v>24409</v>
      </c>
      <c r="C11826" s="1">
        <v>1</v>
      </c>
      <c r="D11826" s="1" t="str">
        <f>"10333"</f>
        <v>10333</v>
      </c>
      <c r="E11826" s="1" t="s">
        <v>37</v>
      </c>
      <c r="F11826" s="1">
        <v>6</v>
      </c>
      <c r="G11826" s="1">
        <v>2</v>
      </c>
      <c r="H11826" s="1">
        <v>1</v>
      </c>
      <c r="I11826" s="1" t="s">
        <v>24405</v>
      </c>
      <c r="K11826" s="1" t="str">
        <f t="shared" si="748"/>
        <v>ㄞ</v>
      </c>
      <c r="M11826" s="1" t="str">
        <f t="shared" si="749"/>
        <v/>
      </c>
      <c r="N11826" s="3" t="s">
        <v>30574</v>
      </c>
      <c r="O11826" s="3"/>
      <c r="P11826" s="1" t="s">
        <v>20</v>
      </c>
      <c r="R11826" s="1" t="s">
        <v>24406</v>
      </c>
      <c r="V11826" s="1" t="s">
        <v>24410</v>
      </c>
      <c r="W11826" s="1" t="s">
        <v>24411</v>
      </c>
      <c r="AR11826" s="1" t="str">
        <f t="shared" si="747"/>
        <v>| [ㄞˋ](ㄞˋ.md) | [艾](艾.md) |  | ài | [名]
1.參見「艾草」條。
2.比喻老人、年長的人。《史記．卷四．周本紀》：「瞽史教誨，耆艾脩之。」南朝梁．劉勰《文心雕龍．養氣》：「凡童少鑒淺而志盛，長艾識堅而氣衰。」
3.美好、漂亮的人。《孟子．萬章上》：「知好色，則慕少艾。」清．孔尚任《桃花扇》第三六齣：「積得些金帛，娶了些嬌艾。」
4.姓。如清代有艾元征。
[動]
1.盡、斷絕、停止。如：「方興未艾」。《詩經．小雅．庭燎》：「夜如何？其夜未艾。」《左傳．哀公二年》：「雖克鄭，猶有知在，憂未艾也。」
2.培養、養育。《詩經．小雅．南山有臺》：「樂只君子，保艾爾後。」 |</v>
      </c>
    </row>
    <row r="11827" spans="1:44" hidden="1">
      <c r="A11827" s="1" t="s">
        <v>24268</v>
      </c>
      <c r="C11827" s="1">
        <v>1</v>
      </c>
      <c r="D11827" s="1" t="str">
        <f>"10334"</f>
        <v>10334</v>
      </c>
      <c r="E11827" s="1" t="s">
        <v>691</v>
      </c>
      <c r="F11827" s="1">
        <v>7</v>
      </c>
      <c r="G11827" s="1">
        <v>4</v>
      </c>
      <c r="H11827" s="1">
        <v>2</v>
      </c>
      <c r="I11827" s="1" t="s">
        <v>24405</v>
      </c>
      <c r="K11827" s="1" t="str">
        <f t="shared" si="748"/>
        <v>ㄞ</v>
      </c>
      <c r="M11827" s="1" t="str">
        <f t="shared" si="749"/>
        <v/>
      </c>
      <c r="N11827" s="3" t="s">
        <v>30574</v>
      </c>
      <c r="O11827" s="3"/>
      <c r="P11827" s="1" t="s">
        <v>20</v>
      </c>
      <c r="R11827" s="1" t="s">
        <v>24406</v>
      </c>
      <c r="V11827" s="1" t="s">
        <v>24412</v>
      </c>
      <c r="W11827" s="1" t="s">
        <v>24413</v>
      </c>
      <c r="AR11827" s="1" t="str">
        <f t="shared" si="747"/>
        <v>| [ㄞˋ](ㄞˋ.md) | [阨](阨.md) |  | ài | [形]
狹小。通「隘」。《左傳．昭公元年》：「彼徒我車，所遇又阨，以什共車，必克。」唐．韓愈〈復志賦〉：「抱關之阨陋兮，有肆志之揚揚。」 |</v>
      </c>
    </row>
    <row r="11828" spans="1:44" hidden="1">
      <c r="A11828" s="1" t="s">
        <v>24414</v>
      </c>
      <c r="C11828" s="1">
        <v>1</v>
      </c>
      <c r="D11828" s="1" t="str">
        <f>"10335"</f>
        <v>10335</v>
      </c>
      <c r="E11828" s="1" t="s">
        <v>28</v>
      </c>
      <c r="F11828" s="1">
        <v>13</v>
      </c>
      <c r="G11828" s="1">
        <v>10</v>
      </c>
      <c r="H11828" s="1">
        <v>2</v>
      </c>
      <c r="I11828" s="1" t="s">
        <v>24405</v>
      </c>
      <c r="K11828" s="1" t="str">
        <f t="shared" si="748"/>
        <v>ㄞ</v>
      </c>
      <c r="M11828" s="1" t="str">
        <f t="shared" si="749"/>
        <v/>
      </c>
      <c r="N11828" s="3" t="s">
        <v>30574</v>
      </c>
      <c r="O11828" s="3"/>
      <c r="P11828" s="1" t="s">
        <v>20</v>
      </c>
      <c r="R11828" s="1" t="s">
        <v>24406</v>
      </c>
      <c r="V11828" s="1" t="s">
        <v>24415</v>
      </c>
      <c r="W11828" s="1" t="s">
        <v>24416</v>
      </c>
      <c r="AR11828" s="1" t="str">
        <f t="shared" si="747"/>
        <v>| [ㄞˋ](ㄞˋ.md) | [嗌](嗌.md) |  | ài | [動]
噎，喉嚨塞住。《老殘遊記》第二〇回：「說到這裡，就嗌住了。」 |</v>
      </c>
    </row>
    <row r="11829" spans="1:44" hidden="1">
      <c r="A11829" s="1" t="s">
        <v>24325</v>
      </c>
      <c r="C11829" s="1">
        <v>1</v>
      </c>
      <c r="D11829" s="1" t="str">
        <f>"10336"</f>
        <v>10336</v>
      </c>
      <c r="E11829" s="1" t="s">
        <v>691</v>
      </c>
      <c r="F11829" s="1">
        <v>13</v>
      </c>
      <c r="G11829" s="1">
        <v>10</v>
      </c>
      <c r="H11829" s="1">
        <v>1</v>
      </c>
      <c r="I11829" s="1" t="s">
        <v>24405</v>
      </c>
      <c r="K11829" s="1" t="str">
        <f t="shared" si="748"/>
        <v>ㄞ</v>
      </c>
      <c r="M11829" s="1" t="str">
        <f t="shared" si="749"/>
        <v/>
      </c>
      <c r="N11829" s="3" t="s">
        <v>30574</v>
      </c>
      <c r="O11829" s="3"/>
      <c r="P11829" s="1" t="s">
        <v>20</v>
      </c>
      <c r="R11829" s="1" t="s">
        <v>24406</v>
      </c>
      <c r="V11829" s="1" t="s">
        <v>24417</v>
      </c>
      <c r="W11829" s="1" t="s">
        <v>24418</v>
      </c>
      <c r="AR11829" s="1" t="str">
        <f t="shared" si="747"/>
        <v>| [ㄞˋ](ㄞˋ.md) | [隘](隘.md) |  | ài | [形]
1.狹小、狹窄。《詩經．大雅．生民》：「誕寘之隘巷，牛羊腓字之。」宋．司馬光〈訓儉示康〉：「廳事前僅容旋馬，或言其太隘。」
2.器量狹小。《南史．卷三五．劉湛傳》：「義恭性甚狷隘，年又漸大，欲專政事，每為湛所裁。」
[名]
險阻的地方。《左傳．僖公二十二年》：「勍敵之人，隘而不列，天贊我也。」《文選．左思．蜀都賦》：「一人守隘，萬夫莫向。」
[副]
極、很。《荀子．禮論》：「其立哭泣哀戚也，不至於隘懾傷生。」 |</v>
      </c>
    </row>
    <row r="11830" spans="1:44" hidden="1">
      <c r="A11830" s="1" t="s">
        <v>24419</v>
      </c>
      <c r="C11830" s="1">
        <v>1</v>
      </c>
      <c r="D11830" s="1" t="str">
        <f>"10337"</f>
        <v>10337</v>
      </c>
      <c r="E11830" s="1" t="s">
        <v>250</v>
      </c>
      <c r="F11830" s="1">
        <v>13</v>
      </c>
      <c r="G11830" s="1">
        <v>9</v>
      </c>
      <c r="H11830" s="1">
        <v>0</v>
      </c>
      <c r="I11830" s="1" t="s">
        <v>24405</v>
      </c>
      <c r="K11830" s="1" t="str">
        <f t="shared" si="748"/>
        <v>ㄞ</v>
      </c>
      <c r="M11830" s="1" t="str">
        <f t="shared" si="749"/>
        <v/>
      </c>
      <c r="N11830" s="3" t="s">
        <v>30574</v>
      </c>
      <c r="O11830" s="3"/>
      <c r="P11830" s="1" t="s">
        <v>20</v>
      </c>
      <c r="R11830" s="1" t="s">
        <v>24406</v>
      </c>
      <c r="V11830" s="1" t="s">
        <v>24420</v>
      </c>
      <c r="AR11830" s="1" t="str">
        <f t="shared" si="747"/>
        <v>| [ㄞˋ](ㄞˋ.md) | [愛](愛.md) |  | ài | [名]
1.親慕的情緒或親密的感情。如：「同胞愛」、「親子之愛」。《禮記．禮運》：「何謂人情？喜、怒、哀、懼、愛、惡、欲。」
2.恩惠、仁德。如：「遺愛人間」。《韓非子．內儲說上》：「愛多者則法不立，威寡者則下侵上。」
3.所喜歡的人或物。如：「吾愛」、「割愛」。唐．韋應物〈送元錫楊凌〉詩：「端居意自違，況別親與愛。」
4.對別人女兒的敬稱。通「嬡」。如：「令愛」。唐．裴同亮〈唐故清和郡夫人張氏墓誌銘序〉：「夫人張氏，府君賈秀曾孫，游擊利休之愛。」
5.姓。如宋代有愛申。
[動]
1.喜好、親慕。如：「愛才」、「相愛」、「愛唱歌」。《紅樓夢》第六回：「最愛齋僧敬道，捨米捨錢的。」
2.吝惜、捨不得。《孟子．梁惠王上》：「齊國雖褊小，吾何愛一牛？」宋．陸游〈述懷〉詩：「羯胡未滅敢愛死，尊酒在前終鮮歡。」
[形]
1.兩情相悅的。如：「愛情」。
2.被寵愛或重視的。如：「愛妻」、「愛女」。《三國演義》第二五回：「汝弟斬吾愛將，汝必通謀，留你何用！」 |</v>
      </c>
    </row>
    <row r="11831" spans="1:44" hidden="1">
      <c r="A11831" s="1" t="s">
        <v>24421</v>
      </c>
      <c r="C11831" s="1">
        <v>1</v>
      </c>
      <c r="D11831" s="1" t="str">
        <f>"10338"</f>
        <v>10338</v>
      </c>
      <c r="E11831" s="1" t="s">
        <v>114</v>
      </c>
      <c r="F11831" s="1">
        <v>15</v>
      </c>
      <c r="G11831" s="1">
        <v>13</v>
      </c>
      <c r="H11831" s="1">
        <v>0</v>
      </c>
      <c r="I11831" s="1" t="s">
        <v>24405</v>
      </c>
      <c r="K11831" s="1" t="str">
        <f t="shared" si="748"/>
        <v>ㄞ</v>
      </c>
      <c r="M11831" s="1" t="str">
        <f t="shared" si="749"/>
        <v/>
      </c>
      <c r="N11831" s="3" t="s">
        <v>30574</v>
      </c>
      <c r="O11831" s="3"/>
      <c r="P11831" s="1" t="s">
        <v>20</v>
      </c>
      <c r="R11831" s="1" t="s">
        <v>24406</v>
      </c>
      <c r="V11831" s="1" t="s">
        <v>24422</v>
      </c>
      <c r="AR11831" s="1" t="str">
        <f t="shared" si="747"/>
        <v>| [ㄞˋ](ㄞˋ.md) | [僾](僾.md) |  | ài | [副]
隱約、彷彿。《禮記．祭義》：「祭之日，入室，僾然必有見乎其位。」
[形]
參見「唈僾」條。 |</v>
      </c>
    </row>
    <row r="11832" spans="1:44" hidden="1">
      <c r="A11832" s="1" t="s">
        <v>24397</v>
      </c>
      <c r="C11832" s="1">
        <v>1</v>
      </c>
      <c r="D11832" s="1" t="str">
        <f>"10339"</f>
        <v>10339</v>
      </c>
      <c r="E11832" s="1" t="s">
        <v>28</v>
      </c>
      <c r="F11832" s="1">
        <v>16</v>
      </c>
      <c r="G11832" s="1">
        <v>13</v>
      </c>
      <c r="H11832" s="1">
        <v>2</v>
      </c>
      <c r="I11832" s="1" t="s">
        <v>24405</v>
      </c>
      <c r="K11832" s="1" t="str">
        <f t="shared" si="748"/>
        <v>ㄞ</v>
      </c>
      <c r="M11832" s="1" t="str">
        <f t="shared" si="749"/>
        <v/>
      </c>
      <c r="N11832" s="3" t="s">
        <v>30574</v>
      </c>
      <c r="O11832" s="3"/>
      <c r="P11832" s="1" t="s">
        <v>20</v>
      </c>
      <c r="R11832" s="1" t="s">
        <v>24406</v>
      </c>
      <c r="V11832" s="1" t="s">
        <v>24423</v>
      </c>
      <c r="W11832" s="1" t="s">
        <v>24424</v>
      </c>
      <c r="AR11832" s="1" t="str">
        <f t="shared" si="747"/>
        <v>| [ㄞˋ](ㄞˋ.md) | [噯](噯.md) |  | ài | [歎]
1.表示痛惜或懊惱的語氣。《紅樓夢》第七回：「噯！今兒偏偏來了個劉姥姥，我自己多事，為他跑了半日。」
2.表示驚訝的語氣。《老殘遊記》第七回：「噯！別哄我罷，我看你老很文雅，不能連這個也不知道。」 |</v>
      </c>
    </row>
    <row r="11833" spans="1:44" hidden="1">
      <c r="A11833" s="1" t="s">
        <v>24425</v>
      </c>
      <c r="C11833" s="1">
        <v>1</v>
      </c>
      <c r="D11833" s="1" t="str">
        <f>"10340"</f>
        <v>10340</v>
      </c>
      <c r="E11833" s="1" t="s">
        <v>534</v>
      </c>
      <c r="F11833" s="1">
        <v>16</v>
      </c>
      <c r="G11833" s="1">
        <v>13</v>
      </c>
      <c r="H11833" s="1">
        <v>0</v>
      </c>
      <c r="I11833" s="1" t="s">
        <v>24405</v>
      </c>
      <c r="K11833" s="1" t="str">
        <f t="shared" si="748"/>
        <v>ㄞ</v>
      </c>
      <c r="M11833" s="1" t="str">
        <f t="shared" si="749"/>
        <v/>
      </c>
      <c r="N11833" s="3" t="s">
        <v>30574</v>
      </c>
      <c r="O11833" s="3"/>
      <c r="P11833" s="1" t="s">
        <v>20</v>
      </c>
      <c r="R11833" s="1" t="s">
        <v>24406</v>
      </c>
      <c r="V11833" s="1" t="s">
        <v>24426</v>
      </c>
      <c r="AR11833" s="1" t="str">
        <f t="shared" si="747"/>
        <v>| [ㄞˋ](ㄞˋ.md) | [嬡](嬡.md) |  | ài | [名]
稱別人的女兒為「令嬡」。如：「令嬡長得愈來愈標緻了。」 |</v>
      </c>
    </row>
    <row r="11834" spans="1:44" hidden="1">
      <c r="A11834" s="1" t="s">
        <v>24427</v>
      </c>
      <c r="C11834" s="1">
        <v>1</v>
      </c>
      <c r="D11834" s="1" t="str">
        <f>"10341"</f>
        <v>10341</v>
      </c>
      <c r="E11834" s="1" t="s">
        <v>142</v>
      </c>
      <c r="F11834" s="1">
        <v>17</v>
      </c>
      <c r="G11834" s="1">
        <v>13</v>
      </c>
      <c r="H11834" s="1">
        <v>0</v>
      </c>
      <c r="I11834" s="1" t="s">
        <v>24405</v>
      </c>
      <c r="K11834" s="1" t="str">
        <f t="shared" si="748"/>
        <v>ㄞ</v>
      </c>
      <c r="M11834" s="1" t="str">
        <f t="shared" si="749"/>
        <v/>
      </c>
      <c r="N11834" s="3" t="s">
        <v>30574</v>
      </c>
      <c r="O11834" s="3"/>
      <c r="P11834" s="1" t="s">
        <v>20</v>
      </c>
      <c r="R11834" s="1" t="s">
        <v>24406</v>
      </c>
      <c r="V11834" s="1" t="s">
        <v>24428</v>
      </c>
      <c r="AR11834" s="1" t="str">
        <f t="shared" si="747"/>
        <v>| [ㄞˋ](ㄞˋ.md) | [璦](璦.md) |  | ài | [名]
1.美玉。《玉篇．玉部》：「璦，美玉。」
2.參見「璦琿縣」條。 |</v>
      </c>
    </row>
    <row r="11835" spans="1:44" hidden="1">
      <c r="A11835" s="1" t="s">
        <v>24429</v>
      </c>
      <c r="C11835" s="1">
        <v>1</v>
      </c>
      <c r="D11835" s="1" t="str">
        <f>"10342"</f>
        <v>10342</v>
      </c>
      <c r="E11835" s="1" t="s">
        <v>37</v>
      </c>
      <c r="F11835" s="1">
        <v>17</v>
      </c>
      <c r="G11835" s="1">
        <v>13</v>
      </c>
      <c r="H11835" s="1">
        <v>0</v>
      </c>
      <c r="I11835" s="1" t="s">
        <v>24405</v>
      </c>
      <c r="K11835" s="1" t="str">
        <f t="shared" si="748"/>
        <v>ㄞ</v>
      </c>
      <c r="M11835" s="1" t="str">
        <f t="shared" si="749"/>
        <v/>
      </c>
      <c r="N11835" s="3" t="s">
        <v>30574</v>
      </c>
      <c r="O11835" s="3"/>
      <c r="P11835" s="1" t="s">
        <v>20</v>
      </c>
      <c r="R11835" s="1" t="s">
        <v>24406</v>
      </c>
      <c r="V11835" s="1" t="s">
        <v>24430</v>
      </c>
      <c r="AR11835" s="1" t="str">
        <f t="shared" si="747"/>
        <v>| [ㄞˋ](ㄞˋ.md) | [薆](薆.md) |  | ài | [動]
隱蔽。《漢書．卷二一．律曆志上》：「昧薆於未，申堅於申。」南朝齊．王融〈餞謝文學離夜詩〉：「離軒思黃鳥，分渚薆青莎。」
[形]
草木茂盛的樣子。三國魏．曹植〈臨觀賦〉：「丘陵窟兮松柏青，南園薆兮果載榮。」 |</v>
      </c>
    </row>
    <row r="11836" spans="1:44" hidden="1">
      <c r="A11836" s="1" t="s">
        <v>24431</v>
      </c>
      <c r="C11836" s="1">
        <v>1</v>
      </c>
      <c r="D11836" s="1" t="str">
        <f>"10343"</f>
        <v>10343</v>
      </c>
      <c r="E11836" s="1" t="s">
        <v>646</v>
      </c>
      <c r="F11836" s="1">
        <v>17</v>
      </c>
      <c r="G11836" s="1">
        <v>13</v>
      </c>
      <c r="H11836" s="1">
        <v>0</v>
      </c>
      <c r="I11836" s="1" t="s">
        <v>24405</v>
      </c>
      <c r="K11836" s="1" t="str">
        <f t="shared" si="748"/>
        <v>ㄞ</v>
      </c>
      <c r="M11836" s="1" t="str">
        <f t="shared" si="749"/>
        <v/>
      </c>
      <c r="N11836" s="3" t="s">
        <v>30574</v>
      </c>
      <c r="O11836" s="3"/>
      <c r="P11836" s="1" t="s">
        <v>20</v>
      </c>
      <c r="R11836" s="1" t="s">
        <v>24406</v>
      </c>
      <c r="V11836" s="1" t="s">
        <v>24432</v>
      </c>
      <c r="AR11836" s="1" t="str">
        <f t="shared" si="747"/>
        <v>| [ㄞˋ](ㄞˋ.md) | [曖](曖.md) |  | ài | [形]
昏暗、不明。如：「幽曖」、「關係曖昧」。南朝梁．劉勰《文心雕龍．宗經》：「皇世三墳，帝代五典，重以八索，申以九丘，歲歷綿曖，條流紛糅。」 |</v>
      </c>
    </row>
    <row r="11837" spans="1:44" hidden="1">
      <c r="A11837" s="1" t="s">
        <v>24433</v>
      </c>
      <c r="C11837" s="1">
        <v>1</v>
      </c>
      <c r="D11837" s="1" t="str">
        <f>"10344"</f>
        <v>10344</v>
      </c>
      <c r="E11837" s="1" t="s">
        <v>55</v>
      </c>
      <c r="F11837" s="1">
        <v>21</v>
      </c>
      <c r="G11837" s="1">
        <v>13</v>
      </c>
      <c r="H11837" s="1">
        <v>0</v>
      </c>
      <c r="I11837" s="1" t="s">
        <v>24405</v>
      </c>
      <c r="K11837" s="1" t="str">
        <f t="shared" si="748"/>
        <v>ㄞ</v>
      </c>
      <c r="M11837" s="1" t="str">
        <f t="shared" si="749"/>
        <v/>
      </c>
      <c r="N11837" s="3" t="s">
        <v>30574</v>
      </c>
      <c r="O11837" s="3"/>
      <c r="P11837" s="1" t="s">
        <v>20</v>
      </c>
      <c r="R11837" s="1" t="s">
        <v>24406</v>
      </c>
      <c r="V11837" s="1" t="s">
        <v>24434</v>
      </c>
      <c r="AR11837" s="1" t="str">
        <f t="shared" si="747"/>
        <v>| [ㄞˋ](ㄞˋ.md) | [鑀](鑀.md) |  | ài | [名]
（einsteinium，Es）化學元素。原子序99。超鈾元素之一，放射性極強。大陸地區譯為鎄。 |</v>
      </c>
    </row>
    <row r="11838" spans="1:44" hidden="1">
      <c r="A11838" s="1" t="s">
        <v>24435</v>
      </c>
      <c r="C11838" s="1">
        <v>1</v>
      </c>
      <c r="D11838" s="1" t="str">
        <f>"10345"</f>
        <v>10345</v>
      </c>
      <c r="E11838" s="1" t="s">
        <v>125</v>
      </c>
      <c r="F11838" s="1">
        <v>25</v>
      </c>
      <c r="G11838" s="1">
        <v>17</v>
      </c>
      <c r="H11838" s="1">
        <v>0</v>
      </c>
      <c r="I11838" s="1" t="s">
        <v>24405</v>
      </c>
      <c r="K11838" s="1" t="str">
        <f t="shared" si="748"/>
        <v>ㄞ</v>
      </c>
      <c r="M11838" s="1" t="str">
        <f t="shared" si="749"/>
        <v/>
      </c>
      <c r="N11838" s="3" t="s">
        <v>30574</v>
      </c>
      <c r="O11838" s="3"/>
      <c r="P11838" s="1" t="s">
        <v>20</v>
      </c>
      <c r="R11838" s="1" t="s">
        <v>24406</v>
      </c>
      <c r="V11838" s="1" t="s">
        <v>24436</v>
      </c>
      <c r="AR11838" s="1" t="str">
        <f t="shared" si="747"/>
        <v>| [ㄞˋ](ㄞˋ.md) | [靉](靉.md) |  | ài | 參見「靉靆」、「靉靉」等條。 |</v>
      </c>
    </row>
    <row r="11839" spans="1:44" hidden="1">
      <c r="A11839" s="1" t="s">
        <v>24437</v>
      </c>
      <c r="C11839" s="1">
        <v>1</v>
      </c>
      <c r="D11839" s="1" t="str">
        <f>"10346"</f>
        <v>10346</v>
      </c>
      <c r="E11839" s="1" t="s">
        <v>193</v>
      </c>
      <c r="F11839" s="1">
        <v>17</v>
      </c>
      <c r="G11839" s="1">
        <v>9</v>
      </c>
      <c r="H11839" s="1">
        <v>0</v>
      </c>
      <c r="I11839" s="1" t="s">
        <v>24405</v>
      </c>
      <c r="K11839" s="1" t="str">
        <f t="shared" si="748"/>
        <v>ㄞ</v>
      </c>
      <c r="M11839" s="1" t="str">
        <f t="shared" si="749"/>
        <v/>
      </c>
      <c r="N11839" s="3" t="s">
        <v>30574</v>
      </c>
      <c r="O11839" s="3"/>
      <c r="P11839" s="1" t="s">
        <v>20</v>
      </c>
      <c r="R11839" s="1" t="s">
        <v>24406</v>
      </c>
      <c r="V11839" s="1" t="s">
        <v>24438</v>
      </c>
      <c r="AR11839" s="1" t="str">
        <f t="shared" si="747"/>
        <v>| [ㄞˋ](ㄞˋ.md) | [餲](餲.md) |  | ài | [形]
食物變味。《論語．鄉黨》：「食饐而餲，魚餒而肉敗，不食。」明．李時珍《本草綱目．卷六．火部．蘆火》：「觀夫茶味之美惡，飯味之甘餲，皆係于水火烹飪之得失。」 |</v>
      </c>
    </row>
    <row r="11840" spans="1:44" hidden="1">
      <c r="A11840" s="1" t="s">
        <v>24439</v>
      </c>
      <c r="C11840" s="1">
        <v>1</v>
      </c>
      <c r="D11840" s="1" t="str">
        <f>"10347"</f>
        <v>10347</v>
      </c>
      <c r="E11840" s="1" t="s">
        <v>169</v>
      </c>
      <c r="F11840" s="1">
        <v>19</v>
      </c>
      <c r="G11840" s="1">
        <v>14</v>
      </c>
      <c r="H11840" s="1">
        <v>0</v>
      </c>
      <c r="I11840" s="1" t="s">
        <v>24405</v>
      </c>
      <c r="K11840" s="1" t="str">
        <f t="shared" si="748"/>
        <v>ㄞ</v>
      </c>
      <c r="M11840" s="1" t="str">
        <f t="shared" si="749"/>
        <v/>
      </c>
      <c r="N11840" s="3" t="s">
        <v>30574</v>
      </c>
      <c r="O11840" s="3"/>
      <c r="P11840" s="1" t="s">
        <v>20</v>
      </c>
      <c r="R11840" s="1" t="s">
        <v>24406</v>
      </c>
      <c r="V11840" s="1" t="s">
        <v>24440</v>
      </c>
      <c r="AR11840" s="1" t="str">
        <f t="shared" si="747"/>
        <v>| [ㄞˋ](ㄞˋ.md) | [礙](礙.md) |  | ài | [動]
1.阻止。《說文解字．石部》：「礙，止也。」宋．范成大〈四時田園雜興〉詩六〇首之四〇：「靜看簷蛛結網低，無端妨礙小蟲飛。」
2.限制。漢．揚雄《法言．問道》：「聖人之治天下也，礙諸以禮樂。」
3.妨害。如：「有礙觀瞻」。《鏡花緣》第三九回：「命名相同的甚多，亦有何礙。」
4.掩蔽。唐．方干〈題報恩寺上方〉詩：「巖溜噴空晴似雨，林蘿礙日夏多寒。」
5.牽掛。《兒女英雄傳》第二二回：「那時我身入空門，一身無礙，萬緣俱寂。」 |</v>
      </c>
    </row>
    <row r="11841" spans="1:44" hidden="1">
      <c r="A11841" s="1" t="s">
        <v>4714</v>
      </c>
      <c r="C11841" s="1">
        <v>1</v>
      </c>
      <c r="D11841" s="1" t="str">
        <f>"10315"</f>
        <v>10315</v>
      </c>
      <c r="E11841" s="1" t="s">
        <v>28</v>
      </c>
      <c r="F11841" s="1">
        <v>7</v>
      </c>
      <c r="G11841" s="1">
        <v>4</v>
      </c>
      <c r="H11841" s="1">
        <v>2</v>
      </c>
      <c r="I11841" s="1" t="s">
        <v>24366</v>
      </c>
      <c r="K11841" s="1" t="str">
        <f t="shared" si="748"/>
        <v>ㄞ</v>
      </c>
      <c r="M11841" s="1" t="str">
        <f t="shared" si="749"/>
        <v/>
      </c>
      <c r="N11841" s="3" t="s">
        <v>30575</v>
      </c>
      <c r="O11841" s="3"/>
      <c r="P11841" s="1" t="s">
        <v>110</v>
      </c>
      <c r="R11841" s="1" t="s">
        <v>24367</v>
      </c>
      <c r="V11841" s="1" t="s">
        <v>111</v>
      </c>
      <c r="W11841" s="1" t="s">
        <v>24368</v>
      </c>
      <c r="AR11841" s="1" t="str">
        <f t="shared" si="747"/>
        <v>| [ㄞˊ](ㄞˊ.md) | [呆](呆.md) |  | ái | (一)之又音。 |</v>
      </c>
    </row>
    <row r="11842" spans="1:44" hidden="1">
      <c r="A11842" s="1" t="s">
        <v>24359</v>
      </c>
      <c r="C11842" s="1">
        <v>1</v>
      </c>
      <c r="D11842" s="1" t="str">
        <f>"10316"</f>
        <v>10316</v>
      </c>
      <c r="E11842" s="1" t="s">
        <v>24</v>
      </c>
      <c r="F11842" s="1">
        <v>10</v>
      </c>
      <c r="G11842" s="1">
        <v>7</v>
      </c>
      <c r="H11842" s="1">
        <v>2</v>
      </c>
      <c r="I11842" s="1" t="s">
        <v>24366</v>
      </c>
      <c r="K11842" s="1" t="str">
        <f t="shared" si="748"/>
        <v>ㄞ</v>
      </c>
      <c r="M11842" s="1" t="str">
        <f t="shared" si="749"/>
        <v/>
      </c>
      <c r="N11842" s="3" t="s">
        <v>30575</v>
      </c>
      <c r="O11842" s="3"/>
      <c r="P11842" s="1" t="s">
        <v>20</v>
      </c>
      <c r="R11842" s="1" t="s">
        <v>24367</v>
      </c>
      <c r="V11842" s="1" t="s">
        <v>24369</v>
      </c>
      <c r="W11842" s="1" t="s">
        <v>24370</v>
      </c>
      <c r="AR11842" s="1" t="str">
        <f t="shared" si="747"/>
        <v>| [ㄞˊ](ㄞˊ.md) | [挨](挨.md) |  | ái | (一)[動]2.4.5.6.之又音。 |</v>
      </c>
    </row>
    <row r="11843" spans="1:44" hidden="1">
      <c r="A11843" s="1" t="s">
        <v>24371</v>
      </c>
      <c r="C11843" s="1">
        <v>1</v>
      </c>
      <c r="D11843" s="1" t="str">
        <f>"10317"</f>
        <v>10317</v>
      </c>
      <c r="E11843" s="1" t="s">
        <v>319</v>
      </c>
      <c r="F11843" s="1">
        <v>17</v>
      </c>
      <c r="G11843" s="1">
        <v>7</v>
      </c>
      <c r="H11843" s="1">
        <v>0</v>
      </c>
      <c r="I11843" s="1" t="s">
        <v>24366</v>
      </c>
      <c r="K11843" s="1" t="str">
        <f t="shared" si="748"/>
        <v>ㄞ</v>
      </c>
      <c r="M11843" s="1" t="str">
        <f t="shared" si="749"/>
        <v/>
      </c>
      <c r="N11843" s="3" t="s">
        <v>30575</v>
      </c>
      <c r="O11843" s="3"/>
      <c r="P11843" s="1" t="s">
        <v>20</v>
      </c>
      <c r="R11843" s="1" t="s">
        <v>24367</v>
      </c>
      <c r="V11843" s="1" t="s">
        <v>24372</v>
      </c>
      <c r="AR11843" s="1" t="str">
        <f t="shared" ref="AR11843:AR11906" si="751">"| ["&amp;I11843&amp;"]("&amp;I11843&amp;".md) | ["&amp;A11843&amp;"]("&amp;A11843&amp;".md) | "&amp;" | "&amp;R11843&amp;" | "&amp;V11843&amp;" |"</f>
        <v>| [ㄞˊ](ㄞˊ.md) | [騃](騃.md) |  | ái | [形]
痴呆、愚笨的樣子。如：「痴騃」、「愚騃」。《漢書．卷四五．息夫躬傳》：「外有直項之名，內實騃不曉政事。」 |</v>
      </c>
    </row>
    <row r="11844" spans="1:44" hidden="1">
      <c r="A11844" s="1" t="s">
        <v>24373</v>
      </c>
      <c r="C11844" s="1">
        <v>1</v>
      </c>
      <c r="D11844" s="1" t="str">
        <f>"10318"</f>
        <v>10318</v>
      </c>
      <c r="E11844" s="1" t="s">
        <v>132</v>
      </c>
      <c r="F11844" s="1">
        <v>11</v>
      </c>
      <c r="G11844" s="1">
        <v>8</v>
      </c>
      <c r="H11844" s="1">
        <v>0</v>
      </c>
      <c r="I11844" s="1" t="s">
        <v>24366</v>
      </c>
      <c r="K11844" s="1" t="str">
        <f t="shared" si="748"/>
        <v>ㄞ</v>
      </c>
      <c r="M11844" s="1" t="str">
        <f t="shared" si="749"/>
        <v/>
      </c>
      <c r="N11844" s="3" t="s">
        <v>30575</v>
      </c>
      <c r="O11844" s="3"/>
      <c r="P11844" s="1" t="s">
        <v>20</v>
      </c>
      <c r="R11844" s="1" t="s">
        <v>24367</v>
      </c>
      <c r="V11844" s="1" t="s">
        <v>24374</v>
      </c>
      <c r="AR11844" s="1" t="str">
        <f t="shared" si="751"/>
        <v>| [ㄞˊ](ㄞˊ.md) | [堐](堐.md) |  | ái | [名]
地名用字。如山東省沂水縣有洛河堐。 |</v>
      </c>
    </row>
    <row r="11845" spans="1:44" hidden="1">
      <c r="A11845" s="1" t="s">
        <v>24375</v>
      </c>
      <c r="C11845" s="1">
        <v>1</v>
      </c>
      <c r="D11845" s="1" t="str">
        <f>"10319"</f>
        <v>10319</v>
      </c>
      <c r="E11845" s="1" t="s">
        <v>24</v>
      </c>
      <c r="F11845" s="1">
        <v>11</v>
      </c>
      <c r="G11845" s="1">
        <v>8</v>
      </c>
      <c r="H11845" s="1">
        <v>0</v>
      </c>
      <c r="I11845" s="1" t="s">
        <v>24366</v>
      </c>
      <c r="K11845" s="1" t="str">
        <f t="shared" si="748"/>
        <v>ㄞ</v>
      </c>
      <c r="M11845" s="1" t="str">
        <f t="shared" si="749"/>
        <v/>
      </c>
      <c r="N11845" s="3" t="s">
        <v>30575</v>
      </c>
      <c r="O11845" s="3"/>
      <c r="P11845" s="1" t="s">
        <v>20</v>
      </c>
      <c r="R11845" s="1" t="s">
        <v>24367</v>
      </c>
      <c r="V11845" s="1" t="s">
        <v>24376</v>
      </c>
      <c r="AR11845" s="1" t="str">
        <f t="shared" si="751"/>
        <v>| [ㄞˊ](ㄞˊ.md) | [捱](捱.md) |  | ái | [動]
1.抗拒。《集韻．平聲．佳韻》：「捱，拒也。」
2.拖延。通「挨」。《醒世姻緣傳》第四二回：「若抗拒延捱，打了你自己，還拿你家屬送監。」
3.靠近、依靠。通「挨」。如：「捱著身體」。元．佚名《看錢奴》第三折：「可憐見俺無捱無倚，無主無靠。」
4.承受。通「挨」。《紅樓夢》第一九回：「先時還掙扎的住，次後捱不住，只要睡著。」 |</v>
      </c>
    </row>
    <row r="11846" spans="1:44" hidden="1">
      <c r="A11846" s="1" t="s">
        <v>4722</v>
      </c>
      <c r="C11846" s="1">
        <v>1</v>
      </c>
      <c r="D11846" s="1" t="str">
        <f>"10320"</f>
        <v>10320</v>
      </c>
      <c r="E11846" s="1" t="s">
        <v>198</v>
      </c>
      <c r="F11846" s="1">
        <v>14</v>
      </c>
      <c r="G11846" s="1">
        <v>10</v>
      </c>
      <c r="H11846" s="1">
        <v>2</v>
      </c>
      <c r="I11846" s="1" t="s">
        <v>24366</v>
      </c>
      <c r="K11846" s="1" t="str">
        <f t="shared" si="748"/>
        <v>ㄞ</v>
      </c>
      <c r="M11846" s="1" t="str">
        <f t="shared" si="749"/>
        <v/>
      </c>
      <c r="N11846" s="3" t="s">
        <v>30575</v>
      </c>
      <c r="O11846" s="3"/>
      <c r="P11846" s="1" t="s">
        <v>110</v>
      </c>
      <c r="R11846" s="1" t="s">
        <v>24367</v>
      </c>
      <c r="V11846" s="1" t="s">
        <v>111</v>
      </c>
      <c r="W11846" s="1" t="s">
        <v>24377</v>
      </c>
      <c r="AR11846" s="1" t="str">
        <f t="shared" si="751"/>
        <v>| [ㄞˊ](ㄞˊ.md) | [獃](獃.md) |  | ái | (一)之又音。 |</v>
      </c>
    </row>
    <row r="11847" spans="1:44" hidden="1">
      <c r="A11847" s="1" t="s">
        <v>24378</v>
      </c>
      <c r="C11847" s="1">
        <v>1</v>
      </c>
      <c r="D11847" s="1" t="str">
        <f>"10321"</f>
        <v>10321</v>
      </c>
      <c r="E11847" s="1" t="s">
        <v>426</v>
      </c>
      <c r="F11847" s="1">
        <v>14</v>
      </c>
      <c r="G11847" s="1">
        <v>10</v>
      </c>
      <c r="H11847" s="1">
        <v>0</v>
      </c>
      <c r="I11847" s="1" t="s">
        <v>24366</v>
      </c>
      <c r="K11847" s="1" t="str">
        <f t="shared" si="748"/>
        <v>ㄞ</v>
      </c>
      <c r="M11847" s="1" t="str">
        <f t="shared" si="749"/>
        <v/>
      </c>
      <c r="N11847" s="3" t="s">
        <v>30575</v>
      </c>
      <c r="O11847" s="3"/>
      <c r="P11847" s="1" t="s">
        <v>20</v>
      </c>
      <c r="R11847" s="1" t="s">
        <v>24367</v>
      </c>
      <c r="V11847" s="1" t="s">
        <v>24379</v>
      </c>
      <c r="AR11847" s="1" t="str">
        <f t="shared" si="751"/>
        <v>| [ㄞˊ](ㄞˊ.md) | [敳](敳.md) |  | ái | [名]
人名用字。如古代神話中有隤敳。後取其字為姓。 |</v>
      </c>
    </row>
    <row r="11848" spans="1:44" hidden="1">
      <c r="A11848" s="1" t="s">
        <v>24380</v>
      </c>
      <c r="C11848" s="1">
        <v>1</v>
      </c>
      <c r="D11848" s="1" t="str">
        <f>"10322"</f>
        <v>10322</v>
      </c>
      <c r="E11848" s="1" t="s">
        <v>169</v>
      </c>
      <c r="F11848" s="1">
        <v>15</v>
      </c>
      <c r="G11848" s="1">
        <v>10</v>
      </c>
      <c r="H11848" s="1">
        <v>2</v>
      </c>
      <c r="I11848" s="1" t="s">
        <v>24366</v>
      </c>
      <c r="K11848" s="1" t="str">
        <f t="shared" si="748"/>
        <v>ㄞ</v>
      </c>
      <c r="M11848" s="1" t="str">
        <f t="shared" si="749"/>
        <v/>
      </c>
      <c r="N11848" s="3" t="s">
        <v>30575</v>
      </c>
      <c r="O11848" s="3"/>
      <c r="P11848" s="1" t="s">
        <v>20</v>
      </c>
      <c r="R11848" s="1" t="s">
        <v>24367</v>
      </c>
      <c r="V11848" s="1" t="s">
        <v>24381</v>
      </c>
      <c r="W11848" s="1" t="s">
        <v>24382</v>
      </c>
      <c r="AR11848" s="1" t="str">
        <f t="shared" si="751"/>
        <v>| [ㄞˊ](ㄞˊ.md) | [磑](磑.md) |  | ái | [形]
磑磑：(1)高的樣子。《集韻．平聲．咍韻》：「磑，磑磑，高貌。」《文選．宋玉．高唐賦》：「盤岸巑岏，裖陳磑磑。」唐．李善．注：「磑磑，高貌。」(2)光亮的樣子。《文選．枚乘．七發》：「白刃磑磑，矛戟交錯。」(3)堅硬的樣子。《文選．張衡．思玄賦》：「行積冰之磑磑兮，清泉沍而不流。」(4)聚積的樣子。《漢書．卷二二．禮樂志》：「磑磑即即，師象山則。」 |</v>
      </c>
    </row>
    <row r="11849" spans="1:44" hidden="1">
      <c r="A11849" s="1" t="s">
        <v>24383</v>
      </c>
      <c r="C11849" s="1">
        <v>1</v>
      </c>
      <c r="D11849" s="1" t="str">
        <f>"10323"</f>
        <v>10323</v>
      </c>
      <c r="E11849" s="1" t="s">
        <v>205</v>
      </c>
      <c r="F11849" s="1">
        <v>15</v>
      </c>
      <c r="G11849" s="1">
        <v>10</v>
      </c>
      <c r="H11849" s="1">
        <v>0</v>
      </c>
      <c r="I11849" s="1" t="s">
        <v>24366</v>
      </c>
      <c r="K11849" s="1" t="str">
        <f t="shared" si="748"/>
        <v>ㄞ</v>
      </c>
      <c r="M11849" s="1" t="str">
        <f t="shared" si="749"/>
        <v/>
      </c>
      <c r="N11849" s="3" t="s">
        <v>30575</v>
      </c>
      <c r="O11849" s="3"/>
      <c r="P11849" s="1" t="s">
        <v>20</v>
      </c>
      <c r="R11849" s="1" t="s">
        <v>24367</v>
      </c>
      <c r="V11849" s="1" t="s">
        <v>24384</v>
      </c>
      <c r="AR11849" s="1" t="str">
        <f t="shared" si="751"/>
        <v>| [ㄞˊ](ㄞˊ.md) | [皚](皚.md) |  | ái | [形]
潔白。常疊用。如：「白雪皚皚」。漢．卓文君〈白頭吟〉：「皚如山上雪，皎若雲間月。」 |</v>
      </c>
    </row>
    <row r="11850" spans="1:44" hidden="1">
      <c r="A11850" s="1" t="s">
        <v>24385</v>
      </c>
      <c r="C11850" s="1">
        <v>1</v>
      </c>
      <c r="D11850" s="1" t="str">
        <f>"10324"</f>
        <v>10324</v>
      </c>
      <c r="E11850" s="1" t="s">
        <v>40</v>
      </c>
      <c r="F11850" s="1">
        <v>17</v>
      </c>
      <c r="G11850" s="1">
        <v>12</v>
      </c>
      <c r="H11850" s="1">
        <v>2</v>
      </c>
      <c r="I11850" s="1" t="s">
        <v>24366</v>
      </c>
      <c r="K11850" s="1" t="str">
        <f t="shared" si="748"/>
        <v>ㄞ</v>
      </c>
      <c r="M11850" s="1" t="str">
        <f t="shared" si="749"/>
        <v/>
      </c>
      <c r="N11850" s="3" t="s">
        <v>30575</v>
      </c>
      <c r="O11850" s="3"/>
      <c r="P11850" s="1" t="s">
        <v>110</v>
      </c>
      <c r="R11850" s="1" t="s">
        <v>24367</v>
      </c>
      <c r="V11850" s="1" t="s">
        <v>111</v>
      </c>
      <c r="W11850" s="1" t="s">
        <v>24386</v>
      </c>
      <c r="AR11850" s="1" t="str">
        <f t="shared" si="751"/>
        <v>| [ㄞˊ](ㄞˊ.md) | [癌](癌.md) |  | ái | (一)之又音。 |</v>
      </c>
    </row>
    <row r="11851" spans="1:44" hidden="1">
      <c r="A11851" s="1" t="s">
        <v>24387</v>
      </c>
      <c r="C11851" s="1">
        <v>1</v>
      </c>
      <c r="D11851" s="1" t="str">
        <f>"10325"</f>
        <v>10325</v>
      </c>
      <c r="E11851" s="1" t="s">
        <v>2870</v>
      </c>
      <c r="F11851" s="1">
        <v>7</v>
      </c>
      <c r="G11851" s="1">
        <v>3</v>
      </c>
      <c r="H11851" s="1">
        <v>0</v>
      </c>
      <c r="I11851" s="1" t="s">
        <v>24388</v>
      </c>
      <c r="K11851" s="1" t="str">
        <f t="shared" si="748"/>
        <v>ㄞ</v>
      </c>
      <c r="M11851" s="1" t="str">
        <f t="shared" si="749"/>
        <v/>
      </c>
      <c r="N11851" s="3" t="s">
        <v>30576</v>
      </c>
      <c r="O11851" s="3"/>
      <c r="P11851" s="1" t="s">
        <v>20</v>
      </c>
      <c r="R11851" s="1" t="s">
        <v>24389</v>
      </c>
      <c r="V11851" s="1" t="s">
        <v>24390</v>
      </c>
      <c r="AR11851" s="1" t="str">
        <f t="shared" si="751"/>
        <v>| [ㄞˇ](ㄞˇ.md) | [毐](毐.md) |  | ǎi | [名]
沒有德性的士人。《說文解字．毋部》：「毐，士之無行者。」 |</v>
      </c>
    </row>
    <row r="11852" spans="1:44" hidden="1">
      <c r="A11852" s="1" t="s">
        <v>24391</v>
      </c>
      <c r="C11852" s="1">
        <v>1</v>
      </c>
      <c r="D11852" s="1" t="str">
        <f>"10326"</f>
        <v>10326</v>
      </c>
      <c r="E11852" s="1" t="s">
        <v>114</v>
      </c>
      <c r="F11852" s="1">
        <v>7</v>
      </c>
      <c r="G11852" s="1">
        <v>5</v>
      </c>
      <c r="H11852" s="1">
        <v>0</v>
      </c>
      <c r="I11852" s="1" t="s">
        <v>24388</v>
      </c>
      <c r="K11852" s="1" t="str">
        <f t="shared" si="748"/>
        <v>ㄞ</v>
      </c>
      <c r="M11852" s="1" t="str">
        <f t="shared" si="749"/>
        <v/>
      </c>
      <c r="N11852" s="3" t="s">
        <v>30576</v>
      </c>
      <c r="O11852" s="3"/>
      <c r="P11852" s="1" t="s">
        <v>20</v>
      </c>
      <c r="R11852" s="1" t="s">
        <v>24389</v>
      </c>
      <c r="V11852" s="1" t="s">
        <v>24392</v>
      </c>
      <c r="AR11852" s="1" t="str">
        <f t="shared" si="751"/>
        <v>| [ㄞˇ](ㄞˇ.md) | [佁](佁.md) |  | ǎi | [形]
痴呆的樣子。《說文解字．人部》：「佁，痴貌。」 |</v>
      </c>
    </row>
    <row r="11853" spans="1:44" hidden="1">
      <c r="A11853" s="1" t="s">
        <v>24364</v>
      </c>
      <c r="C11853" s="1">
        <v>1</v>
      </c>
      <c r="D11853" s="1" t="str">
        <f>"10327"</f>
        <v>10327</v>
      </c>
      <c r="E11853" s="1" t="s">
        <v>1908</v>
      </c>
      <c r="F11853" s="1">
        <v>11</v>
      </c>
      <c r="G11853" s="1">
        <v>7</v>
      </c>
      <c r="H11853" s="1">
        <v>1</v>
      </c>
      <c r="I11853" s="1" t="s">
        <v>24388</v>
      </c>
      <c r="K11853" s="1" t="str">
        <f t="shared" si="748"/>
        <v>ㄞ</v>
      </c>
      <c r="M11853" s="1" t="str">
        <f t="shared" si="749"/>
        <v/>
      </c>
      <c r="N11853" s="3" t="s">
        <v>30576</v>
      </c>
      <c r="O11853" s="3"/>
      <c r="P11853" s="1" t="s">
        <v>20</v>
      </c>
      <c r="R11853" s="1" t="s">
        <v>24389</v>
      </c>
      <c r="V11853" s="1" t="s">
        <v>24393</v>
      </c>
      <c r="W11853" s="1" t="s">
        <v>24394</v>
      </c>
      <c r="AR11853" s="1" t="str">
        <f t="shared" si="751"/>
        <v>| [ㄞˇ](ㄞˇ.md) | [欸](欸.md) |  | ǎi | [動]_x000D_
1.大聲斥責。《說文解字．欠部》：「欸，訾也。」《玉篇．欠部》：「欸，呰也。」_x000D_
2.嘆息、感嘆。《楚辭．屈原．九章．涉江》：「乘鄂渚而反顧兮，欸秋冬之緒風。」_x000D_
[擬]_x000D_
參見「欸乃」條。 |</v>
      </c>
    </row>
    <row r="11854" spans="1:44" hidden="1">
      <c r="A11854" s="1" t="s">
        <v>24395</v>
      </c>
      <c r="C11854" s="1">
        <v>1</v>
      </c>
      <c r="D11854" s="1" t="str">
        <f>"10328"</f>
        <v>10328</v>
      </c>
      <c r="E11854" s="1" t="s">
        <v>122</v>
      </c>
      <c r="F11854" s="1">
        <v>13</v>
      </c>
      <c r="G11854" s="1">
        <v>8</v>
      </c>
      <c r="H11854" s="1">
        <v>0</v>
      </c>
      <c r="I11854" s="1" t="s">
        <v>24388</v>
      </c>
      <c r="K11854" s="1" t="str">
        <f t="shared" si="748"/>
        <v>ㄞ</v>
      </c>
      <c r="M11854" s="1" t="str">
        <f t="shared" si="749"/>
        <v/>
      </c>
      <c r="N11854" s="3" t="s">
        <v>30576</v>
      </c>
      <c r="O11854" s="3"/>
      <c r="P11854" s="1" t="s">
        <v>20</v>
      </c>
      <c r="R11854" s="1" t="s">
        <v>24389</v>
      </c>
      <c r="V11854" s="1" t="s">
        <v>24396</v>
      </c>
      <c r="AR11854" s="1" t="str">
        <f t="shared" si="751"/>
        <v>| [ㄞˇ](ㄞˇ.md) | [矮](矮.md) |  | ǎi | [形]
1.身材短小。如：「白雪公主和七個小矮人。」《舊唐書．卷一九二．隱逸傳．陽城傳》：「道州土地產民多矮，每年常配鄉戶貢其男，號為矮奴。」
2.低的、不高的。如：「矮樹」、「矮凳」。《紅樓夢》第八三回：「矮牆淺屋的，難道都不怕親戚們聽見笑話了麼？」
3.卑下的。《程乙本紅樓夢》第四六回：「當著矮人，別說矮話。」 |</v>
      </c>
    </row>
    <row r="11855" spans="1:44" hidden="1">
      <c r="A11855" s="1" t="s">
        <v>24397</v>
      </c>
      <c r="C11855" s="1">
        <v>1</v>
      </c>
      <c r="D11855" s="1" t="str">
        <f>"10329"</f>
        <v>10329</v>
      </c>
      <c r="E11855" s="1" t="s">
        <v>28</v>
      </c>
      <c r="F11855" s="1">
        <v>16</v>
      </c>
      <c r="G11855" s="1">
        <v>13</v>
      </c>
      <c r="H11855" s="1">
        <v>1</v>
      </c>
      <c r="I11855" s="1" t="s">
        <v>24388</v>
      </c>
      <c r="K11855" s="1" t="str">
        <f t="shared" si="748"/>
        <v>ㄞ</v>
      </c>
      <c r="M11855" s="1" t="str">
        <f t="shared" si="749"/>
        <v/>
      </c>
      <c r="N11855" s="3" t="s">
        <v>30576</v>
      </c>
      <c r="O11855" s="3"/>
      <c r="P11855" s="1" t="s">
        <v>20</v>
      </c>
      <c r="R11855" s="1" t="s">
        <v>24389</v>
      </c>
      <c r="V11855" s="1" t="s">
        <v>24398</v>
      </c>
      <c r="W11855" s="1" t="s">
        <v>24399</v>
      </c>
      <c r="AR11855" s="1" t="str">
        <f t="shared" si="751"/>
        <v>| [ㄞˇ](ㄞˇ.md) | [噯](噯.md) |  | ǎi | [歎]
表示不同意或否定的感嘆語氣。明．汪錂《春蕪記》第一七齣：「噯！大丈夫一言契合，頸可刎，心可剖，有甚難說的心事。」 |</v>
      </c>
    </row>
    <row r="11856" spans="1:44" hidden="1">
      <c r="A11856" s="1" t="s">
        <v>24400</v>
      </c>
      <c r="C11856" s="1">
        <v>1</v>
      </c>
      <c r="D11856" s="1" t="str">
        <f>"10330"</f>
        <v>10330</v>
      </c>
      <c r="E11856" s="1" t="s">
        <v>37</v>
      </c>
      <c r="F11856" s="1">
        <v>20</v>
      </c>
      <c r="G11856" s="1">
        <v>16</v>
      </c>
      <c r="H11856" s="1">
        <v>0</v>
      </c>
      <c r="I11856" s="1" t="s">
        <v>24388</v>
      </c>
      <c r="K11856" s="1" t="str">
        <f t="shared" si="748"/>
        <v>ㄞ</v>
      </c>
      <c r="M11856" s="1" t="str">
        <f t="shared" si="749"/>
        <v/>
      </c>
      <c r="N11856" s="3" t="s">
        <v>30576</v>
      </c>
      <c r="O11856" s="3"/>
      <c r="P11856" s="1" t="s">
        <v>20</v>
      </c>
      <c r="R11856" s="1" t="s">
        <v>24389</v>
      </c>
      <c r="V11856" s="1" t="s">
        <v>24401</v>
      </c>
      <c r="AR11856" s="1" t="str">
        <f t="shared" si="751"/>
        <v>| [ㄞˇ](ㄞˇ.md) | [藹](藹.md) |  | ǎi | [形]
1.繁茂、茂盛。《楚辭．宋玉．九辯》：「離芳藹之方壯兮，余萎約而悲愁。」
2.美好、和善。如：「和藹可親」。南朝梁．江淹〈蕭重讓揚州表〉：「丹青所以傳其藹，磬琯所以揚其音也。」唐．韓愈〈答李翊書〉：「仁義之人，其言藹如也。」
[名]
雲氣。通「靄」。《文選．陸機．挽歌三首之三》：「悲風徽行軌，傾雲結流藹。」
[動]
遮掩、籠罩。《文選．顏延之．直東宮答鄭尚書詩》：「流雲藹青闕，皓月鑒丹宮。」宋．朱淑貞〈弔林和靖〉詩：「不識酌泉拈菊意，一庭寒翠藹空祠。」 |</v>
      </c>
    </row>
    <row r="11857" spans="1:44" hidden="1">
      <c r="A11857" s="1" t="s">
        <v>24402</v>
      </c>
      <c r="C11857" s="1">
        <v>1</v>
      </c>
      <c r="D11857" s="1" t="str">
        <f>"10331"</f>
        <v>10331</v>
      </c>
      <c r="E11857" s="1" t="s">
        <v>125</v>
      </c>
      <c r="F11857" s="1">
        <v>24</v>
      </c>
      <c r="G11857" s="1">
        <v>16</v>
      </c>
      <c r="H11857" s="1">
        <v>0</v>
      </c>
      <c r="I11857" s="1" t="s">
        <v>24388</v>
      </c>
      <c r="K11857" s="1" t="str">
        <f t="shared" si="748"/>
        <v>ㄞ</v>
      </c>
      <c r="M11857" s="1" t="str">
        <f t="shared" si="749"/>
        <v/>
      </c>
      <c r="N11857" s="3" t="s">
        <v>30576</v>
      </c>
      <c r="O11857" s="3"/>
      <c r="P11857" s="1" t="s">
        <v>20</v>
      </c>
      <c r="R11857" s="1" t="s">
        <v>24389</v>
      </c>
      <c r="V11857" s="1" t="s">
        <v>24403</v>
      </c>
      <c r="AR11857" s="1" t="str">
        <f t="shared" si="751"/>
        <v>| [ㄞˇ](ㄞˇ.md) | [靄](靄.md) |  | ǎi | [形]
參見「靄靄」條。
[名]
煙霧、雲氣。唐．王維〈終南山〉詩：「白雲迴望合，青靄入看無。」宋．柳永〈雨霖鈴．寒蟬淒切〉詞：「念去去、千里煙波，暮靄沉沉楚天闊。」 |</v>
      </c>
    </row>
    <row r="11858" spans="1:44" hidden="1">
      <c r="A11858" s="1" t="s">
        <v>24364</v>
      </c>
      <c r="C11858" s="1">
        <v>1</v>
      </c>
      <c r="D11858" s="1" t="str">
        <f>"10348"</f>
        <v>10348</v>
      </c>
      <c r="E11858" s="1" t="s">
        <v>1908</v>
      </c>
      <c r="F11858" s="1">
        <v>11</v>
      </c>
      <c r="G11858" s="1">
        <v>7</v>
      </c>
      <c r="H11858" s="1">
        <v>3</v>
      </c>
      <c r="I11858" s="1" t="s">
        <v>24441</v>
      </c>
      <c r="K11858" s="1" t="str">
        <f t="shared" si="748"/>
        <v>ㄟ</v>
      </c>
      <c r="M11858" s="1" t="str">
        <f t="shared" si="749"/>
        <v/>
      </c>
      <c r="N11858" s="3" t="s">
        <v>30574</v>
      </c>
      <c r="O11858" s="3"/>
      <c r="P11858" s="1" t="s">
        <v>20</v>
      </c>
      <c r="R11858" s="1" t="s">
        <v>24442</v>
      </c>
      <c r="V11858" s="1" t="s">
        <v>24443</v>
      </c>
      <c r="W11858" s="1" t="s">
        <v>24444</v>
      </c>
      <c r="AR11858" s="1" t="str">
        <f t="shared" si="751"/>
        <v>| [ㄟˋ](ㄟˋ.md) | [欸](欸.md) |  | èi | [歎]
表承諾的語氣。如：「欸！我可以照辦。」 |</v>
      </c>
    </row>
    <row r="11859" spans="1:44" hidden="1">
      <c r="A11859" s="1" t="s">
        <v>24449</v>
      </c>
      <c r="C11859" s="1">
        <v>1</v>
      </c>
      <c r="D11859" s="1" t="str">
        <f>"10350"</f>
        <v>10350</v>
      </c>
      <c r="E11859" s="1" t="s">
        <v>5293</v>
      </c>
      <c r="F11859" s="1">
        <v>5</v>
      </c>
      <c r="G11859" s="1">
        <v>3</v>
      </c>
      <c r="H11859" s="1">
        <v>1</v>
      </c>
      <c r="I11859" s="1" t="s">
        <v>24450</v>
      </c>
      <c r="K11859" s="1" t="str">
        <f t="shared" si="748"/>
        <v>ㄠ</v>
      </c>
      <c r="L11859" s="1" t="str">
        <f>MID(I11859, 2, 1)</f>
        <v/>
      </c>
      <c r="M11859" s="1" t="str">
        <f t="shared" si="749"/>
        <v/>
      </c>
      <c r="P11859" s="1" t="s">
        <v>20</v>
      </c>
      <c r="R11859" s="1" t="s">
        <v>24451</v>
      </c>
      <c r="V11859" s="1" t="s">
        <v>24452</v>
      </c>
      <c r="W11859" s="1" t="s">
        <v>24453</v>
      </c>
      <c r="AR11859" s="1" t="str">
        <f t="shared" si="751"/>
        <v>| [ㄠ](ㄠ.md) | [凹](凹.md) |  | āo | [形]
低於周圍或縮進去的。如：「凹地」、「凹凸不平」。南朝梁．江淹〈青苔賦〉：「悲凹嶮兮，唯流水而馳騖。」 |</v>
      </c>
    </row>
    <row r="11860" spans="1:44" hidden="1">
      <c r="A11860" s="1" t="s">
        <v>24454</v>
      </c>
      <c r="C11860" s="1">
        <v>1</v>
      </c>
      <c r="D11860" s="1" t="str">
        <f>"10351"</f>
        <v>10351</v>
      </c>
      <c r="E11860" s="1" t="s">
        <v>132</v>
      </c>
      <c r="F11860" s="1">
        <v>8</v>
      </c>
      <c r="G11860" s="1">
        <v>5</v>
      </c>
      <c r="H11860" s="1">
        <v>1</v>
      </c>
      <c r="I11860" s="1" t="s">
        <v>24450</v>
      </c>
      <c r="K11860" s="1" t="str">
        <f t="shared" si="748"/>
        <v>ㄠ</v>
      </c>
      <c r="L11860" s="1" t="str">
        <f>MID(I11860, 2, 1)</f>
        <v/>
      </c>
      <c r="M11860" s="1" t="str">
        <f t="shared" si="749"/>
        <v/>
      </c>
      <c r="P11860" s="1" t="s">
        <v>20</v>
      </c>
      <c r="R11860" s="1" t="s">
        <v>24451</v>
      </c>
      <c r="V11860" s="1" t="s">
        <v>24455</v>
      </c>
      <c r="W11860" s="1" t="s">
        <v>24456</v>
      </c>
      <c r="AR11860" s="1" t="str">
        <f t="shared" si="751"/>
        <v>| [ㄠ](ㄠ.md) | [坳](坳.md) |  | āo | [名]
低窪的地方。如：「山坳」。唐．韓愈〈詠雪贈張籍〉詩：「坳中初蓋底，垤處遂成堆。」《紅樓夢》第五〇回：「加絮念征徭，坳垤審夷險。」 |</v>
      </c>
    </row>
    <row r="11861" spans="1:44" hidden="1">
      <c r="A11861" s="1" t="s">
        <v>24457</v>
      </c>
      <c r="C11861" s="1">
        <v>1</v>
      </c>
      <c r="D11861" s="1" t="str">
        <f>"10352"</f>
        <v>10352</v>
      </c>
      <c r="E11861" s="1" t="s">
        <v>336</v>
      </c>
      <c r="F11861" s="1">
        <v>15</v>
      </c>
      <c r="G11861" s="1">
        <v>11</v>
      </c>
      <c r="H11861" s="1">
        <v>2</v>
      </c>
      <c r="I11861" s="1" t="s">
        <v>24450</v>
      </c>
      <c r="K11861" s="1" t="str">
        <f t="shared" si="748"/>
        <v>ㄠ</v>
      </c>
      <c r="L11861" s="1" t="str">
        <f>MID(I11861, 2, 1)</f>
        <v/>
      </c>
      <c r="M11861" s="1" t="str">
        <f t="shared" si="749"/>
        <v/>
      </c>
      <c r="P11861" s="1" t="s">
        <v>20</v>
      </c>
      <c r="R11861" s="1" t="s">
        <v>24451</v>
      </c>
      <c r="V11861" s="1" t="s">
        <v>24458</v>
      </c>
      <c r="W11861" s="1" t="s">
        <v>24459</v>
      </c>
      <c r="AR11861" s="1" t="str">
        <f t="shared" si="751"/>
        <v>| [ㄠ](ㄠ.md) | [熬](熬.md) |  | āo | [動]
一種烹調方法，即將食物放入水裡燜煮。如：「熬白菜」、「熬高湯」、「熬豆腐」。 |</v>
      </c>
    </row>
    <row r="11862" spans="1:44" hidden="1">
      <c r="A11862" s="1" t="s">
        <v>24454</v>
      </c>
      <c r="C11862" s="1">
        <v>1</v>
      </c>
      <c r="D11862" s="1" t="str">
        <f>"10375"</f>
        <v>10375</v>
      </c>
      <c r="E11862" s="1" t="s">
        <v>132</v>
      </c>
      <c r="F11862" s="1">
        <v>8</v>
      </c>
      <c r="G11862" s="1">
        <v>5</v>
      </c>
      <c r="H11862" s="1">
        <v>2</v>
      </c>
      <c r="I11862" s="1" t="s">
        <v>24514</v>
      </c>
      <c r="K11862" s="1" t="str">
        <f t="shared" si="748"/>
        <v>ㄠ</v>
      </c>
      <c r="M11862" s="1" t="str">
        <f t="shared" si="749"/>
        <v/>
      </c>
      <c r="N11862" s="3" t="s">
        <v>30574</v>
      </c>
      <c r="O11862" s="3"/>
      <c r="P11862" s="1" t="s">
        <v>110</v>
      </c>
      <c r="R11862" s="1" t="s">
        <v>24515</v>
      </c>
      <c r="V11862" s="1" t="s">
        <v>111</v>
      </c>
      <c r="W11862" s="1" t="s">
        <v>24516</v>
      </c>
      <c r="AR11862" s="1" t="str">
        <f t="shared" si="751"/>
        <v>| [ㄠˋ](ㄠˋ.md) | [坳](坳.md) |  | ào | (一)之又音。 |</v>
      </c>
    </row>
    <row r="11863" spans="1:44" hidden="1">
      <c r="A11863" s="1" t="s">
        <v>7530</v>
      </c>
      <c r="C11863" s="1">
        <v>1</v>
      </c>
      <c r="D11863" s="1" t="str">
        <f>"10376"</f>
        <v>10376</v>
      </c>
      <c r="E11863" s="1" t="s">
        <v>24</v>
      </c>
      <c r="F11863" s="1">
        <v>8</v>
      </c>
      <c r="G11863" s="1">
        <v>5</v>
      </c>
      <c r="H11863" s="1">
        <v>1</v>
      </c>
      <c r="I11863" s="1" t="s">
        <v>24514</v>
      </c>
      <c r="K11863" s="1" t="str">
        <f t="shared" si="748"/>
        <v>ㄠ</v>
      </c>
      <c r="M11863" s="1" t="str">
        <f t="shared" si="749"/>
        <v/>
      </c>
      <c r="N11863" s="3" t="s">
        <v>30574</v>
      </c>
      <c r="O11863" s="3"/>
      <c r="P11863" s="1" t="s">
        <v>20</v>
      </c>
      <c r="R11863" s="1" t="s">
        <v>24515</v>
      </c>
      <c r="V11863" s="1" t="s">
        <v>24517</v>
      </c>
      <c r="W11863" s="1" t="s">
        <v>24518</v>
      </c>
      <c r="AR11863" s="1" t="str">
        <f t="shared" si="751"/>
        <v>| [ㄠˋ](ㄠˋ.md) | [拗](拗.md) |  | ào | [形]
不順。如：「拗口」。唐．孟郊〈峽哀〉詩一〇首之八：「腥語信者誰？拗歌歡非真。」
[動]
反抗。唐．韓愈〈答孟郊〉詩：「古心雖自鞭，世路終難拗。」《紅樓夢》第七〇回：「眾人不敢違拗，只得回房去，另妝飾了起來。」 |</v>
      </c>
    </row>
    <row r="11864" spans="1:44" hidden="1">
      <c r="A11864" s="1" t="s">
        <v>24460</v>
      </c>
      <c r="C11864" s="1">
        <v>1</v>
      </c>
      <c r="D11864" s="1" t="str">
        <f>"10377"</f>
        <v>10377</v>
      </c>
      <c r="E11864" s="1" t="s">
        <v>426</v>
      </c>
      <c r="F11864" s="1">
        <v>11</v>
      </c>
      <c r="G11864" s="1">
        <v>7</v>
      </c>
      <c r="H11864" s="1">
        <v>2</v>
      </c>
      <c r="I11864" s="1" t="s">
        <v>24514</v>
      </c>
      <c r="K11864" s="1" t="str">
        <f t="shared" si="748"/>
        <v>ㄠ</v>
      </c>
      <c r="M11864" s="1" t="str">
        <f t="shared" si="749"/>
        <v/>
      </c>
      <c r="N11864" s="3" t="s">
        <v>30574</v>
      </c>
      <c r="O11864" s="3"/>
      <c r="P11864" s="1" t="s">
        <v>20</v>
      </c>
      <c r="R11864" s="1" t="s">
        <v>24515</v>
      </c>
      <c r="V11864" s="1" t="s">
        <v>24519</v>
      </c>
      <c r="W11864" s="1" t="s">
        <v>24520</v>
      </c>
      <c r="AR11864" s="1" t="str">
        <f t="shared" si="751"/>
        <v>| [ㄠˋ](ㄠˋ.md) | [敖](敖.md) |  | ào | [形]
倨傲、傲慢。通「傲」。如：「桀敖不馴」。《禮記．曲禮上》：「敖不可長，欲不可從，志不可滿，樂不可極。」《管子．宙合》：「大揆度儀，若覺臥，若晦明，若敖之在堯也。」 |</v>
      </c>
    </row>
    <row r="11865" spans="1:44" hidden="1">
      <c r="A11865" s="1" t="s">
        <v>24521</v>
      </c>
      <c r="C11865" s="1">
        <v>1</v>
      </c>
      <c r="D11865" s="1" t="str">
        <f>"10378"</f>
        <v>10378</v>
      </c>
      <c r="E11865" s="1" t="s">
        <v>114</v>
      </c>
      <c r="F11865" s="1">
        <v>13</v>
      </c>
      <c r="G11865" s="1">
        <v>11</v>
      </c>
      <c r="H11865" s="1">
        <v>0</v>
      </c>
      <c r="I11865" s="1" t="s">
        <v>24514</v>
      </c>
      <c r="K11865" s="1" t="str">
        <f t="shared" si="748"/>
        <v>ㄠ</v>
      </c>
      <c r="M11865" s="1" t="str">
        <f t="shared" si="749"/>
        <v/>
      </c>
      <c r="N11865" s="3" t="s">
        <v>30574</v>
      </c>
      <c r="O11865" s="3"/>
      <c r="P11865" s="1" t="s">
        <v>20</v>
      </c>
      <c r="R11865" s="1" t="s">
        <v>24515</v>
      </c>
      <c r="V11865" s="1" t="s">
        <v>24522</v>
      </c>
      <c r="AR11865" s="1" t="str">
        <f t="shared" si="751"/>
        <v>| [ㄠˋ](ㄠˋ.md) | [傲](傲.md) |  | ào | [形]
1.倨慢。如：「驕傲」、「傲慢」。
2.不屈服的。如：「傲骨」、「傲氣」。
[動]
輕視、不尊敬。《呂氏春秋．士容論．士容》：「傲小物而志屬於大，似無勇而未可恐。」唐．韓愈〈祭鱷魚文〉：「夫傲天子之命吏，不聽其言，不徙避之。」
[名]
急躁。《荀子．勸學》：「故不問而告謂之傲，問一而告二謂之囋，傲非也，囋非也。」《管子．乘馬》：「是故事者生於慮，成於務，失於傲。」 |</v>
      </c>
    </row>
    <row r="11866" spans="1:44" hidden="1">
      <c r="A11866" s="1" t="s">
        <v>24481</v>
      </c>
      <c r="C11866" s="1">
        <v>1</v>
      </c>
      <c r="D11866" s="1" t="str">
        <f>"10379"</f>
        <v>10379</v>
      </c>
      <c r="E11866" s="1" t="s">
        <v>331</v>
      </c>
      <c r="F11866" s="1">
        <v>18</v>
      </c>
      <c r="G11866" s="1">
        <v>11</v>
      </c>
      <c r="H11866" s="1">
        <v>2</v>
      </c>
      <c r="I11866" s="1" t="s">
        <v>24514</v>
      </c>
      <c r="K11866" s="1" t="str">
        <f t="shared" si="748"/>
        <v>ㄠ</v>
      </c>
      <c r="M11866" s="1" t="str">
        <f t="shared" si="749"/>
        <v/>
      </c>
      <c r="N11866" s="3" t="s">
        <v>30574</v>
      </c>
      <c r="O11866" s="3"/>
      <c r="P11866" s="1" t="s">
        <v>20</v>
      </c>
      <c r="R11866" s="1" t="s">
        <v>24515</v>
      </c>
      <c r="V11866" s="1" t="s">
        <v>24523</v>
      </c>
      <c r="W11866" s="1" t="s">
        <v>24524</v>
      </c>
      <c r="AR11866" s="1" t="str">
        <f t="shared" si="751"/>
        <v>| [ㄠˋ](ㄠˋ.md) | [謷](謷.md) |  | ào | [副]
倨傲。通「傲」。《莊子．天地》：「雖以天下譽之，得其所謂，謷然不顧。」《新唐書．卷一八二．周墀傳》：「宿將暴謷不循令者，墀命鞭其背，一軍大治。」 |</v>
      </c>
    </row>
    <row r="11867" spans="1:44" hidden="1">
      <c r="A11867" s="1" t="s">
        <v>24484</v>
      </c>
      <c r="C11867" s="1">
        <v>1</v>
      </c>
      <c r="D11867" s="1" t="str">
        <f>"10380"</f>
        <v>10380</v>
      </c>
      <c r="E11867" s="1" t="s">
        <v>55</v>
      </c>
      <c r="F11867" s="1">
        <v>19</v>
      </c>
      <c r="G11867" s="1">
        <v>11</v>
      </c>
      <c r="H11867" s="1">
        <v>2</v>
      </c>
      <c r="I11867" s="1" t="s">
        <v>24514</v>
      </c>
      <c r="K11867" s="1" t="str">
        <f t="shared" ref="K11867:K11930" si="752">LEFT(I11867, 1)</f>
        <v>ㄠ</v>
      </c>
      <c r="M11867" s="1" t="str">
        <f t="shared" ref="M11867:M11930" si="753">MID(I11867, 3, 1)</f>
        <v/>
      </c>
      <c r="N11867" s="3" t="s">
        <v>30574</v>
      </c>
      <c r="O11867" s="3"/>
      <c r="P11867" s="1" t="s">
        <v>110</v>
      </c>
      <c r="R11867" s="1" t="s">
        <v>24515</v>
      </c>
      <c r="V11867" s="1" t="s">
        <v>111</v>
      </c>
      <c r="W11867" s="1" t="s">
        <v>24525</v>
      </c>
      <c r="AR11867" s="1" t="str">
        <f t="shared" si="751"/>
        <v>| [ㄠˋ](ㄠˋ.md) | [鏊](鏊.md) |  | ào | (一)之又音。 |</v>
      </c>
    </row>
    <row r="11868" spans="1:44" hidden="1">
      <c r="A11868" s="1" t="s">
        <v>24487</v>
      </c>
      <c r="C11868" s="1">
        <v>1</v>
      </c>
      <c r="D11868" s="1" t="str">
        <f>"10381"</f>
        <v>10381</v>
      </c>
      <c r="E11868" s="1" t="s">
        <v>319</v>
      </c>
      <c r="F11868" s="1">
        <v>21</v>
      </c>
      <c r="G11868" s="1">
        <v>11</v>
      </c>
      <c r="H11868" s="1">
        <v>2</v>
      </c>
      <c r="I11868" s="1" t="s">
        <v>24514</v>
      </c>
      <c r="K11868" s="1" t="str">
        <f t="shared" si="752"/>
        <v>ㄠ</v>
      </c>
      <c r="M11868" s="1" t="str">
        <f t="shared" si="753"/>
        <v/>
      </c>
      <c r="N11868" s="3" t="s">
        <v>30574</v>
      </c>
      <c r="O11868" s="3"/>
      <c r="P11868" s="1" t="s">
        <v>110</v>
      </c>
      <c r="R11868" s="1" t="s">
        <v>24515</v>
      </c>
      <c r="V11868" s="1" t="s">
        <v>111</v>
      </c>
      <c r="W11868" s="1" t="s">
        <v>24526</v>
      </c>
      <c r="AR11868" s="1" t="str">
        <f t="shared" si="751"/>
        <v>| [ㄠˋ](ㄠˋ.md) | [驁](驁.md) |  | ào | (一)之又音。 |</v>
      </c>
    </row>
    <row r="11869" spans="1:44" hidden="1">
      <c r="A11869" s="1" t="s">
        <v>24527</v>
      </c>
      <c r="C11869" s="1">
        <v>1</v>
      </c>
      <c r="D11869" s="1" t="str">
        <f>"10382"</f>
        <v>10382</v>
      </c>
      <c r="E11869" s="1" t="s">
        <v>563</v>
      </c>
      <c r="F11869" s="1">
        <v>12</v>
      </c>
      <c r="G11869" s="1">
        <v>9</v>
      </c>
      <c r="H11869" s="1">
        <v>0</v>
      </c>
      <c r="I11869" s="1" t="s">
        <v>24514</v>
      </c>
      <c r="K11869" s="1" t="str">
        <f t="shared" si="752"/>
        <v>ㄠ</v>
      </c>
      <c r="M11869" s="1" t="str">
        <f t="shared" si="753"/>
        <v/>
      </c>
      <c r="N11869" s="3" t="s">
        <v>30574</v>
      </c>
      <c r="O11869" s="3"/>
      <c r="P11869" s="1" t="s">
        <v>20</v>
      </c>
      <c r="R11869" s="1" t="s">
        <v>24515</v>
      </c>
      <c r="V11869" s="1" t="s">
        <v>24528</v>
      </c>
      <c r="AR11869" s="1" t="str">
        <f t="shared" si="751"/>
        <v>| [ㄠˋ](ㄠˋ.md) | [奡](奡.md) |  | ào | [形]
1.傲慢。通「傲」。唐．來鵠〈聖政紀頌〉：「無典無法，頑肩奡比。三皇實作，五帝實治。」
2.矯健的樣子。唐．韓愈〈薦士〉詩：「橫空盤硬語，妥帖力排奡。」
[名]
人名。為夏朝時寒浞的兒子。力氣大，能陸地行舟，後為少康所殺。 |</v>
      </c>
    </row>
    <row r="11870" spans="1:44" hidden="1">
      <c r="A11870" s="1" t="s">
        <v>24529</v>
      </c>
      <c r="C11870" s="1">
        <v>1</v>
      </c>
      <c r="D11870" s="1" t="str">
        <f>"10383"</f>
        <v>10383</v>
      </c>
      <c r="E11870" s="1" t="s">
        <v>563</v>
      </c>
      <c r="F11870" s="1">
        <v>13</v>
      </c>
      <c r="G11870" s="1">
        <v>10</v>
      </c>
      <c r="H11870" s="1">
        <v>1</v>
      </c>
      <c r="I11870" s="1" t="s">
        <v>24514</v>
      </c>
      <c r="K11870" s="1" t="str">
        <f t="shared" si="752"/>
        <v>ㄠ</v>
      </c>
      <c r="M11870" s="1" t="str">
        <f t="shared" si="753"/>
        <v/>
      </c>
      <c r="N11870" s="3" t="s">
        <v>30574</v>
      </c>
      <c r="O11870" s="3"/>
      <c r="P11870" s="1" t="s">
        <v>20</v>
      </c>
      <c r="R11870" s="1" t="s">
        <v>24515</v>
      </c>
      <c r="V11870" s="1" t="s">
        <v>24530</v>
      </c>
      <c r="W11870" s="1" t="s">
        <v>24531</v>
      </c>
      <c r="AR11870" s="1" t="str">
        <f t="shared" si="751"/>
        <v>| [ㄠˋ](ㄠˋ.md) | [奧](奧.md) |  | ào | [名]
1.房室的西南隅。《說文解字．宀部》：「奧，宛也。室之西南隅。」《儀禮．士喪禮》：「乃奠燭，升自阼階，祝執巾席從，設于奧，東面。」《論語．八佾》：「與其媚於奧，寧媚於灶。」
2.泛指室內深處。《淮南子．時則》：「涼風始至，蟋蟀居奧。」
3.幽深的地方。《文選．張協．七命》：「絕景乎大荒之遐阻，吞響乎幽山之窮奧。」
4.主事者。《禮記．禮運》：「人情以為田，故人以為奧也。」漢．鄭玄．注：「奧，猶主也。田無主則荒。」
5.豬圈。《莊子．徐无鬼》：「吾未嘗為牧，而牂生於奧。」
6.奧地利的簡稱。
[形]
幽祕、精深的。《文選．孔安國．尚書序》：「至于夏商周之書，雖設教不倫，雅誥奧義，其歸一揆。」唐．王勃〈益州綿竹縣武都山淨慧寺碑〉：「武都仙鎮，龍墟奧域。」 |</v>
      </c>
    </row>
    <row r="11871" spans="1:44" hidden="1">
      <c r="A11871" s="1" t="s">
        <v>24532</v>
      </c>
      <c r="C11871" s="1">
        <v>1</v>
      </c>
      <c r="D11871" s="1" t="str">
        <f>"10384"</f>
        <v>10384</v>
      </c>
      <c r="E11871" s="1" t="s">
        <v>129</v>
      </c>
      <c r="F11871" s="1">
        <v>16</v>
      </c>
      <c r="G11871" s="1">
        <v>13</v>
      </c>
      <c r="H11871" s="1">
        <v>1</v>
      </c>
      <c r="I11871" s="1" t="s">
        <v>24514</v>
      </c>
      <c r="K11871" s="1" t="str">
        <f t="shared" si="752"/>
        <v>ㄠ</v>
      </c>
      <c r="M11871" s="1" t="str">
        <f t="shared" si="753"/>
        <v/>
      </c>
      <c r="N11871" s="3" t="s">
        <v>30574</v>
      </c>
      <c r="O11871" s="3"/>
      <c r="P11871" s="1" t="s">
        <v>20</v>
      </c>
      <c r="R11871" s="1" t="s">
        <v>24515</v>
      </c>
      <c r="V11871" s="1" t="s">
        <v>24533</v>
      </c>
      <c r="W11871" s="1" t="s">
        <v>24534</v>
      </c>
      <c r="AR11871" s="1" t="str">
        <f t="shared" si="751"/>
        <v>| [ㄠˋ](ㄠˋ.md) | [澳](澳.md) |  | ào | [形]
深。《集韻．去聲．號韻》：「澳，深也。」
[名]
1.船舶可停靠的天然港灣，常用做地名。如：「蘇澳」、「三都澳」、「南方澳」。《宋史．卷九六．河渠志六》：「鎮江府傍臨大江，無港澳以容舟楫，三年間覆溺五百餘艘。」
2.澳大利亞的簡稱。
3.澳門的簡稱。如：「港澳七日遊」。 |</v>
      </c>
    </row>
    <row r="11872" spans="1:44" hidden="1">
      <c r="A11872" s="1" t="s">
        <v>24535</v>
      </c>
      <c r="C11872" s="1">
        <v>1</v>
      </c>
      <c r="D11872" s="1" t="str">
        <f>"10385"</f>
        <v>10385</v>
      </c>
      <c r="E11872" s="1" t="s">
        <v>250</v>
      </c>
      <c r="F11872" s="1">
        <v>16</v>
      </c>
      <c r="G11872" s="1">
        <v>13</v>
      </c>
      <c r="H11872" s="1">
        <v>0</v>
      </c>
      <c r="I11872" s="1" t="s">
        <v>24514</v>
      </c>
      <c r="K11872" s="1" t="str">
        <f t="shared" si="752"/>
        <v>ㄠ</v>
      </c>
      <c r="M11872" s="1" t="str">
        <f t="shared" si="753"/>
        <v/>
      </c>
      <c r="N11872" s="3" t="s">
        <v>30574</v>
      </c>
      <c r="O11872" s="3"/>
      <c r="P11872" s="1" t="s">
        <v>20</v>
      </c>
      <c r="R11872" s="1" t="s">
        <v>24515</v>
      </c>
      <c r="V11872" s="1" t="s">
        <v>24536</v>
      </c>
      <c r="AR11872" s="1" t="str">
        <f t="shared" si="751"/>
        <v>| [ㄠˋ](ㄠˋ.md) | [懊](懊.md) |  | ào | [動]
悔恨。如：「懊惱」、「懊悔」。《晉書．卷八〇．王羲之傳》：「後為其父誤刮去之，門生驚懊者累日。」 |</v>
      </c>
    </row>
    <row r="11873" spans="1:44" hidden="1">
      <c r="A11873" s="1" t="s">
        <v>24537</v>
      </c>
      <c r="C11873" s="1">
        <v>1</v>
      </c>
      <c r="D11873" s="1" t="str">
        <f>"10386"</f>
        <v>10386</v>
      </c>
      <c r="E11873" s="1" t="s">
        <v>190</v>
      </c>
      <c r="F11873" s="1">
        <v>16</v>
      </c>
      <c r="G11873" s="1">
        <v>13</v>
      </c>
      <c r="H11873" s="1">
        <v>0</v>
      </c>
      <c r="I11873" s="1" t="s">
        <v>24514</v>
      </c>
      <c r="K11873" s="1" t="str">
        <f t="shared" si="752"/>
        <v>ㄠ</v>
      </c>
      <c r="M11873" s="1" t="str">
        <f t="shared" si="753"/>
        <v/>
      </c>
      <c r="N11873" s="3" t="s">
        <v>30574</v>
      </c>
      <c r="O11873" s="3"/>
      <c r="P11873" s="1" t="s">
        <v>20</v>
      </c>
      <c r="R11873" s="1" t="s">
        <v>24515</v>
      </c>
      <c r="V11873" s="1" t="s">
        <v>24538</v>
      </c>
      <c r="AR11873" s="1" t="str">
        <f t="shared" si="751"/>
        <v>| [ㄠˋ](ㄠˋ.md) | [嶴](嶴.md) |  | ào | [名]
地名用字。浙江等沿海省分的島嶼，多用嶴作名字。如：「懸嶴」、「薛嶴」、「章嶴」。 |</v>
      </c>
    </row>
    <row r="11874" spans="1:44" hidden="1">
      <c r="A11874" s="1" t="s">
        <v>24539</v>
      </c>
      <c r="C11874" s="1">
        <v>1</v>
      </c>
      <c r="D11874" s="1" t="str">
        <f>"10387"</f>
        <v>10387</v>
      </c>
      <c r="E11874" s="1" t="s">
        <v>691</v>
      </c>
      <c r="F11874" s="1">
        <v>16</v>
      </c>
      <c r="G11874" s="1">
        <v>13</v>
      </c>
      <c r="H11874" s="1">
        <v>2</v>
      </c>
      <c r="I11874" s="1" t="s">
        <v>24514</v>
      </c>
      <c r="K11874" s="1" t="str">
        <f t="shared" si="752"/>
        <v>ㄠ</v>
      </c>
      <c r="M11874" s="1" t="str">
        <f t="shared" si="753"/>
        <v/>
      </c>
      <c r="N11874" s="3" t="s">
        <v>30574</v>
      </c>
      <c r="O11874" s="3"/>
      <c r="P11874" s="1" t="s">
        <v>20</v>
      </c>
      <c r="R11874" s="1" t="s">
        <v>24515</v>
      </c>
      <c r="V11874" s="1" t="s">
        <v>24540</v>
      </c>
      <c r="W11874" s="1" t="s">
        <v>24541</v>
      </c>
      <c r="AR11874" s="1" t="str">
        <f t="shared" si="751"/>
        <v>| [ㄠˋ](ㄠˋ.md) | [隩](隩.md) |  | ào | [名]
(一)[名]之又音。
[形]
幽深。通「奧」。《莊子．天下》：「弱於德，強於物，其塗隩矣。」 |</v>
      </c>
    </row>
    <row r="11875" spans="1:44" hidden="1">
      <c r="A11875" s="1" t="s">
        <v>24542</v>
      </c>
      <c r="C11875" s="1">
        <v>1</v>
      </c>
      <c r="D11875" s="1" t="str">
        <f>"10388"</f>
        <v>10388</v>
      </c>
      <c r="E11875" s="1" t="s">
        <v>336</v>
      </c>
      <c r="F11875" s="1">
        <v>17</v>
      </c>
      <c r="G11875" s="1">
        <v>13</v>
      </c>
      <c r="H11875" s="1">
        <v>2</v>
      </c>
      <c r="I11875" s="1" t="s">
        <v>24514</v>
      </c>
      <c r="K11875" s="1" t="str">
        <f t="shared" si="752"/>
        <v>ㄠ</v>
      </c>
      <c r="M11875" s="1" t="str">
        <f t="shared" si="753"/>
        <v/>
      </c>
      <c r="N11875" s="3" t="s">
        <v>30574</v>
      </c>
      <c r="O11875" s="3"/>
      <c r="P11875" s="1" t="s">
        <v>20</v>
      </c>
      <c r="R11875" s="1" t="s">
        <v>24515</v>
      </c>
      <c r="V11875" s="1" t="s">
        <v>24543</v>
      </c>
      <c r="W11875" s="1" t="s">
        <v>24544</v>
      </c>
      <c r="AR11875" s="1" t="str">
        <f t="shared" si="751"/>
        <v>| [ㄠˋ](ㄠˋ.md) | [燠](燠.md) |  | ào | [形]
很熱。如：「盛夏燠暑」。 |</v>
      </c>
    </row>
    <row r="11876" spans="1:44" hidden="1">
      <c r="A11876" s="1" t="s">
        <v>24545</v>
      </c>
      <c r="C11876" s="1">
        <v>1</v>
      </c>
      <c r="D11876" s="1" t="str">
        <f>"10389"</f>
        <v>10389</v>
      </c>
      <c r="E11876" s="1" t="s">
        <v>55</v>
      </c>
      <c r="F11876" s="1">
        <v>21</v>
      </c>
      <c r="G11876" s="1">
        <v>13</v>
      </c>
      <c r="H11876" s="1">
        <v>0</v>
      </c>
      <c r="I11876" s="1" t="s">
        <v>24514</v>
      </c>
      <c r="K11876" s="1" t="str">
        <f t="shared" si="752"/>
        <v>ㄠ</v>
      </c>
      <c r="M11876" s="1" t="str">
        <f t="shared" si="753"/>
        <v/>
      </c>
      <c r="N11876" s="3" t="s">
        <v>30574</v>
      </c>
      <c r="O11876" s="3"/>
      <c r="P11876" s="1" t="s">
        <v>20</v>
      </c>
      <c r="R11876" s="1" t="s">
        <v>24515</v>
      </c>
      <c r="V11876" s="1" t="s">
        <v>24546</v>
      </c>
      <c r="AR11876" s="1" t="str">
        <f t="shared" si="751"/>
        <v>| [ㄠˋ](ㄠˋ.md) | [鐭](鐭.md) |  | ào | [名]
1.溫熱東西的器具。《玉篇．金部》：「鐭，溫器。」
2.化學元素。鋨的舊譯。 |</v>
      </c>
    </row>
    <row r="11877" spans="1:44" hidden="1">
      <c r="A11877" s="1" t="s">
        <v>24460</v>
      </c>
      <c r="C11877" s="1">
        <v>1</v>
      </c>
      <c r="D11877" s="1" t="str">
        <f>"10353"</f>
        <v>10353</v>
      </c>
      <c r="E11877" s="1" t="s">
        <v>426</v>
      </c>
      <c r="F11877" s="1">
        <v>11</v>
      </c>
      <c r="G11877" s="1">
        <v>7</v>
      </c>
      <c r="H11877" s="1">
        <v>1</v>
      </c>
      <c r="I11877" s="1" t="s">
        <v>24461</v>
      </c>
      <c r="K11877" s="1" t="str">
        <f t="shared" si="752"/>
        <v>ㄠ</v>
      </c>
      <c r="M11877" s="1" t="str">
        <f t="shared" si="753"/>
        <v/>
      </c>
      <c r="N11877" s="3" t="s">
        <v>30575</v>
      </c>
      <c r="O11877" s="3"/>
      <c r="P11877" s="1" t="s">
        <v>20</v>
      </c>
      <c r="R11877" s="1" t="s">
        <v>24462</v>
      </c>
      <c r="V11877" s="1" t="s">
        <v>24463</v>
      </c>
      <c r="W11877" s="1" t="s">
        <v>24464</v>
      </c>
      <c r="AR11877" s="1" t="str">
        <f t="shared" si="751"/>
        <v>| [ㄠˊ](ㄠˊ.md) | [敖](敖.md) |  | áo | [動]
1.遊玩、遊逛。同「遨」。《說文解字．放部》：「敖，出游也。」《詩經．邶．柏舟》：「微我無酒，以敖以遊。」《漢書．卷二四．食貨志上》：「聖王量能授事，四民陳力受職，故朝亡廢官，邑亡敖民，地亡曠土。」
2.戲弄、戲謔。《管子．四稱》：「誅其良臣，敖其婦女。」《漢書．卷六五．東方朔傳》：「自公卿在位，朔皆敖弄，無所為屈。」
3.以小火慢煮或煎乾。通「熬」。《戰國策．魏策二》：「齊桓公夜半不嗛，易牙乃煎敖燔炙，和調五味而進之。」
[名]
姓。如清代有敖成。 |</v>
      </c>
    </row>
    <row r="11878" spans="1:44" hidden="1">
      <c r="A11878" s="1" t="s">
        <v>24465</v>
      </c>
      <c r="C11878" s="1">
        <v>1</v>
      </c>
      <c r="D11878" s="1" t="str">
        <f>"10354"</f>
        <v>10354</v>
      </c>
      <c r="E11878" s="1" t="s">
        <v>447</v>
      </c>
      <c r="F11878" s="1">
        <v>14</v>
      </c>
      <c r="G11878" s="1">
        <v>11</v>
      </c>
      <c r="H11878" s="1">
        <v>0</v>
      </c>
      <c r="I11878" s="1" t="s">
        <v>24461</v>
      </c>
      <c r="K11878" s="1" t="str">
        <f t="shared" si="752"/>
        <v>ㄠ</v>
      </c>
      <c r="M11878" s="1" t="str">
        <f t="shared" si="753"/>
        <v/>
      </c>
      <c r="N11878" s="3" t="s">
        <v>30575</v>
      </c>
      <c r="O11878" s="3"/>
      <c r="P11878" s="1" t="s">
        <v>20</v>
      </c>
      <c r="R11878" s="1" t="s">
        <v>24462</v>
      </c>
      <c r="V11878" s="1" t="s">
        <v>24466</v>
      </c>
      <c r="AR11878" s="1" t="str">
        <f t="shared" si="751"/>
        <v>| [ㄠˊ](ㄠˊ.md) | [廒](廒.md) |  | áo | [名]
穀倉、糧倉。元．鄭光祖《老君堂》第四折：「中原清宴賀昇平，幸倉廒滿盈。」《喻世明言．卷二七．金玉奴棒打薄情郎》：「真個廒多積粟，囊有餘錢，放債使婢。」 |</v>
      </c>
    </row>
    <row r="11879" spans="1:44" hidden="1">
      <c r="A11879" s="1" t="s">
        <v>24467</v>
      </c>
      <c r="C11879" s="1">
        <v>1</v>
      </c>
      <c r="D11879" s="1" t="str">
        <f>"10355"</f>
        <v>10355</v>
      </c>
      <c r="E11879" s="1" t="s">
        <v>28</v>
      </c>
      <c r="F11879" s="1">
        <v>14</v>
      </c>
      <c r="G11879" s="1">
        <v>11</v>
      </c>
      <c r="H11879" s="1">
        <v>0</v>
      </c>
      <c r="I11879" s="1" t="s">
        <v>24461</v>
      </c>
      <c r="K11879" s="1" t="str">
        <f t="shared" si="752"/>
        <v>ㄠ</v>
      </c>
      <c r="M11879" s="1" t="str">
        <f t="shared" si="753"/>
        <v/>
      </c>
      <c r="N11879" s="3" t="s">
        <v>30575</v>
      </c>
      <c r="O11879" s="3"/>
      <c r="P11879" s="1" t="s">
        <v>20</v>
      </c>
      <c r="R11879" s="1" t="s">
        <v>24462</v>
      </c>
      <c r="V11879" s="1" t="s">
        <v>24468</v>
      </c>
      <c r="AR11879" s="1" t="str">
        <f t="shared" si="751"/>
        <v>| [ㄠˊ](ㄠˊ.md) | [嗷](嗷.md) |  | áo | 參見「嗷鴻」、「嗷嗷」等條。 |</v>
      </c>
    </row>
    <row r="11880" spans="1:44" hidden="1">
      <c r="A11880" s="1" t="s">
        <v>24469</v>
      </c>
      <c r="C11880" s="1">
        <v>1</v>
      </c>
      <c r="D11880" s="1" t="str">
        <f>"10356"</f>
        <v>10356</v>
      </c>
      <c r="E11880" s="1" t="s">
        <v>142</v>
      </c>
      <c r="F11880" s="1">
        <v>15</v>
      </c>
      <c r="G11880" s="1">
        <v>11</v>
      </c>
      <c r="H11880" s="1">
        <v>0</v>
      </c>
      <c r="I11880" s="1" t="s">
        <v>24461</v>
      </c>
      <c r="K11880" s="1" t="str">
        <f t="shared" si="752"/>
        <v>ㄠ</v>
      </c>
      <c r="M11880" s="1" t="str">
        <f t="shared" si="753"/>
        <v/>
      </c>
      <c r="N11880" s="3" t="s">
        <v>30575</v>
      </c>
      <c r="O11880" s="3"/>
      <c r="P11880" s="1" t="s">
        <v>20</v>
      </c>
      <c r="R11880" s="1" t="s">
        <v>24462</v>
      </c>
      <c r="V11880" s="1" t="s">
        <v>24470</v>
      </c>
      <c r="AR11880" s="1" t="str">
        <f t="shared" si="751"/>
        <v>| [ㄠˊ](ㄠˊ.md) | [璈](璈.md) |  | áo | [名]
古代的一種樂器。《集韻．平聲．豪韻》：「璈，樂器。」唐．吳筠〈遊仙〉詩二四首之一五：「鳳舞龍璈奏，虯軒殊未迴。」 |</v>
      </c>
    </row>
    <row r="11881" spans="1:44" hidden="1">
      <c r="A11881" s="1" t="s">
        <v>24457</v>
      </c>
      <c r="C11881" s="1">
        <v>1</v>
      </c>
      <c r="D11881" s="1" t="str">
        <f>"10357"</f>
        <v>10357</v>
      </c>
      <c r="E11881" s="1" t="s">
        <v>336</v>
      </c>
      <c r="F11881" s="1">
        <v>15</v>
      </c>
      <c r="G11881" s="1">
        <v>11</v>
      </c>
      <c r="H11881" s="1">
        <v>1</v>
      </c>
      <c r="I11881" s="1" t="s">
        <v>24461</v>
      </c>
      <c r="K11881" s="1" t="str">
        <f t="shared" si="752"/>
        <v>ㄠ</v>
      </c>
      <c r="M11881" s="1" t="str">
        <f t="shared" si="753"/>
        <v/>
      </c>
      <c r="N11881" s="3" t="s">
        <v>30575</v>
      </c>
      <c r="O11881" s="3"/>
      <c r="P11881" s="1" t="s">
        <v>20</v>
      </c>
      <c r="R11881" s="1" t="s">
        <v>24462</v>
      </c>
      <c r="V11881" s="1" t="s">
        <v>24471</v>
      </c>
      <c r="W11881" s="1" t="s">
        <v>24472</v>
      </c>
      <c r="AR11881" s="1" t="str">
        <f t="shared" si="751"/>
        <v>| [ㄠˊ](ㄠˊ.md) | [熬](熬.md) |  | áo | [動]
1.用小火慢煮、乾煎。如：「熬藥」。漢．揚雄《方言》卷七：「凡以火而乾五穀之類，自山而東，齊、楚以往，謂之熬。」《周禮．地官．舍人》：「喪紀，共飯米，熬穀。」
2.勉強忍耐。如：「熬夜」。元．無名氏《鴛鴦被》第一折：「熬永夜閒描那花樣子，捱長日頻拈我這繡針兒。」《三國演義》第一六回：「虧得那馬是大宛良馬，熬得痛，走得快。」 |</v>
      </c>
    </row>
    <row r="11882" spans="1:44" hidden="1">
      <c r="A11882" s="1" t="s">
        <v>24473</v>
      </c>
      <c r="C11882" s="1">
        <v>1</v>
      </c>
      <c r="D11882" s="1" t="str">
        <f>"10358"</f>
        <v>10358</v>
      </c>
      <c r="E11882" s="1" t="s">
        <v>558</v>
      </c>
      <c r="F11882" s="1">
        <v>15</v>
      </c>
      <c r="G11882" s="1">
        <v>11</v>
      </c>
      <c r="H11882" s="1">
        <v>0</v>
      </c>
      <c r="I11882" s="1" t="s">
        <v>24461</v>
      </c>
      <c r="K11882" s="1" t="str">
        <f t="shared" si="752"/>
        <v>ㄠ</v>
      </c>
      <c r="M11882" s="1" t="str">
        <f t="shared" si="753"/>
        <v/>
      </c>
      <c r="N11882" s="3" t="s">
        <v>30575</v>
      </c>
      <c r="O11882" s="3"/>
      <c r="P11882" s="1" t="s">
        <v>20</v>
      </c>
      <c r="R11882" s="1" t="s">
        <v>24462</v>
      </c>
      <c r="V11882" s="1" t="s">
        <v>24474</v>
      </c>
      <c r="AR11882" s="1" t="str">
        <f t="shared" si="751"/>
        <v>| [ㄠˊ](ㄠˊ.md) | [遨](遨.md) |  | áo | [動]
遊玩。《後漢書．卷一一．劉盆子傳》：「（劉盆子）乘軒車大馬，……而猶從牧兒遨。」《新五代史．卷六三．十國世家．前蜀世家》：「蜀人富而喜遨，當王氏晚年，俗競為小帽。」 |</v>
      </c>
    </row>
    <row r="11883" spans="1:44" hidden="1">
      <c r="A11883" s="1" t="s">
        <v>24475</v>
      </c>
      <c r="C11883" s="1">
        <v>1</v>
      </c>
      <c r="D11883" s="1" t="str">
        <f>"10359"</f>
        <v>10359</v>
      </c>
      <c r="E11883" s="1" t="s">
        <v>198</v>
      </c>
      <c r="F11883" s="1">
        <v>15</v>
      </c>
      <c r="G11883" s="1">
        <v>11</v>
      </c>
      <c r="H11883" s="1">
        <v>0</v>
      </c>
      <c r="I11883" s="1" t="s">
        <v>24461</v>
      </c>
      <c r="K11883" s="1" t="str">
        <f t="shared" si="752"/>
        <v>ㄠ</v>
      </c>
      <c r="M11883" s="1" t="str">
        <f t="shared" si="753"/>
        <v/>
      </c>
      <c r="N11883" s="3" t="s">
        <v>30575</v>
      </c>
      <c r="O11883" s="3"/>
      <c r="P11883" s="1" t="s">
        <v>20</v>
      </c>
      <c r="R11883" s="1" t="s">
        <v>24462</v>
      </c>
      <c r="V11883" s="1" t="s">
        <v>24476</v>
      </c>
      <c r="AR11883" s="1" t="str">
        <f t="shared" si="751"/>
        <v>| [ㄠˊ](ㄠˊ.md) | [獒](獒.md) |  | áo | [名]
動物名。哺乳類食肉目。上脣下垂，鼻端開闊，顎強，耳朵小，四肢短，尾長，體毛黃褐色，體型較一般犬為大。性情凶猛好鬥，可做為獵犬。 |</v>
      </c>
    </row>
    <row r="11884" spans="1:44" hidden="1">
      <c r="A11884" s="1" t="s">
        <v>24477</v>
      </c>
      <c r="C11884" s="1">
        <v>1</v>
      </c>
      <c r="D11884" s="1" t="str">
        <f>"10360"</f>
        <v>10360</v>
      </c>
      <c r="E11884" s="1" t="s">
        <v>2419</v>
      </c>
      <c r="F11884" s="1">
        <v>17</v>
      </c>
      <c r="G11884" s="1">
        <v>11</v>
      </c>
      <c r="H11884" s="1">
        <v>0</v>
      </c>
      <c r="I11884" s="1" t="s">
        <v>24461</v>
      </c>
      <c r="K11884" s="1" t="str">
        <f t="shared" si="752"/>
        <v>ㄠ</v>
      </c>
      <c r="M11884" s="1" t="str">
        <f t="shared" si="753"/>
        <v/>
      </c>
      <c r="N11884" s="3" t="s">
        <v>30575</v>
      </c>
      <c r="O11884" s="3"/>
      <c r="P11884" s="1" t="s">
        <v>20</v>
      </c>
      <c r="R11884" s="1" t="s">
        <v>24462</v>
      </c>
      <c r="V11884" s="1" t="s">
        <v>24478</v>
      </c>
      <c r="AR11884" s="1" t="str">
        <f t="shared" si="751"/>
        <v>| [ㄠˊ](ㄠˊ.md) | [聱](聱.md) |  | áo | 參見「聱牙」條。 |</v>
      </c>
    </row>
    <row r="11885" spans="1:44" hidden="1">
      <c r="A11885" s="1" t="s">
        <v>24479</v>
      </c>
      <c r="C11885" s="1">
        <v>1</v>
      </c>
      <c r="D11885" s="1" t="str">
        <f>"10361"</f>
        <v>10361</v>
      </c>
      <c r="E11885" s="1" t="s">
        <v>679</v>
      </c>
      <c r="F11885" s="1">
        <v>17</v>
      </c>
      <c r="G11885" s="1">
        <v>11</v>
      </c>
      <c r="H11885" s="1">
        <v>0</v>
      </c>
      <c r="I11885" s="1" t="s">
        <v>24461</v>
      </c>
      <c r="K11885" s="1" t="str">
        <f t="shared" si="752"/>
        <v>ㄠ</v>
      </c>
      <c r="M11885" s="1" t="str">
        <f t="shared" si="753"/>
        <v/>
      </c>
      <c r="N11885" s="3" t="s">
        <v>30575</v>
      </c>
      <c r="O11885" s="3"/>
      <c r="P11885" s="1" t="s">
        <v>20</v>
      </c>
      <c r="R11885" s="1" t="s">
        <v>24462</v>
      </c>
      <c r="V11885" s="1" t="s">
        <v>24480</v>
      </c>
      <c r="AR11885" s="1" t="str">
        <f t="shared" si="751"/>
        <v>| [ㄠˊ](ㄠˊ.md) | [螯](螯.md) |  | áo | [名]
節足動物變形的第一對腳，尖端分兩歧，像鉗子能開能合，可以用來取食或自衛。《荀子．勸學》：「蟹六跪而二螯，非蛇蟺之穴無可寄託者，用心躁也。」《晉書．卷四九．畢卓傳》：「右手持酒杯，左手持蟹螯。」 |</v>
      </c>
    </row>
    <row r="11886" spans="1:44" hidden="1">
      <c r="A11886" s="1" t="s">
        <v>24481</v>
      </c>
      <c r="C11886" s="1">
        <v>1</v>
      </c>
      <c r="D11886" s="1" t="str">
        <f>"10362"</f>
        <v>10362</v>
      </c>
      <c r="E11886" s="1" t="s">
        <v>331</v>
      </c>
      <c r="F11886" s="1">
        <v>18</v>
      </c>
      <c r="G11886" s="1">
        <v>11</v>
      </c>
      <c r="H11886" s="1">
        <v>1</v>
      </c>
      <c r="I11886" s="1" t="s">
        <v>24461</v>
      </c>
      <c r="K11886" s="1" t="str">
        <f t="shared" si="752"/>
        <v>ㄠ</v>
      </c>
      <c r="M11886" s="1" t="str">
        <f t="shared" si="753"/>
        <v/>
      </c>
      <c r="N11886" s="3" t="s">
        <v>30575</v>
      </c>
      <c r="O11886" s="3"/>
      <c r="P11886" s="1" t="s">
        <v>20</v>
      </c>
      <c r="R11886" s="1" t="s">
        <v>24462</v>
      </c>
      <c r="V11886" s="1" t="s">
        <v>24482</v>
      </c>
      <c r="W11886" s="1" t="s">
        <v>24483</v>
      </c>
      <c r="AR11886" s="1" t="str">
        <f t="shared" si="751"/>
        <v>| [ㄠˊ](ㄠˊ.md) | [謷](謷.md) |  | áo | [動]
詆毀。《呂氏春秋．孟秋紀．懷寵》：「謷醜先王，排訾舊典。」《清史稿．卷四五二．蒯光典傳》：「諸生不樂受約束，輒相訾謷，歲餘謝職歸。」
[形]
高大。《莊子．德充符》：「謷乎大哉，獨成其天！」 |</v>
      </c>
    </row>
    <row r="11887" spans="1:44" hidden="1">
      <c r="A11887" s="1" t="s">
        <v>24484</v>
      </c>
      <c r="C11887" s="1">
        <v>1</v>
      </c>
      <c r="D11887" s="1" t="str">
        <f>"10363"</f>
        <v>10363</v>
      </c>
      <c r="E11887" s="1" t="s">
        <v>55</v>
      </c>
      <c r="F11887" s="1">
        <v>19</v>
      </c>
      <c r="G11887" s="1">
        <v>11</v>
      </c>
      <c r="H11887" s="1">
        <v>1</v>
      </c>
      <c r="I11887" s="1" t="s">
        <v>24461</v>
      </c>
      <c r="K11887" s="1" t="str">
        <f t="shared" si="752"/>
        <v>ㄠ</v>
      </c>
      <c r="M11887" s="1" t="str">
        <f t="shared" si="753"/>
        <v/>
      </c>
      <c r="N11887" s="3" t="s">
        <v>30575</v>
      </c>
      <c r="O11887" s="3"/>
      <c r="P11887" s="1" t="s">
        <v>20</v>
      </c>
      <c r="R11887" s="1" t="s">
        <v>24462</v>
      </c>
      <c r="V11887" s="1" t="s">
        <v>24485</v>
      </c>
      <c r="W11887" s="1" t="s">
        <v>24486</v>
      </c>
      <c r="AR11887" s="1" t="str">
        <f t="shared" si="751"/>
        <v>| [ㄠˊ](ㄠˊ.md) | [鏊](鏊.md) |  | áo | [名]
一種烙餅用的平底鍋。《玉篇．金部》：「鏊，餅鏊也。」明．張自烈《正字通．金部》：「鏊，今烙餅平鍋曰餅鏊，亦曰烙鍋。」 |</v>
      </c>
    </row>
    <row r="11888" spans="1:44" hidden="1">
      <c r="A11888" s="1" t="s">
        <v>24487</v>
      </c>
      <c r="C11888" s="1">
        <v>1</v>
      </c>
      <c r="D11888" s="1" t="str">
        <f>"10364"</f>
        <v>10364</v>
      </c>
      <c r="E11888" s="1" t="s">
        <v>319</v>
      </c>
      <c r="F11888" s="1">
        <v>21</v>
      </c>
      <c r="G11888" s="1">
        <v>11</v>
      </c>
      <c r="H11888" s="1">
        <v>1</v>
      </c>
      <c r="I11888" s="1" t="s">
        <v>24461</v>
      </c>
      <c r="K11888" s="1" t="str">
        <f t="shared" si="752"/>
        <v>ㄠ</v>
      </c>
      <c r="M11888" s="1" t="str">
        <f t="shared" si="753"/>
        <v/>
      </c>
      <c r="N11888" s="3" t="s">
        <v>30575</v>
      </c>
      <c r="O11888" s="3"/>
      <c r="P11888" s="1" t="s">
        <v>20</v>
      </c>
      <c r="R11888" s="1" t="s">
        <v>24462</v>
      </c>
      <c r="V11888" s="1" t="s">
        <v>24488</v>
      </c>
      <c r="W11888" s="1" t="s">
        <v>24489</v>
      </c>
      <c r="AR11888" s="1" t="str">
        <f t="shared" si="751"/>
        <v>| [ㄠˊ](ㄠˊ.md) | [驁](驁.md) |  | áo | [名]
駿馬。《說文解字．馬部》：「驁，駿馬。」《呂氏春秋．慎大覽．察今》：「良馬期乎千里，不期乎驥驁。」
[形]
1.馬驕而不馴的樣子。明．張自烈《正字通．馬部》：「驁，馬驕不馴也。」
2.輕傲、狂妄。《莊子．庚桑楚》：「蹍市人之足，則辭以放驁。」《漢書．卷九四．匈奴傳上》：「陵轢邊吏，入盜，甚驁無道，非約也。」 |</v>
      </c>
    </row>
    <row r="11889" spans="1:44" hidden="1">
      <c r="A11889" s="1" t="s">
        <v>24490</v>
      </c>
      <c r="C11889" s="1">
        <v>1</v>
      </c>
      <c r="D11889" s="1" t="str">
        <f>"10365"</f>
        <v>10365</v>
      </c>
      <c r="E11889" s="1" t="s">
        <v>156</v>
      </c>
      <c r="F11889" s="1">
        <v>22</v>
      </c>
      <c r="G11889" s="1">
        <v>11</v>
      </c>
      <c r="H11889" s="1">
        <v>0</v>
      </c>
      <c r="I11889" s="1" t="s">
        <v>24461</v>
      </c>
      <c r="K11889" s="1" t="str">
        <f t="shared" si="752"/>
        <v>ㄠ</v>
      </c>
      <c r="M11889" s="1" t="str">
        <f t="shared" si="753"/>
        <v/>
      </c>
      <c r="N11889" s="3" t="s">
        <v>30575</v>
      </c>
      <c r="O11889" s="3"/>
      <c r="P11889" s="1" t="s">
        <v>20</v>
      </c>
      <c r="R11889" s="1" t="s">
        <v>24462</v>
      </c>
      <c r="V11889" s="1" t="s">
        <v>24491</v>
      </c>
      <c r="AR11889" s="1" t="str">
        <f t="shared" si="751"/>
        <v>| [ㄠˊ](ㄠˊ.md) | [鰲](鰲.md) |  | áo | [名]
同「鼇」。明．張自烈《正字通．魚部》：「鰲，俗鼇字。」 |</v>
      </c>
    </row>
    <row r="11890" spans="1:44" hidden="1">
      <c r="A11890" s="1" t="s">
        <v>24492</v>
      </c>
      <c r="C11890" s="1">
        <v>1</v>
      </c>
      <c r="D11890" s="1" t="str">
        <f>"10366"</f>
        <v>10366</v>
      </c>
      <c r="E11890" s="1" t="s">
        <v>3331</v>
      </c>
      <c r="F11890" s="1">
        <v>24</v>
      </c>
      <c r="G11890" s="1">
        <v>11</v>
      </c>
      <c r="H11890" s="1">
        <v>0</v>
      </c>
      <c r="I11890" s="1" t="s">
        <v>24461</v>
      </c>
      <c r="K11890" s="1" t="str">
        <f t="shared" si="752"/>
        <v>ㄠ</v>
      </c>
      <c r="M11890" s="1" t="str">
        <f t="shared" si="753"/>
        <v/>
      </c>
      <c r="N11890" s="3" t="s">
        <v>30575</v>
      </c>
      <c r="O11890" s="3"/>
      <c r="P11890" s="1" t="s">
        <v>20</v>
      </c>
      <c r="R11890" s="1" t="s">
        <v>24462</v>
      </c>
      <c r="V11890" s="1" t="s">
        <v>24493</v>
      </c>
      <c r="AR11890" s="1" t="str">
        <f t="shared" si="751"/>
        <v>| [ㄠˊ](ㄠˊ.md) | [鼇](鼇.md) |  | áo | [名]_x000D_
傳說中的大海龜。《玉篇．黽部》：「鼇，傳曰：『有神靈之鼇，背負蓬萊之山在海中。』」《楚辭．屈原．天問》：「鼇載山抃，何以安之？」唐．白居易〈題海圖屏風〉詩：「突兀海底鼇，首冠三神丘。」 |</v>
      </c>
    </row>
    <row r="11891" spans="1:44" hidden="1">
      <c r="A11891" s="1" t="s">
        <v>24494</v>
      </c>
      <c r="C11891" s="1">
        <v>1</v>
      </c>
      <c r="D11891" s="1" t="str">
        <f>"10367"</f>
        <v>10367</v>
      </c>
      <c r="E11891" s="1" t="s">
        <v>2271</v>
      </c>
      <c r="F11891" s="1">
        <v>16</v>
      </c>
      <c r="G11891" s="1">
        <v>10</v>
      </c>
      <c r="H11891" s="1">
        <v>0</v>
      </c>
      <c r="I11891" s="1" t="s">
        <v>24461</v>
      </c>
      <c r="K11891" s="1" t="str">
        <f t="shared" si="752"/>
        <v>ㄠ</v>
      </c>
      <c r="M11891" s="1" t="str">
        <f t="shared" si="753"/>
        <v/>
      </c>
      <c r="N11891" s="3" t="s">
        <v>30575</v>
      </c>
      <c r="O11891" s="3"/>
      <c r="P11891" s="1" t="s">
        <v>20</v>
      </c>
      <c r="R11891" s="1" t="s">
        <v>24462</v>
      </c>
      <c r="V11891" s="1" t="s">
        <v>24495</v>
      </c>
      <c r="AR11891" s="1" t="str">
        <f t="shared" si="751"/>
        <v>| [ㄠˊ](ㄠˊ.md) | [翱](翱.md) |  | áo | 參見「翱翔」條。 |</v>
      </c>
    </row>
    <row r="11892" spans="1:44" hidden="1">
      <c r="A11892" s="1" t="s">
        <v>24496</v>
      </c>
      <c r="C11892" s="1">
        <v>1</v>
      </c>
      <c r="D11892" s="1" t="str">
        <f>"10368"</f>
        <v>10368</v>
      </c>
      <c r="E11892" s="1" t="s">
        <v>336</v>
      </c>
      <c r="F11892" s="1">
        <v>19</v>
      </c>
      <c r="G11892" s="1">
        <v>15</v>
      </c>
      <c r="H11892" s="1">
        <v>0</v>
      </c>
      <c r="I11892" s="1" t="s">
        <v>24461</v>
      </c>
      <c r="K11892" s="1" t="str">
        <f t="shared" si="752"/>
        <v>ㄠ</v>
      </c>
      <c r="M11892" s="1" t="str">
        <f t="shared" si="753"/>
        <v/>
      </c>
      <c r="N11892" s="3" t="s">
        <v>30575</v>
      </c>
      <c r="O11892" s="3"/>
      <c r="P11892" s="1" t="s">
        <v>20</v>
      </c>
      <c r="R11892" s="1" t="s">
        <v>24462</v>
      </c>
      <c r="V11892" s="1" t="s">
        <v>24497</v>
      </c>
      <c r="AR11892" s="1" t="str">
        <f t="shared" si="751"/>
        <v>| [ㄠˊ](ㄠˊ.md) | [爊](爊.md) |  | áo | [動]
用小火將食物煨熟。《集韻．平聲．豪韻》：「爊，煨也。」《齊民要術．卷八．脯腊》：「其魚草裹泥封，煻灰中爊之。」 |</v>
      </c>
    </row>
    <row r="11893" spans="1:44" hidden="1">
      <c r="A11893" s="1" t="s">
        <v>24498</v>
      </c>
      <c r="C11893" s="1">
        <v>1</v>
      </c>
      <c r="D11893" s="1" t="str">
        <f>"10369"</f>
        <v>10369</v>
      </c>
      <c r="E11893" s="1" t="s">
        <v>55</v>
      </c>
      <c r="F11893" s="1">
        <v>19</v>
      </c>
      <c r="G11893" s="1">
        <v>11</v>
      </c>
      <c r="H11893" s="1">
        <v>0</v>
      </c>
      <c r="I11893" s="1" t="s">
        <v>24461</v>
      </c>
      <c r="K11893" s="1" t="str">
        <f t="shared" si="752"/>
        <v>ㄠ</v>
      </c>
      <c r="M11893" s="1" t="str">
        <f t="shared" si="753"/>
        <v/>
      </c>
      <c r="N11893" s="3" t="s">
        <v>30575</v>
      </c>
      <c r="O11893" s="3"/>
      <c r="P11893" s="1" t="s">
        <v>20</v>
      </c>
      <c r="R11893" s="1" t="s">
        <v>24462</v>
      </c>
      <c r="V11893" s="1" t="s">
        <v>24499</v>
      </c>
      <c r="AR11893" s="1" t="str">
        <f t="shared" si="751"/>
        <v>| [ㄠˊ](ㄠˊ.md) | [鏖](鏖.md) |  | áo | [動]
1.雙方苦戰，死傷很多。《漢書．卷五五．霍去病傳》：「合短兵，鏖皋蘭下。」唐．顏師古．注：「鏖，今俗猶謂打擊之甚者曰鏖。」
2.喧擾。宋．黃庭堅〈平陰張澄居士隱處〉詩三首之一：「市聲鏖午枕，常以此心觀。」 |</v>
      </c>
    </row>
    <row r="11894" spans="1:44" hidden="1">
      <c r="A11894" s="1" t="s">
        <v>24500</v>
      </c>
      <c r="C11894" s="1">
        <v>1</v>
      </c>
      <c r="D11894" s="1" t="str">
        <f>"10370"</f>
        <v>10370</v>
      </c>
      <c r="E11894" s="1" t="s">
        <v>563</v>
      </c>
      <c r="F11894" s="1">
        <v>4</v>
      </c>
      <c r="G11894" s="1">
        <v>1</v>
      </c>
      <c r="H11894" s="1">
        <v>3</v>
      </c>
      <c r="I11894" s="1" t="s">
        <v>24501</v>
      </c>
      <c r="K11894" s="1" t="str">
        <f t="shared" si="752"/>
        <v>ㄠ</v>
      </c>
      <c r="M11894" s="1" t="str">
        <f t="shared" si="753"/>
        <v/>
      </c>
      <c r="N11894" s="3" t="s">
        <v>30576</v>
      </c>
      <c r="O11894" s="3"/>
      <c r="P11894" s="1" t="s">
        <v>20</v>
      </c>
      <c r="R11894" s="1" t="s">
        <v>24502</v>
      </c>
      <c r="V11894" s="1" t="s">
        <v>24503</v>
      </c>
      <c r="W11894" s="1" t="s">
        <v>24504</v>
      </c>
      <c r="AR11894" s="1" t="str">
        <f t="shared" si="751"/>
        <v>| [ㄠˇ](ㄠˇ.md) | [夭](夭.md) |  | ǎo | [名]
幼嫩的動、植物。《集韻．上聲．皓韻》：「夭，少長曰夭。」《國語．魯語上》：「且夫山不槎櫱，澤不伐夭。」三國吳．韋昭．注：「屮木未成曰夭。」《漢書．卷二二．禮樂志》：「眾庶熙熙，施及夭胎。」唐．顏師古．注：「少長曰夭，在孕曰胎。」 |</v>
      </c>
    </row>
    <row r="11895" spans="1:44" hidden="1">
      <c r="A11895" s="1" t="s">
        <v>7530</v>
      </c>
      <c r="C11895" s="1">
        <v>1</v>
      </c>
      <c r="D11895" s="1" t="str">
        <f>"10371"</f>
        <v>10371</v>
      </c>
      <c r="E11895" s="1" t="s">
        <v>24</v>
      </c>
      <c r="F11895" s="1">
        <v>8</v>
      </c>
      <c r="G11895" s="1">
        <v>5</v>
      </c>
      <c r="H11895" s="1">
        <v>2</v>
      </c>
      <c r="I11895" s="1" t="s">
        <v>24501</v>
      </c>
      <c r="K11895" s="1" t="str">
        <f t="shared" si="752"/>
        <v>ㄠ</v>
      </c>
      <c r="M11895" s="1" t="str">
        <f t="shared" si="753"/>
        <v/>
      </c>
      <c r="N11895" s="3" t="s">
        <v>30576</v>
      </c>
      <c r="O11895" s="3"/>
      <c r="P11895" s="1" t="s">
        <v>20</v>
      </c>
      <c r="R11895" s="1" t="s">
        <v>24502</v>
      </c>
      <c r="V11895" s="1" t="s">
        <v>24505</v>
      </c>
      <c r="W11895" s="1" t="s">
        <v>24506</v>
      </c>
      <c r="AR11895" s="1" t="str">
        <f t="shared" si="751"/>
        <v>| [ㄠˇ](ㄠˇ.md) | [拗](拗.md) |  | ǎo | [動]
折。《玉篇．手部》：「拗，拗折也。」唐．溫庭筠〈達摩支曲〉：「擣麝成塵香不滅，拗蓮作寸絲難絕。」 |</v>
      </c>
    </row>
    <row r="11896" spans="1:44" hidden="1">
      <c r="A11896" s="1" t="s">
        <v>24507</v>
      </c>
      <c r="C11896" s="1">
        <v>1</v>
      </c>
      <c r="D11896" s="1" t="str">
        <f>"10372"</f>
        <v>10372</v>
      </c>
      <c r="E11896" s="1" t="s">
        <v>534</v>
      </c>
      <c r="F11896" s="1">
        <v>13</v>
      </c>
      <c r="G11896" s="1">
        <v>10</v>
      </c>
      <c r="H11896" s="1">
        <v>0</v>
      </c>
      <c r="I11896" s="1" t="s">
        <v>24501</v>
      </c>
      <c r="K11896" s="1" t="str">
        <f t="shared" si="752"/>
        <v>ㄠ</v>
      </c>
      <c r="M11896" s="1" t="str">
        <f t="shared" si="753"/>
        <v/>
      </c>
      <c r="N11896" s="3" t="s">
        <v>30576</v>
      </c>
      <c r="O11896" s="3"/>
      <c r="P11896" s="1" t="s">
        <v>20</v>
      </c>
      <c r="R11896" s="1" t="s">
        <v>24502</v>
      </c>
      <c r="V11896" s="1" t="s">
        <v>24508</v>
      </c>
      <c r="AR11896" s="1" t="str">
        <f t="shared" si="751"/>
        <v>| [ㄠˇ](ㄠˇ.md) | [媼](媼.md) |  | ǎo | [名]
1.老婦。《說文解字．女部》：「媼，女老偁也。」《戰國策．趙策四》：「老臣竊以為媼之愛燕后，賢于長安君。」《北史．卷四三．邢巒傳》：「及代，吏人父老及媼嫗皆遠相攀追，號泣不絕。」
2.稱謂。母親。《廣雅疏證．卷六下．釋親》：「媼，母也。」《韓非子．外儲說右上》：「薄疑歸言之媼也，曰：『衛君之愛疑奚與媼？』媼曰：『不如吾愛子也！』」
3.婦人的通稱。《史記．卷一一一．衛將軍傳》：「其父鄭季，為吏，給事平陽侯家，與侯妾衛媼通，生青。」唐．司馬貞．索隱：「媼，婦人老少通稱。」
4.地神。明．張自烈《正字通．女部》：「媼，地神曰媼。」 |</v>
      </c>
    </row>
    <row r="11897" spans="1:44" hidden="1">
      <c r="A11897" s="1" t="s">
        <v>24509</v>
      </c>
      <c r="C11897" s="1">
        <v>1</v>
      </c>
      <c r="D11897" s="1" t="str">
        <f>"10373"</f>
        <v>10373</v>
      </c>
      <c r="E11897" s="1" t="s">
        <v>679</v>
      </c>
      <c r="F11897" s="1">
        <v>16</v>
      </c>
      <c r="G11897" s="1">
        <v>10</v>
      </c>
      <c r="H11897" s="1">
        <v>2</v>
      </c>
      <c r="I11897" s="1" t="s">
        <v>24501</v>
      </c>
      <c r="K11897" s="1" t="str">
        <f t="shared" si="752"/>
        <v>ㄠ</v>
      </c>
      <c r="M11897" s="1" t="str">
        <f t="shared" si="753"/>
        <v/>
      </c>
      <c r="N11897" s="3" t="s">
        <v>30576</v>
      </c>
      <c r="O11897" s="3"/>
      <c r="P11897" s="1" t="s">
        <v>20</v>
      </c>
      <c r="R11897" s="1" t="s">
        <v>24502</v>
      </c>
      <c r="V11897" s="1" t="s">
        <v>24510</v>
      </c>
      <c r="W11897" s="1" t="s">
        <v>24511</v>
      </c>
      <c r="AR11897" s="1" t="str">
        <f t="shared" si="751"/>
        <v>| [ㄠˇ](ㄠˇ.md) | [蝹](蝹.md) |  | ǎo | [名]
傳說中在地底下吃死人腦的怪物。《廣韻．上聲．皓韻》：「蝹，蟲名。如猿，常地下食人腦。」南朝梁．任昉《述異記》卷下：「秦繆公時，陳倉人掘地得物，若羊非羊，似豬非豬。繆公道中逢二童子，云：『此名蝹，在地中食死人腦。』」 |</v>
      </c>
    </row>
    <row r="11898" spans="1:44" hidden="1">
      <c r="A11898" s="1" t="s">
        <v>24512</v>
      </c>
      <c r="C11898" s="1">
        <v>1</v>
      </c>
      <c r="D11898" s="1" t="str">
        <f>"10374"</f>
        <v>10374</v>
      </c>
      <c r="E11898" s="1" t="s">
        <v>340</v>
      </c>
      <c r="F11898" s="1">
        <v>19</v>
      </c>
      <c r="G11898" s="1">
        <v>13</v>
      </c>
      <c r="H11898" s="1">
        <v>0</v>
      </c>
      <c r="I11898" s="1" t="s">
        <v>24501</v>
      </c>
      <c r="K11898" s="1" t="str">
        <f t="shared" si="752"/>
        <v>ㄠ</v>
      </c>
      <c r="M11898" s="1" t="str">
        <f t="shared" si="753"/>
        <v/>
      </c>
      <c r="N11898" s="3" t="s">
        <v>30576</v>
      </c>
      <c r="O11898" s="3"/>
      <c r="P11898" s="1" t="s">
        <v>20</v>
      </c>
      <c r="R11898" s="1" t="s">
        <v>24502</v>
      </c>
      <c r="V11898" s="1" t="s">
        <v>24513</v>
      </c>
      <c r="AR11898" s="1" t="str">
        <f t="shared" si="751"/>
        <v>| [ㄠˇ](ㄠˇ.md) | [襖](襖.md) |  | ǎo | [名]
可禦寒且有襯裡的短上衣。如：「夾襖」、「棉襖」、「皮襖」。唐．韓愈〈崔十六少府攝伊陽以詩及書見投因酬三十韻〉：「蔬飧要同喫，破襖請來綻。」《資治通鑑．卷一四二．齊紀八．東昏侯永元元年》：「見車上婦人猶戴帽，著小襖。」 |</v>
      </c>
    </row>
    <row r="11899" spans="1:44" hidden="1">
      <c r="A11899" s="1" t="s">
        <v>9792</v>
      </c>
      <c r="C11899" s="1">
        <v>1</v>
      </c>
      <c r="D11899" s="1" t="str">
        <f>"10390"</f>
        <v>10390</v>
      </c>
      <c r="E11899" s="1" t="s">
        <v>1258</v>
      </c>
      <c r="F11899" s="1">
        <v>11</v>
      </c>
      <c r="G11899" s="1">
        <v>9</v>
      </c>
      <c r="H11899" s="1">
        <v>2</v>
      </c>
      <c r="I11899" s="1" t="s">
        <v>24547</v>
      </c>
      <c r="K11899" s="1" t="str">
        <f t="shared" si="752"/>
        <v>ㄡ</v>
      </c>
      <c r="L11899" s="1" t="str">
        <f t="shared" ref="L11899:L11909" si="754">MID(I11899, 2, 1)</f>
        <v/>
      </c>
      <c r="M11899" s="1" t="str">
        <f t="shared" si="753"/>
        <v/>
      </c>
      <c r="P11899" s="1" t="s">
        <v>20</v>
      </c>
      <c r="R11899" s="1" t="s">
        <v>24548</v>
      </c>
      <c r="V11899" s="1" t="s">
        <v>24549</v>
      </c>
      <c r="W11899" s="1" t="s">
        <v>24550</v>
      </c>
      <c r="AR11899" s="1" t="str">
        <f t="shared" si="751"/>
        <v>| [ㄡ](ㄡ.md) | [區](區.md) |  | ōu | [名]
1.量詞。古代計算容量的單位。相當於一斗六升。《集韻．平聲．侯韻》：「區，量名，四豆為區。」《左傳．昭公三年》：「齊舊四量：豆、區、釜、鍾。」晉．杜預．注：「四豆為區，區，斗六升。」
2.姓。如漢代有區博。
[動]
隱匿。《左傳．昭公七年》：「吾先君文王作僕區之法。」孔穎達．正義引服虔云：「僕，隱也；區，匿也。」 |</v>
      </c>
    </row>
    <row r="11900" spans="1:44" hidden="1">
      <c r="A11900" s="1" t="s">
        <v>24551</v>
      </c>
      <c r="C11900" s="1">
        <v>1</v>
      </c>
      <c r="D11900" s="1" t="str">
        <f>"10391"</f>
        <v>10391</v>
      </c>
      <c r="E11900" s="1" t="s">
        <v>129</v>
      </c>
      <c r="F11900" s="1">
        <v>14</v>
      </c>
      <c r="G11900" s="1">
        <v>11</v>
      </c>
      <c r="H11900" s="1">
        <v>2</v>
      </c>
      <c r="I11900" s="1" t="s">
        <v>24547</v>
      </c>
      <c r="K11900" s="1" t="str">
        <f t="shared" si="752"/>
        <v>ㄡ</v>
      </c>
      <c r="L11900" s="1" t="str">
        <f t="shared" si="754"/>
        <v/>
      </c>
      <c r="M11900" s="1" t="str">
        <f t="shared" si="753"/>
        <v/>
      </c>
      <c r="P11900" s="1" t="s">
        <v>20</v>
      </c>
      <c r="R11900" s="1" t="s">
        <v>24548</v>
      </c>
      <c r="V11900" s="1" t="s">
        <v>24552</v>
      </c>
      <c r="W11900" s="1" t="s">
        <v>24553</v>
      </c>
      <c r="AR11900" s="1" t="str">
        <f t="shared" si="751"/>
        <v>| [ㄡ](ㄡ.md) | [漚](漚.md) |  | ōu | [名]
1.水泡。如：「浮漚」。唐．白居易〈想東遊五十韻〉：「幻世春來夢，浮生水上漚。」
2.水鳥。通「鷗」。《列子．黃帝》：「海上之人有好漚鳥者，每旦之海上，從漚鳥游。」 |</v>
      </c>
    </row>
    <row r="11901" spans="1:44" hidden="1">
      <c r="A11901" s="1" t="s">
        <v>17272</v>
      </c>
      <c r="C11901" s="1">
        <v>1</v>
      </c>
      <c r="D11901" s="1" t="str">
        <f>"10392"</f>
        <v>10392</v>
      </c>
      <c r="E11901" s="1" t="s">
        <v>28</v>
      </c>
      <c r="F11901" s="1">
        <v>14</v>
      </c>
      <c r="G11901" s="1">
        <v>11</v>
      </c>
      <c r="H11901" s="1">
        <v>2</v>
      </c>
      <c r="I11901" s="1" t="s">
        <v>24547</v>
      </c>
      <c r="K11901" s="1" t="str">
        <f t="shared" si="752"/>
        <v>ㄡ</v>
      </c>
      <c r="L11901" s="1" t="str">
        <f t="shared" si="754"/>
        <v/>
      </c>
      <c r="M11901" s="1" t="str">
        <f t="shared" si="753"/>
        <v/>
      </c>
      <c r="P11901" s="1" t="s">
        <v>20</v>
      </c>
      <c r="R11901" s="1" t="s">
        <v>24548</v>
      </c>
      <c r="V11901" s="1" t="s">
        <v>24554</v>
      </c>
      <c r="W11901" s="1" t="s">
        <v>24555</v>
      </c>
      <c r="AR11901" s="1" t="str">
        <f t="shared" si="751"/>
        <v>| [ㄡ](ㄡ.md) | [嘔](嘔.md) |  | ōu | [動]
1.歌唱。同「謳」。如：「嘔歌」。《漢書．卷六四上．朱買臣傳》：「數止買臣毋歌嘔道中。」
2.(一)之又音。
[擬]
參見「嘔唲」、「嘔啞」等條。 |</v>
      </c>
    </row>
    <row r="11902" spans="1:44" hidden="1">
      <c r="A11902" s="1" t="s">
        <v>24556</v>
      </c>
      <c r="C11902" s="1">
        <v>1</v>
      </c>
      <c r="D11902" s="1" t="str">
        <f>"10393"</f>
        <v>10393</v>
      </c>
      <c r="E11902" s="1" t="s">
        <v>336</v>
      </c>
      <c r="F11902" s="1">
        <v>15</v>
      </c>
      <c r="G11902" s="1">
        <v>11</v>
      </c>
      <c r="H11902" s="1">
        <v>0</v>
      </c>
      <c r="I11902" s="1" t="s">
        <v>24547</v>
      </c>
      <c r="K11902" s="1" t="str">
        <f t="shared" si="752"/>
        <v>ㄡ</v>
      </c>
      <c r="L11902" s="1" t="str">
        <f t="shared" si="754"/>
        <v/>
      </c>
      <c r="M11902" s="1" t="str">
        <f t="shared" si="753"/>
        <v/>
      </c>
      <c r="P11902" s="1" t="s">
        <v>20</v>
      </c>
      <c r="R11902" s="1" t="s">
        <v>24548</v>
      </c>
      <c r="V11902" s="1" t="s">
        <v>24557</v>
      </c>
      <c r="AR11902" s="1" t="str">
        <f t="shared" si="751"/>
        <v>| [ㄡ](ㄡ.md) | [熰](熰.md) |  | ōu | [名]
炮。《集韻．平聲．侯韻》：「熰，炮也。」
[形]
乾旱。《管子．侈靡》：「古之祭，有時而星，有時而星熺，有時而熰。」唐．尹知章．注：「熰，熱甚也。謂旱熱甚而祭。」
[動]
燃燒。《醒世姻緣傳》第四八回：「只見房前門戶都豎著秫稭，點著火待著不著的熰。」 |</v>
      </c>
    </row>
    <row r="11903" spans="1:44" hidden="1">
      <c r="A11903" s="1" t="s">
        <v>15806</v>
      </c>
      <c r="C11903" s="1">
        <v>1</v>
      </c>
      <c r="D11903" s="1" t="str">
        <f>"10394"</f>
        <v>10394</v>
      </c>
      <c r="E11903" s="1" t="s">
        <v>426</v>
      </c>
      <c r="F11903" s="1">
        <v>15</v>
      </c>
      <c r="G11903" s="1">
        <v>11</v>
      </c>
      <c r="H11903" s="1">
        <v>2</v>
      </c>
      <c r="I11903" s="1" t="s">
        <v>24547</v>
      </c>
      <c r="K11903" s="1" t="str">
        <f t="shared" si="752"/>
        <v>ㄡ</v>
      </c>
      <c r="L11903" s="1" t="str">
        <f t="shared" si="754"/>
        <v/>
      </c>
      <c r="M11903" s="1" t="str">
        <f t="shared" si="753"/>
        <v/>
      </c>
      <c r="P11903" s="1" t="s">
        <v>20</v>
      </c>
      <c r="R11903" s="1" t="s">
        <v>24548</v>
      </c>
      <c r="V11903" s="1" t="s">
        <v>24558</v>
      </c>
      <c r="W11903" s="1" t="s">
        <v>24559</v>
      </c>
      <c r="AR11903" s="1" t="str">
        <f t="shared" si="751"/>
        <v>| [ㄡ](ㄡ.md) | [敺](敺.md) |  | ōu | [動]
捶擊。同「毆」。《漢書．卷四七．文三王傳．梁懷王劉揖傳》：「後數復敺傷郎，夜私出宮。」 |</v>
      </c>
    </row>
    <row r="11904" spans="1:44" hidden="1">
      <c r="A11904" s="1" t="s">
        <v>24560</v>
      </c>
      <c r="C11904" s="1">
        <v>1</v>
      </c>
      <c r="D11904" s="1" t="str">
        <f>"10395"</f>
        <v>10395</v>
      </c>
      <c r="E11904" s="1" t="s">
        <v>1908</v>
      </c>
      <c r="F11904" s="1">
        <v>15</v>
      </c>
      <c r="G11904" s="1">
        <v>11</v>
      </c>
      <c r="H11904" s="1">
        <v>1</v>
      </c>
      <c r="I11904" s="1" t="s">
        <v>24547</v>
      </c>
      <c r="K11904" s="1" t="str">
        <f t="shared" si="752"/>
        <v>ㄡ</v>
      </c>
      <c r="L11904" s="1" t="str">
        <f t="shared" si="754"/>
        <v/>
      </c>
      <c r="M11904" s="1" t="str">
        <f t="shared" si="753"/>
        <v/>
      </c>
      <c r="P11904" s="1" t="s">
        <v>20</v>
      </c>
      <c r="R11904" s="1" t="s">
        <v>24548</v>
      </c>
      <c r="V11904" s="1" t="s">
        <v>24561</v>
      </c>
      <c r="W11904" s="1" t="s">
        <v>24562</v>
      </c>
      <c r="AR11904" s="1" t="str">
        <f t="shared" si="751"/>
        <v>| [ㄡ](ㄡ.md) | [歐](歐.md) |  | ōu | [名]
1.歐洲的簡稱。如：「歐美國家」。
2.參見「歐姆」條。
3.姓。如漢代有歐寶。
[動]
1.歌詠。同「謳」。宋．洪适《隸釋．卷三．三公山碑》：「百姓歐歌，得我惠君。」
2.捶擊。通「毆」。《漢書．卷四〇．張良傳》：「（老父）顧謂良曰：『孺子下取履！』良愕然，欲歐之。」唐．顏師古．注：「歐，擊也。」 |</v>
      </c>
    </row>
    <row r="11905" spans="1:44" hidden="1">
      <c r="A11905" s="1" t="s">
        <v>24563</v>
      </c>
      <c r="C11905" s="1">
        <v>1</v>
      </c>
      <c r="D11905" s="1" t="str">
        <f>"10396"</f>
        <v>10396</v>
      </c>
      <c r="E11905" s="1" t="s">
        <v>5505</v>
      </c>
      <c r="F11905" s="1">
        <v>15</v>
      </c>
      <c r="G11905" s="1">
        <v>11</v>
      </c>
      <c r="H11905" s="1">
        <v>0</v>
      </c>
      <c r="I11905" s="1" t="s">
        <v>24547</v>
      </c>
      <c r="K11905" s="1" t="str">
        <f t="shared" si="752"/>
        <v>ㄡ</v>
      </c>
      <c r="L11905" s="1" t="str">
        <f t="shared" si="754"/>
        <v/>
      </c>
      <c r="M11905" s="1" t="str">
        <f t="shared" si="753"/>
        <v/>
      </c>
      <c r="P11905" s="1" t="s">
        <v>20</v>
      </c>
      <c r="R11905" s="1" t="s">
        <v>24548</v>
      </c>
      <c r="V11905" s="1" t="s">
        <v>24564</v>
      </c>
      <c r="AR11905" s="1" t="str">
        <f t="shared" si="751"/>
        <v>| [ㄡ](ㄡ.md) | [毆](毆.md) |  | ōu | [動]_x000D_
1.擊、打。如：「鬥毆」、「毆打」。《史記．卷五五．留侯世家》：「顧謂良曰：『孺子，下取履！』良鄂然，欲毆之。」元．楊梓《霍光鬼諫》第三折：「將霍山纏住拘，將霍禹劈面毆。」_x000D_
2.惹人生氣。通「嘔」。《金瓶梅》第三三回：「春梅也不拏箸，故意毆他，向攢盒內取了兩個核桃遞與他。」 |</v>
      </c>
    </row>
    <row r="11906" spans="1:44" hidden="1">
      <c r="A11906" s="1" t="s">
        <v>24565</v>
      </c>
      <c r="C11906" s="1">
        <v>1</v>
      </c>
      <c r="D11906" s="1" t="str">
        <f>"10397"</f>
        <v>10397</v>
      </c>
      <c r="E11906" s="1" t="s">
        <v>37</v>
      </c>
      <c r="F11906" s="1">
        <v>15</v>
      </c>
      <c r="G11906" s="1">
        <v>11</v>
      </c>
      <c r="H11906" s="1">
        <v>0</v>
      </c>
      <c r="I11906" s="1" t="s">
        <v>24547</v>
      </c>
      <c r="K11906" s="1" t="str">
        <f t="shared" si="752"/>
        <v>ㄡ</v>
      </c>
      <c r="L11906" s="1" t="str">
        <f t="shared" si="754"/>
        <v/>
      </c>
      <c r="M11906" s="1" t="str">
        <f t="shared" si="753"/>
        <v/>
      </c>
      <c r="P11906" s="1" t="s">
        <v>20</v>
      </c>
      <c r="R11906" s="1" t="s">
        <v>24548</v>
      </c>
      <c r="V11906" s="1" t="s">
        <v>24566</v>
      </c>
      <c r="AR11906" s="1" t="str">
        <f t="shared" si="751"/>
        <v>| [ㄡ](ㄡ.md) | [蓲](蓲.md) |  | ōu | [名]
植物名：(1)即刺榆。榆科刺榆屬，落葉喬木。樹皮為條狀剝裂，呈灰色。枝條強韌，皮孔隆起顯著，具粗硬棘刺。葉橢圓形，鋸齒緣，脈胳明顯。花雜性，單生或二至四朵簇生葉腋。花被杯狀，四至五裂。小堅果斜卵圓形，背側頂部有狹翅。木材可供製造器具、農具。《山海經．海內南經》：「其實如欒，其大若蓲。」清．郝懿行．疏：「蓲，刺榆也。」(2)禾本科芒屬，「荻」之古稱，參見「荻」條。 |</v>
      </c>
    </row>
    <row r="11907" spans="1:44" hidden="1">
      <c r="A11907" s="1" t="s">
        <v>24567</v>
      </c>
      <c r="C11907" s="1">
        <v>1</v>
      </c>
      <c r="D11907" s="1" t="str">
        <f>"10398"</f>
        <v>10398</v>
      </c>
      <c r="E11907" s="1" t="s">
        <v>1824</v>
      </c>
      <c r="F11907" s="1">
        <v>16</v>
      </c>
      <c r="G11907" s="1">
        <v>11</v>
      </c>
      <c r="H11907" s="1">
        <v>0</v>
      </c>
      <c r="I11907" s="1" t="s">
        <v>24547</v>
      </c>
      <c r="K11907" s="1" t="str">
        <f t="shared" si="752"/>
        <v>ㄡ</v>
      </c>
      <c r="L11907" s="1" t="str">
        <f t="shared" si="754"/>
        <v/>
      </c>
      <c r="M11907" s="1" t="str">
        <f t="shared" si="753"/>
        <v/>
      </c>
      <c r="P11907" s="1" t="s">
        <v>20</v>
      </c>
      <c r="R11907" s="1" t="s">
        <v>24548</v>
      </c>
      <c r="V11907" s="1" t="s">
        <v>24568</v>
      </c>
      <c r="AR11907" s="1" t="str">
        <f t="shared" ref="AR11907:AR11970" si="755">"| ["&amp;I11907&amp;"]("&amp;I11907&amp;".md) | ["&amp;A11907&amp;"]("&amp;A11907&amp;".md) | "&amp;" | "&amp;R11907&amp;" | "&amp;V11907&amp;" |"</f>
        <v>| [ㄡ](ㄡ.md) | [甌](甌.md) |  | ōu | [名]
1.盆、盂等瓦器。《淮南子．說林》：「狗彘不擇甂甌而食，偷肥其體，而顧近其死。」《水滸傳》第三二回：「烏皮卓椅，盡列著瓦缽瓷甌。」
2.喝酒、飲茶的碗杯。南唐．李煜〈漁父．一櫂春風一葉舟〉詞：「花滿渚，酒滿甌。」
3.地名。浙江省舊溫州府的簡稱，即今永嘉縣。 |</v>
      </c>
    </row>
    <row r="11908" spans="1:44" hidden="1">
      <c r="A11908" s="1" t="s">
        <v>24569</v>
      </c>
      <c r="C11908" s="1">
        <v>1</v>
      </c>
      <c r="D11908" s="1" t="str">
        <f>"10399"</f>
        <v>10399</v>
      </c>
      <c r="E11908" s="1" t="s">
        <v>331</v>
      </c>
      <c r="F11908" s="1">
        <v>18</v>
      </c>
      <c r="G11908" s="1">
        <v>11</v>
      </c>
      <c r="H11908" s="1">
        <v>0</v>
      </c>
      <c r="I11908" s="1" t="s">
        <v>24547</v>
      </c>
      <c r="K11908" s="1" t="str">
        <f t="shared" si="752"/>
        <v>ㄡ</v>
      </c>
      <c r="L11908" s="1" t="str">
        <f t="shared" si="754"/>
        <v/>
      </c>
      <c r="M11908" s="1" t="str">
        <f t="shared" si="753"/>
        <v/>
      </c>
      <c r="P11908" s="1" t="s">
        <v>20</v>
      </c>
      <c r="R11908" s="1" t="s">
        <v>24548</v>
      </c>
      <c r="V11908" s="1" t="s">
        <v>24570</v>
      </c>
      <c r="AR11908" s="1" t="str">
        <f t="shared" si="755"/>
        <v>| [ㄡ](ㄡ.md) | [謳](謳.md) |  | ōu | [動]
歌唱。《孟子．告子下》：「昔者王豹處於淇，而河西善謳。」《漢書．卷一．高帝紀上》：「漢王既至南鄭，諸將及士卒皆歌謳思東歸，多道亡還者。」
[名]
1.歌曲、歌謠。《楚辭．宋玉．招魂》：「吳歈蔡謳，奏大呂些。」南朝梁．蕭統〈陶淵明集序〉：「齊謳趙女之娛，八珍九鼎之食，……，樂既樂矣，憂亦隨之。」
2.姓。如春秋時越有謳陽。 |</v>
      </c>
    </row>
    <row r="11909" spans="1:44" hidden="1">
      <c r="A11909" s="1" t="s">
        <v>24571</v>
      </c>
      <c r="C11909" s="1">
        <v>1</v>
      </c>
      <c r="D11909" s="1" t="str">
        <f>"10400"</f>
        <v>10400</v>
      </c>
      <c r="E11909" s="1" t="s">
        <v>272</v>
      </c>
      <c r="F11909" s="1">
        <v>22</v>
      </c>
      <c r="G11909" s="1">
        <v>11</v>
      </c>
      <c r="H11909" s="1">
        <v>0</v>
      </c>
      <c r="I11909" s="1" t="s">
        <v>24547</v>
      </c>
      <c r="K11909" s="1" t="str">
        <f t="shared" si="752"/>
        <v>ㄡ</v>
      </c>
      <c r="L11909" s="1" t="str">
        <f t="shared" si="754"/>
        <v/>
      </c>
      <c r="M11909" s="1" t="str">
        <f t="shared" si="753"/>
        <v/>
      </c>
      <c r="P11909" s="1" t="s">
        <v>20</v>
      </c>
      <c r="R11909" s="1" t="s">
        <v>24548</v>
      </c>
      <c r="V11909" s="1" t="s">
        <v>24572</v>
      </c>
      <c r="AR11909" s="1" t="str">
        <f t="shared" si="755"/>
        <v>| [ㄡ](ㄡ.md) | [鷗](鷗.md) |  | ōu | [名]_x000D_
鷗科鳥類的通稱。種類繁多，體型大小不一。羽毛多為灰色或白色，嘴鉤曲。趾間有蹼，善游水。翼長，常飛翔湖海上。 |</v>
      </c>
    </row>
    <row r="11910" spans="1:44" hidden="1">
      <c r="A11910" s="1" t="s">
        <v>24551</v>
      </c>
      <c r="C11910" s="1">
        <v>1</v>
      </c>
      <c r="D11910" s="1" t="str">
        <f>"10409"</f>
        <v>10409</v>
      </c>
      <c r="E11910" s="1" t="s">
        <v>129</v>
      </c>
      <c r="F11910" s="1">
        <v>14</v>
      </c>
      <c r="G11910" s="1">
        <v>11</v>
      </c>
      <c r="H11910" s="1">
        <v>1</v>
      </c>
      <c r="I11910" s="1" t="s">
        <v>24593</v>
      </c>
      <c r="K11910" s="1" t="str">
        <f t="shared" si="752"/>
        <v>ㄡ</v>
      </c>
      <c r="M11910" s="1" t="str">
        <f t="shared" si="753"/>
        <v/>
      </c>
      <c r="N11910" s="3" t="s">
        <v>30574</v>
      </c>
      <c r="O11910" s="3"/>
      <c r="P11910" s="1" t="s">
        <v>20</v>
      </c>
      <c r="R11910" s="1" t="s">
        <v>24594</v>
      </c>
      <c r="V11910" s="1" t="s">
        <v>24595</v>
      </c>
      <c r="W11910" s="1" t="s">
        <v>24596</v>
      </c>
      <c r="AR11910" s="1" t="str">
        <f t="shared" si="755"/>
        <v>| [ㄡˋ](ㄡˋ.md) | [漚](漚.md) |  | òu | [動]
1.在水中長時間的浸泡。《說文解字．水部》：「漚，久漬也。」《詩經．陳風．東門之池》：「東門之池，可以漚麻。」
2.長時間溼溽著。如：「汗漚得很難受。」 |</v>
      </c>
    </row>
    <row r="11911" spans="1:44" hidden="1">
      <c r="A11911" s="1" t="s">
        <v>17272</v>
      </c>
      <c r="C11911" s="1">
        <v>1</v>
      </c>
      <c r="D11911" s="1" t="str">
        <f>"10410"</f>
        <v>10410</v>
      </c>
      <c r="E11911" s="1" t="s">
        <v>28</v>
      </c>
      <c r="F11911" s="1">
        <v>14</v>
      </c>
      <c r="G11911" s="1">
        <v>11</v>
      </c>
      <c r="H11911" s="1">
        <v>3</v>
      </c>
      <c r="I11911" s="1" t="s">
        <v>24593</v>
      </c>
      <c r="K11911" s="1" t="str">
        <f t="shared" si="752"/>
        <v>ㄡ</v>
      </c>
      <c r="M11911" s="1" t="str">
        <f t="shared" si="753"/>
        <v/>
      </c>
      <c r="N11911" s="3" t="s">
        <v>30574</v>
      </c>
      <c r="O11911" s="3"/>
      <c r="P11911" s="1" t="s">
        <v>20</v>
      </c>
      <c r="R11911" s="1" t="s">
        <v>24594</v>
      </c>
      <c r="V11911" s="1" t="s">
        <v>24597</v>
      </c>
      <c r="W11911" s="1" t="s">
        <v>24598</v>
      </c>
      <c r="AR11911" s="1" t="str">
        <f t="shared" si="755"/>
        <v>| [ㄡˋ](ㄡˋ.md) | [嘔](嘔.md) |  | òu | [動]
1.招惹、引人生氣。如：「這是存心嘔他的。」《兒女英雄傳》第三回：「把個老頭子嘔的嚷一陣，鬧一陣。」
2.生氣、動怒。如：「有什麼不高興就說出來吧！別嘔出病來。」《水滸傳》第二回：「老漢的兒子，從小不務農業，只愛刺鎗使棒，母親說他不得，嘔氣死了。」 |</v>
      </c>
    </row>
    <row r="11912" spans="1:44" hidden="1">
      <c r="A11912" s="1" t="s">
        <v>12732</v>
      </c>
      <c r="C11912" s="1">
        <v>1</v>
      </c>
      <c r="D11912" s="1" t="str">
        <f>"10401"</f>
        <v>10401</v>
      </c>
      <c r="E11912" s="1" t="s">
        <v>28</v>
      </c>
      <c r="F11912" s="1">
        <v>7</v>
      </c>
      <c r="G11912" s="1">
        <v>4</v>
      </c>
      <c r="H11912" s="1">
        <v>1</v>
      </c>
      <c r="I11912" s="1" t="s">
        <v>24573</v>
      </c>
      <c r="K11912" s="1" t="str">
        <f t="shared" si="752"/>
        <v>ㄡ</v>
      </c>
      <c r="M11912" s="1" t="str">
        <f t="shared" si="753"/>
        <v/>
      </c>
      <c r="N11912" s="3" t="s">
        <v>30575</v>
      </c>
      <c r="O11912" s="3"/>
      <c r="P11912" s="1" t="s">
        <v>20</v>
      </c>
      <c r="R11912" s="1" t="s">
        <v>24574</v>
      </c>
      <c r="V11912" s="1" t="s">
        <v>24575</v>
      </c>
      <c r="W11912" s="1" t="s">
        <v>24576</v>
      </c>
      <c r="AR11912" s="1" t="str">
        <f t="shared" si="755"/>
        <v>| [ㄡˊ](ㄡˊ.md) | [吽](吽.md) |  | óu | [名]
吽牙：狗爭鬥的聲音。《漢書．卷六五．東方朔傳》：「狋吽牙者，兩犬爭也。」 |</v>
      </c>
    </row>
    <row r="11913" spans="1:44" hidden="1">
      <c r="A11913" s="1" t="s">
        <v>24577</v>
      </c>
      <c r="C11913" s="1">
        <v>1</v>
      </c>
      <c r="D11913" s="1" t="str">
        <f>"10402"</f>
        <v>10402</v>
      </c>
      <c r="E11913" s="1" t="s">
        <v>592</v>
      </c>
      <c r="F11913" s="1">
        <v>24</v>
      </c>
      <c r="G11913" s="1">
        <v>9</v>
      </c>
      <c r="H11913" s="1">
        <v>2</v>
      </c>
      <c r="I11913" s="1" t="s">
        <v>24573</v>
      </c>
      <c r="K11913" s="1" t="str">
        <f t="shared" si="752"/>
        <v>ㄡ</v>
      </c>
      <c r="M11913" s="1" t="str">
        <f t="shared" si="753"/>
        <v/>
      </c>
      <c r="N11913" s="3" t="s">
        <v>30575</v>
      </c>
      <c r="O11913" s="3"/>
      <c r="P11913" s="1" t="s">
        <v>110</v>
      </c>
      <c r="R11913" s="1" t="s">
        <v>24574</v>
      </c>
      <c r="V11913" s="1" t="s">
        <v>111</v>
      </c>
      <c r="W11913" s="1" t="s">
        <v>24578</v>
      </c>
      <c r="AR11913" s="1" t="str">
        <f t="shared" si="755"/>
        <v>| [ㄡˊ](ㄡˊ.md) | [齵](齵.md) |  | óu | (一)之又音。 |</v>
      </c>
    </row>
    <row r="11914" spans="1:44" hidden="1">
      <c r="A11914" s="1" t="s">
        <v>24579</v>
      </c>
      <c r="C11914" s="1">
        <v>1</v>
      </c>
      <c r="D11914" s="1" t="str">
        <f>"10403"</f>
        <v>10403</v>
      </c>
      <c r="E11914" s="1" t="s">
        <v>114</v>
      </c>
      <c r="F11914" s="1">
        <v>11</v>
      </c>
      <c r="G11914" s="1">
        <v>9</v>
      </c>
      <c r="H11914" s="1">
        <v>0</v>
      </c>
      <c r="I11914" s="1" t="s">
        <v>24580</v>
      </c>
      <c r="K11914" s="1" t="str">
        <f t="shared" si="752"/>
        <v>ㄡ</v>
      </c>
      <c r="M11914" s="1" t="str">
        <f t="shared" si="753"/>
        <v/>
      </c>
      <c r="N11914" s="3" t="s">
        <v>30576</v>
      </c>
      <c r="O11914" s="3"/>
      <c r="P11914" s="1" t="s">
        <v>20</v>
      </c>
      <c r="R11914" s="1" t="s">
        <v>24581</v>
      </c>
      <c r="V11914" s="1" t="s">
        <v>24582</v>
      </c>
      <c r="AR11914" s="1" t="str">
        <f t="shared" si="755"/>
        <v>| [ㄡˇ](ㄡˇ.md) | [偶](偶.md) |  | ǒu | [名]
1.用土、木、金屬等材料雕塑的人像。如：「泥偶」、「木偶」。
2.同伴。《史記．卷九一．黥布傳》：「迺率其曹偶，亡之江中為群盜。」宋．蘇軾〈鳳翔八觀詩．石鼓歌〉：「登山刻石頌功烈，後者無繼前無偶。」
3.配偶。如：「怨偶」、「佳偶天成」。《紅樓夢》第四回：「因此這李紈雖青春喪偶，且居處膏粱錦繡之中，竟如槁木死灰一般。」
4.姓。如明代有偶桓。
[形]
成雙的。與「奇」相對。如：「二、四、六……都是偶數。」
[副]
1.碰巧、不是經常的。如：「偶遇」、「偶發」、「偶一為之」。
2.相對的。如：「偶坐」。《史記．卷六．秦始皇本紀》：「有敢偶語詩書者棄市，以古非今者族。」
[動]
1.婚配。《初刻拍案驚奇》卷二五：「如欲偶吾者，必先投詩，吾當自擇。」
2.對等、匹敵。《抱朴子．外篇．鈞世》：「諸碩儒高才之賞文者，咸以古詩三百未有足以偶二賢之所作也。」 |</v>
      </c>
    </row>
    <row r="11915" spans="1:44" hidden="1">
      <c r="A11915" s="1" t="s">
        <v>24583</v>
      </c>
      <c r="C11915" s="1">
        <v>1</v>
      </c>
      <c r="D11915" s="1" t="str">
        <f>"10404"</f>
        <v>10404</v>
      </c>
      <c r="E11915" s="1" t="s">
        <v>109</v>
      </c>
      <c r="F11915" s="1">
        <v>15</v>
      </c>
      <c r="G11915" s="1">
        <v>9</v>
      </c>
      <c r="H11915" s="1">
        <v>0</v>
      </c>
      <c r="I11915" s="1" t="s">
        <v>24580</v>
      </c>
      <c r="K11915" s="1" t="str">
        <f t="shared" si="752"/>
        <v>ㄡ</v>
      </c>
      <c r="M11915" s="1" t="str">
        <f t="shared" si="753"/>
        <v/>
      </c>
      <c r="N11915" s="3" t="s">
        <v>30576</v>
      </c>
      <c r="O11915" s="3"/>
      <c r="P11915" s="1" t="s">
        <v>20</v>
      </c>
      <c r="R11915" s="1" t="s">
        <v>24581</v>
      </c>
      <c r="V11915" s="1" t="s">
        <v>24584</v>
      </c>
      <c r="AR11915" s="1" t="str">
        <f t="shared" si="755"/>
        <v>| [ㄡˇ](ㄡˇ.md) | [耦](耦.md) |  | ǒu | [名]
1.古代的一種農具。《說文解字．耒部》：「耦，耕廣五寸為伐，二伐為耦。」
2.一對、二個。《左傳．襄公二十九年》：「公享之，展莊叔執幣，射者三耦。」晉．杜預．注：「二人為耦。」《三國志．卷四七．吳書．吳主權傳》：「今孤父子親自受田，車中八牛以為四耦。」
3.配偶。《左傳．桓公六年》：「人各有耦，齊大非吾耦也。」《聊齋志異．卷一〇．阿纖》：「請賜離婚書，聽君自擇良耦。」
4.雙數。《易經．繫辭下》：「陽卦奇，陰卦耦。」唐．李德裕〈文章論〉：「意盡而止，成篇不拘于隻耦。」
5.姓。如漢代有耦嘉。
[形]
淤積的。《呂氏春秋．孝行覽．必己》：「牛缺居上地，大儒也，下之邯鄲，遇盜於耦沙之中。」
[動]
兩人並耕。《論語．微子》：「長沮桀溺耦而耕，孔子過之。」《荀子．大略》：「禹見耕者耦，立而式。」唐．楊倞．注：「兩人並耕為耦。」 |</v>
      </c>
    </row>
    <row r="11916" spans="1:44" hidden="1">
      <c r="A11916" s="1" t="s">
        <v>24585</v>
      </c>
      <c r="C11916" s="1">
        <v>1</v>
      </c>
      <c r="D11916" s="1" t="str">
        <f>"10405"</f>
        <v>10405</v>
      </c>
      <c r="E11916" s="1" t="s">
        <v>37</v>
      </c>
      <c r="F11916" s="1">
        <v>16</v>
      </c>
      <c r="G11916" s="1">
        <v>12</v>
      </c>
      <c r="H11916" s="1">
        <v>0</v>
      </c>
      <c r="I11916" s="1" t="s">
        <v>24580</v>
      </c>
      <c r="K11916" s="1" t="str">
        <f t="shared" si="752"/>
        <v>ㄡ</v>
      </c>
      <c r="M11916" s="1" t="str">
        <f t="shared" si="753"/>
        <v/>
      </c>
      <c r="N11916" s="3" t="s">
        <v>30576</v>
      </c>
      <c r="O11916" s="3"/>
      <c r="P11916" s="1" t="s">
        <v>20</v>
      </c>
      <c r="R11916" s="1" t="s">
        <v>24581</v>
      </c>
      <c r="V11916" s="1" t="s">
        <v>24586</v>
      </c>
      <c r="AR11916" s="1" t="str">
        <f t="shared" si="755"/>
        <v>| [ㄡˇ](ㄡˇ.md) | [蕅](蕅.md) |  | ǒu | [名]
蓮的地下莖。同「藕」。《玉篇．艸部》：「蕅，同藕。」 |</v>
      </c>
    </row>
    <row r="11917" spans="1:44" hidden="1">
      <c r="A11917" s="1" t="s">
        <v>24587</v>
      </c>
      <c r="C11917" s="1">
        <v>1</v>
      </c>
      <c r="D11917" s="1" t="str">
        <f>"10406"</f>
        <v>10406</v>
      </c>
      <c r="E11917" s="1" t="s">
        <v>37</v>
      </c>
      <c r="F11917" s="1">
        <v>19</v>
      </c>
      <c r="G11917" s="1">
        <v>15</v>
      </c>
      <c r="H11917" s="1">
        <v>0</v>
      </c>
      <c r="I11917" s="1" t="s">
        <v>24580</v>
      </c>
      <c r="K11917" s="1" t="str">
        <f t="shared" si="752"/>
        <v>ㄡ</v>
      </c>
      <c r="M11917" s="1" t="str">
        <f t="shared" si="753"/>
        <v/>
      </c>
      <c r="N11917" s="3" t="s">
        <v>30576</v>
      </c>
      <c r="O11917" s="3"/>
      <c r="P11917" s="1" t="s">
        <v>20</v>
      </c>
      <c r="R11917" s="1" t="s">
        <v>24581</v>
      </c>
      <c r="V11917" s="1" t="s">
        <v>24588</v>
      </c>
      <c r="AR11917" s="1" t="str">
        <f t="shared" si="755"/>
        <v>| [ㄡˇ](ㄡˇ.md) | [藕](藕.md) |  | ǒu | [名]
蓮的地下莖。白色，肥大有節，中間有管狀的孔，可食。 |</v>
      </c>
    </row>
    <row r="11918" spans="1:44" hidden="1">
      <c r="A11918" s="1" t="s">
        <v>17272</v>
      </c>
      <c r="C11918" s="1">
        <v>1</v>
      </c>
      <c r="D11918" s="1" t="str">
        <f>"10407"</f>
        <v>10407</v>
      </c>
      <c r="E11918" s="1" t="s">
        <v>28</v>
      </c>
      <c r="F11918" s="1">
        <v>14</v>
      </c>
      <c r="G11918" s="1">
        <v>11</v>
      </c>
      <c r="H11918" s="1">
        <v>1</v>
      </c>
      <c r="I11918" s="1" t="s">
        <v>24580</v>
      </c>
      <c r="K11918" s="1" t="str">
        <f t="shared" si="752"/>
        <v>ㄡ</v>
      </c>
      <c r="M11918" s="1" t="str">
        <f t="shared" si="753"/>
        <v/>
      </c>
      <c r="N11918" s="3" t="s">
        <v>30576</v>
      </c>
      <c r="O11918" s="3"/>
      <c r="P11918" s="1" t="s">
        <v>20</v>
      </c>
      <c r="R11918" s="1" t="s">
        <v>24581</v>
      </c>
      <c r="V11918" s="1" t="s">
        <v>24589</v>
      </c>
      <c r="W11918" s="1" t="s">
        <v>24590</v>
      </c>
      <c r="AR11918" s="1" t="str">
        <f t="shared" si="755"/>
        <v>| [ㄡˇ](ㄡˇ.md) | [嘔](嘔.md) |  | ǒu | [動]
吐。《左傳．哀公二年》：「吾伏弢嘔血。」唐．杜甫〈北征〉詩：「老夫情懷惡，嘔泄臥數日。」 |</v>
      </c>
    </row>
    <row r="11919" spans="1:44" hidden="1">
      <c r="A11919" s="1" t="s">
        <v>24560</v>
      </c>
      <c r="C11919" s="1">
        <v>1</v>
      </c>
      <c r="D11919" s="1" t="str">
        <f>"10408"</f>
        <v>10408</v>
      </c>
      <c r="E11919" s="1" t="s">
        <v>1908</v>
      </c>
      <c r="F11919" s="1">
        <v>15</v>
      </c>
      <c r="G11919" s="1">
        <v>11</v>
      </c>
      <c r="H11919" s="1">
        <v>2</v>
      </c>
      <c r="I11919" s="1" t="s">
        <v>24580</v>
      </c>
      <c r="K11919" s="1" t="str">
        <f t="shared" si="752"/>
        <v>ㄡ</v>
      </c>
      <c r="M11919" s="1" t="str">
        <f t="shared" si="753"/>
        <v/>
      </c>
      <c r="N11919" s="3" t="s">
        <v>30576</v>
      </c>
      <c r="O11919" s="3"/>
      <c r="P11919" s="1" t="s">
        <v>20</v>
      </c>
      <c r="R11919" s="1" t="s">
        <v>24581</v>
      </c>
      <c r="V11919" s="1" t="s">
        <v>24591</v>
      </c>
      <c r="W11919" s="1" t="s">
        <v>24592</v>
      </c>
      <c r="AR11919" s="1" t="str">
        <f t="shared" si="755"/>
        <v>| [ㄡˇ](ㄡˇ.md) | [歐](歐.md) |  | ǒu | [動]
吐。同「嘔」。《漢書．卷七四．丙吉傳》：「吉馭吏耆酒，數逋蕩，嘗從吉出，醉歐丞相車上。」 |</v>
      </c>
    </row>
    <row r="11920" spans="1:44" hidden="1">
      <c r="A11920" s="1" t="s">
        <v>24599</v>
      </c>
      <c r="C11920" s="1">
        <v>1</v>
      </c>
      <c r="D11920" s="1" t="str">
        <f>"10411"</f>
        <v>10411</v>
      </c>
      <c r="E11920" s="1" t="s">
        <v>624</v>
      </c>
      <c r="F11920" s="1">
        <v>6</v>
      </c>
      <c r="G11920" s="1">
        <v>3</v>
      </c>
      <c r="H11920" s="1">
        <v>0</v>
      </c>
      <c r="I11920" s="1" t="s">
        <v>24600</v>
      </c>
      <c r="K11920" s="1" t="str">
        <f t="shared" si="752"/>
        <v>ㄢ</v>
      </c>
      <c r="L11920" s="1" t="str">
        <f t="shared" ref="L11920:L11933" si="756">MID(I11920, 2, 1)</f>
        <v/>
      </c>
      <c r="M11920" s="1" t="str">
        <f t="shared" si="753"/>
        <v/>
      </c>
      <c r="P11920" s="1" t="s">
        <v>20</v>
      </c>
      <c r="R11920" s="1" t="s">
        <v>24601</v>
      </c>
      <c r="V11920" s="1" t="s">
        <v>24602</v>
      </c>
      <c r="AR11920" s="1" t="str">
        <f t="shared" si="755"/>
        <v>| [ㄢ](ㄢ.md) | [安](安.md) |  | ān | [名]
1.平穩、安全、舒適的狀況或環境。如：「居安思危」、「轉危為安」、「苟且偷安」。《論語．學而》：「君子食無求飽，居無求安。」
2.安非他命的簡稱。如：「吸安」、「安毒」。
3.量詞。安培的簡稱。參見「安培」條。
4.姓。如漢代有安成。
[形]
1.平靜、恬適。如：「安寧」、「坐立不安」。《漢書．卷六四下．嚴安傳》：「心既和平，其性恬安。」
2.穩定的、靜止的。如：「生活安穩」。唐．楊烱〈渾天賦〉：「故知天常安而不動，地極深而不測。」
[動]
1.使穩定。如：「除暴安良」、「安民」。
2.裝置、設置。如：「安電燈」、「安門窗」。
3.加上。如：「安罪名」。
4.存、懷、居。如：「你安的是什麼心？」
5.習慣、熟悉。《呂氏春秋．先識覽．樂成》：「舟車之始見也，三世然後安之。」
[副]
豈、怎麼。用於文言文。如：「安能如此？」《左傳．宣公十二年》：「暴而不戢，安能保大？」
[代]
1.何處、那裡。用於文言文。如：「而今安在？」《史記．卷七．項羽本紀》：「項王曰：『沛公安在？』良曰：『聞大王有意督過之，脫身獨去，已至軍矣。』」
2.如何。《禮記．檀弓上》：「泰山其頹，則吾將安仰？」
[連]
乃、於是。《荀子．仲尼》：「委然成文，以示之天下，而暴國安自化矣。」 |</v>
      </c>
    </row>
    <row r="11921" spans="1:44" hidden="1">
      <c r="A11921" s="1" t="s">
        <v>24603</v>
      </c>
      <c r="C11921" s="1">
        <v>1</v>
      </c>
      <c r="D11921" s="1" t="str">
        <f>"10412"</f>
        <v>10412</v>
      </c>
      <c r="E11921" s="1" t="s">
        <v>2228</v>
      </c>
      <c r="F11921" s="1">
        <v>10</v>
      </c>
      <c r="G11921" s="1">
        <v>6</v>
      </c>
      <c r="H11921" s="1">
        <v>0</v>
      </c>
      <c r="I11921" s="1" t="s">
        <v>24600</v>
      </c>
      <c r="K11921" s="1" t="str">
        <f t="shared" si="752"/>
        <v>ㄢ</v>
      </c>
      <c r="L11921" s="1" t="str">
        <f t="shared" si="756"/>
        <v/>
      </c>
      <c r="M11921" s="1" t="str">
        <f t="shared" si="753"/>
        <v/>
      </c>
      <c r="P11921" s="1" t="s">
        <v>20</v>
      </c>
      <c r="R11921" s="1" t="s">
        <v>24601</v>
      </c>
      <c r="V11921" s="1" t="s">
        <v>24604</v>
      </c>
      <c r="AR11921" s="1" t="str">
        <f t="shared" si="755"/>
        <v>| [ㄢ](ㄢ.md) | [氨](氨.md) |  | ān | [名]
一種無機化合物，是氫氣與氮氣化合而成，為無色而有臭味的氣體。常溫加壓即成液態氨，除去壓力後又會還原回氣體。可作為製造乾冰的冷卻劑，此外還能用於製造硝酸、氮肥及炸藥等。俗稱為「阿摩尼亞」。參見「氨氣」條。 |</v>
      </c>
    </row>
    <row r="11922" spans="1:44" hidden="1">
      <c r="A11922" s="1" t="s">
        <v>24605</v>
      </c>
      <c r="C11922" s="1">
        <v>1</v>
      </c>
      <c r="D11922" s="1" t="str">
        <f>"10413"</f>
        <v>10413</v>
      </c>
      <c r="E11922" s="1" t="s">
        <v>68</v>
      </c>
      <c r="F11922" s="1">
        <v>10</v>
      </c>
      <c r="G11922" s="1">
        <v>6</v>
      </c>
      <c r="H11922" s="1">
        <v>0</v>
      </c>
      <c r="I11922" s="1" t="s">
        <v>24600</v>
      </c>
      <c r="K11922" s="1" t="str">
        <f t="shared" si="752"/>
        <v>ㄢ</v>
      </c>
      <c r="L11922" s="1" t="str">
        <f t="shared" si="756"/>
        <v/>
      </c>
      <c r="M11922" s="1" t="str">
        <f t="shared" si="753"/>
        <v/>
      </c>
      <c r="P11922" s="1" t="s">
        <v>20</v>
      </c>
      <c r="R11922" s="1" t="s">
        <v>24601</v>
      </c>
      <c r="V11922" s="1" t="s">
        <v>24606</v>
      </c>
      <c r="AR11922" s="1" t="str">
        <f t="shared" si="755"/>
        <v>| [ㄢ](ㄢ.md) | [胺](胺.md) |  | ān | [動]
肉腐變臭。《廣韻．入聲．曷韻》：「胺，肉敗臭。」
[名]
一種有機化合物。為氨中之氫為烴基所取代而成的化合物，總稱為「胺」。如甲胺。 |</v>
      </c>
    </row>
    <row r="11923" spans="1:44" hidden="1">
      <c r="A11923" s="1" t="s">
        <v>24607</v>
      </c>
      <c r="C11923" s="1">
        <v>1</v>
      </c>
      <c r="D11923" s="1" t="str">
        <f>"10414"</f>
        <v>10414</v>
      </c>
      <c r="E11923" s="1" t="s">
        <v>55</v>
      </c>
      <c r="F11923" s="1">
        <v>14</v>
      </c>
      <c r="G11923" s="1">
        <v>6</v>
      </c>
      <c r="H11923" s="1">
        <v>0</v>
      </c>
      <c r="I11923" s="1" t="s">
        <v>24600</v>
      </c>
      <c r="K11923" s="1" t="str">
        <f t="shared" si="752"/>
        <v>ㄢ</v>
      </c>
      <c r="L11923" s="1" t="str">
        <f t="shared" si="756"/>
        <v/>
      </c>
      <c r="M11923" s="1" t="str">
        <f t="shared" si="753"/>
        <v/>
      </c>
      <c r="P11923" s="1" t="s">
        <v>20</v>
      </c>
      <c r="R11923" s="1" t="s">
        <v>24601</v>
      </c>
      <c r="V11923" s="1" t="s">
        <v>24608</v>
      </c>
      <c r="AR11923" s="1" t="str">
        <f t="shared" si="755"/>
        <v>| [ㄢ](ㄢ.md) | [銨](銨.md) |  | ān | 化學中的一種多原子陽離子，是從氨衍生所得的正一價離子，即銨離子。含有此根的化合物有氯化銨、硫酸銨等。 |</v>
      </c>
    </row>
    <row r="11924" spans="1:44" hidden="1">
      <c r="A11924" s="1" t="s">
        <v>24609</v>
      </c>
      <c r="C11924" s="1">
        <v>1</v>
      </c>
      <c r="D11924" s="1" t="str">
        <f>"10415"</f>
        <v>10415</v>
      </c>
      <c r="E11924" s="1" t="s">
        <v>96</v>
      </c>
      <c r="F11924" s="1">
        <v>15</v>
      </c>
      <c r="G11924" s="1">
        <v>6</v>
      </c>
      <c r="H11924" s="1">
        <v>0</v>
      </c>
      <c r="I11924" s="1" t="s">
        <v>24600</v>
      </c>
      <c r="K11924" s="1" t="str">
        <f t="shared" si="752"/>
        <v>ㄢ</v>
      </c>
      <c r="L11924" s="1" t="str">
        <f t="shared" si="756"/>
        <v/>
      </c>
      <c r="M11924" s="1" t="str">
        <f t="shared" si="753"/>
        <v/>
      </c>
      <c r="P11924" s="1" t="s">
        <v>20</v>
      </c>
      <c r="R11924" s="1" t="s">
        <v>24601</v>
      </c>
      <c r="V11924" s="1" t="s">
        <v>24610</v>
      </c>
      <c r="AR11924" s="1" t="str">
        <f t="shared" si="755"/>
        <v>| [ㄢ](ㄢ.md) | [鞍](鞍.md) |  | ān | [名]
1.馬背上的騎墊。即馬鞍。《漢書．卷五四．李廣傳》：「未到匈奴陳二里所，止，令曰：『皆下馬解鞍！』」南朝梁．無名氏〈木蘭詩〉二首之一：「東市買駿馬，西市買鞍韉。」
2.地名。春秋時齊地，故址約今之山東省濟南市。 |</v>
      </c>
    </row>
    <row r="11925" spans="1:44" hidden="1">
      <c r="A11925" s="1" t="s">
        <v>24611</v>
      </c>
      <c r="C11925" s="1">
        <v>1</v>
      </c>
      <c r="D11925" s="1" t="str">
        <f>"10416"</f>
        <v>10416</v>
      </c>
      <c r="E11925" s="1" t="s">
        <v>447</v>
      </c>
      <c r="F11925" s="1">
        <v>11</v>
      </c>
      <c r="G11925" s="1">
        <v>8</v>
      </c>
      <c r="H11925" s="1">
        <v>0</v>
      </c>
      <c r="I11925" s="1" t="s">
        <v>24600</v>
      </c>
      <c r="K11925" s="1" t="str">
        <f t="shared" si="752"/>
        <v>ㄢ</v>
      </c>
      <c r="L11925" s="1" t="str">
        <f t="shared" si="756"/>
        <v/>
      </c>
      <c r="M11925" s="1" t="str">
        <f t="shared" si="753"/>
        <v/>
      </c>
      <c r="P11925" s="1" t="s">
        <v>20</v>
      </c>
      <c r="R11925" s="1" t="s">
        <v>24601</v>
      </c>
      <c r="V11925" s="1" t="s">
        <v>24612</v>
      </c>
      <c r="AR11925" s="1" t="str">
        <f t="shared" si="755"/>
        <v>| [ㄢ](ㄢ.md) | [庵](庵.md) |  | ān | [名]
1.圓頂的草舍。《集韻．平聲．覃韻》：「庵，圜屋曰庵。」如：「草庵」、「茅庵」。
2.僧尼禮佛的小寺廟。如：「尼姑庵」。《儒林外史》第二回：「這庵是十方的香火，只得一個和尚住。」 |</v>
      </c>
    </row>
    <row r="11926" spans="1:44" hidden="1">
      <c r="A11926" s="1" t="s">
        <v>24613</v>
      </c>
      <c r="C11926" s="1">
        <v>1</v>
      </c>
      <c r="D11926" s="1" t="str">
        <f>"10417"</f>
        <v>10417</v>
      </c>
      <c r="E11926" s="1" t="s">
        <v>37</v>
      </c>
      <c r="F11926" s="1">
        <v>12</v>
      </c>
      <c r="G11926" s="1">
        <v>8</v>
      </c>
      <c r="H11926" s="1">
        <v>1</v>
      </c>
      <c r="I11926" s="1" t="s">
        <v>24600</v>
      </c>
      <c r="K11926" s="1" t="str">
        <f t="shared" si="752"/>
        <v>ㄢ</v>
      </c>
      <c r="L11926" s="1" t="str">
        <f t="shared" si="756"/>
        <v/>
      </c>
      <c r="M11926" s="1" t="str">
        <f t="shared" si="753"/>
        <v/>
      </c>
      <c r="P11926" s="1" t="s">
        <v>20</v>
      </c>
      <c r="R11926" s="1" t="s">
        <v>24601</v>
      </c>
      <c r="V11926" s="1" t="s">
        <v>24614</v>
      </c>
      <c r="W11926" s="1" t="s">
        <v>24615</v>
      </c>
      <c r="AR11926" s="1" t="str">
        <f t="shared" si="755"/>
        <v>| [ㄢ](ㄢ.md) | [菴](菴.md) |  | ān | [名]
1.茅屋。同「庵」。《南齊書．卷四〇．武十七王傳．竟陵文宣王子良傳》：「編草結菴，不違涼暑。」
2.僧尼供佛的小寺廟。同「庵」。《喻世明言．卷四．閒雲菴阮三償冤債》：「這菴兒雖小，其實幽雅。」 |</v>
      </c>
    </row>
    <row r="11927" spans="1:44" hidden="1">
      <c r="A11927" s="1" t="s">
        <v>24616</v>
      </c>
      <c r="C11927" s="1">
        <v>1</v>
      </c>
      <c r="D11927" s="1" t="str">
        <f>"10418"</f>
        <v>10418</v>
      </c>
      <c r="E11927" s="1" t="s">
        <v>272</v>
      </c>
      <c r="F11927" s="1">
        <v>19</v>
      </c>
      <c r="G11927" s="1">
        <v>8</v>
      </c>
      <c r="H11927" s="1">
        <v>0</v>
      </c>
      <c r="I11927" s="1" t="s">
        <v>24600</v>
      </c>
      <c r="K11927" s="1" t="str">
        <f t="shared" si="752"/>
        <v>ㄢ</v>
      </c>
      <c r="L11927" s="1" t="str">
        <f t="shared" si="756"/>
        <v/>
      </c>
      <c r="M11927" s="1" t="str">
        <f t="shared" si="753"/>
        <v/>
      </c>
      <c r="P11927" s="1" t="s">
        <v>20</v>
      </c>
      <c r="R11927" s="1" t="s">
        <v>24601</v>
      </c>
      <c r="V11927" s="1" t="s">
        <v>20416</v>
      </c>
      <c r="AR11927" s="1" t="str">
        <f t="shared" si="755"/>
        <v>| [ㄢ](ㄢ.md) | [鵪](鵪.md) |  | ān | 參見「鵪鶉」條。 |</v>
      </c>
    </row>
    <row r="11928" spans="1:44" hidden="1">
      <c r="A11928" s="1" t="s">
        <v>24617</v>
      </c>
      <c r="C11928" s="1">
        <v>1</v>
      </c>
      <c r="D11928" s="1" t="str">
        <f>"10419"</f>
        <v>10419</v>
      </c>
      <c r="E11928" s="1" t="s">
        <v>691</v>
      </c>
      <c r="F11928" s="1">
        <v>11</v>
      </c>
      <c r="G11928" s="1">
        <v>8</v>
      </c>
      <c r="H11928" s="1">
        <v>3</v>
      </c>
      <c r="I11928" s="1" t="s">
        <v>24600</v>
      </c>
      <c r="K11928" s="1" t="str">
        <f t="shared" si="752"/>
        <v>ㄢ</v>
      </c>
      <c r="L11928" s="1" t="str">
        <f t="shared" si="756"/>
        <v/>
      </c>
      <c r="M11928" s="1" t="str">
        <f t="shared" si="753"/>
        <v/>
      </c>
      <c r="P11928" s="1" t="s">
        <v>20</v>
      </c>
      <c r="R11928" s="1" t="s">
        <v>24601</v>
      </c>
      <c r="V11928" s="1" t="s">
        <v>24618</v>
      </c>
      <c r="W11928" s="1" t="s">
        <v>24619</v>
      </c>
      <c r="AR11928" s="1" t="str">
        <f t="shared" si="755"/>
        <v>| [ㄢ](ㄢ.md) | [陰](陰.md) |  | ān | 同「闇」(二)。 |</v>
      </c>
    </row>
    <row r="11929" spans="1:44" hidden="1">
      <c r="A11929" s="1" t="s">
        <v>24620</v>
      </c>
      <c r="C11929" s="1">
        <v>1</v>
      </c>
      <c r="D11929" s="1" t="str">
        <f>"10420"</f>
        <v>10420</v>
      </c>
      <c r="E11929" s="1" t="s">
        <v>534</v>
      </c>
      <c r="F11929" s="1">
        <v>12</v>
      </c>
      <c r="G11929" s="1">
        <v>9</v>
      </c>
      <c r="H11929" s="1">
        <v>1</v>
      </c>
      <c r="I11929" s="1" t="s">
        <v>24600</v>
      </c>
      <c r="K11929" s="1" t="str">
        <f t="shared" si="752"/>
        <v>ㄢ</v>
      </c>
      <c r="L11929" s="1" t="str">
        <f t="shared" si="756"/>
        <v/>
      </c>
      <c r="M11929" s="1" t="str">
        <f t="shared" si="753"/>
        <v/>
      </c>
      <c r="P11929" s="1" t="s">
        <v>20</v>
      </c>
      <c r="R11929" s="1" t="s">
        <v>24601</v>
      </c>
      <c r="V11929" s="1" t="s">
        <v>24621</v>
      </c>
      <c r="W11929" s="1" t="s">
        <v>24622</v>
      </c>
      <c r="AR11929" s="1" t="str">
        <f t="shared" si="755"/>
        <v>| [ㄢ](ㄢ.md) | [媕](媕.md) |  | ān | 參見「媕婀」條。 |</v>
      </c>
    </row>
    <row r="11930" spans="1:44" hidden="1">
      <c r="A11930" s="1" t="s">
        <v>24623</v>
      </c>
      <c r="C11930" s="1">
        <v>1</v>
      </c>
      <c r="D11930" s="1" t="str">
        <f>"10421"</f>
        <v>10421</v>
      </c>
      <c r="E11930" s="1" t="s">
        <v>68</v>
      </c>
      <c r="F11930" s="1">
        <v>13</v>
      </c>
      <c r="G11930" s="1">
        <v>9</v>
      </c>
      <c r="H11930" s="1">
        <v>0</v>
      </c>
      <c r="I11930" s="1" t="s">
        <v>24600</v>
      </c>
      <c r="K11930" s="1" t="str">
        <f t="shared" si="752"/>
        <v>ㄢ</v>
      </c>
      <c r="L11930" s="1" t="str">
        <f t="shared" si="756"/>
        <v/>
      </c>
      <c r="M11930" s="1" t="str">
        <f t="shared" si="753"/>
        <v/>
      </c>
      <c r="P11930" s="1" t="s">
        <v>20</v>
      </c>
      <c r="R11930" s="1" t="s">
        <v>24601</v>
      </c>
      <c r="V11930" s="1" t="s">
        <v>24624</v>
      </c>
      <c r="AR11930" s="1" t="str">
        <f t="shared" si="755"/>
        <v>| [ㄢ](ㄢ.md) | [腤](腤.md) |  | ān | [動]
以鹽、豉、蔥等與肉類一起烹煮。《玉篇．肉部》：「腤，煮魚肉。」如：「腤雞」、「腤魚」。
[形]
參見「腤䐶」條。 |</v>
      </c>
    </row>
    <row r="11931" spans="1:44" hidden="1">
      <c r="A11931" s="1" t="s">
        <v>24625</v>
      </c>
      <c r="C11931" s="1">
        <v>1</v>
      </c>
      <c r="D11931" s="1" t="str">
        <f>"10422"</f>
        <v>10422</v>
      </c>
      <c r="E11931" s="1" t="s">
        <v>331</v>
      </c>
      <c r="F11931" s="1">
        <v>16</v>
      </c>
      <c r="G11931" s="1">
        <v>9</v>
      </c>
      <c r="H11931" s="1">
        <v>0</v>
      </c>
      <c r="I11931" s="1" t="s">
        <v>24600</v>
      </c>
      <c r="K11931" s="1" t="str">
        <f t="shared" ref="K11931:K11955" si="757">LEFT(I11931, 1)</f>
        <v>ㄢ</v>
      </c>
      <c r="L11931" s="1" t="str">
        <f t="shared" si="756"/>
        <v/>
      </c>
      <c r="M11931" s="1" t="str">
        <f t="shared" ref="M11931:M11955" si="758">MID(I11931, 3, 1)</f>
        <v/>
      </c>
      <c r="P11931" s="1" t="s">
        <v>20</v>
      </c>
      <c r="R11931" s="1" t="s">
        <v>24601</v>
      </c>
      <c r="V11931" s="1" t="s">
        <v>24626</v>
      </c>
      <c r="AR11931" s="1" t="str">
        <f t="shared" si="755"/>
        <v>| [ㄢ](ㄢ.md) | [諳](諳.md) |  | ān | [動]
1.熟悉、知曉。如：「不諳水性」。唐．王建〈新嫁娘詞〉三首之三：「未諳姑食性，先遣小姑嘗。」《老殘遊記》第一四回：「只因但會讀書，不諳世故，舉手動足便錯。」
2.記、誦。《後漢書．卷三三．虞延傳》：「其陵樹株櫱，皆諳其數。」《南齊書．卷三九．陸澄傳》：「令君少便鞅掌王務，雖復一覽便諳，然見卷軸未必多僕。」 |</v>
      </c>
    </row>
    <row r="11932" spans="1:44" hidden="1">
      <c r="A11932" s="1" t="s">
        <v>24627</v>
      </c>
      <c r="C11932" s="1">
        <v>1</v>
      </c>
      <c r="D11932" s="1" t="str">
        <f>"10423"</f>
        <v>10423</v>
      </c>
      <c r="E11932" s="1" t="s">
        <v>709</v>
      </c>
      <c r="F11932" s="1">
        <v>17</v>
      </c>
      <c r="G11932" s="1">
        <v>9</v>
      </c>
      <c r="H11932" s="1">
        <v>2</v>
      </c>
      <c r="I11932" s="1" t="s">
        <v>24600</v>
      </c>
      <c r="K11932" s="1" t="str">
        <f t="shared" si="757"/>
        <v>ㄢ</v>
      </c>
      <c r="L11932" s="1" t="str">
        <f t="shared" si="756"/>
        <v/>
      </c>
      <c r="M11932" s="1" t="str">
        <f t="shared" si="758"/>
        <v/>
      </c>
      <c r="P11932" s="1" t="s">
        <v>20</v>
      </c>
      <c r="R11932" s="1" t="s">
        <v>24601</v>
      </c>
      <c r="V11932" s="1" t="s">
        <v>24628</v>
      </c>
      <c r="W11932" s="1" t="s">
        <v>24629</v>
      </c>
      <c r="AR11932" s="1" t="str">
        <f t="shared" si="755"/>
        <v>| [ㄢ](ㄢ.md) | [闇](闇.md) |  | ān | [名]
守喪的屋子。《文選．潘岳．西征賦》：「天子寢於諒闇，百官聽於冢宰。」
[動]
熟悉。通「諳」。《晉書．卷二四．職官志》：「及蜀破後，令勰受諸葛亮圍陣用兵倚伏之法，又甲乙校標幟之制，勰悉闇練之。」 |</v>
      </c>
    </row>
    <row r="11933" spans="1:44" hidden="1">
      <c r="A11933" s="1" t="s">
        <v>24630</v>
      </c>
      <c r="C11933" s="1">
        <v>1</v>
      </c>
      <c r="D11933" s="1" t="str">
        <f>"10424"</f>
        <v>10424</v>
      </c>
      <c r="E11933" s="1" t="s">
        <v>438</v>
      </c>
      <c r="F11933" s="1">
        <v>16</v>
      </c>
      <c r="G11933" s="1">
        <v>11</v>
      </c>
      <c r="H11933" s="1">
        <v>0</v>
      </c>
      <c r="I11933" s="1" t="s">
        <v>24600</v>
      </c>
      <c r="K11933" s="1" t="str">
        <f t="shared" si="757"/>
        <v>ㄢ</v>
      </c>
      <c r="L11933" s="1" t="str">
        <f t="shared" si="756"/>
        <v/>
      </c>
      <c r="M11933" s="1" t="str">
        <f t="shared" si="758"/>
        <v/>
      </c>
      <c r="P11933" s="1" t="s">
        <v>20</v>
      </c>
      <c r="R11933" s="1" t="s">
        <v>24601</v>
      </c>
      <c r="V11933" s="1" t="s">
        <v>24631</v>
      </c>
      <c r="AR11933" s="1" t="str">
        <f t="shared" si="755"/>
        <v>| [ㄢ](ㄢ.md) | [盦](盦.md) |  | ān | [名]
1.器皿的蓋子。《說文解字．皿部》「盦」字．清．段玉裁．注：「盦，此謂器之蓋也。」
2.古代用以盛食物的器皿。元．陶宗儀《南村輟耕錄．卷一七．古銅器》：「古器之名，則有……壺、盦、瓿。」
3.圓形的草屋。同「庵」。清．徐珂《清稗類鈔．孝友類．錢塘丁氏之孝友》：「既卜葬其父母於西溪而廬墓焉，乃築風木盦以避寒暑。」 |</v>
      </c>
    </row>
    <row r="11934" spans="1:44" hidden="1">
      <c r="A11934" s="1" t="s">
        <v>11850</v>
      </c>
      <c r="C11934" s="1">
        <v>1</v>
      </c>
      <c r="D11934" s="1" t="str">
        <f>"10432"</f>
        <v>10432</v>
      </c>
      <c r="E11934" s="1" t="s">
        <v>198</v>
      </c>
      <c r="F11934" s="1">
        <v>6</v>
      </c>
      <c r="G11934" s="1">
        <v>3</v>
      </c>
      <c r="H11934" s="1">
        <v>1</v>
      </c>
      <c r="I11934" s="1" t="s">
        <v>24652</v>
      </c>
      <c r="K11934" s="1" t="str">
        <f t="shared" si="757"/>
        <v>ㄢ</v>
      </c>
      <c r="M11934" s="1" t="str">
        <f t="shared" si="758"/>
        <v/>
      </c>
      <c r="N11934" s="3" t="s">
        <v>30574</v>
      </c>
      <c r="O11934" s="3"/>
      <c r="P11934" s="1" t="s">
        <v>20</v>
      </c>
      <c r="R11934" s="1" t="s">
        <v>24653</v>
      </c>
      <c r="V11934" s="1" t="s">
        <v>24654</v>
      </c>
      <c r="W11934" s="1" t="s">
        <v>24655</v>
      </c>
      <c r="AR11934" s="1" t="str">
        <f t="shared" si="755"/>
        <v>| [ㄢˋ](ㄢˋ.md) | [犴](犴.md) |  | àn | [名]
1.動物名。哺乳綱食肉目。一種北方的野狗，黑嘴，善於看守。
2.監獄。《後漢書．卷五二．崔駰傳》：「所至之縣，獄犴填滿。」《文選．范曄．後漢書皇后紀論》：「身犯霧露於雲臺之上，家纓縲紲於圄犴之下。」
3.姓。如漢代有犴反。 |</v>
      </c>
    </row>
    <row r="11935" spans="1:44" hidden="1">
      <c r="A11935" s="1" t="s">
        <v>24656</v>
      </c>
      <c r="C11935" s="1">
        <v>1</v>
      </c>
      <c r="D11935" s="1" t="str">
        <f>"10433"</f>
        <v>10433</v>
      </c>
      <c r="E11935" s="1" t="s">
        <v>190</v>
      </c>
      <c r="F11935" s="1">
        <v>8</v>
      </c>
      <c r="G11935" s="1">
        <v>5</v>
      </c>
      <c r="H11935" s="1">
        <v>0</v>
      </c>
      <c r="I11935" s="1" t="s">
        <v>24652</v>
      </c>
      <c r="K11935" s="1" t="str">
        <f t="shared" si="757"/>
        <v>ㄢ</v>
      </c>
      <c r="M11935" s="1" t="str">
        <f t="shared" si="758"/>
        <v/>
      </c>
      <c r="N11935" s="3" t="s">
        <v>30574</v>
      </c>
      <c r="O11935" s="3"/>
      <c r="P11935" s="1" t="s">
        <v>20</v>
      </c>
      <c r="R11935" s="1" t="s">
        <v>24653</v>
      </c>
      <c r="V11935" s="1" t="s">
        <v>24657</v>
      </c>
      <c r="AR11935" s="1" t="str">
        <f t="shared" si="755"/>
        <v>| [ㄢˋ](ㄢˋ.md) | [岸](岸.md) |  | àn | [名]
1.水邊高地。《說文解字．屵部》：「岸，水厓而高者。」如：「河岸」、「海岸」。《詩經．衛風．氓》：「淇則有岸，隰則有泮。」
2.參見「岸獄」條。
[形]
1.雄傑、高峻的樣子。《漢書．卷四五．江充傳》：「充為人魁岸，容貌甚狀。」
2.高傲、莊嚴的樣子。如：「道貌岸然」。宋．黃庭堅〈定風波．萬里黔中一漏天〉詞：「鬼門關外蜀江前，莫笑老翁氣猶岸。」 |</v>
      </c>
    </row>
    <row r="11936" spans="1:44" hidden="1">
      <c r="A11936" s="1" t="s">
        <v>11858</v>
      </c>
      <c r="C11936" s="1">
        <v>1</v>
      </c>
      <c r="D11936" s="1" t="str">
        <f>"10434"</f>
        <v>10434</v>
      </c>
      <c r="E11936" s="1" t="s">
        <v>537</v>
      </c>
      <c r="F11936" s="1">
        <v>10</v>
      </c>
      <c r="G11936" s="1">
        <v>3</v>
      </c>
      <c r="H11936" s="1">
        <v>1</v>
      </c>
      <c r="I11936" s="1" t="s">
        <v>24652</v>
      </c>
      <c r="K11936" s="1" t="str">
        <f t="shared" si="757"/>
        <v>ㄢ</v>
      </c>
      <c r="M11936" s="1" t="str">
        <f t="shared" si="758"/>
        <v/>
      </c>
      <c r="N11936" s="3" t="s">
        <v>30574</v>
      </c>
      <c r="O11936" s="3"/>
      <c r="P11936" s="1" t="s">
        <v>20</v>
      </c>
      <c r="R11936" s="1" t="s">
        <v>24653</v>
      </c>
      <c r="V11936" s="1" t="s">
        <v>24658</v>
      </c>
      <c r="W11936" s="1" t="s">
        <v>24659</v>
      </c>
      <c r="AR11936" s="1" t="str">
        <f t="shared" si="755"/>
        <v>| [ㄢˋ](ㄢˋ.md) | [豻](豻.md) |  | àn | 同「犴」。 |</v>
      </c>
    </row>
    <row r="11937" spans="1:44" hidden="1">
      <c r="A11937" s="1" t="s">
        <v>24660</v>
      </c>
      <c r="C11937" s="1">
        <v>1</v>
      </c>
      <c r="D11937" s="1" t="str">
        <f>"10435"</f>
        <v>10435</v>
      </c>
      <c r="E11937" s="1" t="s">
        <v>24</v>
      </c>
      <c r="F11937" s="1">
        <v>9</v>
      </c>
      <c r="G11937" s="1">
        <v>6</v>
      </c>
      <c r="H11937" s="1">
        <v>0</v>
      </c>
      <c r="I11937" s="1" t="s">
        <v>24652</v>
      </c>
      <c r="K11937" s="1" t="str">
        <f t="shared" si="757"/>
        <v>ㄢ</v>
      </c>
      <c r="M11937" s="1" t="str">
        <f t="shared" si="758"/>
        <v/>
      </c>
      <c r="N11937" s="3" t="s">
        <v>30574</v>
      </c>
      <c r="O11937" s="3"/>
      <c r="P11937" s="1" t="s">
        <v>20</v>
      </c>
      <c r="R11937" s="1" t="s">
        <v>24653</v>
      </c>
      <c r="V11937" s="1" t="s">
        <v>24661</v>
      </c>
      <c r="AR11937" s="1" t="str">
        <f t="shared" si="755"/>
        <v>| [ㄢˋ](ㄢˋ.md) | [按](按.md) |  | àn | [動]
1.用手向下壓。《說文解字．手部》「按」字．清．段玉裁．注：「以手抑之使下也。」如：「按電鈴」。《水滸傳》第三一回：「武松左腳早起，翻筋斗踢一腳，按住也割了頭。」
2.抑止、擱置。如：「按兵不動」。《詩經．大雅．皇矣》：「爰整其旅，以按徂旅。」
3.依照。如：「按照」、「按圖索驥」。唐．高適〈東征賦〉：「按山川之險阻，救天地於屯蒙。」
4.撫、扶。《史記．卷六九．蘇秦傳》：「於是韓王勃然作色，攘臂瞋目，按劍仰天太息。」
5.巡行。《史記．卷一一一．衛將軍傳》：「遂西定河南地，按榆谿舊塞。」唐．李白〈永王東巡歌〉一一首之七：「王出三山按五湖，樓船跨海次陪都。」
6.考察。《韓非子．外儲說左上》：「考實按形，不能謾於一人。」宋．蘇軾〈論始皇漢宣李斯〉：「秦始皇時，趙高有罪，蒙毅按之，當死。」
7.彈奏。《警世通言．卷一〇．錢舍人題詩燕子樓》：「忽有一妓，抱胡琴立於筵前，轉袖調絃，獨奏一曲，纖手斜拈，輕敲慢按。」
[名]
1.文章中編者經研究考查後，所作的說明或判斷。如：「按語」。也作「案」。
2.姓。如元代有按攤。 |</v>
      </c>
    </row>
    <row r="11938" spans="1:44" hidden="1">
      <c r="A11938" s="1" t="s">
        <v>24662</v>
      </c>
      <c r="C11938" s="1">
        <v>1</v>
      </c>
      <c r="D11938" s="1" t="str">
        <f>"10436"</f>
        <v>10436</v>
      </c>
      <c r="E11938" s="1" t="s">
        <v>139</v>
      </c>
      <c r="F11938" s="1">
        <v>10</v>
      </c>
      <c r="G11938" s="1">
        <v>6</v>
      </c>
      <c r="H11938" s="1">
        <v>0</v>
      </c>
      <c r="I11938" s="1" t="s">
        <v>24652</v>
      </c>
      <c r="K11938" s="1" t="str">
        <f t="shared" si="757"/>
        <v>ㄢ</v>
      </c>
      <c r="M11938" s="1" t="str">
        <f t="shared" si="758"/>
        <v/>
      </c>
      <c r="N11938" s="3" t="s">
        <v>30574</v>
      </c>
      <c r="O11938" s="3"/>
      <c r="P11938" s="1" t="s">
        <v>20</v>
      </c>
      <c r="R11938" s="1" t="s">
        <v>24653</v>
      </c>
      <c r="V11938" s="1" t="s">
        <v>24663</v>
      </c>
      <c r="AR11938" s="1" t="str">
        <f t="shared" si="755"/>
        <v>| [ㄢˋ](ㄢˋ.md) | [案](案.md) |  | àn | [名]
1.古代盛飯食的短足木盤。《後漢書．卷八三．逸民傳．梁鴻傳》：「每歸，妻為具食，不敢於鴻前仰視，舉案齊眉。」南朝宋．鮑照〈擬行路難〉一八首之六：「對案不能食，拔劍擊柱長歎息。」
2.長方形的桌子。如：「桌案」、「伏案疾書」。唐．李白〈下途歸石門舊居〉詩：「羨君素書嘗滿案，含丹照白霞色爛。」
3.牽涉到法律或政治的事件。如：「犯案」、「命案」、「投案」、「破案」、「五三慘案」。
4.與公務相關的文書、成例或獄訟判定的結論。如：「檔案」、「串供翻案」。《隋書卷七五．儒林傳．劉炫傳》：「今之文簿，恆慮覆治，鍛鍊若其不密，萬里追證百年舊案。」
5.提議或計畫之類的文件。如：「提案」、「草案」、「腹案」、「方案」、「議案」。
6.文章中，作者所加的說明或判斷。同「按」。如：「案語」。
[動]
1.向下壓。通「按」。《史記．卷一〇七．魏其武安侯傳》：「籍福起為謝，案灌夫項令謝。」
2.考查、察辦。通「按」。《戰國策．趙策二》：「臣竊以天下地圖案之，諸侯之地，五倍於秦。」《史記．卷一〇七．魏其武安侯傳》：「丞相言灌夫家在潁川，橫甚，民苦之，請案。」
3.依據、依照。通「按」。《荀子．不苟》：「曰國亂而治之者，非案亂而治之之謂也。」《韓非子．孤憤》：「人臣循令而從事，案法而治官。」
[連]
乃、於是。《荀子．榮辱》：「故先王案為之制禮義以分之，使有貴賤之等。」《戰國策．趙策一》：「秦與梁為上交，秦禍案攘於趙矣。」 |</v>
      </c>
    </row>
    <row r="11939" spans="1:44" hidden="1">
      <c r="A11939" s="1" t="s">
        <v>24664</v>
      </c>
      <c r="C11939" s="1">
        <v>1</v>
      </c>
      <c r="D11939" s="1" t="str">
        <f>"10437"</f>
        <v>10437</v>
      </c>
      <c r="E11939" s="1" t="s">
        <v>139</v>
      </c>
      <c r="F11939" s="1">
        <v>10</v>
      </c>
      <c r="G11939" s="1">
        <v>6</v>
      </c>
      <c r="H11939" s="1">
        <v>0</v>
      </c>
      <c r="I11939" s="1" t="s">
        <v>24652</v>
      </c>
      <c r="K11939" s="1" t="str">
        <f t="shared" si="757"/>
        <v>ㄢ</v>
      </c>
      <c r="M11939" s="1" t="str">
        <f t="shared" si="758"/>
        <v/>
      </c>
      <c r="N11939" s="3" t="s">
        <v>30574</v>
      </c>
      <c r="O11939" s="3"/>
      <c r="P11939" s="1" t="s">
        <v>20</v>
      </c>
      <c r="R11939" s="1" t="s">
        <v>24653</v>
      </c>
      <c r="V11939" s="1" t="s">
        <v>24665</v>
      </c>
      <c r="AR11939" s="1" t="str">
        <f t="shared" si="755"/>
        <v>| [ㄢˋ](ㄢˋ.md) | [桉](桉.md) |  | àn | [名]
1.同「案」。《字彙．木部》：「桉，同案。」
2.植物名。姚金孃科桉樹屬，「大葉桉」、「赤桉」、「藍桉」等桉屬樹木之通稱。多為常綠喬木。主要產於澳洲。葉互生罕對生，卵狀或長橢圓狀披針形，先端尖銳，表面深綠色。繖形、繖房或圓錐花序；萼之裂片與花瓣結合為蓋，開花時自萼筒分離。蒴果頂端開裂，蒴片三至六枚。生長迅速，主供觀賞，木材可供建築用。也稱為「油加利」。 |</v>
      </c>
    </row>
    <row r="11940" spans="1:44" hidden="1">
      <c r="A11940" s="1" t="s">
        <v>24666</v>
      </c>
      <c r="C11940" s="1">
        <v>1</v>
      </c>
      <c r="D11940" s="1" t="str">
        <f>"10438"</f>
        <v>10438</v>
      </c>
      <c r="E11940" s="1" t="s">
        <v>156</v>
      </c>
      <c r="F11940" s="1">
        <v>17</v>
      </c>
      <c r="G11940" s="1">
        <v>6</v>
      </c>
      <c r="H11940" s="1">
        <v>0</v>
      </c>
      <c r="I11940" s="1" t="s">
        <v>24652</v>
      </c>
      <c r="K11940" s="1" t="str">
        <f t="shared" si="757"/>
        <v>ㄢ</v>
      </c>
      <c r="M11940" s="1" t="str">
        <f t="shared" si="758"/>
        <v/>
      </c>
      <c r="N11940" s="3" t="s">
        <v>30574</v>
      </c>
      <c r="O11940" s="3"/>
      <c r="P11940" s="1" t="s">
        <v>20</v>
      </c>
      <c r="R11940" s="1" t="s">
        <v>24653</v>
      </c>
      <c r="V11940" s="1" t="s">
        <v>11059</v>
      </c>
      <c r="AR11940" s="1" t="str">
        <f t="shared" si="755"/>
        <v>| [ㄢˋ](ㄢˋ.md) | [鮟](鮟.md) |  | àn | 參見「鮟鱇」條。 |</v>
      </c>
    </row>
    <row r="11941" spans="1:44" hidden="1">
      <c r="A11941" s="1" t="s">
        <v>24613</v>
      </c>
      <c r="C11941" s="1">
        <v>1</v>
      </c>
      <c r="D11941" s="1" t="str">
        <f>"10439"</f>
        <v>10439</v>
      </c>
      <c r="E11941" s="1" t="s">
        <v>37</v>
      </c>
      <c r="F11941" s="1">
        <v>12</v>
      </c>
      <c r="G11941" s="1">
        <v>8</v>
      </c>
      <c r="H11941" s="1">
        <v>2</v>
      </c>
      <c r="I11941" s="1" t="s">
        <v>24652</v>
      </c>
      <c r="K11941" s="1" t="str">
        <f t="shared" si="757"/>
        <v>ㄢ</v>
      </c>
      <c r="M11941" s="1" t="str">
        <f t="shared" si="758"/>
        <v/>
      </c>
      <c r="N11941" s="3" t="s">
        <v>30574</v>
      </c>
      <c r="O11941" s="3"/>
      <c r="P11941" s="1" t="s">
        <v>20</v>
      </c>
      <c r="R11941" s="1" t="s">
        <v>24653</v>
      </c>
      <c r="V11941" s="1" t="s">
        <v>24667</v>
      </c>
      <c r="W11941" s="1" t="s">
        <v>24668</v>
      </c>
      <c r="AR11941" s="1" t="str">
        <f t="shared" si="755"/>
        <v>| [ㄢˋ](ㄢˋ.md) | [菴](菴.md) |  | àn | 參見「菴藹」條。 |</v>
      </c>
    </row>
    <row r="11942" spans="1:44" hidden="1">
      <c r="A11942" s="1" t="s">
        <v>24645</v>
      </c>
      <c r="C11942" s="1">
        <v>1</v>
      </c>
      <c r="D11942" s="1" t="str">
        <f>"10440"</f>
        <v>10440</v>
      </c>
      <c r="E11942" s="1" t="s">
        <v>646</v>
      </c>
      <c r="F11942" s="1">
        <v>12</v>
      </c>
      <c r="G11942" s="1">
        <v>8</v>
      </c>
      <c r="H11942" s="1">
        <v>2</v>
      </c>
      <c r="I11942" s="1" t="s">
        <v>24652</v>
      </c>
      <c r="K11942" s="1" t="str">
        <f t="shared" si="757"/>
        <v>ㄢ</v>
      </c>
      <c r="M11942" s="1" t="str">
        <f t="shared" si="758"/>
        <v/>
      </c>
      <c r="N11942" s="3" t="s">
        <v>30574</v>
      </c>
      <c r="O11942" s="3"/>
      <c r="P11942" s="1" t="s">
        <v>110</v>
      </c>
      <c r="R11942" s="1" t="s">
        <v>24653</v>
      </c>
      <c r="V11942" s="1" t="s">
        <v>111</v>
      </c>
      <c r="W11942" s="1" t="s">
        <v>24669</v>
      </c>
      <c r="AR11942" s="1" t="str">
        <f t="shared" si="755"/>
        <v>| [ㄢˋ](ㄢˋ.md) | [晻](晻.md) |  | àn | (一)之又音。 |</v>
      </c>
    </row>
    <row r="11943" spans="1:44" hidden="1">
      <c r="A11943" s="1" t="s">
        <v>24670</v>
      </c>
      <c r="C11943" s="1">
        <v>1</v>
      </c>
      <c r="D11943" s="1" t="str">
        <f>"10441"</f>
        <v>10441</v>
      </c>
      <c r="E11943" s="1" t="s">
        <v>646</v>
      </c>
      <c r="F11943" s="1">
        <v>13</v>
      </c>
      <c r="G11943" s="1">
        <v>9</v>
      </c>
      <c r="H11943" s="1">
        <v>0</v>
      </c>
      <c r="I11943" s="1" t="s">
        <v>24652</v>
      </c>
      <c r="K11943" s="1" t="str">
        <f t="shared" si="757"/>
        <v>ㄢ</v>
      </c>
      <c r="M11943" s="1" t="str">
        <f t="shared" si="758"/>
        <v/>
      </c>
      <c r="N11943" s="3" t="s">
        <v>30574</v>
      </c>
      <c r="O11943" s="3"/>
      <c r="P11943" s="1" t="s">
        <v>20</v>
      </c>
      <c r="R11943" s="1" t="s">
        <v>24653</v>
      </c>
      <c r="V11943" s="1" t="s">
        <v>24671</v>
      </c>
      <c r="AR11943" s="1" t="str">
        <f t="shared" si="755"/>
        <v>| [ㄢˋ](ㄢˋ.md) | [暗](暗.md) |  | àn | [形]
1.不明亮的、光線不足的、黑夜的。如：「暗房」、「陰暗」。南朝宋．劉義慶《世說新語．言語》：「簡文在暗室中坐，召宣武。」宋．姜夔〈齊天樂．庾郎先自吟愁賦〉詞：「西窗又吹暗雨，為誰頻斷續，相和砧杵。」
2.幽深、陰翳。宋．陸游〈遊山西村〉詩：「山重水複疑無路，柳暗花明又一村。」
3.昏昧、不明事理。通「闇」。如：「兼聽則明，偏信則暗。」
4.不讓人知道的、不公開的。如：「暗號」、「明人不做暗事。」
5.無光澤的。宋．蘇軾〈浣溪沙．菊暗荷枯一夜霜〉詞：「菊暗荷枯一夜霜，新苞綠葉照林光。」
[副]
默不作聲的、隱密的。如：「暗殺」、「暗示」、「暗渡陳倉」。唐．韓偓〈無題〉詩：「明言終未實，暗祝始應真。」清．洪昇《長生殿》第一三齣：「寵固君心，暗中包藏計狡。」
[名]
1.不光明。如：「棄暗投明」。
2.姓。如元代有暗伯。
[動]
光線變得不明亮。如：「天色已漸漸暗了。」 |</v>
      </c>
    </row>
    <row r="11944" spans="1:44" hidden="1">
      <c r="A11944" s="1" t="s">
        <v>24627</v>
      </c>
      <c r="C11944" s="1">
        <v>1</v>
      </c>
      <c r="D11944" s="1" t="str">
        <f>"10442"</f>
        <v>10442</v>
      </c>
      <c r="E11944" s="1" t="s">
        <v>709</v>
      </c>
      <c r="F11944" s="1">
        <v>17</v>
      </c>
      <c r="G11944" s="1">
        <v>9</v>
      </c>
      <c r="H11944" s="1">
        <v>1</v>
      </c>
      <c r="I11944" s="1" t="s">
        <v>24652</v>
      </c>
      <c r="K11944" s="1" t="str">
        <f t="shared" si="757"/>
        <v>ㄢ</v>
      </c>
      <c r="M11944" s="1" t="str">
        <f t="shared" si="758"/>
        <v/>
      </c>
      <c r="N11944" s="3" t="s">
        <v>30574</v>
      </c>
      <c r="O11944" s="3"/>
      <c r="P11944" s="1" t="s">
        <v>20</v>
      </c>
      <c r="R11944" s="1" t="s">
        <v>24653</v>
      </c>
      <c r="V11944" s="1" t="s">
        <v>24672</v>
      </c>
      <c r="W11944" s="1" t="s">
        <v>24673</v>
      </c>
      <c r="AR11944" s="1" t="str">
        <f t="shared" si="755"/>
        <v>| [ㄢˋ](ㄢˋ.md) | [闇](闇.md) |  | àn | [動]
1.閉門、關門。《說文解字．門部》：「闇，閉門也。」
2.蒙蔽、遮掩。《荀子．不苟》：「不下比以闇上，不上同以疾下。」
3.湮沒。《後漢書．卷四〇．班彪傳上》：「由是乘、檮杌之事遂闇，而左氏、國語獨章。」
4.不了解。《墨子．修身》：「舉物而闇，無務博聞。」《文選．嵇康．與山巨源絕交書》：「吾不如嗣宗之賢，而有慢弛之闕，又不識人情，闇於機宜。」
[形]
1.陰暗、混濁。《莊子．讓王》：「今天下闇，周德衰。」《後漢書．卷三〇下．郎顗傳》：「竊見正月以來，陰闇連日。」
2.昏昧、糊塗。《荀子．天論》：「上闇而政險，則是雖無一至者，無益也。」《文選．潘岳．西征賦》：「主闇而臣嫉，禍於何而不有。」
[名]
1.黃昏、夜。《禮記．祭義》：「夏后氏祭其闇，殷人祭其陽，周人祭日以朝及闇。」
2.愚昧的人。《荀子．成相》：「世之殃，愚闇墮賢良。」 |</v>
      </c>
    </row>
    <row r="11945" spans="1:44" hidden="1">
      <c r="A11945" s="1" t="s">
        <v>24674</v>
      </c>
      <c r="C11945" s="1">
        <v>1</v>
      </c>
      <c r="D11945" s="1" t="str">
        <f>"10443"</f>
        <v>10443</v>
      </c>
      <c r="E11945" s="1" t="s">
        <v>14314</v>
      </c>
      <c r="F11945" s="1">
        <v>20</v>
      </c>
      <c r="G11945" s="1">
        <v>11</v>
      </c>
      <c r="H11945" s="1">
        <v>0</v>
      </c>
      <c r="I11945" s="1" t="s">
        <v>24652</v>
      </c>
      <c r="K11945" s="1" t="str">
        <f t="shared" si="757"/>
        <v>ㄢ</v>
      </c>
      <c r="M11945" s="1" t="str">
        <f t="shared" si="758"/>
        <v/>
      </c>
      <c r="N11945" s="3" t="s">
        <v>30574</v>
      </c>
      <c r="O11945" s="3"/>
      <c r="P11945" s="1" t="s">
        <v>20</v>
      </c>
      <c r="R11945" s="1" t="s">
        <v>24653</v>
      </c>
      <c r="V11945" s="1" t="s">
        <v>24675</v>
      </c>
      <c r="AR11945" s="1" t="str">
        <f t="shared" si="755"/>
        <v>| [ㄢˋ](ㄢˋ.md) | [韽](韽.md) |  | àn | [形]
聲音細小不清脆。《周禮．春官．典同》：「微聲韽，回聲衍，侈聲筰。」 |</v>
      </c>
    </row>
    <row r="11946" spans="1:44" hidden="1">
      <c r="A11946" s="1" t="s">
        <v>24676</v>
      </c>
      <c r="C11946" s="1">
        <v>1</v>
      </c>
      <c r="D11946" s="1" t="str">
        <f>"10444"</f>
        <v>10444</v>
      </c>
      <c r="E11946" s="1" t="s">
        <v>2777</v>
      </c>
      <c r="F11946" s="1">
        <v>21</v>
      </c>
      <c r="G11946" s="1">
        <v>9</v>
      </c>
      <c r="H11946" s="1">
        <v>0</v>
      </c>
      <c r="I11946" s="1" t="s">
        <v>24652</v>
      </c>
      <c r="K11946" s="1" t="str">
        <f t="shared" si="757"/>
        <v>ㄢ</v>
      </c>
      <c r="M11946" s="1" t="str">
        <f t="shared" si="758"/>
        <v/>
      </c>
      <c r="N11946" s="3" t="s">
        <v>30574</v>
      </c>
      <c r="O11946" s="3"/>
      <c r="P11946" s="1" t="s">
        <v>20</v>
      </c>
      <c r="R11946" s="1" t="s">
        <v>24653</v>
      </c>
      <c r="V11946" s="1" t="s">
        <v>24677</v>
      </c>
      <c r="AR11946" s="1" t="str">
        <f t="shared" si="755"/>
        <v>| [ㄢˋ](ㄢˋ.md) | [黯](黯.md) |  | àn | [名]
深黑色。《說文解字．黑部》：「黯，深黑也。」
[副]
1.暗淡沒有光澤。如：「黯淡無光」。唐．李華〈弔古戰場文〉：「黯兮慘悴，風悲日曛。」
2.失色、頹喪感傷。宋．柳永〈玉蝴蝶．望處雨收雲斷〉詞：「黯相望，斷鴻聲裡，立盡斜陽。」《聊齋志異．卷一．王成》：「王呼妻出現，負敗絮，菜色黯焉。」 |</v>
      </c>
    </row>
    <row r="11947" spans="1:44" hidden="1">
      <c r="A11947" s="1" t="s">
        <v>24632</v>
      </c>
      <c r="C11947" s="1">
        <v>1</v>
      </c>
      <c r="D11947" s="1" t="str">
        <f>"10425"</f>
        <v>10425</v>
      </c>
      <c r="E11947" s="1" t="s">
        <v>28</v>
      </c>
      <c r="F11947" s="1">
        <v>12</v>
      </c>
      <c r="G11947" s="1">
        <v>9</v>
      </c>
      <c r="H11947" s="1">
        <v>0</v>
      </c>
      <c r="I11947" s="1" t="s">
        <v>24633</v>
      </c>
      <c r="K11947" s="1" t="str">
        <f t="shared" si="757"/>
        <v>ㄢ</v>
      </c>
      <c r="M11947" s="1" t="str">
        <f t="shared" si="758"/>
        <v/>
      </c>
      <c r="N11947" s="3" t="s">
        <v>30575</v>
      </c>
      <c r="O11947" s="3"/>
      <c r="P11947" s="1" t="s">
        <v>20</v>
      </c>
      <c r="R11947" s="1" t="s">
        <v>24634</v>
      </c>
      <c r="V11947" s="1" t="s">
        <v>24635</v>
      </c>
      <c r="AR11947" s="1" t="str">
        <f t="shared" si="755"/>
        <v>| [ㄢˊ](ㄢˊ.md) | [啽](啽.md) |  | án | [動]
夢中含糊、不清楚的說話。《集韻．平聲．覃韻》：「啽，寐聲。」《列子．周穆王》：「眠中啽藝呻呼，徹旦息焉。」 |</v>
      </c>
    </row>
    <row r="11948" spans="1:44" hidden="1">
      <c r="A11948" s="1" t="s">
        <v>24636</v>
      </c>
      <c r="C11948" s="1">
        <v>1</v>
      </c>
      <c r="D11948" s="1" t="str">
        <f>"10426"</f>
        <v>10426</v>
      </c>
      <c r="E11948" s="1" t="s">
        <v>1258</v>
      </c>
      <c r="F11948" s="1">
        <v>8</v>
      </c>
      <c r="G11948" s="1">
        <v>6</v>
      </c>
      <c r="H11948" s="1">
        <v>0</v>
      </c>
      <c r="I11948" s="1" t="s">
        <v>24637</v>
      </c>
      <c r="K11948" s="1" t="str">
        <f t="shared" si="757"/>
        <v>ㄢ</v>
      </c>
      <c r="M11948" s="1" t="str">
        <f t="shared" si="758"/>
        <v/>
      </c>
      <c r="N11948" s="3" t="s">
        <v>30576</v>
      </c>
      <c r="O11948" s="3"/>
      <c r="P11948" s="1" t="s">
        <v>20</v>
      </c>
      <c r="R11948" s="1" t="s">
        <v>24638</v>
      </c>
      <c r="V11948" s="1" t="s">
        <v>24639</v>
      </c>
      <c r="AR11948" s="1" t="str">
        <f t="shared" si="755"/>
        <v>| [ㄢˇ](ㄢˇ.md) | [匼](匼.md) |  | ǎn | [副]
參見「匼匝」條。
[名]
烏匼：古代的一種頭巾。唐．杜甫〈七月三日亭午已後校熱退晚加小涼穩睡有詩因論壯年樂事戲呈元二十一曹長〉詩：「晚風爽烏匼，筋力蘇摧折。」
[動]
諂諛迎合。《舊唐書．卷一二五．蕭復傳》：「杞對上或諂諛阿匼，復厲言：『杞詞不正！』」 |</v>
      </c>
    </row>
    <row r="11949" spans="1:44" hidden="1">
      <c r="A11949" s="1" t="s">
        <v>24640</v>
      </c>
      <c r="C11949" s="1">
        <v>1</v>
      </c>
      <c r="D11949" s="1" t="str">
        <f>"10427"</f>
        <v>10427</v>
      </c>
      <c r="E11949" s="1" t="s">
        <v>114</v>
      </c>
      <c r="F11949" s="1">
        <v>10</v>
      </c>
      <c r="G11949" s="1">
        <v>8</v>
      </c>
      <c r="H11949" s="1">
        <v>1</v>
      </c>
      <c r="I11949" s="1" t="s">
        <v>24637</v>
      </c>
      <c r="K11949" s="1" t="str">
        <f t="shared" si="757"/>
        <v>ㄢ</v>
      </c>
      <c r="M11949" s="1" t="str">
        <f t="shared" si="758"/>
        <v/>
      </c>
      <c r="N11949" s="3" t="s">
        <v>30576</v>
      </c>
      <c r="O11949" s="3"/>
      <c r="P11949" s="1" t="s">
        <v>20</v>
      </c>
      <c r="R11949" s="1" t="s">
        <v>24638</v>
      </c>
      <c r="V11949" s="1" t="s">
        <v>24641</v>
      </c>
      <c r="W11949" s="1" t="s">
        <v>24642</v>
      </c>
      <c r="AR11949" s="1" t="str">
        <f t="shared" si="755"/>
        <v>| [ㄢˇ](ㄢˇ.md) | [俺](俺.md) |  | ǎn | [代]
北方方言。指第一人稱，我。《水滸傳》第二回：「俺的性命，今番難保了。」 |</v>
      </c>
    </row>
    <row r="11950" spans="1:44" hidden="1">
      <c r="A11950" s="1" t="s">
        <v>24643</v>
      </c>
      <c r="C11950" s="1">
        <v>1</v>
      </c>
      <c r="D11950" s="1" t="str">
        <f>"10428"</f>
        <v>10428</v>
      </c>
      <c r="E11950" s="1" t="s">
        <v>28</v>
      </c>
      <c r="F11950" s="1">
        <v>11</v>
      </c>
      <c r="G11950" s="1">
        <v>8</v>
      </c>
      <c r="H11950" s="1">
        <v>0</v>
      </c>
      <c r="I11950" s="1" t="s">
        <v>24637</v>
      </c>
      <c r="K11950" s="1" t="str">
        <f t="shared" si="757"/>
        <v>ㄢ</v>
      </c>
      <c r="M11950" s="1" t="str">
        <f t="shared" si="758"/>
        <v/>
      </c>
      <c r="N11950" s="3" t="s">
        <v>30576</v>
      </c>
      <c r="O11950" s="3"/>
      <c r="P11950" s="1" t="s">
        <v>20</v>
      </c>
      <c r="R11950" s="1" t="s">
        <v>24638</v>
      </c>
      <c r="V11950" s="1" t="s">
        <v>24644</v>
      </c>
      <c r="AR11950" s="1" t="str">
        <f t="shared" si="755"/>
        <v>| [ㄢˇ](ㄢˇ.md) | [唵](唵.md) |  | ǎn | [動]
1.含。《玉篇．口部》：「唵，含也。」
2.用手進食。《廣韻．上聲．感韻》：「唵，手進食也。」
[助]
梵語oṃ的音譯。為佛教咒語中常見的聲符。《西遊記》第六五回：「行者急了，卻捻個訣，念一聲『唵嚂靜法界，乾元亨利貞』的咒語。」
[歎]
表懷疑的語氣。如：「唵！請你再說一遍。」 |</v>
      </c>
    </row>
    <row r="11951" spans="1:44" hidden="1">
      <c r="A11951" s="1" t="s">
        <v>24645</v>
      </c>
      <c r="C11951" s="1">
        <v>1</v>
      </c>
      <c r="D11951" s="1" t="str">
        <f>"10429"</f>
        <v>10429</v>
      </c>
      <c r="E11951" s="1" t="s">
        <v>646</v>
      </c>
      <c r="F11951" s="1">
        <v>12</v>
      </c>
      <c r="G11951" s="1">
        <v>8</v>
      </c>
      <c r="H11951" s="1">
        <v>1</v>
      </c>
      <c r="I11951" s="1" t="s">
        <v>24637</v>
      </c>
      <c r="K11951" s="1" t="str">
        <f t="shared" si="757"/>
        <v>ㄢ</v>
      </c>
      <c r="M11951" s="1" t="str">
        <f t="shared" si="758"/>
        <v/>
      </c>
      <c r="N11951" s="3" t="s">
        <v>30576</v>
      </c>
      <c r="O11951" s="3"/>
      <c r="P11951" s="1" t="s">
        <v>20</v>
      </c>
      <c r="R11951" s="1" t="s">
        <v>24638</v>
      </c>
      <c r="V11951" s="1" t="s">
        <v>24646</v>
      </c>
      <c r="W11951" s="1" t="s">
        <v>24647</v>
      </c>
      <c r="AR11951" s="1" t="str">
        <f t="shared" si="755"/>
        <v>| [ㄢˇ](ㄢˇ.md) | [晻](晻.md) |  | ǎn | [形]
1.陰暗不明的樣子。《漢書．卷九．元帝紀》：「然而陰陽未調，三光晻昧。」
2.昏暗的。參見「晻世」條。 |</v>
      </c>
    </row>
    <row r="11952" spans="1:44" hidden="1">
      <c r="A11952" s="1" t="s">
        <v>24648</v>
      </c>
      <c r="C11952" s="1">
        <v>1</v>
      </c>
      <c r="D11952" s="1" t="str">
        <f>"10430"</f>
        <v>10430</v>
      </c>
      <c r="E11952" s="1" t="s">
        <v>24</v>
      </c>
      <c r="F11952" s="1">
        <v>12</v>
      </c>
      <c r="G11952" s="1">
        <v>9</v>
      </c>
      <c r="H11952" s="1">
        <v>0</v>
      </c>
      <c r="I11952" s="1" t="s">
        <v>24637</v>
      </c>
      <c r="K11952" s="1" t="str">
        <f t="shared" si="757"/>
        <v>ㄢ</v>
      </c>
      <c r="M11952" s="1" t="str">
        <f t="shared" si="758"/>
        <v/>
      </c>
      <c r="N11952" s="3" t="s">
        <v>30576</v>
      </c>
      <c r="O11952" s="3"/>
      <c r="P11952" s="1" t="s">
        <v>20</v>
      </c>
      <c r="R11952" s="1" t="s">
        <v>24638</v>
      </c>
      <c r="V11952" s="1" t="s">
        <v>24649</v>
      </c>
      <c r="AR11952" s="1" t="str">
        <f t="shared" si="755"/>
        <v>| [ㄢˇ](ㄢˇ.md) | [揞](揞.md) |  | ǎn | [動]
1.掩藏。《廣雅疏證．卷四．釋詁》：「揞，藏也。」元．喬吉〈一枝花．雲髫金雀翹套．梁州第七〉曲：「儹科，鬥喊，風聲兒惹起如何揞。」
2.按敷。如：「手上破了皮，用點藥把傷口揞上。」 |</v>
      </c>
    </row>
    <row r="11953" spans="1:44" hidden="1">
      <c r="A11953" s="1" t="s">
        <v>24650</v>
      </c>
      <c r="C11953" s="1">
        <v>1</v>
      </c>
      <c r="D11953" s="1" t="str">
        <f>"10431"</f>
        <v>10431</v>
      </c>
      <c r="E11953" s="1" t="s">
        <v>2777</v>
      </c>
      <c r="F11953" s="1">
        <v>21</v>
      </c>
      <c r="G11953" s="1">
        <v>9</v>
      </c>
      <c r="H11953" s="1">
        <v>0</v>
      </c>
      <c r="I11953" s="1" t="s">
        <v>24637</v>
      </c>
      <c r="K11953" s="1" t="str">
        <f t="shared" si="757"/>
        <v>ㄢ</v>
      </c>
      <c r="M11953" s="1" t="str">
        <f t="shared" si="758"/>
        <v/>
      </c>
      <c r="N11953" s="3" t="s">
        <v>30576</v>
      </c>
      <c r="O11953" s="3"/>
      <c r="P11953" s="1" t="s">
        <v>20</v>
      </c>
      <c r="R11953" s="1" t="s">
        <v>24638</v>
      </c>
      <c r="V11953" s="1" t="s">
        <v>24651</v>
      </c>
      <c r="AR11953" s="1" t="str">
        <f t="shared" si="755"/>
        <v>| [ㄢˇ](ㄢˇ.md) | [黭](黭.md) |  | ǎn | [形]
愚昧、糊塗。《文選．王襃．四子講德論》：「鄙人黭淺，不能究識。」 |</v>
      </c>
    </row>
    <row r="11954" spans="1:44" hidden="1">
      <c r="A11954" s="1" t="s">
        <v>24678</v>
      </c>
      <c r="C11954" s="1">
        <v>1</v>
      </c>
      <c r="D11954" s="1" t="str">
        <f>"10445"</f>
        <v>10445</v>
      </c>
      <c r="E11954" s="1" t="s">
        <v>250</v>
      </c>
      <c r="F11954" s="1">
        <v>10</v>
      </c>
      <c r="G11954" s="1">
        <v>6</v>
      </c>
      <c r="H11954" s="1">
        <v>0</v>
      </c>
      <c r="I11954" s="1" t="s">
        <v>24679</v>
      </c>
      <c r="K11954" s="1" t="str">
        <f t="shared" si="757"/>
        <v>ㄣ</v>
      </c>
      <c r="L11954" s="1" t="str">
        <f>MID(I11954, 2, 1)</f>
        <v/>
      </c>
      <c r="M11954" s="1" t="str">
        <f t="shared" si="758"/>
        <v/>
      </c>
      <c r="P11954" s="1" t="s">
        <v>20</v>
      </c>
      <c r="R11954" s="1" t="s">
        <v>24680</v>
      </c>
      <c r="V11954" s="1" t="s">
        <v>24681</v>
      </c>
      <c r="AR11954" s="1" t="str">
        <f t="shared" si="755"/>
        <v>| [ㄣ](ㄣ.md) | [恩](恩.md) |  | ēn | [名]
1.他人給我或我給他人的幫助。如：「感恩」、「大恩大德」。
2.情愛。唐．白居易〈後宮詞〉：「紅顏未老恩先斷，斜倚薰籠坐到明。」清．洪昇《長生殿》第三七齣：「記盒釵初賜，種下這恩深厚。」
[形]
1.有德澤的。如：「恩師」、「救命恩人」。
2.國家有特殊慶典而特別舉辦的。如：「恩詔」、「恩科」。 |</v>
      </c>
    </row>
    <row r="11955" spans="1:44" hidden="1">
      <c r="A11955" s="1" t="s">
        <v>24682</v>
      </c>
      <c r="C11955" s="1">
        <v>1</v>
      </c>
      <c r="D11955" s="1" t="str">
        <f>"10446"</f>
        <v>10446</v>
      </c>
      <c r="E11955" s="1" t="s">
        <v>24</v>
      </c>
      <c r="F11955" s="1">
        <v>13</v>
      </c>
      <c r="G11955" s="1">
        <v>10</v>
      </c>
      <c r="H11955" s="1">
        <v>0</v>
      </c>
      <c r="I11955" s="1" t="s">
        <v>24683</v>
      </c>
      <c r="K11955" s="1" t="str">
        <f t="shared" si="757"/>
        <v>ㄣ</v>
      </c>
      <c r="M11955" s="1" t="str">
        <f t="shared" si="758"/>
        <v/>
      </c>
      <c r="N11955" s="3" t="s">
        <v>30574</v>
      </c>
      <c r="O11955" s="3"/>
      <c r="P11955" s="1" t="s">
        <v>20</v>
      </c>
      <c r="R11955" s="1" t="s">
        <v>24684</v>
      </c>
      <c r="V11955" s="1" t="s">
        <v>24685</v>
      </c>
      <c r="AR11955" s="1" t="str">
        <f t="shared" si="755"/>
        <v>| [ㄣˋ](ㄣˋ.md) | [摁](摁.md) |  | èn | [動]
1.以手按壓。如：「摁電鈴」。
2.扣住、阻止。如：「這件事多虧你給摁住了，才沒有鬧得不可收拾。」 |</v>
      </c>
    </row>
    <row r="11956" spans="1:44" hidden="1">
      <c r="A11956" s="1" t="s">
        <v>24686</v>
      </c>
      <c r="C11956" s="1">
        <v>1</v>
      </c>
      <c r="D11956" s="1" t="str">
        <f>"10447"</f>
        <v>10447</v>
      </c>
      <c r="E11956" s="1" t="s">
        <v>28</v>
      </c>
      <c r="F11956" s="1">
        <v>13</v>
      </c>
      <c r="G11956" s="1">
        <v>10</v>
      </c>
      <c r="H11956" s="1">
        <v>0</v>
      </c>
      <c r="I11956" s="1" t="s">
        <v>24687</v>
      </c>
      <c r="J11956" s="2" t="s">
        <v>30559</v>
      </c>
      <c r="K11956" s="1" t="s">
        <v>24679</v>
      </c>
      <c r="L11956" s="1" t="s">
        <v>30571</v>
      </c>
      <c r="P11956" s="1" t="s">
        <v>20</v>
      </c>
      <c r="R11956" s="1" t="s">
        <v>24688</v>
      </c>
      <c r="V11956" s="1" t="s">
        <v>24689</v>
      </c>
      <c r="AR11956" s="1" t="str">
        <f t="shared" si="755"/>
        <v>| [˙ㄣ](˙ㄣ.md) | [嗯](嗯.md) |  | en | [歎]
1.表示答應的語氣。如：「嗯，就這麼做吧！」
2.表示疑問的語氣。如：「嗯，你在幹什麼？」
3.表示不以為然或出乎意料的語氣。如：「嗯，他不見得會這樣做吧！」 |</v>
      </c>
    </row>
    <row r="11957" spans="1:44" hidden="1">
      <c r="A11957" s="1" t="s">
        <v>24152</v>
      </c>
      <c r="C11957" s="1">
        <v>1</v>
      </c>
      <c r="D11957" s="1" t="str">
        <f>"10448"</f>
        <v>10448</v>
      </c>
      <c r="E11957" s="1" t="s">
        <v>68</v>
      </c>
      <c r="F11957" s="1">
        <v>12</v>
      </c>
      <c r="G11957" s="1">
        <v>8</v>
      </c>
      <c r="H11957" s="1">
        <v>1</v>
      </c>
      <c r="I11957" s="1" t="s">
        <v>24690</v>
      </c>
      <c r="K11957" s="1" t="str">
        <f t="shared" ref="K11957:K12020" si="759">LEFT(I11957, 1)</f>
        <v>ㄤ</v>
      </c>
      <c r="L11957" s="1" t="str">
        <f>MID(I11957, 2, 1)</f>
        <v/>
      </c>
      <c r="M11957" s="1" t="str">
        <f t="shared" ref="M11957:M12020" si="760">MID(I11957, 3, 1)</f>
        <v/>
      </c>
      <c r="P11957" s="1" t="s">
        <v>20</v>
      </c>
      <c r="R11957" s="1" t="s">
        <v>24691</v>
      </c>
      <c r="V11957" s="1" t="s">
        <v>22583</v>
      </c>
      <c r="W11957" s="1" t="s">
        <v>24692</v>
      </c>
      <c r="AR11957" s="1" t="str">
        <f t="shared" si="755"/>
        <v>| [ㄤ](ㄤ.md) | [腌](腌.md) |  | āng | 參見「腌臢」條。 |</v>
      </c>
    </row>
    <row r="11958" spans="1:44" hidden="1">
      <c r="A11958" s="1" t="s">
        <v>11071</v>
      </c>
      <c r="C11958" s="1">
        <v>1</v>
      </c>
      <c r="D11958" s="1" t="str">
        <f>"10449"</f>
        <v>10449</v>
      </c>
      <c r="E11958" s="1" t="s">
        <v>283</v>
      </c>
      <c r="F11958" s="1">
        <v>14</v>
      </c>
      <c r="G11958" s="1">
        <v>4</v>
      </c>
      <c r="H11958" s="1">
        <v>2</v>
      </c>
      <c r="I11958" s="1" t="s">
        <v>24690</v>
      </c>
      <c r="K11958" s="1" t="str">
        <f t="shared" si="759"/>
        <v>ㄤ</v>
      </c>
      <c r="L11958" s="1" t="str">
        <f>MID(I11958, 2, 1)</f>
        <v/>
      </c>
      <c r="M11958" s="1" t="str">
        <f t="shared" si="760"/>
        <v/>
      </c>
      <c r="P11958" s="1" t="s">
        <v>20</v>
      </c>
      <c r="R11958" s="1" t="s">
        <v>24691</v>
      </c>
      <c r="V11958" s="1" t="s">
        <v>24693</v>
      </c>
      <c r="W11958" s="1" t="s">
        <v>24694</v>
      </c>
      <c r="AR11958" s="1" t="str">
        <f t="shared" si="755"/>
        <v>| [ㄤ](ㄤ.md) | [骯](骯.md) |  | āng | 參見「骯髒」(二)條。 |</v>
      </c>
    </row>
    <row r="11959" spans="1:44" hidden="1">
      <c r="A11959" s="1" t="s">
        <v>24702</v>
      </c>
      <c r="C11959" s="1">
        <v>1</v>
      </c>
      <c r="D11959" s="1" t="str">
        <f>"10452"</f>
        <v>10452</v>
      </c>
      <c r="E11959" s="1" t="s">
        <v>139</v>
      </c>
      <c r="F11959" s="1">
        <v>8</v>
      </c>
      <c r="G11959" s="1">
        <v>4</v>
      </c>
      <c r="H11959" s="1">
        <v>0</v>
      </c>
      <c r="I11959" s="1" t="s">
        <v>24703</v>
      </c>
      <c r="K11959" s="1" t="str">
        <f t="shared" si="759"/>
        <v>ㄤ</v>
      </c>
      <c r="M11959" s="1" t="str">
        <f t="shared" si="760"/>
        <v/>
      </c>
      <c r="N11959" s="3" t="s">
        <v>30574</v>
      </c>
      <c r="O11959" s="3"/>
      <c r="P11959" s="1" t="s">
        <v>20</v>
      </c>
      <c r="R11959" s="1" t="s">
        <v>24704</v>
      </c>
      <c r="V11959" s="1" t="s">
        <v>24705</v>
      </c>
      <c r="AR11959" s="1" t="str">
        <f t="shared" si="755"/>
        <v>| [ㄤˋ](ㄤˋ.md) | [枊](枊.md) |  | àng | [名]
1.繫馬的柱子。《廣韻．平聲．唐韻》：「枊，繫馬柱也。」《三國志．卷三二．蜀書．先主備傳》：「先主求謁，不通，直入縛督郵，杖二百，解綬繫其頸著馬枊。」
2.屋的短柱。《文選．何晏．景福殿賦》：「飛枊鳥踊，雙轅是荷。」《資治通鑑．卷二〇一．唐紀十七．高宗總章二年》：「其門牆階級，窗櫺楣柱，枊楶枅栱，皆法天地陰陽律曆之數。」 |</v>
      </c>
    </row>
    <row r="11960" spans="1:44" hidden="1">
      <c r="A11960" s="1" t="s">
        <v>24706</v>
      </c>
      <c r="C11960" s="1">
        <v>1</v>
      </c>
      <c r="D11960" s="1" t="str">
        <f>"10453"</f>
        <v>10453</v>
      </c>
      <c r="E11960" s="1" t="s">
        <v>438</v>
      </c>
      <c r="F11960" s="1">
        <v>10</v>
      </c>
      <c r="G11960" s="1">
        <v>5</v>
      </c>
      <c r="H11960" s="1">
        <v>0</v>
      </c>
      <c r="I11960" s="1" t="s">
        <v>24703</v>
      </c>
      <c r="K11960" s="1" t="str">
        <f t="shared" si="759"/>
        <v>ㄤ</v>
      </c>
      <c r="M11960" s="1" t="str">
        <f t="shared" si="760"/>
        <v/>
      </c>
      <c r="N11960" s="3" t="s">
        <v>30574</v>
      </c>
      <c r="O11960" s="3"/>
      <c r="P11960" s="1" t="s">
        <v>20</v>
      </c>
      <c r="R11960" s="1" t="s">
        <v>24704</v>
      </c>
      <c r="V11960" s="1" t="s">
        <v>24707</v>
      </c>
      <c r="AR11960" s="1" t="str">
        <f t="shared" si="755"/>
        <v>| [ㄤˋ](ㄤˋ.md) | [盎](盎.md) |  | àng | [名]
腹大口小的瓦盆。《後漢書．卷八三．逸民傳．逢萌傳》：「乃首戴瓦盎，哭於市。」《聊齋志異．卷一．勞山道士》：「遂各覓盎盂，競飲先釂，惟恐樽盡。」
[副]
充滿的、盈溢的。如：「興趣盎然」。宋．蘇軾〈答李邦直〉詩：「詩詞如醇酒，盎然薰四支。」 |</v>
      </c>
    </row>
    <row r="11961" spans="1:44" hidden="1">
      <c r="A11961" s="1" t="s">
        <v>24695</v>
      </c>
      <c r="C11961" s="1">
        <v>1</v>
      </c>
      <c r="D11961" s="1" t="str">
        <f>"10450"</f>
        <v>10450</v>
      </c>
      <c r="E11961" s="1" t="s">
        <v>2954</v>
      </c>
      <c r="F11961" s="1">
        <v>4</v>
      </c>
      <c r="G11961" s="1">
        <v>2</v>
      </c>
      <c r="H11961" s="1">
        <v>1</v>
      </c>
      <c r="I11961" s="1" t="s">
        <v>24696</v>
      </c>
      <c r="K11961" s="1" t="str">
        <f t="shared" si="759"/>
        <v>ㄤ</v>
      </c>
      <c r="M11961" s="1" t="str">
        <f t="shared" si="760"/>
        <v/>
      </c>
      <c r="N11961" s="3" t="s">
        <v>30575</v>
      </c>
      <c r="O11961" s="3"/>
      <c r="P11961" s="1" t="s">
        <v>20</v>
      </c>
      <c r="R11961" s="1" t="s">
        <v>24697</v>
      </c>
      <c r="V11961" s="1" t="s">
        <v>24698</v>
      </c>
      <c r="W11961" s="1" t="s">
        <v>24699</v>
      </c>
      <c r="AR11961" s="1" t="str">
        <f t="shared" si="755"/>
        <v>| [ㄤˊ](ㄤˊ.md) | [卬](卬.md) |  | áng | [動]
1.情緒激厲。《文選．司馬相如．長門賦》：「貫歷覽其中操兮，意慷慨而自卬。」唐．李善．注：「自卬，激厲也。」
2.抬起。通「昂」。唐．柳宗元〈蝜蝂傳〉：「行遇物，輒持取，卬其首負之。」
3.物價高漲。通「昂」。《漢書．卷二四．食貨志下》：「萬物卬貴，過平一錢，則以平賈賣與民。」
[代]
表第一人稱，我。漢．毛亨．傳：「卬，我也。」《詩經．邶風．匏有苦葉》：「招招舟子，人涉卬否。」 |</v>
      </c>
    </row>
    <row r="11962" spans="1:44" hidden="1">
      <c r="A11962" s="1" t="s">
        <v>24700</v>
      </c>
      <c r="C11962" s="1">
        <v>1</v>
      </c>
      <c r="D11962" s="1" t="str">
        <f>"10451"</f>
        <v>10451</v>
      </c>
      <c r="E11962" s="1" t="s">
        <v>646</v>
      </c>
      <c r="F11962" s="1">
        <v>8</v>
      </c>
      <c r="G11962" s="1">
        <v>4</v>
      </c>
      <c r="H11962" s="1">
        <v>0</v>
      </c>
      <c r="I11962" s="1" t="s">
        <v>24696</v>
      </c>
      <c r="K11962" s="1" t="str">
        <f t="shared" si="759"/>
        <v>ㄤ</v>
      </c>
      <c r="M11962" s="1" t="str">
        <f t="shared" si="760"/>
        <v/>
      </c>
      <c r="N11962" s="3" t="s">
        <v>30575</v>
      </c>
      <c r="O11962" s="3"/>
      <c r="P11962" s="1" t="s">
        <v>20</v>
      </c>
      <c r="R11962" s="1" t="s">
        <v>24697</v>
      </c>
      <c r="V11962" s="1" t="s">
        <v>24701</v>
      </c>
      <c r="AR11962" s="1" t="str">
        <f t="shared" si="755"/>
        <v>| [ㄤˊ](ㄤˊ.md) | [昂](昂.md) |  | áng | [動]
1.仰起、高舉。如：「昂首闊步」。宋．蘇軾〈和子由次王鞏韻〉：「簡書見迫身今老，尊酒聞呼首一昂。」
2.高漲、上揚。《新唐書．卷一〇九．崔義玄傳》：「俄而物質價踴昂，百賈驚擾。」《聊齋志異．卷四．促織》：「市中游俠兒，得佳者籠養之，昂其直，居為奇貨。」
[形]
精神氣概振奮激揚。如：「氣宇軒昂」。 |</v>
      </c>
    </row>
    <row r="11963" spans="1:44" hidden="1">
      <c r="A11963" s="1" t="s">
        <v>24708</v>
      </c>
      <c r="C11963" s="1">
        <v>1</v>
      </c>
      <c r="D11963" s="1" t="str">
        <f>"10454"</f>
        <v>10454</v>
      </c>
      <c r="E11963" s="1" t="s">
        <v>96</v>
      </c>
      <c r="F11963" s="1">
        <v>18</v>
      </c>
      <c r="G11963" s="1">
        <v>9</v>
      </c>
      <c r="H11963" s="1">
        <v>0</v>
      </c>
      <c r="I11963" s="1" t="s">
        <v>24709</v>
      </c>
      <c r="K11963" s="1" t="str">
        <f t="shared" si="759"/>
        <v>ㄥ</v>
      </c>
      <c r="L11963" s="1" t="str">
        <f>MID(I11963, 2, 1)</f>
        <v/>
      </c>
      <c r="M11963" s="1" t="str">
        <f t="shared" si="760"/>
        <v/>
      </c>
      <c r="P11963" s="1" t="s">
        <v>20</v>
      </c>
      <c r="R11963" s="1" t="s">
        <v>24710</v>
      </c>
      <c r="V11963" s="1" t="s">
        <v>24711</v>
      </c>
      <c r="AR11963" s="1" t="str">
        <f t="shared" si="755"/>
        <v>| [ㄥ](ㄥ.md) | [鞥](鞥.md) |  | ēng | [名]
馬韁繩。《說文解字．革部》：「鞥，轡鞥。」 |</v>
      </c>
    </row>
    <row r="11964" spans="1:44" hidden="1">
      <c r="A11964" s="1" t="s">
        <v>24752</v>
      </c>
      <c r="C11964" s="1">
        <v>1</v>
      </c>
      <c r="D11964" s="1" t="str">
        <f>"10474"</f>
        <v>10474</v>
      </c>
      <c r="E11964" s="1" t="s">
        <v>9954</v>
      </c>
      <c r="F11964" s="1">
        <v>2</v>
      </c>
      <c r="G11964" s="1">
        <v>0</v>
      </c>
      <c r="H11964" s="1">
        <v>0</v>
      </c>
      <c r="I11964" s="1" t="s">
        <v>24753</v>
      </c>
      <c r="K11964" s="1" t="str">
        <f t="shared" si="759"/>
        <v>ㄦ</v>
      </c>
      <c r="M11964" s="1" t="str">
        <f t="shared" si="760"/>
        <v/>
      </c>
      <c r="N11964" s="3" t="s">
        <v>30574</v>
      </c>
      <c r="O11964" s="3"/>
      <c r="P11964" s="1" t="s">
        <v>20</v>
      </c>
      <c r="R11964" s="1" t="s">
        <v>24754</v>
      </c>
      <c r="V11964" s="1" t="s">
        <v>24755</v>
      </c>
      <c r="AR11964" s="1" t="str">
        <f t="shared" si="755"/>
        <v>| [ㄦˋ](ㄦˋ.md) | [二](二.md) |  | èr | [名]
1.介於一和三之間的自然數。如：「一、二、三……。」大寫作「貳」，阿拉伯數字作「2」。
2.二一四部首之一。
[形]
1.次序排第二的。如：「第二名」。唐．杜牧〈贈別〉詩：「娉娉褭褭十三餘，荳蔻梢頭二月初。」
2.不專一的、兩樣的。《左傳．昭公二十一年》：「其子有二心，故廢之。」《新唐書．卷一九六．隱逸傳．衛大經傳》：「卓然高行，口無二言。」
[動]
1.改變。《左傳．僖公十五年》：「必報德，有死無二。」《宋史．卷四一八．文天祥傳》：「為人臣者死有餘罪，況敢逃其死而二其心乎？」
2.並比。《史記．卷九二．淮陰侯傳》：「此所謂功無二於天下，而略不世出者也。」 |</v>
      </c>
    </row>
    <row r="11965" spans="1:44" hidden="1">
      <c r="A11965" s="1" t="s">
        <v>24756</v>
      </c>
      <c r="C11965" s="1">
        <v>1</v>
      </c>
      <c r="D11965" s="1" t="str">
        <f>"10475"</f>
        <v>10475</v>
      </c>
      <c r="E11965" s="1" t="s">
        <v>505</v>
      </c>
      <c r="F11965" s="1">
        <v>12</v>
      </c>
      <c r="G11965" s="1">
        <v>5</v>
      </c>
      <c r="H11965" s="1">
        <v>0</v>
      </c>
      <c r="I11965" s="1" t="s">
        <v>24753</v>
      </c>
      <c r="K11965" s="1" t="str">
        <f t="shared" si="759"/>
        <v>ㄦ</v>
      </c>
      <c r="M11965" s="1" t="str">
        <f t="shared" si="760"/>
        <v/>
      </c>
      <c r="N11965" s="3" t="s">
        <v>30574</v>
      </c>
      <c r="O11965" s="3"/>
      <c r="P11965" s="1" t="s">
        <v>20</v>
      </c>
      <c r="R11965" s="1" t="s">
        <v>24754</v>
      </c>
      <c r="V11965" s="1" t="s">
        <v>24757</v>
      </c>
      <c r="AR11965" s="1" t="str">
        <f t="shared" si="755"/>
        <v>| [ㄦˋ](ㄦˋ.md) | [貳](貳.md) |  | èr | [名]
1.副座、佐助的人。《玉篇．貝部》：「貳，副也。」《周禮．天官．大宰》：「乃施法于官府，而建其正，立其貳。」
2.敵手、才力相對等的人。《左傳．哀公七年》：「且魯賦八百乘，君之貳也。」晉．杜預．注：「貳，敵也。」
3.二的大寫。
4.姓。如晉代有貳塵。
[動]
1.違背、叛離。《左傳．昭公二十年》：「阿下執事，臣不敢貳。」
2.再、重複。如：「不遷怒，不貳過。」《禮記．曲禮上》：「御同於長者，雖貳不辭。」唐．孔穎達．正義：「貳，謂重也。」
3.懷疑、不信任。《書經．大禹謨》：「任賢勿貳，去邪勿疑。」唐．陸贄〈奉天請數對群臣兼許令論事狀〉：「任而勿貳，然後可責人之成功。」
4.輔助。《後漢書．卷四九．仲長統傳》：「秦兼天下，則置丞相，而貳之以御史大夫。」《元史．卷八五．百官志一》：「其長則蒙古人為之，而漢人、南人貳焉。」
5.另作打算。《左傳．僖公二十三年》：「得志於諸侯而誅無禮，曹其首也，子盍蚤自貳焉。」
6.變更、異動。《詩經．小雅．都人士．序》：「古者長民，衣服不貳。」
[形]
副的、次於正的。參見「貳卿」、「貳室」、「貳車」等條。 |</v>
      </c>
    </row>
    <row r="11966" spans="1:44" hidden="1">
      <c r="A11966" s="1" t="s">
        <v>24758</v>
      </c>
      <c r="C11966" s="1">
        <v>1</v>
      </c>
      <c r="D11966" s="1" t="str">
        <f>"10476"</f>
        <v>10476</v>
      </c>
      <c r="E11966" s="1" t="s">
        <v>139</v>
      </c>
      <c r="F11966" s="1">
        <v>16</v>
      </c>
      <c r="G11966" s="1">
        <v>12</v>
      </c>
      <c r="H11966" s="1">
        <v>0</v>
      </c>
      <c r="I11966" s="1" t="s">
        <v>24753</v>
      </c>
      <c r="K11966" s="1" t="str">
        <f t="shared" si="759"/>
        <v>ㄦ</v>
      </c>
      <c r="M11966" s="1" t="str">
        <f t="shared" si="760"/>
        <v/>
      </c>
      <c r="N11966" s="3" t="s">
        <v>30574</v>
      </c>
      <c r="O11966" s="3"/>
      <c r="P11966" s="1" t="s">
        <v>20</v>
      </c>
      <c r="R11966" s="1" t="s">
        <v>24754</v>
      </c>
      <c r="V11966" s="1" t="s">
        <v>24759</v>
      </c>
      <c r="AR11966" s="1" t="str">
        <f t="shared" si="755"/>
        <v>| [ㄦˋ](ㄦˋ.md) | [樲](樲.md) |  | èr | [名]
植物名。指樲棘。鼠李科棗屬，「酸棗」之古稱。參見「酸棗」條。 |</v>
      </c>
    </row>
    <row r="11967" spans="1:44" hidden="1">
      <c r="A11967" s="1" t="s">
        <v>24760</v>
      </c>
      <c r="C11967" s="1">
        <v>1</v>
      </c>
      <c r="D11967" s="1" t="str">
        <f>"10477"</f>
        <v>10477</v>
      </c>
      <c r="E11967" s="1" t="s">
        <v>185</v>
      </c>
      <c r="F11967" s="1">
        <v>8</v>
      </c>
      <c r="G11967" s="1">
        <v>6</v>
      </c>
      <c r="H11967" s="1">
        <v>0</v>
      </c>
      <c r="I11967" s="1" t="s">
        <v>24753</v>
      </c>
      <c r="K11967" s="1" t="str">
        <f t="shared" si="759"/>
        <v>ㄦ</v>
      </c>
      <c r="M11967" s="1" t="str">
        <f t="shared" si="760"/>
        <v/>
      </c>
      <c r="N11967" s="3" t="s">
        <v>30574</v>
      </c>
      <c r="O11967" s="3"/>
      <c r="P11967" s="1" t="s">
        <v>20</v>
      </c>
      <c r="R11967" s="1" t="s">
        <v>24754</v>
      </c>
      <c r="V11967" s="1" t="s">
        <v>24761</v>
      </c>
      <c r="AR11967" s="1" t="str">
        <f t="shared" si="755"/>
        <v>| [ㄦˋ](ㄦˋ.md) | [刵](刵.md) |  | èr | [名]
古代一種割去耳朵的刑罰。《書經．呂刑》：「殺戮無辜，爰始淫為劓、刵、椓、黥。」 |</v>
      </c>
    </row>
    <row r="11968" spans="1:44" hidden="1">
      <c r="A11968" s="1" t="s">
        <v>24762</v>
      </c>
      <c r="C11968" s="1">
        <v>1</v>
      </c>
      <c r="D11968" s="1" t="str">
        <f>"10478"</f>
        <v>10478</v>
      </c>
      <c r="E11968" s="1" t="s">
        <v>114</v>
      </c>
      <c r="F11968" s="1">
        <v>8</v>
      </c>
      <c r="G11968" s="1">
        <v>6</v>
      </c>
      <c r="H11968" s="1">
        <v>0</v>
      </c>
      <c r="I11968" s="1" t="s">
        <v>24753</v>
      </c>
      <c r="K11968" s="1" t="str">
        <f t="shared" si="759"/>
        <v>ㄦ</v>
      </c>
      <c r="M11968" s="1" t="str">
        <f t="shared" si="760"/>
        <v/>
      </c>
      <c r="N11968" s="3" t="s">
        <v>30574</v>
      </c>
      <c r="O11968" s="3"/>
      <c r="P11968" s="1" t="s">
        <v>20</v>
      </c>
      <c r="R11968" s="1" t="s">
        <v>24754</v>
      </c>
      <c r="V11968" s="1" t="s">
        <v>24763</v>
      </c>
      <c r="AR11968" s="1" t="str">
        <f t="shared" si="755"/>
        <v>| [ㄦˋ](ㄦˋ.md) | [佴](佴.md) |  | èr | [動]
次、隨後。《文選．司馬遷．報任少卿書》：「李陵既生降，隤其家聲；而僕又佴之蠶室，重為天下觀笑。」李善注引如淳曰：「佴，次也。若人相次也。」 |</v>
      </c>
    </row>
    <row r="11969" spans="1:44" hidden="1">
      <c r="A11969" s="1" t="s">
        <v>24764</v>
      </c>
      <c r="C11969" s="1">
        <v>1</v>
      </c>
      <c r="D11969" s="1" t="str">
        <f>"10479"</f>
        <v>10479</v>
      </c>
      <c r="E11969" s="1" t="s">
        <v>28</v>
      </c>
      <c r="F11969" s="1">
        <v>9</v>
      </c>
      <c r="G11969" s="1">
        <v>6</v>
      </c>
      <c r="H11969" s="1">
        <v>0</v>
      </c>
      <c r="I11969" s="1" t="s">
        <v>24753</v>
      </c>
      <c r="K11969" s="1" t="str">
        <f t="shared" si="759"/>
        <v>ㄦ</v>
      </c>
      <c r="M11969" s="1" t="str">
        <f t="shared" si="760"/>
        <v/>
      </c>
      <c r="N11969" s="3" t="s">
        <v>30574</v>
      </c>
      <c r="O11969" s="3"/>
      <c r="P11969" s="1" t="s">
        <v>20</v>
      </c>
      <c r="R11969" s="1" t="s">
        <v>24754</v>
      </c>
      <c r="V11969" s="1" t="s">
        <v>24765</v>
      </c>
      <c r="AR11969" s="1" t="str">
        <f t="shared" si="755"/>
        <v>| [ㄦˋ](ㄦˋ.md) | [咡](咡.md) |  | èr | [名]
嘴巴旁邊。《玉篇．口部》：「咡，口旁曰咡。」《管子．弟子職》：「既食乃飽，循咡覆手。」唐．尹知章．注：「咡，口也；覆手而循之，所以拭其不潔也。」 |</v>
      </c>
    </row>
    <row r="11970" spans="1:44" hidden="1">
      <c r="A11970" s="1" t="s">
        <v>24766</v>
      </c>
      <c r="C11970" s="1">
        <v>1</v>
      </c>
      <c r="D11970" s="1" t="str">
        <f>"10480"</f>
        <v>10480</v>
      </c>
      <c r="E11970" s="1" t="s">
        <v>1681</v>
      </c>
      <c r="F11970" s="1">
        <v>12</v>
      </c>
      <c r="G11970" s="1">
        <v>6</v>
      </c>
      <c r="H11970" s="1">
        <v>0</v>
      </c>
      <c r="I11970" s="1" t="s">
        <v>24753</v>
      </c>
      <c r="K11970" s="1" t="str">
        <f t="shared" si="759"/>
        <v>ㄦ</v>
      </c>
      <c r="M11970" s="1" t="str">
        <f t="shared" si="760"/>
        <v/>
      </c>
      <c r="N11970" s="3" t="s">
        <v>30574</v>
      </c>
      <c r="O11970" s="3"/>
      <c r="P11970" s="1" t="s">
        <v>20</v>
      </c>
      <c r="R11970" s="1" t="s">
        <v>24754</v>
      </c>
      <c r="V11970" s="1" t="s">
        <v>24767</v>
      </c>
      <c r="AR11970" s="1" t="str">
        <f t="shared" si="755"/>
        <v>| [ㄦˋ](ㄦˋ.md) | [衈](衈.md) |  | èr | [動]
祭祀時取牲物耳旁的血塗在禮器上。《禮記．雜記下》：「成廟則釁之……門，夾室皆用雞，先門而後夾室。其衈皆於屋下。」 |</v>
      </c>
    </row>
    <row r="11971" spans="1:44" hidden="1">
      <c r="A11971" s="1" t="s">
        <v>24742</v>
      </c>
      <c r="C11971" s="1">
        <v>1</v>
      </c>
      <c r="D11971" s="1" t="str">
        <f>"10481"</f>
        <v>10481</v>
      </c>
      <c r="E11971" s="1" t="s">
        <v>55</v>
      </c>
      <c r="F11971" s="1">
        <v>14</v>
      </c>
      <c r="G11971" s="1">
        <v>6</v>
      </c>
      <c r="H11971" s="1">
        <v>2</v>
      </c>
      <c r="I11971" s="1" t="s">
        <v>24753</v>
      </c>
      <c r="K11971" s="1" t="str">
        <f t="shared" si="759"/>
        <v>ㄦ</v>
      </c>
      <c r="M11971" s="1" t="str">
        <f t="shared" si="760"/>
        <v/>
      </c>
      <c r="N11971" s="3" t="s">
        <v>30574</v>
      </c>
      <c r="O11971" s="3"/>
      <c r="P11971" s="1" t="s">
        <v>20</v>
      </c>
      <c r="R11971" s="1" t="s">
        <v>24754</v>
      </c>
      <c r="V11971" s="1" t="s">
        <v>24768</v>
      </c>
      <c r="W11971" s="1" t="s">
        <v>24769</v>
      </c>
      <c r="AR11971" s="1" t="str">
        <f t="shared" ref="AR11971:AR12034" si="761">"| ["&amp;I11971&amp;"]("&amp;I11971&amp;".md) | ["&amp;A11971&amp;"]("&amp;A11971&amp;".md) | "&amp;" | "&amp;R11971&amp;" | "&amp;V11971&amp;" |"</f>
        <v>| [ㄦˋ](ㄦˋ.md) | [鉺](鉺.md) |  | èr | [名]_x000D_
鉤狀飾品。《宋書．卷一八．禮志五》：「第六品以下，加不得服金鈿、綾、錦、錦繡、七緣綺、貂豽裘、金叉鐶鉺。」 |</v>
      </c>
    </row>
    <row r="11972" spans="1:44" hidden="1">
      <c r="A11972" s="1" t="s">
        <v>24712</v>
      </c>
      <c r="C11972" s="1">
        <v>1</v>
      </c>
      <c r="D11972" s="1" t="str">
        <f>"10455"</f>
        <v>10455</v>
      </c>
      <c r="E11972" s="1" t="s">
        <v>5778</v>
      </c>
      <c r="F11972" s="1">
        <v>6</v>
      </c>
      <c r="G11972" s="1">
        <v>0</v>
      </c>
      <c r="H11972" s="1">
        <v>0</v>
      </c>
      <c r="I11972" s="1" t="s">
        <v>24713</v>
      </c>
      <c r="K11972" s="1" t="str">
        <f t="shared" si="759"/>
        <v>ㄦ</v>
      </c>
      <c r="M11972" s="1" t="str">
        <f t="shared" si="760"/>
        <v/>
      </c>
      <c r="N11972" s="3" t="s">
        <v>30575</v>
      </c>
      <c r="O11972" s="3"/>
      <c r="P11972" s="1" t="s">
        <v>20</v>
      </c>
      <c r="R11972" s="1" t="s">
        <v>24714</v>
      </c>
      <c r="V11972" s="1" t="s">
        <v>24715</v>
      </c>
      <c r="AR11972" s="1" t="str">
        <f t="shared" si="761"/>
        <v>| [ㄦˊ](ㄦˊ.md) | [而](而.md) |  | ér | [名]_x000D_
1.兩頰上的毛。《說文解字．而部》：「而，須也。」《周禮．冬官考工記．梓人》：「必深其爪，出其目，作其鱗之而。」_x000D_
2.二一四部首之一。_x000D_
[代]_x000D_
1.你。《詩經．大雅．桑柔》：「嗟爾朋友，予豈不知而作！」《左傳．定公十四年》：「夫差！而忘越王之殺而父乎？」_x000D_
2.我。《戰國策．趙策一》：「豫讓拔劍三躍，呼天擊之曰：『而可以報知伯矣。』」《史記．卷八六．刺客列傳．聶政》：「前日所以不許仲子者，徒以親在，今不幸而母以天終，仲子所欲報仇者為誰？請得從事焉！」_x000D_
[動]_x000D_
1.至、到。如：「自南而北」、「自壯而老」。_x000D_
2.能、可以。《戰國策．齊策六》：「齊多知而解此環不？」《淮南子．原道》：「行柔而剛，用弱而強。」_x000D_
[介]_x000D_
1.之、的。《論語．憲問》：「君子恥其言而過其行。」《淮南子．人間》：「虞之與虢，相恃而勢也。」_x000D_
2.以。如：「從今而後」、「自此而下」。《易經．繫辭上》：「是故形而上者謂之道，形而下者謂之器。」《孟子．盡心下》：「由孔子而來，至於今百有餘歲。」_x000D_
[副]_x000D_
1.才、始。表時間。《公羊傳．宣公十五年》：「嘻！甚矣憊！雖然，吾今取此然後而歸爾。」_x000D_
2.猶。《論語．陽貨》：「年四十而見惡焉，其終也已。」《孟子．告子下》：「舜其至孝矣，五十而慕。」_x000D_
[連]_x000D_
1.和、與。《論語．雍也》：「不有祝鮀之佞，而有宋朝之美，難乎免於今之世矣。」《左傳．昭公二十五年》：「哀樂而樂哀，皆喪心也。」_x000D_
2.並且。《書經．皋陶謨》：「知人則哲，能官人，安民則惠，黎民懷之。能哲而惠，何憂乎驩兜？」《論語．學而》：「學而時習之，不亦說乎？」_x000D_
3.則、就。《易經．繫辭下》：「君子見幾而作，不俟終日。」《左傳．襄公十八年》：「諸侯方睦於晉，臣請嘗之。若可，君而繼之。」_x000D_
4.如、若。《論語．為政》：「人而無信，不知其可也。」_x000D_
5.因而、所以。《左傳．成公八年》：「謂汶陽之田，敝邑之舊也，而用師於齊，使歸諸敝邑。」漢．劉向《說苑．卷一九．脩文》：「情動於中，而形於聲。」_x000D_
6.然而、但是、卻。表轉折之意。《論語．學而》：「其為人也孝弟，而好犯上者鮮矣。」《孟子．離婁下》：「問其與飲食者，盡富貴也，而未嘗有顯者來。」_x000D_
7.尚且。《莊子．天道》：「夫天地至神，而有尊卑先後之序，而況之道乎？」《淮南子．人間》：「夫一麑而不忍，又何況於人乎？」_x000D_
[助]_x000D_
1.用於句末，相當於「兮」、「罷了」。《詩經．齊風．著》：「俟我於著乎而，充耳以素乎而，尚之以瓊華乎而！」《論語．微子》：「已而已而！今之從政者殆而！」_x000D_
2.用於句首，相當於「豈」、「難道」。《論語．顏淵》：「為仁由己，而由人乎哉？」《左傳．昭公十三年》：「諸侯事晉，未敢攜貳，況衛在君之宇下，而敢有異志？」_x000D_
3.用於形容詞或副詞的語尾，無義。《左傳．文公十七年》：「鋌而走險，何能擇？」 |</v>
      </c>
    </row>
    <row r="11973" spans="1:44" hidden="1">
      <c r="A11973" s="1" t="s">
        <v>24716</v>
      </c>
      <c r="C11973" s="1">
        <v>1</v>
      </c>
      <c r="D11973" s="1" t="str">
        <f>"10456"</f>
        <v>10456</v>
      </c>
      <c r="E11973" s="1" t="s">
        <v>129</v>
      </c>
      <c r="F11973" s="1">
        <v>9</v>
      </c>
      <c r="G11973" s="1">
        <v>6</v>
      </c>
      <c r="H11973" s="1">
        <v>0</v>
      </c>
      <c r="I11973" s="1" t="s">
        <v>24713</v>
      </c>
      <c r="K11973" s="1" t="str">
        <f t="shared" si="759"/>
        <v>ㄦ</v>
      </c>
      <c r="M11973" s="1" t="str">
        <f t="shared" si="760"/>
        <v/>
      </c>
      <c r="N11973" s="3" t="s">
        <v>30575</v>
      </c>
      <c r="O11973" s="3"/>
      <c r="P11973" s="1" t="s">
        <v>20</v>
      </c>
      <c r="R11973" s="1" t="s">
        <v>24714</v>
      </c>
      <c r="V11973" s="1" t="s">
        <v>24717</v>
      </c>
      <c r="AR11973" s="1" t="str">
        <f t="shared" si="761"/>
        <v>| [ㄦˊ](ㄦˊ.md) | [洏](洏.md) |  | ér | 參見「漣洏」條。 |</v>
      </c>
    </row>
    <row r="11974" spans="1:44" hidden="1">
      <c r="A11974" s="1" t="s">
        <v>24718</v>
      </c>
      <c r="C11974" s="1">
        <v>1</v>
      </c>
      <c r="D11974" s="1" t="str">
        <f>"10457"</f>
        <v>10457</v>
      </c>
      <c r="E11974" s="1" t="s">
        <v>5778</v>
      </c>
      <c r="F11974" s="1">
        <v>9</v>
      </c>
      <c r="G11974" s="1">
        <v>3</v>
      </c>
      <c r="H11974" s="1">
        <v>0</v>
      </c>
      <c r="I11974" s="1" t="s">
        <v>24713</v>
      </c>
      <c r="K11974" s="1" t="str">
        <f t="shared" si="759"/>
        <v>ㄦ</v>
      </c>
      <c r="M11974" s="1" t="str">
        <f t="shared" si="760"/>
        <v/>
      </c>
      <c r="N11974" s="3" t="s">
        <v>30575</v>
      </c>
      <c r="O11974" s="3"/>
      <c r="P11974" s="1" t="s">
        <v>20</v>
      </c>
      <c r="R11974" s="1" t="s">
        <v>24714</v>
      </c>
      <c r="V11974" s="1" t="s">
        <v>24719</v>
      </c>
      <c r="AR11974" s="1" t="str">
        <f t="shared" si="761"/>
        <v>| [ㄦˊ](ㄦˊ.md) | [耏](耏.md) |  | ér | [名]
1.頰上的鬚毛。《後漢書．卷三．肅宗孝章帝紀》：「沙漠之北，蔥嶺之西，冒耏之類，跋涉懸度。」《新唐書．卷二二一．西域傳下．波斯傳》：「祠夕，以麝揉蘇，澤耏顏鼻耳。」
2.姓。如漢代有耏跖。 |</v>
      </c>
    </row>
    <row r="11975" spans="1:44" hidden="1">
      <c r="A11975" s="1" t="s">
        <v>24720</v>
      </c>
      <c r="C11975" s="1">
        <v>1</v>
      </c>
      <c r="D11975" s="1" t="str">
        <f>"10458"</f>
        <v>10458</v>
      </c>
      <c r="E11975" s="1" t="s">
        <v>139</v>
      </c>
      <c r="F11975" s="1">
        <v>10</v>
      </c>
      <c r="G11975" s="1">
        <v>6</v>
      </c>
      <c r="H11975" s="1">
        <v>0</v>
      </c>
      <c r="I11975" s="1" t="s">
        <v>24713</v>
      </c>
      <c r="K11975" s="1" t="str">
        <f t="shared" si="759"/>
        <v>ㄦ</v>
      </c>
      <c r="M11975" s="1" t="str">
        <f t="shared" si="760"/>
        <v/>
      </c>
      <c r="N11975" s="3" t="s">
        <v>30575</v>
      </c>
      <c r="O11975" s="3"/>
      <c r="P11975" s="1" t="s">
        <v>20</v>
      </c>
      <c r="R11975" s="1" t="s">
        <v>24714</v>
      </c>
      <c r="V11975" s="1" t="s">
        <v>24721</v>
      </c>
      <c r="AR11975" s="1" t="str">
        <f t="shared" si="761"/>
        <v>| [ㄦˊ](ㄦˊ.md) | [栭](栭.md) |  | ér | [名]
柱上承托大梁的方木。《文選．張衡．西京賦》：「雕楹玉磶，繡栭雲楣。」《晉書．卷九七．四夷傳．西戎傳》：「屋宇皆以珊瑚為梲栭，琉璃為牆壁，水精為柱礎。」 |</v>
      </c>
    </row>
    <row r="11976" spans="1:44" hidden="1">
      <c r="A11976" s="1" t="s">
        <v>24722</v>
      </c>
      <c r="C11976" s="1">
        <v>1</v>
      </c>
      <c r="D11976" s="1" t="str">
        <f>"10459"</f>
        <v>10459</v>
      </c>
      <c r="E11976" s="1" t="s">
        <v>68</v>
      </c>
      <c r="F11976" s="1">
        <v>10</v>
      </c>
      <c r="G11976" s="1">
        <v>6</v>
      </c>
      <c r="H11976" s="1">
        <v>0</v>
      </c>
      <c r="I11976" s="1" t="s">
        <v>24713</v>
      </c>
      <c r="K11976" s="1" t="str">
        <f t="shared" si="759"/>
        <v>ㄦ</v>
      </c>
      <c r="M11976" s="1" t="str">
        <f t="shared" si="760"/>
        <v/>
      </c>
      <c r="N11976" s="3" t="s">
        <v>30575</v>
      </c>
      <c r="O11976" s="3"/>
      <c r="P11976" s="1" t="s">
        <v>20</v>
      </c>
      <c r="R11976" s="1" t="s">
        <v>24714</v>
      </c>
      <c r="V11976" s="1" t="s">
        <v>24723</v>
      </c>
      <c r="AR11976" s="1" t="str">
        <f t="shared" si="761"/>
        <v>| [ㄦˊ](ㄦˊ.md) | [胹](胹.md) |  | ér | [副]
熟爛。《說文解字．肉部》：「胹，爛也。」
[動]
煮。《楚辭．宋玉．招魂》：「胹鱉炮羔，有柘漿些。」明．李時珍《本草綱目．卷五一．獸部．熊》：「其足名蹯，為八珍之一。古人重之，然胹之難熟。」 |</v>
      </c>
    </row>
    <row r="11977" spans="1:44" hidden="1">
      <c r="A11977" s="1" t="s">
        <v>24724</v>
      </c>
      <c r="C11977" s="1">
        <v>1</v>
      </c>
      <c r="D11977" s="1" t="str">
        <f>"10460"</f>
        <v>10460</v>
      </c>
      <c r="E11977" s="1" t="s">
        <v>71</v>
      </c>
      <c r="F11977" s="1">
        <v>13</v>
      </c>
      <c r="G11977" s="1">
        <v>6</v>
      </c>
      <c r="H11977" s="1">
        <v>0</v>
      </c>
      <c r="I11977" s="1" t="s">
        <v>24713</v>
      </c>
      <c r="K11977" s="1" t="str">
        <f t="shared" si="759"/>
        <v>ㄦ</v>
      </c>
      <c r="M11977" s="1" t="str">
        <f t="shared" si="760"/>
        <v/>
      </c>
      <c r="N11977" s="3" t="s">
        <v>30575</v>
      </c>
      <c r="O11977" s="3"/>
      <c r="P11977" s="1" t="s">
        <v>20</v>
      </c>
      <c r="R11977" s="1" t="s">
        <v>24714</v>
      </c>
      <c r="V11977" s="1" t="s">
        <v>24725</v>
      </c>
      <c r="AR11977" s="1" t="str">
        <f t="shared" si="761"/>
        <v>| [ㄦˊ](ㄦˊ.md) | [輀](輀.md) |  | ér | [名]
喪車。《洛陽伽藍記．卷四．法雲寺》：「里內之人，以賣棺槨為業，賃輀事為事。」宋．王安石〈忠獻韓公挽辭〉二首之二：「幕府少年今白髮，傷心無路送靈輀。」 |</v>
      </c>
    </row>
    <row r="11978" spans="1:44" hidden="1">
      <c r="A11978" s="1" t="s">
        <v>24726</v>
      </c>
      <c r="C11978" s="1">
        <v>1</v>
      </c>
      <c r="D11978" s="1" t="str">
        <f>"10461"</f>
        <v>10461</v>
      </c>
      <c r="E11978" s="1" t="s">
        <v>156</v>
      </c>
      <c r="F11978" s="1">
        <v>17</v>
      </c>
      <c r="G11978" s="1">
        <v>6</v>
      </c>
      <c r="H11978" s="1">
        <v>0</v>
      </c>
      <c r="I11978" s="1" t="s">
        <v>24713</v>
      </c>
      <c r="K11978" s="1" t="str">
        <f t="shared" si="759"/>
        <v>ㄦ</v>
      </c>
      <c r="M11978" s="1" t="str">
        <f t="shared" si="760"/>
        <v/>
      </c>
      <c r="N11978" s="3" t="s">
        <v>30575</v>
      </c>
      <c r="O11978" s="3"/>
      <c r="P11978" s="1" t="s">
        <v>20</v>
      </c>
      <c r="R11978" s="1" t="s">
        <v>24714</v>
      </c>
      <c r="V11978" s="1" t="s">
        <v>24727</v>
      </c>
      <c r="AR11978" s="1" t="str">
        <f t="shared" si="761"/>
        <v>| [ㄦˊ](ㄦˊ.md) | [鮞](鮞.md) |  | ér | [名]
魚苗、幼小的魚。《國語．魯語上》：「魚禁鯤鮞。」三國吳．韋昭．注：「鯤，魚子也；鮞，未成魚也。」《文選．張衡．西京賦》：「摷昆鮞，殄水族。」 |</v>
      </c>
    </row>
    <row r="11979" spans="1:44" hidden="1">
      <c r="A11979" s="1" t="s">
        <v>7258</v>
      </c>
      <c r="C11979" s="1">
        <v>1</v>
      </c>
      <c r="D11979" s="1" t="str">
        <f>"10462"</f>
        <v>10462</v>
      </c>
      <c r="E11979" s="1" t="s">
        <v>68</v>
      </c>
      <c r="F11979" s="1">
        <v>18</v>
      </c>
      <c r="G11979" s="1">
        <v>14</v>
      </c>
      <c r="H11979" s="1">
        <v>3</v>
      </c>
      <c r="I11979" s="1" t="s">
        <v>24713</v>
      </c>
      <c r="K11979" s="1" t="str">
        <f t="shared" si="759"/>
        <v>ㄦ</v>
      </c>
      <c r="M11979" s="1" t="str">
        <f t="shared" si="760"/>
        <v/>
      </c>
      <c r="N11979" s="3" t="s">
        <v>30575</v>
      </c>
      <c r="O11979" s="3"/>
      <c r="P11979" s="1" t="s">
        <v>20</v>
      </c>
      <c r="R11979" s="1" t="s">
        <v>24714</v>
      </c>
      <c r="V11979" s="1" t="s">
        <v>24728</v>
      </c>
      <c r="W11979" s="1" t="s">
        <v>24729</v>
      </c>
      <c r="AR11979" s="1" t="str">
        <f t="shared" si="761"/>
        <v>| [ㄦˊ](ㄦˊ.md) | [臑](臑.md) |  | ér | [副]
肉煮至熟爛。通「胹」。《文選．枚乘．七發》：「熊蹯之臑，勺藥之醬。」唐．李善．注：「臑，熟也。」 |</v>
      </c>
    </row>
    <row r="11980" spans="1:44" hidden="1">
      <c r="A11980" s="1" t="s">
        <v>7352</v>
      </c>
      <c r="C11980" s="1">
        <v>1</v>
      </c>
      <c r="D11980" s="1" t="str">
        <f>"10463"</f>
        <v>10463</v>
      </c>
      <c r="E11980" s="1" t="s">
        <v>3581</v>
      </c>
      <c r="F11980" s="1">
        <v>8</v>
      </c>
      <c r="G11980" s="1">
        <v>6</v>
      </c>
      <c r="H11980" s="1">
        <v>1</v>
      </c>
      <c r="I11980" s="1" t="s">
        <v>24713</v>
      </c>
      <c r="K11980" s="1" t="str">
        <f t="shared" si="759"/>
        <v>ㄦ</v>
      </c>
      <c r="M11980" s="1" t="str">
        <f t="shared" si="760"/>
        <v/>
      </c>
      <c r="N11980" s="3" t="s">
        <v>30575</v>
      </c>
      <c r="O11980" s="3"/>
      <c r="P11980" s="1" t="s">
        <v>20</v>
      </c>
      <c r="R11980" s="1" t="s">
        <v>24714</v>
      </c>
      <c r="V11980" s="1" t="s">
        <v>24730</v>
      </c>
      <c r="W11980" s="1" t="s">
        <v>24731</v>
      </c>
      <c r="AR11980" s="1" t="str">
        <f t="shared" si="761"/>
        <v>| [ㄦˊ](ㄦˊ.md) | [兒](兒.md) |  | ér | [名]
1.小孩。如：「兒童」、「嬰兒」。《文選．古樂府．飲馬長城窟行》：「呼兒烹鯉魚，中有尺素書。」
2.子女對父母的自稱。《樂府詩集．卷七三．雜曲歌辭十三．古辭．焦仲卿妻》：「蘭芝慚阿母：『兒實無罪過。』」
3.稱謂。父母對子女的稱呼。《水滸傳》第四二回：「我兒，你去了許多時，這幾年正在那里安身？」
4.長輩稱呼晚輩。如：「姪兒」、「孫兒」。
5.年輕男子。唐．白居易〈雜興〉詩三首之一：「遂習宮中女，皆如馬上兒。」
6.輕視、辱罵對方為「兒」。《後漢書．卷七五．呂布傳》：「布目備曰：『大耳兒最叵信！』」
[綴]
附於名詞、代名詞、動詞、形容詞、副詞等之後，構成詞，與所附的詞合為兒化音，一般無義。附於詞尾：(1)接名詞。如：「花兒」、「鳥兒」、「老頭兒」、「美人兒」(2)接動詞。如：「拐彎兒」、「找蹅兒」。(3)接副詞。如：「快快兒」、「慢慢兒」。 |</v>
      </c>
    </row>
    <row r="11981" spans="1:44" hidden="1">
      <c r="A11981" s="1" t="s">
        <v>24732</v>
      </c>
      <c r="C11981" s="1">
        <v>1</v>
      </c>
      <c r="D11981" s="1" t="str">
        <f>"10464"</f>
        <v>10464</v>
      </c>
      <c r="E11981" s="1" t="s">
        <v>28</v>
      </c>
      <c r="F11981" s="1">
        <v>11</v>
      </c>
      <c r="G11981" s="1">
        <v>8</v>
      </c>
      <c r="H11981" s="1">
        <v>0</v>
      </c>
      <c r="I11981" s="1" t="s">
        <v>24713</v>
      </c>
      <c r="K11981" s="1" t="str">
        <f t="shared" si="759"/>
        <v>ㄦ</v>
      </c>
      <c r="M11981" s="1" t="str">
        <f t="shared" si="760"/>
        <v/>
      </c>
      <c r="N11981" s="3" t="s">
        <v>30575</v>
      </c>
      <c r="O11981" s="3"/>
      <c r="P11981" s="1" t="s">
        <v>20</v>
      </c>
      <c r="R11981" s="1" t="s">
        <v>24714</v>
      </c>
      <c r="V11981" s="1" t="s">
        <v>24733</v>
      </c>
      <c r="AR11981" s="1" t="str">
        <f t="shared" si="761"/>
        <v>| [ㄦˊ](ㄦˊ.md) | [唲](唲.md) |  | ér | [擬]
唲嘔：形容小孩所發出的聲音。《玉篇．口部》：「唲，唲嘔，小兒語也。」宋．陳著〈踏莎行．杏苑長春〉詞：「佳占端的在孫枝，明年壽席唲嘔笑。」 |</v>
      </c>
    </row>
    <row r="11982" spans="1:44" hidden="1">
      <c r="A11982" s="1" t="s">
        <v>24734</v>
      </c>
      <c r="C11982" s="1">
        <v>1</v>
      </c>
      <c r="D11982" s="1" t="str">
        <f>"10466"</f>
        <v>10466</v>
      </c>
      <c r="E11982" s="1" t="s">
        <v>2419</v>
      </c>
      <c r="F11982" s="1">
        <v>6</v>
      </c>
      <c r="G11982" s="1">
        <v>0</v>
      </c>
      <c r="H11982" s="1">
        <v>0</v>
      </c>
      <c r="I11982" s="1" t="s">
        <v>24735</v>
      </c>
      <c r="K11982" s="1" t="str">
        <f t="shared" si="759"/>
        <v>ㄦ</v>
      </c>
      <c r="M11982" s="1" t="str">
        <f t="shared" si="760"/>
        <v/>
      </c>
      <c r="N11982" s="3" t="s">
        <v>30576</v>
      </c>
      <c r="O11982" s="3"/>
      <c r="P11982" s="1" t="s">
        <v>20</v>
      </c>
      <c r="R11982" s="1" t="s">
        <v>24736</v>
      </c>
      <c r="V11982" s="1" t="s">
        <v>24737</v>
      </c>
      <c r="AR11982" s="1" t="str">
        <f t="shared" si="761"/>
        <v>| [ㄦˇ](ㄦˇ.md) | [耳](耳.md) |  | ěr | [名]_x000D_
1.人及動物的聽覺器官。《詩經．大雅．抑》：「匪面命之，言提其耳。」《山海經．北山經》：「單張之山，其上無草木，有獸焉，其狀如豹而長尾，人首而牛耳，一目。」_x000D_
2.附於器物兩旁，便於提攜的把手。《易經．鼎卦．六五》：「鼎，黃耳金鉉。」《史記．卷二八．封禪書》：「有雉登鼎耳雊，武丁懼。」_x000D_
3.形狀像耳朵的東西。如：「木耳」、「銀耳」。_x000D_
4.雨後穀物所生之芽。唐．杜甫〈秋雨歎〉詩三首之二：「禾頭生耳黍穗黑，農夫田婦無消息。」清．馮桂芬〈林文忠公祠記〉：「癸巳秋冬之交，累月陰雨，禾不得刈，皆生耳。」_x000D_
5.姓。如明代有耳元明。_x000D_
6.二一四部首之一。_x000D_
[動]_x000D_
聞、聽。《韓非子．外儲說左上》：「中大夫，晉重列也。今無功而受，非晉臣之意，君其耳而未之目邪？」《漢書．卷九七．外戚傳上．孝景王皇后》：「又耳曩者所夢日符，計未有所定。」_x000D_
[助]_x000D_
1.位於句末，表肯定的意思。相當於「矣」、「啊」、「了」。《史記．卷一一〇．匈奴列傳》：「且所給備善則已；不備，苦惡，則候秋孰，以騎馳蹂而稼穡耳。」《宋史．卷三二一．列傳．豐稷》：「巨浸連天，風濤固其常耳，憑仗威靈，尚何畏！」_x000D_
2.位於句末，表限制的意思。相當於「而已」、「罷了」。《論語．陽貨》：「二三子，偃之言是也！前言戲之耳。」《聊齋志異．卷一一．陳雲棲》：「怙恃俱失，暫寄此耳。」 |</v>
      </c>
    </row>
    <row r="11983" spans="1:44" hidden="1">
      <c r="A11983" s="1" t="s">
        <v>24738</v>
      </c>
      <c r="C11983" s="1">
        <v>1</v>
      </c>
      <c r="D11983" s="1" t="str">
        <f>"10467"</f>
        <v>10467</v>
      </c>
      <c r="E11983" s="1" t="s">
        <v>129</v>
      </c>
      <c r="F11983" s="1">
        <v>9</v>
      </c>
      <c r="G11983" s="1">
        <v>6</v>
      </c>
      <c r="H11983" s="1">
        <v>0</v>
      </c>
      <c r="I11983" s="1" t="s">
        <v>24735</v>
      </c>
      <c r="K11983" s="1" t="str">
        <f t="shared" si="759"/>
        <v>ㄦ</v>
      </c>
      <c r="M11983" s="1" t="str">
        <f t="shared" si="760"/>
        <v/>
      </c>
      <c r="N11983" s="3" t="s">
        <v>30576</v>
      </c>
      <c r="O11983" s="3"/>
      <c r="P11983" s="1" t="s">
        <v>20</v>
      </c>
      <c r="R11983" s="1" t="s">
        <v>24736</v>
      </c>
      <c r="V11983" s="1" t="s">
        <v>24739</v>
      </c>
      <c r="AR11983" s="1" t="str">
        <f t="shared" si="761"/>
        <v>| [ㄦˇ](ㄦˇ.md) | [洱](洱.md) |  | ěr | 參見「洱海」條。 |</v>
      </c>
    </row>
    <row r="11984" spans="1:44" ht="356.4" hidden="1">
      <c r="A11984" s="1" t="s">
        <v>24740</v>
      </c>
      <c r="C11984" s="1">
        <v>1</v>
      </c>
      <c r="D11984" s="1" t="str">
        <f>"10468"</f>
        <v>10468</v>
      </c>
      <c r="E11984" s="1" t="s">
        <v>142</v>
      </c>
      <c r="F11984" s="1">
        <v>10</v>
      </c>
      <c r="G11984" s="1">
        <v>6</v>
      </c>
      <c r="H11984" s="1">
        <v>0</v>
      </c>
      <c r="I11984" s="1" t="s">
        <v>24735</v>
      </c>
      <c r="K11984" s="1" t="str">
        <f t="shared" si="759"/>
        <v>ㄦ</v>
      </c>
      <c r="M11984" s="1" t="str">
        <f t="shared" si="760"/>
        <v/>
      </c>
      <c r="N11984" s="3" t="s">
        <v>30576</v>
      </c>
      <c r="O11984" s="3"/>
      <c r="P11984" s="1" t="s">
        <v>20</v>
      </c>
      <c r="R11984" s="1" t="s">
        <v>24736</v>
      </c>
      <c r="V11984" s="4" t="s">
        <v>24741</v>
      </c>
      <c r="AR11984" s="1" t="str">
        <f t="shared" si="761"/>
        <v>| [ㄦˇ](ㄦˇ.md) | [珥](珥.md) |  | ěr | [名]
1.用珠玉作成的耳環。《漢書．卷六五．東方朔傳》：「主乃下殿，去簪珥，徒跣。」晉．張華〈輕薄篇〉：「簪珥咸墮落，冠冕皆傾邪。」
2.劍柄上突出似兩耳的部分。《楚辭．屈原．九歌．東皇太一》：「撫長劍兮玉珥，璆鏘鳴兮琳琅。」
3.日、月周圍的光暈。《呂氏春秋．季夏紀．明理》：「其日有鬥蝕，有倍僪，有暈珥。」《隋書．卷二一．天文志下》：「月暈有兩珥，白虹貫之。」
[動]
1.插、戴。《文選．曹植．求通親親表》：「安宅京室，執鞭珥筆。」《新唐書．卷二二〇．東夷傳．高麗傳》：「大臣青羅冠，次絳羅，珥兩鳥羽。」
2.吐。《淮南子．天文》：「鯨魚死而彗星出，蠶珥絲而商絃絕。」
3.古代狩獵時依割取獸耳的數目呈報功績。通「刵」。《周禮．地官．山虞》：「植虞旗于中，致禽而珥焉。」 |</v>
      </c>
    </row>
    <row r="11985" spans="1:44" hidden="1">
      <c r="A11985" s="1" t="s">
        <v>24742</v>
      </c>
      <c r="C11985" s="1">
        <v>1</v>
      </c>
      <c r="D11985" s="1" t="str">
        <f>"10469"</f>
        <v>10469</v>
      </c>
      <c r="E11985" s="1" t="s">
        <v>55</v>
      </c>
      <c r="F11985" s="1">
        <v>14</v>
      </c>
      <c r="G11985" s="1">
        <v>6</v>
      </c>
      <c r="H11985" s="1">
        <v>1</v>
      </c>
      <c r="I11985" s="1" t="s">
        <v>24735</v>
      </c>
      <c r="K11985" s="1" t="str">
        <f t="shared" si="759"/>
        <v>ㄦ</v>
      </c>
      <c r="M11985" s="1" t="str">
        <f t="shared" si="760"/>
        <v/>
      </c>
      <c r="N11985" s="3" t="s">
        <v>30576</v>
      </c>
      <c r="O11985" s="3"/>
      <c r="P11985" s="1" t="s">
        <v>20</v>
      </c>
      <c r="R11985" s="1" t="s">
        <v>24736</v>
      </c>
      <c r="V11985" s="1" t="s">
        <v>24743</v>
      </c>
      <c r="W11985" s="1" t="s">
        <v>24744</v>
      </c>
      <c r="AR11985" s="1" t="str">
        <f t="shared" si="761"/>
        <v>| [ㄦˇ](ㄦˇ.md) | [鉺](鉺.md) |  | ěr | [名]
（erbium，Er）化學元素。原子序68。稀土金屬元素之一。存於火成岩中，具銀色光澤，質軟，能使水分解。 |</v>
      </c>
    </row>
    <row r="11986" spans="1:44" hidden="1">
      <c r="A11986" s="1" t="s">
        <v>24745</v>
      </c>
      <c r="C11986" s="1">
        <v>1</v>
      </c>
      <c r="D11986" s="1" t="str">
        <f>"10470"</f>
        <v>10470</v>
      </c>
      <c r="E11986" s="1" t="s">
        <v>193</v>
      </c>
      <c r="F11986" s="1">
        <v>14</v>
      </c>
      <c r="G11986" s="1">
        <v>6</v>
      </c>
      <c r="H11986" s="1">
        <v>0</v>
      </c>
      <c r="I11986" s="1" t="s">
        <v>24735</v>
      </c>
      <c r="K11986" s="1" t="str">
        <f t="shared" si="759"/>
        <v>ㄦ</v>
      </c>
      <c r="M11986" s="1" t="str">
        <f t="shared" si="760"/>
        <v/>
      </c>
      <c r="N11986" s="3" t="s">
        <v>30576</v>
      </c>
      <c r="O11986" s="3"/>
      <c r="P11986" s="1" t="s">
        <v>20</v>
      </c>
      <c r="R11986" s="1" t="s">
        <v>24736</v>
      </c>
      <c r="V11986" s="1" t="s">
        <v>24746</v>
      </c>
      <c r="AR11986" s="1" t="str">
        <f t="shared" si="761"/>
        <v>| [ㄦˇ](ㄦˇ.md) | [餌](餌.md) |  | ěr | [名]_x000D_
1.麵粉類製成的糕餅食品。《周禮．天官冢宰．籩人》：「羞籩之實，糗餌粉餈。」《後漢書．卷七七．酷吏列傳．樊曄》：「曄為市吏，餽餌一笥。」_x000D_
2.泛指各種食品或藥品。如：「果餌」、「藥餌」。唐．柳宗元〈捕蛇者說〉：「然得而腊之以為餌，可以已大風、攣踠、瘻、癘。」《水滸傳》第六五回：「外使敷貼之餌，內用長托之劑。」_x000D_
3.釣魚或誘捕其他動物的食物。《莊子．外物》：「任公子為大鉤巨緇，五十犗以為餌，蹲乎會稽，投竿東海。」唐．杜甫〈春水〉詩：「接縷垂芳餌，連筒灌小園。」_x000D_
4.引誘人的事物。《淮南子．俶真》：「是故以道為竿，以德為綸，禮樂為鉤，仁義為餌。」《漢書．卷四八．賈誼傳》：「制國而令子適足以為餌，豈可謂工哉！」_x000D_
[動]_x000D_
1.吃。《後漢書．卷二四．馬援列傳》：「初，援在交阯，常餌薏苡實，用能輕身省慾，以勝瘴氣。」三國魏．嵇康〈與山巨源絕交書〉：「餌朮黃精，令人久壽。」_x000D_
2.引誘。《戰國策．秦策二》：「我羈旅而得相秦者，我以宜陽餌王。」《三國志．卷一．魏書．武帝紀》：「此所以餌敵，如何去之！」 |</v>
      </c>
    </row>
    <row r="11987" spans="1:44" hidden="1">
      <c r="A11987" s="1" t="s">
        <v>24747</v>
      </c>
      <c r="C11987" s="1">
        <v>1</v>
      </c>
      <c r="D11987" s="1" t="str">
        <f>"10471"</f>
        <v>10471</v>
      </c>
      <c r="E11987" s="1" t="s">
        <v>319</v>
      </c>
      <c r="F11987" s="1">
        <v>16</v>
      </c>
      <c r="G11987" s="1">
        <v>6</v>
      </c>
      <c r="H11987" s="1">
        <v>0</v>
      </c>
      <c r="I11987" s="1" t="s">
        <v>24735</v>
      </c>
      <c r="K11987" s="1" t="str">
        <f t="shared" si="759"/>
        <v>ㄦ</v>
      </c>
      <c r="M11987" s="1" t="str">
        <f t="shared" si="760"/>
        <v/>
      </c>
      <c r="N11987" s="3" t="s">
        <v>30576</v>
      </c>
      <c r="O11987" s="3"/>
      <c r="P11987" s="1" t="s">
        <v>20</v>
      </c>
      <c r="R11987" s="1" t="s">
        <v>24736</v>
      </c>
      <c r="V11987" s="1" t="s">
        <v>9180</v>
      </c>
      <c r="AR11987" s="1" t="str">
        <f t="shared" si="761"/>
        <v>| [ㄦˇ](ㄦˇ.md) | [駬](駬.md) |  | ěr | 參見「騄駬」條。 |</v>
      </c>
    </row>
    <row r="11988" spans="1:44" hidden="1">
      <c r="A11988" s="1" t="s">
        <v>24748</v>
      </c>
      <c r="C11988" s="1">
        <v>1</v>
      </c>
      <c r="D11988" s="1" t="str">
        <f>"10472"</f>
        <v>10472</v>
      </c>
      <c r="E11988" s="1" t="s">
        <v>16671</v>
      </c>
      <c r="F11988" s="1">
        <v>14</v>
      </c>
      <c r="G11988" s="1">
        <v>10</v>
      </c>
      <c r="H11988" s="1">
        <v>0</v>
      </c>
      <c r="I11988" s="1" t="s">
        <v>24735</v>
      </c>
      <c r="K11988" s="1" t="str">
        <f t="shared" si="759"/>
        <v>ㄦ</v>
      </c>
      <c r="M11988" s="1" t="str">
        <f t="shared" si="760"/>
        <v/>
      </c>
      <c r="N11988" s="3" t="s">
        <v>30576</v>
      </c>
      <c r="O11988" s="3"/>
      <c r="P11988" s="1" t="s">
        <v>20</v>
      </c>
      <c r="R11988" s="1" t="s">
        <v>24736</v>
      </c>
      <c r="V11988" s="1" t="s">
        <v>24749</v>
      </c>
      <c r="AR11988" s="1" t="str">
        <f t="shared" si="761"/>
        <v>| [ㄦˇ](ㄦˇ.md) | [爾](爾.md) |  | ěr | [代]
1.第二人稱代名詞，相當於「汝」、「你」。如：「爾虞我詐」。《詩經．衛風．氓》：「爾卜爾筮，體無咎言，以爾車來，以我賄遷。」
2.此、這個。《禮記．檀弓上》：「夫子何善爾也？」
3.如此、這樣。南朝宋．劉義慶《世說新語．任誕》：「人或怪之，答曰：『未能免俗，聊復爾耳。』」清．蔣士銓〈鳴機夜課圖記〉：「妹一兒也，何苦乃爾。」
[形]
此、這。如：「爾後」、「爾時」。南朝宋．劉義慶《世說新語．賞譽》：「許掾嘗詣簡文，爾夜風恬月朗，乃共作曲室中語。」
[副]
表示程度，相當於「如此的」、「這樣的」。《孟子．告子上》：「凶歲，子弟多暴，非天之降才爾殊也。」唐．李白〈戰城南〉：「士卒塗草莽，將軍空爾為。」
[助]
1.語尾助詞，無義。《論語．陽貨》：「子之武城，聞絃歌之聲，夫子莞爾而笑。」
2.如此、而已。如：「不過爾爾」。《公羊傳．僖公三十一年》：「不崇朝而遍雨乎天下者，唯泰山爾。」
3.位於句末，表示肯定的意思。同「矣」。《公羊傳．宣公十五年》：「盡此不勝，將去而歸爾。」
4.表示疑問的語氣。同「乎」。《公羊傳．隱公元年》：「然則何言爾？成公意也。」 |</v>
      </c>
    </row>
    <row r="11989" spans="1:44" hidden="1">
      <c r="A11989" s="1" t="s">
        <v>24750</v>
      </c>
      <c r="C11989" s="1">
        <v>1</v>
      </c>
      <c r="D11989" s="1" t="str">
        <f>"10473"</f>
        <v>10473</v>
      </c>
      <c r="E11989" s="1" t="s">
        <v>558</v>
      </c>
      <c r="F11989" s="1">
        <v>18</v>
      </c>
      <c r="G11989" s="1">
        <v>14</v>
      </c>
      <c r="H11989" s="1">
        <v>0</v>
      </c>
      <c r="I11989" s="1" t="s">
        <v>24735</v>
      </c>
      <c r="K11989" s="1" t="str">
        <f t="shared" si="759"/>
        <v>ㄦ</v>
      </c>
      <c r="M11989" s="1" t="str">
        <f t="shared" si="760"/>
        <v/>
      </c>
      <c r="N11989" s="3" t="s">
        <v>30576</v>
      </c>
      <c r="O11989" s="3"/>
      <c r="P11989" s="1" t="s">
        <v>20</v>
      </c>
      <c r="R11989" s="1" t="s">
        <v>24736</v>
      </c>
      <c r="V11989" s="1" t="s">
        <v>24751</v>
      </c>
      <c r="AR11989" s="1" t="str">
        <f t="shared" si="761"/>
        <v>| [ㄦˇ](ㄦˇ.md) | [邇](邇.md) |  | ěr | [名]
近處、眼前。如：「名聞遐邇」。《紅樓夢》第一八回：「展眼元宵在邇，自正月初八日，就有太監出來先看方向。」
[動]
接近、親近。《書經．仲虺之語》：「惟王不邇聲色，不殖貨利。」唐．韓愈〈釋言〉：「夫聰明則聽視不惑，公正則不邇讒邪。」
[形]
親近的。《左傳．昭公三十年》：「吳子唁而送之，使其邇臣從之。」 |</v>
      </c>
    </row>
    <row r="11990" spans="1:44" hidden="1">
      <c r="A11990" s="1" t="s">
        <v>24770</v>
      </c>
      <c r="C11990" s="1">
        <v>1</v>
      </c>
      <c r="D11990" s="1" t="str">
        <f>"10482"</f>
        <v>10482</v>
      </c>
      <c r="E11990" s="1" t="s">
        <v>789</v>
      </c>
      <c r="F11990" s="1">
        <v>1</v>
      </c>
      <c r="G11990" s="1">
        <v>0</v>
      </c>
      <c r="H11990" s="1">
        <v>0</v>
      </c>
      <c r="I11990" s="1" t="s">
        <v>24771</v>
      </c>
      <c r="K11990" s="1" t="str">
        <f t="shared" si="759"/>
        <v>ㄧ</v>
      </c>
      <c r="L11990" s="1" t="str">
        <f t="shared" ref="L11990:L12021" si="762">MID(I11990, 2, 1)</f>
        <v/>
      </c>
      <c r="M11990" s="1" t="str">
        <f t="shared" si="760"/>
        <v/>
      </c>
      <c r="P11990" s="1" t="s">
        <v>20</v>
      </c>
      <c r="R11990" s="1" t="s">
        <v>24772</v>
      </c>
      <c r="V11990" s="1" t="s">
        <v>24773</v>
      </c>
      <c r="AR11990" s="1" t="str">
        <f t="shared" si="761"/>
        <v>| [ㄧ](ㄧ.md) | [一](一.md) |  | yī | [名]_x000D_
1.自然數的開始。如：「一、二、三……。」大寫作「壹」。阿拉伯數字作「1」。_x000D_
2.姓。如明代有一炫宗。_x000D_
3.二一四部首之一。_x000D_
[形]_x000D_
1.單個。如：「一人」、「一物兩用」。_x000D_
2.相同、一致。如：「一模一樣」、「大小不一」。_x000D_
3.專注的。如：「一心一意」、「專一不變」。_x000D_
4.全、滿、整。如：「一身是汗」、「一屋子人」、「一身是膽」。_x000D_
5.每、各。如：「一班五十人」、「一頁六百字」、「共派八隊，一隊二十人。」_x000D_
6.一次。如：「一而再，再而三。」《禮記．中庸》：「人一能之，己百之。」_x000D_
7.另外的。如：「蟬，一名知了。」、「番茄，一名西紅柿。」_x000D_
[動]_x000D_
統一。《孟子．梁惠王上》：「不嗜殺人者能一之。」_x000D_
[副]_x000D_
1.才、剛剛。如：「一聽就懂」、「天一亮，他就起來。」_x000D_
2.偶然。如：「一不小心」、「一不留神」。_x000D_
3.表示加強的動作或突然的現象。如：「把頭一扭」、「用手一摸」、「天氣一涼，就感冒了。」_x000D_
4.概括。如：「一般來說」。_x000D_
5.每每、每逢。如：「一想到那件事，她總是笑個不停。」_x000D_
6.放在二疊字動詞之間，表行為是不費力或嘗試性的。如：「雙手動一動」、「問一問」、「隨便說一說」。_x000D_
7.事物的某方面。如：「一則以喜，一則以憂。」、「一不沾親，二不帶故。」_x000D_
8.竟、乃。表示事出意外。如：「一至於斯」。《史記．卷六八．商君傳》：「嗟乎，為法之敝一至此哉！」_x000D_
9.皆。《荀子．勸學》：「端而言，蠕而動，一可以為法則。」_x000D_
[助]_x000D_
表示程度，加強語氣。《文選．古詩十九首．西北有高樓》：「上有絃歌聲，音響一何悲。」《戰國策．燕策一》：「因仰而弔齊王桉戈而郤曰：『此一何慶弔相隨之速也？』」_x000D_
[連]_x000D_
或。《莊子．應帝王》：「泰氏其臥徐徐，其覺于于，一以己為馬，一以己為牛。」_x000D_
（「一」字單用或在一詞一句的末尾，念陰平聲；在去聲字前，念陽平聲；在陰平、陽平、上聲之前，念去聲。） |</v>
      </c>
    </row>
    <row r="11991" spans="1:44" hidden="1">
      <c r="A11991" s="1" t="s">
        <v>24774</v>
      </c>
      <c r="C11991" s="1">
        <v>1</v>
      </c>
      <c r="D11991" s="1" t="str">
        <f>"10483"</f>
        <v>10483</v>
      </c>
      <c r="E11991" s="1" t="s">
        <v>340</v>
      </c>
      <c r="F11991" s="1">
        <v>6</v>
      </c>
      <c r="G11991" s="1">
        <v>0</v>
      </c>
      <c r="H11991" s="1">
        <v>1</v>
      </c>
      <c r="I11991" s="1" t="s">
        <v>24771</v>
      </c>
      <c r="K11991" s="1" t="str">
        <f t="shared" si="759"/>
        <v>ㄧ</v>
      </c>
      <c r="L11991" s="1" t="str">
        <f t="shared" si="762"/>
        <v/>
      </c>
      <c r="M11991" s="1" t="str">
        <f t="shared" si="760"/>
        <v/>
      </c>
      <c r="P11991" s="1" t="s">
        <v>20</v>
      </c>
      <c r="R11991" s="1" t="s">
        <v>24772</v>
      </c>
      <c r="V11991" s="1" t="s">
        <v>24775</v>
      </c>
      <c r="W11991" s="1" t="s">
        <v>24776</v>
      </c>
      <c r="AR11991" s="1" t="str">
        <f t="shared" si="761"/>
        <v>| [ㄧ](ㄧ.md) | [衣](衣.md) |  | yī | [名]
1.用布帛、皮革或各種纖維材質等做成。穿著在身上，用以遮蔽身體、防熱禦寒。通常古多指上衣。《詩經．邶風．綠衣》：「綠兮衣兮，綠衣黃裳」漢．毛亨．傳：「上曰衣，下曰裳。」漢．揚雄《法言．修身》：「惜乎衣未成而轉為裳也。」今或泛指衣服。如：「毛衣」、「雨衣」、「成衣」、「衣不蔽體」。《詩經．豳風．七月》：「無衣無褐，何以卒歲？」
2.包覆在物體外的東西。如：「書衣」、「胞衣」、「糖衣藥丸」。
3.蔬菜、果實外的薄皮。也指表皮的霜粉。唐．李建勳〈宿友人山居寄司徒相公〉詩二首之一：「隔紙烘茶蕊，移鐺剝芋衣。」宋．莊綽《雞肋編》卷上：「京師賣生果，凡李子必摘其蒂，不敢觸其實，必留上衣，令勃勃然，人方以新而為好。至食者須雪去之。」
4.特指苔蘚等延貼地面、岩石或樹皮上生長的隱花植物。如：「苔衣」、「地衣」。唐．白居易〈營閒事〉詩：「暖變牆衣色，晴催木筆花。」
5.姓。如明代有衣守信。
6.二一四部首之一。 |</v>
      </c>
    </row>
    <row r="11992" spans="1:44" hidden="1">
      <c r="A11992" s="1" t="s">
        <v>24777</v>
      </c>
      <c r="C11992" s="1">
        <v>1</v>
      </c>
      <c r="D11992" s="1" t="str">
        <f>"10484"</f>
        <v>10484</v>
      </c>
      <c r="E11992" s="1" t="s">
        <v>114</v>
      </c>
      <c r="F11992" s="1">
        <v>8</v>
      </c>
      <c r="G11992" s="1">
        <v>6</v>
      </c>
      <c r="H11992" s="1">
        <v>0</v>
      </c>
      <c r="I11992" s="1" t="s">
        <v>24771</v>
      </c>
      <c r="K11992" s="1" t="str">
        <f t="shared" si="759"/>
        <v>ㄧ</v>
      </c>
      <c r="L11992" s="1" t="str">
        <f t="shared" si="762"/>
        <v/>
      </c>
      <c r="M11992" s="1" t="str">
        <f t="shared" si="760"/>
        <v/>
      </c>
      <c r="P11992" s="1" t="s">
        <v>20</v>
      </c>
      <c r="R11992" s="1" t="s">
        <v>24772</v>
      </c>
      <c r="V11992" s="1" t="s">
        <v>24778</v>
      </c>
      <c r="AR11992" s="1" t="str">
        <f t="shared" si="761"/>
        <v>| [ㄧ](ㄧ.md) | [依](依.md) |  | yī | [動]
1.靠著、倚傍。《說文解字．人部》：「依，倚也。」如：「依山傍水」。唐．王之渙〈登鸛雀樓〉詩：「白日依山盡，黃河入海流。」
2.倚靠、倚託。如：「相依為命」。《史記．卷一一七．司馬相如傳》：「長卿故倦游，雖貧，其人材足依也。」《文選．曹操．短歌行》：「繞樹三匝，何枝可依。」
3.按照、遵循。如：「依次」、「依樣畫葫蘆」。《楚辭．屈原．離騷》：「雖不周於今之人兮，願依彭咸之遺則。」
4.聽從、順從。如：「咱們就依著他的話吧！」《莊子．養生主》：「依乎天理，批大卻，導大窾。」
[副]
情況沒改變、老樣子。如：「依然故我」。唐．方干〈獻王大夫〉詩二首之二：「歷任聖朝清峻地，至今依是少年身。」 |</v>
      </c>
    </row>
    <row r="11993" spans="1:44" hidden="1">
      <c r="A11993" s="1" t="s">
        <v>24779</v>
      </c>
      <c r="C11993" s="1">
        <v>1</v>
      </c>
      <c r="D11993" s="1" t="str">
        <f>"10485"</f>
        <v>10485</v>
      </c>
      <c r="E11993" s="1" t="s">
        <v>55</v>
      </c>
      <c r="F11993" s="1">
        <v>14</v>
      </c>
      <c r="G11993" s="1">
        <v>6</v>
      </c>
      <c r="H11993" s="1">
        <v>0</v>
      </c>
      <c r="I11993" s="1" t="s">
        <v>24771</v>
      </c>
      <c r="K11993" s="1" t="str">
        <f t="shared" si="759"/>
        <v>ㄧ</v>
      </c>
      <c r="L11993" s="1" t="str">
        <f t="shared" si="762"/>
        <v/>
      </c>
      <c r="M11993" s="1" t="str">
        <f t="shared" si="760"/>
        <v/>
      </c>
      <c r="P11993" s="1" t="s">
        <v>20</v>
      </c>
      <c r="R11993" s="1" t="s">
        <v>24772</v>
      </c>
      <c r="V11993" s="1" t="s">
        <v>24780</v>
      </c>
      <c r="AR11993" s="1" t="str">
        <f t="shared" si="761"/>
        <v>| [ㄧ](ㄧ.md) | [銥](銥.md) |  | yī | [名]
（iridium，Ir）化學元素。原子序77。銀白色金屬，化學性質穩定，在王水中也不溶解。銥合金堅硬耐磨，可用來製造科學儀器、熱電阻及金筆筆尖等。 |</v>
      </c>
    </row>
    <row r="11994" spans="1:44" ht="405" hidden="1">
      <c r="A11994" s="1" t="s">
        <v>24781</v>
      </c>
      <c r="C11994" s="1">
        <v>1</v>
      </c>
      <c r="D11994" s="1" t="str">
        <f>"10486"</f>
        <v>10486</v>
      </c>
      <c r="E11994" s="1" t="s">
        <v>114</v>
      </c>
      <c r="F11994" s="1">
        <v>6</v>
      </c>
      <c r="G11994" s="1">
        <v>4</v>
      </c>
      <c r="H11994" s="1">
        <v>0</v>
      </c>
      <c r="I11994" s="1" t="s">
        <v>24771</v>
      </c>
      <c r="K11994" s="1" t="str">
        <f t="shared" si="759"/>
        <v>ㄧ</v>
      </c>
      <c r="L11994" s="1" t="str">
        <f t="shared" si="762"/>
        <v/>
      </c>
      <c r="M11994" s="1" t="str">
        <f t="shared" si="760"/>
        <v/>
      </c>
      <c r="P11994" s="1" t="s">
        <v>20</v>
      </c>
      <c r="R11994" s="1" t="s">
        <v>24772</v>
      </c>
      <c r="V11994" s="4" t="s">
        <v>24782</v>
      </c>
      <c r="AR11994" s="1" t="str">
        <f t="shared" si="761"/>
        <v>| [ㄧ](ㄧ.md) | [伊](伊.md) |  | yī | [代]
1.第三人稱代名詞，相當於「彼」、「他」。《詩經．秦風．蒹葭》：「所謂伊人，在水一方。」宋．柳永〈蝶戀花．獨倚危樓風細細〉詞：「衣帶漸寬終不悔，為伊消得人憔悴。」
2.第二人稱代名詞，相當於「你」。《董西廂》卷七：「我於伊志誠沒倦怠，你於我堅心莫更改。」元．佚名《馬陵道》第三折：「我這裡吐膽傾心說與伊，難道你不解其中意。」
[動]
表示肯定，相當於「是」。《詩經．小雅．蓼莪》：「蓼蓼者莪，匪莪伊蒿。」《後漢書．卷七八．宦者傳．孫程傳》：「昔衛鞅因景監以見，有識知其不終。今得臣舉者，匪榮伊辱。」
[助]
1.發語詞，無義。《詩經．邶風．谷風》：「不念昔者，伊余來塈。」《文選．陸機．文賦》：「伊茲事之可樂，固聖賢之所欽。」
2.文言助詞，表示「剛剛」的意思。如：「就職伊始」、「開幕伊始」。
[名]
姓。如商朝有伊尹。 |</v>
      </c>
    </row>
    <row r="11995" spans="1:44" hidden="1">
      <c r="A11995" s="1" t="s">
        <v>24783</v>
      </c>
      <c r="C11995" s="1">
        <v>1</v>
      </c>
      <c r="D11995" s="1" t="str">
        <f>"10487"</f>
        <v>10487</v>
      </c>
      <c r="E11995" s="1" t="s">
        <v>28</v>
      </c>
      <c r="F11995" s="1">
        <v>9</v>
      </c>
      <c r="G11995" s="1">
        <v>6</v>
      </c>
      <c r="H11995" s="1">
        <v>0</v>
      </c>
      <c r="I11995" s="1" t="s">
        <v>24771</v>
      </c>
      <c r="K11995" s="1" t="str">
        <f t="shared" si="759"/>
        <v>ㄧ</v>
      </c>
      <c r="L11995" s="1" t="str">
        <f t="shared" si="762"/>
        <v/>
      </c>
      <c r="M11995" s="1" t="str">
        <f t="shared" si="760"/>
        <v/>
      </c>
      <c r="P11995" s="1" t="s">
        <v>20</v>
      </c>
      <c r="R11995" s="1" t="s">
        <v>24772</v>
      </c>
      <c r="V11995" s="1" t="s">
        <v>24784</v>
      </c>
      <c r="AR11995" s="1" t="str">
        <f t="shared" si="761"/>
        <v>| [ㄧ](ㄧ.md) | [咿](咿.md) |  | yī | [擬]
形容人所發出無意義的聲音。參見「咿咿」、「咿喔」、「咿啞」等條。
[副]
參見「喔咿嚅唲」條。 |</v>
      </c>
    </row>
    <row r="11996" spans="1:44" hidden="1">
      <c r="A11996" s="1" t="s">
        <v>24785</v>
      </c>
      <c r="C11996" s="1">
        <v>1</v>
      </c>
      <c r="D11996" s="1" t="str">
        <f>"10488"</f>
        <v>10488</v>
      </c>
      <c r="E11996" s="1" t="s">
        <v>679</v>
      </c>
      <c r="F11996" s="1">
        <v>12</v>
      </c>
      <c r="G11996" s="1">
        <v>6</v>
      </c>
      <c r="H11996" s="1">
        <v>0</v>
      </c>
      <c r="I11996" s="1" t="s">
        <v>24771</v>
      </c>
      <c r="K11996" s="1" t="str">
        <f t="shared" si="759"/>
        <v>ㄧ</v>
      </c>
      <c r="L11996" s="1" t="str">
        <f t="shared" si="762"/>
        <v/>
      </c>
      <c r="M11996" s="1" t="str">
        <f t="shared" si="760"/>
        <v/>
      </c>
      <c r="P11996" s="1" t="s">
        <v>20</v>
      </c>
      <c r="R11996" s="1" t="s">
        <v>24772</v>
      </c>
      <c r="V11996" s="1" t="s">
        <v>24786</v>
      </c>
      <c r="AR11996" s="1" t="str">
        <f t="shared" si="761"/>
        <v>| [ㄧ](ㄧ.md) | [蛜](蛜.md) |  | yī | 參見「蛜威」條。 |</v>
      </c>
    </row>
    <row r="11997" spans="1:44" hidden="1">
      <c r="A11997" s="1" t="s">
        <v>24787</v>
      </c>
      <c r="C11997" s="1">
        <v>1</v>
      </c>
      <c r="D11997" s="1" t="str">
        <f>"10489"</f>
        <v>10489</v>
      </c>
      <c r="E11997" s="1" t="s">
        <v>5505</v>
      </c>
      <c r="F11997" s="1">
        <v>11</v>
      </c>
      <c r="G11997" s="1">
        <v>7</v>
      </c>
      <c r="H11997" s="1">
        <v>0</v>
      </c>
      <c r="I11997" s="1" t="s">
        <v>24771</v>
      </c>
      <c r="K11997" s="1" t="str">
        <f t="shared" si="759"/>
        <v>ㄧ</v>
      </c>
      <c r="L11997" s="1" t="str">
        <f t="shared" si="762"/>
        <v/>
      </c>
      <c r="M11997" s="1" t="str">
        <f t="shared" si="760"/>
        <v/>
      </c>
      <c r="P11997" s="1" t="s">
        <v>20</v>
      </c>
      <c r="R11997" s="1" t="s">
        <v>24772</v>
      </c>
      <c r="V11997" s="1" t="s">
        <v>24788</v>
      </c>
      <c r="AR11997" s="1" t="str">
        <f t="shared" si="761"/>
        <v>| [ㄧ](ㄧ.md) | [殹](殹.md) |  | yī | [名]
呻吟的聲音。見《說文解字．殳部》「殹」字．清．段玉裁．注。
[助]
用於句中或句末。相當於「兮」、「也」。《馬王堆漢墓帛書．經法．道法》：「法者，引得失以繩，而明曲直者殹。」 |</v>
      </c>
    </row>
    <row r="11998" spans="1:44" hidden="1">
      <c r="A11998" s="1" t="s">
        <v>24789</v>
      </c>
      <c r="C11998" s="1">
        <v>1</v>
      </c>
      <c r="D11998" s="1" t="str">
        <f>"10490"</f>
        <v>10490</v>
      </c>
      <c r="E11998" s="1" t="s">
        <v>534</v>
      </c>
      <c r="F11998" s="1">
        <v>14</v>
      </c>
      <c r="G11998" s="1">
        <v>11</v>
      </c>
      <c r="H11998" s="1">
        <v>0</v>
      </c>
      <c r="I11998" s="1" t="s">
        <v>24771</v>
      </c>
      <c r="K11998" s="1" t="str">
        <f t="shared" si="759"/>
        <v>ㄧ</v>
      </c>
      <c r="L11998" s="1" t="str">
        <f t="shared" si="762"/>
        <v/>
      </c>
      <c r="M11998" s="1" t="str">
        <f t="shared" si="760"/>
        <v/>
      </c>
      <c r="P11998" s="1" t="s">
        <v>20</v>
      </c>
      <c r="R11998" s="1" t="s">
        <v>24772</v>
      </c>
      <c r="V11998" s="1" t="s">
        <v>7363</v>
      </c>
      <c r="AR11998" s="1" t="str">
        <f t="shared" si="761"/>
        <v>| [ㄧ](ㄧ.md) | [嫛](嫛.md) |  | yī | 參見「嫛婗」條。 |</v>
      </c>
    </row>
    <row r="11999" spans="1:44" hidden="1">
      <c r="A11999" s="1" t="s">
        <v>24790</v>
      </c>
      <c r="C11999" s="1">
        <v>1</v>
      </c>
      <c r="D11999" s="1" t="str">
        <f>"10491"</f>
        <v>10491</v>
      </c>
      <c r="E11999" s="1" t="s">
        <v>142</v>
      </c>
      <c r="F11999" s="1">
        <v>16</v>
      </c>
      <c r="G11999" s="1">
        <v>11</v>
      </c>
      <c r="H11999" s="1">
        <v>0</v>
      </c>
      <c r="I11999" s="1" t="s">
        <v>24771</v>
      </c>
      <c r="K11999" s="1" t="str">
        <f t="shared" si="759"/>
        <v>ㄧ</v>
      </c>
      <c r="L11999" s="1" t="str">
        <f t="shared" si="762"/>
        <v/>
      </c>
      <c r="M11999" s="1" t="str">
        <f t="shared" si="760"/>
        <v/>
      </c>
      <c r="P11999" s="1" t="s">
        <v>20</v>
      </c>
      <c r="R11999" s="1" t="s">
        <v>24772</v>
      </c>
      <c r="V11999" s="1" t="s">
        <v>24791</v>
      </c>
      <c r="AR11999" s="1" t="str">
        <f t="shared" si="761"/>
        <v>| [ㄧ](ㄧ.md) | [瑿](瑿.md) |  | yī | [名]
1.黑色的玉石。《字彙．玉部》：「瑿，黑玉。」
2.黑色的琥珀。明．宋應星《天工開物．卷下．珠玉》：「琥珀最貴者名曰瑿，紅而微帶黑，然晝見則黑，燈光下則紅甚也。」 |</v>
      </c>
    </row>
    <row r="12000" spans="1:44" hidden="1">
      <c r="A12000" s="1" t="s">
        <v>24792</v>
      </c>
      <c r="C12000" s="1">
        <v>1</v>
      </c>
      <c r="D12000" s="1" t="str">
        <f>"10492"</f>
        <v>10492</v>
      </c>
      <c r="E12000" s="1" t="s">
        <v>2271</v>
      </c>
      <c r="F12000" s="1">
        <v>17</v>
      </c>
      <c r="G12000" s="1">
        <v>11</v>
      </c>
      <c r="H12000" s="1">
        <v>2</v>
      </c>
      <c r="I12000" s="1" t="s">
        <v>24771</v>
      </c>
      <c r="K12000" s="1" t="str">
        <f t="shared" si="759"/>
        <v>ㄧ</v>
      </c>
      <c r="L12000" s="1" t="str">
        <f t="shared" si="762"/>
        <v/>
      </c>
      <c r="M12000" s="1" t="str">
        <f t="shared" si="760"/>
        <v/>
      </c>
      <c r="P12000" s="1" t="s">
        <v>110</v>
      </c>
      <c r="R12000" s="1" t="s">
        <v>24772</v>
      </c>
      <c r="V12000" s="1" t="s">
        <v>111</v>
      </c>
      <c r="W12000" s="1" t="s">
        <v>24793</v>
      </c>
      <c r="AR12000" s="1" t="str">
        <f t="shared" si="761"/>
        <v>| [ㄧ](ㄧ.md) | [翳](翳.md) |  | yī | (一)之又音。 |</v>
      </c>
    </row>
    <row r="12001" spans="1:44" ht="145.80000000000001" hidden="1">
      <c r="A12001" s="1" t="s">
        <v>24794</v>
      </c>
      <c r="C12001" s="1">
        <v>1</v>
      </c>
      <c r="D12001" s="1" t="str">
        <f>"10493"</f>
        <v>10493</v>
      </c>
      <c r="E12001" s="1" t="s">
        <v>725</v>
      </c>
      <c r="F12001" s="1">
        <v>17</v>
      </c>
      <c r="G12001" s="1">
        <v>11</v>
      </c>
      <c r="H12001" s="1">
        <v>0</v>
      </c>
      <c r="I12001" s="1" t="s">
        <v>24771</v>
      </c>
      <c r="K12001" s="1" t="str">
        <f t="shared" si="759"/>
        <v>ㄧ</v>
      </c>
      <c r="L12001" s="1" t="str">
        <f t="shared" si="762"/>
        <v/>
      </c>
      <c r="M12001" s="1" t="str">
        <f t="shared" si="760"/>
        <v/>
      </c>
      <c r="P12001" s="1" t="s">
        <v>20</v>
      </c>
      <c r="R12001" s="1" t="s">
        <v>24772</v>
      </c>
      <c r="V12001" s="4" t="s">
        <v>24795</v>
      </c>
      <c r="AR12001" s="1" t="str">
        <f t="shared" si="761"/>
        <v>| [ㄧ](ㄧ.md) | [繄](繄.md) |  | yī | [動]
是。《國語．吳語》：「君王之於越也，繄起死人而肉白骨也。」宋．蘇軾〈喜雨亭記〉：「一雨三日，繄誰之力。」
[助]
位於句首的語助詞。同「維」、「唯」。《左傳．隱公元年》：「爾有母遺，繄我獨無？」《明史．卷八五．河渠志三》：「疏瀹決排，繄人力是繫。」 |</v>
      </c>
    </row>
    <row r="12002" spans="1:44" hidden="1">
      <c r="A12002" s="1" t="s">
        <v>24796</v>
      </c>
      <c r="C12002" s="1">
        <v>1</v>
      </c>
      <c r="D12002" s="1" t="str">
        <f>"10494"</f>
        <v>10494</v>
      </c>
      <c r="E12002" s="1" t="s">
        <v>1462</v>
      </c>
      <c r="F12002" s="1">
        <v>18</v>
      </c>
      <c r="G12002" s="1">
        <v>11</v>
      </c>
      <c r="H12002" s="1">
        <v>0</v>
      </c>
      <c r="I12002" s="1" t="s">
        <v>24771</v>
      </c>
      <c r="K12002" s="1" t="str">
        <f t="shared" si="759"/>
        <v>ㄧ</v>
      </c>
      <c r="L12002" s="1" t="str">
        <f t="shared" si="762"/>
        <v/>
      </c>
      <c r="M12002" s="1" t="str">
        <f t="shared" si="760"/>
        <v/>
      </c>
      <c r="P12002" s="1" t="s">
        <v>20</v>
      </c>
      <c r="R12002" s="1" t="s">
        <v>24772</v>
      </c>
      <c r="V12002" s="1" t="s">
        <v>24797</v>
      </c>
      <c r="AR12002" s="1" t="str">
        <f t="shared" si="761"/>
        <v>| [ㄧ](ㄧ.md) | [醫](醫.md) |  | yī | [名]
1.治療疾病的人。如：「牙醫」、「獸醫」、「名醫」。
2.醫術、醫學。如：「學醫」、「中醫」、「西醫」。《史記．卷一〇三．萬石君傳》：「郎中令周文者，名仁，其先故任城人也。以醫見。」
[動]
治療。如：「醫治」、「醫療」。唐．聶夷中〈詠田家〉詩：「醫得眼前瘡，剜卻心頭肉。」
[形]
有關醫療方面的。如：「醫術」、「醫德」、「醫界」。 |</v>
      </c>
    </row>
    <row r="12003" spans="1:44" hidden="1">
      <c r="A12003" s="1" t="s">
        <v>24798</v>
      </c>
      <c r="C12003" s="1">
        <v>1</v>
      </c>
      <c r="D12003" s="1" t="str">
        <f>"10495"</f>
        <v>10495</v>
      </c>
      <c r="E12003" s="1" t="s">
        <v>5505</v>
      </c>
      <c r="F12003" s="1">
        <v>18</v>
      </c>
      <c r="G12003" s="1">
        <v>14</v>
      </c>
      <c r="H12003" s="1">
        <v>0</v>
      </c>
      <c r="I12003" s="1" t="s">
        <v>24771</v>
      </c>
      <c r="K12003" s="1" t="str">
        <f t="shared" si="759"/>
        <v>ㄧ</v>
      </c>
      <c r="L12003" s="1" t="str">
        <f t="shared" si="762"/>
        <v/>
      </c>
      <c r="M12003" s="1" t="str">
        <f t="shared" si="760"/>
        <v/>
      </c>
      <c r="P12003" s="1" t="s">
        <v>20</v>
      </c>
      <c r="R12003" s="1" t="s">
        <v>24772</v>
      </c>
      <c r="V12003" s="1" t="s">
        <v>24799</v>
      </c>
      <c r="AR12003" s="1" t="str">
        <f t="shared" si="761"/>
        <v>| [ㄧ](ㄧ.md) | [毉](毉.md) |  | yī | [名]
治療病痛的人。通「醫」。《漢書．卷五四．蘇建傳》：「衛律驚，自抱持武，馳召毉。」漢．桓寬《鹽鐵論．周秦》：「吏不以多斷為良，毉不以多刺為工。」 |</v>
      </c>
    </row>
    <row r="12004" spans="1:44" hidden="1">
      <c r="A12004" s="1" t="s">
        <v>24800</v>
      </c>
      <c r="C12004" s="1">
        <v>1</v>
      </c>
      <c r="D12004" s="1" t="str">
        <f>"10496"</f>
        <v>10496</v>
      </c>
      <c r="E12004" s="1" t="s">
        <v>272</v>
      </c>
      <c r="F12004" s="1">
        <v>22</v>
      </c>
      <c r="G12004" s="1">
        <v>11</v>
      </c>
      <c r="H12004" s="1">
        <v>0</v>
      </c>
      <c r="I12004" s="1" t="s">
        <v>24771</v>
      </c>
      <c r="K12004" s="1" t="str">
        <f t="shared" si="759"/>
        <v>ㄧ</v>
      </c>
      <c r="L12004" s="1" t="str">
        <f t="shared" si="762"/>
        <v/>
      </c>
      <c r="M12004" s="1" t="str">
        <f t="shared" si="760"/>
        <v/>
      </c>
      <c r="P12004" s="1" t="s">
        <v>20</v>
      </c>
      <c r="R12004" s="1" t="s">
        <v>24772</v>
      </c>
      <c r="V12004" s="1" t="s">
        <v>24801</v>
      </c>
      <c r="AR12004" s="1" t="str">
        <f t="shared" si="761"/>
        <v>| [ㄧ](ㄧ.md) | [鷖](鷖.md) |  | yī | [名]_x000D_
1.一種鷗鳥。明．張自烈《正字通．鳥部》：「鷖，鷗也。蒼黑色，群飛鳴，隨潮往來，曰信鳧。知風起，輒飛至岸，渡海者以為候。」《詩經．大雅．鳧鷖》：「鳧鷖在涇，公尸來燕來寧。」_x000D_
2.鳳凰的別名。《楚辭．屈原．離騷》：「駟玉虯以椉鷖兮，溘埃風余上征。」漢．王逸．注：「鷖，鳳皇別名也。」_x000D_
[形]_x000D_
青黑色。《周禮．春官．巾車》：「厭翟，勒面繢𦇎；安車，彫面鷖𦇎。」 |</v>
      </c>
    </row>
    <row r="12005" spans="1:44" hidden="1">
      <c r="A12005" s="1" t="s">
        <v>24802</v>
      </c>
      <c r="C12005" s="1">
        <v>1</v>
      </c>
      <c r="D12005" s="1" t="str">
        <f>"10497"</f>
        <v>10497</v>
      </c>
      <c r="E12005" s="1" t="s">
        <v>2777</v>
      </c>
      <c r="F12005" s="1">
        <v>23</v>
      </c>
      <c r="G12005" s="1">
        <v>11</v>
      </c>
      <c r="H12005" s="1">
        <v>0</v>
      </c>
      <c r="I12005" s="1" t="s">
        <v>24771</v>
      </c>
      <c r="K12005" s="1" t="str">
        <f t="shared" si="759"/>
        <v>ㄧ</v>
      </c>
      <c r="L12005" s="1" t="str">
        <f t="shared" si="762"/>
        <v/>
      </c>
      <c r="M12005" s="1" t="str">
        <f t="shared" si="760"/>
        <v/>
      </c>
      <c r="P12005" s="1" t="s">
        <v>20</v>
      </c>
      <c r="R12005" s="1" t="s">
        <v>24772</v>
      </c>
      <c r="V12005" s="1" t="s">
        <v>24803</v>
      </c>
      <c r="AR12005" s="1" t="str">
        <f t="shared" si="761"/>
        <v>| [ㄧ](ㄧ.md) | [黳](黳.md) |  | yī | [名]
皮膚上所生的圓形小黑點，今稱為「痣」。
[形]
黑。唐．元稹〈答姨兄胡靈之見寄五十韻〉：「我髯黳數寸，君髮白千莖。」《新唐書．卷二二一．西域傳下．寧遠傳》：「東行八百里出蔥嶺，又八百里至烏鎩，環千里，出白、黳、青三種玉。」 |</v>
      </c>
    </row>
    <row r="12006" spans="1:44" hidden="1">
      <c r="A12006" s="1" t="s">
        <v>24247</v>
      </c>
      <c r="C12006" s="1">
        <v>1</v>
      </c>
      <c r="D12006" s="1" t="str">
        <f>"10498"</f>
        <v>10498</v>
      </c>
      <c r="E12006" s="1" t="s">
        <v>198</v>
      </c>
      <c r="F12006" s="1">
        <v>11</v>
      </c>
      <c r="G12006" s="1">
        <v>8</v>
      </c>
      <c r="H12006" s="1">
        <v>1</v>
      </c>
      <c r="I12006" s="1" t="s">
        <v>24771</v>
      </c>
      <c r="K12006" s="1" t="str">
        <f t="shared" si="759"/>
        <v>ㄧ</v>
      </c>
      <c r="L12006" s="1" t="str">
        <f t="shared" si="762"/>
        <v/>
      </c>
      <c r="M12006" s="1" t="str">
        <f t="shared" si="760"/>
        <v/>
      </c>
      <c r="P12006" s="1" t="s">
        <v>20</v>
      </c>
      <c r="R12006" s="1" t="s">
        <v>24772</v>
      </c>
      <c r="V12006" s="1" t="s">
        <v>24804</v>
      </c>
      <c r="W12006" s="1" t="s">
        <v>24805</v>
      </c>
      <c r="AR12006" s="1" t="str">
        <f t="shared" si="761"/>
        <v>| [ㄧ](ㄧ.md) | [猗](猗.md) |  | yī | [形]
美好盛大的樣子。晉．陸雲〈高岡〉詩四首之一：「瞻彼高岡，有猗其桐。」
[助]
語尾助詞，無義。《詩經．魏風．伐檀》：「坎坎伐檀兮，寘之河之干兮，河水清且漣猗。」
[歎]
表示讚美的意思。相當於「啊」。《詩經．齊風．猗嗟》：「猗嗟昌兮，頎而長兮。」唐．王維〈暮春太師左右丞相諸公於韋氏逍遙谷讌集序〉：「猗哉至理之代也！吾徒可以酒合讌樂，考擊鍾鼓。」
[名]
姓。如春秋時魯有猗頓。 |</v>
      </c>
    </row>
    <row r="12007" spans="1:44" hidden="1">
      <c r="A12007" s="1" t="s">
        <v>24806</v>
      </c>
      <c r="C12007" s="1">
        <v>1</v>
      </c>
      <c r="D12007" s="1" t="str">
        <f>"10499"</f>
        <v>10499</v>
      </c>
      <c r="E12007" s="1" t="s">
        <v>139</v>
      </c>
      <c r="F12007" s="1">
        <v>12</v>
      </c>
      <c r="G12007" s="1">
        <v>8</v>
      </c>
      <c r="H12007" s="1">
        <v>2</v>
      </c>
      <c r="I12007" s="1" t="s">
        <v>24771</v>
      </c>
      <c r="K12007" s="1" t="str">
        <f t="shared" si="759"/>
        <v>ㄧ</v>
      </c>
      <c r="L12007" s="1" t="str">
        <f t="shared" si="762"/>
        <v/>
      </c>
      <c r="M12007" s="1" t="str">
        <f t="shared" si="760"/>
        <v/>
      </c>
      <c r="P12007" s="1" t="s">
        <v>20</v>
      </c>
      <c r="R12007" s="1" t="s">
        <v>24772</v>
      </c>
      <c r="V12007" s="1" t="s">
        <v>24807</v>
      </c>
      <c r="W12007" s="1" t="s">
        <v>24808</v>
      </c>
      <c r="AR12007" s="1" t="str">
        <f t="shared" si="761"/>
        <v>| [ㄧ](ㄧ.md) | [椅](椅.md) |  | yī | [名]
植物名。大風子科山桐子屬，「山桐子」之古稱，參見「山桐子」條。 |</v>
      </c>
    </row>
    <row r="12008" spans="1:44" hidden="1">
      <c r="A12008" s="1" t="s">
        <v>24809</v>
      </c>
      <c r="C12008" s="1">
        <v>1</v>
      </c>
      <c r="D12008" s="1" t="str">
        <f>"10500"</f>
        <v>10500</v>
      </c>
      <c r="E12008" s="1" t="s">
        <v>1908</v>
      </c>
      <c r="F12008" s="1">
        <v>12</v>
      </c>
      <c r="G12008" s="1">
        <v>8</v>
      </c>
      <c r="H12008" s="1">
        <v>0</v>
      </c>
      <c r="I12008" s="1" t="s">
        <v>24771</v>
      </c>
      <c r="K12008" s="1" t="str">
        <f t="shared" si="759"/>
        <v>ㄧ</v>
      </c>
      <c r="L12008" s="1" t="str">
        <f t="shared" si="762"/>
        <v/>
      </c>
      <c r="M12008" s="1" t="str">
        <f t="shared" si="760"/>
        <v/>
      </c>
      <c r="P12008" s="1" t="s">
        <v>20</v>
      </c>
      <c r="R12008" s="1" t="s">
        <v>24772</v>
      </c>
      <c r="V12008" s="1" t="s">
        <v>24810</v>
      </c>
      <c r="AR12008" s="1" t="str">
        <f t="shared" si="761"/>
        <v>| [ㄧ](ㄧ.md) | [欹](欹.md) |  | yī | [形]
傾斜不正。《荀子．宥坐》：「吾聞宥坐之器者，虛則欹，中則正，滿則覆。」
[歎]
表示讚歎。通「猗」。 |</v>
      </c>
    </row>
    <row r="12009" spans="1:44" hidden="1">
      <c r="A12009" s="1" t="s">
        <v>24811</v>
      </c>
      <c r="C12009" s="1">
        <v>1</v>
      </c>
      <c r="D12009" s="1" t="str">
        <f>"10501"</f>
        <v>10501</v>
      </c>
      <c r="E12009" s="1" t="s">
        <v>129</v>
      </c>
      <c r="F12009" s="1">
        <v>14</v>
      </c>
      <c r="G12009" s="1">
        <v>11</v>
      </c>
      <c r="H12009" s="1">
        <v>0</v>
      </c>
      <c r="I12009" s="1" t="s">
        <v>24771</v>
      </c>
      <c r="K12009" s="1" t="str">
        <f t="shared" si="759"/>
        <v>ㄧ</v>
      </c>
      <c r="L12009" s="1" t="str">
        <f t="shared" si="762"/>
        <v/>
      </c>
      <c r="M12009" s="1" t="str">
        <f t="shared" si="760"/>
        <v/>
      </c>
      <c r="P12009" s="1" t="s">
        <v>20</v>
      </c>
      <c r="R12009" s="1" t="s">
        <v>24772</v>
      </c>
      <c r="V12009" s="1" t="s">
        <v>24812</v>
      </c>
      <c r="AR12009" s="1" t="str">
        <f t="shared" si="761"/>
        <v>| [ㄧ](ㄧ.md) | [漪](漪.md) |  | yī | [名]
水面的波紋。如：「漣漪」。唐．李賀〈河南府試十二月樂詞．四月〉：「金塘閒水搖碧漪，老景沉重無驚飛。」清．陳澧〈摸魚兒．繞城陰雁沙無際〉詞：「風乍定，看絕底明漪，曾照東坡影。」
[助]
多用於句末。相當於「兮」、「猗」。《爾雅．釋水》：「河水清且灡漪，大波為瀾，小波為淪。」 |</v>
      </c>
    </row>
    <row r="12010" spans="1:44" hidden="1">
      <c r="A12010" s="1" t="s">
        <v>24813</v>
      </c>
      <c r="C12010" s="1">
        <v>1</v>
      </c>
      <c r="D12010" s="1" t="str">
        <f>"10502"</f>
        <v>10502</v>
      </c>
      <c r="E12010" s="1" t="s">
        <v>11385</v>
      </c>
      <c r="F12010" s="1">
        <v>12</v>
      </c>
      <c r="G12010" s="1">
        <v>9</v>
      </c>
      <c r="H12010" s="1">
        <v>0</v>
      </c>
      <c r="I12010" s="1" t="s">
        <v>24771</v>
      </c>
      <c r="K12010" s="1" t="str">
        <f t="shared" si="759"/>
        <v>ㄧ</v>
      </c>
      <c r="L12010" s="1" t="str">
        <f t="shared" si="762"/>
        <v/>
      </c>
      <c r="M12010" s="1" t="str">
        <f t="shared" si="760"/>
        <v/>
      </c>
      <c r="P12010" s="1" t="s">
        <v>20</v>
      </c>
      <c r="R12010" s="1" t="s">
        <v>24772</v>
      </c>
      <c r="V12010" s="1" t="s">
        <v>24814</v>
      </c>
      <c r="AR12010" s="1" t="str">
        <f t="shared" si="761"/>
        <v>| [ㄧ](ㄧ.md) | [壹](壹.md) |  | yī | [名]
一的大寫字體。 |</v>
      </c>
    </row>
    <row r="12011" spans="1:44" hidden="1">
      <c r="A12011" s="1" t="s">
        <v>13025</v>
      </c>
      <c r="C12011" s="1">
        <v>1</v>
      </c>
      <c r="D12011" s="1" t="str">
        <f>"10503"</f>
        <v>10503</v>
      </c>
      <c r="E12011" s="1" t="s">
        <v>24</v>
      </c>
      <c r="F12011" s="1">
        <v>12</v>
      </c>
      <c r="G12011" s="1">
        <v>9</v>
      </c>
      <c r="H12011" s="1">
        <v>1</v>
      </c>
      <c r="I12011" s="1" t="s">
        <v>24771</v>
      </c>
      <c r="K12011" s="1" t="str">
        <f t="shared" si="759"/>
        <v>ㄧ</v>
      </c>
      <c r="L12011" s="1" t="str">
        <f t="shared" si="762"/>
        <v/>
      </c>
      <c r="M12011" s="1" t="str">
        <f t="shared" si="760"/>
        <v/>
      </c>
      <c r="P12011" s="1" t="s">
        <v>20</v>
      </c>
      <c r="R12011" s="1" t="s">
        <v>24772</v>
      </c>
      <c r="V12011" s="1" t="s">
        <v>24815</v>
      </c>
      <c r="W12011" s="1" t="s">
        <v>24816</v>
      </c>
      <c r="AR12011" s="1" t="str">
        <f t="shared" si="761"/>
        <v>| [ㄧ](ㄧ.md) | [揖](揖.md) |  | yī | [動]
拱手行禮。如：「揖讓」、「一揖到底」、「長揖不拜」。 |</v>
      </c>
    </row>
    <row r="12012" spans="1:44" hidden="1">
      <c r="A12012" s="1" t="s">
        <v>24817</v>
      </c>
      <c r="C12012" s="1">
        <v>1</v>
      </c>
      <c r="D12012" s="1" t="str">
        <f>"10504"</f>
        <v>10504</v>
      </c>
      <c r="E12012" s="1" t="s">
        <v>256</v>
      </c>
      <c r="F12012" s="1">
        <v>12</v>
      </c>
      <c r="G12012" s="1">
        <v>9</v>
      </c>
      <c r="H12012" s="1">
        <v>0</v>
      </c>
      <c r="I12012" s="1" t="s">
        <v>24771</v>
      </c>
      <c r="K12012" s="1" t="str">
        <f t="shared" si="759"/>
        <v>ㄧ</v>
      </c>
      <c r="L12012" s="1" t="str">
        <f t="shared" si="762"/>
        <v/>
      </c>
      <c r="M12012" s="1" t="str">
        <f t="shared" si="760"/>
        <v/>
      </c>
      <c r="P12012" s="1" t="s">
        <v>20</v>
      </c>
      <c r="R12012" s="1" t="s">
        <v>24772</v>
      </c>
      <c r="V12012" s="1" t="s">
        <v>24818</v>
      </c>
      <c r="AR12012" s="1" t="str">
        <f t="shared" si="761"/>
        <v>| [ㄧ](ㄧ.md) | [郼](郼.md) |  | yī | [名]
國名。為殷商時代所建之小國。《廣韻．平聲．微韻》：「郼，殷國名也。」《呂氏春秋．審分覽．慎勢》：「湯其無郼，武其無岐，賢雖十全，不能成功。」漢．高誘．注：「郼、岐，湯、武之本國，假令無之，賢雖十倍，不能以成功業。」 |</v>
      </c>
    </row>
    <row r="12013" spans="1:44" hidden="1">
      <c r="A12013" s="1" t="s">
        <v>24819</v>
      </c>
      <c r="C12013" s="1">
        <v>1</v>
      </c>
      <c r="D12013" s="1" t="str">
        <f>"10505"</f>
        <v>10505</v>
      </c>
      <c r="E12013" s="1" t="s">
        <v>825</v>
      </c>
      <c r="F12013" s="1">
        <v>14</v>
      </c>
      <c r="G12013" s="1">
        <v>9</v>
      </c>
      <c r="H12013" s="1">
        <v>0</v>
      </c>
      <c r="I12013" s="1" t="s">
        <v>24771</v>
      </c>
      <c r="K12013" s="1" t="str">
        <f t="shared" si="759"/>
        <v>ㄧ</v>
      </c>
      <c r="L12013" s="1" t="str">
        <f t="shared" si="762"/>
        <v/>
      </c>
      <c r="M12013" s="1" t="str">
        <f t="shared" si="760"/>
        <v/>
      </c>
      <c r="P12013" s="1" t="s">
        <v>20</v>
      </c>
      <c r="R12013" s="1" t="s">
        <v>24772</v>
      </c>
      <c r="V12013" s="1" t="s">
        <v>24820</v>
      </c>
      <c r="AR12013" s="1" t="str">
        <f t="shared" si="761"/>
        <v>| [ㄧ](ㄧ.md) | [禕](禕.md) |  | yī | [形]
美好。《爾雅．釋詁下》：「禕，美也。」《文選．張衡．東京賦》：「漢帝之德，侯其禕而。」 |</v>
      </c>
    </row>
    <row r="12014" spans="1:44" hidden="1">
      <c r="A12014" s="1" t="s">
        <v>24821</v>
      </c>
      <c r="C12014" s="1">
        <v>1</v>
      </c>
      <c r="D12014" s="1" t="str">
        <f>"10506"</f>
        <v>10506</v>
      </c>
      <c r="E12014" s="1" t="s">
        <v>129</v>
      </c>
      <c r="F12014" s="1">
        <v>13</v>
      </c>
      <c r="G12014" s="1">
        <v>10</v>
      </c>
      <c r="H12014" s="1">
        <v>0</v>
      </c>
      <c r="I12014" s="1" t="s">
        <v>24771</v>
      </c>
      <c r="K12014" s="1" t="str">
        <f t="shared" si="759"/>
        <v>ㄧ</v>
      </c>
      <c r="L12014" s="1" t="str">
        <f t="shared" si="762"/>
        <v/>
      </c>
      <c r="M12014" s="1" t="str">
        <f t="shared" si="760"/>
        <v/>
      </c>
      <c r="P12014" s="1" t="s">
        <v>20</v>
      </c>
      <c r="R12014" s="1" t="s">
        <v>24772</v>
      </c>
      <c r="V12014" s="1" t="s">
        <v>24822</v>
      </c>
      <c r="AR12014" s="1" t="str">
        <f t="shared" si="761"/>
        <v>| [ㄧ](ㄧ.md) | [溰](溰.md) |  | yī | [形]
溰溰：(1)潔白。《文選．枚乘．七發》：「其少進也，浩浩溰溰，如素車白馬帷蓋之張。」(2)露水濃厚的樣子。明．劉基〈秋懷〉詩八首之一：「瞻彼原隰，零露溰溰。」 |</v>
      </c>
    </row>
    <row r="12015" spans="1:44" hidden="1">
      <c r="A12015" s="1" t="s">
        <v>24823</v>
      </c>
      <c r="C12015" s="1">
        <v>1</v>
      </c>
      <c r="D12015" s="1" t="str">
        <f>"10507"</f>
        <v>10507</v>
      </c>
      <c r="E12015" s="1" t="s">
        <v>28</v>
      </c>
      <c r="F12015" s="1">
        <v>16</v>
      </c>
      <c r="G12015" s="1">
        <v>13</v>
      </c>
      <c r="H12015" s="1">
        <v>2</v>
      </c>
      <c r="I12015" s="1" t="s">
        <v>24771</v>
      </c>
      <c r="K12015" s="1" t="str">
        <f t="shared" si="759"/>
        <v>ㄧ</v>
      </c>
      <c r="L12015" s="1" t="str">
        <f t="shared" si="762"/>
        <v/>
      </c>
      <c r="M12015" s="1" t="str">
        <f t="shared" si="760"/>
        <v/>
      </c>
      <c r="P12015" s="1" t="s">
        <v>110</v>
      </c>
      <c r="R12015" s="1" t="s">
        <v>24772</v>
      </c>
      <c r="V12015" s="1" t="s">
        <v>111</v>
      </c>
      <c r="W12015" s="1" t="s">
        <v>24824</v>
      </c>
      <c r="AR12015" s="1" t="str">
        <f t="shared" si="761"/>
        <v>| [ㄧ](ㄧ.md) | [噫](噫.md) |  | yī | (一)之又音。 |</v>
      </c>
    </row>
    <row r="12016" spans="1:44" hidden="1">
      <c r="A12016" s="1" t="s">
        <v>24825</v>
      </c>
      <c r="C12016" s="1">
        <v>1</v>
      </c>
      <c r="D12016" s="1" t="str">
        <f>"10508"</f>
        <v>10508</v>
      </c>
      <c r="E12016" s="1" t="s">
        <v>2777</v>
      </c>
      <c r="F12016" s="1">
        <v>18</v>
      </c>
      <c r="G12016" s="1">
        <v>6</v>
      </c>
      <c r="H12016" s="1">
        <v>0</v>
      </c>
      <c r="I12016" s="1" t="s">
        <v>24771</v>
      </c>
      <c r="K12016" s="1" t="str">
        <f t="shared" si="759"/>
        <v>ㄧ</v>
      </c>
      <c r="L12016" s="1" t="str">
        <f t="shared" si="762"/>
        <v/>
      </c>
      <c r="M12016" s="1" t="str">
        <f t="shared" si="760"/>
        <v/>
      </c>
      <c r="P12016" s="1" t="s">
        <v>20</v>
      </c>
      <c r="R12016" s="1" t="s">
        <v>24772</v>
      </c>
      <c r="V12016" s="1" t="s">
        <v>24826</v>
      </c>
      <c r="AR12016" s="1" t="str">
        <f t="shared" si="761"/>
        <v>| [ㄧ](ㄧ.md) | [黟](黟.md) |  | yī | [名]
黑木。《說文解字．黑部》：「黟，黑木也。」
[形]
黑色。清．王念孫《廣雅疏證．卷八上．釋器》：「黟，黑也。」元．姚燧〈烏木杖賦〉：「其煙液為煤，必黔而緇，因以曉夫巧繪之棄鉛朱，亦懼夫既久漫漶而為黟。」 |</v>
      </c>
    </row>
    <row r="12017" spans="1:44" hidden="1">
      <c r="A12017" s="1" t="s">
        <v>25211</v>
      </c>
      <c r="C12017" s="1">
        <v>1</v>
      </c>
      <c r="D12017" s="1" t="str">
        <f>"10695"</f>
        <v>10695</v>
      </c>
      <c r="E12017" s="1" t="s">
        <v>4265</v>
      </c>
      <c r="F12017" s="1">
        <v>3</v>
      </c>
      <c r="G12017" s="1">
        <v>2</v>
      </c>
      <c r="H12017" s="1">
        <v>0</v>
      </c>
      <c r="I12017" s="1" t="s">
        <v>25212</v>
      </c>
      <c r="K12017" s="1" t="str">
        <f t="shared" si="759"/>
        <v>ㄧ</v>
      </c>
      <c r="L12017" s="1" t="str">
        <f t="shared" si="762"/>
        <v>ㄚ</v>
      </c>
      <c r="M12017" s="1" t="str">
        <f t="shared" si="760"/>
        <v/>
      </c>
      <c r="P12017" s="1" t="s">
        <v>20</v>
      </c>
      <c r="R12017" s="1" t="s">
        <v>25213</v>
      </c>
      <c r="V12017" s="1" t="s">
        <v>25214</v>
      </c>
      <c r="AR12017" s="1" t="str">
        <f t="shared" si="761"/>
        <v>| [ㄧㄚ](ㄧㄚ.md) | [丫](丫.md) |  | yā | [名]
物體末端分叉的地方。如：「樹丫」、「腳丫子」。 |</v>
      </c>
    </row>
    <row r="12018" spans="1:44" hidden="1">
      <c r="A12018" s="1" t="s">
        <v>16379</v>
      </c>
      <c r="C12018" s="1">
        <v>1</v>
      </c>
      <c r="D12018" s="1" t="str">
        <f>"10696"</f>
        <v>10696</v>
      </c>
      <c r="E12018" s="1" t="s">
        <v>28</v>
      </c>
      <c r="F12018" s="1">
        <v>7</v>
      </c>
      <c r="G12018" s="1">
        <v>4</v>
      </c>
      <c r="H12018" s="1">
        <v>1</v>
      </c>
      <c r="I12018" s="1" t="s">
        <v>25212</v>
      </c>
      <c r="K12018" s="1" t="str">
        <f t="shared" si="759"/>
        <v>ㄧ</v>
      </c>
      <c r="L12018" s="1" t="str">
        <f t="shared" si="762"/>
        <v>ㄚ</v>
      </c>
      <c r="M12018" s="1" t="str">
        <f t="shared" si="760"/>
        <v/>
      </c>
      <c r="P12018" s="1" t="s">
        <v>20</v>
      </c>
      <c r="R12018" s="1" t="s">
        <v>25213</v>
      </c>
      <c r="V12018" s="1" t="s">
        <v>25215</v>
      </c>
      <c r="W12018" s="1" t="s">
        <v>25216</v>
      </c>
      <c r="AR12018" s="1" t="str">
        <f t="shared" si="761"/>
        <v>| [ㄧㄚ](ㄧㄚ.md) | [呀](呀.md) |  | yā | [助]
1.表示驚嘆。如：「媽呀！」、「真的呀！」、「好險呀！」
2.表示疑問。如：「你要去呀？」、「這件事你怎麼不學呀？」
3.表示肯定。如：「是呀！」、「對呀！」
[歎]
1.表示感嘆的語氣。如：「哎呀！完蛋了。」元．馬致遠《漢宮秋》第三折：「呀！俺向著這迥野悲涼，草已添黃，色早迎霜。」
2.表示驚訝的語氣。如：「呀！下大雨了。」、「呀！我忘記把門關上。」元．關漢卿《竇娥冤》第三折：「呀！真個下雪了，有這等異事？」
[擬]
形容開門聲或叫喊聲。《西遊記》第一回：「只聽得呀的一聲，洞門開處，裡面走出一個仙童。」《兒女英雄傳》第七回：「她父女夫妻一見，呀的一聲，就攜手大哭起來。」 |</v>
      </c>
    </row>
    <row r="12019" spans="1:44" hidden="1">
      <c r="A12019" s="1" t="s">
        <v>25217</v>
      </c>
      <c r="C12019" s="1">
        <v>1</v>
      </c>
      <c r="D12019" s="1" t="str">
        <f>"10697"</f>
        <v>10697</v>
      </c>
      <c r="E12019" s="1" t="s">
        <v>5383</v>
      </c>
      <c r="F12019" s="1">
        <v>12</v>
      </c>
      <c r="G12019" s="1">
        <v>4</v>
      </c>
      <c r="H12019" s="1">
        <v>2</v>
      </c>
      <c r="I12019" s="1" t="s">
        <v>25212</v>
      </c>
      <c r="K12019" s="1" t="str">
        <f t="shared" si="759"/>
        <v>ㄧ</v>
      </c>
      <c r="L12019" s="1" t="str">
        <f t="shared" si="762"/>
        <v>ㄚ</v>
      </c>
      <c r="M12019" s="1" t="str">
        <f t="shared" si="760"/>
        <v/>
      </c>
      <c r="P12019" s="1" t="s">
        <v>20</v>
      </c>
      <c r="R12019" s="1" t="s">
        <v>25213</v>
      </c>
      <c r="V12019" s="1" t="s">
        <v>25218</v>
      </c>
      <c r="W12019" s="1" t="s">
        <v>25219</v>
      </c>
      <c r="AR12019" s="1" t="str">
        <f t="shared" si="761"/>
        <v>| [ㄧㄚ](ㄧㄚ.md) | [雅](雅.md) |  | yā | [名]
一種鳥。即鴉。《說文解字．隹部》：「雅，楚烏也。……秦謂之鴉。」 |</v>
      </c>
    </row>
    <row r="12020" spans="1:44" hidden="1">
      <c r="A12020" s="1" t="s">
        <v>25220</v>
      </c>
      <c r="C12020" s="1">
        <v>1</v>
      </c>
      <c r="D12020" s="1" t="str">
        <f>"10698"</f>
        <v>10698</v>
      </c>
      <c r="E12020" s="1" t="s">
        <v>272</v>
      </c>
      <c r="F12020" s="1">
        <v>15</v>
      </c>
      <c r="G12020" s="1">
        <v>4</v>
      </c>
      <c r="H12020" s="1">
        <v>0</v>
      </c>
      <c r="I12020" s="1" t="s">
        <v>25212</v>
      </c>
      <c r="K12020" s="1" t="str">
        <f t="shared" si="759"/>
        <v>ㄧ</v>
      </c>
      <c r="L12020" s="1" t="str">
        <f t="shared" si="762"/>
        <v>ㄚ</v>
      </c>
      <c r="M12020" s="1" t="str">
        <f t="shared" si="760"/>
        <v/>
      </c>
      <c r="P12020" s="1" t="s">
        <v>20</v>
      </c>
      <c r="R12020" s="1" t="s">
        <v>25213</v>
      </c>
      <c r="V12020" s="1" t="s">
        <v>25221</v>
      </c>
      <c r="AR12020" s="1" t="str">
        <f t="shared" si="761"/>
        <v>| [ㄧㄚ](ㄧㄚ.md) | [鴉](鴉.md) |  | yā | [名]_x000D_
鴉科的通稱。其嘴大，翼長，腳有力，純黑者稱為「烏」，背灰者稱為「鴉」。常見的有烏鴉、寒鴉等。_x000D_
[形]_x000D_
色黑如鴉羽。如：「鴉青」、「鴉鬢」、「鴉髻」。 |</v>
      </c>
    </row>
    <row r="12021" spans="1:44" hidden="1">
      <c r="A12021" s="1" t="s">
        <v>25222</v>
      </c>
      <c r="C12021" s="1">
        <v>1</v>
      </c>
      <c r="D12021" s="1" t="str">
        <f>"10699"</f>
        <v>10699</v>
      </c>
      <c r="E12021" s="1" t="s">
        <v>24</v>
      </c>
      <c r="F12021" s="1">
        <v>8</v>
      </c>
      <c r="G12021" s="1">
        <v>5</v>
      </c>
      <c r="H12021" s="1">
        <v>1</v>
      </c>
      <c r="I12021" s="1" t="s">
        <v>25212</v>
      </c>
      <c r="K12021" s="1" t="str">
        <f t="shared" ref="K12021:K12084" si="763">LEFT(I12021, 1)</f>
        <v>ㄧ</v>
      </c>
      <c r="L12021" s="1" t="str">
        <f t="shared" si="762"/>
        <v>ㄚ</v>
      </c>
      <c r="M12021" s="1" t="str">
        <f t="shared" ref="M12021:M12084" si="764">MID(I12021, 3, 1)</f>
        <v/>
      </c>
      <c r="P12021" s="1" t="s">
        <v>20</v>
      </c>
      <c r="R12021" s="1" t="s">
        <v>25213</v>
      </c>
      <c r="V12021" s="1" t="s">
        <v>25223</v>
      </c>
      <c r="W12021" s="1" t="s">
        <v>25224</v>
      </c>
      <c r="AR12021" s="1" t="str">
        <f t="shared" si="761"/>
        <v>| [ㄧㄚ](ㄧㄚ.md) | [押](押.md) |  | yā | [動]
1.以財物作為保證，抵借財物。如：「抵押」、「典押」、「早上借擴音器時，把學生證押在視聽中心了。」《紅樓夢》第七二回：「把我那個金項圈拿出去，暫且押四百兩銀子。」
2.拘留。《水滸傳》第五三回：「取一面大枷釘了，押下大牢裡去。」
3.跟隨看管。《老殘遊記》第二〇回：「將許吳二人都用繩子縛了，陶三押著解到歷城縣衙門口來。」
4.掌管。《新唐書．卷四七．百官志二》：「（中書舍人）以六員分押尚書六曹，佐宰相判案。」《遼史．卷五一．禮志四》：「宣徽使押殿前班起居畢，捲班。」
5.壓制、擱置。如：「公文押在他手裡。」
6.下賭注。如：「押寶」。 |</v>
      </c>
    </row>
    <row r="12022" spans="1:44" hidden="1">
      <c r="A12022" s="1" t="s">
        <v>25225</v>
      </c>
      <c r="C12022" s="1">
        <v>1</v>
      </c>
      <c r="D12022" s="1" t="str">
        <f>"10700"</f>
        <v>10700</v>
      </c>
      <c r="E12022" s="1" t="s">
        <v>272</v>
      </c>
      <c r="F12022" s="1">
        <v>16</v>
      </c>
      <c r="G12022" s="1">
        <v>5</v>
      </c>
      <c r="H12022" s="1">
        <v>0</v>
      </c>
      <c r="I12022" s="1" t="s">
        <v>25212</v>
      </c>
      <c r="K12022" s="1" t="str">
        <f t="shared" si="763"/>
        <v>ㄧ</v>
      </c>
      <c r="L12022" s="1" t="str">
        <f t="shared" ref="L12022:L12053" si="765">MID(I12022, 2, 1)</f>
        <v>ㄚ</v>
      </c>
      <c r="M12022" s="1" t="str">
        <f t="shared" si="764"/>
        <v/>
      </c>
      <c r="P12022" s="1" t="s">
        <v>20</v>
      </c>
      <c r="R12022" s="1" t="s">
        <v>25213</v>
      </c>
      <c r="V12022" s="1" t="s">
        <v>25226</v>
      </c>
      <c r="AR12022" s="1" t="str">
        <f t="shared" si="761"/>
        <v>| [ㄧㄚ](ㄧㄚ.md) | [鴨](鴨.md) |  | yā | [名]
動物名。鳥綱雁形目。嘴扁平，足短，趾間有蹼，善游水，但兩翼小，不能高飛。可分為家鴨、野鴨兩種。普通家鴨多為白色，野鴨為雜色。 |</v>
      </c>
    </row>
    <row r="12023" spans="1:44" hidden="1">
      <c r="A12023" s="1" t="s">
        <v>25227</v>
      </c>
      <c r="C12023" s="1">
        <v>1</v>
      </c>
      <c r="D12023" s="1" t="str">
        <f>"10701"</f>
        <v>10701</v>
      </c>
      <c r="E12023" s="1" t="s">
        <v>9954</v>
      </c>
      <c r="F12023" s="1">
        <v>8</v>
      </c>
      <c r="G12023" s="1">
        <v>6</v>
      </c>
      <c r="H12023" s="1">
        <v>3</v>
      </c>
      <c r="I12023" s="1" t="s">
        <v>25212</v>
      </c>
      <c r="K12023" s="1" t="str">
        <f t="shared" si="763"/>
        <v>ㄧ</v>
      </c>
      <c r="L12023" s="1" t="str">
        <f t="shared" si="765"/>
        <v>ㄚ</v>
      </c>
      <c r="M12023" s="1" t="str">
        <f t="shared" si="764"/>
        <v/>
      </c>
      <c r="P12023" s="1" t="s">
        <v>20</v>
      </c>
      <c r="R12023" s="1" t="s">
        <v>25213</v>
      </c>
      <c r="V12023" s="1" t="s">
        <v>25228</v>
      </c>
      <c r="W12023" s="1" t="s">
        <v>25229</v>
      </c>
      <c r="AR12023" s="1" t="str">
        <f t="shared" si="761"/>
        <v>| [ㄧㄚ](ㄧㄚ.md) | [亞](亞.md) |  | yā | [名]
物體的分歧部分。明．張自烈《正字通．二部》：「亞，趙古則曰：『物之岐者曰亞。』俗作丫、椏。」 |</v>
      </c>
    </row>
    <row r="12024" spans="1:44" hidden="1">
      <c r="A12024" s="1" t="s">
        <v>24312</v>
      </c>
      <c r="C12024" s="1">
        <v>1</v>
      </c>
      <c r="D12024" s="1" t="str">
        <f>"10702"</f>
        <v>10702</v>
      </c>
      <c r="E12024" s="1" t="s">
        <v>28</v>
      </c>
      <c r="F12024" s="1">
        <v>11</v>
      </c>
      <c r="G12024" s="1">
        <v>8</v>
      </c>
      <c r="H12024" s="1">
        <v>2</v>
      </c>
      <c r="I12024" s="1" t="s">
        <v>25212</v>
      </c>
      <c r="K12024" s="1" t="str">
        <f t="shared" si="763"/>
        <v>ㄧ</v>
      </c>
      <c r="L12024" s="1" t="str">
        <f t="shared" si="765"/>
        <v>ㄚ</v>
      </c>
      <c r="M12024" s="1" t="str">
        <f t="shared" si="764"/>
        <v/>
      </c>
      <c r="P12024" s="1" t="s">
        <v>20</v>
      </c>
      <c r="R12024" s="1" t="s">
        <v>25213</v>
      </c>
      <c r="V12024" s="1" t="s">
        <v>25230</v>
      </c>
      <c r="W12024" s="1" t="s">
        <v>25231</v>
      </c>
      <c r="AR12024" s="1" t="str">
        <f t="shared" si="761"/>
        <v>| [ㄧㄚ](ㄧㄚ.md) | [啞](啞.md) |  | yā | [擬]
1.形容烏鴉之類的叫聲。《廣韻．去聲．禡韻》：「啞啞，鳥聲。」《淮南子．原道》：「故夫烏之啞啞，鵲之唶唶，豈嘗為寒暑燥溼變其聲哉。」唐．李白〈烏夜啼〉詩：「黃雲城邊烏欲棲，歸飛啞啞枝上啼。」
2.形容小兒學說話的聲音。《集韻．平聲．麻韻》：「啞，啞嘔，小兒學言。」
[助]
語助詞。同「呀」。《西遊記》第二一回：「我爺啞！好大蚊子！一口就叮了一個大疙疸！」 |</v>
      </c>
    </row>
    <row r="12025" spans="1:44" hidden="1">
      <c r="A12025" s="1" t="s">
        <v>25232</v>
      </c>
      <c r="C12025" s="1">
        <v>1</v>
      </c>
      <c r="D12025" s="1" t="str">
        <f>"10703"</f>
        <v>10703</v>
      </c>
      <c r="E12025" s="1" t="s">
        <v>139</v>
      </c>
      <c r="F12025" s="1">
        <v>12</v>
      </c>
      <c r="G12025" s="1">
        <v>8</v>
      </c>
      <c r="H12025" s="1">
        <v>0</v>
      </c>
      <c r="I12025" s="1" t="s">
        <v>25212</v>
      </c>
      <c r="K12025" s="1" t="str">
        <f t="shared" si="763"/>
        <v>ㄧ</v>
      </c>
      <c r="L12025" s="1" t="str">
        <f t="shared" si="765"/>
        <v>ㄚ</v>
      </c>
      <c r="M12025" s="1" t="str">
        <f t="shared" si="764"/>
        <v/>
      </c>
      <c r="P12025" s="1" t="s">
        <v>20</v>
      </c>
      <c r="R12025" s="1" t="s">
        <v>25213</v>
      </c>
      <c r="V12025" s="1" t="s">
        <v>25233</v>
      </c>
      <c r="AR12025" s="1" t="str">
        <f t="shared" si="761"/>
        <v>| [ㄧㄚ](ㄧㄚ.md) | [椏](椏.md) |  | yā | [名]
分歧而出的樹枝。如：「枝椏」。唐．皮日休〈寂上人院聯句〉：「經笥安巖匼，琤嫕挂樹椏。」 |</v>
      </c>
    </row>
    <row r="12026" spans="1:44" hidden="1">
      <c r="A12026" s="1" t="s">
        <v>25234</v>
      </c>
      <c r="C12026" s="1">
        <v>1</v>
      </c>
      <c r="D12026" s="1" t="str">
        <f>"10704"</f>
        <v>10704</v>
      </c>
      <c r="E12026" s="1" t="s">
        <v>132</v>
      </c>
      <c r="F12026" s="1">
        <v>17</v>
      </c>
      <c r="G12026" s="1">
        <v>14</v>
      </c>
      <c r="H12026" s="1">
        <v>0</v>
      </c>
      <c r="I12026" s="1" t="s">
        <v>25212</v>
      </c>
      <c r="K12026" s="1" t="str">
        <f t="shared" si="763"/>
        <v>ㄧ</v>
      </c>
      <c r="L12026" s="1" t="str">
        <f t="shared" si="765"/>
        <v>ㄚ</v>
      </c>
      <c r="M12026" s="1" t="str">
        <f t="shared" si="764"/>
        <v/>
      </c>
      <c r="P12026" s="1" t="s">
        <v>20</v>
      </c>
      <c r="R12026" s="1" t="s">
        <v>25213</v>
      </c>
      <c r="V12026" s="1" t="s">
        <v>25235</v>
      </c>
      <c r="AR12026" s="1" t="str">
        <f t="shared" si="761"/>
        <v>| [ㄧㄚ](ㄧㄚ.md) | [壓](壓.md) |  | yā | [動]
1.由上往下施加力量。如：「壓垮」、「泰山壓頂」。
2.用武力或威勢制止、驅策他人。如：「鎮壓」、「欺壓」、「別拿你的大帽子壓我！」《公羊傳．文公十四年》：「子以大國壓之，則未知齊、晉孰有之也。」
3.迫近、逼迫。如：「大軍壓境」。《水滸傳》第九一回：「衛州左孟門，右太行，南濱大河，西壓上黨，地當衝要。」
4.使情況穩定。如：「他剛吃下藥，才把咳嗽壓下來。」
5.擱置不動。如：「積壓公文」。
6.超越、勝過。元．馬致遠《青衫淚》第二折：「你文章勝賈浪仙，詩篇壓孟浩然，不能勾侍君王在九間朝殿。」《紅樓夢》第八二回：「但凡家庭之事，不是東風壓了西風，就是西風壓了東風。」
[名]
壓力的簡稱。如：「氣壓」、「血壓」、「電壓」、「眼壓」。 |</v>
      </c>
    </row>
    <row r="12027" spans="1:44" hidden="1">
      <c r="A12027" s="1" t="s">
        <v>25310</v>
      </c>
      <c r="C12027" s="1">
        <v>1</v>
      </c>
      <c r="D12027" s="1" t="str">
        <f>"10738"</f>
        <v>10738</v>
      </c>
      <c r="E12027" s="1" t="s">
        <v>28</v>
      </c>
      <c r="F12027" s="1">
        <v>10</v>
      </c>
      <c r="G12027" s="1">
        <v>7</v>
      </c>
      <c r="H12027" s="1">
        <v>0</v>
      </c>
      <c r="I12027" s="1" t="s">
        <v>25311</v>
      </c>
      <c r="K12027" s="1" t="str">
        <f t="shared" si="763"/>
        <v>ㄧ</v>
      </c>
      <c r="L12027" s="1" t="str">
        <f t="shared" si="765"/>
        <v>ㄛ</v>
      </c>
      <c r="M12027" s="1" t="str">
        <f t="shared" si="764"/>
        <v/>
      </c>
      <c r="P12027" s="1" t="s">
        <v>20</v>
      </c>
      <c r="R12027" s="1" t="s">
        <v>25312</v>
      </c>
      <c r="V12027" s="1" t="s">
        <v>25313</v>
      </c>
      <c r="AR12027" s="1" t="str">
        <f t="shared" si="761"/>
        <v>| [ㄧㄛ](ㄧㄛ.md) | [唷](唷.md) |  | yō | 參見「哼唷」條。 |</v>
      </c>
    </row>
    <row r="12028" spans="1:44" hidden="1">
      <c r="A12028" s="1" t="s">
        <v>25314</v>
      </c>
      <c r="C12028" s="1">
        <v>1</v>
      </c>
      <c r="D12028" s="1" t="str">
        <f>"10739"</f>
        <v>10739</v>
      </c>
      <c r="E12028" s="1" t="s">
        <v>2419</v>
      </c>
      <c r="F12028" s="1">
        <v>9</v>
      </c>
      <c r="G12028" s="1">
        <v>3</v>
      </c>
      <c r="H12028" s="1">
        <v>2</v>
      </c>
      <c r="I12028" s="1" t="s">
        <v>25315</v>
      </c>
      <c r="K12028" s="1" t="str">
        <f t="shared" si="763"/>
        <v>ㄧ</v>
      </c>
      <c r="L12028" s="1" t="str">
        <f t="shared" si="765"/>
        <v>ㄝ</v>
      </c>
      <c r="M12028" s="1" t="str">
        <f t="shared" si="764"/>
        <v/>
      </c>
      <c r="P12028" s="1" t="s">
        <v>20</v>
      </c>
      <c r="R12028" s="1" t="s">
        <v>25316</v>
      </c>
      <c r="V12028" s="1" t="s">
        <v>25317</v>
      </c>
      <c r="W12028" s="1" t="s">
        <v>25318</v>
      </c>
      <c r="AR12028" s="1" t="str">
        <f t="shared" si="761"/>
        <v>| [ㄧㄝ](ㄧㄝ.md) | [耶](耶.md) |  | yē | [名]
譯音用字。如：「耶穌」、「耶和華」。 |</v>
      </c>
    </row>
    <row r="12029" spans="1:44" hidden="1">
      <c r="A12029" s="1" t="s">
        <v>25097</v>
      </c>
      <c r="C12029" s="1">
        <v>1</v>
      </c>
      <c r="D12029" s="1" t="str">
        <f>"10740"</f>
        <v>10740</v>
      </c>
      <c r="E12029" s="1" t="s">
        <v>24</v>
      </c>
      <c r="F12029" s="1">
        <v>11</v>
      </c>
      <c r="G12029" s="1">
        <v>8</v>
      </c>
      <c r="H12029" s="1">
        <v>3</v>
      </c>
      <c r="I12029" s="1" t="s">
        <v>25315</v>
      </c>
      <c r="K12029" s="1" t="str">
        <f t="shared" si="763"/>
        <v>ㄧ</v>
      </c>
      <c r="L12029" s="1" t="str">
        <f t="shared" si="765"/>
        <v>ㄝ</v>
      </c>
      <c r="M12029" s="1" t="str">
        <f t="shared" si="764"/>
        <v/>
      </c>
      <c r="P12029" s="1" t="s">
        <v>20</v>
      </c>
      <c r="R12029" s="1" t="s">
        <v>25316</v>
      </c>
      <c r="V12029" s="1" t="s">
        <v>25319</v>
      </c>
      <c r="W12029" s="1" t="s">
        <v>25320</v>
      </c>
      <c r="AR12029" s="1" t="str">
        <f t="shared" si="761"/>
        <v>| [ㄧㄝ](ㄧㄝ.md) | [掖](掖.md) |  | yē | [動]
塞、藏。《紅樓夢》第九七回：「黛玉點點頭兒，掖在袖裡。」《兒女英雄傳》第五回：「也算多剩了兩個大錢，掖在耳朵眼兒裡。」 |</v>
      </c>
    </row>
    <row r="12030" spans="1:44" hidden="1">
      <c r="A12030" s="1" t="s">
        <v>25321</v>
      </c>
      <c r="C12030" s="1">
        <v>1</v>
      </c>
      <c r="D12030" s="1" t="str">
        <f>"10741"</f>
        <v>10741</v>
      </c>
      <c r="E12030" s="1" t="s">
        <v>28</v>
      </c>
      <c r="F12030" s="1">
        <v>15</v>
      </c>
      <c r="G12030" s="1">
        <v>12</v>
      </c>
      <c r="H12030" s="1">
        <v>0</v>
      </c>
      <c r="I12030" s="1" t="s">
        <v>25315</v>
      </c>
      <c r="K12030" s="1" t="str">
        <f t="shared" si="763"/>
        <v>ㄧ</v>
      </c>
      <c r="L12030" s="1" t="str">
        <f t="shared" si="765"/>
        <v>ㄝ</v>
      </c>
      <c r="M12030" s="1" t="str">
        <f t="shared" si="764"/>
        <v/>
      </c>
      <c r="P12030" s="1" t="s">
        <v>20</v>
      </c>
      <c r="R12030" s="1" t="s">
        <v>25316</v>
      </c>
      <c r="V12030" s="1" t="s">
        <v>25322</v>
      </c>
      <c r="AR12030" s="1" t="str">
        <f t="shared" si="761"/>
        <v>| [ㄧㄝ](ㄧㄝ.md) | [噎](噎.md) |  | yē | [動]
1.食物塞住咽喉，氣透不過來。如：「因噎廢食」、「慢點吃，別噎著了。」《詩經．王風．黍離》：「行邁靡靡，中心如噎。」
2.遮蔽、蔽塞。《管子．度地》：「夏有大露，原煙噎下百草。」《三國志．卷五八．吳書．陸遜傳》：「城門噎不得關，敵乃自斫殺己民，然後得闔。」 |</v>
      </c>
    </row>
    <row r="12031" spans="1:44" hidden="1">
      <c r="A12031" s="1" t="s">
        <v>24445</v>
      </c>
      <c r="C12031" s="1">
        <v>1</v>
      </c>
      <c r="D12031" s="1" t="str">
        <f>"10349"</f>
        <v>10349</v>
      </c>
      <c r="E12031" s="1" t="s">
        <v>12565</v>
      </c>
      <c r="F12031" s="1">
        <v>3</v>
      </c>
      <c r="G12031" s="1">
        <v>0</v>
      </c>
      <c r="H12031" s="1">
        <v>0</v>
      </c>
      <c r="I12031" s="1" t="s">
        <v>24446</v>
      </c>
      <c r="K12031" s="1" t="str">
        <f t="shared" si="763"/>
        <v>ㄧ</v>
      </c>
      <c r="L12031" s="1" t="str">
        <f t="shared" si="765"/>
        <v>ㄠ</v>
      </c>
      <c r="M12031" s="1" t="str">
        <f t="shared" si="764"/>
        <v/>
      </c>
      <c r="P12031" s="1" t="s">
        <v>20</v>
      </c>
      <c r="R12031" s="1" t="s">
        <v>24447</v>
      </c>
      <c r="V12031" s="1" t="s">
        <v>24448</v>
      </c>
      <c r="AR12031" s="1" t="str">
        <f t="shared" si="761"/>
        <v>| [ㄧㄠ](ㄧㄠ.md) | [幺](幺.md) |  | yāo | [形]
細小。《說文解字．幺部》：「幺，小也。」《漢書．卷一〇〇．敘傳上》：「又況幺髍，尚不及數子，而欲闇奸天位者虖！」《晉書．卷九九．殷仲文傳》：「若桓玄之幺麼，豈足數哉！」
[名]
二一四部首之一。 |</v>
      </c>
    </row>
    <row r="12032" spans="1:44" hidden="1">
      <c r="A12032" s="1" t="s">
        <v>25421</v>
      </c>
      <c r="C12032" s="1">
        <v>1</v>
      </c>
      <c r="D12032" s="1" t="str">
        <f>"10788"</f>
        <v>10788</v>
      </c>
      <c r="E12032" s="1" t="s">
        <v>1663</v>
      </c>
      <c r="F12032" s="1">
        <v>3</v>
      </c>
      <c r="G12032" s="1">
        <v>2</v>
      </c>
      <c r="H12032" s="1">
        <v>0</v>
      </c>
      <c r="I12032" s="1" t="s">
        <v>24446</v>
      </c>
      <c r="K12032" s="1" t="str">
        <f t="shared" si="763"/>
        <v>ㄧ</v>
      </c>
      <c r="L12032" s="1" t="str">
        <f t="shared" si="765"/>
        <v>ㄠ</v>
      </c>
      <c r="M12032" s="1" t="str">
        <f t="shared" si="764"/>
        <v/>
      </c>
      <c r="P12032" s="1" t="s">
        <v>20</v>
      </c>
      <c r="R12032" s="1" t="s">
        <v>24447</v>
      </c>
      <c r="V12032" s="1" t="s">
        <v>25422</v>
      </c>
      <c r="AR12032" s="1" t="str">
        <f t="shared" si="761"/>
        <v>| [ㄧㄠ](ㄧㄠ.md) | [么](么.md) |  | yāo | [形]
1.細小。參見「么麼」條。
2.排行最小的。如：「么妹」、「么叔」。
[名]
1.一的別稱。如：「么二三……。」
2.姓。如明代有么謙。 |</v>
      </c>
    </row>
    <row r="12033" spans="1:44" hidden="1">
      <c r="A12033" s="1" t="s">
        <v>25423</v>
      </c>
      <c r="C12033" s="1">
        <v>1</v>
      </c>
      <c r="D12033" s="1" t="str">
        <f>"10789"</f>
        <v>10789</v>
      </c>
      <c r="E12033" s="1" t="s">
        <v>28</v>
      </c>
      <c r="F12033" s="1">
        <v>6</v>
      </c>
      <c r="G12033" s="1">
        <v>3</v>
      </c>
      <c r="H12033" s="1">
        <v>0</v>
      </c>
      <c r="I12033" s="1" t="s">
        <v>24446</v>
      </c>
      <c r="K12033" s="1" t="str">
        <f t="shared" si="763"/>
        <v>ㄧ</v>
      </c>
      <c r="L12033" s="1" t="str">
        <f t="shared" si="765"/>
        <v>ㄠ</v>
      </c>
      <c r="M12033" s="1" t="str">
        <f t="shared" si="764"/>
        <v/>
      </c>
      <c r="P12033" s="1" t="s">
        <v>20</v>
      </c>
      <c r="R12033" s="1" t="s">
        <v>24447</v>
      </c>
      <c r="V12033" s="1" t="s">
        <v>25424</v>
      </c>
      <c r="AR12033" s="1" t="str">
        <f t="shared" si="761"/>
        <v>| [ㄧㄠ](ㄧㄠ.md) | [吆](吆.md) |  | yāo | [動]
大聲呼叫。《紅樓夢》第六〇回：「何苦自己不尊重，大吆小喝，也失了體統。」 |</v>
      </c>
    </row>
    <row r="12034" spans="1:44" hidden="1">
      <c r="A12034" s="1" t="s">
        <v>24500</v>
      </c>
      <c r="C12034" s="1">
        <v>1</v>
      </c>
      <c r="D12034" s="1" t="str">
        <f>"10790"</f>
        <v>10790</v>
      </c>
      <c r="E12034" s="1" t="s">
        <v>563</v>
      </c>
      <c r="F12034" s="1">
        <v>4</v>
      </c>
      <c r="G12034" s="1">
        <v>1</v>
      </c>
      <c r="H12034" s="1">
        <v>1</v>
      </c>
      <c r="I12034" s="1" t="s">
        <v>24446</v>
      </c>
      <c r="K12034" s="1" t="str">
        <f t="shared" si="763"/>
        <v>ㄧ</v>
      </c>
      <c r="L12034" s="1" t="str">
        <f t="shared" si="765"/>
        <v>ㄠ</v>
      </c>
      <c r="M12034" s="1" t="str">
        <f t="shared" si="764"/>
        <v/>
      </c>
      <c r="P12034" s="1" t="s">
        <v>20</v>
      </c>
      <c r="R12034" s="1" t="s">
        <v>24447</v>
      </c>
      <c r="V12034" s="1" t="s">
        <v>25425</v>
      </c>
      <c r="W12034" s="1" t="s">
        <v>25426</v>
      </c>
      <c r="AR12034" s="1" t="str">
        <f t="shared" si="761"/>
        <v>| [ㄧㄠ](ㄧㄠ.md) | [夭](夭.md) |  | yāo | [名]
1.稚嫩的動植物。《詩經．檜風．隰有萇楚》：「隰有萇楚，猗儺其枝。夭之沃沃，樂子之無知。」《國語．魯語上》：「且夫山不槎櫱，澤不伐夭。」
2.災禍。《詩經．小雅．正月》：「民今之無祿，天夭是椓。」《後漢書．卷六〇下．蔡邕傳》：「速速方轂，夭夭是加。」
[形]
茂盛的樣子。《書經．禹貢》：「厥草惟夭，厥木惟喬。」《詩經．周南．桃夭》：「桃之夭夭，灼灼其華。」 |</v>
      </c>
    </row>
    <row r="12035" spans="1:44" hidden="1">
      <c r="A12035" s="1" t="s">
        <v>25427</v>
      </c>
      <c r="C12035" s="1">
        <v>1</v>
      </c>
      <c r="D12035" s="1" t="str">
        <f>"10791"</f>
        <v>10791</v>
      </c>
      <c r="E12035" s="1" t="s">
        <v>534</v>
      </c>
      <c r="F12035" s="1">
        <v>7</v>
      </c>
      <c r="G12035" s="1">
        <v>4</v>
      </c>
      <c r="H12035" s="1">
        <v>0</v>
      </c>
      <c r="I12035" s="1" t="s">
        <v>24446</v>
      </c>
      <c r="K12035" s="1" t="str">
        <f t="shared" si="763"/>
        <v>ㄧ</v>
      </c>
      <c r="L12035" s="1" t="str">
        <f t="shared" si="765"/>
        <v>ㄠ</v>
      </c>
      <c r="M12035" s="1" t="str">
        <f t="shared" si="764"/>
        <v/>
      </c>
      <c r="P12035" s="1" t="s">
        <v>20</v>
      </c>
      <c r="R12035" s="1" t="s">
        <v>24447</v>
      </c>
      <c r="V12035" s="1" t="s">
        <v>25428</v>
      </c>
      <c r="AR12035" s="1" t="str">
        <f t="shared" ref="AR12035:AR12098" si="766">"| ["&amp;I12035&amp;"]("&amp;I12035&amp;".md) | ["&amp;A12035&amp;"]("&amp;A12035&amp;".md) | "&amp;" | "&amp;R12035&amp;" | "&amp;V12035&amp;" |"</f>
        <v>| [ㄧㄠ](ㄧㄠ.md) | [妖](妖.md) |  | yāo | [形]
1.嫵媚、豔麗。《文選．曹植．美女篇》：「美女妖且閑，采桑歧路間。」宋．蘇軾〈牡丹記敘〉：「蓋此花見重於世三百餘年，窮妖極麗，以擅天下之觀美。」
2.裝束奇怪、儀態不莊重。《兒女英雄傳》第七回：「只見她……捲著大寬的桃紅袖子，妖氣妖聲，怪模怪樣的問了那女子一聲。」
[名]
1.違反自然常理的事物或現象。《左傳．莊公十四年》：「人無釁焉，妖不自作，人棄常則妖興。」唐．元稹〈酬劉猛見送〉詩：「種花有顏色，異色即為妖。」
2.傳說中奇怪反常而能害人的東西，多具有法術，能作各種變化。《西遊記》第一七回：「菩薩又怕那妖無禮，卻把一個箍兒丟在那妖頭上。」《警世通言．卷一四．一窟鬼癩道人除怪》：「邪怪為妖，入山洞穴中捉出。」 |</v>
      </c>
    </row>
    <row r="12036" spans="1:44" hidden="1">
      <c r="A12036" s="1" t="s">
        <v>25429</v>
      </c>
      <c r="C12036" s="1">
        <v>1</v>
      </c>
      <c r="D12036" s="1" t="str">
        <f>"10792"</f>
        <v>10792</v>
      </c>
      <c r="E12036" s="1" t="s">
        <v>37</v>
      </c>
      <c r="F12036" s="1">
        <v>8</v>
      </c>
      <c r="G12036" s="1">
        <v>4</v>
      </c>
      <c r="H12036" s="1">
        <v>0</v>
      </c>
      <c r="I12036" s="1" t="s">
        <v>24446</v>
      </c>
      <c r="K12036" s="1" t="str">
        <f t="shared" si="763"/>
        <v>ㄧ</v>
      </c>
      <c r="L12036" s="1" t="str">
        <f t="shared" si="765"/>
        <v>ㄠ</v>
      </c>
      <c r="M12036" s="1" t="str">
        <f t="shared" si="764"/>
        <v/>
      </c>
      <c r="P12036" s="1" t="s">
        <v>20</v>
      </c>
      <c r="R12036" s="1" t="s">
        <v>24447</v>
      </c>
      <c r="V12036" s="1" t="s">
        <v>25430</v>
      </c>
      <c r="AR12036" s="1" t="str">
        <f t="shared" si="766"/>
        <v>| [ㄧㄠ](ㄧㄠ.md) | [芺](芺.md) |  | yāo | [名]
一種草。可供食用。《說文解字．艸部》：「芺，草也。味苦，江南食之以下氣。」《爾雅．釋草》：「鉤芺。」漢．鄭玄．注：「鉤芺，大如拇指，中空，莖頭有臺，似薊，初生可食。」宋．邢昺．疏：「鉤芺，一名鉤，一名芺。」 |</v>
      </c>
    </row>
    <row r="12037" spans="1:44" hidden="1">
      <c r="A12037" s="1" t="s">
        <v>25431</v>
      </c>
      <c r="C12037" s="1">
        <v>1</v>
      </c>
      <c r="D12037" s="1" t="str">
        <f>"10793"</f>
        <v>10793</v>
      </c>
      <c r="E12037" s="1" t="s">
        <v>825</v>
      </c>
      <c r="F12037" s="1">
        <v>9</v>
      </c>
      <c r="G12037" s="1">
        <v>4</v>
      </c>
      <c r="H12037" s="1">
        <v>0</v>
      </c>
      <c r="I12037" s="1" t="s">
        <v>24446</v>
      </c>
      <c r="K12037" s="1" t="str">
        <f t="shared" si="763"/>
        <v>ㄧ</v>
      </c>
      <c r="L12037" s="1" t="str">
        <f t="shared" si="765"/>
        <v>ㄠ</v>
      </c>
      <c r="M12037" s="1" t="str">
        <f t="shared" si="764"/>
        <v/>
      </c>
      <c r="P12037" s="1" t="s">
        <v>20</v>
      </c>
      <c r="R12037" s="1" t="s">
        <v>24447</v>
      </c>
      <c r="V12037" s="1" t="s">
        <v>25432</v>
      </c>
      <c r="AR12037" s="1" t="str">
        <f t="shared" si="766"/>
        <v>| [ㄧㄠ](ㄧㄠ.md) | [祅](祅.md) |  | yāo | [名]
怪異反常的事物或現象。通「妖」。《荀子．天論》：「故水旱不能使之飢渴，寒暑不能使之疾，祅怪不能使之凶。」《漢書．卷二二．禮樂志》：「姦偽不萌，祅孽伏息。」 |</v>
      </c>
    </row>
    <row r="12038" spans="1:44" hidden="1">
      <c r="A12038" s="1" t="s">
        <v>25433</v>
      </c>
      <c r="C12038" s="1">
        <v>1</v>
      </c>
      <c r="D12038" s="1" t="str">
        <f>"10794"</f>
        <v>10794</v>
      </c>
      <c r="E12038" s="1" t="s">
        <v>331</v>
      </c>
      <c r="F12038" s="1">
        <v>11</v>
      </c>
      <c r="G12038" s="1">
        <v>4</v>
      </c>
      <c r="H12038" s="1">
        <v>0</v>
      </c>
      <c r="I12038" s="1" t="s">
        <v>24446</v>
      </c>
      <c r="K12038" s="1" t="str">
        <f t="shared" si="763"/>
        <v>ㄧ</v>
      </c>
      <c r="L12038" s="1" t="str">
        <f t="shared" si="765"/>
        <v>ㄠ</v>
      </c>
      <c r="M12038" s="1" t="str">
        <f t="shared" si="764"/>
        <v/>
      </c>
      <c r="P12038" s="1" t="s">
        <v>20</v>
      </c>
      <c r="R12038" s="1" t="s">
        <v>24447</v>
      </c>
      <c r="V12038" s="1" t="s">
        <v>25434</v>
      </c>
      <c r="AR12038" s="1" t="str">
        <f t="shared" si="766"/>
        <v>| [ㄧㄠ](ㄧㄠ.md) | [訞](訞.md) |  | yāo | [形]
邪惑、怪誕。《荀子．非十二子》：「如是而不服者，則可謂訞怪狡猾之人矣。」《漢書．卷四．文帝紀》：「今法有誹謗訞言之罪，是使眾臣不敢盡情，而上無由聞過失也。」 |</v>
      </c>
    </row>
    <row r="12039" spans="1:44" hidden="1">
      <c r="A12039" s="1" t="s">
        <v>24449</v>
      </c>
      <c r="C12039" s="1">
        <v>1</v>
      </c>
      <c r="D12039" s="1" t="str">
        <f>"10795"</f>
        <v>10795</v>
      </c>
      <c r="E12039" s="1" t="s">
        <v>5293</v>
      </c>
      <c r="F12039" s="1">
        <v>5</v>
      </c>
      <c r="G12039" s="1">
        <v>3</v>
      </c>
      <c r="H12039" s="1">
        <v>2</v>
      </c>
      <c r="I12039" s="1" t="s">
        <v>24446</v>
      </c>
      <c r="K12039" s="1" t="str">
        <f t="shared" si="763"/>
        <v>ㄧ</v>
      </c>
      <c r="L12039" s="1" t="str">
        <f t="shared" si="765"/>
        <v>ㄠ</v>
      </c>
      <c r="M12039" s="1" t="str">
        <f t="shared" si="764"/>
        <v/>
      </c>
      <c r="P12039" s="1" t="s">
        <v>110</v>
      </c>
      <c r="R12039" s="1" t="s">
        <v>24447</v>
      </c>
      <c r="V12039" s="1" t="s">
        <v>111</v>
      </c>
      <c r="W12039" s="1" t="s">
        <v>25435</v>
      </c>
      <c r="AR12039" s="1" t="str">
        <f t="shared" si="766"/>
        <v>| [ㄧㄠ](ㄧㄠ.md) | [凹](凹.md) |  | yāo | (一)之又音。 |</v>
      </c>
    </row>
    <row r="12040" spans="1:44" hidden="1">
      <c r="A12040" s="1" t="s">
        <v>25436</v>
      </c>
      <c r="C12040" s="1">
        <v>1</v>
      </c>
      <c r="D12040" s="1" t="str">
        <f>"10796"</f>
        <v>10796</v>
      </c>
      <c r="E12040" s="1" t="s">
        <v>4317</v>
      </c>
      <c r="F12040" s="1">
        <v>9</v>
      </c>
      <c r="G12040" s="1">
        <v>3</v>
      </c>
      <c r="H12040" s="1">
        <v>2</v>
      </c>
      <c r="I12040" s="1" t="s">
        <v>24446</v>
      </c>
      <c r="K12040" s="1" t="str">
        <f t="shared" si="763"/>
        <v>ㄧ</v>
      </c>
      <c r="L12040" s="1" t="str">
        <f t="shared" si="765"/>
        <v>ㄠ</v>
      </c>
      <c r="M12040" s="1" t="str">
        <f t="shared" si="764"/>
        <v/>
      </c>
      <c r="P12040" s="1" t="s">
        <v>20</v>
      </c>
      <c r="R12040" s="1" t="s">
        <v>24447</v>
      </c>
      <c r="V12040" s="1" t="s">
        <v>25437</v>
      </c>
      <c r="W12040" s="1" t="s">
        <v>25438</v>
      </c>
      <c r="AR12040" s="1" t="str">
        <f t="shared" si="766"/>
        <v>| [ㄧㄠ](ㄧㄠ.md) | [要](要.md) |  | yāo | [名]_x000D_
1.人體軀幹的中段部分。即「腰」。《說文解字．舁部》：「要，身中也。」《墨子．兼愛中》：「昔者，楚靈王好士細要，故靈王之臣，皆以一飯為節。」_x000D_
2.盟約。《論語．憲問》：「久要不忘平生之言，亦可以為成人矣。」三國魏．何晏．集解：「孔曰：『久要，舊約也。』」_x000D_
3.姓。如漢代有要競。_x000D_
[動]_x000D_
1.約定、約束。《樂府詩集．卷七三．雜曲歌辭十三．古辭．焦仲卿妻》：「雖與府吏要，渠會永無緣。」_x000D_
2.邀請。晉．陶淵明〈桃花源記〉：「便要還家，設酒殺雞作食。」_x000D_
3.求取。如：「要求」。《孟子．告子上》：「今之人，修其天爵以要人爵。」_x000D_
4.脅迫。如：「要挾」。《論語．憲問》：「雖曰不要君，吾不信也。」_x000D_
5.攔阻、截擊。《孟子．公孫丑下》：「使數人要於路，曰：『請必無歸而造於朝。』」 |</v>
      </c>
    </row>
    <row r="12041" spans="1:44" hidden="1">
      <c r="A12041" s="1" t="s">
        <v>25439</v>
      </c>
      <c r="C12041" s="1">
        <v>1</v>
      </c>
      <c r="D12041" s="1" t="str">
        <f>"10797"</f>
        <v>10797</v>
      </c>
      <c r="E12041" s="1" t="s">
        <v>28</v>
      </c>
      <c r="F12041" s="1">
        <v>12</v>
      </c>
      <c r="G12041" s="1">
        <v>9</v>
      </c>
      <c r="H12041" s="1">
        <v>0</v>
      </c>
      <c r="I12041" s="1" t="s">
        <v>24446</v>
      </c>
      <c r="K12041" s="1" t="str">
        <f t="shared" si="763"/>
        <v>ㄧ</v>
      </c>
      <c r="L12041" s="1" t="str">
        <f t="shared" si="765"/>
        <v>ㄠ</v>
      </c>
      <c r="M12041" s="1" t="str">
        <f t="shared" si="764"/>
        <v/>
      </c>
      <c r="P12041" s="1" t="s">
        <v>20</v>
      </c>
      <c r="R12041" s="1" t="s">
        <v>24447</v>
      </c>
      <c r="V12041" s="1" t="s">
        <v>25440</v>
      </c>
      <c r="AR12041" s="1" t="str">
        <f t="shared" si="766"/>
        <v>| [ㄧㄠ](ㄧㄠ.md) | [喓](喓.md) |  | yāo | 參見「喓喓」條。 |</v>
      </c>
    </row>
    <row r="12042" spans="1:44" hidden="1">
      <c r="A12042" s="1" t="s">
        <v>25441</v>
      </c>
      <c r="C12042" s="1">
        <v>1</v>
      </c>
      <c r="D12042" s="1" t="str">
        <f>"10798"</f>
        <v>10798</v>
      </c>
      <c r="E12042" s="1" t="s">
        <v>37</v>
      </c>
      <c r="F12042" s="1">
        <v>13</v>
      </c>
      <c r="G12042" s="1">
        <v>9</v>
      </c>
      <c r="H12042" s="1">
        <v>0</v>
      </c>
      <c r="I12042" s="1" t="s">
        <v>24446</v>
      </c>
      <c r="K12042" s="1" t="str">
        <f t="shared" si="763"/>
        <v>ㄧ</v>
      </c>
      <c r="L12042" s="1" t="str">
        <f t="shared" si="765"/>
        <v>ㄠ</v>
      </c>
      <c r="M12042" s="1" t="str">
        <f t="shared" si="764"/>
        <v/>
      </c>
      <c r="P12042" s="1" t="s">
        <v>20</v>
      </c>
      <c r="R12042" s="1" t="s">
        <v>24447</v>
      </c>
      <c r="V12042" s="1" t="s">
        <v>25442</v>
      </c>
      <c r="AR12042" s="1" t="str">
        <f t="shared" si="766"/>
        <v>| [ㄧㄠ](ㄧㄠ.md) | [葽](葽.md) |  | yāo | [名]
植物名。遠志科遠志屬，「遠志」之古稱，參見「遠志」條。
[形]
草木茂盛的樣子。《漢書．卷二二．禮樂志》：「豐草葽，女羅施。」顏師古注引孟康曰：「葽，盛貌也。」晉．左思〈蜀都賦〉：「皛貙氓於葽草，彈言鳥於森木。」 |</v>
      </c>
    </row>
    <row r="12043" spans="1:44" hidden="1">
      <c r="A12043" s="1" t="s">
        <v>25443</v>
      </c>
      <c r="C12043" s="1">
        <v>1</v>
      </c>
      <c r="D12043" s="1" t="str">
        <f>"10799"</f>
        <v>10799</v>
      </c>
      <c r="E12043" s="1" t="s">
        <v>68</v>
      </c>
      <c r="F12043" s="1">
        <v>13</v>
      </c>
      <c r="G12043" s="1">
        <v>9</v>
      </c>
      <c r="H12043" s="1">
        <v>0</v>
      </c>
      <c r="I12043" s="1" t="s">
        <v>24446</v>
      </c>
      <c r="K12043" s="1" t="str">
        <f t="shared" si="763"/>
        <v>ㄧ</v>
      </c>
      <c r="L12043" s="1" t="str">
        <f t="shared" si="765"/>
        <v>ㄠ</v>
      </c>
      <c r="M12043" s="1" t="str">
        <f t="shared" si="764"/>
        <v/>
      </c>
      <c r="P12043" s="1" t="s">
        <v>20</v>
      </c>
      <c r="R12043" s="1" t="s">
        <v>24447</v>
      </c>
      <c r="V12043" s="1" t="s">
        <v>25444</v>
      </c>
      <c r="AR12043" s="1" t="str">
        <f t="shared" si="766"/>
        <v>| [ㄧㄠ](ㄧㄠ.md) | [腰](腰.md) |  | yāo | [名]
1.人體軀幹中間，胯骨以上肋骨以下的部位。如：「柳腰」、「扭腰」、「叉腰」。
2.事物的中間部分。如：「山腰」、「廊腰」。北周．庾信〈枯樹賦〉：「橫洞口而敧臥，頓山腰而半折。」
3.參見「腰子」條。
4.量詞。古代計算腰帶的單位。相當於「條」。《北史．卷七四．柳裘傳》：「以奉使功，賜綵三百匹，金九環帶一腰。」
[動]
佩在腰上。《聊齋志異．卷七．金和尚》：「金若一出，前後數十騎，腰弓矢相摩戛。」 |</v>
      </c>
    </row>
    <row r="12044" spans="1:44" hidden="1">
      <c r="A12044" s="1" t="s">
        <v>25445</v>
      </c>
      <c r="C12044" s="1">
        <v>1</v>
      </c>
      <c r="D12044" s="1" t="str">
        <f>"10800"</f>
        <v>10800</v>
      </c>
      <c r="E12044" s="1" t="s">
        <v>28</v>
      </c>
      <c r="F12044" s="1">
        <v>12</v>
      </c>
      <c r="G12044" s="1">
        <v>9</v>
      </c>
      <c r="H12044" s="1">
        <v>0</v>
      </c>
      <c r="I12044" s="1" t="s">
        <v>24446</v>
      </c>
      <c r="K12044" s="1" t="str">
        <f t="shared" si="763"/>
        <v>ㄧ</v>
      </c>
      <c r="L12044" s="1" t="str">
        <f t="shared" si="765"/>
        <v>ㄠ</v>
      </c>
      <c r="M12044" s="1" t="str">
        <f t="shared" si="764"/>
        <v/>
      </c>
      <c r="P12044" s="1" t="s">
        <v>20</v>
      </c>
      <c r="R12044" s="1" t="s">
        <v>24447</v>
      </c>
      <c r="V12044" s="1" t="s">
        <v>25446</v>
      </c>
      <c r="AR12044" s="1" t="str">
        <f t="shared" si="766"/>
        <v>| [ㄧㄠ](ㄧㄠ.md) | [喲](喲.md) |  | yāo | [歎]
表示驚訝、讚嘆的語氣。如：「喲！想不到他也會來。」
[助]
1.用於句末，表示祈使語氣。如：「來喲！快來買喲！」
2.歌詞中的襯字，無義。如：「虹彩妹妹哼嗨喲，長得好那麼哼嗨喲。」 |</v>
      </c>
    </row>
    <row r="12045" spans="1:44" hidden="1">
      <c r="A12045" s="1" t="s">
        <v>13610</v>
      </c>
      <c r="C12045" s="1">
        <v>1</v>
      </c>
      <c r="D12045" s="1" t="str">
        <f>"10801"</f>
        <v>10801</v>
      </c>
      <c r="E12045" s="1" t="s">
        <v>234</v>
      </c>
      <c r="F12045" s="1">
        <v>16</v>
      </c>
      <c r="G12045" s="1">
        <v>13</v>
      </c>
      <c r="H12045" s="1">
        <v>4</v>
      </c>
      <c r="I12045" s="1" t="s">
        <v>24446</v>
      </c>
      <c r="K12045" s="1" t="str">
        <f t="shared" si="763"/>
        <v>ㄧ</v>
      </c>
      <c r="L12045" s="1" t="str">
        <f t="shared" si="765"/>
        <v>ㄠ</v>
      </c>
      <c r="M12045" s="1" t="str">
        <f t="shared" si="764"/>
        <v/>
      </c>
      <c r="P12045" s="1" t="s">
        <v>20</v>
      </c>
      <c r="R12045" s="1" t="s">
        <v>24447</v>
      </c>
      <c r="V12045" s="1" t="s">
        <v>25447</v>
      </c>
      <c r="W12045" s="1" t="s">
        <v>25448</v>
      </c>
      <c r="AR12045" s="1" t="str">
        <f t="shared" si="766"/>
        <v>| [ㄧㄠ](ㄧㄠ.md) | [徼](徼.md) |  | yāo | [動]
1.要求。《左傳．文公十二年》：「寡君願徼福於周公、魯公以事君。」《漢書．卷六四．嚴安傳》：「侈而無節，則不可贍，民離本而徼末矣。」
2.招致。《左傳．昭公三年》：「余不能治余縣，又焉用州？其以徼禍也。」《荀子．儒效》：「小人則日徼其所惡。」
3.攔阻、攔截。《史記．卷一一七．司馬相如傳》：「然後囿騶虞之珍群，徼麋鹿之怪獸。」 |</v>
      </c>
    </row>
    <row r="12046" spans="1:44" hidden="1">
      <c r="A12046" s="1" t="s">
        <v>25449</v>
      </c>
      <c r="C12046" s="1">
        <v>1</v>
      </c>
      <c r="D12046" s="1" t="str">
        <f>"10802"</f>
        <v>10802</v>
      </c>
      <c r="E12046" s="1" t="s">
        <v>558</v>
      </c>
      <c r="F12046" s="1">
        <v>17</v>
      </c>
      <c r="G12046" s="1">
        <v>13</v>
      </c>
      <c r="H12046" s="1">
        <v>0</v>
      </c>
      <c r="I12046" s="1" t="s">
        <v>24446</v>
      </c>
      <c r="K12046" s="1" t="str">
        <f t="shared" si="763"/>
        <v>ㄧ</v>
      </c>
      <c r="L12046" s="1" t="str">
        <f t="shared" si="765"/>
        <v>ㄠ</v>
      </c>
      <c r="M12046" s="1" t="str">
        <f t="shared" si="764"/>
        <v/>
      </c>
      <c r="P12046" s="1" t="s">
        <v>20</v>
      </c>
      <c r="R12046" s="1" t="s">
        <v>24447</v>
      </c>
      <c r="V12046" s="1" t="s">
        <v>25450</v>
      </c>
      <c r="AR12046" s="1" t="str">
        <f t="shared" si="766"/>
        <v>| [ㄧㄠ](ㄧㄠ.md) | [邀](邀.md) |  | yāo | [動]
1.招請、約請。如：「應邀出席」。唐．李白〈月下獨酌〉詩四首之一：「舉杯邀明月，對影成三人。」
2.求取。如：「邀功」。唐．王維〈送張判官赴河西〉詩：「單車曾出塞，報國敢邀勛。」《宋史．卷二五六．趙普傳》：「不妄希求恩顧以全祿位，不私徇人情以邀名望。」
3.攔截、阻擋。《舊唐書．卷一三五．盧杞傳》：「長安為之罷市，百姓相率千萬眾邀宰相於道訴之。」 |</v>
      </c>
    </row>
    <row r="12047" spans="1:44" hidden="1">
      <c r="A12047" s="1" t="s">
        <v>25583</v>
      </c>
      <c r="C12047" s="1">
        <v>1</v>
      </c>
      <c r="D12047" s="1" t="str">
        <f>"10863"</f>
        <v>10863</v>
      </c>
      <c r="E12047" s="1" t="s">
        <v>114</v>
      </c>
      <c r="F12047" s="1">
        <v>6</v>
      </c>
      <c r="G12047" s="1">
        <v>4</v>
      </c>
      <c r="H12047" s="1">
        <v>0</v>
      </c>
      <c r="I12047" s="1" t="s">
        <v>25584</v>
      </c>
      <c r="K12047" s="1" t="str">
        <f t="shared" si="763"/>
        <v>ㄧ</v>
      </c>
      <c r="L12047" s="1" t="str">
        <f t="shared" si="765"/>
        <v>ㄡ</v>
      </c>
      <c r="M12047" s="1" t="str">
        <f t="shared" si="764"/>
        <v/>
      </c>
      <c r="P12047" s="1" t="s">
        <v>20</v>
      </c>
      <c r="R12047" s="1" t="s">
        <v>25585</v>
      </c>
      <c r="V12047" s="1" t="s">
        <v>25586</v>
      </c>
      <c r="AR12047" s="1" t="str">
        <f t="shared" si="766"/>
        <v>| [ㄧㄡ](ㄧㄡ.md) | [优](优.md) |  | yōu | [形]
形容五穀精白有如人的白髮。《龍龕手鑑．人部》：「优，五穀精如人白髮也。」 |</v>
      </c>
    </row>
    <row r="12048" spans="1:44" hidden="1">
      <c r="A12048" s="1" t="s">
        <v>25587</v>
      </c>
      <c r="C12048" s="1">
        <v>1</v>
      </c>
      <c r="D12048" s="1" t="str">
        <f>"10864"</f>
        <v>10864</v>
      </c>
      <c r="E12048" s="1" t="s">
        <v>426</v>
      </c>
      <c r="F12048" s="1">
        <v>7</v>
      </c>
      <c r="G12048" s="1">
        <v>3</v>
      </c>
      <c r="H12048" s="1">
        <v>0</v>
      </c>
      <c r="I12048" s="1" t="s">
        <v>25584</v>
      </c>
      <c r="K12048" s="1" t="str">
        <f t="shared" si="763"/>
        <v>ㄧ</v>
      </c>
      <c r="L12048" s="1" t="str">
        <f t="shared" si="765"/>
        <v>ㄡ</v>
      </c>
      <c r="M12048" s="1" t="str">
        <f t="shared" si="764"/>
        <v/>
      </c>
      <c r="P12048" s="1" t="s">
        <v>20</v>
      </c>
      <c r="R12048" s="1" t="s">
        <v>25585</v>
      </c>
      <c r="V12048" s="1" t="s">
        <v>25588</v>
      </c>
      <c r="AR12048" s="1" t="str">
        <f t="shared" si="766"/>
        <v>| [ㄧㄡ](ㄧㄡ.md) | [攸](攸.md) |  | yōu | [形]
水流安定的樣子。《說文解字．攴部》：「攸，行水也。」清．段玉裁．注：「水之安行為攸。」
[副]
迅速快捷的樣子。《孟子．萬章上》：「始舍之，圉圉焉，少則洋洋焉，攸然而逝。」漢．趙岐．注：「攸然，迅走趣水深處也。」
[名]
1.處所、地方。《詩經．大雅．韓奕》：「為韓姞相攸，莫如韓樂。」漢．鄭玄．箋：「相，視；攸，所也。……視其所居。」
2.姓。如北燕有攸邁。
[助]
1.置於動詞前，表示聯繫作用。相當於「所」。如：「生死攸關」。晉．陶淵明〈詠三良〉詩：「臨穴罔惟疑，投義志攸希。」
2.用於句首或句中，無義。《書經．洪範》：「予攸好德，汝則錫之福。」
[連]
於是。《詩經．小雅．斯干》：「風雨攸除，鳥鼠攸去，君子攸芋。」 |</v>
      </c>
    </row>
    <row r="12049" spans="1:44" hidden="1">
      <c r="A12049" s="1" t="s">
        <v>25589</v>
      </c>
      <c r="C12049" s="1">
        <v>1</v>
      </c>
      <c r="D12049" s="1" t="str">
        <f>"10865"</f>
        <v>10865</v>
      </c>
      <c r="E12049" s="1" t="s">
        <v>250</v>
      </c>
      <c r="F12049" s="1">
        <v>11</v>
      </c>
      <c r="G12049" s="1">
        <v>7</v>
      </c>
      <c r="H12049" s="1">
        <v>0</v>
      </c>
      <c r="I12049" s="1" t="s">
        <v>25584</v>
      </c>
      <c r="K12049" s="1" t="str">
        <f t="shared" si="763"/>
        <v>ㄧ</v>
      </c>
      <c r="L12049" s="1" t="str">
        <f t="shared" si="765"/>
        <v>ㄡ</v>
      </c>
      <c r="M12049" s="1" t="str">
        <f t="shared" si="764"/>
        <v/>
      </c>
      <c r="P12049" s="1" t="s">
        <v>20</v>
      </c>
      <c r="R12049" s="1" t="s">
        <v>25585</v>
      </c>
      <c r="V12049" s="1" t="s">
        <v>25590</v>
      </c>
      <c r="AR12049" s="1" t="str">
        <f t="shared" si="766"/>
        <v>| [ㄧㄡ](ㄧㄡ.md) | [悠](悠.md) |  | yōu | [形]
1.憂悶、煩憂。《文選．江淹．雜體詩．休上人》：「西北秋風至，楚客心悠哉。」
2.長久、長遠。如：「歷史悠久」。《文選．蘇武．詩四首之四》：「山海隔中州，相去悠且長。」
3.閒靜、恬適。如：「自在悠閒」。唐．韋莊〈對雨獨酌〉詩：「荷鍤醉翁真達者，臥雲逋客竟悠哉。」
[動]
1.北平方言。指懸空擺盪。如：「他用力把鞭子一悠，大家嚇得連退數步。」
2.控制住、穩住。參見「悠著」、「悠停」等條。 |</v>
      </c>
    </row>
    <row r="12050" spans="1:44" hidden="1">
      <c r="A12050" s="1" t="s">
        <v>25591</v>
      </c>
      <c r="C12050" s="1">
        <v>1</v>
      </c>
      <c r="D12050" s="1" t="str">
        <f>"10866"</f>
        <v>10866</v>
      </c>
      <c r="E12050" s="1" t="s">
        <v>129</v>
      </c>
      <c r="F12050" s="1">
        <v>15</v>
      </c>
      <c r="G12050" s="1">
        <v>11</v>
      </c>
      <c r="H12050" s="1">
        <v>0</v>
      </c>
      <c r="I12050" s="1" t="s">
        <v>25584</v>
      </c>
      <c r="K12050" s="1" t="str">
        <f t="shared" si="763"/>
        <v>ㄧ</v>
      </c>
      <c r="L12050" s="1" t="str">
        <f t="shared" si="765"/>
        <v>ㄡ</v>
      </c>
      <c r="M12050" s="1" t="str">
        <f t="shared" si="764"/>
        <v/>
      </c>
      <c r="P12050" s="1" t="s">
        <v>20</v>
      </c>
      <c r="R12050" s="1" t="s">
        <v>25585</v>
      </c>
      <c r="V12050" s="1" t="s">
        <v>25592</v>
      </c>
      <c r="AR12050" s="1" t="str">
        <f t="shared" si="766"/>
        <v>| [ㄧㄡ](ㄧㄡ.md) | [滺](滺.md) |  | yōu | [形]
水流的樣子。《詩經．衛風．竹竿》：「淇水滺滺，檜楫松舟。」 |</v>
      </c>
    </row>
    <row r="12051" spans="1:44" hidden="1">
      <c r="A12051" s="1" t="s">
        <v>25593</v>
      </c>
      <c r="C12051" s="1">
        <v>1</v>
      </c>
      <c r="D12051" s="1" t="str">
        <f>"10867"</f>
        <v>10867</v>
      </c>
      <c r="E12051" s="1" t="s">
        <v>250</v>
      </c>
      <c r="F12051" s="1">
        <v>8</v>
      </c>
      <c r="G12051" s="1">
        <v>5</v>
      </c>
      <c r="H12051" s="1">
        <v>0</v>
      </c>
      <c r="I12051" s="1" t="s">
        <v>25584</v>
      </c>
      <c r="K12051" s="1" t="str">
        <f t="shared" si="763"/>
        <v>ㄧ</v>
      </c>
      <c r="L12051" s="1" t="str">
        <f t="shared" si="765"/>
        <v>ㄡ</v>
      </c>
      <c r="M12051" s="1" t="str">
        <f t="shared" si="764"/>
        <v/>
      </c>
      <c r="P12051" s="1" t="s">
        <v>20</v>
      </c>
      <c r="R12051" s="1" t="s">
        <v>25585</v>
      </c>
      <c r="V12051" s="1" t="s">
        <v>25594</v>
      </c>
      <c r="AR12051" s="1" t="str">
        <f t="shared" si="766"/>
        <v>| [ㄧㄡ](ㄧㄡ.md) | [怮](怮.md) |  | yōu | [形]
1.憂愁的樣子。《說文解字．心部》：「怮，憂貌。」
2.含怒不說話的樣子。《廣韻．平聲．尤韻》：「怮，含怒不言。」 |</v>
      </c>
    </row>
    <row r="12052" spans="1:44" hidden="1">
      <c r="A12052" s="1" t="s">
        <v>25595</v>
      </c>
      <c r="C12052" s="1">
        <v>1</v>
      </c>
      <c r="D12052" s="1" t="str">
        <f>"10868"</f>
        <v>10868</v>
      </c>
      <c r="E12052" s="1" t="s">
        <v>28</v>
      </c>
      <c r="F12052" s="1">
        <v>8</v>
      </c>
      <c r="G12052" s="1">
        <v>5</v>
      </c>
      <c r="H12052" s="1">
        <v>0</v>
      </c>
      <c r="I12052" s="1" t="s">
        <v>25584</v>
      </c>
      <c r="K12052" s="1" t="str">
        <f t="shared" si="763"/>
        <v>ㄧ</v>
      </c>
      <c r="L12052" s="1" t="str">
        <f t="shared" si="765"/>
        <v>ㄡ</v>
      </c>
      <c r="M12052" s="1" t="str">
        <f t="shared" si="764"/>
        <v/>
      </c>
      <c r="P12052" s="1" t="s">
        <v>20</v>
      </c>
      <c r="R12052" s="1" t="s">
        <v>25585</v>
      </c>
      <c r="V12052" s="1" t="s">
        <v>25596</v>
      </c>
      <c r="AR12052" s="1" t="str">
        <f t="shared" si="766"/>
        <v>| [ㄧㄡ](ㄧㄡ.md) | [呦](呦.md) |  | yōu | [擬]
參見「呦呦」條。
[歎]
表示驚訝的語氣。如：「呦！這孩子還真有出息。」 |</v>
      </c>
    </row>
    <row r="12053" spans="1:44" hidden="1">
      <c r="A12053" s="1" t="s">
        <v>25597</v>
      </c>
      <c r="C12053" s="1">
        <v>1</v>
      </c>
      <c r="D12053" s="1" t="str">
        <f>"10869"</f>
        <v>10869</v>
      </c>
      <c r="E12053" s="1" t="s">
        <v>12565</v>
      </c>
      <c r="F12053" s="1">
        <v>9</v>
      </c>
      <c r="G12053" s="1">
        <v>6</v>
      </c>
      <c r="H12053" s="1">
        <v>0</v>
      </c>
      <c r="I12053" s="1" t="s">
        <v>25584</v>
      </c>
      <c r="K12053" s="1" t="str">
        <f t="shared" si="763"/>
        <v>ㄧ</v>
      </c>
      <c r="L12053" s="1" t="str">
        <f t="shared" si="765"/>
        <v>ㄡ</v>
      </c>
      <c r="M12053" s="1" t="str">
        <f t="shared" si="764"/>
        <v/>
      </c>
      <c r="P12053" s="1" t="s">
        <v>20</v>
      </c>
      <c r="R12053" s="1" t="s">
        <v>25585</v>
      </c>
      <c r="V12053" s="1" t="s">
        <v>25598</v>
      </c>
      <c r="AR12053" s="1" t="str">
        <f t="shared" si="766"/>
        <v>| [ㄧㄡ](ㄧㄡ.md) | [幽](幽.md) |  | yōu | [形]
1.隱微的。《史記．卷二四．樂書》：「奮疾而不拔，極幽而不隱。」
2.深遠的。如：「幽遠」。《詩經．小雅．伐木》：「出自幽谷，遷於喬木。」唐．韓偓〈春悶〉詩：「相思不相信，幽恨更誰知。」
3.僻靜的。如：「幽靜」。《文選．張華．情詩二首之一》：「清風動帷簾，晨月照幽房。」
4.清新、雅致的。如：「幽雅」、「清幽」。《老殘遊記》第八回：「上去有塊平地，都是栽的花木，映著月色，異常幽秀。」
5.昏暗不明的。如：「幽暗」。《商君書．禁使》：「今夫幽夜，山陵之大，而離婁不見。」《西遊記》第六七回：「黑雲漠漠遮星漢，燈火無光遍地幽。」
6.退隱的。如：「幽居」。晉．陶淵明〈命子詩〉：「鳳隱于林，幽人在丘。」
[動]
囚禁。如：「幽禁」。《荀子．王霸》：「官人失要則死，公侯失禮則幽。」
[名]
1.鬼神。《北史．卷二五．尉元傳》：「夫至孝通靈，至順感幽。」唐．韓愈〈岳陽樓別竇司直〉詩：「炎風日搜攪，幽怪多冗長。」
2.參見「幽冥」條。 |</v>
      </c>
    </row>
    <row r="12054" spans="1:44" hidden="1">
      <c r="A12054" s="1" t="s">
        <v>25599</v>
      </c>
      <c r="C12054" s="1">
        <v>1</v>
      </c>
      <c r="D12054" s="1" t="str">
        <f>"10870"</f>
        <v>10870</v>
      </c>
      <c r="E12054" s="1" t="s">
        <v>1190</v>
      </c>
      <c r="F12054" s="1">
        <v>13</v>
      </c>
      <c r="G12054" s="1">
        <v>2</v>
      </c>
      <c r="H12054" s="1">
        <v>0</v>
      </c>
      <c r="I12054" s="1" t="s">
        <v>25584</v>
      </c>
      <c r="K12054" s="1" t="str">
        <f t="shared" si="763"/>
        <v>ㄧ</v>
      </c>
      <c r="L12054" s="1" t="str">
        <f t="shared" ref="L12054:L12085" si="767">MID(I12054, 2, 1)</f>
        <v>ㄡ</v>
      </c>
      <c r="M12054" s="1" t="str">
        <f t="shared" si="764"/>
        <v/>
      </c>
      <c r="P12054" s="1" t="s">
        <v>20</v>
      </c>
      <c r="R12054" s="1" t="s">
        <v>25585</v>
      </c>
      <c r="V12054" s="1" t="s">
        <v>25600</v>
      </c>
      <c r="AR12054" s="1" t="str">
        <f t="shared" si="766"/>
        <v>| [ㄧㄡ](ㄧㄡ.md) | [麀](麀.md) |  | yōu | [名]
母鹿。《爾雅．釋獸》：「鹿，牡麚，牝麀。」《詩經．小雅．吉日》：「獸之所同，麀鹿麌麌。」漢．毛亨．傳：「鹿牝曰麀。」
[形]
雌性的。《左傳．襄公四年》：「在帝夷羿，冒于原獸。忘其國恤，而思其麀牡。」 |</v>
      </c>
    </row>
    <row r="12055" spans="1:44" hidden="1">
      <c r="A12055" s="1" t="s">
        <v>25601</v>
      </c>
      <c r="C12055" s="1">
        <v>1</v>
      </c>
      <c r="D12055" s="1" t="str">
        <f>"10871"</f>
        <v>10871</v>
      </c>
      <c r="E12055" s="1" t="s">
        <v>250</v>
      </c>
      <c r="F12055" s="1">
        <v>15</v>
      </c>
      <c r="G12055" s="1">
        <v>11</v>
      </c>
      <c r="H12055" s="1">
        <v>0</v>
      </c>
      <c r="I12055" s="1" t="s">
        <v>25584</v>
      </c>
      <c r="K12055" s="1" t="str">
        <f t="shared" si="763"/>
        <v>ㄧ</v>
      </c>
      <c r="L12055" s="1" t="str">
        <f t="shared" si="767"/>
        <v>ㄡ</v>
      </c>
      <c r="M12055" s="1" t="str">
        <f t="shared" si="764"/>
        <v/>
      </c>
      <c r="P12055" s="1" t="s">
        <v>20</v>
      </c>
      <c r="R12055" s="1" t="s">
        <v>25585</v>
      </c>
      <c r="V12055" s="1" t="s">
        <v>25602</v>
      </c>
      <c r="AR12055" s="1" t="str">
        <f t="shared" si="766"/>
        <v>| [ㄧㄡ](ㄧㄡ.md) | [憂](憂.md) |  | yōu | [動]
發愁、擔心。如：「杞人憂天」。《論語．子罕》：「知者不惑，仁者不憂，勇者不懼。」唐．李白〈梁甫吟〉：「白日不照吾精誠，杞國無事憂天傾。」
[形]
愁悶不快樂。如：「憂傷」、「憂心忡忡」、「憂心如焚」。
[名]
1.煩惱的事。如：「分憂解勞」、「高枕無憂」、「內憂外患」、「無憂無慮」。《論語．衛靈公》：「人無遠慮，必有近憂。」
2.父母的喪事。如：「丁憂」。《梁書．卷五〇．文學傳下．劉杳傳》：「自居母憂，便長斷腥羶，持齋蔬食。」
3.疾病。《孟子．公孫丑下》：「有采薪之憂，不能造朝。今病小愈，趨造於朝。」 |</v>
      </c>
    </row>
    <row r="12056" spans="1:44" hidden="1">
      <c r="A12056" s="1" t="s">
        <v>25603</v>
      </c>
      <c r="C12056" s="1">
        <v>1</v>
      </c>
      <c r="D12056" s="1" t="str">
        <f>"10872"</f>
        <v>10872</v>
      </c>
      <c r="E12056" s="1" t="s">
        <v>114</v>
      </c>
      <c r="F12056" s="1">
        <v>17</v>
      </c>
      <c r="G12056" s="1">
        <v>15</v>
      </c>
      <c r="H12056" s="1">
        <v>0</v>
      </c>
      <c r="I12056" s="1" t="s">
        <v>25584</v>
      </c>
      <c r="K12056" s="1" t="str">
        <f t="shared" si="763"/>
        <v>ㄧ</v>
      </c>
      <c r="L12056" s="1" t="str">
        <f t="shared" si="767"/>
        <v>ㄡ</v>
      </c>
      <c r="M12056" s="1" t="str">
        <f t="shared" si="764"/>
        <v/>
      </c>
      <c r="P12056" s="1" t="s">
        <v>20</v>
      </c>
      <c r="R12056" s="1" t="s">
        <v>25585</v>
      </c>
      <c r="V12056" s="1" t="s">
        <v>25604</v>
      </c>
      <c r="AR12056" s="1" t="str">
        <f t="shared" si="766"/>
        <v>| [ㄧㄡ](ㄧㄡ.md) | [優](優.md) |  | yōu | [形]
1.充沛、富饒。《荀子．王制》：「汙池淵沼川澤，謹其時禁，故魚鱉優多而百姓有餘用也。」《文選．張衡．西京賦》：「何必昏於作勞，邪贏優而足恃。」
2.好的、上等的。如：「優等」、「優秀」。《晉書．卷五一．束晳傳》：「參名比譽，誰劣誰優？」
3.柔弱。如：「優柔寡斷」。《管子．小匡》：「人君唯優與不敏為不可。」
4.悠閑。《詩經．小雅．采菽》：「優哉游哉，亦是戾矣。」《後漢書．卷七〇．鄭太傳》：「然光武以來，中國無警，百姓優逸，忘戰日久。」
[動]
1.協調。《淮南子．原道》：「其德優天地而和陰陽，節四時而調五行。」
2.調戲。《左傳．襄公六年》：「宋華弱與樂轡少相狎，長相優，又相謗也。」
[副]
寬厚。《後漢書．卷一五．李通傳》：「（李通）自為宰相，謝病不視事，連年乞骸骨，帝每優寵之。」《明史．卷二五一．徐光啟傳》：「御史言光啟、以偉相繼沒，蓋棺之日，囊無餘貲，請優恤以媿貪墨者。」
[名]
1.演戲的人。如：「倡優」、「俳優」。《南史．卷三四．周朗傳》：「弘正醜而不陋，吃而能談，俳諧似優。」《紅樓夢》第二回：「縱然偶生於薄祚寒門，斷不能為走健僕，甘遭庸人驅制駕馭，必為奇優名娼。」
2.古之弄臣，如：「優孟」、「優旃」。 |</v>
      </c>
    </row>
    <row r="12057" spans="1:44" hidden="1">
      <c r="A12057" s="1" t="s">
        <v>25605</v>
      </c>
      <c r="C12057" s="1">
        <v>1</v>
      </c>
      <c r="D12057" s="1" t="str">
        <f>"10873"</f>
        <v>10873</v>
      </c>
      <c r="E12057" s="1" t="s">
        <v>256</v>
      </c>
      <c r="F12057" s="1">
        <v>18</v>
      </c>
      <c r="G12057" s="1">
        <v>15</v>
      </c>
      <c r="H12057" s="1">
        <v>0</v>
      </c>
      <c r="I12057" s="1" t="s">
        <v>25584</v>
      </c>
      <c r="K12057" s="1" t="str">
        <f t="shared" si="763"/>
        <v>ㄧ</v>
      </c>
      <c r="L12057" s="1" t="str">
        <f t="shared" si="767"/>
        <v>ㄡ</v>
      </c>
      <c r="M12057" s="1" t="str">
        <f t="shared" si="764"/>
        <v/>
      </c>
      <c r="P12057" s="1" t="s">
        <v>20</v>
      </c>
      <c r="R12057" s="1" t="s">
        <v>25585</v>
      </c>
      <c r="V12057" s="1" t="s">
        <v>25606</v>
      </c>
      <c r="AR12057" s="1" t="str">
        <f t="shared" si="766"/>
        <v>| [ㄧㄡ](ㄧㄡ.md) | [鄾](鄾.md) |  | yōu | [名]
地名。春秋時鄧國屬地，故址在今大陸地區湖北省襄陽市東北。《讀史方輿紀要．卷七九．湖廣五．襄陽府》：「鄾城在府（襄陽府）東北十二里，古鄾子國。」 |</v>
      </c>
    </row>
    <row r="12058" spans="1:44" hidden="1">
      <c r="A12058" s="1" t="s">
        <v>25607</v>
      </c>
      <c r="C12058" s="1">
        <v>1</v>
      </c>
      <c r="D12058" s="1" t="str">
        <f>"10874"</f>
        <v>10874</v>
      </c>
      <c r="E12058" s="1" t="s">
        <v>28</v>
      </c>
      <c r="F12058" s="1">
        <v>18</v>
      </c>
      <c r="G12058" s="1">
        <v>15</v>
      </c>
      <c r="H12058" s="1">
        <v>0</v>
      </c>
      <c r="I12058" s="1" t="s">
        <v>25584</v>
      </c>
      <c r="K12058" s="1" t="str">
        <f t="shared" si="763"/>
        <v>ㄧ</v>
      </c>
      <c r="L12058" s="1" t="str">
        <f t="shared" si="767"/>
        <v>ㄡ</v>
      </c>
      <c r="M12058" s="1" t="str">
        <f t="shared" si="764"/>
        <v/>
      </c>
      <c r="P12058" s="1" t="s">
        <v>20</v>
      </c>
      <c r="R12058" s="1" t="s">
        <v>25585</v>
      </c>
      <c r="V12058" s="1" t="s">
        <v>25608</v>
      </c>
      <c r="AR12058" s="1" t="str">
        <f t="shared" si="766"/>
        <v>| [ㄧㄡ](ㄧㄡ.md) | [嚘](嚘.md) |  | yōu | [形]
語未定的樣子。《說文解字．口部》：「嚘，語未定貌。」
[動]
氣逆。《玉篇．口部》：「嚘，氣逆也。」 |</v>
      </c>
    </row>
    <row r="12059" spans="1:44" hidden="1">
      <c r="A12059" s="1" t="s">
        <v>25609</v>
      </c>
      <c r="C12059" s="1">
        <v>1</v>
      </c>
      <c r="D12059" s="1" t="str">
        <f>"10875"</f>
        <v>10875</v>
      </c>
      <c r="E12059" s="1" t="s">
        <v>139</v>
      </c>
      <c r="F12059" s="1">
        <v>19</v>
      </c>
      <c r="G12059" s="1">
        <v>15</v>
      </c>
      <c r="H12059" s="1">
        <v>0</v>
      </c>
      <c r="I12059" s="1" t="s">
        <v>25584</v>
      </c>
      <c r="K12059" s="1" t="str">
        <f t="shared" si="763"/>
        <v>ㄧ</v>
      </c>
      <c r="L12059" s="1" t="str">
        <f t="shared" si="767"/>
        <v>ㄡ</v>
      </c>
      <c r="M12059" s="1" t="str">
        <f t="shared" si="764"/>
        <v/>
      </c>
      <c r="P12059" s="1" t="s">
        <v>20</v>
      </c>
      <c r="R12059" s="1" t="s">
        <v>25585</v>
      </c>
      <c r="V12059" s="1" t="s">
        <v>25610</v>
      </c>
      <c r="AR12059" s="1" t="str">
        <f t="shared" si="766"/>
        <v>| [ㄧㄡ](ㄧㄡ.md) | [櫌](櫌.md) |  | yōu | [名]
用來鏟平田地或擊碎石塊的農具。《說文解字．木部》：「櫌，摩田器。」《呂氏春秋．仲秋紀．簡選》：「鋤櫌白梃，可以勝人之長銚利兵。」 |</v>
      </c>
    </row>
    <row r="12060" spans="1:44" hidden="1">
      <c r="A12060" s="1" t="s">
        <v>25611</v>
      </c>
      <c r="C12060" s="1">
        <v>1</v>
      </c>
      <c r="D12060" s="1" t="str">
        <f>"10876"</f>
        <v>10876</v>
      </c>
      <c r="E12060" s="1" t="s">
        <v>109</v>
      </c>
      <c r="F12060" s="1">
        <v>21</v>
      </c>
      <c r="G12060" s="1">
        <v>15</v>
      </c>
      <c r="H12060" s="1">
        <v>0</v>
      </c>
      <c r="I12060" s="1" t="s">
        <v>25584</v>
      </c>
      <c r="K12060" s="1" t="str">
        <f t="shared" si="763"/>
        <v>ㄧ</v>
      </c>
      <c r="L12060" s="1" t="str">
        <f t="shared" si="767"/>
        <v>ㄡ</v>
      </c>
      <c r="M12060" s="1" t="str">
        <f t="shared" si="764"/>
        <v/>
      </c>
      <c r="P12060" s="1" t="s">
        <v>20</v>
      </c>
      <c r="R12060" s="1" t="s">
        <v>25585</v>
      </c>
      <c r="V12060" s="1" t="s">
        <v>25612</v>
      </c>
      <c r="AR12060" s="1" t="str">
        <f t="shared" si="766"/>
        <v>| [ㄧㄡ](ㄧㄡ.md) | [耰](耰.md) |  | yōu | [名]
用來平整田土或擊碎土塊的農具。通「櫌」。《淮南子．氾論》：「後世為之耒耜耰鉏，斧柯而樵。」宋．陸游〈東村〉詩二首之一：「野人知我出門稀，男輟鉏耰女下機。」
[動]
用土覆蓋種子。《論語．微子》：「耰而不輟，子路行以告。」《孟子．告子上》：「今夫麰麥，播種而耰之。」 |</v>
      </c>
    </row>
    <row r="12061" spans="1:44" hidden="1">
      <c r="A12061" s="1" t="s">
        <v>25613</v>
      </c>
      <c r="C12061" s="1">
        <v>1</v>
      </c>
      <c r="D12061" s="1" t="str">
        <f>"10877"</f>
        <v>10877</v>
      </c>
      <c r="E12061" s="1" t="s">
        <v>725</v>
      </c>
      <c r="F12061" s="1">
        <v>21</v>
      </c>
      <c r="G12061" s="1">
        <v>15</v>
      </c>
      <c r="H12061" s="1">
        <v>0</v>
      </c>
      <c r="I12061" s="1" t="s">
        <v>25584</v>
      </c>
      <c r="K12061" s="1" t="str">
        <f t="shared" si="763"/>
        <v>ㄧ</v>
      </c>
      <c r="L12061" s="1" t="str">
        <f t="shared" si="767"/>
        <v>ㄡ</v>
      </c>
      <c r="M12061" s="1" t="str">
        <f t="shared" si="764"/>
        <v/>
      </c>
      <c r="P12061" s="1" t="s">
        <v>20</v>
      </c>
      <c r="R12061" s="1" t="s">
        <v>25585</v>
      </c>
      <c r="V12061" s="1" t="s">
        <v>25614</v>
      </c>
      <c r="AR12061" s="1" t="str">
        <f t="shared" si="766"/>
        <v>| [ㄧㄡ](ㄧㄡ.md) | [纋](纋.md) |  | yōu | [名]
笄中央可固定頭髮的部分。《儀禮．士喪禮》：「鬠笄用桑，長四寸，纋中。」漢．鄭玄．注：「纋，笄之中央以安髮。」 |</v>
      </c>
    </row>
    <row r="12062" spans="1:44" hidden="1">
      <c r="A12062" s="1" t="s">
        <v>25733</v>
      </c>
      <c r="C12062" s="1">
        <v>1</v>
      </c>
      <c r="D12062" s="1" t="str">
        <f>"10934"</f>
        <v>10934</v>
      </c>
      <c r="E12062" s="1" t="s">
        <v>563</v>
      </c>
      <c r="F12062" s="1">
        <v>8</v>
      </c>
      <c r="G12062" s="1">
        <v>5</v>
      </c>
      <c r="H12062" s="1">
        <v>2</v>
      </c>
      <c r="I12062" s="1" t="s">
        <v>25734</v>
      </c>
      <c r="K12062" s="1" t="str">
        <f t="shared" si="763"/>
        <v>ㄧ</v>
      </c>
      <c r="L12062" s="1" t="str">
        <f t="shared" si="767"/>
        <v>ㄢ</v>
      </c>
      <c r="M12062" s="1" t="str">
        <f t="shared" si="764"/>
        <v/>
      </c>
      <c r="P12062" s="1" t="s">
        <v>20</v>
      </c>
      <c r="R12062" s="1" t="s">
        <v>25735</v>
      </c>
      <c r="V12062" s="1" t="s">
        <v>25736</v>
      </c>
      <c r="W12062" s="1" t="s">
        <v>25737</v>
      </c>
      <c r="AR12062" s="1" t="str">
        <f t="shared" si="766"/>
        <v>| [ㄧㄢ](ㄧㄢ.md) | [奄](奄.md) |  | yān | [名]
被割掉生殖器的人。通「閹」。如：「奄豎」。《新唐書．卷一三六．李光弼傳．贊曰》：「及困於口舌，不能以忠自明，奄侍內構，遂陷嫌隙。」
[動]
滯留。通「淹」。南朝宋．謝靈運〈登永嘉綠嶂山詩〉：「踐夕奄昏曙，蔽翳皆周悉。」
[副]
久。通「淹」。如：「奄留」。《詩經．周頌．臣工》：「命我眾人，庤乃錢鎛，奄觀銍艾。」 |</v>
      </c>
    </row>
    <row r="12063" spans="1:44" hidden="1">
      <c r="A12063" s="1" t="s">
        <v>25738</v>
      </c>
      <c r="C12063" s="1">
        <v>1</v>
      </c>
      <c r="D12063" s="1" t="str">
        <f>"10935"</f>
        <v>10935</v>
      </c>
      <c r="E12063" s="1" t="s">
        <v>129</v>
      </c>
      <c r="F12063" s="1">
        <v>11</v>
      </c>
      <c r="G12063" s="1">
        <v>8</v>
      </c>
      <c r="H12063" s="1">
        <v>1</v>
      </c>
      <c r="I12063" s="1" t="s">
        <v>25734</v>
      </c>
      <c r="K12063" s="1" t="str">
        <f t="shared" si="763"/>
        <v>ㄧ</v>
      </c>
      <c r="L12063" s="1" t="str">
        <f t="shared" si="767"/>
        <v>ㄢ</v>
      </c>
      <c r="M12063" s="1" t="str">
        <f t="shared" si="764"/>
        <v/>
      </c>
      <c r="P12063" s="1" t="s">
        <v>20</v>
      </c>
      <c r="R12063" s="1" t="s">
        <v>25735</v>
      </c>
      <c r="V12063" s="1" t="s">
        <v>25739</v>
      </c>
      <c r="W12063" s="1" t="s">
        <v>25740</v>
      </c>
      <c r="AR12063" s="1" t="str">
        <f t="shared" si="766"/>
        <v>| [ㄧㄢ](ㄧㄢ.md) | [淹](淹.md) |  | yān | [動]
1.浸漬。《玉篇．水部》：「淹，漬也。」《楚辭．劉向．九歎．怨思》：「淹芳芷於腐井兮，棄雞駭於筐簏。」唐．韓偓〈春盡日〉詩：「柳腰入戶風斜倚，榆莢堆牆水半淹。」
2.滯留、停留。《楚辭．屈原．離騷》：「日月忽其不淹兮，春與秋其代序。」唐．孟浩然〈贈王九〉詩：「日暮田家遠，山中勿久淹。」
3.水分長時間附著在皮膚上，而令人感覺不舒服。如：「胳肢窩被汗淹得難受。」
[副]
深入、精通。南朝梁．劉勰《文心雕龍．體性》：「平子淹通，故慮周而藻密。」《新唐書．卷一一二．王義方傳》：「淹究經術，性謇特，高自標樹。」 |</v>
      </c>
    </row>
    <row r="12064" spans="1:44" hidden="1">
      <c r="A12064" s="1" t="s">
        <v>25741</v>
      </c>
      <c r="C12064" s="1">
        <v>1</v>
      </c>
      <c r="D12064" s="1" t="str">
        <f>"10936"</f>
        <v>10936</v>
      </c>
      <c r="E12064" s="1" t="s">
        <v>190</v>
      </c>
      <c r="F12064" s="1">
        <v>11</v>
      </c>
      <c r="G12064" s="1">
        <v>8</v>
      </c>
      <c r="H12064" s="1">
        <v>0</v>
      </c>
      <c r="I12064" s="1" t="s">
        <v>25734</v>
      </c>
      <c r="K12064" s="1" t="str">
        <f t="shared" si="763"/>
        <v>ㄧ</v>
      </c>
      <c r="L12064" s="1" t="str">
        <f t="shared" si="767"/>
        <v>ㄢ</v>
      </c>
      <c r="M12064" s="1" t="str">
        <f t="shared" si="764"/>
        <v/>
      </c>
      <c r="P12064" s="1" t="s">
        <v>20</v>
      </c>
      <c r="R12064" s="1" t="s">
        <v>25735</v>
      </c>
      <c r="V12064" s="1" t="s">
        <v>25742</v>
      </c>
      <c r="AR12064" s="1" t="str">
        <f t="shared" si="766"/>
        <v>| [ㄧㄢ](ㄧㄢ.md) | [崦](崦.md) |  | yān | [名]
1.參見「崦嵫」條。
2.山。唐．李商隱〈送從翁從東川弘農尚書幕〉詩：「一川虛月魄，萬崦自芝苗。」《三國演義》第七六回：「山崦內又有兩軍撞出，左邊丁奉，右邊徐盛。」 |</v>
      </c>
    </row>
    <row r="12065" spans="1:44" hidden="1">
      <c r="A12065" s="1" t="s">
        <v>24152</v>
      </c>
      <c r="C12065" s="1">
        <v>1</v>
      </c>
      <c r="D12065" s="1" t="str">
        <f>"10937"</f>
        <v>10937</v>
      </c>
      <c r="E12065" s="1" t="s">
        <v>68</v>
      </c>
      <c r="F12065" s="1">
        <v>12</v>
      </c>
      <c r="G12065" s="1">
        <v>8</v>
      </c>
      <c r="H12065" s="1">
        <v>3</v>
      </c>
      <c r="I12065" s="1" t="s">
        <v>25734</v>
      </c>
      <c r="K12065" s="1" t="str">
        <f t="shared" si="763"/>
        <v>ㄧ</v>
      </c>
      <c r="L12065" s="1" t="str">
        <f t="shared" si="767"/>
        <v>ㄢ</v>
      </c>
      <c r="M12065" s="1" t="str">
        <f t="shared" si="764"/>
        <v/>
      </c>
      <c r="P12065" s="1" t="s">
        <v>20</v>
      </c>
      <c r="R12065" s="1" t="s">
        <v>25735</v>
      </c>
      <c r="V12065" s="1" t="s">
        <v>25743</v>
      </c>
      <c r="W12065" s="1" t="s">
        <v>25744</v>
      </c>
      <c r="AR12065" s="1" t="str">
        <f t="shared" si="766"/>
        <v>| [ㄧㄢ](ㄧㄢ.md) | [腌](腌.md) |  | yān | 同「醃」。 |</v>
      </c>
    </row>
    <row r="12066" spans="1:44" hidden="1">
      <c r="A12066" s="1" t="s">
        <v>25745</v>
      </c>
      <c r="C12066" s="1">
        <v>1</v>
      </c>
      <c r="D12066" s="1" t="str">
        <f>"10938"</f>
        <v>10938</v>
      </c>
      <c r="E12066" s="1" t="s">
        <v>1462</v>
      </c>
      <c r="F12066" s="1">
        <v>15</v>
      </c>
      <c r="G12066" s="1">
        <v>8</v>
      </c>
      <c r="H12066" s="1">
        <v>0</v>
      </c>
      <c r="I12066" s="1" t="s">
        <v>25734</v>
      </c>
      <c r="K12066" s="1" t="str">
        <f t="shared" si="763"/>
        <v>ㄧ</v>
      </c>
      <c r="L12066" s="1" t="str">
        <f t="shared" si="767"/>
        <v>ㄢ</v>
      </c>
      <c r="M12066" s="1" t="str">
        <f t="shared" si="764"/>
        <v/>
      </c>
      <c r="P12066" s="1" t="s">
        <v>20</v>
      </c>
      <c r="R12066" s="1" t="s">
        <v>25735</v>
      </c>
      <c r="V12066" s="1" t="s">
        <v>25746</v>
      </c>
      <c r="AR12066" s="1" t="str">
        <f t="shared" si="766"/>
        <v>| [ㄧㄢ](ㄧㄢ.md) | [醃](醃.md) |  | yān | [動]
用鹽、糖、酒等調味料浸漬食物。如：「醃肉」。《水滸傳》第四五回：「宰了的牲口醃了罷，從今日便休要做買賣。」 |</v>
      </c>
    </row>
    <row r="12067" spans="1:44" hidden="1">
      <c r="A12067" s="1" t="s">
        <v>25747</v>
      </c>
      <c r="C12067" s="1">
        <v>1</v>
      </c>
      <c r="D12067" s="1" t="str">
        <f>"10939"</f>
        <v>10939</v>
      </c>
      <c r="E12067" s="1" t="s">
        <v>709</v>
      </c>
      <c r="F12067" s="1">
        <v>16</v>
      </c>
      <c r="G12067" s="1">
        <v>8</v>
      </c>
      <c r="H12067" s="1">
        <v>0</v>
      </c>
      <c r="I12067" s="1" t="s">
        <v>25734</v>
      </c>
      <c r="K12067" s="1" t="str">
        <f t="shared" si="763"/>
        <v>ㄧ</v>
      </c>
      <c r="L12067" s="1" t="str">
        <f t="shared" si="767"/>
        <v>ㄢ</v>
      </c>
      <c r="M12067" s="1" t="str">
        <f t="shared" si="764"/>
        <v/>
      </c>
      <c r="P12067" s="1" t="s">
        <v>20</v>
      </c>
      <c r="R12067" s="1" t="s">
        <v>25735</v>
      </c>
      <c r="V12067" s="1" t="s">
        <v>25748</v>
      </c>
      <c r="AR12067" s="1" t="str">
        <f t="shared" si="766"/>
        <v>| [ㄧㄢ](ㄧㄢ.md) | [閹](閹.md) |  | yān | [名]
被割去生殖器的人。古代多指宦官。《國語．晉語二》：「公令閹楚刺重耳，重耳逃于狄。」清．方苞〈左忠毅公軼事〉：「逆閹防伺甚嚴，雖家僕不得近。」
[動]
割去雄性的生殖器官。如：「閹雞」、「閹牛」。《醒世恆言．卷二四．隋煬帝逸遊召譴》：「義乃出，自閹以求進。」 |</v>
      </c>
    </row>
    <row r="12068" spans="1:44" hidden="1">
      <c r="A12068" s="1" t="s">
        <v>25372</v>
      </c>
      <c r="C12068" s="1">
        <v>1</v>
      </c>
      <c r="D12068" s="1" t="str">
        <f>"10940"</f>
        <v>10940</v>
      </c>
      <c r="E12068" s="1" t="s">
        <v>28</v>
      </c>
      <c r="F12068" s="1">
        <v>9</v>
      </c>
      <c r="G12068" s="1">
        <v>6</v>
      </c>
      <c r="H12068" s="1">
        <v>1</v>
      </c>
      <c r="I12068" s="1" t="s">
        <v>25734</v>
      </c>
      <c r="K12068" s="1" t="str">
        <f t="shared" si="763"/>
        <v>ㄧ</v>
      </c>
      <c r="L12068" s="1" t="str">
        <f t="shared" si="767"/>
        <v>ㄢ</v>
      </c>
      <c r="M12068" s="1" t="str">
        <f t="shared" si="764"/>
        <v/>
      </c>
      <c r="P12068" s="1" t="s">
        <v>20</v>
      </c>
      <c r="R12068" s="1" t="s">
        <v>25735</v>
      </c>
      <c r="V12068" s="1" t="s">
        <v>25749</v>
      </c>
      <c r="W12068" s="1" t="s">
        <v>25750</v>
      </c>
      <c r="AR12068" s="1" t="str">
        <f t="shared" si="766"/>
        <v>| [ㄧㄢ](ㄧㄢ.md) | [咽](咽.md) |  | yān | 參見「咽頭」、「咽喉」等條。 |</v>
      </c>
    </row>
    <row r="12069" spans="1:44" hidden="1">
      <c r="A12069" s="1" t="s">
        <v>25751</v>
      </c>
      <c r="C12069" s="1">
        <v>1</v>
      </c>
      <c r="D12069" s="1" t="str">
        <f>"10941"</f>
        <v>10941</v>
      </c>
      <c r="E12069" s="1" t="s">
        <v>68</v>
      </c>
      <c r="F12069" s="1">
        <v>10</v>
      </c>
      <c r="G12069" s="1">
        <v>6</v>
      </c>
      <c r="H12069" s="1">
        <v>0</v>
      </c>
      <c r="I12069" s="1" t="s">
        <v>25734</v>
      </c>
      <c r="K12069" s="1" t="str">
        <f t="shared" si="763"/>
        <v>ㄧ</v>
      </c>
      <c r="L12069" s="1" t="str">
        <f t="shared" si="767"/>
        <v>ㄢ</v>
      </c>
      <c r="M12069" s="1" t="str">
        <f t="shared" si="764"/>
        <v/>
      </c>
      <c r="P12069" s="1" t="s">
        <v>20</v>
      </c>
      <c r="R12069" s="1" t="s">
        <v>25735</v>
      </c>
      <c r="V12069" s="1" t="s">
        <v>25752</v>
      </c>
      <c r="AR12069" s="1" t="str">
        <f t="shared" si="766"/>
        <v>| [ㄧㄢ](ㄧㄢ.md) | [胭](胭.md) |  | yān | [名]
1.同「咽」(一)。
2.參見「胭脂」條。 |</v>
      </c>
    </row>
    <row r="12070" spans="1:44" hidden="1">
      <c r="A12070" s="1" t="s">
        <v>25753</v>
      </c>
      <c r="C12070" s="1">
        <v>1</v>
      </c>
      <c r="D12070" s="1" t="str">
        <f>"10942"</f>
        <v>10942</v>
      </c>
      <c r="E12070" s="1" t="s">
        <v>5505</v>
      </c>
      <c r="F12070" s="1">
        <v>10</v>
      </c>
      <c r="G12070" s="1">
        <v>6</v>
      </c>
      <c r="H12070" s="1">
        <v>2</v>
      </c>
      <c r="I12070" s="1" t="s">
        <v>25734</v>
      </c>
      <c r="K12070" s="1" t="str">
        <f t="shared" si="763"/>
        <v>ㄧ</v>
      </c>
      <c r="L12070" s="1" t="str">
        <f t="shared" si="767"/>
        <v>ㄢ</v>
      </c>
      <c r="M12070" s="1" t="str">
        <f t="shared" si="764"/>
        <v/>
      </c>
      <c r="P12070" s="1" t="s">
        <v>20</v>
      </c>
      <c r="R12070" s="1" t="s">
        <v>25735</v>
      </c>
      <c r="V12070" s="1" t="s">
        <v>25754</v>
      </c>
      <c r="W12070" s="1" t="s">
        <v>25755</v>
      </c>
      <c r="AR12070" s="1" t="str">
        <f t="shared" si="766"/>
        <v>| [ㄧㄢ](ㄧㄢ.md) | [殷](殷.md) |  | yān | [形]
紅黑色的。《廣韻．平聲．山韻》：「殷，赤黑色。」唐．白居易〈遊悟真寺詩〉：「白珠垂露凝，赤珠滴血殷。」 |</v>
      </c>
    </row>
    <row r="12071" spans="1:44" hidden="1">
      <c r="A12071" s="1" t="s">
        <v>25756</v>
      </c>
      <c r="C12071" s="1">
        <v>1</v>
      </c>
      <c r="D12071" s="1" t="str">
        <f>"10943"</f>
        <v>10943</v>
      </c>
      <c r="E12071" s="1" t="s">
        <v>336</v>
      </c>
      <c r="F12071" s="1">
        <v>11</v>
      </c>
      <c r="G12071" s="1">
        <v>7</v>
      </c>
      <c r="H12071" s="1">
        <v>0</v>
      </c>
      <c r="I12071" s="1" t="s">
        <v>25734</v>
      </c>
      <c r="K12071" s="1" t="str">
        <f t="shared" si="763"/>
        <v>ㄧ</v>
      </c>
      <c r="L12071" s="1" t="str">
        <f t="shared" si="767"/>
        <v>ㄢ</v>
      </c>
      <c r="M12071" s="1" t="str">
        <f t="shared" si="764"/>
        <v/>
      </c>
      <c r="P12071" s="1" t="s">
        <v>20</v>
      </c>
      <c r="R12071" s="1" t="s">
        <v>25735</v>
      </c>
      <c r="V12071" s="1" t="s">
        <v>25757</v>
      </c>
      <c r="AR12071" s="1" t="str">
        <f t="shared" si="766"/>
        <v>| [ㄧㄢ](ㄧㄢ.md) | [焉](焉.md) |  | yān | [代]_x000D_
1.具指示作用，相當於「之」、「此」、「這裡」。如：「心不在焉」。《左傳．僖公二十三年》：「子女玉帛，則君有之；羽毛齒革，則君地生焉。」《論語．衛靈公》：「眾好之，必察焉。」_x000D_
2.表疑問稱代。相當於「哪裡」、「誰」、「甚麼」。《列子．湯問》：「以君之力，曾不能損魁父之丘，如太行、王屋何？且焉置土石？雜曰：『投諸渤海之尾，隱土之北。』」《孔叢子．記問》：「周道衰微，禮樂陵遲，文武既墜，吾將焉歸？」晉．陶淵明〈歸去來辭〉：「歸去來兮，請息交以絕游。世與我而相遺，復駕言兮焉求？」_x000D_
3.兼有介詞加代詞的功能，相當於「於此」。《左傳．隱公元年》：「制，巖邑也。虢叔死焉，佗邑唯命。」《荀子．勸學》：「積土成山，風雨興焉；積水成淵，蛟龍生焉。」_x000D_
[副]_x000D_
具反詰作用。相當於「豈」、「如何」、「哪裡」。如：「塞翁失馬，焉知非福。」《論語．先進》：「未能事人，焉能事鬼。」《史記．卷一一七．司馬相如列傳》：「且夫齊楚之事又焉足道邪！」_x000D_
[介]_x000D_
相當於「於」。《孟子．盡心上》：「人莫大焉亡親戚君臣上下，以其小者信其大者，奚可哉？」_x000D_
[連]_x000D_
承接上文，以表示後果。相當於「乃」、「就」。《墨子．兼愛上》：「必知亂之所自起，焉能治之。」_x000D_
[助]_x000D_
1.表示語氣，置句末：(1)表示肯定。相當於「也」、「矣」。唐．柳宗元〈封建論〉：「夫假物者必爭，爭而不已，必就其能斷曲直者而聽命焉。」(2)表示疑問。相當於「耶」、「呢」。《史記．卷六一．伯夷列傳》：「及夏之時，有卞隨、務光者，此何以稱焉？」(3)表示感嘆。相當於「啊」。《史記．卷一〇二．張釋之馮唐列傳．張釋之》：「使其中無可欲者，雖無石椁，又何戚焉！」_x000D_
2.表示結構關係，用在賓語前置的動詞之前。《左傳．隱公六年》：「我周之東遷，晉、鄭焉依。」《國語．吳語》：「今王播棄黎老，而孩童焉比謀。」_x000D_
[綴]_x000D_
表示狀態，用於形容詞或副詞詞尾。相當於「然」、「樣子」。如：「於我心有戚戚焉。」《書經．秦誓》：「其心休休焉，其如有容。」《論語．子罕》：「瞻之在前，忽焉在後。」 |</v>
      </c>
    </row>
    <row r="12072" spans="1:44" hidden="1">
      <c r="A12072" s="1" t="s">
        <v>25758</v>
      </c>
      <c r="C12072" s="1">
        <v>1</v>
      </c>
      <c r="D12072" s="1" t="str">
        <f>"10944"</f>
        <v>10944</v>
      </c>
      <c r="E12072" s="1" t="s">
        <v>256</v>
      </c>
      <c r="F12072" s="1">
        <v>14</v>
      </c>
      <c r="G12072" s="1">
        <v>11</v>
      </c>
      <c r="H12072" s="1">
        <v>0</v>
      </c>
      <c r="I12072" s="1" t="s">
        <v>25734</v>
      </c>
      <c r="K12072" s="1" t="str">
        <f t="shared" si="763"/>
        <v>ㄧ</v>
      </c>
      <c r="L12072" s="1" t="str">
        <f t="shared" si="767"/>
        <v>ㄢ</v>
      </c>
      <c r="M12072" s="1" t="str">
        <f t="shared" si="764"/>
        <v/>
      </c>
      <c r="P12072" s="1" t="s">
        <v>20</v>
      </c>
      <c r="R12072" s="1" t="s">
        <v>25735</v>
      </c>
      <c r="V12072" s="1" t="s">
        <v>25759</v>
      </c>
      <c r="AR12072" s="1" t="str">
        <f t="shared" si="766"/>
        <v>| [ㄧㄢ](ㄧㄢ.md) | [鄢](鄢.md) |  | yān | [名]
1.國名。春秋時周屬國之一，妘姓。為鄭所滅，改名鄢陵，故址約在今大陸地區河南省鄢陵縣境。
2.姓。如明代有鄢高。 |</v>
      </c>
    </row>
    <row r="12073" spans="1:44" hidden="1">
      <c r="A12073" s="1" t="s">
        <v>25760</v>
      </c>
      <c r="C12073" s="1">
        <v>1</v>
      </c>
      <c r="D12073" s="1" t="str">
        <f>"10945"</f>
        <v>10945</v>
      </c>
      <c r="E12073" s="1" t="s">
        <v>534</v>
      </c>
      <c r="F12073" s="1">
        <v>14</v>
      </c>
      <c r="G12073" s="1">
        <v>11</v>
      </c>
      <c r="H12073" s="1">
        <v>0</v>
      </c>
      <c r="I12073" s="1" t="s">
        <v>25734</v>
      </c>
      <c r="K12073" s="1" t="str">
        <f t="shared" si="763"/>
        <v>ㄧ</v>
      </c>
      <c r="L12073" s="1" t="str">
        <f t="shared" si="767"/>
        <v>ㄢ</v>
      </c>
      <c r="M12073" s="1" t="str">
        <f t="shared" si="764"/>
        <v/>
      </c>
      <c r="P12073" s="1" t="s">
        <v>20</v>
      </c>
      <c r="R12073" s="1" t="s">
        <v>25735</v>
      </c>
      <c r="V12073" s="1" t="s">
        <v>25761</v>
      </c>
      <c r="AR12073" s="1" t="str">
        <f t="shared" si="766"/>
        <v>| [ㄧㄢ](ㄧㄢ.md) | [嫣](嫣.md) |  | yān | [形]
美豔、豔麗。如：「奼紫嫣紅」。五代十國南唐．馮延巳〈三臺令．春色〉詞：「日斜柳暗花嫣，醉臥春色少年。」 |</v>
      </c>
    </row>
    <row r="12074" spans="1:44" hidden="1">
      <c r="A12074" s="1" t="s">
        <v>7535</v>
      </c>
      <c r="C12074" s="1">
        <v>1</v>
      </c>
      <c r="D12074" s="1" t="str">
        <f>"10946"</f>
        <v>10946</v>
      </c>
      <c r="E12074" s="1" t="s">
        <v>37</v>
      </c>
      <c r="F12074" s="1">
        <v>15</v>
      </c>
      <c r="G12074" s="1">
        <v>11</v>
      </c>
      <c r="H12074" s="1">
        <v>1</v>
      </c>
      <c r="I12074" s="1" t="s">
        <v>25734</v>
      </c>
      <c r="K12074" s="1" t="str">
        <f t="shared" si="763"/>
        <v>ㄧ</v>
      </c>
      <c r="L12074" s="1" t="str">
        <f t="shared" si="767"/>
        <v>ㄢ</v>
      </c>
      <c r="M12074" s="1" t="str">
        <f t="shared" si="764"/>
        <v/>
      </c>
      <c r="P12074" s="1" t="s">
        <v>20</v>
      </c>
      <c r="R12074" s="1" t="s">
        <v>25735</v>
      </c>
      <c r="V12074" s="1" t="s">
        <v>25762</v>
      </c>
      <c r="W12074" s="1" t="s">
        <v>25763</v>
      </c>
      <c r="AR12074" s="1" t="str">
        <f t="shared" si="766"/>
        <v>| [ㄧㄢ](ㄧㄢ.md) | [蔫](蔫.md) |  | yān | [形]
枯萎、不新鮮的。唐．韓偓〈春盡日〉詩：「樹頭初日照西簷，樹底蔫花夜雨霑。」 |</v>
      </c>
    </row>
    <row r="12075" spans="1:44" hidden="1">
      <c r="A12075" s="1" t="s">
        <v>25764</v>
      </c>
      <c r="C12075" s="1">
        <v>1</v>
      </c>
      <c r="D12075" s="1" t="str">
        <f>"10947"</f>
        <v>10947</v>
      </c>
      <c r="E12075" s="1" t="s">
        <v>129</v>
      </c>
      <c r="F12075" s="1">
        <v>12</v>
      </c>
      <c r="G12075" s="1">
        <v>9</v>
      </c>
      <c r="H12075" s="1">
        <v>2</v>
      </c>
      <c r="I12075" s="1" t="s">
        <v>25734</v>
      </c>
      <c r="K12075" s="1" t="str">
        <f t="shared" si="763"/>
        <v>ㄧ</v>
      </c>
      <c r="L12075" s="1" t="str">
        <f t="shared" si="767"/>
        <v>ㄢ</v>
      </c>
      <c r="M12075" s="1" t="str">
        <f t="shared" si="764"/>
        <v/>
      </c>
      <c r="P12075" s="1" t="s">
        <v>110</v>
      </c>
      <c r="R12075" s="1" t="s">
        <v>25735</v>
      </c>
      <c r="V12075" s="1" t="s">
        <v>111</v>
      </c>
      <c r="W12075" s="1" t="s">
        <v>25765</v>
      </c>
      <c r="AR12075" s="1" t="str">
        <f t="shared" si="766"/>
        <v>| [ㄧㄢ](ㄧㄢ.md) | [湮](湮.md) |  | yān | (一)之又音。 |</v>
      </c>
    </row>
    <row r="12076" spans="1:44" hidden="1">
      <c r="A12076" s="1" t="s">
        <v>25766</v>
      </c>
      <c r="C12076" s="1">
        <v>1</v>
      </c>
      <c r="D12076" s="1" t="str">
        <f>"10948"</f>
        <v>10948</v>
      </c>
      <c r="E12076" s="1" t="s">
        <v>336</v>
      </c>
      <c r="F12076" s="1">
        <v>13</v>
      </c>
      <c r="G12076" s="1">
        <v>9</v>
      </c>
      <c r="H12076" s="1">
        <v>0</v>
      </c>
      <c r="I12076" s="1" t="s">
        <v>25734</v>
      </c>
      <c r="K12076" s="1" t="str">
        <f t="shared" si="763"/>
        <v>ㄧ</v>
      </c>
      <c r="L12076" s="1" t="str">
        <f t="shared" si="767"/>
        <v>ㄢ</v>
      </c>
      <c r="M12076" s="1" t="str">
        <f t="shared" si="764"/>
        <v/>
      </c>
      <c r="P12076" s="1" t="s">
        <v>20</v>
      </c>
      <c r="R12076" s="1" t="s">
        <v>25735</v>
      </c>
      <c r="V12076" s="1" t="s">
        <v>25767</v>
      </c>
      <c r="AR12076" s="1" t="str">
        <f t="shared" si="766"/>
        <v>| [ㄧㄢ](ㄧㄢ.md) | [煙](煙.md) |  | yān | [名]
1.物質燃燒時所產生的氣狀物。《說文解字．火部》：「煙，火氣也。」如：「炊煙」、「狼煙」。唐．王維〈使至塞上〉詩：「大漠孤煙直，長河落日圓。」
2.山川間像煙一樣的水氣。如：「雲煙」、「煙嵐」。《文選．左思．吳都賦》：「飛爓浮煙，載霞載陰。」
3.煙氣所凝結而成的黑灰，常用以製墨。如：「油煙」、「桐煙」、「鍋煙」。《文選．曹植．樂府詩》：「墨出青松煙，筆出狡兔翰。」
4.特指鴉片。如：「煙土」、「大煙」、「抽大煙」。
5.通「菸」。 |</v>
      </c>
    </row>
    <row r="12077" spans="1:44" hidden="1">
      <c r="A12077" s="1" t="s">
        <v>25768</v>
      </c>
      <c r="C12077" s="1">
        <v>1</v>
      </c>
      <c r="D12077" s="1" t="str">
        <f>"10949"</f>
        <v>10949</v>
      </c>
      <c r="E12077" s="1" t="s">
        <v>37</v>
      </c>
      <c r="F12077" s="1">
        <v>12</v>
      </c>
      <c r="G12077" s="1">
        <v>8</v>
      </c>
      <c r="H12077" s="1">
        <v>1</v>
      </c>
      <c r="I12077" s="1" t="s">
        <v>25734</v>
      </c>
      <c r="K12077" s="1" t="str">
        <f t="shared" si="763"/>
        <v>ㄧ</v>
      </c>
      <c r="L12077" s="1" t="str">
        <f t="shared" si="767"/>
        <v>ㄢ</v>
      </c>
      <c r="M12077" s="1" t="str">
        <f t="shared" si="764"/>
        <v/>
      </c>
      <c r="P12077" s="1" t="s">
        <v>20</v>
      </c>
      <c r="R12077" s="1" t="s">
        <v>25735</v>
      </c>
      <c r="V12077" s="1" t="s">
        <v>25769</v>
      </c>
      <c r="W12077" s="1" t="s">
        <v>25770</v>
      </c>
      <c r="AR12077" s="1" t="str">
        <f t="shared" si="766"/>
        <v>| [ㄧㄢ](ㄧㄢ.md) | [菸](菸.md) |  | yān | [名]
1.植物名。茄科菸草屬，「菸草」之簡稱，參見「菸草」條。
2.菸草的製成品。如：「香菸」、「抽菸」、「雪茄菸」。 |</v>
      </c>
    </row>
    <row r="12078" spans="1:44" hidden="1">
      <c r="A12078" s="1" t="s">
        <v>24339</v>
      </c>
      <c r="C12078" s="1">
        <v>1</v>
      </c>
      <c r="D12078" s="1" t="str">
        <f>"10950"</f>
        <v>10950</v>
      </c>
      <c r="E12078" s="1" t="s">
        <v>709</v>
      </c>
      <c r="F12078" s="1">
        <v>16</v>
      </c>
      <c r="G12078" s="1">
        <v>8</v>
      </c>
      <c r="H12078" s="1">
        <v>2</v>
      </c>
      <c r="I12078" s="1" t="s">
        <v>25734</v>
      </c>
      <c r="K12078" s="1" t="str">
        <f t="shared" si="763"/>
        <v>ㄧ</v>
      </c>
      <c r="L12078" s="1" t="str">
        <f t="shared" si="767"/>
        <v>ㄢ</v>
      </c>
      <c r="M12078" s="1" t="str">
        <f t="shared" si="764"/>
        <v/>
      </c>
      <c r="P12078" s="1" t="s">
        <v>20</v>
      </c>
      <c r="R12078" s="1" t="s">
        <v>25735</v>
      </c>
      <c r="V12078" s="1" t="s">
        <v>25771</v>
      </c>
      <c r="W12078" s="1" t="s">
        <v>25772</v>
      </c>
      <c r="AR12078" s="1" t="str">
        <f t="shared" si="766"/>
        <v>| [ㄧㄢ](ㄧㄢ.md) | [閼](閼.md) |  | yān | 參見「閼氏」條。 |</v>
      </c>
    </row>
    <row r="12079" spans="1:44" hidden="1">
      <c r="A12079" s="1" t="s">
        <v>25773</v>
      </c>
      <c r="C12079" s="1">
        <v>1</v>
      </c>
      <c r="D12079" s="1" t="str">
        <f>"10951"</f>
        <v>10951</v>
      </c>
      <c r="E12079" s="1" t="s">
        <v>1941</v>
      </c>
      <c r="F12079" s="1">
        <v>14</v>
      </c>
      <c r="G12079" s="1">
        <v>12</v>
      </c>
      <c r="H12079" s="1">
        <v>2</v>
      </c>
      <c r="I12079" s="1" t="s">
        <v>25734</v>
      </c>
      <c r="K12079" s="1" t="str">
        <f t="shared" si="763"/>
        <v>ㄧ</v>
      </c>
      <c r="L12079" s="1" t="str">
        <f t="shared" si="767"/>
        <v>ㄢ</v>
      </c>
      <c r="M12079" s="1" t="str">
        <f t="shared" si="764"/>
        <v/>
      </c>
      <c r="P12079" s="1" t="s">
        <v>20</v>
      </c>
      <c r="R12079" s="1" t="s">
        <v>25735</v>
      </c>
      <c r="V12079" s="1" t="s">
        <v>25774</v>
      </c>
      <c r="W12079" s="1" t="s">
        <v>25775</v>
      </c>
      <c r="AR12079" s="1" t="str">
        <f t="shared" si="766"/>
        <v>| [ㄧㄢ](ㄧㄢ.md) | [厭](厭.md) |  | yān | 參見「厭厭」條。 |</v>
      </c>
    </row>
    <row r="12080" spans="1:44" hidden="1">
      <c r="A12080" s="1" t="s">
        <v>25776</v>
      </c>
      <c r="C12080" s="1">
        <v>1</v>
      </c>
      <c r="D12080" s="1" t="str">
        <f>"10952"</f>
        <v>10952</v>
      </c>
      <c r="E12080" s="1" t="s">
        <v>250</v>
      </c>
      <c r="F12080" s="1">
        <v>17</v>
      </c>
      <c r="G12080" s="1">
        <v>14</v>
      </c>
      <c r="H12080" s="1">
        <v>0</v>
      </c>
      <c r="I12080" s="1" t="s">
        <v>25734</v>
      </c>
      <c r="K12080" s="1" t="str">
        <f t="shared" si="763"/>
        <v>ㄧ</v>
      </c>
      <c r="L12080" s="1" t="str">
        <f t="shared" si="767"/>
        <v>ㄢ</v>
      </c>
      <c r="M12080" s="1" t="str">
        <f t="shared" si="764"/>
        <v/>
      </c>
      <c r="P12080" s="1" t="s">
        <v>20</v>
      </c>
      <c r="R12080" s="1" t="s">
        <v>25735</v>
      </c>
      <c r="V12080" s="1" t="s">
        <v>25777</v>
      </c>
      <c r="AR12080" s="1" t="str">
        <f t="shared" si="766"/>
        <v>| [ㄧㄢ](ㄧㄢ.md) | [懨](懨.md) |  | yān | 參見「懨懨」條。 |</v>
      </c>
    </row>
    <row r="12081" spans="1:44" hidden="1">
      <c r="A12081" s="1" t="s">
        <v>25778</v>
      </c>
      <c r="C12081" s="1">
        <v>1</v>
      </c>
      <c r="D12081" s="1" t="str">
        <f>"10953"</f>
        <v>10953</v>
      </c>
      <c r="E12081" s="1" t="s">
        <v>336</v>
      </c>
      <c r="F12081" s="1">
        <v>16</v>
      </c>
      <c r="G12081" s="1">
        <v>12</v>
      </c>
      <c r="H12081" s="1">
        <v>2</v>
      </c>
      <c r="I12081" s="1" t="s">
        <v>25734</v>
      </c>
      <c r="K12081" s="1" t="str">
        <f t="shared" si="763"/>
        <v>ㄧ</v>
      </c>
      <c r="L12081" s="1" t="str">
        <f t="shared" si="767"/>
        <v>ㄢ</v>
      </c>
      <c r="M12081" s="1" t="str">
        <f t="shared" si="764"/>
        <v/>
      </c>
      <c r="P12081" s="1" t="s">
        <v>20</v>
      </c>
      <c r="R12081" s="1" t="s">
        <v>25735</v>
      </c>
      <c r="V12081" s="1" t="s">
        <v>25779</v>
      </c>
      <c r="W12081" s="1" t="s">
        <v>25780</v>
      </c>
      <c r="AR12081" s="1" t="str">
        <f t="shared" si="766"/>
        <v>| [ㄧㄢ](ㄧㄢ.md) | [燕](燕.md) |  | yān | [名]
1.國名：(1)周代姬姓諸侯國，故址在今大陸地區河北、遼寧及韓國北部。為戰國七雄之一，後為秦所滅。(2)東晉時鮮卑慕容氏稱帝，國號燕，分為前燕、後燕、西燕、南燕、北燕。
2.姓。如漢代有燕倉。 |</v>
      </c>
    </row>
    <row r="12082" spans="1:44" hidden="1">
      <c r="A12082" s="1" t="s">
        <v>25995</v>
      </c>
      <c r="C12082" s="1">
        <v>1</v>
      </c>
      <c r="D12082" s="1" t="str">
        <f>"11056"</f>
        <v>11056</v>
      </c>
      <c r="E12082" s="1" t="s">
        <v>2557</v>
      </c>
      <c r="F12082" s="1">
        <v>6</v>
      </c>
      <c r="G12082" s="1">
        <v>3</v>
      </c>
      <c r="H12082" s="1">
        <v>0</v>
      </c>
      <c r="I12082" s="1" t="s">
        <v>25996</v>
      </c>
      <c r="K12082" s="1" t="str">
        <f t="shared" si="763"/>
        <v>ㄧ</v>
      </c>
      <c r="L12082" s="1" t="str">
        <f t="shared" si="767"/>
        <v>ㄣ</v>
      </c>
      <c r="M12082" s="1" t="str">
        <f t="shared" si="764"/>
        <v/>
      </c>
      <c r="P12082" s="1" t="s">
        <v>20</v>
      </c>
      <c r="R12082" s="1" t="s">
        <v>25997</v>
      </c>
      <c r="V12082" s="1" t="s">
        <v>25998</v>
      </c>
      <c r="AR12082" s="1" t="str">
        <f t="shared" si="766"/>
        <v>| [ㄧㄣ](ㄧㄣ.md) | [因](因.md) |  | yīn | [動]
1.憑藉、依據、利用。如：「因地制宜」、「因陋就簡」。《金史．卷七七．宗弼傳》：「宗弼乃因老鸛河故道開三十里通秦淮，一日一夜而成。」
2.承襲、沿襲。如：「因襲」。《論語．為政》：「殷因於夏禮，所損益，可知也。」
3.增添、積累。《論語．先進》：「千乘之國，攝乎大國之間，加之以師旅，因之以饑饉，由也為之，比及三年，可使有勇且知方也。」《史記．卷三〇．平準書》：「太倉之粟陳陳相因，充溢露積於外，至腐敗不可食。」
[名]
原由、緣故。如：「起因」、「誘因」、「原因」、「成因」、「事出有因」、「前因後果」。
[介]
1.經由、透過。《史記．卷五八．梁孝王世家》：「梁王恐，乃使韓安國因長公主謝罪太后，然后得釋。」《後漢書．卷三五．鄭玄傳》：「以山東無足問者，乃西入關，因涿郡盧植，事扶風馬融。」
2.由於。如：「因公出差」、「因事請假」。唐．李白〈崔秋浦柳少府〉詩：「因君樹桃李，此地忽芳菲。」
3.乘、趁。《史記．卷七．項羽本紀》：「此天之亡楚之時也，不如因其機而遂取之。」
[連]
於是、從而。《史記．卷五五．留侯世家》：「良業為取履，因長跪履之。」《鏡花緣》第四八回：「惜湮沒無聞，而哀群芳之不傳，因筆志之。」
[副]
就、乃。《史記．卷七．項羽本紀》：「項王即日因留沛公與飲。」 |</v>
      </c>
    </row>
    <row r="12083" spans="1:44" hidden="1">
      <c r="A12083" s="1" t="s">
        <v>25999</v>
      </c>
      <c r="C12083" s="1">
        <v>1</v>
      </c>
      <c r="D12083" s="1" t="str">
        <f>"11057"</f>
        <v>11057</v>
      </c>
      <c r="E12083" s="1" t="s">
        <v>534</v>
      </c>
      <c r="F12083" s="1">
        <v>9</v>
      </c>
      <c r="G12083" s="1">
        <v>6</v>
      </c>
      <c r="H12083" s="1">
        <v>0</v>
      </c>
      <c r="I12083" s="1" t="s">
        <v>25996</v>
      </c>
      <c r="K12083" s="1" t="str">
        <f t="shared" si="763"/>
        <v>ㄧ</v>
      </c>
      <c r="L12083" s="1" t="str">
        <f t="shared" si="767"/>
        <v>ㄣ</v>
      </c>
      <c r="M12083" s="1" t="str">
        <f t="shared" si="764"/>
        <v/>
      </c>
      <c r="P12083" s="1" t="s">
        <v>20</v>
      </c>
      <c r="R12083" s="1" t="s">
        <v>25997</v>
      </c>
      <c r="V12083" s="1" t="s">
        <v>26000</v>
      </c>
      <c r="AR12083" s="1" t="str">
        <f t="shared" si="766"/>
        <v>| [ㄧㄣ](ㄧㄣ.md) | [姻](姻.md) |  | yīn | [名]
1.婿家。《說文解字．女部》：「姻，婿家也。女之所因，故曰姻。」
2.女婿的父親。《爾雅．釋親》：「婿之父為姻。」《詩經．小雅．節南山》：「瑣瑣姻亞，則無膴仕。」
3.男女結婚的事情。如：「聯姻」、「婚姻」。《詩經．小雅．我行其野》：「不思舊姻，求爾新特。」《紅樓夢》第九七回：「巴不得即見黛玉，盼到今日完姻，真樂得手舞足蹈。」
[形]
由婚姻關係而成為親屬的。如：「姻家」、「姻兄」、「姻親」。 |</v>
      </c>
    </row>
    <row r="12084" spans="1:44" hidden="1">
      <c r="A12084" s="1" t="s">
        <v>26001</v>
      </c>
      <c r="C12084" s="1">
        <v>1</v>
      </c>
      <c r="D12084" s="1" t="str">
        <f>"11058"</f>
        <v>11058</v>
      </c>
      <c r="E12084" s="1" t="s">
        <v>37</v>
      </c>
      <c r="F12084" s="1">
        <v>10</v>
      </c>
      <c r="G12084" s="1">
        <v>6</v>
      </c>
      <c r="H12084" s="1">
        <v>0</v>
      </c>
      <c r="I12084" s="1" t="s">
        <v>25996</v>
      </c>
      <c r="K12084" s="1" t="str">
        <f t="shared" si="763"/>
        <v>ㄧ</v>
      </c>
      <c r="L12084" s="1" t="str">
        <f t="shared" si="767"/>
        <v>ㄣ</v>
      </c>
      <c r="M12084" s="1" t="str">
        <f t="shared" si="764"/>
        <v/>
      </c>
      <c r="P12084" s="1" t="s">
        <v>20</v>
      </c>
      <c r="R12084" s="1" t="s">
        <v>25997</v>
      </c>
      <c r="V12084" s="1" t="s">
        <v>26002</v>
      </c>
      <c r="AR12084" s="1" t="str">
        <f t="shared" si="766"/>
        <v>| [ㄧㄣ](ㄧㄣ.md) | [茵](茵.md) |  | yīn | [名]
1.車上的坐墊。《說文解字．艸部》：「茵，車重席。」《文選．潘岳．西征賦》：「爾乃端策拂茵，彈冠振衣。」唐．李善．注：「茵，車中蓐也。」
2.墊褥的通稱。如：「綠草如茵」。《文選．傅毅．舞賦》：「陳茵席而設坐兮，溢金罍而列玉觴。」唐．李賀〈蘇小小墓〉詩：「草如茵，松如蓋。」 |</v>
      </c>
    </row>
    <row r="12085" spans="1:44" hidden="1">
      <c r="A12085" s="1" t="s">
        <v>26003</v>
      </c>
      <c r="C12085" s="1">
        <v>1</v>
      </c>
      <c r="D12085" s="1" t="str">
        <f>"11059"</f>
        <v>11059</v>
      </c>
      <c r="E12085" s="1" t="s">
        <v>1908</v>
      </c>
      <c r="F12085" s="1">
        <v>10</v>
      </c>
      <c r="G12085" s="1">
        <v>6</v>
      </c>
      <c r="H12085" s="1">
        <v>0</v>
      </c>
      <c r="I12085" s="1" t="s">
        <v>25996</v>
      </c>
      <c r="K12085" s="1" t="str">
        <f t="shared" ref="K12085:K12148" si="768">LEFT(I12085, 1)</f>
        <v>ㄧ</v>
      </c>
      <c r="L12085" s="1" t="str">
        <f t="shared" si="767"/>
        <v>ㄣ</v>
      </c>
      <c r="M12085" s="1" t="str">
        <f t="shared" ref="M12085:M12148" si="769">MID(I12085, 3, 1)</f>
        <v/>
      </c>
      <c r="P12085" s="1" t="s">
        <v>20</v>
      </c>
      <c r="R12085" s="1" t="s">
        <v>25997</v>
      </c>
      <c r="V12085" s="1" t="s">
        <v>26004</v>
      </c>
      <c r="AR12085" s="1" t="str">
        <f t="shared" si="766"/>
        <v>| [ㄧㄣ](ㄧㄣ.md) | [欭](欭.md) |  | yīn | [動]
喑欭：嘆息。《廣韻．去聲．至韻》：「欭，喑欭，歎也。」 |</v>
      </c>
    </row>
    <row r="12086" spans="1:44" hidden="1">
      <c r="A12086" s="1" t="s">
        <v>26005</v>
      </c>
      <c r="C12086" s="1">
        <v>1</v>
      </c>
      <c r="D12086" s="1" t="str">
        <f>"11060"</f>
        <v>11060</v>
      </c>
      <c r="E12086" s="1" t="s">
        <v>2228</v>
      </c>
      <c r="F12086" s="1">
        <v>10</v>
      </c>
      <c r="G12086" s="1">
        <v>6</v>
      </c>
      <c r="H12086" s="1">
        <v>0</v>
      </c>
      <c r="I12086" s="1" t="s">
        <v>25996</v>
      </c>
      <c r="K12086" s="1" t="str">
        <f t="shared" si="768"/>
        <v>ㄧ</v>
      </c>
      <c r="L12086" s="1" t="str">
        <f t="shared" ref="L12086:L12117" si="770">MID(I12086, 2, 1)</f>
        <v>ㄣ</v>
      </c>
      <c r="M12086" s="1" t="str">
        <f t="shared" si="769"/>
        <v/>
      </c>
      <c r="P12086" s="1" t="s">
        <v>20</v>
      </c>
      <c r="R12086" s="1" t="s">
        <v>25997</v>
      </c>
      <c r="V12086" s="1" t="s">
        <v>26006</v>
      </c>
      <c r="AR12086" s="1" t="str">
        <f t="shared" si="766"/>
        <v>| [ㄧㄣ](ㄧㄣ.md) | [氤](氤.md) |  | yīn | 參見「氤氳」條。 |</v>
      </c>
    </row>
    <row r="12087" spans="1:44" hidden="1">
      <c r="A12087" s="1" t="s">
        <v>26007</v>
      </c>
      <c r="C12087" s="1">
        <v>1</v>
      </c>
      <c r="D12087" s="1" t="str">
        <f>"11061"</f>
        <v>11061</v>
      </c>
      <c r="E12087" s="1" t="s">
        <v>340</v>
      </c>
      <c r="F12087" s="1">
        <v>12</v>
      </c>
      <c r="G12087" s="1">
        <v>6</v>
      </c>
      <c r="H12087" s="1">
        <v>0</v>
      </c>
      <c r="I12087" s="1" t="s">
        <v>25996</v>
      </c>
      <c r="K12087" s="1" t="str">
        <f t="shared" si="768"/>
        <v>ㄧ</v>
      </c>
      <c r="L12087" s="1" t="str">
        <f t="shared" si="770"/>
        <v>ㄣ</v>
      </c>
      <c r="M12087" s="1" t="str">
        <f t="shared" si="769"/>
        <v/>
      </c>
      <c r="P12087" s="1" t="s">
        <v>20</v>
      </c>
      <c r="R12087" s="1" t="s">
        <v>25997</v>
      </c>
      <c r="V12087" s="1" t="s">
        <v>26008</v>
      </c>
      <c r="AR12087" s="1" t="str">
        <f t="shared" si="766"/>
        <v>| [ㄧㄣ](ㄧㄣ.md) | [裀](裀.md) |  | yīn | [名]
1.有襯裡的衣服。清．王念孫《廣雅疏證．卷七下．釋器》：「複襂謂之裀。」疏證：「此《說文》所謂重衣也，襂與衫同。……其有裡者，則謂之裀。裀猶重也。」
2.墊褥。通「茵」。漢．司馬相如〈美人賦〉：「裀褥重陳，角枕橫施。」唐．李謹言〈水殿拋毬曲〉二首之二：「堪恨隋家幾帝王，舞裀揉盡繡鴛鴦。」 |</v>
      </c>
    </row>
    <row r="12088" spans="1:44" hidden="1">
      <c r="A12088" s="1" t="s">
        <v>26009</v>
      </c>
      <c r="C12088" s="1">
        <v>1</v>
      </c>
      <c r="D12088" s="1" t="str">
        <f>"11062"</f>
        <v>11062</v>
      </c>
      <c r="E12088" s="1" t="s">
        <v>725</v>
      </c>
      <c r="F12088" s="1">
        <v>12</v>
      </c>
      <c r="G12088" s="1">
        <v>6</v>
      </c>
      <c r="H12088" s="1">
        <v>0</v>
      </c>
      <c r="I12088" s="1" t="s">
        <v>25996</v>
      </c>
      <c r="K12088" s="1" t="str">
        <f t="shared" si="768"/>
        <v>ㄧ</v>
      </c>
      <c r="L12088" s="1" t="str">
        <f t="shared" si="770"/>
        <v>ㄣ</v>
      </c>
      <c r="M12088" s="1" t="str">
        <f t="shared" si="769"/>
        <v/>
      </c>
      <c r="P12088" s="1" t="s">
        <v>20</v>
      </c>
      <c r="R12088" s="1" t="s">
        <v>25997</v>
      </c>
      <c r="V12088" s="1" t="s">
        <v>26010</v>
      </c>
      <c r="AR12088" s="1" t="str">
        <f t="shared" si="766"/>
        <v>| [ㄧㄣ](ㄧㄣ.md) | [絪](絪.md) |  | yīn | [名]
1.參見「絪縕」條。
2.坐墊。通「茵」。《敦煌變文集新書．卷二．妙法蓮華經講經文》：「白角箄中安錦褥，象牙床上布紅絪。」 |</v>
      </c>
    </row>
    <row r="12089" spans="1:44" hidden="1">
      <c r="A12089" s="1" t="s">
        <v>26011</v>
      </c>
      <c r="C12089" s="1">
        <v>1</v>
      </c>
      <c r="D12089" s="1" t="str">
        <f>"11063"</f>
        <v>11063</v>
      </c>
      <c r="E12089" s="1" t="s">
        <v>55</v>
      </c>
      <c r="F12089" s="1">
        <v>14</v>
      </c>
      <c r="G12089" s="1">
        <v>6</v>
      </c>
      <c r="H12089" s="1">
        <v>0</v>
      </c>
      <c r="I12089" s="1" t="s">
        <v>25996</v>
      </c>
      <c r="K12089" s="1" t="str">
        <f t="shared" si="768"/>
        <v>ㄧ</v>
      </c>
      <c r="L12089" s="1" t="str">
        <f t="shared" si="770"/>
        <v>ㄣ</v>
      </c>
      <c r="M12089" s="1" t="str">
        <f t="shared" si="769"/>
        <v/>
      </c>
      <c r="P12089" s="1" t="s">
        <v>20</v>
      </c>
      <c r="R12089" s="1" t="s">
        <v>25997</v>
      </c>
      <c r="V12089" s="1" t="s">
        <v>26012</v>
      </c>
      <c r="AR12089" s="1" t="str">
        <f t="shared" si="766"/>
        <v>| [ㄧㄣ](ㄧㄣ.md) | [銦](銦.md) |  | yīn | [名]
（indium，In）化學元素。原子序49。過渡金屬元素之一。為銀白色軟金屬，延展性佳。可製造金屬合金，及供半導體用。 |</v>
      </c>
    </row>
    <row r="12090" spans="1:44" hidden="1">
      <c r="A12090" s="1" t="s">
        <v>26013</v>
      </c>
      <c r="C12090" s="1">
        <v>1</v>
      </c>
      <c r="D12090" s="1" t="str">
        <f>"11064"</f>
        <v>11064</v>
      </c>
      <c r="E12090" s="1" t="s">
        <v>319</v>
      </c>
      <c r="F12090" s="1">
        <v>16</v>
      </c>
      <c r="G12090" s="1">
        <v>6</v>
      </c>
      <c r="H12090" s="1">
        <v>0</v>
      </c>
      <c r="I12090" s="1" t="s">
        <v>25996</v>
      </c>
      <c r="K12090" s="1" t="str">
        <f t="shared" si="768"/>
        <v>ㄧ</v>
      </c>
      <c r="L12090" s="1" t="str">
        <f t="shared" si="770"/>
        <v>ㄣ</v>
      </c>
      <c r="M12090" s="1" t="str">
        <f t="shared" si="769"/>
        <v/>
      </c>
      <c r="P12090" s="1" t="s">
        <v>20</v>
      </c>
      <c r="R12090" s="1" t="s">
        <v>25997</v>
      </c>
      <c r="V12090" s="1" t="s">
        <v>26014</v>
      </c>
      <c r="AR12090" s="1" t="str">
        <f t="shared" si="766"/>
        <v>| [ㄧㄣ](ㄧㄣ.md) | [駰](駰.md) |  | yīn | [名]
毛色淺黑帶白的馬。《爾雅．釋畜》：「陰白雜毛，駰。」宋．邢昺．疏：「陰，淺黑色也；毛淺黑而白兼雜毛者名駰。」唐．元稹〈代曲江老人百韻〉：「紫絛牽白犬，繡韂被花駰。」 |</v>
      </c>
    </row>
    <row r="12091" spans="1:44" hidden="1">
      <c r="A12091" s="1" t="s">
        <v>26015</v>
      </c>
      <c r="C12091" s="1">
        <v>1</v>
      </c>
      <c r="D12091" s="1" t="str">
        <f>"11065"</f>
        <v>11065</v>
      </c>
      <c r="E12091" s="1" t="s">
        <v>14314</v>
      </c>
      <c r="F12091" s="1">
        <v>9</v>
      </c>
      <c r="G12091" s="1">
        <v>0</v>
      </c>
      <c r="H12091" s="1">
        <v>1</v>
      </c>
      <c r="I12091" s="1" t="s">
        <v>25996</v>
      </c>
      <c r="K12091" s="1" t="str">
        <f t="shared" si="768"/>
        <v>ㄧ</v>
      </c>
      <c r="L12091" s="1" t="str">
        <f t="shared" si="770"/>
        <v>ㄣ</v>
      </c>
      <c r="M12091" s="1" t="str">
        <f t="shared" si="769"/>
        <v/>
      </c>
      <c r="P12091" s="1" t="s">
        <v>20</v>
      </c>
      <c r="R12091" s="1" t="s">
        <v>25997</v>
      </c>
      <c r="V12091" s="1" t="s">
        <v>26016</v>
      </c>
      <c r="W12091" s="1" t="s">
        <v>26017</v>
      </c>
      <c r="AR12091" s="1" t="str">
        <f t="shared" si="766"/>
        <v>| [ㄧㄣ](ㄧㄣ.md) | [音](音.md) |  | yīn | [名]
1.聲響、聲音。如：「噪音」、「雜音」、「錄音」、「餘音繞梁」。
2.腔調。如：「口音」、「鄉音」。宋．蘇軾〈祭石幼安文〉：「竄流江湖，隻影自憐，聞人蜀音，回首粲然。」
3.字的音讀。如：「字音」、「注音」、「音切」。《晉書．卷九一．儒林傳．徐邈傳》：「撰正五經音訓，學者宗之。」
4.書信、消息。如：「回音」、「靜候佳音」、「音信全無」。
5.敬稱他人的言語。如：「玉音」、「德音」。
6.姓。如清代有音泰。
7.二一四部首之一。 |</v>
      </c>
    </row>
    <row r="12092" spans="1:44" hidden="1">
      <c r="A12092" s="1" t="s">
        <v>26018</v>
      </c>
      <c r="C12092" s="1">
        <v>1</v>
      </c>
      <c r="D12092" s="1" t="str">
        <f>"11066"</f>
        <v>11066</v>
      </c>
      <c r="E12092" s="1" t="s">
        <v>250</v>
      </c>
      <c r="F12092" s="1">
        <v>12</v>
      </c>
      <c r="G12092" s="1">
        <v>9</v>
      </c>
      <c r="H12092" s="1">
        <v>0</v>
      </c>
      <c r="I12092" s="1" t="s">
        <v>25996</v>
      </c>
      <c r="K12092" s="1" t="str">
        <f t="shared" si="768"/>
        <v>ㄧ</v>
      </c>
      <c r="L12092" s="1" t="str">
        <f t="shared" si="770"/>
        <v>ㄣ</v>
      </c>
      <c r="M12092" s="1" t="str">
        <f t="shared" si="769"/>
        <v/>
      </c>
      <c r="P12092" s="1" t="s">
        <v>20</v>
      </c>
      <c r="R12092" s="1" t="s">
        <v>25997</v>
      </c>
      <c r="V12092" s="1" t="s">
        <v>26019</v>
      </c>
      <c r="AR12092" s="1" t="str">
        <f t="shared" si="766"/>
        <v>| [ㄧㄣ](ㄧㄣ.md) | [愔](愔.md) |  | yīn | [形]
安詳和樂。《玉篇．心部》：「愔，安和貌，悅貌。」《文選．宋玉．神女賦》：「澹清靜其愔嫕兮，性沉詳而不煩。」 |</v>
      </c>
    </row>
    <row r="12093" spans="1:44" hidden="1">
      <c r="A12093" s="1" t="s">
        <v>26020</v>
      </c>
      <c r="C12093" s="1">
        <v>1</v>
      </c>
      <c r="D12093" s="1" t="str">
        <f>"11067"</f>
        <v>11067</v>
      </c>
      <c r="E12093" s="1" t="s">
        <v>28</v>
      </c>
      <c r="F12093" s="1">
        <v>12</v>
      </c>
      <c r="G12093" s="1">
        <v>9</v>
      </c>
      <c r="H12093" s="1">
        <v>0</v>
      </c>
      <c r="I12093" s="1" t="s">
        <v>25996</v>
      </c>
      <c r="K12093" s="1" t="str">
        <f t="shared" si="768"/>
        <v>ㄧ</v>
      </c>
      <c r="L12093" s="1" t="str">
        <f t="shared" si="770"/>
        <v>ㄣ</v>
      </c>
      <c r="M12093" s="1" t="str">
        <f t="shared" si="769"/>
        <v/>
      </c>
      <c r="P12093" s="1" t="s">
        <v>20</v>
      </c>
      <c r="R12093" s="1" t="s">
        <v>25997</v>
      </c>
      <c r="V12093" s="1" t="s">
        <v>26021</v>
      </c>
      <c r="AR12093" s="1" t="str">
        <f t="shared" si="766"/>
        <v>| [ㄧㄣ](ㄧㄣ.md) | [喑](喑.md) |  | yīn | [副]
嗓啞不能出聲。如：「喑啞」。《後漢書．卷四五．袁安傳》：「遂稱風疾，喑不能言。」
[動]
緘默、沉默。《墨子．親士》：「臣下重其爵，位而不言，近臣則喑，遠臣則唫。」 |</v>
      </c>
    </row>
    <row r="12094" spans="1:44" hidden="1">
      <c r="A12094" s="1" t="s">
        <v>26022</v>
      </c>
      <c r="C12094" s="1">
        <v>1</v>
      </c>
      <c r="D12094" s="1" t="str">
        <f>"11068"</f>
        <v>11068</v>
      </c>
      <c r="E12094" s="1" t="s">
        <v>40</v>
      </c>
      <c r="F12094" s="1">
        <v>14</v>
      </c>
      <c r="G12094" s="1">
        <v>9</v>
      </c>
      <c r="H12094" s="1">
        <v>0</v>
      </c>
      <c r="I12094" s="1" t="s">
        <v>25996</v>
      </c>
      <c r="K12094" s="1" t="str">
        <f t="shared" si="768"/>
        <v>ㄧ</v>
      </c>
      <c r="L12094" s="1" t="str">
        <f t="shared" si="770"/>
        <v>ㄣ</v>
      </c>
      <c r="M12094" s="1" t="str">
        <f t="shared" si="769"/>
        <v/>
      </c>
      <c r="P12094" s="1" t="s">
        <v>20</v>
      </c>
      <c r="R12094" s="1" t="s">
        <v>25997</v>
      </c>
      <c r="V12094" s="1" t="s">
        <v>26023</v>
      </c>
      <c r="AR12094" s="1" t="str">
        <f t="shared" si="766"/>
        <v>| [ㄧㄣ](ㄧㄣ.md) | [瘖](瘖.md) |  | yīn | [形]
嗓啞不能出聲。《玉篇．疒部》：「瘖，啞不能言。」如：「瘖啞」。《淮南子．泰族》：「既瘖且聾，人道不通。」 |</v>
      </c>
    </row>
    <row r="12095" spans="1:44" hidden="1">
      <c r="A12095" s="1" t="s">
        <v>26024</v>
      </c>
      <c r="C12095" s="1">
        <v>1</v>
      </c>
      <c r="D12095" s="1" t="str">
        <f>"11069"</f>
        <v>11069</v>
      </c>
      <c r="E12095" s="1" t="s">
        <v>132</v>
      </c>
      <c r="F12095" s="1">
        <v>9</v>
      </c>
      <c r="G12095" s="1">
        <v>6</v>
      </c>
      <c r="H12095" s="1">
        <v>0</v>
      </c>
      <c r="I12095" s="1" t="s">
        <v>25996</v>
      </c>
      <c r="K12095" s="1" t="str">
        <f t="shared" si="768"/>
        <v>ㄧ</v>
      </c>
      <c r="L12095" s="1" t="str">
        <f t="shared" si="770"/>
        <v>ㄣ</v>
      </c>
      <c r="M12095" s="1" t="str">
        <f t="shared" si="769"/>
        <v/>
      </c>
      <c r="P12095" s="1" t="s">
        <v>20</v>
      </c>
      <c r="R12095" s="1" t="s">
        <v>25997</v>
      </c>
      <c r="V12095" s="1" t="s">
        <v>26025</v>
      </c>
      <c r="AR12095" s="1" t="str">
        <f t="shared" si="766"/>
        <v>| [ㄧㄣ](ㄧㄣ.md) | [垔](垔.md) |  | yīn | [動]
阻塞、堵塞。《說文解字．土部》：「垔，塞也。……〈商書〉曰：『鯀垔洪水。』」 |</v>
      </c>
    </row>
    <row r="12096" spans="1:44" hidden="1">
      <c r="A12096" s="1" t="s">
        <v>25764</v>
      </c>
      <c r="C12096" s="1">
        <v>1</v>
      </c>
      <c r="D12096" s="1" t="str">
        <f>"11070"</f>
        <v>11070</v>
      </c>
      <c r="E12096" s="1" t="s">
        <v>129</v>
      </c>
      <c r="F12096" s="1">
        <v>12</v>
      </c>
      <c r="G12096" s="1">
        <v>9</v>
      </c>
      <c r="H12096" s="1">
        <v>1</v>
      </c>
      <c r="I12096" s="1" t="s">
        <v>25996</v>
      </c>
      <c r="K12096" s="1" t="str">
        <f t="shared" si="768"/>
        <v>ㄧ</v>
      </c>
      <c r="L12096" s="1" t="str">
        <f t="shared" si="770"/>
        <v>ㄣ</v>
      </c>
      <c r="M12096" s="1" t="str">
        <f t="shared" si="769"/>
        <v/>
      </c>
      <c r="P12096" s="1" t="s">
        <v>20</v>
      </c>
      <c r="R12096" s="1" t="s">
        <v>25997</v>
      </c>
      <c r="V12096" s="1" t="s">
        <v>26026</v>
      </c>
      <c r="W12096" s="1" t="s">
        <v>26027</v>
      </c>
      <c r="AR12096" s="1" t="str">
        <f t="shared" si="766"/>
        <v>| [ㄧㄣ](ㄧㄣ.md) | [湮](湮.md) |  | yīn | [動]
1.沒落、埋沒。《說文解字．水部》：「湮，沒也。」如：「古蹟湮滅」、「湮沒無聞」。
2.堵塞。通「堙」。《莊子．天下》：「昔禹之湮洪水，決江河而通四夷九州也。」
[形]
久遠。《新唐書．卷一一〇．諸侯蕃將傳．李多祚傳》：「後入中國，世系湮遠。」 |</v>
      </c>
    </row>
    <row r="12097" spans="1:44" hidden="1">
      <c r="A12097" s="1" t="s">
        <v>26028</v>
      </c>
      <c r="C12097" s="1">
        <v>1</v>
      </c>
      <c r="D12097" s="1" t="str">
        <f>"11071"</f>
        <v>11071</v>
      </c>
      <c r="E12097" s="1" t="s">
        <v>132</v>
      </c>
      <c r="F12097" s="1">
        <v>12</v>
      </c>
      <c r="G12097" s="1">
        <v>9</v>
      </c>
      <c r="H12097" s="1">
        <v>0</v>
      </c>
      <c r="I12097" s="1" t="s">
        <v>25996</v>
      </c>
      <c r="K12097" s="1" t="str">
        <f t="shared" si="768"/>
        <v>ㄧ</v>
      </c>
      <c r="L12097" s="1" t="str">
        <f t="shared" si="770"/>
        <v>ㄣ</v>
      </c>
      <c r="M12097" s="1" t="str">
        <f t="shared" si="769"/>
        <v/>
      </c>
      <c r="P12097" s="1" t="s">
        <v>20</v>
      </c>
      <c r="R12097" s="1" t="s">
        <v>25997</v>
      </c>
      <c r="V12097" s="1" t="s">
        <v>26029</v>
      </c>
      <c r="AR12097" s="1" t="str">
        <f t="shared" si="766"/>
        <v>| [ㄧㄣ](ㄧㄣ.md) | [堙](堙.md) |  | yīn | [動]
1.填塞。《國語．晉語六》：「夷灶堙井，非退而何？」《山海經．北山經》：「（精衛）常銜西山之木石，以堙于東海。」
2.埋沒、泯滅。《抱朴子．外篇．嘉遯》：「猶震雷駭則鼛鼓堙，朝日出則螢燭幽也。」《文選．潘岳．西征賦》：「窺秦墟於渭城，冀闕緬其堙盡。」
[名]
土山。《東周列國志》第五五回：「公子側使軍士築土堙於外，如敵樓之狀。」 |</v>
      </c>
    </row>
    <row r="12098" spans="1:44" hidden="1">
      <c r="A12098" s="1" t="s">
        <v>26030</v>
      </c>
      <c r="C12098" s="1">
        <v>1</v>
      </c>
      <c r="D12098" s="1" t="str">
        <f>"11072"</f>
        <v>11072</v>
      </c>
      <c r="E12098" s="1" t="s">
        <v>825</v>
      </c>
      <c r="F12098" s="1">
        <v>14</v>
      </c>
      <c r="G12098" s="1">
        <v>9</v>
      </c>
      <c r="H12098" s="1">
        <v>0</v>
      </c>
      <c r="I12098" s="1" t="s">
        <v>25996</v>
      </c>
      <c r="K12098" s="1" t="str">
        <f t="shared" si="768"/>
        <v>ㄧ</v>
      </c>
      <c r="L12098" s="1" t="str">
        <f t="shared" si="770"/>
        <v>ㄣ</v>
      </c>
      <c r="M12098" s="1" t="str">
        <f t="shared" si="769"/>
        <v/>
      </c>
      <c r="P12098" s="1" t="s">
        <v>20</v>
      </c>
      <c r="R12098" s="1" t="s">
        <v>25997</v>
      </c>
      <c r="V12098" s="1" t="s">
        <v>26031</v>
      </c>
      <c r="AR12098" s="1" t="str">
        <f t="shared" si="766"/>
        <v>| [ㄧㄣ](ㄧㄣ.md) | [禋](禋.md) |  | yīn | [名]
古代祭天的大典。參見「禋祀」2.條。
[動]
祭祀。《書經．舜典》：「肆類于上帝，禋于六宗。」《國語．周語上》：「不禋於神而求福焉，神必禍之。」三國吳．韋昭．注：「潔祀曰禋。」 |</v>
      </c>
    </row>
    <row r="12099" spans="1:44" hidden="1">
      <c r="A12099" s="1" t="s">
        <v>26032</v>
      </c>
      <c r="C12099" s="1">
        <v>1</v>
      </c>
      <c r="D12099" s="1" t="str">
        <f>"11073"</f>
        <v>11073</v>
      </c>
      <c r="E12099" s="1" t="s">
        <v>709</v>
      </c>
      <c r="F12099" s="1">
        <v>17</v>
      </c>
      <c r="G12099" s="1">
        <v>9</v>
      </c>
      <c r="H12099" s="1">
        <v>0</v>
      </c>
      <c r="I12099" s="1" t="s">
        <v>25996</v>
      </c>
      <c r="K12099" s="1" t="str">
        <f t="shared" si="768"/>
        <v>ㄧ</v>
      </c>
      <c r="L12099" s="1" t="str">
        <f t="shared" si="770"/>
        <v>ㄣ</v>
      </c>
      <c r="M12099" s="1" t="str">
        <f t="shared" si="769"/>
        <v/>
      </c>
      <c r="P12099" s="1" t="s">
        <v>20</v>
      </c>
      <c r="R12099" s="1" t="s">
        <v>25997</v>
      </c>
      <c r="V12099" s="1" t="s">
        <v>26033</v>
      </c>
      <c r="AR12099" s="1" t="str">
        <f t="shared" ref="AR12099:AR12162" si="771">"| ["&amp;I12099&amp;"]("&amp;I12099&amp;".md) | ["&amp;A12099&amp;"]("&amp;A12099&amp;".md) | "&amp;" | "&amp;R12099&amp;" | "&amp;V12099&amp;" |"</f>
        <v>| [ㄧㄣ](ㄧㄣ.md) | [闉](闉.md) |  | yīn | [名]
1.城門。《文選．謝瞻．王撫軍庾西陽集別時為豫章太守庾被徵還東詩》：「分手東城闉，發櫂西江隩。」宋．孟元老《東京夢華錄．卷六．十六日》：「阡陌縱橫，城闉不禁。」
2.姓。如春秋時楚國有闉輿罷。
[動]
填塞。通「堙」。《周禮．地官．掌蜃》：「掌蜃，掌斂互物、蜃物、以共闉壙之蜃。」漢．鄭玄．注：「闉，猶塞也。將井槨先塞下，以蜃禦濕也。」
[形]
屈曲。《莊子．德充符》：「闉跂支離無脤，說衛靈公。」 |</v>
      </c>
    </row>
    <row r="12100" spans="1:44" hidden="1">
      <c r="A12100" s="1" t="s">
        <v>25753</v>
      </c>
      <c r="C12100" s="1">
        <v>1</v>
      </c>
      <c r="D12100" s="1" t="str">
        <f>"11074"</f>
        <v>11074</v>
      </c>
      <c r="E12100" s="1" t="s">
        <v>5505</v>
      </c>
      <c r="F12100" s="1">
        <v>10</v>
      </c>
      <c r="G12100" s="1">
        <v>6</v>
      </c>
      <c r="H12100" s="1">
        <v>1</v>
      </c>
      <c r="I12100" s="1" t="s">
        <v>25996</v>
      </c>
      <c r="K12100" s="1" t="str">
        <f t="shared" si="768"/>
        <v>ㄧ</v>
      </c>
      <c r="L12100" s="1" t="str">
        <f t="shared" si="770"/>
        <v>ㄣ</v>
      </c>
      <c r="M12100" s="1" t="str">
        <f t="shared" si="769"/>
        <v/>
      </c>
      <c r="P12100" s="1" t="s">
        <v>20</v>
      </c>
      <c r="R12100" s="1" t="s">
        <v>25997</v>
      </c>
      <c r="V12100" s="1" t="s">
        <v>26034</v>
      </c>
      <c r="W12100" s="1" t="s">
        <v>26035</v>
      </c>
      <c r="AR12100" s="1" t="str">
        <f t="shared" si="771"/>
        <v>| [ㄧㄣ](ㄧㄣ.md) | [殷](殷.md) |  | yīn | [名]
1.朝代名。參見「殷商」條。
2.姓。如唐代有殷令名。
[形]
1.盛大。《書經．洛誥》：「王肇稱殷禮，祀于新邑。」
2.富足、富裕。如：「殷富」、「殷實」。《後漢書．卷三一．杜詩傳》：「廣拓土田，郡內比室殷足。」
[副]
1.情意深厚、周到。通「慇」。如：「殷切期望」、「招待甚殷」。
2.眾多。《詩經．鄭風．溱洧》：「士與女，殷其盈也。」 |</v>
      </c>
    </row>
    <row r="12101" spans="1:44" hidden="1">
      <c r="A12101" s="1" t="s">
        <v>26036</v>
      </c>
      <c r="C12101" s="1">
        <v>1</v>
      </c>
      <c r="D12101" s="1" t="str">
        <f>"11075"</f>
        <v>11075</v>
      </c>
      <c r="E12101" s="1" t="s">
        <v>250</v>
      </c>
      <c r="F12101" s="1">
        <v>14</v>
      </c>
      <c r="G12101" s="1">
        <v>10</v>
      </c>
      <c r="H12101" s="1">
        <v>0</v>
      </c>
      <c r="I12101" s="1" t="s">
        <v>25996</v>
      </c>
      <c r="K12101" s="1" t="str">
        <f t="shared" si="768"/>
        <v>ㄧ</v>
      </c>
      <c r="L12101" s="1" t="str">
        <f t="shared" si="770"/>
        <v>ㄣ</v>
      </c>
      <c r="M12101" s="1" t="str">
        <f t="shared" si="769"/>
        <v/>
      </c>
      <c r="P12101" s="1" t="s">
        <v>20</v>
      </c>
      <c r="R12101" s="1" t="s">
        <v>25997</v>
      </c>
      <c r="V12101" s="1" t="s">
        <v>26037</v>
      </c>
      <c r="AR12101" s="1" t="str">
        <f t="shared" si="771"/>
        <v>| [ㄧㄣ](ㄧㄣ.md) | [慇](慇.md) |  | yīn | [形]
傷痛。《說文解字．心部》：「慇，痛也。」晉．江淹〈傷愛子賦〉：「屑丹泣於下壤，傃慇憂於上旻。」
[副]
情意周到。《文選．司馬遷．報任少卿書》：「未嘗銜盃酒接慇懃之餘懽。」 |</v>
      </c>
    </row>
    <row r="12102" spans="1:44" hidden="1">
      <c r="A12102" s="1" t="s">
        <v>24617</v>
      </c>
      <c r="C12102" s="1">
        <v>1</v>
      </c>
      <c r="D12102" s="1" t="str">
        <f>"11076"</f>
        <v>11076</v>
      </c>
      <c r="E12102" s="1" t="s">
        <v>691</v>
      </c>
      <c r="F12102" s="1">
        <v>11</v>
      </c>
      <c r="G12102" s="1">
        <v>8</v>
      </c>
      <c r="H12102" s="1">
        <v>1</v>
      </c>
      <c r="I12102" s="1" t="s">
        <v>25996</v>
      </c>
      <c r="K12102" s="1" t="str">
        <f t="shared" si="768"/>
        <v>ㄧ</v>
      </c>
      <c r="L12102" s="1" t="str">
        <f t="shared" si="770"/>
        <v>ㄣ</v>
      </c>
      <c r="M12102" s="1" t="str">
        <f t="shared" si="769"/>
        <v/>
      </c>
      <c r="P12102" s="1" t="s">
        <v>20</v>
      </c>
      <c r="R12102" s="1" t="s">
        <v>25997</v>
      </c>
      <c r="V12102" s="1" t="s">
        <v>26038</v>
      </c>
      <c r="W12102" s="1" t="s">
        <v>26039</v>
      </c>
      <c r="AR12102" s="1" t="str">
        <f t="shared" si="771"/>
        <v>| [ㄧㄣ](ㄧㄣ.md) | [陰](陰.md) |  | yīn | [名]_x000D_
1.山的北面或水的南面。《說文解字．阜部》：「陰，水之南、山之北也。」如：「山陰」、「淮陰」。三國魏．曹丕〈善哉行〉四首之四：「朝遊高臺觀，夕宴華池陰。」_x000D_
2.陽光照不到的地方。如：「樹陰」。漢．枚乘〈上書諫吳王〉：「不如就陰而止，影滅跡絕。」宋．周邦彥〈蘭陵王．柳陰直〉詞：「柳陰直，煙裡絲絲弄碧。」_x000D_
3.泛指背面。如：「碑陰」。南朝梁．丘遲〈為范雲謝示毛龜啟〉：「翱翔卷耳之陰，浮遊蓮葉之上。」宋．蘇軾〈四菩薩閣記〉：「長安有故藏經龕，唐明皇帝所建，其門四達，八版，皆吳道子畫。陽為菩薩，陰為天王。凡十有六軀。」_x000D_
4.日影。常用指時間。如：「惜陰」、「寸金難買寸光陰」。《晉書．卷六六．列傳．陶侃》：「大禹聖者，乃惜寸陰，至於眾人，當惜分陰，豈可逸遊荒醉。」_x000D_
5.月亮。如：「太陰」。漢．桓寬《鹽鐵論．非鞅》：「故利於彼者，必耗於此，猶陰陽之不並曜，晝夜之有長短也。」_x000D_
6.人的生殖器官。如：「外陰」、「陰部」。_x000D_
7.古人用指對立事物中的一方。與「陽」相對。如天、男為陽，地、女為陰。_x000D_
8.姓。如隋代有陰世師。_x000D_
[形]_x000D_
1.昏暗的。與「晴」相對。如：「陰天」、「陰雨」。_x000D_
2.祕密的、不光明的。如：「陰計」、「陰謀」。《韓非子．孤憤》：「智術之士，明察聽用，且燭重人之陰情。」_x000D_
3.險詐、狡猾。如：「陰險狠毒」、「陰狠可怕」。_x000D_
4.帶負電的。與「正」、「陽」相對。如：「陰離子」、「陰電」。_x000D_
5.柔性的、雌性的、女性的。如：「陰柔」、「陰性」。_x000D_
6.有關死人或鬼魂的。如：「陰間」、「陰曹地府」。晉．木華〈海賦〉：「陽冰不冶，陰火潛然。」《紅樓夢》第一五回：「你是素日知道我的，從來不信什麼是陰司地獄報應的。」_x000D_
[副]_x000D_
暗地的、偷偷的。《戰國策．秦策二》：「張儀反秦，使人使齊，齊、秦之交陰合。」《三國志．卷七．魏書．呂布臧洪傳．呂布》：「（卓）嘗小失意，拔手戟擲布。布拳捷避之，為卓顧謝，卓意亦解。由是陰怨卓。」 |</v>
      </c>
    </row>
    <row r="12103" spans="1:44" hidden="1">
      <c r="A12103" s="1" t="s">
        <v>26147</v>
      </c>
      <c r="C12103" s="1">
        <v>1</v>
      </c>
      <c r="D12103" s="1" t="str">
        <f>"11126"</f>
        <v>11126</v>
      </c>
      <c r="E12103" s="1" t="s">
        <v>563</v>
      </c>
      <c r="F12103" s="1">
        <v>5</v>
      </c>
      <c r="G12103" s="1">
        <v>2</v>
      </c>
      <c r="H12103" s="1">
        <v>0</v>
      </c>
      <c r="I12103" s="1" t="s">
        <v>26148</v>
      </c>
      <c r="K12103" s="1" t="str">
        <f t="shared" si="768"/>
        <v>ㄧ</v>
      </c>
      <c r="L12103" s="1" t="str">
        <f t="shared" si="770"/>
        <v>ㄤ</v>
      </c>
      <c r="M12103" s="1" t="str">
        <f t="shared" si="769"/>
        <v/>
      </c>
      <c r="P12103" s="1" t="s">
        <v>20</v>
      </c>
      <c r="R12103" s="1" t="s">
        <v>26149</v>
      </c>
      <c r="V12103" s="1" t="s">
        <v>26150</v>
      </c>
      <c r="AR12103" s="1" t="str">
        <f t="shared" si="771"/>
        <v>| [ㄧㄤ](ㄧㄤ.md) | [央](央.md) |  | yāng | [形]
中間、中心。《詩經．秦風．蒹葭》：「遡游從之，宛在水中央。」《莊子．應帝王》：「北海之帝為忽，中央之帝為渾沌。」
[動]
1.盡、完了。《楚辭．屈原．離騷》：「及年歲之未晏兮，時亦猶其未央。」《文選．劉楨．贈五官中郎將詩四首之一》：「四牡向路馳，歡悅誠未央。」
2.請求、懇求。如：「央求」。《水滸傳》第二四回：「老身也前日央人看來，說道明日是個黃道好日。」 |</v>
      </c>
    </row>
    <row r="12104" spans="1:44" hidden="1">
      <c r="A12104" s="1" t="s">
        <v>26151</v>
      </c>
      <c r="C12104" s="1">
        <v>1</v>
      </c>
      <c r="D12104" s="1" t="str">
        <f>"11127"</f>
        <v>11127</v>
      </c>
      <c r="E12104" s="1" t="s">
        <v>114</v>
      </c>
      <c r="F12104" s="1">
        <v>7</v>
      </c>
      <c r="G12104" s="1">
        <v>5</v>
      </c>
      <c r="H12104" s="1">
        <v>0</v>
      </c>
      <c r="I12104" s="1" t="s">
        <v>26148</v>
      </c>
      <c r="K12104" s="1" t="str">
        <f t="shared" si="768"/>
        <v>ㄧ</v>
      </c>
      <c r="L12104" s="1" t="str">
        <f t="shared" si="770"/>
        <v>ㄤ</v>
      </c>
      <c r="M12104" s="1" t="str">
        <f t="shared" si="769"/>
        <v/>
      </c>
      <c r="P12104" s="1" t="s">
        <v>20</v>
      </c>
      <c r="R12104" s="1" t="s">
        <v>26149</v>
      </c>
      <c r="V12104" s="1" t="s">
        <v>26152</v>
      </c>
      <c r="AR12104" s="1" t="str">
        <f t="shared" si="771"/>
        <v>| [ㄧㄤ](ㄧㄤ.md) | [佒](佒.md) |  | yāng | [形]
1.身體不能伸展的樣子。《玉篇．人部》：「佒，體不伸也。」
2.參見「偃佒」條。 |</v>
      </c>
    </row>
    <row r="12105" spans="1:44" hidden="1">
      <c r="A12105" s="1" t="s">
        <v>26153</v>
      </c>
      <c r="C12105" s="1">
        <v>1</v>
      </c>
      <c r="D12105" s="1" t="str">
        <f>"11128"</f>
        <v>11128</v>
      </c>
      <c r="E12105" s="1" t="s">
        <v>129</v>
      </c>
      <c r="F12105" s="1">
        <v>8</v>
      </c>
      <c r="G12105" s="1">
        <v>5</v>
      </c>
      <c r="H12105" s="1">
        <v>0</v>
      </c>
      <c r="I12105" s="1" t="s">
        <v>26148</v>
      </c>
      <c r="K12105" s="1" t="str">
        <f t="shared" si="768"/>
        <v>ㄧ</v>
      </c>
      <c r="L12105" s="1" t="str">
        <f t="shared" si="770"/>
        <v>ㄤ</v>
      </c>
      <c r="M12105" s="1" t="str">
        <f t="shared" si="769"/>
        <v/>
      </c>
      <c r="P12105" s="1" t="s">
        <v>20</v>
      </c>
      <c r="R12105" s="1" t="s">
        <v>26149</v>
      </c>
      <c r="V12105" s="1" t="s">
        <v>26154</v>
      </c>
      <c r="AR12105" s="1" t="str">
        <f t="shared" si="771"/>
        <v>| [ㄧㄤ](ㄧㄤ.md) | [泱](泱.md) |  | yāng | [形]
1.雲氣興起的樣子。《文選．潘岳．射雉賦》：「天泱泱以垂雲，泉涓涓而吐溜。」
2.宏大深廣的樣子。參見「泱泱」條。 |</v>
      </c>
    </row>
    <row r="12106" spans="1:44" hidden="1">
      <c r="A12106" s="1" t="s">
        <v>26155</v>
      </c>
      <c r="C12106" s="1">
        <v>1</v>
      </c>
      <c r="D12106" s="1" t="str">
        <f>"11129"</f>
        <v>11129</v>
      </c>
      <c r="E12106" s="1" t="s">
        <v>1372</v>
      </c>
      <c r="F12106" s="1">
        <v>9</v>
      </c>
      <c r="G12106" s="1">
        <v>5</v>
      </c>
      <c r="H12106" s="1">
        <v>0</v>
      </c>
      <c r="I12106" s="1" t="s">
        <v>26148</v>
      </c>
      <c r="K12106" s="1" t="str">
        <f t="shared" si="768"/>
        <v>ㄧ</v>
      </c>
      <c r="L12106" s="1" t="str">
        <f t="shared" si="770"/>
        <v>ㄤ</v>
      </c>
      <c r="M12106" s="1" t="str">
        <f t="shared" si="769"/>
        <v/>
      </c>
      <c r="P12106" s="1" t="s">
        <v>20</v>
      </c>
      <c r="R12106" s="1" t="s">
        <v>26149</v>
      </c>
      <c r="V12106" s="1" t="s">
        <v>26156</v>
      </c>
      <c r="AR12106" s="1" t="str">
        <f t="shared" si="771"/>
        <v>| [ㄧㄤ](ㄧㄤ.md) | [殃](殃.md) |  | yāng | [名]
災禍。如：「遭殃」、「池魚之殃」。《易經．坤卦．文言曰》：「積善之家，必有餘慶；積不善之家，必有餘殃。」唐．韓愈〈圬者王承福傳〉：「食焉而怠其事必有天殃，故吾不敢一日捨鏝以嬉。」
[動]
殘害。如：「禍國殃民」。《孟子．告子下》：「殃民者，不容於堯舜之世。」 |</v>
      </c>
    </row>
    <row r="12107" spans="1:44" hidden="1">
      <c r="A12107" s="1" t="s">
        <v>26157</v>
      </c>
      <c r="C12107" s="1">
        <v>1</v>
      </c>
      <c r="D12107" s="1" t="str">
        <f>"11130"</f>
        <v>11130</v>
      </c>
      <c r="E12107" s="1" t="s">
        <v>429</v>
      </c>
      <c r="F12107" s="1">
        <v>10</v>
      </c>
      <c r="G12107" s="1">
        <v>5</v>
      </c>
      <c r="H12107" s="1">
        <v>0</v>
      </c>
      <c r="I12107" s="1" t="s">
        <v>26148</v>
      </c>
      <c r="K12107" s="1" t="str">
        <f t="shared" si="768"/>
        <v>ㄧ</v>
      </c>
      <c r="L12107" s="1" t="str">
        <f t="shared" si="770"/>
        <v>ㄤ</v>
      </c>
      <c r="M12107" s="1" t="str">
        <f t="shared" si="769"/>
        <v/>
      </c>
      <c r="P12107" s="1" t="s">
        <v>20</v>
      </c>
      <c r="R12107" s="1" t="s">
        <v>26149</v>
      </c>
      <c r="V12107" s="1" t="s">
        <v>26158</v>
      </c>
      <c r="AR12107" s="1" t="str">
        <f t="shared" si="771"/>
        <v>| [ㄧㄤ](ㄧㄤ.md) | [秧](秧.md) |  | yāng | [名]
1.稻苗。《說文解字．禾部》「秧」字．清．段玉裁．注：「秧，今俗謂稻之初生者曰秧。」如：「插秧」。唐．張籍〈江村行〉：「江南熱旱天氣毒，雨中移秧顏色鮮。」
2.植物的幼苗。如：「樹秧」、「花秧」。也稱為「秧兒」。
3.初生的動物。如：「魚秧」、「豬秧」。也稱為「秧子」。
4.某些植物的莖。如：「豆秧」、「瓜秧」。
[動]
培養、栽種。如：「秧幾棵花」、「秧一盆魚」。唐．元稹〈紀懷贈李六戶曹崔二十功曹五十韻〉：「躡屐看秧稻，敲船和採菱。」 |</v>
      </c>
    </row>
    <row r="12108" spans="1:44" hidden="1">
      <c r="A12108" s="1" t="s">
        <v>26159</v>
      </c>
      <c r="C12108" s="1">
        <v>1</v>
      </c>
      <c r="D12108" s="1" t="str">
        <f>"11131"</f>
        <v>11131</v>
      </c>
      <c r="E12108" s="1" t="s">
        <v>55</v>
      </c>
      <c r="F12108" s="1">
        <v>13</v>
      </c>
      <c r="G12108" s="1">
        <v>5</v>
      </c>
      <c r="H12108" s="1">
        <v>0</v>
      </c>
      <c r="I12108" s="1" t="s">
        <v>26148</v>
      </c>
      <c r="K12108" s="1" t="str">
        <f t="shared" si="768"/>
        <v>ㄧ</v>
      </c>
      <c r="L12108" s="1" t="str">
        <f t="shared" si="770"/>
        <v>ㄤ</v>
      </c>
      <c r="M12108" s="1" t="str">
        <f t="shared" si="769"/>
        <v/>
      </c>
      <c r="P12108" s="1" t="s">
        <v>20</v>
      </c>
      <c r="R12108" s="1" t="s">
        <v>26149</v>
      </c>
      <c r="V12108" s="1" t="s">
        <v>26160</v>
      </c>
      <c r="AR12108" s="1" t="str">
        <f t="shared" si="771"/>
        <v>| [ㄧㄤ](ㄧㄤ.md) | [鉠](鉠.md) |  | yāng | [擬]
鉠鉠：形容鈴聲。《文選．張衡．東京賦》：「鑾聲噦噦，和鈴鉠鉠。」唐．李白〈明堂賦〉：「建翠華兮萋萋，鳴玉鑾之鉠鉠。」 |</v>
      </c>
    </row>
    <row r="12109" spans="1:44" hidden="1">
      <c r="A12109" s="1" t="s">
        <v>26161</v>
      </c>
      <c r="C12109" s="1">
        <v>1</v>
      </c>
      <c r="D12109" s="1" t="str">
        <f>"11132"</f>
        <v>11132</v>
      </c>
      <c r="E12109" s="1" t="s">
        <v>96</v>
      </c>
      <c r="F12109" s="1">
        <v>14</v>
      </c>
      <c r="G12109" s="1">
        <v>5</v>
      </c>
      <c r="H12109" s="1">
        <v>1</v>
      </c>
      <c r="I12109" s="1" t="s">
        <v>26148</v>
      </c>
      <c r="K12109" s="1" t="str">
        <f t="shared" si="768"/>
        <v>ㄧ</v>
      </c>
      <c r="L12109" s="1" t="str">
        <f t="shared" si="770"/>
        <v>ㄤ</v>
      </c>
      <c r="M12109" s="1" t="str">
        <f t="shared" si="769"/>
        <v/>
      </c>
      <c r="P12109" s="1" t="s">
        <v>20</v>
      </c>
      <c r="R12109" s="1" t="s">
        <v>26149</v>
      </c>
      <c r="V12109" s="1" t="s">
        <v>26162</v>
      </c>
      <c r="W12109" s="1" t="s">
        <v>26163</v>
      </c>
      <c r="AR12109" s="1" t="str">
        <f t="shared" si="771"/>
        <v>| [ㄧㄤ](ㄧㄤ.md) | [鞅](鞅.md) |  | yāng | [名]
1.套在馬頸上，用以駕車的皮帶。《左傳．襄公十八年》：「大子抽劍斷鞅乃止。」
2.泛指車馬。晉．陶淵明〈歸園田居〉詩五首之二：「野外罕人事，窮巷寡輪鞅。」
[副]
不滿意的樣子。參見「鞅鞅」條。 |</v>
      </c>
    </row>
    <row r="12110" spans="1:44" hidden="1">
      <c r="A12110" s="1" t="s">
        <v>26164</v>
      </c>
      <c r="C12110" s="1">
        <v>1</v>
      </c>
      <c r="D12110" s="1" t="str">
        <f>"11133"</f>
        <v>11133</v>
      </c>
      <c r="E12110" s="1" t="s">
        <v>272</v>
      </c>
      <c r="F12110" s="1">
        <v>16</v>
      </c>
      <c r="G12110" s="1">
        <v>5</v>
      </c>
      <c r="H12110" s="1">
        <v>0</v>
      </c>
      <c r="I12110" s="1" t="s">
        <v>26148</v>
      </c>
      <c r="K12110" s="1" t="str">
        <f t="shared" si="768"/>
        <v>ㄧ</v>
      </c>
      <c r="L12110" s="1" t="str">
        <f t="shared" si="770"/>
        <v>ㄤ</v>
      </c>
      <c r="M12110" s="1" t="str">
        <f t="shared" si="769"/>
        <v/>
      </c>
      <c r="P12110" s="1" t="s">
        <v>20</v>
      </c>
      <c r="R12110" s="1" t="s">
        <v>26149</v>
      </c>
      <c r="V12110" s="1" t="s">
        <v>26165</v>
      </c>
      <c r="AR12110" s="1" t="str">
        <f t="shared" si="771"/>
        <v>| [ㄧㄤ](ㄧㄤ.md) | [鴦](鴦.md) |  | yāng | [名]
參見「鴛鴦」條。 |</v>
      </c>
    </row>
    <row r="12111" spans="1:44" hidden="1">
      <c r="A12111" s="1" t="s">
        <v>26238</v>
      </c>
      <c r="C12111" s="1">
        <v>1</v>
      </c>
      <c r="D12111" s="1" t="str">
        <f>"11167"</f>
        <v>11167</v>
      </c>
      <c r="E12111" s="1" t="s">
        <v>37</v>
      </c>
      <c r="F12111" s="1">
        <v>9</v>
      </c>
      <c r="G12111" s="1">
        <v>5</v>
      </c>
      <c r="H12111" s="1">
        <v>0</v>
      </c>
      <c r="I12111" s="1" t="s">
        <v>26239</v>
      </c>
      <c r="K12111" s="1" t="str">
        <f t="shared" si="768"/>
        <v>ㄧ</v>
      </c>
      <c r="L12111" s="1" t="str">
        <f t="shared" si="770"/>
        <v>ㄥ</v>
      </c>
      <c r="M12111" s="1" t="str">
        <f t="shared" si="769"/>
        <v/>
      </c>
      <c r="P12111" s="1" t="s">
        <v>20</v>
      </c>
      <c r="R12111" s="1" t="s">
        <v>26240</v>
      </c>
      <c r="V12111" s="1" t="s">
        <v>26241</v>
      </c>
      <c r="AR12111" s="1" t="str">
        <f t="shared" si="771"/>
        <v>| [ㄧㄥ](ㄧㄥ.md) | [英](英.md) |  | yīng | [名]
1.花。如：「落英繽紛」。《楚辭．屈原．離騷》：「朝飲木蘭之墜露兮，夕餐秋菊之落英。」《文選．古詩十九首．冉冉孤生竹》：「傷彼蕙蘭花，含英揚光輝。」
2.物質的精華部分。如：「精英」。唐．韓愈〈進學解〉：「沉浸醲郁，含英咀華。」
3.才德出眾的人。如：「群英大會」。《荀子．正論》：「堯舜者，天下之英也。」唐．李白〈為宋中丞自薦表〉：「收甚希世之英，以為清朝之寶。」
4.大不列顛暨北愛爾蘭聯合王國的簡稱。
5.姓。如漢代有英布。
[形]
1.美好的。《文選．左思．詠史詩八首之四》：「悠悠百世後，英名擅八區。」
2.傑出的。《孟子．盡心上》：「得天下英才而教育之，三樂也。」宋．陳亮〈滿江紅．曾洗乾坤〉詞：「試著眼階除當下，又添英物。」 |</v>
      </c>
    </row>
    <row r="12112" spans="1:44" hidden="1">
      <c r="A12112" s="1" t="s">
        <v>26242</v>
      </c>
      <c r="C12112" s="1">
        <v>1</v>
      </c>
      <c r="D12112" s="1" t="str">
        <f>"11168"</f>
        <v>11168</v>
      </c>
      <c r="E12112" s="1" t="s">
        <v>534</v>
      </c>
      <c r="F12112" s="1">
        <v>12</v>
      </c>
      <c r="G12112" s="1">
        <v>9</v>
      </c>
      <c r="H12112" s="1">
        <v>0</v>
      </c>
      <c r="I12112" s="1" t="s">
        <v>26239</v>
      </c>
      <c r="K12112" s="1" t="str">
        <f t="shared" si="768"/>
        <v>ㄧ</v>
      </c>
      <c r="L12112" s="1" t="str">
        <f t="shared" si="770"/>
        <v>ㄥ</v>
      </c>
      <c r="M12112" s="1" t="str">
        <f t="shared" si="769"/>
        <v/>
      </c>
      <c r="P12112" s="1" t="s">
        <v>20</v>
      </c>
      <c r="R12112" s="1" t="s">
        <v>26240</v>
      </c>
      <c r="V12112" s="1" t="s">
        <v>26243</v>
      </c>
      <c r="AR12112" s="1" t="str">
        <f t="shared" si="771"/>
        <v>| [ㄧㄥ](ㄧㄥ.md) | [媖](媖.md) |  | yīng | [名]
婦女的美稱。《玉篇．女部》：「媖，女人美稱。」 |</v>
      </c>
    </row>
    <row r="12113" spans="1:44" hidden="1">
      <c r="A12113" s="1" t="s">
        <v>26244</v>
      </c>
      <c r="C12113" s="1">
        <v>1</v>
      </c>
      <c r="D12113" s="1" t="str">
        <f>"11169"</f>
        <v>11169</v>
      </c>
      <c r="E12113" s="1" t="s">
        <v>142</v>
      </c>
      <c r="F12113" s="1">
        <v>13</v>
      </c>
      <c r="G12113" s="1">
        <v>9</v>
      </c>
      <c r="H12113" s="1">
        <v>0</v>
      </c>
      <c r="I12113" s="1" t="s">
        <v>26239</v>
      </c>
      <c r="K12113" s="1" t="str">
        <f t="shared" si="768"/>
        <v>ㄧ</v>
      </c>
      <c r="L12113" s="1" t="str">
        <f t="shared" si="770"/>
        <v>ㄥ</v>
      </c>
      <c r="M12113" s="1" t="str">
        <f t="shared" si="769"/>
        <v/>
      </c>
      <c r="P12113" s="1" t="s">
        <v>20</v>
      </c>
      <c r="R12113" s="1" t="s">
        <v>26240</v>
      </c>
      <c r="V12113" s="1" t="s">
        <v>26245</v>
      </c>
      <c r="AR12113" s="1" t="str">
        <f t="shared" si="771"/>
        <v>| [ㄧㄥ](ㄧㄥ.md) | [瑛](瑛.md) |  | yīng | [名]
1.玉光。《說文解字．玉部》：「瑛，玉光也。」晉．庾闡〈涉江賦〉：「明月晞光以夕耀，金沙逐波而吐瑛。」
2.美玉、美石。晉．傅咸〈申懷賦〉：「何天施之弘普，廁瓦礫于瓊瑛。」 |</v>
      </c>
    </row>
    <row r="12114" spans="1:44" hidden="1">
      <c r="A12114" s="1" t="s">
        <v>26246</v>
      </c>
      <c r="C12114" s="1">
        <v>1</v>
      </c>
      <c r="D12114" s="1" t="str">
        <f>"11170"</f>
        <v>11170</v>
      </c>
      <c r="E12114" s="1" t="s">
        <v>125</v>
      </c>
      <c r="F12114" s="1">
        <v>17</v>
      </c>
      <c r="G12114" s="1">
        <v>9</v>
      </c>
      <c r="H12114" s="1">
        <v>0</v>
      </c>
      <c r="I12114" s="1" t="s">
        <v>26239</v>
      </c>
      <c r="K12114" s="1" t="str">
        <f t="shared" si="768"/>
        <v>ㄧ</v>
      </c>
      <c r="L12114" s="1" t="str">
        <f t="shared" si="770"/>
        <v>ㄥ</v>
      </c>
      <c r="M12114" s="1" t="str">
        <f t="shared" si="769"/>
        <v/>
      </c>
      <c r="P12114" s="1" t="s">
        <v>20</v>
      </c>
      <c r="R12114" s="1" t="s">
        <v>26240</v>
      </c>
      <c r="V12114" s="1" t="s">
        <v>26247</v>
      </c>
      <c r="AR12114" s="1" t="str">
        <f t="shared" si="771"/>
        <v>| [ㄧㄥ](ㄧㄥ.md) | [霙](霙.md) |  | yīng | [名]
雪花。南朝梁．簡文帝〈雪朝〉詩：「落梅飛四注，翻霙舞三襲。」宋．蘇軾〈雪夜獨宿柏仙庵〉詩：「晚雨纖纖變玉霙，小庵高臥有餘清。」 |</v>
      </c>
    </row>
    <row r="12115" spans="1:44" hidden="1">
      <c r="A12115" s="1" t="s">
        <v>26248</v>
      </c>
      <c r="C12115" s="1">
        <v>1</v>
      </c>
      <c r="D12115" s="1" t="str">
        <f>"11171"</f>
        <v>11171</v>
      </c>
      <c r="E12115" s="1" t="s">
        <v>534</v>
      </c>
      <c r="F12115" s="1">
        <v>13</v>
      </c>
      <c r="G12115" s="1">
        <v>10</v>
      </c>
      <c r="H12115" s="1">
        <v>0</v>
      </c>
      <c r="I12115" s="1" t="s">
        <v>26239</v>
      </c>
      <c r="K12115" s="1" t="str">
        <f t="shared" si="768"/>
        <v>ㄧ</v>
      </c>
      <c r="L12115" s="1" t="str">
        <f t="shared" si="770"/>
        <v>ㄥ</v>
      </c>
      <c r="M12115" s="1" t="str">
        <f t="shared" si="769"/>
        <v/>
      </c>
      <c r="P12115" s="1" t="s">
        <v>20</v>
      </c>
      <c r="R12115" s="1" t="s">
        <v>26240</v>
      </c>
      <c r="V12115" s="1" t="s">
        <v>26249</v>
      </c>
      <c r="AR12115" s="1" t="str">
        <f t="shared" si="771"/>
        <v>| [ㄧㄥ](ㄧㄥ.md) | [嫈](嫈.md) |  | yīng | [形]
小心的樣子。《說文解字．女部》：「嫈，小心態也。」 |</v>
      </c>
    </row>
    <row r="12116" spans="1:44" hidden="1">
      <c r="A12116" s="1" t="s">
        <v>26250</v>
      </c>
      <c r="C12116" s="1">
        <v>1</v>
      </c>
      <c r="D12116" s="1" t="str">
        <f>"11172"</f>
        <v>11172</v>
      </c>
      <c r="E12116" s="1" t="s">
        <v>175</v>
      </c>
      <c r="F12116" s="1">
        <v>16</v>
      </c>
      <c r="G12116" s="1">
        <v>10</v>
      </c>
      <c r="H12116" s="1">
        <v>0</v>
      </c>
      <c r="I12116" s="1" t="s">
        <v>26239</v>
      </c>
      <c r="K12116" s="1" t="str">
        <f t="shared" si="768"/>
        <v>ㄧ</v>
      </c>
      <c r="L12116" s="1" t="str">
        <f t="shared" si="770"/>
        <v>ㄥ</v>
      </c>
      <c r="M12116" s="1" t="str">
        <f t="shared" si="769"/>
        <v/>
      </c>
      <c r="P12116" s="1" t="s">
        <v>20</v>
      </c>
      <c r="R12116" s="1" t="s">
        <v>26240</v>
      </c>
      <c r="V12116" s="1" t="s">
        <v>26251</v>
      </c>
      <c r="AR12116" s="1" t="str">
        <f t="shared" si="771"/>
        <v>| [ㄧㄥ](ㄧㄥ.md) | [罃](罃.md) |  | yīng | [名]
像瓶子一類的容器。同「罌」。《說文解字．缶部》「罃」字．清．段玉裁．注：「近人謂罌、罃一字。依許則劃然二物二字也。罌大，罃小，用各不同。」 |</v>
      </c>
    </row>
    <row r="12117" spans="1:44" hidden="1">
      <c r="A12117" s="1" t="s">
        <v>26252</v>
      </c>
      <c r="C12117" s="1">
        <v>1</v>
      </c>
      <c r="D12117" s="1" t="str">
        <f>"11173"</f>
        <v>11173</v>
      </c>
      <c r="E12117" s="1" t="s">
        <v>272</v>
      </c>
      <c r="F12117" s="1">
        <v>21</v>
      </c>
      <c r="G12117" s="1">
        <v>10</v>
      </c>
      <c r="H12117" s="1">
        <v>0</v>
      </c>
      <c r="I12117" s="1" t="s">
        <v>26239</v>
      </c>
      <c r="K12117" s="1" t="str">
        <f t="shared" si="768"/>
        <v>ㄧ</v>
      </c>
      <c r="L12117" s="1" t="str">
        <f t="shared" si="770"/>
        <v>ㄥ</v>
      </c>
      <c r="M12117" s="1" t="str">
        <f t="shared" si="769"/>
        <v/>
      </c>
      <c r="P12117" s="1" t="s">
        <v>20</v>
      </c>
      <c r="R12117" s="1" t="s">
        <v>26240</v>
      </c>
      <c r="V12117" s="1" t="s">
        <v>26253</v>
      </c>
      <c r="AR12117" s="1" t="str">
        <f t="shared" si="771"/>
        <v>| [ㄧㄥ](ㄧㄥ.md) | [鶯](鶯.md) |  | yīng | [名]_x000D_
鳥綱雀形目的通稱。體型較麻雀為小，羽色多為褐色或暗綠色，喙短而尖，叫聲清脆。主食昆蟲，是農、林業的益鳥。種類甚多，分布亦廣。_x000D_
[形]_x000D_
鳥羽光華有文采的樣子。《詩經．小雅．桑扈》：「交交桑扈，有鶯其羽。」 |</v>
      </c>
    </row>
    <row r="12118" spans="1:44" hidden="1">
      <c r="A12118" s="1" t="s">
        <v>26254</v>
      </c>
      <c r="C12118" s="1">
        <v>1</v>
      </c>
      <c r="D12118" s="1" t="str">
        <f>"11174"</f>
        <v>11174</v>
      </c>
      <c r="E12118" s="1" t="s">
        <v>250</v>
      </c>
      <c r="F12118" s="1">
        <v>17</v>
      </c>
      <c r="G12118" s="1">
        <v>13</v>
      </c>
      <c r="H12118" s="1">
        <v>1</v>
      </c>
      <c r="I12118" s="1" t="s">
        <v>26239</v>
      </c>
      <c r="K12118" s="1" t="str">
        <f t="shared" si="768"/>
        <v>ㄧ</v>
      </c>
      <c r="L12118" s="1" t="str">
        <f t="shared" ref="L12118:L12130" si="772">MID(I12118, 2, 1)</f>
        <v>ㄥ</v>
      </c>
      <c r="M12118" s="1" t="str">
        <f t="shared" si="769"/>
        <v/>
      </c>
      <c r="P12118" s="1" t="s">
        <v>20</v>
      </c>
      <c r="R12118" s="1" t="s">
        <v>26240</v>
      </c>
      <c r="V12118" s="1" t="s">
        <v>26255</v>
      </c>
      <c r="W12118" s="1" t="s">
        <v>26256</v>
      </c>
      <c r="AR12118" s="1" t="str">
        <f t="shared" si="771"/>
        <v>| [ㄧㄥ](ㄧㄥ.md) | [應](應.md) |  | yīng | [副]
1.當、該。《詩經．周頌．賚》：「文王既勤止，我應受之。」《南史．卷三六．江夷傳》：「人所應有盡有，所應無盡無者，其江智深乎？」
2.或是、想來是，表示推測的意思。南朝陳．徐陵〈走筆戲書應令〉詩：「秋來應瘦盡，偏自著腰身。」唐．杜甫〈贈花卿〉詩：「此曲祇應天上有，人間能得幾回聞？」 |</v>
      </c>
    </row>
    <row r="12119" spans="1:44" hidden="1">
      <c r="A12119" s="1" t="s">
        <v>26257</v>
      </c>
      <c r="C12119" s="1">
        <v>1</v>
      </c>
      <c r="D12119" s="1" t="str">
        <f>"11175"</f>
        <v>11175</v>
      </c>
      <c r="E12119" s="1" t="s">
        <v>68</v>
      </c>
      <c r="F12119" s="1">
        <v>17</v>
      </c>
      <c r="G12119" s="1">
        <v>13</v>
      </c>
      <c r="H12119" s="1">
        <v>0</v>
      </c>
      <c r="I12119" s="1" t="s">
        <v>26239</v>
      </c>
      <c r="K12119" s="1" t="str">
        <f t="shared" si="768"/>
        <v>ㄧ</v>
      </c>
      <c r="L12119" s="1" t="str">
        <f t="shared" si="772"/>
        <v>ㄥ</v>
      </c>
      <c r="M12119" s="1" t="str">
        <f t="shared" si="769"/>
        <v/>
      </c>
      <c r="P12119" s="1" t="s">
        <v>20</v>
      </c>
      <c r="R12119" s="1" t="s">
        <v>26240</v>
      </c>
      <c r="V12119" s="1" t="s">
        <v>26258</v>
      </c>
      <c r="AR12119" s="1" t="str">
        <f t="shared" si="771"/>
        <v>| [ㄧㄥ](ㄧㄥ.md) | [膺](膺.md) |  | yīng | [名]
1.胸、內心。如：「義憤填膺」。唐．李白〈蜀道難〉：「捫參歷井仰脅息，以手撫膺坐長歎。」《新唐書．卷一〇〇．封倫傳》：「然善矯飾，居之自如，人莫能探其膺肺。」
2.馬匹胸前的帶子。通「纓」。《詩經．秦風．小戎》：「蒙伐有苑，虎韔鏤膺。」漢．毛亨．傳：「膺，馬帶。」
[動]
1.接受。《文選．班固．東京賦》：「天子受四海之圖籍，膺萬國之貢珍。」
2.承擔。如：「榮膺大任」。《書經．武成》：「誕膺天命，以撫方夏。」 |</v>
      </c>
    </row>
    <row r="12120" spans="1:44" hidden="1">
      <c r="A12120" s="1" t="s">
        <v>26259</v>
      </c>
      <c r="C12120" s="1">
        <v>1</v>
      </c>
      <c r="D12120" s="1" t="str">
        <f>"11176"</f>
        <v>11176</v>
      </c>
      <c r="E12120" s="1" t="s">
        <v>272</v>
      </c>
      <c r="F12120" s="1">
        <v>24</v>
      </c>
      <c r="G12120" s="1">
        <v>13</v>
      </c>
      <c r="H12120" s="1">
        <v>0</v>
      </c>
      <c r="I12120" s="1" t="s">
        <v>26239</v>
      </c>
      <c r="K12120" s="1" t="str">
        <f t="shared" si="768"/>
        <v>ㄧ</v>
      </c>
      <c r="L12120" s="1" t="str">
        <f t="shared" si="772"/>
        <v>ㄥ</v>
      </c>
      <c r="M12120" s="1" t="str">
        <f t="shared" si="769"/>
        <v/>
      </c>
      <c r="P12120" s="1" t="s">
        <v>20</v>
      </c>
      <c r="R12120" s="1" t="s">
        <v>26240</v>
      </c>
      <c r="V12120" s="1" t="s">
        <v>26260</v>
      </c>
      <c r="AR12120" s="1" t="str">
        <f t="shared" si="771"/>
        <v>| [ㄧㄥ](ㄧㄥ.md) | [鷹](鷹.md) |  | yīng | [名]
鷲鷹目猛禽類的通稱。體型稍大，上嘴鉤曲，趾有鉤爪，勁而有力。性凶猛，眼光銳利，飛行疾速，多捕食小鳥、野兔等。獵人多畜之，以逐禽兔。 |</v>
      </c>
    </row>
    <row r="12121" spans="1:44" hidden="1">
      <c r="A12121" s="1" t="s">
        <v>26261</v>
      </c>
      <c r="C12121" s="1">
        <v>1</v>
      </c>
      <c r="D12121" s="1" t="str">
        <f>"11177"</f>
        <v>11177</v>
      </c>
      <c r="E12121" s="1" t="s">
        <v>534</v>
      </c>
      <c r="F12121" s="1">
        <v>17</v>
      </c>
      <c r="G12121" s="1">
        <v>14</v>
      </c>
      <c r="H12121" s="1">
        <v>0</v>
      </c>
      <c r="I12121" s="1" t="s">
        <v>26239</v>
      </c>
      <c r="K12121" s="1" t="str">
        <f t="shared" si="768"/>
        <v>ㄧ</v>
      </c>
      <c r="L12121" s="1" t="str">
        <f t="shared" si="772"/>
        <v>ㄥ</v>
      </c>
      <c r="M12121" s="1" t="str">
        <f t="shared" si="769"/>
        <v/>
      </c>
      <c r="P12121" s="1" t="s">
        <v>20</v>
      </c>
      <c r="R12121" s="1" t="s">
        <v>26240</v>
      </c>
      <c r="V12121" s="1" t="s">
        <v>26262</v>
      </c>
      <c r="AR12121" s="1" t="str">
        <f t="shared" si="771"/>
        <v>| [ㄧㄥ](ㄧㄥ.md) | [嬰](嬰.md) |  | yīng | [名]
初生的幼兒。如：「男嬰」、「女嬰」。唐．白居易〈吾雛〉詩：「老幼不相待，父衰汝孩嬰。」
[動]
1.環繞、圍繞。《山海經．西山經》：「湯其酒百標，嬰以百珪百璧。」《後漢書．卷二五．卓茂傳》論曰：「建武之初，雄豪方擾，虓呼者連響，嬰城者相望。」
2.纏、絆。《文選．陸機．赴洛中道作詩》：「借問子何之？世網嬰我身。」《新唐書．卷一六七．王播傳》：「（王龜）州人號郎君谷，未始以人事自嬰。」
3.繫戴。《荀子．富國》：「辟之，是猶使處女嬰寶珠、佩寶玉，負戴黃金，而遇中山之盜也。」
4.觸犯、觸怒。《荀子．彊國》：「教誨之，調一之，則兵勁城固，敵國不敢嬰也。」《新唐書．卷二〇二．文藝傳中．李適傳》：「都下有牛善觸，人莫敢嬰。」 |</v>
      </c>
    </row>
    <row r="12122" spans="1:44" hidden="1">
      <c r="A12122" s="1" t="s">
        <v>26263</v>
      </c>
      <c r="C12122" s="1">
        <v>1</v>
      </c>
      <c r="D12122" s="1" t="str">
        <f>"11178"</f>
        <v>11178</v>
      </c>
      <c r="E12122" s="1" t="s">
        <v>1824</v>
      </c>
      <c r="F12122" s="1">
        <v>19</v>
      </c>
      <c r="G12122" s="1">
        <v>14</v>
      </c>
      <c r="H12122" s="1">
        <v>0</v>
      </c>
      <c r="I12122" s="1" t="s">
        <v>26239</v>
      </c>
      <c r="K12122" s="1" t="str">
        <f t="shared" si="768"/>
        <v>ㄧ</v>
      </c>
      <c r="L12122" s="1" t="str">
        <f t="shared" si="772"/>
        <v>ㄥ</v>
      </c>
      <c r="M12122" s="1" t="str">
        <f t="shared" si="769"/>
        <v/>
      </c>
      <c r="P12122" s="1" t="s">
        <v>20</v>
      </c>
      <c r="R12122" s="1" t="s">
        <v>26240</v>
      </c>
      <c r="V12122" s="1" t="s">
        <v>26264</v>
      </c>
      <c r="AR12122" s="1" t="str">
        <f t="shared" si="771"/>
        <v>| [ㄧㄥ](ㄧㄥ.md) | [甖](甖.md) |  | yīng | [名]
盛水酒的瓦器。同「罌」。《文選．劉伶．酒德頌》：「先生於是方捧甖承槽，銜杯漱醪。」 |</v>
      </c>
    </row>
    <row r="12123" spans="1:44" hidden="1">
      <c r="A12123" s="1" t="s">
        <v>26265</v>
      </c>
      <c r="C12123" s="1">
        <v>1</v>
      </c>
      <c r="D12123" s="1" t="str">
        <f>"11179"</f>
        <v>11179</v>
      </c>
      <c r="E12123" s="1" t="s">
        <v>24</v>
      </c>
      <c r="F12123" s="1">
        <v>20</v>
      </c>
      <c r="G12123" s="1">
        <v>17</v>
      </c>
      <c r="H12123" s="1">
        <v>0</v>
      </c>
      <c r="I12123" s="1" t="s">
        <v>26239</v>
      </c>
      <c r="K12123" s="1" t="str">
        <f t="shared" si="768"/>
        <v>ㄧ</v>
      </c>
      <c r="L12123" s="1" t="str">
        <f t="shared" si="772"/>
        <v>ㄥ</v>
      </c>
      <c r="M12123" s="1" t="str">
        <f t="shared" si="769"/>
        <v/>
      </c>
      <c r="P12123" s="1" t="s">
        <v>20</v>
      </c>
      <c r="R12123" s="1" t="s">
        <v>26240</v>
      </c>
      <c r="V12123" s="1" t="s">
        <v>26266</v>
      </c>
      <c r="AR12123" s="1" t="str">
        <f t="shared" si="771"/>
        <v>| [ㄧㄥ](ㄧㄥ.md) | [攖](攖.md) |  | yīng | [動]
1.擾亂。清．王念孫《廣雅疏證．卷三上．釋詁》：「攖，亂也。」《莊子．庾桑楚》：「不以人物利害相攖。」宋．陸游〈夜漏欲盡行度浮橋至錢清驛待舟〉詩：「湛然方寸間，不受塵事攖。」
2.觸犯、挨近。《孟子．盡心下》：「虎負嵎，莫之敢攖。」 |</v>
      </c>
    </row>
    <row r="12124" spans="1:44" hidden="1">
      <c r="A12124" s="1" t="s">
        <v>26267</v>
      </c>
      <c r="C12124" s="1">
        <v>1</v>
      </c>
      <c r="D12124" s="1" t="str">
        <f>"11180"</f>
        <v>11180</v>
      </c>
      <c r="E12124" s="1" t="s">
        <v>175</v>
      </c>
      <c r="F12124" s="1">
        <v>20</v>
      </c>
      <c r="G12124" s="1">
        <v>14</v>
      </c>
      <c r="H12124" s="1">
        <v>0</v>
      </c>
      <c r="I12124" s="1" t="s">
        <v>26239</v>
      </c>
      <c r="K12124" s="1" t="str">
        <f t="shared" si="768"/>
        <v>ㄧ</v>
      </c>
      <c r="L12124" s="1" t="str">
        <f t="shared" si="772"/>
        <v>ㄥ</v>
      </c>
      <c r="M12124" s="1" t="str">
        <f t="shared" si="769"/>
        <v/>
      </c>
      <c r="P12124" s="1" t="s">
        <v>20</v>
      </c>
      <c r="R12124" s="1" t="s">
        <v>26240</v>
      </c>
      <c r="V12124" s="1" t="s">
        <v>26268</v>
      </c>
      <c r="AR12124" s="1" t="str">
        <f t="shared" si="771"/>
        <v>| [ㄧㄥ](ㄧㄥ.md) | [罌](罌.md) |  | yīng | [名]
小口大肚的瓶子。《說文解字．缶部》：「罌，缶也。」清．段玉裁．注：「罌，缶器之大者。」漢．王充《論衡．譴告》：「釀酒於罌，烹肉於鼎，皆欲其氣味調得也。」《喻世明言．卷三〇．明悟禪師趕五戒》：「忽見一婦人，年約三旬，外服舊衣，內穿錦襠；身懷六甲，背負瓦罌而沒汲清泉。」 |</v>
      </c>
    </row>
    <row r="12125" spans="1:44" hidden="1">
      <c r="A12125" s="1" t="s">
        <v>26269</v>
      </c>
      <c r="C12125" s="1">
        <v>1</v>
      </c>
      <c r="D12125" s="1" t="str">
        <f>"11181"</f>
        <v>11181</v>
      </c>
      <c r="E12125" s="1" t="s">
        <v>28</v>
      </c>
      <c r="F12125" s="1">
        <v>20</v>
      </c>
      <c r="G12125" s="1">
        <v>17</v>
      </c>
      <c r="H12125" s="1">
        <v>0</v>
      </c>
      <c r="I12125" s="1" t="s">
        <v>26239</v>
      </c>
      <c r="K12125" s="1" t="str">
        <f t="shared" si="768"/>
        <v>ㄧ</v>
      </c>
      <c r="L12125" s="1" t="str">
        <f t="shared" si="772"/>
        <v>ㄥ</v>
      </c>
      <c r="M12125" s="1" t="str">
        <f t="shared" si="769"/>
        <v/>
      </c>
      <c r="P12125" s="1" t="s">
        <v>20</v>
      </c>
      <c r="R12125" s="1" t="s">
        <v>26240</v>
      </c>
      <c r="V12125" s="1" t="s">
        <v>26270</v>
      </c>
      <c r="AR12125" s="1" t="str">
        <f t="shared" si="771"/>
        <v>| [ㄧㄥ](ㄧㄥ.md) | [嚶](嚶.md) |  | yīng | [擬]
形容鳥鳴叫的聲音。《詩經．小雅．伐木》：「伐木丁丁，鳥鳴嚶嚶。」明．謝讜《四喜記》第四齣：「春染萬林紅，春鳥嚶嚶隔花弄。」 |</v>
      </c>
    </row>
    <row r="12126" spans="1:44" hidden="1">
      <c r="A12126" s="1" t="s">
        <v>26271</v>
      </c>
      <c r="C12126" s="1">
        <v>1</v>
      </c>
      <c r="D12126" s="1" t="str">
        <f>"11182"</f>
        <v>11182</v>
      </c>
      <c r="E12126" s="1" t="s">
        <v>142</v>
      </c>
      <c r="F12126" s="1">
        <v>21</v>
      </c>
      <c r="G12126" s="1">
        <v>17</v>
      </c>
      <c r="H12126" s="1">
        <v>0</v>
      </c>
      <c r="I12126" s="1" t="s">
        <v>26239</v>
      </c>
      <c r="K12126" s="1" t="str">
        <f t="shared" si="768"/>
        <v>ㄧ</v>
      </c>
      <c r="L12126" s="1" t="str">
        <f t="shared" si="772"/>
        <v>ㄥ</v>
      </c>
      <c r="M12126" s="1" t="str">
        <f t="shared" si="769"/>
        <v/>
      </c>
      <c r="P12126" s="1" t="s">
        <v>20</v>
      </c>
      <c r="R12126" s="1" t="s">
        <v>26240</v>
      </c>
      <c r="V12126" s="1" t="s">
        <v>9293</v>
      </c>
      <c r="AR12126" s="1" t="str">
        <f t="shared" si="771"/>
        <v>| [ㄧㄥ](ㄧㄥ.md) | [瓔](瓔.md) |  | yīng | 參見「瓔珞」條。 |</v>
      </c>
    </row>
    <row r="12127" spans="1:44" hidden="1">
      <c r="A12127" s="1" t="s">
        <v>26272</v>
      </c>
      <c r="C12127" s="1">
        <v>1</v>
      </c>
      <c r="D12127" s="1" t="str">
        <f>"11183"</f>
        <v>11183</v>
      </c>
      <c r="E12127" s="1" t="s">
        <v>139</v>
      </c>
      <c r="F12127" s="1">
        <v>21</v>
      </c>
      <c r="G12127" s="1">
        <v>17</v>
      </c>
      <c r="H12127" s="1">
        <v>0</v>
      </c>
      <c r="I12127" s="1" t="s">
        <v>26239</v>
      </c>
      <c r="K12127" s="1" t="str">
        <f t="shared" si="768"/>
        <v>ㄧ</v>
      </c>
      <c r="L12127" s="1" t="str">
        <f t="shared" si="772"/>
        <v>ㄥ</v>
      </c>
      <c r="M12127" s="1" t="str">
        <f t="shared" si="769"/>
        <v/>
      </c>
      <c r="P12127" s="1" t="s">
        <v>20</v>
      </c>
      <c r="R12127" s="1" t="s">
        <v>26240</v>
      </c>
      <c r="V12127" s="1" t="s">
        <v>26273</v>
      </c>
      <c r="AR12127" s="1" t="str">
        <f t="shared" si="771"/>
        <v>| [ㄧㄥ](ㄧㄥ.md) | [櫻](櫻.md) |  | yīng | [名]
植物名。薔薇科李屬，「櫻桃」、「櫻花」之通稱，參見「櫻桃」、「櫻花」條。 |</v>
      </c>
    </row>
    <row r="12128" spans="1:44" hidden="1">
      <c r="A12128" s="1" t="s">
        <v>26274</v>
      </c>
      <c r="C12128" s="1">
        <v>1</v>
      </c>
      <c r="D12128" s="1" t="str">
        <f>"11184"</f>
        <v>11184</v>
      </c>
      <c r="E12128" s="1" t="s">
        <v>37</v>
      </c>
      <c r="F12128" s="1">
        <v>21</v>
      </c>
      <c r="G12128" s="1">
        <v>17</v>
      </c>
      <c r="H12128" s="1">
        <v>0</v>
      </c>
      <c r="I12128" s="1" t="s">
        <v>26239</v>
      </c>
      <c r="K12128" s="1" t="str">
        <f t="shared" si="768"/>
        <v>ㄧ</v>
      </c>
      <c r="L12128" s="1" t="str">
        <f t="shared" si="772"/>
        <v>ㄥ</v>
      </c>
      <c r="M12128" s="1" t="str">
        <f t="shared" si="769"/>
        <v/>
      </c>
      <c r="P12128" s="1" t="s">
        <v>20</v>
      </c>
      <c r="R12128" s="1" t="s">
        <v>26240</v>
      </c>
      <c r="V12128" s="1" t="s">
        <v>26275</v>
      </c>
      <c r="AR12128" s="1" t="str">
        <f t="shared" si="771"/>
        <v>| [ㄧㄥ](ㄧㄥ.md) | [蘡](蘡.md) |  | yīng | 參見「蘡薁」條。 |</v>
      </c>
    </row>
    <row r="12129" spans="1:44" hidden="1">
      <c r="A12129" s="1" t="s">
        <v>26276</v>
      </c>
      <c r="C12129" s="1">
        <v>1</v>
      </c>
      <c r="D12129" s="1" t="str">
        <f>"11185"</f>
        <v>11185</v>
      </c>
      <c r="E12129" s="1" t="s">
        <v>725</v>
      </c>
      <c r="F12129" s="1">
        <v>23</v>
      </c>
      <c r="G12129" s="1">
        <v>17</v>
      </c>
      <c r="H12129" s="1">
        <v>0</v>
      </c>
      <c r="I12129" s="1" t="s">
        <v>26239</v>
      </c>
      <c r="K12129" s="1" t="str">
        <f t="shared" si="768"/>
        <v>ㄧ</v>
      </c>
      <c r="L12129" s="1" t="str">
        <f t="shared" si="772"/>
        <v>ㄥ</v>
      </c>
      <c r="M12129" s="1" t="str">
        <f t="shared" si="769"/>
        <v/>
      </c>
      <c r="P12129" s="1" t="s">
        <v>20</v>
      </c>
      <c r="R12129" s="1" t="s">
        <v>26240</v>
      </c>
      <c r="V12129" s="1" t="s">
        <v>26277</v>
      </c>
      <c r="AR12129" s="1" t="str">
        <f t="shared" si="771"/>
        <v>| [ㄧㄥ](ㄧㄥ.md) | [纓](纓.md) |  | yīng | [名]
1.繫帽的帶子。《史記．卷一二六．滑稽傳．淳于髡傳》：「淳于髡仰天大笑，冠纓索絕。」《聊齋志異．卷七．金和尚》：「細纓革靴者，皆鳥集鵠立。」
2.綵帶。《儀禮．士昏禮》：「主人入，親說婦之纓。」漢．鄭玄．注：「婦人十五許嫁，笄而禮之，因著纓，明有繫也，蓋以五采為之，其制未聞。」
3.馬腹前的皮帶。《周禮．春官．巾車》：「錫樊纓十有再就。」漢．鄭玄．注：「纓，今馬鞅，王路之樊及纓皆以五采罽飾之。」
4.用線、繩、毛等做成像穗子的裝飾物。如：「長槍上紮著紅纓子。」《水滸傳》第三回：「史進頭戴白范陽氈大帽，上撒一撮紅纓。」
5.蘿蔔、芥菜等植物的莖和葉子。如：「蘿蔔纓子」、「芥菜纓兒」。
6.繩索。《漢書．卷六四下．終軍傳》：「軍自請：『願受長纓，必羈南越王而致之闕下。』」
[動]
繫。《文選．孔稚珪．北山移文》：「雖假容於江皋，乃纓情於好爵。」唐．柳宗元〈乞巧文〉：「乃纓弁束衽，促武縮氣。」 |</v>
      </c>
    </row>
    <row r="12130" spans="1:44" hidden="1">
      <c r="A12130" s="1" t="s">
        <v>26278</v>
      </c>
      <c r="C12130" s="1">
        <v>1</v>
      </c>
      <c r="D12130" s="1" t="str">
        <f>"11186"</f>
        <v>11186</v>
      </c>
      <c r="E12130" s="1" t="s">
        <v>272</v>
      </c>
      <c r="F12130" s="1">
        <v>28</v>
      </c>
      <c r="G12130" s="1">
        <v>17</v>
      </c>
      <c r="H12130" s="1">
        <v>0</v>
      </c>
      <c r="I12130" s="1" t="s">
        <v>26239</v>
      </c>
      <c r="K12130" s="1" t="str">
        <f t="shared" si="768"/>
        <v>ㄧ</v>
      </c>
      <c r="L12130" s="1" t="str">
        <f t="shared" si="772"/>
        <v>ㄥ</v>
      </c>
      <c r="M12130" s="1" t="str">
        <f t="shared" si="769"/>
        <v/>
      </c>
      <c r="P12130" s="1" t="s">
        <v>20</v>
      </c>
      <c r="R12130" s="1" t="s">
        <v>26240</v>
      </c>
      <c r="V12130" s="1" t="s">
        <v>26279</v>
      </c>
      <c r="AR12130" s="1" t="str">
        <f t="shared" si="771"/>
        <v>| [ㄧㄥ](ㄧㄥ.md) | [鸚](鸚.md) |  | yīng | 參見「鸚鵡」條。 |</v>
      </c>
    </row>
    <row r="12131" spans="1:44" hidden="1">
      <c r="A12131" s="1" t="s">
        <v>24404</v>
      </c>
      <c r="C12131" s="1">
        <v>1</v>
      </c>
      <c r="D12131" s="1" t="str">
        <f>"10579"</f>
        <v>10579</v>
      </c>
      <c r="E12131" s="1" t="s">
        <v>1663</v>
      </c>
      <c r="F12131" s="1">
        <v>2</v>
      </c>
      <c r="G12131" s="1">
        <v>1</v>
      </c>
      <c r="H12131" s="1">
        <v>1</v>
      </c>
      <c r="I12131" s="1" t="s">
        <v>24977</v>
      </c>
      <c r="K12131" s="1" t="str">
        <f t="shared" si="768"/>
        <v>ㄧ</v>
      </c>
      <c r="M12131" s="1" t="str">
        <f t="shared" si="769"/>
        <v/>
      </c>
      <c r="N12131" s="3" t="s">
        <v>30574</v>
      </c>
      <c r="O12131" s="3"/>
      <c r="P12131" s="1" t="s">
        <v>20</v>
      </c>
      <c r="R12131" s="1" t="s">
        <v>24978</v>
      </c>
      <c r="V12131" s="1" t="s">
        <v>24979</v>
      </c>
      <c r="W12131" s="1" t="s">
        <v>24980</v>
      </c>
      <c r="AR12131" s="1" t="str">
        <f t="shared" si="771"/>
        <v>| [ㄧˋ](ㄧˋ.md) | [乂](乂.md) |  | yì | [動]
1.割草。刈的本字。《說文解字．丿部》：「乂，芟艸也。」
2.治理。《漢書．卷六三．武五子傳．齊懷王劉閎傳》：「保國乂民，可不敬與！」唐．韓愈〈爭臣論〉：「閔其時之不平，人之不乂，得其道不敢獨善其身，而必以兼濟天下也。」
[形]
安定、平靜。《史記．卷一二．孝武本紀》：「漢興已六十餘歲矣，天下乂安。」《文選．張衡．東京賦》：「區宇乂寧，思和求中。」
[名]
才德出眾的人。《書經．皋陶謨》：「翕受敷施，九德咸事，俊乂在官。」《南史．卷四．齊高帝本紀》：「官方與能，英乂克舉。」 |</v>
      </c>
    </row>
    <row r="12132" spans="1:44" hidden="1">
      <c r="A12132" s="1" t="s">
        <v>24981</v>
      </c>
      <c r="C12132" s="1">
        <v>1</v>
      </c>
      <c r="D12132" s="1" t="str">
        <f>"10580"</f>
        <v>10580</v>
      </c>
      <c r="E12132" s="1" t="s">
        <v>185</v>
      </c>
      <c r="F12132" s="1">
        <v>4</v>
      </c>
      <c r="G12132" s="1">
        <v>2</v>
      </c>
      <c r="H12132" s="1">
        <v>0</v>
      </c>
      <c r="I12132" s="1" t="s">
        <v>24977</v>
      </c>
      <c r="K12132" s="1" t="str">
        <f t="shared" si="768"/>
        <v>ㄧ</v>
      </c>
      <c r="M12132" s="1" t="str">
        <f t="shared" si="769"/>
        <v/>
      </c>
      <c r="N12132" s="3" t="s">
        <v>30574</v>
      </c>
      <c r="O12132" s="3"/>
      <c r="P12132" s="1" t="s">
        <v>20</v>
      </c>
      <c r="R12132" s="1" t="s">
        <v>24978</v>
      </c>
      <c r="V12132" s="1" t="s">
        <v>24982</v>
      </c>
      <c r="AR12132" s="1" t="str">
        <f t="shared" si="771"/>
        <v>| [ㄧˋ](ㄧˋ.md) | [刈](刈.md) |  | yì | [動]
1.割取。如：「刈草」、「刈麥」。《楚辭．屈原．離騷》：「冀枝葉之峻茂兮，願俟時乎吾將刈。」
2.砍殺。《呂氏春秋．慎大覽．順說》：「刈人之頸，刳人之腹。」《新唐書．卷八五．竇建德傳》：「我無罪，王何信讒，自刈左右手乎？」
3.消滅。《國語．吳語》：「今天王既封植越國，以明聞於天下，而又刈亡之，是天王之無成勞也。」
[名]
1.割草的農具。即鎌刀。《國語．齊語》：「時雨既至，挾其槍、刈、耨、鎛，以旦暮從事於田野。」三國吳．韋昭．注：「刈，鎌也。」
2.姓。如五代時宋有刈懷。 |</v>
      </c>
    </row>
    <row r="12133" spans="1:44" hidden="1">
      <c r="A12133" s="1" t="s">
        <v>24409</v>
      </c>
      <c r="C12133" s="1">
        <v>1</v>
      </c>
      <c r="D12133" s="1" t="str">
        <f>"10581"</f>
        <v>10581</v>
      </c>
      <c r="E12133" s="1" t="s">
        <v>37</v>
      </c>
      <c r="F12133" s="1">
        <v>6</v>
      </c>
      <c r="G12133" s="1">
        <v>2</v>
      </c>
      <c r="H12133" s="1">
        <v>2</v>
      </c>
      <c r="I12133" s="1" t="s">
        <v>24977</v>
      </c>
      <c r="K12133" s="1" t="str">
        <f t="shared" si="768"/>
        <v>ㄧ</v>
      </c>
      <c r="M12133" s="1" t="str">
        <f t="shared" si="769"/>
        <v/>
      </c>
      <c r="N12133" s="3" t="s">
        <v>30574</v>
      </c>
      <c r="O12133" s="3"/>
      <c r="P12133" s="1" t="s">
        <v>20</v>
      </c>
      <c r="R12133" s="1" t="s">
        <v>24978</v>
      </c>
      <c r="V12133" s="1" t="s">
        <v>24983</v>
      </c>
      <c r="W12133" s="1" t="s">
        <v>24984</v>
      </c>
      <c r="AR12133" s="1" t="str">
        <f t="shared" si="771"/>
        <v>| [ㄧˋ](ㄧˋ.md) | [艾](艾.md) |  | yì | 通「乂」。 |</v>
      </c>
    </row>
    <row r="12134" spans="1:44" hidden="1">
      <c r="A12134" s="1" t="s">
        <v>24985</v>
      </c>
      <c r="C12134" s="1">
        <v>1</v>
      </c>
      <c r="D12134" s="1" t="str">
        <f>"10582"</f>
        <v>10582</v>
      </c>
      <c r="E12134" s="1" t="s">
        <v>20659</v>
      </c>
      <c r="F12134" s="1">
        <v>3</v>
      </c>
      <c r="G12134" s="1">
        <v>0</v>
      </c>
      <c r="H12134" s="1">
        <v>0</v>
      </c>
      <c r="I12134" s="1" t="s">
        <v>24977</v>
      </c>
      <c r="K12134" s="1" t="str">
        <f t="shared" si="768"/>
        <v>ㄧ</v>
      </c>
      <c r="M12134" s="1" t="str">
        <f t="shared" si="769"/>
        <v/>
      </c>
      <c r="N12134" s="3" t="s">
        <v>30574</v>
      </c>
      <c r="O12134" s="3"/>
      <c r="P12134" s="1" t="s">
        <v>20</v>
      </c>
      <c r="R12134" s="1" t="s">
        <v>24978</v>
      </c>
      <c r="V12134" s="1" t="s">
        <v>24986</v>
      </c>
      <c r="AR12134" s="1" t="str">
        <f t="shared" si="771"/>
        <v>| [ㄧˋ](ㄧˋ.md) | [弋](弋.md) |  | yì | [名]
1.小木樁。《爾雅．釋宮》：「雞棲於弋為榤。」宋．邢昺．疏：「弋，橛也。」《玉篇．弋部》：「弋，橛也，所以挂物也。今作杙。」
2.射獵之事。《晉書．卷九四．隱逸傳．翟湯傳》：「遵湯之操，不交人物，耕而後事，語不及俗，惟以弋釣為事。」
3.姓。如宋代有弋尚節。
4.二一四部首之一。
[動]
1.用帶有繩子的箭射獵。《詩經．鄭風．女曰雞鳴》：「將翱將翔，弋鳧與鴈。」
2.取得。《書經．多士》：「非我小國，敢弋殷命。」《史記．卷四〇．楚世家》：「昔者三王以弋道德，五霸以弋戰國。」
[形]
黑色。通「黓」。參見「弋綈」條。 |</v>
      </c>
    </row>
    <row r="12135" spans="1:44" hidden="1">
      <c r="A12135" s="1" t="s">
        <v>24987</v>
      </c>
      <c r="C12135" s="1">
        <v>1</v>
      </c>
      <c r="D12135" s="1" t="str">
        <f>"10583"</f>
        <v>10583</v>
      </c>
      <c r="E12135" s="1" t="s">
        <v>139</v>
      </c>
      <c r="F12135" s="1">
        <v>7</v>
      </c>
      <c r="G12135" s="1">
        <v>3</v>
      </c>
      <c r="H12135" s="1">
        <v>0</v>
      </c>
      <c r="I12135" s="1" t="s">
        <v>24977</v>
      </c>
      <c r="K12135" s="1" t="str">
        <f t="shared" si="768"/>
        <v>ㄧ</v>
      </c>
      <c r="M12135" s="1" t="str">
        <f t="shared" si="769"/>
        <v/>
      </c>
      <c r="N12135" s="3" t="s">
        <v>30574</v>
      </c>
      <c r="O12135" s="3"/>
      <c r="P12135" s="1" t="s">
        <v>20</v>
      </c>
      <c r="R12135" s="1" t="s">
        <v>24978</v>
      </c>
      <c r="V12135" s="1" t="s">
        <v>24988</v>
      </c>
      <c r="AR12135" s="1" t="str">
        <f t="shared" si="771"/>
        <v>| [ㄧˋ](ㄧˋ.md) | [杙](杙.md) |  | yì | [名]
小木樁。《左傳．襄公十七年》：「（臧堅）以杙抉其傷而死。」《南史．卷六七．程靈洗傳》：「齊人並下大柱為杙，柵水中。」
[動]
栓、繫。宋．姜夔〈昔遊〉詩：「杙船遂登岸，急買野家酒。」 |</v>
      </c>
    </row>
    <row r="12136" spans="1:44" hidden="1">
      <c r="A12136" s="1" t="s">
        <v>24989</v>
      </c>
      <c r="C12136" s="1">
        <v>1</v>
      </c>
      <c r="D12136" s="1" t="str">
        <f>"10584"</f>
        <v>10584</v>
      </c>
      <c r="E12136" s="1" t="s">
        <v>37</v>
      </c>
      <c r="F12136" s="1">
        <v>7</v>
      </c>
      <c r="G12136" s="1">
        <v>3</v>
      </c>
      <c r="H12136" s="1">
        <v>0</v>
      </c>
      <c r="I12136" s="1" t="s">
        <v>24977</v>
      </c>
      <c r="K12136" s="1" t="str">
        <f t="shared" si="768"/>
        <v>ㄧ</v>
      </c>
      <c r="M12136" s="1" t="str">
        <f t="shared" si="769"/>
        <v/>
      </c>
      <c r="N12136" s="3" t="s">
        <v>30574</v>
      </c>
      <c r="O12136" s="3"/>
      <c r="P12136" s="1" t="s">
        <v>20</v>
      </c>
      <c r="R12136" s="1" t="s">
        <v>24978</v>
      </c>
      <c r="V12136" s="1" t="s">
        <v>24990</v>
      </c>
      <c r="AR12136" s="1" t="str">
        <f t="shared" si="771"/>
        <v>| [ㄧˋ](ㄧˋ.md) | [芅](芅.md) |  | yì | 參見「銚芅」條。 |</v>
      </c>
    </row>
    <row r="12137" spans="1:44" hidden="1">
      <c r="A12137" s="1" t="s">
        <v>24991</v>
      </c>
      <c r="C12137" s="1">
        <v>1</v>
      </c>
      <c r="D12137" s="1" t="str">
        <f>"10585"</f>
        <v>10585</v>
      </c>
      <c r="E12137" s="1" t="s">
        <v>2777</v>
      </c>
      <c r="F12137" s="1">
        <v>15</v>
      </c>
      <c r="G12137" s="1">
        <v>3</v>
      </c>
      <c r="H12137" s="1">
        <v>0</v>
      </c>
      <c r="I12137" s="1" t="s">
        <v>24977</v>
      </c>
      <c r="K12137" s="1" t="str">
        <f t="shared" si="768"/>
        <v>ㄧ</v>
      </c>
      <c r="M12137" s="1" t="str">
        <f t="shared" si="769"/>
        <v/>
      </c>
      <c r="N12137" s="3" t="s">
        <v>30574</v>
      </c>
      <c r="O12137" s="3"/>
      <c r="P12137" s="1" t="s">
        <v>20</v>
      </c>
      <c r="R12137" s="1" t="s">
        <v>24978</v>
      </c>
      <c r="V12137" s="1" t="s">
        <v>24992</v>
      </c>
      <c r="AR12137" s="1" t="str">
        <f t="shared" si="771"/>
        <v>| [ㄧˋ](ㄧˋ.md) | [黓](黓.md) |  | yì | [形]
黑色。《廣韻．入聲．職韻》：「黓，皁也。」清．王念孫《廣雅疏證．卷八上．釋器》：「黓，黑也。」 |</v>
      </c>
    </row>
    <row r="12138" spans="1:44" hidden="1">
      <c r="A12138" s="1" t="s">
        <v>15059</v>
      </c>
      <c r="C12138" s="1">
        <v>1</v>
      </c>
      <c r="D12138" s="1" t="str">
        <f>"10586"</f>
        <v>10586</v>
      </c>
      <c r="E12138" s="1" t="s">
        <v>114</v>
      </c>
      <c r="F12138" s="1">
        <v>5</v>
      </c>
      <c r="G12138" s="1">
        <v>3</v>
      </c>
      <c r="H12138" s="1">
        <v>1</v>
      </c>
      <c r="I12138" s="1" t="s">
        <v>24977</v>
      </c>
      <c r="K12138" s="1" t="str">
        <f t="shared" si="768"/>
        <v>ㄧ</v>
      </c>
      <c r="M12138" s="1" t="str">
        <f t="shared" si="769"/>
        <v/>
      </c>
      <c r="N12138" s="3" t="s">
        <v>30574</v>
      </c>
      <c r="O12138" s="3"/>
      <c r="P12138" s="1" t="s">
        <v>20</v>
      </c>
      <c r="R12138" s="1" t="s">
        <v>24978</v>
      </c>
      <c r="V12138" s="1" t="s">
        <v>24993</v>
      </c>
      <c r="W12138" s="1" t="s">
        <v>24994</v>
      </c>
      <c r="AR12138" s="1" t="str">
        <f t="shared" si="771"/>
        <v>| [ㄧˋ](ㄧˋ.md) | [仡](仡.md) |  | yì | [形]
勇猛、健壯。《公羊傳．宣公六年》：「仡然從乎趙盾而入，放乎堂下而立。」《文選．何晏．景福殿賦》：「華鍾杌其高懸，悍獸仡以儷陳。」
[動]
抬頭。《史記．卷一一七．司馬相如傳》：「沛艾赳螑仡以佁儗兮，放散畔岸驤以孱顏。」《文選．王延壽．魯靈光殿賦》：「奔虎攫挐以梁倚，仡奮舋而軒鬐。」 |</v>
      </c>
    </row>
    <row r="12139" spans="1:44" hidden="1">
      <c r="A12139" s="1" t="s">
        <v>24995</v>
      </c>
      <c r="C12139" s="1">
        <v>1</v>
      </c>
      <c r="D12139" s="1" t="str">
        <f>"10587"</f>
        <v>10587</v>
      </c>
      <c r="E12139" s="1" t="s">
        <v>68</v>
      </c>
      <c r="F12139" s="1">
        <v>5</v>
      </c>
      <c r="G12139" s="1">
        <v>1</v>
      </c>
      <c r="H12139" s="1">
        <v>0</v>
      </c>
      <c r="I12139" s="1" t="s">
        <v>24977</v>
      </c>
      <c r="K12139" s="1" t="str">
        <f t="shared" si="768"/>
        <v>ㄧ</v>
      </c>
      <c r="M12139" s="1" t="str">
        <f t="shared" si="769"/>
        <v/>
      </c>
      <c r="N12139" s="3" t="s">
        <v>30574</v>
      </c>
      <c r="O12139" s="3"/>
      <c r="P12139" s="1" t="s">
        <v>20</v>
      </c>
      <c r="R12139" s="1" t="s">
        <v>24978</v>
      </c>
      <c r="V12139" s="1" t="s">
        <v>24996</v>
      </c>
      <c r="AR12139" s="1" t="str">
        <f t="shared" si="771"/>
        <v>| [ㄧˋ](ㄧˋ.md) | [肊](肊.md) |  | yì | [名]
胸骨。《說文解字．肉部》：「肊，匈骨也。」 |</v>
      </c>
    </row>
    <row r="12140" spans="1:44" hidden="1">
      <c r="A12140" s="1" t="s">
        <v>24997</v>
      </c>
      <c r="C12140" s="1">
        <v>1</v>
      </c>
      <c r="D12140" s="1" t="str">
        <f>"10588"</f>
        <v>10588</v>
      </c>
      <c r="E12140" s="1" t="s">
        <v>190</v>
      </c>
      <c r="F12140" s="1">
        <v>6</v>
      </c>
      <c r="G12140" s="1">
        <v>3</v>
      </c>
      <c r="H12140" s="1">
        <v>0</v>
      </c>
      <c r="I12140" s="1" t="s">
        <v>24977</v>
      </c>
      <c r="K12140" s="1" t="str">
        <f t="shared" si="768"/>
        <v>ㄧ</v>
      </c>
      <c r="M12140" s="1" t="str">
        <f t="shared" si="769"/>
        <v/>
      </c>
      <c r="N12140" s="3" t="s">
        <v>30574</v>
      </c>
      <c r="O12140" s="3"/>
      <c r="P12140" s="1" t="s">
        <v>20</v>
      </c>
      <c r="R12140" s="1" t="s">
        <v>24978</v>
      </c>
      <c r="V12140" s="1" t="s">
        <v>24998</v>
      </c>
      <c r="AR12140" s="1" t="str">
        <f t="shared" si="771"/>
        <v>| [ㄧˋ](ㄧˋ.md) | [屹](屹.md) |  | yì | [形]
高聳的樣子。《文選．王延壽．魯靈光殿賦》：「屹山峙以紆鬱，隆崛岉乎青雲。」宋．蘇軾〈次韻劉景文西湖席上〉詩：「二老長身屹兩峰，常撞大呂應黃鐘。」
[副]
特立不動、堅定不移的樣子。如：「屹立不搖」。《文選．王延壽．魯靈光殿賦》：「屹然特立，的爾殊形。」 |</v>
      </c>
    </row>
    <row r="12141" spans="1:44" hidden="1">
      <c r="A12141" s="1" t="s">
        <v>24999</v>
      </c>
      <c r="C12141" s="1">
        <v>1</v>
      </c>
      <c r="D12141" s="1" t="str">
        <f>"10589"</f>
        <v>10589</v>
      </c>
      <c r="E12141" s="1" t="s">
        <v>272</v>
      </c>
      <c r="F12141" s="1">
        <v>12</v>
      </c>
      <c r="G12141" s="1">
        <v>1</v>
      </c>
      <c r="H12141" s="1">
        <v>0</v>
      </c>
      <c r="I12141" s="1" t="s">
        <v>24977</v>
      </c>
      <c r="K12141" s="1" t="str">
        <f t="shared" si="768"/>
        <v>ㄧ</v>
      </c>
      <c r="M12141" s="1" t="str">
        <f t="shared" si="769"/>
        <v/>
      </c>
      <c r="N12141" s="3" t="s">
        <v>30574</v>
      </c>
      <c r="O12141" s="3"/>
      <c r="P12141" s="1" t="s">
        <v>20</v>
      </c>
      <c r="R12141" s="1" t="s">
        <v>24978</v>
      </c>
      <c r="V12141" s="1" t="s">
        <v>25000</v>
      </c>
      <c r="AR12141" s="1" t="str">
        <f t="shared" si="771"/>
        <v>| [ㄧˋ](ㄧˋ.md) | [鳦](鳦.md) |  | yì | [名]
燕子。《詩經．邶風．燕燕》：「燕燕于飛，差池其羽。」漢．毛亨．傳：「燕燕，鳦也。」《史記．卷五．秦本紀》「女脩織，玄鳥隕卵，女脩吞之，生子大業」句下唐．司馬貞．索隱：「女脩，顓頊之裔女，吞鳦子而生大業。」 |</v>
      </c>
    </row>
    <row r="12142" spans="1:44" hidden="1">
      <c r="A12142" s="1" t="s">
        <v>25001</v>
      </c>
      <c r="C12142" s="1">
        <v>1</v>
      </c>
      <c r="D12142" s="1" t="str">
        <f>"10590"</f>
        <v>10590</v>
      </c>
      <c r="E12142" s="1" t="s">
        <v>367</v>
      </c>
      <c r="F12142" s="1">
        <v>6</v>
      </c>
      <c r="G12142" s="1">
        <v>4</v>
      </c>
      <c r="H12142" s="1">
        <v>0</v>
      </c>
      <c r="I12142" s="1" t="s">
        <v>24977</v>
      </c>
      <c r="K12142" s="1" t="str">
        <f t="shared" si="768"/>
        <v>ㄧ</v>
      </c>
      <c r="M12142" s="1" t="str">
        <f t="shared" si="769"/>
        <v/>
      </c>
      <c r="N12142" s="3" t="s">
        <v>30574</v>
      </c>
      <c r="O12142" s="3"/>
      <c r="P12142" s="1" t="s">
        <v>20</v>
      </c>
      <c r="R12142" s="1" t="s">
        <v>24978</v>
      </c>
      <c r="V12142" s="1" t="s">
        <v>25002</v>
      </c>
      <c r="AR12142" s="1" t="str">
        <f t="shared" si="771"/>
        <v>| [ㄧˋ](ㄧˋ.md) | [亦](亦.md) |  | yì | [副]
1.相當於「也」、「也是」。如：「人云亦云」。《論語．公冶長》：「左丘明恥之，丘亦恥之。」唐．李商隱〈無題〉詩：「相見時難別亦難，東風無力百花殘。」
2.相當於「又」。《左傳．文公七年》：「先君何罪？其嗣亦何罪？」唐．杜甫〈羌村〉詩三首之一：「鄰人滿牆頭，感歎亦歔欷。」
3.只是、不過。《戰國策．齊策四》：「王亦不好士也，何患無士？」唐．杜甫〈蒹葭〉詩：「江湖後搖落，亦恐歲蹉跎。」
4.已經。《文選．王康琚．反招隱詩》：「昔在太平時，亦有巢居子；今雖盛明世，能無中林士？」唐．杜甫〈獨立〉詩：「草露亦多濕，蛛絲亦未收。」
[連]
雖然。唐．杜甫〈奉先劉少府新畫山水障歌〉：「畫師亦無數，好手不可遇。」宋．歐陽修〈玉樓春．蝶飛芳草花飛路〉詞：「紅蓮綠芰亦芳菲，不奈金風兼玉露。」
[助]
位於句首或句中，無義。《書經．盤庚上》：「予亦拙謀，作乃逸。」《詩經．召南．草蟲》：「亦既見止，亦既覯止，我心則降。」
[名]
姓。如明代有亦孔昭。 |</v>
      </c>
    </row>
    <row r="12143" spans="1:44" hidden="1">
      <c r="A12143" s="1" t="s">
        <v>25003</v>
      </c>
      <c r="C12143" s="1">
        <v>1</v>
      </c>
      <c r="D12143" s="1" t="str">
        <f>"10591"</f>
        <v>10591</v>
      </c>
      <c r="E12143" s="1" t="s">
        <v>1027</v>
      </c>
      <c r="F12143" s="1">
        <v>9</v>
      </c>
      <c r="G12143" s="1">
        <v>6</v>
      </c>
      <c r="H12143" s="1">
        <v>0</v>
      </c>
      <c r="I12143" s="1" t="s">
        <v>24977</v>
      </c>
      <c r="K12143" s="1" t="str">
        <f t="shared" si="768"/>
        <v>ㄧ</v>
      </c>
      <c r="M12143" s="1" t="str">
        <f t="shared" si="769"/>
        <v/>
      </c>
      <c r="N12143" s="3" t="s">
        <v>30574</v>
      </c>
      <c r="O12143" s="3"/>
      <c r="P12143" s="1" t="s">
        <v>20</v>
      </c>
      <c r="R12143" s="1" t="s">
        <v>24978</v>
      </c>
      <c r="V12143" s="1" t="s">
        <v>25004</v>
      </c>
      <c r="AR12143" s="1" t="str">
        <f t="shared" si="771"/>
        <v>| [ㄧˋ](ㄧˋ.md) | [弈](弈.md) |  | yì | [名]
圍棋。《說文解字．廾部》：「弈，圍棋也。」《孟子．告子上》：「今夫弈之為數，小數也。」
[動]
下棋。如：「對弈」。《左傳．襄公二十五年》：「今𡩋子視君不如弈棋，其何以免乎？」 |</v>
      </c>
    </row>
    <row r="12144" spans="1:44" hidden="1">
      <c r="A12144" s="1" t="s">
        <v>25005</v>
      </c>
      <c r="C12144" s="1">
        <v>1</v>
      </c>
      <c r="D12144" s="1" t="str">
        <f>"10592"</f>
        <v>10592</v>
      </c>
      <c r="E12144" s="1" t="s">
        <v>563</v>
      </c>
      <c r="F12144" s="1">
        <v>9</v>
      </c>
      <c r="G12144" s="1">
        <v>6</v>
      </c>
      <c r="H12144" s="1">
        <v>0</v>
      </c>
      <c r="I12144" s="1" t="s">
        <v>24977</v>
      </c>
      <c r="K12144" s="1" t="str">
        <f t="shared" si="768"/>
        <v>ㄧ</v>
      </c>
      <c r="M12144" s="1" t="str">
        <f t="shared" si="769"/>
        <v/>
      </c>
      <c r="N12144" s="3" t="s">
        <v>30574</v>
      </c>
      <c r="O12144" s="3"/>
      <c r="P12144" s="1" t="s">
        <v>20</v>
      </c>
      <c r="R12144" s="1" t="s">
        <v>24978</v>
      </c>
      <c r="V12144" s="1" t="s">
        <v>25006</v>
      </c>
      <c r="AR12144" s="1" t="str">
        <f t="shared" si="771"/>
        <v>| [ㄧˋ](ㄧˋ.md) | [奕](奕.md) |  | yì | [形]
1.大。《說文解字．大部》：「奕，大也。」《詩經．大雅．韓奕》：「奕奕梁山，維禹甸之。」
2.美好的樣子。唐．皮日休〈桃花賦〉：「或奕偞而作態，或窈窕而騁姿。」
3.積累的。《後漢書．卷七四下．袁紹傳》：「宣奕世之德，履丕顯之祚。」晉．陶淵明〈閑情賦．序〉：「綴文之士，奕代繼作。」
4.嫻熟。《詩經．商頌．那》：「庸鼓有斁，萬舞有奕。」漢．鄭玄．箋：「其干舞又閑習。」
[名]
圍棋。通「弈」。《論語．陽貨》：「不有博奕者乎？為之猶賢乎已。」唐．韓愈〈畫記〉：「飲食服用之器，壺矢博奕之具。」 |</v>
      </c>
    </row>
    <row r="12145" spans="1:44" hidden="1">
      <c r="A12145" s="1" t="s">
        <v>25007</v>
      </c>
      <c r="C12145" s="1">
        <v>1</v>
      </c>
      <c r="D12145" s="1" t="str">
        <f>"10593"</f>
        <v>10593</v>
      </c>
      <c r="E12145" s="1" t="s">
        <v>222</v>
      </c>
      <c r="F12145" s="1">
        <v>9</v>
      </c>
      <c r="G12145" s="1">
        <v>6</v>
      </c>
      <c r="H12145" s="1">
        <v>0</v>
      </c>
      <c r="I12145" s="1" t="s">
        <v>24977</v>
      </c>
      <c r="K12145" s="1" t="str">
        <f t="shared" si="768"/>
        <v>ㄧ</v>
      </c>
      <c r="M12145" s="1" t="str">
        <f t="shared" si="769"/>
        <v/>
      </c>
      <c r="N12145" s="3" t="s">
        <v>30574</v>
      </c>
      <c r="O12145" s="3"/>
      <c r="P12145" s="1" t="s">
        <v>20</v>
      </c>
      <c r="R12145" s="1" t="s">
        <v>24978</v>
      </c>
      <c r="V12145" s="1" t="s">
        <v>25008</v>
      </c>
      <c r="AR12145" s="1" t="str">
        <f t="shared" si="771"/>
        <v>| [ㄧˋ](ㄧˋ.md) | [帟](帟.md) |  | yì | [名]
張設在座位上的小帳幕。《周禮．天官．幕人》：「幕人掌帷、幕、幄、帟、綬之事。」漢．鄭玄．注：「帟，主在幕，若幄中坐上承塵。」 |</v>
      </c>
    </row>
    <row r="12146" spans="1:44" hidden="1">
      <c r="A12146" s="1" t="s">
        <v>24774</v>
      </c>
      <c r="C12146" s="1">
        <v>1</v>
      </c>
      <c r="D12146" s="1" t="str">
        <f>"10594"</f>
        <v>10594</v>
      </c>
      <c r="E12146" s="1" t="s">
        <v>340</v>
      </c>
      <c r="F12146" s="1">
        <v>6</v>
      </c>
      <c r="G12146" s="1">
        <v>0</v>
      </c>
      <c r="H12146" s="1">
        <v>2</v>
      </c>
      <c r="I12146" s="1" t="s">
        <v>24977</v>
      </c>
      <c r="K12146" s="1" t="str">
        <f t="shared" si="768"/>
        <v>ㄧ</v>
      </c>
      <c r="M12146" s="1" t="str">
        <f t="shared" si="769"/>
        <v/>
      </c>
      <c r="N12146" s="3" t="s">
        <v>30574</v>
      </c>
      <c r="O12146" s="3"/>
      <c r="P12146" s="1" t="s">
        <v>20</v>
      </c>
      <c r="R12146" s="1" t="s">
        <v>24978</v>
      </c>
      <c r="V12146" s="1" t="s">
        <v>25009</v>
      </c>
      <c r="W12146" s="1" t="s">
        <v>25010</v>
      </c>
      <c r="AR12146" s="1" t="str">
        <f t="shared" si="771"/>
        <v>| [ㄧˋ](ㄧˋ.md) | [衣](衣.md) |  | yì | [動]
1.穿衣服。《論語．子罕》：「衣敝縕袍，與衣狐貉者立而不恥者，其由也與？」《史記．卷九二．淮陰侯列傳》：「漢王授我上將軍印，予我數萬眾，解衣衣我，推食食我。」
2.覆蓋、裹紥。《易經．繫辭下》：「古之葬者，厚衣之以薪。」唐．柳宗元〈段太尉&amp;f5fd4_.png;事狀〉：「太尉大泣曰：『乃我困汝！』即自取水洗去血，裂裳衣瘡，手注善藥，旦夕自哺農者，然後食。」
3.倚靠。同「依」。元．關漢卿《雙赴夢》第四折：「衣的我奉玉甌，進御酒，一齊山壽。」清．孫星衍《尙書今古文注疏．卷一五．康誥》：「今民將在祇遹乃文考，紹聞衣德言。」疏：「釋詁云：……衣，同依。」 |</v>
      </c>
    </row>
    <row r="12147" spans="1:44" hidden="1">
      <c r="A12147" s="1" t="s">
        <v>25011</v>
      </c>
      <c r="C12147" s="1">
        <v>1</v>
      </c>
      <c r="D12147" s="1" t="str">
        <f>"10595"</f>
        <v>10595</v>
      </c>
      <c r="E12147" s="1" t="s">
        <v>340</v>
      </c>
      <c r="F12147" s="1">
        <v>13</v>
      </c>
      <c r="G12147" s="1">
        <v>7</v>
      </c>
      <c r="H12147" s="1">
        <v>0</v>
      </c>
      <c r="I12147" s="1" t="s">
        <v>24977</v>
      </c>
      <c r="K12147" s="1" t="str">
        <f t="shared" si="768"/>
        <v>ㄧ</v>
      </c>
      <c r="M12147" s="1" t="str">
        <f t="shared" si="769"/>
        <v/>
      </c>
      <c r="N12147" s="3" t="s">
        <v>30574</v>
      </c>
      <c r="O12147" s="3"/>
      <c r="P12147" s="1" t="s">
        <v>20</v>
      </c>
      <c r="R12147" s="1" t="s">
        <v>24978</v>
      </c>
      <c r="V12147" s="1" t="s">
        <v>25012</v>
      </c>
      <c r="AR12147" s="1" t="str">
        <f t="shared" si="771"/>
        <v>| [ㄧˋ](ㄧˋ.md) | [裔](裔.md) |  | yì | [名]
1.衣服的邊緣。《說文解字．衣部》：「裔，衣裾也。」
2.邊緣。《楚辭．屈原．九歌．湘夫人》：「麋何食兮庭中，蛟何為兮水裔。」《淮南子．原道》：「故雖遊於江潯海裔，目觀掉羽武象之樂。」
3.後代子孫。如：「後裔」。《文選．左思．吳都賦》：「其居則高門鼎貴，魁岸豪傑，虞魏之昆，顧陸之裔。」
4.邊遠的地方。《左傳．文公十八年》：「投諸四裔，以禦螭魅。」唐．柳宗元〈自衡陽移桂十餘本植零陵所住精舍〉詩：「謫官去南裔，清湘繞靈岳。」
5.邊疆民族的總稱。《左傳．定公十年》：「裔不謀夏，夷不亂華。」
6.姓。如春秋時代齊國有裔款。 |</v>
      </c>
    </row>
    <row r="12148" spans="1:44" hidden="1">
      <c r="A12148" s="1" t="s">
        <v>25013</v>
      </c>
      <c r="C12148" s="1">
        <v>1</v>
      </c>
      <c r="D12148" s="1" t="str">
        <f>"10596"</f>
        <v>10596</v>
      </c>
      <c r="E12148" s="1" t="s">
        <v>129</v>
      </c>
      <c r="F12148" s="1">
        <v>16</v>
      </c>
      <c r="G12148" s="1">
        <v>13</v>
      </c>
      <c r="H12148" s="1">
        <v>0</v>
      </c>
      <c r="I12148" s="1" t="s">
        <v>24977</v>
      </c>
      <c r="K12148" s="1" t="str">
        <f t="shared" si="768"/>
        <v>ㄧ</v>
      </c>
      <c r="M12148" s="1" t="str">
        <f t="shared" si="769"/>
        <v/>
      </c>
      <c r="N12148" s="3" t="s">
        <v>30574</v>
      </c>
      <c r="O12148" s="3"/>
      <c r="P12148" s="1" t="s">
        <v>20</v>
      </c>
      <c r="R12148" s="1" t="s">
        <v>24978</v>
      </c>
      <c r="V12148" s="1" t="s">
        <v>25014</v>
      </c>
      <c r="AR12148" s="1" t="str">
        <f t="shared" si="771"/>
        <v>| [ㄧˋ](ㄧˋ.md) | [㵝](㵝.md) |  | yì | 參見「溶㵝」條。 |</v>
      </c>
    </row>
    <row r="12149" spans="1:44" hidden="1">
      <c r="A12149" s="1" t="s">
        <v>25015</v>
      </c>
      <c r="C12149" s="1">
        <v>1</v>
      </c>
      <c r="D12149" s="1" t="str">
        <f>"10597"</f>
        <v>10597</v>
      </c>
      <c r="E12149" s="1" t="s">
        <v>6488</v>
      </c>
      <c r="F12149" s="1">
        <v>6</v>
      </c>
      <c r="G12149" s="1">
        <v>2</v>
      </c>
      <c r="H12149" s="1">
        <v>1</v>
      </c>
      <c r="I12149" s="1" t="s">
        <v>24977</v>
      </c>
      <c r="K12149" s="1" t="str">
        <f t="shared" ref="K12149:K12212" si="773">LEFT(I12149, 1)</f>
        <v>ㄧ</v>
      </c>
      <c r="M12149" s="1" t="str">
        <f t="shared" ref="M12149:M12212" si="774">MID(I12149, 3, 1)</f>
        <v/>
      </c>
      <c r="N12149" s="3" t="s">
        <v>30574</v>
      </c>
      <c r="O12149" s="3"/>
      <c r="P12149" s="1" t="s">
        <v>388</v>
      </c>
      <c r="R12149" s="1" t="s">
        <v>24978</v>
      </c>
      <c r="V12149" s="1" t="s">
        <v>25016</v>
      </c>
      <c r="W12149" s="1" t="s">
        <v>25017</v>
      </c>
      <c r="AR12149" s="1" t="str">
        <f t="shared" si="771"/>
        <v>| [ㄧˋ](ㄧˋ.md) | [曳](曳.md) |  | yì | [動]_x000D_
1.牽引。如：「牽曳」、「拖曳」。金．元好問〈石門〉詩：「曳杖行歌羨樵叟，此生何計得隨君。」_x000D_
2.飄搖。如：「搖曳」。南朝宋．顏延之〈應詔觀北湖田收〉詩：「陽陸團精氣，陰谷曳寒煙。」_x000D_
[形]_x000D_
困頓。《後漢書．卷二八下．馮衍傳》：「貧而不衰，賤而不恨，年雖疲曳，猶庶幾名賢之風。」唐．章懷太子．注：「曳，猶頓也。」 |</v>
      </c>
    </row>
    <row r="12150" spans="1:44" hidden="1">
      <c r="A12150" s="1" t="s">
        <v>16545</v>
      </c>
      <c r="C12150" s="1">
        <v>1</v>
      </c>
      <c r="D12150" s="1" t="str">
        <f>"10598"</f>
        <v>10598</v>
      </c>
      <c r="E12150" s="1" t="s">
        <v>129</v>
      </c>
      <c r="F12150" s="1">
        <v>9</v>
      </c>
      <c r="G12150" s="1">
        <v>6</v>
      </c>
      <c r="H12150" s="1">
        <v>2</v>
      </c>
      <c r="I12150" s="1" t="s">
        <v>24977</v>
      </c>
      <c r="K12150" s="1" t="str">
        <f t="shared" si="773"/>
        <v>ㄧ</v>
      </c>
      <c r="M12150" s="1" t="str">
        <f t="shared" si="774"/>
        <v/>
      </c>
      <c r="N12150" s="3" t="s">
        <v>30574</v>
      </c>
      <c r="O12150" s="3"/>
      <c r="P12150" s="1" t="s">
        <v>20</v>
      </c>
      <c r="R12150" s="1" t="s">
        <v>24978</v>
      </c>
      <c r="V12150" s="1" t="s">
        <v>25018</v>
      </c>
      <c r="W12150" s="1" t="s">
        <v>25019</v>
      </c>
      <c r="AR12150" s="1" t="str">
        <f t="shared" si="771"/>
        <v>| [ㄧˋ](ㄧˋ.md) | [洩](洩.md) |  | yì | 參見「洩洩」條。 |</v>
      </c>
    </row>
    <row r="12151" spans="1:44" hidden="1">
      <c r="A12151" s="1" t="s">
        <v>25020</v>
      </c>
      <c r="C12151" s="1">
        <v>1</v>
      </c>
      <c r="D12151" s="1" t="str">
        <f>"10599"</f>
        <v>10599</v>
      </c>
      <c r="E12151" s="1" t="s">
        <v>132</v>
      </c>
      <c r="F12151" s="1">
        <v>7</v>
      </c>
      <c r="G12151" s="1">
        <v>4</v>
      </c>
      <c r="H12151" s="1">
        <v>0</v>
      </c>
      <c r="I12151" s="1" t="s">
        <v>24977</v>
      </c>
      <c r="K12151" s="1" t="str">
        <f t="shared" si="773"/>
        <v>ㄧ</v>
      </c>
      <c r="M12151" s="1" t="str">
        <f t="shared" si="774"/>
        <v/>
      </c>
      <c r="N12151" s="3" t="s">
        <v>30574</v>
      </c>
      <c r="O12151" s="3"/>
      <c r="P12151" s="1" t="s">
        <v>20</v>
      </c>
      <c r="R12151" s="1" t="s">
        <v>24978</v>
      </c>
      <c r="V12151" s="1" t="s">
        <v>25021</v>
      </c>
      <c r="AR12151" s="1" t="str">
        <f t="shared" si="771"/>
        <v>| [ㄧˋ](ㄧˋ.md) | [坄](坄.md) |  | yì | [名]
陶瓦灶窯的煙囪。《說文解字．土部》：「坄，陶灶窗也。」 |</v>
      </c>
    </row>
    <row r="12152" spans="1:44" hidden="1">
      <c r="A12152" s="1" t="s">
        <v>25022</v>
      </c>
      <c r="C12152" s="1">
        <v>1</v>
      </c>
      <c r="D12152" s="1" t="str">
        <f>"10600"</f>
        <v>10600</v>
      </c>
      <c r="E12152" s="1" t="s">
        <v>234</v>
      </c>
      <c r="F12152" s="1">
        <v>7</v>
      </c>
      <c r="G12152" s="1">
        <v>4</v>
      </c>
      <c r="H12152" s="1">
        <v>0</v>
      </c>
      <c r="I12152" s="1" t="s">
        <v>24977</v>
      </c>
      <c r="K12152" s="1" t="str">
        <f t="shared" si="773"/>
        <v>ㄧ</v>
      </c>
      <c r="M12152" s="1" t="str">
        <f t="shared" si="774"/>
        <v/>
      </c>
      <c r="N12152" s="3" t="s">
        <v>30574</v>
      </c>
      <c r="O12152" s="3"/>
      <c r="P12152" s="1" t="s">
        <v>20</v>
      </c>
      <c r="R12152" s="1" t="s">
        <v>24978</v>
      </c>
      <c r="V12152" s="1" t="s">
        <v>25023</v>
      </c>
      <c r="AR12152" s="1" t="str">
        <f t="shared" si="771"/>
        <v>| [ㄧˋ](ㄧˋ.md) | [役](役.md) |  | yì | [動]
1.戍守邊疆。《說文解字．彳部》：「役，戍也。」《詩經．王風．君子于役》：「君子于役，如之何勿思。」
2.使喚、差遣。如：「役使」、「奴役」。《孟子．離婁上》：「天下無道，小役大，弱役強。」
3.作為、施行。《禮記．表記》：「君子恭儉以求役仁，信讓以求役禮。」
4.服事。《左傳．成公二年》：「五伯之霸也，勤而撫之，以役王命。」晉．杜預．注：「役，事也。」
5.吸引、牽纏。唐．孟郊〈古離別〉詩：「春芳役雙眼，春色柔四支。」唐．顧敻〈浣溪沙．露白蟾明又到秋〉詞：「佳期幽會兩悠悠，夢牽情役幾時休？」
[名]
1.士兵。《國語．吳語》：「寡人帥不腆吳國之役，遵汶之上，不敢左右，唯好之故。」
2.事件。多指戰爭而言。如：「戰役」、「八二三之役」。《左傳．昭公五年》：「邲之役，楚無晉備，以敗於鄢。」
3.為國家所盡的義務、勞力。如：「兵役」、「服役」。
4.供差遣的人。如：「苦役」、「僕役」、「雜役」。《南史．卷七五．隱逸傳上．陶潛傳》：「汝輩幼小，家貧無役，柴水之勞，何時可免？」 |</v>
      </c>
    </row>
    <row r="12153" spans="1:44" hidden="1">
      <c r="A12153" s="1" t="s">
        <v>25024</v>
      </c>
      <c r="C12153" s="1">
        <v>1</v>
      </c>
      <c r="D12153" s="1" t="str">
        <f>"10601"</f>
        <v>10601</v>
      </c>
      <c r="E12153" s="1" t="s">
        <v>40</v>
      </c>
      <c r="F12153" s="1">
        <v>9</v>
      </c>
      <c r="G12153" s="1">
        <v>4</v>
      </c>
      <c r="H12153" s="1">
        <v>0</v>
      </c>
      <c r="I12153" s="1" t="s">
        <v>24977</v>
      </c>
      <c r="K12153" s="1" t="str">
        <f t="shared" si="773"/>
        <v>ㄧ</v>
      </c>
      <c r="M12153" s="1" t="str">
        <f t="shared" si="774"/>
        <v/>
      </c>
      <c r="N12153" s="3" t="s">
        <v>30574</v>
      </c>
      <c r="O12153" s="3"/>
      <c r="P12153" s="1" t="s">
        <v>20</v>
      </c>
      <c r="R12153" s="1" t="s">
        <v>24978</v>
      </c>
      <c r="V12153" s="1" t="s">
        <v>25025</v>
      </c>
      <c r="AR12153" s="1" t="str">
        <f t="shared" si="771"/>
        <v>| [ㄧˋ](ㄧˋ.md) | [疫](疫.md) |  | yì | [名]
流行性或急性傳染病的總稱。如：「鼠疫」、「時疫」。唐．柳宗元〈永州龍興寺息壤記〉：「南方多疫，勞者先死。」 |</v>
      </c>
    </row>
    <row r="12154" spans="1:44" hidden="1">
      <c r="A12154" s="1" t="s">
        <v>25026</v>
      </c>
      <c r="C12154" s="1">
        <v>1</v>
      </c>
      <c r="D12154" s="1" t="str">
        <f>"10602"</f>
        <v>10602</v>
      </c>
      <c r="E12154" s="1" t="s">
        <v>24</v>
      </c>
      <c r="F12154" s="1">
        <v>7</v>
      </c>
      <c r="G12154" s="1">
        <v>4</v>
      </c>
      <c r="H12154" s="1">
        <v>0</v>
      </c>
      <c r="I12154" s="1" t="s">
        <v>24977</v>
      </c>
      <c r="K12154" s="1" t="str">
        <f t="shared" si="773"/>
        <v>ㄧ</v>
      </c>
      <c r="M12154" s="1" t="str">
        <f t="shared" si="774"/>
        <v/>
      </c>
      <c r="N12154" s="3" t="s">
        <v>30574</v>
      </c>
      <c r="O12154" s="3"/>
      <c r="P12154" s="1" t="s">
        <v>20</v>
      </c>
      <c r="R12154" s="1" t="s">
        <v>24978</v>
      </c>
      <c r="V12154" s="1" t="s">
        <v>25027</v>
      </c>
      <c r="AR12154" s="1" t="str">
        <f t="shared" si="771"/>
        <v>| [ㄧˋ](ㄧˋ.md) | [抑](抑.md) |  | yì | [動]
1.按壓、按住。《呂氏春秋．離俗覽．適威》：「若璽之於塗也，抑之以方則方，抑之以圜則圜。」《淮南子．精神》：「病疵瘕者，捧心抑腹。」
2.壓制、扣住。如：「扶弱抑強」、「壓抑」。《禮記．學記》：「君子之教喻也，道而弗牽，強而弗抑。」《漢書．卷六八．霍光傳》：「朕以大將軍故，抑而不揚。」
3.遏止、制止。《荀子．成相》：「禹有功，抑下鴻。」《史記．卷七七．魏公子傳》：「遂乘勝逐秦軍至函谷關，抑秦兵，秦兵不敢出。」
4.俯下、低下。《晏子春秋．內篇．諫下》：「公曰：『昔仲父之霸何如？』晏子抑首而不對。」《漢書．卷四三．叔孫通傳》：「諸侍坐殿上皆伏抑首，以尊卑次起上壽。」
[形]
深沉、低沉。《楚辭．屈原．九章．惜誦》：「情沉抑而不達兮，又蔽而莫之白。」《老殘遊記》第二回：「只是到後來，全用輪指，那抑揚頓挫，入耳動心，恍若有幾十根弦，幾百個指頭，在那裡彈似的。」
[連]
1.或是、還是。表示選擇。《論語．學而》：「求之與？抑與之與？」唐．柳宗元〈答韋中立論師道書〉：「有取乎？抑其無取乎？」
2.而且。《三國志．卷三五．蜀書．諸葛亮傳》：「然操遂能克紹，以弱為強者，非惟天時，抑亦人謀也！」
3.但是、然而。表示轉折。《論語．述而》：「若聖與仁，則吾豈敢；抑為之不厭，誨人不倦，則可謂云爾已矣！」
4.則、就。《左傳．莊公六年》：「若不從三臣，抑社稷實不血食，而君焉取餘？」《國語．魯語下》：「若盟而棄魯侯，信抑闕矣。」
[助]
用於句首，無義。《左傳．昭公十三年》：「抑齊人不盟，若之何？」
[名]
《詩經．大雅》的篇名。共十二章。根據〈詩序〉：「〈抑〉，衛武公刺厲王，亦以自警也。」或亦指衛武公自責自勵之詩。首章二句為：「抑抑威儀，維德之隅。」 |</v>
      </c>
    </row>
    <row r="12155" spans="1:44" hidden="1">
      <c r="A12155" s="1" t="s">
        <v>25028</v>
      </c>
      <c r="C12155" s="1">
        <v>1</v>
      </c>
      <c r="D12155" s="1" t="str">
        <f>"10603"</f>
        <v>10603</v>
      </c>
      <c r="E12155" s="1" t="s">
        <v>256</v>
      </c>
      <c r="F12155" s="1">
        <v>7</v>
      </c>
      <c r="G12155" s="1">
        <v>0</v>
      </c>
      <c r="H12155" s="1">
        <v>0</v>
      </c>
      <c r="I12155" s="1" t="s">
        <v>24977</v>
      </c>
      <c r="K12155" s="1" t="str">
        <f t="shared" si="773"/>
        <v>ㄧ</v>
      </c>
      <c r="M12155" s="1" t="str">
        <f t="shared" si="774"/>
        <v/>
      </c>
      <c r="N12155" s="3" t="s">
        <v>30574</v>
      </c>
      <c r="O12155" s="3"/>
      <c r="P12155" s="1" t="s">
        <v>20</v>
      </c>
      <c r="R12155" s="1" t="s">
        <v>24978</v>
      </c>
      <c r="V12155" s="1" t="s">
        <v>25029</v>
      </c>
      <c r="AR12155" s="1" t="str">
        <f t="shared" si="771"/>
        <v>| [ㄧˋ](ㄧˋ.md) | [邑](邑.md) |  | yì | [名]
1.國家。《說文解字．邑部》：「邑，國也。」《左傳．桓公十一年》：「鄖人軍其郊，必不誡，且日虞四邑之至也。」晉．杜預．注：「邑，亦國也。」
2.京城、國都。《詩經．商頌．殷武》：「商邑翼翼，四方之極。」漢．毛亨．傳：「商邑，京師也。」唐．李白〈為宋中丞請都金陵表〉：「湯及盤庚，五遷其邑。」
3.城市。如：「城邑」。《史記．卷六八．商君傳》：「衛鞅既破魏還，秦封之於、商十五邑。」
4.封地。如：「食邑」、「采邑」。《周禮．地官．載師》：「以家邑之田任稍地，以小都之田任縣地。」漢．鄭玄．注：「家邑，大夫之采地。」
5.二一四部首之一。
[副]
憂愁不安。通「悒」。《楚辭．屈原．離騷》：「忳鬱邑余侘傺兮，吾獨窮困乎此時也！」《荀子．解蔽》：「不慕往，不閔來，無邑憐之心。」 |</v>
      </c>
    </row>
    <row r="12156" spans="1:44" hidden="1">
      <c r="A12156" s="1" t="s">
        <v>25030</v>
      </c>
      <c r="C12156" s="1">
        <v>1</v>
      </c>
      <c r="D12156" s="1" t="str">
        <f>"10604"</f>
        <v>10604</v>
      </c>
      <c r="E12156" s="1" t="s">
        <v>129</v>
      </c>
      <c r="F12156" s="1">
        <v>10</v>
      </c>
      <c r="G12156" s="1">
        <v>7</v>
      </c>
      <c r="H12156" s="1">
        <v>0</v>
      </c>
      <c r="I12156" s="1" t="s">
        <v>24977</v>
      </c>
      <c r="K12156" s="1" t="str">
        <f t="shared" si="773"/>
        <v>ㄧ</v>
      </c>
      <c r="M12156" s="1" t="str">
        <f t="shared" si="774"/>
        <v/>
      </c>
      <c r="N12156" s="3" t="s">
        <v>30574</v>
      </c>
      <c r="O12156" s="3"/>
      <c r="P12156" s="1" t="s">
        <v>20</v>
      </c>
      <c r="R12156" s="1" t="s">
        <v>24978</v>
      </c>
      <c r="V12156" s="1" t="s">
        <v>25031</v>
      </c>
      <c r="AR12156" s="1" t="str">
        <f t="shared" si="771"/>
        <v>| [ㄧˋ](ㄧˋ.md) | [浥](浥.md) |  | yì | [動]
潤溼、沾溼。唐．王維〈渭城曲〉：「渭城朝雨浥輕塵，客舍青青柳色新。」宋．陸游〈浪淘沙．綠樹暗長亭〉詞：「清淚浥羅巾，各自消魂。」
[名]
姓。如漢代有浥安。 |</v>
      </c>
    </row>
    <row r="12157" spans="1:44" hidden="1">
      <c r="A12157" s="1" t="s">
        <v>25032</v>
      </c>
      <c r="C12157" s="1">
        <v>1</v>
      </c>
      <c r="D12157" s="1" t="str">
        <f>"10605"</f>
        <v>10605</v>
      </c>
      <c r="E12157" s="1" t="s">
        <v>250</v>
      </c>
      <c r="F12157" s="1">
        <v>10</v>
      </c>
      <c r="G12157" s="1">
        <v>7</v>
      </c>
      <c r="H12157" s="1">
        <v>0</v>
      </c>
      <c r="I12157" s="1" t="s">
        <v>24977</v>
      </c>
      <c r="K12157" s="1" t="str">
        <f t="shared" si="773"/>
        <v>ㄧ</v>
      </c>
      <c r="M12157" s="1" t="str">
        <f t="shared" si="774"/>
        <v/>
      </c>
      <c r="N12157" s="3" t="s">
        <v>30574</v>
      </c>
      <c r="O12157" s="3"/>
      <c r="P12157" s="1" t="s">
        <v>20</v>
      </c>
      <c r="R12157" s="1" t="s">
        <v>24978</v>
      </c>
      <c r="V12157" s="1" t="s">
        <v>25033</v>
      </c>
      <c r="AR12157" s="1" t="str">
        <f t="shared" si="771"/>
        <v>| [ㄧˋ](ㄧˋ.md) | [悒](悒.md) |  | yì | [動]
憂鬱不安。《楚辭．屈原．天問》：「武發殺殷何所悒？載尸集戰何所急？」
[形]
愁悶。如：「憂悒」。三國魏．曹植〈離友詩〉三首之二：「伊鬱悒兮情不怡。」 |</v>
      </c>
    </row>
    <row r="12158" spans="1:44" hidden="1">
      <c r="A12158" s="1" t="s">
        <v>25034</v>
      </c>
      <c r="C12158" s="1">
        <v>1</v>
      </c>
      <c r="D12158" s="1" t="str">
        <f>"10606"</f>
        <v>10606</v>
      </c>
      <c r="E12158" s="1" t="s">
        <v>24</v>
      </c>
      <c r="F12158" s="1">
        <v>10</v>
      </c>
      <c r="G12158" s="1">
        <v>7</v>
      </c>
      <c r="H12158" s="1">
        <v>0</v>
      </c>
      <c r="I12158" s="1" t="s">
        <v>24977</v>
      </c>
      <c r="K12158" s="1" t="str">
        <f t="shared" si="773"/>
        <v>ㄧ</v>
      </c>
      <c r="M12158" s="1" t="str">
        <f t="shared" si="774"/>
        <v/>
      </c>
      <c r="N12158" s="3" t="s">
        <v>30574</v>
      </c>
      <c r="O12158" s="3"/>
      <c r="P12158" s="1" t="s">
        <v>20</v>
      </c>
      <c r="R12158" s="1" t="s">
        <v>24978</v>
      </c>
      <c r="V12158" s="1" t="s">
        <v>25035</v>
      </c>
      <c r="AR12158" s="1" t="str">
        <f t="shared" si="771"/>
        <v>| [ㄧˋ](ㄧˋ.md) | [挹](挹.md) |  | yì | [動]
1.舀取。《詩經．小雅．大東》：「維北有斗，不可以挹酒漿。」
2.牽引。《文選．郭璞．遊仙詩七首之三》：「左挹浮丘袖，右拍洪崖肩。」
3.謙退、退讓。《荀子．宥坐》：「富有四海，守之以謙，此所謂挹而損之之道也。」
4.推崇。通「揖」。《北史．卷三八．裴文舉傳》：「父邃，性方嚴，為州里所推挹。」 |</v>
      </c>
    </row>
    <row r="12159" spans="1:44" hidden="1">
      <c r="A12159" s="1" t="s">
        <v>24308</v>
      </c>
      <c r="C12159" s="1">
        <v>1</v>
      </c>
      <c r="D12159" s="1" t="str">
        <f>"10607"</f>
        <v>10607</v>
      </c>
      <c r="E12159" s="1" t="s">
        <v>28</v>
      </c>
      <c r="F12159" s="1">
        <v>10</v>
      </c>
      <c r="G12159" s="1">
        <v>7</v>
      </c>
      <c r="H12159" s="1">
        <v>1</v>
      </c>
      <c r="I12159" s="1" t="s">
        <v>24977</v>
      </c>
      <c r="K12159" s="1" t="str">
        <f t="shared" si="773"/>
        <v>ㄧ</v>
      </c>
      <c r="M12159" s="1" t="str">
        <f t="shared" si="774"/>
        <v/>
      </c>
      <c r="N12159" s="3" t="s">
        <v>30574</v>
      </c>
      <c r="O12159" s="3"/>
      <c r="P12159" s="1" t="s">
        <v>20</v>
      </c>
      <c r="R12159" s="1" t="s">
        <v>24978</v>
      </c>
      <c r="V12159" s="1" t="s">
        <v>25036</v>
      </c>
      <c r="W12159" s="1" t="s">
        <v>25037</v>
      </c>
      <c r="AR12159" s="1" t="str">
        <f t="shared" si="771"/>
        <v>| [ㄧˋ](ㄧˋ.md) | [唈](唈.md) |  | yì | 參見「嗚唈」、「唈僾」等條。 |</v>
      </c>
    </row>
    <row r="12160" spans="1:44" hidden="1">
      <c r="A12160" s="1" t="s">
        <v>25038</v>
      </c>
      <c r="C12160" s="1">
        <v>1</v>
      </c>
      <c r="D12160" s="1" t="str">
        <f>"10608"</f>
        <v>10608</v>
      </c>
      <c r="E12160" s="1" t="s">
        <v>340</v>
      </c>
      <c r="F12160" s="1">
        <v>13</v>
      </c>
      <c r="G12160" s="1">
        <v>7</v>
      </c>
      <c r="H12160" s="1">
        <v>0</v>
      </c>
      <c r="I12160" s="1" t="s">
        <v>24977</v>
      </c>
      <c r="K12160" s="1" t="str">
        <f t="shared" si="773"/>
        <v>ㄧ</v>
      </c>
      <c r="M12160" s="1" t="str">
        <f t="shared" si="774"/>
        <v/>
      </c>
      <c r="N12160" s="3" t="s">
        <v>30574</v>
      </c>
      <c r="O12160" s="3"/>
      <c r="P12160" s="1" t="s">
        <v>20</v>
      </c>
      <c r="R12160" s="1" t="s">
        <v>24978</v>
      </c>
      <c r="V12160" s="1" t="s">
        <v>25039</v>
      </c>
      <c r="AR12160" s="1" t="str">
        <f t="shared" si="771"/>
        <v>| [ㄧˋ](ㄧˋ.md) | [裛](裛.md) |  | yì | [動]_x000D_
1.纏繞、包裹。漢．班固〈西都賦〉：「裛以藻繡，絡以綸連。」_x000D_
2.溼潤。通「浥」。晉．陶淵明〈飲酒詩〉二〇首之七：「秋菊有佳色，裛露掇其英。」唐．杜甫〈狂夫〉詩：「風含翠篠娟娟靜，雨裛紅蕖冉冉香。」_x000D_
3.以香氣薰衣。唐．韋莊〈和鄭拾秋日感事一百韻〉：「寶裝軍器麗，麝裛戰袍香。」 |</v>
      </c>
    </row>
    <row r="12161" spans="1:44" hidden="1">
      <c r="A12161" s="1" t="s">
        <v>5297</v>
      </c>
      <c r="C12161" s="1">
        <v>1</v>
      </c>
      <c r="D12161" s="1" t="str">
        <f>"10609"</f>
        <v>10609</v>
      </c>
      <c r="E12161" s="1" t="s">
        <v>114</v>
      </c>
      <c r="F12161" s="1">
        <v>7</v>
      </c>
      <c r="G12161" s="1">
        <v>5</v>
      </c>
      <c r="H12161" s="1">
        <v>1</v>
      </c>
      <c r="I12161" s="1" t="s">
        <v>24977</v>
      </c>
      <c r="K12161" s="1" t="str">
        <f t="shared" si="773"/>
        <v>ㄧ</v>
      </c>
      <c r="M12161" s="1" t="str">
        <f t="shared" si="774"/>
        <v/>
      </c>
      <c r="N12161" s="3" t="s">
        <v>30574</v>
      </c>
      <c r="O12161" s="3"/>
      <c r="P12161" s="1" t="s">
        <v>20</v>
      </c>
      <c r="R12161" s="1" t="s">
        <v>24978</v>
      </c>
      <c r="V12161" s="1" t="s">
        <v>25040</v>
      </c>
      <c r="W12161" s="1" t="s">
        <v>25041</v>
      </c>
      <c r="AR12161" s="1" t="str">
        <f t="shared" si="771"/>
        <v>| [ㄧˋ](ㄧˋ.md) | [佚](佚.md) |  | yì | [動]
散失。如：「佚失」、「亡佚」、「散佚」。
[形]
1.散失的。如：「佚文」、「佚書」。
2.美好的。《楚辭．屈原．離騷》：「望瑤臺之偃蹇兮，見有娀之佚女。」
3.放蕩的、放縱的。通「逸」。如：「佚樂」、「佚遊」。《漢書．卷二三．刑法志》：「忿怒傷人，男女淫佚，吏為姦臧。」
[名]
1.過失。《商君書．開塞》：「夫民之憂則思，思則出度；樂則淫，淫則生佚。」
2.姓。如春秋時鄭國有佚之狐。 |</v>
      </c>
    </row>
    <row r="12162" spans="1:44" hidden="1">
      <c r="A12162" s="1" t="s">
        <v>25042</v>
      </c>
      <c r="C12162" s="1">
        <v>1</v>
      </c>
      <c r="D12162" s="1" t="str">
        <f>"10610"</f>
        <v>10610</v>
      </c>
      <c r="E12162" s="1" t="s">
        <v>129</v>
      </c>
      <c r="F12162" s="1">
        <v>8</v>
      </c>
      <c r="G12162" s="1">
        <v>5</v>
      </c>
      <c r="H12162" s="1">
        <v>0</v>
      </c>
      <c r="I12162" s="1" t="s">
        <v>24977</v>
      </c>
      <c r="K12162" s="1" t="str">
        <f t="shared" si="773"/>
        <v>ㄧ</v>
      </c>
      <c r="M12162" s="1" t="str">
        <f t="shared" si="774"/>
        <v/>
      </c>
      <c r="N12162" s="3" t="s">
        <v>30574</v>
      </c>
      <c r="O12162" s="3"/>
      <c r="P12162" s="1" t="s">
        <v>20</v>
      </c>
      <c r="R12162" s="1" t="s">
        <v>24978</v>
      </c>
      <c r="V12162" s="1" t="s">
        <v>25043</v>
      </c>
      <c r="AR12162" s="1" t="str">
        <f t="shared" si="771"/>
        <v>| [ㄧˋ](ㄧˋ.md) | [泆](泆.md) |  | yì | [動]
水流奔騰泛濫。通「溢」。漢．王充《論衡．效力》：「如岸狹地仰，溝洫決泆，散在丘墟矣。」北魏．酈道元《水經注．涑水注》：「惟山水暴至，雨澍潢潦奔泆。」
[形]
放蕩、荒淫。通「佚」。《左傳．隱公三年》：「驕奢淫泆，所自邪也。」《文選．傅毅．舞賦》：「天王燕胥，樂而不泆。」 |</v>
      </c>
    </row>
    <row r="12163" spans="1:44" hidden="1">
      <c r="A12163" s="1" t="s">
        <v>5303</v>
      </c>
      <c r="C12163" s="1">
        <v>1</v>
      </c>
      <c r="D12163" s="1" t="str">
        <f>"10611"</f>
        <v>10611</v>
      </c>
      <c r="E12163" s="1" t="s">
        <v>646</v>
      </c>
      <c r="F12163" s="1">
        <v>9</v>
      </c>
      <c r="G12163" s="1">
        <v>5</v>
      </c>
      <c r="H12163" s="1">
        <v>2</v>
      </c>
      <c r="I12163" s="1" t="s">
        <v>24977</v>
      </c>
      <c r="K12163" s="1" t="str">
        <f t="shared" si="773"/>
        <v>ㄧ</v>
      </c>
      <c r="M12163" s="1" t="str">
        <f t="shared" si="774"/>
        <v/>
      </c>
      <c r="N12163" s="3" t="s">
        <v>30574</v>
      </c>
      <c r="O12163" s="3"/>
      <c r="P12163" s="1" t="s">
        <v>20</v>
      </c>
      <c r="R12163" s="1" t="s">
        <v>24978</v>
      </c>
      <c r="V12163" s="1" t="s">
        <v>25044</v>
      </c>
      <c r="W12163" s="1" t="s">
        <v>25045</v>
      </c>
      <c r="AR12163" s="1" t="str">
        <f t="shared" ref="AR12163:AR12226" si="775">"| ["&amp;I12163&amp;"]("&amp;I12163&amp;".md) | ["&amp;A12163&amp;"]("&amp;A12163&amp;".md) | "&amp;" | "&amp;R12163&amp;" | "&amp;V12163&amp;" |"</f>
        <v>| [ㄧˋ](ㄧˋ.md) | [昳](昳.md) |  | yì | 參見「昳麗」條。 |</v>
      </c>
    </row>
    <row r="12164" spans="1:44" hidden="1">
      <c r="A12164" s="1" t="s">
        <v>25046</v>
      </c>
      <c r="C12164" s="1">
        <v>1</v>
      </c>
      <c r="D12164" s="1" t="str">
        <f>"10612"</f>
        <v>10612</v>
      </c>
      <c r="E12164" s="1" t="s">
        <v>331</v>
      </c>
      <c r="F12164" s="1">
        <v>12</v>
      </c>
      <c r="G12164" s="1">
        <v>5</v>
      </c>
      <c r="H12164" s="1">
        <v>0</v>
      </c>
      <c r="I12164" s="1" t="s">
        <v>24977</v>
      </c>
      <c r="K12164" s="1" t="str">
        <f t="shared" si="773"/>
        <v>ㄧ</v>
      </c>
      <c r="M12164" s="1" t="str">
        <f t="shared" si="774"/>
        <v/>
      </c>
      <c r="N12164" s="3" t="s">
        <v>30574</v>
      </c>
      <c r="O12164" s="3"/>
      <c r="P12164" s="1" t="s">
        <v>20</v>
      </c>
      <c r="R12164" s="1" t="s">
        <v>24978</v>
      </c>
      <c r="V12164" s="1" t="s">
        <v>25047</v>
      </c>
      <c r="AR12164" s="1" t="str">
        <f t="shared" si="775"/>
        <v>| [ㄧˋ](ㄧˋ.md) | [詄](詄.md) |  | yì | [動]
遺忘。《說文解字．言部》：「詄，忘也。」《漢書．卷二二．禮樂志》：「天門開，詄蕩蕩。」 |</v>
      </c>
    </row>
    <row r="12165" spans="1:44" hidden="1">
      <c r="A12165" s="1" t="s">
        <v>25048</v>
      </c>
      <c r="C12165" s="1">
        <v>1</v>
      </c>
      <c r="D12165" s="1" t="str">
        <f>"10613"</f>
        <v>10613</v>
      </c>
      <c r="E12165" s="1" t="s">
        <v>71</v>
      </c>
      <c r="F12165" s="1">
        <v>12</v>
      </c>
      <c r="G12165" s="1">
        <v>5</v>
      </c>
      <c r="H12165" s="1">
        <v>0</v>
      </c>
      <c r="I12165" s="1" t="s">
        <v>24977</v>
      </c>
      <c r="K12165" s="1" t="str">
        <f t="shared" si="773"/>
        <v>ㄧ</v>
      </c>
      <c r="M12165" s="1" t="str">
        <f t="shared" si="774"/>
        <v/>
      </c>
      <c r="N12165" s="3" t="s">
        <v>30574</v>
      </c>
      <c r="O12165" s="3"/>
      <c r="P12165" s="1" t="s">
        <v>20</v>
      </c>
      <c r="R12165" s="1" t="s">
        <v>24978</v>
      </c>
      <c r="V12165" s="1" t="s">
        <v>25049</v>
      </c>
      <c r="AR12165" s="1" t="str">
        <f t="shared" si="775"/>
        <v>| [ㄧˋ](ㄧˋ.md) | [軼](軼.md) |  | yì | [動]
1.超過、超越。《楚辭．屈原．遠遊》：「軼迅風於清源兮，從顓頊乎增冰。」《文選．班固．西都賦》：「軼雲雨於太半，虹霓迴帶於棼楣。」
2.突襲、侵略。《左傳．隱公九年》：「彼徒我車，懼其侵軼我也。」晉．杜預．注：「軼，突也。」南朝宋．顏延之〈陽給事誄〉：「軼我河縣，俘我洛畿。」
[形]
1.散失的。如：「軼事」、「軼聞」、「軼詩」。
2.安適、逸樂。通「逸」。《史記．卷一一二．主父偃傳》：「日聞其美，意廣心軼。」 |</v>
      </c>
    </row>
    <row r="12166" spans="1:44" hidden="1">
      <c r="A12166" s="1" t="s">
        <v>16532</v>
      </c>
      <c r="C12166" s="1">
        <v>1</v>
      </c>
      <c r="D12166" s="1" t="str">
        <f>"10614"</f>
        <v>10614</v>
      </c>
      <c r="E12166" s="1" t="s">
        <v>129</v>
      </c>
      <c r="F12166" s="1">
        <v>8</v>
      </c>
      <c r="G12166" s="1">
        <v>5</v>
      </c>
      <c r="H12166" s="1">
        <v>2</v>
      </c>
      <c r="I12166" s="1" t="s">
        <v>24977</v>
      </c>
      <c r="K12166" s="1" t="str">
        <f t="shared" si="773"/>
        <v>ㄧ</v>
      </c>
      <c r="M12166" s="1" t="str">
        <f t="shared" si="774"/>
        <v/>
      </c>
      <c r="N12166" s="3" t="s">
        <v>30574</v>
      </c>
      <c r="O12166" s="3"/>
      <c r="P12166" s="1" t="s">
        <v>20</v>
      </c>
      <c r="R12166" s="1" t="s">
        <v>24978</v>
      </c>
      <c r="V12166" s="1" t="s">
        <v>25050</v>
      </c>
      <c r="W12166" s="1" t="s">
        <v>25051</v>
      </c>
      <c r="AR12166" s="1" t="str">
        <f t="shared" si="775"/>
        <v>| [ㄧˋ](ㄧˋ.md) | [泄](泄.md) |  | yì | 參見「泄沓」、「泄泄」等條。 |</v>
      </c>
    </row>
    <row r="12167" spans="1:44" hidden="1">
      <c r="A12167" s="1" t="s">
        <v>25052</v>
      </c>
      <c r="C12167" s="1">
        <v>1</v>
      </c>
      <c r="D12167" s="1" t="str">
        <f>"10615"</f>
        <v>10615</v>
      </c>
      <c r="E12167" s="1" t="s">
        <v>139</v>
      </c>
      <c r="F12167" s="1">
        <v>9</v>
      </c>
      <c r="G12167" s="1">
        <v>5</v>
      </c>
      <c r="H12167" s="1">
        <v>0</v>
      </c>
      <c r="I12167" s="1" t="s">
        <v>24977</v>
      </c>
      <c r="K12167" s="1" t="str">
        <f t="shared" si="773"/>
        <v>ㄧ</v>
      </c>
      <c r="M12167" s="1" t="str">
        <f t="shared" si="774"/>
        <v/>
      </c>
      <c r="N12167" s="3" t="s">
        <v>30574</v>
      </c>
      <c r="O12167" s="3"/>
      <c r="P12167" s="1" t="s">
        <v>20</v>
      </c>
      <c r="R12167" s="1" t="s">
        <v>24978</v>
      </c>
      <c r="V12167" s="1" t="s">
        <v>25053</v>
      </c>
      <c r="AR12167" s="1" t="str">
        <f t="shared" si="775"/>
        <v>| [ㄧˋ](ㄧˋ.md) | [枻](枻.md) |  | yì | [名]
1.船槳。《集韻．去聲．祭韻》：「枻，楫謂之枻。」《楚辭．屈原．漁父》：「漁父莞爾而笑，鼓枻而去。」
2.矯正弓箭的器具。《荀子．非相》：「故君子之度己則以繩，接人則用抴。」楊倞注引韓侍郎云：「枻者檠枻也，正弓弩之器也。」 |</v>
      </c>
    </row>
    <row r="12168" spans="1:44" hidden="1">
      <c r="A12168" s="1" t="s">
        <v>19427</v>
      </c>
      <c r="C12168" s="1">
        <v>1</v>
      </c>
      <c r="D12168" s="1" t="str">
        <f>"10616"</f>
        <v>10616</v>
      </c>
      <c r="E12168" s="1" t="s">
        <v>77</v>
      </c>
      <c r="F12168" s="1">
        <v>12</v>
      </c>
      <c r="G12168" s="1">
        <v>5</v>
      </c>
      <c r="H12168" s="1">
        <v>2</v>
      </c>
      <c r="I12168" s="1" t="s">
        <v>24977</v>
      </c>
      <c r="K12168" s="1" t="str">
        <f t="shared" si="773"/>
        <v>ㄧ</v>
      </c>
      <c r="M12168" s="1" t="str">
        <f t="shared" si="774"/>
        <v/>
      </c>
      <c r="N12168" s="3" t="s">
        <v>30574</v>
      </c>
      <c r="O12168" s="3"/>
      <c r="P12168" s="1" t="s">
        <v>110</v>
      </c>
      <c r="R12168" s="1" t="s">
        <v>24978</v>
      </c>
      <c r="V12168" s="1" t="s">
        <v>111</v>
      </c>
      <c r="W12168" s="1" t="s">
        <v>25054</v>
      </c>
      <c r="AR12168" s="1" t="str">
        <f t="shared" si="775"/>
        <v>| [ㄧˋ](ㄧˋ.md) | [跇](跇.md) |  | yì | (一)之又音。 |</v>
      </c>
    </row>
    <row r="12169" spans="1:44" hidden="1">
      <c r="A12169" s="1" t="s">
        <v>25055</v>
      </c>
      <c r="C12169" s="1">
        <v>1</v>
      </c>
      <c r="D12169" s="1" t="str">
        <f>"10617"</f>
        <v>10617</v>
      </c>
      <c r="E12169" s="1" t="s">
        <v>96</v>
      </c>
      <c r="F12169" s="1">
        <v>14</v>
      </c>
      <c r="G12169" s="1">
        <v>5</v>
      </c>
      <c r="H12169" s="1">
        <v>0</v>
      </c>
      <c r="I12169" s="1" t="s">
        <v>24977</v>
      </c>
      <c r="K12169" s="1" t="str">
        <f t="shared" si="773"/>
        <v>ㄧ</v>
      </c>
      <c r="M12169" s="1" t="str">
        <f t="shared" si="774"/>
        <v/>
      </c>
      <c r="N12169" s="3" t="s">
        <v>30574</v>
      </c>
      <c r="O12169" s="3"/>
      <c r="P12169" s="1" t="s">
        <v>20</v>
      </c>
      <c r="R12169" s="1" t="s">
        <v>24978</v>
      </c>
      <c r="V12169" s="1" t="s">
        <v>25056</v>
      </c>
      <c r="AR12169" s="1" t="str">
        <f t="shared" si="775"/>
        <v>| [ㄧˋ](ㄧˋ.md) | [靾](靾.md) |  | yì | [名]
韁繩。《儀禮．既夕禮》：「薦乘車，鹿淺幦，干、笮、革靾。」漢．鄭玄．注：「靾，韁也。」 |</v>
      </c>
    </row>
    <row r="12170" spans="1:44" hidden="1">
      <c r="A12170" s="1" t="s">
        <v>25057</v>
      </c>
      <c r="C12170" s="1">
        <v>1</v>
      </c>
      <c r="D12170" s="1" t="str">
        <f>"10618"</f>
        <v>10618</v>
      </c>
      <c r="E12170" s="1" t="s">
        <v>245</v>
      </c>
      <c r="F12170" s="1">
        <v>14</v>
      </c>
      <c r="G12170" s="1">
        <v>12</v>
      </c>
      <c r="H12170" s="1">
        <v>0</v>
      </c>
      <c r="I12170" s="1" t="s">
        <v>24977</v>
      </c>
      <c r="K12170" s="1" t="str">
        <f t="shared" si="773"/>
        <v>ㄧ</v>
      </c>
      <c r="M12170" s="1" t="str">
        <f t="shared" si="774"/>
        <v/>
      </c>
      <c r="N12170" s="3" t="s">
        <v>30574</v>
      </c>
      <c r="O12170" s="3"/>
      <c r="P12170" s="1" t="s">
        <v>20</v>
      </c>
      <c r="R12170" s="1" t="s">
        <v>24978</v>
      </c>
      <c r="V12170" s="1" t="s">
        <v>25058</v>
      </c>
      <c r="AR12170" s="1" t="str">
        <f t="shared" si="775"/>
        <v>| [ㄧˋ](ㄧˋ.md) | [勩](勩.md) |  | yì | [動]
器物因磨損而失去稜角、鋒芒。《說文解宇．力部》「勩」字．清．段玉裁．注：「勩，凡物久用而勞敝曰勩。」
[形]
辛勤、勞苦。《詩經．小雅．雨無正》：「正大夫離居，莫知我勩。」漢．毛亨．傳：「勩，勞也。」唐．載叔倫〈南野〉詩：「身勩竟亡疲，團團欣在目。」 |</v>
      </c>
    </row>
    <row r="12171" spans="1:44" hidden="1">
      <c r="A12171" s="1" t="s">
        <v>25059</v>
      </c>
      <c r="C12171" s="1">
        <v>1</v>
      </c>
      <c r="D12171" s="1" t="str">
        <f>"10619"</f>
        <v>10619</v>
      </c>
      <c r="E12171" s="1" t="s">
        <v>646</v>
      </c>
      <c r="F12171" s="1">
        <v>8</v>
      </c>
      <c r="G12171" s="1">
        <v>4</v>
      </c>
      <c r="H12171" s="1">
        <v>0</v>
      </c>
      <c r="I12171" s="1" t="s">
        <v>24977</v>
      </c>
      <c r="K12171" s="1" t="str">
        <f t="shared" si="773"/>
        <v>ㄧ</v>
      </c>
      <c r="M12171" s="1" t="str">
        <f t="shared" si="774"/>
        <v/>
      </c>
      <c r="N12171" s="3" t="s">
        <v>30574</v>
      </c>
      <c r="O12171" s="3"/>
      <c r="P12171" s="1" t="s">
        <v>20</v>
      </c>
      <c r="R12171" s="1" t="s">
        <v>24978</v>
      </c>
      <c r="V12171" s="1" t="s">
        <v>25060</v>
      </c>
      <c r="AR12171" s="1" t="str">
        <f t="shared" si="775"/>
        <v>| [ㄧˋ](ㄧˋ.md) | [易](易.md) |  | yì | [形]
1.簡單、不困難。如：「容易」、「得來不易」。
2.平和、和藹。如：「平易近人」。《詩經．小雅．何人斯》：「爾還而入，我心易也。」
[動]
1.交換。如：「交易」、「貿易」、「以物易物」。《史記．卷八一．廉頗藺相如傳》：「秦昭王聞之，使人遺趙王書，願以十五城請易璧。」
2.改變。如：「變易」、「易容」、「移風易俗」。《易經．繫辭下》：「上古結繩而治，後世聖人易之以書契。」
3.輕視、輕慢。《左傳．襄公四年》：「戎狄荐居，貴貨易土。」《漢書．卷八六．王嘉傳》：「二千石益輕賤，吏民慢易之。」
4.治理。《孟子．盡心上》：「易其田疇，薄其稅斂，民可使富也。」
[名]
1.《易經》的簡稱。《論語．述而》：「五十以學《易》，可以無大過矣。」《漢書．卷八八．儒林傳．丁寬傳》：「梁項生從田何受《易》，時寬為項生從者。」
2.姓。如春秋時代齊國有易牙。 |</v>
      </c>
    </row>
    <row r="12172" spans="1:44" hidden="1">
      <c r="A12172" s="1" t="s">
        <v>25061</v>
      </c>
      <c r="C12172" s="1">
        <v>1</v>
      </c>
      <c r="D12172" s="1" t="str">
        <f>"10620"</f>
        <v>10620</v>
      </c>
      <c r="E12172" s="1" t="s">
        <v>132</v>
      </c>
      <c r="F12172" s="1">
        <v>11</v>
      </c>
      <c r="G12172" s="1">
        <v>8</v>
      </c>
      <c r="H12172" s="1">
        <v>0</v>
      </c>
      <c r="I12172" s="1" t="s">
        <v>24977</v>
      </c>
      <c r="K12172" s="1" t="str">
        <f t="shared" si="773"/>
        <v>ㄧ</v>
      </c>
      <c r="M12172" s="1" t="str">
        <f t="shared" si="774"/>
        <v/>
      </c>
      <c r="N12172" s="3" t="s">
        <v>30574</v>
      </c>
      <c r="O12172" s="3"/>
      <c r="P12172" s="1" t="s">
        <v>20</v>
      </c>
      <c r="R12172" s="1" t="s">
        <v>24978</v>
      </c>
      <c r="V12172" s="1" t="s">
        <v>25062</v>
      </c>
      <c r="AR12172" s="1" t="str">
        <f t="shared" si="775"/>
        <v>| [ㄧˋ](ㄧˋ.md) | [埸](埸.md) |  | yì | [名]
1.田界。《詩經．小雅．信南山》：「疆埸翼翼，黍稷彧彧。」漢．毛亨．傳：「埸，畔也。」
2.邊境。如：「邊埸」。《左傳．成公十三年》：「鄭人怒君之疆埸，我文公帥諸侯及秦圍鄭。」 |</v>
      </c>
    </row>
    <row r="12173" spans="1:44" hidden="1">
      <c r="A12173" s="1" t="s">
        <v>25063</v>
      </c>
      <c r="C12173" s="1">
        <v>1</v>
      </c>
      <c r="D12173" s="1" t="str">
        <f>"10621"</f>
        <v>10621</v>
      </c>
      <c r="E12173" s="1" t="s">
        <v>679</v>
      </c>
      <c r="F12173" s="1">
        <v>14</v>
      </c>
      <c r="G12173" s="1">
        <v>8</v>
      </c>
      <c r="H12173" s="1">
        <v>0</v>
      </c>
      <c r="I12173" s="1" t="s">
        <v>24977</v>
      </c>
      <c r="K12173" s="1" t="str">
        <f t="shared" si="773"/>
        <v>ㄧ</v>
      </c>
      <c r="M12173" s="1" t="str">
        <f t="shared" si="774"/>
        <v/>
      </c>
      <c r="N12173" s="3" t="s">
        <v>30574</v>
      </c>
      <c r="O12173" s="3"/>
      <c r="P12173" s="1" t="s">
        <v>20</v>
      </c>
      <c r="R12173" s="1" t="s">
        <v>24978</v>
      </c>
      <c r="V12173" s="1" t="s">
        <v>16114</v>
      </c>
      <c r="AR12173" s="1" t="str">
        <f t="shared" si="775"/>
        <v>| [ㄧˋ](ㄧˋ.md) | [蜴](蜴.md) |  | yì | 參見「蜥蜴」條。 |</v>
      </c>
    </row>
    <row r="12174" spans="1:44" hidden="1">
      <c r="A12174" s="1" t="s">
        <v>25064</v>
      </c>
      <c r="C12174" s="1">
        <v>1</v>
      </c>
      <c r="D12174" s="1" t="str">
        <f>"10622"</f>
        <v>10622</v>
      </c>
      <c r="E12174" s="1" t="s">
        <v>114</v>
      </c>
      <c r="F12174" s="1">
        <v>8</v>
      </c>
      <c r="G12174" s="1">
        <v>6</v>
      </c>
      <c r="H12174" s="1">
        <v>0</v>
      </c>
      <c r="I12174" s="1" t="s">
        <v>24977</v>
      </c>
      <c r="K12174" s="1" t="str">
        <f t="shared" si="773"/>
        <v>ㄧ</v>
      </c>
      <c r="M12174" s="1" t="str">
        <f t="shared" si="774"/>
        <v/>
      </c>
      <c r="N12174" s="3" t="s">
        <v>30574</v>
      </c>
      <c r="O12174" s="3"/>
      <c r="P12174" s="1" t="s">
        <v>20</v>
      </c>
      <c r="R12174" s="1" t="s">
        <v>24978</v>
      </c>
      <c r="V12174" s="1" t="s">
        <v>25065</v>
      </c>
      <c r="AR12174" s="1" t="str">
        <f t="shared" si="775"/>
        <v>| [ㄧˋ](ㄧˋ.md) | [佾](佾.md) |  | yì | [名]
古代樂舞的行列。行數、人數縱橫皆相同。舞蹈用佾的多少，代表地位等級的不同，天子八佾、諸侯六、大夫四、士二。《論語．八佾》：「八佾舞於庭，是可忍也，孰不可忍也。」 |</v>
      </c>
    </row>
    <row r="12175" spans="1:44" hidden="1">
      <c r="A12175" s="1" t="s">
        <v>20533</v>
      </c>
      <c r="C12175" s="1">
        <v>1</v>
      </c>
      <c r="D12175" s="1" t="str">
        <f>"10623"</f>
        <v>10623</v>
      </c>
      <c r="E12175" s="1" t="s">
        <v>800</v>
      </c>
      <c r="F12175" s="1">
        <v>9</v>
      </c>
      <c r="G12175" s="1">
        <v>5</v>
      </c>
      <c r="H12175" s="1">
        <v>2</v>
      </c>
      <c r="I12175" s="1" t="s">
        <v>24977</v>
      </c>
      <c r="K12175" s="1" t="str">
        <f t="shared" si="773"/>
        <v>ㄧ</v>
      </c>
      <c r="M12175" s="1" t="str">
        <f t="shared" si="774"/>
        <v/>
      </c>
      <c r="N12175" s="3" t="s">
        <v>30574</v>
      </c>
      <c r="O12175" s="3"/>
      <c r="P12175" s="1" t="s">
        <v>20</v>
      </c>
      <c r="R12175" s="1" t="s">
        <v>24978</v>
      </c>
      <c r="V12175" s="1" t="s">
        <v>25066</v>
      </c>
      <c r="W12175" s="1" t="s">
        <v>25067</v>
      </c>
      <c r="AR12175" s="1" t="str">
        <f t="shared" si="775"/>
        <v>| [ㄧˋ](ㄧˋ.md) | [施](施.md) |  | yì | [動]
1.及、延及。《詩經．大雅．皇矣》：「施于孫子。」《左傳．隱公元年》：「穎考叔純孝也，愛其母，施及莊公。」
2.移動、變化。《荀子．儒效》：「若夫充虛之相施易也。」唐．楊倞．注：「施，讀曰移。」《史記．卷一〇三．萬石君傳》：「劍，人之所施易，獨至今乎？」 |</v>
      </c>
    </row>
    <row r="12176" spans="1:44" hidden="1">
      <c r="A12176" s="1" t="s">
        <v>20584</v>
      </c>
      <c r="C12176" s="1">
        <v>1</v>
      </c>
      <c r="D12176" s="1" t="str">
        <f>"10624"</f>
        <v>10624</v>
      </c>
      <c r="E12176" s="1" t="s">
        <v>193</v>
      </c>
      <c r="F12176" s="1">
        <v>9</v>
      </c>
      <c r="G12176" s="1">
        <v>0</v>
      </c>
      <c r="H12176" s="1">
        <v>3</v>
      </c>
      <c r="I12176" s="1" t="s">
        <v>24977</v>
      </c>
      <c r="K12176" s="1" t="str">
        <f t="shared" si="773"/>
        <v>ㄧ</v>
      </c>
      <c r="M12176" s="1" t="str">
        <f t="shared" si="774"/>
        <v/>
      </c>
      <c r="N12176" s="3" t="s">
        <v>30574</v>
      </c>
      <c r="O12176" s="3"/>
      <c r="P12176" s="1" t="s">
        <v>20</v>
      </c>
      <c r="R12176" s="1" t="s">
        <v>24978</v>
      </c>
      <c r="V12176" s="1" t="s">
        <v>25068</v>
      </c>
      <c r="W12176" s="1" t="s">
        <v>25069</v>
      </c>
      <c r="AR12176" s="1" t="str">
        <f t="shared" si="775"/>
        <v>| [ㄧˋ](ㄧˋ.md) | [食](食.md) |  | yì | [名]
人名用字。如漢代有酈食其，音讀為（ㄌㄧˋ ㄧˋ ㄐㄧ）。 |</v>
      </c>
    </row>
    <row r="12177" spans="1:44" hidden="1">
      <c r="A12177" s="1" t="s">
        <v>25070</v>
      </c>
      <c r="C12177" s="1">
        <v>1</v>
      </c>
      <c r="D12177" s="1" t="str">
        <f>"10625"</f>
        <v>10625</v>
      </c>
      <c r="E12177" s="1" t="s">
        <v>2271</v>
      </c>
      <c r="F12177" s="1">
        <v>9</v>
      </c>
      <c r="G12177" s="1">
        <v>3</v>
      </c>
      <c r="H12177" s="1">
        <v>0</v>
      </c>
      <c r="I12177" s="1" t="s">
        <v>24977</v>
      </c>
      <c r="K12177" s="1" t="str">
        <f t="shared" si="773"/>
        <v>ㄧ</v>
      </c>
      <c r="M12177" s="1" t="str">
        <f t="shared" si="774"/>
        <v/>
      </c>
      <c r="N12177" s="3" t="s">
        <v>30574</v>
      </c>
      <c r="O12177" s="3"/>
      <c r="P12177" s="1" t="s">
        <v>20</v>
      </c>
      <c r="R12177" s="1" t="s">
        <v>24978</v>
      </c>
      <c r="V12177" s="1" t="s">
        <v>25071</v>
      </c>
      <c r="AR12177" s="1" t="str">
        <f t="shared" si="775"/>
        <v>| [ㄧˋ](ㄧˋ.md) | [羿](羿.md) |  | yì | [名]
人名。相傳為古代善射之人，是夏朝時有窮國的國君，不修民事，後為寒浞所殺。也稱為「后羿」。 |</v>
      </c>
    </row>
    <row r="12178" spans="1:44" hidden="1">
      <c r="A12178" s="1" t="s">
        <v>25072</v>
      </c>
      <c r="C12178" s="1">
        <v>1</v>
      </c>
      <c r="D12178" s="1" t="str">
        <f>"10626"</f>
        <v>10626</v>
      </c>
      <c r="E12178" s="1" t="s">
        <v>2271</v>
      </c>
      <c r="F12178" s="1">
        <v>11</v>
      </c>
      <c r="G12178" s="1">
        <v>5</v>
      </c>
      <c r="H12178" s="1">
        <v>0</v>
      </c>
      <c r="I12178" s="1" t="s">
        <v>24977</v>
      </c>
      <c r="K12178" s="1" t="str">
        <f t="shared" si="773"/>
        <v>ㄧ</v>
      </c>
      <c r="M12178" s="1" t="str">
        <f t="shared" si="774"/>
        <v/>
      </c>
      <c r="N12178" s="3" t="s">
        <v>30574</v>
      </c>
      <c r="O12178" s="3"/>
      <c r="P12178" s="1" t="s">
        <v>20</v>
      </c>
      <c r="R12178" s="1" t="s">
        <v>24978</v>
      </c>
      <c r="V12178" s="1" t="s">
        <v>25073</v>
      </c>
      <c r="AR12178" s="1" t="str">
        <f t="shared" si="775"/>
        <v>| [ㄧˋ](ㄧˋ.md) | [翊](翊.md) |  | yì | [副]
飛翔的樣子。《說文解字．羽部》：「翊，飛貌。」《漢書．卷二二．禮樂志》：「神之徠，泛翊翊，甘露降，慶雲集。」
[形]
第二的。《漢書．卷九九．王莽傳上》：「越若翊辛丑者，諸生、庶民大和會，十萬眾並集。」宋．蘇軾〈富鄭公神道碑〉：「會翊日有瘳，故緩其事。」
[動]
輔助。如：「匡翊」、「輔翊」。《晉書．卷三五．裴秀傳》：「呂望翊周，蕭張佐漢。」 |</v>
      </c>
    </row>
    <row r="12179" spans="1:44" hidden="1">
      <c r="A12179" s="1" t="s">
        <v>25074</v>
      </c>
      <c r="C12179" s="1">
        <v>1</v>
      </c>
      <c r="D12179" s="1" t="str">
        <f>"10627"</f>
        <v>10627</v>
      </c>
      <c r="E12179" s="1" t="s">
        <v>2271</v>
      </c>
      <c r="F12179" s="1">
        <v>11</v>
      </c>
      <c r="G12179" s="1">
        <v>5</v>
      </c>
      <c r="H12179" s="1">
        <v>0</v>
      </c>
      <c r="I12179" s="1" t="s">
        <v>24977</v>
      </c>
      <c r="K12179" s="1" t="str">
        <f t="shared" si="773"/>
        <v>ㄧ</v>
      </c>
      <c r="M12179" s="1" t="str">
        <f t="shared" si="774"/>
        <v/>
      </c>
      <c r="N12179" s="3" t="s">
        <v>30574</v>
      </c>
      <c r="O12179" s="3"/>
      <c r="P12179" s="1" t="s">
        <v>20</v>
      </c>
      <c r="R12179" s="1" t="s">
        <v>24978</v>
      </c>
      <c r="V12179" s="1" t="s">
        <v>25075</v>
      </c>
      <c r="AR12179" s="1" t="str">
        <f t="shared" si="775"/>
        <v>| [ㄧˋ](ㄧˋ.md) | [翌](翌.md) |  | yì | [形]
1.次的、第二的。如：「翌年」。《漢書．卷六．武帝紀》：「翌日親登嵩高，御史乘屬，在廟旁吏卒咸聞呼萬歲者三。」
2.光耀的、顯赫的。《晉書．卷二〇．禮志中》：「昔周康王始登翌室，猶戴冕臨朝。」《文選．左思．魏都賦》：「顯仁翌明，藏用玄默。」 |</v>
      </c>
    </row>
    <row r="12180" spans="1:44" hidden="1">
      <c r="A12180" s="1" t="s">
        <v>24891</v>
      </c>
      <c r="C12180" s="1">
        <v>1</v>
      </c>
      <c r="D12180" s="1" t="str">
        <f>"10628"</f>
        <v>10628</v>
      </c>
      <c r="E12180" s="1" t="s">
        <v>438</v>
      </c>
      <c r="F12180" s="1">
        <v>10</v>
      </c>
      <c r="G12180" s="1">
        <v>5</v>
      </c>
      <c r="H12180" s="1">
        <v>1</v>
      </c>
      <c r="I12180" s="1" t="s">
        <v>24977</v>
      </c>
      <c r="K12180" s="1" t="str">
        <f t="shared" si="773"/>
        <v>ㄧ</v>
      </c>
      <c r="M12180" s="1" t="str">
        <f t="shared" si="774"/>
        <v/>
      </c>
      <c r="N12180" s="3" t="s">
        <v>30574</v>
      </c>
      <c r="O12180" s="3"/>
      <c r="P12180" s="1" t="s">
        <v>20</v>
      </c>
      <c r="R12180" s="1" t="s">
        <v>24978</v>
      </c>
      <c r="V12180" s="1" t="s">
        <v>25076</v>
      </c>
      <c r="W12180" s="1" t="s">
        <v>25077</v>
      </c>
      <c r="AR12180" s="1" t="str">
        <f t="shared" si="775"/>
        <v>| [ㄧˋ](ㄧˋ.md) | [益](益.md) |  | yì | [動]
1.漲、漫出。為「溢」之本字。清．王筠《說文釋例．卷四．形聲之美》：「益從水，而溢又加水，然水祇可在皿中，而益之意，即兼有氾溢之意。」《呂氏春秋．慎大覽．察今》：「澭水暴益，荊人弗知。」
2.增加。如：「進益」、「延年益壽」。《左傳．襄公二十六年》：「子木懼，言諸王，益其祿爵而復之。」《呂氏春秋．不苟論．貴當》：「其友皆孝悌純謹畏令，如此者，其家必日益，身必日榮矣。」
3.幫助、補助。如：「助益」。《呂氏春秋．光識覽．觀世》：「與我齊者，吾不與處，無益我者也。」《戰國策．秦策二》：「出私金以益公賞。」
[名]
1.好處。如：「利益」、「收益」。《書經．大禹謨》：「滿招損，謙受益。」唐．李白〈贈韋祕書子春〉詩二首之一：「苟無濟代心，獨善亦何益。」
2.姓。如漢代有益強。
[形]
1.有好處的。如：「益友」、「益處」。
2.富饒。《史記．卷一二九．殖貨傳》：「七十子之徒，賜最為饒益。」
[副]
更加。如：「精益求精」。《孟子．梁惠王下》：「如水益深，如火益熱。」 |</v>
      </c>
    </row>
    <row r="12181" spans="1:44" hidden="1">
      <c r="A12181" s="1" t="s">
        <v>25078</v>
      </c>
      <c r="C12181" s="1">
        <v>1</v>
      </c>
      <c r="D12181" s="1" t="str">
        <f>"10629"</f>
        <v>10629</v>
      </c>
      <c r="E12181" s="1" t="s">
        <v>129</v>
      </c>
      <c r="F12181" s="1">
        <v>13</v>
      </c>
      <c r="G12181" s="1">
        <v>10</v>
      </c>
      <c r="H12181" s="1">
        <v>0</v>
      </c>
      <c r="I12181" s="1" t="s">
        <v>24977</v>
      </c>
      <c r="K12181" s="1" t="str">
        <f t="shared" si="773"/>
        <v>ㄧ</v>
      </c>
      <c r="M12181" s="1" t="str">
        <f t="shared" si="774"/>
        <v/>
      </c>
      <c r="N12181" s="3" t="s">
        <v>30574</v>
      </c>
      <c r="O12181" s="3"/>
      <c r="P12181" s="1" t="s">
        <v>20</v>
      </c>
      <c r="R12181" s="1" t="s">
        <v>24978</v>
      </c>
      <c r="V12181" s="1" t="s">
        <v>25079</v>
      </c>
      <c r="AR12181" s="1" t="str">
        <f t="shared" si="775"/>
        <v>| [ㄧˋ](ㄧˋ.md) | [溢](溢.md) |  | yì | [動]
1.液體漫出外流。《禮記．王制》：「雖有凶旱水溢，民無菜色。」《新唐書．卷九七．魏徵傳》：「是歲，大雨，穀、洛溢，毀宮寺十九，漂居人六百家。」
2.泛指外流、流失。《二十年目睹之怪現狀》第九四回：「現在我們中國所用的全是墨西哥銀圓，利權外溢，莫此為甚！」
3.流露、充滿。如：「熱情洋溢」。《文選．陸機．文賦》：「文徽徽以溢目，音泠泠而盈耳。」
[副]
過分、過度。如：「溢美」。漢．桓寬《鹽鐵論．錯幣》：「故人主積其食，守其用，制其有餘，調其不足，禁溢羨，厄利塗，然後百姓可家給人足也。」南朝宋．鮑照〈征北世子誕育上疏〉：「不勝殊歡溢喜，謹奉表以聞。」
[名]
量詞。古代計算重量的單位。二十兩為一溢。通「鎰」。《戰國策．秦策一》：「白壁百雙，黃金萬溢。」漢．高誘．注：「萬溢，萬金也。二十兩為一溢也。」 |</v>
      </c>
    </row>
    <row r="12182" spans="1:44" hidden="1">
      <c r="A12182" s="1" t="s">
        <v>24414</v>
      </c>
      <c r="C12182" s="1">
        <v>1</v>
      </c>
      <c r="D12182" s="1" t="str">
        <f>"10630"</f>
        <v>10630</v>
      </c>
      <c r="E12182" s="1" t="s">
        <v>28</v>
      </c>
      <c r="F12182" s="1">
        <v>13</v>
      </c>
      <c r="G12182" s="1">
        <v>10</v>
      </c>
      <c r="H12182" s="1">
        <v>1</v>
      </c>
      <c r="I12182" s="1" t="s">
        <v>24977</v>
      </c>
      <c r="K12182" s="1" t="str">
        <f t="shared" si="773"/>
        <v>ㄧ</v>
      </c>
      <c r="M12182" s="1" t="str">
        <f t="shared" si="774"/>
        <v/>
      </c>
      <c r="N12182" s="3" t="s">
        <v>30574</v>
      </c>
      <c r="O12182" s="3"/>
      <c r="P12182" s="1" t="s">
        <v>20</v>
      </c>
      <c r="R12182" s="1" t="s">
        <v>24978</v>
      </c>
      <c r="V12182" s="1" t="s">
        <v>25080</v>
      </c>
      <c r="W12182" s="1" t="s">
        <v>25081</v>
      </c>
      <c r="AR12182" s="1" t="str">
        <f t="shared" si="775"/>
        <v>| [ㄧˋ](ㄧˋ.md) | [嗌](嗌.md) |  | yì | [名]
咽喉、喉嚨。《穀梁傳．昭公十九年》：「哭泣歠飦粥，嗌不容粒。」 |</v>
      </c>
    </row>
    <row r="12183" spans="1:44" hidden="1">
      <c r="A12183" s="1" t="s">
        <v>25082</v>
      </c>
      <c r="C12183" s="1">
        <v>1</v>
      </c>
      <c r="D12183" s="1" t="str">
        <f>"10631"</f>
        <v>10631</v>
      </c>
      <c r="E12183" s="1" t="s">
        <v>679</v>
      </c>
      <c r="F12183" s="1">
        <v>16</v>
      </c>
      <c r="G12183" s="1">
        <v>10</v>
      </c>
      <c r="H12183" s="1">
        <v>0</v>
      </c>
      <c r="I12183" s="1" t="s">
        <v>24977</v>
      </c>
      <c r="K12183" s="1" t="str">
        <f t="shared" si="773"/>
        <v>ㄧ</v>
      </c>
      <c r="M12183" s="1" t="str">
        <f t="shared" si="774"/>
        <v/>
      </c>
      <c r="N12183" s="3" t="s">
        <v>30574</v>
      </c>
      <c r="O12183" s="3"/>
      <c r="P12183" s="1" t="s">
        <v>20</v>
      </c>
      <c r="R12183" s="1" t="s">
        <v>24978</v>
      </c>
      <c r="V12183" s="1" t="s">
        <v>25083</v>
      </c>
      <c r="AR12183" s="1" t="str">
        <f t="shared" si="775"/>
        <v>| [ㄧˋ](ㄧˋ.md) | [螠](螠.md) |  | yì | [名]
螠蟲動物門的總稱。屬於蠕形動物、環蟲類。體形呈圓筒狀，可自由伸縮，前端稍細為吻，尾端肛門附近，生輪狀剛毛。體腔廣大，體表有皺摺。為雌雄異體，常棲息於海底岩隙間或濱海泥沙之中。 |</v>
      </c>
    </row>
    <row r="12184" spans="1:44" hidden="1">
      <c r="A12184" s="1" t="s">
        <v>25084</v>
      </c>
      <c r="C12184" s="1">
        <v>1</v>
      </c>
      <c r="D12184" s="1" t="str">
        <f>"10632"</f>
        <v>10632</v>
      </c>
      <c r="E12184" s="1" t="s">
        <v>725</v>
      </c>
      <c r="F12184" s="1">
        <v>16</v>
      </c>
      <c r="G12184" s="1">
        <v>10</v>
      </c>
      <c r="H12184" s="1">
        <v>0</v>
      </c>
      <c r="I12184" s="1" t="s">
        <v>24977</v>
      </c>
      <c r="K12184" s="1" t="str">
        <f t="shared" si="773"/>
        <v>ㄧ</v>
      </c>
      <c r="M12184" s="1" t="str">
        <f t="shared" si="774"/>
        <v/>
      </c>
      <c r="N12184" s="3" t="s">
        <v>30574</v>
      </c>
      <c r="O12184" s="3"/>
      <c r="P12184" s="1" t="s">
        <v>20</v>
      </c>
      <c r="R12184" s="1" t="s">
        <v>24978</v>
      </c>
      <c r="V12184" s="1" t="s">
        <v>25085</v>
      </c>
      <c r="AR12184" s="1" t="str">
        <f t="shared" si="775"/>
        <v>| [ㄧˋ](ㄧˋ.md) | [縊](縊.md) |  | yì | [動]
用繩索勒緊脖子而死亡。如：「縊死」、「自縊」。《左傳．桓公十三年》：「莫敖縊于荒谷，群帥囚于治父。」 |</v>
      </c>
    </row>
    <row r="12185" spans="1:44" hidden="1">
      <c r="A12185" s="1" t="s">
        <v>25086</v>
      </c>
      <c r="C12185" s="1">
        <v>1</v>
      </c>
      <c r="D12185" s="1" t="str">
        <f>"10633"</f>
        <v>10633</v>
      </c>
      <c r="E12185" s="1" t="s">
        <v>331</v>
      </c>
      <c r="F12185" s="1">
        <v>17</v>
      </c>
      <c r="G12185" s="1">
        <v>10</v>
      </c>
      <c r="H12185" s="1">
        <v>1</v>
      </c>
      <c r="I12185" s="1" t="s">
        <v>24977</v>
      </c>
      <c r="K12185" s="1" t="str">
        <f t="shared" si="773"/>
        <v>ㄧ</v>
      </c>
      <c r="M12185" s="1" t="str">
        <f t="shared" si="774"/>
        <v/>
      </c>
      <c r="N12185" s="3" t="s">
        <v>30574</v>
      </c>
      <c r="O12185" s="3"/>
      <c r="P12185" s="1" t="s">
        <v>20</v>
      </c>
      <c r="R12185" s="1" t="s">
        <v>24978</v>
      </c>
      <c r="V12185" s="1" t="s">
        <v>25087</v>
      </c>
      <c r="W12185" s="1" t="s">
        <v>25088</v>
      </c>
      <c r="AR12185" s="1" t="str">
        <f t="shared" si="775"/>
        <v>| [ㄧˋ](ㄧˋ.md) | [謚](謚.md) |  | yì | [形]
笑的樣子。《玉篇．言部》：「謚，笑貌。」 |</v>
      </c>
    </row>
    <row r="12186" spans="1:44" hidden="1">
      <c r="A12186" s="1" t="s">
        <v>25089</v>
      </c>
      <c r="C12186" s="1">
        <v>1</v>
      </c>
      <c r="D12186" s="1" t="str">
        <f>"10634"</f>
        <v>10634</v>
      </c>
      <c r="E12186" s="1" t="s">
        <v>55</v>
      </c>
      <c r="F12186" s="1">
        <v>18</v>
      </c>
      <c r="G12186" s="1">
        <v>10</v>
      </c>
      <c r="H12186" s="1">
        <v>0</v>
      </c>
      <c r="I12186" s="1" t="s">
        <v>24977</v>
      </c>
      <c r="K12186" s="1" t="str">
        <f t="shared" si="773"/>
        <v>ㄧ</v>
      </c>
      <c r="M12186" s="1" t="str">
        <f t="shared" si="774"/>
        <v/>
      </c>
      <c r="N12186" s="3" t="s">
        <v>30574</v>
      </c>
      <c r="O12186" s="3"/>
      <c r="P12186" s="1" t="s">
        <v>20</v>
      </c>
      <c r="R12186" s="1" t="s">
        <v>24978</v>
      </c>
      <c r="V12186" s="1" t="s">
        <v>25090</v>
      </c>
      <c r="AR12186" s="1" t="str">
        <f t="shared" si="775"/>
        <v>| [ㄧˋ](ㄧˋ.md) | [鎰](鎰.md) |  | yì | [名]
量詞。古代計算重量的單位。以二十兩或二十四兩為「一鎰」。《孟子．梁惠王下》：「今有璞玉於此，雖萬鎰，必使玉人雕琢之。」漢．趙岐．注：「二十兩為鎰。」《文選．左思．吳都賦》：「器用萬端，金鎰磊砢。」李善注引劉逵曰：「金二十四兩為鎰。」 |</v>
      </c>
    </row>
    <row r="12187" spans="1:44" hidden="1">
      <c r="A12187" s="1" t="s">
        <v>25091</v>
      </c>
      <c r="C12187" s="1">
        <v>1</v>
      </c>
      <c r="D12187" s="1" t="str">
        <f>"10635"</f>
        <v>10635</v>
      </c>
      <c r="E12187" s="1" t="s">
        <v>272</v>
      </c>
      <c r="F12187" s="1">
        <v>21</v>
      </c>
      <c r="G12187" s="1">
        <v>10</v>
      </c>
      <c r="H12187" s="1">
        <v>0</v>
      </c>
      <c r="I12187" s="1" t="s">
        <v>24977</v>
      </c>
      <c r="K12187" s="1" t="str">
        <f t="shared" si="773"/>
        <v>ㄧ</v>
      </c>
      <c r="M12187" s="1" t="str">
        <f t="shared" si="774"/>
        <v/>
      </c>
      <c r="N12187" s="3" t="s">
        <v>30574</v>
      </c>
      <c r="O12187" s="3"/>
      <c r="P12187" s="1" t="s">
        <v>20</v>
      </c>
      <c r="R12187" s="1" t="s">
        <v>24978</v>
      </c>
      <c r="V12187" s="1" t="s">
        <v>25092</v>
      </c>
      <c r="AR12187" s="1" t="str">
        <f t="shared" si="775"/>
        <v>| [ㄧˋ](ㄧˋ.md) | [鷁](鷁.md) |  | yì | [名]
1.一種水鳥。《左傳．僖公十六年》：「六鷁退飛過宋都，風也。」晉．杜預．注：「鷁，水鳥。」南朝梁．沈約〈郊居賦〉：「其水禽則大鴻小雁，天狗澤虞，秋鷖寒鶒，修鷁短鳧。」
2.參見「鷁首」條。 |</v>
      </c>
    </row>
    <row r="12188" spans="1:44" hidden="1">
      <c r="A12188" s="1" t="s">
        <v>20597</v>
      </c>
      <c r="C12188" s="1">
        <v>1</v>
      </c>
      <c r="D12188" s="1" t="str">
        <f>"10636"</f>
        <v>10636</v>
      </c>
      <c r="E12188" s="1" t="s">
        <v>1595</v>
      </c>
      <c r="F12188" s="1">
        <v>10</v>
      </c>
      <c r="G12188" s="1">
        <v>7</v>
      </c>
      <c r="H12188" s="1">
        <v>3</v>
      </c>
      <c r="I12188" s="1" t="s">
        <v>24977</v>
      </c>
      <c r="K12188" s="1" t="str">
        <f t="shared" si="773"/>
        <v>ㄧ</v>
      </c>
      <c r="M12188" s="1" t="str">
        <f t="shared" si="774"/>
        <v/>
      </c>
      <c r="N12188" s="3" t="s">
        <v>30574</v>
      </c>
      <c r="O12188" s="3"/>
      <c r="P12188" s="1" t="s">
        <v>20</v>
      </c>
      <c r="R12188" s="1" t="s">
        <v>24978</v>
      </c>
      <c r="V12188" s="1" t="s">
        <v>25093</v>
      </c>
      <c r="W12188" s="1" t="s">
        <v>25094</v>
      </c>
      <c r="AR12188" s="1" t="str">
        <f t="shared" si="775"/>
        <v>| [ㄧˋ](ㄧˋ.md) | [射](射.md) |  | yì | 參見「無射」條。 |</v>
      </c>
    </row>
    <row r="12189" spans="1:44" hidden="1">
      <c r="A12189" s="1" t="s">
        <v>25095</v>
      </c>
      <c r="C12189" s="1">
        <v>1</v>
      </c>
      <c r="D12189" s="1" t="str">
        <f>"10637"</f>
        <v>10637</v>
      </c>
      <c r="E12189" s="1" t="s">
        <v>129</v>
      </c>
      <c r="F12189" s="1">
        <v>11</v>
      </c>
      <c r="G12189" s="1">
        <v>8</v>
      </c>
      <c r="H12189" s="1">
        <v>2</v>
      </c>
      <c r="I12189" s="1" t="s">
        <v>24977</v>
      </c>
      <c r="K12189" s="1" t="str">
        <f t="shared" si="773"/>
        <v>ㄧ</v>
      </c>
      <c r="M12189" s="1" t="str">
        <f t="shared" si="774"/>
        <v/>
      </c>
      <c r="N12189" s="3" t="s">
        <v>30574</v>
      </c>
      <c r="O12189" s="3"/>
      <c r="P12189" s="1" t="s">
        <v>186</v>
      </c>
      <c r="R12189" s="1" t="s">
        <v>24978</v>
      </c>
      <c r="V12189" s="1" t="s">
        <v>206</v>
      </c>
      <c r="W12189" s="1" t="s">
        <v>25096</v>
      </c>
      <c r="AR12189" s="1" t="str">
        <f t="shared" si="775"/>
        <v>| [ㄧˋ](ㄧˋ.md) | [液](液.md) |  | yì | (一)之讀音。 |</v>
      </c>
    </row>
    <row r="12190" spans="1:44" hidden="1">
      <c r="A12190" s="1" t="s">
        <v>25097</v>
      </c>
      <c r="C12190" s="1">
        <v>1</v>
      </c>
      <c r="D12190" s="1" t="str">
        <f>"10638"</f>
        <v>10638</v>
      </c>
      <c r="E12190" s="1" t="s">
        <v>24</v>
      </c>
      <c r="F12190" s="1">
        <v>11</v>
      </c>
      <c r="G12190" s="1">
        <v>8</v>
      </c>
      <c r="H12190" s="1">
        <v>2</v>
      </c>
      <c r="I12190" s="1" t="s">
        <v>24977</v>
      </c>
      <c r="K12190" s="1" t="str">
        <f t="shared" si="773"/>
        <v>ㄧ</v>
      </c>
      <c r="M12190" s="1" t="str">
        <f t="shared" si="774"/>
        <v/>
      </c>
      <c r="N12190" s="3" t="s">
        <v>30574</v>
      </c>
      <c r="O12190" s="3"/>
      <c r="P12190" s="1" t="s">
        <v>186</v>
      </c>
      <c r="R12190" s="1" t="s">
        <v>24978</v>
      </c>
      <c r="V12190" s="1" t="s">
        <v>206</v>
      </c>
      <c r="W12190" s="1" t="s">
        <v>25098</v>
      </c>
      <c r="AR12190" s="1" t="str">
        <f t="shared" si="775"/>
        <v>| [ㄧˋ](ㄧˋ.md) | [掖](掖.md) |  | yì | (一)之讀音。 |</v>
      </c>
    </row>
    <row r="12191" spans="1:44" hidden="1">
      <c r="A12191" s="1" t="s">
        <v>25099</v>
      </c>
      <c r="C12191" s="1">
        <v>1</v>
      </c>
      <c r="D12191" s="1" t="str">
        <f>"10639"</f>
        <v>10639</v>
      </c>
      <c r="E12191" s="1" t="s">
        <v>68</v>
      </c>
      <c r="F12191" s="1">
        <v>12</v>
      </c>
      <c r="G12191" s="1">
        <v>8</v>
      </c>
      <c r="H12191" s="1">
        <v>2</v>
      </c>
      <c r="I12191" s="1" t="s">
        <v>24977</v>
      </c>
      <c r="K12191" s="1" t="str">
        <f t="shared" si="773"/>
        <v>ㄧ</v>
      </c>
      <c r="M12191" s="1" t="str">
        <f t="shared" si="774"/>
        <v/>
      </c>
      <c r="N12191" s="3" t="s">
        <v>30574</v>
      </c>
      <c r="O12191" s="3"/>
      <c r="P12191" s="1" t="s">
        <v>186</v>
      </c>
      <c r="R12191" s="1" t="s">
        <v>24978</v>
      </c>
      <c r="V12191" s="1" t="s">
        <v>206</v>
      </c>
      <c r="W12191" s="1" t="s">
        <v>25100</v>
      </c>
      <c r="AR12191" s="1" t="str">
        <f t="shared" si="775"/>
        <v>| [ㄧˋ](ㄧˋ.md) | [腋](腋.md) |  | yì | (一)之讀音。 |</v>
      </c>
    </row>
    <row r="12192" spans="1:44" hidden="1">
      <c r="A12192" s="1" t="s">
        <v>20691</v>
      </c>
      <c r="C12192" s="1">
        <v>1</v>
      </c>
      <c r="D12192" s="1" t="str">
        <f>"10640"</f>
        <v>10640</v>
      </c>
      <c r="E12192" s="1" t="s">
        <v>132</v>
      </c>
      <c r="F12192" s="1">
        <v>11</v>
      </c>
      <c r="G12192" s="1">
        <v>8</v>
      </c>
      <c r="H12192" s="1">
        <v>1</v>
      </c>
      <c r="I12192" s="1" t="s">
        <v>24977</v>
      </c>
      <c r="K12192" s="1" t="str">
        <f t="shared" si="773"/>
        <v>ㄧ</v>
      </c>
      <c r="M12192" s="1" t="str">
        <f t="shared" si="774"/>
        <v/>
      </c>
      <c r="N12192" s="3" t="s">
        <v>30574</v>
      </c>
      <c r="O12192" s="3"/>
      <c r="P12192" s="1" t="s">
        <v>20</v>
      </c>
      <c r="R12192" s="1" t="s">
        <v>24978</v>
      </c>
      <c r="V12192" s="1" t="s">
        <v>25101</v>
      </c>
      <c r="W12192" s="1" t="s">
        <v>25102</v>
      </c>
      <c r="AR12192" s="1" t="str">
        <f t="shared" si="775"/>
        <v>| [ㄧˋ](ㄧˋ.md) | [埶](埶.md) |  | yì | [動]
種植。同「藝」。《說文解字．󷆟部》：「埶，種也。……《詩》曰我埶黍稷。」
[名]
技能。同「藝」。《集韻．去聲．祭韻》：「埶，一曰技能也。或作藝。」 |</v>
      </c>
    </row>
    <row r="12193" spans="1:44" hidden="1">
      <c r="A12193" s="1" t="s">
        <v>25103</v>
      </c>
      <c r="C12193" s="1">
        <v>1</v>
      </c>
      <c r="D12193" s="1" t="str">
        <f>"10641"</f>
        <v>10641</v>
      </c>
      <c r="E12193" s="1" t="s">
        <v>37</v>
      </c>
      <c r="F12193" s="1">
        <v>15</v>
      </c>
      <c r="G12193" s="1">
        <v>11</v>
      </c>
      <c r="H12193" s="1">
        <v>0</v>
      </c>
      <c r="I12193" s="1" t="s">
        <v>24977</v>
      </c>
      <c r="K12193" s="1" t="str">
        <f t="shared" si="773"/>
        <v>ㄧ</v>
      </c>
      <c r="M12193" s="1" t="str">
        <f t="shared" si="774"/>
        <v/>
      </c>
      <c r="N12193" s="3" t="s">
        <v>30574</v>
      </c>
      <c r="O12193" s="3"/>
      <c r="P12193" s="1" t="s">
        <v>20</v>
      </c>
      <c r="R12193" s="1" t="s">
        <v>24978</v>
      </c>
      <c r="V12193" s="1" t="s">
        <v>25104</v>
      </c>
      <c r="AR12193" s="1" t="str">
        <f t="shared" si="775"/>
        <v>| [ㄧˋ](ㄧˋ.md) | [蓺](蓺.md) |  | yì | [動]
種植。通「藝」。《詩經．齊風．南山》：「蓺麻如之何？衡從其畝。」
[名]
才能。《史記．卷三三．魯周公世家》：「旦巧能，多才多蓺，能事鬼神。」 |</v>
      </c>
    </row>
    <row r="12194" spans="1:44" hidden="1">
      <c r="A12194" s="1" t="s">
        <v>25105</v>
      </c>
      <c r="C12194" s="1">
        <v>1</v>
      </c>
      <c r="D12194" s="1" t="str">
        <f>"10642"</f>
        <v>10642</v>
      </c>
      <c r="E12194" s="1" t="s">
        <v>37</v>
      </c>
      <c r="F12194" s="1">
        <v>19</v>
      </c>
      <c r="G12194" s="1">
        <v>15</v>
      </c>
      <c r="H12194" s="1">
        <v>0</v>
      </c>
      <c r="I12194" s="1" t="s">
        <v>24977</v>
      </c>
      <c r="K12194" s="1" t="str">
        <f t="shared" si="773"/>
        <v>ㄧ</v>
      </c>
      <c r="M12194" s="1" t="str">
        <f t="shared" si="774"/>
        <v/>
      </c>
      <c r="N12194" s="3" t="s">
        <v>30574</v>
      </c>
      <c r="O12194" s="3"/>
      <c r="P12194" s="1" t="s">
        <v>20</v>
      </c>
      <c r="R12194" s="1" t="s">
        <v>24978</v>
      </c>
      <c r="V12194" s="1" t="s">
        <v>25106</v>
      </c>
      <c r="AR12194" s="1" t="str">
        <f t="shared" si="775"/>
        <v>| [ㄧˋ](ㄧˋ.md) | [藝](藝.md) |  | yì | [名]
1.才能、技術。如：「工藝」、「技藝」。《書經．金縢》：「予仁若考，能多材多藝，能事鬼神。」
2.古時稱禮、樂、射、御、書、數等六種教育科目為「六藝」；又稱《詩》、《書》、《易》、《禮》、《樂》、《春秋》等六種儒家的經典為「六藝」。《禮記．學記》：「不興其藝，不能樂學。」漢．鄭玄．注：「藝謂禮、樂、射、御、書、數。」
3.文章。如：「時藝」、「藝祖」。《魏書．卷八四．儒林列傳．常爽》：「頃因暇日，屬意藝林，略撰所聞，討論其本，名曰《六經略注》以訓門徒焉。」
4.限度。《國語．晉語八》：「及桓子驕泰奢侈，貪慾無藝。」
5.姓。如元代有藝元。
[動]
種植。通「蓺」。《書經．酒誥》：「妹土嗣爾股肱，純其藝黍稷，奔走事厥考厥長。」《孟子．滕文公上》：「后稷教民稼穡、樹藝五穀。」 |</v>
      </c>
    </row>
    <row r="12195" spans="1:44" hidden="1">
      <c r="A12195" s="1" t="s">
        <v>25107</v>
      </c>
      <c r="C12195" s="1">
        <v>1</v>
      </c>
      <c r="D12195" s="1" t="str">
        <f>"10643"</f>
        <v>10643</v>
      </c>
      <c r="E12195" s="1" t="s">
        <v>28</v>
      </c>
      <c r="F12195" s="1">
        <v>22</v>
      </c>
      <c r="G12195" s="1">
        <v>19</v>
      </c>
      <c r="H12195" s="1">
        <v>0</v>
      </c>
      <c r="I12195" s="1" t="s">
        <v>24977</v>
      </c>
      <c r="K12195" s="1" t="str">
        <f t="shared" si="773"/>
        <v>ㄧ</v>
      </c>
      <c r="M12195" s="1" t="str">
        <f t="shared" si="774"/>
        <v/>
      </c>
      <c r="N12195" s="3" t="s">
        <v>30574</v>
      </c>
      <c r="O12195" s="3"/>
      <c r="P12195" s="1" t="s">
        <v>20</v>
      </c>
      <c r="R12195" s="1" t="s">
        <v>24978</v>
      </c>
      <c r="V12195" s="1" t="s">
        <v>25108</v>
      </c>
      <c r="AR12195" s="1" t="str">
        <f t="shared" si="775"/>
        <v>| [ㄧˋ](ㄧˋ.md) | [囈](囈.md) |  | yì | [動]
說夢話。《列子．周穆王》：「眠中啽囈呻呼，徹旦息焉。」 |</v>
      </c>
    </row>
    <row r="12196" spans="1:44" hidden="1">
      <c r="A12196" s="1" t="s">
        <v>25109</v>
      </c>
      <c r="C12196" s="1">
        <v>1</v>
      </c>
      <c r="D12196" s="1" t="str">
        <f>"10644"</f>
        <v>10644</v>
      </c>
      <c r="E12196" s="1" t="s">
        <v>340</v>
      </c>
      <c r="F12196" s="1">
        <v>25</v>
      </c>
      <c r="G12196" s="1">
        <v>19</v>
      </c>
      <c r="H12196" s="1">
        <v>0</v>
      </c>
      <c r="I12196" s="1" t="s">
        <v>24977</v>
      </c>
      <c r="K12196" s="1" t="str">
        <f t="shared" si="773"/>
        <v>ㄧ</v>
      </c>
      <c r="M12196" s="1" t="str">
        <f t="shared" si="774"/>
        <v/>
      </c>
      <c r="N12196" s="3" t="s">
        <v>30574</v>
      </c>
      <c r="O12196" s="3"/>
      <c r="P12196" s="1" t="s">
        <v>20</v>
      </c>
      <c r="R12196" s="1" t="s">
        <v>24978</v>
      </c>
      <c r="V12196" s="1" t="s">
        <v>25110</v>
      </c>
      <c r="AR12196" s="1" t="str">
        <f t="shared" si="775"/>
        <v>| [ㄧˋ](ㄧˋ.md) | [襼](襼.md) |  | yì | [名]
衣袖。《文選．潘岳．藉田賦》：「躡踵側肩，掎裳連襼。」《新唐書．卷八八．劉文靜傳》：「誠能投天會機，奮襼大呼，則四海不足定也。」 |</v>
      </c>
    </row>
    <row r="12197" spans="1:44" hidden="1">
      <c r="A12197" s="1" t="s">
        <v>25111</v>
      </c>
      <c r="C12197" s="1">
        <v>1</v>
      </c>
      <c r="D12197" s="1" t="str">
        <f>"10645"</f>
        <v>10645</v>
      </c>
      <c r="E12197" s="1" t="s">
        <v>753</v>
      </c>
      <c r="F12197" s="1">
        <v>11</v>
      </c>
      <c r="G12197" s="1">
        <v>6</v>
      </c>
      <c r="H12197" s="1">
        <v>0</v>
      </c>
      <c r="I12197" s="1" t="s">
        <v>24977</v>
      </c>
      <c r="K12197" s="1" t="str">
        <f t="shared" si="773"/>
        <v>ㄧ</v>
      </c>
      <c r="M12197" s="1" t="str">
        <f t="shared" si="774"/>
        <v/>
      </c>
      <c r="N12197" s="3" t="s">
        <v>30574</v>
      </c>
      <c r="O12197" s="3"/>
      <c r="P12197" s="1" t="s">
        <v>20</v>
      </c>
      <c r="R12197" s="1" t="s">
        <v>24978</v>
      </c>
      <c r="V12197" s="1" t="s">
        <v>25112</v>
      </c>
      <c r="AR12197" s="1" t="str">
        <f t="shared" si="775"/>
        <v>| [ㄧˋ](ㄧˋ.md) | [異](異.md) |  | yì | [形]_x000D_
1.特別的、不平常的。如：「異士」、「異術」。《史記．卷六七．仲尼弟子列傳．序》：「孔子曰：『受業身通者七十有七人。』皆異能之士也。」《後漢書．卷五八．虞傅蓋臧列傳．臧洪》：「洪體貌魁梧，有異姿。」_x000D_
2.另外的、其他的。《呂氏春秋．士容論．上農》：「農不敢行，賈不敢為異事。」唐．王維〈九月九日憶山東兄弟〉詩：「獨在異鄉為異客，每逢佳節倍思親。」_x000D_
3.不同的。如：「異口同聲」。《書經．旅獒》：「王乃昭德之致於異姓之邦，無替厥服。」唐．盧照鄰〈南陽公集序〉：「異議蜂起，高談不息。」_x000D_
[動]_x000D_
1.分開。《禮記．曲禮上》：「群居五人，則長者必異席。」《史記．卷六八．商君列傳》：「民有二男以上不分異者，倍其賦。」_x000D_
2.奇怪。《後漢書．卷四四．鄧張徐張胡列傳．徐防》：「防體貌矜嚴，占對可觀，顯宗異之。」晉．陶淵明〈桃花源記〉：「忽逢桃花林，夾岸數百步，中無雜樹，芳草鮮美，落英繽紛，漁人甚異之。」_x000D_
[名]_x000D_
1.怪異的事物。如：「標新立異」。《公羊傳．隱公三年》：「己巳，日有食之，何以書，記異也？」_x000D_
2.姓。如唐代有異牟尋。 |</v>
      </c>
    </row>
    <row r="12198" spans="1:44" hidden="1">
      <c r="A12198" s="1" t="s">
        <v>25113</v>
      </c>
      <c r="C12198" s="1">
        <v>1</v>
      </c>
      <c r="D12198" s="1" t="str">
        <f>"10646"</f>
        <v>10646</v>
      </c>
      <c r="E12198" s="1" t="s">
        <v>447</v>
      </c>
      <c r="F12198" s="1">
        <v>14</v>
      </c>
      <c r="G12198" s="1">
        <v>11</v>
      </c>
      <c r="H12198" s="1">
        <v>0</v>
      </c>
      <c r="I12198" s="1" t="s">
        <v>24977</v>
      </c>
      <c r="K12198" s="1" t="str">
        <f t="shared" si="773"/>
        <v>ㄧ</v>
      </c>
      <c r="M12198" s="1" t="str">
        <f t="shared" si="774"/>
        <v/>
      </c>
      <c r="N12198" s="3" t="s">
        <v>30574</v>
      </c>
      <c r="O12198" s="3"/>
      <c r="P12198" s="1" t="s">
        <v>20</v>
      </c>
      <c r="R12198" s="1" t="s">
        <v>24978</v>
      </c>
      <c r="V12198" s="1" t="s">
        <v>25114</v>
      </c>
      <c r="AR12198" s="1" t="str">
        <f t="shared" si="775"/>
        <v>| [ㄧˋ](ㄧˋ.md) | [廙](廙.md) |  | yì | [名]
可以移動的帳幕。見《說文解字．广部》「廙」字．清．段玉裁．注。
[形]
恭敬。《廣韻．去聲．志韻》：「廙，恭也，敬也。」 |</v>
      </c>
    </row>
    <row r="12199" spans="1:44" hidden="1">
      <c r="A12199" s="1" t="s">
        <v>25115</v>
      </c>
      <c r="C12199" s="1">
        <v>1</v>
      </c>
      <c r="D12199" s="1" t="str">
        <f>"10647"</f>
        <v>10647</v>
      </c>
      <c r="E12199" s="1" t="s">
        <v>2271</v>
      </c>
      <c r="F12199" s="1">
        <v>17</v>
      </c>
      <c r="G12199" s="1">
        <v>11</v>
      </c>
      <c r="H12199" s="1">
        <v>0</v>
      </c>
      <c r="I12199" s="1" t="s">
        <v>24977</v>
      </c>
      <c r="K12199" s="1" t="str">
        <f t="shared" si="773"/>
        <v>ㄧ</v>
      </c>
      <c r="M12199" s="1" t="str">
        <f t="shared" si="774"/>
        <v/>
      </c>
      <c r="N12199" s="3" t="s">
        <v>30574</v>
      </c>
      <c r="O12199" s="3"/>
      <c r="P12199" s="1" t="s">
        <v>20</v>
      </c>
      <c r="R12199" s="1" t="s">
        <v>24978</v>
      </c>
      <c r="V12199" s="1" t="s">
        <v>25116</v>
      </c>
      <c r="AR12199" s="1" t="str">
        <f t="shared" si="775"/>
        <v>| [ㄧˋ](ㄧˋ.md) | [翼](翼.md) |  | yì | [名]
1.翅膀。如：「蟬翼」、「鳥翼」。《易經．明夷．初九》：「明夷于飛，垂其翼。」《戰國策．楚策四》：「王獨不見夫蜻蛉乎，六足四翼，飛翔乎天地之間。」
2.分布於左右兩側的軍隊。《史記．卷八一．廉頗藺相如傳》：「李牧多為奇陳，張左右翼擊之，大破殺匈奴十餘萬騎。」
3.船。《文選．張協．七命》：「爾乃浮三翼，戲中沚。」
4.地名。春秋時晉邑，故城約在今大陸地區山西省翼城縣東南。
5.姓。如漢代有翼奉。
[動]
1.輔助。《書經．益稷謨》：「予欲左右有民，汝翼。」《禮記．文王世子》：「保也者，慎其身以輔翼之，而歸諸道者也。」
2.掩蔽、保護。《詩經．大雅．生民》：「誕寘之寒冰，鳥覆翼之。」《漢書．卷一．高帝紀上》：「項伯亦起舞，常以身翼蔽沛公。」
[形]
1.恭謹。《詩經．小雅．六月》：「有嚴有翼，共武之服。」《論語．鄉黨》：「沒階趨進，翼如也。」
2.第二的、次的。通「翌」。《書經．武成》：「越翼日，癸巳。」 |</v>
      </c>
    </row>
    <row r="12200" spans="1:44" hidden="1">
      <c r="A12200" s="1" t="s">
        <v>25117</v>
      </c>
      <c r="C12200" s="1">
        <v>1</v>
      </c>
      <c r="D12200" s="1" t="str">
        <f>"10648"</f>
        <v>10648</v>
      </c>
      <c r="E12200" s="1" t="s">
        <v>558</v>
      </c>
      <c r="F12200" s="1">
        <v>12</v>
      </c>
      <c r="G12200" s="1">
        <v>8</v>
      </c>
      <c r="H12200" s="1">
        <v>0</v>
      </c>
      <c r="I12200" s="1" t="s">
        <v>24977</v>
      </c>
      <c r="K12200" s="1" t="str">
        <f t="shared" si="773"/>
        <v>ㄧ</v>
      </c>
      <c r="M12200" s="1" t="str">
        <f t="shared" si="774"/>
        <v/>
      </c>
      <c r="N12200" s="3" t="s">
        <v>30574</v>
      </c>
      <c r="O12200" s="3"/>
      <c r="P12200" s="1" t="s">
        <v>20</v>
      </c>
      <c r="R12200" s="1" t="s">
        <v>24978</v>
      </c>
      <c r="V12200" s="1" t="s">
        <v>25118</v>
      </c>
      <c r="AR12200" s="1" t="str">
        <f t="shared" si="775"/>
        <v>| [ㄧˋ](ㄧˋ.md) | [逸](逸.md) |  | yì | [動]
1.逃亡、逃跑。《說文解字．兔部》：「逸，失也，兔謾訑善逃也。」《左傳．桓公八年》：「隨師敗績，隨侯逸。」《北史．卷六．齊高祖神武帝本紀》：「見一赤兔，每搏輒逸。」
2.奔跑。《國語．晉語五》：「馬逸不能止，三軍從之。」三國吳．韋昭．注：「逸，奔也。」
3.散失。《書經．胤征》：「天吏逸德，烈于猛火。」
4.釋放。《左傳．成公十六年》：「明日復戰，乃逸楚囚。」
[形]
1.放蕩的。《戰國策．楚策四》：「專淫逸侈靡，不顧國政，郢都必危矣。」
2.隱逸的。如：「逸老」。《漢書．卷一〇．成帝紀》：「故官無廢事，下無逸民。」
3.超群的、超絕的。如：「逸才」。《老殘遊記》第一〇回：「六七八段，間以曼衍，愈轉愈清，其調愈逸。」
4.快速的。《後漢書．卷五二．崔駰傳》：「故英人乘斯時也，猶逸禽之赴深林。」
5.舒適、安樂。《詩經．小雅．十月之交》：「民莫不逸，我獨不敢休。」
[名]
1.隱士。《北史．卷三一．高允傳》：「帝乃虛求，搜賢採逸，巖隱投竿，異人並出。」唐．李白〈夜泊黃山聞殷十四吳吟〉：「朝來果是滄洲逸，酤酒提盤飯霜栗。」
2.過失。《書經．盤庚上》：「予亦拙謀，作乃逸。」漢．孔安國．傳：「逸，過也。」 |</v>
      </c>
    </row>
    <row r="12201" spans="1:44" hidden="1">
      <c r="A12201" s="1" t="s">
        <v>25119</v>
      </c>
      <c r="C12201" s="1">
        <v>1</v>
      </c>
      <c r="D12201" s="1" t="str">
        <f>"10649"</f>
        <v>10649</v>
      </c>
      <c r="E12201" s="1" t="s">
        <v>43</v>
      </c>
      <c r="F12201" s="1">
        <v>13</v>
      </c>
      <c r="G12201" s="1">
        <v>7</v>
      </c>
      <c r="H12201" s="1">
        <v>0</v>
      </c>
      <c r="I12201" s="1" t="s">
        <v>24977</v>
      </c>
      <c r="K12201" s="1" t="str">
        <f t="shared" si="773"/>
        <v>ㄧ</v>
      </c>
      <c r="M12201" s="1" t="str">
        <f t="shared" si="774"/>
        <v/>
      </c>
      <c r="N12201" s="3" t="s">
        <v>30574</v>
      </c>
      <c r="O12201" s="3"/>
      <c r="P12201" s="1" t="s">
        <v>20</v>
      </c>
      <c r="R12201" s="1" t="s">
        <v>24978</v>
      </c>
      <c r="V12201" s="1" t="s">
        <v>25120</v>
      </c>
      <c r="AR12201" s="1" t="str">
        <f t="shared" si="775"/>
        <v>| [ㄧˋ](ㄧˋ.md) | [義](義.md) |  | yì | [名]_x000D_
1.合宜的事情。《論語．為政》：「見義不為，無勇也。」《淮南子．齊俗》：「為義者，布施而德。」_x000D_
2.正道、正理。《孟子．公孫丑上》：「其為氣也，配義與道，無是餒也。」_x000D_
3.死節、殉難。《禮記．禮運》：「故國有患，君死社稷謂之義。」《宋史．卷四五〇．忠義傳五．尹穀傳》：「尹務實，男子也，先我就義矣。」_x000D_
4.法則。《呂氏春秋．孟春紀．貴公》：「無偏無頗，遵王之義。」_x000D_
5.意思。如：「意義」、「字義」。漢．孔安國〈尚書序〉：「以所聞伏生之書，考論文義，定其可知者，為隸古定。」_x000D_
6.功用。《左傳．昭公三十一年》：「故君子動則思禮，行則思義，不為利回，不為義疚。」_x000D_
7.姓。如漢代有義縱。_x000D_
[形]_x000D_
1.合於正義的。如：「義民」、「義婦」、「義舉」。《書經．康誥》：「汝陳時臬事，罰蔽殷彞，用其義刑義殺，勿庸以次汝封。」_x000D_
2.用來周濟公眾的。如：「義莊」、「義塾」、「義舍」。《三國志．卷八．魏書．張魯傳》：「諸祭酒皆作義舍，如今之亭傳。」_x000D_
3.假的，有其名而非真、非親的。如：「義父」、「義子」、「義肢」、「義齒」。 |</v>
      </c>
    </row>
    <row r="12202" spans="1:44" hidden="1">
      <c r="A12202" s="1" t="s">
        <v>25121</v>
      </c>
      <c r="C12202" s="1">
        <v>1</v>
      </c>
      <c r="D12202" s="1" t="str">
        <f>"10650"</f>
        <v>10650</v>
      </c>
      <c r="E12202" s="1" t="s">
        <v>331</v>
      </c>
      <c r="F12202" s="1">
        <v>20</v>
      </c>
      <c r="G12202" s="1">
        <v>13</v>
      </c>
      <c r="H12202" s="1">
        <v>0</v>
      </c>
      <c r="I12202" s="1" t="s">
        <v>24977</v>
      </c>
      <c r="K12202" s="1" t="str">
        <f t="shared" si="773"/>
        <v>ㄧ</v>
      </c>
      <c r="M12202" s="1" t="str">
        <f t="shared" si="774"/>
        <v/>
      </c>
      <c r="N12202" s="3" t="s">
        <v>30574</v>
      </c>
      <c r="O12202" s="3"/>
      <c r="P12202" s="1" t="s">
        <v>20</v>
      </c>
      <c r="R12202" s="1" t="s">
        <v>24978</v>
      </c>
      <c r="V12202" s="1" t="s">
        <v>25122</v>
      </c>
      <c r="AR12202" s="1" t="str">
        <f t="shared" si="775"/>
        <v>| [ㄧˋ](ㄧˋ.md) | [議](議.md) |  | yì | [動]
1.討論、商量。如：「協議」、「商議」。《書經．周官》：「學古入官，議事以制，政乃不迷。」
2.評論是非。如：「議論」。《論語．季氏》：「天下有道，則庶人不議。」唐．張說〈開元正歷握乾符頌〉：「斗水不能評巨壑之量，隙光未足議大明之體。」
3.指責。《韓非子．內儲說上》：「今邯鄲之去魏也遠於市，議臣者過於三人，願王察之。」
4.選擇、斟酌。《儀禮．有司》：「乃議侑于賓以異姓，宗人戒侑，侑出俟于廟門之外。」漢．鄭玄．注：「議，猶擇也。」《國語．周語中》：「故聖人之施舍也議之，其喜怒取與亦議之。」
[名]
1.言論。如：「博采眾議」。《呂氏春秋．孟秋紀．懷寵》：「凡君子之說也，非苟辨也，士之議也，非苟語也。」
2.文體名。用以論說事理、陳述作者意見的文章。如：「奏議」、「駁議」。 |</v>
      </c>
    </row>
    <row r="12203" spans="1:44" hidden="1">
      <c r="A12203" s="1" t="s">
        <v>25123</v>
      </c>
      <c r="C12203" s="1">
        <v>1</v>
      </c>
      <c r="D12203" s="1" t="str">
        <f>"10651"</f>
        <v>10651</v>
      </c>
      <c r="E12203" s="1" t="s">
        <v>250</v>
      </c>
      <c r="F12203" s="1">
        <v>13</v>
      </c>
      <c r="G12203" s="1">
        <v>9</v>
      </c>
      <c r="H12203" s="1">
        <v>0</v>
      </c>
      <c r="I12203" s="1" t="s">
        <v>24977</v>
      </c>
      <c r="K12203" s="1" t="str">
        <f t="shared" si="773"/>
        <v>ㄧ</v>
      </c>
      <c r="M12203" s="1" t="str">
        <f t="shared" si="774"/>
        <v/>
      </c>
      <c r="N12203" s="3" t="s">
        <v>30574</v>
      </c>
      <c r="O12203" s="3"/>
      <c r="P12203" s="1" t="s">
        <v>20</v>
      </c>
      <c r="R12203" s="1" t="s">
        <v>24978</v>
      </c>
      <c r="V12203" s="1" t="s">
        <v>25124</v>
      </c>
      <c r="AR12203" s="1" t="str">
        <f t="shared" si="775"/>
        <v>| [ㄧˋ](ㄧˋ.md) | [意](意.md) |  | yì | [名]
1.意思。《易經．繫辭上》：「書不盡言，言不盡意。」唐．杜牧〈答莊充書〉：「是意能遣辭，辭不能成意，大抵為文之旨如此。」
2.見解、看法。唐．柳宗元〈桐葉封弟辨〉：「周公曰：『天子不可戲。』乃封小弱弟於唐。吾意不然。」
3.私念、成見。《論語．子罕》：「子絕四：毋意、毋必、毋固、毋我。」
4.情趣。如：「春意」、「醉意」。南朝梁．劉勰《文心雕龍．神思》：「登山則情滿於山，觀海則意溢於海。」唐．杜甫〈登兗州城樓〉詩：「從來多古意，臨眺獨躊躇。」
5.情感。唐．杜甫〈送李校書二十六韻〉：「臨岐意頗切，對酒不能喫。」唐．劉禹錫〈竹枝詞〉九首之二：「花紅易衰似郎意，水流無限似儂愁。」
6.願望。如：「稱心如意」。《呂氏春秋．仲冬紀．長見》：「申侯伯善持養吾意，吾所欲，則先我為之。」
7.內心、胸襟。《漢書．卷一．高帝紀上》：「寬仁愛人，意豁如也。」
8.姓。如明代有意秀。
[動]
1.懷疑。《韓非子．存韓》：「為計而使諸侯有意伐之心，至殆也。」《漢書．卷四七．文三王傳．梁孝王劉武傳》：「於是天子意梁，逐賊，果梁使之。」
2.猜測、推測。如：「出其不意」。《莊子．胠篋》：「夫妄意室中之藏，聖也。」《管子．小問》：「君子善謀而小人善意。」
3.考慮。《詩經．小雅．正月》：「終踰絕險，曾是不意。」《禮記．王制》：「意論輕重之序，慎測淺深之量，以別之。」
[副]
或。通「抑」。《墨子．明鬼下》：「豈女為之與？意鮑為之與？」《莊子．盜跖》：「知不足邪？意知而力不能行邪？」 |</v>
      </c>
    </row>
    <row r="12204" spans="1:44" hidden="1">
      <c r="A12204" s="1" t="s">
        <v>25125</v>
      </c>
      <c r="C12204" s="1">
        <v>1</v>
      </c>
      <c r="D12204" s="1" t="str">
        <f>"10652"</f>
        <v>10652</v>
      </c>
      <c r="E12204" s="1" t="s">
        <v>114</v>
      </c>
      <c r="F12204" s="1">
        <v>15</v>
      </c>
      <c r="G12204" s="1">
        <v>13</v>
      </c>
      <c r="H12204" s="1">
        <v>0</v>
      </c>
      <c r="I12204" s="1" t="s">
        <v>24977</v>
      </c>
      <c r="K12204" s="1" t="str">
        <f t="shared" si="773"/>
        <v>ㄧ</v>
      </c>
      <c r="M12204" s="1" t="str">
        <f t="shared" si="774"/>
        <v/>
      </c>
      <c r="N12204" s="3" t="s">
        <v>30574</v>
      </c>
      <c r="O12204" s="3"/>
      <c r="P12204" s="1" t="s">
        <v>20</v>
      </c>
      <c r="R12204" s="1" t="s">
        <v>24978</v>
      </c>
      <c r="V12204" s="1" t="s">
        <v>25126</v>
      </c>
      <c r="AR12204" s="1" t="str">
        <f t="shared" si="775"/>
        <v>| [ㄧˋ](ㄧˋ.md) | [億](億.md) |  | yì | [形]
安寧。《說文解字．人部》：「億，安也。」《左傳．昭公二十一年》：「故和聲入於耳而藏於心，心億則樂。」
[名]
數目字。萬的萬倍。如：「十億人口」。
[動]
預料、推測。通「臆」。《論語．先進》：「賜不受命而貨殖焉，億則屢中。」 |</v>
      </c>
    </row>
    <row r="12205" spans="1:44" hidden="1">
      <c r="A12205" s="1" t="s">
        <v>25127</v>
      </c>
      <c r="C12205" s="1">
        <v>1</v>
      </c>
      <c r="D12205" s="1" t="str">
        <f>"10653"</f>
        <v>10653</v>
      </c>
      <c r="E12205" s="1" t="s">
        <v>250</v>
      </c>
      <c r="F12205" s="1">
        <v>16</v>
      </c>
      <c r="G12205" s="1">
        <v>13</v>
      </c>
      <c r="H12205" s="1">
        <v>0</v>
      </c>
      <c r="I12205" s="1" t="s">
        <v>24977</v>
      </c>
      <c r="K12205" s="1" t="str">
        <f t="shared" si="773"/>
        <v>ㄧ</v>
      </c>
      <c r="M12205" s="1" t="str">
        <f t="shared" si="774"/>
        <v/>
      </c>
      <c r="N12205" s="3" t="s">
        <v>30574</v>
      </c>
      <c r="O12205" s="3"/>
      <c r="P12205" s="1" t="s">
        <v>20</v>
      </c>
      <c r="R12205" s="1" t="s">
        <v>24978</v>
      </c>
      <c r="V12205" s="1" t="s">
        <v>25128</v>
      </c>
      <c r="AR12205" s="1" t="str">
        <f t="shared" si="775"/>
        <v>| [ㄧˋ](ㄧˋ.md) | [憶](憶.md) |  | yì | [動]
1.想念、思念。如：「長相憶」、「追憶」。唐．賈島〈寄山中王參〉詩：「別來千餘日，日日憶不歇。」宋．陸游〈和高子長參議道中二絕〉之一：「梁州四月晚鶯啼，共憶扁舟罨畫谿。」
2.記得。《梁書．卷八．昭明太子傳》：「讀書數行並下，過目皆憶。」唐．元稹〈連昌宮詞〉：「弄權宰相不記名，依稀憶得楊與李。」 |</v>
      </c>
    </row>
    <row r="12206" spans="1:44" hidden="1">
      <c r="A12206" s="1" t="s">
        <v>24823</v>
      </c>
      <c r="C12206" s="1">
        <v>1</v>
      </c>
      <c r="D12206" s="1" t="str">
        <f>"10654"</f>
        <v>10654</v>
      </c>
      <c r="E12206" s="1" t="s">
        <v>28</v>
      </c>
      <c r="F12206" s="1">
        <v>16</v>
      </c>
      <c r="G12206" s="1">
        <v>13</v>
      </c>
      <c r="H12206" s="1">
        <v>1</v>
      </c>
      <c r="I12206" s="1" t="s">
        <v>24977</v>
      </c>
      <c r="K12206" s="1" t="str">
        <f t="shared" si="773"/>
        <v>ㄧ</v>
      </c>
      <c r="M12206" s="1" t="str">
        <f t="shared" si="774"/>
        <v/>
      </c>
      <c r="N12206" s="3" t="s">
        <v>30574</v>
      </c>
      <c r="O12206" s="3"/>
      <c r="P12206" s="1" t="s">
        <v>20</v>
      </c>
      <c r="R12206" s="1" t="s">
        <v>24978</v>
      </c>
      <c r="V12206" s="1" t="s">
        <v>25129</v>
      </c>
      <c r="W12206" s="1" t="s">
        <v>25130</v>
      </c>
      <c r="AR12206" s="1" t="str">
        <f t="shared" si="775"/>
        <v>| [ㄧˋ](ㄧˋ.md) | [噫](噫.md) |  | yì | [動]
吃飽後，胃裡的氣體因阻鬱而上升，並且發出聲音。《黃帝內經素問．卷二二．至真要大論》：「飲食不下，鬲咽不通，食則嘔，腹脹善噫。」
[歎]
1.表示悲哀、傷痛的語氣。《論語．先進》：「顏淵死，子曰：『噫！天喪予！天喪予！』」
2.表示驚嘆的語氣。同「咦」。如：「噫！你怎麼在這裡？」
3.心不平所發的聲音。《論語．子張》：「子夏聞之曰：『噫！言游過矣。』」 |</v>
      </c>
    </row>
    <row r="12207" spans="1:44" hidden="1">
      <c r="A12207" s="1" t="s">
        <v>25131</v>
      </c>
      <c r="C12207" s="1">
        <v>1</v>
      </c>
      <c r="D12207" s="1" t="str">
        <f>"10655"</f>
        <v>10655</v>
      </c>
      <c r="E12207" s="1" t="s">
        <v>139</v>
      </c>
      <c r="F12207" s="1">
        <v>17</v>
      </c>
      <c r="G12207" s="1">
        <v>13</v>
      </c>
      <c r="H12207" s="1">
        <v>0</v>
      </c>
      <c r="I12207" s="1" t="s">
        <v>24977</v>
      </c>
      <c r="K12207" s="1" t="str">
        <f t="shared" si="773"/>
        <v>ㄧ</v>
      </c>
      <c r="M12207" s="1" t="str">
        <f t="shared" si="774"/>
        <v/>
      </c>
      <c r="N12207" s="3" t="s">
        <v>30574</v>
      </c>
      <c r="O12207" s="3"/>
      <c r="P12207" s="1" t="s">
        <v>20</v>
      </c>
      <c r="R12207" s="1" t="s">
        <v>24978</v>
      </c>
      <c r="V12207" s="1" t="s">
        <v>25132</v>
      </c>
      <c r="AR12207" s="1" t="str">
        <f t="shared" si="775"/>
        <v>| [ㄧˋ](ㄧˋ.md) | [檍](檍.md) |  | yì | [名]
一種樹木，材質堅硬，可作弓。《爾雅．釋木》：「杻，檍。」晉．郭璞．注：「似棣，細葉，葉新生可飼牛，材中車輞，關西呼杻子，一名土橿。」 |</v>
      </c>
    </row>
    <row r="12208" spans="1:44" hidden="1">
      <c r="A12208" s="1" t="s">
        <v>25133</v>
      </c>
      <c r="C12208" s="1">
        <v>1</v>
      </c>
      <c r="D12208" s="1" t="str">
        <f>"10656"</f>
        <v>10656</v>
      </c>
      <c r="E12208" s="1" t="s">
        <v>37</v>
      </c>
      <c r="F12208" s="1">
        <v>17</v>
      </c>
      <c r="G12208" s="1">
        <v>13</v>
      </c>
      <c r="H12208" s="1">
        <v>0</v>
      </c>
      <c r="I12208" s="1" t="s">
        <v>24977</v>
      </c>
      <c r="K12208" s="1" t="str">
        <f t="shared" si="773"/>
        <v>ㄧ</v>
      </c>
      <c r="M12208" s="1" t="str">
        <f t="shared" si="774"/>
        <v/>
      </c>
      <c r="N12208" s="3" t="s">
        <v>30574</v>
      </c>
      <c r="O12208" s="3"/>
      <c r="P12208" s="1" t="s">
        <v>20</v>
      </c>
      <c r="R12208" s="1" t="s">
        <v>24978</v>
      </c>
      <c r="V12208" s="1" t="s">
        <v>25134</v>
      </c>
      <c r="AR12208" s="1" t="str">
        <f t="shared" si="775"/>
        <v>| [ㄧˋ](ㄧˋ.md) | [薏](薏.md) |  | yì | [名]
1.蓮子中心的胚芽，味甚苦。《爾雅．釋草》：「荷，芙蕖，……，其實蓮，其根藕，其中的，的中薏。」邢昺疏引陸璣曰：「的中有青為薏，味甚苦。」
2.參見「薏苡」條。 |</v>
      </c>
    </row>
    <row r="12209" spans="1:44" hidden="1">
      <c r="A12209" s="1" t="s">
        <v>25135</v>
      </c>
      <c r="C12209" s="1">
        <v>1</v>
      </c>
      <c r="D12209" s="1" t="str">
        <f>"10657"</f>
        <v>10657</v>
      </c>
      <c r="E12209" s="1" t="s">
        <v>68</v>
      </c>
      <c r="F12209" s="1">
        <v>17</v>
      </c>
      <c r="G12209" s="1">
        <v>13</v>
      </c>
      <c r="H12209" s="1">
        <v>0</v>
      </c>
      <c r="I12209" s="1" t="s">
        <v>24977</v>
      </c>
      <c r="K12209" s="1" t="str">
        <f t="shared" si="773"/>
        <v>ㄧ</v>
      </c>
      <c r="M12209" s="1" t="str">
        <f t="shared" si="774"/>
        <v/>
      </c>
      <c r="N12209" s="3" t="s">
        <v>30574</v>
      </c>
      <c r="O12209" s="3"/>
      <c r="P12209" s="1" t="s">
        <v>20</v>
      </c>
      <c r="R12209" s="1" t="s">
        <v>24978</v>
      </c>
      <c r="V12209" s="1" t="s">
        <v>25136</v>
      </c>
      <c r="AR12209" s="1" t="str">
        <f t="shared" si="775"/>
        <v>| [ㄧˋ](ㄧˋ.md) | [臆](臆.md) |  | yì | [名]
胸膛、懷抱。如：「胸臆」。唐．杜甫〈哀江頭〉詩：「人生有情淚沾臆，江水江花豈終極？」
[副]
主觀的、私心猜測的。如：「臆度」、「臆想」、「臆測」。宋．蘇軾〈石鐘山記〉：「事不目見耳聞，而臆斷其有無可乎？」 |</v>
      </c>
    </row>
    <row r="12210" spans="1:44" hidden="1">
      <c r="A12210" s="1" t="s">
        <v>25137</v>
      </c>
      <c r="C12210" s="1">
        <v>1</v>
      </c>
      <c r="D12210" s="1" t="str">
        <f>"10658"</f>
        <v>10658</v>
      </c>
      <c r="E12210" s="1" t="s">
        <v>40</v>
      </c>
      <c r="F12210" s="1">
        <v>18</v>
      </c>
      <c r="G12210" s="1">
        <v>13</v>
      </c>
      <c r="H12210" s="1">
        <v>0</v>
      </c>
      <c r="I12210" s="1" t="s">
        <v>24977</v>
      </c>
      <c r="K12210" s="1" t="str">
        <f t="shared" si="773"/>
        <v>ㄧ</v>
      </c>
      <c r="M12210" s="1" t="str">
        <f t="shared" si="774"/>
        <v/>
      </c>
      <c r="N12210" s="3" t="s">
        <v>30574</v>
      </c>
      <c r="O12210" s="3"/>
      <c r="P12210" s="1" t="s">
        <v>20</v>
      </c>
      <c r="R12210" s="1" t="s">
        <v>24978</v>
      </c>
      <c r="V12210" s="1" t="s">
        <v>25138</v>
      </c>
      <c r="AR12210" s="1" t="str">
        <f t="shared" si="775"/>
        <v>| [ㄧˋ](ㄧˋ.md) | [癔](癔.md) |  | yì | 參見「癔病」條。 |</v>
      </c>
    </row>
    <row r="12211" spans="1:44" hidden="1">
      <c r="A12211" s="1" t="s">
        <v>25139</v>
      </c>
      <c r="C12211" s="1">
        <v>1</v>
      </c>
      <c r="D12211" s="1" t="str">
        <f>"10659"</f>
        <v>10659</v>
      </c>
      <c r="E12211" s="1" t="s">
        <v>725</v>
      </c>
      <c r="F12211" s="1">
        <v>19</v>
      </c>
      <c r="G12211" s="1">
        <v>13</v>
      </c>
      <c r="H12211" s="1">
        <v>0</v>
      </c>
      <c r="I12211" s="1" t="s">
        <v>24977</v>
      </c>
      <c r="K12211" s="1" t="str">
        <f t="shared" si="773"/>
        <v>ㄧ</v>
      </c>
      <c r="M12211" s="1" t="str">
        <f t="shared" si="774"/>
        <v/>
      </c>
      <c r="N12211" s="3" t="s">
        <v>30574</v>
      </c>
      <c r="O12211" s="3"/>
      <c r="P12211" s="1" t="s">
        <v>20</v>
      </c>
      <c r="R12211" s="1" t="s">
        <v>24978</v>
      </c>
      <c r="V12211" s="1" t="s">
        <v>25140</v>
      </c>
      <c r="AR12211" s="1" t="str">
        <f t="shared" si="775"/>
        <v>| [ㄧˋ](ㄧˋ.md) | [繶](繶.md) |  | yì | [名]
用絲編成的絲帶。《儀禮．士冠禮》：「玄端黑屨，青絇繶純。」南朝梁．沈約〈皇雅〉詩：「青絇黃金繶，袞衣文繡裳。」 |</v>
      </c>
    </row>
    <row r="12212" spans="1:44" hidden="1">
      <c r="A12212" s="1" t="s">
        <v>25141</v>
      </c>
      <c r="C12212" s="1">
        <v>1</v>
      </c>
      <c r="D12212" s="1" t="str">
        <f>"10660"</f>
        <v>10660</v>
      </c>
      <c r="E12212" s="1" t="s">
        <v>55</v>
      </c>
      <c r="F12212" s="1">
        <v>21</v>
      </c>
      <c r="G12212" s="1">
        <v>13</v>
      </c>
      <c r="H12212" s="1">
        <v>0</v>
      </c>
      <c r="I12212" s="1" t="s">
        <v>24977</v>
      </c>
      <c r="K12212" s="1" t="str">
        <f t="shared" si="773"/>
        <v>ㄧ</v>
      </c>
      <c r="M12212" s="1" t="str">
        <f t="shared" si="774"/>
        <v/>
      </c>
      <c r="N12212" s="3" t="s">
        <v>30574</v>
      </c>
      <c r="O12212" s="3"/>
      <c r="P12212" s="1" t="s">
        <v>20</v>
      </c>
      <c r="R12212" s="1" t="s">
        <v>24978</v>
      </c>
      <c r="V12212" s="1" t="s">
        <v>25142</v>
      </c>
      <c r="AR12212" s="1" t="str">
        <f t="shared" si="775"/>
        <v>| [ㄧˋ](ㄧˋ.md) | [鐿](鐿.md) |  | yì | [名]
（ytterbium，Yb）化學元素。原子序70。稀土金屬元素之一。白色粉末狀物，有金屬光澤，具延展性。與水反應極慢，遇酸易溶。可供特製合金用。 |</v>
      </c>
    </row>
    <row r="12213" spans="1:44" hidden="1">
      <c r="A12213" s="1" t="s">
        <v>25143</v>
      </c>
      <c r="C12213" s="1">
        <v>1</v>
      </c>
      <c r="D12213" s="1" t="str">
        <f>"10661"</f>
        <v>10661</v>
      </c>
      <c r="E12213" s="1" t="s">
        <v>272</v>
      </c>
      <c r="F12213" s="1">
        <v>24</v>
      </c>
      <c r="G12213" s="1">
        <v>13</v>
      </c>
      <c r="H12213" s="1">
        <v>0</v>
      </c>
      <c r="I12213" s="1" t="s">
        <v>24977</v>
      </c>
      <c r="K12213" s="1" t="str">
        <f t="shared" ref="K12213:K12276" si="776">LEFT(I12213, 1)</f>
        <v>ㄧ</v>
      </c>
      <c r="M12213" s="1" t="str">
        <f t="shared" ref="M12213:M12276" si="777">MID(I12213, 3, 1)</f>
        <v/>
      </c>
      <c r="N12213" s="3" t="s">
        <v>30574</v>
      </c>
      <c r="O12213" s="3"/>
      <c r="P12213" s="1" t="s">
        <v>20</v>
      </c>
      <c r="R12213" s="1" t="s">
        <v>24978</v>
      </c>
      <c r="V12213" s="1" t="s">
        <v>25144</v>
      </c>
      <c r="AR12213" s="1" t="str">
        <f t="shared" si="775"/>
        <v>| [ㄧˋ](ㄧˋ.md) | [鷾](鷾.md) |  | yì | [名]
鷾鴯：燕子。唐．陸德明《經典釋文．卷二七．莊子音義中》：「或云鷾鴯，燕也。」 |</v>
      </c>
    </row>
    <row r="12214" spans="1:44" hidden="1">
      <c r="A12214" s="1" t="s">
        <v>25145</v>
      </c>
      <c r="C12214" s="1">
        <v>1</v>
      </c>
      <c r="D12214" s="1" t="str">
        <f>"10662"</f>
        <v>10662</v>
      </c>
      <c r="E12214" s="1" t="s">
        <v>331</v>
      </c>
      <c r="F12214" s="1">
        <v>13</v>
      </c>
      <c r="G12214" s="1">
        <v>6</v>
      </c>
      <c r="H12214" s="1">
        <v>0</v>
      </c>
      <c r="I12214" s="1" t="s">
        <v>24977</v>
      </c>
      <c r="K12214" s="1" t="str">
        <f t="shared" si="776"/>
        <v>ㄧ</v>
      </c>
      <c r="M12214" s="1" t="str">
        <f t="shared" si="777"/>
        <v/>
      </c>
      <c r="N12214" s="3" t="s">
        <v>30574</v>
      </c>
      <c r="O12214" s="3"/>
      <c r="P12214" s="1" t="s">
        <v>20</v>
      </c>
      <c r="R12214" s="1" t="s">
        <v>24978</v>
      </c>
      <c r="V12214" s="1" t="s">
        <v>25146</v>
      </c>
      <c r="AR12214" s="1" t="str">
        <f t="shared" si="775"/>
        <v>| [ㄧˋ](ㄧˋ.md) | [詣](詣.md) |  | yì | [動]
1.拜訪、進見上級或長輩。晉．陶淵明〈桃花源記〉：「及郡下，詣太守，說如此。」南朝宋．劉義慶《世說新語．文學》：「何平叔注《老子》，始成，詣王輔嗣。」
2.到、前往。《漢書．卷六七．楊王孫傳》：「王孫苦疾，僕迫從上祠雍，未得詣前。」唐．顏師古．注：「詣，至也。」唐．李賀〈感諷〉詩五首之一：「不因使君怒，焉得詣爾廬。」
[名]
學業或技能所到達的程度、境界。如：「造詣」。南朝宋．劉義慶《世說新語．文學》：「諸葛厷，年少不肯學問，始與王夷甫談，便已超詣。」 |</v>
      </c>
    </row>
    <row r="12215" spans="1:44" hidden="1">
      <c r="A12215" s="1" t="s">
        <v>25147</v>
      </c>
      <c r="C12215" s="1">
        <v>1</v>
      </c>
      <c r="D12215" s="1" t="str">
        <f>"10663"</f>
        <v>10663</v>
      </c>
      <c r="E12215" s="1" t="s">
        <v>18309</v>
      </c>
      <c r="F12215" s="1">
        <v>13</v>
      </c>
      <c r="G12215" s="1">
        <v>7</v>
      </c>
      <c r="H12215" s="1">
        <v>0</v>
      </c>
      <c r="I12215" s="1" t="s">
        <v>24977</v>
      </c>
      <c r="K12215" s="1" t="str">
        <f t="shared" si="776"/>
        <v>ㄧ</v>
      </c>
      <c r="M12215" s="1" t="str">
        <f t="shared" si="777"/>
        <v/>
      </c>
      <c r="N12215" s="3" t="s">
        <v>30574</v>
      </c>
      <c r="O12215" s="3"/>
      <c r="P12215" s="1" t="s">
        <v>20</v>
      </c>
      <c r="R12215" s="1" t="s">
        <v>24978</v>
      </c>
      <c r="V12215" s="1" t="s">
        <v>25148</v>
      </c>
      <c r="AR12215" s="1" t="str">
        <f t="shared" si="775"/>
        <v>| [ㄧˋ](ㄧˋ.md) | [肄](肄.md) |  | yì | [動]
1.學習。如：「肄業」。《禮記．曲禮下》：「君命大夫與士肄。」《續漢書志．第五．禮儀志中》：「兵、官皆肄孫、吳兵法六十四陣，名曰乘之。」
2.勞苦。《書經．顧命》：「昔君文王武王，宣重光，奠麗陳教則肄。」
[名]
1.勞苦的事情。《詩經．邶風．谷風》：「有洸有潰，既詒我肄。」
2.嫩枝。《詩經．周南．汝墳》：「遵彼汝墳，伐其條肄。」
3.後裔。《左傳．襄公二十九年》：「晉國不恤周宗之闕，而夏肄是屏。」 |</v>
      </c>
    </row>
    <row r="12216" spans="1:44" hidden="1">
      <c r="A12216" s="1" t="s">
        <v>9737</v>
      </c>
      <c r="C12216" s="1">
        <v>1</v>
      </c>
      <c r="D12216" s="1" t="str">
        <f>"10664"</f>
        <v>10664</v>
      </c>
      <c r="E12216" s="1" t="s">
        <v>1015</v>
      </c>
      <c r="F12216" s="1">
        <v>13</v>
      </c>
      <c r="G12216" s="1">
        <v>8</v>
      </c>
      <c r="H12216" s="1">
        <v>1</v>
      </c>
      <c r="I12216" s="1" t="s">
        <v>24977</v>
      </c>
      <c r="K12216" s="1" t="str">
        <f t="shared" si="776"/>
        <v>ㄧ</v>
      </c>
      <c r="M12216" s="1" t="str">
        <f t="shared" si="777"/>
        <v/>
      </c>
      <c r="N12216" s="3" t="s">
        <v>30574</v>
      </c>
      <c r="O12216" s="3"/>
      <c r="P12216" s="1" t="s">
        <v>20</v>
      </c>
      <c r="R12216" s="1" t="s">
        <v>24978</v>
      </c>
      <c r="V12216" s="1" t="s">
        <v>25149</v>
      </c>
      <c r="W12216" s="1" t="s">
        <v>25150</v>
      </c>
      <c r="AR12216" s="1" t="str">
        <f t="shared" si="775"/>
        <v>| [ㄧˋ](ㄧˋ.md) | [睪](睪.md) |  | yì | [動]
偵探、伺察。《說文解字．㚔部》：「睪，司視也。令吏將目捕罪人也。」 |</v>
      </c>
    </row>
    <row r="12217" spans="1:44" hidden="1">
      <c r="A12217" s="1" t="s">
        <v>25151</v>
      </c>
      <c r="C12217" s="1">
        <v>1</v>
      </c>
      <c r="D12217" s="1" t="str">
        <f>"10665"</f>
        <v>10665</v>
      </c>
      <c r="E12217" s="1" t="s">
        <v>250</v>
      </c>
      <c r="F12217" s="1">
        <v>16</v>
      </c>
      <c r="G12217" s="1">
        <v>13</v>
      </c>
      <c r="H12217" s="1">
        <v>0</v>
      </c>
      <c r="I12217" s="1" t="s">
        <v>24977</v>
      </c>
      <c r="K12217" s="1" t="str">
        <f t="shared" si="776"/>
        <v>ㄧ</v>
      </c>
      <c r="M12217" s="1" t="str">
        <f t="shared" si="777"/>
        <v/>
      </c>
      <c r="N12217" s="3" t="s">
        <v>30574</v>
      </c>
      <c r="O12217" s="3"/>
      <c r="P12217" s="1" t="s">
        <v>20</v>
      </c>
      <c r="R12217" s="1" t="s">
        <v>24978</v>
      </c>
      <c r="V12217" s="1" t="s">
        <v>25152</v>
      </c>
      <c r="AR12217" s="1" t="str">
        <f t="shared" si="775"/>
        <v>| [ㄧˋ](ㄧˋ.md) | [懌](懌.md) |  | yì | [形]
喜悅。《史記．卷八一．廉頗藺相如傳》：「於是秦王不懌，為一擊缶。」唐．柳宗元〈憂箴〉：「憂不可常，常則誰懌？」 |</v>
      </c>
    </row>
    <row r="12218" spans="1:44" hidden="1">
      <c r="A12218" s="1" t="s">
        <v>25153</v>
      </c>
      <c r="C12218" s="1">
        <v>1</v>
      </c>
      <c r="D12218" s="1" t="str">
        <f>"10666"</f>
        <v>10666</v>
      </c>
      <c r="E12218" s="1" t="s">
        <v>190</v>
      </c>
      <c r="F12218" s="1">
        <v>16</v>
      </c>
      <c r="G12218" s="1">
        <v>13</v>
      </c>
      <c r="H12218" s="1">
        <v>0</v>
      </c>
      <c r="I12218" s="1" t="s">
        <v>24977</v>
      </c>
      <c r="K12218" s="1" t="str">
        <f t="shared" si="776"/>
        <v>ㄧ</v>
      </c>
      <c r="M12218" s="1" t="str">
        <f t="shared" si="777"/>
        <v/>
      </c>
      <c r="N12218" s="3" t="s">
        <v>30574</v>
      </c>
      <c r="O12218" s="3"/>
      <c r="P12218" s="1" t="s">
        <v>20</v>
      </c>
      <c r="R12218" s="1" t="s">
        <v>24978</v>
      </c>
      <c r="V12218" s="1" t="s">
        <v>25154</v>
      </c>
      <c r="AR12218" s="1" t="str">
        <f t="shared" si="775"/>
        <v>| [ㄧˋ](ㄧˋ.md) | [嶧](嶧.md) |  | yì | [名]
參見「嶧山」條。
[形]
山勢連綿不斷的樣子。《爾雅．釋山》：「屬者嶧，獨者蜀。」宋．邢昺．疏：「言山形相連屬，駱驛然不絕者名嶧。」 |</v>
      </c>
    </row>
    <row r="12219" spans="1:44" hidden="1">
      <c r="A12219" s="1" t="s">
        <v>25155</v>
      </c>
      <c r="C12219" s="1">
        <v>1</v>
      </c>
      <c r="D12219" s="1" t="str">
        <f>"10667"</f>
        <v>10667</v>
      </c>
      <c r="E12219" s="1" t="s">
        <v>2557</v>
      </c>
      <c r="F12219" s="1">
        <v>16</v>
      </c>
      <c r="G12219" s="1">
        <v>13</v>
      </c>
      <c r="H12219" s="1">
        <v>0</v>
      </c>
      <c r="I12219" s="1" t="s">
        <v>24977</v>
      </c>
      <c r="K12219" s="1" t="str">
        <f t="shared" si="776"/>
        <v>ㄧ</v>
      </c>
      <c r="M12219" s="1" t="str">
        <f t="shared" si="777"/>
        <v/>
      </c>
      <c r="N12219" s="3" t="s">
        <v>30574</v>
      </c>
      <c r="O12219" s="3"/>
      <c r="P12219" s="1" t="s">
        <v>20</v>
      </c>
      <c r="R12219" s="1" t="s">
        <v>24978</v>
      </c>
      <c r="V12219" s="1" t="s">
        <v>25156</v>
      </c>
      <c r="AR12219" s="1" t="str">
        <f t="shared" si="775"/>
        <v>| [ㄧˋ](ㄧˋ.md) | [圛](圛.md) |  | yì | [動]
紆迴行走。《說文解字．囗部》：「圛，回行也。」
[形]
雲氣稀疏連綿的樣子。《說文解字．囗部》：「〈商書〉曰圛，圛者，升雲半有半無。」 |</v>
      </c>
    </row>
    <row r="12220" spans="1:44" hidden="1">
      <c r="A12220" s="1" t="s">
        <v>25157</v>
      </c>
      <c r="C12220" s="1">
        <v>1</v>
      </c>
      <c r="D12220" s="1" t="str">
        <f>"10668"</f>
        <v>10668</v>
      </c>
      <c r="E12220" s="1" t="s">
        <v>336</v>
      </c>
      <c r="F12220" s="1">
        <v>17</v>
      </c>
      <c r="G12220" s="1">
        <v>13</v>
      </c>
      <c r="H12220" s="1">
        <v>0</v>
      </c>
      <c r="I12220" s="1" t="s">
        <v>24977</v>
      </c>
      <c r="K12220" s="1" t="str">
        <f t="shared" si="776"/>
        <v>ㄧ</v>
      </c>
      <c r="M12220" s="1" t="str">
        <f t="shared" si="777"/>
        <v/>
      </c>
      <c r="N12220" s="3" t="s">
        <v>30574</v>
      </c>
      <c r="O12220" s="3"/>
      <c r="P12220" s="1" t="s">
        <v>20</v>
      </c>
      <c r="R12220" s="1" t="s">
        <v>24978</v>
      </c>
      <c r="V12220" s="1" t="s">
        <v>25158</v>
      </c>
      <c r="AR12220" s="1" t="str">
        <f t="shared" si="775"/>
        <v>| [ㄧˋ](ㄧˋ.md) | [燡](燡.md) |  | yì | [形]
1.火盛的樣子。《廣韻．入聲．昔韻》：「燡，火甚之貌。」
2.光明的樣子。《文選．王延壽．魯靈光殿賦》：「汨磑磑以璀璨，赫燡燡而爥坤。」 |</v>
      </c>
    </row>
    <row r="12221" spans="1:44" hidden="1">
      <c r="A12221" s="1" t="s">
        <v>5644</v>
      </c>
      <c r="C12221" s="1">
        <v>1</v>
      </c>
      <c r="D12221" s="1" t="str">
        <f>"10669"</f>
        <v>10669</v>
      </c>
      <c r="E12221" s="1" t="s">
        <v>426</v>
      </c>
      <c r="F12221" s="1">
        <v>17</v>
      </c>
      <c r="G12221" s="1">
        <v>13</v>
      </c>
      <c r="H12221" s="1">
        <v>1</v>
      </c>
      <c r="I12221" s="1" t="s">
        <v>24977</v>
      </c>
      <c r="K12221" s="1" t="str">
        <f t="shared" si="776"/>
        <v>ㄧ</v>
      </c>
      <c r="M12221" s="1" t="str">
        <f t="shared" si="777"/>
        <v/>
      </c>
      <c r="N12221" s="3" t="s">
        <v>30574</v>
      </c>
      <c r="O12221" s="3"/>
      <c r="P12221" s="1" t="s">
        <v>20</v>
      </c>
      <c r="R12221" s="1" t="s">
        <v>24978</v>
      </c>
      <c r="V12221" s="1" t="s">
        <v>25159</v>
      </c>
      <c r="W12221" s="1" t="s">
        <v>25160</v>
      </c>
      <c r="AR12221" s="1" t="str">
        <f t="shared" si="775"/>
        <v>| [ㄧˋ](ㄧˋ.md) | [斁](斁.md) |  | yì | [動]
厭倦、討厭。《詩經．魯頌．泮水》：「戎車孔博，徒御無斁。」晉．傅玄〈桑椹賦〉：「嘉味殊滋，食之無斁。」 |</v>
      </c>
    </row>
    <row r="12222" spans="1:44" hidden="1">
      <c r="A12222" s="1" t="s">
        <v>25161</v>
      </c>
      <c r="C12222" s="1">
        <v>1</v>
      </c>
      <c r="D12222" s="1" t="str">
        <f>"10670"</f>
        <v>10670</v>
      </c>
      <c r="E12222" s="1" t="s">
        <v>725</v>
      </c>
      <c r="F12222" s="1">
        <v>19</v>
      </c>
      <c r="G12222" s="1">
        <v>13</v>
      </c>
      <c r="H12222" s="1">
        <v>0</v>
      </c>
      <c r="I12222" s="1" t="s">
        <v>24977</v>
      </c>
      <c r="K12222" s="1" t="str">
        <f t="shared" si="776"/>
        <v>ㄧ</v>
      </c>
      <c r="M12222" s="1" t="str">
        <f t="shared" si="777"/>
        <v/>
      </c>
      <c r="N12222" s="3" t="s">
        <v>30574</v>
      </c>
      <c r="O12222" s="3"/>
      <c r="P12222" s="1" t="s">
        <v>20</v>
      </c>
      <c r="R12222" s="1" t="s">
        <v>24978</v>
      </c>
      <c r="V12222" s="1" t="s">
        <v>25162</v>
      </c>
      <c r="AR12222" s="1" t="str">
        <f t="shared" si="775"/>
        <v>| [ㄧˋ](ㄧˋ.md) | [繹](繹.md) |  | yì | [動]
1.抽引絲。《說文解字．糸部》：「繹，抽絲也。」
2.理出頭緒，推究事理。如：「尋繹」、「演繹」。《詩經．周頌．賚》：「敷時繹思，我徂維求定。」
3.陳述。《書經．君陳》：「庶言同則繹。」漢．孔安國．傳：「眾言同則陳而布之。」《禮記．射義》：「射之為言者繹也，或曰舍也。繹者，各繹己之志也。」
[副]
連續不斷。參見「絡繹」條。 |</v>
      </c>
    </row>
    <row r="12223" spans="1:44" hidden="1">
      <c r="A12223" s="1" t="s">
        <v>25163</v>
      </c>
      <c r="C12223" s="1">
        <v>1</v>
      </c>
      <c r="D12223" s="1" t="str">
        <f>"10671"</f>
        <v>10671</v>
      </c>
      <c r="E12223" s="1" t="s">
        <v>331</v>
      </c>
      <c r="F12223" s="1">
        <v>20</v>
      </c>
      <c r="G12223" s="1">
        <v>13</v>
      </c>
      <c r="H12223" s="1">
        <v>0</v>
      </c>
      <c r="I12223" s="1" t="s">
        <v>24977</v>
      </c>
      <c r="K12223" s="1" t="str">
        <f t="shared" si="776"/>
        <v>ㄧ</v>
      </c>
      <c r="M12223" s="1" t="str">
        <f t="shared" si="777"/>
        <v/>
      </c>
      <c r="N12223" s="3" t="s">
        <v>30574</v>
      </c>
      <c r="O12223" s="3"/>
      <c r="P12223" s="1" t="s">
        <v>20</v>
      </c>
      <c r="R12223" s="1" t="s">
        <v>24978</v>
      </c>
      <c r="V12223" s="1" t="s">
        <v>25164</v>
      </c>
      <c r="AR12223" s="1" t="str">
        <f t="shared" si="775"/>
        <v>| [ㄧˋ](ㄧˋ.md) | [譯](譯.md) |  | yì | [動]
1.將一種語言文字，轉換為另一種語言文字，使人易於瞭解。清．王念孫《廣雅疏證．卷三．釋詁》：「譯，見也。」疏證：「見者，著見之義，謂傳宣言語使相通曉也。」唐．白居易〈蘇州重元寺法華院石壁經碑文〉：「以華言唐文譯刻釋氏經典，自經品眾佛號以降字加金焉。」
2.解釋。《魏書．卷一一四．釋老志》：「後有天竺沙門曇柯迦羅入洛，宣譯戒律，中國誡律之始也。」唐．柳宗元〈天對〉：「盡邑以墊，孰譯彼夢？」 |</v>
      </c>
    </row>
    <row r="12224" spans="1:44" hidden="1">
      <c r="A12224" s="1" t="s">
        <v>25165</v>
      </c>
      <c r="C12224" s="1">
        <v>1</v>
      </c>
      <c r="D12224" s="1" t="str">
        <f>"10672"</f>
        <v>10672</v>
      </c>
      <c r="E12224" s="1" t="s">
        <v>1462</v>
      </c>
      <c r="F12224" s="1">
        <v>20</v>
      </c>
      <c r="G12224" s="1">
        <v>13</v>
      </c>
      <c r="H12224" s="1">
        <v>0</v>
      </c>
      <c r="I12224" s="1" t="s">
        <v>24977</v>
      </c>
      <c r="K12224" s="1" t="str">
        <f t="shared" si="776"/>
        <v>ㄧ</v>
      </c>
      <c r="M12224" s="1" t="str">
        <f t="shared" si="777"/>
        <v/>
      </c>
      <c r="N12224" s="3" t="s">
        <v>30574</v>
      </c>
      <c r="O12224" s="3"/>
      <c r="P12224" s="1" t="s">
        <v>20</v>
      </c>
      <c r="R12224" s="1" t="s">
        <v>24978</v>
      </c>
      <c r="V12224" s="1" t="s">
        <v>25166</v>
      </c>
      <c r="AR12224" s="1" t="str">
        <f t="shared" si="775"/>
        <v>| [ㄧˋ](ㄧˋ.md) | [醳](醳.md) |  | yì | [名]
醇酒。《集韻．入聲．昔韻》：「醳，醇酒也。」《梁書．卷八．昭明太子傳》：「摛文掞藻，飛觴汎醳。」
[動]
賞賜酒食。《史記．卷九二．淮陰侯傳》：「百里之內，牛酒日至，以饗士大夫醳兵。」唐．司馬貞．索隱：「醳酒，謂以酒食養兵士也。」 |</v>
      </c>
    </row>
    <row r="12225" spans="1:44" hidden="1">
      <c r="A12225" s="1" t="s">
        <v>25167</v>
      </c>
      <c r="C12225" s="1">
        <v>1</v>
      </c>
      <c r="D12225" s="1" t="str">
        <f>"10673"</f>
        <v>10673</v>
      </c>
      <c r="E12225" s="1" t="s">
        <v>319</v>
      </c>
      <c r="F12225" s="1">
        <v>23</v>
      </c>
      <c r="G12225" s="1">
        <v>13</v>
      </c>
      <c r="H12225" s="1">
        <v>0</v>
      </c>
      <c r="I12225" s="1" t="s">
        <v>24977</v>
      </c>
      <c r="K12225" s="1" t="str">
        <f t="shared" si="776"/>
        <v>ㄧ</v>
      </c>
      <c r="M12225" s="1" t="str">
        <f t="shared" si="777"/>
        <v/>
      </c>
      <c r="N12225" s="3" t="s">
        <v>30574</v>
      </c>
      <c r="O12225" s="3"/>
      <c r="P12225" s="1" t="s">
        <v>20</v>
      </c>
      <c r="R12225" s="1" t="s">
        <v>24978</v>
      </c>
      <c r="V12225" s="1" t="s">
        <v>25168</v>
      </c>
      <c r="AR12225" s="1" t="str">
        <f t="shared" si="775"/>
        <v>| [ㄧˋ](ㄧˋ.md) | [驛](驛.md) |  | yì | [名]
1.古代供傳遞公文或官員來往使用的馬。唐．白居易〈寄隱者〉詩：「道逢馳驛者，色有非常懼。」
2.古代供傳送公文的人或往來官員換馬、暫時休息的地方。唐．岑參〈武威送劉單判官赴安西行營便呈高開府〉詩：「寒驛遠如點，邊烽互相望。」宋．陸游〈憶昔〉詩：「憶昔輕裝萬里行，水郵山驛不論程。」 |</v>
      </c>
    </row>
    <row r="12226" spans="1:44" hidden="1">
      <c r="A12226" s="1" t="s">
        <v>25169</v>
      </c>
      <c r="C12226" s="1">
        <v>1</v>
      </c>
      <c r="D12226" s="1" t="str">
        <f>"10674"</f>
        <v>10674</v>
      </c>
      <c r="E12226" s="1" t="s">
        <v>534</v>
      </c>
      <c r="F12226" s="1">
        <v>14</v>
      </c>
      <c r="G12226" s="1">
        <v>11</v>
      </c>
      <c r="H12226" s="1">
        <v>0</v>
      </c>
      <c r="I12226" s="1" t="s">
        <v>24977</v>
      </c>
      <c r="K12226" s="1" t="str">
        <f t="shared" si="776"/>
        <v>ㄧ</v>
      </c>
      <c r="M12226" s="1" t="str">
        <f t="shared" si="777"/>
        <v/>
      </c>
      <c r="N12226" s="3" t="s">
        <v>30574</v>
      </c>
      <c r="O12226" s="3"/>
      <c r="P12226" s="1" t="s">
        <v>20</v>
      </c>
      <c r="R12226" s="1" t="s">
        <v>24978</v>
      </c>
      <c r="V12226" s="1" t="s">
        <v>25170</v>
      </c>
      <c r="AR12226" s="1" t="str">
        <f t="shared" si="775"/>
        <v>| [ㄧˋ](ㄧˋ.md) | [嫕](嫕.md) |  | yì | [形]
柔順。《晉書．卷三一．后妃傳上．武悼楊皇后傳》：「婉嫕有婦德，美暎椒房，甚有寵。」 |</v>
      </c>
    </row>
    <row r="12227" spans="1:44" hidden="1">
      <c r="A12227" s="1" t="s">
        <v>25171</v>
      </c>
      <c r="C12227" s="1">
        <v>1</v>
      </c>
      <c r="D12227" s="1" t="str">
        <f>"10675"</f>
        <v>10675</v>
      </c>
      <c r="E12227" s="1" t="s">
        <v>1015</v>
      </c>
      <c r="F12227" s="1">
        <v>16</v>
      </c>
      <c r="G12227" s="1">
        <v>11</v>
      </c>
      <c r="H12227" s="1">
        <v>0</v>
      </c>
      <c r="I12227" s="1" t="s">
        <v>24977</v>
      </c>
      <c r="K12227" s="1" t="str">
        <f t="shared" si="776"/>
        <v>ㄧ</v>
      </c>
      <c r="M12227" s="1" t="str">
        <f t="shared" si="777"/>
        <v/>
      </c>
      <c r="N12227" s="3" t="s">
        <v>30574</v>
      </c>
      <c r="O12227" s="3"/>
      <c r="P12227" s="1" t="s">
        <v>20</v>
      </c>
      <c r="R12227" s="1" t="s">
        <v>24978</v>
      </c>
      <c r="V12227" s="1" t="s">
        <v>25172</v>
      </c>
      <c r="AR12227" s="1" t="str">
        <f t="shared" ref="AR12227:AR12290" si="778">"| ["&amp;I12227&amp;"]("&amp;I12227&amp;".md) | ["&amp;A12227&amp;"]("&amp;A12227&amp;".md) | "&amp;" | "&amp;R12227&amp;" | "&amp;V12227&amp;" |"</f>
        <v>| [ㄧˋ](ㄧˋ.md) | [瞖](瞖.md) |  | yì | [名]
一種眼珠為白膜所蒙蔽，以致無法看清東西的眼疾。《玉篇．目部》：「瞖，眼疾也。」宋．梅堯臣〈別張景嵩〉詩：「猶能洗君目，病瞖雲銷岑。」 |</v>
      </c>
    </row>
    <row r="12228" spans="1:44" hidden="1">
      <c r="A12228" s="1" t="s">
        <v>24792</v>
      </c>
      <c r="C12228" s="1">
        <v>1</v>
      </c>
      <c r="D12228" s="1" t="str">
        <f>"10676"</f>
        <v>10676</v>
      </c>
      <c r="E12228" s="1" t="s">
        <v>2271</v>
      </c>
      <c r="F12228" s="1">
        <v>17</v>
      </c>
      <c r="G12228" s="1">
        <v>11</v>
      </c>
      <c r="H12228" s="1">
        <v>1</v>
      </c>
      <c r="I12228" s="1" t="s">
        <v>24977</v>
      </c>
      <c r="K12228" s="1" t="str">
        <f t="shared" si="776"/>
        <v>ㄧ</v>
      </c>
      <c r="M12228" s="1" t="str">
        <f t="shared" si="777"/>
        <v/>
      </c>
      <c r="N12228" s="3" t="s">
        <v>30574</v>
      </c>
      <c r="O12228" s="3"/>
      <c r="P12228" s="1" t="s">
        <v>20</v>
      </c>
      <c r="R12228" s="1" t="s">
        <v>24978</v>
      </c>
      <c r="V12228" s="1" t="s">
        <v>25173</v>
      </c>
      <c r="W12228" s="1" t="s">
        <v>25174</v>
      </c>
      <c r="AR12228" s="1" t="str">
        <f t="shared" si="778"/>
        <v>| [ㄧˋ](ㄧˋ.md) | [翳](翳.md) |  | yì | [名]
1.用羽毛製成的車蓋。《說文解字．羽部》：「翳，華蓋也。」《晉書．卷二五．輿服志》：「戎車，駕四馬，天子親戎所乘者也。載金鼓、羽旗、幢翳。」
2.供作蔽覆的東西。《管子．小匡》：「九合諸侯，一匡天下，甲不解壘，兵不解翳。」唐．曹松〈碧角簟〉詩：「八尺碧天無點翳，一方青玉絕纖塵。」
3.一種瞳孔為白膜所蒙蔽，以致無法看清東西的眼疾。宋．蘇軾〈贈眼醫王生彥若〉詩：「運鍼如運斤，去翳如拆屋。」
[動]
1.隱藏、隱居。《文選．左思．詠史詩八首之七》：「陳平無產業，歸來翳負郭。」《三國志．卷一一．魏書．管寧傳》：「寧抱道懷貞，潛翳海隅。」
2.遮蔽。《楚辭．劉向．九歎．遠逝》：「阜隘狹而幽險兮，石嵾嵯以翳日。」唐．劉禹錫〈磨鏡篇〉：「流塵翳明鏡，歲久看如漆。」
3.摒棄。《國語．周語下》：「而又奪之資，以益其災，是去其藏而翳其人也。」《新唐書．卷一五六．李元諒傳》：「元諒培高浚淵，身執苦與士卒均，菑翳榛莽，闢美田數十里。」 |</v>
      </c>
    </row>
    <row r="12229" spans="1:44" hidden="1">
      <c r="A12229" s="1" t="s">
        <v>25175</v>
      </c>
      <c r="C12229" s="1">
        <v>1</v>
      </c>
      <c r="D12229" s="1" t="str">
        <f>"10677"</f>
        <v>10677</v>
      </c>
      <c r="E12229" s="1" t="s">
        <v>37</v>
      </c>
      <c r="F12229" s="1">
        <v>21</v>
      </c>
      <c r="G12229" s="1">
        <v>17</v>
      </c>
      <c r="H12229" s="1">
        <v>0</v>
      </c>
      <c r="I12229" s="1" t="s">
        <v>24977</v>
      </c>
      <c r="K12229" s="1" t="str">
        <f t="shared" si="776"/>
        <v>ㄧ</v>
      </c>
      <c r="M12229" s="1" t="str">
        <f t="shared" si="777"/>
        <v/>
      </c>
      <c r="N12229" s="3" t="s">
        <v>30574</v>
      </c>
      <c r="O12229" s="3"/>
      <c r="P12229" s="1" t="s">
        <v>20</v>
      </c>
      <c r="R12229" s="1" t="s">
        <v>24978</v>
      </c>
      <c r="V12229" s="1" t="s">
        <v>25176</v>
      </c>
      <c r="AR12229" s="1" t="str">
        <f t="shared" si="778"/>
        <v>| [ㄧˋ](ㄧˋ.md) | [蘙](蘙.md) |  | yì | [形]
草木茂盛的樣子。《集韻．去聲．霽韻》：「蘙，艸茂貌。」《文選．郭璞．江賦》：「標之以翠蘙，泛之以遊菰。」
[動]
遮蔽。宋．梅堯臣〈和石昌言學士官舍十題．葵花〉詩：「此心生不背朝日，肯信眾草能蘙之。」 |</v>
      </c>
    </row>
    <row r="12230" spans="1:44" hidden="1">
      <c r="A12230" s="1" t="s">
        <v>25177</v>
      </c>
      <c r="C12230" s="1">
        <v>1</v>
      </c>
      <c r="D12230" s="1" t="str">
        <f>"10678"</f>
        <v>10678</v>
      </c>
      <c r="E12230" s="1" t="s">
        <v>336</v>
      </c>
      <c r="F12230" s="1">
        <v>15</v>
      </c>
      <c r="G12230" s="1">
        <v>11</v>
      </c>
      <c r="H12230" s="1">
        <v>0</v>
      </c>
      <c r="I12230" s="1" t="s">
        <v>24977</v>
      </c>
      <c r="K12230" s="1" t="str">
        <f t="shared" si="776"/>
        <v>ㄧ</v>
      </c>
      <c r="M12230" s="1" t="str">
        <f t="shared" si="777"/>
        <v/>
      </c>
      <c r="N12230" s="3" t="s">
        <v>30574</v>
      </c>
      <c r="O12230" s="3"/>
      <c r="P12230" s="1" t="s">
        <v>20</v>
      </c>
      <c r="R12230" s="1" t="s">
        <v>24978</v>
      </c>
      <c r="V12230" s="1" t="s">
        <v>25178</v>
      </c>
      <c r="AR12230" s="1" t="str">
        <f t="shared" si="778"/>
        <v>| [ㄧˋ](ㄧˋ.md) | [熠](熠.md) |  | yì | [形]
光耀、明亮。《說文解字．火部》：「熠，盛光也。」如：「熠熤」、「繁星熠熠」。《詩經．豳風．東山》：「倉庚于飛，熠燿其羽。」漢．鄭玄．箋：「熠燿其羽，羽鮮明也。」 |</v>
      </c>
    </row>
    <row r="12231" spans="1:44" hidden="1">
      <c r="A12231" s="1" t="s">
        <v>25179</v>
      </c>
      <c r="C12231" s="1">
        <v>1</v>
      </c>
      <c r="D12231" s="1" t="str">
        <f>"10679"</f>
        <v>10679</v>
      </c>
      <c r="E12231" s="1" t="s">
        <v>5505</v>
      </c>
      <c r="F12231" s="1">
        <v>15</v>
      </c>
      <c r="G12231" s="1">
        <v>11</v>
      </c>
      <c r="H12231" s="1">
        <v>0</v>
      </c>
      <c r="I12231" s="1" t="s">
        <v>24977</v>
      </c>
      <c r="K12231" s="1" t="str">
        <f t="shared" si="776"/>
        <v>ㄧ</v>
      </c>
      <c r="M12231" s="1" t="str">
        <f t="shared" si="777"/>
        <v/>
      </c>
      <c r="N12231" s="3" t="s">
        <v>30574</v>
      </c>
      <c r="O12231" s="3"/>
      <c r="P12231" s="1" t="s">
        <v>20</v>
      </c>
      <c r="R12231" s="1" t="s">
        <v>24978</v>
      </c>
      <c r="V12231" s="1" t="s">
        <v>25180</v>
      </c>
      <c r="AR12231" s="1" t="str">
        <f t="shared" si="778"/>
        <v>| [ㄧˋ](ㄧˋ.md) | [毅](毅.md) |  | yì | [形]
1.堅定、果決。《說文解字．殳部》：「毅，有決也。」如：「剛毅」、「果毅」。《論語．泰伯》：「士不可以不弘毅，任重而道遠。」三國魏．何晏．集解：「毅，強而能斷也。」
2.嚴厲。《韓非子．內儲說上》：「子貢曰：『棄灰之罪輕，斷手之罰重，古人何太毅也？』」《新唐書．卷一二四．宋璟傳》：「歷杭、相二州，政清毅，吏下無敢犯者。」 |</v>
      </c>
    </row>
    <row r="12232" spans="1:44" hidden="1">
      <c r="A12232" s="1" t="s">
        <v>25181</v>
      </c>
      <c r="C12232" s="1">
        <v>1</v>
      </c>
      <c r="D12232" s="1" t="str">
        <f>"10680"</f>
        <v>10680</v>
      </c>
      <c r="E12232" s="1" t="s">
        <v>37</v>
      </c>
      <c r="F12232" s="1">
        <v>19</v>
      </c>
      <c r="G12232" s="1">
        <v>15</v>
      </c>
      <c r="H12232" s="1">
        <v>0</v>
      </c>
      <c r="I12232" s="1" t="s">
        <v>24977</v>
      </c>
      <c r="K12232" s="1" t="str">
        <f t="shared" si="776"/>
        <v>ㄧ</v>
      </c>
      <c r="M12232" s="1" t="str">
        <f t="shared" si="777"/>
        <v/>
      </c>
      <c r="N12232" s="3" t="s">
        <v>30574</v>
      </c>
      <c r="O12232" s="3"/>
      <c r="P12232" s="1" t="s">
        <v>20</v>
      </c>
      <c r="R12232" s="1" t="s">
        <v>24978</v>
      </c>
      <c r="V12232" s="1" t="s">
        <v>25182</v>
      </c>
      <c r="AR12232" s="1" t="str">
        <f t="shared" si="778"/>
        <v>| [ㄧˋ](ㄧˋ.md) | [藙](藙.md) |  | yì | [名]
芸香科「食茱萸」，即「茱萸」之果實，用為辛香料，可入藥。明．李時珍《本草綱目．卷三二．果部．食茱萸》：「時珍曰：『此即欓子也。蜀人呼為艾子，楚人呼為辣子，古人謂之藙及樧子。』」也稱為「紅刺蔥」。 |</v>
      </c>
    </row>
    <row r="12233" spans="1:44" hidden="1">
      <c r="A12233" s="1" t="s">
        <v>24887</v>
      </c>
      <c r="C12233" s="1">
        <v>1</v>
      </c>
      <c r="D12233" s="1" t="str">
        <f>"10681"</f>
        <v>10681</v>
      </c>
      <c r="E12233" s="1" t="s">
        <v>331</v>
      </c>
      <c r="F12233" s="1">
        <v>15</v>
      </c>
      <c r="G12233" s="1">
        <v>8</v>
      </c>
      <c r="H12233" s="1">
        <v>1</v>
      </c>
      <c r="I12233" s="1" t="s">
        <v>24977</v>
      </c>
      <c r="K12233" s="1" t="str">
        <f t="shared" si="776"/>
        <v>ㄧ</v>
      </c>
      <c r="M12233" s="1" t="str">
        <f t="shared" si="777"/>
        <v/>
      </c>
      <c r="N12233" s="3" t="s">
        <v>30574</v>
      </c>
      <c r="O12233" s="3"/>
      <c r="P12233" s="1" t="s">
        <v>20</v>
      </c>
      <c r="R12233" s="1" t="s">
        <v>24978</v>
      </c>
      <c r="V12233" s="1" t="s">
        <v>25183</v>
      </c>
      <c r="W12233" s="1" t="s">
        <v>25184</v>
      </c>
      <c r="AR12233" s="1" t="str">
        <f t="shared" si="778"/>
        <v>| [ㄧˋ](ㄧˋ.md) | [誼](誼.md) |  | yì | [名]
1.應有的道理或原則。通「義」。《漢書．卷三三．魏豹傳》：「其誼必立魏王後乃可。」《文選．張衡．思玄賦》：「願竭力以守誼兮，雖貧窮而不改。」
2.交情。如：「友誼」、「鄉誼」、「深情厚誼」。南朝梁．江淹〈傷友人賦〉：「余結誼兮梁門，復從官兮朱藩。」
[動]
評論是非。通「議」。《漢書．卷五六．董仲舒傳》：「故舉賢良方正之士，論誼考問。」 |</v>
      </c>
    </row>
    <row r="12234" spans="1:44" hidden="1">
      <c r="A12234" s="1" t="s">
        <v>25185</v>
      </c>
      <c r="C12234" s="1">
        <v>1</v>
      </c>
      <c r="D12234" s="1" t="str">
        <f>"10682"</f>
        <v>10682</v>
      </c>
      <c r="E12234" s="1" t="s">
        <v>40</v>
      </c>
      <c r="F12234" s="1">
        <v>15</v>
      </c>
      <c r="G12234" s="1">
        <v>10</v>
      </c>
      <c r="H12234" s="1">
        <v>0</v>
      </c>
      <c r="I12234" s="1" t="s">
        <v>24977</v>
      </c>
      <c r="K12234" s="1" t="str">
        <f t="shared" si="776"/>
        <v>ㄧ</v>
      </c>
      <c r="M12234" s="1" t="str">
        <f t="shared" si="777"/>
        <v/>
      </c>
      <c r="N12234" s="3" t="s">
        <v>30574</v>
      </c>
      <c r="O12234" s="3"/>
      <c r="P12234" s="1" t="s">
        <v>20</v>
      </c>
      <c r="R12234" s="1" t="s">
        <v>24978</v>
      </c>
      <c r="V12234" s="1" t="s">
        <v>25186</v>
      </c>
      <c r="AR12234" s="1" t="str">
        <f t="shared" si="778"/>
        <v>| [ㄧˋ](ㄧˋ.md) | [瘞](瘞.md) |  | yì | [動]
掩埋。唐．李洞〈斃驢〉詩：「蹇驢秋斃瘞荒田，忍把敲吟舊竹鞭。」《聊齋志異．卷九．愛奴》：「夫人未出閣時，便從服役，夭殂瘞此。」 |</v>
      </c>
    </row>
    <row r="12235" spans="1:44" hidden="1">
      <c r="A12235" s="1" t="s">
        <v>25187</v>
      </c>
      <c r="C12235" s="1">
        <v>1</v>
      </c>
      <c r="D12235" s="1" t="str">
        <f>"10683"</f>
        <v>10683</v>
      </c>
      <c r="E12235" s="1" t="s">
        <v>40</v>
      </c>
      <c r="F12235" s="1">
        <v>16</v>
      </c>
      <c r="G12235" s="1">
        <v>11</v>
      </c>
      <c r="H12235" s="1">
        <v>0</v>
      </c>
      <c r="I12235" s="1" t="s">
        <v>24977</v>
      </c>
      <c r="K12235" s="1" t="str">
        <f t="shared" si="776"/>
        <v>ㄧ</v>
      </c>
      <c r="M12235" s="1" t="str">
        <f t="shared" si="777"/>
        <v/>
      </c>
      <c r="N12235" s="3" t="s">
        <v>30574</v>
      </c>
      <c r="O12235" s="3"/>
      <c r="P12235" s="1" t="s">
        <v>20</v>
      </c>
      <c r="R12235" s="1" t="s">
        <v>24978</v>
      </c>
      <c r="V12235" s="1" t="s">
        <v>25188</v>
      </c>
      <c r="AR12235" s="1" t="str">
        <f t="shared" si="778"/>
        <v>| [ㄧˋ](ㄧˋ.md) | [瘱](瘱.md) |  | yì | [形]
1.文靜、柔順。《漢書．卷九七．外戚傳下．孝平王皇后傳》：「太后時年十八矣，為人婉瘱有節操。」
2.深邃。《文選．王襃．洞簫賦》：「其妙聲，則清靜厭瘱，順敘卑迖，若孝子之事父也。」 |</v>
      </c>
    </row>
    <row r="12236" spans="1:44" hidden="1">
      <c r="A12236" s="1" t="s">
        <v>25189</v>
      </c>
      <c r="C12236" s="1">
        <v>1</v>
      </c>
      <c r="D12236" s="1" t="str">
        <f>"10684"</f>
        <v>10684</v>
      </c>
      <c r="E12236" s="1" t="s">
        <v>1372</v>
      </c>
      <c r="F12236" s="1">
        <v>16</v>
      </c>
      <c r="G12236" s="1">
        <v>12</v>
      </c>
      <c r="H12236" s="1">
        <v>0</v>
      </c>
      <c r="I12236" s="1" t="s">
        <v>24977</v>
      </c>
      <c r="K12236" s="1" t="str">
        <f t="shared" si="776"/>
        <v>ㄧ</v>
      </c>
      <c r="M12236" s="1" t="str">
        <f t="shared" si="777"/>
        <v/>
      </c>
      <c r="N12236" s="3" t="s">
        <v>30574</v>
      </c>
      <c r="O12236" s="3"/>
      <c r="P12236" s="1" t="s">
        <v>20</v>
      </c>
      <c r="R12236" s="1" t="s">
        <v>24978</v>
      </c>
      <c r="V12236" s="1" t="s">
        <v>25190</v>
      </c>
      <c r="AR12236" s="1" t="str">
        <f t="shared" si="778"/>
        <v>| [ㄧˋ](ㄧˋ.md) | [殪](殪.md) |  | yì | [動]
1.死亡。《楚辭．屈原．九歌．國殤》：「凌余陣兮躐余行，左驂殪兮右刃傷。」
2.殺。《詩經．小雅．吉日》：「發彼小豝，殪此大兕。」《遼史．卷七七．耶律屋質傳》：「我戰不克，先殪此曹。」
3.盡、滅絕。《左傳．宣公六年》：「使疾其民，以盈其貫，將可殪也。」三國魏．劉廙〈謝劉表牋〉：「門戶殪滅，取笑明哲。」
4.仆倒、跌倒。《墨子．明鬼下》：「（杜伯）追周宣王，射之車上，中心折脊，殪車中，伏弢而死。」《後漢書．卷一．光武帝紀上》：「莽兵大潰，走者相騰踐，奔殪百餘里間。」 |</v>
      </c>
    </row>
    <row r="12237" spans="1:44" hidden="1">
      <c r="A12237" s="1" t="s">
        <v>25191</v>
      </c>
      <c r="C12237" s="1">
        <v>1</v>
      </c>
      <c r="D12237" s="1" t="str">
        <f>"10685"</f>
        <v>10685</v>
      </c>
      <c r="E12237" s="1" t="s">
        <v>646</v>
      </c>
      <c r="F12237" s="1">
        <v>16</v>
      </c>
      <c r="G12237" s="1">
        <v>12</v>
      </c>
      <c r="H12237" s="1">
        <v>0</v>
      </c>
      <c r="I12237" s="1" t="s">
        <v>24977</v>
      </c>
      <c r="K12237" s="1" t="str">
        <f t="shared" si="776"/>
        <v>ㄧ</v>
      </c>
      <c r="M12237" s="1" t="str">
        <f t="shared" si="777"/>
        <v/>
      </c>
      <c r="N12237" s="3" t="s">
        <v>30574</v>
      </c>
      <c r="O12237" s="3"/>
      <c r="P12237" s="1" t="s">
        <v>20</v>
      </c>
      <c r="R12237" s="1" t="s">
        <v>24978</v>
      </c>
      <c r="V12237" s="1" t="s">
        <v>25192</v>
      </c>
      <c r="AR12237" s="1" t="str">
        <f t="shared" si="778"/>
        <v>| [ㄧˋ](ㄧˋ.md) | [曀](曀.md) |  | yì | [形]
1.天色陰暗。《詩經．邶風．終風》：「終風且曀，不日有曀。」宋．陸游〈冬日感興十韻〉：「霧雨天昏曀，陂湖地阻深。」
2.泛指昏暗不明。《晉書．卷一九．禮志上》：「孔子自衛反魯，跡三代之典，垂百王之訓，時無明后，道曀不行。」 |</v>
      </c>
    </row>
    <row r="12238" spans="1:44" hidden="1">
      <c r="A12238" s="1" t="s">
        <v>25193</v>
      </c>
      <c r="C12238" s="1">
        <v>1</v>
      </c>
      <c r="D12238" s="1" t="str">
        <f>"10686"</f>
        <v>10686</v>
      </c>
      <c r="E12238" s="1" t="s">
        <v>52</v>
      </c>
      <c r="F12238" s="1">
        <v>19</v>
      </c>
      <c r="G12238" s="1">
        <v>12</v>
      </c>
      <c r="H12238" s="1">
        <v>0</v>
      </c>
      <c r="I12238" s="1" t="s">
        <v>24977</v>
      </c>
      <c r="K12238" s="1" t="str">
        <f t="shared" si="776"/>
        <v>ㄧ</v>
      </c>
      <c r="M12238" s="1" t="str">
        <f t="shared" si="777"/>
        <v/>
      </c>
      <c r="N12238" s="3" t="s">
        <v>30574</v>
      </c>
      <c r="O12238" s="3"/>
      <c r="P12238" s="1" t="s">
        <v>20</v>
      </c>
      <c r="R12238" s="1" t="s">
        <v>24978</v>
      </c>
      <c r="V12238" s="1" t="s">
        <v>25194</v>
      </c>
      <c r="AR12238" s="1" t="str">
        <f t="shared" si="778"/>
        <v>| [ㄧˋ](ㄧˋ.md) | [豷](豷.md) |  | yì | [動]
豬隻喘氣。《說文解字．豕部》：「豷，豕息也。」
[名]
人名。夏朝寒浞的兒子。《左傳．襄公四年》：「寒浞殺羿，因其室生子澆及豷。」 |</v>
      </c>
    </row>
    <row r="12239" spans="1:44" hidden="1">
      <c r="A12239" s="1" t="s">
        <v>25195</v>
      </c>
      <c r="C12239" s="1">
        <v>1</v>
      </c>
      <c r="D12239" s="1" t="str">
        <f>"10687"</f>
        <v>10687</v>
      </c>
      <c r="E12239" s="1" t="s">
        <v>193</v>
      </c>
      <c r="F12239" s="1">
        <v>20</v>
      </c>
      <c r="G12239" s="1">
        <v>12</v>
      </c>
      <c r="H12239" s="1">
        <v>0</v>
      </c>
      <c r="I12239" s="1" t="s">
        <v>24977</v>
      </c>
      <c r="K12239" s="1" t="str">
        <f t="shared" si="776"/>
        <v>ㄧ</v>
      </c>
      <c r="M12239" s="1" t="str">
        <f t="shared" si="777"/>
        <v/>
      </c>
      <c r="N12239" s="3" t="s">
        <v>30574</v>
      </c>
      <c r="O12239" s="3"/>
      <c r="P12239" s="1" t="s">
        <v>20</v>
      </c>
      <c r="R12239" s="1" t="s">
        <v>24978</v>
      </c>
      <c r="V12239" s="1" t="s">
        <v>25196</v>
      </c>
      <c r="AR12239" s="1" t="str">
        <f t="shared" si="778"/>
        <v>| [ㄧˋ](ㄧˋ.md) | [饐](饐.md) |  | yì | [動]
食物腐壞變味。漢．王充《論衡．商蟲》：「穀蟲曰蠱，蠱若蛾矣，粟米饐熱生蠱。」 |</v>
      </c>
    </row>
    <row r="12240" spans="1:44" hidden="1">
      <c r="A12240" s="1" t="s">
        <v>25197</v>
      </c>
      <c r="C12240" s="1">
        <v>1</v>
      </c>
      <c r="D12240" s="1" t="str">
        <f>"10688"</f>
        <v>10688</v>
      </c>
      <c r="E12240" s="1" t="s">
        <v>250</v>
      </c>
      <c r="F12240" s="1">
        <v>22</v>
      </c>
      <c r="G12240" s="1">
        <v>18</v>
      </c>
      <c r="H12240" s="1">
        <v>0</v>
      </c>
      <c r="I12240" s="1" t="s">
        <v>24977</v>
      </c>
      <c r="K12240" s="1" t="str">
        <f t="shared" si="776"/>
        <v>ㄧ</v>
      </c>
      <c r="M12240" s="1" t="str">
        <f t="shared" si="777"/>
        <v/>
      </c>
      <c r="N12240" s="3" t="s">
        <v>30574</v>
      </c>
      <c r="O12240" s="3"/>
      <c r="P12240" s="1" t="s">
        <v>20</v>
      </c>
      <c r="R12240" s="1" t="s">
        <v>24978</v>
      </c>
      <c r="V12240" s="1" t="s">
        <v>25198</v>
      </c>
      <c r="AR12240" s="1" t="str">
        <f t="shared" si="778"/>
        <v>| [ㄧˋ](ㄧˋ.md) | [懿](懿.md) |  | yì | [形]_x000D_
1.美好、美善的。《詩經．大雅．烝民》：「民之秉彞，好是懿德。」唐．白居易〈除裴度中書舍人制〉：「以茂學懿文，潤色訓詁，體要典麗，甚得其宜。」_x000D_
2.深。《詩經．豳風．七月》：「女執懿筐，遵彼微行，爰求柔桑。」漢．王延壽〈魯靈光殿賦〉：「屹鏗瞑以勿罔，屑黶翳以懿濞。」_x000D_
[動]_x000D_
稱頌、讚美。漢．班固〈幽通賦〉：「懿前烈之純淑兮，窮與達其必濟。」《新唐書．卷二〇五．列女列傳．于敏直妻張》：「高宗懿其行，賜物百段，以狀屬史官。」_x000D_
[歎]_x000D_
表示悲痛感嘆的語氣。通「噫」。《詩經．大雅．瞻卬》：「懿厥哲婦，為梟為鴟。」_x000D_
[名]_x000D_
《詩經．大雅》的篇名。通「抑」。參見「懿戒」條。 |</v>
      </c>
    </row>
    <row r="12241" spans="1:44" hidden="1">
      <c r="A12241" s="1" t="s">
        <v>25199</v>
      </c>
      <c r="C12241" s="1">
        <v>1</v>
      </c>
      <c r="D12241" s="1" t="str">
        <f>"10689"</f>
        <v>10689</v>
      </c>
      <c r="E12241" s="1" t="s">
        <v>272</v>
      </c>
      <c r="F12241" s="1">
        <v>23</v>
      </c>
      <c r="G12241" s="1">
        <v>12</v>
      </c>
      <c r="H12241" s="1">
        <v>0</v>
      </c>
      <c r="I12241" s="1" t="s">
        <v>24977</v>
      </c>
      <c r="K12241" s="1" t="str">
        <f t="shared" si="776"/>
        <v>ㄧ</v>
      </c>
      <c r="M12241" s="1" t="str">
        <f t="shared" si="777"/>
        <v/>
      </c>
      <c r="N12241" s="3" t="s">
        <v>30574</v>
      </c>
      <c r="O12241" s="3"/>
      <c r="P12241" s="1" t="s">
        <v>20</v>
      </c>
      <c r="R12241" s="1" t="s">
        <v>24978</v>
      </c>
      <c r="V12241" s="1" t="s">
        <v>25200</v>
      </c>
      <c r="AR12241" s="1" t="str">
        <f t="shared" si="778"/>
        <v>| [ㄧˋ](ㄧˋ.md) | [鷧](鷧.md) |  | yì | [名]
鶿鷧：動物名。鳥綱鵜形目。善潛水捕魚。也稱為「鸕鶿」。參見「鸕鶿」條。 |</v>
      </c>
    </row>
    <row r="12242" spans="1:44" hidden="1">
      <c r="A12242" s="1" t="s">
        <v>25201</v>
      </c>
      <c r="C12242" s="1">
        <v>1</v>
      </c>
      <c r="D12242" s="1" t="str">
        <f>"10690"</f>
        <v>10690</v>
      </c>
      <c r="E12242" s="1" t="s">
        <v>185</v>
      </c>
      <c r="F12242" s="1">
        <v>16</v>
      </c>
      <c r="G12242" s="1">
        <v>14</v>
      </c>
      <c r="H12242" s="1">
        <v>0</v>
      </c>
      <c r="I12242" s="1" t="s">
        <v>24977</v>
      </c>
      <c r="K12242" s="1" t="str">
        <f t="shared" si="776"/>
        <v>ㄧ</v>
      </c>
      <c r="M12242" s="1" t="str">
        <f t="shared" si="777"/>
        <v/>
      </c>
      <c r="N12242" s="3" t="s">
        <v>30574</v>
      </c>
      <c r="O12242" s="3"/>
      <c r="P12242" s="1" t="s">
        <v>20</v>
      </c>
      <c r="R12242" s="1" t="s">
        <v>24978</v>
      </c>
      <c r="V12242" s="1" t="s">
        <v>25202</v>
      </c>
      <c r="AR12242" s="1" t="str">
        <f t="shared" si="778"/>
        <v>| [ㄧˋ](ㄧˋ.md) | [劓](劓.md) |  | yì | [動]
1.古代割去鼻子的刑罰。《戰國策．楚策》：「王曰：『悍哉！』令劓之，無使逆命。」《新唐書．卷二一六．吐蕃傳上》：「其刑，雖小罪必抉目，或刖、劓。」
2.比喻鏟除、去除。《北史．卷一二．隋恭帝本紀》：「誅鋤骨肉，屠劓忠良。」明．無名氏《運甓記》第三九齣：「奸雄既劓，跨荊湘榮專一隅。」 |</v>
      </c>
    </row>
    <row r="12243" spans="1:44" hidden="1">
      <c r="A12243" s="1" t="s">
        <v>25203</v>
      </c>
      <c r="C12243" s="1">
        <v>1</v>
      </c>
      <c r="D12243" s="1" t="str">
        <f>"10691"</f>
        <v>10691</v>
      </c>
      <c r="E12243" s="1" t="s">
        <v>624</v>
      </c>
      <c r="F12243" s="1">
        <v>17</v>
      </c>
      <c r="G12243" s="1">
        <v>14</v>
      </c>
      <c r="H12243" s="1">
        <v>0</v>
      </c>
      <c r="I12243" s="1" t="s">
        <v>24977</v>
      </c>
      <c r="K12243" s="1" t="str">
        <f t="shared" si="776"/>
        <v>ㄧ</v>
      </c>
      <c r="M12243" s="1" t="str">
        <f t="shared" si="777"/>
        <v/>
      </c>
      <c r="N12243" s="3" t="s">
        <v>30574</v>
      </c>
      <c r="O12243" s="3"/>
      <c r="P12243" s="1" t="s">
        <v>20</v>
      </c>
      <c r="R12243" s="1" t="s">
        <v>24978</v>
      </c>
      <c r="V12243" s="1" t="s">
        <v>25204</v>
      </c>
      <c r="AR12243" s="1" t="str">
        <f t="shared" si="778"/>
        <v>| [ㄧˋ](ㄧˋ.md) | [寱](寱.md) |  | yì | [動]
說夢話。《說文解字．㝱部》：「寱，瞑言。」 |</v>
      </c>
    </row>
    <row r="12244" spans="1:44" hidden="1">
      <c r="A12244" s="1" t="s">
        <v>25205</v>
      </c>
      <c r="C12244" s="1">
        <v>1</v>
      </c>
      <c r="D12244" s="1" t="str">
        <f>"10692"</f>
        <v>10692</v>
      </c>
      <c r="E12244" s="1" t="s">
        <v>1274</v>
      </c>
      <c r="F12244" s="1">
        <v>19</v>
      </c>
      <c r="G12244" s="1">
        <v>14</v>
      </c>
      <c r="H12244" s="1">
        <v>0</v>
      </c>
      <c r="I12244" s="1" t="s">
        <v>24977</v>
      </c>
      <c r="K12244" s="1" t="str">
        <f t="shared" si="776"/>
        <v>ㄧ</v>
      </c>
      <c r="M12244" s="1" t="str">
        <f t="shared" si="777"/>
        <v/>
      </c>
      <c r="N12244" s="3" t="s">
        <v>30574</v>
      </c>
      <c r="O12244" s="3"/>
      <c r="P12244" s="1" t="s">
        <v>20</v>
      </c>
      <c r="R12244" s="1" t="s">
        <v>24978</v>
      </c>
      <c r="V12244" s="1" t="s">
        <v>25206</v>
      </c>
      <c r="AR12244" s="1" t="str">
        <f t="shared" si="778"/>
        <v>| [ㄧˋ](ㄧˋ.md) | [䆿](䆿.md) |  | yì | [名]
夢話。《廣韻．去聲．祭韻》：「䆿，睡語。」 |</v>
      </c>
    </row>
    <row r="12245" spans="1:44" hidden="1">
      <c r="A12245" s="1" t="s">
        <v>25207</v>
      </c>
      <c r="C12245" s="1">
        <v>1</v>
      </c>
      <c r="D12245" s="1" t="str">
        <f>"10693"</f>
        <v>10693</v>
      </c>
      <c r="E12245" s="1" t="s">
        <v>272</v>
      </c>
      <c r="F12245" s="1">
        <v>19</v>
      </c>
      <c r="G12245" s="1">
        <v>8</v>
      </c>
      <c r="H12245" s="1">
        <v>0</v>
      </c>
      <c r="I12245" s="1" t="s">
        <v>24977</v>
      </c>
      <c r="K12245" s="1" t="str">
        <f t="shared" si="776"/>
        <v>ㄧ</v>
      </c>
      <c r="M12245" s="1" t="str">
        <f t="shared" si="777"/>
        <v/>
      </c>
      <c r="N12245" s="3" t="s">
        <v>30574</v>
      </c>
      <c r="O12245" s="3"/>
      <c r="P12245" s="1" t="s">
        <v>20</v>
      </c>
      <c r="R12245" s="1" t="s">
        <v>24978</v>
      </c>
      <c r="V12245" s="1" t="s">
        <v>25208</v>
      </c>
      <c r="AR12245" s="1" t="str">
        <f t="shared" si="778"/>
        <v>| [ㄧˋ](ㄧˋ.md) | [鶂](鶂.md) |  | yì | [名]
一種水鳥。《玉篇．鳥部》：「鶂，水鳥，善高飛。」 |</v>
      </c>
    </row>
    <row r="12246" spans="1:44" hidden="1">
      <c r="A12246" s="1" t="s">
        <v>25209</v>
      </c>
      <c r="C12246" s="1">
        <v>1</v>
      </c>
      <c r="D12246" s="1" t="str">
        <f>"10694"</f>
        <v>10694</v>
      </c>
      <c r="E12246" s="1" t="s">
        <v>272</v>
      </c>
      <c r="F12246" s="1">
        <v>21</v>
      </c>
      <c r="G12246" s="1">
        <v>10</v>
      </c>
      <c r="H12246" s="1">
        <v>0</v>
      </c>
      <c r="I12246" s="1" t="s">
        <v>24977</v>
      </c>
      <c r="K12246" s="1" t="str">
        <f t="shared" si="776"/>
        <v>ㄧ</v>
      </c>
      <c r="M12246" s="1" t="str">
        <f t="shared" si="777"/>
        <v/>
      </c>
      <c r="N12246" s="3" t="s">
        <v>30574</v>
      </c>
      <c r="O12246" s="3"/>
      <c r="P12246" s="1" t="s">
        <v>20</v>
      </c>
      <c r="R12246" s="1" t="s">
        <v>24978</v>
      </c>
      <c r="V12246" s="1" t="s">
        <v>25210</v>
      </c>
      <c r="AR12246" s="1" t="str">
        <f t="shared" si="778"/>
        <v>| [ㄧˋ](ㄧˋ.md) | [鷊](鷊.md) |  | yì | [名]
雞形目吐綬雞科兩種鳥類的統稱。俗稱為「火雞」。體高三尺餘。羽色隨品種而異，頭部有瘤疣。雄者喉下垂紅色肉瓣，會發出咕嘍的聲音。今臺灣及大陸地區閩、粵等省多飼以供肉食用。也稱為「吐綬雞」。 |</v>
      </c>
    </row>
    <row r="12247" spans="1:44" hidden="1">
      <c r="A12247" s="1" t="s">
        <v>24827</v>
      </c>
      <c r="C12247" s="1">
        <v>1</v>
      </c>
      <c r="D12247" s="1" t="str">
        <f>"10509"</f>
        <v>10509</v>
      </c>
      <c r="E12247" s="1" t="s">
        <v>3892</v>
      </c>
      <c r="F12247" s="1">
        <v>5</v>
      </c>
      <c r="G12247" s="1">
        <v>3</v>
      </c>
      <c r="H12247" s="1">
        <v>0</v>
      </c>
      <c r="I12247" s="1" t="s">
        <v>24828</v>
      </c>
      <c r="K12247" s="1" t="str">
        <f t="shared" si="776"/>
        <v>ㄧ</v>
      </c>
      <c r="M12247" s="1" t="str">
        <f t="shared" si="777"/>
        <v/>
      </c>
      <c r="N12247" s="3" t="s">
        <v>30575</v>
      </c>
      <c r="O12247" s="3"/>
      <c r="P12247" s="1" t="s">
        <v>20</v>
      </c>
      <c r="R12247" s="1" t="s">
        <v>24829</v>
      </c>
      <c r="V12247" s="1" t="s">
        <v>24830</v>
      </c>
      <c r="AR12247" s="1" t="str">
        <f t="shared" si="778"/>
        <v>| [ㄧˊ](ㄧˊ.md) | [匜](匜.md) |  | yí | [名]
古代一種盛水或酒的器皿。《左傳．僖公二十三年》：「奉匜沃盥，既而揮之。」宋．無名氏〈西江月．風雨朝來惡甚〉詞：「酒滿蟻浮金匜，燭殘淚滴銅荷。」 |</v>
      </c>
    </row>
    <row r="12248" spans="1:44" hidden="1">
      <c r="A12248" s="1" t="s">
        <v>20533</v>
      </c>
      <c r="C12248" s="1">
        <v>1</v>
      </c>
      <c r="D12248" s="1" t="str">
        <f>"10510"</f>
        <v>10510</v>
      </c>
      <c r="E12248" s="1" t="s">
        <v>800</v>
      </c>
      <c r="F12248" s="1">
        <v>9</v>
      </c>
      <c r="G12248" s="1">
        <v>5</v>
      </c>
      <c r="H12248" s="1">
        <v>3</v>
      </c>
      <c r="I12248" s="1" t="s">
        <v>24828</v>
      </c>
      <c r="K12248" s="1" t="str">
        <f t="shared" si="776"/>
        <v>ㄧ</v>
      </c>
      <c r="M12248" s="1" t="str">
        <f t="shared" si="777"/>
        <v/>
      </c>
      <c r="N12248" s="3" t="s">
        <v>30575</v>
      </c>
      <c r="O12248" s="3"/>
      <c r="P12248" s="1" t="s">
        <v>20</v>
      </c>
      <c r="R12248" s="1" t="s">
        <v>24829</v>
      </c>
      <c r="V12248" s="1" t="s">
        <v>24831</v>
      </c>
      <c r="W12248" s="1" t="s">
        <v>24832</v>
      </c>
      <c r="AR12248" s="1" t="str">
        <f t="shared" si="778"/>
        <v>| [ㄧˊ](ㄧˊ.md) | [施](施.md) |  | yí | [副]
1.斜的古字。即斜行，迂迴曲折著走路。《孟子．離婁下》：「蚤起，施從良人之所之，遍國中無與立談者。」漢．趙岐．注：「施者，邪施而行，不欲使良人覺也。」
2.參見「施施」條。 |</v>
      </c>
    </row>
    <row r="12249" spans="1:44" hidden="1">
      <c r="A12249" s="1" t="s">
        <v>24833</v>
      </c>
      <c r="C12249" s="1">
        <v>1</v>
      </c>
      <c r="D12249" s="1" t="str">
        <f>"10511"</f>
        <v>10511</v>
      </c>
      <c r="E12249" s="1" t="s">
        <v>558</v>
      </c>
      <c r="F12249" s="1">
        <v>7</v>
      </c>
      <c r="G12249" s="1">
        <v>3</v>
      </c>
      <c r="H12249" s="1">
        <v>2</v>
      </c>
      <c r="I12249" s="1" t="s">
        <v>24828</v>
      </c>
      <c r="K12249" s="1" t="str">
        <f t="shared" si="776"/>
        <v>ㄧ</v>
      </c>
      <c r="M12249" s="1" t="str">
        <f t="shared" si="777"/>
        <v/>
      </c>
      <c r="N12249" s="3" t="s">
        <v>30575</v>
      </c>
      <c r="O12249" s="3"/>
      <c r="P12249" s="1" t="s">
        <v>20</v>
      </c>
      <c r="R12249" s="1" t="s">
        <v>24829</v>
      </c>
      <c r="V12249" s="1" t="s">
        <v>24834</v>
      </c>
      <c r="W12249" s="1" t="s">
        <v>24835</v>
      </c>
      <c r="AR12249" s="1" t="str">
        <f t="shared" si="778"/>
        <v>| [ㄧˊ](ㄧˊ.md) | [迆](迆.md) |  | yí | 參見「逶迆」條。 |</v>
      </c>
    </row>
    <row r="12250" spans="1:44" hidden="1">
      <c r="A12250" s="1" t="s">
        <v>24836</v>
      </c>
      <c r="C12250" s="1">
        <v>1</v>
      </c>
      <c r="D12250" s="1" t="str">
        <f>"10511A"</f>
        <v>10511A</v>
      </c>
      <c r="E12250" s="1" t="s">
        <v>558</v>
      </c>
      <c r="F12250" s="1">
        <v>9</v>
      </c>
      <c r="G12250" s="1">
        <v>5</v>
      </c>
      <c r="H12250" s="1">
        <v>1</v>
      </c>
      <c r="I12250" s="1" t="s">
        <v>24828</v>
      </c>
      <c r="K12250" s="1" t="str">
        <f t="shared" si="776"/>
        <v>ㄧ</v>
      </c>
      <c r="M12250" s="1" t="str">
        <f t="shared" si="777"/>
        <v/>
      </c>
      <c r="N12250" s="3" t="s">
        <v>30575</v>
      </c>
      <c r="O12250" s="3"/>
      <c r="P12250" s="1" t="s">
        <v>20</v>
      </c>
      <c r="R12250" s="1" t="s">
        <v>24829</v>
      </c>
      <c r="V12250" s="1" t="s">
        <v>24837</v>
      </c>
      <c r="W12250" s="1" t="s">
        <v>24838</v>
      </c>
      <c r="AR12250" s="1" t="str">
        <f t="shared" si="778"/>
        <v>| [ㄧˊ](ㄧˊ.md) | [迤](迤.md) |  | yí | 參見「逶迤」條。 |</v>
      </c>
    </row>
    <row r="12251" spans="1:44" hidden="1">
      <c r="A12251" s="1" t="s">
        <v>24839</v>
      </c>
      <c r="C12251" s="1">
        <v>1</v>
      </c>
      <c r="D12251" s="1" t="str">
        <f>"10512"</f>
        <v>10512</v>
      </c>
      <c r="E12251" s="1" t="s">
        <v>340</v>
      </c>
      <c r="F12251" s="1">
        <v>9</v>
      </c>
      <c r="G12251" s="1">
        <v>3</v>
      </c>
      <c r="H12251" s="1">
        <v>0</v>
      </c>
      <c r="I12251" s="1" t="s">
        <v>24828</v>
      </c>
      <c r="K12251" s="1" t="str">
        <f t="shared" si="776"/>
        <v>ㄧ</v>
      </c>
      <c r="M12251" s="1" t="str">
        <f t="shared" si="777"/>
        <v/>
      </c>
      <c r="N12251" s="3" t="s">
        <v>30575</v>
      </c>
      <c r="O12251" s="3"/>
      <c r="P12251" s="1" t="s">
        <v>20</v>
      </c>
      <c r="R12251" s="1" t="s">
        <v>24829</v>
      </c>
      <c r="V12251" s="1" t="s">
        <v>24840</v>
      </c>
      <c r="AR12251" s="1" t="str">
        <f t="shared" si="778"/>
        <v>| [ㄧˊ](ㄧˊ.md) | [衪](衪.md) |  | yí | [名]
1.衣袖。清．王念孫《廣雅疏證．卷七下．釋器》：「衪，袖也。」《漢書．卷五七．司馬相如傳上》：「衯衯裶裶，揚衪戌削。」顏師古注引張揖曰：「衪，衣袖也。」
2.衣服下擺的邊緣。《玉篇．衣部》：「衪，緣也。」《集韻．上聲．紙韻》：「衪，衣緣也。」 |</v>
      </c>
    </row>
    <row r="12252" spans="1:44" hidden="1">
      <c r="A12252" s="1" t="s">
        <v>24841</v>
      </c>
      <c r="C12252" s="1">
        <v>1</v>
      </c>
      <c r="D12252" s="1" t="str">
        <f>"10513"</f>
        <v>10513</v>
      </c>
      <c r="E12252" s="1" t="s">
        <v>331</v>
      </c>
      <c r="F12252" s="1">
        <v>10</v>
      </c>
      <c r="G12252" s="1">
        <v>3</v>
      </c>
      <c r="H12252" s="1">
        <v>0</v>
      </c>
      <c r="I12252" s="1" t="s">
        <v>24828</v>
      </c>
      <c r="K12252" s="1" t="str">
        <f t="shared" si="776"/>
        <v>ㄧ</v>
      </c>
      <c r="M12252" s="1" t="str">
        <f t="shared" si="777"/>
        <v/>
      </c>
      <c r="N12252" s="3" t="s">
        <v>30575</v>
      </c>
      <c r="O12252" s="3"/>
      <c r="P12252" s="1" t="s">
        <v>20</v>
      </c>
      <c r="R12252" s="1" t="s">
        <v>24829</v>
      </c>
      <c r="V12252" s="1" t="s">
        <v>24842</v>
      </c>
      <c r="AR12252" s="1" t="str">
        <f t="shared" si="778"/>
        <v>| [ㄧˊ](ㄧˊ.md) | [訑](訑.md) |  | yí | 參見「訑謾」、「訑訑」等條。 |</v>
      </c>
    </row>
    <row r="12253" spans="1:44" hidden="1">
      <c r="A12253" s="1" t="s">
        <v>24843</v>
      </c>
      <c r="C12253" s="1">
        <v>1</v>
      </c>
      <c r="D12253" s="1" t="str">
        <f>"10514"</f>
        <v>10514</v>
      </c>
      <c r="E12253" s="1" t="s">
        <v>1462</v>
      </c>
      <c r="F12253" s="1">
        <v>10</v>
      </c>
      <c r="G12253" s="1">
        <v>3</v>
      </c>
      <c r="H12253" s="1">
        <v>0</v>
      </c>
      <c r="I12253" s="1" t="s">
        <v>24828</v>
      </c>
      <c r="K12253" s="1" t="str">
        <f t="shared" si="776"/>
        <v>ㄧ</v>
      </c>
      <c r="M12253" s="1" t="str">
        <f t="shared" si="777"/>
        <v/>
      </c>
      <c r="N12253" s="3" t="s">
        <v>30575</v>
      </c>
      <c r="O12253" s="3"/>
      <c r="P12253" s="1" t="s">
        <v>20</v>
      </c>
      <c r="R12253" s="1" t="s">
        <v>24829</v>
      </c>
      <c r="V12253" s="1" t="s">
        <v>24844</v>
      </c>
      <c r="AR12253" s="1" t="str">
        <f t="shared" si="778"/>
        <v>| [ㄧˊ](ㄧˊ.md) | [酏](酏.md) |  | yí | [名]
薄粥。《周禮．天官．酒正》：「辨四飲之物，一曰清，二曰醫，三曰漿，四曰酏。」漢．鄭玄．注：「酏，今之粥。」南朝梁．簡文帝〈停省婦見令〉：「敬進酏醴，已傳婦事之則。」 |</v>
      </c>
    </row>
    <row r="12254" spans="1:44" hidden="1">
      <c r="A12254" s="1" t="s">
        <v>24845</v>
      </c>
      <c r="C12254" s="1">
        <v>1</v>
      </c>
      <c r="D12254" s="1" t="str">
        <f>"10515"</f>
        <v>10515</v>
      </c>
      <c r="E12254" s="1" t="s">
        <v>505</v>
      </c>
      <c r="F12254" s="1">
        <v>10</v>
      </c>
      <c r="G12254" s="1">
        <v>3</v>
      </c>
      <c r="H12254" s="1">
        <v>0</v>
      </c>
      <c r="I12254" s="1" t="s">
        <v>24828</v>
      </c>
      <c r="K12254" s="1" t="str">
        <f t="shared" si="776"/>
        <v>ㄧ</v>
      </c>
      <c r="M12254" s="1" t="str">
        <f t="shared" si="777"/>
        <v/>
      </c>
      <c r="N12254" s="3" t="s">
        <v>30575</v>
      </c>
      <c r="O12254" s="3"/>
      <c r="P12254" s="1" t="s">
        <v>20</v>
      </c>
      <c r="R12254" s="1" t="s">
        <v>24829</v>
      </c>
      <c r="V12254" s="1" t="s">
        <v>24846</v>
      </c>
      <c r="AR12254" s="1" t="str">
        <f t="shared" si="778"/>
        <v>| [ㄧˊ](ㄧˊ.md) | [貤](貤.md) |  | yí | [動]
轉移。參見「貤封」、「貤贈」等條。 |</v>
      </c>
    </row>
    <row r="12255" spans="1:44" hidden="1">
      <c r="A12255" s="1" t="s">
        <v>24847</v>
      </c>
      <c r="C12255" s="1">
        <v>1</v>
      </c>
      <c r="D12255" s="1" t="str">
        <f>"10516"</f>
        <v>10516</v>
      </c>
      <c r="E12255" s="1" t="s">
        <v>139</v>
      </c>
      <c r="F12255" s="1">
        <v>13</v>
      </c>
      <c r="G12255" s="1">
        <v>9</v>
      </c>
      <c r="H12255" s="1">
        <v>0</v>
      </c>
      <c r="I12255" s="1" t="s">
        <v>24828</v>
      </c>
      <c r="K12255" s="1" t="str">
        <f t="shared" si="776"/>
        <v>ㄧ</v>
      </c>
      <c r="M12255" s="1" t="str">
        <f t="shared" si="777"/>
        <v/>
      </c>
      <c r="N12255" s="3" t="s">
        <v>30575</v>
      </c>
      <c r="O12255" s="3"/>
      <c r="P12255" s="1" t="s">
        <v>20</v>
      </c>
      <c r="R12255" s="1" t="s">
        <v>24829</v>
      </c>
      <c r="V12255" s="1" t="s">
        <v>24848</v>
      </c>
      <c r="AR12255" s="1" t="str">
        <f t="shared" si="778"/>
        <v>| [ㄧˊ](ㄧˊ.md) | [椸](椸.md) |  | yí | [名]
衣架。《禮記．曲禮上》：「男女不雜坐，不同椸枷。」《清史稿．卷八六．禮志五》：「並設床榻、衾枕、楎椸、帷幔，如生事儀。」 |</v>
      </c>
    </row>
    <row r="12256" spans="1:44" hidden="1">
      <c r="A12256" s="1" t="s">
        <v>6025</v>
      </c>
      <c r="C12256" s="1">
        <v>1</v>
      </c>
      <c r="D12256" s="1" t="str">
        <f>"10517"</f>
        <v>10517</v>
      </c>
      <c r="E12256" s="1" t="s">
        <v>28</v>
      </c>
      <c r="F12256" s="1">
        <v>5</v>
      </c>
      <c r="G12256" s="1">
        <v>2</v>
      </c>
      <c r="H12256" s="1">
        <v>2</v>
      </c>
      <c r="I12256" s="1" t="s">
        <v>24828</v>
      </c>
      <c r="K12256" s="1" t="str">
        <f t="shared" si="776"/>
        <v>ㄧ</v>
      </c>
      <c r="M12256" s="1" t="str">
        <f t="shared" si="777"/>
        <v/>
      </c>
      <c r="N12256" s="3" t="s">
        <v>30575</v>
      </c>
      <c r="O12256" s="3"/>
      <c r="P12256" s="1" t="s">
        <v>20</v>
      </c>
      <c r="R12256" s="1" t="s">
        <v>24829</v>
      </c>
      <c r="V12256" s="1" t="s">
        <v>24849</v>
      </c>
      <c r="W12256" s="1" t="s">
        <v>24850</v>
      </c>
      <c r="AR12256" s="1" t="str">
        <f t="shared" si="778"/>
        <v>| [ㄧˊ](ㄧˊ.md) | [台](台.md) |  | yí | [動]_x000D_
喜悅。通「怡」。《史記．卷一三〇．太史公自序》：「唐堯遜位，虞舜不台。」_x000D_
[代]_x000D_
1.我。古人稱自己為「台」。《書經．湯誓》：「非台小子，敢行稱亂。」唐．盧肇〈漢堤〉詩：「流災降慝，天曷台怒。」_x000D_
2.表示疑問的意思。相當於「何」、「什麼」。《書經．湯誓》：「今汝其曰：『夏罪其如台？』」《後漢書．卷四〇．班彪列傳下》：「罔光度而遺章，今其如台而獨闕也！」_x000D_
[名]_x000D_
姓。如明代有台元。 |</v>
      </c>
    </row>
    <row r="12257" spans="1:44" hidden="1">
      <c r="A12257" s="1" t="s">
        <v>24851</v>
      </c>
      <c r="C12257" s="1">
        <v>1</v>
      </c>
      <c r="D12257" s="1" t="str">
        <f>"10518"</f>
        <v>10518</v>
      </c>
      <c r="E12257" s="1" t="s">
        <v>250</v>
      </c>
      <c r="F12257" s="1">
        <v>8</v>
      </c>
      <c r="G12257" s="1">
        <v>5</v>
      </c>
      <c r="H12257" s="1">
        <v>0</v>
      </c>
      <c r="I12257" s="1" t="s">
        <v>24828</v>
      </c>
      <c r="K12257" s="1" t="str">
        <f t="shared" si="776"/>
        <v>ㄧ</v>
      </c>
      <c r="M12257" s="1" t="str">
        <f t="shared" si="777"/>
        <v/>
      </c>
      <c r="N12257" s="3" t="s">
        <v>30575</v>
      </c>
      <c r="O12257" s="3"/>
      <c r="P12257" s="1" t="s">
        <v>20</v>
      </c>
      <c r="R12257" s="1" t="s">
        <v>24829</v>
      </c>
      <c r="V12257" s="1" t="s">
        <v>24852</v>
      </c>
      <c r="AR12257" s="1" t="str">
        <f t="shared" si="778"/>
        <v>| [ㄧˊ](ㄧˊ.md) | [怡](怡.md) |  | yí | [形]
1.和悅的。《玉篇．心部》：「怡，悅也，樂也。」如：「心曠神怡」。《國語．晉語九》：「狗之事大矣，而主之色不怡，何也？」《禮記．內則》：「父母有過，下氣怡色，柔聲以諫。」
2.快樂的。《國語．周語下》：「晉國有憂，未嘗不戚；有慶，未嘗不怡。」《楚辭．屈原．九章．哀郢》：「心不怡之長久兮，憂與愁其相接。」
[名]
姓。如北周有怡峰。 |</v>
      </c>
    </row>
    <row r="12258" spans="1:44" hidden="1">
      <c r="A12258" s="1" t="s">
        <v>19418</v>
      </c>
      <c r="C12258" s="1">
        <v>1</v>
      </c>
      <c r="D12258" s="1" t="str">
        <f>"10519"</f>
        <v>10519</v>
      </c>
      <c r="E12258" s="1" t="s">
        <v>1015</v>
      </c>
      <c r="F12258" s="1">
        <v>10</v>
      </c>
      <c r="G12258" s="1">
        <v>5</v>
      </c>
      <c r="H12258" s="1">
        <v>2</v>
      </c>
      <c r="I12258" s="1" t="s">
        <v>24828</v>
      </c>
      <c r="K12258" s="1" t="str">
        <f t="shared" si="776"/>
        <v>ㄧ</v>
      </c>
      <c r="M12258" s="1" t="str">
        <f t="shared" si="777"/>
        <v/>
      </c>
      <c r="N12258" s="3" t="s">
        <v>30575</v>
      </c>
      <c r="O12258" s="3"/>
      <c r="P12258" s="1" t="s">
        <v>20</v>
      </c>
      <c r="R12258" s="1" t="s">
        <v>24829</v>
      </c>
      <c r="V12258" s="1" t="s">
        <v>24853</v>
      </c>
      <c r="W12258" s="1" t="s">
        <v>24854</v>
      </c>
      <c r="AR12258" s="1" t="str">
        <f t="shared" si="778"/>
        <v>| [ㄧˊ](ㄧˊ.md) | [眙](眙.md) |  | yí | 參見「盱眙」條。 |</v>
      </c>
    </row>
    <row r="12259" spans="1:44" hidden="1">
      <c r="A12259" s="1" t="s">
        <v>24855</v>
      </c>
      <c r="C12259" s="1">
        <v>1</v>
      </c>
      <c r="D12259" s="1" t="str">
        <f>"10520"</f>
        <v>10520</v>
      </c>
      <c r="E12259" s="1" t="s">
        <v>331</v>
      </c>
      <c r="F12259" s="1">
        <v>12</v>
      </c>
      <c r="G12259" s="1">
        <v>5</v>
      </c>
      <c r="H12259" s="1">
        <v>0</v>
      </c>
      <c r="I12259" s="1" t="s">
        <v>24828</v>
      </c>
      <c r="K12259" s="1" t="str">
        <f t="shared" si="776"/>
        <v>ㄧ</v>
      </c>
      <c r="M12259" s="1" t="str">
        <f t="shared" si="777"/>
        <v/>
      </c>
      <c r="N12259" s="3" t="s">
        <v>30575</v>
      </c>
      <c r="O12259" s="3"/>
      <c r="P12259" s="1" t="s">
        <v>20</v>
      </c>
      <c r="R12259" s="1" t="s">
        <v>24829</v>
      </c>
      <c r="V12259" s="1" t="s">
        <v>24856</v>
      </c>
      <c r="AR12259" s="1" t="str">
        <f t="shared" si="778"/>
        <v>| [ㄧˊ](ㄧˊ.md) | [詒](詒.md) |  | yí | [動]
1.留傳、遺留。《說文解字．言部》：「詒，遺也。」《詩經．大雅．文王有聲》：「詒厥孫謀，以燕翼子。」漢．鄭玄．箋：「詒，猶傳也。」
2.贈送。通「貽」。《楚辭．屈原．離騷》：「及榮華之未落兮，相下女之可詒。」 |</v>
      </c>
    </row>
    <row r="12260" spans="1:44" hidden="1">
      <c r="A12260" s="1" t="s">
        <v>24857</v>
      </c>
      <c r="C12260" s="1">
        <v>1</v>
      </c>
      <c r="D12260" s="1" t="str">
        <f>"10521"</f>
        <v>10521</v>
      </c>
      <c r="E12260" s="1" t="s">
        <v>505</v>
      </c>
      <c r="F12260" s="1">
        <v>12</v>
      </c>
      <c r="G12260" s="1">
        <v>5</v>
      </c>
      <c r="H12260" s="1">
        <v>0</v>
      </c>
      <c r="I12260" s="1" t="s">
        <v>24828</v>
      </c>
      <c r="K12260" s="1" t="str">
        <f t="shared" si="776"/>
        <v>ㄧ</v>
      </c>
      <c r="M12260" s="1" t="str">
        <f t="shared" si="777"/>
        <v/>
      </c>
      <c r="N12260" s="3" t="s">
        <v>30575</v>
      </c>
      <c r="O12260" s="3"/>
      <c r="P12260" s="1" t="s">
        <v>20</v>
      </c>
      <c r="R12260" s="1" t="s">
        <v>24829</v>
      </c>
      <c r="V12260" s="1" t="s">
        <v>24858</v>
      </c>
      <c r="AR12260" s="1" t="str">
        <f t="shared" si="778"/>
        <v>| [ㄧˊ](ㄧˊ.md) | [貽](貽.md) |  | yí | [動]
1.贈送。《詩經．邶風．靜女》：「靜女其孌，貽我彤管。」《莊子．逍遙遊》：「魏王貽我大瓠之種，我樹之成而實五石。」
2.遺留。《書經．五子之歌》：「有典有則，貽厥子孫。」《文選．陸機．文賦》：「俯貽則於來葉，仰觀象乎古人。」
[名]
姓。如宋代有貽範。 |</v>
      </c>
    </row>
    <row r="12261" spans="1:44" hidden="1">
      <c r="A12261" s="1" t="s">
        <v>24859</v>
      </c>
      <c r="C12261" s="1">
        <v>1</v>
      </c>
      <c r="D12261" s="1" t="str">
        <f>"10522"</f>
        <v>10522</v>
      </c>
      <c r="E12261" s="1" t="s">
        <v>193</v>
      </c>
      <c r="F12261" s="1">
        <v>13</v>
      </c>
      <c r="G12261" s="1">
        <v>5</v>
      </c>
      <c r="H12261" s="1">
        <v>0</v>
      </c>
      <c r="I12261" s="1" t="s">
        <v>24828</v>
      </c>
      <c r="K12261" s="1" t="str">
        <f t="shared" si="776"/>
        <v>ㄧ</v>
      </c>
      <c r="M12261" s="1" t="str">
        <f t="shared" si="777"/>
        <v/>
      </c>
      <c r="N12261" s="3" t="s">
        <v>30575</v>
      </c>
      <c r="O12261" s="3"/>
      <c r="P12261" s="1" t="s">
        <v>20</v>
      </c>
      <c r="R12261" s="1" t="s">
        <v>24829</v>
      </c>
      <c r="V12261" s="1" t="s">
        <v>24860</v>
      </c>
      <c r="AR12261" s="1" t="str">
        <f t="shared" si="778"/>
        <v>| [ㄧˊ](ㄧˊ.md) | [飴](飴.md) |  | yí | [名]
用米或麥製成的糖漿或軟糖食品。如：「甘之若飴」、「含飴弄孫」。《詩經．大雅．綿》：「周原膴膴，堇荼如飴。」《呂氏春秋．孟冬紀．異用》：「仁人之得飴，以養疾侍老也。」
[形]
味道甘美的。如：「飴漿」、「飴餌」。《周禮．天官．鹽人》：「王之膳羞共飴鹽。」漢．鄭玄．注：「飴鹽，鹽之恬者，今戎鹽有焉。」
[動]
贈送。通「貽」。《漢書．卷三六．楚元王劉交傳》：「飴我釐麰。」 |</v>
      </c>
    </row>
    <row r="12262" spans="1:44" hidden="1">
      <c r="A12262" s="1" t="s">
        <v>24861</v>
      </c>
      <c r="C12262" s="1">
        <v>1</v>
      </c>
      <c r="D12262" s="1" t="str">
        <f>"10523"</f>
        <v>10523</v>
      </c>
      <c r="E12262" s="1" t="s">
        <v>132</v>
      </c>
      <c r="F12262" s="1">
        <v>6</v>
      </c>
      <c r="G12262" s="1">
        <v>3</v>
      </c>
      <c r="H12262" s="1">
        <v>0</v>
      </c>
      <c r="I12262" s="1" t="s">
        <v>24828</v>
      </c>
      <c r="K12262" s="1" t="str">
        <f t="shared" si="776"/>
        <v>ㄧ</v>
      </c>
      <c r="M12262" s="1" t="str">
        <f t="shared" si="777"/>
        <v/>
      </c>
      <c r="N12262" s="3" t="s">
        <v>30575</v>
      </c>
      <c r="O12262" s="3"/>
      <c r="P12262" s="1" t="s">
        <v>20</v>
      </c>
      <c r="R12262" s="1" t="s">
        <v>24829</v>
      </c>
      <c r="V12262" s="1" t="s">
        <v>24862</v>
      </c>
      <c r="AR12262" s="1" t="str">
        <f t="shared" si="778"/>
        <v>| [ㄧˊ](ㄧˊ.md) | [圯](圯.md) |  | yí | [名]
橋。《史記．卷五五．留侯世家》：「良嘗閒從容步游下邳圯上。」 |</v>
      </c>
    </row>
    <row r="12263" spans="1:44" hidden="1">
      <c r="A12263" s="1" t="s">
        <v>16162</v>
      </c>
      <c r="C12263" s="1">
        <v>1</v>
      </c>
      <c r="D12263" s="1" t="str">
        <f>"10524"</f>
        <v>10524</v>
      </c>
      <c r="E12263" s="1" t="s">
        <v>336</v>
      </c>
      <c r="F12263" s="1">
        <v>14</v>
      </c>
      <c r="G12263" s="1">
        <v>10</v>
      </c>
      <c r="H12263" s="1">
        <v>2</v>
      </c>
      <c r="I12263" s="1" t="s">
        <v>24828</v>
      </c>
      <c r="K12263" s="1" t="str">
        <f t="shared" si="776"/>
        <v>ㄧ</v>
      </c>
      <c r="M12263" s="1" t="str">
        <f t="shared" si="777"/>
        <v/>
      </c>
      <c r="N12263" s="3" t="s">
        <v>30575</v>
      </c>
      <c r="O12263" s="3"/>
      <c r="P12263" s="1" t="s">
        <v>20</v>
      </c>
      <c r="R12263" s="1" t="s">
        <v>24829</v>
      </c>
      <c r="V12263" s="1" t="s">
        <v>24863</v>
      </c>
      <c r="W12263" s="1" t="s">
        <v>24864</v>
      </c>
      <c r="AR12263" s="1" t="str">
        <f t="shared" si="778"/>
        <v>| [ㄧˊ](ㄧˊ.md) | [熙](熙.md) |  | yí | [名]
姓。為帝嚳時水正熙氏的後裔。 |</v>
      </c>
    </row>
    <row r="12264" spans="1:44" hidden="1">
      <c r="A12264" s="1" t="s">
        <v>24865</v>
      </c>
      <c r="C12264" s="1">
        <v>1</v>
      </c>
      <c r="D12264" s="1" t="str">
        <f>"10525"</f>
        <v>10525</v>
      </c>
      <c r="E12264" s="1" t="s">
        <v>563</v>
      </c>
      <c r="F12264" s="1">
        <v>6</v>
      </c>
      <c r="G12264" s="1">
        <v>3</v>
      </c>
      <c r="H12264" s="1">
        <v>0</v>
      </c>
      <c r="I12264" s="1" t="s">
        <v>24828</v>
      </c>
      <c r="K12264" s="1" t="str">
        <f t="shared" si="776"/>
        <v>ㄧ</v>
      </c>
      <c r="M12264" s="1" t="str">
        <f t="shared" si="777"/>
        <v/>
      </c>
      <c r="N12264" s="3" t="s">
        <v>30575</v>
      </c>
      <c r="O12264" s="3"/>
      <c r="P12264" s="1" t="s">
        <v>20</v>
      </c>
      <c r="R12264" s="1" t="s">
        <v>24829</v>
      </c>
      <c r="V12264" s="1" t="s">
        <v>24866</v>
      </c>
      <c r="AR12264" s="1" t="str">
        <f t="shared" si="778"/>
        <v>| [ㄧˊ](ㄧˊ.md) | [夷](夷.md) |  | yí | [名]_x000D_
1.中國古代東部民族之一。殷商時約分布在今大陸地區山東、江蘇一帶。後泛稱東方各族為「夷」。如：「徐夷」、「淮夷」。《後漢書．卷八五．東夷列傳．序》：「夷有九種：曰畎夷、于夷、方夷、黃夷、白夷、赤夷、玄夷、風夷、陽夷。」_x000D_
2.古代對中原以外各族的蔑稱。如：「蠻夷戎狄」。_x000D_
3.同輩。《禮記．曲禮上》：「昏定而晨省，在醜夷不爭。」_x000D_
4.鋤草、平土的農具。《國語．齊語》：「惡金以鑄鉏、夷、斤、斸，試諸壤土。」《管子．小匡》：「惡金以鑄斤斧鉏夷鋸欘，試諸木土。」_x000D_
5.創傷。通「痍」。《左傳．成公十六年》：「子反命軍吏，察夷傷。」《後漢書．卷四七．班梁列傳．班超》：「每有攻戰，輒為先登，身被金夷，不避死亡。」_x000D_
6.平易、平安。如：「化險為夷」。_x000D_
7.常道。通「彞」。《史記．卷三八．宋微子世家》：「曰王極之傅言，是夷是訓，于帝其順。」_x000D_
8.姓。如周代有夷詭諸。_x000D_
[動]_x000D_
1.鏟平、使平坦。如：「夷為平地」。《左傳．成公十六年》：「將塞井夷灶而為行也。」《國語．晉語六》：「夷灶堙井，非退而何？」_x000D_
2.誅除、消滅、平定。《荀子．君子》：「一人有罪，而三族皆夷。」唐．柳宗元〈封建論〉：「及夫大逆不道，然後掩捕而遷之，勒兵而夷之耳。」_x000D_
3.剷草、割草。《周禮．秋官司寇．薙氏》：「掌殺草。春始生而萌之，夏日至而夷之。」_x000D_
4.陳放、安置。《禮記．喪大記》：「徹帷，男女捧尸夷于堂，降拜。」_x000D_
5.平均。《左傳．昭公十七年》：「五雉為五工正，利器用，正度量，夷民者也。」唐．孔穎達．正義：「所以平均下民也。」_x000D_
[形]_x000D_
1.平坦。《莊子．胠篋》：「夫川竭而谷虛，丘夷而淵實。」《後漢書．卷二四．馬援列傳》：「從壺頭則路近而水嶮，從充則塗夷而運遠，帝初以為疑。」_x000D_
2.愉悅。通「怡」。《詩經．鄭風．風雨》：「既見君子，云胡不夷？」_x000D_
3.傲慢無禮。《荀子．修身》：「容貌態度，進退趨行，由禮則雅，不由禮則夷固僻遠，庸眾而野。」 |</v>
      </c>
    </row>
    <row r="12265" spans="1:44" hidden="1">
      <c r="A12265" s="1" t="s">
        <v>24867</v>
      </c>
      <c r="C12265" s="1">
        <v>1</v>
      </c>
      <c r="D12265" s="1" t="str">
        <f>"10526"</f>
        <v>10526</v>
      </c>
      <c r="E12265" s="1" t="s">
        <v>114</v>
      </c>
      <c r="F12265" s="1">
        <v>8</v>
      </c>
      <c r="G12265" s="1">
        <v>6</v>
      </c>
      <c r="H12265" s="1">
        <v>0</v>
      </c>
      <c r="I12265" s="1" t="s">
        <v>24828</v>
      </c>
      <c r="K12265" s="1" t="str">
        <f t="shared" si="776"/>
        <v>ㄧ</v>
      </c>
      <c r="M12265" s="1" t="str">
        <f t="shared" si="777"/>
        <v/>
      </c>
      <c r="N12265" s="3" t="s">
        <v>30575</v>
      </c>
      <c r="O12265" s="3"/>
      <c r="P12265" s="1" t="s">
        <v>20</v>
      </c>
      <c r="R12265" s="1" t="s">
        <v>24829</v>
      </c>
      <c r="V12265" s="1" t="s">
        <v>24868</v>
      </c>
      <c r="AR12265" s="1" t="str">
        <f t="shared" si="778"/>
        <v>| [ㄧˊ](ㄧˊ.md) | [侇](侇.md) |  | yí | [名]
同輩、同等。《字彙．人部》：「侇，儕也，等也。」
[動]
陳列、安放。通「夷」。《儀禮．士喪禮》：「士舉，男女奉尸，侇于堂。」 |</v>
      </c>
    </row>
    <row r="12266" spans="1:44" hidden="1">
      <c r="A12266" s="1" t="s">
        <v>24869</v>
      </c>
      <c r="C12266" s="1">
        <v>1</v>
      </c>
      <c r="D12266" s="1" t="str">
        <f>"10527"</f>
        <v>10527</v>
      </c>
      <c r="E12266" s="1" t="s">
        <v>129</v>
      </c>
      <c r="F12266" s="1">
        <v>9</v>
      </c>
      <c r="G12266" s="1">
        <v>6</v>
      </c>
      <c r="H12266" s="1">
        <v>0</v>
      </c>
      <c r="I12266" s="1" t="s">
        <v>24828</v>
      </c>
      <c r="K12266" s="1" t="str">
        <f t="shared" si="776"/>
        <v>ㄧ</v>
      </c>
      <c r="M12266" s="1" t="str">
        <f t="shared" si="777"/>
        <v/>
      </c>
      <c r="N12266" s="3" t="s">
        <v>30575</v>
      </c>
      <c r="O12266" s="3"/>
      <c r="P12266" s="1" t="s">
        <v>20</v>
      </c>
      <c r="R12266" s="1" t="s">
        <v>24829</v>
      </c>
      <c r="V12266" s="1" t="s">
        <v>24870</v>
      </c>
      <c r="AR12266" s="1" t="str">
        <f t="shared" si="778"/>
        <v>| [ㄧˊ](ㄧˊ.md) | [洟](洟.md) |  | yí | [名]
鼻涕。《禮記．檀弓上》：「主人深衣練冠，待于廟，垂涕洟。」《文選．馬融．長笛賦》：「僬眇睢維，涕洟流漫。」 |</v>
      </c>
    </row>
    <row r="12267" spans="1:44" hidden="1">
      <c r="A12267" s="1" t="s">
        <v>24871</v>
      </c>
      <c r="C12267" s="1">
        <v>1</v>
      </c>
      <c r="D12267" s="1" t="str">
        <f>"10528"</f>
        <v>10528</v>
      </c>
      <c r="E12267" s="1" t="s">
        <v>28</v>
      </c>
      <c r="F12267" s="1">
        <v>9</v>
      </c>
      <c r="G12267" s="1">
        <v>6</v>
      </c>
      <c r="H12267" s="1">
        <v>0</v>
      </c>
      <c r="I12267" s="1" t="s">
        <v>24828</v>
      </c>
      <c r="K12267" s="1" t="str">
        <f t="shared" si="776"/>
        <v>ㄧ</v>
      </c>
      <c r="M12267" s="1" t="str">
        <f t="shared" si="777"/>
        <v/>
      </c>
      <c r="N12267" s="3" t="s">
        <v>30575</v>
      </c>
      <c r="O12267" s="3"/>
      <c r="P12267" s="1" t="s">
        <v>20</v>
      </c>
      <c r="R12267" s="1" t="s">
        <v>24829</v>
      </c>
      <c r="V12267" s="1" t="s">
        <v>24872</v>
      </c>
      <c r="AR12267" s="1" t="str">
        <f t="shared" si="778"/>
        <v>| [ㄧˊ](ㄧˊ.md) | [咦](咦.md) |  | yí | [動]
大口呼氣。《說文解字．口部》：「南陽謂大呼曰咦。」
[歎]
表示驚訝、驚嘆的語氣。《五代史平話．漢史．卷上》：「咦！您是甚人？在此打睡？」《西遊記》第六回：「咦！正是：欺誑今遭刑憲苦，英雄氣概等時休。」 |</v>
      </c>
    </row>
    <row r="12268" spans="1:44" hidden="1">
      <c r="A12268" s="1" t="s">
        <v>24873</v>
      </c>
      <c r="C12268" s="1">
        <v>1</v>
      </c>
      <c r="D12268" s="1" t="str">
        <f>"10529"</f>
        <v>10529</v>
      </c>
      <c r="E12268" s="1" t="s">
        <v>534</v>
      </c>
      <c r="F12268" s="1">
        <v>9</v>
      </c>
      <c r="G12268" s="1">
        <v>6</v>
      </c>
      <c r="H12268" s="1">
        <v>0</v>
      </c>
      <c r="I12268" s="1" t="s">
        <v>24828</v>
      </c>
      <c r="K12268" s="1" t="str">
        <f t="shared" si="776"/>
        <v>ㄧ</v>
      </c>
      <c r="M12268" s="1" t="str">
        <f t="shared" si="777"/>
        <v/>
      </c>
      <c r="N12268" s="3" t="s">
        <v>30575</v>
      </c>
      <c r="O12268" s="3"/>
      <c r="P12268" s="1" t="s">
        <v>20</v>
      </c>
      <c r="R12268" s="1" t="s">
        <v>24829</v>
      </c>
      <c r="V12268" s="1" t="s">
        <v>24874</v>
      </c>
      <c r="AR12268" s="1" t="str">
        <f t="shared" si="778"/>
        <v>| [ㄧˊ](ㄧˊ.md) | [姨](姨.md) |  | yí | [名]
1.稱謂：(1)用以稱妻子的姊妹。如：「小姨子」。《詩經．衛風．碩人》：「東宮之妹，邢侯之姨。」漢．毛亨．傳：「妻之姊妹曰姨。」(2)用以稱母親的姊妹。如：「姨媽」、「阿姨」。《紅樓夢》第六四回：「人人都說你嬸子好，據我看，那裡及你二姨一零兒呢？」
2.妾、小老婆。如：「姨太太」。《通俗編．稱謂》：「其父之側庶亦稱姨者，姨本姊妹俱事一夫之稱。」 |</v>
      </c>
    </row>
    <row r="12269" spans="1:44" hidden="1">
      <c r="A12269" s="1" t="s">
        <v>24875</v>
      </c>
      <c r="C12269" s="1">
        <v>1</v>
      </c>
      <c r="D12269" s="1" t="str">
        <f>"10530"</f>
        <v>10530</v>
      </c>
      <c r="E12269" s="1" t="s">
        <v>139</v>
      </c>
      <c r="F12269" s="1">
        <v>10</v>
      </c>
      <c r="G12269" s="1">
        <v>6</v>
      </c>
      <c r="H12269" s="1">
        <v>0</v>
      </c>
      <c r="I12269" s="1" t="s">
        <v>24828</v>
      </c>
      <c r="K12269" s="1" t="str">
        <f t="shared" si="776"/>
        <v>ㄧ</v>
      </c>
      <c r="M12269" s="1" t="str">
        <f t="shared" si="777"/>
        <v/>
      </c>
      <c r="N12269" s="3" t="s">
        <v>30575</v>
      </c>
      <c r="O12269" s="3"/>
      <c r="P12269" s="1" t="s">
        <v>20</v>
      </c>
      <c r="R12269" s="1" t="s">
        <v>24829</v>
      </c>
      <c r="V12269" s="1" t="s">
        <v>24876</v>
      </c>
      <c r="AR12269" s="1" t="str">
        <f t="shared" si="778"/>
        <v>| [ㄧˊ](ㄧˊ.md) | [桋](桋.md) |  | yí | [名]
一種樹木。葉細而銳，多叢生山中。《爾雅．釋木》：「桋，赤栜；白者栜。」晉．郭璞．注：「赤栜，樹葉細而歧銳，皮理錯戾，好叢生山中，中為車輞。白者葉員而歧，為大木。」 |</v>
      </c>
    </row>
    <row r="12270" spans="1:44" hidden="1">
      <c r="A12270" s="1" t="s">
        <v>6417</v>
      </c>
      <c r="C12270" s="1">
        <v>1</v>
      </c>
      <c r="D12270" s="1" t="str">
        <f>"10531"</f>
        <v>10531</v>
      </c>
      <c r="E12270" s="1" t="s">
        <v>37</v>
      </c>
      <c r="F12270" s="1">
        <v>10</v>
      </c>
      <c r="G12270" s="1">
        <v>6</v>
      </c>
      <c r="H12270" s="1">
        <v>2</v>
      </c>
      <c r="I12270" s="1" t="s">
        <v>24828</v>
      </c>
      <c r="K12270" s="1" t="str">
        <f t="shared" si="776"/>
        <v>ㄧ</v>
      </c>
      <c r="M12270" s="1" t="str">
        <f t="shared" si="777"/>
        <v/>
      </c>
      <c r="N12270" s="3" t="s">
        <v>30575</v>
      </c>
      <c r="O12270" s="3"/>
      <c r="P12270" s="1" t="s">
        <v>20</v>
      </c>
      <c r="R12270" s="1" t="s">
        <v>24829</v>
      </c>
      <c r="V12270" s="1" t="s">
        <v>24877</v>
      </c>
      <c r="W12270" s="1" t="s">
        <v>24878</v>
      </c>
      <c r="AR12270" s="1" t="str">
        <f t="shared" si="778"/>
        <v>| [ㄧˊ](ㄧˊ.md) | [荑](荑.md) |  | yí | [動]
除去田裡的野草。《周禮．地官．稻人》：「凡稼澤夏以水殄草而芟荑之。」唐．陸德明《經典釋文．卷八．周禮音義上》：「荑，音夷。」 |</v>
      </c>
    </row>
    <row r="12271" spans="1:44" hidden="1">
      <c r="A12271" s="1" t="s">
        <v>24879</v>
      </c>
      <c r="C12271" s="1">
        <v>1</v>
      </c>
      <c r="D12271" s="1" t="str">
        <f>"10532"</f>
        <v>10532</v>
      </c>
      <c r="E12271" s="1" t="s">
        <v>68</v>
      </c>
      <c r="F12271" s="1">
        <v>10</v>
      </c>
      <c r="G12271" s="1">
        <v>6</v>
      </c>
      <c r="H12271" s="1">
        <v>0</v>
      </c>
      <c r="I12271" s="1" t="s">
        <v>24828</v>
      </c>
      <c r="K12271" s="1" t="str">
        <f t="shared" si="776"/>
        <v>ㄧ</v>
      </c>
      <c r="M12271" s="1" t="str">
        <f t="shared" si="777"/>
        <v/>
      </c>
      <c r="N12271" s="3" t="s">
        <v>30575</v>
      </c>
      <c r="O12271" s="3"/>
      <c r="P12271" s="1" t="s">
        <v>20</v>
      </c>
      <c r="R12271" s="1" t="s">
        <v>24829</v>
      </c>
      <c r="V12271" s="1" t="s">
        <v>24880</v>
      </c>
      <c r="AR12271" s="1" t="str">
        <f t="shared" si="778"/>
        <v>| [ㄧˊ](ㄧˊ.md) | [胰](胰.md) |  | yí | 參見「胰臟」條。 |</v>
      </c>
    </row>
    <row r="12272" spans="1:44" hidden="1">
      <c r="A12272" s="1" t="s">
        <v>24881</v>
      </c>
      <c r="C12272" s="1">
        <v>1</v>
      </c>
      <c r="D12272" s="1" t="str">
        <f>"10533"</f>
        <v>10533</v>
      </c>
      <c r="E12272" s="1" t="s">
        <v>40</v>
      </c>
      <c r="F12272" s="1">
        <v>11</v>
      </c>
      <c r="G12272" s="1">
        <v>6</v>
      </c>
      <c r="H12272" s="1">
        <v>0</v>
      </c>
      <c r="I12272" s="1" t="s">
        <v>24828</v>
      </c>
      <c r="K12272" s="1" t="str">
        <f t="shared" si="776"/>
        <v>ㄧ</v>
      </c>
      <c r="M12272" s="1" t="str">
        <f t="shared" si="777"/>
        <v/>
      </c>
      <c r="N12272" s="3" t="s">
        <v>30575</v>
      </c>
      <c r="O12272" s="3"/>
      <c r="P12272" s="1" t="s">
        <v>20</v>
      </c>
      <c r="R12272" s="1" t="s">
        <v>24829</v>
      </c>
      <c r="V12272" s="1" t="s">
        <v>24882</v>
      </c>
      <c r="AR12272" s="1" t="str">
        <f t="shared" si="778"/>
        <v>| [ㄧˊ](ㄧˊ.md) | [痍](痍.md) |  | yí | [名]
創傷。《說文解字．疒部》：「痍，傷也。」《史記．卷八八．蒙恬傳》：「天下之心未定，痍傷者未瘳。」 |</v>
      </c>
    </row>
    <row r="12273" spans="1:44" hidden="1">
      <c r="A12273" s="1" t="s">
        <v>24883</v>
      </c>
      <c r="C12273" s="1">
        <v>1</v>
      </c>
      <c r="D12273" s="1" t="str">
        <f>"10534"</f>
        <v>10534</v>
      </c>
      <c r="E12273" s="1" t="s">
        <v>129</v>
      </c>
      <c r="F12273" s="1">
        <v>7</v>
      </c>
      <c r="G12273" s="1">
        <v>4</v>
      </c>
      <c r="H12273" s="1">
        <v>0</v>
      </c>
      <c r="I12273" s="1" t="s">
        <v>24828</v>
      </c>
      <c r="K12273" s="1" t="str">
        <f t="shared" si="776"/>
        <v>ㄧ</v>
      </c>
      <c r="M12273" s="1" t="str">
        <f t="shared" si="777"/>
        <v/>
      </c>
      <c r="N12273" s="3" t="s">
        <v>30575</v>
      </c>
      <c r="O12273" s="3"/>
      <c r="P12273" s="1" t="s">
        <v>20</v>
      </c>
      <c r="R12273" s="1" t="s">
        <v>24829</v>
      </c>
      <c r="V12273" s="1" t="s">
        <v>24884</v>
      </c>
      <c r="AR12273" s="1" t="str">
        <f t="shared" si="778"/>
        <v>| [ㄧˊ](ㄧˊ.md) | [沂](沂.md) |  | yí | [名]
1.參見「沂河」條。
2.姓。如元代有沂川。 |</v>
      </c>
    </row>
    <row r="12274" spans="1:44" hidden="1">
      <c r="A12274" s="1" t="s">
        <v>24885</v>
      </c>
      <c r="C12274" s="1">
        <v>1</v>
      </c>
      <c r="D12274" s="1" t="str">
        <f>"10535"</f>
        <v>10535</v>
      </c>
      <c r="E12274" s="1" t="s">
        <v>624</v>
      </c>
      <c r="F12274" s="1">
        <v>8</v>
      </c>
      <c r="G12274" s="1">
        <v>5</v>
      </c>
      <c r="H12274" s="1">
        <v>0</v>
      </c>
      <c r="I12274" s="1" t="s">
        <v>24828</v>
      </c>
      <c r="K12274" s="1" t="str">
        <f t="shared" si="776"/>
        <v>ㄧ</v>
      </c>
      <c r="M12274" s="1" t="str">
        <f t="shared" si="777"/>
        <v/>
      </c>
      <c r="N12274" s="3" t="s">
        <v>30575</v>
      </c>
      <c r="O12274" s="3"/>
      <c r="P12274" s="1" t="s">
        <v>20</v>
      </c>
      <c r="R12274" s="1" t="s">
        <v>24829</v>
      </c>
      <c r="V12274" s="1" t="s">
        <v>24886</v>
      </c>
      <c r="AR12274" s="1" t="str">
        <f t="shared" si="778"/>
        <v>| [ㄧˊ](ㄧˊ.md) | [宜](宜.md) |  | yí | [動]
1.相安、和順。《禮記．大學》：「宜兄宜弟，而后可以教國人。」
2.適當。《呂氏春秋．不苟論．當賞》：「主之賞罰爵祿之所加者宜，則親疏遠近賢不肖，皆盡其力而以為用矣。」
3.共享。《詩經．鄭風．女曰雞鳴》：「弋言加之，與子宜之。」
[形]
合適、相稱。如：「動靜皆宜」。宋．蘇軾〈飲湖上初晴後雨〉詩二首之二：「若把西湖比西子，淡妝濃抹總相宜。」
[副]
1.應該、應當。如：「不宜喧鬧」、「不宜妄自菲薄」。
2.大概、似乎。《漢書．卷二一．律曆志上》：「今陰陽不調，宜更曆之過也。」
[名]
1.事宜。《禮記．月令》：「天子乃與公卿大夫共飭國典，論時令，以待來歲之宜。」
2.姓。如元代有宜桂可。 |</v>
      </c>
    </row>
    <row r="12275" spans="1:44" hidden="1">
      <c r="A12275" s="1" t="s">
        <v>24887</v>
      </c>
      <c r="C12275" s="1">
        <v>1</v>
      </c>
      <c r="D12275" s="1" t="str">
        <f>"10536"</f>
        <v>10536</v>
      </c>
      <c r="E12275" s="1" t="s">
        <v>331</v>
      </c>
      <c r="F12275" s="1">
        <v>15</v>
      </c>
      <c r="G12275" s="1">
        <v>8</v>
      </c>
      <c r="H12275" s="1">
        <v>2</v>
      </c>
      <c r="I12275" s="1" t="s">
        <v>24828</v>
      </c>
      <c r="K12275" s="1" t="str">
        <f t="shared" si="776"/>
        <v>ㄧ</v>
      </c>
      <c r="M12275" s="1" t="str">
        <f t="shared" si="777"/>
        <v/>
      </c>
      <c r="N12275" s="3" t="s">
        <v>30575</v>
      </c>
      <c r="O12275" s="3"/>
      <c r="P12275" s="1" t="s">
        <v>110</v>
      </c>
      <c r="R12275" s="1" t="s">
        <v>24829</v>
      </c>
      <c r="V12275" s="1" t="s">
        <v>111</v>
      </c>
      <c r="W12275" s="1" t="s">
        <v>24888</v>
      </c>
      <c r="AR12275" s="1" t="str">
        <f t="shared" si="778"/>
        <v>| [ㄧˊ](ㄧˊ.md) | [誼](誼.md) |  | yí | (一)之又音。 |</v>
      </c>
    </row>
    <row r="12276" spans="1:44" hidden="1">
      <c r="A12276" s="1" t="s">
        <v>24889</v>
      </c>
      <c r="C12276" s="1">
        <v>1</v>
      </c>
      <c r="D12276" s="1" t="str">
        <f>"10537"</f>
        <v>10537</v>
      </c>
      <c r="E12276" s="1" t="s">
        <v>198</v>
      </c>
      <c r="F12276" s="1">
        <v>8</v>
      </c>
      <c r="G12276" s="1">
        <v>5</v>
      </c>
      <c r="H12276" s="1">
        <v>0</v>
      </c>
      <c r="I12276" s="1" t="s">
        <v>24828</v>
      </c>
      <c r="K12276" s="1" t="str">
        <f t="shared" si="776"/>
        <v>ㄧ</v>
      </c>
      <c r="M12276" s="1" t="str">
        <f t="shared" si="777"/>
        <v/>
      </c>
      <c r="N12276" s="3" t="s">
        <v>30575</v>
      </c>
      <c r="O12276" s="3"/>
      <c r="P12276" s="1" t="s">
        <v>20</v>
      </c>
      <c r="R12276" s="1" t="s">
        <v>24829</v>
      </c>
      <c r="V12276" s="1" t="s">
        <v>24890</v>
      </c>
      <c r="AR12276" s="1" t="str">
        <f t="shared" si="778"/>
        <v>| [ㄧˊ](ㄧˊ.md) | [狋](狋.md) |  | yí | [形]
犬怒的樣子。《說文解字．犬部》：「狋，犬怒貌。」 |</v>
      </c>
    </row>
    <row r="12277" spans="1:44" hidden="1">
      <c r="A12277" s="1" t="s">
        <v>24891</v>
      </c>
      <c r="C12277" s="1">
        <v>1</v>
      </c>
      <c r="D12277" s="1" t="str">
        <f>"10538"</f>
        <v>10538</v>
      </c>
      <c r="E12277" s="1" t="s">
        <v>438</v>
      </c>
      <c r="F12277" s="1">
        <v>10</v>
      </c>
      <c r="G12277" s="1">
        <v>5</v>
      </c>
      <c r="H12277" s="1">
        <v>2</v>
      </c>
      <c r="I12277" s="1" t="s">
        <v>24828</v>
      </c>
      <c r="K12277" s="1" t="str">
        <f t="shared" ref="K12277:K12340" si="779">LEFT(I12277, 1)</f>
        <v>ㄧ</v>
      </c>
      <c r="M12277" s="1" t="str">
        <f t="shared" ref="M12277:M12318" si="780">MID(I12277, 3, 1)</f>
        <v/>
      </c>
      <c r="N12277" s="3" t="s">
        <v>30575</v>
      </c>
      <c r="O12277" s="3"/>
      <c r="P12277" s="1" t="s">
        <v>110</v>
      </c>
      <c r="R12277" s="1" t="s">
        <v>24829</v>
      </c>
      <c r="V12277" s="1" t="s">
        <v>111</v>
      </c>
      <c r="W12277" s="1" t="s">
        <v>24892</v>
      </c>
      <c r="AR12277" s="1" t="str">
        <f t="shared" si="778"/>
        <v>| [ㄧˊ](ㄧˊ.md) | [益](益.md) |  | yí | (一)之又音。 |</v>
      </c>
    </row>
    <row r="12278" spans="1:44" hidden="1">
      <c r="A12278" s="1" t="s">
        <v>24893</v>
      </c>
      <c r="C12278" s="1">
        <v>1</v>
      </c>
      <c r="D12278" s="1" t="str">
        <f>"10539"</f>
        <v>10539</v>
      </c>
      <c r="E12278" s="1" t="s">
        <v>624</v>
      </c>
      <c r="F12278" s="1">
        <v>10</v>
      </c>
      <c r="G12278" s="1">
        <v>7</v>
      </c>
      <c r="H12278" s="1">
        <v>0</v>
      </c>
      <c r="I12278" s="1" t="s">
        <v>24828</v>
      </c>
      <c r="K12278" s="1" t="str">
        <f t="shared" si="779"/>
        <v>ㄧ</v>
      </c>
      <c r="M12278" s="1" t="str">
        <f t="shared" si="780"/>
        <v/>
      </c>
      <c r="N12278" s="3" t="s">
        <v>30575</v>
      </c>
      <c r="O12278" s="3"/>
      <c r="P12278" s="1" t="s">
        <v>20</v>
      </c>
      <c r="R12278" s="1" t="s">
        <v>24829</v>
      </c>
      <c r="V12278" s="1" t="s">
        <v>24894</v>
      </c>
      <c r="AR12278" s="1" t="str">
        <f t="shared" si="778"/>
        <v>| [ㄧˊ](ㄧˊ.md) | [宧](宧.md) |  | yí | [名]
古代稱房屋的東北角為「宧」。《爾雅．釋宮》：「東北隅謂之宧。」 |</v>
      </c>
    </row>
    <row r="12279" spans="1:44" hidden="1">
      <c r="A12279" s="1" t="s">
        <v>24895</v>
      </c>
      <c r="C12279" s="1">
        <v>1</v>
      </c>
      <c r="D12279" s="1" t="str">
        <f>"10540"</f>
        <v>10540</v>
      </c>
      <c r="E12279" s="1" t="s">
        <v>684</v>
      </c>
      <c r="F12279" s="1">
        <v>16</v>
      </c>
      <c r="G12279" s="1">
        <v>7</v>
      </c>
      <c r="H12279" s="1">
        <v>0</v>
      </c>
      <c r="I12279" s="1" t="s">
        <v>24828</v>
      </c>
      <c r="K12279" s="1" t="str">
        <f t="shared" si="779"/>
        <v>ㄧ</v>
      </c>
      <c r="M12279" s="1" t="str">
        <f t="shared" si="780"/>
        <v/>
      </c>
      <c r="N12279" s="3" t="s">
        <v>30575</v>
      </c>
      <c r="O12279" s="3"/>
      <c r="P12279" s="1" t="s">
        <v>20</v>
      </c>
      <c r="R12279" s="1" t="s">
        <v>24829</v>
      </c>
      <c r="V12279" s="1" t="s">
        <v>24896</v>
      </c>
      <c r="AR12279" s="1" t="str">
        <f t="shared" si="778"/>
        <v>| [ㄧˊ](ㄧˊ.md) | [頤](頤.md) |  | yí | [名]
1.下巴。指鼻子下面腮頰部分。《莊子．漁父》：「左手據膝，右手持頤以聽。」《新唐書．卷八三．諸帝公主列傳．高宗三女》：「主方額廣頤，多陰謀。」
2.姓。如隋代有頤炅。
[動]
養。如：「頤養天年」。《後漢書．卷四九．王充王符仲長統列傳．王符》：「頤育萬民，以成大化。」唐．韓愈〈閔已賦〉：「惡飲食乎陋巷兮，亦足以頤神而保年。」
[助]
用於加強語氣，無義。《史記．卷四八．陳涉世家》：「夥頤，涉之為王沉沉者！」 |</v>
      </c>
    </row>
    <row r="12280" spans="1:44" hidden="1">
      <c r="A12280" s="1" t="s">
        <v>24897</v>
      </c>
      <c r="C12280" s="1">
        <v>1</v>
      </c>
      <c r="D12280" s="1" t="str">
        <f>"10541"</f>
        <v>10541</v>
      </c>
      <c r="E12280" s="1" t="s">
        <v>139</v>
      </c>
      <c r="F12280" s="1">
        <v>10</v>
      </c>
      <c r="G12280" s="1">
        <v>6</v>
      </c>
      <c r="H12280" s="1">
        <v>0</v>
      </c>
      <c r="I12280" s="1" t="s">
        <v>24828</v>
      </c>
      <c r="K12280" s="1" t="str">
        <f t="shared" si="779"/>
        <v>ㄧ</v>
      </c>
      <c r="M12280" s="1" t="str">
        <f t="shared" si="780"/>
        <v/>
      </c>
      <c r="N12280" s="3" t="s">
        <v>30575</v>
      </c>
      <c r="O12280" s="3"/>
      <c r="P12280" s="1" t="s">
        <v>20</v>
      </c>
      <c r="R12280" s="1" t="s">
        <v>24829</v>
      </c>
      <c r="V12280" s="1" t="s">
        <v>24898</v>
      </c>
      <c r="AR12280" s="1" t="str">
        <f t="shared" si="778"/>
        <v>| [ㄧˊ](ㄧˊ.md) | [栘](栘.md) |  | yí | [名]
古代傳說中的一種樹木。即棠棣。《說文解字．木部》：「栘，棠棣也。」 |</v>
      </c>
    </row>
    <row r="12281" spans="1:44" hidden="1">
      <c r="A12281" s="1" t="s">
        <v>24899</v>
      </c>
      <c r="C12281" s="1">
        <v>1</v>
      </c>
      <c r="D12281" s="1" t="str">
        <f>"10542"</f>
        <v>10542</v>
      </c>
      <c r="E12281" s="1" t="s">
        <v>558</v>
      </c>
      <c r="F12281" s="1">
        <v>10</v>
      </c>
      <c r="G12281" s="1">
        <v>6</v>
      </c>
      <c r="H12281" s="1">
        <v>0</v>
      </c>
      <c r="I12281" s="1" t="s">
        <v>24828</v>
      </c>
      <c r="K12281" s="1" t="str">
        <f t="shared" si="779"/>
        <v>ㄧ</v>
      </c>
      <c r="M12281" s="1" t="str">
        <f t="shared" si="780"/>
        <v/>
      </c>
      <c r="N12281" s="3" t="s">
        <v>30575</v>
      </c>
      <c r="O12281" s="3"/>
      <c r="P12281" s="1" t="s">
        <v>20</v>
      </c>
      <c r="R12281" s="1" t="s">
        <v>24829</v>
      </c>
      <c r="V12281" s="1" t="s">
        <v>24900</v>
      </c>
      <c r="AR12281" s="1" t="str">
        <f t="shared" si="778"/>
        <v>| [ㄧˊ](ㄧˊ.md) | [迻](迻.md) |  | yí | [動]
遷徙、轉易、變遷。《說文解字．辵部》：「迻，遷徙也。」《楚辭．劉向．九歎．遠遊》：「悲余性之不可改兮，屢懲艾而不迻。」 |</v>
      </c>
    </row>
    <row r="12282" spans="1:44" hidden="1">
      <c r="A12282" s="1" t="s">
        <v>24901</v>
      </c>
      <c r="C12282" s="1">
        <v>1</v>
      </c>
      <c r="D12282" s="1" t="str">
        <f>"10543"</f>
        <v>10543</v>
      </c>
      <c r="E12282" s="1" t="s">
        <v>1252</v>
      </c>
      <c r="F12282" s="1">
        <v>10</v>
      </c>
      <c r="G12282" s="1">
        <v>6</v>
      </c>
      <c r="H12282" s="1">
        <v>0</v>
      </c>
      <c r="I12282" s="1" t="s">
        <v>24828</v>
      </c>
      <c r="K12282" s="1" t="str">
        <f t="shared" si="779"/>
        <v>ㄧ</v>
      </c>
      <c r="M12282" s="1" t="str">
        <f t="shared" si="780"/>
        <v/>
      </c>
      <c r="N12282" s="3" t="s">
        <v>30575</v>
      </c>
      <c r="O12282" s="3"/>
      <c r="P12282" s="1" t="s">
        <v>20</v>
      </c>
      <c r="R12282" s="1" t="s">
        <v>24829</v>
      </c>
      <c r="V12282" s="1" t="s">
        <v>24902</v>
      </c>
      <c r="AR12282" s="1" t="str">
        <f t="shared" si="778"/>
        <v>| [ㄧˊ](ㄧˊ.md) | [扅](扅.md) |  | yí | 參見「扊扅」條。 |</v>
      </c>
    </row>
    <row r="12283" spans="1:44" hidden="1">
      <c r="A12283" s="1" t="s">
        <v>24903</v>
      </c>
      <c r="C12283" s="1">
        <v>1</v>
      </c>
      <c r="D12283" s="1" t="str">
        <f>"10544"</f>
        <v>10544</v>
      </c>
      <c r="E12283" s="1" t="s">
        <v>429</v>
      </c>
      <c r="F12283" s="1">
        <v>11</v>
      </c>
      <c r="G12283" s="1">
        <v>6</v>
      </c>
      <c r="H12283" s="1">
        <v>0</v>
      </c>
      <c r="I12283" s="1" t="s">
        <v>24828</v>
      </c>
      <c r="K12283" s="1" t="str">
        <f t="shared" si="779"/>
        <v>ㄧ</v>
      </c>
      <c r="M12283" s="1" t="str">
        <f t="shared" si="780"/>
        <v/>
      </c>
      <c r="N12283" s="3" t="s">
        <v>30575</v>
      </c>
      <c r="O12283" s="3"/>
      <c r="P12283" s="1" t="s">
        <v>20</v>
      </c>
      <c r="R12283" s="1" t="s">
        <v>24829</v>
      </c>
      <c r="V12283" s="1" t="s">
        <v>24904</v>
      </c>
      <c r="AR12283" s="1" t="str">
        <f t="shared" si="778"/>
        <v>| [ㄧˊ](ㄧˊ.md) | [移](移.md) |  | yí | [動]
1.移轉、搬遷。如：「移植」、「遷移」。《漢書．卷四九．鼂錯傳》：「美草甘水則止，草盡水竭則移。」唐．李賀〈浩歌〉：「南風吹山作平地，帝遣天吳移海水。」
2.轉變、改變。如：「移風易俗」、「移孝作忠」。唐．王勃〈滕王閣〉詩：「閒雲潭影日悠悠，物換星移幾度秋？」
3.搖動。《禮記．玉藻》：「疾趨則欲發，而手足毋移。」唐．孔穎達．正義：「移謂靡迆搖動也。」
4.施予、贈送。《史記．卷一〇四．田叔傳》：「鞅鞅如有移德於我者，何也？」《漢書．卷八七．揚雄傳上》：「是以旃裘之王，胡貉之長，移珍來享，抗手稱臣。」
5.去除。漢．王充《論衡．變虛》：「齊君欲禳慧星之凶，猶子韋欲移熒惑之禍也。」唐．柳宗元〈封建論〉：「削其半，民猶瘁矣，曷若舉而移之，以全其人乎？」
[名]
1.一種官方文書的舊稱，行文於平行的對等單位之間。《後漢書．卷七四．袁紹傳》：「橋帽乃詐作三公移書，傳驛州郡。」《新唐書．卷四六．百官志一》：「諸司相質其制有三：一曰關，二曰制，三曰移。」
2.姓。如漢代有移良。 |</v>
      </c>
    </row>
    <row r="12284" spans="1:44" hidden="1">
      <c r="A12284" s="1" t="s">
        <v>24905</v>
      </c>
      <c r="C12284" s="1">
        <v>1</v>
      </c>
      <c r="D12284" s="1" t="str">
        <f>"10545"</f>
        <v>10545</v>
      </c>
      <c r="E12284" s="1" t="s">
        <v>49</v>
      </c>
      <c r="F12284" s="1">
        <v>17</v>
      </c>
      <c r="G12284" s="1">
        <v>11</v>
      </c>
      <c r="H12284" s="1">
        <v>0</v>
      </c>
      <c r="I12284" s="1" t="s">
        <v>24828</v>
      </c>
      <c r="K12284" s="1" t="str">
        <f t="shared" si="779"/>
        <v>ㄧ</v>
      </c>
      <c r="M12284" s="1" t="str">
        <f t="shared" si="780"/>
        <v/>
      </c>
      <c r="N12284" s="3" t="s">
        <v>30575</v>
      </c>
      <c r="O12284" s="3"/>
      <c r="P12284" s="1" t="s">
        <v>20</v>
      </c>
      <c r="R12284" s="1" t="s">
        <v>24829</v>
      </c>
      <c r="V12284" s="1" t="s">
        <v>24906</v>
      </c>
      <c r="AR12284" s="1" t="str">
        <f t="shared" si="778"/>
        <v>| [ㄧˊ](ㄧˊ.md) | [簃](簃.md) |  | yí | [名]
與樓閣相連的小屋。《爾雅．釋宮》：「連謂之簃。」晉．郭璞．注：「堂樓閣邊小屋，今呼之簃廚連觀也。」 |</v>
      </c>
    </row>
    <row r="12285" spans="1:44" hidden="1">
      <c r="A12285" s="1" t="s">
        <v>24907</v>
      </c>
      <c r="C12285" s="1">
        <v>1</v>
      </c>
      <c r="D12285" s="1" t="str">
        <f>"10546"</f>
        <v>10546</v>
      </c>
      <c r="E12285" s="1" t="s">
        <v>331</v>
      </c>
      <c r="F12285" s="1">
        <v>18</v>
      </c>
      <c r="G12285" s="1">
        <v>11</v>
      </c>
      <c r="H12285" s="1">
        <v>0</v>
      </c>
      <c r="I12285" s="1" t="s">
        <v>24828</v>
      </c>
      <c r="K12285" s="1" t="str">
        <f t="shared" si="779"/>
        <v>ㄧ</v>
      </c>
      <c r="M12285" s="1" t="str">
        <f t="shared" si="780"/>
        <v/>
      </c>
      <c r="N12285" s="3" t="s">
        <v>30575</v>
      </c>
      <c r="O12285" s="3"/>
      <c r="P12285" s="1" t="s">
        <v>20</v>
      </c>
      <c r="R12285" s="1" t="s">
        <v>24829</v>
      </c>
      <c r="V12285" s="1" t="s">
        <v>24908</v>
      </c>
      <c r="AR12285" s="1" t="str">
        <f t="shared" si="778"/>
        <v>| [ㄧˊ](ㄧˊ.md) | [謻](謻.md) |  | yí | [名]
凡別出的門堂臺榭均稱為「謻」。參見「謻門」條。 |</v>
      </c>
    </row>
    <row r="12286" spans="1:44" hidden="1">
      <c r="A12286" s="1" t="s">
        <v>20837</v>
      </c>
      <c r="C12286" s="1">
        <v>1</v>
      </c>
      <c r="D12286" s="1" t="str">
        <f>"10547"</f>
        <v>10547</v>
      </c>
      <c r="E12286" s="1" t="s">
        <v>679</v>
      </c>
      <c r="F12286" s="1">
        <v>11</v>
      </c>
      <c r="G12286" s="1">
        <v>5</v>
      </c>
      <c r="H12286" s="1">
        <v>2</v>
      </c>
      <c r="I12286" s="1" t="s">
        <v>24828</v>
      </c>
      <c r="K12286" s="1" t="str">
        <f t="shared" si="779"/>
        <v>ㄧ</v>
      </c>
      <c r="M12286" s="1" t="str">
        <f t="shared" si="780"/>
        <v/>
      </c>
      <c r="N12286" s="3" t="s">
        <v>30575</v>
      </c>
      <c r="O12286" s="3"/>
      <c r="P12286" s="1" t="s">
        <v>20</v>
      </c>
      <c r="R12286" s="1" t="s">
        <v>24829</v>
      </c>
      <c r="V12286" s="1" t="s">
        <v>24909</v>
      </c>
      <c r="W12286" s="1" t="s">
        <v>24910</v>
      </c>
      <c r="AR12286" s="1" t="str">
        <f t="shared" si="778"/>
        <v>| [ㄧˊ](ㄧˊ.md) | [蛇](蛇.md) |  | yí | 參見「蛇蛇」、「委蛇」等條。 |</v>
      </c>
    </row>
    <row r="12287" spans="1:44" hidden="1">
      <c r="A12287" s="1" t="s">
        <v>24911</v>
      </c>
      <c r="C12287" s="1">
        <v>1</v>
      </c>
      <c r="D12287" s="1" t="str">
        <f>"10548"</f>
        <v>10548</v>
      </c>
      <c r="E12287" s="1" t="s">
        <v>2173</v>
      </c>
      <c r="F12287" s="1">
        <v>14</v>
      </c>
      <c r="G12287" s="1">
        <v>9</v>
      </c>
      <c r="H12287" s="1">
        <v>0</v>
      </c>
      <c r="I12287" s="1" t="s">
        <v>24828</v>
      </c>
      <c r="K12287" s="1" t="str">
        <f t="shared" si="779"/>
        <v>ㄧ</v>
      </c>
      <c r="M12287" s="1" t="str">
        <f t="shared" si="780"/>
        <v/>
      </c>
      <c r="N12287" s="3" t="s">
        <v>30575</v>
      </c>
      <c r="O12287" s="3"/>
      <c r="P12287" s="1" t="s">
        <v>20</v>
      </c>
      <c r="R12287" s="1" t="s">
        <v>24829</v>
      </c>
      <c r="V12287" s="1" t="s">
        <v>24912</v>
      </c>
      <c r="AR12287" s="1" t="str">
        <f t="shared" si="778"/>
        <v>| [ㄧˊ](ㄧˊ.md) | [疑](疑.md) |  | yí | [動]_x000D_
1.迷惑、不明白。《說文解字．匕部》：「疑，惑也。」《易經．繫辭下》：「中心疑者，其辭枝。」_x000D_
2.猜忌、不相信。如：「懷疑」、「半信半疑」。《史記．卷八六．刺客列傳．荊軻》：「夫為行而使人疑之，非節俠也。」_x000D_
3.猶豫不決。如：「遲疑」。《書經．大禹謨》：「任賢勿貳，去邪勿疑。」晉．陶淵明〈歸去來辭〉：「聊乘化以歸盡，樂夫天命復奚疑。」_x000D_
4.怪。《淮南子．氾論》：「當此之時，有立武者見疑。」晉．陶淵明〈飲酒〉詩二〇首之九：「壺漿遠見候，疑我與時乖。」_x000D_
5.恐懼。《禮記．雜記下》：「故有疾飲酒食肉，五十不致毀，六十不毀，七十飲酒食肉，皆為疑死。」漢．鄭玄．注：「疑，猶恐也。」唐．劉蛻〈與京西幕府書〉：「富貴固不足疑其來，爵土固不足畏其大。」_x000D_
[副]_x000D_
彷彿、好像。如：「疑似」、「嫌疑」。唐．李白〈望廬山瀑布水〉詩二首之二：「飛流直下三千尺，疑是銀河落九天。」宋．陸游〈遊山西村〉詩：「山重水複疑無路，柳暗花明又一村。」 |</v>
      </c>
    </row>
    <row r="12288" spans="1:44" hidden="1">
      <c r="A12288" s="1" t="s">
        <v>7415</v>
      </c>
      <c r="C12288" s="1">
        <v>1</v>
      </c>
      <c r="D12288" s="1" t="str">
        <f>"10549"</f>
        <v>10549</v>
      </c>
      <c r="E12288" s="1" t="s">
        <v>190</v>
      </c>
      <c r="F12288" s="1">
        <v>17</v>
      </c>
      <c r="G12288" s="1">
        <v>14</v>
      </c>
      <c r="H12288" s="1">
        <v>1</v>
      </c>
      <c r="I12288" s="1" t="s">
        <v>24828</v>
      </c>
      <c r="K12288" s="1" t="str">
        <f t="shared" si="779"/>
        <v>ㄧ</v>
      </c>
      <c r="M12288" s="1" t="str">
        <f t="shared" si="780"/>
        <v/>
      </c>
      <c r="N12288" s="3" t="s">
        <v>30575</v>
      </c>
      <c r="O12288" s="3"/>
      <c r="P12288" s="1" t="s">
        <v>20</v>
      </c>
      <c r="R12288" s="1" t="s">
        <v>24829</v>
      </c>
      <c r="V12288" s="1" t="s">
        <v>24913</v>
      </c>
      <c r="W12288" s="1" t="s">
        <v>24914</v>
      </c>
      <c r="AR12288" s="1" t="str">
        <f t="shared" si="778"/>
        <v>| [ㄧˊ](ㄧˊ.md) | [嶷](嶷.md) |  | yí | [名]
九嶷山：山名。在大陸地區湖南省寧遠縣，相傳舜葬於此。也稱為「蒼梧山」。 |</v>
      </c>
    </row>
    <row r="12289" spans="1:44" hidden="1">
      <c r="A12289" s="1" t="s">
        <v>24915</v>
      </c>
      <c r="C12289" s="1">
        <v>1</v>
      </c>
      <c r="D12289" s="1" t="str">
        <f>"10550"</f>
        <v>10550</v>
      </c>
      <c r="E12289" s="1" t="s">
        <v>114</v>
      </c>
      <c r="F12289" s="1">
        <v>15</v>
      </c>
      <c r="G12289" s="1">
        <v>13</v>
      </c>
      <c r="H12289" s="1">
        <v>0</v>
      </c>
      <c r="I12289" s="1" t="s">
        <v>24828</v>
      </c>
      <c r="K12289" s="1" t="str">
        <f t="shared" si="779"/>
        <v>ㄧ</v>
      </c>
      <c r="M12289" s="1" t="str">
        <f t="shared" si="780"/>
        <v/>
      </c>
      <c r="N12289" s="3" t="s">
        <v>30575</v>
      </c>
      <c r="O12289" s="3"/>
      <c r="P12289" s="1" t="s">
        <v>20</v>
      </c>
      <c r="R12289" s="1" t="s">
        <v>24829</v>
      </c>
      <c r="V12289" s="1" t="s">
        <v>24916</v>
      </c>
      <c r="AR12289" s="1" t="str">
        <f t="shared" si="778"/>
        <v>| [ㄧˊ](ㄧˊ.md) | [儀](儀.md) |  | yí | [名]
1.法則、標準。《墨子．天志》：「置此以為法，立此以為儀，將以量度天下之王公大人、卿大夫之仁與不仁。」《三國志．卷三五．蜀書．諸葛亮傳》：「諸葛亮之為相國也，撫百姓，示儀軌。」
2.典範、表率。《楚辭．屈原．九章．抽思》：「望三五以為像兮，指彭咸以為儀。」《荀子．正論》：「主者，民之唱也。上者，下之儀也。」
3.禮節、程序、形式。如：「禮儀」、「儀式」。《詩經．鄘風．相鼠》：「相鼠有皮，人而無儀。」《荀子．正論》：「諸夏之國，同服同儀。」
4.舉止容貌。如：「儀容」、「儀表堂堂」。《喻世明言．卷三〇．明悟禪師趕五戒》：「瑞卿生得面方耳大，丰儀出眾。」
5.禮物。如：「賀儀」、「奠儀」、「謝儀」。《喻世明言．卷二四．楊思溫燕山逢故人》：「且出此間，備些祭儀。」《紅樓夢》第二二回：「又一面遣人回去，將自己舊日作的兩色針線活計取來，為寶釵生辰之儀。」
6.儀器的簡稱。如：「渾天儀」、「地球儀」。《荀子．君道》：「君者，儀也，儀正而景正。」
[動]
1.嚮往、仰慕。《漢書．卷九七．外戚傳上．孝宣許皇后傳》：「公卿議更立皇后，皆心儀霍將軍女。」
2.效法。《文選．張衡．東京賦》：「儀姬伯之渭陽，失熊羆而獲人。」
3.匹配。如：「有鳳來儀」。《文選．宋玉．高唐賦》：「惟高唐之大體兮，殊無物類之可儀比。」 |</v>
      </c>
    </row>
    <row r="12290" spans="1:44" hidden="1">
      <c r="A12290" s="1" t="s">
        <v>24917</v>
      </c>
      <c r="C12290" s="1">
        <v>1</v>
      </c>
      <c r="D12290" s="1" t="str">
        <f>"10551"</f>
        <v>10551</v>
      </c>
      <c r="E12290" s="1" t="s">
        <v>272</v>
      </c>
      <c r="F12290" s="1">
        <v>24</v>
      </c>
      <c r="G12290" s="1">
        <v>13</v>
      </c>
      <c r="H12290" s="1">
        <v>0</v>
      </c>
      <c r="I12290" s="1" t="s">
        <v>24828</v>
      </c>
      <c r="K12290" s="1" t="str">
        <f t="shared" si="779"/>
        <v>ㄧ</v>
      </c>
      <c r="M12290" s="1" t="str">
        <f t="shared" si="780"/>
        <v/>
      </c>
      <c r="N12290" s="3" t="s">
        <v>30575</v>
      </c>
      <c r="O12290" s="3"/>
      <c r="P12290" s="1" t="s">
        <v>20</v>
      </c>
      <c r="R12290" s="1" t="s">
        <v>24829</v>
      </c>
      <c r="V12290" s="1" t="s">
        <v>14799</v>
      </c>
      <c r="AR12290" s="1" t="str">
        <f t="shared" si="778"/>
        <v>| [ㄧˊ](ㄧˊ.md) | [鸃](鸃.md) |  | yí | 參見「鵔鸃」條。 |</v>
      </c>
    </row>
    <row r="12291" spans="1:44" hidden="1">
      <c r="A12291" s="1" t="s">
        <v>24918</v>
      </c>
      <c r="C12291" s="1">
        <v>1</v>
      </c>
      <c r="D12291" s="1" t="str">
        <f>"10552"</f>
        <v>10552</v>
      </c>
      <c r="E12291" s="1" t="s">
        <v>558</v>
      </c>
      <c r="F12291" s="1">
        <v>16</v>
      </c>
      <c r="G12291" s="1">
        <v>12</v>
      </c>
      <c r="H12291" s="1">
        <v>1</v>
      </c>
      <c r="I12291" s="1" t="s">
        <v>24828</v>
      </c>
      <c r="K12291" s="1" t="str">
        <f t="shared" si="779"/>
        <v>ㄧ</v>
      </c>
      <c r="M12291" s="1" t="str">
        <f t="shared" si="780"/>
        <v/>
      </c>
      <c r="N12291" s="3" t="s">
        <v>30575</v>
      </c>
      <c r="O12291" s="3"/>
      <c r="P12291" s="1" t="s">
        <v>20</v>
      </c>
      <c r="R12291" s="1" t="s">
        <v>24829</v>
      </c>
      <c r="V12291" s="1" t="s">
        <v>24919</v>
      </c>
      <c r="W12291" s="1" t="s">
        <v>24920</v>
      </c>
      <c r="AR12291" s="1" t="str">
        <f t="shared" ref="AR12291:AR12354" si="781">"| ["&amp;I12291&amp;"]("&amp;I12291&amp;".md) | ["&amp;A12291&amp;"]("&amp;A12291&amp;".md) | "&amp;" | "&amp;R12291&amp;" | "&amp;V12291&amp;" |"</f>
        <v>| [ㄧˊ](ㄧˊ.md) | [遺](遺.md) |  | yí | [動]
1.亡失、丟掉。《韓非子．難二》：「齊桓公飲酒醉，遺其冠，恥之，三日不朝。」唐．崔國輔〈長樂少年行〉：「遺卻珊瑚鞭，白馬驕不行。」
2.脫漏。《韓非子．有度》：「刑過不避大臣，賞善不遺匹夫。」宋．趙汝鐩〈翁媼歎〉：「愁死未死此何時，縣道賦不遺毫釐。」
3.捨棄。《易經．泰卦》：「包荒，用馮河，不遐遺。」唐．孔穎達．正義：「遺，棄也。」《史記．卷八三．魯仲連鄒陽傳》：「遺公子糾不能死，怯也。」唐．司馬貞．索隱：「遺，棄也。謂棄子糾而事小白也。」
4.忘記。《孝經．孝治章》：「昔者明王之以孝治天下也，不敢遺小國之臣。」《孔子家語．卷七．五刑解》：「鬥變者，生於相陵；相陵者，生於長幼無序而遺敬讓。」
5.留下。如：「不遺餘力」、「遺臭萬年」。《史記．卷一〇．孝文本紀》：「太僕見馬遺財足，餘皆以給傳置。」唐．杜甫〈哭嚴僕射歸櫬〉詩：「一哀三峽暮，遺後見君情。」
6.離開。《莊子．田子方》：「向者先王形體掘若槁木，似遺物離人而立於獨也。」《文選．曹植．七啟》：「亦將有才人妙妓，遺世越俗。」
7.排泄。《史記．卷八一．廉頗藺相如傳》：「廉將軍雖老，尚善飯，然與臣坐，頃之三遺矢矣。」《南史．卷一九．謝靈運傳》：「又嘗於閣省裸袒酣飲，及醉小遺，下霑令史，為南司所彈，幾卿亦不介意。」
8.剩餘。如：「暴露無遺」。
[名]
亡失的東西。如：「路不拾遺」。《韓非子．外儲說左上》：「子產退而為政。五年，國無盜賊，道不拾遺。」《文選．司馬遷．報任少卿書》：「次之又不能拾遺捕闕，招賢進能，顯巖穴之士。」
[形]
留下的、剩餘未盡的。如：「遺言」、「遺產」。《孟子．公孫丑上》：「其故家遺俗，流風善政，猶有存者。」《漢書．卷二四．食貨志上》：「地有遺利，民有餘力。」 |</v>
      </c>
    </row>
    <row r="12292" spans="1:44" hidden="1">
      <c r="A12292" s="1" t="s">
        <v>24921</v>
      </c>
      <c r="C12292" s="1">
        <v>1</v>
      </c>
      <c r="D12292" s="1" t="str">
        <f>"10553"</f>
        <v>10553</v>
      </c>
      <c r="E12292" s="1" t="s">
        <v>6976</v>
      </c>
      <c r="F12292" s="1">
        <v>18</v>
      </c>
      <c r="G12292" s="1">
        <v>15</v>
      </c>
      <c r="H12292" s="1">
        <v>0</v>
      </c>
      <c r="I12292" s="1" t="s">
        <v>24828</v>
      </c>
      <c r="K12292" s="1" t="str">
        <f t="shared" si="779"/>
        <v>ㄧ</v>
      </c>
      <c r="M12292" s="1" t="str">
        <f t="shared" si="780"/>
        <v/>
      </c>
      <c r="N12292" s="3" t="s">
        <v>30575</v>
      </c>
      <c r="O12292" s="3"/>
      <c r="P12292" s="1" t="s">
        <v>20</v>
      </c>
      <c r="R12292" s="1" t="s">
        <v>24829</v>
      </c>
      <c r="V12292" s="1" t="s">
        <v>24922</v>
      </c>
      <c r="AR12292" s="1" t="str">
        <f t="shared" si="781"/>
        <v>| [ㄧˊ](ㄧˊ.md) | [彞](彞.md) |  | yí | [名]_x000D_
1.古代盛酒的器具或宗廟常用的祭器。《爾雅．釋器》：「彞、卣、罍，器也。」晉．郭璞．注：「皆盛酒尊，彞其總名。」《宋書．卷四二．列傳．劉穆之》：「功銘鼎彞，義彰典策。」_x000D_
2.常道、常法。《詩經．大雅．烝民》：「民之秉彞，好是懿德。」_x000D_
3.中國少數民族之一。多分布在大陸地區雲南、四川、貴州等地。 |</v>
      </c>
    </row>
    <row r="12293" spans="1:44" hidden="1">
      <c r="A12293" s="1" t="s">
        <v>24923</v>
      </c>
      <c r="C12293" s="1">
        <v>1</v>
      </c>
      <c r="D12293" s="1" t="str">
        <f>"10554"</f>
        <v>10554</v>
      </c>
      <c r="E12293" s="1" t="s">
        <v>3480</v>
      </c>
      <c r="F12293" s="1">
        <v>1</v>
      </c>
      <c r="G12293" s="1">
        <v>0</v>
      </c>
      <c r="H12293" s="1">
        <v>0</v>
      </c>
      <c r="I12293" s="1" t="s">
        <v>24924</v>
      </c>
      <c r="K12293" s="1" t="str">
        <f t="shared" si="779"/>
        <v>ㄧ</v>
      </c>
      <c r="M12293" s="1" t="str">
        <f t="shared" si="780"/>
        <v/>
      </c>
      <c r="N12293" s="3" t="s">
        <v>30576</v>
      </c>
      <c r="O12293" s="3"/>
      <c r="P12293" s="1" t="s">
        <v>20</v>
      </c>
      <c r="R12293" s="1" t="s">
        <v>24925</v>
      </c>
      <c r="V12293" s="1" t="s">
        <v>24926</v>
      </c>
      <c r="AR12293" s="1" t="str">
        <f t="shared" si="781"/>
        <v>| [ㄧˇ](ㄧˇ.md) | [乙](乙.md) |  | yǐ | [名]
1.天干的第二位。
2.姓。如明代有乙瑄。
3.二一四部首之一。
[代]
人或地的代稱。如：「某乙」、「乙地」。《史記．卷一〇三．萬石君傳》：「奮長子建，次子甲，次子乙，次子慶。」
[形]
次序或等級屬於第二的。如：「乙等」、「乙級」、「乙班」。 |</v>
      </c>
    </row>
    <row r="12294" spans="1:44" hidden="1">
      <c r="A12294" s="1" t="s">
        <v>24927</v>
      </c>
      <c r="C12294" s="1">
        <v>1</v>
      </c>
      <c r="D12294" s="1" t="str">
        <f>"10555"</f>
        <v>10555</v>
      </c>
      <c r="E12294" s="1" t="s">
        <v>55</v>
      </c>
      <c r="F12294" s="1">
        <v>9</v>
      </c>
      <c r="G12294" s="1">
        <v>1</v>
      </c>
      <c r="H12294" s="1">
        <v>0</v>
      </c>
      <c r="I12294" s="1" t="s">
        <v>24924</v>
      </c>
      <c r="K12294" s="1" t="str">
        <f t="shared" si="779"/>
        <v>ㄧ</v>
      </c>
      <c r="M12294" s="1" t="str">
        <f t="shared" si="780"/>
        <v/>
      </c>
      <c r="N12294" s="3" t="s">
        <v>30576</v>
      </c>
      <c r="O12294" s="3"/>
      <c r="P12294" s="1" t="s">
        <v>20</v>
      </c>
      <c r="R12294" s="1" t="s">
        <v>24925</v>
      </c>
      <c r="V12294" s="1" t="s">
        <v>24928</v>
      </c>
      <c r="AR12294" s="1" t="str">
        <f t="shared" si="781"/>
        <v>| [ㄧˇ](ㄧˇ.md) | [釔](釔.md) |  | yǐ | [名]
（yttrium，Y）化學元素。原子序39。過渡金屬元素之一。為銀白色金屬，可溶於稀酸類及氫氧化鉀溶液，能於水中分解。可用於製造白熱燈罩。 |</v>
      </c>
    </row>
    <row r="12295" spans="1:44" hidden="1">
      <c r="A12295" s="1" t="s">
        <v>24929</v>
      </c>
      <c r="C12295" s="1">
        <v>1</v>
      </c>
      <c r="D12295" s="1" t="str">
        <f>"10556"</f>
        <v>10556</v>
      </c>
      <c r="E12295" s="1" t="s">
        <v>31</v>
      </c>
      <c r="F12295" s="1">
        <v>3</v>
      </c>
      <c r="G12295" s="1">
        <v>0</v>
      </c>
      <c r="H12295" s="1">
        <v>0</v>
      </c>
      <c r="I12295" s="1" t="s">
        <v>24924</v>
      </c>
      <c r="K12295" s="1" t="str">
        <f t="shared" si="779"/>
        <v>ㄧ</v>
      </c>
      <c r="M12295" s="1" t="str">
        <f t="shared" si="780"/>
        <v/>
      </c>
      <c r="N12295" s="3" t="s">
        <v>30576</v>
      </c>
      <c r="O12295" s="3"/>
      <c r="P12295" s="1" t="s">
        <v>20</v>
      </c>
      <c r="R12295" s="1" t="s">
        <v>24925</v>
      </c>
      <c r="V12295" s="1" t="s">
        <v>24930</v>
      </c>
      <c r="AR12295" s="1" t="str">
        <f t="shared" si="781"/>
        <v>| [ㄧˇ](ㄧˇ.md) | [已](已.md) |  | yǐ | [動]
1.停止。《詩經．鄭風．風雨》：「風雨如晦，雞鳴不已。」《論語．泰伯》：「仁以為己任，不亦重乎！死而後已，不亦遠乎！」
2.完畢、完成。《國語．齊語》：「有司已於事而竣。」《漢書．卷三〇．藝文志》：「每一書已，向輒條其篇目，撮其指意，錄而奏之。」
3.黜退。《論語．公冶長》：「令尹子文三仕為令尹，無喜色；三已之，無慍色。」
4.病癒。《史記．卷一〇五．扁鵲倉公傳》：「一飲汗盡，再飲熱去，三飲病已。」
[副]
1.已經。如：「時間早已過了。」《論語．微子》：「道之不行，已知之矣。」唐．李白〈早發白帝城〉詩：「兩岸猿聲啼不盡，輕舟已過萬重山。」
2.太、甚。《孟子．離婁下》：「仲尼不為已甚者。」《管子．戒》：「其為人也，好善而惡惡已甚。」
3.隨後、然後。《史記．卷七．項羽本紀》：「韓王成無軍功，項王不使之國，與俱至彭城，廢以為侯，已又殺之。」明．徐弘祖《徐霞客遊記．卷一上．遊天台山日記》：「香風來處，玉蘭芳草，處處不絕。已至一山嘴，石壁直豎澗底，澗深流駛，旁無餘地。」
4.一定、必定。《漢書．卷五二．灌夫傳》：「夫不好文學，喜任俠，已然諾。」
[助]
用於句尾。相當於「矣」。《書經．洛誥》：「公定，予往已。」《孟子．梁惠王上》：「然則王之所大欲可知已。」
[歎]
用於句首，表示感嘆的語氣。同「哎」。《書經．大誥》：「已！予惟小子。」
[代]
此、如此。《論語．陽貨》：「不有博奕者乎？為之，猶賢乎已。」《史記．卷二．夏本紀》：「敦序九族，眾明高翼，近可遠在已。」 |</v>
      </c>
    </row>
    <row r="12296" spans="1:44" hidden="1">
      <c r="A12296" s="1" t="s">
        <v>24931</v>
      </c>
      <c r="C12296" s="1">
        <v>1</v>
      </c>
      <c r="D12296" s="1" t="str">
        <f>"10557"</f>
        <v>10557</v>
      </c>
      <c r="E12296" s="1" t="s">
        <v>114</v>
      </c>
      <c r="F12296" s="1">
        <v>5</v>
      </c>
      <c r="G12296" s="1">
        <v>3</v>
      </c>
      <c r="H12296" s="1">
        <v>0</v>
      </c>
      <c r="I12296" s="1" t="s">
        <v>24924</v>
      </c>
      <c r="K12296" s="1" t="str">
        <f t="shared" si="779"/>
        <v>ㄧ</v>
      </c>
      <c r="M12296" s="1" t="str">
        <f t="shared" si="780"/>
        <v/>
      </c>
      <c r="N12296" s="3" t="s">
        <v>30576</v>
      </c>
      <c r="O12296" s="3"/>
      <c r="P12296" s="1" t="s">
        <v>20</v>
      </c>
      <c r="R12296" s="1" t="s">
        <v>24925</v>
      </c>
      <c r="V12296" s="1" t="s">
        <v>24932</v>
      </c>
      <c r="AR12296" s="1" t="str">
        <f t="shared" si="781"/>
        <v>| [ㄧˇ](ㄧˇ.md) | [以](以.md) |  | yǐ | [動]_x000D_
1.用。《左傳．襄公十年》：「我辭禮矣，彼則以之。」漢．王充《論衡．程材》：「洗洿泥者以水，燔腥者用火。」_x000D_
2.仰賴、憑藉。《韓非子．五蠹》：「富國以農，距敵恃卒。」漢．王充《論衡．卜筮》：「欲知天，以人事。」_x000D_
3.認為、以為。《左傳．昭公二十五年》：「告臧孫，臧孫以難；告郈孫，郈孫以可勸。」唐．柳宗元〈為裴中丞上裴相賀破東平狀〉：「竊以自古中興之主，必有命代之臣。」_x000D_
4.可、能夠。《詩經．齊風．猗嗟》：「四矢反兮，以禦亂兮。」《孟子．滕文公下》：「大則以王，小則以霸。」_x000D_
5.令、使。《孟子．公孫丑上》：「管仲以其君霸，晏子以其君顯。管仲、晏子猶不足為與？」《戰國策．秦策一》：「向欲以齊事王，使攻宋也。」_x000D_
6.帶領、率領。《左傳．成公十六年》：「欒、范以其族夾公行，陷于淖。」《史記．卷一〇七．魏其武安侯列傳》：「吳楚反時，潁陰侯灌何為將軍，屬太尉，請灌孟為校尉。夫以千人與父俱。」_x000D_
7.延及。《易經．小畜．九五》：「有孚攣如，富以其鄰。」《論語．堯曰》：「朕躬有罪，無以萬方。」_x000D_
[介]_x000D_
1.表示行為的憑藉。相當於「用」。如：「以身作則」、「徐噴以煙」。《論語．為政》：「生，事之以禮；死，葬之以禮、祭之以禮。」《左傳．文公二年》：「晉襄公縛秦囚，使萊駒以戈斬之。」《史記．卷一一七．司馬相如列傳》：「是時卓王孫有女文君新寡，好音，故相如繆與令相重，而以琴心挑之。」_x000D_
2.因為、由於。《論語．衛靈公》：「君子不以言舉人，不以人廢言。」《韓非子．喻老》：「千丈之隄，以蟻螻之穴潰。」_x000D_
3.按、依。《孟子．梁惠王上》：「斧斤以時入山林，材木不可勝用也。」《商君書．更法》：「禮法以時而定，制令各順其宜。」_x000D_
4.在、於。《左傳．桓公二年》：「其弟以千畝之戰生，命之曰成師。」唐．柳宗元〈斷刑論〉：「賞以春夏而刑以秋冬。」_x000D_
5.表時空、方位、程度等的界限，通常加在前、後、左、右、上、下、往、來、東、西、南、北等字之前。如：「亙古以來」、「中人以上」、「長安東路以西」、「價格在一千元以下」。_x000D_
[連]_x000D_
1.而、且。《詩經．邶風．燕燕》：「瞻望弗及，佇立以泣。」《禮記．樂記》：「亡國之音哀以思，其民困。」_x000D_
2.因而。《漢書．卷二九．溝洫志》：「於是關中為沃野，無凶年，秦以富彊。」三國蜀．諸葛亮〈出師表〉：「不宜妄自菲薄，引喻失義，以塞忠諫之路也。」_x000D_
3.目的在於。如：「以免」、「以致於」。《書經．泰誓下》：「郊社不修，宗廟不享。作奇技淫巧以悅婦人。」_x000D_
4.與、和。《儀禮．鄉射禮》：「各以其耦進，反于射位。」_x000D_
[助]_x000D_
置動詞後，無義。如：「得以」、「能以」。《論語．泰伯》：「可以託六尺之孤，可以寄百里之命。」_x000D_
[副]_x000D_
1.太、甚。《孟子．滕文公下》：「三月無君則弔，不以急乎？」《史記．卷六六．伍子胥列傳》：「子之報仇，其以甚乎？」_x000D_
2.既、已經。通「已」。《三國志．卷二三．魏書．和常楊杜趙裴傳．杜襲》：「吾計以定，卿勿復言。」_x000D_
3.更加。《呂氏春秋．恃君覽．觀表》：「魏日以削，秦日益大。」《史記．卷五．秦本紀》：「及其後世，日以驕淫。」_x000D_
[名]_x000D_
1.緣故、理由。《詩經．邶風．旄丘》：「何其久也，必有以也。」《列子．周穆王》：「宋人執而問其以，華子曰：『曩吾忘也。』」唐．李白〈春夜宴從弟桃花園序〉：「古人秉燭夜遊，良有以也。」_x000D_
2.以色列的簡稱。如：「以阿戰爭」。_x000D_
3.姓。如漢代有以彤。 |</v>
      </c>
    </row>
    <row r="12297" spans="1:44" hidden="1">
      <c r="A12297" s="1" t="s">
        <v>24933</v>
      </c>
      <c r="C12297" s="1">
        <v>1</v>
      </c>
      <c r="D12297" s="1" t="str">
        <f>"10558"</f>
        <v>10558</v>
      </c>
      <c r="E12297" s="1" t="s">
        <v>37</v>
      </c>
      <c r="F12297" s="1">
        <v>9</v>
      </c>
      <c r="G12297" s="1">
        <v>5</v>
      </c>
      <c r="H12297" s="1">
        <v>0</v>
      </c>
      <c r="I12297" s="1" t="s">
        <v>24924</v>
      </c>
      <c r="K12297" s="1" t="str">
        <f t="shared" si="779"/>
        <v>ㄧ</v>
      </c>
      <c r="M12297" s="1" t="str">
        <f t="shared" si="780"/>
        <v/>
      </c>
      <c r="N12297" s="3" t="s">
        <v>30576</v>
      </c>
      <c r="O12297" s="3"/>
      <c r="P12297" s="1" t="s">
        <v>20</v>
      </c>
      <c r="R12297" s="1" t="s">
        <v>24925</v>
      </c>
      <c r="V12297" s="1" t="s">
        <v>24934</v>
      </c>
      <c r="AR12297" s="1" t="str">
        <f t="shared" si="781"/>
        <v>| [ㄧˇ](ㄧˇ.md) | [苡](苡.md) |  | yǐ | 參見「芣苡」、「薏苡」等條。 |</v>
      </c>
    </row>
    <row r="12298" spans="1:44" hidden="1">
      <c r="A12298" s="1" t="s">
        <v>6868</v>
      </c>
      <c r="C12298" s="1">
        <v>1</v>
      </c>
      <c r="D12298" s="1" t="str">
        <f>"10559"</f>
        <v>10559</v>
      </c>
      <c r="E12298" s="1" t="s">
        <v>691</v>
      </c>
      <c r="F12298" s="1">
        <v>6</v>
      </c>
      <c r="G12298" s="1">
        <v>3</v>
      </c>
      <c r="H12298" s="1">
        <v>3</v>
      </c>
      <c r="I12298" s="1" t="s">
        <v>24924</v>
      </c>
      <c r="K12298" s="1" t="str">
        <f t="shared" si="779"/>
        <v>ㄧ</v>
      </c>
      <c r="M12298" s="1" t="str">
        <f t="shared" si="780"/>
        <v/>
      </c>
      <c r="N12298" s="3" t="s">
        <v>30576</v>
      </c>
      <c r="O12298" s="3"/>
      <c r="P12298" s="1" t="s">
        <v>20</v>
      </c>
      <c r="R12298" s="1" t="s">
        <v>24925</v>
      </c>
      <c r="V12298" s="1" t="s">
        <v>24935</v>
      </c>
      <c r="W12298" s="1" t="s">
        <v>24936</v>
      </c>
      <c r="AR12298" s="1" t="str">
        <f t="shared" si="781"/>
        <v>| [ㄧˇ](ㄧˇ.md) | [阤](阤.md) |  | yǐ | 參見「阤靡」條。 |</v>
      </c>
    </row>
    <row r="12299" spans="1:44" hidden="1">
      <c r="A12299" s="1" t="s">
        <v>24833</v>
      </c>
      <c r="C12299" s="1">
        <v>1</v>
      </c>
      <c r="D12299" s="1" t="str">
        <f>"10560"</f>
        <v>10560</v>
      </c>
      <c r="E12299" s="1" t="s">
        <v>558</v>
      </c>
      <c r="F12299" s="1">
        <v>7</v>
      </c>
      <c r="G12299" s="1">
        <v>3</v>
      </c>
      <c r="H12299" s="1">
        <v>1</v>
      </c>
      <c r="I12299" s="1" t="s">
        <v>24924</v>
      </c>
      <c r="K12299" s="1" t="str">
        <f t="shared" si="779"/>
        <v>ㄧ</v>
      </c>
      <c r="M12299" s="1" t="str">
        <f t="shared" si="780"/>
        <v/>
      </c>
      <c r="N12299" s="3" t="s">
        <v>30576</v>
      </c>
      <c r="O12299" s="3"/>
      <c r="P12299" s="1" t="s">
        <v>20</v>
      </c>
      <c r="R12299" s="1" t="s">
        <v>24925</v>
      </c>
      <c r="V12299" s="1" t="s">
        <v>24937</v>
      </c>
      <c r="W12299" s="1" t="s">
        <v>24938</v>
      </c>
      <c r="AR12299" s="1" t="str">
        <f t="shared" si="781"/>
        <v>| [ㄧˇ](ㄧˇ.md) | [迆](迆.md) |  | yǐ | [動]
1.斜行。《書經．禹貢》：「東至于澧，過九江，至于東陵，東迆北會于匯。」北魏．酈道元《水經注．河水注》：「大河右迆，東注漯水矣。」
2.斜倚。《周禮．冬官考工記》：「戈柲六尺有六寸，既建而迆，崇於軫四尺，謂之二等。」《文選．張衡．東京賦》：「立戈迆戛，農輿輅木。」 |</v>
      </c>
    </row>
    <row r="12300" spans="1:44" hidden="1">
      <c r="A12300" s="1" t="s">
        <v>24836</v>
      </c>
      <c r="C12300" s="1">
        <v>1</v>
      </c>
      <c r="D12300" s="1" t="str">
        <f>"10560A"</f>
        <v>10560A</v>
      </c>
      <c r="E12300" s="1" t="s">
        <v>558</v>
      </c>
      <c r="F12300" s="1">
        <v>9</v>
      </c>
      <c r="G12300" s="1">
        <v>5</v>
      </c>
      <c r="H12300" s="1">
        <v>2</v>
      </c>
      <c r="I12300" s="1" t="s">
        <v>24924</v>
      </c>
      <c r="K12300" s="1" t="str">
        <f t="shared" si="779"/>
        <v>ㄧ</v>
      </c>
      <c r="M12300" s="1" t="str">
        <f t="shared" si="780"/>
        <v/>
      </c>
      <c r="N12300" s="3" t="s">
        <v>30576</v>
      </c>
      <c r="O12300" s="3"/>
      <c r="P12300" s="1" t="s">
        <v>20</v>
      </c>
      <c r="R12300" s="1" t="s">
        <v>24925</v>
      </c>
      <c r="V12300" s="1" t="s">
        <v>24939</v>
      </c>
      <c r="W12300" s="1" t="s">
        <v>24940</v>
      </c>
      <c r="AR12300" s="1" t="str">
        <f t="shared" si="781"/>
        <v>| [ㄧˇ](ㄧˇ.md) | [迤](迤.md) |  | yǐ | [動]
斜行延伸。同「迆」。唐．柳宗元〈問答．晉問〉：「晉之故封，太行掎之，首陽起之，黃河迤之。」 |</v>
      </c>
    </row>
    <row r="12301" spans="1:44" hidden="1">
      <c r="A12301" s="1" t="s">
        <v>24941</v>
      </c>
      <c r="C12301" s="1">
        <v>1</v>
      </c>
      <c r="D12301" s="1" t="str">
        <f>"10561"</f>
        <v>10561</v>
      </c>
      <c r="E12301" s="1" t="s">
        <v>68</v>
      </c>
      <c r="F12301" s="1">
        <v>9</v>
      </c>
      <c r="G12301" s="1">
        <v>5</v>
      </c>
      <c r="H12301" s="1">
        <v>0</v>
      </c>
      <c r="I12301" s="1" t="s">
        <v>24924</v>
      </c>
      <c r="K12301" s="1" t="str">
        <f t="shared" si="779"/>
        <v>ㄧ</v>
      </c>
      <c r="M12301" s="1" t="str">
        <f t="shared" si="780"/>
        <v/>
      </c>
      <c r="N12301" s="3" t="s">
        <v>30576</v>
      </c>
      <c r="O12301" s="3"/>
      <c r="P12301" s="1" t="s">
        <v>20</v>
      </c>
      <c r="R12301" s="1" t="s">
        <v>24925</v>
      </c>
      <c r="V12301" s="1" t="s">
        <v>24942</v>
      </c>
      <c r="AR12301" s="1" t="str">
        <f t="shared" si="781"/>
        <v>| [ㄧˇ](ㄧˇ.md) | [胣](胣.md) |  | yǐ | [動]
古代一種剖腹挖腸的刑罰。《莊子．胠篋》：「昔者龍逢斬，比干剖，萇弘胣，子胥靡。」 |</v>
      </c>
    </row>
    <row r="12302" spans="1:44" hidden="1">
      <c r="A12302" s="1" t="s">
        <v>24943</v>
      </c>
      <c r="C12302" s="1">
        <v>1</v>
      </c>
      <c r="D12302" s="1" t="str">
        <f>"10562"</f>
        <v>10562</v>
      </c>
      <c r="E12302" s="1" t="s">
        <v>122</v>
      </c>
      <c r="F12302" s="1">
        <v>7</v>
      </c>
      <c r="G12302" s="1">
        <v>2</v>
      </c>
      <c r="H12302" s="1">
        <v>0</v>
      </c>
      <c r="I12302" s="1" t="s">
        <v>24924</v>
      </c>
      <c r="K12302" s="1" t="str">
        <f t="shared" si="779"/>
        <v>ㄧ</v>
      </c>
      <c r="M12302" s="1" t="str">
        <f t="shared" si="780"/>
        <v/>
      </c>
      <c r="N12302" s="3" t="s">
        <v>30576</v>
      </c>
      <c r="O12302" s="3"/>
      <c r="P12302" s="1" t="s">
        <v>20</v>
      </c>
      <c r="R12302" s="1" t="s">
        <v>24925</v>
      </c>
      <c r="V12302" s="1" t="s">
        <v>24944</v>
      </c>
      <c r="AR12302" s="1" t="str">
        <f t="shared" si="781"/>
        <v>| [ㄧˇ](ㄧˇ.md) | [矣](矣.md) |  | yǐ | [助]
1.表示已然的事。《左傳．僖公二十八年》：「晉侯在外，十九年矣。」《荀子．勸學》：「吾嘗終日而思矣，不如須臾之所學也。」
2.表示肯定的語氣。如：「由來久矣」。《論語．學而》：「與朋友交，言而有信，雖曰未學，吾必謂之學矣。」
3.表示將然的事。《史記．卷七．項羽本紀》：「奪項王天下者，必沛公也，吾屬今為之虜矣。」
4.表示疑問的語氣。通「乎」。《論語．季氏》：「危而不持，顛而不扶，則將焉用彼相矣？」
5.表示命令的語氣。《左傳．宣公四年》：「乃速行矣，無及於難。」《史記．卷九二．淮陰侯傳》：「先生且休矣，吾將念之。」
6.表示語句的結束。通「耳」。《戰國策．趙策三》：「彼則肆然而為帝，過而遂正於天下，則連有赴東海而死矣。」
[歎]
表示感嘆的語氣。如：「垂垂老矣」。《論語．述而》：「甚矣，吾衰矣。」 |</v>
      </c>
    </row>
    <row r="12303" spans="1:44" hidden="1">
      <c r="A12303" s="1" t="s">
        <v>24945</v>
      </c>
      <c r="C12303" s="1">
        <v>1</v>
      </c>
      <c r="D12303" s="1" t="str">
        <f>"10563"</f>
        <v>10563</v>
      </c>
      <c r="E12303" s="1" t="s">
        <v>871</v>
      </c>
      <c r="F12303" s="1">
        <v>7</v>
      </c>
      <c r="G12303" s="1">
        <v>4</v>
      </c>
      <c r="H12303" s="1">
        <v>2</v>
      </c>
      <c r="I12303" s="1" t="s">
        <v>24924</v>
      </c>
      <c r="K12303" s="1" t="str">
        <f t="shared" si="779"/>
        <v>ㄧ</v>
      </c>
      <c r="M12303" s="1" t="str">
        <f t="shared" si="780"/>
        <v/>
      </c>
      <c r="N12303" s="3" t="s">
        <v>30576</v>
      </c>
      <c r="O12303" s="3"/>
      <c r="P12303" s="1" t="s">
        <v>110</v>
      </c>
      <c r="R12303" s="1" t="s">
        <v>24925</v>
      </c>
      <c r="V12303" s="1" t="s">
        <v>111</v>
      </c>
      <c r="W12303" s="1" t="s">
        <v>24946</v>
      </c>
      <c r="AR12303" s="1" t="str">
        <f t="shared" si="781"/>
        <v>| [ㄧˇ](ㄧˇ.md) | [尾](尾.md) |  | yǐ | (一)之又音。 |</v>
      </c>
    </row>
    <row r="12304" spans="1:44" hidden="1">
      <c r="A12304" s="1" t="s">
        <v>24947</v>
      </c>
      <c r="C12304" s="1">
        <v>1</v>
      </c>
      <c r="D12304" s="1" t="str">
        <f>"10564"</f>
        <v>10564</v>
      </c>
      <c r="E12304" s="1" t="s">
        <v>114</v>
      </c>
      <c r="F12304" s="1">
        <v>10</v>
      </c>
      <c r="G12304" s="1">
        <v>8</v>
      </c>
      <c r="H12304" s="1">
        <v>0</v>
      </c>
      <c r="I12304" s="1" t="s">
        <v>24924</v>
      </c>
      <c r="K12304" s="1" t="str">
        <f t="shared" si="779"/>
        <v>ㄧ</v>
      </c>
      <c r="M12304" s="1" t="str">
        <f t="shared" si="780"/>
        <v/>
      </c>
      <c r="N12304" s="3" t="s">
        <v>30576</v>
      </c>
      <c r="O12304" s="3"/>
      <c r="P12304" s="1" t="s">
        <v>20</v>
      </c>
      <c r="R12304" s="1" t="s">
        <v>24925</v>
      </c>
      <c r="V12304" s="1" t="s">
        <v>24948</v>
      </c>
      <c r="AR12304" s="1" t="str">
        <f t="shared" si="781"/>
        <v>| [ㄧˇ](ㄧˇ.md) | [倚](倚.md) |  | yǐ | [動]_x000D_
1.靠、斜靠。如：「倚門而望」。《史記．卷八六．刺客列傳．荊軻》：「軻自知事不就，倚柱而笑。」_x000D_
2.依仗、仗恃。如：「倚勢欺人」。《書經．君陳》：「無依勢作威，無倚法以削。」《史記．卷一〇七．魏其武安侯列傳》：「灌夫亦倚魏其而通列侯宗室為名高。」_x000D_
3.偏斜、側偏。如：「不偏不倚」。《禮記．中庸》：「中立而不倚，強哉矯。」_x000D_
4.隨著、配合。《史記．卷一〇二．張釋之馮唐列傳．張釋之》：「使慎夫人鼓瑟，上自倚瑟而歌。」宋．蘇軾〈赤壁賦〉：「客有吹洞簫者，倚歌而和之。」 |</v>
      </c>
    </row>
    <row r="12305" spans="1:44" hidden="1">
      <c r="A12305" s="1" t="s">
        <v>24247</v>
      </c>
      <c r="C12305" s="1">
        <v>1</v>
      </c>
      <c r="D12305" s="1" t="str">
        <f>"10565"</f>
        <v>10565</v>
      </c>
      <c r="E12305" s="1" t="s">
        <v>198</v>
      </c>
      <c r="F12305" s="1">
        <v>11</v>
      </c>
      <c r="G12305" s="1">
        <v>8</v>
      </c>
      <c r="H12305" s="1">
        <v>2</v>
      </c>
      <c r="I12305" s="1" t="s">
        <v>24924</v>
      </c>
      <c r="K12305" s="1" t="str">
        <f t="shared" si="779"/>
        <v>ㄧ</v>
      </c>
      <c r="M12305" s="1" t="str">
        <f t="shared" si="780"/>
        <v/>
      </c>
      <c r="N12305" s="3" t="s">
        <v>30576</v>
      </c>
      <c r="O12305" s="3"/>
      <c r="P12305" s="1" t="s">
        <v>20</v>
      </c>
      <c r="R12305" s="1" t="s">
        <v>24925</v>
      </c>
      <c r="V12305" s="1" t="s">
        <v>24949</v>
      </c>
      <c r="W12305" s="1" t="s">
        <v>24950</v>
      </c>
      <c r="AR12305" s="1" t="str">
        <f t="shared" si="781"/>
        <v>| [ㄧˇ](ㄧˇ.md) | [猗](猗.md) |  | yǐ | [動]
1.加。《詩經．小雅．巷伯》：「楊園之道，猗于畝丘。」
2.依靠。通「倚」。《詩經．小雅．車攻》：「四黃既駕，兩驂不猗。」唐．孔穎達．正義：「兩驂之馬不相依猗。」
3.束而採之。《詩經．豳風．七月》：「蠶月條桑，取彼斧斨，以伐遠揚，猗彼女桑。」 |</v>
      </c>
    </row>
    <row r="12306" spans="1:44" hidden="1">
      <c r="A12306" s="1" t="s">
        <v>24806</v>
      </c>
      <c r="C12306" s="1">
        <v>1</v>
      </c>
      <c r="D12306" s="1" t="str">
        <f>"10566"</f>
        <v>10566</v>
      </c>
      <c r="E12306" s="1" t="s">
        <v>139</v>
      </c>
      <c r="F12306" s="1">
        <v>12</v>
      </c>
      <c r="G12306" s="1">
        <v>8</v>
      </c>
      <c r="H12306" s="1">
        <v>1</v>
      </c>
      <c r="I12306" s="1" t="s">
        <v>24924</v>
      </c>
      <c r="K12306" s="1" t="str">
        <f t="shared" si="779"/>
        <v>ㄧ</v>
      </c>
      <c r="M12306" s="1" t="str">
        <f t="shared" si="780"/>
        <v/>
      </c>
      <c r="N12306" s="3" t="s">
        <v>30576</v>
      </c>
      <c r="O12306" s="3"/>
      <c r="P12306" s="1" t="s">
        <v>20</v>
      </c>
      <c r="R12306" s="1" t="s">
        <v>24925</v>
      </c>
      <c r="V12306" s="1" t="s">
        <v>24951</v>
      </c>
      <c r="W12306" s="1" t="s">
        <v>24952</v>
      </c>
      <c r="AR12306" s="1" t="str">
        <f t="shared" si="781"/>
        <v>| [ㄧˇ](ㄧˇ.md) | [椅](椅.md) |  | yǐ | [名]
有靠背的坐具。如：「躺椅」、「搖椅」。《三國演義》第一回：「只見一條大青蛇從梁上飛將下來，蟠於椅上。」 |</v>
      </c>
    </row>
    <row r="12307" spans="1:44" hidden="1">
      <c r="A12307" s="1" t="s">
        <v>24953</v>
      </c>
      <c r="C12307" s="1">
        <v>1</v>
      </c>
      <c r="D12307" s="1" t="str">
        <f>"10567"</f>
        <v>10567</v>
      </c>
      <c r="E12307" s="1" t="s">
        <v>800</v>
      </c>
      <c r="F12307" s="1">
        <v>14</v>
      </c>
      <c r="G12307" s="1">
        <v>10</v>
      </c>
      <c r="H12307" s="1">
        <v>0</v>
      </c>
      <c r="I12307" s="1" t="s">
        <v>24924</v>
      </c>
      <c r="K12307" s="1" t="str">
        <f t="shared" si="779"/>
        <v>ㄧ</v>
      </c>
      <c r="M12307" s="1" t="str">
        <f t="shared" si="780"/>
        <v/>
      </c>
      <c r="N12307" s="3" t="s">
        <v>30576</v>
      </c>
      <c r="O12307" s="3"/>
      <c r="P12307" s="1" t="s">
        <v>20</v>
      </c>
      <c r="R12307" s="1" t="s">
        <v>24925</v>
      </c>
      <c r="V12307" s="1" t="s">
        <v>24954</v>
      </c>
      <c r="AR12307" s="1" t="str">
        <f t="shared" si="781"/>
        <v>| [ㄧˇ](ㄧˇ.md) | [旖](旖.md) |  | yǐ | 參見「旖旎」條。 |</v>
      </c>
    </row>
    <row r="12308" spans="1:44" hidden="1">
      <c r="A12308" s="1" t="s">
        <v>13078</v>
      </c>
      <c r="C12308" s="1">
        <v>1</v>
      </c>
      <c r="D12308" s="1" t="str">
        <f>"10568"</f>
        <v>10568</v>
      </c>
      <c r="E12308" s="1" t="s">
        <v>77</v>
      </c>
      <c r="F12308" s="1">
        <v>15</v>
      </c>
      <c r="G12308" s="1">
        <v>8</v>
      </c>
      <c r="H12308" s="1">
        <v>2</v>
      </c>
      <c r="I12308" s="1" t="s">
        <v>24924</v>
      </c>
      <c r="K12308" s="1" t="str">
        <f t="shared" si="779"/>
        <v>ㄧ</v>
      </c>
      <c r="M12308" s="1" t="str">
        <f t="shared" si="780"/>
        <v/>
      </c>
      <c r="N12308" s="3" t="s">
        <v>30576</v>
      </c>
      <c r="O12308" s="3"/>
      <c r="P12308" s="1" t="s">
        <v>20</v>
      </c>
      <c r="R12308" s="1" t="s">
        <v>24925</v>
      </c>
      <c r="V12308" s="1" t="s">
        <v>24955</v>
      </c>
      <c r="W12308" s="1" t="s">
        <v>24956</v>
      </c>
      <c r="AR12308" s="1" t="str">
        <f t="shared" si="781"/>
        <v>| [ㄧˇ](ㄧˇ.md) | [踦](踦.md) |  | yǐ | [動]
刺、觸、頂住。《莊子．養生主》：「足之所履，膝之所踦，砉然嚮然，奏刀騞然，莫不中音。」 |</v>
      </c>
    </row>
    <row r="12309" spans="1:44" hidden="1">
      <c r="A12309" s="1" t="s">
        <v>24957</v>
      </c>
      <c r="C12309" s="1">
        <v>1</v>
      </c>
      <c r="D12309" s="1" t="str">
        <f>"10569"</f>
        <v>10569</v>
      </c>
      <c r="E12309" s="1" t="s">
        <v>592</v>
      </c>
      <c r="F12309" s="1">
        <v>23</v>
      </c>
      <c r="G12309" s="1">
        <v>8</v>
      </c>
      <c r="H12309" s="1">
        <v>0</v>
      </c>
      <c r="I12309" s="1" t="s">
        <v>24924</v>
      </c>
      <c r="K12309" s="1" t="str">
        <f t="shared" si="779"/>
        <v>ㄧ</v>
      </c>
      <c r="M12309" s="1" t="str">
        <f t="shared" si="780"/>
        <v/>
      </c>
      <c r="N12309" s="3" t="s">
        <v>30576</v>
      </c>
      <c r="O12309" s="3"/>
      <c r="P12309" s="1" t="s">
        <v>20</v>
      </c>
      <c r="R12309" s="1" t="s">
        <v>24925</v>
      </c>
      <c r="V12309" s="1" t="s">
        <v>24958</v>
      </c>
      <c r="AR12309" s="1" t="str">
        <f t="shared" si="781"/>
        <v>| [ㄧˇ](ㄧˇ.md) | [齮](齮.md) |  | yǐ | [動]
咬、齧。《說文解字．齒部》：「齮，齧也。」宋．王令〈謝李常伯〉詩：「喁哦夜不休，齮嚼午忘饑。」清．徐珂《清稗類鈔．動物類．薛叔耘見蟻鬥》：「相齮者，相禽者，勝相嗾者，敗相救者，相持僵斃不動者，沓然眩目。」 |</v>
      </c>
    </row>
    <row r="12310" spans="1:44" hidden="1">
      <c r="A12310" s="1" t="s">
        <v>24959</v>
      </c>
      <c r="C12310" s="1">
        <v>1</v>
      </c>
      <c r="D12310" s="1" t="str">
        <f>"10570"</f>
        <v>10570</v>
      </c>
      <c r="E12310" s="1" t="s">
        <v>1252</v>
      </c>
      <c r="F12310" s="1">
        <v>10</v>
      </c>
      <c r="G12310" s="1">
        <v>6</v>
      </c>
      <c r="H12310" s="1">
        <v>0</v>
      </c>
      <c r="I12310" s="1" t="s">
        <v>24924</v>
      </c>
      <c r="K12310" s="1" t="str">
        <f t="shared" si="779"/>
        <v>ㄧ</v>
      </c>
      <c r="M12310" s="1" t="str">
        <f t="shared" si="780"/>
        <v/>
      </c>
      <c r="N12310" s="3" t="s">
        <v>30576</v>
      </c>
      <c r="O12310" s="3"/>
      <c r="P12310" s="1" t="s">
        <v>20</v>
      </c>
      <c r="R12310" s="1" t="s">
        <v>24925</v>
      </c>
      <c r="V12310" s="1" t="s">
        <v>24960</v>
      </c>
      <c r="AR12310" s="1" t="str">
        <f t="shared" si="781"/>
        <v>| [ㄧˇ](ㄧˇ.md) | [扆](扆.md) |  | yǐ | [名]
1.古代指窗和門之間的地方。《說文解字．戶部》：「扆，戶牖之閒謂之扆。」
2.門窗間的屏風。漢．王充《論衡．書虛》：「負扆南面鄉坐，扆在後也。」《南史．卷八〇．賊臣傳．侯景傳》：「方饗群臣，中會而起，觸扆墜地。」
3.姓。如明代有扆昭。
[動]
1.隱藏。清．王念孫《廣雅疏證．卷四上．釋詁》：「扆，藏也。」
2.依、倚靠。《大戴禮記．五帝德》：「乘龍扆雲，以順天地之紀、幽明之故。」 |</v>
      </c>
    </row>
    <row r="12311" spans="1:44" hidden="1">
      <c r="A12311" s="1" t="s">
        <v>24961</v>
      </c>
      <c r="C12311" s="1">
        <v>1</v>
      </c>
      <c r="D12311" s="1" t="str">
        <f>"10571"</f>
        <v>10571</v>
      </c>
      <c r="E12311" s="1" t="s">
        <v>114</v>
      </c>
      <c r="F12311" s="1">
        <v>11</v>
      </c>
      <c r="G12311" s="1">
        <v>9</v>
      </c>
      <c r="H12311" s="1">
        <v>0</v>
      </c>
      <c r="I12311" s="1" t="s">
        <v>24924</v>
      </c>
      <c r="K12311" s="1" t="str">
        <f t="shared" si="779"/>
        <v>ㄧ</v>
      </c>
      <c r="M12311" s="1" t="str">
        <f t="shared" si="780"/>
        <v/>
      </c>
      <c r="N12311" s="3" t="s">
        <v>30576</v>
      </c>
      <c r="O12311" s="3"/>
      <c r="P12311" s="1" t="s">
        <v>20</v>
      </c>
      <c r="R12311" s="1" t="s">
        <v>24925</v>
      </c>
      <c r="V12311" s="1" t="s">
        <v>24962</v>
      </c>
      <c r="AR12311" s="1" t="str">
        <f t="shared" si="781"/>
        <v>| [ㄧˇ](ㄧˇ.md) | [偯](偯.md) |  | yǐ | [形]
形容哭泣的尾聲悠長。《孝經．喪親章》：「孝子之喪親也，哭不偯。」《禮記．閒傳》：「大功之哭，三曲而偯。」 |</v>
      </c>
    </row>
    <row r="12312" spans="1:44" hidden="1">
      <c r="A12312" s="1" t="s">
        <v>24222</v>
      </c>
      <c r="C12312" s="1">
        <v>1</v>
      </c>
      <c r="D12312" s="1" t="str">
        <f>"10572"</f>
        <v>10572</v>
      </c>
      <c r="E12312" s="1" t="s">
        <v>679</v>
      </c>
      <c r="F12312" s="1">
        <v>13</v>
      </c>
      <c r="G12312" s="1">
        <v>7</v>
      </c>
      <c r="H12312" s="1">
        <v>2</v>
      </c>
      <c r="I12312" s="1" t="s">
        <v>24924</v>
      </c>
      <c r="K12312" s="1" t="str">
        <f t="shared" si="779"/>
        <v>ㄧ</v>
      </c>
      <c r="M12312" s="1" t="str">
        <f t="shared" si="780"/>
        <v/>
      </c>
      <c r="N12312" s="3" t="s">
        <v>30576</v>
      </c>
      <c r="O12312" s="3"/>
      <c r="P12312" s="1" t="s">
        <v>20</v>
      </c>
      <c r="R12312" s="1" t="s">
        <v>24925</v>
      </c>
      <c r="V12312" s="1" t="s">
        <v>24963</v>
      </c>
      <c r="W12312" s="1" t="s">
        <v>24964</v>
      </c>
      <c r="AR12312" s="1" t="str">
        <f t="shared" si="781"/>
        <v>| [ㄧˇ](ㄧˇ.md) | [蛾](蛾.md) |  | yǐ | 同「蟻」。參見「蛾子」條。《漢書．卷八七．揚雄傳下》：「扶服蛾伏。」唐．顏師古．注：「蛾與蟻同。蛾伏者，言其伏如蟲蟻也。」 |</v>
      </c>
    </row>
    <row r="12313" spans="1:44" hidden="1">
      <c r="A12313" s="1" t="s">
        <v>24965</v>
      </c>
      <c r="C12313" s="1">
        <v>1</v>
      </c>
      <c r="D12313" s="1" t="str">
        <f>"10573"</f>
        <v>10573</v>
      </c>
      <c r="E12313" s="1" t="s">
        <v>679</v>
      </c>
      <c r="F12313" s="1">
        <v>16</v>
      </c>
      <c r="G12313" s="1">
        <v>10</v>
      </c>
      <c r="H12313" s="1">
        <v>0</v>
      </c>
      <c r="I12313" s="1" t="s">
        <v>24924</v>
      </c>
      <c r="K12313" s="1" t="str">
        <f t="shared" si="779"/>
        <v>ㄧ</v>
      </c>
      <c r="M12313" s="1" t="str">
        <f t="shared" si="780"/>
        <v/>
      </c>
      <c r="N12313" s="3" t="s">
        <v>30576</v>
      </c>
      <c r="O12313" s="3"/>
      <c r="P12313" s="1" t="s">
        <v>20</v>
      </c>
      <c r="R12313" s="1" t="s">
        <v>24925</v>
      </c>
      <c r="V12313" s="1" t="s">
        <v>24966</v>
      </c>
      <c r="AR12313" s="1" t="str">
        <f t="shared" si="781"/>
        <v>| [ㄧˇ](ㄧˇ.md) | [螘](螘.md) |  | yǐ | [名]
小蟲。同「蟻」。《集韻．上聲．尾韻》：「螘，蟲名，蚍蜉也。或作『蟻』。」《楚辭．宋玉．招魂》：「赤螘若象，玄蜂若壺些。」 |</v>
      </c>
    </row>
    <row r="12314" spans="1:44" hidden="1">
      <c r="A12314" s="1" t="s">
        <v>24967</v>
      </c>
      <c r="C12314" s="1">
        <v>1</v>
      </c>
      <c r="D12314" s="1" t="str">
        <f>"10574"</f>
        <v>10574</v>
      </c>
      <c r="E12314" s="1" t="s">
        <v>684</v>
      </c>
      <c r="F12314" s="1">
        <v>19</v>
      </c>
      <c r="G12314" s="1">
        <v>10</v>
      </c>
      <c r="H12314" s="1">
        <v>0</v>
      </c>
      <c r="I12314" s="1" t="s">
        <v>24924</v>
      </c>
      <c r="K12314" s="1" t="str">
        <f t="shared" si="779"/>
        <v>ㄧ</v>
      </c>
      <c r="M12314" s="1" t="str">
        <f t="shared" si="780"/>
        <v/>
      </c>
      <c r="N12314" s="3" t="s">
        <v>30576</v>
      </c>
      <c r="O12314" s="3"/>
      <c r="P12314" s="1" t="s">
        <v>20</v>
      </c>
      <c r="R12314" s="1" t="s">
        <v>24925</v>
      </c>
      <c r="V12314" s="1" t="s">
        <v>24968</v>
      </c>
      <c r="AR12314" s="1" t="str">
        <f t="shared" si="781"/>
        <v>| [ㄧˇ](ㄧˇ.md) | [顗](顗.md) |  | yǐ | [形]
1.莊重、謹慎的樣子。《說文解字．頁部》：「顗，謹莊貌。」
2.安靜。《爾雅．釋詁上》：「顗，靜也。」 |</v>
      </c>
    </row>
    <row r="12315" spans="1:44" hidden="1">
      <c r="A12315" s="1" t="s">
        <v>24969</v>
      </c>
      <c r="C12315" s="1">
        <v>1</v>
      </c>
      <c r="D12315" s="1" t="str">
        <f>"10575"</f>
        <v>10575</v>
      </c>
      <c r="E12315" s="1" t="s">
        <v>139</v>
      </c>
      <c r="F12315" s="1">
        <v>17</v>
      </c>
      <c r="G12315" s="1">
        <v>13</v>
      </c>
      <c r="H12315" s="1">
        <v>0</v>
      </c>
      <c r="I12315" s="1" t="s">
        <v>24924</v>
      </c>
      <c r="K12315" s="1" t="str">
        <f t="shared" si="779"/>
        <v>ㄧ</v>
      </c>
      <c r="M12315" s="1" t="str">
        <f t="shared" si="780"/>
        <v/>
      </c>
      <c r="N12315" s="3" t="s">
        <v>30576</v>
      </c>
      <c r="O12315" s="3"/>
      <c r="P12315" s="1" t="s">
        <v>20</v>
      </c>
      <c r="R12315" s="1" t="s">
        <v>24925</v>
      </c>
      <c r="V12315" s="1" t="s">
        <v>24970</v>
      </c>
      <c r="AR12315" s="1" t="str">
        <f t="shared" si="781"/>
        <v>| [ㄧˇ](ㄧˇ.md) | [檥](檥.md) |  | yǐ | [動]
停船靠岸。同「艤」。《史記．卷七．項羽本紀》：「於是項王乃欲東渡烏江，烏江亭長檥船待。」 |</v>
      </c>
    </row>
    <row r="12316" spans="1:44" hidden="1">
      <c r="A12316" s="1" t="s">
        <v>24971</v>
      </c>
      <c r="C12316" s="1">
        <v>1</v>
      </c>
      <c r="D12316" s="1" t="str">
        <f>"10576"</f>
        <v>10576</v>
      </c>
      <c r="E12316" s="1" t="s">
        <v>679</v>
      </c>
      <c r="F12316" s="1">
        <v>19</v>
      </c>
      <c r="G12316" s="1">
        <v>13</v>
      </c>
      <c r="H12316" s="1">
        <v>0</v>
      </c>
      <c r="I12316" s="1" t="s">
        <v>24924</v>
      </c>
      <c r="K12316" s="1" t="str">
        <f t="shared" si="779"/>
        <v>ㄧ</v>
      </c>
      <c r="M12316" s="1" t="str">
        <f t="shared" si="780"/>
        <v/>
      </c>
      <c r="N12316" s="3" t="s">
        <v>30576</v>
      </c>
      <c r="O12316" s="3"/>
      <c r="P12316" s="1" t="s">
        <v>20</v>
      </c>
      <c r="R12316" s="1" t="s">
        <v>24925</v>
      </c>
      <c r="V12316" s="1" t="s">
        <v>24972</v>
      </c>
      <c r="AR12316" s="1" t="str">
        <f t="shared" si="781"/>
        <v>| [ㄧˇ](ㄧˇ.md) | [蟻](蟻.md) |  | yǐ | [名]
1.螞蟻，蟻科昆蟲的總稱。一般體小，有黑、褐、紅等色，體分頭、胸、腹三部分。職分女王蟻、雄蟻、工蟻三種。喜於地下築巢群居，種類很多。
2.酒面的泡沫、酒中的渣滓。《文選．張衡．南都賦》：「醪敷徑寸，浮蟻若萍。」唐．杜甫〈正月三日歸溪上〉詩：「蟻浮仍臘味，鷗泛已春聲。」
3.姓。如漢代有蟻逢。
[形]
微賤、卑小、不足道的。如：「蟻命」、「蟻驅」、「蟻寇」。
[副]
眾多的。《孫子．謀攻》：「將不勝其忿而蟻附之，殺士三分之一。」南朝宋．劉義慶《世說新語．識鑒》：「於是寇盜處處蟻合，郡國多以無備，不能制服。」 |</v>
      </c>
    </row>
    <row r="12317" spans="1:44" hidden="1">
      <c r="A12317" s="1" t="s">
        <v>24973</v>
      </c>
      <c r="C12317" s="1">
        <v>1</v>
      </c>
      <c r="D12317" s="1" t="str">
        <f>"10577"</f>
        <v>10577</v>
      </c>
      <c r="E12317" s="1" t="s">
        <v>181</v>
      </c>
      <c r="F12317" s="1">
        <v>19</v>
      </c>
      <c r="G12317" s="1">
        <v>13</v>
      </c>
      <c r="H12317" s="1">
        <v>0</v>
      </c>
      <c r="I12317" s="1" t="s">
        <v>24924</v>
      </c>
      <c r="K12317" s="1" t="str">
        <f t="shared" si="779"/>
        <v>ㄧ</v>
      </c>
      <c r="M12317" s="1" t="str">
        <f t="shared" si="780"/>
        <v/>
      </c>
      <c r="N12317" s="3" t="s">
        <v>30576</v>
      </c>
      <c r="O12317" s="3"/>
      <c r="P12317" s="1" t="s">
        <v>20</v>
      </c>
      <c r="R12317" s="1" t="s">
        <v>24925</v>
      </c>
      <c r="V12317" s="1" t="s">
        <v>24974</v>
      </c>
      <c r="AR12317" s="1" t="str">
        <f t="shared" si="781"/>
        <v>| [ㄧˇ](ㄧˇ.md) | [艤](艤.md) |  | yǐ | [動]
使船靠岸。《廣韻．上聲．紙韻》：「艤，整舟向岸。」《文選．左思．蜀都賦》：「試水客，艤輕舟。」 |</v>
      </c>
    </row>
    <row r="12318" spans="1:44" hidden="1">
      <c r="A12318" s="1" t="s">
        <v>24975</v>
      </c>
      <c r="C12318" s="1">
        <v>1</v>
      </c>
      <c r="D12318" s="1" t="str">
        <f>"10578"</f>
        <v>10578</v>
      </c>
      <c r="E12318" s="1" t="s">
        <v>71</v>
      </c>
      <c r="F12318" s="1">
        <v>20</v>
      </c>
      <c r="G12318" s="1">
        <v>13</v>
      </c>
      <c r="H12318" s="1">
        <v>0</v>
      </c>
      <c r="I12318" s="1" t="s">
        <v>24924</v>
      </c>
      <c r="K12318" s="1" t="str">
        <f t="shared" si="779"/>
        <v>ㄧ</v>
      </c>
      <c r="M12318" s="1" t="str">
        <f t="shared" si="780"/>
        <v/>
      </c>
      <c r="N12318" s="3" t="s">
        <v>30576</v>
      </c>
      <c r="O12318" s="3"/>
      <c r="P12318" s="1" t="s">
        <v>20</v>
      </c>
      <c r="R12318" s="1" t="s">
        <v>24925</v>
      </c>
      <c r="V12318" s="1" t="s">
        <v>24976</v>
      </c>
      <c r="AR12318" s="1" t="str">
        <f t="shared" si="781"/>
        <v>| [ㄧˇ](ㄧˇ.md) | [轙](轙.md) |  | yǐ | [名]
車衡上貫穿韁繩的大環。《說文解字．車部》：「轙，車衡艇嶍者。」《文選．張衡．東京賦》：「龍輈華轙，金鋄鏤錫。」 |</v>
      </c>
    </row>
    <row r="12319" spans="1:44" hidden="1">
      <c r="A12319" s="1" t="s">
        <v>25277</v>
      </c>
      <c r="C12319" s="1">
        <v>1</v>
      </c>
      <c r="D12319" s="1" t="str">
        <f>"10723"</f>
        <v>10723</v>
      </c>
      <c r="E12319" s="1" t="s">
        <v>132</v>
      </c>
      <c r="F12319" s="1">
        <v>4</v>
      </c>
      <c r="G12319" s="1">
        <v>1</v>
      </c>
      <c r="H12319" s="1">
        <v>0</v>
      </c>
      <c r="I12319" s="1" t="s">
        <v>25278</v>
      </c>
      <c r="K12319" s="1" t="str">
        <f t="shared" si="779"/>
        <v>ㄧ</v>
      </c>
      <c r="L12319" s="1" t="str">
        <f t="shared" ref="L12319:L12350" si="782">MID(I12319, 2, 1)</f>
        <v>ㄚ</v>
      </c>
      <c r="N12319" s="3" t="s">
        <v>30574</v>
      </c>
      <c r="O12319" s="3"/>
      <c r="P12319" s="1" t="s">
        <v>20</v>
      </c>
      <c r="R12319" s="1" t="s">
        <v>25279</v>
      </c>
      <c r="V12319" s="1" t="s">
        <v>25280</v>
      </c>
      <c r="AR12319" s="1" t="str">
        <f t="shared" si="781"/>
        <v>| [ㄧㄚˋ](ㄧㄚˋ.md) | [圠](圠.md) |  | yà | 參見「坱圠」條。 |</v>
      </c>
    </row>
    <row r="12320" spans="1:44" hidden="1">
      <c r="A12320" s="1" t="s">
        <v>16446</v>
      </c>
      <c r="C12320" s="1">
        <v>1</v>
      </c>
      <c r="D12320" s="1" t="str">
        <f>"10724"</f>
        <v>10724</v>
      </c>
      <c r="E12320" s="1" t="s">
        <v>4317</v>
      </c>
      <c r="F12320" s="1">
        <v>6</v>
      </c>
      <c r="G12320" s="1">
        <v>0</v>
      </c>
      <c r="H12320" s="1">
        <v>1</v>
      </c>
      <c r="I12320" s="1" t="s">
        <v>25278</v>
      </c>
      <c r="K12320" s="1" t="str">
        <f t="shared" si="779"/>
        <v>ㄧ</v>
      </c>
      <c r="L12320" s="1" t="str">
        <f t="shared" si="782"/>
        <v>ㄚ</v>
      </c>
      <c r="N12320" s="3" t="s">
        <v>30574</v>
      </c>
      <c r="O12320" s="3"/>
      <c r="P12320" s="1" t="s">
        <v>20</v>
      </c>
      <c r="R12320" s="1" t="s">
        <v>25279</v>
      </c>
      <c r="V12320" s="1" t="s">
        <v>25281</v>
      </c>
      <c r="W12320" s="1" t="s">
        <v>25282</v>
      </c>
      <c r="AR12320" s="1" t="str">
        <f t="shared" si="781"/>
        <v>| [ㄧㄚˋ](ㄧㄚˋ.md) | [襾](襾.md) |  | yà | [動]
覆蓋。《說文解字．襾部》：「襾，覆也。」
[名]
二一四部首之一。 |</v>
      </c>
    </row>
    <row r="12321" spans="1:44" hidden="1">
      <c r="A12321" s="1" t="s">
        <v>25227</v>
      </c>
      <c r="C12321" s="1">
        <v>1</v>
      </c>
      <c r="D12321" s="1" t="str">
        <f>"10725"</f>
        <v>10725</v>
      </c>
      <c r="E12321" s="1" t="s">
        <v>9954</v>
      </c>
      <c r="F12321" s="1">
        <v>8</v>
      </c>
      <c r="G12321" s="1">
        <v>6</v>
      </c>
      <c r="H12321" s="1">
        <v>1</v>
      </c>
      <c r="I12321" s="1" t="s">
        <v>25278</v>
      </c>
      <c r="K12321" s="1" t="str">
        <f t="shared" si="779"/>
        <v>ㄧ</v>
      </c>
      <c r="L12321" s="1" t="str">
        <f t="shared" si="782"/>
        <v>ㄚ</v>
      </c>
      <c r="N12321" s="3" t="s">
        <v>30574</v>
      </c>
      <c r="O12321" s="3"/>
      <c r="P12321" s="1" t="s">
        <v>20</v>
      </c>
      <c r="R12321" s="1" t="s">
        <v>25279</v>
      </c>
      <c r="V12321" s="1" t="s">
        <v>25283</v>
      </c>
      <c r="W12321" s="1" t="s">
        <v>25284</v>
      </c>
      <c r="AR12321" s="1" t="str">
        <f t="shared" si="781"/>
        <v>| [ㄧㄚˋ](ㄧㄚˋ.md) | [亞](亞.md) |  | yà | [動]
1.次於。《國語．吳語》：「乃退就幕而會，吳公先歃，晉侯亞之。」南朝宋．劉義慶《世說新語．識鑒》：「諸葛道明初過江左，自名道明，名亞王、庾之下。」
2.輸、低、較差。如：「他的歌唱技巧不亞於你。」
3.相同、相等。《後漢書．卷四〇．班彪傳上》：「節慕原、嘗，名亞春、陵。」《南史．卷七二．顏協傳》：「時吳郡顧協亦在蕃邸，與協同名，才學相亞，府中稱為二協。」
4.掩。宋．蔡伸〈如夢令．人靜重門深亞〉詞：「人靜重門深亞，朱閣畫簾高掛。」《董西廂》卷一：「幾間寮舍，半亞朱扉。」
[形]
次一等的、第二的。如：「亞軍」、「亞熱帶」、「亞聖」。
[名]
1.亞洲的簡稱。如：「歐亞大陸」、「亞太影展」。
2.姊妹丈夫的互稱。通「婭」。《詩經．小雅．節南山》：「瑣瑣姻亞，則無膴仕。」漢．毛亨．傳：「兩婿相謂曰亞。」 |</v>
      </c>
    </row>
    <row r="12322" spans="1:44" hidden="1">
      <c r="A12322" s="1" t="s">
        <v>25270</v>
      </c>
      <c r="C12322" s="1">
        <v>1</v>
      </c>
      <c r="D12322" s="1" t="str">
        <f>"10726"</f>
        <v>10726</v>
      </c>
      <c r="E12322" s="1" t="s">
        <v>24</v>
      </c>
      <c r="F12322" s="1">
        <v>11</v>
      </c>
      <c r="G12322" s="1">
        <v>8</v>
      </c>
      <c r="H12322" s="1">
        <v>1</v>
      </c>
      <c r="I12322" s="1" t="s">
        <v>25278</v>
      </c>
      <c r="K12322" s="1" t="str">
        <f t="shared" si="779"/>
        <v>ㄧ</v>
      </c>
      <c r="L12322" s="1" t="str">
        <f t="shared" si="782"/>
        <v>ㄚ</v>
      </c>
      <c r="N12322" s="3" t="s">
        <v>30574</v>
      </c>
      <c r="O12322" s="3"/>
      <c r="P12322" s="1" t="s">
        <v>20</v>
      </c>
      <c r="R12322" s="1" t="s">
        <v>25279</v>
      </c>
      <c r="V12322" s="1" t="s">
        <v>25285</v>
      </c>
      <c r="W12322" s="1" t="s">
        <v>25286</v>
      </c>
      <c r="AR12322" s="1" t="str">
        <f t="shared" si="781"/>
        <v>| [ㄧㄚˋ](ㄧㄚˋ.md) | [掗](掗.md) |  | yà | [動]
1.搖動。《水滸傳》第一三回：「左陣急先鋒索超兜住馬，掗著金蘸斧，立馬在陣前。」
2.別人不要而硬要把東西給別人。《醒世恆言．卷三．賣油郎獨占花魁》：「將銀子掗在秦重袖內，推他轉身。」
3.把持。參見「掗把」條。 |</v>
      </c>
    </row>
    <row r="12323" spans="1:44" hidden="1">
      <c r="A12323" s="1" t="s">
        <v>25287</v>
      </c>
      <c r="C12323" s="1">
        <v>1</v>
      </c>
      <c r="D12323" s="1" t="str">
        <f>"10727"</f>
        <v>10727</v>
      </c>
      <c r="E12323" s="1" t="s">
        <v>534</v>
      </c>
      <c r="F12323" s="1">
        <v>11</v>
      </c>
      <c r="G12323" s="1">
        <v>8</v>
      </c>
      <c r="H12323" s="1">
        <v>0</v>
      </c>
      <c r="I12323" s="1" t="s">
        <v>25278</v>
      </c>
      <c r="K12323" s="1" t="str">
        <f t="shared" si="779"/>
        <v>ㄧ</v>
      </c>
      <c r="L12323" s="1" t="str">
        <f t="shared" si="782"/>
        <v>ㄚ</v>
      </c>
      <c r="N12323" s="3" t="s">
        <v>30574</v>
      </c>
      <c r="O12323" s="3"/>
      <c r="P12323" s="1" t="s">
        <v>20</v>
      </c>
      <c r="R12323" s="1" t="s">
        <v>25279</v>
      </c>
      <c r="V12323" s="1" t="s">
        <v>25288</v>
      </c>
      <c r="AR12323" s="1" t="str">
        <f t="shared" si="781"/>
        <v>| [ㄧㄚˋ](ㄧㄚˋ.md) | [婭](婭.md) |  | yà | [名]
姊妹丈夫間的互稱。《玉篇．女部》：「婭，姻婭也。」《新唐書．卷一二八．李傑傳》：「尚衣奉御長孫昕素惡傑，遇于道，內恃玄宗婭婿，與所親楊仙玉共毆辱之。」 |</v>
      </c>
    </row>
    <row r="12324" spans="1:44" hidden="1">
      <c r="A12324" s="1" t="s">
        <v>25289</v>
      </c>
      <c r="C12324" s="1">
        <v>1</v>
      </c>
      <c r="D12324" s="1" t="str">
        <f>"10728"</f>
        <v>10728</v>
      </c>
      <c r="E12324" s="1" t="s">
        <v>55</v>
      </c>
      <c r="F12324" s="1">
        <v>16</v>
      </c>
      <c r="G12324" s="1">
        <v>8</v>
      </c>
      <c r="H12324" s="1">
        <v>0</v>
      </c>
      <c r="I12324" s="1" t="s">
        <v>25278</v>
      </c>
      <c r="K12324" s="1" t="str">
        <f t="shared" si="779"/>
        <v>ㄧ</v>
      </c>
      <c r="L12324" s="1" t="str">
        <f t="shared" si="782"/>
        <v>ㄚ</v>
      </c>
      <c r="N12324" s="3" t="s">
        <v>30574</v>
      </c>
      <c r="O12324" s="3"/>
      <c r="P12324" s="1" t="s">
        <v>20</v>
      </c>
      <c r="R12324" s="1" t="s">
        <v>25279</v>
      </c>
      <c r="V12324" s="1" t="s">
        <v>25290</v>
      </c>
      <c r="AR12324" s="1" t="str">
        <f t="shared" si="781"/>
        <v>| [ㄧㄚˋ](ㄧㄚˋ.md) | [錏](錏.md) |  | yà | 化學元素。銨的舊譯。 |</v>
      </c>
    </row>
    <row r="12325" spans="1:44" hidden="1">
      <c r="A12325" s="1" t="s">
        <v>9531</v>
      </c>
      <c r="C12325" s="1">
        <v>1</v>
      </c>
      <c r="D12325" s="1" t="str">
        <f>"10729"</f>
        <v>10729</v>
      </c>
      <c r="E12325" s="1" t="s">
        <v>71</v>
      </c>
      <c r="F12325" s="1">
        <v>8</v>
      </c>
      <c r="G12325" s="1">
        <v>1</v>
      </c>
      <c r="H12325" s="1">
        <v>1</v>
      </c>
      <c r="I12325" s="1" t="s">
        <v>25278</v>
      </c>
      <c r="K12325" s="1" t="str">
        <f t="shared" si="779"/>
        <v>ㄧ</v>
      </c>
      <c r="L12325" s="1" t="str">
        <f t="shared" si="782"/>
        <v>ㄚ</v>
      </c>
      <c r="N12325" s="3" t="s">
        <v>30574</v>
      </c>
      <c r="O12325" s="3"/>
      <c r="P12325" s="1" t="s">
        <v>20</v>
      </c>
      <c r="R12325" s="1" t="s">
        <v>25279</v>
      </c>
      <c r="V12325" s="1" t="s">
        <v>25291</v>
      </c>
      <c r="W12325" s="1" t="s">
        <v>25292</v>
      </c>
      <c r="AR12325" s="1" t="str">
        <f t="shared" si="781"/>
        <v>| [ㄧㄚˋ](ㄧㄚˋ.md) | [軋](軋.md) |  | yà | [動]
1.碾壓。《說文解字．車部》：「軋，輾也。」唐．李賀〈夢天〉詩：「玉輪軋露濕團光，鸞珮相逢桂香陌。」
2.排擠。如：「傾軋」。 |</v>
      </c>
    </row>
    <row r="12326" spans="1:44" hidden="1">
      <c r="A12326" s="1" t="s">
        <v>25293</v>
      </c>
      <c r="C12326" s="1">
        <v>1</v>
      </c>
      <c r="D12326" s="1" t="str">
        <f>"10730"</f>
        <v>10730</v>
      </c>
      <c r="E12326" s="1" t="s">
        <v>558</v>
      </c>
      <c r="F12326" s="1">
        <v>8</v>
      </c>
      <c r="G12326" s="1">
        <v>4</v>
      </c>
      <c r="H12326" s="1">
        <v>0</v>
      </c>
      <c r="I12326" s="1" t="s">
        <v>25278</v>
      </c>
      <c r="K12326" s="1" t="str">
        <f t="shared" si="779"/>
        <v>ㄧ</v>
      </c>
      <c r="L12326" s="1" t="str">
        <f t="shared" si="782"/>
        <v>ㄚ</v>
      </c>
      <c r="N12326" s="3" t="s">
        <v>30574</v>
      </c>
      <c r="O12326" s="3"/>
      <c r="P12326" s="1" t="s">
        <v>20</v>
      </c>
      <c r="R12326" s="1" t="s">
        <v>25279</v>
      </c>
      <c r="V12326" s="1" t="s">
        <v>25294</v>
      </c>
      <c r="AR12326" s="1" t="str">
        <f t="shared" si="781"/>
        <v>| [ㄧㄚˋ](ㄧㄚˋ.md) | [迓](迓.md) |  | yà | [動]
1.迎接。《左傳．成公十三年》：「及侯麗而還，迓晉侯于新楚。」《宋史．卷一六四．韓世忠傳》：「於是召梁氏入，封安國夫人，俾迓世忠，速其勤王。」
2.抵禦、迎擊。《書經．牧誓》：「弗迓克奔，以役西土。」 |</v>
      </c>
    </row>
    <row r="12327" spans="1:44" hidden="1">
      <c r="A12327" s="1" t="s">
        <v>25295</v>
      </c>
      <c r="C12327" s="1">
        <v>1</v>
      </c>
      <c r="D12327" s="1" t="str">
        <f>"10731"</f>
        <v>10731</v>
      </c>
      <c r="E12327" s="1" t="s">
        <v>169</v>
      </c>
      <c r="F12327" s="1">
        <v>9</v>
      </c>
      <c r="G12327" s="1">
        <v>4</v>
      </c>
      <c r="H12327" s="1">
        <v>0</v>
      </c>
      <c r="I12327" s="1" t="s">
        <v>25278</v>
      </c>
      <c r="K12327" s="1" t="str">
        <f t="shared" si="779"/>
        <v>ㄧ</v>
      </c>
      <c r="L12327" s="1" t="str">
        <f t="shared" si="782"/>
        <v>ㄚ</v>
      </c>
      <c r="N12327" s="3" t="s">
        <v>30574</v>
      </c>
      <c r="O12327" s="3"/>
      <c r="P12327" s="1" t="s">
        <v>20</v>
      </c>
      <c r="R12327" s="1" t="s">
        <v>25279</v>
      </c>
      <c r="V12327" s="1" t="s">
        <v>25296</v>
      </c>
      <c r="AR12327" s="1" t="str">
        <f t="shared" si="781"/>
        <v>| [ㄧㄚˋ](ㄧㄚˋ.md) | [砑](砑.md) |  | yà | [動]
1.碾壓。《集韻．去聲．禡韻》：「砑，碾也。」《西遊記》第七四回：「從東往西一滾，只怕四五萬砑做肉泥爛醬。」
2.用力軋磨，使器物光滑。明．吳偉業〈臨江仙．落拓江湖常載酒〉詞：「燈前纔一笑，偷解砑羅裙。」 |</v>
      </c>
    </row>
    <row r="12328" spans="1:44" hidden="1">
      <c r="A12328" s="1" t="s">
        <v>25297</v>
      </c>
      <c r="C12328" s="1">
        <v>1</v>
      </c>
      <c r="D12328" s="1" t="str">
        <f>"10732"</f>
        <v>10732</v>
      </c>
      <c r="E12328" s="1" t="s">
        <v>331</v>
      </c>
      <c r="F12328" s="1">
        <v>11</v>
      </c>
      <c r="G12328" s="1">
        <v>4</v>
      </c>
      <c r="H12328" s="1">
        <v>0</v>
      </c>
      <c r="I12328" s="1" t="s">
        <v>25278</v>
      </c>
      <c r="K12328" s="1" t="str">
        <f t="shared" si="779"/>
        <v>ㄧ</v>
      </c>
      <c r="L12328" s="1" t="str">
        <f t="shared" si="782"/>
        <v>ㄚ</v>
      </c>
      <c r="N12328" s="3" t="s">
        <v>30574</v>
      </c>
      <c r="O12328" s="3"/>
      <c r="P12328" s="1" t="s">
        <v>20</v>
      </c>
      <c r="R12328" s="1" t="s">
        <v>25279</v>
      </c>
      <c r="V12328" s="1" t="s">
        <v>25298</v>
      </c>
      <c r="AR12328" s="1" t="str">
        <f t="shared" si="781"/>
        <v>| [ㄧㄚˋ](ㄧㄚˋ.md) | [訝](訝.md) |  | yà | [動]
1.驚奇、驚異。如：「驚訝」、「訝異」。《新唐書．卷九三．李勣傳》：「使至，高祖訝無表，使者以意聞。」
2.迎接。通「迓」。《儀禮．聘禮》：「厥明，訝賓于館。」 |</v>
      </c>
    </row>
    <row r="12329" spans="1:44" hidden="1">
      <c r="A12329" s="1" t="s">
        <v>25299</v>
      </c>
      <c r="C12329" s="1">
        <v>1</v>
      </c>
      <c r="D12329" s="1" t="str">
        <f>"10733"</f>
        <v>10733</v>
      </c>
      <c r="E12329" s="1" t="s">
        <v>234</v>
      </c>
      <c r="F12329" s="1">
        <v>11</v>
      </c>
      <c r="G12329" s="1">
        <v>8</v>
      </c>
      <c r="H12329" s="1">
        <v>2</v>
      </c>
      <c r="I12329" s="1" t="s">
        <v>25278</v>
      </c>
      <c r="K12329" s="1" t="str">
        <f t="shared" si="779"/>
        <v>ㄧ</v>
      </c>
      <c r="L12329" s="1" t="str">
        <f t="shared" si="782"/>
        <v>ㄚ</v>
      </c>
      <c r="N12329" s="3" t="s">
        <v>30574</v>
      </c>
      <c r="O12329" s="3"/>
      <c r="P12329" s="1" t="s">
        <v>20</v>
      </c>
      <c r="R12329" s="1" t="s">
        <v>25279</v>
      </c>
      <c r="V12329" s="1" t="s">
        <v>25300</v>
      </c>
      <c r="W12329" s="1" t="s">
        <v>25301</v>
      </c>
      <c r="AR12329" s="1" t="str">
        <f t="shared" si="781"/>
        <v>| [ㄧㄚˋ](ㄧㄚˋ.md) | [御](御.md) |  | yà | [動]
迎接。《詩經．召南．鵲巢》：「之子于歸，百兩御之。」漢．鄭玄．箋：「御，迎也。」《楚辭．屈原．離騷》：「飄風屯其相離兮，帥雲霓而來御。」 |</v>
      </c>
    </row>
    <row r="12330" spans="1:44" hidden="1">
      <c r="A12330" s="1" t="s">
        <v>25302</v>
      </c>
      <c r="C12330" s="1">
        <v>1</v>
      </c>
      <c r="D12330" s="1" t="str">
        <f>"10734"</f>
        <v>10734</v>
      </c>
      <c r="E12330" s="1" t="s">
        <v>2419</v>
      </c>
      <c r="F12330" s="1">
        <v>12</v>
      </c>
      <c r="G12330" s="1">
        <v>6</v>
      </c>
      <c r="H12330" s="1">
        <v>0</v>
      </c>
      <c r="I12330" s="1" t="s">
        <v>25278</v>
      </c>
      <c r="K12330" s="1" t="str">
        <f t="shared" si="779"/>
        <v>ㄧ</v>
      </c>
      <c r="L12330" s="1" t="str">
        <f t="shared" si="782"/>
        <v>ㄚ</v>
      </c>
      <c r="N12330" s="3" t="s">
        <v>30574</v>
      </c>
      <c r="O12330" s="3"/>
      <c r="P12330" s="1" t="s">
        <v>20</v>
      </c>
      <c r="R12330" s="1" t="s">
        <v>25279</v>
      </c>
      <c r="V12330" s="1" t="s">
        <v>25303</v>
      </c>
      <c r="AR12330" s="1" t="str">
        <f t="shared" si="781"/>
        <v>| [ㄧㄚˋ](ㄧㄚˋ.md) | [聐](聐.md) |  | yà | [動]
痴呆而不能聽受。《集韻．入聲．黠韻》：「聐，顟聐，痴不能聽。」 |</v>
      </c>
    </row>
    <row r="12331" spans="1:44" hidden="1">
      <c r="A12331" s="1" t="s">
        <v>25304</v>
      </c>
      <c r="C12331" s="1">
        <v>1</v>
      </c>
      <c r="D12331" s="1" t="str">
        <f>"10735"</f>
        <v>10735</v>
      </c>
      <c r="E12331" s="1" t="s">
        <v>24</v>
      </c>
      <c r="F12331" s="1">
        <v>12</v>
      </c>
      <c r="G12331" s="1">
        <v>9</v>
      </c>
      <c r="H12331" s="1">
        <v>0</v>
      </c>
      <c r="I12331" s="1" t="s">
        <v>25278</v>
      </c>
      <c r="K12331" s="1" t="str">
        <f t="shared" si="779"/>
        <v>ㄧ</v>
      </c>
      <c r="L12331" s="1" t="str">
        <f t="shared" si="782"/>
        <v>ㄚ</v>
      </c>
      <c r="N12331" s="3" t="s">
        <v>30574</v>
      </c>
      <c r="O12331" s="3"/>
      <c r="P12331" s="1" t="s">
        <v>20</v>
      </c>
      <c r="R12331" s="1" t="s">
        <v>25279</v>
      </c>
      <c r="V12331" s="1" t="s">
        <v>25305</v>
      </c>
      <c r="AR12331" s="1" t="str">
        <f t="shared" si="781"/>
        <v>| [ㄧㄚˋ](ㄧㄚˋ.md) | [揠](揠.md) |  | yà | [動]
拔起。《孟子．公孫丑上》：「宋人有閔其苗之不長而揠之者，芒芒然歸。」《新唐書．卷一三六．李光弼傳》：「光弼以范陽本賊巢窟，當先取之，揠賊根本。」 |</v>
      </c>
    </row>
    <row r="12332" spans="1:44" hidden="1">
      <c r="A12332" s="1" t="s">
        <v>25306</v>
      </c>
      <c r="C12332" s="1">
        <v>1</v>
      </c>
      <c r="D12332" s="1" t="str">
        <f>"10736"</f>
        <v>10736</v>
      </c>
      <c r="E12332" s="1" t="s">
        <v>198</v>
      </c>
      <c r="F12332" s="1">
        <v>12</v>
      </c>
      <c r="G12332" s="1">
        <v>9</v>
      </c>
      <c r="H12332" s="1">
        <v>0</v>
      </c>
      <c r="I12332" s="1" t="s">
        <v>25278</v>
      </c>
      <c r="K12332" s="1" t="str">
        <f t="shared" si="779"/>
        <v>ㄧ</v>
      </c>
      <c r="L12332" s="1" t="str">
        <f t="shared" si="782"/>
        <v>ㄚ</v>
      </c>
      <c r="N12332" s="3" t="s">
        <v>30574</v>
      </c>
      <c r="O12332" s="3"/>
      <c r="P12332" s="1" t="s">
        <v>20</v>
      </c>
      <c r="R12332" s="1" t="s">
        <v>25279</v>
      </c>
      <c r="V12332" s="1" t="s">
        <v>25307</v>
      </c>
      <c r="AR12332" s="1" t="str">
        <f t="shared" si="781"/>
        <v>| [ㄧㄚˋ](ㄧㄚˋ.md) | [猰](猰.md) |  | yà | 參見「猰貐」條。 |</v>
      </c>
    </row>
    <row r="12333" spans="1:44" hidden="1">
      <c r="A12333" s="1" t="s">
        <v>25308</v>
      </c>
      <c r="C12333" s="1">
        <v>1</v>
      </c>
      <c r="D12333" s="1" t="str">
        <f>"10737"</f>
        <v>10737</v>
      </c>
      <c r="E12333" s="1" t="s">
        <v>592</v>
      </c>
      <c r="F12333" s="1">
        <v>35</v>
      </c>
      <c r="G12333" s="1">
        <v>20</v>
      </c>
      <c r="H12333" s="1">
        <v>0</v>
      </c>
      <c r="I12333" s="1" t="s">
        <v>25278</v>
      </c>
      <c r="K12333" s="1" t="str">
        <f t="shared" si="779"/>
        <v>ㄧ</v>
      </c>
      <c r="L12333" s="1" t="str">
        <f t="shared" si="782"/>
        <v>ㄚ</v>
      </c>
      <c r="N12333" s="3" t="s">
        <v>30574</v>
      </c>
      <c r="O12333" s="3"/>
      <c r="P12333" s="1" t="s">
        <v>20</v>
      </c>
      <c r="R12333" s="1" t="s">
        <v>25279</v>
      </c>
      <c r="V12333" s="1" t="s">
        <v>25309</v>
      </c>
      <c r="AR12333" s="1" t="str">
        <f t="shared" si="781"/>
        <v>| [ㄧㄚˋ](ㄧㄚˋ.md) | [齾](齾.md) |  | yà | [名]
1.缺齒。《說文解字．齒部》：「齾，缺齒。」
2.野獸吃剩的東西。《廣韻．入聲．曷韻》：「齾，獸食之餘。」
3.器物的缺損。唐．韓愈、孟郊〈征蜀聯句〉：「更呼相簸蕩，交斫雙缺齾。」 |</v>
      </c>
    </row>
    <row r="12334" spans="1:44" hidden="1">
      <c r="A12334" s="1" t="s">
        <v>25236</v>
      </c>
      <c r="C12334" s="1">
        <v>1</v>
      </c>
      <c r="D12334" s="1" t="str">
        <f>"10705"</f>
        <v>10705</v>
      </c>
      <c r="E12334" s="1" t="s">
        <v>20039</v>
      </c>
      <c r="F12334" s="1">
        <v>4</v>
      </c>
      <c r="G12334" s="1">
        <v>0</v>
      </c>
      <c r="H12334" s="1">
        <v>0</v>
      </c>
      <c r="I12334" s="1" t="s">
        <v>25237</v>
      </c>
      <c r="K12334" s="1" t="str">
        <f t="shared" si="779"/>
        <v>ㄧ</v>
      </c>
      <c r="L12334" s="1" t="str">
        <f t="shared" si="782"/>
        <v>ㄚ</v>
      </c>
      <c r="N12334" s="3" t="s">
        <v>30575</v>
      </c>
      <c r="O12334" s="3"/>
      <c r="P12334" s="1" t="s">
        <v>20</v>
      </c>
      <c r="R12334" s="1" t="s">
        <v>25238</v>
      </c>
      <c r="V12334" s="1" t="s">
        <v>25239</v>
      </c>
      <c r="AR12334" s="1" t="str">
        <f t="shared" si="781"/>
        <v>| [ㄧㄚˊ](ㄧㄚˊ.md) | [牙](牙.md) |  | yá | [名]
1.人或動物口腔中，用來研磨、咀嚼食物的器官。如：「門牙」、「齒牙動搖」。
2.象牙的簡稱。南朝宋．鮑照〈代淮南王〉詩二首之一：「琉璃藥碗牙作盤，金鼎玉匕合神丹。」《新唐書．卷二二二．南蠻傳下．驃傳》：「去節無爪，以蠟實首，上加師子頭，以牙為之。」
3.買賣時居中的介紹人。如：「牙人」、「牙郎」、「牙商」、「牙婆」、「牙行」。《水滸傳》第三七回：「兄弟張順，他卻如今自在江州做賣魚牙子。」
4.官署、衙門。《資治通鑑．卷二〇七．唐紀二十三．中宗神龍元年》：「北門、南牙，同心協力，以誅凶豎。」
5.二一四部首之一。
[動]
咬。《戰國策．秦策三》：「投之一骨，輕起相牙者，何則？有爭意也。」漢．高誘．注：「牙，言以牙相噬。」 |</v>
      </c>
    </row>
    <row r="12335" spans="1:44" hidden="1">
      <c r="A12335" s="1" t="s">
        <v>25240</v>
      </c>
      <c r="C12335" s="1">
        <v>1</v>
      </c>
      <c r="D12335" s="1" t="str">
        <f>"10706"</f>
        <v>10706</v>
      </c>
      <c r="E12335" s="1" t="s">
        <v>198</v>
      </c>
      <c r="F12335" s="1">
        <v>7</v>
      </c>
      <c r="G12335" s="1">
        <v>4</v>
      </c>
      <c r="H12335" s="1">
        <v>0</v>
      </c>
      <c r="I12335" s="1" t="s">
        <v>25237</v>
      </c>
      <c r="K12335" s="1" t="str">
        <f t="shared" si="779"/>
        <v>ㄧ</v>
      </c>
      <c r="L12335" s="1" t="str">
        <f t="shared" si="782"/>
        <v>ㄚ</v>
      </c>
      <c r="N12335" s="3" t="s">
        <v>30575</v>
      </c>
      <c r="O12335" s="3"/>
      <c r="P12335" s="1" t="s">
        <v>20</v>
      </c>
      <c r="R12335" s="1" t="s">
        <v>25238</v>
      </c>
      <c r="V12335" s="1" t="s">
        <v>25241</v>
      </c>
      <c r="AR12335" s="1" t="str">
        <f t="shared" si="781"/>
        <v>| [ㄧㄚˊ](ㄧㄚˊ.md) | [犽](犽.md) |  | yá | [名]
1.一種野獸。似獾而尾長。《玉篇．犬部》：「犽，獸名。似獾也。」《集韻．去聲．禡韻》：「犽，獸名。似獾，長尾。」
2.中國古代少數民族之一。個性溫順善良。 |</v>
      </c>
    </row>
    <row r="12336" spans="1:44" hidden="1">
      <c r="A12336" s="1" t="s">
        <v>25242</v>
      </c>
      <c r="C12336" s="1">
        <v>1</v>
      </c>
      <c r="D12336" s="1" t="str">
        <f>"10707"</f>
        <v>10707</v>
      </c>
      <c r="E12336" s="1" t="s">
        <v>139</v>
      </c>
      <c r="F12336" s="1">
        <v>8</v>
      </c>
      <c r="G12336" s="1">
        <v>4</v>
      </c>
      <c r="H12336" s="1">
        <v>0</v>
      </c>
      <c r="I12336" s="1" t="s">
        <v>25237</v>
      </c>
      <c r="K12336" s="1" t="str">
        <f t="shared" si="779"/>
        <v>ㄧ</v>
      </c>
      <c r="L12336" s="1" t="str">
        <f t="shared" si="782"/>
        <v>ㄚ</v>
      </c>
      <c r="N12336" s="3" t="s">
        <v>30575</v>
      </c>
      <c r="O12336" s="3"/>
      <c r="P12336" s="1" t="s">
        <v>20</v>
      </c>
      <c r="R12336" s="1" t="s">
        <v>25238</v>
      </c>
      <c r="V12336" s="1" t="s">
        <v>25243</v>
      </c>
      <c r="AR12336" s="1" t="str">
        <f t="shared" si="781"/>
        <v>| [ㄧㄚˊ](ㄧㄚˊ.md) | [枒](枒.md) |  | yá | [名]
一種樹木。即椰子樹。《說文解字．木部》：「枒，木也。」《文選．左思．蜀都賦》：「其樹則有木蘭梫桂，杞櫹椅桐，棕枒楔樅。」
[形]
參見「枒杈」條。 |</v>
      </c>
    </row>
    <row r="12337" spans="1:44" hidden="1">
      <c r="A12337" s="1" t="s">
        <v>25244</v>
      </c>
      <c r="C12337" s="1">
        <v>1</v>
      </c>
      <c r="D12337" s="1" t="str">
        <f>"10708"</f>
        <v>10708</v>
      </c>
      <c r="E12337" s="1" t="s">
        <v>37</v>
      </c>
      <c r="F12337" s="1">
        <v>8</v>
      </c>
      <c r="G12337" s="1">
        <v>4</v>
      </c>
      <c r="H12337" s="1">
        <v>0</v>
      </c>
      <c r="I12337" s="1" t="s">
        <v>25237</v>
      </c>
      <c r="K12337" s="1" t="str">
        <f t="shared" si="779"/>
        <v>ㄧ</v>
      </c>
      <c r="L12337" s="1" t="str">
        <f t="shared" si="782"/>
        <v>ㄚ</v>
      </c>
      <c r="N12337" s="3" t="s">
        <v>30575</v>
      </c>
      <c r="O12337" s="3"/>
      <c r="P12337" s="1" t="s">
        <v>20</v>
      </c>
      <c r="R12337" s="1" t="s">
        <v>25238</v>
      </c>
      <c r="V12337" s="1" t="s">
        <v>25245</v>
      </c>
      <c r="AR12337" s="1" t="str">
        <f t="shared" si="781"/>
        <v>| [ㄧㄚˊ](ㄧㄚˊ.md) | [芽](芽.md) |  | yá | [名]
1.植物初生的苗。如：「豆芽」、「麥芽」、「嫩芽」。唐．白居易〈種桃歌〉：「食桃種其核，一年核生芽。」宋．辛棄疾〈鷓鴣天．陌上柔桑初破芽〉詞：「陌上柔桑初破芽，東鄰蠶種已生些。」
2.形狀像芽的東西。如：「肉芽」、「銀芽」。
3.姓。如春秋時鄒有芽亶。
[動]
1.發芽。宋．歐陽修〈重贈劉原父〉詩：「而今春物已爛漫，念昔草木冰未芽。」
2.開始、發生。漢．蔡邕〈釋誨〉：「神疾其邪，利端始萌，害漸以芽。」晉．江統〈函谷關賦〉：「遏姦宄于未芽，殿邪偽于萌漸。」 |</v>
      </c>
    </row>
    <row r="12338" spans="1:44" hidden="1">
      <c r="A12338" s="1" t="s">
        <v>25246</v>
      </c>
      <c r="C12338" s="1">
        <v>1</v>
      </c>
      <c r="D12338" s="1" t="str">
        <f>"10709"</f>
        <v>10709</v>
      </c>
      <c r="E12338" s="1" t="s">
        <v>679</v>
      </c>
      <c r="F12338" s="1">
        <v>10</v>
      </c>
      <c r="G12338" s="1">
        <v>4</v>
      </c>
      <c r="H12338" s="1">
        <v>0</v>
      </c>
      <c r="I12338" s="1" t="s">
        <v>25237</v>
      </c>
      <c r="K12338" s="1" t="str">
        <f t="shared" si="779"/>
        <v>ㄧ</v>
      </c>
      <c r="L12338" s="1" t="str">
        <f t="shared" si="782"/>
        <v>ㄚ</v>
      </c>
      <c r="N12338" s="3" t="s">
        <v>30575</v>
      </c>
      <c r="O12338" s="3"/>
      <c r="P12338" s="1" t="s">
        <v>20</v>
      </c>
      <c r="R12338" s="1" t="s">
        <v>25238</v>
      </c>
      <c r="V12338" s="1" t="s">
        <v>25247</v>
      </c>
      <c r="AR12338" s="1" t="str">
        <f t="shared" si="781"/>
        <v>| [ㄧㄚˊ](ㄧㄚˊ.md) | [蚜](蚜.md) |  | yá | 參見「蚜蟲」條。 |</v>
      </c>
    </row>
    <row r="12339" spans="1:44" hidden="1">
      <c r="A12339" s="1" t="s">
        <v>25248</v>
      </c>
      <c r="C12339" s="1">
        <v>1</v>
      </c>
      <c r="D12339" s="1" t="str">
        <f>"10710"</f>
        <v>10710</v>
      </c>
      <c r="E12339" s="1" t="s">
        <v>592</v>
      </c>
      <c r="F12339" s="1">
        <v>19</v>
      </c>
      <c r="G12339" s="1">
        <v>4</v>
      </c>
      <c r="H12339" s="1">
        <v>0</v>
      </c>
      <c r="I12339" s="1" t="s">
        <v>25237</v>
      </c>
      <c r="K12339" s="1" t="str">
        <f t="shared" si="779"/>
        <v>ㄧ</v>
      </c>
      <c r="L12339" s="1" t="str">
        <f t="shared" si="782"/>
        <v>ㄚ</v>
      </c>
      <c r="N12339" s="3" t="s">
        <v>30575</v>
      </c>
      <c r="O12339" s="3"/>
      <c r="P12339" s="1" t="s">
        <v>20</v>
      </c>
      <c r="R12339" s="1" t="s">
        <v>25238</v>
      </c>
      <c r="V12339" s="1" t="s">
        <v>25249</v>
      </c>
      <c r="AR12339" s="1" t="str">
        <f t="shared" si="781"/>
        <v>| [ㄧㄚˊ](ㄧㄚˊ.md) | [齖](齖.md) |  | yá | [形]
牙齒不平正的樣子。《玉篇．六鞳》：「齖，齒不平。」 |</v>
      </c>
    </row>
    <row r="12340" spans="1:44" hidden="1">
      <c r="A12340" s="1" t="s">
        <v>25222</v>
      </c>
      <c r="C12340" s="1">
        <v>1</v>
      </c>
      <c r="D12340" s="1" t="str">
        <f>"10711"</f>
        <v>10711</v>
      </c>
      <c r="E12340" s="1" t="s">
        <v>24</v>
      </c>
      <c r="F12340" s="1">
        <v>8</v>
      </c>
      <c r="G12340" s="1">
        <v>5</v>
      </c>
      <c r="H12340" s="1">
        <v>2</v>
      </c>
      <c r="I12340" s="1" t="s">
        <v>25237</v>
      </c>
      <c r="K12340" s="1" t="str">
        <f t="shared" si="779"/>
        <v>ㄧ</v>
      </c>
      <c r="L12340" s="1" t="str">
        <f t="shared" si="782"/>
        <v>ㄚ</v>
      </c>
      <c r="N12340" s="3" t="s">
        <v>30575</v>
      </c>
      <c r="O12340" s="3"/>
      <c r="P12340" s="1" t="s">
        <v>20</v>
      </c>
      <c r="R12340" s="1" t="s">
        <v>25238</v>
      </c>
      <c r="V12340" s="1" t="s">
        <v>25250</v>
      </c>
      <c r="W12340" s="1" t="s">
        <v>25251</v>
      </c>
      <c r="AR12340" s="1" t="str">
        <f t="shared" si="781"/>
        <v>| [ㄧㄚˊ](ㄧㄚˊ.md) | [押](押.md) |  | yá | [動]
在公文、契約或供詞上簽署。《水滸傳》第六回：「次早，清長老陞法座，押了法帖，委智深管菜園。」《初刻拍案驚奇》卷一〇：「待敝友們都押了花字，一同作個見證。」
[名]
在文件或簿冊上所簽的名字或符號，以用作證明。如：「畫押」、「簽押」。《紅樓夢》第一二回：「他兩個作好作歹，只寫了五十兩銀子，畫了押。」 |</v>
      </c>
    </row>
    <row r="12341" spans="1:44" hidden="1">
      <c r="A12341" s="1" t="s">
        <v>25252</v>
      </c>
      <c r="C12341" s="1">
        <v>1</v>
      </c>
      <c r="D12341" s="1" t="str">
        <f>"10712"</f>
        <v>10712</v>
      </c>
      <c r="E12341" s="1" t="s">
        <v>129</v>
      </c>
      <c r="F12341" s="1">
        <v>11</v>
      </c>
      <c r="G12341" s="1">
        <v>8</v>
      </c>
      <c r="H12341" s="1">
        <v>0</v>
      </c>
      <c r="I12341" s="1" t="s">
        <v>25237</v>
      </c>
      <c r="K12341" s="1" t="str">
        <f t="shared" ref="K12341:K12392" si="783">LEFT(I12341, 1)</f>
        <v>ㄧ</v>
      </c>
      <c r="L12341" s="1" t="str">
        <f t="shared" si="782"/>
        <v>ㄚ</v>
      </c>
      <c r="N12341" s="3" t="s">
        <v>30575</v>
      </c>
      <c r="O12341" s="3"/>
      <c r="P12341" s="1" t="s">
        <v>20</v>
      </c>
      <c r="R12341" s="1" t="s">
        <v>25238</v>
      </c>
      <c r="V12341" s="1" t="s">
        <v>25253</v>
      </c>
      <c r="AR12341" s="1" t="str">
        <f t="shared" si="781"/>
        <v>| [ㄧㄚˊ](ㄧㄚˊ.md) | [涯](涯.md) |  | yá | [名]
1.水邊。《書經．微子》：「今殷其淪喪，若涉大水，其無津涯。」漢．王充《論衡．驗符》：「廬江皖侯國，民際有湖。皖民小男，曰陳爵陳挺，年皆十歲以上，相與釣於湖涯。」
2.邊際。《文選．古詩十九首．行行重行行》：「相去萬餘里，各在天一涯。」
3.極限。《莊子．養生主》：「吾生也有涯，而知也無涯，以有涯隨無涯，殆已。」宋．蘇軾〈答李方叔〉：「某以虛名過實，士大夫不察，責望逾涯。」 |</v>
      </c>
    </row>
    <row r="12342" spans="1:44" hidden="1">
      <c r="A12342" s="1" t="s">
        <v>25254</v>
      </c>
      <c r="C12342" s="1">
        <v>1</v>
      </c>
      <c r="D12342" s="1" t="str">
        <f>"10713"</f>
        <v>10713</v>
      </c>
      <c r="E12342" s="1" t="s">
        <v>1015</v>
      </c>
      <c r="F12342" s="1">
        <v>13</v>
      </c>
      <c r="G12342" s="1">
        <v>8</v>
      </c>
      <c r="H12342" s="1">
        <v>1</v>
      </c>
      <c r="I12342" s="1" t="s">
        <v>25237</v>
      </c>
      <c r="K12342" s="1" t="str">
        <f t="shared" si="783"/>
        <v>ㄧ</v>
      </c>
      <c r="L12342" s="1" t="str">
        <f t="shared" si="782"/>
        <v>ㄚ</v>
      </c>
      <c r="N12342" s="3" t="s">
        <v>30575</v>
      </c>
      <c r="O12342" s="3"/>
      <c r="P12342" s="1" t="s">
        <v>20</v>
      </c>
      <c r="R12342" s="1" t="s">
        <v>25238</v>
      </c>
      <c r="V12342" s="1" t="s">
        <v>25255</v>
      </c>
      <c r="W12342" s="1" t="s">
        <v>25256</v>
      </c>
      <c r="AR12342" s="1" t="str">
        <f t="shared" si="781"/>
        <v>| [ㄧㄚˊ](ㄧㄚˊ.md) | [睚](睚.md) |  | yá | [名]
眼眶，眼睛的周邊。說文新附．目部：「睚，目際也。」 |</v>
      </c>
    </row>
    <row r="12343" spans="1:44" hidden="1">
      <c r="A12343" s="1" t="s">
        <v>25257</v>
      </c>
      <c r="C12343" s="1">
        <v>1</v>
      </c>
      <c r="D12343" s="1" t="str">
        <f>"10714"</f>
        <v>10714</v>
      </c>
      <c r="E12343" s="1" t="s">
        <v>7105</v>
      </c>
      <c r="F12343" s="1">
        <v>13</v>
      </c>
      <c r="G12343" s="1">
        <v>7</v>
      </c>
      <c r="H12343" s="1">
        <v>1</v>
      </c>
      <c r="I12343" s="1" t="s">
        <v>25237</v>
      </c>
      <c r="K12343" s="1" t="str">
        <f t="shared" si="783"/>
        <v>ㄧ</v>
      </c>
      <c r="L12343" s="1" t="str">
        <f t="shared" si="782"/>
        <v>ㄚ</v>
      </c>
      <c r="N12343" s="3" t="s">
        <v>30575</v>
      </c>
      <c r="O12343" s="3"/>
      <c r="P12343" s="1" t="s">
        <v>20</v>
      </c>
      <c r="R12343" s="1" t="s">
        <v>25238</v>
      </c>
      <c r="V12343" s="1" t="s">
        <v>25258</v>
      </c>
      <c r="W12343" s="1" t="s">
        <v>25259</v>
      </c>
      <c r="AR12343" s="1" t="str">
        <f t="shared" si="781"/>
        <v>| [ㄧㄚˊ](ㄧㄚˊ.md) | [衙](衙.md) |  | yá | [名]
1.古代官吏辦理公務的地方。如：「官衙」、「縣衙」、「衙門」。《聊齋志異．卷一〇．胭脂》：「鼓動衙開，巍然高坐。」
2.唐代天子處理政務的前殿。《舊唐書．卷一六．穆宗本紀》：「群臣始朝於宣政衙。」唐．元稹〈連昌宮詞〉：「蛇出燕巢盤鬥栱，菌生香案正當衙。」
3.依次排列成行的事物。宋．程垓〈烏夜啼．牆外雨肥梅子〉詞：「春盡難憑燕語，日長惟有蜂衙。」明．高濂《玉簪記》第一四齣：「蜂衙蝶陣，鬧嚷嚷也都只為著傷春。」
4.姓。如漢代有衙謹卿。 |</v>
      </c>
    </row>
    <row r="12344" spans="1:44" hidden="1">
      <c r="A12344" s="1" t="s">
        <v>2172</v>
      </c>
      <c r="C12344" s="1">
        <v>1</v>
      </c>
      <c r="D12344" s="1" t="str">
        <f>"10715"</f>
        <v>10715</v>
      </c>
      <c r="E12344" s="1" t="s">
        <v>2173</v>
      </c>
      <c r="F12344" s="1">
        <v>5</v>
      </c>
      <c r="G12344" s="1">
        <v>0</v>
      </c>
      <c r="H12344" s="1">
        <v>2</v>
      </c>
      <c r="I12344" s="1" t="s">
        <v>25260</v>
      </c>
      <c r="K12344" s="1" t="str">
        <f t="shared" si="783"/>
        <v>ㄧ</v>
      </c>
      <c r="L12344" s="1" t="str">
        <f t="shared" si="782"/>
        <v>ㄚ</v>
      </c>
      <c r="N12344" s="3" t="s">
        <v>30576</v>
      </c>
      <c r="O12344" s="3"/>
      <c r="P12344" s="1" t="s">
        <v>20</v>
      </c>
      <c r="R12344" s="1" t="s">
        <v>25261</v>
      </c>
      <c r="V12344" s="1" t="s">
        <v>25262</v>
      </c>
      <c r="W12344" s="1" t="s">
        <v>25263</v>
      </c>
      <c r="AR12344" s="1" t="str">
        <f t="shared" si="781"/>
        <v>| [ㄧㄚˇ](ㄧㄚˇ.md) | [疋](疋.md) |  | yǎ | [名]
雅的古字。《說文解字．疋部》：「疋，古文以為詩大雅字。」 |</v>
      </c>
    </row>
    <row r="12345" spans="1:44" hidden="1">
      <c r="A12345" s="1" t="s">
        <v>25264</v>
      </c>
      <c r="C12345" s="1">
        <v>1</v>
      </c>
      <c r="D12345" s="1" t="str">
        <f>"10716"</f>
        <v>10716</v>
      </c>
      <c r="E12345" s="1" t="s">
        <v>1941</v>
      </c>
      <c r="F12345" s="1">
        <v>6</v>
      </c>
      <c r="G12345" s="1">
        <v>4</v>
      </c>
      <c r="H12345" s="1">
        <v>0</v>
      </c>
      <c r="I12345" s="1" t="s">
        <v>25260</v>
      </c>
      <c r="K12345" s="1" t="str">
        <f t="shared" si="783"/>
        <v>ㄧ</v>
      </c>
      <c r="L12345" s="1" t="str">
        <f t="shared" si="782"/>
        <v>ㄚ</v>
      </c>
      <c r="N12345" s="3" t="s">
        <v>30576</v>
      </c>
      <c r="O12345" s="3"/>
      <c r="P12345" s="1" t="s">
        <v>20</v>
      </c>
      <c r="R12345" s="1" t="s">
        <v>25261</v>
      </c>
      <c r="V12345" s="1" t="s">
        <v>18057</v>
      </c>
      <c r="AR12345" s="1" t="str">
        <f t="shared" si="781"/>
        <v>| [ㄧㄚˇ](ㄧㄚˇ.md) | [厊](厊.md) |  | yǎ | 參見「厏厊」條。 |</v>
      </c>
    </row>
    <row r="12346" spans="1:44" hidden="1">
      <c r="A12346" s="1" t="s">
        <v>25265</v>
      </c>
      <c r="C12346" s="1">
        <v>1</v>
      </c>
      <c r="D12346" s="1" t="str">
        <f>"10717"</f>
        <v>10717</v>
      </c>
      <c r="E12346" s="1" t="s">
        <v>447</v>
      </c>
      <c r="F12346" s="1">
        <v>7</v>
      </c>
      <c r="G12346" s="1">
        <v>4</v>
      </c>
      <c r="H12346" s="1">
        <v>0</v>
      </c>
      <c r="I12346" s="1" t="s">
        <v>25260</v>
      </c>
      <c r="K12346" s="1" t="str">
        <f t="shared" si="783"/>
        <v>ㄧ</v>
      </c>
      <c r="L12346" s="1" t="str">
        <f t="shared" si="782"/>
        <v>ㄚ</v>
      </c>
      <c r="N12346" s="3" t="s">
        <v>30576</v>
      </c>
      <c r="O12346" s="3"/>
      <c r="P12346" s="1" t="s">
        <v>20</v>
      </c>
      <c r="R12346" s="1" t="s">
        <v>25261</v>
      </c>
      <c r="V12346" s="1" t="s">
        <v>25266</v>
      </c>
      <c r="AR12346" s="1" t="str">
        <f t="shared" si="781"/>
        <v>| [ㄧㄚˇ](ㄧㄚˇ.md) | [庌](庌.md) |  | yǎ | [名]
1.馬廄。《說文解字．广部》：「庌，廡也。」清．段玉裁．注：「廡，所以庇馬涼也。」
2.大廳、廳堂。《廣韻．上聲．馬韻》：「庌，廳也。」清．張惠言〈祭金先生文〉：「掉頭庌廡，壼奧獨闢。」
3.路旁供來往賓客歇宿的房舍。《周禮．地官．遺人》「凡國野之道，十里有廬，廬有飲食」句下唐．賈公彥．疏：「庌也者，……漢時野路候迎賓客之處，皆有庌舍，與廬相似。」 |</v>
      </c>
    </row>
    <row r="12347" spans="1:44" hidden="1">
      <c r="A12347" s="1" t="s">
        <v>25217</v>
      </c>
      <c r="C12347" s="1">
        <v>1</v>
      </c>
      <c r="D12347" s="1" t="str">
        <f>"10718"</f>
        <v>10718</v>
      </c>
      <c r="E12347" s="1" t="s">
        <v>5383</v>
      </c>
      <c r="F12347" s="1">
        <v>12</v>
      </c>
      <c r="G12347" s="1">
        <v>4</v>
      </c>
      <c r="H12347" s="1">
        <v>1</v>
      </c>
      <c r="I12347" s="1" t="s">
        <v>25260</v>
      </c>
      <c r="K12347" s="1" t="str">
        <f t="shared" si="783"/>
        <v>ㄧ</v>
      </c>
      <c r="L12347" s="1" t="str">
        <f t="shared" si="782"/>
        <v>ㄚ</v>
      </c>
      <c r="N12347" s="3" t="s">
        <v>30576</v>
      </c>
      <c r="O12347" s="3"/>
      <c r="P12347" s="1" t="s">
        <v>20</v>
      </c>
      <c r="R12347" s="1" t="s">
        <v>25261</v>
      </c>
      <c r="V12347" s="1" t="s">
        <v>25267</v>
      </c>
      <c r="W12347" s="1" t="s">
        <v>25268</v>
      </c>
      <c r="AR12347" s="1" t="str">
        <f t="shared" si="781"/>
        <v>| [ㄧㄚˇ](ㄧㄚˇ.md) | [雅](雅.md) |  | yǎ | [名]_x000D_
1.《詩經》體裁之一。於天子諸侯朝會宴饗時歌誦。有〈大雅〉、〈小雅〉之分。_x000D_
2.交情、情誼。《漢書．卷八五．谷永傳》：「質薄學朽，無一日之雅，左右之介。」《警世通言．卷二五．桂員外途窮懺悔》：「我與君交雖不深，然幼年曾有同窗之雅。」_x000D_
3.姓。如明代有雅琥。_x000D_
[形]_x000D_
1.正。《論語．述而》：「子所雅言，《詩》、《書》、執《禮》，皆雅言也。」_x000D_
2.高尚的、不俗的。漢．王充《論衡．四諱》：「夫田嬰俗父；而田文雅子也。」唐．王勃〈滕王閣序〉：「都督閻公之雅望，棨戟遙臨。」_x000D_
3.美好。《文選．陸雲．為顧彥先贈婦詩二首之一》：「雅步擢纖腰，巧笑發皓齒。」《北史．卷三三．李順傳》：「希遠弟希宗，字景玄。性寬和，儀貌雅麗，有才學。」_x000D_
[副]_x000D_
1.向來。《史記．卷八．高祖本紀》：「雍齒雅不欲屬沛公，及魏招之。」_x000D_
2.很、甚。南朝梁．劉勰《文心雕龍．鎔裁》：「士龍思劣，而雅好清省。」《聊齋志異．卷一．青鳳》：「孝兒亦倜儻，傾吐間，雅相愛悅。」_x000D_
3.對他人的敬稱。如：「雅教」、「雅鑒」、「雅穆」。 |</v>
      </c>
    </row>
    <row r="12348" spans="1:44" hidden="1">
      <c r="A12348" s="1" t="s">
        <v>25227</v>
      </c>
      <c r="C12348" s="1">
        <v>1</v>
      </c>
      <c r="D12348" s="1" t="str">
        <f>"10719"</f>
        <v>10719</v>
      </c>
      <c r="E12348" s="1" t="s">
        <v>9954</v>
      </c>
      <c r="F12348" s="1">
        <v>8</v>
      </c>
      <c r="G12348" s="1">
        <v>6</v>
      </c>
      <c r="H12348" s="1">
        <v>2</v>
      </c>
      <c r="I12348" s="1" t="s">
        <v>25260</v>
      </c>
      <c r="K12348" s="1" t="str">
        <f t="shared" si="783"/>
        <v>ㄧ</v>
      </c>
      <c r="L12348" s="1" t="str">
        <f t="shared" si="782"/>
        <v>ㄚ</v>
      </c>
      <c r="N12348" s="3" t="s">
        <v>30576</v>
      </c>
      <c r="O12348" s="3"/>
      <c r="P12348" s="1" t="s">
        <v>110</v>
      </c>
      <c r="R12348" s="1" t="s">
        <v>25261</v>
      </c>
      <c r="V12348" s="1" t="s">
        <v>111</v>
      </c>
      <c r="W12348" s="1" t="s">
        <v>25269</v>
      </c>
      <c r="AR12348" s="1" t="str">
        <f t="shared" si="781"/>
        <v>| [ㄧㄚˇ](ㄧㄚˇ.md) | [亞](亞.md) |  | yǎ | (一)之又音。 |</v>
      </c>
    </row>
    <row r="12349" spans="1:44" hidden="1">
      <c r="A12349" s="1" t="s">
        <v>25270</v>
      </c>
      <c r="C12349" s="1">
        <v>1</v>
      </c>
      <c r="D12349" s="1" t="str">
        <f>"10720"</f>
        <v>10720</v>
      </c>
      <c r="E12349" s="1" t="s">
        <v>24</v>
      </c>
      <c r="F12349" s="1">
        <v>11</v>
      </c>
      <c r="G12349" s="1">
        <v>8</v>
      </c>
      <c r="H12349" s="1">
        <v>2</v>
      </c>
      <c r="I12349" s="1" t="s">
        <v>25260</v>
      </c>
      <c r="K12349" s="1" t="str">
        <f t="shared" si="783"/>
        <v>ㄧ</v>
      </c>
      <c r="L12349" s="1" t="str">
        <f t="shared" si="782"/>
        <v>ㄚ</v>
      </c>
      <c r="N12349" s="3" t="s">
        <v>30576</v>
      </c>
      <c r="O12349" s="3"/>
      <c r="P12349" s="1" t="s">
        <v>20</v>
      </c>
      <c r="R12349" s="1" t="s">
        <v>25261</v>
      </c>
      <c r="V12349" s="1" t="s">
        <v>25271</v>
      </c>
      <c r="W12349" s="1" t="s">
        <v>25272</v>
      </c>
      <c r="AR12349" s="1" t="str">
        <f t="shared" si="781"/>
        <v>| [ㄧㄚˇ](ㄧㄚˇ.md) | [掗](掗.md) |  | yǎ | [動]
取。《西遊記》第五〇回：「果然那鍋裡氣騰騰的，煮了半鍋乾飯。就把缽盂往裡一掗，滿滿的掗了一缽盂。」 |</v>
      </c>
    </row>
    <row r="12350" spans="1:44" hidden="1">
      <c r="A12350" s="1" t="s">
        <v>24312</v>
      </c>
      <c r="C12350" s="1">
        <v>1</v>
      </c>
      <c r="D12350" s="1" t="str">
        <f>"10721"</f>
        <v>10721</v>
      </c>
      <c r="E12350" s="1" t="s">
        <v>28</v>
      </c>
      <c r="F12350" s="1">
        <v>11</v>
      </c>
      <c r="G12350" s="1">
        <v>8</v>
      </c>
      <c r="H12350" s="1">
        <v>1</v>
      </c>
      <c r="I12350" s="1" t="s">
        <v>25260</v>
      </c>
      <c r="K12350" s="1" t="str">
        <f t="shared" si="783"/>
        <v>ㄧ</v>
      </c>
      <c r="L12350" s="1" t="str">
        <f t="shared" si="782"/>
        <v>ㄚ</v>
      </c>
      <c r="N12350" s="3" t="s">
        <v>30576</v>
      </c>
      <c r="O12350" s="3"/>
      <c r="P12350" s="1" t="s">
        <v>20</v>
      </c>
      <c r="R12350" s="1" t="s">
        <v>25261</v>
      </c>
      <c r="V12350" s="1" t="s">
        <v>25273</v>
      </c>
      <c r="W12350" s="1" t="s">
        <v>25274</v>
      </c>
      <c r="AR12350" s="1" t="str">
        <f t="shared" si="781"/>
        <v>| [ㄧㄚˇ](ㄧㄚˇ.md) | [啞](啞.md) |  | yǎ | [名]_x000D_
人或動物因生理缺陷或疾病而喪失語言的功能。如：「聾啞」。《史記．卷八六．刺客列傳．豫讓》：「豫讓又漆身為厲，吞炭為啞。」_x000D_
[副]_x000D_
發音枯竭。如：「嗓子喊啞了。」_x000D_
[形]_x000D_
1.形容聲音枯澀、低沉不圓潤。如：「沙啞」、「說了一整天，聲音有點嘶啞。」_x000D_
2.不說話、沒聲音的。如：「啞鈴」、「啞劇」。 |</v>
      </c>
    </row>
    <row r="12351" spans="1:44" hidden="1">
      <c r="A12351" s="1" t="s">
        <v>25275</v>
      </c>
      <c r="C12351" s="1">
        <v>1</v>
      </c>
      <c r="D12351" s="1" t="str">
        <f>"10722"</f>
        <v>10722</v>
      </c>
      <c r="E12351" s="1" t="s">
        <v>2228</v>
      </c>
      <c r="F12351" s="1">
        <v>12</v>
      </c>
      <c r="G12351" s="1">
        <v>8</v>
      </c>
      <c r="H12351" s="1">
        <v>0</v>
      </c>
      <c r="I12351" s="1" t="s">
        <v>25260</v>
      </c>
      <c r="K12351" s="1" t="str">
        <f t="shared" si="783"/>
        <v>ㄧ</v>
      </c>
      <c r="L12351" s="1" t="str">
        <f t="shared" ref="L12351:L12382" si="784">MID(I12351, 2, 1)</f>
        <v>ㄚ</v>
      </c>
      <c r="N12351" s="3" t="s">
        <v>30576</v>
      </c>
      <c r="O12351" s="3"/>
      <c r="P12351" s="1" t="s">
        <v>20</v>
      </c>
      <c r="R12351" s="1" t="s">
        <v>25261</v>
      </c>
      <c r="V12351" s="1" t="s">
        <v>25276</v>
      </c>
      <c r="AR12351" s="1" t="str">
        <f t="shared" si="781"/>
        <v>| [ㄧㄚˇ](ㄧㄚˇ.md) | [氬](氬.md) |  | yǎ | [名]_x000D_
（argon，Ar）化學元素。原子序18。鈍氣元素之一，是無色、無味、無臭的氣體，存在於空氣中，且不易與其他元素化合。充入電燈泡或真空管中，通電後可發生藍色亮光。 |</v>
      </c>
    </row>
    <row r="12352" spans="1:44" hidden="1">
      <c r="A12352" s="1" t="s">
        <v>25015</v>
      </c>
      <c r="C12352" s="1">
        <v>1</v>
      </c>
      <c r="D12352" s="1" t="str">
        <f>"10756"</f>
        <v>10756</v>
      </c>
      <c r="E12352" s="1" t="s">
        <v>6488</v>
      </c>
      <c r="F12352" s="1">
        <v>6</v>
      </c>
      <c r="G12352" s="1">
        <v>2</v>
      </c>
      <c r="H12352" s="1">
        <v>2</v>
      </c>
      <c r="I12352" s="1" t="s">
        <v>25354</v>
      </c>
      <c r="K12352" s="1" t="str">
        <f t="shared" si="783"/>
        <v>ㄧ</v>
      </c>
      <c r="L12352" s="1" t="str">
        <f t="shared" si="784"/>
        <v>ㄝ</v>
      </c>
      <c r="N12352" s="3" t="s">
        <v>30574</v>
      </c>
      <c r="O12352" s="3"/>
      <c r="P12352" s="1" t="s">
        <v>186</v>
      </c>
      <c r="R12352" s="1" t="s">
        <v>25355</v>
      </c>
      <c r="V12352" s="1" t="s">
        <v>206</v>
      </c>
      <c r="W12352" s="1" t="s">
        <v>25356</v>
      </c>
      <c r="AR12352" s="1" t="str">
        <f t="shared" si="781"/>
        <v>| [ㄧㄝˋ](ㄧㄝˋ.md) | [曳](曳.md) |  | yè | (一)之讀音。 |</v>
      </c>
    </row>
    <row r="12353" spans="1:44" hidden="1">
      <c r="A12353" s="1" t="s">
        <v>19068</v>
      </c>
      <c r="C12353" s="1">
        <v>1</v>
      </c>
      <c r="D12353" s="1" t="str">
        <f>"10757"</f>
        <v>10757</v>
      </c>
      <c r="E12353" s="1" t="s">
        <v>24</v>
      </c>
      <c r="F12353" s="1">
        <v>9</v>
      </c>
      <c r="G12353" s="1">
        <v>6</v>
      </c>
      <c r="H12353" s="1">
        <v>2</v>
      </c>
      <c r="I12353" s="1" t="s">
        <v>25354</v>
      </c>
      <c r="K12353" s="1" t="str">
        <f t="shared" si="783"/>
        <v>ㄧ</v>
      </c>
      <c r="L12353" s="1" t="str">
        <f t="shared" si="784"/>
        <v>ㄝ</v>
      </c>
      <c r="N12353" s="3" t="s">
        <v>30574</v>
      </c>
      <c r="O12353" s="3"/>
      <c r="P12353" s="1" t="s">
        <v>186</v>
      </c>
      <c r="R12353" s="1" t="s">
        <v>25355</v>
      </c>
      <c r="V12353" s="1" t="s">
        <v>206</v>
      </c>
      <c r="W12353" s="1" t="s">
        <v>25357</v>
      </c>
      <c r="AR12353" s="1" t="str">
        <f t="shared" si="781"/>
        <v>| [ㄧㄝˋ](ㄧㄝˋ.md) | [拽](拽.md) |  | yè | (一)之讀音。 |</v>
      </c>
    </row>
    <row r="12354" spans="1:44" hidden="1">
      <c r="A12354" s="1" t="s">
        <v>25358</v>
      </c>
      <c r="C12354" s="1">
        <v>1</v>
      </c>
      <c r="D12354" s="1" t="str">
        <f>"10758"</f>
        <v>10758</v>
      </c>
      <c r="E12354" s="1" t="s">
        <v>3347</v>
      </c>
      <c r="F12354" s="1">
        <v>8</v>
      </c>
      <c r="G12354" s="1">
        <v>5</v>
      </c>
      <c r="H12354" s="1">
        <v>0</v>
      </c>
      <c r="I12354" s="1" t="s">
        <v>25354</v>
      </c>
      <c r="K12354" s="1" t="str">
        <f t="shared" si="783"/>
        <v>ㄧ</v>
      </c>
      <c r="L12354" s="1" t="str">
        <f t="shared" si="784"/>
        <v>ㄝ</v>
      </c>
      <c r="N12354" s="3" t="s">
        <v>30574</v>
      </c>
      <c r="O12354" s="3"/>
      <c r="P12354" s="1" t="s">
        <v>20</v>
      </c>
      <c r="R12354" s="1" t="s">
        <v>25355</v>
      </c>
      <c r="V12354" s="1" t="s">
        <v>25359</v>
      </c>
      <c r="AR12354" s="1" t="str">
        <f t="shared" si="781"/>
        <v>| [ㄧㄝˋ](ㄧㄝˋ.md) | [夜](夜.md) |  | yè | [名]
1.從天黑到天亮之間的一段時間。如：「夜以繼日」、「夙興夜寐」。《左傳．莊公七年》：「夏四月辛卯夜，恆星不見。」
2.姓。如漢代有夜龍。
[形]
昏暗的。漢．王符《潛夫論．讚學》：「是故索物於夜室者，莫良於火。」唐．盧照鄰〈同崔錄事哭鄭員外〉詩：「夜臺無曉箭，朝奠有虛尊。」
[動]
夜行。唐．蘇味道〈正月十五夜〉詩：「金吾不禁夜，玉漏莫相催。」 |</v>
      </c>
    </row>
    <row r="12355" spans="1:44" hidden="1">
      <c r="A12355" s="1" t="s">
        <v>25095</v>
      </c>
      <c r="C12355" s="1">
        <v>1</v>
      </c>
      <c r="D12355" s="1" t="str">
        <f>"10759"</f>
        <v>10759</v>
      </c>
      <c r="E12355" s="1" t="s">
        <v>129</v>
      </c>
      <c r="F12355" s="1">
        <v>11</v>
      </c>
      <c r="G12355" s="1">
        <v>8</v>
      </c>
      <c r="H12355" s="1">
        <v>1</v>
      </c>
      <c r="I12355" s="1" t="s">
        <v>25354</v>
      </c>
      <c r="K12355" s="1" t="str">
        <f t="shared" si="783"/>
        <v>ㄧ</v>
      </c>
      <c r="L12355" s="1" t="str">
        <f t="shared" si="784"/>
        <v>ㄝ</v>
      </c>
      <c r="N12355" s="3" t="s">
        <v>30574</v>
      </c>
      <c r="O12355" s="3"/>
      <c r="P12355" s="1" t="s">
        <v>388</v>
      </c>
      <c r="R12355" s="1" t="s">
        <v>25355</v>
      </c>
      <c r="V12355" s="1" t="s">
        <v>25360</v>
      </c>
      <c r="W12355" s="1" t="s">
        <v>25361</v>
      </c>
      <c r="AR12355" s="1" t="str">
        <f t="shared" ref="AR12355:AR12418" si="785">"| ["&amp;I12355&amp;"]("&amp;I12355&amp;".md) | ["&amp;A12355&amp;"]("&amp;A12355&amp;".md) | "&amp;" | "&amp;R12355&amp;" | "&amp;V12355&amp;" |"</f>
        <v>| [ㄧㄝˋ](ㄧㄝˋ.md) | [液](液.md) |  | yè | [名]
流質。如：「唾液」、「汁液」、「血液」、「溶液」。 |</v>
      </c>
    </row>
    <row r="12356" spans="1:44" hidden="1">
      <c r="A12356" s="1" t="s">
        <v>25097</v>
      </c>
      <c r="C12356" s="1">
        <v>1</v>
      </c>
      <c r="D12356" s="1" t="str">
        <f>"10760"</f>
        <v>10760</v>
      </c>
      <c r="E12356" s="1" t="s">
        <v>24</v>
      </c>
      <c r="F12356" s="1">
        <v>11</v>
      </c>
      <c r="G12356" s="1">
        <v>8</v>
      </c>
      <c r="H12356" s="1">
        <v>1</v>
      </c>
      <c r="I12356" s="1" t="s">
        <v>25354</v>
      </c>
      <c r="K12356" s="1" t="str">
        <f t="shared" si="783"/>
        <v>ㄧ</v>
      </c>
      <c r="L12356" s="1" t="str">
        <f t="shared" si="784"/>
        <v>ㄝ</v>
      </c>
      <c r="N12356" s="3" t="s">
        <v>30574</v>
      </c>
      <c r="O12356" s="3"/>
      <c r="P12356" s="1" t="s">
        <v>388</v>
      </c>
      <c r="R12356" s="1" t="s">
        <v>25355</v>
      </c>
      <c r="V12356" s="1" t="s">
        <v>25362</v>
      </c>
      <c r="W12356" s="1" t="s">
        <v>25363</v>
      </c>
      <c r="AR12356" s="1" t="str">
        <f t="shared" si="785"/>
        <v>| [ㄧㄝˋ](ㄧㄝˋ.md) | [掖](掖.md) |  | yè | [動]
1.用手攙扶人的手臂。《左傳．僖公二十五年》：「衛人伐邢，二禮從國子巡城，掖以赴外，殺之。」
2.扶持、幫助。如：「扶掖」、「獎掖」。《宋史．卷三一九．歐陽修傳》：「篤於朋友，生則振掖之，死則調護其家。」
[名]
胳肢窩。通「腋」。《史記．卷六八．商君傳》：「千羊之皮，不如一狐之掖。」
[形]
旁邊的。如：「掖垣」、「掖門」、「掖庭」。《三國演義》第一一七回：「諸葛瞻指揮兩掖兵衝出，直撞入魏陣中。」 |</v>
      </c>
    </row>
    <row r="12357" spans="1:44" hidden="1">
      <c r="A12357" s="1" t="s">
        <v>25364</v>
      </c>
      <c r="C12357" s="1">
        <v>1</v>
      </c>
      <c r="D12357" s="1" t="str">
        <f>"10761"</f>
        <v>10761</v>
      </c>
      <c r="E12357" s="1" t="s">
        <v>28</v>
      </c>
      <c r="F12357" s="1">
        <v>11</v>
      </c>
      <c r="G12357" s="1">
        <v>8</v>
      </c>
      <c r="H12357" s="1">
        <v>0</v>
      </c>
      <c r="I12357" s="1" t="s">
        <v>25354</v>
      </c>
      <c r="K12357" s="1" t="str">
        <f t="shared" si="783"/>
        <v>ㄧ</v>
      </c>
      <c r="L12357" s="1" t="str">
        <f t="shared" si="784"/>
        <v>ㄝ</v>
      </c>
      <c r="N12357" s="3" t="s">
        <v>30574</v>
      </c>
      <c r="O12357" s="3"/>
      <c r="P12357" s="1" t="s">
        <v>20</v>
      </c>
      <c r="R12357" s="1" t="s">
        <v>25355</v>
      </c>
      <c r="V12357" s="1" t="s">
        <v>25365</v>
      </c>
      <c r="AR12357" s="1" t="str">
        <f t="shared" si="785"/>
        <v>| [ㄧㄝˋ](ㄧㄝˋ.md) | [㖡](㖡.md) |  | yè | [動]
鳥夜鳴。宋．陸佃《埤雅．卷七．釋鳥．鶌鳩》：「凡鳥朝鳴曰嘲，夜鳴曰㖡。」 |</v>
      </c>
    </row>
    <row r="12358" spans="1:44" hidden="1">
      <c r="A12358" s="1" t="s">
        <v>25099</v>
      </c>
      <c r="C12358" s="1">
        <v>1</v>
      </c>
      <c r="D12358" s="1" t="str">
        <f>"10762"</f>
        <v>10762</v>
      </c>
      <c r="E12358" s="1" t="s">
        <v>68</v>
      </c>
      <c r="F12358" s="1">
        <v>12</v>
      </c>
      <c r="G12358" s="1">
        <v>8</v>
      </c>
      <c r="H12358" s="1">
        <v>1</v>
      </c>
      <c r="I12358" s="1" t="s">
        <v>25354</v>
      </c>
      <c r="K12358" s="1" t="str">
        <f t="shared" si="783"/>
        <v>ㄧ</v>
      </c>
      <c r="L12358" s="1" t="str">
        <f t="shared" si="784"/>
        <v>ㄝ</v>
      </c>
      <c r="N12358" s="3" t="s">
        <v>30574</v>
      </c>
      <c r="O12358" s="3"/>
      <c r="P12358" s="1" t="s">
        <v>388</v>
      </c>
      <c r="R12358" s="1" t="s">
        <v>25355</v>
      </c>
      <c r="V12358" s="1" t="s">
        <v>25366</v>
      </c>
      <c r="W12358" s="1" t="s">
        <v>25367</v>
      </c>
      <c r="AR12358" s="1" t="str">
        <f t="shared" si="785"/>
        <v>| [ㄧㄝˋ](ㄧㄝˋ.md) | [腋](腋.md) |  | yè | [名]
1.肩膀和手臂交接的地方。《晉書．卷五六．江統傳》：「害起肘腋，疢篤難療。」俗稱為「胳肢窩」。
2.旁邊。明．徐弘祖《徐霞客遊記．卷三上．粵西遊日記一》：「由溪橋度而西，上嶺，有瀑布在其左腋，其上峻極。」
3.動物翅膀或前腿內側和胸部相連的地方。《史記．卷一一七．司馬相如傳》：「弓不虛發，中必決眥，洞胸達腋，絕乎心繫，獲若雨獸，揜草蔽地。」 |</v>
      </c>
    </row>
    <row r="12359" spans="1:44" hidden="1">
      <c r="A12359" s="1" t="s">
        <v>25368</v>
      </c>
      <c r="C12359" s="1">
        <v>1</v>
      </c>
      <c r="D12359" s="1" t="str">
        <f>"10763"</f>
        <v>10763</v>
      </c>
      <c r="E12359" s="1" t="s">
        <v>24</v>
      </c>
      <c r="F12359" s="1">
        <v>8</v>
      </c>
      <c r="G12359" s="1">
        <v>5</v>
      </c>
      <c r="H12359" s="1">
        <v>0</v>
      </c>
      <c r="I12359" s="1" t="s">
        <v>25354</v>
      </c>
      <c r="K12359" s="1" t="str">
        <f t="shared" si="783"/>
        <v>ㄧ</v>
      </c>
      <c r="L12359" s="1" t="str">
        <f t="shared" si="784"/>
        <v>ㄝ</v>
      </c>
      <c r="N12359" s="3" t="s">
        <v>30574</v>
      </c>
      <c r="O12359" s="3"/>
      <c r="P12359" s="1" t="s">
        <v>20</v>
      </c>
      <c r="R12359" s="1" t="s">
        <v>25355</v>
      </c>
      <c r="V12359" s="1" t="s">
        <v>25369</v>
      </c>
      <c r="AR12359" s="1" t="str">
        <f t="shared" si="785"/>
        <v>| [ㄧㄝˋ](ㄧㄝˋ.md) | [抴](抴.md) |  | yè | [動]
1.牽引。《說文解字．手部》：「抴，捈也。」清．段玉裁．注：「抴與曳音義皆同，〈檀弓〉『負手曳杖』，《釋文》『曳作抴，俗刻誤從木，非也。』」
2.連綴。《史記．卷一一七．司馬相如列傳》：「垂旬始以為幓兮，抴彗星而為髾。」
[名]
船槳。 |</v>
      </c>
    </row>
    <row r="12360" spans="1:44" hidden="1">
      <c r="A12360" s="1" t="s">
        <v>16491</v>
      </c>
      <c r="C12360" s="1">
        <v>1</v>
      </c>
      <c r="D12360" s="1" t="str">
        <f>"10764"</f>
        <v>10764</v>
      </c>
      <c r="E12360" s="1" t="s">
        <v>684</v>
      </c>
      <c r="F12360" s="1">
        <v>9</v>
      </c>
      <c r="G12360" s="1">
        <v>0</v>
      </c>
      <c r="H12360" s="1">
        <v>2</v>
      </c>
      <c r="I12360" s="1" t="s">
        <v>25354</v>
      </c>
      <c r="K12360" s="1" t="str">
        <f t="shared" si="783"/>
        <v>ㄧ</v>
      </c>
      <c r="L12360" s="1" t="str">
        <f t="shared" si="784"/>
        <v>ㄝ</v>
      </c>
      <c r="N12360" s="3" t="s">
        <v>30574</v>
      </c>
      <c r="O12360" s="3"/>
      <c r="P12360" s="1" t="s">
        <v>20</v>
      </c>
      <c r="R12360" s="1" t="s">
        <v>25355</v>
      </c>
      <c r="V12360" s="1" t="s">
        <v>25370</v>
      </c>
      <c r="W12360" s="1" t="s">
        <v>25371</v>
      </c>
      <c r="AR12360" s="1" t="str">
        <f t="shared" si="785"/>
        <v>| [ㄧㄝˋ](ㄧㄝˋ.md) | [頁](頁.md) |  | yè | [名]_x000D_
1.紙張。如：「活頁」、「冊頁」。_x000D_
2.二一四部首之一。_x000D_
[量]_x000D_
計算書籍文件面數的單位。如：「我看了三頁書。」 |</v>
      </c>
    </row>
    <row r="12361" spans="1:44" hidden="1">
      <c r="A12361" s="1" t="s">
        <v>25372</v>
      </c>
      <c r="C12361" s="1">
        <v>1</v>
      </c>
      <c r="D12361" s="1" t="str">
        <f>"10765"</f>
        <v>10765</v>
      </c>
      <c r="E12361" s="1" t="s">
        <v>28</v>
      </c>
      <c r="F12361" s="1">
        <v>9</v>
      </c>
      <c r="G12361" s="1">
        <v>6</v>
      </c>
      <c r="H12361" s="1">
        <v>3</v>
      </c>
      <c r="I12361" s="1" t="s">
        <v>25354</v>
      </c>
      <c r="K12361" s="1" t="str">
        <f t="shared" si="783"/>
        <v>ㄧ</v>
      </c>
      <c r="L12361" s="1" t="str">
        <f t="shared" si="784"/>
        <v>ㄝ</v>
      </c>
      <c r="N12361" s="3" t="s">
        <v>30574</v>
      </c>
      <c r="O12361" s="3"/>
      <c r="P12361" s="1" t="s">
        <v>20</v>
      </c>
      <c r="R12361" s="1" t="s">
        <v>25355</v>
      </c>
      <c r="V12361" s="1" t="s">
        <v>25373</v>
      </c>
      <c r="W12361" s="1" t="s">
        <v>25374</v>
      </c>
      <c r="AR12361" s="1" t="str">
        <f t="shared" si="785"/>
        <v>| [ㄧㄝˋ](ㄧㄝˋ.md) | [咽](咽.md) |  | yè | [形]
聲音悲淒滯塞。如：「嗚咽」。唐．李白〈憶秦娥．簫聲咽〉詞：「簫聲咽，秦娥夢斷秦樓月。」
[動]
阻塞、填塞。《洛陽伽藍記．卷三．景明寺》：「車騎填咽，繁衍相傾。」唐．李端〈宿深上人院聽遠泉〉詩：「斷續來方盡，潺湲咽又通。」 |</v>
      </c>
    </row>
    <row r="12362" spans="1:44" hidden="1">
      <c r="A12362" s="1" t="s">
        <v>20597</v>
      </c>
      <c r="C12362" s="1">
        <v>1</v>
      </c>
      <c r="D12362" s="1" t="str">
        <f>"10766"</f>
        <v>10766</v>
      </c>
      <c r="E12362" s="1" t="s">
        <v>1595</v>
      </c>
      <c r="F12362" s="1">
        <v>10</v>
      </c>
      <c r="G12362" s="1">
        <v>7</v>
      </c>
      <c r="H12362" s="1">
        <v>4</v>
      </c>
      <c r="I12362" s="1" t="s">
        <v>25354</v>
      </c>
      <c r="K12362" s="1" t="str">
        <f t="shared" si="783"/>
        <v>ㄧ</v>
      </c>
      <c r="L12362" s="1" t="str">
        <f t="shared" si="784"/>
        <v>ㄝ</v>
      </c>
      <c r="N12362" s="3" t="s">
        <v>30574</v>
      </c>
      <c r="O12362" s="3"/>
      <c r="P12362" s="1" t="s">
        <v>20</v>
      </c>
      <c r="R12362" s="1" t="s">
        <v>25355</v>
      </c>
      <c r="V12362" s="1" t="s">
        <v>25375</v>
      </c>
      <c r="W12362" s="1" t="s">
        <v>25376</v>
      </c>
      <c r="AR12362" s="1" t="str">
        <f t="shared" si="785"/>
        <v>| [ㄧㄝˋ](ㄧㄝˋ.md) | [射](射.md) |  | yè | 參見「射干」、「僕射」等條。 |</v>
      </c>
    </row>
    <row r="12363" spans="1:44" hidden="1">
      <c r="A12363" s="1" t="s">
        <v>25377</v>
      </c>
      <c r="C12363" s="1">
        <v>1</v>
      </c>
      <c r="D12363" s="1" t="str">
        <f>"10767"</f>
        <v>10767</v>
      </c>
      <c r="E12363" s="1" t="s">
        <v>1372</v>
      </c>
      <c r="F12363" s="1">
        <v>12</v>
      </c>
      <c r="G12363" s="1">
        <v>8</v>
      </c>
      <c r="H12363" s="1">
        <v>0</v>
      </c>
      <c r="I12363" s="1" t="s">
        <v>25354</v>
      </c>
      <c r="K12363" s="1" t="str">
        <f t="shared" si="783"/>
        <v>ㄧ</v>
      </c>
      <c r="L12363" s="1" t="str">
        <f t="shared" si="784"/>
        <v>ㄝ</v>
      </c>
      <c r="N12363" s="3" t="s">
        <v>30574</v>
      </c>
      <c r="O12363" s="3"/>
      <c r="P12363" s="1" t="s">
        <v>20</v>
      </c>
      <c r="R12363" s="1" t="s">
        <v>25355</v>
      </c>
      <c r="V12363" s="1" t="s">
        <v>25378</v>
      </c>
      <c r="AR12363" s="1" t="str">
        <f t="shared" si="785"/>
        <v>| [ㄧㄝˋ](ㄧㄝˋ.md) | [殗](殗.md) |  | yè | [形]
1.微病的樣子。唐．陸龜蒙〈幽居賦〉：「時牽殗殜，自把渠疏。」清．袁枚〈祭妹文〉：「後雖小差，猶尚殗殜。」
2.重疊的樣子。《文選．左思．吳都賦》：「攢柯挐莖，重葩殗葉。」唐．李善．注：「殗，重也，葉重疊貌。」 |</v>
      </c>
    </row>
    <row r="12364" spans="1:44" hidden="1">
      <c r="A12364" s="1" t="s">
        <v>11500</v>
      </c>
      <c r="C12364" s="1">
        <v>1</v>
      </c>
      <c r="D12364" s="1" t="str">
        <f>"10768"</f>
        <v>10768</v>
      </c>
      <c r="E12364" s="1" t="s">
        <v>28</v>
      </c>
      <c r="F12364" s="1">
        <v>12</v>
      </c>
      <c r="G12364" s="1">
        <v>9</v>
      </c>
      <c r="H12364" s="1">
        <v>3</v>
      </c>
      <c r="I12364" s="1" t="s">
        <v>25354</v>
      </c>
      <c r="K12364" s="1" t="str">
        <f t="shared" si="783"/>
        <v>ㄧ</v>
      </c>
      <c r="L12364" s="1" t="str">
        <f t="shared" si="784"/>
        <v>ㄝ</v>
      </c>
      <c r="N12364" s="3" t="s">
        <v>30574</v>
      </c>
      <c r="O12364" s="3"/>
      <c r="P12364" s="1" t="s">
        <v>20</v>
      </c>
      <c r="R12364" s="1" t="s">
        <v>25355</v>
      </c>
      <c r="V12364" s="1" t="s">
        <v>25379</v>
      </c>
      <c r="W12364" s="1" t="s">
        <v>25380</v>
      </c>
      <c r="AR12364" s="1" t="str">
        <f t="shared" si="785"/>
        <v>| [ㄧㄝˋ](ㄧㄝˋ.md) | [喝](喝.md) |  | yè | [形]
聲音幽噎嘶啞。漢．王充《論衡．氣壽》：「兒生號啼之聲，鴻朗高暢者壽，嘶喝溼下者夭。」《後漢書．卷四五．張酺傳》：「被矢貫咽，音聲流喝。」 |</v>
      </c>
    </row>
    <row r="12365" spans="1:44" hidden="1">
      <c r="A12365" s="1" t="s">
        <v>11597</v>
      </c>
      <c r="C12365" s="1">
        <v>1</v>
      </c>
      <c r="D12365" s="1" t="str">
        <f>"10769"</f>
        <v>10769</v>
      </c>
      <c r="E12365" s="1" t="s">
        <v>646</v>
      </c>
      <c r="F12365" s="1">
        <v>13</v>
      </c>
      <c r="G12365" s="1">
        <v>9</v>
      </c>
      <c r="H12365" s="1">
        <v>2</v>
      </c>
      <c r="I12365" s="1" t="s">
        <v>25354</v>
      </c>
      <c r="K12365" s="1" t="str">
        <f t="shared" si="783"/>
        <v>ㄧ</v>
      </c>
      <c r="L12365" s="1" t="str">
        <f t="shared" si="784"/>
        <v>ㄝ</v>
      </c>
      <c r="N12365" s="3" t="s">
        <v>30574</v>
      </c>
      <c r="O12365" s="3"/>
      <c r="P12365" s="1" t="s">
        <v>110</v>
      </c>
      <c r="R12365" s="1" t="s">
        <v>25355</v>
      </c>
      <c r="V12365" s="1" t="s">
        <v>111</v>
      </c>
      <c r="W12365" s="1" t="s">
        <v>25381</v>
      </c>
      <c r="AR12365" s="1" t="str">
        <f t="shared" si="785"/>
        <v>| [ㄧㄝˋ](ㄧㄝˋ.md) | [暍](暍.md) |  | yè | (一)之又音。 |</v>
      </c>
    </row>
    <row r="12366" spans="1:44" hidden="1">
      <c r="A12366" s="1" t="s">
        <v>25382</v>
      </c>
      <c r="C12366" s="1">
        <v>1</v>
      </c>
      <c r="D12366" s="1" t="str">
        <f>"10770"</f>
        <v>10770</v>
      </c>
      <c r="E12366" s="1" t="s">
        <v>331</v>
      </c>
      <c r="F12366" s="1">
        <v>16</v>
      </c>
      <c r="G12366" s="1">
        <v>9</v>
      </c>
      <c r="H12366" s="1">
        <v>0</v>
      </c>
      <c r="I12366" s="1" t="s">
        <v>25354</v>
      </c>
      <c r="K12366" s="1" t="str">
        <f t="shared" si="783"/>
        <v>ㄧ</v>
      </c>
      <c r="L12366" s="1" t="str">
        <f t="shared" si="784"/>
        <v>ㄝ</v>
      </c>
      <c r="N12366" s="3" t="s">
        <v>30574</v>
      </c>
      <c r="O12366" s="3"/>
      <c r="P12366" s="1" t="s">
        <v>20</v>
      </c>
      <c r="R12366" s="1" t="s">
        <v>25355</v>
      </c>
      <c r="V12366" s="1" t="s">
        <v>25383</v>
      </c>
      <c r="AR12366" s="1" t="str">
        <f t="shared" si="785"/>
        <v>| [ㄧㄝˋ](ㄧㄝˋ.md) | [謁](謁.md) |  | yè | [名]_x000D_
1.名片。《說文解字．言部》「謁」字清．段玉裁．注：「謁者，若後人書刺，自言爵里姓名，並列所白事。」《史記．卷八．高祖本紀》：「高祖為亭長，素易諸吏，乃紿為謁。」《後漢書．卷一一．劉玄劉盆子列傳．劉盆子》：「酒未行，其中一人出刀筆書謁欲賀。」_x000D_
2.姓。如漢代有謁瓊。_x000D_
[動]_x000D_
1.稟告、說明。《戰國策．秦策一》：「天下之所不欲危，臣請謁其故。」漢．王充《論衡．紀妖》：「當道者曰：『吾欲有謁於主君。』從者以聞。」_x000D_
2.請求。《列子．周穆王》：「謁史而卜之，弗占；謁巫而禱之，弗禁；謁醫而攻之，弗已。」宋．王讜《唐語林．卷三．賞譽》：「任大理評事，日饘粥不給，嘗於安國寺相識僧處謁飧。」_x000D_
3.進見、拜見。如：「晉謁總統」。《楚辭．劉向．九歎．遠遊》：「登崑崙而北首兮，悉靈圉而來謁。」《新唐書．卷一九六．隱逸列傳．衛大經》：「開元初，畢構為刺史，使縣令孔慎言就謁，辭不見。」 |</v>
      </c>
    </row>
    <row r="12367" spans="1:44" hidden="1">
      <c r="A12367" s="1" t="s">
        <v>18038</v>
      </c>
      <c r="C12367" s="1">
        <v>1</v>
      </c>
      <c r="D12367" s="1" t="str">
        <f>"10771"</f>
        <v>10771</v>
      </c>
      <c r="E12367" s="1" t="s">
        <v>336</v>
      </c>
      <c r="F12367" s="1">
        <v>13</v>
      </c>
      <c r="G12367" s="1">
        <v>9</v>
      </c>
      <c r="H12367" s="1">
        <v>1</v>
      </c>
      <c r="I12367" s="1" t="s">
        <v>25354</v>
      </c>
      <c r="K12367" s="1" t="str">
        <f t="shared" si="783"/>
        <v>ㄧ</v>
      </c>
      <c r="L12367" s="1" t="str">
        <f t="shared" si="784"/>
        <v>ㄝ</v>
      </c>
      <c r="N12367" s="3" t="s">
        <v>30574</v>
      </c>
      <c r="O12367" s="3"/>
      <c r="P12367" s="1" t="s">
        <v>20</v>
      </c>
      <c r="R12367" s="1" t="s">
        <v>25355</v>
      </c>
      <c r="V12367" s="1" t="s">
        <v>25384</v>
      </c>
      <c r="W12367" s="1" t="s">
        <v>25385</v>
      </c>
      <c r="AR12367" s="1" t="str">
        <f t="shared" si="785"/>
        <v>| [ㄧㄝˋ](ㄧㄝˋ.md) | [煠](煠.md) |  | yè | [名]
火光。清．王念孫《廣雅疏證．卷二上．釋詁》：「煠，爚也。」
[動]
(二)之又音。 |</v>
      </c>
    </row>
    <row r="12368" spans="1:44" hidden="1">
      <c r="A12368" s="1" t="s">
        <v>25386</v>
      </c>
      <c r="C12368" s="1">
        <v>1</v>
      </c>
      <c r="D12368" s="1" t="str">
        <f>"10772"</f>
        <v>10772</v>
      </c>
      <c r="E12368" s="1" t="s">
        <v>1372</v>
      </c>
      <c r="F12368" s="1">
        <v>13</v>
      </c>
      <c r="G12368" s="1">
        <v>9</v>
      </c>
      <c r="H12368" s="1">
        <v>0</v>
      </c>
      <c r="I12368" s="1" t="s">
        <v>25354</v>
      </c>
      <c r="K12368" s="1" t="str">
        <f t="shared" si="783"/>
        <v>ㄧ</v>
      </c>
      <c r="L12368" s="1" t="str">
        <f t="shared" si="784"/>
        <v>ㄝ</v>
      </c>
      <c r="N12368" s="3" t="s">
        <v>30574</v>
      </c>
      <c r="O12368" s="3"/>
      <c r="P12368" s="1" t="s">
        <v>20</v>
      </c>
      <c r="R12368" s="1" t="s">
        <v>25355</v>
      </c>
      <c r="V12368" s="1" t="s">
        <v>25387</v>
      </c>
      <c r="AR12368" s="1" t="str">
        <f t="shared" si="785"/>
        <v>| [ㄧㄝˋ](ㄧㄝˋ.md) | [殜](殜.md) |  | yè | [動]
生病。《玉篇．歹部》：「殜，病也。」清．王念孫《廣雅疏證．卷一上．釋詁》：「殜，病也。」 |</v>
      </c>
    </row>
    <row r="12369" spans="1:44" hidden="1">
      <c r="A12369" s="1" t="s">
        <v>20877</v>
      </c>
      <c r="C12369" s="1">
        <v>1</v>
      </c>
      <c r="D12369" s="1" t="str">
        <f>"10773"</f>
        <v>10773</v>
      </c>
      <c r="E12369" s="1" t="s">
        <v>37</v>
      </c>
      <c r="F12369" s="1">
        <v>13</v>
      </c>
      <c r="G12369" s="1">
        <v>9</v>
      </c>
      <c r="H12369" s="1">
        <v>1</v>
      </c>
      <c r="I12369" s="1" t="s">
        <v>25354</v>
      </c>
      <c r="K12369" s="1" t="str">
        <f t="shared" si="783"/>
        <v>ㄧ</v>
      </c>
      <c r="L12369" s="1" t="str">
        <f t="shared" si="784"/>
        <v>ㄝ</v>
      </c>
      <c r="N12369" s="3" t="s">
        <v>30574</v>
      </c>
      <c r="O12369" s="3"/>
      <c r="P12369" s="1" t="s">
        <v>20</v>
      </c>
      <c r="R12369" s="1" t="s">
        <v>25355</v>
      </c>
      <c r="V12369" s="1" t="s">
        <v>25388</v>
      </c>
      <c r="W12369" s="1" t="s">
        <v>25389</v>
      </c>
      <c r="AR12369" s="1" t="str">
        <f t="shared" si="785"/>
        <v>| [ㄧㄝˋ](ㄧㄝˋ.md) | [葉](葉.md) |  | yè | [名]
1.植物的主要營養器官之一，能行光合作用。常略平展，生於枝幹上，也營呼吸、蒸發等作用，某些植物的葉部則因變態而具有貯藏、保護或捕食的功能。如：「一棵植物大致可分為根、莖、葉三部分。」
2.像葉片的東西。如：「肺葉」。
3.世代、時期。如：「唐朝中葉」、「十五世紀末葉」。《詩經．商頌．長發》：「昔在中葉，有震且業。」
4.書頁。通「頁」。《宋史．卷四三二．儒林列傳二．何涉》：「一過目不復再讀，而終身不忘。人問書傳中事，必指卷第、冊葉所在，驗之果然。」《三國演義》第七八回：「全卷已被燒毀，只剩得一兩葉。」
5.比喻輕飄如葉的東西。宋．蘇軾〈赤壁賦〉：「駕一葉之扁舟，舉匏尊以相屬。」
6.量詞：(1)計算小船的單位。如：「一葉扁舟」。(2)計算書籍文件面數的單位。同「頁」。如：「三葉書」。
7.姓。如清代有葉名琛。 |</v>
      </c>
    </row>
    <row r="12370" spans="1:44" hidden="1">
      <c r="A12370" s="1" t="s">
        <v>7454</v>
      </c>
      <c r="C12370" s="1">
        <v>1</v>
      </c>
      <c r="D12370" s="1" t="str">
        <f>"10774"</f>
        <v>10774</v>
      </c>
      <c r="E12370" s="1" t="s">
        <v>139</v>
      </c>
      <c r="F12370" s="1">
        <v>13</v>
      </c>
      <c r="G12370" s="1">
        <v>9</v>
      </c>
      <c r="H12370" s="1">
        <v>1</v>
      </c>
      <c r="I12370" s="1" t="s">
        <v>25354</v>
      </c>
      <c r="K12370" s="1" t="str">
        <f t="shared" si="783"/>
        <v>ㄧ</v>
      </c>
      <c r="L12370" s="1" t="str">
        <f t="shared" si="784"/>
        <v>ㄝ</v>
      </c>
      <c r="N12370" s="3" t="s">
        <v>30574</v>
      </c>
      <c r="O12370" s="3"/>
      <c r="P12370" s="1" t="s">
        <v>20</v>
      </c>
      <c r="R12370" s="1" t="s">
        <v>25355</v>
      </c>
      <c r="V12370" s="1" t="s">
        <v>25390</v>
      </c>
      <c r="W12370" s="1" t="s">
        <v>25391</v>
      </c>
      <c r="AR12370" s="1" t="str">
        <f t="shared" si="785"/>
        <v>| [ㄧㄝˋ](ㄧㄝˋ.md) | [業](業.md) |  | yè | [名]
1.古代樂器架子橫木上的大版，狀如鋸齒，可以懸掛鐘、鼓、磬等。《說文解字．丵部》：「業，大版也，所以飾縣鐘鼓。」《詩經．周頌．有瞽》：「設業設虡，崇牙樹羽。」
2.社會上的各種工作職務。如：「農業」、「商業」、「各行各業」、「敬業樂群」。《文選．馬融．長笛賦》：「宦夫樂其業，士子世其宅。」
3.學習的內容或過程。如：「修業」、「課業」、「畢業」。唐．韓愈〈進學解〉：「業精於勤，荒於嬉。」
4.財產。如：「產業」、「祖業」、「家業」。唐．白居易〈自河南經亂關內阻饑散各在一處因望月有感〉詩：「時難年荒世業空，弟兄羈旅各西東。」
5.功績。如：「偉業」、「功業」。《文選．諸葛亮．出師表》：「先帝創業未半，而中道崩徂。」
6.佛教用語。梵語karma的意譯。佛教上指有意志的行為，包括身體、言語和心識等三業。如：「善業」、「惡業」、「三業」。《喻世明言．卷一．蔣興哥重會珍珠衫》：「公堂造業真容易，要積陰功亦不難。」
[動]
1.從事某種工作。如：「業農」、「業儒」、「業商」。唐．白居易〈題文集櫃〉詩：「我生業文字，自幼及老年。」
2.繼承。《左傳．昭公元年》：「臺駘能業其官。」
[形]
參見「業業」條。
[副]
已經。如：「業已」。《紅樓夢》第六二回：「果見湘雲臥於山石僻處一個石凳子上，業經香夢沉酣。」 |</v>
      </c>
    </row>
    <row r="12371" spans="1:44" hidden="1">
      <c r="A12371" s="1" t="s">
        <v>25392</v>
      </c>
      <c r="C12371" s="1">
        <v>1</v>
      </c>
      <c r="D12371" s="1" t="str">
        <f>"10775"</f>
        <v>10775</v>
      </c>
      <c r="E12371" s="1" t="s">
        <v>256</v>
      </c>
      <c r="F12371" s="1">
        <v>16</v>
      </c>
      <c r="G12371" s="1">
        <v>13</v>
      </c>
      <c r="H12371" s="1">
        <v>0</v>
      </c>
      <c r="I12371" s="1" t="s">
        <v>25354</v>
      </c>
      <c r="K12371" s="1" t="str">
        <f t="shared" si="783"/>
        <v>ㄧ</v>
      </c>
      <c r="L12371" s="1" t="str">
        <f t="shared" si="784"/>
        <v>ㄝ</v>
      </c>
      <c r="N12371" s="3" t="s">
        <v>30574</v>
      </c>
      <c r="O12371" s="3"/>
      <c r="P12371" s="1" t="s">
        <v>20</v>
      </c>
      <c r="R12371" s="1" t="s">
        <v>25355</v>
      </c>
      <c r="V12371" s="1" t="s">
        <v>25393</v>
      </c>
      <c r="AR12371" s="1" t="str">
        <f t="shared" si="785"/>
        <v>| [ㄧㄝˋ](ㄧㄝˋ.md) | [鄴](鄴.md) |  | yè | [名]
1.地名。春秋時齊邑，秦漢時改置縣。故城約在今大陸地區河北省臨漳縣境內。
2.姓。如漢代有鄴鳳。 |</v>
      </c>
    </row>
    <row r="12372" spans="1:44" hidden="1">
      <c r="A12372" s="1" t="s">
        <v>25394</v>
      </c>
      <c r="C12372" s="1">
        <v>1</v>
      </c>
      <c r="D12372" s="1" t="str">
        <f>"10776"</f>
        <v>10776</v>
      </c>
      <c r="E12372" s="1" t="s">
        <v>190</v>
      </c>
      <c r="F12372" s="1">
        <v>16</v>
      </c>
      <c r="G12372" s="1">
        <v>13</v>
      </c>
      <c r="H12372" s="1">
        <v>0</v>
      </c>
      <c r="I12372" s="1" t="s">
        <v>25354</v>
      </c>
      <c r="K12372" s="1" t="str">
        <f t="shared" si="783"/>
        <v>ㄧ</v>
      </c>
      <c r="L12372" s="1" t="str">
        <f t="shared" si="784"/>
        <v>ㄝ</v>
      </c>
      <c r="N12372" s="3" t="s">
        <v>30574</v>
      </c>
      <c r="O12372" s="3"/>
      <c r="P12372" s="1" t="s">
        <v>20</v>
      </c>
      <c r="R12372" s="1" t="s">
        <v>25355</v>
      </c>
      <c r="V12372" s="1" t="s">
        <v>25395</v>
      </c>
      <c r="AR12372" s="1" t="str">
        <f t="shared" si="785"/>
        <v>| [ㄧㄝˋ](ㄧㄝˋ.md) | [嶪](嶪.md) |  | yè | 參見「岌嶪」條。 |</v>
      </c>
    </row>
    <row r="12373" spans="1:44" hidden="1">
      <c r="A12373" s="1" t="s">
        <v>25396</v>
      </c>
      <c r="C12373" s="1">
        <v>1</v>
      </c>
      <c r="D12373" s="1" t="str">
        <f>"10777"</f>
        <v>10777</v>
      </c>
      <c r="E12373" s="1" t="s">
        <v>336</v>
      </c>
      <c r="F12373" s="1">
        <v>16</v>
      </c>
      <c r="G12373" s="1">
        <v>12</v>
      </c>
      <c r="H12373" s="1">
        <v>0</v>
      </c>
      <c r="I12373" s="1" t="s">
        <v>25354</v>
      </c>
      <c r="K12373" s="1" t="str">
        <f t="shared" si="783"/>
        <v>ㄧ</v>
      </c>
      <c r="L12373" s="1" t="str">
        <f t="shared" si="784"/>
        <v>ㄝ</v>
      </c>
      <c r="N12373" s="3" t="s">
        <v>30574</v>
      </c>
      <c r="O12373" s="3"/>
      <c r="P12373" s="1" t="s">
        <v>20</v>
      </c>
      <c r="R12373" s="1" t="s">
        <v>25355</v>
      </c>
      <c r="V12373" s="1" t="s">
        <v>25397</v>
      </c>
      <c r="AR12373" s="1" t="str">
        <f t="shared" si="785"/>
        <v>| [ㄧㄝˋ](ㄧㄝˋ.md) | [燁](燁.md) |  | yè | [形]
火光盛大的樣子。《集韻．入聲．緝韻》：「燁，火盛貌。」 |</v>
      </c>
    </row>
    <row r="12374" spans="1:44" hidden="1">
      <c r="A12374" s="1" t="s">
        <v>25398</v>
      </c>
      <c r="C12374" s="1">
        <v>1</v>
      </c>
      <c r="D12374" s="1" t="str">
        <f>"10778"</f>
        <v>10778</v>
      </c>
      <c r="E12374" s="1" t="s">
        <v>646</v>
      </c>
      <c r="F12374" s="1">
        <v>16</v>
      </c>
      <c r="G12374" s="1">
        <v>12</v>
      </c>
      <c r="H12374" s="1">
        <v>0</v>
      </c>
      <c r="I12374" s="1" t="s">
        <v>25354</v>
      </c>
      <c r="K12374" s="1" t="str">
        <f t="shared" si="783"/>
        <v>ㄧ</v>
      </c>
      <c r="L12374" s="1" t="str">
        <f t="shared" si="784"/>
        <v>ㄝ</v>
      </c>
      <c r="N12374" s="3" t="s">
        <v>30574</v>
      </c>
      <c r="O12374" s="3"/>
      <c r="P12374" s="1" t="s">
        <v>20</v>
      </c>
      <c r="R12374" s="1" t="s">
        <v>25355</v>
      </c>
      <c r="V12374" s="1" t="s">
        <v>25399</v>
      </c>
      <c r="AR12374" s="1" t="str">
        <f t="shared" si="785"/>
        <v>| [ㄧㄝˋ](ㄧㄝˋ.md) | [曄](曄.md) |  | yè | [形]
1.光明的樣子。《說文解字．日部》：「曄，光也。」
2.繁盛的樣子。《文選．宋玉．神女賦．序》：「美貌橫生，曄兮如華，溫乎如瑩。」唐．李善．注：「曄，盛貌。」 |</v>
      </c>
    </row>
    <row r="12375" spans="1:44" hidden="1">
      <c r="A12375" s="1" t="s">
        <v>25400</v>
      </c>
      <c r="C12375" s="1">
        <v>1</v>
      </c>
      <c r="D12375" s="1" t="str">
        <f>"10779"</f>
        <v>10779</v>
      </c>
      <c r="E12375" s="1" t="s">
        <v>24</v>
      </c>
      <c r="F12375" s="1">
        <v>17</v>
      </c>
      <c r="G12375" s="1">
        <v>14</v>
      </c>
      <c r="H12375" s="1">
        <v>0</v>
      </c>
      <c r="I12375" s="1" t="s">
        <v>25354</v>
      </c>
      <c r="K12375" s="1" t="str">
        <f t="shared" si="783"/>
        <v>ㄧ</v>
      </c>
      <c r="L12375" s="1" t="str">
        <f t="shared" si="784"/>
        <v>ㄝ</v>
      </c>
      <c r="N12375" s="3" t="s">
        <v>30574</v>
      </c>
      <c r="O12375" s="3"/>
      <c r="P12375" s="1" t="s">
        <v>20</v>
      </c>
      <c r="R12375" s="1" t="s">
        <v>25355</v>
      </c>
      <c r="V12375" s="1" t="s">
        <v>25401</v>
      </c>
      <c r="AR12375" s="1" t="str">
        <f t="shared" si="785"/>
        <v>| [ㄧㄝˋ](ㄧㄝˋ.md) | [擫](擫.md) |  | yè | [動]
以手輕按。如：「擫笛」、「擫息」。 |</v>
      </c>
    </row>
    <row r="12376" spans="1:44" hidden="1">
      <c r="A12376" s="1" t="s">
        <v>25402</v>
      </c>
      <c r="C12376" s="1">
        <v>1</v>
      </c>
      <c r="D12376" s="1" t="str">
        <f>"10780"</f>
        <v>10780</v>
      </c>
      <c r="E12376" s="1" t="s">
        <v>3610</v>
      </c>
      <c r="F12376" s="1">
        <v>23</v>
      </c>
      <c r="G12376" s="1">
        <v>14</v>
      </c>
      <c r="H12376" s="1">
        <v>0</v>
      </c>
      <c r="I12376" s="1" t="s">
        <v>25354</v>
      </c>
      <c r="K12376" s="1" t="str">
        <f t="shared" si="783"/>
        <v>ㄧ</v>
      </c>
      <c r="L12376" s="1" t="str">
        <f t="shared" si="784"/>
        <v>ㄝ</v>
      </c>
      <c r="N12376" s="3" t="s">
        <v>30574</v>
      </c>
      <c r="O12376" s="3"/>
      <c r="P12376" s="1" t="s">
        <v>20</v>
      </c>
      <c r="R12376" s="1" t="s">
        <v>25355</v>
      </c>
      <c r="V12376" s="1" t="s">
        <v>25403</v>
      </c>
      <c r="AR12376" s="1" t="str">
        <f t="shared" si="785"/>
        <v>| [ㄧㄝˋ](ㄧㄝˋ.md) | [靨](靨.md) |  | yè | [名]
面頰上的微渦。如：「笑靨迷人」。漢．班婕伃〈擣素賦〉：「兩靨如點，雙眉如張，穨肌柔液，音性閑良。」唐．陳述〈歎美人照鏡〉詩：「插花枝共動，含笑靨俱生。」俗稱為「酒渦」。 |</v>
      </c>
    </row>
    <row r="12377" spans="1:44" hidden="1">
      <c r="A12377" s="1" t="s">
        <v>25404</v>
      </c>
      <c r="C12377" s="1">
        <v>1</v>
      </c>
      <c r="D12377" s="1" t="str">
        <f>"10781"</f>
        <v>10781</v>
      </c>
      <c r="E12377" s="1" t="s">
        <v>193</v>
      </c>
      <c r="F12377" s="1">
        <v>18</v>
      </c>
      <c r="G12377" s="1">
        <v>10</v>
      </c>
      <c r="H12377" s="1">
        <v>0</v>
      </c>
      <c r="I12377" s="1" t="s">
        <v>25354</v>
      </c>
      <c r="K12377" s="1" t="str">
        <f t="shared" si="783"/>
        <v>ㄧ</v>
      </c>
      <c r="L12377" s="1" t="str">
        <f t="shared" si="784"/>
        <v>ㄝ</v>
      </c>
      <c r="N12377" s="3" t="s">
        <v>30574</v>
      </c>
      <c r="O12377" s="3"/>
      <c r="P12377" s="1" t="s">
        <v>20</v>
      </c>
      <c r="R12377" s="1" t="s">
        <v>25355</v>
      </c>
      <c r="V12377" s="1" t="s">
        <v>25405</v>
      </c>
      <c r="AR12377" s="1" t="str">
        <f t="shared" si="785"/>
        <v>| [ㄧㄝˋ](ㄧㄝˋ.md) | [饁](饁.md) |  | yè | [動]_x000D_
送飯給在田裡工作的人吃。《詩經．豳風．七月》：「同我婦子，饁彼南畝，田畯至喜。」《左傳．僖公三十三年》：「見冀缺耨，其妻饁之。」清．紀昀《閱微草堂筆記．卷八．如是我聞二》：「次日至村中，果聞一婦饁田，為旋風所撲，患頭痛。」_x000D_
[名]_x000D_
送給田裡工作者的食物。《詩經．周頌．載芟》：「有嗿其饁，思媚其婦。」明．宋濂〈閱江樓記〉：「耕人有炙膚皸足之煩，農女有將桑行饁之勤。」 |</v>
      </c>
    </row>
    <row r="12378" spans="1:44" hidden="1">
      <c r="A12378" s="1" t="s">
        <v>25406</v>
      </c>
      <c r="C12378" s="1">
        <v>1</v>
      </c>
      <c r="D12378" s="1" t="str">
        <f>"10782"</f>
        <v>10782</v>
      </c>
      <c r="E12378" s="1" t="s">
        <v>2777</v>
      </c>
      <c r="F12378" s="1">
        <v>20</v>
      </c>
      <c r="G12378" s="1">
        <v>8</v>
      </c>
      <c r="H12378" s="1">
        <v>2</v>
      </c>
      <c r="I12378" s="1" t="s">
        <v>25354</v>
      </c>
      <c r="K12378" s="1" t="str">
        <f t="shared" si="783"/>
        <v>ㄧ</v>
      </c>
      <c r="L12378" s="1" t="str">
        <f t="shared" si="784"/>
        <v>ㄝ</v>
      </c>
      <c r="N12378" s="3" t="s">
        <v>30574</v>
      </c>
      <c r="O12378" s="3"/>
      <c r="P12378" s="1" t="s">
        <v>20</v>
      </c>
      <c r="R12378" s="1" t="s">
        <v>25355</v>
      </c>
      <c r="V12378" s="1" t="s">
        <v>25407</v>
      </c>
      <c r="W12378" s="1" t="s">
        <v>25408</v>
      </c>
      <c r="AR12378" s="1" t="str">
        <f t="shared" si="785"/>
        <v>| [ㄧㄝˋ](ㄧㄝˋ.md) | [黦](黦.md) |  | yè | [動]
變色、臉色變壞。唐．杜牧〈晚晴賦〉：「復引舟于深灣，忽八九之紅芰，奼然如婦，斂然如女，墮蕊黦顏，似見放棄。」 |</v>
      </c>
    </row>
    <row r="12379" spans="1:44" hidden="1">
      <c r="A12379" s="1" t="s">
        <v>16400</v>
      </c>
      <c r="C12379" s="1">
        <v>1</v>
      </c>
      <c r="D12379" s="1" t="str">
        <f>"10742"</f>
        <v>10742</v>
      </c>
      <c r="E12379" s="1" t="s">
        <v>256</v>
      </c>
      <c r="F12379" s="1">
        <v>7</v>
      </c>
      <c r="G12379" s="1">
        <v>4</v>
      </c>
      <c r="H12379" s="1">
        <v>3</v>
      </c>
      <c r="I12379" s="1" t="s">
        <v>25323</v>
      </c>
      <c r="K12379" s="1" t="str">
        <f t="shared" si="783"/>
        <v>ㄧ</v>
      </c>
      <c r="L12379" s="1" t="str">
        <f t="shared" si="784"/>
        <v>ㄝ</v>
      </c>
      <c r="N12379" s="3" t="s">
        <v>30575</v>
      </c>
      <c r="O12379" s="3"/>
      <c r="P12379" s="1" t="s">
        <v>20</v>
      </c>
      <c r="R12379" s="1" t="s">
        <v>25324</v>
      </c>
      <c r="V12379" s="1" t="s">
        <v>25325</v>
      </c>
      <c r="W12379" s="1" t="s">
        <v>25326</v>
      </c>
      <c r="AR12379" s="1" t="str">
        <f t="shared" si="785"/>
        <v>| [ㄧㄝˊ](ㄧㄝˊ.md) | [邪](邪.md) |  | yé | [助]
1.用於句末，表示疑問或感嘆的語氣。同「耶」。《莊子．養生主》：「弟子曰：『非夫子之友邪？』」《史記．卷六一．伯夷傳》：「儻所謂天道，是邪？非邪？」
2.參見「邪呼」、「邪許」條。 |</v>
      </c>
    </row>
    <row r="12380" spans="1:44" hidden="1">
      <c r="A12380" s="1" t="s">
        <v>25327</v>
      </c>
      <c r="C12380" s="1">
        <v>1</v>
      </c>
      <c r="D12380" s="1" t="str">
        <f>"10743"</f>
        <v>10743</v>
      </c>
      <c r="E12380" s="1" t="s">
        <v>142</v>
      </c>
      <c r="F12380" s="1">
        <v>11</v>
      </c>
      <c r="G12380" s="1">
        <v>7</v>
      </c>
      <c r="H12380" s="1">
        <v>0</v>
      </c>
      <c r="I12380" s="1" t="s">
        <v>25323</v>
      </c>
      <c r="K12380" s="1" t="str">
        <f t="shared" si="783"/>
        <v>ㄧ</v>
      </c>
      <c r="L12380" s="1" t="str">
        <f t="shared" si="784"/>
        <v>ㄝ</v>
      </c>
      <c r="N12380" s="3" t="s">
        <v>30575</v>
      </c>
      <c r="O12380" s="3"/>
      <c r="P12380" s="1" t="s">
        <v>20</v>
      </c>
      <c r="R12380" s="1" t="s">
        <v>25324</v>
      </c>
      <c r="V12380" s="1" t="s">
        <v>25328</v>
      </c>
      <c r="AR12380" s="1" t="str">
        <f t="shared" si="785"/>
        <v>| [ㄧㄝˊ](ㄧㄝˊ.md) | [琊](琊.md) |  | yé | 參見「瑯琊」條。 |</v>
      </c>
    </row>
    <row r="12381" spans="1:44" hidden="1">
      <c r="A12381" s="1" t="s">
        <v>25329</v>
      </c>
      <c r="C12381" s="1">
        <v>1</v>
      </c>
      <c r="D12381" s="1" t="str">
        <f>"10744"</f>
        <v>10744</v>
      </c>
      <c r="E12381" s="1" t="s">
        <v>55</v>
      </c>
      <c r="F12381" s="1">
        <v>12</v>
      </c>
      <c r="G12381" s="1">
        <v>4</v>
      </c>
      <c r="H12381" s="1">
        <v>0</v>
      </c>
      <c r="I12381" s="1" t="s">
        <v>25323</v>
      </c>
      <c r="K12381" s="1" t="str">
        <f t="shared" si="783"/>
        <v>ㄧ</v>
      </c>
      <c r="L12381" s="1" t="str">
        <f t="shared" si="784"/>
        <v>ㄝ</v>
      </c>
      <c r="N12381" s="3" t="s">
        <v>30575</v>
      </c>
      <c r="O12381" s="3"/>
      <c r="P12381" s="1" t="s">
        <v>20</v>
      </c>
      <c r="R12381" s="1" t="s">
        <v>25324</v>
      </c>
      <c r="V12381" s="1" t="s">
        <v>2766</v>
      </c>
      <c r="AR12381" s="1" t="str">
        <f t="shared" si="785"/>
        <v>| [ㄧㄝˊ](ㄧㄝˊ.md) | [釾](釾.md) |  | yé | 參見「鏌釾」條。 |</v>
      </c>
    </row>
    <row r="12382" spans="1:44" hidden="1">
      <c r="A12382" s="1" t="s">
        <v>25314</v>
      </c>
      <c r="C12382" s="1">
        <v>1</v>
      </c>
      <c r="D12382" s="1" t="str">
        <f>"10745"</f>
        <v>10745</v>
      </c>
      <c r="E12382" s="1" t="s">
        <v>2419</v>
      </c>
      <c r="F12382" s="1">
        <v>9</v>
      </c>
      <c r="G12382" s="1">
        <v>3</v>
      </c>
      <c r="H12382" s="1">
        <v>1</v>
      </c>
      <c r="I12382" s="1" t="s">
        <v>25323</v>
      </c>
      <c r="K12382" s="1" t="str">
        <f t="shared" si="783"/>
        <v>ㄧ</v>
      </c>
      <c r="L12382" s="1" t="str">
        <f t="shared" si="784"/>
        <v>ㄝ</v>
      </c>
      <c r="N12382" s="3" t="s">
        <v>30575</v>
      </c>
      <c r="O12382" s="3"/>
      <c r="P12382" s="1" t="s">
        <v>20</v>
      </c>
      <c r="R12382" s="1" t="s">
        <v>25324</v>
      </c>
      <c r="V12382" s="1" t="s">
        <v>25330</v>
      </c>
      <c r="W12382" s="1" t="s">
        <v>25331</v>
      </c>
      <c r="AR12382" s="1" t="str">
        <f t="shared" si="785"/>
        <v>| [ㄧㄝˊ](ㄧㄝˊ.md) | [耶](耶.md) |  | yé | [名]
父親俗稱為「耶」。同「爺」。唐．杜甫〈兵車行〉：「耶孃妻子走相送，塵埃不見咸陽橋。」宋．王安石〈高魏留〉詩：「邂逅得歸耶戰死，母隨人去亦蕭然。」
[助]
表示疑問語氣。相當於「呢」、「嗎」。《戰國策．趙策三》：「十人而從一者，寧力不勝，智不若耶？」宋．范仲淹〈岳陽樓記〉：「是進亦憂，退亦憂，然則何時而樂耶？」 |</v>
      </c>
    </row>
    <row r="12383" spans="1:44" hidden="1">
      <c r="A12383" s="1" t="s">
        <v>25332</v>
      </c>
      <c r="C12383" s="1">
        <v>1</v>
      </c>
      <c r="D12383" s="1" t="str">
        <f>"10746"</f>
        <v>10746</v>
      </c>
      <c r="E12383" s="1" t="s">
        <v>24</v>
      </c>
      <c r="F12383" s="1">
        <v>12</v>
      </c>
      <c r="G12383" s="1">
        <v>9</v>
      </c>
      <c r="H12383" s="1">
        <v>0</v>
      </c>
      <c r="I12383" s="1" t="s">
        <v>25323</v>
      </c>
      <c r="K12383" s="1" t="str">
        <f t="shared" si="783"/>
        <v>ㄧ</v>
      </c>
      <c r="L12383" s="1" t="str">
        <f t="shared" ref="L12383:L12392" si="786">MID(I12383, 2, 1)</f>
        <v>ㄝ</v>
      </c>
      <c r="N12383" s="3" t="s">
        <v>30575</v>
      </c>
      <c r="O12383" s="3"/>
      <c r="P12383" s="1" t="s">
        <v>20</v>
      </c>
      <c r="R12383" s="1" t="s">
        <v>25324</v>
      </c>
      <c r="V12383" s="1" t="s">
        <v>25333</v>
      </c>
      <c r="AR12383" s="1" t="str">
        <f t="shared" si="785"/>
        <v>| [ㄧㄝˊ](ㄧㄝˊ.md) | [揶](揶.md) |  | yé | 參見「揶揄」條。 |</v>
      </c>
    </row>
    <row r="12384" spans="1:44" hidden="1">
      <c r="A12384" s="1" t="s">
        <v>25334</v>
      </c>
      <c r="C12384" s="1">
        <v>1</v>
      </c>
      <c r="D12384" s="1" t="str">
        <f>"10747"</f>
        <v>10747</v>
      </c>
      <c r="E12384" s="1" t="s">
        <v>139</v>
      </c>
      <c r="F12384" s="1">
        <v>13</v>
      </c>
      <c r="G12384" s="1">
        <v>9</v>
      </c>
      <c r="H12384" s="1">
        <v>0</v>
      </c>
      <c r="I12384" s="1" t="s">
        <v>25323</v>
      </c>
      <c r="K12384" s="1" t="str">
        <f t="shared" si="783"/>
        <v>ㄧ</v>
      </c>
      <c r="L12384" s="1" t="str">
        <f t="shared" si="786"/>
        <v>ㄝ</v>
      </c>
      <c r="N12384" s="3" t="s">
        <v>30575</v>
      </c>
      <c r="O12384" s="3"/>
      <c r="P12384" s="1" t="s">
        <v>20</v>
      </c>
      <c r="R12384" s="1" t="s">
        <v>25324</v>
      </c>
      <c r="V12384" s="1" t="s">
        <v>25335</v>
      </c>
      <c r="AR12384" s="1" t="str">
        <f t="shared" si="785"/>
        <v>| [ㄧㄝˊ](ㄧㄝˊ.md) | [椰](椰.md) |  | yé | 參見「椰子」條。 |</v>
      </c>
    </row>
    <row r="12385" spans="1:44" hidden="1">
      <c r="A12385" s="1" t="s">
        <v>25336</v>
      </c>
      <c r="C12385" s="1">
        <v>1</v>
      </c>
      <c r="D12385" s="1" t="str">
        <f>"10748"</f>
        <v>10748</v>
      </c>
      <c r="E12385" s="1" t="s">
        <v>106</v>
      </c>
      <c r="F12385" s="1">
        <v>13</v>
      </c>
      <c r="G12385" s="1">
        <v>9</v>
      </c>
      <c r="H12385" s="1">
        <v>0</v>
      </c>
      <c r="I12385" s="1" t="s">
        <v>25323</v>
      </c>
      <c r="K12385" s="1" t="str">
        <f t="shared" si="783"/>
        <v>ㄧ</v>
      </c>
      <c r="L12385" s="1" t="str">
        <f t="shared" si="786"/>
        <v>ㄝ</v>
      </c>
      <c r="N12385" s="3" t="s">
        <v>30575</v>
      </c>
      <c r="O12385" s="3"/>
      <c r="P12385" s="1" t="s">
        <v>20</v>
      </c>
      <c r="R12385" s="1" t="s">
        <v>25324</v>
      </c>
      <c r="V12385" s="1" t="s">
        <v>25337</v>
      </c>
      <c r="AR12385" s="1" t="str">
        <f t="shared" si="785"/>
        <v>| [ㄧㄝˊ](ㄧㄝˊ.md) | [爺](爺.md) |  | yé | [名]
1.稱謂：(1)用以稱父親。南朝梁．無名氏〈木蘭詩〉二首之一：「願為市鞍馬，從此替爺征。」(2)對長輩或主人的尊稱。如：「老爺」、「少爺」、「大爺」。《紅樓夢》第二〇回：「一個作爺的，還賴我們這幾個錢，連我也不在眼裡！」
2.對神明的稱呼。如：「老天爺」、「財神爺」。 |</v>
      </c>
    </row>
    <row r="12386" spans="1:44" hidden="1">
      <c r="A12386" s="1" t="s">
        <v>16418</v>
      </c>
      <c r="C12386" s="1">
        <v>1</v>
      </c>
      <c r="D12386" s="1" t="str">
        <f>"10749"</f>
        <v>10749</v>
      </c>
      <c r="E12386" s="1" t="s">
        <v>4869</v>
      </c>
      <c r="F12386" s="1">
        <v>11</v>
      </c>
      <c r="G12386" s="1">
        <v>7</v>
      </c>
      <c r="H12386" s="1">
        <v>3</v>
      </c>
      <c r="I12386" s="1" t="s">
        <v>25323</v>
      </c>
      <c r="K12386" s="1" t="str">
        <f t="shared" si="783"/>
        <v>ㄧ</v>
      </c>
      <c r="L12386" s="1" t="str">
        <f t="shared" si="786"/>
        <v>ㄝ</v>
      </c>
      <c r="N12386" s="3" t="s">
        <v>30575</v>
      </c>
      <c r="O12386" s="3"/>
      <c r="P12386" s="1" t="s">
        <v>20</v>
      </c>
      <c r="R12386" s="1" t="s">
        <v>25324</v>
      </c>
      <c r="V12386" s="1" t="s">
        <v>25338</v>
      </c>
      <c r="W12386" s="1" t="s">
        <v>25339</v>
      </c>
      <c r="AR12386" s="1" t="str">
        <f t="shared" si="785"/>
        <v>| [ㄧㄝˊ](ㄧㄝˊ.md) | [斜](斜.md) |  | yé | [名]
終南山的山谷，在今大陸地區陝西省褒城縣東北。《文選．班固．西都賦》：「右界褒斜，隴首之險。」李善注引《梁州記》曰：「萬石城泝漢上七里有褒谷，南口曰褒，北口曰斜，長四百七十里。」 |</v>
      </c>
    </row>
    <row r="12387" spans="1:44" hidden="1">
      <c r="A12387" s="1" t="s">
        <v>25340</v>
      </c>
      <c r="C12387" s="1">
        <v>1</v>
      </c>
      <c r="D12387" s="1" t="str">
        <f>"10750"</f>
        <v>10750</v>
      </c>
      <c r="E12387" s="1" t="s">
        <v>1908</v>
      </c>
      <c r="F12387" s="1">
        <v>14</v>
      </c>
      <c r="G12387" s="1">
        <v>10</v>
      </c>
      <c r="H12387" s="1">
        <v>0</v>
      </c>
      <c r="I12387" s="1" t="s">
        <v>25323</v>
      </c>
      <c r="K12387" s="1" t="str">
        <f t="shared" si="783"/>
        <v>ㄧ</v>
      </c>
      <c r="L12387" s="1" t="str">
        <f t="shared" si="786"/>
        <v>ㄝ</v>
      </c>
      <c r="N12387" s="3" t="s">
        <v>30575</v>
      </c>
      <c r="O12387" s="3"/>
      <c r="P12387" s="1" t="s">
        <v>20</v>
      </c>
      <c r="R12387" s="1" t="s">
        <v>25324</v>
      </c>
      <c r="V12387" s="1" t="s">
        <v>25341</v>
      </c>
      <c r="AR12387" s="1" t="str">
        <f t="shared" si="785"/>
        <v>| [ㄧㄝˊ](ㄧㄝˊ.md) | [歋](歋.md) |  | yé | [動]
嘲弄、輕笑。《說文解字．欠部》：「歋，人相笑相歋瘉。」 |</v>
      </c>
    </row>
    <row r="12388" spans="1:44" hidden="1">
      <c r="A12388" s="1" t="s">
        <v>25342</v>
      </c>
      <c r="C12388" s="1">
        <v>1</v>
      </c>
      <c r="D12388" s="1" t="str">
        <f>"10751"</f>
        <v>10751</v>
      </c>
      <c r="E12388" s="1" t="s">
        <v>24</v>
      </c>
      <c r="F12388" s="1">
        <v>17</v>
      </c>
      <c r="G12388" s="1">
        <v>14</v>
      </c>
      <c r="H12388" s="1">
        <v>0</v>
      </c>
      <c r="I12388" s="1" t="s">
        <v>25323</v>
      </c>
      <c r="K12388" s="1" t="str">
        <f t="shared" si="783"/>
        <v>ㄧ</v>
      </c>
      <c r="L12388" s="1" t="str">
        <f t="shared" si="786"/>
        <v>ㄝ</v>
      </c>
      <c r="N12388" s="3" t="s">
        <v>30575</v>
      </c>
      <c r="O12388" s="3"/>
      <c r="P12388" s="1" t="s">
        <v>20</v>
      </c>
      <c r="R12388" s="1" t="s">
        <v>25324</v>
      </c>
      <c r="V12388" s="1" t="s">
        <v>25343</v>
      </c>
      <c r="AR12388" s="1" t="str">
        <f t="shared" si="785"/>
        <v>| [ㄧㄝˊ](ㄧㄝˊ.md) | [擨](擨.md) |  | yé | [動]
擨歈：嘲弄、輕笑。《玉篇．手部》：「擨，擨歈，輕笑貌。」《集韻．平聲．麻韻》：「擨擨歈，舉手相弄。」 |</v>
      </c>
    </row>
    <row r="12389" spans="1:44" hidden="1">
      <c r="A12389" s="1" t="s">
        <v>25344</v>
      </c>
      <c r="C12389" s="1">
        <v>1</v>
      </c>
      <c r="D12389" s="1" t="str">
        <f>"10752"</f>
        <v>10752</v>
      </c>
      <c r="E12389" s="1" t="s">
        <v>3480</v>
      </c>
      <c r="F12389" s="1">
        <v>3</v>
      </c>
      <c r="G12389" s="1">
        <v>2</v>
      </c>
      <c r="H12389" s="1">
        <v>0</v>
      </c>
      <c r="I12389" s="1" t="s">
        <v>25345</v>
      </c>
      <c r="K12389" s="1" t="str">
        <f t="shared" si="783"/>
        <v>ㄧ</v>
      </c>
      <c r="L12389" s="1" t="str">
        <f t="shared" si="786"/>
        <v>ㄝ</v>
      </c>
      <c r="N12389" s="3" t="s">
        <v>30576</v>
      </c>
      <c r="O12389" s="3"/>
      <c r="P12389" s="1" t="s">
        <v>20</v>
      </c>
      <c r="R12389" s="1" t="s">
        <v>25346</v>
      </c>
      <c r="V12389" s="1" t="s">
        <v>25347</v>
      </c>
      <c r="AR12389" s="1" t="str">
        <f t="shared" si="785"/>
        <v>| [ㄧㄝˇ](ㄧㄝˇ.md) | [也](也.md) |  | yě | [助]
1.表示判斷或肯定的語氣。如：「是不為也，非不能也。」《史記．卷一．五帝本紀》：「舜，冀州之人也。」
2.表示疑問的語氣。如：「何也？」、「孰可忍，孰不可忍也？」清．薛福成〈觀巴黎油畫院記〉：「此畫果真邪？幻也？」
3.表示感嘆的語氣。如：「悲也！」《左傳．成公二年》：「惜也！不如多與之邑。」
4.用來引起下文。《左傳．襄公三十一年》：「子產之從政也，擇能而使之。」《孟子．離婁下》：「地之相去也，千有餘里。」
5.數事並舉而論時用。《禮記．中庸》：「天地之道，博也，厚也，高也，明也，悠也，久也。」
6.置於句中，以調整音節語氣。如：「你再也休提。」元．蕭德祥《殺狗勸夫》第二折：「可不道一部笙歌出入隨，抵多少水盡也鵝飛。」
7.表示或者、還是。元．李文蔚《燕青博魚》第三折：「姦夫在那裡？姓張姓李？姓趙姓王？可是長也矮，瘦也胖？」《水滸傳》第四〇回：「你見我府裡那個門子，卻是多少年紀？或是黑瘦也白淨肥胖？」
8.用於句中，表示停頓語氣。《論語．先進》：「柴也愚，參也魯。」唐．柳宗元〈黔之驢〉：「形之龐也類有德。」
[副]
1.同樣。如：「我懂，你也懂。」、「這個問題我也碰過。」
2.強調兩事並列。如：「客人中也有坐車的，也有走路的。」《紅樓夢》第八回：「也不至於太冷落，也不至於太熱鬧了。」
3.表示強調。如：「一點也不」、「再也不敢」、「連爸媽也樂得開懷大笑。」
4.表示轉折。《紅樓夢》第二回：「如今外面的架子雖未甚倒，內囊卻也盡上來了。」
5.表示委婉、讓步。如：「這樣也好！」、「也只好如此了！」 |</v>
      </c>
    </row>
    <row r="12390" spans="1:44" hidden="1">
      <c r="A12390" s="1" t="s">
        <v>25348</v>
      </c>
      <c r="C12390" s="1">
        <v>1</v>
      </c>
      <c r="D12390" s="1" t="str">
        <f>"10753"</f>
        <v>10753</v>
      </c>
      <c r="E12390" s="1" t="s">
        <v>1381</v>
      </c>
      <c r="F12390" s="1">
        <v>7</v>
      </c>
      <c r="G12390" s="1">
        <v>5</v>
      </c>
      <c r="H12390" s="1">
        <v>0</v>
      </c>
      <c r="I12390" s="1" t="s">
        <v>25345</v>
      </c>
      <c r="K12390" s="1" t="str">
        <f t="shared" si="783"/>
        <v>ㄧ</v>
      </c>
      <c r="L12390" s="1" t="str">
        <f t="shared" si="786"/>
        <v>ㄝ</v>
      </c>
      <c r="N12390" s="3" t="s">
        <v>30576</v>
      </c>
      <c r="O12390" s="3"/>
      <c r="P12390" s="1" t="s">
        <v>20</v>
      </c>
      <c r="R12390" s="1" t="s">
        <v>25346</v>
      </c>
      <c r="V12390" s="1" t="s">
        <v>25349</v>
      </c>
      <c r="AR12390" s="1" t="str">
        <f t="shared" si="785"/>
        <v>| [ㄧㄝˇ](ㄧㄝˇ.md) | [冶](冶.md) |  | yě | [動]
1.鎔鑄金屬。如：「冶金」、「冶鐵」。唐．李嶠〈寶劍篇〉：「吳山開，越溪涸，三金合冶成寶鍔。」
2.造就、培養。如：「陶冶性情」。
[名]
1.從事鎔鑄的工匠。《禮記．學記》：「良冶之子，必學為裘。」《墨子．節用中》：「凡天下群百工，輪車鞼匏，陶冶梓匠，使各從事其所能。」
2.姓。如春秋時衛有冶廑。
[形]
美麗、妖媚。如：「冶豔」、「妖冶」。《荀子．非相》：「鄉曲之儇子，莫不美麗姚冶。」 |</v>
      </c>
    </row>
    <row r="12391" spans="1:44" hidden="1">
      <c r="A12391" s="1" t="s">
        <v>25350</v>
      </c>
      <c r="C12391" s="1">
        <v>1</v>
      </c>
      <c r="D12391" s="1" t="str">
        <f>"10754"</f>
        <v>10754</v>
      </c>
      <c r="E12391" s="1" t="s">
        <v>132</v>
      </c>
      <c r="F12391" s="1">
        <v>11</v>
      </c>
      <c r="G12391" s="1">
        <v>8</v>
      </c>
      <c r="H12391" s="1">
        <v>0</v>
      </c>
      <c r="I12391" s="1" t="s">
        <v>25345</v>
      </c>
      <c r="K12391" s="1" t="str">
        <f t="shared" si="783"/>
        <v>ㄧ</v>
      </c>
      <c r="L12391" s="1" t="str">
        <f t="shared" si="786"/>
        <v>ㄝ</v>
      </c>
      <c r="N12391" s="3" t="s">
        <v>30576</v>
      </c>
      <c r="O12391" s="3"/>
      <c r="P12391" s="1" t="s">
        <v>20</v>
      </c>
      <c r="R12391" s="1" t="s">
        <v>25346</v>
      </c>
      <c r="V12391" s="1" t="s">
        <v>25351</v>
      </c>
      <c r="AR12391" s="1" t="str">
        <f t="shared" si="785"/>
        <v>| [ㄧㄝˇ](ㄧㄝˇ.md) | [埜](埜.md) |  | yě | [名]
1.野的古字。《玉篇．土部》：「埜，古文野。」
2.姓。如明代有埜佑。 |</v>
      </c>
    </row>
    <row r="12392" spans="1:44" hidden="1">
      <c r="A12392" s="1" t="s">
        <v>25352</v>
      </c>
      <c r="C12392" s="1">
        <v>1</v>
      </c>
      <c r="D12392" s="1" t="str">
        <f>"10755"</f>
        <v>10755</v>
      </c>
      <c r="E12392" s="1" t="s">
        <v>8366</v>
      </c>
      <c r="F12392" s="1">
        <v>11</v>
      </c>
      <c r="G12392" s="1">
        <v>4</v>
      </c>
      <c r="H12392" s="1">
        <v>0</v>
      </c>
      <c r="I12392" s="1" t="s">
        <v>25345</v>
      </c>
      <c r="K12392" s="1" t="str">
        <f t="shared" si="783"/>
        <v>ㄧ</v>
      </c>
      <c r="L12392" s="1" t="str">
        <f t="shared" si="786"/>
        <v>ㄝ</v>
      </c>
      <c r="N12392" s="3" t="s">
        <v>30576</v>
      </c>
      <c r="O12392" s="3"/>
      <c r="P12392" s="1" t="s">
        <v>20</v>
      </c>
      <c r="R12392" s="1" t="s">
        <v>25346</v>
      </c>
      <c r="V12392" s="1" t="s">
        <v>25353</v>
      </c>
      <c r="AR12392" s="1" t="str">
        <f t="shared" si="785"/>
        <v>| [ㄧㄝˇ](ㄧㄝˇ.md) | [野](野.md) |  | yě | [名]
1.郊外。《書經．武成》：「歸馬于華山之陽，放牛于桃林之野。」唐．柳宗元〈捕蛇者說〉：「永州之野產異蛇，黑質而白章。」
2.廣平的地方。《呂氏春秋．季秋紀．審己》：「稼生於野而藏於倉，稼非有欲也。」《三國志．卷三五．蜀書．諸葛亮傳》：「益州險塞，沃野千里。」
3.界限、地域。如：「分野」、「視野」。《淮南子．原道》：「上游於霄雿之野，下出於無垠之門。」
4.民間。《書經．大禹謨》：「君子在野，小人在位。」《三國志．卷四二．蜀書．郤正傳》：「故君臣協美於朝，黎庶欣戴於野。」
[形]
1.質樸。《論語．雍也》：「質勝文則野，文勝質則史。」唐．柳宗元〈柳宗直西漢文類序〉：「首紀殷周之前，其文簡而野。」
2.粗鄙無禮、放縱不馴。如：「粗野」、「撒野」。《左傳．宣公四年》：「諺曰：『狼子野心。』是乃狼也，其可畜乎？」《禮記．仲尼燕居》：「敬而不中禮謂之野，恭而不中禮謂之給。」
3.野生而未經人工栽培或馴養的。如：「野菜」、「野菊」、「野牛」、「野馬」。
4.非正式的。如：「野錄」、「野乘」、「野史」。
[副]
非常、很。如：「朔風野大」。 |</v>
      </c>
    </row>
    <row r="12393" spans="1:44" hidden="1">
      <c r="A12393" s="1" t="s">
        <v>25409</v>
      </c>
      <c r="C12393" s="1">
        <v>1</v>
      </c>
      <c r="D12393" s="1" t="str">
        <f>"10783"</f>
        <v>10783</v>
      </c>
      <c r="E12393" s="1" t="s">
        <v>28</v>
      </c>
      <c r="F12393" s="1">
        <v>6</v>
      </c>
      <c r="G12393" s="1">
        <v>3</v>
      </c>
      <c r="H12393" s="1">
        <v>0</v>
      </c>
      <c r="I12393" s="1" t="s">
        <v>25410</v>
      </c>
      <c r="J12393" s="2" t="s">
        <v>30559</v>
      </c>
      <c r="K12393" s="1" t="s">
        <v>24771</v>
      </c>
      <c r="L12393" s="1" t="s">
        <v>30572</v>
      </c>
      <c r="P12393" s="1" t="s">
        <v>20</v>
      </c>
      <c r="R12393" s="1" t="s">
        <v>25411</v>
      </c>
      <c r="V12393" s="1" t="s">
        <v>25412</v>
      </c>
      <c r="AR12393" s="1" t="str">
        <f t="shared" si="785"/>
        <v>| [˙ㄧㄝ](˙ㄧㄝ.md) | [吔](吔.md) |  | ye | [歎]
表示感嘆、驚訝等語氣。如：「吔！你這麼做，真叫人吃驚！」 |</v>
      </c>
    </row>
    <row r="12394" spans="1:44" hidden="1">
      <c r="A12394" s="1" t="s">
        <v>25413</v>
      </c>
      <c r="C12394" s="1">
        <v>1</v>
      </c>
      <c r="D12394" s="1" t="str">
        <f>"10784"</f>
        <v>10784</v>
      </c>
      <c r="E12394" s="1" t="s">
        <v>1941</v>
      </c>
      <c r="F12394" s="1">
        <v>8</v>
      </c>
      <c r="G12394" s="1">
        <v>6</v>
      </c>
      <c r="H12394" s="1">
        <v>0</v>
      </c>
      <c r="I12394" s="1" t="s">
        <v>25414</v>
      </c>
      <c r="K12394" s="1" t="str">
        <f t="shared" ref="K12394:K12457" si="787">LEFT(I12394, 1)</f>
        <v>ㄧ</v>
      </c>
      <c r="L12394" s="1" t="str">
        <f t="shared" ref="L12394:L12457" si="788">MID(I12394, 2, 1)</f>
        <v>ㄞ</v>
      </c>
      <c r="N12394" s="3" t="s">
        <v>30575</v>
      </c>
      <c r="O12394" s="3"/>
      <c r="P12394" s="1" t="s">
        <v>20</v>
      </c>
      <c r="R12394" s="1" t="s">
        <v>25415</v>
      </c>
      <c r="V12394" s="1" t="s">
        <v>25416</v>
      </c>
      <c r="AR12394" s="1" t="str">
        <f t="shared" si="785"/>
        <v>| [ㄧㄞˊ](ㄧㄞˊ.md) | [厓](厓.md) |  | yái | [名]
1.山邊。通「崖」。南朝齊．謝朓〈遊山詩〉：「凌厓必千仞，尋谿將萬轉。」《新唐書．卷一六六．令狐綯傳》：「高郵厓峭水狹，若使荻艚火其前，勁兵乘其後，一舉可覆。」
2.水邊。《文選．揚雄．甘泉賦》：「北熿幽都，南煬丹厓。」李善注引服虔曰：「丹水之厓也。」清．徐珂《清稗類鈔．戰事類．聖祖親征噶爾丹》：「忽得明成祖勒銘紀功之石於水厓，濯而視之，中有永清沙漠語。」
3.邊際、界限。《文選．揚雄．甘泉賦》：「岭巆嶙峋，洞無厓兮。」《新唐書．卷一二六．魏知古傳》：「今風教頹替日益甚，府藏空屈，人力勞敝，營作無厓，吏員寖增。」
4.姓。如明代有厓成。
[動]
張目怒視。《漢書．卷八一．孔光傳》：「所欲搏擊，輒為草，以太后指風光令上之，厓眥莫不誅傷。」 |</v>
      </c>
    </row>
    <row r="12395" spans="1:44" hidden="1">
      <c r="A12395" s="1" t="s">
        <v>25417</v>
      </c>
      <c r="C12395" s="1">
        <v>1</v>
      </c>
      <c r="D12395" s="1" t="str">
        <f>"10785"</f>
        <v>10785</v>
      </c>
      <c r="E12395" s="1" t="s">
        <v>28</v>
      </c>
      <c r="F12395" s="1">
        <v>11</v>
      </c>
      <c r="G12395" s="1">
        <v>8</v>
      </c>
      <c r="H12395" s="1">
        <v>0</v>
      </c>
      <c r="I12395" s="1" t="s">
        <v>25414</v>
      </c>
      <c r="K12395" s="1" t="str">
        <f t="shared" si="787"/>
        <v>ㄧ</v>
      </c>
      <c r="L12395" s="1" t="str">
        <f t="shared" si="788"/>
        <v>ㄞ</v>
      </c>
      <c r="N12395" s="3" t="s">
        <v>30575</v>
      </c>
      <c r="O12395" s="3"/>
      <c r="P12395" s="1" t="s">
        <v>20</v>
      </c>
      <c r="R12395" s="1" t="s">
        <v>25415</v>
      </c>
      <c r="V12395" s="1" t="s">
        <v>19581</v>
      </c>
      <c r="AR12395" s="1" t="str">
        <f t="shared" si="785"/>
        <v>| [ㄧㄞˊ](ㄧㄞˊ.md) | [啀](啀.md) |  | yái | 參見「啀喍」條。 |</v>
      </c>
    </row>
    <row r="12396" spans="1:44" hidden="1">
      <c r="A12396" s="1" t="s">
        <v>25418</v>
      </c>
      <c r="C12396" s="1">
        <v>1</v>
      </c>
      <c r="D12396" s="1" t="str">
        <f>"10786"</f>
        <v>10786</v>
      </c>
      <c r="E12396" s="1" t="s">
        <v>190</v>
      </c>
      <c r="F12396" s="1">
        <v>11</v>
      </c>
      <c r="G12396" s="1">
        <v>8</v>
      </c>
      <c r="H12396" s="1">
        <v>0</v>
      </c>
      <c r="I12396" s="1" t="s">
        <v>25414</v>
      </c>
      <c r="K12396" s="1" t="str">
        <f t="shared" si="787"/>
        <v>ㄧ</v>
      </c>
      <c r="L12396" s="1" t="str">
        <f t="shared" si="788"/>
        <v>ㄞ</v>
      </c>
      <c r="N12396" s="3" t="s">
        <v>30575</v>
      </c>
      <c r="O12396" s="3"/>
      <c r="P12396" s="1" t="s">
        <v>20</v>
      </c>
      <c r="R12396" s="1" t="s">
        <v>25415</v>
      </c>
      <c r="V12396" s="1" t="s">
        <v>25419</v>
      </c>
      <c r="AR12396" s="1" t="str">
        <f t="shared" si="785"/>
        <v>| [ㄧㄞˊ](ㄧㄞˊ.md) | [崖](崖.md) |  | yái | [名]
1.山邊或高地陡峭的邊沿。唐．韋應物〈至西峰蘭若受田婦饋〉詩：「攀崖復緣澗，遂造幽人居。」明．徐弘祖《徐霞客遊記．卷四上．粵西遊日記三》：「四眺重崖，皆懸絕無徑，而西崖尤為峻峭。」
2.邊際。《莊子．山木》：「君其涉於江而又浮於海，望之而不見其崖。」 |</v>
      </c>
    </row>
    <row r="12397" spans="1:44" hidden="1">
      <c r="A12397" s="1" t="s">
        <v>25254</v>
      </c>
      <c r="C12397" s="1">
        <v>1</v>
      </c>
      <c r="D12397" s="1" t="str">
        <f>"10787"</f>
        <v>10787</v>
      </c>
      <c r="E12397" s="1" t="s">
        <v>1015</v>
      </c>
      <c r="F12397" s="1">
        <v>13</v>
      </c>
      <c r="G12397" s="1">
        <v>8</v>
      </c>
      <c r="H12397" s="1">
        <v>2</v>
      </c>
      <c r="I12397" s="1" t="s">
        <v>25414</v>
      </c>
      <c r="K12397" s="1" t="str">
        <f t="shared" si="787"/>
        <v>ㄧ</v>
      </c>
      <c r="L12397" s="1" t="str">
        <f t="shared" si="788"/>
        <v>ㄞ</v>
      </c>
      <c r="N12397" s="3" t="s">
        <v>30575</v>
      </c>
      <c r="O12397" s="3"/>
      <c r="P12397" s="1" t="s">
        <v>110</v>
      </c>
      <c r="R12397" s="1" t="s">
        <v>25415</v>
      </c>
      <c r="V12397" s="1" t="s">
        <v>111</v>
      </c>
      <c r="W12397" s="1" t="s">
        <v>25420</v>
      </c>
      <c r="AR12397" s="1" t="str">
        <f t="shared" si="785"/>
        <v>| [ㄧㄞˊ](ㄧㄞˊ.md) | [睚](睚.md) |  | yái | (一)之又音。 |</v>
      </c>
    </row>
    <row r="12398" spans="1:44" hidden="1">
      <c r="A12398" s="1" t="s">
        <v>25436</v>
      </c>
      <c r="C12398" s="1">
        <v>1</v>
      </c>
      <c r="D12398" s="1" t="str">
        <f>"10850"</f>
        <v>10850</v>
      </c>
      <c r="E12398" s="1" t="s">
        <v>4317</v>
      </c>
      <c r="F12398" s="1">
        <v>9</v>
      </c>
      <c r="G12398" s="1">
        <v>3</v>
      </c>
      <c r="H12398" s="1">
        <v>1</v>
      </c>
      <c r="I12398" s="1" t="s">
        <v>25551</v>
      </c>
      <c r="K12398" s="1" t="str">
        <f t="shared" si="787"/>
        <v>ㄧ</v>
      </c>
      <c r="L12398" s="1" t="str">
        <f t="shared" si="788"/>
        <v>ㄠ</v>
      </c>
      <c r="N12398" s="3" t="s">
        <v>30574</v>
      </c>
      <c r="O12398" s="3"/>
      <c r="P12398" s="1" t="s">
        <v>20</v>
      </c>
      <c r="R12398" s="1" t="s">
        <v>25552</v>
      </c>
      <c r="V12398" s="1" t="s">
        <v>25553</v>
      </c>
      <c r="W12398" s="1" t="s">
        <v>25554</v>
      </c>
      <c r="AR12398" s="1" t="str">
        <f t="shared" si="785"/>
        <v>| [ㄧㄠˋ](ㄧㄠˋ.md) | [要](要.md) |  | yào | [名]
關鍵、重點。如：「提要」、「綱要」、「摘要」。
[動]
1.索取、討取。如：「要帳」、「要飯」。
2.收為己有。如：「這件衣服我要了。」
3.請求、拜託。如：「他要我替他辦一件事。」
4.需要。如：「我要一枝筆。」
[形]
1.重大的、重要的。如：「要港」、「要人」、「要職」。
2.切當的。參見「要道」條。
[副]
1.概括、總括。用於文言文。如：「要言之，為人應以誠字居心。」《史記．卷一八．高祖功臣侯者年表》：「帝王者各殊禮而異務，要以成功為統紀，豈可緄乎？」
2.應該。如：「你要知道，這是不容易的事。」
3.即將。如：「我要出門了。」、「天要下雨了。」
4.表示提醒或命令人做某事。如：「不論環境如何困厄，我們都要腳踏實地，好好做人。」、「別忘了要告訴他，要仔細檢查，別再出錯。」
5.表示想、希望做某事。唐．韓愈〈竹逕〉詩：「若要添風月，應除數百竿。」明．無名氏《白兔記》第一二齣：「要知心腹事，但聽口中言。」
[連]
1.如果。表示假設的關係。如：「明天要是下雨，我就不去了。」
2.要麼的簡稱。表示選擇的關係。如：「這件事要就是不做，要就是一口氣將它完成。」 |</v>
      </c>
    </row>
    <row r="12399" spans="1:44" hidden="1">
      <c r="A12399" s="1" t="s">
        <v>25555</v>
      </c>
      <c r="C12399" s="1">
        <v>1</v>
      </c>
      <c r="D12399" s="1" t="str">
        <f>"10851"</f>
        <v>10851</v>
      </c>
      <c r="E12399" s="1" t="s">
        <v>340</v>
      </c>
      <c r="F12399" s="1">
        <v>11</v>
      </c>
      <c r="G12399" s="1">
        <v>5</v>
      </c>
      <c r="H12399" s="1">
        <v>0</v>
      </c>
      <c r="I12399" s="1" t="s">
        <v>25551</v>
      </c>
      <c r="K12399" s="1" t="str">
        <f t="shared" si="787"/>
        <v>ㄧ</v>
      </c>
      <c r="L12399" s="1" t="str">
        <f t="shared" si="788"/>
        <v>ㄠ</v>
      </c>
      <c r="N12399" s="3" t="s">
        <v>30574</v>
      </c>
      <c r="O12399" s="3"/>
      <c r="P12399" s="1" t="s">
        <v>20</v>
      </c>
      <c r="R12399" s="1" t="s">
        <v>25552</v>
      </c>
      <c r="V12399" s="1" t="s">
        <v>25556</v>
      </c>
      <c r="AR12399" s="1" t="str">
        <f t="shared" si="785"/>
        <v>| [ㄧㄠˋ](ㄧㄠˋ.md) | [袎](袎.md) |  | yào | [名]
襪面跟襪筒連接的彎曲的部分。唐．高彥休《闕史．軍中生餼》：「乃刑刖一足，屈於櫝中，縑袎麻屨，亦不削去。」 |</v>
      </c>
    </row>
    <row r="12400" spans="1:44" hidden="1">
      <c r="A12400" s="1" t="s">
        <v>25557</v>
      </c>
      <c r="C12400" s="1">
        <v>1</v>
      </c>
      <c r="D12400" s="1" t="str">
        <f>"10852"</f>
        <v>10852</v>
      </c>
      <c r="E12400" s="1" t="s">
        <v>96</v>
      </c>
      <c r="F12400" s="1">
        <v>14</v>
      </c>
      <c r="G12400" s="1">
        <v>5</v>
      </c>
      <c r="H12400" s="1">
        <v>0</v>
      </c>
      <c r="I12400" s="1" t="s">
        <v>25551</v>
      </c>
      <c r="K12400" s="1" t="str">
        <f t="shared" si="787"/>
        <v>ㄧ</v>
      </c>
      <c r="L12400" s="1" t="str">
        <f t="shared" si="788"/>
        <v>ㄠ</v>
      </c>
      <c r="N12400" s="3" t="s">
        <v>30574</v>
      </c>
      <c r="O12400" s="3"/>
      <c r="P12400" s="1" t="s">
        <v>20</v>
      </c>
      <c r="R12400" s="1" t="s">
        <v>25552</v>
      </c>
      <c r="V12400" s="1" t="s">
        <v>25558</v>
      </c>
      <c r="AR12400" s="1" t="str">
        <f t="shared" si="785"/>
        <v>| [ㄧㄠˋ](ㄧㄠˋ.md) | [靿](靿.md) |  | yào | [名]
靴、襪的筒狀部分。如：「靴靿」、「襪靿」。 |</v>
      </c>
    </row>
    <row r="12401" spans="1:44" hidden="1">
      <c r="A12401" s="1" t="s">
        <v>25559</v>
      </c>
      <c r="C12401" s="1">
        <v>1</v>
      </c>
      <c r="D12401" s="1" t="str">
        <f>"10853"</f>
        <v>10853</v>
      </c>
      <c r="E12401" s="1" t="s">
        <v>37</v>
      </c>
      <c r="F12401" s="1">
        <v>13</v>
      </c>
      <c r="G12401" s="1">
        <v>9</v>
      </c>
      <c r="H12401" s="1">
        <v>0</v>
      </c>
      <c r="I12401" s="1" t="s">
        <v>25551</v>
      </c>
      <c r="K12401" s="1" t="str">
        <f t="shared" si="787"/>
        <v>ㄧ</v>
      </c>
      <c r="L12401" s="1" t="str">
        <f t="shared" si="788"/>
        <v>ㄠ</v>
      </c>
      <c r="N12401" s="3" t="s">
        <v>30574</v>
      </c>
      <c r="O12401" s="3"/>
      <c r="P12401" s="1" t="s">
        <v>20</v>
      </c>
      <c r="R12401" s="1" t="s">
        <v>25552</v>
      </c>
      <c r="V12401" s="1" t="s">
        <v>25560</v>
      </c>
      <c r="AR12401" s="1" t="str">
        <f t="shared" si="785"/>
        <v>| [ㄧㄠˋ](ㄧㄠˋ.md) | [葯](葯.md) |  | yào | [名]
1.白芷。《廣韻．入聲．覺韻》：「葯，白芷。」
2.參見「花葯」條。 |</v>
      </c>
    </row>
    <row r="12402" spans="1:44" hidden="1">
      <c r="A12402" s="1" t="s">
        <v>7853</v>
      </c>
      <c r="C12402" s="1">
        <v>1</v>
      </c>
      <c r="D12402" s="1" t="str">
        <f>"10854"</f>
        <v>10854</v>
      </c>
      <c r="E12402" s="1" t="s">
        <v>139</v>
      </c>
      <c r="F12402" s="1">
        <v>15</v>
      </c>
      <c r="G12402" s="1">
        <v>11</v>
      </c>
      <c r="H12402" s="1">
        <v>4</v>
      </c>
      <c r="I12402" s="1" t="s">
        <v>25551</v>
      </c>
      <c r="K12402" s="1" t="str">
        <f t="shared" si="787"/>
        <v>ㄧ</v>
      </c>
      <c r="L12402" s="1" t="str">
        <f t="shared" si="788"/>
        <v>ㄠ</v>
      </c>
      <c r="N12402" s="3" t="s">
        <v>30574</v>
      </c>
      <c r="O12402" s="3"/>
      <c r="P12402" s="1" t="s">
        <v>20</v>
      </c>
      <c r="R12402" s="1" t="s">
        <v>25552</v>
      </c>
      <c r="V12402" s="1" t="s">
        <v>25561</v>
      </c>
      <c r="W12402" s="1" t="s">
        <v>25562</v>
      </c>
      <c r="AR12402" s="1" t="str">
        <f t="shared" si="785"/>
        <v>| [ㄧㄠˋ](ㄧㄠˋ.md) | [樂](樂.md) |  | yào | [動]
喜好、欣賞。用於文言文。《論語．雍也》：「知者樂水，仁者樂山。」 |</v>
      </c>
    </row>
    <row r="12403" spans="1:44" hidden="1">
      <c r="A12403" s="1" t="s">
        <v>25563</v>
      </c>
      <c r="C12403" s="1">
        <v>1</v>
      </c>
      <c r="D12403" s="1" t="str">
        <f>"10855"</f>
        <v>10855</v>
      </c>
      <c r="E12403" s="1" t="s">
        <v>37</v>
      </c>
      <c r="F12403" s="1">
        <v>19</v>
      </c>
      <c r="G12403" s="1">
        <v>15</v>
      </c>
      <c r="H12403" s="1">
        <v>0</v>
      </c>
      <c r="I12403" s="1" t="s">
        <v>25551</v>
      </c>
      <c r="K12403" s="1" t="str">
        <f t="shared" si="787"/>
        <v>ㄧ</v>
      </c>
      <c r="L12403" s="1" t="str">
        <f t="shared" si="788"/>
        <v>ㄠ</v>
      </c>
      <c r="N12403" s="3" t="s">
        <v>30574</v>
      </c>
      <c r="O12403" s="3"/>
      <c r="P12403" s="1" t="s">
        <v>20</v>
      </c>
      <c r="R12403" s="1" t="s">
        <v>25552</v>
      </c>
      <c r="V12403" s="1" t="s">
        <v>25564</v>
      </c>
      <c r="AR12403" s="1" t="str">
        <f t="shared" si="785"/>
        <v>| [ㄧㄠˋ](ㄧㄠˋ.md) | [藥](藥.md) |  | yào | [名]
1.用來治病的物質。如：「中藥」、「西藥」、「草藥」。《史記．卷一〇五．扁鵲倉公傳》：「形羸不能服藥，五不治也。」
2.某些能發生特定效用的化學物質。如：「火藥」、「炸藥」。
3.芍藥的簡稱。參見「芍藥」條。
4.姓。如晉代有藥冲。
[動]
1.治療。如：「無可救藥」。《荀子．富國》：「彼得之，不足以藥傷補敗。」唐．楊倞．注：「藥，猶醫也。」
2.用毒物殺害。如：「藥老鼠」。元．關漢卿《竇娥冤》第三折：「我怕連累婆婆，屈招了藥死公公。」 |</v>
      </c>
    </row>
    <row r="12404" spans="1:44" hidden="1">
      <c r="A12404" s="1" t="s">
        <v>25565</v>
      </c>
      <c r="C12404" s="1">
        <v>1</v>
      </c>
      <c r="D12404" s="1" t="str">
        <f>"10856"</f>
        <v>10856</v>
      </c>
      <c r="E12404" s="1" t="s">
        <v>336</v>
      </c>
      <c r="F12404" s="1">
        <v>18</v>
      </c>
      <c r="G12404" s="1">
        <v>14</v>
      </c>
      <c r="H12404" s="1">
        <v>1</v>
      </c>
      <c r="I12404" s="1" t="s">
        <v>25551</v>
      </c>
      <c r="K12404" s="1" t="str">
        <f t="shared" si="787"/>
        <v>ㄧ</v>
      </c>
      <c r="L12404" s="1" t="str">
        <f t="shared" si="788"/>
        <v>ㄠ</v>
      </c>
      <c r="N12404" s="3" t="s">
        <v>30574</v>
      </c>
      <c r="O12404" s="3"/>
      <c r="P12404" s="1" t="s">
        <v>20</v>
      </c>
      <c r="R12404" s="1" t="s">
        <v>25552</v>
      </c>
      <c r="V12404" s="1" t="s">
        <v>25566</v>
      </c>
      <c r="W12404" s="1" t="s">
        <v>25567</v>
      </c>
      <c r="AR12404" s="1" t="str">
        <f t="shared" si="785"/>
        <v>| [ㄧㄠˋ](ㄧㄠˋ.md) | [燿](燿.md) |  | yào | [動]
1.照耀。漢．王充《論衡．宣漢》：「燭燿齋宮，十有餘日。」
2.炫耀。《淮南子．脩務》：「察於辭者，不可燿以名。」 |</v>
      </c>
    </row>
    <row r="12405" spans="1:44" hidden="1">
      <c r="A12405" s="1" t="s">
        <v>25568</v>
      </c>
      <c r="C12405" s="1">
        <v>1</v>
      </c>
      <c r="D12405" s="1" t="str">
        <f>"10857"</f>
        <v>10857</v>
      </c>
      <c r="E12405" s="1" t="s">
        <v>646</v>
      </c>
      <c r="F12405" s="1">
        <v>18</v>
      </c>
      <c r="G12405" s="1">
        <v>14</v>
      </c>
      <c r="H12405" s="1">
        <v>1</v>
      </c>
      <c r="I12405" s="1" t="s">
        <v>25551</v>
      </c>
      <c r="K12405" s="1" t="str">
        <f t="shared" si="787"/>
        <v>ㄧ</v>
      </c>
      <c r="L12405" s="1" t="str">
        <f t="shared" si="788"/>
        <v>ㄠ</v>
      </c>
      <c r="N12405" s="3" t="s">
        <v>30574</v>
      </c>
      <c r="O12405" s="3"/>
      <c r="P12405" s="1" t="s">
        <v>20</v>
      </c>
      <c r="R12405" s="1" t="s">
        <v>25552</v>
      </c>
      <c r="V12405" s="1" t="s">
        <v>25569</v>
      </c>
      <c r="W12405" s="1" t="s">
        <v>25570</v>
      </c>
      <c r="AR12405" s="1" t="str">
        <f t="shared" si="785"/>
        <v>| [ㄧㄠˋ](ㄧㄠˋ.md) | [曜](曜.md) |  | yào | [名]
1.日光、光芒。《文選．張衡．西京賦》：「飾華榱與璧璫，流景曜之韡曄。」宋．范仲淹〈岳陽樓記〉：「日星隱曜，山岳潛形。」
2.日、月及金、木、水、火、土七星稱為「七曜」，並以此代表一星期的星期日至星期六。如日曜日代表星期日，月曜日代表星期一，……土曜日則代表星期六。
[動]
1.照耀。唐．李白〈古風〉詩五九首之三四：「白日曜紫微，三公運權衡。」
2.誇耀、炫耀。《國語．吳語》：「若無越，則吾何以春秋曜吾軍士？」《文選．張衡．東京賦》：「三農之隙，曜威中原。」 |</v>
      </c>
    </row>
    <row r="12406" spans="1:44" hidden="1">
      <c r="A12406" s="1" t="s">
        <v>25571</v>
      </c>
      <c r="C12406" s="1">
        <v>1</v>
      </c>
      <c r="D12406" s="1" t="str">
        <f>"10858"</f>
        <v>10858</v>
      </c>
      <c r="E12406" s="1" t="s">
        <v>2271</v>
      </c>
      <c r="F12406" s="1">
        <v>20</v>
      </c>
      <c r="G12406" s="1">
        <v>14</v>
      </c>
      <c r="H12406" s="1">
        <v>1</v>
      </c>
      <c r="I12406" s="1" t="s">
        <v>25551</v>
      </c>
      <c r="K12406" s="1" t="str">
        <f t="shared" si="787"/>
        <v>ㄧ</v>
      </c>
      <c r="L12406" s="1" t="str">
        <f t="shared" si="788"/>
        <v>ㄠ</v>
      </c>
      <c r="N12406" s="3" t="s">
        <v>30574</v>
      </c>
      <c r="O12406" s="3"/>
      <c r="P12406" s="1" t="s">
        <v>20</v>
      </c>
      <c r="R12406" s="1" t="s">
        <v>25552</v>
      </c>
      <c r="V12406" s="1" t="s">
        <v>25572</v>
      </c>
      <c r="W12406" s="1" t="s">
        <v>25573</v>
      </c>
      <c r="AR12406" s="1" t="str">
        <f t="shared" si="785"/>
        <v>| [ㄧㄠˋ](ㄧㄠˋ.md) | [耀](耀.md) |  | yào | [名]
1.光輝、光彩。《後漢書．卷三〇下．郎顗傳》：「是以能建天地之功，增日月之耀者也。」漢．王充《論衡．雷虛》：「當雷之時，電光時見，大若火之耀。」
2.比喻榮譽。如：「榮耀」。
[動]
1.照射。如：「照耀」、「耀眼」。《史記．卷一一七．司馬相如傳》：「阻深闇味，得耀乎光明。」
2.自誇。如：「炫耀」、「誇耀」、「耀武揚威」。
3.顯揚。如：「光宗耀祖」。《國語．周語上》：「祭公謀父諫曰：『不可，先王耀德不觀兵。』」 |</v>
      </c>
    </row>
    <row r="12407" spans="1:44" hidden="1">
      <c r="A12407" s="1" t="s">
        <v>25574</v>
      </c>
      <c r="C12407" s="1">
        <v>1</v>
      </c>
      <c r="D12407" s="1" t="str">
        <f>"10859"</f>
        <v>10859</v>
      </c>
      <c r="E12407" s="1" t="s">
        <v>129</v>
      </c>
      <c r="F12407" s="1">
        <v>20</v>
      </c>
      <c r="G12407" s="1">
        <v>17</v>
      </c>
      <c r="H12407" s="1">
        <v>2</v>
      </c>
      <c r="I12407" s="1" t="s">
        <v>25551</v>
      </c>
      <c r="K12407" s="1" t="str">
        <f t="shared" si="787"/>
        <v>ㄧ</v>
      </c>
      <c r="L12407" s="1" t="str">
        <f t="shared" si="788"/>
        <v>ㄠ</v>
      </c>
      <c r="N12407" s="3" t="s">
        <v>30574</v>
      </c>
      <c r="O12407" s="3"/>
      <c r="P12407" s="1" t="s">
        <v>110</v>
      </c>
      <c r="R12407" s="1" t="s">
        <v>25552</v>
      </c>
      <c r="V12407" s="1" t="s">
        <v>111</v>
      </c>
      <c r="W12407" s="1" t="s">
        <v>25575</v>
      </c>
      <c r="AR12407" s="1" t="str">
        <f t="shared" si="785"/>
        <v>| [ㄧㄠˋ](ㄧㄠˋ.md) | [瀹](瀹.md) |  | yào | (一)之又音。 |</v>
      </c>
    </row>
    <row r="12408" spans="1:44" hidden="1">
      <c r="A12408" s="1" t="s">
        <v>25576</v>
      </c>
      <c r="C12408" s="1">
        <v>1</v>
      </c>
      <c r="D12408" s="1" t="str">
        <f>"10860"</f>
        <v>10860</v>
      </c>
      <c r="E12408" s="1" t="s">
        <v>336</v>
      </c>
      <c r="F12408" s="1">
        <v>21</v>
      </c>
      <c r="G12408" s="1">
        <v>17</v>
      </c>
      <c r="H12408" s="1">
        <v>2</v>
      </c>
      <c r="I12408" s="1" t="s">
        <v>25551</v>
      </c>
      <c r="K12408" s="1" t="str">
        <f t="shared" si="787"/>
        <v>ㄧ</v>
      </c>
      <c r="L12408" s="1" t="str">
        <f t="shared" si="788"/>
        <v>ㄠ</v>
      </c>
      <c r="N12408" s="3" t="s">
        <v>30574</v>
      </c>
      <c r="O12408" s="3"/>
      <c r="P12408" s="1" t="s">
        <v>110</v>
      </c>
      <c r="R12408" s="1" t="s">
        <v>25552</v>
      </c>
      <c r="V12408" s="1" t="s">
        <v>111</v>
      </c>
      <c r="W12408" s="1" t="s">
        <v>25577</v>
      </c>
      <c r="AR12408" s="1" t="str">
        <f t="shared" si="785"/>
        <v>| [ㄧㄠˋ](ㄧㄠˋ.md) | [爚](爚.md) |  | yào | (一)之又音。 |</v>
      </c>
    </row>
    <row r="12409" spans="1:44" hidden="1">
      <c r="A12409" s="1" t="s">
        <v>25578</v>
      </c>
      <c r="C12409" s="1">
        <v>1</v>
      </c>
      <c r="D12409" s="1" t="str">
        <f>"10861"</f>
        <v>10861</v>
      </c>
      <c r="E12409" s="1" t="s">
        <v>55</v>
      </c>
      <c r="F12409" s="1">
        <v>25</v>
      </c>
      <c r="G12409" s="1">
        <v>17</v>
      </c>
      <c r="H12409" s="1">
        <v>1</v>
      </c>
      <c r="I12409" s="1" t="s">
        <v>25551</v>
      </c>
      <c r="K12409" s="1" t="str">
        <f t="shared" si="787"/>
        <v>ㄧ</v>
      </c>
      <c r="L12409" s="1" t="str">
        <f t="shared" si="788"/>
        <v>ㄠ</v>
      </c>
      <c r="N12409" s="3" t="s">
        <v>30574</v>
      </c>
      <c r="O12409" s="3"/>
      <c r="P12409" s="1" t="s">
        <v>388</v>
      </c>
      <c r="R12409" s="1" t="s">
        <v>25552</v>
      </c>
      <c r="V12409" s="1" t="s">
        <v>25579</v>
      </c>
      <c r="W12409" s="1" t="s">
        <v>25580</v>
      </c>
      <c r="AR12409" s="1" t="str">
        <f t="shared" si="785"/>
        <v>| [ㄧㄠˋ](ㄧㄠˋ.md) | [鑰](鑰.md) |  | yào | [名]
1.開鎖的器具。如：「鑰匙」。《資治通鑑．卷九三．晉紀十五．明帝太寧三年》：「帝待之愈厚，宮門管鑰，皆以委之。」
2.鎖。宋．蘇軾〈八月十五日看潮〉五絕之一：「寄語重門休上鑰，夜潮留向月中看。」
3.比喻事物的重要關鍵或指邊防要地。唐．李嶠〈攀龍臺碑〉：「若乃提六合之樞紐，扣二儀之鐍鑰。」《清史稿．卷四一八．袁甲三傳》：「詔以臨淮為南北筦鑰，止勿行。」 |</v>
      </c>
    </row>
    <row r="12410" spans="1:44" hidden="1">
      <c r="A12410" s="1" t="s">
        <v>25581</v>
      </c>
      <c r="C12410" s="1">
        <v>1</v>
      </c>
      <c r="D12410" s="1" t="str">
        <f>"10862"</f>
        <v>10862</v>
      </c>
      <c r="E12410" s="1" t="s">
        <v>272</v>
      </c>
      <c r="F12410" s="1">
        <v>21</v>
      </c>
      <c r="G12410" s="1">
        <v>10</v>
      </c>
      <c r="H12410" s="1">
        <v>0</v>
      </c>
      <c r="I12410" s="1" t="s">
        <v>25551</v>
      </c>
      <c r="K12410" s="1" t="str">
        <f t="shared" si="787"/>
        <v>ㄧ</v>
      </c>
      <c r="L12410" s="1" t="str">
        <f t="shared" si="788"/>
        <v>ㄠ</v>
      </c>
      <c r="N12410" s="3" t="s">
        <v>30574</v>
      </c>
      <c r="O12410" s="3"/>
      <c r="P12410" s="1" t="s">
        <v>20</v>
      </c>
      <c r="R12410" s="1" t="s">
        <v>25552</v>
      </c>
      <c r="V12410" s="1" t="s">
        <v>25582</v>
      </c>
      <c r="AR12410" s="1" t="str">
        <f t="shared" si="785"/>
        <v>| [ㄧㄠˋ](ㄧㄠˋ.md) | [鷂](鷂.md) |  | yào | [名]
動物名。鳥綱鷲鷹目。似鷹而小，背部青灰色，腹部白色帶赤，捕食小魚。也稱為「雀鷹」、「鷂鷹」。 |</v>
      </c>
    </row>
    <row r="12411" spans="1:44" hidden="1">
      <c r="A12411" s="1" t="s">
        <v>16670</v>
      </c>
      <c r="C12411" s="1">
        <v>1</v>
      </c>
      <c r="D12411" s="1" t="str">
        <f>"10803"</f>
        <v>10803</v>
      </c>
      <c r="E12411" s="1" t="s">
        <v>16671</v>
      </c>
      <c r="F12411" s="1">
        <v>4</v>
      </c>
      <c r="G12411" s="1">
        <v>0</v>
      </c>
      <c r="H12411" s="1">
        <v>1</v>
      </c>
      <c r="I12411" s="1" t="s">
        <v>25451</v>
      </c>
      <c r="K12411" s="1" t="str">
        <f t="shared" si="787"/>
        <v>ㄧ</v>
      </c>
      <c r="L12411" s="1" t="str">
        <f t="shared" si="788"/>
        <v>ㄠ</v>
      </c>
      <c r="N12411" s="3" t="s">
        <v>30575</v>
      </c>
      <c r="O12411" s="3"/>
      <c r="P12411" s="1" t="s">
        <v>388</v>
      </c>
      <c r="R12411" s="1" t="s">
        <v>25452</v>
      </c>
      <c r="V12411" s="1" t="s">
        <v>25453</v>
      </c>
      <c r="W12411" s="1" t="s">
        <v>25454</v>
      </c>
      <c r="AR12411" s="1" t="str">
        <f t="shared" si="785"/>
        <v>| [ㄧㄠˊ](ㄧㄠˊ.md) | [爻](爻.md) |  | yáo | [名]
1.八卦上的橫線，長的全線「⚊」稱為「陽爻」，斷開的兩段線「⚋」稱為「陰爻」。每三爻合成一卦，共八卦，而二卦相重可得六十四卦。《易經．繫辭上》：「爻者，言乎變者也。」
2.二一四部首之一。 |</v>
      </c>
    </row>
    <row r="12412" spans="1:44" hidden="1">
      <c r="A12412" s="1" t="s">
        <v>16675</v>
      </c>
      <c r="C12412" s="1">
        <v>1</v>
      </c>
      <c r="D12412" s="1" t="str">
        <f>"10804"</f>
        <v>10804</v>
      </c>
      <c r="E12412" s="1" t="s">
        <v>68</v>
      </c>
      <c r="F12412" s="1">
        <v>8</v>
      </c>
      <c r="G12412" s="1">
        <v>4</v>
      </c>
      <c r="H12412" s="1">
        <v>1</v>
      </c>
      <c r="I12412" s="1" t="s">
        <v>25451</v>
      </c>
      <c r="K12412" s="1" t="str">
        <f t="shared" si="787"/>
        <v>ㄧ</v>
      </c>
      <c r="L12412" s="1" t="str">
        <f t="shared" si="788"/>
        <v>ㄠ</v>
      </c>
      <c r="N12412" s="3" t="s">
        <v>30575</v>
      </c>
      <c r="O12412" s="3"/>
      <c r="P12412" s="1" t="s">
        <v>20</v>
      </c>
      <c r="R12412" s="1" t="s">
        <v>25452</v>
      </c>
      <c r="V12412" s="1" t="s">
        <v>25455</v>
      </c>
      <c r="W12412" s="1" t="s">
        <v>25456</v>
      </c>
      <c r="AR12412" s="1" t="str">
        <f t="shared" si="785"/>
        <v>| [ㄧㄠˊ](ㄧㄠˊ.md) | [肴](肴.md) |  | yáo | [名]
煮熟的魚肉等食物。如：「菜肴」、「美酒佳肴」。《國語．晉語一》：「飲而無肴。」《梁書．卷三八．賀琛傳》：「積果如山岳，列肴同綺繡。」 |</v>
      </c>
    </row>
    <row r="12413" spans="1:44" hidden="1">
      <c r="A12413" s="1" t="s">
        <v>25457</v>
      </c>
      <c r="C12413" s="1">
        <v>1</v>
      </c>
      <c r="D12413" s="1" t="str">
        <f>"10805"</f>
        <v>10805</v>
      </c>
      <c r="E12413" s="1" t="s">
        <v>129</v>
      </c>
      <c r="F12413" s="1">
        <v>11</v>
      </c>
      <c r="G12413" s="1">
        <v>8</v>
      </c>
      <c r="H12413" s="1">
        <v>0</v>
      </c>
      <c r="I12413" s="1" t="s">
        <v>25451</v>
      </c>
      <c r="K12413" s="1" t="str">
        <f t="shared" si="787"/>
        <v>ㄧ</v>
      </c>
      <c r="L12413" s="1" t="str">
        <f t="shared" si="788"/>
        <v>ㄠ</v>
      </c>
      <c r="N12413" s="3" t="s">
        <v>30575</v>
      </c>
      <c r="O12413" s="3"/>
      <c r="P12413" s="1" t="s">
        <v>20</v>
      </c>
      <c r="R12413" s="1" t="s">
        <v>25452</v>
      </c>
      <c r="V12413" s="1" t="s">
        <v>25458</v>
      </c>
      <c r="AR12413" s="1" t="str">
        <f t="shared" si="785"/>
        <v>| [ㄧㄠˊ](ㄧㄠˊ.md) | [淆](淆.md) |  | yáo | [副]
雜亂。《字彙．水部》：「淆，亂也，雜也。」《新唐書．卷九六．房玄齡傳》：「不為子孫立長久計，淆置嫬庶，競侈僭，相傾䦧，終當內相誅夷。」
[動]
攪亂。如：「混淆視聽」。《後漢書．卷五三．黃憲傳》：「叔度汪汪若千頃陂，澄之不清，淆之不濁，不可量也。」明．方孝孺〈貯清軒記〉：「泓渟洞澈，可以酬酢萬物而不為物所淆。」 |</v>
      </c>
    </row>
    <row r="12414" spans="1:44" hidden="1">
      <c r="A12414" s="1" t="s">
        <v>25459</v>
      </c>
      <c r="C12414" s="1">
        <v>1</v>
      </c>
      <c r="D12414" s="1" t="str">
        <f>"10806"</f>
        <v>10806</v>
      </c>
      <c r="E12414" s="1" t="s">
        <v>190</v>
      </c>
      <c r="F12414" s="1">
        <v>11</v>
      </c>
      <c r="G12414" s="1">
        <v>8</v>
      </c>
      <c r="H12414" s="1">
        <v>0</v>
      </c>
      <c r="I12414" s="1" t="s">
        <v>25451</v>
      </c>
      <c r="K12414" s="1" t="str">
        <f t="shared" si="787"/>
        <v>ㄧ</v>
      </c>
      <c r="L12414" s="1" t="str">
        <f t="shared" si="788"/>
        <v>ㄠ</v>
      </c>
      <c r="N12414" s="3" t="s">
        <v>30575</v>
      </c>
      <c r="O12414" s="3"/>
      <c r="P12414" s="1" t="s">
        <v>20</v>
      </c>
      <c r="R12414" s="1" t="s">
        <v>25452</v>
      </c>
      <c r="V12414" s="1" t="s">
        <v>25460</v>
      </c>
      <c r="AR12414" s="1" t="str">
        <f t="shared" si="785"/>
        <v>| [ㄧㄠˊ](ㄧㄠˊ.md) | [崤](崤.md) |  | yáo | 參見「崤山」條。 |</v>
      </c>
    </row>
    <row r="12415" spans="1:44" hidden="1">
      <c r="A12415" s="1" t="s">
        <v>25461</v>
      </c>
      <c r="C12415" s="1">
        <v>1</v>
      </c>
      <c r="D12415" s="1" t="str">
        <f>"10807"</f>
        <v>10807</v>
      </c>
      <c r="E12415" s="1" t="s">
        <v>5505</v>
      </c>
      <c r="F12415" s="1">
        <v>12</v>
      </c>
      <c r="G12415" s="1">
        <v>8</v>
      </c>
      <c r="H12415" s="1">
        <v>0</v>
      </c>
      <c r="I12415" s="1" t="s">
        <v>25451</v>
      </c>
      <c r="K12415" s="1" t="str">
        <f t="shared" si="787"/>
        <v>ㄧ</v>
      </c>
      <c r="L12415" s="1" t="str">
        <f t="shared" si="788"/>
        <v>ㄠ</v>
      </c>
      <c r="N12415" s="3" t="s">
        <v>30575</v>
      </c>
      <c r="O12415" s="3"/>
      <c r="P12415" s="1" t="s">
        <v>20</v>
      </c>
      <c r="R12415" s="1" t="s">
        <v>25452</v>
      </c>
      <c r="V12415" s="1" t="s">
        <v>25462</v>
      </c>
      <c r="AR12415" s="1" t="str">
        <f t="shared" si="785"/>
        <v>| [ㄧㄠˊ](ㄧㄠˊ.md) | [殽](殽.md) |  | yáo | [動]
摻雜、摻合。《說文解字．殳部》：「殽，相雜錯也。」《國語．周語下》：「如是，而加之以無私，重之以不殽，能避怨矣。」三國吳．韋昭．注：「殽，雜也。眾人過郊，單子獨否，所以不雜也。」《漢書．卷二四．食貨志下》：「鑄作錢布皆用銅，殽以連錫，文質周郭放漢五銖錢云。」
[名]
1.菜餚。通「肴」。如：「果殽」、「殘殽」、「嘉殽」。
2.山名。位於大陸地區河南省洛寧縣與陝縣之間。通「崤」。 |</v>
      </c>
    </row>
    <row r="12416" spans="1:44" hidden="1">
      <c r="A12416" s="1" t="s">
        <v>16677</v>
      </c>
      <c r="C12416" s="1">
        <v>1</v>
      </c>
      <c r="D12416" s="1" t="str">
        <f>"10808"</f>
        <v>10808</v>
      </c>
      <c r="E12416" s="1" t="s">
        <v>193</v>
      </c>
      <c r="F12416" s="1">
        <v>16</v>
      </c>
      <c r="G12416" s="1">
        <v>8</v>
      </c>
      <c r="H12416" s="1">
        <v>1</v>
      </c>
      <c r="I12416" s="1" t="s">
        <v>25451</v>
      </c>
      <c r="K12416" s="1" t="str">
        <f t="shared" si="787"/>
        <v>ㄧ</v>
      </c>
      <c r="L12416" s="1" t="str">
        <f t="shared" si="788"/>
        <v>ㄠ</v>
      </c>
      <c r="N12416" s="3" t="s">
        <v>30575</v>
      </c>
      <c r="O12416" s="3"/>
      <c r="P12416" s="1" t="s">
        <v>20</v>
      </c>
      <c r="R12416" s="1" t="s">
        <v>25452</v>
      </c>
      <c r="V12416" s="1" t="s">
        <v>25463</v>
      </c>
      <c r="W12416" s="1" t="s">
        <v>25464</v>
      </c>
      <c r="AR12416" s="1" t="str">
        <f t="shared" si="785"/>
        <v>| [ㄧㄠˊ](ㄧㄠˊ.md) | [餚](餚.md) |  | yáo | [名]
煮熟的肉類食物。同「肴」。《國語．周語中》：「親戚宴饗，則有餚烝。」 |</v>
      </c>
    </row>
    <row r="12417" spans="1:44" hidden="1">
      <c r="A12417" s="1" t="s">
        <v>6131</v>
      </c>
      <c r="C12417" s="1">
        <v>1</v>
      </c>
      <c r="D12417" s="1" t="str">
        <f>"10809"</f>
        <v>10809</v>
      </c>
      <c r="E12417" s="1" t="s">
        <v>129</v>
      </c>
      <c r="F12417" s="1">
        <v>9</v>
      </c>
      <c r="G12417" s="1">
        <v>6</v>
      </c>
      <c r="H12417" s="1">
        <v>2</v>
      </c>
      <c r="I12417" s="1" t="s">
        <v>25451</v>
      </c>
      <c r="K12417" s="1" t="str">
        <f t="shared" si="787"/>
        <v>ㄧ</v>
      </c>
      <c r="L12417" s="1" t="str">
        <f t="shared" si="788"/>
        <v>ㄠ</v>
      </c>
      <c r="N12417" s="3" t="s">
        <v>30575</v>
      </c>
      <c r="O12417" s="3"/>
      <c r="P12417" s="1" t="s">
        <v>20</v>
      </c>
      <c r="R12417" s="1" t="s">
        <v>25452</v>
      </c>
      <c r="V12417" s="1" t="s">
        <v>25465</v>
      </c>
      <c r="W12417" s="1" t="s">
        <v>25466</v>
      </c>
      <c r="AR12417" s="1" t="str">
        <f t="shared" si="785"/>
        <v>| [ㄧㄠˊ](ㄧㄠˊ.md) | [洮](洮.md) |  | yáo | [名]
湖泊名。位於大陸地區江蘇省溧陽、金壜兩縣境內。也稱為「長蕩湖」、「長塘湖」。 |</v>
      </c>
    </row>
    <row r="12418" spans="1:44" hidden="1">
      <c r="A12418" s="1" t="s">
        <v>25467</v>
      </c>
      <c r="C12418" s="1">
        <v>1</v>
      </c>
      <c r="D12418" s="1" t="str">
        <f>"10810"</f>
        <v>10810</v>
      </c>
      <c r="E12418" s="1" t="s">
        <v>534</v>
      </c>
      <c r="F12418" s="1">
        <v>9</v>
      </c>
      <c r="G12418" s="1">
        <v>6</v>
      </c>
      <c r="H12418" s="1">
        <v>0</v>
      </c>
      <c r="I12418" s="1" t="s">
        <v>25451</v>
      </c>
      <c r="K12418" s="1" t="str">
        <f t="shared" si="787"/>
        <v>ㄧ</v>
      </c>
      <c r="L12418" s="1" t="str">
        <f t="shared" si="788"/>
        <v>ㄠ</v>
      </c>
      <c r="N12418" s="3" t="s">
        <v>30575</v>
      </c>
      <c r="O12418" s="3"/>
      <c r="P12418" s="1" t="s">
        <v>20</v>
      </c>
      <c r="R12418" s="1" t="s">
        <v>25452</v>
      </c>
      <c r="V12418" s="1" t="s">
        <v>25468</v>
      </c>
      <c r="AR12418" s="1" t="str">
        <f t="shared" si="785"/>
        <v>| [ㄧㄠˊ](ㄧㄠˊ.md) | [姚](姚.md) |  | yáo | [名]
姓。《說文解字．女部》：「姚，虞舜居姚虛，因以為姓。」如清代有姚鼐。
[形]
1.美好的樣子。通「窕」。《說文解字．女部》：「姚，嬈也。」《荀子．非相》：「莫不美麗姚冶，奇衣婦飾。」
2.遠。通「遙」。《荀子．榮辱》：「其溫厚矣，其功盛姚遠矣。」 |</v>
      </c>
    </row>
    <row r="12419" spans="1:44" hidden="1">
      <c r="A12419" s="1" t="s">
        <v>25469</v>
      </c>
      <c r="C12419" s="1">
        <v>1</v>
      </c>
      <c r="D12419" s="1" t="str">
        <f>"10811"</f>
        <v>10811</v>
      </c>
      <c r="E12419" s="1" t="s">
        <v>142</v>
      </c>
      <c r="F12419" s="1">
        <v>10</v>
      </c>
      <c r="G12419" s="1">
        <v>6</v>
      </c>
      <c r="H12419" s="1">
        <v>0</v>
      </c>
      <c r="I12419" s="1" t="s">
        <v>25451</v>
      </c>
      <c r="K12419" s="1" t="str">
        <f t="shared" si="787"/>
        <v>ㄧ</v>
      </c>
      <c r="L12419" s="1" t="str">
        <f t="shared" si="788"/>
        <v>ㄠ</v>
      </c>
      <c r="N12419" s="3" t="s">
        <v>30575</v>
      </c>
      <c r="O12419" s="3"/>
      <c r="P12419" s="1" t="s">
        <v>20</v>
      </c>
      <c r="R12419" s="1" t="s">
        <v>25452</v>
      </c>
      <c r="V12419" s="1" t="s">
        <v>25470</v>
      </c>
      <c r="AR12419" s="1" t="str">
        <f t="shared" ref="AR12419:AR12482" si="789">"| ["&amp;I12419&amp;"]("&amp;I12419&amp;".md) | ["&amp;A12419&amp;"]("&amp;A12419&amp;".md) | "&amp;" | "&amp;R12419&amp;" | "&amp;V12419&amp;" |"</f>
        <v>| [ㄧㄠˊ](ㄧㄠˊ.md) | [珧](珧.md) |  | yáo | 參見「江珧」條。 |</v>
      </c>
    </row>
    <row r="12420" spans="1:44" hidden="1">
      <c r="A12420" s="1" t="s">
        <v>5415</v>
      </c>
      <c r="C12420" s="1">
        <v>1</v>
      </c>
      <c r="D12420" s="1" t="str">
        <f>"10812"</f>
        <v>10812</v>
      </c>
      <c r="E12420" s="1" t="s">
        <v>55</v>
      </c>
      <c r="F12420" s="1">
        <v>14</v>
      </c>
      <c r="G12420" s="1">
        <v>6</v>
      </c>
      <c r="H12420" s="1">
        <v>1</v>
      </c>
      <c r="I12420" s="1" t="s">
        <v>25451</v>
      </c>
      <c r="K12420" s="1" t="str">
        <f t="shared" si="787"/>
        <v>ㄧ</v>
      </c>
      <c r="L12420" s="1" t="str">
        <f t="shared" si="788"/>
        <v>ㄠ</v>
      </c>
      <c r="N12420" s="3" t="s">
        <v>30575</v>
      </c>
      <c r="O12420" s="3"/>
      <c r="P12420" s="1" t="s">
        <v>20</v>
      </c>
      <c r="R12420" s="1" t="s">
        <v>25452</v>
      </c>
      <c r="V12420" s="1" t="s">
        <v>25471</v>
      </c>
      <c r="W12420" s="1" t="s">
        <v>25472</v>
      </c>
      <c r="AR12420" s="1" t="str">
        <f t="shared" si="789"/>
        <v>| [ㄧㄠˊ](ㄧㄠˊ.md) | [銚](銚.md) |  | yáo | [名]
1.大鋤頭。《莊子．外物》：「春雨日時，草木怒生，銚鎒於是乎始脩。」《管子．海王》：「耕者必有一耒、一耜、一銚，若其事立。」
2.姓。如漢代有銚期。 |</v>
      </c>
    </row>
    <row r="12421" spans="1:44" hidden="1">
      <c r="A12421" s="1" t="s">
        <v>25473</v>
      </c>
      <c r="C12421" s="1">
        <v>1</v>
      </c>
      <c r="D12421" s="1" t="str">
        <f>"10813"</f>
        <v>10813</v>
      </c>
      <c r="E12421" s="1" t="s">
        <v>132</v>
      </c>
      <c r="F12421" s="1">
        <v>9</v>
      </c>
      <c r="G12421" s="1">
        <v>6</v>
      </c>
      <c r="H12421" s="1">
        <v>0</v>
      </c>
      <c r="I12421" s="1" t="s">
        <v>25451</v>
      </c>
      <c r="K12421" s="1" t="str">
        <f t="shared" si="787"/>
        <v>ㄧ</v>
      </c>
      <c r="L12421" s="1" t="str">
        <f t="shared" si="788"/>
        <v>ㄠ</v>
      </c>
      <c r="N12421" s="3" t="s">
        <v>30575</v>
      </c>
      <c r="O12421" s="3"/>
      <c r="P12421" s="1" t="s">
        <v>20</v>
      </c>
      <c r="R12421" s="1" t="s">
        <v>25452</v>
      </c>
      <c r="V12421" s="1" t="s">
        <v>25474</v>
      </c>
      <c r="AR12421" s="1" t="str">
        <f t="shared" si="789"/>
        <v>| [ㄧㄠˊ](ㄧㄠˊ.md) | [垚](垚.md) |  | yáo | [形]
土高起的樣子。《說文解字．土部》：「垚，土高貌。」 |</v>
      </c>
    </row>
    <row r="12422" spans="1:44" hidden="1">
      <c r="A12422" s="1" t="s">
        <v>25475</v>
      </c>
      <c r="C12422" s="1">
        <v>1</v>
      </c>
      <c r="D12422" s="1" t="str">
        <f>"10814"</f>
        <v>10814</v>
      </c>
      <c r="E12422" s="1" t="s">
        <v>132</v>
      </c>
      <c r="F12422" s="1">
        <v>12</v>
      </c>
      <c r="G12422" s="1">
        <v>9</v>
      </c>
      <c r="H12422" s="1">
        <v>0</v>
      </c>
      <c r="I12422" s="1" t="s">
        <v>25451</v>
      </c>
      <c r="K12422" s="1" t="str">
        <f t="shared" si="787"/>
        <v>ㄧ</v>
      </c>
      <c r="L12422" s="1" t="str">
        <f t="shared" si="788"/>
        <v>ㄠ</v>
      </c>
      <c r="N12422" s="3" t="s">
        <v>30575</v>
      </c>
      <c r="O12422" s="3"/>
      <c r="P12422" s="1" t="s">
        <v>20</v>
      </c>
      <c r="R12422" s="1" t="s">
        <v>25452</v>
      </c>
      <c r="V12422" s="1" t="s">
        <v>25476</v>
      </c>
      <c r="AR12422" s="1" t="str">
        <f t="shared" si="789"/>
        <v>| [ㄧㄠˊ](ㄧㄠˊ.md) | [堯](堯.md) |  | yáo | [形]
高。《說文解字．垚部》：「堯，高也。」《墨子．親士》：「王德不堯堯者，乃千人之長也。」
[名]
1.古帝陶唐氏的號。相傳為帝嚳次子，初封於陶，又封於唐，在位百年，有德政，後傳位於舜。
2.姓。如明代有堯世美。 |</v>
      </c>
    </row>
    <row r="12423" spans="1:44" hidden="1">
      <c r="A12423" s="1" t="s">
        <v>13650</v>
      </c>
      <c r="C12423" s="1">
        <v>1</v>
      </c>
      <c r="D12423" s="1" t="str">
        <f>"10815"</f>
        <v>10815</v>
      </c>
      <c r="E12423" s="1" t="s">
        <v>114</v>
      </c>
      <c r="F12423" s="1">
        <v>14</v>
      </c>
      <c r="G12423" s="1">
        <v>12</v>
      </c>
      <c r="H12423" s="1">
        <v>2</v>
      </c>
      <c r="I12423" s="1" t="s">
        <v>25451</v>
      </c>
      <c r="K12423" s="1" t="str">
        <f t="shared" si="787"/>
        <v>ㄧ</v>
      </c>
      <c r="L12423" s="1" t="str">
        <f t="shared" si="788"/>
        <v>ㄠ</v>
      </c>
      <c r="N12423" s="3" t="s">
        <v>30575</v>
      </c>
      <c r="O12423" s="3"/>
      <c r="P12423" s="1" t="s">
        <v>20</v>
      </c>
      <c r="R12423" s="1" t="s">
        <v>25452</v>
      </c>
      <c r="V12423" s="1" t="s">
        <v>25477</v>
      </c>
      <c r="W12423" s="1" t="s">
        <v>25478</v>
      </c>
      <c r="AR12423" s="1" t="str">
        <f t="shared" si="789"/>
        <v>| [ㄧㄠˊ](ㄧㄠˊ.md) | [僥](僥.md) |  | yáo | 參見「僬僥」條。 |</v>
      </c>
    </row>
    <row r="12424" spans="1:44" hidden="1">
      <c r="A12424" s="1" t="s">
        <v>25479</v>
      </c>
      <c r="C12424" s="1">
        <v>1</v>
      </c>
      <c r="D12424" s="1" t="str">
        <f>"10816"</f>
        <v>10816</v>
      </c>
      <c r="E12424" s="1" t="s">
        <v>190</v>
      </c>
      <c r="F12424" s="1">
        <v>15</v>
      </c>
      <c r="G12424" s="1">
        <v>12</v>
      </c>
      <c r="H12424" s="1">
        <v>0</v>
      </c>
      <c r="I12424" s="1" t="s">
        <v>25451</v>
      </c>
      <c r="K12424" s="1" t="str">
        <f t="shared" si="787"/>
        <v>ㄧ</v>
      </c>
      <c r="L12424" s="1" t="str">
        <f t="shared" si="788"/>
        <v>ㄠ</v>
      </c>
      <c r="N12424" s="3" t="s">
        <v>30575</v>
      </c>
      <c r="O12424" s="3"/>
      <c r="P12424" s="1" t="s">
        <v>20</v>
      </c>
      <c r="R12424" s="1" t="s">
        <v>25452</v>
      </c>
      <c r="V12424" s="1" t="s">
        <v>25480</v>
      </c>
      <c r="AR12424" s="1" t="str">
        <f t="shared" si="789"/>
        <v>| [ㄧㄠˊ](ㄧㄠˊ.md) | [嶢](嶢.md) |  | yáo | 參見「嶢嶢」條。 |</v>
      </c>
    </row>
    <row r="12425" spans="1:44" hidden="1">
      <c r="A12425" s="1" t="s">
        <v>6122</v>
      </c>
      <c r="C12425" s="1">
        <v>1</v>
      </c>
      <c r="D12425" s="1" t="str">
        <f>"10817"</f>
        <v>10817</v>
      </c>
      <c r="E12425" s="1" t="s">
        <v>691</v>
      </c>
      <c r="F12425" s="1">
        <v>11</v>
      </c>
      <c r="G12425" s="1">
        <v>8</v>
      </c>
      <c r="H12425" s="1">
        <v>2</v>
      </c>
      <c r="I12425" s="1" t="s">
        <v>25451</v>
      </c>
      <c r="K12425" s="1" t="str">
        <f t="shared" si="787"/>
        <v>ㄧ</v>
      </c>
      <c r="L12425" s="1" t="str">
        <f t="shared" si="788"/>
        <v>ㄠ</v>
      </c>
      <c r="N12425" s="3" t="s">
        <v>30575</v>
      </c>
      <c r="O12425" s="3"/>
      <c r="P12425" s="1" t="s">
        <v>20</v>
      </c>
      <c r="R12425" s="1" t="s">
        <v>25452</v>
      </c>
      <c r="V12425" s="1" t="s">
        <v>25481</v>
      </c>
      <c r="W12425" s="1" t="s">
        <v>25482</v>
      </c>
      <c r="AR12425" s="1" t="str">
        <f t="shared" si="789"/>
        <v>| [ㄧㄠˊ](ㄧㄠˊ.md) | [陶](陶.md) |  | yáo | [名]
皋陶：人名。相傳為舜之臣，掌刑獄之事。 |</v>
      </c>
    </row>
    <row r="12426" spans="1:44" hidden="1">
      <c r="A12426" s="1" t="s">
        <v>25483</v>
      </c>
      <c r="C12426" s="1">
        <v>1</v>
      </c>
      <c r="D12426" s="1" t="str">
        <f>"10818"</f>
        <v>10818</v>
      </c>
      <c r="E12426" s="1" t="s">
        <v>24</v>
      </c>
      <c r="F12426" s="1">
        <v>12</v>
      </c>
      <c r="G12426" s="1">
        <v>9</v>
      </c>
      <c r="H12426" s="1">
        <v>2</v>
      </c>
      <c r="I12426" s="1" t="s">
        <v>25451</v>
      </c>
      <c r="K12426" s="1" t="str">
        <f t="shared" si="787"/>
        <v>ㄧ</v>
      </c>
      <c r="L12426" s="1" t="str">
        <f t="shared" si="788"/>
        <v>ㄠ</v>
      </c>
      <c r="N12426" s="3" t="s">
        <v>30575</v>
      </c>
      <c r="O12426" s="3"/>
      <c r="P12426" s="1" t="s">
        <v>20</v>
      </c>
      <c r="R12426" s="1" t="s">
        <v>25452</v>
      </c>
      <c r="V12426" s="1" t="s">
        <v>25484</v>
      </c>
      <c r="W12426" s="1" t="s">
        <v>25485</v>
      </c>
      <c r="AR12426" s="1" t="str">
        <f t="shared" si="789"/>
        <v>| [ㄧㄠˊ](ㄧㄠˊ.md) | [揄](揄.md) |  | yáo | 參見「揄狄」條。 |</v>
      </c>
    </row>
    <row r="12427" spans="1:44" hidden="1">
      <c r="A12427" s="1" t="s">
        <v>25486</v>
      </c>
      <c r="C12427" s="1">
        <v>1</v>
      </c>
      <c r="D12427" s="1" t="str">
        <f>"10819"</f>
        <v>10819</v>
      </c>
      <c r="E12427" s="1" t="s">
        <v>691</v>
      </c>
      <c r="F12427" s="1">
        <v>12</v>
      </c>
      <c r="G12427" s="1">
        <v>9</v>
      </c>
      <c r="H12427" s="1">
        <v>2</v>
      </c>
      <c r="I12427" s="1" t="s">
        <v>25451</v>
      </c>
      <c r="K12427" s="1" t="str">
        <f t="shared" si="787"/>
        <v>ㄧ</v>
      </c>
      <c r="L12427" s="1" t="str">
        <f t="shared" si="788"/>
        <v>ㄠ</v>
      </c>
      <c r="N12427" s="3" t="s">
        <v>30575</v>
      </c>
      <c r="O12427" s="3"/>
      <c r="P12427" s="1" t="s">
        <v>20</v>
      </c>
      <c r="R12427" s="1" t="s">
        <v>25452</v>
      </c>
      <c r="V12427" s="1" t="s">
        <v>25487</v>
      </c>
      <c r="W12427" s="1" t="s">
        <v>25488</v>
      </c>
      <c r="AR12427" s="1" t="str">
        <f t="shared" si="789"/>
        <v>| [ㄧㄠˊ](ㄧㄠˊ.md) | [隃](隃.md) |  | yáo | [副]
遠。同「遙」。《漢書．卷三四．黥布傳》：「上惡之，與布相望見，隃謂布『何苦而反？』」宋．文天祥〈賀皇太后表〉：「臣遠被繡衣，隃瞻綵仗。」 |</v>
      </c>
    </row>
    <row r="12428" spans="1:44" hidden="1">
      <c r="A12428" s="1" t="s">
        <v>25489</v>
      </c>
      <c r="C12428" s="1">
        <v>1</v>
      </c>
      <c r="D12428" s="1" t="str">
        <f>"10820"</f>
        <v>10820</v>
      </c>
      <c r="E12428" s="1" t="s">
        <v>71</v>
      </c>
      <c r="F12428" s="1">
        <v>12</v>
      </c>
      <c r="G12428" s="1">
        <v>5</v>
      </c>
      <c r="H12428" s="1">
        <v>0</v>
      </c>
      <c r="I12428" s="1" t="s">
        <v>25451</v>
      </c>
      <c r="K12428" s="1" t="str">
        <f t="shared" si="787"/>
        <v>ㄧ</v>
      </c>
      <c r="L12428" s="1" t="str">
        <f t="shared" si="788"/>
        <v>ㄠ</v>
      </c>
      <c r="N12428" s="3" t="s">
        <v>30575</v>
      </c>
      <c r="O12428" s="3"/>
      <c r="P12428" s="1" t="s">
        <v>20</v>
      </c>
      <c r="R12428" s="1" t="s">
        <v>25452</v>
      </c>
      <c r="V12428" s="1" t="s">
        <v>25490</v>
      </c>
      <c r="AR12428" s="1" t="str">
        <f t="shared" si="789"/>
        <v>| [ㄧㄠˊ](ㄧㄠˊ.md) | [軺](軺.md) |  | yáo | [名]
輕便的小車。《說文解字．車部》：「軺，小車也。」《漢書．卷一二．平帝紀》：「四輔、公卿、大夫、博士、郎、吏家屬皆以禮娶，親迎立軺併馬。」《文選．丘遲．與陳伯之書》：「乘軺建節，奉疆埸之任。」 |</v>
      </c>
    </row>
    <row r="12429" spans="1:44" hidden="1">
      <c r="A12429" s="1" t="s">
        <v>25491</v>
      </c>
      <c r="C12429" s="1">
        <v>1</v>
      </c>
      <c r="D12429" s="1" t="str">
        <f>"10821"</f>
        <v>10821</v>
      </c>
      <c r="E12429" s="1" t="s">
        <v>114</v>
      </c>
      <c r="F12429" s="1">
        <v>12</v>
      </c>
      <c r="G12429" s="1">
        <v>10</v>
      </c>
      <c r="H12429" s="1">
        <v>0</v>
      </c>
      <c r="I12429" s="1" t="s">
        <v>25451</v>
      </c>
      <c r="K12429" s="1" t="str">
        <f t="shared" si="787"/>
        <v>ㄧ</v>
      </c>
      <c r="L12429" s="1" t="str">
        <f t="shared" si="788"/>
        <v>ㄠ</v>
      </c>
      <c r="N12429" s="3" t="s">
        <v>30575</v>
      </c>
      <c r="O12429" s="3"/>
      <c r="P12429" s="1" t="s">
        <v>20</v>
      </c>
      <c r="R12429" s="1" t="s">
        <v>25452</v>
      </c>
      <c r="V12429" s="1" t="s">
        <v>25492</v>
      </c>
      <c r="AR12429" s="1" t="str">
        <f t="shared" si="789"/>
        <v>| [ㄧㄠˊ](ㄧㄠˊ.md) | [傜](傜.md) |  | yáo | [名]
1.中國少數民族之一。分布在大陸地區兩廣、湖南、雲南等省。也作「猺族」、「瑤族」。
2.勞役、徭役。通「徭」。《新唐書．卷一一五．狄仁傑傳》：「今邊垂未寧，宜寬征鎮之傜，省不急之務。」 |</v>
      </c>
    </row>
    <row r="12430" spans="1:44" hidden="1">
      <c r="A12430" s="1" t="s">
        <v>25493</v>
      </c>
      <c r="C12430" s="1">
        <v>1</v>
      </c>
      <c r="D12430" s="1" t="str">
        <f>"10822"</f>
        <v>10822</v>
      </c>
      <c r="E12430" s="1" t="s">
        <v>250</v>
      </c>
      <c r="F12430" s="1">
        <v>13</v>
      </c>
      <c r="G12430" s="1">
        <v>10</v>
      </c>
      <c r="H12430" s="1">
        <v>0</v>
      </c>
      <c r="I12430" s="1" t="s">
        <v>25451</v>
      </c>
      <c r="K12430" s="1" t="str">
        <f t="shared" si="787"/>
        <v>ㄧ</v>
      </c>
      <c r="L12430" s="1" t="str">
        <f t="shared" si="788"/>
        <v>ㄠ</v>
      </c>
      <c r="N12430" s="3" t="s">
        <v>30575</v>
      </c>
      <c r="O12430" s="3"/>
      <c r="P12430" s="1" t="s">
        <v>20</v>
      </c>
      <c r="R12430" s="1" t="s">
        <v>25452</v>
      </c>
      <c r="V12430" s="1" t="s">
        <v>25494</v>
      </c>
      <c r="AR12430" s="1" t="str">
        <f t="shared" si="789"/>
        <v>| [ㄧㄠˊ](ㄧㄠˊ.md) | [愮](愮.md) |  | yáo | 參見「愮愮」條。 |</v>
      </c>
    </row>
    <row r="12431" spans="1:44" hidden="1">
      <c r="A12431" s="1" t="s">
        <v>25495</v>
      </c>
      <c r="C12431" s="1">
        <v>1</v>
      </c>
      <c r="D12431" s="1" t="str">
        <f>"10823"</f>
        <v>10823</v>
      </c>
      <c r="E12431" s="1" t="s">
        <v>24</v>
      </c>
      <c r="F12431" s="1">
        <v>13</v>
      </c>
      <c r="G12431" s="1">
        <v>10</v>
      </c>
      <c r="H12431" s="1">
        <v>0</v>
      </c>
      <c r="I12431" s="1" t="s">
        <v>25451</v>
      </c>
      <c r="K12431" s="1" t="str">
        <f t="shared" si="787"/>
        <v>ㄧ</v>
      </c>
      <c r="L12431" s="1" t="str">
        <f t="shared" si="788"/>
        <v>ㄠ</v>
      </c>
      <c r="N12431" s="3" t="s">
        <v>30575</v>
      </c>
      <c r="O12431" s="3"/>
      <c r="P12431" s="1" t="s">
        <v>20</v>
      </c>
      <c r="R12431" s="1" t="s">
        <v>25452</v>
      </c>
      <c r="V12431" s="1" t="s">
        <v>25496</v>
      </c>
      <c r="AR12431" s="1" t="str">
        <f t="shared" si="789"/>
        <v>| [ㄧㄠˊ](ㄧㄠˊ.md) | [搖](搖.md) |  | yáo | [動]
擺動、晃動。如：「搖頭」、「搖晃」、「搖槳」。《周禮．冬官考工記．矢人》：「是故夾而搖之，以聄其豐殺之節也。」《文選．古詩十九首．迴車駕言邁》：「四顧何茫茫，東風搖百草。」
[名]
姓。如漢代有搖毋餘。 |</v>
      </c>
    </row>
    <row r="12432" spans="1:44" hidden="1">
      <c r="A12432" s="1" t="s">
        <v>25497</v>
      </c>
      <c r="C12432" s="1">
        <v>1</v>
      </c>
      <c r="D12432" s="1" t="str">
        <f>"10824"</f>
        <v>10824</v>
      </c>
      <c r="E12432" s="1" t="s">
        <v>234</v>
      </c>
      <c r="F12432" s="1">
        <v>13</v>
      </c>
      <c r="G12432" s="1">
        <v>10</v>
      </c>
      <c r="H12432" s="1">
        <v>0</v>
      </c>
      <c r="I12432" s="1" t="s">
        <v>25451</v>
      </c>
      <c r="K12432" s="1" t="str">
        <f t="shared" si="787"/>
        <v>ㄧ</v>
      </c>
      <c r="L12432" s="1" t="str">
        <f t="shared" si="788"/>
        <v>ㄠ</v>
      </c>
      <c r="N12432" s="3" t="s">
        <v>30575</v>
      </c>
      <c r="O12432" s="3"/>
      <c r="P12432" s="1" t="s">
        <v>20</v>
      </c>
      <c r="R12432" s="1" t="s">
        <v>25452</v>
      </c>
      <c r="V12432" s="1" t="s">
        <v>25498</v>
      </c>
      <c r="AR12432" s="1" t="str">
        <f t="shared" si="789"/>
        <v>| [ㄧㄠˊ](ㄧㄠˊ.md) | [徭](徭.md) |  | yáo | [名]
勞役。如：「徭役」。唐．杜荀鶴〈山中寡婦〉詩：「任是深山更深處，也應無計避征徭。」《元史．卷一二四．塔本傳》：「興學養士，輕刑薄徭，雖同僚不敢私役一民。」 |</v>
      </c>
    </row>
    <row r="12433" spans="1:44" hidden="1">
      <c r="A12433" s="1" t="s">
        <v>25499</v>
      </c>
      <c r="C12433" s="1">
        <v>1</v>
      </c>
      <c r="D12433" s="1" t="str">
        <f>"10825"</f>
        <v>10825</v>
      </c>
      <c r="E12433" s="1" t="s">
        <v>198</v>
      </c>
      <c r="F12433" s="1">
        <v>13</v>
      </c>
      <c r="G12433" s="1">
        <v>10</v>
      </c>
      <c r="H12433" s="1">
        <v>0</v>
      </c>
      <c r="I12433" s="1" t="s">
        <v>25451</v>
      </c>
      <c r="K12433" s="1" t="str">
        <f t="shared" si="787"/>
        <v>ㄧ</v>
      </c>
      <c r="L12433" s="1" t="str">
        <f t="shared" si="788"/>
        <v>ㄠ</v>
      </c>
      <c r="N12433" s="3" t="s">
        <v>30575</v>
      </c>
      <c r="O12433" s="3"/>
      <c r="P12433" s="1" t="s">
        <v>20</v>
      </c>
      <c r="R12433" s="1" t="s">
        <v>25452</v>
      </c>
      <c r="V12433" s="1" t="s">
        <v>25500</v>
      </c>
      <c r="AR12433" s="1" t="str">
        <f t="shared" si="789"/>
        <v>| [ㄧㄠˊ](ㄧㄠˊ.md) | [猺](猺.md) |  | yáo | [名]
1.一種野獸。《集韻．平聲．宵韻》：「猺，獸名。」
2.中國少數民族之一。多分布於大陸地區湖南、兩廣及雲南、四川、貴州等相鄰的大山窮谷之中。也作「傜族」、「瑤族」。 |</v>
      </c>
    </row>
    <row r="12434" spans="1:44" hidden="1">
      <c r="A12434" s="1" t="s">
        <v>25501</v>
      </c>
      <c r="C12434" s="1">
        <v>1</v>
      </c>
      <c r="D12434" s="1" t="str">
        <f>"10826"</f>
        <v>10826</v>
      </c>
      <c r="E12434" s="1" t="s">
        <v>534</v>
      </c>
      <c r="F12434" s="1">
        <v>13</v>
      </c>
      <c r="G12434" s="1">
        <v>10</v>
      </c>
      <c r="H12434" s="1">
        <v>0</v>
      </c>
      <c r="I12434" s="1" t="s">
        <v>25451</v>
      </c>
      <c r="K12434" s="1" t="str">
        <f t="shared" si="787"/>
        <v>ㄧ</v>
      </c>
      <c r="L12434" s="1" t="str">
        <f t="shared" si="788"/>
        <v>ㄠ</v>
      </c>
      <c r="N12434" s="3" t="s">
        <v>30575</v>
      </c>
      <c r="O12434" s="3"/>
      <c r="P12434" s="1" t="s">
        <v>20</v>
      </c>
      <c r="R12434" s="1" t="s">
        <v>25452</v>
      </c>
      <c r="V12434" s="1" t="s">
        <v>25502</v>
      </c>
      <c r="AR12434" s="1" t="str">
        <f t="shared" si="789"/>
        <v>| [ㄧㄠˊ](ㄧㄠˊ.md) | [媱](媱.md) |  | yáo | [副]
彎著肩膀行走的樣子。《說文解字．女部》：「媱，曲肩行貌。」
[形]
美好的樣子。《廣韻．平聲．宵韻》：「媱，美好。」 |</v>
      </c>
    </row>
    <row r="12435" spans="1:44" hidden="1">
      <c r="A12435" s="1" t="s">
        <v>25503</v>
      </c>
      <c r="C12435" s="1">
        <v>1</v>
      </c>
      <c r="D12435" s="1" t="str">
        <f>"10827"</f>
        <v>10827</v>
      </c>
      <c r="E12435" s="1" t="s">
        <v>142</v>
      </c>
      <c r="F12435" s="1">
        <v>14</v>
      </c>
      <c r="G12435" s="1">
        <v>10</v>
      </c>
      <c r="H12435" s="1">
        <v>0</v>
      </c>
      <c r="I12435" s="1" t="s">
        <v>25451</v>
      </c>
      <c r="K12435" s="1" t="str">
        <f t="shared" si="787"/>
        <v>ㄧ</v>
      </c>
      <c r="L12435" s="1" t="str">
        <f t="shared" si="788"/>
        <v>ㄠ</v>
      </c>
      <c r="N12435" s="3" t="s">
        <v>30575</v>
      </c>
      <c r="O12435" s="3"/>
      <c r="P12435" s="1" t="s">
        <v>20</v>
      </c>
      <c r="R12435" s="1" t="s">
        <v>25452</v>
      </c>
      <c r="V12435" s="1" t="s">
        <v>25504</v>
      </c>
      <c r="AR12435" s="1" t="str">
        <f t="shared" si="789"/>
        <v>| [ㄧㄠˊ](ㄧㄠˊ.md) | [瑤](瑤.md) |  | yáo | [名]
美玉。《說文解字．玉部》：「瑤，石之美者。」《詩經．衛風．木瓜》：「投我以木桃，報之以瓊瑤。」晉．陸機〈日出東南隅行〉：「金雀垂藻翹，瓊佩結瑤璠。」
[形]
1.玉製的、鑲玉的。如：「瑤扉」、「瑤觴」、「瑤簪」。
2.珍貴、美好。唐．宇文融〈奉和聖製左丞相說右丞相璟太子少傅乾曜同日上官命宴都堂賜詩〉：「飛文瑤札降，賜酒玉杯傳。」明．徐弘祖《徐霞客遊記．卷四上．粵西遊日記四》：「多靈山最高聳。其上四時皆春，瑤花仙果，不絕於樹。」 |</v>
      </c>
    </row>
    <row r="12436" spans="1:44" hidden="1">
      <c r="A12436" s="1" t="s">
        <v>25505</v>
      </c>
      <c r="C12436" s="1">
        <v>1</v>
      </c>
      <c r="D12436" s="1" t="str">
        <f>"10828"</f>
        <v>10828</v>
      </c>
      <c r="E12436" s="1" t="s">
        <v>139</v>
      </c>
      <c r="F12436" s="1">
        <v>14</v>
      </c>
      <c r="G12436" s="1">
        <v>10</v>
      </c>
      <c r="H12436" s="1">
        <v>0</v>
      </c>
      <c r="I12436" s="1" t="s">
        <v>25451</v>
      </c>
      <c r="K12436" s="1" t="str">
        <f t="shared" si="787"/>
        <v>ㄧ</v>
      </c>
      <c r="L12436" s="1" t="str">
        <f t="shared" si="788"/>
        <v>ㄠ</v>
      </c>
      <c r="N12436" s="3" t="s">
        <v>30575</v>
      </c>
      <c r="O12436" s="3"/>
      <c r="P12436" s="1" t="s">
        <v>20</v>
      </c>
      <c r="R12436" s="1" t="s">
        <v>25452</v>
      </c>
      <c r="V12436" s="1" t="s">
        <v>25506</v>
      </c>
      <c r="AR12436" s="1" t="str">
        <f t="shared" si="789"/>
        <v>| [ㄧㄠˊ](ㄧㄠˊ.md) | [榣](榣.md) |  | yáo | [動]
樹木搖動。《說文解字．木部》：「榣，樹動也。」
[名]
一種大的樹木。《玉篇．木部》：「榣，木名。」《山海經．西山經》：「（槐江之山）其陰多榣木之有若。」晉．郭璞．注：「榣木，大木也。」 |</v>
      </c>
    </row>
    <row r="12437" spans="1:44" hidden="1">
      <c r="A12437" s="1" t="s">
        <v>25507</v>
      </c>
      <c r="C12437" s="1">
        <v>1</v>
      </c>
      <c r="D12437" s="1" t="str">
        <f>"10829"</f>
        <v>10829</v>
      </c>
      <c r="E12437" s="1" t="s">
        <v>558</v>
      </c>
      <c r="F12437" s="1">
        <v>14</v>
      </c>
      <c r="G12437" s="1">
        <v>10</v>
      </c>
      <c r="H12437" s="1">
        <v>0</v>
      </c>
      <c r="I12437" s="1" t="s">
        <v>25451</v>
      </c>
      <c r="K12437" s="1" t="str">
        <f t="shared" si="787"/>
        <v>ㄧ</v>
      </c>
      <c r="L12437" s="1" t="str">
        <f t="shared" si="788"/>
        <v>ㄠ</v>
      </c>
      <c r="N12437" s="3" t="s">
        <v>30575</v>
      </c>
      <c r="O12437" s="3"/>
      <c r="P12437" s="1" t="s">
        <v>20</v>
      </c>
      <c r="R12437" s="1" t="s">
        <v>25452</v>
      </c>
      <c r="V12437" s="1" t="s">
        <v>25508</v>
      </c>
      <c r="AR12437" s="1" t="str">
        <f t="shared" si="789"/>
        <v>| [ㄧㄠˊ](ㄧㄠˊ.md) | [遙](遙.md) |  | yáo | [形]
1.遠。如：「遙遠」、「遙不可及」。五代十國南唐．李煜〈清平樂．別來春半〉詞：「雁來音信無憑，路遙歸夢難成。」
2.長。《文選．何劭．雜詩》：「勤思終遙夕，永言寫情慮。」唐．李白〈南奔書懷〉詩：「遙夜何漫漫，空歌白石爛。」 |</v>
      </c>
    </row>
    <row r="12438" spans="1:44" hidden="1">
      <c r="A12438" s="1" t="s">
        <v>25509</v>
      </c>
      <c r="C12438" s="1">
        <v>1</v>
      </c>
      <c r="D12438" s="1" t="str">
        <f>"10830"</f>
        <v>10830</v>
      </c>
      <c r="E12438" s="1" t="s">
        <v>331</v>
      </c>
      <c r="F12438" s="1">
        <v>17</v>
      </c>
      <c r="G12438" s="1">
        <v>10</v>
      </c>
      <c r="H12438" s="1">
        <v>0</v>
      </c>
      <c r="I12438" s="1" t="s">
        <v>25451</v>
      </c>
      <c r="K12438" s="1" t="str">
        <f t="shared" si="787"/>
        <v>ㄧ</v>
      </c>
      <c r="L12438" s="1" t="str">
        <f t="shared" si="788"/>
        <v>ㄠ</v>
      </c>
      <c r="N12438" s="3" t="s">
        <v>30575</v>
      </c>
      <c r="O12438" s="3"/>
      <c r="P12438" s="1" t="s">
        <v>20</v>
      </c>
      <c r="R12438" s="1" t="s">
        <v>25452</v>
      </c>
      <c r="V12438" s="1" t="s">
        <v>25510</v>
      </c>
      <c r="AR12438" s="1" t="str">
        <f t="shared" si="789"/>
        <v>| [ㄧㄠˊ](ㄧㄠˊ.md) | [謠](謠.md) |  | yáo | [名]
1.民間流行的歌。如：「民謠」、「歌謠」、「童謠」。《南史．卷六．梁武帝本紀上》：「詔分遺內侍，周省四方，觀政聽謠，訪賢舉滯。」
2.憑空虛構沒有根據的話或傳聞。如：「造謠」、「闢謠」。《楚辭．屈原．離騷》：「眾女嫉余之蛾眉兮，謠諑謂余以善淫。」 |</v>
      </c>
    </row>
    <row r="12439" spans="1:44" hidden="1">
      <c r="A12439" s="1" t="s">
        <v>18400</v>
      </c>
      <c r="C12439" s="1">
        <v>1</v>
      </c>
      <c r="D12439" s="1" t="str">
        <f>"10831"</f>
        <v>10831</v>
      </c>
      <c r="E12439" s="1" t="s">
        <v>725</v>
      </c>
      <c r="F12439" s="1">
        <v>17</v>
      </c>
      <c r="G12439" s="1">
        <v>11</v>
      </c>
      <c r="H12439" s="1">
        <v>2</v>
      </c>
      <c r="I12439" s="1" t="s">
        <v>25451</v>
      </c>
      <c r="K12439" s="1" t="str">
        <f t="shared" si="787"/>
        <v>ㄧ</v>
      </c>
      <c r="L12439" s="1" t="str">
        <f t="shared" si="788"/>
        <v>ㄠ</v>
      </c>
      <c r="N12439" s="3" t="s">
        <v>30575</v>
      </c>
      <c r="O12439" s="3"/>
      <c r="P12439" s="1" t="s">
        <v>20</v>
      </c>
      <c r="R12439" s="1" t="s">
        <v>25452</v>
      </c>
      <c r="V12439" s="1" t="s">
        <v>25511</v>
      </c>
      <c r="W12439" s="1" t="s">
        <v>25512</v>
      </c>
      <c r="AR12439" s="1" t="str">
        <f t="shared" si="789"/>
        <v>| [ㄧㄠˊ](ㄧㄠˊ.md) | [繇](繇.md) |  | yáo | [名]
勞役。通「徭」。《漢書．卷五．景帝紀》：「減太官，省繇賦。」 |</v>
      </c>
    </row>
    <row r="12440" spans="1:44" hidden="1">
      <c r="A12440" s="1" t="s">
        <v>25513</v>
      </c>
      <c r="C12440" s="1">
        <v>1</v>
      </c>
      <c r="D12440" s="1" t="str">
        <f>"10832"</f>
        <v>10832</v>
      </c>
      <c r="E12440" s="1" t="s">
        <v>1161</v>
      </c>
      <c r="F12440" s="1">
        <v>19</v>
      </c>
      <c r="G12440" s="1">
        <v>10</v>
      </c>
      <c r="H12440" s="1">
        <v>0</v>
      </c>
      <c r="I12440" s="1" t="s">
        <v>25451</v>
      </c>
      <c r="K12440" s="1" t="str">
        <f t="shared" si="787"/>
        <v>ㄧ</v>
      </c>
      <c r="L12440" s="1" t="str">
        <f t="shared" si="788"/>
        <v>ㄠ</v>
      </c>
      <c r="N12440" s="3" t="s">
        <v>30575</v>
      </c>
      <c r="O12440" s="3"/>
      <c r="P12440" s="1" t="s">
        <v>20</v>
      </c>
      <c r="R12440" s="1" t="s">
        <v>25452</v>
      </c>
      <c r="V12440" s="1" t="s">
        <v>25514</v>
      </c>
      <c r="AR12440" s="1" t="str">
        <f t="shared" si="789"/>
        <v>| [ㄧㄠˊ](ㄧㄠˊ.md) | [颻](颻.md) |  | yáo | 參見「飄颻」條。 |</v>
      </c>
    </row>
    <row r="12441" spans="1:44" hidden="1">
      <c r="A12441" s="1" t="s">
        <v>25515</v>
      </c>
      <c r="C12441" s="1">
        <v>1</v>
      </c>
      <c r="D12441" s="1" t="str">
        <f>"10833"</f>
        <v>10833</v>
      </c>
      <c r="E12441" s="1" t="s">
        <v>156</v>
      </c>
      <c r="F12441" s="1">
        <v>21</v>
      </c>
      <c r="G12441" s="1">
        <v>10</v>
      </c>
      <c r="H12441" s="1">
        <v>0</v>
      </c>
      <c r="I12441" s="1" t="s">
        <v>25451</v>
      </c>
      <c r="K12441" s="1" t="str">
        <f t="shared" si="787"/>
        <v>ㄧ</v>
      </c>
      <c r="L12441" s="1" t="str">
        <f t="shared" si="788"/>
        <v>ㄠ</v>
      </c>
      <c r="N12441" s="3" t="s">
        <v>30575</v>
      </c>
      <c r="O12441" s="3"/>
      <c r="P12441" s="1" t="s">
        <v>20</v>
      </c>
      <c r="R12441" s="1" t="s">
        <v>25452</v>
      </c>
      <c r="V12441" s="1" t="s">
        <v>25516</v>
      </c>
      <c r="AR12441" s="1" t="str">
        <f t="shared" si="789"/>
        <v>| [ㄧㄠˊ](ㄧㄠˊ.md) | [鰩](鰩.md) |  | yáo | 參見「文鰩魚」條。 |</v>
      </c>
    </row>
    <row r="12442" spans="1:44" hidden="1">
      <c r="A12442" s="1" t="s">
        <v>25517</v>
      </c>
      <c r="C12442" s="1">
        <v>1</v>
      </c>
      <c r="D12442" s="1" t="str">
        <f>"10834"</f>
        <v>10834</v>
      </c>
      <c r="E12442" s="1" t="s">
        <v>1274</v>
      </c>
      <c r="F12442" s="1">
        <v>15</v>
      </c>
      <c r="G12442" s="1">
        <v>10</v>
      </c>
      <c r="H12442" s="1">
        <v>0</v>
      </c>
      <c r="I12442" s="1" t="s">
        <v>25451</v>
      </c>
      <c r="K12442" s="1" t="str">
        <f t="shared" si="787"/>
        <v>ㄧ</v>
      </c>
      <c r="L12442" s="1" t="str">
        <f t="shared" si="788"/>
        <v>ㄠ</v>
      </c>
      <c r="N12442" s="3" t="s">
        <v>30575</v>
      </c>
      <c r="O12442" s="3"/>
      <c r="P12442" s="1" t="s">
        <v>20</v>
      </c>
      <c r="R12442" s="1" t="s">
        <v>25452</v>
      </c>
      <c r="V12442" s="1" t="s">
        <v>25518</v>
      </c>
      <c r="AR12442" s="1" t="str">
        <f t="shared" si="789"/>
        <v>| [ㄧㄠˊ](ㄧㄠˊ.md) | [窯](窯.md) |  | yáo | [名]_x000D_
1.一種以耐火材料構成的設施，用來燒製磚、瓦、陶瓷等器具。《說文解字．穴部》：「窯，燒瓦窯灶也。」如：「磚窯」、「瓦窯」。宋．范成大〈梅根夾〉詩：「日明漁浦網，風側瓦窯煙。」_x000D_
2.代指名窯廠所生產的陶瓷器。如：「御窯」、「柴窯」、「汝窯」。清．徐珂《清稗類鈔．鑒賞類．葉五官知鑒別》：「因論諸窯優劣，旁及金石真贗。」_x000D_
3.開採煤石的坑洞。如：「煤窯」。_x000D_
4.妓院的俗稱，或指奸盜的住處。《老殘遊記》第二回：「這幾年來好頑耍的誰不學他們的調兒呢？就是窯子裡的姑娘也人人都學。」清．俞正燮《癸巳存稿．窯亹》：「河北言姦盜所居亦曰窯。」_x000D_
5.大陸西北地區人民所挖，用以居住的洞穴。如：「窯洞」。 |</v>
      </c>
    </row>
    <row r="12443" spans="1:44" hidden="1">
      <c r="A12443" s="1" t="s">
        <v>24500</v>
      </c>
      <c r="C12443" s="1">
        <v>1</v>
      </c>
      <c r="D12443" s="1" t="str">
        <f>"10835"</f>
        <v>10835</v>
      </c>
      <c r="E12443" s="1" t="s">
        <v>563</v>
      </c>
      <c r="F12443" s="1">
        <v>4</v>
      </c>
      <c r="G12443" s="1">
        <v>1</v>
      </c>
      <c r="H12443" s="1">
        <v>2</v>
      </c>
      <c r="I12443" s="1" t="s">
        <v>25519</v>
      </c>
      <c r="K12443" s="1" t="str">
        <f t="shared" si="787"/>
        <v>ㄧ</v>
      </c>
      <c r="L12443" s="1" t="str">
        <f t="shared" si="788"/>
        <v>ㄠ</v>
      </c>
      <c r="N12443" s="3" t="s">
        <v>30576</v>
      </c>
      <c r="O12443" s="3"/>
      <c r="P12443" s="1" t="s">
        <v>20</v>
      </c>
      <c r="R12443" s="1" t="s">
        <v>25520</v>
      </c>
      <c r="V12443" s="1" t="s">
        <v>25521</v>
      </c>
      <c r="W12443" s="1" t="s">
        <v>25522</v>
      </c>
      <c r="AR12443" s="1" t="str">
        <f t="shared" si="789"/>
        <v>| [ㄧㄠˇ](ㄧㄠˇ.md) | [夭](夭.md) |  | yǎo | [形]
屈抑不伸。《漢書．卷二七．五行志下之上》：「德不試，空言祿，茲謂主窳臣夭，蒙起而白。」
[動]
1.少壯而死。如：「夭折」。《書經．高宗肜日》：「降年有永有不永，非天夭民，民中絕命。」《文選．束晳．補亡詩》：「人無道夭，物極則長。」
2.摧殘。《管子．禁藏》：「毋伐木，毋夭英，毋附竿。」唐．張昌齡〈對高潔之士策〉：「山林不夭，風雲以之通氣。」 |</v>
      </c>
    </row>
    <row r="12444" spans="1:44" hidden="1">
      <c r="A12444" s="1" t="s">
        <v>25523</v>
      </c>
      <c r="C12444" s="1">
        <v>1</v>
      </c>
      <c r="D12444" s="1" t="str">
        <f>"10836"</f>
        <v>10836</v>
      </c>
      <c r="E12444" s="1" t="s">
        <v>624</v>
      </c>
      <c r="F12444" s="1">
        <v>7</v>
      </c>
      <c r="G12444" s="1">
        <v>4</v>
      </c>
      <c r="H12444" s="1">
        <v>0</v>
      </c>
      <c r="I12444" s="1" t="s">
        <v>25519</v>
      </c>
      <c r="K12444" s="1" t="str">
        <f t="shared" si="787"/>
        <v>ㄧ</v>
      </c>
      <c r="L12444" s="1" t="str">
        <f t="shared" si="788"/>
        <v>ㄠ</v>
      </c>
      <c r="N12444" s="3" t="s">
        <v>30576</v>
      </c>
      <c r="O12444" s="3"/>
      <c r="P12444" s="1" t="s">
        <v>20</v>
      </c>
      <c r="R12444" s="1" t="s">
        <v>25520</v>
      </c>
      <c r="V12444" s="1" t="s">
        <v>25524</v>
      </c>
      <c r="AR12444" s="1" t="str">
        <f t="shared" si="789"/>
        <v>| [ㄧㄠˇ](ㄧㄠˇ.md) | [宎](宎.md) |  | yǎo | [名]
房屋的東南角。《玉篇．宀部》：「𡧮，《爾雅》：『室東南隅。』窔，同上，宎，俗。」《莊子．徐无鬼》：「未嘗好田，而鶉生於宎。」 |</v>
      </c>
    </row>
    <row r="12445" spans="1:44" hidden="1">
      <c r="A12445" s="1" t="s">
        <v>25525</v>
      </c>
      <c r="C12445" s="1">
        <v>1</v>
      </c>
      <c r="D12445" s="1" t="str">
        <f>"10837"</f>
        <v>10837</v>
      </c>
      <c r="E12445" s="1" t="s">
        <v>1372</v>
      </c>
      <c r="F12445" s="1">
        <v>8</v>
      </c>
      <c r="G12445" s="1">
        <v>4</v>
      </c>
      <c r="H12445" s="1">
        <v>0</v>
      </c>
      <c r="I12445" s="1" t="s">
        <v>25519</v>
      </c>
      <c r="K12445" s="1" t="str">
        <f t="shared" si="787"/>
        <v>ㄧ</v>
      </c>
      <c r="L12445" s="1" t="str">
        <f t="shared" si="788"/>
        <v>ㄠ</v>
      </c>
      <c r="N12445" s="3" t="s">
        <v>30576</v>
      </c>
      <c r="O12445" s="3"/>
      <c r="P12445" s="1" t="s">
        <v>20</v>
      </c>
      <c r="R12445" s="1" t="s">
        <v>25520</v>
      </c>
      <c r="V12445" s="1" t="s">
        <v>25526</v>
      </c>
      <c r="AR12445" s="1" t="str">
        <f t="shared" si="789"/>
        <v>| [ㄧㄠˇ](ㄧㄠˇ.md) | [殀](殀.md) |  | yǎo | [動]
1.夭折，少壯而死。《玉篇．歹部》：「殀，歿也。亦作夭。」《孟子．盡心上》：「殀壽不貳，脩身以俟之。」《楚辭．屈原．離騷》：「鮌婞直以亡身兮，終然殀乎羽之野。」
2.殘害。《禮記．王制》：「不麛不卵，不殺胎，不殀夭。」清．龔自珍〈病梅館記〉：「又不可以使天下之民，斫直、刪密，鋤正，以殀梅、病梅為業以求錢也。」 |</v>
      </c>
    </row>
    <row r="12446" spans="1:44" hidden="1">
      <c r="A12446" s="1" t="s">
        <v>25527</v>
      </c>
      <c r="C12446" s="1">
        <v>1</v>
      </c>
      <c r="D12446" s="1" t="str">
        <f>"10838"</f>
        <v>10838</v>
      </c>
      <c r="E12446" s="1" t="s">
        <v>1274</v>
      </c>
      <c r="F12446" s="1">
        <v>9</v>
      </c>
      <c r="G12446" s="1">
        <v>4</v>
      </c>
      <c r="H12446" s="1">
        <v>0</v>
      </c>
      <c r="I12446" s="1" t="s">
        <v>25519</v>
      </c>
      <c r="K12446" s="1" t="str">
        <f t="shared" si="787"/>
        <v>ㄧ</v>
      </c>
      <c r="L12446" s="1" t="str">
        <f t="shared" si="788"/>
        <v>ㄠ</v>
      </c>
      <c r="N12446" s="3" t="s">
        <v>30576</v>
      </c>
      <c r="O12446" s="3"/>
      <c r="P12446" s="1" t="s">
        <v>20</v>
      </c>
      <c r="R12446" s="1" t="s">
        <v>25520</v>
      </c>
      <c r="V12446" s="1" t="s">
        <v>25528</v>
      </c>
      <c r="AR12446" s="1" t="str">
        <f t="shared" si="789"/>
        <v>| [ㄧㄠˇ](ㄧㄠˇ.md) | [穾](穾.md) |  | yǎo | [名]
1.屋室的東南隅。同「窔」。《集韻．去聲．嘯韻》：「窔，室中之東南隅謂之窔。或作穾。」《漢書．卷一〇〇．敘傳上》：「守穾奧之熒燭，未卬天庭而睹白日也。」
2.隱密幽深的地方。《史記．卷一一七．司馬相如列傳》：「纍臺增成，巖穾洞房。」 |</v>
      </c>
    </row>
    <row r="12447" spans="1:44" hidden="1">
      <c r="A12447" s="1" t="s">
        <v>25529</v>
      </c>
      <c r="C12447" s="1">
        <v>1</v>
      </c>
      <c r="D12447" s="1" t="str">
        <f>"10839"</f>
        <v>10839</v>
      </c>
      <c r="E12447" s="1" t="s">
        <v>139</v>
      </c>
      <c r="F12447" s="1">
        <v>8</v>
      </c>
      <c r="G12447" s="1">
        <v>4</v>
      </c>
      <c r="H12447" s="1">
        <v>0</v>
      </c>
      <c r="I12447" s="1" t="s">
        <v>25519</v>
      </c>
      <c r="K12447" s="1" t="str">
        <f t="shared" si="787"/>
        <v>ㄧ</v>
      </c>
      <c r="L12447" s="1" t="str">
        <f t="shared" si="788"/>
        <v>ㄠ</v>
      </c>
      <c r="N12447" s="3" t="s">
        <v>30576</v>
      </c>
      <c r="O12447" s="3"/>
      <c r="P12447" s="1" t="s">
        <v>20</v>
      </c>
      <c r="R12447" s="1" t="s">
        <v>25520</v>
      </c>
      <c r="V12447" s="1" t="s">
        <v>25530</v>
      </c>
      <c r="AR12447" s="1" t="str">
        <f t="shared" si="789"/>
        <v>| [ㄧㄠˇ](ㄧㄠˇ.md) | [杳](杳.md) |  | yǎo | [形]
1.幽暗、深遠。《說文解字．日部》：「杳，冥也。」《楚辭．屈原．九章．涉江》：「深林杳以冥冥兮，猿狖之所居。」明．徐弘祖《徐霞客遊記．卷四下．黔遊日記二》：「其坳兩旁石峰東西湧起，而坳中則下陷成井，灌木叢翳其間，杳不可窺。」
2.遼闊無邊。唐．王維〈臨高臺送黎拾遺〉詩：「相送臨高臺，川原杳何極。」宋．王安石〈送裴如晦宰吳江〉詩：「霜澤與天杳，旁臨無限情。」
[副]
不見蹤影，毫無消息。形容渺茫沉寂。如：「杳無音信」、「杳無人蹤」。 |</v>
      </c>
    </row>
    <row r="12448" spans="1:44" hidden="1">
      <c r="A12448" s="1" t="s">
        <v>13551</v>
      </c>
      <c r="C12448" s="1">
        <v>1</v>
      </c>
      <c r="D12448" s="1" t="str">
        <f>"10840"</f>
        <v>10840</v>
      </c>
      <c r="E12448" s="1" t="s">
        <v>28</v>
      </c>
      <c r="F12448" s="1">
        <v>9</v>
      </c>
      <c r="G12448" s="1">
        <v>6</v>
      </c>
      <c r="H12448" s="1">
        <v>1</v>
      </c>
      <c r="I12448" s="1" t="s">
        <v>25519</v>
      </c>
      <c r="K12448" s="1" t="str">
        <f t="shared" si="787"/>
        <v>ㄧ</v>
      </c>
      <c r="L12448" s="1" t="str">
        <f t="shared" si="788"/>
        <v>ㄠ</v>
      </c>
      <c r="N12448" s="3" t="s">
        <v>30576</v>
      </c>
      <c r="O12448" s="3"/>
      <c r="P12448" s="1" t="s">
        <v>20</v>
      </c>
      <c r="R12448" s="1" t="s">
        <v>25520</v>
      </c>
      <c r="V12448" s="1" t="s">
        <v>25531</v>
      </c>
      <c r="W12448" s="1" t="s">
        <v>25532</v>
      </c>
      <c r="AR12448" s="1" t="str">
        <f t="shared" si="789"/>
        <v>| [ㄧㄠˇ](ㄧㄠˇ.md) | [咬](咬.md) |  | yǎo | [動]
1.用牙齒切斷、壓破或夾住東西。如：「把繩子咬斷」、「咬了一口饅頭」、「別咬著牙籤說話！」
2.用工具鉗住或卡住東西。如：「齒輪已經磨蝕，互相咬不住。」
3.誣諂、牽連。如：「反咬一口」、「說話憑良心，可別隨便亂咬人。」《京本通俗小說．錯斬崔寧》：「那邊王老員外與女兒併一干鄰右人等，口口聲聲咬他二人。」
4.吐字、發音。如：「說的人咬字不清，聽的人便很容易會錯意。」
5.皮膚與植物或化學製品碰觸而過敏或受侵蝕。如：「這洗衣粉會咬手，要記得戴手套。」
[副]
認定不變。如：「一口咬定」。 |</v>
      </c>
    </row>
    <row r="12449" spans="1:44" hidden="1">
      <c r="A12449" s="1" t="s">
        <v>25533</v>
      </c>
      <c r="C12449" s="1">
        <v>1</v>
      </c>
      <c r="D12449" s="1" t="str">
        <f>"10841"</f>
        <v>10841</v>
      </c>
      <c r="E12449" s="1" t="s">
        <v>1274</v>
      </c>
      <c r="F12449" s="1">
        <v>11</v>
      </c>
      <c r="G12449" s="1">
        <v>6</v>
      </c>
      <c r="H12449" s="1">
        <v>0</v>
      </c>
      <c r="I12449" s="1" t="s">
        <v>25519</v>
      </c>
      <c r="K12449" s="1" t="str">
        <f t="shared" si="787"/>
        <v>ㄧ</v>
      </c>
      <c r="L12449" s="1" t="str">
        <f t="shared" si="788"/>
        <v>ㄠ</v>
      </c>
      <c r="N12449" s="3" t="s">
        <v>30576</v>
      </c>
      <c r="O12449" s="3"/>
      <c r="P12449" s="1" t="s">
        <v>20</v>
      </c>
      <c r="R12449" s="1" t="s">
        <v>25520</v>
      </c>
      <c r="V12449" s="1" t="s">
        <v>25534</v>
      </c>
      <c r="AR12449" s="1" t="str">
        <f t="shared" si="789"/>
        <v>| [ㄧㄠˇ](ㄧㄠˇ.md) | [窔](窔.md) |  | yǎo | [形]
幽靜深遠。《玉篇．穴部》：「窔，幽深也。」漢．馬第伯〈封禪儀記〉：「遂至天門之下，仰視天門，窔遼如從穴中視天窗矣。」
[名]
屋室的東南角。《儀禮．既夕禮》：「比奠，舉席掃室，聚諸窔。」漢．鄭玄．注：「室東南隅謂之窔。」 |</v>
      </c>
    </row>
    <row r="12450" spans="1:44" hidden="1">
      <c r="A12450" s="1" t="s">
        <v>25535</v>
      </c>
      <c r="C12450" s="1">
        <v>1</v>
      </c>
      <c r="D12450" s="1" t="str">
        <f>"10842"</f>
        <v>10842</v>
      </c>
      <c r="E12450" s="1" t="s">
        <v>1274</v>
      </c>
      <c r="F12450" s="1">
        <v>10</v>
      </c>
      <c r="G12450" s="1">
        <v>5</v>
      </c>
      <c r="H12450" s="1">
        <v>0</v>
      </c>
      <c r="I12450" s="1" t="s">
        <v>25519</v>
      </c>
      <c r="K12450" s="1" t="str">
        <f t="shared" si="787"/>
        <v>ㄧ</v>
      </c>
      <c r="L12450" s="1" t="str">
        <f t="shared" si="788"/>
        <v>ㄠ</v>
      </c>
      <c r="N12450" s="3" t="s">
        <v>30576</v>
      </c>
      <c r="O12450" s="3"/>
      <c r="P12450" s="1" t="s">
        <v>20</v>
      </c>
      <c r="R12450" s="1" t="s">
        <v>25520</v>
      </c>
      <c r="V12450" s="1" t="s">
        <v>25536</v>
      </c>
      <c r="AR12450" s="1" t="str">
        <f t="shared" si="789"/>
        <v>| [ㄧㄠˇ](ㄧㄠˇ.md) | [窅](窅.md) |  | yǎo | [動]
遠望。《文選．謝朓．敬亭山詩》：「緣源殊未極，歸徑窅如迷。」李善注引《聲類》曰：「窅，遠望也。」唐．賈至〈巴陵早秋寄荊州崔司馬吏部閻功曹舍人〉詩：「曠如臨渤澥，窅疑造瀛洲。」
[形]
幽遠、精深。《莊子．知北遊》：「夫道窅然難言哉，將為汝言其崖略！」
[副]
幽靜、沉寂。唐．李白〈山中問答〉詩：「桃花流水窅然去，別有天地非人間。」 |</v>
      </c>
    </row>
    <row r="12451" spans="1:44" hidden="1">
      <c r="A12451" s="1" t="s">
        <v>25537</v>
      </c>
      <c r="C12451" s="1">
        <v>1</v>
      </c>
      <c r="D12451" s="1" t="str">
        <f>"10843"</f>
        <v>10843</v>
      </c>
      <c r="E12451" s="1" t="s">
        <v>1274</v>
      </c>
      <c r="F12451" s="1">
        <v>10</v>
      </c>
      <c r="G12451" s="1">
        <v>5</v>
      </c>
      <c r="H12451" s="1">
        <v>0</v>
      </c>
      <c r="I12451" s="1" t="s">
        <v>25519</v>
      </c>
      <c r="K12451" s="1" t="str">
        <f t="shared" si="787"/>
        <v>ㄧ</v>
      </c>
      <c r="L12451" s="1" t="str">
        <f t="shared" si="788"/>
        <v>ㄠ</v>
      </c>
      <c r="N12451" s="3" t="s">
        <v>30576</v>
      </c>
      <c r="O12451" s="3"/>
      <c r="P12451" s="1" t="s">
        <v>20</v>
      </c>
      <c r="R12451" s="1" t="s">
        <v>25520</v>
      </c>
      <c r="V12451" s="1" t="s">
        <v>25538</v>
      </c>
      <c r="AR12451" s="1" t="str">
        <f t="shared" si="789"/>
        <v>| [ㄧㄠˇ](ㄧㄠˇ.md) | [窈](窈.md) |  | yǎo | [形]
1.深遠。《說文解字．穴部》：「窈，深遠也。」《老子》第二一章：「窈兮冥兮，其中有精。」三國魏．王弼．注：「窈冥，深遠之歎，深遠不可得而見。」唐．韓愈〈送李愿歸盤谷序〉：「窈而深，廓其有容。」
2.幽暗。《淮南子．道應》：「吾知道之可以弱，可以強；可以柔，可以剛；可以陰，可以陽；可以窈，可以明。」《浙江通志．卷二〇．山川一二．平陽縣》引清．潘耒〈南雁蕩游記〉：「左復有一洞如曲室，室後窈黑處，深不可窮。」 |</v>
      </c>
    </row>
    <row r="12452" spans="1:44" hidden="1">
      <c r="A12452" s="1" t="s">
        <v>25539</v>
      </c>
      <c r="C12452" s="1">
        <v>1</v>
      </c>
      <c r="D12452" s="1" t="str">
        <f>"10844"</f>
        <v>10844</v>
      </c>
      <c r="E12452" s="1" t="s">
        <v>13771</v>
      </c>
      <c r="F12452" s="1">
        <v>10</v>
      </c>
      <c r="G12452" s="1">
        <v>4</v>
      </c>
      <c r="H12452" s="1">
        <v>0</v>
      </c>
      <c r="I12452" s="1" t="s">
        <v>25519</v>
      </c>
      <c r="K12452" s="1" t="str">
        <f t="shared" si="787"/>
        <v>ㄧ</v>
      </c>
      <c r="L12452" s="1" t="str">
        <f t="shared" si="788"/>
        <v>ㄠ</v>
      </c>
      <c r="N12452" s="3" t="s">
        <v>30576</v>
      </c>
      <c r="O12452" s="3"/>
      <c r="P12452" s="1" t="s">
        <v>20</v>
      </c>
      <c r="R12452" s="1" t="s">
        <v>25520</v>
      </c>
      <c r="V12452" s="1" t="s">
        <v>25540</v>
      </c>
      <c r="AR12452" s="1" t="str">
        <f t="shared" si="789"/>
        <v>| [ㄧㄠˇ](ㄧㄠˇ.md) | [舀](舀.md) |  | yǎo | [動]
用瓢、杓汲取液體。如：「舀水」、「舀湯」。
[名]
參見「舀子」條。 |</v>
      </c>
    </row>
    <row r="12453" spans="1:44" hidden="1">
      <c r="A12453" s="1" t="s">
        <v>25541</v>
      </c>
      <c r="C12453" s="1">
        <v>1</v>
      </c>
      <c r="D12453" s="1" t="str">
        <f>"10845"</f>
        <v>10845</v>
      </c>
      <c r="E12453" s="1" t="s">
        <v>114</v>
      </c>
      <c r="F12453" s="1">
        <v>11</v>
      </c>
      <c r="G12453" s="1">
        <v>9</v>
      </c>
      <c r="H12453" s="1">
        <v>0</v>
      </c>
      <c r="I12453" s="1" t="s">
        <v>25519</v>
      </c>
      <c r="K12453" s="1" t="str">
        <f t="shared" si="787"/>
        <v>ㄧ</v>
      </c>
      <c r="L12453" s="1" t="str">
        <f t="shared" si="788"/>
        <v>ㄠ</v>
      </c>
      <c r="N12453" s="3" t="s">
        <v>30576</v>
      </c>
      <c r="O12453" s="3"/>
      <c r="P12453" s="1" t="s">
        <v>20</v>
      </c>
      <c r="R12453" s="1" t="s">
        <v>25520</v>
      </c>
      <c r="V12453" s="1" t="s">
        <v>25542</v>
      </c>
      <c r="AR12453" s="1" t="str">
        <f t="shared" si="789"/>
        <v>| [ㄧㄠˇ](ㄧㄠˇ.md) | [偠](偠.md) |  | yǎo | 參見「偠紹」條。 |</v>
      </c>
    </row>
    <row r="12454" spans="1:44" hidden="1">
      <c r="A12454" s="1" t="s">
        <v>25543</v>
      </c>
      <c r="C12454" s="1">
        <v>1</v>
      </c>
      <c r="D12454" s="1" t="str">
        <f>"10846"</f>
        <v>10846</v>
      </c>
      <c r="E12454" s="1" t="s">
        <v>319</v>
      </c>
      <c r="F12454" s="1">
        <v>19</v>
      </c>
      <c r="G12454" s="1">
        <v>9</v>
      </c>
      <c r="H12454" s="1">
        <v>0</v>
      </c>
      <c r="I12454" s="1" t="s">
        <v>25519</v>
      </c>
      <c r="K12454" s="1" t="str">
        <f t="shared" si="787"/>
        <v>ㄧ</v>
      </c>
      <c r="L12454" s="1" t="str">
        <f t="shared" si="788"/>
        <v>ㄠ</v>
      </c>
      <c r="N12454" s="3" t="s">
        <v>30576</v>
      </c>
      <c r="O12454" s="3"/>
      <c r="P12454" s="1" t="s">
        <v>20</v>
      </c>
      <c r="R12454" s="1" t="s">
        <v>25520</v>
      </c>
      <c r="V12454" s="1" t="s">
        <v>25544</v>
      </c>
      <c r="AR12454" s="1" t="str">
        <f t="shared" si="789"/>
        <v>| [ㄧㄠˇ](ㄧㄠˇ.md) | [騕](騕.md) |  | yǎo | 參見「騕褭」條。 |</v>
      </c>
    </row>
    <row r="12455" spans="1:44" hidden="1">
      <c r="A12455" s="1" t="s">
        <v>25545</v>
      </c>
      <c r="C12455" s="1">
        <v>1</v>
      </c>
      <c r="D12455" s="1" t="str">
        <f>"10847"</f>
        <v>10847</v>
      </c>
      <c r="E12455" s="1" t="s">
        <v>129</v>
      </c>
      <c r="F12455" s="1">
        <v>13</v>
      </c>
      <c r="G12455" s="1">
        <v>10</v>
      </c>
      <c r="H12455" s="1">
        <v>0</v>
      </c>
      <c r="I12455" s="1" t="s">
        <v>25519</v>
      </c>
      <c r="K12455" s="1" t="str">
        <f t="shared" si="787"/>
        <v>ㄧ</v>
      </c>
      <c r="L12455" s="1" t="str">
        <f t="shared" si="788"/>
        <v>ㄠ</v>
      </c>
      <c r="N12455" s="3" t="s">
        <v>30576</v>
      </c>
      <c r="O12455" s="3"/>
      <c r="P12455" s="1" t="s">
        <v>20</v>
      </c>
      <c r="R12455" s="1" t="s">
        <v>25520</v>
      </c>
      <c r="V12455" s="1" t="s">
        <v>25546</v>
      </c>
      <c r="AR12455" s="1" t="str">
        <f t="shared" si="789"/>
        <v>| [ㄧㄠˇ](ㄧㄠˇ.md) | [溔](溔.md) |  | yǎo | [形]_x000D_
水流廣大無邊的樣子。漢．司馬相如〈上林賦〉：「然後灝溔潢漾，安翔徐回。」唐．柳宗元《柳宗元集．卷一五．晉問》：「皦乎溔乎，狂山太白之淋漓。」宋．孫汝聽．注：「溔，大水貌。」_x000D_
[名]_x000D_
姓。明．凌廸知《萬姓統譜．卷八三．上聲．篠韻．溔姓》：「溔，見《姓苑》。」 |</v>
      </c>
    </row>
    <row r="12456" spans="1:44" hidden="1">
      <c r="A12456" s="1" t="s">
        <v>21684</v>
      </c>
      <c r="C12456" s="1">
        <v>1</v>
      </c>
      <c r="D12456" s="1" t="str">
        <f>"10848"</f>
        <v>10848</v>
      </c>
      <c r="E12456" s="1" t="s">
        <v>534</v>
      </c>
      <c r="F12456" s="1">
        <v>15</v>
      </c>
      <c r="G12456" s="1">
        <v>12</v>
      </c>
      <c r="H12456" s="1">
        <v>3</v>
      </c>
      <c r="I12456" s="1" t="s">
        <v>25519</v>
      </c>
      <c r="K12456" s="1" t="str">
        <f t="shared" si="787"/>
        <v>ㄧ</v>
      </c>
      <c r="L12456" s="1" t="str">
        <f t="shared" si="788"/>
        <v>ㄠ</v>
      </c>
      <c r="N12456" s="3" t="s">
        <v>30576</v>
      </c>
      <c r="O12456" s="3"/>
      <c r="P12456" s="1" t="s">
        <v>20</v>
      </c>
      <c r="R12456" s="1" t="s">
        <v>25520</v>
      </c>
      <c r="V12456" s="1" t="s">
        <v>25547</v>
      </c>
      <c r="W12456" s="1" t="s">
        <v>25548</v>
      </c>
      <c r="AR12456" s="1" t="str">
        <f t="shared" si="789"/>
        <v>| [ㄧㄠˇ](ㄧㄠˇ.md) | [嬈](嬈.md) |  | yǎo | 參見「嬈嬈」條。 |</v>
      </c>
    </row>
    <row r="12457" spans="1:44" hidden="1">
      <c r="A12457" s="1" t="s">
        <v>25549</v>
      </c>
      <c r="C12457" s="1">
        <v>1</v>
      </c>
      <c r="D12457" s="1" t="str">
        <f>"10849"</f>
        <v>10849</v>
      </c>
      <c r="E12457" s="1" t="s">
        <v>272</v>
      </c>
      <c r="F12457" s="1">
        <v>22</v>
      </c>
      <c r="G12457" s="1">
        <v>11</v>
      </c>
      <c r="H12457" s="1">
        <v>0</v>
      </c>
      <c r="I12457" s="1" t="s">
        <v>25519</v>
      </c>
      <c r="K12457" s="1" t="str">
        <f t="shared" si="787"/>
        <v>ㄧ</v>
      </c>
      <c r="L12457" s="1" t="str">
        <f t="shared" si="788"/>
        <v>ㄠ</v>
      </c>
      <c r="N12457" s="3" t="s">
        <v>30576</v>
      </c>
      <c r="O12457" s="3"/>
      <c r="P12457" s="1" t="s">
        <v>20</v>
      </c>
      <c r="R12457" s="1" t="s">
        <v>25520</v>
      </c>
      <c r="V12457" s="1" t="s">
        <v>25550</v>
      </c>
      <c r="AR12457" s="1" t="str">
        <f t="shared" si="789"/>
        <v>| [ㄧㄠˇ](ㄧㄠˇ.md) | [鷕](鷕.md) |  | yǎo | [擬]
形容雉鳥的叫聲。《文選．潘岳．射雉賦》：「麥漸漸以擢芒，雉鷕鷕而朝鴝。」宋．徐爰．注：「鷕鷕，雉聲也。」 |</v>
      </c>
    </row>
    <row r="12458" spans="1:44" hidden="1">
      <c r="A12458" s="1" t="s">
        <v>25697</v>
      </c>
      <c r="C12458" s="1">
        <v>1</v>
      </c>
      <c r="D12458" s="1" t="str">
        <f>"10917"</f>
        <v>10917</v>
      </c>
      <c r="E12458" s="1" t="s">
        <v>1880</v>
      </c>
      <c r="F12458" s="1">
        <v>2</v>
      </c>
      <c r="G12458" s="1">
        <v>0</v>
      </c>
      <c r="H12458" s="1">
        <v>0</v>
      </c>
      <c r="I12458" s="1" t="s">
        <v>25698</v>
      </c>
      <c r="K12458" s="1" t="str">
        <f t="shared" ref="K12458:K12521" si="790">LEFT(I12458, 1)</f>
        <v>ㄧ</v>
      </c>
      <c r="L12458" s="1" t="str">
        <f t="shared" ref="L12458:L12521" si="791">MID(I12458, 2, 1)</f>
        <v>ㄡ</v>
      </c>
      <c r="N12458" s="3" t="s">
        <v>30574</v>
      </c>
      <c r="O12458" s="3"/>
      <c r="P12458" s="1" t="s">
        <v>20</v>
      </c>
      <c r="R12458" s="1" t="s">
        <v>25699</v>
      </c>
      <c r="V12458" s="1" t="s">
        <v>25700</v>
      </c>
      <c r="AR12458" s="1" t="str">
        <f t="shared" si="789"/>
        <v>| [ㄧㄡˋ](ㄧㄡˋ.md) | [又](又.md) |  | yòu | [副]
1.表示重複或反覆。如：「一天又一天」、「看了又看」。唐．白居易〈賦得古原草送別〉詩：「野火燒不盡，春風吹又生。」
2.表示加強、加重的語氣。有「並」的意思。如：「你又不是三歲小孩子，怎麼不懂這個？」《史記．卷一二四．游俠傳．序》：「要以功見言信，俠客之義又曷可少哉？」
3.表示意思更進一層。如：「他的病又加重了。」
4.表示轉折。相當於「卻」。《墨子．節葬下》：「欲以干上帝鬼神之福，又得禍焉。」
[連]
1.用來連結平列的詞意，表示同時存在。如：「做得又快又好。」、「他又唱又跳。」《詩經．豳風．破斧》：「既破我斧，又缺我斨。」南朝齊．陸厥〈與沈約書〉：「辭既美矣，理又善焉。」
2.表示先後連接的情況或動作。如：「剛吃完飯又看起書來。」
3.表示數目的附加。如：「一又二分之一。」
[名]
二一四部首之一。 |</v>
      </c>
    </row>
    <row r="12459" spans="1:44" hidden="1">
      <c r="A12459" s="1" t="s">
        <v>25701</v>
      </c>
      <c r="C12459" s="1">
        <v>1</v>
      </c>
      <c r="D12459" s="1" t="str">
        <f>"10918"</f>
        <v>10918</v>
      </c>
      <c r="E12459" s="1" t="s">
        <v>28</v>
      </c>
      <c r="F12459" s="1">
        <v>5</v>
      </c>
      <c r="G12459" s="1">
        <v>2</v>
      </c>
      <c r="H12459" s="1">
        <v>0</v>
      </c>
      <c r="I12459" s="1" t="s">
        <v>25698</v>
      </c>
      <c r="K12459" s="1" t="str">
        <f t="shared" si="790"/>
        <v>ㄧ</v>
      </c>
      <c r="L12459" s="1" t="str">
        <f t="shared" si="791"/>
        <v>ㄡ</v>
      </c>
      <c r="N12459" s="3" t="s">
        <v>30574</v>
      </c>
      <c r="O12459" s="3"/>
      <c r="P12459" s="1" t="s">
        <v>20</v>
      </c>
      <c r="R12459" s="1" t="s">
        <v>25699</v>
      </c>
      <c r="V12459" s="1" t="s">
        <v>25702</v>
      </c>
      <c r="AR12459" s="1" t="str">
        <f t="shared" si="789"/>
        <v>| [ㄧㄡˋ](ㄧㄡˋ.md) | [右](右.md) |  | yòu | [名]
1.表示方向、位置。相對於「左」。如：「向右轉」、「前後左右」。
2.地理位置上，方向面向南時，指西邊。如：「江右」、「隴右」。《儀禮．士虞禮》：「陳三鼎于門外之右。」唐．溫庭筠〈過五丈原〉詩：「天晴殺氣屯關右，夜半妖星照渭濱。」
3.上位。《管子．七法》：「故聚天下之精財，論百工之銳器，春秋角試，以練精銳為右。」《史記．卷八一．廉頗藺相如傳》：「既罷歸國，以相如功大，拜為上卿，位在廉頗之右。」
4.豪強。《後漢書．卷四六．陳寵傳》：「西州豪右并兼，吏多姦貪，訴訟日百數。」
5.姓。如漢代有右公弼。
[動]
1.佐助。通「佑」。《左傳．襄公十年》：「天子所右，寡君亦右之。」宋．陳亮〈甲辰秋答朱元晦祕書〉：「只如太宗亦只是發他英雄之心，豈右其為霸哉！」
2.親近、袒護。《戰國策．魏策二》：「衍將右韓而左魏，文將右齊而左魏。」《新唐書．卷九七．魏徵傳》：「議者頗言司馬品高，郎官、刺史迭處，不可以授賤工，帝意右之。」
3.崇尚。《淮南子．氾論》：「兼愛尚賢，右鬼非命，墨子之所立也。」唐．劉禹錫〈天論上〉：「右賢尚功，建極閑邪，人之能也。」 |</v>
      </c>
    </row>
    <row r="12460" spans="1:44" hidden="1">
      <c r="A12460" s="1" t="s">
        <v>25703</v>
      </c>
      <c r="C12460" s="1">
        <v>1</v>
      </c>
      <c r="D12460" s="1" t="str">
        <f>"10919"</f>
        <v>10919</v>
      </c>
      <c r="E12460" s="1" t="s">
        <v>114</v>
      </c>
      <c r="F12460" s="1">
        <v>7</v>
      </c>
      <c r="G12460" s="1">
        <v>5</v>
      </c>
      <c r="H12460" s="1">
        <v>0</v>
      </c>
      <c r="I12460" s="1" t="s">
        <v>25698</v>
      </c>
      <c r="K12460" s="1" t="str">
        <f t="shared" si="790"/>
        <v>ㄧ</v>
      </c>
      <c r="L12460" s="1" t="str">
        <f t="shared" si="791"/>
        <v>ㄡ</v>
      </c>
      <c r="N12460" s="3" t="s">
        <v>30574</v>
      </c>
      <c r="O12460" s="3"/>
      <c r="P12460" s="1" t="s">
        <v>20</v>
      </c>
      <c r="R12460" s="1" t="s">
        <v>25699</v>
      </c>
      <c r="V12460" s="1" t="s">
        <v>25704</v>
      </c>
      <c r="AR12460" s="1" t="str">
        <f t="shared" si="789"/>
        <v>| [ㄧㄡˋ](ㄧㄡˋ.md) | [佑](佑.md) |  | yòu | [動]
扶助、保護。如：「保佑」、「神佑」。《漢書．卷三九．蕭何傳》：「高祖為亭長，常佑之。」唐．白居易〈除裴垍中書侍郎同平章事制〉：「咸克佑我烈祖，格于皇天。」 |</v>
      </c>
    </row>
    <row r="12461" spans="1:44" hidden="1">
      <c r="A12461" s="1" t="s">
        <v>25705</v>
      </c>
      <c r="C12461" s="1">
        <v>1</v>
      </c>
      <c r="D12461" s="1" t="str">
        <f>"10920"</f>
        <v>10920</v>
      </c>
      <c r="E12461" s="1" t="s">
        <v>825</v>
      </c>
      <c r="F12461" s="1">
        <v>10</v>
      </c>
      <c r="G12461" s="1">
        <v>5</v>
      </c>
      <c r="H12461" s="1">
        <v>0</v>
      </c>
      <c r="I12461" s="1" t="s">
        <v>25698</v>
      </c>
      <c r="K12461" s="1" t="str">
        <f t="shared" si="790"/>
        <v>ㄧ</v>
      </c>
      <c r="L12461" s="1" t="str">
        <f t="shared" si="791"/>
        <v>ㄡ</v>
      </c>
      <c r="N12461" s="3" t="s">
        <v>30574</v>
      </c>
      <c r="O12461" s="3"/>
      <c r="P12461" s="1" t="s">
        <v>20</v>
      </c>
      <c r="R12461" s="1" t="s">
        <v>25699</v>
      </c>
      <c r="V12461" s="1" t="s">
        <v>25706</v>
      </c>
      <c r="AR12461" s="1" t="str">
        <f t="shared" si="789"/>
        <v>| [ㄧㄡˋ](ㄧㄡˋ.md) | [祐](祐.md) |  | yòu | [動]
神明護助。如：「保祐」、「庇祐」。《晉書．卷六二．祖逖傳》：「方平河北，而天欲殺我，此乃不祐國也。」唐．白行簡《李娃傳》：「欺天負人，鬼神不祐。」
[名]
福祉。漢．王充《論衡．福虛》：「埋一蛇獲二福，如埋十蛇得幾祐乎？」 |</v>
      </c>
    </row>
    <row r="12462" spans="1:44" hidden="1">
      <c r="A12462" s="1" t="s">
        <v>25707</v>
      </c>
      <c r="C12462" s="1">
        <v>1</v>
      </c>
      <c r="D12462" s="1" t="str">
        <f>"10921"</f>
        <v>10921</v>
      </c>
      <c r="E12462" s="1" t="s">
        <v>12565</v>
      </c>
      <c r="F12462" s="1">
        <v>5</v>
      </c>
      <c r="G12462" s="1">
        <v>2</v>
      </c>
      <c r="H12462" s="1">
        <v>0</v>
      </c>
      <c r="I12462" s="1" t="s">
        <v>25698</v>
      </c>
      <c r="K12462" s="1" t="str">
        <f t="shared" si="790"/>
        <v>ㄧ</v>
      </c>
      <c r="L12462" s="1" t="str">
        <f t="shared" si="791"/>
        <v>ㄡ</v>
      </c>
      <c r="N12462" s="3" t="s">
        <v>30574</v>
      </c>
      <c r="O12462" s="3"/>
      <c r="P12462" s="1" t="s">
        <v>20</v>
      </c>
      <c r="R12462" s="1" t="s">
        <v>25699</v>
      </c>
      <c r="V12462" s="1" t="s">
        <v>25708</v>
      </c>
      <c r="AR12462" s="1" t="str">
        <f t="shared" si="789"/>
        <v>| [ㄧㄡˋ](ㄧㄡˋ.md) | [幼](幼.md) |  | yòu | [名]
小孩子。如：「男女老幼」、「扶老攜幼」。唐．韋應物〈送楊氏女〉詩：「幼為長所育，兩別泣不休。」
[動]
愛護。《孟子．梁惠王上》：「幼吾幼以及人之幼。」漢．趙岐．注：「幼，猶愛也。」
[形]
1.年紀小的。如：「幼年」、「幼小」、「幼童」。
2.初生的。如：「幼蟲」、「幼苗」、「幼娥」。
3.知識淺薄、不成熟。如：「他的思想行為太過幼稚，不足以擔當大任。」 |</v>
      </c>
    </row>
    <row r="12463" spans="1:44" hidden="1">
      <c r="A12463" s="1" t="s">
        <v>25672</v>
      </c>
      <c r="C12463" s="1">
        <v>1</v>
      </c>
      <c r="D12463" s="1" t="str">
        <f>"10922"</f>
        <v>10922</v>
      </c>
      <c r="E12463" s="1" t="s">
        <v>2014</v>
      </c>
      <c r="F12463" s="1">
        <v>6</v>
      </c>
      <c r="G12463" s="1">
        <v>2</v>
      </c>
      <c r="H12463" s="1">
        <v>2</v>
      </c>
      <c r="I12463" s="1" t="s">
        <v>25698</v>
      </c>
      <c r="K12463" s="1" t="str">
        <f t="shared" si="790"/>
        <v>ㄧ</v>
      </c>
      <c r="L12463" s="1" t="str">
        <f t="shared" si="791"/>
        <v>ㄡ</v>
      </c>
      <c r="N12463" s="3" t="s">
        <v>30574</v>
      </c>
      <c r="O12463" s="3"/>
      <c r="P12463" s="1" t="s">
        <v>20</v>
      </c>
      <c r="R12463" s="1" t="s">
        <v>25699</v>
      </c>
      <c r="V12463" s="1" t="s">
        <v>25709</v>
      </c>
      <c r="W12463" s="1" t="s">
        <v>25710</v>
      </c>
      <c r="AR12463" s="1" t="str">
        <f t="shared" si="789"/>
        <v>| [ㄧㄡˋ](ㄧㄡˋ.md) | [有](有.md) |  | yòu | [副]
表示重複、反覆、連續。通「又」。唐．裴守真〈請重耕織表〉：「奸偽由此而生，黎庶緣斯而苦，此有國之大患也。」
[連]
用於整數與餘數之間，表示數目的附加。如：「七十有七人」。《論語．為政》：「吾十有五而志於學，三十而立。」 |</v>
      </c>
    </row>
    <row r="12464" spans="1:44" hidden="1">
      <c r="A12464" s="1" t="s">
        <v>25711</v>
      </c>
      <c r="C12464" s="1">
        <v>1</v>
      </c>
      <c r="D12464" s="1" t="str">
        <f>"10923"</f>
        <v>10923</v>
      </c>
      <c r="E12464" s="1" t="s">
        <v>114</v>
      </c>
      <c r="F12464" s="1">
        <v>8</v>
      </c>
      <c r="G12464" s="1">
        <v>6</v>
      </c>
      <c r="H12464" s="1">
        <v>0</v>
      </c>
      <c r="I12464" s="1" t="s">
        <v>25698</v>
      </c>
      <c r="K12464" s="1" t="str">
        <f t="shared" si="790"/>
        <v>ㄧ</v>
      </c>
      <c r="L12464" s="1" t="str">
        <f t="shared" si="791"/>
        <v>ㄡ</v>
      </c>
      <c r="N12464" s="3" t="s">
        <v>30574</v>
      </c>
      <c r="O12464" s="3"/>
      <c r="P12464" s="1" t="s">
        <v>20</v>
      </c>
      <c r="R12464" s="1" t="s">
        <v>25699</v>
      </c>
      <c r="V12464" s="1" t="s">
        <v>25712</v>
      </c>
      <c r="AR12464" s="1" t="str">
        <f t="shared" si="789"/>
        <v>| [ㄧㄡˋ](ㄧㄡˋ.md) | [侑](侑.md) |  | yòu | [動]
1.勸人飲食。如：「侑酒」、「侑宴」。《詩經．小雅．楚茨》：「以為酒食，以享以祀，以妥以侑，以介景福。」《周禮．天官．膳夫》：「以樂侑食，膳夫授祭品嘗食，王乃食。」
2.報答。宋．歐陽修〈祭尹師魯文〉：「子於眾人，最愛予文，寓辭千里，侑此一樽。」
3.饒恕、寬恕。通「宥」。《管子．法法》：「文有三侑，武毋一赦。」《禮記．禮器》：「周坐尸詔侑武方，其禮亦然，其道一也。」 |</v>
      </c>
    </row>
    <row r="12465" spans="1:44" hidden="1">
      <c r="A12465" s="1" t="s">
        <v>25713</v>
      </c>
      <c r="C12465" s="1">
        <v>1</v>
      </c>
      <c r="D12465" s="1" t="str">
        <f>"10924"</f>
        <v>10924</v>
      </c>
      <c r="E12465" s="1" t="s">
        <v>624</v>
      </c>
      <c r="F12465" s="1">
        <v>9</v>
      </c>
      <c r="G12465" s="1">
        <v>6</v>
      </c>
      <c r="H12465" s="1">
        <v>0</v>
      </c>
      <c r="I12465" s="1" t="s">
        <v>25698</v>
      </c>
      <c r="K12465" s="1" t="str">
        <f t="shared" si="790"/>
        <v>ㄧ</v>
      </c>
      <c r="L12465" s="1" t="str">
        <f t="shared" si="791"/>
        <v>ㄡ</v>
      </c>
      <c r="N12465" s="3" t="s">
        <v>30574</v>
      </c>
      <c r="O12465" s="3"/>
      <c r="P12465" s="1" t="s">
        <v>20</v>
      </c>
      <c r="R12465" s="1" t="s">
        <v>25699</v>
      </c>
      <c r="V12465" s="1" t="s">
        <v>25714</v>
      </c>
      <c r="AR12465" s="1" t="str">
        <f t="shared" si="789"/>
        <v>| [ㄧㄡˋ](ㄧㄡˋ.md) | [宥](宥.md) |  | yòu | [動]
1.寬厚仁慈的對待。《說文解字．宀部》：「宥，寬也。」三國魏．嵇康〈答向子期難養生論〉：「聖人不得已而臨天下，以萬物為心，在宥群生。」
2.寬恕、赦免。如：「寬宥」、「宥過」。《左傳．莊公二十二年》：「幸若獲宥，及其寬政。」晉．杜預．注：「宥，赦也。」
[形]
參見「宥密」條。 |</v>
      </c>
    </row>
    <row r="12466" spans="1:44" hidden="1">
      <c r="A12466" s="1" t="s">
        <v>25715</v>
      </c>
      <c r="C12466" s="1">
        <v>1</v>
      </c>
      <c r="D12466" s="1" t="str">
        <f>"10925"</f>
        <v>10925</v>
      </c>
      <c r="E12466" s="1" t="s">
        <v>2557</v>
      </c>
      <c r="F12466" s="1">
        <v>9</v>
      </c>
      <c r="G12466" s="1">
        <v>6</v>
      </c>
      <c r="H12466" s="1">
        <v>0</v>
      </c>
      <c r="I12466" s="1" t="s">
        <v>25698</v>
      </c>
      <c r="K12466" s="1" t="str">
        <f t="shared" si="790"/>
        <v>ㄧ</v>
      </c>
      <c r="L12466" s="1" t="str">
        <f t="shared" si="791"/>
        <v>ㄡ</v>
      </c>
      <c r="N12466" s="3" t="s">
        <v>30574</v>
      </c>
      <c r="O12466" s="3"/>
      <c r="P12466" s="1" t="s">
        <v>20</v>
      </c>
      <c r="R12466" s="1" t="s">
        <v>25699</v>
      </c>
      <c r="V12466" s="1" t="s">
        <v>25716</v>
      </c>
      <c r="AR12466" s="1" t="str">
        <f t="shared" si="789"/>
        <v>| [ㄧㄡˋ](ㄧㄡˋ.md) | [囿](囿.md) |  | yòu | [名]
1.有圍牆的園林，通常用作畜養禽獸的場所。如：「園囿」、「鹿囿」。《詩經．大雅．靈臺》：「王在靈囿，麀鹿攸伏。」漢．毛亨．傳：「囿，所以域養禽獸也。」
2.事物聚集的地方。《文選．司馬相如．上林賦》：「游于六藝之囿，馳騭乎仁義之塗。」《鏡花緣》第二三回：「門上有副對聯，寫的是：優游道德之場，休息篇章之囿。」
[動]
1.拘束、局限。如：「囿於成見」、「囿於一隅」。《莊子．徐无鬼》：「辯士无談說之序，則不樂，察士无凌誶之事，則不樂，皆囿於物者也。」宋．蘇軾〈宸奎閣碑〉：「是時，北方之為佛者，皆留于名相，囿于因果。」
2.聚集。《莊子．則陽》：「湯得其司御門尹登恆為之傅之，從師而不囿。」《史記．卷一一七．司馬相如傳》：「然後囿騶虞之珍群，徼麋鹿之怪獸。」 |</v>
      </c>
    </row>
    <row r="12467" spans="1:44" hidden="1">
      <c r="A12467" s="1" t="s">
        <v>25717</v>
      </c>
      <c r="C12467" s="1">
        <v>1</v>
      </c>
      <c r="D12467" s="1" t="str">
        <f>"10926"</f>
        <v>10926</v>
      </c>
      <c r="E12467" s="1" t="s">
        <v>198</v>
      </c>
      <c r="F12467" s="1">
        <v>8</v>
      </c>
      <c r="G12467" s="1">
        <v>5</v>
      </c>
      <c r="H12467" s="1">
        <v>0</v>
      </c>
      <c r="I12467" s="1" t="s">
        <v>25698</v>
      </c>
      <c r="K12467" s="1" t="str">
        <f t="shared" si="790"/>
        <v>ㄧ</v>
      </c>
      <c r="L12467" s="1" t="str">
        <f t="shared" si="791"/>
        <v>ㄡ</v>
      </c>
      <c r="N12467" s="3" t="s">
        <v>30574</v>
      </c>
      <c r="O12467" s="3"/>
      <c r="P12467" s="1" t="s">
        <v>20</v>
      </c>
      <c r="R12467" s="1" t="s">
        <v>25699</v>
      </c>
      <c r="V12467" s="1" t="s">
        <v>25718</v>
      </c>
      <c r="AR12467" s="1" t="str">
        <f t="shared" si="789"/>
        <v>| [ㄧㄡˋ](ㄧㄡˋ.md) | [狖](狖.md) |  | yòu | [名]
黑色的長尾猴。《淮南子．覽冥》：「猿狖顛蹶而失木枝。」漢．高誘．注：「狖，猿屬，長尾而卬鼻。」唐．李白〈擬恨賦〉：「聽江風之嫋嫋，聞嶺狖之啾啾。」 |</v>
      </c>
    </row>
    <row r="12468" spans="1:44" hidden="1">
      <c r="A12468" s="1" t="s">
        <v>25719</v>
      </c>
      <c r="C12468" s="1">
        <v>1</v>
      </c>
      <c r="D12468" s="1" t="str">
        <f>"10927"</f>
        <v>10927</v>
      </c>
      <c r="E12468" s="1" t="s">
        <v>139</v>
      </c>
      <c r="F12468" s="1">
        <v>9</v>
      </c>
      <c r="G12468" s="1">
        <v>5</v>
      </c>
      <c r="H12468" s="1">
        <v>0</v>
      </c>
      <c r="I12468" s="1" t="s">
        <v>25698</v>
      </c>
      <c r="K12468" s="1" t="str">
        <f t="shared" si="790"/>
        <v>ㄧ</v>
      </c>
      <c r="L12468" s="1" t="str">
        <f t="shared" si="791"/>
        <v>ㄡ</v>
      </c>
      <c r="N12468" s="3" t="s">
        <v>30574</v>
      </c>
      <c r="O12468" s="3"/>
      <c r="P12468" s="1" t="s">
        <v>20</v>
      </c>
      <c r="R12468" s="1" t="s">
        <v>25699</v>
      </c>
      <c r="V12468" s="1" t="s">
        <v>25720</v>
      </c>
      <c r="AR12468" s="1" t="str">
        <f t="shared" si="789"/>
        <v>| [ㄧㄡˋ](ㄧㄡˋ.md) | [柚](柚.md) |  | yòu | [名]
植物名。芸香科柑桔屬，常綠喬木。枝條粗大，帶刺。葉大而厚，長卵形，葉柄有倒心形寬翼。初夏開白花，花四至八枚簇生於枝端葉腋，成聚繖花序，花瓣長十五至二十公厘；雄蕊二十至二十五枚。果實即柚子，球形或梨形，皮淡黃或黃綠色，質厚而粗，果肉白色、淡紅色或紫紅色，可食用。 |</v>
      </c>
    </row>
    <row r="12469" spans="1:44" hidden="1">
      <c r="A12469" s="1" t="s">
        <v>25721</v>
      </c>
      <c r="C12469" s="1">
        <v>1</v>
      </c>
      <c r="D12469" s="1" t="str">
        <f>"10928"</f>
        <v>10928</v>
      </c>
      <c r="E12469" s="1" t="s">
        <v>1299</v>
      </c>
      <c r="F12469" s="1">
        <v>13</v>
      </c>
      <c r="G12469" s="1">
        <v>6</v>
      </c>
      <c r="H12469" s="1">
        <v>0</v>
      </c>
      <c r="I12469" s="1" t="s">
        <v>25698</v>
      </c>
      <c r="K12469" s="1" t="str">
        <f t="shared" si="790"/>
        <v>ㄧ</v>
      </c>
      <c r="L12469" s="1" t="str">
        <f t="shared" si="791"/>
        <v>ㄡ</v>
      </c>
      <c r="N12469" s="3" t="s">
        <v>30574</v>
      </c>
      <c r="O12469" s="3"/>
      <c r="P12469" s="1" t="s">
        <v>20</v>
      </c>
      <c r="R12469" s="1" t="s">
        <v>25699</v>
      </c>
      <c r="V12469" s="1" t="s">
        <v>25722</v>
      </c>
      <c r="AR12469" s="1" t="str">
        <f t="shared" si="789"/>
        <v>| [ㄧㄡˋ](ㄧㄡˋ.md) | [釉](釉.md) |  | yòu | [名]
塗覆在陶瓷表面，使之有光澤的顏料。參見「釉藥」條。 |</v>
      </c>
    </row>
    <row r="12470" spans="1:44" hidden="1">
      <c r="A12470" s="1" t="s">
        <v>25636</v>
      </c>
      <c r="C12470" s="1">
        <v>1</v>
      </c>
      <c r="D12470" s="1" t="str">
        <f>"10929"</f>
        <v>10929</v>
      </c>
      <c r="E12470" s="1" t="s">
        <v>55</v>
      </c>
      <c r="F12470" s="1">
        <v>13</v>
      </c>
      <c r="G12470" s="1">
        <v>5</v>
      </c>
      <c r="H12470" s="1">
        <v>1</v>
      </c>
      <c r="I12470" s="1" t="s">
        <v>25698</v>
      </c>
      <c r="K12470" s="1" t="str">
        <f t="shared" si="790"/>
        <v>ㄧ</v>
      </c>
      <c r="L12470" s="1" t="str">
        <f t="shared" si="791"/>
        <v>ㄡ</v>
      </c>
      <c r="N12470" s="3" t="s">
        <v>30574</v>
      </c>
      <c r="O12470" s="3"/>
      <c r="P12470" s="1" t="s">
        <v>20</v>
      </c>
      <c r="R12470" s="1" t="s">
        <v>25699</v>
      </c>
      <c r="V12470" s="1" t="s">
        <v>25723</v>
      </c>
      <c r="W12470" s="1" t="s">
        <v>25724</v>
      </c>
      <c r="AR12470" s="1" t="str">
        <f t="shared" si="789"/>
        <v>| [ㄧㄡˋ](ㄧㄡˋ.md) | [鈾](鈾.md) |  | yòu | [名]
（uranium，U）化學元素。原子序92。金屬元素之一。呈銀白色，質硬，易溶於酸，具放射性，其化合物有毒。可作為核能、催化劑、釉藥等原料。 |</v>
      </c>
    </row>
    <row r="12471" spans="1:44" hidden="1">
      <c r="A12471" s="1" t="s">
        <v>25725</v>
      </c>
      <c r="C12471" s="1">
        <v>1</v>
      </c>
      <c r="D12471" s="1" t="str">
        <f>"10930"</f>
        <v>10930</v>
      </c>
      <c r="E12471" s="1" t="s">
        <v>86</v>
      </c>
      <c r="F12471" s="1">
        <v>18</v>
      </c>
      <c r="G12471" s="1">
        <v>5</v>
      </c>
      <c r="H12471" s="1">
        <v>0</v>
      </c>
      <c r="I12471" s="1" t="s">
        <v>25698</v>
      </c>
      <c r="K12471" s="1" t="str">
        <f t="shared" si="790"/>
        <v>ㄧ</v>
      </c>
      <c r="L12471" s="1" t="str">
        <f t="shared" si="791"/>
        <v>ㄡ</v>
      </c>
      <c r="N12471" s="3" t="s">
        <v>30574</v>
      </c>
      <c r="O12471" s="3"/>
      <c r="P12471" s="1" t="s">
        <v>20</v>
      </c>
      <c r="R12471" s="1" t="s">
        <v>25699</v>
      </c>
      <c r="V12471" s="1" t="s">
        <v>25726</v>
      </c>
      <c r="AR12471" s="1" t="str">
        <f t="shared" si="789"/>
        <v>| [ㄧㄡˋ](ㄧㄡˋ.md) | [鼬](鼬.md) |  | yòu | [名]
食肉目貂科鼬屬動物的總稱。體型大小不一，嗅覺、視覺靈敏，動作迅捷。身體細長、足短，適於在石隙、洞穴中捕食，以鼠類、松鼠為食。穴居，晝伏夜出，梟類為其主要天敵。 |</v>
      </c>
    </row>
    <row r="12472" spans="1:44" hidden="1">
      <c r="A12472" s="1" t="s">
        <v>25687</v>
      </c>
      <c r="C12472" s="1">
        <v>1</v>
      </c>
      <c r="D12472" s="1" t="str">
        <f>"10931"</f>
        <v>10931</v>
      </c>
      <c r="E12472" s="1" t="s">
        <v>37</v>
      </c>
      <c r="F12472" s="1">
        <v>11</v>
      </c>
      <c r="G12472" s="1">
        <v>7</v>
      </c>
      <c r="H12472" s="1">
        <v>1</v>
      </c>
      <c r="I12472" s="1" t="s">
        <v>25698</v>
      </c>
      <c r="K12472" s="1" t="str">
        <f t="shared" si="790"/>
        <v>ㄧ</v>
      </c>
      <c r="L12472" s="1" t="str">
        <f t="shared" si="791"/>
        <v>ㄡ</v>
      </c>
      <c r="N12472" s="3" t="s">
        <v>30574</v>
      </c>
      <c r="O12472" s="3"/>
      <c r="P12472" s="1" t="s">
        <v>20</v>
      </c>
      <c r="R12472" s="1" t="s">
        <v>25699</v>
      </c>
      <c r="V12472" s="1" t="s">
        <v>25727</v>
      </c>
      <c r="W12472" s="1" t="s">
        <v>25728</v>
      </c>
      <c r="AR12472" s="1" t="str">
        <f t="shared" si="789"/>
        <v>| [ㄧㄡˋ](ㄧㄡˋ.md) | [莠](莠.md) |  | yòu | [名]
1.禾本科「狗尾草」的別名。參見「狗尾草」條。
2.不好的人或事物。如：「良莠不齊」。
[形]
壞的、惡的。參見「莠言」、「莠民」等條。 |</v>
      </c>
    </row>
    <row r="12473" spans="1:44" hidden="1">
      <c r="A12473" s="1" t="s">
        <v>25729</v>
      </c>
      <c r="C12473" s="1">
        <v>1</v>
      </c>
      <c r="D12473" s="1" t="str">
        <f>"10932"</f>
        <v>10932</v>
      </c>
      <c r="E12473" s="1" t="s">
        <v>331</v>
      </c>
      <c r="F12473" s="1">
        <v>14</v>
      </c>
      <c r="G12473" s="1">
        <v>7</v>
      </c>
      <c r="H12473" s="1">
        <v>0</v>
      </c>
      <c r="I12473" s="1" t="s">
        <v>25698</v>
      </c>
      <c r="K12473" s="1" t="str">
        <f t="shared" si="790"/>
        <v>ㄧ</v>
      </c>
      <c r="L12473" s="1" t="str">
        <f t="shared" si="791"/>
        <v>ㄡ</v>
      </c>
      <c r="N12473" s="3" t="s">
        <v>30574</v>
      </c>
      <c r="O12473" s="3"/>
      <c r="P12473" s="1" t="s">
        <v>20</v>
      </c>
      <c r="R12473" s="1" t="s">
        <v>25699</v>
      </c>
      <c r="V12473" s="1" t="s">
        <v>25730</v>
      </c>
      <c r="AR12473" s="1" t="str">
        <f t="shared" si="789"/>
        <v>| [ㄧㄡˋ](ㄧㄡˋ.md) | [誘](誘.md) |  | yòu | [動]
1.教導、勸導。如：「誘導」、「諄諄善誘」。《論語．子罕》：「夫子循循然善誘人。」
2.用言語、行動來打動別人，使人上當。如：「引誘」、「誘惑」、「誘騙」。《書經．費誓》：「竊馬牛，誘臣妾，汝則有常刑！」 |</v>
      </c>
    </row>
    <row r="12474" spans="1:44" hidden="1">
      <c r="A12474" s="1" t="s">
        <v>16776</v>
      </c>
      <c r="C12474" s="1">
        <v>1</v>
      </c>
      <c r="D12474" s="1" t="str">
        <f>"10933"</f>
        <v>10933</v>
      </c>
      <c r="E12474" s="1" t="s">
        <v>340</v>
      </c>
      <c r="F12474" s="1">
        <v>15</v>
      </c>
      <c r="G12474" s="1">
        <v>9</v>
      </c>
      <c r="H12474" s="1">
        <v>1</v>
      </c>
      <c r="I12474" s="1" t="s">
        <v>25698</v>
      </c>
      <c r="K12474" s="1" t="str">
        <f t="shared" si="790"/>
        <v>ㄧ</v>
      </c>
      <c r="L12474" s="1" t="str">
        <f t="shared" si="791"/>
        <v>ㄡ</v>
      </c>
      <c r="N12474" s="3" t="s">
        <v>30574</v>
      </c>
      <c r="O12474" s="3"/>
      <c r="P12474" s="1" t="s">
        <v>20</v>
      </c>
      <c r="R12474" s="1" t="s">
        <v>25699</v>
      </c>
      <c r="V12474" s="1" t="s">
        <v>25731</v>
      </c>
      <c r="W12474" s="1" t="s">
        <v>25732</v>
      </c>
      <c r="AR12474" s="1" t="str">
        <f t="shared" si="789"/>
        <v>| [ㄧㄡˋ](ㄧㄡˋ.md) | [褎](褎.md) |  | yòu | [形]
服飾華美的樣子。《集韻．去聲．宥韻》：「褎，盛飾貌。」《詩經．邶風．旄丘》：「叔兮伯兮，褎如充耳。」
[副]
秧苗漸長的樣子。唐．皮日休〈茶中雜詠〉一〇首之三：「褎然三五寸，生必依巖洞。」 |</v>
      </c>
    </row>
    <row r="12475" spans="1:44" hidden="1">
      <c r="A12475" s="1" t="s">
        <v>25615</v>
      </c>
      <c r="C12475" s="1">
        <v>1</v>
      </c>
      <c r="D12475" s="1" t="str">
        <f>"10878"</f>
        <v>10878</v>
      </c>
      <c r="E12475" s="1" t="s">
        <v>1935</v>
      </c>
      <c r="F12475" s="1">
        <v>4</v>
      </c>
      <c r="G12475" s="1">
        <v>1</v>
      </c>
      <c r="H12475" s="1">
        <v>0</v>
      </c>
      <c r="I12475" s="1" t="s">
        <v>25616</v>
      </c>
      <c r="K12475" s="1" t="str">
        <f t="shared" si="790"/>
        <v>ㄧ</v>
      </c>
      <c r="L12475" s="1" t="str">
        <f t="shared" si="791"/>
        <v>ㄡ</v>
      </c>
      <c r="N12475" s="3" t="s">
        <v>30575</v>
      </c>
      <c r="O12475" s="3"/>
      <c r="P12475" s="1" t="s">
        <v>20</v>
      </c>
      <c r="R12475" s="1" t="s">
        <v>25617</v>
      </c>
      <c r="V12475" s="1" t="s">
        <v>25618</v>
      </c>
      <c r="AR12475" s="1" t="str">
        <f t="shared" si="789"/>
        <v>| [ㄧㄡˊ](ㄧㄡˊ.md) | [尤](尤.md) |  | yóu | [動]
1.怨恨、責怪。《詩經．鄘風．載馳》：「許人尤之，眾穉且狂。」《論語．憲問》：「不怨天，不尤人。」
2.親近、喜愛。唐．羅隱〈春中湘中題岳麓寺僧舍〉詩：「欲共高僧話心跡，野花芳草奈相尤。」宋．柳永〈如魚水．帝里疏散〉詞：「共綠蟻，紅粉相尤。」
[副]
更加、格外。《史記．卷一．五帝本紀．太史公曰》：「余并論次，擇其言尤雅者，故著為本紀書首。」唐．柳宗元〈答韋中立論師道書〉：「抑又聞之，古者重冠禮，將以責成人之道，是聖人所尤用心者也。」
[名]
1.特異。唐．韓愈〈送溫處士赴河陽軍序〉：「朝取一人焉拔其尤；暮取一人焉拔其尤。」
2.過失。《詩經．小雅．四月》：「廢為殘賊，莫知其尤。」《論語．為政》：「言寡尤，行寡悔，祿在其中矣。」
3.姓。如宋代有尤鶴。 |</v>
      </c>
    </row>
    <row r="12476" spans="1:44" hidden="1">
      <c r="A12476" s="1" t="s">
        <v>25619</v>
      </c>
      <c r="C12476" s="1">
        <v>1</v>
      </c>
      <c r="D12476" s="1" t="str">
        <f>"10879"</f>
        <v>10879</v>
      </c>
      <c r="E12476" s="1" t="s">
        <v>129</v>
      </c>
      <c r="F12476" s="1">
        <v>7</v>
      </c>
      <c r="G12476" s="1">
        <v>4</v>
      </c>
      <c r="H12476" s="1">
        <v>0</v>
      </c>
      <c r="I12476" s="1" t="s">
        <v>25616</v>
      </c>
      <c r="K12476" s="1" t="str">
        <f t="shared" si="790"/>
        <v>ㄧ</v>
      </c>
      <c r="L12476" s="1" t="str">
        <f t="shared" si="791"/>
        <v>ㄡ</v>
      </c>
      <c r="N12476" s="3" t="s">
        <v>30575</v>
      </c>
      <c r="O12476" s="3"/>
      <c r="P12476" s="1" t="s">
        <v>20</v>
      </c>
      <c r="R12476" s="1" t="s">
        <v>25617</v>
      </c>
      <c r="V12476" s="1" t="s">
        <v>25620</v>
      </c>
      <c r="AR12476" s="1" t="str">
        <f t="shared" si="789"/>
        <v>| [ㄧㄡˊ](ㄧㄡˊ.md) | [沋](沋.md) |  | yóu | 河川名。今稱沋川河。在陝西省渭南市臨渭區注入渭河。 |</v>
      </c>
    </row>
    <row r="12477" spans="1:44" hidden="1">
      <c r="A12477" s="1" t="s">
        <v>25621</v>
      </c>
      <c r="C12477" s="1">
        <v>1</v>
      </c>
      <c r="D12477" s="1" t="str">
        <f>"10880"</f>
        <v>10880</v>
      </c>
      <c r="E12477" s="1" t="s">
        <v>40</v>
      </c>
      <c r="F12477" s="1">
        <v>9</v>
      </c>
      <c r="G12477" s="1">
        <v>4</v>
      </c>
      <c r="H12477" s="1">
        <v>0</v>
      </c>
      <c r="I12477" s="1" t="s">
        <v>25616</v>
      </c>
      <c r="K12477" s="1" t="str">
        <f t="shared" si="790"/>
        <v>ㄧ</v>
      </c>
      <c r="L12477" s="1" t="str">
        <f t="shared" si="791"/>
        <v>ㄡ</v>
      </c>
      <c r="N12477" s="3" t="s">
        <v>30575</v>
      </c>
      <c r="O12477" s="3"/>
      <c r="P12477" s="1" t="s">
        <v>20</v>
      </c>
      <c r="R12477" s="1" t="s">
        <v>25617</v>
      </c>
      <c r="V12477" s="1" t="s">
        <v>25622</v>
      </c>
      <c r="AR12477" s="1" t="str">
        <f t="shared" si="789"/>
        <v>| [ㄧㄡˊ](ㄧㄡˊ.md) | [疣](疣.md) |  | yóu | [名]
皮膚上突起的小肉瘤。唐．杜甫〈草堂〉詩：「於時見疣贅，骨髓幸未枯。」 |</v>
      </c>
    </row>
    <row r="12478" spans="1:44" hidden="1">
      <c r="A12478" s="1" t="s">
        <v>25623</v>
      </c>
      <c r="C12478" s="1">
        <v>1</v>
      </c>
      <c r="D12478" s="1" t="str">
        <f>"10881"</f>
        <v>10881</v>
      </c>
      <c r="E12478" s="1" t="s">
        <v>331</v>
      </c>
      <c r="F12478" s="1">
        <v>11</v>
      </c>
      <c r="G12478" s="1">
        <v>4</v>
      </c>
      <c r="H12478" s="1">
        <v>0</v>
      </c>
      <c r="I12478" s="1" t="s">
        <v>25616</v>
      </c>
      <c r="K12478" s="1" t="str">
        <f t="shared" si="790"/>
        <v>ㄧ</v>
      </c>
      <c r="L12478" s="1" t="str">
        <f t="shared" si="791"/>
        <v>ㄡ</v>
      </c>
      <c r="N12478" s="3" t="s">
        <v>30575</v>
      </c>
      <c r="O12478" s="3"/>
      <c r="P12478" s="1" t="s">
        <v>20</v>
      </c>
      <c r="R12478" s="1" t="s">
        <v>25617</v>
      </c>
      <c r="V12478" s="1" t="s">
        <v>25624</v>
      </c>
      <c r="AR12478" s="1" t="str">
        <f t="shared" si="789"/>
        <v>| [ㄧㄡˊ](ㄧㄡˊ.md) | [訧](訧.md) |  | yóu | [名]
過失。《說文解字．言部》：「訧，罪也。」《詩經．邶風．綠衣》：「我思古人，俾無訧兮。」 |</v>
      </c>
    </row>
    <row r="12479" spans="1:44" hidden="1">
      <c r="A12479" s="1" t="s">
        <v>25625</v>
      </c>
      <c r="C12479" s="1">
        <v>1</v>
      </c>
      <c r="D12479" s="1" t="str">
        <f>"10882"</f>
        <v>10882</v>
      </c>
      <c r="E12479" s="1" t="s">
        <v>156</v>
      </c>
      <c r="F12479" s="1">
        <v>15</v>
      </c>
      <c r="G12479" s="1">
        <v>4</v>
      </c>
      <c r="H12479" s="1">
        <v>0</v>
      </c>
      <c r="I12479" s="1" t="s">
        <v>25616</v>
      </c>
      <c r="K12479" s="1" t="str">
        <f t="shared" si="790"/>
        <v>ㄧ</v>
      </c>
      <c r="L12479" s="1" t="str">
        <f t="shared" si="791"/>
        <v>ㄡ</v>
      </c>
      <c r="N12479" s="3" t="s">
        <v>30575</v>
      </c>
      <c r="O12479" s="3"/>
      <c r="P12479" s="1" t="s">
        <v>20</v>
      </c>
      <c r="R12479" s="1" t="s">
        <v>25617</v>
      </c>
      <c r="V12479" s="1" t="s">
        <v>25626</v>
      </c>
      <c r="AR12479" s="1" t="str">
        <f t="shared" si="789"/>
        <v>| [ㄧㄡˊ](ㄧㄡˊ.md) | [魷](魷.md) |  | yóu | 參見「魷魚」條。 |</v>
      </c>
    </row>
    <row r="12480" spans="1:44" hidden="1">
      <c r="A12480" s="1" t="s">
        <v>25627</v>
      </c>
      <c r="C12480" s="1">
        <v>1</v>
      </c>
      <c r="D12480" s="1" t="str">
        <f>"10883"</f>
        <v>10883</v>
      </c>
      <c r="E12480" s="1" t="s">
        <v>3359</v>
      </c>
      <c r="F12480" s="1">
        <v>4</v>
      </c>
      <c r="G12480" s="1">
        <v>2</v>
      </c>
      <c r="H12480" s="1">
        <v>2</v>
      </c>
      <c r="I12480" s="1" t="s">
        <v>25616</v>
      </c>
      <c r="K12480" s="1" t="str">
        <f t="shared" si="790"/>
        <v>ㄧ</v>
      </c>
      <c r="L12480" s="1" t="str">
        <f t="shared" si="791"/>
        <v>ㄡ</v>
      </c>
      <c r="N12480" s="3" t="s">
        <v>30575</v>
      </c>
      <c r="O12480" s="3"/>
      <c r="P12480" s="1" t="s">
        <v>20</v>
      </c>
      <c r="R12480" s="1" t="s">
        <v>25617</v>
      </c>
      <c r="V12480" s="1" t="s">
        <v>25628</v>
      </c>
      <c r="W12480" s="1" t="s">
        <v>25629</v>
      </c>
      <c r="AR12480" s="1" t="str">
        <f t="shared" si="789"/>
        <v>| [ㄧㄡˊ](ㄧㄡˊ.md) | [冘](冘.md) |  | yóu | [形]
冘豫：遲疑不決。《後漢書．卷六九．竇武傳》：「武復數白誅曹節等，太后冘豫未忍，故事久不發。」《資治通鑑．卷四二．漢紀三十四．光武帝建武六年》：「囂復多設疑故，事久冘豫不決。」也作「猶豫」。 |</v>
      </c>
    </row>
    <row r="12481" spans="1:44" hidden="1">
      <c r="A12481" s="1" t="s">
        <v>25630</v>
      </c>
      <c r="C12481" s="1">
        <v>1</v>
      </c>
      <c r="D12481" s="1" t="str">
        <f>"10884"</f>
        <v>10884</v>
      </c>
      <c r="E12481" s="1" t="s">
        <v>753</v>
      </c>
      <c r="F12481" s="1">
        <v>5</v>
      </c>
      <c r="G12481" s="1">
        <v>0</v>
      </c>
      <c r="H12481" s="1">
        <v>0</v>
      </c>
      <c r="I12481" s="1" t="s">
        <v>25616</v>
      </c>
      <c r="K12481" s="1" t="str">
        <f t="shared" si="790"/>
        <v>ㄧ</v>
      </c>
      <c r="L12481" s="1" t="str">
        <f t="shared" si="791"/>
        <v>ㄡ</v>
      </c>
      <c r="N12481" s="3" t="s">
        <v>30575</v>
      </c>
      <c r="O12481" s="3"/>
      <c r="P12481" s="1" t="s">
        <v>20</v>
      </c>
      <c r="R12481" s="1" t="s">
        <v>25617</v>
      </c>
      <c r="V12481" s="1" t="s">
        <v>25631</v>
      </c>
      <c r="AR12481" s="1" t="str">
        <f t="shared" si="789"/>
        <v>| [ㄧㄡˊ](ㄧㄡˊ.md) | [由](由.md) |  | yóu | [名]
1.原因。如：「事由」、「原由」、「理由」。《左傳．襄公二十三年》：「有臧武仲之知，而不容於魯國，抑有由也。」
2.機會、機緣。《紅樓夢》第一一五回：「久仰芳名，無由親炙。」
3.途徑、方法。南朝梁．何遜〈贈諸遊舊詩〉：「無由下征帆，獨與暮潮歸。」明．徐弘祖《徐霞客遊記．卷三下．粵遊日記二》：「而溪崖亦懸嵌，無由上躋。」
4.姓。如秦代有由余。
[動]
1.遵循、聽從。《詩經．大雅．假樂》：「不愆不忘，率由舊章。」《論語．泰伯》：「民可使由之，不可使知之。」
2.聽任、任憑。如：「信不信由你」、「人在江湖，身不由己。」、「萬般皆是命，半點不由人。」
3.走、經過。《孟子．離婁上》：「舍正路而不由，哀哉。」《宋史．卷三一困．范仲淹傳》：「鄜、延密邇靈、夏，西羌必由之地也。」
4.踐行。《禮記．經解》：「是故隆禮由禮謂之有方之士，不隆禮不由禮謂之無方之民。」
[介]
1.自、從。表示所從出。如：「言不由衷」、「由北到南」。《孟子．盡心下》：「由堯、舜至於湯，五百有餘歲。」
2.因為。表示原因。如：「由於」、「咎由自取」。《書經．秦誓》：「邦之杌隉，曰由一人。」
3.表示憑藉。如：「人體是由很多細胞組織而成的。」
4.屬、歸。表示職責範圍的畫分。如：「這個案子是由我負責承辦。」
5.於。表示所在。《書經．康誥》：「別求聞由古先哲王，用康保民。」 |</v>
      </c>
    </row>
    <row r="12482" spans="1:44" hidden="1">
      <c r="A12482" s="1" t="s">
        <v>25632</v>
      </c>
      <c r="C12482" s="1">
        <v>1</v>
      </c>
      <c r="D12482" s="1" t="str">
        <f>"10885"</f>
        <v>10885</v>
      </c>
      <c r="E12482" s="1" t="s">
        <v>129</v>
      </c>
      <c r="F12482" s="1">
        <v>8</v>
      </c>
      <c r="G12482" s="1">
        <v>5</v>
      </c>
      <c r="H12482" s="1">
        <v>0</v>
      </c>
      <c r="I12482" s="1" t="s">
        <v>25616</v>
      </c>
      <c r="K12482" s="1" t="str">
        <f t="shared" si="790"/>
        <v>ㄧ</v>
      </c>
      <c r="L12482" s="1" t="str">
        <f t="shared" si="791"/>
        <v>ㄡ</v>
      </c>
      <c r="N12482" s="3" t="s">
        <v>30575</v>
      </c>
      <c r="O12482" s="3"/>
      <c r="P12482" s="1" t="s">
        <v>20</v>
      </c>
      <c r="R12482" s="1" t="s">
        <v>25617</v>
      </c>
      <c r="V12482" s="1" t="s">
        <v>25633</v>
      </c>
      <c r="AR12482" s="1" t="str">
        <f t="shared" si="789"/>
        <v>| [ㄧㄡˊ](ㄧㄡˊ.md) | [油](油.md) |  | yóu | [名]
1.動物體內的脂肪或植物種子經壓榨煉製而成的液體。如：「牛油」、「豬油」、「花生油」。
2.自礦物中提煉而成的可供作燃料的液體。如：「煤油」、「汽油」、「石油」。
3.分外、額外的利益。如：「揩油」、「他在這一項工程中撈到不少油水。」
[動]
1.塗抹、塗飾。如：「油窗戶」、「把門重新再油一次。」
2.沾染油垢、被油弄髒。如：「衣服油了。」
[形]
1.浮華不實。如：「油腔滑調」。《紅樓夢》第三八回：「這猴兒慣的了不得了，只管拿我取笑起來！恨的我撕你那油嘴。」
2.茂盛、興盛。如：「油然」。唐．李白〈明堂賦〉：「於斯之時，雲油雨霈，恩鴻溶兮澤汪濊，四海歸兮八荒會。」
3.顏色深暗的。如：「油綠」。 |</v>
      </c>
    </row>
    <row r="12483" spans="1:44" hidden="1">
      <c r="A12483" s="1" t="s">
        <v>25634</v>
      </c>
      <c r="C12483" s="1">
        <v>1</v>
      </c>
      <c r="D12483" s="1" t="str">
        <f>"10886"</f>
        <v>10886</v>
      </c>
      <c r="E12483" s="1" t="s">
        <v>679</v>
      </c>
      <c r="F12483" s="1">
        <v>11</v>
      </c>
      <c r="G12483" s="1">
        <v>5</v>
      </c>
      <c r="H12483" s="1">
        <v>0</v>
      </c>
      <c r="I12483" s="1" t="s">
        <v>25616</v>
      </c>
      <c r="K12483" s="1" t="str">
        <f t="shared" si="790"/>
        <v>ㄧ</v>
      </c>
      <c r="L12483" s="1" t="str">
        <f t="shared" si="791"/>
        <v>ㄡ</v>
      </c>
      <c r="N12483" s="3" t="s">
        <v>30575</v>
      </c>
      <c r="O12483" s="3"/>
      <c r="P12483" s="1" t="s">
        <v>20</v>
      </c>
      <c r="R12483" s="1" t="s">
        <v>25617</v>
      </c>
      <c r="V12483" s="1" t="s">
        <v>25635</v>
      </c>
      <c r="AR12483" s="1" t="str">
        <f t="shared" ref="AR12483:AR12546" si="792">"| ["&amp;I12483&amp;"]("&amp;I12483&amp;".md) | ["&amp;A12483&amp;"]("&amp;A12483&amp;".md) | "&amp;" | "&amp;R12483&amp;" | "&amp;V12483&amp;" |"</f>
        <v>| [ㄧㄡˊ](ㄧㄡˊ.md) | [蚰](蚰.md) |  | yóu | 參見「蚰蜒」條。 |</v>
      </c>
    </row>
    <row r="12484" spans="1:44" hidden="1">
      <c r="A12484" s="1" t="s">
        <v>25636</v>
      </c>
      <c r="C12484" s="1">
        <v>1</v>
      </c>
      <c r="D12484" s="1" t="str">
        <f>"10887"</f>
        <v>10887</v>
      </c>
      <c r="E12484" s="1" t="s">
        <v>55</v>
      </c>
      <c r="F12484" s="1">
        <v>13</v>
      </c>
      <c r="G12484" s="1">
        <v>5</v>
      </c>
      <c r="H12484" s="1">
        <v>2</v>
      </c>
      <c r="I12484" s="1" t="s">
        <v>25616</v>
      </c>
      <c r="K12484" s="1" t="str">
        <f t="shared" si="790"/>
        <v>ㄧ</v>
      </c>
      <c r="L12484" s="1" t="str">
        <f t="shared" si="791"/>
        <v>ㄡ</v>
      </c>
      <c r="N12484" s="3" t="s">
        <v>30575</v>
      </c>
      <c r="O12484" s="3"/>
      <c r="P12484" s="1" t="s">
        <v>110</v>
      </c>
      <c r="R12484" s="1" t="s">
        <v>25617</v>
      </c>
      <c r="V12484" s="1" t="s">
        <v>111</v>
      </c>
      <c r="W12484" s="1" t="s">
        <v>25637</v>
      </c>
      <c r="AR12484" s="1" t="str">
        <f t="shared" si="792"/>
        <v>| [ㄧㄡˊ](ㄧㄡˊ.md) | [鈾](鈾.md) |  | yóu | (一)之又音。 |</v>
      </c>
    </row>
    <row r="12485" spans="1:44" hidden="1">
      <c r="A12485" s="1" t="s">
        <v>25638</v>
      </c>
      <c r="C12485" s="1">
        <v>1</v>
      </c>
      <c r="D12485" s="1" t="str">
        <f>"10888"</f>
        <v>10888</v>
      </c>
      <c r="E12485" s="1" t="s">
        <v>156</v>
      </c>
      <c r="F12485" s="1">
        <v>16</v>
      </c>
      <c r="G12485" s="1">
        <v>5</v>
      </c>
      <c r="H12485" s="1">
        <v>0</v>
      </c>
      <c r="I12485" s="1" t="s">
        <v>25616</v>
      </c>
      <c r="K12485" s="1" t="str">
        <f t="shared" si="790"/>
        <v>ㄧ</v>
      </c>
      <c r="L12485" s="1" t="str">
        <f t="shared" si="791"/>
        <v>ㄡ</v>
      </c>
      <c r="N12485" s="3" t="s">
        <v>30575</v>
      </c>
      <c r="O12485" s="3"/>
      <c r="P12485" s="1" t="s">
        <v>20</v>
      </c>
      <c r="R12485" s="1" t="s">
        <v>25617</v>
      </c>
      <c r="V12485" s="1" t="s">
        <v>25639</v>
      </c>
      <c r="AR12485" s="1" t="str">
        <f t="shared" si="792"/>
        <v>| [ㄧㄡˊ](ㄧㄡˊ.md) | [鮋](鮋.md) |  | yóu | [名]
動物名。硬首魚綱鮋目。體長，側扁。頭大，具硬棘，有毒性。背鰭、胸鰭鰭條常延長如絲狀。生殖多為卵胎生，一次可生產千條以上的幼苗。為分布在溫帶和熱帶近海海域的肉食性魚類，種類很多。 |</v>
      </c>
    </row>
    <row r="12486" spans="1:44" hidden="1">
      <c r="A12486" s="1" t="s">
        <v>24202</v>
      </c>
      <c r="C12486" s="1">
        <v>1</v>
      </c>
      <c r="D12486" s="1" t="str">
        <f>"10889"</f>
        <v>10889</v>
      </c>
      <c r="E12486" s="1" t="s">
        <v>2557</v>
      </c>
      <c r="F12486" s="1">
        <v>7</v>
      </c>
      <c r="G12486" s="1">
        <v>4</v>
      </c>
      <c r="H12486" s="1">
        <v>2</v>
      </c>
      <c r="I12486" s="1" t="s">
        <v>25616</v>
      </c>
      <c r="K12486" s="1" t="str">
        <f t="shared" si="790"/>
        <v>ㄧ</v>
      </c>
      <c r="L12486" s="1" t="str">
        <f t="shared" si="791"/>
        <v>ㄡ</v>
      </c>
      <c r="N12486" s="3" t="s">
        <v>30575</v>
      </c>
      <c r="O12486" s="3"/>
      <c r="P12486" s="1" t="s">
        <v>20</v>
      </c>
      <c r="R12486" s="1" t="s">
        <v>25617</v>
      </c>
      <c r="V12486" s="1" t="s">
        <v>25640</v>
      </c>
      <c r="W12486" s="1" t="s">
        <v>25641</v>
      </c>
      <c r="AR12486" s="1" t="str">
        <f t="shared" si="792"/>
        <v>| [ㄧㄡˊ](ㄧㄡˊ.md) | [囮](囮.md) |  | yóu | (一)[名]之語音。 |</v>
      </c>
    </row>
    <row r="12487" spans="1:44" hidden="1">
      <c r="A12487" s="1" t="s">
        <v>25642</v>
      </c>
      <c r="C12487" s="1">
        <v>1</v>
      </c>
      <c r="D12487" s="1" t="str">
        <f>"10890"</f>
        <v>10890</v>
      </c>
      <c r="E12487" s="1" t="s">
        <v>800</v>
      </c>
      <c r="F12487" s="1">
        <v>9</v>
      </c>
      <c r="G12487" s="1">
        <v>5</v>
      </c>
      <c r="H12487" s="1">
        <v>0</v>
      </c>
      <c r="I12487" s="1" t="s">
        <v>25616</v>
      </c>
      <c r="K12487" s="1" t="str">
        <f t="shared" si="790"/>
        <v>ㄧ</v>
      </c>
      <c r="L12487" s="1" t="str">
        <f t="shared" si="791"/>
        <v>ㄡ</v>
      </c>
      <c r="N12487" s="3" t="s">
        <v>30575</v>
      </c>
      <c r="O12487" s="3"/>
      <c r="P12487" s="1" t="s">
        <v>20</v>
      </c>
      <c r="R12487" s="1" t="s">
        <v>25617</v>
      </c>
      <c r="V12487" s="1" t="s">
        <v>25643</v>
      </c>
      <c r="AR12487" s="1" t="str">
        <f t="shared" si="792"/>
        <v>| [ㄧㄡˊ](ㄧㄡˊ.md) | [斿](斿.md) |  | yóu | [名]
古代旌旗上的飄帶。《周禮．春官．巾車》：「建大常，十有二斿，以祀。」《新唐書．卷二〇三．南蠻傳上．南詔傳上》：「王出，建八旗，紫若青，白斿。」
[動]
遨遊。同「游」。《漢書．卷二二．禮樂志》：「泛泛滇滇從高斿，殷勤此路臚所求。」 |</v>
      </c>
    </row>
    <row r="12488" spans="1:44" hidden="1">
      <c r="A12488" s="1" t="s">
        <v>25644</v>
      </c>
      <c r="C12488" s="1">
        <v>1</v>
      </c>
      <c r="D12488" s="1" t="str">
        <f>"10891"</f>
        <v>10891</v>
      </c>
      <c r="E12488" s="1" t="s">
        <v>129</v>
      </c>
      <c r="F12488" s="1">
        <v>12</v>
      </c>
      <c r="G12488" s="1">
        <v>9</v>
      </c>
      <c r="H12488" s="1">
        <v>0</v>
      </c>
      <c r="I12488" s="1" t="s">
        <v>25616</v>
      </c>
      <c r="K12488" s="1" t="str">
        <f t="shared" si="790"/>
        <v>ㄧ</v>
      </c>
      <c r="L12488" s="1" t="str">
        <f t="shared" si="791"/>
        <v>ㄡ</v>
      </c>
      <c r="N12488" s="3" t="s">
        <v>30575</v>
      </c>
      <c r="O12488" s="3"/>
      <c r="P12488" s="1" t="s">
        <v>20</v>
      </c>
      <c r="R12488" s="1" t="s">
        <v>25617</v>
      </c>
      <c r="V12488" s="1" t="s">
        <v>25645</v>
      </c>
      <c r="AR12488" s="1" t="str">
        <f t="shared" si="792"/>
        <v>| [ㄧㄡˊ](ㄧㄡˊ.md) | [游](游.md) |  | yóu | [動]
1.在水中行動。如：「游泳」。《詩經．邶風．谷風》：「就其淺矣，泳之游之。」《淮南子．墬形》：「食水者善游能寒，食士者無心而慧。」
2.遨遊。通「遊」。《墨子．貴義》：「子墨子南游於楚，見楚獻惠王。」
3.交往。通「遊」。《左傳．隱公三年》：「其子厚與州吁游，禁之不可。」
[形]
飄蕩不定。如：「游民」、「游資」、「氣若游絲」。《新唐書．卷九五．竇威傳》：「周洛間，因隋亂，人不土著，軌下令諸縣，有游手末作者按之，由是威信大行，民皆趨本。」
[名]
1.河流、江河的段落。如：「上游」、「中游」、「下游」。《詩經．秦風．蒹葭》：「溯洄從之，道阻且長，溯游從之，宛在水中央。」《史記．卷七．項羽本紀》：「古之帝者地方千里，必居上游。」
2.姓。如清代有游士鳳。 |</v>
      </c>
    </row>
    <row r="12489" spans="1:44" hidden="1">
      <c r="A12489" s="1" t="s">
        <v>25646</v>
      </c>
      <c r="C12489" s="1">
        <v>1</v>
      </c>
      <c r="D12489" s="1" t="str">
        <f>"10892"</f>
        <v>10892</v>
      </c>
      <c r="E12489" s="1" t="s">
        <v>558</v>
      </c>
      <c r="F12489" s="1">
        <v>13</v>
      </c>
      <c r="G12489" s="1">
        <v>9</v>
      </c>
      <c r="H12489" s="1">
        <v>0</v>
      </c>
      <c r="I12489" s="1" t="s">
        <v>25616</v>
      </c>
      <c r="K12489" s="1" t="str">
        <f t="shared" si="790"/>
        <v>ㄧ</v>
      </c>
      <c r="L12489" s="1" t="str">
        <f t="shared" si="791"/>
        <v>ㄡ</v>
      </c>
      <c r="N12489" s="3" t="s">
        <v>30575</v>
      </c>
      <c r="O12489" s="3"/>
      <c r="P12489" s="1" t="s">
        <v>20</v>
      </c>
      <c r="R12489" s="1" t="s">
        <v>25617</v>
      </c>
      <c r="V12489" s="1" t="s">
        <v>25647</v>
      </c>
      <c r="AR12489" s="1" t="str">
        <f t="shared" si="792"/>
        <v>| [ㄧㄡˊ](ㄧㄡˊ.md) | [遊](遊.md) |  | yóu | [動]_x000D_
1.遨遊、玩耍。如：「夜遊」。《文選．古詩十九首．生年不滿百》：「晝短苦夜長，何不秉燭遊。」唐．杜甫〈滕王亭子〉詩二首之一：「人到于今歌出牧，來遊此地不知還。」_x000D_
2.旅行。《論語．里仁》：「子曰：『父母在，不遠遊，遊必有方。』」唐．于武陵〈訪道者不遇〉詩：「及戶無行跡，遊方應未歸。」_x000D_
3.交往、結交。如：「交遊」。《孟子．盡心上》：「舜之居深山之中，與木石居，與鹿豕遊。」_x000D_
4.行走。如：「遊行」。《禮記．曲禮上》：「遊毋倨，立毋跛，坐毋箕，寢毋伏。」唐．孔穎達．正義：「遊，行也。」_x000D_
5.閒逛。通「游」。如：「遊蕩」。《書經．五子之歌》：「乃盤遊無度，畋于有洛之表，十旬弗反。」_x000D_
6.求學。《孟子．盡心上》：「故觀於海者難為水，遊於聖人之門者難為言。」《後漢書．卷三五．張曹鄭列傳．鄭玄》：「玄自遊學十餘年，乃歸鄉里。」_x000D_
7.求仕、做官。《戰國策．秦策二》：「王獨不聞吳人之遊楚者乎？」漢．高誘．注：「遊，仕也。」_x000D_
8.說服。如：「遊說」。三國魏．李康〈運命論〉：「張良受黃石之符，誦三略之說，以遊於群雄。」_x000D_
9.自由運轉。參見「遊目」、「遊刃有餘」等條。 |</v>
      </c>
    </row>
    <row r="12490" spans="1:44" hidden="1">
      <c r="A12490" s="1" t="s">
        <v>25648</v>
      </c>
      <c r="C12490" s="1">
        <v>1</v>
      </c>
      <c r="D12490" s="1" t="str">
        <f>"10893"</f>
        <v>10893</v>
      </c>
      <c r="E12490" s="1" t="s">
        <v>679</v>
      </c>
      <c r="F12490" s="1">
        <v>15</v>
      </c>
      <c r="G12490" s="1">
        <v>9</v>
      </c>
      <c r="H12490" s="1">
        <v>0</v>
      </c>
      <c r="I12490" s="1" t="s">
        <v>25616</v>
      </c>
      <c r="K12490" s="1" t="str">
        <f t="shared" si="790"/>
        <v>ㄧ</v>
      </c>
      <c r="L12490" s="1" t="str">
        <f t="shared" si="791"/>
        <v>ㄡ</v>
      </c>
      <c r="N12490" s="3" t="s">
        <v>30575</v>
      </c>
      <c r="O12490" s="3"/>
      <c r="P12490" s="1" t="s">
        <v>20</v>
      </c>
      <c r="R12490" s="1" t="s">
        <v>25617</v>
      </c>
      <c r="V12490" s="1" t="s">
        <v>4441</v>
      </c>
      <c r="AR12490" s="1" t="str">
        <f t="shared" si="792"/>
        <v>| [ㄧㄡˊ](ㄧㄡˊ.md) | [蝣](蝣.md) |  | yóu | 參見「蜉蝣」條。 |</v>
      </c>
    </row>
    <row r="12491" spans="1:44" hidden="1">
      <c r="A12491" s="1" t="s">
        <v>25649</v>
      </c>
      <c r="C12491" s="1">
        <v>1</v>
      </c>
      <c r="D12491" s="1" t="str">
        <f>"10894"</f>
        <v>10894</v>
      </c>
      <c r="E12491" s="1" t="s">
        <v>558</v>
      </c>
      <c r="F12491" s="1">
        <v>11</v>
      </c>
      <c r="G12491" s="1">
        <v>7</v>
      </c>
      <c r="H12491" s="1">
        <v>0</v>
      </c>
      <c r="I12491" s="1" t="s">
        <v>25616</v>
      </c>
      <c r="K12491" s="1" t="str">
        <f t="shared" si="790"/>
        <v>ㄧ</v>
      </c>
      <c r="L12491" s="1" t="str">
        <f t="shared" si="791"/>
        <v>ㄡ</v>
      </c>
      <c r="N12491" s="3" t="s">
        <v>30575</v>
      </c>
      <c r="O12491" s="3"/>
      <c r="P12491" s="1" t="s">
        <v>20</v>
      </c>
      <c r="R12491" s="1" t="s">
        <v>25617</v>
      </c>
      <c r="V12491" s="1" t="s">
        <v>25650</v>
      </c>
      <c r="AR12491" s="1" t="str">
        <f t="shared" si="792"/>
        <v>| [ㄧㄡˊ](ㄧㄡˊ.md) | [逌](逌.md) |  | yóu | [形]
參見「逌然」、「逌爾」等條。
[助]
所。通「攸」。《漢書．卷二八．地理志上》：「漆、沮既從，酆水逌同。」唐．顏師古．注：「逌，古攸字也。攸，所也。」 |</v>
      </c>
    </row>
    <row r="12492" spans="1:44" hidden="1">
      <c r="A12492" s="1" t="s">
        <v>25483</v>
      </c>
      <c r="C12492" s="1">
        <v>1</v>
      </c>
      <c r="D12492" s="1" t="str">
        <f>"10895"</f>
        <v>10895</v>
      </c>
      <c r="E12492" s="1" t="s">
        <v>24</v>
      </c>
      <c r="F12492" s="1">
        <v>12</v>
      </c>
      <c r="G12492" s="1">
        <v>9</v>
      </c>
      <c r="H12492" s="1">
        <v>3</v>
      </c>
      <c r="I12492" s="1" t="s">
        <v>25616</v>
      </c>
      <c r="K12492" s="1" t="str">
        <f t="shared" si="790"/>
        <v>ㄧ</v>
      </c>
      <c r="L12492" s="1" t="str">
        <f t="shared" si="791"/>
        <v>ㄡ</v>
      </c>
      <c r="N12492" s="3" t="s">
        <v>30575</v>
      </c>
      <c r="O12492" s="3"/>
      <c r="P12492" s="1" t="s">
        <v>20</v>
      </c>
      <c r="R12492" s="1" t="s">
        <v>25617</v>
      </c>
      <c r="V12492" s="1" t="s">
        <v>25651</v>
      </c>
      <c r="W12492" s="1" t="s">
        <v>25652</v>
      </c>
      <c r="AR12492" s="1" t="str">
        <f t="shared" si="792"/>
        <v>| [ㄧㄡˊ](ㄧㄡˊ.md) | [揄](揄.md) |  | yóu | [動]
清理米臼，取出米臼中的米。《詩經．大雅．生民》：「或舂或揄，或簸或蹂。」漢．鄭玄．箋：「揄，抒臼也。」 |</v>
      </c>
    </row>
    <row r="12493" spans="1:44" hidden="1">
      <c r="A12493" s="1" t="s">
        <v>25653</v>
      </c>
      <c r="C12493" s="1">
        <v>1</v>
      </c>
      <c r="D12493" s="1" t="str">
        <f>"10896"</f>
        <v>10896</v>
      </c>
      <c r="E12493" s="1" t="s">
        <v>256</v>
      </c>
      <c r="F12493" s="1">
        <v>12</v>
      </c>
      <c r="G12493" s="1">
        <v>9</v>
      </c>
      <c r="H12493" s="1">
        <v>0</v>
      </c>
      <c r="I12493" s="1" t="s">
        <v>25616</v>
      </c>
      <c r="K12493" s="1" t="str">
        <f t="shared" si="790"/>
        <v>ㄧ</v>
      </c>
      <c r="L12493" s="1" t="str">
        <f t="shared" si="791"/>
        <v>ㄡ</v>
      </c>
      <c r="N12493" s="3" t="s">
        <v>30575</v>
      </c>
      <c r="O12493" s="3"/>
      <c r="P12493" s="1" t="s">
        <v>20</v>
      </c>
      <c r="R12493" s="1" t="s">
        <v>25617</v>
      </c>
      <c r="V12493" s="1" t="s">
        <v>25654</v>
      </c>
      <c r="AR12493" s="1" t="str">
        <f t="shared" si="792"/>
        <v>| [ㄧㄡˊ](ㄧㄡˊ.md) | [郵](郵.md) |  | yóu | [名]
1.傳遞文書信件的機關。如：「郵局」。《孟子．公孫丑上》：「德之流行，速於置郵而傳命。」
2.郵票的簡稱。如：「集郵」。
3.過失。通「尤」。《詩經．小雅．賓之初筵》：「是曰既醉，不知其郵。」漢．鄭玄．箋：「郵，過也。」《漢書．卷一〇．成帝紀》：「天著變異，以顯朕郵，朕甚懼焉。」
4.姓。如春秋時有郵无恤。
[動]
寄、傳遞。如：「郵寄」、「郵遞」。清．惲敬〈潮州韓文公廟碑文〉：「為碑文郵之潮州，與潮之賢士大夫商公之故，且告後世焉。」
[副]
極、甚、格外。通「尤」。《列子．周穆王》：「魯之君子，迷之郵者，焉能解人之迷哉。」 |</v>
      </c>
    </row>
    <row r="12494" spans="1:44" hidden="1">
      <c r="A12494" s="1" t="s">
        <v>25655</v>
      </c>
      <c r="C12494" s="1">
        <v>1</v>
      </c>
      <c r="D12494" s="1" t="str">
        <f>"10897"</f>
        <v>10897</v>
      </c>
      <c r="E12494" s="1" t="s">
        <v>198</v>
      </c>
      <c r="F12494" s="1">
        <v>12</v>
      </c>
      <c r="G12494" s="1">
        <v>9</v>
      </c>
      <c r="H12494" s="1">
        <v>0</v>
      </c>
      <c r="I12494" s="1" t="s">
        <v>25616</v>
      </c>
      <c r="K12494" s="1" t="str">
        <f t="shared" si="790"/>
        <v>ㄧ</v>
      </c>
      <c r="L12494" s="1" t="str">
        <f t="shared" si="791"/>
        <v>ㄡ</v>
      </c>
      <c r="N12494" s="3" t="s">
        <v>30575</v>
      </c>
      <c r="O12494" s="3"/>
      <c r="P12494" s="1" t="s">
        <v>20</v>
      </c>
      <c r="R12494" s="1" t="s">
        <v>25617</v>
      </c>
      <c r="V12494" s="1" t="s">
        <v>25656</v>
      </c>
      <c r="AR12494" s="1" t="str">
        <f t="shared" si="792"/>
        <v>| [ㄧㄡˊ](ㄧㄡˊ.md) | [猶](猶.md) |  | yóu | [名]
1.一種野獸，似猴而性多疑。《爾雅．釋獸》：「猶如麂，善登木。」北魏．酈道元《水經注．江水注》：「山多猶猢，似猴而短足，好遊巖樹。」
2.謀略。通「猷」。《詩經．大雅．常武》：「王猶允塞，徐方既來。」
3.姓。如宋代有猶道明。
[動]
如同。如：「過猶不及」、「雖死猶生」。《孟子．梁惠王上》：「以若所為求若所欲，猶緣木而求魚也。」
[副]
1.仍舊、還。如：「記憶猶新」、「言猶在耳」。《論語．微子》：「往者不可諫，來者猶可追。」
2.尚且。《左傳．宣公十二年》：「困獸猶鬥，況國相乎？」 |</v>
      </c>
    </row>
    <row r="12495" spans="1:44" hidden="1">
      <c r="A12495" s="1" t="s">
        <v>25657</v>
      </c>
      <c r="C12495" s="1">
        <v>1</v>
      </c>
      <c r="D12495" s="1" t="str">
        <f>"10898"</f>
        <v>10898</v>
      </c>
      <c r="E12495" s="1" t="s">
        <v>198</v>
      </c>
      <c r="F12495" s="1">
        <v>13</v>
      </c>
      <c r="G12495" s="1">
        <v>9</v>
      </c>
      <c r="H12495" s="1">
        <v>0</v>
      </c>
      <c r="I12495" s="1" t="s">
        <v>25616</v>
      </c>
      <c r="K12495" s="1" t="str">
        <f t="shared" si="790"/>
        <v>ㄧ</v>
      </c>
      <c r="L12495" s="1" t="str">
        <f t="shared" si="791"/>
        <v>ㄡ</v>
      </c>
      <c r="N12495" s="3" t="s">
        <v>30575</v>
      </c>
      <c r="O12495" s="3"/>
      <c r="P12495" s="1" t="s">
        <v>20</v>
      </c>
      <c r="R12495" s="1" t="s">
        <v>25617</v>
      </c>
      <c r="V12495" s="1" t="s">
        <v>25658</v>
      </c>
      <c r="AR12495" s="1" t="str">
        <f t="shared" si="792"/>
        <v>| [ㄧㄡˊ](ㄧㄡˊ.md) | [猷](猷.md) |  | yóu | [名]
1.謀略、計畫。《爾雅．釋詁上》：「猷，謀也。」《書經．君陳》：「爾有嘉謀嘉猷，則入告爾后。」
2.道理、法則。《詩經．小雅．巧言》：「秩秩大猷，聖人莫之。」漢．鄭玄．箋：「猷，道也。大道，治國之禮法。」
3.姓。如漢代有猷康。
[動]
圖謀。《周禮．春官．家宗人》：「以猷鬼神示之居，辨其名物。」
[助]
發語詞，無義。《書經．大誥》：「猷大誥爾多邦，越爾御事。」 |</v>
      </c>
    </row>
    <row r="12496" spans="1:44" hidden="1">
      <c r="A12496" s="1" t="s">
        <v>25659</v>
      </c>
      <c r="C12496" s="1">
        <v>1</v>
      </c>
      <c r="D12496" s="1" t="str">
        <f>"10899"</f>
        <v>10899</v>
      </c>
      <c r="E12496" s="1" t="s">
        <v>139</v>
      </c>
      <c r="F12496" s="1">
        <v>13</v>
      </c>
      <c r="G12496" s="1">
        <v>9</v>
      </c>
      <c r="H12496" s="1">
        <v>0</v>
      </c>
      <c r="I12496" s="1" t="s">
        <v>25616</v>
      </c>
      <c r="K12496" s="1" t="str">
        <f t="shared" si="790"/>
        <v>ㄧ</v>
      </c>
      <c r="L12496" s="1" t="str">
        <f t="shared" si="791"/>
        <v>ㄡ</v>
      </c>
      <c r="N12496" s="3" t="s">
        <v>30575</v>
      </c>
      <c r="O12496" s="3"/>
      <c r="P12496" s="1" t="s">
        <v>20</v>
      </c>
      <c r="R12496" s="1" t="s">
        <v>25617</v>
      </c>
      <c r="V12496" s="1" t="s">
        <v>25660</v>
      </c>
      <c r="AR12496" s="1" t="str">
        <f t="shared" si="792"/>
        <v>| [ㄧㄡˊ](ㄧㄡˊ.md) | [楢](楢.md) |  | yóu | [名]
植物名。殼斗科麻櫟屬，落葉喬木。樹皮暗灰色，有縱行長裂紋。葉形呈倒長卵形，邊緣有粗鋸齒，密布絹絲狀細毛。春日開花，排列成細長的疏穗狀花序。果實為堅果，橢圓形，表面有細小的鱗片。木材堅韌，可製器具。 |</v>
      </c>
    </row>
    <row r="12497" spans="1:44" hidden="1">
      <c r="A12497" s="1" t="s">
        <v>25661</v>
      </c>
      <c r="C12497" s="1">
        <v>1</v>
      </c>
      <c r="D12497" s="1" t="str">
        <f>"10900"</f>
        <v>10900</v>
      </c>
      <c r="E12497" s="1" t="s">
        <v>71</v>
      </c>
      <c r="F12497" s="1">
        <v>16</v>
      </c>
      <c r="G12497" s="1">
        <v>9</v>
      </c>
      <c r="H12497" s="1">
        <v>0</v>
      </c>
      <c r="I12497" s="1" t="s">
        <v>25616</v>
      </c>
      <c r="K12497" s="1" t="str">
        <f t="shared" si="790"/>
        <v>ㄧ</v>
      </c>
      <c r="L12497" s="1" t="str">
        <f t="shared" si="791"/>
        <v>ㄡ</v>
      </c>
      <c r="N12497" s="3" t="s">
        <v>30575</v>
      </c>
      <c r="O12497" s="3"/>
      <c r="P12497" s="1" t="s">
        <v>20</v>
      </c>
      <c r="R12497" s="1" t="s">
        <v>25617</v>
      </c>
      <c r="V12497" s="1" t="s">
        <v>25662</v>
      </c>
      <c r="AR12497" s="1" t="str">
        <f t="shared" si="792"/>
        <v>| [ㄧㄡˊ](ㄧㄡˊ.md) | [輶](輶.md) |  | yóu | [名]
輕車。《說文解字．車部》：「輶，輕車也。」唐．韓愈、孟郊、李翶〈遠遊聯句〉：「馳深鼓利楫，趨險驚蜚輶。」
[形]
輕。《詩經．大雅．烝民》：「人亦有言，德輶如毛，民鮮克舉之。」《漢書．卷一〇〇．敘傳上》：「守孔約而不貳兮，乃輶德而無累。」 |</v>
      </c>
    </row>
    <row r="12498" spans="1:44" hidden="1">
      <c r="A12498" s="1" t="s">
        <v>25663</v>
      </c>
      <c r="C12498" s="1">
        <v>1</v>
      </c>
      <c r="D12498" s="1" t="str">
        <f>"10901"</f>
        <v>10901</v>
      </c>
      <c r="E12498" s="1" t="s">
        <v>37</v>
      </c>
      <c r="F12498" s="1">
        <v>16</v>
      </c>
      <c r="G12498" s="1">
        <v>12</v>
      </c>
      <c r="H12498" s="1">
        <v>0</v>
      </c>
      <c r="I12498" s="1" t="s">
        <v>25616</v>
      </c>
      <c r="K12498" s="1" t="str">
        <f t="shared" si="790"/>
        <v>ㄧ</v>
      </c>
      <c r="L12498" s="1" t="str">
        <f t="shared" si="791"/>
        <v>ㄡ</v>
      </c>
      <c r="N12498" s="3" t="s">
        <v>30575</v>
      </c>
      <c r="O12498" s="3"/>
      <c r="P12498" s="1" t="s">
        <v>20</v>
      </c>
      <c r="R12498" s="1" t="s">
        <v>25617</v>
      </c>
      <c r="V12498" s="1" t="s">
        <v>25664</v>
      </c>
      <c r="AR12498" s="1" t="str">
        <f t="shared" si="792"/>
        <v>| [ㄧㄡˊ](ㄧㄡˊ.md) | [蕕](蕕.md) |  | yóu | [名]
植物名。馬鞭草科蕕屬，多年生草本。莖方形，葉對生，廣卵形，鋸齒緣，含臭氣，兩面被黃色腺點及柔毛。繖房狀聚繖花序密集，花冠二脣形，紫碧色。果四瓣裂。也稱為「灰葉蕕」、「蘭香草」。 |</v>
      </c>
    </row>
    <row r="12499" spans="1:44" hidden="1">
      <c r="A12499" s="1" t="s">
        <v>18400</v>
      </c>
      <c r="C12499" s="1">
        <v>1</v>
      </c>
      <c r="D12499" s="1" t="str">
        <f>"10902"</f>
        <v>10902</v>
      </c>
      <c r="E12499" s="1" t="s">
        <v>725</v>
      </c>
      <c r="F12499" s="1">
        <v>17</v>
      </c>
      <c r="G12499" s="1">
        <v>11</v>
      </c>
      <c r="H12499" s="1">
        <v>1</v>
      </c>
      <c r="I12499" s="1" t="s">
        <v>25616</v>
      </c>
      <c r="K12499" s="1" t="str">
        <f t="shared" si="790"/>
        <v>ㄧ</v>
      </c>
      <c r="L12499" s="1" t="str">
        <f t="shared" si="791"/>
        <v>ㄡ</v>
      </c>
      <c r="N12499" s="3" t="s">
        <v>30575</v>
      </c>
      <c r="O12499" s="3"/>
      <c r="P12499" s="1" t="s">
        <v>20</v>
      </c>
      <c r="R12499" s="1" t="s">
        <v>25617</v>
      </c>
      <c r="V12499" s="1" t="s">
        <v>25665</v>
      </c>
      <c r="W12499" s="1" t="s">
        <v>25666</v>
      </c>
      <c r="AR12499" s="1" t="str">
        <f t="shared" si="792"/>
        <v>| [ㄧㄡˊ](ㄧㄡˊ.md) | [繇](繇.md) |  | yóu | 通「由」。 |</v>
      </c>
    </row>
    <row r="12500" spans="1:44" hidden="1">
      <c r="A12500" s="1" t="s">
        <v>19715</v>
      </c>
      <c r="C12500" s="1">
        <v>1</v>
      </c>
      <c r="D12500" s="1" t="str">
        <f>"10903"</f>
        <v>10903</v>
      </c>
      <c r="E12500" s="1" t="s">
        <v>156</v>
      </c>
      <c r="F12500" s="1">
        <v>18</v>
      </c>
      <c r="G12500" s="1">
        <v>7</v>
      </c>
      <c r="H12500" s="1">
        <v>2</v>
      </c>
      <c r="I12500" s="1" t="s">
        <v>25616</v>
      </c>
      <c r="K12500" s="1" t="str">
        <f t="shared" si="790"/>
        <v>ㄧ</v>
      </c>
      <c r="L12500" s="1" t="str">
        <f t="shared" si="791"/>
        <v>ㄡ</v>
      </c>
      <c r="N12500" s="3" t="s">
        <v>30575</v>
      </c>
      <c r="O12500" s="3"/>
      <c r="P12500" s="1" t="s">
        <v>110</v>
      </c>
      <c r="R12500" s="1" t="s">
        <v>25617</v>
      </c>
      <c r="V12500" s="1" t="s">
        <v>111</v>
      </c>
      <c r="W12500" s="1" t="s">
        <v>25667</v>
      </c>
      <c r="AR12500" s="1" t="str">
        <f t="shared" si="792"/>
        <v>| [ㄧㄡˊ](ㄧㄡˊ.md) | [鯈](鯈.md) |  | yóu | (一)之又音。 |</v>
      </c>
    </row>
    <row r="12501" spans="1:44" hidden="1">
      <c r="A12501" s="1" t="s">
        <v>25668</v>
      </c>
      <c r="C12501" s="1">
        <v>1</v>
      </c>
      <c r="D12501" s="1" t="str">
        <f>"10904"</f>
        <v>10904</v>
      </c>
      <c r="E12501" s="1" t="s">
        <v>1880</v>
      </c>
      <c r="F12501" s="1">
        <v>4</v>
      </c>
      <c r="G12501" s="1">
        <v>2</v>
      </c>
      <c r="H12501" s="1">
        <v>0</v>
      </c>
      <c r="I12501" s="1" t="s">
        <v>25669</v>
      </c>
      <c r="K12501" s="1" t="str">
        <f t="shared" si="790"/>
        <v>ㄧ</v>
      </c>
      <c r="L12501" s="1" t="str">
        <f t="shared" si="791"/>
        <v>ㄡ</v>
      </c>
      <c r="N12501" s="3" t="s">
        <v>30576</v>
      </c>
      <c r="O12501" s="3"/>
      <c r="P12501" s="1" t="s">
        <v>20</v>
      </c>
      <c r="R12501" s="1" t="s">
        <v>25670</v>
      </c>
      <c r="V12501" s="1" t="s">
        <v>25671</v>
      </c>
      <c r="AR12501" s="1" t="str">
        <f t="shared" si="792"/>
        <v>| [ㄧㄡˇ](ㄧㄡˇ.md) | [友](友.md) |  | yǒu | [名]
意氣相投、情誼互通的人。如：「好友」、「益友」、「至友」。《詩經．小雅．常棣》：「雖有兄弟，不如友生。」唐．柳宗元〈師友箴〉：「為人友者，不以道而以利，舉世無友。」
[動]
1.兄弟相親相愛。《書經．康誥》：「兄亦不念鞠子哀，大不友于弟。」《南史．卷六〇．傅昭傳》：「昭弟映，字徽遠，三歲而孤。兄弟友睦，修身勵行，非禮不動。」
2.結交。《史記．卷三七．衛康叔世家》：「鄭伯弟段攻其兄，不勝，亡，而州吁求與之友。」
3.親愛。《詩經．周南．關雎》：「窈窕淑女，琴瑟友之。」
[形]
有友好關係的。如：「友軍」、「友邦」。 |</v>
      </c>
    </row>
    <row r="12502" spans="1:44" hidden="1">
      <c r="A12502" s="1" t="s">
        <v>25672</v>
      </c>
      <c r="C12502" s="1">
        <v>1</v>
      </c>
      <c r="D12502" s="1" t="str">
        <f>"10905"</f>
        <v>10905</v>
      </c>
      <c r="E12502" s="1" t="s">
        <v>2014</v>
      </c>
      <c r="F12502" s="1">
        <v>6</v>
      </c>
      <c r="G12502" s="1">
        <v>2</v>
      </c>
      <c r="H12502" s="1">
        <v>1</v>
      </c>
      <c r="I12502" s="1" t="s">
        <v>25669</v>
      </c>
      <c r="K12502" s="1" t="str">
        <f t="shared" si="790"/>
        <v>ㄧ</v>
      </c>
      <c r="L12502" s="1" t="str">
        <f t="shared" si="791"/>
        <v>ㄡ</v>
      </c>
      <c r="N12502" s="3" t="s">
        <v>30576</v>
      </c>
      <c r="O12502" s="3"/>
      <c r="P12502" s="1" t="s">
        <v>20</v>
      </c>
      <c r="R12502" s="1" t="s">
        <v>25670</v>
      </c>
      <c r="V12502" s="1" t="s">
        <v>25673</v>
      </c>
      <c r="W12502" s="1" t="s">
        <v>25674</v>
      </c>
      <c r="AR12502" s="1" t="str">
        <f t="shared" si="792"/>
        <v>| [ㄧㄡˇ](ㄧㄡˇ.md) | [有](有.md) |  | yǒu | [動]
表事實、狀況的正面存在，與「無」相對。如：「有困難」、「有利有弊」、「有學問」、「有錢」、「擁有」、「面有飢色」。
[形]
1.豐足、富裕。如：「他是個非常富有的人。」《詩經．大雅．公劉》：「止基迺理，爰眾爰有。」
2.多，表示時間久或年齡大。如：「本店開設有年。」、「母親已有了年紀。」
3.故意。如：「有心犯錯應嚴懲，無心疏忽可原諒。」
[綴]
置於名詞前，作音節的襯字。如：「有夏」、「有清」。《韓非子．五蠹》：「當舜之時，有苗不服，禹將伐之。」
[代]
某，表示不確定。如：「有一天晚上」、「有人說你做人很講義氣。」
[名]
姓。如漢代有有祿。 |</v>
      </c>
    </row>
    <row r="12503" spans="1:44" hidden="1">
      <c r="A12503" s="1" t="s">
        <v>25675</v>
      </c>
      <c r="C12503" s="1">
        <v>1</v>
      </c>
      <c r="D12503" s="1" t="str">
        <f>"10906"</f>
        <v>10906</v>
      </c>
      <c r="E12503" s="1" t="s">
        <v>55</v>
      </c>
      <c r="F12503" s="1">
        <v>14</v>
      </c>
      <c r="G12503" s="1">
        <v>6</v>
      </c>
      <c r="H12503" s="1">
        <v>0</v>
      </c>
      <c r="I12503" s="1" t="s">
        <v>25669</v>
      </c>
      <c r="K12503" s="1" t="str">
        <f t="shared" si="790"/>
        <v>ㄧ</v>
      </c>
      <c r="L12503" s="1" t="str">
        <f t="shared" si="791"/>
        <v>ㄡ</v>
      </c>
      <c r="N12503" s="3" t="s">
        <v>30576</v>
      </c>
      <c r="O12503" s="3"/>
      <c r="P12503" s="1" t="s">
        <v>20</v>
      </c>
      <c r="R12503" s="1" t="s">
        <v>25670</v>
      </c>
      <c r="V12503" s="1" t="s">
        <v>25676</v>
      </c>
      <c r="AR12503" s="1" t="str">
        <f t="shared" si="792"/>
        <v>| [ㄧㄡˇ](ㄧㄡˇ.md) | [銪](銪.md) |  | yǒu | [名]
（europium，Eu）化學元素。原子序63。稀土金屬元素之一。較軟，具銀白色光澤，延展性佳，存於火成岩中。吸收熱中子能力很強，常用於核反應爐中作吸收中子的材料。 |</v>
      </c>
    </row>
    <row r="12504" spans="1:44" hidden="1">
      <c r="A12504" s="1" t="s">
        <v>25677</v>
      </c>
      <c r="C12504" s="1">
        <v>1</v>
      </c>
      <c r="D12504" s="1" t="str">
        <f>"10907"</f>
        <v>10907</v>
      </c>
      <c r="E12504" s="1" t="s">
        <v>1462</v>
      </c>
      <c r="F12504" s="1">
        <v>7</v>
      </c>
      <c r="G12504" s="1">
        <v>0</v>
      </c>
      <c r="H12504" s="1">
        <v>0</v>
      </c>
      <c r="I12504" s="1" t="s">
        <v>25669</v>
      </c>
      <c r="K12504" s="1" t="str">
        <f t="shared" si="790"/>
        <v>ㄧ</v>
      </c>
      <c r="L12504" s="1" t="str">
        <f t="shared" si="791"/>
        <v>ㄡ</v>
      </c>
      <c r="N12504" s="3" t="s">
        <v>30576</v>
      </c>
      <c r="O12504" s="3"/>
      <c r="P12504" s="1" t="s">
        <v>20</v>
      </c>
      <c r="R12504" s="1" t="s">
        <v>25670</v>
      </c>
      <c r="V12504" s="1" t="s">
        <v>25678</v>
      </c>
      <c r="AR12504" s="1" t="str">
        <f t="shared" si="792"/>
        <v>| [ㄧㄡˇ](ㄧㄡˇ.md) | [酉](酉.md) |  | yǒu | [名]
1.地支的第十位。
2.時辰名。約當下午的五時至七時。
3.姓。如三國時魏國有酉牧。
4.二一四部首之一。 |</v>
      </c>
    </row>
    <row r="12505" spans="1:44" hidden="1">
      <c r="A12505" s="1" t="s">
        <v>25679</v>
      </c>
      <c r="C12505" s="1">
        <v>1</v>
      </c>
      <c r="D12505" s="1" t="str">
        <f>"10908"</f>
        <v>10908</v>
      </c>
      <c r="E12505" s="1" t="s">
        <v>447</v>
      </c>
      <c r="F12505" s="1">
        <v>10</v>
      </c>
      <c r="G12505" s="1">
        <v>7</v>
      </c>
      <c r="H12505" s="1">
        <v>0</v>
      </c>
      <c r="I12505" s="1" t="s">
        <v>25669</v>
      </c>
      <c r="K12505" s="1" t="str">
        <f t="shared" si="790"/>
        <v>ㄧ</v>
      </c>
      <c r="L12505" s="1" t="str">
        <f t="shared" si="791"/>
        <v>ㄡ</v>
      </c>
      <c r="N12505" s="3" t="s">
        <v>30576</v>
      </c>
      <c r="O12505" s="3"/>
      <c r="P12505" s="1" t="s">
        <v>20</v>
      </c>
      <c r="R12505" s="1" t="s">
        <v>25670</v>
      </c>
      <c r="V12505" s="1" t="s">
        <v>25680</v>
      </c>
      <c r="AR12505" s="1" t="str">
        <f t="shared" si="792"/>
        <v>| [ㄧㄡˇ](ㄧㄡˇ.md) | [庮](庮.md) |  | yǒu | [名]
1.舊屋的朽木。《說文解字．广部》：「庮，久屋朽木。」《玉篇．广部》：「庮，朽木也，久屋木也。」
2.朽木的臭氣。《廣韻．上聲．有韻》：「庮，朽木臭也。」《周禮．天官．內饔》：「牛夜鳴則庮。」鄭玄注引鄭司農曰：「庮，朽木臭也。」 |</v>
      </c>
    </row>
    <row r="12506" spans="1:44" hidden="1">
      <c r="A12506" s="1" t="s">
        <v>25681</v>
      </c>
      <c r="C12506" s="1">
        <v>1</v>
      </c>
      <c r="D12506" s="1" t="str">
        <f>"10909"</f>
        <v>10909</v>
      </c>
      <c r="E12506" s="1" t="s">
        <v>139</v>
      </c>
      <c r="F12506" s="1">
        <v>15</v>
      </c>
      <c r="G12506" s="1">
        <v>11</v>
      </c>
      <c r="H12506" s="1">
        <v>0</v>
      </c>
      <c r="I12506" s="1" t="s">
        <v>25669</v>
      </c>
      <c r="K12506" s="1" t="str">
        <f t="shared" si="790"/>
        <v>ㄧ</v>
      </c>
      <c r="L12506" s="1" t="str">
        <f t="shared" si="791"/>
        <v>ㄡ</v>
      </c>
      <c r="N12506" s="3" t="s">
        <v>30576</v>
      </c>
      <c r="O12506" s="3"/>
      <c r="P12506" s="1" t="s">
        <v>20</v>
      </c>
      <c r="R12506" s="1" t="s">
        <v>25670</v>
      </c>
      <c r="V12506" s="1" t="s">
        <v>25682</v>
      </c>
      <c r="AR12506" s="1" t="str">
        <f t="shared" si="792"/>
        <v>| [ㄧㄡˇ](ㄧㄡˇ.md) | [槱](槱.md) |  | yǒu | [動]
聚積乾柴焚燒。為一種古代祭祀的儀式。《說文解字．木部》：「槱，積火燎之。」《詩經．大雅．棫樸》：「芃芃棫樸，薪之槱之。」漢．毛亨．傳：「槱，積也。」《周禮．春官．大宗伯》：「以槱燎祀司中、司命、飌師、雨師。」 |</v>
      </c>
    </row>
    <row r="12507" spans="1:44" hidden="1">
      <c r="A12507" s="1" t="s">
        <v>25683</v>
      </c>
      <c r="C12507" s="1">
        <v>1</v>
      </c>
      <c r="D12507" s="1" t="str">
        <f>"10910"</f>
        <v>10910</v>
      </c>
      <c r="E12507" s="1" t="s">
        <v>1279</v>
      </c>
      <c r="F12507" s="1">
        <v>7</v>
      </c>
      <c r="G12507" s="1">
        <v>5</v>
      </c>
      <c r="H12507" s="1">
        <v>0</v>
      </c>
      <c r="I12507" s="1" t="s">
        <v>25669</v>
      </c>
      <c r="K12507" s="1" t="str">
        <f t="shared" si="790"/>
        <v>ㄧ</v>
      </c>
      <c r="L12507" s="1" t="str">
        <f t="shared" si="791"/>
        <v>ㄡ</v>
      </c>
      <c r="N12507" s="3" t="s">
        <v>30576</v>
      </c>
      <c r="O12507" s="3"/>
      <c r="P12507" s="1" t="s">
        <v>20</v>
      </c>
      <c r="R12507" s="1" t="s">
        <v>25670</v>
      </c>
      <c r="V12507" s="1" t="s">
        <v>25684</v>
      </c>
      <c r="AR12507" s="1" t="str">
        <f t="shared" si="792"/>
        <v>| [ㄧㄡˇ](ㄧㄡˇ.md) | [卣](卣.md) |  | yǒu | [名]
古代一種盛酒的器具。其形製粗口、大肚、頂上有蓋且有提梁。《爾雅．釋器》：「卣，器也。」晉．郭璞．注：「盛酒尊。」 |</v>
      </c>
    </row>
    <row r="12508" spans="1:44" hidden="1">
      <c r="A12508" s="1" t="s">
        <v>25685</v>
      </c>
      <c r="C12508" s="1">
        <v>1</v>
      </c>
      <c r="D12508" s="1" t="str">
        <f>"10911"</f>
        <v>10911</v>
      </c>
      <c r="E12508" s="1" t="s">
        <v>43</v>
      </c>
      <c r="F12508" s="1">
        <v>9</v>
      </c>
      <c r="G12508" s="1">
        <v>3</v>
      </c>
      <c r="H12508" s="1">
        <v>0</v>
      </c>
      <c r="I12508" s="1" t="s">
        <v>25669</v>
      </c>
      <c r="K12508" s="1" t="str">
        <f t="shared" si="790"/>
        <v>ㄧ</v>
      </c>
      <c r="L12508" s="1" t="str">
        <f t="shared" si="791"/>
        <v>ㄡ</v>
      </c>
      <c r="N12508" s="3" t="s">
        <v>30576</v>
      </c>
      <c r="O12508" s="3"/>
      <c r="P12508" s="1" t="s">
        <v>20</v>
      </c>
      <c r="R12508" s="1" t="s">
        <v>25670</v>
      </c>
      <c r="V12508" s="1" t="s">
        <v>25686</v>
      </c>
      <c r="AR12508" s="1" t="str">
        <f t="shared" si="792"/>
        <v>| [ㄧㄡˇ](ㄧㄡˇ.md) | [羑](羑.md) |  | yǒu | [動]
誘導從善。《玉篇．羊部》：「羑，導也，進也，善也。今作誘。」《書經．康王之誥》：「惟周文武，誕受羑若，克恤西土。」 |</v>
      </c>
    </row>
    <row r="12509" spans="1:44" hidden="1">
      <c r="A12509" s="1" t="s">
        <v>25687</v>
      </c>
      <c r="C12509" s="1">
        <v>1</v>
      </c>
      <c r="D12509" s="1" t="str">
        <f>"10912"</f>
        <v>10912</v>
      </c>
      <c r="E12509" s="1" t="s">
        <v>37</v>
      </c>
      <c r="F12509" s="1">
        <v>11</v>
      </c>
      <c r="G12509" s="1">
        <v>7</v>
      </c>
      <c r="H12509" s="1">
        <v>2</v>
      </c>
      <c r="I12509" s="1" t="s">
        <v>25669</v>
      </c>
      <c r="K12509" s="1" t="str">
        <f t="shared" si="790"/>
        <v>ㄧ</v>
      </c>
      <c r="L12509" s="1" t="str">
        <f t="shared" si="791"/>
        <v>ㄡ</v>
      </c>
      <c r="N12509" s="3" t="s">
        <v>30576</v>
      </c>
      <c r="O12509" s="3"/>
      <c r="P12509" s="1" t="s">
        <v>110</v>
      </c>
      <c r="R12509" s="1" t="s">
        <v>25670</v>
      </c>
      <c r="V12509" s="1" t="s">
        <v>111</v>
      </c>
      <c r="W12509" s="1" t="s">
        <v>25688</v>
      </c>
      <c r="AR12509" s="1" t="str">
        <f t="shared" si="792"/>
        <v>| [ㄧㄡˇ](ㄧㄡˇ.md) | [莠](莠.md) |  | yǒu | (一)之又音。 |</v>
      </c>
    </row>
    <row r="12510" spans="1:44" hidden="1">
      <c r="A12510" s="1" t="s">
        <v>25689</v>
      </c>
      <c r="C12510" s="1">
        <v>1</v>
      </c>
      <c r="D12510" s="1" t="str">
        <f>"10913"</f>
        <v>10913</v>
      </c>
      <c r="E12510" s="1" t="s">
        <v>679</v>
      </c>
      <c r="F12510" s="1">
        <v>11</v>
      </c>
      <c r="G12510" s="1">
        <v>5</v>
      </c>
      <c r="H12510" s="1">
        <v>0</v>
      </c>
      <c r="I12510" s="1" t="s">
        <v>25669</v>
      </c>
      <c r="K12510" s="1" t="str">
        <f t="shared" si="790"/>
        <v>ㄧ</v>
      </c>
      <c r="L12510" s="1" t="str">
        <f t="shared" si="791"/>
        <v>ㄡ</v>
      </c>
      <c r="N12510" s="3" t="s">
        <v>30576</v>
      </c>
      <c r="O12510" s="3"/>
      <c r="P12510" s="1" t="s">
        <v>20</v>
      </c>
      <c r="R12510" s="1" t="s">
        <v>25670</v>
      </c>
      <c r="V12510" s="1" t="s">
        <v>25690</v>
      </c>
      <c r="AR12510" s="1" t="str">
        <f t="shared" si="792"/>
        <v>| [ㄧㄡˇ](ㄧㄡˇ.md) | [蚴](蚴.md) |  | yǒu | [形]
龍、蛇盤結蜷曲的樣子。《文選．司馬相如．上林賦》：「青龍蚴蟉於東葙，象輿婉僤於西清。」 |</v>
      </c>
    </row>
    <row r="12511" spans="1:44" hidden="1">
      <c r="A12511" s="1" t="s">
        <v>25691</v>
      </c>
      <c r="C12511" s="1">
        <v>1</v>
      </c>
      <c r="D12511" s="1" t="str">
        <f>"10914"</f>
        <v>10914</v>
      </c>
      <c r="E12511" s="1" t="s">
        <v>2777</v>
      </c>
      <c r="F12511" s="1">
        <v>17</v>
      </c>
      <c r="G12511" s="1">
        <v>5</v>
      </c>
      <c r="H12511" s="1">
        <v>0</v>
      </c>
      <c r="I12511" s="1" t="s">
        <v>25669</v>
      </c>
      <c r="K12511" s="1" t="str">
        <f t="shared" si="790"/>
        <v>ㄧ</v>
      </c>
      <c r="L12511" s="1" t="str">
        <f t="shared" si="791"/>
        <v>ㄡ</v>
      </c>
      <c r="N12511" s="3" t="s">
        <v>30576</v>
      </c>
      <c r="O12511" s="3"/>
      <c r="P12511" s="1" t="s">
        <v>20</v>
      </c>
      <c r="R12511" s="1" t="s">
        <v>25670</v>
      </c>
      <c r="V12511" s="1" t="s">
        <v>25692</v>
      </c>
      <c r="AR12511" s="1" t="str">
        <f t="shared" si="792"/>
        <v>| [ㄧㄡˇ](ㄧㄡˇ.md) | [黝](黝.md) |  | yǒu | [形]
青黑色的。《說文解字．黑部》：「黝，微青黑色。」如：「黝黑」。漢．王充《論衡．自紀》：「使面黝而黑醜，垢重襲而覆部，占射之者，十而失九。」 |</v>
      </c>
    </row>
    <row r="12512" spans="1:44" hidden="1">
      <c r="A12512" s="1" t="s">
        <v>25693</v>
      </c>
      <c r="C12512" s="1">
        <v>1</v>
      </c>
      <c r="D12512" s="1" t="str">
        <f>"10915"</f>
        <v>10915</v>
      </c>
      <c r="E12512" s="1" t="s">
        <v>698</v>
      </c>
      <c r="F12512" s="1">
        <v>15</v>
      </c>
      <c r="G12512" s="1">
        <v>11</v>
      </c>
      <c r="H12512" s="1">
        <v>0</v>
      </c>
      <c r="I12512" s="1" t="s">
        <v>25669</v>
      </c>
      <c r="K12512" s="1" t="str">
        <f t="shared" si="790"/>
        <v>ㄧ</v>
      </c>
      <c r="L12512" s="1" t="str">
        <f t="shared" si="791"/>
        <v>ㄡ</v>
      </c>
      <c r="N12512" s="3" t="s">
        <v>30576</v>
      </c>
      <c r="O12512" s="3"/>
      <c r="P12512" s="1" t="s">
        <v>20</v>
      </c>
      <c r="R12512" s="1" t="s">
        <v>25670</v>
      </c>
      <c r="V12512" s="1" t="s">
        <v>25694</v>
      </c>
      <c r="AR12512" s="1" t="str">
        <f t="shared" si="792"/>
        <v>| [ㄧㄡˇ](ㄧㄡˇ.md) | [牖](牖.md) |  | yǒu | [名]
窗戶。《書經．顧命》：「牖間南嚮，數重篾席。」唐．李公佐《南柯太守傳》：「吾與諸女坐北牖石榻上，時君少年，亦解騎來看。」
[動]
誘導。參見「牖民」條。 |</v>
      </c>
    </row>
    <row r="12513" spans="1:44" hidden="1">
      <c r="A12513" s="1" t="s">
        <v>25695</v>
      </c>
      <c r="C12513" s="1">
        <v>1</v>
      </c>
      <c r="D12513" s="1" t="str">
        <f>"10916"</f>
        <v>10916</v>
      </c>
      <c r="E12513" s="1" t="s">
        <v>250</v>
      </c>
      <c r="F12513" s="1">
        <v>18</v>
      </c>
      <c r="G12513" s="1">
        <v>15</v>
      </c>
      <c r="H12513" s="1">
        <v>0</v>
      </c>
      <c r="I12513" s="1" t="s">
        <v>25669</v>
      </c>
      <c r="K12513" s="1" t="str">
        <f t="shared" si="790"/>
        <v>ㄧ</v>
      </c>
      <c r="L12513" s="1" t="str">
        <f t="shared" si="791"/>
        <v>ㄡ</v>
      </c>
      <c r="N12513" s="3" t="s">
        <v>30576</v>
      </c>
      <c r="O12513" s="3"/>
      <c r="P12513" s="1" t="s">
        <v>20</v>
      </c>
      <c r="R12513" s="1" t="s">
        <v>25670</v>
      </c>
      <c r="V12513" s="1" t="s">
        <v>25696</v>
      </c>
      <c r="AR12513" s="1" t="str">
        <f t="shared" si="792"/>
        <v>| [ㄧㄡˇ](ㄧㄡˇ.md) | [懮](懮.md) |  | yǒu | [形]
懮受：從容悠閒的樣子。《玉篇．心部》：「懮，懮受，舒遲之貌。」《詩經．陳風．月出》：「舒懮受兮，勞心慅兮。」 |</v>
      </c>
    </row>
    <row r="12514" spans="1:44" hidden="1">
      <c r="A12514" s="1" t="s">
        <v>25797</v>
      </c>
      <c r="C12514" s="1">
        <v>1</v>
      </c>
      <c r="D12514" s="1" t="str">
        <f>"11018"</f>
        <v>11018</v>
      </c>
      <c r="E12514" s="1" t="s">
        <v>129</v>
      </c>
      <c r="F12514" s="1">
        <v>8</v>
      </c>
      <c r="G12514" s="1">
        <v>5</v>
      </c>
      <c r="H12514" s="1">
        <v>2</v>
      </c>
      <c r="I12514" s="1" t="s">
        <v>25917</v>
      </c>
      <c r="K12514" s="1" t="str">
        <f t="shared" si="790"/>
        <v>ㄧ</v>
      </c>
      <c r="L12514" s="1" t="str">
        <f t="shared" si="791"/>
        <v>ㄢ</v>
      </c>
      <c r="N12514" s="3" t="s">
        <v>30574</v>
      </c>
      <c r="O12514" s="3"/>
      <c r="P12514" s="1" t="s">
        <v>20</v>
      </c>
      <c r="R12514" s="1" t="s">
        <v>25918</v>
      </c>
      <c r="V12514" s="1" t="s">
        <v>25919</v>
      </c>
      <c r="W12514" s="1" t="s">
        <v>25920</v>
      </c>
      <c r="AR12514" s="1" t="str">
        <f t="shared" si="792"/>
        <v>| [ㄧㄢˋ](ㄧㄢˋ.md) | [沿](沿.md) |  | yàn | [名]
邊緣、岸。如：「階沿」。《西遊記》第二二回：「只讓你引他上來，我攔住河沿，不讓他回去，務要將他擒了。」 |</v>
      </c>
    </row>
    <row r="12515" spans="1:44" hidden="1">
      <c r="A12515" s="1" t="s">
        <v>25921</v>
      </c>
      <c r="C12515" s="1">
        <v>1</v>
      </c>
      <c r="D12515" s="1" t="str">
        <f>"11019"</f>
        <v>11019</v>
      </c>
      <c r="E12515" s="1" t="s">
        <v>1335</v>
      </c>
      <c r="F12515" s="1">
        <v>9</v>
      </c>
      <c r="G12515" s="1">
        <v>6</v>
      </c>
      <c r="H12515" s="1">
        <v>0</v>
      </c>
      <c r="I12515" s="1" t="s">
        <v>25917</v>
      </c>
      <c r="K12515" s="1" t="str">
        <f t="shared" si="790"/>
        <v>ㄧ</v>
      </c>
      <c r="L12515" s="1" t="str">
        <f t="shared" si="791"/>
        <v>ㄢ</v>
      </c>
      <c r="N12515" s="3" t="s">
        <v>30574</v>
      </c>
      <c r="O12515" s="3"/>
      <c r="P12515" s="1" t="s">
        <v>20</v>
      </c>
      <c r="R12515" s="1" t="s">
        <v>25918</v>
      </c>
      <c r="V12515" s="1" t="s">
        <v>25922</v>
      </c>
      <c r="AR12515" s="1" t="str">
        <f t="shared" si="792"/>
        <v>| [ㄧㄢˋ](ㄧㄢˋ.md) | [彥](彥.md) |  | yàn | [名]
才德出眾的人。如：「俊彥」、「碩彥」。《詩經．鄭風．羔裘》：「彼其之子，邦之彥兮。」漢．毛亨．傳：「彥，士之美稱。」 |</v>
      </c>
    </row>
    <row r="12516" spans="1:44" hidden="1">
      <c r="A12516" s="1" t="s">
        <v>25923</v>
      </c>
      <c r="C12516" s="1">
        <v>1</v>
      </c>
      <c r="D12516" s="1" t="str">
        <f>"11020"</f>
        <v>11020</v>
      </c>
      <c r="E12516" s="1" t="s">
        <v>28</v>
      </c>
      <c r="F12516" s="1">
        <v>12</v>
      </c>
      <c r="G12516" s="1">
        <v>9</v>
      </c>
      <c r="H12516" s="1">
        <v>0</v>
      </c>
      <c r="I12516" s="1" t="s">
        <v>25917</v>
      </c>
      <c r="K12516" s="1" t="str">
        <f t="shared" si="790"/>
        <v>ㄧ</v>
      </c>
      <c r="L12516" s="1" t="str">
        <f t="shared" si="791"/>
        <v>ㄢ</v>
      </c>
      <c r="N12516" s="3" t="s">
        <v>30574</v>
      </c>
      <c r="O12516" s="3"/>
      <c r="P12516" s="1" t="s">
        <v>20</v>
      </c>
      <c r="R12516" s="1" t="s">
        <v>25918</v>
      </c>
      <c r="V12516" s="1" t="s">
        <v>25924</v>
      </c>
      <c r="AR12516" s="1" t="str">
        <f t="shared" si="792"/>
        <v>| [ㄧㄢˋ](ㄧㄢˋ.md) | [喭](喭.md) |  | yàn | [動]
慰問喪家。通「唁」。晉．何劭〈荀粲傳〉：「婦病亡，未殯，傅嘏往喭粲，粲不哭而神傷。」
[形]
粗魯、率直。《論語．先進》：「師也辟，由也喭。」 |</v>
      </c>
    </row>
    <row r="12517" spans="1:44" hidden="1">
      <c r="A12517" s="1" t="s">
        <v>25925</v>
      </c>
      <c r="C12517" s="1">
        <v>1</v>
      </c>
      <c r="D12517" s="1" t="str">
        <f>"11021"</f>
        <v>11021</v>
      </c>
      <c r="E12517" s="1" t="s">
        <v>331</v>
      </c>
      <c r="F12517" s="1">
        <v>16</v>
      </c>
      <c r="G12517" s="1">
        <v>9</v>
      </c>
      <c r="H12517" s="1">
        <v>0</v>
      </c>
      <c r="I12517" s="1" t="s">
        <v>25917</v>
      </c>
      <c r="K12517" s="1" t="str">
        <f t="shared" si="790"/>
        <v>ㄧ</v>
      </c>
      <c r="L12517" s="1" t="str">
        <f t="shared" si="791"/>
        <v>ㄢ</v>
      </c>
      <c r="N12517" s="3" t="s">
        <v>30574</v>
      </c>
      <c r="O12517" s="3"/>
      <c r="P12517" s="1" t="s">
        <v>20</v>
      </c>
      <c r="R12517" s="1" t="s">
        <v>25918</v>
      </c>
      <c r="V12517" s="1" t="s">
        <v>25926</v>
      </c>
      <c r="AR12517" s="1" t="str">
        <f t="shared" si="792"/>
        <v>| [ㄧㄢˋ](ㄧㄢˋ.md) | [諺](諺.md) |  | yàn | [名]
民間口頭流傳，具有說理、勸誡等作用的語句。如：「俗諺」、「古諺」。《左傳．桓公十年》：「周諺有之：『匹夫無罪，懷璧其罪？』」
[動]
慰問喪者家屬。通「唁」。南朝梁．劉勰《文心雕龍．書記》：「諺者，直語也。喪言亦不及文，故弔亦稱諺。」北齊．劉晝《劉子．卷一〇．正賞》：「昔者仲尼先飯黍，侍者掩口笑；子游揚裘而諺，曾參指揮而哂。」 |</v>
      </c>
    </row>
    <row r="12518" spans="1:44" hidden="1">
      <c r="A12518" s="1" t="s">
        <v>25788</v>
      </c>
      <c r="C12518" s="1">
        <v>1</v>
      </c>
      <c r="D12518" s="1" t="str">
        <f>"11022"</f>
        <v>11022</v>
      </c>
      <c r="E12518" s="1" t="s">
        <v>169</v>
      </c>
      <c r="F12518" s="1">
        <v>9</v>
      </c>
      <c r="G12518" s="1">
        <v>4</v>
      </c>
      <c r="H12518" s="1">
        <v>2</v>
      </c>
      <c r="I12518" s="1" t="s">
        <v>25917</v>
      </c>
      <c r="K12518" s="1" t="str">
        <f t="shared" si="790"/>
        <v>ㄧ</v>
      </c>
      <c r="L12518" s="1" t="str">
        <f t="shared" si="791"/>
        <v>ㄢ</v>
      </c>
      <c r="N12518" s="3" t="s">
        <v>30574</v>
      </c>
      <c r="O12518" s="3"/>
      <c r="P12518" s="1" t="s">
        <v>20</v>
      </c>
      <c r="R12518" s="1" t="s">
        <v>25918</v>
      </c>
      <c r="V12518" s="1" t="s">
        <v>25927</v>
      </c>
      <c r="W12518" s="1" t="s">
        <v>25928</v>
      </c>
      <c r="AR12518" s="1" t="str">
        <f t="shared" si="792"/>
        <v>| [ㄧㄢˋ](ㄧㄢˋ.md) | [研](研.md) |  | yàn | [名]
1.滑石。《文選．郭璞．江賦》：「紫菜熒曄以叢被，綠苔鬖髿乎研上。」
2.磨墨的用具。同「硯」。《後漢書．卷四七．班超傳》：「大丈夫無它志略，猶當效傅介子、張騫立功異域，以取封侯，安能久事筆研閒乎？」宋．陸游〈村居〉詩：「自今焚筆研，有手但扶犁。」 |</v>
      </c>
    </row>
    <row r="12519" spans="1:44" hidden="1">
      <c r="A12519" s="1" t="s">
        <v>25372</v>
      </c>
      <c r="C12519" s="1">
        <v>1</v>
      </c>
      <c r="D12519" s="1" t="str">
        <f>"11023"</f>
        <v>11023</v>
      </c>
      <c r="E12519" s="1" t="s">
        <v>28</v>
      </c>
      <c r="F12519" s="1">
        <v>9</v>
      </c>
      <c r="G12519" s="1">
        <v>6</v>
      </c>
      <c r="H12519" s="1">
        <v>2</v>
      </c>
      <c r="I12519" s="1" t="s">
        <v>25917</v>
      </c>
      <c r="K12519" s="1" t="str">
        <f t="shared" si="790"/>
        <v>ㄧ</v>
      </c>
      <c r="L12519" s="1" t="str">
        <f t="shared" si="791"/>
        <v>ㄢ</v>
      </c>
      <c r="N12519" s="3" t="s">
        <v>30574</v>
      </c>
      <c r="O12519" s="3"/>
      <c r="P12519" s="1" t="s">
        <v>20</v>
      </c>
      <c r="R12519" s="1" t="s">
        <v>25918</v>
      </c>
      <c r="V12519" s="1" t="s">
        <v>25929</v>
      </c>
      <c r="W12519" s="1" t="s">
        <v>25930</v>
      </c>
      <c r="AR12519" s="1" t="str">
        <f t="shared" si="792"/>
        <v>| [ㄧㄢˋ](ㄧㄢˋ.md) | [咽](咽.md) |  | yàn | [動]
1.吞嚥。同「嚥」。《兒女英雄傳》第八回：「被張金鳳罵得眼淚往肚子裡咽，被那王八奶奶兒嘔得肝火往頂門上噴。」
2.突然停住不說。《紅樓夢》第八三回：「說到這裡，猛然咽住。」 |</v>
      </c>
    </row>
    <row r="12520" spans="1:44" hidden="1">
      <c r="A12520" s="1" t="s">
        <v>25931</v>
      </c>
      <c r="C12520" s="1">
        <v>1</v>
      </c>
      <c r="D12520" s="1" t="str">
        <f>"11024"</f>
        <v>11024</v>
      </c>
      <c r="E12520" s="1" t="s">
        <v>624</v>
      </c>
      <c r="F12520" s="1">
        <v>10</v>
      </c>
      <c r="G12520" s="1">
        <v>7</v>
      </c>
      <c r="H12520" s="1">
        <v>0</v>
      </c>
      <c r="I12520" s="1" t="s">
        <v>25917</v>
      </c>
      <c r="K12520" s="1" t="str">
        <f t="shared" si="790"/>
        <v>ㄧ</v>
      </c>
      <c r="L12520" s="1" t="str">
        <f t="shared" si="791"/>
        <v>ㄢ</v>
      </c>
      <c r="N12520" s="3" t="s">
        <v>30574</v>
      </c>
      <c r="O12520" s="3"/>
      <c r="P12520" s="1" t="s">
        <v>20</v>
      </c>
      <c r="R12520" s="1" t="s">
        <v>25918</v>
      </c>
      <c r="V12520" s="1" t="s">
        <v>25932</v>
      </c>
      <c r="AR12520" s="1" t="str">
        <f t="shared" si="792"/>
        <v>| [ㄧㄢˋ](ㄧㄢˋ.md) | [宴](宴.md) |  | yàn | [形]
1.安逸、安閒。《說文解字．宀部》：「宴，安也。」《左傳．閔公元年》：「宴安酖毒，不可懷也。」唐．孔穎達．正義：「宴安，自逸，若酖毒之藥。」
2.快樂。《詩經．邶風．谷風》：「宴爾新昏，如兄如弟。」《左傳．成公二年》：「衡父不忍數年之不宴，以棄魯國。」晉．杜預．注：「宴，樂也。」
[名]
酒席、筵席。如：「赴宴」、「設宴款待」、「鴻門宴」。唐．杜甫〈自京赴奉先縣詠懷五百字〉詩：「賜浴皆長纓，與宴非短褐。」
[動]
1.以酒食款待賓客。如：「宴客」。宋．陸游〈長歌行〉：「何當凱還宴將士，三更雪壓飛狐城。」
2.安居、休息。《漢書．卷四八．賈誼傳》：「少保，少傅，少師，是與太子宴者也。」唐．顏師古．注：「宴謂安居。」
[副]
安閒。如：「宴居」。宋．蘇軾〈應夢觀音贊〉：「稽首觀音，宴坐寶石。」 |</v>
      </c>
    </row>
    <row r="12521" spans="1:44" hidden="1">
      <c r="A12521" s="1" t="s">
        <v>25933</v>
      </c>
      <c r="C12521" s="1">
        <v>1</v>
      </c>
      <c r="D12521" s="1" t="str">
        <f>"11025"</f>
        <v>11025</v>
      </c>
      <c r="E12521" s="1" t="s">
        <v>132</v>
      </c>
      <c r="F12521" s="1">
        <v>12</v>
      </c>
      <c r="G12521" s="1">
        <v>9</v>
      </c>
      <c r="H12521" s="1">
        <v>0</v>
      </c>
      <c r="I12521" s="1" t="s">
        <v>25917</v>
      </c>
      <c r="K12521" s="1" t="str">
        <f t="shared" si="790"/>
        <v>ㄧ</v>
      </c>
      <c r="L12521" s="1" t="str">
        <f t="shared" si="791"/>
        <v>ㄢ</v>
      </c>
      <c r="N12521" s="3" t="s">
        <v>30574</v>
      </c>
      <c r="O12521" s="3"/>
      <c r="P12521" s="1" t="s">
        <v>20</v>
      </c>
      <c r="R12521" s="1" t="s">
        <v>25918</v>
      </c>
      <c r="V12521" s="1" t="s">
        <v>25934</v>
      </c>
      <c r="AR12521" s="1" t="str">
        <f t="shared" si="792"/>
        <v>| [ㄧㄢˋ](ㄧㄢˋ.md) | [堰](堰.md) |  | yàn | [名]
擋水的土堤。《南史．卷五五．夏侯詳傳》：「夔乃率軍人於蒼陵立堰，溉田千餘頃。」
[動]
阻擋。唐．盧照鄰〈行路難〉：「誰家能駐西山日？誰家能堰東流水？」明．徐弘祖《徐霞客遊記．卷三下．粵西遊日記二》：「東面危崖獨展，與西高峰麓相對成峽。峽南堰水為塘。」 |</v>
      </c>
    </row>
    <row r="12522" spans="1:44" hidden="1">
      <c r="A12522" s="1" t="s">
        <v>25935</v>
      </c>
      <c r="C12522" s="1">
        <v>1</v>
      </c>
      <c r="D12522" s="1" t="str">
        <f>"11026"</f>
        <v>11026</v>
      </c>
      <c r="E12522" s="1" t="s">
        <v>28</v>
      </c>
      <c r="F12522" s="1">
        <v>10</v>
      </c>
      <c r="G12522" s="1">
        <v>7</v>
      </c>
      <c r="H12522" s="1">
        <v>0</v>
      </c>
      <c r="I12522" s="1" t="s">
        <v>25917</v>
      </c>
      <c r="K12522" s="1" t="str">
        <f t="shared" ref="K12522:K12585" si="793">LEFT(I12522, 1)</f>
        <v>ㄧ</v>
      </c>
      <c r="L12522" s="1" t="str">
        <f t="shared" ref="L12522:L12585" si="794">MID(I12522, 2, 1)</f>
        <v>ㄢ</v>
      </c>
      <c r="N12522" s="3" t="s">
        <v>30574</v>
      </c>
      <c r="O12522" s="3"/>
      <c r="P12522" s="1" t="s">
        <v>20</v>
      </c>
      <c r="R12522" s="1" t="s">
        <v>25918</v>
      </c>
      <c r="V12522" s="1" t="s">
        <v>25936</v>
      </c>
      <c r="AR12522" s="1" t="str">
        <f t="shared" si="792"/>
        <v>| [ㄧㄢˋ](ㄧㄢˋ.md) | [唁](唁.md) |  | yàn | [動]
1.慰問死者的家屬。如：「弔唁」、「慰唁」。
2.安慰。《詩經．鄘風．載馳》：「載馳載驅，歸唁衛侯。」《舊唐書．卷一二五．蕭復傳》：「復輒以賑貸，為有司所劾削階，朋友唁之。」 |</v>
      </c>
    </row>
    <row r="12523" spans="1:44" hidden="1">
      <c r="A12523" s="1" t="s">
        <v>25937</v>
      </c>
      <c r="C12523" s="1">
        <v>1</v>
      </c>
      <c r="D12523" s="1" t="str">
        <f>"11027"</f>
        <v>11027</v>
      </c>
      <c r="E12523" s="1" t="s">
        <v>646</v>
      </c>
      <c r="F12523" s="1">
        <v>10</v>
      </c>
      <c r="G12523" s="1">
        <v>6</v>
      </c>
      <c r="H12523" s="1">
        <v>0</v>
      </c>
      <c r="I12523" s="1" t="s">
        <v>25917</v>
      </c>
      <c r="K12523" s="1" t="str">
        <f t="shared" si="793"/>
        <v>ㄧ</v>
      </c>
      <c r="L12523" s="1" t="str">
        <f t="shared" si="794"/>
        <v>ㄢ</v>
      </c>
      <c r="N12523" s="3" t="s">
        <v>30574</v>
      </c>
      <c r="O12523" s="3"/>
      <c r="P12523" s="1" t="s">
        <v>20</v>
      </c>
      <c r="R12523" s="1" t="s">
        <v>25918</v>
      </c>
      <c r="V12523" s="1" t="s">
        <v>25938</v>
      </c>
      <c r="AR12523" s="1" t="str">
        <f t="shared" si="792"/>
        <v>| [ㄧㄢˋ](ㄧㄢˋ.md) | [晏](晏.md) |  | yàn | [形]
1.晴朗無雲。《說文解字．日部》：「晏，天清也。」《漢書．卷八七．揚雄傳上》：「於是天清日晏，逢蒙列眥，羿氏控弦。」
2.晚、遲。《楚辭．屈原．離騷》：「及年歲之未晏兮，時亦猶其未央。」《呂氏春秋．似順論．慎小》：「二子待君，日晏，公不來至。」漢．高誘．注：「晏，暮也。」
3.平靜、安和。如：「河清海晏」。《漢書．卷一四．諸侯王表》：「高后女主攝位，而海內晏如。」
[副]
晚、遲。如：「晏寢」。宋．陸游〈新晴出門閑步〉詩：「廢寺僧寒多晏起，近村農惰闕冬耕。」
[名]
姓。如宋代有晏殊。 |</v>
      </c>
    </row>
    <row r="12524" spans="1:44" hidden="1">
      <c r="A12524" s="1" t="s">
        <v>25939</v>
      </c>
      <c r="C12524" s="1">
        <v>1</v>
      </c>
      <c r="D12524" s="1" t="str">
        <f>"11028"</f>
        <v>11028</v>
      </c>
      <c r="E12524" s="1" t="s">
        <v>272</v>
      </c>
      <c r="F12524" s="1">
        <v>17</v>
      </c>
      <c r="G12524" s="1">
        <v>6</v>
      </c>
      <c r="H12524" s="1">
        <v>0</v>
      </c>
      <c r="I12524" s="1" t="s">
        <v>25917</v>
      </c>
      <c r="K12524" s="1" t="str">
        <f t="shared" si="793"/>
        <v>ㄧ</v>
      </c>
      <c r="L12524" s="1" t="str">
        <f t="shared" si="794"/>
        <v>ㄢ</v>
      </c>
      <c r="N12524" s="3" t="s">
        <v>30574</v>
      </c>
      <c r="O12524" s="3"/>
      <c r="P12524" s="1" t="s">
        <v>20</v>
      </c>
      <c r="R12524" s="1" t="s">
        <v>25918</v>
      </c>
      <c r="V12524" s="1" t="s">
        <v>25940</v>
      </c>
      <c r="AR12524" s="1" t="str">
        <f t="shared" si="792"/>
        <v>| [ㄧㄢˋ](ㄧㄢˋ.md) | [鴳](鴳.md) |  | yàn | [名]
一種小型的鳥。《國語．晉語八》：「平公射鴳，不死，使豎襄搏之，失。」三國吳．韋昭．注：「鴳，雇，小鳥。」也作「鷃」。 |</v>
      </c>
    </row>
    <row r="12525" spans="1:44" hidden="1">
      <c r="A12525" s="1" t="s">
        <v>25941</v>
      </c>
      <c r="C12525" s="1">
        <v>1</v>
      </c>
      <c r="D12525" s="1" t="str">
        <f>"11029"</f>
        <v>11029</v>
      </c>
      <c r="E12525" s="1" t="s">
        <v>272</v>
      </c>
      <c r="F12525" s="1">
        <v>21</v>
      </c>
      <c r="G12525" s="1">
        <v>10</v>
      </c>
      <c r="H12525" s="1">
        <v>0</v>
      </c>
      <c r="I12525" s="1" t="s">
        <v>25917</v>
      </c>
      <c r="K12525" s="1" t="str">
        <f t="shared" si="793"/>
        <v>ㄧ</v>
      </c>
      <c r="L12525" s="1" t="str">
        <f t="shared" si="794"/>
        <v>ㄢ</v>
      </c>
      <c r="N12525" s="3" t="s">
        <v>30574</v>
      </c>
      <c r="O12525" s="3"/>
      <c r="P12525" s="1" t="s">
        <v>20</v>
      </c>
      <c r="R12525" s="1" t="s">
        <v>25918</v>
      </c>
      <c r="V12525" s="1" t="s">
        <v>25942</v>
      </c>
      <c r="AR12525" s="1" t="str">
        <f t="shared" si="792"/>
        <v>| [ㄧㄢˋ](ㄧㄢˋ.md) | [鷃](鷃.md) |  | yàn | [名]
一種小型的鳥。《文選．宋玉．對楚王問》：「鳳皇上擊九千里，絕雲霓，負蒼天，翱翔乎杳冥之上。夫蕃籬之鷃，豈能與之料天地之高哉？」宋．辛棄疾〈漢宮春．達則青雲〉詞：「逍遙小大自適，鵬鷃何殊！」 |</v>
      </c>
    </row>
    <row r="12526" spans="1:44" hidden="1">
      <c r="A12526" s="1" t="s">
        <v>24640</v>
      </c>
      <c r="C12526" s="1">
        <v>1</v>
      </c>
      <c r="D12526" s="1" t="str">
        <f>"11030"</f>
        <v>11030</v>
      </c>
      <c r="E12526" s="1" t="s">
        <v>114</v>
      </c>
      <c r="F12526" s="1">
        <v>10</v>
      </c>
      <c r="G12526" s="1">
        <v>8</v>
      </c>
      <c r="H12526" s="1">
        <v>2</v>
      </c>
      <c r="I12526" s="1" t="s">
        <v>25917</v>
      </c>
      <c r="K12526" s="1" t="str">
        <f t="shared" si="793"/>
        <v>ㄧ</v>
      </c>
      <c r="L12526" s="1" t="str">
        <f t="shared" si="794"/>
        <v>ㄢ</v>
      </c>
      <c r="N12526" s="3" t="s">
        <v>30574</v>
      </c>
      <c r="O12526" s="3"/>
      <c r="P12526" s="1" t="s">
        <v>20</v>
      </c>
      <c r="R12526" s="1" t="s">
        <v>25918</v>
      </c>
      <c r="V12526" s="1" t="s">
        <v>25943</v>
      </c>
      <c r="W12526" s="1" t="s">
        <v>25944</v>
      </c>
      <c r="AR12526" s="1" t="str">
        <f t="shared" si="792"/>
        <v>| [ㄧㄢˋ](ㄧㄢˋ.md) | [俺](俺.md) |  | yàn | [形]
大。《說文解字．人部》：「俺，大也。」 |</v>
      </c>
    </row>
    <row r="12527" spans="1:44" hidden="1">
      <c r="A12527" s="1" t="s">
        <v>25738</v>
      </c>
      <c r="C12527" s="1">
        <v>1</v>
      </c>
      <c r="D12527" s="1" t="str">
        <f>"11031"</f>
        <v>11031</v>
      </c>
      <c r="E12527" s="1" t="s">
        <v>129</v>
      </c>
      <c r="F12527" s="1">
        <v>11</v>
      </c>
      <c r="G12527" s="1">
        <v>8</v>
      </c>
      <c r="H12527" s="1">
        <v>2</v>
      </c>
      <c r="I12527" s="1" t="s">
        <v>25917</v>
      </c>
      <c r="K12527" s="1" t="str">
        <f t="shared" si="793"/>
        <v>ㄧ</v>
      </c>
      <c r="L12527" s="1" t="str">
        <f t="shared" si="794"/>
        <v>ㄢ</v>
      </c>
      <c r="N12527" s="3" t="s">
        <v>30574</v>
      </c>
      <c r="O12527" s="3"/>
      <c r="P12527" s="1" t="s">
        <v>20</v>
      </c>
      <c r="R12527" s="1" t="s">
        <v>25918</v>
      </c>
      <c r="V12527" s="1" t="s">
        <v>25945</v>
      </c>
      <c r="W12527" s="1" t="s">
        <v>25946</v>
      </c>
      <c r="AR12527" s="1" t="str">
        <f t="shared" si="792"/>
        <v>| [ㄧㄢˋ](ㄧㄢˋ.md) | [淹](淹.md) |  | yàn | [動]
浸沒。如：「醃菜時要讓水淹過菜來。」 |</v>
      </c>
    </row>
    <row r="12528" spans="1:44" hidden="1">
      <c r="A12528" s="1" t="s">
        <v>16852</v>
      </c>
      <c r="C12528" s="1">
        <v>1</v>
      </c>
      <c r="D12528" s="1" t="str">
        <f>"11032"</f>
        <v>11032</v>
      </c>
      <c r="E12528" s="1" t="s">
        <v>129</v>
      </c>
      <c r="F12528" s="1">
        <v>11</v>
      </c>
      <c r="G12528" s="1">
        <v>8</v>
      </c>
      <c r="H12528" s="1">
        <v>2</v>
      </c>
      <c r="I12528" s="1" t="s">
        <v>25917</v>
      </c>
      <c r="K12528" s="1" t="str">
        <f t="shared" si="793"/>
        <v>ㄧ</v>
      </c>
      <c r="L12528" s="1" t="str">
        <f t="shared" si="794"/>
        <v>ㄢ</v>
      </c>
      <c r="N12528" s="3" t="s">
        <v>30574</v>
      </c>
      <c r="O12528" s="3"/>
      <c r="P12528" s="1" t="s">
        <v>20</v>
      </c>
      <c r="R12528" s="1" t="s">
        <v>25918</v>
      </c>
      <c r="V12528" s="1" t="s">
        <v>25947</v>
      </c>
      <c r="W12528" s="1" t="s">
        <v>25948</v>
      </c>
      <c r="AR12528" s="1" t="str">
        <f t="shared" si="792"/>
        <v>| [ㄧㄢˋ](ㄧㄢˋ.md) | [涎](涎.md) |  | yàn | 參見「迆涎」、「涎涎」等條。 |</v>
      </c>
    </row>
    <row r="12529" spans="1:44" hidden="1">
      <c r="A12529" s="1" t="s">
        <v>21107</v>
      </c>
      <c r="C12529" s="1">
        <v>1</v>
      </c>
      <c r="D12529" s="1" t="str">
        <f>"11033"</f>
        <v>11033</v>
      </c>
      <c r="E12529" s="1" t="s">
        <v>24</v>
      </c>
      <c r="F12529" s="1">
        <v>11</v>
      </c>
      <c r="G12529" s="1">
        <v>8</v>
      </c>
      <c r="H12529" s="1">
        <v>2</v>
      </c>
      <c r="I12529" s="1" t="s">
        <v>25917</v>
      </c>
      <c r="K12529" s="1" t="str">
        <f t="shared" si="793"/>
        <v>ㄧ</v>
      </c>
      <c r="L12529" s="1" t="str">
        <f t="shared" si="794"/>
        <v>ㄢ</v>
      </c>
      <c r="N12529" s="3" t="s">
        <v>30574</v>
      </c>
      <c r="O12529" s="3"/>
      <c r="P12529" s="1" t="s">
        <v>20</v>
      </c>
      <c r="R12529" s="1" t="s">
        <v>25918</v>
      </c>
      <c r="V12529" s="1" t="s">
        <v>25949</v>
      </c>
      <c r="W12529" s="1" t="s">
        <v>25950</v>
      </c>
      <c r="AR12529" s="1" t="str">
        <f t="shared" si="792"/>
        <v>| [ㄧㄢˋ](ㄧㄢˋ.md) | [掞](掞.md) |  | yàn | [動]
照耀。晉．左思〈蜀都賦〉：「幽思絢道德，摛藻掞天庭。」南朝梁．庾肩吾〈侍宴宣猷堂應令〉詩：「副君德將聖，陳王才掞天。」 |</v>
      </c>
    </row>
    <row r="12530" spans="1:44" hidden="1">
      <c r="A12530" s="1" t="s">
        <v>25951</v>
      </c>
      <c r="C12530" s="1">
        <v>1</v>
      </c>
      <c r="D12530" s="1" t="str">
        <f>"11034"</f>
        <v>11034</v>
      </c>
      <c r="E12530" s="1" t="s">
        <v>336</v>
      </c>
      <c r="F12530" s="1">
        <v>12</v>
      </c>
      <c r="G12530" s="1">
        <v>8</v>
      </c>
      <c r="H12530" s="1">
        <v>0</v>
      </c>
      <c r="I12530" s="1" t="s">
        <v>25917</v>
      </c>
      <c r="K12530" s="1" t="str">
        <f t="shared" si="793"/>
        <v>ㄧ</v>
      </c>
      <c r="L12530" s="1" t="str">
        <f t="shared" si="794"/>
        <v>ㄢ</v>
      </c>
      <c r="N12530" s="3" t="s">
        <v>30574</v>
      </c>
      <c r="O12530" s="3"/>
      <c r="P12530" s="1" t="s">
        <v>20</v>
      </c>
      <c r="R12530" s="1" t="s">
        <v>25918</v>
      </c>
      <c r="V12530" s="1" t="s">
        <v>25952</v>
      </c>
      <c r="AR12530" s="1" t="str">
        <f t="shared" si="792"/>
        <v>| [ㄧㄢˋ](ㄧㄢˋ.md) | [焱](焱.md) |  | yàn | [名]
火花、火焰。《說文解字．焱部》：「焱，火華也。」《文選．曹植．七啟》：「騰山赴壑，風厲焱舉。」 |</v>
      </c>
    </row>
    <row r="12531" spans="1:44" hidden="1">
      <c r="A12531" s="1" t="s">
        <v>25953</v>
      </c>
      <c r="C12531" s="1">
        <v>1</v>
      </c>
      <c r="D12531" s="1" t="str">
        <f>"11035"</f>
        <v>11035</v>
      </c>
      <c r="E12531" s="1" t="s">
        <v>336</v>
      </c>
      <c r="F12531" s="1">
        <v>12</v>
      </c>
      <c r="G12531" s="1">
        <v>8</v>
      </c>
      <c r="H12531" s="1">
        <v>0</v>
      </c>
      <c r="I12531" s="1" t="s">
        <v>25917</v>
      </c>
      <c r="K12531" s="1" t="str">
        <f t="shared" si="793"/>
        <v>ㄧ</v>
      </c>
      <c r="L12531" s="1" t="str">
        <f t="shared" si="794"/>
        <v>ㄢ</v>
      </c>
      <c r="N12531" s="3" t="s">
        <v>30574</v>
      </c>
      <c r="O12531" s="3"/>
      <c r="P12531" s="1" t="s">
        <v>20</v>
      </c>
      <c r="R12531" s="1" t="s">
        <v>25918</v>
      </c>
      <c r="V12531" s="1" t="s">
        <v>25954</v>
      </c>
      <c r="AR12531" s="1" t="str">
        <f t="shared" si="792"/>
        <v>| [ㄧㄢˋ](ㄧㄢˋ.md) | [焰](焰.md) |  | yàn | [名]
1.物體燃燒時發出光熱的部分。俗稱為「火苗」。如：「火焰」、「赤焰」。
2.比喻氣勢、威勢。如：「氣焰逼人」、「敵焰囂張」。 |</v>
      </c>
    </row>
    <row r="12532" spans="1:44" hidden="1">
      <c r="A12532" s="1" t="s">
        <v>25955</v>
      </c>
      <c r="C12532" s="1">
        <v>1</v>
      </c>
      <c r="D12532" s="1" t="str">
        <f>"11036"</f>
        <v>11036</v>
      </c>
      <c r="E12532" s="1" t="s">
        <v>336</v>
      </c>
      <c r="F12532" s="1">
        <v>16</v>
      </c>
      <c r="G12532" s="1">
        <v>12</v>
      </c>
      <c r="H12532" s="1">
        <v>0</v>
      </c>
      <c r="I12532" s="1" t="s">
        <v>25917</v>
      </c>
      <c r="K12532" s="1" t="str">
        <f t="shared" si="793"/>
        <v>ㄧ</v>
      </c>
      <c r="L12532" s="1" t="str">
        <f t="shared" si="794"/>
        <v>ㄢ</v>
      </c>
      <c r="N12532" s="3" t="s">
        <v>30574</v>
      </c>
      <c r="O12532" s="3"/>
      <c r="P12532" s="1" t="s">
        <v>20</v>
      </c>
      <c r="R12532" s="1" t="s">
        <v>25918</v>
      </c>
      <c r="V12532" s="1" t="s">
        <v>25956</v>
      </c>
      <c r="AR12532" s="1" t="str">
        <f t="shared" si="792"/>
        <v>| [ㄧㄢˋ](ㄧㄢˋ.md) | [燄](燄.md) |  | yàn | [名]
火苗、火花。同「焰」。《晉書．卷一〇七．石季龍載記下》：「光燄照天，金石皆盡，火月餘乃滅。」唐．杜甫〈火〉詩：「風吹巨燄作，河櫂騰煙柱。」 |</v>
      </c>
    </row>
    <row r="12533" spans="1:44" hidden="1">
      <c r="A12533" s="1" t="s">
        <v>25957</v>
      </c>
      <c r="C12533" s="1">
        <v>1</v>
      </c>
      <c r="D12533" s="1" t="str">
        <f>"11037"</f>
        <v>11037</v>
      </c>
      <c r="E12533" s="1" t="s">
        <v>336</v>
      </c>
      <c r="F12533" s="1">
        <v>20</v>
      </c>
      <c r="G12533" s="1">
        <v>16</v>
      </c>
      <c r="H12533" s="1">
        <v>0</v>
      </c>
      <c r="I12533" s="1" t="s">
        <v>25917</v>
      </c>
      <c r="K12533" s="1" t="str">
        <f t="shared" si="793"/>
        <v>ㄧ</v>
      </c>
      <c r="L12533" s="1" t="str">
        <f t="shared" si="794"/>
        <v>ㄢ</v>
      </c>
      <c r="N12533" s="3" t="s">
        <v>30574</v>
      </c>
      <c r="O12533" s="3"/>
      <c r="P12533" s="1" t="s">
        <v>20</v>
      </c>
      <c r="R12533" s="1" t="s">
        <v>25918</v>
      </c>
      <c r="V12533" s="1" t="s">
        <v>25958</v>
      </c>
      <c r="AR12533" s="1" t="str">
        <f t="shared" si="792"/>
        <v>| [ㄧㄢˋ](ㄧㄢˋ.md) | [爓](爓.md) |  | yàn | [名]
火花、火苗。同「焰」。《集韻．去聲．豔韻》：「爓，火光。或作焰。」《文選．班固．西都賦》：「發五色之渥采，光爓朗以景彰。」 |</v>
      </c>
    </row>
    <row r="12534" spans="1:44" hidden="1">
      <c r="A12534" s="1" t="s">
        <v>25959</v>
      </c>
      <c r="C12534" s="1">
        <v>1</v>
      </c>
      <c r="D12534" s="1" t="str">
        <f>"11038"</f>
        <v>11038</v>
      </c>
      <c r="E12534" s="1" t="s">
        <v>169</v>
      </c>
      <c r="F12534" s="1">
        <v>12</v>
      </c>
      <c r="G12534" s="1">
        <v>7</v>
      </c>
      <c r="H12534" s="1">
        <v>0</v>
      </c>
      <c r="I12534" s="1" t="s">
        <v>25917</v>
      </c>
      <c r="K12534" s="1" t="str">
        <f t="shared" si="793"/>
        <v>ㄧ</v>
      </c>
      <c r="L12534" s="1" t="str">
        <f t="shared" si="794"/>
        <v>ㄢ</v>
      </c>
      <c r="N12534" s="3" t="s">
        <v>30574</v>
      </c>
      <c r="O12534" s="3"/>
      <c r="P12534" s="1" t="s">
        <v>20</v>
      </c>
      <c r="R12534" s="1" t="s">
        <v>25918</v>
      </c>
      <c r="V12534" s="1" t="s">
        <v>25960</v>
      </c>
      <c r="AR12534" s="1" t="str">
        <f t="shared" si="792"/>
        <v>| [ㄧㄢˋ](ㄧㄢˋ.md) | [硯](硯.md) |  | yàn | [名]
磨墨的用具，通常用石頭製成。如：「硯臺」。宋．蘇軾〈次韻孔毅父久旱已而甚雨〉詩三首之一：「我生無田食破硯，爾來硯枯磨不出。」
[形]
有同學情誼的。如：「硯兄」、「硯友」。 |</v>
      </c>
    </row>
    <row r="12535" spans="1:44" hidden="1">
      <c r="A12535" s="1" t="s">
        <v>25961</v>
      </c>
      <c r="C12535" s="1">
        <v>1</v>
      </c>
      <c r="D12535" s="1" t="str">
        <f>"11039"</f>
        <v>11039</v>
      </c>
      <c r="E12535" s="1" t="s">
        <v>5383</v>
      </c>
      <c r="F12535" s="1">
        <v>12</v>
      </c>
      <c r="G12535" s="1">
        <v>4</v>
      </c>
      <c r="H12535" s="1">
        <v>0</v>
      </c>
      <c r="I12535" s="1" t="s">
        <v>25917</v>
      </c>
      <c r="K12535" s="1" t="str">
        <f t="shared" si="793"/>
        <v>ㄧ</v>
      </c>
      <c r="L12535" s="1" t="str">
        <f t="shared" si="794"/>
        <v>ㄢ</v>
      </c>
      <c r="N12535" s="3" t="s">
        <v>30574</v>
      </c>
      <c r="O12535" s="3"/>
      <c r="P12535" s="1" t="s">
        <v>20</v>
      </c>
      <c r="R12535" s="1" t="s">
        <v>25918</v>
      </c>
      <c r="V12535" s="1" t="s">
        <v>25962</v>
      </c>
      <c r="AR12535" s="1" t="str">
        <f t="shared" si="792"/>
        <v>| [ㄧㄢˋ](ㄧㄢˋ.md) | [雁](雁.md) |  | yàn | [名]_x000D_
動物名。一種鳥類。形狀似鵝，頸和翼較長，嘴長微黃，羽淡紫褐色，鳴聲嘹亮，飛時自成行列。每年春分後往北飛，秋分後往南飛，為一種季節性的候鳥。 |</v>
      </c>
    </row>
    <row r="12536" spans="1:44" hidden="1">
      <c r="A12536" s="1" t="s">
        <v>25963</v>
      </c>
      <c r="C12536" s="1">
        <v>1</v>
      </c>
      <c r="D12536" s="1" t="str">
        <f>"11040"</f>
        <v>11040</v>
      </c>
      <c r="E12536" s="1" t="s">
        <v>272</v>
      </c>
      <c r="F12536" s="1">
        <v>15</v>
      </c>
      <c r="G12536" s="1">
        <v>4</v>
      </c>
      <c r="H12536" s="1">
        <v>0</v>
      </c>
      <c r="I12536" s="1" t="s">
        <v>25917</v>
      </c>
      <c r="K12536" s="1" t="str">
        <f t="shared" si="793"/>
        <v>ㄧ</v>
      </c>
      <c r="L12536" s="1" t="str">
        <f t="shared" si="794"/>
        <v>ㄢ</v>
      </c>
      <c r="N12536" s="3" t="s">
        <v>30574</v>
      </c>
      <c r="O12536" s="3"/>
      <c r="P12536" s="1" t="s">
        <v>20</v>
      </c>
      <c r="R12536" s="1" t="s">
        <v>25918</v>
      </c>
      <c r="V12536" s="1" t="s">
        <v>25964</v>
      </c>
      <c r="AR12536" s="1" t="str">
        <f t="shared" si="792"/>
        <v>| [ㄧㄢˋ](ㄧㄢˋ.md) | [鴈](鴈.md) |  | yàn | 同「雁」。 |</v>
      </c>
    </row>
    <row r="12537" spans="1:44" hidden="1">
      <c r="A12537" s="1" t="s">
        <v>25965</v>
      </c>
      <c r="C12537" s="1">
        <v>1</v>
      </c>
      <c r="D12537" s="1" t="str">
        <f>"11041"</f>
        <v>11041</v>
      </c>
      <c r="E12537" s="1" t="s">
        <v>505</v>
      </c>
      <c r="F12537" s="1">
        <v>22</v>
      </c>
      <c r="G12537" s="1">
        <v>15</v>
      </c>
      <c r="H12537" s="1">
        <v>0</v>
      </c>
      <c r="I12537" s="1" t="s">
        <v>25917</v>
      </c>
      <c r="K12537" s="1" t="str">
        <f t="shared" si="793"/>
        <v>ㄧ</v>
      </c>
      <c r="L12537" s="1" t="str">
        <f t="shared" si="794"/>
        <v>ㄢ</v>
      </c>
      <c r="N12537" s="3" t="s">
        <v>30574</v>
      </c>
      <c r="O12537" s="3"/>
      <c r="P12537" s="1" t="s">
        <v>20</v>
      </c>
      <c r="R12537" s="1" t="s">
        <v>25918</v>
      </c>
      <c r="V12537" s="1" t="s">
        <v>25966</v>
      </c>
      <c r="AR12537" s="1" t="str">
        <f t="shared" si="792"/>
        <v>| [ㄧㄢˋ](ㄧㄢˋ.md) | [贗](贗.md) |  | yàn | [形]
假的、偽造的。如：「贗品」。《南史．卷七七．恩倖傳．戴法興傳》：「帝嘗使願兒出入市里，察聽風謠，而道路之言，謂法興為真天子，帝為贗天子。」 |</v>
      </c>
    </row>
    <row r="12538" spans="1:44" hidden="1">
      <c r="A12538" s="1" t="s">
        <v>25967</v>
      </c>
      <c r="C12538" s="1">
        <v>1</v>
      </c>
      <c r="D12538" s="1" t="str">
        <f>"11042"</f>
        <v>11042</v>
      </c>
      <c r="E12538" s="1" t="s">
        <v>198</v>
      </c>
      <c r="F12538" s="1">
        <v>12</v>
      </c>
      <c r="G12538" s="1">
        <v>8</v>
      </c>
      <c r="H12538" s="1">
        <v>0</v>
      </c>
      <c r="I12538" s="1" t="s">
        <v>25917</v>
      </c>
      <c r="K12538" s="1" t="str">
        <f t="shared" si="793"/>
        <v>ㄧ</v>
      </c>
      <c r="L12538" s="1" t="str">
        <f t="shared" si="794"/>
        <v>ㄢ</v>
      </c>
      <c r="N12538" s="3" t="s">
        <v>30574</v>
      </c>
      <c r="O12538" s="3"/>
      <c r="P12538" s="1" t="s">
        <v>20</v>
      </c>
      <c r="R12538" s="1" t="s">
        <v>25918</v>
      </c>
      <c r="V12538" s="1" t="s">
        <v>25968</v>
      </c>
      <c r="AR12538" s="1" t="str">
        <f t="shared" si="792"/>
        <v>| [ㄧㄢˋ](ㄧㄢˋ.md) | [猒](猒.md) |  | yàn | [動]
1.飽、滿足。同「饜」。《列子．楊朱》：「而美厚復不可常猒足，聲色不可常翫聞。」
2.厭惡。《漢書．卷九九．王莽傳上》：「莽既說眾庶，又欲專斷，知太后猒政，乃風公卿。」
3.欺瞞。《淮南子．主術》：「上操約省之分，下效易為之功，是以君臣彌久而不相猒。」漢．高誘．注：「猒，欺也。」 |</v>
      </c>
    </row>
    <row r="12539" spans="1:44" hidden="1">
      <c r="A12539" s="1" t="s">
        <v>25773</v>
      </c>
      <c r="C12539" s="1">
        <v>1</v>
      </c>
      <c r="D12539" s="1" t="str">
        <f>"11043"</f>
        <v>11043</v>
      </c>
      <c r="E12539" s="1" t="s">
        <v>1941</v>
      </c>
      <c r="F12539" s="1">
        <v>14</v>
      </c>
      <c r="G12539" s="1">
        <v>12</v>
      </c>
      <c r="H12539" s="1">
        <v>1</v>
      </c>
      <c r="I12539" s="1" t="s">
        <v>25917</v>
      </c>
      <c r="K12539" s="1" t="str">
        <f t="shared" si="793"/>
        <v>ㄧ</v>
      </c>
      <c r="L12539" s="1" t="str">
        <f t="shared" si="794"/>
        <v>ㄢ</v>
      </c>
      <c r="N12539" s="3" t="s">
        <v>30574</v>
      </c>
      <c r="O12539" s="3"/>
      <c r="P12539" s="1" t="s">
        <v>20</v>
      </c>
      <c r="R12539" s="1" t="s">
        <v>25918</v>
      </c>
      <c r="V12539" s="1" t="s">
        <v>25969</v>
      </c>
      <c r="W12539" s="1" t="s">
        <v>25970</v>
      </c>
      <c r="AR12539" s="1" t="str">
        <f t="shared" si="792"/>
        <v>| [ㄧㄢˋ](ㄧㄢˋ.md) | [厭](厭.md) |  | yàn | [動]
1.飽、滿足。如：「貪得無厭」。《左傳．隱公元年》：「姜氏何厭之有？不如早為之所。」《論語．述而》：「學而不厭，誨人不倦。」
2.憎惡、嫌棄。如：「厭惡」。《左傳．隱公十一年》：「天而既厭周德矣，吾其能與許爭乎？」《論語．憲問》：「樂然後笑，人不厭其笑。」 |</v>
      </c>
    </row>
    <row r="12540" spans="1:44" hidden="1">
      <c r="A12540" s="1" t="s">
        <v>25971</v>
      </c>
      <c r="C12540" s="1">
        <v>1</v>
      </c>
      <c r="D12540" s="1" t="str">
        <f>"11044"</f>
        <v>11044</v>
      </c>
      <c r="E12540" s="1" t="s">
        <v>193</v>
      </c>
      <c r="F12540" s="1">
        <v>23</v>
      </c>
      <c r="G12540" s="1">
        <v>14</v>
      </c>
      <c r="H12540" s="1">
        <v>0</v>
      </c>
      <c r="I12540" s="1" t="s">
        <v>25917</v>
      </c>
      <c r="K12540" s="1" t="str">
        <f t="shared" si="793"/>
        <v>ㄧ</v>
      </c>
      <c r="L12540" s="1" t="str">
        <f t="shared" si="794"/>
        <v>ㄢ</v>
      </c>
      <c r="N12540" s="3" t="s">
        <v>30574</v>
      </c>
      <c r="O12540" s="3"/>
      <c r="P12540" s="1" t="s">
        <v>20</v>
      </c>
      <c r="R12540" s="1" t="s">
        <v>25918</v>
      </c>
      <c r="V12540" s="1" t="s">
        <v>25972</v>
      </c>
      <c r="AR12540" s="1" t="str">
        <f t="shared" si="792"/>
        <v>| [ㄧㄢˋ](ㄧㄢˋ.md) | [饜](饜.md) |  | yàn | [動]
1.飽。《國語．晉語九》：「主之既已食，願以小人之腹，為君子之心，屬饜而已，是以三歎。」《孟子．離婁下》：「其良人出，則必饜酒肉而後反。」
2.滿足。《孟子．梁惠王上》：「苟為後義而先利，不奪不饜。」《墨子．節用中》：「是以終身不饜，歿世而不卷。」 |</v>
      </c>
    </row>
    <row r="12541" spans="1:44" hidden="1">
      <c r="A12541" s="1" t="s">
        <v>25778</v>
      </c>
      <c r="C12541" s="1">
        <v>1</v>
      </c>
      <c r="D12541" s="1" t="str">
        <f>"11045"</f>
        <v>11045</v>
      </c>
      <c r="E12541" s="1" t="s">
        <v>336</v>
      </c>
      <c r="F12541" s="1">
        <v>16</v>
      </c>
      <c r="G12541" s="1">
        <v>12</v>
      </c>
      <c r="H12541" s="1">
        <v>1</v>
      </c>
      <c r="I12541" s="1" t="s">
        <v>25917</v>
      </c>
      <c r="K12541" s="1" t="str">
        <f t="shared" si="793"/>
        <v>ㄧ</v>
      </c>
      <c r="L12541" s="1" t="str">
        <f t="shared" si="794"/>
        <v>ㄢ</v>
      </c>
      <c r="N12541" s="3" t="s">
        <v>30574</v>
      </c>
      <c r="O12541" s="3"/>
      <c r="P12541" s="1" t="s">
        <v>20</v>
      </c>
      <c r="R12541" s="1" t="s">
        <v>25918</v>
      </c>
      <c r="V12541" s="1" t="s">
        <v>25973</v>
      </c>
      <c r="W12541" s="1" t="s">
        <v>25974</v>
      </c>
      <c r="AR12541" s="1" t="str">
        <f t="shared" si="792"/>
        <v>| [ㄧㄢˋ](ㄧㄢˋ.md) | [燕](燕.md) |  | yàn | [名]
鳥綱燕科各種鳥類的通稱。種類繁多，約有七十餘種。體小翼大，飛行力強，尾長，分叉呈剪刀狀。背黑腹白、腳短，不利於步行。每年產卵二、三次，每次約三至六個卵。常見的有毛腳燕、赤腰燕、洋燕、家燕等。俗稱為「燕子」。也稱為「烏衣」。
[動]
宴飲。通「讌」、「宴」。《詩經．小雅．鹿鳴》：「我有旨酒，嘉賓式燕以敖。」 |</v>
      </c>
    </row>
    <row r="12542" spans="1:44" hidden="1">
      <c r="A12542" s="1" t="s">
        <v>25975</v>
      </c>
      <c r="C12542" s="1">
        <v>1</v>
      </c>
      <c r="D12542" s="1" t="str">
        <f>"11046"</f>
        <v>11046</v>
      </c>
      <c r="E12542" s="1" t="s">
        <v>28</v>
      </c>
      <c r="F12542" s="1">
        <v>19</v>
      </c>
      <c r="G12542" s="1">
        <v>16</v>
      </c>
      <c r="H12542" s="1">
        <v>0</v>
      </c>
      <c r="I12542" s="1" t="s">
        <v>25917</v>
      </c>
      <c r="K12542" s="1" t="str">
        <f t="shared" si="793"/>
        <v>ㄧ</v>
      </c>
      <c r="L12542" s="1" t="str">
        <f t="shared" si="794"/>
        <v>ㄢ</v>
      </c>
      <c r="N12542" s="3" t="s">
        <v>30574</v>
      </c>
      <c r="O12542" s="3"/>
      <c r="P12542" s="1" t="s">
        <v>20</v>
      </c>
      <c r="R12542" s="1" t="s">
        <v>25918</v>
      </c>
      <c r="V12542" s="1" t="s">
        <v>25976</v>
      </c>
      <c r="AR12542" s="1" t="str">
        <f t="shared" si="792"/>
        <v>| [ㄧㄢˋ](ㄧㄢˋ.md) | [嚥](嚥.md) |  | yàn | [動]
吞食。如：「狼吞虎嚥」、「細嚼慢嚥」。唐．李白〈早望海霞邊〉詩：「一餐嚥瓊液，五內發金沙。」 |</v>
      </c>
    </row>
    <row r="12543" spans="1:44" hidden="1">
      <c r="A12543" s="1" t="s">
        <v>25977</v>
      </c>
      <c r="C12543" s="1">
        <v>1</v>
      </c>
      <c r="D12543" s="1" t="str">
        <f>"11047"</f>
        <v>11047</v>
      </c>
      <c r="E12543" s="1" t="s">
        <v>534</v>
      </c>
      <c r="F12543" s="1">
        <v>19</v>
      </c>
      <c r="G12543" s="1">
        <v>16</v>
      </c>
      <c r="H12543" s="1">
        <v>0</v>
      </c>
      <c r="I12543" s="1" t="s">
        <v>25917</v>
      </c>
      <c r="K12543" s="1" t="str">
        <f t="shared" si="793"/>
        <v>ㄧ</v>
      </c>
      <c r="L12543" s="1" t="str">
        <f t="shared" si="794"/>
        <v>ㄢ</v>
      </c>
      <c r="N12543" s="3" t="s">
        <v>30574</v>
      </c>
      <c r="O12543" s="3"/>
      <c r="P12543" s="1" t="s">
        <v>20</v>
      </c>
      <c r="R12543" s="1" t="s">
        <v>25918</v>
      </c>
      <c r="V12543" s="1" t="s">
        <v>25978</v>
      </c>
      <c r="AR12543" s="1" t="str">
        <f t="shared" si="792"/>
        <v>| [ㄧㄢˋ](ㄧㄢˋ.md) | [嬿](嬿.md) |  | yàn | [形]
1.美好的。南朝梁．沈約〈麗人賦〉：「亭亭似月，嬿婉如春。」
2.安樂、閒適。南朝宋．顏延之〈祖祭弟文〉：「生無榮嬿，沒望歸魂。」 |</v>
      </c>
    </row>
    <row r="12544" spans="1:44" hidden="1">
      <c r="A12544" s="1" t="s">
        <v>25979</v>
      </c>
      <c r="C12544" s="1">
        <v>1</v>
      </c>
      <c r="D12544" s="1" t="str">
        <f>"11048"</f>
        <v>11048</v>
      </c>
      <c r="E12544" s="1" t="s">
        <v>331</v>
      </c>
      <c r="F12544" s="1">
        <v>23</v>
      </c>
      <c r="G12544" s="1">
        <v>16</v>
      </c>
      <c r="H12544" s="1">
        <v>0</v>
      </c>
      <c r="I12544" s="1" t="s">
        <v>25917</v>
      </c>
      <c r="K12544" s="1" t="str">
        <f t="shared" si="793"/>
        <v>ㄧ</v>
      </c>
      <c r="L12544" s="1" t="str">
        <f t="shared" si="794"/>
        <v>ㄢ</v>
      </c>
      <c r="N12544" s="3" t="s">
        <v>30574</v>
      </c>
      <c r="O12544" s="3"/>
      <c r="P12544" s="1" t="s">
        <v>20</v>
      </c>
      <c r="R12544" s="1" t="s">
        <v>25918</v>
      </c>
      <c r="V12544" s="1" t="s">
        <v>25980</v>
      </c>
      <c r="AR12544" s="1" t="str">
        <f t="shared" si="792"/>
        <v>| [ㄧㄢˋ](ㄧㄢˋ.md) | [讌](讌.md) |  | yàn | [動]
宴飲。同「醼」。《廣韻．去聲．霰韻》：「讌，同醼。」《後漢書．卷一一．劉玄傳》：「（更始）日夜與婦人飲讌後庭。」《文選．左思．吳都賦》：「里讌巷飲，飛觴舉白。」 |</v>
      </c>
    </row>
    <row r="12545" spans="1:44" hidden="1">
      <c r="A12545" s="1" t="s">
        <v>25981</v>
      </c>
      <c r="C12545" s="1">
        <v>1</v>
      </c>
      <c r="D12545" s="1" t="str">
        <f>"11049"</f>
        <v>11049</v>
      </c>
      <c r="E12545" s="1" t="s">
        <v>1462</v>
      </c>
      <c r="F12545" s="1">
        <v>23</v>
      </c>
      <c r="G12545" s="1">
        <v>16</v>
      </c>
      <c r="H12545" s="1">
        <v>0</v>
      </c>
      <c r="I12545" s="1" t="s">
        <v>25917</v>
      </c>
      <c r="K12545" s="1" t="str">
        <f t="shared" si="793"/>
        <v>ㄧ</v>
      </c>
      <c r="L12545" s="1" t="str">
        <f t="shared" si="794"/>
        <v>ㄢ</v>
      </c>
      <c r="N12545" s="3" t="s">
        <v>30574</v>
      </c>
      <c r="O12545" s="3"/>
      <c r="P12545" s="1" t="s">
        <v>20</v>
      </c>
      <c r="R12545" s="1" t="s">
        <v>25918</v>
      </c>
      <c r="V12545" s="1" t="s">
        <v>25982</v>
      </c>
      <c r="AR12545" s="1" t="str">
        <f t="shared" si="792"/>
        <v>| [ㄧㄢˋ](ㄧㄢˋ.md) | [醼](醼.md) |  | yàn | [動]
宴飲。同「宴」。《集韻．去聲．霰韻》：「醼，合飲也。」《舊唐書．卷五三．李密傳》：「每夜醼飲，諠譁竟夕，使者不以為意。」
[名]
宴席。同「宴」。唐．方干〈上杭州姚郎中〉詩：「春遊下馬皆成醼，吏散看山即有詩。」 |</v>
      </c>
    </row>
    <row r="12546" spans="1:44" hidden="1">
      <c r="A12546" s="1" t="s">
        <v>25983</v>
      </c>
      <c r="C12546" s="1">
        <v>1</v>
      </c>
      <c r="D12546" s="1" t="str">
        <f>"11050"</f>
        <v>11050</v>
      </c>
      <c r="E12546" s="1" t="s">
        <v>319</v>
      </c>
      <c r="F12546" s="1">
        <v>23</v>
      </c>
      <c r="G12546" s="1">
        <v>13</v>
      </c>
      <c r="H12546" s="1">
        <v>0</v>
      </c>
      <c r="I12546" s="1" t="s">
        <v>25917</v>
      </c>
      <c r="K12546" s="1" t="str">
        <f t="shared" si="793"/>
        <v>ㄧ</v>
      </c>
      <c r="L12546" s="1" t="str">
        <f t="shared" si="794"/>
        <v>ㄢ</v>
      </c>
      <c r="N12546" s="3" t="s">
        <v>30574</v>
      </c>
      <c r="O12546" s="3"/>
      <c r="P12546" s="1" t="s">
        <v>20</v>
      </c>
      <c r="R12546" s="1" t="s">
        <v>25918</v>
      </c>
      <c r="V12546" s="1" t="s">
        <v>25984</v>
      </c>
      <c r="AR12546" s="1" t="str">
        <f t="shared" si="792"/>
        <v>| [ㄧㄢˋ](ㄧㄢˋ.md) | [驗](驗.md) |  | yàn | [名]
1.憑證、證據。《韓非子．顯學》：「無參驗而必之者，愚也；弗能必而據之者，誣也。」《史記．卷六八．商君傳》：「商君之法，舍人無驗者坐之。」
2.預期的效果，或與預言相合的事實。如：「效驗」。《淮南子．主術》：「驗在近而求之遠，故弗得也。」《三國志．卷四七．吳書．吳主權傳》：「表說水旱小事，往往有驗。」
3.病徵。《列子．湯問》：「二人曰：『願先聞其驗。』」
[動]
1.察看、檢查。如：「驗血」、「驗屍」。唐．柳宗元〈種樹郭橐駝傳〉：「甚者爪其膚以驗其生枯，搖其本以觀其疏密，而木之性日以離矣。」
2.審核、證實。《呂氏春秋．審分覽．知度》：「有職者，安其職不聽其議；無職者，責其實以驗其辭。」
3.結果與所預言相合。如：「應驗」、「屢試屢驗」。 |</v>
      </c>
    </row>
    <row r="12547" spans="1:44" hidden="1">
      <c r="A12547" s="1" t="s">
        <v>25843</v>
      </c>
      <c r="C12547" s="1">
        <v>1</v>
      </c>
      <c r="D12547" s="1" t="str">
        <f>"11051"</f>
        <v>11051</v>
      </c>
      <c r="E12547" s="1" t="s">
        <v>9124</v>
      </c>
      <c r="F12547" s="1">
        <v>24</v>
      </c>
      <c r="G12547" s="1">
        <v>13</v>
      </c>
      <c r="H12547" s="1">
        <v>1</v>
      </c>
      <c r="I12547" s="1" t="s">
        <v>25917</v>
      </c>
      <c r="K12547" s="1" t="str">
        <f t="shared" si="793"/>
        <v>ㄧ</v>
      </c>
      <c r="L12547" s="1" t="str">
        <f t="shared" si="794"/>
        <v>ㄢ</v>
      </c>
      <c r="N12547" s="3" t="s">
        <v>30574</v>
      </c>
      <c r="O12547" s="3"/>
      <c r="P12547" s="1" t="s">
        <v>20</v>
      </c>
      <c r="R12547" s="1" t="s">
        <v>25918</v>
      </c>
      <c r="V12547" s="1" t="s">
        <v>25985</v>
      </c>
      <c r="W12547" s="1" t="s">
        <v>25986</v>
      </c>
      <c r="AR12547" s="1" t="str">
        <f t="shared" ref="AR12547:AR12610" si="795">"| ["&amp;I12547&amp;"]("&amp;I12547&amp;".md) | ["&amp;A12547&amp;"]("&amp;A12547&amp;".md) | "&amp;" | "&amp;R12547&amp;" | "&amp;V12547&amp;" |"</f>
        <v>| [ㄧㄢˋ](ㄧㄢˋ.md) | [鹽](鹽.md) |  | yàn | [動]
1.用鹽醃食物。《禮記．內則》：「布牛肉焉，屑桂與薑，以灑諸上而鹽之。」元．陶宗儀《南村輟耕錄．卷二十四．天隕魚》：「流光中隕一魚，……橋下一細家取欲烹食，其妻鹽而藏之。」
2.羨慕。通「豔」。《禮記．郊特牲》：「而流示之禽，而鹽諸利，以觀其不犯命也。」 |</v>
      </c>
    </row>
    <row r="12548" spans="1:44" hidden="1">
      <c r="A12548" s="1" t="s">
        <v>25987</v>
      </c>
      <c r="C12548" s="1">
        <v>1</v>
      </c>
      <c r="D12548" s="1" t="str">
        <f>"11052"</f>
        <v>11052</v>
      </c>
      <c r="E12548" s="1" t="s">
        <v>331</v>
      </c>
      <c r="F12548" s="1">
        <v>27</v>
      </c>
      <c r="G12548" s="1">
        <v>20</v>
      </c>
      <c r="H12548" s="1">
        <v>0</v>
      </c>
      <c r="I12548" s="1" t="s">
        <v>25917</v>
      </c>
      <c r="K12548" s="1" t="str">
        <f t="shared" si="793"/>
        <v>ㄧ</v>
      </c>
      <c r="L12548" s="1" t="str">
        <f t="shared" si="794"/>
        <v>ㄢ</v>
      </c>
      <c r="N12548" s="3" t="s">
        <v>30574</v>
      </c>
      <c r="O12548" s="3"/>
      <c r="P12548" s="1" t="s">
        <v>20</v>
      </c>
      <c r="R12548" s="1" t="s">
        <v>25918</v>
      </c>
      <c r="V12548" s="1" t="s">
        <v>25988</v>
      </c>
      <c r="AR12548" s="1" t="str">
        <f t="shared" si="795"/>
        <v>| [ㄧㄢˋ](ㄧㄢˋ.md) | [讞](讞.md) |  | yàn | [動]
審判定罪。《集韻．去聲．線韻》：「讞，議罪也。」如：「三審定讞」。《漢書．卷五．景帝紀》：「諸獄疑，若雖文致於法而於人心不厭者，輒讞之。」 |</v>
      </c>
    </row>
    <row r="12549" spans="1:44" hidden="1">
      <c r="A12549" s="1" t="s">
        <v>25989</v>
      </c>
      <c r="C12549" s="1">
        <v>1</v>
      </c>
      <c r="D12549" s="1" t="str">
        <f>"11053"</f>
        <v>11053</v>
      </c>
      <c r="E12549" s="1" t="s">
        <v>1462</v>
      </c>
      <c r="F12549" s="1">
        <v>27</v>
      </c>
      <c r="G12549" s="1">
        <v>20</v>
      </c>
      <c r="H12549" s="1">
        <v>0</v>
      </c>
      <c r="I12549" s="1" t="s">
        <v>25917</v>
      </c>
      <c r="K12549" s="1" t="str">
        <f t="shared" si="793"/>
        <v>ㄧ</v>
      </c>
      <c r="L12549" s="1" t="str">
        <f t="shared" si="794"/>
        <v>ㄢ</v>
      </c>
      <c r="N12549" s="3" t="s">
        <v>30574</v>
      </c>
      <c r="O12549" s="3"/>
      <c r="P12549" s="1" t="s">
        <v>20</v>
      </c>
      <c r="R12549" s="1" t="s">
        <v>25918</v>
      </c>
      <c r="V12549" s="1" t="s">
        <v>25990</v>
      </c>
      <c r="AR12549" s="1" t="str">
        <f t="shared" si="795"/>
        <v>| [ㄧㄢˋ](ㄧㄢˋ.md) | [釅](釅.md) |  | yàn | [形]
1.味道濃厚。宋．蘇軾〈正月二十日與潘郭二生出郊尋春忽記去年是日同至女王城作詩乃和前韻〉：「江城白酒三杯釅，野老蒼顏一笑溫。」
2.顏色深。唐．戴叔倫〈贈慧上人〉詩：「雲霞色釅禪房衲，星月光涵古殿燈。」 |</v>
      </c>
    </row>
    <row r="12550" spans="1:44" hidden="1">
      <c r="A12550" s="1" t="s">
        <v>25991</v>
      </c>
      <c r="C12550" s="1">
        <v>1</v>
      </c>
      <c r="D12550" s="1" t="str">
        <f>"11054"</f>
        <v>11054</v>
      </c>
      <c r="E12550" s="1" t="s">
        <v>4293</v>
      </c>
      <c r="F12550" s="1">
        <v>28</v>
      </c>
      <c r="G12550" s="1">
        <v>21</v>
      </c>
      <c r="H12550" s="1">
        <v>0</v>
      </c>
      <c r="I12550" s="1" t="s">
        <v>25917</v>
      </c>
      <c r="K12550" s="1" t="str">
        <f t="shared" si="793"/>
        <v>ㄧ</v>
      </c>
      <c r="L12550" s="1" t="str">
        <f t="shared" si="794"/>
        <v>ㄢ</v>
      </c>
      <c r="N12550" s="3" t="s">
        <v>30574</v>
      </c>
      <c r="O12550" s="3"/>
      <c r="P12550" s="1" t="s">
        <v>20</v>
      </c>
      <c r="R12550" s="1" t="s">
        <v>25918</v>
      </c>
      <c r="V12550" s="1" t="s">
        <v>25992</v>
      </c>
      <c r="AR12550" s="1" t="str">
        <f t="shared" si="795"/>
        <v>| [ㄧㄢˋ](ㄧㄢˋ.md) | [豔](豔.md) |  | yàn | [形]
1.美好、華麗。如：「豔麗」、「鮮豔」、「妖豔」。漢．陳琳〈神女賦〉：「既歎爾以豔采，又說我之長期。」晉．范甯〈春秋穀梁傳序〉：「左氏豔而富，其失也巫。」
2.有關於愛情的。如：「豔詩」、「豔事」、「豔遇」。南朝梁．王筠〈三婦豔〉：「丈人且安臥，豔歌方斷續。」
[動]
羨慕。《韓非子．外儲說左上》：「夫不謀治強之功，而豔乎辯說文麗之聲，是卻有術之士，而任壞屋折弓也。」唐．萬楚〈五日觀妓〉詩：「新歌一曲令人豔，醉舞雙眸斂鬢斜。」
[名]
1.美女。如：「獵豔」。唐．李白〈經亂離後天恩流夜郎憶舊遊書懷贈江夏韋太守良宰〉詩：「吳娃與越豔，窈窕誇鉛紅。」
2.光彩。晉．潘岳〈笙賦〉：「爛熠爚以放豔，鬱蓬勃以氣出。」 |</v>
      </c>
    </row>
    <row r="12551" spans="1:44" hidden="1">
      <c r="A12551" s="1" t="s">
        <v>25993</v>
      </c>
      <c r="C12551" s="1">
        <v>1</v>
      </c>
      <c r="D12551" s="1" t="str">
        <f>"11055"</f>
        <v>11055</v>
      </c>
      <c r="E12551" s="1" t="s">
        <v>129</v>
      </c>
      <c r="F12551" s="1">
        <v>31</v>
      </c>
      <c r="G12551" s="1">
        <v>28</v>
      </c>
      <c r="H12551" s="1">
        <v>0</v>
      </c>
      <c r="I12551" s="1" t="s">
        <v>25917</v>
      </c>
      <c r="K12551" s="1" t="str">
        <f t="shared" si="793"/>
        <v>ㄧ</v>
      </c>
      <c r="L12551" s="1" t="str">
        <f t="shared" si="794"/>
        <v>ㄢ</v>
      </c>
      <c r="N12551" s="3" t="s">
        <v>30574</v>
      </c>
      <c r="O12551" s="3"/>
      <c r="P12551" s="1" t="s">
        <v>20</v>
      </c>
      <c r="R12551" s="1" t="s">
        <v>25918</v>
      </c>
      <c r="V12551" s="1" t="s">
        <v>25994</v>
      </c>
      <c r="AR12551" s="1" t="str">
        <f t="shared" si="795"/>
        <v>| [ㄧㄢˋ](ㄧㄢˋ.md) | [灩](灩.md) |  | yàn | [形]
參見「瀲灩」條。
[名]
地名用字。參見「灩澦堆」條。 |</v>
      </c>
    </row>
    <row r="12552" spans="1:44" hidden="1">
      <c r="A12552" s="1" t="s">
        <v>25781</v>
      </c>
      <c r="C12552" s="1">
        <v>1</v>
      </c>
      <c r="D12552" s="1" t="str">
        <f>"10954"</f>
        <v>10954</v>
      </c>
      <c r="E12552" s="1" t="s">
        <v>331</v>
      </c>
      <c r="F12552" s="1">
        <v>7</v>
      </c>
      <c r="G12552" s="1">
        <v>0</v>
      </c>
      <c r="H12552" s="1">
        <v>1</v>
      </c>
      <c r="I12552" s="1" t="s">
        <v>25782</v>
      </c>
      <c r="K12552" s="1" t="str">
        <f t="shared" si="793"/>
        <v>ㄧ</v>
      </c>
      <c r="L12552" s="1" t="str">
        <f t="shared" si="794"/>
        <v>ㄢ</v>
      </c>
      <c r="N12552" s="3" t="s">
        <v>30575</v>
      </c>
      <c r="O12552" s="3"/>
      <c r="P12552" s="1" t="s">
        <v>20</v>
      </c>
      <c r="R12552" s="1" t="s">
        <v>25783</v>
      </c>
      <c r="V12552" s="1" t="s">
        <v>25784</v>
      </c>
      <c r="W12552" s="1" t="s">
        <v>25785</v>
      </c>
      <c r="AR12552" s="1" t="str">
        <f t="shared" si="795"/>
        <v>| [ㄧㄢˊ](ㄧㄢˊ.md) | [言](言.md) |  | yán | [動]
1.說、講。如：「難言之隱」、「大言不慚」、「苦不堪言」、「知無不言，言無不盡。」
2.談論。《論語．學而》：「賜也，始可與言詩已矣。」宋．蘇軾〈日喻〉：「故世之言道者，或即其所見而名之。」
3.陳述。唐．白居易〈琵琶行〉：「自言本是京城女，家在蝦蟆陵下住。」
4.詢問。《左傳．昭公二十五年》：「叔孫氏之司馬鬷戾言於其眾曰：『若之何？』莫對。」
5.告訴、告知。《史記．卷九七．陸賈傳》：「酈生瞋目案劍叱使者曰：『走！復入言沛公，吾高陽酒徒也，非儒人也。』」
[名]
1.話語、所說的話。如：「有言在先」、「忠言逆耳」、「人言可畏」。《論語．公冶長》：「今吾於人也，聽其言而觀其行。」
2.字。如：「七言詩」、「共三十萬言」。《論語．衛靈公》：「子貢問曰：『有一言而可以終身行之者乎？』子曰：『其恕乎！』」
3.一句話稱為「一言」。如：「一言興邦」、「一言以蔽之」、「君子一言既出，駟馬難追。」
4.學說、言論。如：「一家之言」。《孟子．滕文公下》：「楊朱、墨翟之言盈天下。天下之言，不歸楊則歸墨。」《韓非子．孤憤》：「又將以法術之言，矯人主阿辟之心，是與人主相反也。」
5.姓。如春秋時有言偃。
6.二一四部首之一。
[助]
語助詞，無義：(1)置於句首。《詩經．衛風．氓》：「夙興夜寐，靡有朝矣。言既遂矣，至于暴矣。」《左傳．僖公九年》：「凡我同盟之人，既盟之後，言歸於好。」(2)置於句中。《易經．繫辭上》：「德言盛，禮言恭。」《詩經．邶風．泉水》：「駕言出遊，以寫我憂。」 |</v>
      </c>
    </row>
    <row r="12553" spans="1:44" hidden="1">
      <c r="A12553" s="1" t="s">
        <v>25786</v>
      </c>
      <c r="C12553" s="1">
        <v>1</v>
      </c>
      <c r="D12553" s="1" t="str">
        <f>"10955"</f>
        <v>10955</v>
      </c>
      <c r="E12553" s="1" t="s">
        <v>534</v>
      </c>
      <c r="F12553" s="1">
        <v>7</v>
      </c>
      <c r="G12553" s="1">
        <v>4</v>
      </c>
      <c r="H12553" s="1">
        <v>0</v>
      </c>
      <c r="I12553" s="1" t="s">
        <v>25782</v>
      </c>
      <c r="K12553" s="1" t="str">
        <f t="shared" si="793"/>
        <v>ㄧ</v>
      </c>
      <c r="L12553" s="1" t="str">
        <f t="shared" si="794"/>
        <v>ㄢ</v>
      </c>
      <c r="N12553" s="3" t="s">
        <v>30575</v>
      </c>
      <c r="O12553" s="3"/>
      <c r="P12553" s="1" t="s">
        <v>20</v>
      </c>
      <c r="R12553" s="1" t="s">
        <v>25783</v>
      </c>
      <c r="V12553" s="1" t="s">
        <v>25787</v>
      </c>
      <c r="AR12553" s="1" t="str">
        <f t="shared" si="795"/>
        <v>| [ㄧㄢˊ](ㄧㄢˊ.md) | [妍](妍.md) |  | yán | [形]
豔麗、美好。如：「不辨蚩妍」、「百花爭妍」。《文選．陸機．挽歌詩三首之二》：「豐肌饗螻蟻，妍姿永夷泯。」《文選．鮑照．蕪城賦》：「才力雄富，士馬精妍。」 |</v>
      </c>
    </row>
    <row r="12554" spans="1:44" hidden="1">
      <c r="A12554" s="1" t="s">
        <v>25788</v>
      </c>
      <c r="C12554" s="1">
        <v>1</v>
      </c>
      <c r="D12554" s="1" t="str">
        <f>"10956"</f>
        <v>10956</v>
      </c>
      <c r="E12554" s="1" t="s">
        <v>169</v>
      </c>
      <c r="F12554" s="1">
        <v>9</v>
      </c>
      <c r="G12554" s="1">
        <v>4</v>
      </c>
      <c r="H12554" s="1">
        <v>1</v>
      </c>
      <c r="I12554" s="1" t="s">
        <v>25782</v>
      </c>
      <c r="K12554" s="1" t="str">
        <f t="shared" si="793"/>
        <v>ㄧ</v>
      </c>
      <c r="L12554" s="1" t="str">
        <f t="shared" si="794"/>
        <v>ㄢ</v>
      </c>
      <c r="N12554" s="3" t="s">
        <v>30575</v>
      </c>
      <c r="O12554" s="3"/>
      <c r="P12554" s="1" t="s">
        <v>20</v>
      </c>
      <c r="R12554" s="1" t="s">
        <v>25783</v>
      </c>
      <c r="V12554" s="1" t="s">
        <v>25789</v>
      </c>
      <c r="W12554" s="1" t="s">
        <v>25790</v>
      </c>
      <c r="AR12554" s="1" t="str">
        <f t="shared" si="795"/>
        <v>| [ㄧㄢˊ](ㄧㄢˊ.md) | [研](研.md) |  | yán | [動]
1.磨細、碾碎。如：「研墨」、「研成粉末」。《紅樓夢》第三四回：「晚上把這藥用酒研開，替他敷上。」
2.深入探究。如：「研究」、「研讀功課」。《晉書．卷六九．戴若思傳》：「思理足以研幽，才鑒足以辯物。」 |</v>
      </c>
    </row>
    <row r="12555" spans="1:44" hidden="1">
      <c r="A12555" s="1" t="s">
        <v>13912</v>
      </c>
      <c r="C12555" s="1">
        <v>1</v>
      </c>
      <c r="D12555" s="1" t="str">
        <f>"10957"</f>
        <v>10957</v>
      </c>
      <c r="E12555" s="1" t="s">
        <v>77</v>
      </c>
      <c r="F12555" s="1">
        <v>11</v>
      </c>
      <c r="G12555" s="1">
        <v>4</v>
      </c>
      <c r="H12555" s="1">
        <v>2</v>
      </c>
      <c r="I12555" s="1" t="s">
        <v>25782</v>
      </c>
      <c r="K12555" s="1" t="str">
        <f t="shared" si="793"/>
        <v>ㄧ</v>
      </c>
      <c r="L12555" s="1" t="str">
        <f t="shared" si="794"/>
        <v>ㄢ</v>
      </c>
      <c r="N12555" s="3" t="s">
        <v>30575</v>
      </c>
      <c r="O12555" s="3"/>
      <c r="P12555" s="1" t="s">
        <v>20</v>
      </c>
      <c r="R12555" s="1" t="s">
        <v>25783</v>
      </c>
      <c r="V12555" s="1" t="s">
        <v>25791</v>
      </c>
      <c r="W12555" s="1" t="s">
        <v>25792</v>
      </c>
      <c r="AR12555" s="1" t="str">
        <f t="shared" si="795"/>
        <v>| [ㄧㄢˊ](ㄧㄢˊ.md) | [趼](趼.md) |  | yán | [形]
獸蹄平正。《爾雅．釋畜》：「騉蹄趼，善陞甗。」宋．邢昺．疏：「趼，平也，謂蹄平正。」 |</v>
      </c>
    </row>
    <row r="12556" spans="1:44" hidden="1">
      <c r="A12556" s="1" t="s">
        <v>25793</v>
      </c>
      <c r="C12556" s="1">
        <v>1</v>
      </c>
      <c r="D12556" s="1" t="str">
        <f>"10958"</f>
        <v>10958</v>
      </c>
      <c r="E12556" s="1" t="s">
        <v>24</v>
      </c>
      <c r="F12556" s="1">
        <v>13</v>
      </c>
      <c r="G12556" s="1">
        <v>9</v>
      </c>
      <c r="H12556" s="1">
        <v>0</v>
      </c>
      <c r="I12556" s="1" t="s">
        <v>25782</v>
      </c>
      <c r="K12556" s="1" t="str">
        <f t="shared" si="793"/>
        <v>ㄧ</v>
      </c>
      <c r="L12556" s="1" t="str">
        <f t="shared" si="794"/>
        <v>ㄢ</v>
      </c>
      <c r="N12556" s="3" t="s">
        <v>30575</v>
      </c>
      <c r="O12556" s="3"/>
      <c r="P12556" s="1" t="s">
        <v>20</v>
      </c>
      <c r="R12556" s="1" t="s">
        <v>25783</v>
      </c>
      <c r="V12556" s="1" t="s">
        <v>25794</v>
      </c>
      <c r="AR12556" s="1" t="str">
        <f t="shared" si="795"/>
        <v>| [ㄧㄢˊ](ㄧㄢˊ.md) | [揅](揅.md) |  | yán | [動]
磨細。同「研」(一)。 |</v>
      </c>
    </row>
    <row r="12557" spans="1:44" hidden="1">
      <c r="A12557" s="1" t="s">
        <v>25795</v>
      </c>
      <c r="C12557" s="1">
        <v>1</v>
      </c>
      <c r="D12557" s="1" t="str">
        <f>"10959"</f>
        <v>10959</v>
      </c>
      <c r="E12557" s="1" t="s">
        <v>272</v>
      </c>
      <c r="F12557" s="1">
        <v>15</v>
      </c>
      <c r="G12557" s="1">
        <v>4</v>
      </c>
      <c r="H12557" s="1">
        <v>0</v>
      </c>
      <c r="I12557" s="1" t="s">
        <v>25782</v>
      </c>
      <c r="K12557" s="1" t="str">
        <f t="shared" si="793"/>
        <v>ㄧ</v>
      </c>
      <c r="L12557" s="1" t="str">
        <f t="shared" si="794"/>
        <v>ㄢ</v>
      </c>
      <c r="N12557" s="3" t="s">
        <v>30575</v>
      </c>
      <c r="O12557" s="3"/>
      <c r="P12557" s="1" t="s">
        <v>20</v>
      </c>
      <c r="R12557" s="1" t="s">
        <v>25783</v>
      </c>
      <c r="V12557" s="1" t="s">
        <v>25796</v>
      </c>
      <c r="AR12557" s="1" t="str">
        <f t="shared" si="795"/>
        <v>| [ㄧㄢˊ](ㄧㄢˊ.md) | [鳽](鳽.md) |  | yán | [名]
動物名。即鵁鶄。涉禽類鸛形目。頭頸為赤褐色，體白，喙長，腳高，胸背有疏鬆的毛。產於大陸地區南部及印度。 |</v>
      </c>
    </row>
    <row r="12558" spans="1:44" hidden="1">
      <c r="A12558" s="1" t="s">
        <v>25797</v>
      </c>
      <c r="C12558" s="1">
        <v>1</v>
      </c>
      <c r="D12558" s="1" t="str">
        <f>"10960"</f>
        <v>10960</v>
      </c>
      <c r="E12558" s="1" t="s">
        <v>129</v>
      </c>
      <c r="F12558" s="1">
        <v>8</v>
      </c>
      <c r="G12558" s="1">
        <v>5</v>
      </c>
      <c r="H12558" s="1">
        <v>1</v>
      </c>
      <c r="I12558" s="1" t="s">
        <v>25782</v>
      </c>
      <c r="K12558" s="1" t="str">
        <f t="shared" si="793"/>
        <v>ㄧ</v>
      </c>
      <c r="L12558" s="1" t="str">
        <f t="shared" si="794"/>
        <v>ㄢ</v>
      </c>
      <c r="N12558" s="3" t="s">
        <v>30575</v>
      </c>
      <c r="O12558" s="3"/>
      <c r="P12558" s="1" t="s">
        <v>20</v>
      </c>
      <c r="R12558" s="1" t="s">
        <v>25783</v>
      </c>
      <c r="V12558" s="1" t="s">
        <v>25798</v>
      </c>
      <c r="W12558" s="1" t="s">
        <v>25799</v>
      </c>
      <c r="AR12558" s="1" t="str">
        <f t="shared" si="795"/>
        <v>| [ㄧㄢˊ](ㄧㄢˊ.md) | [沿](沿.md) |  | yán | [動]
1.順流而下。《說文解字．水部》：「沿，緣水而下也。」《書經．禹貢》：「沿于江海，達於淮泗。」
2.順著。如：「沿途」、「沿街叫賣」。《紅樓夢》第一一回：「仰緝捕人員，將帶做公的，沿鄉歷邑，道店村坊，畫影圖形。」
3.因循、遵照舊樣。如：「相沿成習」。《三國志．卷六五．吳書．韋曜傳》：「三王不相因禮，五帝不相沿樂。」
4.縫合衣服或被褥的邊緣。參見「沿邊兒」條。
5.靠近水邊。如：「沿海」、「沿岸」。 |</v>
      </c>
    </row>
    <row r="12559" spans="1:44" hidden="1">
      <c r="A12559" s="1" t="s">
        <v>25800</v>
      </c>
      <c r="C12559" s="1">
        <v>1</v>
      </c>
      <c r="D12559" s="1" t="str">
        <f>"10960A"</f>
        <v>10960A</v>
      </c>
      <c r="E12559" s="1" t="s">
        <v>55</v>
      </c>
      <c r="F12559" s="1">
        <v>12</v>
      </c>
      <c r="G12559" s="1">
        <v>4</v>
      </c>
      <c r="H12559" s="1">
        <v>0</v>
      </c>
      <c r="I12559" s="1" t="s">
        <v>25782</v>
      </c>
      <c r="K12559" s="1" t="str">
        <f t="shared" si="793"/>
        <v>ㄧ</v>
      </c>
      <c r="L12559" s="1" t="str">
        <f t="shared" si="794"/>
        <v>ㄢ</v>
      </c>
      <c r="N12559" s="3" t="s">
        <v>30575</v>
      </c>
      <c r="O12559" s="3"/>
      <c r="P12559" s="1" t="s">
        <v>20</v>
      </c>
      <c r="R12559" s="1" t="s">
        <v>25783</v>
      </c>
      <c r="V12559" s="1" t="s">
        <v>25801</v>
      </c>
      <c r="AR12559" s="1" t="str">
        <f t="shared" si="795"/>
        <v>| [ㄧㄢˊ](ㄧㄢˊ.md) | [鈆](鈆.md) |  | yán | [名]
古部族名。《爾雅．釋地》：「東至於泰遠，西至於邠國，南至於濮鈆，北至於祝栗，謂之四極。」 |</v>
      </c>
    </row>
    <row r="12560" spans="1:44" hidden="1">
      <c r="A12560" s="1" t="s">
        <v>15413</v>
      </c>
      <c r="C12560" s="1">
        <v>1</v>
      </c>
      <c r="D12560" s="1" t="str">
        <f>"10961"</f>
        <v>10961</v>
      </c>
      <c r="E12560" s="1" t="s">
        <v>55</v>
      </c>
      <c r="F12560" s="1">
        <v>13</v>
      </c>
      <c r="G12560" s="1">
        <v>5</v>
      </c>
      <c r="H12560" s="1">
        <v>2</v>
      </c>
      <c r="I12560" s="1" t="s">
        <v>25782</v>
      </c>
      <c r="K12560" s="1" t="str">
        <f t="shared" si="793"/>
        <v>ㄧ</v>
      </c>
      <c r="L12560" s="1" t="str">
        <f t="shared" si="794"/>
        <v>ㄢ</v>
      </c>
      <c r="N12560" s="3" t="s">
        <v>30575</v>
      </c>
      <c r="O12560" s="3"/>
      <c r="P12560" s="1" t="s">
        <v>20</v>
      </c>
      <c r="R12560" s="1" t="s">
        <v>25783</v>
      </c>
      <c r="V12560" s="1" t="s">
        <v>25802</v>
      </c>
      <c r="W12560" s="1" t="s">
        <v>25803</v>
      </c>
      <c r="AR12560" s="1" t="str">
        <f t="shared" si="795"/>
        <v>| [ㄧㄢˊ](ㄧㄢˊ.md) | [鉛](鉛.md) |  | yán | [名]
(一)之讀音。
[動]
循。通「沿」。《荀子．禮論》：「越月踰時，則必反鉛過故鄉。」唐．楊倞．注：「鉛與沿同循也。」 |</v>
      </c>
    </row>
    <row r="12561" spans="1:44" hidden="1">
      <c r="A12561" s="1" t="s">
        <v>25804</v>
      </c>
      <c r="C12561" s="1">
        <v>1</v>
      </c>
      <c r="D12561" s="1" t="str">
        <f>"10962"</f>
        <v>10962</v>
      </c>
      <c r="E12561" s="1" t="s">
        <v>336</v>
      </c>
      <c r="F12561" s="1">
        <v>8</v>
      </c>
      <c r="G12561" s="1">
        <v>4</v>
      </c>
      <c r="H12561" s="1">
        <v>0</v>
      </c>
      <c r="I12561" s="1" t="s">
        <v>25782</v>
      </c>
      <c r="K12561" s="1" t="str">
        <f t="shared" si="793"/>
        <v>ㄧ</v>
      </c>
      <c r="L12561" s="1" t="str">
        <f t="shared" si="794"/>
        <v>ㄢ</v>
      </c>
      <c r="N12561" s="3" t="s">
        <v>30575</v>
      </c>
      <c r="O12561" s="3"/>
      <c r="P12561" s="1" t="s">
        <v>20</v>
      </c>
      <c r="R12561" s="1" t="s">
        <v>25783</v>
      </c>
      <c r="V12561" s="1" t="s">
        <v>25805</v>
      </c>
      <c r="AR12561" s="1" t="str">
        <f t="shared" si="795"/>
        <v>| [ㄧㄢˊ](ㄧㄢˊ.md) | [炎](炎.md) |  | yán | [動]
1.火光上升。《說文解字．炎部》：「炎，火光上也。」《書經．洪範》：「水曰潤下，火曰炎上。」孔穎達正義引王肅曰：「火之性，炎盛而升上。」
2.焚燒。《書經．胤征》：「火炎崑岡，玉石俱焚。」《後漢書．卷三．肅宗孝章帝紀》引漢．章帝〈禱雨詔〉：「去秋雨澤不適，今時復旱，如炎如焚。」《晉書．卷八七．列傳．涼武昭王李玄盛》：「飛塵翕以蔽日，大火炎其燎原。」
[名]
1.得病時發熱、紅腫、疼痛的現象。如：「發炎」、「肺炎」、「盲腸炎」。
2.比喻擁有炙人權勢者。唐．柳宗元〈宋清傳〉：「吾觀今之交乎人者，炎而附，寒而棄，鮮有能類清之為者。」《三俠五義》第六二回：「觀內當家的叫做吳道成，生的黑面大腹，自稱綽號鐵羅漢，一身好武藝，慣會趨炎附勢。」
3.炎帝，即上古傳說中之神農氏，與黃帝合稱「炎黃」。《呂氏春秋．孟秋紀．蕩兵》：「兵所自來者久矣，黃炎故用水火矣，共工氏固次作難矣，五帝固相與爭矣。」《漢書．卷三三．魏豹田儋韓王信傳》：「周室既壞，至春秋末，諸侯秏盡，而炎黃唐虞之苗裔尚猶頗有存者。」
4.火光，火焰。漢．張衡〈西京賦〉：「光炎燭天庭，囂聲震海浦。」《大正藏．史傳部．唐．僧詳．法華經傳記．卷九．王舍城旃陀羅子》：「驅吾入火車持拳，率在三方相副，火籠在頭上，隨振火迸如鐵火，繩率在前導，各口吐火炎。」
[形]
酷熱、極熱。如：「炎熱」、「炎夏」。《楚辭．屈原．九章．悲回風》：「觀炎氣之相仍兮，窺煙液之所積。」唐．柳宗元〈籠鷹詞〉：「炎風溽暑忽然至，羽翼脫落自摧藏。」 |</v>
      </c>
    </row>
    <row r="12562" spans="1:44" hidden="1">
      <c r="A12562" s="1" t="s">
        <v>25806</v>
      </c>
      <c r="C12562" s="1">
        <v>1</v>
      </c>
      <c r="D12562" s="1" t="str">
        <f>"10963"</f>
        <v>10963</v>
      </c>
      <c r="E12562" s="1" t="s">
        <v>190</v>
      </c>
      <c r="F12562" s="1">
        <v>8</v>
      </c>
      <c r="G12562" s="1">
        <v>5</v>
      </c>
      <c r="H12562" s="1">
        <v>0</v>
      </c>
      <c r="I12562" s="1" t="s">
        <v>25782</v>
      </c>
      <c r="K12562" s="1" t="str">
        <f t="shared" si="793"/>
        <v>ㄧ</v>
      </c>
      <c r="L12562" s="1" t="str">
        <f t="shared" si="794"/>
        <v>ㄢ</v>
      </c>
      <c r="N12562" s="3" t="s">
        <v>30575</v>
      </c>
      <c r="O12562" s="3"/>
      <c r="P12562" s="1" t="s">
        <v>20</v>
      </c>
      <c r="R12562" s="1" t="s">
        <v>25783</v>
      </c>
      <c r="V12562" s="1" t="s">
        <v>25807</v>
      </c>
      <c r="AR12562" s="1" t="str">
        <f t="shared" si="795"/>
        <v>| [ㄧㄢˊ](ㄧㄢˊ.md) | [岩](岩.md) |  | yán | [名]
1.同「巖」。如：「岩石」、「岩洞」。
2.構成地殼的石質，多為礦物的集合體。如：「火成岩」、「沉積岩」、「花岡岩」。 |</v>
      </c>
    </row>
    <row r="12563" spans="1:44" hidden="1">
      <c r="A12563" s="1" t="s">
        <v>25808</v>
      </c>
      <c r="C12563" s="1">
        <v>1</v>
      </c>
      <c r="D12563" s="1" t="str">
        <f>"10964"</f>
        <v>10964</v>
      </c>
      <c r="E12563" s="1" t="s">
        <v>6679</v>
      </c>
      <c r="F12563" s="1">
        <v>8</v>
      </c>
      <c r="G12563" s="1">
        <v>5</v>
      </c>
      <c r="H12563" s="1">
        <v>0</v>
      </c>
      <c r="I12563" s="1" t="s">
        <v>25782</v>
      </c>
      <c r="K12563" s="1" t="str">
        <f t="shared" si="793"/>
        <v>ㄧ</v>
      </c>
      <c r="L12563" s="1" t="str">
        <f t="shared" si="794"/>
        <v>ㄢ</v>
      </c>
      <c r="N12563" s="3" t="s">
        <v>30575</v>
      </c>
      <c r="O12563" s="3"/>
      <c r="P12563" s="1" t="s">
        <v>20</v>
      </c>
      <c r="R12563" s="1" t="s">
        <v>25783</v>
      </c>
      <c r="V12563" s="1" t="s">
        <v>25809</v>
      </c>
      <c r="AR12563" s="1" t="str">
        <f t="shared" si="795"/>
        <v>| [ㄧㄢˊ](ㄧㄢˊ.md) | [延](延.md) |  | yán | [形]
長。《文選．班固．西都賦》：「歷十二之延祚，故窮泰而極侈。」晉．左思〈嬌女詩〉：「從容好趙舞，延袖像飛翮。」
[動]
1.拉長、伸長。如：「延長」、「延年益壽」。《韓非子．十過》：「延頸而鳴，舒翼而舞。」晉．慕容廆〈與陶侃箋〉：「每瞻江湄，延首遐外。」
2.擴展、蔓衍。如：「火勢蔓延」。《文選．潘岳．關中詩》：「微火不戒，延我寶庫。」明．徐弘祖《徐霞客遊記．卷一上．遊九鯉湖日記》：「松偃藤延，縱目成勝。」
3.引導、引進。如：「延入」。《文選．賈誼．過秦論》：「秦人開關而延敵。」《漢書．卷六八．霍光傳》：「獨夜設九賓溫室，延見姊夫昌邑關內侯。」
4.招攬、邀請。如：「延請」、「延攬人才」。《紅樓夢》第一〇九回：「那知賈母這病日重一日，延醫調治不效。」
5.連及。如：「禍延子孫」。《書經．大禹謨》：「罰弗及嗣，賞延於世。」
6.向後推遲。如：「拖延」、「延期」。
[副]
遲緩。如：「延誤」、「延緩」。
[名]
姓。如漢代有延岑。 |</v>
      </c>
    </row>
    <row r="12564" spans="1:44" hidden="1">
      <c r="A12564" s="1" t="s">
        <v>21066</v>
      </c>
      <c r="C12564" s="1">
        <v>1</v>
      </c>
      <c r="D12564" s="1" t="str">
        <f>"10965"</f>
        <v>10965</v>
      </c>
      <c r="E12564" s="1" t="s">
        <v>132</v>
      </c>
      <c r="F12564" s="1">
        <v>11</v>
      </c>
      <c r="G12564" s="1">
        <v>8</v>
      </c>
      <c r="H12564" s="1">
        <v>1</v>
      </c>
      <c r="I12564" s="1" t="s">
        <v>25782</v>
      </c>
      <c r="K12564" s="1" t="str">
        <f t="shared" si="793"/>
        <v>ㄧ</v>
      </c>
      <c r="L12564" s="1" t="str">
        <f t="shared" si="794"/>
        <v>ㄢ</v>
      </c>
      <c r="N12564" s="3" t="s">
        <v>30575</v>
      </c>
      <c r="O12564" s="3"/>
      <c r="P12564" s="1" t="s">
        <v>20</v>
      </c>
      <c r="R12564" s="1" t="s">
        <v>25783</v>
      </c>
      <c r="V12564" s="1" t="s">
        <v>25810</v>
      </c>
      <c r="W12564" s="1" t="s">
        <v>25811</v>
      </c>
      <c r="AR12564" s="1" t="str">
        <f t="shared" si="795"/>
        <v>| [ㄧㄢˊ](ㄧㄢˊ.md) | [埏](埏.md) |  | yán | [名]
1.荒遠的地方。《文選．司馬相如．封禪文》：「上暢九垓，下泝八埏。」李善注引孟康曰：「埏，地之八際也。」
2.墓道。《文選．潘岳．哀永逝文》：「撫靈櫬兮訣幽房，棺冥冥兮埏窈窕。」李善注引《聲類》曰：「埏，墓隧也。」 |</v>
      </c>
    </row>
    <row r="12565" spans="1:44" hidden="1">
      <c r="A12565" s="1" t="s">
        <v>25812</v>
      </c>
      <c r="C12565" s="1">
        <v>1</v>
      </c>
      <c r="D12565" s="1" t="str">
        <f>"10966"</f>
        <v>10966</v>
      </c>
      <c r="E12565" s="1" t="s">
        <v>256</v>
      </c>
      <c r="F12565" s="1">
        <v>11</v>
      </c>
      <c r="G12565" s="1">
        <v>8</v>
      </c>
      <c r="H12565" s="1">
        <v>0</v>
      </c>
      <c r="I12565" s="1" t="s">
        <v>25782</v>
      </c>
      <c r="K12565" s="1" t="str">
        <f t="shared" si="793"/>
        <v>ㄧ</v>
      </c>
      <c r="L12565" s="1" t="str">
        <f t="shared" si="794"/>
        <v>ㄢ</v>
      </c>
      <c r="N12565" s="3" t="s">
        <v>30575</v>
      </c>
      <c r="O12565" s="3"/>
      <c r="P12565" s="1" t="s">
        <v>20</v>
      </c>
      <c r="R12565" s="1" t="s">
        <v>25783</v>
      </c>
      <c r="V12565" s="1" t="s">
        <v>25813</v>
      </c>
      <c r="AR12565" s="1" t="str">
        <f t="shared" si="795"/>
        <v>| [ㄧㄢˊ](ㄧㄢˊ.md) | [郔](郔.md) |  | yán | [名]
地名：(1)春秋時鄭國邑地，約在今河南省鄭縣境內。(2)春秋時楚地，約在今大陸地區河南省項城縣境。 |</v>
      </c>
    </row>
    <row r="12566" spans="1:44" hidden="1">
      <c r="A12566" s="1" t="s">
        <v>25814</v>
      </c>
      <c r="C12566" s="1">
        <v>1</v>
      </c>
      <c r="D12566" s="1" t="str">
        <f>"10967"</f>
        <v>10967</v>
      </c>
      <c r="E12566" s="1" t="s">
        <v>679</v>
      </c>
      <c r="F12566" s="1">
        <v>14</v>
      </c>
      <c r="G12566" s="1">
        <v>8</v>
      </c>
      <c r="H12566" s="1">
        <v>0</v>
      </c>
      <c r="I12566" s="1" t="s">
        <v>25782</v>
      </c>
      <c r="K12566" s="1" t="str">
        <f t="shared" si="793"/>
        <v>ㄧ</v>
      </c>
      <c r="L12566" s="1" t="str">
        <f t="shared" si="794"/>
        <v>ㄢ</v>
      </c>
      <c r="N12566" s="3" t="s">
        <v>30575</v>
      </c>
      <c r="O12566" s="3"/>
      <c r="P12566" s="1" t="s">
        <v>20</v>
      </c>
      <c r="R12566" s="1" t="s">
        <v>25783</v>
      </c>
      <c r="V12566" s="1" t="s">
        <v>25815</v>
      </c>
      <c r="AR12566" s="1" t="str">
        <f t="shared" si="795"/>
        <v>| [ㄧㄢˊ](ㄧㄢˊ.md) | [蜒](蜒.md) |  | yán | 參見「蜒蚰」、「蜒蜒」等條。 |</v>
      </c>
    </row>
    <row r="12567" spans="1:44" hidden="1">
      <c r="A12567" s="1" t="s">
        <v>25816</v>
      </c>
      <c r="C12567" s="1">
        <v>1</v>
      </c>
      <c r="D12567" s="1" t="str">
        <f>"10968"</f>
        <v>10968</v>
      </c>
      <c r="E12567" s="1" t="s">
        <v>49</v>
      </c>
      <c r="F12567" s="1">
        <v>14</v>
      </c>
      <c r="G12567" s="1">
        <v>8</v>
      </c>
      <c r="H12567" s="1">
        <v>0</v>
      </c>
      <c r="I12567" s="1" t="s">
        <v>25782</v>
      </c>
      <c r="K12567" s="1" t="str">
        <f t="shared" si="793"/>
        <v>ㄧ</v>
      </c>
      <c r="L12567" s="1" t="str">
        <f t="shared" si="794"/>
        <v>ㄢ</v>
      </c>
      <c r="N12567" s="3" t="s">
        <v>30575</v>
      </c>
      <c r="O12567" s="3"/>
      <c r="P12567" s="1" t="s">
        <v>20</v>
      </c>
      <c r="R12567" s="1" t="s">
        <v>25783</v>
      </c>
      <c r="V12567" s="1" t="s">
        <v>25817</v>
      </c>
      <c r="AR12567" s="1" t="str">
        <f t="shared" si="795"/>
        <v>| [ㄧㄢˊ](ㄧㄢˊ.md) | [筵](筵.md) |  | yán | [名]
1.古時席地而坐時所鋪的席子。《禮記．投壺》：「退反位，揖賓就筵。」
2.酒席、宴席。如：「喜筵」、「壽筵」。唐．王勃〈滕王閣序〉：「嗚呼！勝地不常，盛筵難再。」 |</v>
      </c>
    </row>
    <row r="12568" spans="1:44" hidden="1">
      <c r="A12568" s="1" t="s">
        <v>25818</v>
      </c>
      <c r="C12568" s="1">
        <v>1</v>
      </c>
      <c r="D12568" s="1" t="str">
        <f>"10969"</f>
        <v>10969</v>
      </c>
      <c r="E12568" s="1" t="s">
        <v>725</v>
      </c>
      <c r="F12568" s="1">
        <v>14</v>
      </c>
      <c r="G12568" s="1">
        <v>8</v>
      </c>
      <c r="H12568" s="1">
        <v>0</v>
      </c>
      <c r="I12568" s="1" t="s">
        <v>25782</v>
      </c>
      <c r="K12568" s="1" t="str">
        <f t="shared" si="793"/>
        <v>ㄧ</v>
      </c>
      <c r="L12568" s="1" t="str">
        <f t="shared" si="794"/>
        <v>ㄢ</v>
      </c>
      <c r="N12568" s="3" t="s">
        <v>30575</v>
      </c>
      <c r="O12568" s="3"/>
      <c r="P12568" s="1" t="s">
        <v>20</v>
      </c>
      <c r="R12568" s="1" t="s">
        <v>25783</v>
      </c>
      <c r="V12568" s="1" t="s">
        <v>25819</v>
      </c>
      <c r="AR12568" s="1" t="str">
        <f t="shared" si="795"/>
        <v>| [ㄧㄢˊ](ㄧㄢˊ.md) | [綖](綖.md) |  | yán | [名]
古代垂覆在帽子前後的飾物。《玉篇．糸部》：「綖，冕前後垂。」《左傳．桓公二年》：「帶裳幅舄，衡紞紘綖。」
[動]
拖延、延緩。《呂氏春秋．審分覽．勿躬》：「若此則形性彌羸，而耳目愈精；百官慎職，而莫敢愉綖。」 |</v>
      </c>
    </row>
    <row r="12569" spans="1:44" hidden="1">
      <c r="A12569" s="1" t="s">
        <v>5487</v>
      </c>
      <c r="C12569" s="1">
        <v>1</v>
      </c>
      <c r="D12569" s="1" t="str">
        <f>"10970"</f>
        <v>10970</v>
      </c>
      <c r="E12569" s="1" t="s">
        <v>691</v>
      </c>
      <c r="F12569" s="1">
        <v>8</v>
      </c>
      <c r="G12569" s="1">
        <v>5</v>
      </c>
      <c r="H12569" s="1">
        <v>2</v>
      </c>
      <c r="I12569" s="1" t="s">
        <v>25782</v>
      </c>
      <c r="K12569" s="1" t="str">
        <f t="shared" si="793"/>
        <v>ㄧ</v>
      </c>
      <c r="L12569" s="1" t="str">
        <f t="shared" si="794"/>
        <v>ㄢ</v>
      </c>
      <c r="N12569" s="3" t="s">
        <v>30575</v>
      </c>
      <c r="O12569" s="3"/>
      <c r="P12569" s="1" t="s">
        <v>110</v>
      </c>
      <c r="R12569" s="1" t="s">
        <v>25783</v>
      </c>
      <c r="V12569" s="1" t="s">
        <v>111</v>
      </c>
      <c r="W12569" s="1" t="s">
        <v>25820</v>
      </c>
      <c r="AR12569" s="1" t="str">
        <f t="shared" si="795"/>
        <v>| [ㄧㄢˊ](ㄧㄢˊ.md) | [阽](阽.md) |  | yán | (一)之又音。 |</v>
      </c>
    </row>
    <row r="12570" spans="1:44" hidden="1">
      <c r="A12570" s="1" t="s">
        <v>25821</v>
      </c>
      <c r="C12570" s="1">
        <v>1</v>
      </c>
      <c r="D12570" s="1" t="str">
        <f>"10971"</f>
        <v>10971</v>
      </c>
      <c r="E12570" s="1" t="s">
        <v>709</v>
      </c>
      <c r="F12570" s="1">
        <v>11</v>
      </c>
      <c r="G12570" s="1">
        <v>3</v>
      </c>
      <c r="H12570" s="1">
        <v>0</v>
      </c>
      <c r="I12570" s="1" t="s">
        <v>25782</v>
      </c>
      <c r="K12570" s="1" t="str">
        <f t="shared" si="793"/>
        <v>ㄧ</v>
      </c>
      <c r="L12570" s="1" t="str">
        <f t="shared" si="794"/>
        <v>ㄢ</v>
      </c>
      <c r="N12570" s="3" t="s">
        <v>30575</v>
      </c>
      <c r="O12570" s="3"/>
      <c r="P12570" s="1" t="s">
        <v>20</v>
      </c>
      <c r="R12570" s="1" t="s">
        <v>25783</v>
      </c>
      <c r="V12570" s="1" t="s">
        <v>25822</v>
      </c>
      <c r="AR12570" s="1" t="str">
        <f t="shared" si="795"/>
        <v>| [ㄧㄢˊ](ㄧㄢˊ.md) | [閆](閆.md) |  | yán | [名]
姓。俗用為閻的略字。 |</v>
      </c>
    </row>
    <row r="12571" spans="1:44" hidden="1">
      <c r="A12571" s="1" t="s">
        <v>25823</v>
      </c>
      <c r="C12571" s="1">
        <v>1</v>
      </c>
      <c r="D12571" s="1" t="str">
        <f>"10972"</f>
        <v>10972</v>
      </c>
      <c r="E12571" s="1" t="s">
        <v>190</v>
      </c>
      <c r="F12571" s="1">
        <v>12</v>
      </c>
      <c r="G12571" s="1">
        <v>9</v>
      </c>
      <c r="H12571" s="1">
        <v>0</v>
      </c>
      <c r="I12571" s="1" t="s">
        <v>25782</v>
      </c>
      <c r="K12571" s="1" t="str">
        <f t="shared" si="793"/>
        <v>ㄧ</v>
      </c>
      <c r="L12571" s="1" t="str">
        <f t="shared" si="794"/>
        <v>ㄢ</v>
      </c>
      <c r="N12571" s="3" t="s">
        <v>30575</v>
      </c>
      <c r="O12571" s="3"/>
      <c r="P12571" s="1" t="s">
        <v>20</v>
      </c>
      <c r="R12571" s="1" t="s">
        <v>25783</v>
      </c>
      <c r="V12571" s="1" t="s">
        <v>25824</v>
      </c>
      <c r="AR12571" s="1" t="str">
        <f t="shared" si="795"/>
        <v>| [ㄧㄢˊ](ㄧㄢˊ.md) | [嵒](嵒.md) |  | yán | [名]
山巖、山崖。同「巖」。《文選．嵇康．琴賦》：「且其山川形勢，則盤紆隱深，磪嵬岑嵒。」《鏡花緣》第四六回：「此處不獨清秀幽僻，而且前面層嵒錯落。」 |</v>
      </c>
    </row>
    <row r="12572" spans="1:44" hidden="1">
      <c r="A12572" s="1" t="s">
        <v>25825</v>
      </c>
      <c r="C12572" s="1">
        <v>1</v>
      </c>
      <c r="D12572" s="1" t="str">
        <f>"10973"</f>
        <v>10973</v>
      </c>
      <c r="E12572" s="1" t="s">
        <v>169</v>
      </c>
      <c r="F12572" s="1">
        <v>14</v>
      </c>
      <c r="G12572" s="1">
        <v>9</v>
      </c>
      <c r="H12572" s="1">
        <v>0</v>
      </c>
      <c r="I12572" s="1" t="s">
        <v>25782</v>
      </c>
      <c r="K12572" s="1" t="str">
        <f t="shared" si="793"/>
        <v>ㄧ</v>
      </c>
      <c r="L12572" s="1" t="str">
        <f t="shared" si="794"/>
        <v>ㄢ</v>
      </c>
      <c r="N12572" s="3" t="s">
        <v>30575</v>
      </c>
      <c r="O12572" s="3"/>
      <c r="P12572" s="1" t="s">
        <v>20</v>
      </c>
      <c r="R12572" s="1" t="s">
        <v>25783</v>
      </c>
      <c r="V12572" s="1" t="s">
        <v>25826</v>
      </c>
      <c r="AR12572" s="1" t="str">
        <f t="shared" si="795"/>
        <v>| [ㄧㄢˊ](ㄧㄢˊ.md) | [碞](碞.md) |  | yán | [形]
山石高峻的樣子。《說文解字．石部》：「碞，磛碞也。」清．段玉裁．注：「磛碞，……積石高峻貌也。」
[名]
僭越失序之事。《書經．召誥》：「用顧畏于民碞。」漢．孔安國．傳：「碞，僭也。又當顧畏於下民僭差禮儀。」 |</v>
      </c>
    </row>
    <row r="12573" spans="1:44" hidden="1">
      <c r="A12573" s="1" t="s">
        <v>24385</v>
      </c>
      <c r="C12573" s="1">
        <v>1</v>
      </c>
      <c r="D12573" s="1" t="str">
        <f>"10974"</f>
        <v>10974</v>
      </c>
      <c r="E12573" s="1" t="s">
        <v>40</v>
      </c>
      <c r="F12573" s="1">
        <v>17</v>
      </c>
      <c r="G12573" s="1">
        <v>12</v>
      </c>
      <c r="H12573" s="1">
        <v>1</v>
      </c>
      <c r="I12573" s="1" t="s">
        <v>25782</v>
      </c>
      <c r="K12573" s="1" t="str">
        <f t="shared" si="793"/>
        <v>ㄧ</v>
      </c>
      <c r="L12573" s="1" t="str">
        <f t="shared" si="794"/>
        <v>ㄢ</v>
      </c>
      <c r="N12573" s="3" t="s">
        <v>30575</v>
      </c>
      <c r="O12573" s="3"/>
      <c r="P12573" s="1" t="s">
        <v>20</v>
      </c>
      <c r="R12573" s="1" t="s">
        <v>25783</v>
      </c>
      <c r="V12573" s="1" t="s">
        <v>25827</v>
      </c>
      <c r="W12573" s="1" t="s">
        <v>25828</v>
      </c>
      <c r="AR12573" s="1" t="str">
        <f t="shared" si="795"/>
        <v>| [ㄧㄢˊ](ㄧㄢˊ.md) | [癌](癌.md) |  | yán | [名]
動物體內因細胞不正常增生所形成的惡性腫瘤。其對周圍組織具有高度浸潤傷害性，使病灶發生轉移，並引起惡病質，而導致死亡。如：「肝癌」、「肺癌」、「皮膚癌」。 |</v>
      </c>
    </row>
    <row r="12574" spans="1:44" hidden="1">
      <c r="A12574" s="1" t="s">
        <v>25829</v>
      </c>
      <c r="C12574" s="1">
        <v>1</v>
      </c>
      <c r="D12574" s="1" t="str">
        <f>"10975"</f>
        <v>10975</v>
      </c>
      <c r="E12574" s="1" t="s">
        <v>660</v>
      </c>
      <c r="F12574" s="1">
        <v>16</v>
      </c>
      <c r="G12574" s="1">
        <v>10</v>
      </c>
      <c r="H12574" s="1">
        <v>0</v>
      </c>
      <c r="I12574" s="1" t="s">
        <v>25782</v>
      </c>
      <c r="K12574" s="1" t="str">
        <f t="shared" si="793"/>
        <v>ㄧ</v>
      </c>
      <c r="L12574" s="1" t="str">
        <f t="shared" si="794"/>
        <v>ㄢ</v>
      </c>
      <c r="N12574" s="3" t="s">
        <v>30575</v>
      </c>
      <c r="O12574" s="3"/>
      <c r="P12574" s="1" t="s">
        <v>20</v>
      </c>
      <c r="R12574" s="1" t="s">
        <v>25783</v>
      </c>
      <c r="V12574" s="1" t="s">
        <v>25830</v>
      </c>
      <c r="AR12574" s="1" t="str">
        <f t="shared" si="795"/>
        <v>| [ㄧㄢˊ](ㄧㄢˊ.md) | [虤](虤.md) |  | yán | [形]
老虎發怒的樣子。《集韻．上聲．銑韻》：「虤，虎怒貌。」 |</v>
      </c>
    </row>
    <row r="12575" spans="1:44" hidden="1">
      <c r="A12575" s="1" t="s">
        <v>25831</v>
      </c>
      <c r="C12575" s="1">
        <v>1</v>
      </c>
      <c r="D12575" s="1" t="str">
        <f>"10976"</f>
        <v>10976</v>
      </c>
      <c r="E12575" s="1" t="s">
        <v>709</v>
      </c>
      <c r="F12575" s="1">
        <v>16</v>
      </c>
      <c r="G12575" s="1">
        <v>8</v>
      </c>
      <c r="H12575" s="1">
        <v>0</v>
      </c>
      <c r="I12575" s="1" t="s">
        <v>25782</v>
      </c>
      <c r="K12575" s="1" t="str">
        <f t="shared" si="793"/>
        <v>ㄧ</v>
      </c>
      <c r="L12575" s="1" t="str">
        <f t="shared" si="794"/>
        <v>ㄢ</v>
      </c>
      <c r="N12575" s="3" t="s">
        <v>30575</v>
      </c>
      <c r="O12575" s="3"/>
      <c r="P12575" s="1" t="s">
        <v>20</v>
      </c>
      <c r="R12575" s="1" t="s">
        <v>25783</v>
      </c>
      <c r="V12575" s="1" t="s">
        <v>25832</v>
      </c>
      <c r="AR12575" s="1" t="str">
        <f t="shared" si="795"/>
        <v>| [ㄧㄢˊ](ㄧㄢˊ.md) | [閻](閻.md) |  | yán | [名]
1.里中的門。《說文解字．門部》：「閻，里中門也。」《史記．卷三〇．平準書》：「守閭閻者食粱肉，為吏者長子孫，居官者以為姓號。」《文選．張衡．西京賦》：「便旋閭閻，周觀郊遂。」
2.里巷。清．王念孫《廣雅疏證．卷七上．釋宮》：「閻謂之衖。」疏證：「衖，與巷同。」《荀子．儒效》：「雖隱於窮閻漏屋，人莫不貴之。」
3.姓。如唐代有閻立本。 |</v>
      </c>
    </row>
    <row r="12576" spans="1:44" hidden="1">
      <c r="A12576" s="1" t="s">
        <v>25833</v>
      </c>
      <c r="C12576" s="1">
        <v>1</v>
      </c>
      <c r="D12576" s="1" t="str">
        <f>"10977"</f>
        <v>10977</v>
      </c>
      <c r="E12576" s="1" t="s">
        <v>139</v>
      </c>
      <c r="F12576" s="1">
        <v>17</v>
      </c>
      <c r="G12576" s="1">
        <v>13</v>
      </c>
      <c r="H12576" s="1">
        <v>0</v>
      </c>
      <c r="I12576" s="1" t="s">
        <v>25782</v>
      </c>
      <c r="K12576" s="1" t="str">
        <f t="shared" si="793"/>
        <v>ㄧ</v>
      </c>
      <c r="L12576" s="1" t="str">
        <f t="shared" si="794"/>
        <v>ㄢ</v>
      </c>
      <c r="N12576" s="3" t="s">
        <v>30575</v>
      </c>
      <c r="O12576" s="3"/>
      <c r="P12576" s="1" t="s">
        <v>20</v>
      </c>
      <c r="R12576" s="1" t="s">
        <v>25783</v>
      </c>
      <c r="V12576" s="1" t="s">
        <v>25834</v>
      </c>
      <c r="AR12576" s="1" t="str">
        <f t="shared" si="795"/>
        <v>| [ㄧㄢˊ](ㄧㄢˊ.md) | [檐](檐.md) |  | yán | 同「簷」。 |</v>
      </c>
    </row>
    <row r="12577" spans="1:44" hidden="1">
      <c r="A12577" s="1" t="s">
        <v>25835</v>
      </c>
      <c r="C12577" s="1">
        <v>1</v>
      </c>
      <c r="D12577" s="1" t="str">
        <f>"10978"</f>
        <v>10978</v>
      </c>
      <c r="E12577" s="1" t="s">
        <v>49</v>
      </c>
      <c r="F12577" s="1">
        <v>19</v>
      </c>
      <c r="G12577" s="1">
        <v>13</v>
      </c>
      <c r="H12577" s="1">
        <v>0</v>
      </c>
      <c r="I12577" s="1" t="s">
        <v>25782</v>
      </c>
      <c r="K12577" s="1" t="str">
        <f t="shared" si="793"/>
        <v>ㄧ</v>
      </c>
      <c r="L12577" s="1" t="str">
        <f t="shared" si="794"/>
        <v>ㄢ</v>
      </c>
      <c r="N12577" s="3" t="s">
        <v>30575</v>
      </c>
      <c r="O12577" s="3"/>
      <c r="P12577" s="1" t="s">
        <v>20</v>
      </c>
      <c r="R12577" s="1" t="s">
        <v>25783</v>
      </c>
      <c r="V12577" s="1" t="s">
        <v>25836</v>
      </c>
      <c r="AR12577" s="1" t="str">
        <f t="shared" si="795"/>
        <v>| [ㄧㄢˊ](ㄧㄢˊ.md) | [簷](簷.md) |  | yán | [名]
1.屋頂邊緣突出牆壁的部分。如：「屋簷」、「房簷」。晉．陶淵明〈歸園田居〉詩五首之一：「榆柳蔭後簷，桃李羅堂前。」
2.覆蓋物體的邊緣或突出部分。如：「帽簷」、「傘簷」。《遼史．卷五六．儀衛志二》：「或紗冠，制如烏紗帽，無簷，不擫雙耳。」 |</v>
      </c>
    </row>
    <row r="12578" spans="1:44" hidden="1">
      <c r="A12578" s="1" t="s">
        <v>25837</v>
      </c>
      <c r="C12578" s="1">
        <v>1</v>
      </c>
      <c r="D12578" s="1" t="str">
        <f>"10979"</f>
        <v>10979</v>
      </c>
      <c r="E12578" s="1" t="s">
        <v>684</v>
      </c>
      <c r="F12578" s="1">
        <v>18</v>
      </c>
      <c r="G12578" s="1">
        <v>9</v>
      </c>
      <c r="H12578" s="1">
        <v>0</v>
      </c>
      <c r="I12578" s="1" t="s">
        <v>25782</v>
      </c>
      <c r="K12578" s="1" t="str">
        <f t="shared" si="793"/>
        <v>ㄧ</v>
      </c>
      <c r="L12578" s="1" t="str">
        <f t="shared" si="794"/>
        <v>ㄢ</v>
      </c>
      <c r="N12578" s="3" t="s">
        <v>30575</v>
      </c>
      <c r="O12578" s="3"/>
      <c r="P12578" s="1" t="s">
        <v>20</v>
      </c>
      <c r="R12578" s="1" t="s">
        <v>25783</v>
      </c>
      <c r="V12578" s="1" t="s">
        <v>25838</v>
      </c>
      <c r="AR12578" s="1" t="str">
        <f t="shared" si="795"/>
        <v>| [ㄧㄢˊ](ㄧㄢˊ.md) | [顏](顏.md) |  | yán | [名]
1.額頭。《史記．卷八．高祖本紀》：「隆準而龍顏。」南朝宋．裴駰．集解：「顏，頟顙也，齊人謂之顙，汝南、淮、泗之閒之曰顏。」
2.臉色、面容。如：「和顏悅色」、「笑逐顏開」。《詩經．鄭風．有女同車》：「有女同車，顏如舜華。」
3.面子、名譽。如：「無顏見人」。《紅樓夢》第三三回：「若外人知道，祖宗顏面何在！」
4.色彩。如：「五顏六色」。唐．李白〈古風〉詩五九首之一二：「松柏本孤直，難為桃李顏。」
5.門堂上的匾額。《新唐書．卷一五五．馬燧傳》：「勒石起義堂，帝榜其顏以寵之。」
6.姓。如春秋時魯有顏回。 |</v>
      </c>
    </row>
    <row r="12579" spans="1:44" hidden="1">
      <c r="A12579" s="1" t="s">
        <v>25839</v>
      </c>
      <c r="C12579" s="1">
        <v>1</v>
      </c>
      <c r="D12579" s="1" t="str">
        <f>"10980"</f>
        <v>10980</v>
      </c>
      <c r="E12579" s="1" t="s">
        <v>28</v>
      </c>
      <c r="F12579" s="1">
        <v>20</v>
      </c>
      <c r="G12579" s="1">
        <v>17</v>
      </c>
      <c r="H12579" s="1">
        <v>0</v>
      </c>
      <c r="I12579" s="1" t="s">
        <v>25782</v>
      </c>
      <c r="K12579" s="1" t="str">
        <f t="shared" si="793"/>
        <v>ㄧ</v>
      </c>
      <c r="L12579" s="1" t="str">
        <f t="shared" si="794"/>
        <v>ㄢ</v>
      </c>
      <c r="N12579" s="3" t="s">
        <v>30575</v>
      </c>
      <c r="O12579" s="3"/>
      <c r="P12579" s="1" t="s">
        <v>20</v>
      </c>
      <c r="R12579" s="1" t="s">
        <v>25783</v>
      </c>
      <c r="V12579" s="1" t="s">
        <v>25840</v>
      </c>
      <c r="AR12579" s="1" t="str">
        <f t="shared" si="795"/>
        <v>| [ㄧㄢˊ](ㄧㄢˊ.md) | [嚴](嚴.md) |  | yán | [形]
1.緊急、急迫。如：「事態嚴重」。《孟子．公孫丑下》：「前日不知虞之不肖，使虞敦匠，事嚴，虞不敢請。」
2.緊密。如：「門禁森嚴」、「結構謹嚴」。
3.嚴厲。如：「嚴格」。《隋書．卷三八．皇甫績傳》：「孝寬以其惰業，督以嚴訓，愍績孤幼，特捨之。」
4.殘酷、苛刻。如：「嚴刑拷打」。《漢書．卷六二．司馬遷傳》：「法家嚴而少恩，然其正君臣上下之分，不可改也。」
5.肅穆、端莊。如：「表情嚴肅」、「莊嚴」。《詩經．小雅．六月》：「有嚴有翼，共武之服。」
6.厲害的、猛烈的。如：「嚴冬」。唐．李賀〈夜坐吟〉：「為君起唱長相思，簾外嚴霜皆倒飛。」
[名]
1.整肅的威儀。如：「頗具威嚴」。
2.對父親的敬稱。如：「家嚴」、「令嚴」。
3.警戒、戒備時所行的非常措施。如：「解嚴」、「戒嚴」。
4.姓。如東漢時有嚴光。
[動]
1.畏懼。《孟子．公孫丑上》：「無嚴諸侯，惡聲至，必反之。」
2.尊崇、尊敬。《禮記．學記》：「凡學之道，嚴師為難。」 |</v>
      </c>
    </row>
    <row r="12580" spans="1:44" hidden="1">
      <c r="A12580" s="1" t="s">
        <v>25841</v>
      </c>
      <c r="C12580" s="1">
        <v>1</v>
      </c>
      <c r="D12580" s="1" t="str">
        <f>"10981"</f>
        <v>10981</v>
      </c>
      <c r="E12580" s="1" t="s">
        <v>190</v>
      </c>
      <c r="F12580" s="1">
        <v>23</v>
      </c>
      <c r="G12580" s="1">
        <v>20</v>
      </c>
      <c r="H12580" s="1">
        <v>0</v>
      </c>
      <c r="I12580" s="1" t="s">
        <v>25782</v>
      </c>
      <c r="K12580" s="1" t="str">
        <f t="shared" si="793"/>
        <v>ㄧ</v>
      </c>
      <c r="L12580" s="1" t="str">
        <f t="shared" si="794"/>
        <v>ㄢ</v>
      </c>
      <c r="N12580" s="3" t="s">
        <v>30575</v>
      </c>
      <c r="O12580" s="3"/>
      <c r="P12580" s="1" t="s">
        <v>20</v>
      </c>
      <c r="R12580" s="1" t="s">
        <v>25783</v>
      </c>
      <c r="V12580" s="1" t="s">
        <v>25842</v>
      </c>
      <c r="AR12580" s="1" t="str">
        <f t="shared" si="795"/>
        <v>| [ㄧㄢˊ](ㄧㄢˊ.md) | [巖](巖.md) |  | yán | [名]
1.高峻的山崖。南朝宋．劉義慶《世說新語．容止》：「王安豐雙目爛爛如巖下電。」唐．李白〈夢遊天姥吟留別〉詩：「千巖萬轉路不定，迷花倚石忽已瞑。」
2.洞穴、山洞。《文選．司馬遷．報任少卿書》：「招賢進能，顯巖穴之士。」宋．歐陽修〈醉翁亭記〉：「若夫日出而林霏開，雲歸而巖穴暝。」
[形]
1.高峻。《孟子．盡心上》：「是故知命者，不立乎巖牆之下。」
2.險要。《左傳．隱公元年》：「制，巖邑也。」 |</v>
      </c>
    </row>
    <row r="12581" spans="1:44" hidden="1">
      <c r="A12581" s="1" t="s">
        <v>25843</v>
      </c>
      <c r="C12581" s="1">
        <v>1</v>
      </c>
      <c r="D12581" s="1" t="str">
        <f>"10982"</f>
        <v>10982</v>
      </c>
      <c r="E12581" s="1" t="s">
        <v>9124</v>
      </c>
      <c r="F12581" s="1">
        <v>24</v>
      </c>
      <c r="G12581" s="1">
        <v>13</v>
      </c>
      <c r="H12581" s="1">
        <v>2</v>
      </c>
      <c r="I12581" s="1" t="s">
        <v>25782</v>
      </c>
      <c r="K12581" s="1" t="str">
        <f t="shared" si="793"/>
        <v>ㄧ</v>
      </c>
      <c r="L12581" s="1" t="str">
        <f t="shared" si="794"/>
        <v>ㄢ</v>
      </c>
      <c r="N12581" s="3" t="s">
        <v>30575</v>
      </c>
      <c r="O12581" s="3"/>
      <c r="P12581" s="1" t="s">
        <v>20</v>
      </c>
      <c r="R12581" s="1" t="s">
        <v>25783</v>
      </c>
      <c r="V12581" s="1" t="s">
        <v>25844</v>
      </c>
      <c r="W12581" s="1" t="s">
        <v>25845</v>
      </c>
      <c r="AR12581" s="1" t="str">
        <f t="shared" si="795"/>
        <v>| [ㄧㄢˊ](ㄧㄢˊ.md) | [鹽](鹽.md) |  | yán | [名]
1.含鹹味的礦物質。分海鹽、池鹽、井鹽三種，可供調味及工業上用。如：「柴、米、油、鹽、醬、醋、茶，是人生的開門的七件事。」
2.參見「鹽類」條。 |</v>
      </c>
    </row>
    <row r="12582" spans="1:44" hidden="1">
      <c r="A12582" s="1" t="s">
        <v>25846</v>
      </c>
      <c r="C12582" s="1">
        <v>1</v>
      </c>
      <c r="D12582" s="1" t="str">
        <f>"10983"</f>
        <v>10983</v>
      </c>
      <c r="E12582" s="1" t="s">
        <v>447</v>
      </c>
      <c r="F12582" s="1">
        <v>3</v>
      </c>
      <c r="G12582" s="1">
        <v>0</v>
      </c>
      <c r="H12582" s="1">
        <v>0</v>
      </c>
      <c r="I12582" s="1" t="s">
        <v>25847</v>
      </c>
      <c r="K12582" s="1" t="str">
        <f t="shared" si="793"/>
        <v>ㄧ</v>
      </c>
      <c r="L12582" s="1" t="str">
        <f t="shared" si="794"/>
        <v>ㄢ</v>
      </c>
      <c r="N12582" s="3" t="s">
        <v>30576</v>
      </c>
      <c r="O12582" s="3"/>
      <c r="P12582" s="1" t="s">
        <v>20</v>
      </c>
      <c r="R12582" s="1" t="s">
        <v>25848</v>
      </c>
      <c r="V12582" s="1" t="s">
        <v>25849</v>
      </c>
      <c r="AR12582" s="1" t="str">
        <f t="shared" si="795"/>
        <v>| [ㄧㄢˇ](ㄧㄢˇ.md) | [广](广.md) |  | yǎn | [名]
1.依山崖所建造的房屋。唐．韓愈〈陪杜侍御遊湘西兩寺獨宿有題一首因獻楊常侍〉詩：「剖竹走泉源，開廊架崖广。」元．袁桷〈次韻瑾子過梁山濼三十韻〉：「土屋危可緣，草广突如峙。」
2.二一四部首之一。 |</v>
      </c>
    </row>
    <row r="12583" spans="1:44" hidden="1">
      <c r="A12583" s="1" t="s">
        <v>25850</v>
      </c>
      <c r="C12583" s="1">
        <v>1</v>
      </c>
      <c r="D12583" s="1" t="str">
        <f>"10984"</f>
        <v>10984</v>
      </c>
      <c r="E12583" s="1" t="s">
        <v>800</v>
      </c>
      <c r="F12583" s="1">
        <v>6</v>
      </c>
      <c r="G12583" s="1">
        <v>2</v>
      </c>
      <c r="H12583" s="1">
        <v>0</v>
      </c>
      <c r="I12583" s="1" t="s">
        <v>25847</v>
      </c>
      <c r="K12583" s="1" t="str">
        <f t="shared" si="793"/>
        <v>ㄧ</v>
      </c>
      <c r="L12583" s="1" t="str">
        <f t="shared" si="794"/>
        <v>ㄢ</v>
      </c>
      <c r="N12583" s="3" t="s">
        <v>30576</v>
      </c>
      <c r="O12583" s="3"/>
      <c r="P12583" s="1" t="s">
        <v>20</v>
      </c>
      <c r="R12583" s="1" t="s">
        <v>25848</v>
      </c>
      <c r="V12583" s="1" t="s">
        <v>25851</v>
      </c>
      <c r="AR12583" s="1" t="str">
        <f t="shared" si="795"/>
        <v>| [ㄧㄢˇ](ㄧㄢˇ.md) | [㫃](㫃.md) |  | yǎn | [形]
旌旗隨風飛揚的樣子。《說文解字．㫃部》：「㫃，旌旗之游、㫃蹇之貌。」 |</v>
      </c>
    </row>
    <row r="12584" spans="1:44" hidden="1">
      <c r="A12584" s="1" t="s">
        <v>25852</v>
      </c>
      <c r="C12584" s="1">
        <v>1</v>
      </c>
      <c r="D12584" s="1" t="str">
        <f>"10985"</f>
        <v>10985</v>
      </c>
      <c r="E12584" s="1" t="s">
        <v>129</v>
      </c>
      <c r="F12584" s="1">
        <v>7</v>
      </c>
      <c r="G12584" s="1">
        <v>4</v>
      </c>
      <c r="H12584" s="1">
        <v>0</v>
      </c>
      <c r="I12584" s="1" t="s">
        <v>25847</v>
      </c>
      <c r="K12584" s="1" t="str">
        <f t="shared" si="793"/>
        <v>ㄧ</v>
      </c>
      <c r="L12584" s="1" t="str">
        <f t="shared" si="794"/>
        <v>ㄢ</v>
      </c>
      <c r="N12584" s="3" t="s">
        <v>30576</v>
      </c>
      <c r="O12584" s="3"/>
      <c r="P12584" s="1" t="s">
        <v>20</v>
      </c>
      <c r="R12584" s="1" t="s">
        <v>25848</v>
      </c>
      <c r="V12584" s="1" t="s">
        <v>25853</v>
      </c>
      <c r="AR12584" s="1" t="str">
        <f t="shared" si="795"/>
        <v>| [ㄧㄢˇ](ㄧㄢˇ.md) | [沇](沇.md) |  | yǎn | [名]
1.河川名。發源於大陸地區河南省，為濟水上源。
2.通「兗」。如大陸地區兗州亦作沇州。
[形]
參見「沇溶」、「沇沇」等條。 |</v>
      </c>
    </row>
    <row r="12585" spans="1:44" hidden="1">
      <c r="A12585" s="1" t="s">
        <v>25733</v>
      </c>
      <c r="C12585" s="1">
        <v>1</v>
      </c>
      <c r="D12585" s="1" t="str">
        <f>"10986"</f>
        <v>10986</v>
      </c>
      <c r="E12585" s="1" t="s">
        <v>563</v>
      </c>
      <c r="F12585" s="1">
        <v>8</v>
      </c>
      <c r="G12585" s="1">
        <v>5</v>
      </c>
      <c r="H12585" s="1">
        <v>1</v>
      </c>
      <c r="I12585" s="1" t="s">
        <v>25847</v>
      </c>
      <c r="K12585" s="1" t="str">
        <f t="shared" si="793"/>
        <v>ㄧ</v>
      </c>
      <c r="L12585" s="1" t="str">
        <f t="shared" si="794"/>
        <v>ㄢ</v>
      </c>
      <c r="N12585" s="3" t="s">
        <v>30576</v>
      </c>
      <c r="O12585" s="3"/>
      <c r="P12585" s="1" t="s">
        <v>20</v>
      </c>
      <c r="R12585" s="1" t="s">
        <v>25848</v>
      </c>
      <c r="V12585" s="1" t="s">
        <v>25854</v>
      </c>
      <c r="W12585" s="1" t="s">
        <v>25855</v>
      </c>
      <c r="AR12585" s="1" t="str">
        <f t="shared" si="795"/>
        <v>| [ㄧㄢˇ](ㄧㄢˇ.md) | [奄](奄.md) |  | yǎn | [動]
覆蓋、涵蓋。《詩經．周頌．執競》：「自彼成康，奄有四方。」《淮南子．脩務》：「萬物至眾，而知不足以奄之。」
[副]
急遽、匆促、忽然。如：「奄忽」。《三國志．卷四四．蜀書．蔣琬傳》：「先主嘗因游觀，奄至廣都，琬眾事不理，時又沉醉，先主大怒，將加罪戮。」北周．庾信〈楊柳歌〉：「百年霜露奄離披，一旦功名不可為。」 |</v>
      </c>
    </row>
    <row r="12586" spans="1:44" hidden="1">
      <c r="A12586" s="1" t="s">
        <v>25856</v>
      </c>
      <c r="C12586" s="1">
        <v>1</v>
      </c>
      <c r="D12586" s="1" t="str">
        <f>"10987"</f>
        <v>10987</v>
      </c>
      <c r="E12586" s="1" t="s">
        <v>24</v>
      </c>
      <c r="F12586" s="1">
        <v>11</v>
      </c>
      <c r="G12586" s="1">
        <v>8</v>
      </c>
      <c r="H12586" s="1">
        <v>0</v>
      </c>
      <c r="I12586" s="1" t="s">
        <v>25847</v>
      </c>
      <c r="K12586" s="1" t="str">
        <f t="shared" ref="K12586:K12649" si="796">LEFT(I12586, 1)</f>
        <v>ㄧ</v>
      </c>
      <c r="L12586" s="1" t="str">
        <f t="shared" ref="L12586:L12649" si="797">MID(I12586, 2, 1)</f>
        <v>ㄢ</v>
      </c>
      <c r="N12586" s="3" t="s">
        <v>30576</v>
      </c>
      <c r="O12586" s="3"/>
      <c r="P12586" s="1" t="s">
        <v>20</v>
      </c>
      <c r="R12586" s="1" t="s">
        <v>25848</v>
      </c>
      <c r="V12586" s="1" t="s">
        <v>25857</v>
      </c>
      <c r="AR12586" s="1" t="str">
        <f t="shared" si="795"/>
        <v>| [ㄧㄢˇ](ㄧㄢˇ.md) | [掩](掩.md) |  | yǎn | [動]
1.遮蔽。《禮記．月令》：「君子齊戒，處必掩身。」《紅樓夢》第五七回：「三人聽說，忙掩了口，不提此事。」
2.關閉。如：「虛掩房門」。《南史．卷二六．袁湛傳》：「席門常掩，三逕裁通。」唐．李白〈擬恨賦〉：「若夫陳后失寵，長門掩扉。」
3.停止。漢．班昭〈女誡〉：「是故室人和則謗掩，外內離則惡揚。」《紅樓夢》第一五回：「賈赦等見執意不從，只得告辭謝恩回來，命手下人掩樂停音。」
4.襲擊、偷襲。《史記．卷九〇．彭越傳》：「於是上使使掩梁王，梁王不覺，捕梁王，囚之雒陽。」《隋書．卷七〇．李密傳》：「密發伏自後掩之，須陁眾潰。」 |</v>
      </c>
    </row>
    <row r="12587" spans="1:44" hidden="1">
      <c r="A12587" s="1" t="s">
        <v>24645</v>
      </c>
      <c r="C12587" s="1">
        <v>1</v>
      </c>
      <c r="D12587" s="1" t="str">
        <f>"10988"</f>
        <v>10988</v>
      </c>
      <c r="E12587" s="1" t="s">
        <v>646</v>
      </c>
      <c r="F12587" s="1">
        <v>12</v>
      </c>
      <c r="G12587" s="1">
        <v>8</v>
      </c>
      <c r="H12587" s="1">
        <v>3</v>
      </c>
      <c r="I12587" s="1" t="s">
        <v>25847</v>
      </c>
      <c r="K12587" s="1" t="str">
        <f t="shared" si="796"/>
        <v>ㄧ</v>
      </c>
      <c r="L12587" s="1" t="str">
        <f t="shared" si="797"/>
        <v>ㄢ</v>
      </c>
      <c r="N12587" s="3" t="s">
        <v>30576</v>
      </c>
      <c r="O12587" s="3"/>
      <c r="P12587" s="1" t="s">
        <v>20</v>
      </c>
      <c r="R12587" s="1" t="s">
        <v>25848</v>
      </c>
      <c r="V12587" s="1" t="s">
        <v>25858</v>
      </c>
      <c r="W12587" s="1" t="s">
        <v>25859</v>
      </c>
      <c r="AR12587" s="1" t="str">
        <f t="shared" si="795"/>
        <v>| [ㄧㄢˇ](ㄧㄢˇ.md) | [晻](晻.md) |  | yǎn | 參見「晻晻」條。 |</v>
      </c>
    </row>
    <row r="12588" spans="1:44" hidden="1">
      <c r="A12588" s="1" t="s">
        <v>25860</v>
      </c>
      <c r="C12588" s="1">
        <v>1</v>
      </c>
      <c r="D12588" s="1" t="str">
        <f>"10989"</f>
        <v>10989</v>
      </c>
      <c r="E12588" s="1" t="s">
        <v>118</v>
      </c>
      <c r="F12588" s="1">
        <v>13</v>
      </c>
      <c r="G12588" s="1">
        <v>8</v>
      </c>
      <c r="H12588" s="1">
        <v>0</v>
      </c>
      <c r="I12588" s="1" t="s">
        <v>25847</v>
      </c>
      <c r="K12588" s="1" t="str">
        <f t="shared" si="796"/>
        <v>ㄧ</v>
      </c>
      <c r="L12588" s="1" t="str">
        <f t="shared" si="797"/>
        <v>ㄢ</v>
      </c>
      <c r="N12588" s="3" t="s">
        <v>30576</v>
      </c>
      <c r="O12588" s="3"/>
      <c r="P12588" s="1" t="s">
        <v>20</v>
      </c>
      <c r="R12588" s="1" t="s">
        <v>25848</v>
      </c>
      <c r="V12588" s="1" t="s">
        <v>25861</v>
      </c>
      <c r="AR12588" s="1" t="str">
        <f t="shared" si="795"/>
        <v>| [ㄧㄢˇ](ㄧㄢˇ.md) | [罨](罨.md) |  | yǎn | [名]
用來捕魚或捕鳥的網。《玉篇．网部》：「罨，罕也。以罔魚也。」《廣韻．上聲．琰韻》：「罨，鳥網。」
[動]
1.用網捕取。《文選．左思．蜀都賦》：「罨翡翠，釣鰋鮋。」
2.覆蓋。明．徐弘祖《徐霞客遊記．卷八上．滇遊日記八》：「峽中西望，重峰罨映。」 |</v>
      </c>
    </row>
    <row r="12589" spans="1:44" hidden="1">
      <c r="A12589" s="1" t="s">
        <v>25862</v>
      </c>
      <c r="C12589" s="1">
        <v>1</v>
      </c>
      <c r="D12589" s="1" t="str">
        <f>"10990"</f>
        <v>10990</v>
      </c>
      <c r="E12589" s="1" t="s">
        <v>2777</v>
      </c>
      <c r="F12589" s="1">
        <v>20</v>
      </c>
      <c r="G12589" s="1">
        <v>8</v>
      </c>
      <c r="H12589" s="1">
        <v>0</v>
      </c>
      <c r="I12589" s="1" t="s">
        <v>25847</v>
      </c>
      <c r="K12589" s="1" t="str">
        <f t="shared" si="796"/>
        <v>ㄧ</v>
      </c>
      <c r="L12589" s="1" t="str">
        <f t="shared" si="797"/>
        <v>ㄢ</v>
      </c>
      <c r="N12589" s="3" t="s">
        <v>30576</v>
      </c>
      <c r="O12589" s="3"/>
      <c r="P12589" s="1" t="s">
        <v>20</v>
      </c>
      <c r="R12589" s="1" t="s">
        <v>25848</v>
      </c>
      <c r="V12589" s="1" t="s">
        <v>25863</v>
      </c>
      <c r="AR12589" s="1" t="str">
        <f t="shared" si="795"/>
        <v>| [ㄧㄢˇ](ㄧㄢˇ.md) | [黤](黤.md) |  | yǎn | [名]
青黑色。《說文解字．黑部》：「黤，青黑色也。」 |</v>
      </c>
    </row>
    <row r="12590" spans="1:44" hidden="1">
      <c r="A12590" s="1" t="s">
        <v>25864</v>
      </c>
      <c r="C12590" s="1">
        <v>1</v>
      </c>
      <c r="D12590" s="1" t="str">
        <f>"10991"</f>
        <v>10991</v>
      </c>
      <c r="E12590" s="1" t="s">
        <v>3581</v>
      </c>
      <c r="F12590" s="1">
        <v>9</v>
      </c>
      <c r="G12590" s="1">
        <v>7</v>
      </c>
      <c r="H12590" s="1">
        <v>0</v>
      </c>
      <c r="I12590" s="1" t="s">
        <v>25847</v>
      </c>
      <c r="K12590" s="1" t="str">
        <f t="shared" si="796"/>
        <v>ㄧ</v>
      </c>
      <c r="L12590" s="1" t="str">
        <f t="shared" si="797"/>
        <v>ㄢ</v>
      </c>
      <c r="N12590" s="3" t="s">
        <v>30576</v>
      </c>
      <c r="O12590" s="3"/>
      <c r="P12590" s="1" t="s">
        <v>20</v>
      </c>
      <c r="R12590" s="1" t="s">
        <v>25848</v>
      </c>
      <c r="V12590" s="1" t="s">
        <v>25865</v>
      </c>
      <c r="AR12590" s="1" t="str">
        <f t="shared" si="795"/>
        <v>| [ㄧㄢˇ](ㄧㄢˇ.md) | [兗](兗.md) |  | yǎn | 參見「兗州」條。 |</v>
      </c>
    </row>
    <row r="12591" spans="1:44" hidden="1">
      <c r="A12591" s="1" t="s">
        <v>25866</v>
      </c>
      <c r="C12591" s="1">
        <v>1</v>
      </c>
      <c r="D12591" s="1" t="str">
        <f>"10992"</f>
        <v>10992</v>
      </c>
      <c r="E12591" s="1" t="s">
        <v>1258</v>
      </c>
      <c r="F12591" s="1">
        <v>9</v>
      </c>
      <c r="G12591" s="1">
        <v>7</v>
      </c>
      <c r="H12591" s="1">
        <v>0</v>
      </c>
      <c r="I12591" s="1" t="s">
        <v>25847</v>
      </c>
      <c r="K12591" s="1" t="str">
        <f t="shared" si="796"/>
        <v>ㄧ</v>
      </c>
      <c r="L12591" s="1" t="str">
        <f t="shared" si="797"/>
        <v>ㄢ</v>
      </c>
      <c r="N12591" s="3" t="s">
        <v>30576</v>
      </c>
      <c r="O12591" s="3"/>
      <c r="P12591" s="1" t="s">
        <v>20</v>
      </c>
      <c r="R12591" s="1" t="s">
        <v>25848</v>
      </c>
      <c r="V12591" s="1" t="s">
        <v>25867</v>
      </c>
      <c r="AR12591" s="1" t="str">
        <f t="shared" si="795"/>
        <v>| [ㄧㄢˇ](ㄧㄢˇ.md) | [匽](匽.md) |  | yǎn | [動]
1.藏匿。《說文解字．匸部》：「匽，匿也。」
2.停止、停息。通「偃」。《漢書．卷二二．禮樂志》：「海內安寧，興文匽武。」
[名]
1.廁所。《周禮．天官．宮人》：「為其井匽，除其不蠲，去其惡臭。」鄭玄注引鄭司農曰：「匽，路廁也。」
2.姓。如漢代有匽皇后。 |</v>
      </c>
    </row>
    <row r="12592" spans="1:44" hidden="1">
      <c r="A12592" s="1" t="s">
        <v>25868</v>
      </c>
      <c r="C12592" s="1">
        <v>1</v>
      </c>
      <c r="D12592" s="1" t="str">
        <f>"10993"</f>
        <v>10993</v>
      </c>
      <c r="E12592" s="1" t="s">
        <v>114</v>
      </c>
      <c r="F12592" s="1">
        <v>11</v>
      </c>
      <c r="G12592" s="1">
        <v>9</v>
      </c>
      <c r="H12592" s="1">
        <v>0</v>
      </c>
      <c r="I12592" s="1" t="s">
        <v>25847</v>
      </c>
      <c r="K12592" s="1" t="str">
        <f t="shared" si="796"/>
        <v>ㄧ</v>
      </c>
      <c r="L12592" s="1" t="str">
        <f t="shared" si="797"/>
        <v>ㄢ</v>
      </c>
      <c r="N12592" s="3" t="s">
        <v>30576</v>
      </c>
      <c r="O12592" s="3"/>
      <c r="P12592" s="1" t="s">
        <v>20</v>
      </c>
      <c r="R12592" s="1" t="s">
        <v>25848</v>
      </c>
      <c r="V12592" s="1" t="s">
        <v>25869</v>
      </c>
      <c r="AR12592" s="1" t="str">
        <f t="shared" si="795"/>
        <v>| [ㄧㄢˇ](ㄧㄢˇ.md) | [偃](偃.md) |  | yǎn | [動]
1.仰臥。《詩經．小雅．北山》：「或息偃在床，或不巳于行。」《文選．謝靈運．遊南亭詩》：「逝將候秋水，息景偃舊崖。」
2.仆倒、倒伏。《書經．金縢》：「天大雷電以風，禾盡偃。」《儀禮．鄉射禮》：「東面偃旌，興而俟。」
3.覆蓋。如：「偃蓋」。唐．張喬〈尋桃源〉詩：「水垂青靄斷，松偃綠蘿低。」
4.停止、平息。《書經．武成》：「王來自商至于豐，乃偃武修文。」唐．杜甫〈寄題江外草堂〉詩：「干戈未偃息，安得酣歌眠。」
[名]
1.堤防。《周禮．天官．䱷人》：「䱷人掌以時䱷為梁。」鄭玄注引鄭司農云：「梁，水偃也。」
2.姓。如晉代有偃籍。 |</v>
      </c>
    </row>
    <row r="12593" spans="1:44" hidden="1">
      <c r="A12593" s="1" t="s">
        <v>25870</v>
      </c>
      <c r="C12593" s="1">
        <v>1</v>
      </c>
      <c r="D12593" s="1" t="str">
        <f>"10994"</f>
        <v>10994</v>
      </c>
      <c r="E12593" s="1" t="s">
        <v>256</v>
      </c>
      <c r="F12593" s="1">
        <v>12</v>
      </c>
      <c r="G12593" s="1">
        <v>9</v>
      </c>
      <c r="H12593" s="1">
        <v>0</v>
      </c>
      <c r="I12593" s="1" t="s">
        <v>25847</v>
      </c>
      <c r="K12593" s="1" t="str">
        <f t="shared" si="796"/>
        <v>ㄧ</v>
      </c>
      <c r="L12593" s="1" t="str">
        <f t="shared" si="797"/>
        <v>ㄢ</v>
      </c>
      <c r="N12593" s="3" t="s">
        <v>30576</v>
      </c>
      <c r="O12593" s="3"/>
      <c r="P12593" s="1" t="s">
        <v>20</v>
      </c>
      <c r="R12593" s="1" t="s">
        <v>25848</v>
      </c>
      <c r="V12593" s="1" t="s">
        <v>25871</v>
      </c>
      <c r="AR12593" s="1" t="str">
        <f t="shared" si="795"/>
        <v>| [ㄧㄢˇ](ㄧㄢˇ.md) | [郾](郾.md) |  | yǎn | 參見「郾城縣」條。 |</v>
      </c>
    </row>
    <row r="12594" spans="1:44" hidden="1">
      <c r="A12594" s="1" t="s">
        <v>25872</v>
      </c>
      <c r="C12594" s="1">
        <v>1</v>
      </c>
      <c r="D12594" s="1" t="str">
        <f>"10995"</f>
        <v>10995</v>
      </c>
      <c r="E12594" s="1" t="s">
        <v>679</v>
      </c>
      <c r="F12594" s="1">
        <v>15</v>
      </c>
      <c r="G12594" s="1">
        <v>9</v>
      </c>
      <c r="H12594" s="1">
        <v>0</v>
      </c>
      <c r="I12594" s="1" t="s">
        <v>25847</v>
      </c>
      <c r="K12594" s="1" t="str">
        <f t="shared" si="796"/>
        <v>ㄧ</v>
      </c>
      <c r="L12594" s="1" t="str">
        <f t="shared" si="797"/>
        <v>ㄢ</v>
      </c>
      <c r="N12594" s="3" t="s">
        <v>30576</v>
      </c>
      <c r="O12594" s="3"/>
      <c r="P12594" s="1" t="s">
        <v>20</v>
      </c>
      <c r="R12594" s="1" t="s">
        <v>25848</v>
      </c>
      <c r="V12594" s="1" t="s">
        <v>25873</v>
      </c>
      <c r="AR12594" s="1" t="str">
        <f t="shared" si="795"/>
        <v>| [ㄧㄢˇ](ㄧㄢˇ.md) | [蝘](蝘.md) |  | yǎn | [名]
蟬。《詩經．大雅．蕩》「如蜩如螗，如沸如羹」句下漢．毛亨．傳：「螗，蝘也。」 |</v>
      </c>
    </row>
    <row r="12595" spans="1:44" hidden="1">
      <c r="A12595" s="1" t="s">
        <v>25874</v>
      </c>
      <c r="C12595" s="1">
        <v>1</v>
      </c>
      <c r="D12595" s="1" t="str">
        <f>"10996"</f>
        <v>10996</v>
      </c>
      <c r="E12595" s="1" t="s">
        <v>86</v>
      </c>
      <c r="F12595" s="1">
        <v>22</v>
      </c>
      <c r="G12595" s="1">
        <v>9</v>
      </c>
      <c r="H12595" s="1">
        <v>0</v>
      </c>
      <c r="I12595" s="1" t="s">
        <v>25847</v>
      </c>
      <c r="K12595" s="1" t="str">
        <f t="shared" si="796"/>
        <v>ㄧ</v>
      </c>
      <c r="L12595" s="1" t="str">
        <f t="shared" si="797"/>
        <v>ㄢ</v>
      </c>
      <c r="N12595" s="3" t="s">
        <v>30576</v>
      </c>
      <c r="O12595" s="3"/>
      <c r="P12595" s="1" t="s">
        <v>20</v>
      </c>
      <c r="R12595" s="1" t="s">
        <v>25848</v>
      </c>
      <c r="V12595" s="1" t="s">
        <v>25875</v>
      </c>
      <c r="AR12595" s="1" t="str">
        <f t="shared" si="795"/>
        <v>| [ㄧㄢˇ](ㄧㄢˇ.md) | [鼴](鼴.md) |  | yǎn | 參見「鼴鼠」條。 |</v>
      </c>
    </row>
    <row r="12596" spans="1:44" hidden="1">
      <c r="A12596" s="1" t="s">
        <v>25876</v>
      </c>
      <c r="C12596" s="1">
        <v>1</v>
      </c>
      <c r="D12596" s="1" t="str">
        <f>"10997"</f>
        <v>10997</v>
      </c>
      <c r="E12596" s="1" t="s">
        <v>1027</v>
      </c>
      <c r="F12596" s="1">
        <v>9</v>
      </c>
      <c r="G12596" s="1">
        <v>6</v>
      </c>
      <c r="H12596" s="1">
        <v>0</v>
      </c>
      <c r="I12596" s="1" t="s">
        <v>25847</v>
      </c>
      <c r="K12596" s="1" t="str">
        <f t="shared" si="796"/>
        <v>ㄧ</v>
      </c>
      <c r="L12596" s="1" t="str">
        <f t="shared" si="797"/>
        <v>ㄢ</v>
      </c>
      <c r="N12596" s="3" t="s">
        <v>30576</v>
      </c>
      <c r="O12596" s="3"/>
      <c r="P12596" s="1" t="s">
        <v>20</v>
      </c>
      <c r="R12596" s="1" t="s">
        <v>25848</v>
      </c>
      <c r="V12596" s="1" t="s">
        <v>25877</v>
      </c>
      <c r="AR12596" s="1" t="str">
        <f t="shared" si="795"/>
        <v>| [ㄧㄢˇ](ㄧㄢˇ.md) | [弇](弇.md) |  | yǎn | [動]
1.遮蓋、掩蔽。《爾雅．釋天》：「弇日為蔽雲，疾雷為霆霓。」《管子．八觀》：「塞其塗，弇其跡。」
2.承襲、依循。《荀子．賦篇》：「法禹、舜而能弇跡者邪？」
[形]
1.深。《呂氏春秋．仲冬紀．仲冬》：「君子齋戒，處必弇。」漢．高誘．注：「弇，深邃。」
2.窄小、狹隘。如：「弇口」。《左傳．襄公二十五年》：「行及弇中，將舍。」晉．杜預．注：「弇中，狹道。」 |</v>
      </c>
    </row>
    <row r="12597" spans="1:44" hidden="1">
      <c r="A12597" s="1" t="s">
        <v>25878</v>
      </c>
      <c r="C12597" s="1">
        <v>1</v>
      </c>
      <c r="D12597" s="1" t="str">
        <f>"10998"</f>
        <v>10998</v>
      </c>
      <c r="E12597" s="1" t="s">
        <v>129</v>
      </c>
      <c r="F12597" s="1">
        <v>12</v>
      </c>
      <c r="G12597" s="1">
        <v>9</v>
      </c>
      <c r="H12597" s="1">
        <v>0</v>
      </c>
      <c r="I12597" s="1" t="s">
        <v>25847</v>
      </c>
      <c r="K12597" s="1" t="str">
        <f t="shared" si="796"/>
        <v>ㄧ</v>
      </c>
      <c r="L12597" s="1" t="str">
        <f t="shared" si="797"/>
        <v>ㄢ</v>
      </c>
      <c r="N12597" s="3" t="s">
        <v>30576</v>
      </c>
      <c r="O12597" s="3"/>
      <c r="P12597" s="1" t="s">
        <v>20</v>
      </c>
      <c r="R12597" s="1" t="s">
        <v>25848</v>
      </c>
      <c r="V12597" s="1" t="s">
        <v>25879</v>
      </c>
      <c r="AR12597" s="1" t="str">
        <f t="shared" si="795"/>
        <v>| [ㄧㄢˇ](ㄧㄢˇ.md) | [渰](渰.md) |  | yǎn | [形]
雲興起的樣子。《說文解字．水部》：「渰，雲雨貌。」宋．王令〈渰渰〉詩：「渰渰輕雲弄落暉，壞簷巢滿燕來歸。」
[名]
陰雲。《文選．張協．雜詩一〇首之九》：「淒風起東谷，有渰興南岑。」
[動]
淹沒。通「淹」。《水滸傳》第五五回：「水中生擒二百餘人，一半水中渰死，些少逃得性命回去。」《聊齋志異．卷五．長冶女子》：「門舍居廬，已被黑水渰沒。」 |</v>
      </c>
    </row>
    <row r="12598" spans="1:44" hidden="1">
      <c r="A12598" s="1" t="s">
        <v>25880</v>
      </c>
      <c r="C12598" s="1">
        <v>1</v>
      </c>
      <c r="D12598" s="1" t="str">
        <f>"10999"</f>
        <v>10999</v>
      </c>
      <c r="E12598" s="1" t="s">
        <v>24</v>
      </c>
      <c r="F12598" s="1">
        <v>12</v>
      </c>
      <c r="G12598" s="1">
        <v>9</v>
      </c>
      <c r="H12598" s="1">
        <v>0</v>
      </c>
      <c r="I12598" s="1" t="s">
        <v>25847</v>
      </c>
      <c r="K12598" s="1" t="str">
        <f t="shared" si="796"/>
        <v>ㄧ</v>
      </c>
      <c r="L12598" s="1" t="str">
        <f t="shared" si="797"/>
        <v>ㄢ</v>
      </c>
      <c r="N12598" s="3" t="s">
        <v>30576</v>
      </c>
      <c r="O12598" s="3"/>
      <c r="P12598" s="1" t="s">
        <v>20</v>
      </c>
      <c r="R12598" s="1" t="s">
        <v>25848</v>
      </c>
      <c r="V12598" s="1" t="s">
        <v>25881</v>
      </c>
      <c r="AR12598" s="1" t="str">
        <f t="shared" si="795"/>
        <v>| [ㄧㄢˇ](ㄧㄢˇ.md) | [揜](揜.md) |  | yǎn | [動]
1.捕取。《文選．曹植．七啟》：「曳文狐，揜狡兔，捎鷫鷞，拂振鷺。」
2.遮蔽。通「掩」。《禮記．聘義》：「瑕不揜瑜，瑜不揜瑕。」唐．魏徵〈理獄聽諫疏〉：「此猶捕雀揜目，盜鐘而揜耳者，祇以取誚，將何益乎？」
3.奪。《淮南子．氾論》：「怯者夜見立表，以為鬼也；見寢石，以為虎也；懼揜其氣也。」 |</v>
      </c>
    </row>
    <row r="12599" spans="1:44" hidden="1">
      <c r="A12599" s="1" t="s">
        <v>24620</v>
      </c>
      <c r="C12599" s="1">
        <v>1</v>
      </c>
      <c r="D12599" s="1" t="str">
        <f>"11000"</f>
        <v>11000</v>
      </c>
      <c r="E12599" s="1" t="s">
        <v>534</v>
      </c>
      <c r="F12599" s="1">
        <v>12</v>
      </c>
      <c r="G12599" s="1">
        <v>9</v>
      </c>
      <c r="H12599" s="1">
        <v>2</v>
      </c>
      <c r="I12599" s="1" t="s">
        <v>25847</v>
      </c>
      <c r="K12599" s="1" t="str">
        <f t="shared" si="796"/>
        <v>ㄧ</v>
      </c>
      <c r="L12599" s="1" t="str">
        <f t="shared" si="797"/>
        <v>ㄢ</v>
      </c>
      <c r="N12599" s="3" t="s">
        <v>30576</v>
      </c>
      <c r="O12599" s="3"/>
      <c r="P12599" s="1" t="s">
        <v>20</v>
      </c>
      <c r="R12599" s="1" t="s">
        <v>25848</v>
      </c>
      <c r="V12599" s="1" t="s">
        <v>24621</v>
      </c>
      <c r="W12599" s="1" t="s">
        <v>25882</v>
      </c>
      <c r="AR12599" s="1" t="str">
        <f t="shared" si="795"/>
        <v>| [ㄧㄢˇ](ㄧㄢˇ.md) | [媕](媕.md) |  | yǎn | 參見「媕婀」條。 |</v>
      </c>
    </row>
    <row r="12600" spans="1:44" hidden="1">
      <c r="A12600" s="1" t="s">
        <v>25883</v>
      </c>
      <c r="C12600" s="1">
        <v>1</v>
      </c>
      <c r="D12600" s="1" t="str">
        <f>"11001"</f>
        <v>11001</v>
      </c>
      <c r="E12600" s="1" t="s">
        <v>7105</v>
      </c>
      <c r="F12600" s="1">
        <v>9</v>
      </c>
      <c r="G12600" s="1">
        <v>3</v>
      </c>
      <c r="H12600" s="1">
        <v>0</v>
      </c>
      <c r="I12600" s="1" t="s">
        <v>25847</v>
      </c>
      <c r="K12600" s="1" t="str">
        <f t="shared" si="796"/>
        <v>ㄧ</v>
      </c>
      <c r="L12600" s="1" t="str">
        <f t="shared" si="797"/>
        <v>ㄢ</v>
      </c>
      <c r="N12600" s="3" t="s">
        <v>30576</v>
      </c>
      <c r="O12600" s="3"/>
      <c r="P12600" s="1" t="s">
        <v>20</v>
      </c>
      <c r="R12600" s="1" t="s">
        <v>25848</v>
      </c>
      <c r="V12600" s="1" t="s">
        <v>25884</v>
      </c>
      <c r="AR12600" s="1" t="str">
        <f t="shared" si="795"/>
        <v>| [ㄧㄢˇ](ㄧㄢˇ.md) | [衍](衍.md) |  | yǎn | [動]
1.延伸、展開。如：「繁衍」。《漢書．卷六六．公孫賀等傳．贊曰》：「博通善屬文，推衍鹽鐵之議。」
2.散布、分布。《文選．張衡．東京賦》：「仁風衍而外流，誼方激而遐騖。」
[形]
多餘的。如：「衍字」。宋．鄭樵〈通志總序〉：「既無衍文，又無絕緒，世世相承，如出一手。」 |</v>
      </c>
    </row>
    <row r="12601" spans="1:44" hidden="1">
      <c r="A12601" s="1" t="s">
        <v>21104</v>
      </c>
      <c r="C12601" s="1">
        <v>1</v>
      </c>
      <c r="D12601" s="1" t="str">
        <f>"11002"</f>
        <v>11002</v>
      </c>
      <c r="E12601" s="1" t="s">
        <v>185</v>
      </c>
      <c r="F12601" s="1">
        <v>10</v>
      </c>
      <c r="G12601" s="1">
        <v>8</v>
      </c>
      <c r="H12601" s="1">
        <v>1</v>
      </c>
      <c r="I12601" s="1" t="s">
        <v>25847</v>
      </c>
      <c r="K12601" s="1" t="str">
        <f t="shared" si="796"/>
        <v>ㄧ</v>
      </c>
      <c r="L12601" s="1" t="str">
        <f t="shared" si="797"/>
        <v>ㄢ</v>
      </c>
      <c r="N12601" s="3" t="s">
        <v>30576</v>
      </c>
      <c r="O12601" s="3"/>
      <c r="P12601" s="1" t="s">
        <v>20</v>
      </c>
      <c r="R12601" s="1" t="s">
        <v>25848</v>
      </c>
      <c r="V12601" s="1" t="s">
        <v>25885</v>
      </c>
      <c r="W12601" s="1" t="s">
        <v>25886</v>
      </c>
      <c r="AR12601" s="1" t="str">
        <f t="shared" si="795"/>
        <v>| [ㄧㄢˇ](ㄧㄢˇ.md) | [剡](剡.md) |  | yǎn | [動]
1.削尖。《易經．繫辭下》：「弦木為弧，剡木為矢。」
2.舉、抬。《荀子．彊國》：「安欲剡其脛而以蹈秦之腹。」《漢書．卷四八．賈誼傳》：「發忿快志，剡手以衝仇人之匈。」
[形]
尖銳、銳利。如：「剡鋒」、「剡利」、「剡耜」。 |</v>
      </c>
    </row>
    <row r="12602" spans="1:44" hidden="1">
      <c r="A12602" s="1" t="s">
        <v>25887</v>
      </c>
      <c r="C12602" s="1">
        <v>1</v>
      </c>
      <c r="D12602" s="1" t="str">
        <f>"11003"</f>
        <v>11003</v>
      </c>
      <c r="E12602" s="1" t="s">
        <v>142</v>
      </c>
      <c r="F12602" s="1">
        <v>12</v>
      </c>
      <c r="G12602" s="1">
        <v>8</v>
      </c>
      <c r="H12602" s="1">
        <v>0</v>
      </c>
      <c r="I12602" s="1" t="s">
        <v>25847</v>
      </c>
      <c r="K12602" s="1" t="str">
        <f t="shared" si="796"/>
        <v>ㄧ</v>
      </c>
      <c r="L12602" s="1" t="str">
        <f t="shared" si="797"/>
        <v>ㄢ</v>
      </c>
      <c r="N12602" s="3" t="s">
        <v>30576</v>
      </c>
      <c r="O12602" s="3"/>
      <c r="P12602" s="1" t="s">
        <v>20</v>
      </c>
      <c r="R12602" s="1" t="s">
        <v>25848</v>
      </c>
      <c r="V12602" s="1" t="s">
        <v>25888</v>
      </c>
      <c r="AR12602" s="1" t="str">
        <f t="shared" si="795"/>
        <v>| [ㄧㄢˇ](ㄧㄢˇ.md) | [琰](琰.md) |  | yǎn | [名]
1.一種美玉。《漢書．卷五七．司馬相如傳上》：「鼂采琬琰，和氏出焉。」南朝梁．簡文帝〈謝敕賚善勝威勝刀啟〉：「冰鍔含彩，雕琰表飾。」
2.琰圭的簡稱。參見「琰圭」條。 |</v>
      </c>
    </row>
    <row r="12603" spans="1:44" hidden="1">
      <c r="A12603" s="1" t="s">
        <v>25889</v>
      </c>
      <c r="C12603" s="1">
        <v>1</v>
      </c>
      <c r="D12603" s="1" t="str">
        <f>"11004"</f>
        <v>11004</v>
      </c>
      <c r="E12603" s="1" t="s">
        <v>1252</v>
      </c>
      <c r="F12603" s="1">
        <v>12</v>
      </c>
      <c r="G12603" s="1">
        <v>8</v>
      </c>
      <c r="H12603" s="1">
        <v>0</v>
      </c>
      <c r="I12603" s="1" t="s">
        <v>25847</v>
      </c>
      <c r="K12603" s="1" t="str">
        <f t="shared" si="796"/>
        <v>ㄧ</v>
      </c>
      <c r="L12603" s="1" t="str">
        <f t="shared" si="797"/>
        <v>ㄢ</v>
      </c>
      <c r="N12603" s="3" t="s">
        <v>30576</v>
      </c>
      <c r="O12603" s="3"/>
      <c r="P12603" s="1" t="s">
        <v>20</v>
      </c>
      <c r="R12603" s="1" t="s">
        <v>25848</v>
      </c>
      <c r="V12603" s="1" t="s">
        <v>24902</v>
      </c>
      <c r="AR12603" s="1" t="str">
        <f t="shared" si="795"/>
        <v>| [ㄧㄢˇ](ㄧㄢˇ.md) | [扊](扊.md) |  | yǎn | 參見「扊扅」條。 |</v>
      </c>
    </row>
    <row r="12604" spans="1:44" hidden="1">
      <c r="A12604" s="1" t="s">
        <v>25890</v>
      </c>
      <c r="C12604" s="1">
        <v>1</v>
      </c>
      <c r="D12604" s="1" t="str">
        <f>"11005"</f>
        <v>11005</v>
      </c>
      <c r="E12604" s="1" t="s">
        <v>1015</v>
      </c>
      <c r="F12604" s="1">
        <v>11</v>
      </c>
      <c r="G12604" s="1">
        <v>6</v>
      </c>
      <c r="H12604" s="1">
        <v>0</v>
      </c>
      <c r="I12604" s="1" t="s">
        <v>25847</v>
      </c>
      <c r="K12604" s="1" t="str">
        <f t="shared" si="796"/>
        <v>ㄧ</v>
      </c>
      <c r="L12604" s="1" t="str">
        <f t="shared" si="797"/>
        <v>ㄢ</v>
      </c>
      <c r="N12604" s="3" t="s">
        <v>30576</v>
      </c>
      <c r="O12604" s="3"/>
      <c r="P12604" s="1" t="s">
        <v>20</v>
      </c>
      <c r="R12604" s="1" t="s">
        <v>25848</v>
      </c>
      <c r="V12604" s="1" t="s">
        <v>25891</v>
      </c>
      <c r="AR12604" s="1" t="str">
        <f t="shared" si="795"/>
        <v>| [ㄧㄢˇ](ㄧㄢˇ.md) | [眼](眼.md) |  | yǎn | [名]
1.目，動物的視覺器官。如：「眼睛」、「濃眉大眼」。《史記．卷九．呂太后本紀》：「太后遂斷戚夫人手足，去眼，煇耳。」
2.孔穴。唐．杜甫〈石笋行〉：「古來相傳是海眼，苔蘚食盡波濤痕。」宋．楊萬里〈小池〉詩：「泉眼無聲惜細流，樹陰照水愛晴柔。」
3.關鍵、要點。如：「節骨眼」。《官場現形記》第三六回：「他起初還想賴，後來被家兄點了兩句眼，他無話說了。」
4.下圍棋時，無棋子的空處稱為「眼」。唐．元稹〈酬孝甫見贈〉詩一〇首之七：「無事拋棋侵虎口，幾時開眼復聯行。」《紅樓夢》第六二回：「探春因一塊棋受了敵，算來算去，總得了兩個眼。」
5.參見「板眼」條。
6.量詞。計算眼睛看的次數的單位。如：「多看兩眼」、「瞪了他一眼」。 |</v>
      </c>
    </row>
    <row r="12605" spans="1:44" hidden="1">
      <c r="A12605" s="1" t="s">
        <v>25892</v>
      </c>
      <c r="C12605" s="1">
        <v>1</v>
      </c>
      <c r="D12605" s="1" t="str">
        <f>"11006"</f>
        <v>11006</v>
      </c>
      <c r="E12605" s="1" t="s">
        <v>129</v>
      </c>
      <c r="F12605" s="1">
        <v>14</v>
      </c>
      <c r="G12605" s="1">
        <v>11</v>
      </c>
      <c r="H12605" s="1">
        <v>0</v>
      </c>
      <c r="I12605" s="1" t="s">
        <v>25847</v>
      </c>
      <c r="K12605" s="1" t="str">
        <f t="shared" si="796"/>
        <v>ㄧ</v>
      </c>
      <c r="L12605" s="1" t="str">
        <f t="shared" si="797"/>
        <v>ㄢ</v>
      </c>
      <c r="N12605" s="3" t="s">
        <v>30576</v>
      </c>
      <c r="O12605" s="3"/>
      <c r="P12605" s="1" t="s">
        <v>20</v>
      </c>
      <c r="R12605" s="1" t="s">
        <v>25848</v>
      </c>
      <c r="V12605" s="1" t="s">
        <v>25893</v>
      </c>
      <c r="AR12605" s="1" t="str">
        <f t="shared" si="795"/>
        <v>| [ㄧㄢˇ](ㄧㄢˇ.md) | [演](演.md) |  | yǎn | [動]
1.當眾公開表現技藝。如：「表演」、「扮演」。《紅樓夢》第五四回：「當下天未二鼓，戲演的是八義中『觀燈』八齣。」
2.練習。如：「演練」。元．孟漢卿《魔合羅》第四折：「不強似你教幼女演裁縫，勸佳人學繡刺。」《水滸傳》第七回：「每日將酒肉來請智深，看他演武使拳。」
3.擴展、闡揚。《漢書．卷九七．外戚傳下．孝成趙皇后傳》：「愚臣既不能深援安危，定金匱之計，又不知推演聖德，述先帝之志。」《後漢書．卷六二．荀淑傳》：「先王光演大業，肆于時夏。」
4.運算、推算。如：「演算」。《宋史．卷八二．律曆志十五》：「必使氣之與朔無毫髮之差，始可演造新曆。」 |</v>
      </c>
    </row>
    <row r="12606" spans="1:44" hidden="1">
      <c r="A12606" s="1" t="s">
        <v>25894</v>
      </c>
      <c r="C12606" s="1">
        <v>1</v>
      </c>
      <c r="D12606" s="1" t="str">
        <f>"11007"</f>
        <v>11007</v>
      </c>
      <c r="E12606" s="1" t="s">
        <v>4785</v>
      </c>
      <c r="F12606" s="1">
        <v>15</v>
      </c>
      <c r="G12606" s="1">
        <v>11</v>
      </c>
      <c r="H12606" s="1">
        <v>1</v>
      </c>
      <c r="I12606" s="1" t="s">
        <v>25847</v>
      </c>
      <c r="K12606" s="1" t="str">
        <f t="shared" si="796"/>
        <v>ㄧ</v>
      </c>
      <c r="L12606" s="1" t="str">
        <f t="shared" si="797"/>
        <v>ㄢ</v>
      </c>
      <c r="N12606" s="3" t="s">
        <v>30576</v>
      </c>
      <c r="O12606" s="3"/>
      <c r="P12606" s="1" t="s">
        <v>20</v>
      </c>
      <c r="R12606" s="1" t="s">
        <v>25848</v>
      </c>
      <c r="V12606" s="1" t="s">
        <v>25895</v>
      </c>
      <c r="W12606" s="1" t="s">
        <v>25896</v>
      </c>
      <c r="AR12606" s="1" t="str">
        <f t="shared" si="795"/>
        <v>| [ㄧㄢˇ](ㄧㄢˇ.md) | [戭](戭.md) |  | yǎn | [名]
長槍。《說文解字．戈部》：「戭，長槍也。」《集韻．去聲．稕韻》：「戭，矛屬。」 |</v>
      </c>
    </row>
    <row r="12607" spans="1:44" hidden="1">
      <c r="A12607" s="1" t="s">
        <v>25897</v>
      </c>
      <c r="C12607" s="1">
        <v>1</v>
      </c>
      <c r="D12607" s="1" t="str">
        <f>"11008"</f>
        <v>11008</v>
      </c>
      <c r="E12607" s="1" t="s">
        <v>28</v>
      </c>
      <c r="F12607" s="1">
        <v>16</v>
      </c>
      <c r="G12607" s="1">
        <v>13</v>
      </c>
      <c r="H12607" s="1">
        <v>0</v>
      </c>
      <c r="I12607" s="1" t="s">
        <v>25847</v>
      </c>
      <c r="K12607" s="1" t="str">
        <f t="shared" si="796"/>
        <v>ㄧ</v>
      </c>
      <c r="L12607" s="1" t="str">
        <f t="shared" si="797"/>
        <v>ㄢ</v>
      </c>
      <c r="N12607" s="3" t="s">
        <v>30576</v>
      </c>
      <c r="O12607" s="3"/>
      <c r="P12607" s="1" t="s">
        <v>20</v>
      </c>
      <c r="R12607" s="1" t="s">
        <v>25848</v>
      </c>
      <c r="V12607" s="1" t="s">
        <v>25898</v>
      </c>
      <c r="AR12607" s="1" t="str">
        <f t="shared" si="795"/>
        <v>| [ㄧㄢˇ](ㄧㄢˇ.md) | [噞](噞.md) |  | yǎn | [動]
1.魚浮出水面呼吸。《淮南子．主術》：「夫水濁則魚噞，政苛則民亂。」
2.食、嚐。三國魏．曹丕〈詔群臣〉：「今以荔枝賜將吏，噞之則知其味薄矣。」 |</v>
      </c>
    </row>
    <row r="12608" spans="1:44" hidden="1">
      <c r="A12608" s="1" t="s">
        <v>25899</v>
      </c>
      <c r="C12608" s="1">
        <v>1</v>
      </c>
      <c r="D12608" s="1" t="str">
        <f>"11009"</f>
        <v>11009</v>
      </c>
      <c r="E12608" s="1" t="s">
        <v>139</v>
      </c>
      <c r="F12608" s="1">
        <v>18</v>
      </c>
      <c r="G12608" s="1">
        <v>14</v>
      </c>
      <c r="H12608" s="1">
        <v>0</v>
      </c>
      <c r="I12608" s="1" t="s">
        <v>25847</v>
      </c>
      <c r="K12608" s="1" t="str">
        <f t="shared" si="796"/>
        <v>ㄧ</v>
      </c>
      <c r="L12608" s="1" t="str">
        <f t="shared" si="797"/>
        <v>ㄢ</v>
      </c>
      <c r="N12608" s="3" t="s">
        <v>30576</v>
      </c>
      <c r="O12608" s="3"/>
      <c r="P12608" s="1" t="s">
        <v>20</v>
      </c>
      <c r="R12608" s="1" t="s">
        <v>25848</v>
      </c>
      <c r="V12608" s="1" t="s">
        <v>25900</v>
      </c>
      <c r="AR12608" s="1" t="str">
        <f t="shared" si="795"/>
        <v>| [ㄧㄢˇ](ㄧㄢˇ.md) | [𣝓](𣝓.md) |  | yǎn | [名]
植物名。即山桑。桑科桑屬，小喬木或灌木。葉卵形，長五至十四公分，粗鋸齒緣，不分裂或三至五裂，兩面被毛，背面脈腋無簇生毛。雄花序下垂穗狀，雌花序頭狀，雌花花柱明顯。椹果橢圓形，紅熟至紫黑熟。材質硬度適中。生於向陽山坡及山阜。《說文解字．木部》：「𣝓，山桑也。」也稱為「小葉桑」、「鷄桑」。 |</v>
      </c>
    </row>
    <row r="12609" spans="1:44" hidden="1">
      <c r="A12609" s="1" t="s">
        <v>25901</v>
      </c>
      <c r="C12609" s="1">
        <v>1</v>
      </c>
      <c r="D12609" s="1" t="str">
        <f>"11010"</f>
        <v>11010</v>
      </c>
      <c r="E12609" s="1" t="s">
        <v>1941</v>
      </c>
      <c r="F12609" s="1">
        <v>19</v>
      </c>
      <c r="G12609" s="1">
        <v>17</v>
      </c>
      <c r="H12609" s="1">
        <v>0</v>
      </c>
      <c r="I12609" s="1" t="s">
        <v>25847</v>
      </c>
      <c r="K12609" s="1" t="str">
        <f t="shared" si="796"/>
        <v>ㄧ</v>
      </c>
      <c r="L12609" s="1" t="str">
        <f t="shared" si="797"/>
        <v>ㄢ</v>
      </c>
      <c r="N12609" s="3" t="s">
        <v>30576</v>
      </c>
      <c r="O12609" s="3"/>
      <c r="P12609" s="1" t="s">
        <v>20</v>
      </c>
      <c r="R12609" s="1" t="s">
        <v>25848</v>
      </c>
      <c r="V12609" s="1" t="s">
        <v>25902</v>
      </c>
      <c r="AR12609" s="1" t="str">
        <f t="shared" si="795"/>
        <v>| [ㄧㄢˇ](ㄧㄢˇ.md) | [厴](厴.md) |  | yǎn | [名]
1.蟹臍，蟹腹下的薄殼。《廣韻．上聲．琰韻》：「厴，蟹腹下厴。」
2.螺類介殼口的圓片狀蓋。清．徐珂《清稗類鈔．動物類．榮螺》：「榮螺為軟體動物，亦作蠑螺，形如拳，故又名拳螺。殼甚厚，有厴，孔大而圓，外暗青色。」 |</v>
      </c>
    </row>
    <row r="12610" spans="1:44" hidden="1">
      <c r="A12610" s="1" t="s">
        <v>25903</v>
      </c>
      <c r="C12610" s="1">
        <v>1</v>
      </c>
      <c r="D12610" s="1" t="str">
        <f>"11011"</f>
        <v>11011</v>
      </c>
      <c r="E12610" s="1" t="s">
        <v>83</v>
      </c>
      <c r="F12610" s="1">
        <v>24</v>
      </c>
      <c r="G12610" s="1">
        <v>14</v>
      </c>
      <c r="H12610" s="1">
        <v>0</v>
      </c>
      <c r="I12610" s="1" t="s">
        <v>25847</v>
      </c>
      <c r="K12610" s="1" t="str">
        <f t="shared" si="796"/>
        <v>ㄧ</v>
      </c>
      <c r="L12610" s="1" t="str">
        <f t="shared" si="797"/>
        <v>ㄢ</v>
      </c>
      <c r="N12610" s="3" t="s">
        <v>30576</v>
      </c>
      <c r="O12610" s="3"/>
      <c r="P12610" s="1" t="s">
        <v>20</v>
      </c>
      <c r="R12610" s="1" t="s">
        <v>25848</v>
      </c>
      <c r="V12610" s="1" t="s">
        <v>25904</v>
      </c>
      <c r="AR12610" s="1" t="str">
        <f t="shared" si="795"/>
        <v>| [ㄧㄢˇ](ㄧㄢˇ.md) | [魘](魘.md) |  | yǎn | [名]
惡夢。《集韻．去聲．葉韻》：「魘，眠不祥也。」唐．韓愈〈陪杜侍御遊湘西兩寺獨宿有題一首因獻楊常侍〉詩：「猶疑在波濤，怵惕夢成魘。」
[動]
做惡夢時，胸口感到壓迫，呼吸困難。《紅樓夢》第八二回：「姑娘！姑娘！怎麼魘住了！快醒醒兒脫了衣服睡罷。」 |</v>
      </c>
    </row>
    <row r="12611" spans="1:44" hidden="1">
      <c r="A12611" s="1" t="s">
        <v>25905</v>
      </c>
      <c r="C12611" s="1">
        <v>1</v>
      </c>
      <c r="D12611" s="1" t="str">
        <f>"11012"</f>
        <v>11012</v>
      </c>
      <c r="E12611" s="1" t="s">
        <v>2777</v>
      </c>
      <c r="F12611" s="1">
        <v>26</v>
      </c>
      <c r="G12611" s="1">
        <v>14</v>
      </c>
      <c r="H12611" s="1">
        <v>0</v>
      </c>
      <c r="I12611" s="1" t="s">
        <v>25847</v>
      </c>
      <c r="K12611" s="1" t="str">
        <f t="shared" si="796"/>
        <v>ㄧ</v>
      </c>
      <c r="L12611" s="1" t="str">
        <f t="shared" si="797"/>
        <v>ㄢ</v>
      </c>
      <c r="N12611" s="3" t="s">
        <v>30576</v>
      </c>
      <c r="O12611" s="3"/>
      <c r="P12611" s="1" t="s">
        <v>20</v>
      </c>
      <c r="R12611" s="1" t="s">
        <v>25848</v>
      </c>
      <c r="V12611" s="1" t="s">
        <v>25906</v>
      </c>
      <c r="AR12611" s="1" t="str">
        <f t="shared" ref="AR12611:AR12674" si="798">"| ["&amp;I12611&amp;"]("&amp;I12611&amp;".md) | ["&amp;A12611&amp;"]("&amp;A12611&amp;".md) | "&amp;" | "&amp;R12611&amp;" | "&amp;V12611&amp;" |"</f>
        <v>| [ㄧㄢˇ](ㄧㄢˇ.md) | [黶](黶.md) |  | yǎn | 參見「黶子」條。 |</v>
      </c>
    </row>
    <row r="12612" spans="1:44" hidden="1">
      <c r="A12612" s="1" t="s">
        <v>25907</v>
      </c>
      <c r="C12612" s="1">
        <v>1</v>
      </c>
      <c r="D12612" s="1" t="str">
        <f>"11013"</f>
        <v>11013</v>
      </c>
      <c r="E12612" s="1" t="s">
        <v>9393</v>
      </c>
      <c r="F12612" s="1">
        <v>20</v>
      </c>
      <c r="G12612" s="1">
        <v>4</v>
      </c>
      <c r="H12612" s="1">
        <v>0</v>
      </c>
      <c r="I12612" s="1" t="s">
        <v>25847</v>
      </c>
      <c r="K12612" s="1" t="str">
        <f t="shared" si="796"/>
        <v>ㄧ</v>
      </c>
      <c r="L12612" s="1" t="str">
        <f t="shared" si="797"/>
        <v>ㄢ</v>
      </c>
      <c r="N12612" s="3" t="s">
        <v>30576</v>
      </c>
      <c r="O12612" s="3"/>
      <c r="P12612" s="1" t="s">
        <v>20</v>
      </c>
      <c r="R12612" s="1" t="s">
        <v>25848</v>
      </c>
      <c r="V12612" s="1" t="s">
        <v>25908</v>
      </c>
      <c r="AR12612" s="1" t="str">
        <f t="shared" si="798"/>
        <v>| [ㄧㄢˇ](ㄧㄢˇ.md) | [龑](龑.md) |  | yǎn | [名]
人名用字。為五代時南漢劉巖所造的字，並自以為名，取周易飛龍在天之意。《新五代史．卷六五．十國世家．兩漢世家》：「龑初名巖，又更曰陟。九年，白龍見南宮三清殿，改元曰白龍，又更名龑，以應龍見之祥。」 |</v>
      </c>
    </row>
    <row r="12613" spans="1:44" hidden="1">
      <c r="A12613" s="1" t="s">
        <v>25909</v>
      </c>
      <c r="C12613" s="1">
        <v>1</v>
      </c>
      <c r="D12613" s="1" t="str">
        <f>"11014"</f>
        <v>11014</v>
      </c>
      <c r="E12613" s="1" t="s">
        <v>592</v>
      </c>
      <c r="F12613" s="1">
        <v>20</v>
      </c>
      <c r="G12613" s="1">
        <v>5</v>
      </c>
      <c r="H12613" s="1">
        <v>0</v>
      </c>
      <c r="I12613" s="1" t="s">
        <v>25847</v>
      </c>
      <c r="K12613" s="1" t="str">
        <f t="shared" si="796"/>
        <v>ㄧ</v>
      </c>
      <c r="L12613" s="1" t="str">
        <f t="shared" si="797"/>
        <v>ㄢ</v>
      </c>
      <c r="N12613" s="3" t="s">
        <v>30576</v>
      </c>
      <c r="O12613" s="3"/>
      <c r="P12613" s="1" t="s">
        <v>20</v>
      </c>
      <c r="R12613" s="1" t="s">
        <v>25848</v>
      </c>
      <c r="V12613" s="1" t="s">
        <v>25910</v>
      </c>
      <c r="AR12613" s="1" t="str">
        <f t="shared" si="798"/>
        <v>| [ㄧㄢˇ](ㄧㄢˇ.md) | [齞](齞.md) |  | yǎn | [形]
張嘴露齒的樣子。《說文解字．齒部》：「齞，張口見齒也。」《文選．宋玉．登徒子好色賦》：「其妻蓬頭攣耳，齞脣歷齒。」 |</v>
      </c>
    </row>
    <row r="12614" spans="1:44" hidden="1">
      <c r="A12614" s="1" t="s">
        <v>25911</v>
      </c>
      <c r="C12614" s="1">
        <v>1</v>
      </c>
      <c r="D12614" s="1" t="str">
        <f>"11015"</f>
        <v>11015</v>
      </c>
      <c r="E12614" s="1" t="s">
        <v>1824</v>
      </c>
      <c r="F12614" s="1">
        <v>21</v>
      </c>
      <c r="G12614" s="1">
        <v>16</v>
      </c>
      <c r="H12614" s="1">
        <v>0</v>
      </c>
      <c r="I12614" s="1" t="s">
        <v>25847</v>
      </c>
      <c r="K12614" s="1" t="str">
        <f t="shared" si="796"/>
        <v>ㄧ</v>
      </c>
      <c r="L12614" s="1" t="str">
        <f t="shared" si="797"/>
        <v>ㄢ</v>
      </c>
      <c r="N12614" s="3" t="s">
        <v>30576</v>
      </c>
      <c r="O12614" s="3"/>
      <c r="P12614" s="1" t="s">
        <v>20</v>
      </c>
      <c r="R12614" s="1" t="s">
        <v>25848</v>
      </c>
      <c r="V12614" s="1" t="s">
        <v>25912</v>
      </c>
      <c r="AR12614" s="1" t="str">
        <f t="shared" si="798"/>
        <v>| [ㄧㄢˇ](ㄧㄢˇ.md) | [甗](甗.md) |  | yǎn | [名]
古代用來炊煮的一種蒸鍋。器形上大下小，上層為甑，可以蒸；下層為鬲，可以煮，甑鬲之間以箅相隔。宋．范成大〈勞畬耕〉詩：「早秈與晚䆉，濫吹甑甗間。」 |</v>
      </c>
    </row>
    <row r="12615" spans="1:44" hidden="1">
      <c r="A12615" s="1" t="s">
        <v>25913</v>
      </c>
      <c r="C12615" s="1">
        <v>1</v>
      </c>
      <c r="D12615" s="1" t="str">
        <f>"11016"</f>
        <v>11016</v>
      </c>
      <c r="E12615" s="1" t="s">
        <v>190</v>
      </c>
      <c r="F12615" s="1">
        <v>23</v>
      </c>
      <c r="G12615" s="1">
        <v>20</v>
      </c>
      <c r="H12615" s="1">
        <v>0</v>
      </c>
      <c r="I12615" s="1" t="s">
        <v>25847</v>
      </c>
      <c r="K12615" s="1" t="str">
        <f t="shared" si="796"/>
        <v>ㄧ</v>
      </c>
      <c r="L12615" s="1" t="str">
        <f t="shared" si="797"/>
        <v>ㄢ</v>
      </c>
      <c r="N12615" s="3" t="s">
        <v>30576</v>
      </c>
      <c r="O12615" s="3"/>
      <c r="P12615" s="1" t="s">
        <v>20</v>
      </c>
      <c r="R12615" s="1" t="s">
        <v>25848</v>
      </c>
      <c r="V12615" s="1" t="s">
        <v>25914</v>
      </c>
      <c r="AR12615" s="1" t="str">
        <f t="shared" si="798"/>
        <v>| [ㄧㄢˇ](ㄧㄢˇ.md) | [巘](巘.md) |  | yǎn | [名]
山峰、山頂。北魏．酈道元《水經注．江水注》：「絕巘多生怪柏，懸泉瀑布，飛漱其間。」明．王夫之〈蝶戀花．見說隨帆瞻九面〉詞：「誰遣迷雲生絕巘？蒼水仙蹤，霧鎖靈文篆。」
[形]
艱險、險惡。《元史．卷一七三．葉李傳》：「今山路險巘，深入敵境，萬一蹉跌，非所以威示遠人也。」清．紀昀《閱微草堂筆記．卷二．灤陽消夏錄二》：「神惡其嶮巘，非惡其汙衊。」 |</v>
      </c>
    </row>
    <row r="12616" spans="1:44" hidden="1">
      <c r="A12616" s="1" t="s">
        <v>25915</v>
      </c>
      <c r="C12616" s="1">
        <v>1</v>
      </c>
      <c r="D12616" s="1" t="str">
        <f>"11017"</f>
        <v>11017</v>
      </c>
      <c r="E12616" s="1" t="s">
        <v>114</v>
      </c>
      <c r="F12616" s="1">
        <v>22</v>
      </c>
      <c r="G12616" s="1">
        <v>20</v>
      </c>
      <c r="H12616" s="1">
        <v>0</v>
      </c>
      <c r="I12616" s="1" t="s">
        <v>25847</v>
      </c>
      <c r="K12616" s="1" t="str">
        <f t="shared" si="796"/>
        <v>ㄧ</v>
      </c>
      <c r="L12616" s="1" t="str">
        <f t="shared" si="797"/>
        <v>ㄢ</v>
      </c>
      <c r="N12616" s="3" t="s">
        <v>30576</v>
      </c>
      <c r="O12616" s="3"/>
      <c r="P12616" s="1" t="s">
        <v>20</v>
      </c>
      <c r="R12616" s="1" t="s">
        <v>25848</v>
      </c>
      <c r="V12616" s="1" t="s">
        <v>25916</v>
      </c>
      <c r="AR12616" s="1" t="str">
        <f t="shared" si="798"/>
        <v>| [ㄧㄢˇ](ㄧㄢˇ.md) | [儼](儼.md) |  | yǎn | [形]
莊重、恭敬。《詩經．陳風．澤陂》：「有美一人，碩大且儼。」漢．毛亨．傳：「儼，矜莊貌。」《楚辭．屈原．離騷》：「湯禹儼而祗敬兮，周論道而莫差。」
[副]
1.整齊。晉．陶淵明〈桃花源記〉：「土地平曠，屋舍儼然。」
2.彷彿、好像。唐．趙嘏〈詠端正春樹〉詩：「一樹繁陰先著名，異花奇葉儼天成。」《紅樓夢》第五八回：「儼以同胞共出，較諸人更似親切。」 |</v>
      </c>
    </row>
    <row r="12617" spans="1:44" hidden="1">
      <c r="A12617" s="1" t="s">
        <v>26120</v>
      </c>
      <c r="C12617" s="1">
        <v>1</v>
      </c>
      <c r="D12617" s="1" t="str">
        <f>"11114"</f>
        <v>11114</v>
      </c>
      <c r="E12617" s="1" t="s">
        <v>2954</v>
      </c>
      <c r="F12617" s="1">
        <v>6</v>
      </c>
      <c r="G12617" s="1">
        <v>4</v>
      </c>
      <c r="H12617" s="1">
        <v>0</v>
      </c>
      <c r="I12617" s="1" t="s">
        <v>26121</v>
      </c>
      <c r="K12617" s="1" t="str">
        <f t="shared" si="796"/>
        <v>ㄧ</v>
      </c>
      <c r="L12617" s="1" t="str">
        <f t="shared" si="797"/>
        <v>ㄣ</v>
      </c>
      <c r="N12617" s="3" t="s">
        <v>30574</v>
      </c>
      <c r="O12617" s="3"/>
      <c r="P12617" s="1" t="s">
        <v>20</v>
      </c>
      <c r="R12617" s="1" t="s">
        <v>26122</v>
      </c>
      <c r="V12617" s="1" t="s">
        <v>26123</v>
      </c>
      <c r="AR12617" s="1" t="str">
        <f t="shared" si="798"/>
        <v>| [ㄧㄣˋ](ㄧㄣˋ.md) | [印](印.md) |  | yìn | [名]
1.用木或金石等所刻成的圖章。如：「官印」、「鋼印」、「玉印」。《史記．卷六九．蘇秦傳》：「且使我有雒陽負郭田二頃，吾豈能佩六國相印乎！」
2.痕跡。如：「腳印」、「手印」。
3.印度的簡稱。如：「中印條約」。
4.姓。如唐代有印倫。
[動]
1.在物體上留下痕跡。如：「烙印」、「印上指紋」。
2.印刷。如：「刊印」、「排印」、「翻印」、「這本書已經印好了。」
3.符合。如：「心心相印」。 |</v>
      </c>
    </row>
    <row r="12618" spans="1:44" hidden="1">
      <c r="A12618" s="1" t="s">
        <v>26015</v>
      </c>
      <c r="C12618" s="1">
        <v>1</v>
      </c>
      <c r="D12618" s="1" t="str">
        <f>"11115"</f>
        <v>11115</v>
      </c>
      <c r="E12618" s="1" t="s">
        <v>14314</v>
      </c>
      <c r="F12618" s="1">
        <v>9</v>
      </c>
      <c r="G12618" s="1">
        <v>0</v>
      </c>
      <c r="H12618" s="1">
        <v>2</v>
      </c>
      <c r="I12618" s="1" t="s">
        <v>26121</v>
      </c>
      <c r="K12618" s="1" t="str">
        <f t="shared" si="796"/>
        <v>ㄧ</v>
      </c>
      <c r="L12618" s="1" t="str">
        <f t="shared" si="797"/>
        <v>ㄣ</v>
      </c>
      <c r="N12618" s="3" t="s">
        <v>30574</v>
      </c>
      <c r="O12618" s="3"/>
      <c r="P12618" s="1" t="s">
        <v>20</v>
      </c>
      <c r="R12618" s="1" t="s">
        <v>26122</v>
      </c>
      <c r="V12618" s="1" t="s">
        <v>26124</v>
      </c>
      <c r="W12618" s="1" t="s">
        <v>26125</v>
      </c>
      <c r="AR12618" s="1" t="str">
        <f t="shared" si="798"/>
        <v>| [ㄧㄣˋ](ㄧㄣˋ.md) | [音](音.md) |  | yìn | [名]
樹蔭。通「蔭」。《左傳．文公十七年》：「鹿死不擇音，小國之事大國也，德則其人也，不德則其鹿也。」 |</v>
      </c>
    </row>
    <row r="12619" spans="1:44" hidden="1">
      <c r="A12619" s="1" t="s">
        <v>17548</v>
      </c>
      <c r="C12619" s="1">
        <v>1</v>
      </c>
      <c r="D12619" s="1" t="str">
        <f>"11116"</f>
        <v>11116</v>
      </c>
      <c r="E12619" s="1" t="s">
        <v>1274</v>
      </c>
      <c r="F12619" s="1">
        <v>14</v>
      </c>
      <c r="G12619" s="1">
        <v>9</v>
      </c>
      <c r="H12619" s="1">
        <v>1</v>
      </c>
      <c r="I12619" s="1" t="s">
        <v>26121</v>
      </c>
      <c r="K12619" s="1" t="str">
        <f t="shared" si="796"/>
        <v>ㄧ</v>
      </c>
      <c r="L12619" s="1" t="str">
        <f t="shared" si="797"/>
        <v>ㄣ</v>
      </c>
      <c r="N12619" s="3" t="s">
        <v>30574</v>
      </c>
      <c r="O12619" s="3"/>
      <c r="P12619" s="1" t="s">
        <v>20</v>
      </c>
      <c r="R12619" s="1" t="s">
        <v>26122</v>
      </c>
      <c r="V12619" s="1" t="s">
        <v>26126</v>
      </c>
      <c r="W12619" s="1" t="s">
        <v>26127</v>
      </c>
      <c r="AR12619" s="1" t="str">
        <f t="shared" si="798"/>
        <v>| [ㄧㄣˋ](ㄧㄣˋ.md) | [窨](窨.md) |  | yìn | [名]
地下室。元．關漢卿《救風塵》第一折：「家裡餓皮臉也揭了鍋兒底，窨子裡秋月不曾見這等食。」
[動]
1.深藏、久藏。《水滸傳》第二二回：「武行者偷眼看時，卻是一甕窨下的好酒。」
2.陷害。元．王實甫《西廂記．第三本．第四折》：「怒時節把一個書生來跌窨。」
3.忍住。《董西廂》卷四：「閣不定粉淚漣漣，吞聲窨氣埋冤。」 |</v>
      </c>
    </row>
    <row r="12620" spans="1:44" hidden="1">
      <c r="A12620" s="1" t="s">
        <v>26128</v>
      </c>
      <c r="C12620" s="1">
        <v>1</v>
      </c>
      <c r="D12620" s="1" t="str">
        <f>"11117"</f>
        <v>11117</v>
      </c>
      <c r="E12620" s="1" t="s">
        <v>68</v>
      </c>
      <c r="F12620" s="1">
        <v>9</v>
      </c>
      <c r="G12620" s="1">
        <v>5</v>
      </c>
      <c r="H12620" s="1">
        <v>0</v>
      </c>
      <c r="I12620" s="1" t="s">
        <v>26121</v>
      </c>
      <c r="K12620" s="1" t="str">
        <f t="shared" si="796"/>
        <v>ㄧ</v>
      </c>
      <c r="L12620" s="1" t="str">
        <f t="shared" si="797"/>
        <v>ㄣ</v>
      </c>
      <c r="N12620" s="3" t="s">
        <v>30574</v>
      </c>
      <c r="O12620" s="3"/>
      <c r="P12620" s="1" t="s">
        <v>20</v>
      </c>
      <c r="R12620" s="1" t="s">
        <v>26122</v>
      </c>
      <c r="V12620" s="1" t="s">
        <v>26129</v>
      </c>
      <c r="AR12620" s="1" t="str">
        <f t="shared" si="798"/>
        <v>| [ㄧㄣˋ](ㄧㄣˋ.md) | [胤](胤.md) |  | yìn | [動]
子孫世代相承繼。《書經．洛誥》：「予乃胤保，大相東土。」《國語．周語下》：「胤也者，子孫蕃育之謂也。」
[名]
後代、後嗣。《左傳．僖公二十四年》：「凡、蔣、邢、茅、胙、祭，周公之胤也。」《梁書．卷五〇．文學傳下．劉峻傳》：「余禍同伯道，永無血胤，此二異也。」 |</v>
      </c>
    </row>
    <row r="12621" spans="1:44" hidden="1">
      <c r="A12621" s="1" t="s">
        <v>26130</v>
      </c>
      <c r="C12621" s="1">
        <v>1</v>
      </c>
      <c r="D12621" s="1" t="str">
        <f>"11118"</f>
        <v>11118</v>
      </c>
      <c r="E12621" s="1" t="s">
        <v>1462</v>
      </c>
      <c r="F12621" s="1">
        <v>14</v>
      </c>
      <c r="G12621" s="1">
        <v>7</v>
      </c>
      <c r="H12621" s="1">
        <v>0</v>
      </c>
      <c r="I12621" s="1" t="s">
        <v>26121</v>
      </c>
      <c r="K12621" s="1" t="str">
        <f t="shared" si="796"/>
        <v>ㄧ</v>
      </c>
      <c r="L12621" s="1" t="str">
        <f t="shared" si="797"/>
        <v>ㄣ</v>
      </c>
      <c r="N12621" s="3" t="s">
        <v>30574</v>
      </c>
      <c r="O12621" s="3"/>
      <c r="P12621" s="1" t="s">
        <v>20</v>
      </c>
      <c r="R12621" s="1" t="s">
        <v>26122</v>
      </c>
      <c r="V12621" s="1" t="s">
        <v>26131</v>
      </c>
      <c r="AR12621" s="1" t="str">
        <f t="shared" si="798"/>
        <v>| [ㄧㄣˋ](ㄧㄣˋ.md) | [酳](酳.md) |  | yìn | [動]
飲食結束後用酒漱口。《廣韻．去聲．震韻》：「酳，酒漱口也。」《漢書．卷五一．賈山傳》：「養三老於大學，親執醬而餽，執爵而酳。」唐．顏師古．注：「酳者，少少飲酒，謂食已而蕩口也。」 |</v>
      </c>
    </row>
    <row r="12622" spans="1:44" hidden="1">
      <c r="A12622" s="1" t="s">
        <v>24617</v>
      </c>
      <c r="C12622" s="1">
        <v>1</v>
      </c>
      <c r="D12622" s="1" t="str">
        <f>"11119"</f>
        <v>11119</v>
      </c>
      <c r="E12622" s="1" t="s">
        <v>691</v>
      </c>
      <c r="F12622" s="1">
        <v>11</v>
      </c>
      <c r="G12622" s="1">
        <v>8</v>
      </c>
      <c r="H12622" s="1">
        <v>2</v>
      </c>
      <c r="I12622" s="1" t="s">
        <v>26121</v>
      </c>
      <c r="K12622" s="1" t="str">
        <f t="shared" si="796"/>
        <v>ㄧ</v>
      </c>
      <c r="L12622" s="1" t="str">
        <f t="shared" si="797"/>
        <v>ㄣ</v>
      </c>
      <c r="N12622" s="3" t="s">
        <v>30574</v>
      </c>
      <c r="O12622" s="3"/>
      <c r="P12622" s="1" t="s">
        <v>20</v>
      </c>
      <c r="R12622" s="1" t="s">
        <v>26122</v>
      </c>
      <c r="V12622" s="1" t="s">
        <v>26132</v>
      </c>
      <c r="W12622" s="1" t="s">
        <v>26133</v>
      </c>
      <c r="AR12622" s="1" t="str">
        <f t="shared" si="798"/>
        <v>| [ㄧㄣˋ](ㄧㄣˋ.md) | [陰](陰.md) |  | yìn | [動]
1.覆蔭、遮蔽。通「蔭」。《詩經．大雅．桑柔》：「既之陰女，反予來赫。」
2.埋藏。《禮記．祭義》：「骨肉斃於下，陰為野土。」 |</v>
      </c>
    </row>
    <row r="12623" spans="1:44" hidden="1">
      <c r="A12623" s="1" t="s">
        <v>26134</v>
      </c>
      <c r="C12623" s="1">
        <v>1</v>
      </c>
      <c r="D12623" s="1" t="str">
        <f>"11120"</f>
        <v>11120</v>
      </c>
      <c r="E12623" s="1" t="s">
        <v>447</v>
      </c>
      <c r="F12623" s="1">
        <v>14</v>
      </c>
      <c r="G12623" s="1">
        <v>11</v>
      </c>
      <c r="H12623" s="1">
        <v>0</v>
      </c>
      <c r="I12623" s="1" t="s">
        <v>26121</v>
      </c>
      <c r="K12623" s="1" t="str">
        <f t="shared" si="796"/>
        <v>ㄧ</v>
      </c>
      <c r="L12623" s="1" t="str">
        <f t="shared" si="797"/>
        <v>ㄣ</v>
      </c>
      <c r="N12623" s="3" t="s">
        <v>30574</v>
      </c>
      <c r="O12623" s="3"/>
      <c r="P12623" s="1" t="s">
        <v>20</v>
      </c>
      <c r="R12623" s="1" t="s">
        <v>26122</v>
      </c>
      <c r="V12623" s="1" t="s">
        <v>26135</v>
      </c>
      <c r="AR12623" s="1" t="str">
        <f t="shared" si="798"/>
        <v>| [ㄧㄣˋ](ㄧㄣˋ.md) | [廕](廕.md) |  | yìn | [名]
父祖被及子孫的恩澤。如：「父廕」、「餘廕」。
[動]
庇護。如：「庇廕」、「廕庇」。《管子．君臣上》：「夫為人君者，廕德於人者也。」 |</v>
      </c>
    </row>
    <row r="12624" spans="1:44" hidden="1">
      <c r="A12624" s="1" t="s">
        <v>26136</v>
      </c>
      <c r="C12624" s="1">
        <v>1</v>
      </c>
      <c r="D12624" s="1" t="str">
        <f>"11121"</f>
        <v>11121</v>
      </c>
      <c r="E12624" s="1" t="s">
        <v>37</v>
      </c>
      <c r="F12624" s="1">
        <v>15</v>
      </c>
      <c r="G12624" s="1">
        <v>11</v>
      </c>
      <c r="H12624" s="1">
        <v>0</v>
      </c>
      <c r="I12624" s="1" t="s">
        <v>26121</v>
      </c>
      <c r="K12624" s="1" t="str">
        <f t="shared" si="796"/>
        <v>ㄧ</v>
      </c>
      <c r="L12624" s="1" t="str">
        <f t="shared" si="797"/>
        <v>ㄣ</v>
      </c>
      <c r="N12624" s="3" t="s">
        <v>30574</v>
      </c>
      <c r="O12624" s="3"/>
      <c r="P12624" s="1" t="s">
        <v>20</v>
      </c>
      <c r="R12624" s="1" t="s">
        <v>26122</v>
      </c>
      <c r="V12624" s="1" t="s">
        <v>26137</v>
      </c>
      <c r="AR12624" s="1" t="str">
        <f t="shared" si="798"/>
        <v>| [ㄧㄣˋ](ㄧㄣˋ.md) | [蔭](蔭.md) |  | yìn | [名]
1.樹下的陰影。如：「樹蔭」、「柳蔭」。晉．陶淵明〈飲酒詩〉二〇首之四：「勁風無榮木，此蔭獨不衰。」
2.父祖被及子孫的恩澤。同「廕」。《隋書．卷四七．柳機傳》：「少以父蔭，為太子親衛。」
[動]
1.遮蔽。如：「蔭覆」。晉．陶淵明〈歸園田居〉詩五首之一：「榆柳蔭後簷，桃李羅堂前。」
2.庇護。同「廕」。如：「庇蔭」。《南史．卷二二．王曇首傳》：「況吾不能為汝蔭，政應各自努力耳。」 |</v>
      </c>
    </row>
    <row r="12625" spans="1:44" hidden="1">
      <c r="A12625" s="1" t="s">
        <v>26102</v>
      </c>
      <c r="C12625" s="1">
        <v>1</v>
      </c>
      <c r="D12625" s="1" t="str">
        <f>"11122"</f>
        <v>11122</v>
      </c>
      <c r="E12625" s="1" t="s">
        <v>193</v>
      </c>
      <c r="F12625" s="1">
        <v>12</v>
      </c>
      <c r="G12625" s="1">
        <v>4</v>
      </c>
      <c r="H12625" s="1">
        <v>2</v>
      </c>
      <c r="I12625" s="1" t="s">
        <v>26121</v>
      </c>
      <c r="K12625" s="1" t="str">
        <f t="shared" si="796"/>
        <v>ㄧ</v>
      </c>
      <c r="L12625" s="1" t="str">
        <f t="shared" si="797"/>
        <v>ㄣ</v>
      </c>
      <c r="N12625" s="3" t="s">
        <v>30574</v>
      </c>
      <c r="O12625" s="3"/>
      <c r="P12625" s="1" t="s">
        <v>20</v>
      </c>
      <c r="R12625" s="1" t="s">
        <v>26122</v>
      </c>
      <c r="V12625" s="1" t="s">
        <v>26138</v>
      </c>
      <c r="W12625" s="1" t="s">
        <v>26139</v>
      </c>
      <c r="AR12625" s="1" t="str">
        <f t="shared" si="798"/>
        <v>| [ㄧㄣˋ](ㄧㄣˋ.md) | [飲](飲.md) |  | yìn | [動]_x000D_
將流質的食品拿給人或動物喝。《詩經．小雅．綿蠻》：「飲之食之，教之誨之。」《禮記．檀弓下》：「寡人亦有過焉，酌而飲寡人。」 |</v>
      </c>
    </row>
    <row r="12626" spans="1:44" hidden="1">
      <c r="A12626" s="1" t="s">
        <v>26140</v>
      </c>
      <c r="C12626" s="1">
        <v>1</v>
      </c>
      <c r="D12626" s="1" t="str">
        <f>"11123"</f>
        <v>11123</v>
      </c>
      <c r="E12626" s="1" t="s">
        <v>646</v>
      </c>
      <c r="F12626" s="1">
        <v>13</v>
      </c>
      <c r="G12626" s="1">
        <v>9</v>
      </c>
      <c r="H12626" s="1">
        <v>3</v>
      </c>
      <c r="I12626" s="1" t="s">
        <v>26121</v>
      </c>
      <c r="K12626" s="1" t="str">
        <f t="shared" si="796"/>
        <v>ㄧ</v>
      </c>
      <c r="L12626" s="1" t="str">
        <f t="shared" si="797"/>
        <v>ㄣ</v>
      </c>
      <c r="N12626" s="3" t="s">
        <v>30574</v>
      </c>
      <c r="O12626" s="3"/>
      <c r="P12626" s="1" t="s">
        <v>20</v>
      </c>
      <c r="R12626" s="1" t="s">
        <v>26122</v>
      </c>
      <c r="V12626" s="1" t="s">
        <v>26141</v>
      </c>
      <c r="W12626" s="1" t="s">
        <v>26142</v>
      </c>
      <c r="AR12626" s="1" t="str">
        <f t="shared" si="798"/>
        <v>| [ㄧㄣˋ](ㄧㄣˋ.md) | [暈](暈.md) |  | yìn | [名]
傷口沒破皮而出現的紫紅色印子。如：「血暈」。《福惠全書．卷一四．刑名部．檢驗》：「若傷處痕色不明，必剔開腐肉驗骨上，自有血暈血陰等傷痕。」 |</v>
      </c>
    </row>
    <row r="12627" spans="1:44" hidden="1">
      <c r="A12627" s="1" t="s">
        <v>26143</v>
      </c>
      <c r="C12627" s="1">
        <v>1</v>
      </c>
      <c r="D12627" s="1" t="str">
        <f>"11124"</f>
        <v>11124</v>
      </c>
      <c r="E12627" s="1" t="s">
        <v>250</v>
      </c>
      <c r="F12627" s="1">
        <v>16</v>
      </c>
      <c r="G12627" s="1">
        <v>12</v>
      </c>
      <c r="H12627" s="1">
        <v>0</v>
      </c>
      <c r="I12627" s="1" t="s">
        <v>26121</v>
      </c>
      <c r="K12627" s="1" t="str">
        <f t="shared" si="796"/>
        <v>ㄧ</v>
      </c>
      <c r="L12627" s="1" t="str">
        <f t="shared" si="797"/>
        <v>ㄣ</v>
      </c>
      <c r="N12627" s="3" t="s">
        <v>30574</v>
      </c>
      <c r="O12627" s="3"/>
      <c r="P12627" s="1" t="s">
        <v>20</v>
      </c>
      <c r="R12627" s="1" t="s">
        <v>26122</v>
      </c>
      <c r="V12627" s="1" t="s">
        <v>26144</v>
      </c>
      <c r="AR12627" s="1" t="str">
        <f t="shared" si="798"/>
        <v>| [ㄧㄣˋ](ㄧㄣˋ.md) | [憖](憖.md) |  | yìn | [動]
1.願意。《左傳．哀公十六年》：「旻天不弔，不憖遺一老。」
2.損傷、殘缺。《左傳．文公十二年》：「兩君之士，皆未憖也。」
[副]
暫且。南朝梁．沈約〈齊故安陸昭王碑〉：「千年之領袖，曾不憖留。」 |</v>
      </c>
    </row>
    <row r="12628" spans="1:44" hidden="1">
      <c r="A12628" s="1" t="s">
        <v>26111</v>
      </c>
      <c r="C12628" s="1">
        <v>1</v>
      </c>
      <c r="D12628" s="1" t="str">
        <f>"11125"</f>
        <v>11125</v>
      </c>
      <c r="E12628" s="1" t="s">
        <v>691</v>
      </c>
      <c r="F12628" s="1">
        <v>17</v>
      </c>
      <c r="G12628" s="1">
        <v>14</v>
      </c>
      <c r="H12628" s="1">
        <v>2</v>
      </c>
      <c r="I12628" s="1" t="s">
        <v>26121</v>
      </c>
      <c r="K12628" s="1" t="str">
        <f t="shared" si="796"/>
        <v>ㄧ</v>
      </c>
      <c r="L12628" s="1" t="str">
        <f t="shared" si="797"/>
        <v>ㄣ</v>
      </c>
      <c r="N12628" s="3" t="s">
        <v>30574</v>
      </c>
      <c r="O12628" s="3"/>
      <c r="P12628" s="1" t="s">
        <v>20</v>
      </c>
      <c r="R12628" s="1" t="s">
        <v>26122</v>
      </c>
      <c r="V12628" s="1" t="s">
        <v>26145</v>
      </c>
      <c r="W12628" s="1" t="s">
        <v>26146</v>
      </c>
      <c r="AR12628" s="1" t="str">
        <f t="shared" si="798"/>
        <v>| [ㄧㄣˋ](ㄧㄣˋ.md) | [隱](隱.md) |  | yìn | [動]
憑據、倚靠。《禮記．檀弓下》：「既葬而封，廣輪揜坎，其高可隱也。」漢．鄭玄．注：「隱，據也。」 |</v>
      </c>
    </row>
    <row r="12629" spans="1:44" hidden="1">
      <c r="A12629" s="1" t="s">
        <v>25627</v>
      </c>
      <c r="C12629" s="1">
        <v>1</v>
      </c>
      <c r="D12629" s="1" t="str">
        <f>"11077"</f>
        <v>11077</v>
      </c>
      <c r="E12629" s="1" t="s">
        <v>3359</v>
      </c>
      <c r="F12629" s="1">
        <v>4</v>
      </c>
      <c r="G12629" s="1">
        <v>2</v>
      </c>
      <c r="H12629" s="1">
        <v>1</v>
      </c>
      <c r="I12629" s="1" t="s">
        <v>26040</v>
      </c>
      <c r="K12629" s="1" t="str">
        <f t="shared" si="796"/>
        <v>ㄧ</v>
      </c>
      <c r="L12629" s="1" t="str">
        <f t="shared" si="797"/>
        <v>ㄣ</v>
      </c>
      <c r="N12629" s="3" t="s">
        <v>30575</v>
      </c>
      <c r="O12629" s="3"/>
      <c r="P12629" s="1" t="s">
        <v>20</v>
      </c>
      <c r="R12629" s="1" t="s">
        <v>26041</v>
      </c>
      <c r="V12629" s="1" t="s">
        <v>26042</v>
      </c>
      <c r="W12629" s="1" t="s">
        <v>26043</v>
      </c>
      <c r="AR12629" s="1" t="str">
        <f t="shared" si="798"/>
        <v>| [ㄧㄣˊ](ㄧㄣˊ.md) | [冘](冘.md) |  | yín | [形]
行進的樣子。《文選．揚雄．羽獵賦》：「三軍芒然，窮冘閼與。」 |</v>
      </c>
    </row>
    <row r="12630" spans="1:44" hidden="1">
      <c r="A12630" s="1" t="s">
        <v>25781</v>
      </c>
      <c r="C12630" s="1">
        <v>1</v>
      </c>
      <c r="D12630" s="1" t="str">
        <f>"11078"</f>
        <v>11078</v>
      </c>
      <c r="E12630" s="1" t="s">
        <v>331</v>
      </c>
      <c r="F12630" s="1">
        <v>7</v>
      </c>
      <c r="G12630" s="1">
        <v>0</v>
      </c>
      <c r="H12630" s="1">
        <v>2</v>
      </c>
      <c r="I12630" s="1" t="s">
        <v>26040</v>
      </c>
      <c r="K12630" s="1" t="str">
        <f t="shared" si="796"/>
        <v>ㄧ</v>
      </c>
      <c r="L12630" s="1" t="str">
        <f t="shared" si="797"/>
        <v>ㄣ</v>
      </c>
      <c r="N12630" s="3" t="s">
        <v>30575</v>
      </c>
      <c r="O12630" s="3"/>
      <c r="P12630" s="1" t="s">
        <v>20</v>
      </c>
      <c r="R12630" s="1" t="s">
        <v>26041</v>
      </c>
      <c r="V12630" s="1" t="s">
        <v>26044</v>
      </c>
      <c r="W12630" s="1" t="s">
        <v>26045</v>
      </c>
      <c r="AR12630" s="1" t="str">
        <f t="shared" si="798"/>
        <v>| [ㄧㄣˊ](ㄧㄣˊ.md) | [言](言.md) |  | yín | 參見「言言」(二)條。 |</v>
      </c>
    </row>
    <row r="12631" spans="1:44" hidden="1">
      <c r="A12631" s="1" t="s">
        <v>26046</v>
      </c>
      <c r="C12631" s="1">
        <v>1</v>
      </c>
      <c r="D12631" s="1" t="str">
        <f>"11079"</f>
        <v>11079</v>
      </c>
      <c r="E12631" s="1" t="s">
        <v>198</v>
      </c>
      <c r="F12631" s="1">
        <v>10</v>
      </c>
      <c r="G12631" s="1">
        <v>7</v>
      </c>
      <c r="H12631" s="1">
        <v>0</v>
      </c>
      <c r="I12631" s="1" t="s">
        <v>26040</v>
      </c>
      <c r="K12631" s="1" t="str">
        <f t="shared" si="796"/>
        <v>ㄧ</v>
      </c>
      <c r="L12631" s="1" t="str">
        <f t="shared" si="797"/>
        <v>ㄣ</v>
      </c>
      <c r="N12631" s="3" t="s">
        <v>30575</v>
      </c>
      <c r="O12631" s="3"/>
      <c r="P12631" s="1" t="s">
        <v>20</v>
      </c>
      <c r="R12631" s="1" t="s">
        <v>26041</v>
      </c>
      <c r="V12631" s="1" t="s">
        <v>26047</v>
      </c>
      <c r="AR12631" s="1" t="str">
        <f t="shared" si="798"/>
        <v>| [ㄧㄣˊ](ㄧㄣˊ.md) | [狺](狺.md) |  | yín | 參見「狺狺」條。 |</v>
      </c>
    </row>
    <row r="12632" spans="1:44" hidden="1">
      <c r="A12632" s="1" t="s">
        <v>26048</v>
      </c>
      <c r="C12632" s="1">
        <v>1</v>
      </c>
      <c r="D12632" s="1" t="str">
        <f>"11080"</f>
        <v>11080</v>
      </c>
      <c r="E12632" s="1" t="s">
        <v>331</v>
      </c>
      <c r="F12632" s="1">
        <v>15</v>
      </c>
      <c r="G12632" s="1">
        <v>8</v>
      </c>
      <c r="H12632" s="1">
        <v>0</v>
      </c>
      <c r="I12632" s="1" t="s">
        <v>26040</v>
      </c>
      <c r="K12632" s="1" t="str">
        <f t="shared" si="796"/>
        <v>ㄧ</v>
      </c>
      <c r="L12632" s="1" t="str">
        <f t="shared" si="797"/>
        <v>ㄣ</v>
      </c>
      <c r="N12632" s="3" t="s">
        <v>30575</v>
      </c>
      <c r="O12632" s="3"/>
      <c r="P12632" s="1" t="s">
        <v>20</v>
      </c>
      <c r="R12632" s="1" t="s">
        <v>26041</v>
      </c>
      <c r="V12632" s="1" t="s">
        <v>26049</v>
      </c>
      <c r="AR12632" s="1" t="str">
        <f t="shared" si="798"/>
        <v>| [ㄧㄣˊ](ㄧㄣˊ.md) | [誾](誾.md) |  | yín | 參見「誾誾」條。 |</v>
      </c>
    </row>
    <row r="12633" spans="1:44" hidden="1">
      <c r="A12633" s="1" t="s">
        <v>14932</v>
      </c>
      <c r="C12633" s="1">
        <v>1</v>
      </c>
      <c r="D12633" s="1" t="str">
        <f>"11081"</f>
        <v>11081</v>
      </c>
      <c r="E12633" s="1" t="s">
        <v>132</v>
      </c>
      <c r="F12633" s="1">
        <v>7</v>
      </c>
      <c r="G12633" s="1">
        <v>4</v>
      </c>
      <c r="H12633" s="1">
        <v>2</v>
      </c>
      <c r="I12633" s="1" t="s">
        <v>26040</v>
      </c>
      <c r="K12633" s="1" t="str">
        <f t="shared" si="796"/>
        <v>ㄧ</v>
      </c>
      <c r="L12633" s="1" t="str">
        <f t="shared" si="797"/>
        <v>ㄣ</v>
      </c>
      <c r="N12633" s="3" t="s">
        <v>30575</v>
      </c>
      <c r="O12633" s="3"/>
      <c r="P12633" s="1" t="s">
        <v>20</v>
      </c>
      <c r="R12633" s="1" t="s">
        <v>26041</v>
      </c>
      <c r="V12633" s="1" t="s">
        <v>26050</v>
      </c>
      <c r="W12633" s="1" t="s">
        <v>26051</v>
      </c>
      <c r="AR12633" s="1" t="str">
        <f t="shared" si="798"/>
        <v>| [ㄧㄣˊ](ㄧㄣˊ.md) | [圻](圻.md) |  | yín | [名]
邊界、地界。通「垠」。《說文解字．土部》：「圻，垠或從斤。」《淮南子．俶真》：「四達無境，通于無圻。」 |</v>
      </c>
    </row>
    <row r="12634" spans="1:44" hidden="1">
      <c r="A12634" s="1" t="s">
        <v>26052</v>
      </c>
      <c r="C12634" s="1">
        <v>1</v>
      </c>
      <c r="D12634" s="1" t="str">
        <f>"11082"</f>
        <v>11082</v>
      </c>
      <c r="E12634" s="1" t="s">
        <v>55</v>
      </c>
      <c r="F12634" s="1">
        <v>12</v>
      </c>
      <c r="G12634" s="1">
        <v>4</v>
      </c>
      <c r="H12634" s="1">
        <v>0</v>
      </c>
      <c r="I12634" s="1" t="s">
        <v>26040</v>
      </c>
      <c r="K12634" s="1" t="str">
        <f t="shared" si="796"/>
        <v>ㄧ</v>
      </c>
      <c r="L12634" s="1" t="str">
        <f t="shared" si="797"/>
        <v>ㄣ</v>
      </c>
      <c r="N12634" s="3" t="s">
        <v>30575</v>
      </c>
      <c r="O12634" s="3"/>
      <c r="P12634" s="1" t="s">
        <v>20</v>
      </c>
      <c r="R12634" s="1" t="s">
        <v>26041</v>
      </c>
      <c r="V12634" s="1" t="s">
        <v>26053</v>
      </c>
      <c r="AR12634" s="1" t="str">
        <f t="shared" si="798"/>
        <v>| [ㄧㄣˊ](ㄧㄣˊ.md) | [釿](釿.md) |  | yín | [動]
砍斫。《說文解字．斤部》：「釿，劑斷也。」清．段玉裁．注：「謂以斤斧之屬制斷金鐵之物。」
[名]
參見「釿鍔」條。 |</v>
      </c>
    </row>
    <row r="12635" spans="1:44" hidden="1">
      <c r="A12635" s="1" t="s">
        <v>26054</v>
      </c>
      <c r="C12635" s="1">
        <v>1</v>
      </c>
      <c r="D12635" s="1" t="str">
        <f>"11083"</f>
        <v>11083</v>
      </c>
      <c r="E12635" s="1" t="s">
        <v>592</v>
      </c>
      <c r="F12635" s="1">
        <v>19</v>
      </c>
      <c r="G12635" s="1">
        <v>4</v>
      </c>
      <c r="H12635" s="1">
        <v>0</v>
      </c>
      <c r="I12635" s="1" t="s">
        <v>26040</v>
      </c>
      <c r="K12635" s="1" t="str">
        <f t="shared" si="796"/>
        <v>ㄧ</v>
      </c>
      <c r="L12635" s="1" t="str">
        <f t="shared" si="797"/>
        <v>ㄣ</v>
      </c>
      <c r="N12635" s="3" t="s">
        <v>30575</v>
      </c>
      <c r="O12635" s="3"/>
      <c r="P12635" s="1" t="s">
        <v>20</v>
      </c>
      <c r="R12635" s="1" t="s">
        <v>26041</v>
      </c>
      <c r="V12635" s="1" t="s">
        <v>26055</v>
      </c>
      <c r="AR12635" s="1" t="str">
        <f t="shared" si="798"/>
        <v>| [ㄧㄣˊ](ㄧㄣˊ.md) | [齗](齗.md) |  | yín | [名]
牙齦、牙根肉。同「齦」。《玉篇．齒部》：「齗，齒根肉也。」三國魏．劉楨〈魯都賦〉：「頒首莘尾，豐顱重齗。」
[形]
參見「齗齗」條。 |</v>
      </c>
    </row>
    <row r="12636" spans="1:44" hidden="1">
      <c r="A12636" s="1" t="s">
        <v>26056</v>
      </c>
      <c r="C12636" s="1">
        <v>1</v>
      </c>
      <c r="D12636" s="1" t="str">
        <f>"11084"</f>
        <v>11084</v>
      </c>
      <c r="E12636" s="1" t="s">
        <v>28</v>
      </c>
      <c r="F12636" s="1">
        <v>7</v>
      </c>
      <c r="G12636" s="1">
        <v>4</v>
      </c>
      <c r="H12636" s="1">
        <v>0</v>
      </c>
      <c r="I12636" s="1" t="s">
        <v>26040</v>
      </c>
      <c r="K12636" s="1" t="str">
        <f t="shared" si="796"/>
        <v>ㄧ</v>
      </c>
      <c r="L12636" s="1" t="str">
        <f t="shared" si="797"/>
        <v>ㄣ</v>
      </c>
      <c r="N12636" s="3" t="s">
        <v>30575</v>
      </c>
      <c r="O12636" s="3"/>
      <c r="P12636" s="1" t="s">
        <v>20</v>
      </c>
      <c r="R12636" s="1" t="s">
        <v>26041</v>
      </c>
      <c r="V12636" s="1" t="s">
        <v>26057</v>
      </c>
      <c r="AR12636" s="1" t="str">
        <f t="shared" si="798"/>
        <v>| [ㄧㄣˊ](ㄧㄣˊ.md) | [吟](吟.md) |  | yín | [動]
1.痛苦時發出的聲音。元．戴侗《六書故．卷一一．吟》：「痛為呻吟。」
2.嘆息。《戰國策．楚策一》：「雀立不轉，晝吟宵哭。」
3.詠、誦。如：「吟詠」。《莊子．德充符》：「倚樹而吟，據槁梧而瞑。」
4.啼叫、鳴叫。《文選．司馬相如．長門賦》：「孔雀集而相存兮，玄猿肅而長吟。」《文選．曹植．雜詩六首之二》：「孤雁飛南遊，過庭長哀吟。」
5.口吃、話說不清楚。通「唫」。《後漢書．卷三十四．梁統傳》：「為人鳶肩豺目，洞精矘眄，口吟舌言。」
[名]
古代一種詩體的名稱。宋．嚴羽《滄浪詩話．詩體》：「古詞有〈隴頭吟〉，孔明有〈梁父吟〉，文君有〈白頭吟〉。」 |</v>
      </c>
    </row>
    <row r="12637" spans="1:44" hidden="1">
      <c r="A12637" s="1" t="s">
        <v>26058</v>
      </c>
      <c r="C12637" s="1">
        <v>1</v>
      </c>
      <c r="D12637" s="1" t="str">
        <f>"11085"</f>
        <v>11085</v>
      </c>
      <c r="E12637" s="1" t="s">
        <v>198</v>
      </c>
      <c r="F12637" s="1">
        <v>8</v>
      </c>
      <c r="G12637" s="1">
        <v>4</v>
      </c>
      <c r="H12637" s="1">
        <v>0</v>
      </c>
      <c r="I12637" s="1" t="s">
        <v>26040</v>
      </c>
      <c r="K12637" s="1" t="str">
        <f t="shared" si="796"/>
        <v>ㄧ</v>
      </c>
      <c r="L12637" s="1" t="str">
        <f t="shared" si="797"/>
        <v>ㄣ</v>
      </c>
      <c r="N12637" s="3" t="s">
        <v>30575</v>
      </c>
      <c r="O12637" s="3"/>
      <c r="P12637" s="1" t="s">
        <v>20</v>
      </c>
      <c r="R12637" s="1" t="s">
        <v>26041</v>
      </c>
      <c r="V12637" s="1" t="s">
        <v>26059</v>
      </c>
      <c r="AR12637" s="1" t="str">
        <f t="shared" si="798"/>
        <v>| [ㄧㄣˊ](ㄧㄣˊ.md) | [㹜](㹜.md) |  | yín | [動]
兩隻狗互相咬。《說文解字．犬部》：「㹜，兩犬相齧也。」 |</v>
      </c>
    </row>
    <row r="12638" spans="1:44" hidden="1">
      <c r="A12638" s="1" t="s">
        <v>26060</v>
      </c>
      <c r="C12638" s="1">
        <v>1</v>
      </c>
      <c r="D12638" s="1" t="str">
        <f>"11086"</f>
        <v>11086</v>
      </c>
      <c r="E12638" s="1" t="s">
        <v>132</v>
      </c>
      <c r="F12638" s="1">
        <v>9</v>
      </c>
      <c r="G12638" s="1">
        <v>6</v>
      </c>
      <c r="H12638" s="1">
        <v>0</v>
      </c>
      <c r="I12638" s="1" t="s">
        <v>26040</v>
      </c>
      <c r="K12638" s="1" t="str">
        <f t="shared" si="796"/>
        <v>ㄧ</v>
      </c>
      <c r="L12638" s="1" t="str">
        <f t="shared" si="797"/>
        <v>ㄣ</v>
      </c>
      <c r="N12638" s="3" t="s">
        <v>30575</v>
      </c>
      <c r="O12638" s="3"/>
      <c r="P12638" s="1" t="s">
        <v>20</v>
      </c>
      <c r="R12638" s="1" t="s">
        <v>26041</v>
      </c>
      <c r="V12638" s="1" t="s">
        <v>26061</v>
      </c>
      <c r="AR12638" s="1" t="str">
        <f t="shared" si="798"/>
        <v>| [ㄧㄣˊ](ㄧㄣˊ.md) | [垠](垠.md) |  | yín | [名]
1.界限、邊際。如：「一望無垠」。唐．李華〈弔古戰場文〉：「浩浩乎！平沙無垠，敻不見人。」
2.河岸、水邊。《漢書．卷五七．司馬相如傳下》：「迫區中之隘陝兮，舒節出乎北垠。」《文選．木華．海賦》：「其垠則有天琛水怪，鮫人之室。」 |</v>
      </c>
    </row>
    <row r="12639" spans="1:44" hidden="1">
      <c r="A12639" s="1" t="s">
        <v>26062</v>
      </c>
      <c r="C12639" s="1">
        <v>1</v>
      </c>
      <c r="D12639" s="1" t="str">
        <f>"11087"</f>
        <v>11087</v>
      </c>
      <c r="E12639" s="1" t="s">
        <v>55</v>
      </c>
      <c r="F12639" s="1">
        <v>14</v>
      </c>
      <c r="G12639" s="1">
        <v>6</v>
      </c>
      <c r="H12639" s="1">
        <v>0</v>
      </c>
      <c r="I12639" s="1" t="s">
        <v>26040</v>
      </c>
      <c r="K12639" s="1" t="str">
        <f t="shared" si="796"/>
        <v>ㄧ</v>
      </c>
      <c r="L12639" s="1" t="str">
        <f t="shared" si="797"/>
        <v>ㄣ</v>
      </c>
      <c r="N12639" s="3" t="s">
        <v>30575</v>
      </c>
      <c r="O12639" s="3"/>
      <c r="P12639" s="1" t="s">
        <v>20</v>
      </c>
      <c r="R12639" s="1" t="s">
        <v>26041</v>
      </c>
      <c r="V12639" s="1" t="s">
        <v>26063</v>
      </c>
      <c r="AR12639" s="1" t="str">
        <f t="shared" si="798"/>
        <v>| [ㄧㄣˊ](ㄧㄣˊ.md) | [銀](銀.md) |  | yín | [名]
1.（silver，Ag）化學元素。原子序47。金屬元素之一。白色，光澤甚美，質軟，富延展性，易傳熱及導電。可供合金、製造貨幣、餐具及裝飾品之用。
2.金錢、貨幣。如：「賀銀」。《宋史．卷四二一．列傳．包恢》：「恢歷仕所至，……課盆鹽，理銀欠，政聲赫然。」
3.姓。如明代有銀鏡。
[形]
1.白亮的、色白如銀的。如：「銀髮」。南朝梁．簡文帝〈元圃園講頌．序〉：「朱堂玉砌，碧水銀沙。」
2.銀製的、含銀質的。如：「銀牌」、「銀箸」、「銀器」。《三國志．卷五五．吳書．程黃韓蔣周陳董甘淩徐潘丁傳．甘寧》：「寧先以銀碗酌酒，自飲兩碗，乃酌與其都督。」
3.與貨幣有關的。如：「銀行」、「銀根」。 |</v>
      </c>
    </row>
    <row r="12640" spans="1:44" hidden="1">
      <c r="A12640" s="1" t="s">
        <v>11036</v>
      </c>
      <c r="C12640" s="1">
        <v>1</v>
      </c>
      <c r="D12640" s="1" t="str">
        <f>"11088"</f>
        <v>11088</v>
      </c>
      <c r="E12640" s="1" t="s">
        <v>592</v>
      </c>
      <c r="F12640" s="1">
        <v>21</v>
      </c>
      <c r="G12640" s="1">
        <v>6</v>
      </c>
      <c r="H12640" s="1">
        <v>1</v>
      </c>
      <c r="I12640" s="1" t="s">
        <v>26040</v>
      </c>
      <c r="K12640" s="1" t="str">
        <f t="shared" si="796"/>
        <v>ㄧ</v>
      </c>
      <c r="L12640" s="1" t="str">
        <f t="shared" si="797"/>
        <v>ㄣ</v>
      </c>
      <c r="N12640" s="3" t="s">
        <v>30575</v>
      </c>
      <c r="O12640" s="3"/>
      <c r="P12640" s="1" t="s">
        <v>20</v>
      </c>
      <c r="R12640" s="1" t="s">
        <v>26041</v>
      </c>
      <c r="V12640" s="1" t="s">
        <v>26064</v>
      </c>
      <c r="W12640" s="1" t="s">
        <v>26065</v>
      </c>
      <c r="AR12640" s="1" t="str">
        <f t="shared" si="798"/>
        <v>| [ㄧㄣˊ](ㄧㄣˊ.md) | [齦](齦.md) |  | yín | [名]
齒根肉。《廣韻．平聲．欣韻》：「齦，齒根肉也。」如：「牙齦」、「齒齦」。漢．揚雄《太玄經．卷三．密卦》：「琢齒依齦，三歲無君。」晉．范望．注：「脣齒相附，脣亡齒寒，故依齦齦哂也。」宋．文天祥〈滿江紅．試問琵琶〉詞：「想男兒慷慨，嚼穿齦血。」 |</v>
      </c>
    </row>
    <row r="12641" spans="1:44" hidden="1">
      <c r="A12641" s="1" t="s">
        <v>26066</v>
      </c>
      <c r="C12641" s="1">
        <v>1</v>
      </c>
      <c r="D12641" s="1" t="str">
        <f>"11089"</f>
        <v>11089</v>
      </c>
      <c r="E12641" s="1" t="s">
        <v>129</v>
      </c>
      <c r="F12641" s="1">
        <v>11</v>
      </c>
      <c r="G12641" s="1">
        <v>8</v>
      </c>
      <c r="H12641" s="1">
        <v>0</v>
      </c>
      <c r="I12641" s="1" t="s">
        <v>26040</v>
      </c>
      <c r="K12641" s="1" t="str">
        <f t="shared" si="796"/>
        <v>ㄧ</v>
      </c>
      <c r="L12641" s="1" t="str">
        <f t="shared" si="797"/>
        <v>ㄣ</v>
      </c>
      <c r="N12641" s="3" t="s">
        <v>30575</v>
      </c>
      <c r="O12641" s="3"/>
      <c r="P12641" s="1" t="s">
        <v>20</v>
      </c>
      <c r="R12641" s="1" t="s">
        <v>26041</v>
      </c>
      <c r="V12641" s="1" t="s">
        <v>26067</v>
      </c>
      <c r="AR12641" s="1" t="str">
        <f t="shared" si="798"/>
        <v>| [ㄧㄣˊ](ㄧㄣˊ.md) | [淫](淫.md) |  | yín | [動]_x000D_
1.浸漬。《說文解字．水部》：「淫，浸淫隨理也。」漢．劉熙《釋名．釋言語》：「淫，浸也。浸淫旁入之言也。」《周禮．冬官考工記．匠人》：「善防者水淫之。」漢．鄭玄．注：「謂水淤泥土留著，助之為厚。」_x000D_
2.沉溺。《書經．大禹謨》：「罔遊于逸，罔淫于樂。」《莊子．在宥》：「而且說明邪？是淫於色也；說聰邪？是淫於聲也。」_x000D_
3.迷惑。《孟子．滕文公下》：「富貴不能淫，貧賤不能移，威武不能屈，此之謂大丈夫。」_x000D_
4.通姦。《左傳．宣公四年》：「（鬭伯比）從其母畜於鄖，淫於鄖子之女，生子文焉。」《隋書．卷七四．酷吏列傳．燕榮》：「榮每巡省管內，聞官人及百姓妻女有美色，輒舍其室而淫之。」 _x000D_
[形]_x000D_
1.大。《爾雅．釋詁上》：「淫，大也。」《詩經．周頌．有客》：「既有淫威，降福孔夷。」漢．毛亨．傳：「淫，大。」_x000D_
2.浮濫、過度、不恰當。如：「淫辭」、「淫濫」。《管子．君臣下》：「禁淫務，勸農功。」《禮記．曲禮下》：「非其所祭而祭之，名曰淫祀。」_x000D_
3.邪惡不正的。如：「淫聲」、「淫邪」。《書經．洪範》：「凡厥庶民，無有淫朋。」漢．陸賈《新語．術事》：「將以杜淫邪之欲，絕琦瑋之情。」_x000D_
4.貪色、放蕩的。《晉書．卷三〇．刑法志》：「今盜者竊人之財，淫者好人之色。」《初刻拍案驚奇》卷一七：「你這淫婦！順了奸夫，忍殺親子，這樣人留你何用？」_x000D_
5.久而不止的。通「霪」。《左傳．莊公十一年》：「天作淫雨，害於粢盛，若之何不弔？」_x000D_
[名]_x000D_
不正常的性關係。如：「賣淫」、「行淫」。_x000D_
[副]_x000D_
過度的。《書經．召誥》：「其惟王勿以小民淫用非彞。」 |</v>
      </c>
    </row>
    <row r="12642" spans="1:44" hidden="1">
      <c r="A12642" s="1" t="s">
        <v>26068</v>
      </c>
      <c r="C12642" s="1">
        <v>1</v>
      </c>
      <c r="D12642" s="1" t="str">
        <f>"11090"</f>
        <v>11090</v>
      </c>
      <c r="E12642" s="1" t="s">
        <v>534</v>
      </c>
      <c r="F12642" s="1">
        <v>11</v>
      </c>
      <c r="G12642" s="1">
        <v>8</v>
      </c>
      <c r="H12642" s="1">
        <v>0</v>
      </c>
      <c r="I12642" s="1" t="s">
        <v>26040</v>
      </c>
      <c r="K12642" s="1" t="str">
        <f t="shared" si="796"/>
        <v>ㄧ</v>
      </c>
      <c r="L12642" s="1" t="str">
        <f t="shared" si="797"/>
        <v>ㄣ</v>
      </c>
      <c r="N12642" s="3" t="s">
        <v>30575</v>
      </c>
      <c r="O12642" s="3"/>
      <c r="P12642" s="1" t="s">
        <v>20</v>
      </c>
      <c r="R12642" s="1" t="s">
        <v>26041</v>
      </c>
      <c r="V12642" s="1" t="s">
        <v>26069</v>
      </c>
      <c r="AR12642" s="1" t="str">
        <f t="shared" si="798"/>
        <v>| [ㄧㄣˊ](ㄧㄣˊ.md) | [婬](婬.md) |  | yín | [名]_x000D_
不正常的性關係。《集韻．平聲．侵韻》：「婬，通作淫。」 |</v>
      </c>
    </row>
    <row r="12643" spans="1:44" hidden="1">
      <c r="A12643" s="1" t="s">
        <v>26070</v>
      </c>
      <c r="C12643" s="1">
        <v>1</v>
      </c>
      <c r="D12643" s="1" t="str">
        <f>"11091"</f>
        <v>11091</v>
      </c>
      <c r="E12643" s="1" t="s">
        <v>125</v>
      </c>
      <c r="F12643" s="1">
        <v>19</v>
      </c>
      <c r="G12643" s="1">
        <v>11</v>
      </c>
      <c r="H12643" s="1">
        <v>0</v>
      </c>
      <c r="I12643" s="1" t="s">
        <v>26040</v>
      </c>
      <c r="K12643" s="1" t="str">
        <f t="shared" si="796"/>
        <v>ㄧ</v>
      </c>
      <c r="L12643" s="1" t="str">
        <f t="shared" si="797"/>
        <v>ㄣ</v>
      </c>
      <c r="N12643" s="3" t="s">
        <v>30575</v>
      </c>
      <c r="O12643" s="3"/>
      <c r="P12643" s="1" t="s">
        <v>20</v>
      </c>
      <c r="R12643" s="1" t="s">
        <v>26041</v>
      </c>
      <c r="V12643" s="1" t="s">
        <v>26071</v>
      </c>
      <c r="AR12643" s="1" t="str">
        <f t="shared" si="798"/>
        <v>| [ㄧㄣˊ](ㄧㄣˊ.md) | [霪](霪.md) |  | yín | [名]
下了很久的雨。《玉篇．雨部》：「霪，久雨也。」如：「霪霖」、「霪雨」。 |</v>
      </c>
    </row>
    <row r="12644" spans="1:44" hidden="1">
      <c r="A12644" s="1" t="s">
        <v>26072</v>
      </c>
      <c r="C12644" s="1">
        <v>1</v>
      </c>
      <c r="D12644" s="1" t="str">
        <f>"11092"</f>
        <v>11092</v>
      </c>
      <c r="E12644" s="1" t="s">
        <v>624</v>
      </c>
      <c r="F12644" s="1">
        <v>11</v>
      </c>
      <c r="G12644" s="1">
        <v>8</v>
      </c>
      <c r="H12644" s="1">
        <v>0</v>
      </c>
      <c r="I12644" s="1" t="s">
        <v>26040</v>
      </c>
      <c r="K12644" s="1" t="str">
        <f t="shared" si="796"/>
        <v>ㄧ</v>
      </c>
      <c r="L12644" s="1" t="str">
        <f t="shared" si="797"/>
        <v>ㄣ</v>
      </c>
      <c r="N12644" s="3" t="s">
        <v>30575</v>
      </c>
      <c r="O12644" s="3"/>
      <c r="P12644" s="1" t="s">
        <v>20</v>
      </c>
      <c r="R12644" s="1" t="s">
        <v>26041</v>
      </c>
      <c r="V12644" s="1" t="s">
        <v>26073</v>
      </c>
      <c r="AR12644" s="1" t="str">
        <f t="shared" si="798"/>
        <v>| [ㄧㄣˊ](ㄧㄣˊ.md) | [寅](寅.md) |  | yín | [名]
1.地支的第三位。
2.時辰名。約當於上午三時至五時。
3.同寅的簡稱。
4.姓。如元代有寅午辰。
[副]
恭敬。《書經．舜典》：「夙夜惟寅，直哉惟清。」南朝梁．劉勰《文心雕龍．祝盟》：「所以寅虔於神祇，嚴恭於宗廟也。」 |</v>
      </c>
    </row>
    <row r="12645" spans="1:44" hidden="1">
      <c r="A12645" s="1" t="s">
        <v>26074</v>
      </c>
      <c r="C12645" s="1">
        <v>1</v>
      </c>
      <c r="D12645" s="1" t="str">
        <f>"11093"</f>
        <v>11093</v>
      </c>
      <c r="E12645" s="1" t="s">
        <v>3347</v>
      </c>
      <c r="F12645" s="1">
        <v>14</v>
      </c>
      <c r="G12645" s="1">
        <v>11</v>
      </c>
      <c r="H12645" s="1">
        <v>0</v>
      </c>
      <c r="I12645" s="1" t="s">
        <v>26040</v>
      </c>
      <c r="K12645" s="1" t="str">
        <f t="shared" si="796"/>
        <v>ㄧ</v>
      </c>
      <c r="L12645" s="1" t="str">
        <f t="shared" si="797"/>
        <v>ㄣ</v>
      </c>
      <c r="N12645" s="3" t="s">
        <v>30575</v>
      </c>
      <c r="O12645" s="3"/>
      <c r="P12645" s="1" t="s">
        <v>20</v>
      </c>
      <c r="R12645" s="1" t="s">
        <v>26041</v>
      </c>
      <c r="V12645" s="1" t="s">
        <v>26075</v>
      </c>
      <c r="AR12645" s="1" t="str">
        <f t="shared" si="798"/>
        <v>| [ㄧㄣˊ](ㄧㄣˊ.md) | [夤](夤.md) |  | yín | [動]
攀附求進。參見「夤緣」條。
[副]
敬惕。通「寅」。《漢書．卷一〇〇．敘傳下》：「中宗明明，夤用刑名。」《北史．卷三九．房法壽傳》：「夤畏照臨，亦宜謹肅。」
[形]
深。如：「夤夜」。 |</v>
      </c>
    </row>
    <row r="12646" spans="1:44" hidden="1">
      <c r="A12646" s="1" t="s">
        <v>26076</v>
      </c>
      <c r="C12646" s="1">
        <v>1</v>
      </c>
      <c r="D12646" s="1" t="str">
        <f>"11094"</f>
        <v>11094</v>
      </c>
      <c r="E12646" s="1" t="s">
        <v>1372</v>
      </c>
      <c r="F12646" s="1">
        <v>15</v>
      </c>
      <c r="G12646" s="1">
        <v>11</v>
      </c>
      <c r="H12646" s="1">
        <v>0</v>
      </c>
      <c r="I12646" s="1" t="s">
        <v>26040</v>
      </c>
      <c r="K12646" s="1" t="str">
        <f t="shared" si="796"/>
        <v>ㄧ</v>
      </c>
      <c r="L12646" s="1" t="str">
        <f t="shared" si="797"/>
        <v>ㄣ</v>
      </c>
      <c r="N12646" s="3" t="s">
        <v>30575</v>
      </c>
      <c r="O12646" s="3"/>
      <c r="P12646" s="1" t="s">
        <v>20</v>
      </c>
      <c r="R12646" s="1" t="s">
        <v>26041</v>
      </c>
      <c r="V12646" s="1" t="s">
        <v>26077</v>
      </c>
      <c r="AR12646" s="1" t="str">
        <f t="shared" si="798"/>
        <v>| [ㄧㄣˊ](ㄧㄣˊ.md) | [殥](殥.md) |  | yín | [名]
偏遠的地方。《淮南子．墬形》：「九州之外，乃有八殥。」 |</v>
      </c>
    </row>
    <row r="12647" spans="1:44" hidden="1">
      <c r="A12647" s="1" t="s">
        <v>26078</v>
      </c>
      <c r="C12647" s="1">
        <v>1</v>
      </c>
      <c r="D12647" s="1" t="str">
        <f>"11095"</f>
        <v>11095</v>
      </c>
      <c r="E12647" s="1" t="s">
        <v>28</v>
      </c>
      <c r="F12647" s="1">
        <v>11</v>
      </c>
      <c r="G12647" s="1">
        <v>8</v>
      </c>
      <c r="H12647" s="1">
        <v>0</v>
      </c>
      <c r="I12647" s="1" t="s">
        <v>26040</v>
      </c>
      <c r="K12647" s="1" t="str">
        <f t="shared" si="796"/>
        <v>ㄧ</v>
      </c>
      <c r="L12647" s="1" t="str">
        <f t="shared" si="797"/>
        <v>ㄣ</v>
      </c>
      <c r="N12647" s="3" t="s">
        <v>30575</v>
      </c>
      <c r="O12647" s="3"/>
      <c r="P12647" s="1" t="s">
        <v>20</v>
      </c>
      <c r="R12647" s="1" t="s">
        <v>26041</v>
      </c>
      <c r="V12647" s="1" t="s">
        <v>26079</v>
      </c>
      <c r="AR12647" s="1" t="str">
        <f t="shared" si="798"/>
        <v>| [ㄧㄣˊ](ㄧㄣˊ.md) | [唫](唫.md) |  | yín | [動]
1.口吃、話說不清楚。《說文解字．口部》：「唫，口急也。」
2.閉口。《墨子．親士》：「臣下重其爵，位而不言，近臣則喑，遠臣則唫。」《呂氏春秋．審應覽．重言》：「君呿而不唫，所言者莒也。」漢．高誘．注：「呿，開；唫，閉。」
3.嘆息。吟的古字。《楚辭．屈原．九章．悲回風》：「孤子唫而抆淚兮，放子出而不還。」
4.歌詠。吟的古字。《漢書．卷四五．息夫躬傳》：「秋風為我唫，浮雲為我陰。」唐．方干〈貽錢塘縣路明府〉詩：「唫成五字句，用破一生心。」 |</v>
      </c>
    </row>
    <row r="12648" spans="1:44" hidden="1">
      <c r="A12648" s="1" t="s">
        <v>26080</v>
      </c>
      <c r="C12648" s="1">
        <v>1</v>
      </c>
      <c r="D12648" s="1" t="str">
        <f>"11096"</f>
        <v>11096</v>
      </c>
      <c r="E12648" s="1" t="s">
        <v>190</v>
      </c>
      <c r="F12648" s="1">
        <v>11</v>
      </c>
      <c r="G12648" s="1">
        <v>8</v>
      </c>
      <c r="H12648" s="1">
        <v>0</v>
      </c>
      <c r="I12648" s="1" t="s">
        <v>26040</v>
      </c>
      <c r="K12648" s="1" t="str">
        <f t="shared" si="796"/>
        <v>ㄧ</v>
      </c>
      <c r="L12648" s="1" t="str">
        <f t="shared" si="797"/>
        <v>ㄣ</v>
      </c>
      <c r="N12648" s="3" t="s">
        <v>30575</v>
      </c>
      <c r="O12648" s="3"/>
      <c r="P12648" s="1" t="s">
        <v>20</v>
      </c>
      <c r="R12648" s="1" t="s">
        <v>26041</v>
      </c>
      <c r="V12648" s="1" t="s">
        <v>26081</v>
      </c>
      <c r="AR12648" s="1" t="str">
        <f t="shared" si="798"/>
        <v>| [ㄧㄣˊ](ㄧㄣˊ.md) | [崟](崟.md) |  | yín | 參見「嶔崟」、「崟崟」等條。 |</v>
      </c>
    </row>
    <row r="12649" spans="1:44" hidden="1">
      <c r="A12649" s="1" t="s">
        <v>26082</v>
      </c>
      <c r="C12649" s="1">
        <v>1</v>
      </c>
      <c r="D12649" s="1" t="str">
        <f>"11097"</f>
        <v>11097</v>
      </c>
      <c r="E12649" s="1" t="s">
        <v>256</v>
      </c>
      <c r="F12649" s="1">
        <v>14</v>
      </c>
      <c r="G12649" s="1">
        <v>11</v>
      </c>
      <c r="H12649" s="1">
        <v>0</v>
      </c>
      <c r="I12649" s="1" t="s">
        <v>26040</v>
      </c>
      <c r="K12649" s="1" t="str">
        <f t="shared" si="796"/>
        <v>ㄧ</v>
      </c>
      <c r="L12649" s="1" t="str">
        <f t="shared" si="797"/>
        <v>ㄣ</v>
      </c>
      <c r="N12649" s="3" t="s">
        <v>30575</v>
      </c>
      <c r="O12649" s="3"/>
      <c r="P12649" s="1" t="s">
        <v>20</v>
      </c>
      <c r="R12649" s="1" t="s">
        <v>26041</v>
      </c>
      <c r="V12649" s="1" t="s">
        <v>26083</v>
      </c>
      <c r="AR12649" s="1" t="str">
        <f t="shared" si="798"/>
        <v>| [ㄧㄣˊ](ㄧㄣˊ.md) | [鄞](鄞.md) |  | yín | 參見「鄞縣」條。 |</v>
      </c>
    </row>
    <row r="12650" spans="1:44" hidden="1">
      <c r="A12650" s="1" t="s">
        <v>26084</v>
      </c>
      <c r="C12650" s="1">
        <v>1</v>
      </c>
      <c r="D12650" s="1" t="str">
        <f>"11098"</f>
        <v>11098</v>
      </c>
      <c r="E12650" s="1" t="s">
        <v>28</v>
      </c>
      <c r="F12650" s="1">
        <v>18</v>
      </c>
      <c r="G12650" s="1">
        <v>15</v>
      </c>
      <c r="H12650" s="1">
        <v>0</v>
      </c>
      <c r="I12650" s="1" t="s">
        <v>26040</v>
      </c>
      <c r="K12650" s="1" t="str">
        <f t="shared" ref="K12650:K12713" si="799">LEFT(I12650, 1)</f>
        <v>ㄧ</v>
      </c>
      <c r="L12650" s="1" t="str">
        <f t="shared" ref="L12650:L12713" si="800">MID(I12650, 2, 1)</f>
        <v>ㄣ</v>
      </c>
      <c r="N12650" s="3" t="s">
        <v>30575</v>
      </c>
      <c r="O12650" s="3"/>
      <c r="P12650" s="1" t="s">
        <v>20</v>
      </c>
      <c r="R12650" s="1" t="s">
        <v>26041</v>
      </c>
      <c r="V12650" s="1" t="s">
        <v>26085</v>
      </c>
      <c r="AR12650" s="1" t="str">
        <f t="shared" si="798"/>
        <v>| [ㄧㄣˊ](ㄧㄣˊ.md) | [嚚](嚚.md) |  | yín | [形]
1.愚蠢而頑固。清．王念孫《廣雅疏證．卷一下．釋詁》：「嚚，愚也。」《書經．堯典》：「父頑、母嚚、象傲，克諧以孝，烝烝乂不格姦。」
2.奸詐、說話不老實。《左傳．僖公二十四年》：「心不則德義之經為頑，口不道忠信之言為嚚。」 |</v>
      </c>
    </row>
    <row r="12651" spans="1:44" hidden="1">
      <c r="A12651" s="1" t="s">
        <v>26086</v>
      </c>
      <c r="C12651" s="1">
        <v>1</v>
      </c>
      <c r="D12651" s="1" t="str">
        <f>"11099"</f>
        <v>11099</v>
      </c>
      <c r="E12651" s="1" t="s">
        <v>6679</v>
      </c>
      <c r="F12651" s="1">
        <v>3</v>
      </c>
      <c r="G12651" s="1">
        <v>0</v>
      </c>
      <c r="H12651" s="1">
        <v>0</v>
      </c>
      <c r="I12651" s="1" t="s">
        <v>26087</v>
      </c>
      <c r="K12651" s="1" t="str">
        <f t="shared" si="799"/>
        <v>ㄧ</v>
      </c>
      <c r="L12651" s="1" t="str">
        <f t="shared" si="800"/>
        <v>ㄣ</v>
      </c>
      <c r="N12651" s="3" t="s">
        <v>30576</v>
      </c>
      <c r="O12651" s="3"/>
      <c r="P12651" s="1" t="s">
        <v>20</v>
      </c>
      <c r="R12651" s="1" t="s">
        <v>26088</v>
      </c>
      <c r="V12651" s="1" t="s">
        <v>26089</v>
      </c>
      <c r="AR12651" s="1" t="str">
        <f t="shared" si="798"/>
        <v>| [ㄧㄣˇ](ㄧㄣˇ.md) | [廴](廴.md) |  | yǐn | [動]
長行，連步行走。《說文解字．廴部》：「廴，長行也。」清．徐灝．箋：「長行者，連步行也。」《玉篇．廴部》：「廴，長行也。今作引。」
[名]
二一四部首之一。 |</v>
      </c>
    </row>
    <row r="12652" spans="1:44" hidden="1">
      <c r="A12652" s="1" t="s">
        <v>26090</v>
      </c>
      <c r="C12652" s="1">
        <v>1</v>
      </c>
      <c r="D12652" s="1" t="str">
        <f>"11100"</f>
        <v>11100</v>
      </c>
      <c r="E12652" s="1" t="s">
        <v>1663</v>
      </c>
      <c r="F12652" s="1">
        <v>4</v>
      </c>
      <c r="G12652" s="1">
        <v>3</v>
      </c>
      <c r="H12652" s="1">
        <v>0</v>
      </c>
      <c r="I12652" s="1" t="s">
        <v>26087</v>
      </c>
      <c r="K12652" s="1" t="str">
        <f t="shared" si="799"/>
        <v>ㄧ</v>
      </c>
      <c r="L12652" s="1" t="str">
        <f t="shared" si="800"/>
        <v>ㄣ</v>
      </c>
      <c r="N12652" s="3" t="s">
        <v>30576</v>
      </c>
      <c r="O12652" s="3"/>
      <c r="P12652" s="1" t="s">
        <v>20</v>
      </c>
      <c r="R12652" s="1" t="s">
        <v>26088</v>
      </c>
      <c r="V12652" s="1" t="s">
        <v>26091</v>
      </c>
      <c r="AR12652" s="1" t="str">
        <f t="shared" si="798"/>
        <v>| [ㄧㄣˇ](ㄧㄣˇ.md) | [尹](尹.md) |  | yǐn | [動]
治理。《左傳．定公四年》：「故周公相王室，以尹天下。」《文選．王儉．褚淵碑文》：「公之登太階而尹天下，君子以為美談。」
[名]
1.古代行政區域長官的名稱。如：「師尹」、「府尹」、「京兆尹」。
2.姓。如宋代有尹洙。 |</v>
      </c>
    </row>
    <row r="12653" spans="1:44" hidden="1">
      <c r="A12653" s="1" t="s">
        <v>26092</v>
      </c>
      <c r="C12653" s="1">
        <v>1</v>
      </c>
      <c r="D12653" s="1" t="str">
        <f>"11101"</f>
        <v>11101</v>
      </c>
      <c r="E12653" s="1" t="s">
        <v>103</v>
      </c>
      <c r="F12653" s="1">
        <v>4</v>
      </c>
      <c r="G12653" s="1">
        <v>1</v>
      </c>
      <c r="H12653" s="1">
        <v>0</v>
      </c>
      <c r="I12653" s="1" t="s">
        <v>26087</v>
      </c>
      <c r="K12653" s="1" t="str">
        <f t="shared" si="799"/>
        <v>ㄧ</v>
      </c>
      <c r="L12653" s="1" t="str">
        <f t="shared" si="800"/>
        <v>ㄣ</v>
      </c>
      <c r="N12653" s="3" t="s">
        <v>30576</v>
      </c>
      <c r="O12653" s="3"/>
      <c r="P12653" s="1" t="s">
        <v>20</v>
      </c>
      <c r="R12653" s="1" t="s">
        <v>26088</v>
      </c>
      <c r="V12653" s="1" t="s">
        <v>26093</v>
      </c>
      <c r="AR12653" s="1" t="str">
        <f t="shared" si="798"/>
        <v>| [ㄧㄣˇ](ㄧㄣˇ.md) | [引](引.md) |  | yǐn | [動]
1.開弓。《莊子．田子方》：「列禦寇為伯昏無人射，引之盈貫。」《孟子．盡心上》：「羿不為拙射變其彀率，君子引而不發，躍如也。」
2.拉。《韓非子．人主》：「夫馬之所以能任重引車致遠道者，以筋力也。」《聊齋志異．卷一．尸變》：「客大懼，恐將及己，潛引被覆首，閉息忍咽以聽之。」
3.伸長、延長。《左傳．成公十三年》：「我君景公，引領西望。」唐．韓愈〈進學解〉：「忘己量之所稱，指前人之瑕疵，是所謂詰匠氏之不以杙為楹，而訾醫師以昌陽引年，欲進其豨苓也。」
4.領導、帶領。《史記．卷七．項羽本紀》：「項羽引兵西屠咸陽，殺秦降王子嬰。」《紅樓夢》第一回：「適因小女啼哭，引他出來作耍。」
5.招致、招惹。如：「拋磚引玉」。唐．白居易〈初授祕監并賜金紫閑吟小酌偶寫所懷〉詩：「酒引眼前興，詩留身後名。」清．洪昇《長生殿》第三八齣：「無端唱出興亡恨，引得傍人也淚流。」
6.推薦、選拔。《後漢書．卷一三．隗囂傳》：「王莽國師劉歆引囂為士。」唐．錢起〈樂遊原晴望上中書李侍郎〉詩：「遙想青雲丞相府，何時開閤引書生。」
7.援用。漢．何休〈公羊傳解詁序〉：「援引他經，失其句讀。」南朝梁．劉勰《文心雕龍．事類》：「雖引古事，而莫取舊辭。」
8.退避、退出。《禮記．玉藻》：「侍坐則必退席，不退，則必引而去君之黨。」宋．蘇軾〈與辯才禪師〉詩：「得此閑郡，雖未能超然遠引，亦退老之漸也。」
9.承受。《新唐書．卷八〇．太宗諸子傳．庶人佑傳》：「誠能飭躬引咎，萬紀請入朝言之，上意宜解。」《三國演義》第九九回：「街亭之役，咎由馬謖，而君引愆，深自貶抑。」
[名]
1.量詞。計算長度的單位。公制一引等於一百公尺。也稱為「公引」。
2.紙幣。宋．陸游《老學庵筆記》卷六：「胡子遠之父，唐安人，家饒財，常委僕權錢，得錢引五千緡，皆偽也。」
3.通行證。如：「路引」。《西遊記》第五四回：「請投館驛註名上簿，待下官執名奏駕，驗引放行。」《警世通言．卷二八．白娘子永鎮雷峰塔》：「見了大尹，給引還鄉。」
4.拉柩車的繩索。《禮記．檀弓下》：「弔於葬者必執引，若從柩及壙皆執紼。」
5.文體名。相當於「序」，而較序短。唐．王勃〈滕王閣序〉：「敢竭鄙懷，恭疏短引。」宋．陸游《老學庵筆記》卷六：「蘇東坡祖名字，故為人作序皆用敘序，又以未安，遂改作引。」
6.一種樂府詩體。如：「思歸引」、「箜篌引」。唐．元稹〈樂府古題序〉：「賦、頌、引、謠、……、詞、調，皆詩人六義之餘，而作者之旨。」 |</v>
      </c>
    </row>
    <row r="12654" spans="1:44" hidden="1">
      <c r="A12654" s="1" t="s">
        <v>26094</v>
      </c>
      <c r="C12654" s="1">
        <v>1</v>
      </c>
      <c r="D12654" s="1" t="str">
        <f>"11102"</f>
        <v>11102</v>
      </c>
      <c r="E12654" s="1" t="s">
        <v>679</v>
      </c>
      <c r="F12654" s="1">
        <v>10</v>
      </c>
      <c r="G12654" s="1">
        <v>4</v>
      </c>
      <c r="H12654" s="1">
        <v>0</v>
      </c>
      <c r="I12654" s="1" t="s">
        <v>26087</v>
      </c>
      <c r="K12654" s="1" t="str">
        <f t="shared" si="799"/>
        <v>ㄧ</v>
      </c>
      <c r="L12654" s="1" t="str">
        <f t="shared" si="800"/>
        <v>ㄣ</v>
      </c>
      <c r="N12654" s="3" t="s">
        <v>30576</v>
      </c>
      <c r="O12654" s="3"/>
      <c r="P12654" s="1" t="s">
        <v>20</v>
      </c>
      <c r="R12654" s="1" t="s">
        <v>26088</v>
      </c>
      <c r="V12654" s="1" t="s">
        <v>15307</v>
      </c>
      <c r="AR12654" s="1" t="str">
        <f t="shared" si="798"/>
        <v>| [ㄧㄣˇ](ㄧㄣˇ.md) | [蚓](蚓.md) |  | yǐn | 參見「蚯蚓」條。 |</v>
      </c>
    </row>
    <row r="12655" spans="1:44" hidden="1">
      <c r="A12655" s="1" t="s">
        <v>26095</v>
      </c>
      <c r="C12655" s="1">
        <v>1</v>
      </c>
      <c r="D12655" s="1" t="str">
        <f>"11103"</f>
        <v>11103</v>
      </c>
      <c r="E12655" s="1" t="s">
        <v>96</v>
      </c>
      <c r="F12655" s="1">
        <v>13</v>
      </c>
      <c r="G12655" s="1">
        <v>4</v>
      </c>
      <c r="H12655" s="1">
        <v>0</v>
      </c>
      <c r="I12655" s="1" t="s">
        <v>26087</v>
      </c>
      <c r="K12655" s="1" t="str">
        <f t="shared" si="799"/>
        <v>ㄧ</v>
      </c>
      <c r="L12655" s="1" t="str">
        <f t="shared" si="800"/>
        <v>ㄣ</v>
      </c>
      <c r="N12655" s="3" t="s">
        <v>30576</v>
      </c>
      <c r="O12655" s="3"/>
      <c r="P12655" s="1" t="s">
        <v>20</v>
      </c>
      <c r="R12655" s="1" t="s">
        <v>26088</v>
      </c>
      <c r="V12655" s="1" t="s">
        <v>26096</v>
      </c>
      <c r="AR12655" s="1" t="str">
        <f t="shared" si="798"/>
        <v>| [ㄧㄣˇ](ㄧㄣˇ.md) | [靷](靷.md) |  | yǐn | [名]
繫在車軸，拉車前進的皮帶。《左傳．哀公二年》：「我兩靷將絕，吾能止之。」 |</v>
      </c>
    </row>
    <row r="12656" spans="1:44" hidden="1">
      <c r="A12656" s="1" t="s">
        <v>26097</v>
      </c>
      <c r="C12656" s="1">
        <v>1</v>
      </c>
      <c r="D12656" s="1" t="str">
        <f>"11104"</f>
        <v>11104</v>
      </c>
      <c r="E12656" s="1" t="s">
        <v>28</v>
      </c>
      <c r="F12656" s="1">
        <v>7</v>
      </c>
      <c r="G12656" s="1">
        <v>4</v>
      </c>
      <c r="H12656" s="1">
        <v>1</v>
      </c>
      <c r="I12656" s="1" t="s">
        <v>26087</v>
      </c>
      <c r="K12656" s="1" t="str">
        <f t="shared" si="799"/>
        <v>ㄧ</v>
      </c>
      <c r="L12656" s="1" t="str">
        <f t="shared" si="800"/>
        <v>ㄣ</v>
      </c>
      <c r="N12656" s="3" t="s">
        <v>30576</v>
      </c>
      <c r="O12656" s="3"/>
      <c r="P12656" s="1" t="s">
        <v>20</v>
      </c>
      <c r="R12656" s="1" t="s">
        <v>26088</v>
      </c>
      <c r="V12656" s="1" t="s">
        <v>26098</v>
      </c>
      <c r="W12656" s="1" t="s">
        <v>26099</v>
      </c>
      <c r="AR12656" s="1" t="str">
        <f t="shared" si="798"/>
        <v>| [ㄧㄣˇ](ㄧㄣˇ.md) | [听](听.md) |  | yǐn | [副]
笑的樣子。《文選．司馬相如．上林賦》：「亡是公听然而笑。」唐．劉禹錫〈說驥〉：「睹之周體，眙然視，听然笑，既而抃隨之。」 |</v>
      </c>
    </row>
    <row r="12657" spans="1:44" hidden="1">
      <c r="A12657" s="1" t="s">
        <v>25753</v>
      </c>
      <c r="C12657" s="1">
        <v>1</v>
      </c>
      <c r="D12657" s="1" t="str">
        <f>"11105"</f>
        <v>11105</v>
      </c>
      <c r="E12657" s="1" t="s">
        <v>5505</v>
      </c>
      <c r="F12657" s="1">
        <v>10</v>
      </c>
      <c r="G12657" s="1">
        <v>6</v>
      </c>
      <c r="H12657" s="1">
        <v>3</v>
      </c>
      <c r="I12657" s="1" t="s">
        <v>26087</v>
      </c>
      <c r="K12657" s="1" t="str">
        <f t="shared" si="799"/>
        <v>ㄧ</v>
      </c>
      <c r="L12657" s="1" t="str">
        <f t="shared" si="800"/>
        <v>ㄣ</v>
      </c>
      <c r="N12657" s="3" t="s">
        <v>30576</v>
      </c>
      <c r="O12657" s="3"/>
      <c r="P12657" s="1" t="s">
        <v>20</v>
      </c>
      <c r="R12657" s="1" t="s">
        <v>26088</v>
      </c>
      <c r="V12657" s="1" t="s">
        <v>26100</v>
      </c>
      <c r="W12657" s="1" t="s">
        <v>26101</v>
      </c>
      <c r="AR12657" s="1" t="str">
        <f t="shared" si="798"/>
        <v>| [ㄧㄣˇ](ㄧㄣˇ.md) | [殷](殷.md) |  | yǐn | [擬]
形容雷聲。《集韻．上聲．隱韻》：「殷，雷聲。」《詩經．召南．殷其靁》：「殷其靁，在南山之陽。」明．徐弘祖《徐霞客遊記．卷四下．黔遊日記二》：「雷聲殷殷，天色以雲幕而暗。」
[動]
震動。《漢書．卷五七．司馬相如傳上》：「車騎雷起，殷天動地。」唐．杜甫〈大雲寺贊公房〉詩四首之三：「梵放時出寺，鍾殘仍殷床。」 |</v>
      </c>
    </row>
    <row r="12658" spans="1:44" hidden="1">
      <c r="A12658" s="1" t="s">
        <v>26102</v>
      </c>
      <c r="C12658" s="1">
        <v>1</v>
      </c>
      <c r="D12658" s="1" t="str">
        <f>"11106"</f>
        <v>11106</v>
      </c>
      <c r="E12658" s="1" t="s">
        <v>193</v>
      </c>
      <c r="F12658" s="1">
        <v>12</v>
      </c>
      <c r="G12658" s="1">
        <v>4</v>
      </c>
      <c r="H12658" s="1">
        <v>1</v>
      </c>
      <c r="I12658" s="1" t="s">
        <v>26087</v>
      </c>
      <c r="K12658" s="1" t="str">
        <f t="shared" si="799"/>
        <v>ㄧ</v>
      </c>
      <c r="L12658" s="1" t="str">
        <f t="shared" si="800"/>
        <v>ㄣ</v>
      </c>
      <c r="N12658" s="3" t="s">
        <v>30576</v>
      </c>
      <c r="O12658" s="3"/>
      <c r="P12658" s="1" t="s">
        <v>20</v>
      </c>
      <c r="R12658" s="1" t="s">
        <v>26088</v>
      </c>
      <c r="V12658" s="1" t="s">
        <v>26103</v>
      </c>
      <c r="W12658" s="1" t="s">
        <v>26104</v>
      </c>
      <c r="AR12658" s="1" t="str">
        <f t="shared" si="798"/>
        <v>| [ㄧㄣˇ](ㄧㄣˇ.md) | [飲](飲.md) |  | yǐn | [動]_x000D_
1.喝。如：「茹毛飲血」。《孟子．告子上》：「冬日則飲湯，夏日則飲水。」《史記．卷七．項羽本紀》：「項王曰：『壯士，賜之卮酒。』則與斗卮酒。噲拜謝，起，立而飲之。」晉．陸機〈猛虎行〉：「渴不飲盜泉水，熱不息惡木陰。」_x000D_
2.特指喝酒。如：「小飲」、「對飲」。唐．聶夷中〈飲酒樂〉詩：「一飲解百結，再飲破百憂。」《儒林外史》第四〇回：「我和你們眾百姓在此痛飲一天，也是緣法。」_x000D_
3.含忍、懷著。南朝梁．江淹〈恨賦〉：「自古皆有死，莫不飲恨而吞聲。」《魏書．卷六〇．列傳．韓麒麟》：「及會公卿，議王之罪，莫不俛眉飲氣，唯諮是從。」_x000D_
4.沒入、隱沒。《呂氏春秋．季秋紀．精通》：「養由基射兕中石，矢乃飲羽，誠平兕也。」《漢書．卷九二．游俠傳．朱家》：「然終不能伐其能，飲其德。」_x000D_
[名]_x000D_
可喝的流質食物。如：「冷飲」。《周禮．天官冢宰．酒正》：「辨四飲之物：一曰清，二曰醫，三曰漿，四曰酏。」《論語．雍也》：「一簞食，一瓢飲，在陋巷，人不堪其憂，回也不改其樂。」 |</v>
      </c>
    </row>
    <row r="12659" spans="1:44" hidden="1">
      <c r="A12659" s="1" t="s">
        <v>25894</v>
      </c>
      <c r="C12659" s="1">
        <v>1</v>
      </c>
      <c r="D12659" s="1" t="str">
        <f>"11107"</f>
        <v>11107</v>
      </c>
      <c r="E12659" s="1" t="s">
        <v>4785</v>
      </c>
      <c r="F12659" s="1">
        <v>15</v>
      </c>
      <c r="G12659" s="1">
        <v>11</v>
      </c>
      <c r="H12659" s="1">
        <v>2</v>
      </c>
      <c r="I12659" s="1" t="s">
        <v>26087</v>
      </c>
      <c r="K12659" s="1" t="str">
        <f t="shared" si="799"/>
        <v>ㄧ</v>
      </c>
      <c r="L12659" s="1" t="str">
        <f t="shared" si="800"/>
        <v>ㄣ</v>
      </c>
      <c r="N12659" s="3" t="s">
        <v>30576</v>
      </c>
      <c r="O12659" s="3"/>
      <c r="P12659" s="1" t="s">
        <v>20</v>
      </c>
      <c r="R12659" s="1" t="s">
        <v>26088</v>
      </c>
      <c r="V12659" s="1" t="s">
        <v>26105</v>
      </c>
      <c r="W12659" s="1" t="s">
        <v>26106</v>
      </c>
      <c r="AR12659" s="1" t="str">
        <f t="shared" si="798"/>
        <v>| [ㄧㄣˇ](ㄧㄣˇ.md) | [戭](戭.md) |  | yǐn | [名]
長戈。《集韻．上聲．準韻》：「戭，長戈。」 |</v>
      </c>
    </row>
    <row r="12660" spans="1:44" hidden="1">
      <c r="A12660" s="1" t="s">
        <v>26107</v>
      </c>
      <c r="C12660" s="1">
        <v>1</v>
      </c>
      <c r="D12660" s="1" t="str">
        <f>"11108"</f>
        <v>11108</v>
      </c>
      <c r="E12660" s="1" t="s">
        <v>679</v>
      </c>
      <c r="F12660" s="1">
        <v>17</v>
      </c>
      <c r="G12660" s="1">
        <v>11</v>
      </c>
      <c r="H12660" s="1">
        <v>0</v>
      </c>
      <c r="I12660" s="1" t="s">
        <v>26087</v>
      </c>
      <c r="K12660" s="1" t="str">
        <f t="shared" si="799"/>
        <v>ㄧ</v>
      </c>
      <c r="L12660" s="1" t="str">
        <f t="shared" si="800"/>
        <v>ㄣ</v>
      </c>
      <c r="N12660" s="3" t="s">
        <v>30576</v>
      </c>
      <c r="O12660" s="3"/>
      <c r="P12660" s="1" t="s">
        <v>20</v>
      </c>
      <c r="R12660" s="1" t="s">
        <v>26088</v>
      </c>
      <c r="V12660" s="1" t="s">
        <v>26108</v>
      </c>
      <c r="AR12660" s="1" t="str">
        <f t="shared" si="798"/>
        <v>| [ㄧㄣˇ](ㄧㄣˇ.md) | [螾](螾.md) |  | yǐn | [名]
蚯蚓。《荀子．勸學》：「螾無爪牙之利，筋骨之強，上食埃土，下飲黃泉，用心一也。」唐．楊倞．注：「螾與蚓同。」 |</v>
      </c>
    </row>
    <row r="12661" spans="1:44" hidden="1">
      <c r="A12661" s="1" t="s">
        <v>26109</v>
      </c>
      <c r="C12661" s="1">
        <v>1</v>
      </c>
      <c r="D12661" s="1" t="str">
        <f>"11109"</f>
        <v>11109</v>
      </c>
      <c r="E12661" s="1" t="s">
        <v>190</v>
      </c>
      <c r="F12661" s="1">
        <v>17</v>
      </c>
      <c r="G12661" s="1">
        <v>14</v>
      </c>
      <c r="H12661" s="1">
        <v>0</v>
      </c>
      <c r="I12661" s="1" t="s">
        <v>26087</v>
      </c>
      <c r="K12661" s="1" t="str">
        <f t="shared" si="799"/>
        <v>ㄧ</v>
      </c>
      <c r="L12661" s="1" t="str">
        <f t="shared" si="800"/>
        <v>ㄣ</v>
      </c>
      <c r="N12661" s="3" t="s">
        <v>30576</v>
      </c>
      <c r="O12661" s="3"/>
      <c r="P12661" s="1" t="s">
        <v>20</v>
      </c>
      <c r="R12661" s="1" t="s">
        <v>26088</v>
      </c>
      <c r="V12661" s="1" t="s">
        <v>26110</v>
      </c>
      <c r="AR12661" s="1" t="str">
        <f t="shared" si="798"/>
        <v>| [ㄧㄣˇ](ㄧㄣˇ.md) | [嶾](嶾.md) |  | yǐn | 參見「嶾嶙」條。 |</v>
      </c>
    </row>
    <row r="12662" spans="1:44" hidden="1">
      <c r="A12662" s="1" t="s">
        <v>26111</v>
      </c>
      <c r="C12662" s="1">
        <v>1</v>
      </c>
      <c r="D12662" s="1" t="str">
        <f>"11110"</f>
        <v>11110</v>
      </c>
      <c r="E12662" s="1" t="s">
        <v>691</v>
      </c>
      <c r="F12662" s="1">
        <v>17</v>
      </c>
      <c r="G12662" s="1">
        <v>14</v>
      </c>
      <c r="H12662" s="1">
        <v>1</v>
      </c>
      <c r="I12662" s="1" t="s">
        <v>26087</v>
      </c>
      <c r="K12662" s="1" t="str">
        <f t="shared" si="799"/>
        <v>ㄧ</v>
      </c>
      <c r="L12662" s="1" t="str">
        <f t="shared" si="800"/>
        <v>ㄣ</v>
      </c>
      <c r="N12662" s="3" t="s">
        <v>30576</v>
      </c>
      <c r="O12662" s="3"/>
      <c r="P12662" s="1" t="s">
        <v>20</v>
      </c>
      <c r="R12662" s="1" t="s">
        <v>26088</v>
      </c>
      <c r="V12662" s="1" t="s">
        <v>26112</v>
      </c>
      <c r="W12662" s="1" t="s">
        <v>26113</v>
      </c>
      <c r="AR12662" s="1" t="str">
        <f t="shared" si="798"/>
        <v>| [ㄧㄣˇ](ㄧㄣˇ.md) | [隱](隱.md) |  | yǐn | [動]
1.藏匿。《說文解字．阜部》：「隱，蔽也。」《晉書．卷九四．隱逸傳．夏統傳》：「善歌舞，又能隱形匿影。」唐．李白〈安陸白兆山桃花巖寄劉侍御綰〉詩：「樹雜日易隱，崖傾月難圓。」
2.遮瞞。如：「直言不隱」。宋．蘇軾〈上神宗皇帝書〉：「一牛之失，則隱而不言，五羊之獲，則指為勞績。」
3.憐憫、同情。《孟子．梁惠王上》：「王若隱其無罪而就死地，則牛羊何擇焉？」
4.詳細考量。《管子．禁藏》：「是故君子上觀絕理者，以自恐也。下觀不及者，以自隱也。」唐．尹知章．注：「隱，度也。度己有不及之事當效之也。」
[名]
1.幽微精深處。《易經．繫辭上》：「探賾索隱，鉤深致遠。」《史記．卷一一七．司馬相如傳．太史公曰》：「《春秋》推見至隱，《易》本隱之以顯。」
2.痛苦。如：「難言之隱」。《國語．周語上》：「勤恤民隱，而除其害也。」
3.謎語。《史記．卷一二六．滑稽傳．淳于髡傳》：「齊威王之時喜隱。」唐．司馬貞．索隱：「喜隱，謂好隱語。」
4.姓。如三國時吳國有隱蕃。
[形]
1.潛藏不露的、幽而不顯的。如：「隱情」、「隱疾」、「隱性」。《晉書．卷七五．王湛傳》：「初有隱德，人莫能知，兄弟宗族皆以為痴。」
2.窮困的。《左傳．昭公二十五年》：「政自之出久矣，隱民多取食焉。」 |</v>
      </c>
    </row>
    <row r="12663" spans="1:44" hidden="1">
      <c r="A12663" s="1" t="s">
        <v>26114</v>
      </c>
      <c r="C12663" s="1">
        <v>1</v>
      </c>
      <c r="D12663" s="1" t="str">
        <f>"11111"</f>
        <v>11111</v>
      </c>
      <c r="E12663" s="1" t="s">
        <v>139</v>
      </c>
      <c r="F12663" s="1">
        <v>17</v>
      </c>
      <c r="G12663" s="1">
        <v>13</v>
      </c>
      <c r="H12663" s="1">
        <v>0</v>
      </c>
      <c r="I12663" s="1" t="s">
        <v>26087</v>
      </c>
      <c r="K12663" s="1" t="str">
        <f t="shared" si="799"/>
        <v>ㄧ</v>
      </c>
      <c r="L12663" s="1" t="str">
        <f t="shared" si="800"/>
        <v>ㄣ</v>
      </c>
      <c r="N12663" s="3" t="s">
        <v>30576</v>
      </c>
      <c r="O12663" s="3"/>
      <c r="P12663" s="1" t="s">
        <v>20</v>
      </c>
      <c r="R12663" s="1" t="s">
        <v>26088</v>
      </c>
      <c r="V12663" s="1" t="s">
        <v>26115</v>
      </c>
      <c r="AR12663" s="1" t="str">
        <f t="shared" si="798"/>
        <v>| [ㄧㄣˇ](ㄧㄣˇ.md) | [檃](檃.md) |  | yǐn | 參見「檃栝」條。 |</v>
      </c>
    </row>
    <row r="12664" spans="1:44" hidden="1">
      <c r="A12664" s="1" t="s">
        <v>26116</v>
      </c>
      <c r="C12664" s="1">
        <v>1</v>
      </c>
      <c r="D12664" s="1" t="str">
        <f>"11112"</f>
        <v>11112</v>
      </c>
      <c r="E12664" s="1" t="s">
        <v>40</v>
      </c>
      <c r="F12664" s="1">
        <v>22</v>
      </c>
      <c r="G12664" s="1">
        <v>17</v>
      </c>
      <c r="H12664" s="1">
        <v>0</v>
      </c>
      <c r="I12664" s="1" t="s">
        <v>26087</v>
      </c>
      <c r="K12664" s="1" t="str">
        <f t="shared" si="799"/>
        <v>ㄧ</v>
      </c>
      <c r="L12664" s="1" t="str">
        <f t="shared" si="800"/>
        <v>ㄣ</v>
      </c>
      <c r="N12664" s="3" t="s">
        <v>30576</v>
      </c>
      <c r="O12664" s="3"/>
      <c r="P12664" s="1" t="s">
        <v>20</v>
      </c>
      <c r="R12664" s="1" t="s">
        <v>26088</v>
      </c>
      <c r="V12664" s="1" t="s">
        <v>26117</v>
      </c>
      <c r="AR12664" s="1" t="str">
        <f t="shared" si="798"/>
        <v>| [ㄧㄣˇ](ㄧㄣˇ.md) | [癮](癮.md) |  | yǐn | [名]
成為習慣而不易戒除的嗜好或癖好。如：「煙癮」、「酒癮」、「毒癮」。《二十年目睹之怪現狀》第四七回：「他不吃的，如何會上癮。」 |</v>
      </c>
    </row>
    <row r="12665" spans="1:44" hidden="1">
      <c r="A12665" s="1" t="s">
        <v>26118</v>
      </c>
      <c r="C12665" s="1">
        <v>1</v>
      </c>
      <c r="D12665" s="1" t="str">
        <f>"11113"</f>
        <v>11113</v>
      </c>
      <c r="E12665" s="1" t="s">
        <v>331</v>
      </c>
      <c r="F12665" s="1">
        <v>24</v>
      </c>
      <c r="G12665" s="1">
        <v>17</v>
      </c>
      <c r="H12665" s="1">
        <v>0</v>
      </c>
      <c r="I12665" s="1" t="s">
        <v>26087</v>
      </c>
      <c r="K12665" s="1" t="str">
        <f t="shared" si="799"/>
        <v>ㄧ</v>
      </c>
      <c r="L12665" s="1" t="str">
        <f t="shared" si="800"/>
        <v>ㄣ</v>
      </c>
      <c r="N12665" s="3" t="s">
        <v>30576</v>
      </c>
      <c r="O12665" s="3"/>
      <c r="P12665" s="1" t="s">
        <v>20</v>
      </c>
      <c r="R12665" s="1" t="s">
        <v>26088</v>
      </c>
      <c r="V12665" s="1" t="s">
        <v>26119</v>
      </c>
      <c r="AR12665" s="1" t="str">
        <f t="shared" si="798"/>
        <v>| [ㄧㄣˇ](ㄧㄣˇ.md) | [讔](讔.md) |  | yǐn | [名]
隱語、謎語。《呂氏春秋．審應覽．重言》：「荊莊王立三年，不聽而好讔。」南朝梁．劉勰《文心雕龍．諧讔》：「讔者，隱也，遯辭以隱意，譎譬以指事也。」 |</v>
      </c>
    </row>
    <row r="12666" spans="1:44" hidden="1">
      <c r="A12666" s="1" t="s">
        <v>26220</v>
      </c>
      <c r="C12666" s="1">
        <v>1</v>
      </c>
      <c r="D12666" s="1" t="str">
        <f>"11159"</f>
        <v>11159</v>
      </c>
      <c r="E12666" s="1" t="s">
        <v>250</v>
      </c>
      <c r="F12666" s="1">
        <v>8</v>
      </c>
      <c r="G12666" s="1">
        <v>5</v>
      </c>
      <c r="H12666" s="1">
        <v>0</v>
      </c>
      <c r="I12666" s="1" t="s">
        <v>26221</v>
      </c>
      <c r="K12666" s="1" t="str">
        <f t="shared" si="799"/>
        <v>ㄧ</v>
      </c>
      <c r="L12666" s="1" t="str">
        <f t="shared" si="800"/>
        <v>ㄤ</v>
      </c>
      <c r="N12666" s="3" t="s">
        <v>30574</v>
      </c>
      <c r="O12666" s="3"/>
      <c r="P12666" s="1" t="s">
        <v>20</v>
      </c>
      <c r="R12666" s="1" t="s">
        <v>26222</v>
      </c>
      <c r="V12666" s="1" t="s">
        <v>26223</v>
      </c>
      <c r="AR12666" s="1" t="str">
        <f t="shared" si="798"/>
        <v>| [ㄧㄤˋ](ㄧㄤˋ.md) | [怏](怏.md) |  | yàng | [副]
不滿、不服氣。《說文解字．心部》：「怏，不服懟也。」《戰國策．趙策三》：「辛垣衍怏然不悅曰：『嘻！亦太甚矣先生之言也！』」
[形]
失意、惆悵。《廣韻．上聲．養韻》：「怏，怏悵也。」
[動]
勉強、泥求。明．湯顯祖《牡丹亭》第二八齣：「教俺迷留沒亂的心嘈雜，無夜無明怏著他。」 |</v>
      </c>
    </row>
    <row r="12667" spans="1:44" hidden="1">
      <c r="A12667" s="1" t="s">
        <v>26224</v>
      </c>
      <c r="C12667" s="1">
        <v>1</v>
      </c>
      <c r="D12667" s="1" t="str">
        <f>"11160"</f>
        <v>11160</v>
      </c>
      <c r="E12667" s="1" t="s">
        <v>250</v>
      </c>
      <c r="F12667" s="1">
        <v>10</v>
      </c>
      <c r="G12667" s="1">
        <v>6</v>
      </c>
      <c r="H12667" s="1">
        <v>0</v>
      </c>
      <c r="I12667" s="1" t="s">
        <v>26221</v>
      </c>
      <c r="K12667" s="1" t="str">
        <f t="shared" si="799"/>
        <v>ㄧ</v>
      </c>
      <c r="L12667" s="1" t="str">
        <f t="shared" si="800"/>
        <v>ㄤ</v>
      </c>
      <c r="N12667" s="3" t="s">
        <v>30574</v>
      </c>
      <c r="O12667" s="3"/>
      <c r="P12667" s="1" t="s">
        <v>20</v>
      </c>
      <c r="R12667" s="1" t="s">
        <v>26222</v>
      </c>
      <c r="V12667" s="1" t="s">
        <v>26225</v>
      </c>
      <c r="AR12667" s="1" t="str">
        <f t="shared" si="798"/>
        <v>| [ㄧㄤˋ](ㄧㄤˋ.md) | [恙](恙.md) |  | yàng | [名]
疾病。如：「小恙」、「別來無恙」。唐．陸龜蒙〈記事〉詩：「春歸迨秋末，固自嬰微恙。」
[動]
憂慮。《史記．卷一一二．平津侯傳》：「君不幸罹霜露之病，何恙不已。」唐．司馬貞．索隱：「恙，憂也。」 |</v>
      </c>
    </row>
    <row r="12668" spans="1:44" hidden="1">
      <c r="A12668" s="1" t="s">
        <v>26226</v>
      </c>
      <c r="C12668" s="1">
        <v>1</v>
      </c>
      <c r="D12668" s="1" t="str">
        <f>"11161"</f>
        <v>11161</v>
      </c>
      <c r="E12668" s="1" t="s">
        <v>43</v>
      </c>
      <c r="F12668" s="1">
        <v>11</v>
      </c>
      <c r="G12668" s="1">
        <v>5</v>
      </c>
      <c r="H12668" s="1">
        <v>0</v>
      </c>
      <c r="I12668" s="1" t="s">
        <v>26221</v>
      </c>
      <c r="K12668" s="1" t="str">
        <f t="shared" si="799"/>
        <v>ㄧ</v>
      </c>
      <c r="L12668" s="1" t="str">
        <f t="shared" si="800"/>
        <v>ㄤ</v>
      </c>
      <c r="N12668" s="3" t="s">
        <v>30574</v>
      </c>
      <c r="O12668" s="3"/>
      <c r="P12668" s="1" t="s">
        <v>20</v>
      </c>
      <c r="R12668" s="1" t="s">
        <v>26222</v>
      </c>
      <c r="V12668" s="1" t="s">
        <v>26227</v>
      </c>
      <c r="AR12668" s="1" t="str">
        <f t="shared" si="798"/>
        <v>| [ㄧㄤˋ](ㄧㄤˋ.md) | [羕](羕.md) |  | yàng | [形]
流水悠長的樣子。《說文解字．永部》：「羕，水長也。」 |</v>
      </c>
    </row>
    <row r="12669" spans="1:44" hidden="1">
      <c r="A12669" s="1" t="s">
        <v>26228</v>
      </c>
      <c r="C12669" s="1">
        <v>1</v>
      </c>
      <c r="D12669" s="1" t="str">
        <f>"11162"</f>
        <v>11162</v>
      </c>
      <c r="E12669" s="1" t="s">
        <v>129</v>
      </c>
      <c r="F12669" s="1">
        <v>14</v>
      </c>
      <c r="G12669" s="1">
        <v>11</v>
      </c>
      <c r="H12669" s="1">
        <v>0</v>
      </c>
      <c r="I12669" s="1" t="s">
        <v>26221</v>
      </c>
      <c r="K12669" s="1" t="str">
        <f t="shared" si="799"/>
        <v>ㄧ</v>
      </c>
      <c r="L12669" s="1" t="str">
        <f t="shared" si="800"/>
        <v>ㄤ</v>
      </c>
      <c r="N12669" s="3" t="s">
        <v>30574</v>
      </c>
      <c r="O12669" s="3"/>
      <c r="P12669" s="1" t="s">
        <v>20</v>
      </c>
      <c r="R12669" s="1" t="s">
        <v>26222</v>
      </c>
      <c r="V12669" s="1" t="s">
        <v>26229</v>
      </c>
      <c r="AR12669" s="1" t="str">
        <f t="shared" si="798"/>
        <v>| [ㄧㄤˋ](ㄧㄤˋ.md) | [漾](漾.md) |  | yàng | [副]
水波搖動的樣子。如：「蕩漾」。南朝梁．簡文帝〈述羈賦〉：「雲嵯峨而出岫，江搖漾而生風。」
[動]
1.搖動船隻。唐．王維〈藍田山石門精舍〉詩：「落日山水好，漾舟信歸風。」
2.拋擲。《董西廂》卷三：「待漾下，又瞻仰；道忘了，是口強，難割捨我兒模樣。」《水滸傳》第八一回：「兩邊都已會意，燕青便把索來漾將過去。」
3.液體滿而溢出。如：「漾奶」、「漾酸水」。
[形]
水流悠長。《文選．王粲．登樓賦》：「路逶迤而脩迥兮，川既漾而濟深。」
[名]
河川名。即漾水。源出大陸地區陝西省寧羌縣北嶓冢山，為漢水的上游。 |</v>
      </c>
    </row>
    <row r="12670" spans="1:44" hidden="1">
      <c r="A12670" s="1" t="s">
        <v>26213</v>
      </c>
      <c r="C12670" s="1">
        <v>1</v>
      </c>
      <c r="D12670" s="1" t="str">
        <f>"11163"</f>
        <v>11163</v>
      </c>
      <c r="E12670" s="1" t="s">
        <v>193</v>
      </c>
      <c r="F12670" s="1">
        <v>15</v>
      </c>
      <c r="G12670" s="1">
        <v>6</v>
      </c>
      <c r="H12670" s="1">
        <v>2</v>
      </c>
      <c r="I12670" s="1" t="s">
        <v>26221</v>
      </c>
      <c r="K12670" s="1" t="str">
        <f t="shared" si="799"/>
        <v>ㄧ</v>
      </c>
      <c r="L12670" s="1" t="str">
        <f t="shared" si="800"/>
        <v>ㄤ</v>
      </c>
      <c r="N12670" s="3" t="s">
        <v>30574</v>
      </c>
      <c r="O12670" s="3"/>
      <c r="P12670" s="1" t="s">
        <v>20</v>
      </c>
      <c r="R12670" s="1" t="s">
        <v>26222</v>
      </c>
      <c r="V12670" s="1" t="s">
        <v>26230</v>
      </c>
      <c r="W12670" s="1" t="s">
        <v>26231</v>
      </c>
      <c r="AR12670" s="1" t="str">
        <f t="shared" si="798"/>
        <v>| [ㄧㄤˋ](ㄧㄤˋ.md) | [養](養.md) |  | yàng | [動]
晚輩供養長輩。如：「奉養父母」。宋．歐陽修〈瀧岡阡表〉：「祭而豐，不如養之薄也。」
[名]
晚輩對長輩的供養。《孟子．離婁下》：「惰其四支，不顧父母之養，一不孝也。」 |</v>
      </c>
    </row>
    <row r="12671" spans="1:44" hidden="1">
      <c r="A12671" s="1" t="s">
        <v>17140</v>
      </c>
      <c r="C12671" s="1">
        <v>1</v>
      </c>
      <c r="D12671" s="1" t="str">
        <f>"11164"</f>
        <v>11164</v>
      </c>
      <c r="E12671" s="1" t="s">
        <v>139</v>
      </c>
      <c r="F12671" s="1">
        <v>15</v>
      </c>
      <c r="G12671" s="1">
        <v>11</v>
      </c>
      <c r="H12671" s="1">
        <v>1</v>
      </c>
      <c r="I12671" s="1" t="s">
        <v>26221</v>
      </c>
      <c r="K12671" s="1" t="str">
        <f t="shared" si="799"/>
        <v>ㄧ</v>
      </c>
      <c r="L12671" s="1" t="str">
        <f t="shared" si="800"/>
        <v>ㄤ</v>
      </c>
      <c r="N12671" s="3" t="s">
        <v>30574</v>
      </c>
      <c r="O12671" s="3"/>
      <c r="P12671" s="1" t="s">
        <v>20</v>
      </c>
      <c r="R12671" s="1" t="s">
        <v>26222</v>
      </c>
      <c r="V12671" s="1" t="s">
        <v>26232</v>
      </c>
      <c r="W12671" s="1" t="s">
        <v>26233</v>
      </c>
      <c r="AR12671" s="1" t="str">
        <f t="shared" si="798"/>
        <v>| [ㄧㄤˋ](ㄧㄤˋ.md) | [樣](樣.md) |  | yàng | [名]_x000D_
1.形式、形狀。如：「圖樣」、「依樣畫葫蘆」。唐．杜甫〈楊監又出畫鷹十二扇〉詩：「近時馮紹正，能畫鷙鳥樣。」_x000D_
2.種類。如：「各式各樣」。宋．楊萬里〈曉出淨慈送林子方〉詩其二：「接天蓮葉無窮碧，映日荷花別樣紅。」_x000D_
3.作為標準的物品。如：「樣品」、「貨樣」。_x000D_
4.量詞。計算事物種類的單位。如：「六樣小菜」。_x000D_
[代]_x000D_
人事物的性質、程度、方式等。如：「他就是這樣一個循規蹈距的人。」 |</v>
      </c>
    </row>
    <row r="12672" spans="1:44" hidden="1">
      <c r="A12672" s="1" t="s">
        <v>26216</v>
      </c>
      <c r="C12672" s="1">
        <v>1</v>
      </c>
      <c r="D12672" s="1" t="str">
        <f>"11165"</f>
        <v>11165</v>
      </c>
      <c r="E12672" s="1" t="s">
        <v>129</v>
      </c>
      <c r="F12672" s="1">
        <v>18</v>
      </c>
      <c r="G12672" s="1">
        <v>15</v>
      </c>
      <c r="H12672" s="1">
        <v>1</v>
      </c>
      <c r="I12672" s="1" t="s">
        <v>26221</v>
      </c>
      <c r="K12672" s="1" t="str">
        <f t="shared" si="799"/>
        <v>ㄧ</v>
      </c>
      <c r="L12672" s="1" t="str">
        <f t="shared" si="800"/>
        <v>ㄤ</v>
      </c>
      <c r="N12672" s="3" t="s">
        <v>30574</v>
      </c>
      <c r="O12672" s="3"/>
      <c r="P12672" s="1" t="s">
        <v>20</v>
      </c>
      <c r="R12672" s="1" t="s">
        <v>26222</v>
      </c>
      <c r="V12672" s="1" t="s">
        <v>26234</v>
      </c>
      <c r="W12672" s="1" t="s">
        <v>26235</v>
      </c>
      <c r="AR12672" s="1" t="str">
        <f t="shared" si="798"/>
        <v>| [ㄧㄤˋ](ㄧㄤˋ.md) | [瀁](瀁.md) |  | yàng | 參見「瀁瀁」條。 |</v>
      </c>
    </row>
    <row r="12673" spans="1:44" hidden="1">
      <c r="A12673" s="1" t="s">
        <v>26186</v>
      </c>
      <c r="C12673" s="1">
        <v>1</v>
      </c>
      <c r="D12673" s="1" t="str">
        <f>"11166"</f>
        <v>11166</v>
      </c>
      <c r="E12673" s="1" t="s">
        <v>336</v>
      </c>
      <c r="F12673" s="1">
        <v>13</v>
      </c>
      <c r="G12673" s="1">
        <v>9</v>
      </c>
      <c r="H12673" s="1">
        <v>1</v>
      </c>
      <c r="I12673" s="1" t="s">
        <v>26221</v>
      </c>
      <c r="K12673" s="1" t="str">
        <f t="shared" si="799"/>
        <v>ㄧ</v>
      </c>
      <c r="L12673" s="1" t="str">
        <f t="shared" si="800"/>
        <v>ㄤ</v>
      </c>
      <c r="N12673" s="3" t="s">
        <v>30574</v>
      </c>
      <c r="O12673" s="3"/>
      <c r="P12673" s="1" t="s">
        <v>20</v>
      </c>
      <c r="R12673" s="1" t="s">
        <v>26222</v>
      </c>
      <c r="V12673" s="1" t="s">
        <v>26236</v>
      </c>
      <c r="W12673" s="1" t="s">
        <v>26237</v>
      </c>
      <c r="AR12673" s="1" t="str">
        <f t="shared" si="798"/>
        <v>| [ㄧㄤˋ](ㄧㄤˋ.md) | [煬](煬.md) |  | yàng | [動]
1.烘烤。《說文解字．火部》：「煬，炙燥也。」宋．沈括《夢溪筆談．卷一八．技藝》：「欲印，則以一鐵範置鐵板上，乃密布字印，滿鐵範為一板，持就火煬之。」
2.就火取暖。《淮南子．齊俗》：「冬則羊裘解札，短褐不掩形，而煬灶口。」
[形]
炎熱的。《新唐書．卷一四五．楊炎傳》：「時方煬，旱人情騷攜，群臣皆請赦文喜，帝不聽。」 |</v>
      </c>
    </row>
    <row r="12674" spans="1:44" hidden="1">
      <c r="A12674" s="1" t="s">
        <v>17079</v>
      </c>
      <c r="C12674" s="1">
        <v>1</v>
      </c>
      <c r="D12674" s="1" t="str">
        <f>"11134"</f>
        <v>11134</v>
      </c>
      <c r="E12674" s="1" t="s">
        <v>43</v>
      </c>
      <c r="F12674" s="1">
        <v>6</v>
      </c>
      <c r="G12674" s="1">
        <v>0</v>
      </c>
      <c r="H12674" s="1">
        <v>1</v>
      </c>
      <c r="I12674" s="1" t="s">
        <v>26166</v>
      </c>
      <c r="K12674" s="1" t="str">
        <f t="shared" si="799"/>
        <v>ㄧ</v>
      </c>
      <c r="L12674" s="1" t="str">
        <f t="shared" si="800"/>
        <v>ㄤ</v>
      </c>
      <c r="N12674" s="3" t="s">
        <v>30575</v>
      </c>
      <c r="O12674" s="3"/>
      <c r="P12674" s="1" t="s">
        <v>20</v>
      </c>
      <c r="R12674" s="1" t="s">
        <v>26167</v>
      </c>
      <c r="V12674" s="1" t="s">
        <v>26168</v>
      </c>
      <c r="W12674" s="1" t="s">
        <v>26169</v>
      </c>
      <c r="AR12674" s="1" t="str">
        <f t="shared" si="798"/>
        <v>| [ㄧㄤˊ](ㄧㄤˊ.md) | [羊](羊.md) |  | yáng | [名]
1.哺乳綱牛科部分動物的泛稱。皮、毛、角、骨可供使用，肉、乳可食用。有綿羊、山羊、羚羊等。
2.姓。如漢代有羊續。
3.二一四部首之一。 |</v>
      </c>
    </row>
    <row r="12675" spans="1:44" hidden="1">
      <c r="A12675" s="1" t="s">
        <v>26170</v>
      </c>
      <c r="C12675" s="1">
        <v>1</v>
      </c>
      <c r="D12675" s="1" t="str">
        <f>"11135"</f>
        <v>11135</v>
      </c>
      <c r="E12675" s="1" t="s">
        <v>114</v>
      </c>
      <c r="F12675" s="1">
        <v>8</v>
      </c>
      <c r="G12675" s="1">
        <v>6</v>
      </c>
      <c r="H12675" s="1">
        <v>0</v>
      </c>
      <c r="I12675" s="1" t="s">
        <v>26166</v>
      </c>
      <c r="K12675" s="1" t="str">
        <f t="shared" si="799"/>
        <v>ㄧ</v>
      </c>
      <c r="L12675" s="1" t="str">
        <f t="shared" si="800"/>
        <v>ㄤ</v>
      </c>
      <c r="N12675" s="3" t="s">
        <v>30575</v>
      </c>
      <c r="O12675" s="3"/>
      <c r="P12675" s="1" t="s">
        <v>20</v>
      </c>
      <c r="R12675" s="1" t="s">
        <v>26167</v>
      </c>
      <c r="V12675" s="1" t="s">
        <v>26171</v>
      </c>
      <c r="AR12675" s="1" t="str">
        <f t="shared" ref="AR12675:AR12738" si="801">"| ["&amp;I12675&amp;"]("&amp;I12675&amp;".md) | ["&amp;A12675&amp;"]("&amp;A12675&amp;".md) | "&amp;" | "&amp;R12675&amp;" | "&amp;V12675&amp;" |"</f>
        <v>| [ㄧㄤˊ](ㄧㄤˊ.md) | [佯](佯.md) |  | yáng | [副]
假裝、偽裝。如：「佯笑」、「佯作不知」。《紅樓夢》第五七回：「寶玉心下明白，因恐紫鵑回去，故又或作佯狂之態。」
[名]
中國少數民族之一。屬西南僰撣族系。今散布於大陸地區貴州省東部山區，以耕山、漁、獵為生。 |</v>
      </c>
    </row>
    <row r="12676" spans="1:44" hidden="1">
      <c r="A12676" s="1" t="s">
        <v>26172</v>
      </c>
      <c r="C12676" s="1">
        <v>1</v>
      </c>
      <c r="D12676" s="1" t="str">
        <f>"11136"</f>
        <v>11136</v>
      </c>
      <c r="E12676" s="1" t="s">
        <v>129</v>
      </c>
      <c r="F12676" s="1">
        <v>9</v>
      </c>
      <c r="G12676" s="1">
        <v>6</v>
      </c>
      <c r="H12676" s="1">
        <v>0</v>
      </c>
      <c r="I12676" s="1" t="s">
        <v>26166</v>
      </c>
      <c r="K12676" s="1" t="str">
        <f t="shared" si="799"/>
        <v>ㄧ</v>
      </c>
      <c r="L12676" s="1" t="str">
        <f t="shared" si="800"/>
        <v>ㄤ</v>
      </c>
      <c r="N12676" s="3" t="s">
        <v>30575</v>
      </c>
      <c r="O12676" s="3"/>
      <c r="P12676" s="1" t="s">
        <v>20</v>
      </c>
      <c r="R12676" s="1" t="s">
        <v>26167</v>
      </c>
      <c r="V12676" s="1" t="s">
        <v>26173</v>
      </c>
      <c r="AR12676" s="1" t="str">
        <f t="shared" si="801"/>
        <v>| [ㄧㄤˊ](ㄧㄤˊ.md) | [洋](洋.md) |  | yáng | [名]
1.廣大的海域。如：「太平洋」、「大西洋」、「印度洋」。
2.舊指比較現代的事物。如：「土洋並用」。
3.俗稱銀元為「洋」。如：「龍洋」、「五百塊現大洋」。
[形]
1.廣大的。如：「汪洋大海」。
2.外國的。如：「洋人」、「洋貨」、「洋酒」。 |</v>
      </c>
    </row>
    <row r="12677" spans="1:44" hidden="1">
      <c r="A12677" s="1" t="s">
        <v>26174</v>
      </c>
      <c r="C12677" s="1">
        <v>1</v>
      </c>
      <c r="D12677" s="1" t="str">
        <f>"11137"</f>
        <v>11137</v>
      </c>
      <c r="E12677" s="1" t="s">
        <v>234</v>
      </c>
      <c r="F12677" s="1">
        <v>9</v>
      </c>
      <c r="G12677" s="1">
        <v>6</v>
      </c>
      <c r="H12677" s="1">
        <v>0</v>
      </c>
      <c r="I12677" s="1" t="s">
        <v>26166</v>
      </c>
      <c r="K12677" s="1" t="str">
        <f t="shared" si="799"/>
        <v>ㄧ</v>
      </c>
      <c r="L12677" s="1" t="str">
        <f t="shared" si="800"/>
        <v>ㄤ</v>
      </c>
      <c r="N12677" s="3" t="s">
        <v>30575</v>
      </c>
      <c r="O12677" s="3"/>
      <c r="P12677" s="1" t="s">
        <v>20</v>
      </c>
      <c r="R12677" s="1" t="s">
        <v>26167</v>
      </c>
      <c r="V12677" s="1" t="s">
        <v>19977</v>
      </c>
      <c r="AR12677" s="1" t="str">
        <f t="shared" si="801"/>
        <v>| [ㄧㄤˊ](ㄧㄤˊ.md) | [徉](徉.md) |  | yáng | 參見「徜徉」條。 |</v>
      </c>
    </row>
    <row r="12678" spans="1:44" hidden="1">
      <c r="A12678" s="1" t="s">
        <v>26175</v>
      </c>
      <c r="C12678" s="1">
        <v>1</v>
      </c>
      <c r="D12678" s="1" t="str">
        <f>"11138"</f>
        <v>11138</v>
      </c>
      <c r="E12678" s="1" t="s">
        <v>336</v>
      </c>
      <c r="F12678" s="1">
        <v>10</v>
      </c>
      <c r="G12678" s="1">
        <v>6</v>
      </c>
      <c r="H12678" s="1">
        <v>0</v>
      </c>
      <c r="I12678" s="1" t="s">
        <v>26166</v>
      </c>
      <c r="K12678" s="1" t="str">
        <f t="shared" si="799"/>
        <v>ㄧ</v>
      </c>
      <c r="L12678" s="1" t="str">
        <f t="shared" si="800"/>
        <v>ㄤ</v>
      </c>
      <c r="N12678" s="3" t="s">
        <v>30575</v>
      </c>
      <c r="O12678" s="3"/>
      <c r="P12678" s="1" t="s">
        <v>20</v>
      </c>
      <c r="R12678" s="1" t="s">
        <v>26167</v>
      </c>
      <c r="V12678" s="1" t="s">
        <v>26176</v>
      </c>
      <c r="AR12678" s="1" t="str">
        <f t="shared" si="801"/>
        <v>| [ㄧㄤˊ](ㄧㄤˊ.md) | [烊](烊.md) |  | yáng | [動]
1.鎔化金屬。同「煬」。如：「烊銅」、「烊鐵」。《老殘遊記》第一六回：「半霎工夫，墨盒裡冒白氣，下半邊已烊了。」
2.商店晚上休息，停止營業稱為「打烊」。 |</v>
      </c>
    </row>
    <row r="12679" spans="1:44" hidden="1">
      <c r="A12679" s="1" t="s">
        <v>26177</v>
      </c>
      <c r="C12679" s="1">
        <v>1</v>
      </c>
      <c r="D12679" s="1" t="str">
        <f>"11139"</f>
        <v>11139</v>
      </c>
      <c r="E12679" s="1" t="s">
        <v>40</v>
      </c>
      <c r="F12679" s="1">
        <v>11</v>
      </c>
      <c r="G12679" s="1">
        <v>6</v>
      </c>
      <c r="H12679" s="1">
        <v>1</v>
      </c>
      <c r="I12679" s="1" t="s">
        <v>26166</v>
      </c>
      <c r="K12679" s="1" t="str">
        <f t="shared" si="799"/>
        <v>ㄧ</v>
      </c>
      <c r="L12679" s="1" t="str">
        <f t="shared" si="800"/>
        <v>ㄤ</v>
      </c>
      <c r="N12679" s="3" t="s">
        <v>30575</v>
      </c>
      <c r="O12679" s="3"/>
      <c r="P12679" s="1" t="s">
        <v>20</v>
      </c>
      <c r="R12679" s="1" t="s">
        <v>26167</v>
      </c>
      <c r="V12679" s="1" t="s">
        <v>26178</v>
      </c>
      <c r="W12679" s="1" t="s">
        <v>26179</v>
      </c>
      <c r="AR12679" s="1" t="str">
        <f t="shared" si="801"/>
        <v>| [ㄧㄤˊ](ㄧㄤˊ.md) | [痒](痒.md) |  | yáng | [名]_x000D_
身體器官或皮膚黏膜發生潰爛或生瘡的症狀。同「瘍」。《說文解字．疒部》：「痒，瘍也。」《周禮．天官冢宰．疾醫》：「夏時有痒疥疾，秋時有瘧寒疾。」_x000D_
[動]_x000D_
憂慮成疾。《詩經．小雅．正月》：「哀我小心，癙憂以痒。」漢．毛亨．傳：「痒，病也。」 |</v>
      </c>
    </row>
    <row r="12680" spans="1:44" hidden="1">
      <c r="A12680" s="1" t="s">
        <v>26180</v>
      </c>
      <c r="C12680" s="1">
        <v>1</v>
      </c>
      <c r="D12680" s="1" t="str">
        <f>"11140"</f>
        <v>11140</v>
      </c>
      <c r="E12680" s="1" t="s">
        <v>646</v>
      </c>
      <c r="F12680" s="1">
        <v>9</v>
      </c>
      <c r="G12680" s="1">
        <v>5</v>
      </c>
      <c r="H12680" s="1">
        <v>0</v>
      </c>
      <c r="I12680" s="1" t="s">
        <v>26166</v>
      </c>
      <c r="K12680" s="1" t="str">
        <f t="shared" si="799"/>
        <v>ㄧ</v>
      </c>
      <c r="L12680" s="1" t="str">
        <f t="shared" si="800"/>
        <v>ㄤ</v>
      </c>
      <c r="N12680" s="3" t="s">
        <v>30575</v>
      </c>
      <c r="O12680" s="3"/>
      <c r="P12680" s="1" t="s">
        <v>20</v>
      </c>
      <c r="R12680" s="1" t="s">
        <v>26167</v>
      </c>
      <c r="V12680" s="1" t="s">
        <v>26181</v>
      </c>
      <c r="AR12680" s="1" t="str">
        <f t="shared" si="801"/>
        <v>| [ㄧㄤˊ](ㄧㄤˊ.md) | [昜](昜.md) |  | yáng | 陽的古字。《說文解字．勿部》：「昜」字清．段玉裁．注：「此陰陽正字也。陰陽行而侌昜廢矣。」 |</v>
      </c>
    </row>
    <row r="12681" spans="1:44" hidden="1">
      <c r="A12681" s="1" t="s">
        <v>26182</v>
      </c>
      <c r="C12681" s="1">
        <v>1</v>
      </c>
      <c r="D12681" s="1" t="str">
        <f>"11141"</f>
        <v>11141</v>
      </c>
      <c r="E12681" s="1" t="s">
        <v>24</v>
      </c>
      <c r="F12681" s="1">
        <v>12</v>
      </c>
      <c r="G12681" s="1">
        <v>9</v>
      </c>
      <c r="H12681" s="1">
        <v>0</v>
      </c>
      <c r="I12681" s="1" t="s">
        <v>26166</v>
      </c>
      <c r="K12681" s="1" t="str">
        <f t="shared" si="799"/>
        <v>ㄧ</v>
      </c>
      <c r="L12681" s="1" t="str">
        <f t="shared" si="800"/>
        <v>ㄤ</v>
      </c>
      <c r="N12681" s="3" t="s">
        <v>30575</v>
      </c>
      <c r="O12681" s="3"/>
      <c r="P12681" s="1" t="s">
        <v>20</v>
      </c>
      <c r="R12681" s="1" t="s">
        <v>26167</v>
      </c>
      <c r="V12681" s="1" t="s">
        <v>26183</v>
      </c>
      <c r="AR12681" s="1" t="str">
        <f t="shared" si="801"/>
        <v>| [ㄧㄤˊ](ㄧㄤˊ.md) | [揚](揚.md) |  | yáng | [動]
1.舉起、抬高。如：「揚手」。唐．李白〈至邯鄲登城樓覽古書懷〉詩：「揚鞭動柳色，寫鞚春風生。」
2.飄動。如：「飛揚」、「飄揚」。《文選．孫綽．遊天台山賦》：「法鼓琅以振響，眾香馥以揚煙。」
3.彰顯。《禮記．中庸》：「好察邇言，隱惡而揚善。」南朝梁．劉勰《文心雕龍．辨騷》：「班固以為露才揚己，忿懟沉江。」
4.稱頌、傳播。如：「表揚」、「讚揚」、「宣揚」、「揚名國際」。
5.掀起。《楚辭．屈原．漁父》：「世人皆濁，何不淈其泥而揚其波。」《文選．班固．西都賦》：「揚波濤於碣石，激神岳之嶈嶈。」
6.往上撒，以去除穀物的外皮。如：「揚場」、「簸揚」。
7.推薦。《書經．堯典》：「明明揚側陋。」漢．孔安國．傳：「明舉明人在側陋者，廣求賢也。」《北史．卷六七．王士良傳》：「孝昭即位，遣三道使搜揚人物。」
[形]
得意的樣子。如：「趾高氣揚」、「志高而揚」。
[名]
姓。如漢代有揚雄。 |</v>
      </c>
    </row>
    <row r="12682" spans="1:44" hidden="1">
      <c r="A12682" s="1" t="s">
        <v>26184</v>
      </c>
      <c r="C12682" s="1">
        <v>1</v>
      </c>
      <c r="D12682" s="1" t="str">
        <f>"11142"</f>
        <v>11142</v>
      </c>
      <c r="E12682" s="1" t="s">
        <v>691</v>
      </c>
      <c r="F12682" s="1">
        <v>12</v>
      </c>
      <c r="G12682" s="1">
        <v>9</v>
      </c>
      <c r="H12682" s="1">
        <v>0</v>
      </c>
      <c r="I12682" s="1" t="s">
        <v>26166</v>
      </c>
      <c r="K12682" s="1" t="str">
        <f t="shared" si="799"/>
        <v>ㄧ</v>
      </c>
      <c r="L12682" s="1" t="str">
        <f t="shared" si="800"/>
        <v>ㄤ</v>
      </c>
      <c r="N12682" s="3" t="s">
        <v>30575</v>
      </c>
      <c r="O12682" s="3"/>
      <c r="P12682" s="1" t="s">
        <v>20</v>
      </c>
      <c r="R12682" s="1" t="s">
        <v>26167</v>
      </c>
      <c r="V12682" s="1" t="s">
        <v>26185</v>
      </c>
      <c r="AR12682" s="1" t="str">
        <f t="shared" si="801"/>
        <v>| [ㄧㄤˊ](ㄧㄤˊ.md) | [陽](陽.md) |  | yáng | [名]
1.山的南面或水的北面。《玉篇．阜部》：「陽，山南水北也。」《史記．卷一三〇．太史公自序》：「遷生龍門，耕牧河山之陽。」唐．柳宗元〈愚溪詩序〉：「灌水之陽有溪焉，東流入於瀟水。」
2.太陽。如：「朝陽」。《詩經．小雅．湛露》：「湛湛露斯，匪陽不晞。」漢．毛亨．傳：「陽，日也。」《文選．張協．雜詩十首之二》：「浮陽映翠林，迴颰扇綠竹。」
3.人間。與「陰」相對。如：「陽世」、「回陽」。
4.姓。如宋代有陽昌朝。
[形]
1.帶正電的。如：「陽電」、「陽極」、「陽離子」。
2.鮮明的。《詩經．豳風．七月》：「載玄載黃，我朱孔陽，為公子裳。」《文選．陸機．短歌行》：「時無重至，華不再陽。」
3.向陽的。唐．杜甫〈秦州雜詩〉二〇首之一三：「瘦地翻宜粟，陽坡可種瓜。」
4.凸的。如：「陽刻」。《儒林外史》第二一回：「一方陰文圖書，刻牛浦之印；一方陽文，刻『布衣』二字。」
[副]
偽裝、表面上。通「佯」。如：「陽奉陰違」。《韓非子．說難》：「所說陰為厚利而顯為名高者也，而說之以名高，則陽收其身，而實疏之。」《漢書．卷一．高帝紀上》：「陽尊懷王為義帝，實不用其命。」 |</v>
      </c>
    </row>
    <row r="12683" spans="1:44" hidden="1">
      <c r="A12683" s="1" t="s">
        <v>26186</v>
      </c>
      <c r="C12683" s="1">
        <v>1</v>
      </c>
      <c r="D12683" s="1" t="str">
        <f>"11143"</f>
        <v>11143</v>
      </c>
      <c r="E12683" s="1" t="s">
        <v>336</v>
      </c>
      <c r="F12683" s="1">
        <v>13</v>
      </c>
      <c r="G12683" s="1">
        <v>9</v>
      </c>
      <c r="H12683" s="1">
        <v>2</v>
      </c>
      <c r="I12683" s="1" t="s">
        <v>26166</v>
      </c>
      <c r="K12683" s="1" t="str">
        <f t="shared" si="799"/>
        <v>ㄧ</v>
      </c>
      <c r="L12683" s="1" t="str">
        <f t="shared" si="800"/>
        <v>ㄤ</v>
      </c>
      <c r="N12683" s="3" t="s">
        <v>30575</v>
      </c>
      <c r="O12683" s="3"/>
      <c r="P12683" s="1" t="s">
        <v>20</v>
      </c>
      <c r="R12683" s="1" t="s">
        <v>26167</v>
      </c>
      <c r="V12683" s="1" t="s">
        <v>26187</v>
      </c>
      <c r="W12683" s="1" t="s">
        <v>26188</v>
      </c>
      <c r="AR12683" s="1" t="str">
        <f t="shared" si="801"/>
        <v>| [ㄧㄤˊ](ㄧㄤˊ.md) | [煬](煬.md) |  | yáng | [動]
鎔化金屬。《集韻．平聲．陽韻》：「煬，爍金。」如：「煬金」、「煬鐵」。 |</v>
      </c>
    </row>
    <row r="12684" spans="1:44" hidden="1">
      <c r="A12684" s="1" t="s">
        <v>20025</v>
      </c>
      <c r="C12684" s="1">
        <v>1</v>
      </c>
      <c r="D12684" s="1" t="str">
        <f>"11144"</f>
        <v>11144</v>
      </c>
      <c r="E12684" s="1" t="s">
        <v>142</v>
      </c>
      <c r="F12684" s="1">
        <v>13</v>
      </c>
      <c r="G12684" s="1">
        <v>9</v>
      </c>
      <c r="H12684" s="1">
        <v>2</v>
      </c>
      <c r="I12684" s="1" t="s">
        <v>26166</v>
      </c>
      <c r="K12684" s="1" t="str">
        <f t="shared" si="799"/>
        <v>ㄧ</v>
      </c>
      <c r="L12684" s="1" t="str">
        <f t="shared" si="800"/>
        <v>ㄤ</v>
      </c>
      <c r="N12684" s="3" t="s">
        <v>30575</v>
      </c>
      <c r="O12684" s="3"/>
      <c r="P12684" s="1" t="s">
        <v>110</v>
      </c>
      <c r="R12684" s="1" t="s">
        <v>26167</v>
      </c>
      <c r="V12684" s="1" t="s">
        <v>111</v>
      </c>
      <c r="W12684" s="1" t="s">
        <v>26189</v>
      </c>
      <c r="AR12684" s="1" t="str">
        <f t="shared" si="801"/>
        <v>| [ㄧㄤˊ](ㄧㄤˊ.md) | [瑒](瑒.md) |  | yáng | (一)之又音。 |</v>
      </c>
    </row>
    <row r="12685" spans="1:44" hidden="1">
      <c r="A12685" s="1" t="s">
        <v>26190</v>
      </c>
      <c r="C12685" s="1">
        <v>1</v>
      </c>
      <c r="D12685" s="1" t="str">
        <f>"11145"</f>
        <v>11145</v>
      </c>
      <c r="E12685" s="1" t="s">
        <v>139</v>
      </c>
      <c r="F12685" s="1">
        <v>13</v>
      </c>
      <c r="G12685" s="1">
        <v>9</v>
      </c>
      <c r="H12685" s="1">
        <v>0</v>
      </c>
      <c r="I12685" s="1" t="s">
        <v>26166</v>
      </c>
      <c r="K12685" s="1" t="str">
        <f t="shared" si="799"/>
        <v>ㄧ</v>
      </c>
      <c r="L12685" s="1" t="str">
        <f t="shared" si="800"/>
        <v>ㄤ</v>
      </c>
      <c r="N12685" s="3" t="s">
        <v>30575</v>
      </c>
      <c r="O12685" s="3"/>
      <c r="P12685" s="1" t="s">
        <v>20</v>
      </c>
      <c r="R12685" s="1" t="s">
        <v>26167</v>
      </c>
      <c r="V12685" s="1" t="s">
        <v>26191</v>
      </c>
      <c r="AR12685" s="1" t="str">
        <f t="shared" si="801"/>
        <v>| [ㄧㄤˊ](ㄧㄤˊ.md) | [楊](楊.md) |  | yáng | [名]
1.楊柳科楊屬喬木的統稱。與柳相似，枝條上挺，種子有白絮。種類很多，有銀白楊、毛白楊等。
2.戰國時代楊朱及其學派的簡稱。《孟子．滕文公下》：「天下之言，不歸楊則歸墨。」
3.姓。如漢代有楊震。 |</v>
      </c>
    </row>
    <row r="12686" spans="1:44" hidden="1">
      <c r="A12686" s="1" t="s">
        <v>26192</v>
      </c>
      <c r="C12686" s="1">
        <v>1</v>
      </c>
      <c r="D12686" s="1" t="str">
        <f>"11146"</f>
        <v>11146</v>
      </c>
      <c r="E12686" s="1" t="s">
        <v>646</v>
      </c>
      <c r="F12686" s="1">
        <v>13</v>
      </c>
      <c r="G12686" s="1">
        <v>9</v>
      </c>
      <c r="H12686" s="1">
        <v>0</v>
      </c>
      <c r="I12686" s="1" t="s">
        <v>26166</v>
      </c>
      <c r="K12686" s="1" t="str">
        <f t="shared" si="799"/>
        <v>ㄧ</v>
      </c>
      <c r="L12686" s="1" t="str">
        <f t="shared" si="800"/>
        <v>ㄤ</v>
      </c>
      <c r="N12686" s="3" t="s">
        <v>30575</v>
      </c>
      <c r="O12686" s="3"/>
      <c r="P12686" s="1" t="s">
        <v>20</v>
      </c>
      <c r="R12686" s="1" t="s">
        <v>26167</v>
      </c>
      <c r="V12686" s="1" t="s">
        <v>26193</v>
      </c>
      <c r="AR12686" s="1" t="str">
        <f t="shared" si="801"/>
        <v>| [ㄧㄤˊ](ㄧㄤˊ.md) | [暘](暘.md) |  | yáng | [動]
日出。《說文解字．日部》：「暘，日出也。」
[名]
晴天。《書經．洪範》：「曰雨曰暘，曰燠曰寒。」明．徐光啟《農政全書．卷一六．水利．浙江水利》：「而青海周官海之流，亦罔瀦蓄，以故一遇恆暘，赤地千里，而莫之救也。」 |</v>
      </c>
    </row>
    <row r="12687" spans="1:44" hidden="1">
      <c r="A12687" s="1" t="s">
        <v>26194</v>
      </c>
      <c r="C12687" s="1">
        <v>1</v>
      </c>
      <c r="D12687" s="1" t="str">
        <f>"11147"</f>
        <v>11147</v>
      </c>
      <c r="E12687" s="1" t="s">
        <v>40</v>
      </c>
      <c r="F12687" s="1">
        <v>14</v>
      </c>
      <c r="G12687" s="1">
        <v>9</v>
      </c>
      <c r="H12687" s="1">
        <v>0</v>
      </c>
      <c r="I12687" s="1" t="s">
        <v>26166</v>
      </c>
      <c r="K12687" s="1" t="str">
        <f t="shared" si="799"/>
        <v>ㄧ</v>
      </c>
      <c r="L12687" s="1" t="str">
        <f t="shared" si="800"/>
        <v>ㄤ</v>
      </c>
      <c r="N12687" s="3" t="s">
        <v>30575</v>
      </c>
      <c r="O12687" s="3"/>
      <c r="P12687" s="1" t="s">
        <v>20</v>
      </c>
      <c r="R12687" s="1" t="s">
        <v>26167</v>
      </c>
      <c r="V12687" s="1" t="s">
        <v>26195</v>
      </c>
      <c r="AR12687" s="1" t="str">
        <f t="shared" si="801"/>
        <v>| [ㄧㄤˊ](ㄧㄤˊ.md) | [瘍](瘍.md) |  | yáng | [名]
1.瘡。如：「腫瘍」。《禮記．曲禮上》：「頭有創則沐，身有瘍則浴。」
2.參見「潰瘍」條。 |</v>
      </c>
    </row>
    <row r="12688" spans="1:44" hidden="1">
      <c r="A12688" s="1" t="s">
        <v>26196</v>
      </c>
      <c r="C12688" s="1">
        <v>1</v>
      </c>
      <c r="D12688" s="1" t="str">
        <f>"11148"</f>
        <v>11148</v>
      </c>
      <c r="E12688" s="1" t="s">
        <v>825</v>
      </c>
      <c r="F12688" s="1">
        <v>14</v>
      </c>
      <c r="G12688" s="1">
        <v>9</v>
      </c>
      <c r="H12688" s="1">
        <v>0</v>
      </c>
      <c r="I12688" s="1" t="s">
        <v>26166</v>
      </c>
      <c r="K12688" s="1" t="str">
        <f t="shared" si="799"/>
        <v>ㄧ</v>
      </c>
      <c r="L12688" s="1" t="str">
        <f t="shared" si="800"/>
        <v>ㄤ</v>
      </c>
      <c r="N12688" s="3" t="s">
        <v>30575</v>
      </c>
      <c r="O12688" s="3"/>
      <c r="P12688" s="1" t="s">
        <v>20</v>
      </c>
      <c r="R12688" s="1" t="s">
        <v>26167</v>
      </c>
      <c r="V12688" s="1" t="s">
        <v>26197</v>
      </c>
      <c r="AR12688" s="1" t="str">
        <f t="shared" si="801"/>
        <v>| [ㄧㄤˊ](ㄧㄤˊ.md) | [禓](禓.md) |  | yáng | [動]
在路旁祭祀無主之鬼。《說文解字．示部》：「禓，道上祭。」《禮記．郊特牲》：「鄉人禓，孔子朝服立于阼，存室神也。」 |</v>
      </c>
    </row>
    <row r="12689" spans="1:44" hidden="1">
      <c r="A12689" s="1" t="s">
        <v>26198</v>
      </c>
      <c r="C12689" s="1">
        <v>1</v>
      </c>
      <c r="D12689" s="1" t="str">
        <f>"11149"</f>
        <v>11149</v>
      </c>
      <c r="E12689" s="1" t="s">
        <v>55</v>
      </c>
      <c r="F12689" s="1">
        <v>17</v>
      </c>
      <c r="G12689" s="1">
        <v>9</v>
      </c>
      <c r="H12689" s="1">
        <v>0</v>
      </c>
      <c r="I12689" s="1" t="s">
        <v>26166</v>
      </c>
      <c r="K12689" s="1" t="str">
        <f t="shared" si="799"/>
        <v>ㄧ</v>
      </c>
      <c r="L12689" s="1" t="str">
        <f t="shared" si="800"/>
        <v>ㄤ</v>
      </c>
      <c r="N12689" s="3" t="s">
        <v>30575</v>
      </c>
      <c r="O12689" s="3"/>
      <c r="P12689" s="1" t="s">
        <v>20</v>
      </c>
      <c r="R12689" s="1" t="s">
        <v>26167</v>
      </c>
      <c r="V12689" s="1" t="s">
        <v>26199</v>
      </c>
      <c r="AR12689" s="1" t="str">
        <f t="shared" si="801"/>
        <v>| [ㄧㄤˊ](ㄧㄤˊ.md) | [鍚](鍚.md) |  | yáng | [名]
1.馬額上的金屬飾物，行動時會發出聲響。《左傳．桓公二年》：「鍚鸞和鈴，昭其聲也。」晉．杜預．注：「鍚，在馬額。」
2.盾背上的金屬飾物。《禮記．郊特牲》：「朱干設鍚，冕而舞大武，乘大路，諸侯之僭禮也。」漢．鄭玄．注：「干，盾也；鍚，傅其背如龜也。」 |</v>
      </c>
    </row>
    <row r="12690" spans="1:44" hidden="1">
      <c r="A12690" s="1" t="s">
        <v>26200</v>
      </c>
      <c r="C12690" s="1">
        <v>1</v>
      </c>
      <c r="D12690" s="1" t="str">
        <f>"11150"</f>
        <v>11150</v>
      </c>
      <c r="E12690" s="1" t="s">
        <v>1161</v>
      </c>
      <c r="F12690" s="1">
        <v>18</v>
      </c>
      <c r="G12690" s="1">
        <v>9</v>
      </c>
      <c r="H12690" s="1">
        <v>0</v>
      </c>
      <c r="I12690" s="1" t="s">
        <v>26166</v>
      </c>
      <c r="K12690" s="1" t="str">
        <f t="shared" si="799"/>
        <v>ㄧ</v>
      </c>
      <c r="L12690" s="1" t="str">
        <f t="shared" si="800"/>
        <v>ㄤ</v>
      </c>
      <c r="N12690" s="3" t="s">
        <v>30575</v>
      </c>
      <c r="O12690" s="3"/>
      <c r="P12690" s="1" t="s">
        <v>20</v>
      </c>
      <c r="R12690" s="1" t="s">
        <v>26167</v>
      </c>
      <c r="V12690" s="1" t="s">
        <v>26201</v>
      </c>
      <c r="AR12690" s="1" t="str">
        <f t="shared" si="801"/>
        <v>| [ㄧㄤˊ](ㄧㄤˊ.md) | [颺](颺.md) |  | yáng | [動]
1.風吹。《說文解字．風部》：「颺，風所飛揚也。」唐．許渾〈送客歸峽中〉詩：「江風颺帆急，山月下樓遲。」
2.高飛。如：「高颺」、「遠颺」。《後漢書．卷七五．呂布傳》：「譬如養鷹，飢即為用，飽則颺去。」
3.顯揚。通「揚」。《左傳．昭公二十八年》：「今子少颺，子若無言，吾幾失子矣。」宋．蘇軾〈南安軍學記〉：「故使樂工採其謳謠諷議之言，而颺之以觀其心。」
4.簸揚，去除穀物的外皮。通「揚」。《晉書．卷五六．孫楚傳》：「簸之颺之，糠秕在前。」
5.拋、丟。《五燈會元．卷一九．東山覺禪師》：「颺下屠刀，立地成佛。」《聊齋志異．卷一．瞳人語》：「言已，掬轍土颺生。」 |</v>
      </c>
    </row>
    <row r="12691" spans="1:44" hidden="1">
      <c r="A12691" s="1" t="s">
        <v>24695</v>
      </c>
      <c r="C12691" s="1">
        <v>1</v>
      </c>
      <c r="D12691" s="1" t="str">
        <f>"11151"</f>
        <v>11151</v>
      </c>
      <c r="E12691" s="1" t="s">
        <v>2954</v>
      </c>
      <c r="F12691" s="1">
        <v>4</v>
      </c>
      <c r="G12691" s="1">
        <v>2</v>
      </c>
      <c r="H12691" s="1">
        <v>2</v>
      </c>
      <c r="I12691" s="1" t="s">
        <v>26202</v>
      </c>
      <c r="K12691" s="1" t="str">
        <f t="shared" si="799"/>
        <v>ㄧ</v>
      </c>
      <c r="L12691" s="1" t="str">
        <f t="shared" si="800"/>
        <v>ㄤ</v>
      </c>
      <c r="N12691" s="3" t="s">
        <v>30576</v>
      </c>
      <c r="O12691" s="3"/>
      <c r="P12691" s="1" t="s">
        <v>20</v>
      </c>
      <c r="R12691" s="1" t="s">
        <v>26203</v>
      </c>
      <c r="V12691" s="1" t="s">
        <v>26204</v>
      </c>
      <c r="W12691" s="1" t="s">
        <v>26205</v>
      </c>
      <c r="AR12691" s="1" t="str">
        <f t="shared" si="801"/>
        <v>| [ㄧㄤˇ](ㄧㄤˇ.md) | [卬](卬.md) |  | yǎng | [動]
1.仰仗。《說文解字．匕部》：「卬，望也，欲有所庶及也。」《荀子．議兵》：「上足卬則下可用也，上不卬則下不可用也。」
2.仰慕、仰望。通「仰」。《詩經．大雅．雲漢》：「瞻卬昊天，云如何里？」《楚辭．宋玉．九辯》：「卬明月而太息兮，步列星而極明。」
3.向上。《漢書．卷四九．鼂錯傳》：「雖然，兵，凶器也；戰，危事也。以大為小，以彊為弱，在俛卬之間耳。」 |</v>
      </c>
    </row>
    <row r="12692" spans="1:44" hidden="1">
      <c r="A12692" s="1" t="s">
        <v>26206</v>
      </c>
      <c r="C12692" s="1">
        <v>1</v>
      </c>
      <c r="D12692" s="1" t="str">
        <f>"11152"</f>
        <v>11152</v>
      </c>
      <c r="E12692" s="1" t="s">
        <v>114</v>
      </c>
      <c r="F12692" s="1">
        <v>6</v>
      </c>
      <c r="G12692" s="1">
        <v>4</v>
      </c>
      <c r="H12692" s="1">
        <v>0</v>
      </c>
      <c r="I12692" s="1" t="s">
        <v>26202</v>
      </c>
      <c r="K12692" s="1" t="str">
        <f t="shared" si="799"/>
        <v>ㄧ</v>
      </c>
      <c r="L12692" s="1" t="str">
        <f t="shared" si="800"/>
        <v>ㄤ</v>
      </c>
      <c r="N12692" s="3" t="s">
        <v>30576</v>
      </c>
      <c r="O12692" s="3"/>
      <c r="P12692" s="1" t="s">
        <v>20</v>
      </c>
      <c r="R12692" s="1" t="s">
        <v>26203</v>
      </c>
      <c r="V12692" s="1" t="s">
        <v>26207</v>
      </c>
      <c r="AR12692" s="1" t="str">
        <f t="shared" si="801"/>
        <v>| [ㄧㄤˇ](ㄧㄤˇ.md) | [仰](仰.md) |  | yǎng | [動]
1.抬頭。唐．韋應物〈郡齋雨中與諸文士燕集〉詩：「俯飲一杯酒，仰聆金玉章。」宋．岳飛〈滿江紅．怒髮衝冠〉詞：「抬望眼、仰天長嘯，壯懷激烈。」
2.朝上、向上。《淮南子．天文》：「冬日至則陽乘陰，是以萬物仰而生。」
3.敬慕。如：「敬仰」、「景仰」。《儒林外史》第九回：「如今若救出楊先生來，這一鎮的人，誰不感仰。」
4.舊時公文用語。上行文中置於懇、祈、請之前，表示尊敬，如：「仰懇鑒察」；下行文中，表示命令，如：「令仰遵照」。《通俗編．政治》引孔平仲《談苑》：「今公家文移，以上臨下，皆用仰字。」
5.依賴。如：「仰仗」、「仰賴」。《後漢書．卷一六．鄧禹傳》：「今吾眾雖多，能戰者少，前無可仰之積，後無轉饋之資。」
[名]
姓。如宋代有仰忻。 |</v>
      </c>
    </row>
    <row r="12693" spans="1:44" hidden="1">
      <c r="A12693" s="1" t="s">
        <v>26208</v>
      </c>
      <c r="C12693" s="1">
        <v>1</v>
      </c>
      <c r="D12693" s="1" t="str">
        <f>"11153"</f>
        <v>11153</v>
      </c>
      <c r="E12693" s="1" t="s">
        <v>132</v>
      </c>
      <c r="F12693" s="1">
        <v>8</v>
      </c>
      <c r="G12693" s="1">
        <v>5</v>
      </c>
      <c r="H12693" s="1">
        <v>0</v>
      </c>
      <c r="I12693" s="1" t="s">
        <v>26202</v>
      </c>
      <c r="K12693" s="1" t="str">
        <f t="shared" si="799"/>
        <v>ㄧ</v>
      </c>
      <c r="L12693" s="1" t="str">
        <f t="shared" si="800"/>
        <v>ㄤ</v>
      </c>
      <c r="N12693" s="3" t="s">
        <v>30576</v>
      </c>
      <c r="O12693" s="3"/>
      <c r="P12693" s="1" t="s">
        <v>20</v>
      </c>
      <c r="R12693" s="1" t="s">
        <v>26203</v>
      </c>
      <c r="V12693" s="1" t="s">
        <v>26209</v>
      </c>
      <c r="AR12693" s="1" t="str">
        <f t="shared" si="801"/>
        <v>| [ㄧㄤˇ](ㄧㄤˇ.md) | [坱](坱.md) |  | yǎng | [名]
塵埃。《說文解字．土部》：「坱，塵埃也。」唐．柳宗元〈法華寺石門精舍三十韻〉：「潛軀委韁鎖，高步謝塵坱。」
[副]
廣大而充滿的樣子。宋．朱熹〈仁說〉：「此心何心也？在天地則坱然生物之心，在人則溫然愛人利物之心。」 |</v>
      </c>
    </row>
    <row r="12694" spans="1:44" hidden="1">
      <c r="A12694" s="1" t="s">
        <v>26161</v>
      </c>
      <c r="C12694" s="1">
        <v>1</v>
      </c>
      <c r="D12694" s="1" t="str">
        <f>"11154"</f>
        <v>11154</v>
      </c>
      <c r="E12694" s="1" t="s">
        <v>96</v>
      </c>
      <c r="F12694" s="1">
        <v>14</v>
      </c>
      <c r="G12694" s="1">
        <v>5</v>
      </c>
      <c r="H12694" s="1">
        <v>2</v>
      </c>
      <c r="I12694" s="1" t="s">
        <v>26202</v>
      </c>
      <c r="K12694" s="1" t="str">
        <f t="shared" si="799"/>
        <v>ㄧ</v>
      </c>
      <c r="L12694" s="1" t="str">
        <f t="shared" si="800"/>
        <v>ㄤ</v>
      </c>
      <c r="N12694" s="3" t="s">
        <v>30576</v>
      </c>
      <c r="O12694" s="3"/>
      <c r="P12694" s="1" t="s">
        <v>110</v>
      </c>
      <c r="R12694" s="1" t="s">
        <v>26203</v>
      </c>
      <c r="V12694" s="1" t="s">
        <v>111</v>
      </c>
      <c r="W12694" s="1" t="s">
        <v>26210</v>
      </c>
      <c r="AR12694" s="1" t="str">
        <f t="shared" si="801"/>
        <v>| [ㄧㄤˇ](ㄧㄤˇ.md) | [鞅](鞅.md) |  | yǎng | (一)之又音。 |</v>
      </c>
    </row>
    <row r="12695" spans="1:44" hidden="1">
      <c r="A12695" s="1" t="s">
        <v>26211</v>
      </c>
      <c r="C12695" s="1">
        <v>1</v>
      </c>
      <c r="D12695" s="1" t="str">
        <f>"11155"</f>
        <v>11155</v>
      </c>
      <c r="E12695" s="1" t="s">
        <v>2228</v>
      </c>
      <c r="F12695" s="1">
        <v>10</v>
      </c>
      <c r="G12695" s="1">
        <v>6</v>
      </c>
      <c r="H12695" s="1">
        <v>0</v>
      </c>
      <c r="I12695" s="1" t="s">
        <v>26202</v>
      </c>
      <c r="K12695" s="1" t="str">
        <f t="shared" si="799"/>
        <v>ㄧ</v>
      </c>
      <c r="L12695" s="1" t="str">
        <f t="shared" si="800"/>
        <v>ㄤ</v>
      </c>
      <c r="N12695" s="3" t="s">
        <v>30576</v>
      </c>
      <c r="O12695" s="3"/>
      <c r="P12695" s="1" t="s">
        <v>20</v>
      </c>
      <c r="R12695" s="1" t="s">
        <v>26203</v>
      </c>
      <c r="V12695" s="1" t="s">
        <v>26212</v>
      </c>
      <c r="AR12695" s="1" t="str">
        <f t="shared" si="801"/>
        <v>| [ㄧㄤˇ](ㄧㄤˇ.md) | [氧](氧.md) |  | yǎng | [名]
（oxygen，O）化學元素。原子序8。非金屬元素之一。天然存於空氣中，為無色、無味之氣體。性助燃，易與他物化合，為動物呼吸不可或缺的氣體。俗稱為「氧氣」。 |</v>
      </c>
    </row>
    <row r="12696" spans="1:44" hidden="1">
      <c r="A12696" s="1" t="s">
        <v>26213</v>
      </c>
      <c r="C12696" s="1">
        <v>1</v>
      </c>
      <c r="D12696" s="1" t="str">
        <f>"11156"</f>
        <v>11156</v>
      </c>
      <c r="E12696" s="1" t="s">
        <v>193</v>
      </c>
      <c r="F12696" s="1">
        <v>15</v>
      </c>
      <c r="G12696" s="1">
        <v>6</v>
      </c>
      <c r="H12696" s="1">
        <v>1</v>
      </c>
      <c r="I12696" s="1" t="s">
        <v>26202</v>
      </c>
      <c r="K12696" s="1" t="str">
        <f t="shared" si="799"/>
        <v>ㄧ</v>
      </c>
      <c r="L12696" s="1" t="str">
        <f t="shared" si="800"/>
        <v>ㄤ</v>
      </c>
      <c r="N12696" s="3" t="s">
        <v>30576</v>
      </c>
      <c r="O12696" s="3"/>
      <c r="P12696" s="1" t="s">
        <v>20</v>
      </c>
      <c r="R12696" s="1" t="s">
        <v>26203</v>
      </c>
      <c r="V12696" s="1" t="s">
        <v>26214</v>
      </c>
      <c r="W12696" s="1" t="s">
        <v>26215</v>
      </c>
      <c r="AR12696" s="1" t="str">
        <f t="shared" si="801"/>
        <v>| [ㄧㄤˇ](ㄧㄤˇ.md) | [養](養.md) |  | yǎng | [動]
1.撫育、照顧。如：「撫養」、「養民」。《禮記．大學》：「未有學養子，而後嫁者也。」《史記．卷一一二．平津侯主父列傳．主父偃》：「百姓靡敝，孤寡老弱不能相養。」
2.生育。如：「養子不教誰之過。」
3.指哺乳。如：「哺養」。
4.經收養、扶養或相認構成的非親生親子關係。如：「養子」、「養女」、「養父」、「養母」。
5.教導、教育。《周禮．地官．保氏》：「保氏掌諫王惡，而養國子以道，乃教之六藝。」《孟子．離婁下》：「中也養不中，才也養不才，故人樂有賢父兄也。」《漢書．卷八八．儒林傳．序》：「或言孔子布衣，養徒三千人。」
6.陶冶、薰陶。如：「修養品德」、「修身養性」。《孟子．盡心下》：「養心莫善於寡欲。」
7.治療、醫治。如：「調養」、「養病」、「療養」。《儒林外史》第五回：「再折些須銀子給他養那打壞了的腿。」
8.增加、助長。《左傳．昭公二十年》：「私欲養求，不給則應。」唐．孔穎達．正義：「私有所欲，長養其情，求物共之，民不共給，則應之以罪。」
9.保養、保持。如：「養顏」、「頤養天年」、「養精蓄銳」。
10.培植、飼養。如：「養蘭」、「養雞」、「養殖」。《周禮．夏官．圉人》：「圉人，當養馬芻牧之事。」
[名]
1.修養、涵養。如：「學養」、「素養」。
2.姓。如春秋時楚國有養由基。 |</v>
      </c>
    </row>
    <row r="12697" spans="1:44" hidden="1">
      <c r="A12697" s="1" t="s">
        <v>26216</v>
      </c>
      <c r="C12697" s="1">
        <v>1</v>
      </c>
      <c r="D12697" s="1" t="str">
        <f>"11157"</f>
        <v>11157</v>
      </c>
      <c r="E12697" s="1" t="s">
        <v>129</v>
      </c>
      <c r="F12697" s="1">
        <v>18</v>
      </c>
      <c r="G12697" s="1">
        <v>15</v>
      </c>
      <c r="H12697" s="1">
        <v>2</v>
      </c>
      <c r="I12697" s="1" t="s">
        <v>26202</v>
      </c>
      <c r="K12697" s="1" t="str">
        <f t="shared" si="799"/>
        <v>ㄧ</v>
      </c>
      <c r="L12697" s="1" t="str">
        <f t="shared" si="800"/>
        <v>ㄤ</v>
      </c>
      <c r="N12697" s="3" t="s">
        <v>30576</v>
      </c>
      <c r="O12697" s="3"/>
      <c r="P12697" s="1" t="s">
        <v>110</v>
      </c>
      <c r="R12697" s="1" t="s">
        <v>26203</v>
      </c>
      <c r="V12697" s="1" t="s">
        <v>111</v>
      </c>
      <c r="W12697" s="1" t="s">
        <v>26217</v>
      </c>
      <c r="AR12697" s="1" t="str">
        <f t="shared" si="801"/>
        <v>| [ㄧㄤˇ](ㄧㄤˇ.md) | [瀁](瀁.md) |  | yǎng | (一)之又音。 |</v>
      </c>
    </row>
    <row r="12698" spans="1:44" hidden="1">
      <c r="A12698" s="1" t="s">
        <v>26218</v>
      </c>
      <c r="C12698" s="1">
        <v>1</v>
      </c>
      <c r="D12698" s="1" t="str">
        <f>"11158"</f>
        <v>11158</v>
      </c>
      <c r="E12698" s="1" t="s">
        <v>40</v>
      </c>
      <c r="F12698" s="1">
        <v>20</v>
      </c>
      <c r="G12698" s="1">
        <v>15</v>
      </c>
      <c r="H12698" s="1">
        <v>0</v>
      </c>
      <c r="I12698" s="1" t="s">
        <v>26202</v>
      </c>
      <c r="K12698" s="1" t="str">
        <f t="shared" si="799"/>
        <v>ㄧ</v>
      </c>
      <c r="L12698" s="1" t="str">
        <f t="shared" si="800"/>
        <v>ㄤ</v>
      </c>
      <c r="N12698" s="3" t="s">
        <v>30576</v>
      </c>
      <c r="O12698" s="3"/>
      <c r="P12698" s="1" t="s">
        <v>20</v>
      </c>
      <c r="R12698" s="1" t="s">
        <v>26203</v>
      </c>
      <c r="V12698" s="1" t="s">
        <v>26219</v>
      </c>
      <c r="AR12698" s="1" t="str">
        <f t="shared" si="801"/>
        <v>| [ㄧㄤˇ](ㄧㄤˇ.md) | [癢](癢.md) |  | yǎng | [名]
皮膚受到刺激而產生需要抓搔的感覺。如：「隔靴搔癢」。《禮記．內則》：「寒不敢襲，癢不敢搔。」 |</v>
      </c>
    </row>
    <row r="12699" spans="1:44" hidden="1">
      <c r="A12699" s="1" t="s">
        <v>26280</v>
      </c>
      <c r="C12699" s="1">
        <v>1</v>
      </c>
      <c r="D12699" s="1" t="str">
        <f>"11212"</f>
        <v>11212</v>
      </c>
      <c r="E12699" s="1" t="s">
        <v>558</v>
      </c>
      <c r="F12699" s="1">
        <v>8</v>
      </c>
      <c r="G12699" s="1">
        <v>4</v>
      </c>
      <c r="H12699" s="1">
        <v>2</v>
      </c>
      <c r="I12699" s="1" t="s">
        <v>26335</v>
      </c>
      <c r="K12699" s="1" t="str">
        <f t="shared" si="799"/>
        <v>ㄧ</v>
      </c>
      <c r="L12699" s="1" t="str">
        <f t="shared" si="800"/>
        <v>ㄥ</v>
      </c>
      <c r="N12699" s="3" t="s">
        <v>30574</v>
      </c>
      <c r="O12699" s="3"/>
      <c r="P12699" s="1" t="s">
        <v>20</v>
      </c>
      <c r="R12699" s="1" t="s">
        <v>26336</v>
      </c>
      <c r="V12699" s="1" t="s">
        <v>26337</v>
      </c>
      <c r="W12699" s="1" t="s">
        <v>26338</v>
      </c>
      <c r="AR12699" s="1" t="str">
        <f t="shared" si="801"/>
        <v>| [ㄧㄥˋ](ㄧㄥˋ.md) | [迎](迎.md) |  | yìng | [動]
對方尚未到達而親自前往迎接。《詩經．大雅．大明》：「文定厥祥，親迎于渭。」晉．干寶《搜神記》卷一一：「昔縣人陳明，與梅氏為婚，未成而妖魅詐迎婦去。」 |</v>
      </c>
    </row>
    <row r="12700" spans="1:44" hidden="1">
      <c r="A12700" s="1" t="s">
        <v>26339</v>
      </c>
      <c r="C12700" s="1">
        <v>1</v>
      </c>
      <c r="D12700" s="1" t="str">
        <f>"11213"</f>
        <v>11213</v>
      </c>
      <c r="E12700" s="1" t="s">
        <v>646</v>
      </c>
      <c r="F12700" s="1">
        <v>9</v>
      </c>
      <c r="G12700" s="1">
        <v>5</v>
      </c>
      <c r="H12700" s="1">
        <v>0</v>
      </c>
      <c r="I12700" s="1" t="s">
        <v>26335</v>
      </c>
      <c r="K12700" s="1" t="str">
        <f t="shared" si="799"/>
        <v>ㄧ</v>
      </c>
      <c r="L12700" s="1" t="str">
        <f t="shared" si="800"/>
        <v>ㄥ</v>
      </c>
      <c r="N12700" s="3" t="s">
        <v>30574</v>
      </c>
      <c r="O12700" s="3"/>
      <c r="P12700" s="1" t="s">
        <v>20</v>
      </c>
      <c r="R12700" s="1" t="s">
        <v>26336</v>
      </c>
      <c r="V12700" s="1" t="s">
        <v>26340</v>
      </c>
      <c r="AR12700" s="1" t="str">
        <f t="shared" si="801"/>
        <v>| [ㄧㄥˋ](ㄧㄥˋ.md) | [映](映.md) |  | yìng | [動]
1.照射。南朝宋．謝靈運〈夜發石關亭〉詩：「亭亭曉月映，泠泠朝露滴。」《南史．卷一二．后妃傳下．陳後主沈皇后傳》：「每瞻視眄睞，光彩溢目，照映左右。」
2.光線照在物體反射出來。如：「倒映」。北周．庾信〈詠畫屏風詩〉二五首之五：「狹石分花逕，長橋映水門。」宋．陸游〈東湖新竹〉詩：「插棘編籬謹護持，養成寒碧映淪漪。」
[名]
日光、光影。南朝梁．任昉〈落日泛舟東谿〉詩：「交柯溪易陰，反景澄餘映。」 |</v>
      </c>
    </row>
    <row r="12701" spans="1:44" hidden="1">
      <c r="A12701" s="1" t="s">
        <v>26341</v>
      </c>
      <c r="C12701" s="1">
        <v>1</v>
      </c>
      <c r="D12701" s="1" t="str">
        <f>"11214"</f>
        <v>11214</v>
      </c>
      <c r="E12701" s="1" t="s">
        <v>169</v>
      </c>
      <c r="F12701" s="1">
        <v>12</v>
      </c>
      <c r="G12701" s="1">
        <v>7</v>
      </c>
      <c r="H12701" s="1">
        <v>0</v>
      </c>
      <c r="I12701" s="1" t="s">
        <v>26335</v>
      </c>
      <c r="K12701" s="1" t="str">
        <f t="shared" si="799"/>
        <v>ㄧ</v>
      </c>
      <c r="L12701" s="1" t="str">
        <f t="shared" si="800"/>
        <v>ㄥ</v>
      </c>
      <c r="N12701" s="3" t="s">
        <v>30574</v>
      </c>
      <c r="O12701" s="3"/>
      <c r="P12701" s="1" t="s">
        <v>20</v>
      </c>
      <c r="R12701" s="1" t="s">
        <v>26336</v>
      </c>
      <c r="V12701" s="1" t="s">
        <v>26342</v>
      </c>
      <c r="AR12701" s="1" t="str">
        <f t="shared" si="801"/>
        <v>| [ㄧㄥˋ](ㄧㄥˋ.md) | [硬](硬.md) |  | yìng | [形]
1.物體組織緊密，性質堅固。相對於「軟」。唐．韓愈〈贈劉師服〉詩：「羨君齒牙牢且潔，大肉硬餅如刀截。」唐．白居易〈新樂府．紅線毯〉：「太原毯澀毳縷硬，蜀都褥薄錦花冷。」
2.剛強、強硬。如：「硬漢」、「硬作風」。《水滸傳》第二四回：「武松是個硬心直漢，卻不見怪。」《文明小史》第一二回：「他自己以為是總督大人派出來的，腰把子是硬的，武昌城裡任你是誰，總得讓他三分。」
3.不自然、不靈活。如：「生硬」。《老殘遊記》第一五回：「縣裡次日一清早，帶回仵作下鄉一一相驗，沒有一個受傷的人，骨節不硬，皮膚不發青紫，既非殺傷，又非服毒。」
4.人的能力強或事物的內容完好、紮實。如：「硬底子」、「硬戲碼」。
[副]
勉強、不顧一切。如：「生搬硬套」、「硬把他拖了來。」《儒林外史》第六回：「兒子是他的，須要他自己情願，我們如何硬作主！」 |</v>
      </c>
    </row>
    <row r="12702" spans="1:44" hidden="1">
      <c r="A12702" s="1" t="s">
        <v>26343</v>
      </c>
      <c r="C12702" s="1">
        <v>1</v>
      </c>
      <c r="D12702" s="1" t="str">
        <f>"11215"</f>
        <v>11215</v>
      </c>
      <c r="E12702" s="1" t="s">
        <v>534</v>
      </c>
      <c r="F12702" s="1">
        <v>13</v>
      </c>
      <c r="G12702" s="1">
        <v>10</v>
      </c>
      <c r="H12702" s="1">
        <v>0</v>
      </c>
      <c r="I12702" s="1" t="s">
        <v>26335</v>
      </c>
      <c r="K12702" s="1" t="str">
        <f t="shared" si="799"/>
        <v>ㄧ</v>
      </c>
      <c r="L12702" s="1" t="str">
        <f t="shared" si="800"/>
        <v>ㄥ</v>
      </c>
      <c r="N12702" s="3" t="s">
        <v>30574</v>
      </c>
      <c r="O12702" s="3"/>
      <c r="P12702" s="1" t="s">
        <v>20</v>
      </c>
      <c r="R12702" s="1" t="s">
        <v>26336</v>
      </c>
      <c r="V12702" s="1" t="s">
        <v>26344</v>
      </c>
      <c r="AR12702" s="1" t="str">
        <f t="shared" si="801"/>
        <v>| [ㄧㄥˋ](ㄧㄥˋ.md) | [媵](媵.md) |  | yìng | [名]
1.古代陪送出嫁的女子和男子。《儀禮．士昏禮》：「媵御餕。」漢．鄭玄．注：「古者嫁女必姪娣從，謂之媵。姪，兄之子。娣，女弟也。」《韓非子．外儲說左上》：「昔秦伯嫁其女於晉公子，令晉為之飾裝，從文衣之媵七十人。」
2.侍妾。《後漢書．卷二八下．馮衍傳》：「衍娶北地任氏為妻，悍忌，不得蓄媵妾。」
[動]
1.陪嫁、送嫁。《左傳．僖公五年》：「執虞公及其大夫井伯，以媵秦穆姬。」晉．杜預．注：「送女曰媵。」
2.相送。《楚辭．屈原．九歌．河伯》：「波滔滔兮來迎，魚鄰鄰兮媵予。」《後漢書．卷五九．張衡傳》：「迅飆潚其媵我兮，鶩翩飄而不禁。」 |</v>
      </c>
    </row>
    <row r="12703" spans="1:44" hidden="1">
      <c r="A12703" s="1" t="s">
        <v>26254</v>
      </c>
      <c r="C12703" s="1">
        <v>1</v>
      </c>
      <c r="D12703" s="1" t="str">
        <f>"11216"</f>
        <v>11216</v>
      </c>
      <c r="E12703" s="1" t="s">
        <v>250</v>
      </c>
      <c r="F12703" s="1">
        <v>17</v>
      </c>
      <c r="G12703" s="1">
        <v>13</v>
      </c>
      <c r="H12703" s="1">
        <v>2</v>
      </c>
      <c r="I12703" s="1" t="s">
        <v>26335</v>
      </c>
      <c r="K12703" s="1" t="str">
        <f t="shared" si="799"/>
        <v>ㄧ</v>
      </c>
      <c r="L12703" s="1" t="str">
        <f t="shared" si="800"/>
        <v>ㄥ</v>
      </c>
      <c r="N12703" s="3" t="s">
        <v>30574</v>
      </c>
      <c r="O12703" s="3"/>
      <c r="P12703" s="1" t="s">
        <v>20</v>
      </c>
      <c r="R12703" s="1" t="s">
        <v>26336</v>
      </c>
      <c r="V12703" s="1" t="s">
        <v>26345</v>
      </c>
      <c r="W12703" s="1" t="s">
        <v>26346</v>
      </c>
      <c r="AR12703" s="1" t="str">
        <f t="shared" si="801"/>
        <v>| [ㄧㄥˋ](ㄧㄥˋ.md) | [應](應.md) |  | yìng | [動]
1.回答。《後漢書．卷一四．宗室四王三侯傳．齊武王縯傳》：「伯升笑而不應。」《水滸傳》第六回：「由洒家叫喚，沒一個應。」
2.允許、承諾。《樂府詩集．卷七三．雜曲歌辭十三．古辭．焦仲卿妻》：「以我應他人，君還何所望。」《紅樓夢》第九六回：「說是要救寶玉的命，諸事將就，自然應的。」
3.附和。如：「裡應外合」、「同聲相應」。《史記．卷四八．陳涉世家》：「諸郡縣苦秦吏者，皆刑其長吏，殺之以應陳涉。」
4.對付。如：「應世」、「隨機應變」。《莊子．齊物論》：「樞始得其環中，以應無窮。」
5.證實。如：「應驗」。《水滸傳》第三九回：「這四句謠言已都應了。」《紅樓夢》第四九回：「怪道昨兒晚上燈花爆了又爆，結了又結，原來應到今日。」
6.適合。如：「得心應手」。《易經．恆卦．彖曰》：「巽而動，剛柔皆應。」《老殘遊記》第七回：「其實，只要四五個應手的人，已經足用了。」
7.接受。《管子．小匡》：「應公之賜，殺之黃泉，死且不朽。」
[名]
姓。如明代有應元徵。 |</v>
      </c>
    </row>
    <row r="12704" spans="1:44" hidden="1">
      <c r="A12704" s="1" t="s">
        <v>26280</v>
      </c>
      <c r="C12704" s="1">
        <v>1</v>
      </c>
      <c r="D12704" s="1" t="str">
        <f>"11187"</f>
        <v>11187</v>
      </c>
      <c r="E12704" s="1" t="s">
        <v>558</v>
      </c>
      <c r="F12704" s="1">
        <v>8</v>
      </c>
      <c r="G12704" s="1">
        <v>4</v>
      </c>
      <c r="H12704" s="1">
        <v>1</v>
      </c>
      <c r="I12704" s="1" t="s">
        <v>26281</v>
      </c>
      <c r="K12704" s="1" t="str">
        <f t="shared" si="799"/>
        <v>ㄧ</v>
      </c>
      <c r="L12704" s="1" t="str">
        <f t="shared" si="800"/>
        <v>ㄥ</v>
      </c>
      <c r="N12704" s="3" t="s">
        <v>30575</v>
      </c>
      <c r="O12704" s="3"/>
      <c r="P12704" s="1" t="s">
        <v>20</v>
      </c>
      <c r="R12704" s="1" t="s">
        <v>26282</v>
      </c>
      <c r="V12704" s="1" t="s">
        <v>26283</v>
      </c>
      <c r="W12704" s="1" t="s">
        <v>26284</v>
      </c>
      <c r="AR12704" s="1" t="str">
        <f t="shared" si="801"/>
        <v>| [ㄧㄥˊ](ㄧㄥˊ.md) | [迎](迎.md) |  | yíng | [動]
1.接。如：「迎接」、「送往迎來」。《儀禮．士昏禮》：「主人如賓服迎于門外。」宋．王安石〈白溝行〉：「白溝河邊蕃塞地，送迎蕃使年年事。」
2.奉承。如：「逢迎」。《新唐書．卷九六．杜如晦傳》：「懷道及隋時位吏部主事，方煬帝幸江都，群臣迎阿，獨懷道執不可。」
3.朝著、向著。如：「迎面」、「迎風」。唐．李華〈河南府參軍廳壁記〉：「每從容府中，或有異政，雖不吾以，必預咨謀，如川決防，如竹迎刃。」 |</v>
      </c>
    </row>
    <row r="12705" spans="1:44" hidden="1">
      <c r="A12705" s="1" t="s">
        <v>26285</v>
      </c>
      <c r="C12705" s="1">
        <v>1</v>
      </c>
      <c r="D12705" s="1" t="str">
        <f>"11188"</f>
        <v>11188</v>
      </c>
      <c r="E12705" s="1" t="s">
        <v>438</v>
      </c>
      <c r="F12705" s="1">
        <v>9</v>
      </c>
      <c r="G12705" s="1">
        <v>4</v>
      </c>
      <c r="H12705" s="1">
        <v>0</v>
      </c>
      <c r="I12705" s="1" t="s">
        <v>26281</v>
      </c>
      <c r="K12705" s="1" t="str">
        <f t="shared" si="799"/>
        <v>ㄧ</v>
      </c>
      <c r="L12705" s="1" t="str">
        <f t="shared" si="800"/>
        <v>ㄥ</v>
      </c>
      <c r="N12705" s="3" t="s">
        <v>30575</v>
      </c>
      <c r="O12705" s="3"/>
      <c r="P12705" s="1" t="s">
        <v>20</v>
      </c>
      <c r="R12705" s="1" t="s">
        <v>26282</v>
      </c>
      <c r="V12705" s="1" t="s">
        <v>26286</v>
      </c>
      <c r="AR12705" s="1" t="str">
        <f t="shared" si="801"/>
        <v>| [ㄧㄥˊ](ㄧㄥˊ.md) | [盈](盈.md) |  | yíng | [動]
1.充滿。漢．王充《論衡．論死》：「以囊橐盈粟米，米在囊中。」《金史．卷一一六．徒單兀典傳》：「隨軍婦女棄擲幼稚，哀號盈路。」
2.足、滿。《左傳．襄公三十一年》：「且年未盈五十，而諄諄焉如八九十者，弗能久矣。」宋．王安石〈上田正言書〉二首之二：「使天下舉首戴且者，盈其願而退，則後世之書，可勝傳哉？」
3.增加。《史記．卷七九．范雎蔡澤傳》：「進退盈縮，與時變化，聖人之常道也。」《文選．張衡．東京賦》：「土圭測景，不縮不盈。」
[形]
1.過多。通「贏」。《後漢書．卷二四．馬援傳》：「致求盈餘，但自苦耳。」
2.驕傲、自滿。《易經．謙卦．彖曰》：「人道惡盈而好謙。」《抱朴子．外篇．安貧》：「夫藏多者亡厚，好謙者忌盈。」
3.豐富、飽滿。《文選．宋玉．神女賦》：「貌豐盈以莊姝兮，苞溫潤之玉顏。」《西遊記》第四〇回：「霜凋紅葉林林瘦，雨熟黃粱處處盈。」 |</v>
      </c>
    </row>
    <row r="12706" spans="1:44" hidden="1">
      <c r="A12706" s="1" t="s">
        <v>26287</v>
      </c>
      <c r="C12706" s="1">
        <v>1</v>
      </c>
      <c r="D12706" s="1" t="str">
        <f>"11189"</f>
        <v>11189</v>
      </c>
      <c r="E12706" s="1" t="s">
        <v>139</v>
      </c>
      <c r="F12706" s="1">
        <v>13</v>
      </c>
      <c r="G12706" s="1">
        <v>9</v>
      </c>
      <c r="H12706" s="1">
        <v>0</v>
      </c>
      <c r="I12706" s="1" t="s">
        <v>26281</v>
      </c>
      <c r="K12706" s="1" t="str">
        <f t="shared" si="799"/>
        <v>ㄧ</v>
      </c>
      <c r="L12706" s="1" t="str">
        <f t="shared" si="800"/>
        <v>ㄥ</v>
      </c>
      <c r="N12706" s="3" t="s">
        <v>30575</v>
      </c>
      <c r="O12706" s="3"/>
      <c r="P12706" s="1" t="s">
        <v>20</v>
      </c>
      <c r="R12706" s="1" t="s">
        <v>26282</v>
      </c>
      <c r="V12706" s="1" t="s">
        <v>26288</v>
      </c>
      <c r="AR12706" s="1" t="str">
        <f t="shared" si="801"/>
        <v>| [ㄧㄥˊ](ㄧㄥˊ.md) | [楹](楹.md) |  | yíng | [名]
1.廳堂前的直柱。後泛指柱子。南朝梁．劉勰《文心雕龍．誄碑》：「又宗廟有碑，樹之兩楹，事止麗牲，未勒勛績。」《資治通鑑．卷四三．漢紀三十五．光武帝建武十九年》：「即以頭擊楹，流血被面。」
2.量詞。古代計算房屋的單位。《新唐書．卷一九六．隱逸傳．陸龜蒙傳》：「有田數百畝，屋三十楹。」清．林紓〈蒼霞精舍後軒記〉：「屋五楹，前軒種竹數十竿。」 |</v>
      </c>
    </row>
    <row r="12707" spans="1:44" hidden="1">
      <c r="A12707" s="1" t="s">
        <v>6666</v>
      </c>
      <c r="C12707" s="1">
        <v>1</v>
      </c>
      <c r="D12707" s="1" t="str">
        <f>"11190"</f>
        <v>11190</v>
      </c>
      <c r="E12707" s="1" t="s">
        <v>139</v>
      </c>
      <c r="F12707" s="1">
        <v>11</v>
      </c>
      <c r="G12707" s="1">
        <v>7</v>
      </c>
      <c r="H12707" s="1">
        <v>2</v>
      </c>
      <c r="I12707" s="1" t="s">
        <v>26281</v>
      </c>
      <c r="K12707" s="1" t="str">
        <f t="shared" si="799"/>
        <v>ㄧ</v>
      </c>
      <c r="L12707" s="1" t="str">
        <f t="shared" si="800"/>
        <v>ㄥ</v>
      </c>
      <c r="N12707" s="3" t="s">
        <v>30575</v>
      </c>
      <c r="O12707" s="3"/>
      <c r="P12707" s="1" t="s">
        <v>20</v>
      </c>
      <c r="R12707" s="1" t="s">
        <v>26282</v>
      </c>
      <c r="V12707" s="1" t="s">
        <v>26289</v>
      </c>
      <c r="W12707" s="1" t="s">
        <v>26290</v>
      </c>
      <c r="AR12707" s="1" t="str">
        <f t="shared" si="801"/>
        <v>| [ㄧㄥˊ](ㄧㄥˊ.md) | [桯](桯.md) |  | yíng | [名]
1.古代車蓋柄下較粗的部分。《周禮．冬官考工記．輪人》：「輪人為蓋達常圍三寸，桯圍倍之六寸。」鄭玄注引鄭司農云：「桯，蓋杠也。」唐．賈公彥．疏：「此蓋柄下節，粗大常一倍，向上含達常也。」
2.堂屋前的柱子。通「楹」。元．關漢卿《竇娥冤》第四折：「怎不容我到燈影前，卻攔截在門桯外。」 |</v>
      </c>
    </row>
    <row r="12708" spans="1:44" hidden="1">
      <c r="A12708" s="1" t="s">
        <v>26291</v>
      </c>
      <c r="C12708" s="1">
        <v>1</v>
      </c>
      <c r="D12708" s="1" t="str">
        <f>"11191"</f>
        <v>11191</v>
      </c>
      <c r="E12708" s="1" t="s">
        <v>132</v>
      </c>
      <c r="F12708" s="1">
        <v>13</v>
      </c>
      <c r="G12708" s="1">
        <v>10</v>
      </c>
      <c r="H12708" s="1">
        <v>0</v>
      </c>
      <c r="I12708" s="1" t="s">
        <v>26281</v>
      </c>
      <c r="K12708" s="1" t="str">
        <f t="shared" si="799"/>
        <v>ㄧ</v>
      </c>
      <c r="L12708" s="1" t="str">
        <f t="shared" si="800"/>
        <v>ㄥ</v>
      </c>
      <c r="N12708" s="3" t="s">
        <v>30575</v>
      </c>
      <c r="O12708" s="3"/>
      <c r="P12708" s="1" t="s">
        <v>20</v>
      </c>
      <c r="R12708" s="1" t="s">
        <v>26282</v>
      </c>
      <c r="V12708" s="1" t="s">
        <v>26292</v>
      </c>
      <c r="AR12708" s="1" t="str">
        <f t="shared" si="801"/>
        <v>| [ㄧㄥˊ](ㄧㄥˊ.md) | [塋](塋.md) |  | yíng | [名]
墳地、墓地。如：「祖塋」、「先塋」。《漢書．卷一一．哀帝紀》：「太皇太后詔外家王氏田非冢塋，皆以賦貧民。」唐．陳子昂〈為義興公求拜掃表〉：「墳塋莫掃，松柏凋荒。」 |</v>
      </c>
    </row>
    <row r="12709" spans="1:44" hidden="1">
      <c r="A12709" s="1" t="s">
        <v>26293</v>
      </c>
      <c r="C12709" s="1">
        <v>1</v>
      </c>
      <c r="D12709" s="1" t="str">
        <f>"11192"</f>
        <v>11192</v>
      </c>
      <c r="E12709" s="1" t="s">
        <v>336</v>
      </c>
      <c r="F12709" s="1">
        <v>14</v>
      </c>
      <c r="G12709" s="1">
        <v>10</v>
      </c>
      <c r="H12709" s="1">
        <v>0</v>
      </c>
      <c r="I12709" s="1" t="s">
        <v>26281</v>
      </c>
      <c r="K12709" s="1" t="str">
        <f t="shared" si="799"/>
        <v>ㄧ</v>
      </c>
      <c r="L12709" s="1" t="str">
        <f t="shared" si="800"/>
        <v>ㄥ</v>
      </c>
      <c r="N12709" s="3" t="s">
        <v>30575</v>
      </c>
      <c r="O12709" s="3"/>
      <c r="P12709" s="1" t="s">
        <v>20</v>
      </c>
      <c r="R12709" s="1" t="s">
        <v>26282</v>
      </c>
      <c r="V12709" s="1" t="s">
        <v>26294</v>
      </c>
      <c r="AR12709" s="1" t="str">
        <f t="shared" si="801"/>
        <v>| [ㄧㄥˊ](ㄧㄥˊ.md) | [熒](熒.md) |  | yíng | [形]
光線微弱的。《文選．班固．答賓戲》：「守窔奧之熒燭，未仰天庭而睹白日也。」唐．李善．注：「熒，小光也。」
[動]
眩惑。《莊子．人間世》：「而目將熒之，而色將平之，口將營之。」唐．成玄英．疏：「熒，眩也。」 |</v>
      </c>
    </row>
    <row r="12710" spans="1:44" hidden="1">
      <c r="A12710" s="1" t="s">
        <v>17187</v>
      </c>
      <c r="C12710" s="1">
        <v>1</v>
      </c>
      <c r="D12710" s="1" t="str">
        <f>"11193"</f>
        <v>11193</v>
      </c>
      <c r="E12710" s="1" t="s">
        <v>129</v>
      </c>
      <c r="F12710" s="1">
        <v>14</v>
      </c>
      <c r="G12710" s="1">
        <v>10</v>
      </c>
      <c r="H12710" s="1">
        <v>2</v>
      </c>
      <c r="I12710" s="1" t="s">
        <v>26281</v>
      </c>
      <c r="K12710" s="1" t="str">
        <f t="shared" si="799"/>
        <v>ㄧ</v>
      </c>
      <c r="L12710" s="1" t="str">
        <f t="shared" si="800"/>
        <v>ㄥ</v>
      </c>
      <c r="N12710" s="3" t="s">
        <v>30575</v>
      </c>
      <c r="O12710" s="3"/>
      <c r="P12710" s="1" t="s">
        <v>20</v>
      </c>
      <c r="R12710" s="1" t="s">
        <v>26282</v>
      </c>
      <c r="V12710" s="1" t="s">
        <v>26295</v>
      </c>
      <c r="W12710" s="1" t="s">
        <v>26296</v>
      </c>
      <c r="AR12710" s="1" t="str">
        <f t="shared" si="801"/>
        <v>| [ㄧㄥˊ](ㄧㄥˊ.md) | [滎](滎.md) |  | yíng | 參見「滎經縣」條。 |</v>
      </c>
    </row>
    <row r="12711" spans="1:44" hidden="1">
      <c r="A12711" s="1" t="s">
        <v>26297</v>
      </c>
      <c r="C12711" s="1">
        <v>1</v>
      </c>
      <c r="D12711" s="1" t="str">
        <f>"11194"</f>
        <v>11194</v>
      </c>
      <c r="E12711" s="1" t="s">
        <v>142</v>
      </c>
      <c r="F12711" s="1">
        <v>15</v>
      </c>
      <c r="G12711" s="1">
        <v>10</v>
      </c>
      <c r="H12711" s="1">
        <v>0</v>
      </c>
      <c r="I12711" s="1" t="s">
        <v>26281</v>
      </c>
      <c r="K12711" s="1" t="str">
        <f t="shared" si="799"/>
        <v>ㄧ</v>
      </c>
      <c r="L12711" s="1" t="str">
        <f t="shared" si="800"/>
        <v>ㄥ</v>
      </c>
      <c r="N12711" s="3" t="s">
        <v>30575</v>
      </c>
      <c r="O12711" s="3"/>
      <c r="P12711" s="1" t="s">
        <v>20</v>
      </c>
      <c r="R12711" s="1" t="s">
        <v>26282</v>
      </c>
      <c r="V12711" s="1" t="s">
        <v>26298</v>
      </c>
      <c r="AR12711" s="1" t="str">
        <f t="shared" si="801"/>
        <v>| [ㄧㄥˊ](ㄧㄥˊ.md) | [瑩](瑩.md) |  | yíng | [形]
透明光潔。如：「晶瑩剔透」。《紅樓夢》第八回：「只見大如雀卵，燿若明霞，瑩潤如酥，五色花紋纏護。」
[名]
美石。《詩經．齊風．著》：「充耳以青乎而，尚之以瓊瑩乎而。」
[動]
琢磨、磨治。《周書．卷二三．蘇綽傳》：「及其剖而瑩之，馳而試之，玉石駑驥，然後始分。」唐．段成式《酉陽雜俎．卷六．藝絕》：「開元中，筆匠名鐵頭，能瑩管如玉。」 |</v>
      </c>
    </row>
    <row r="12712" spans="1:44" hidden="1">
      <c r="A12712" s="1" t="s">
        <v>26299</v>
      </c>
      <c r="C12712" s="1">
        <v>1</v>
      </c>
      <c r="D12712" s="1" t="str">
        <f>"11195"</f>
        <v>11195</v>
      </c>
      <c r="E12712" s="1" t="s">
        <v>679</v>
      </c>
      <c r="F12712" s="1">
        <v>16</v>
      </c>
      <c r="G12712" s="1">
        <v>10</v>
      </c>
      <c r="H12712" s="1">
        <v>0</v>
      </c>
      <c r="I12712" s="1" t="s">
        <v>26281</v>
      </c>
      <c r="K12712" s="1" t="str">
        <f t="shared" si="799"/>
        <v>ㄧ</v>
      </c>
      <c r="L12712" s="1" t="str">
        <f t="shared" si="800"/>
        <v>ㄥ</v>
      </c>
      <c r="N12712" s="3" t="s">
        <v>30575</v>
      </c>
      <c r="O12712" s="3"/>
      <c r="P12712" s="1" t="s">
        <v>20</v>
      </c>
      <c r="R12712" s="1" t="s">
        <v>26282</v>
      </c>
      <c r="V12712" s="1" t="s">
        <v>26300</v>
      </c>
      <c r="AR12712" s="1" t="str">
        <f t="shared" si="801"/>
        <v>| [ㄧㄥˊ](ㄧㄥˊ.md) | [螢](螢.md) |  | yíng | 參見「螢火蟲」條。 |</v>
      </c>
    </row>
    <row r="12713" spans="1:44" hidden="1">
      <c r="A12713" s="1" t="s">
        <v>26301</v>
      </c>
      <c r="C12713" s="1">
        <v>1</v>
      </c>
      <c r="D12713" s="1" t="str">
        <f>"11196"</f>
        <v>11196</v>
      </c>
      <c r="E12713" s="1" t="s">
        <v>725</v>
      </c>
      <c r="F12713" s="1">
        <v>16</v>
      </c>
      <c r="G12713" s="1">
        <v>10</v>
      </c>
      <c r="H12713" s="1">
        <v>0</v>
      </c>
      <c r="I12713" s="1" t="s">
        <v>26281</v>
      </c>
      <c r="K12713" s="1" t="str">
        <f t="shared" si="799"/>
        <v>ㄧ</v>
      </c>
      <c r="L12713" s="1" t="str">
        <f t="shared" si="800"/>
        <v>ㄥ</v>
      </c>
      <c r="N12713" s="3" t="s">
        <v>30575</v>
      </c>
      <c r="O12713" s="3"/>
      <c r="P12713" s="1" t="s">
        <v>20</v>
      </c>
      <c r="R12713" s="1" t="s">
        <v>26282</v>
      </c>
      <c r="V12713" s="1" t="s">
        <v>26302</v>
      </c>
      <c r="AR12713" s="1" t="str">
        <f t="shared" si="801"/>
        <v>| [ㄧㄥˊ](ㄧㄥˊ.md) | [縈](縈.md) |  | yíng | [動]
圍繞、纏繞。如：「縈繞」。唐．李白〈蜀道難〉：「青泥何盤盤，百步九折縈巖巒。」 |</v>
      </c>
    </row>
    <row r="12714" spans="1:44" hidden="1">
      <c r="A12714" s="1" t="s">
        <v>26303</v>
      </c>
      <c r="C12714" s="1">
        <v>1</v>
      </c>
      <c r="D12714" s="1" t="str">
        <f>"11197"</f>
        <v>11197</v>
      </c>
      <c r="E12714" s="1" t="s">
        <v>336</v>
      </c>
      <c r="F12714" s="1">
        <v>17</v>
      </c>
      <c r="G12714" s="1">
        <v>13</v>
      </c>
      <c r="H12714" s="1">
        <v>0</v>
      </c>
      <c r="I12714" s="1" t="s">
        <v>26281</v>
      </c>
      <c r="K12714" s="1" t="str">
        <f t="shared" ref="K12714:K12777" si="802">LEFT(I12714, 1)</f>
        <v>ㄧ</v>
      </c>
      <c r="L12714" s="1" t="str">
        <f t="shared" ref="L12714:L12777" si="803">MID(I12714, 2, 1)</f>
        <v>ㄥ</v>
      </c>
      <c r="N12714" s="3" t="s">
        <v>30575</v>
      </c>
      <c r="O12714" s="3"/>
      <c r="P12714" s="1" t="s">
        <v>20</v>
      </c>
      <c r="R12714" s="1" t="s">
        <v>26282</v>
      </c>
      <c r="V12714" s="1" t="s">
        <v>26304</v>
      </c>
      <c r="AR12714" s="1" t="str">
        <f t="shared" si="801"/>
        <v>| [ㄧㄥˊ](ㄧㄥˊ.md) | [營](營.md) |  | yíng | [名]
1.軍隊駐紮的地方。如：「軍營」、「兵營」。《隋書．卷七〇．李密傳》：「讓欲乘勝進破其營，會日暮，密固止之。」
2.陸軍的編制單位。五百人為一營。如：「第一營」、「第九營」。
3.活動的組織名稱。如：「夏令營」、「戰鬥營」、「天體營」。
[動]
1.謀求。如：「營利」、「鑽營」。唐．韓愈〈送窮文〉：「蠅營狗苟，驅去復還。」
2.管理。如：「營業」、「公營」。《淮南子．主術》：「執正營事，則讒佞姦邪無由進矣。」
3.建設、建造。如：「營造」、「營建」。《清史稿．卷一二九．河渠志四》：「自五年分局至七年，營成水田六千頃有奇。」
4.眩惑。通「熒」。《淮南子．原道》：「不足以營其精神，亂其氣志。」漢．高誘．注：「營，惑也。」
5.測量。《呂氏春秋．孟冬紀．節喪》：「審棺槨之厚薄，營丘壟之小大高卑薄厚之度，貴賤之等級。」 |</v>
      </c>
    </row>
    <row r="12715" spans="1:44" hidden="1">
      <c r="A12715" s="1" t="s">
        <v>26305</v>
      </c>
      <c r="C12715" s="1">
        <v>1</v>
      </c>
      <c r="D12715" s="1" t="str">
        <f>"11198"</f>
        <v>11198</v>
      </c>
      <c r="E12715" s="1" t="s">
        <v>129</v>
      </c>
      <c r="F12715" s="1">
        <v>18</v>
      </c>
      <c r="G12715" s="1">
        <v>15</v>
      </c>
      <c r="H12715" s="1">
        <v>0</v>
      </c>
      <c r="I12715" s="1" t="s">
        <v>26281</v>
      </c>
      <c r="K12715" s="1" t="str">
        <f t="shared" si="802"/>
        <v>ㄧ</v>
      </c>
      <c r="L12715" s="1" t="str">
        <f t="shared" si="803"/>
        <v>ㄥ</v>
      </c>
      <c r="N12715" s="3" t="s">
        <v>30575</v>
      </c>
      <c r="O12715" s="3"/>
      <c r="P12715" s="1" t="s">
        <v>20</v>
      </c>
      <c r="R12715" s="1" t="s">
        <v>26282</v>
      </c>
      <c r="V12715" s="1" t="s">
        <v>26306</v>
      </c>
      <c r="AR12715" s="1" t="str">
        <f t="shared" si="801"/>
        <v>| [ㄧㄥˊ](ㄧㄥˊ.md) | [瀅](瀅.md) |  | yíng | [形]
水清澈的樣子。唐．韓愈〈曲江荷花行〉：「玉山前卻不復來，曲江汀瀅水平盃。」 |</v>
      </c>
    </row>
    <row r="12716" spans="1:44" hidden="1">
      <c r="A12716" s="1" t="s">
        <v>26307</v>
      </c>
      <c r="C12716" s="1">
        <v>1</v>
      </c>
      <c r="D12716" s="1" t="str">
        <f>"11199"</f>
        <v>11199</v>
      </c>
      <c r="E12716" s="1" t="s">
        <v>129</v>
      </c>
      <c r="F12716" s="1">
        <v>19</v>
      </c>
      <c r="G12716" s="1">
        <v>16</v>
      </c>
      <c r="H12716" s="1">
        <v>0</v>
      </c>
      <c r="I12716" s="1" t="s">
        <v>26281</v>
      </c>
      <c r="K12716" s="1" t="str">
        <f t="shared" si="802"/>
        <v>ㄧ</v>
      </c>
      <c r="L12716" s="1" t="str">
        <f t="shared" si="803"/>
        <v>ㄥ</v>
      </c>
      <c r="N12716" s="3" t="s">
        <v>30575</v>
      </c>
      <c r="O12716" s="3"/>
      <c r="P12716" s="1" t="s">
        <v>20</v>
      </c>
      <c r="R12716" s="1" t="s">
        <v>26282</v>
      </c>
      <c r="V12716" s="1" t="s">
        <v>26308</v>
      </c>
      <c r="AR12716" s="1" t="str">
        <f t="shared" si="801"/>
        <v>| [ㄧㄥˊ](ㄧㄥˊ.md) | [瀠](瀠.md) |  | yíng | [形]
水流迴旋的樣子。明．徐弘祖《徐霞客遊記．卷二上．江右遊日記》：「水從崖中墜壁下，瀠迴大石而出。」 |</v>
      </c>
    </row>
    <row r="12717" spans="1:44" hidden="1">
      <c r="A12717" s="1" t="s">
        <v>26309</v>
      </c>
      <c r="C12717" s="1">
        <v>1</v>
      </c>
      <c r="D12717" s="1" t="str">
        <f>"11200"</f>
        <v>11200</v>
      </c>
      <c r="E12717" s="1" t="s">
        <v>129</v>
      </c>
      <c r="F12717" s="1">
        <v>20</v>
      </c>
      <c r="G12717" s="1">
        <v>17</v>
      </c>
      <c r="H12717" s="1">
        <v>0</v>
      </c>
      <c r="I12717" s="1" t="s">
        <v>26281</v>
      </c>
      <c r="K12717" s="1" t="str">
        <f t="shared" si="802"/>
        <v>ㄧ</v>
      </c>
      <c r="L12717" s="1" t="str">
        <f t="shared" si="803"/>
        <v>ㄥ</v>
      </c>
      <c r="N12717" s="3" t="s">
        <v>30575</v>
      </c>
      <c r="O12717" s="3"/>
      <c r="P12717" s="1" t="s">
        <v>20</v>
      </c>
      <c r="R12717" s="1" t="s">
        <v>26282</v>
      </c>
      <c r="V12717" s="1" t="s">
        <v>26310</v>
      </c>
      <c r="AR12717" s="1" t="str">
        <f t="shared" si="801"/>
        <v>| [ㄧㄥˊ](ㄧㄥˊ.md) | [瀯](瀯.md) |  | yíng | 參見「瀯瀯」條。 |</v>
      </c>
    </row>
    <row r="12718" spans="1:44" hidden="1">
      <c r="A12718" s="1" t="s">
        <v>26311</v>
      </c>
      <c r="C12718" s="1">
        <v>1</v>
      </c>
      <c r="D12718" s="1" t="str">
        <f>"11201"</f>
        <v>11201</v>
      </c>
      <c r="E12718" s="1" t="s">
        <v>534</v>
      </c>
      <c r="F12718" s="1">
        <v>16</v>
      </c>
      <c r="G12718" s="1">
        <v>13</v>
      </c>
      <c r="H12718" s="1">
        <v>0</v>
      </c>
      <c r="I12718" s="1" t="s">
        <v>26281</v>
      </c>
      <c r="K12718" s="1" t="str">
        <f t="shared" si="802"/>
        <v>ㄧ</v>
      </c>
      <c r="L12718" s="1" t="str">
        <f t="shared" si="803"/>
        <v>ㄥ</v>
      </c>
      <c r="N12718" s="3" t="s">
        <v>30575</v>
      </c>
      <c r="O12718" s="3"/>
      <c r="P12718" s="1" t="s">
        <v>20</v>
      </c>
      <c r="R12718" s="1" t="s">
        <v>26282</v>
      </c>
      <c r="V12718" s="1" t="s">
        <v>26312</v>
      </c>
      <c r="AR12718" s="1" t="str">
        <f t="shared" si="801"/>
        <v>| [ㄧㄥˊ](ㄧㄥˊ.md) | [嬴](嬴.md) |  | yíng | [形]
有剩餘的。如：「嬴利」、「嬴餘」。
[動]
1.得勝。同「贏」。《史記．卷六九．蘇秦傳》：「困則使太后弟穰侯為和，嬴則兼欺舅與母。」
2.背負、承擔。《後漢書．卷一六．鄧禹傳》論曰：「鄧公嬴糧徒步，觸紛亂而赴光武，可謂識所從會矣。」南朝梁．劉勰《文心雕龍．史傳》：「然史之為任，乃彌綸一代，負海內之責，而嬴是非之尤。」
[名]
姓。如秦始皇姓嬴名政。 |</v>
      </c>
    </row>
    <row r="12719" spans="1:44" hidden="1">
      <c r="A12719" s="1" t="s">
        <v>26313</v>
      </c>
      <c r="C12719" s="1">
        <v>1</v>
      </c>
      <c r="D12719" s="1" t="str">
        <f>"11202"</f>
        <v>11202</v>
      </c>
      <c r="E12719" s="1" t="s">
        <v>129</v>
      </c>
      <c r="F12719" s="1">
        <v>19</v>
      </c>
      <c r="G12719" s="1">
        <v>16</v>
      </c>
      <c r="H12719" s="1">
        <v>0</v>
      </c>
      <c r="I12719" s="1" t="s">
        <v>26281</v>
      </c>
      <c r="K12719" s="1" t="str">
        <f t="shared" si="802"/>
        <v>ㄧ</v>
      </c>
      <c r="L12719" s="1" t="str">
        <f t="shared" si="803"/>
        <v>ㄥ</v>
      </c>
      <c r="N12719" s="3" t="s">
        <v>30575</v>
      </c>
      <c r="O12719" s="3"/>
      <c r="P12719" s="1" t="s">
        <v>20</v>
      </c>
      <c r="R12719" s="1" t="s">
        <v>26282</v>
      </c>
      <c r="V12719" s="1" t="s">
        <v>26314</v>
      </c>
      <c r="AR12719" s="1" t="str">
        <f t="shared" si="801"/>
        <v>| [ㄧㄥˊ](ㄧㄥˊ.md) | [瀛](瀛.md) |  | yíng | [名]
1.大海。如：「瀛海」。唐．李白〈東海有勇婦〉詩：「捨罪警風俗，流芳播滄瀛。」
2.池澤。《楚辭．宋玉．招魂》：「路貫廬江兮左長薄，倚沼畦瀛兮遙望博。」漢．王逸．注：「瀛，池中也。」《文選．左思．蜀都賦》：「其沃瀛則有攢蔣叢蒲，綠菱紅蓮，雜以蘊藻，糅以蘋繁。」 |</v>
      </c>
    </row>
    <row r="12720" spans="1:44" hidden="1">
      <c r="A12720" s="1" t="s">
        <v>26315</v>
      </c>
      <c r="C12720" s="1">
        <v>1</v>
      </c>
      <c r="D12720" s="1" t="str">
        <f>"11203"</f>
        <v>11203</v>
      </c>
      <c r="E12720" s="1" t="s">
        <v>505</v>
      </c>
      <c r="F12720" s="1">
        <v>20</v>
      </c>
      <c r="G12720" s="1">
        <v>13</v>
      </c>
      <c r="H12720" s="1">
        <v>0</v>
      </c>
      <c r="I12720" s="1" t="s">
        <v>26281</v>
      </c>
      <c r="K12720" s="1" t="str">
        <f t="shared" si="802"/>
        <v>ㄧ</v>
      </c>
      <c r="L12720" s="1" t="str">
        <f t="shared" si="803"/>
        <v>ㄥ</v>
      </c>
      <c r="N12720" s="3" t="s">
        <v>30575</v>
      </c>
      <c r="O12720" s="3"/>
      <c r="P12720" s="1" t="s">
        <v>20</v>
      </c>
      <c r="R12720" s="1" t="s">
        <v>26282</v>
      </c>
      <c r="V12720" s="1" t="s">
        <v>26316</v>
      </c>
      <c r="AR12720" s="1" t="str">
        <f t="shared" si="801"/>
        <v>| [ㄧㄥˊ](ㄧㄥˊ.md) | [贏](贏.md) |  | yíng | [名]
收支相抵後所獲得的利益。《戰國策．秦策五》：「歸而謂父曰：『耕田之利幾倍？』曰：『十倍。』『珠玉之贏幾倍？』曰：『百倍。』」《文選．張衡．西京賦》：「鬻者兼贏，求者不匱。」
[動]
1.勝。與「輸」相對。如：「贏得勝利」。宋．陸游〈農家〉詩：「互笑藏鉤拙，爭言鬥草贏。」
2.負擔。《荀子．議兵》：「贏三日之糧，日中而趨百里。」《後漢書．卷七九下．儒林傳》論曰：「精廬暫建，贏糧動有千百。」
3.增加、伸長。《淮南子．時則》：「孟春始贏，孟秋始縮。」 |</v>
      </c>
    </row>
    <row r="12721" spans="1:44" hidden="1">
      <c r="A12721" s="1" t="s">
        <v>26317</v>
      </c>
      <c r="C12721" s="1">
        <v>1</v>
      </c>
      <c r="D12721" s="1" t="str">
        <f>"11204"</f>
        <v>11204</v>
      </c>
      <c r="E12721" s="1" t="s">
        <v>49</v>
      </c>
      <c r="F12721" s="1">
        <v>26</v>
      </c>
      <c r="G12721" s="1">
        <v>20</v>
      </c>
      <c r="H12721" s="1">
        <v>0</v>
      </c>
      <c r="I12721" s="1" t="s">
        <v>26281</v>
      </c>
      <c r="K12721" s="1" t="str">
        <f t="shared" si="802"/>
        <v>ㄧ</v>
      </c>
      <c r="L12721" s="1" t="str">
        <f t="shared" si="803"/>
        <v>ㄥ</v>
      </c>
      <c r="N12721" s="3" t="s">
        <v>30575</v>
      </c>
      <c r="O12721" s="3"/>
      <c r="P12721" s="1" t="s">
        <v>20</v>
      </c>
      <c r="R12721" s="1" t="s">
        <v>26282</v>
      </c>
      <c r="V12721" s="1" t="s">
        <v>26318</v>
      </c>
      <c r="AR12721" s="1" t="str">
        <f t="shared" si="801"/>
        <v>| [ㄧㄥˊ](ㄧㄥˊ.md) | [籯](籯.md) |  | yíng | [名]
竹編的籠子。《漢書．卷七三．韋賢傳》：「故鄒、魯諺曰：『遺子黃金滿籯，不如一經。』」唐．顏師古．注：「如淳曰：『籯，竹器，受三四斗。』」宋．蘇軾〈寄周安孺茶〉詩：「聞道早春時，攜籯赴初旭。」 |</v>
      </c>
    </row>
    <row r="12722" spans="1:44" hidden="1">
      <c r="A12722" s="1" t="s">
        <v>26319</v>
      </c>
      <c r="C12722" s="1">
        <v>1</v>
      </c>
      <c r="D12722" s="1" t="str">
        <f>"11205"</f>
        <v>11205</v>
      </c>
      <c r="E12722" s="1" t="s">
        <v>679</v>
      </c>
      <c r="F12722" s="1">
        <v>19</v>
      </c>
      <c r="G12722" s="1">
        <v>13</v>
      </c>
      <c r="H12722" s="1">
        <v>0</v>
      </c>
      <c r="I12722" s="1" t="s">
        <v>26281</v>
      </c>
      <c r="K12722" s="1" t="str">
        <f t="shared" si="802"/>
        <v>ㄧ</v>
      </c>
      <c r="L12722" s="1" t="str">
        <f t="shared" si="803"/>
        <v>ㄥ</v>
      </c>
      <c r="N12722" s="3" t="s">
        <v>30575</v>
      </c>
      <c r="O12722" s="3"/>
      <c r="P12722" s="1" t="s">
        <v>20</v>
      </c>
      <c r="R12722" s="1" t="s">
        <v>26282</v>
      </c>
      <c r="V12722" s="1" t="s">
        <v>26320</v>
      </c>
      <c r="AR12722" s="1" t="str">
        <f t="shared" si="801"/>
        <v>| [ㄧㄥˊ](ㄧㄥˊ.md) | [蠅](蠅.md) |  | yíng | [名]
昆蟲綱雙翅目蠅科的通稱。體長約六、七公釐，密生短毛，灰黑色，頭上有複眼甚大，口器伸為管狀，適於舐食。生長繁殖極快，能傳染霍亂、傷寒、結核、痢疾等的病原菌。常見的有家蠅、綠蠅、肉蠅等。 |</v>
      </c>
    </row>
    <row r="12723" spans="1:44" hidden="1">
      <c r="A12723" s="1" t="s">
        <v>26321</v>
      </c>
      <c r="C12723" s="1">
        <v>1</v>
      </c>
      <c r="D12723" s="1" t="str">
        <f>"11206"</f>
        <v>11206</v>
      </c>
      <c r="E12723" s="1" t="s">
        <v>256</v>
      </c>
      <c r="F12723" s="1">
        <v>10</v>
      </c>
      <c r="G12723" s="1">
        <v>7</v>
      </c>
      <c r="H12723" s="1">
        <v>0</v>
      </c>
      <c r="I12723" s="1" t="s">
        <v>26322</v>
      </c>
      <c r="K12723" s="1" t="str">
        <f t="shared" si="802"/>
        <v>ㄧ</v>
      </c>
      <c r="L12723" s="1" t="str">
        <f t="shared" si="803"/>
        <v>ㄥ</v>
      </c>
      <c r="N12723" s="3" t="s">
        <v>30576</v>
      </c>
      <c r="O12723" s="3"/>
      <c r="P12723" s="1" t="s">
        <v>20</v>
      </c>
      <c r="R12723" s="1" t="s">
        <v>26323</v>
      </c>
      <c r="V12723" s="1" t="s">
        <v>26324</v>
      </c>
      <c r="AR12723" s="1" t="str">
        <f t="shared" si="801"/>
        <v>| [ㄧㄥˇ](ㄧㄥˇ.md) | [郢](郢.md) |  | yǐng | [名]
地名。春秋時楚國的都城。故址在今湖北省江陵縣境。 |</v>
      </c>
    </row>
    <row r="12724" spans="1:44" hidden="1">
      <c r="A12724" s="1" t="s">
        <v>14272</v>
      </c>
      <c r="C12724" s="1">
        <v>1</v>
      </c>
      <c r="D12724" s="1" t="str">
        <f>"11207"</f>
        <v>11207</v>
      </c>
      <c r="E12724" s="1" t="s">
        <v>646</v>
      </c>
      <c r="F12724" s="1">
        <v>12</v>
      </c>
      <c r="G12724" s="1">
        <v>8</v>
      </c>
      <c r="H12724" s="1">
        <v>2</v>
      </c>
      <c r="I12724" s="1" t="s">
        <v>26322</v>
      </c>
      <c r="K12724" s="1" t="str">
        <f t="shared" si="802"/>
        <v>ㄧ</v>
      </c>
      <c r="L12724" s="1" t="str">
        <f t="shared" si="803"/>
        <v>ㄥ</v>
      </c>
      <c r="N12724" s="3" t="s">
        <v>30576</v>
      </c>
      <c r="O12724" s="3"/>
      <c r="P12724" s="1" t="s">
        <v>20</v>
      </c>
      <c r="R12724" s="1" t="s">
        <v>26323</v>
      </c>
      <c r="V12724" s="1" t="s">
        <v>26325</v>
      </c>
      <c r="W12724" s="1" t="s">
        <v>26326</v>
      </c>
      <c r="AR12724" s="1" t="str">
        <f t="shared" si="801"/>
        <v>| [ㄧㄥˇ](ㄧㄥˇ.md) | [景](景.md) |  | yǐng | [名]
物體的形影、陰影。同「影」。《周禮．地官．大司徒》：「以土圭之法測土深，正日景以求地中。」 |</v>
      </c>
    </row>
    <row r="12725" spans="1:44" hidden="1">
      <c r="A12725" s="1" t="s">
        <v>26327</v>
      </c>
      <c r="C12725" s="1">
        <v>1</v>
      </c>
      <c r="D12725" s="1" t="str">
        <f>"11208"</f>
        <v>11208</v>
      </c>
      <c r="E12725" s="1" t="s">
        <v>1335</v>
      </c>
      <c r="F12725" s="1">
        <v>15</v>
      </c>
      <c r="G12725" s="1">
        <v>12</v>
      </c>
      <c r="H12725" s="1">
        <v>0</v>
      </c>
      <c r="I12725" s="1" t="s">
        <v>26322</v>
      </c>
      <c r="K12725" s="1" t="str">
        <f t="shared" si="802"/>
        <v>ㄧ</v>
      </c>
      <c r="L12725" s="1" t="str">
        <f t="shared" si="803"/>
        <v>ㄥ</v>
      </c>
      <c r="N12725" s="3" t="s">
        <v>30576</v>
      </c>
      <c r="O12725" s="3"/>
      <c r="P12725" s="1" t="s">
        <v>20</v>
      </c>
      <c r="R12725" s="1" t="s">
        <v>26323</v>
      </c>
      <c r="V12725" s="1" t="s">
        <v>26328</v>
      </c>
      <c r="AR12725" s="1" t="str">
        <f t="shared" si="801"/>
        <v>| [ㄧㄥˇ](ㄧㄥˇ.md) | [影](影.md) |  | yǐng | [名]
1.光線被遮擋而造成的陰暗形象。如：「人影」、「樹影」、「陰影」。唐．李白〈月下獨酌〉詩四首之一：「舉杯邀明月，對影成三人。」
2.人、物的形象或圖像。如：「攝影」、「背影」、「身影」。《水滸傳》第三一回：「寫了武松鄉貫、年甲、相模樣，畫影圖形，出三千貫信賞錢。」《紅樓夢》第三一回：「老太太和舅母那日想是纔拜了影回來。」
[動]
1.參見「影印」條。
2.仿照、描摹。如：「這篇小說是影了此一真人實事所寫成的。」南朝梁．劉勰《文心雕龍．通變》：「漢之賦頌，影寫楚世。」
3.掩蔽、隱藏。《水滸傳》第一六回：「只見對面松林裡影著一個人，在那里舒頭探腦家望。」 |</v>
      </c>
    </row>
    <row r="12726" spans="1:44" hidden="1">
      <c r="A12726" s="1" t="s">
        <v>26329</v>
      </c>
      <c r="C12726" s="1">
        <v>1</v>
      </c>
      <c r="D12726" s="1" t="str">
        <f>"11209"</f>
        <v>11209</v>
      </c>
      <c r="E12726" s="1" t="s">
        <v>129</v>
      </c>
      <c r="F12726" s="1">
        <v>15</v>
      </c>
      <c r="G12726" s="1">
        <v>11</v>
      </c>
      <c r="H12726" s="1">
        <v>0</v>
      </c>
      <c r="I12726" s="1" t="s">
        <v>26322</v>
      </c>
      <c r="K12726" s="1" t="str">
        <f t="shared" si="802"/>
        <v>ㄧ</v>
      </c>
      <c r="L12726" s="1" t="str">
        <f t="shared" si="803"/>
        <v>ㄥ</v>
      </c>
      <c r="N12726" s="3" t="s">
        <v>30576</v>
      </c>
      <c r="O12726" s="3"/>
      <c r="P12726" s="1" t="s">
        <v>20</v>
      </c>
      <c r="R12726" s="1" t="s">
        <v>26323</v>
      </c>
      <c r="V12726" s="1" t="s">
        <v>26330</v>
      </c>
      <c r="AR12726" s="1" t="str">
        <f t="shared" si="801"/>
        <v>| [ㄧㄥˇ](ㄧㄥˇ.md) | [潁](潁.md) |  | yǐng | 參見「潁河」條。 |</v>
      </c>
    </row>
    <row r="12727" spans="1:44" hidden="1">
      <c r="A12727" s="1" t="s">
        <v>26331</v>
      </c>
      <c r="C12727" s="1">
        <v>1</v>
      </c>
      <c r="D12727" s="1" t="str">
        <f>"11210"</f>
        <v>11210</v>
      </c>
      <c r="E12727" s="1" t="s">
        <v>429</v>
      </c>
      <c r="F12727" s="1">
        <v>16</v>
      </c>
      <c r="G12727" s="1">
        <v>11</v>
      </c>
      <c r="H12727" s="1">
        <v>0</v>
      </c>
      <c r="I12727" s="1" t="s">
        <v>26322</v>
      </c>
      <c r="K12727" s="1" t="str">
        <f t="shared" si="802"/>
        <v>ㄧ</v>
      </c>
      <c r="L12727" s="1" t="str">
        <f t="shared" si="803"/>
        <v>ㄥ</v>
      </c>
      <c r="N12727" s="3" t="s">
        <v>30576</v>
      </c>
      <c r="O12727" s="3"/>
      <c r="P12727" s="1" t="s">
        <v>20</v>
      </c>
      <c r="R12727" s="1" t="s">
        <v>26323</v>
      </c>
      <c r="V12727" s="1" t="s">
        <v>26332</v>
      </c>
      <c r="AR12727" s="1" t="str">
        <f t="shared" si="801"/>
        <v>| [ㄧㄥˇ](ㄧㄥˇ.md) | [穎](穎.md) |  | yǐng | [名]
1.禾的尖端。《說文解字．禾部》：「穎，禾末也。」《書經．微子之命》：「唐叔得禾，異畝同穎。」《文選．左思．魏都賦》：「喜穎離合以䔿䔿，醴泉涌流而浩浩。」
2.物體尖銳的末端。《文選．左思．吳都賦》：「鉤爪鋸牙，自成鋒穎。」
3.筆尖。《警世通言．卷九．李謫仙醉草嚇蠻書》：「李白……右手舉起中山兔穎，向五花牋上，手不停揮。」
4.才能出眾的人。《三國志．卷五八．吳書．陸遜傳》：「皆當世秀穎，一時顯器。」
[形]
1.聰明的。如：「聰穎」。
2.新的、特出的。如：「新穎」。 |</v>
      </c>
    </row>
    <row r="12728" spans="1:44" hidden="1">
      <c r="A12728" s="1" t="s">
        <v>26333</v>
      </c>
      <c r="C12728" s="1">
        <v>1</v>
      </c>
      <c r="D12728" s="1" t="str">
        <f>"11211"</f>
        <v>11211</v>
      </c>
      <c r="E12728" s="1" t="s">
        <v>40</v>
      </c>
      <c r="F12728" s="1">
        <v>22</v>
      </c>
      <c r="G12728" s="1">
        <v>17</v>
      </c>
      <c r="H12728" s="1">
        <v>0</v>
      </c>
      <c r="I12728" s="1" t="s">
        <v>26322</v>
      </c>
      <c r="K12728" s="1" t="str">
        <f t="shared" si="802"/>
        <v>ㄧ</v>
      </c>
      <c r="L12728" s="1" t="str">
        <f t="shared" si="803"/>
        <v>ㄥ</v>
      </c>
      <c r="N12728" s="3" t="s">
        <v>30576</v>
      </c>
      <c r="O12728" s="3"/>
      <c r="P12728" s="1" t="s">
        <v>20</v>
      </c>
      <c r="R12728" s="1" t="s">
        <v>26323</v>
      </c>
      <c r="V12728" s="1" t="s">
        <v>26334</v>
      </c>
      <c r="AR12728" s="1" t="str">
        <f t="shared" si="801"/>
        <v>| [ㄧㄥˇ](ㄧㄥˇ.md) | [癭](癭.md) |  | yǐng | [名]
1.長在脖子上的囊狀瘤。《說文解字．疒部》：「癭，頸瘤也。」《洛陽伽藍記．卷二．景寧寺》：「所謂陽翟之民，不知癭之為醜。」
2.植物因外來生物之刺激，引起其某一部位細胞不正常增生或增大之現象，常稱「植物癭」。若由造癭昆蟲產卵及其幼蟲之分泌物刺激而產生之癭體組織，則稱「蟲癭」。唐．杜甫〈贈王二十四侍御契四十韻〉：「長歌敲柳癭，小睡憑藤輪。」《聊齋志異．卷一．嬌娜》：「未幾，割斷腐肉，團團然如樹上削下之癭。」 |</v>
      </c>
    </row>
    <row r="12729" spans="1:44" hidden="1">
      <c r="A12729" s="1" t="s">
        <v>26347</v>
      </c>
      <c r="C12729" s="1">
        <v>1</v>
      </c>
      <c r="D12729" s="1" t="str">
        <f>"11217"</f>
        <v>11217</v>
      </c>
      <c r="E12729" s="1" t="s">
        <v>129</v>
      </c>
      <c r="F12729" s="1">
        <v>6</v>
      </c>
      <c r="G12729" s="1">
        <v>3</v>
      </c>
      <c r="H12729" s="1">
        <v>1</v>
      </c>
      <c r="I12729" s="1" t="s">
        <v>26348</v>
      </c>
      <c r="K12729" s="1" t="str">
        <f t="shared" si="802"/>
        <v>ㄨ</v>
      </c>
      <c r="L12729" s="1" t="str">
        <f t="shared" si="803"/>
        <v/>
      </c>
      <c r="M12729" s="1" t="str">
        <f t="shared" ref="M12729:M12760" si="804">MID(I12729, 3, 1)</f>
        <v/>
      </c>
      <c r="P12729" s="1" t="s">
        <v>20</v>
      </c>
      <c r="R12729" s="1" t="s">
        <v>26349</v>
      </c>
      <c r="V12729" s="1" t="s">
        <v>26350</v>
      </c>
      <c r="W12729" s="1" t="s">
        <v>26351</v>
      </c>
      <c r="AR12729" s="1" t="str">
        <f t="shared" si="801"/>
        <v>| [ㄨ](ㄨ.md) | [汙](汙.md) |  | wū | [名]
穢物。如：「藏汙納垢」。《左傳．宣公十五年》：「高下在心，川澤納汙，山藪藏疾，瑾瑜匿瑕。」
[形]
1.不清潔的。如：「汙水」、「汙泥」。《史記．卷一二六．滑稽傳．褚少孫補東方朔傳》：「飯已，盡懷其餘肉持去，衣盡汙。」
2.低劣的、不廉潔的。如：「貪官汙吏」。《書經．胤征》：「舊染汙俗，咸與惟新。」《後漢書．卷六七．黨錮傳．范滂傳》：「及至州境，守令自知臧汙，望風解印綬去。」
[動]
1.弄髒。《呂氏春秋．季冬紀．不侵》：「萬乘之嚴主辱其使者，退而自刎也，必以其血汙其衣。」唐．白居易〈新樂府．官牛〉：「昨來新拜右丞相，恐怕泥塗汙馬蹄。」
2.詆毀、毀謗。如：「汙衊」。漢．揚雄《法言．先知》：「若汙人老，屈人孤。」《新五代史．卷三四．一行傳．石昂傳》：「禁其家不可以佛事汙吾先人。」
3.衰微。《禮記．檀弓上》：「道隆則從而隆，道汙則從而汙。」 |</v>
      </c>
    </row>
    <row r="12730" spans="1:44" hidden="1">
      <c r="A12730" s="1" t="s">
        <v>26352</v>
      </c>
      <c r="C12730" s="1">
        <v>1</v>
      </c>
      <c r="D12730" s="1" t="str">
        <f>"11218"</f>
        <v>11218</v>
      </c>
      <c r="E12730" s="1" t="s">
        <v>132</v>
      </c>
      <c r="F12730" s="1">
        <v>6</v>
      </c>
      <c r="G12730" s="1">
        <v>3</v>
      </c>
      <c r="H12730" s="1">
        <v>0</v>
      </c>
      <c r="I12730" s="1" t="s">
        <v>26348</v>
      </c>
      <c r="K12730" s="1" t="str">
        <f t="shared" si="802"/>
        <v>ㄨ</v>
      </c>
      <c r="L12730" s="1" t="str">
        <f t="shared" si="803"/>
        <v/>
      </c>
      <c r="M12730" s="1" t="str">
        <f t="shared" si="804"/>
        <v/>
      </c>
      <c r="P12730" s="1" t="s">
        <v>20</v>
      </c>
      <c r="R12730" s="1" t="s">
        <v>26349</v>
      </c>
      <c r="V12730" s="1" t="s">
        <v>26353</v>
      </c>
      <c r="AR12730" s="1" t="str">
        <f t="shared" si="801"/>
        <v>| [ㄨ](ㄨ.md) | [圬](圬.md) |  | wū | [名]
1.鏝刀，塗抹牆壁的工具。同「杇」。《集韻．平聲．模韻》：「杇，說文：『所以塗也。』……或作圬、釫。」
2.塗飾的工作。唐．韓愈〈圬者王承福傳〉：「圬之為技，賤且勞者也。」
[動]
塗抹。唐．白居易〈草堂記〉：「木斲而已不加丹，牆圬而已不加白。」 |</v>
      </c>
    </row>
    <row r="12731" spans="1:44" hidden="1">
      <c r="A12731" s="1" t="s">
        <v>26354</v>
      </c>
      <c r="C12731" s="1">
        <v>1</v>
      </c>
      <c r="D12731" s="1" t="str">
        <f>"11219"</f>
        <v>11219</v>
      </c>
      <c r="E12731" s="1" t="s">
        <v>139</v>
      </c>
      <c r="F12731" s="1">
        <v>7</v>
      </c>
      <c r="G12731" s="1">
        <v>3</v>
      </c>
      <c r="H12731" s="1">
        <v>0</v>
      </c>
      <c r="I12731" s="1" t="s">
        <v>26348</v>
      </c>
      <c r="K12731" s="1" t="str">
        <f t="shared" si="802"/>
        <v>ㄨ</v>
      </c>
      <c r="L12731" s="1" t="str">
        <f t="shared" si="803"/>
        <v/>
      </c>
      <c r="M12731" s="1" t="str">
        <f t="shared" si="804"/>
        <v/>
      </c>
      <c r="P12731" s="1" t="s">
        <v>20</v>
      </c>
      <c r="R12731" s="1" t="s">
        <v>26349</v>
      </c>
      <c r="V12731" s="1" t="s">
        <v>26355</v>
      </c>
      <c r="AR12731" s="1" t="str">
        <f t="shared" si="801"/>
        <v>| [ㄨ](ㄨ.md) | [杇](杇.md) |  | wū | [名]
泥水工塗刷牆壁的工具。俗稱為「瓦刀」、「鏝刀」。《說文解字．木部》：「杇，所以涂也。秦謂之杇，關東謂之槾。」清．段玉裁．注：「此器今江浙以鐵為之，或以木……杇、槾古字也，釫、鏝今字也。」
[動]
粉刷。《論語．公冶長》：「朽木不可雕也，糞土之牆不可杇也。」 |</v>
      </c>
    </row>
    <row r="12732" spans="1:44" hidden="1">
      <c r="A12732" s="1" t="s">
        <v>26356</v>
      </c>
      <c r="C12732" s="1">
        <v>1</v>
      </c>
      <c r="D12732" s="1" t="str">
        <f>"11220"</f>
        <v>11220</v>
      </c>
      <c r="E12732" s="1" t="s">
        <v>129</v>
      </c>
      <c r="F12732" s="1">
        <v>9</v>
      </c>
      <c r="G12732" s="1">
        <v>6</v>
      </c>
      <c r="H12732" s="1">
        <v>0</v>
      </c>
      <c r="I12732" s="1" t="s">
        <v>26348</v>
      </c>
      <c r="K12732" s="1" t="str">
        <f t="shared" si="802"/>
        <v>ㄨ</v>
      </c>
      <c r="L12732" s="1" t="str">
        <f t="shared" si="803"/>
        <v/>
      </c>
      <c r="M12732" s="1" t="str">
        <f t="shared" si="804"/>
        <v/>
      </c>
      <c r="P12732" s="1" t="s">
        <v>20</v>
      </c>
      <c r="R12732" s="1" t="s">
        <v>26349</v>
      </c>
      <c r="V12732" s="1" t="s">
        <v>26357</v>
      </c>
      <c r="AR12732" s="1" t="str">
        <f t="shared" si="801"/>
        <v>| [ㄨ](ㄨ.md) | [洿](洿.md) |  | wū | [名]
停積的水池、濁水池。《孟子．梁惠王上》：「數罟不入洿池，魚鱉不可勝食也。」唐．劉禹錫〈復荊門縣記〉：「昔飲于洿，夏溷冬枯；自公感通，觱沸生兮。」
[動]
1.掘地成池。《禮記．檀弓下》：「殺其人，壞其室，洿其宮而豬焉。」
2.塗抹。《漢書．卷九九．王莽傳下》：「曰：『毋使民復思也。』以墨洿色其周垣。」《文選．陳琳．檄吳將校部曲文》：「孫權小子，未辨菽麥，要領不足以膏齊斧，名字不足以洿簡墨。」
[形]
卑汙、不廉潔的。《漢書．卷九七．孝成許皇后傳》：「洿穢不修，曠職尸官。」 |</v>
      </c>
    </row>
    <row r="12733" spans="1:44" hidden="1">
      <c r="A12733" s="1" t="s">
        <v>26358</v>
      </c>
      <c r="C12733" s="1">
        <v>1</v>
      </c>
      <c r="D12733" s="1" t="str">
        <f>"11221"</f>
        <v>11221</v>
      </c>
      <c r="E12733" s="1" t="s">
        <v>10636</v>
      </c>
      <c r="F12733" s="1">
        <v>7</v>
      </c>
      <c r="G12733" s="1">
        <v>4</v>
      </c>
      <c r="H12733" s="1">
        <v>1</v>
      </c>
      <c r="I12733" s="1" t="s">
        <v>26348</v>
      </c>
      <c r="K12733" s="1" t="str">
        <f t="shared" si="802"/>
        <v>ㄨ</v>
      </c>
      <c r="L12733" s="1" t="str">
        <f t="shared" si="803"/>
        <v/>
      </c>
      <c r="M12733" s="1" t="str">
        <f t="shared" si="804"/>
        <v/>
      </c>
      <c r="P12733" s="1" t="s">
        <v>388</v>
      </c>
      <c r="R12733" s="1" t="s">
        <v>26349</v>
      </c>
      <c r="V12733" s="1" t="s">
        <v>26359</v>
      </c>
      <c r="W12733" s="1" t="s">
        <v>26360</v>
      </c>
      <c r="AR12733" s="1" t="str">
        <f t="shared" si="801"/>
        <v>| [ㄨ](ㄨ.md) | [巫](巫.md) |  | wū | [名]
1.神鬼的代言人或是代人祈禱，求鬼神賜福、解決問題的人。如：「女巫」、「巫祝」、「巫醫」。宋．樂雷發〈常寧道中懷許介之〉詩：「野巫豎石為神像，稚子搓泥作藥丸。」
2.姓。如商代有巫咸。 |</v>
      </c>
    </row>
    <row r="12734" spans="1:44" hidden="1">
      <c r="A12734" s="1" t="s">
        <v>26361</v>
      </c>
      <c r="C12734" s="1">
        <v>1</v>
      </c>
      <c r="D12734" s="1" t="str">
        <f>"11222"</f>
        <v>11222</v>
      </c>
      <c r="E12734" s="1" t="s">
        <v>331</v>
      </c>
      <c r="F12734" s="1">
        <v>14</v>
      </c>
      <c r="G12734" s="1">
        <v>7</v>
      </c>
      <c r="H12734" s="1">
        <v>1</v>
      </c>
      <c r="I12734" s="1" t="s">
        <v>26348</v>
      </c>
      <c r="K12734" s="1" t="str">
        <f t="shared" si="802"/>
        <v>ㄨ</v>
      </c>
      <c r="L12734" s="1" t="str">
        <f t="shared" si="803"/>
        <v/>
      </c>
      <c r="M12734" s="1" t="str">
        <f t="shared" si="804"/>
        <v/>
      </c>
      <c r="P12734" s="1" t="s">
        <v>388</v>
      </c>
      <c r="R12734" s="1" t="s">
        <v>26349</v>
      </c>
      <c r="V12734" s="1" t="s">
        <v>26362</v>
      </c>
      <c r="W12734" s="1" t="s">
        <v>26363</v>
      </c>
      <c r="AR12734" s="1" t="str">
        <f t="shared" si="801"/>
        <v>| [ㄨ](ㄨ.md) | [誣](誣.md) |  | wū | [動]
1.陷害、毀謗。如：「誣賴」、「誣陷」。南朝梁．江淹〈自序傳〉：「或為世士所嫉，遂誣淹以受金者。」《明史．卷一八七．馬中錫傳》：「誣為盜，遣甯杲、柳尚義繪形捕之，破其家。」
2.欺騙、矇騙。《孟子．滕文公下》：「邪說誣民，充塞仁義也。」宋．司馬光《資治通鑑．卷二四四．唐紀六十．文宗太和六年》：「當文宗求治之時，僧孺任居承弼，進則偷安取容以竊位，退則欺君誣世以盜名，罪孰大焉！」
[形]
虛妄不實的。《墨子．非儒下》：「儒者迎妻，妻之奉祭祀，子將守宗廟，故重之。應之曰：『此誣言也。』」《紅樓夢》第七八回：「小哥兒十三歲的人，就如此，可知家學淵源，真不誣矣。」 |</v>
      </c>
    </row>
    <row r="12735" spans="1:44" hidden="1">
      <c r="A12735" s="1" t="s">
        <v>26364</v>
      </c>
      <c r="C12735" s="1">
        <v>1</v>
      </c>
      <c r="D12735" s="1" t="str">
        <f>"11223"</f>
        <v>11223</v>
      </c>
      <c r="E12735" s="1" t="s">
        <v>800</v>
      </c>
      <c r="F12735" s="1">
        <v>8</v>
      </c>
      <c r="G12735" s="1">
        <v>4</v>
      </c>
      <c r="H12735" s="1">
        <v>2</v>
      </c>
      <c r="I12735" s="1" t="s">
        <v>26348</v>
      </c>
      <c r="K12735" s="1" t="str">
        <f t="shared" si="802"/>
        <v>ㄨ</v>
      </c>
      <c r="L12735" s="1" t="str">
        <f t="shared" si="803"/>
        <v/>
      </c>
      <c r="M12735" s="1" t="str">
        <f t="shared" si="804"/>
        <v/>
      </c>
      <c r="P12735" s="1" t="s">
        <v>20</v>
      </c>
      <c r="R12735" s="1" t="s">
        <v>26349</v>
      </c>
      <c r="V12735" s="1" t="s">
        <v>26365</v>
      </c>
      <c r="W12735" s="1" t="s">
        <v>26366</v>
      </c>
      <c r="AR12735" s="1" t="str">
        <f t="shared" si="801"/>
        <v>| [ㄨ](ㄨ.md) | [於](於.md) |  | wū | [名]
「烏」的本字。《穆天子傳》卷三：「徂彼西土，爰居其野。虎豹為群，於鵲與處。」晉．郭璞．注：「於，讀曰烏。」
[歎]
表示感嘆、讚美的語氣。《詩經．周頌．清廟》：「於穆清廟，肅雝顯相。」《史記．卷二．夏本紀》：「皋陶曰：『於！慎其身脩。』」 |</v>
      </c>
    </row>
    <row r="12736" spans="1:44" hidden="1">
      <c r="A12736" s="1" t="s">
        <v>26367</v>
      </c>
      <c r="C12736" s="1">
        <v>1</v>
      </c>
      <c r="D12736" s="1" t="str">
        <f>"11224"</f>
        <v>11224</v>
      </c>
      <c r="E12736" s="1" t="s">
        <v>871</v>
      </c>
      <c r="F12736" s="1">
        <v>9</v>
      </c>
      <c r="G12736" s="1">
        <v>6</v>
      </c>
      <c r="H12736" s="1">
        <v>0</v>
      </c>
      <c r="I12736" s="1" t="s">
        <v>26348</v>
      </c>
      <c r="K12736" s="1" t="str">
        <f t="shared" si="802"/>
        <v>ㄨ</v>
      </c>
      <c r="L12736" s="1" t="str">
        <f t="shared" si="803"/>
        <v/>
      </c>
      <c r="M12736" s="1" t="str">
        <f t="shared" si="804"/>
        <v/>
      </c>
      <c r="P12736" s="1" t="s">
        <v>20</v>
      </c>
      <c r="R12736" s="1" t="s">
        <v>26349</v>
      </c>
      <c r="V12736" s="1" t="s">
        <v>26368</v>
      </c>
      <c r="AR12736" s="1" t="str">
        <f t="shared" si="801"/>
        <v>| [ㄨ](ㄨ.md) | [屋](屋.md) |  | wū | [名]
1.房舍。如：「茅屋」、「住屋」、「房屋」。
2.房間。如：「這屋子光線充足。」
3.車蓋。《文選．張衡．東京賦》：「輹弩重旃，朱旄青屋。」《遼史．卷五五．儀衛志一》：「平頭輦，常行用之。制如逍遙，無屋。」
4.帳幕。通「幄」。《詩經．大雅．抑》：「相在爾室，尚不愧于屋漏。」《墨子．節葬下》：「綸組節約，車馬藏乎壙，又必多為屋幕。」 |</v>
      </c>
    </row>
    <row r="12737" spans="1:44" hidden="1">
      <c r="A12737" s="1" t="s">
        <v>26369</v>
      </c>
      <c r="C12737" s="1">
        <v>1</v>
      </c>
      <c r="D12737" s="1" t="str">
        <f>"11225"</f>
        <v>11225</v>
      </c>
      <c r="E12737" s="1" t="s">
        <v>185</v>
      </c>
      <c r="F12737" s="1">
        <v>11</v>
      </c>
      <c r="G12737" s="1">
        <v>9</v>
      </c>
      <c r="H12737" s="1">
        <v>0</v>
      </c>
      <c r="I12737" s="1" t="s">
        <v>26348</v>
      </c>
      <c r="K12737" s="1" t="str">
        <f t="shared" si="802"/>
        <v>ㄨ</v>
      </c>
      <c r="L12737" s="1" t="str">
        <f t="shared" si="803"/>
        <v/>
      </c>
      <c r="M12737" s="1" t="str">
        <f t="shared" si="804"/>
        <v/>
      </c>
      <c r="P12737" s="1" t="s">
        <v>20</v>
      </c>
      <c r="R12737" s="1" t="s">
        <v>26349</v>
      </c>
      <c r="V12737" s="1" t="s">
        <v>26370</v>
      </c>
      <c r="AR12737" s="1" t="str">
        <f t="shared" si="801"/>
        <v>| [ㄨ](ㄨ.md) | [剭](剭.md) |  | wū | [動]
誅殺。《漢書．卷一〇〇．敘傳下》：「彫落洪支，底剭鼎臣。」顏師古注引服虔曰：「底，致也。周禮有屋誅，誅大臣於屋下，不露也。」 |</v>
      </c>
    </row>
    <row r="12738" spans="1:44" hidden="1">
      <c r="A12738" s="1" t="s">
        <v>24170</v>
      </c>
      <c r="C12738" s="1">
        <v>1</v>
      </c>
      <c r="D12738" s="1" t="str">
        <f>"11226"</f>
        <v>11226</v>
      </c>
      <c r="E12738" s="1" t="s">
        <v>28</v>
      </c>
      <c r="F12738" s="1">
        <v>12</v>
      </c>
      <c r="G12738" s="1">
        <v>9</v>
      </c>
      <c r="H12738" s="1">
        <v>2</v>
      </c>
      <c r="I12738" s="1" t="s">
        <v>26348</v>
      </c>
      <c r="K12738" s="1" t="str">
        <f t="shared" si="802"/>
        <v>ㄨ</v>
      </c>
      <c r="L12738" s="1" t="str">
        <f t="shared" si="803"/>
        <v/>
      </c>
      <c r="M12738" s="1" t="str">
        <f t="shared" si="804"/>
        <v/>
      </c>
      <c r="P12738" s="1" t="s">
        <v>110</v>
      </c>
      <c r="R12738" s="1" t="s">
        <v>26349</v>
      </c>
      <c r="V12738" s="1" t="s">
        <v>111</v>
      </c>
      <c r="W12738" s="1" t="s">
        <v>26371</v>
      </c>
      <c r="AR12738" s="1" t="str">
        <f t="shared" si="801"/>
        <v>| [ㄨ](ㄨ.md) | [喔](喔.md) |  | wū | (一)之又音。 |</v>
      </c>
    </row>
    <row r="12739" spans="1:44" hidden="1">
      <c r="A12739" s="1" t="s">
        <v>26372</v>
      </c>
      <c r="C12739" s="1">
        <v>1</v>
      </c>
      <c r="D12739" s="1" t="str">
        <f>"11227"</f>
        <v>11227</v>
      </c>
      <c r="E12739" s="1" t="s">
        <v>336</v>
      </c>
      <c r="F12739" s="1">
        <v>10</v>
      </c>
      <c r="G12739" s="1">
        <v>6</v>
      </c>
      <c r="H12739" s="1">
        <v>0</v>
      </c>
      <c r="I12739" s="1" t="s">
        <v>26348</v>
      </c>
      <c r="K12739" s="1" t="str">
        <f t="shared" si="802"/>
        <v>ㄨ</v>
      </c>
      <c r="L12739" s="1" t="str">
        <f t="shared" si="803"/>
        <v/>
      </c>
      <c r="M12739" s="1" t="str">
        <f t="shared" si="804"/>
        <v/>
      </c>
      <c r="P12739" s="1" t="s">
        <v>20</v>
      </c>
      <c r="R12739" s="1" t="s">
        <v>26349</v>
      </c>
      <c r="V12739" s="1" t="s">
        <v>26373</v>
      </c>
      <c r="AR12739" s="1" t="str">
        <f t="shared" ref="AR12739:AR12802" si="805">"| ["&amp;I12739&amp;"]("&amp;I12739&amp;".md) | ["&amp;A12739&amp;"]("&amp;A12739&amp;".md) | "&amp;" | "&amp;R12739&amp;" | "&amp;V12739&amp;" |"</f>
        <v>| [ㄨ](ㄨ.md) | [烏](烏.md) |  | wū | [名]
1.烏鴉的簡稱。唐．張繼〈楓橋夜泊〉詩：「月落烏啼霜滿天，江楓漁火對愁眠。」
2.俗以為日中有烏，故日稱為「烏」。參見「烏兔」條。晉．陶淵明〈怨詩楚調示龐主簿鄧治中〉詩：「造夕思雞鳴，及晨願烏遷。」
3.姓。如春秋時齊有烏餘。
[形]
黑色的。如：「烏雲」、「烏髮」。《史記．卷一一〇．匈奴傳》：「北方盡烏驪馬，南方盡騂馬。」《儒林外史》第一四回：「馬二先生身子又長，戴一頂高方巾，一幅烏黑的臉。」
[動]
染黑。明．李時珍《本草綱目．卷一六．草部．鱧腸》：「汁塗眉髮，生速而繁。烏髭髮，益腎陰。」
[副]
表示反問的語氣，相當於「何」、「安」、「哪裡」、「怎麼」。《呂氏春秋．季夏紀．明理》：「故亂世之主烏聞至樂？不聞至榮，其樂不樂。」唐．韓愈〈言箴〉：「不知言之人，烏可與言？」 |</v>
      </c>
    </row>
    <row r="12740" spans="1:44" hidden="1">
      <c r="A12740" s="1" t="s">
        <v>26374</v>
      </c>
      <c r="C12740" s="1">
        <v>1</v>
      </c>
      <c r="D12740" s="1" t="str">
        <f>"11228"</f>
        <v>11228</v>
      </c>
      <c r="E12740" s="1" t="s">
        <v>28</v>
      </c>
      <c r="F12740" s="1">
        <v>13</v>
      </c>
      <c r="G12740" s="1">
        <v>10</v>
      </c>
      <c r="H12740" s="1">
        <v>0</v>
      </c>
      <c r="I12740" s="1" t="s">
        <v>26348</v>
      </c>
      <c r="K12740" s="1" t="str">
        <f t="shared" si="802"/>
        <v>ㄨ</v>
      </c>
      <c r="L12740" s="1" t="str">
        <f t="shared" si="803"/>
        <v/>
      </c>
      <c r="M12740" s="1" t="str">
        <f t="shared" si="804"/>
        <v/>
      </c>
      <c r="P12740" s="1" t="s">
        <v>20</v>
      </c>
      <c r="R12740" s="1" t="s">
        <v>26349</v>
      </c>
      <c r="V12740" s="1" t="s">
        <v>26375</v>
      </c>
      <c r="AR12740" s="1" t="str">
        <f t="shared" si="805"/>
        <v>| [ㄨ](ㄨ.md) | [嗚](嗚.md) |  | wū | 參見「嗚呼」條。 |</v>
      </c>
    </row>
    <row r="12741" spans="1:44" hidden="1">
      <c r="A12741" s="1" t="s">
        <v>26376</v>
      </c>
      <c r="C12741" s="1">
        <v>1</v>
      </c>
      <c r="D12741" s="1" t="str">
        <f>"11229"</f>
        <v>11229</v>
      </c>
      <c r="E12741" s="1" t="s">
        <v>256</v>
      </c>
      <c r="F12741" s="1">
        <v>13</v>
      </c>
      <c r="G12741" s="1">
        <v>10</v>
      </c>
      <c r="H12741" s="1">
        <v>0</v>
      </c>
      <c r="I12741" s="1" t="s">
        <v>26348</v>
      </c>
      <c r="K12741" s="1" t="str">
        <f t="shared" si="802"/>
        <v>ㄨ</v>
      </c>
      <c r="L12741" s="1" t="str">
        <f t="shared" si="803"/>
        <v/>
      </c>
      <c r="M12741" s="1" t="str">
        <f t="shared" si="804"/>
        <v/>
      </c>
      <c r="P12741" s="1" t="s">
        <v>20</v>
      </c>
      <c r="R12741" s="1" t="s">
        <v>26349</v>
      </c>
      <c r="V12741" s="1" t="s">
        <v>26377</v>
      </c>
      <c r="AR12741" s="1" t="str">
        <f t="shared" si="805"/>
        <v>| [ㄨ](ㄨ.md) | [鄔](鄔.md) |  | wū | [名]
1.地名：(1)春秋時鄭國邑地。故址約在今河南省偃師縣西南。(2)春秋時晉地。故址約在今山西省介休縣境。
2.姓。如明代有鄔良佐。 |</v>
      </c>
    </row>
    <row r="12742" spans="1:44" hidden="1">
      <c r="A12742" s="1" t="s">
        <v>26378</v>
      </c>
      <c r="C12742" s="1">
        <v>1</v>
      </c>
      <c r="D12742" s="1" t="str">
        <f>"11230"</f>
        <v>11230</v>
      </c>
      <c r="E12742" s="1" t="s">
        <v>1908</v>
      </c>
      <c r="F12742" s="1">
        <v>14</v>
      </c>
      <c r="G12742" s="1">
        <v>10</v>
      </c>
      <c r="H12742" s="1">
        <v>0</v>
      </c>
      <c r="I12742" s="1" t="s">
        <v>26348</v>
      </c>
      <c r="K12742" s="1" t="str">
        <f t="shared" si="802"/>
        <v>ㄨ</v>
      </c>
      <c r="L12742" s="1" t="str">
        <f t="shared" si="803"/>
        <v/>
      </c>
      <c r="M12742" s="1" t="str">
        <f t="shared" si="804"/>
        <v/>
      </c>
      <c r="P12742" s="1" t="s">
        <v>20</v>
      </c>
      <c r="R12742" s="1" t="s">
        <v>26349</v>
      </c>
      <c r="V12742" s="1" t="s">
        <v>26379</v>
      </c>
      <c r="AR12742" s="1" t="str">
        <f t="shared" si="805"/>
        <v>| [ㄨ](ㄨ.md) | [歍](歍.md) |  | wū | [動]
嘔吐。《說文解字．欠部》：「歍，心有所惡，若吐也。」《山海經．大荒北經》：「共工之臣名曰相繇，九首蛇身，自環，食於九土，其所歍所尼，即為源澤。」 |</v>
      </c>
    </row>
    <row r="12743" spans="1:44" hidden="1">
      <c r="A12743" s="1" t="s">
        <v>26380</v>
      </c>
      <c r="C12743" s="1">
        <v>1</v>
      </c>
      <c r="D12743" s="1" t="str">
        <f>"11231"</f>
        <v>11231</v>
      </c>
      <c r="E12743" s="1" t="s">
        <v>55</v>
      </c>
      <c r="F12743" s="1">
        <v>18</v>
      </c>
      <c r="G12743" s="1">
        <v>10</v>
      </c>
      <c r="H12743" s="1">
        <v>0</v>
      </c>
      <c r="I12743" s="1" t="s">
        <v>26348</v>
      </c>
      <c r="K12743" s="1" t="str">
        <f t="shared" si="802"/>
        <v>ㄨ</v>
      </c>
      <c r="L12743" s="1" t="str">
        <f t="shared" si="803"/>
        <v/>
      </c>
      <c r="M12743" s="1" t="str">
        <f t="shared" si="804"/>
        <v/>
      </c>
      <c r="P12743" s="1" t="s">
        <v>20</v>
      </c>
      <c r="R12743" s="1" t="s">
        <v>26349</v>
      </c>
      <c r="V12743" s="1" t="s">
        <v>26381</v>
      </c>
      <c r="AR12743" s="1" t="str">
        <f t="shared" si="805"/>
        <v>| [ㄨ](ㄨ.md) | [鎢](鎢.md) |  | wū | [名]
（tungsten，W）化學元素。原子序74。過渡金屬元素之一。鋼灰色，硬而脆，熔點及沸點是所有金屬中最高的，天然存在於鎢錳鐵礦中，主供製燈絲、車床工具和特殊合金等。 |</v>
      </c>
    </row>
    <row r="12744" spans="1:44" hidden="1">
      <c r="A12744" s="1" t="s">
        <v>24253</v>
      </c>
      <c r="C12744" s="1">
        <v>1</v>
      </c>
      <c r="D12744" s="1" t="str">
        <f>"11232"</f>
        <v>11232</v>
      </c>
      <c r="E12744" s="1" t="s">
        <v>250</v>
      </c>
      <c r="F12744" s="1">
        <v>12</v>
      </c>
      <c r="G12744" s="1">
        <v>8</v>
      </c>
      <c r="H12744" s="1">
        <v>4</v>
      </c>
      <c r="I12744" s="1" t="s">
        <v>26348</v>
      </c>
      <c r="K12744" s="1" t="str">
        <f t="shared" si="802"/>
        <v>ㄨ</v>
      </c>
      <c r="L12744" s="1" t="str">
        <f t="shared" si="803"/>
        <v/>
      </c>
      <c r="M12744" s="1" t="str">
        <f t="shared" si="804"/>
        <v/>
      </c>
      <c r="P12744" s="1" t="s">
        <v>20</v>
      </c>
      <c r="R12744" s="1" t="s">
        <v>26349</v>
      </c>
      <c r="V12744" s="1" t="s">
        <v>26382</v>
      </c>
      <c r="W12744" s="1" t="s">
        <v>26383</v>
      </c>
      <c r="AR12744" s="1" t="str">
        <f t="shared" si="805"/>
        <v>| [ㄨ](ㄨ.md) | [惡](惡.md) |  | wū | [代]
如何、怎麼。《左傳．桓公十六年》：「棄父之命，惡用子矣！」唐．柳宗元〈愚溪對〉：「然以吾之愚，而獨好汝，汝惡得避是名耶？」
[歎]
表示驚訝的語氣。《孟子．公孫丑下》：「惡！是何言也！」 |</v>
      </c>
    </row>
    <row r="12745" spans="1:44" hidden="1">
      <c r="A12745" s="1" t="s">
        <v>24449</v>
      </c>
      <c r="C12745" s="1">
        <v>1</v>
      </c>
      <c r="D12745" s="1" t="str">
        <f>"11304"</f>
        <v>11304</v>
      </c>
      <c r="E12745" s="1" t="s">
        <v>5293</v>
      </c>
      <c r="F12745" s="1">
        <v>5</v>
      </c>
      <c r="G12745" s="1">
        <v>3</v>
      </c>
      <c r="H12745" s="1">
        <v>3</v>
      </c>
      <c r="I12745" s="1" t="s">
        <v>26525</v>
      </c>
      <c r="K12745" s="1" t="str">
        <f t="shared" si="802"/>
        <v>ㄨ</v>
      </c>
      <c r="L12745" s="1" t="str">
        <f t="shared" si="803"/>
        <v>ㄚ</v>
      </c>
      <c r="M12745" s="1" t="str">
        <f t="shared" si="804"/>
        <v/>
      </c>
      <c r="P12745" s="1" t="s">
        <v>20</v>
      </c>
      <c r="R12745" s="1" t="s">
        <v>26526</v>
      </c>
      <c r="V12745" s="1" t="s">
        <v>26527</v>
      </c>
      <c r="W12745" s="1" t="s">
        <v>26528</v>
      </c>
      <c r="AR12745" s="1" t="str">
        <f t="shared" si="805"/>
        <v>| [ㄨㄚ](ㄨㄚ.md) | [凹](凹.md) |  | wā | 參見「山凹」條。 |</v>
      </c>
    </row>
    <row r="12746" spans="1:44" hidden="1">
      <c r="A12746" s="1" t="s">
        <v>26347</v>
      </c>
      <c r="C12746" s="1">
        <v>1</v>
      </c>
      <c r="D12746" s="1" t="str">
        <f>"11305"</f>
        <v>11305</v>
      </c>
      <c r="E12746" s="1" t="s">
        <v>129</v>
      </c>
      <c r="F12746" s="1">
        <v>6</v>
      </c>
      <c r="G12746" s="1">
        <v>3</v>
      </c>
      <c r="H12746" s="1">
        <v>5</v>
      </c>
      <c r="I12746" s="1" t="s">
        <v>26525</v>
      </c>
      <c r="K12746" s="1" t="str">
        <f t="shared" si="802"/>
        <v>ㄨ</v>
      </c>
      <c r="L12746" s="1" t="str">
        <f t="shared" si="803"/>
        <v>ㄚ</v>
      </c>
      <c r="M12746" s="1" t="str">
        <f t="shared" si="804"/>
        <v/>
      </c>
      <c r="P12746" s="1" t="s">
        <v>20</v>
      </c>
      <c r="R12746" s="1" t="s">
        <v>26526</v>
      </c>
      <c r="V12746" s="1" t="s">
        <v>26529</v>
      </c>
      <c r="W12746" s="1" t="s">
        <v>26530</v>
      </c>
      <c r="AR12746" s="1" t="str">
        <f t="shared" si="805"/>
        <v>| [ㄨㄚ](ㄨㄚ.md) | [汙](汙.md) |  | wā | 參見「汙尊」、「汙膺」等條。 |</v>
      </c>
    </row>
    <row r="12747" spans="1:44" hidden="1">
      <c r="A12747" s="1" t="s">
        <v>10098</v>
      </c>
      <c r="C12747" s="1">
        <v>1</v>
      </c>
      <c r="D12747" s="1" t="str">
        <f>"11306"</f>
        <v>11306</v>
      </c>
      <c r="E12747" s="1" t="s">
        <v>28</v>
      </c>
      <c r="F12747" s="1">
        <v>8</v>
      </c>
      <c r="G12747" s="1">
        <v>5</v>
      </c>
      <c r="H12747" s="1">
        <v>1</v>
      </c>
      <c r="I12747" s="1" t="s">
        <v>26525</v>
      </c>
      <c r="K12747" s="1" t="str">
        <f t="shared" si="802"/>
        <v>ㄨ</v>
      </c>
      <c r="L12747" s="1" t="str">
        <f t="shared" si="803"/>
        <v>ㄚ</v>
      </c>
      <c r="M12747" s="1" t="str">
        <f t="shared" si="804"/>
        <v/>
      </c>
      <c r="P12747" s="1" t="s">
        <v>388</v>
      </c>
      <c r="R12747" s="1" t="s">
        <v>26526</v>
      </c>
      <c r="V12747" s="1" t="s">
        <v>26531</v>
      </c>
      <c r="W12747" s="1" t="s">
        <v>26532</v>
      </c>
      <c r="AR12747" s="1" t="str">
        <f t="shared" si="805"/>
        <v>| [ㄨㄚ](ㄨㄚ.md) | [呱](呱.md) |  | wā | [擬]
形容小孩子的啼哭聲。《書經．益稷》：「啟呱呱而泣。」 |</v>
      </c>
    </row>
    <row r="12748" spans="1:44" hidden="1">
      <c r="A12748" s="1" t="s">
        <v>26533</v>
      </c>
      <c r="C12748" s="1">
        <v>1</v>
      </c>
      <c r="D12748" s="1" t="str">
        <f>"11307"</f>
        <v>11307</v>
      </c>
      <c r="E12748" s="1" t="s">
        <v>1274</v>
      </c>
      <c r="F12748" s="1">
        <v>10</v>
      </c>
      <c r="G12748" s="1">
        <v>5</v>
      </c>
      <c r="H12748" s="1">
        <v>0</v>
      </c>
      <c r="I12748" s="1" t="s">
        <v>26525</v>
      </c>
      <c r="K12748" s="1" t="str">
        <f t="shared" si="802"/>
        <v>ㄨ</v>
      </c>
      <c r="L12748" s="1" t="str">
        <f t="shared" si="803"/>
        <v>ㄚ</v>
      </c>
      <c r="M12748" s="1" t="str">
        <f t="shared" si="804"/>
        <v/>
      </c>
      <c r="P12748" s="1" t="s">
        <v>20</v>
      </c>
      <c r="R12748" s="1" t="s">
        <v>26526</v>
      </c>
      <c r="V12748" s="1" t="s">
        <v>26534</v>
      </c>
      <c r="AR12748" s="1" t="str">
        <f t="shared" si="805"/>
        <v>| [ㄨㄚ](ㄨㄚ.md) | [窊](窊.md) |  | wā | [形]
凹陷的。《文選．左思．吳都賦》：「原隰殊品，窊隆異等。」唐．元結〈抔樽銘序〉：「石有窊顛者，因修之以藏酒。」 |</v>
      </c>
    </row>
    <row r="12749" spans="1:44" hidden="1">
      <c r="A12749" s="1" t="s">
        <v>10370</v>
      </c>
      <c r="C12749" s="1">
        <v>1</v>
      </c>
      <c r="D12749" s="1" t="str">
        <f>"11308"</f>
        <v>11308</v>
      </c>
      <c r="E12749" s="1" t="s">
        <v>129</v>
      </c>
      <c r="F12749" s="1">
        <v>9</v>
      </c>
      <c r="G12749" s="1">
        <v>6</v>
      </c>
      <c r="H12749" s="1">
        <v>1</v>
      </c>
      <c r="I12749" s="1" t="s">
        <v>26525</v>
      </c>
      <c r="K12749" s="1" t="str">
        <f t="shared" si="802"/>
        <v>ㄨ</v>
      </c>
      <c r="L12749" s="1" t="str">
        <f t="shared" si="803"/>
        <v>ㄚ</v>
      </c>
      <c r="M12749" s="1" t="str">
        <f t="shared" si="804"/>
        <v/>
      </c>
      <c r="P12749" s="1" t="s">
        <v>20</v>
      </c>
      <c r="R12749" s="1" t="s">
        <v>26526</v>
      </c>
      <c r="V12749" s="1" t="s">
        <v>26535</v>
      </c>
      <c r="W12749" s="1" t="s">
        <v>26536</v>
      </c>
      <c r="AR12749" s="1" t="str">
        <f t="shared" si="805"/>
        <v>| [ㄨㄚ](ㄨㄚ.md) | [洼](洼.md) |  | wā | [名]
窪下有水的地方。《水滸傳》第五五回：「小可分兵攻打，務要肅清山寨，掃盡水洼，擒獲眾賊，拆毀巢穴。」 |</v>
      </c>
    </row>
    <row r="12750" spans="1:44" hidden="1">
      <c r="A12750" s="1" t="s">
        <v>26537</v>
      </c>
      <c r="C12750" s="1">
        <v>1</v>
      </c>
      <c r="D12750" s="1" t="str">
        <f>"11309"</f>
        <v>11309</v>
      </c>
      <c r="E12750" s="1" t="s">
        <v>28</v>
      </c>
      <c r="F12750" s="1">
        <v>9</v>
      </c>
      <c r="G12750" s="1">
        <v>6</v>
      </c>
      <c r="H12750" s="1">
        <v>1</v>
      </c>
      <c r="I12750" s="1" t="s">
        <v>26525</v>
      </c>
      <c r="K12750" s="1" t="str">
        <f t="shared" si="802"/>
        <v>ㄨ</v>
      </c>
      <c r="L12750" s="1" t="str">
        <f t="shared" si="803"/>
        <v>ㄚ</v>
      </c>
      <c r="M12750" s="1" t="str">
        <f t="shared" si="804"/>
        <v/>
      </c>
      <c r="P12750" s="1" t="s">
        <v>20</v>
      </c>
      <c r="R12750" s="1" t="s">
        <v>26526</v>
      </c>
      <c r="V12750" s="1" t="s">
        <v>26538</v>
      </c>
      <c r="W12750" s="1" t="s">
        <v>26539</v>
      </c>
      <c r="AR12750" s="1" t="str">
        <f t="shared" si="805"/>
        <v>| [ㄨㄚ](ㄨㄚ.md) | [哇](哇.md) |  | wā | [擬]
形容哭聲。如：「那小孩哇的一聲哭了起來。」
[動]
嘔吐。《孟子．滕文公下》：「其兄自外至曰：『是鶂鶂之肉也。』出而哇之。」
[名]
淫靡的樂聲。唐．薛能〈寓題〉詩：「淫哇滿眼關雎弱，猶賀清朝有此身。」 |</v>
      </c>
    </row>
    <row r="12751" spans="1:44" hidden="1">
      <c r="A12751" s="1" t="s">
        <v>10377</v>
      </c>
      <c r="C12751" s="1">
        <v>1</v>
      </c>
      <c r="D12751" s="1" t="str">
        <f>"11310"</f>
        <v>11310</v>
      </c>
      <c r="E12751" s="1" t="s">
        <v>1274</v>
      </c>
      <c r="F12751" s="1">
        <v>11</v>
      </c>
      <c r="G12751" s="1">
        <v>6</v>
      </c>
      <c r="H12751" s="1">
        <v>2</v>
      </c>
      <c r="I12751" s="1" t="s">
        <v>26525</v>
      </c>
      <c r="K12751" s="1" t="str">
        <f t="shared" si="802"/>
        <v>ㄨ</v>
      </c>
      <c r="L12751" s="1" t="str">
        <f t="shared" si="803"/>
        <v>ㄚ</v>
      </c>
      <c r="M12751" s="1" t="str">
        <f t="shared" si="804"/>
        <v/>
      </c>
      <c r="P12751" s="1" t="s">
        <v>20</v>
      </c>
      <c r="R12751" s="1" t="s">
        <v>26526</v>
      </c>
      <c r="V12751" s="1" t="s">
        <v>26540</v>
      </c>
      <c r="W12751" s="1" t="s">
        <v>26541</v>
      </c>
      <c r="AR12751" s="1" t="str">
        <f t="shared" si="805"/>
        <v>| [ㄨㄚ](ㄨㄚ.md) | [窐](窐.md) |  | wā | [名]
低陷的地方。《呂氏春秋．士容論．任地》：「子能以窐為突乎？」 |</v>
      </c>
    </row>
    <row r="12752" spans="1:44" hidden="1">
      <c r="A12752" s="1" t="s">
        <v>26542</v>
      </c>
      <c r="C12752" s="1">
        <v>1</v>
      </c>
      <c r="D12752" s="1" t="str">
        <f>"11311"</f>
        <v>11311</v>
      </c>
      <c r="E12752" s="1" t="s">
        <v>679</v>
      </c>
      <c r="F12752" s="1">
        <v>12</v>
      </c>
      <c r="G12752" s="1">
        <v>6</v>
      </c>
      <c r="H12752" s="1">
        <v>0</v>
      </c>
      <c r="I12752" s="1" t="s">
        <v>26525</v>
      </c>
      <c r="K12752" s="1" t="str">
        <f t="shared" si="802"/>
        <v>ㄨ</v>
      </c>
      <c r="L12752" s="1" t="str">
        <f t="shared" si="803"/>
        <v>ㄚ</v>
      </c>
      <c r="M12752" s="1" t="str">
        <f t="shared" si="804"/>
        <v/>
      </c>
      <c r="P12752" s="1" t="s">
        <v>20</v>
      </c>
      <c r="R12752" s="1" t="s">
        <v>26526</v>
      </c>
      <c r="V12752" s="1" t="s">
        <v>26543</v>
      </c>
      <c r="AR12752" s="1" t="str">
        <f t="shared" si="805"/>
        <v>| [ㄨㄚ](ㄨㄚ.md) | [蛙](蛙.md) |  | wā | [名]
脊椎動物兩棲類的通稱。體短闊，前銳後廣，滑潤無鱗，可行氣體交換，且無頸無尾。四肢發達，但前肢短小，後肢長，趾間有蹼，為游泳之用，喜居陰溼地。冬季有冬眠行為。種類多，常見的有青蛙、牛蛙、樹蛙等。 |</v>
      </c>
    </row>
    <row r="12753" spans="1:44" hidden="1">
      <c r="A12753" s="1" t="s">
        <v>26544</v>
      </c>
      <c r="C12753" s="1">
        <v>1</v>
      </c>
      <c r="D12753" s="1" t="str">
        <f>"11312"</f>
        <v>11312</v>
      </c>
      <c r="E12753" s="1" t="s">
        <v>1274</v>
      </c>
      <c r="F12753" s="1">
        <v>14</v>
      </c>
      <c r="G12753" s="1">
        <v>9</v>
      </c>
      <c r="H12753" s="1">
        <v>0</v>
      </c>
      <c r="I12753" s="1" t="s">
        <v>26525</v>
      </c>
      <c r="K12753" s="1" t="str">
        <f t="shared" si="802"/>
        <v>ㄨ</v>
      </c>
      <c r="L12753" s="1" t="str">
        <f t="shared" si="803"/>
        <v>ㄚ</v>
      </c>
      <c r="M12753" s="1" t="str">
        <f t="shared" si="804"/>
        <v/>
      </c>
      <c r="P12753" s="1" t="s">
        <v>20</v>
      </c>
      <c r="R12753" s="1" t="s">
        <v>26526</v>
      </c>
      <c r="V12753" s="1" t="s">
        <v>26545</v>
      </c>
      <c r="AR12753" s="1" t="str">
        <f t="shared" si="805"/>
        <v>| [ㄨㄚ](ㄨㄚ.md) | [窪](窪.md) |  | wā | [名]_x000D_
1.四周高，中間低陷的地方。宋．釋道璨〈無準小師祭老彰〉：「石之窪，木之癭，乾坤變化，各正性命。」《古今圖書集成．曆象彙編乾象典．卷三八．月部藝文一》引明．陳仁錫《西湖月觀》：「泉自頂下山之窪，伏流飛注，水波皺而聲漸激。」_x000D_
2.水池，水坑。如：「水窪」。元．張憲〈富陽行〉：「城南城北血成窪，十里火雲飛火鴉。」_x000D_
[形]_x000D_
四周高，中間低。凹陷的。如：「低窪」、「岈然窪然」、「坑坑窪窪」。《老子》第二二章：「曲則全，枉則直；窪則盈，敝則新。」宋．蘇軾〈張幾仲有龍尾子石硯以銅劍易之〉詩：「我家銅劍如赤蛇，君家石硯蒼璧橢而窪。」_x000D_
[副]_x000D_
深。唐．白居易〈奉和思黯相公以李蘇州所寄太湖石奇狀絕倫因題二十韻見示兼呈夢得〉：「尖削琅玕筍，窪剜瑪瑙罍。」_x000D_
[量]_x000D_
用於計算聚積於窪坑或地面的液體。如：「一窪積水」。《金瓶梅》第一七回：「一窪死水全無浪，也有春風擺動時。」《醒世姻緣傳》第九〇回：「及至到了那邊，看得金碧輝煌，十分壯麗，心裡又痛又感，一面叩謝眾人，一面號啕痛哭，嘔了兩聲，吐了一窪鮮血，便覺昏沉，家人扶在驢上，攙他回去。」《浙江通志．卷一〇七．物産七．溫州府》引《龍泉縣志》：「楊梅嶺下有泉一窪，可沃楊梅，旬日不壞。」 |</v>
      </c>
    </row>
    <row r="12754" spans="1:44" hidden="1">
      <c r="A12754" s="1" t="s">
        <v>26546</v>
      </c>
      <c r="C12754" s="1">
        <v>1</v>
      </c>
      <c r="D12754" s="1" t="str">
        <f>"11313"</f>
        <v>11313</v>
      </c>
      <c r="E12754" s="1" t="s">
        <v>24</v>
      </c>
      <c r="F12754" s="1">
        <v>9</v>
      </c>
      <c r="G12754" s="1">
        <v>6</v>
      </c>
      <c r="H12754" s="1">
        <v>1</v>
      </c>
      <c r="I12754" s="1" t="s">
        <v>26525</v>
      </c>
      <c r="K12754" s="1" t="str">
        <f t="shared" si="802"/>
        <v>ㄨ</v>
      </c>
      <c r="L12754" s="1" t="str">
        <f t="shared" si="803"/>
        <v>ㄚ</v>
      </c>
      <c r="M12754" s="1" t="str">
        <f t="shared" si="804"/>
        <v/>
      </c>
      <c r="P12754" s="1" t="s">
        <v>20</v>
      </c>
      <c r="R12754" s="1" t="s">
        <v>26526</v>
      </c>
      <c r="V12754" s="1" t="s">
        <v>26547</v>
      </c>
      <c r="W12754" s="1" t="s">
        <v>26548</v>
      </c>
      <c r="AR12754" s="1" t="str">
        <f t="shared" si="805"/>
        <v>| [ㄨㄚ](ㄨㄚ.md) | [挖](挖.md) |  | wā | [動]
1.掘。明．湯顯祖《牡丹亭》第三五齣：「敢太歲頭上動土？向小姐腳跟挖窟。」《儒林外史》第三八回：「去地下挖了一個坑，把郭孝子提了放在坑裡。」
2.掏取。如：「小心荷包裡的錢，不要被小偷挖了。」《老殘遊記》第五回：「掌櫃的，你怎麼羞了？大家等你挖麵做飯吃呢！」 |</v>
      </c>
    </row>
    <row r="12755" spans="1:44" hidden="1">
      <c r="A12755" s="1" t="s">
        <v>26549</v>
      </c>
      <c r="C12755" s="1">
        <v>1</v>
      </c>
      <c r="D12755" s="1" t="str">
        <f>"11314"</f>
        <v>11314</v>
      </c>
      <c r="E12755" s="1" t="s">
        <v>534</v>
      </c>
      <c r="F12755" s="1">
        <v>12</v>
      </c>
      <c r="G12755" s="1">
        <v>9</v>
      </c>
      <c r="H12755" s="1">
        <v>0</v>
      </c>
      <c r="I12755" s="1" t="s">
        <v>26525</v>
      </c>
      <c r="K12755" s="1" t="str">
        <f t="shared" si="802"/>
        <v>ㄨ</v>
      </c>
      <c r="L12755" s="1" t="str">
        <f t="shared" si="803"/>
        <v>ㄚ</v>
      </c>
      <c r="M12755" s="1" t="str">
        <f t="shared" si="804"/>
        <v/>
      </c>
      <c r="P12755" s="1" t="s">
        <v>20</v>
      </c>
      <c r="R12755" s="1" t="s">
        <v>26526</v>
      </c>
      <c r="V12755" s="1" t="s">
        <v>26550</v>
      </c>
      <c r="AR12755" s="1" t="str">
        <f t="shared" si="805"/>
        <v>| [ㄨㄚ](ㄨㄚ.md) | [媧](媧.md) |  | wā | 參見「女媧」條。 |</v>
      </c>
    </row>
    <row r="12756" spans="1:44" hidden="1">
      <c r="A12756" s="1" t="s">
        <v>26584</v>
      </c>
      <c r="C12756" s="1">
        <v>1</v>
      </c>
      <c r="D12756" s="1" t="str">
        <f>"11327"</f>
        <v>11327</v>
      </c>
      <c r="E12756" s="1" t="s">
        <v>114</v>
      </c>
      <c r="F12756" s="1">
        <v>10</v>
      </c>
      <c r="G12756" s="1">
        <v>8</v>
      </c>
      <c r="H12756" s="1">
        <v>1</v>
      </c>
      <c r="I12756" s="1" t="s">
        <v>26585</v>
      </c>
      <c r="K12756" s="1" t="str">
        <f t="shared" si="802"/>
        <v>ㄨ</v>
      </c>
      <c r="L12756" s="1" t="str">
        <f t="shared" si="803"/>
        <v>ㄛ</v>
      </c>
      <c r="M12756" s="1" t="str">
        <f t="shared" si="804"/>
        <v/>
      </c>
      <c r="P12756" s="1" t="s">
        <v>20</v>
      </c>
      <c r="R12756" s="1" t="s">
        <v>26586</v>
      </c>
      <c r="V12756" s="1" t="s">
        <v>26587</v>
      </c>
      <c r="W12756" s="1" t="s">
        <v>26588</v>
      </c>
      <c r="AR12756" s="1" t="str">
        <f t="shared" si="805"/>
        <v>| [ㄨㄛ](ㄨㄛ.md) | [倭](倭.md) |  | wō | [名]
中國對日本的舊稱。《漢書．卷二八．地理志下》：「樂浪海中有倭人，分為百餘國，以歲時來獻見云。」《南史．卷七九．夷貊傳下．東夷傳》：「其國近倭，頗有文身者。」 |</v>
      </c>
    </row>
    <row r="12757" spans="1:44" hidden="1">
      <c r="A12757" s="1" t="s">
        <v>10286</v>
      </c>
      <c r="C12757" s="1">
        <v>1</v>
      </c>
      <c r="D12757" s="1" t="str">
        <f>"11328"</f>
        <v>11328</v>
      </c>
      <c r="E12757" s="1" t="s">
        <v>129</v>
      </c>
      <c r="F12757" s="1">
        <v>12</v>
      </c>
      <c r="G12757" s="1">
        <v>9</v>
      </c>
      <c r="H12757" s="1">
        <v>1</v>
      </c>
      <c r="I12757" s="1" t="s">
        <v>26585</v>
      </c>
      <c r="K12757" s="1" t="str">
        <f t="shared" si="802"/>
        <v>ㄨ</v>
      </c>
      <c r="L12757" s="1" t="str">
        <f t="shared" si="803"/>
        <v>ㄛ</v>
      </c>
      <c r="M12757" s="1" t="str">
        <f t="shared" si="804"/>
        <v/>
      </c>
      <c r="P12757" s="1" t="s">
        <v>20</v>
      </c>
      <c r="R12757" s="1" t="s">
        <v>26586</v>
      </c>
      <c r="V12757" s="1" t="s">
        <v>26589</v>
      </c>
      <c r="W12757" s="1" t="s">
        <v>26590</v>
      </c>
      <c r="AR12757" s="1" t="str">
        <f t="shared" si="805"/>
        <v>| [ㄨㄛ](ㄨㄛ.md) | [渦](渦.md) |  | wō | [名]
1.旋轉流動成圓形而中間下陷的水流。如：「漩渦」。
2.像渦樣的凹點。如：「酒渦」。 |</v>
      </c>
    </row>
    <row r="12758" spans="1:44" hidden="1">
      <c r="A12758" s="1" t="s">
        <v>26591</v>
      </c>
      <c r="C12758" s="1">
        <v>1</v>
      </c>
      <c r="D12758" s="1" t="str">
        <f>"11329"</f>
        <v>11329</v>
      </c>
      <c r="E12758" s="1" t="s">
        <v>198</v>
      </c>
      <c r="F12758" s="1">
        <v>12</v>
      </c>
      <c r="G12758" s="1">
        <v>9</v>
      </c>
      <c r="H12758" s="1">
        <v>0</v>
      </c>
      <c r="I12758" s="1" t="s">
        <v>26585</v>
      </c>
      <c r="K12758" s="1" t="str">
        <f t="shared" si="802"/>
        <v>ㄨ</v>
      </c>
      <c r="L12758" s="1" t="str">
        <f t="shared" si="803"/>
        <v>ㄛ</v>
      </c>
      <c r="M12758" s="1" t="str">
        <f t="shared" si="804"/>
        <v/>
      </c>
      <c r="P12758" s="1" t="s">
        <v>20</v>
      </c>
      <c r="R12758" s="1" t="s">
        <v>26586</v>
      </c>
      <c r="V12758" s="1" t="s">
        <v>26592</v>
      </c>
      <c r="AR12758" s="1" t="str">
        <f t="shared" si="805"/>
        <v>| [ㄨㄛ](ㄨㄛ.md) | [猧](猧.md) |  | wō | [名]
小狗。宋．陸游〈書歎〉：「猧子解迎門外客，貍奴知護案間書。」清．洪昇《長生殿》第四六齣：「眠猧不吠，宿鳥無喧，葉寧樹杪，蟲息階沿。」 |</v>
      </c>
    </row>
    <row r="12759" spans="1:44" hidden="1">
      <c r="A12759" s="1" t="s">
        <v>26593</v>
      </c>
      <c r="C12759" s="1">
        <v>1</v>
      </c>
      <c r="D12759" s="1" t="str">
        <f>"11330"</f>
        <v>11330</v>
      </c>
      <c r="E12759" s="1" t="s">
        <v>37</v>
      </c>
      <c r="F12759" s="1">
        <v>13</v>
      </c>
      <c r="G12759" s="1">
        <v>9</v>
      </c>
      <c r="H12759" s="1">
        <v>0</v>
      </c>
      <c r="I12759" s="1" t="s">
        <v>26585</v>
      </c>
      <c r="K12759" s="1" t="str">
        <f t="shared" si="802"/>
        <v>ㄨ</v>
      </c>
      <c r="L12759" s="1" t="str">
        <f t="shared" si="803"/>
        <v>ㄛ</v>
      </c>
      <c r="M12759" s="1" t="str">
        <f t="shared" si="804"/>
        <v/>
      </c>
      <c r="P12759" s="1" t="s">
        <v>20</v>
      </c>
      <c r="R12759" s="1" t="s">
        <v>26586</v>
      </c>
      <c r="V12759" s="1" t="s">
        <v>26594</v>
      </c>
      <c r="AR12759" s="1" t="str">
        <f t="shared" si="805"/>
        <v>| [ㄨㄛ](ㄨㄛ.md) | [萵](萵.md) |  | wō | 參見「萵苣」條。 |</v>
      </c>
    </row>
    <row r="12760" spans="1:44" hidden="1">
      <c r="A12760" s="1" t="s">
        <v>26595</v>
      </c>
      <c r="C12760" s="1">
        <v>1</v>
      </c>
      <c r="D12760" s="1" t="str">
        <f>"11331"</f>
        <v>11331</v>
      </c>
      <c r="E12760" s="1" t="s">
        <v>1274</v>
      </c>
      <c r="F12760" s="1">
        <v>14</v>
      </c>
      <c r="G12760" s="1">
        <v>9</v>
      </c>
      <c r="H12760" s="1">
        <v>0</v>
      </c>
      <c r="I12760" s="1" t="s">
        <v>26585</v>
      </c>
      <c r="K12760" s="1" t="str">
        <f t="shared" si="802"/>
        <v>ㄨ</v>
      </c>
      <c r="L12760" s="1" t="str">
        <f t="shared" si="803"/>
        <v>ㄛ</v>
      </c>
      <c r="M12760" s="1" t="str">
        <f t="shared" si="804"/>
        <v/>
      </c>
      <c r="P12760" s="1" t="s">
        <v>20</v>
      </c>
      <c r="R12760" s="1" t="s">
        <v>26586</v>
      </c>
      <c r="V12760" s="1" t="s">
        <v>26596</v>
      </c>
      <c r="AR12760" s="1" t="str">
        <f t="shared" si="805"/>
        <v>| [ㄨㄛ](ㄨㄛ.md) | [窩](窩.md) |  | wō | [名]
1.鳥獸昆蟲等的巢穴。如：「鳥窩」、「蜂窩」、「雞窩」、「豬窩」。
2.人聚集或居住的地方。如：「賊窩」、「土匪窩」。《儒林外史》第一四回：「馬二先生身子又長，戴一頂高方巾，一幅烏黑的臉，捵著個肚子，穿著一雙厚底破靴，橫著身子亂跑，只管在人窩子裡撞。」
3.凹陷的地方。如：「酒窩」、「胳肢窩」。
4.量詞。計算窩巢的單位。如：「一窩螞蟻」、「家裡的母狗昨晚生了一窩小狗。」
[動]
1.藏匿。如：「窩藏罪犯」。《警世通言．卷一五．金令史美婢酬秀童》：「你偷庫內這四錠元寶，藏於何處？窩在那家？」
2.停留、蜷伏。如：「別整天窩在家裡，到外頭透透氣吧！」《兒女英雄傳》第六回：「那三兒只叫得一聲：『我的媽呀！』鏜，把個銅鏇了扔了，咕咭也窩在那裡了。」
3.捲、繞。如：「把鐵絲窩個圈圈兒。」《西遊記》第四六回：「須臾，剃下髮來，窩作一團，塞在那櫃腳紇絡裡。」
4.鬱積。如：「窩了一肚子氣。」 |</v>
      </c>
    </row>
    <row r="12761" spans="1:44" hidden="1">
      <c r="A12761" s="1" t="s">
        <v>2800</v>
      </c>
      <c r="C12761" s="1">
        <v>1</v>
      </c>
      <c r="D12761" s="1" t="str">
        <f>"11332"</f>
        <v>11332</v>
      </c>
      <c r="E12761" s="1" t="s">
        <v>37</v>
      </c>
      <c r="F12761" s="1">
        <v>18</v>
      </c>
      <c r="G12761" s="1">
        <v>14</v>
      </c>
      <c r="H12761" s="1">
        <v>2</v>
      </c>
      <c r="I12761" s="1" t="s">
        <v>26585</v>
      </c>
      <c r="K12761" s="1" t="str">
        <f t="shared" si="802"/>
        <v>ㄨ</v>
      </c>
      <c r="L12761" s="1" t="str">
        <f t="shared" si="803"/>
        <v>ㄛ</v>
      </c>
      <c r="M12761" s="1" t="str">
        <f t="shared" ref="M12761:M12792" si="806">MID(I12761, 3, 1)</f>
        <v/>
      </c>
      <c r="P12761" s="1" t="s">
        <v>20</v>
      </c>
      <c r="R12761" s="1" t="s">
        <v>26586</v>
      </c>
      <c r="V12761" s="1" t="s">
        <v>26597</v>
      </c>
      <c r="W12761" s="1" t="s">
        <v>26598</v>
      </c>
      <c r="AR12761" s="1" t="str">
        <f t="shared" si="805"/>
        <v>| [ㄨㄛ](ㄨㄛ.md) | [薶](薶.md) |  | wō | [動]
沾汙、弄髒。《淮南子．俶真》：「夫鑑明者，塵垢弗能薶。神清者，嗜欲弗能亂。」 |</v>
      </c>
    </row>
    <row r="12762" spans="1:44" hidden="1">
      <c r="A12762" s="1" t="s">
        <v>26636</v>
      </c>
      <c r="C12762" s="1">
        <v>1</v>
      </c>
      <c r="D12762" s="1" t="str">
        <f>"11351"</f>
        <v>11351</v>
      </c>
      <c r="E12762" s="1" t="s">
        <v>1495</v>
      </c>
      <c r="F12762" s="1">
        <v>9</v>
      </c>
      <c r="G12762" s="1">
        <v>5</v>
      </c>
      <c r="H12762" s="1">
        <v>1</v>
      </c>
      <c r="I12762" s="1" t="s">
        <v>26637</v>
      </c>
      <c r="K12762" s="1" t="str">
        <f t="shared" si="802"/>
        <v>ㄨ</v>
      </c>
      <c r="L12762" s="1" t="str">
        <f t="shared" si="803"/>
        <v>ㄞ</v>
      </c>
      <c r="M12762" s="1" t="str">
        <f t="shared" si="806"/>
        <v/>
      </c>
      <c r="P12762" s="1" t="s">
        <v>20</v>
      </c>
      <c r="R12762" s="1" t="s">
        <v>26638</v>
      </c>
      <c r="V12762" s="1" t="s">
        <v>26639</v>
      </c>
      <c r="W12762" s="1" t="s">
        <v>26640</v>
      </c>
      <c r="AR12762" s="1" t="str">
        <f t="shared" si="805"/>
        <v>| [ㄨㄞ](ㄨㄞ.md) | [歪](歪.md) |  | wāi | [形]
1.不正。如：「歪頭」、「歪斜」。
2.不正當的。如：「歪主意」、「上梁不正下梁歪」、「歪風不可長」。《水滸傳》第九四回：「本處有個歪學究，姓何名才。」
[動]
1.斜傾、偏向一邊。如：「歪著頭」。元．無名氏《獨角牛》第二折：「直打的這壁破，那壁傷，磣可可嘴塌鼻歪。」
2.暫時斜靠歇息。如：「在床上歪一會兒。」《二十年目睹之怪現狀》第二八回：「我送子明去了，便在書房裡隨意歪著，和衣稍歇。」 |</v>
      </c>
    </row>
    <row r="12763" spans="1:44" hidden="1">
      <c r="A12763" s="1" t="s">
        <v>26649</v>
      </c>
      <c r="C12763" s="1">
        <v>1</v>
      </c>
      <c r="D12763" s="1" t="str">
        <f>"11354"</f>
        <v>11354</v>
      </c>
      <c r="E12763" s="1" t="s">
        <v>534</v>
      </c>
      <c r="F12763" s="1">
        <v>8</v>
      </c>
      <c r="G12763" s="1">
        <v>5</v>
      </c>
      <c r="H12763" s="1">
        <v>2</v>
      </c>
      <c r="I12763" s="1" t="s">
        <v>26650</v>
      </c>
      <c r="K12763" s="1" t="str">
        <f t="shared" si="802"/>
        <v>ㄨ</v>
      </c>
      <c r="L12763" s="1" t="str">
        <f t="shared" si="803"/>
        <v>ㄟ</v>
      </c>
      <c r="M12763" s="1" t="str">
        <f t="shared" si="806"/>
        <v/>
      </c>
      <c r="P12763" s="1" t="s">
        <v>20</v>
      </c>
      <c r="R12763" s="1" t="s">
        <v>26651</v>
      </c>
      <c r="V12763" s="1" t="s">
        <v>26652</v>
      </c>
      <c r="W12763" s="1" t="s">
        <v>26653</v>
      </c>
      <c r="AR12763" s="1" t="str">
        <f t="shared" si="805"/>
        <v>| [ㄨㄟ](ㄨㄟ.md) | [委](委.md) |  | wēi | 參見「委蛇」條。 |</v>
      </c>
    </row>
    <row r="12764" spans="1:44" hidden="1">
      <c r="A12764" s="1" t="s">
        <v>26584</v>
      </c>
      <c r="C12764" s="1">
        <v>1</v>
      </c>
      <c r="D12764" s="1" t="str">
        <f>"11355"</f>
        <v>11355</v>
      </c>
      <c r="E12764" s="1" t="s">
        <v>114</v>
      </c>
      <c r="F12764" s="1">
        <v>10</v>
      </c>
      <c r="G12764" s="1">
        <v>8</v>
      </c>
      <c r="H12764" s="1">
        <v>2</v>
      </c>
      <c r="I12764" s="1" t="s">
        <v>26650</v>
      </c>
      <c r="K12764" s="1" t="str">
        <f t="shared" si="802"/>
        <v>ㄨ</v>
      </c>
      <c r="L12764" s="1" t="str">
        <f t="shared" si="803"/>
        <v>ㄟ</v>
      </c>
      <c r="M12764" s="1" t="str">
        <f t="shared" si="806"/>
        <v/>
      </c>
      <c r="P12764" s="1" t="s">
        <v>20</v>
      </c>
      <c r="R12764" s="1" t="s">
        <v>26651</v>
      </c>
      <c r="V12764" s="1" t="s">
        <v>26654</v>
      </c>
      <c r="W12764" s="1" t="s">
        <v>26655</v>
      </c>
      <c r="AR12764" s="1" t="str">
        <f t="shared" si="805"/>
        <v>| [ㄨㄟ](ㄨㄟ.md) | [倭](倭.md) |  | wēi | 參見「倭遲」條。 |</v>
      </c>
    </row>
    <row r="12765" spans="1:44" hidden="1">
      <c r="A12765" s="1" t="s">
        <v>26656</v>
      </c>
      <c r="C12765" s="1">
        <v>1</v>
      </c>
      <c r="D12765" s="1" t="str">
        <f>"11356"</f>
        <v>11356</v>
      </c>
      <c r="E12765" s="1" t="s">
        <v>37</v>
      </c>
      <c r="F12765" s="1">
        <v>12</v>
      </c>
      <c r="G12765" s="1">
        <v>8</v>
      </c>
      <c r="H12765" s="1">
        <v>1</v>
      </c>
      <c r="I12765" s="1" t="s">
        <v>26650</v>
      </c>
      <c r="K12765" s="1" t="str">
        <f t="shared" si="802"/>
        <v>ㄨ</v>
      </c>
      <c r="L12765" s="1" t="str">
        <f t="shared" si="803"/>
        <v>ㄟ</v>
      </c>
      <c r="M12765" s="1" t="str">
        <f t="shared" si="806"/>
        <v/>
      </c>
      <c r="P12765" s="1" t="s">
        <v>20</v>
      </c>
      <c r="R12765" s="1" t="s">
        <v>26651</v>
      </c>
      <c r="V12765" s="1" t="s">
        <v>26657</v>
      </c>
      <c r="W12765" s="1" t="s">
        <v>26658</v>
      </c>
      <c r="AR12765" s="1" t="str">
        <f t="shared" si="805"/>
        <v>| [ㄨㄟ](ㄨㄟ.md) | [萎](萎.md) |  | wēi | [動]
1.草木枯黃。如：「枯萎」。《詩經．小雅．谷風》：「無草不死，無木不萎。」
2.衰病。《禮記．檀弓上》：「泰山其頹乎？梁木其壞乎？哲人其萎乎？」漢．鄭玄．注：「萎，病也。」
[形]
衰頹、不振奮。如：「萎靡不振」。《魏書．卷六一．薛安都傳》：「民人萎餧，無以濟之。」 |</v>
      </c>
    </row>
    <row r="12766" spans="1:44" hidden="1">
      <c r="A12766" s="1" t="s">
        <v>26659</v>
      </c>
      <c r="C12766" s="1">
        <v>1</v>
      </c>
      <c r="D12766" s="1" t="str">
        <f>"11357"</f>
        <v>11357</v>
      </c>
      <c r="E12766" s="1" t="s">
        <v>558</v>
      </c>
      <c r="F12766" s="1">
        <v>12</v>
      </c>
      <c r="G12766" s="1">
        <v>8</v>
      </c>
      <c r="H12766" s="1">
        <v>0</v>
      </c>
      <c r="I12766" s="1" t="s">
        <v>26650</v>
      </c>
      <c r="K12766" s="1" t="str">
        <f t="shared" si="802"/>
        <v>ㄨ</v>
      </c>
      <c r="L12766" s="1" t="str">
        <f t="shared" si="803"/>
        <v>ㄟ</v>
      </c>
      <c r="M12766" s="1" t="str">
        <f t="shared" si="806"/>
        <v/>
      </c>
      <c r="P12766" s="1" t="s">
        <v>20</v>
      </c>
      <c r="R12766" s="1" t="s">
        <v>26651</v>
      </c>
      <c r="V12766" s="1" t="s">
        <v>26660</v>
      </c>
      <c r="AR12766" s="1" t="str">
        <f t="shared" si="805"/>
        <v>| [ㄨㄟ](ㄨㄟ.md) | [逶](逶.md) |  | wēi | 參見「逶遲」、「逶隨」、「逶迤」等條。 |</v>
      </c>
    </row>
    <row r="12767" spans="1:44" hidden="1">
      <c r="A12767" s="1" t="s">
        <v>26661</v>
      </c>
      <c r="C12767" s="1">
        <v>1</v>
      </c>
      <c r="D12767" s="1" t="str">
        <f>"11358"</f>
        <v>11358</v>
      </c>
      <c r="E12767" s="1" t="s">
        <v>679</v>
      </c>
      <c r="F12767" s="1">
        <v>14</v>
      </c>
      <c r="G12767" s="1">
        <v>8</v>
      </c>
      <c r="H12767" s="1">
        <v>0</v>
      </c>
      <c r="I12767" s="1" t="s">
        <v>26650</v>
      </c>
      <c r="K12767" s="1" t="str">
        <f t="shared" si="802"/>
        <v>ㄨ</v>
      </c>
      <c r="L12767" s="1" t="str">
        <f t="shared" si="803"/>
        <v>ㄟ</v>
      </c>
      <c r="M12767" s="1" t="str">
        <f t="shared" si="806"/>
        <v/>
      </c>
      <c r="P12767" s="1" t="s">
        <v>20</v>
      </c>
      <c r="R12767" s="1" t="s">
        <v>26651</v>
      </c>
      <c r="V12767" s="1" t="s">
        <v>26662</v>
      </c>
      <c r="AR12767" s="1" t="str">
        <f t="shared" si="805"/>
        <v>| [ㄨㄟ](ㄨㄟ.md) | [蜲](蜲.md) |  | wēi | [形]
蜲蜿：龍蛇盤曲的樣子。《文選．宋玉．高唐賦》：「振鱗奮翼，蜲蜲蜿蜿。」 |</v>
      </c>
    </row>
    <row r="12768" spans="1:44" hidden="1">
      <c r="A12768" s="1" t="s">
        <v>26663</v>
      </c>
      <c r="C12768" s="1">
        <v>1</v>
      </c>
      <c r="D12768" s="1" t="str">
        <f>"11359"</f>
        <v>11359</v>
      </c>
      <c r="E12768" s="1" t="s">
        <v>534</v>
      </c>
      <c r="F12768" s="1">
        <v>9</v>
      </c>
      <c r="G12768" s="1">
        <v>6</v>
      </c>
      <c r="H12768" s="1">
        <v>0</v>
      </c>
      <c r="I12768" s="1" t="s">
        <v>26650</v>
      </c>
      <c r="K12768" s="1" t="str">
        <f t="shared" si="802"/>
        <v>ㄨ</v>
      </c>
      <c r="L12768" s="1" t="str">
        <f t="shared" si="803"/>
        <v>ㄟ</v>
      </c>
      <c r="M12768" s="1" t="str">
        <f t="shared" si="806"/>
        <v/>
      </c>
      <c r="P12768" s="1" t="s">
        <v>20</v>
      </c>
      <c r="R12768" s="1" t="s">
        <v>26651</v>
      </c>
      <c r="V12768" s="1" t="s">
        <v>26664</v>
      </c>
      <c r="AR12768" s="1" t="str">
        <f t="shared" si="805"/>
        <v>| [ㄨㄟ](ㄨㄟ.md) | [威](威.md) |  | wēi | [名]
1.尊嚴。如：「威儀」、「威信」、「威嚴」。《左傳．僖公九年》：「天威不違顏咫尺，小白余敢貪天子之命，無下拜。」《遼史．卷七四．韓知古傳》：「捐棄旗鼓，損威辱國。」
2.權勢，能壓服別人的力量。如：「發威」、「示威」。《商君書．去彊》：「刑生力，力生彊，彊生威。」《隋書．卷七〇．李密傳》：「且經城不拔，何以示威？」
3.姓。如清代有威應洪。
[動]
1.震懾。如：「聲威天下」。《易經．繫辭下》：「弧矢之利，以威天下。」
2.以聲勢或武力逼迫他人。如：「威脅」、「威嚇」。 |</v>
      </c>
    </row>
    <row r="12769" spans="1:44" hidden="1">
      <c r="A12769" s="1" t="s">
        <v>26665</v>
      </c>
      <c r="C12769" s="1">
        <v>1</v>
      </c>
      <c r="D12769" s="1" t="str">
        <f>"11360"</f>
        <v>11360</v>
      </c>
      <c r="E12769" s="1" t="s">
        <v>190</v>
      </c>
      <c r="F12769" s="1">
        <v>12</v>
      </c>
      <c r="G12769" s="1">
        <v>9</v>
      </c>
      <c r="H12769" s="1">
        <v>0</v>
      </c>
      <c r="I12769" s="1" t="s">
        <v>26650</v>
      </c>
      <c r="K12769" s="1" t="str">
        <f t="shared" si="802"/>
        <v>ㄨ</v>
      </c>
      <c r="L12769" s="1" t="str">
        <f t="shared" si="803"/>
        <v>ㄟ</v>
      </c>
      <c r="M12769" s="1" t="str">
        <f t="shared" si="806"/>
        <v/>
      </c>
      <c r="P12769" s="1" t="s">
        <v>20</v>
      </c>
      <c r="R12769" s="1" t="s">
        <v>26651</v>
      </c>
      <c r="V12769" s="1" t="s">
        <v>26666</v>
      </c>
      <c r="AR12769" s="1" t="str">
        <f t="shared" si="805"/>
        <v>| [ㄨㄟ](ㄨㄟ.md) | [崴](崴.md) |  | wēi | 參見「崴嵬」條。 |</v>
      </c>
    </row>
    <row r="12770" spans="1:44" hidden="1">
      <c r="A12770" s="1" t="s">
        <v>26667</v>
      </c>
      <c r="C12770" s="1">
        <v>1</v>
      </c>
      <c r="D12770" s="1" t="str">
        <f>"11361"</f>
        <v>11361</v>
      </c>
      <c r="E12770" s="1" t="s">
        <v>37</v>
      </c>
      <c r="F12770" s="1">
        <v>13</v>
      </c>
      <c r="G12770" s="1">
        <v>9</v>
      </c>
      <c r="H12770" s="1">
        <v>0</v>
      </c>
      <c r="I12770" s="1" t="s">
        <v>26650</v>
      </c>
      <c r="K12770" s="1" t="str">
        <f t="shared" si="802"/>
        <v>ㄨ</v>
      </c>
      <c r="L12770" s="1" t="str">
        <f t="shared" si="803"/>
        <v>ㄟ</v>
      </c>
      <c r="M12770" s="1" t="str">
        <f t="shared" si="806"/>
        <v/>
      </c>
      <c r="P12770" s="1" t="s">
        <v>20</v>
      </c>
      <c r="R12770" s="1" t="s">
        <v>26651</v>
      </c>
      <c r="V12770" s="1" t="s">
        <v>26668</v>
      </c>
      <c r="AR12770" s="1" t="str">
        <f t="shared" si="805"/>
        <v>| [ㄨㄟ](ㄨㄟ.md) | [葳](葳.md) |  | wēi | 參見「葳蕤」條。 |</v>
      </c>
    </row>
    <row r="12771" spans="1:44" hidden="1">
      <c r="A12771" s="1" t="s">
        <v>26669</v>
      </c>
      <c r="C12771" s="1">
        <v>1</v>
      </c>
      <c r="D12771" s="1" t="str">
        <f>"11362"</f>
        <v>11362</v>
      </c>
      <c r="E12771" s="1" t="s">
        <v>679</v>
      </c>
      <c r="F12771" s="1">
        <v>15</v>
      </c>
      <c r="G12771" s="1">
        <v>9</v>
      </c>
      <c r="H12771" s="1">
        <v>0</v>
      </c>
      <c r="I12771" s="1" t="s">
        <v>26650</v>
      </c>
      <c r="K12771" s="1" t="str">
        <f t="shared" si="802"/>
        <v>ㄨ</v>
      </c>
      <c r="L12771" s="1" t="str">
        <f t="shared" si="803"/>
        <v>ㄟ</v>
      </c>
      <c r="M12771" s="1" t="str">
        <f t="shared" si="806"/>
        <v/>
      </c>
      <c r="P12771" s="1" t="s">
        <v>20</v>
      </c>
      <c r="R12771" s="1" t="s">
        <v>26651</v>
      </c>
      <c r="V12771" s="1" t="s">
        <v>26670</v>
      </c>
      <c r="AR12771" s="1" t="str">
        <f t="shared" si="805"/>
        <v>| [ㄨㄟ](ㄨㄟ.md) | [蝛](蝛.md) |  | wēi | 參見「蛜蝛」條。 |</v>
      </c>
    </row>
    <row r="12772" spans="1:44" hidden="1">
      <c r="A12772" s="1" t="s">
        <v>26671</v>
      </c>
      <c r="C12772" s="1">
        <v>1</v>
      </c>
      <c r="D12772" s="1" t="str">
        <f>"11363"</f>
        <v>11363</v>
      </c>
      <c r="E12772" s="1" t="s">
        <v>114</v>
      </c>
      <c r="F12772" s="1">
        <v>11</v>
      </c>
      <c r="G12772" s="1">
        <v>9</v>
      </c>
      <c r="H12772" s="1">
        <v>0</v>
      </c>
      <c r="I12772" s="1" t="s">
        <v>26650</v>
      </c>
      <c r="K12772" s="1" t="str">
        <f t="shared" si="802"/>
        <v>ㄨ</v>
      </c>
      <c r="L12772" s="1" t="str">
        <f t="shared" si="803"/>
        <v>ㄟ</v>
      </c>
      <c r="M12772" s="1" t="str">
        <f t="shared" si="806"/>
        <v/>
      </c>
      <c r="P12772" s="1" t="s">
        <v>20</v>
      </c>
      <c r="R12772" s="1" t="s">
        <v>26651</v>
      </c>
      <c r="V12772" s="1" t="s">
        <v>26672</v>
      </c>
      <c r="AR12772" s="1" t="str">
        <f t="shared" si="805"/>
        <v>| [ㄨㄟ](ㄨㄟ.md) | [偎](偎.md) |  | wēi | [動]
1.傍著、靠著。如：「依偎」。唐．溫庭筠〈南湖〉詩：「野船著岸偎春草，水鳥帶波飛夕陽。」元．關漢卿《五侯宴》第三折：「偎山靠水安營寨，掃蕩賊兵建勛勞。」
2.安慰、勸誘，帶有哄騙的意思。《警世通言．卷二二．宋小官團圓破氈笠》：「只怕女兒不肯，須是緩緩的偎他。」 |</v>
      </c>
    </row>
    <row r="12773" spans="1:44" hidden="1">
      <c r="A12773" s="1" t="s">
        <v>26673</v>
      </c>
      <c r="C12773" s="1">
        <v>1</v>
      </c>
      <c r="D12773" s="1" t="str">
        <f>"11364"</f>
        <v>11364</v>
      </c>
      <c r="E12773" s="1" t="s">
        <v>129</v>
      </c>
      <c r="F12773" s="1">
        <v>12</v>
      </c>
      <c r="G12773" s="1">
        <v>9</v>
      </c>
      <c r="H12773" s="1">
        <v>0</v>
      </c>
      <c r="I12773" s="1" t="s">
        <v>26650</v>
      </c>
      <c r="K12773" s="1" t="str">
        <f t="shared" si="802"/>
        <v>ㄨ</v>
      </c>
      <c r="L12773" s="1" t="str">
        <f t="shared" si="803"/>
        <v>ㄟ</v>
      </c>
      <c r="M12773" s="1" t="str">
        <f t="shared" si="806"/>
        <v/>
      </c>
      <c r="P12773" s="1" t="s">
        <v>20</v>
      </c>
      <c r="R12773" s="1" t="s">
        <v>26651</v>
      </c>
      <c r="V12773" s="1" t="s">
        <v>26674</v>
      </c>
      <c r="AR12773" s="1" t="str">
        <f t="shared" si="805"/>
        <v>| [ㄨㄟ](ㄨㄟ.md) | [渨](渨.md) |  | wēi | [名]
水流彎曲的地方。同「隈」。明．陸采《懷香記》第七齣：「青山洞，碧水渨，人間到處有天臺。」 |</v>
      </c>
    </row>
    <row r="12774" spans="1:44" hidden="1">
      <c r="A12774" s="1" t="s">
        <v>26675</v>
      </c>
      <c r="C12774" s="1">
        <v>1</v>
      </c>
      <c r="D12774" s="1" t="str">
        <f>"11365"</f>
        <v>11365</v>
      </c>
      <c r="E12774" s="1" t="s">
        <v>691</v>
      </c>
      <c r="F12774" s="1">
        <v>12</v>
      </c>
      <c r="G12774" s="1">
        <v>9</v>
      </c>
      <c r="H12774" s="1">
        <v>0</v>
      </c>
      <c r="I12774" s="1" t="s">
        <v>26650</v>
      </c>
      <c r="K12774" s="1" t="str">
        <f t="shared" si="802"/>
        <v>ㄨ</v>
      </c>
      <c r="L12774" s="1" t="str">
        <f t="shared" si="803"/>
        <v>ㄟ</v>
      </c>
      <c r="M12774" s="1" t="str">
        <f t="shared" si="806"/>
        <v/>
      </c>
      <c r="P12774" s="1" t="s">
        <v>20</v>
      </c>
      <c r="R12774" s="1" t="s">
        <v>26651</v>
      </c>
      <c r="V12774" s="1" t="s">
        <v>26676</v>
      </c>
      <c r="AR12774" s="1" t="str">
        <f t="shared" si="805"/>
        <v>| [ㄨㄟ](ㄨㄟ.md) | [隈](隈.md) |  | wēi | [名]
1.水流彎曲的地方。《淮南子．覽冥》：「田者不侵畔，漁者不爭隈。」唐．孟浩然〈峴潭作〉詩：「石潭傍隈隩，沙岸曉夤緣。」
2.山彎曲的地方。《管子．形勢》：「大山之隈，奚有於深。」金．王元粹〈經廢宅〉詩：「誰家住宅北山隈，亂後逋人尚未回。」
3.角落。《文選．左思．魏都賦》：「考之四隈，則八埏之中；測之寒暑，則霜露所均。」唐．韓愈〈絰騝贈張籍〉詩：「度前鋪瓦隴，發木積牆隈。」 |</v>
      </c>
    </row>
    <row r="12775" spans="1:44" hidden="1">
      <c r="A12775" s="1" t="s">
        <v>26677</v>
      </c>
      <c r="C12775" s="1">
        <v>1</v>
      </c>
      <c r="D12775" s="1" t="str">
        <f>"11366"</f>
        <v>11366</v>
      </c>
      <c r="E12775" s="1" t="s">
        <v>336</v>
      </c>
      <c r="F12775" s="1">
        <v>13</v>
      </c>
      <c r="G12775" s="1">
        <v>9</v>
      </c>
      <c r="H12775" s="1">
        <v>0</v>
      </c>
      <c r="I12775" s="1" t="s">
        <v>26650</v>
      </c>
      <c r="K12775" s="1" t="str">
        <f t="shared" si="802"/>
        <v>ㄨ</v>
      </c>
      <c r="L12775" s="1" t="str">
        <f t="shared" si="803"/>
        <v>ㄟ</v>
      </c>
      <c r="M12775" s="1" t="str">
        <f t="shared" si="806"/>
        <v/>
      </c>
      <c r="P12775" s="1" t="s">
        <v>20</v>
      </c>
      <c r="R12775" s="1" t="s">
        <v>26651</v>
      </c>
      <c r="V12775" s="1" t="s">
        <v>26678</v>
      </c>
      <c r="AR12775" s="1" t="str">
        <f t="shared" si="805"/>
        <v>| [ㄨㄟ](ㄨㄟ.md) | [煨](煨.md) |  | wēi | [名]
熱灰、灰燼。《戰國策．秦策一》：「犯白刃，蹈煨炭。」《新唐書．卷八三．懿宗八女傳》：「咸通十年薨。……又許百官祭以金貝、寓車、廞服，火之，民爭取煨以汰寶。」
[動]
烹飪方法：(1)把生食埋在火灰中燒熟。如：「煨栗子」、「煨番薯」。宋．陸游〈初夏野興〉詩三首之三：「𤎖火就林煨苦筍，密甖沉井漬青梅。」(2)用微火慢慢燒煮，使食物熟而軟。如：「煨牛肉」、「煨蹄膀」。《宋史．卷三七三．洪皓傳》：「嘗大雪薪盡，以馬矢然火煨麵食之。」 |</v>
      </c>
    </row>
    <row r="12776" spans="1:44" hidden="1">
      <c r="A12776" s="1" t="s">
        <v>26679</v>
      </c>
      <c r="C12776" s="1">
        <v>1</v>
      </c>
      <c r="D12776" s="1" t="str">
        <f>"11367"</f>
        <v>11367</v>
      </c>
      <c r="E12776" s="1" t="s">
        <v>139</v>
      </c>
      <c r="F12776" s="1">
        <v>13</v>
      </c>
      <c r="G12776" s="1">
        <v>9</v>
      </c>
      <c r="H12776" s="1">
        <v>0</v>
      </c>
      <c r="I12776" s="1" t="s">
        <v>26650</v>
      </c>
      <c r="K12776" s="1" t="str">
        <f t="shared" si="802"/>
        <v>ㄨ</v>
      </c>
      <c r="L12776" s="1" t="str">
        <f t="shared" si="803"/>
        <v>ㄟ</v>
      </c>
      <c r="M12776" s="1" t="str">
        <f t="shared" si="806"/>
        <v/>
      </c>
      <c r="P12776" s="1" t="s">
        <v>20</v>
      </c>
      <c r="R12776" s="1" t="s">
        <v>26651</v>
      </c>
      <c r="V12776" s="1" t="s">
        <v>26680</v>
      </c>
      <c r="AR12776" s="1" t="str">
        <f t="shared" si="805"/>
        <v>| [ㄨㄟ](ㄨㄟ.md) | [椳](椳.md) |  | wēi | [名]
門樞。唐．韓愈〈進學解〉：「夫大木為杗，細木為桷，欂櫨侏儒，椳闑扂楔，各得其宜，施以成室者，匠氏之工也。」 |</v>
      </c>
    </row>
    <row r="12777" spans="1:44" hidden="1">
      <c r="A12777" s="1" t="s">
        <v>26681</v>
      </c>
      <c r="C12777" s="1">
        <v>1</v>
      </c>
      <c r="D12777" s="1" t="str">
        <f>"11368"</f>
        <v>11368</v>
      </c>
      <c r="E12777" s="1" t="s">
        <v>129</v>
      </c>
      <c r="F12777" s="1">
        <v>13</v>
      </c>
      <c r="G12777" s="1">
        <v>10</v>
      </c>
      <c r="H12777" s="1">
        <v>0</v>
      </c>
      <c r="I12777" s="1" t="s">
        <v>26650</v>
      </c>
      <c r="K12777" s="1" t="str">
        <f t="shared" si="802"/>
        <v>ㄨ</v>
      </c>
      <c r="L12777" s="1" t="str">
        <f t="shared" si="803"/>
        <v>ㄟ</v>
      </c>
      <c r="M12777" s="1" t="str">
        <f t="shared" si="806"/>
        <v/>
      </c>
      <c r="P12777" s="1" t="s">
        <v>20</v>
      </c>
      <c r="R12777" s="1" t="s">
        <v>26651</v>
      </c>
      <c r="V12777" s="1" t="s">
        <v>26682</v>
      </c>
      <c r="AR12777" s="1" t="str">
        <f t="shared" si="805"/>
        <v>| [ㄨㄟ](ㄨㄟ.md) | [溦](溦.md) |  | wēi | [名]
小雨。《說文解字．水部》：「溦，小雨也。」 |</v>
      </c>
    </row>
    <row r="12778" spans="1:44" hidden="1">
      <c r="A12778" s="1" t="s">
        <v>26683</v>
      </c>
      <c r="C12778" s="1">
        <v>1</v>
      </c>
      <c r="D12778" s="1" t="str">
        <f>"11369"</f>
        <v>11369</v>
      </c>
      <c r="E12778" s="1" t="s">
        <v>234</v>
      </c>
      <c r="F12778" s="1">
        <v>13</v>
      </c>
      <c r="G12778" s="1">
        <v>10</v>
      </c>
      <c r="H12778" s="1">
        <v>2</v>
      </c>
      <c r="I12778" s="1" t="s">
        <v>26650</v>
      </c>
      <c r="K12778" s="1" t="str">
        <f t="shared" ref="K12778:K12841" si="807">LEFT(I12778, 1)</f>
        <v>ㄨ</v>
      </c>
      <c r="L12778" s="1" t="str">
        <f t="shared" ref="L12778:L12795" si="808">MID(I12778, 2, 1)</f>
        <v>ㄟ</v>
      </c>
      <c r="M12778" s="1" t="str">
        <f t="shared" si="806"/>
        <v/>
      </c>
      <c r="P12778" s="1" t="s">
        <v>110</v>
      </c>
      <c r="R12778" s="1" t="s">
        <v>26651</v>
      </c>
      <c r="V12778" s="1" t="s">
        <v>111</v>
      </c>
      <c r="W12778" s="1" t="s">
        <v>26684</v>
      </c>
      <c r="AR12778" s="1" t="str">
        <f t="shared" si="805"/>
        <v>| [ㄨㄟ](ㄨㄟ.md) | [微](微.md) |  | wēi | (一)之又音。 |</v>
      </c>
    </row>
    <row r="12779" spans="1:44" hidden="1">
      <c r="A12779" s="1" t="s">
        <v>26845</v>
      </c>
      <c r="C12779" s="1">
        <v>1</v>
      </c>
      <c r="D12779" s="1" t="str">
        <f>"11445"</f>
        <v>11445</v>
      </c>
      <c r="E12779" s="1" t="s">
        <v>185</v>
      </c>
      <c r="F12779" s="1">
        <v>10</v>
      </c>
      <c r="G12779" s="1">
        <v>8</v>
      </c>
      <c r="H12779" s="1">
        <v>0</v>
      </c>
      <c r="I12779" s="1" t="s">
        <v>26846</v>
      </c>
      <c r="K12779" s="1" t="str">
        <f t="shared" si="807"/>
        <v>ㄨ</v>
      </c>
      <c r="L12779" s="1" t="str">
        <f t="shared" si="808"/>
        <v>ㄢ</v>
      </c>
      <c r="M12779" s="1" t="str">
        <f t="shared" si="806"/>
        <v/>
      </c>
      <c r="P12779" s="1" t="s">
        <v>20</v>
      </c>
      <c r="R12779" s="1" t="s">
        <v>26847</v>
      </c>
      <c r="V12779" s="1" t="s">
        <v>26848</v>
      </c>
      <c r="AR12779" s="1" t="str">
        <f t="shared" si="805"/>
        <v>| [ㄨㄢ](ㄨㄢ.md) | [剜](剜.md) |  | wān | [動]
用刀挖取。唐．聶夷中〈詠田家〉詩：「醫得眼前瘡，剜卻心頭肉。」元．關漢卿《救風塵》第一折：「那的是最容易剜眼睛嫌的，則除是親近著他便歡喜。」 |</v>
      </c>
    </row>
    <row r="12780" spans="1:44" hidden="1">
      <c r="A12780" s="1" t="s">
        <v>26849</v>
      </c>
      <c r="C12780" s="1">
        <v>1</v>
      </c>
      <c r="D12780" s="1" t="str">
        <f>"11446"</f>
        <v>11446</v>
      </c>
      <c r="E12780" s="1" t="s">
        <v>679</v>
      </c>
      <c r="F12780" s="1">
        <v>14</v>
      </c>
      <c r="G12780" s="1">
        <v>8</v>
      </c>
      <c r="H12780" s="1">
        <v>2</v>
      </c>
      <c r="I12780" s="1" t="s">
        <v>26846</v>
      </c>
      <c r="K12780" s="1" t="str">
        <f t="shared" si="807"/>
        <v>ㄨ</v>
      </c>
      <c r="L12780" s="1" t="str">
        <f t="shared" si="808"/>
        <v>ㄢ</v>
      </c>
      <c r="M12780" s="1" t="str">
        <f t="shared" si="806"/>
        <v/>
      </c>
      <c r="P12780" s="1" t="s">
        <v>110</v>
      </c>
      <c r="R12780" s="1" t="s">
        <v>26847</v>
      </c>
      <c r="V12780" s="1" t="s">
        <v>111</v>
      </c>
      <c r="W12780" s="1" t="s">
        <v>26850</v>
      </c>
      <c r="AR12780" s="1" t="str">
        <f t="shared" si="805"/>
        <v>| [ㄨㄢ](ㄨㄢ.md) | [蜿](蜿.md) |  | wān | (一)之又音。 |</v>
      </c>
    </row>
    <row r="12781" spans="1:44" hidden="1">
      <c r="A12781" s="1" t="s">
        <v>26851</v>
      </c>
      <c r="C12781" s="1">
        <v>1</v>
      </c>
      <c r="D12781" s="1" t="str">
        <f>"11447"</f>
        <v>11447</v>
      </c>
      <c r="E12781" s="1" t="s">
        <v>4293</v>
      </c>
      <c r="F12781" s="1">
        <v>15</v>
      </c>
      <c r="G12781" s="1">
        <v>8</v>
      </c>
      <c r="H12781" s="1">
        <v>0</v>
      </c>
      <c r="I12781" s="1" t="s">
        <v>26846</v>
      </c>
      <c r="K12781" s="1" t="str">
        <f t="shared" si="807"/>
        <v>ㄨ</v>
      </c>
      <c r="L12781" s="1" t="str">
        <f t="shared" si="808"/>
        <v>ㄢ</v>
      </c>
      <c r="M12781" s="1" t="str">
        <f t="shared" si="806"/>
        <v/>
      </c>
      <c r="P12781" s="1" t="s">
        <v>20</v>
      </c>
      <c r="R12781" s="1" t="s">
        <v>26847</v>
      </c>
      <c r="V12781" s="1" t="s">
        <v>26852</v>
      </c>
      <c r="AR12781" s="1" t="str">
        <f t="shared" si="805"/>
        <v>| [ㄨㄢ](ㄨㄢ.md) | [豌](豌.md) |  | wān | 參見「豌豆」條。 |</v>
      </c>
    </row>
    <row r="12782" spans="1:44" hidden="1">
      <c r="A12782" s="1" t="s">
        <v>10502</v>
      </c>
      <c r="C12782" s="1">
        <v>1</v>
      </c>
      <c r="D12782" s="1" t="str">
        <f>"11448"</f>
        <v>11448</v>
      </c>
      <c r="E12782" s="1" t="s">
        <v>37</v>
      </c>
      <c r="F12782" s="1">
        <v>11</v>
      </c>
      <c r="G12782" s="1">
        <v>7</v>
      </c>
      <c r="H12782" s="1">
        <v>4</v>
      </c>
      <c r="I12782" s="1" t="s">
        <v>26846</v>
      </c>
      <c r="K12782" s="1" t="str">
        <f t="shared" si="807"/>
        <v>ㄨ</v>
      </c>
      <c r="L12782" s="1" t="str">
        <f t="shared" si="808"/>
        <v>ㄢ</v>
      </c>
      <c r="M12782" s="1" t="str">
        <f t="shared" si="806"/>
        <v/>
      </c>
      <c r="P12782" s="1" t="s">
        <v>20</v>
      </c>
      <c r="R12782" s="1" t="s">
        <v>26847</v>
      </c>
      <c r="V12782" s="1" t="s">
        <v>26853</v>
      </c>
      <c r="W12782" s="1" t="s">
        <v>26854</v>
      </c>
      <c r="AR12782" s="1" t="str">
        <f t="shared" si="805"/>
        <v>| [ㄨㄢ](ㄨㄢ.md) | [莞](莞.md) |  | wān | 同「豌」。 |</v>
      </c>
    </row>
    <row r="12783" spans="1:44" hidden="1">
      <c r="A12783" s="1" t="s">
        <v>26855</v>
      </c>
      <c r="C12783" s="1">
        <v>1</v>
      </c>
      <c r="D12783" s="1" t="str">
        <f>"11449"</f>
        <v>11449</v>
      </c>
      <c r="E12783" s="1" t="s">
        <v>534</v>
      </c>
      <c r="F12783" s="1">
        <v>11</v>
      </c>
      <c r="G12783" s="1">
        <v>8</v>
      </c>
      <c r="H12783" s="1">
        <v>0</v>
      </c>
      <c r="I12783" s="1" t="s">
        <v>26846</v>
      </c>
      <c r="K12783" s="1" t="str">
        <f t="shared" si="807"/>
        <v>ㄨ</v>
      </c>
      <c r="L12783" s="1" t="str">
        <f t="shared" si="808"/>
        <v>ㄢ</v>
      </c>
      <c r="M12783" s="1" t="str">
        <f t="shared" si="806"/>
        <v/>
      </c>
      <c r="P12783" s="1" t="s">
        <v>20</v>
      </c>
      <c r="R12783" s="1" t="s">
        <v>26847</v>
      </c>
      <c r="V12783" s="1" t="s">
        <v>26856</v>
      </c>
      <c r="AR12783" s="1" t="str">
        <f t="shared" si="805"/>
        <v>| [ㄨㄢ](ㄨㄢ.md) | [婠](婠.md) |  | wān | [形]
體態美好的樣子。《說文解字．女部》：「婠，體德好也。」 |</v>
      </c>
    </row>
    <row r="12784" spans="1:44" hidden="1">
      <c r="A12784" s="1" t="s">
        <v>26857</v>
      </c>
      <c r="C12784" s="1">
        <v>1</v>
      </c>
      <c r="D12784" s="1" t="str">
        <f>"11450"</f>
        <v>11450</v>
      </c>
      <c r="E12784" s="1" t="s">
        <v>103</v>
      </c>
      <c r="F12784" s="1">
        <v>22</v>
      </c>
      <c r="G12784" s="1">
        <v>19</v>
      </c>
      <c r="H12784" s="1">
        <v>0</v>
      </c>
      <c r="I12784" s="1" t="s">
        <v>26846</v>
      </c>
      <c r="K12784" s="1" t="str">
        <f t="shared" si="807"/>
        <v>ㄨ</v>
      </c>
      <c r="L12784" s="1" t="str">
        <f t="shared" si="808"/>
        <v>ㄢ</v>
      </c>
      <c r="M12784" s="1" t="str">
        <f t="shared" si="806"/>
        <v/>
      </c>
      <c r="P12784" s="1" t="s">
        <v>20</v>
      </c>
      <c r="R12784" s="1" t="s">
        <v>26847</v>
      </c>
      <c r="V12784" s="1" t="s">
        <v>26858</v>
      </c>
      <c r="AR12784" s="1" t="str">
        <f t="shared" si="805"/>
        <v>| [ㄨㄢ](ㄨㄢ.md) | [彎](彎.md) |  | wān | [動]
1.引弓、開弓。唐．李白〈大獵賦〉：「擢倚天之劍，彎落月之弓。」
2.屈曲。元．馬致遠《漢宮秋》第二折：「那壁廂鎖樹的怕彎著手，這壁廂攀欄的怕攧破了頭。」元．喬吉〈滿庭芳．秋江暮景〉詞：「臥御榻彎的腿疼，坐羊皮慣得身輕。」
3.停泊。通「灣」。《儒林外史》第四三回：「這日將到大姑塘，風色大作。大爺吩咐急急收了口子，彎了船。」
[形]
曲折的、不直的。如：「彎路」。宋．王安石〈初夏即事〉詩：「石梁茅屋有彎碕，流水濺濺度兩陂。」《西遊記》第五回：「彎弓硬弩雕翎箭，短棍蛇矛挾了魂。」 |</v>
      </c>
    </row>
    <row r="12785" spans="1:44" hidden="1">
      <c r="A12785" s="1" t="s">
        <v>26859</v>
      </c>
      <c r="C12785" s="1">
        <v>1</v>
      </c>
      <c r="D12785" s="1" t="str">
        <f>"11451"</f>
        <v>11451</v>
      </c>
      <c r="E12785" s="1" t="s">
        <v>129</v>
      </c>
      <c r="F12785" s="1">
        <v>25</v>
      </c>
      <c r="G12785" s="1">
        <v>22</v>
      </c>
      <c r="H12785" s="1">
        <v>0</v>
      </c>
      <c r="I12785" s="1" t="s">
        <v>26846</v>
      </c>
      <c r="K12785" s="1" t="str">
        <f t="shared" si="807"/>
        <v>ㄨ</v>
      </c>
      <c r="L12785" s="1" t="str">
        <f t="shared" si="808"/>
        <v>ㄢ</v>
      </c>
      <c r="M12785" s="1" t="str">
        <f t="shared" si="806"/>
        <v/>
      </c>
      <c r="P12785" s="1" t="s">
        <v>20</v>
      </c>
      <c r="R12785" s="1" t="s">
        <v>26847</v>
      </c>
      <c r="V12785" s="1" t="s">
        <v>26860</v>
      </c>
      <c r="AR12785" s="1" t="str">
        <f t="shared" si="805"/>
        <v>| [ㄨㄢ](ㄨㄢ.md) | [灣](灣.md) |  | wān | [名]
1.水流彎曲的地方。如：「水灣」、「河灣」。
2.海岸深曲可以停泊船隻的地方。如：「港灣」、「大連灣」、「廣州灣」。
[動]
1.停泊。《水滸傳》第二〇回：「且把船來分作兩路，去那蘆花蕩中灣住。」《紅樓夢》第五七回：「那不是接他們來的船來了，灣在那裡呢！」
2.屈曲。通「彎」。《儒林外史》第三回：「胡屠戶站在一邊，不覺那隻手隱隱的疼將起來；自己看時，把個巴掌仰著，再也灣不過來。」 |</v>
      </c>
    </row>
    <row r="12786" spans="1:44" hidden="1">
      <c r="A12786" s="1" t="s">
        <v>26952</v>
      </c>
      <c r="C12786" s="1">
        <v>1</v>
      </c>
      <c r="D12786" s="1" t="str">
        <f>"11495"</f>
        <v>11495</v>
      </c>
      <c r="E12786" s="1" t="s">
        <v>129</v>
      </c>
      <c r="F12786" s="1">
        <v>13</v>
      </c>
      <c r="G12786" s="1">
        <v>10</v>
      </c>
      <c r="H12786" s="1">
        <v>0</v>
      </c>
      <c r="I12786" s="1" t="s">
        <v>26953</v>
      </c>
      <c r="K12786" s="1" t="str">
        <f t="shared" si="807"/>
        <v>ㄨ</v>
      </c>
      <c r="L12786" s="1" t="str">
        <f t="shared" si="808"/>
        <v>ㄣ</v>
      </c>
      <c r="M12786" s="1" t="str">
        <f t="shared" si="806"/>
        <v/>
      </c>
      <c r="P12786" s="1" t="s">
        <v>20</v>
      </c>
      <c r="R12786" s="1" t="s">
        <v>26954</v>
      </c>
      <c r="V12786" s="1" t="s">
        <v>26955</v>
      </c>
      <c r="AR12786" s="1" t="str">
        <f t="shared" si="805"/>
        <v>| [ㄨㄣ](ㄨㄣ.md) | [溫](溫.md) |  | wēn | [形]
1.不冷不熱。如：「溫暖」、「溫水」、「溫帶」。漢．王充《論衡．寒溫》：「近水則寒，近火則溫。」
2.柔和。如：「溫柔」、「溫順」。《論語．述而》：「子溫而厲，威而不猛，恭而安。」
3.做事不爽快。如：「溫吞」、「這個人溫得很。」
[動]
1.使暖和。如：「溫一壺酒」。清．蔣士銓〈鳴機夜課圖記〉：「母坐於床，擁被覆雙足，解衣以胸溫兒背。」
2.複習。如：「溫書」、「溫習」。《論語．為政》：「溫故而知新，可以為師矣。」
[名]
1.冷熱的程度。如：「體溫」、「室溫」、「高溫」。
2.姓。如漢代有溫疥。 |</v>
      </c>
    </row>
    <row r="12787" spans="1:44" hidden="1">
      <c r="A12787" s="1" t="s">
        <v>26956</v>
      </c>
      <c r="C12787" s="1">
        <v>1</v>
      </c>
      <c r="D12787" s="1" t="str">
        <f>"11496"</f>
        <v>11496</v>
      </c>
      <c r="E12787" s="1" t="s">
        <v>132</v>
      </c>
      <c r="F12787" s="1">
        <v>13</v>
      </c>
      <c r="G12787" s="1">
        <v>10</v>
      </c>
      <c r="H12787" s="1">
        <v>0</v>
      </c>
      <c r="I12787" s="1" t="s">
        <v>26953</v>
      </c>
      <c r="K12787" s="1" t="str">
        <f t="shared" si="807"/>
        <v>ㄨ</v>
      </c>
      <c r="L12787" s="1" t="str">
        <f t="shared" si="808"/>
        <v>ㄣ</v>
      </c>
      <c r="M12787" s="1" t="str">
        <f t="shared" si="806"/>
        <v/>
      </c>
      <c r="P12787" s="1" t="s">
        <v>20</v>
      </c>
      <c r="R12787" s="1" t="s">
        <v>26954</v>
      </c>
      <c r="V12787" s="1" t="s">
        <v>26957</v>
      </c>
      <c r="AR12787" s="1" t="str">
        <f t="shared" si="805"/>
        <v>| [ㄨㄣ](ㄨㄣ.md) | [塭](塭.md) |  | wēn | [名]
濱海地區築堤攔水以養殖魚類的池塘。如：「魚塭」。 |</v>
      </c>
    </row>
    <row r="12788" spans="1:44" hidden="1">
      <c r="A12788" s="1" t="s">
        <v>26958</v>
      </c>
      <c r="C12788" s="1">
        <v>1</v>
      </c>
      <c r="D12788" s="1" t="str">
        <f>"11497"</f>
        <v>11497</v>
      </c>
      <c r="E12788" s="1" t="s">
        <v>40</v>
      </c>
      <c r="F12788" s="1">
        <v>15</v>
      </c>
      <c r="G12788" s="1">
        <v>10</v>
      </c>
      <c r="H12788" s="1">
        <v>0</v>
      </c>
      <c r="I12788" s="1" t="s">
        <v>26953</v>
      </c>
      <c r="K12788" s="1" t="str">
        <f t="shared" si="807"/>
        <v>ㄨ</v>
      </c>
      <c r="L12788" s="1" t="str">
        <f t="shared" si="808"/>
        <v>ㄣ</v>
      </c>
      <c r="M12788" s="1" t="str">
        <f t="shared" si="806"/>
        <v/>
      </c>
      <c r="P12788" s="1" t="s">
        <v>20</v>
      </c>
      <c r="R12788" s="1" t="s">
        <v>26954</v>
      </c>
      <c r="V12788" s="1" t="s">
        <v>26959</v>
      </c>
      <c r="AR12788" s="1" t="str">
        <f t="shared" si="805"/>
        <v>| [ㄨㄣ](ㄨㄣ.md) | [瘟](瘟.md) |  | wēn | [名]
人或牲畜的急性傳染病。《集韻．平聲．魂韻》：「瘟，疫也。」如：「雞瘟」、「犬瘟」。 |</v>
      </c>
    </row>
    <row r="12789" spans="1:44" hidden="1">
      <c r="A12789" s="1" t="s">
        <v>26960</v>
      </c>
      <c r="C12789" s="1">
        <v>1</v>
      </c>
      <c r="D12789" s="1" t="str">
        <f>"11498"</f>
        <v>11498</v>
      </c>
      <c r="E12789" s="1" t="s">
        <v>71</v>
      </c>
      <c r="F12789" s="1">
        <v>17</v>
      </c>
      <c r="G12789" s="1">
        <v>10</v>
      </c>
      <c r="H12789" s="1">
        <v>0</v>
      </c>
      <c r="I12789" s="1" t="s">
        <v>26953</v>
      </c>
      <c r="K12789" s="1" t="str">
        <f t="shared" si="807"/>
        <v>ㄨ</v>
      </c>
      <c r="L12789" s="1" t="str">
        <f t="shared" si="808"/>
        <v>ㄣ</v>
      </c>
      <c r="M12789" s="1" t="str">
        <f t="shared" si="806"/>
        <v/>
      </c>
      <c r="P12789" s="1" t="s">
        <v>20</v>
      </c>
      <c r="R12789" s="1" t="s">
        <v>26954</v>
      </c>
      <c r="V12789" s="1" t="s">
        <v>26961</v>
      </c>
      <c r="AR12789" s="1" t="str">
        <f t="shared" si="805"/>
        <v>| [ㄨㄣ](ㄨㄣ.md) | [轀](轀.md) |  | wēn | 參見「轀輬」、「轀車」等條。 |</v>
      </c>
    </row>
    <row r="12790" spans="1:44" hidden="1">
      <c r="A12790" s="1" t="s">
        <v>26962</v>
      </c>
      <c r="C12790" s="1">
        <v>1</v>
      </c>
      <c r="D12790" s="1" t="str">
        <f>"11499"</f>
        <v>11499</v>
      </c>
      <c r="E12790" s="1" t="s">
        <v>156</v>
      </c>
      <c r="F12790" s="1">
        <v>21</v>
      </c>
      <c r="G12790" s="1">
        <v>10</v>
      </c>
      <c r="H12790" s="1">
        <v>0</v>
      </c>
      <c r="I12790" s="1" t="s">
        <v>26953</v>
      </c>
      <c r="K12790" s="1" t="str">
        <f t="shared" si="807"/>
        <v>ㄨ</v>
      </c>
      <c r="L12790" s="1" t="str">
        <f t="shared" si="808"/>
        <v>ㄣ</v>
      </c>
      <c r="M12790" s="1" t="str">
        <f t="shared" si="806"/>
        <v/>
      </c>
      <c r="P12790" s="1" t="s">
        <v>20</v>
      </c>
      <c r="R12790" s="1" t="s">
        <v>26954</v>
      </c>
      <c r="V12790" s="1" t="s">
        <v>26963</v>
      </c>
      <c r="AR12790" s="1" t="str">
        <f t="shared" si="805"/>
        <v>| [ㄨㄣ](ㄨㄣ.md) | [鰮](鰮.md) |  | wēn | 鯡目鯡科某些魚類的通稱。小者二寸，大者尺許，背蒼腹白，以浮游生物為食。肉美，可鮮食，亦可製成罐頭食品。俗稱為「沙丁魚」。 |</v>
      </c>
    </row>
    <row r="12791" spans="1:44" hidden="1">
      <c r="A12791" s="1" t="s">
        <v>27012</v>
      </c>
      <c r="C12791" s="1">
        <v>1</v>
      </c>
      <c r="D12791" s="1" t="str">
        <f>"11520"</f>
        <v>11520</v>
      </c>
      <c r="E12791" s="1" t="s">
        <v>1935</v>
      </c>
      <c r="F12791" s="1">
        <v>3</v>
      </c>
      <c r="G12791" s="1">
        <v>0</v>
      </c>
      <c r="H12791" s="1">
        <v>0</v>
      </c>
      <c r="I12791" s="1" t="s">
        <v>27013</v>
      </c>
      <c r="K12791" s="1" t="str">
        <f t="shared" si="807"/>
        <v>ㄨ</v>
      </c>
      <c r="L12791" s="1" t="str">
        <f t="shared" si="808"/>
        <v>ㄤ</v>
      </c>
      <c r="M12791" s="1" t="str">
        <f t="shared" si="806"/>
        <v/>
      </c>
      <c r="P12791" s="1" t="s">
        <v>20</v>
      </c>
      <c r="R12791" s="1" t="s">
        <v>27014</v>
      </c>
      <c r="V12791" s="1" t="s">
        <v>27015</v>
      </c>
      <c r="AR12791" s="1" t="str">
        <f t="shared" si="805"/>
        <v>| [ㄨㄤ](ㄨㄤ.md) | [尢](尢.md) |  | wāng | [形]
腳跛。《玉篇．尢部》：「尢，跛、曲脛也。」
[名]
二一四部首之一。 |</v>
      </c>
    </row>
    <row r="12792" spans="1:44" hidden="1">
      <c r="A12792" s="1" t="s">
        <v>27016</v>
      </c>
      <c r="C12792" s="1">
        <v>1</v>
      </c>
      <c r="D12792" s="1" t="str">
        <f>"11521"</f>
        <v>11521</v>
      </c>
      <c r="E12792" s="1" t="s">
        <v>129</v>
      </c>
      <c r="F12792" s="1">
        <v>7</v>
      </c>
      <c r="G12792" s="1">
        <v>4</v>
      </c>
      <c r="H12792" s="1">
        <v>0</v>
      </c>
      <c r="I12792" s="1" t="s">
        <v>27013</v>
      </c>
      <c r="K12792" s="1" t="str">
        <f t="shared" si="807"/>
        <v>ㄨ</v>
      </c>
      <c r="L12792" s="1" t="str">
        <f t="shared" si="808"/>
        <v>ㄤ</v>
      </c>
      <c r="M12792" s="1" t="str">
        <f t="shared" si="806"/>
        <v/>
      </c>
      <c r="P12792" s="1" t="s">
        <v>20</v>
      </c>
      <c r="R12792" s="1" t="s">
        <v>27014</v>
      </c>
      <c r="V12792" s="1" t="s">
        <v>27017</v>
      </c>
      <c r="AR12792" s="1" t="str">
        <f t="shared" si="805"/>
        <v>| [ㄨㄤ](ㄨㄤ.md) | [汪](汪.md) |  | wāng | [形]
水深而廣。《說文解字．水部》：「汪，深廣也。」如：「汪洋大海」。
[名]
1.池。《左傳．桓公十五年》：「祭仲殺雍糾，尸諸周氏之汪。」晉．杜預．注：「汪，池也。」《西遊記》第四二回：「穿通兩腿刀尖出，血注成汪皮肉開。」
2.量詞。用於停聚一處的液體。如：「一汪秋水」、「一汪血」。
3.姓。如春秋時魯國有汪踦。
[擬]
形容狗叫聲。如：「那兒有隻小狗正汪汪的叫個不停。」
[動]
液體積聚。《金瓶梅》第七五回：「從早辰吃了口清茶，還汪在心裡！」《紅樓夢》第三一回：「地下的水淹著床腿，連席子上都汪著水。」 |</v>
      </c>
    </row>
    <row r="12793" spans="1:44" hidden="1">
      <c r="A12793" s="1" t="s">
        <v>27018</v>
      </c>
      <c r="C12793" s="1">
        <v>1</v>
      </c>
      <c r="D12793" s="1" t="str">
        <f>"11522"</f>
        <v>11522</v>
      </c>
      <c r="E12793" s="1" t="s">
        <v>1935</v>
      </c>
      <c r="F12793" s="1">
        <v>7</v>
      </c>
      <c r="G12793" s="1">
        <v>4</v>
      </c>
      <c r="H12793" s="1">
        <v>0</v>
      </c>
      <c r="I12793" s="1" t="s">
        <v>27013</v>
      </c>
      <c r="K12793" s="1" t="str">
        <f t="shared" si="807"/>
        <v>ㄨ</v>
      </c>
      <c r="L12793" s="1" t="str">
        <f t="shared" si="808"/>
        <v>ㄤ</v>
      </c>
      <c r="M12793" s="1" t="str">
        <f t="shared" ref="M12793:M12824" si="809">MID(I12793, 3, 1)</f>
        <v/>
      </c>
      <c r="P12793" s="1" t="s">
        <v>20</v>
      </c>
      <c r="R12793" s="1" t="s">
        <v>27014</v>
      </c>
      <c r="V12793" s="1" t="s">
        <v>27019</v>
      </c>
      <c r="AR12793" s="1" t="str">
        <f t="shared" si="805"/>
        <v>| [ㄨㄤ](ㄨㄤ.md) | [尪](尪.md) |  | wāng | [名]
一種骨骼彎曲的疾病。《呂氏春秋．季春紀．盡數》：「辛水所多疽與痤人，苦水所多尪與傴人。」漢．高誘．注：「尪，突胸仰向疾也。」
[形]
瘦弱。宋．蘇軾〈上神宗皇帝書〉：「世有尪羸而壽考，亦有盛壯而暴亡。」 |</v>
      </c>
    </row>
    <row r="12794" spans="1:44" hidden="1">
      <c r="A12794" s="1" t="s">
        <v>27064</v>
      </c>
      <c r="C12794" s="1">
        <v>1</v>
      </c>
      <c r="D12794" s="1" t="str">
        <f>"11542"</f>
        <v>11542</v>
      </c>
      <c r="E12794" s="1" t="s">
        <v>2271</v>
      </c>
      <c r="F12794" s="1">
        <v>10</v>
      </c>
      <c r="G12794" s="1">
        <v>4</v>
      </c>
      <c r="H12794" s="1">
        <v>0</v>
      </c>
      <c r="I12794" s="1" t="s">
        <v>27065</v>
      </c>
      <c r="K12794" s="1" t="str">
        <f t="shared" si="807"/>
        <v>ㄨ</v>
      </c>
      <c r="L12794" s="1" t="str">
        <f t="shared" si="808"/>
        <v>ㄥ</v>
      </c>
      <c r="M12794" s="1" t="str">
        <f t="shared" si="809"/>
        <v/>
      </c>
      <c r="P12794" s="1" t="s">
        <v>20</v>
      </c>
      <c r="R12794" s="1" t="s">
        <v>27066</v>
      </c>
      <c r="V12794" s="1" t="s">
        <v>27067</v>
      </c>
      <c r="AR12794" s="1" t="str">
        <f t="shared" si="805"/>
        <v>| [ㄨㄥ](ㄨㄥ.md) | [翁](翁.md) |  | wēng | [名]
1.父親。《史記．卷七．項羽本紀》：「吾翁即若翁，必欲烹而翁，則幸分我一桮羹。」宋．陸游〈示兒〉詩：「王師北定中原日，家祭無忘告乃翁。」
2.參見「翁姑」、「翁婿」等條。
3.對男性長者的尊稱。如：「老翁」、「李翁」、「漁翁」。唐．柳宗元〈江雪〉詩：「孤舟蓑笠翁，獨釣寒江雪。」
4.對男性的尊稱。如：「仁翁」、「某翁」。唐．杜甫〈自京赴奉先縣詠懷五百字〉：「取笑同學翁，浩歌彌激烈。」
5.姓。如漢代有翁伯。 |</v>
      </c>
    </row>
    <row r="12795" spans="1:44" hidden="1">
      <c r="A12795" s="1" t="s">
        <v>27068</v>
      </c>
      <c r="C12795" s="1">
        <v>1</v>
      </c>
      <c r="D12795" s="1" t="str">
        <f>"11543"</f>
        <v>11543</v>
      </c>
      <c r="E12795" s="1" t="s">
        <v>28</v>
      </c>
      <c r="F12795" s="1">
        <v>13</v>
      </c>
      <c r="G12795" s="1">
        <v>10</v>
      </c>
      <c r="H12795" s="1">
        <v>0</v>
      </c>
      <c r="I12795" s="1" t="s">
        <v>27065</v>
      </c>
      <c r="K12795" s="1" t="str">
        <f t="shared" si="807"/>
        <v>ㄨ</v>
      </c>
      <c r="L12795" s="1" t="str">
        <f t="shared" si="808"/>
        <v>ㄥ</v>
      </c>
      <c r="M12795" s="1" t="str">
        <f t="shared" si="809"/>
        <v/>
      </c>
      <c r="P12795" s="1" t="s">
        <v>20</v>
      </c>
      <c r="R12795" s="1" t="s">
        <v>27066</v>
      </c>
      <c r="V12795" s="1" t="s">
        <v>27069</v>
      </c>
      <c r="AR12795" s="1" t="str">
        <f t="shared" si="805"/>
        <v>| [ㄨㄥ](ㄨㄥ.md) | [嗡](嗡.md) |  | wēng | [擬]
形容昆蟲翅膀拍動的聲音。如：「小蜜蜂，嗡嗡嗡，飛到西飛到東。」 |</v>
      </c>
    </row>
    <row r="12796" spans="1:44" hidden="1">
      <c r="A12796" s="1" t="s">
        <v>26464</v>
      </c>
      <c r="C12796" s="1">
        <v>1</v>
      </c>
      <c r="D12796" s="1" t="str">
        <f>"11273"</f>
        <v>11273</v>
      </c>
      <c r="E12796" s="1" t="s">
        <v>3581</v>
      </c>
      <c r="F12796" s="1">
        <v>3</v>
      </c>
      <c r="G12796" s="1">
        <v>1</v>
      </c>
      <c r="H12796" s="1">
        <v>0</v>
      </c>
      <c r="I12796" s="1" t="s">
        <v>26465</v>
      </c>
      <c r="K12796" s="1" t="str">
        <f t="shared" si="807"/>
        <v>ㄨ</v>
      </c>
      <c r="M12796" s="1" t="str">
        <f t="shared" si="809"/>
        <v/>
      </c>
      <c r="N12796" s="3" t="s">
        <v>30574</v>
      </c>
      <c r="O12796" s="3"/>
      <c r="P12796" s="1" t="s">
        <v>20</v>
      </c>
      <c r="R12796" s="1" t="s">
        <v>26466</v>
      </c>
      <c r="V12796" s="1" t="s">
        <v>26467</v>
      </c>
      <c r="AR12796" s="1" t="str">
        <f t="shared" si="805"/>
        <v>| [ㄨˋ](ㄨˋ.md) | [兀](兀.md) |  | wù | [形]
1.高聳特立。唐．劉禹錫〈九華山歌〉：「君不見敬亭之山黃索漠，兀如斷岸無稜角。」
2.光禿。如：「兀鷹」。唐．杜牧〈阿房宮賦〉：「蜀山兀，阿房出。」
[副]
1.尚、仍、還。《水滸傳》第九一回：「黑旋風李逵兀是火剌剌的只顧砍殺。」
2.渾然無知的樣子。《文選．陸機．文賦》：「兀若枯木，豁若涸流。」唐．李白〈月下獨酌〉詩四首之三：「醉後失天地，兀然就孤枕。」
3.不安的樣子。如：「兀兀難安」。漢．傅毅〈舞賦〉：「兀動赴度，指顧應聲。」
[動]
動搖、飄蕩。《後漢書．卷七四下．袁紹傳》：「未有棄親即異，兀其根本，而能全於長世者也。」宋．蘇軾〈好事近．湖上雨晴時〉詞：「獨棹小舟歸去，任煙波飄兀。」
[綴]
加在代詞前形成複詞。如：「兀那」、「兀誰」。 |</v>
      </c>
    </row>
    <row r="12797" spans="1:44" hidden="1">
      <c r="A12797" s="1" t="s">
        <v>26468</v>
      </c>
      <c r="C12797" s="1">
        <v>1</v>
      </c>
      <c r="D12797" s="1" t="str">
        <f>"11274"</f>
        <v>11274</v>
      </c>
      <c r="E12797" s="1" t="s">
        <v>24</v>
      </c>
      <c r="F12797" s="1">
        <v>6</v>
      </c>
      <c r="G12797" s="1">
        <v>3</v>
      </c>
      <c r="H12797" s="1">
        <v>0</v>
      </c>
      <c r="I12797" s="1" t="s">
        <v>26465</v>
      </c>
      <c r="K12797" s="1" t="str">
        <f t="shared" si="807"/>
        <v>ㄨ</v>
      </c>
      <c r="M12797" s="1" t="str">
        <f t="shared" si="809"/>
        <v/>
      </c>
      <c r="N12797" s="3" t="s">
        <v>30574</v>
      </c>
      <c r="O12797" s="3"/>
      <c r="P12797" s="1" t="s">
        <v>20</v>
      </c>
      <c r="R12797" s="1" t="s">
        <v>26466</v>
      </c>
      <c r="V12797" s="1" t="s">
        <v>26469</v>
      </c>
      <c r="AR12797" s="1" t="str">
        <f t="shared" si="805"/>
        <v>| [ㄨˋ](ㄨˋ.md) | [扤](扤.md) |  | wù | [動]
動、搖。《詩經．小雅．正月》：「天之扤我，如不我克。」《文選．司馬相如．上林賦》：「揚翠葉，扤紫莖。」 |</v>
      </c>
    </row>
    <row r="12798" spans="1:44" hidden="1">
      <c r="A12798" s="1" t="s">
        <v>26470</v>
      </c>
      <c r="C12798" s="1">
        <v>1</v>
      </c>
      <c r="D12798" s="1" t="str">
        <f>"11275"</f>
        <v>11275</v>
      </c>
      <c r="E12798" s="1" t="s">
        <v>190</v>
      </c>
      <c r="F12798" s="1">
        <v>6</v>
      </c>
      <c r="G12798" s="1">
        <v>3</v>
      </c>
      <c r="H12798" s="1">
        <v>0</v>
      </c>
      <c r="I12798" s="1" t="s">
        <v>26465</v>
      </c>
      <c r="K12798" s="1" t="str">
        <f t="shared" si="807"/>
        <v>ㄨ</v>
      </c>
      <c r="M12798" s="1" t="str">
        <f t="shared" si="809"/>
        <v/>
      </c>
      <c r="N12798" s="3" t="s">
        <v>30574</v>
      </c>
      <c r="O12798" s="3"/>
      <c r="P12798" s="1" t="s">
        <v>20</v>
      </c>
      <c r="R12798" s="1" t="s">
        <v>26466</v>
      </c>
      <c r="V12798" s="1" t="s">
        <v>26471</v>
      </c>
      <c r="AR12798" s="1" t="str">
        <f t="shared" si="805"/>
        <v>| [ㄨˋ](ㄨˋ.md) | [屼](屼.md) |  | wù | [形]
山光禿的樣子。《文選．左思．吳都賦》：「爾其山澤，則嵬嶷嶢屼。」唐．元結〈演興．招太靈〉詩：「招太靈兮山之巔，山屹屼兮水淪漣。」 |</v>
      </c>
    </row>
    <row r="12799" spans="1:44" hidden="1">
      <c r="A12799" s="1" t="s">
        <v>26472</v>
      </c>
      <c r="C12799" s="1">
        <v>1</v>
      </c>
      <c r="D12799" s="1" t="str">
        <f>"11276"</f>
        <v>11276</v>
      </c>
      <c r="E12799" s="1" t="s">
        <v>691</v>
      </c>
      <c r="F12799" s="1">
        <v>6</v>
      </c>
      <c r="G12799" s="1">
        <v>3</v>
      </c>
      <c r="H12799" s="1">
        <v>0</v>
      </c>
      <c r="I12799" s="1" t="s">
        <v>26465</v>
      </c>
      <c r="K12799" s="1" t="str">
        <f t="shared" si="807"/>
        <v>ㄨ</v>
      </c>
      <c r="M12799" s="1" t="str">
        <f t="shared" si="809"/>
        <v/>
      </c>
      <c r="N12799" s="3" t="s">
        <v>30574</v>
      </c>
      <c r="O12799" s="3"/>
      <c r="P12799" s="1" t="s">
        <v>20</v>
      </c>
      <c r="R12799" s="1" t="s">
        <v>26466</v>
      </c>
      <c r="V12799" s="1" t="s">
        <v>7453</v>
      </c>
      <c r="AR12799" s="1" t="str">
        <f t="shared" si="805"/>
        <v>| [ㄨˋ](ㄨˋ.md) | [阢](阢.md) |  | wù | 參見「阢隉」條。 |</v>
      </c>
    </row>
    <row r="12800" spans="1:44" hidden="1">
      <c r="A12800" s="1" t="s">
        <v>26473</v>
      </c>
      <c r="C12800" s="1">
        <v>1</v>
      </c>
      <c r="D12800" s="1" t="str">
        <f>"11277"</f>
        <v>11277</v>
      </c>
      <c r="E12800" s="1" t="s">
        <v>139</v>
      </c>
      <c r="F12800" s="1">
        <v>7</v>
      </c>
      <c r="G12800" s="1">
        <v>3</v>
      </c>
      <c r="H12800" s="1">
        <v>0</v>
      </c>
      <c r="I12800" s="1" t="s">
        <v>26465</v>
      </c>
      <c r="K12800" s="1" t="str">
        <f t="shared" si="807"/>
        <v>ㄨ</v>
      </c>
      <c r="M12800" s="1" t="str">
        <f t="shared" si="809"/>
        <v/>
      </c>
      <c r="N12800" s="3" t="s">
        <v>30574</v>
      </c>
      <c r="O12800" s="3"/>
      <c r="P12800" s="1" t="s">
        <v>20</v>
      </c>
      <c r="R12800" s="1" t="s">
        <v>26466</v>
      </c>
      <c r="V12800" s="1" t="s">
        <v>26474</v>
      </c>
      <c r="AR12800" s="1" t="str">
        <f t="shared" si="805"/>
        <v>| [ㄨˋ](ㄨˋ.md) | [杌](杌.md) |  | wù | [名]
1.只有主幹而沒有旁枝的樹。《集韻．入聲．沒韻》：「杌，樹無枝也。」南朝梁．江淹〈遊黃櫱山〉詩：「殘杌千代木，廧崒萬古煙。」
2.方形而沒有椅背的椅子。《宋史．卷二八三．丁謂傳》：「遂賜坐，左右欲設墩，謂顧曰：『有旨復平章事。』乃更以杌進。」 |</v>
      </c>
    </row>
    <row r="12801" spans="1:44" hidden="1">
      <c r="A12801" s="1" t="s">
        <v>26475</v>
      </c>
      <c r="C12801" s="1">
        <v>1</v>
      </c>
      <c r="D12801" s="1" t="str">
        <f>"11278"</f>
        <v>11278</v>
      </c>
      <c r="E12801" s="1" t="s">
        <v>2954</v>
      </c>
      <c r="F12801" s="1">
        <v>9</v>
      </c>
      <c r="G12801" s="1">
        <v>7</v>
      </c>
      <c r="H12801" s="1">
        <v>0</v>
      </c>
      <c r="I12801" s="1" t="s">
        <v>26465</v>
      </c>
      <c r="K12801" s="1" t="str">
        <f t="shared" si="807"/>
        <v>ㄨ</v>
      </c>
      <c r="M12801" s="1" t="str">
        <f t="shared" si="809"/>
        <v/>
      </c>
      <c r="N12801" s="3" t="s">
        <v>30574</v>
      </c>
      <c r="O12801" s="3"/>
      <c r="P12801" s="1" t="s">
        <v>20</v>
      </c>
      <c r="R12801" s="1" t="s">
        <v>26466</v>
      </c>
      <c r="V12801" s="1" t="s">
        <v>7442</v>
      </c>
      <c r="AR12801" s="1" t="str">
        <f t="shared" si="805"/>
        <v>| [ㄨˋ](ㄨˋ.md) | [卼](卼.md) |  | wù | 參見「臲卼」條。 |</v>
      </c>
    </row>
    <row r="12802" spans="1:44" hidden="1">
      <c r="A12802" s="1" t="s">
        <v>26476</v>
      </c>
      <c r="C12802" s="1">
        <v>1</v>
      </c>
      <c r="D12802" s="1" t="str">
        <f>"11279"</f>
        <v>11279</v>
      </c>
      <c r="E12802" s="1" t="s">
        <v>570</v>
      </c>
      <c r="F12802" s="1">
        <v>4</v>
      </c>
      <c r="G12802" s="1">
        <v>2</v>
      </c>
      <c r="H12802" s="1">
        <v>0</v>
      </c>
      <c r="I12802" s="1" t="s">
        <v>26465</v>
      </c>
      <c r="K12802" s="1" t="str">
        <f t="shared" si="807"/>
        <v>ㄨ</v>
      </c>
      <c r="M12802" s="1" t="str">
        <f t="shared" si="809"/>
        <v/>
      </c>
      <c r="N12802" s="3" t="s">
        <v>30574</v>
      </c>
      <c r="O12802" s="3"/>
      <c r="P12802" s="1" t="s">
        <v>20</v>
      </c>
      <c r="R12802" s="1" t="s">
        <v>26466</v>
      </c>
      <c r="V12802" s="1" t="s">
        <v>26477</v>
      </c>
      <c r="AR12802" s="1" t="str">
        <f t="shared" si="805"/>
        <v>| [ㄨˋ](ㄨˋ.md) | [勿](勿.md) |  | wù | [副]
1.不要、不可。表示禁止、勸阻。如：「請勿吸煙」。《論語．衛靈公》：「己所不欲，勿施於人！」
2.不。表示否定。《論語．雍也》：「犁牛之子，騂且角，雖欲勿用，山川其舍諸？」 |</v>
      </c>
    </row>
    <row r="12803" spans="1:44" hidden="1">
      <c r="A12803" s="1" t="s">
        <v>26478</v>
      </c>
      <c r="C12803" s="1">
        <v>1</v>
      </c>
      <c r="D12803" s="1" t="str">
        <f>"11280"</f>
        <v>11280</v>
      </c>
      <c r="E12803" s="1" t="s">
        <v>129</v>
      </c>
      <c r="F12803" s="1">
        <v>7</v>
      </c>
      <c r="G12803" s="1">
        <v>4</v>
      </c>
      <c r="H12803" s="1">
        <v>0</v>
      </c>
      <c r="I12803" s="1" t="s">
        <v>26465</v>
      </c>
      <c r="K12803" s="1" t="str">
        <f t="shared" si="807"/>
        <v>ㄨ</v>
      </c>
      <c r="M12803" s="1" t="str">
        <f t="shared" si="809"/>
        <v/>
      </c>
      <c r="N12803" s="3" t="s">
        <v>30574</v>
      </c>
      <c r="O12803" s="3"/>
      <c r="P12803" s="1" t="s">
        <v>20</v>
      </c>
      <c r="R12803" s="1" t="s">
        <v>26466</v>
      </c>
      <c r="V12803" s="1" t="s">
        <v>26479</v>
      </c>
      <c r="AR12803" s="1" t="str">
        <f t="shared" ref="AR12803:AR12866" si="810">"| ["&amp;I12803&amp;"]("&amp;I12803&amp;".md) | ["&amp;A12803&amp;"]("&amp;A12803&amp;".md) | "&amp;" | "&amp;R12803&amp;" | "&amp;V12803&amp;" |"</f>
        <v>| [ㄨˋ](ㄨˋ.md) | [沕](沕.md) |  | wù | [動]
1.潛藏。《集韻．入聲．質韻》：「沕，潛藏也。」《文選．賈誼．弔屈原文》：「襲九淵之神龍兮，沕深潛以自珍。」
2.精氣喪失。《文選．劉安．招隱士》：「罔兮沕，憭兮慄。」 |</v>
      </c>
    </row>
    <row r="12804" spans="1:44" hidden="1">
      <c r="A12804" s="1" t="s">
        <v>12018</v>
      </c>
      <c r="C12804" s="1">
        <v>1</v>
      </c>
      <c r="D12804" s="1" t="str">
        <f>"11281"</f>
        <v>11281</v>
      </c>
      <c r="E12804" s="1" t="s">
        <v>37</v>
      </c>
      <c r="F12804" s="1">
        <v>8</v>
      </c>
      <c r="G12804" s="1">
        <v>4</v>
      </c>
      <c r="H12804" s="1">
        <v>1</v>
      </c>
      <c r="I12804" s="1" t="s">
        <v>26465</v>
      </c>
      <c r="K12804" s="1" t="str">
        <f t="shared" si="807"/>
        <v>ㄨ</v>
      </c>
      <c r="M12804" s="1" t="str">
        <f t="shared" si="809"/>
        <v/>
      </c>
      <c r="N12804" s="3" t="s">
        <v>30574</v>
      </c>
      <c r="O12804" s="3"/>
      <c r="P12804" s="1" t="s">
        <v>20</v>
      </c>
      <c r="R12804" s="1" t="s">
        <v>26466</v>
      </c>
      <c r="V12804" s="1" t="s">
        <v>26480</v>
      </c>
      <c r="W12804" s="1" t="s">
        <v>26481</v>
      </c>
      <c r="AR12804" s="1" t="str">
        <f t="shared" si="810"/>
        <v>| [ㄨˋ](ㄨˋ.md) | [芴](芴.md) |  | wù | [名]
一種可供觀賞或食用的野菜。俗稱為「宿菜」、「土瓜」。《詩經．風邶．谷風》：「采葑采菲。」唐．孔穎達．正義：「陸璣云：『菲，似葍，莖麤，葉厚而長，有毛。三月中烝鬻為茹，滑美可作羹。幽州人謂之芴，《爾雅》謂之蒠菜，今河內人謂之宿菜。』」 |</v>
      </c>
    </row>
    <row r="12805" spans="1:44" hidden="1">
      <c r="A12805" s="1" t="s">
        <v>26482</v>
      </c>
      <c r="C12805" s="1">
        <v>1</v>
      </c>
      <c r="D12805" s="1" t="str">
        <f>"11282"</f>
        <v>11282</v>
      </c>
      <c r="E12805" s="1" t="s">
        <v>518</v>
      </c>
      <c r="F12805" s="1">
        <v>8</v>
      </c>
      <c r="G12805" s="1">
        <v>4</v>
      </c>
      <c r="H12805" s="1">
        <v>0</v>
      </c>
      <c r="I12805" s="1" t="s">
        <v>26465</v>
      </c>
      <c r="K12805" s="1" t="str">
        <f t="shared" si="807"/>
        <v>ㄨ</v>
      </c>
      <c r="M12805" s="1" t="str">
        <f t="shared" si="809"/>
        <v/>
      </c>
      <c r="N12805" s="3" t="s">
        <v>30574</v>
      </c>
      <c r="O12805" s="3"/>
      <c r="P12805" s="1" t="s">
        <v>20</v>
      </c>
      <c r="R12805" s="1" t="s">
        <v>26466</v>
      </c>
      <c r="V12805" s="1" t="s">
        <v>26483</v>
      </c>
      <c r="AR12805" s="1" t="str">
        <f t="shared" si="810"/>
        <v>| [ㄨˋ](ㄨˋ.md) | [物](物.md) |  | wù | [名]
1.存在於天地間一切人事物的通稱。如：「天生萬物」。《易經．繫辭上》：「方以類聚，物以群分，吉凶生矣。」《列子．黃帝》：「凡有貌像聲色者，皆物也。」
2.指我以外的人、事、境界。相對於「我」而言。如：「物我兩忘」。《史記．卷二四．樂書》：「凡音之起，由人心生也。人心之動，物使之然也。」宋．范仲淹〈岳陽樓記〉：「不以物喜，不以己悲。」
3.指作品或言談中的內容。如：「言之有物」。《文選．陸機．文賦》：「體有萬殊，物無一量。」
4.典章制度。《左傳．哀公元年》：「復禹之績，祀夏配天，不失舊物。」《新唐書．卷九六．杜如晦傳》：「方為相時，天下新定，臺閣制度，憲物容典，率二人討裁。」
5.特指人。南朝宋．劉義慶《世說新語．言語》：「羊權為黃門侍郎，侍簡文坐。帝問曰：『夏侯湛作羊秉敘絕可想。是卿何物？有後不？』」唐．柳宗元〈衡陽與夢得分路贈別〉詩：「直以慵疏招物議，休將文字占時名。」
[動]
1.選擇。《左傳．昭公三十二年》：「計丈數，揣高卑，度厚薄，仞溝洫，物土方，議遠邇。」《淮南子．繆稱》：「欲知天道察其數，欲知地道物其樹，欲知人道從其欲。」
2.尋求。如：「物色」。 |</v>
      </c>
    </row>
    <row r="12806" spans="1:44" hidden="1">
      <c r="A12806" s="1" t="s">
        <v>26484</v>
      </c>
      <c r="C12806" s="1">
        <v>1</v>
      </c>
      <c r="D12806" s="1" t="str">
        <f>"11283"</f>
        <v>11283</v>
      </c>
      <c r="E12806" s="1" t="s">
        <v>4785</v>
      </c>
      <c r="F12806" s="1">
        <v>5</v>
      </c>
      <c r="G12806" s="1">
        <v>1</v>
      </c>
      <c r="H12806" s="1">
        <v>0</v>
      </c>
      <c r="I12806" s="1" t="s">
        <v>26465</v>
      </c>
      <c r="K12806" s="1" t="str">
        <f t="shared" si="807"/>
        <v>ㄨ</v>
      </c>
      <c r="M12806" s="1" t="str">
        <f t="shared" si="809"/>
        <v/>
      </c>
      <c r="N12806" s="3" t="s">
        <v>30574</v>
      </c>
      <c r="O12806" s="3"/>
      <c r="P12806" s="1" t="s">
        <v>20</v>
      </c>
      <c r="R12806" s="1" t="s">
        <v>26466</v>
      </c>
      <c r="V12806" s="1" t="s">
        <v>26485</v>
      </c>
      <c r="AR12806" s="1" t="str">
        <f t="shared" si="810"/>
        <v>| [ㄨˋ](ㄨˋ.md) | [戊](戊.md) |  | wù | [名]
1.天干的第五位。
2.等級、次第的第五位。如：「三年戊班」。 |</v>
      </c>
    </row>
    <row r="12807" spans="1:44" hidden="1">
      <c r="A12807" s="1" t="s">
        <v>26347</v>
      </c>
      <c r="C12807" s="1">
        <v>1</v>
      </c>
      <c r="D12807" s="1" t="str">
        <f>"11284"</f>
        <v>11284</v>
      </c>
      <c r="E12807" s="1" t="s">
        <v>129</v>
      </c>
      <c r="F12807" s="1">
        <v>6</v>
      </c>
      <c r="G12807" s="1">
        <v>3</v>
      </c>
      <c r="H12807" s="1">
        <v>2</v>
      </c>
      <c r="I12807" s="1" t="s">
        <v>26465</v>
      </c>
      <c r="K12807" s="1" t="str">
        <f t="shared" si="807"/>
        <v>ㄨ</v>
      </c>
      <c r="M12807" s="1" t="str">
        <f t="shared" si="809"/>
        <v/>
      </c>
      <c r="N12807" s="3" t="s">
        <v>30574</v>
      </c>
      <c r="O12807" s="3"/>
      <c r="P12807" s="1" t="s">
        <v>20</v>
      </c>
      <c r="R12807" s="1" t="s">
        <v>26466</v>
      </c>
      <c r="V12807" s="1" t="s">
        <v>26486</v>
      </c>
      <c r="W12807" s="1" t="s">
        <v>26487</v>
      </c>
      <c r="AR12807" s="1" t="str">
        <f t="shared" si="810"/>
        <v>| [ㄨˋ](ㄨˋ.md) | [汙](汙.md) |  | wù | [動]
洗滌去汙。《詩經．周南．葛覃》：「薄汙我私，薄澣我衣。」唐．李賀〈送秦光祿北征〉詩：「風吹雲路火，雪汙玉關泥。」 |</v>
      </c>
    </row>
    <row r="12808" spans="1:44" hidden="1">
      <c r="A12808" s="1" t="s">
        <v>26488</v>
      </c>
      <c r="C12808" s="1">
        <v>1</v>
      </c>
      <c r="D12808" s="1" t="str">
        <f>"11285"</f>
        <v>11285</v>
      </c>
      <c r="E12808" s="1" t="s">
        <v>129</v>
      </c>
      <c r="F12808" s="1">
        <v>7</v>
      </c>
      <c r="G12808" s="1">
        <v>4</v>
      </c>
      <c r="H12808" s="1">
        <v>2</v>
      </c>
      <c r="I12808" s="1" t="s">
        <v>26465</v>
      </c>
      <c r="K12808" s="1" t="str">
        <f t="shared" si="807"/>
        <v>ㄨ</v>
      </c>
      <c r="M12808" s="1" t="str">
        <f t="shared" si="809"/>
        <v/>
      </c>
      <c r="N12808" s="3" t="s">
        <v>30574</v>
      </c>
      <c r="O12808" s="3"/>
      <c r="P12808" s="1" t="s">
        <v>110</v>
      </c>
      <c r="R12808" s="1" t="s">
        <v>26466</v>
      </c>
      <c r="V12808" s="1" t="s">
        <v>111</v>
      </c>
      <c r="W12808" s="1" t="s">
        <v>26489</v>
      </c>
      <c r="AR12808" s="1" t="str">
        <f t="shared" si="810"/>
        <v>| [ㄨˋ](ㄨˋ.md) | [沃](沃.md) |  | wù | (一)之又音。 |</v>
      </c>
    </row>
    <row r="12809" spans="1:44" hidden="1">
      <c r="A12809" s="1" t="s">
        <v>26490</v>
      </c>
      <c r="C12809" s="1">
        <v>1</v>
      </c>
      <c r="D12809" s="1" t="str">
        <f>"11286"</f>
        <v>11286</v>
      </c>
      <c r="E12809" s="1" t="s">
        <v>55</v>
      </c>
      <c r="F12809" s="1">
        <v>15</v>
      </c>
      <c r="G12809" s="1">
        <v>7</v>
      </c>
      <c r="H12809" s="1">
        <v>0</v>
      </c>
      <c r="I12809" s="1" t="s">
        <v>26465</v>
      </c>
      <c r="K12809" s="1" t="str">
        <f t="shared" si="807"/>
        <v>ㄨ</v>
      </c>
      <c r="M12809" s="1" t="str">
        <f t="shared" si="809"/>
        <v/>
      </c>
      <c r="N12809" s="3" t="s">
        <v>30574</v>
      </c>
      <c r="O12809" s="3"/>
      <c r="P12809" s="1" t="s">
        <v>20</v>
      </c>
      <c r="R12809" s="1" t="s">
        <v>26466</v>
      </c>
      <c r="V12809" s="1" t="s">
        <v>26491</v>
      </c>
      <c r="AR12809" s="1" t="str">
        <f t="shared" si="810"/>
        <v>| [ㄨˋ](ㄨˋ.md) | [鋈](鋈.md) |  | wù | [名]
白金。《說文解字．金部》：「鋈，白金也。」北周．王襃〈館銘〉：「昆吾陶鑄，丹陽鋈銑。」
[動]
鍍。《詩經．秦風．小戎》：「龍盾之合，鋈以觼軜。」《元史．卷二〇．成宗本紀三》：「賜諸王也滅干鋈金印。」 |</v>
      </c>
    </row>
    <row r="12810" spans="1:44" hidden="1">
      <c r="A12810" s="1" t="s">
        <v>26438</v>
      </c>
      <c r="C12810" s="1">
        <v>1</v>
      </c>
      <c r="D12810" s="1" t="str">
        <f>"11287"</f>
        <v>11287</v>
      </c>
      <c r="E12810" s="1" t="s">
        <v>558</v>
      </c>
      <c r="F12810" s="1">
        <v>8</v>
      </c>
      <c r="G12810" s="1">
        <v>4</v>
      </c>
      <c r="H12810" s="1">
        <v>2</v>
      </c>
      <c r="I12810" s="1" t="s">
        <v>26465</v>
      </c>
      <c r="K12810" s="1" t="str">
        <f t="shared" si="807"/>
        <v>ㄨ</v>
      </c>
      <c r="M12810" s="1" t="str">
        <f t="shared" si="809"/>
        <v/>
      </c>
      <c r="N12810" s="3" t="s">
        <v>30574</v>
      </c>
      <c r="O12810" s="3"/>
      <c r="P12810" s="1" t="s">
        <v>110</v>
      </c>
      <c r="R12810" s="1" t="s">
        <v>26466</v>
      </c>
      <c r="V12810" s="1" t="s">
        <v>111</v>
      </c>
      <c r="W12810" s="1" t="s">
        <v>26492</v>
      </c>
      <c r="AR12810" s="1" t="str">
        <f t="shared" si="810"/>
        <v>| [ㄨˋ](ㄨˋ.md) | [迕](迕.md) |  | wù | (一)之又音。 |</v>
      </c>
    </row>
    <row r="12811" spans="1:44" hidden="1">
      <c r="A12811" s="1" t="s">
        <v>26493</v>
      </c>
      <c r="C12811" s="1">
        <v>1</v>
      </c>
      <c r="D12811" s="1" t="str">
        <f>"11288"</f>
        <v>11288</v>
      </c>
      <c r="E12811" s="1" t="s">
        <v>250</v>
      </c>
      <c r="F12811" s="1">
        <v>10</v>
      </c>
      <c r="G12811" s="1">
        <v>7</v>
      </c>
      <c r="H12811" s="1">
        <v>0</v>
      </c>
      <c r="I12811" s="1" t="s">
        <v>26465</v>
      </c>
      <c r="K12811" s="1" t="str">
        <f t="shared" si="807"/>
        <v>ㄨ</v>
      </c>
      <c r="M12811" s="1" t="str">
        <f t="shared" si="809"/>
        <v/>
      </c>
      <c r="N12811" s="3" t="s">
        <v>30574</v>
      </c>
      <c r="O12811" s="3"/>
      <c r="P12811" s="1" t="s">
        <v>20</v>
      </c>
      <c r="R12811" s="1" t="s">
        <v>26466</v>
      </c>
      <c r="V12811" s="1" t="s">
        <v>26494</v>
      </c>
      <c r="AR12811" s="1" t="str">
        <f t="shared" si="810"/>
        <v>| [ㄨˋ](ㄨˋ.md) | [悟](悟.md) |  | wù | [動]
1.明白、覺醒。如：「覺悟」、「執迷不悟」、「恍然大悟」。《史記．卷六．秦始皇本紀》：「三主惑而終身不悟，亡，不亦宜乎？」
2.啟發他人使其覺悟。漢．崔駰〈達旨〉：「唐且華顛以悟秦，甘羅童牙而報趙。」《宋史．卷四三三．儒林傳三．楊萬里傳》：「臣聞古者人君，人不能悟之，則天地能悟之。」
[名]
姓。如漢代有悟明極。 |</v>
      </c>
    </row>
    <row r="12812" spans="1:44" hidden="1">
      <c r="A12812" s="1" t="s">
        <v>26495</v>
      </c>
      <c r="C12812" s="1">
        <v>1</v>
      </c>
      <c r="D12812" s="1" t="str">
        <f>"11289"</f>
        <v>11289</v>
      </c>
      <c r="E12812" s="1" t="s">
        <v>336</v>
      </c>
      <c r="F12812" s="1">
        <v>11</v>
      </c>
      <c r="G12812" s="1">
        <v>7</v>
      </c>
      <c r="H12812" s="1">
        <v>0</v>
      </c>
      <c r="I12812" s="1" t="s">
        <v>26465</v>
      </c>
      <c r="K12812" s="1" t="str">
        <f t="shared" si="807"/>
        <v>ㄨ</v>
      </c>
      <c r="M12812" s="1" t="str">
        <f t="shared" si="809"/>
        <v/>
      </c>
      <c r="N12812" s="3" t="s">
        <v>30574</v>
      </c>
      <c r="O12812" s="3"/>
      <c r="P12812" s="1" t="s">
        <v>20</v>
      </c>
      <c r="R12812" s="1" t="s">
        <v>26466</v>
      </c>
      <c r="V12812" s="1" t="s">
        <v>26496</v>
      </c>
      <c r="AR12812" s="1" t="str">
        <f t="shared" si="810"/>
        <v>| [ㄨˋ](ㄨˋ.md) | [焐](焐.md) |  | wù | [動]
以熱的東西接觸涼的東西，使後者變暖。如：「用熱水袋焐一焐手。」元．李文蔚《燕青博魚》第三折：「你便殺了我，到那寒冬臘月裡害腳冷，誰與你焐腳？」 |</v>
      </c>
    </row>
    <row r="12813" spans="1:44" hidden="1">
      <c r="A12813" s="1" t="s">
        <v>26403</v>
      </c>
      <c r="C12813" s="1">
        <v>1</v>
      </c>
      <c r="D12813" s="1" t="str">
        <f>"11290"</f>
        <v>11290</v>
      </c>
      <c r="E12813" s="1" t="s">
        <v>139</v>
      </c>
      <c r="F12813" s="1">
        <v>11</v>
      </c>
      <c r="G12813" s="1">
        <v>7</v>
      </c>
      <c r="H12813" s="1">
        <v>2</v>
      </c>
      <c r="I12813" s="1" t="s">
        <v>26465</v>
      </c>
      <c r="K12813" s="1" t="str">
        <f t="shared" si="807"/>
        <v>ㄨ</v>
      </c>
      <c r="M12813" s="1" t="str">
        <f t="shared" si="809"/>
        <v/>
      </c>
      <c r="N12813" s="3" t="s">
        <v>30574</v>
      </c>
      <c r="O12813" s="3"/>
      <c r="P12813" s="1" t="s">
        <v>20</v>
      </c>
      <c r="R12813" s="1" t="s">
        <v>26466</v>
      </c>
      <c r="V12813" s="1" t="s">
        <v>26497</v>
      </c>
      <c r="W12813" s="1" t="s">
        <v>26498</v>
      </c>
      <c r="AR12813" s="1" t="str">
        <f t="shared" si="810"/>
        <v>| [ㄨˋ](ㄨˋ.md) | [梧](梧.md) |  | wù | 參見「魁梧」條。 |</v>
      </c>
    </row>
    <row r="12814" spans="1:44" hidden="1">
      <c r="A12814" s="1" t="s">
        <v>26499</v>
      </c>
      <c r="C12814" s="1">
        <v>1</v>
      </c>
      <c r="D12814" s="1" t="str">
        <f>"11291"</f>
        <v>11291</v>
      </c>
      <c r="E12814" s="1" t="s">
        <v>646</v>
      </c>
      <c r="F12814" s="1">
        <v>11</v>
      </c>
      <c r="G12814" s="1">
        <v>7</v>
      </c>
      <c r="H12814" s="1">
        <v>0</v>
      </c>
      <c r="I12814" s="1" t="s">
        <v>26465</v>
      </c>
      <c r="K12814" s="1" t="str">
        <f t="shared" si="807"/>
        <v>ㄨ</v>
      </c>
      <c r="M12814" s="1" t="str">
        <f t="shared" si="809"/>
        <v/>
      </c>
      <c r="N12814" s="3" t="s">
        <v>30574</v>
      </c>
      <c r="O12814" s="3"/>
      <c r="P12814" s="1" t="s">
        <v>20</v>
      </c>
      <c r="R12814" s="1" t="s">
        <v>26466</v>
      </c>
      <c r="V12814" s="1" t="s">
        <v>26500</v>
      </c>
      <c r="AR12814" s="1" t="str">
        <f t="shared" si="810"/>
        <v>| [ㄨˋ](ㄨˋ.md) | [晤](晤.md) |  | wù | [動]
見面。如：「會晤」、「有空請來寒舍一晤。」《詩經．陳風．東門之池》：「彼美淑姬，可與晤歌。」《三國演義》第四九回：「連日不晤君顏，何期貴體不安。」
[形]
聰明。《宋史．卷八．真宗本紀．贊曰》：「真宗英晤之主，其初踐位，相臣李沆慮其聰明必多作為。」 |</v>
      </c>
    </row>
    <row r="12815" spans="1:44" hidden="1">
      <c r="A12815" s="1" t="s">
        <v>26501</v>
      </c>
      <c r="C12815" s="1">
        <v>1</v>
      </c>
      <c r="D12815" s="1" t="str">
        <f>"11292"</f>
        <v>11292</v>
      </c>
      <c r="E12815" s="1" t="s">
        <v>40</v>
      </c>
      <c r="F12815" s="1">
        <v>12</v>
      </c>
      <c r="G12815" s="1">
        <v>7</v>
      </c>
      <c r="H12815" s="1">
        <v>0</v>
      </c>
      <c r="I12815" s="1" t="s">
        <v>26465</v>
      </c>
      <c r="K12815" s="1" t="str">
        <f t="shared" si="807"/>
        <v>ㄨ</v>
      </c>
      <c r="M12815" s="1" t="str">
        <f t="shared" si="809"/>
        <v/>
      </c>
      <c r="N12815" s="3" t="s">
        <v>30574</v>
      </c>
      <c r="O12815" s="3"/>
      <c r="P12815" s="1" t="s">
        <v>20</v>
      </c>
      <c r="R12815" s="1" t="s">
        <v>26466</v>
      </c>
      <c r="V12815" s="1" t="s">
        <v>26502</v>
      </c>
      <c r="AR12815" s="1" t="str">
        <f t="shared" si="810"/>
        <v>| [ㄨˋ](ㄨˋ.md) | [痦](痦.md) |  | wù | 參見「痦子」條。 |</v>
      </c>
    </row>
    <row r="12816" spans="1:44" hidden="1">
      <c r="A12816" s="1" t="s">
        <v>26503</v>
      </c>
      <c r="C12816" s="1">
        <v>1</v>
      </c>
      <c r="D12816" s="1" t="str">
        <f>"11293"</f>
        <v>11293</v>
      </c>
      <c r="E12816" s="1" t="s">
        <v>624</v>
      </c>
      <c r="F12816" s="1">
        <v>14</v>
      </c>
      <c r="G12816" s="1">
        <v>11</v>
      </c>
      <c r="H12816" s="1">
        <v>0</v>
      </c>
      <c r="I12816" s="1" t="s">
        <v>26465</v>
      </c>
      <c r="K12816" s="1" t="str">
        <f t="shared" si="807"/>
        <v>ㄨ</v>
      </c>
      <c r="M12816" s="1" t="str">
        <f t="shared" si="809"/>
        <v/>
      </c>
      <c r="N12816" s="3" t="s">
        <v>30574</v>
      </c>
      <c r="O12816" s="3"/>
      <c r="P12816" s="1" t="s">
        <v>20</v>
      </c>
      <c r="R12816" s="1" t="s">
        <v>26466</v>
      </c>
      <c r="V12816" s="1" t="s">
        <v>26504</v>
      </c>
      <c r="AR12816" s="1" t="str">
        <f t="shared" si="810"/>
        <v>| [ㄨˋ](ㄨˋ.md) | [寤](寤.md) |  | wù | [動]
1.睡醒。《詩經．周南．關雎》：「窈窕淑女，寤寐求之。」《呂氏春秋．離俗覽．離俗》：「惕然而寤，徒夢也。」
2.覺悟、醒悟。通「悟」。《楚辭．屈原．離騷》：「閏中既以邃遠兮，哲王又不寤。」《後漢書．卷四〇．班彪傳上》：「仰寤東井之精，俯協河圖之靈。」 |</v>
      </c>
    </row>
    <row r="12817" spans="1:44" hidden="1">
      <c r="A12817" s="1" t="s">
        <v>26505</v>
      </c>
      <c r="C12817" s="1">
        <v>1</v>
      </c>
      <c r="D12817" s="1" t="str">
        <f>"11294"</f>
        <v>11294</v>
      </c>
      <c r="E12817" s="1" t="s">
        <v>245</v>
      </c>
      <c r="F12817" s="1">
        <v>11</v>
      </c>
      <c r="G12817" s="1">
        <v>9</v>
      </c>
      <c r="H12817" s="1">
        <v>0</v>
      </c>
      <c r="I12817" s="1" t="s">
        <v>26465</v>
      </c>
      <c r="K12817" s="1" t="str">
        <f t="shared" si="807"/>
        <v>ㄨ</v>
      </c>
      <c r="M12817" s="1" t="str">
        <f t="shared" si="809"/>
        <v/>
      </c>
      <c r="N12817" s="3" t="s">
        <v>30574</v>
      </c>
      <c r="O12817" s="3"/>
      <c r="P12817" s="1" t="s">
        <v>20</v>
      </c>
      <c r="R12817" s="1" t="s">
        <v>26466</v>
      </c>
      <c r="V12817" s="1" t="s">
        <v>26506</v>
      </c>
      <c r="AR12817" s="1" t="str">
        <f t="shared" si="810"/>
        <v>| [ㄨˋ](ㄨˋ.md) | [務](務.md) |  | wù | [動]
1.致力從事。如：「世代務農」。《論語．學而》：「君子務本，本立而道生。」《漢書．卷六八．霍光傳》：「女曹不務奉大將軍餘業，今大夫給事中，他人壹間，女能復自救邪？」
2.追求、謀取。唐．柳宗元〈答韋中立論師道書〉：「是故不苟為炳炳烺烺，務采色夸聲音而以為能也。」唐．韓愈〈進學解〉：「貪多務得，細大不捐。」
[名]
1.事情或工作。如：「家務」、「公務」、「事務」、「任務」。《韓非子．詭使》：「倉廩之所以實者，耕農之本務也。」南朝宋．劉義慶《世說新語．政事》：「望卿擺撥常務，應對玄言。」
2.古代掌管稅收的單位。如宋代有市易務、榷貨務。《新五代史．卷六六．十國世家．楚世家》：「乃自京師至襄、唐、郢、復等州置邸務以賣茶，其利十倍。」
3.姓。如堯時有務成子。
[副]
必須、一定。如：「務必小心」、「務請注意」。唐．柳宗元〈斷刑論下〉：「賞務速而後有勸，罰務速而後有懲。」 |</v>
      </c>
    </row>
    <row r="12818" spans="1:44" hidden="1">
      <c r="A12818" s="1" t="s">
        <v>26507</v>
      </c>
      <c r="C12818" s="1">
        <v>1</v>
      </c>
      <c r="D12818" s="1" t="str">
        <f>"11295"</f>
        <v>11295</v>
      </c>
      <c r="E12818" s="1" t="s">
        <v>534</v>
      </c>
      <c r="F12818" s="1">
        <v>12</v>
      </c>
      <c r="G12818" s="1">
        <v>9</v>
      </c>
      <c r="H12818" s="1">
        <v>0</v>
      </c>
      <c r="I12818" s="1" t="s">
        <v>26465</v>
      </c>
      <c r="K12818" s="1" t="str">
        <f t="shared" si="807"/>
        <v>ㄨ</v>
      </c>
      <c r="M12818" s="1" t="str">
        <f t="shared" si="809"/>
        <v/>
      </c>
      <c r="N12818" s="3" t="s">
        <v>30574</v>
      </c>
      <c r="O12818" s="3"/>
      <c r="P12818" s="1" t="s">
        <v>20</v>
      </c>
      <c r="R12818" s="1" t="s">
        <v>26466</v>
      </c>
      <c r="V12818" s="1" t="s">
        <v>26508</v>
      </c>
      <c r="AR12818" s="1" t="str">
        <f t="shared" si="810"/>
        <v>| [ㄨˋ](ㄨˋ.md) | [婺](婺.md) |  | wù | 參見「婺女」、「婺川」等條。 |</v>
      </c>
    </row>
    <row r="12819" spans="1:44" hidden="1">
      <c r="A12819" s="1" t="s">
        <v>26509</v>
      </c>
      <c r="C12819" s="1">
        <v>1</v>
      </c>
      <c r="D12819" s="1" t="str">
        <f>"11296"</f>
        <v>11296</v>
      </c>
      <c r="E12819" s="1" t="s">
        <v>125</v>
      </c>
      <c r="F12819" s="1">
        <v>19</v>
      </c>
      <c r="G12819" s="1">
        <v>11</v>
      </c>
      <c r="H12819" s="1">
        <v>0</v>
      </c>
      <c r="I12819" s="1" t="s">
        <v>26465</v>
      </c>
      <c r="K12819" s="1" t="str">
        <f t="shared" si="807"/>
        <v>ㄨ</v>
      </c>
      <c r="M12819" s="1" t="str">
        <f t="shared" si="809"/>
        <v/>
      </c>
      <c r="N12819" s="3" t="s">
        <v>30574</v>
      </c>
      <c r="O12819" s="3"/>
      <c r="P12819" s="1" t="s">
        <v>20</v>
      </c>
      <c r="R12819" s="1" t="s">
        <v>26466</v>
      </c>
      <c r="V12819" s="1" t="s">
        <v>26510</v>
      </c>
      <c r="AR12819" s="1" t="str">
        <f t="shared" si="810"/>
        <v>| [ㄨˋ](ㄨˋ.md) | [霧](霧.md) |  | wù | [名]
空氣中接近地面的水蒸氣，因遇冷凝結成小水滴或冰晶，而漂浮在地表的一種現象。能見度低於一公里。如：「霧太濃了，幾乎伸手不見五指。」 |</v>
      </c>
    </row>
    <row r="12820" spans="1:44" hidden="1">
      <c r="A12820" s="1" t="s">
        <v>26511</v>
      </c>
      <c r="C12820" s="1">
        <v>1</v>
      </c>
      <c r="D12820" s="1" t="str">
        <f>"11297"</f>
        <v>11297</v>
      </c>
      <c r="E12820" s="1" t="s">
        <v>319</v>
      </c>
      <c r="F12820" s="1">
        <v>19</v>
      </c>
      <c r="G12820" s="1">
        <v>9</v>
      </c>
      <c r="H12820" s="1">
        <v>0</v>
      </c>
      <c r="I12820" s="1" t="s">
        <v>26465</v>
      </c>
      <c r="K12820" s="1" t="str">
        <f t="shared" si="807"/>
        <v>ㄨ</v>
      </c>
      <c r="M12820" s="1" t="str">
        <f t="shared" si="809"/>
        <v/>
      </c>
      <c r="N12820" s="3" t="s">
        <v>30574</v>
      </c>
      <c r="O12820" s="3"/>
      <c r="P12820" s="1" t="s">
        <v>20</v>
      </c>
      <c r="R12820" s="1" t="s">
        <v>26466</v>
      </c>
      <c r="V12820" s="1" t="s">
        <v>26512</v>
      </c>
      <c r="AR12820" s="1" t="str">
        <f t="shared" si="810"/>
        <v>| [ㄨˋ](ㄨˋ.md) | [騖](騖.md) |  | wù | [動]_x000D_
1.奔馳。《楚辭．宋玉．招魂》：「步及驟處兮誘騁先，抑騖若通兮引車右還。」漢．班固〈答賓戲〉：「侯伯方軌，戰國橫騖。」_x000D_
2.放縱地追求。如：「好高騖遠」。晉．葛洪《神仙傳．卷五．欒巴》：「雖日宴坐，而心騖於外，營營然如飛蛾之赴霄燭，蒼蠅之觸曉窗，知往而不知返，知就利而不知避害。」宋．王安石〈與劉原父書〉：「方今萬事所以難合而易壞，常以諸賢無意耳，如鄙宗夷甫輩稍稍騖於世矣。」 |</v>
      </c>
    </row>
    <row r="12821" spans="1:44" hidden="1">
      <c r="A12821" s="1" t="s">
        <v>3793</v>
      </c>
      <c r="C12821" s="1">
        <v>1</v>
      </c>
      <c r="D12821" s="1" t="str">
        <f>"11298"</f>
        <v>11298</v>
      </c>
      <c r="E12821" s="1" t="s">
        <v>272</v>
      </c>
      <c r="F12821" s="1">
        <v>20</v>
      </c>
      <c r="G12821" s="1">
        <v>9</v>
      </c>
      <c r="H12821" s="1">
        <v>1</v>
      </c>
      <c r="I12821" s="1" t="s">
        <v>26465</v>
      </c>
      <c r="K12821" s="1" t="str">
        <f t="shared" si="807"/>
        <v>ㄨ</v>
      </c>
      <c r="M12821" s="1" t="str">
        <f t="shared" si="809"/>
        <v/>
      </c>
      <c r="N12821" s="3" t="s">
        <v>30574</v>
      </c>
      <c r="O12821" s="3"/>
      <c r="P12821" s="1" t="s">
        <v>20</v>
      </c>
      <c r="R12821" s="1" t="s">
        <v>26466</v>
      </c>
      <c r="V12821" s="1" t="s">
        <v>26513</v>
      </c>
      <c r="W12821" s="1" t="s">
        <v>26514</v>
      </c>
      <c r="AR12821" s="1" t="str">
        <f t="shared" si="810"/>
        <v>| [ㄨˋ](ㄨˋ.md) | [鶩](鶩.md) |  | wù | [名]
鳥類中的游禽類。俗稱為「野鴨」。唐．王勃〈滕王閣序〉：「彩徹雲衢，落霞與孤鶩齊飛，秋水共長天一色。」 |</v>
      </c>
    </row>
    <row r="12822" spans="1:44" hidden="1">
      <c r="A12822" s="1" t="s">
        <v>24253</v>
      </c>
      <c r="C12822" s="1">
        <v>1</v>
      </c>
      <c r="D12822" s="1" t="str">
        <f>"11299"</f>
        <v>11299</v>
      </c>
      <c r="E12822" s="1" t="s">
        <v>250</v>
      </c>
      <c r="F12822" s="1">
        <v>12</v>
      </c>
      <c r="G12822" s="1">
        <v>8</v>
      </c>
      <c r="H12822" s="1">
        <v>3</v>
      </c>
      <c r="I12822" s="1" t="s">
        <v>26465</v>
      </c>
      <c r="K12822" s="1" t="str">
        <f t="shared" si="807"/>
        <v>ㄨ</v>
      </c>
      <c r="M12822" s="1" t="str">
        <f t="shared" si="809"/>
        <v/>
      </c>
      <c r="N12822" s="3" t="s">
        <v>30574</v>
      </c>
      <c r="O12822" s="3"/>
      <c r="P12822" s="1" t="s">
        <v>20</v>
      </c>
      <c r="R12822" s="1" t="s">
        <v>26466</v>
      </c>
      <c r="V12822" s="1" t="s">
        <v>26515</v>
      </c>
      <c r="W12822" s="1" t="s">
        <v>26516</v>
      </c>
      <c r="AR12822" s="1" t="str">
        <f t="shared" si="810"/>
        <v>| [ㄨˋ](ㄨˋ.md) | [惡](惡.md) |  | wù | [動]_x000D_
1.憎恨、討厭。《論語．里仁》：「唯仁者，能好人，能惡人。」唐．杜甫〈佳人〉詩：「世情惡衰歇，萬事隨轉燭。」_x000D_
2.冒犯、觸怒。唐．朱敬則〈梁武帝論〉：「且夫惡於齊而保於我，何補也？得一夫而亡一國，非智也。」《水滸傳》第一〇回：「我因惡了高太尉，生事陷害，受了一場官司，刺配到這裡。」《警世通言．卷二一．趙太祖千里送京娘》：「既在此借宿，惡不得他。」_x000D_
3.害怕、畏懼。《韓非子．八說》：「使人不衣不食，而不飢不寒，又不惡死，則無事上之意。」明．朱橚《普濟方．卷二．方脈總論．六經中傷病脈》：「其證：頭項強，腰脊痛，無汗，惡寒，不惡風。」_x000D_
4.毀謗、中傷。《漢書．卷四四．淮南衡山濟北王傳．衡山王劉賜》：「兩人相妒，厥姬乃惡徐來於太子。」明．沈愷〈敘唐祕監賀公〉：「未幾，王召為執珪，以不能事王左右，惡於王。王召責之，華免冠謝，則復歎曰：『敖真敗予矣。』」_x000D_
[名]_x000D_
羞恥。《史記．卷七六．平原君虞卿列傳．平原君》 ：「此百世之怨而趙之所羞，而王弗知惡焉。」 |</v>
      </c>
    </row>
    <row r="12823" spans="1:44" hidden="1">
      <c r="A12823" s="1" t="s">
        <v>26517</v>
      </c>
      <c r="C12823" s="1">
        <v>1</v>
      </c>
      <c r="D12823" s="1" t="str">
        <f>"11300"</f>
        <v>11300</v>
      </c>
      <c r="E12823" s="1" t="s">
        <v>132</v>
      </c>
      <c r="F12823" s="1">
        <v>13</v>
      </c>
      <c r="G12823" s="1">
        <v>10</v>
      </c>
      <c r="H12823" s="1">
        <v>0</v>
      </c>
      <c r="I12823" s="1" t="s">
        <v>26465</v>
      </c>
      <c r="K12823" s="1" t="str">
        <f t="shared" si="807"/>
        <v>ㄨ</v>
      </c>
      <c r="M12823" s="1" t="str">
        <f t="shared" si="809"/>
        <v/>
      </c>
      <c r="N12823" s="3" t="s">
        <v>30574</v>
      </c>
      <c r="O12823" s="3"/>
      <c r="P12823" s="1" t="s">
        <v>20</v>
      </c>
      <c r="R12823" s="1" t="s">
        <v>26466</v>
      </c>
      <c r="V12823" s="1" t="s">
        <v>26518</v>
      </c>
      <c r="AR12823" s="1" t="str">
        <f t="shared" si="810"/>
        <v>| [ㄨˋ](ㄨˋ.md) | [塢](塢.md) |  | wù | [名]
1.供防守的小城堡或障蔽物。《後漢書．卷七二．董卓傳》：「又築塢於郿，高厚七丈，號曰『萬歲塢』。」唐．柳宗元〈小石城山記〉：「有積石橫當其垠，其上為睥睨梁欐之形，其旁出堡塢，有若門焉。」
2.泛指四周高而中央低的地方。如：「山塢」、「船塢」。《紅樓夢》第五回：「方離柳塢，乍出花房。」
3.村落。唐．杜甫〈發閬中〉詩：「前有毒蛇後猛虎，溪行盡日無村塢。」 |</v>
      </c>
    </row>
    <row r="12824" spans="1:44" hidden="1">
      <c r="A12824" s="1" t="s">
        <v>26519</v>
      </c>
      <c r="C12824" s="1">
        <v>1</v>
      </c>
      <c r="D12824" s="1" t="str">
        <f>"11301"</f>
        <v>11301</v>
      </c>
      <c r="E12824" s="1" t="s">
        <v>331</v>
      </c>
      <c r="F12824" s="1">
        <v>14</v>
      </c>
      <c r="G12824" s="1">
        <v>7</v>
      </c>
      <c r="H12824" s="1">
        <v>0</v>
      </c>
      <c r="I12824" s="1" t="s">
        <v>26465</v>
      </c>
      <c r="K12824" s="1" t="str">
        <f t="shared" si="807"/>
        <v>ㄨ</v>
      </c>
      <c r="M12824" s="1" t="str">
        <f t="shared" si="809"/>
        <v/>
      </c>
      <c r="N12824" s="3" t="s">
        <v>30574</v>
      </c>
      <c r="O12824" s="3"/>
      <c r="P12824" s="1" t="s">
        <v>20</v>
      </c>
      <c r="R12824" s="1" t="s">
        <v>26466</v>
      </c>
      <c r="V12824" s="1" t="s">
        <v>26520</v>
      </c>
      <c r="AR12824" s="1" t="str">
        <f t="shared" si="810"/>
        <v>| [ㄨˋ](ㄨˋ.md) | [誤](誤.md) |  | wù | [名]
差錯。《三國志．卷五四．吳書．周瑜傳》：「曲有誤，周郎顧。」
[動]
1.妨害、耽擱。唐．杜甫〈奉贈韋左丞丈二十二韻〉：「紈褲不餓死，儒冠多誤身。」《老殘遊記》第一九回：「但是我這銀子，三日內有個要緊用處，你可別誤了我的事！」
2.迷惑。《荀子．正論》：「是特姦人之誤於亂說，以欺愚者，而潮陷之，以偷取利焉。夫是之謂大姦。」《新唐書．卷一五二．李絳傳》：「此非陛下意，必憸人以此營誤上心。」
3.錯過。如：「誤時」、「火車誤點」。 |</v>
      </c>
    </row>
    <row r="12825" spans="1:44" hidden="1">
      <c r="A12825" s="1" t="s">
        <v>24342</v>
      </c>
      <c r="C12825" s="1">
        <v>1</v>
      </c>
      <c r="D12825" s="1" t="str">
        <f>"11302"</f>
        <v>11302</v>
      </c>
      <c r="E12825" s="1" t="s">
        <v>558</v>
      </c>
      <c r="F12825" s="1">
        <v>16</v>
      </c>
      <c r="G12825" s="1">
        <v>12</v>
      </c>
      <c r="H12825" s="1">
        <v>2</v>
      </c>
      <c r="I12825" s="1" t="s">
        <v>26465</v>
      </c>
      <c r="K12825" s="1" t="str">
        <f t="shared" si="807"/>
        <v>ㄨ</v>
      </c>
      <c r="M12825" s="1" t="str">
        <f t="shared" ref="M12825:M12856" si="811">MID(I12825, 3, 1)</f>
        <v/>
      </c>
      <c r="N12825" s="3" t="s">
        <v>30574</v>
      </c>
      <c r="O12825" s="3"/>
      <c r="P12825" s="1" t="s">
        <v>20</v>
      </c>
      <c r="R12825" s="1" t="s">
        <v>26466</v>
      </c>
      <c r="V12825" s="1" t="s">
        <v>26521</v>
      </c>
      <c r="W12825" s="1" t="s">
        <v>26522</v>
      </c>
      <c r="AR12825" s="1" t="str">
        <f t="shared" si="810"/>
        <v>| [ㄨˋ](ㄨˋ.md) | [遻](遻.md) |  | wù | [動]
牴觸、冒犯。《列子．黃帝》：「死生驚懼，不入乎其胸，是故遻物而不慴。」 |</v>
      </c>
    </row>
    <row r="12826" spans="1:44" hidden="1">
      <c r="A12826" s="1" t="s">
        <v>24334</v>
      </c>
      <c r="C12826" s="1">
        <v>1</v>
      </c>
      <c r="D12826" s="1" t="str">
        <f>"11303"</f>
        <v>11303</v>
      </c>
      <c r="E12826" s="1" t="s">
        <v>37</v>
      </c>
      <c r="F12826" s="1">
        <v>20</v>
      </c>
      <c r="G12826" s="1">
        <v>16</v>
      </c>
      <c r="H12826" s="1">
        <v>2</v>
      </c>
      <c r="I12826" s="1" t="s">
        <v>26465</v>
      </c>
      <c r="K12826" s="1" t="str">
        <f t="shared" si="807"/>
        <v>ㄨ</v>
      </c>
      <c r="M12826" s="1" t="str">
        <f t="shared" si="811"/>
        <v/>
      </c>
      <c r="N12826" s="3" t="s">
        <v>30574</v>
      </c>
      <c r="O12826" s="3"/>
      <c r="P12826" s="1" t="s">
        <v>20</v>
      </c>
      <c r="R12826" s="1" t="s">
        <v>26466</v>
      </c>
      <c r="V12826" s="1" t="s">
        <v>26523</v>
      </c>
      <c r="W12826" s="1" t="s">
        <v>26524</v>
      </c>
      <c r="AR12826" s="1" t="str">
        <f t="shared" si="810"/>
        <v>| [ㄨˋ](ㄨˋ.md) | [蘁](蘁.md) |  | wù | [動]
違逆不從。《莊子．寓言》：「使人乃以心服，而不敢蘁。」 |</v>
      </c>
    </row>
    <row r="12827" spans="1:44" hidden="1">
      <c r="A12827" s="1" t="s">
        <v>26384</v>
      </c>
      <c r="C12827" s="1">
        <v>1</v>
      </c>
      <c r="D12827" s="1" t="str">
        <f>"11233"</f>
        <v>11233</v>
      </c>
      <c r="E12827" s="1" t="s">
        <v>367</v>
      </c>
      <c r="F12827" s="1">
        <v>3</v>
      </c>
      <c r="G12827" s="1">
        <v>1</v>
      </c>
      <c r="H12827" s="1">
        <v>2</v>
      </c>
      <c r="I12827" s="1" t="s">
        <v>26385</v>
      </c>
      <c r="K12827" s="1" t="str">
        <f t="shared" si="807"/>
        <v>ㄨ</v>
      </c>
      <c r="M12827" s="1" t="str">
        <f t="shared" si="811"/>
        <v/>
      </c>
      <c r="N12827" s="3" t="s">
        <v>30575</v>
      </c>
      <c r="O12827" s="3"/>
      <c r="P12827" s="1" t="s">
        <v>20</v>
      </c>
      <c r="R12827" s="1" t="s">
        <v>26386</v>
      </c>
      <c r="V12827" s="1" t="s">
        <v>26387</v>
      </c>
      <c r="W12827" s="1" t="s">
        <v>26388</v>
      </c>
      <c r="AR12827" s="1" t="str">
        <f t="shared" si="810"/>
        <v>| [ㄨˊ](ㄨˊ.md) | [亡](亡.md) |  | wú | [動]
沒有。同「無」。《論語．八佾》：「夷狄之有君，不如諸夏之亡也。」唐．韓愈〈進學解〉：「若夫商財賄之有亡，計班資之崇庳。」 |</v>
      </c>
    </row>
    <row r="12828" spans="1:44" hidden="1">
      <c r="A12828" s="1" t="s">
        <v>26389</v>
      </c>
      <c r="C12828" s="1">
        <v>1</v>
      </c>
      <c r="D12828" s="1" t="str">
        <f>"11234"</f>
        <v>11234</v>
      </c>
      <c r="E12828" s="1" t="s">
        <v>13099</v>
      </c>
      <c r="F12828" s="1">
        <v>4</v>
      </c>
      <c r="G12828" s="1">
        <v>0</v>
      </c>
      <c r="H12828" s="1">
        <v>0</v>
      </c>
      <c r="I12828" s="1" t="s">
        <v>26385</v>
      </c>
      <c r="K12828" s="1" t="str">
        <f t="shared" si="807"/>
        <v>ㄨ</v>
      </c>
      <c r="M12828" s="1" t="str">
        <f t="shared" si="811"/>
        <v/>
      </c>
      <c r="N12828" s="3" t="s">
        <v>30575</v>
      </c>
      <c r="O12828" s="3"/>
      <c r="P12828" s="1" t="s">
        <v>20</v>
      </c>
      <c r="R12828" s="1" t="s">
        <v>26386</v>
      </c>
      <c r="V12828" s="1" t="s">
        <v>1384</v>
      </c>
      <c r="AR12828" s="1" t="str">
        <f t="shared" si="810"/>
        <v>| [ㄨˊ](ㄨˊ.md) | [无](无.md) |  | wú | [名]
二一四部首之一。 |</v>
      </c>
    </row>
    <row r="12829" spans="1:44" hidden="1">
      <c r="A12829" s="1" t="s">
        <v>26390</v>
      </c>
      <c r="C12829" s="1">
        <v>1</v>
      </c>
      <c r="D12829" s="1" t="str">
        <f>"11235"</f>
        <v>11235</v>
      </c>
      <c r="E12829" s="1" t="s">
        <v>2870</v>
      </c>
      <c r="F12829" s="1">
        <v>4</v>
      </c>
      <c r="G12829" s="1">
        <v>0</v>
      </c>
      <c r="H12829" s="1">
        <v>0</v>
      </c>
      <c r="I12829" s="1" t="s">
        <v>26385</v>
      </c>
      <c r="K12829" s="1" t="str">
        <f t="shared" si="807"/>
        <v>ㄨ</v>
      </c>
      <c r="M12829" s="1" t="str">
        <f t="shared" si="811"/>
        <v/>
      </c>
      <c r="N12829" s="3" t="s">
        <v>30575</v>
      </c>
      <c r="O12829" s="3"/>
      <c r="P12829" s="1" t="s">
        <v>20</v>
      </c>
      <c r="R12829" s="1" t="s">
        <v>26386</v>
      </c>
      <c r="V12829" s="1" t="s">
        <v>26391</v>
      </c>
      <c r="AR12829" s="1" t="str">
        <f t="shared" si="810"/>
        <v>| [ㄨˊ](ㄨˊ.md) | [毋](毋.md) |  | wú | [副]
1.不。表示否定的意思。《韓非子．說林下》：「以我為君子也，君子安可毋敬也？」《史記．卷七八．春申君傳》：「世有毋望之福，又有毋望之禍。」
2.不要、莫。表示禁止或勸誡的意思。如：「毋忘在莒」。《論語．子罕》：「子絕四：毋意，毋必，毋固，毋我。」《禮記．曲禮上》：「臨財毋苟得，臨難毋苟免。」
[動]
沒有。通「無」。《墨子．非命上》：「言而毋儀，譬如運鈞之上而立朝夕者也。」《史記．卷六．秦始皇本紀》：「身自持築臿，脛毋毛。」
[名]
1.姓。如晉代有毋雅。
2.二一四部首之一。 |</v>
      </c>
    </row>
    <row r="12830" spans="1:44" hidden="1">
      <c r="A12830" s="1" t="s">
        <v>26392</v>
      </c>
      <c r="C12830" s="1">
        <v>1</v>
      </c>
      <c r="D12830" s="1" t="str">
        <f>"11236"</f>
        <v>11236</v>
      </c>
      <c r="E12830" s="1" t="s">
        <v>28</v>
      </c>
      <c r="F12830" s="1">
        <v>7</v>
      </c>
      <c r="G12830" s="1">
        <v>4</v>
      </c>
      <c r="H12830" s="1">
        <v>1</v>
      </c>
      <c r="I12830" s="1" t="s">
        <v>26385</v>
      </c>
      <c r="K12830" s="1" t="str">
        <f t="shared" si="807"/>
        <v>ㄨ</v>
      </c>
      <c r="M12830" s="1" t="str">
        <f t="shared" si="811"/>
        <v/>
      </c>
      <c r="N12830" s="3" t="s">
        <v>30575</v>
      </c>
      <c r="O12830" s="3"/>
      <c r="P12830" s="1" t="s">
        <v>20</v>
      </c>
      <c r="R12830" s="1" t="s">
        <v>26386</v>
      </c>
      <c r="V12830" s="1" t="s">
        <v>26393</v>
      </c>
      <c r="W12830" s="1" t="s">
        <v>26394</v>
      </c>
      <c r="AR12830" s="1" t="str">
        <f t="shared" si="810"/>
        <v>| [ㄨˊ](ㄨˊ.md) | [吾](吾.md) |  | wú | [代]
1.我。《論語．為政》：「吾十有五而志於學，三十而立。」《楚辭．屈原．離騷》：「路漫漫其修遠兮，吾將上下而求索。」
2.我的。《孟子．公孫丑上》：「我善養吾浩然之氣。」唐．杜甫〈詠懷古蹟〉詩五首之二：「搖落深知宋玉悲，風流儒雅亦吾師。」
[名]
姓。如漢代有吾扈。 |</v>
      </c>
    </row>
    <row r="12831" spans="1:44" hidden="1">
      <c r="A12831" s="1" t="s">
        <v>26395</v>
      </c>
      <c r="C12831" s="1">
        <v>1</v>
      </c>
      <c r="D12831" s="1" t="str">
        <f>"11237"</f>
        <v>11237</v>
      </c>
      <c r="E12831" s="1" t="s">
        <v>129</v>
      </c>
      <c r="F12831" s="1">
        <v>10</v>
      </c>
      <c r="G12831" s="1">
        <v>7</v>
      </c>
      <c r="H12831" s="1">
        <v>0</v>
      </c>
      <c r="I12831" s="1" t="s">
        <v>26385</v>
      </c>
      <c r="K12831" s="1" t="str">
        <f t="shared" si="807"/>
        <v>ㄨ</v>
      </c>
      <c r="M12831" s="1" t="str">
        <f t="shared" si="811"/>
        <v/>
      </c>
      <c r="N12831" s="3" t="s">
        <v>30575</v>
      </c>
      <c r="O12831" s="3"/>
      <c r="P12831" s="1" t="s">
        <v>20</v>
      </c>
      <c r="R12831" s="1" t="s">
        <v>26386</v>
      </c>
      <c r="V12831" s="1" t="s">
        <v>26396</v>
      </c>
      <c r="AR12831" s="1" t="str">
        <f t="shared" si="810"/>
        <v>| [ㄨˊ](ㄨˊ.md) | [浯](浯.md) |  | wú | 參見「浯水」條。 |</v>
      </c>
    </row>
    <row r="12832" spans="1:44" hidden="1">
      <c r="A12832" s="1" t="s">
        <v>26397</v>
      </c>
      <c r="C12832" s="1">
        <v>1</v>
      </c>
      <c r="D12832" s="1" t="str">
        <f>"11238"</f>
        <v>11238</v>
      </c>
      <c r="E12832" s="1" t="s">
        <v>256</v>
      </c>
      <c r="F12832" s="1">
        <v>10</v>
      </c>
      <c r="G12832" s="1">
        <v>7</v>
      </c>
      <c r="H12832" s="1">
        <v>0</v>
      </c>
      <c r="I12832" s="1" t="s">
        <v>26385</v>
      </c>
      <c r="K12832" s="1" t="str">
        <f t="shared" si="807"/>
        <v>ㄨ</v>
      </c>
      <c r="M12832" s="1" t="str">
        <f t="shared" si="811"/>
        <v/>
      </c>
      <c r="N12832" s="3" t="s">
        <v>30575</v>
      </c>
      <c r="O12832" s="3"/>
      <c r="P12832" s="1" t="s">
        <v>20</v>
      </c>
      <c r="R12832" s="1" t="s">
        <v>26386</v>
      </c>
      <c r="V12832" s="1" t="s">
        <v>26398</v>
      </c>
      <c r="AR12832" s="1" t="str">
        <f t="shared" si="810"/>
        <v>| [ㄨˊ](ㄨˊ.md) | [郚](郚.md) |  | wú | [名]
地名。春秋時齊國邑地。故城約在今山東省安丘縣西南。 |</v>
      </c>
    </row>
    <row r="12833" spans="1:44" hidden="1">
      <c r="A12833" s="1" t="s">
        <v>26399</v>
      </c>
      <c r="C12833" s="1">
        <v>1</v>
      </c>
      <c r="D12833" s="1" t="str">
        <f>"11239"</f>
        <v>11239</v>
      </c>
      <c r="E12833" s="1" t="s">
        <v>28</v>
      </c>
      <c r="F12833" s="1">
        <v>10</v>
      </c>
      <c r="G12833" s="1">
        <v>7</v>
      </c>
      <c r="H12833" s="1">
        <v>0</v>
      </c>
      <c r="I12833" s="1" t="s">
        <v>26385</v>
      </c>
      <c r="K12833" s="1" t="str">
        <f t="shared" si="807"/>
        <v>ㄨ</v>
      </c>
      <c r="M12833" s="1" t="str">
        <f t="shared" si="811"/>
        <v/>
      </c>
      <c r="N12833" s="3" t="s">
        <v>30575</v>
      </c>
      <c r="O12833" s="3"/>
      <c r="P12833" s="1" t="s">
        <v>20</v>
      </c>
      <c r="R12833" s="1" t="s">
        <v>26386</v>
      </c>
      <c r="V12833" s="1" t="s">
        <v>26400</v>
      </c>
      <c r="AR12833" s="1" t="str">
        <f t="shared" si="810"/>
        <v>| [ㄨˊ](ㄨˊ.md) | [唔](唔.md) |  | wú | [擬]
形容吟詠詩書的聲音。清．蔣士銓〈鳴機夜課圖記〉：「母手任操作，口授句讀，咿唔之聲，與軋軋相間。」
[歎]
表允許或驚訝的語氣。如：「唔，是的！」、「唔！這可麻煩了！」 |</v>
      </c>
    </row>
    <row r="12834" spans="1:44" hidden="1">
      <c r="A12834" s="1" t="s">
        <v>26401</v>
      </c>
      <c r="C12834" s="1">
        <v>1</v>
      </c>
      <c r="D12834" s="1" t="str">
        <f>"11240"</f>
        <v>11240</v>
      </c>
      <c r="E12834" s="1" t="s">
        <v>190</v>
      </c>
      <c r="F12834" s="1">
        <v>10</v>
      </c>
      <c r="G12834" s="1">
        <v>7</v>
      </c>
      <c r="H12834" s="1">
        <v>0</v>
      </c>
      <c r="I12834" s="1" t="s">
        <v>26385</v>
      </c>
      <c r="K12834" s="1" t="str">
        <f t="shared" si="807"/>
        <v>ㄨ</v>
      </c>
      <c r="M12834" s="1" t="str">
        <f t="shared" si="811"/>
        <v/>
      </c>
      <c r="N12834" s="3" t="s">
        <v>30575</v>
      </c>
      <c r="O12834" s="3"/>
      <c r="P12834" s="1" t="s">
        <v>20</v>
      </c>
      <c r="R12834" s="1" t="s">
        <v>26386</v>
      </c>
      <c r="V12834" s="1" t="s">
        <v>26402</v>
      </c>
      <c r="AR12834" s="1" t="str">
        <f t="shared" si="810"/>
        <v>| [ㄨˊ](ㄨˊ.md) | [峿](峿.md) |  | wú | 參見「峿山」條。 |</v>
      </c>
    </row>
    <row r="12835" spans="1:44" hidden="1">
      <c r="A12835" s="1" t="s">
        <v>26403</v>
      </c>
      <c r="C12835" s="1">
        <v>1</v>
      </c>
      <c r="D12835" s="1" t="str">
        <f>"11241"</f>
        <v>11241</v>
      </c>
      <c r="E12835" s="1" t="s">
        <v>139</v>
      </c>
      <c r="F12835" s="1">
        <v>11</v>
      </c>
      <c r="G12835" s="1">
        <v>7</v>
      </c>
      <c r="H12835" s="1">
        <v>1</v>
      </c>
      <c r="I12835" s="1" t="s">
        <v>26385</v>
      </c>
      <c r="K12835" s="1" t="str">
        <f t="shared" si="807"/>
        <v>ㄨ</v>
      </c>
      <c r="M12835" s="1" t="str">
        <f t="shared" si="811"/>
        <v/>
      </c>
      <c r="N12835" s="3" t="s">
        <v>30575</v>
      </c>
      <c r="O12835" s="3"/>
      <c r="P12835" s="1" t="s">
        <v>20</v>
      </c>
      <c r="R12835" s="1" t="s">
        <v>26386</v>
      </c>
      <c r="V12835" s="1" t="s">
        <v>26404</v>
      </c>
      <c r="W12835" s="1" t="s">
        <v>26405</v>
      </c>
      <c r="AR12835" s="1" t="str">
        <f t="shared" si="810"/>
        <v>| [ㄨˊ](ㄨˊ.md) | [梧](梧.md) |  | wú | 參見「梧桐」條。 |</v>
      </c>
    </row>
    <row r="12836" spans="1:44" hidden="1">
      <c r="A12836" s="1" t="s">
        <v>26406</v>
      </c>
      <c r="C12836" s="1">
        <v>1</v>
      </c>
      <c r="D12836" s="1" t="str">
        <f>"11242"</f>
        <v>11242</v>
      </c>
      <c r="E12836" s="1" t="s">
        <v>55</v>
      </c>
      <c r="F12836" s="1">
        <v>15</v>
      </c>
      <c r="G12836" s="1">
        <v>7</v>
      </c>
      <c r="H12836" s="1">
        <v>0</v>
      </c>
      <c r="I12836" s="1" t="s">
        <v>26385</v>
      </c>
      <c r="K12836" s="1" t="str">
        <f t="shared" si="807"/>
        <v>ㄨ</v>
      </c>
      <c r="M12836" s="1" t="str">
        <f t="shared" si="811"/>
        <v/>
      </c>
      <c r="N12836" s="3" t="s">
        <v>30575</v>
      </c>
      <c r="O12836" s="3"/>
      <c r="P12836" s="1" t="s">
        <v>20</v>
      </c>
      <c r="R12836" s="1" t="s">
        <v>26386</v>
      </c>
      <c r="V12836" s="1" t="s">
        <v>11357</v>
      </c>
      <c r="AR12836" s="1" t="str">
        <f t="shared" si="810"/>
        <v>| [ㄨˊ](ㄨˊ.md) | [鋙](鋙.md) |  | wú | 參見「錕鋙」條。 |</v>
      </c>
    </row>
    <row r="12837" spans="1:44" hidden="1">
      <c r="A12837" s="1" t="s">
        <v>26407</v>
      </c>
      <c r="C12837" s="1">
        <v>1</v>
      </c>
      <c r="D12837" s="1" t="str">
        <f>"11243"</f>
        <v>11243</v>
      </c>
      <c r="E12837" s="1" t="s">
        <v>86</v>
      </c>
      <c r="F12837" s="1">
        <v>20</v>
      </c>
      <c r="G12837" s="1">
        <v>7</v>
      </c>
      <c r="H12837" s="1">
        <v>0</v>
      </c>
      <c r="I12837" s="1" t="s">
        <v>26385</v>
      </c>
      <c r="K12837" s="1" t="str">
        <f t="shared" si="807"/>
        <v>ㄨ</v>
      </c>
      <c r="M12837" s="1" t="str">
        <f t="shared" si="811"/>
        <v/>
      </c>
      <c r="N12837" s="3" t="s">
        <v>30575</v>
      </c>
      <c r="O12837" s="3"/>
      <c r="P12837" s="1" t="s">
        <v>20</v>
      </c>
      <c r="R12837" s="1" t="s">
        <v>26386</v>
      </c>
      <c r="V12837" s="1" t="s">
        <v>26408</v>
      </c>
      <c r="AR12837" s="1" t="str">
        <f t="shared" si="810"/>
        <v>| [ㄨˊ](ㄨˊ.md) | [鼯](鼯.md) |  | wú | 參見「鼯鼠」條。 |</v>
      </c>
    </row>
    <row r="12838" spans="1:44" hidden="1">
      <c r="A12838" s="1" t="s">
        <v>26358</v>
      </c>
      <c r="C12838" s="1">
        <v>1</v>
      </c>
      <c r="D12838" s="1" t="str">
        <f>"11244"</f>
        <v>11244</v>
      </c>
      <c r="E12838" s="1" t="s">
        <v>10636</v>
      </c>
      <c r="F12838" s="1">
        <v>7</v>
      </c>
      <c r="G12838" s="1">
        <v>4</v>
      </c>
      <c r="H12838" s="1">
        <v>2</v>
      </c>
      <c r="I12838" s="1" t="s">
        <v>26385</v>
      </c>
      <c r="K12838" s="1" t="str">
        <f t="shared" si="807"/>
        <v>ㄨ</v>
      </c>
      <c r="M12838" s="1" t="str">
        <f t="shared" si="811"/>
        <v/>
      </c>
      <c r="N12838" s="3" t="s">
        <v>30575</v>
      </c>
      <c r="O12838" s="3"/>
      <c r="P12838" s="1" t="s">
        <v>186</v>
      </c>
      <c r="R12838" s="1" t="s">
        <v>26386</v>
      </c>
      <c r="V12838" s="1" t="s">
        <v>206</v>
      </c>
      <c r="W12838" s="1" t="s">
        <v>26409</v>
      </c>
      <c r="AR12838" s="1" t="str">
        <f t="shared" si="810"/>
        <v>| [ㄨˊ](ㄨˊ.md) | [巫](巫.md) |  | wú | (一)之讀音。 |</v>
      </c>
    </row>
    <row r="12839" spans="1:44" hidden="1">
      <c r="A12839" s="1" t="s">
        <v>26410</v>
      </c>
      <c r="C12839" s="1">
        <v>1</v>
      </c>
      <c r="D12839" s="1" t="str">
        <f>"11245"</f>
        <v>11245</v>
      </c>
      <c r="E12839" s="1" t="s">
        <v>37</v>
      </c>
      <c r="F12839" s="1">
        <v>11</v>
      </c>
      <c r="G12839" s="1">
        <v>7</v>
      </c>
      <c r="H12839" s="1">
        <v>0</v>
      </c>
      <c r="I12839" s="1" t="s">
        <v>26385</v>
      </c>
      <c r="K12839" s="1" t="str">
        <f t="shared" si="807"/>
        <v>ㄨ</v>
      </c>
      <c r="M12839" s="1" t="str">
        <f t="shared" si="811"/>
        <v/>
      </c>
      <c r="N12839" s="3" t="s">
        <v>30575</v>
      </c>
      <c r="O12839" s="3"/>
      <c r="P12839" s="1" t="s">
        <v>20</v>
      </c>
      <c r="R12839" s="1" t="s">
        <v>26386</v>
      </c>
      <c r="V12839" s="1" t="s">
        <v>26411</v>
      </c>
      <c r="AR12839" s="1" t="str">
        <f t="shared" si="810"/>
        <v>| [ㄨˊ](ㄨˊ.md) | [莁](莁.md) |  | wú | [名]
莁荑：植物名。榆科榆屬，「蔱蘠」、「蕪荑」之古稱。參見「蔱蘠」條。 |</v>
      </c>
    </row>
    <row r="12840" spans="1:44" hidden="1">
      <c r="A12840" s="1" t="s">
        <v>26361</v>
      </c>
      <c r="C12840" s="1">
        <v>1</v>
      </c>
      <c r="D12840" s="1" t="str">
        <f>"11246"</f>
        <v>11246</v>
      </c>
      <c r="E12840" s="1" t="s">
        <v>331</v>
      </c>
      <c r="F12840" s="1">
        <v>14</v>
      </c>
      <c r="G12840" s="1">
        <v>7</v>
      </c>
      <c r="H12840" s="1">
        <v>2</v>
      </c>
      <c r="I12840" s="1" t="s">
        <v>26385</v>
      </c>
      <c r="K12840" s="1" t="str">
        <f t="shared" si="807"/>
        <v>ㄨ</v>
      </c>
      <c r="M12840" s="1" t="str">
        <f t="shared" si="811"/>
        <v/>
      </c>
      <c r="N12840" s="3" t="s">
        <v>30575</v>
      </c>
      <c r="O12840" s="3"/>
      <c r="P12840" s="1" t="s">
        <v>186</v>
      </c>
      <c r="R12840" s="1" t="s">
        <v>26386</v>
      </c>
      <c r="V12840" s="1" t="s">
        <v>206</v>
      </c>
      <c r="W12840" s="1" t="s">
        <v>26412</v>
      </c>
      <c r="AR12840" s="1" t="str">
        <f t="shared" si="810"/>
        <v>| [ㄨˊ](ㄨˊ.md) | [誣](誣.md) |  | wú | (一)之讀音。 |</v>
      </c>
    </row>
    <row r="12841" spans="1:44" hidden="1">
      <c r="A12841" s="1" t="s">
        <v>26413</v>
      </c>
      <c r="C12841" s="1">
        <v>1</v>
      </c>
      <c r="D12841" s="1" t="str">
        <f>"11247"</f>
        <v>11247</v>
      </c>
      <c r="E12841" s="1" t="s">
        <v>28</v>
      </c>
      <c r="F12841" s="1">
        <v>7</v>
      </c>
      <c r="G12841" s="1">
        <v>4</v>
      </c>
      <c r="H12841" s="1">
        <v>0</v>
      </c>
      <c r="I12841" s="1" t="s">
        <v>26385</v>
      </c>
      <c r="K12841" s="1" t="str">
        <f t="shared" si="807"/>
        <v>ㄨ</v>
      </c>
      <c r="M12841" s="1" t="str">
        <f t="shared" si="811"/>
        <v/>
      </c>
      <c r="N12841" s="3" t="s">
        <v>30575</v>
      </c>
      <c r="O12841" s="3"/>
      <c r="P12841" s="1" t="s">
        <v>20</v>
      </c>
      <c r="R12841" s="1" t="s">
        <v>26386</v>
      </c>
      <c r="V12841" s="1" t="s">
        <v>26414</v>
      </c>
      <c r="AR12841" s="1" t="str">
        <f t="shared" si="810"/>
        <v>| [ㄨˊ](ㄨˊ.md) | [吳](吳.md) |  | wú | [動]
大聲說話、喧譁。《說文解字．夨部》：「吳，大言也。」清．段玉裁．注：「大言即謂譁也。」《詩經．魯頌．泮水》：「烝烝皇皇，不吳不揚。」
[名]
1.國名。周代諸侯國。泰伯封於吳地，故址在今江蘇省無錫縣。傳到夫差，為越王句踐所滅。
2.朝代名：(1)（西元222～280）三國之一。三國時期孫權所建。故址據有江、浙、湘、鄂、閩、粵、安南等地。後為晉朝所滅。(2)（西元902～937）十國之一。五代時期楊行密所建。故址據有淮南、江西等地。後為南唐徐知誥所篡。
3.地名。即蘇州。又江蘇省春秋時為吳國地，故也稱為「吳」。
4.姓。如清代有吳敬梓。 |</v>
      </c>
    </row>
    <row r="12842" spans="1:44" hidden="1">
      <c r="A12842" s="1" t="s">
        <v>26415</v>
      </c>
      <c r="C12842" s="1">
        <v>1</v>
      </c>
      <c r="D12842" s="1" t="str">
        <f>"11248"</f>
        <v>11248</v>
      </c>
      <c r="E12842" s="1" t="s">
        <v>679</v>
      </c>
      <c r="F12842" s="1">
        <v>13</v>
      </c>
      <c r="G12842" s="1">
        <v>7</v>
      </c>
      <c r="H12842" s="1">
        <v>0</v>
      </c>
      <c r="I12842" s="1" t="s">
        <v>26385</v>
      </c>
      <c r="K12842" s="1" t="str">
        <f t="shared" ref="K12842:K12876" si="812">LEFT(I12842, 1)</f>
        <v>ㄨ</v>
      </c>
      <c r="M12842" s="1" t="str">
        <f t="shared" si="811"/>
        <v/>
      </c>
      <c r="N12842" s="3" t="s">
        <v>30575</v>
      </c>
      <c r="O12842" s="3"/>
      <c r="P12842" s="1" t="s">
        <v>20</v>
      </c>
      <c r="R12842" s="1" t="s">
        <v>26386</v>
      </c>
      <c r="V12842" s="1" t="s">
        <v>10654</v>
      </c>
      <c r="AR12842" s="1" t="str">
        <f t="shared" si="810"/>
        <v>| [ㄨˊ](ㄨˊ.md) | [蜈](蜈.md) |  | wú | 參見「蜈蚣」條。 |</v>
      </c>
    </row>
    <row r="12843" spans="1:44" hidden="1">
      <c r="A12843" s="1" t="s">
        <v>2650</v>
      </c>
      <c r="C12843" s="1">
        <v>1</v>
      </c>
      <c r="D12843" s="1" t="str">
        <f>"11249"</f>
        <v>11249</v>
      </c>
      <c r="E12843" s="1" t="s">
        <v>336</v>
      </c>
      <c r="F12843" s="1">
        <v>12</v>
      </c>
      <c r="G12843" s="1">
        <v>8</v>
      </c>
      <c r="H12843" s="1">
        <v>1</v>
      </c>
      <c r="I12843" s="1" t="s">
        <v>26385</v>
      </c>
      <c r="K12843" s="1" t="str">
        <f t="shared" si="812"/>
        <v>ㄨ</v>
      </c>
      <c r="M12843" s="1" t="str">
        <f t="shared" si="811"/>
        <v/>
      </c>
      <c r="N12843" s="3" t="s">
        <v>30575</v>
      </c>
      <c r="O12843" s="3"/>
      <c r="P12843" s="1" t="s">
        <v>20</v>
      </c>
      <c r="R12843" s="1" t="s">
        <v>26386</v>
      </c>
      <c r="V12843" s="1" t="s">
        <v>26416</v>
      </c>
      <c r="W12843" s="1" t="s">
        <v>26417</v>
      </c>
      <c r="AR12843" s="1" t="str">
        <f t="shared" si="810"/>
        <v>| [ㄨˊ](ㄨˊ.md) | [無](無.md) |  | wú | [動]
沒有。如：「有頭無尾」、「獨一無二」。《孫子．軍爭》：「是故軍無輜重則亡，無糧食則亡，無委積則亡。」《史記．卷一〇三．萬石君傳》：「上以為廉，忠實無他腸，乃拜綰為河間王太傅。」
[副]
1.不要。通「毋」。《孟子．告子下》：「無曲防，無遏糴。」南朝梁．劉孝威〈公無渡河〉詩：「請公無渡河，河廣風威厲。」
2.未。《荀子．正名》：「志輕理而不重物者，無之有也；外重物而不內憂者，無之有也。」唐．杜甫〈丹青引〉：「學書初學衛夫人，但恨無過王右軍。」
3.不論、不管。如：「事無大小，都由他決定。」《詩經．魯頌．泮水》：「無小無大，從公于邁。」
4.不、沒。《書經．洪範》：「無偏無黨，王道蕩蕩。」南朝宋．鮑照〈代陳思王京洛篇〉：「珠簾無隔露，羅幌不勝風。」
5.非、不是。《禮記．禮器》：「忠信之人，可以學禮，苟無忠信之人，則禮不虛道。」
[助]
1.用於句首。無義。《詩經．大雅．文王》：「王之藎臣，無念爾祖。」《左傳．隱公十一年》：「若寡人得沒于地，天其以禮悔禍于許，無寧茲許公復奉其社稷。」
2.用於句末。同「否」。唐．朱慶餘〈近試上張水部〉詩：「妝罷低聲問夫婿，畫眉深淺入時無？」
[名]
姓。如漢代有無且。 |</v>
      </c>
    </row>
    <row r="12844" spans="1:44" hidden="1">
      <c r="A12844" s="1" t="s">
        <v>26418</v>
      </c>
      <c r="C12844" s="1">
        <v>1</v>
      </c>
      <c r="D12844" s="1" t="str">
        <f>"11250"</f>
        <v>11250</v>
      </c>
      <c r="E12844" s="1" t="s">
        <v>37</v>
      </c>
      <c r="F12844" s="1">
        <v>16</v>
      </c>
      <c r="G12844" s="1">
        <v>12</v>
      </c>
      <c r="H12844" s="1">
        <v>0</v>
      </c>
      <c r="I12844" s="1" t="s">
        <v>26385</v>
      </c>
      <c r="K12844" s="1" t="str">
        <f t="shared" si="812"/>
        <v>ㄨ</v>
      </c>
      <c r="M12844" s="1" t="str">
        <f t="shared" si="811"/>
        <v/>
      </c>
      <c r="N12844" s="3" t="s">
        <v>30575</v>
      </c>
      <c r="O12844" s="3"/>
      <c r="P12844" s="1" t="s">
        <v>20</v>
      </c>
      <c r="R12844" s="1" t="s">
        <v>26386</v>
      </c>
      <c r="V12844" s="1" t="s">
        <v>26419</v>
      </c>
      <c r="AR12844" s="1" t="str">
        <f t="shared" si="810"/>
        <v>| [ㄨˊ](ㄨˊ.md) | [蕪](蕪.md) |  | wú | [名]
1.叢生的草。五代十國南唐．李煜〈虞美人．風回小院庭蕪綠〉詞：「風回小院庭蕪綠，柳眼春相續。」宋．歐陽修〈蝶戀花．誰道閒情拋棄久〉詞：「河畔青蕪堤上柳，為問新愁，何事年年有。」
2.比喻繁雜的事物。如：「去蕪存菁」、「舉要刪蕪」。
[形]
雜亂。明．袁宏道《徐文長傳》：「先生詩文崛起，一掃近代蕪穢之習。」清．曾國藩〈歐陽生文集序〉：「深擯有宋諸子義理之說，以為不足復存；其為文尤蕪雜寡要。」
[動]
田園荒廢，亂草叢生。《文選．陶淵明．歸去來辭》：「田園將蕪，胡不歸？」宋．呂本中〈兵亂後雜詩〉三首之三：「蝸舍嗟蕪沒，孤城亂定初。」 |</v>
      </c>
    </row>
    <row r="12845" spans="1:44" hidden="1">
      <c r="A12845" s="1" t="s">
        <v>26420</v>
      </c>
      <c r="C12845" s="1">
        <v>1</v>
      </c>
      <c r="D12845" s="1" t="str">
        <f>"11251"</f>
        <v>11251</v>
      </c>
      <c r="E12845" s="1" t="s">
        <v>9954</v>
      </c>
      <c r="F12845" s="1">
        <v>4</v>
      </c>
      <c r="G12845" s="1">
        <v>2</v>
      </c>
      <c r="H12845" s="1">
        <v>0</v>
      </c>
      <c r="I12845" s="1" t="s">
        <v>26421</v>
      </c>
      <c r="K12845" s="1" t="str">
        <f t="shared" si="812"/>
        <v>ㄨ</v>
      </c>
      <c r="M12845" s="1" t="str">
        <f t="shared" si="811"/>
        <v/>
      </c>
      <c r="N12845" s="3" t="s">
        <v>30576</v>
      </c>
      <c r="O12845" s="3"/>
      <c r="P12845" s="1" t="s">
        <v>20</v>
      </c>
      <c r="R12845" s="1" t="s">
        <v>26422</v>
      </c>
      <c r="V12845" s="1" t="s">
        <v>26423</v>
      </c>
      <c r="AR12845" s="1" t="str">
        <f t="shared" si="810"/>
        <v>| [ㄨˇ](ㄨˇ.md) | [五](五.md) |  | wǔ | [名]
1.介於四與六之間的自然數。如：「三、四、五、六……。」大寫作「伍」，阿拉伯數字作「5」。
2.姓。如漢代有五京。 |</v>
      </c>
    </row>
    <row r="12846" spans="1:44" hidden="1">
      <c r="A12846" s="1" t="s">
        <v>26424</v>
      </c>
      <c r="C12846" s="1">
        <v>1</v>
      </c>
      <c r="D12846" s="1" t="str">
        <f>"11252"</f>
        <v>11252</v>
      </c>
      <c r="E12846" s="1" t="s">
        <v>114</v>
      </c>
      <c r="F12846" s="1">
        <v>6</v>
      </c>
      <c r="G12846" s="1">
        <v>4</v>
      </c>
      <c r="H12846" s="1">
        <v>0</v>
      </c>
      <c r="I12846" s="1" t="s">
        <v>26421</v>
      </c>
      <c r="K12846" s="1" t="str">
        <f t="shared" si="812"/>
        <v>ㄨ</v>
      </c>
      <c r="M12846" s="1" t="str">
        <f t="shared" si="811"/>
        <v/>
      </c>
      <c r="N12846" s="3" t="s">
        <v>30576</v>
      </c>
      <c r="O12846" s="3"/>
      <c r="P12846" s="1" t="s">
        <v>20</v>
      </c>
      <c r="R12846" s="1" t="s">
        <v>26422</v>
      </c>
      <c r="V12846" s="1" t="s">
        <v>26425</v>
      </c>
      <c r="AR12846" s="1" t="str">
        <f t="shared" si="810"/>
        <v>| [ㄨˇ](ㄨˇ.md) | [伍](伍.md) |  | wǔ | [名]
1.古代軍隊的編制單位，以五人為一伍。明．張自烈《正字通．人部》：「伍，軍法五人為伍。」《周禮．天官．宮正》：「會其什伍而教之道藝。」
2.軍隊。如：「入伍」。唐．杜牧〈原十六衛〉：「籍藏將府，伍散田畝。」
3.古代基層的戶政編制單位，以五家為一伍。《左傳．襄公三十年》：「田有封洫，廬井有伍。」《管子．乘馬》：「五家而伍，十家而連。」
4.五的大寫。
5.姓。如春秋時楚國有伍子胥。
[動]
雜處、參雜。《荀子．議兵》：「窺敵觀變，欲潛以深，欲伍以參。」唐．楊倞．注：「伍參，猶錯雜也。」 |</v>
      </c>
    </row>
    <row r="12847" spans="1:44" hidden="1">
      <c r="A12847" s="1" t="s">
        <v>26426</v>
      </c>
      <c r="C12847" s="1">
        <v>1</v>
      </c>
      <c r="D12847" s="1" t="str">
        <f>"11253"</f>
        <v>11253</v>
      </c>
      <c r="E12847" s="1" t="s">
        <v>24</v>
      </c>
      <c r="F12847" s="1">
        <v>10</v>
      </c>
      <c r="G12847" s="1">
        <v>7</v>
      </c>
      <c r="H12847" s="1">
        <v>0</v>
      </c>
      <c r="I12847" s="1" t="s">
        <v>26421</v>
      </c>
      <c r="K12847" s="1" t="str">
        <f t="shared" si="812"/>
        <v>ㄨ</v>
      </c>
      <c r="M12847" s="1" t="str">
        <f t="shared" si="811"/>
        <v/>
      </c>
      <c r="N12847" s="3" t="s">
        <v>30576</v>
      </c>
      <c r="O12847" s="3"/>
      <c r="P12847" s="1" t="s">
        <v>20</v>
      </c>
      <c r="R12847" s="1" t="s">
        <v>26422</v>
      </c>
      <c r="V12847" s="1" t="s">
        <v>26427</v>
      </c>
      <c r="AR12847" s="1" t="str">
        <f t="shared" si="810"/>
        <v>| [ㄨˇ](ㄨˇ.md) | [捂](捂.md) |  | wǔ | [動]
1.逆，對面。《儀禮．既夕禮》：「若無器，則捂受之。」唐．賈公彥．疏：「捂即逆也，對面相逢受也。」
2.牴觸。明．張自烈《正字通．手部》：「捂，相抵觸也。」唐．柳宗元〈送元十八山人南遊序〉：「又況楊、墨、申、商、刑名、縱橫之說，其迭相訾毀抵捂不合者，可勝言耶。」
3.遮掩、遮擋。如：「縱有千隻手，難捂萬人口。」 |</v>
      </c>
    </row>
    <row r="12848" spans="1:44" hidden="1">
      <c r="A12848" s="1" t="s">
        <v>26428</v>
      </c>
      <c r="C12848" s="1">
        <v>1</v>
      </c>
      <c r="D12848" s="1" t="str">
        <f>"11254"</f>
        <v>11254</v>
      </c>
      <c r="E12848" s="1" t="s">
        <v>28</v>
      </c>
      <c r="F12848" s="1">
        <v>11</v>
      </c>
      <c r="G12848" s="1">
        <v>8</v>
      </c>
      <c r="H12848" s="1">
        <v>0</v>
      </c>
      <c r="I12848" s="1" t="s">
        <v>26421</v>
      </c>
      <c r="K12848" s="1" t="str">
        <f t="shared" si="812"/>
        <v>ㄨ</v>
      </c>
      <c r="M12848" s="1" t="str">
        <f t="shared" si="811"/>
        <v/>
      </c>
      <c r="N12848" s="3" t="s">
        <v>30576</v>
      </c>
      <c r="O12848" s="3"/>
      <c r="P12848" s="1" t="s">
        <v>20</v>
      </c>
      <c r="R12848" s="1" t="s">
        <v>26422</v>
      </c>
      <c r="V12848" s="1" t="s">
        <v>26429</v>
      </c>
      <c r="AR12848" s="1" t="str">
        <f t="shared" si="810"/>
        <v>| [ㄨˇ](ㄨˇ.md) | [啎](啎.md) |  | wǔ | [動]
違背、抵觸。《說文解字．牛部》：「啎，逆也。」《漢書．卷九〇．酷吏傳．嚴延年傳》：「自郡吏以下皆畏避之，莫敢與啎。」唐．顏師古．注：「啎，逆也。」 |</v>
      </c>
    </row>
    <row r="12849" spans="1:44" hidden="1">
      <c r="A12849" s="1" t="s">
        <v>26430</v>
      </c>
      <c r="C12849" s="1">
        <v>1</v>
      </c>
      <c r="D12849" s="1" t="str">
        <f>"11255"</f>
        <v>11255</v>
      </c>
      <c r="E12849" s="1" t="s">
        <v>518</v>
      </c>
      <c r="F12849" s="1">
        <v>11</v>
      </c>
      <c r="G12849" s="1">
        <v>7</v>
      </c>
      <c r="H12849" s="1">
        <v>0</v>
      </c>
      <c r="I12849" s="1" t="s">
        <v>26421</v>
      </c>
      <c r="K12849" s="1" t="str">
        <f t="shared" si="812"/>
        <v>ㄨ</v>
      </c>
      <c r="M12849" s="1" t="str">
        <f t="shared" si="811"/>
        <v/>
      </c>
      <c r="N12849" s="3" t="s">
        <v>30576</v>
      </c>
      <c r="O12849" s="3"/>
      <c r="P12849" s="1" t="s">
        <v>20</v>
      </c>
      <c r="R12849" s="1" t="s">
        <v>26422</v>
      </c>
      <c r="V12849" s="1" t="s">
        <v>26431</v>
      </c>
      <c r="AR12849" s="1" t="str">
        <f t="shared" si="810"/>
        <v>| [ㄨˇ](ㄨˇ.md) | [牾](牾.md) |  | wǔ | [動]
違背、抵觸。如：「牴牾」。《資治通鑑．卷四五．漢紀三十七．明帝永平十四年》：「及其歸舍，口雖不言而仰屋竊歎，莫不知其多冤，無敢牾陛下言者。」 |</v>
      </c>
    </row>
    <row r="12850" spans="1:44" hidden="1">
      <c r="A12850" s="1" t="s">
        <v>12311</v>
      </c>
      <c r="C12850" s="1">
        <v>1</v>
      </c>
      <c r="D12850" s="1" t="str">
        <f>"11257"</f>
        <v>11257</v>
      </c>
      <c r="E12850" s="1" t="s">
        <v>286</v>
      </c>
      <c r="F12850" s="1">
        <v>4</v>
      </c>
      <c r="G12850" s="1">
        <v>2</v>
      </c>
      <c r="H12850" s="1">
        <v>1</v>
      </c>
      <c r="I12850" s="1" t="s">
        <v>26421</v>
      </c>
      <c r="K12850" s="1" t="str">
        <f t="shared" si="812"/>
        <v>ㄨ</v>
      </c>
      <c r="M12850" s="1" t="str">
        <f t="shared" si="811"/>
        <v/>
      </c>
      <c r="N12850" s="3" t="s">
        <v>30576</v>
      </c>
      <c r="O12850" s="3"/>
      <c r="P12850" s="1" t="s">
        <v>20</v>
      </c>
      <c r="R12850" s="1" t="s">
        <v>26422</v>
      </c>
      <c r="V12850" s="1" t="s">
        <v>26432</v>
      </c>
      <c r="W12850" s="1" t="s">
        <v>26433</v>
      </c>
      <c r="AR12850" s="1" t="str">
        <f t="shared" si="810"/>
        <v>| [ㄨˇ](ㄨˇ.md) | [午](午.md) |  | wǔ | [名]
1.地支的第七位。
2.時辰名。約當上午十一點到下午一點。
3.泛指白天的中間時段。如：「正午」、「中午」。《文選．孫綽．遊天台山賦》：「爾乃羲和亭午，遊氣高褰。」唐．李紳〈古風〉詩二首之二：「鋤禾日當午，汗滴禾下土。」
4.姓。如漢代有午汝臣。
[形]
白天或夜晚中間時段的。如：「午餐」、「午飯」、「午夜」。
[動]
違背、抵觸。通「牾」。《漢書．卷三六．楚元王劉交傳》：「朝臣舛午，膠戾乖剌，更相讒愬，轉相是非。」 |</v>
      </c>
    </row>
    <row r="12851" spans="1:44" hidden="1">
      <c r="A12851" s="1" t="s">
        <v>26434</v>
      </c>
      <c r="C12851" s="1">
        <v>1</v>
      </c>
      <c r="D12851" s="1" t="str">
        <f>"11258"</f>
        <v>11258</v>
      </c>
      <c r="E12851" s="1" t="s">
        <v>114</v>
      </c>
      <c r="F12851" s="1">
        <v>6</v>
      </c>
      <c r="G12851" s="1">
        <v>4</v>
      </c>
      <c r="H12851" s="1">
        <v>0</v>
      </c>
      <c r="I12851" s="1" t="s">
        <v>26421</v>
      </c>
      <c r="K12851" s="1" t="str">
        <f t="shared" si="812"/>
        <v>ㄨ</v>
      </c>
      <c r="M12851" s="1" t="str">
        <f t="shared" si="811"/>
        <v/>
      </c>
      <c r="N12851" s="3" t="s">
        <v>30576</v>
      </c>
      <c r="O12851" s="3"/>
      <c r="P12851" s="1" t="s">
        <v>20</v>
      </c>
      <c r="R12851" s="1" t="s">
        <v>26422</v>
      </c>
      <c r="V12851" s="1" t="s">
        <v>26435</v>
      </c>
      <c r="AR12851" s="1" t="str">
        <f t="shared" si="810"/>
        <v>| [ㄨˇ](ㄨˇ.md) | [仵](仵.md) |  | wǔ | [形]
同等的、相同的。《集韻．去聲．莫韻》：「仵，同也。」《莊子．天下》：「以堅白同異之辯相訾，以觭偶不仵之辭相應。」
[名]
姓。如明代有仵瑜。 |</v>
      </c>
    </row>
    <row r="12852" spans="1:44" hidden="1">
      <c r="A12852" s="1" t="s">
        <v>26436</v>
      </c>
      <c r="C12852" s="1">
        <v>1</v>
      </c>
      <c r="D12852" s="1" t="str">
        <f>"11259"</f>
        <v>11259</v>
      </c>
      <c r="E12852" s="1" t="s">
        <v>250</v>
      </c>
      <c r="F12852" s="1">
        <v>7</v>
      </c>
      <c r="G12852" s="1">
        <v>4</v>
      </c>
      <c r="H12852" s="1">
        <v>0</v>
      </c>
      <c r="I12852" s="1" t="s">
        <v>26421</v>
      </c>
      <c r="K12852" s="1" t="str">
        <f t="shared" si="812"/>
        <v>ㄨ</v>
      </c>
      <c r="M12852" s="1" t="str">
        <f t="shared" si="811"/>
        <v/>
      </c>
      <c r="N12852" s="3" t="s">
        <v>30576</v>
      </c>
      <c r="O12852" s="3"/>
      <c r="P12852" s="1" t="s">
        <v>20</v>
      </c>
      <c r="R12852" s="1" t="s">
        <v>26422</v>
      </c>
      <c r="V12852" s="1" t="s">
        <v>26437</v>
      </c>
      <c r="AR12852" s="1" t="str">
        <f t="shared" si="810"/>
        <v>| [ㄨˇ](ㄨˇ.md) | [忤](忤.md) |  | wǔ | [動]
違逆、不順從。《新唐書．卷二二三．姦臣傳上．李義府傳》：「凡忤意者，皆中傷之。」《水滸傳》第九七回：「以此忤了蔡太師，尋他罪過。」 |</v>
      </c>
    </row>
    <row r="12853" spans="1:44" hidden="1">
      <c r="A12853" s="1" t="s">
        <v>26438</v>
      </c>
      <c r="C12853" s="1">
        <v>1</v>
      </c>
      <c r="D12853" s="1" t="str">
        <f>"11260"</f>
        <v>11260</v>
      </c>
      <c r="E12853" s="1" t="s">
        <v>558</v>
      </c>
      <c r="F12853" s="1">
        <v>8</v>
      </c>
      <c r="G12853" s="1">
        <v>4</v>
      </c>
      <c r="H12853" s="1">
        <v>1</v>
      </c>
      <c r="I12853" s="1" t="s">
        <v>26421</v>
      </c>
      <c r="K12853" s="1" t="str">
        <f t="shared" si="812"/>
        <v>ㄨ</v>
      </c>
      <c r="M12853" s="1" t="str">
        <f t="shared" si="811"/>
        <v/>
      </c>
      <c r="N12853" s="3" t="s">
        <v>30576</v>
      </c>
      <c r="O12853" s="3"/>
      <c r="P12853" s="1" t="s">
        <v>20</v>
      </c>
      <c r="R12853" s="1" t="s">
        <v>26422</v>
      </c>
      <c r="V12853" s="1" t="s">
        <v>26439</v>
      </c>
      <c r="W12853" s="1" t="s">
        <v>26440</v>
      </c>
      <c r="AR12853" s="1" t="str">
        <f t="shared" si="810"/>
        <v>| [ㄨˇ](ㄨˇ.md) | [迕](迕.md) |  | wǔ | [動]
1.違背、違逆。《漢書．卷五三．景十三王傳．廣川惠王劉越傳》：「宮人畏之，莫敢復迕。」
2.遇、逢。《後漢書．卷六六．陳蕃傳》：「王甫時出，與蕃相迕。」
3.觸犯、冒犯。《資治通鑑．卷六三．漢紀五十五．獻帝建安五年》：「公貌寬而內忌，不亮吾忠，而吾數以至言迕之。」《聊齋志異．卷二．巧娘》：「笑問：『何迕巧娘？』生言：『不自知罪。』」
4.夾雜、錯雜。《文選．宋玉．風賦》：「耾耾雷聲，迴穴錯迕。」唐．李善．注：「錯迕，雜錯交迕也。」清．徐珂《清稗類鈔．動物類．毗陵驛馬》：「蹏聲、鐸聲、箠聲迕交衢，晝夜不絕。」 |</v>
      </c>
    </row>
    <row r="12854" spans="1:44" hidden="1">
      <c r="A12854" s="1" t="s">
        <v>26441</v>
      </c>
      <c r="C12854" s="1">
        <v>1</v>
      </c>
      <c r="D12854" s="1" t="str">
        <f>"11261"</f>
        <v>11261</v>
      </c>
      <c r="E12854" s="1" t="s">
        <v>1495</v>
      </c>
      <c r="F12854" s="1">
        <v>8</v>
      </c>
      <c r="G12854" s="1">
        <v>4</v>
      </c>
      <c r="H12854" s="1">
        <v>0</v>
      </c>
      <c r="I12854" s="1" t="s">
        <v>26421</v>
      </c>
      <c r="K12854" s="1" t="str">
        <f t="shared" si="812"/>
        <v>ㄨ</v>
      </c>
      <c r="M12854" s="1" t="str">
        <f t="shared" si="811"/>
        <v/>
      </c>
      <c r="N12854" s="3" t="s">
        <v>30576</v>
      </c>
      <c r="O12854" s="3"/>
      <c r="P12854" s="1" t="s">
        <v>20</v>
      </c>
      <c r="R12854" s="1" t="s">
        <v>26422</v>
      </c>
      <c r="V12854" s="1" t="s">
        <v>26442</v>
      </c>
      <c r="AR12854" s="1" t="str">
        <f t="shared" si="810"/>
        <v>| [ㄨˇ](ㄨˇ.md) | [武](武.md) |  | wǔ | [名]
1.戰鬥、軍事、暴力等事。相對於文而言。如：「動武」、「比武」、「整軍經武」、「文武雙全」。《孫子．行軍》：「故令之以文，齊之以武。」
2.足跡。《詩經．大雅．生民》：「履帝武敏歆，攸介攸止。」《楚辭．屈原．離騷》：「忽奔走以先後兮，及前王之踵武。」
3.《詩經．周頌》的篇名。共一章。根據〈詩序〉：「武，奏大武也。」指周公所作歌頌武王武功之詩。本章二句為：「於皇武王，無競維烈。」
4.姓。如漢代有武臣。
[形]
1.與軍事、戰鬥有關的。如：「武器」。南朝宋．劉義慶《世說新語．賞譽》：「見鍾士季，如觀武庫，但睹矛戟。」
2.勇猛、威風。如：「勇武」、「威武」、「神武」、「英武」、「孔武有力」。唐．柳宗元〈送婁圖南秀才遊淮南將入道序〉：「羸而自養耶？則甚碩且武。」 |</v>
      </c>
    </row>
    <row r="12855" spans="1:44" hidden="1">
      <c r="A12855" s="1" t="s">
        <v>26443</v>
      </c>
      <c r="C12855" s="1">
        <v>1</v>
      </c>
      <c r="D12855" s="1" t="str">
        <f>"11262"</f>
        <v>11262</v>
      </c>
      <c r="E12855" s="1" t="s">
        <v>169</v>
      </c>
      <c r="F12855" s="1">
        <v>13</v>
      </c>
      <c r="G12855" s="1">
        <v>8</v>
      </c>
      <c r="H12855" s="1">
        <v>0</v>
      </c>
      <c r="I12855" s="1" t="s">
        <v>26421</v>
      </c>
      <c r="K12855" s="1" t="str">
        <f t="shared" si="812"/>
        <v>ㄨ</v>
      </c>
      <c r="M12855" s="1" t="str">
        <f t="shared" si="811"/>
        <v/>
      </c>
      <c r="N12855" s="3" t="s">
        <v>30576</v>
      </c>
      <c r="O12855" s="3"/>
      <c r="P12855" s="1" t="s">
        <v>20</v>
      </c>
      <c r="R12855" s="1" t="s">
        <v>26422</v>
      </c>
      <c r="V12855" s="1" t="s">
        <v>26444</v>
      </c>
      <c r="AR12855" s="1" t="str">
        <f t="shared" si="810"/>
        <v>| [ㄨˇ](ㄨˇ.md) | [碔](碔.md) |  | wǔ | 參見「碔砆」條。 |</v>
      </c>
    </row>
    <row r="12856" spans="1:44" hidden="1">
      <c r="A12856" s="1" t="s">
        <v>26445</v>
      </c>
      <c r="C12856" s="1">
        <v>1</v>
      </c>
      <c r="D12856" s="1" t="str">
        <f>"11263"</f>
        <v>11263</v>
      </c>
      <c r="E12856" s="1" t="s">
        <v>272</v>
      </c>
      <c r="F12856" s="1">
        <v>19</v>
      </c>
      <c r="G12856" s="1">
        <v>8</v>
      </c>
      <c r="H12856" s="1">
        <v>0</v>
      </c>
      <c r="I12856" s="1" t="s">
        <v>26421</v>
      </c>
      <c r="K12856" s="1" t="str">
        <f t="shared" si="812"/>
        <v>ㄨ</v>
      </c>
      <c r="M12856" s="1" t="str">
        <f t="shared" si="811"/>
        <v/>
      </c>
      <c r="N12856" s="3" t="s">
        <v>30576</v>
      </c>
      <c r="O12856" s="3"/>
      <c r="P12856" s="1" t="s">
        <v>20</v>
      </c>
      <c r="R12856" s="1" t="s">
        <v>26422</v>
      </c>
      <c r="V12856" s="1" t="s">
        <v>26279</v>
      </c>
      <c r="AR12856" s="1" t="str">
        <f t="shared" si="810"/>
        <v>| [ㄨˇ](ㄨˇ.md) | [鵡](鵡.md) |  | wǔ | 參見「鸚鵡」條。 |</v>
      </c>
    </row>
    <row r="12857" spans="1:44" hidden="1">
      <c r="A12857" s="1" t="s">
        <v>26446</v>
      </c>
      <c r="C12857" s="1">
        <v>1</v>
      </c>
      <c r="D12857" s="1" t="str">
        <f>"11264"</f>
        <v>11264</v>
      </c>
      <c r="E12857" s="1" t="s">
        <v>114</v>
      </c>
      <c r="F12857" s="1">
        <v>9</v>
      </c>
      <c r="G12857" s="1">
        <v>7</v>
      </c>
      <c r="H12857" s="1">
        <v>0</v>
      </c>
      <c r="I12857" s="1" t="s">
        <v>26421</v>
      </c>
      <c r="K12857" s="1" t="str">
        <f t="shared" si="812"/>
        <v>ㄨ</v>
      </c>
      <c r="M12857" s="1" t="str">
        <f t="shared" ref="M12857:M12865" si="813">MID(I12857, 3, 1)</f>
        <v/>
      </c>
      <c r="N12857" s="3" t="s">
        <v>30576</v>
      </c>
      <c r="O12857" s="3"/>
      <c r="P12857" s="1" t="s">
        <v>20</v>
      </c>
      <c r="R12857" s="1" t="s">
        <v>26422</v>
      </c>
      <c r="V12857" s="1" t="s">
        <v>26447</v>
      </c>
      <c r="AR12857" s="1" t="str">
        <f t="shared" si="810"/>
        <v>| [ㄨˇ](ㄨˇ.md) | [侮](侮.md) |  | wǔ | [動]
1.欺凌。如：「欺侮」、「侮辱」。《詩經．大雅．烝民》：「不侮矜寡，不畏彊禦。」《史記．卷九二．淮陰侯傳》：「淮陰屠中少年有侮信者。」
2.輕慢、輕賤。如：「侮慢」。《史記．卷四．周本紀》：「殄廢先王明德，侮蔑神祇不祀。」
3.戲弄。宋．蘇軾〈古意〉詩：「兒童鞭笞學官府，翁憐兒痴旁笑侮。」 |</v>
      </c>
    </row>
    <row r="12858" spans="1:44" hidden="1">
      <c r="A12858" s="1" t="s">
        <v>26448</v>
      </c>
      <c r="C12858" s="1">
        <v>1</v>
      </c>
      <c r="D12858" s="1" t="str">
        <f>"11265"</f>
        <v>11265</v>
      </c>
      <c r="E12858" s="1" t="s">
        <v>24</v>
      </c>
      <c r="F12858" s="1">
        <v>13</v>
      </c>
      <c r="G12858" s="1">
        <v>10</v>
      </c>
      <c r="H12858" s="1">
        <v>0</v>
      </c>
      <c r="I12858" s="1" t="s">
        <v>26421</v>
      </c>
      <c r="K12858" s="1" t="str">
        <f t="shared" si="812"/>
        <v>ㄨ</v>
      </c>
      <c r="M12858" s="1" t="str">
        <f t="shared" si="813"/>
        <v/>
      </c>
      <c r="N12858" s="3" t="s">
        <v>30576</v>
      </c>
      <c r="O12858" s="3"/>
      <c r="P12858" s="1" t="s">
        <v>20</v>
      </c>
      <c r="R12858" s="1" t="s">
        <v>26422</v>
      </c>
      <c r="V12858" s="1" t="s">
        <v>26449</v>
      </c>
      <c r="AR12858" s="1" t="str">
        <f t="shared" si="810"/>
        <v>| [ㄨˇ](ㄨˇ.md) | [摀](摀.md) |  | wǔ | [動]
1.遮掩。如：「摀住眼睛」、「摀上嘴巴」。
2.密封起來，使其不透氣。如：「放在罐子裡摀幾天。」 |</v>
      </c>
    </row>
    <row r="12859" spans="1:44" hidden="1">
      <c r="A12859" s="1" t="s">
        <v>26450</v>
      </c>
      <c r="C12859" s="1">
        <v>1</v>
      </c>
      <c r="D12859" s="1" t="str">
        <f>"11266"</f>
        <v>11266</v>
      </c>
      <c r="E12859" s="1" t="s">
        <v>16438</v>
      </c>
      <c r="F12859" s="1">
        <v>14</v>
      </c>
      <c r="G12859" s="1">
        <v>8</v>
      </c>
      <c r="H12859" s="1">
        <v>0</v>
      </c>
      <c r="I12859" s="1" t="s">
        <v>26421</v>
      </c>
      <c r="K12859" s="1" t="str">
        <f t="shared" si="812"/>
        <v>ㄨ</v>
      </c>
      <c r="M12859" s="1" t="str">
        <f t="shared" si="813"/>
        <v/>
      </c>
      <c r="N12859" s="3" t="s">
        <v>30576</v>
      </c>
      <c r="O12859" s="3"/>
      <c r="P12859" s="1" t="s">
        <v>20</v>
      </c>
      <c r="R12859" s="1" t="s">
        <v>26422</v>
      </c>
      <c r="V12859" s="1" t="s">
        <v>26451</v>
      </c>
      <c r="AR12859" s="1" t="str">
        <f t="shared" si="810"/>
        <v>| [ㄨˇ](ㄨˇ.md) | [舞](舞.md) |  | wǔ | [名]
一種配合音樂節奏移動身體，表演各種姿態的藝術。如：「芭蕾舞」、「華爾滋舞」、「交際舞」。《周禮．春官．樂師》：「凡舞，有帗舞，有羽舞，有皇舞，有旄舞，有干舞，有人舞。」
[動]
1.表演舞蹈。南朝宋．劉義慶《世說新語．品藻》：「劉尹、王長史同坐，長史酒酣起舞。」
2.耍動、揮動。如：「舞劍」、「手舞足蹈」。《禮記．樂記》：「嗟嘆之不足，故不知手之舞之足之蹈之也。」
3.飛揚、飛翔。如：「飛舞」、「眉飛色舞」、「龍飛鳳舞」。
4.賣弄、玩弄。如：「舞文弄墨」。《史記．卷一二〇．汲黯傳》：「好興事，舞文法，內懷詐以御主心，外挾賊吏以為威重。」
5.搞、弄、忙。《儒林外史》第三回：「鄰居一起上前，替他抹胸口，捶背心，舞了半日，漸漸喘息過來。」 |</v>
      </c>
    </row>
    <row r="12860" spans="1:44" hidden="1">
      <c r="A12860" s="1" t="s">
        <v>26452</v>
      </c>
      <c r="C12860" s="1">
        <v>1</v>
      </c>
      <c r="D12860" s="1" t="str">
        <f>"11267"</f>
        <v>11267</v>
      </c>
      <c r="E12860" s="1" t="s">
        <v>447</v>
      </c>
      <c r="F12860" s="1">
        <v>15</v>
      </c>
      <c r="G12860" s="1">
        <v>12</v>
      </c>
      <c r="H12860" s="1">
        <v>0</v>
      </c>
      <c r="I12860" s="1" t="s">
        <v>26421</v>
      </c>
      <c r="K12860" s="1" t="str">
        <f t="shared" si="812"/>
        <v>ㄨ</v>
      </c>
      <c r="M12860" s="1" t="str">
        <f t="shared" si="813"/>
        <v/>
      </c>
      <c r="N12860" s="3" t="s">
        <v>30576</v>
      </c>
      <c r="O12860" s="3"/>
      <c r="P12860" s="1" t="s">
        <v>20</v>
      </c>
      <c r="R12860" s="1" t="s">
        <v>26422</v>
      </c>
      <c r="V12860" s="1" t="s">
        <v>26453</v>
      </c>
      <c r="AR12860" s="1" t="str">
        <f t="shared" si="810"/>
        <v>| [ㄨˇ](ㄨˇ.md) | [廡](廡.md) |  | wǔ | [名]
1.廳堂兩側的廂房。宋．蘇軾〈夜過舒堯文戲作〉詩：「先生堂上霜月苦，弟子讀書喧兩廡。」《清史稿．卷八二．禮志一》：「左右廡各五楹，陛一出，七級。」
2.泛指房屋。《漢書．卷八九．循吏傳．召信臣傳》：「太官園種冬生蔥韭菜茹，覆以屋廡。」《後漢書．卷四五．張酺傳》：「其無起祠堂，可作稿蓋廡，施祭其下而已。」 |</v>
      </c>
    </row>
    <row r="12861" spans="1:44" hidden="1">
      <c r="A12861" s="1" t="s">
        <v>26454</v>
      </c>
      <c r="C12861" s="1">
        <v>1</v>
      </c>
      <c r="D12861" s="1" t="str">
        <f>"11268"</f>
        <v>11268</v>
      </c>
      <c r="E12861" s="1" t="s">
        <v>250</v>
      </c>
      <c r="F12861" s="1">
        <v>15</v>
      </c>
      <c r="G12861" s="1">
        <v>12</v>
      </c>
      <c r="H12861" s="1">
        <v>0</v>
      </c>
      <c r="I12861" s="1" t="s">
        <v>26421</v>
      </c>
      <c r="K12861" s="1" t="str">
        <f t="shared" si="812"/>
        <v>ㄨ</v>
      </c>
      <c r="M12861" s="1" t="str">
        <f t="shared" si="813"/>
        <v/>
      </c>
      <c r="N12861" s="3" t="s">
        <v>30576</v>
      </c>
      <c r="O12861" s="3"/>
      <c r="P12861" s="1" t="s">
        <v>20</v>
      </c>
      <c r="R12861" s="1" t="s">
        <v>26422</v>
      </c>
      <c r="V12861" s="1" t="s">
        <v>26455</v>
      </c>
      <c r="AR12861" s="1" t="str">
        <f t="shared" si="810"/>
        <v>| [ㄨˇ](ㄨˇ.md) | [憮](憮.md) |  | wǔ | [副]
1.失意的樣子。《論語．微子》：「夫子憮然曰：『鳥獸不可與同群，吾非斯人之徒與而誰與？』」《後漢書．卷七〇．孔融傳》：「聞之憮然，中夜而起。」
2.驚愕的樣子。《後漢書．卷六〇下．蔡邕傳》：「邕具以告，莫不憮然。」《晉書．卷一一四．苻堅載記下》：「顧謂融曰：『此亦勍敵也，何謂少乎！』憮然有懼色。」 |</v>
      </c>
    </row>
    <row r="12862" spans="1:44" hidden="1">
      <c r="A12862" s="1" t="s">
        <v>26456</v>
      </c>
      <c r="C12862" s="1">
        <v>1</v>
      </c>
      <c r="D12862" s="1" t="str">
        <f>"11269"</f>
        <v>11269</v>
      </c>
      <c r="E12862" s="1" t="s">
        <v>28</v>
      </c>
      <c r="F12862" s="1">
        <v>15</v>
      </c>
      <c r="G12862" s="1">
        <v>12</v>
      </c>
      <c r="H12862" s="1">
        <v>0</v>
      </c>
      <c r="I12862" s="1" t="s">
        <v>26421</v>
      </c>
      <c r="K12862" s="1" t="str">
        <f t="shared" si="812"/>
        <v>ㄨ</v>
      </c>
      <c r="M12862" s="1" t="str">
        <f t="shared" si="813"/>
        <v/>
      </c>
      <c r="N12862" s="3" t="s">
        <v>30576</v>
      </c>
      <c r="O12862" s="3"/>
      <c r="P12862" s="1" t="s">
        <v>20</v>
      </c>
      <c r="R12862" s="1" t="s">
        <v>26422</v>
      </c>
      <c r="V12862" s="1" t="s">
        <v>26457</v>
      </c>
      <c r="AR12862" s="1" t="str">
        <f t="shared" si="810"/>
        <v>| [ㄨˇ](ㄨˇ.md) | [嘸](嘸.md) |  | wǔ | [副]
驚訝的樣子。《漢書．卷三四．韓信傳》：「諸將皆嘸然，陽應曰：『諾。』」 |</v>
      </c>
    </row>
    <row r="12863" spans="1:44" hidden="1">
      <c r="A12863" s="1" t="s">
        <v>26458</v>
      </c>
      <c r="C12863" s="1">
        <v>1</v>
      </c>
      <c r="D12863" s="1" t="str">
        <f>"11270"</f>
        <v>11270</v>
      </c>
      <c r="E12863" s="1" t="s">
        <v>534</v>
      </c>
      <c r="F12863" s="1">
        <v>15</v>
      </c>
      <c r="G12863" s="1">
        <v>12</v>
      </c>
      <c r="H12863" s="1">
        <v>0</v>
      </c>
      <c r="I12863" s="1" t="s">
        <v>26421</v>
      </c>
      <c r="K12863" s="1" t="str">
        <f t="shared" si="812"/>
        <v>ㄨ</v>
      </c>
      <c r="M12863" s="1" t="str">
        <f t="shared" si="813"/>
        <v/>
      </c>
      <c r="N12863" s="3" t="s">
        <v>30576</v>
      </c>
      <c r="O12863" s="3"/>
      <c r="P12863" s="1" t="s">
        <v>20</v>
      </c>
      <c r="R12863" s="1" t="s">
        <v>26422</v>
      </c>
      <c r="V12863" s="1" t="s">
        <v>26459</v>
      </c>
      <c r="AR12863" s="1" t="str">
        <f t="shared" si="810"/>
        <v>| [ㄨˇ](ㄨˇ.md) | [嫵](嫵.md) |  | wǔ | 參見「嫵媚」條。 |</v>
      </c>
    </row>
    <row r="12864" spans="1:44" hidden="1">
      <c r="A12864" s="1" t="s">
        <v>12039</v>
      </c>
      <c r="C12864" s="1">
        <v>1</v>
      </c>
      <c r="D12864" s="1" t="str">
        <f>"11271"</f>
        <v>11271</v>
      </c>
      <c r="E12864" s="1" t="s">
        <v>68</v>
      </c>
      <c r="F12864" s="1">
        <v>16</v>
      </c>
      <c r="G12864" s="1">
        <v>12</v>
      </c>
      <c r="H12864" s="1">
        <v>2</v>
      </c>
      <c r="I12864" s="1" t="s">
        <v>26421</v>
      </c>
      <c r="K12864" s="1" t="str">
        <f t="shared" si="812"/>
        <v>ㄨ</v>
      </c>
      <c r="M12864" s="1" t="str">
        <f t="shared" si="813"/>
        <v/>
      </c>
      <c r="N12864" s="3" t="s">
        <v>30576</v>
      </c>
      <c r="O12864" s="3"/>
      <c r="P12864" s="1" t="s">
        <v>20</v>
      </c>
      <c r="R12864" s="1" t="s">
        <v>26422</v>
      </c>
      <c r="V12864" s="1" t="s">
        <v>26460</v>
      </c>
      <c r="W12864" s="1" t="s">
        <v>26461</v>
      </c>
      <c r="AR12864" s="1" t="str">
        <f t="shared" si="810"/>
        <v>| [ㄨˇ](ㄨˇ.md) | [膴](膴.md) |  | wǔ | [形]
1.土地肥美。《玉篇．肉部》：「膴，土地腴美。」《詩經．大雅．綿》：「周原膴膴，堇荼如飴。」唐．劉禹錫〈連州刺史廳壁記〉：「原鮮而膴，卉物柔澤。」
2.厚。《詩經．小雅．節南山》：「瑣瑣姻亞，則無膴仕。」漢．毛亨．傳：「膴，厚也。」漢．鄭玄．注：「妻黨之小人，無厚任用之，置之大位，重其祿也。」 |</v>
      </c>
    </row>
    <row r="12865" spans="1:44" hidden="1">
      <c r="A12865" s="1" t="s">
        <v>26462</v>
      </c>
      <c r="C12865" s="1">
        <v>1</v>
      </c>
      <c r="D12865" s="1" t="str">
        <f>"11272"</f>
        <v>11272</v>
      </c>
      <c r="E12865" s="1" t="s">
        <v>1824</v>
      </c>
      <c r="F12865" s="1">
        <v>17</v>
      </c>
      <c r="G12865" s="1">
        <v>12</v>
      </c>
      <c r="H12865" s="1">
        <v>0</v>
      </c>
      <c r="I12865" s="1" t="s">
        <v>26421</v>
      </c>
      <c r="K12865" s="1" t="str">
        <f t="shared" si="812"/>
        <v>ㄨ</v>
      </c>
      <c r="M12865" s="1" t="str">
        <f t="shared" si="813"/>
        <v/>
      </c>
      <c r="N12865" s="3" t="s">
        <v>30576</v>
      </c>
      <c r="O12865" s="3"/>
      <c r="P12865" s="1" t="s">
        <v>20</v>
      </c>
      <c r="R12865" s="1" t="s">
        <v>26422</v>
      </c>
      <c r="V12865" s="1" t="s">
        <v>26463</v>
      </c>
      <c r="AR12865" s="1" t="str">
        <f t="shared" si="810"/>
        <v>| [ㄨˇ](ㄨˇ.md) | [甒](甒.md) |  | wǔ | [名]
古代盛酒的瓦器。《禮記．禮器》：「五獻之尊，門外缶，門內壺，君尊瓦甒。」唐．李賀〈箜篌引〉：「隴畝油油黍與葫，瓦甒濁醪蟻浮浮。」 |</v>
      </c>
    </row>
    <row r="12866" spans="1:44" hidden="1">
      <c r="A12866" s="1" t="s">
        <v>26557</v>
      </c>
      <c r="C12866" s="1">
        <v>1</v>
      </c>
      <c r="D12866" s="1" t="str">
        <f>"11319"</f>
        <v>11319</v>
      </c>
      <c r="E12866" s="1" t="s">
        <v>1824</v>
      </c>
      <c r="F12866" s="1">
        <v>5</v>
      </c>
      <c r="G12866" s="1">
        <v>0</v>
      </c>
      <c r="H12866" s="1">
        <v>2</v>
      </c>
      <c r="I12866" s="1" t="s">
        <v>26564</v>
      </c>
      <c r="K12866" s="1" t="str">
        <f t="shared" si="812"/>
        <v>ㄨ</v>
      </c>
      <c r="L12866" s="1" t="str">
        <f t="shared" ref="L12866:L12876" si="814">MID(I12866, 2, 1)</f>
        <v>ㄚ</v>
      </c>
      <c r="N12866" s="3" t="s">
        <v>30574</v>
      </c>
      <c r="O12866" s="3"/>
      <c r="P12866" s="1" t="s">
        <v>20</v>
      </c>
      <c r="R12866" s="1" t="s">
        <v>26565</v>
      </c>
      <c r="V12866" s="1" t="s">
        <v>26566</v>
      </c>
      <c r="W12866" s="1" t="s">
        <v>26567</v>
      </c>
      <c r="AR12866" s="1" t="str">
        <f t="shared" si="810"/>
        <v>| [ㄨㄚˋ](ㄨㄚˋ.md) | [瓦](瓦.md) |  | wà | [動]
覆瓦於屋頂。《集韻．去聲．禡韻》：「瓦，施瓦於屋也。」宋．陸游〈撫州廣壽禪院經藏記〉：「予之始至也，纔屹立十餘柱，其上未瓦，其下未甃，其旁未垣。」 |</v>
      </c>
    </row>
    <row r="12867" spans="1:44" hidden="1">
      <c r="A12867" s="1" t="s">
        <v>24449</v>
      </c>
      <c r="C12867" s="1">
        <v>1</v>
      </c>
      <c r="D12867" s="1" t="str">
        <f>"11320"</f>
        <v>11320</v>
      </c>
      <c r="E12867" s="1" t="s">
        <v>5293</v>
      </c>
      <c r="F12867" s="1">
        <v>5</v>
      </c>
      <c r="G12867" s="1">
        <v>3</v>
      </c>
      <c r="H12867" s="1">
        <v>4</v>
      </c>
      <c r="I12867" s="1" t="s">
        <v>26564</v>
      </c>
      <c r="K12867" s="1" t="str">
        <f t="shared" si="812"/>
        <v>ㄨ</v>
      </c>
      <c r="L12867" s="1" t="str">
        <f t="shared" si="814"/>
        <v>ㄚ</v>
      </c>
      <c r="N12867" s="3" t="s">
        <v>30574</v>
      </c>
      <c r="O12867" s="3"/>
      <c r="P12867" s="1" t="s">
        <v>20</v>
      </c>
      <c r="R12867" s="1" t="s">
        <v>26565</v>
      </c>
      <c r="V12867" s="1" t="s">
        <v>26568</v>
      </c>
      <c r="W12867" s="1" t="s">
        <v>26569</v>
      </c>
      <c r="AR12867" s="1" t="str">
        <f t="shared" ref="AR12867:AR12930" si="815">"| ["&amp;I12867&amp;"]("&amp;I12867&amp;".md) | ["&amp;A12867&amp;"]("&amp;A12867&amp;".md) | "&amp;" | "&amp;R12867&amp;" | "&amp;V12867&amp;" |"</f>
        <v>| [ㄨㄚˋ](ㄨㄚˋ.md) | [凹](凹.md) |  | wà | 凹心臉兒、凹窯兒的凹的語音。 |</v>
      </c>
    </row>
    <row r="12868" spans="1:44" hidden="1">
      <c r="A12868" s="1" t="s">
        <v>26570</v>
      </c>
      <c r="C12868" s="1">
        <v>1</v>
      </c>
      <c r="D12868" s="1" t="str">
        <f>"11321"</f>
        <v>11321</v>
      </c>
      <c r="E12868" s="1" t="s">
        <v>43</v>
      </c>
      <c r="F12868" s="1">
        <v>11</v>
      </c>
      <c r="G12868" s="1">
        <v>5</v>
      </c>
      <c r="H12868" s="1">
        <v>0</v>
      </c>
      <c r="I12868" s="1" t="s">
        <v>26564</v>
      </c>
      <c r="K12868" s="1" t="str">
        <f t="shared" si="812"/>
        <v>ㄨ</v>
      </c>
      <c r="L12868" s="1" t="str">
        <f t="shared" si="814"/>
        <v>ㄚ</v>
      </c>
      <c r="N12868" s="3" t="s">
        <v>30574</v>
      </c>
      <c r="O12868" s="3"/>
      <c r="P12868" s="1" t="s">
        <v>20</v>
      </c>
      <c r="R12868" s="1" t="s">
        <v>26565</v>
      </c>
      <c r="V12868" s="1" t="s">
        <v>26571</v>
      </c>
      <c r="AR12868" s="1" t="str">
        <f t="shared" si="815"/>
        <v>| [ㄨㄚˋ](ㄨㄚˋ.md) | [䍪](䍪.md) |  | wà | 參見「䍪羯」條。 |</v>
      </c>
    </row>
    <row r="12869" spans="1:44" hidden="1">
      <c r="A12869" s="1" t="s">
        <v>26572</v>
      </c>
      <c r="C12869" s="1">
        <v>1</v>
      </c>
      <c r="D12869" s="1" t="str">
        <f>"11322"</f>
        <v>11322</v>
      </c>
      <c r="E12869" s="1" t="s">
        <v>28</v>
      </c>
      <c r="F12869" s="1">
        <v>13</v>
      </c>
      <c r="G12869" s="1">
        <v>10</v>
      </c>
      <c r="H12869" s="1">
        <v>0</v>
      </c>
      <c r="I12869" s="1" t="s">
        <v>26564</v>
      </c>
      <c r="K12869" s="1" t="str">
        <f t="shared" si="812"/>
        <v>ㄨ</v>
      </c>
      <c r="L12869" s="1" t="str">
        <f t="shared" si="814"/>
        <v>ㄚ</v>
      </c>
      <c r="N12869" s="3" t="s">
        <v>30574</v>
      </c>
      <c r="O12869" s="3"/>
      <c r="P12869" s="1" t="s">
        <v>20</v>
      </c>
      <c r="R12869" s="1" t="s">
        <v>26565</v>
      </c>
      <c r="V12869" s="1" t="s">
        <v>26573</v>
      </c>
      <c r="AR12869" s="1" t="str">
        <f t="shared" si="815"/>
        <v>| [ㄨㄚˋ](ㄨㄚˋ.md) | [嗢](嗢.md) |  | wà | [動]
吞嚥。《說文解字．口部》：「嗢，咽也。」唐．陸龜蒙〈奉酬襲美先輩吳中苦雨一百韻〉：「低頭增歎詫，到口復嗢咽。」 |</v>
      </c>
    </row>
    <row r="12870" spans="1:44" hidden="1">
      <c r="A12870" s="1" t="s">
        <v>26574</v>
      </c>
      <c r="C12870" s="1">
        <v>1</v>
      </c>
      <c r="D12870" s="1" t="str">
        <f>"11323"</f>
        <v>11323</v>
      </c>
      <c r="E12870" s="1" t="s">
        <v>1372</v>
      </c>
      <c r="F12870" s="1">
        <v>14</v>
      </c>
      <c r="G12870" s="1">
        <v>10</v>
      </c>
      <c r="H12870" s="1">
        <v>0</v>
      </c>
      <c r="I12870" s="1" t="s">
        <v>26564</v>
      </c>
      <c r="K12870" s="1" t="str">
        <f t="shared" si="812"/>
        <v>ㄨ</v>
      </c>
      <c r="L12870" s="1" t="str">
        <f t="shared" si="814"/>
        <v>ㄚ</v>
      </c>
      <c r="N12870" s="3" t="s">
        <v>30574</v>
      </c>
      <c r="O12870" s="3"/>
      <c r="P12870" s="1" t="s">
        <v>20</v>
      </c>
      <c r="R12870" s="1" t="s">
        <v>26565</v>
      </c>
      <c r="V12870" s="1" t="s">
        <v>26575</v>
      </c>
      <c r="AR12870" s="1" t="str">
        <f t="shared" si="815"/>
        <v>| [ㄨㄚˋ](ㄨㄚˋ.md) | [殟](殟.md) |  | wà | [動]
突然失去知覺。《楚辭．王逸．九思．逢尤》：「仰長歎兮氣噎結，悒殟絕兮咶復蘇。」 |</v>
      </c>
    </row>
    <row r="12871" spans="1:44" hidden="1">
      <c r="A12871" s="1" t="s">
        <v>26576</v>
      </c>
      <c r="C12871" s="1">
        <v>1</v>
      </c>
      <c r="D12871" s="1" t="str">
        <f>"11324"</f>
        <v>11324</v>
      </c>
      <c r="E12871" s="1" t="s">
        <v>68</v>
      </c>
      <c r="F12871" s="1">
        <v>14</v>
      </c>
      <c r="G12871" s="1">
        <v>10</v>
      </c>
      <c r="H12871" s="1">
        <v>0</v>
      </c>
      <c r="I12871" s="1" t="s">
        <v>26564</v>
      </c>
      <c r="K12871" s="1" t="str">
        <f t="shared" si="812"/>
        <v>ㄨ</v>
      </c>
      <c r="L12871" s="1" t="str">
        <f t="shared" si="814"/>
        <v>ㄚ</v>
      </c>
      <c r="N12871" s="3" t="s">
        <v>30574</v>
      </c>
      <c r="O12871" s="3"/>
      <c r="P12871" s="1" t="s">
        <v>20</v>
      </c>
      <c r="R12871" s="1" t="s">
        <v>26565</v>
      </c>
      <c r="V12871" s="1" t="s">
        <v>26577</v>
      </c>
      <c r="AR12871" s="1" t="str">
        <f t="shared" si="815"/>
        <v>| [ㄨㄚˋ](ㄨㄚˋ.md) | [膃](膃.md) |  | wà | 參見「膃肭」、「膃肭臍」等條。 |</v>
      </c>
    </row>
    <row r="12872" spans="1:44" hidden="1">
      <c r="A12872" s="1" t="s">
        <v>26578</v>
      </c>
      <c r="C12872" s="1">
        <v>1</v>
      </c>
      <c r="D12872" s="1" t="str">
        <f>"11325"</f>
        <v>11325</v>
      </c>
      <c r="E12872" s="1" t="s">
        <v>340</v>
      </c>
      <c r="F12872" s="1">
        <v>21</v>
      </c>
      <c r="G12872" s="1">
        <v>15</v>
      </c>
      <c r="H12872" s="1">
        <v>0</v>
      </c>
      <c r="I12872" s="1" t="s">
        <v>26564</v>
      </c>
      <c r="K12872" s="1" t="str">
        <f t="shared" si="812"/>
        <v>ㄨ</v>
      </c>
      <c r="L12872" s="1" t="str">
        <f t="shared" si="814"/>
        <v>ㄚ</v>
      </c>
      <c r="N12872" s="3" t="s">
        <v>30574</v>
      </c>
      <c r="O12872" s="3"/>
      <c r="P12872" s="1" t="s">
        <v>20</v>
      </c>
      <c r="R12872" s="1" t="s">
        <v>26565</v>
      </c>
      <c r="V12872" s="1" t="s">
        <v>26579</v>
      </c>
      <c r="AR12872" s="1" t="str">
        <f t="shared" si="815"/>
        <v>| [ㄨㄚˋ](ㄨㄚˋ.md) | [襪](襪.md) |  | wà | [名]
穿在腳上，用來保護或保暖的東西。通常用棉、毛、絲及合成纖維等製成。如：「絲襪」、「毛襪」。 |</v>
      </c>
    </row>
    <row r="12873" spans="1:44" hidden="1">
      <c r="A12873" s="1" t="s">
        <v>26546</v>
      </c>
      <c r="C12873" s="1">
        <v>1</v>
      </c>
      <c r="D12873" s="1" t="str">
        <f>"11315"</f>
        <v>11315</v>
      </c>
      <c r="E12873" s="1" t="s">
        <v>24</v>
      </c>
      <c r="F12873" s="1">
        <v>9</v>
      </c>
      <c r="G12873" s="1">
        <v>6</v>
      </c>
      <c r="H12873" s="1">
        <v>2</v>
      </c>
      <c r="I12873" s="1" t="s">
        <v>26551</v>
      </c>
      <c r="K12873" s="1" t="str">
        <f t="shared" si="812"/>
        <v>ㄨ</v>
      </c>
      <c r="L12873" s="1" t="str">
        <f t="shared" si="814"/>
        <v>ㄚ</v>
      </c>
      <c r="N12873" s="3" t="s">
        <v>30575</v>
      </c>
      <c r="O12873" s="3"/>
      <c r="P12873" s="1" t="s">
        <v>20</v>
      </c>
      <c r="R12873" s="1" t="s">
        <v>26552</v>
      </c>
      <c r="V12873" s="1" t="s">
        <v>26553</v>
      </c>
      <c r="W12873" s="1" t="s">
        <v>26554</v>
      </c>
      <c r="AR12873" s="1" t="str">
        <f t="shared" si="815"/>
        <v>| [ㄨㄚˊ](ㄨㄚˊ.md) | [挖](挖.md) |  | wá | 耳挖子的挖的語音。 |</v>
      </c>
    </row>
    <row r="12874" spans="1:44" hidden="1">
      <c r="A12874" s="1" t="s">
        <v>26555</v>
      </c>
      <c r="C12874" s="1">
        <v>1</v>
      </c>
      <c r="D12874" s="1" t="str">
        <f>"11316"</f>
        <v>11316</v>
      </c>
      <c r="E12874" s="1" t="s">
        <v>534</v>
      </c>
      <c r="F12874" s="1">
        <v>9</v>
      </c>
      <c r="G12874" s="1">
        <v>6</v>
      </c>
      <c r="H12874" s="1">
        <v>0</v>
      </c>
      <c r="I12874" s="1" t="s">
        <v>26551</v>
      </c>
      <c r="K12874" s="1" t="str">
        <f t="shared" si="812"/>
        <v>ㄨ</v>
      </c>
      <c r="L12874" s="1" t="str">
        <f t="shared" si="814"/>
        <v>ㄚ</v>
      </c>
      <c r="N12874" s="3" t="s">
        <v>30575</v>
      </c>
      <c r="O12874" s="3"/>
      <c r="P12874" s="1" t="s">
        <v>20</v>
      </c>
      <c r="R12874" s="1" t="s">
        <v>26552</v>
      </c>
      <c r="V12874" s="1" t="s">
        <v>26556</v>
      </c>
      <c r="AR12874" s="1" t="str">
        <f t="shared" si="815"/>
        <v>| [ㄨㄚˊ](ㄨㄚˊ.md) | [娃](娃.md) |  | wá | [名]
1.美女。漢．揚雄〈反離騷〉：「資娵娃之珍髢兮，鬻九戎而索賴。」元．馬致遠《漢宮秋．楔子》：「五穀豐登沒戰伐，寡人待刷室女選宮娃。」
2.小孩。如：「男娃」、「女娃」、「胖娃娃」。 |</v>
      </c>
    </row>
    <row r="12875" spans="1:44" hidden="1">
      <c r="A12875" s="1" t="s">
        <v>26557</v>
      </c>
      <c r="C12875" s="1">
        <v>1</v>
      </c>
      <c r="D12875" s="1" t="str">
        <f>"11317"</f>
        <v>11317</v>
      </c>
      <c r="E12875" s="1" t="s">
        <v>1824</v>
      </c>
      <c r="F12875" s="1">
        <v>5</v>
      </c>
      <c r="G12875" s="1">
        <v>0</v>
      </c>
      <c r="H12875" s="1">
        <v>1</v>
      </c>
      <c r="I12875" s="1" t="s">
        <v>26558</v>
      </c>
      <c r="K12875" s="1" t="str">
        <f t="shared" si="812"/>
        <v>ㄨ</v>
      </c>
      <c r="L12875" s="1" t="str">
        <f t="shared" si="814"/>
        <v>ㄚ</v>
      </c>
      <c r="N12875" s="3" t="s">
        <v>30576</v>
      </c>
      <c r="O12875" s="3"/>
      <c r="P12875" s="1" t="s">
        <v>20</v>
      </c>
      <c r="R12875" s="1" t="s">
        <v>26559</v>
      </c>
      <c r="V12875" s="1" t="s">
        <v>26560</v>
      </c>
      <c r="W12875" s="1" t="s">
        <v>26561</v>
      </c>
      <c r="AR12875" s="1" t="str">
        <f t="shared" si="815"/>
        <v>| [ㄨㄚˇ](ㄨㄚˇ.md) | [瓦](瓦.md) |  | wǎ | [名]
1.用陶土燒成的器物的總稱。《詩經．小雅．斯干》：「乃生女子，載寢之地，載衣之裼，載弄之瓦。」唐．韓愈〈元和聖德〉詩：「皇帝儉勤，盥濯陶瓦。」
2.覆於屋頂上，用以遮蔽風雨的建築材料。如：「石綿瓦」。《莊子．達生》：「雖有忮心者，不怨飄瓦。」唐．杜甫〈越王樓歌〉：「孤城西北起高樓，碧瓦朱甍照城郭。」
3.楯脊，盾背栱起如覆瓦的部分。《左傳．昭公二十六年》：「齊子淵捷從洩聲子，射之，中楯瓦。」唐．王績〈三日賦〉：「鐵骸文鏇，銀鞍鏤瓦。」
4.瓦特的簡稱。參見「瓦特」1.條。
5.二一四部首之一。 |</v>
      </c>
    </row>
    <row r="12876" spans="1:44" hidden="1">
      <c r="A12876" s="1" t="s">
        <v>26562</v>
      </c>
      <c r="C12876" s="1">
        <v>1</v>
      </c>
      <c r="D12876" s="1" t="str">
        <f>"11318"</f>
        <v>11318</v>
      </c>
      <c r="E12876" s="1" t="s">
        <v>114</v>
      </c>
      <c r="F12876" s="1">
        <v>7</v>
      </c>
      <c r="G12876" s="1">
        <v>5</v>
      </c>
      <c r="H12876" s="1">
        <v>0</v>
      </c>
      <c r="I12876" s="1" t="s">
        <v>26558</v>
      </c>
      <c r="K12876" s="1" t="str">
        <f t="shared" si="812"/>
        <v>ㄨ</v>
      </c>
      <c r="L12876" s="1" t="str">
        <f t="shared" si="814"/>
        <v>ㄚ</v>
      </c>
      <c r="N12876" s="3" t="s">
        <v>30576</v>
      </c>
      <c r="O12876" s="3"/>
      <c r="P12876" s="1" t="s">
        <v>20</v>
      </c>
      <c r="R12876" s="1" t="s">
        <v>26559</v>
      </c>
      <c r="V12876" s="1" t="s">
        <v>26563</v>
      </c>
      <c r="AR12876" s="1" t="str">
        <f t="shared" si="815"/>
        <v>| [ㄨㄚˇ](ㄨㄚˇ.md) | [佤](佤.md) |  | wǎ | 參見「佤族」條。 |</v>
      </c>
    </row>
    <row r="12877" spans="1:44" hidden="1">
      <c r="A12877" s="1" t="s">
        <v>26537</v>
      </c>
      <c r="C12877" s="1">
        <v>1</v>
      </c>
      <c r="D12877" s="1" t="str">
        <f>"11326"</f>
        <v>11326</v>
      </c>
      <c r="E12877" s="1" t="s">
        <v>28</v>
      </c>
      <c r="F12877" s="1">
        <v>9</v>
      </c>
      <c r="G12877" s="1">
        <v>6</v>
      </c>
      <c r="H12877" s="1">
        <v>2</v>
      </c>
      <c r="I12877" s="1" t="s">
        <v>26580</v>
      </c>
      <c r="J12877" s="2" t="s">
        <v>30559</v>
      </c>
      <c r="K12877" s="1" t="s">
        <v>26348</v>
      </c>
      <c r="L12877" s="1" t="s">
        <v>24143</v>
      </c>
      <c r="P12877" s="1" t="s">
        <v>20</v>
      </c>
      <c r="R12877" s="1" t="s">
        <v>26581</v>
      </c>
      <c r="V12877" s="1" t="s">
        <v>26582</v>
      </c>
      <c r="W12877" s="1" t="s">
        <v>26583</v>
      </c>
      <c r="AR12877" s="1" t="str">
        <f t="shared" si="815"/>
        <v>| [˙ㄨㄚ](˙ㄨㄚ.md) | [哇](哇.md) |  | wa | [助]
置於語尾，表驚嘆的語氣。如：「好哇！你竟然悶不吭聲的躲在這裡。」《兒女英雄傳》第三回：「那張老頭兒聽了說道：『好哇！正是這話了。』」 |</v>
      </c>
    </row>
    <row r="12878" spans="1:44" hidden="1">
      <c r="A12878" s="1" t="s">
        <v>26488</v>
      </c>
      <c r="C12878" s="1">
        <v>1</v>
      </c>
      <c r="D12878" s="1" t="str">
        <f>"11337"</f>
        <v>11337</v>
      </c>
      <c r="E12878" s="1" t="s">
        <v>129</v>
      </c>
      <c r="F12878" s="1">
        <v>7</v>
      </c>
      <c r="G12878" s="1">
        <v>4</v>
      </c>
      <c r="H12878" s="1">
        <v>1</v>
      </c>
      <c r="I12878" s="1" t="s">
        <v>26609</v>
      </c>
      <c r="K12878" s="1" t="str">
        <f t="shared" ref="K12878:K12941" si="816">LEFT(I12878, 1)</f>
        <v>ㄨ</v>
      </c>
      <c r="L12878" s="1" t="str">
        <f t="shared" ref="L12878:L12941" si="817">MID(I12878, 2, 1)</f>
        <v>ㄛ</v>
      </c>
      <c r="N12878" s="3" t="s">
        <v>30574</v>
      </c>
      <c r="O12878" s="3"/>
      <c r="P12878" s="1" t="s">
        <v>20</v>
      </c>
      <c r="R12878" s="1" t="s">
        <v>26610</v>
      </c>
      <c r="V12878" s="1" t="s">
        <v>26611</v>
      </c>
      <c r="W12878" s="1" t="s">
        <v>26612</v>
      </c>
      <c r="AR12878" s="1" t="str">
        <f t="shared" si="815"/>
        <v>| [ㄨㄛˋ](ㄨㄛˋ.md) | [沃](沃.md) |  | wò | [動]
1.灌溉、澆。如：「引水沃田」。《左傳．僖公二十三年》：「秦伯納女五人，懷嬴與焉，奉匜沃盥，既而揮之。」漢．王充《論衡．偶會》：「使火燃以水沃之，可謂水賊火。」
2.參見「沃果兒」條。
[形]
土地溼潤肥美。如：「沃野千里」。《左傳．成公六年》：「必居郇、瑕氏之地，沃饒而近鹽，國利君樂，不可失也。」晉．陸機〈懷土賦〉：「背故都之沃衍，適新邑之丘墟。」
[名]
姓。如漢代有沃焦。 |</v>
      </c>
    </row>
    <row r="12879" spans="1:44" hidden="1">
      <c r="A12879" s="1" t="s">
        <v>26613</v>
      </c>
      <c r="C12879" s="1">
        <v>1</v>
      </c>
      <c r="D12879" s="1" t="str">
        <f>"11338"</f>
        <v>11338</v>
      </c>
      <c r="E12879" s="1" t="s">
        <v>8899</v>
      </c>
      <c r="F12879" s="1">
        <v>8</v>
      </c>
      <c r="G12879" s="1">
        <v>2</v>
      </c>
      <c r="H12879" s="1">
        <v>0</v>
      </c>
      <c r="I12879" s="1" t="s">
        <v>26609</v>
      </c>
      <c r="K12879" s="1" t="str">
        <f t="shared" si="816"/>
        <v>ㄨ</v>
      </c>
      <c r="L12879" s="1" t="str">
        <f t="shared" si="817"/>
        <v>ㄛ</v>
      </c>
      <c r="N12879" s="3" t="s">
        <v>30574</v>
      </c>
      <c r="O12879" s="3"/>
      <c r="P12879" s="1" t="s">
        <v>20</v>
      </c>
      <c r="R12879" s="1" t="s">
        <v>26610</v>
      </c>
      <c r="V12879" s="1" t="s">
        <v>26614</v>
      </c>
      <c r="AR12879" s="1" t="str">
        <f t="shared" si="815"/>
        <v>| [ㄨㄛˋ](ㄨㄛˋ.md) | [臥](臥.md) |  | wò | [動]
1.躺下、倒下。如：「仰臥」。唐．王翰〈涼州詞〉二首之一：「醉臥沙場君莫笑，古來征戰幾人回。」唐．杜牧〈秋夕〉詩：「天階夜色涼如水，臥看牽牛織女星。」
2.睡覺、休息。《史記．卷六五．孫子吳起傳》：「臥不設席，行不騎乘。」唐．柳宗元〈始得西山宴游記〉：「醉則更相枕而臥，臥而夢。」
3.趴伏、倒伏。如：「雞臥在草上。」《南史．卷五一．梁宗室傳上．吳平侯景傳》：「或遇風雨，仆臥中路。」
4.橫置、橫陳。唐．杜牧〈阿房宮賦〉：「長橋臥波，未雲何龍。」
5.隱居、遁隱。《晉書．卷七九．謝安傳》：「卿累違朝旨，高臥東山。」唐．李白〈送梁四歸東平〉詩：「莫學東山臥，參差老謝安。」
[形]
供睡覺或休息用的。如：「臥室」、「臥房」、「臥鋪」。 |</v>
      </c>
    </row>
    <row r="12880" spans="1:44" hidden="1">
      <c r="A12880" s="1" t="s">
        <v>26615</v>
      </c>
      <c r="C12880" s="1">
        <v>1</v>
      </c>
      <c r="D12880" s="1" t="str">
        <f>"11339"</f>
        <v>11339</v>
      </c>
      <c r="E12880" s="1" t="s">
        <v>129</v>
      </c>
      <c r="F12880" s="1">
        <v>11</v>
      </c>
      <c r="G12880" s="1">
        <v>8</v>
      </c>
      <c r="H12880" s="1">
        <v>0</v>
      </c>
      <c r="I12880" s="1" t="s">
        <v>26609</v>
      </c>
      <c r="K12880" s="1" t="str">
        <f t="shared" si="816"/>
        <v>ㄨ</v>
      </c>
      <c r="L12880" s="1" t="str">
        <f t="shared" si="817"/>
        <v>ㄛ</v>
      </c>
      <c r="N12880" s="3" t="s">
        <v>30574</v>
      </c>
      <c r="O12880" s="3"/>
      <c r="P12880" s="1" t="s">
        <v>20</v>
      </c>
      <c r="R12880" s="1" t="s">
        <v>26610</v>
      </c>
      <c r="V12880" s="1" t="s">
        <v>26616</v>
      </c>
      <c r="AR12880" s="1" t="str">
        <f t="shared" si="815"/>
        <v>| [ㄨㄛˋ](ㄨㄛˋ.md) | [涴](涴.md) |  | wò | [動]
汙染、弄髒。同「汙」。《廣韻．去聲．過韻》：「涴，泥著物也，亦作汙。」唐．杜甫〈虢國夫人〉詩：「卻嫌脂粉涴顏色，澹掃蛾眉朝至尊。」 |</v>
      </c>
    </row>
    <row r="12881" spans="1:44" hidden="1">
      <c r="A12881" s="1" t="s">
        <v>26617</v>
      </c>
      <c r="C12881" s="1">
        <v>1</v>
      </c>
      <c r="D12881" s="1" t="str">
        <f>"11340"</f>
        <v>11340</v>
      </c>
      <c r="E12881" s="1" t="s">
        <v>114</v>
      </c>
      <c r="F12881" s="1">
        <v>11</v>
      </c>
      <c r="G12881" s="1">
        <v>9</v>
      </c>
      <c r="H12881" s="1">
        <v>0</v>
      </c>
      <c r="I12881" s="1" t="s">
        <v>26609</v>
      </c>
      <c r="K12881" s="1" t="str">
        <f t="shared" si="816"/>
        <v>ㄨ</v>
      </c>
      <c r="L12881" s="1" t="str">
        <f t="shared" si="817"/>
        <v>ㄛ</v>
      </c>
      <c r="N12881" s="3" t="s">
        <v>30574</v>
      </c>
      <c r="O12881" s="3"/>
      <c r="P12881" s="1" t="s">
        <v>20</v>
      </c>
      <c r="R12881" s="1" t="s">
        <v>26610</v>
      </c>
      <c r="V12881" s="1" t="s">
        <v>26618</v>
      </c>
      <c r="AR12881" s="1" t="str">
        <f t="shared" si="815"/>
        <v>| [ㄨㄛˋ](ㄨㄛˋ.md) | [偓](偓.md) |  | wò | [形]
拘束的樣子。《玉篇．人部》：「偓，促拘之貌。」 |</v>
      </c>
    </row>
    <row r="12882" spans="1:44" hidden="1">
      <c r="A12882" s="1" t="s">
        <v>26619</v>
      </c>
      <c r="C12882" s="1">
        <v>1</v>
      </c>
      <c r="D12882" s="1" t="str">
        <f>"11341"</f>
        <v>11341</v>
      </c>
      <c r="E12882" s="1" t="s">
        <v>129</v>
      </c>
      <c r="F12882" s="1">
        <v>12</v>
      </c>
      <c r="G12882" s="1">
        <v>9</v>
      </c>
      <c r="H12882" s="1">
        <v>0</v>
      </c>
      <c r="I12882" s="1" t="s">
        <v>26609</v>
      </c>
      <c r="K12882" s="1" t="str">
        <f t="shared" si="816"/>
        <v>ㄨ</v>
      </c>
      <c r="L12882" s="1" t="str">
        <f t="shared" si="817"/>
        <v>ㄛ</v>
      </c>
      <c r="N12882" s="3" t="s">
        <v>30574</v>
      </c>
      <c r="O12882" s="3"/>
      <c r="P12882" s="1" t="s">
        <v>20</v>
      </c>
      <c r="R12882" s="1" t="s">
        <v>26610</v>
      </c>
      <c r="V12882" s="1" t="s">
        <v>26620</v>
      </c>
      <c r="AR12882" s="1" t="str">
        <f t="shared" si="815"/>
        <v>| [ㄨㄛˋ](ㄨㄛˋ.md) | [渥](渥.md) |  | wò | [動]
沾潤、沾濡。《說文解字．水部》：「渥，霑也。」
[形]
深重、濃厚。漢．賈誼〈上疏陳政事〉：「高皇帝以明聖威武即天子位，割膏腴之地以王諸公，多者百餘城，少者乃三四十縣，德至渥也。」《文選．李密．陳情表》：「過蒙拔擢，寵命優渥，豈敢盤桓，有所希冀？」 |</v>
      </c>
    </row>
    <row r="12883" spans="1:44" hidden="1">
      <c r="A12883" s="1" t="s">
        <v>26621</v>
      </c>
      <c r="C12883" s="1">
        <v>1</v>
      </c>
      <c r="D12883" s="1" t="str">
        <f>"11342"</f>
        <v>11342</v>
      </c>
      <c r="E12883" s="1" t="s">
        <v>24</v>
      </c>
      <c r="F12883" s="1">
        <v>12</v>
      </c>
      <c r="G12883" s="1">
        <v>9</v>
      </c>
      <c r="H12883" s="1">
        <v>0</v>
      </c>
      <c r="I12883" s="1" t="s">
        <v>26609</v>
      </c>
      <c r="K12883" s="1" t="str">
        <f t="shared" si="816"/>
        <v>ㄨ</v>
      </c>
      <c r="L12883" s="1" t="str">
        <f t="shared" si="817"/>
        <v>ㄛ</v>
      </c>
      <c r="N12883" s="3" t="s">
        <v>30574</v>
      </c>
      <c r="O12883" s="3"/>
      <c r="P12883" s="1" t="s">
        <v>20</v>
      </c>
      <c r="R12883" s="1" t="s">
        <v>26610</v>
      </c>
      <c r="V12883" s="1" t="s">
        <v>26622</v>
      </c>
      <c r="AR12883" s="1" t="str">
        <f t="shared" si="815"/>
        <v>| [ㄨㄛˋ](ㄨㄛˋ.md) | [握](握.md) |  | wò | [動]
1.用手掌執持或抓緊。如：「握筆」、「握住」、「緊握雙手」。南朝宋．劉義慶《世說新語．言語》：「庾法暢造庾太尉，握麈尾至佳。」
2.掌管、控制。如：「掌握」、「把握」。《文選．揚雄．解嘲》：「旦握權則為卿相，夕失勢則為匹夫。」唐．皮日休〈十原系述．原化〉：「率邪以禦眾，握亂以治天下。」
[名]
量詞。計算一手抓滿的數量的單位。相當於「把」。如：「一握沙子」。明．徐弘祖《徐霞客遊記．卷一下．遊雁宕山日記》：「寺後覓方竹數握，細如枝。」 |</v>
      </c>
    </row>
    <row r="12884" spans="1:44" hidden="1">
      <c r="A12884" s="1" t="s">
        <v>24170</v>
      </c>
      <c r="C12884" s="1">
        <v>1</v>
      </c>
      <c r="D12884" s="1" t="str">
        <f>"11343"</f>
        <v>11343</v>
      </c>
      <c r="E12884" s="1" t="s">
        <v>28</v>
      </c>
      <c r="F12884" s="1">
        <v>12</v>
      </c>
      <c r="G12884" s="1">
        <v>9</v>
      </c>
      <c r="H12884" s="1">
        <v>1</v>
      </c>
      <c r="I12884" s="1" t="s">
        <v>26609</v>
      </c>
      <c r="K12884" s="1" t="str">
        <f t="shared" si="816"/>
        <v>ㄨ</v>
      </c>
      <c r="L12884" s="1" t="str">
        <f t="shared" si="817"/>
        <v>ㄛ</v>
      </c>
      <c r="N12884" s="3" t="s">
        <v>30574</v>
      </c>
      <c r="O12884" s="3"/>
      <c r="P12884" s="1" t="s">
        <v>20</v>
      </c>
      <c r="R12884" s="1" t="s">
        <v>26610</v>
      </c>
      <c r="V12884" s="1" t="s">
        <v>26623</v>
      </c>
      <c r="W12884" s="1" t="s">
        <v>26624</v>
      </c>
      <c r="AR12884" s="1" t="str">
        <f t="shared" si="815"/>
        <v>| [ㄨㄛˋ](ㄨㄛˋ.md) | [喔](喔.md) |  | wò | [擬]_x000D_
形容公雞的叫聲。《說文解字．口部》：「喔，雞聲也。」唐．許渾〈秋日行次關西〉詩：「早霜雞喔喔，殘月馬蕭蕭。」《老殘遊記》第一一回：「聽窗外晨雞已經喔喔的啼了。」 |</v>
      </c>
    </row>
    <row r="12885" spans="1:44" hidden="1">
      <c r="A12885" s="1" t="s">
        <v>26625</v>
      </c>
      <c r="C12885" s="1">
        <v>1</v>
      </c>
      <c r="D12885" s="1" t="str">
        <f>"11344"</f>
        <v>11344</v>
      </c>
      <c r="E12885" s="1" t="s">
        <v>222</v>
      </c>
      <c r="F12885" s="1">
        <v>12</v>
      </c>
      <c r="G12885" s="1">
        <v>9</v>
      </c>
      <c r="H12885" s="1">
        <v>0</v>
      </c>
      <c r="I12885" s="1" t="s">
        <v>26609</v>
      </c>
      <c r="K12885" s="1" t="str">
        <f t="shared" si="816"/>
        <v>ㄨ</v>
      </c>
      <c r="L12885" s="1" t="str">
        <f t="shared" si="817"/>
        <v>ㄛ</v>
      </c>
      <c r="N12885" s="3" t="s">
        <v>30574</v>
      </c>
      <c r="O12885" s="3"/>
      <c r="P12885" s="1" t="s">
        <v>20</v>
      </c>
      <c r="R12885" s="1" t="s">
        <v>26610</v>
      </c>
      <c r="V12885" s="1" t="s">
        <v>26626</v>
      </c>
      <c r="AR12885" s="1" t="str">
        <f t="shared" si="815"/>
        <v>| [ㄨㄛˋ](ㄨㄛˋ.md) | [幄](幄.md) |  | wò | [名]
帳幕。《史記．卷三二．齊太公世家》：「子我在幄，出迎之，遂入，閉門。」《資治通鑑．卷一九八．唐紀十四．太宗貞觀十九年》：「上臨水設幄受其降，仍賜之食，八十以上賜帛有差。」 |</v>
      </c>
    </row>
    <row r="12886" spans="1:44" hidden="1">
      <c r="A12886" s="1" t="s">
        <v>26627</v>
      </c>
      <c r="C12886" s="1">
        <v>1</v>
      </c>
      <c r="D12886" s="1" t="str">
        <f>"11345"</f>
        <v>11345</v>
      </c>
      <c r="E12886" s="1" t="s">
        <v>68</v>
      </c>
      <c r="F12886" s="1">
        <v>13</v>
      </c>
      <c r="G12886" s="1">
        <v>9</v>
      </c>
      <c r="H12886" s="1">
        <v>0</v>
      </c>
      <c r="I12886" s="1" t="s">
        <v>26609</v>
      </c>
      <c r="K12886" s="1" t="str">
        <f t="shared" si="816"/>
        <v>ㄨ</v>
      </c>
      <c r="L12886" s="1" t="str">
        <f t="shared" si="817"/>
        <v>ㄛ</v>
      </c>
      <c r="N12886" s="3" t="s">
        <v>30574</v>
      </c>
      <c r="O12886" s="3"/>
      <c r="P12886" s="1" t="s">
        <v>20</v>
      </c>
      <c r="R12886" s="1" t="s">
        <v>26610</v>
      </c>
      <c r="V12886" s="1" t="s">
        <v>26628</v>
      </c>
      <c r="AR12886" s="1" t="str">
        <f t="shared" si="815"/>
        <v>| [ㄨㄛˋ](ㄨㄛˋ.md) | [腛](腛.md) |  | wò | [名]
豐厚的脂肪。《玉篇．肉部》：「腛，厚脂也。」
[形]
豐厚的。《周禮．冬官考工記．鮑人》：「欲其柔滑而腛脂之，則需。」 |</v>
      </c>
    </row>
    <row r="12887" spans="1:44" hidden="1">
      <c r="A12887" s="1" t="s">
        <v>26629</v>
      </c>
      <c r="C12887" s="1">
        <v>1</v>
      </c>
      <c r="D12887" s="1" t="str">
        <f>"11346"</f>
        <v>11346</v>
      </c>
      <c r="E12887" s="1" t="s">
        <v>592</v>
      </c>
      <c r="F12887" s="1">
        <v>24</v>
      </c>
      <c r="G12887" s="1">
        <v>9</v>
      </c>
      <c r="H12887" s="1">
        <v>0</v>
      </c>
      <c r="I12887" s="1" t="s">
        <v>26609</v>
      </c>
      <c r="K12887" s="1" t="str">
        <f t="shared" si="816"/>
        <v>ㄨ</v>
      </c>
      <c r="L12887" s="1" t="str">
        <f t="shared" si="817"/>
        <v>ㄛ</v>
      </c>
      <c r="N12887" s="3" t="s">
        <v>30574</v>
      </c>
      <c r="O12887" s="3"/>
      <c r="P12887" s="1" t="s">
        <v>20</v>
      </c>
      <c r="R12887" s="1" t="s">
        <v>26610</v>
      </c>
      <c r="V12887" s="1" t="s">
        <v>26630</v>
      </c>
      <c r="AR12887" s="1" t="str">
        <f t="shared" si="815"/>
        <v>| [ㄨㄛˋ](ㄨㄛˋ.md) | [齷](齷.md) |  | wò | 參見「齷齪」條。 |</v>
      </c>
    </row>
    <row r="12888" spans="1:44" hidden="1">
      <c r="A12888" s="1" t="s">
        <v>10536</v>
      </c>
      <c r="C12888" s="1">
        <v>1</v>
      </c>
      <c r="D12888" s="1" t="str">
        <f>"11347"</f>
        <v>11347</v>
      </c>
      <c r="E12888" s="1" t="s">
        <v>4869</v>
      </c>
      <c r="F12888" s="1">
        <v>14</v>
      </c>
      <c r="G12888" s="1">
        <v>10</v>
      </c>
      <c r="H12888" s="1">
        <v>1</v>
      </c>
      <c r="I12888" s="1" t="s">
        <v>26609</v>
      </c>
      <c r="K12888" s="1" t="str">
        <f t="shared" si="816"/>
        <v>ㄨ</v>
      </c>
      <c r="L12888" s="1" t="str">
        <f t="shared" si="817"/>
        <v>ㄛ</v>
      </c>
      <c r="N12888" s="3" t="s">
        <v>30574</v>
      </c>
      <c r="O12888" s="3"/>
      <c r="P12888" s="1" t="s">
        <v>20</v>
      </c>
      <c r="R12888" s="1" t="s">
        <v>26610</v>
      </c>
      <c r="V12888" s="1" t="s">
        <v>26631</v>
      </c>
      <c r="W12888" s="1" t="s">
        <v>26632</v>
      </c>
      <c r="AR12888" s="1" t="str">
        <f t="shared" si="815"/>
        <v>| [ㄨㄛˋ](ㄨㄛˋ.md) | [斡](斡.md) |  | wò | [名]
1.瓢柄。《說文解字．斗部》：「斡，蠡柄也。」
2.姓。如唐代有斡道中。
[動]
運轉、旋轉。《說文解字．斗部》「斡」字．清．段玉裁．注：「必執其柄而後可以挹物，執其柄則運旋在我，故謂之斡，引申之，凡執柄樞轉運皆謂之斡。」如：「居中斡旋」。《文選．賈誼．鵩鳥賦》：「斡流而遷兮，或推而還。」 |</v>
      </c>
    </row>
    <row r="12889" spans="1:44" hidden="1">
      <c r="A12889" s="1" t="s">
        <v>12292</v>
      </c>
      <c r="C12889" s="1">
        <v>1</v>
      </c>
      <c r="D12889" s="1" t="str">
        <f>"11348"</f>
        <v>11348</v>
      </c>
      <c r="E12889" s="1" t="s">
        <v>5383</v>
      </c>
      <c r="F12889" s="1">
        <v>18</v>
      </c>
      <c r="G12889" s="1">
        <v>10</v>
      </c>
      <c r="H12889" s="1">
        <v>2</v>
      </c>
      <c r="I12889" s="1" t="s">
        <v>26609</v>
      </c>
      <c r="K12889" s="1" t="str">
        <f t="shared" si="816"/>
        <v>ㄨ</v>
      </c>
      <c r="L12889" s="1" t="str">
        <f t="shared" si="817"/>
        <v>ㄛ</v>
      </c>
      <c r="N12889" s="3" t="s">
        <v>30574</v>
      </c>
      <c r="O12889" s="3"/>
      <c r="P12889" s="1" t="s">
        <v>110</v>
      </c>
      <c r="R12889" s="1" t="s">
        <v>26610</v>
      </c>
      <c r="V12889" s="1" t="s">
        <v>111</v>
      </c>
      <c r="W12889" s="1" t="s">
        <v>26633</v>
      </c>
      <c r="AR12889" s="1" t="str">
        <f t="shared" si="815"/>
        <v>| [ㄨㄛˋ](ㄨㄛˋ.md) | [雘](雘.md) |  | wò | (一)之又音。 |</v>
      </c>
    </row>
    <row r="12890" spans="1:44" hidden="1">
      <c r="A12890" s="1" t="s">
        <v>12295</v>
      </c>
      <c r="C12890" s="1">
        <v>1</v>
      </c>
      <c r="D12890" s="1" t="str">
        <f>"11349"</f>
        <v>11349</v>
      </c>
      <c r="E12890" s="1" t="s">
        <v>122</v>
      </c>
      <c r="F12890" s="1">
        <v>19</v>
      </c>
      <c r="G12890" s="1">
        <v>14</v>
      </c>
      <c r="H12890" s="1">
        <v>2</v>
      </c>
      <c r="I12890" s="1" t="s">
        <v>26609</v>
      </c>
      <c r="K12890" s="1" t="str">
        <f t="shared" si="816"/>
        <v>ㄨ</v>
      </c>
      <c r="L12890" s="1" t="str">
        <f t="shared" si="817"/>
        <v>ㄛ</v>
      </c>
      <c r="N12890" s="3" t="s">
        <v>30574</v>
      </c>
      <c r="O12890" s="3"/>
      <c r="P12890" s="1" t="s">
        <v>110</v>
      </c>
      <c r="R12890" s="1" t="s">
        <v>26610</v>
      </c>
      <c r="V12890" s="1" t="s">
        <v>111</v>
      </c>
      <c r="W12890" s="1" t="s">
        <v>26634</v>
      </c>
      <c r="AR12890" s="1" t="str">
        <f t="shared" si="815"/>
        <v>| [ㄨㄛˋ](ㄨㄛˋ.md) | [矱](矱.md) |  | wò | (一)之又音。 |</v>
      </c>
    </row>
    <row r="12891" spans="1:44" hidden="1">
      <c r="A12891" s="1" t="s">
        <v>12300</v>
      </c>
      <c r="C12891" s="1">
        <v>1</v>
      </c>
      <c r="D12891" s="1" t="str">
        <f>"11350"</f>
        <v>11350</v>
      </c>
      <c r="E12891" s="1" t="s">
        <v>679</v>
      </c>
      <c r="F12891" s="1">
        <v>20</v>
      </c>
      <c r="G12891" s="1">
        <v>14</v>
      </c>
      <c r="H12891" s="1">
        <v>2</v>
      </c>
      <c r="I12891" s="1" t="s">
        <v>26609</v>
      </c>
      <c r="K12891" s="1" t="str">
        <f t="shared" si="816"/>
        <v>ㄨ</v>
      </c>
      <c r="L12891" s="1" t="str">
        <f t="shared" si="817"/>
        <v>ㄛ</v>
      </c>
      <c r="N12891" s="3" t="s">
        <v>30574</v>
      </c>
      <c r="O12891" s="3"/>
      <c r="P12891" s="1" t="s">
        <v>110</v>
      </c>
      <c r="R12891" s="1" t="s">
        <v>26610</v>
      </c>
      <c r="V12891" s="1" t="s">
        <v>111</v>
      </c>
      <c r="W12891" s="1" t="s">
        <v>26635</v>
      </c>
      <c r="AR12891" s="1" t="str">
        <f t="shared" si="815"/>
        <v>| [ㄨㄛˋ](ㄨㄛˋ.md) | [蠖](蠖.md) |  | wò | (一)之又音。 |</v>
      </c>
    </row>
    <row r="12892" spans="1:44" hidden="1">
      <c r="A12892" s="1" t="s">
        <v>24238</v>
      </c>
      <c r="C12892" s="1">
        <v>1</v>
      </c>
      <c r="D12892" s="1" t="str">
        <f>"11333"</f>
        <v>11333</v>
      </c>
      <c r="E12892" s="1" t="s">
        <v>4785</v>
      </c>
      <c r="F12892" s="1">
        <v>7</v>
      </c>
      <c r="G12892" s="1">
        <v>3</v>
      </c>
      <c r="H12892" s="1">
        <v>1</v>
      </c>
      <c r="I12892" s="1" t="s">
        <v>26599</v>
      </c>
      <c r="K12892" s="1" t="str">
        <f t="shared" si="816"/>
        <v>ㄨ</v>
      </c>
      <c r="L12892" s="1" t="str">
        <f t="shared" si="817"/>
        <v>ㄛ</v>
      </c>
      <c r="N12892" s="3" t="s">
        <v>30576</v>
      </c>
      <c r="O12892" s="3"/>
      <c r="P12892" s="1" t="s">
        <v>388</v>
      </c>
      <c r="R12892" s="1" t="s">
        <v>26600</v>
      </c>
      <c r="V12892" s="1" t="s">
        <v>26601</v>
      </c>
      <c r="W12892" s="1" t="s">
        <v>26602</v>
      </c>
      <c r="AR12892" s="1" t="str">
        <f t="shared" si="815"/>
        <v>| [ㄨㄛˇ](ㄨㄛˇ.md) | [我](我.md) |  | wǒ | [代]
1.自稱。《易經．中孚卦．九二》：「我有好爵，吾與爾靡之。」《詩經．小雅．采薇》：「昔我往矣，楊柳依依；今我來思，雨雪霏霏。」
2.自稱己方。《左傳．莊公十年》：「春，齊師伐我。」《漢書．卷五四．李廣傳》：「我軍雖煩擾，虜亦不得犯我。」
[形]
表示親切之意的語詞。《論語．述而》：「述而不作，信而好古，竊比於我老彭。」漢．曹操〈步出夏門行〉：「經過至我碣石，心惆悵我東海。」
[名]
1.私心、私意。如：「大公無我」。《論語．子罕》：「毋意，毋必，毋固，毋我。」
2.姓。如戰國時有我子。 |</v>
      </c>
    </row>
    <row r="12893" spans="1:44" hidden="1">
      <c r="A12893" s="1" t="s">
        <v>26584</v>
      </c>
      <c r="C12893" s="1">
        <v>1</v>
      </c>
      <c r="D12893" s="1" t="str">
        <f>"11334"</f>
        <v>11334</v>
      </c>
      <c r="E12893" s="1" t="s">
        <v>114</v>
      </c>
      <c r="F12893" s="1">
        <v>10</v>
      </c>
      <c r="G12893" s="1">
        <v>8</v>
      </c>
      <c r="H12893" s="1">
        <v>3</v>
      </c>
      <c r="I12893" s="1" t="s">
        <v>26599</v>
      </c>
      <c r="K12893" s="1" t="str">
        <f t="shared" si="816"/>
        <v>ㄨ</v>
      </c>
      <c r="L12893" s="1" t="str">
        <f t="shared" si="817"/>
        <v>ㄛ</v>
      </c>
      <c r="N12893" s="3" t="s">
        <v>30576</v>
      </c>
      <c r="O12893" s="3"/>
      <c r="P12893" s="1" t="s">
        <v>20</v>
      </c>
      <c r="R12893" s="1" t="s">
        <v>26600</v>
      </c>
      <c r="V12893" s="1" t="s">
        <v>26603</v>
      </c>
      <c r="W12893" s="1" t="s">
        <v>26604</v>
      </c>
      <c r="AR12893" s="1" t="str">
        <f t="shared" si="815"/>
        <v>| [ㄨㄛˇ](ㄨㄛˇ.md) | [倭](倭.md) |  | wǒ | [名]
倭墮：髮髻歪在一側的髮式。《集韻．上聲．果韻》：「倭，倭墮，髻貌。」《樂府詩集．卷二八．相和歌辭三．古辭．陌上桑》：「頭上倭墮髻，耳中明月珠。」 |</v>
      </c>
    </row>
    <row r="12894" spans="1:44" hidden="1">
      <c r="A12894" s="1" t="s">
        <v>26605</v>
      </c>
      <c r="C12894" s="1">
        <v>1</v>
      </c>
      <c r="D12894" s="1" t="str">
        <f>"11335"</f>
        <v>11335</v>
      </c>
      <c r="E12894" s="1" t="s">
        <v>534</v>
      </c>
      <c r="F12894" s="1">
        <v>11</v>
      </c>
      <c r="G12894" s="1">
        <v>8</v>
      </c>
      <c r="H12894" s="1">
        <v>0</v>
      </c>
      <c r="I12894" s="1" t="s">
        <v>26599</v>
      </c>
      <c r="K12894" s="1" t="str">
        <f t="shared" si="816"/>
        <v>ㄨ</v>
      </c>
      <c r="L12894" s="1" t="str">
        <f t="shared" si="817"/>
        <v>ㄛ</v>
      </c>
      <c r="N12894" s="3" t="s">
        <v>30576</v>
      </c>
      <c r="O12894" s="3"/>
      <c r="P12894" s="1" t="s">
        <v>20</v>
      </c>
      <c r="R12894" s="1" t="s">
        <v>26600</v>
      </c>
      <c r="V12894" s="1" t="s">
        <v>26606</v>
      </c>
      <c r="AR12894" s="1" t="str">
        <f t="shared" si="815"/>
        <v>| [ㄨㄛˇ](ㄨㄛˇ.md) | [婑](婑.md) |  | wǒ | 參見「婑媠」條。 |</v>
      </c>
    </row>
    <row r="12895" spans="1:44" hidden="1">
      <c r="A12895" s="1" t="s">
        <v>26607</v>
      </c>
      <c r="C12895" s="1">
        <v>1</v>
      </c>
      <c r="D12895" s="1" t="str">
        <f>"11336"</f>
        <v>11336</v>
      </c>
      <c r="E12895" s="1" t="s">
        <v>1078</v>
      </c>
      <c r="F12895" s="1">
        <v>18</v>
      </c>
      <c r="G12895" s="1">
        <v>8</v>
      </c>
      <c r="H12895" s="1">
        <v>0</v>
      </c>
      <c r="I12895" s="1" t="s">
        <v>26599</v>
      </c>
      <c r="K12895" s="1" t="str">
        <f t="shared" si="816"/>
        <v>ㄨ</v>
      </c>
      <c r="L12895" s="1" t="str">
        <f t="shared" si="817"/>
        <v>ㄛ</v>
      </c>
      <c r="N12895" s="3" t="s">
        <v>30576</v>
      </c>
      <c r="O12895" s="3"/>
      <c r="P12895" s="1" t="s">
        <v>20</v>
      </c>
      <c r="R12895" s="1" t="s">
        <v>26600</v>
      </c>
      <c r="V12895" s="1" t="s">
        <v>26608</v>
      </c>
      <c r="AR12895" s="1" t="str">
        <f t="shared" si="815"/>
        <v>| [ㄨㄛˇ](ㄨㄛˇ.md) | [䰀](䰀.md) |  | wǒ | 參見「䰀鬌」條。 |</v>
      </c>
    </row>
    <row r="12896" spans="1:44" hidden="1">
      <c r="A12896" s="1" t="s">
        <v>26645</v>
      </c>
      <c r="C12896" s="1">
        <v>1</v>
      </c>
      <c r="D12896" s="1" t="str">
        <f>"11353"</f>
        <v>11353</v>
      </c>
      <c r="E12896" s="1" t="s">
        <v>3347</v>
      </c>
      <c r="F12896" s="1">
        <v>5</v>
      </c>
      <c r="G12896" s="1">
        <v>2</v>
      </c>
      <c r="H12896" s="1">
        <v>0</v>
      </c>
      <c r="I12896" s="1" t="s">
        <v>26646</v>
      </c>
      <c r="K12896" s="1" t="str">
        <f t="shared" si="816"/>
        <v>ㄨ</v>
      </c>
      <c r="L12896" s="1" t="str">
        <f t="shared" si="817"/>
        <v>ㄞ</v>
      </c>
      <c r="N12896" s="3" t="s">
        <v>30574</v>
      </c>
      <c r="O12896" s="3"/>
      <c r="P12896" s="1" t="s">
        <v>20</v>
      </c>
      <c r="R12896" s="1" t="s">
        <v>26647</v>
      </c>
      <c r="V12896" s="1" t="s">
        <v>26648</v>
      </c>
      <c r="AR12896" s="1" t="str">
        <f t="shared" si="815"/>
        <v>| [ㄨㄞˋ](ㄨㄞˋ.md) | [外](外.md) |  | wài | [名]_x000D_
1.不屬於某一定的範圍內均稱為「外」。相對於「內」而言。如：「內外」、「門外」、「屋外」。_x000D_
2.特指外國。如：「古今中外」、「對外貿易」。_x000D_
3.戲曲中的角色名稱，多扮演老年男子。清．孔尚任《桃花扇》第二五齣：「外扮沈公憲，淨扮張燕筑，小旦扮寇白門，丑扮鄭妥娘同上。」也稱為「老外」。_x000D_
[形]_x000D_
1.非自己所在或所屬的。如：「外幣」、「外地」、「外族」。_x000D_
2.稱母親、妻子、姊妹及女兒方面的親戚。如：「外家」、「外戚」、「外甥」。_x000D_
3.別的、其他的。如：「外一章」、「外一首」。《孟子．滕文公下》：「外人皆稱夫子好辯，敢問何也？」漢．王充《論衡．案書》：「國語，左氏之外傳也。」_x000D_
4.不是正式的。如：「外號」、「外史」。_x000D_
[動]_x000D_
1.疏遠。《易經．否卦》：「《彖》曰：內小人而外君子，小人道長，君子道消也。」《荀子．王霸》：「人主則外賢而偏舉，人臣則爭職而妒賢。」_x000D_
2.處於……之外。《國語．晉語六》：「今吾刑外乎大人，而忍於小民，將誰行武？」_x000D_
3.背叛。《管子．版法》：「驟令不行，民心乃外。」 |</v>
      </c>
    </row>
    <row r="12897" spans="1:44" hidden="1">
      <c r="A12897" s="1" t="s">
        <v>26636</v>
      </c>
      <c r="C12897" s="1">
        <v>1</v>
      </c>
      <c r="D12897" s="1" t="str">
        <f>"11352"</f>
        <v>11352</v>
      </c>
      <c r="E12897" s="1" t="s">
        <v>1495</v>
      </c>
      <c r="F12897" s="1">
        <v>9</v>
      </c>
      <c r="G12897" s="1">
        <v>5</v>
      </c>
      <c r="H12897" s="1">
        <v>2</v>
      </c>
      <c r="I12897" s="1" t="s">
        <v>26641</v>
      </c>
      <c r="K12897" s="1" t="str">
        <f t="shared" si="816"/>
        <v>ㄨ</v>
      </c>
      <c r="L12897" s="1" t="str">
        <f t="shared" si="817"/>
        <v>ㄞ</v>
      </c>
      <c r="N12897" s="3" t="s">
        <v>30576</v>
      </c>
      <c r="O12897" s="3"/>
      <c r="P12897" s="1" t="s">
        <v>20</v>
      </c>
      <c r="R12897" s="1" t="s">
        <v>26642</v>
      </c>
      <c r="V12897" s="1" t="s">
        <v>26643</v>
      </c>
      <c r="W12897" s="1" t="s">
        <v>26644</v>
      </c>
      <c r="AR12897" s="1" t="str">
        <f t="shared" si="815"/>
        <v>| [ㄨㄞˇ](ㄨㄞˇ.md) | [歪](歪.md) |  | wǎi | [動]
扭傷。如：「歪了腳」。 |</v>
      </c>
    </row>
    <row r="12898" spans="1:44" hidden="1">
      <c r="A12898" s="1" t="s">
        <v>26790</v>
      </c>
      <c r="C12898" s="1">
        <v>1</v>
      </c>
      <c r="D12898" s="1" t="str">
        <f>"11419"</f>
        <v>11419</v>
      </c>
      <c r="E12898" s="1" t="s">
        <v>139</v>
      </c>
      <c r="F12898" s="1">
        <v>5</v>
      </c>
      <c r="G12898" s="1">
        <v>1</v>
      </c>
      <c r="H12898" s="1">
        <v>0</v>
      </c>
      <c r="I12898" s="1" t="s">
        <v>26791</v>
      </c>
      <c r="K12898" s="1" t="str">
        <f t="shared" si="816"/>
        <v>ㄨ</v>
      </c>
      <c r="L12898" s="1" t="str">
        <f t="shared" si="817"/>
        <v>ㄟ</v>
      </c>
      <c r="N12898" s="3" t="s">
        <v>30574</v>
      </c>
      <c r="O12898" s="3"/>
      <c r="P12898" s="1" t="s">
        <v>20</v>
      </c>
      <c r="R12898" s="1" t="s">
        <v>26792</v>
      </c>
      <c r="V12898" s="1" t="s">
        <v>26793</v>
      </c>
      <c r="AR12898" s="1" t="str">
        <f t="shared" si="815"/>
        <v>| [ㄨㄟˋ](ㄨㄟˋ.md) | [未](未.md) |  | wèi | [名]
1.地支的第八位。
2.時辰名。約當下午一點到三點。
3.姓。如漢代有未央。
[副]
1.不。表示否定的意思。如：「火車誤點了，所以未能準時到達。」唐．溫庭筠〈楊柳〉詩八首之八：「塞門三月猶蕭索，縱有垂楊未覺春。」
2.沒有。如：「革命尚未成功，同志仍須努力。」《文選．諸葛亮．出師表》：「先帝創業未半，而中道崩殂。」《聊齋志異．卷六．蕭七》：「有幼女未字，欲充下陳，幸垂援拾。」
3.放於句末，表示疑問的意思。相當於「否」。唐．王維〈雜詩〉三首之二：「來日綺窗前，寒梅著花未？」宋．陸游〈劍門道中遇微雨〉詩：「此身合是詩人未？細雨騎驢入劍門！」 |</v>
      </c>
    </row>
    <row r="12899" spans="1:44" hidden="1">
      <c r="A12899" s="1" t="s">
        <v>26794</v>
      </c>
      <c r="C12899" s="1">
        <v>1</v>
      </c>
      <c r="D12899" s="1" t="str">
        <f>"11420"</f>
        <v>11420</v>
      </c>
      <c r="E12899" s="1" t="s">
        <v>28</v>
      </c>
      <c r="F12899" s="1">
        <v>8</v>
      </c>
      <c r="G12899" s="1">
        <v>5</v>
      </c>
      <c r="H12899" s="1">
        <v>0</v>
      </c>
      <c r="I12899" s="1" t="s">
        <v>26791</v>
      </c>
      <c r="K12899" s="1" t="str">
        <f t="shared" si="816"/>
        <v>ㄨ</v>
      </c>
      <c r="L12899" s="1" t="str">
        <f t="shared" si="817"/>
        <v>ㄟ</v>
      </c>
      <c r="N12899" s="3" t="s">
        <v>30574</v>
      </c>
      <c r="O12899" s="3"/>
      <c r="P12899" s="1" t="s">
        <v>20</v>
      </c>
      <c r="R12899" s="1" t="s">
        <v>26792</v>
      </c>
      <c r="V12899" s="1" t="s">
        <v>26795</v>
      </c>
      <c r="AR12899" s="1" t="str">
        <f t="shared" si="815"/>
        <v>| [ㄨㄟˋ](ㄨㄟˋ.md) | [味](味.md) |  | wèi | [名]
1.舌頭嘗東西所得到的感覺。如：「食不知味」、「酸、甜、苦、辣、鹹稱為五味。」《孫子．勢》：「味不過五，五味之變不可勝嘗也。」
2.鼻子聞東西所得到的感覺。如：「香味」、「怪味」、「臭味」。
3.感受、旨趣、意義。如：「趣味」、「禪味」。南朝梁．劉勰《文心雕龍．宗經》：「是以往者雖舊，餘味日新。」《紅樓夢》第一回：「滿紙荒唐言，一把辛酸淚，都云作者痴，誰解其中味？」
4.量詞。計算食物或中藥的單位。如：「菜五味」、「藥八味」。《左傳．哀公元年》：「昔闔盧食不二味，居不重席。」《儒林外史》第一一回：「改用一個丸劑的方子，加入幾味袪風的藥。」
5.菜餚。如：「山珍海味」。《後漢書．卷一．光武帝紀下》：「往年已敕郡國，異味不得有所獻御，今猶未止，非徒有豫養尊擇之勞。」
[動]
1.品嘗。《荀子．哀公》：「黼衣黻裳者不茹葷，非口不能味也，服使然也。」
2.研究、體察。如：「玩味」、「耐人尋味」。《文選．班固．答賓戲》：「委命供己，味道之腴。」《三國志．卷四五．蜀書．楊戲傳》：「抗志存義，味覽典文。」 |</v>
      </c>
    </row>
    <row r="12900" spans="1:44" hidden="1">
      <c r="A12900" s="1" t="s">
        <v>26796</v>
      </c>
      <c r="C12900" s="1">
        <v>1</v>
      </c>
      <c r="D12900" s="1" t="str">
        <f>"11421"</f>
        <v>11421</v>
      </c>
      <c r="E12900" s="1" t="s">
        <v>114</v>
      </c>
      <c r="F12900" s="1">
        <v>7</v>
      </c>
      <c r="G12900" s="1">
        <v>5</v>
      </c>
      <c r="H12900" s="1">
        <v>0</v>
      </c>
      <c r="I12900" s="1" t="s">
        <v>26791</v>
      </c>
      <c r="K12900" s="1" t="str">
        <f t="shared" si="816"/>
        <v>ㄨ</v>
      </c>
      <c r="L12900" s="1" t="str">
        <f t="shared" si="817"/>
        <v>ㄟ</v>
      </c>
      <c r="N12900" s="3" t="s">
        <v>30574</v>
      </c>
      <c r="O12900" s="3"/>
      <c r="P12900" s="1" t="s">
        <v>20</v>
      </c>
      <c r="R12900" s="1" t="s">
        <v>26792</v>
      </c>
      <c r="V12900" s="1" t="s">
        <v>26797</v>
      </c>
      <c r="AR12900" s="1" t="str">
        <f t="shared" si="815"/>
        <v>| [ㄨㄟˋ](ㄨㄟˋ.md) | [位](位.md) |  | wèi | [名]
1.所在的地方。如：「方位」、「座位」。《左傳．成公十七年》：「矯以戈殺駒伯苦成叔於其位。」
2.官職。如：「不計名位」。《論語．泰伯》：「不在其位，不謀其政。」唐．韓愈〈師說〉：「位卑則足羞，官盛則近諛。」
3.等級。如：「爵位」、「體位」。《周禮．天官．大宰》：「以八則治都鄙……四曰祿位，以馭其士。」
4.事物的準則。如：「單位」、「本位」。
5.對人的尊稱。如：「諸位」、「列位」、「幾位長輩」。《水滸傳》第一九回：「我有片言，不知眾位肯依我麼？」
6.量詞。計算人數的單位。多含敬意。如：「十位客人」、「五位老師」。
[動]
1.處、在。如：「中國位於亞洲的東南方。」《列子．天瑞》：「教化者不能違所宜，宜定者不出所位。」
2.安排。參見「位置」條。 |</v>
      </c>
    </row>
    <row r="12901" spans="1:44" hidden="1">
      <c r="A12901" s="1" t="s">
        <v>26697</v>
      </c>
      <c r="C12901" s="1">
        <v>1</v>
      </c>
      <c r="D12901" s="1" t="str">
        <f>"11422"</f>
        <v>11422</v>
      </c>
      <c r="E12901" s="1" t="s">
        <v>336</v>
      </c>
      <c r="F12901" s="1">
        <v>9</v>
      </c>
      <c r="G12901" s="1">
        <v>5</v>
      </c>
      <c r="H12901" s="1">
        <v>2</v>
      </c>
      <c r="I12901" s="1" t="s">
        <v>26791</v>
      </c>
      <c r="K12901" s="1" t="str">
        <f t="shared" si="816"/>
        <v>ㄨ</v>
      </c>
      <c r="L12901" s="1" t="str">
        <f t="shared" si="817"/>
        <v>ㄟ</v>
      </c>
      <c r="N12901" s="3" t="s">
        <v>30574</v>
      </c>
      <c r="O12901" s="3"/>
      <c r="P12901" s="1" t="s">
        <v>20</v>
      </c>
      <c r="R12901" s="1" t="s">
        <v>26792</v>
      </c>
      <c r="V12901" s="1" t="s">
        <v>26798</v>
      </c>
      <c r="W12901" s="1" t="s">
        <v>26799</v>
      </c>
      <c r="AR12901" s="1" t="str">
        <f t="shared" si="815"/>
        <v>| [ㄨㄟˋ](ㄨㄟˋ.md) | [為](為.md) |  | wèi | [介]_x000D_
1.因，表示原因。如：「為何不去？」「為什麼你不贊成？」《荀子．天論》：「天行有常，不為堯存，不為桀亡。」《老殘遊記》第一五回：「方纔為這一個毛丫頭的事，商議了半天，正經勾當，我的煙還沒吃好。」_x000D_
2.替、幫，用以引出動作的服務對象。如：「為民服務」、「為國增光」。《論語．學而》：「曾子曰：『吾日三省吾身：為人謀而不忠乎？與朋友交而不信乎？傳不習乎？』」《三國演義》第二一回：「吾面過君，又蒙丞相鈞語。今別無他議，公可速回，為我稟覆丞相。」_x000D_
3.與、同。《論語．衛靈公》：「道不同不相為謀。」北魏．酈道元《水經注．汾水注》：「辛貌醜，妻不為言，與之如皋，射雉雙中之則笑也。」晉．陶淵明〈桃花源記〉：「此中人語云，不足為外人道也。」唐．韓愈〈答李翊書〉：「不可不為生言之，生所謂立言者是也。」_x000D_
4.為了，表示行動的目的。如：「為正義而戰」。《樂府詩集．卷二五．橫吹曲辭五．古辭．木蘭詩二首之一》：「願為市鞍馬，從此替爺征。」《醒世恆言．卷一〇．劉小官雌雄兄弟》：「不忍之心，人皆有之。救人一命，勝造七級浮屠，若說報答，就是為利了。」_x000D_
[動]_x000D_
幫助。《詩經．大雅．鳧鷖》：「公尸燕飲，福祿來為。」《韓非子．二柄》：「越官則死，不當則罪，守業其官，所言者貞也，則群臣不得朋黨相為矣。」_x000D_
[副]_x000D_
將。《詩經．豳風．七月》：「嗟我婦子，曰為改歲，入此室處。」《孟子．梁惠王下》：「克告於君，君為來見也。」 |</v>
      </c>
    </row>
    <row r="12902" spans="1:44" hidden="1">
      <c r="A12902" s="1" t="s">
        <v>26800</v>
      </c>
      <c r="C12902" s="1">
        <v>1</v>
      </c>
      <c r="D12902" s="1" t="str">
        <f>"11423"</f>
        <v>11423</v>
      </c>
      <c r="E12902" s="1" t="s">
        <v>114</v>
      </c>
      <c r="F12902" s="1">
        <v>11</v>
      </c>
      <c r="G12902" s="1">
        <v>9</v>
      </c>
      <c r="H12902" s="1">
        <v>0</v>
      </c>
      <c r="I12902" s="1" t="s">
        <v>26791</v>
      </c>
      <c r="K12902" s="1" t="str">
        <f t="shared" si="816"/>
        <v>ㄨ</v>
      </c>
      <c r="L12902" s="1" t="str">
        <f t="shared" si="817"/>
        <v>ㄟ</v>
      </c>
      <c r="N12902" s="3" t="s">
        <v>30574</v>
      </c>
      <c r="O12902" s="3"/>
      <c r="P12902" s="1" t="s">
        <v>20</v>
      </c>
      <c r="R12902" s="1" t="s">
        <v>26792</v>
      </c>
      <c r="V12902" s="1" t="s">
        <v>26801</v>
      </c>
      <c r="AR12902" s="1" t="str">
        <f t="shared" si="815"/>
        <v>| [ㄨㄟˋ](ㄨㄟˋ.md) | [偽](偽.md) |  | wèi | [動]
人為。《荀子．性惡》：「人之性惡，其善者偽也。」漢．王充《論衡．明雩》：「天至賢矣，時未當雨，偽請求之，故妄下其雨，人君聽請之類也。」
[副]
假裝。《隋書．卷七〇．李密傳》：「密知化及糧且盡，因偽與和，以敝其眾。」
[形]
1.假的。如：「偽鈔」、「偽證」。
2.竊據的、不合法的。如：「偽政權」。《文選．李密．陳情表》：「臣少仕偽朝，歷職郎署。」唐．皮日休〈題後魏釋老志〉：「則收之為是，媚於偽齊之君耶。」 |</v>
      </c>
    </row>
    <row r="12903" spans="1:44" hidden="1">
      <c r="A12903" s="1" t="s">
        <v>26802</v>
      </c>
      <c r="C12903" s="1">
        <v>1</v>
      </c>
      <c r="D12903" s="1" t="str">
        <f>"11424"</f>
        <v>11424</v>
      </c>
      <c r="E12903" s="1" t="s">
        <v>753</v>
      </c>
      <c r="F12903" s="1">
        <v>9</v>
      </c>
      <c r="G12903" s="1">
        <v>4</v>
      </c>
      <c r="H12903" s="1">
        <v>0</v>
      </c>
      <c r="I12903" s="1" t="s">
        <v>26791</v>
      </c>
      <c r="K12903" s="1" t="str">
        <f t="shared" si="816"/>
        <v>ㄨ</v>
      </c>
      <c r="L12903" s="1" t="str">
        <f t="shared" si="817"/>
        <v>ㄟ</v>
      </c>
      <c r="N12903" s="3" t="s">
        <v>30574</v>
      </c>
      <c r="O12903" s="3"/>
      <c r="P12903" s="1" t="s">
        <v>20</v>
      </c>
      <c r="R12903" s="1" t="s">
        <v>26792</v>
      </c>
      <c r="V12903" s="1" t="s">
        <v>26803</v>
      </c>
      <c r="AR12903" s="1" t="str">
        <f t="shared" si="815"/>
        <v>| [ㄨㄟˋ](ㄨㄟˋ.md) | [畏](畏.md) |  | wèi | [動]
1.恐懼、害怕。如：「人言可畏」。《易經．震卦．象曰》：「雖凶無咎，畏鄰戒也。」《老子》第七四章：「民不畏死，奈何以死懼之？」
2.敬服。《論語．子罕》：「後生可畏。焉知來者之不如今也。」《漢書．卷三四．黥布傳》：「布善用兵，民素畏之。」
[形]
可怕的。《莊子．達生》：「夫畏塗者，十殺一人，則父子兄弟相戒也。」 |</v>
      </c>
    </row>
    <row r="12904" spans="1:44" hidden="1">
      <c r="A12904" s="1" t="s">
        <v>26804</v>
      </c>
      <c r="C12904" s="1">
        <v>1</v>
      </c>
      <c r="D12904" s="1" t="str">
        <f>"11425"</f>
        <v>11425</v>
      </c>
      <c r="E12904" s="1" t="s">
        <v>28</v>
      </c>
      <c r="F12904" s="1">
        <v>12</v>
      </c>
      <c r="G12904" s="1">
        <v>9</v>
      </c>
      <c r="H12904" s="1">
        <v>0</v>
      </c>
      <c r="I12904" s="1" t="s">
        <v>26791</v>
      </c>
      <c r="K12904" s="1" t="str">
        <f t="shared" si="816"/>
        <v>ㄨ</v>
      </c>
      <c r="L12904" s="1" t="str">
        <f t="shared" si="817"/>
        <v>ㄟ</v>
      </c>
      <c r="N12904" s="3" t="s">
        <v>30574</v>
      </c>
      <c r="O12904" s="3"/>
      <c r="P12904" s="1" t="s">
        <v>20</v>
      </c>
      <c r="R12904" s="1" t="s">
        <v>26792</v>
      </c>
      <c r="V12904" s="1" t="s">
        <v>26805</v>
      </c>
      <c r="AR12904" s="1" t="str">
        <f t="shared" si="815"/>
        <v>| [ㄨㄟˋ](ㄨㄟˋ.md) | [喂](喂.md) |  | wèi | [嘆]_x000D_
用來引起注意或招呼的語詞。如：「喂！你上哪兒去？」《永樂大典戲文三種．張協狀元．第八出》：「喂！客長，相待過嶺歇子。」《兒女英雄傳》第四回：「喂！有四百錢的酒錢呢！」_x000D_
[動]_x000D_
餵養。《元史．卷一九七．孝友列傳一．張恭》：「母有疾，恭手除溷穢，喂哺飲食，且嘗糞以驗疾勢。」《西遊記》第四回：「似堂尊到任之後，這等慇懃，喂得馬肥，只落得道聲『好』字。」《醒世姻緣傳》第二六回：「外面多多的盛出飯去，吃不了的，大盆傾在草裡喂馬。」 |</v>
      </c>
    </row>
    <row r="12905" spans="1:44" hidden="1">
      <c r="A12905" s="1" t="s">
        <v>26806</v>
      </c>
      <c r="C12905" s="1">
        <v>1</v>
      </c>
      <c r="D12905" s="1" t="str">
        <f>"11426"</f>
        <v>11426</v>
      </c>
      <c r="E12905" s="1" t="s">
        <v>193</v>
      </c>
      <c r="F12905" s="1">
        <v>17</v>
      </c>
      <c r="G12905" s="1">
        <v>9</v>
      </c>
      <c r="H12905" s="1">
        <v>0</v>
      </c>
      <c r="I12905" s="1" t="s">
        <v>26791</v>
      </c>
      <c r="K12905" s="1" t="str">
        <f t="shared" si="816"/>
        <v>ㄨ</v>
      </c>
      <c r="L12905" s="1" t="str">
        <f t="shared" si="817"/>
        <v>ㄟ</v>
      </c>
      <c r="N12905" s="3" t="s">
        <v>30574</v>
      </c>
      <c r="O12905" s="3"/>
      <c r="P12905" s="1" t="s">
        <v>20</v>
      </c>
      <c r="R12905" s="1" t="s">
        <v>26792</v>
      </c>
      <c r="V12905" s="1" t="s">
        <v>26807</v>
      </c>
      <c r="AR12905" s="1" t="str">
        <f t="shared" si="815"/>
        <v>| [ㄨㄟˋ](ㄨㄟˋ.md) | [餵](餵.md) |  | wèi | [動]_x000D_
1.將食物送進人的嘴裡。如：「餵奶」、「餵飯」。元．高文秀《黑旋風》第三折：「你看這呆廝，口裡只管篤篤喃喃的說著許多說話，既然有飯，快拏將來餵他些罷。」_x000D_
2.拿食物給動物吃。如：「餵雞」、「餵豬」。《文明小史》第四回：「到底人家的馬，漠不關心，並不當心餵草餵料。」 |</v>
      </c>
    </row>
    <row r="12906" spans="1:44" hidden="1">
      <c r="A12906" s="1" t="s">
        <v>26808</v>
      </c>
      <c r="C12906" s="1">
        <v>1</v>
      </c>
      <c r="D12906" s="1" t="str">
        <f>"11427"</f>
        <v>11427</v>
      </c>
      <c r="E12906" s="1" t="s">
        <v>68</v>
      </c>
      <c r="F12906" s="1">
        <v>9</v>
      </c>
      <c r="G12906" s="1">
        <v>5</v>
      </c>
      <c r="H12906" s="1">
        <v>0</v>
      </c>
      <c r="I12906" s="1" t="s">
        <v>26791</v>
      </c>
      <c r="K12906" s="1" t="str">
        <f t="shared" si="816"/>
        <v>ㄨ</v>
      </c>
      <c r="L12906" s="1" t="str">
        <f t="shared" si="817"/>
        <v>ㄟ</v>
      </c>
      <c r="N12906" s="3" t="s">
        <v>30574</v>
      </c>
      <c r="O12906" s="3"/>
      <c r="P12906" s="1" t="s">
        <v>20</v>
      </c>
      <c r="R12906" s="1" t="s">
        <v>26792</v>
      </c>
      <c r="V12906" s="1" t="s">
        <v>26809</v>
      </c>
      <c r="AR12906" s="1" t="str">
        <f t="shared" si="815"/>
        <v>| [ㄨㄟˋ](ㄨㄟˋ.md) | [胃](胃.md) |  | wèi | [名]
1.動物的消化器官之一。形狀像口袋，上端與食道相連，下端與十二指腸相連。能分泌胃液，消化食物。
2.姓。如明代有胃宗海。 |</v>
      </c>
    </row>
    <row r="12907" spans="1:44" hidden="1">
      <c r="A12907" s="1" t="s">
        <v>26810</v>
      </c>
      <c r="C12907" s="1">
        <v>1</v>
      </c>
      <c r="D12907" s="1" t="str">
        <f>"11428"</f>
        <v>11428</v>
      </c>
      <c r="E12907" s="1" t="s">
        <v>129</v>
      </c>
      <c r="F12907" s="1">
        <v>12</v>
      </c>
      <c r="G12907" s="1">
        <v>9</v>
      </c>
      <c r="H12907" s="1">
        <v>0</v>
      </c>
      <c r="I12907" s="1" t="s">
        <v>26791</v>
      </c>
      <c r="K12907" s="1" t="str">
        <f t="shared" si="816"/>
        <v>ㄨ</v>
      </c>
      <c r="L12907" s="1" t="str">
        <f t="shared" si="817"/>
        <v>ㄟ</v>
      </c>
      <c r="N12907" s="3" t="s">
        <v>30574</v>
      </c>
      <c r="O12907" s="3"/>
      <c r="P12907" s="1" t="s">
        <v>20</v>
      </c>
      <c r="R12907" s="1" t="s">
        <v>26792</v>
      </c>
      <c r="V12907" s="1" t="s">
        <v>26811</v>
      </c>
      <c r="AR12907" s="1" t="str">
        <f t="shared" si="815"/>
        <v>| [ㄨㄟˋ](ㄨㄟˋ.md) | [渭](渭.md) |  | wèi | 參見「渭河」條。 |</v>
      </c>
    </row>
    <row r="12908" spans="1:44" hidden="1">
      <c r="A12908" s="1" t="s">
        <v>26812</v>
      </c>
      <c r="C12908" s="1">
        <v>1</v>
      </c>
      <c r="D12908" s="1" t="str">
        <f>"11429"</f>
        <v>11429</v>
      </c>
      <c r="E12908" s="1" t="s">
        <v>534</v>
      </c>
      <c r="F12908" s="1">
        <v>12</v>
      </c>
      <c r="G12908" s="1">
        <v>9</v>
      </c>
      <c r="H12908" s="1">
        <v>0</v>
      </c>
      <c r="I12908" s="1" t="s">
        <v>26791</v>
      </c>
      <c r="K12908" s="1" t="str">
        <f t="shared" si="816"/>
        <v>ㄨ</v>
      </c>
      <c r="L12908" s="1" t="str">
        <f t="shared" si="817"/>
        <v>ㄟ</v>
      </c>
      <c r="N12908" s="3" t="s">
        <v>30574</v>
      </c>
      <c r="O12908" s="3"/>
      <c r="P12908" s="1" t="s">
        <v>20</v>
      </c>
      <c r="R12908" s="1" t="s">
        <v>26792</v>
      </c>
      <c r="V12908" s="1" t="s">
        <v>26813</v>
      </c>
      <c r="AR12908" s="1" t="str">
        <f t="shared" si="815"/>
        <v>| [ㄨㄟˋ](ㄨㄟˋ.md) | [媦](媦.md) |  | wèi | [名]
稱謂。楚人稱妹妹為「媦」。後來各地亦沿用。《公羊傳．桓公二年》：「若楚王之妻媦，無時焉可也。」《新唐書．卷八三．諸帝公主傳．世祖一女傳》：「同安公主，高祖同母媦也。」 |</v>
      </c>
    </row>
    <row r="12909" spans="1:44" hidden="1">
      <c r="A12909" s="1" t="s">
        <v>26814</v>
      </c>
      <c r="C12909" s="1">
        <v>1</v>
      </c>
      <c r="D12909" s="1" t="str">
        <f>"11430"</f>
        <v>11430</v>
      </c>
      <c r="E12909" s="1" t="s">
        <v>679</v>
      </c>
      <c r="F12909" s="1">
        <v>15</v>
      </c>
      <c r="G12909" s="1">
        <v>9</v>
      </c>
      <c r="H12909" s="1">
        <v>0</v>
      </c>
      <c r="I12909" s="1" t="s">
        <v>26791</v>
      </c>
      <c r="K12909" s="1" t="str">
        <f t="shared" si="816"/>
        <v>ㄨ</v>
      </c>
      <c r="L12909" s="1" t="str">
        <f t="shared" si="817"/>
        <v>ㄟ</v>
      </c>
      <c r="N12909" s="3" t="s">
        <v>30574</v>
      </c>
      <c r="O12909" s="3"/>
      <c r="P12909" s="1" t="s">
        <v>20</v>
      </c>
      <c r="R12909" s="1" t="s">
        <v>26792</v>
      </c>
      <c r="V12909" s="1" t="s">
        <v>26815</v>
      </c>
      <c r="AR12909" s="1" t="str">
        <f t="shared" si="815"/>
        <v>| [ㄨㄟˋ](ㄨㄟˋ.md) | [蝟](蝟.md) |  | wèi | [名]
動物名。脊椎動物哺乳綱食蟲目。形狀像鼠而較肥大，通體生毛，尖銳如針，能攢起如矢。穴土而居，晝伏夜出，以田間害蟲為食。俗稱為「刺蝟」。 |</v>
      </c>
    </row>
    <row r="12910" spans="1:44" hidden="1">
      <c r="A12910" s="1" t="s">
        <v>26816</v>
      </c>
      <c r="C12910" s="1">
        <v>1</v>
      </c>
      <c r="D12910" s="1" t="str">
        <f>"11431"</f>
        <v>11431</v>
      </c>
      <c r="E12910" s="1" t="s">
        <v>331</v>
      </c>
      <c r="F12910" s="1">
        <v>16</v>
      </c>
      <c r="G12910" s="1">
        <v>9</v>
      </c>
      <c r="H12910" s="1">
        <v>0</v>
      </c>
      <c r="I12910" s="1" t="s">
        <v>26791</v>
      </c>
      <c r="K12910" s="1" t="str">
        <f t="shared" si="816"/>
        <v>ㄨ</v>
      </c>
      <c r="L12910" s="1" t="str">
        <f t="shared" si="817"/>
        <v>ㄟ</v>
      </c>
      <c r="N12910" s="3" t="s">
        <v>30574</v>
      </c>
      <c r="O12910" s="3"/>
      <c r="P12910" s="1" t="s">
        <v>20</v>
      </c>
      <c r="R12910" s="1" t="s">
        <v>26792</v>
      </c>
      <c r="V12910" s="1" t="s">
        <v>26817</v>
      </c>
      <c r="AR12910" s="1" t="str">
        <f t="shared" si="815"/>
        <v>| [ㄨㄟˋ](ㄨㄟˋ.md) | [謂](謂.md) |  | wèi | [動]
1.評論。《論語．八佾》：「子謂韶，盡美矣。」
2.告訴。《論語．雍也》：「子謂子夏曰：『女為君子儒，無為小人儒。』」《韓非子．說林上》：「魯人身善織屨，妻善織縞，而欲徙於越。或謂之曰：『子必窮矣。』」
3.說。《詩經．衛風．河廣》：「誰謂河廣，一葦杭之。」唐．杜甫〈上後園山腳〉詩：「勿謂地無疆，劣於山有陰。」
4.稱呼、叫做。《詩經．王風．葛藟》：「終遠兄弟，謂他人父。」《孟子．梁惠王上》：「文王以民力為臺為沼而民歡樂之，謂其臺曰靈臺，謂其沼曰靈沼。」
5.認為、以為。《左傳．僖公二十四年》：「臣謂君之入也，其知之矣。」《三國志．卷四七．吳書．吳主傳》：「張昭、周瑜等謂權可與共成大業，故委心而服事焉。」
6.奈。《詩經．邶風．北門》：「天實為之，謂之何哉！」《戰國策．齊策一》：「受薛於先王，雖惡於後王，吾獨謂先王何乎？」
7.是。通「為」。《詩經．小雅．賓之初筵》：「醉而不出，是謂伐德。」《左傳．僖公五年》：「一之謂甚，其可再乎？」
8.使、讓。《詩經．小雅．出車》：「自天子所，謂我來矣。」《左傳．昭公十六年》：「今吾子以好來辱，而謂敝邑背盟誓也，毋乃不可乎？」
[介]
與、和。通「為」。《史記．卷四二．鄭世家》：「晉於是欲得叔詹為僇，鄭文公恐，不敢謂叔詹言。」
[名]
1.道理、意義。如：「無謂之事」、「無謂之舉」。《三國志．卷四七．吳書．吳主傳》：「頃聞諸將出入，各尚謙約，不從人兵，甚非備慮愛身之謂。」唐．韓愈〈雜詩〉：「蛙黽鳴無謂，閤閤祇亂人。」
2.姓。如宋代有謂準。 |</v>
      </c>
    </row>
    <row r="12911" spans="1:44" hidden="1">
      <c r="A12911" s="1" t="s">
        <v>26818</v>
      </c>
      <c r="C12911" s="1">
        <v>1</v>
      </c>
      <c r="D12911" s="1" t="str">
        <f>"11432"</f>
        <v>11432</v>
      </c>
      <c r="E12911" s="1" t="s">
        <v>1595</v>
      </c>
      <c r="F12911" s="1">
        <v>11</v>
      </c>
      <c r="G12911" s="1">
        <v>8</v>
      </c>
      <c r="H12911" s="1">
        <v>1</v>
      </c>
      <c r="I12911" s="1" t="s">
        <v>26791</v>
      </c>
      <c r="K12911" s="1" t="str">
        <f t="shared" si="816"/>
        <v>ㄨ</v>
      </c>
      <c r="L12911" s="1" t="str">
        <f t="shared" si="817"/>
        <v>ㄟ</v>
      </c>
      <c r="N12911" s="3" t="s">
        <v>30574</v>
      </c>
      <c r="O12911" s="3"/>
      <c r="P12911" s="1" t="s">
        <v>20</v>
      </c>
      <c r="R12911" s="1" t="s">
        <v>26792</v>
      </c>
      <c r="V12911" s="1" t="s">
        <v>26819</v>
      </c>
      <c r="W12911" s="1" t="s">
        <v>26820</v>
      </c>
      <c r="AR12911" s="1" t="str">
        <f t="shared" si="815"/>
        <v>| [ㄨㄟˋ](ㄨㄟˋ.md) | [尉](尉.md) |  | wèi | [名]
1.古代典獄及捕盜等官職多稱為「尉」。如：「廷尉」、「縣尉」。
2.現今軍階的名稱，在士官之上，校官之下。如：「上尉」、「中尉」、「少尉」。
[動]
安慰、安撫。通「慰」。《漢書．卷五二．韓安國傳》：「恢所部擊，猶頗可得，以尉士大夫心。」《資治通鑑．卷九九．晉紀二十一．穆帝永和八年》：「謝尚不能撫尉張遇，遇怒，據許昌叛。」 |</v>
      </c>
    </row>
    <row r="12912" spans="1:44" hidden="1">
      <c r="A12912" s="1" t="s">
        <v>26821</v>
      </c>
      <c r="C12912" s="1">
        <v>1</v>
      </c>
      <c r="D12912" s="1" t="str">
        <f>"11433"</f>
        <v>11433</v>
      </c>
      <c r="E12912" s="1" t="s">
        <v>37</v>
      </c>
      <c r="F12912" s="1">
        <v>15</v>
      </c>
      <c r="G12912" s="1">
        <v>11</v>
      </c>
      <c r="H12912" s="1">
        <v>1</v>
      </c>
      <c r="I12912" s="1" t="s">
        <v>26791</v>
      </c>
      <c r="K12912" s="1" t="str">
        <f t="shared" si="816"/>
        <v>ㄨ</v>
      </c>
      <c r="L12912" s="1" t="str">
        <f t="shared" si="817"/>
        <v>ㄟ</v>
      </c>
      <c r="N12912" s="3" t="s">
        <v>30574</v>
      </c>
      <c r="O12912" s="3"/>
      <c r="P12912" s="1" t="s">
        <v>20</v>
      </c>
      <c r="R12912" s="1" t="s">
        <v>26792</v>
      </c>
      <c r="V12912" s="1" t="s">
        <v>26822</v>
      </c>
      <c r="W12912" s="1" t="s">
        <v>26823</v>
      </c>
      <c r="AR12912" s="1" t="str">
        <f t="shared" si="815"/>
        <v>| [ㄨㄟˋ](ㄨㄟˋ.md) | [蔚](蔚.md) |  | wèi | [形]
1.草木茂盛的樣子。如：「蓊蔚」。漢．班固〈西都賦〉：「茂樹蔭蔚，芳草被隄。」
2.文采華美的樣子。《易經．革卦》：「《象》曰：君子豹變，其文蔚也。」
[副]
盛大的樣子。如：「蔚為大觀」、「蔚為風氣」。南朝梁．劉勰《文心雕龍．詮賦》：「六義附庸，蔚成大國。」
[名]
植物名。菊科艾屬，多年生草本。地下莖短但肥厚，葉互生，寬匙形或倒卵形，不分裂或上端具三至五淺裂，裂片具二至三枚小鋸齒，基部楔形。頭狀花序多數，排成複總狀或狹長總狀，淡黃色，夏、秋開花。俗稱為「牡蒿」。 |</v>
      </c>
    </row>
    <row r="12913" spans="1:44" hidden="1">
      <c r="A12913" s="1" t="s">
        <v>26824</v>
      </c>
      <c r="C12913" s="1">
        <v>1</v>
      </c>
      <c r="D12913" s="1" t="str">
        <f>"11434"</f>
        <v>11434</v>
      </c>
      <c r="E12913" s="1" t="s">
        <v>250</v>
      </c>
      <c r="F12913" s="1">
        <v>15</v>
      </c>
      <c r="G12913" s="1">
        <v>11</v>
      </c>
      <c r="H12913" s="1">
        <v>0</v>
      </c>
      <c r="I12913" s="1" t="s">
        <v>26791</v>
      </c>
      <c r="K12913" s="1" t="str">
        <f t="shared" si="816"/>
        <v>ㄨ</v>
      </c>
      <c r="L12913" s="1" t="str">
        <f t="shared" si="817"/>
        <v>ㄟ</v>
      </c>
      <c r="N12913" s="3" t="s">
        <v>30574</v>
      </c>
      <c r="O12913" s="3"/>
      <c r="P12913" s="1" t="s">
        <v>20</v>
      </c>
      <c r="R12913" s="1" t="s">
        <v>26792</v>
      </c>
      <c r="V12913" s="1" t="s">
        <v>26825</v>
      </c>
      <c r="AR12913" s="1" t="str">
        <f t="shared" si="815"/>
        <v>| [ㄨㄟˋ](ㄨㄟˋ.md) | [慰](慰.md) |  | wèi | [動]
安撫，用言行或物質等使人寬心。如：「慰問」、「勸慰」。《詩經．邶風．凱風》：「有子七人，莫慰母心。」南朝宋．劉義慶《世說新語．排調》：「生兒如此，足慰人意。」
[形]
1.心安。如：「欣慰」。
2.憂鬱。《莊子．外物》：「心若縣於天地之閒，慰睯沉屯，利害相摩，生火甚多。」 |</v>
      </c>
    </row>
    <row r="12914" spans="1:44" hidden="1">
      <c r="A12914" s="1" t="s">
        <v>26826</v>
      </c>
      <c r="C12914" s="1">
        <v>1</v>
      </c>
      <c r="D12914" s="1" t="str">
        <f>"11435"</f>
        <v>11435</v>
      </c>
      <c r="E12914" s="1" t="s">
        <v>118</v>
      </c>
      <c r="F12914" s="1">
        <v>16</v>
      </c>
      <c r="G12914" s="1">
        <v>11</v>
      </c>
      <c r="H12914" s="1">
        <v>0</v>
      </c>
      <c r="I12914" s="1" t="s">
        <v>26791</v>
      </c>
      <c r="K12914" s="1" t="str">
        <f t="shared" si="816"/>
        <v>ㄨ</v>
      </c>
      <c r="L12914" s="1" t="str">
        <f t="shared" si="817"/>
        <v>ㄟ</v>
      </c>
      <c r="N12914" s="3" t="s">
        <v>30574</v>
      </c>
      <c r="O12914" s="3"/>
      <c r="P12914" s="1" t="s">
        <v>20</v>
      </c>
      <c r="R12914" s="1" t="s">
        <v>26792</v>
      </c>
      <c r="V12914" s="1" t="s">
        <v>26827</v>
      </c>
      <c r="AR12914" s="1" t="str">
        <f t="shared" si="815"/>
        <v>| [ㄨㄟˋ](ㄨㄟˋ.md) | [罻](罻.md) |  | wèi | [名]
捕鳥的小網。《說文解字．网部》：「罻，捕鳥网也。」《文選．張華．鷦鷯賦》：「鷹鸇過猶俄翼，尚何懼於罿罻。」 |</v>
      </c>
    </row>
    <row r="12915" spans="1:44" hidden="1">
      <c r="A12915" s="1" t="s">
        <v>26828</v>
      </c>
      <c r="C12915" s="1">
        <v>1</v>
      </c>
      <c r="D12915" s="1" t="str">
        <f>"11436"</f>
        <v>11436</v>
      </c>
      <c r="E12915" s="1" t="s">
        <v>340</v>
      </c>
      <c r="F12915" s="1">
        <v>17</v>
      </c>
      <c r="G12915" s="1">
        <v>11</v>
      </c>
      <c r="H12915" s="1">
        <v>0</v>
      </c>
      <c r="I12915" s="1" t="s">
        <v>26791</v>
      </c>
      <c r="K12915" s="1" t="str">
        <f t="shared" si="816"/>
        <v>ㄨ</v>
      </c>
      <c r="L12915" s="1" t="str">
        <f t="shared" si="817"/>
        <v>ㄟ</v>
      </c>
      <c r="N12915" s="3" t="s">
        <v>30574</v>
      </c>
      <c r="O12915" s="3"/>
      <c r="P12915" s="1" t="s">
        <v>20</v>
      </c>
      <c r="R12915" s="1" t="s">
        <v>26792</v>
      </c>
      <c r="V12915" s="1" t="s">
        <v>26829</v>
      </c>
      <c r="AR12915" s="1" t="str">
        <f t="shared" si="815"/>
        <v>| [ㄨㄟˋ](ㄨㄟˋ.md) | [褽](褽.md) |  | wèi | [名]
衽席。《說文解字．衣部》：「褽，衽也。」清．段玉裁．注：「此衽當訓衽席。」
[動]
墊於下面。《集韻．去聲．未韻》：「褽，薦也。」《左傳．哀公十一年》：「公使太史固歸國子之元，寘之新篋，褽之以玄纁。」 |</v>
      </c>
    </row>
    <row r="12916" spans="1:44" hidden="1">
      <c r="A12916" s="1" t="s">
        <v>24380</v>
      </c>
      <c r="C12916" s="1">
        <v>1</v>
      </c>
      <c r="D12916" s="1" t="str">
        <f>"11437"</f>
        <v>11437</v>
      </c>
      <c r="E12916" s="1" t="s">
        <v>169</v>
      </c>
      <c r="F12916" s="1">
        <v>15</v>
      </c>
      <c r="G12916" s="1">
        <v>10</v>
      </c>
      <c r="H12916" s="1">
        <v>1</v>
      </c>
      <c r="I12916" s="1" t="s">
        <v>26791</v>
      </c>
      <c r="K12916" s="1" t="str">
        <f t="shared" si="816"/>
        <v>ㄨ</v>
      </c>
      <c r="L12916" s="1" t="str">
        <f t="shared" si="817"/>
        <v>ㄟ</v>
      </c>
      <c r="N12916" s="3" t="s">
        <v>30574</v>
      </c>
      <c r="O12916" s="3"/>
      <c r="P12916" s="1" t="s">
        <v>20</v>
      </c>
      <c r="R12916" s="1" t="s">
        <v>26792</v>
      </c>
      <c r="V12916" s="1" t="s">
        <v>26830</v>
      </c>
      <c r="W12916" s="1" t="s">
        <v>26831</v>
      </c>
      <c r="AR12916" s="1" t="str">
        <f t="shared" si="815"/>
        <v>| [ㄨㄟˋ](ㄨㄟˋ.md) | [磑](磑.md) |  | wèi | [名]
石磨，碾去穀物外皮的農具。《北齊書．卷一八．高隆之傳》：「又鑿渠引漳水周流城郭，造治碾磑，並有利於時。」宋．黃庭堅〈雙井茶送子瞻〉詩：「我家江南摘雲腴，落磑霏霏雪不如。」
[動]
磨碎。宋．陸游〈蝸廬〉詩：「有書嬾讀吾堪愧，睡起何妨自磑茶。」 |</v>
      </c>
    </row>
    <row r="12917" spans="1:44" hidden="1">
      <c r="A12917" s="1" t="s">
        <v>26832</v>
      </c>
      <c r="C12917" s="1">
        <v>1</v>
      </c>
      <c r="D12917" s="1" t="str">
        <f>"11438"</f>
        <v>11438</v>
      </c>
      <c r="E12917" s="1" t="s">
        <v>7105</v>
      </c>
      <c r="F12917" s="1">
        <v>15</v>
      </c>
      <c r="G12917" s="1">
        <v>9</v>
      </c>
      <c r="H12917" s="1">
        <v>0</v>
      </c>
      <c r="I12917" s="1" t="s">
        <v>26791</v>
      </c>
      <c r="K12917" s="1" t="str">
        <f t="shared" si="816"/>
        <v>ㄨ</v>
      </c>
      <c r="L12917" s="1" t="str">
        <f t="shared" si="817"/>
        <v>ㄟ</v>
      </c>
      <c r="N12917" s="3" t="s">
        <v>30574</v>
      </c>
      <c r="O12917" s="3"/>
      <c r="P12917" s="1" t="s">
        <v>20</v>
      </c>
      <c r="R12917" s="1" t="s">
        <v>26792</v>
      </c>
      <c r="V12917" s="1" t="s">
        <v>26833</v>
      </c>
      <c r="AR12917" s="1" t="str">
        <f t="shared" si="815"/>
        <v>| [ㄨㄟˋ](ㄨㄟˋ.md) | [衛](衛.md) |  | wèi | [動]
保護、防守。如：「防衛」、「自衛」。《國語．齊語》：「築五鹿、中牟、蓋興、牡丘，以衛諸夏之地。」《文選．阮瑀．為曹公作書與孫權》：「江河雖廣，其長難衛也。」
[名]
1.國名。為周朝時武王封予少弟康叔，故址約在今河北省南部和河南省北部一帶，後滅於秦。
2.擔任防護工作的人。如：「侍衛」、「警衛」。《左傳．文公七年》：「文公之入也無衛。」《聊齋志異．卷六．向杲》：「聞汾州有焦桐者，勇而善射，以多金聘為衛。」
3.古代邊境駐兵防敵的地方。如：「金山衛」、「屯衛」。《周禮．春官．巾車》：「革路，龍勒，條纓五就，建大白以即戎，以封四衛。」
4.驢的別稱。《聊齋志異．卷三．胡氏》：「次日，有客來謁，縶黑衛於門。」
5.姓。如漢代有衛青。 |</v>
      </c>
    </row>
    <row r="12918" spans="1:44" hidden="1">
      <c r="A12918" s="1" t="s">
        <v>26834</v>
      </c>
      <c r="C12918" s="1">
        <v>1</v>
      </c>
      <c r="D12918" s="1" t="str">
        <f>"11439"</f>
        <v>11439</v>
      </c>
      <c r="E12918" s="1" t="s">
        <v>331</v>
      </c>
      <c r="F12918" s="1">
        <v>22</v>
      </c>
      <c r="G12918" s="1">
        <v>15</v>
      </c>
      <c r="H12918" s="1">
        <v>0</v>
      </c>
      <c r="I12918" s="1" t="s">
        <v>26791</v>
      </c>
      <c r="K12918" s="1" t="str">
        <f t="shared" si="816"/>
        <v>ㄨ</v>
      </c>
      <c r="L12918" s="1" t="str">
        <f t="shared" si="817"/>
        <v>ㄟ</v>
      </c>
      <c r="N12918" s="3" t="s">
        <v>30574</v>
      </c>
      <c r="O12918" s="3"/>
      <c r="P12918" s="1" t="s">
        <v>20</v>
      </c>
      <c r="R12918" s="1" t="s">
        <v>26792</v>
      </c>
      <c r="V12918" s="1" t="s">
        <v>26835</v>
      </c>
      <c r="AR12918" s="1" t="str">
        <f t="shared" si="815"/>
        <v>| [ㄨㄟˋ](ㄨㄟˋ.md) | [讆](讆.md) |  | wèi | [形]
欺詐、不實在的。通「偽」、「躗」。如：「讆言」。 |</v>
      </c>
    </row>
    <row r="12919" spans="1:44" hidden="1">
      <c r="A12919" s="1" t="s">
        <v>26836</v>
      </c>
      <c r="C12919" s="1">
        <v>1</v>
      </c>
      <c r="D12919" s="1" t="str">
        <f>"11440"</f>
        <v>11440</v>
      </c>
      <c r="E12919" s="1" t="s">
        <v>77</v>
      </c>
      <c r="F12919" s="1">
        <v>22</v>
      </c>
      <c r="G12919" s="1">
        <v>15</v>
      </c>
      <c r="H12919" s="1">
        <v>0</v>
      </c>
      <c r="I12919" s="1" t="s">
        <v>26791</v>
      </c>
      <c r="K12919" s="1" t="str">
        <f t="shared" si="816"/>
        <v>ㄨ</v>
      </c>
      <c r="L12919" s="1" t="str">
        <f t="shared" si="817"/>
        <v>ㄟ</v>
      </c>
      <c r="N12919" s="3" t="s">
        <v>30574</v>
      </c>
      <c r="O12919" s="3"/>
      <c r="P12919" s="1" t="s">
        <v>20</v>
      </c>
      <c r="R12919" s="1" t="s">
        <v>26792</v>
      </c>
      <c r="V12919" s="1" t="s">
        <v>26837</v>
      </c>
      <c r="AR12919" s="1" t="str">
        <f t="shared" si="815"/>
        <v>| [ㄨㄟˋ](ㄨㄟˋ.md) | [躗](躗.md) |  | wèi | [形]
謬誤而不真實的。《左傳．哀公二十四年》：「往歲克敵，今又勝都，天奉多矣，又焉能進，是躗言也。」 |</v>
      </c>
    </row>
    <row r="12920" spans="1:44" hidden="1">
      <c r="A12920" s="1" t="s">
        <v>12267</v>
      </c>
      <c r="C12920" s="1">
        <v>1</v>
      </c>
      <c r="D12920" s="1" t="str">
        <f>"11441"</f>
        <v>11441</v>
      </c>
      <c r="E12920" s="1" t="s">
        <v>129</v>
      </c>
      <c r="F12920" s="1">
        <v>16</v>
      </c>
      <c r="G12920" s="1">
        <v>13</v>
      </c>
      <c r="H12920" s="1">
        <v>2</v>
      </c>
      <c r="I12920" s="1" t="s">
        <v>26791</v>
      </c>
      <c r="K12920" s="1" t="str">
        <f t="shared" si="816"/>
        <v>ㄨ</v>
      </c>
      <c r="L12920" s="1" t="str">
        <f t="shared" si="817"/>
        <v>ㄟ</v>
      </c>
      <c r="N12920" s="3" t="s">
        <v>30574</v>
      </c>
      <c r="O12920" s="3"/>
      <c r="P12920" s="1" t="s">
        <v>20</v>
      </c>
      <c r="R12920" s="1" t="s">
        <v>26792</v>
      </c>
      <c r="V12920" s="1" t="s">
        <v>26838</v>
      </c>
      <c r="W12920" s="1" t="s">
        <v>26839</v>
      </c>
      <c r="AR12920" s="1" t="str">
        <f t="shared" si="815"/>
        <v>| [ㄨㄟˋ](ㄨㄟˋ.md) | [濊](濊.md) |  | wèi | 參見「濊貊」條。 |</v>
      </c>
    </row>
    <row r="12921" spans="1:44" hidden="1">
      <c r="A12921" s="1" t="s">
        <v>12483</v>
      </c>
      <c r="C12921" s="1">
        <v>1</v>
      </c>
      <c r="D12921" s="1" t="str">
        <f>"11442"</f>
        <v>11442</v>
      </c>
      <c r="E12921" s="1" t="s">
        <v>429</v>
      </c>
      <c r="F12921" s="1">
        <v>18</v>
      </c>
      <c r="G12921" s="1">
        <v>13</v>
      </c>
      <c r="H12921" s="1">
        <v>2</v>
      </c>
      <c r="I12921" s="1" t="s">
        <v>26791</v>
      </c>
      <c r="K12921" s="1" t="str">
        <f t="shared" si="816"/>
        <v>ㄨ</v>
      </c>
      <c r="L12921" s="1" t="str">
        <f t="shared" si="817"/>
        <v>ㄟ</v>
      </c>
      <c r="N12921" s="3" t="s">
        <v>30574</v>
      </c>
      <c r="O12921" s="3"/>
      <c r="P12921" s="1" t="s">
        <v>110</v>
      </c>
      <c r="R12921" s="1" t="s">
        <v>26792</v>
      </c>
      <c r="V12921" s="1" t="s">
        <v>111</v>
      </c>
      <c r="W12921" s="1" t="s">
        <v>26840</v>
      </c>
      <c r="AR12921" s="1" t="str">
        <f t="shared" si="815"/>
        <v>| [ㄨㄟˋ](ㄨㄟˋ.md) | [穢](穢.md) |  | wèi | (一)之又音。 |</v>
      </c>
    </row>
    <row r="12922" spans="1:44" hidden="1">
      <c r="A12922" s="1" t="s">
        <v>24918</v>
      </c>
      <c r="C12922" s="1">
        <v>1</v>
      </c>
      <c r="D12922" s="1" t="str">
        <f>"11443"</f>
        <v>11443</v>
      </c>
      <c r="E12922" s="1" t="s">
        <v>558</v>
      </c>
      <c r="F12922" s="1">
        <v>16</v>
      </c>
      <c r="G12922" s="1">
        <v>12</v>
      </c>
      <c r="H12922" s="1">
        <v>2</v>
      </c>
      <c r="I12922" s="1" t="s">
        <v>26791</v>
      </c>
      <c r="K12922" s="1" t="str">
        <f t="shared" si="816"/>
        <v>ㄨ</v>
      </c>
      <c r="L12922" s="1" t="str">
        <f t="shared" si="817"/>
        <v>ㄟ</v>
      </c>
      <c r="N12922" s="3" t="s">
        <v>30574</v>
      </c>
      <c r="O12922" s="3"/>
      <c r="P12922" s="1" t="s">
        <v>20</v>
      </c>
      <c r="R12922" s="1" t="s">
        <v>26792</v>
      </c>
      <c r="V12922" s="1" t="s">
        <v>26841</v>
      </c>
      <c r="W12922" s="1" t="s">
        <v>26842</v>
      </c>
      <c r="AR12922" s="1" t="str">
        <f t="shared" si="815"/>
        <v>| [ㄨㄟˋ](ㄨㄟˋ.md) | [遺](遺.md) |  | wèi | [動]
贈送、給予。《三國演義》第三三回：「表然其言，先遣人以書遺譚。」《史記．卷五五．留侯世家》：「漢王亦因令良厚遺項伯，使請漢中地。」 |</v>
      </c>
    </row>
    <row r="12923" spans="1:44" hidden="1">
      <c r="A12923" s="1" t="s">
        <v>26725</v>
      </c>
      <c r="C12923" s="1">
        <v>1</v>
      </c>
      <c r="D12923" s="1" t="str">
        <f>"11444"</f>
        <v>11444</v>
      </c>
      <c r="E12923" s="1" t="s">
        <v>83</v>
      </c>
      <c r="F12923" s="1">
        <v>18</v>
      </c>
      <c r="G12923" s="1">
        <v>8</v>
      </c>
      <c r="H12923" s="1">
        <v>1</v>
      </c>
      <c r="I12923" s="1" t="s">
        <v>26791</v>
      </c>
      <c r="K12923" s="1" t="str">
        <f t="shared" si="816"/>
        <v>ㄨ</v>
      </c>
      <c r="L12923" s="1" t="str">
        <f t="shared" si="817"/>
        <v>ㄟ</v>
      </c>
      <c r="N12923" s="3" t="s">
        <v>30574</v>
      </c>
      <c r="O12923" s="3"/>
      <c r="P12923" s="1" t="s">
        <v>20</v>
      </c>
      <c r="R12923" s="1" t="s">
        <v>26792</v>
      </c>
      <c r="V12923" s="1" t="s">
        <v>26843</v>
      </c>
      <c r="W12923" s="1" t="s">
        <v>26844</v>
      </c>
      <c r="AR12923" s="1" t="str">
        <f t="shared" si="815"/>
        <v>| [ㄨㄟˋ](ㄨㄟˋ.md) | [魏](魏.md) |  | wèi | [名]
1.國名。戰國時的一國，其故址約在今河南省北部、山西省西南部一帶，後滅於秦。
2.朝代名：(1)（西元220～265）三國之一。曹丕代漢稱帝，國號魏，與蜀、吳並稱三國。有今河北、河南、山東、山西、甘肅，及陝西中部、湖北、江蘇、安徽北部等地。(2)參見「後魏」條。
3.姓。宋代有魏文翁。 |</v>
      </c>
    </row>
    <row r="12924" spans="1:44" hidden="1">
      <c r="A12924" s="1" t="s">
        <v>26685</v>
      </c>
      <c r="C12924" s="1">
        <v>1</v>
      </c>
      <c r="D12924" s="1" t="str">
        <f>"11370"</f>
        <v>11370</v>
      </c>
      <c r="E12924" s="1" t="s">
        <v>2557</v>
      </c>
      <c r="F12924" s="1">
        <v>3</v>
      </c>
      <c r="G12924" s="1">
        <v>0</v>
      </c>
      <c r="H12924" s="1">
        <v>0</v>
      </c>
      <c r="I12924" s="1" t="s">
        <v>26686</v>
      </c>
      <c r="K12924" s="1" t="str">
        <f t="shared" si="816"/>
        <v>ㄨ</v>
      </c>
      <c r="L12924" s="1" t="str">
        <f t="shared" si="817"/>
        <v>ㄟ</v>
      </c>
      <c r="N12924" s="3" t="s">
        <v>30575</v>
      </c>
      <c r="O12924" s="3"/>
      <c r="P12924" s="1" t="s">
        <v>20</v>
      </c>
      <c r="R12924" s="1" t="s">
        <v>26687</v>
      </c>
      <c r="V12924" s="1" t="s">
        <v>26688</v>
      </c>
      <c r="AR12924" s="1" t="str">
        <f t="shared" si="815"/>
        <v>| [ㄨㄟˊ](ㄨㄟˊ.md) | [囗](囗.md) |  | wéi | [動]
圍繞。同「圍」。《玉篇．囗部》：「囗，古圍字。」
[名]
二一四部首之一。 |</v>
      </c>
    </row>
    <row r="12925" spans="1:44" hidden="1">
      <c r="A12925" s="1" t="s">
        <v>26689</v>
      </c>
      <c r="C12925" s="1">
        <v>1</v>
      </c>
      <c r="D12925" s="1" t="str">
        <f>"11371"</f>
        <v>11371</v>
      </c>
      <c r="E12925" s="1" t="s">
        <v>132</v>
      </c>
      <c r="F12925" s="1">
        <v>6</v>
      </c>
      <c r="G12925" s="1">
        <v>3</v>
      </c>
      <c r="H12925" s="1">
        <v>2</v>
      </c>
      <c r="I12925" s="1" t="s">
        <v>26686</v>
      </c>
      <c r="K12925" s="1" t="str">
        <f t="shared" si="816"/>
        <v>ㄨ</v>
      </c>
      <c r="L12925" s="1" t="str">
        <f t="shared" si="817"/>
        <v>ㄟ</v>
      </c>
      <c r="N12925" s="3" t="s">
        <v>30575</v>
      </c>
      <c r="O12925" s="3"/>
      <c r="P12925" s="1" t="s">
        <v>110</v>
      </c>
      <c r="R12925" s="1" t="s">
        <v>26687</v>
      </c>
      <c r="V12925" s="1" t="s">
        <v>111</v>
      </c>
      <c r="W12925" s="1" t="s">
        <v>26690</v>
      </c>
      <c r="AR12925" s="1" t="str">
        <f t="shared" si="815"/>
        <v>| [ㄨㄟˊ](ㄨㄟˊ.md) | [圩](圩.md) |  | wéi | (一)之又音。 |</v>
      </c>
    </row>
    <row r="12926" spans="1:44" hidden="1">
      <c r="A12926" s="1" t="s">
        <v>26691</v>
      </c>
      <c r="C12926" s="1">
        <v>1</v>
      </c>
      <c r="D12926" s="1" t="str">
        <f>"11372"</f>
        <v>11372</v>
      </c>
      <c r="E12926" s="1" t="s">
        <v>2954</v>
      </c>
      <c r="F12926" s="1">
        <v>6</v>
      </c>
      <c r="G12926" s="1">
        <v>4</v>
      </c>
      <c r="H12926" s="1">
        <v>0</v>
      </c>
      <c r="I12926" s="1" t="s">
        <v>26686</v>
      </c>
      <c r="K12926" s="1" t="str">
        <f t="shared" si="816"/>
        <v>ㄨ</v>
      </c>
      <c r="L12926" s="1" t="str">
        <f t="shared" si="817"/>
        <v>ㄟ</v>
      </c>
      <c r="N12926" s="3" t="s">
        <v>30575</v>
      </c>
      <c r="O12926" s="3"/>
      <c r="P12926" s="1" t="s">
        <v>20</v>
      </c>
      <c r="R12926" s="1" t="s">
        <v>26687</v>
      </c>
      <c r="V12926" s="1" t="s">
        <v>26692</v>
      </c>
      <c r="AR12926" s="1" t="str">
        <f t="shared" si="815"/>
        <v>| [ㄨㄟˊ](ㄨㄟˊ.md) | [危](危.md) |  | wéi | [形]
1.不安全。如：「危險」。《左傳．昭公十八年》：「小國忘守則危，況有災乎？」唐．韓愈〈後十九日復上書〉：「以蹈於窮餓之水火，其既危且亟矣。」
2.病重。如：「病危」、「垂危」。《隋書．卷六三．元壽傳》：「又命其子捨危惙之母，為聚斂之行。」《聊齋志異．卷二．耿十八》：「新城耿十八，病危篤，自知不起。」
3.高聳的。《莊子．盜跖》：「使子路去其危冠，解其長劍，而受教於子。」宋．陸游〈送七兄赴揚州帥幕〉詩：「急雪打窗心共碎，危樓望遠涕俱流。」
4.正直的。如：「危言」、「危行」。
5.不正的、偏頗的。《荀子．榮辱》：「故薄薄之地，不得履之，非地不安也，危足無所履者，凡在言也。」
6.艱困。《史記．卷六．秦始皇本紀》：「是以陳涉不用湯武之賢，不藉公侯之尊，奮臂於大澤而天下響應者，其民危也。」
[動]
1.恐懼、不安。《戰國策．西周策》：「夫本末更盛，虛實有時，竊為君危之。」
2.傷害。《左傳．昭公三十一年》：「若艱難其身，以險危大人，而有名章徹，攻難之士將奔走之。」漢．王充《論衡．答佞》：「讒以口害人，佞以事危人。」
[名]
1.屋脊。《史記．卷四四．魏世家》：「痤因上屋騎危，謂使者曰：『與其以死痤市，不如以生痤市。』」宋．蘇軾〈凌虛臺記〉：「使工鑿其前為方池，以其土築高出於屋之危而止。」
2.姓。如宋代有危祜。 |</v>
      </c>
    </row>
    <row r="12927" spans="1:44" hidden="1">
      <c r="A12927" s="1" t="s">
        <v>26693</v>
      </c>
      <c r="C12927" s="1">
        <v>1</v>
      </c>
      <c r="D12927" s="1" t="str">
        <f>"11373"</f>
        <v>11373</v>
      </c>
      <c r="E12927" s="1" t="s">
        <v>139</v>
      </c>
      <c r="F12927" s="1">
        <v>10</v>
      </c>
      <c r="G12927" s="1">
        <v>6</v>
      </c>
      <c r="H12927" s="1">
        <v>0</v>
      </c>
      <c r="I12927" s="1" t="s">
        <v>26686</v>
      </c>
      <c r="K12927" s="1" t="str">
        <f t="shared" si="816"/>
        <v>ㄨ</v>
      </c>
      <c r="L12927" s="1" t="str">
        <f t="shared" si="817"/>
        <v>ㄟ</v>
      </c>
      <c r="N12927" s="3" t="s">
        <v>30575</v>
      </c>
      <c r="O12927" s="3"/>
      <c r="P12927" s="1" t="s">
        <v>20</v>
      </c>
      <c r="R12927" s="1" t="s">
        <v>26687</v>
      </c>
      <c r="V12927" s="1" t="s">
        <v>26694</v>
      </c>
      <c r="AR12927" s="1" t="str">
        <f t="shared" si="815"/>
        <v>| [ㄨㄟˊ](ㄨㄟˊ.md) | [桅](桅.md) |  | wéi | [名]
船上用來懸掛帆篷的竿子。如：「船桅」。《廣韻．平聲．灰韻》：「桅，小船上檣竿也。」唐．韓愈〈憶昨行和張十一〉詩：「念昔從君渡湘水，大帆夜劃窮高桅。」 |</v>
      </c>
    </row>
    <row r="12928" spans="1:44" hidden="1">
      <c r="A12928" s="1" t="s">
        <v>26695</v>
      </c>
      <c r="C12928" s="1">
        <v>1</v>
      </c>
      <c r="D12928" s="1" t="str">
        <f>"11374"</f>
        <v>11374</v>
      </c>
      <c r="E12928" s="1" t="s">
        <v>156</v>
      </c>
      <c r="F12928" s="1">
        <v>17</v>
      </c>
      <c r="G12928" s="1">
        <v>6</v>
      </c>
      <c r="H12928" s="1">
        <v>0</v>
      </c>
      <c r="I12928" s="1" t="s">
        <v>26686</v>
      </c>
      <c r="K12928" s="1" t="str">
        <f t="shared" si="816"/>
        <v>ㄨ</v>
      </c>
      <c r="L12928" s="1" t="str">
        <f t="shared" si="817"/>
        <v>ㄟ</v>
      </c>
      <c r="N12928" s="3" t="s">
        <v>30575</v>
      </c>
      <c r="O12928" s="3"/>
      <c r="P12928" s="1" t="s">
        <v>20</v>
      </c>
      <c r="R12928" s="1" t="s">
        <v>26687</v>
      </c>
      <c r="V12928" s="1" t="s">
        <v>26696</v>
      </c>
      <c r="AR12928" s="1" t="str">
        <f t="shared" si="815"/>
        <v>| [ㄨㄟˊ](ㄨㄟˊ.md) | [鮠](鮠.md) |  | wéi | [名]
硬骨魚綱黃顙魚科鮠屬的通稱。體色淺灰，無鱗，吻圓突，口腹部位具有四對鬚。以脊椎動物、小魚為食。主產於長江流域，臺灣亦有。 |</v>
      </c>
    </row>
    <row r="12929" spans="1:44" hidden="1">
      <c r="A12929" s="1" t="s">
        <v>26697</v>
      </c>
      <c r="C12929" s="1">
        <v>1</v>
      </c>
      <c r="D12929" s="1" t="str">
        <f>"11375"</f>
        <v>11375</v>
      </c>
      <c r="E12929" s="1" t="s">
        <v>336</v>
      </c>
      <c r="F12929" s="1">
        <v>9</v>
      </c>
      <c r="G12929" s="1">
        <v>5</v>
      </c>
      <c r="H12929" s="1">
        <v>1</v>
      </c>
      <c r="I12929" s="1" t="s">
        <v>26686</v>
      </c>
      <c r="K12929" s="1" t="str">
        <f t="shared" si="816"/>
        <v>ㄨ</v>
      </c>
      <c r="L12929" s="1" t="str">
        <f t="shared" si="817"/>
        <v>ㄟ</v>
      </c>
      <c r="N12929" s="3" t="s">
        <v>30575</v>
      </c>
      <c r="O12929" s="3"/>
      <c r="P12929" s="1" t="s">
        <v>20</v>
      </c>
      <c r="R12929" s="1" t="s">
        <v>26687</v>
      </c>
      <c r="V12929" s="1" t="s">
        <v>26698</v>
      </c>
      <c r="W12929" s="1" t="s">
        <v>26699</v>
      </c>
      <c r="AR12929" s="1" t="str">
        <f t="shared" si="815"/>
        <v>| [ㄨㄟˊ](ㄨㄟˊ.md) | [為](為.md) |  | wéi | [動]_x000D_
1.製作。《詩經．周南．葛覃》：「為絺為綌，服之無斁。」《新唐書．卷九三．列傳．李靖》：「其舊物有佩筆，以木為管弢。」宋．沈括《夢溪筆談．卷一八．技藝》：「慶曆中，有布衣畢昇，又為活板。其法用膠泥刻字，薄如錢脣，每字為一印，火燒令堅。」_x000D_
2.建立、設置。《左傳．昭公六年》：「昔先王議事以制，不為刑辟，懼民之有爭心也。」《商君書．君臣》：「民眾而姦邪生，故立法制，為度量以禁之。」_x000D_
3.行、作。如：「為非作歹」、「事在人為」。《論語．為政》：「見義不為，無勇也。」《荀子．宥坐》：「為善者天報之以福，為不善者天報之以禍。」漢．枚乘〈上書諫吳王〉：「欲人勿聞，莫若勿言；欲人勿知，莫若勿為。」_x000D_
4.做出、表現出。唐．李德裕〈代劉沔與回鶻宰相頡于伽思書〉：「雖皇帝不許，當勤固請，為可憐之意。陳自託之誠，豈不感明主之心，塞華夷之望？」《南史．卷六五．陳宣帝諸子列傳．始興王叔陵》：「初喪日，偽為哀毀，自稱刺血寫《涅槃經》。未及十旬，乃日進甘膳。」_x000D_
5.訂定、訂立。《左傳．隱公元年》：「公攝位，而欲求好於邾，故為蔑之盟。」《隋書．卷六二．列傳．劉行本》：「然臣下車之始，與其為約。此吏故違，請加徒一年。」《宋史．卷二四四．宗室列傳一．魏王廷美》：「命普於榻前為約誓書，普於紙尾書云『臣普書』，藏之金匱，命謹密宮人掌之。」_x000D_
6.撰作、撰寫。《史記．卷七．項羽本紀》：「於是項王乃悲歌慷慨，自為詩曰：『力拔山兮氣蓋世，時不利兮騅不逝，騅不逝兮可奈何，虞兮虞兮奈若何！』」宋．王應麟《辭學指南．作文法》：「李漢老曰：『為文之法，有筆力、有筆路。』」_x000D_
7.運用、使用。《齊民要術．序》：「趙過始為牛耕，實勝耒耜之利；蔡倫立意造紙，豈方縑牘之煩？」宋．郭若虛《圖畫見聞誌．卷二．紀藝上》：「楊元真，不知何許人。工畫佛道，善為曹筆，尤精布色。」_x000D_
8.治理。《論語．為政》：「為政以德，譬如北辰，居其所，而眾星共之。」《國語．周語上》：「是故為川者，決之使導；為民者，宣之使言。」《商君書．農戰》：「善為國者，倉廩雖滿，不偷於農。」_x000D_
9.治療、醫治。《左傳．成公十年》：「公疾病，求醫于秦，秦伯使醫緩為之。」清．陳夢雷《醫部全錄．卷二五二．成無己明理論》：「疾成而後藥，雖神醫不可為也。」_x000D_
10.學習、研究。《陳書．卷三三．儒林列傳．王元規》：「自梁代諸儒相傳為《左氏》學者，皆以賈逵、服虔之義難駮杜預，凡一百八十條。」《清史稿．卷四八〇．儒林列傳一．陸世儀列傳》：「瑚之為學，博大精深，以經世自任。」_x000D_
11.演奏、吟誦。《史記．卷八一．廉頗藺相如列傳》：「趙王竊聞秦王善為秦聲，請奏盆缶秦王，以相娛樂。」《隋書．卷三五．經籍志四》：「隋時有釋道騫，善讀之，能為楚聲，音韻清切，至今傳《楚辭》者，皆祖騫公之音。」唐．白居易〈琵琶行〉：「輕攏慢撚抹復挑，初為霓裳後六么。」_x000D_
12.種植、栽種。《戰國策．東周策》：「東周欲為稻，西周不下水，東周患之。」明．陳懋仁《泉南雜志》卷上：「其地為稻利薄，蔗利厚，往往有改稻田種蔗者。」_x000D_
13.擔任。《論語．雍也》：「子游為武城宰，子曰：『女得人焉耳乎！』」《戰國策．齊策四》：「孟嘗君為相數十年。」《水滸傳》第四一回：「做得第一手裁縫，端的是飛針走線；更兼慣習鎗棒，曾拜薛永為師。」_x000D_
14.變成、成為。《詩經．小雅．十月之交》：「高岸為谷，深谷為陵。」《史記．卷五九．五宗世家》：「王服所犯，遂自殺。國除，地入于漢，為廣陵郡。」_x000D_
15.當作。《墨子．公輸》：「於是見公輸盤，子墨子解帶為城，以牒為械。」《莊子．應帝王》：「泰氏，其臥徐徐，其覺于于，一以己為馬，一以己為牛。」_x000D_
16.是。如：「十寸為一尺」、「失敗為成功之母」。《論語．微子》：「長沮曰：『夫執輿者為誰？』子路曰：『為孔丘。』」唐．杜甫〈垂老別〉詩：「何鄉為樂土，安敢尚盤桓？」_x000D_
17.使、讓。《易經．井卦》：「《象》曰：井渫不食，為我心惻。」《左傳．昭公二十年》：「今君疾病，為諸侯憂，是祝史之罪也。」_x000D_
[介]_x000D_
被。如：「不為所動」。《論語．子罕》：「出則事公卿，入則事父兄，喪事不敢不勉，不為酒困，何有於我哉？」《三國志．卷五四．吳書．周瑜魯肅呂蒙傳．呂蒙》：「師還，遂征合肥，既徹兵，為張遼等所襲，蒙與淩統以死扞衛。」唐．杜甫〈有懷台州鄭十八司戶〉詩：「從來禦魑魅，多為才名誤。」_x000D_
[連]_x000D_
1.則。《論語．陽貨》：「君子有勇而無義為亂，小人有勇而無義為盜。」《史記．卷一一八．淮南衡山列傳．淮南厲王》：「今暴摧折之，臣恐卒逢霧露病死，陛下為有殺弟之名，奈何？」_x000D_
2.假如、如果。《韓非子．內儲說下》：「王甚喜人之掩口也，為近王，必掩口。」《史記．卷三八．宋微子世家》：「今誠得治國，國治身死不恨。為死，終不得治，不如去。」_x000D_
3.或。表示選擇。南朝齊．王融〈永明十一年策秀才文〉五首之三：「豈薪槱之道未弘，為網羅之目尚簡？」《祖堂集．卷三．牛頭和尚》：「四祖曰：『汝學為有求？為無求耶？』」_x000D_
[助]_x000D_
1.用於句中的賓語倒裝。《孟子．告子上》：「使奕秋誨二人奕，其一人專心致志，惟奕秋之為聽。」《荀子．禮論》：「故人苟生之為見，若者必死；苟利之為見，若者必害。」_x000D_
2.用於句末，表示疑問、反詰的意思。《論語．顏淵》：「君子質而已矣，何以文為？」《楚辭．屈原．漁父》：「何故深思高舉，自令放為？」_x000D_
3.用於句末，表示感嘆的意思。《莊子．逍遙遊》：「歸休乎君，予无所用天下為！」_x000D_
4.表示程度加深或範圍擴大。如：「極為鮮明」、「廣為流傳」。《老殘遊記》第三回：「只有中間掛著一幅中堂，只畫了一個人，彷彿列子御風的形狀，衣服冠帶均被風吹起，筆力甚為遒勁。」《文明小史》第四一回：「等到上去之後，碰頭起來，上頭看他一臉的連鬢大鬍子，龍心大為不悅。」_x000D_
[名]_x000D_
姓。如漢代有為昆。 |</v>
      </c>
    </row>
    <row r="12930" spans="1:44" hidden="1">
      <c r="A12930" s="1" t="s">
        <v>26700</v>
      </c>
      <c r="C12930" s="1">
        <v>1</v>
      </c>
      <c r="D12930" s="1" t="str">
        <f>"11376"</f>
        <v>11376</v>
      </c>
      <c r="E12930" s="1" t="s">
        <v>256</v>
      </c>
      <c r="F12930" s="1">
        <v>12</v>
      </c>
      <c r="G12930" s="1">
        <v>9</v>
      </c>
      <c r="H12930" s="1">
        <v>0</v>
      </c>
      <c r="I12930" s="1" t="s">
        <v>26686</v>
      </c>
      <c r="K12930" s="1" t="str">
        <f t="shared" si="816"/>
        <v>ㄨ</v>
      </c>
      <c r="L12930" s="1" t="str">
        <f t="shared" si="817"/>
        <v>ㄟ</v>
      </c>
      <c r="N12930" s="3" t="s">
        <v>30575</v>
      </c>
      <c r="O12930" s="3"/>
      <c r="P12930" s="1" t="s">
        <v>20</v>
      </c>
      <c r="R12930" s="1" t="s">
        <v>26687</v>
      </c>
      <c r="V12930" s="1" t="s">
        <v>26701</v>
      </c>
      <c r="AR12930" s="1" t="str">
        <f t="shared" si="815"/>
        <v>| [ㄨㄟˊ](ㄨㄟˊ.md) | [鄬](鄬.md) |  | wéi | [名]
地名。春秋時鄭地。故址約在今河南省魯山縣境內。 |</v>
      </c>
    </row>
    <row r="12931" spans="1:44" hidden="1">
      <c r="A12931" s="1" t="s">
        <v>26702</v>
      </c>
      <c r="C12931" s="1">
        <v>1</v>
      </c>
      <c r="D12931" s="1" t="str">
        <f>"11377"</f>
        <v>11377</v>
      </c>
      <c r="E12931" s="1" t="s">
        <v>1058</v>
      </c>
      <c r="F12931" s="1">
        <v>9</v>
      </c>
      <c r="G12931" s="1">
        <v>0</v>
      </c>
      <c r="H12931" s="1">
        <v>0</v>
      </c>
      <c r="I12931" s="1" t="s">
        <v>26686</v>
      </c>
      <c r="K12931" s="1" t="str">
        <f t="shared" si="816"/>
        <v>ㄨ</v>
      </c>
      <c r="L12931" s="1" t="str">
        <f t="shared" si="817"/>
        <v>ㄟ</v>
      </c>
      <c r="N12931" s="3" t="s">
        <v>30575</v>
      </c>
      <c r="O12931" s="3"/>
      <c r="P12931" s="1" t="s">
        <v>20</v>
      </c>
      <c r="R12931" s="1" t="s">
        <v>26687</v>
      </c>
      <c r="V12931" s="1" t="s">
        <v>26703</v>
      </c>
      <c r="AR12931" s="1" t="str">
        <f t="shared" ref="AR12931:AR12994" si="818">"| ["&amp;I12931&amp;"]("&amp;I12931&amp;".md) | ["&amp;A12931&amp;"]("&amp;A12931&amp;".md) | "&amp;" | "&amp;R12931&amp;" | "&amp;V12931&amp;" |"</f>
        <v>| [ㄨㄟˊ](ㄨㄟˊ.md) | [韋](韋.md) |  | wéi | [名]
1.去毛加工製成的柔軟獸皮。《楚辭．屈原．卜居》：「將突梯滑稽，如脂如韋，以潔楹乎？」
2.姓。如唐代有韋應物。
3.二一四部首之一。 |</v>
      </c>
    </row>
    <row r="12932" spans="1:44" hidden="1">
      <c r="A12932" s="1" t="s">
        <v>26704</v>
      </c>
      <c r="C12932" s="1">
        <v>1</v>
      </c>
      <c r="D12932" s="1" t="str">
        <f>"11378"</f>
        <v>11378</v>
      </c>
      <c r="E12932" s="1" t="s">
        <v>222</v>
      </c>
      <c r="F12932" s="1">
        <v>12</v>
      </c>
      <c r="G12932" s="1">
        <v>9</v>
      </c>
      <c r="H12932" s="1">
        <v>0</v>
      </c>
      <c r="I12932" s="1" t="s">
        <v>26686</v>
      </c>
      <c r="K12932" s="1" t="str">
        <f t="shared" si="816"/>
        <v>ㄨ</v>
      </c>
      <c r="L12932" s="1" t="str">
        <f t="shared" si="817"/>
        <v>ㄟ</v>
      </c>
      <c r="N12932" s="3" t="s">
        <v>30575</v>
      </c>
      <c r="O12932" s="3"/>
      <c r="P12932" s="1" t="s">
        <v>20</v>
      </c>
      <c r="R12932" s="1" t="s">
        <v>26687</v>
      </c>
      <c r="V12932" s="1" t="s">
        <v>26705</v>
      </c>
      <c r="AR12932" s="1" t="str">
        <f t="shared" si="818"/>
        <v>| [ㄨㄟˊ](ㄨㄟˊ.md) | [幃](幃.md) |  | wéi | [名]
1.香囊。《楚辭．屈原．離騷》：「椒專佞以慢慆兮，樧又欲充夫佩幃。」
2.帳幕。通「帷」。《後漢書．卷四九．仲長統傳》：「垂露成幃，張霄成幄。」唐．李白〈春思〉詩：「春風不相識，何事入羅幃？」 |</v>
      </c>
    </row>
    <row r="12933" spans="1:44" hidden="1">
      <c r="A12933" s="1" t="s">
        <v>26706</v>
      </c>
      <c r="C12933" s="1">
        <v>1</v>
      </c>
      <c r="D12933" s="1" t="str">
        <f>"11379"</f>
        <v>11379</v>
      </c>
      <c r="E12933" s="1" t="s">
        <v>2557</v>
      </c>
      <c r="F12933" s="1">
        <v>12</v>
      </c>
      <c r="G12933" s="1">
        <v>9</v>
      </c>
      <c r="H12933" s="1">
        <v>0</v>
      </c>
      <c r="I12933" s="1" t="s">
        <v>26686</v>
      </c>
      <c r="K12933" s="1" t="str">
        <f t="shared" si="816"/>
        <v>ㄨ</v>
      </c>
      <c r="L12933" s="1" t="str">
        <f t="shared" si="817"/>
        <v>ㄟ</v>
      </c>
      <c r="N12933" s="3" t="s">
        <v>30575</v>
      </c>
      <c r="O12933" s="3"/>
      <c r="P12933" s="1" t="s">
        <v>20</v>
      </c>
      <c r="R12933" s="1" t="s">
        <v>26687</v>
      </c>
      <c r="V12933" s="1" t="s">
        <v>26707</v>
      </c>
      <c r="AR12933" s="1" t="str">
        <f t="shared" si="818"/>
        <v>| [ㄨㄟˊ](ㄨㄟˊ.md) | [圍](圍.md) |  | wéi | [動]
1.從四周攔擋、包攏。如：「團團圍住」。《左傳．僖公五年》：「八月甲午，晉侯圍上陽。」《史記．卷八．高祖本紀》：「東至咸陽，引兵圍雍王廢丘。」
2.環繞。如：「圍繞」。《莊子．則陽》：「精至於无倫，大至於不可圍。」《紅樓夢》第五九回：「賈珍騎馬，率領眾家丁圍護。」
3.防守。《公羊傳．莊公十年》：「戰不言伐，圍不言戰。」唐．韓愈〈張中丞傳後敘〉：「當其圍守時，外無蚍蜉蟻子之援，所欲忠者，國與主耳。」
[名]
1.四周、周邊的大小長度。如：「周圍」、「外圍」。《周禮．冬官考工記．鳧氏》：「以其鉦之長為之甬長，以其甬長為之圍，參分其圍，去一以為衡圍。」明．徐弘祖《徐霞客遊記．卷三下．粵西遊日記二》：「道旁有空樹一圓，出地尺五，圍大五尺，中貯水一泓。」
2.遮蔽用的布類。如：「床圍」、「轎圍」。
3.量詞：(1)計算兩隻手的拇指和食指合圍的圓周長度的單位。如：「這個茶壺約有二圍大小。」(2)計算兩隻胳膊合抱長度的單位。如：「十圍粗的大樹。」《莊子．人間世》：「匠石之齊，至於曲轅，見櫟社樹。其大蔽數千牛，絜之百圍。」唐．杜甫〈古柏行〉：「霜皮溜雨四十圍，黛色參天二千尺。」
4.戰事的包擋陣勢。如：「突圍」。《史記．卷五六．陳丞相世家》：「高帝用陳平奇計，便單于閼氏，圍以得開。」 |</v>
      </c>
    </row>
    <row r="12934" spans="1:44" hidden="1">
      <c r="A12934" s="1" t="s">
        <v>26708</v>
      </c>
      <c r="C12934" s="1">
        <v>1</v>
      </c>
      <c r="D12934" s="1" t="str">
        <f>"11380"</f>
        <v>11380</v>
      </c>
      <c r="E12934" s="1" t="s">
        <v>558</v>
      </c>
      <c r="F12934" s="1">
        <v>13</v>
      </c>
      <c r="G12934" s="1">
        <v>9</v>
      </c>
      <c r="H12934" s="1">
        <v>0</v>
      </c>
      <c r="I12934" s="1" t="s">
        <v>26686</v>
      </c>
      <c r="K12934" s="1" t="str">
        <f t="shared" si="816"/>
        <v>ㄨ</v>
      </c>
      <c r="L12934" s="1" t="str">
        <f t="shared" si="817"/>
        <v>ㄟ</v>
      </c>
      <c r="N12934" s="3" t="s">
        <v>30575</v>
      </c>
      <c r="O12934" s="3"/>
      <c r="P12934" s="1" t="s">
        <v>20</v>
      </c>
      <c r="R12934" s="1" t="s">
        <v>26687</v>
      </c>
      <c r="V12934" s="1" t="s">
        <v>26709</v>
      </c>
      <c r="AR12934" s="1" t="str">
        <f t="shared" si="818"/>
        <v>| [ㄨㄟˊ](ㄨㄟˊ.md) | [違](違.md) |  | wéi | [動]
1.離開、離別。如：「久違」、「睽違」。唐．喬知之〈擬古贈陳子昂〉詩：「節物感離居，同衾違故鄉。」
2.距離、相距。《左傳．哀公二十七年》：「乃救鄭，及留舒，違穀七里，穀人不知。」《禮記．中庸》：「忠恕違道不遠，施諸己而不願，亦勿施於人。」
3.反、背。如：「違約」、「違命」、「違法」。《孟子．梁惠王上》：「不違農時，穀不可勝食也。」《文選．嵇康．幽憤詩》：「事與願違，遘茲淹留。」
4.避開。《易經．乾卦》：「文言曰：『樂則行之，憂則違之。』」《遼史．卷三二．營衛志中》：「秋冬違寒，春夏避暑，隨水草就畋漁，歲以為常。」
[名]
過失、邪行。《左傳．桓公二年》：「君人者，將昭德塞違，以臨照百官，猶懼或失之。」《樂府詩集．卷七三．雜曲歌辭十三．古辭．焦仲卿妻》：「十七遣汝嫁，謂言無誓違。」 |</v>
      </c>
    </row>
    <row r="12935" spans="1:44" hidden="1">
      <c r="A12935" s="1" t="s">
        <v>26710</v>
      </c>
      <c r="C12935" s="1">
        <v>1</v>
      </c>
      <c r="D12935" s="1" t="str">
        <f>"11381"</f>
        <v>11381</v>
      </c>
      <c r="E12935" s="1" t="s">
        <v>709</v>
      </c>
      <c r="F12935" s="1">
        <v>17</v>
      </c>
      <c r="G12935" s="1">
        <v>9</v>
      </c>
      <c r="H12935" s="1">
        <v>0</v>
      </c>
      <c r="I12935" s="1" t="s">
        <v>26686</v>
      </c>
      <c r="K12935" s="1" t="str">
        <f t="shared" si="816"/>
        <v>ㄨ</v>
      </c>
      <c r="L12935" s="1" t="str">
        <f t="shared" si="817"/>
        <v>ㄟ</v>
      </c>
      <c r="N12935" s="3" t="s">
        <v>30575</v>
      </c>
      <c r="O12935" s="3"/>
      <c r="P12935" s="1" t="s">
        <v>20</v>
      </c>
      <c r="R12935" s="1" t="s">
        <v>26687</v>
      </c>
      <c r="V12935" s="1" t="s">
        <v>26711</v>
      </c>
      <c r="AR12935" s="1" t="str">
        <f t="shared" si="818"/>
        <v>| [ㄨㄟˊ](ㄨㄟˊ.md) | [闈](闈.md) |  | wéi | [名]
1.宮中的旁門。《左傳．哀公十四年》：「子我歸，屬徒攻闈與大門，皆不勝，乃出。」《文選．張衡．西京賦》：「天梁之宮，寔開高闈。」
2.宮內后妃所住的地方。《後漢書．卷一〇．皇后紀上．序》：「后正位宮闈，同體天王。」《宋書．卷四一．后妃傳．孝武文穆王皇后傳》：「庶儀發椒，闈化動中。」
3.內室、父母居住的房間。借指父母親。晉．束晳〈補亡詩．南陔〉：「眷戀庭闈，心不遑留。」
4.考試的場所。如：「春闈」、「秋闈」。唐．劉長卿〈送孫瑩京監擢第歸蜀覲省〉詩：「禮闈稱獨步，太學許能文。」
5.考試時辦理命題、印試卷的場所。如：「出闈」、「入闈」、「闈場」。 |</v>
      </c>
    </row>
    <row r="12936" spans="1:44" hidden="1">
      <c r="A12936" s="1" t="s">
        <v>26712</v>
      </c>
      <c r="C12936" s="1">
        <v>1</v>
      </c>
      <c r="D12936" s="1" t="str">
        <f>"11382"</f>
        <v>11382</v>
      </c>
      <c r="E12936" s="1" t="s">
        <v>250</v>
      </c>
      <c r="F12936" s="1">
        <v>11</v>
      </c>
      <c r="G12936" s="1">
        <v>8</v>
      </c>
      <c r="H12936" s="1">
        <v>0</v>
      </c>
      <c r="I12936" s="1" t="s">
        <v>26686</v>
      </c>
      <c r="K12936" s="1" t="str">
        <f t="shared" si="816"/>
        <v>ㄨ</v>
      </c>
      <c r="L12936" s="1" t="str">
        <f t="shared" si="817"/>
        <v>ㄟ</v>
      </c>
      <c r="N12936" s="3" t="s">
        <v>30575</v>
      </c>
      <c r="O12936" s="3"/>
      <c r="P12936" s="1" t="s">
        <v>20</v>
      </c>
      <c r="R12936" s="1" t="s">
        <v>26687</v>
      </c>
      <c r="V12936" s="1" t="s">
        <v>26713</v>
      </c>
      <c r="AR12936" s="1" t="str">
        <f t="shared" si="818"/>
        <v>| [ㄨㄟˊ](ㄨㄟˊ.md) | [惟](惟.md) |  | wéi | [動]
1.思考、思量。《說文解字．心部》：「惟，凡思也。」《史記．卷一三〇．太史公自序》：「退而深惟曰：『夫詩書隱約者，欲遂其志之思也。』」《文選．楊惲．報孫會宗書》：「竊恨足下不深惟其終始，而猥隨俗之毀譽也。」
2.是、為。《書經．益稷》：「萬邦黎獻，共惟帝臣。」
3.有。《禮記．緇衣》：「自周有終，相亦惟終。」《文選．張衡．東京賦》：「召伯相宅，卜惟洛食。」
[副]
1.僅、獨、只有。《孟子．梁惠王上》：「無恆產而有恆心者，惟士為能。」
2.但是、只是。如：「病已治好，惟身體仍然虛弱無力。」
3.希望、祈使。《孟子．梁惠王下》：「先王無流連之樂，荒亡之行，惟君所行也。」《新唐書．卷一一五．郝處俊傳》：「處俊言可從，惟陛下不疑。」
[助]
1.發語詞，無義。通「唯」、「維」。《書經．泰誓上》：「惟十有一年，武王伐殷。」《孟子．滕文公下》：「惟士無田，則亦不祭。」
2.用於句中，無義。《書經．皋陶謨》：「百僚師師，百工惟時。」
[連]
1.雖然、即使。《史記．卷九二．淮陰侯傳》：「惟信亦為大王不如也。然臣嘗事之，請言項王之為人也。」
2.與、和。《書經．多方》：「告爾四國多方，惟爾殷侯尹民。」
3.則。《書經．呂刑》：「德威惟畏，德明惟明。」
[介]
以、因為。《書經．盤庚中》：「亦惟汝故，以丕從厥志。」 |</v>
      </c>
    </row>
    <row r="12937" spans="1:44" hidden="1">
      <c r="A12937" s="1" t="s">
        <v>26714</v>
      </c>
      <c r="C12937" s="1">
        <v>1</v>
      </c>
      <c r="D12937" s="1" t="str">
        <f>"11383"</f>
        <v>11383</v>
      </c>
      <c r="E12937" s="1" t="s">
        <v>28</v>
      </c>
      <c r="F12937" s="1">
        <v>11</v>
      </c>
      <c r="G12937" s="1">
        <v>8</v>
      </c>
      <c r="H12937" s="1">
        <v>1</v>
      </c>
      <c r="I12937" s="1" t="s">
        <v>26686</v>
      </c>
      <c r="K12937" s="1" t="str">
        <f t="shared" si="816"/>
        <v>ㄨ</v>
      </c>
      <c r="L12937" s="1" t="str">
        <f t="shared" si="817"/>
        <v>ㄟ</v>
      </c>
      <c r="N12937" s="3" t="s">
        <v>30575</v>
      </c>
      <c r="O12937" s="3"/>
      <c r="P12937" s="1" t="s">
        <v>20</v>
      </c>
      <c r="R12937" s="1" t="s">
        <v>26687</v>
      </c>
      <c r="V12937" s="1" t="s">
        <v>26715</v>
      </c>
      <c r="W12937" s="1" t="s">
        <v>26716</v>
      </c>
      <c r="AR12937" s="1" t="str">
        <f t="shared" si="818"/>
        <v>| [ㄨㄟˊ](ㄨㄟˊ.md) | [唯](唯.md) |  | wéi | [副]
1.獨、只有。通「惟」。《易經．同人卦．彖曰》：「唯君子為能通天下之志。」《楚辭．屈原．離騷》：「芳與澤其雜糅兮，唯昭質其猶未虧。」
2.以、因為。《左傳．僖公二年》：「冀之既病，則亦唯君故。」《禮記．檀弓下》：「予唯不食嗟來之食以至於斯也。」
3.希望、祈使。《史記．卷八一．廉頗藺相如傳》：「臣請就湯鑊，唯大王與群臣孰計議之。」《漢書．卷九七．外戚傳下．孝成趙皇后傳》：「陛下未有繼嗣，子無貴賤，唯留意！」
4.聽任、聽隨。《左傳．僖公十五年》：「唯所納之，無不如志。」《莊子．說劍》：「然臣有三劍，唯王所用，請先言而後試。」
[連]
雖。通「惟」。《荀子．性惡》：「今以仁義法正為固無可知可能之理邪？然則唯禹不知仁義法正，不能仁義法正也。」《史記．卷一二〇．汲黯傳》：「弘、湯深心疾黯，唯天子亦不說也。」
[助]
發語詞，無義。通「惟」、「維」。《論語．述而》：「互鄉難與言，童子見，門人惑。子曰：『與其進也，不與其退也，唯何甚！』」《漢書．卷四〇．張良傳》：「今乃立六國後，唯無復立者。」 |</v>
      </c>
    </row>
    <row r="12938" spans="1:44" hidden="1">
      <c r="A12938" s="1" t="s">
        <v>26717</v>
      </c>
      <c r="C12938" s="1">
        <v>1</v>
      </c>
      <c r="D12938" s="1" t="str">
        <f>"11384"</f>
        <v>11384</v>
      </c>
      <c r="E12938" s="1" t="s">
        <v>222</v>
      </c>
      <c r="F12938" s="1">
        <v>11</v>
      </c>
      <c r="G12938" s="1">
        <v>8</v>
      </c>
      <c r="H12938" s="1">
        <v>0</v>
      </c>
      <c r="I12938" s="1" t="s">
        <v>26686</v>
      </c>
      <c r="K12938" s="1" t="str">
        <f t="shared" si="816"/>
        <v>ㄨ</v>
      </c>
      <c r="L12938" s="1" t="str">
        <f t="shared" si="817"/>
        <v>ㄟ</v>
      </c>
      <c r="N12938" s="3" t="s">
        <v>30575</v>
      </c>
      <c r="O12938" s="3"/>
      <c r="P12938" s="1" t="s">
        <v>20</v>
      </c>
      <c r="R12938" s="1" t="s">
        <v>26687</v>
      </c>
      <c r="V12938" s="1" t="s">
        <v>26718</v>
      </c>
      <c r="AR12938" s="1" t="str">
        <f t="shared" si="818"/>
        <v>| [ㄨㄟˊ](ㄨㄟˊ.md) | [帷](帷.md) |  | wéi | [名]
帳幕。如：「車帷」、「帷幕」。《史記．卷一二六．滑稽傳．褚少孫補西門豹傳》：「為治齋宮河上，張緹絳帷，女居其中。」《新唐書．卷二〇五．列女傳．房玄齡妻盧傳》：「盧泣入帷中，剔一目示玄齡，明無它。」 |</v>
      </c>
    </row>
    <row r="12939" spans="1:44" hidden="1">
      <c r="A12939" s="1" t="s">
        <v>26719</v>
      </c>
      <c r="C12939" s="1">
        <v>1</v>
      </c>
      <c r="D12939" s="1" t="str">
        <f>"11385"</f>
        <v>11385</v>
      </c>
      <c r="E12939" s="1" t="s">
        <v>725</v>
      </c>
      <c r="F12939" s="1">
        <v>14</v>
      </c>
      <c r="G12939" s="1">
        <v>8</v>
      </c>
      <c r="H12939" s="1">
        <v>0</v>
      </c>
      <c r="I12939" s="1" t="s">
        <v>26686</v>
      </c>
      <c r="K12939" s="1" t="str">
        <f t="shared" si="816"/>
        <v>ㄨ</v>
      </c>
      <c r="L12939" s="1" t="str">
        <f t="shared" si="817"/>
        <v>ㄟ</v>
      </c>
      <c r="N12939" s="3" t="s">
        <v>30575</v>
      </c>
      <c r="O12939" s="3"/>
      <c r="P12939" s="1" t="s">
        <v>20</v>
      </c>
      <c r="R12939" s="1" t="s">
        <v>26687</v>
      </c>
      <c r="V12939" s="1" t="s">
        <v>26720</v>
      </c>
      <c r="AR12939" s="1" t="str">
        <f t="shared" si="818"/>
        <v>| [ㄨㄟˊ](ㄨㄟˊ.md) | [維](維.md) |  | wéi | [名]
1.繫物的粗繩子。《說文解字．糸部》：「維，車蓋維也。」《儀禮．大射》：「中離維綱。」唐．賈公彥．疏：「綱與維皆用繩為之。」
2.法度、綱要。《後漢書．卷六六．陳蕃傳》：「人君者，攝天地之政，秉四海之維。」《文選．司馬遷．報任少卿書》：「不以此時引綱維，盡思慮。」
3.細長的東西。如：「纖維」。
4.姓。如漢代有維汜。
[動]
1.繫、拴。《儀禮．士相見禮》：「飾之以布，維之以索。」唐．元稹〈大觜鳥〉詩：「白鶴門外養，花鷹架上維。」
2.連結。《周禮．夏官．大司馬》：「建牧立監，以維邦國。」
3.保持、護全。如：「維持」、「維護」。《韓非子．心度》：「故民樸而禁之以名，則治，世知維之以刑，則從。」
[副]
僅、只有。《詩經．小雅．谷風》：「將恐將懼，維予與女。」《史記．卷二．夏本紀》：「毋若丹朱傲，維慢游是好，毋水行舟，朋淫于家，用絕其世。」
[助]
置於句首或句中的語氣詞，無義。通「惟」、「唯」。《詩經．召南．鵲巢》：「維鵲有巢，維鳩居之。」唐．王勃〈滕王閣序〉：「時維九月，序屬三秋。」 |</v>
      </c>
    </row>
    <row r="12940" spans="1:44" hidden="1">
      <c r="A12940" s="1" t="s">
        <v>26721</v>
      </c>
      <c r="C12940" s="1">
        <v>1</v>
      </c>
      <c r="D12940" s="1" t="str">
        <f>"11386"</f>
        <v>11386</v>
      </c>
      <c r="E12940" s="1" t="s">
        <v>129</v>
      </c>
      <c r="F12940" s="1">
        <v>17</v>
      </c>
      <c r="G12940" s="1">
        <v>14</v>
      </c>
      <c r="H12940" s="1">
        <v>0</v>
      </c>
      <c r="I12940" s="1" t="s">
        <v>26686</v>
      </c>
      <c r="K12940" s="1" t="str">
        <f t="shared" si="816"/>
        <v>ㄨ</v>
      </c>
      <c r="L12940" s="1" t="str">
        <f t="shared" si="817"/>
        <v>ㄟ</v>
      </c>
      <c r="N12940" s="3" t="s">
        <v>30575</v>
      </c>
      <c r="O12940" s="3"/>
      <c r="P12940" s="1" t="s">
        <v>20</v>
      </c>
      <c r="R12940" s="1" t="s">
        <v>26687</v>
      </c>
      <c r="V12940" s="1" t="s">
        <v>26722</v>
      </c>
      <c r="AR12940" s="1" t="str">
        <f t="shared" si="818"/>
        <v>| [ㄨㄟˊ](ㄨㄟˊ.md) | [濰](濰.md) |  | wéi | 參見「濰河」條。 |</v>
      </c>
    </row>
    <row r="12941" spans="1:44" hidden="1">
      <c r="A12941" s="1" t="s">
        <v>26723</v>
      </c>
      <c r="C12941" s="1">
        <v>1</v>
      </c>
      <c r="D12941" s="1" t="str">
        <f>"11387"</f>
        <v>11387</v>
      </c>
      <c r="E12941" s="1" t="s">
        <v>190</v>
      </c>
      <c r="F12941" s="1">
        <v>13</v>
      </c>
      <c r="G12941" s="1">
        <v>10</v>
      </c>
      <c r="H12941" s="1">
        <v>0</v>
      </c>
      <c r="I12941" s="1" t="s">
        <v>26686</v>
      </c>
      <c r="K12941" s="1" t="str">
        <f t="shared" si="816"/>
        <v>ㄨ</v>
      </c>
      <c r="L12941" s="1" t="str">
        <f t="shared" si="817"/>
        <v>ㄟ</v>
      </c>
      <c r="N12941" s="3" t="s">
        <v>30575</v>
      </c>
      <c r="O12941" s="3"/>
      <c r="P12941" s="1" t="s">
        <v>20</v>
      </c>
      <c r="R12941" s="1" t="s">
        <v>26687</v>
      </c>
      <c r="V12941" s="1" t="s">
        <v>26724</v>
      </c>
      <c r="AR12941" s="1" t="str">
        <f t="shared" si="818"/>
        <v>| [ㄨㄟˊ](ㄨㄟˊ.md) | [嵬](嵬.md) |  | wéi | [形]
1.高而不平的樣子。如：「崔嵬」。
2.狂妄的樣子。參見「嵬說」條。 |</v>
      </c>
    </row>
    <row r="12942" spans="1:44" hidden="1">
      <c r="A12942" s="1" t="s">
        <v>26725</v>
      </c>
      <c r="C12942" s="1">
        <v>1</v>
      </c>
      <c r="D12942" s="1" t="str">
        <f>"11388"</f>
        <v>11388</v>
      </c>
      <c r="E12942" s="1" t="s">
        <v>83</v>
      </c>
      <c r="F12942" s="1">
        <v>18</v>
      </c>
      <c r="G12942" s="1">
        <v>8</v>
      </c>
      <c r="H12942" s="1">
        <v>2</v>
      </c>
      <c r="I12942" s="1" t="s">
        <v>26686</v>
      </c>
      <c r="K12942" s="1" t="str">
        <f t="shared" ref="K12942:K13005" si="819">LEFT(I12942, 1)</f>
        <v>ㄨ</v>
      </c>
      <c r="L12942" s="1" t="str">
        <f t="shared" ref="L12942:L13005" si="820">MID(I12942, 2, 1)</f>
        <v>ㄟ</v>
      </c>
      <c r="N12942" s="3" t="s">
        <v>30575</v>
      </c>
      <c r="O12942" s="3"/>
      <c r="P12942" s="1" t="s">
        <v>20</v>
      </c>
      <c r="R12942" s="1" t="s">
        <v>26687</v>
      </c>
      <c r="V12942" s="1" t="s">
        <v>26726</v>
      </c>
      <c r="W12942" s="1" t="s">
        <v>26727</v>
      </c>
      <c r="AR12942" s="1" t="str">
        <f t="shared" si="818"/>
        <v>| [ㄨㄟˊ](ㄨㄟˊ.md) | [魏](魏.md) |  | wéi | [形]
高大的樣子。同「巍」。《史記．卷三九．晉世家》：「萬，盈數也；魏，大名也。」裴駰集解引服虔曰：「魏喻巍。巍，高大也。」 |</v>
      </c>
    </row>
    <row r="12943" spans="1:44" hidden="1">
      <c r="A12943" s="1" t="s">
        <v>26728</v>
      </c>
      <c r="C12943" s="1">
        <v>1</v>
      </c>
      <c r="D12943" s="1" t="str">
        <f>"11389"</f>
        <v>11389</v>
      </c>
      <c r="E12943" s="1" t="s">
        <v>190</v>
      </c>
      <c r="F12943" s="1">
        <v>21</v>
      </c>
      <c r="G12943" s="1">
        <v>18</v>
      </c>
      <c r="H12943" s="1">
        <v>0</v>
      </c>
      <c r="I12943" s="1" t="s">
        <v>26686</v>
      </c>
      <c r="K12943" s="1" t="str">
        <f t="shared" si="819"/>
        <v>ㄨ</v>
      </c>
      <c r="L12943" s="1" t="str">
        <f t="shared" si="820"/>
        <v>ㄟ</v>
      </c>
      <c r="N12943" s="3" t="s">
        <v>30575</v>
      </c>
      <c r="O12943" s="3"/>
      <c r="P12943" s="1" t="s">
        <v>20</v>
      </c>
      <c r="R12943" s="1" t="s">
        <v>26687</v>
      </c>
      <c r="V12943" s="1" t="s">
        <v>26729</v>
      </c>
      <c r="AR12943" s="1" t="str">
        <f t="shared" si="818"/>
        <v>| [ㄨㄟˊ](ㄨㄟˊ.md) | [巍](巍.md) |  | wéi | [形]
高大。《說文解字．嵬部》：「巍，高也。」《文選．張衡．思玄賦》：「瞻崑崙之巍巍兮，臨縈河之洋洋。」《紅樓夢》第一七回：「則見崇閣巍峨，層樓高起。」 |</v>
      </c>
    </row>
    <row r="12944" spans="1:44" hidden="1">
      <c r="A12944" s="1" t="s">
        <v>26683</v>
      </c>
      <c r="C12944" s="1">
        <v>1</v>
      </c>
      <c r="D12944" s="1" t="str">
        <f>"11390"</f>
        <v>11390</v>
      </c>
      <c r="E12944" s="1" t="s">
        <v>234</v>
      </c>
      <c r="F12944" s="1">
        <v>13</v>
      </c>
      <c r="G12944" s="1">
        <v>10</v>
      </c>
      <c r="H12944" s="1">
        <v>1</v>
      </c>
      <c r="I12944" s="1" t="s">
        <v>26686</v>
      </c>
      <c r="K12944" s="1" t="str">
        <f t="shared" si="819"/>
        <v>ㄨ</v>
      </c>
      <c r="L12944" s="1" t="str">
        <f t="shared" si="820"/>
        <v>ㄟ</v>
      </c>
      <c r="N12944" s="3" t="s">
        <v>30575</v>
      </c>
      <c r="O12944" s="3"/>
      <c r="P12944" s="1" t="s">
        <v>20</v>
      </c>
      <c r="R12944" s="1" t="s">
        <v>26687</v>
      </c>
      <c r="V12944" s="1" t="s">
        <v>26730</v>
      </c>
      <c r="W12944" s="1" t="s">
        <v>26731</v>
      </c>
      <c r="AR12944" s="1" t="str">
        <f t="shared" si="818"/>
        <v>| [ㄨㄟˊ](ㄨㄟˊ.md) | [微](微.md) |  | wéi | [動]
1.隱匿。《說文解字．彳部》：「微，隱行也。」《左傳．哀公十六年》：「白公奔山而縊，其徒微之。」
2.無、沒。《論語．憲問》：「微管仲，吾其被髮左衽矣。」《史記．卷八七．李斯傳》：「微趙君，幾為丞相所賣。」
3.非、不是。《詩經．邶風．柏舟》：「微我無酒，以敖以遊。」《呂氏春秋．離俗覽．離俗》：「然而以理義斲削，神農黃帝猶有可非，微獨舜湯。」
[形]
1.精妙幽深。《書經．大禹謨》：「人心惟危，道心惟微，惟精惟一，允執厥中。」《禮記．學記》：「其言也，約而達，微而臧。」
2.細小。如：「細微」、「具體而微」。
3.卑賤。如：「人微言輕」、「出身寒微」。《史記．卷九．呂太后本紀》：「呂太后者，高祖微時妃也。」《聊齋志異．卷一〇．臙脂》：「而又念其出身微，且日登公堂，為千人所窺指。」
4.衰落。如：「衰微」。《詩經．邶風．式微》：「式微式微，胡不歸？」《史記．卷三二．齊太公世家》：「是時周室微，唯齊、楚、秦、晉為彊。」
5.少。《禮記．祭義》：「雖有奇邪而不治者，則微矣。」
6.昏暗不明。《詩經．小雅．十月之交》：「彼月而微，此日而微。」《文選．謝靈運．石壁精舍還湖中作詩》：「出谷日尚早，入舟陽已微。」
[副]
1.暗中、祕密。如：「微行」。《漢書．卷四五．伍被傳》：「淮南王陰有邪謀，被數微諫。」唐．柳宗元〈童區寄傳〉：「童微伺其睡，以縳背刃，力上下得絕。」
2.伺探。《史記．卷一二．孝武本紀》：「使人微得趙綰等姦利事，召案綰、臧，綰臧自殺。」《漢書．卷九二．游俠傳．郭解傳》：「解使人微知賊處。賊窘自歸，具以實告解。」
3.稍、略。如：「稍微」、「略微」。《漢書．卷九九．王莽傳上》：「莽色厲而言方，欲有所為，微見風采，黨與承其指意而顯奏之。」《文選．宋玉．登徒子好色賦》：「含喜微笑，竊視流眄。」
[名]
姓。如春秋時魯國有微虎。 |</v>
      </c>
    </row>
    <row r="12945" spans="1:44" hidden="1">
      <c r="A12945" s="1" t="s">
        <v>26732</v>
      </c>
      <c r="C12945" s="1">
        <v>1</v>
      </c>
      <c r="D12945" s="1" t="str">
        <f>"11391"</f>
        <v>11391</v>
      </c>
      <c r="E12945" s="1" t="s">
        <v>37</v>
      </c>
      <c r="F12945" s="1">
        <v>17</v>
      </c>
      <c r="G12945" s="1">
        <v>13</v>
      </c>
      <c r="H12945" s="1">
        <v>0</v>
      </c>
      <c r="I12945" s="1" t="s">
        <v>26686</v>
      </c>
      <c r="K12945" s="1" t="str">
        <f t="shared" si="819"/>
        <v>ㄨ</v>
      </c>
      <c r="L12945" s="1" t="str">
        <f t="shared" si="820"/>
        <v>ㄟ</v>
      </c>
      <c r="N12945" s="3" t="s">
        <v>30575</v>
      </c>
      <c r="O12945" s="3"/>
      <c r="P12945" s="1" t="s">
        <v>20</v>
      </c>
      <c r="R12945" s="1" t="s">
        <v>26687</v>
      </c>
      <c r="V12945" s="1" t="s">
        <v>26733</v>
      </c>
      <c r="AR12945" s="1" t="str">
        <f t="shared" si="818"/>
        <v>| [ㄨㄟˊ](ㄨㄟˊ.md) | [薇](薇.md) |  | wéi | [名]
植物名：(1)紫萁科紫萁屬，多年生草本，高五十至八十公分。葉叢生，有孢子葉與營養葉之分，營養葉三角狀卵形，二回羽狀複葉，小羽片全緣，游離脈；孢子葉全部或部分羽片著生孢子囊。幼嫩時可供食用，多生於山野向陽草地。也稱為「紫萁」。(2)豆科蠶豆屬，「苕子」、「大巢菜」之古稱，參見「苕子」條。 |</v>
      </c>
    </row>
    <row r="12946" spans="1:44" hidden="1">
      <c r="A12946" s="1" t="s">
        <v>24945</v>
      </c>
      <c r="C12946" s="1">
        <v>1</v>
      </c>
      <c r="D12946" s="1" t="str">
        <f>"11392"</f>
        <v>11392</v>
      </c>
      <c r="E12946" s="1" t="s">
        <v>871</v>
      </c>
      <c r="F12946" s="1">
        <v>7</v>
      </c>
      <c r="G12946" s="1">
        <v>4</v>
      </c>
      <c r="H12946" s="1">
        <v>1</v>
      </c>
      <c r="I12946" s="1" t="s">
        <v>26734</v>
      </c>
      <c r="K12946" s="1" t="str">
        <f t="shared" si="819"/>
        <v>ㄨ</v>
      </c>
      <c r="L12946" s="1" t="str">
        <f t="shared" si="820"/>
        <v>ㄟ</v>
      </c>
      <c r="N12946" s="3" t="s">
        <v>30576</v>
      </c>
      <c r="O12946" s="3"/>
      <c r="P12946" s="1" t="s">
        <v>20</v>
      </c>
      <c r="R12946" s="1" t="s">
        <v>26735</v>
      </c>
      <c r="V12946" s="1" t="s">
        <v>26736</v>
      </c>
      <c r="W12946" s="1" t="s">
        <v>26737</v>
      </c>
      <c r="AR12946" s="1" t="str">
        <f t="shared" si="818"/>
        <v>| [ㄨㄟˇ](ㄨㄟˇ.md) | [尾](尾.md) |  | wěi | [名]
1.鳥獸蟲魚等脊椎末梢突出的部分。如：「尾巴」、「魚尾」。《三國志．卷一八．魏書．許褚傳》：「褚乃出陳前，一手逆曳牛尾，行百餘步。」
2.量詞。計算魚的數量的單位。如：「一尾魚」。唐．柳宗元〈游黃溪記〉：「有魚數百尾，方來會石下。」
3.最後、末端。如：「結尾」、「年尾」、「月尾」、「首尾」、「有頭有尾」。
[形]
1.末端的、後面的。如：「尾聲」、「尾舵」。
2.殘餘的、主要部分以外的。如：「尾數」、「尾款」。
[動]
1.追隨、跟著。《儒林外史》第一三回：「差人見那人出神，叫宦成坐著，自己悄悄尾了那人去。」
2.鳥獸交配。《列子．黃帝》：「雄雌在前，孳尾成群。」 |</v>
      </c>
    </row>
    <row r="12947" spans="1:44" hidden="1">
      <c r="A12947" s="1" t="s">
        <v>26738</v>
      </c>
      <c r="C12947" s="1">
        <v>1</v>
      </c>
      <c r="D12947" s="1" t="str">
        <f>"11393"</f>
        <v>11393</v>
      </c>
      <c r="E12947" s="1" t="s">
        <v>534</v>
      </c>
      <c r="F12947" s="1">
        <v>10</v>
      </c>
      <c r="G12947" s="1">
        <v>7</v>
      </c>
      <c r="H12947" s="1">
        <v>0</v>
      </c>
      <c r="I12947" s="1" t="s">
        <v>26734</v>
      </c>
      <c r="K12947" s="1" t="str">
        <f t="shared" si="819"/>
        <v>ㄨ</v>
      </c>
      <c r="L12947" s="1" t="str">
        <f t="shared" si="820"/>
        <v>ㄟ</v>
      </c>
      <c r="N12947" s="3" t="s">
        <v>30576</v>
      </c>
      <c r="O12947" s="3"/>
      <c r="P12947" s="1" t="s">
        <v>20</v>
      </c>
      <c r="R12947" s="1" t="s">
        <v>26735</v>
      </c>
      <c r="V12947" s="1" t="s">
        <v>26739</v>
      </c>
      <c r="AR12947" s="1" t="str">
        <f t="shared" si="818"/>
        <v>| [ㄨㄟˇ](ㄨㄟˇ.md) | [娓](娓.md) |  | wěi | [動]
順從。《說文解字．女部》：「娓，順也。」《廣韻．去聲．至韻》：「娓，從也。」
[形]
美。《玉篇．女部》：「娓，美也。」
[副]
勤勉不倦的樣子。參見「娓娓」條。 |</v>
      </c>
    </row>
    <row r="12948" spans="1:44" hidden="1">
      <c r="A12948" s="1" t="s">
        <v>26740</v>
      </c>
      <c r="C12948" s="1">
        <v>1</v>
      </c>
      <c r="D12948" s="1" t="str">
        <f>"11394"</f>
        <v>11394</v>
      </c>
      <c r="E12948" s="1" t="s">
        <v>181</v>
      </c>
      <c r="F12948" s="1">
        <v>13</v>
      </c>
      <c r="G12948" s="1">
        <v>7</v>
      </c>
      <c r="H12948" s="1">
        <v>0</v>
      </c>
      <c r="I12948" s="1" t="s">
        <v>26734</v>
      </c>
      <c r="K12948" s="1" t="str">
        <f t="shared" si="819"/>
        <v>ㄨ</v>
      </c>
      <c r="L12948" s="1" t="str">
        <f t="shared" si="820"/>
        <v>ㄟ</v>
      </c>
      <c r="N12948" s="3" t="s">
        <v>30576</v>
      </c>
      <c r="O12948" s="3"/>
      <c r="P12948" s="1" t="s">
        <v>20</v>
      </c>
      <c r="R12948" s="1" t="s">
        <v>26735</v>
      </c>
      <c r="V12948" s="1" t="s">
        <v>26741</v>
      </c>
      <c r="AR12948" s="1" t="str">
        <f t="shared" si="818"/>
        <v>| [ㄨㄟˇ](ㄨㄟˇ.md) | [艉](艉.md) |  | wěi | [名]
造船工程上指船體的尾部。 |</v>
      </c>
    </row>
    <row r="12949" spans="1:44" hidden="1">
      <c r="A12949" s="1" t="s">
        <v>26649</v>
      </c>
      <c r="C12949" s="1">
        <v>1</v>
      </c>
      <c r="D12949" s="1" t="str">
        <f>"11395"</f>
        <v>11395</v>
      </c>
      <c r="E12949" s="1" t="s">
        <v>534</v>
      </c>
      <c r="F12949" s="1">
        <v>8</v>
      </c>
      <c r="G12949" s="1">
        <v>5</v>
      </c>
      <c r="H12949" s="1">
        <v>1</v>
      </c>
      <c r="I12949" s="1" t="s">
        <v>26734</v>
      </c>
      <c r="K12949" s="1" t="str">
        <f t="shared" si="819"/>
        <v>ㄨ</v>
      </c>
      <c r="L12949" s="1" t="str">
        <f t="shared" si="820"/>
        <v>ㄟ</v>
      </c>
      <c r="N12949" s="3" t="s">
        <v>30576</v>
      </c>
      <c r="O12949" s="3"/>
      <c r="P12949" s="1" t="s">
        <v>20</v>
      </c>
      <c r="R12949" s="1" t="s">
        <v>26735</v>
      </c>
      <c r="V12949" s="1" t="s">
        <v>26742</v>
      </c>
      <c r="W12949" s="1" t="s">
        <v>26743</v>
      </c>
      <c r="AR12949" s="1" t="str">
        <f t="shared" si="818"/>
        <v>| [ㄨㄟˇ](ㄨㄟˇ.md) | [委](委.md) |  | wěi | [動]_x000D_
1.任命、託付。如：「委以官職」、「委身於人」。《資治通鑑．卷二三九．唐紀五十五．憲宗元和八年》：「以伯靖為歸州司馬，委荊南軍前驅使。」《二十年目睹之怪現狀》第四二回：「衙門裡幾位老夫子都弄不好，就委了方伯，方伯又轉委我。」_x000D_
2.捨棄。《孟子．公孫丑下》：「米粟非不多也，委而去之，是地利不如人和也。」唐．白居易〈長恨歌〉：「花鈿委地無人收，翠翹金雀玉搔頭。」_x000D_
3.推託、推卸。如：「委過於人」、「推委責任」。《晉書．卷一〇六．石季龍載記上》：「此政之失和，朕之不德，而欲委咎守宰，豈禹湯罪己之義耶？」_x000D_
4.累積、聚積。《公羊傳．桓公十四年》：「御廩者何？粢盛委之所藏也。」漢．揚雄〈甘泉賦〉：「儐暗藹兮降清壇，瑞穰穰兮委如山。」_x000D_
5.枯萎憔悴。三國魏．曹植〈贈丁儀詩〉：「黍稷委疇隴，農夫安所獲？」南朝齊．謝朓〈暫使下都夜發新林至京邑贈西府同僚〉詩：「時菊委嚴霜，寄言尉羅者。」_x000D_
6.放置。《戰國策．燕策三》：「是以委肉當餓虎之蹊，禍必不振矣。」南朝宋．劉義慶《世說新語．雅量》：「羊了不眄，唯腳委几上，詠囑自若。」_x000D_
[形]_x000D_
1.疲困、頹喪的。如：「委靡不振」。_x000D_
2.曲折的。如：「委婉」。_x000D_
3.細小的。參見「委瑣」條。_x000D_
[副]_x000D_
確實。《西遊記》第二六回：「弟子委偷了他三個，弟兄們分喫了。」清．洪昇《長生殿》第九齣：「朕委無聊賴，且到宮門外閒步片時。」_x000D_
[名]_x000D_
1.事情的終了。如：「窮源竟委」。唐．元稹〈和李校書新題樂府．驃國樂〉：「教化從來有源委，必將泳海先泳河。」_x000D_
2.委員的簡稱。如：「立委」、「監委」、「主委」。_x000D_
3.姓。如漢代有委進。 |</v>
      </c>
    </row>
    <row r="12950" spans="1:44" hidden="1">
      <c r="A12950" s="1" t="s">
        <v>26656</v>
      </c>
      <c r="C12950" s="1">
        <v>1</v>
      </c>
      <c r="D12950" s="1" t="str">
        <f>"11396"</f>
        <v>11396</v>
      </c>
      <c r="E12950" s="1" t="s">
        <v>37</v>
      </c>
      <c r="F12950" s="1">
        <v>12</v>
      </c>
      <c r="G12950" s="1">
        <v>8</v>
      </c>
      <c r="H12950" s="1">
        <v>2</v>
      </c>
      <c r="I12950" s="1" t="s">
        <v>26734</v>
      </c>
      <c r="K12950" s="1" t="str">
        <f t="shared" si="819"/>
        <v>ㄨ</v>
      </c>
      <c r="L12950" s="1" t="str">
        <f t="shared" si="820"/>
        <v>ㄟ</v>
      </c>
      <c r="N12950" s="3" t="s">
        <v>30576</v>
      </c>
      <c r="O12950" s="3"/>
      <c r="P12950" s="1" t="s">
        <v>20</v>
      </c>
      <c r="R12950" s="1" t="s">
        <v>26735</v>
      </c>
      <c r="V12950" s="1" t="s">
        <v>26744</v>
      </c>
      <c r="W12950" s="1" t="s">
        <v>26745</v>
      </c>
      <c r="AR12950" s="1" t="str">
        <f t="shared" si="818"/>
        <v>| [ㄨㄟˇ](ㄨㄟˇ.md) | [萎](萎.md) |  | wěi | 參見「萎蕤」條。 |</v>
      </c>
    </row>
    <row r="12951" spans="1:44" hidden="1">
      <c r="A12951" s="1" t="s">
        <v>26746</v>
      </c>
      <c r="C12951" s="1">
        <v>1</v>
      </c>
      <c r="D12951" s="1" t="str">
        <f>"11397"</f>
        <v>11397</v>
      </c>
      <c r="E12951" s="1" t="s">
        <v>40</v>
      </c>
      <c r="F12951" s="1">
        <v>13</v>
      </c>
      <c r="G12951" s="1">
        <v>8</v>
      </c>
      <c r="H12951" s="1">
        <v>0</v>
      </c>
      <c r="I12951" s="1" t="s">
        <v>26734</v>
      </c>
      <c r="K12951" s="1" t="str">
        <f t="shared" si="819"/>
        <v>ㄨ</v>
      </c>
      <c r="L12951" s="1" t="str">
        <f t="shared" si="820"/>
        <v>ㄟ</v>
      </c>
      <c r="N12951" s="3" t="s">
        <v>30576</v>
      </c>
      <c r="O12951" s="3"/>
      <c r="P12951" s="1" t="s">
        <v>20</v>
      </c>
      <c r="R12951" s="1" t="s">
        <v>26735</v>
      </c>
      <c r="V12951" s="1" t="s">
        <v>26747</v>
      </c>
      <c r="AR12951" s="1" t="str">
        <f t="shared" si="818"/>
        <v>| [ㄨㄟˇ](ㄨㄟˇ.md) | [痿](痿.md) |  | wěi | [名]
1.一種肌肉麻痺萎縮，不能行動自如的病。《黃帝內經素問．卷一二．痿論》：「居處相濕，肌肉濡漬，痹而不仁，發為肉痿。」
2.男子生殖器不能堅舉的病症。 |</v>
      </c>
    </row>
    <row r="12952" spans="1:44" hidden="1">
      <c r="A12952" s="1" t="s">
        <v>26748</v>
      </c>
      <c r="C12952" s="1">
        <v>1</v>
      </c>
      <c r="D12952" s="1" t="str">
        <f>"11398"</f>
        <v>11398</v>
      </c>
      <c r="E12952" s="1" t="s">
        <v>331</v>
      </c>
      <c r="F12952" s="1">
        <v>15</v>
      </c>
      <c r="G12952" s="1">
        <v>8</v>
      </c>
      <c r="H12952" s="1">
        <v>0</v>
      </c>
      <c r="I12952" s="1" t="s">
        <v>26734</v>
      </c>
      <c r="K12952" s="1" t="str">
        <f t="shared" si="819"/>
        <v>ㄨ</v>
      </c>
      <c r="L12952" s="1" t="str">
        <f t="shared" si="820"/>
        <v>ㄟ</v>
      </c>
      <c r="N12952" s="3" t="s">
        <v>30576</v>
      </c>
      <c r="O12952" s="3"/>
      <c r="P12952" s="1" t="s">
        <v>20</v>
      </c>
      <c r="R12952" s="1" t="s">
        <v>26735</v>
      </c>
      <c r="V12952" s="1" t="s">
        <v>26749</v>
      </c>
      <c r="AR12952" s="1" t="str">
        <f t="shared" si="818"/>
        <v>| [ㄨㄟˇ](ㄨㄟˇ.md) | [諉](諉.md) |  | wěi | [動]
1.連累。《漢書．卷六七．胡建傳》：「執事不諉上，臣謹以斬，昧死以聞。」《新唐書．卷一六七．王播傳》：「訓敗，起素長厚，人不以訓諉之，止罷其判。」
2.推卸、推託。通「委」。如：「推諉」、「大丈夫做事，決不諉卸別人。」《漢書．卷四八．賈誼傳》：「然尚有可諉者，曰疏，臣請試言其親者。」《新唐書．卷一二四．姚崇傳》：「殺蟲救人，禍歸於崇，不以諉公也！」 |</v>
      </c>
    </row>
    <row r="12953" spans="1:44" hidden="1">
      <c r="A12953" s="1" t="s">
        <v>26750</v>
      </c>
      <c r="C12953" s="1">
        <v>1</v>
      </c>
      <c r="D12953" s="1" t="str">
        <f>"11399"</f>
        <v>11399</v>
      </c>
      <c r="E12953" s="1" t="s">
        <v>129</v>
      </c>
      <c r="F12953" s="1">
        <v>9</v>
      </c>
      <c r="G12953" s="1">
        <v>6</v>
      </c>
      <c r="H12953" s="1">
        <v>0</v>
      </c>
      <c r="I12953" s="1" t="s">
        <v>26734</v>
      </c>
      <c r="K12953" s="1" t="str">
        <f t="shared" si="819"/>
        <v>ㄨ</v>
      </c>
      <c r="L12953" s="1" t="str">
        <f t="shared" si="820"/>
        <v>ㄟ</v>
      </c>
      <c r="N12953" s="3" t="s">
        <v>30576</v>
      </c>
      <c r="O12953" s="3"/>
      <c r="P12953" s="1" t="s">
        <v>20</v>
      </c>
      <c r="R12953" s="1" t="s">
        <v>26735</v>
      </c>
      <c r="V12953" s="1" t="s">
        <v>26751</v>
      </c>
      <c r="AR12953" s="1" t="str">
        <f t="shared" si="818"/>
        <v>| [ㄨㄟˇ](ㄨㄟˇ.md) | [洧](洧.md) |  | wěi | 參見「洧河」條。 |</v>
      </c>
    </row>
    <row r="12954" spans="1:44" hidden="1">
      <c r="A12954" s="1" t="s">
        <v>26752</v>
      </c>
      <c r="C12954" s="1">
        <v>1</v>
      </c>
      <c r="D12954" s="1" t="str">
        <f>"11400"</f>
        <v>11400</v>
      </c>
      <c r="E12954" s="1" t="s">
        <v>40</v>
      </c>
      <c r="F12954" s="1">
        <v>11</v>
      </c>
      <c r="G12954" s="1">
        <v>6</v>
      </c>
      <c r="H12954" s="1">
        <v>0</v>
      </c>
      <c r="I12954" s="1" t="s">
        <v>26734</v>
      </c>
      <c r="K12954" s="1" t="str">
        <f t="shared" si="819"/>
        <v>ㄨ</v>
      </c>
      <c r="L12954" s="1" t="str">
        <f t="shared" si="820"/>
        <v>ㄟ</v>
      </c>
      <c r="N12954" s="3" t="s">
        <v>30576</v>
      </c>
      <c r="O12954" s="3"/>
      <c r="P12954" s="1" t="s">
        <v>20</v>
      </c>
      <c r="R12954" s="1" t="s">
        <v>26735</v>
      </c>
      <c r="V12954" s="1" t="s">
        <v>26753</v>
      </c>
      <c r="AR12954" s="1" t="str">
        <f t="shared" si="818"/>
        <v>| [ㄨㄟˇ](ㄨㄟˇ.md) | [痏](痏.md) |  | wěi | [名]
瘡。《呂氏春秋．仲冬季．至忠》：「齊王疾痏，使人之宋迎文摯，文摯至，視王之疾。」明．方孝孺〈指喻〉：「而可以為天下患者，豈特瘡痏之於指乎？」 |</v>
      </c>
    </row>
    <row r="12955" spans="1:44" hidden="1">
      <c r="A12955" s="1" t="s">
        <v>26754</v>
      </c>
      <c r="C12955" s="1">
        <v>1</v>
      </c>
      <c r="D12955" s="1" t="str">
        <f>"11401"</f>
        <v>11401</v>
      </c>
      <c r="E12955" s="1" t="s">
        <v>156</v>
      </c>
      <c r="F12955" s="1">
        <v>17</v>
      </c>
      <c r="G12955" s="1">
        <v>6</v>
      </c>
      <c r="H12955" s="1">
        <v>0</v>
      </c>
      <c r="I12955" s="1" t="s">
        <v>26734</v>
      </c>
      <c r="K12955" s="1" t="str">
        <f t="shared" si="819"/>
        <v>ㄨ</v>
      </c>
      <c r="L12955" s="1" t="str">
        <f t="shared" si="820"/>
        <v>ㄟ</v>
      </c>
      <c r="N12955" s="3" t="s">
        <v>30576</v>
      </c>
      <c r="O12955" s="3"/>
      <c r="P12955" s="1" t="s">
        <v>20</v>
      </c>
      <c r="R12955" s="1" t="s">
        <v>26735</v>
      </c>
      <c r="V12955" s="1" t="s">
        <v>26755</v>
      </c>
      <c r="AR12955" s="1" t="str">
        <f t="shared" si="818"/>
        <v>| [ㄨㄟˇ](ㄨㄟˇ.md) | [鮪](鮪.md) |  | wěi | [名]
動物名。脊椎動物亞門硬骨魚綱鱸形目。身體呈紡綞形，背藍黑色，腹灰白色，吻尖長，尾鰭呈深叉形，游泳速度極快，多分布於溫帶或熱帶海洋中。 |</v>
      </c>
    </row>
    <row r="12956" spans="1:44" hidden="1">
      <c r="A12956" s="1" t="s">
        <v>26714</v>
      </c>
      <c r="C12956" s="1">
        <v>1</v>
      </c>
      <c r="D12956" s="1" t="str">
        <f>"11402"</f>
        <v>11402</v>
      </c>
      <c r="E12956" s="1" t="s">
        <v>28</v>
      </c>
      <c r="F12956" s="1">
        <v>11</v>
      </c>
      <c r="G12956" s="1">
        <v>8</v>
      </c>
      <c r="H12956" s="1">
        <v>2</v>
      </c>
      <c r="I12956" s="1" t="s">
        <v>26734</v>
      </c>
      <c r="K12956" s="1" t="str">
        <f t="shared" si="819"/>
        <v>ㄨ</v>
      </c>
      <c r="L12956" s="1" t="str">
        <f t="shared" si="820"/>
        <v>ㄟ</v>
      </c>
      <c r="N12956" s="3" t="s">
        <v>30576</v>
      </c>
      <c r="O12956" s="3"/>
      <c r="P12956" s="1" t="s">
        <v>20</v>
      </c>
      <c r="R12956" s="1" t="s">
        <v>26735</v>
      </c>
      <c r="V12956" s="1" t="s">
        <v>26756</v>
      </c>
      <c r="W12956" s="1" t="s">
        <v>26757</v>
      </c>
      <c r="AR12956" s="1" t="str">
        <f t="shared" si="818"/>
        <v>| [ㄨㄟˇ](ㄨㄟˇ.md) | [唯](唯.md) |  | wěi | [名]
對於尊長的應答之詞，表示恭敬的意思。《禮記．曲禮上》：「父召無諾，先生召無諾，唯而起。」漢．東方朔〈非有先生論〉：「意者寡人殆不明乎，非有先生伏而唯唯。」 |</v>
      </c>
    </row>
    <row r="12957" spans="1:44" hidden="1">
      <c r="A12957" s="1" t="s">
        <v>26758</v>
      </c>
      <c r="C12957" s="1">
        <v>1</v>
      </c>
      <c r="D12957" s="1" t="str">
        <f>"11403"</f>
        <v>11403</v>
      </c>
      <c r="E12957" s="1" t="s">
        <v>114</v>
      </c>
      <c r="F12957" s="1">
        <v>11</v>
      </c>
      <c r="G12957" s="1">
        <v>9</v>
      </c>
      <c r="H12957" s="1">
        <v>0</v>
      </c>
      <c r="I12957" s="1" t="s">
        <v>26734</v>
      </c>
      <c r="K12957" s="1" t="str">
        <f t="shared" si="819"/>
        <v>ㄨ</v>
      </c>
      <c r="L12957" s="1" t="str">
        <f t="shared" si="820"/>
        <v>ㄟ</v>
      </c>
      <c r="N12957" s="3" t="s">
        <v>30576</v>
      </c>
      <c r="O12957" s="3"/>
      <c r="P12957" s="1" t="s">
        <v>20</v>
      </c>
      <c r="R12957" s="1" t="s">
        <v>26735</v>
      </c>
      <c r="V12957" s="1" t="s">
        <v>26759</v>
      </c>
      <c r="AR12957" s="1" t="str">
        <f t="shared" si="818"/>
        <v>| [ㄨㄟˇ](ㄨㄟˇ.md) | [偉](偉.md) |  | wěi | [形]
1.奇異的。《說文解字．人部》：「偉，奇也。」《管子．任法》：「無偉服，無奇行。」
2.盛壯、卓越。如：「偉績」、「豐功偉業」。《莊子．大宗師》：「偉哉，天造物者！將以予為此拘拘也。」《文選．左思．詠史詩八首之二》：「馮公豈不偉？白首不見招。」
3.高大。《後漢書．卷一九．耿弇傳》：「有偉體，腰帶八圍。」晉．潘尼〈桑樹賦〉：「觀茲樹之特偉，感先皇之攸植。」
[名]
姓。如漢代有偉璋。 |</v>
      </c>
    </row>
    <row r="12958" spans="1:44" hidden="1">
      <c r="A12958" s="1" t="s">
        <v>26760</v>
      </c>
      <c r="C12958" s="1">
        <v>1</v>
      </c>
      <c r="D12958" s="1" t="str">
        <f>"11404"</f>
        <v>11404</v>
      </c>
      <c r="E12958" s="1" t="s">
        <v>336</v>
      </c>
      <c r="F12958" s="1">
        <v>13</v>
      </c>
      <c r="G12958" s="1">
        <v>9</v>
      </c>
      <c r="H12958" s="1">
        <v>0</v>
      </c>
      <c r="I12958" s="1" t="s">
        <v>26734</v>
      </c>
      <c r="K12958" s="1" t="str">
        <f t="shared" si="819"/>
        <v>ㄨ</v>
      </c>
      <c r="L12958" s="1" t="str">
        <f t="shared" si="820"/>
        <v>ㄟ</v>
      </c>
      <c r="N12958" s="3" t="s">
        <v>30576</v>
      </c>
      <c r="O12958" s="3"/>
      <c r="P12958" s="1" t="s">
        <v>20</v>
      </c>
      <c r="R12958" s="1" t="s">
        <v>26735</v>
      </c>
      <c r="V12958" s="1" t="s">
        <v>26761</v>
      </c>
      <c r="AR12958" s="1" t="str">
        <f t="shared" si="818"/>
        <v>| [ㄨㄟˇ](ㄨㄟˇ.md) | [煒](煒.md) |  | wěi | [形]
1.光亮的樣子。《說文解字．火部》：「煒，盛明貌。」
2.深紅。《詩經．邶風．靜女》：「彤管有煒，說懌女美。」漢．毛亨．傳：「煒，赤貌。」 |</v>
      </c>
    </row>
    <row r="12959" spans="1:44" hidden="1">
      <c r="A12959" s="1" t="s">
        <v>26762</v>
      </c>
      <c r="C12959" s="1">
        <v>1</v>
      </c>
      <c r="D12959" s="1" t="str">
        <f>"11405"</f>
        <v>11405</v>
      </c>
      <c r="E12959" s="1" t="s">
        <v>142</v>
      </c>
      <c r="F12959" s="1">
        <v>13</v>
      </c>
      <c r="G12959" s="1">
        <v>9</v>
      </c>
      <c r="H12959" s="1">
        <v>0</v>
      </c>
      <c r="I12959" s="1" t="s">
        <v>26734</v>
      </c>
      <c r="K12959" s="1" t="str">
        <f t="shared" si="819"/>
        <v>ㄨ</v>
      </c>
      <c r="L12959" s="1" t="str">
        <f t="shared" si="820"/>
        <v>ㄟ</v>
      </c>
      <c r="N12959" s="3" t="s">
        <v>30576</v>
      </c>
      <c r="O12959" s="3"/>
      <c r="P12959" s="1" t="s">
        <v>20</v>
      </c>
      <c r="R12959" s="1" t="s">
        <v>26735</v>
      </c>
      <c r="V12959" s="1" t="s">
        <v>26763</v>
      </c>
      <c r="AR12959" s="1" t="str">
        <f t="shared" si="818"/>
        <v>| [ㄨㄟˇ](ㄨㄟˇ.md) | [瑋](瑋.md) |  | wěi | [名]
美玉。《集韻．上聲．尾韻》：「瑋，美玉。」
[形]
珍奇的。《文選．宋玉．神女賦》：「瑰姿瑋態，不可勝贊。」《文選．陸機．辯亡論上》：「明珠瑋寶，耀於內府。」
[動]
讚美、誇耀。《後漢書．卷六七．黨錮傳．李膺傳》：「梁惠王瑋其照乘之珠，齊威王答以四臣。」《文選．左思．吳都賦》：「而吾子言蜀都之富，禺同之有，瑋其區域，美其林藪。」 |</v>
      </c>
    </row>
    <row r="12960" spans="1:44" hidden="1">
      <c r="A12960" s="1" t="s">
        <v>26764</v>
      </c>
      <c r="C12960" s="1">
        <v>1</v>
      </c>
      <c r="D12960" s="1" t="str">
        <f>"11406"</f>
        <v>11406</v>
      </c>
      <c r="E12960" s="1" t="s">
        <v>37</v>
      </c>
      <c r="F12960" s="1">
        <v>13</v>
      </c>
      <c r="G12960" s="1">
        <v>9</v>
      </c>
      <c r="H12960" s="1">
        <v>0</v>
      </c>
      <c r="I12960" s="1" t="s">
        <v>26734</v>
      </c>
      <c r="K12960" s="1" t="str">
        <f t="shared" si="819"/>
        <v>ㄨ</v>
      </c>
      <c r="L12960" s="1" t="str">
        <f t="shared" si="820"/>
        <v>ㄟ</v>
      </c>
      <c r="N12960" s="3" t="s">
        <v>30576</v>
      </c>
      <c r="O12960" s="3"/>
      <c r="P12960" s="1" t="s">
        <v>20</v>
      </c>
      <c r="R12960" s="1" t="s">
        <v>26735</v>
      </c>
      <c r="V12960" s="1" t="s">
        <v>26765</v>
      </c>
      <c r="AR12960" s="1" t="str">
        <f t="shared" si="818"/>
        <v>| [ㄨㄟˇ](ㄨㄟˇ.md) | [葦](葦.md) |  | wěi | [名]
1.參見「蘆葦」條。
2.一種船身窄長如葦草的小舟。宋．蘇軾〈赤壁賦〉：「縱一葦之所如，凌萬頃之茫然。」 |</v>
      </c>
    </row>
    <row r="12961" spans="1:44" hidden="1">
      <c r="A12961" s="1" t="s">
        <v>26766</v>
      </c>
      <c r="C12961" s="1">
        <v>1</v>
      </c>
      <c r="D12961" s="1" t="str">
        <f>"11407"</f>
        <v>11407</v>
      </c>
      <c r="E12961" s="1" t="s">
        <v>646</v>
      </c>
      <c r="F12961" s="1">
        <v>13</v>
      </c>
      <c r="G12961" s="1">
        <v>9</v>
      </c>
      <c r="H12961" s="1">
        <v>0</v>
      </c>
      <c r="I12961" s="1" t="s">
        <v>26734</v>
      </c>
      <c r="K12961" s="1" t="str">
        <f t="shared" si="819"/>
        <v>ㄨ</v>
      </c>
      <c r="L12961" s="1" t="str">
        <f t="shared" si="820"/>
        <v>ㄟ</v>
      </c>
      <c r="N12961" s="3" t="s">
        <v>30576</v>
      </c>
      <c r="O12961" s="3"/>
      <c r="P12961" s="1" t="s">
        <v>20</v>
      </c>
      <c r="R12961" s="1" t="s">
        <v>26735</v>
      </c>
      <c r="V12961" s="1" t="s">
        <v>26767</v>
      </c>
      <c r="AR12961" s="1" t="str">
        <f t="shared" si="818"/>
        <v>| [ㄨㄟˇ](ㄨㄟˇ.md) | [暐](暐.md) |  | wěi | [形]
光輝的樣子。《集韻．上聲．尾韻》：「暐，光盛貌。」南朝梁．江淹〈蕭被尚書敦勸重讓表〉：「不謂過延渥洽，謬攀河漢，榮宗蒕葐，寵華暐映。」唐．白居易〈讀史〉詩五首之三：「春華何暐曄，園中發桃李。」 |</v>
      </c>
    </row>
    <row r="12962" spans="1:44" hidden="1">
      <c r="A12962" s="1" t="s">
        <v>26768</v>
      </c>
      <c r="C12962" s="1">
        <v>1</v>
      </c>
      <c r="D12962" s="1" t="str">
        <f>"11408"</f>
        <v>11408</v>
      </c>
      <c r="E12962" s="1" t="s">
        <v>725</v>
      </c>
      <c r="F12962" s="1">
        <v>15</v>
      </c>
      <c r="G12962" s="1">
        <v>9</v>
      </c>
      <c r="H12962" s="1">
        <v>0</v>
      </c>
      <c r="I12962" s="1" t="s">
        <v>26734</v>
      </c>
      <c r="K12962" s="1" t="str">
        <f t="shared" si="819"/>
        <v>ㄨ</v>
      </c>
      <c r="L12962" s="1" t="str">
        <f t="shared" si="820"/>
        <v>ㄟ</v>
      </c>
      <c r="N12962" s="3" t="s">
        <v>30576</v>
      </c>
      <c r="O12962" s="3"/>
      <c r="P12962" s="1" t="s">
        <v>20</v>
      </c>
      <c r="R12962" s="1" t="s">
        <v>26735</v>
      </c>
      <c r="V12962" s="1" t="s">
        <v>26769</v>
      </c>
      <c r="AR12962" s="1" t="str">
        <f t="shared" si="818"/>
        <v>| [ㄨㄟˇ](ㄨㄟˇ.md) | [緯](緯.md) |  | wěi | [名]_x000D_
1.織布時用梭穿織的橫紗或編織物的橫線。《左傳．昭公二十四年》：「嫠不恤其緯，而憂宗周之隕。」南朝梁．劉孝威〈鄀縣遇見人織率爾寄婦〉詩：「經稀疑杼澀，緯斷恨絲輕。」_x000D_
2.地理學上指假定跟赤道平行的線。以赤道為基準，南北各分九十度，以北稱為「北緯」，以南稱為「南緯」。_x000D_
3.緯書的簡稱。《漢書．卷七五．眭兩夏侯京翼李傳．李尋》：「五經六緯，尊術顯士。」《三國志．卷四二．蜀書．杜周杜許孟來尹李譙郤傳．譙周》：「治尚書，兼通諸經及圖緯。」_x000D_
4.樂器的弦。《楚辭．劉向．九歎．愍命》：「破伯牙之號鍾，挾人箏而彈緯。」_x000D_
[動]_x000D_
1.編織。《莊子．列禦寇》：「河上有家貧，恃緯蕭而食者。」唐．陸德明《經典釋文．卷二八．莊子音義下》：「緯，織也。蕭，荻蒿也。織蕭以為畚而賣之。」_x000D_
2.治理。如：「緯世經國」。《北史．卷八三．文苑列傳．序》：「經邦緯俗，藏用於百代。」 |</v>
      </c>
    </row>
    <row r="12963" spans="1:44" hidden="1">
      <c r="A12963" s="1" t="s">
        <v>26770</v>
      </c>
      <c r="C12963" s="1">
        <v>1</v>
      </c>
      <c r="D12963" s="1" t="str">
        <f>"11409"</f>
        <v>11409</v>
      </c>
      <c r="E12963" s="1" t="s">
        <v>1058</v>
      </c>
      <c r="F12963" s="1">
        <v>18</v>
      </c>
      <c r="G12963" s="1">
        <v>9</v>
      </c>
      <c r="H12963" s="1">
        <v>0</v>
      </c>
      <c r="I12963" s="1" t="s">
        <v>26734</v>
      </c>
      <c r="K12963" s="1" t="str">
        <f t="shared" si="819"/>
        <v>ㄨ</v>
      </c>
      <c r="L12963" s="1" t="str">
        <f t="shared" si="820"/>
        <v>ㄟ</v>
      </c>
      <c r="N12963" s="3" t="s">
        <v>30576</v>
      </c>
      <c r="O12963" s="3"/>
      <c r="P12963" s="1" t="s">
        <v>20</v>
      </c>
      <c r="R12963" s="1" t="s">
        <v>26735</v>
      </c>
      <c r="V12963" s="1" t="s">
        <v>26771</v>
      </c>
      <c r="AR12963" s="1" t="str">
        <f t="shared" si="818"/>
        <v>| [ㄨㄟˇ](ㄨㄟˇ.md) | [韙](韙.md) |  | wěi | [名]
對、是。《左傳．隱公十一年》：「犯五不韙，而以伐人，其喪師也，不亦宜乎？」《漢書．卷一〇〇．敘傳下》：「亡德不報，爰存二代，宰相外戚，昭韙見戒。」 |</v>
      </c>
    </row>
    <row r="12964" spans="1:44" hidden="1">
      <c r="A12964" s="1" t="s">
        <v>26772</v>
      </c>
      <c r="C12964" s="1">
        <v>1</v>
      </c>
      <c r="D12964" s="1" t="str">
        <f>"11410"</f>
        <v>11410</v>
      </c>
      <c r="E12964" s="1" t="s">
        <v>1058</v>
      </c>
      <c r="F12964" s="1">
        <v>21</v>
      </c>
      <c r="G12964" s="1">
        <v>12</v>
      </c>
      <c r="H12964" s="1">
        <v>0</v>
      </c>
      <c r="I12964" s="1" t="s">
        <v>26734</v>
      </c>
      <c r="K12964" s="1" t="str">
        <f t="shared" si="819"/>
        <v>ㄨ</v>
      </c>
      <c r="L12964" s="1" t="str">
        <f t="shared" si="820"/>
        <v>ㄟ</v>
      </c>
      <c r="N12964" s="3" t="s">
        <v>30576</v>
      </c>
      <c r="O12964" s="3"/>
      <c r="P12964" s="1" t="s">
        <v>20</v>
      </c>
      <c r="R12964" s="1" t="s">
        <v>26735</v>
      </c>
      <c r="V12964" s="1" t="s">
        <v>26773</v>
      </c>
      <c r="AR12964" s="1" t="str">
        <f t="shared" si="818"/>
        <v>| [ㄨㄟˇ](ㄨㄟˇ.md) | [韡](韡.md) |  | wěi | [形]
光明盛大的樣子。《詩經．小雅．常棣》：「常棣之華，鄂不韡韡。」南朝梁．劉勰《文心雕龍．才略》：「並楨幹之實才，非群華之韡萼也。」 |</v>
      </c>
    </row>
    <row r="12965" spans="1:44" hidden="1">
      <c r="A12965" s="1" t="s">
        <v>26774</v>
      </c>
      <c r="C12965" s="1">
        <v>1</v>
      </c>
      <c r="D12965" s="1" t="str">
        <f>"11411"</f>
        <v>11411</v>
      </c>
      <c r="E12965" s="1" t="s">
        <v>198</v>
      </c>
      <c r="F12965" s="1">
        <v>12</v>
      </c>
      <c r="G12965" s="1">
        <v>9</v>
      </c>
      <c r="H12965" s="1">
        <v>0</v>
      </c>
      <c r="I12965" s="1" t="s">
        <v>26734</v>
      </c>
      <c r="K12965" s="1" t="str">
        <f t="shared" si="819"/>
        <v>ㄨ</v>
      </c>
      <c r="L12965" s="1" t="str">
        <f t="shared" si="820"/>
        <v>ㄟ</v>
      </c>
      <c r="N12965" s="3" t="s">
        <v>30576</v>
      </c>
      <c r="O12965" s="3"/>
      <c r="P12965" s="1" t="s">
        <v>20</v>
      </c>
      <c r="R12965" s="1" t="s">
        <v>26735</v>
      </c>
      <c r="V12965" s="1" t="s">
        <v>26775</v>
      </c>
      <c r="AR12965" s="1" t="str">
        <f t="shared" si="818"/>
        <v>| [ㄨㄟˇ](ㄨㄟˇ.md) | [猥](猥.md) |  | wěi | [形]_x000D_
1.眾多。《漢書．卷二九．溝洫志》：「聞禹治河時，本空此地，以為水猥，盛則放溢。」《後漢書．卷四九．王充王符仲長統列傳．仲長統》：「所恃者寡，所取者猥。」_x000D_
2.龐雜、混亂。《梁書．卷四六．列傳．杜崱》：「以霸先既非貴素，兵又猥雜。」《資治通鑑．卷七四．魏紀六．邵陵厲公正始五年》：「時戰國多事，公務煩猥。」_x000D_
3.鄙陋、微賤。《抱朴子．外篇．百里》：「庸猥之徒，器小志近。」北齊．顏之推《顏氏家訓．風操》：「今南北風俗，言其祖及二親，無云家者；田里猥人，方有此言耳。」_x000D_
[副]_x000D_
忽然。《公羊傳．成公十八年》：「晉殺其大夫胥童。」漢．何休．解詁：「厲公猥殺四大夫。」漢．馬融〈長笛賦〉：「於是山水猥至，渟涔障潰。」_x000D_
[動]_x000D_
累積。《漢書．卷五六．董仲舒傳》：「科別其條，勿猥勿并，取之於術，慎其所出。」晉．桓玄〈沙汰眾僧教〉：「避役鐘于百里，逋逃盈于寺廟，乃至一縣數千，猥成屯落。」 |</v>
      </c>
    </row>
    <row r="12966" spans="1:44" hidden="1">
      <c r="A12966" s="1" t="s">
        <v>26776</v>
      </c>
      <c r="C12966" s="1">
        <v>1</v>
      </c>
      <c r="D12966" s="1" t="str">
        <f>"11412"</f>
        <v>11412</v>
      </c>
      <c r="E12966" s="1" t="s">
        <v>37</v>
      </c>
      <c r="F12966" s="1">
        <v>13</v>
      </c>
      <c r="G12966" s="1">
        <v>9</v>
      </c>
      <c r="H12966" s="1">
        <v>0</v>
      </c>
      <c r="I12966" s="1" t="s">
        <v>26734</v>
      </c>
      <c r="K12966" s="1" t="str">
        <f t="shared" si="819"/>
        <v>ㄨ</v>
      </c>
      <c r="L12966" s="1" t="str">
        <f t="shared" si="820"/>
        <v>ㄟ</v>
      </c>
      <c r="N12966" s="3" t="s">
        <v>30576</v>
      </c>
      <c r="O12966" s="3"/>
      <c r="P12966" s="1" t="s">
        <v>20</v>
      </c>
      <c r="R12966" s="1" t="s">
        <v>26735</v>
      </c>
      <c r="V12966" s="1" t="s">
        <v>26777</v>
      </c>
      <c r="AR12966" s="1" t="str">
        <f t="shared" si="818"/>
        <v>| [ㄨㄟˇ](ㄨㄟˇ.md) | [蒍](蒍.md) |  | wěi | [名]
1.一種草。《說文解字．艸部》：「蒍，艸也。」
2.地名。春秋時楚國的邑城。
3.姓。如春秋時楚有蒍賈。 |</v>
      </c>
    </row>
    <row r="12967" spans="1:44" hidden="1">
      <c r="A12967" s="1" t="s">
        <v>26778</v>
      </c>
      <c r="C12967" s="1">
        <v>1</v>
      </c>
      <c r="D12967" s="1" t="str">
        <f>"11413"</f>
        <v>11413</v>
      </c>
      <c r="E12967" s="1" t="s">
        <v>283</v>
      </c>
      <c r="F12967" s="1">
        <v>13</v>
      </c>
      <c r="G12967" s="1">
        <v>3</v>
      </c>
      <c r="H12967" s="1">
        <v>0</v>
      </c>
      <c r="I12967" s="1" t="s">
        <v>26734</v>
      </c>
      <c r="K12967" s="1" t="str">
        <f t="shared" si="819"/>
        <v>ㄨ</v>
      </c>
      <c r="L12967" s="1" t="str">
        <f t="shared" si="820"/>
        <v>ㄟ</v>
      </c>
      <c r="N12967" s="3" t="s">
        <v>30576</v>
      </c>
      <c r="O12967" s="3"/>
      <c r="P12967" s="1" t="s">
        <v>20</v>
      </c>
      <c r="R12967" s="1" t="s">
        <v>26735</v>
      </c>
      <c r="V12967" s="1" t="s">
        <v>26779</v>
      </c>
      <c r="AR12967" s="1" t="str">
        <f t="shared" si="818"/>
        <v>| [ㄨㄟˇ](ㄨㄟˇ.md) | [骫](骫.md) |  | wěi | [形]
骨頭彎曲的樣子。《玉篇．骨部》：「骫，骨曲也。」
[動]
1.枉曲、委曲。《呂氏春秋．孝行覽．必己》：「尊則虧，直則骫，合則離。」《漢書．卷四四．淮南厲王劉長傳》：「皇帝骫天下正法而許大王，甚厚。」
2.聚集。漢．揚雄《太玄經．卷五．積》：「測曰小人積非，禍所骫也。」 |</v>
      </c>
    </row>
    <row r="12968" spans="1:44" hidden="1">
      <c r="A12968" s="1" t="s">
        <v>26780</v>
      </c>
      <c r="C12968" s="1">
        <v>1</v>
      </c>
      <c r="D12968" s="1" t="str">
        <f>"11414"</f>
        <v>11414</v>
      </c>
      <c r="E12968" s="1" t="s">
        <v>691</v>
      </c>
      <c r="F12968" s="1">
        <v>13</v>
      </c>
      <c r="G12968" s="1">
        <v>10</v>
      </c>
      <c r="H12968" s="1">
        <v>0</v>
      </c>
      <c r="I12968" s="1" t="s">
        <v>26734</v>
      </c>
      <c r="K12968" s="1" t="str">
        <f t="shared" si="819"/>
        <v>ㄨ</v>
      </c>
      <c r="L12968" s="1" t="str">
        <f t="shared" si="820"/>
        <v>ㄟ</v>
      </c>
      <c r="N12968" s="3" t="s">
        <v>30576</v>
      </c>
      <c r="O12968" s="3"/>
      <c r="P12968" s="1" t="s">
        <v>20</v>
      </c>
      <c r="R12968" s="1" t="s">
        <v>26735</v>
      </c>
      <c r="V12968" s="1" t="s">
        <v>26781</v>
      </c>
      <c r="AR12968" s="1" t="str">
        <f t="shared" si="818"/>
        <v>| [ㄨㄟˇ](ㄨㄟˇ.md) | [隗](隗.md) |  | wěi | [形]
高。同「嵬」。《說文解字．𨸏部》：「隗，高也。」
[名]
姓。如漢代有隗囂。 |</v>
      </c>
    </row>
    <row r="12969" spans="1:44" hidden="1">
      <c r="A12969" s="1" t="s">
        <v>26782</v>
      </c>
      <c r="C12969" s="1">
        <v>1</v>
      </c>
      <c r="D12969" s="1" t="str">
        <f>"11415"</f>
        <v>11415</v>
      </c>
      <c r="E12969" s="1" t="s">
        <v>684</v>
      </c>
      <c r="F12969" s="1">
        <v>15</v>
      </c>
      <c r="G12969" s="1">
        <v>6</v>
      </c>
      <c r="H12969" s="1">
        <v>0</v>
      </c>
      <c r="I12969" s="1" t="s">
        <v>26734</v>
      </c>
      <c r="K12969" s="1" t="str">
        <f t="shared" si="819"/>
        <v>ㄨ</v>
      </c>
      <c r="L12969" s="1" t="str">
        <f t="shared" si="820"/>
        <v>ㄟ</v>
      </c>
      <c r="N12969" s="3" t="s">
        <v>30576</v>
      </c>
      <c r="O12969" s="3"/>
      <c r="P12969" s="1" t="s">
        <v>20</v>
      </c>
      <c r="R12969" s="1" t="s">
        <v>26735</v>
      </c>
      <c r="V12969" s="1" t="s">
        <v>26783</v>
      </c>
      <c r="AR12969" s="1" t="str">
        <f t="shared" si="818"/>
        <v>| [ㄨㄟˇ](ㄨㄟˇ.md) | [頠](頠.md) |  | wěi | [形]
安靜。《爾雅．釋詁上》：「頠，靜也。」 |</v>
      </c>
    </row>
    <row r="12970" spans="1:44" hidden="1">
      <c r="A12970" s="1" t="s">
        <v>26784</v>
      </c>
      <c r="C12970" s="1">
        <v>1</v>
      </c>
      <c r="D12970" s="1" t="str">
        <f>"11416"</f>
        <v>11416</v>
      </c>
      <c r="E12970" s="1" t="s">
        <v>132</v>
      </c>
      <c r="F12970" s="1">
        <v>19</v>
      </c>
      <c r="G12970" s="1">
        <v>16</v>
      </c>
      <c r="H12970" s="1">
        <v>0</v>
      </c>
      <c r="I12970" s="1" t="s">
        <v>26734</v>
      </c>
      <c r="K12970" s="1" t="str">
        <f t="shared" si="819"/>
        <v>ㄨ</v>
      </c>
      <c r="L12970" s="1" t="str">
        <f t="shared" si="820"/>
        <v>ㄟ</v>
      </c>
      <c r="N12970" s="3" t="s">
        <v>30576</v>
      </c>
      <c r="O12970" s="3"/>
      <c r="P12970" s="1" t="s">
        <v>20</v>
      </c>
      <c r="R12970" s="1" t="s">
        <v>26735</v>
      </c>
      <c r="V12970" s="1" t="s">
        <v>26785</v>
      </c>
      <c r="AR12970" s="1" t="str">
        <f t="shared" si="818"/>
        <v>| [ㄨㄟˇ](ㄨㄟˇ.md) | [壝](壝.md) |  | wěi | [名]
有矮牆圍繞的壇。《周禮．地官．大司徒》：「設其社稷之壝，而樹之田主。」 |</v>
      </c>
    </row>
    <row r="12971" spans="1:44" hidden="1">
      <c r="A12971" s="1" t="s">
        <v>3159</v>
      </c>
      <c r="C12971" s="1">
        <v>1</v>
      </c>
      <c r="D12971" s="1" t="str">
        <f>"11417"</f>
        <v>11417</v>
      </c>
      <c r="E12971" s="1" t="s">
        <v>367</v>
      </c>
      <c r="F12971" s="1">
        <v>21</v>
      </c>
      <c r="G12971" s="1">
        <v>19</v>
      </c>
      <c r="H12971" s="1">
        <v>1</v>
      </c>
      <c r="I12971" s="1" t="s">
        <v>26734</v>
      </c>
      <c r="K12971" s="1" t="str">
        <f t="shared" si="819"/>
        <v>ㄨ</v>
      </c>
      <c r="L12971" s="1" t="str">
        <f t="shared" si="820"/>
        <v>ㄟ</v>
      </c>
      <c r="N12971" s="3" t="s">
        <v>30576</v>
      </c>
      <c r="O12971" s="3"/>
      <c r="P12971" s="1" t="s">
        <v>20</v>
      </c>
      <c r="R12971" s="1" t="s">
        <v>26735</v>
      </c>
      <c r="V12971" s="1" t="s">
        <v>26786</v>
      </c>
      <c r="W12971" s="1" t="s">
        <v>26787</v>
      </c>
      <c r="AR12971" s="1" t="str">
        <f t="shared" si="818"/>
        <v>| [ㄨㄟˇ](ㄨㄟˇ.md) | [亹](亹.md) |  | wěi | 參見「亹亹」條。 |</v>
      </c>
    </row>
    <row r="12972" spans="1:44" hidden="1">
      <c r="A12972" s="1" t="s">
        <v>26788</v>
      </c>
      <c r="C12972" s="1">
        <v>1</v>
      </c>
      <c r="D12972" s="1" t="str">
        <f>"11418"</f>
        <v>11418</v>
      </c>
      <c r="E12972" s="1" t="s">
        <v>670</v>
      </c>
      <c r="F12972" s="1">
        <v>23</v>
      </c>
      <c r="G12972" s="1">
        <v>19</v>
      </c>
      <c r="H12972" s="1">
        <v>0</v>
      </c>
      <c r="I12972" s="1" t="s">
        <v>26734</v>
      </c>
      <c r="K12972" s="1" t="str">
        <f t="shared" si="819"/>
        <v>ㄨ</v>
      </c>
      <c r="L12972" s="1" t="str">
        <f t="shared" si="820"/>
        <v>ㄟ</v>
      </c>
      <c r="N12972" s="3" t="s">
        <v>30576</v>
      </c>
      <c r="O12972" s="3"/>
      <c r="P12972" s="1" t="s">
        <v>20</v>
      </c>
      <c r="R12972" s="1" t="s">
        <v>26735</v>
      </c>
      <c r="V12972" s="1" t="s">
        <v>26789</v>
      </c>
      <c r="AR12972" s="1" t="str">
        <f t="shared" si="818"/>
        <v>| [ㄨㄟˇ](ㄨㄟˇ.md) | [斖](斖.md) |  | wěi | 同「亹」。 |</v>
      </c>
    </row>
    <row r="12973" spans="1:44" hidden="1">
      <c r="A12973" s="1" t="s">
        <v>26931</v>
      </c>
      <c r="C12973" s="1">
        <v>1</v>
      </c>
      <c r="D12973" s="1" t="str">
        <f>"11485"</f>
        <v>11485</v>
      </c>
      <c r="E12973" s="1" t="s">
        <v>286</v>
      </c>
      <c r="F12973" s="1">
        <v>6</v>
      </c>
      <c r="G12973" s="1">
        <v>4</v>
      </c>
      <c r="H12973" s="1">
        <v>0</v>
      </c>
      <c r="I12973" s="1" t="s">
        <v>26932</v>
      </c>
      <c r="K12973" s="1" t="str">
        <f t="shared" si="819"/>
        <v>ㄨ</v>
      </c>
      <c r="L12973" s="1" t="str">
        <f t="shared" si="820"/>
        <v>ㄢ</v>
      </c>
      <c r="N12973" s="3" t="s">
        <v>30574</v>
      </c>
      <c r="O12973" s="3"/>
      <c r="P12973" s="1" t="s">
        <v>20</v>
      </c>
      <c r="R12973" s="1" t="s">
        <v>26933</v>
      </c>
      <c r="V12973" s="1" t="s">
        <v>26934</v>
      </c>
      <c r="AR12973" s="1" t="str">
        <f t="shared" si="818"/>
        <v>| [ㄨㄢˋ](ㄨㄢˋ.md) | [卍](卍.md) |  | wàn | [名]
佛身上三十二相之一，代表吉祥。印度傳說以為是有德者的特徵。卍本非字，唯在中國皆收入字書中。卍字之形諸書亦不統一，也作「卐」。《龍龕手鑑．雜部》：「卐，音万。是如來身有吉祥文也。」 |</v>
      </c>
    </row>
    <row r="12974" spans="1:44" hidden="1">
      <c r="A12974" s="1" t="s">
        <v>26935</v>
      </c>
      <c r="C12974" s="1">
        <v>1</v>
      </c>
      <c r="D12974" s="1" t="str">
        <f>"11486"</f>
        <v>11486</v>
      </c>
      <c r="E12974" s="1" t="s">
        <v>250</v>
      </c>
      <c r="F12974" s="1">
        <v>7</v>
      </c>
      <c r="G12974" s="1">
        <v>4</v>
      </c>
      <c r="H12974" s="1">
        <v>0</v>
      </c>
      <c r="I12974" s="1" t="s">
        <v>26932</v>
      </c>
      <c r="K12974" s="1" t="str">
        <f t="shared" si="819"/>
        <v>ㄨ</v>
      </c>
      <c r="L12974" s="1" t="str">
        <f t="shared" si="820"/>
        <v>ㄢ</v>
      </c>
      <c r="N12974" s="3" t="s">
        <v>30574</v>
      </c>
      <c r="O12974" s="3"/>
      <c r="P12974" s="1" t="s">
        <v>20</v>
      </c>
      <c r="R12974" s="1" t="s">
        <v>26933</v>
      </c>
      <c r="V12974" s="1" t="s">
        <v>26936</v>
      </c>
      <c r="AR12974" s="1" t="str">
        <f t="shared" si="818"/>
        <v>| [ㄨㄢˋ](ㄨㄢˋ.md) | [忨](忨.md) |  | wàn | [動]
貪愛、偷安。《玉篇．心部》：「忨，貪也，愛也。」《國語．晉語八》：「今忨日而㵣歲，怠偷甚矣。」 |</v>
      </c>
    </row>
    <row r="12975" spans="1:44" hidden="1">
      <c r="A12975" s="1" t="s">
        <v>26879</v>
      </c>
      <c r="C12975" s="1">
        <v>1</v>
      </c>
      <c r="D12975" s="1" t="str">
        <f>"11487"</f>
        <v>11487</v>
      </c>
      <c r="E12975" s="1" t="s">
        <v>142</v>
      </c>
      <c r="F12975" s="1">
        <v>8</v>
      </c>
      <c r="G12975" s="1">
        <v>4</v>
      </c>
      <c r="H12975" s="1">
        <v>1</v>
      </c>
      <c r="I12975" s="1" t="s">
        <v>26932</v>
      </c>
      <c r="K12975" s="1" t="str">
        <f t="shared" si="819"/>
        <v>ㄨ</v>
      </c>
      <c r="L12975" s="1" t="str">
        <f t="shared" si="820"/>
        <v>ㄢ</v>
      </c>
      <c r="N12975" s="3" t="s">
        <v>30574</v>
      </c>
      <c r="O12975" s="3"/>
      <c r="P12975" s="1" t="s">
        <v>20</v>
      </c>
      <c r="R12975" s="1" t="s">
        <v>26933</v>
      </c>
      <c r="V12975" s="1" t="s">
        <v>26937</v>
      </c>
      <c r="W12975" s="1" t="s">
        <v>26938</v>
      </c>
      <c r="AR12975" s="1" t="str">
        <f t="shared" si="818"/>
        <v>| [ㄨㄢˋ](ㄨㄢˋ.md) | [玩](玩.md) |  | wàn | [動]
1.用輕忽的態度來對待，多用於文言詞。如：「玩世不恭」。《書經．旅獒》：「玩人喪德，玩物喪志。」《國語．吳語》：「大夫種勇而善謀，將還玩吳國於股掌之上，以得其志。」
2.欣賞、觀賞。如：「賞玩」。《楚辭．屈原．九章．思美人》：「惜吾不及古人兮，吾誰與玩此芳草？」《鏡花緣》第七回：「一日，正值皓月當空，小山同唐敏坐在簷下，玩月談文。」
3.研習。《易經．繫辭上》：「是故君子所居而安者，易之序也；所樂而玩者，爻之辭也。」《文選．劉琨．答盧諶》：「損書及詩，備酸辛之苦言，暢經通之遠旨。執玩反覆，不能釋手。」
[名]
可供玩賞的東西。如：「古玩」、「珍玩」、「奇玩」。《國語．楚語下》：「若夫白珩，先王之玩也，何寶之焉？」《紅樓夢》第一八回：「各處監管都交清帳目；各處古董文玩皆已陳設齊備。」 |</v>
      </c>
    </row>
    <row r="12976" spans="1:44" hidden="1">
      <c r="A12976" s="1" t="s">
        <v>26939</v>
      </c>
      <c r="C12976" s="1">
        <v>1</v>
      </c>
      <c r="D12976" s="1" t="str">
        <f>"11488"</f>
        <v>11488</v>
      </c>
      <c r="E12976" s="1" t="s">
        <v>139</v>
      </c>
      <c r="F12976" s="1">
        <v>8</v>
      </c>
      <c r="G12976" s="1">
        <v>4</v>
      </c>
      <c r="H12976" s="1">
        <v>2</v>
      </c>
      <c r="I12976" s="1" t="s">
        <v>26932</v>
      </c>
      <c r="K12976" s="1" t="str">
        <f t="shared" si="819"/>
        <v>ㄨ</v>
      </c>
      <c r="L12976" s="1" t="str">
        <f t="shared" si="820"/>
        <v>ㄢ</v>
      </c>
      <c r="N12976" s="3" t="s">
        <v>30574</v>
      </c>
      <c r="O12976" s="3"/>
      <c r="P12976" s="1" t="s">
        <v>20</v>
      </c>
      <c r="R12976" s="1" t="s">
        <v>26933</v>
      </c>
      <c r="V12976" s="1" t="s">
        <v>26940</v>
      </c>
      <c r="W12976" s="1" t="s">
        <v>26941</v>
      </c>
      <c r="AR12976" s="1" t="str">
        <f t="shared" si="818"/>
        <v>| [ㄨㄢˋ](ㄨㄢˋ.md) | [杬](杬.md) |  | wàn | [動]
按摩。《史記．卷一〇五．扁鵲倉公傳》：「鑱石撟引，案杬毒熨。」唐．司馬貞．索隱：「杬謂按摩而玩弄身體使調也。」 |</v>
      </c>
    </row>
    <row r="12977" spans="1:44" hidden="1">
      <c r="A12977" s="1" t="s">
        <v>26942</v>
      </c>
      <c r="C12977" s="1">
        <v>1</v>
      </c>
      <c r="D12977" s="1" t="str">
        <f>"11489"</f>
        <v>11489</v>
      </c>
      <c r="E12977" s="1" t="s">
        <v>2271</v>
      </c>
      <c r="F12977" s="1">
        <v>15</v>
      </c>
      <c r="G12977" s="1">
        <v>9</v>
      </c>
      <c r="H12977" s="1">
        <v>0</v>
      </c>
      <c r="I12977" s="1" t="s">
        <v>26932</v>
      </c>
      <c r="K12977" s="1" t="str">
        <f t="shared" si="819"/>
        <v>ㄨ</v>
      </c>
      <c r="L12977" s="1" t="str">
        <f t="shared" si="820"/>
        <v>ㄢ</v>
      </c>
      <c r="N12977" s="3" t="s">
        <v>30574</v>
      </c>
      <c r="O12977" s="3"/>
      <c r="P12977" s="1" t="s">
        <v>20</v>
      </c>
      <c r="R12977" s="1" t="s">
        <v>26933</v>
      </c>
      <c r="V12977" s="1" t="s">
        <v>26943</v>
      </c>
      <c r="AR12977" s="1" t="str">
        <f t="shared" si="818"/>
        <v>| [ㄨㄢˋ](ㄨㄢˋ.md) | [翫](翫.md) |  | wàn | [動]
1.安於習慣而鬆懈、輕忽。《左傳．僖公五年》：「晉不可啟，寇不可翫。」《晉書．卷三〇．刑法志》：「習翫所見而忽異聞，或未能咸服。」
2.戲弄。通「玩」。《左傳．昭公二十年》：「水懦弱，民狎而翫之，則多死焉。」《荀子．禮論》：「尒則翫，翫則厭，厭則忘。」
3.觀賞。通「玩」。《文選．張衡．東京賦》：「是以西匠營宮，目翫阿房。」南朝梁．劉勰《文心雕龍．辨騷》：「可謂鑒而弗精，翫而未覈者也。」
4.研習。通「玩」。《文選．嵇康．琴賦．序》：「余少好音聲，長而翫之。」《後漢書．卷一八．臧宮傳．論曰》：「斯誠雄心尚武之幾，先志翫兵之日。」 |</v>
      </c>
    </row>
    <row r="12978" spans="1:44" hidden="1">
      <c r="A12978" s="1" t="s">
        <v>26944</v>
      </c>
      <c r="C12978" s="1">
        <v>1</v>
      </c>
      <c r="D12978" s="1" t="str">
        <f>"11490"</f>
        <v>11490</v>
      </c>
      <c r="E12978" s="1" t="s">
        <v>250</v>
      </c>
      <c r="F12978" s="1">
        <v>11</v>
      </c>
      <c r="G12978" s="1">
        <v>8</v>
      </c>
      <c r="H12978" s="1">
        <v>0</v>
      </c>
      <c r="I12978" s="1" t="s">
        <v>26932</v>
      </c>
      <c r="K12978" s="1" t="str">
        <f t="shared" si="819"/>
        <v>ㄨ</v>
      </c>
      <c r="L12978" s="1" t="str">
        <f t="shared" si="820"/>
        <v>ㄢ</v>
      </c>
      <c r="N12978" s="3" t="s">
        <v>30574</v>
      </c>
      <c r="O12978" s="3"/>
      <c r="P12978" s="1" t="s">
        <v>20</v>
      </c>
      <c r="R12978" s="1" t="s">
        <v>26933</v>
      </c>
      <c r="V12978" s="1" t="s">
        <v>26945</v>
      </c>
      <c r="AR12978" s="1" t="str">
        <f t="shared" si="818"/>
        <v>| [ㄨㄢˋ](ㄨㄢˋ.md) | [惋](惋.md) |  | wàn | [動]
痛惜、驚嘆。如：「惋惜」。《戰國策．秦策二》：「受欺於張儀，王必惋之。」《文選．陸機．文賦》：「故時撫空懷而自惋，吾未識夫開塞之所由。」 |</v>
      </c>
    </row>
    <row r="12979" spans="1:44" hidden="1">
      <c r="A12979" s="1" t="s">
        <v>26946</v>
      </c>
      <c r="C12979" s="1">
        <v>1</v>
      </c>
      <c r="D12979" s="1" t="str">
        <f>"11491"</f>
        <v>11491</v>
      </c>
      <c r="E12979" s="1" t="s">
        <v>68</v>
      </c>
      <c r="F12979" s="1">
        <v>12</v>
      </c>
      <c r="G12979" s="1">
        <v>8</v>
      </c>
      <c r="H12979" s="1">
        <v>0</v>
      </c>
      <c r="I12979" s="1" t="s">
        <v>26932</v>
      </c>
      <c r="K12979" s="1" t="str">
        <f t="shared" si="819"/>
        <v>ㄨ</v>
      </c>
      <c r="L12979" s="1" t="str">
        <f t="shared" si="820"/>
        <v>ㄢ</v>
      </c>
      <c r="N12979" s="3" t="s">
        <v>30574</v>
      </c>
      <c r="O12979" s="3"/>
      <c r="P12979" s="1" t="s">
        <v>20</v>
      </c>
      <c r="R12979" s="1" t="s">
        <v>26933</v>
      </c>
      <c r="V12979" s="1" t="s">
        <v>26947</v>
      </c>
      <c r="AR12979" s="1" t="str">
        <f t="shared" si="818"/>
        <v>| [ㄨㄢˋ](ㄨㄢˋ.md) | [腕](腕.md) |  | wàn | [名]
前臂與手掌相連的關節部位。如：「手腕」、「扼腕」。《墨子．大取》：「斷指與斷腕，利於天下，相若無擇也。」也稱為「腕子」、「腕部」、「腕關節」。 |</v>
      </c>
    </row>
    <row r="12980" spans="1:44" hidden="1">
      <c r="A12980" s="1" t="s">
        <v>3107</v>
      </c>
      <c r="C12980" s="1">
        <v>1</v>
      </c>
      <c r="D12980" s="1" t="str">
        <f>"11492"</f>
        <v>11492</v>
      </c>
      <c r="E12980" s="1" t="s">
        <v>1880</v>
      </c>
      <c r="F12980" s="1">
        <v>11</v>
      </c>
      <c r="G12980" s="1">
        <v>9</v>
      </c>
      <c r="H12980" s="1">
        <v>2</v>
      </c>
      <c r="I12980" s="1" t="s">
        <v>26932</v>
      </c>
      <c r="K12980" s="1" t="str">
        <f t="shared" si="819"/>
        <v>ㄨ</v>
      </c>
      <c r="L12980" s="1" t="str">
        <f t="shared" si="820"/>
        <v>ㄢ</v>
      </c>
      <c r="N12980" s="3" t="s">
        <v>30574</v>
      </c>
      <c r="O12980" s="3"/>
      <c r="P12980" s="1" t="s">
        <v>110</v>
      </c>
      <c r="R12980" s="1" t="s">
        <v>26933</v>
      </c>
      <c r="V12980" s="1" t="s">
        <v>111</v>
      </c>
      <c r="W12980" s="1" t="s">
        <v>26948</v>
      </c>
      <c r="AR12980" s="1" t="str">
        <f t="shared" si="818"/>
        <v>| [ㄨㄢˋ](ㄨㄢˋ.md) | [曼](曼.md) |  | wàn | (一)之又音。 |</v>
      </c>
    </row>
    <row r="12981" spans="1:44" hidden="1">
      <c r="A12981" s="1" t="s">
        <v>3124</v>
      </c>
      <c r="C12981" s="1">
        <v>1</v>
      </c>
      <c r="D12981" s="1" t="str">
        <f>"11493"</f>
        <v>11493</v>
      </c>
      <c r="E12981" s="1" t="s">
        <v>198</v>
      </c>
      <c r="F12981" s="1">
        <v>14</v>
      </c>
      <c r="G12981" s="1">
        <v>11</v>
      </c>
      <c r="H12981" s="1">
        <v>2</v>
      </c>
      <c r="I12981" s="1" t="s">
        <v>26932</v>
      </c>
      <c r="K12981" s="1" t="str">
        <f t="shared" si="819"/>
        <v>ㄨ</v>
      </c>
      <c r="L12981" s="1" t="str">
        <f t="shared" si="820"/>
        <v>ㄢ</v>
      </c>
      <c r="N12981" s="3" t="s">
        <v>30574</v>
      </c>
      <c r="O12981" s="3"/>
      <c r="P12981" s="1" t="s">
        <v>110</v>
      </c>
      <c r="R12981" s="1" t="s">
        <v>26933</v>
      </c>
      <c r="V12981" s="1" t="s">
        <v>111</v>
      </c>
      <c r="W12981" s="1" t="s">
        <v>26949</v>
      </c>
      <c r="AR12981" s="1" t="str">
        <f t="shared" si="818"/>
        <v>| [ㄨㄢˋ](ㄨㄢˋ.md) | [獌](獌.md) |  | wàn | (一)之又音。 |</v>
      </c>
    </row>
    <row r="12982" spans="1:44" hidden="1">
      <c r="A12982" s="1" t="s">
        <v>26950</v>
      </c>
      <c r="C12982" s="1">
        <v>1</v>
      </c>
      <c r="D12982" s="1" t="str">
        <f>"11494"</f>
        <v>11494</v>
      </c>
      <c r="E12982" s="1" t="s">
        <v>15579</v>
      </c>
      <c r="F12982" s="1">
        <v>13</v>
      </c>
      <c r="G12982" s="1">
        <v>8</v>
      </c>
      <c r="H12982" s="1">
        <v>0</v>
      </c>
      <c r="I12982" s="1" t="s">
        <v>26932</v>
      </c>
      <c r="K12982" s="1" t="str">
        <f t="shared" si="819"/>
        <v>ㄨ</v>
      </c>
      <c r="L12982" s="1" t="str">
        <f t="shared" si="820"/>
        <v>ㄢ</v>
      </c>
      <c r="N12982" s="3" t="s">
        <v>30574</v>
      </c>
      <c r="O12982" s="3"/>
      <c r="P12982" s="1" t="s">
        <v>20</v>
      </c>
      <c r="R12982" s="1" t="s">
        <v>26933</v>
      </c>
      <c r="V12982" s="1" t="s">
        <v>26951</v>
      </c>
      <c r="AR12982" s="1" t="str">
        <f t="shared" si="818"/>
        <v>| [ㄨㄢˋ](ㄨㄢˋ.md) | [萬](萬.md) |  | wàn | [名]
數目字。千的十倍。《玉篇．禸部》：「萬，十千也。」《孟子．梁惠王上》：「萬取千焉，千取百焉，不為不多矣。」唐．白居易〈寄元九〉詩：「三寄衣食資，數盈二十萬。」
[形]
眾多的。如：「排除萬難」。《易經．謙卦．象曰》：「勞謙君子，萬民服也。」《荀子．富國》：「古有萬國，今有十數焉。」
[副]
極、非常、絕對。如：「萬不得已」、「萬萬不可」。《漢書．卷三四．黥布傳》：「我之取天下可以萬全。」唐．韓愈〈柳子厚墓誌銘〉：「無辭以白其大人，且萬無母子俱往理。」 |</v>
      </c>
    </row>
    <row r="12983" spans="1:44" hidden="1">
      <c r="A12983" s="1" t="s">
        <v>26861</v>
      </c>
      <c r="C12983" s="1">
        <v>1</v>
      </c>
      <c r="D12983" s="1" t="str">
        <f>"11452"</f>
        <v>11452</v>
      </c>
      <c r="E12983" s="1" t="s">
        <v>4017</v>
      </c>
      <c r="F12983" s="1">
        <v>3</v>
      </c>
      <c r="G12983" s="1">
        <v>2</v>
      </c>
      <c r="H12983" s="1">
        <v>0</v>
      </c>
      <c r="I12983" s="1" t="s">
        <v>26862</v>
      </c>
      <c r="K12983" s="1" t="str">
        <f t="shared" si="819"/>
        <v>ㄨ</v>
      </c>
      <c r="L12983" s="1" t="str">
        <f t="shared" si="820"/>
        <v>ㄢ</v>
      </c>
      <c r="N12983" s="3" t="s">
        <v>30575</v>
      </c>
      <c r="O12983" s="3"/>
      <c r="P12983" s="1" t="s">
        <v>20</v>
      </c>
      <c r="R12983" s="1" t="s">
        <v>26863</v>
      </c>
      <c r="V12983" s="1" t="s">
        <v>26864</v>
      </c>
      <c r="AR12983" s="1" t="str">
        <f t="shared" si="818"/>
        <v>| [ㄨㄢˊ](ㄨㄢˊ.md) | [丸](丸.md) |  | wán | [名]
1.形狀小而圓的物體。如：「彈丸」、「藥丸」。《左傳．宣公二年》：「晉靈公不君，厚斂以彫牆，從臺上彈人，而觀其辟丸也。」《抱朴子．內篇．至理》：「今醫家通明腎氣之丸，內補五絡之散。」
2.卵。《呂氏春秋．孝行覽．本味》：「流沙之西，丹山之南，有鳳之丸。」
3.量詞。計算小而圓物體的單位。《樂府詩集．卷三六．相和歌辭十一．古辭．善哉行》：「仙人王喬，奉藥一丸。」《新唐書．卷五七．藝文志一》：「季給上谷墨三百三十六丸。」
[動]
搓揉成球形。《晉書．卷八二．陳壽傳》：「有疾，使婢丸藥。」 |</v>
      </c>
    </row>
    <row r="12984" spans="1:44" hidden="1">
      <c r="A12984" s="1" t="s">
        <v>26865</v>
      </c>
      <c r="C12984" s="1">
        <v>1</v>
      </c>
      <c r="D12984" s="1" t="str">
        <f>"11453"</f>
        <v>11453</v>
      </c>
      <c r="E12984" s="1" t="s">
        <v>129</v>
      </c>
      <c r="F12984" s="1">
        <v>6</v>
      </c>
      <c r="G12984" s="1">
        <v>3</v>
      </c>
      <c r="H12984" s="1">
        <v>0</v>
      </c>
      <c r="I12984" s="1" t="s">
        <v>26862</v>
      </c>
      <c r="K12984" s="1" t="str">
        <f t="shared" si="819"/>
        <v>ㄨ</v>
      </c>
      <c r="L12984" s="1" t="str">
        <f t="shared" si="820"/>
        <v>ㄢ</v>
      </c>
      <c r="N12984" s="3" t="s">
        <v>30575</v>
      </c>
      <c r="O12984" s="3"/>
      <c r="P12984" s="1" t="s">
        <v>20</v>
      </c>
      <c r="R12984" s="1" t="s">
        <v>26863</v>
      </c>
      <c r="V12984" s="1" t="s">
        <v>26866</v>
      </c>
      <c r="AR12984" s="1" t="str">
        <f t="shared" si="818"/>
        <v>| [ㄨㄢˊ](ㄨㄢˊ.md) | [汍](汍.md) |  | wán | 參見「汍瀾」條。 |</v>
      </c>
    </row>
    <row r="12985" spans="1:44" hidden="1">
      <c r="A12985" s="1" t="s">
        <v>26867</v>
      </c>
      <c r="C12985" s="1">
        <v>1</v>
      </c>
      <c r="D12985" s="1" t="str">
        <f>"11454"</f>
        <v>11454</v>
      </c>
      <c r="E12985" s="1" t="s">
        <v>37</v>
      </c>
      <c r="F12985" s="1">
        <v>7</v>
      </c>
      <c r="G12985" s="1">
        <v>3</v>
      </c>
      <c r="H12985" s="1">
        <v>0</v>
      </c>
      <c r="I12985" s="1" t="s">
        <v>26862</v>
      </c>
      <c r="K12985" s="1" t="str">
        <f t="shared" si="819"/>
        <v>ㄨ</v>
      </c>
      <c r="L12985" s="1" t="str">
        <f t="shared" si="820"/>
        <v>ㄢ</v>
      </c>
      <c r="N12985" s="3" t="s">
        <v>30575</v>
      </c>
      <c r="O12985" s="3"/>
      <c r="P12985" s="1" t="s">
        <v>20</v>
      </c>
      <c r="R12985" s="1" t="s">
        <v>26863</v>
      </c>
      <c r="V12985" s="1" t="s">
        <v>26868</v>
      </c>
      <c r="AR12985" s="1" t="str">
        <f t="shared" si="818"/>
        <v>| [ㄨㄢˊ](ㄨㄢˊ.md) | [芄](芄.md) |  | wán | 參見「芄蘭」條。 |</v>
      </c>
    </row>
    <row r="12986" spans="1:44" hidden="1">
      <c r="A12986" s="1" t="s">
        <v>26869</v>
      </c>
      <c r="C12986" s="1">
        <v>1</v>
      </c>
      <c r="D12986" s="1" t="str">
        <f>"11455"</f>
        <v>11455</v>
      </c>
      <c r="E12986" s="1" t="s">
        <v>725</v>
      </c>
      <c r="F12986" s="1">
        <v>9</v>
      </c>
      <c r="G12986" s="1">
        <v>3</v>
      </c>
      <c r="H12986" s="1">
        <v>0</v>
      </c>
      <c r="I12986" s="1" t="s">
        <v>26862</v>
      </c>
      <c r="K12986" s="1" t="str">
        <f t="shared" si="819"/>
        <v>ㄨ</v>
      </c>
      <c r="L12986" s="1" t="str">
        <f t="shared" si="820"/>
        <v>ㄢ</v>
      </c>
      <c r="N12986" s="3" t="s">
        <v>30575</v>
      </c>
      <c r="O12986" s="3"/>
      <c r="P12986" s="1" t="s">
        <v>20</v>
      </c>
      <c r="R12986" s="1" t="s">
        <v>26863</v>
      </c>
      <c r="V12986" s="1" t="s">
        <v>26870</v>
      </c>
      <c r="AR12986" s="1" t="str">
        <f t="shared" si="818"/>
        <v>| [ㄨㄢˊ](ㄨㄢˊ.md) | [紈](紈.md) |  | wán | [名]
細緻而有光澤的白綢絹。《說文解字．糸部》：「紈，素也。」清．段玉裁．注：「素者，白緻繒也。紈即素也，故從丸，言其滑易也。」《戰國策．齊策四》：「下宮糅羅紈，曳綺縠。」《漢書．卷二八．地理志下》：「故其俗彌侈，織作冰紈綺繡純麗之物，號為冠帶衣履天下。」 |</v>
      </c>
    </row>
    <row r="12987" spans="1:44" hidden="1">
      <c r="A12987" s="1" t="s">
        <v>26871</v>
      </c>
      <c r="C12987" s="1">
        <v>1</v>
      </c>
      <c r="D12987" s="1" t="str">
        <f>"11456"</f>
        <v>11456</v>
      </c>
      <c r="E12987" s="1" t="s">
        <v>185</v>
      </c>
      <c r="F12987" s="1">
        <v>6</v>
      </c>
      <c r="G12987" s="1">
        <v>4</v>
      </c>
      <c r="H12987" s="1">
        <v>0</v>
      </c>
      <c r="I12987" s="1" t="s">
        <v>26862</v>
      </c>
      <c r="K12987" s="1" t="str">
        <f t="shared" si="819"/>
        <v>ㄨ</v>
      </c>
      <c r="L12987" s="1" t="str">
        <f t="shared" si="820"/>
        <v>ㄢ</v>
      </c>
      <c r="N12987" s="3" t="s">
        <v>30575</v>
      </c>
      <c r="O12987" s="3"/>
      <c r="P12987" s="1" t="s">
        <v>20</v>
      </c>
      <c r="R12987" s="1" t="s">
        <v>26863</v>
      </c>
      <c r="V12987" s="1" t="s">
        <v>26872</v>
      </c>
      <c r="AR12987" s="1" t="str">
        <f t="shared" si="818"/>
        <v>| [ㄨㄢˊ](ㄨㄢˊ.md) | [刓](刓.md) |  | wán | [動]
削刻、鏤刻。《楚辭．屈原．九章．懷沙》：「刓方以為圜兮，常度未替。」
[形]
壞損的。唐．韓愈〈請上尊號表〉：「堯誅九嬰以定下土，血兵刓刃，僅就厥功。」 |</v>
      </c>
    </row>
    <row r="12988" spans="1:44" hidden="1">
      <c r="A12988" s="1" t="s">
        <v>26873</v>
      </c>
      <c r="C12988" s="1">
        <v>1</v>
      </c>
      <c r="D12988" s="1" t="str">
        <f>"11457"</f>
        <v>11457</v>
      </c>
      <c r="E12988" s="1" t="s">
        <v>624</v>
      </c>
      <c r="F12988" s="1">
        <v>7</v>
      </c>
      <c r="G12988" s="1">
        <v>4</v>
      </c>
      <c r="H12988" s="1">
        <v>0</v>
      </c>
      <c r="I12988" s="1" t="s">
        <v>26862</v>
      </c>
      <c r="K12988" s="1" t="str">
        <f t="shared" si="819"/>
        <v>ㄨ</v>
      </c>
      <c r="L12988" s="1" t="str">
        <f t="shared" si="820"/>
        <v>ㄢ</v>
      </c>
      <c r="N12988" s="3" t="s">
        <v>30575</v>
      </c>
      <c r="O12988" s="3"/>
      <c r="P12988" s="1" t="s">
        <v>20</v>
      </c>
      <c r="R12988" s="1" t="s">
        <v>26863</v>
      </c>
      <c r="V12988" s="1" t="s">
        <v>26874</v>
      </c>
      <c r="AR12988" s="1" t="str">
        <f t="shared" si="818"/>
        <v>| [ㄨㄢˊ](ㄨㄢˊ.md) | [完](完.md) |  | wán | [形]
1.齊全、完整。《戰國策．齊策四》：「夫玉生於山，制則破焉；非弗寶貴矣，然夫璞不完。」南朝宋．劉義慶《世說新語．言語》：「大人豈見覆巢之下復有完卵乎？」
2.堅固。《孟子．離婁上》：「城郭不完，兵甲不多，非國之災也。」《後漢書．卷二四．馬援傳》：「破羌以西城多完牢，易可依固。」
3.完美，品德沒有缺陷。如：「完人」。《韓非子．難言》：「敦厚恭祗，鯁固慎完，則見以為拙而不倫。」
[動]
1.保全。《左傳．昭公十五年》：「邑以賈怠，不如完舊。」《漢書．卷一．高帝紀上》：「吾非敢自愛，恐能薄，不能完父兄子弟。」
2.修繕、整治。《詩經．大雅．韓奕》：「溥彼韓城，燕師所完。」《金史．卷七八．劉彥宗傳》：「陝西邊帥請完沿邊城廓以備南寇。」
3.繳納。如：「完糧」、「完稅」。明．徐光啟《農政全書．卷八．農事．開墾上》：「收熟之時，照所佃糧額，竟赴管屯衙門，當官完納。」《官場現形記》第四〇回：「這一季的錢糧，已完到六七成了。」
4.畢、完成。如：「完稿」、「完工」。
5.比喻失敗。如：「這麼一來，他真的完了。」
[副]
盡，沒有剩餘。如：「用完」。《紅樓夢》第三七回：「若看完了還不交卷，是必罰的。」
[名]
1.一種古代的輕刑。因其僅剃去毛髮而不傷肢體，故稱為「完」。《漢書．卷二三．刑法志》：「刖者使守囿，完者使守積。」唐．顏師古．注：「完，謂不虧其體，但居作也。」
2.姓。如元代有完澤。 |</v>
      </c>
    </row>
    <row r="12989" spans="1:44" hidden="1">
      <c r="A12989" s="1" t="s">
        <v>26875</v>
      </c>
      <c r="C12989" s="1">
        <v>1</v>
      </c>
      <c r="D12989" s="1" t="str">
        <f>"11458"</f>
        <v>11458</v>
      </c>
      <c r="E12989" s="1" t="s">
        <v>24</v>
      </c>
      <c r="F12989" s="1">
        <v>7</v>
      </c>
      <c r="G12989" s="1">
        <v>4</v>
      </c>
      <c r="H12989" s="1">
        <v>0</v>
      </c>
      <c r="I12989" s="1" t="s">
        <v>26862</v>
      </c>
      <c r="K12989" s="1" t="str">
        <f t="shared" si="819"/>
        <v>ㄨ</v>
      </c>
      <c r="L12989" s="1" t="str">
        <f t="shared" si="820"/>
        <v>ㄢ</v>
      </c>
      <c r="N12989" s="3" t="s">
        <v>30575</v>
      </c>
      <c r="O12989" s="3"/>
      <c r="P12989" s="1" t="s">
        <v>20</v>
      </c>
      <c r="R12989" s="1" t="s">
        <v>26863</v>
      </c>
      <c r="V12989" s="1" t="s">
        <v>26876</v>
      </c>
      <c r="AR12989" s="1" t="str">
        <f t="shared" si="818"/>
        <v>| [ㄨㄢˊ](ㄨㄢˊ.md) | [抏](抏.md) |  | wán | [動]
消耗、耗損。《文選．司馬相如．上林賦》：「若夫終日馳騁，勞神苦形，罷車馬之用，抏士卒之精。」 |</v>
      </c>
    </row>
    <row r="12990" spans="1:44" hidden="1">
      <c r="A12990" s="1" t="s">
        <v>26877</v>
      </c>
      <c r="C12990" s="1">
        <v>1</v>
      </c>
      <c r="D12990" s="1" t="str">
        <f>"11459"</f>
        <v>11459</v>
      </c>
      <c r="E12990" s="1" t="s">
        <v>190</v>
      </c>
      <c r="F12990" s="1">
        <v>7</v>
      </c>
      <c r="G12990" s="1">
        <v>4</v>
      </c>
      <c r="H12990" s="1">
        <v>0</v>
      </c>
      <c r="I12990" s="1" t="s">
        <v>26862</v>
      </c>
      <c r="K12990" s="1" t="str">
        <f t="shared" si="819"/>
        <v>ㄨ</v>
      </c>
      <c r="L12990" s="1" t="str">
        <f t="shared" si="820"/>
        <v>ㄢ</v>
      </c>
      <c r="N12990" s="3" t="s">
        <v>30575</v>
      </c>
      <c r="O12990" s="3"/>
      <c r="P12990" s="1" t="s">
        <v>20</v>
      </c>
      <c r="R12990" s="1" t="s">
        <v>26863</v>
      </c>
      <c r="V12990" s="1" t="s">
        <v>26878</v>
      </c>
      <c r="AR12990" s="1" t="str">
        <f t="shared" si="818"/>
        <v>| [ㄨㄢˊ](ㄨㄢˊ.md) | [岏](岏.md) |  | wán | [形]
巑岏：山勢高聳。《集韻．平聲．桓韻》：「岏，巑岏，山銳貌。」《文選．宋玉．高唐賦》：「盤岸巑岏，裖陳磑磑。」 |</v>
      </c>
    </row>
    <row r="12991" spans="1:44" hidden="1">
      <c r="A12991" s="1" t="s">
        <v>26879</v>
      </c>
      <c r="C12991" s="1">
        <v>1</v>
      </c>
      <c r="D12991" s="1" t="str">
        <f>"11460"</f>
        <v>11460</v>
      </c>
      <c r="E12991" s="1" t="s">
        <v>142</v>
      </c>
      <c r="F12991" s="1">
        <v>8</v>
      </c>
      <c r="G12991" s="1">
        <v>4</v>
      </c>
      <c r="H12991" s="1">
        <v>2</v>
      </c>
      <c r="I12991" s="1" t="s">
        <v>26862</v>
      </c>
      <c r="K12991" s="1" t="str">
        <f t="shared" si="819"/>
        <v>ㄨ</v>
      </c>
      <c r="L12991" s="1" t="str">
        <f t="shared" si="820"/>
        <v>ㄢ</v>
      </c>
      <c r="N12991" s="3" t="s">
        <v>30575</v>
      </c>
      <c r="O12991" s="3"/>
      <c r="P12991" s="1" t="s">
        <v>20</v>
      </c>
      <c r="R12991" s="1" t="s">
        <v>26863</v>
      </c>
      <c r="V12991" s="1" t="s">
        <v>26880</v>
      </c>
      <c r="W12991" s="1" t="s">
        <v>26881</v>
      </c>
      <c r="AR12991" s="1" t="str">
        <f t="shared" si="818"/>
        <v>| [ㄨㄢˊ](ㄨㄢˊ.md) | [玩](玩.md) |  | wán | [動]
1.遊戲、嬉戲。如：「出去玩！」、「每個小孩都玩得非常高興。」
2.把弄東西或做某種遊戲。如：「玩皮球」、「玩穚牌」、「玩躲貓貓」、「不要讓小孩玩電器，以免發生意外。」
3.耍弄、戲弄，多用於口語。如：「玩手腕兒」、「玩弄感情」、「少跟我玩花招！」
[形]
供人玩耍、遊戲的。如：「玩具」、「玩偶」。 |</v>
      </c>
    </row>
    <row r="12992" spans="1:44" hidden="1">
      <c r="A12992" s="1" t="s">
        <v>26882</v>
      </c>
      <c r="C12992" s="1">
        <v>1</v>
      </c>
      <c r="D12992" s="1" t="str">
        <f>"11461"</f>
        <v>11461</v>
      </c>
      <c r="E12992" s="1" t="s">
        <v>336</v>
      </c>
      <c r="F12992" s="1">
        <v>11</v>
      </c>
      <c r="G12992" s="1">
        <v>7</v>
      </c>
      <c r="H12992" s="1">
        <v>0</v>
      </c>
      <c r="I12992" s="1" t="s">
        <v>26862</v>
      </c>
      <c r="K12992" s="1" t="str">
        <f t="shared" si="819"/>
        <v>ㄨ</v>
      </c>
      <c r="L12992" s="1" t="str">
        <f t="shared" si="820"/>
        <v>ㄢ</v>
      </c>
      <c r="N12992" s="3" t="s">
        <v>30575</v>
      </c>
      <c r="O12992" s="3"/>
      <c r="P12992" s="1" t="s">
        <v>20</v>
      </c>
      <c r="R12992" s="1" t="s">
        <v>26863</v>
      </c>
      <c r="V12992" s="1" t="s">
        <v>26883</v>
      </c>
      <c r="AR12992" s="1" t="str">
        <f t="shared" si="818"/>
        <v>| [ㄨㄢˊ](ㄨㄢˊ.md) | [烷](烷.md) |  | wán | [名]
1.火。《集韻．平聲．桓韻》：「烷，火也。」
2.有機化學中，代表飽和的碳化氫，表示其分子結構中碳原子化合價完足的意思。 |</v>
      </c>
    </row>
    <row r="12993" spans="1:44" hidden="1">
      <c r="A12993" s="1" t="s">
        <v>26884</v>
      </c>
      <c r="C12993" s="1">
        <v>1</v>
      </c>
      <c r="D12993" s="1" t="str">
        <f>"11462"</f>
        <v>11462</v>
      </c>
      <c r="E12993" s="1" t="s">
        <v>684</v>
      </c>
      <c r="F12993" s="1">
        <v>13</v>
      </c>
      <c r="G12993" s="1">
        <v>4</v>
      </c>
      <c r="H12993" s="1">
        <v>0</v>
      </c>
      <c r="I12993" s="1" t="s">
        <v>26862</v>
      </c>
      <c r="K12993" s="1" t="str">
        <f t="shared" si="819"/>
        <v>ㄨ</v>
      </c>
      <c r="L12993" s="1" t="str">
        <f t="shared" si="820"/>
        <v>ㄢ</v>
      </c>
      <c r="N12993" s="3" t="s">
        <v>30575</v>
      </c>
      <c r="O12993" s="3"/>
      <c r="P12993" s="1" t="s">
        <v>20</v>
      </c>
      <c r="R12993" s="1" t="s">
        <v>26863</v>
      </c>
      <c r="V12993" s="1" t="s">
        <v>26885</v>
      </c>
      <c r="AR12993" s="1" t="str">
        <f t="shared" si="818"/>
        <v>| [ㄨㄢˊ](ㄨㄢˊ.md) | [頑](頑.md) |  | wán | [形]
1.固執、不易變化的。如：「頑固」。唐．李賀〈楊生青花紫石硯歌〉：「圓毫促點聲靜新，孔硯寬頑何足云。」宋．陸游〈野飯〉詩：「堪笑此翁頑戎嗼，還山又食一番新。」
2.愚蠢無知。《書經．堯典》：「父頑，母嚚，象傲，克諧以孝。」
3.貪。《孟子．萬章下》：「故聞伯夷之風者，頑夫廉，懦夫有立志。」《呂氏春秋．慎大覽．慎大》：「桀為無道，暴戾頑貪，天下顫恐而患之。」
4.淘氣、調皮。如：「頑皮」、「頑童」。
[動]
嬉戲。通「玩」。唐．姚合〈酬盧汀諫議〉詩：「杯觴引滿從衣溼，牆壁書多任手頑。」宋．陳造〈田家謠〉：「小婦初嫁當少寬，令伴阿姑頑過日。」 |</v>
      </c>
    </row>
    <row r="12994" spans="1:44" hidden="1">
      <c r="A12994" s="1" t="s">
        <v>26886</v>
      </c>
      <c r="C12994" s="1">
        <v>1</v>
      </c>
      <c r="D12994" s="1" t="str">
        <f>"11463"</f>
        <v>11463</v>
      </c>
      <c r="E12994" s="1" t="s">
        <v>624</v>
      </c>
      <c r="F12994" s="1">
        <v>8</v>
      </c>
      <c r="G12994" s="1">
        <v>5</v>
      </c>
      <c r="H12994" s="1">
        <v>1</v>
      </c>
      <c r="I12994" s="1" t="s">
        <v>26887</v>
      </c>
      <c r="K12994" s="1" t="str">
        <f t="shared" si="819"/>
        <v>ㄨ</v>
      </c>
      <c r="L12994" s="1" t="str">
        <f t="shared" si="820"/>
        <v>ㄢ</v>
      </c>
      <c r="N12994" s="3" t="s">
        <v>30576</v>
      </c>
      <c r="O12994" s="3"/>
      <c r="P12994" s="1" t="s">
        <v>20</v>
      </c>
      <c r="R12994" s="1" t="s">
        <v>26888</v>
      </c>
      <c r="V12994" s="1" t="s">
        <v>26889</v>
      </c>
      <c r="W12994" s="1" t="s">
        <v>26890</v>
      </c>
      <c r="AR12994" s="1" t="str">
        <f t="shared" si="818"/>
        <v>| [ㄨㄢˇ](ㄨㄢˇ.md) | [宛](宛.md) |  | wǎn | [形]
曲折的。《史記．卷一一七．司馬相如傳》：「奔星更於閏闥，宛虹拖於楯軒。」唐．杜牧〈長安送友人遊湖南〉詩：「楚南饒風煙，湘岸苦縈宛。」
[動]
彎、折。《漢書．卷八七．揚雄傳下》：「是以欲談者，宛舌而固聲。」
[副]
彷彿、好像。如：「音容宛在」。《詩經．秦風．蒹葭》：「溯遊從之，宛在水中坻。」宋．陸游〈舟中〉詩：「悠然滄洲趣，宛與塵世隔。」
[名]
姓。如明代有宛嘉祥。 |</v>
      </c>
    </row>
    <row r="12995" spans="1:44" hidden="1">
      <c r="A12995" s="1" t="s">
        <v>26891</v>
      </c>
      <c r="C12995" s="1">
        <v>1</v>
      </c>
      <c r="D12995" s="1" t="str">
        <f>"11464"</f>
        <v>11464</v>
      </c>
      <c r="E12995" s="1" t="s">
        <v>534</v>
      </c>
      <c r="F12995" s="1">
        <v>11</v>
      </c>
      <c r="G12995" s="1">
        <v>8</v>
      </c>
      <c r="H12995" s="1">
        <v>0</v>
      </c>
      <c r="I12995" s="1" t="s">
        <v>26887</v>
      </c>
      <c r="K12995" s="1" t="str">
        <f t="shared" si="819"/>
        <v>ㄨ</v>
      </c>
      <c r="L12995" s="1" t="str">
        <f t="shared" si="820"/>
        <v>ㄢ</v>
      </c>
      <c r="N12995" s="3" t="s">
        <v>30576</v>
      </c>
      <c r="O12995" s="3"/>
      <c r="P12995" s="1" t="s">
        <v>20</v>
      </c>
      <c r="R12995" s="1" t="s">
        <v>26888</v>
      </c>
      <c r="V12995" s="1" t="s">
        <v>26892</v>
      </c>
      <c r="AR12995" s="1" t="str">
        <f t="shared" ref="AR12995:AR13058" si="821">"| ["&amp;I12995&amp;"]("&amp;I12995&amp;".md) | ["&amp;A12995&amp;"]("&amp;A12995&amp;".md) | "&amp;" | "&amp;R12995&amp;" | "&amp;V12995&amp;" |"</f>
        <v>| [ㄨㄢˇ](ㄨㄢˇ.md) | [婉](婉.md) |  | wǎn | [形]
1.和順的。如：「溫柔婉約」。《左傳．昭公二十六年》：「姑慈而從，婦聽而婉。」晉．杜預．注：「婉，順也。」
2.美好的。《詩經．曹風．候人》：「婉兮孌兮，季女斯飢。」晉．陸機〈贈紀士詩〉：「修姱協姝麗，華顏婉如玉。」 |</v>
      </c>
    </row>
    <row r="12996" spans="1:44" hidden="1">
      <c r="A12996" s="1" t="s">
        <v>26893</v>
      </c>
      <c r="C12996" s="1">
        <v>1</v>
      </c>
      <c r="D12996" s="1" t="str">
        <f>"11465"</f>
        <v>11465</v>
      </c>
      <c r="E12996" s="1" t="s">
        <v>142</v>
      </c>
      <c r="F12996" s="1">
        <v>12</v>
      </c>
      <c r="G12996" s="1">
        <v>8</v>
      </c>
      <c r="H12996" s="1">
        <v>0</v>
      </c>
      <c r="I12996" s="1" t="s">
        <v>26887</v>
      </c>
      <c r="K12996" s="1" t="str">
        <f t="shared" si="819"/>
        <v>ㄨ</v>
      </c>
      <c r="L12996" s="1" t="str">
        <f t="shared" si="820"/>
        <v>ㄢ</v>
      </c>
      <c r="N12996" s="3" t="s">
        <v>30576</v>
      </c>
      <c r="O12996" s="3"/>
      <c r="P12996" s="1" t="s">
        <v>20</v>
      </c>
      <c r="R12996" s="1" t="s">
        <v>26888</v>
      </c>
      <c r="V12996" s="1" t="s">
        <v>26894</v>
      </c>
      <c r="AR12996" s="1" t="str">
        <f t="shared" si="821"/>
        <v>| [ㄨㄢˇ](ㄨㄢˇ.md) | [琬](琬.md) |  | wǎn | 參見「琬圭」、「琬琰」等條。 |</v>
      </c>
    </row>
    <row r="12997" spans="1:44" hidden="1">
      <c r="A12997" s="1" t="s">
        <v>26895</v>
      </c>
      <c r="C12997" s="1">
        <v>1</v>
      </c>
      <c r="D12997" s="1" t="str">
        <f>"11466"</f>
        <v>11466</v>
      </c>
      <c r="E12997" s="1" t="s">
        <v>37</v>
      </c>
      <c r="F12997" s="1">
        <v>12</v>
      </c>
      <c r="G12997" s="1">
        <v>8</v>
      </c>
      <c r="H12997" s="1">
        <v>1</v>
      </c>
      <c r="I12997" s="1" t="s">
        <v>26887</v>
      </c>
      <c r="K12997" s="1" t="str">
        <f t="shared" si="819"/>
        <v>ㄨ</v>
      </c>
      <c r="L12997" s="1" t="str">
        <f t="shared" si="820"/>
        <v>ㄢ</v>
      </c>
      <c r="N12997" s="3" t="s">
        <v>30576</v>
      </c>
      <c r="O12997" s="3"/>
      <c r="P12997" s="1" t="s">
        <v>20</v>
      </c>
      <c r="R12997" s="1" t="s">
        <v>26888</v>
      </c>
      <c r="V12997" s="1" t="s">
        <v>26896</v>
      </c>
      <c r="W12997" s="1" t="s">
        <v>26897</v>
      </c>
      <c r="AR12997" s="1" t="str">
        <f t="shared" si="821"/>
        <v>| [ㄨㄢˇ](ㄨㄢˇ.md) | [菀](菀.md) |  | wǎn | [名]
植物名。卷柏科卷柏屬，「卷柏」之古稱，參見「卷柏」條。 |</v>
      </c>
    </row>
    <row r="12998" spans="1:44" hidden="1">
      <c r="A12998" s="1" t="s">
        <v>26898</v>
      </c>
      <c r="C12998" s="1">
        <v>1</v>
      </c>
      <c r="D12998" s="1" t="str">
        <f>"11467"</f>
        <v>11467</v>
      </c>
      <c r="E12998" s="1" t="s">
        <v>646</v>
      </c>
      <c r="F12998" s="1">
        <v>12</v>
      </c>
      <c r="G12998" s="1">
        <v>8</v>
      </c>
      <c r="H12998" s="1">
        <v>0</v>
      </c>
      <c r="I12998" s="1" t="s">
        <v>26887</v>
      </c>
      <c r="K12998" s="1" t="str">
        <f t="shared" si="819"/>
        <v>ㄨ</v>
      </c>
      <c r="L12998" s="1" t="str">
        <f t="shared" si="820"/>
        <v>ㄢ</v>
      </c>
      <c r="N12998" s="3" t="s">
        <v>30576</v>
      </c>
      <c r="O12998" s="3"/>
      <c r="P12998" s="1" t="s">
        <v>20</v>
      </c>
      <c r="R12998" s="1" t="s">
        <v>26888</v>
      </c>
      <c r="V12998" s="1" t="s">
        <v>26899</v>
      </c>
      <c r="AR12998" s="1" t="str">
        <f t="shared" si="821"/>
        <v>| [ㄨㄢˇ](ㄨㄢˇ.md) | [晼](晼.md) |  | wǎn | 參見「晼晚」條。 |</v>
      </c>
    </row>
    <row r="12999" spans="1:44" hidden="1">
      <c r="A12999" s="1" t="s">
        <v>26900</v>
      </c>
      <c r="C12999" s="1">
        <v>1</v>
      </c>
      <c r="D12999" s="1" t="str">
        <f>"11468"</f>
        <v>11468</v>
      </c>
      <c r="E12999" s="1" t="s">
        <v>169</v>
      </c>
      <c r="F12999" s="1">
        <v>13</v>
      </c>
      <c r="G12999" s="1">
        <v>8</v>
      </c>
      <c r="H12999" s="1">
        <v>0</v>
      </c>
      <c r="I12999" s="1" t="s">
        <v>26887</v>
      </c>
      <c r="K12999" s="1" t="str">
        <f t="shared" si="819"/>
        <v>ㄨ</v>
      </c>
      <c r="L12999" s="1" t="str">
        <f t="shared" si="820"/>
        <v>ㄢ</v>
      </c>
      <c r="N12999" s="3" t="s">
        <v>30576</v>
      </c>
      <c r="O12999" s="3"/>
      <c r="P12999" s="1" t="s">
        <v>20</v>
      </c>
      <c r="R12999" s="1" t="s">
        <v>26888</v>
      </c>
      <c r="V12999" s="1" t="s">
        <v>26901</v>
      </c>
      <c r="AR12999" s="1" t="str">
        <f t="shared" si="821"/>
        <v>| [ㄨㄢˇ](ㄨㄢˇ.md) | [碗](碗.md) |  | wǎn | [名]
1.盛飲食的器皿。如：「瓷碗」、「飯碗」。《西遊記》第一回：「跳過橋頭，一個個搶盆奪碗，佔灶爭床。」
2.量詞：(1)計算碗裝物的單位。如：「一碗茶」、「兩碗飯」。(2)計算燈籠的單位。《水滸傳》第二二回：「正勸不開，只見兩三碗燈籠，飛也似來。」 |</v>
      </c>
    </row>
    <row r="13000" spans="1:44" hidden="1">
      <c r="A13000" s="1" t="s">
        <v>26902</v>
      </c>
      <c r="C13000" s="1">
        <v>1</v>
      </c>
      <c r="D13000" s="1" t="str">
        <f>"11469"</f>
        <v>11469</v>
      </c>
      <c r="E13000" s="1" t="s">
        <v>753</v>
      </c>
      <c r="F13000" s="1">
        <v>13</v>
      </c>
      <c r="G13000" s="1">
        <v>8</v>
      </c>
      <c r="H13000" s="1">
        <v>0</v>
      </c>
      <c r="I13000" s="1" t="s">
        <v>26887</v>
      </c>
      <c r="K13000" s="1" t="str">
        <f t="shared" si="819"/>
        <v>ㄨ</v>
      </c>
      <c r="L13000" s="1" t="str">
        <f t="shared" si="820"/>
        <v>ㄢ</v>
      </c>
      <c r="N13000" s="3" t="s">
        <v>30576</v>
      </c>
      <c r="O13000" s="3"/>
      <c r="P13000" s="1" t="s">
        <v>20</v>
      </c>
      <c r="R13000" s="1" t="s">
        <v>26888</v>
      </c>
      <c r="V13000" s="1" t="s">
        <v>26903</v>
      </c>
      <c r="AR13000" s="1" t="str">
        <f t="shared" si="821"/>
        <v>| [ㄨㄢˇ](ㄨㄢˇ.md) | [畹](畹.md) |  | wǎn | [名]
量詞。舊時計算土地面積的單位。說法不一，十二畝稱為「畹」，或三十畝稱為「畹」。《說文解字．田部》：「畹，田三十畝也。」《楚辭．屈原．離騷》：「余既滋蘭之九畹兮，又樹蕙之百畝。」漢．王逸．注：「十二畝為畹。」 |</v>
      </c>
    </row>
    <row r="13001" spans="1:44" hidden="1">
      <c r="A13001" s="1" t="s">
        <v>26849</v>
      </c>
      <c r="C13001" s="1">
        <v>1</v>
      </c>
      <c r="D13001" s="1" t="str">
        <f>"11470"</f>
        <v>11470</v>
      </c>
      <c r="E13001" s="1" t="s">
        <v>679</v>
      </c>
      <c r="F13001" s="1">
        <v>14</v>
      </c>
      <c r="G13001" s="1">
        <v>8</v>
      </c>
      <c r="H13001" s="1">
        <v>1</v>
      </c>
      <c r="I13001" s="1" t="s">
        <v>26887</v>
      </c>
      <c r="K13001" s="1" t="str">
        <f t="shared" si="819"/>
        <v>ㄨ</v>
      </c>
      <c r="L13001" s="1" t="str">
        <f t="shared" si="820"/>
        <v>ㄢ</v>
      </c>
      <c r="N13001" s="3" t="s">
        <v>30576</v>
      </c>
      <c r="O13001" s="3"/>
      <c r="P13001" s="1" t="s">
        <v>20</v>
      </c>
      <c r="R13001" s="1" t="s">
        <v>26888</v>
      </c>
      <c r="V13001" s="1" t="s">
        <v>26904</v>
      </c>
      <c r="W13001" s="1" t="s">
        <v>26905</v>
      </c>
      <c r="AR13001" s="1" t="str">
        <f t="shared" si="821"/>
        <v>| [ㄨㄢˇ](ㄨㄢˇ.md) | [蜿](蜿.md) |  | wǎn | 參見「蜿蜒」、「蜿蜿」等條。 |</v>
      </c>
    </row>
    <row r="13002" spans="1:44" hidden="1">
      <c r="A13002" s="1" t="s">
        <v>26906</v>
      </c>
      <c r="C13002" s="1">
        <v>1</v>
      </c>
      <c r="D13002" s="1" t="str">
        <f>"11471"</f>
        <v>11471</v>
      </c>
      <c r="E13002" s="1" t="s">
        <v>77</v>
      </c>
      <c r="F13002" s="1">
        <v>15</v>
      </c>
      <c r="G13002" s="1">
        <v>8</v>
      </c>
      <c r="H13002" s="1">
        <v>0</v>
      </c>
      <c r="I13002" s="1" t="s">
        <v>26887</v>
      </c>
      <c r="K13002" s="1" t="str">
        <f t="shared" si="819"/>
        <v>ㄨ</v>
      </c>
      <c r="L13002" s="1" t="str">
        <f t="shared" si="820"/>
        <v>ㄢ</v>
      </c>
      <c r="N13002" s="3" t="s">
        <v>30576</v>
      </c>
      <c r="O13002" s="3"/>
      <c r="P13002" s="1" t="s">
        <v>20</v>
      </c>
      <c r="R13002" s="1" t="s">
        <v>26888</v>
      </c>
      <c r="V13002" s="1" t="s">
        <v>26907</v>
      </c>
      <c r="AR13002" s="1" t="str">
        <f t="shared" si="821"/>
        <v>| [ㄨㄢˇ](ㄨㄢˇ.md) | [踠](踠.md) |  | wǎn | [動]
屈曲、彎曲。《抱朴子．外篇．嘉遯》：「驥騄踠趾而不馳，則追風之迅不形。」 |</v>
      </c>
    </row>
    <row r="13003" spans="1:44" hidden="1">
      <c r="A13003" s="1" t="s">
        <v>12548</v>
      </c>
      <c r="C13003" s="1">
        <v>1</v>
      </c>
      <c r="D13003" s="1" t="str">
        <f>"11472"</f>
        <v>11472</v>
      </c>
      <c r="E13003" s="1" t="s">
        <v>129</v>
      </c>
      <c r="F13003" s="1">
        <v>10</v>
      </c>
      <c r="G13003" s="1">
        <v>7</v>
      </c>
      <c r="H13003" s="1">
        <v>2</v>
      </c>
      <c r="I13003" s="1" t="s">
        <v>26887</v>
      </c>
      <c r="K13003" s="1" t="str">
        <f t="shared" si="819"/>
        <v>ㄨ</v>
      </c>
      <c r="L13003" s="1" t="str">
        <f t="shared" si="820"/>
        <v>ㄢ</v>
      </c>
      <c r="N13003" s="3" t="s">
        <v>30576</v>
      </c>
      <c r="O13003" s="3"/>
      <c r="P13003" s="1" t="s">
        <v>110</v>
      </c>
      <c r="R13003" s="1" t="s">
        <v>26888</v>
      </c>
      <c r="V13003" s="1" t="s">
        <v>111</v>
      </c>
      <c r="W13003" s="1" t="s">
        <v>26908</v>
      </c>
      <c r="AR13003" s="1" t="str">
        <f t="shared" si="821"/>
        <v>| [ㄨㄢˇ](ㄨㄢˇ.md) | [浣](浣.md) |  | wǎn | (一)之又音。 |</v>
      </c>
    </row>
    <row r="13004" spans="1:44" hidden="1">
      <c r="A13004" s="1" t="s">
        <v>10502</v>
      </c>
      <c r="C13004" s="1">
        <v>1</v>
      </c>
      <c r="D13004" s="1" t="str">
        <f>"11473"</f>
        <v>11473</v>
      </c>
      <c r="E13004" s="1" t="s">
        <v>37</v>
      </c>
      <c r="F13004" s="1">
        <v>11</v>
      </c>
      <c r="G13004" s="1">
        <v>7</v>
      </c>
      <c r="H13004" s="1">
        <v>1</v>
      </c>
      <c r="I13004" s="1" t="s">
        <v>26887</v>
      </c>
      <c r="K13004" s="1" t="str">
        <f t="shared" si="819"/>
        <v>ㄨ</v>
      </c>
      <c r="L13004" s="1" t="str">
        <f t="shared" si="820"/>
        <v>ㄢ</v>
      </c>
      <c r="N13004" s="3" t="s">
        <v>30576</v>
      </c>
      <c r="O13004" s="3"/>
      <c r="P13004" s="1" t="s">
        <v>20</v>
      </c>
      <c r="R13004" s="1" t="s">
        <v>26888</v>
      </c>
      <c r="V13004" s="1" t="s">
        <v>26909</v>
      </c>
      <c r="W13004" s="1" t="s">
        <v>26910</v>
      </c>
      <c r="AR13004" s="1" t="str">
        <f t="shared" si="821"/>
        <v>| [ㄨㄢˇ](ㄨㄢˇ.md) | [莞](莞.md) |  | wǎn | 參見「莞爾」條。 |</v>
      </c>
    </row>
    <row r="13005" spans="1:44" hidden="1">
      <c r="A13005" s="1" t="s">
        <v>10522</v>
      </c>
      <c r="C13005" s="1">
        <v>1</v>
      </c>
      <c r="D13005" s="1" t="str">
        <f>"11474"</f>
        <v>11474</v>
      </c>
      <c r="E13005" s="1" t="s">
        <v>68</v>
      </c>
      <c r="F13005" s="1">
        <v>11</v>
      </c>
      <c r="G13005" s="1">
        <v>7</v>
      </c>
      <c r="H13005" s="1">
        <v>1</v>
      </c>
      <c r="I13005" s="1" t="s">
        <v>26887</v>
      </c>
      <c r="K13005" s="1" t="str">
        <f t="shared" si="819"/>
        <v>ㄨ</v>
      </c>
      <c r="L13005" s="1" t="str">
        <f t="shared" si="820"/>
        <v>ㄢ</v>
      </c>
      <c r="N13005" s="3" t="s">
        <v>30576</v>
      </c>
      <c r="O13005" s="3"/>
      <c r="P13005" s="1" t="s">
        <v>388</v>
      </c>
      <c r="R13005" s="1" t="s">
        <v>26888</v>
      </c>
      <c r="V13005" s="1" t="s">
        <v>26911</v>
      </c>
      <c r="W13005" s="1" t="s">
        <v>26912</v>
      </c>
      <c r="AR13005" s="1" t="str">
        <f t="shared" si="821"/>
        <v>| [ㄨㄢˇ](ㄨㄢˇ.md) | [脘](脘.md) |  | wǎn | [名]
胃腔。《說文解字．肉部》：「脘，胃脯也。」《警世通言．卷三．王安石三難蘇學士》：「太醫院官乃明醫，知老夫乃中脘變症。」 |</v>
      </c>
    </row>
    <row r="13006" spans="1:44" hidden="1">
      <c r="A13006" s="1" t="s">
        <v>12555</v>
      </c>
      <c r="C13006" s="1">
        <v>1</v>
      </c>
      <c r="D13006" s="1" t="str">
        <f>"11475"</f>
        <v>11475</v>
      </c>
      <c r="E13006" s="1" t="s">
        <v>205</v>
      </c>
      <c r="F13006" s="1">
        <v>12</v>
      </c>
      <c r="G13006" s="1">
        <v>7</v>
      </c>
      <c r="H13006" s="1">
        <v>1</v>
      </c>
      <c r="I13006" s="1" t="s">
        <v>26887</v>
      </c>
      <c r="K13006" s="1" t="str">
        <f t="shared" ref="K13006:K13069" si="822">LEFT(I13006, 1)</f>
        <v>ㄨ</v>
      </c>
      <c r="L13006" s="1" t="str">
        <f t="shared" ref="L13006:L13069" si="823">MID(I13006, 2, 1)</f>
        <v>ㄢ</v>
      </c>
      <c r="N13006" s="3" t="s">
        <v>30576</v>
      </c>
      <c r="O13006" s="3"/>
      <c r="P13006" s="1" t="s">
        <v>20</v>
      </c>
      <c r="R13006" s="1" t="s">
        <v>26888</v>
      </c>
      <c r="V13006" s="1" t="s">
        <v>26913</v>
      </c>
      <c r="W13006" s="1" t="s">
        <v>26914</v>
      </c>
      <c r="AR13006" s="1" t="str">
        <f t="shared" si="821"/>
        <v>| [ㄨㄢˇ](ㄨㄢˇ.md) | [皖](皖.md) |  | wǎn | [名]
1.國名。春秋時立，漢置縣。故址約在今安徽省潛山縣北。
2.安徽省的簡稱。如：「皖北」、「直皖戰爭」。 |</v>
      </c>
    </row>
    <row r="13007" spans="1:44" hidden="1">
      <c r="A13007" s="1" t="s">
        <v>26915</v>
      </c>
      <c r="C13007" s="1">
        <v>1</v>
      </c>
      <c r="D13007" s="1" t="str">
        <f>"11476"</f>
        <v>11476</v>
      </c>
      <c r="E13007" s="1" t="s">
        <v>156</v>
      </c>
      <c r="F13007" s="1">
        <v>15</v>
      </c>
      <c r="G13007" s="1">
        <v>4</v>
      </c>
      <c r="H13007" s="1">
        <v>2</v>
      </c>
      <c r="I13007" s="1" t="s">
        <v>26887</v>
      </c>
      <c r="K13007" s="1" t="str">
        <f t="shared" si="822"/>
        <v>ㄨ</v>
      </c>
      <c r="L13007" s="1" t="str">
        <f t="shared" si="823"/>
        <v>ㄢ</v>
      </c>
      <c r="N13007" s="3" t="s">
        <v>30576</v>
      </c>
      <c r="O13007" s="3"/>
      <c r="P13007" s="1" t="s">
        <v>20</v>
      </c>
      <c r="R13007" s="1" t="s">
        <v>26888</v>
      </c>
      <c r="V13007" s="1" t="s">
        <v>26916</v>
      </c>
      <c r="W13007" s="1" t="s">
        <v>26917</v>
      </c>
      <c r="AR13007" s="1" t="str">
        <f t="shared" si="821"/>
        <v>| [ㄨㄢˇ](ㄨㄢˇ.md) | [魭](魭.md) |  | wǎn | 參見「魭斷」條。 |</v>
      </c>
    </row>
    <row r="13008" spans="1:44" hidden="1">
      <c r="A13008" s="1" t="s">
        <v>26918</v>
      </c>
      <c r="C13008" s="1">
        <v>1</v>
      </c>
      <c r="D13008" s="1" t="str">
        <f>"11477"</f>
        <v>11477</v>
      </c>
      <c r="E13008" s="1" t="s">
        <v>24</v>
      </c>
      <c r="F13008" s="1">
        <v>10</v>
      </c>
      <c r="G13008" s="1">
        <v>7</v>
      </c>
      <c r="H13008" s="1">
        <v>0</v>
      </c>
      <c r="I13008" s="1" t="s">
        <v>26887</v>
      </c>
      <c r="K13008" s="1" t="str">
        <f t="shared" si="822"/>
        <v>ㄨ</v>
      </c>
      <c r="L13008" s="1" t="str">
        <f t="shared" si="823"/>
        <v>ㄢ</v>
      </c>
      <c r="N13008" s="3" t="s">
        <v>30576</v>
      </c>
      <c r="O13008" s="3"/>
      <c r="P13008" s="1" t="s">
        <v>20</v>
      </c>
      <c r="R13008" s="1" t="s">
        <v>26888</v>
      </c>
      <c r="V13008" s="1" t="s">
        <v>26919</v>
      </c>
      <c r="AR13008" s="1" t="str">
        <f t="shared" si="821"/>
        <v>| [ㄨㄢˇ](ㄨㄢˇ.md) | [挽](挽.md) |  | wǎn | [動]
1.拉、引。如：「挽車」。唐．杜甫〈前出塞〉詩九首之六：「挽弓當挽強，用箭當用長。」
2.捲起。宋．蘇軾〈送周朝議守漢州〉詩：「召還當有詔，挽袖謝鄰里。」
3.繫、盤結。通「綰」。如：「挽髮」。《老殘遊記》第九回：「道士挽了個髻，叫人一望而知……是道士。」
[形]
哀悼死者的。通「輓」。如：「挽歌」、「挽聯」、「挽詞」。 |</v>
      </c>
    </row>
    <row r="13009" spans="1:44" hidden="1">
      <c r="A13009" s="1" t="s">
        <v>3589</v>
      </c>
      <c r="C13009" s="1">
        <v>1</v>
      </c>
      <c r="D13009" s="1" t="str">
        <f>"11478"</f>
        <v>11478</v>
      </c>
      <c r="E13009" s="1" t="s">
        <v>534</v>
      </c>
      <c r="F13009" s="1">
        <v>10</v>
      </c>
      <c r="G13009" s="1">
        <v>7</v>
      </c>
      <c r="H13009" s="1">
        <v>1</v>
      </c>
      <c r="I13009" s="1" t="s">
        <v>26887</v>
      </c>
      <c r="K13009" s="1" t="str">
        <f t="shared" si="822"/>
        <v>ㄨ</v>
      </c>
      <c r="L13009" s="1" t="str">
        <f t="shared" si="823"/>
        <v>ㄢ</v>
      </c>
      <c r="N13009" s="3" t="s">
        <v>30576</v>
      </c>
      <c r="O13009" s="3"/>
      <c r="P13009" s="1" t="s">
        <v>20</v>
      </c>
      <c r="R13009" s="1" t="s">
        <v>26888</v>
      </c>
      <c r="V13009" s="1" t="s">
        <v>26920</v>
      </c>
      <c r="W13009" s="1" t="s">
        <v>26921</v>
      </c>
      <c r="AR13009" s="1" t="str">
        <f t="shared" si="821"/>
        <v>| [ㄨㄢˇ](ㄨㄢˇ.md) | [娩](娩.md) |  | wǎn | [形]
容貌嬌豔美好。《玉篇．女部》：「娩，媚好也。」《禮記．內則》：「女子十年不出，姆教婉娩聽從。」漢．鄭玄．注：「娩之言媚也，媚謂容貌也。」 |</v>
      </c>
    </row>
    <row r="13010" spans="1:44" hidden="1">
      <c r="A13010" s="1" t="s">
        <v>26922</v>
      </c>
      <c r="C13010" s="1">
        <v>1</v>
      </c>
      <c r="D13010" s="1" t="str">
        <f>"11479"</f>
        <v>11479</v>
      </c>
      <c r="E13010" s="1" t="s">
        <v>646</v>
      </c>
      <c r="F13010" s="1">
        <v>11</v>
      </c>
      <c r="G13010" s="1">
        <v>7</v>
      </c>
      <c r="H13010" s="1">
        <v>0</v>
      </c>
      <c r="I13010" s="1" t="s">
        <v>26887</v>
      </c>
      <c r="K13010" s="1" t="str">
        <f t="shared" si="822"/>
        <v>ㄨ</v>
      </c>
      <c r="L13010" s="1" t="str">
        <f t="shared" si="823"/>
        <v>ㄢ</v>
      </c>
      <c r="N13010" s="3" t="s">
        <v>30576</v>
      </c>
      <c r="O13010" s="3"/>
      <c r="P13010" s="1" t="s">
        <v>20</v>
      </c>
      <c r="R13010" s="1" t="s">
        <v>26888</v>
      </c>
      <c r="V13010" s="1" t="s">
        <v>26923</v>
      </c>
      <c r="AR13010" s="1" t="str">
        <f t="shared" si="821"/>
        <v>| [ㄨㄢˇ](ㄨㄢˇ.md) | [晚](晚.md) |  | wǎn | [名]
1.黃昏、日落時分。《說文解字．日部》：「晚，莫也。」清．段玉裁．注：「莫者，日且冥也。」
2.夜間。如：「晚間」、「昨晚」。《水滸傳》第一〇回：「李小二夫妻兩個，捏著兩把汗，當晚無事。」
3.對長輩的自稱。如：「學晚」。《儒林外史》第三四回：「極蒙臺愛，恕治晚不能躬送了。」
[形]
1.將盡的。宋．陳師道〈除夜對酒贈少章〉詩：「歲晚身何託，燈前客未空。」
2.繼任的、後來的。如：「晚娘」。《淮南子．本經》：「晚世學者，不知道之所一體，德之所總要。」
[副]
遲。如：「相見恨晚」。《孔子家語．卷三．弟子行》：「慮不先定，臨事而謀，不亦晚乎。」 |</v>
      </c>
    </row>
    <row r="13011" spans="1:44" hidden="1">
      <c r="A13011" s="1" t="s">
        <v>26924</v>
      </c>
      <c r="C13011" s="1">
        <v>1</v>
      </c>
      <c r="D13011" s="1" t="str">
        <f>"11480"</f>
        <v>11480</v>
      </c>
      <c r="E13011" s="1" t="s">
        <v>71</v>
      </c>
      <c r="F13011" s="1">
        <v>14</v>
      </c>
      <c r="G13011" s="1">
        <v>7</v>
      </c>
      <c r="H13011" s="1">
        <v>0</v>
      </c>
      <c r="I13011" s="1" t="s">
        <v>26887</v>
      </c>
      <c r="K13011" s="1" t="str">
        <f t="shared" si="822"/>
        <v>ㄨ</v>
      </c>
      <c r="L13011" s="1" t="str">
        <f t="shared" si="823"/>
        <v>ㄢ</v>
      </c>
      <c r="N13011" s="3" t="s">
        <v>30576</v>
      </c>
      <c r="O13011" s="3"/>
      <c r="P13011" s="1" t="s">
        <v>20</v>
      </c>
      <c r="R13011" s="1" t="s">
        <v>26888</v>
      </c>
      <c r="V13011" s="1" t="s">
        <v>26925</v>
      </c>
      <c r="AR13011" s="1" t="str">
        <f t="shared" si="821"/>
        <v>| [ㄨㄢˇ](ㄨㄢˇ.md) | [輓](輓.md) |  | wǎn | [動]
1.拉引。《說文解字．車部》：「輓，引車也。」《左傳．襄公十四年》：「夫二子者，或輓之，或推之，欲無人得乎。」明．徐光啟《農政全書．卷十八．水利．利用圖譜》：「犁轅貫以橫木，二人扶之，可使數牛輓行。」
2.運轉、運輸。《史記．卷五五．留侯世家》：「諸侯安定，河、渭漕輓天下，西給京師。」《漢書．卷五二．韓安國傳》：「又遣子弟乘邊守塞，轉粟輓輸，以為之備。」
[形]
1.哀悼死人的。如：「輓聯」、「輓辭」、「輓歌」。
2.晚。通「晚」。《史記．卷一二九．貨殖傳》：「必用此為務，輓近世塗民耳目，則幾無行矣。」 |</v>
      </c>
    </row>
    <row r="13012" spans="1:44" hidden="1">
      <c r="A13012" s="1" t="s">
        <v>3067</v>
      </c>
      <c r="C13012" s="1">
        <v>1</v>
      </c>
      <c r="D13012" s="1" t="str">
        <f>"11481"</f>
        <v>11481</v>
      </c>
      <c r="E13012" s="1" t="s">
        <v>96</v>
      </c>
      <c r="F13012" s="1">
        <v>16</v>
      </c>
      <c r="G13012" s="1">
        <v>7</v>
      </c>
      <c r="H13012" s="1">
        <v>2</v>
      </c>
      <c r="I13012" s="1" t="s">
        <v>26887</v>
      </c>
      <c r="K13012" s="1" t="str">
        <f t="shared" si="822"/>
        <v>ㄨ</v>
      </c>
      <c r="L13012" s="1" t="str">
        <f t="shared" si="823"/>
        <v>ㄢ</v>
      </c>
      <c r="N13012" s="3" t="s">
        <v>30576</v>
      </c>
      <c r="O13012" s="3"/>
      <c r="P13012" s="1" t="s">
        <v>110</v>
      </c>
      <c r="R13012" s="1" t="s">
        <v>26888</v>
      </c>
      <c r="V13012" s="1" t="s">
        <v>111</v>
      </c>
      <c r="W13012" s="1" t="s">
        <v>26926</v>
      </c>
      <c r="AR13012" s="1" t="str">
        <f t="shared" si="821"/>
        <v>| [ㄨㄢˇ](ㄨㄢˇ.md) | [鞔](鞔.md) |  | wǎn | (一)之又音。 |</v>
      </c>
    </row>
    <row r="13013" spans="1:44" hidden="1">
      <c r="A13013" s="1" t="s">
        <v>3594</v>
      </c>
      <c r="C13013" s="1">
        <v>1</v>
      </c>
      <c r="D13013" s="1" t="str">
        <f>"11482"</f>
        <v>11482</v>
      </c>
      <c r="E13013" s="1" t="s">
        <v>156</v>
      </c>
      <c r="F13013" s="1">
        <v>18</v>
      </c>
      <c r="G13013" s="1">
        <v>7</v>
      </c>
      <c r="H13013" s="1">
        <v>2</v>
      </c>
      <c r="I13013" s="1" t="s">
        <v>26887</v>
      </c>
      <c r="K13013" s="1" t="str">
        <f t="shared" si="822"/>
        <v>ㄨ</v>
      </c>
      <c r="L13013" s="1" t="str">
        <f t="shared" si="823"/>
        <v>ㄢ</v>
      </c>
      <c r="N13013" s="3" t="s">
        <v>30576</v>
      </c>
      <c r="O13013" s="3"/>
      <c r="P13013" s="1" t="s">
        <v>110</v>
      </c>
      <c r="R13013" s="1" t="s">
        <v>26888</v>
      </c>
      <c r="V13013" s="1" t="s">
        <v>111</v>
      </c>
      <c r="W13013" s="1" t="s">
        <v>26927</v>
      </c>
      <c r="AR13013" s="1" t="str">
        <f t="shared" si="821"/>
        <v>| [ㄨㄢˇ](ㄨㄢˇ.md) | [鮸](鮸.md) |  | wǎn | (一)之又音。 |</v>
      </c>
    </row>
    <row r="13014" spans="1:44" hidden="1">
      <c r="A13014" s="1" t="s">
        <v>26928</v>
      </c>
      <c r="C13014" s="1">
        <v>1</v>
      </c>
      <c r="D13014" s="1" t="str">
        <f>"11483"</f>
        <v>11483</v>
      </c>
      <c r="E13014" s="1" t="s">
        <v>725</v>
      </c>
      <c r="F13014" s="1">
        <v>14</v>
      </c>
      <c r="G13014" s="1">
        <v>8</v>
      </c>
      <c r="H13014" s="1">
        <v>0</v>
      </c>
      <c r="I13014" s="1" t="s">
        <v>26887</v>
      </c>
      <c r="K13014" s="1" t="str">
        <f t="shared" si="822"/>
        <v>ㄨ</v>
      </c>
      <c r="L13014" s="1" t="str">
        <f t="shared" si="823"/>
        <v>ㄢ</v>
      </c>
      <c r="N13014" s="3" t="s">
        <v>30576</v>
      </c>
      <c r="O13014" s="3"/>
      <c r="P13014" s="1" t="s">
        <v>20</v>
      </c>
      <c r="R13014" s="1" t="s">
        <v>26888</v>
      </c>
      <c r="V13014" s="1" t="s">
        <v>26929</v>
      </c>
      <c r="AR13014" s="1" t="str">
        <f t="shared" si="821"/>
        <v>| [ㄨㄢˇ](ㄨㄢˇ.md) | [綰](綰.md) |  | wǎn | [動]
1.繫。《漢書．卷四〇．周勃傳》：「絳侯綰皇帝璽，將兵於北軍。」《文選．孔稚珪．北山移文》：「至其紐金章，綰墨綬，跨屬城之雄，冠百里之首。」
2.盤結。唐．劉禹錫〈楊柳枝詞〉九首之七：「如今綰作同心結，將贈行人知不知。」《紅樓夢》第三回：「頭上戴著金絲八寶攢珠髻，綰著朝陽五鳳挂珠釵。」
3.貫穿。《史記．卷一二九．貨殖傳》：「北鄰烏桓、夫餘，東綰穢貉、朝鮮、真番之利。」明．徐弘祖《徐霞客遊記．卷五上．滇遊日記二》：「北有小山綰塢口，廬舍懸其上，是曰豐塘，東西南皆迴峰環之。」 |</v>
      </c>
    </row>
    <row r="13015" spans="1:44" hidden="1">
      <c r="A13015" s="1" t="s">
        <v>12561</v>
      </c>
      <c r="C13015" s="1">
        <v>1</v>
      </c>
      <c r="D13015" s="1" t="str">
        <f>"11484"</f>
        <v>11484</v>
      </c>
      <c r="E13015" s="1" t="s">
        <v>129</v>
      </c>
      <c r="F13015" s="1">
        <v>16</v>
      </c>
      <c r="G13015" s="1">
        <v>13</v>
      </c>
      <c r="H13015" s="1">
        <v>2</v>
      </c>
      <c r="I13015" s="1" t="s">
        <v>26887</v>
      </c>
      <c r="K13015" s="1" t="str">
        <f t="shared" si="822"/>
        <v>ㄨ</v>
      </c>
      <c r="L13015" s="1" t="str">
        <f t="shared" si="823"/>
        <v>ㄢ</v>
      </c>
      <c r="N13015" s="3" t="s">
        <v>30576</v>
      </c>
      <c r="O13015" s="3"/>
      <c r="P13015" s="1" t="s">
        <v>110</v>
      </c>
      <c r="R13015" s="1" t="s">
        <v>26888</v>
      </c>
      <c r="V13015" s="1" t="s">
        <v>111</v>
      </c>
      <c r="W13015" s="1" t="s">
        <v>26930</v>
      </c>
      <c r="AR13015" s="1" t="str">
        <f t="shared" si="821"/>
        <v>| [ㄨㄢˇ](ㄨㄢˇ.md) | [澣](澣.md) |  | wǎn | (一)之又音。 |</v>
      </c>
    </row>
    <row r="13016" spans="1:44" hidden="1">
      <c r="A13016" s="1" t="s">
        <v>26964</v>
      </c>
      <c r="C13016" s="1">
        <v>1</v>
      </c>
      <c r="D13016" s="1" t="str">
        <f>"11510"</f>
        <v>11510</v>
      </c>
      <c r="E13016" s="1" t="s">
        <v>670</v>
      </c>
      <c r="F13016" s="1">
        <v>4</v>
      </c>
      <c r="G13016" s="1">
        <v>0</v>
      </c>
      <c r="H13016" s="1">
        <v>2</v>
      </c>
      <c r="I13016" s="1" t="s">
        <v>26990</v>
      </c>
      <c r="K13016" s="1" t="str">
        <f t="shared" si="822"/>
        <v>ㄨ</v>
      </c>
      <c r="L13016" s="1" t="str">
        <f t="shared" si="823"/>
        <v>ㄣ</v>
      </c>
      <c r="N13016" s="3" t="s">
        <v>30574</v>
      </c>
      <c r="O13016" s="3"/>
      <c r="P13016" s="1" t="s">
        <v>20</v>
      </c>
      <c r="R13016" s="1" t="s">
        <v>26991</v>
      </c>
      <c r="V13016" s="1" t="s">
        <v>26992</v>
      </c>
      <c r="W13016" s="1" t="s">
        <v>26993</v>
      </c>
      <c r="AR13016" s="1" t="str">
        <f t="shared" si="821"/>
        <v>| [ㄨㄣˋ](ㄨㄣˋ.md) | [文](文.md) |  | wèn | [動]
1.掩飾。如：「文過飾非」。《論語．子張》：「小人之過也，必文。」
2.修飾。如：「文飾」。《荀子．儒效》：「小雅之所以為小雅者，取是而文之也。」 |</v>
      </c>
    </row>
    <row r="13017" spans="1:44" hidden="1">
      <c r="A13017" s="1" t="s">
        <v>26994</v>
      </c>
      <c r="C13017" s="1">
        <v>1</v>
      </c>
      <c r="D13017" s="1" t="str">
        <f>"11511"</f>
        <v>11511</v>
      </c>
      <c r="E13017" s="1" t="s">
        <v>129</v>
      </c>
      <c r="F13017" s="1">
        <v>7</v>
      </c>
      <c r="G13017" s="1">
        <v>4</v>
      </c>
      <c r="H13017" s="1">
        <v>0</v>
      </c>
      <c r="I13017" s="1" t="s">
        <v>26990</v>
      </c>
      <c r="K13017" s="1" t="str">
        <f t="shared" si="822"/>
        <v>ㄨ</v>
      </c>
      <c r="L13017" s="1" t="str">
        <f t="shared" si="823"/>
        <v>ㄣ</v>
      </c>
      <c r="N13017" s="3" t="s">
        <v>30574</v>
      </c>
      <c r="O13017" s="3"/>
      <c r="P13017" s="1" t="s">
        <v>20</v>
      </c>
      <c r="R13017" s="1" t="s">
        <v>26991</v>
      </c>
      <c r="V13017" s="1" t="s">
        <v>26995</v>
      </c>
      <c r="AR13017" s="1" t="str">
        <f t="shared" si="821"/>
        <v>| [ㄨㄣˋ](ㄨㄣˋ.md) | [汶](汶.md) |  | wèn | 參見「汶水」條。 |</v>
      </c>
    </row>
    <row r="13018" spans="1:44" hidden="1">
      <c r="A13018" s="1" t="s">
        <v>26996</v>
      </c>
      <c r="C13018" s="1">
        <v>1</v>
      </c>
      <c r="D13018" s="1" t="str">
        <f>"11512"</f>
        <v>11512</v>
      </c>
      <c r="E13018" s="1" t="s">
        <v>24</v>
      </c>
      <c r="F13018" s="1">
        <v>7</v>
      </c>
      <c r="G13018" s="1">
        <v>4</v>
      </c>
      <c r="H13018" s="1">
        <v>0</v>
      </c>
      <c r="I13018" s="1" t="s">
        <v>26990</v>
      </c>
      <c r="K13018" s="1" t="str">
        <f t="shared" si="822"/>
        <v>ㄨ</v>
      </c>
      <c r="L13018" s="1" t="str">
        <f t="shared" si="823"/>
        <v>ㄣ</v>
      </c>
      <c r="N13018" s="3" t="s">
        <v>30574</v>
      </c>
      <c r="O13018" s="3"/>
      <c r="P13018" s="1" t="s">
        <v>20</v>
      </c>
      <c r="R13018" s="1" t="s">
        <v>26991</v>
      </c>
      <c r="V13018" s="1" t="s">
        <v>26997</v>
      </c>
      <c r="AR13018" s="1" t="str">
        <f t="shared" si="821"/>
        <v>| [ㄨㄣˋ](ㄨㄣˋ.md) | [抆](抆.md) |  | wèn | [動]
擦拭。漢．曹丕〈又與吳質書〉：「閒者歷覽諸子之文，對之抆淚，既痛逝者，行自念也。」《文選．江淹．別賦》：「瀝泣共訣，抆血相視。」 |</v>
      </c>
    </row>
    <row r="13019" spans="1:44" hidden="1">
      <c r="A13019" s="1" t="s">
        <v>26998</v>
      </c>
      <c r="C13019" s="1">
        <v>1</v>
      </c>
      <c r="D13019" s="1" t="str">
        <f>"11513"</f>
        <v>11513</v>
      </c>
      <c r="E13019" s="1" t="s">
        <v>725</v>
      </c>
      <c r="F13019" s="1">
        <v>10</v>
      </c>
      <c r="G13019" s="1">
        <v>4</v>
      </c>
      <c r="H13019" s="1">
        <v>0</v>
      </c>
      <c r="I13019" s="1" t="s">
        <v>26990</v>
      </c>
      <c r="K13019" s="1" t="str">
        <f t="shared" si="822"/>
        <v>ㄨ</v>
      </c>
      <c r="L13019" s="1" t="str">
        <f t="shared" si="823"/>
        <v>ㄣ</v>
      </c>
      <c r="N13019" s="3" t="s">
        <v>30574</v>
      </c>
      <c r="O13019" s="3"/>
      <c r="P13019" s="1" t="s">
        <v>20</v>
      </c>
      <c r="R13019" s="1" t="s">
        <v>26991</v>
      </c>
      <c r="V13019" s="1" t="s">
        <v>26999</v>
      </c>
      <c r="AR13019" s="1" t="str">
        <f t="shared" si="821"/>
        <v>| [ㄨㄣˋ](ㄨㄣˋ.md) | [紊](紊.md) |  | wèn | [形]
雜亂、混亂。如：「有條不紊」。《晉書．卷一二一．李期載記》：「慶賞威刑，皆決數人而已，于是綱維紊矣。」
[動]
擾亂。南朝梁．江淹〈建平王讓鎮南徐州刺史啟〉：「借權製之義，紊禮滅經。」 |</v>
      </c>
    </row>
    <row r="13020" spans="1:44" hidden="1">
      <c r="A13020" s="1" t="s">
        <v>3580</v>
      </c>
      <c r="C13020" s="1">
        <v>1</v>
      </c>
      <c r="D13020" s="1" t="str">
        <f>"11514"</f>
        <v>11514</v>
      </c>
      <c r="E13020" s="1" t="s">
        <v>3581</v>
      </c>
      <c r="F13020" s="1">
        <v>7</v>
      </c>
      <c r="G13020" s="1">
        <v>5</v>
      </c>
      <c r="H13020" s="1">
        <v>2</v>
      </c>
      <c r="I13020" s="1" t="s">
        <v>26990</v>
      </c>
      <c r="K13020" s="1" t="str">
        <f t="shared" si="822"/>
        <v>ㄨ</v>
      </c>
      <c r="L13020" s="1" t="str">
        <f t="shared" si="823"/>
        <v>ㄣ</v>
      </c>
      <c r="N13020" s="3" t="s">
        <v>30574</v>
      </c>
      <c r="O13020" s="3"/>
      <c r="P13020" s="1" t="s">
        <v>20</v>
      </c>
      <c r="R13020" s="1" t="s">
        <v>26991</v>
      </c>
      <c r="V13020" s="1" t="s">
        <v>27000</v>
      </c>
      <c r="W13020" s="1" t="s">
        <v>27001</v>
      </c>
      <c r="AR13020" s="1" t="str">
        <f t="shared" si="821"/>
        <v>| [ㄨㄣˋ](ㄨㄣˋ.md) | [免](免.md) |  | wèn | [名]
古代一種脫冠紮髮的喪服。通「絻」。《集韻．去聲．問韻》：「絻，喪冠也。或省。」《左傳．僖公十五年》：「穆姬聞晉侯將至……使以免服衰絰逆且告。」晉．杜預．注：「免、衰、絰，遭喪之服。」
[動]
去冠紮髮，穿著喪服，以示哀悼。同「絻」。《禮記．檀弓上》：「公儀仲子之喪，檀弓免焉。」 |</v>
      </c>
    </row>
    <row r="13021" spans="1:44" hidden="1">
      <c r="A13021" s="1" t="s">
        <v>27002</v>
      </c>
      <c r="C13021" s="1">
        <v>1</v>
      </c>
      <c r="D13021" s="1" t="str">
        <f>"11515"</f>
        <v>11515</v>
      </c>
      <c r="E13021" s="1" t="s">
        <v>725</v>
      </c>
      <c r="F13021" s="1">
        <v>13</v>
      </c>
      <c r="G13021" s="1">
        <v>7</v>
      </c>
      <c r="H13021" s="1">
        <v>0</v>
      </c>
      <c r="I13021" s="1" t="s">
        <v>26990</v>
      </c>
      <c r="K13021" s="1" t="str">
        <f t="shared" si="822"/>
        <v>ㄨ</v>
      </c>
      <c r="L13021" s="1" t="str">
        <f t="shared" si="823"/>
        <v>ㄣ</v>
      </c>
      <c r="N13021" s="3" t="s">
        <v>30574</v>
      </c>
      <c r="O13021" s="3"/>
      <c r="P13021" s="1" t="s">
        <v>20</v>
      </c>
      <c r="R13021" s="1" t="s">
        <v>26991</v>
      </c>
      <c r="V13021" s="1" t="s">
        <v>27003</v>
      </c>
      <c r="AR13021" s="1" t="str">
        <f t="shared" si="821"/>
        <v>| [ㄨㄣˋ](ㄨㄣˋ.md) | [絻](絻.md) |  | wèn | [動]
著喪服，去冠紮髮，以布纏裹。《左傳．哀公二年》：「使太子絻，八人衰絰，偽自衛逆者。」 |</v>
      </c>
    </row>
    <row r="13022" spans="1:44" hidden="1">
      <c r="A13022" s="1" t="s">
        <v>27004</v>
      </c>
      <c r="C13022" s="1">
        <v>1</v>
      </c>
      <c r="D13022" s="1" t="str">
        <f>"11516"</f>
        <v>11516</v>
      </c>
      <c r="E13022" s="1" t="s">
        <v>28</v>
      </c>
      <c r="F13022" s="1">
        <v>11</v>
      </c>
      <c r="G13022" s="1">
        <v>8</v>
      </c>
      <c r="H13022" s="1">
        <v>0</v>
      </c>
      <c r="I13022" s="1" t="s">
        <v>26990</v>
      </c>
      <c r="K13022" s="1" t="str">
        <f t="shared" si="822"/>
        <v>ㄨ</v>
      </c>
      <c r="L13022" s="1" t="str">
        <f t="shared" si="823"/>
        <v>ㄣ</v>
      </c>
      <c r="N13022" s="3" t="s">
        <v>30574</v>
      </c>
      <c r="O13022" s="3"/>
      <c r="P13022" s="1" t="s">
        <v>20</v>
      </c>
      <c r="R13022" s="1" t="s">
        <v>26991</v>
      </c>
      <c r="V13022" s="1" t="s">
        <v>27005</v>
      </c>
      <c r="AR13022" s="1" t="str">
        <f t="shared" si="821"/>
        <v>| [ㄨㄣˋ](ㄨㄣˋ.md) | [問](問.md) |  | wèn | [動]
1.向人請教。如：「詢問」、「發問」、「請問」。唐．杜牧〈清明〉詩：「借問酒家何處有？牧童遙指杏花村。」
2.責備、追究。如：「責問」、「追問」、「唯你是問」。
3.干預、干涉。如：「不聞不問」、「概不過問」。
4.審訊、判決。如：「訊問」、「審問」、「問案」。《紅樓夢》第一〇三回：「後來聽見你兄弟問了死罪，他雖哭了一場，以後倒擦脂抹粉的起來。」
5.為表示關切而探望、拜候。如：「慰問」、「訪問」、「問候」。
6.饋贈、贈送。《左傳．成公十六年》：「楚子使工尹襄問之以弓，曰：『方事之殷也』。」
[名]
1.音信、書信。《晉書．卷五四．陸機傳》：「既而羈遇京師，久無家問。」《宋書．卷四四．謝晦傳》：「穆之喪問至，高祖哭之甚慟。」
2.名譽。通「聞」(二)。《墨子．非命下》：「必使飢者得食，寒者得衣，勞者得息，亂者得治，遂得光譽令問於天下。」 |</v>
      </c>
    </row>
    <row r="13023" spans="1:44" hidden="1">
      <c r="A13023" s="1" t="s">
        <v>27006</v>
      </c>
      <c r="C13023" s="1">
        <v>1</v>
      </c>
      <c r="D13023" s="1" t="str">
        <f>"11517"</f>
        <v>11517</v>
      </c>
      <c r="E13023" s="1" t="s">
        <v>24</v>
      </c>
      <c r="F13023" s="1">
        <v>13</v>
      </c>
      <c r="G13023" s="1">
        <v>10</v>
      </c>
      <c r="H13023" s="1">
        <v>0</v>
      </c>
      <c r="I13023" s="1" t="s">
        <v>26990</v>
      </c>
      <c r="K13023" s="1" t="str">
        <f t="shared" si="822"/>
        <v>ㄨ</v>
      </c>
      <c r="L13023" s="1" t="str">
        <f t="shared" si="823"/>
        <v>ㄣ</v>
      </c>
      <c r="N13023" s="3" t="s">
        <v>30574</v>
      </c>
      <c r="O13023" s="3"/>
      <c r="P13023" s="1" t="s">
        <v>20</v>
      </c>
      <c r="R13023" s="1" t="s">
        <v>26991</v>
      </c>
      <c r="V13023" s="1" t="s">
        <v>27007</v>
      </c>
      <c r="AR13023" s="1" t="str">
        <f t="shared" si="821"/>
        <v>| [ㄨㄣˋ](ㄨㄣˋ.md) | [搵](搵.md) |  | wèn | [動]
1.按、壓。如：「搵鈴」。元．陳以仁《存孝打虎》第二折：「大拳頭搵住嘴縫，闊腳板踏住胸脯。」《孤本元明雜劇．黃花峪．第二折》：「則我這拳著處滴溜撲著那廝身占土，急起來著那廝嘴搵地。」
2.擦拭、揩拭。同「抆」。宋．辛棄疾〈水龍吟．楚天千里清秋〉詞：「倩何人，喚取盈盈翠袖，搵英雄淚。」元．紀君祥《趙氏孤兒》第三折：「淚珠兒不敢對人拋，背地裡搵了。」 |</v>
      </c>
    </row>
    <row r="13024" spans="1:44" hidden="1">
      <c r="A13024" s="1" t="s">
        <v>26977</v>
      </c>
      <c r="C13024" s="1">
        <v>1</v>
      </c>
      <c r="D13024" s="1" t="str">
        <f>"11518"</f>
        <v>11518</v>
      </c>
      <c r="E13024" s="1" t="s">
        <v>2419</v>
      </c>
      <c r="F13024" s="1">
        <v>14</v>
      </c>
      <c r="G13024" s="1">
        <v>8</v>
      </c>
      <c r="H13024" s="1">
        <v>2</v>
      </c>
      <c r="I13024" s="1" t="s">
        <v>26990</v>
      </c>
      <c r="K13024" s="1" t="str">
        <f t="shared" si="822"/>
        <v>ㄨ</v>
      </c>
      <c r="L13024" s="1" t="str">
        <f t="shared" si="823"/>
        <v>ㄣ</v>
      </c>
      <c r="N13024" s="3" t="s">
        <v>30574</v>
      </c>
      <c r="O13024" s="3"/>
      <c r="P13024" s="1" t="s">
        <v>20</v>
      </c>
      <c r="R13024" s="1" t="s">
        <v>26991</v>
      </c>
      <c r="V13024" s="1" t="s">
        <v>27008</v>
      </c>
      <c r="W13024" s="1" t="s">
        <v>27009</v>
      </c>
      <c r="AR13024" s="1" t="str">
        <f t="shared" si="821"/>
        <v>| [ㄨㄣˋ](ㄨㄣˋ.md) | [聞](聞.md) |  | wèn | [名]
名譽、名望。明．張自烈《正字通．耳部》：「聞，聲譽曰聞。」《書經．微子之歌》：「爾惟踐修厥猷，舊有令聞。」唐．韓愈〈原毀〉：「恐恐然惟懼其人之有聞也。」
[形]
著名的、有名望的。如：「聞人」。 |</v>
      </c>
    </row>
    <row r="13025" spans="1:44" hidden="1">
      <c r="A13025" s="1" t="s">
        <v>27010</v>
      </c>
      <c r="C13025" s="1">
        <v>1</v>
      </c>
      <c r="D13025" s="1" t="str">
        <f>"11519"</f>
        <v>11519</v>
      </c>
      <c r="E13025" s="1" t="s">
        <v>142</v>
      </c>
      <c r="F13025" s="1">
        <v>19</v>
      </c>
      <c r="G13025" s="1">
        <v>14</v>
      </c>
      <c r="H13025" s="1">
        <v>0</v>
      </c>
      <c r="I13025" s="1" t="s">
        <v>26990</v>
      </c>
      <c r="K13025" s="1" t="str">
        <f t="shared" si="822"/>
        <v>ㄨ</v>
      </c>
      <c r="L13025" s="1" t="str">
        <f t="shared" si="823"/>
        <v>ㄣ</v>
      </c>
      <c r="N13025" s="3" t="s">
        <v>30574</v>
      </c>
      <c r="O13025" s="3"/>
      <c r="P13025" s="1" t="s">
        <v>20</v>
      </c>
      <c r="R13025" s="1" t="s">
        <v>26991</v>
      </c>
      <c r="V13025" s="1" t="s">
        <v>27011</v>
      </c>
      <c r="AR13025" s="1" t="str">
        <f t="shared" si="821"/>
        <v>| [ㄨㄣˋ](ㄨㄣˋ.md) | [璺](璺.md) |  | wèn | [名]
陶瓷、玉、玻璃等器物上的裂痕。漢．揚雄《方言》卷六：「器破而未離謂之璺。」 |</v>
      </c>
    </row>
    <row r="13026" spans="1:44" hidden="1">
      <c r="A13026" s="1" t="s">
        <v>26964</v>
      </c>
      <c r="C13026" s="1">
        <v>1</v>
      </c>
      <c r="D13026" s="1" t="str">
        <f>"11500"</f>
        <v>11500</v>
      </c>
      <c r="E13026" s="1" t="s">
        <v>670</v>
      </c>
      <c r="F13026" s="1">
        <v>4</v>
      </c>
      <c r="G13026" s="1">
        <v>0</v>
      </c>
      <c r="H13026" s="1">
        <v>1</v>
      </c>
      <c r="I13026" s="1" t="s">
        <v>26965</v>
      </c>
      <c r="K13026" s="1" t="str">
        <f t="shared" si="822"/>
        <v>ㄨ</v>
      </c>
      <c r="L13026" s="1" t="str">
        <f t="shared" si="823"/>
        <v>ㄣ</v>
      </c>
      <c r="N13026" s="3" t="s">
        <v>30575</v>
      </c>
      <c r="O13026" s="3"/>
      <c r="P13026" s="1" t="s">
        <v>20</v>
      </c>
      <c r="R13026" s="1" t="s">
        <v>26966</v>
      </c>
      <c r="V13026" s="1" t="s">
        <v>26967</v>
      </c>
      <c r="W13026" s="1" t="s">
        <v>26968</v>
      </c>
      <c r="AR13026" s="1" t="str">
        <f t="shared" si="821"/>
        <v>| [ㄨㄣˊ](ㄨㄣˊ.md) | [文](文.md) |  | wén | [名]
1.線條交錯的圖案、花紋。《禮記．樂記》：「五色成文而不亂，八風從律而不姦。」漢．王充《論衡．言毒》：「蝮蛇多文。」
2.文字。如：「中文」、「英文」、「甲骨文」。《孟子．萬章上》：「故說詩者不以文害辭，不以辭害志。」
3.文章。如：「撰文」、「散文」。《後漢書．卷八〇．文苑傳下．禰衡傳》：「衡攬筆而作，文無加點，辭采甚麗。」
4.有關文學方面的才能。如：「文武雙全」。《國語．周語中》：「武不可覿，文不可匿。」
5.華麗有文采的外表。與「質」相對。參見「文質彬彬」條。
6.禮節、儀式。如：「繁文縟節」。《論語．子罕》：「文王既沒，文不在茲乎！」
7.法令、典章。《國語．周語上》：「有不祀則修言，有不享則修文。」三國吳．韋昭．注：「文，典法也。」《史記．卷一二九．貨殖傳》：「吏士舞文弄法，刻章偽書。」
8.現象。如：「天文」、「人文地理」。《莊子．應帝王》：「壺子曰：『鄉吾示之以地文。』」
9.量詞。古代計算銅幣的單位。如：「三文錢」、「分文不取」。《儒林外史》第一三回：「這箱子能值幾文？」
10. 姓。如宋代有文彥博。
11. 二一四部首之一。
[形]
1.溫和、優雅、不猛烈。如：「文雅」、「斯文」、「文火」。《禮記．文王世子》：「是故其成也懌，恭敬而溫文。」
2.有文彩的。《史記．卷四七．孔子世家》：「衣文衣而舞康樂。」
[動]
刺染花紋圖案。如：「文身」。《水滸傳》第一一回：「誰想今日被高俅這賊坑陷了我這一場，文了面，直斷送到這里。」 |</v>
      </c>
    </row>
    <row r="13027" spans="1:44" hidden="1">
      <c r="A13027" s="1" t="s">
        <v>3636</v>
      </c>
      <c r="C13027" s="1">
        <v>1</v>
      </c>
      <c r="D13027" s="1" t="str">
        <f>"11501"</f>
        <v>11501</v>
      </c>
      <c r="E13027" s="1" t="s">
        <v>142</v>
      </c>
      <c r="F13027" s="1">
        <v>8</v>
      </c>
      <c r="G13027" s="1">
        <v>4</v>
      </c>
      <c r="H13027" s="1">
        <v>1</v>
      </c>
      <c r="I13027" s="1" t="s">
        <v>26965</v>
      </c>
      <c r="K13027" s="1" t="str">
        <f t="shared" si="822"/>
        <v>ㄨ</v>
      </c>
      <c r="L13027" s="1" t="str">
        <f t="shared" si="823"/>
        <v>ㄣ</v>
      </c>
      <c r="N13027" s="3" t="s">
        <v>30575</v>
      </c>
      <c r="O13027" s="3"/>
      <c r="P13027" s="1" t="s">
        <v>20</v>
      </c>
      <c r="R13027" s="1" t="s">
        <v>26966</v>
      </c>
      <c r="V13027" s="1" t="s">
        <v>26969</v>
      </c>
      <c r="W13027" s="1" t="s">
        <v>26970</v>
      </c>
      <c r="AR13027" s="1" t="str">
        <f t="shared" si="821"/>
        <v>| [ㄨㄣˊ](ㄨㄣˊ.md) | [玟](玟.md) |  | wén | [名]
玉的紋理。《集韻．平聲．文韻》：「玟，玉文。」 |</v>
      </c>
    </row>
    <row r="13028" spans="1:44" hidden="1">
      <c r="A13028" s="1" t="s">
        <v>26971</v>
      </c>
      <c r="C13028" s="1">
        <v>1</v>
      </c>
      <c r="D13028" s="1" t="str">
        <f>"11502"</f>
        <v>11502</v>
      </c>
      <c r="E13028" s="1" t="s">
        <v>679</v>
      </c>
      <c r="F13028" s="1">
        <v>10</v>
      </c>
      <c r="G13028" s="1">
        <v>4</v>
      </c>
      <c r="H13028" s="1">
        <v>0</v>
      </c>
      <c r="I13028" s="1" t="s">
        <v>26965</v>
      </c>
      <c r="K13028" s="1" t="str">
        <f t="shared" si="822"/>
        <v>ㄨ</v>
      </c>
      <c r="L13028" s="1" t="str">
        <f t="shared" si="823"/>
        <v>ㄣ</v>
      </c>
      <c r="N13028" s="3" t="s">
        <v>30575</v>
      </c>
      <c r="O13028" s="3"/>
      <c r="P13028" s="1" t="s">
        <v>20</v>
      </c>
      <c r="R13028" s="1" t="s">
        <v>26966</v>
      </c>
      <c r="V13028" s="1" t="s">
        <v>26972</v>
      </c>
      <c r="AR13028" s="1" t="str">
        <f t="shared" si="821"/>
        <v>| [ㄨㄣˊ](ㄨㄣˊ.md) | [蚊](蚊.md) |  | wén | [名]
蚊科的通稱。幼蟲孑孓生活在水中。成蟲體呈灰褐色，喙管細長，雌蟲吸食人血，能傳染疾病，雄蟲只吸食花果的汁液。種類甚多，如三斑家蚊、瘧蚊、埃及斑蚊等。 |</v>
      </c>
    </row>
    <row r="13029" spans="1:44" hidden="1">
      <c r="A13029" s="1" t="s">
        <v>26973</v>
      </c>
      <c r="C13029" s="1">
        <v>1</v>
      </c>
      <c r="D13029" s="1" t="str">
        <f>"11503"</f>
        <v>11503</v>
      </c>
      <c r="E13029" s="1" t="s">
        <v>725</v>
      </c>
      <c r="F13029" s="1">
        <v>10</v>
      </c>
      <c r="G13029" s="1">
        <v>4</v>
      </c>
      <c r="H13029" s="1">
        <v>0</v>
      </c>
      <c r="I13029" s="1" t="s">
        <v>26965</v>
      </c>
      <c r="K13029" s="1" t="str">
        <f t="shared" si="822"/>
        <v>ㄨ</v>
      </c>
      <c r="L13029" s="1" t="str">
        <f t="shared" si="823"/>
        <v>ㄣ</v>
      </c>
      <c r="N13029" s="3" t="s">
        <v>30575</v>
      </c>
      <c r="O13029" s="3"/>
      <c r="P13029" s="1" t="s">
        <v>20</v>
      </c>
      <c r="R13029" s="1" t="s">
        <v>26966</v>
      </c>
      <c r="V13029" s="1" t="s">
        <v>26974</v>
      </c>
      <c r="AR13029" s="1" t="str">
        <f t="shared" si="821"/>
        <v>| [ㄨㄣˊ](ㄨㄣˊ.md) | [紋](紋.md) |  | wén | [名]
1.錦繡上的文采。唐．李商隱〈戊辰會靜中出貽同志二十韻〉：「飄颻被青霓，婀娜佩紫紋。」
2.物體呈現如線條的痕紋。如：「水紋」、「指紋」、「皺紋」。唐．李商隱〈促漏〉詩：「南塘漸暖蒲堪結，兩兩鴛鴦護水紋。」《聊齋志異．卷八．崔猛》：「針刺其臂，作十字紋，朱塗之，俾勿滅。」
[動]
刺染花紋圖案。如：「紋身」。 |</v>
      </c>
    </row>
    <row r="13030" spans="1:44" hidden="1">
      <c r="A13030" s="1" t="s">
        <v>26975</v>
      </c>
      <c r="C13030" s="1">
        <v>1</v>
      </c>
      <c r="D13030" s="1" t="str">
        <f>"11504"</f>
        <v>11504</v>
      </c>
      <c r="E13030" s="1" t="s">
        <v>125</v>
      </c>
      <c r="F13030" s="1">
        <v>12</v>
      </c>
      <c r="G13030" s="1">
        <v>4</v>
      </c>
      <c r="H13030" s="1">
        <v>0</v>
      </c>
      <c r="I13030" s="1" t="s">
        <v>26965</v>
      </c>
      <c r="K13030" s="1" t="str">
        <f t="shared" si="822"/>
        <v>ㄨ</v>
      </c>
      <c r="L13030" s="1" t="str">
        <f t="shared" si="823"/>
        <v>ㄣ</v>
      </c>
      <c r="N13030" s="3" t="s">
        <v>30575</v>
      </c>
      <c r="O13030" s="3"/>
      <c r="P13030" s="1" t="s">
        <v>20</v>
      </c>
      <c r="R13030" s="1" t="s">
        <v>26966</v>
      </c>
      <c r="V13030" s="1" t="s">
        <v>26976</v>
      </c>
      <c r="AR13030" s="1" t="str">
        <f t="shared" si="821"/>
        <v>| [ㄨㄣˊ](ㄨㄣˊ.md) | [雯](雯.md) |  | wén | [名]
成花紋的雲彩。《集韻．平聲．文韻》：「雯，雲成章曰雯。」金．王喆〈瑤臺月．攜雲放肆投閑路〉詞：「香煙起盤裊，盡成雯蓋。」《清史稿．卷九七．樂志四》：「帝奉帝，孫有孫，祥雯燦紫閽。」 |</v>
      </c>
    </row>
    <row r="13031" spans="1:44" hidden="1">
      <c r="A13031" s="1" t="s">
        <v>26977</v>
      </c>
      <c r="C13031" s="1">
        <v>1</v>
      </c>
      <c r="D13031" s="1" t="str">
        <f>"11505"</f>
        <v>11505</v>
      </c>
      <c r="E13031" s="1" t="s">
        <v>2419</v>
      </c>
      <c r="F13031" s="1">
        <v>14</v>
      </c>
      <c r="G13031" s="1">
        <v>8</v>
      </c>
      <c r="H13031" s="1">
        <v>1</v>
      </c>
      <c r="I13031" s="1" t="s">
        <v>26965</v>
      </c>
      <c r="K13031" s="1" t="str">
        <f t="shared" si="822"/>
        <v>ㄨ</v>
      </c>
      <c r="L13031" s="1" t="str">
        <f t="shared" si="823"/>
        <v>ㄣ</v>
      </c>
      <c r="N13031" s="3" t="s">
        <v>30575</v>
      </c>
      <c r="O13031" s="3"/>
      <c r="P13031" s="1" t="s">
        <v>20</v>
      </c>
      <c r="R13031" s="1" t="s">
        <v>26966</v>
      </c>
      <c r="V13031" s="1" t="s">
        <v>26978</v>
      </c>
      <c r="W13031" s="1" t="s">
        <v>26979</v>
      </c>
      <c r="AR13031" s="1" t="str">
        <f t="shared" si="821"/>
        <v>| [ㄨㄣˊ](ㄨㄣˊ.md) | [聞](聞.md) |  | wén | [動]
1.聽到。如：「百聞不如一見」。《論語．陽貨》：「子之武城，聞弦歌之聲。」《禮記．大學》：「心不在焉，視而不見，聽而不聞。」
2.傳達、傳布。《詩經．小雅．鶴鳴》：「鶴鳴于九皋，聲聞于野。」《呂氏春秋．審應覽．重言》：「與仲父謀伐莒，謀未發而聞其國。」
3.著稱。《隋書．卷七七．隱逸傳．李士謙傳》：「髫齓喪父，事母以孝聞。」唐．李白〈贈孟浩然〉詩：「吾愛孟夫子，風流天下聞。」
4.用鼻子嗅。如：「入芝蘭之室，久而不聞其香。」《韓非子．十過》：「共王駕而自往，入其幄中，聞酒臭而還。」
[名]
1.知識。如：「見聞廣博」、「孤陋寡聞」。《漢書．卷三六．楚元王劉交傳．贊曰》：「此數公者，皆博物洽聞，通達古今，其言有補於世。」《文選．王襃．四子講德論》：「俚人不識，寡見尟聞。」
2.音訊、消息。如：「新聞」、「趣聞」。《文選．司馬遷．報任少卿書》：「網羅天下放失舊聞，略考其行事，綜其終始。」《後漢書．卷四〇．班彪傳上》：「彪乃繼採前史遺事，傍貫異聞，作後傳數十篇。」
3.姓。宋代有聞見。 |</v>
      </c>
    </row>
    <row r="13032" spans="1:44" hidden="1">
      <c r="A13032" s="1" t="s">
        <v>26980</v>
      </c>
      <c r="C13032" s="1">
        <v>1</v>
      </c>
      <c r="D13032" s="1" t="str">
        <f>"11506"</f>
        <v>11506</v>
      </c>
      <c r="E13032" s="1" t="s">
        <v>709</v>
      </c>
      <c r="F13032" s="1">
        <v>16</v>
      </c>
      <c r="G13032" s="1">
        <v>8</v>
      </c>
      <c r="H13032" s="1">
        <v>0</v>
      </c>
      <c r="I13032" s="1" t="s">
        <v>26965</v>
      </c>
      <c r="K13032" s="1" t="str">
        <f t="shared" si="822"/>
        <v>ㄨ</v>
      </c>
      <c r="L13032" s="1" t="str">
        <f t="shared" si="823"/>
        <v>ㄣ</v>
      </c>
      <c r="N13032" s="3" t="s">
        <v>30575</v>
      </c>
      <c r="O13032" s="3"/>
      <c r="P13032" s="1" t="s">
        <v>20</v>
      </c>
      <c r="R13032" s="1" t="s">
        <v>26966</v>
      </c>
      <c r="V13032" s="1" t="s">
        <v>26981</v>
      </c>
      <c r="AR13032" s="1" t="str">
        <f t="shared" si="821"/>
        <v>| [ㄨㄣˊ](ㄨㄣˊ.md) | [閿](閿.md) |  | wén | 參見「閿鄉」條。 |</v>
      </c>
    </row>
    <row r="13033" spans="1:44" hidden="1">
      <c r="A13033" s="1" t="s">
        <v>26982</v>
      </c>
      <c r="C13033" s="1">
        <v>1</v>
      </c>
      <c r="D13033" s="1" t="str">
        <f>"11507"</f>
        <v>11507</v>
      </c>
      <c r="E13033" s="1" t="s">
        <v>185</v>
      </c>
      <c r="F13033" s="1">
        <v>6</v>
      </c>
      <c r="G13033" s="1">
        <v>4</v>
      </c>
      <c r="H13033" s="1">
        <v>0</v>
      </c>
      <c r="I13033" s="1" t="s">
        <v>26983</v>
      </c>
      <c r="K13033" s="1" t="str">
        <f t="shared" si="822"/>
        <v>ㄨ</v>
      </c>
      <c r="L13033" s="1" t="str">
        <f t="shared" si="823"/>
        <v>ㄣ</v>
      </c>
      <c r="N13033" s="3" t="s">
        <v>30576</v>
      </c>
      <c r="O13033" s="3"/>
      <c r="P13033" s="1" t="s">
        <v>20</v>
      </c>
      <c r="R13033" s="1" t="s">
        <v>26984</v>
      </c>
      <c r="V13033" s="1" t="s">
        <v>26985</v>
      </c>
      <c r="AR13033" s="1" t="str">
        <f t="shared" si="821"/>
        <v>| [ㄨㄣˇ](ㄨㄣˇ.md) | [刎](刎.md) |  | wěn | [動]
用刀割頸。《戰國策．燕策三》：「樊于期偏袒扼腕而進曰：『此臣日夜切齒拊心也，乃今得聞教。』遂自刎。」《漢書．卷九〇．酷吏傳．田延年傳》：「聞鼓聲，自刎死。」 |</v>
      </c>
    </row>
    <row r="13034" spans="1:44" hidden="1">
      <c r="A13034" s="1" t="s">
        <v>26986</v>
      </c>
      <c r="C13034" s="1">
        <v>1</v>
      </c>
      <c r="D13034" s="1" t="str">
        <f>"11508"</f>
        <v>11508</v>
      </c>
      <c r="E13034" s="1" t="s">
        <v>28</v>
      </c>
      <c r="F13034" s="1">
        <v>7</v>
      </c>
      <c r="G13034" s="1">
        <v>4</v>
      </c>
      <c r="H13034" s="1">
        <v>0</v>
      </c>
      <c r="I13034" s="1" t="s">
        <v>26983</v>
      </c>
      <c r="K13034" s="1" t="str">
        <f t="shared" si="822"/>
        <v>ㄨ</v>
      </c>
      <c r="L13034" s="1" t="str">
        <f t="shared" si="823"/>
        <v>ㄣ</v>
      </c>
      <c r="N13034" s="3" t="s">
        <v>30576</v>
      </c>
      <c r="O13034" s="3"/>
      <c r="P13034" s="1" t="s">
        <v>20</v>
      </c>
      <c r="R13034" s="1" t="s">
        <v>26984</v>
      </c>
      <c r="V13034" s="1" t="s">
        <v>26987</v>
      </c>
      <c r="AR13034" s="1" t="str">
        <f t="shared" si="821"/>
        <v>| [ㄨㄣˇ](ㄨㄣˇ.md) | [吻](吻.md) |  | wěn | [名]
嘴脣。《說文解字．口部》：「吻，口邊也。」《漢書．卷六四下．王襃傳》：「庸人之御駑馬，亦傷吻敝策而不進於行，匈喘膚汗，人極馬倦。」《聊齋志異．卷一．畫皮》：「乞人咯痰唾盈把，舉向陳吻曰：『食之！』」
[動]
用嘴脣接觸。如：「吻別」、「吻臉頰」。 |</v>
      </c>
    </row>
    <row r="13035" spans="1:44" hidden="1">
      <c r="A13035" s="1" t="s">
        <v>26988</v>
      </c>
      <c r="C13035" s="1">
        <v>1</v>
      </c>
      <c r="D13035" s="1" t="str">
        <f>"11509"</f>
        <v>11509</v>
      </c>
      <c r="E13035" s="1" t="s">
        <v>429</v>
      </c>
      <c r="F13035" s="1">
        <v>19</v>
      </c>
      <c r="G13035" s="1">
        <v>14</v>
      </c>
      <c r="H13035" s="1">
        <v>0</v>
      </c>
      <c r="I13035" s="1" t="s">
        <v>26983</v>
      </c>
      <c r="K13035" s="1" t="str">
        <f t="shared" si="822"/>
        <v>ㄨ</v>
      </c>
      <c r="L13035" s="1" t="str">
        <f t="shared" si="823"/>
        <v>ㄣ</v>
      </c>
      <c r="N13035" s="3" t="s">
        <v>30576</v>
      </c>
      <c r="O13035" s="3"/>
      <c r="P13035" s="1" t="s">
        <v>20</v>
      </c>
      <c r="R13035" s="1" t="s">
        <v>26984</v>
      </c>
      <c r="V13035" s="1" t="s">
        <v>26989</v>
      </c>
      <c r="AR13035" s="1" t="str">
        <f t="shared" si="821"/>
        <v>| [ㄨㄣˇ](ㄨㄣˇ.md) | [穩](穩.md) |  | wěn | [形]
1.固定不動搖、安全。如：「安穩」、「平穩」、「穩定」、「穩如泰山」。
2.妥當、妥貼。如：「穩當」、「十拿九穩」。
3.沉著不輕浮。如：「穩健」、「穩重」。
[動]
1.控制、使安定。如：「穩住情緒」。
2.安頓、安排。元．秦𥳑夫《東堂老》第三折：「這兩個好無禮也！把我穩在茶坊裡，他兩個都走了，乾餓了我一日。」《孤本元明雜劇．翫江亭．第二折》：「將那先生穩在那酒店裡，我騎著風也似快馬，來到這荒郊野外。」
[副]
一定、準。如：「穩操勝算」、「甕中捉鱉，穩拿。」 |</v>
      </c>
    </row>
    <row r="13036" spans="1:44" hidden="1">
      <c r="A13036" s="1" t="s">
        <v>27026</v>
      </c>
      <c r="C13036" s="1">
        <v>1</v>
      </c>
      <c r="D13036" s="1" t="str">
        <f>"11536"</f>
        <v>11536</v>
      </c>
      <c r="E13036" s="1" t="s">
        <v>142</v>
      </c>
      <c r="F13036" s="1">
        <v>4</v>
      </c>
      <c r="G13036" s="1">
        <v>0</v>
      </c>
      <c r="H13036" s="1">
        <v>2</v>
      </c>
      <c r="I13036" s="1" t="s">
        <v>27050</v>
      </c>
      <c r="K13036" s="1" t="str">
        <f t="shared" si="822"/>
        <v>ㄨ</v>
      </c>
      <c r="L13036" s="1" t="str">
        <f t="shared" si="823"/>
        <v>ㄤ</v>
      </c>
      <c r="N13036" s="3" t="s">
        <v>30574</v>
      </c>
      <c r="O13036" s="3"/>
      <c r="P13036" s="1" t="s">
        <v>20</v>
      </c>
      <c r="R13036" s="1" t="s">
        <v>27051</v>
      </c>
      <c r="V13036" s="1" t="s">
        <v>27052</v>
      </c>
      <c r="W13036" s="1" t="s">
        <v>27053</v>
      </c>
      <c r="AR13036" s="1" t="str">
        <f t="shared" si="821"/>
        <v>| [ㄨㄤˋ](ㄨㄤˋ.md) | [王](王.md) |  | wàng | [動]
統治天下、稱王。《詩經．大雅．皇矣》：「王此大邦，克順克比。」《史記．卷七．項羽本紀》：「懷王與諸將約曰：『先破秦入咸陽者王之』。」
[形]
興盛、旺盛。通「旺」。《莊子．養生主》：「澤雉十步一啄，百步一飲，不蘄畜乎樊中，神雖王，不善也。」唐．李白〈贈張相鎬〉詩二首之二：「英烈遺厥孫，百代神猶王。」 |</v>
      </c>
    </row>
    <row r="13037" spans="1:44" hidden="1">
      <c r="A13037" s="1" t="s">
        <v>10618</v>
      </c>
      <c r="C13037" s="1">
        <v>1</v>
      </c>
      <c r="D13037" s="1" t="str">
        <f>"11537"</f>
        <v>11537</v>
      </c>
      <c r="E13037" s="1" t="s">
        <v>558</v>
      </c>
      <c r="F13037" s="1">
        <v>8</v>
      </c>
      <c r="G13037" s="1">
        <v>4</v>
      </c>
      <c r="H13037" s="1">
        <v>1</v>
      </c>
      <c r="I13037" s="1" t="s">
        <v>27050</v>
      </c>
      <c r="K13037" s="1" t="str">
        <f t="shared" si="822"/>
        <v>ㄨ</v>
      </c>
      <c r="L13037" s="1" t="str">
        <f t="shared" si="823"/>
        <v>ㄤ</v>
      </c>
      <c r="N13037" s="3" t="s">
        <v>30574</v>
      </c>
      <c r="O13037" s="3"/>
      <c r="P13037" s="1" t="s">
        <v>20</v>
      </c>
      <c r="R13037" s="1" t="s">
        <v>27051</v>
      </c>
      <c r="V13037" s="1" t="s">
        <v>27054</v>
      </c>
      <c r="W13037" s="1" t="s">
        <v>27055</v>
      </c>
      <c r="AR13037" s="1" t="str">
        <f t="shared" si="821"/>
        <v>| [ㄨㄤˋ](ㄨㄤˋ.md) | [迋](迋.md) |  | wàng | [動]
前往。《說文解字．辵部》：「迋，往也。」《左傳．襄公二十八年》：「君使子展迋勞於東門之外而傲。」 |</v>
      </c>
    </row>
    <row r="13038" spans="1:44" hidden="1">
      <c r="A13038" s="1" t="s">
        <v>27056</v>
      </c>
      <c r="C13038" s="1">
        <v>1</v>
      </c>
      <c r="D13038" s="1" t="str">
        <f>"11538"</f>
        <v>11538</v>
      </c>
      <c r="E13038" s="1" t="s">
        <v>646</v>
      </c>
      <c r="F13038" s="1">
        <v>8</v>
      </c>
      <c r="G13038" s="1">
        <v>4</v>
      </c>
      <c r="H13038" s="1">
        <v>0</v>
      </c>
      <c r="I13038" s="1" t="s">
        <v>27050</v>
      </c>
      <c r="K13038" s="1" t="str">
        <f t="shared" si="822"/>
        <v>ㄨ</v>
      </c>
      <c r="L13038" s="1" t="str">
        <f t="shared" si="823"/>
        <v>ㄤ</v>
      </c>
      <c r="N13038" s="3" t="s">
        <v>30574</v>
      </c>
      <c r="O13038" s="3"/>
      <c r="P13038" s="1" t="s">
        <v>20</v>
      </c>
      <c r="R13038" s="1" t="s">
        <v>27051</v>
      </c>
      <c r="V13038" s="1" t="s">
        <v>27057</v>
      </c>
      <c r="AR13038" s="1" t="str">
        <f t="shared" si="821"/>
        <v>| [ㄨㄤˋ](ㄨㄤˋ.md) | [旺](旺.md) |  | wàng | [形]
1.興盛。如：「六畜興旺」。《紅樓夢》第八八回：「此刻還算咱們家裡正旺的時候兒，他們就敢打架。」
2.熾盛、猛烈。《老殘遊記》第一六回：「屋內火盆旺著呢，快向屋裡烘去罷。」 |</v>
      </c>
    </row>
    <row r="13039" spans="1:44" hidden="1">
      <c r="A13039" s="1" t="s">
        <v>27058</v>
      </c>
      <c r="C13039" s="1">
        <v>1</v>
      </c>
      <c r="D13039" s="1" t="str">
        <f>"11539"</f>
        <v>11539</v>
      </c>
      <c r="E13039" s="1" t="s">
        <v>534</v>
      </c>
      <c r="F13039" s="1">
        <v>6</v>
      </c>
      <c r="G13039" s="1">
        <v>3</v>
      </c>
      <c r="H13039" s="1">
        <v>0</v>
      </c>
      <c r="I13039" s="1" t="s">
        <v>27050</v>
      </c>
      <c r="K13039" s="1" t="str">
        <f t="shared" si="822"/>
        <v>ㄨ</v>
      </c>
      <c r="L13039" s="1" t="str">
        <f t="shared" si="823"/>
        <v>ㄤ</v>
      </c>
      <c r="N13039" s="3" t="s">
        <v>30574</v>
      </c>
      <c r="O13039" s="3"/>
      <c r="P13039" s="1" t="s">
        <v>20</v>
      </c>
      <c r="R13039" s="1" t="s">
        <v>27051</v>
      </c>
      <c r="V13039" s="1" t="s">
        <v>27059</v>
      </c>
      <c r="AR13039" s="1" t="str">
        <f t="shared" si="821"/>
        <v>| [ㄨㄤˋ](ㄨㄤˋ.md) | [妄](妄.md) |  | wàng | [副]
胡亂、任意。如：「輕舉妄動」、「妄下斷語」。《三國演義》第二回：「蹇碩設謀害我，可族滅其家，其餘不必妄加殘害。」
[形]
1.行為不正的。《左傳．哀公二十五年》：「彼好專利而妄，夫見君之入也，將先道焉。」《文選．孔稚珪．北山移文》：「截來轅於谷口，杜妄轡於郊端。」
2.荒誕不合事實的。如：「口出妄言」。漢．王充《論衡．變虛》：「是竟子韋之言妄，延年之語虛也。」
3.自大傲慢。如：「狂妄不羈」。 |</v>
      </c>
    </row>
    <row r="13040" spans="1:44" hidden="1">
      <c r="A13040" s="1" t="s">
        <v>27024</v>
      </c>
      <c r="C13040" s="1">
        <v>1</v>
      </c>
      <c r="D13040" s="1" t="str">
        <f>"11540"</f>
        <v>11540</v>
      </c>
      <c r="E13040" s="1" t="s">
        <v>250</v>
      </c>
      <c r="F13040" s="1">
        <v>7</v>
      </c>
      <c r="G13040" s="1">
        <v>3</v>
      </c>
      <c r="H13040" s="1">
        <v>1</v>
      </c>
      <c r="I13040" s="1" t="s">
        <v>27050</v>
      </c>
      <c r="K13040" s="1" t="str">
        <f t="shared" si="822"/>
        <v>ㄨ</v>
      </c>
      <c r="L13040" s="1" t="str">
        <f t="shared" si="823"/>
        <v>ㄤ</v>
      </c>
      <c r="N13040" s="3" t="s">
        <v>30574</v>
      </c>
      <c r="O13040" s="3"/>
      <c r="P13040" s="1" t="s">
        <v>388</v>
      </c>
      <c r="R13040" s="1" t="s">
        <v>27051</v>
      </c>
      <c r="V13040" s="1" t="s">
        <v>27060</v>
      </c>
      <c r="W13040" s="1" t="s">
        <v>27061</v>
      </c>
      <c r="AR13040" s="1" t="str">
        <f t="shared" si="821"/>
        <v>| [ㄨㄤˋ](ㄨㄤˋ.md) | [忘](忘.md) |  | wàng | [動]
1.不記得。如：「勿忘我」、「後事不忘前事之師」、「樂而忘返」、「廢寢忘食」、「得意忘形」。
2.遺失、喪失。《漢書．卷六三．武五子傳．戾太子劉據傳》：「臣聞子胥盡忠而忘其號，比干盡仁而遺其身。」唐．顏師古．注：「忘，亡也。吳王殺之，被以惡名，失其善稱號。」《文選．陸機．歎逝賦》：「樂隤心其如忘，哀緣情而來宅。」唐．李善．注：「忘，失也。」
3.遺棄、捨棄。《後漢書．卷二六．宋弘傳》：「臣聞貧賤之知不可忘，糟糠之妻不下堂。」 |</v>
      </c>
    </row>
    <row r="13041" spans="1:44" hidden="1">
      <c r="A13041" s="1" t="s">
        <v>27062</v>
      </c>
      <c r="C13041" s="1">
        <v>1</v>
      </c>
      <c r="D13041" s="1" t="str">
        <f>"11541"</f>
        <v>11541</v>
      </c>
      <c r="E13041" s="1" t="s">
        <v>2014</v>
      </c>
      <c r="F13041" s="1">
        <v>11</v>
      </c>
      <c r="G13041" s="1">
        <v>7</v>
      </c>
      <c r="H13041" s="1">
        <v>0</v>
      </c>
      <c r="I13041" s="1" t="s">
        <v>27050</v>
      </c>
      <c r="K13041" s="1" t="str">
        <f t="shared" si="822"/>
        <v>ㄨ</v>
      </c>
      <c r="L13041" s="1" t="str">
        <f t="shared" si="823"/>
        <v>ㄤ</v>
      </c>
      <c r="N13041" s="3" t="s">
        <v>30574</v>
      </c>
      <c r="O13041" s="3"/>
      <c r="P13041" s="1" t="s">
        <v>20</v>
      </c>
      <c r="R13041" s="1" t="s">
        <v>27051</v>
      </c>
      <c r="V13041" s="1" t="s">
        <v>27063</v>
      </c>
      <c r="AR13041" s="1" t="str">
        <f t="shared" si="821"/>
        <v>| [ㄨㄤˋ](ㄨㄤˋ.md) | [望](望.md) |  | wàng | [動]
1.向遠處或高處看。如：「登高望遠」、「一望無際」。唐．李白〈靜夜思〉詩：「舉頭望明月，低頭思故鄉。」宋．汪元量〈潮州歌〉：「北望燕雲不盡頭，大江東去水悠悠。」
2.希冀、期盼。如：「盼望」、「期望」、「渴望」。《孟子．梁惠王上》：「王如知此，則無望民之多於鄰國也。」
3.拜訪、慰問。如：「拜望」、「探望」。
4.怨恨、責備。《史記．卷八九．張耳陳餘傳》：「不意君之望臣深也！豈以臣為重去將哉？」《文選．司馬遷．報任少卿書》：「若望僕不相師，而用流俗人之言，僕非敢如此。」
5.將近、接近。唐．韓愈〈祭竇司業文〉：「逾七望八，年孰非翁。」《兒女英雄傳》第一回：「你那我雖然不至於老邁不堪，也是望五的人了。」
[名]
1.志願、心願。如：「願望」、「絕望」。
2.名譽、名聲。如：「名望」、「聲望」、「德高望重」。《三國演義》第八三回：「陸遜年幼望輕，恐諸公不服。」
3.農曆每月十五日，地球上所看見的滿月月相，後指農曆的每月十五日。《文選．枚乘．七發》：「將以八月之望，與諸侯遠方交游兄弟，並往觀濤乎廣陵之曲江。」宋．蘇軾〈後赤壁賦〉：「是歲十月之望，步自雪堂，將歸于臨皋。」
[介]
向、朝。如：「望後退」、「望前看」、「望我點點頭」。 |</v>
      </c>
    </row>
    <row r="13042" spans="1:44" hidden="1">
      <c r="A13042" s="1" t="s">
        <v>26384</v>
      </c>
      <c r="C13042" s="1">
        <v>1</v>
      </c>
      <c r="D13042" s="1" t="str">
        <f>"11523"</f>
        <v>11523</v>
      </c>
      <c r="E13042" s="1" t="s">
        <v>367</v>
      </c>
      <c r="F13042" s="1">
        <v>3</v>
      </c>
      <c r="G13042" s="1">
        <v>1</v>
      </c>
      <c r="H13042" s="1">
        <v>1</v>
      </c>
      <c r="I13042" s="1" t="s">
        <v>27020</v>
      </c>
      <c r="K13042" s="1" t="str">
        <f t="shared" si="822"/>
        <v>ㄨ</v>
      </c>
      <c r="L13042" s="1" t="str">
        <f t="shared" si="823"/>
        <v>ㄤ</v>
      </c>
      <c r="N13042" s="3" t="s">
        <v>30575</v>
      </c>
      <c r="O13042" s="3"/>
      <c r="P13042" s="1" t="s">
        <v>20</v>
      </c>
      <c r="R13042" s="1" t="s">
        <v>27021</v>
      </c>
      <c r="V13042" s="1" t="s">
        <v>27022</v>
      </c>
      <c r="W13042" s="1" t="s">
        <v>27023</v>
      </c>
      <c r="AR13042" s="1" t="str">
        <f t="shared" si="821"/>
        <v>| [ㄨㄤˊ](ㄨㄤˊ.md) | [亡](亡.md) |  | wáng | [動]
1.逃跑。如：「流亡」、「逃亡」。《左傳．宣公二年》：「問其名居，不告而退，遂自亡也。」
2.失去。如：「亡羊補牢」。《新唐書．卷九六．房玄齡傳》：「一日去良弼，如亡左右手。」
3.死去。如：「死亡」、「傷亡」。
4.消滅。如：「滅亡」、「敗亡」。《禮記．中庸》：「國家將亡，必有妖孽。」
5.外出不在。《論語．陽貨》：「孔子時其亡也，而往拜之。」《聊齋志異．卷一〇．真生》：「明日，往投刺，適值其亡，凡三謁，皆不遇。」
6.忘記。通「忘」。漢．王充《論衡．語增》：「為長夜之飲，亡其甲子。」唐．戴叔倫〈南野〉詩：「身勩竟亡疲，團團欣在目。」
[形]
死去的。如：「亡父」、「亡兄」、「未亡人」。《後漢書．卷三五．鄭玄傳》：「末所憤憤者，亡親墳壟未成。」 |</v>
      </c>
    </row>
    <row r="13043" spans="1:44" hidden="1">
      <c r="A13043" s="1" t="s">
        <v>27024</v>
      </c>
      <c r="C13043" s="1">
        <v>1</v>
      </c>
      <c r="D13043" s="1" t="str">
        <f>"11524"</f>
        <v>11524</v>
      </c>
      <c r="E13043" s="1" t="s">
        <v>250</v>
      </c>
      <c r="F13043" s="1">
        <v>7</v>
      </c>
      <c r="G13043" s="1">
        <v>3</v>
      </c>
      <c r="H13043" s="1">
        <v>2</v>
      </c>
      <c r="I13043" s="1" t="s">
        <v>27020</v>
      </c>
      <c r="K13043" s="1" t="str">
        <f t="shared" si="822"/>
        <v>ㄨ</v>
      </c>
      <c r="L13043" s="1" t="str">
        <f t="shared" si="823"/>
        <v>ㄤ</v>
      </c>
      <c r="N13043" s="3" t="s">
        <v>30575</v>
      </c>
      <c r="O13043" s="3"/>
      <c r="P13043" s="1" t="s">
        <v>186</v>
      </c>
      <c r="R13043" s="1" t="s">
        <v>27021</v>
      </c>
      <c r="V13043" s="1" t="s">
        <v>206</v>
      </c>
      <c r="W13043" s="1" t="s">
        <v>27025</v>
      </c>
      <c r="AR13043" s="1" t="str">
        <f t="shared" si="821"/>
        <v>| [ㄨㄤˊ](ㄨㄤˊ.md) | [忘](忘.md) |  | wáng | (一)之讀音。 |</v>
      </c>
    </row>
    <row r="13044" spans="1:44" hidden="1">
      <c r="A13044" s="1" t="s">
        <v>27026</v>
      </c>
      <c r="C13044" s="1">
        <v>1</v>
      </c>
      <c r="D13044" s="1" t="str">
        <f>"11525"</f>
        <v>11525</v>
      </c>
      <c r="E13044" s="1" t="s">
        <v>142</v>
      </c>
      <c r="F13044" s="1">
        <v>4</v>
      </c>
      <c r="G13044" s="1">
        <v>0</v>
      </c>
      <c r="H13044" s="1">
        <v>1</v>
      </c>
      <c r="I13044" s="1" t="s">
        <v>27020</v>
      </c>
      <c r="K13044" s="1" t="str">
        <f t="shared" si="822"/>
        <v>ㄨ</v>
      </c>
      <c r="L13044" s="1" t="str">
        <f t="shared" si="823"/>
        <v>ㄤ</v>
      </c>
      <c r="N13044" s="3" t="s">
        <v>30575</v>
      </c>
      <c r="O13044" s="3"/>
      <c r="P13044" s="1" t="s">
        <v>20</v>
      </c>
      <c r="R13044" s="1" t="s">
        <v>27021</v>
      </c>
      <c r="V13044" s="1" t="s">
        <v>27027</v>
      </c>
      <c r="W13044" s="1" t="s">
        <v>27028</v>
      </c>
      <c r="AR13044" s="1" t="str">
        <f t="shared" si="821"/>
        <v>| [ㄨㄤˊ](ㄨㄤˊ.md) | [王](王.md) |  | wáng | [名]
1.古代稱統治天下的君主。如：「君王」、「帝王」、「國王」。《書經．洪範》：「天子作民父母，以為天下王。」
2.古代封建社會中地位在公侯之上的爵位。秦漢以後，天子的伯叔兄弟及異姓藩王均稱為「王」。如：「淮南王」。《漢書．卷一九．百官公卿表上》：「諸侯王，高帝初置，金璽盭綬，掌治其國。」
3.泛稱同類中的首領。如：「萬獸之王」。唐．杜甫〈前出塞〉詩九首之六：「射人先射馬，擒賊先擒王。」《西遊記》第一回：「那一個有本事的，鑽進去尋個源頭出來，不傷身體者，我等即拜他為王。」
4.技藝超群的人。如：「歌王」、「拳王」。
5.古代對祖父母輩的尊稱。參見「王父」、「王母」等條。
6.姓。如宋代有王安石。
[動]
古代諸侯朝見天子。《詩經．商頌．殷武》：「莫敢不來享，莫敢不來王。」《史記．卷四．周本紀》：「要服者貢，荒服者王。」
[形]
大。參見「王虺」、「王鮪」等條。 |</v>
      </c>
    </row>
    <row r="13045" spans="1:44" hidden="1">
      <c r="A13045" s="1" t="s">
        <v>27029</v>
      </c>
      <c r="C13045" s="1">
        <v>1</v>
      </c>
      <c r="D13045" s="1" t="str">
        <f>"11526"</f>
        <v>11526</v>
      </c>
      <c r="E13045" s="1" t="s">
        <v>118</v>
      </c>
      <c r="F13045" s="1">
        <v>6</v>
      </c>
      <c r="G13045" s="1">
        <v>0</v>
      </c>
      <c r="H13045" s="1">
        <v>0</v>
      </c>
      <c r="I13045" s="1" t="s">
        <v>27030</v>
      </c>
      <c r="K13045" s="1" t="str">
        <f t="shared" si="822"/>
        <v>ㄨ</v>
      </c>
      <c r="L13045" s="1" t="str">
        <f t="shared" si="823"/>
        <v>ㄤ</v>
      </c>
      <c r="N13045" s="3" t="s">
        <v>30576</v>
      </c>
      <c r="O13045" s="3"/>
      <c r="P13045" s="1" t="s">
        <v>20</v>
      </c>
      <c r="R13045" s="1" t="s">
        <v>27031</v>
      </c>
      <c r="V13045" s="1" t="s">
        <v>27032</v>
      </c>
      <c r="AR13045" s="1" t="str">
        <f t="shared" si="821"/>
        <v>| [ㄨㄤˇ](ㄨㄤˇ.md) | [网](网.md) |  | wǎng | [名]
1.同「網」。明．張自烈《正字通．网部》：「网，網本字。」
2.二一四部首之一。 |</v>
      </c>
    </row>
    <row r="13046" spans="1:44" hidden="1">
      <c r="A13046" s="1" t="s">
        <v>27033</v>
      </c>
      <c r="C13046" s="1">
        <v>1</v>
      </c>
      <c r="D13046" s="1" t="str">
        <f>"11527"</f>
        <v>11527</v>
      </c>
      <c r="E13046" s="1" t="s">
        <v>139</v>
      </c>
      <c r="F13046" s="1">
        <v>8</v>
      </c>
      <c r="G13046" s="1">
        <v>4</v>
      </c>
      <c r="H13046" s="1">
        <v>0</v>
      </c>
      <c r="I13046" s="1" t="s">
        <v>27030</v>
      </c>
      <c r="K13046" s="1" t="str">
        <f t="shared" si="822"/>
        <v>ㄨ</v>
      </c>
      <c r="L13046" s="1" t="str">
        <f t="shared" si="823"/>
        <v>ㄤ</v>
      </c>
      <c r="N13046" s="3" t="s">
        <v>30576</v>
      </c>
      <c r="O13046" s="3"/>
      <c r="P13046" s="1" t="s">
        <v>20</v>
      </c>
      <c r="R13046" s="1" t="s">
        <v>27031</v>
      </c>
      <c r="V13046" s="1" t="s">
        <v>27034</v>
      </c>
      <c r="AR13046" s="1" t="str">
        <f t="shared" si="821"/>
        <v>| [ㄨㄤˇ](ㄨㄤˇ.md) | [枉](枉.md) |  | wǎng | [形]
1.彎曲的、不直的。《說文解字．木部》：「枉，衺曲也。」如：「枉尺」。《荀子．王霸》：「辟之是猶立直木而求其景之枉也。」
2.不正直的、邪惡的。《論語．顏淵》：「能使枉者直。」《元史．卷一七五．張珪傳》：「人有冤抑，必當昭雪，事有枉直，尤宜明辨。」
[動]
1.扭曲、歪曲。如：「貪贓枉法」。《論語．微子》：「枉道而事人，何必去父母之邦。」
2.冤陷。如：「冤枉」、「勿枉勿縱」。
3.遷就、委屈。參見「枉駕」、「枉顧」等條。
[名]
1.邪惡不正的人事物。如：「矯枉過正」。《論語．為政》：「舉直錯諸枉，則民服；舉枉錯諸直，則民不服。」
2.冤屈。《新唐書．卷一三五．高仙芝傳》：「我有罪，若輩可言；不爾，當呼枉。」
[副]
徒然、白費。如：「枉費」。唐．李白〈清平調〉三首之二：「一枝穠豔露凝香，雲雨巫山枉斷腸。」宋．蘇軾〈賀新郎．乳燕飛華屋〉詞：「簾外誰來推繡戶，枉教人、夢斷瑤臺曲。」 |</v>
      </c>
    </row>
    <row r="13047" spans="1:44" hidden="1">
      <c r="A13047" s="1" t="s">
        <v>27035</v>
      </c>
      <c r="C13047" s="1">
        <v>1</v>
      </c>
      <c r="D13047" s="1" t="str">
        <f>"11528"</f>
        <v>11528</v>
      </c>
      <c r="E13047" s="1" t="s">
        <v>114</v>
      </c>
      <c r="F13047" s="1">
        <v>9</v>
      </c>
      <c r="G13047" s="1">
        <v>7</v>
      </c>
      <c r="H13047" s="1">
        <v>0</v>
      </c>
      <c r="I13047" s="1" t="s">
        <v>27030</v>
      </c>
      <c r="K13047" s="1" t="str">
        <f t="shared" si="822"/>
        <v>ㄨ</v>
      </c>
      <c r="L13047" s="1" t="str">
        <f t="shared" si="823"/>
        <v>ㄤ</v>
      </c>
      <c r="N13047" s="3" t="s">
        <v>30576</v>
      </c>
      <c r="O13047" s="3"/>
      <c r="P13047" s="1" t="s">
        <v>20</v>
      </c>
      <c r="R13047" s="1" t="s">
        <v>27031</v>
      </c>
      <c r="V13047" s="1" t="s">
        <v>27036</v>
      </c>
      <c r="AR13047" s="1" t="str">
        <f t="shared" si="821"/>
        <v>| [ㄨㄤˇ](ㄨㄤˇ.md) | [俇](俇.md) |  | wǎng | 參見「俇攘」、「俇俇」等條。 |</v>
      </c>
    </row>
    <row r="13048" spans="1:44" hidden="1">
      <c r="A13048" s="1" t="s">
        <v>27037</v>
      </c>
      <c r="C13048" s="1">
        <v>1</v>
      </c>
      <c r="D13048" s="1" t="str">
        <f>"11529"</f>
        <v>11529</v>
      </c>
      <c r="E13048" s="1" t="s">
        <v>118</v>
      </c>
      <c r="F13048" s="1">
        <v>8</v>
      </c>
      <c r="G13048" s="1">
        <v>3</v>
      </c>
      <c r="H13048" s="1">
        <v>0</v>
      </c>
      <c r="I13048" s="1" t="s">
        <v>27030</v>
      </c>
      <c r="K13048" s="1" t="str">
        <f t="shared" si="822"/>
        <v>ㄨ</v>
      </c>
      <c r="L13048" s="1" t="str">
        <f t="shared" si="823"/>
        <v>ㄤ</v>
      </c>
      <c r="N13048" s="3" t="s">
        <v>30576</v>
      </c>
      <c r="O13048" s="3"/>
      <c r="P13048" s="1" t="s">
        <v>20</v>
      </c>
      <c r="R13048" s="1" t="s">
        <v>27031</v>
      </c>
      <c r="V13048" s="1" t="s">
        <v>27038</v>
      </c>
      <c r="AR13048" s="1" t="str">
        <f t="shared" si="821"/>
        <v>| [ㄨㄤˇ](ㄨㄤˇ.md) | [罔](罔.md) |  | wǎng | [名]_x000D_
1.用繩線編成捕捉動物的器具。網的初文。《易經．繫辭下》：「作結繩而為罔罟，以佃以漁。」《資治通鑑．卷三二．漢紀二十四．成帝元延三年》：「南驅漢中，張羅罔罝罘，捕熊羆禽獸。」_x000D_
2.災禍、冤屈。《詩經．大雅．瞻卬》：「天之降罔，維其優矣。」《紅樓夢》第七八回：「既忳幽沉於不盡，復含罔屈於無窮。」_x000D_
[動]_x000D_
1.誣衊、陷害。《論語．雍也》：「君子可逝也，不可陷也；可欺也，不可罔也。」《孟子．梁惠王上》：「及陷於罪，然後從而刑之，是罔民也。」_x000D_
2.欺騙、蒙蔽。《漢書．卷二五．郊祀志下》：「知萬物之情，不可罔以非類。」《三國志．卷一．魏書．武帝紀》：「此皆以白為黑，欺天罔君者也。」_x000D_
3.沒有。通「無」。如：「藥石罔效」。_x000D_
[形]_x000D_
1.惆悵失意的樣子。通「惘」。東周戰國．宋玉〈神女賦．序〉：「罔兮不樂，悵然失志。」《資治通鑑．卷八二．晉紀四．武帝太康十年》：「久在中書，專管機事。及遷尚甚罔悵。」_x000D_
2.迷惑、困惑。通「惘」。《論語．為政》：「學而不思則罔，思而不學則殆。」_x000D_
[副]_x000D_
不可、不要。表示禁止。通「毋」。 |</v>
      </c>
    </row>
    <row r="13049" spans="1:44" hidden="1">
      <c r="A13049" s="1" t="s">
        <v>27039</v>
      </c>
      <c r="C13049" s="1">
        <v>1</v>
      </c>
      <c r="D13049" s="1" t="str">
        <f>"11530"</f>
        <v>11530</v>
      </c>
      <c r="E13049" s="1" t="s">
        <v>250</v>
      </c>
      <c r="F13049" s="1">
        <v>11</v>
      </c>
      <c r="G13049" s="1">
        <v>8</v>
      </c>
      <c r="H13049" s="1">
        <v>0</v>
      </c>
      <c r="I13049" s="1" t="s">
        <v>27030</v>
      </c>
      <c r="K13049" s="1" t="str">
        <f t="shared" si="822"/>
        <v>ㄨ</v>
      </c>
      <c r="L13049" s="1" t="str">
        <f t="shared" si="823"/>
        <v>ㄤ</v>
      </c>
      <c r="N13049" s="3" t="s">
        <v>30576</v>
      </c>
      <c r="O13049" s="3"/>
      <c r="P13049" s="1" t="s">
        <v>20</v>
      </c>
      <c r="R13049" s="1" t="s">
        <v>27031</v>
      </c>
      <c r="V13049" s="1" t="s">
        <v>27040</v>
      </c>
      <c r="AR13049" s="1" t="str">
        <f t="shared" si="821"/>
        <v>| [ㄨㄤˇ](ㄨㄤˇ.md) | [惘](惘.md) |  | wǎng | [形]
1.失意或失志的樣子。如：「悵惘」。南朝宋．劉義慶《世說新語．言語》：「袁彥伯為謝安南司馬，都下諸人送至瀨鄉。將別，既自悽惘。」
2.困惑、迷惑。如：「迷惘」。 |</v>
      </c>
    </row>
    <row r="13050" spans="1:44" hidden="1">
      <c r="A13050" s="1" t="s">
        <v>27041</v>
      </c>
      <c r="C13050" s="1">
        <v>1</v>
      </c>
      <c r="D13050" s="1" t="str">
        <f>"11531"</f>
        <v>11531</v>
      </c>
      <c r="E13050" s="1" t="s">
        <v>725</v>
      </c>
      <c r="F13050" s="1">
        <v>14</v>
      </c>
      <c r="G13050" s="1">
        <v>8</v>
      </c>
      <c r="H13050" s="1">
        <v>0</v>
      </c>
      <c r="I13050" s="1" t="s">
        <v>27030</v>
      </c>
      <c r="K13050" s="1" t="str">
        <f t="shared" si="822"/>
        <v>ㄨ</v>
      </c>
      <c r="L13050" s="1" t="str">
        <f t="shared" si="823"/>
        <v>ㄤ</v>
      </c>
      <c r="N13050" s="3" t="s">
        <v>30576</v>
      </c>
      <c r="O13050" s="3"/>
      <c r="P13050" s="1" t="s">
        <v>20</v>
      </c>
      <c r="R13050" s="1" t="s">
        <v>27031</v>
      </c>
      <c r="V13050" s="1" t="s">
        <v>27042</v>
      </c>
      <c r="AR13050" s="1" t="str">
        <f t="shared" si="821"/>
        <v>| [ㄨㄤˇ](ㄨㄤˇ.md) | [網](網.md) |  | wǎng | [名]
1.用繩線編成捕捉動物的器具。如：「魚網」、「鳥網」、「三天打魚，二天晒網。」
2.像網狀的東西。如：「蜘蛛網」、「鐵絲網」。
3.分布周密而有連繫像網狀的組織系統。如：「交通網」、「廣播網」、「通訊網」。
4.比喻能約束人的事物、理法。如：「法網」、「天羅地網」。
[動]
1.用網捕捉。如：「網蜻蜓」、「網了一條魚」。
2.搜求、招致。參見「網羅」條。 |</v>
      </c>
    </row>
    <row r="13051" spans="1:44" hidden="1">
      <c r="A13051" s="1" t="s">
        <v>27043</v>
      </c>
      <c r="C13051" s="1">
        <v>1</v>
      </c>
      <c r="D13051" s="1" t="str">
        <f>"11532"</f>
        <v>11532</v>
      </c>
      <c r="E13051" s="1" t="s">
        <v>71</v>
      </c>
      <c r="F13051" s="1">
        <v>15</v>
      </c>
      <c r="G13051" s="1">
        <v>8</v>
      </c>
      <c r="H13051" s="1">
        <v>0</v>
      </c>
      <c r="I13051" s="1" t="s">
        <v>27030</v>
      </c>
      <c r="K13051" s="1" t="str">
        <f t="shared" si="822"/>
        <v>ㄨ</v>
      </c>
      <c r="L13051" s="1" t="str">
        <f t="shared" si="823"/>
        <v>ㄤ</v>
      </c>
      <c r="N13051" s="3" t="s">
        <v>30576</v>
      </c>
      <c r="O13051" s="3"/>
      <c r="P13051" s="1" t="s">
        <v>20</v>
      </c>
      <c r="R13051" s="1" t="s">
        <v>27031</v>
      </c>
      <c r="V13051" s="1" t="s">
        <v>27044</v>
      </c>
      <c r="AR13051" s="1" t="str">
        <f t="shared" si="821"/>
        <v>| [ㄨㄤˇ](ㄨㄤˇ.md) | [輞](輞.md) |  | wǎng | [名]
車輪的外框。明．張自烈《正字通．車部》：「輞，車輪外圍。」《續漢書志．卷二九．輿服志上》：「獵車，其飾皆如之。重輞縵輪，繆龍繞之。」 |</v>
      </c>
    </row>
    <row r="13052" spans="1:44" hidden="1">
      <c r="A13052" s="1" t="s">
        <v>27045</v>
      </c>
      <c r="C13052" s="1">
        <v>1</v>
      </c>
      <c r="D13052" s="1" t="str">
        <f>"11533"</f>
        <v>11533</v>
      </c>
      <c r="E13052" s="1" t="s">
        <v>83</v>
      </c>
      <c r="F13052" s="1">
        <v>18</v>
      </c>
      <c r="G13052" s="1">
        <v>8</v>
      </c>
      <c r="H13052" s="1">
        <v>0</v>
      </c>
      <c r="I13052" s="1" t="s">
        <v>27030</v>
      </c>
      <c r="K13052" s="1" t="str">
        <f t="shared" si="822"/>
        <v>ㄨ</v>
      </c>
      <c r="L13052" s="1" t="str">
        <f t="shared" si="823"/>
        <v>ㄤ</v>
      </c>
      <c r="N13052" s="3" t="s">
        <v>30576</v>
      </c>
      <c r="O13052" s="3"/>
      <c r="P13052" s="1" t="s">
        <v>20</v>
      </c>
      <c r="R13052" s="1" t="s">
        <v>27031</v>
      </c>
      <c r="V13052" s="1" t="s">
        <v>8972</v>
      </c>
      <c r="AR13052" s="1" t="str">
        <f t="shared" si="821"/>
        <v>| [ㄨㄤˇ](ㄨㄤˇ.md) | [魍](魍.md) |  | wǎng | 參見「魍魎」條。 |</v>
      </c>
    </row>
    <row r="13053" spans="1:44" hidden="1">
      <c r="A13053" s="1" t="s">
        <v>27046</v>
      </c>
      <c r="C13053" s="1">
        <v>1</v>
      </c>
      <c r="D13053" s="1" t="str">
        <f>"11534"</f>
        <v>11534</v>
      </c>
      <c r="E13053" s="1" t="s">
        <v>234</v>
      </c>
      <c r="F13053" s="1">
        <v>8</v>
      </c>
      <c r="G13053" s="1">
        <v>5</v>
      </c>
      <c r="H13053" s="1">
        <v>0</v>
      </c>
      <c r="I13053" s="1" t="s">
        <v>27030</v>
      </c>
      <c r="K13053" s="1" t="str">
        <f t="shared" si="822"/>
        <v>ㄨ</v>
      </c>
      <c r="L13053" s="1" t="str">
        <f t="shared" si="823"/>
        <v>ㄤ</v>
      </c>
      <c r="N13053" s="3" t="s">
        <v>30576</v>
      </c>
      <c r="O13053" s="3"/>
      <c r="P13053" s="1" t="s">
        <v>20</v>
      </c>
      <c r="R13053" s="1" t="s">
        <v>27031</v>
      </c>
      <c r="V13053" s="1" t="s">
        <v>27047</v>
      </c>
      <c r="AR13053" s="1" t="str">
        <f t="shared" si="821"/>
        <v>| [ㄨㄤˇ](ㄨㄤˇ.md) | [往](往.md) |  | wǎng | [動]
1.去。如：「前往」、「人來人往」。《易經．繫辭下》：「寒往則暑來，暑往則寒來，寒暑相推而歲成焉。」
2.歸向。如：「嚮往」、「神往」。《穀梁傳．莊公三年》：「其曰王者，民之所歸往也。」
3.交際、交朋友。如：「交往」。《禮記．檀弓上》：「非兄弟，雖鄰不往。」
4.致贈、贈送。《文選．曹植．與楊德祖書》：「今往僕少小所著辭賦一通相與。」
[形]
過去的、從前的。如：「往年」、「以往」。五代十國南唐．李煜〈虞美人．春花秋月何時了〉詞：「春花秋月何時了，往事知多少。」
[名]
1.昔日、昔時。《易經．繫辭下》：「夫易，彰往而察來，而微顯闡幽。」《荀子．解蔽》：「不慕往，不閔來，無邑憐之心。」
2.死者。《左傳．僖公九年》：「送往事居。」晉．杜預．注：「往，死者；居，生者。」
[介]
向、朝。表示動作的方向。如：「往東走」、「往前看」、「水往低處流，人往高處爬。」 |</v>
      </c>
    </row>
    <row r="13054" spans="1:44" hidden="1">
      <c r="A13054" s="1" t="s">
        <v>27048</v>
      </c>
      <c r="C13054" s="1">
        <v>1</v>
      </c>
      <c r="D13054" s="1" t="str">
        <f>"11535"</f>
        <v>11535</v>
      </c>
      <c r="E13054" s="1" t="s">
        <v>129</v>
      </c>
      <c r="F13054" s="1">
        <v>18</v>
      </c>
      <c r="G13054" s="1">
        <v>15</v>
      </c>
      <c r="H13054" s="1">
        <v>0</v>
      </c>
      <c r="I13054" s="1" t="s">
        <v>27030</v>
      </c>
      <c r="K13054" s="1" t="str">
        <f t="shared" si="822"/>
        <v>ㄨ</v>
      </c>
      <c r="L13054" s="1" t="str">
        <f t="shared" si="823"/>
        <v>ㄤ</v>
      </c>
      <c r="N13054" s="3" t="s">
        <v>30576</v>
      </c>
      <c r="O13054" s="3"/>
      <c r="P13054" s="1" t="s">
        <v>20</v>
      </c>
      <c r="R13054" s="1" t="s">
        <v>27031</v>
      </c>
      <c r="V13054" s="1" t="s">
        <v>27049</v>
      </c>
      <c r="AR13054" s="1" t="str">
        <f t="shared" si="821"/>
        <v>| [ㄨㄤˇ](ㄨㄤˇ.md) | [瀇](瀇.md) |  | wǎng | 參見「瀇洋」、「瀇瀁」等條。 |</v>
      </c>
    </row>
    <row r="13055" spans="1:44" hidden="1">
      <c r="A13055" s="1" t="s">
        <v>27080</v>
      </c>
      <c r="C13055" s="1">
        <v>1</v>
      </c>
      <c r="D13055" s="1" t="str">
        <f>"11548"</f>
        <v>11548</v>
      </c>
      <c r="E13055" s="1" t="s">
        <v>1824</v>
      </c>
      <c r="F13055" s="1">
        <v>9</v>
      </c>
      <c r="G13055" s="1">
        <v>4</v>
      </c>
      <c r="H13055" s="1">
        <v>0</v>
      </c>
      <c r="I13055" s="1" t="s">
        <v>27081</v>
      </c>
      <c r="K13055" s="1" t="str">
        <f t="shared" si="822"/>
        <v>ㄨ</v>
      </c>
      <c r="L13055" s="1" t="str">
        <f t="shared" si="823"/>
        <v>ㄥ</v>
      </c>
      <c r="N13055" s="3" t="s">
        <v>30574</v>
      </c>
      <c r="O13055" s="3"/>
      <c r="P13055" s="1" t="s">
        <v>20</v>
      </c>
      <c r="R13055" s="1" t="s">
        <v>27082</v>
      </c>
      <c r="V13055" s="1" t="s">
        <v>27083</v>
      </c>
      <c r="AR13055" s="1" t="str">
        <f t="shared" si="821"/>
        <v>| [ㄨㄥˋ](ㄨㄥˋ.md) | [瓮](瓮.md) |  | wèng | [名]
一種口小腹大，用以盛東西的器具。漢．揚雄《方言》卷五：「瓮，甖也。……自關而東，趙魏之郊謂之瓮，或謂之甖。」宋．王安石〈賜也〉詩：「桔槔俯仰妨何事，抱瓮區區者此身。」《水滸傳》第三三回：「此計大妙，卻似瓮中捉鱉，手到拿來。」 |</v>
      </c>
    </row>
    <row r="13056" spans="1:44" hidden="1">
      <c r="A13056" s="1" t="s">
        <v>27084</v>
      </c>
      <c r="C13056" s="1">
        <v>1</v>
      </c>
      <c r="D13056" s="1" t="str">
        <f>"11549"</f>
        <v>11549</v>
      </c>
      <c r="E13056" s="1" t="s">
        <v>1824</v>
      </c>
      <c r="F13056" s="1">
        <v>18</v>
      </c>
      <c r="G13056" s="1">
        <v>13</v>
      </c>
      <c r="H13056" s="1">
        <v>0</v>
      </c>
      <c r="I13056" s="1" t="s">
        <v>27081</v>
      </c>
      <c r="K13056" s="1" t="str">
        <f t="shared" si="822"/>
        <v>ㄨ</v>
      </c>
      <c r="L13056" s="1" t="str">
        <f t="shared" si="823"/>
        <v>ㄥ</v>
      </c>
      <c r="N13056" s="3" t="s">
        <v>30574</v>
      </c>
      <c r="O13056" s="3"/>
      <c r="P13056" s="1" t="s">
        <v>20</v>
      </c>
      <c r="R13056" s="1" t="s">
        <v>27082</v>
      </c>
      <c r="V13056" s="1" t="s">
        <v>27085</v>
      </c>
      <c r="AR13056" s="1" t="str">
        <f t="shared" si="821"/>
        <v>| [ㄨㄥˋ](ㄨㄥˋ.md) | [甕](甕.md) |  | wèng | [名]
1.一種口小腹大，用來盛東西的陶器。同「瓮」。如：「酒甕」、「水甕」、「菜甕」。
2.姓。如明代有甕蕙。 |</v>
      </c>
    </row>
    <row r="13057" spans="1:44" hidden="1">
      <c r="A13057" s="1" t="s">
        <v>27086</v>
      </c>
      <c r="C13057" s="1">
        <v>1</v>
      </c>
      <c r="D13057" s="1" t="str">
        <f>"11550"</f>
        <v>11550</v>
      </c>
      <c r="E13057" s="1" t="s">
        <v>175</v>
      </c>
      <c r="F13057" s="1">
        <v>19</v>
      </c>
      <c r="G13057" s="1">
        <v>13</v>
      </c>
      <c r="H13057" s="1">
        <v>0</v>
      </c>
      <c r="I13057" s="1" t="s">
        <v>27081</v>
      </c>
      <c r="K13057" s="1" t="str">
        <f t="shared" si="822"/>
        <v>ㄨ</v>
      </c>
      <c r="L13057" s="1" t="str">
        <f t="shared" si="823"/>
        <v>ㄥ</v>
      </c>
      <c r="N13057" s="3" t="s">
        <v>30574</v>
      </c>
      <c r="O13057" s="3"/>
      <c r="P13057" s="1" t="s">
        <v>20</v>
      </c>
      <c r="R13057" s="1" t="s">
        <v>27082</v>
      </c>
      <c r="V13057" s="1" t="s">
        <v>27087</v>
      </c>
      <c r="AR13057" s="1" t="str">
        <f t="shared" si="821"/>
        <v>| [ㄨㄥˋ](ㄨㄥˋ.md) | [罋](罋.md) |  | wèng | [名]
一種口小腹大，用以盛東西的陶器。同「瓮」。《周禮．天官．膳夫》：「羞用百二十品，珍用八物，醬用百有二十罋。」南朝宋．劉義慶《世說新語．任誕》：「仲容至宗人閒共集，不復用常桮斟酌，以大罋盛酒，圍坐，相向大酌。」 |</v>
      </c>
    </row>
    <row r="13058" spans="1:44" hidden="1">
      <c r="A13058" s="1" t="s">
        <v>27088</v>
      </c>
      <c r="C13058" s="1">
        <v>1</v>
      </c>
      <c r="D13058" s="1" t="str">
        <f>"11551"</f>
        <v>11551</v>
      </c>
      <c r="E13058" s="1" t="s">
        <v>889</v>
      </c>
      <c r="F13058" s="1">
        <v>24</v>
      </c>
      <c r="G13058" s="1">
        <v>10</v>
      </c>
      <c r="H13058" s="1">
        <v>0</v>
      </c>
      <c r="I13058" s="1" t="s">
        <v>27081</v>
      </c>
      <c r="K13058" s="1" t="str">
        <f t="shared" si="822"/>
        <v>ㄨ</v>
      </c>
      <c r="L13058" s="1" t="str">
        <f t="shared" si="823"/>
        <v>ㄥ</v>
      </c>
      <c r="N13058" s="3" t="s">
        <v>30574</v>
      </c>
      <c r="O13058" s="3"/>
      <c r="P13058" s="1" t="s">
        <v>20</v>
      </c>
      <c r="R13058" s="1" t="s">
        <v>27082</v>
      </c>
      <c r="V13058" s="1" t="s">
        <v>27089</v>
      </c>
      <c r="AR13058" s="1" t="str">
        <f t="shared" si="821"/>
        <v>| [ㄨㄥˋ](ㄨㄥˋ.md) | [齆](齆.md) |  | wèng | [名]
一種鼻道阻塞的疾病。《玉篇．鼻部》：「齆，鼻病也。」 |</v>
      </c>
    </row>
    <row r="13059" spans="1:44" hidden="1">
      <c r="A13059" s="1" t="s">
        <v>27070</v>
      </c>
      <c r="C13059" s="1">
        <v>1</v>
      </c>
      <c r="D13059" s="1" t="str">
        <f>"11544"</f>
        <v>11544</v>
      </c>
      <c r="E13059" s="1" t="s">
        <v>129</v>
      </c>
      <c r="F13059" s="1">
        <v>13</v>
      </c>
      <c r="G13059" s="1">
        <v>10</v>
      </c>
      <c r="H13059" s="1">
        <v>0</v>
      </c>
      <c r="I13059" s="1" t="s">
        <v>27071</v>
      </c>
      <c r="K13059" s="1" t="str">
        <f t="shared" si="822"/>
        <v>ㄨ</v>
      </c>
      <c r="L13059" s="1" t="str">
        <f t="shared" si="823"/>
        <v>ㄥ</v>
      </c>
      <c r="N13059" s="3" t="s">
        <v>30576</v>
      </c>
      <c r="O13059" s="3"/>
      <c r="P13059" s="1" t="s">
        <v>20</v>
      </c>
      <c r="R13059" s="1" t="s">
        <v>27072</v>
      </c>
      <c r="V13059" s="1" t="s">
        <v>27073</v>
      </c>
      <c r="AR13059" s="1" t="str">
        <f t="shared" ref="AR13059:AR13122" si="824">"| ["&amp;I13059&amp;"]("&amp;I13059&amp;".md) | ["&amp;A13059&amp;"]("&amp;A13059&amp;".md) | "&amp;" | "&amp;R13059&amp;" | "&amp;V13059&amp;" |"</f>
        <v>| [ㄨㄥˇ](ㄨㄥˇ.md) | [滃](滃.md) |  | wěng | [副]
1.雲氣湧起的樣子。《說文解字．水部》：「滃，雲氣起也。」漢．賈誼〈旱雲賦〉：「遙望白雲之蓬勃兮，滃澹澹而妄止。」
2.大水湧動的樣子。《廣韻．上聲．董韻》：「滃，大水貌。」宋．歐陽修〈豐樂亭記〉：「中有清泉，滃然而仰出。俯仰左右，顧而樂之。」 |</v>
      </c>
    </row>
    <row r="13060" spans="1:44" hidden="1">
      <c r="A13060" s="1" t="s">
        <v>27074</v>
      </c>
      <c r="C13060" s="1">
        <v>1</v>
      </c>
      <c r="D13060" s="1" t="str">
        <f>"11545"</f>
        <v>11545</v>
      </c>
      <c r="E13060" s="1" t="s">
        <v>132</v>
      </c>
      <c r="F13060" s="1">
        <v>13</v>
      </c>
      <c r="G13060" s="1">
        <v>10</v>
      </c>
      <c r="H13060" s="1">
        <v>0</v>
      </c>
      <c r="I13060" s="1" t="s">
        <v>27071</v>
      </c>
      <c r="K13060" s="1" t="str">
        <f t="shared" si="822"/>
        <v>ㄨ</v>
      </c>
      <c r="L13060" s="1" t="str">
        <f t="shared" si="823"/>
        <v>ㄥ</v>
      </c>
      <c r="N13060" s="3" t="s">
        <v>30576</v>
      </c>
      <c r="O13060" s="3"/>
      <c r="P13060" s="1" t="s">
        <v>20</v>
      </c>
      <c r="R13060" s="1" t="s">
        <v>27072</v>
      </c>
      <c r="V13060" s="1" t="s">
        <v>27075</v>
      </c>
      <c r="AR13060" s="1" t="str">
        <f t="shared" si="824"/>
        <v>| [ㄨㄥˇ](ㄨㄥˇ.md) | [塕](塕.md) |  | wěng | [名]
塵土。《玉篇．土部》：「塕，塵也。」
[副]
風起塵土飛揚的樣子。《文選．宋玉．風賦》：「夫庶人之風，塕然起於窮巷之閒。」 |</v>
      </c>
    </row>
    <row r="13061" spans="1:44" hidden="1">
      <c r="A13061" s="1" t="s">
        <v>27076</v>
      </c>
      <c r="C13061" s="1">
        <v>1</v>
      </c>
      <c r="D13061" s="1" t="str">
        <f>"11546"</f>
        <v>11546</v>
      </c>
      <c r="E13061" s="1" t="s">
        <v>37</v>
      </c>
      <c r="F13061" s="1">
        <v>14</v>
      </c>
      <c r="G13061" s="1">
        <v>10</v>
      </c>
      <c r="H13061" s="1">
        <v>0</v>
      </c>
      <c r="I13061" s="1" t="s">
        <v>27071</v>
      </c>
      <c r="K13061" s="1" t="str">
        <f t="shared" si="822"/>
        <v>ㄨ</v>
      </c>
      <c r="L13061" s="1" t="str">
        <f t="shared" si="823"/>
        <v>ㄥ</v>
      </c>
      <c r="N13061" s="3" t="s">
        <v>30576</v>
      </c>
      <c r="O13061" s="3"/>
      <c r="P13061" s="1" t="s">
        <v>20</v>
      </c>
      <c r="R13061" s="1" t="s">
        <v>27072</v>
      </c>
      <c r="V13061" s="1" t="s">
        <v>27077</v>
      </c>
      <c r="AR13061" s="1" t="str">
        <f t="shared" si="824"/>
        <v>| [ㄨㄥˇ](ㄨㄥˇ.md) | [蓊](蓊.md) |  | wěng | [形]
參見「蓊蓊」、「蓊勃」等條。 |</v>
      </c>
    </row>
    <row r="13062" spans="1:44" hidden="1">
      <c r="A13062" s="1" t="s">
        <v>27078</v>
      </c>
      <c r="C13062" s="1">
        <v>1</v>
      </c>
      <c r="D13062" s="1" t="str">
        <f>"11547"</f>
        <v>11547</v>
      </c>
      <c r="E13062" s="1" t="s">
        <v>646</v>
      </c>
      <c r="F13062" s="1">
        <v>14</v>
      </c>
      <c r="G13062" s="1">
        <v>10</v>
      </c>
      <c r="H13062" s="1">
        <v>0</v>
      </c>
      <c r="I13062" s="1" t="s">
        <v>27071</v>
      </c>
      <c r="K13062" s="1" t="str">
        <f t="shared" si="822"/>
        <v>ㄨ</v>
      </c>
      <c r="L13062" s="1" t="str">
        <f t="shared" si="823"/>
        <v>ㄥ</v>
      </c>
      <c r="N13062" s="3" t="s">
        <v>30576</v>
      </c>
      <c r="O13062" s="3"/>
      <c r="P13062" s="1" t="s">
        <v>20</v>
      </c>
      <c r="R13062" s="1" t="s">
        <v>27072</v>
      </c>
      <c r="V13062" s="1" t="s">
        <v>27079</v>
      </c>
      <c r="AR13062" s="1" t="str">
        <f t="shared" si="824"/>
        <v>| [ㄨㄥˇ](ㄨㄥˇ.md) | [暡](暡.md) |  | wěng | [形]
暡曚：天氣陰暗不明的樣子。《玉篇．日部》：「暡，暡曚，天氣不明也。」 |</v>
      </c>
    </row>
    <row r="13063" spans="1:44" hidden="1">
      <c r="A13063" s="1" t="s">
        <v>26347</v>
      </c>
      <c r="C13063" s="1">
        <v>1</v>
      </c>
      <c r="D13063" s="1" t="str">
        <f>"11552"</f>
        <v>11552</v>
      </c>
      <c r="E13063" s="1" t="s">
        <v>129</v>
      </c>
      <c r="F13063" s="1">
        <v>6</v>
      </c>
      <c r="G13063" s="1">
        <v>3</v>
      </c>
      <c r="H13063" s="1">
        <v>3</v>
      </c>
      <c r="I13063" s="1" t="s">
        <v>27090</v>
      </c>
      <c r="K13063" s="1" t="str">
        <f t="shared" si="822"/>
        <v>ㄩ</v>
      </c>
      <c r="L13063" s="1" t="str">
        <f t="shared" si="823"/>
        <v/>
      </c>
      <c r="M13063" s="1" t="str">
        <f t="shared" ref="M13063:M13126" si="825">MID(I13063, 3, 1)</f>
        <v/>
      </c>
      <c r="P13063" s="1" t="s">
        <v>20</v>
      </c>
      <c r="R13063" s="1" t="s">
        <v>27091</v>
      </c>
      <c r="V13063" s="1" t="s">
        <v>27092</v>
      </c>
      <c r="W13063" s="1" t="s">
        <v>27093</v>
      </c>
      <c r="AR13063" s="1" t="str">
        <f t="shared" si="824"/>
        <v>| [ㄩ](ㄩ.md) | [汙](汙.md) |  | yū | [形]
彎曲不正的。通「紆」。《左傳．成公十四年》：「春秋之稱，微而顯，志而晦，婉而成章，盡而不汙。」《漢書．卷五一．鄒陽傳》：「回面汙行，以事諂諛之人。」 |</v>
      </c>
    </row>
    <row r="13064" spans="1:44" hidden="1">
      <c r="A13064" s="1" t="s">
        <v>27094</v>
      </c>
      <c r="C13064" s="1">
        <v>1</v>
      </c>
      <c r="D13064" s="1" t="str">
        <f>"11553"</f>
        <v>11553</v>
      </c>
      <c r="E13064" s="1" t="s">
        <v>558</v>
      </c>
      <c r="F13064" s="1">
        <v>7</v>
      </c>
      <c r="G13064" s="1">
        <v>3</v>
      </c>
      <c r="H13064" s="1">
        <v>0</v>
      </c>
      <c r="I13064" s="1" t="s">
        <v>27090</v>
      </c>
      <c r="K13064" s="1" t="str">
        <f t="shared" si="822"/>
        <v>ㄩ</v>
      </c>
      <c r="L13064" s="1" t="str">
        <f t="shared" si="823"/>
        <v/>
      </c>
      <c r="M13064" s="1" t="str">
        <f t="shared" si="825"/>
        <v/>
      </c>
      <c r="P13064" s="1" t="s">
        <v>20</v>
      </c>
      <c r="R13064" s="1" t="s">
        <v>27091</v>
      </c>
      <c r="V13064" s="1" t="s">
        <v>27095</v>
      </c>
      <c r="AR13064" s="1" t="str">
        <f t="shared" si="824"/>
        <v>| [ㄩ](ㄩ.md) | [迂](迂.md) |  | yū | [形]
1.曲折。如：「迂迴」。宋．王令〈餓者行〉：「雨雪不止泥路迂，馬倒伏地人下扶。」
2.言行誇誕、不切實際。如：「迂腐」、「迂闊」。《國語．周語下》：「郤犫見，其語迂。」
[動]
繞道。明．徐弘祖《徐霞客遊記．卷一〇上．滇遊日記十二》：「騎夫以家在蕎甸，故強余迂此。」 |</v>
      </c>
    </row>
    <row r="13065" spans="1:44" hidden="1">
      <c r="A13065" s="1" t="s">
        <v>27096</v>
      </c>
      <c r="C13065" s="1">
        <v>1</v>
      </c>
      <c r="D13065" s="1" t="str">
        <f>"11554"</f>
        <v>11554</v>
      </c>
      <c r="E13065" s="1" t="s">
        <v>725</v>
      </c>
      <c r="F13065" s="1">
        <v>9</v>
      </c>
      <c r="G13065" s="1">
        <v>3</v>
      </c>
      <c r="H13065" s="1">
        <v>0</v>
      </c>
      <c r="I13065" s="1" t="s">
        <v>27090</v>
      </c>
      <c r="K13065" s="1" t="str">
        <f t="shared" si="822"/>
        <v>ㄩ</v>
      </c>
      <c r="L13065" s="1" t="str">
        <f t="shared" si="823"/>
        <v/>
      </c>
      <c r="M13065" s="1" t="str">
        <f t="shared" si="825"/>
        <v/>
      </c>
      <c r="P13065" s="1" t="s">
        <v>20</v>
      </c>
      <c r="R13065" s="1" t="s">
        <v>27091</v>
      </c>
      <c r="V13065" s="1" t="s">
        <v>27097</v>
      </c>
      <c r="AR13065" s="1" t="str">
        <f t="shared" si="824"/>
        <v>| [ㄩ](ㄩ.md) | [紆](紆.md) |  | yū | [形]
1.曲折。《說文解字．糸部》：「紆，詘也。」元．周伯琦〈野狐嶺〉詩：「澗谷深叵測，梯磴紆百盤。」
2.鬱結煩悶。《楚辭．劉向．九歎．憂苦》：「願假簧以舒憂兮，志紆鬱其難釋。」《文選．曹植．贈白馬王彪詩》：「玄黃猶能進，我思鬱以紆。」
[動]
1.圍繞、纏繞。《文選．陶淵明．始作鎮軍參軍經曲阿作詩》：「眇眇孤舟遊，綿綿歸思紆。」
2.繫戴、佩帶。《文選．揚雄．解嘲》：「紆青拖紫，朱丹其轂。」《文選．張衡．東京賦》：「冠通天，佩玉璽，紆皇組，要干將。」 |</v>
      </c>
    </row>
    <row r="13066" spans="1:44" hidden="1">
      <c r="A13066" s="1" t="s">
        <v>27098</v>
      </c>
      <c r="C13066" s="1">
        <v>1</v>
      </c>
      <c r="D13066" s="1" t="str">
        <f>"11555"</f>
        <v>11555</v>
      </c>
      <c r="E13066" s="1" t="s">
        <v>129</v>
      </c>
      <c r="F13066" s="1">
        <v>11</v>
      </c>
      <c r="G13066" s="1">
        <v>8</v>
      </c>
      <c r="H13066" s="1">
        <v>0</v>
      </c>
      <c r="I13066" s="1" t="s">
        <v>27090</v>
      </c>
      <c r="K13066" s="1" t="str">
        <f t="shared" si="822"/>
        <v>ㄩ</v>
      </c>
      <c r="L13066" s="1" t="str">
        <f t="shared" si="823"/>
        <v/>
      </c>
      <c r="M13066" s="1" t="str">
        <f t="shared" si="825"/>
        <v/>
      </c>
      <c r="P13066" s="1" t="s">
        <v>20</v>
      </c>
      <c r="R13066" s="1" t="s">
        <v>27091</v>
      </c>
      <c r="V13066" s="1" t="s">
        <v>27099</v>
      </c>
      <c r="AR13066" s="1" t="str">
        <f t="shared" si="824"/>
        <v>| [ㄩ](ㄩ.md) | [淤](淤.md) |  | yū | [名]
水中沉積的泥沙。《說文解字．水部》：「淤，澱滓濁泥。」《漢書．卷二九．溝洫志》：「春夏乾燥，少水時也，故使河流遲，貯淤而稍淺。」
[動]
沉積、阻塞。如：「淤積」。宋．沈括《夢溪筆談．卷二四．雜誌一》：「予出使至宿州，得一石碑，乃唐人鑿六陡門，發汴水以淤下澤，民獲其利，刻石以頌刺史之功。」
[形]
積滯不暢通的。如：「淤泥」。 |</v>
      </c>
    </row>
    <row r="13067" spans="1:44" hidden="1">
      <c r="A13067" s="1" t="s">
        <v>27100</v>
      </c>
      <c r="C13067" s="1">
        <v>1</v>
      </c>
      <c r="D13067" s="1" t="str">
        <f>"11556"</f>
        <v>11556</v>
      </c>
      <c r="E13067" s="1" t="s">
        <v>40</v>
      </c>
      <c r="F13067" s="1">
        <v>13</v>
      </c>
      <c r="G13067" s="1">
        <v>8</v>
      </c>
      <c r="H13067" s="1">
        <v>0</v>
      </c>
      <c r="I13067" s="1" t="s">
        <v>27090</v>
      </c>
      <c r="K13067" s="1" t="str">
        <f t="shared" si="822"/>
        <v>ㄩ</v>
      </c>
      <c r="L13067" s="1" t="str">
        <f t="shared" si="823"/>
        <v/>
      </c>
      <c r="M13067" s="1" t="str">
        <f t="shared" si="825"/>
        <v/>
      </c>
      <c r="P13067" s="1" t="s">
        <v>20</v>
      </c>
      <c r="R13067" s="1" t="s">
        <v>27091</v>
      </c>
      <c r="V13067" s="1" t="s">
        <v>27101</v>
      </c>
      <c r="AR13067" s="1" t="str">
        <f t="shared" si="824"/>
        <v>| [ㄩ](ㄩ.md) | [瘀](瘀.md) |  | yū | 參見「瘀血」條。 |</v>
      </c>
    </row>
    <row r="13068" spans="1:44" hidden="1">
      <c r="A13068" s="1" t="s">
        <v>27443</v>
      </c>
      <c r="C13068" s="1">
        <v>1</v>
      </c>
      <c r="D13068" s="1" t="str">
        <f>"11725"</f>
        <v>11725</v>
      </c>
      <c r="E13068" s="1" t="s">
        <v>6488</v>
      </c>
      <c r="F13068" s="1">
        <v>4</v>
      </c>
      <c r="G13068" s="1">
        <v>0</v>
      </c>
      <c r="H13068" s="1">
        <v>0</v>
      </c>
      <c r="I13068" s="1" t="s">
        <v>27444</v>
      </c>
      <c r="K13068" s="1" t="str">
        <f t="shared" si="822"/>
        <v>ㄩ</v>
      </c>
      <c r="L13068" s="1" t="str">
        <f t="shared" si="823"/>
        <v>ㄝ</v>
      </c>
      <c r="M13068" s="1" t="str">
        <f t="shared" si="825"/>
        <v/>
      </c>
      <c r="P13068" s="1" t="s">
        <v>20</v>
      </c>
      <c r="R13068" s="1" t="s">
        <v>27445</v>
      </c>
      <c r="V13068" s="1" t="s">
        <v>27446</v>
      </c>
      <c r="AR13068" s="1" t="str">
        <f t="shared" si="824"/>
        <v>| [ㄩㄝ](ㄩㄝ.md) | [曰](曰.md) |  | yuē | [動]
1.說。用於文言文。《論語．學而》：「子曰：『學而時習之，不亦說乎？』」《孟子．梁惠王下》：「國人皆曰可殺，然後察之。」
2.稱為、叫做。用於文言文。《書經．洪範》：「五行：一曰水，二曰火，三曰木，四曰金，五曰土。」《爾雅．釋水》：「水中可居者曰洲，小洲曰渚。」
[助]
用於句首或句中，無義。《詩經．豳風．東山》：「我東曰歸，我心西悲。」《文選．張衡．東京賦》：「曰止曰時，昭明有融。」
[名]
二一四部首之一。 |</v>
      </c>
    </row>
    <row r="13069" spans="1:44" hidden="1">
      <c r="A13069" s="1" t="s">
        <v>27447</v>
      </c>
      <c r="C13069" s="1">
        <v>1</v>
      </c>
      <c r="D13069" s="1" t="str">
        <f>"11726"</f>
        <v>11726</v>
      </c>
      <c r="E13069" s="1" t="s">
        <v>725</v>
      </c>
      <c r="F13069" s="1">
        <v>9</v>
      </c>
      <c r="G13069" s="1">
        <v>3</v>
      </c>
      <c r="H13069" s="1">
        <v>0</v>
      </c>
      <c r="I13069" s="1" t="s">
        <v>27444</v>
      </c>
      <c r="K13069" s="1" t="str">
        <f t="shared" si="822"/>
        <v>ㄩ</v>
      </c>
      <c r="L13069" s="1" t="str">
        <f t="shared" si="823"/>
        <v>ㄝ</v>
      </c>
      <c r="M13069" s="1" t="str">
        <f t="shared" si="825"/>
        <v/>
      </c>
      <c r="P13069" s="1" t="s">
        <v>20</v>
      </c>
      <c r="R13069" s="1" t="s">
        <v>27445</v>
      </c>
      <c r="V13069" s="1" t="s">
        <v>27448</v>
      </c>
      <c r="AR13069" s="1" t="str">
        <f t="shared" si="824"/>
        <v>| [ㄩㄝ](ㄩㄝ.md) | [約](約.md) |  | yuē | [動]_x000D_
1.纏束、束縛。三國魏．曹植〈美女篇〉：「攘袖見素手，皓腕約金環。」唐．李商隱〈又效江南曲〉：「掃黛開宮額，裁裙約楚腰。」_x000D_
2.限制、管束。《論語．子罕》：「博我以文，約我以禮。」《三國演義》第六七回：「主公可約馬退後，在放馬向前，跳過橋去。」_x000D_
3.協議、預先說定。《史記．卷七．項羽本紀》：「項王乃與漢約，中分天下。」_x000D_
4.定期相會。如：「約會」。宋．歐陽修〈生查子．去年元夜時〉詞：「月到柳梢頭，人約黃昏後。」_x000D_
5.邀請。宋．陸游〈謝池春．七十衰翁〉詞：「玉壺春酒，約群仙同醉。」《儒林外史》第二回：「新年正月初八日，集上人約齊了，都到庵裡來議鬧龍燈之事。」_x000D_
6.省略。《史記．卷一四．十二諸侯年表》：「約其辭文，去其煩重。」《漢書．卷四．文帝紀》：「漢興，除秦煩苛，約法令。」_x000D_
7.掠過。唐．韓愈〈獨釣〉詩四首之三：「露排四岸草，風約半池萍。」_x000D_
8.數學上指約分。如：「10/20可以約成1/2。」_x000D_
[形]_x000D_
1.儉省。《論語．里仁》：「以約失之者，鮮矣。」《新唐書．卷八五．列傳．竇建德》：「建德性約素，不喜肉食。」_x000D_
2.簡要、精練。《禮記．學記》：「其言也，約而達。」《史記．卷八四．屈原賈生列傳．屈原》：「其文約，其辭微，其志絜，其行廉。」_x000D_
3.窮困。《楚辭．宋玉．九辯》：「離芳藹之方壯兮，余萎約而悲愁。」《南史．卷五五．列傳．吉士瞻》：「在郡清約，家無私積。」_x000D_
4.柔弱、美好。如：「婉約」、「風姿綽約」。唐．鄭壁〈和襲美傷顧道士〉詩：「空留華表千年約，纔畢丹爐九轉功。」_x000D_
5.隱微不明顯。如：「隱約」。唐．王孝通〈上緝古算經表〉：「其理幽而微，其形祕而約。」_x000D_
[副]_x000D_
大略、大概。如：「約計」、「約略」。《三國志．卷二九．魏書．方技傳．華佗》：「疾者前入坐，見佗北壁縣此虵輩約以十數。」宋．許棐〈鷓鴣天．翠鳳金鸞繡欲成〉詞：「歸來玉醉花柔困，月濾窗紗約半更。」_x000D_
[名]_x000D_
預先說定共同遵守之事。如：「合約」、「毀約」、「條約」。《史記．卷八一．廉頗藺相如列傳》：「相如度秦王雖齋，決負約不償城。」 |</v>
      </c>
    </row>
    <row r="13070" spans="1:44" hidden="1">
      <c r="A13070" s="1" t="s">
        <v>12480</v>
      </c>
      <c r="C13070" s="1">
        <v>1</v>
      </c>
      <c r="D13070" s="1" t="str">
        <f>"11727"</f>
        <v>11727</v>
      </c>
      <c r="E13070" s="1" t="s">
        <v>28</v>
      </c>
      <c r="F13070" s="1">
        <v>16</v>
      </c>
      <c r="G13070" s="1">
        <v>13</v>
      </c>
      <c r="H13070" s="1">
        <v>1</v>
      </c>
      <c r="I13070" s="1" t="s">
        <v>27444</v>
      </c>
      <c r="K13070" s="1" t="str">
        <f t="shared" ref="K13070:K13133" si="826">LEFT(I13070, 1)</f>
        <v>ㄩ</v>
      </c>
      <c r="L13070" s="1" t="str">
        <f t="shared" ref="L13070:L13109" si="827">MID(I13070, 2, 1)</f>
        <v>ㄝ</v>
      </c>
      <c r="M13070" s="1" t="str">
        <f t="shared" si="825"/>
        <v/>
      </c>
      <c r="P13070" s="1" t="s">
        <v>20</v>
      </c>
      <c r="R13070" s="1" t="s">
        <v>27445</v>
      </c>
      <c r="V13070" s="1" t="s">
        <v>27449</v>
      </c>
      <c r="W13070" s="1" t="s">
        <v>27450</v>
      </c>
      <c r="AR13070" s="1" t="str">
        <f t="shared" si="824"/>
        <v>| [ㄩㄝ](ㄩㄝ.md) | [噦](噦.md) |  | yuē | [動]
1.因胃氣不順而打嗝。《說文解字．口部》：「噦，氣啎也。」《黃帝素問靈樞經．卷六．脹論》：「脾脹者善噦，四肢煩悗，體重不能勝衣，臥不安。」
2.乾嘔，嘔吐時只有聲音而沒有吐出東西。明．張自烈《正字通．口部》：「方書：有物無聲曰吐，有聲無物曰噦，有物有聲曰嘔。」明．劉基《郁離子．牧豭》：「客踸不能立，俯而噦，伏而不敢仰視。」 |</v>
      </c>
    </row>
    <row r="13071" spans="1:44" hidden="1">
      <c r="A13071" s="1" t="s">
        <v>26886</v>
      </c>
      <c r="C13071" s="1">
        <v>1</v>
      </c>
      <c r="D13071" s="1" t="str">
        <f>"11758"</f>
        <v>11758</v>
      </c>
      <c r="E13071" s="1" t="s">
        <v>624</v>
      </c>
      <c r="F13071" s="1">
        <v>8</v>
      </c>
      <c r="G13071" s="1">
        <v>5</v>
      </c>
      <c r="H13071" s="1">
        <v>2</v>
      </c>
      <c r="I13071" s="1" t="s">
        <v>27509</v>
      </c>
      <c r="K13071" s="1" t="str">
        <f t="shared" si="826"/>
        <v>ㄩ</v>
      </c>
      <c r="L13071" s="1" t="str">
        <f t="shared" si="827"/>
        <v>ㄢ</v>
      </c>
      <c r="M13071" s="1" t="str">
        <f t="shared" si="825"/>
        <v/>
      </c>
      <c r="P13071" s="1" t="s">
        <v>20</v>
      </c>
      <c r="R13071" s="1" t="s">
        <v>27510</v>
      </c>
      <c r="V13071" s="1" t="s">
        <v>27511</v>
      </c>
      <c r="W13071" s="1" t="s">
        <v>27512</v>
      </c>
      <c r="AR13071" s="1" t="str">
        <f t="shared" si="824"/>
        <v>| [ㄩㄢ](ㄩㄢ.md) | [宛](宛.md) |  | yuān | 參見「大宛」條。 |</v>
      </c>
    </row>
    <row r="13072" spans="1:44" hidden="1">
      <c r="A13072" s="1" t="s">
        <v>27513</v>
      </c>
      <c r="C13072" s="1">
        <v>1</v>
      </c>
      <c r="D13072" s="1" t="str">
        <f>"11759"</f>
        <v>11759</v>
      </c>
      <c r="E13072" s="1" t="s">
        <v>250</v>
      </c>
      <c r="F13072" s="1">
        <v>9</v>
      </c>
      <c r="G13072" s="1">
        <v>5</v>
      </c>
      <c r="H13072" s="1">
        <v>2</v>
      </c>
      <c r="I13072" s="1" t="s">
        <v>27509</v>
      </c>
      <c r="K13072" s="1" t="str">
        <f t="shared" si="826"/>
        <v>ㄩ</v>
      </c>
      <c r="L13072" s="1" t="str">
        <f t="shared" si="827"/>
        <v>ㄢ</v>
      </c>
      <c r="M13072" s="1" t="str">
        <f t="shared" si="825"/>
        <v/>
      </c>
      <c r="P13072" s="1" t="s">
        <v>110</v>
      </c>
      <c r="R13072" s="1" t="s">
        <v>27510</v>
      </c>
      <c r="V13072" s="1" t="s">
        <v>111</v>
      </c>
      <c r="W13072" s="1" t="s">
        <v>27514</v>
      </c>
      <c r="AR13072" s="1" t="str">
        <f t="shared" si="824"/>
        <v>| [ㄩㄢ](ㄩㄢ.md) | [怨](怨.md) |  | yuān | (一)之又音。 |</v>
      </c>
    </row>
    <row r="13073" spans="1:44" hidden="1">
      <c r="A13073" s="1" t="s">
        <v>27515</v>
      </c>
      <c r="C13073" s="1">
        <v>1</v>
      </c>
      <c r="D13073" s="1" t="str">
        <f>"11760"</f>
        <v>11760</v>
      </c>
      <c r="E13073" s="1" t="s">
        <v>1015</v>
      </c>
      <c r="F13073" s="1">
        <v>10</v>
      </c>
      <c r="G13073" s="1">
        <v>5</v>
      </c>
      <c r="H13073" s="1">
        <v>0</v>
      </c>
      <c r="I13073" s="1" t="s">
        <v>27509</v>
      </c>
      <c r="K13073" s="1" t="str">
        <f t="shared" si="826"/>
        <v>ㄩ</v>
      </c>
      <c r="L13073" s="1" t="str">
        <f t="shared" si="827"/>
        <v>ㄢ</v>
      </c>
      <c r="M13073" s="1" t="str">
        <f t="shared" si="825"/>
        <v/>
      </c>
      <c r="P13073" s="1" t="s">
        <v>20</v>
      </c>
      <c r="R13073" s="1" t="s">
        <v>27510</v>
      </c>
      <c r="V13073" s="1" t="s">
        <v>27516</v>
      </c>
      <c r="AR13073" s="1" t="str">
        <f t="shared" si="824"/>
        <v>| [ㄩㄢ](ㄩㄢ.md) | [眢](眢.md) |  | yuān | [形]
1.眼睛枯陷不明。《說文解字．目部》：「眢，目無明也。」
2.乾枯無水的。《左傳．宣公十二年》：「目於眢井而拯之。」清．陸次雲〈費宮人傳〉：「費宮人目送其死而還，服主服，匿眢井中。」 |</v>
      </c>
    </row>
    <row r="13074" spans="1:44" hidden="1">
      <c r="A13074" s="1" t="s">
        <v>27517</v>
      </c>
      <c r="C13074" s="1">
        <v>1</v>
      </c>
      <c r="D13074" s="1" t="str">
        <f>"11761"</f>
        <v>11761</v>
      </c>
      <c r="E13074" s="1" t="s">
        <v>250</v>
      </c>
      <c r="F13074" s="1">
        <v>12</v>
      </c>
      <c r="G13074" s="1">
        <v>8</v>
      </c>
      <c r="H13074" s="1">
        <v>0</v>
      </c>
      <c r="I13074" s="1" t="s">
        <v>27509</v>
      </c>
      <c r="K13074" s="1" t="str">
        <f t="shared" si="826"/>
        <v>ㄩ</v>
      </c>
      <c r="L13074" s="1" t="str">
        <f t="shared" si="827"/>
        <v>ㄢ</v>
      </c>
      <c r="M13074" s="1" t="str">
        <f t="shared" si="825"/>
        <v/>
      </c>
      <c r="P13074" s="1" t="s">
        <v>20</v>
      </c>
      <c r="R13074" s="1" t="s">
        <v>27510</v>
      </c>
      <c r="V13074" s="1" t="s">
        <v>27518</v>
      </c>
      <c r="AR13074" s="1" t="str">
        <f t="shared" si="824"/>
        <v>| [ㄩㄢ](ㄩㄢ.md) | [惌](惌.md) |  | yuān | [名]
冤屈、委屈。同「冤」。《廣韻．平聲．元韻》：「惌，惌枉。」 |</v>
      </c>
    </row>
    <row r="13075" spans="1:44" hidden="1">
      <c r="A13075" s="1" t="s">
        <v>27519</v>
      </c>
      <c r="C13075" s="1">
        <v>1</v>
      </c>
      <c r="D13075" s="1" t="str">
        <f>"11762"</f>
        <v>11762</v>
      </c>
      <c r="E13075" s="1" t="s">
        <v>272</v>
      </c>
      <c r="F13075" s="1">
        <v>16</v>
      </c>
      <c r="G13075" s="1">
        <v>5</v>
      </c>
      <c r="H13075" s="1">
        <v>0</v>
      </c>
      <c r="I13075" s="1" t="s">
        <v>27509</v>
      </c>
      <c r="K13075" s="1" t="str">
        <f t="shared" si="826"/>
        <v>ㄩ</v>
      </c>
      <c r="L13075" s="1" t="str">
        <f t="shared" si="827"/>
        <v>ㄢ</v>
      </c>
      <c r="M13075" s="1" t="str">
        <f t="shared" si="825"/>
        <v/>
      </c>
      <c r="P13075" s="1" t="s">
        <v>20</v>
      </c>
      <c r="R13075" s="1" t="s">
        <v>27510</v>
      </c>
      <c r="V13075" s="1" t="s">
        <v>27520</v>
      </c>
      <c r="AR13075" s="1" t="str">
        <f t="shared" si="824"/>
        <v>| [ㄩㄢ](ㄩㄢ.md) | [鴛](鴛.md) |  | yuān | [名]
1.參見「鴛鴦」條。
2.一種鳳鳥。通「鵷」。《洛陽伽藍記．卷四．追先寺》：「鴛鸞接翼，杞梓成陰。」南北朝．范祥雍．注：「鴛與鵷通，鴛鸞皆鳳族。」 |</v>
      </c>
    </row>
    <row r="13076" spans="1:44" hidden="1">
      <c r="A13076" s="1" t="s">
        <v>27521</v>
      </c>
      <c r="C13076" s="1">
        <v>1</v>
      </c>
      <c r="D13076" s="1" t="str">
        <f>"11763"</f>
        <v>11763</v>
      </c>
      <c r="E13076" s="1" t="s">
        <v>272</v>
      </c>
      <c r="F13076" s="1">
        <v>19</v>
      </c>
      <c r="G13076" s="1">
        <v>8</v>
      </c>
      <c r="H13076" s="1">
        <v>0</v>
      </c>
      <c r="I13076" s="1" t="s">
        <v>27509</v>
      </c>
      <c r="K13076" s="1" t="str">
        <f t="shared" si="826"/>
        <v>ㄩ</v>
      </c>
      <c r="L13076" s="1" t="str">
        <f t="shared" si="827"/>
        <v>ㄢ</v>
      </c>
      <c r="M13076" s="1" t="str">
        <f t="shared" si="825"/>
        <v/>
      </c>
      <c r="P13076" s="1" t="s">
        <v>20</v>
      </c>
      <c r="R13076" s="1" t="s">
        <v>27510</v>
      </c>
      <c r="V13076" s="1" t="s">
        <v>27522</v>
      </c>
      <c r="AR13076" s="1" t="str">
        <f t="shared" si="824"/>
        <v>| [ㄩㄢ](ㄩㄢ.md) | [鵷](鵷.md) |  | yuān | 參見「鵷雛」條。 |</v>
      </c>
    </row>
    <row r="13077" spans="1:44" hidden="1">
      <c r="A13077" s="1" t="s">
        <v>27523</v>
      </c>
      <c r="C13077" s="1">
        <v>1</v>
      </c>
      <c r="D13077" s="1" t="str">
        <f>"11764"</f>
        <v>11764</v>
      </c>
      <c r="E13077" s="1" t="s">
        <v>3359</v>
      </c>
      <c r="F13077" s="1">
        <v>10</v>
      </c>
      <c r="G13077" s="1">
        <v>8</v>
      </c>
      <c r="H13077" s="1">
        <v>0</v>
      </c>
      <c r="I13077" s="1" t="s">
        <v>27509</v>
      </c>
      <c r="K13077" s="1" t="str">
        <f t="shared" si="826"/>
        <v>ㄩ</v>
      </c>
      <c r="L13077" s="1" t="str">
        <f t="shared" si="827"/>
        <v>ㄢ</v>
      </c>
      <c r="M13077" s="1" t="str">
        <f t="shared" si="825"/>
        <v/>
      </c>
      <c r="P13077" s="1" t="s">
        <v>20</v>
      </c>
      <c r="R13077" s="1" t="s">
        <v>27510</v>
      </c>
      <c r="V13077" s="1" t="s">
        <v>27524</v>
      </c>
      <c r="AR13077" s="1" t="str">
        <f t="shared" si="824"/>
        <v>| [ㄩㄢ](ㄩㄢ.md) | [冤](冤.md) |  | yuān | [形]
1.受到委屈的。如：「冤情」、「冤魂」。《史記．卷九二．淮陰侯傳》：「嗟乎，冤哉亨也！」
2.仇恨的、怨恨的。如：「冤家」。唐．李頻〈哭賈島〉詩：「恨聲流蜀魄，冤氣入湘雲。」
3.受騙、不划算。如：「花真錢，買假貨，太冤了。」
[名]
1.仇恨、怨恨。如：「結冤」、「冤冤相報」。唐．韓愈〈謝自然〉詩：「往者不可悔，孤魂抱深冤。」
2.委屈。如：「申冤」、「訴冤」。 |</v>
      </c>
    </row>
    <row r="13078" spans="1:44" hidden="1">
      <c r="A13078" s="1" t="s">
        <v>27525</v>
      </c>
      <c r="C13078" s="1">
        <v>1</v>
      </c>
      <c r="D13078" s="1" t="str">
        <f>"11765"</f>
        <v>11765</v>
      </c>
      <c r="E13078" s="1" t="s">
        <v>129</v>
      </c>
      <c r="F13078" s="1">
        <v>11</v>
      </c>
      <c r="G13078" s="1">
        <v>8</v>
      </c>
      <c r="H13078" s="1">
        <v>0</v>
      </c>
      <c r="I13078" s="1" t="s">
        <v>27509</v>
      </c>
      <c r="K13078" s="1" t="str">
        <f t="shared" si="826"/>
        <v>ㄩ</v>
      </c>
      <c r="L13078" s="1" t="str">
        <f t="shared" si="827"/>
        <v>ㄢ</v>
      </c>
      <c r="M13078" s="1" t="str">
        <f t="shared" si="825"/>
        <v/>
      </c>
      <c r="P13078" s="1" t="s">
        <v>20</v>
      </c>
      <c r="R13078" s="1" t="s">
        <v>27510</v>
      </c>
      <c r="V13078" s="1" t="s">
        <v>27526</v>
      </c>
      <c r="AR13078" s="1" t="str">
        <f t="shared" si="824"/>
        <v>| [ㄩㄢ](ㄩㄢ.md) | [淵](淵.md) |  | yuān | [名]
1.深水、深潭。如：「如臨深淵，如履薄冰。」《史記．卷八四．屈原賈生傳．太史公曰》：「適長沙，觀屈原所自沉淵，未嘗不垂涕，想見其為人。」
2.根源、本源。如：「淵源」。《新唐書．卷一四九．第五琦傳》：「今之急在兵，兵彊弱在賦，賦所出以江淮為淵。」
3.人或物聚集的地方。如：「罪惡之淵藪」。《後漢書．卷八〇．文苑傳上．杜篤傳》：「荒裔之地，不如保殖五穀之淵。」
4.姓。如春秋時齊國有淵秋。
[形]
深。如：「學問淵博」。明．徐弘祖《徐霞客遊記．卷三上．粵西遊日記一》：「其右有潭，淵黑一如獺子潭，而宏廣更過之，是名龍江。」 |</v>
      </c>
    </row>
    <row r="13079" spans="1:44" hidden="1">
      <c r="A13079" s="1" t="s">
        <v>27527</v>
      </c>
      <c r="C13079" s="1">
        <v>1</v>
      </c>
      <c r="D13079" s="1" t="str">
        <f>"11766"</f>
        <v>11766</v>
      </c>
      <c r="E13079" s="1" t="s">
        <v>679</v>
      </c>
      <c r="F13079" s="1">
        <v>13</v>
      </c>
      <c r="G13079" s="1">
        <v>7</v>
      </c>
      <c r="H13079" s="1">
        <v>0</v>
      </c>
      <c r="I13079" s="1" t="s">
        <v>27509</v>
      </c>
      <c r="K13079" s="1" t="str">
        <f t="shared" si="826"/>
        <v>ㄩ</v>
      </c>
      <c r="L13079" s="1" t="str">
        <f t="shared" si="827"/>
        <v>ㄢ</v>
      </c>
      <c r="M13079" s="1" t="str">
        <f t="shared" si="825"/>
        <v/>
      </c>
      <c r="P13079" s="1" t="s">
        <v>20</v>
      </c>
      <c r="R13079" s="1" t="s">
        <v>27510</v>
      </c>
      <c r="V13079" s="1" t="s">
        <v>27528</v>
      </c>
      <c r="AR13079" s="1" t="str">
        <f t="shared" si="824"/>
        <v>| [ㄩㄢ](ㄩㄢ.md) | [蜎](蜎.md) |  | yuān | [名]
1.蚊子的幼蟲。即孑孓。《爾雅．釋魚》：「蜎，蠉。」晉．郭璞．注：「井中小蛣蟩，赤蟲，一名孑孓。」
2.姓。如春秋時楚國有蜎淵。
[動]
彎曲。《字彙．虫部》：「蜎，撓也。」
[形]
參見「蜎蜎」條。 |</v>
      </c>
    </row>
    <row r="13080" spans="1:44" hidden="1">
      <c r="A13080" s="1" t="s">
        <v>27529</v>
      </c>
      <c r="C13080" s="1">
        <v>1</v>
      </c>
      <c r="D13080" s="1" t="str">
        <f>"11767"</f>
        <v>11767</v>
      </c>
      <c r="E13080" s="1" t="s">
        <v>272</v>
      </c>
      <c r="F13080" s="1">
        <v>14</v>
      </c>
      <c r="G13080" s="1">
        <v>3</v>
      </c>
      <c r="H13080" s="1">
        <v>0</v>
      </c>
      <c r="I13080" s="1" t="s">
        <v>27509</v>
      </c>
      <c r="K13080" s="1" t="str">
        <f t="shared" si="826"/>
        <v>ㄩ</v>
      </c>
      <c r="L13080" s="1" t="str">
        <f t="shared" si="827"/>
        <v>ㄢ</v>
      </c>
      <c r="M13080" s="1" t="str">
        <f t="shared" si="825"/>
        <v/>
      </c>
      <c r="P13080" s="1" t="s">
        <v>20</v>
      </c>
      <c r="R13080" s="1" t="s">
        <v>27510</v>
      </c>
      <c r="V13080" s="1" t="s">
        <v>27530</v>
      </c>
      <c r="AR13080" s="1" t="str">
        <f t="shared" si="824"/>
        <v>| [ㄩㄢ](ㄩㄢ.md) | [鳶](鳶.md) |  | yuān | [名]_x000D_
動物名。一種猛禽。嘴鉤曲，趾有鉤爪，強勁有力。全身呈褐色，尾形似魚尾。眼睛非常銳利，翼大擅長飛翔。捕食魚類、青蛙、鳥類等。俗稱為「老鷹」。 |</v>
      </c>
    </row>
    <row r="13081" spans="1:44" hidden="1">
      <c r="A13081" s="1" t="s">
        <v>27531</v>
      </c>
      <c r="C13081" s="1">
        <v>1</v>
      </c>
      <c r="D13081" s="1" t="str">
        <f>"11768"</f>
        <v>11768</v>
      </c>
      <c r="E13081" s="1" t="s">
        <v>534</v>
      </c>
      <c r="F13081" s="1">
        <v>19</v>
      </c>
      <c r="G13081" s="1">
        <v>16</v>
      </c>
      <c r="H13081" s="1">
        <v>0</v>
      </c>
      <c r="I13081" s="1" t="s">
        <v>27509</v>
      </c>
      <c r="K13081" s="1" t="str">
        <f t="shared" si="826"/>
        <v>ㄩ</v>
      </c>
      <c r="L13081" s="1" t="str">
        <f t="shared" si="827"/>
        <v>ㄢ</v>
      </c>
      <c r="M13081" s="1" t="str">
        <f t="shared" si="825"/>
        <v/>
      </c>
      <c r="P13081" s="1" t="s">
        <v>20</v>
      </c>
      <c r="R13081" s="1" t="s">
        <v>27510</v>
      </c>
      <c r="V13081" s="1" t="s">
        <v>27532</v>
      </c>
      <c r="AR13081" s="1" t="str">
        <f t="shared" si="824"/>
        <v>| [ㄩㄢ](ㄩㄢ.md) | [嬽](嬽.md) |  | yuān | [形]
柔和、美好。《說文解字．女部》：「嬽，好也。」《漢書．卷五七．司馬相如傳上》：「柔橈嬽嬽，嫵媚孅弱。」唐．顏師古．注：「嬽嬽，柔屈貌也。」 |</v>
      </c>
    </row>
    <row r="13082" spans="1:44" hidden="1">
      <c r="A13082" s="1" t="s">
        <v>6986</v>
      </c>
      <c r="C13082" s="1">
        <v>1</v>
      </c>
      <c r="D13082" s="1" t="str">
        <f>"11813"</f>
        <v>11813</v>
      </c>
      <c r="E13082" s="1" t="s">
        <v>129</v>
      </c>
      <c r="F13082" s="1">
        <v>10</v>
      </c>
      <c r="G13082" s="1">
        <v>7</v>
      </c>
      <c r="H13082" s="1">
        <v>3</v>
      </c>
      <c r="I13082" s="1" t="s">
        <v>27633</v>
      </c>
      <c r="K13082" s="1" t="str">
        <f t="shared" si="826"/>
        <v>ㄩ</v>
      </c>
      <c r="L13082" s="1" t="str">
        <f t="shared" si="827"/>
        <v>ㄣ</v>
      </c>
      <c r="M13082" s="1" t="str">
        <f t="shared" si="825"/>
        <v/>
      </c>
      <c r="P13082" s="1" t="s">
        <v>110</v>
      </c>
      <c r="R13082" s="1" t="s">
        <v>27634</v>
      </c>
      <c r="V13082" s="1" t="s">
        <v>1633</v>
      </c>
      <c r="W13082" s="1" t="s">
        <v>27635</v>
      </c>
      <c r="AR13082" s="1" t="str">
        <f t="shared" si="824"/>
        <v>| [ㄩㄣ](ㄩㄣ.md) | [涒](涒.md) |  | yūn | (二)之又音。 |</v>
      </c>
    </row>
    <row r="13083" spans="1:44" hidden="1">
      <c r="A13083" s="1" t="s">
        <v>26140</v>
      </c>
      <c r="C13083" s="1">
        <v>1</v>
      </c>
      <c r="D13083" s="1" t="str">
        <f>"11814"</f>
        <v>11814</v>
      </c>
      <c r="E13083" s="1" t="s">
        <v>646</v>
      </c>
      <c r="F13083" s="1">
        <v>13</v>
      </c>
      <c r="G13083" s="1">
        <v>9</v>
      </c>
      <c r="H13083" s="1">
        <v>1</v>
      </c>
      <c r="I13083" s="1" t="s">
        <v>27633</v>
      </c>
      <c r="K13083" s="1" t="str">
        <f t="shared" si="826"/>
        <v>ㄩ</v>
      </c>
      <c r="L13083" s="1" t="str">
        <f t="shared" si="827"/>
        <v>ㄣ</v>
      </c>
      <c r="M13083" s="1" t="str">
        <f t="shared" si="825"/>
        <v/>
      </c>
      <c r="P13083" s="1" t="s">
        <v>20</v>
      </c>
      <c r="R13083" s="1" t="s">
        <v>27634</v>
      </c>
      <c r="V13083" s="1" t="s">
        <v>27636</v>
      </c>
      <c r="W13083" s="1" t="s">
        <v>27637</v>
      </c>
      <c r="AR13083" s="1" t="str">
        <f t="shared" si="824"/>
        <v>| [ㄩㄣ](ㄩㄣ.md) | [暈](暈.md) |  | yūn | [動]
1.昏迷。如：「暈倒」、「暈厥」。
2.因外在環境而產生一種昏亂的感覺。如：「暈機」、「暈車」。
[形]
昏亂的。如：「頭暈眼花」。 |</v>
      </c>
    </row>
    <row r="13084" spans="1:44" hidden="1">
      <c r="A13084" s="1" t="s">
        <v>27638</v>
      </c>
      <c r="C13084" s="1">
        <v>1</v>
      </c>
      <c r="D13084" s="1" t="str">
        <f>"11815"</f>
        <v>11815</v>
      </c>
      <c r="E13084" s="1" t="s">
        <v>563</v>
      </c>
      <c r="F13084" s="1">
        <v>14</v>
      </c>
      <c r="G13084" s="1">
        <v>11</v>
      </c>
      <c r="H13084" s="1">
        <v>0</v>
      </c>
      <c r="I13084" s="1" t="s">
        <v>27633</v>
      </c>
      <c r="K13084" s="1" t="str">
        <f t="shared" si="826"/>
        <v>ㄩ</v>
      </c>
      <c r="L13084" s="1" t="str">
        <f t="shared" si="827"/>
        <v>ㄣ</v>
      </c>
      <c r="M13084" s="1" t="str">
        <f t="shared" si="825"/>
        <v/>
      </c>
      <c r="P13084" s="1" t="s">
        <v>20</v>
      </c>
      <c r="R13084" s="1" t="s">
        <v>27634</v>
      </c>
      <c r="V13084" s="1" t="s">
        <v>27639</v>
      </c>
      <c r="AR13084" s="1" t="str">
        <f t="shared" si="824"/>
        <v>| [ㄩㄣ](ㄩㄣ.md) | [奫](奫.md) |  | yūn | 參見「奫淪」條。 |</v>
      </c>
    </row>
    <row r="13085" spans="1:44" hidden="1">
      <c r="A13085" s="1" t="s">
        <v>27640</v>
      </c>
      <c r="C13085" s="1">
        <v>1</v>
      </c>
      <c r="D13085" s="1" t="str">
        <f>"11816"</f>
        <v>11816</v>
      </c>
      <c r="E13085" s="1" t="s">
        <v>37</v>
      </c>
      <c r="F13085" s="1">
        <v>14</v>
      </c>
      <c r="G13085" s="1">
        <v>10</v>
      </c>
      <c r="H13085" s="1">
        <v>0</v>
      </c>
      <c r="I13085" s="1" t="s">
        <v>27633</v>
      </c>
      <c r="K13085" s="1" t="str">
        <f t="shared" si="826"/>
        <v>ㄩ</v>
      </c>
      <c r="L13085" s="1" t="str">
        <f t="shared" si="827"/>
        <v>ㄣ</v>
      </c>
      <c r="M13085" s="1" t="str">
        <f t="shared" si="825"/>
        <v/>
      </c>
      <c r="P13085" s="1" t="s">
        <v>20</v>
      </c>
      <c r="R13085" s="1" t="s">
        <v>27634</v>
      </c>
      <c r="V13085" s="1" t="s">
        <v>27641</v>
      </c>
      <c r="AR13085" s="1" t="str">
        <f t="shared" si="824"/>
        <v>| [ㄩㄣ](ㄩㄣ.md) | [蒕](蒕.md) |  | yūn | [名]
千年蒕：植物名。百合科萬年青屬，多年生常綠草本。根莖粗壯，有多數鬚根。葉大，質厚有光澤。春日自葉心抽出總狀花序，花淡黃色或淡褐色。漿果球形，赤熟。園藝品種甚多，供觀賞用。也稱為「萬年青」。參見「萬年青」條。 |</v>
      </c>
    </row>
    <row r="13086" spans="1:44" hidden="1">
      <c r="A13086" s="1" t="s">
        <v>27642</v>
      </c>
      <c r="C13086" s="1">
        <v>1</v>
      </c>
      <c r="D13086" s="1" t="str">
        <f>"11817"</f>
        <v>11817</v>
      </c>
      <c r="E13086" s="1" t="s">
        <v>2228</v>
      </c>
      <c r="F13086" s="1">
        <v>14</v>
      </c>
      <c r="G13086" s="1">
        <v>10</v>
      </c>
      <c r="H13086" s="1">
        <v>0</v>
      </c>
      <c r="I13086" s="1" t="s">
        <v>27633</v>
      </c>
      <c r="K13086" s="1" t="str">
        <f t="shared" si="826"/>
        <v>ㄩ</v>
      </c>
      <c r="L13086" s="1" t="str">
        <f t="shared" si="827"/>
        <v>ㄣ</v>
      </c>
      <c r="M13086" s="1" t="str">
        <f t="shared" si="825"/>
        <v/>
      </c>
      <c r="P13086" s="1" t="s">
        <v>20</v>
      </c>
      <c r="R13086" s="1" t="s">
        <v>27634</v>
      </c>
      <c r="V13086" s="1" t="s">
        <v>26006</v>
      </c>
      <c r="AR13086" s="1" t="str">
        <f t="shared" si="824"/>
        <v>| [ㄩㄣ](ㄩㄣ.md) | [氳](氳.md) |  | yūn | 參見「氤氳」條。 |</v>
      </c>
    </row>
    <row r="13087" spans="1:44" hidden="1">
      <c r="A13087" s="1" t="s">
        <v>24509</v>
      </c>
      <c r="C13087" s="1">
        <v>1</v>
      </c>
      <c r="D13087" s="1" t="str">
        <f>"11818"</f>
        <v>11818</v>
      </c>
      <c r="E13087" s="1" t="s">
        <v>679</v>
      </c>
      <c r="F13087" s="1">
        <v>16</v>
      </c>
      <c r="G13087" s="1">
        <v>10</v>
      </c>
      <c r="H13087" s="1">
        <v>1</v>
      </c>
      <c r="I13087" s="1" t="s">
        <v>27633</v>
      </c>
      <c r="K13087" s="1" t="str">
        <f t="shared" si="826"/>
        <v>ㄩ</v>
      </c>
      <c r="L13087" s="1" t="str">
        <f t="shared" si="827"/>
        <v>ㄣ</v>
      </c>
      <c r="M13087" s="1" t="str">
        <f t="shared" si="825"/>
        <v/>
      </c>
      <c r="P13087" s="1" t="s">
        <v>20</v>
      </c>
      <c r="R13087" s="1" t="s">
        <v>27634</v>
      </c>
      <c r="V13087" s="1" t="s">
        <v>27643</v>
      </c>
      <c r="W13087" s="1" t="s">
        <v>27644</v>
      </c>
      <c r="AR13087" s="1" t="str">
        <f t="shared" si="824"/>
        <v>| [ㄩㄣ](ㄩㄣ.md) | [蝹](蝹.md) |  | yūn | [形]
蝹蝹：龍的樣貌。《廣韻．平聲．真韻》：「蝹，蝹蝹，龍貌。」《文選．張衡．西京賦》：「海鱗變而成龍，狀蜿蜿以蝹蝹。」李善注引薛綜曰：「蜿蜿、蝹蝹，龍形貌也。」 |</v>
      </c>
    </row>
    <row r="13088" spans="1:44" hidden="1">
      <c r="A13088" s="1" t="s">
        <v>27645</v>
      </c>
      <c r="C13088" s="1">
        <v>1</v>
      </c>
      <c r="D13088" s="1" t="str">
        <f>"11819"</f>
        <v>11819</v>
      </c>
      <c r="E13088" s="1" t="s">
        <v>725</v>
      </c>
      <c r="F13088" s="1">
        <v>16</v>
      </c>
      <c r="G13088" s="1">
        <v>10</v>
      </c>
      <c r="H13088" s="1">
        <v>2</v>
      </c>
      <c r="I13088" s="1" t="s">
        <v>27633</v>
      </c>
      <c r="K13088" s="1" t="str">
        <f t="shared" si="826"/>
        <v>ㄩ</v>
      </c>
      <c r="L13088" s="1" t="str">
        <f t="shared" si="827"/>
        <v>ㄣ</v>
      </c>
      <c r="M13088" s="1" t="str">
        <f t="shared" si="825"/>
        <v/>
      </c>
      <c r="P13088" s="1" t="s">
        <v>20</v>
      </c>
      <c r="R13088" s="1" t="s">
        <v>27634</v>
      </c>
      <c r="V13088" s="1" t="s">
        <v>27646</v>
      </c>
      <c r="W13088" s="1" t="s">
        <v>27647</v>
      </c>
      <c r="AR13088" s="1" t="str">
        <f t="shared" si="824"/>
        <v>| [ㄩㄣ](ㄩㄣ.md) | [縕](縕.md) |  | yūn | [名]
1.赤黃色。明．張自烈《正字通．糸部》：「縕，赤黃間色也。」
2.參見「絪縕」條。 |</v>
      </c>
    </row>
    <row r="13089" spans="1:44" hidden="1">
      <c r="A13089" s="1" t="s">
        <v>27648</v>
      </c>
      <c r="C13089" s="1">
        <v>1</v>
      </c>
      <c r="D13089" s="1" t="str">
        <f>"11820"</f>
        <v>11820</v>
      </c>
      <c r="E13089" s="1" t="s">
        <v>505</v>
      </c>
      <c r="F13089" s="1">
        <v>19</v>
      </c>
      <c r="G13089" s="1">
        <v>12</v>
      </c>
      <c r="H13089" s="1">
        <v>0</v>
      </c>
      <c r="I13089" s="1" t="s">
        <v>27633</v>
      </c>
      <c r="K13089" s="1" t="str">
        <f t="shared" si="826"/>
        <v>ㄩ</v>
      </c>
      <c r="L13089" s="1" t="str">
        <f t="shared" si="827"/>
        <v>ㄣ</v>
      </c>
      <c r="M13089" s="1" t="str">
        <f t="shared" si="825"/>
        <v/>
      </c>
      <c r="P13089" s="1" t="s">
        <v>20</v>
      </c>
      <c r="R13089" s="1" t="s">
        <v>27634</v>
      </c>
      <c r="V13089" s="1" t="s">
        <v>27649</v>
      </c>
      <c r="AR13089" s="1" t="str">
        <f t="shared" si="824"/>
        <v>| [ㄩㄣ](ㄩㄣ.md) | [贇](贇.md) |  | yūn | [形]
美好。《廣韻．平聲．真韻》：「贇，美好也。」 |</v>
      </c>
    </row>
    <row r="13090" spans="1:44" hidden="1">
      <c r="A13090" s="1" t="s">
        <v>27736</v>
      </c>
      <c r="C13090" s="1">
        <v>1</v>
      </c>
      <c r="D13090" s="1" t="str">
        <f>"11861"</f>
        <v>11861</v>
      </c>
      <c r="E13090" s="1" t="s">
        <v>256</v>
      </c>
      <c r="F13090" s="1">
        <v>10</v>
      </c>
      <c r="G13090" s="1">
        <v>3</v>
      </c>
      <c r="H13090" s="1">
        <v>0</v>
      </c>
      <c r="I13090" s="1" t="s">
        <v>27737</v>
      </c>
      <c r="K13090" s="1" t="str">
        <f t="shared" si="826"/>
        <v>ㄩ</v>
      </c>
      <c r="L13090" s="1" t="str">
        <f t="shared" si="827"/>
        <v>ㄥ</v>
      </c>
      <c r="M13090" s="1" t="str">
        <f t="shared" si="825"/>
        <v/>
      </c>
      <c r="P13090" s="1" t="s">
        <v>20</v>
      </c>
      <c r="R13090" s="1" t="s">
        <v>27738</v>
      </c>
      <c r="V13090" s="1" t="s">
        <v>27739</v>
      </c>
      <c r="AR13090" s="1" t="str">
        <f t="shared" si="824"/>
        <v>| [ㄩㄥ](ㄩㄥ.md) | [邕](邕.md) |  | yōng | [名]
周圍被水環繞的都城。《說文解字．巛部》：「邕，邑四方有水自邕成池者是也。」
[動]
堵塞。同「壅」。《集韻．上聲．腫韻》：「壅，堨塞也。或作邕。」《漢書．卷九九．王莽傳中》：「長平館西岸崩，邕涇水不流。」
[形]
和樂的。《漢書．卷五八．兒寬傳》：「上元甲子，肅邕永享。」唐．顏師古．注：「邕，和也。」《晉書．卷八八．孝友傳．桑虞傳》：「虞五世同居，閨門邕穆。」 |</v>
      </c>
    </row>
    <row r="13091" spans="1:44" hidden="1">
      <c r="A13091" s="1" t="s">
        <v>27740</v>
      </c>
      <c r="C13091" s="1">
        <v>1</v>
      </c>
      <c r="D13091" s="1" t="str">
        <f>"11862"</f>
        <v>11862</v>
      </c>
      <c r="E13091" s="1" t="s">
        <v>28</v>
      </c>
      <c r="F13091" s="1">
        <v>13</v>
      </c>
      <c r="G13091" s="1">
        <v>10</v>
      </c>
      <c r="H13091" s="1">
        <v>0</v>
      </c>
      <c r="I13091" s="1" t="s">
        <v>27737</v>
      </c>
      <c r="K13091" s="1" t="str">
        <f t="shared" si="826"/>
        <v>ㄩ</v>
      </c>
      <c r="L13091" s="1" t="str">
        <f t="shared" si="827"/>
        <v>ㄥ</v>
      </c>
      <c r="M13091" s="1" t="str">
        <f t="shared" si="825"/>
        <v/>
      </c>
      <c r="P13091" s="1" t="s">
        <v>20</v>
      </c>
      <c r="R13091" s="1" t="s">
        <v>27738</v>
      </c>
      <c r="V13091" s="1" t="s">
        <v>27741</v>
      </c>
      <c r="AR13091" s="1" t="str">
        <f t="shared" si="824"/>
        <v>| [ㄩㄥ](ㄩㄥ.md) | [嗈](嗈.md) |  | yōng | [擬]
嗈嗈：形容群鳥和鳴的聲音。《文選．孫綽．遊天台山賦》：「覿翔鸞之裔裔，聽鳴鳳之嗈嗈。」 |</v>
      </c>
    </row>
    <row r="13092" spans="1:44" hidden="1">
      <c r="A13092" s="1" t="s">
        <v>27742</v>
      </c>
      <c r="C13092" s="1">
        <v>1</v>
      </c>
      <c r="D13092" s="1" t="str">
        <f>"11863"</f>
        <v>11863</v>
      </c>
      <c r="E13092" s="1" t="s">
        <v>5383</v>
      </c>
      <c r="F13092" s="1">
        <v>18</v>
      </c>
      <c r="G13092" s="1">
        <v>10</v>
      </c>
      <c r="H13092" s="1">
        <v>0</v>
      </c>
      <c r="I13092" s="1" t="s">
        <v>27737</v>
      </c>
      <c r="K13092" s="1" t="str">
        <f t="shared" si="826"/>
        <v>ㄩ</v>
      </c>
      <c r="L13092" s="1" t="str">
        <f t="shared" si="827"/>
        <v>ㄥ</v>
      </c>
      <c r="M13092" s="1" t="str">
        <f t="shared" si="825"/>
        <v/>
      </c>
      <c r="P13092" s="1" t="s">
        <v>20</v>
      </c>
      <c r="R13092" s="1" t="s">
        <v>27738</v>
      </c>
      <c r="V13092" s="1" t="s">
        <v>27743</v>
      </c>
      <c r="AR13092" s="1" t="str">
        <f t="shared" si="824"/>
        <v>| [ㄩㄥ](ㄩㄥ.md) | [雝](雝.md) |  | yōng | [名]
《詩經．周頌》的篇名。共一章。根據〈詩序〉：「雝，禘大祖也。」指武王祭文王之詩。本章二句為：「有來雝雝，至止肅肅。」
[形]
和樂的。參見「雝雝」條。 |</v>
      </c>
    </row>
    <row r="13093" spans="1:44" hidden="1">
      <c r="A13093" s="1" t="s">
        <v>27744</v>
      </c>
      <c r="C13093" s="1">
        <v>1</v>
      </c>
      <c r="D13093" s="1" t="str">
        <f>"11864"</f>
        <v>11864</v>
      </c>
      <c r="E13093" s="1" t="s">
        <v>129</v>
      </c>
      <c r="F13093" s="1">
        <v>21</v>
      </c>
      <c r="G13093" s="1">
        <v>18</v>
      </c>
      <c r="H13093" s="1">
        <v>0</v>
      </c>
      <c r="I13093" s="1" t="s">
        <v>27737</v>
      </c>
      <c r="K13093" s="1" t="str">
        <f t="shared" si="826"/>
        <v>ㄩ</v>
      </c>
      <c r="L13093" s="1" t="str">
        <f t="shared" si="827"/>
        <v>ㄥ</v>
      </c>
      <c r="M13093" s="1" t="str">
        <f t="shared" si="825"/>
        <v/>
      </c>
      <c r="P13093" s="1" t="s">
        <v>20</v>
      </c>
      <c r="R13093" s="1" t="s">
        <v>27738</v>
      </c>
      <c r="V13093" s="1" t="s">
        <v>27745</v>
      </c>
      <c r="AR13093" s="1" t="str">
        <f t="shared" si="824"/>
        <v>| [ㄩㄥ](ㄩㄥ.md) | [灉](灉.md) |  | yōng | [名]
從主流分出又回流的水。《爾雅．釋水》：「灉，反入。」晉．郭璞．注：「即河水決出又還入者。河之有灉，猶江之有沱。」 |</v>
      </c>
    </row>
    <row r="13094" spans="1:44" hidden="1">
      <c r="A13094" s="1" t="s">
        <v>27746</v>
      </c>
      <c r="C13094" s="1">
        <v>1</v>
      </c>
      <c r="D13094" s="1" t="str">
        <f>"11865"</f>
        <v>11865</v>
      </c>
      <c r="E13094" s="1" t="s">
        <v>447</v>
      </c>
      <c r="F13094" s="1">
        <v>21</v>
      </c>
      <c r="G13094" s="1">
        <v>18</v>
      </c>
      <c r="H13094" s="1">
        <v>0</v>
      </c>
      <c r="I13094" s="1" t="s">
        <v>27737</v>
      </c>
      <c r="K13094" s="1" t="str">
        <f t="shared" si="826"/>
        <v>ㄩ</v>
      </c>
      <c r="L13094" s="1" t="str">
        <f t="shared" si="827"/>
        <v>ㄥ</v>
      </c>
      <c r="M13094" s="1" t="str">
        <f t="shared" si="825"/>
        <v/>
      </c>
      <c r="P13094" s="1" t="s">
        <v>20</v>
      </c>
      <c r="R13094" s="1" t="s">
        <v>27738</v>
      </c>
      <c r="V13094" s="1" t="s">
        <v>27747</v>
      </c>
      <c r="AR13094" s="1" t="str">
        <f t="shared" si="824"/>
        <v>| [ㄩㄥ](ㄩㄥ.md) | [廱](廱.md) |  | yōng | [形]
和諧。《玉篇．广部》：「廱，和也。」《禮記．王制》：「天子曰辟廱，諸侯曰頖宮。」漢．鄭玄．注：「廱，和也。」
[動]
阻塞。通「壅」。《漢書．卷二七．五行志下之上》：「成公五年『夏，梁山崩』。穀梁傳曰廱河三日不流。」《後漢書．卷八〇．文苑傳上．杜篤傳》：「置列汧、隴，廱偃西戎。」 |</v>
      </c>
    </row>
    <row r="13095" spans="1:44" hidden="1">
      <c r="A13095" s="1" t="s">
        <v>27748</v>
      </c>
      <c r="C13095" s="1">
        <v>1</v>
      </c>
      <c r="D13095" s="1" t="str">
        <f>"11866"</f>
        <v>11866</v>
      </c>
      <c r="E13095" s="1" t="s">
        <v>40</v>
      </c>
      <c r="F13095" s="1">
        <v>23</v>
      </c>
      <c r="G13095" s="1">
        <v>18</v>
      </c>
      <c r="H13095" s="1">
        <v>0</v>
      </c>
      <c r="I13095" s="1" t="s">
        <v>27737</v>
      </c>
      <c r="K13095" s="1" t="str">
        <f t="shared" si="826"/>
        <v>ㄩ</v>
      </c>
      <c r="L13095" s="1" t="str">
        <f t="shared" si="827"/>
        <v>ㄥ</v>
      </c>
      <c r="M13095" s="1" t="str">
        <f t="shared" si="825"/>
        <v/>
      </c>
      <c r="P13095" s="1" t="s">
        <v>20</v>
      </c>
      <c r="R13095" s="1" t="s">
        <v>27738</v>
      </c>
      <c r="V13095" s="1" t="s">
        <v>27749</v>
      </c>
      <c r="AR13095" s="1" t="str">
        <f t="shared" si="824"/>
        <v>| [ㄩㄥ](ㄩㄥ.md) | [癰](癰.md) |  | yōng | [名]_x000D_
一種皮膚的化膿性及壞死性炎症，多由金黃葡萄球菌引起，侵犯相鄰的多個毛囊後融合形成局部腫脹，中央有許多小孔，呈瘻管狀，非常疼痛。有發燒、寒顫等現象，嚴重時，甚至併發敗血症。 |</v>
      </c>
    </row>
    <row r="13096" spans="1:44" hidden="1">
      <c r="A13096" s="1" t="s">
        <v>27750</v>
      </c>
      <c r="C13096" s="1">
        <v>1</v>
      </c>
      <c r="D13096" s="1" t="str">
        <f>"11867"</f>
        <v>11867</v>
      </c>
      <c r="E13096" s="1" t="s">
        <v>447</v>
      </c>
      <c r="F13096" s="1">
        <v>11</v>
      </c>
      <c r="G13096" s="1">
        <v>8</v>
      </c>
      <c r="H13096" s="1">
        <v>1</v>
      </c>
      <c r="I13096" s="1" t="s">
        <v>27737</v>
      </c>
      <c r="K13096" s="1" t="str">
        <f t="shared" si="826"/>
        <v>ㄩ</v>
      </c>
      <c r="L13096" s="1" t="str">
        <f t="shared" si="827"/>
        <v>ㄥ</v>
      </c>
      <c r="M13096" s="1" t="str">
        <f t="shared" si="825"/>
        <v/>
      </c>
      <c r="P13096" s="1" t="s">
        <v>20</v>
      </c>
      <c r="R13096" s="1" t="s">
        <v>27738</v>
      </c>
      <c r="V13096" s="1" t="s">
        <v>27751</v>
      </c>
      <c r="W13096" s="1" t="s">
        <v>27752</v>
      </c>
      <c r="AR13096" s="1" t="str">
        <f t="shared" si="824"/>
        <v>| [ㄩㄥ](ㄩㄥ.md) | [庸](庸.md) |  | yōng | [動]
1.需要。如：「無庸置疑」。《禮記．內則》：「子婦未孝未敬，勿庸疾怨。」《老殘遊記》第七回：「我無庸去，只是教閣下想個至良極美的法則。」
2.任用、使用。唐．韓愈〈進學解〉：「占小善者率以錄，名一藝者無不庸。」
3.酬謝。如：「酬庸」。《孟子．盡心上》：「殺之而不怨，利之而不庸。」
[形]
1.平常的、普通的。如：「平庸」。《易經．乾卦．九二》：「庸言之信，庸行之謹。」《韓非子．五蠹》：「布帛尋常，庸人不釋。」
2.愚笨、拙劣的。如：「庸醫」。
[名]
1.功勞。《國語．晉語七》：「無功庸者，不敢居高位。」南朝宋．劉義慶《世說新語．方正》：「郭淮作關中都督，甚得民情，亦屢有戰庸。」
2.雇工。《韓非子．五蠹》：「澤居苦水者，買庸而決竇。」《漢書．卷三七．欒布傳》：「（彭越）窮困，賣庸於齊，為酒家保。」
3.姓。如戰國時秦國有庸芮。
[副]
豈。《左傳．莊公十四年》：「子儀在位，十四年矣；而謀召君者，庸非二乎？」漢．曹操〈敕有司取士毋廢偏短令〉：「士有偏短，庸可廢乎！」
[連]
於是。《左傳．襄公二十五年》：「庸以元女大姬配胡公，而封諸陳，以備三恪。」《北史．卷九．周孝閔帝本紀》：「今踵唐、虞舊典，禪位于周，庸布告爾焉。」 |</v>
      </c>
    </row>
    <row r="13097" spans="1:44" hidden="1">
      <c r="A13097" s="1" t="s">
        <v>27753</v>
      </c>
      <c r="C13097" s="1">
        <v>1</v>
      </c>
      <c r="D13097" s="1" t="str">
        <f>"11868"</f>
        <v>11868</v>
      </c>
      <c r="E13097" s="1" t="s">
        <v>114</v>
      </c>
      <c r="F13097" s="1">
        <v>13</v>
      </c>
      <c r="G13097" s="1">
        <v>11</v>
      </c>
      <c r="H13097" s="1">
        <v>1</v>
      </c>
      <c r="I13097" s="1" t="s">
        <v>27737</v>
      </c>
      <c r="K13097" s="1" t="str">
        <f t="shared" si="826"/>
        <v>ㄩ</v>
      </c>
      <c r="L13097" s="1" t="str">
        <f t="shared" si="827"/>
        <v>ㄥ</v>
      </c>
      <c r="M13097" s="1" t="str">
        <f t="shared" si="825"/>
        <v/>
      </c>
      <c r="P13097" s="1" t="s">
        <v>20</v>
      </c>
      <c r="R13097" s="1" t="s">
        <v>27738</v>
      </c>
      <c r="V13097" s="1" t="s">
        <v>27754</v>
      </c>
      <c r="W13097" s="1" t="s">
        <v>27755</v>
      </c>
      <c r="AR13097" s="1" t="str">
        <f t="shared" si="824"/>
        <v>| [ㄩㄥ](ㄩㄥ.md) | [傭](傭.md) |  | yōng | [名]
1.僕役，受僱做事的人。如：「男傭」、「女傭」。《後漢書．卷六七．黨錮傳．夏馥傳》：「乃自翦鬚變形，入林慮山中，隱匿姓名，為冶家傭。」
2.工資。唐．李翶〈江州南湖隄銘〉：「厚其錢傭，以飽餓人。」《舊唐書．卷四九．食貨志下》：「凡三年，運七百萬石，省陸運之傭四十萬貫。」
[動]
1.僱人做事。唐．柳宗元〈送薛存義之任序〉：「向使傭一夫於家，受若直，怠若事。」
2.受僱。《後漢書．卷七六．循吏傳．衛颯傳》：「家貧好學問，隨師無糧，常傭以自給。」 |</v>
      </c>
    </row>
    <row r="13098" spans="1:44" hidden="1">
      <c r="A13098" s="1" t="s">
        <v>27756</v>
      </c>
      <c r="C13098" s="1">
        <v>1</v>
      </c>
      <c r="D13098" s="1" t="str">
        <f>"11869"</f>
        <v>11869</v>
      </c>
      <c r="E13098" s="1" t="s">
        <v>256</v>
      </c>
      <c r="F13098" s="1">
        <v>14</v>
      </c>
      <c r="G13098" s="1">
        <v>11</v>
      </c>
      <c r="H13098" s="1">
        <v>1</v>
      </c>
      <c r="I13098" s="1" t="s">
        <v>27737</v>
      </c>
      <c r="K13098" s="1" t="str">
        <f t="shared" si="826"/>
        <v>ㄩ</v>
      </c>
      <c r="L13098" s="1" t="str">
        <f t="shared" si="827"/>
        <v>ㄥ</v>
      </c>
      <c r="M13098" s="1" t="str">
        <f t="shared" si="825"/>
        <v/>
      </c>
      <c r="P13098" s="1" t="s">
        <v>20</v>
      </c>
      <c r="R13098" s="1" t="s">
        <v>27738</v>
      </c>
      <c r="V13098" s="1" t="s">
        <v>27757</v>
      </c>
      <c r="W13098" s="1" t="s">
        <v>27758</v>
      </c>
      <c r="AR13098" s="1" t="str">
        <f t="shared" si="824"/>
        <v>| [ㄩㄥ](ㄩㄥ.md) | [鄘](鄘.md) |  | yōng | [名]
1.國名。周代諸侯國，故城在今河南省汲縣境內，周武王封管叔監殷於此。
2.城市。通「墉」。《左傳．昭公二十一年》：「宋城舊鄘及桑林之門而守之。」晉．杜預．注：「舊鄘，故城也。」
3.姓。如明代有鄘瓊。 |</v>
      </c>
    </row>
    <row r="13099" spans="1:44" hidden="1">
      <c r="A13099" s="1" t="s">
        <v>27759</v>
      </c>
      <c r="C13099" s="1">
        <v>1</v>
      </c>
      <c r="D13099" s="1" t="str">
        <f>"11870"</f>
        <v>11870</v>
      </c>
      <c r="E13099" s="1" t="s">
        <v>250</v>
      </c>
      <c r="F13099" s="1">
        <v>14</v>
      </c>
      <c r="G13099" s="1">
        <v>11</v>
      </c>
      <c r="H13099" s="1">
        <v>1</v>
      </c>
      <c r="I13099" s="1" t="s">
        <v>27737</v>
      </c>
      <c r="K13099" s="1" t="str">
        <f t="shared" si="826"/>
        <v>ㄩ</v>
      </c>
      <c r="L13099" s="1" t="str">
        <f t="shared" si="827"/>
        <v>ㄥ</v>
      </c>
      <c r="M13099" s="1" t="str">
        <f t="shared" si="825"/>
        <v/>
      </c>
      <c r="P13099" s="1" t="s">
        <v>20</v>
      </c>
      <c r="R13099" s="1" t="s">
        <v>27738</v>
      </c>
      <c r="V13099" s="1" t="s">
        <v>27760</v>
      </c>
      <c r="W13099" s="1" t="s">
        <v>27761</v>
      </c>
      <c r="AR13099" s="1" t="str">
        <f t="shared" si="824"/>
        <v>| [ㄩㄥ](ㄩㄥ.md) | [慵](慵.md) |  | yōng | [副]
懶。唐．白居易〈贈友〉詩五首之二：「畬田既慵斫，稻田亦懶耘。」元．武漢臣《生金閣》第一折：「每日慵將書去習，逐朝常把藥的那來扶。」 |</v>
      </c>
    </row>
    <row r="13100" spans="1:44" hidden="1">
      <c r="A13100" s="1" t="s">
        <v>27762</v>
      </c>
      <c r="C13100" s="1">
        <v>1</v>
      </c>
      <c r="D13100" s="1" t="str">
        <f>"11871"</f>
        <v>11871</v>
      </c>
      <c r="E13100" s="1" t="s">
        <v>132</v>
      </c>
      <c r="F13100" s="1">
        <v>14</v>
      </c>
      <c r="G13100" s="1">
        <v>11</v>
      </c>
      <c r="H13100" s="1">
        <v>1</v>
      </c>
      <c r="I13100" s="1" t="s">
        <v>27737</v>
      </c>
      <c r="K13100" s="1" t="str">
        <f t="shared" si="826"/>
        <v>ㄩ</v>
      </c>
      <c r="L13100" s="1" t="str">
        <f t="shared" si="827"/>
        <v>ㄥ</v>
      </c>
      <c r="M13100" s="1" t="str">
        <f t="shared" si="825"/>
        <v/>
      </c>
      <c r="P13100" s="1" t="s">
        <v>20</v>
      </c>
      <c r="R13100" s="1" t="s">
        <v>27738</v>
      </c>
      <c r="V13100" s="1" t="s">
        <v>27763</v>
      </c>
      <c r="W13100" s="1" t="s">
        <v>27764</v>
      </c>
      <c r="AR13100" s="1" t="str">
        <f t="shared" si="824"/>
        <v>| [ㄩㄥ](ㄩㄥ.md) | [墉](墉.md) |  | yōng | [名]
1.小城。《詩經．大雅．皇矣》：「以爾鉤援，與爾臨衝，以伐崇墉。」漢．毛亨．傳：「墉，城也。」南朝宋．鮑照〈蕪城賦〉：「故能奓秦法，佚周令，劃崇墉，刳濬洫。」
2.高牆。《詩經．召南．行露》：「誰謂鼠無牙，何以穿我墉？」唐．崔融〈登東陽沈隱侯八詠樓〉詩：「旦登西北樓，樓峻石墉厚。」 |</v>
      </c>
    </row>
    <row r="13101" spans="1:44" hidden="1">
      <c r="A13101" s="1" t="s">
        <v>27765</v>
      </c>
      <c r="C13101" s="1">
        <v>1</v>
      </c>
      <c r="D13101" s="1" t="str">
        <f>"11872"</f>
        <v>11872</v>
      </c>
      <c r="E13101" s="1" t="s">
        <v>55</v>
      </c>
      <c r="F13101" s="1">
        <v>19</v>
      </c>
      <c r="G13101" s="1">
        <v>11</v>
      </c>
      <c r="H13101" s="1">
        <v>1</v>
      </c>
      <c r="I13101" s="1" t="s">
        <v>27737</v>
      </c>
      <c r="K13101" s="1" t="str">
        <f t="shared" si="826"/>
        <v>ㄩ</v>
      </c>
      <c r="L13101" s="1" t="str">
        <f t="shared" si="827"/>
        <v>ㄥ</v>
      </c>
      <c r="M13101" s="1" t="str">
        <f t="shared" si="825"/>
        <v/>
      </c>
      <c r="P13101" s="1" t="s">
        <v>20</v>
      </c>
      <c r="R13101" s="1" t="s">
        <v>27738</v>
      </c>
      <c r="V13101" s="1" t="s">
        <v>27766</v>
      </c>
      <c r="W13101" s="1" t="s">
        <v>27767</v>
      </c>
      <c r="AR13101" s="1" t="str">
        <f t="shared" si="824"/>
        <v>| [ㄩㄥ](ㄩㄥ.md) | [鏞](鏞.md) |  | yōng | [名]
樂器名，打擊樂器。即大鐘。古樂器，常懸吊式敲擊發聲。祭祀時放在廟堂的西邊。《書經．益稷》：「笙鏞以間，鳥獸蹌蹌。」漢．孔安國．傳：「鏞，大鍾。」 |</v>
      </c>
    </row>
    <row r="13102" spans="1:44" hidden="1">
      <c r="A13102" s="1" t="s">
        <v>27768</v>
      </c>
      <c r="C13102" s="1">
        <v>1</v>
      </c>
      <c r="D13102" s="1" t="str">
        <f>"11873"</f>
        <v>11873</v>
      </c>
      <c r="E13102" s="1" t="s">
        <v>5383</v>
      </c>
      <c r="F13102" s="1">
        <v>13</v>
      </c>
      <c r="G13102" s="1">
        <v>5</v>
      </c>
      <c r="H13102" s="1">
        <v>0</v>
      </c>
      <c r="I13102" s="1" t="s">
        <v>27737</v>
      </c>
      <c r="K13102" s="1" t="str">
        <f t="shared" si="826"/>
        <v>ㄩ</v>
      </c>
      <c r="L13102" s="1" t="str">
        <f t="shared" si="827"/>
        <v>ㄥ</v>
      </c>
      <c r="M13102" s="1" t="str">
        <f t="shared" si="825"/>
        <v/>
      </c>
      <c r="P13102" s="1" t="s">
        <v>20</v>
      </c>
      <c r="R13102" s="1" t="s">
        <v>27738</v>
      </c>
      <c r="V13102" s="1" t="s">
        <v>27769</v>
      </c>
      <c r="AR13102" s="1" t="str">
        <f t="shared" si="824"/>
        <v>| [ㄩㄥ](ㄩㄥ.md) | [雍](雍.md) |  | yōng | [形]
和諧的、和睦的。如：「雍和」。《書經．堯典》：「百姓昭明，協和萬邦，黎民於變時雍。」
[動]
1.堵塞。通「壅」。《穀梁傳．僖公九年》：「毋雍泉，毋訖糴。」《漢書．卷九四．匈奴傳下．贊曰》：「隔以山谷，雍以沙幕。」
2.擁有。通「擁」。《戰國策．秦策五》：「雍天下之國，徙兩周之疆。」漢．高誘．注：「雍，有也。」
[名]
1.國名。周代諸侯國。故址在今河南省沁陽縣東北。
2.姓。如明代有雍泰。 |</v>
      </c>
    </row>
    <row r="13103" spans="1:44" hidden="1">
      <c r="A13103" s="1" t="s">
        <v>27770</v>
      </c>
      <c r="C13103" s="1">
        <v>1</v>
      </c>
      <c r="D13103" s="1" t="str">
        <f>"11874"</f>
        <v>11874</v>
      </c>
      <c r="E13103" s="1" t="s">
        <v>129</v>
      </c>
      <c r="F13103" s="1">
        <v>16</v>
      </c>
      <c r="G13103" s="1">
        <v>13</v>
      </c>
      <c r="H13103" s="1">
        <v>0</v>
      </c>
      <c r="I13103" s="1" t="s">
        <v>27737</v>
      </c>
      <c r="K13103" s="1" t="str">
        <f t="shared" si="826"/>
        <v>ㄩ</v>
      </c>
      <c r="L13103" s="1" t="str">
        <f t="shared" si="827"/>
        <v>ㄥ</v>
      </c>
      <c r="M13103" s="1" t="str">
        <f t="shared" si="825"/>
        <v/>
      </c>
      <c r="P13103" s="1" t="s">
        <v>20</v>
      </c>
      <c r="R13103" s="1" t="s">
        <v>27738</v>
      </c>
      <c r="V13103" s="1" t="s">
        <v>27771</v>
      </c>
      <c r="AR13103" s="1" t="str">
        <f t="shared" si="824"/>
        <v>| [ㄩㄥ](ㄩㄥ.md) | [澭](澭.md) |  | yōng | [名]
河川名：(1)古黃河的支流，約在今山東省菏澤市的東北方，現已淤積、堙沒。(2)約在今河南省商丘市附近。 |</v>
      </c>
    </row>
    <row r="13104" spans="1:44" hidden="1">
      <c r="A13104" s="1" t="s">
        <v>27772</v>
      </c>
      <c r="C13104" s="1">
        <v>1</v>
      </c>
      <c r="D13104" s="1" t="str">
        <f>"11875"</f>
        <v>11875</v>
      </c>
      <c r="E13104" s="1" t="s">
        <v>132</v>
      </c>
      <c r="F13104" s="1">
        <v>16</v>
      </c>
      <c r="G13104" s="1">
        <v>13</v>
      </c>
      <c r="H13104" s="1">
        <v>1</v>
      </c>
      <c r="I13104" s="1" t="s">
        <v>27737</v>
      </c>
      <c r="K13104" s="1" t="str">
        <f t="shared" si="826"/>
        <v>ㄩ</v>
      </c>
      <c r="L13104" s="1" t="str">
        <f t="shared" si="827"/>
        <v>ㄥ</v>
      </c>
      <c r="M13104" s="1" t="str">
        <f t="shared" si="825"/>
        <v/>
      </c>
      <c r="P13104" s="1" t="s">
        <v>20</v>
      </c>
      <c r="R13104" s="1" t="s">
        <v>27738</v>
      </c>
      <c r="V13104" s="1" t="s">
        <v>27773</v>
      </c>
      <c r="W13104" s="1" t="s">
        <v>27774</v>
      </c>
      <c r="AR13104" s="1" t="str">
        <f t="shared" si="824"/>
        <v>| [ㄩㄥ](ㄩㄥ.md) | [壅](壅.md) |  | yōng | [動]
1.堵住、阻塞不通。如：「壅塞」。《國語．周語上》：「川壅而潰，傷人必多，民亦如之。」
2.遮蔽、蒙蔽。《史記．卷一三〇．太史公自序》：「周道衰廢，孔子為魯司寇，諸侯害之，大夫壅之。」《韓非子．難四》：「人君兼照一國，一人不能壅也。」
3.用泥土或肥料培養植物的根部。如：「壅肥」。漢．王充《論衡．道虛》：「物黃，人雖灌溉壅養，終不能青。」 |</v>
      </c>
    </row>
    <row r="13105" spans="1:44" hidden="1">
      <c r="A13105" s="1" t="s">
        <v>27775</v>
      </c>
      <c r="C13105" s="1">
        <v>1</v>
      </c>
      <c r="D13105" s="1" t="str">
        <f>"11876"</f>
        <v>11876</v>
      </c>
      <c r="E13105" s="1" t="s">
        <v>24</v>
      </c>
      <c r="F13105" s="1">
        <v>16</v>
      </c>
      <c r="G13105" s="1">
        <v>13</v>
      </c>
      <c r="H13105" s="1">
        <v>2</v>
      </c>
      <c r="I13105" s="1" t="s">
        <v>27737</v>
      </c>
      <c r="K13105" s="1" t="str">
        <f t="shared" si="826"/>
        <v>ㄩ</v>
      </c>
      <c r="L13105" s="1" t="str">
        <f t="shared" si="827"/>
        <v>ㄥ</v>
      </c>
      <c r="M13105" s="1" t="str">
        <f t="shared" si="825"/>
        <v/>
      </c>
      <c r="P13105" s="1" t="s">
        <v>110</v>
      </c>
      <c r="R13105" s="1" t="s">
        <v>27738</v>
      </c>
      <c r="V13105" s="1" t="s">
        <v>111</v>
      </c>
      <c r="W13105" s="1" t="s">
        <v>27776</v>
      </c>
      <c r="AR13105" s="1" t="str">
        <f t="shared" si="824"/>
        <v>| [ㄩㄥ](ㄩㄥ.md) | [擁](擁.md) |  | yōng | (一)之又音。 |</v>
      </c>
    </row>
    <row r="13106" spans="1:44" hidden="1">
      <c r="A13106" s="1" t="s">
        <v>27777</v>
      </c>
      <c r="C13106" s="1">
        <v>1</v>
      </c>
      <c r="D13106" s="1" t="str">
        <f>"11877"</f>
        <v>11877</v>
      </c>
      <c r="E13106" s="1" t="s">
        <v>28</v>
      </c>
      <c r="F13106" s="1">
        <v>16</v>
      </c>
      <c r="G13106" s="1">
        <v>13</v>
      </c>
      <c r="H13106" s="1">
        <v>0</v>
      </c>
      <c r="I13106" s="1" t="s">
        <v>27737</v>
      </c>
      <c r="K13106" s="1" t="str">
        <f t="shared" si="826"/>
        <v>ㄩ</v>
      </c>
      <c r="L13106" s="1" t="str">
        <f t="shared" si="827"/>
        <v>ㄥ</v>
      </c>
      <c r="M13106" s="1" t="str">
        <f t="shared" si="825"/>
        <v/>
      </c>
      <c r="P13106" s="1" t="s">
        <v>20</v>
      </c>
      <c r="R13106" s="1" t="s">
        <v>27738</v>
      </c>
      <c r="V13106" s="1" t="s">
        <v>27778</v>
      </c>
      <c r="AR13106" s="1" t="str">
        <f t="shared" si="824"/>
        <v>| [ㄩㄥ](ㄩㄥ.md) | [噰](噰.md) |  | yōng | 參見「噰噰」條。 |</v>
      </c>
    </row>
    <row r="13107" spans="1:44" hidden="1">
      <c r="A13107" s="1" t="s">
        <v>27779</v>
      </c>
      <c r="C13107" s="1">
        <v>1</v>
      </c>
      <c r="D13107" s="1" t="str">
        <f>"11878"</f>
        <v>11878</v>
      </c>
      <c r="E13107" s="1" t="s">
        <v>37</v>
      </c>
      <c r="F13107" s="1">
        <v>17</v>
      </c>
      <c r="G13107" s="1">
        <v>13</v>
      </c>
      <c r="H13107" s="1">
        <v>0</v>
      </c>
      <c r="I13107" s="1" t="s">
        <v>27737</v>
      </c>
      <c r="K13107" s="1" t="str">
        <f t="shared" si="826"/>
        <v>ㄩ</v>
      </c>
      <c r="L13107" s="1" t="str">
        <f t="shared" si="827"/>
        <v>ㄥ</v>
      </c>
      <c r="M13107" s="1" t="str">
        <f t="shared" si="825"/>
        <v/>
      </c>
      <c r="P13107" s="1" t="s">
        <v>20</v>
      </c>
      <c r="R13107" s="1" t="s">
        <v>27738</v>
      </c>
      <c r="V13107" s="1" t="s">
        <v>27780</v>
      </c>
      <c r="AR13107" s="1" t="str">
        <f t="shared" si="824"/>
        <v>| [ㄩㄥ](ㄩㄥ.md) | [蕹](蕹.md) |  | yōng | [名]
植物名。旋花科牽牛屬，「蕹菜」、「空心菜」之古稱，參見「空心菜」條。 |</v>
      </c>
    </row>
    <row r="13108" spans="1:44" hidden="1">
      <c r="A13108" s="1" t="s">
        <v>27781</v>
      </c>
      <c r="C13108" s="1">
        <v>1</v>
      </c>
      <c r="D13108" s="1" t="str">
        <f>"11879"</f>
        <v>11879</v>
      </c>
      <c r="E13108" s="1" t="s">
        <v>68</v>
      </c>
      <c r="F13108" s="1">
        <v>17</v>
      </c>
      <c r="G13108" s="1">
        <v>13</v>
      </c>
      <c r="H13108" s="1">
        <v>1</v>
      </c>
      <c r="I13108" s="1" t="s">
        <v>27737</v>
      </c>
      <c r="K13108" s="1" t="str">
        <f t="shared" si="826"/>
        <v>ㄩ</v>
      </c>
      <c r="L13108" s="1" t="str">
        <f t="shared" si="827"/>
        <v>ㄥ</v>
      </c>
      <c r="M13108" s="1" t="str">
        <f t="shared" si="825"/>
        <v/>
      </c>
      <c r="P13108" s="1" t="s">
        <v>20</v>
      </c>
      <c r="R13108" s="1" t="s">
        <v>27738</v>
      </c>
      <c r="V13108" s="1" t="s">
        <v>27782</v>
      </c>
      <c r="W13108" s="1" t="s">
        <v>27783</v>
      </c>
      <c r="AR13108" s="1" t="str">
        <f t="shared" si="824"/>
        <v>| [ㄩㄥ](ㄩㄥ.md) | [臃](臃.md) |  | yōng | 參見「臃腫」條。 |</v>
      </c>
    </row>
    <row r="13109" spans="1:44" hidden="1">
      <c r="A13109" s="1" t="s">
        <v>27784</v>
      </c>
      <c r="C13109" s="1">
        <v>1</v>
      </c>
      <c r="D13109" s="1" t="str">
        <f>"11880"</f>
        <v>11880</v>
      </c>
      <c r="E13109" s="1" t="s">
        <v>193</v>
      </c>
      <c r="F13109" s="1">
        <v>22</v>
      </c>
      <c r="G13109" s="1">
        <v>13</v>
      </c>
      <c r="H13109" s="1">
        <v>0</v>
      </c>
      <c r="I13109" s="1" t="s">
        <v>27737</v>
      </c>
      <c r="K13109" s="1" t="str">
        <f t="shared" si="826"/>
        <v>ㄩ</v>
      </c>
      <c r="L13109" s="1" t="str">
        <f t="shared" si="827"/>
        <v>ㄥ</v>
      </c>
      <c r="M13109" s="1" t="str">
        <f t="shared" si="825"/>
        <v/>
      </c>
      <c r="P13109" s="1" t="s">
        <v>20</v>
      </c>
      <c r="R13109" s="1" t="s">
        <v>27738</v>
      </c>
      <c r="V13109" s="1" t="s">
        <v>27785</v>
      </c>
      <c r="AR13109" s="1" t="str">
        <f t="shared" si="824"/>
        <v>| [ㄩㄥ](ㄩㄥ.md) | [饔](饔.md) |  | yōng | [名]
1.熟食。《玉篇．食部》：「饔，熟食也。」《詩經．小雅．祈父》：「胡轉予于恤？有母之尸饔。」《新唐書．卷一六五．鄭珣瑜傳》：「珣瑜與杜佑、高郢輟饔以待。」
2.早飯。《孟子．滕文公上》：「賢者與民並耕而食，饔飧而治。」
3.宰殺好的牲畜。《儀禮．聘禮》：「君使卿韋弁歸饔餼五牢。」漢．鄭玄．注：「牲殺曰饔，生曰餼。」 |</v>
      </c>
    </row>
    <row r="13110" spans="1:44" hidden="1">
      <c r="A13110" s="1" t="s">
        <v>27026</v>
      </c>
      <c r="C13110" s="1">
        <v>1</v>
      </c>
      <c r="D13110" s="1" t="str">
        <f>"11644"</f>
        <v>11644</v>
      </c>
      <c r="E13110" s="1" t="s">
        <v>142</v>
      </c>
      <c r="F13110" s="1">
        <v>4</v>
      </c>
      <c r="G13110" s="1">
        <v>0</v>
      </c>
      <c r="H13110" s="1">
        <v>3</v>
      </c>
      <c r="I13110" s="1" t="s">
        <v>27279</v>
      </c>
      <c r="K13110" s="1" t="str">
        <f t="shared" si="826"/>
        <v>ㄩ</v>
      </c>
      <c r="M13110" s="1" t="str">
        <f t="shared" si="825"/>
        <v/>
      </c>
      <c r="N13110" s="3" t="s">
        <v>30574</v>
      </c>
      <c r="O13110" s="3"/>
      <c r="P13110" s="1" t="s">
        <v>20</v>
      </c>
      <c r="R13110" s="1" t="s">
        <v>27280</v>
      </c>
      <c r="V13110" s="1" t="s">
        <v>27281</v>
      </c>
      <c r="W13110" s="1" t="s">
        <v>27282</v>
      </c>
      <c r="AR13110" s="1" t="str">
        <f t="shared" si="824"/>
        <v>| [ㄩˋ](ㄩˋ.md) | [王](王.md) |  | yù | 同「玉」。《廣韻．入聲．燭韻》：「玉，說文本作王，隸加點以別王字。」 |</v>
      </c>
    </row>
    <row r="13111" spans="1:44" hidden="1">
      <c r="A13111" s="1" t="s">
        <v>27283</v>
      </c>
      <c r="C13111" s="1">
        <v>1</v>
      </c>
      <c r="D13111" s="1" t="str">
        <f>"11645"</f>
        <v>11645</v>
      </c>
      <c r="E13111" s="1" t="s">
        <v>142</v>
      </c>
      <c r="F13111" s="1">
        <v>5</v>
      </c>
      <c r="G13111" s="1">
        <v>0</v>
      </c>
      <c r="H13111" s="1">
        <v>0</v>
      </c>
      <c r="I13111" s="1" t="s">
        <v>27279</v>
      </c>
      <c r="K13111" s="1" t="str">
        <f t="shared" si="826"/>
        <v>ㄩ</v>
      </c>
      <c r="M13111" s="1" t="str">
        <f t="shared" si="825"/>
        <v/>
      </c>
      <c r="N13111" s="3" t="s">
        <v>30574</v>
      </c>
      <c r="O13111" s="3"/>
      <c r="P13111" s="1" t="s">
        <v>20</v>
      </c>
      <c r="R13111" s="1" t="s">
        <v>27280</v>
      </c>
      <c r="V13111" s="1" t="s">
        <v>27284</v>
      </c>
      <c r="AR13111" s="1" t="str">
        <f t="shared" si="824"/>
        <v>| [ㄩˋ](ㄩˋ.md) | [玉](玉.md) |  | yù | [名]_x000D_
1.寶石的一種，一般指的是閃玉或輝玉。閃玉為含鎂的透閃石或含鐵的陽起石，輝玉為含鈉的輝石。閃玉的顏色為墨綠色、白色、黑色或棕色，蠟狀光澤、韌度高，部分纖維較長的可形成貓眼現象。臺灣的閃玉（也稱為「臺灣玉」）主要產地為花蓮縣豐田與萬榮地區。_x000D_
2.二一四部首之一。_x000D_
[形]_x000D_
1.用玉做成的。如：「玉璽」、「玉簪」、「玉環」。《史記．卷七．項羽本紀》：「玉斗一雙，欲與亞父。」_x000D_
2.潔白、晶瑩如玉般的美好。如：「玉手」、「玉顏」。晉．郭璞〈遊仙詩〉七首之二：「靈妃顧我美，粲然啟玉齒。」《南史．卷一九．列傳．謝晦》：「帝目之曰：『一時頓有兩玉人耳。』」_x000D_
3.珍貴的、精美的。如：「錦衣玉食」、「玉液瓊漿」。晉．左思〈吳都賦〉：「矜其宴居，則珠服玉饌。」_x000D_
4.敬辭。用於尊稱他人的身體或言行。如：「玉體」、「玉照」。三國魏．曹植〈七啟〉：「將敬滌耳，以聽玉音。」《水滸傳》第四回：「萬望長老收錄。慈悲，慈悲！看趙某薄面，披剃為僧。一應所用，弟子自當准備。煩望長老玉成。」_x000D_
[動]_x000D_
珍愛，襄助。《詩經．大雅．民勞》：「王欲玉女，是用大諫。」宋．朱熹．集傳：「玉，寶愛之意。」宋．張載〈西銘〉：「富貴福澤，將厚吾之生也。貧賤憂戚，庸玉女於成也。」 |</v>
      </c>
    </row>
    <row r="13112" spans="1:44" hidden="1">
      <c r="A13112" s="1" t="s">
        <v>27285</v>
      </c>
      <c r="C13112" s="1">
        <v>1</v>
      </c>
      <c r="D13112" s="1" t="str">
        <f>"11646"</f>
        <v>11646</v>
      </c>
      <c r="E13112" s="1" t="s">
        <v>55</v>
      </c>
      <c r="F13112" s="1">
        <v>13</v>
      </c>
      <c r="G13112" s="1">
        <v>5</v>
      </c>
      <c r="H13112" s="1">
        <v>0</v>
      </c>
      <c r="I13112" s="1" t="s">
        <v>27279</v>
      </c>
      <c r="K13112" s="1" t="str">
        <f t="shared" si="826"/>
        <v>ㄩ</v>
      </c>
      <c r="M13112" s="1" t="str">
        <f t="shared" si="825"/>
        <v/>
      </c>
      <c r="N13112" s="3" t="s">
        <v>30574</v>
      </c>
      <c r="O13112" s="3"/>
      <c r="P13112" s="1" t="s">
        <v>20</v>
      </c>
      <c r="R13112" s="1" t="s">
        <v>27280</v>
      </c>
      <c r="V13112" s="1" t="s">
        <v>27286</v>
      </c>
      <c r="AR13112" s="1" t="str">
        <f t="shared" si="824"/>
        <v>| [ㄩˋ](ㄩˋ.md) | [鈺](鈺.md) |  | yù | [名]
1.質地堅硬的金屬。《字彙．金部》：「鈺，堅金。」
2.珍寶。《五音集韻．卷一二．燭韻》：「鈺，寶也。」 |</v>
      </c>
    </row>
    <row r="13113" spans="1:44" hidden="1">
      <c r="A13113" s="1" t="s">
        <v>27287</v>
      </c>
      <c r="C13113" s="1">
        <v>1</v>
      </c>
      <c r="D13113" s="1" t="str">
        <f>"11647"</f>
        <v>11647</v>
      </c>
      <c r="E13113" s="1" t="s">
        <v>18309</v>
      </c>
      <c r="F13113" s="1">
        <v>6</v>
      </c>
      <c r="G13113" s="1">
        <v>0</v>
      </c>
      <c r="H13113" s="1">
        <v>0</v>
      </c>
      <c r="I13113" s="1" t="s">
        <v>27279</v>
      </c>
      <c r="K13113" s="1" t="str">
        <f t="shared" si="826"/>
        <v>ㄩ</v>
      </c>
      <c r="M13113" s="1" t="str">
        <f t="shared" si="825"/>
        <v/>
      </c>
      <c r="N13113" s="3" t="s">
        <v>30574</v>
      </c>
      <c r="O13113" s="3"/>
      <c r="P13113" s="1" t="s">
        <v>20</v>
      </c>
      <c r="R13113" s="1" t="s">
        <v>27280</v>
      </c>
      <c r="V13113" s="1" t="s">
        <v>27288</v>
      </c>
      <c r="AR13113" s="1" t="str">
        <f t="shared" si="824"/>
        <v>| [ㄩˋ](ㄩˋ.md) | [聿](聿.md) |  | yù | [名]
1.筆。《說文解字．聿部》：「聿，所以書也。」清．朱駿聲《說文通訓定聲．履部》：「秦以後皆作筆字。」唐．柳宗元〈湘源二妃廟碑〉：「咸執牘聿，至于祠下。」
2.姓。如商代有聿速。
3.二一四部首之一。
[助]
發語詞，用於句首或句中，無義。《書經．湯誥》：「聿求元聖，與之戮力。」《後漢書．卷八〇．文苑傳上．傅毅傳》：「二志靡成，聿勞我心。」 |</v>
      </c>
    </row>
    <row r="13114" spans="1:44" hidden="1">
      <c r="A13114" s="1" t="s">
        <v>10152</v>
      </c>
      <c r="C13114" s="1">
        <v>1</v>
      </c>
      <c r="D13114" s="1" t="str">
        <f>"11648"</f>
        <v>11648</v>
      </c>
      <c r="E13114" s="1" t="s">
        <v>129</v>
      </c>
      <c r="F13114" s="1">
        <v>7</v>
      </c>
      <c r="G13114" s="1">
        <v>4</v>
      </c>
      <c r="H13114" s="1">
        <v>2</v>
      </c>
      <c r="I13114" s="1" t="s">
        <v>27279</v>
      </c>
      <c r="K13114" s="1" t="str">
        <f t="shared" si="826"/>
        <v>ㄩ</v>
      </c>
      <c r="M13114" s="1" t="str">
        <f t="shared" si="825"/>
        <v/>
      </c>
      <c r="N13114" s="3" t="s">
        <v>30574</v>
      </c>
      <c r="O13114" s="3"/>
      <c r="P13114" s="1" t="s">
        <v>20</v>
      </c>
      <c r="R13114" s="1" t="s">
        <v>27280</v>
      </c>
      <c r="V13114" s="1" t="s">
        <v>27289</v>
      </c>
      <c r="W13114" s="1" t="s">
        <v>27290</v>
      </c>
      <c r="AR13114" s="1" t="str">
        <f t="shared" si="824"/>
        <v>| [ㄩˋ](ㄩˋ.md) | [汩](汩.md) |  | yù | [形]
1.急速。《楚辭．屈原．離騷》：「汩余若將不及兮，恐年歲之不吾與。」
2.潔淨。《文選．王延壽．魯靈光殿賦》：「汩磑磑以璀璨，赫燡燡而爥坤。」 |</v>
      </c>
    </row>
    <row r="13115" spans="1:44" hidden="1">
      <c r="A13115" s="1" t="s">
        <v>27291</v>
      </c>
      <c r="C13115" s="1">
        <v>1</v>
      </c>
      <c r="D13115" s="1" t="str">
        <f>"11649"</f>
        <v>11649</v>
      </c>
      <c r="E13115" s="1" t="s">
        <v>68</v>
      </c>
      <c r="F13115" s="1">
        <v>7</v>
      </c>
      <c r="G13115" s="1">
        <v>3</v>
      </c>
      <c r="H13115" s="1">
        <v>0</v>
      </c>
      <c r="I13115" s="1" t="s">
        <v>27279</v>
      </c>
      <c r="K13115" s="1" t="str">
        <f t="shared" si="826"/>
        <v>ㄩ</v>
      </c>
      <c r="M13115" s="1" t="str">
        <f t="shared" si="825"/>
        <v/>
      </c>
      <c r="N13115" s="3" t="s">
        <v>30574</v>
      </c>
      <c r="O13115" s="3"/>
      <c r="P13115" s="1" t="s">
        <v>20</v>
      </c>
      <c r="R13115" s="1" t="s">
        <v>27280</v>
      </c>
      <c r="V13115" s="1" t="s">
        <v>27292</v>
      </c>
      <c r="AR13115" s="1" t="str">
        <f t="shared" si="824"/>
        <v>| [ㄩˋ](ㄩˋ.md) | [育](育.md) |  | yù | [動]
1.生育。如：「生兒育女」。《易經．漸卦．九三》：「夫征不復，婦孕不育。」《後漢書．卷四四．張禹傳》：「鄧太后以殤帝初育，欲令重臣居禁內。」
2.成長。《呂氏春秋．開春論．察賢》：「雪霜雨露時，則萬物育矣，人民修矣，疾病妖厲去矣。」《文選．潘岳．秋興賦》：「覽花蒔之時育兮，察盛衰之所託。」
3.撫養、培養。如：「養育」、「教育」、「育幼院」。《易經．蒙卦．彖曰》：「山下出泉蒙，君子以果行育德。」《詩經．小雅．蓼莪》：「拊我畜我，長我育我。」
[名]
姓。如上古時代有育唐。 |</v>
      </c>
    </row>
    <row r="13116" spans="1:44" hidden="1">
      <c r="A13116" s="1" t="s">
        <v>27293</v>
      </c>
      <c r="C13116" s="1">
        <v>1</v>
      </c>
      <c r="D13116" s="1" t="str">
        <f>"11650"</f>
        <v>11650</v>
      </c>
      <c r="E13116" s="1" t="s">
        <v>129</v>
      </c>
      <c r="F13116" s="1">
        <v>10</v>
      </c>
      <c r="G13116" s="1">
        <v>7</v>
      </c>
      <c r="H13116" s="1">
        <v>0</v>
      </c>
      <c r="I13116" s="1" t="s">
        <v>27279</v>
      </c>
      <c r="K13116" s="1" t="str">
        <f t="shared" si="826"/>
        <v>ㄩ</v>
      </c>
      <c r="M13116" s="1" t="str">
        <f t="shared" si="825"/>
        <v/>
      </c>
      <c r="N13116" s="3" t="s">
        <v>30574</v>
      </c>
      <c r="O13116" s="3"/>
      <c r="P13116" s="1" t="s">
        <v>20</v>
      </c>
      <c r="R13116" s="1" t="s">
        <v>27280</v>
      </c>
      <c r="V13116" s="1" t="s">
        <v>27294</v>
      </c>
      <c r="AR13116" s="1" t="str">
        <f t="shared" si="824"/>
        <v>| [ㄩˋ](ㄩˋ.md) | [淯](淯.md) |  | yù | [動]
生養。通「育」。《管子．宙合》：「天淯陽，無計量。地化生，無法崖。」唐．尹知章．注：「淯，古育字。」
[名]
河川名。即白河。源出於河南省洛陽市嵩縣西南，東南流經南陽市宛城區、臥龍區、南召縣、新野縣，入湖北省襄陽市襄州區境會同唐河，注入漢水。 |</v>
      </c>
    </row>
    <row r="13117" spans="1:44" hidden="1">
      <c r="A13117" s="1" t="s">
        <v>27295</v>
      </c>
      <c r="C13117" s="1">
        <v>1</v>
      </c>
      <c r="D13117" s="1" t="str">
        <f>"11651"</f>
        <v>11651</v>
      </c>
      <c r="E13117" s="1" t="s">
        <v>132</v>
      </c>
      <c r="F13117" s="1">
        <v>10</v>
      </c>
      <c r="G13117" s="1">
        <v>7</v>
      </c>
      <c r="H13117" s="1">
        <v>0</v>
      </c>
      <c r="I13117" s="1" t="s">
        <v>27279</v>
      </c>
      <c r="K13117" s="1" t="str">
        <f t="shared" si="826"/>
        <v>ㄩ</v>
      </c>
      <c r="M13117" s="1" t="str">
        <f t="shared" si="825"/>
        <v/>
      </c>
      <c r="N13117" s="3" t="s">
        <v>30574</v>
      </c>
      <c r="O13117" s="3"/>
      <c r="P13117" s="1" t="s">
        <v>20</v>
      </c>
      <c r="R13117" s="1" t="s">
        <v>27280</v>
      </c>
      <c r="V13117" s="1" t="s">
        <v>27296</v>
      </c>
      <c r="AR13117" s="1" t="str">
        <f t="shared" si="824"/>
        <v>| [ㄩˋ](ㄩˋ.md) | [堉](堉.md) |  | yù | [名]
肥沃的土壤。《集韻．入聲．屋韻》：「堉，肥壤謂之堉。」 |</v>
      </c>
    </row>
    <row r="13118" spans="1:44" hidden="1">
      <c r="A13118" s="1" t="s">
        <v>27297</v>
      </c>
      <c r="C13118" s="1">
        <v>1</v>
      </c>
      <c r="D13118" s="1" t="str">
        <f>"11652"</f>
        <v>11652</v>
      </c>
      <c r="E13118" s="1" t="s">
        <v>37</v>
      </c>
      <c r="F13118" s="1">
        <v>7</v>
      </c>
      <c r="G13118" s="1">
        <v>3</v>
      </c>
      <c r="H13118" s="1">
        <v>0</v>
      </c>
      <c r="I13118" s="1" t="s">
        <v>27279</v>
      </c>
      <c r="K13118" s="1" t="str">
        <f t="shared" si="826"/>
        <v>ㄩ</v>
      </c>
      <c r="M13118" s="1" t="str">
        <f t="shared" si="825"/>
        <v/>
      </c>
      <c r="N13118" s="3" t="s">
        <v>30574</v>
      </c>
      <c r="O13118" s="3"/>
      <c r="P13118" s="1" t="s">
        <v>20</v>
      </c>
      <c r="R13118" s="1" t="s">
        <v>27280</v>
      </c>
      <c r="V13118" s="1" t="s">
        <v>27298</v>
      </c>
      <c r="AR13118" s="1" t="str">
        <f t="shared" si="824"/>
        <v>| [ㄩˋ](ㄩˋ.md) | [芋](芋.md) |  | yù | [名]
植物名。天南星科芋屬，「白芋」、「檳榔芋」之俗稱。參見「白芋」條。 |</v>
      </c>
    </row>
    <row r="13119" spans="1:44" hidden="1">
      <c r="A13119" s="1" t="s">
        <v>10155</v>
      </c>
      <c r="C13119" s="1">
        <v>1</v>
      </c>
      <c r="D13119" s="1" t="str">
        <f>"11653"</f>
        <v>11653</v>
      </c>
      <c r="E13119" s="1" t="s">
        <v>10156</v>
      </c>
      <c r="F13119" s="1">
        <v>7</v>
      </c>
      <c r="G13119" s="1">
        <v>0</v>
      </c>
      <c r="H13119" s="1">
        <v>2</v>
      </c>
      <c r="I13119" s="1" t="s">
        <v>27279</v>
      </c>
      <c r="K13119" s="1" t="str">
        <f t="shared" si="826"/>
        <v>ㄩ</v>
      </c>
      <c r="M13119" s="1" t="str">
        <f t="shared" si="825"/>
        <v/>
      </c>
      <c r="N13119" s="3" t="s">
        <v>30574</v>
      </c>
      <c r="O13119" s="3"/>
      <c r="P13119" s="1" t="s">
        <v>20</v>
      </c>
      <c r="R13119" s="1" t="s">
        <v>27280</v>
      </c>
      <c r="V13119" s="1" t="s">
        <v>27299</v>
      </c>
      <c r="W13119" s="1" t="s">
        <v>27300</v>
      </c>
      <c r="AR13119" s="1" t="str">
        <f t="shared" si="824"/>
        <v>| [ㄩˋ](ㄩˋ.md) | [谷](谷.md) |  | yù | 參見「吐谷渾」條。 |</v>
      </c>
    </row>
    <row r="13120" spans="1:44" hidden="1">
      <c r="A13120" s="1" t="s">
        <v>27301</v>
      </c>
      <c r="C13120" s="1">
        <v>1</v>
      </c>
      <c r="D13120" s="1" t="str">
        <f>"11654"</f>
        <v>11654</v>
      </c>
      <c r="E13120" s="1" t="s">
        <v>129</v>
      </c>
      <c r="F13120" s="1">
        <v>10</v>
      </c>
      <c r="G13120" s="1">
        <v>7</v>
      </c>
      <c r="H13120" s="1">
        <v>0</v>
      </c>
      <c r="I13120" s="1" t="s">
        <v>27279</v>
      </c>
      <c r="K13120" s="1" t="str">
        <f t="shared" si="826"/>
        <v>ㄩ</v>
      </c>
      <c r="M13120" s="1" t="str">
        <f t="shared" si="825"/>
        <v/>
      </c>
      <c r="N13120" s="3" t="s">
        <v>30574</v>
      </c>
      <c r="O13120" s="3"/>
      <c r="P13120" s="1" t="s">
        <v>20</v>
      </c>
      <c r="R13120" s="1" t="s">
        <v>27280</v>
      </c>
      <c r="V13120" s="1" t="s">
        <v>27302</v>
      </c>
      <c r="AR13120" s="1" t="str">
        <f t="shared" si="824"/>
        <v>| [ㄩˋ](ㄩˋ.md) | [浴](浴.md) |  | yù | [動]
1.洗澡。如：「沐浴」。《論語．先進》：「浴乎沂，風乎舞雩。」
2.洗滌。如：「浴佛」。《禮記．檀弓上》：「圉人浴馬，有流矢在白肉。」
3.浸染、浸泡。如：「浴血」、「永浴愛河」。《紅樓夢》第二六回：「剛到了沁芳橋，只見各色水禽都在池中浴水。」
[形]
洗澡用的。如：「浴室」、「浴池」、「浴巾」。
[名]
姓。如明代有浴沂。 |</v>
      </c>
    </row>
    <row r="13121" spans="1:44" hidden="1">
      <c r="A13121" s="1" t="s">
        <v>27303</v>
      </c>
      <c r="C13121" s="1">
        <v>1</v>
      </c>
      <c r="D13121" s="1" t="str">
        <f>"11655"</f>
        <v>11655</v>
      </c>
      <c r="E13121" s="1" t="s">
        <v>190</v>
      </c>
      <c r="F13121" s="1">
        <v>10</v>
      </c>
      <c r="G13121" s="1">
        <v>7</v>
      </c>
      <c r="H13121" s="1">
        <v>0</v>
      </c>
      <c r="I13121" s="1" t="s">
        <v>27279</v>
      </c>
      <c r="K13121" s="1" t="str">
        <f t="shared" si="826"/>
        <v>ㄩ</v>
      </c>
      <c r="M13121" s="1" t="str">
        <f t="shared" si="825"/>
        <v/>
      </c>
      <c r="N13121" s="3" t="s">
        <v>30574</v>
      </c>
      <c r="O13121" s="3"/>
      <c r="P13121" s="1" t="s">
        <v>20</v>
      </c>
      <c r="R13121" s="1" t="s">
        <v>27280</v>
      </c>
      <c r="V13121" s="1" t="s">
        <v>27304</v>
      </c>
      <c r="AR13121" s="1" t="str">
        <f t="shared" si="824"/>
        <v>| [ㄩˋ](ㄩˋ.md) | [峪](峪.md) |  | yù | [名]
山谷。元．李直夫《虎頭牌》第二折：「你可便久鎮著南邊，夾山的那峪前，統領著軍健，相持的那地面。」 |</v>
      </c>
    </row>
    <row r="13122" spans="1:44" hidden="1">
      <c r="A13122" s="1" t="s">
        <v>27305</v>
      </c>
      <c r="C13122" s="1">
        <v>1</v>
      </c>
      <c r="D13122" s="1" t="str">
        <f>"11656"</f>
        <v>11656</v>
      </c>
      <c r="E13122" s="1" t="s">
        <v>1908</v>
      </c>
      <c r="F13122" s="1">
        <v>11</v>
      </c>
      <c r="G13122" s="1">
        <v>7</v>
      </c>
      <c r="H13122" s="1">
        <v>0</v>
      </c>
      <c r="I13122" s="1" t="s">
        <v>27279</v>
      </c>
      <c r="K13122" s="1" t="str">
        <f t="shared" si="826"/>
        <v>ㄩ</v>
      </c>
      <c r="M13122" s="1" t="str">
        <f t="shared" si="825"/>
        <v/>
      </c>
      <c r="N13122" s="3" t="s">
        <v>30574</v>
      </c>
      <c r="O13122" s="3"/>
      <c r="P13122" s="1" t="s">
        <v>20</v>
      </c>
      <c r="R13122" s="1" t="s">
        <v>27280</v>
      </c>
      <c r="V13122" s="1" t="s">
        <v>27306</v>
      </c>
      <c r="AR13122" s="1" t="str">
        <f t="shared" si="824"/>
        <v>| [ㄩˋ](ㄩˋ.md) | [欲](欲.md) |  | yù | [名]
1.願望，想得到滿足的意念。如：「食欲」、「欲望」。《易經．損卦．象曰》：「山下有澤損，君子以懲忿窒欲。」
2.情慾。同「慾」。《禮記．樂記》：「君子樂得其道；小人樂得其欲。」漢．鄭玄．注：「欲，謂淫邪也。」
[動]
期望、希求。《孟子．告子上》：「魚，我所欲也；熊掌，亦我所欲也。」唐．韓愈〈師說〉：「師道之不傳也久矣，欲人之無惑也難矣。」
[副]
1.想要。如：「欲哭無淚」、「暢所欲言」。《論語．衛靈公》：「工欲善其事，必先利其器。」
2.將要。如：「搖搖欲墜」。唐．許渾〈咸陽城東樓〉詩：「溪雲初起日沉閣，山雨欲來風滿樓。」 |</v>
      </c>
    </row>
    <row r="13123" spans="1:44" hidden="1">
      <c r="A13123" s="1" t="s">
        <v>27307</v>
      </c>
      <c r="C13123" s="1">
        <v>1</v>
      </c>
      <c r="D13123" s="1" t="str">
        <f>"11657"</f>
        <v>11657</v>
      </c>
      <c r="E13123" s="1" t="s">
        <v>340</v>
      </c>
      <c r="F13123" s="1">
        <v>13</v>
      </c>
      <c r="G13123" s="1">
        <v>7</v>
      </c>
      <c r="H13123" s="1">
        <v>0</v>
      </c>
      <c r="I13123" s="1" t="s">
        <v>27279</v>
      </c>
      <c r="K13123" s="1" t="str">
        <f t="shared" si="826"/>
        <v>ㄩ</v>
      </c>
      <c r="M13123" s="1" t="str">
        <f t="shared" si="825"/>
        <v/>
      </c>
      <c r="N13123" s="3" t="s">
        <v>30574</v>
      </c>
      <c r="O13123" s="3"/>
      <c r="P13123" s="1" t="s">
        <v>20</v>
      </c>
      <c r="R13123" s="1" t="s">
        <v>27280</v>
      </c>
      <c r="V13123" s="1" t="s">
        <v>27308</v>
      </c>
      <c r="AR13123" s="1" t="str">
        <f t="shared" ref="AR13123:AR13186" si="828">"| ["&amp;I13123&amp;"]("&amp;I13123&amp;".md) | ["&amp;A13123&amp;"]("&amp;A13123&amp;".md) | "&amp;" | "&amp;R13123&amp;" | "&amp;V13123&amp;" |"</f>
        <v>| [ㄩˋ](ㄩˋ.md) | [裕](裕.md) |  | yù | [形]
富足。如：「富裕」、「充裕」、「寬裕」。
[動]
1.充滿。漢．揚雄《法言．孝至》：「天地裕於萬物乎！萬物裕乎天地乎！」
2.使富裕。《國語．吳語》：「裕其眾庶，其民殷眾，以多甲兵。」《荀子．富國》：「足國之道，節用裕民，兒善臧其餘。」
3.寬容。《書經．洛誥》：「彼裕我民，無遠用戾。」宋．蘇軾〈代張方平諫用兵書〉：「太宗仁聖寬厚，克己裕人，幾至刑措。」 |</v>
      </c>
    </row>
    <row r="13124" spans="1:44" hidden="1">
      <c r="A13124" s="1" t="s">
        <v>27309</v>
      </c>
      <c r="C13124" s="1">
        <v>1</v>
      </c>
      <c r="D13124" s="1" t="str">
        <f>"11658"</f>
        <v>11658</v>
      </c>
      <c r="E13124" s="1" t="s">
        <v>250</v>
      </c>
      <c r="F13124" s="1">
        <v>15</v>
      </c>
      <c r="G13124" s="1">
        <v>11</v>
      </c>
      <c r="H13124" s="1">
        <v>0</v>
      </c>
      <c r="I13124" s="1" t="s">
        <v>27279</v>
      </c>
      <c r="K13124" s="1" t="str">
        <f t="shared" si="826"/>
        <v>ㄩ</v>
      </c>
      <c r="M13124" s="1" t="str">
        <f t="shared" si="825"/>
        <v/>
      </c>
      <c r="N13124" s="3" t="s">
        <v>30574</v>
      </c>
      <c r="O13124" s="3"/>
      <c r="P13124" s="1" t="s">
        <v>20</v>
      </c>
      <c r="R13124" s="1" t="s">
        <v>27280</v>
      </c>
      <c r="V13124" s="1" t="s">
        <v>27310</v>
      </c>
      <c r="AR13124" s="1" t="str">
        <f t="shared" si="828"/>
        <v>| [ㄩˋ](ㄩˋ.md) | [慾](慾.md) |  | yù | [名]_x000D_
1.兩性或同性間所引起的生理衝動與需求。如：「情慾」、「性慾」。_x000D_
2.心中想要滿足的意念、願望。通「欲」。如：「慾望」、「口腹之慾」。 |</v>
      </c>
    </row>
    <row r="13125" spans="1:44" hidden="1">
      <c r="A13125" s="1" t="s">
        <v>27311</v>
      </c>
      <c r="C13125" s="1">
        <v>1</v>
      </c>
      <c r="D13125" s="1" t="str">
        <f>"11659"</f>
        <v>11659</v>
      </c>
      <c r="E13125" s="1" t="s">
        <v>272</v>
      </c>
      <c r="F13125" s="1">
        <v>18</v>
      </c>
      <c r="G13125" s="1">
        <v>7</v>
      </c>
      <c r="H13125" s="1">
        <v>0</v>
      </c>
      <c r="I13125" s="1" t="s">
        <v>27279</v>
      </c>
      <c r="K13125" s="1" t="str">
        <f t="shared" si="826"/>
        <v>ㄩ</v>
      </c>
      <c r="M13125" s="1" t="str">
        <f t="shared" si="825"/>
        <v/>
      </c>
      <c r="N13125" s="3" t="s">
        <v>30574</v>
      </c>
      <c r="O13125" s="3"/>
      <c r="P13125" s="1" t="s">
        <v>20</v>
      </c>
      <c r="R13125" s="1" t="s">
        <v>27280</v>
      </c>
      <c r="V13125" s="1" t="s">
        <v>27312</v>
      </c>
      <c r="AR13125" s="1" t="str">
        <f t="shared" si="828"/>
        <v>| [ㄩˋ](ㄩˋ.md) | [鵒](鵒.md) |  | yù | 參見「鴝鵒」條。 |</v>
      </c>
    </row>
    <row r="13126" spans="1:44" hidden="1">
      <c r="A13126" s="1" t="s">
        <v>7530</v>
      </c>
      <c r="C13126" s="1">
        <v>1</v>
      </c>
      <c r="D13126" s="1" t="str">
        <f>"11660"</f>
        <v>11660</v>
      </c>
      <c r="E13126" s="1" t="s">
        <v>24</v>
      </c>
      <c r="F13126" s="1">
        <v>8</v>
      </c>
      <c r="G13126" s="1">
        <v>5</v>
      </c>
      <c r="H13126" s="1">
        <v>4</v>
      </c>
      <c r="I13126" s="1" t="s">
        <v>27279</v>
      </c>
      <c r="K13126" s="1" t="str">
        <f t="shared" si="826"/>
        <v>ㄩ</v>
      </c>
      <c r="M13126" s="1" t="str">
        <f t="shared" si="825"/>
        <v/>
      </c>
      <c r="N13126" s="3" t="s">
        <v>30574</v>
      </c>
      <c r="O13126" s="3"/>
      <c r="P13126" s="1" t="s">
        <v>20</v>
      </c>
      <c r="R13126" s="1" t="s">
        <v>27280</v>
      </c>
      <c r="V13126" s="1" t="s">
        <v>27313</v>
      </c>
      <c r="W13126" s="1" t="s">
        <v>27314</v>
      </c>
      <c r="AR13126" s="1" t="str">
        <f t="shared" si="828"/>
        <v>| [ㄩˋ](ㄩˋ.md) | [拗](拗.md) |  | yù | [動]
抑制。《集韻．入聲．屋韻》：「拗，抑也。」《文選．班固．西都賦》：「蹂躪其十二三，乃拗怒而少息。」唐．杜甫〈天狗賦〉：「洎千蹄之迸集兮，始拗怒以相賀。」 |</v>
      </c>
    </row>
    <row r="13127" spans="1:44" hidden="1">
      <c r="A13127" s="1" t="s">
        <v>27239</v>
      </c>
      <c r="C13127" s="1">
        <v>1</v>
      </c>
      <c r="D13127" s="1" t="str">
        <f>"11661"</f>
        <v>11661</v>
      </c>
      <c r="E13127" s="1" t="s">
        <v>125</v>
      </c>
      <c r="F13127" s="1">
        <v>8</v>
      </c>
      <c r="G13127" s="1">
        <v>0</v>
      </c>
      <c r="H13127" s="1">
        <v>2</v>
      </c>
      <c r="I13127" s="1" t="s">
        <v>27279</v>
      </c>
      <c r="K13127" s="1" t="str">
        <f t="shared" si="826"/>
        <v>ㄩ</v>
      </c>
      <c r="M13127" s="1" t="str">
        <f t="shared" ref="M13127:M13190" si="829">MID(I13127, 3, 1)</f>
        <v/>
      </c>
      <c r="N13127" s="3" t="s">
        <v>30574</v>
      </c>
      <c r="O13127" s="3"/>
      <c r="P13127" s="1" t="s">
        <v>20</v>
      </c>
      <c r="R13127" s="1" t="s">
        <v>27280</v>
      </c>
      <c r="V13127" s="1" t="s">
        <v>27315</v>
      </c>
      <c r="W13127" s="1" t="s">
        <v>27316</v>
      </c>
      <c r="AR13127" s="1" t="str">
        <f t="shared" si="828"/>
        <v>| [ㄩˋ](ㄩˋ.md) | [雨](雨.md) |  | yù | [動]
1.下雨。《詩經．小雅．大田》：「雨我公田，遂及我私。」《史記．卷六七．仲尼弟子傳．有若傳》：「他日，月宿畢，竟不雨。」
2.降落、落下。如：「雨雪」、「雨雹」。《淮南子．本經》：「昔者蒼頡作書，而天雨粟，鬼夜哭。」宋．蘇軾〈喜雨亭記〉：「使天而雨珠，寒者不得以為襦；使天而雨玉，飢者不得以為粟。」
3.滋潤、灌溉。唐．孟郊〈終南山下作〉詩：「山村不假陰，流水自雨田。」唐．鮑溶〈答客〉詩：「勞問圃人終歲事，桔槔聲裡雨春畦。」 |</v>
      </c>
    </row>
    <row r="13128" spans="1:44" hidden="1">
      <c r="A13128" s="1" t="s">
        <v>27222</v>
      </c>
      <c r="C13128" s="1">
        <v>1</v>
      </c>
      <c r="D13128" s="1" t="str">
        <f>"11662"</f>
        <v>11662</v>
      </c>
      <c r="E13128" s="1" t="s">
        <v>125</v>
      </c>
      <c r="F13128" s="1">
        <v>11</v>
      </c>
      <c r="G13128" s="1">
        <v>3</v>
      </c>
      <c r="H13128" s="1">
        <v>2</v>
      </c>
      <c r="I13128" s="1" t="s">
        <v>27279</v>
      </c>
      <c r="K13128" s="1" t="str">
        <f t="shared" si="826"/>
        <v>ㄩ</v>
      </c>
      <c r="M13128" s="1" t="str">
        <f t="shared" si="829"/>
        <v/>
      </c>
      <c r="N13128" s="3" t="s">
        <v>30574</v>
      </c>
      <c r="O13128" s="3"/>
      <c r="P13128" s="1" t="s">
        <v>20</v>
      </c>
      <c r="R13128" s="1" t="s">
        <v>27280</v>
      </c>
      <c r="V13128" s="1" t="s">
        <v>27317</v>
      </c>
      <c r="W13128" s="1" t="s">
        <v>27318</v>
      </c>
      <c r="AR13128" s="1" t="str">
        <f t="shared" si="828"/>
        <v>| [ㄩˋ](ㄩˋ.md) | [雩](雩.md) |  | yù | [名]
虹的別名。《爾雅．釋天》：「螮蝀謂之雩。螮蝀，虹也。」 |</v>
      </c>
    </row>
    <row r="13129" spans="1:44" hidden="1">
      <c r="A13129" s="1" t="s">
        <v>27319</v>
      </c>
      <c r="C13129" s="1">
        <v>1</v>
      </c>
      <c r="D13129" s="1" t="str">
        <f>"11663"</f>
        <v>11663</v>
      </c>
      <c r="E13129" s="1" t="s">
        <v>1908</v>
      </c>
      <c r="F13129" s="1">
        <v>8</v>
      </c>
      <c r="G13129" s="1">
        <v>4</v>
      </c>
      <c r="H13129" s="1">
        <v>0</v>
      </c>
      <c r="I13129" s="1" t="s">
        <v>27279</v>
      </c>
      <c r="K13129" s="1" t="str">
        <f t="shared" si="826"/>
        <v>ㄩ</v>
      </c>
      <c r="M13129" s="1" t="str">
        <f t="shared" si="829"/>
        <v/>
      </c>
      <c r="N13129" s="3" t="s">
        <v>30574</v>
      </c>
      <c r="O13129" s="3"/>
      <c r="P13129" s="1" t="s">
        <v>20</v>
      </c>
      <c r="R13129" s="1" t="s">
        <v>27280</v>
      </c>
      <c r="V13129" s="1" t="s">
        <v>27320</v>
      </c>
      <c r="AR13129" s="1" t="str">
        <f t="shared" si="828"/>
        <v>| [ㄩˋ](ㄩˋ.md) | [欥](欥.md) |  | yù | [助]
語氣詞，用於句首。承接上文以發其端，無義。《漢書．卷一〇〇．敘傳上》：「欥中龢為庶幾兮，顏與冉又不得。」 |</v>
      </c>
    </row>
    <row r="13130" spans="1:44" hidden="1">
      <c r="A13130" s="1" t="s">
        <v>27321</v>
      </c>
      <c r="C13130" s="1">
        <v>1</v>
      </c>
      <c r="D13130" s="1" t="str">
        <f>"11664"</f>
        <v>11664</v>
      </c>
      <c r="E13130" s="1" t="s">
        <v>256</v>
      </c>
      <c r="F13130" s="1">
        <v>9</v>
      </c>
      <c r="G13130" s="1">
        <v>6</v>
      </c>
      <c r="H13130" s="1">
        <v>0</v>
      </c>
      <c r="I13130" s="1" t="s">
        <v>27279</v>
      </c>
      <c r="K13130" s="1" t="str">
        <f t="shared" si="826"/>
        <v>ㄩ</v>
      </c>
      <c r="M13130" s="1" t="str">
        <f t="shared" si="829"/>
        <v/>
      </c>
      <c r="N13130" s="3" t="s">
        <v>30574</v>
      </c>
      <c r="O13130" s="3"/>
      <c r="P13130" s="1" t="s">
        <v>20</v>
      </c>
      <c r="R13130" s="1" t="s">
        <v>27280</v>
      </c>
      <c r="V13130" s="1" t="s">
        <v>27322</v>
      </c>
      <c r="AR13130" s="1" t="str">
        <f t="shared" si="828"/>
        <v>| [ㄩˋ](ㄩˋ.md) | [郁](郁.md) |  | yù | [形]
1.文采豐盛。如：「文采郁郁」。《論語．八佾》：「周監於二代，郁郁乎文哉！吾從周。」
2.香氣濃烈。如：「濃郁」、「馥郁」。《晉書．卷四四．鄭袤等傳．贊曰》：「同鏘玉振，爭芬蘭郁。」
3.和暖。通「燠」。《文選．劉孝標．廣絕交論》：「敘溫郁則寒谷成暄，論嚴苦則春叢零葉。」
[名]
姓。如清代有郁松年。 |</v>
      </c>
    </row>
    <row r="13131" spans="1:44" hidden="1">
      <c r="A13131" s="1" t="s">
        <v>27323</v>
      </c>
      <c r="C13131" s="1">
        <v>1</v>
      </c>
      <c r="D13131" s="1" t="str">
        <f>"11665"</f>
        <v>11665</v>
      </c>
      <c r="E13131" s="1" t="s">
        <v>37</v>
      </c>
      <c r="F13131" s="1">
        <v>9</v>
      </c>
      <c r="G13131" s="1">
        <v>5</v>
      </c>
      <c r="H13131" s="1">
        <v>3</v>
      </c>
      <c r="I13131" s="1" t="s">
        <v>27279</v>
      </c>
      <c r="K13131" s="1" t="str">
        <f t="shared" si="826"/>
        <v>ㄩ</v>
      </c>
      <c r="M13131" s="1" t="str">
        <f t="shared" si="829"/>
        <v/>
      </c>
      <c r="N13131" s="3" t="s">
        <v>30574</v>
      </c>
      <c r="O13131" s="3"/>
      <c r="P13131" s="1" t="s">
        <v>20</v>
      </c>
      <c r="R13131" s="1" t="s">
        <v>27280</v>
      </c>
      <c r="V13131" s="1" t="s">
        <v>27324</v>
      </c>
      <c r="W13131" s="1" t="s">
        <v>27325</v>
      </c>
      <c r="AR13131" s="1" t="str">
        <f t="shared" si="828"/>
        <v>| [ㄩˋ](ㄩˋ.md) | [苑](苑.md) |  | yù | [動]
積聚、膠著、停滯。通「鬱」。《禮記．禮運》：「故事大積焉而不苑，並行而不繆。」唐．孔穎達．正義：「雖復萬機輻湊而應之有次序，不使苑積也。」 |</v>
      </c>
    </row>
    <row r="13132" spans="1:44" hidden="1">
      <c r="A13132" s="1" t="s">
        <v>26895</v>
      </c>
      <c r="C13132" s="1">
        <v>1</v>
      </c>
      <c r="D13132" s="1" t="str">
        <f>"11666"</f>
        <v>11666</v>
      </c>
      <c r="E13132" s="1" t="s">
        <v>37</v>
      </c>
      <c r="F13132" s="1">
        <v>12</v>
      </c>
      <c r="G13132" s="1">
        <v>8</v>
      </c>
      <c r="H13132" s="1">
        <v>2</v>
      </c>
      <c r="I13132" s="1" t="s">
        <v>27279</v>
      </c>
      <c r="K13132" s="1" t="str">
        <f t="shared" si="826"/>
        <v>ㄩ</v>
      </c>
      <c r="M13132" s="1" t="str">
        <f t="shared" si="829"/>
        <v/>
      </c>
      <c r="N13132" s="3" t="s">
        <v>30574</v>
      </c>
      <c r="O13132" s="3"/>
      <c r="P13132" s="1" t="s">
        <v>20</v>
      </c>
      <c r="R13132" s="1" t="s">
        <v>27280</v>
      </c>
      <c r="V13132" s="1" t="s">
        <v>27326</v>
      </c>
      <c r="W13132" s="1" t="s">
        <v>27327</v>
      </c>
      <c r="AR13132" s="1" t="str">
        <f t="shared" si="828"/>
        <v>| [ㄩˋ](ㄩˋ.md) | [菀](菀.md) |  | yù | [形]
茂盛的樣子。《詩經．小雅．小弁》：「菀彼柳斯，鳴啁嘒嘒。」《楚辭．劉向．九歎．憂苦》：「菀彼青青，泣如頹兮。」
[動]
凝結、鬱積。通「鬱」。《楚辭．劉向．九歎．惜賢》：「芳若茲而不御兮，捐林薄而菀死。」 |</v>
      </c>
    </row>
    <row r="13133" spans="1:44" hidden="1">
      <c r="A13133" s="1" t="s">
        <v>25406</v>
      </c>
      <c r="C13133" s="1">
        <v>1</v>
      </c>
      <c r="D13133" s="1" t="str">
        <f>"11667"</f>
        <v>11667</v>
      </c>
      <c r="E13133" s="1" t="s">
        <v>2777</v>
      </c>
      <c r="F13133" s="1">
        <v>20</v>
      </c>
      <c r="G13133" s="1">
        <v>8</v>
      </c>
      <c r="H13133" s="1">
        <v>1</v>
      </c>
      <c r="I13133" s="1" t="s">
        <v>27279</v>
      </c>
      <c r="K13133" s="1" t="str">
        <f t="shared" si="826"/>
        <v>ㄩ</v>
      </c>
      <c r="M13133" s="1" t="str">
        <f t="shared" si="829"/>
        <v/>
      </c>
      <c r="N13133" s="3" t="s">
        <v>30574</v>
      </c>
      <c r="O13133" s="3"/>
      <c r="P13133" s="1" t="s">
        <v>20</v>
      </c>
      <c r="R13133" s="1" t="s">
        <v>27280</v>
      </c>
      <c r="V13133" s="1" t="s">
        <v>27328</v>
      </c>
      <c r="W13133" s="1" t="s">
        <v>27329</v>
      </c>
      <c r="AR13133" s="1" t="str">
        <f t="shared" si="828"/>
        <v>| [ㄩˋ](ㄩˋ.md) | [黦](黦.md) |  | yù | [形]
黃黑色。《廣韻．入聲．月韻》：「黦，黃黑色。」
[動]
玷汙。宋．陸游〈月夕〉詩：「呼僮淨掃地，勿使黦月明。」明．梅鼎祚《玉合記》第三一齣：「芙蓉帳冷單枕怯，空使淚染桃花雙袖黦。」 |</v>
      </c>
    </row>
    <row r="13134" spans="1:44" hidden="1">
      <c r="A13134" s="1" t="s">
        <v>27330</v>
      </c>
      <c r="C13134" s="1">
        <v>1</v>
      </c>
      <c r="D13134" s="1" t="str">
        <f>"11668"</f>
        <v>11668</v>
      </c>
      <c r="E13134" s="1" t="s">
        <v>646</v>
      </c>
      <c r="F13134" s="1">
        <v>9</v>
      </c>
      <c r="G13134" s="1">
        <v>5</v>
      </c>
      <c r="H13134" s="1">
        <v>0</v>
      </c>
      <c r="I13134" s="1" t="s">
        <v>27279</v>
      </c>
      <c r="K13134" s="1" t="str">
        <f t="shared" ref="K13134:K13197" si="830">LEFT(I13134, 1)</f>
        <v>ㄩ</v>
      </c>
      <c r="M13134" s="1" t="str">
        <f t="shared" si="829"/>
        <v/>
      </c>
      <c r="N13134" s="3" t="s">
        <v>30574</v>
      </c>
      <c r="O13134" s="3"/>
      <c r="P13134" s="1" t="s">
        <v>20</v>
      </c>
      <c r="R13134" s="1" t="s">
        <v>27280</v>
      </c>
      <c r="V13134" s="1" t="s">
        <v>27331</v>
      </c>
      <c r="AR13134" s="1" t="str">
        <f t="shared" si="828"/>
        <v>| [ㄩˋ](ㄩˋ.md) | [昱](昱.md) |  | yù | [名]
日光。《廣韻．入聲．屋韻》：「昱，日光。」
[動]
照耀。漢．揚雄《太玄經．卷一〇．太玄告》：「日以昱乎晝，月以昱乎夜。」 |</v>
      </c>
    </row>
    <row r="13135" spans="1:44" hidden="1">
      <c r="A13135" s="1" t="s">
        <v>27332</v>
      </c>
      <c r="C13135" s="1">
        <v>1</v>
      </c>
      <c r="D13135" s="1" t="str">
        <f>"11669"</f>
        <v>11669</v>
      </c>
      <c r="E13135" s="1" t="s">
        <v>336</v>
      </c>
      <c r="F13135" s="1">
        <v>13</v>
      </c>
      <c r="G13135" s="1">
        <v>9</v>
      </c>
      <c r="H13135" s="1">
        <v>0</v>
      </c>
      <c r="I13135" s="1" t="s">
        <v>27279</v>
      </c>
      <c r="K13135" s="1" t="str">
        <f t="shared" si="830"/>
        <v>ㄩ</v>
      </c>
      <c r="M13135" s="1" t="str">
        <f t="shared" si="829"/>
        <v/>
      </c>
      <c r="N13135" s="3" t="s">
        <v>30574</v>
      </c>
      <c r="O13135" s="3"/>
      <c r="P13135" s="1" t="s">
        <v>20</v>
      </c>
      <c r="R13135" s="1" t="s">
        <v>27280</v>
      </c>
      <c r="V13135" s="1" t="s">
        <v>27333</v>
      </c>
      <c r="AR13135" s="1" t="str">
        <f t="shared" si="828"/>
        <v>| [ㄩˋ](ㄩˋ.md) | [煜](煜.md) |  | yù | [動]
照耀。《說文解字．火部》：「煜，耀也。」
[形]
盛大的樣子。《文選．班固．東都賦》：「鐘鼓鏗鍧，管弦燁煜。」
[名]
火焰。晉．陸雲〈南征賦〉：「服縣炎揚而晃儵，飛烽戢煜而泱漭。」 |</v>
      </c>
    </row>
    <row r="13136" spans="1:44" hidden="1">
      <c r="A13136" s="1" t="s">
        <v>27169</v>
      </c>
      <c r="C13136" s="1">
        <v>1</v>
      </c>
      <c r="D13136" s="1" t="str">
        <f>"11670"</f>
        <v>11670</v>
      </c>
      <c r="E13136" s="1" t="s">
        <v>15579</v>
      </c>
      <c r="F13136" s="1">
        <v>9</v>
      </c>
      <c r="G13136" s="1">
        <v>4</v>
      </c>
      <c r="H13136" s="1">
        <v>2</v>
      </c>
      <c r="I13136" s="1" t="s">
        <v>27279</v>
      </c>
      <c r="K13136" s="1" t="str">
        <f t="shared" si="830"/>
        <v>ㄩ</v>
      </c>
      <c r="M13136" s="1" t="str">
        <f t="shared" si="829"/>
        <v/>
      </c>
      <c r="N13136" s="3" t="s">
        <v>30574</v>
      </c>
      <c r="O13136" s="3"/>
      <c r="P13136" s="1" t="s">
        <v>20</v>
      </c>
      <c r="R13136" s="1" t="s">
        <v>27280</v>
      </c>
      <c r="V13136" s="1" t="s">
        <v>27334</v>
      </c>
      <c r="W13136" s="1" t="s">
        <v>27335</v>
      </c>
      <c r="AR13136" s="1" t="str">
        <f t="shared" si="828"/>
        <v>| [ㄩˋ](ㄩˋ.md) | [禺](禺.md) |  | yù | [名]
一種長尾猿。長尾，赤目。《山海經．南山經》：「（招搖之山）有獸焉，其狀如禺而白耳，伏行人走。」晉．郭璞．注：「禺似獼猴而大，赤目長尾。」 |</v>
      </c>
    </row>
    <row r="13137" spans="1:44" hidden="1">
      <c r="A13137" s="1" t="s">
        <v>27336</v>
      </c>
      <c r="C13137" s="1">
        <v>1</v>
      </c>
      <c r="D13137" s="1" t="str">
        <f>"11671"</f>
        <v>11671</v>
      </c>
      <c r="E13137" s="1" t="s">
        <v>624</v>
      </c>
      <c r="F13137" s="1">
        <v>12</v>
      </c>
      <c r="G13137" s="1">
        <v>9</v>
      </c>
      <c r="H13137" s="1">
        <v>0</v>
      </c>
      <c r="I13137" s="1" t="s">
        <v>27279</v>
      </c>
      <c r="K13137" s="1" t="str">
        <f t="shared" si="830"/>
        <v>ㄩ</v>
      </c>
      <c r="M13137" s="1" t="str">
        <f t="shared" si="829"/>
        <v/>
      </c>
      <c r="N13137" s="3" t="s">
        <v>30574</v>
      </c>
      <c r="O13137" s="3"/>
      <c r="P13137" s="1" t="s">
        <v>20</v>
      </c>
      <c r="R13137" s="1" t="s">
        <v>27280</v>
      </c>
      <c r="V13137" s="1" t="s">
        <v>27337</v>
      </c>
      <c r="AR13137" s="1" t="str">
        <f t="shared" si="828"/>
        <v>| [ㄩˋ](ㄩˋ.md) | [寓](寓.md) |  | yù | [名]
住處、居住的地方。如：「公寓」、「寓所」。《漢書．卷一六．高惠高后文功臣表》：「故追述先父之志，錄遺老之策，高其位，大其寓，愛敬飭盡，命賜備厚。」
[動]
1.寄居。如：「寓居」。《孟子．離婁下》：「無寓人於我室，毀傷其薪木。」《宋史．卷四四二．文苑傳四．蘇舜欽傳》：「舜欽既放廢，寓于吳中，其友人韓維責以世居京師而去離都下，隔絕親交。」
2.託付、寄託。如：「寓意深遠」。《管子．大匡》：「賢者死忠以振疑，百姓寓焉。」宋．歐陽修〈醉翁亭記〉：「山水之樂，得之心而寓之酒也。」 |</v>
      </c>
    </row>
    <row r="13138" spans="1:44" hidden="1">
      <c r="A13138" s="1" t="s">
        <v>27338</v>
      </c>
      <c r="C13138" s="1">
        <v>1</v>
      </c>
      <c r="D13138" s="1" t="str">
        <f>"11672"</f>
        <v>11672</v>
      </c>
      <c r="E13138" s="1" t="s">
        <v>558</v>
      </c>
      <c r="F13138" s="1">
        <v>13</v>
      </c>
      <c r="G13138" s="1">
        <v>9</v>
      </c>
      <c r="H13138" s="1">
        <v>0</v>
      </c>
      <c r="I13138" s="1" t="s">
        <v>27279</v>
      </c>
      <c r="K13138" s="1" t="str">
        <f t="shared" si="830"/>
        <v>ㄩ</v>
      </c>
      <c r="M13138" s="1" t="str">
        <f t="shared" si="829"/>
        <v/>
      </c>
      <c r="N13138" s="3" t="s">
        <v>30574</v>
      </c>
      <c r="O13138" s="3"/>
      <c r="P13138" s="1" t="s">
        <v>20</v>
      </c>
      <c r="R13138" s="1" t="s">
        <v>27280</v>
      </c>
      <c r="V13138" s="1" t="s">
        <v>27339</v>
      </c>
      <c r="AR13138" s="1" t="str">
        <f t="shared" si="828"/>
        <v>| [ㄩˋ](ㄩˋ.md) | [遇](遇.md) |  | yù | [動]
1.相逢、不期而會。如：「巧遇」。《書經．胤征》：「入自北門，乃遇汝鳩、汝方。」《史記．卷八．高祖本紀》：「還至栗，遇剛武侯，奪其軍。」
2.契合、投合。《孟子．公孫丑下》：「千里而見王，是予所欲也；不遇故去，豈予所欲哉？」《韓非子．難二》：「遇於法則行，不遇於法則止。」
3.得志、得到賞識。《史記．卷一二一．儒林傳．序》：「世以混濁莫能用，是以仲尼干七十餘君無所遇。」漢．王充《論衡．逢遇》：「吾仕數不遇，自傷年老失時，是以泣也。」
4.對待。如：「禮遇」。《宋史．卷三六一．張浚傳》：「浚知上遇俊厚，而俊純實可謀大事。」
5.遭受。《文選．司馬遷．報任少卿書》：「僕以口語遇此禍，重為鄉黨所笑。」明．宋濂〈送東陽馬生序〉：「或遇其叱咄，色愈恭，禮愈至，不敢出一言以復。」
6.抵擋、對付。《商君書．外內》：「以此遇敵，是以百石之弩射飄葉也。」《荀子．大略》：「無用吾之所短，遇人之所長。」
[名]
1.機會。如：「際遇」、「機遇」。三國吳．韋昭〈博奕論〉：「設程試之科，垂金爵之賞，誠千載之嘉會，百世之良遇也。」
2.姓。如漢代有遇沖。 |</v>
      </c>
    </row>
    <row r="13139" spans="1:44" hidden="1">
      <c r="A13139" s="1" t="s">
        <v>21364</v>
      </c>
      <c r="C13139" s="1">
        <v>1</v>
      </c>
      <c r="D13139" s="1" t="str">
        <f>"11673"</f>
        <v>11673</v>
      </c>
      <c r="E13139" s="1" t="s">
        <v>114</v>
      </c>
      <c r="F13139" s="1">
        <v>9</v>
      </c>
      <c r="G13139" s="1">
        <v>7</v>
      </c>
      <c r="H13139" s="1">
        <v>2</v>
      </c>
      <c r="I13139" s="1" t="s">
        <v>27279</v>
      </c>
      <c r="K13139" s="1" t="str">
        <f t="shared" si="830"/>
        <v>ㄩ</v>
      </c>
      <c r="M13139" s="1" t="str">
        <f t="shared" si="829"/>
        <v/>
      </c>
      <c r="N13139" s="3" t="s">
        <v>30574</v>
      </c>
      <c r="O13139" s="3"/>
      <c r="P13139" s="1" t="s">
        <v>20</v>
      </c>
      <c r="R13139" s="1" t="s">
        <v>27280</v>
      </c>
      <c r="V13139" s="1" t="s">
        <v>27340</v>
      </c>
      <c r="W13139" s="1" t="s">
        <v>27341</v>
      </c>
      <c r="AR13139" s="1" t="str">
        <f t="shared" si="828"/>
        <v>| [ㄩˋ](ㄩˋ.md) | [俞](俞.md) |  | yù | [動]
病好了。通「癒」。《荀子．解蔽》：「故傷於溼而擊鼓，鼓痺，則必有敝鼓喪豚之費矣，而未有俞疾之福也。」
[副]
更加。通「愈」。《漢書．卷二四上．食貨志上》：「德澤加於萬民，民俞勤農。」 |</v>
      </c>
    </row>
    <row r="13140" spans="1:44" hidden="1">
      <c r="A13140" s="1" t="s">
        <v>27342</v>
      </c>
      <c r="C13140" s="1">
        <v>1</v>
      </c>
      <c r="D13140" s="1" t="str">
        <f>"11674"</f>
        <v>11674</v>
      </c>
      <c r="E13140" s="1" t="s">
        <v>28</v>
      </c>
      <c r="F13140" s="1">
        <v>12</v>
      </c>
      <c r="G13140" s="1">
        <v>9</v>
      </c>
      <c r="H13140" s="1">
        <v>0</v>
      </c>
      <c r="I13140" s="1" t="s">
        <v>27279</v>
      </c>
      <c r="K13140" s="1" t="str">
        <f t="shared" si="830"/>
        <v>ㄩ</v>
      </c>
      <c r="M13140" s="1" t="str">
        <f t="shared" si="829"/>
        <v/>
      </c>
      <c r="N13140" s="3" t="s">
        <v>30574</v>
      </c>
      <c r="O13140" s="3"/>
      <c r="P13140" s="1" t="s">
        <v>20</v>
      </c>
      <c r="R13140" s="1" t="s">
        <v>27280</v>
      </c>
      <c r="V13140" s="1" t="s">
        <v>27343</v>
      </c>
      <c r="AR13140" s="1" t="str">
        <f t="shared" si="828"/>
        <v>| [ㄩˋ](ㄩˋ.md) | [喻](喻.md) |  | yù | [動]
1.告知、說明。通「諭」。如：「曉喻」、「告喻」。《淮南子．脩務》：「曉然意有所通於物，故作書以喻意，以為知者也。」《史記．卷五二．齊悼惠王世家》：「乃留兵屯滎陽，使使喻齊王及諸侯，與連和，以待呂氏之變而共誅之。」
2.知道、明白。如：「家喻戶曉」、「不言而喻」。唐．白居易〈秦中吟．買花〉：「低頭獨長歎，此歎無人喻。」
3.比方。如：「比喻」、「譬喻」。漢．王充《論衡．自紀》：「何以為辯？喻深以淺；何以為智？喻難以易。」
[名]
姓。如宋代有喻樗。 |</v>
      </c>
    </row>
    <row r="13141" spans="1:44" hidden="1">
      <c r="A13141" s="1" t="s">
        <v>27344</v>
      </c>
      <c r="C13141" s="1">
        <v>1</v>
      </c>
      <c r="D13141" s="1" t="str">
        <f>"11675"</f>
        <v>11675</v>
      </c>
      <c r="E13141" s="1" t="s">
        <v>250</v>
      </c>
      <c r="F13141" s="1">
        <v>13</v>
      </c>
      <c r="G13141" s="1">
        <v>9</v>
      </c>
      <c r="H13141" s="1">
        <v>0</v>
      </c>
      <c r="I13141" s="1" t="s">
        <v>27279</v>
      </c>
      <c r="K13141" s="1" t="str">
        <f t="shared" si="830"/>
        <v>ㄩ</v>
      </c>
      <c r="M13141" s="1" t="str">
        <f t="shared" si="829"/>
        <v/>
      </c>
      <c r="N13141" s="3" t="s">
        <v>30574</v>
      </c>
      <c r="O13141" s="3"/>
      <c r="P13141" s="1" t="s">
        <v>20</v>
      </c>
      <c r="R13141" s="1" t="s">
        <v>27280</v>
      </c>
      <c r="V13141" s="1" t="s">
        <v>27345</v>
      </c>
      <c r="AR13141" s="1" t="str">
        <f t="shared" si="828"/>
        <v>| [ㄩˋ](ㄩˋ.md) | [愈](愈.md) |  | yù | [副]
更加、越發。如：「愈長愈高」。《詩經．小雅．小明》：「曷云其還，政事愈蹙。」
[動]
1.病情好轉。《孟子．公孫丑下》：「今病小愈，趨造於朝。」《紅樓夢》第六二回：「因天氣和暖，黛玉之疾漸愈，故也來了。」
2.勝過、高明。《論語．公冶長》：「子謂子貢曰：『女與回也孰愈？』」漢．王充《論衡．自紀》：「蓋文多勝寡，財寡愈貧。」
[名]
姓。如宋代有愈植、愈德勤。 |</v>
      </c>
    </row>
    <row r="13142" spans="1:44" hidden="1">
      <c r="A13142" s="1" t="s">
        <v>27346</v>
      </c>
      <c r="C13142" s="1">
        <v>1</v>
      </c>
      <c r="D13142" s="1" t="str">
        <f>"11676"</f>
        <v>11676</v>
      </c>
      <c r="E13142" s="1" t="s">
        <v>40</v>
      </c>
      <c r="F13142" s="1">
        <v>14</v>
      </c>
      <c r="G13142" s="1">
        <v>9</v>
      </c>
      <c r="H13142" s="1">
        <v>0</v>
      </c>
      <c r="I13142" s="1" t="s">
        <v>27279</v>
      </c>
      <c r="K13142" s="1" t="str">
        <f t="shared" si="830"/>
        <v>ㄩ</v>
      </c>
      <c r="M13142" s="1" t="str">
        <f t="shared" si="829"/>
        <v/>
      </c>
      <c r="N13142" s="3" t="s">
        <v>30574</v>
      </c>
      <c r="O13142" s="3"/>
      <c r="P13142" s="1" t="s">
        <v>20</v>
      </c>
      <c r="R13142" s="1" t="s">
        <v>27280</v>
      </c>
      <c r="V13142" s="1" t="s">
        <v>27347</v>
      </c>
      <c r="AR13142" s="1" t="str">
        <f t="shared" si="828"/>
        <v>| [ㄩˋ](ㄩˋ.md) | [瘉](瘉.md) |  | yù | [名]
1.病。《爾雅．釋詁下》：「瘉，病也。」《詩經．小雅．正月》：「父母生我，胡俾我瘉。」
2.賢才。《國語．晉語九》：「趙簡子問於壯馳茲曰：『東方之士孰為瘉？』」三國吳．韋昭．注：「瘉，賢也。」
[動]
1.病好了。《漢書．卷一．高帝紀上》：「漢王疾瘉，西入關，至櫟陽。」南朝梁．簡文帝〈答湘東王書〉：「雖西山白鹿，懼不能瘉。」
2.超過、勝過。《漢書．卷五〇．汲黯傳》：「使黯任職居官，亡以瘉人，然至其輔少主守成，雖自謂賁育弗能奪也。」
[副]
更加。通「愈」。《荀子．堯問》：「吾三相楚而心瘉卑，每益祿而施瘉博。」 |</v>
      </c>
    </row>
    <row r="13143" spans="1:44" hidden="1">
      <c r="A13143" s="1" t="s">
        <v>27348</v>
      </c>
      <c r="C13143" s="1">
        <v>1</v>
      </c>
      <c r="D13143" s="1" t="str">
        <f>"11677"</f>
        <v>11677</v>
      </c>
      <c r="E13143" s="1" t="s">
        <v>331</v>
      </c>
      <c r="F13143" s="1">
        <v>16</v>
      </c>
      <c r="G13143" s="1">
        <v>9</v>
      </c>
      <c r="H13143" s="1">
        <v>0</v>
      </c>
      <c r="I13143" s="1" t="s">
        <v>27279</v>
      </c>
      <c r="K13143" s="1" t="str">
        <f t="shared" si="830"/>
        <v>ㄩ</v>
      </c>
      <c r="M13143" s="1" t="str">
        <f t="shared" si="829"/>
        <v/>
      </c>
      <c r="N13143" s="3" t="s">
        <v>30574</v>
      </c>
      <c r="O13143" s="3"/>
      <c r="P13143" s="1" t="s">
        <v>20</v>
      </c>
      <c r="R13143" s="1" t="s">
        <v>27280</v>
      </c>
      <c r="V13143" s="1" t="s">
        <v>27349</v>
      </c>
      <c r="AR13143" s="1" t="str">
        <f t="shared" si="828"/>
        <v>| [ㄩˋ](ㄩˋ.md) | [諭](諭.md) |  | yù | [動]_x000D_
1.告知、曉喻。《淮南子．氾論》：「教寡人以道者擊鼓，諭寡人以義者擊鐘，告寡人以事者振鐸。」《史記．卷七．項羽本紀》：「梁乃召故所知豪吏，諭以所為起大事，遂舉吳中兵。」_x000D_
2.明白、了解。《荀子．儒效》：「其言多當矣，而未諭也。」_x000D_
3.表明。《淮南子．主術》：「衰絰菅屨，辟踊哭泣，所以諭哀也。」唐．柳宗元〈答元饒州論政理書〉：「必勞申諭，乃得悅服。」_x000D_
4.比喻、比擬。《戰國策．齊策四》：「請以市諭，市朝則滿，夕則虛，非朝愛市而夕憎之也，求存故往，亡故去。」_x000D_
[名]_x000D_
1.上對下的命令告語。如：「聖諭」。《北史．卷二二．列傳．長孫嵩》：「上遣平持節宣諭，令其和解。」清．孔尚任《桃花扇》第一〇齣：「若肯發一手諭，必能退卻。」_x000D_
2.姓。如漢代有諭瑮。 |</v>
      </c>
    </row>
    <row r="13144" spans="1:44" hidden="1">
      <c r="A13144" s="1" t="s">
        <v>27350</v>
      </c>
      <c r="C13144" s="1">
        <v>1</v>
      </c>
      <c r="D13144" s="1" t="str">
        <f>"11678"</f>
        <v>11678</v>
      </c>
      <c r="E13144" s="1" t="s">
        <v>40</v>
      </c>
      <c r="F13144" s="1">
        <v>18</v>
      </c>
      <c r="G13144" s="1">
        <v>13</v>
      </c>
      <c r="H13144" s="1">
        <v>0</v>
      </c>
      <c r="I13144" s="1" t="s">
        <v>27279</v>
      </c>
      <c r="K13144" s="1" t="str">
        <f t="shared" si="830"/>
        <v>ㄩ</v>
      </c>
      <c r="M13144" s="1" t="str">
        <f t="shared" si="829"/>
        <v/>
      </c>
      <c r="N13144" s="3" t="s">
        <v>30574</v>
      </c>
      <c r="O13144" s="3"/>
      <c r="P13144" s="1" t="s">
        <v>20</v>
      </c>
      <c r="R13144" s="1" t="s">
        <v>27280</v>
      </c>
      <c r="V13144" s="1" t="s">
        <v>27351</v>
      </c>
      <c r="AR13144" s="1" t="str">
        <f t="shared" si="828"/>
        <v>| [ㄩˋ](ㄩˋ.md) | [癒](癒.md) |  | yù | [動]
病好了。通「愈」、「瘉」。《集韻．上聲．虞韻》：「病瘳也。或作瘉。」如：「痊癒」、「病癒」。 |</v>
      </c>
    </row>
    <row r="13145" spans="1:44" hidden="1">
      <c r="A13145" s="1" t="s">
        <v>27352</v>
      </c>
      <c r="C13145" s="1">
        <v>1</v>
      </c>
      <c r="D13145" s="1" t="str">
        <f>"11679"</f>
        <v>11679</v>
      </c>
      <c r="E13145" s="1" t="s">
        <v>1335</v>
      </c>
      <c r="F13145" s="1">
        <v>10</v>
      </c>
      <c r="G13145" s="1">
        <v>7</v>
      </c>
      <c r="H13145" s="1">
        <v>0</v>
      </c>
      <c r="I13145" s="1" t="s">
        <v>27279</v>
      </c>
      <c r="K13145" s="1" t="str">
        <f t="shared" si="830"/>
        <v>ㄩ</v>
      </c>
      <c r="M13145" s="1" t="str">
        <f t="shared" si="829"/>
        <v/>
      </c>
      <c r="N13145" s="3" t="s">
        <v>30574</v>
      </c>
      <c r="O13145" s="3"/>
      <c r="P13145" s="1" t="s">
        <v>20</v>
      </c>
      <c r="R13145" s="1" t="s">
        <v>27280</v>
      </c>
      <c r="V13145" s="1" t="s">
        <v>27353</v>
      </c>
      <c r="AR13145" s="1" t="str">
        <f t="shared" si="828"/>
        <v>| [ㄩˋ](ㄩˋ.md) | [彧](彧.md) |  | yù | [形]
1.有文采的。清．王念孫《廣雅疏證．卷三上．釋詁》：「彧，文也。」疏證：「彧者，《說文》：『戫，有文章也。』《論語八佾篇》：『郁郁乎文哉。』彧、戫、郁並通。」
2.茂盛。明．徐弘祖《徐霞客遊記．卷五上．滇遊日記二》：「其中田禾芃彧，村落高下。」 |</v>
      </c>
    </row>
    <row r="13146" spans="1:44" hidden="1">
      <c r="A13146" s="1" t="s">
        <v>17348</v>
      </c>
      <c r="C13146" s="1">
        <v>1</v>
      </c>
      <c r="D13146" s="1" t="str">
        <f>"11680"</f>
        <v>11680</v>
      </c>
      <c r="E13146" s="1" t="s">
        <v>129</v>
      </c>
      <c r="F13146" s="1">
        <v>11</v>
      </c>
      <c r="G13146" s="1">
        <v>8</v>
      </c>
      <c r="H13146" s="1">
        <v>1</v>
      </c>
      <c r="I13146" s="1" t="s">
        <v>27279</v>
      </c>
      <c r="K13146" s="1" t="str">
        <f t="shared" si="830"/>
        <v>ㄩ</v>
      </c>
      <c r="M13146" s="1" t="str">
        <f t="shared" si="829"/>
        <v/>
      </c>
      <c r="N13146" s="3" t="s">
        <v>30574</v>
      </c>
      <c r="O13146" s="3"/>
      <c r="P13146" s="1" t="s">
        <v>20</v>
      </c>
      <c r="R13146" s="1" t="s">
        <v>27280</v>
      </c>
      <c r="V13146" s="1" t="s">
        <v>27354</v>
      </c>
      <c r="W13146" s="1" t="s">
        <v>27355</v>
      </c>
      <c r="AR13146" s="1" t="str">
        <f t="shared" si="828"/>
        <v>| [ㄩˋ](ㄩˋ.md) | [淢](淢.md) |  | yù | [名]
湍急的水流。《淮南子．本經》：「抑淢怒瀨，以揚激波。」《文選．張衡．南都賦》：「長輸遠逝，漻淚淢汩。」
[形]
悲傷的樣子。《文選．潘岳．笙賦》：「愀愴惻淢，虺韡煜熠。」 |</v>
      </c>
    </row>
    <row r="13147" spans="1:44" hidden="1">
      <c r="A13147" s="1" t="s">
        <v>27356</v>
      </c>
      <c r="C13147" s="1">
        <v>1</v>
      </c>
      <c r="D13147" s="1" t="str">
        <f>"11681"</f>
        <v>11681</v>
      </c>
      <c r="E13147" s="1" t="s">
        <v>132</v>
      </c>
      <c r="F13147" s="1">
        <v>11</v>
      </c>
      <c r="G13147" s="1">
        <v>8</v>
      </c>
      <c r="H13147" s="1">
        <v>0</v>
      </c>
      <c r="I13147" s="1" t="s">
        <v>27279</v>
      </c>
      <c r="K13147" s="1" t="str">
        <f t="shared" si="830"/>
        <v>ㄩ</v>
      </c>
      <c r="M13147" s="1" t="str">
        <f t="shared" si="829"/>
        <v/>
      </c>
      <c r="N13147" s="3" t="s">
        <v>30574</v>
      </c>
      <c r="O13147" s="3"/>
      <c r="P13147" s="1" t="s">
        <v>20</v>
      </c>
      <c r="R13147" s="1" t="s">
        <v>27280</v>
      </c>
      <c r="V13147" s="1" t="s">
        <v>27357</v>
      </c>
      <c r="AR13147" s="1" t="str">
        <f t="shared" si="828"/>
        <v>| [ㄩˋ](ㄩˋ.md) | [域](域.md) |  | yù | [名]
1.在一定範圍內的地區。如：「區域」、「海域」、「疆域」。《周禮．地官．大司徒》：「以天下土地之圖，周知九州地域廣輪之數。」
2.邦國。如：「異域」。唐．駱賓王〈代李敬業討武后檄〉：「請看今日之域中，竟是誰家之天下。」
3.墓地。《舊唐書．卷七九．呂才傳》：「古之葬者，並在國都之北，域兆既有常所，何取姓墓之義？」
[動]
1.限制。《孟子．公孫丑下》：「域民不以封疆之界，固國不以山谿之險。」
2.居住。《史記．卷二三．禮書》：「人域是域，士君子也。」 |</v>
      </c>
    </row>
    <row r="13148" spans="1:44" hidden="1">
      <c r="A13148" s="1" t="s">
        <v>27358</v>
      </c>
      <c r="C13148" s="1">
        <v>1</v>
      </c>
      <c r="D13148" s="1" t="str">
        <f>"11682"</f>
        <v>11682</v>
      </c>
      <c r="E13148" s="1" t="s">
        <v>28</v>
      </c>
      <c r="F13148" s="1">
        <v>11</v>
      </c>
      <c r="G13148" s="1">
        <v>8</v>
      </c>
      <c r="H13148" s="1">
        <v>0</v>
      </c>
      <c r="I13148" s="1" t="s">
        <v>27279</v>
      </c>
      <c r="K13148" s="1" t="str">
        <f t="shared" si="830"/>
        <v>ㄩ</v>
      </c>
      <c r="M13148" s="1" t="str">
        <f t="shared" si="829"/>
        <v/>
      </c>
      <c r="N13148" s="3" t="s">
        <v>30574</v>
      </c>
      <c r="O13148" s="3"/>
      <c r="P13148" s="1" t="s">
        <v>20</v>
      </c>
      <c r="R13148" s="1" t="s">
        <v>27280</v>
      </c>
      <c r="V13148" s="1" t="s">
        <v>27359</v>
      </c>
      <c r="AR13148" s="1" t="str">
        <f t="shared" si="828"/>
        <v>| [ㄩˋ](ㄩˋ.md) | [㖪](㖪.md) |  | yù | [動]
忽然發出嚇人的聲音。《通俗編．語辭引桂海虞衡志》：「粵中俗字有閄，和馘切，隱身忽出驚人之聲也。按：《揚子方言》：『㖪，聲也。』……所云閄宇，當以作㖪為正。」 |</v>
      </c>
    </row>
    <row r="13149" spans="1:44" hidden="1">
      <c r="A13149" s="1" t="s">
        <v>27360</v>
      </c>
      <c r="C13149" s="1">
        <v>1</v>
      </c>
      <c r="D13149" s="1" t="str">
        <f>"11683"</f>
        <v>11683</v>
      </c>
      <c r="E13149" s="1" t="s">
        <v>139</v>
      </c>
      <c r="F13149" s="1">
        <v>12</v>
      </c>
      <c r="G13149" s="1">
        <v>8</v>
      </c>
      <c r="H13149" s="1">
        <v>0</v>
      </c>
      <c r="I13149" s="1" t="s">
        <v>27279</v>
      </c>
      <c r="K13149" s="1" t="str">
        <f t="shared" si="830"/>
        <v>ㄩ</v>
      </c>
      <c r="M13149" s="1" t="str">
        <f t="shared" si="829"/>
        <v/>
      </c>
      <c r="N13149" s="3" t="s">
        <v>30574</v>
      </c>
      <c r="O13149" s="3"/>
      <c r="P13149" s="1" t="s">
        <v>20</v>
      </c>
      <c r="R13149" s="1" t="s">
        <v>27280</v>
      </c>
      <c r="V13149" s="1" t="s">
        <v>27361</v>
      </c>
      <c r="AR13149" s="1" t="str">
        <f t="shared" si="828"/>
        <v>| [ㄩˋ](ㄩˋ.md) | [棫](棫.md) |  | yù | [名]
植物名。薔薇科扁核木屬，「白桵」、「扁核木」之古稱，參見「白桵」條。《爾雅．釋木》：「棫，白桵。」晉．郭璞．注：「桵，小木叢生，有刺，實如耳璫，紫赤可啖。」 |</v>
      </c>
    </row>
    <row r="13150" spans="1:44" hidden="1">
      <c r="A13150" s="1" t="s">
        <v>27362</v>
      </c>
      <c r="C13150" s="1">
        <v>1</v>
      </c>
      <c r="D13150" s="1" t="str">
        <f>"11684"</f>
        <v>11684</v>
      </c>
      <c r="E13150" s="1" t="s">
        <v>118</v>
      </c>
      <c r="F13150" s="1">
        <v>13</v>
      </c>
      <c r="G13150" s="1">
        <v>8</v>
      </c>
      <c r="H13150" s="1">
        <v>0</v>
      </c>
      <c r="I13150" s="1" t="s">
        <v>27279</v>
      </c>
      <c r="K13150" s="1" t="str">
        <f t="shared" si="830"/>
        <v>ㄩ</v>
      </c>
      <c r="M13150" s="1" t="str">
        <f t="shared" si="829"/>
        <v/>
      </c>
      <c r="N13150" s="3" t="s">
        <v>30574</v>
      </c>
      <c r="O13150" s="3"/>
      <c r="P13150" s="1" t="s">
        <v>20</v>
      </c>
      <c r="R13150" s="1" t="s">
        <v>27280</v>
      </c>
      <c r="V13150" s="1" t="s">
        <v>27363</v>
      </c>
      <c r="AR13150" s="1" t="str">
        <f t="shared" si="828"/>
        <v>| [ㄩˋ](ㄩˋ.md) | [罭](罭.md) |  | yù | 參見「九罭」條。 |</v>
      </c>
    </row>
    <row r="13151" spans="1:44" hidden="1">
      <c r="A13151" s="1" t="s">
        <v>27364</v>
      </c>
      <c r="C13151" s="1">
        <v>1</v>
      </c>
      <c r="D13151" s="1" t="str">
        <f>"11685"</f>
        <v>11685</v>
      </c>
      <c r="E13151" s="1" t="s">
        <v>679</v>
      </c>
      <c r="F13151" s="1">
        <v>14</v>
      </c>
      <c r="G13151" s="1">
        <v>8</v>
      </c>
      <c r="H13151" s="1">
        <v>0</v>
      </c>
      <c r="I13151" s="1" t="s">
        <v>27279</v>
      </c>
      <c r="K13151" s="1" t="str">
        <f t="shared" si="830"/>
        <v>ㄩ</v>
      </c>
      <c r="M13151" s="1" t="str">
        <f t="shared" si="829"/>
        <v/>
      </c>
      <c r="N13151" s="3" t="s">
        <v>30574</v>
      </c>
      <c r="O13151" s="3"/>
      <c r="P13151" s="1" t="s">
        <v>20</v>
      </c>
      <c r="R13151" s="1" t="s">
        <v>27280</v>
      </c>
      <c r="V13151" s="1" t="s">
        <v>27365</v>
      </c>
      <c r="AR13151" s="1" t="str">
        <f t="shared" si="828"/>
        <v>| [ㄩˋ](ㄩˋ.md) | [蜮](蜮.md) |  | yù | [名]
1.傳說中一種會害人的水中毒蟲，形狀似鱉，能含沙射人。《抱朴子．內篇．登涉》：「又有短狐，一名蜮，一名射工，一名射影，其實水蟲也。……如聞人聲，緣口中物如角弩，以氣為矢，則因水而射人，中人身者，即發瘡，中影者亦病。」唐．白居易〈寄元九〉詩：「山無殺草霜，水有含沙蜮。」也稱為「短狐」。
2.一種食苗葉的害蟲。《呂氏春秋．士容論．任地》：「大草不生，又無螟蜮。」漢．高誘．注：「食葉曰蜮。」 |</v>
      </c>
    </row>
    <row r="13152" spans="1:44" hidden="1">
      <c r="A13152" s="1" t="s">
        <v>27366</v>
      </c>
      <c r="C13152" s="1">
        <v>1</v>
      </c>
      <c r="D13152" s="1" t="str">
        <f>"11686"</f>
        <v>11686</v>
      </c>
      <c r="E13152" s="1" t="s">
        <v>725</v>
      </c>
      <c r="F13152" s="1">
        <v>14</v>
      </c>
      <c r="G13152" s="1">
        <v>8</v>
      </c>
      <c r="H13152" s="1">
        <v>0</v>
      </c>
      <c r="I13152" s="1" t="s">
        <v>27279</v>
      </c>
      <c r="K13152" s="1" t="str">
        <f t="shared" si="830"/>
        <v>ㄩ</v>
      </c>
      <c r="M13152" s="1" t="str">
        <f t="shared" si="829"/>
        <v/>
      </c>
      <c r="N13152" s="3" t="s">
        <v>30574</v>
      </c>
      <c r="O13152" s="3"/>
      <c r="P13152" s="1" t="s">
        <v>20</v>
      </c>
      <c r="R13152" s="1" t="s">
        <v>27280</v>
      </c>
      <c r="V13152" s="1" t="s">
        <v>27367</v>
      </c>
      <c r="AR13152" s="1" t="str">
        <f t="shared" si="828"/>
        <v>| [ㄩˋ](ㄩˋ.md) | [緎](緎.md) |  | yù | [名]
1.毛皮的接縫處。《爾雅．釋訓》：「緎，羔裘之縫也。」邢昺疏引孫炎曰：「緎之為界緎，然則縫合羔羊皮為裘，縫即皮之界緎，因名裘縫為緎。」
2.量詞。古代計算絲的單位。二十縷絲為一緎。《詩經．召南．羔羊》：「羔羊之革，素絲五緎。」 |</v>
      </c>
    </row>
    <row r="13153" spans="1:44" hidden="1">
      <c r="A13153" s="1" t="s">
        <v>27368</v>
      </c>
      <c r="C13153" s="1">
        <v>1</v>
      </c>
      <c r="D13153" s="1" t="str">
        <f>"11687"</f>
        <v>11687</v>
      </c>
      <c r="E13153" s="1" t="s">
        <v>709</v>
      </c>
      <c r="F13153" s="1">
        <v>16</v>
      </c>
      <c r="G13153" s="1">
        <v>8</v>
      </c>
      <c r="H13153" s="1">
        <v>0</v>
      </c>
      <c r="I13153" s="1" t="s">
        <v>27279</v>
      </c>
      <c r="K13153" s="1" t="str">
        <f t="shared" si="830"/>
        <v>ㄩ</v>
      </c>
      <c r="M13153" s="1" t="str">
        <f t="shared" si="829"/>
        <v/>
      </c>
      <c r="N13153" s="3" t="s">
        <v>30574</v>
      </c>
      <c r="O13153" s="3"/>
      <c r="P13153" s="1" t="s">
        <v>20</v>
      </c>
      <c r="R13153" s="1" t="s">
        <v>27280</v>
      </c>
      <c r="V13153" s="1" t="s">
        <v>27369</v>
      </c>
      <c r="AR13153" s="1" t="str">
        <f t="shared" si="828"/>
        <v>| [ㄩˋ](ㄩˋ.md) | [閾](閾.md) |  | yù | [名]
1.門檻。《禮記．玉藻》：「賓入，不中門，不履閾。」唐．白居易〈續古詩〉十首之五：「晝居不踰閾，夜行常秉燭。」
2.門。《文選．曹植．應詔》：「仰瞻城閾，俯惟闕庭。」《文選．潘岳．西征賦》：「戾飲馬之陽橋，踐宣平之清閾。」唐．李善．注：「長安東出北頭第一城門名宣平門。」
3.界限、範圍。如：「視閾」、「聽閾」。
[動]
限制。唐．賈至〈虎牢關銘序〉：「宜其咽喉九州，閫閾中夏。」 |</v>
      </c>
    </row>
    <row r="13154" spans="1:44" hidden="1">
      <c r="A13154" s="1" t="s">
        <v>27370</v>
      </c>
      <c r="C13154" s="1">
        <v>1</v>
      </c>
      <c r="D13154" s="1" t="str">
        <f>"11688"</f>
        <v>11688</v>
      </c>
      <c r="E13154" s="1" t="s">
        <v>83</v>
      </c>
      <c r="F13154" s="1">
        <v>18</v>
      </c>
      <c r="G13154" s="1">
        <v>8</v>
      </c>
      <c r="H13154" s="1">
        <v>0</v>
      </c>
      <c r="I13154" s="1" t="s">
        <v>27279</v>
      </c>
      <c r="K13154" s="1" t="str">
        <f t="shared" si="830"/>
        <v>ㄩ</v>
      </c>
      <c r="M13154" s="1" t="str">
        <f t="shared" si="829"/>
        <v/>
      </c>
      <c r="N13154" s="3" t="s">
        <v>30574</v>
      </c>
      <c r="O13154" s="3"/>
      <c r="P13154" s="1" t="s">
        <v>20</v>
      </c>
      <c r="R13154" s="1" t="s">
        <v>27280</v>
      </c>
      <c r="V13154" s="1" t="s">
        <v>27371</v>
      </c>
      <c r="AR13154" s="1" t="str">
        <f t="shared" si="828"/>
        <v>| [ㄩˋ](ㄩˋ.md) | [魊](魊.md) |  | yù | [名]
鬼魊：旋風。《廣韻．入聲．德韻》：「魊，鬼魊，旋風。」 |</v>
      </c>
    </row>
    <row r="13155" spans="1:44" hidden="1">
      <c r="A13155" s="1" t="s">
        <v>25299</v>
      </c>
      <c r="C13155" s="1">
        <v>1</v>
      </c>
      <c r="D13155" s="1" t="str">
        <f>"11689"</f>
        <v>11689</v>
      </c>
      <c r="E13155" s="1" t="s">
        <v>234</v>
      </c>
      <c r="F13155" s="1">
        <v>11</v>
      </c>
      <c r="G13155" s="1">
        <v>8</v>
      </c>
      <c r="H13155" s="1">
        <v>1</v>
      </c>
      <c r="I13155" s="1" t="s">
        <v>27279</v>
      </c>
      <c r="K13155" s="1" t="str">
        <f t="shared" si="830"/>
        <v>ㄩ</v>
      </c>
      <c r="M13155" s="1" t="str">
        <f t="shared" si="829"/>
        <v/>
      </c>
      <c r="N13155" s="3" t="s">
        <v>30574</v>
      </c>
      <c r="O13155" s="3"/>
      <c r="P13155" s="1" t="s">
        <v>20</v>
      </c>
      <c r="R13155" s="1" t="s">
        <v>27280</v>
      </c>
      <c r="V13155" s="1" t="s">
        <v>27372</v>
      </c>
      <c r="W13155" s="1" t="s">
        <v>27373</v>
      </c>
      <c r="AR13155" s="1" t="str">
        <f t="shared" si="828"/>
        <v>| [ㄩˋ](ㄩˋ.md) | [御](御.md) |  | yù | [動]
1.駕馭車馬。《說文解字．彳部》：「御，使馬也。」如：「駕御」、「御馬」。《韓非子．難三》：「知伯出，魏宣子御，韓康子為驂乘。」
2.統治、治理。《書經．大禹謨》：「臨下以簡，御眾以寬。」《國語．周語上》：「瞽告有協風至，王即齋宮，百官御事。」
3.侍奉。《書經．五子之歌》：「厥弟五人，御其母以從。」漢．孔安國．傳：「御，侍也。」
4.進獻。《禮記．曲禮上》：「御食於君，君賜餘器之溉者，不寫，其餘皆寫。」
5.抵擋、阻止。通「禦」。《詩經．邶風．谷風》：「我有旨蓄，亦以御冬。」《史記．卷一一〇．匈奴傳》：「是歲漢兵之出擊匈奴者，不得言功多少，功不得御。」
[形]
天子的、帝王的。如：「御膳」、「御醫」、「御花園」。
[名]
1.駕車的人。《詩經．小雅．車攻》：「徒御不驚，大庖不盈。」《左傳．成公十六年》：「其御屢顧，不在馬。」
2.侍從、僕役。《國語．吳語一》：「一介嫡男，奉槃匜以隨諸御。」唐．李白〈南奔書懷〉詩：「賓御如浮雲，從風各消散。」
3.姓。如周代有御鞅。 |</v>
      </c>
    </row>
    <row r="13156" spans="1:44" hidden="1">
      <c r="A13156" s="1" t="s">
        <v>27374</v>
      </c>
      <c r="C13156" s="1">
        <v>1</v>
      </c>
      <c r="D13156" s="1" t="str">
        <f>"11690"</f>
        <v>11690</v>
      </c>
      <c r="E13156" s="1" t="s">
        <v>825</v>
      </c>
      <c r="F13156" s="1">
        <v>16</v>
      </c>
      <c r="G13156" s="1">
        <v>11</v>
      </c>
      <c r="H13156" s="1">
        <v>0</v>
      </c>
      <c r="I13156" s="1" t="s">
        <v>27279</v>
      </c>
      <c r="K13156" s="1" t="str">
        <f t="shared" si="830"/>
        <v>ㄩ</v>
      </c>
      <c r="M13156" s="1" t="str">
        <f t="shared" si="829"/>
        <v/>
      </c>
      <c r="N13156" s="3" t="s">
        <v>30574</v>
      </c>
      <c r="O13156" s="3"/>
      <c r="P13156" s="1" t="s">
        <v>20</v>
      </c>
      <c r="R13156" s="1" t="s">
        <v>27280</v>
      </c>
      <c r="V13156" s="1" t="s">
        <v>27375</v>
      </c>
      <c r="AR13156" s="1" t="str">
        <f t="shared" si="828"/>
        <v>| [ㄩˋ](ㄩˋ.md) | [禦](禦.md) |  | yù | [動]
1.抵抗、抵擋。如：「防禦」、「禦寒」。《詩經．小雅．常棣》：「兄弟䦧於牆，外禦其務。」《國語．齊語》：「君有此士也三萬人，以方行於天下，以誅無道，以屏周室，天下大國之君莫之能禦。」
2.阻止、禁止。《周禮．秋官．司寤氏》：「禦晨行者，禁宵行者。」
[名]
1.強權、暴虐。《孟子．萬章下》：「今之諸侯取之於民也，猶禦也。」《抱朴子．外篇．行品》：「然而膽勁心方，不畏強禦，義正所在，視死猶歸。」
2.侍衛、衛兵。《隋書．卷二八．百官志下》：「改領軍為左右屯衛，加置左右禦。」《新唐書．卷一六二．獨孤及傳》：「自可扼要害之地，俾置屯禦，悉休其餘。」 |</v>
      </c>
    </row>
    <row r="13157" spans="1:44" hidden="1">
      <c r="A13157" s="1" t="s">
        <v>27376</v>
      </c>
      <c r="C13157" s="1">
        <v>1</v>
      </c>
      <c r="D13157" s="1" t="str">
        <f>"11691"</f>
        <v>11691</v>
      </c>
      <c r="E13157" s="1" t="s">
        <v>49</v>
      </c>
      <c r="F13157" s="1">
        <v>17</v>
      </c>
      <c r="G13157" s="1">
        <v>11</v>
      </c>
      <c r="H13157" s="1">
        <v>0</v>
      </c>
      <c r="I13157" s="1" t="s">
        <v>27279</v>
      </c>
      <c r="K13157" s="1" t="str">
        <f t="shared" si="830"/>
        <v>ㄩ</v>
      </c>
      <c r="M13157" s="1" t="str">
        <f t="shared" si="829"/>
        <v/>
      </c>
      <c r="N13157" s="3" t="s">
        <v>30574</v>
      </c>
      <c r="O13157" s="3"/>
      <c r="P13157" s="1" t="s">
        <v>20</v>
      </c>
      <c r="R13157" s="1" t="s">
        <v>27280</v>
      </c>
      <c r="V13157" s="1" t="s">
        <v>27377</v>
      </c>
      <c r="AR13157" s="1" t="str">
        <f t="shared" si="828"/>
        <v>| [ㄩˋ](ㄩˋ.md) | [篽](篽.md) |  | yù | [名]
禁苑，皇宮內的園林。《說文解字．竹部》：「篽，禁苑也。」《漢書．卷八．宣帝紀》：「池篽未御幸者，假與貧民。」顏師古注引應劭曰：「池者，陂池也。篽者，禁苑也。」 |</v>
      </c>
    </row>
    <row r="13158" spans="1:44" hidden="1">
      <c r="A13158" s="1" t="s">
        <v>26818</v>
      </c>
      <c r="C13158" s="1">
        <v>1</v>
      </c>
      <c r="D13158" s="1" t="str">
        <f>"11692"</f>
        <v>11692</v>
      </c>
      <c r="E13158" s="1" t="s">
        <v>1595</v>
      </c>
      <c r="F13158" s="1">
        <v>11</v>
      </c>
      <c r="G13158" s="1">
        <v>8</v>
      </c>
      <c r="H13158" s="1">
        <v>2</v>
      </c>
      <c r="I13158" s="1" t="s">
        <v>27279</v>
      </c>
      <c r="K13158" s="1" t="str">
        <f t="shared" si="830"/>
        <v>ㄩ</v>
      </c>
      <c r="M13158" s="1" t="str">
        <f t="shared" si="829"/>
        <v/>
      </c>
      <c r="N13158" s="3" t="s">
        <v>30574</v>
      </c>
      <c r="O13158" s="3"/>
      <c r="P13158" s="1" t="s">
        <v>20</v>
      </c>
      <c r="R13158" s="1" t="s">
        <v>27280</v>
      </c>
      <c r="V13158" s="1" t="s">
        <v>27378</v>
      </c>
      <c r="W13158" s="1" t="s">
        <v>27379</v>
      </c>
      <c r="AR13158" s="1" t="str">
        <f t="shared" si="828"/>
        <v>| [ㄩˋ](ㄩˋ.md) | [尉](尉.md) |  | yù | [名]
姓。如春秋時鄭國有尉止。 |</v>
      </c>
    </row>
    <row r="13159" spans="1:44" hidden="1">
      <c r="A13159" s="1" t="s">
        <v>26821</v>
      </c>
      <c r="C13159" s="1">
        <v>1</v>
      </c>
      <c r="D13159" s="1" t="str">
        <f>"11693"</f>
        <v>11693</v>
      </c>
      <c r="E13159" s="1" t="s">
        <v>37</v>
      </c>
      <c r="F13159" s="1">
        <v>15</v>
      </c>
      <c r="G13159" s="1">
        <v>11</v>
      </c>
      <c r="H13159" s="1">
        <v>2</v>
      </c>
      <c r="I13159" s="1" t="s">
        <v>27279</v>
      </c>
      <c r="K13159" s="1" t="str">
        <f t="shared" si="830"/>
        <v>ㄩ</v>
      </c>
      <c r="M13159" s="1" t="str">
        <f t="shared" si="829"/>
        <v/>
      </c>
      <c r="N13159" s="3" t="s">
        <v>30574</v>
      </c>
      <c r="O13159" s="3"/>
      <c r="P13159" s="1" t="s">
        <v>20</v>
      </c>
      <c r="R13159" s="1" t="s">
        <v>27280</v>
      </c>
      <c r="V13159" s="1" t="s">
        <v>27380</v>
      </c>
      <c r="W13159" s="1" t="s">
        <v>27381</v>
      </c>
      <c r="AR13159" s="1" t="str">
        <f t="shared" si="828"/>
        <v>| [ㄩˋ](ㄩˋ.md) | [蔚](蔚.md) |  | yù | [名]
姓。如明代有蔚能。 |</v>
      </c>
    </row>
    <row r="13160" spans="1:44" hidden="1">
      <c r="A13160" s="1" t="s">
        <v>27382</v>
      </c>
      <c r="C13160" s="1">
        <v>1</v>
      </c>
      <c r="D13160" s="1" t="str">
        <f>"11694"</f>
        <v>11694</v>
      </c>
      <c r="E13160" s="1" t="s">
        <v>336</v>
      </c>
      <c r="F13160" s="1">
        <v>15</v>
      </c>
      <c r="G13160" s="1">
        <v>11</v>
      </c>
      <c r="H13160" s="1">
        <v>2</v>
      </c>
      <c r="I13160" s="1" t="s">
        <v>27279</v>
      </c>
      <c r="K13160" s="1" t="str">
        <f t="shared" si="830"/>
        <v>ㄩ</v>
      </c>
      <c r="M13160" s="1" t="str">
        <f t="shared" si="829"/>
        <v/>
      </c>
      <c r="N13160" s="3" t="s">
        <v>30574</v>
      </c>
      <c r="O13160" s="3"/>
      <c r="P13160" s="1" t="s">
        <v>20</v>
      </c>
      <c r="R13160" s="1" t="s">
        <v>27280</v>
      </c>
      <c r="V13160" s="1" t="s">
        <v>27383</v>
      </c>
      <c r="W13160" s="1" t="s">
        <v>27384</v>
      </c>
      <c r="AR13160" s="1" t="str">
        <f t="shared" si="828"/>
        <v>| [ㄩˋ](ㄩˋ.md) | [熨](熨.md) |  | yù | 參見「熨貼」條。 |</v>
      </c>
    </row>
    <row r="13161" spans="1:44" hidden="1">
      <c r="A13161" s="1" t="s">
        <v>27385</v>
      </c>
      <c r="C13161" s="1">
        <v>1</v>
      </c>
      <c r="D13161" s="1" t="str">
        <f>"11695"</f>
        <v>11695</v>
      </c>
      <c r="E13161" s="1" t="s">
        <v>139</v>
      </c>
      <c r="F13161" s="1">
        <v>12</v>
      </c>
      <c r="G13161" s="1">
        <v>8</v>
      </c>
      <c r="H13161" s="1">
        <v>0</v>
      </c>
      <c r="I13161" s="1" t="s">
        <v>27279</v>
      </c>
      <c r="K13161" s="1" t="str">
        <f t="shared" si="830"/>
        <v>ㄩ</v>
      </c>
      <c r="M13161" s="1" t="str">
        <f t="shared" si="829"/>
        <v/>
      </c>
      <c r="N13161" s="3" t="s">
        <v>30574</v>
      </c>
      <c r="O13161" s="3"/>
      <c r="P13161" s="1" t="s">
        <v>20</v>
      </c>
      <c r="R13161" s="1" t="s">
        <v>27280</v>
      </c>
      <c r="V13161" s="1" t="s">
        <v>27386</v>
      </c>
      <c r="AR13161" s="1" t="str">
        <f t="shared" si="828"/>
        <v>| [ㄩˋ](ㄩˋ.md) | [棜](棜.md) |  | yù | [名]
古代祭祀時用來置放酒杯的承盤。長方形，似案，無足。《集韻．去聲．御韻》：「棜，承樽器，如案無足。」 |</v>
      </c>
    </row>
    <row r="13162" spans="1:44" hidden="1">
      <c r="A13162" s="1" t="s">
        <v>24339</v>
      </c>
      <c r="C13162" s="1">
        <v>1</v>
      </c>
      <c r="D13162" s="1" t="str">
        <f>"11696"</f>
        <v>11696</v>
      </c>
      <c r="E13162" s="1" t="s">
        <v>709</v>
      </c>
      <c r="F13162" s="1">
        <v>16</v>
      </c>
      <c r="G13162" s="1">
        <v>8</v>
      </c>
      <c r="H13162" s="1">
        <v>3</v>
      </c>
      <c r="I13162" s="1" t="s">
        <v>27279</v>
      </c>
      <c r="K13162" s="1" t="str">
        <f t="shared" si="830"/>
        <v>ㄩ</v>
      </c>
      <c r="M13162" s="1" t="str">
        <f t="shared" si="829"/>
        <v/>
      </c>
      <c r="N13162" s="3" t="s">
        <v>30574</v>
      </c>
      <c r="O13162" s="3"/>
      <c r="P13162" s="1" t="s">
        <v>20</v>
      </c>
      <c r="R13162" s="1" t="s">
        <v>27280</v>
      </c>
      <c r="V13162" s="1" t="s">
        <v>27387</v>
      </c>
      <c r="W13162" s="1" t="s">
        <v>27388</v>
      </c>
      <c r="AR13162" s="1" t="str">
        <f t="shared" si="828"/>
        <v>| [ㄩˋ](ㄩˋ.md) | [閼](閼.md) |  | yù | 參見「閼與」條。 |</v>
      </c>
    </row>
    <row r="13163" spans="1:44" hidden="1">
      <c r="A13163" s="1" t="s">
        <v>27389</v>
      </c>
      <c r="C13163" s="1">
        <v>1</v>
      </c>
      <c r="D13163" s="1" t="str">
        <f>"11697"</f>
        <v>11697</v>
      </c>
      <c r="E13163" s="1" t="s">
        <v>319</v>
      </c>
      <c r="F13163" s="1">
        <v>12</v>
      </c>
      <c r="G13163" s="1">
        <v>2</v>
      </c>
      <c r="H13163" s="1">
        <v>0</v>
      </c>
      <c r="I13163" s="1" t="s">
        <v>27279</v>
      </c>
      <c r="K13163" s="1" t="str">
        <f t="shared" si="830"/>
        <v>ㄩ</v>
      </c>
      <c r="M13163" s="1" t="str">
        <f t="shared" si="829"/>
        <v/>
      </c>
      <c r="N13163" s="3" t="s">
        <v>30574</v>
      </c>
      <c r="O13163" s="3"/>
      <c r="P13163" s="1" t="s">
        <v>20</v>
      </c>
      <c r="R13163" s="1" t="s">
        <v>27280</v>
      </c>
      <c r="V13163" s="1" t="s">
        <v>27390</v>
      </c>
      <c r="AR13163" s="1" t="str">
        <f t="shared" si="828"/>
        <v>| [ㄩˋ](ㄩˋ.md) | [馭](馭.md) |  | yù | [動]
1.駕控馬匹。如：「駕馭馬車」。《書經．五子之歌》：「予臨兆民，懍乎若朽索之馭六馬。」
2.控制、統御。《周禮．天官．大宰》：「以八柄詔王馭群臣。」《南史．卷六．梁武帝本紀上》：「以茲寡薄，臨馭萬方。」
3.乘御、乘駕。唐．陳鴻《長恨傳》：「又能遊神馭氣，出天界、沒地府以求之，不見。」宋．蘇軾〈張文定公墓誌銘〉：「乘雲馭風，與汁漫期，噫天何時，復生此傑。」
[名]
駕控馬車的人。《莊子．盜跖》：「顏回為馭，子貢為右，往見盜跖。」唐．薛用弱《集異記．卷二．韋知微》：「車馬風塵，僕馭憔悴。」 |</v>
      </c>
    </row>
    <row r="13164" spans="1:44" hidden="1">
      <c r="A13164" s="1" t="s">
        <v>27391</v>
      </c>
      <c r="C13164" s="1">
        <v>1</v>
      </c>
      <c r="D13164" s="1" t="str">
        <f>"11698"</f>
        <v>11698</v>
      </c>
      <c r="E13164" s="1" t="s">
        <v>193</v>
      </c>
      <c r="F13164" s="1">
        <v>12</v>
      </c>
      <c r="G13164" s="1">
        <v>4</v>
      </c>
      <c r="H13164" s="1">
        <v>0</v>
      </c>
      <c r="I13164" s="1" t="s">
        <v>27279</v>
      </c>
      <c r="K13164" s="1" t="str">
        <f t="shared" si="830"/>
        <v>ㄩ</v>
      </c>
      <c r="M13164" s="1" t="str">
        <f t="shared" si="829"/>
        <v/>
      </c>
      <c r="N13164" s="3" t="s">
        <v>30574</v>
      </c>
      <c r="O13164" s="3"/>
      <c r="P13164" s="1" t="s">
        <v>20</v>
      </c>
      <c r="R13164" s="1" t="s">
        <v>27280</v>
      </c>
      <c r="V13164" s="1" t="s">
        <v>27392</v>
      </c>
      <c r="AR13164" s="1" t="str">
        <f t="shared" si="828"/>
        <v>| [ㄩˋ](ㄩˋ.md) | [飫](飫.md) |  | yù | [名]
宴食。《漢書．卷九二．游俠傳．陳遵傳》：「遵知飲酒飫宴有節，禮不入寡婦之門，而湛酒溷肴，亂男女之別。」
[動]
飽食、飽足。唐．李白〈上安州李長史書〉：「困河朔之清觴，飫中山之醇酎。」宋．陸游〈閑居對食書媿〉詩二首之二：「老病家居幸歲穰，味兼南北飫枯腸。」
[副]
滿、飽。唐．韓愈〈燕喜亭記〉：「極幽遐瑰詭之觀，宜其於山水飫聞而厭見也。」 |</v>
      </c>
    </row>
    <row r="13165" spans="1:44" hidden="1">
      <c r="A13165" s="1" t="s">
        <v>27393</v>
      </c>
      <c r="C13165" s="1">
        <v>1</v>
      </c>
      <c r="D13165" s="1" t="str">
        <f>"11699"</f>
        <v>11699</v>
      </c>
      <c r="E13165" s="1" t="s">
        <v>2930</v>
      </c>
      <c r="F13165" s="1">
        <v>12</v>
      </c>
      <c r="G13165" s="1">
        <v>7</v>
      </c>
      <c r="H13165" s="1">
        <v>0</v>
      </c>
      <c r="I13165" s="1" t="s">
        <v>27279</v>
      </c>
      <c r="K13165" s="1" t="str">
        <f t="shared" si="830"/>
        <v>ㄩ</v>
      </c>
      <c r="M13165" s="1" t="str">
        <f t="shared" si="829"/>
        <v/>
      </c>
      <c r="N13165" s="3" t="s">
        <v>30574</v>
      </c>
      <c r="O13165" s="3"/>
      <c r="P13165" s="1" t="s">
        <v>20</v>
      </c>
      <c r="R13165" s="1" t="s">
        <v>27280</v>
      </c>
      <c r="V13165" s="1" t="s">
        <v>27394</v>
      </c>
      <c r="AR13165" s="1" t="str">
        <f t="shared" si="828"/>
        <v>| [ㄩˋ](ㄩˋ.md) | [矞](矞.md) |  | yù | [動]
以錐穿刺。《說文解字．󰭸部》：「矞，以錐有所穿也。」
[形]
驚懼的樣子。《集韻．入聲．質韻》：「矞，驚遽貌。」
[名]
古代以為象徵祥瑞的彩雲。漢．董仲舒〈雨雹對〉：「雲則五色而為慶，三色而成矞。」《清史稿．卷九八．樂志五》：「成矞成卿，萬朵祥雲護帝霄。」 |</v>
      </c>
    </row>
    <row r="13166" spans="1:44" hidden="1">
      <c r="A13166" s="1" t="s">
        <v>27395</v>
      </c>
      <c r="C13166" s="1">
        <v>1</v>
      </c>
      <c r="D13166" s="1" t="str">
        <f>"11700"</f>
        <v>11700</v>
      </c>
      <c r="E13166" s="1" t="s">
        <v>558</v>
      </c>
      <c r="F13166" s="1">
        <v>16</v>
      </c>
      <c r="G13166" s="1">
        <v>12</v>
      </c>
      <c r="H13166" s="1">
        <v>0</v>
      </c>
      <c r="I13166" s="1" t="s">
        <v>27279</v>
      </c>
      <c r="K13166" s="1" t="str">
        <f t="shared" si="830"/>
        <v>ㄩ</v>
      </c>
      <c r="M13166" s="1" t="str">
        <f t="shared" si="829"/>
        <v/>
      </c>
      <c r="N13166" s="3" t="s">
        <v>30574</v>
      </c>
      <c r="O13166" s="3"/>
      <c r="P13166" s="1" t="s">
        <v>20</v>
      </c>
      <c r="R13166" s="1" t="s">
        <v>27280</v>
      </c>
      <c r="V13166" s="1" t="s">
        <v>27396</v>
      </c>
      <c r="AR13166" s="1" t="str">
        <f t="shared" si="828"/>
        <v>| [ㄩˋ](ㄩˋ.md) | [遹](遹.md) |  | yù | [動]
遵循。《書經．康誥》：「今民將在祇遹乃文考，紹聞衣德言。」《資治通鑑．卷六八．漢紀六十．獻帝建安二十四年》：「繼以孝明、孝章，遹追先志，臨雍拜老，橫經問道。」
[助]
句首發語詞，無義。《詩經．大雅．文王有聲》：「遹求厥寧，遹觀厥成。」
[名]
姓。如宋代有遹復。 |</v>
      </c>
    </row>
    <row r="13167" spans="1:44" hidden="1">
      <c r="A13167" s="1" t="s">
        <v>27397</v>
      </c>
      <c r="C13167" s="1">
        <v>1</v>
      </c>
      <c r="D13167" s="1" t="str">
        <f>"11701"</f>
        <v>11701</v>
      </c>
      <c r="E13167" s="1" t="s">
        <v>725</v>
      </c>
      <c r="F13167" s="1">
        <v>18</v>
      </c>
      <c r="G13167" s="1">
        <v>12</v>
      </c>
      <c r="H13167" s="1">
        <v>0</v>
      </c>
      <c r="I13167" s="1" t="s">
        <v>27279</v>
      </c>
      <c r="K13167" s="1" t="str">
        <f t="shared" si="830"/>
        <v>ㄩ</v>
      </c>
      <c r="M13167" s="1" t="str">
        <f t="shared" si="829"/>
        <v/>
      </c>
      <c r="N13167" s="3" t="s">
        <v>30574</v>
      </c>
      <c r="O13167" s="3"/>
      <c r="P13167" s="1" t="s">
        <v>20</v>
      </c>
      <c r="R13167" s="1" t="s">
        <v>27280</v>
      </c>
      <c r="V13167" s="1" t="s">
        <v>27398</v>
      </c>
      <c r="AR13167" s="1" t="str">
        <f t="shared" si="828"/>
        <v>| [ㄩˋ](ㄩˋ.md) | [繘](繘.md) |  | yù | [名]
汲水用的繩索。《玉篇．糸部》：「繘，綆也，用以汲水也。索也。」 |</v>
      </c>
    </row>
    <row r="13168" spans="1:44" hidden="1">
      <c r="A13168" s="1" t="s">
        <v>27399</v>
      </c>
      <c r="C13168" s="1">
        <v>1</v>
      </c>
      <c r="D13168" s="1" t="str">
        <f>"11702"</f>
        <v>11702</v>
      </c>
      <c r="E13168" s="1" t="s">
        <v>319</v>
      </c>
      <c r="F13168" s="1">
        <v>22</v>
      </c>
      <c r="G13168" s="1">
        <v>12</v>
      </c>
      <c r="H13168" s="1">
        <v>0</v>
      </c>
      <c r="I13168" s="1" t="s">
        <v>27279</v>
      </c>
      <c r="K13168" s="1" t="str">
        <f t="shared" si="830"/>
        <v>ㄩ</v>
      </c>
      <c r="M13168" s="1" t="str">
        <f t="shared" si="829"/>
        <v/>
      </c>
      <c r="N13168" s="3" t="s">
        <v>30574</v>
      </c>
      <c r="O13168" s="3"/>
      <c r="P13168" s="1" t="s">
        <v>20</v>
      </c>
      <c r="R13168" s="1" t="s">
        <v>27280</v>
      </c>
      <c r="V13168" s="1" t="s">
        <v>27400</v>
      </c>
      <c r="AR13168" s="1" t="str">
        <f t="shared" si="828"/>
        <v>| [ㄩˋ](ㄩˋ.md) | [驈](驈.md) |  | yù | [名]
兩股間白色的黑馬。《詩經．魯頌．駉》：「薄言駉者，有驈有皇。」漢．毛亨．傳：「驪馬白跨曰驈。」 |</v>
      </c>
    </row>
    <row r="13169" spans="1:44" hidden="1">
      <c r="A13169" s="1" t="s">
        <v>18345</v>
      </c>
      <c r="C13169" s="1">
        <v>1</v>
      </c>
      <c r="D13169" s="1" t="str">
        <f>"11704"</f>
        <v>11704</v>
      </c>
      <c r="E13169" s="1" t="s">
        <v>46</v>
      </c>
      <c r="F13169" s="1">
        <v>12</v>
      </c>
      <c r="G13169" s="1">
        <v>6</v>
      </c>
      <c r="H13169" s="1">
        <v>3</v>
      </c>
      <c r="I13169" s="1" t="s">
        <v>27279</v>
      </c>
      <c r="K13169" s="1" t="str">
        <f t="shared" si="830"/>
        <v>ㄩ</v>
      </c>
      <c r="M13169" s="1" t="str">
        <f t="shared" si="829"/>
        <v/>
      </c>
      <c r="N13169" s="3" t="s">
        <v>30574</v>
      </c>
      <c r="O13169" s="3"/>
      <c r="P13169" s="1" t="s">
        <v>20</v>
      </c>
      <c r="R13169" s="1" t="s">
        <v>27280</v>
      </c>
      <c r="V13169" s="1" t="s">
        <v>27401</v>
      </c>
      <c r="W13169" s="1" t="s">
        <v>27402</v>
      </c>
      <c r="AR13169" s="1" t="str">
        <f t="shared" si="828"/>
        <v>| [ㄩˋ](ㄩˋ.md) | [粥](粥.md) |  | yù | [動]
1.賣。同「鬻」。《禮記．曲禮下》：「君子雖貧，不粥祭器。」《孔子家語．卷七．刑政》：「果實不時不粥於市，五木不中伐不粥於市。」
2.養。《周禮．秋官．脩閭氏》：「掌比國中宿互柝者，與其國粥。」漢．鄭玄．注：「粥，養也。」
3.嫁出。《禮記．檀弓上》：「請粥庶弟之母。」漢．鄭玄．注：「粥，謂嫁之也。」 |</v>
      </c>
    </row>
    <row r="13170" spans="1:44" hidden="1">
      <c r="A13170" s="1" t="s">
        <v>18952</v>
      </c>
      <c r="C13170" s="1">
        <v>1</v>
      </c>
      <c r="D13170" s="1" t="str">
        <f>"11705"</f>
        <v>11705</v>
      </c>
      <c r="E13170" s="1" t="s">
        <v>275</v>
      </c>
      <c r="F13170" s="1">
        <v>22</v>
      </c>
      <c r="G13170" s="1">
        <v>12</v>
      </c>
      <c r="H13170" s="1">
        <v>1</v>
      </c>
      <c r="I13170" s="1" t="s">
        <v>27279</v>
      </c>
      <c r="K13170" s="1" t="str">
        <f t="shared" si="830"/>
        <v>ㄩ</v>
      </c>
      <c r="M13170" s="1" t="str">
        <f t="shared" si="829"/>
        <v/>
      </c>
      <c r="N13170" s="3" t="s">
        <v>30574</v>
      </c>
      <c r="O13170" s="3"/>
      <c r="P13170" s="1" t="s">
        <v>20</v>
      </c>
      <c r="R13170" s="1" t="s">
        <v>27280</v>
      </c>
      <c r="V13170" s="1" t="s">
        <v>27403</v>
      </c>
      <c r="W13170" s="1" t="s">
        <v>27404</v>
      </c>
      <c r="AR13170" s="1" t="str">
        <f t="shared" si="828"/>
        <v>| [ㄩˋ](ㄩˋ.md) | [鬻](鬻.md) |  | yù | [動]
1.賣。《莊子．逍遙遊》：「今一朝而鬻技百金，請與之。」明．王世貞《鳴鳳記》第一四齣：「賣官鬻爵，取利下盡錙銖。」
2.生、養。《莊子．德充符》：「四者天鬻也，天鬻者，天食也。」《禮記．樂記》：「羽者，嫗伏，毛者孕鬻。」
[形]
幼稚、幼小。《詩經．豳風．鴟鴞》：「恩斯勤斯，鬻子之閔斯。」
[名]
姓。如周代有鬻熊。 |</v>
      </c>
    </row>
    <row r="13171" spans="1:44" hidden="1">
      <c r="A13171" s="1" t="s">
        <v>27405</v>
      </c>
      <c r="C13171" s="1">
        <v>1</v>
      </c>
      <c r="D13171" s="1" t="str">
        <f>"11706"</f>
        <v>11706</v>
      </c>
      <c r="E13171" s="1" t="s">
        <v>2870</v>
      </c>
      <c r="F13171" s="1">
        <v>13</v>
      </c>
      <c r="G13171" s="1">
        <v>8</v>
      </c>
      <c r="H13171" s="1">
        <v>0</v>
      </c>
      <c r="I13171" s="1" t="s">
        <v>27279</v>
      </c>
      <c r="K13171" s="1" t="str">
        <f t="shared" si="830"/>
        <v>ㄩ</v>
      </c>
      <c r="M13171" s="1" t="str">
        <f t="shared" si="829"/>
        <v/>
      </c>
      <c r="N13171" s="3" t="s">
        <v>30574</v>
      </c>
      <c r="O13171" s="3"/>
      <c r="P13171" s="1" t="s">
        <v>20</v>
      </c>
      <c r="R13171" s="1" t="s">
        <v>27280</v>
      </c>
      <c r="V13171" s="1" t="s">
        <v>27406</v>
      </c>
      <c r="AR13171" s="1" t="str">
        <f t="shared" si="828"/>
        <v>| [ㄩˋ](ㄩˋ.md) | [毓](毓.md) |  | yù | [動]
1.養育。同「育」。《廣韻．入聲．屋韻》：「毓，養也，長也。」《文選．班固．東都賦》：「發蘋藻以潛魚，豐圃草以毓獸。」
2.孕育、產生。同「育」。如：「鍾靈毓秀」。《國語．晉語四》：「黷則生怨，怨亂毓災，災毓滅姓。」 |</v>
      </c>
    </row>
    <row r="13172" spans="1:44" hidden="1">
      <c r="A13172" s="1" t="s">
        <v>24529</v>
      </c>
      <c r="C13172" s="1">
        <v>1</v>
      </c>
      <c r="D13172" s="1" t="str">
        <f>"11707"</f>
        <v>11707</v>
      </c>
      <c r="E13172" s="1" t="s">
        <v>563</v>
      </c>
      <c r="F13172" s="1">
        <v>13</v>
      </c>
      <c r="G13172" s="1">
        <v>10</v>
      </c>
      <c r="H13172" s="1">
        <v>2</v>
      </c>
      <c r="I13172" s="1" t="s">
        <v>27279</v>
      </c>
      <c r="K13172" s="1" t="str">
        <f t="shared" si="830"/>
        <v>ㄩ</v>
      </c>
      <c r="M13172" s="1" t="str">
        <f t="shared" si="829"/>
        <v/>
      </c>
      <c r="N13172" s="3" t="s">
        <v>30574</v>
      </c>
      <c r="O13172" s="3"/>
      <c r="P13172" s="1" t="s">
        <v>20</v>
      </c>
      <c r="R13172" s="1" t="s">
        <v>27280</v>
      </c>
      <c r="V13172" s="1" t="s">
        <v>27407</v>
      </c>
      <c r="W13172" s="1" t="s">
        <v>27408</v>
      </c>
      <c r="AR13172" s="1" t="str">
        <f t="shared" si="828"/>
        <v>| [ㄩˋ](ㄩˋ.md) | [奧](奧.md) |  | yù | [形]
溫暖。同「燠」。如：「雨旱寒奧」。《詩經．小雅．小明》：「昔我往矣，日月方奧。」《漢書．卷七五．眭兩夏侯京翼李傳．李尋》：「其月土濕奧，恐後有雷雹之變。」 |</v>
      </c>
    </row>
    <row r="13173" spans="1:44" hidden="1">
      <c r="A13173" s="1" t="s">
        <v>24532</v>
      </c>
      <c r="C13173" s="1">
        <v>1</v>
      </c>
      <c r="D13173" s="1" t="str">
        <f>"11708"</f>
        <v>11708</v>
      </c>
      <c r="E13173" s="1" t="s">
        <v>129</v>
      </c>
      <c r="F13173" s="1">
        <v>16</v>
      </c>
      <c r="G13173" s="1">
        <v>13</v>
      </c>
      <c r="H13173" s="1">
        <v>2</v>
      </c>
      <c r="I13173" s="1" t="s">
        <v>27279</v>
      </c>
      <c r="K13173" s="1" t="str">
        <f t="shared" si="830"/>
        <v>ㄩ</v>
      </c>
      <c r="M13173" s="1" t="str">
        <f t="shared" si="829"/>
        <v/>
      </c>
      <c r="N13173" s="3" t="s">
        <v>30574</v>
      </c>
      <c r="O13173" s="3"/>
      <c r="P13173" s="1" t="s">
        <v>20</v>
      </c>
      <c r="R13173" s="1" t="s">
        <v>27280</v>
      </c>
      <c r="V13173" s="1" t="s">
        <v>27409</v>
      </c>
      <c r="W13173" s="1" t="s">
        <v>27410</v>
      </c>
      <c r="AR13173" s="1" t="str">
        <f t="shared" si="828"/>
        <v>| [ㄩˋ](ㄩˋ.md) | [澳](澳.md) |  | yù | [名]
岸邊水流彎曲的地方。同「隩」。南朝齊．謝朓〈和王著作融八公山〉詩：「二別阻漢坻，雙崤望河澳。」 |</v>
      </c>
    </row>
    <row r="13174" spans="1:44" hidden="1">
      <c r="A13174" s="1" t="s">
        <v>24539</v>
      </c>
      <c r="C13174" s="1">
        <v>1</v>
      </c>
      <c r="D13174" s="1" t="str">
        <f>"11709"</f>
        <v>11709</v>
      </c>
      <c r="E13174" s="1" t="s">
        <v>691</v>
      </c>
      <c r="F13174" s="1">
        <v>16</v>
      </c>
      <c r="G13174" s="1">
        <v>13</v>
      </c>
      <c r="H13174" s="1">
        <v>1</v>
      </c>
      <c r="I13174" s="1" t="s">
        <v>27279</v>
      </c>
      <c r="K13174" s="1" t="str">
        <f t="shared" si="830"/>
        <v>ㄩ</v>
      </c>
      <c r="M13174" s="1" t="str">
        <f t="shared" si="829"/>
        <v/>
      </c>
      <c r="N13174" s="3" t="s">
        <v>30574</v>
      </c>
      <c r="O13174" s="3"/>
      <c r="P13174" s="1" t="s">
        <v>20</v>
      </c>
      <c r="R13174" s="1" t="s">
        <v>27280</v>
      </c>
      <c r="V13174" s="1" t="s">
        <v>27411</v>
      </c>
      <c r="W13174" s="1" t="s">
        <v>27412</v>
      </c>
      <c r="AR13174" s="1" t="str">
        <f t="shared" si="828"/>
        <v>| [ㄩˋ](ㄩˋ.md) | [隩](隩.md) |  | yù | [名]
1.岸邊水流彎曲的地方。《文選．郭璞．江賦》：「揚皜毦，擢紫茸。蔭潭隩，被長江。」明．徐弘祖《徐霞客遊記．卷九下．滇遊日記十一》：「其水漸且出峽，當前坳尖山之隩矣。」
2.可以居住的土地。《書經．禹貢》：「九州攸同，四隩既宅。」《文選．張衡．東京賦》：「掩觀九隩，靡地不營。」
[形]
暖和。通「燠」。《書經．堯典》：「厥民隩，鳥獸氄毛。」 |</v>
      </c>
    </row>
    <row r="13175" spans="1:44" hidden="1">
      <c r="A13175" s="1" t="s">
        <v>24542</v>
      </c>
      <c r="C13175" s="1">
        <v>1</v>
      </c>
      <c r="D13175" s="1" t="str">
        <f>"11710"</f>
        <v>11710</v>
      </c>
      <c r="E13175" s="1" t="s">
        <v>336</v>
      </c>
      <c r="F13175" s="1">
        <v>17</v>
      </c>
      <c r="G13175" s="1">
        <v>13</v>
      </c>
      <c r="H13175" s="1">
        <v>1</v>
      </c>
      <c r="I13175" s="1" t="s">
        <v>27279</v>
      </c>
      <c r="K13175" s="1" t="str">
        <f t="shared" si="830"/>
        <v>ㄩ</v>
      </c>
      <c r="M13175" s="1" t="str">
        <f t="shared" si="829"/>
        <v/>
      </c>
      <c r="N13175" s="3" t="s">
        <v>30574</v>
      </c>
      <c r="O13175" s="3"/>
      <c r="P13175" s="1" t="s">
        <v>20</v>
      </c>
      <c r="R13175" s="1" t="s">
        <v>27280</v>
      </c>
      <c r="V13175" s="1" t="s">
        <v>27413</v>
      </c>
      <c r="W13175" s="1" t="s">
        <v>27414</v>
      </c>
      <c r="AR13175" s="1" t="str">
        <f t="shared" si="828"/>
        <v>| [ㄩˋ](ㄩˋ.md) | [燠](燠.md) |  | yù | [形]
暖和。《禮記．內則》：「下氣怡聲，問衣燠寒。」唐．白居易〈潯陽三題．湓浦竹〉詩：「潯陽十月天，天氣仍溫燠。」 |</v>
      </c>
    </row>
    <row r="13176" spans="1:44" hidden="1">
      <c r="A13176" s="1" t="s">
        <v>27415</v>
      </c>
      <c r="C13176" s="1">
        <v>1</v>
      </c>
      <c r="D13176" s="1" t="str">
        <f>"11711"</f>
        <v>11711</v>
      </c>
      <c r="E13176" s="1" t="s">
        <v>37</v>
      </c>
      <c r="F13176" s="1">
        <v>17</v>
      </c>
      <c r="G13176" s="1">
        <v>13</v>
      </c>
      <c r="H13176" s="1">
        <v>0</v>
      </c>
      <c r="I13176" s="1" t="s">
        <v>27279</v>
      </c>
      <c r="K13176" s="1" t="str">
        <f t="shared" si="830"/>
        <v>ㄩ</v>
      </c>
      <c r="M13176" s="1" t="str">
        <f t="shared" si="829"/>
        <v/>
      </c>
      <c r="N13176" s="3" t="s">
        <v>30574</v>
      </c>
      <c r="O13176" s="3"/>
      <c r="P13176" s="1" t="s">
        <v>20</v>
      </c>
      <c r="R13176" s="1" t="s">
        <v>27280</v>
      </c>
      <c r="V13176" s="1" t="s">
        <v>27416</v>
      </c>
      <c r="AR13176" s="1" t="str">
        <f t="shared" si="828"/>
        <v>| [ㄩˋ](ㄩˋ.md) | [薁](薁.md) |  | yù | [名]
植物名。葡萄科葡萄屬，「蘡薁」之古稱，參見「蘡薁」條。《詩經．豳風．七月》：「六月食鬱及薁。」漢．毛亨．傳：「薁，蘡薁也。」 |</v>
      </c>
    </row>
    <row r="13177" spans="1:44" hidden="1">
      <c r="A13177" s="1" t="s">
        <v>27417</v>
      </c>
      <c r="C13177" s="1">
        <v>1</v>
      </c>
      <c r="D13177" s="1" t="str">
        <f>"11712"</f>
        <v>11712</v>
      </c>
      <c r="E13177" s="1" t="s">
        <v>684</v>
      </c>
      <c r="F13177" s="1">
        <v>13</v>
      </c>
      <c r="G13177" s="1">
        <v>4</v>
      </c>
      <c r="H13177" s="1">
        <v>0</v>
      </c>
      <c r="I13177" s="1" t="s">
        <v>27279</v>
      </c>
      <c r="K13177" s="1" t="str">
        <f t="shared" si="830"/>
        <v>ㄩ</v>
      </c>
      <c r="M13177" s="1" t="str">
        <f t="shared" si="829"/>
        <v/>
      </c>
      <c r="N13177" s="3" t="s">
        <v>30574</v>
      </c>
      <c r="O13177" s="3"/>
      <c r="P13177" s="1" t="s">
        <v>20</v>
      </c>
      <c r="R13177" s="1" t="s">
        <v>27280</v>
      </c>
      <c r="V13177" s="1" t="s">
        <v>27418</v>
      </c>
      <c r="AR13177" s="1" t="str">
        <f t="shared" si="828"/>
        <v>| [ㄩˋ](ㄩˋ.md) | [預](預.md) |  | yù | [副]
事先、事前。如：「預計」、「天氣預報」。《戰國策．燕策三》：「於是太子預求天下之利匕首，得趙人徐夫人之匕首。」《晉書．卷五一．束皙傳》：「忠不足以衛己，禍不可以預度，是士諱登朝而競赴林薄。」
[動]
參與。通「與」。如：「干預」。《三國演義》第二回：「封皇子協為陳留王，董重為驃騎將軍，張讓等共預朝政。」 |</v>
      </c>
    </row>
    <row r="13178" spans="1:44" hidden="1">
      <c r="A13178" s="1" t="s">
        <v>27419</v>
      </c>
      <c r="C13178" s="1">
        <v>1</v>
      </c>
      <c r="D13178" s="1" t="str">
        <f>"11713"</f>
        <v>11713</v>
      </c>
      <c r="E13178" s="1" t="s">
        <v>129</v>
      </c>
      <c r="F13178" s="1">
        <v>16</v>
      </c>
      <c r="G13178" s="1">
        <v>13</v>
      </c>
      <c r="H13178" s="1">
        <v>0</v>
      </c>
      <c r="I13178" s="1" t="s">
        <v>27279</v>
      </c>
      <c r="K13178" s="1" t="str">
        <f t="shared" si="830"/>
        <v>ㄩ</v>
      </c>
      <c r="M13178" s="1" t="str">
        <f t="shared" si="829"/>
        <v/>
      </c>
      <c r="N13178" s="3" t="s">
        <v>30574</v>
      </c>
      <c r="O13178" s="3"/>
      <c r="P13178" s="1" t="s">
        <v>20</v>
      </c>
      <c r="R13178" s="1" t="s">
        <v>27280</v>
      </c>
      <c r="V13178" s="1" t="s">
        <v>27420</v>
      </c>
      <c r="AR13178" s="1" t="str">
        <f t="shared" si="828"/>
        <v>| [ㄩˋ](ㄩˋ.md) | [澦](澦.md) |  | yù | 參見「灩澦堆」條。 |</v>
      </c>
    </row>
    <row r="13179" spans="1:44" hidden="1">
      <c r="A13179" s="1" t="s">
        <v>27421</v>
      </c>
      <c r="C13179" s="1">
        <v>1</v>
      </c>
      <c r="D13179" s="1" t="str">
        <f>"11714"</f>
        <v>11714</v>
      </c>
      <c r="E13179" s="1" t="s">
        <v>52</v>
      </c>
      <c r="F13179" s="1">
        <v>16</v>
      </c>
      <c r="G13179" s="1">
        <v>9</v>
      </c>
      <c r="H13179" s="1">
        <v>0</v>
      </c>
      <c r="I13179" s="1" t="s">
        <v>27279</v>
      </c>
      <c r="K13179" s="1" t="str">
        <f t="shared" si="830"/>
        <v>ㄩ</v>
      </c>
      <c r="M13179" s="1" t="str">
        <f t="shared" si="829"/>
        <v/>
      </c>
      <c r="N13179" s="3" t="s">
        <v>30574</v>
      </c>
      <c r="O13179" s="3"/>
      <c r="P13179" s="1" t="s">
        <v>20</v>
      </c>
      <c r="R13179" s="1" t="s">
        <v>27280</v>
      </c>
      <c r="V13179" s="1" t="s">
        <v>27422</v>
      </c>
      <c r="AR13179" s="1" t="str">
        <f t="shared" si="828"/>
        <v>| [ㄩˋ](ㄩˋ.md) | [豫](豫.md) |  | yù | [名]
1.安樂、逸樂。《爾雅．釋詁上》：「豫，樂也。」宋．邢昺．疏：「豫者，逸樂也。」《新五代史．卷三七．伶官傳．序》：「憂勞可以興國，逸豫可以亡身，自然之理也。」
2.易經卦名。六十四卦之一。坤（☷）下震（☳）上。象徵萬物被陽氣而生生不息。
3.河南省的簡稱。
4.姓。如戰國時晉國有豫讓。
[動]
1.巡遊。《孟子．梁惠王下》：「吾王不遊，吾何以休？吾王不豫，吾何以助？」
2.喜悅。《書經．金縢》：「王有疾，弗豫。」
3.欺騙。《荀子．儒效》：「魯之粥牛馬者不豫賈，必蚤正以待之也。」漢．桓寬《鹽鐵論．力耕》：「古者商通物而不豫，工致牢而不偽。」
4.參與。通「與」。《左傳．隱公元年》：「豫凶事，非禮也。」《後漢書．卷七八．宦者傳．蔡倫傳》：「及和帝即位，轉中常侍，豫參帷幄。」
[副]
1.遲疑不決。如：「猶豫」。《老子》第一五章：「豫焉若冬涉川，猶兮若畏四鄰。」
2.事先。通「預」。《漢書．卷六九．趙充國傳》：「宜遣使者行邊兵豫為備，敕視諸羌，毋令解仇，以發覺其謀。」 |</v>
      </c>
    </row>
    <row r="13180" spans="1:44" hidden="1">
      <c r="A13180" s="1" t="s">
        <v>27258</v>
      </c>
      <c r="C13180" s="1">
        <v>1</v>
      </c>
      <c r="D13180" s="1" t="str">
        <f>"11715"</f>
        <v>11715</v>
      </c>
      <c r="E13180" s="1" t="s">
        <v>331</v>
      </c>
      <c r="F13180" s="1">
        <v>14</v>
      </c>
      <c r="G13180" s="1">
        <v>7</v>
      </c>
      <c r="H13180" s="1">
        <v>2</v>
      </c>
      <c r="I13180" s="1" t="s">
        <v>27279</v>
      </c>
      <c r="K13180" s="1" t="str">
        <f t="shared" si="830"/>
        <v>ㄩ</v>
      </c>
      <c r="M13180" s="1" t="str">
        <f t="shared" si="829"/>
        <v/>
      </c>
      <c r="N13180" s="3" t="s">
        <v>30574</v>
      </c>
      <c r="O13180" s="3"/>
      <c r="P13180" s="1" t="s">
        <v>20</v>
      </c>
      <c r="R13180" s="1" t="s">
        <v>27280</v>
      </c>
      <c r="V13180" s="1" t="s">
        <v>27423</v>
      </c>
      <c r="W13180" s="1" t="s">
        <v>27424</v>
      </c>
      <c r="AR13180" s="1" t="str">
        <f t="shared" si="828"/>
        <v>| [ㄩˋ](ㄩˋ.md) | [語](語.md) |  | yù | [動]
告訴。《論語．陽貨》：「居，吾語女。」《晉書．卷六六．陶侃傳》：「常語人曰：『大禹聖者，乃惜寸陰；至於眾人，當惜分陰。』」 |</v>
      </c>
    </row>
    <row r="13181" spans="1:44" hidden="1">
      <c r="A13181" s="1" t="s">
        <v>27154</v>
      </c>
      <c r="C13181" s="1">
        <v>1</v>
      </c>
      <c r="D13181" s="1" t="str">
        <f>"11716"</f>
        <v>11716</v>
      </c>
      <c r="E13181" s="1" t="s">
        <v>13771</v>
      </c>
      <c r="F13181" s="1">
        <v>14</v>
      </c>
      <c r="G13181" s="1">
        <v>7</v>
      </c>
      <c r="H13181" s="1">
        <v>2</v>
      </c>
      <c r="I13181" s="1" t="s">
        <v>27279</v>
      </c>
      <c r="K13181" s="1" t="str">
        <f t="shared" si="830"/>
        <v>ㄩ</v>
      </c>
      <c r="M13181" s="1" t="str">
        <f t="shared" si="829"/>
        <v/>
      </c>
      <c r="N13181" s="3" t="s">
        <v>30574</v>
      </c>
      <c r="O13181" s="3"/>
      <c r="P13181" s="1" t="s">
        <v>20</v>
      </c>
      <c r="R13181" s="1" t="s">
        <v>27280</v>
      </c>
      <c r="V13181" s="1" t="s">
        <v>27425</v>
      </c>
      <c r="W13181" s="1" t="s">
        <v>27426</v>
      </c>
      <c r="AR13181" s="1" t="str">
        <f t="shared" si="828"/>
        <v>| [ㄩˋ](ㄩˋ.md) | [與](與.md) |  | yù | [動]
1.參加。如：「參與」、「與會」。《漢書．卷九九．王莽傳上》：「以光為太師，與四輔之政。」
2.干涉、干預。《國語．魯語下》：「是故天子……日中考政，與百官之政事。」宋．范成大〈次韻時敘〉詩：「作詩惜春聊復爾，春亦何能與人事？」 |</v>
      </c>
    </row>
    <row r="13182" spans="1:44" hidden="1">
      <c r="A13182" s="1" t="s">
        <v>27427</v>
      </c>
      <c r="C13182" s="1">
        <v>1</v>
      </c>
      <c r="D13182" s="1" t="str">
        <f>"11717"</f>
        <v>11717</v>
      </c>
      <c r="E13182" s="1" t="s">
        <v>331</v>
      </c>
      <c r="F13182" s="1">
        <v>21</v>
      </c>
      <c r="G13182" s="1">
        <v>14</v>
      </c>
      <c r="H13182" s="1">
        <v>0</v>
      </c>
      <c r="I13182" s="1" t="s">
        <v>27279</v>
      </c>
      <c r="K13182" s="1" t="str">
        <f t="shared" si="830"/>
        <v>ㄩ</v>
      </c>
      <c r="M13182" s="1" t="str">
        <f t="shared" si="829"/>
        <v/>
      </c>
      <c r="N13182" s="3" t="s">
        <v>30574</v>
      </c>
      <c r="O13182" s="3"/>
      <c r="P13182" s="1" t="s">
        <v>20</v>
      </c>
      <c r="R13182" s="1" t="s">
        <v>27280</v>
      </c>
      <c r="V13182" s="1" t="s">
        <v>27428</v>
      </c>
      <c r="AR13182" s="1" t="str">
        <f t="shared" si="828"/>
        <v>| [ㄩˋ](ㄩˋ.md) | [譽](譽.md) |  | yù | [動]
稱讚。如：「稱譽」。《論語．衛靈公》：「吾之於人也，誰毀誰譽？」《資治通鑑．卷九四．晉紀十六．成帝咸和三年》：「諸君怯懦，乃更譽賊！」
[名]
美好的名聲。如：「名譽」、「聲譽」、「商譽」。《詩經．周頌．振鷺》：「庶幾夙夜，以永終譽。」 |</v>
      </c>
    </row>
    <row r="13183" spans="1:44" hidden="1">
      <c r="A13183" s="1" t="s">
        <v>27429</v>
      </c>
      <c r="C13183" s="1">
        <v>1</v>
      </c>
      <c r="D13183" s="1" t="str">
        <f>"11718"</f>
        <v>11718</v>
      </c>
      <c r="E13183" s="1" t="s">
        <v>272</v>
      </c>
      <c r="F13183" s="1">
        <v>25</v>
      </c>
      <c r="G13183" s="1">
        <v>14</v>
      </c>
      <c r="H13183" s="1">
        <v>0</v>
      </c>
      <c r="I13183" s="1" t="s">
        <v>27279</v>
      </c>
      <c r="K13183" s="1" t="str">
        <f t="shared" si="830"/>
        <v>ㄩ</v>
      </c>
      <c r="M13183" s="1" t="str">
        <f t="shared" si="829"/>
        <v/>
      </c>
      <c r="N13183" s="3" t="s">
        <v>30574</v>
      </c>
      <c r="O13183" s="3"/>
      <c r="P13183" s="1" t="s">
        <v>20</v>
      </c>
      <c r="R13183" s="1" t="s">
        <v>27280</v>
      </c>
      <c r="V13183" s="1" t="s">
        <v>27430</v>
      </c>
      <c r="AR13183" s="1" t="str">
        <f t="shared" si="828"/>
        <v>| [ㄩˋ](ㄩˋ.md) | [鸒](鸒.md) |  | yù | [名]
動物名。即鵯鶋。一種鳥，大如鴿，腹下白，多群居。《爾雅．釋鳥》：「鸒斯，鵯鶋。」晉．郭璞．注：「鴉烏也，小而多群，腹下白，江東亦呼為鵯烏。」 |</v>
      </c>
    </row>
    <row r="13184" spans="1:44" hidden="1">
      <c r="A13184" s="1" t="s">
        <v>27431</v>
      </c>
      <c r="C13184" s="1">
        <v>1</v>
      </c>
      <c r="D13184" s="1" t="str">
        <f>"11719"</f>
        <v>11719</v>
      </c>
      <c r="E13184" s="1" t="s">
        <v>198</v>
      </c>
      <c r="F13184" s="1">
        <v>14</v>
      </c>
      <c r="G13184" s="1">
        <v>11</v>
      </c>
      <c r="H13184" s="1">
        <v>0</v>
      </c>
      <c r="I13184" s="1" t="s">
        <v>27279</v>
      </c>
      <c r="K13184" s="1" t="str">
        <f t="shared" si="830"/>
        <v>ㄩ</v>
      </c>
      <c r="M13184" s="1" t="str">
        <f t="shared" si="829"/>
        <v/>
      </c>
      <c r="N13184" s="3" t="s">
        <v>30574</v>
      </c>
      <c r="O13184" s="3"/>
      <c r="P13184" s="1" t="s">
        <v>20</v>
      </c>
      <c r="R13184" s="1" t="s">
        <v>27280</v>
      </c>
      <c r="V13184" s="1" t="s">
        <v>27432</v>
      </c>
      <c r="AR13184" s="1" t="str">
        <f t="shared" si="828"/>
        <v>| [ㄩˋ](ㄩˋ.md) | [獄](獄.md) |  | yù | [名]
1.監牢。如：「監獄」。《漢書．卷六八．霍光傳》：「使人簿責勝，縛嘉繫獄。」
2.訴訟案件。如：「冤獄」。《左傳．莊公十年》：「小大之獄，雖不能察，必以情。」
[動]
訴訟、打官司。《周禮．秋官．大司寇》：「以兩劑禁民獄，入鈞金。」《呂氏春秋．離俗覽．高義》：「弟兄相獄，親戚相忍。」 |</v>
      </c>
    </row>
    <row r="13185" spans="1:44" hidden="1">
      <c r="A13185" s="1" t="s">
        <v>27433</v>
      </c>
      <c r="C13185" s="1">
        <v>1</v>
      </c>
      <c r="D13185" s="1" t="str">
        <f>"11720"</f>
        <v>11720</v>
      </c>
      <c r="E13185" s="1" t="s">
        <v>534</v>
      </c>
      <c r="F13185" s="1">
        <v>14</v>
      </c>
      <c r="G13185" s="1">
        <v>11</v>
      </c>
      <c r="H13185" s="1">
        <v>0</v>
      </c>
      <c r="I13185" s="1" t="s">
        <v>27279</v>
      </c>
      <c r="K13185" s="1" t="str">
        <f t="shared" si="830"/>
        <v>ㄩ</v>
      </c>
      <c r="M13185" s="1" t="str">
        <f t="shared" si="829"/>
        <v/>
      </c>
      <c r="N13185" s="3" t="s">
        <v>30574</v>
      </c>
      <c r="O13185" s="3"/>
      <c r="P13185" s="1" t="s">
        <v>20</v>
      </c>
      <c r="R13185" s="1" t="s">
        <v>27280</v>
      </c>
      <c r="V13185" s="1" t="s">
        <v>27434</v>
      </c>
      <c r="AR13185" s="1" t="str">
        <f t="shared" si="828"/>
        <v>| [ㄩˋ](ㄩˋ.md) | [嫗](嫗.md) |  | yù | [名]
1.母親。《說文解字．女部》：「嫗，母也。」《漢書．卷九〇．酷吏傳．嚴延年傳》：「東海莫不賢知其母。延年兄弟五人皆有吏材，至大官。東海號曰『萬石嚴嫗』。」
2.婦女的通稱。如：「老嫗」。《南史．卷七六．隱逸傳下．鄧郁傳》：「白日，神仙魏夫人忽來臨降，乘雲而至，從少嫗三十……，年皆可十七八許。」 |</v>
      </c>
    </row>
    <row r="13186" spans="1:44" hidden="1">
      <c r="A13186" s="1" t="s">
        <v>27435</v>
      </c>
      <c r="C13186" s="1">
        <v>1</v>
      </c>
      <c r="D13186" s="1" t="str">
        <f>"11721"</f>
        <v>11721</v>
      </c>
      <c r="E13186" s="1" t="s">
        <v>272</v>
      </c>
      <c r="F13186" s="1">
        <v>16</v>
      </c>
      <c r="G13186" s="1">
        <v>5</v>
      </c>
      <c r="H13186" s="1">
        <v>0</v>
      </c>
      <c r="I13186" s="1" t="s">
        <v>27279</v>
      </c>
      <c r="K13186" s="1" t="str">
        <f t="shared" si="830"/>
        <v>ㄩ</v>
      </c>
      <c r="M13186" s="1" t="str">
        <f t="shared" si="829"/>
        <v/>
      </c>
      <c r="N13186" s="3" t="s">
        <v>30574</v>
      </c>
      <c r="O13186" s="3"/>
      <c r="P13186" s="1" t="s">
        <v>20</v>
      </c>
      <c r="R13186" s="1" t="s">
        <v>27280</v>
      </c>
      <c r="V13186" s="1" t="s">
        <v>27436</v>
      </c>
      <c r="AR13186" s="1" t="str">
        <f t="shared" si="828"/>
        <v>| [ㄩˋ](ㄩˋ.md) | [鴥](鴥.md) |  | yù | [形]
飛得很快的樣子。《詩經．秦風．晨風》：「鴥彼晨風，鬱彼北林。」 |</v>
      </c>
    </row>
    <row r="13187" spans="1:44" hidden="1">
      <c r="A13187" s="1" t="s">
        <v>27437</v>
      </c>
      <c r="C13187" s="1">
        <v>1</v>
      </c>
      <c r="D13187" s="1" t="str">
        <f>"11722"</f>
        <v>11722</v>
      </c>
      <c r="E13187" s="1" t="s">
        <v>114</v>
      </c>
      <c r="F13187" s="1">
        <v>17</v>
      </c>
      <c r="G13187" s="1">
        <v>15</v>
      </c>
      <c r="H13187" s="1">
        <v>0</v>
      </c>
      <c r="I13187" s="1" t="s">
        <v>27279</v>
      </c>
      <c r="K13187" s="1" t="str">
        <f t="shared" si="830"/>
        <v>ㄩ</v>
      </c>
      <c r="M13187" s="1" t="str">
        <f t="shared" si="829"/>
        <v/>
      </c>
      <c r="N13187" s="3" t="s">
        <v>30574</v>
      </c>
      <c r="O13187" s="3"/>
      <c r="P13187" s="1" t="s">
        <v>20</v>
      </c>
      <c r="R13187" s="1" t="s">
        <v>27280</v>
      </c>
      <c r="V13187" s="1" t="s">
        <v>27438</v>
      </c>
      <c r="AR13187" s="1" t="str">
        <f t="shared" ref="AR13187:AR13250" si="831">"| ["&amp;I13187&amp;"]("&amp;I13187&amp;".md) | ["&amp;A13187&amp;"]("&amp;A13187&amp;".md) | "&amp;" | "&amp;R13187&amp;" | "&amp;V13187&amp;" |"</f>
        <v>| [ㄩˋ](ㄩˋ.md) | [儥](儥.md) |  | yù | [動]
1.販賣。《周禮．地官．胥師》：「察其詐偽飾行儥慝者，而誅罰之。」漢．鄭玄．注：「儥，賣也。」
2.購買。《周禮．地官．司市》：「以量度成賈而徵儥。」漢．鄭玄．注：「儥，買也。物有定賈則買者來也。」 |</v>
      </c>
    </row>
    <row r="13188" spans="1:44" hidden="1">
      <c r="A13188" s="1" t="s">
        <v>27439</v>
      </c>
      <c r="C13188" s="1">
        <v>1</v>
      </c>
      <c r="D13188" s="1" t="str">
        <f>"11723"</f>
        <v>11723</v>
      </c>
      <c r="E13188" s="1" t="s">
        <v>20019</v>
      </c>
      <c r="F13188" s="1">
        <v>29</v>
      </c>
      <c r="G13188" s="1">
        <v>19</v>
      </c>
      <c r="H13188" s="1">
        <v>0</v>
      </c>
      <c r="I13188" s="1" t="s">
        <v>27279</v>
      </c>
      <c r="K13188" s="1" t="str">
        <f t="shared" si="830"/>
        <v>ㄩ</v>
      </c>
      <c r="M13188" s="1" t="str">
        <f t="shared" si="829"/>
        <v/>
      </c>
      <c r="N13188" s="3" t="s">
        <v>30574</v>
      </c>
      <c r="O13188" s="3"/>
      <c r="P13188" s="1" t="s">
        <v>20</v>
      </c>
      <c r="R13188" s="1" t="s">
        <v>27280</v>
      </c>
      <c r="V13188" s="1" t="s">
        <v>27440</v>
      </c>
      <c r="AR13188" s="1" t="str">
        <f t="shared" si="831"/>
        <v>| [ㄩˋ](ㄩˋ.md) | [鬱](鬱.md) |  | yù | [動]
1.積聚、凝滯。如：「鬱積」、「鬱結」。《漢書．卷八．宣帝紀》：「朕不明六藝，鬱于大道，是以陰陽風雨未時。」唐．皮日休〈請韓文公配饗太學書〉：「雲霧久鬱，忽廓則清。」
2.怨恨。《呂氏春秋．仲夏紀．侈樂》：「故樂愈侈而民愈鬱，國愈亂。」
[形]
1.茂盛的樣子。如：「鬱鬱蒼蒼」。《詩經．秦風．晨風》：「鴥彼晨風，鬱彼北林。」
2.愁悶的。如：「憂鬱」、「鬱鬱寡歡」。《楚辭．劉向．九歎．憂苦》：「願假簧以舒憂兮，志紆鬱其難釋。」 |</v>
      </c>
    </row>
    <row r="13189" spans="1:44" hidden="1">
      <c r="A13189" s="1" t="s">
        <v>27441</v>
      </c>
      <c r="C13189" s="1">
        <v>1</v>
      </c>
      <c r="D13189" s="1" t="str">
        <f>"11724"</f>
        <v>11724</v>
      </c>
      <c r="E13189" s="1" t="s">
        <v>49</v>
      </c>
      <c r="F13189" s="1">
        <v>32</v>
      </c>
      <c r="G13189" s="1">
        <v>26</v>
      </c>
      <c r="H13189" s="1">
        <v>0</v>
      </c>
      <c r="I13189" s="1" t="s">
        <v>27279</v>
      </c>
      <c r="K13189" s="1" t="str">
        <f t="shared" si="830"/>
        <v>ㄩ</v>
      </c>
      <c r="M13189" s="1" t="str">
        <f t="shared" si="829"/>
        <v/>
      </c>
      <c r="N13189" s="3" t="s">
        <v>30574</v>
      </c>
      <c r="O13189" s="3"/>
      <c r="P13189" s="1" t="s">
        <v>20</v>
      </c>
      <c r="R13189" s="1" t="s">
        <v>27280</v>
      </c>
      <c r="V13189" s="1" t="s">
        <v>27442</v>
      </c>
      <c r="AR13189" s="1" t="str">
        <f t="shared" si="831"/>
        <v>| [ㄩˋ](ㄩˋ.md) | [籲](籲.md) |  | yù | [動]
呼喊、請求。如：「呼籲」。《書經．泰誓》：「無辜籲天，穢德彰聞。」唐．柳宗元〈駁復讎議〉：「上下蒙冒，籲號不聞。」 |</v>
      </c>
    </row>
    <row r="13190" spans="1:44" hidden="1">
      <c r="A13190" s="1" t="s">
        <v>17227</v>
      </c>
      <c r="C13190" s="1">
        <v>1</v>
      </c>
      <c r="D13190" s="1" t="str">
        <f>"11557"</f>
        <v>11557</v>
      </c>
      <c r="E13190" s="1" t="s">
        <v>9954</v>
      </c>
      <c r="F13190" s="1">
        <v>3</v>
      </c>
      <c r="G13190" s="1">
        <v>1</v>
      </c>
      <c r="H13190" s="1">
        <v>1</v>
      </c>
      <c r="I13190" s="1" t="s">
        <v>27102</v>
      </c>
      <c r="K13190" s="1" t="str">
        <f t="shared" si="830"/>
        <v>ㄩ</v>
      </c>
      <c r="M13190" s="1" t="str">
        <f t="shared" si="829"/>
        <v/>
      </c>
      <c r="N13190" s="3" t="s">
        <v>30575</v>
      </c>
      <c r="O13190" s="3"/>
      <c r="P13190" s="1" t="s">
        <v>20</v>
      </c>
      <c r="R13190" s="1" t="s">
        <v>27103</v>
      </c>
      <c r="V13190" s="1" t="s">
        <v>27104</v>
      </c>
      <c r="W13190" s="1" t="s">
        <v>27105</v>
      </c>
      <c r="AR13190" s="1" t="str">
        <f t="shared" si="831"/>
        <v>| [ㄩˊ](ㄩˊ.md) | [于](于.md) |  | yú | [動]
1.去、往。《文選．曹植．責躬詩》：「煢煢僕夫，于彼冀方。」
2.取。《詩經．豳風．七月》：「晝爾于茅，宵爾索綯。」《孟子．萬章下》：「殺越人于貨，閔不畏死，凡民罔不譈。」
[介]
1.在。同「於」。《儀禮．士昏禮》：「婿立于門外。」
2.以、用。《左傳．宣公十二年》：「楚自克庸以來，其君無日不以討國人而訓之，于民生之不易，禍至之無日，戒懼之不可以怠。」
3.對、對於。《詩經．邶風．泉水》：「有懷于衛，靡日不思。」
4.至、到。《淮南子．原道》：「以恬養性，以漠處神，則入于天門。」
5.依照。《書經．盤庚下》：「歷告爾百姓于朕志。」
6.為了。《孟子．萬章上》：「唯茲臣庶，女其于予治。」
[連]
和、與。《書經．康誥》：「告汝德之說，于罰之行。」
[助]
1.用於句首或句中，無義。如：「鳳凰于飛」。《詩經．周南．葛覃》：「黃鳥于飛。」
2.用於句尾，表示疑問的語氣。同「乎」。《呂氏春秋．審應覽．審應》：「然則先王聖于？」
[名]
姓。如明代有于謙。 |</v>
      </c>
    </row>
    <row r="13191" spans="1:44" hidden="1">
      <c r="A13191" s="1" t="s">
        <v>26347</v>
      </c>
      <c r="C13191" s="1">
        <v>1</v>
      </c>
      <c r="D13191" s="1" t="str">
        <f>"11558"</f>
        <v>11558</v>
      </c>
      <c r="E13191" s="1" t="s">
        <v>129</v>
      </c>
      <c r="F13191" s="1">
        <v>6</v>
      </c>
      <c r="G13191" s="1">
        <v>3</v>
      </c>
      <c r="H13191" s="1">
        <v>4</v>
      </c>
      <c r="I13191" s="1" t="s">
        <v>27102</v>
      </c>
      <c r="K13191" s="1" t="str">
        <f t="shared" si="830"/>
        <v>ㄩ</v>
      </c>
      <c r="M13191" s="1" t="str">
        <f t="shared" ref="M13191:M13254" si="832">MID(I13191, 3, 1)</f>
        <v/>
      </c>
      <c r="N13191" s="3" t="s">
        <v>30575</v>
      </c>
      <c r="O13191" s="3"/>
      <c r="P13191" s="1" t="s">
        <v>20</v>
      </c>
      <c r="R13191" s="1" t="s">
        <v>27103</v>
      </c>
      <c r="V13191" s="1" t="s">
        <v>27106</v>
      </c>
      <c r="W13191" s="1" t="s">
        <v>27107</v>
      </c>
      <c r="AR13191" s="1" t="str">
        <f t="shared" si="831"/>
        <v>| [ㄩˊ](ㄩˊ.md) | [汙](汙.md) |  | yú | 參見「汙水」條。 |</v>
      </c>
    </row>
    <row r="13192" spans="1:44" hidden="1">
      <c r="A13192" s="1" t="s">
        <v>27108</v>
      </c>
      <c r="C13192" s="1">
        <v>1</v>
      </c>
      <c r="D13192" s="1" t="str">
        <f>"11559"</f>
        <v>11559</v>
      </c>
      <c r="E13192" s="1" t="s">
        <v>256</v>
      </c>
      <c r="F13192" s="1">
        <v>6</v>
      </c>
      <c r="G13192" s="1">
        <v>3</v>
      </c>
      <c r="H13192" s="1">
        <v>0</v>
      </c>
      <c r="I13192" s="1" t="s">
        <v>27102</v>
      </c>
      <c r="K13192" s="1" t="str">
        <f t="shared" si="830"/>
        <v>ㄩ</v>
      </c>
      <c r="M13192" s="1" t="str">
        <f t="shared" si="832"/>
        <v/>
      </c>
      <c r="N13192" s="3" t="s">
        <v>30575</v>
      </c>
      <c r="O13192" s="3"/>
      <c r="P13192" s="1" t="s">
        <v>20</v>
      </c>
      <c r="R13192" s="1" t="s">
        <v>27103</v>
      </c>
      <c r="V13192" s="1" t="s">
        <v>27109</v>
      </c>
      <c r="AR13192" s="1" t="str">
        <f t="shared" si="831"/>
        <v>| [ㄩˊ](ㄩˊ.md) | [邘](邘.md) |  | yú | [名]
國名。西周諸侯國之一。周武王封其子於此。故址約在今河南省沁陽縣西北。 |</v>
      </c>
    </row>
    <row r="13193" spans="1:44" hidden="1">
      <c r="A13193" s="1" t="s">
        <v>26689</v>
      </c>
      <c r="C13193" s="1">
        <v>1</v>
      </c>
      <c r="D13193" s="1" t="str">
        <f>"11560"</f>
        <v>11560</v>
      </c>
      <c r="E13193" s="1" t="s">
        <v>132</v>
      </c>
      <c r="F13193" s="1">
        <v>6</v>
      </c>
      <c r="G13193" s="1">
        <v>3</v>
      </c>
      <c r="H13193" s="1">
        <v>1</v>
      </c>
      <c r="I13193" s="1" t="s">
        <v>27102</v>
      </c>
      <c r="K13193" s="1" t="str">
        <f t="shared" si="830"/>
        <v>ㄩ</v>
      </c>
      <c r="M13193" s="1" t="str">
        <f t="shared" si="832"/>
        <v/>
      </c>
      <c r="N13193" s="3" t="s">
        <v>30575</v>
      </c>
      <c r="O13193" s="3"/>
      <c r="P13193" s="1" t="s">
        <v>20</v>
      </c>
      <c r="R13193" s="1" t="s">
        <v>27103</v>
      </c>
      <c r="V13193" s="1" t="s">
        <v>27110</v>
      </c>
      <c r="W13193" s="1" t="s">
        <v>27111</v>
      </c>
      <c r="AR13193" s="1" t="str">
        <f t="shared" si="831"/>
        <v>| [ㄩˊ](ㄩˊ.md) | [圩](圩.md) |  | yú | [名]
1.用來防水護田的隄岸。如：「堤圩」。清．顧炎武〈中憲大夫山西按察司副使寇公墓誌銘〉：「公乘舟出郊，勸民興工築圩，以食農民。」
2.兩淮鹽灘用來區別境域的土堤。如：「十二圩」。《儒林外史》第三二回：「你的事有指望了，而今我到圩裡去賣田。」
[形]
中間低而四周高起。《史記．卷四七．孔子世家》：「魯襄公二十二年而孔子生，生而首上圩頂，故因名曰丘云。」 |</v>
      </c>
    </row>
    <row r="13194" spans="1:44" hidden="1">
      <c r="A13194" s="1" t="s">
        <v>27112</v>
      </c>
      <c r="C13194" s="1">
        <v>1</v>
      </c>
      <c r="D13194" s="1" t="str">
        <f>"11561"</f>
        <v>11561</v>
      </c>
      <c r="E13194" s="1" t="s">
        <v>142</v>
      </c>
      <c r="F13194" s="1">
        <v>7</v>
      </c>
      <c r="G13194" s="1">
        <v>3</v>
      </c>
      <c r="H13194" s="1">
        <v>0</v>
      </c>
      <c r="I13194" s="1" t="s">
        <v>27102</v>
      </c>
      <c r="K13194" s="1" t="str">
        <f t="shared" si="830"/>
        <v>ㄩ</v>
      </c>
      <c r="M13194" s="1" t="str">
        <f t="shared" si="832"/>
        <v/>
      </c>
      <c r="N13194" s="3" t="s">
        <v>30575</v>
      </c>
      <c r="O13194" s="3"/>
      <c r="P13194" s="1" t="s">
        <v>20</v>
      </c>
      <c r="R13194" s="1" t="s">
        <v>27103</v>
      </c>
      <c r="V13194" s="1" t="s">
        <v>27113</v>
      </c>
      <c r="AR13194" s="1" t="str">
        <f t="shared" si="831"/>
        <v>| [ㄩˊ](ㄩˊ.md) | [玗](玗.md) |  | yú | [名]
像玉的美石。《說文解字．玉部》：「玗，石之似玉者。」 |</v>
      </c>
    </row>
    <row r="13195" spans="1:44" hidden="1">
      <c r="A13195" s="1" t="s">
        <v>27114</v>
      </c>
      <c r="C13195" s="1">
        <v>1</v>
      </c>
      <c r="D13195" s="1" t="str">
        <f>"11562"</f>
        <v>11562</v>
      </c>
      <c r="E13195" s="1" t="s">
        <v>139</v>
      </c>
      <c r="F13195" s="1">
        <v>7</v>
      </c>
      <c r="G13195" s="1">
        <v>3</v>
      </c>
      <c r="H13195" s="1">
        <v>0</v>
      </c>
      <c r="I13195" s="1" t="s">
        <v>27102</v>
      </c>
      <c r="K13195" s="1" t="str">
        <f t="shared" si="830"/>
        <v>ㄩ</v>
      </c>
      <c r="M13195" s="1" t="str">
        <f t="shared" si="832"/>
        <v/>
      </c>
      <c r="N13195" s="3" t="s">
        <v>30575</v>
      </c>
      <c r="O13195" s="3"/>
      <c r="P13195" s="1" t="s">
        <v>20</v>
      </c>
      <c r="R13195" s="1" t="s">
        <v>27103</v>
      </c>
      <c r="V13195" s="1" t="s">
        <v>27115</v>
      </c>
      <c r="AR13195" s="1" t="str">
        <f t="shared" si="831"/>
        <v>| [ㄩˊ](ㄩˊ.md) | [杅](杅.md) |  | yú | [名]
1.盛漿湯的器具。《儀禮．既夕禮》：「兩敦，兩杅，盤匜。」漢．鄭玄．注：「此皆常用之器也。杅，盛湯漿。」《後漢書．卷五二．崔駰傳》：「遠察近覽，俯仰有則，銘諸几杖，刻諸盤杅。」
2.沐浴用的器具。《禮記．玉藻》：「出杅，履蒯席，連用湯。」漢．鄭玄．注：「杅，浴器也。」唐．孔穎達．正義：「杅，浴之盆也。」 |</v>
      </c>
    </row>
    <row r="13196" spans="1:44" hidden="1">
      <c r="A13196" s="1" t="s">
        <v>27116</v>
      </c>
      <c r="C13196" s="1">
        <v>1</v>
      </c>
      <c r="D13196" s="1" t="str">
        <f>"11563"</f>
        <v>11563</v>
      </c>
      <c r="E13196" s="1" t="s">
        <v>438</v>
      </c>
      <c r="F13196" s="1">
        <v>8</v>
      </c>
      <c r="G13196" s="1">
        <v>3</v>
      </c>
      <c r="H13196" s="1">
        <v>0</v>
      </c>
      <c r="I13196" s="1" t="s">
        <v>27102</v>
      </c>
      <c r="K13196" s="1" t="str">
        <f t="shared" si="830"/>
        <v>ㄩ</v>
      </c>
      <c r="M13196" s="1" t="str">
        <f t="shared" si="832"/>
        <v/>
      </c>
      <c r="N13196" s="3" t="s">
        <v>30575</v>
      </c>
      <c r="O13196" s="3"/>
      <c r="P13196" s="1" t="s">
        <v>20</v>
      </c>
      <c r="R13196" s="1" t="s">
        <v>27103</v>
      </c>
      <c r="V13196" s="1" t="s">
        <v>27117</v>
      </c>
      <c r="AR13196" s="1" t="str">
        <f t="shared" si="831"/>
        <v>| [ㄩˊ](ㄩˊ.md) | [盂](盂.md) |  | yú | [名]
1.盛食物或漿湯的容器。如：「水盂」、「缽盂」。《聊齋志異．卷一．勞山道士》：「遂各覓盎盂，競飲先釂，惟恐樽盡。」
2.地名：(1)春秋時衛地，約在今河北省濮陽縣東南。(2)春秋時宋地，約在今河南省睢縣。(3)春秋時晉地，約在今山西省陽曲縣東北。 |</v>
      </c>
    </row>
    <row r="13197" spans="1:44" hidden="1">
      <c r="A13197" s="1" t="s">
        <v>27118</v>
      </c>
      <c r="C13197" s="1">
        <v>1</v>
      </c>
      <c r="D13197" s="1" t="str">
        <f>"11564"</f>
        <v>11564</v>
      </c>
      <c r="E13197" s="1" t="s">
        <v>49</v>
      </c>
      <c r="F13197" s="1">
        <v>9</v>
      </c>
      <c r="G13197" s="1">
        <v>3</v>
      </c>
      <c r="H13197" s="1">
        <v>0</v>
      </c>
      <c r="I13197" s="1" t="s">
        <v>27102</v>
      </c>
      <c r="K13197" s="1" t="str">
        <f t="shared" si="830"/>
        <v>ㄩ</v>
      </c>
      <c r="M13197" s="1" t="str">
        <f t="shared" si="832"/>
        <v/>
      </c>
      <c r="N13197" s="3" t="s">
        <v>30575</v>
      </c>
      <c r="O13197" s="3"/>
      <c r="P13197" s="1" t="s">
        <v>20</v>
      </c>
      <c r="R13197" s="1" t="s">
        <v>27103</v>
      </c>
      <c r="V13197" s="1" t="s">
        <v>27119</v>
      </c>
      <c r="AR13197" s="1" t="str">
        <f t="shared" si="831"/>
        <v>| [ㄩˊ](ㄩˊ.md) | [竽](竽.md) |  | yú | [名]
樂器名，吹管樂器。形似笙而較大，三十六管，後減至二十三管。《周禮．春官宗伯．笙師》：「笙師掌教吹竽、笙……管。」鄭玄注引鄭司農云：「竽，三十六簧；笙，十三簧。」 |</v>
      </c>
    </row>
    <row r="13198" spans="1:44" hidden="1">
      <c r="A13198" s="1" t="s">
        <v>27120</v>
      </c>
      <c r="C13198" s="1">
        <v>1</v>
      </c>
      <c r="D13198" s="1" t="str">
        <f>"11565"</f>
        <v>11565</v>
      </c>
      <c r="E13198" s="1" t="s">
        <v>7857</v>
      </c>
      <c r="F13198" s="1">
        <v>4</v>
      </c>
      <c r="G13198" s="1">
        <v>3</v>
      </c>
      <c r="H13198" s="1">
        <v>1</v>
      </c>
      <c r="I13198" s="1" t="s">
        <v>27102</v>
      </c>
      <c r="K13198" s="1" t="str">
        <f t="shared" ref="K13198:K13261" si="833">LEFT(I13198, 1)</f>
        <v>ㄩ</v>
      </c>
      <c r="M13198" s="1" t="str">
        <f t="shared" si="832"/>
        <v/>
      </c>
      <c r="N13198" s="3" t="s">
        <v>30575</v>
      </c>
      <c r="O13198" s="3"/>
      <c r="P13198" s="1" t="s">
        <v>20</v>
      </c>
      <c r="R13198" s="1" t="s">
        <v>27103</v>
      </c>
      <c r="V13198" s="1" t="s">
        <v>27121</v>
      </c>
      <c r="W13198" s="1" t="s">
        <v>27122</v>
      </c>
      <c r="AR13198" s="1" t="str">
        <f t="shared" si="831"/>
        <v>| [ㄩˊ](ㄩˊ.md) | [予](予.md) |  | yú | [代]
我。同「余」。《論語．述而》：「天生德於予，桓魋其如予何？」唐．李白〈送郄昂謫巴中〉詩：「予若洞庭葉，隨波送逐臣。」 |</v>
      </c>
    </row>
    <row r="13199" spans="1:44" hidden="1">
      <c r="A13199" s="1" t="s">
        <v>27123</v>
      </c>
      <c r="C13199" s="1">
        <v>1</v>
      </c>
      <c r="D13199" s="1" t="str">
        <f>"11566"</f>
        <v>11566</v>
      </c>
      <c r="E13199" s="1" t="s">
        <v>534</v>
      </c>
      <c r="F13199" s="1">
        <v>7</v>
      </c>
      <c r="G13199" s="1">
        <v>4</v>
      </c>
      <c r="H13199" s="1">
        <v>0</v>
      </c>
      <c r="I13199" s="1" t="s">
        <v>27102</v>
      </c>
      <c r="K13199" s="1" t="str">
        <f t="shared" si="833"/>
        <v>ㄩ</v>
      </c>
      <c r="M13199" s="1" t="str">
        <f t="shared" si="832"/>
        <v/>
      </c>
      <c r="N13199" s="3" t="s">
        <v>30575</v>
      </c>
      <c r="O13199" s="3"/>
      <c r="P13199" s="1" t="s">
        <v>20</v>
      </c>
      <c r="R13199" s="1" t="s">
        <v>27103</v>
      </c>
      <c r="V13199" s="1" t="s">
        <v>13440</v>
      </c>
      <c r="AR13199" s="1" t="str">
        <f t="shared" si="831"/>
        <v>| [ㄩˊ](ㄩˊ.md) | [妤](妤.md) |  | yú | 參見「婕妤」條。 |</v>
      </c>
    </row>
    <row r="13200" spans="1:44" hidden="1">
      <c r="A13200" s="1" t="s">
        <v>26392</v>
      </c>
      <c r="C13200" s="1">
        <v>1</v>
      </c>
      <c r="D13200" s="1" t="str">
        <f>"11567"</f>
        <v>11567</v>
      </c>
      <c r="E13200" s="1" t="s">
        <v>28</v>
      </c>
      <c r="F13200" s="1">
        <v>7</v>
      </c>
      <c r="G13200" s="1">
        <v>4</v>
      </c>
      <c r="H13200" s="1">
        <v>2</v>
      </c>
      <c r="I13200" s="1" t="s">
        <v>27102</v>
      </c>
      <c r="K13200" s="1" t="str">
        <f t="shared" si="833"/>
        <v>ㄩ</v>
      </c>
      <c r="M13200" s="1" t="str">
        <f t="shared" si="832"/>
        <v/>
      </c>
      <c r="N13200" s="3" t="s">
        <v>30575</v>
      </c>
      <c r="O13200" s="3"/>
      <c r="P13200" s="1" t="s">
        <v>20</v>
      </c>
      <c r="R13200" s="1" t="s">
        <v>27103</v>
      </c>
      <c r="V13200" s="1" t="s">
        <v>27124</v>
      </c>
      <c r="W13200" s="1" t="s">
        <v>27125</v>
      </c>
      <c r="AR13200" s="1" t="str">
        <f t="shared" si="831"/>
        <v>| [ㄩˊ](ㄩˊ.md) | [吾](吾.md) |  | yú | 參見「吾吾」條。 |</v>
      </c>
    </row>
    <row r="13201" spans="1:44" hidden="1">
      <c r="A13201" s="1" t="s">
        <v>25257</v>
      </c>
      <c r="C13201" s="1">
        <v>1</v>
      </c>
      <c r="D13201" s="1" t="str">
        <f>"11568"</f>
        <v>11568</v>
      </c>
      <c r="E13201" s="1" t="s">
        <v>7105</v>
      </c>
      <c r="F13201" s="1">
        <v>13</v>
      </c>
      <c r="G13201" s="1">
        <v>7</v>
      </c>
      <c r="H13201" s="1">
        <v>2</v>
      </c>
      <c r="I13201" s="1" t="s">
        <v>27102</v>
      </c>
      <c r="K13201" s="1" t="str">
        <f t="shared" si="833"/>
        <v>ㄩ</v>
      </c>
      <c r="M13201" s="1" t="str">
        <f t="shared" si="832"/>
        <v/>
      </c>
      <c r="N13201" s="3" t="s">
        <v>30575</v>
      </c>
      <c r="O13201" s="3"/>
      <c r="P13201" s="1" t="s">
        <v>20</v>
      </c>
      <c r="R13201" s="1" t="s">
        <v>27103</v>
      </c>
      <c r="V13201" s="1" t="s">
        <v>27126</v>
      </c>
      <c r="W13201" s="1" t="s">
        <v>27127</v>
      </c>
      <c r="AR13201" s="1" t="str">
        <f t="shared" si="831"/>
        <v>| [ㄩˊ](ㄩˊ.md) | [衙](衙.md) |  | yú | [副]
衙衙：列隊行走的樣子。《說文解字．行部》：「衙，衙衙，行貌。」清．段玉裁．注：「衙衙是行列之意。」《楚辭．宋玉．九辯》：「屬雷師之闐闐兮，通飛廉之衙衙。」 |</v>
      </c>
    </row>
    <row r="13202" spans="1:44" hidden="1">
      <c r="A13202" s="1" t="s">
        <v>16400</v>
      </c>
      <c r="C13202" s="1">
        <v>1</v>
      </c>
      <c r="D13202" s="1" t="str">
        <f>"11569"</f>
        <v>11569</v>
      </c>
      <c r="E13202" s="1" t="s">
        <v>256</v>
      </c>
      <c r="F13202" s="1">
        <v>7</v>
      </c>
      <c r="G13202" s="1">
        <v>4</v>
      </c>
      <c r="H13202" s="1">
        <v>4</v>
      </c>
      <c r="I13202" s="1" t="s">
        <v>27102</v>
      </c>
      <c r="K13202" s="1" t="str">
        <f t="shared" si="833"/>
        <v>ㄩ</v>
      </c>
      <c r="M13202" s="1" t="str">
        <f t="shared" si="832"/>
        <v/>
      </c>
      <c r="N13202" s="3" t="s">
        <v>30575</v>
      </c>
      <c r="O13202" s="3"/>
      <c r="P13202" s="1" t="s">
        <v>20</v>
      </c>
      <c r="R13202" s="1" t="s">
        <v>27103</v>
      </c>
      <c r="V13202" s="1" t="s">
        <v>27128</v>
      </c>
      <c r="W13202" s="1" t="s">
        <v>27129</v>
      </c>
      <c r="AR13202" s="1" t="str">
        <f t="shared" si="831"/>
        <v>| [ㄩˊ](ㄩˊ.md) | [邪](邪.md) |  | yú | [名]
剩餘。《史記．卷二六．曆書》：「歸邪於終，事則不悖。」南朝宋．裴駰．集解：「邪，餘分也；終，閏月也。」 |</v>
      </c>
    </row>
    <row r="13203" spans="1:44" hidden="1">
      <c r="A13203" s="1" t="s">
        <v>17283</v>
      </c>
      <c r="C13203" s="1">
        <v>1</v>
      </c>
      <c r="D13203" s="1" t="str">
        <f>"11570"</f>
        <v>11570</v>
      </c>
      <c r="E13203" s="1" t="s">
        <v>114</v>
      </c>
      <c r="F13203" s="1">
        <v>7</v>
      </c>
      <c r="G13203" s="1">
        <v>5</v>
      </c>
      <c r="H13203" s="1">
        <v>1</v>
      </c>
      <c r="I13203" s="1" t="s">
        <v>27102</v>
      </c>
      <c r="K13203" s="1" t="str">
        <f t="shared" si="833"/>
        <v>ㄩ</v>
      </c>
      <c r="M13203" s="1" t="str">
        <f t="shared" si="832"/>
        <v/>
      </c>
      <c r="N13203" s="3" t="s">
        <v>30575</v>
      </c>
      <c r="O13203" s="3"/>
      <c r="P13203" s="1" t="s">
        <v>20</v>
      </c>
      <c r="R13203" s="1" t="s">
        <v>27103</v>
      </c>
      <c r="V13203" s="1" t="s">
        <v>27130</v>
      </c>
      <c r="W13203" s="1" t="s">
        <v>27131</v>
      </c>
      <c r="AR13203" s="1" t="str">
        <f t="shared" si="831"/>
        <v>| [ㄩˊ](ㄩˊ.md) | [余](余.md) |  | yú | [代]
我，表第一人稱。《文選．班彪．北征賦》：「余遭世之顛覆兮，罹填塞之阨災。」《文選．陸機．歎逝賦》：「余將老而為客。」
[名]
1.剩下、多餘。同「餘」。《周禮．地官．委人》：「凡其余，聚以待頒賜。」
2.姓。如宋代有余靖。 |</v>
      </c>
    </row>
    <row r="13204" spans="1:44" hidden="1">
      <c r="A13204" s="1" t="s">
        <v>27132</v>
      </c>
      <c r="C13204" s="1">
        <v>1</v>
      </c>
      <c r="D13204" s="1" t="str">
        <f>"11571"</f>
        <v>11571</v>
      </c>
      <c r="E13204" s="1" t="s">
        <v>198</v>
      </c>
      <c r="F13204" s="1">
        <v>10</v>
      </c>
      <c r="G13204" s="1">
        <v>7</v>
      </c>
      <c r="H13204" s="1">
        <v>0</v>
      </c>
      <c r="I13204" s="1" t="s">
        <v>27102</v>
      </c>
      <c r="K13204" s="1" t="str">
        <f t="shared" si="833"/>
        <v>ㄩ</v>
      </c>
      <c r="M13204" s="1" t="str">
        <f t="shared" si="832"/>
        <v/>
      </c>
      <c r="N13204" s="3" t="s">
        <v>30575</v>
      </c>
      <c r="O13204" s="3"/>
      <c r="P13204" s="1" t="s">
        <v>20</v>
      </c>
      <c r="R13204" s="1" t="s">
        <v>27103</v>
      </c>
      <c r="V13204" s="1" t="s">
        <v>15333</v>
      </c>
      <c r="AR13204" s="1" t="str">
        <f t="shared" si="831"/>
        <v>| [ㄩˊ](ㄩˊ.md) | [狳](狳.md) |  | yú | 參見「犰狳」條。 |</v>
      </c>
    </row>
    <row r="13205" spans="1:44" hidden="1">
      <c r="A13205" s="1" t="s">
        <v>20821</v>
      </c>
      <c r="C13205" s="1">
        <v>1</v>
      </c>
      <c r="D13205" s="1" t="str">
        <f>"11572"</f>
        <v>11572</v>
      </c>
      <c r="E13205" s="1" t="s">
        <v>753</v>
      </c>
      <c r="F13205" s="1">
        <v>12</v>
      </c>
      <c r="G13205" s="1">
        <v>7</v>
      </c>
      <c r="H13205" s="1">
        <v>1</v>
      </c>
      <c r="I13205" s="1" t="s">
        <v>27102</v>
      </c>
      <c r="K13205" s="1" t="str">
        <f t="shared" si="833"/>
        <v>ㄩ</v>
      </c>
      <c r="M13205" s="1" t="str">
        <f t="shared" si="832"/>
        <v/>
      </c>
      <c r="N13205" s="3" t="s">
        <v>30575</v>
      </c>
      <c r="O13205" s="3"/>
      <c r="P13205" s="1" t="s">
        <v>20</v>
      </c>
      <c r="R13205" s="1" t="s">
        <v>27103</v>
      </c>
      <c r="V13205" s="1" t="s">
        <v>27133</v>
      </c>
      <c r="W13205" s="1" t="s">
        <v>27134</v>
      </c>
      <c r="AR13205" s="1" t="str">
        <f t="shared" si="831"/>
        <v>| [ㄩˊ](ㄩˊ.md) | [畬](畬.md) |  | yú | [名]
開墾過二年的田地。《說文解字．田部》：「畬，二歲治田也。」 |</v>
      </c>
    </row>
    <row r="13206" spans="1:44" hidden="1">
      <c r="A13206" s="1" t="s">
        <v>20156</v>
      </c>
      <c r="C13206" s="1">
        <v>1</v>
      </c>
      <c r="D13206" s="1" t="str">
        <f>"11573"</f>
        <v>11573</v>
      </c>
      <c r="E13206" s="1" t="s">
        <v>679</v>
      </c>
      <c r="F13206" s="1">
        <v>13</v>
      </c>
      <c r="G13206" s="1">
        <v>7</v>
      </c>
      <c r="H13206" s="1">
        <v>2</v>
      </c>
      <c r="I13206" s="1" t="s">
        <v>27102</v>
      </c>
      <c r="K13206" s="1" t="str">
        <f t="shared" si="833"/>
        <v>ㄩ</v>
      </c>
      <c r="M13206" s="1" t="str">
        <f t="shared" si="832"/>
        <v/>
      </c>
      <c r="N13206" s="3" t="s">
        <v>30575</v>
      </c>
      <c r="O13206" s="3"/>
      <c r="P13206" s="1" t="s">
        <v>20</v>
      </c>
      <c r="R13206" s="1" t="s">
        <v>27103</v>
      </c>
      <c r="V13206" s="1" t="s">
        <v>27135</v>
      </c>
      <c r="W13206" s="1" t="s">
        <v>27136</v>
      </c>
      <c r="AR13206" s="1" t="str">
        <f t="shared" si="831"/>
        <v>| [ㄩˊ](ㄩˊ.md) | [蜍](蜍.md) |  | yú | [名]
蝳蜍：蜘蛛的別名。參見「蜘蛛」條。 |</v>
      </c>
    </row>
    <row r="13207" spans="1:44" hidden="1">
      <c r="A13207" s="1" t="s">
        <v>27137</v>
      </c>
      <c r="C13207" s="1">
        <v>1</v>
      </c>
      <c r="D13207" s="1" t="str">
        <f>"11574"</f>
        <v>11574</v>
      </c>
      <c r="E13207" s="1" t="s">
        <v>181</v>
      </c>
      <c r="F13207" s="1">
        <v>13</v>
      </c>
      <c r="G13207" s="1">
        <v>7</v>
      </c>
      <c r="H13207" s="1">
        <v>0</v>
      </c>
      <c r="I13207" s="1" t="s">
        <v>27102</v>
      </c>
      <c r="K13207" s="1" t="str">
        <f t="shared" si="833"/>
        <v>ㄩ</v>
      </c>
      <c r="M13207" s="1" t="str">
        <f t="shared" si="832"/>
        <v/>
      </c>
      <c r="N13207" s="3" t="s">
        <v>30575</v>
      </c>
      <c r="O13207" s="3"/>
      <c r="P13207" s="1" t="s">
        <v>20</v>
      </c>
      <c r="R13207" s="1" t="s">
        <v>27103</v>
      </c>
      <c r="V13207" s="1" t="s">
        <v>12688</v>
      </c>
      <c r="AR13207" s="1" t="str">
        <f t="shared" si="831"/>
        <v>| [ㄩˊ](ㄩˊ.md) | [艅](艅.md) |  | yú | 參見「艅艎」條。 |</v>
      </c>
    </row>
    <row r="13208" spans="1:44" hidden="1">
      <c r="A13208" s="1" t="s">
        <v>27138</v>
      </c>
      <c r="C13208" s="1">
        <v>1</v>
      </c>
      <c r="D13208" s="1" t="str">
        <f>"11575"</f>
        <v>11575</v>
      </c>
      <c r="E13208" s="1" t="s">
        <v>193</v>
      </c>
      <c r="F13208" s="1">
        <v>15</v>
      </c>
      <c r="G13208" s="1">
        <v>7</v>
      </c>
      <c r="H13208" s="1">
        <v>0</v>
      </c>
      <c r="I13208" s="1" t="s">
        <v>27102</v>
      </c>
      <c r="K13208" s="1" t="str">
        <f t="shared" si="833"/>
        <v>ㄩ</v>
      </c>
      <c r="M13208" s="1" t="str">
        <f t="shared" si="832"/>
        <v/>
      </c>
      <c r="N13208" s="3" t="s">
        <v>30575</v>
      </c>
      <c r="O13208" s="3"/>
      <c r="P13208" s="1" t="s">
        <v>20</v>
      </c>
      <c r="R13208" s="1" t="s">
        <v>27103</v>
      </c>
      <c r="V13208" s="1" t="s">
        <v>27139</v>
      </c>
      <c r="AR13208" s="1" t="str">
        <f t="shared" si="831"/>
        <v>| [ㄩˊ](ㄩˊ.md) | [餘](餘.md) |  | yú | [形]
1.多出的、剩下的。如：「餘錢」、「不遺餘力」。宋．王庭珪〈和周秀實家行〉：「先輸官倉足兵食，餘粟尚可瓶中藏。」
2.殘留的、將盡的。如：「餘年」、「餘生」、「餘燼」。宋．方岳〈農謠〉二首之二：「漠漠餘香著草花，森森柔綠長桑麻。」
3.其他的。如：「餘念」、「餘事」。
4.不盡的、未完的。如：「死有餘辜」、「心有餘悸」、「餘音繞梁」。
[名]
1.某一事情、情況以外或以後的時間。如：「課餘」、「業餘」、「公餘」。唐．孟浩然〈行出東山望漢川〉詩：「雪餘春未暖，嵐解晝初陽。」
2.大數目或度量單位等的零數。如：「三十有餘」、「年四十餘」。清．姚鼐〈登泰山記〉：「四十五里，道皆砌石為磴，其級七千有餘。」
3.姓。如十六國時後燕有餘蔚。
[副]
以後。如：「他虛心反省之餘，決心改過。」
[動]
剩下、遺留。如：「餘留」。唐．戴叔倫〈屯田詞〉：「新禾未熟飛蝗至，青苗食盡餘枯莖。」宋．周邦彥〈浪淘沙慢．晝陰重〉詞：「弄夜色，空餘滿地梨花雪。」 |</v>
      </c>
    </row>
    <row r="13209" spans="1:44" hidden="1">
      <c r="A13209" s="1" t="s">
        <v>26364</v>
      </c>
      <c r="C13209" s="1">
        <v>1</v>
      </c>
      <c r="D13209" s="1" t="str">
        <f>"11576"</f>
        <v>11576</v>
      </c>
      <c r="E13209" s="1" t="s">
        <v>800</v>
      </c>
      <c r="F13209" s="1">
        <v>8</v>
      </c>
      <c r="G13209" s="1">
        <v>4</v>
      </c>
      <c r="H13209" s="1">
        <v>1</v>
      </c>
      <c r="I13209" s="1" t="s">
        <v>27102</v>
      </c>
      <c r="K13209" s="1" t="str">
        <f t="shared" si="833"/>
        <v>ㄩ</v>
      </c>
      <c r="M13209" s="1" t="str">
        <f t="shared" si="832"/>
        <v/>
      </c>
      <c r="N13209" s="3" t="s">
        <v>30575</v>
      </c>
      <c r="O13209" s="3"/>
      <c r="P13209" s="1" t="s">
        <v>20</v>
      </c>
      <c r="R13209" s="1" t="s">
        <v>27103</v>
      </c>
      <c r="V13209" s="1" t="s">
        <v>27140</v>
      </c>
      <c r="W13209" s="1" t="s">
        <v>27141</v>
      </c>
      <c r="AR13209" s="1" t="str">
        <f t="shared" si="831"/>
        <v>| [ㄩˊ](ㄩˊ.md) | [於](於.md) |  | yú | [介]_x000D_
1.在。如：「生於某年」、「舟行於海」、「生於斯，長於斯。」_x000D_
2.給。《論語．衛靈公》：「己所不欲，勿施於人。」_x000D_
3.向。《論語．學而》：「子禽問於子貢。」《明史．卷二．太祖本紀二》：「丙子，頒即位詔於天下。」_x000D_
4.對。如：「於心不忍」、「於事無補」。《論語．公冶長》：「始吾於人也，聽其言而信其行；今吾於人也，聽其言而觀其行。」_x000D_
5.到、至。《史記．卷二九．河渠書》：「於吳，則通渠三江、五湖；於齊，則通菑濟之閒。」唐．柳宗元〈捕蛇者說〉：「自吾氏三世居是鄉，積於今六十歲矣。」_x000D_
6.從、由。《老子》第六四章：「千里之行，始於足下。」南朝宋．劉義慶《世說新語．雅量》：「褚公於章安令遷太尉記室參軍。」_x000D_
7.被，置於動詞之後，表示被動。《左傳．成公二年》：「郤克傷於矢，流血及屨。」《史記．卷六八．商君傳》：「魏惠王兵數破於齊、秦，國內空，日以削，恐。」_x000D_
8.為、為了。《史記．卷三二．齊太公世家》：「齊使管仲平戎於周。」_x000D_
9.比，置於形容詞之後，表示比較。《禮記．檀弓下》：「苛政猛於虎也。」唐．李白〈蜀道難〉：「噫吁戲危乎高哉，蜀道之難、難於上青天。」_x000D_
10. 和、與、跟。《論語．子路》：「吾黨之直者異於是，父為子隱，子為父隱，直在其中矣。」宋．蘇軾〈日喻〉：「而人之未達也，無以異於眇。」_x000D_
[連]_x000D_
與、和，表示並列。《戰國策．齊策一》：「今趙之與秦，猶齊之於魯也。」《漢書．卷六〇．杜周傳》：「況將軍之於主上，主上之與將軍哉！」_x000D_
[動]_x000D_
依靠。三國魏．曹植〈當來日大難〉詩：「廣情故，心相於。」唐．劉得仁〈贈敬晊助教〉詩二首之一：「便欲去隨為弟子，片雲孤鶴可相於。」_x000D_
[助]_x000D_
位於句首的語氣詞，無義。《易經．繫辭下》：「於稽其類，其衰世之意邪。」唐．盧肇〈漢堤〉詩：「於惟餘甿，飢傷喘呼。」_x000D_
[名]_x000D_
姓。如宋代有於清言。 |</v>
      </c>
    </row>
    <row r="13210" spans="1:44" hidden="1">
      <c r="A13210" s="1" t="s">
        <v>25768</v>
      </c>
      <c r="C13210" s="1">
        <v>1</v>
      </c>
      <c r="D13210" s="1" t="str">
        <f>"11577"</f>
        <v>11577</v>
      </c>
      <c r="E13210" s="1" t="s">
        <v>37</v>
      </c>
      <c r="F13210" s="1">
        <v>12</v>
      </c>
      <c r="G13210" s="1">
        <v>8</v>
      </c>
      <c r="H13210" s="1">
        <v>2</v>
      </c>
      <c r="I13210" s="1" t="s">
        <v>27102</v>
      </c>
      <c r="K13210" s="1" t="str">
        <f t="shared" si="833"/>
        <v>ㄩ</v>
      </c>
      <c r="M13210" s="1" t="str">
        <f t="shared" si="832"/>
        <v/>
      </c>
      <c r="N13210" s="3" t="s">
        <v>30575</v>
      </c>
      <c r="O13210" s="3"/>
      <c r="P13210" s="1" t="s">
        <v>20</v>
      </c>
      <c r="R13210" s="1" t="s">
        <v>27103</v>
      </c>
      <c r="V13210" s="1" t="s">
        <v>27142</v>
      </c>
      <c r="W13210" s="1" t="s">
        <v>27143</v>
      </c>
      <c r="AR13210" s="1" t="str">
        <f t="shared" si="831"/>
        <v>| [ㄩˊ](ㄩˊ.md) | [菸](菸.md) |  | yú | [名]
枯萎。宋．司馬光〈論張堯佐除宣徽史狀〉：「盛夏日方中而灌之，瓜不旋踵而菸敗。」 |</v>
      </c>
    </row>
    <row r="13211" spans="1:44" hidden="1">
      <c r="A13211" s="1" t="s">
        <v>27144</v>
      </c>
      <c r="C13211" s="1">
        <v>1</v>
      </c>
      <c r="D13211" s="1" t="str">
        <f>"11578"</f>
        <v>11578</v>
      </c>
      <c r="E13211" s="1" t="s">
        <v>13771</v>
      </c>
      <c r="F13211" s="1">
        <v>8</v>
      </c>
      <c r="G13211" s="1">
        <v>2</v>
      </c>
      <c r="H13211" s="1">
        <v>1</v>
      </c>
      <c r="I13211" s="1" t="s">
        <v>27102</v>
      </c>
      <c r="K13211" s="1" t="str">
        <f t="shared" si="833"/>
        <v>ㄩ</v>
      </c>
      <c r="M13211" s="1" t="str">
        <f t="shared" si="832"/>
        <v/>
      </c>
      <c r="N13211" s="3" t="s">
        <v>30575</v>
      </c>
      <c r="O13211" s="3"/>
      <c r="P13211" s="1" t="s">
        <v>20</v>
      </c>
      <c r="R13211" s="1" t="s">
        <v>27103</v>
      </c>
      <c r="V13211" s="1" t="s">
        <v>27145</v>
      </c>
      <c r="W13211" s="1" t="s">
        <v>27146</v>
      </c>
      <c r="AR13211" s="1" t="str">
        <f t="shared" si="831"/>
        <v>| [ㄩˊ](ㄩˊ.md) | [臾](臾.md) |  | yú | [動]
捆綁拖拉。《說文解字．申部》：「臾，束縛捽抴為臾曳。」
[名]
1.參見「須臾」條。
2.姓。如春秋時晉國有臾駢。 |</v>
      </c>
    </row>
    <row r="13212" spans="1:44" hidden="1">
      <c r="A13212" s="1" t="s">
        <v>27147</v>
      </c>
      <c r="C13212" s="1">
        <v>1</v>
      </c>
      <c r="D13212" s="1" t="str">
        <f>"11579"</f>
        <v>11579</v>
      </c>
      <c r="E13212" s="1" t="s">
        <v>13771</v>
      </c>
      <c r="F13212" s="1">
        <v>9</v>
      </c>
      <c r="G13212" s="1">
        <v>3</v>
      </c>
      <c r="H13212" s="1">
        <v>0</v>
      </c>
      <c r="I13212" s="1" t="s">
        <v>27102</v>
      </c>
      <c r="K13212" s="1" t="str">
        <f t="shared" si="833"/>
        <v>ㄩ</v>
      </c>
      <c r="M13212" s="1" t="str">
        <f t="shared" si="832"/>
        <v/>
      </c>
      <c r="N13212" s="3" t="s">
        <v>30575</v>
      </c>
      <c r="O13212" s="3"/>
      <c r="P13212" s="1" t="s">
        <v>20</v>
      </c>
      <c r="R13212" s="1" t="s">
        <v>27103</v>
      </c>
      <c r="V13212" s="1" t="s">
        <v>27148</v>
      </c>
      <c r="AR13212" s="1" t="str">
        <f t="shared" si="831"/>
        <v>| [ㄩˊ](ㄩˊ.md) | [舁](舁.md) |  | yú | [動]
1.抬舉、扛抬。《三國志．卷一三．魏書．鍾繇傳》：「時華歆亦以高年疾病，朝見皆使載輿車，虎賁舁上殿就坐。」《聊齋志異．卷八．陳錫九》：「意料女必死，遂舁歸錫九。」
2.裝載。唐．韓愈〈憶昨行和張十一〉詩：「車載牲牢甕舁酒，並召賓客延鄒枚。」《金史．卷一二七．隱逸傳．宋可傳》：「因呼妻子舁金歸之，鄉里用是重之。」 |</v>
      </c>
    </row>
    <row r="13213" spans="1:44" hidden="1">
      <c r="A13213" s="1" t="s">
        <v>27149</v>
      </c>
      <c r="C13213" s="1">
        <v>1</v>
      </c>
      <c r="D13213" s="1" t="str">
        <f>"11580"</f>
        <v>11580</v>
      </c>
      <c r="E13213" s="1" t="s">
        <v>139</v>
      </c>
      <c r="F13213" s="1">
        <v>12</v>
      </c>
      <c r="G13213" s="1">
        <v>8</v>
      </c>
      <c r="H13213" s="1">
        <v>0</v>
      </c>
      <c r="I13213" s="1" t="s">
        <v>27102</v>
      </c>
      <c r="K13213" s="1" t="str">
        <f t="shared" si="833"/>
        <v>ㄩ</v>
      </c>
      <c r="M13213" s="1" t="str">
        <f t="shared" si="832"/>
        <v/>
      </c>
      <c r="N13213" s="3" t="s">
        <v>30575</v>
      </c>
      <c r="O13213" s="3"/>
      <c r="P13213" s="1" t="s">
        <v>20</v>
      </c>
      <c r="R13213" s="1" t="s">
        <v>27103</v>
      </c>
      <c r="V13213" s="1" t="s">
        <v>27150</v>
      </c>
      <c r="AR13213" s="1" t="str">
        <f t="shared" si="831"/>
        <v>| [ㄩˊ](ㄩˊ.md) | [楰](楰.md) |  | yú | [名]
古書上記載的一種楸樹。即鼠梓。葉大如桐樹而黑。《爾雅．釋木》：「楰，鼠梓。」清．郝懿行．義疏：「今一種楸，大葉如桐葉而黑，山中人謂檟楸。」《詩經．小雅．南山有臺》：「南山有枸，北山有楰。」唐．孔穎達．正義：「楰，鼠梓。……郭璞曰：『楸屬也。』陸璣．疏曰：『其樹葉、木理如楸，山楸之異者，今人謂之苦楸是也。』」 |</v>
      </c>
    </row>
    <row r="13214" spans="1:44" hidden="1">
      <c r="A13214" s="1" t="s">
        <v>27151</v>
      </c>
      <c r="C13214" s="1">
        <v>1</v>
      </c>
      <c r="D13214" s="1" t="str">
        <f>"11581"</f>
        <v>11581</v>
      </c>
      <c r="E13214" s="1" t="s">
        <v>37</v>
      </c>
      <c r="F13214" s="1">
        <v>12</v>
      </c>
      <c r="G13214" s="1">
        <v>8</v>
      </c>
      <c r="H13214" s="1">
        <v>0</v>
      </c>
      <c r="I13214" s="1" t="s">
        <v>27102</v>
      </c>
      <c r="K13214" s="1" t="str">
        <f t="shared" si="833"/>
        <v>ㄩ</v>
      </c>
      <c r="M13214" s="1" t="str">
        <f t="shared" si="832"/>
        <v/>
      </c>
      <c r="N13214" s="3" t="s">
        <v>30575</v>
      </c>
      <c r="O13214" s="3"/>
      <c r="P13214" s="1" t="s">
        <v>20</v>
      </c>
      <c r="R13214" s="1" t="s">
        <v>27103</v>
      </c>
      <c r="V13214" s="1" t="s">
        <v>18804</v>
      </c>
      <c r="AR13214" s="1" t="str">
        <f t="shared" si="831"/>
        <v>| [ㄩˊ](ㄩˊ.md) | [萸](萸.md) |  | yú | 參見「茱萸」條。 |</v>
      </c>
    </row>
    <row r="13215" spans="1:44" hidden="1">
      <c r="A13215" s="1" t="s">
        <v>27152</v>
      </c>
      <c r="C13215" s="1">
        <v>1</v>
      </c>
      <c r="D13215" s="1" t="str">
        <f>"11582"</f>
        <v>11582</v>
      </c>
      <c r="E13215" s="1" t="s">
        <v>68</v>
      </c>
      <c r="F13215" s="1">
        <v>12</v>
      </c>
      <c r="G13215" s="1">
        <v>8</v>
      </c>
      <c r="H13215" s="1">
        <v>0</v>
      </c>
      <c r="I13215" s="1" t="s">
        <v>27102</v>
      </c>
      <c r="K13215" s="1" t="str">
        <f t="shared" si="833"/>
        <v>ㄩ</v>
      </c>
      <c r="M13215" s="1" t="str">
        <f t="shared" si="832"/>
        <v/>
      </c>
      <c r="N13215" s="3" t="s">
        <v>30575</v>
      </c>
      <c r="O13215" s="3"/>
      <c r="P13215" s="1" t="s">
        <v>20</v>
      </c>
      <c r="R13215" s="1" t="s">
        <v>27103</v>
      </c>
      <c r="V13215" s="1" t="s">
        <v>27153</v>
      </c>
      <c r="AR13215" s="1" t="str">
        <f t="shared" si="831"/>
        <v>| [ㄩˊ](ㄩˊ.md) | [腴](腴.md) |  | yú | [形]
1.肥沃。如：「膏腴之地」。《金史．卷四七．食貨志二》：「腴地盡入富家，瘠者乃付貧戶。」
2.豐滿。如：「豐腴」。唐．白行簡《李娃傳》：「未數月，肌膚稍腴，卒歲，平愈如初。」
[名]
1.肥肉。《文選．枚乘．七發》：「犓牛之腴，菜以筍蒲。」《南史．卷七．梁武帝本紀下》：「膳無鮮腴，惟豆羹糲飯而已。」
2.豬狗的腸胃。《禮記．少儀》：「君子不食圂腴，小子走而不趨，舉爵則坐立飲。」唐．孔穎達．正義：「腴，豬犬腸也。」
3.油脂。漢．王充《論衡．藝增》：「稻粱之味，甘而多腴。」宋．蘇軾〈送喬仝寄賀君〉詩六首之一：「結茅窮山啖松腴，路逢逃秦博士盧。」
4.富裕之境。《晉書．卷六九．周顗傳》：「伯仁凝正，處腴能約。」唐．孟浩然〈贈蕭少府〉詩：「處腴能不潤，居劇體常閒。」 |</v>
      </c>
    </row>
    <row r="13216" spans="1:44" hidden="1">
      <c r="A13216" s="1" t="s">
        <v>27154</v>
      </c>
      <c r="C13216" s="1">
        <v>1</v>
      </c>
      <c r="D13216" s="1" t="str">
        <f>"11583"</f>
        <v>11583</v>
      </c>
      <c r="E13216" s="1" t="s">
        <v>13771</v>
      </c>
      <c r="F13216" s="1">
        <v>14</v>
      </c>
      <c r="G13216" s="1">
        <v>7</v>
      </c>
      <c r="H13216" s="1">
        <v>3</v>
      </c>
      <c r="I13216" s="1" t="s">
        <v>27102</v>
      </c>
      <c r="K13216" s="1" t="str">
        <f t="shared" si="833"/>
        <v>ㄩ</v>
      </c>
      <c r="M13216" s="1" t="str">
        <f t="shared" si="832"/>
        <v/>
      </c>
      <c r="N13216" s="3" t="s">
        <v>30575</v>
      </c>
      <c r="O13216" s="3"/>
      <c r="P13216" s="1" t="s">
        <v>20</v>
      </c>
      <c r="R13216" s="1" t="s">
        <v>27103</v>
      </c>
      <c r="V13216" s="1" t="s">
        <v>27155</v>
      </c>
      <c r="W13216" s="1" t="s">
        <v>27156</v>
      </c>
      <c r="AR13216" s="1" t="str">
        <f t="shared" si="831"/>
        <v>| [ㄩˊ](ㄩˊ.md) | [與](與.md) |  | yú | [助]
1.置於句末，表示感嘆的語氣。同「歟」。《論語．學而》：「孝弟也者，其為仁之本與！」
2.置於句末，表示疑問、反詰的語氣。同「歟」。《楚辭．屈原．漁父》：「漁父見而問之曰：『子非三閭大夫與？』」漢．王充《論衡．刺孟》：「沈同以其私問曰：『燕可伐與？』」 |</v>
      </c>
    </row>
    <row r="13217" spans="1:44" hidden="1">
      <c r="A13217" s="1" t="s">
        <v>27157</v>
      </c>
      <c r="C13217" s="1">
        <v>1</v>
      </c>
      <c r="D13217" s="1" t="str">
        <f>"11584"</f>
        <v>11584</v>
      </c>
      <c r="E13217" s="1" t="s">
        <v>331</v>
      </c>
      <c r="F13217" s="1">
        <v>15</v>
      </c>
      <c r="G13217" s="1">
        <v>8</v>
      </c>
      <c r="H13217" s="1">
        <v>0</v>
      </c>
      <c r="I13217" s="1" t="s">
        <v>27102</v>
      </c>
      <c r="K13217" s="1" t="str">
        <f t="shared" si="833"/>
        <v>ㄩ</v>
      </c>
      <c r="M13217" s="1" t="str">
        <f t="shared" si="832"/>
        <v/>
      </c>
      <c r="N13217" s="3" t="s">
        <v>30575</v>
      </c>
      <c r="O13217" s="3"/>
      <c r="P13217" s="1" t="s">
        <v>20</v>
      </c>
      <c r="R13217" s="1" t="s">
        <v>27103</v>
      </c>
      <c r="V13217" s="1" t="s">
        <v>27158</v>
      </c>
      <c r="AR13217" s="1" t="str">
        <f t="shared" si="831"/>
        <v>| [ㄩˊ](ㄩˊ.md) | [諛](諛.md) |  | yú | [動]
諂媚、奉承。如：「阿諛」。《書經．冏命》：「僕臣諛，厥后自聖。」《史記．卷一〇七．魏其武安侯傳》：「灌夫為人剛直使酒，不好面諛。」 |</v>
      </c>
    </row>
    <row r="13218" spans="1:44" hidden="1">
      <c r="A13218" s="1" t="s">
        <v>27159</v>
      </c>
      <c r="C13218" s="1">
        <v>1</v>
      </c>
      <c r="D13218" s="1" t="str">
        <f>"11585"</f>
        <v>11585</v>
      </c>
      <c r="E13218" s="1" t="s">
        <v>71</v>
      </c>
      <c r="F13218" s="1">
        <v>17</v>
      </c>
      <c r="G13218" s="1">
        <v>10</v>
      </c>
      <c r="H13218" s="1">
        <v>0</v>
      </c>
      <c r="I13218" s="1" t="s">
        <v>27102</v>
      </c>
      <c r="K13218" s="1" t="str">
        <f t="shared" si="833"/>
        <v>ㄩ</v>
      </c>
      <c r="M13218" s="1" t="str">
        <f t="shared" si="832"/>
        <v/>
      </c>
      <c r="N13218" s="3" t="s">
        <v>30575</v>
      </c>
      <c r="O13218" s="3"/>
      <c r="P13218" s="1" t="s">
        <v>20</v>
      </c>
      <c r="R13218" s="1" t="s">
        <v>27103</v>
      </c>
      <c r="V13218" s="1" t="s">
        <v>27160</v>
      </c>
      <c r="AR13218" s="1" t="str">
        <f t="shared" si="831"/>
        <v>| [ㄩˊ](ㄩˊ.md) | [輿](輿.md) |  | yú | [名]
1.車。如：「舍舟就輿」。《老子》第八〇章：「雖有舟輿，無所乘之。」
2.轎子。如：「肩輿」、「彩輿」。《遼史．卷五五．儀衛志一》：「輿：以人肩之，天子用韝絡臂綰。」明．徐弘祖《徐霞客遊記．卷八下．滇遊日記九》：「油碧輿五六肩，乃婦人之遊於林間者，不能近辨其為何樹也。」
3.地域、疆域。如：「輿地」、「輿圖」。《史記．卷六〇．三王世家》：「御史奏輿地圖，他皆如前故事。」
[動]
扛抬。《漢書．卷六四上．嚴助傳》：「輿轎而隃領，拕舟而入水。」《隋書．卷八一．東夷傳．流求傳》：「王乘木獸，令左右輿之而行，導從不過數十人。」
[形]
公眾的。如：「輿論」。《資治通鑑．卷二二九．唐紀四十五．德宗建中四年》：「頃者竊聞輿議，頗究群情。」 |</v>
      </c>
    </row>
    <row r="13219" spans="1:44" hidden="1">
      <c r="A13219" s="1" t="s">
        <v>27161</v>
      </c>
      <c r="C13219" s="1">
        <v>1</v>
      </c>
      <c r="D13219" s="1" t="str">
        <f>"11586"</f>
        <v>11586</v>
      </c>
      <c r="E13219" s="1" t="s">
        <v>142</v>
      </c>
      <c r="F13219" s="1">
        <v>18</v>
      </c>
      <c r="G13219" s="1">
        <v>14</v>
      </c>
      <c r="H13219" s="1">
        <v>0</v>
      </c>
      <c r="I13219" s="1" t="s">
        <v>27102</v>
      </c>
      <c r="K13219" s="1" t="str">
        <f t="shared" si="833"/>
        <v>ㄩ</v>
      </c>
      <c r="M13219" s="1" t="str">
        <f t="shared" si="832"/>
        <v/>
      </c>
      <c r="N13219" s="3" t="s">
        <v>30575</v>
      </c>
      <c r="O13219" s="3"/>
      <c r="P13219" s="1" t="s">
        <v>20</v>
      </c>
      <c r="R13219" s="1" t="s">
        <v>27103</v>
      </c>
      <c r="V13219" s="1" t="s">
        <v>27162</v>
      </c>
      <c r="AR13219" s="1" t="str">
        <f t="shared" si="831"/>
        <v>| [ㄩˊ](ㄩˊ.md) | [璵](璵.md) |  | yú | 參見「璵璠」條。 |</v>
      </c>
    </row>
    <row r="13220" spans="1:44" hidden="1">
      <c r="A13220" s="1" t="s">
        <v>27163</v>
      </c>
      <c r="C13220" s="1">
        <v>1</v>
      </c>
      <c r="D13220" s="1" t="str">
        <f>"11587"</f>
        <v>11587</v>
      </c>
      <c r="E13220" s="1" t="s">
        <v>1908</v>
      </c>
      <c r="F13220" s="1">
        <v>18</v>
      </c>
      <c r="G13220" s="1">
        <v>14</v>
      </c>
      <c r="H13220" s="1">
        <v>0</v>
      </c>
      <c r="I13220" s="1" t="s">
        <v>27102</v>
      </c>
      <c r="K13220" s="1" t="str">
        <f t="shared" si="833"/>
        <v>ㄩ</v>
      </c>
      <c r="M13220" s="1" t="str">
        <f t="shared" si="832"/>
        <v/>
      </c>
      <c r="N13220" s="3" t="s">
        <v>30575</v>
      </c>
      <c r="O13220" s="3"/>
      <c r="P13220" s="1" t="s">
        <v>20</v>
      </c>
      <c r="R13220" s="1" t="s">
        <v>27103</v>
      </c>
      <c r="V13220" s="1" t="s">
        <v>27164</v>
      </c>
      <c r="AR13220" s="1" t="str">
        <f t="shared" si="831"/>
        <v>| [ㄩˊ](ㄩˊ.md) | [歟](歟.md) |  | yú | [助]
1.置於句末，表疑問、反詰等語氣。多用於文言文中。相當於「嗎」。唐．柳宗元〈連山郡復乳穴記〉：「斯其為政也，而獨非祥也歟？」
2.表示感嘆的語氣。多用於文言文中。相當於「啊」、「吧」。漢．武帝〈詔賢良〉：「未知所濟，猗歟！偉歟！」宋．蘇軾〈留侯論〉：「嗚呼！此其所以為子房歟！」 |</v>
      </c>
    </row>
    <row r="13221" spans="1:44" hidden="1">
      <c r="A13221" s="1" t="s">
        <v>27165</v>
      </c>
      <c r="C13221" s="1">
        <v>1</v>
      </c>
      <c r="D13221" s="1" t="str">
        <f>"11588"</f>
        <v>11588</v>
      </c>
      <c r="E13221" s="1" t="s">
        <v>800</v>
      </c>
      <c r="F13221" s="1">
        <v>20</v>
      </c>
      <c r="G13221" s="1">
        <v>16</v>
      </c>
      <c r="H13221" s="1">
        <v>0</v>
      </c>
      <c r="I13221" s="1" t="s">
        <v>27102</v>
      </c>
      <c r="K13221" s="1" t="str">
        <f t="shared" si="833"/>
        <v>ㄩ</v>
      </c>
      <c r="M13221" s="1" t="str">
        <f t="shared" si="832"/>
        <v/>
      </c>
      <c r="N13221" s="3" t="s">
        <v>30575</v>
      </c>
      <c r="O13221" s="3"/>
      <c r="P13221" s="1" t="s">
        <v>20</v>
      </c>
      <c r="R13221" s="1" t="s">
        <v>27103</v>
      </c>
      <c r="V13221" s="1" t="s">
        <v>27166</v>
      </c>
      <c r="AR13221" s="1" t="str">
        <f t="shared" si="831"/>
        <v>| [ㄩˊ](ㄩˊ.md) | [旟](旟.md) |  | yú | [名]
古代指揮軍隊前進的旗子，畫有鳥振翅疾飛的圖像。《說文解字．㫃部》：「旟，錯革鳥其上，所以進士眾。」 |</v>
      </c>
    </row>
    <row r="13222" spans="1:44" hidden="1">
      <c r="A13222" s="1" t="s">
        <v>27167</v>
      </c>
      <c r="C13222" s="1">
        <v>1</v>
      </c>
      <c r="D13222" s="1" t="str">
        <f>"11589"</f>
        <v>11589</v>
      </c>
      <c r="E13222" s="1" t="s">
        <v>71</v>
      </c>
      <c r="F13222" s="1">
        <v>21</v>
      </c>
      <c r="G13222" s="1">
        <v>14</v>
      </c>
      <c r="H13222" s="1">
        <v>0</v>
      </c>
      <c r="I13222" s="1" t="s">
        <v>27102</v>
      </c>
      <c r="K13222" s="1" t="str">
        <f t="shared" si="833"/>
        <v>ㄩ</v>
      </c>
      <c r="M13222" s="1" t="str">
        <f t="shared" si="832"/>
        <v/>
      </c>
      <c r="N13222" s="3" t="s">
        <v>30575</v>
      </c>
      <c r="O13222" s="3"/>
      <c r="P13222" s="1" t="s">
        <v>20</v>
      </c>
      <c r="R13222" s="1" t="s">
        <v>27103</v>
      </c>
      <c r="V13222" s="1" t="s">
        <v>27168</v>
      </c>
      <c r="AR13222" s="1" t="str">
        <f t="shared" si="831"/>
        <v>| [ㄩˊ](ㄩˊ.md) | [轝](轝.md) |  | yú | [名]
1.用手抬扛的車。《字彙．車部》：「轝，兩手對舉之車。」
2.泛指車。同「輿」。唐．李公佐〈南柯太守傳〉：「郡有官吏、僧道、耆老、音樂、車轝、武衛、鑾鈴，爭來迎奉。」
3.載送靈柩的器具。唐．玄宗〈優恤張守潔等制〉：「用加優恤，以慰泉壤。宜官造靈轝，給傳還鄉。」
[動]
扛、舉。《遼史．卷五五．儀衛志一》：「皇帝乘椅，自便殿轝至西便門。」 |</v>
      </c>
    </row>
    <row r="13223" spans="1:44" hidden="1">
      <c r="A13223" s="1" t="s">
        <v>27169</v>
      </c>
      <c r="C13223" s="1">
        <v>1</v>
      </c>
      <c r="D13223" s="1" t="str">
        <f>"11590"</f>
        <v>11590</v>
      </c>
      <c r="E13223" s="1" t="s">
        <v>15579</v>
      </c>
      <c r="F13223" s="1">
        <v>9</v>
      </c>
      <c r="G13223" s="1">
        <v>4</v>
      </c>
      <c r="H13223" s="1">
        <v>1</v>
      </c>
      <c r="I13223" s="1" t="s">
        <v>27102</v>
      </c>
      <c r="K13223" s="1" t="str">
        <f t="shared" si="833"/>
        <v>ㄩ</v>
      </c>
      <c r="M13223" s="1" t="str">
        <f t="shared" si="832"/>
        <v/>
      </c>
      <c r="N13223" s="3" t="s">
        <v>30575</v>
      </c>
      <c r="O13223" s="3"/>
      <c r="P13223" s="1" t="s">
        <v>20</v>
      </c>
      <c r="R13223" s="1" t="s">
        <v>27103</v>
      </c>
      <c r="V13223" s="1" t="s">
        <v>27170</v>
      </c>
      <c r="W13223" s="1" t="s">
        <v>27171</v>
      </c>
      <c r="AR13223" s="1" t="str">
        <f t="shared" si="831"/>
        <v>| [ㄩˊ](ㄩˊ.md) | [禺](禺.md) |  | yú | [名]
區域。《管子．侈靡》：「王者上事，霸者生功，言重本，是為十禺。」唐．尹知章．注：「禺，猶區也。」 |</v>
      </c>
    </row>
    <row r="13224" spans="1:44" hidden="1">
      <c r="A13224" s="1" t="s">
        <v>27172</v>
      </c>
      <c r="C13224" s="1">
        <v>1</v>
      </c>
      <c r="D13224" s="1" t="str">
        <f>"11591"</f>
        <v>11591</v>
      </c>
      <c r="E13224" s="1" t="s">
        <v>28</v>
      </c>
      <c r="F13224" s="1">
        <v>12</v>
      </c>
      <c r="G13224" s="1">
        <v>9</v>
      </c>
      <c r="H13224" s="1">
        <v>2</v>
      </c>
      <c r="I13224" s="1" t="s">
        <v>27102</v>
      </c>
      <c r="K13224" s="1" t="str">
        <f t="shared" si="833"/>
        <v>ㄩ</v>
      </c>
      <c r="M13224" s="1" t="str">
        <f t="shared" si="832"/>
        <v/>
      </c>
      <c r="N13224" s="3" t="s">
        <v>30575</v>
      </c>
      <c r="O13224" s="3"/>
      <c r="P13224" s="1" t="s">
        <v>20</v>
      </c>
      <c r="R13224" s="1" t="s">
        <v>27103</v>
      </c>
      <c r="V13224" s="1" t="s">
        <v>27173</v>
      </c>
      <c r="W13224" s="1" t="s">
        <v>27174</v>
      </c>
      <c r="AR13224" s="1" t="str">
        <f t="shared" si="831"/>
        <v>| [ㄩˊ](ㄩˊ.md) | [喁](喁.md) |  | yú | [動]
(一)之又音。
[名]
相應和的聲音。《莊子．齊物論》：「前者唱于而隨者唱喁。」 |</v>
      </c>
    </row>
    <row r="13225" spans="1:44" hidden="1">
      <c r="A13225" s="1" t="s">
        <v>27175</v>
      </c>
      <c r="C13225" s="1">
        <v>1</v>
      </c>
      <c r="D13225" s="1" t="str">
        <f>"11592"</f>
        <v>11592</v>
      </c>
      <c r="E13225" s="1" t="s">
        <v>190</v>
      </c>
      <c r="F13225" s="1">
        <v>12</v>
      </c>
      <c r="G13225" s="1">
        <v>9</v>
      </c>
      <c r="H13225" s="1">
        <v>0</v>
      </c>
      <c r="I13225" s="1" t="s">
        <v>27102</v>
      </c>
      <c r="K13225" s="1" t="str">
        <f t="shared" si="833"/>
        <v>ㄩ</v>
      </c>
      <c r="M13225" s="1" t="str">
        <f t="shared" si="832"/>
        <v/>
      </c>
      <c r="N13225" s="3" t="s">
        <v>30575</v>
      </c>
      <c r="O13225" s="3"/>
      <c r="P13225" s="1" t="s">
        <v>20</v>
      </c>
      <c r="R13225" s="1" t="s">
        <v>27103</v>
      </c>
      <c r="V13225" s="1" t="s">
        <v>27176</v>
      </c>
      <c r="AR13225" s="1" t="str">
        <f t="shared" si="831"/>
        <v>| [ㄩˊ](ㄩˊ.md) | [嵎](嵎.md) |  | yú | [名]
1.山彎曲的地方。《字彙．山部》：「嵎，山曲曰嵎。」《西遊記》第七三回：「香蘭圍石屋，芳草映巖嵎。」
2.角落。通「隅」。晉．支遁〈述懷詩〉二首之一：「惚怳迴靈翰，息肩棲南嵎。」 |</v>
      </c>
    </row>
    <row r="13226" spans="1:44" hidden="1">
      <c r="A13226" s="1" t="s">
        <v>27177</v>
      </c>
      <c r="C13226" s="1">
        <v>1</v>
      </c>
      <c r="D13226" s="1" t="str">
        <f>"11593"</f>
        <v>11593</v>
      </c>
      <c r="E13226" s="1" t="s">
        <v>691</v>
      </c>
      <c r="F13226" s="1">
        <v>12</v>
      </c>
      <c r="G13226" s="1">
        <v>9</v>
      </c>
      <c r="H13226" s="1">
        <v>0</v>
      </c>
      <c r="I13226" s="1" t="s">
        <v>27102</v>
      </c>
      <c r="K13226" s="1" t="str">
        <f t="shared" si="833"/>
        <v>ㄩ</v>
      </c>
      <c r="M13226" s="1" t="str">
        <f t="shared" si="832"/>
        <v/>
      </c>
      <c r="N13226" s="3" t="s">
        <v>30575</v>
      </c>
      <c r="O13226" s="3"/>
      <c r="P13226" s="1" t="s">
        <v>20</v>
      </c>
      <c r="R13226" s="1" t="s">
        <v>27103</v>
      </c>
      <c r="V13226" s="1" t="s">
        <v>27178</v>
      </c>
      <c r="AR13226" s="1" t="str">
        <f t="shared" si="831"/>
        <v>| [ㄩˊ](ㄩˊ.md) | [隅](隅.md) |  | yú | [名]
1.山、水彎曲轉角的地方。如：「海隅」。唐．杜甫〈潼關吏〉詩：「要我下馬行，為我指山隅。」
2.角、角落。如：「牆隅」、「四隅」。《詩經．邶風．靜女》：「靜女其姝，俟我於城隅。」
3.邊、旁。《樂府詩集．卷三七．相和歌辭十二．古辭．隴西行》：「桂樹夾道生，青龍對道隅。」
4.邊遠的地方。《淮南子．原道》：「經營四隅，還反於樞。」
5.事物的一端或一面。《後漢書．卷四九．仲長統傳．贊曰》：「舉端自理，滯隅則失。」 |</v>
      </c>
    </row>
    <row r="13227" spans="1:44" hidden="1">
      <c r="A13227" s="1" t="s">
        <v>27179</v>
      </c>
      <c r="C13227" s="1">
        <v>1</v>
      </c>
      <c r="D13227" s="1" t="str">
        <f>"11594"</f>
        <v>11594</v>
      </c>
      <c r="E13227" s="1" t="s">
        <v>250</v>
      </c>
      <c r="F13227" s="1">
        <v>13</v>
      </c>
      <c r="G13227" s="1">
        <v>9</v>
      </c>
      <c r="H13227" s="1">
        <v>0</v>
      </c>
      <c r="I13227" s="1" t="s">
        <v>27102</v>
      </c>
      <c r="K13227" s="1" t="str">
        <f t="shared" si="833"/>
        <v>ㄩ</v>
      </c>
      <c r="M13227" s="1" t="str">
        <f t="shared" si="832"/>
        <v/>
      </c>
      <c r="N13227" s="3" t="s">
        <v>30575</v>
      </c>
      <c r="O13227" s="3"/>
      <c r="P13227" s="1" t="s">
        <v>20</v>
      </c>
      <c r="R13227" s="1" t="s">
        <v>27103</v>
      </c>
      <c r="V13227" s="1" t="s">
        <v>27180</v>
      </c>
      <c r="AR13227" s="1" t="str">
        <f t="shared" si="831"/>
        <v>| [ㄩˊ](ㄩˊ.md) | [愚](愚.md) |  | yú | [形]_x000D_
1.笨傻、不聰明。如：「愚笨」、「愚昧無知」。《論語．為政》：「退而省其私，亦足以發，回也不愚。」唐．白居易〈新樂府．澗底松〉：「高者未必賢，下者未必愚。」_x000D_
2.謙稱與自身有關的。如：「愚見」、「愚兄」。《戰國策．秦策五》：「臣效愚計，大王不用。」南朝梁．任昉〈百辟勸進今上牋〉：「某等不達通變，實有愚誠。」《儒林外史》第四五回：「不瞞大哥說，經過我愚弟兄兩個看的地，一毫也沒得辨駁的！」_x000D_
[動]_x000D_
欺騙、蒙騙。《孫子．九地》：「能愚士卒之耳目，使之無知。」漢．賈誼〈過秦論〉：「於是廢先王之道，燔百家之言，以愚黔首。」_x000D_
[代]_x000D_
自稱的謙詞。三國蜀．諸葛亮〈出師表〉：「愚以為宮中之事，事無大小，悉以咨之，然後施行。」唐．劉得仁〈賀顧非熊及第其年內索文章〉詩：「愚為童稚時，已解念君詩。」 |</v>
      </c>
    </row>
    <row r="13228" spans="1:44" hidden="1">
      <c r="A13228" s="1" t="s">
        <v>24577</v>
      </c>
      <c r="C13228" s="1">
        <v>1</v>
      </c>
      <c r="D13228" s="1" t="str">
        <f>"11595"</f>
        <v>11595</v>
      </c>
      <c r="E13228" s="1" t="s">
        <v>592</v>
      </c>
      <c r="F13228" s="1">
        <v>24</v>
      </c>
      <c r="G13228" s="1">
        <v>9</v>
      </c>
      <c r="H13228" s="1">
        <v>1</v>
      </c>
      <c r="I13228" s="1" t="s">
        <v>27102</v>
      </c>
      <c r="K13228" s="1" t="str">
        <f t="shared" si="833"/>
        <v>ㄩ</v>
      </c>
      <c r="M13228" s="1" t="str">
        <f t="shared" si="832"/>
        <v/>
      </c>
      <c r="N13228" s="3" t="s">
        <v>30575</v>
      </c>
      <c r="O13228" s="3"/>
      <c r="P13228" s="1" t="s">
        <v>20</v>
      </c>
      <c r="R13228" s="1" t="s">
        <v>27103</v>
      </c>
      <c r="V13228" s="1" t="s">
        <v>27181</v>
      </c>
      <c r="W13228" s="1" t="s">
        <v>27182</v>
      </c>
      <c r="AR13228" s="1" t="str">
        <f t="shared" si="831"/>
        <v>| [ㄩˊ](ㄩˊ.md) | [齵](齵.md) |  | yú | [形]
1.牙齒不正。《玉篇．齒部》：「齵，齒不齊也。」
2.參差不齊的樣子。《周禮．冬官考工記．輪人》：「察其菑蚤不齵，則輪雖敝不匡。」《荀子．君道》：「天下之變，境內之事，有弛易齵差者矣。」 |</v>
      </c>
    </row>
    <row r="13229" spans="1:44" hidden="1">
      <c r="A13229" s="1" t="s">
        <v>21364</v>
      </c>
      <c r="C13229" s="1">
        <v>1</v>
      </c>
      <c r="D13229" s="1" t="str">
        <f>"11596"</f>
        <v>11596</v>
      </c>
      <c r="E13229" s="1" t="s">
        <v>114</v>
      </c>
      <c r="F13229" s="1">
        <v>9</v>
      </c>
      <c r="G13229" s="1">
        <v>7</v>
      </c>
      <c r="H13229" s="1">
        <v>1</v>
      </c>
      <c r="I13229" s="1" t="s">
        <v>27102</v>
      </c>
      <c r="K13229" s="1" t="str">
        <f t="shared" si="833"/>
        <v>ㄩ</v>
      </c>
      <c r="M13229" s="1" t="str">
        <f t="shared" si="832"/>
        <v/>
      </c>
      <c r="N13229" s="3" t="s">
        <v>30575</v>
      </c>
      <c r="O13229" s="3"/>
      <c r="P13229" s="1" t="s">
        <v>20</v>
      </c>
      <c r="R13229" s="1" t="s">
        <v>27103</v>
      </c>
      <c r="V13229" s="1" t="s">
        <v>27183</v>
      </c>
      <c r="W13229" s="1" t="s">
        <v>27184</v>
      </c>
      <c r="AR13229" s="1" t="str">
        <f t="shared" si="831"/>
        <v>| [ㄩˊ](ㄩˊ.md) | [俞](俞.md) |  | yú | [動]
1.挖空樹木以作舟。《說文解字．舟部》：「俞，空中木為舟也。」
2.表示答應、允諾的意思。《漢書．卷五七．司馬相如傳下》：「於是天子沛然改容，曰：『俞乎，朕其試哉！』」
[名]
姓。如漢代有俞連。 |</v>
      </c>
    </row>
    <row r="13230" spans="1:44" hidden="1">
      <c r="A13230" s="1" t="s">
        <v>27185</v>
      </c>
      <c r="C13230" s="1">
        <v>1</v>
      </c>
      <c r="D13230" s="1" t="str">
        <f>"11597"</f>
        <v>11597</v>
      </c>
      <c r="E13230" s="1" t="s">
        <v>129</v>
      </c>
      <c r="F13230" s="1">
        <v>12</v>
      </c>
      <c r="G13230" s="1">
        <v>9</v>
      </c>
      <c r="H13230" s="1">
        <v>0</v>
      </c>
      <c r="I13230" s="1" t="s">
        <v>27102</v>
      </c>
      <c r="K13230" s="1" t="str">
        <f t="shared" si="833"/>
        <v>ㄩ</v>
      </c>
      <c r="M13230" s="1" t="str">
        <f t="shared" si="832"/>
        <v/>
      </c>
      <c r="N13230" s="3" t="s">
        <v>30575</v>
      </c>
      <c r="O13230" s="3"/>
      <c r="P13230" s="1" t="s">
        <v>20</v>
      </c>
      <c r="R13230" s="1" t="s">
        <v>27103</v>
      </c>
      <c r="V13230" s="1" t="s">
        <v>27186</v>
      </c>
      <c r="AR13230" s="1" t="str">
        <f t="shared" si="831"/>
        <v>| [ㄩˊ](ㄩˊ.md) | [渝](渝.md) |  | yú | [動]
變更、改變。如：「信守不渝」、「此情不渝」。《詩經．鄭風．羔裘》：「彼其之子，舍命不渝。」
[名]
四川省重慶市的簡稱。如：「成渝鐵路」。 |</v>
      </c>
    </row>
    <row r="13231" spans="1:44" hidden="1">
      <c r="A13231" s="1" t="s">
        <v>27187</v>
      </c>
      <c r="C13231" s="1">
        <v>1</v>
      </c>
      <c r="D13231" s="1" t="str">
        <f>"11598"</f>
        <v>11598</v>
      </c>
      <c r="E13231" s="1" t="s">
        <v>250</v>
      </c>
      <c r="F13231" s="1">
        <v>12</v>
      </c>
      <c r="G13231" s="1">
        <v>9</v>
      </c>
      <c r="H13231" s="1">
        <v>0</v>
      </c>
      <c r="I13231" s="1" t="s">
        <v>27102</v>
      </c>
      <c r="K13231" s="1" t="str">
        <f t="shared" si="833"/>
        <v>ㄩ</v>
      </c>
      <c r="M13231" s="1" t="str">
        <f t="shared" si="832"/>
        <v/>
      </c>
      <c r="N13231" s="3" t="s">
        <v>30575</v>
      </c>
      <c r="O13231" s="3"/>
      <c r="P13231" s="1" t="s">
        <v>20</v>
      </c>
      <c r="R13231" s="1" t="s">
        <v>27103</v>
      </c>
      <c r="V13231" s="1" t="s">
        <v>27188</v>
      </c>
      <c r="AR13231" s="1" t="str">
        <f t="shared" si="831"/>
        <v>| [ㄩˊ](ㄩˊ.md) | [愉](愉.md) |  | yú | [形]
快樂、高興。如：「愉快」、「歡愉」、「愉悅」。 |</v>
      </c>
    </row>
    <row r="13232" spans="1:44" hidden="1">
      <c r="A13232" s="1" t="s">
        <v>25483</v>
      </c>
      <c r="C13232" s="1">
        <v>1</v>
      </c>
      <c r="D13232" s="1" t="str">
        <f>"11599"</f>
        <v>11599</v>
      </c>
      <c r="E13232" s="1" t="s">
        <v>24</v>
      </c>
      <c r="F13232" s="1">
        <v>12</v>
      </c>
      <c r="G13232" s="1">
        <v>9</v>
      </c>
      <c r="H13232" s="1">
        <v>1</v>
      </c>
      <c r="I13232" s="1" t="s">
        <v>27102</v>
      </c>
      <c r="K13232" s="1" t="str">
        <f t="shared" si="833"/>
        <v>ㄩ</v>
      </c>
      <c r="M13232" s="1" t="str">
        <f t="shared" si="832"/>
        <v/>
      </c>
      <c r="N13232" s="3" t="s">
        <v>30575</v>
      </c>
      <c r="O13232" s="3"/>
      <c r="P13232" s="1" t="s">
        <v>20</v>
      </c>
      <c r="R13232" s="1" t="s">
        <v>27103</v>
      </c>
      <c r="V13232" s="1" t="s">
        <v>27189</v>
      </c>
      <c r="W13232" s="1" t="s">
        <v>27190</v>
      </c>
      <c r="AR13232" s="1" t="str">
        <f t="shared" si="831"/>
        <v>| [ㄩˊ](ㄩˊ.md) | [揄](揄.md) |  | yú | [動]
1.拖曳、牽引。《說文解字．手部》：「揄，引也。」《史記．卷一一七．司馬相如傳》：「於是鄭女曼姬，被阿錫，揄紵縞。」唐．張守節．正義：「揄，曳也。」《聊齋志異．卷一．嬌娜》：「女乃斂羞容，揄長袖，就榻診視。」
2.揮動。《韓非子．內儲說下》：「御者因揄刀而劓美人。」《淮南子．氾論》：「揄三尺之刃，造桓公之胸。」
3.引出、提出。《淮南子．主術》：「使言之而非也，雖在卿相人君，揄策於廟堂之上，未必可用。」《漢書．卷二二．禮樂志》：「神之揄，臨壇宇。」唐．顏師古．注：「言神引來降臨之也。」
4.參見「揶揄」條。 |</v>
      </c>
    </row>
    <row r="13233" spans="1:44" hidden="1">
      <c r="A13233" s="1" t="s">
        <v>6161</v>
      </c>
      <c r="C13233" s="1">
        <v>1</v>
      </c>
      <c r="D13233" s="1" t="str">
        <f>"11600"</f>
        <v>11600</v>
      </c>
      <c r="E13233" s="1" t="s">
        <v>534</v>
      </c>
      <c r="F13233" s="1">
        <v>12</v>
      </c>
      <c r="G13233" s="1">
        <v>9</v>
      </c>
      <c r="H13233" s="1">
        <v>2</v>
      </c>
      <c r="I13233" s="1" t="s">
        <v>27102</v>
      </c>
      <c r="K13233" s="1" t="str">
        <f t="shared" si="833"/>
        <v>ㄩ</v>
      </c>
      <c r="M13233" s="1" t="str">
        <f t="shared" si="832"/>
        <v/>
      </c>
      <c r="N13233" s="3" t="s">
        <v>30575</v>
      </c>
      <c r="O13233" s="3"/>
      <c r="P13233" s="1" t="s">
        <v>20</v>
      </c>
      <c r="R13233" s="1" t="s">
        <v>27103</v>
      </c>
      <c r="V13233" s="1" t="s">
        <v>27191</v>
      </c>
      <c r="W13233" s="1" t="s">
        <v>27192</v>
      </c>
      <c r="AR13233" s="1" t="str">
        <f t="shared" si="831"/>
        <v>| [ㄩˊ](ㄩˊ.md) | [媮](媮.md) |  | yú | [動]
安享。《楚辭．屈原．卜居》：「寧正言不諱以危身乎，將從俗富貴以媮生乎。」 |</v>
      </c>
    </row>
    <row r="13234" spans="1:44" hidden="1">
      <c r="A13234" s="1" t="s">
        <v>25486</v>
      </c>
      <c r="C13234" s="1">
        <v>1</v>
      </c>
      <c r="D13234" s="1" t="str">
        <f>"11601"</f>
        <v>11601</v>
      </c>
      <c r="E13234" s="1" t="s">
        <v>691</v>
      </c>
      <c r="F13234" s="1">
        <v>12</v>
      </c>
      <c r="G13234" s="1">
        <v>9</v>
      </c>
      <c r="H13234" s="1">
        <v>1</v>
      </c>
      <c r="I13234" s="1" t="s">
        <v>27102</v>
      </c>
      <c r="K13234" s="1" t="str">
        <f t="shared" si="833"/>
        <v>ㄩ</v>
      </c>
      <c r="M13234" s="1" t="str">
        <f t="shared" si="832"/>
        <v/>
      </c>
      <c r="N13234" s="3" t="s">
        <v>30575</v>
      </c>
      <c r="O13234" s="3"/>
      <c r="P13234" s="1" t="s">
        <v>20</v>
      </c>
      <c r="R13234" s="1" t="s">
        <v>27103</v>
      </c>
      <c r="V13234" s="1" t="s">
        <v>27193</v>
      </c>
      <c r="W13234" s="1" t="s">
        <v>27194</v>
      </c>
      <c r="AR13234" s="1" t="str">
        <f t="shared" si="831"/>
        <v>| [ㄩˊ](ㄩˊ.md) | [隃](隃.md) |  | yú | 參見「隃麋」條。 |</v>
      </c>
    </row>
    <row r="13235" spans="1:44" hidden="1">
      <c r="A13235" s="1" t="s">
        <v>27195</v>
      </c>
      <c r="C13235" s="1">
        <v>1</v>
      </c>
      <c r="D13235" s="1" t="str">
        <f>"11602"</f>
        <v>11602</v>
      </c>
      <c r="E13235" s="1" t="s">
        <v>142</v>
      </c>
      <c r="F13235" s="1">
        <v>13</v>
      </c>
      <c r="G13235" s="1">
        <v>9</v>
      </c>
      <c r="H13235" s="1">
        <v>0</v>
      </c>
      <c r="I13235" s="1" t="s">
        <v>27102</v>
      </c>
      <c r="K13235" s="1" t="str">
        <f t="shared" si="833"/>
        <v>ㄩ</v>
      </c>
      <c r="M13235" s="1" t="str">
        <f t="shared" si="832"/>
        <v/>
      </c>
      <c r="N13235" s="3" t="s">
        <v>30575</v>
      </c>
      <c r="O13235" s="3"/>
      <c r="P13235" s="1" t="s">
        <v>20</v>
      </c>
      <c r="R13235" s="1" t="s">
        <v>27103</v>
      </c>
      <c r="V13235" s="1" t="s">
        <v>27196</v>
      </c>
      <c r="AR13235" s="1" t="str">
        <f t="shared" si="831"/>
        <v>| [ㄩˊ](ㄩˊ.md) | [瑜](瑜.md) |  | yú | [名]
1.美玉。《楚辭．屈原．九章．懷沙》：「懷瑾握瑜兮，窮不知所示。」
2.玉的光彩。如：「瑕不掩瑜」。
3.參見「瑜伽」條。 |</v>
      </c>
    </row>
    <row r="13236" spans="1:44" hidden="1">
      <c r="A13236" s="1" t="s">
        <v>27197</v>
      </c>
      <c r="C13236" s="1">
        <v>1</v>
      </c>
      <c r="D13236" s="1" t="str">
        <f>"11603"</f>
        <v>11603</v>
      </c>
      <c r="E13236" s="1" t="s">
        <v>139</v>
      </c>
      <c r="F13236" s="1">
        <v>13</v>
      </c>
      <c r="G13236" s="1">
        <v>9</v>
      </c>
      <c r="H13236" s="1">
        <v>0</v>
      </c>
      <c r="I13236" s="1" t="s">
        <v>27102</v>
      </c>
      <c r="K13236" s="1" t="str">
        <f t="shared" si="833"/>
        <v>ㄩ</v>
      </c>
      <c r="M13236" s="1" t="str">
        <f t="shared" si="832"/>
        <v/>
      </c>
      <c r="N13236" s="3" t="s">
        <v>30575</v>
      </c>
      <c r="O13236" s="3"/>
      <c r="P13236" s="1" t="s">
        <v>20</v>
      </c>
      <c r="R13236" s="1" t="s">
        <v>27103</v>
      </c>
      <c r="V13236" s="1" t="s">
        <v>27198</v>
      </c>
      <c r="AR13236" s="1" t="str">
        <f t="shared" si="831"/>
        <v>| [ㄩˊ](ㄩˊ.md) | [榆](榆.md) |  | yú | [名]
植物名。榆科榆屬，「榆樹」之古稱，參見「榆樹」條。 |</v>
      </c>
    </row>
    <row r="13237" spans="1:44" hidden="1">
      <c r="A13237" s="1" t="s">
        <v>27199</v>
      </c>
      <c r="C13237" s="1">
        <v>1</v>
      </c>
      <c r="D13237" s="1" t="str">
        <f>"11604"</f>
        <v>11604</v>
      </c>
      <c r="E13237" s="1" t="s">
        <v>558</v>
      </c>
      <c r="F13237" s="1">
        <v>13</v>
      </c>
      <c r="G13237" s="1">
        <v>9</v>
      </c>
      <c r="H13237" s="1">
        <v>0</v>
      </c>
      <c r="I13237" s="1" t="s">
        <v>27102</v>
      </c>
      <c r="K13237" s="1" t="str">
        <f t="shared" si="833"/>
        <v>ㄩ</v>
      </c>
      <c r="M13237" s="1" t="str">
        <f t="shared" si="832"/>
        <v/>
      </c>
      <c r="N13237" s="3" t="s">
        <v>30575</v>
      </c>
      <c r="O13237" s="3"/>
      <c r="P13237" s="1" t="s">
        <v>20</v>
      </c>
      <c r="R13237" s="1" t="s">
        <v>27103</v>
      </c>
      <c r="V13237" s="1" t="s">
        <v>27200</v>
      </c>
      <c r="AR13237" s="1" t="str">
        <f t="shared" si="831"/>
        <v>| [ㄩˊ](ㄩˊ.md) | [逾](逾.md) |  | yú | [動]
1.越過、超過。如：「逾牆」、「逾時不候」、「年逾六十」。唐．柳宗元〈哭連州凌員外司馬〉詩：「著書逾十年，幽頤靡不推。」宋．蘇轍〈六國論〉：「秦人不敢逾韓魏以窺齊楚燕趙之國。」
2.經歷、經過。南朝梁．蕭統〈文選序〉：「時更七代，數逾千祀。」唐．柳宗元〈睢陽廟碑〉：「浩浩烈士，不聞濟師。兵食殲焉，守逾三時。」
[副]
更加。《淮南子．原道》：「不足以禁姦塞邪，亂乃逾滋。」《明史．卷二九五．忠義傳七．王勵精傳》：「其墨跡久逾新，滌之不滅。」 |</v>
      </c>
    </row>
    <row r="13238" spans="1:44" hidden="1">
      <c r="A13238" s="1" t="s">
        <v>21367</v>
      </c>
      <c r="C13238" s="1">
        <v>1</v>
      </c>
      <c r="D13238" s="1" t="str">
        <f>"11605"</f>
        <v>11605</v>
      </c>
      <c r="E13238" s="1" t="s">
        <v>1703</v>
      </c>
      <c r="F13238" s="1">
        <v>13</v>
      </c>
      <c r="G13238" s="1">
        <v>9</v>
      </c>
      <c r="H13238" s="1">
        <v>1</v>
      </c>
      <c r="I13238" s="1" t="s">
        <v>27102</v>
      </c>
      <c r="K13238" s="1" t="str">
        <f t="shared" si="833"/>
        <v>ㄩ</v>
      </c>
      <c r="M13238" s="1" t="str">
        <f t="shared" si="832"/>
        <v/>
      </c>
      <c r="N13238" s="3" t="s">
        <v>30575</v>
      </c>
      <c r="O13238" s="3"/>
      <c r="P13238" s="1" t="s">
        <v>20</v>
      </c>
      <c r="R13238" s="1" t="s">
        <v>27103</v>
      </c>
      <c r="V13238" s="1" t="s">
        <v>15847</v>
      </c>
      <c r="W13238" s="1" t="s">
        <v>27201</v>
      </c>
      <c r="AR13238" s="1" t="str">
        <f t="shared" si="831"/>
        <v>| [ㄩˊ](ㄩˊ.md) | [毹](毹.md) |  | yú | 參見「氍毹」條。 |</v>
      </c>
    </row>
    <row r="13239" spans="1:44" hidden="1">
      <c r="A13239" s="1" t="s">
        <v>27202</v>
      </c>
      <c r="C13239" s="1">
        <v>1</v>
      </c>
      <c r="D13239" s="1" t="str">
        <f>"11606"</f>
        <v>11606</v>
      </c>
      <c r="E13239" s="1" t="s">
        <v>1908</v>
      </c>
      <c r="F13239" s="1">
        <v>13</v>
      </c>
      <c r="G13239" s="1">
        <v>9</v>
      </c>
      <c r="H13239" s="1">
        <v>0</v>
      </c>
      <c r="I13239" s="1" t="s">
        <v>27102</v>
      </c>
      <c r="K13239" s="1" t="str">
        <f t="shared" si="833"/>
        <v>ㄩ</v>
      </c>
      <c r="M13239" s="1" t="str">
        <f t="shared" si="832"/>
        <v/>
      </c>
      <c r="N13239" s="3" t="s">
        <v>30575</v>
      </c>
      <c r="O13239" s="3"/>
      <c r="P13239" s="1" t="s">
        <v>20</v>
      </c>
      <c r="R13239" s="1" t="s">
        <v>27103</v>
      </c>
      <c r="V13239" s="1" t="s">
        <v>27203</v>
      </c>
      <c r="AR13239" s="1" t="str">
        <f t="shared" si="831"/>
        <v>| [ㄩˊ](ㄩˊ.md) | [歈](歈.md) |  | yú | [名]
歌曲、歌謠。《楚辭．宋玉．招魂》：「吳歈蔡謳，奏大呂些。」唐．劉禹錫〈竹枝詞．序〉：「故余亦作竹枝九篇，俾善歌者颺之，附于末。後之聆巴歈，知變風之自焉。」 |</v>
      </c>
    </row>
    <row r="13240" spans="1:44" hidden="1">
      <c r="A13240" s="1" t="s">
        <v>21484</v>
      </c>
      <c r="C13240" s="1">
        <v>1</v>
      </c>
      <c r="D13240" s="1" t="str">
        <f>"11607"</f>
        <v>11607</v>
      </c>
      <c r="E13240" s="1" t="s">
        <v>68</v>
      </c>
      <c r="F13240" s="1">
        <v>13</v>
      </c>
      <c r="G13240" s="1">
        <v>9</v>
      </c>
      <c r="H13240" s="1">
        <v>2</v>
      </c>
      <c r="I13240" s="1" t="s">
        <v>27102</v>
      </c>
      <c r="K13240" s="1" t="str">
        <f t="shared" si="833"/>
        <v>ㄩ</v>
      </c>
      <c r="M13240" s="1" t="str">
        <f t="shared" si="832"/>
        <v/>
      </c>
      <c r="N13240" s="3" t="s">
        <v>30575</v>
      </c>
      <c r="O13240" s="3"/>
      <c r="P13240" s="1" t="s">
        <v>110</v>
      </c>
      <c r="R13240" s="1" t="s">
        <v>27103</v>
      </c>
      <c r="V13240" s="1" t="s">
        <v>111</v>
      </c>
      <c r="W13240" s="1" t="s">
        <v>27204</v>
      </c>
      <c r="AR13240" s="1" t="str">
        <f t="shared" si="831"/>
        <v>| [ㄩˊ](ㄩˊ.md) | [腧](腧.md) |  | yú | (一)之又音。 |</v>
      </c>
    </row>
    <row r="13241" spans="1:44" hidden="1">
      <c r="A13241" s="1" t="s">
        <v>27205</v>
      </c>
      <c r="C13241" s="1">
        <v>1</v>
      </c>
      <c r="D13241" s="1" t="str">
        <f>"11608"</f>
        <v>11608</v>
      </c>
      <c r="E13241" s="1" t="s">
        <v>1274</v>
      </c>
      <c r="F13241" s="1">
        <v>14</v>
      </c>
      <c r="G13241" s="1">
        <v>9</v>
      </c>
      <c r="H13241" s="1">
        <v>0</v>
      </c>
      <c r="I13241" s="1" t="s">
        <v>27102</v>
      </c>
      <c r="K13241" s="1" t="str">
        <f t="shared" si="833"/>
        <v>ㄩ</v>
      </c>
      <c r="M13241" s="1" t="str">
        <f t="shared" si="832"/>
        <v/>
      </c>
      <c r="N13241" s="3" t="s">
        <v>30575</v>
      </c>
      <c r="O13241" s="3"/>
      <c r="P13241" s="1" t="s">
        <v>20</v>
      </c>
      <c r="R13241" s="1" t="s">
        <v>27103</v>
      </c>
      <c r="V13241" s="1" t="s">
        <v>27206</v>
      </c>
      <c r="AR13241" s="1" t="str">
        <f t="shared" si="831"/>
        <v>| [ㄩˊ](ㄩˊ.md) | [窬](窬.md) |  | yú | [名]
門邊牆上的圭形小洞。《說文解字．穴部》「窬」字．清．段玉裁．注：「是則於門旁穿壁，以木衺直居之，令如圭形，謂之圭窬。」
[動]
1.挖鑿、穿鑿。《淮南子．泰族》：「埏埴而為器，窬木而為舟。」
2.穿越、超越。通「踰」。《論語．陽貨》：「子曰：『色厲內荏，譬諸小人，其猶穿窬之盜也與。』」 |</v>
      </c>
    </row>
    <row r="13242" spans="1:44" hidden="1">
      <c r="A13242" s="1" t="s">
        <v>27207</v>
      </c>
      <c r="C13242" s="1">
        <v>1</v>
      </c>
      <c r="D13242" s="1" t="str">
        <f>"11609"</f>
        <v>11609</v>
      </c>
      <c r="E13242" s="1" t="s">
        <v>1015</v>
      </c>
      <c r="F13242" s="1">
        <v>14</v>
      </c>
      <c r="G13242" s="1">
        <v>9</v>
      </c>
      <c r="H13242" s="1">
        <v>0</v>
      </c>
      <c r="I13242" s="1" t="s">
        <v>27102</v>
      </c>
      <c r="K13242" s="1" t="str">
        <f t="shared" si="833"/>
        <v>ㄩ</v>
      </c>
      <c r="M13242" s="1" t="str">
        <f t="shared" si="832"/>
        <v/>
      </c>
      <c r="N13242" s="3" t="s">
        <v>30575</v>
      </c>
      <c r="O13242" s="3"/>
      <c r="P13242" s="1" t="s">
        <v>20</v>
      </c>
      <c r="R13242" s="1" t="s">
        <v>27103</v>
      </c>
      <c r="V13242" s="1" t="s">
        <v>27208</v>
      </c>
      <c r="AR13242" s="1" t="str">
        <f t="shared" si="831"/>
        <v>| [ㄩˊ](ㄩˊ.md) | [睮](睮.md) |  | yú | 參見「睮睮」條。 |</v>
      </c>
    </row>
    <row r="13243" spans="1:44" hidden="1">
      <c r="A13243" s="1" t="s">
        <v>27209</v>
      </c>
      <c r="C13243" s="1">
        <v>1</v>
      </c>
      <c r="D13243" s="1" t="str">
        <f>"11610"</f>
        <v>11610</v>
      </c>
      <c r="E13243" s="1" t="s">
        <v>43</v>
      </c>
      <c r="F13243" s="1">
        <v>15</v>
      </c>
      <c r="G13243" s="1">
        <v>9</v>
      </c>
      <c r="H13243" s="1">
        <v>0</v>
      </c>
      <c r="I13243" s="1" t="s">
        <v>27102</v>
      </c>
      <c r="K13243" s="1" t="str">
        <f t="shared" si="833"/>
        <v>ㄩ</v>
      </c>
      <c r="M13243" s="1" t="str">
        <f t="shared" si="832"/>
        <v/>
      </c>
      <c r="N13243" s="3" t="s">
        <v>30575</v>
      </c>
      <c r="O13243" s="3"/>
      <c r="P13243" s="1" t="s">
        <v>20</v>
      </c>
      <c r="R13243" s="1" t="s">
        <v>27103</v>
      </c>
      <c r="V13243" s="1" t="s">
        <v>27210</v>
      </c>
      <c r="AR13243" s="1" t="str">
        <f t="shared" si="831"/>
        <v>| [ㄩˊ](ㄩˊ.md) | [羭](羭.md) |  | yú | [名]
1.母羊。《列子．天瑞》：「老韭之為莧也，老羭之為猿也。」晉．張湛．注：「羭，牝羊也。」
2.美德。《左傳．僖公四年》：「專之渝，攘公之羭。」晉．杜預．注：「羭，美也。」 |</v>
      </c>
    </row>
    <row r="13244" spans="1:44" hidden="1">
      <c r="A13244" s="1" t="s">
        <v>27211</v>
      </c>
      <c r="C13244" s="1">
        <v>1</v>
      </c>
      <c r="D13244" s="1" t="str">
        <f>"11611"</f>
        <v>11611</v>
      </c>
      <c r="E13244" s="1" t="s">
        <v>340</v>
      </c>
      <c r="F13244" s="1">
        <v>15</v>
      </c>
      <c r="G13244" s="1">
        <v>9</v>
      </c>
      <c r="H13244" s="1">
        <v>0</v>
      </c>
      <c r="I13244" s="1" t="s">
        <v>27102</v>
      </c>
      <c r="K13244" s="1" t="str">
        <f t="shared" si="833"/>
        <v>ㄩ</v>
      </c>
      <c r="M13244" s="1" t="str">
        <f t="shared" si="832"/>
        <v/>
      </c>
      <c r="N13244" s="3" t="s">
        <v>30575</v>
      </c>
      <c r="O13244" s="3"/>
      <c r="P13244" s="1" t="s">
        <v>20</v>
      </c>
      <c r="R13244" s="1" t="s">
        <v>27103</v>
      </c>
      <c r="V13244" s="1" t="s">
        <v>27212</v>
      </c>
      <c r="AR13244" s="1" t="str">
        <f t="shared" si="831"/>
        <v>| [ㄩˊ](ㄩˊ.md) | [褕](褕.md) |  | yú | [名]
參見「襜褕」條。
[形]
華美的。《史記．卷九二．淮陰侯傳》：「農夫莫不輟耕釋耒，褕衣甘食，傾耳以待命者。」 |</v>
      </c>
    </row>
    <row r="13245" spans="1:44" hidden="1">
      <c r="A13245" s="1" t="s">
        <v>27213</v>
      </c>
      <c r="C13245" s="1">
        <v>1</v>
      </c>
      <c r="D13245" s="1" t="str">
        <f>"11612"</f>
        <v>11612</v>
      </c>
      <c r="E13245" s="1" t="s">
        <v>679</v>
      </c>
      <c r="F13245" s="1">
        <v>15</v>
      </c>
      <c r="G13245" s="1">
        <v>9</v>
      </c>
      <c r="H13245" s="1">
        <v>0</v>
      </c>
      <c r="I13245" s="1" t="s">
        <v>27102</v>
      </c>
      <c r="K13245" s="1" t="str">
        <f t="shared" si="833"/>
        <v>ㄩ</v>
      </c>
      <c r="M13245" s="1" t="str">
        <f t="shared" si="832"/>
        <v/>
      </c>
      <c r="N13245" s="3" t="s">
        <v>30575</v>
      </c>
      <c r="O13245" s="3"/>
      <c r="P13245" s="1" t="s">
        <v>20</v>
      </c>
      <c r="R13245" s="1" t="s">
        <v>27103</v>
      </c>
      <c r="V13245" s="1" t="s">
        <v>11178</v>
      </c>
      <c r="AR13245" s="1" t="str">
        <f t="shared" si="831"/>
        <v>| [ㄩˊ](ㄩˊ.md) | [蝓](蝓.md) |  | yú | 參見「蛞蝓」條。 |</v>
      </c>
    </row>
    <row r="13246" spans="1:44" hidden="1">
      <c r="A13246" s="1" t="s">
        <v>27214</v>
      </c>
      <c r="C13246" s="1">
        <v>1</v>
      </c>
      <c r="D13246" s="1" t="str">
        <f>"11613"</f>
        <v>11613</v>
      </c>
      <c r="E13246" s="1" t="s">
        <v>77</v>
      </c>
      <c r="F13246" s="1">
        <v>16</v>
      </c>
      <c r="G13246" s="1">
        <v>9</v>
      </c>
      <c r="H13246" s="1">
        <v>0</v>
      </c>
      <c r="I13246" s="1" t="s">
        <v>27102</v>
      </c>
      <c r="K13246" s="1" t="str">
        <f t="shared" si="833"/>
        <v>ㄩ</v>
      </c>
      <c r="M13246" s="1" t="str">
        <f t="shared" si="832"/>
        <v/>
      </c>
      <c r="N13246" s="3" t="s">
        <v>30575</v>
      </c>
      <c r="O13246" s="3"/>
      <c r="P13246" s="1" t="s">
        <v>20</v>
      </c>
      <c r="R13246" s="1" t="s">
        <v>27103</v>
      </c>
      <c r="V13246" s="1" t="s">
        <v>27215</v>
      </c>
      <c r="AR13246" s="1" t="str">
        <f t="shared" si="831"/>
        <v>| [ㄩˊ](ㄩˊ.md) | [踰](踰.md) |  | yú | [動]
越過、超過。同「逾」。《詩經．鄭風．將仲子》：「無踰我牆，無折我樹桑。」《三國志．卷一七．魏書．徐晃傳》：「將軍之功，踰孫武、穰苴。」 |</v>
      </c>
    </row>
    <row r="13247" spans="1:44" hidden="1">
      <c r="A13247" s="1" t="s">
        <v>27216</v>
      </c>
      <c r="C13247" s="1">
        <v>1</v>
      </c>
      <c r="D13247" s="1" t="str">
        <f>"11614"</f>
        <v>11614</v>
      </c>
      <c r="E13247" s="1" t="s">
        <v>2233</v>
      </c>
      <c r="F13247" s="1">
        <v>16</v>
      </c>
      <c r="G13247" s="1">
        <v>9</v>
      </c>
      <c r="H13247" s="1">
        <v>0</v>
      </c>
      <c r="I13247" s="1" t="s">
        <v>27102</v>
      </c>
      <c r="K13247" s="1" t="str">
        <f t="shared" si="833"/>
        <v>ㄩ</v>
      </c>
      <c r="M13247" s="1" t="str">
        <f t="shared" si="832"/>
        <v/>
      </c>
      <c r="N13247" s="3" t="s">
        <v>30575</v>
      </c>
      <c r="O13247" s="3"/>
      <c r="P13247" s="1" t="s">
        <v>20</v>
      </c>
      <c r="R13247" s="1" t="s">
        <v>27103</v>
      </c>
      <c r="V13247" s="1" t="s">
        <v>27217</v>
      </c>
      <c r="AR13247" s="1" t="str">
        <f t="shared" si="831"/>
        <v>| [ㄩˊ](ㄩˊ.md) | [覦](覦.md) |  | yú | [動]
企求、冀求。如：「覬覦」。《後漢書．卷五五．章帝八王傳．河間孝王開傳》：「云與中大夫趙王謀圖不軌，闚覦神器。」《陳書．卷三一．蕭摩訶傳》：「會隋總管賀若弼鎮廣陵，窺覦江左，後主委摩訶備禦之任。」 |</v>
      </c>
    </row>
    <row r="13248" spans="1:44" hidden="1">
      <c r="A13248" s="1" t="s">
        <v>27218</v>
      </c>
      <c r="C13248" s="1">
        <v>1</v>
      </c>
      <c r="D13248" s="1" t="str">
        <f>"11615"</f>
        <v>11615</v>
      </c>
      <c r="E13248" s="1" t="s">
        <v>534</v>
      </c>
      <c r="F13248" s="1">
        <v>10</v>
      </c>
      <c r="G13248" s="1">
        <v>7</v>
      </c>
      <c r="H13248" s="1">
        <v>0</v>
      </c>
      <c r="I13248" s="1" t="s">
        <v>27102</v>
      </c>
      <c r="K13248" s="1" t="str">
        <f t="shared" si="833"/>
        <v>ㄩ</v>
      </c>
      <c r="M13248" s="1" t="str">
        <f t="shared" si="832"/>
        <v/>
      </c>
      <c r="N13248" s="3" t="s">
        <v>30575</v>
      </c>
      <c r="O13248" s="3"/>
      <c r="P13248" s="1" t="s">
        <v>20</v>
      </c>
      <c r="R13248" s="1" t="s">
        <v>27103</v>
      </c>
      <c r="V13248" s="1" t="s">
        <v>27219</v>
      </c>
      <c r="AR13248" s="1" t="str">
        <f t="shared" si="831"/>
        <v>| [ㄩˊ](ㄩˊ.md) | [娛](娛.md) |  | yú | [名]
快樂、歡樂。如：「耳目之娛」。晉．王羲之〈三月三日蘭亭詩序〉：「足以極視聽之娛，信可樂也。」
[動]
1.取悅、使快樂。如：「自娛娛人」。南朝宋．謝靈運〈石壁精舍還湖中作〉詩：「清暉能娛人，游子憺忘歸。」
2.慰藉。《楚辭．屈原．九章．思美人》：「吾將蕩志而愉樂兮，遵江夏以娛憂。」唐．韓愈〈上兵部李侍郎書〉：「舒憂娛悲，雜以瑰怪之言。」 |</v>
      </c>
    </row>
    <row r="13249" spans="1:44" hidden="1">
      <c r="A13249" s="1" t="s">
        <v>27220</v>
      </c>
      <c r="C13249" s="1">
        <v>1</v>
      </c>
      <c r="D13249" s="1" t="str">
        <f>"11616"</f>
        <v>11616</v>
      </c>
      <c r="E13249" s="1" t="s">
        <v>660</v>
      </c>
      <c r="F13249" s="1">
        <v>13</v>
      </c>
      <c r="G13249" s="1">
        <v>7</v>
      </c>
      <c r="H13249" s="1">
        <v>0</v>
      </c>
      <c r="I13249" s="1" t="s">
        <v>27102</v>
      </c>
      <c r="K13249" s="1" t="str">
        <f t="shared" si="833"/>
        <v>ㄩ</v>
      </c>
      <c r="M13249" s="1" t="str">
        <f t="shared" si="832"/>
        <v/>
      </c>
      <c r="N13249" s="3" t="s">
        <v>30575</v>
      </c>
      <c r="O13249" s="3"/>
      <c r="P13249" s="1" t="s">
        <v>20</v>
      </c>
      <c r="R13249" s="1" t="s">
        <v>27103</v>
      </c>
      <c r="V13249" s="1" t="s">
        <v>27221</v>
      </c>
      <c r="AR13249" s="1" t="str">
        <f t="shared" si="831"/>
        <v>| [ㄩˊ](ㄩˊ.md) | [虞](虞.md) |  | yú | [動]
1.憂慮。如：「性命堪虞」。明．馬中錫《中山狼傳》：「前虞跋胡後恐疐尾，三納之而未克。」
2.疑慮、顧慮。《詩經．魯頌．閟宮》：「無貳無虞，上帝臨女。」
3.預料、猜想。《孟子．離婁上》：「有不虞之譽，有求全之毀。」《新唐書．卷一三八．李嗣業傳》：「虜不虞軍至，因大潰。」
4.欺騙。如：「爾虞我詐」。《左傳．宣公十五年》：「我無爾詐，爾無我虞。」
[名]
1.國名：(1)傳說為舜祖先的封地，故址約在今山西省平陸縣虞城。(2)舜子商均受封之地，故城約在今河南省虞城縣西南。
2.參見「虞舜」條。
3.姓。如宋代有虞允文。 |</v>
      </c>
    </row>
    <row r="13250" spans="1:44" hidden="1">
      <c r="A13250" s="1" t="s">
        <v>27222</v>
      </c>
      <c r="C13250" s="1">
        <v>1</v>
      </c>
      <c r="D13250" s="1" t="str">
        <f>"11617"</f>
        <v>11617</v>
      </c>
      <c r="E13250" s="1" t="s">
        <v>125</v>
      </c>
      <c r="F13250" s="1">
        <v>11</v>
      </c>
      <c r="G13250" s="1">
        <v>3</v>
      </c>
      <c r="H13250" s="1">
        <v>1</v>
      </c>
      <c r="I13250" s="1" t="s">
        <v>27102</v>
      </c>
      <c r="K13250" s="1" t="str">
        <f t="shared" si="833"/>
        <v>ㄩ</v>
      </c>
      <c r="M13250" s="1" t="str">
        <f t="shared" si="832"/>
        <v/>
      </c>
      <c r="N13250" s="3" t="s">
        <v>30575</v>
      </c>
      <c r="O13250" s="3"/>
      <c r="P13250" s="1" t="s">
        <v>20</v>
      </c>
      <c r="R13250" s="1" t="s">
        <v>27103</v>
      </c>
      <c r="V13250" s="1" t="s">
        <v>27223</v>
      </c>
      <c r="W13250" s="1" t="s">
        <v>27224</v>
      </c>
      <c r="AR13250" s="1" t="str">
        <f t="shared" si="831"/>
        <v>| [ㄩˊ](ㄩˊ.md) | [雩](雩.md) |  | yú | [名]
古代一種求雨的祭典。《續漢書志．第五．禮儀志中》：「其旱也，公卿官長以次行雩禮求雨。」 |</v>
      </c>
    </row>
    <row r="13251" spans="1:44" hidden="1">
      <c r="A13251" s="1" t="s">
        <v>17276</v>
      </c>
      <c r="C13251" s="1">
        <v>1</v>
      </c>
      <c r="D13251" s="1" t="str">
        <f>"11618"</f>
        <v>11618</v>
      </c>
      <c r="E13251" s="1" t="s">
        <v>331</v>
      </c>
      <c r="F13251" s="1">
        <v>18</v>
      </c>
      <c r="G13251" s="1">
        <v>11</v>
      </c>
      <c r="H13251" s="1">
        <v>1</v>
      </c>
      <c r="I13251" s="1" t="s">
        <v>27102</v>
      </c>
      <c r="K13251" s="1" t="str">
        <f t="shared" si="833"/>
        <v>ㄩ</v>
      </c>
      <c r="M13251" s="1" t="str">
        <f t="shared" si="832"/>
        <v/>
      </c>
      <c r="N13251" s="3" t="s">
        <v>30575</v>
      </c>
      <c r="O13251" s="3"/>
      <c r="P13251" s="1" t="s">
        <v>20</v>
      </c>
      <c r="R13251" s="1" t="s">
        <v>27103</v>
      </c>
      <c r="V13251" s="1" t="s">
        <v>27225</v>
      </c>
      <c r="W13251" s="1" t="s">
        <v>27226</v>
      </c>
      <c r="AR13251" s="1" t="str">
        <f t="shared" ref="AR13251:AR13314" si="834">"| ["&amp;I13251&amp;"]("&amp;I13251&amp;".md) | ["&amp;A13251&amp;"]("&amp;A13251&amp;".md) | "&amp;" | "&amp;R13251&amp;" | "&amp;V13251&amp;" |"</f>
        <v>| [ㄩˊ](ㄩˊ.md) | [謣](謣.md) |  | yú | [動]
虛誇、胡說。《說文解字．言部》：「謣，妄言。」漢．揚雄《法言．問明》：「謣言敗俗，謣好敗則。」 |</v>
      </c>
    </row>
    <row r="13252" spans="1:44" hidden="1">
      <c r="A13252" s="1" t="s">
        <v>27227</v>
      </c>
      <c r="C13252" s="1">
        <v>1</v>
      </c>
      <c r="D13252" s="1" t="str">
        <f>"11619"</f>
        <v>11619</v>
      </c>
      <c r="E13252" s="1" t="s">
        <v>156</v>
      </c>
      <c r="F13252" s="1">
        <v>11</v>
      </c>
      <c r="G13252" s="1">
        <v>0</v>
      </c>
      <c r="H13252" s="1">
        <v>0</v>
      </c>
      <c r="I13252" s="1" t="s">
        <v>27102</v>
      </c>
      <c r="K13252" s="1" t="str">
        <f t="shared" si="833"/>
        <v>ㄩ</v>
      </c>
      <c r="M13252" s="1" t="str">
        <f t="shared" si="832"/>
        <v/>
      </c>
      <c r="N13252" s="3" t="s">
        <v>30575</v>
      </c>
      <c r="O13252" s="3"/>
      <c r="P13252" s="1" t="s">
        <v>20</v>
      </c>
      <c r="R13252" s="1" t="s">
        <v>27103</v>
      </c>
      <c r="V13252" s="1" t="s">
        <v>27228</v>
      </c>
      <c r="AR13252" s="1" t="str">
        <f t="shared" si="834"/>
        <v>| [ㄩˊ](ㄩˊ.md) | [魚](魚.md) |  | yú | [名]_x000D_
1.水生脊椎動物的總稱。體溫隨外界溫度而變化、卵生，大都有鰭和鱗，以鰓呼吸，種類繁多。參見「魚類」條。_x000D_
2.生活在於水中的軟體動物，如：章魚目之「章魚」、管魷目之「魷魚」、烏賊目之「墨魚」。_x000D_
3.生活在水中而非魚類的動物。如：哺乳動物之「鯨魚」、爬蟲類動物之「鱷魚」、脊椎動物之「甲魚」。_x000D_
4.非魚類而形狀像魚的動物。如：「蠹魚」。_x000D_
5.姓。如唐代有魚朝恩。_x000D_
6.二一四部首之一。 |</v>
      </c>
    </row>
    <row r="13253" spans="1:44" hidden="1">
      <c r="A13253" s="1" t="s">
        <v>27229</v>
      </c>
      <c r="C13253" s="1">
        <v>1</v>
      </c>
      <c r="D13253" s="1" t="str">
        <f>"11620"</f>
        <v>11620</v>
      </c>
      <c r="E13253" s="1" t="s">
        <v>129</v>
      </c>
      <c r="F13253" s="1">
        <v>14</v>
      </c>
      <c r="G13253" s="1">
        <v>11</v>
      </c>
      <c r="H13253" s="1">
        <v>0</v>
      </c>
      <c r="I13253" s="1" t="s">
        <v>27102</v>
      </c>
      <c r="K13253" s="1" t="str">
        <f t="shared" si="833"/>
        <v>ㄩ</v>
      </c>
      <c r="M13253" s="1" t="str">
        <f t="shared" si="832"/>
        <v/>
      </c>
      <c r="N13253" s="3" t="s">
        <v>30575</v>
      </c>
      <c r="O13253" s="3"/>
      <c r="P13253" s="1" t="s">
        <v>20</v>
      </c>
      <c r="R13253" s="1" t="s">
        <v>27103</v>
      </c>
      <c r="V13253" s="1" t="s">
        <v>27230</v>
      </c>
      <c r="AR13253" s="1" t="str">
        <f t="shared" si="834"/>
        <v>| [ㄩˊ](ㄩˊ.md) | [漁](漁.md) |  | yú | [動]
1.捕魚。如：「竭澤而漁」。宋．歐陽修〈醉翁亭記〉：「臨溪而漁，溪深而魚肥。」
2.用不正當的手段掠奪、謀取。《商君書．修權》：「秩官之吏，隱下以漁百姓，此民之蠹也。」《元史．卷一七三．崔斌傳》：「既至，凡前日蠹國漁民不法之政，悉釐正之。」
[形]
與捕魚有關的。如：「漁業」、「漁翁」、「漁船」。
[名]
姓。如宋代有漁陽鴻。 |</v>
      </c>
    </row>
    <row r="13254" spans="1:44" hidden="1">
      <c r="A13254" s="1" t="s">
        <v>27120</v>
      </c>
      <c r="C13254" s="1">
        <v>1</v>
      </c>
      <c r="D13254" s="1" t="str">
        <f>"11621"</f>
        <v>11621</v>
      </c>
      <c r="E13254" s="1" t="s">
        <v>7857</v>
      </c>
      <c r="F13254" s="1">
        <v>4</v>
      </c>
      <c r="G13254" s="1">
        <v>3</v>
      </c>
      <c r="H13254" s="1">
        <v>2</v>
      </c>
      <c r="I13254" s="1" t="s">
        <v>27231</v>
      </c>
      <c r="K13254" s="1" t="str">
        <f t="shared" si="833"/>
        <v>ㄩ</v>
      </c>
      <c r="M13254" s="1" t="str">
        <f t="shared" si="832"/>
        <v/>
      </c>
      <c r="N13254" s="3" t="s">
        <v>30576</v>
      </c>
      <c r="O13254" s="3"/>
      <c r="P13254" s="1" t="s">
        <v>20</v>
      </c>
      <c r="R13254" s="1" t="s">
        <v>27232</v>
      </c>
      <c r="V13254" s="1" t="s">
        <v>27233</v>
      </c>
      <c r="W13254" s="1" t="s">
        <v>27234</v>
      </c>
      <c r="AR13254" s="1" t="str">
        <f t="shared" si="834"/>
        <v>| [ㄩˇ](ㄩˇ.md) | [予](予.md) |  | yǔ | [動]
1.給。通「與」。如：「給予」、「贈予」、「授予」、「賦予」。《詩經．小雅．采菽》：「彼交匪紓，天子所予。」
2.贊許。《管子．宙合》：「主盛處賢，而自予雄也。」《漢書．卷九七．外戚傳下．孝成趙皇后傳》：「魯嚴公夫人殺世子，齊桓召而誅焉。《春秋》予之。」 |</v>
      </c>
    </row>
    <row r="13255" spans="1:44" hidden="1">
      <c r="A13255" s="1" t="s">
        <v>27235</v>
      </c>
      <c r="C13255" s="1">
        <v>1</v>
      </c>
      <c r="D13255" s="1" t="str">
        <f>"11622"</f>
        <v>11622</v>
      </c>
      <c r="E13255" s="1" t="s">
        <v>624</v>
      </c>
      <c r="F13255" s="1">
        <v>6</v>
      </c>
      <c r="G13255" s="1">
        <v>3</v>
      </c>
      <c r="H13255" s="1">
        <v>0</v>
      </c>
      <c r="I13255" s="1" t="s">
        <v>27231</v>
      </c>
      <c r="K13255" s="1" t="str">
        <f t="shared" si="833"/>
        <v>ㄩ</v>
      </c>
      <c r="M13255" s="1" t="str">
        <f t="shared" ref="M13255:M13276" si="835">MID(I13255, 3, 1)</f>
        <v/>
      </c>
      <c r="N13255" s="3" t="s">
        <v>30576</v>
      </c>
      <c r="O13255" s="3"/>
      <c r="P13255" s="1" t="s">
        <v>20</v>
      </c>
      <c r="R13255" s="1" t="s">
        <v>27232</v>
      </c>
      <c r="V13255" s="1" t="s">
        <v>27236</v>
      </c>
      <c r="AR13255" s="1" t="str">
        <f t="shared" si="834"/>
        <v>| [ㄩˇ](ㄩˇ.md) | [宇](宇.md) |  | yǔ | [名]
1.屋簷。《易經．繫辭下》：「上古穴居而野處，後世聖人易之以宮室，上棟下宇，以待風雨，蓋取之大壯。」
2.房屋。如：「屋宇」。《楚辭．宋玉．招魂》：「高堂邃宇，檻層軒些。」宋．蘇軾〈水調歌頭．明月幾時有〉詞：「我欲乘風歸去，又恐瓊樓玉宇，高處不勝寒。」
3.疆域、國境。《左傳．昭公四年》：「或無難以喪其國，失其守宇。」《文選．枚乘．七發》：「今時天下安寧，四宇和平。」
4.上下四方，為整個空間的總稱。如：「宇宙」、「寰宇」。《荀子．富國》：「萬物同宇而異體，無宜而有用。」
5.人的儀表、風度。如：「眉宇」、「氣宇軒昂」。《晉書．卷七九．謝安傳》：「神識沉敏，風宇條暢。」 |</v>
      </c>
    </row>
    <row r="13256" spans="1:44" hidden="1">
      <c r="A13256" s="1" t="s">
        <v>27237</v>
      </c>
      <c r="C13256" s="1">
        <v>1</v>
      </c>
      <c r="D13256" s="1" t="str">
        <f>"11623"</f>
        <v>11623</v>
      </c>
      <c r="E13256" s="1" t="s">
        <v>2271</v>
      </c>
      <c r="F13256" s="1">
        <v>6</v>
      </c>
      <c r="G13256" s="1">
        <v>0</v>
      </c>
      <c r="H13256" s="1">
        <v>0</v>
      </c>
      <c r="I13256" s="1" t="s">
        <v>27231</v>
      </c>
      <c r="K13256" s="1" t="str">
        <f t="shared" si="833"/>
        <v>ㄩ</v>
      </c>
      <c r="M13256" s="1" t="str">
        <f t="shared" si="835"/>
        <v/>
      </c>
      <c r="N13256" s="3" t="s">
        <v>30576</v>
      </c>
      <c r="O13256" s="3"/>
      <c r="P13256" s="1" t="s">
        <v>20</v>
      </c>
      <c r="R13256" s="1" t="s">
        <v>27232</v>
      </c>
      <c r="V13256" s="1" t="s">
        <v>27238</v>
      </c>
      <c r="AR13256" s="1" t="str">
        <f t="shared" si="834"/>
        <v>| [ㄩˇ](ㄩˇ.md) | [羽](羽.md) |  | yǔ | [名]
1.鳥類的毛。《易經．漸卦．上九》：「鴻漸于陸，其羽可用為儀，吉。」《韓非子．解老》：「人無毛羽，不衣則不犯寒。」
2.鳥類或飛蟲的翅膀。《禮記．月令》：「鳴鳩拂其羽，戴勝降于桑。」漢．張衡〈七辯〉：「京城阿縞，譬之蟬羽。」
3.鳥類的代稱。如：「羽族」。《文選．曹植．七啟》：「野無毛類，林無羽群。」
4.古代舞者拿在手上的裝飾物，以雉尾製成。《淮南子．時則》：「命樂師脩鞀鼙玲瑟管簫，調竽曕，飾鐘磬，執干戚戈羽。」
5.古代五音之一。《呂氏春秋．孟冬紀．孟冬》：「其蟲介，其音羽。」晉．陶淵明〈詠荊軻詩〉：「商音更流涕，羽奏壯士驚。」
6.箭。《文選．鮑照．擬古詩三首之一》：「留我一白羽，將以分虎竹。」唐．王涯〈隴上行〉：「負羽到邊州，鳴笳度隴頭。」
7.同黨、朋友、嘍囉。如：「黨羽」。《韓非子．外儲說右上》：「立有閒，時季羽在側。」
8.釣魚用的浮標。《呂氏春秋．離俗覽．離俗》：「魚有大小，餌有宜適，羽有動靜。」
9.姓。如春秋時鄭國有羽頡。
10. 二一四部首之一。
[形]
以羽毛製成的。如：「羽扇綸巾」。《漢書．卷二五．郊祀志上》：「五利將軍亦衣羽衣，立白茅上受印。」 |</v>
      </c>
    </row>
    <row r="13257" spans="1:44" hidden="1">
      <c r="A13257" s="1" t="s">
        <v>27239</v>
      </c>
      <c r="C13257" s="1">
        <v>1</v>
      </c>
      <c r="D13257" s="1" t="str">
        <f>"11624"</f>
        <v>11624</v>
      </c>
      <c r="E13257" s="1" t="s">
        <v>125</v>
      </c>
      <c r="F13257" s="1">
        <v>8</v>
      </c>
      <c r="G13257" s="1">
        <v>0</v>
      </c>
      <c r="H13257" s="1">
        <v>1</v>
      </c>
      <c r="I13257" s="1" t="s">
        <v>27231</v>
      </c>
      <c r="K13257" s="1" t="str">
        <f t="shared" si="833"/>
        <v>ㄩ</v>
      </c>
      <c r="M13257" s="1" t="str">
        <f t="shared" si="835"/>
        <v/>
      </c>
      <c r="N13257" s="3" t="s">
        <v>30576</v>
      </c>
      <c r="O13257" s="3"/>
      <c r="P13257" s="1" t="s">
        <v>20</v>
      </c>
      <c r="R13257" s="1" t="s">
        <v>27232</v>
      </c>
      <c r="V13257" s="1" t="s">
        <v>27240</v>
      </c>
      <c r="W13257" s="1" t="s">
        <v>27241</v>
      </c>
      <c r="AR13257" s="1" t="str">
        <f t="shared" si="834"/>
        <v>| [ㄩˇ](ㄩˇ.md) | [雨](雨.md) |  | yǔ | [名]
1.空氣中的水蒸氣遇冷凝結而降落的小水滴。如：「春雨」、「梅雨」、「風雨交加」、「秋風秋雨愁煞人」。
2.朋友。如：「舊雨新知」。唐．杜甫〈秋述〉：「秋，杜子臥病長安旅次，……，青苔及榻，常時車馬之客，舊雨來，今雨不來。」
3.二一四部首之一。 |</v>
      </c>
    </row>
    <row r="13258" spans="1:44" hidden="1">
      <c r="A13258" s="1" t="s">
        <v>27242</v>
      </c>
      <c r="C13258" s="1">
        <v>1</v>
      </c>
      <c r="D13258" s="1" t="str">
        <f>"11625"</f>
        <v>11625</v>
      </c>
      <c r="E13258" s="1" t="s">
        <v>114</v>
      </c>
      <c r="F13258" s="1">
        <v>9</v>
      </c>
      <c r="G13258" s="1">
        <v>7</v>
      </c>
      <c r="H13258" s="1">
        <v>0</v>
      </c>
      <c r="I13258" s="1" t="s">
        <v>27231</v>
      </c>
      <c r="K13258" s="1" t="str">
        <f t="shared" si="833"/>
        <v>ㄩ</v>
      </c>
      <c r="M13258" s="1" t="str">
        <f t="shared" si="835"/>
        <v/>
      </c>
      <c r="N13258" s="3" t="s">
        <v>30576</v>
      </c>
      <c r="O13258" s="3"/>
      <c r="P13258" s="1" t="s">
        <v>20</v>
      </c>
      <c r="R13258" s="1" t="s">
        <v>27232</v>
      </c>
      <c r="V13258" s="1" t="s">
        <v>27243</v>
      </c>
      <c r="AR13258" s="1" t="str">
        <f t="shared" si="834"/>
        <v>| [ㄩˇ](ㄩˇ.md) | [俁](俁.md) |  | yǔ | 參見「俁俁」條。 |</v>
      </c>
    </row>
    <row r="13259" spans="1:44" hidden="1">
      <c r="A13259" s="1" t="s">
        <v>27244</v>
      </c>
      <c r="C13259" s="1">
        <v>1</v>
      </c>
      <c r="D13259" s="1" t="str">
        <f>"11626"</f>
        <v>11626</v>
      </c>
      <c r="E13259" s="1" t="s">
        <v>1190</v>
      </c>
      <c r="F13259" s="1">
        <v>18</v>
      </c>
      <c r="G13259" s="1">
        <v>7</v>
      </c>
      <c r="H13259" s="1">
        <v>0</v>
      </c>
      <c r="I13259" s="1" t="s">
        <v>27231</v>
      </c>
      <c r="K13259" s="1" t="str">
        <f t="shared" si="833"/>
        <v>ㄩ</v>
      </c>
      <c r="M13259" s="1" t="str">
        <f t="shared" si="835"/>
        <v/>
      </c>
      <c r="N13259" s="3" t="s">
        <v>30576</v>
      </c>
      <c r="O13259" s="3"/>
      <c r="P13259" s="1" t="s">
        <v>20</v>
      </c>
      <c r="R13259" s="1" t="s">
        <v>27232</v>
      </c>
      <c r="V13259" s="1" t="s">
        <v>27245</v>
      </c>
      <c r="AR13259" s="1" t="str">
        <f t="shared" si="834"/>
        <v>| [ㄩˇ](ㄩˇ.md) | [麌](麌.md) |  | yǔ | [名]
雄鹿。《廣韻．上聲．虞韻》：「麌，牡鹿。」
[形]
群聚的樣子。唐．杜甫〈朝享太廟賦〉：「熙事莽而充塞，群心麌以振蕩。」 |</v>
      </c>
    </row>
    <row r="13260" spans="1:44" hidden="1">
      <c r="A13260" s="1" t="s">
        <v>27246</v>
      </c>
      <c r="C13260" s="1">
        <v>1</v>
      </c>
      <c r="D13260" s="1" t="str">
        <f>"11627"</f>
        <v>11627</v>
      </c>
      <c r="E13260" s="1" t="s">
        <v>15579</v>
      </c>
      <c r="F13260" s="1">
        <v>9</v>
      </c>
      <c r="G13260" s="1">
        <v>4</v>
      </c>
      <c r="H13260" s="1">
        <v>0</v>
      </c>
      <c r="I13260" s="1" t="s">
        <v>27231</v>
      </c>
      <c r="K13260" s="1" t="str">
        <f t="shared" si="833"/>
        <v>ㄩ</v>
      </c>
      <c r="M13260" s="1" t="str">
        <f t="shared" si="835"/>
        <v/>
      </c>
      <c r="N13260" s="3" t="s">
        <v>30576</v>
      </c>
      <c r="O13260" s="3"/>
      <c r="P13260" s="1" t="s">
        <v>20</v>
      </c>
      <c r="R13260" s="1" t="s">
        <v>27232</v>
      </c>
      <c r="V13260" s="1" t="s">
        <v>27247</v>
      </c>
      <c r="AR13260" s="1" t="str">
        <f t="shared" si="834"/>
        <v>| [ㄩˇ](ㄩˇ.md) | [禹](禹.md) |  | yǔ | [名]
1.傳說中的一種蟲。《說文解字．禸部》：「禹，蟲也。」
2.人名。夏代開國之君。相傳因治水有功，得舜讓位，立國為夏。也稱為「大禹」、「夏禹」。
3.姓。如金代有禹顯。 |</v>
      </c>
    </row>
    <row r="13261" spans="1:44" hidden="1">
      <c r="A13261" s="1" t="s">
        <v>27248</v>
      </c>
      <c r="C13261" s="1">
        <v>1</v>
      </c>
      <c r="D13261" s="1" t="str">
        <f>"11628"</f>
        <v>11628</v>
      </c>
      <c r="E13261" s="1" t="s">
        <v>114</v>
      </c>
      <c r="F13261" s="1">
        <v>11</v>
      </c>
      <c r="G13261" s="1">
        <v>9</v>
      </c>
      <c r="H13261" s="1">
        <v>0</v>
      </c>
      <c r="I13261" s="1" t="s">
        <v>27231</v>
      </c>
      <c r="K13261" s="1" t="str">
        <f t="shared" si="833"/>
        <v>ㄩ</v>
      </c>
      <c r="M13261" s="1" t="str">
        <f t="shared" si="835"/>
        <v/>
      </c>
      <c r="N13261" s="3" t="s">
        <v>30576</v>
      </c>
      <c r="O13261" s="3"/>
      <c r="P13261" s="1" t="s">
        <v>20</v>
      </c>
      <c r="R13261" s="1" t="s">
        <v>27232</v>
      </c>
      <c r="V13261" s="1" t="s">
        <v>27249</v>
      </c>
      <c r="AR13261" s="1" t="str">
        <f t="shared" si="834"/>
        <v>| [ㄩˇ](ㄩˇ.md) | [偊](偊.md) |  | yǔ | [副]
偊偊：獨行的樣子。明．張自烈《正字通．人部》：「偊，偊偊，獨行貌。」《列子．力命》：「汝奚往而反，偊偊而步，有深愧之色邪？」 |</v>
      </c>
    </row>
    <row r="13262" spans="1:44" hidden="1">
      <c r="A13262" s="1" t="s">
        <v>27250</v>
      </c>
      <c r="C13262" s="1">
        <v>1</v>
      </c>
      <c r="D13262" s="1" t="str">
        <f>"11629"</f>
        <v>11629</v>
      </c>
      <c r="E13262" s="1" t="s">
        <v>142</v>
      </c>
      <c r="F13262" s="1">
        <v>13</v>
      </c>
      <c r="G13262" s="1">
        <v>9</v>
      </c>
      <c r="H13262" s="1">
        <v>0</v>
      </c>
      <c r="I13262" s="1" t="s">
        <v>27231</v>
      </c>
      <c r="K13262" s="1" t="str">
        <f t="shared" ref="K13262:K13325" si="836">LEFT(I13262, 1)</f>
        <v>ㄩ</v>
      </c>
      <c r="M13262" s="1" t="str">
        <f t="shared" si="835"/>
        <v/>
      </c>
      <c r="N13262" s="3" t="s">
        <v>30576</v>
      </c>
      <c r="O13262" s="3"/>
      <c r="P13262" s="1" t="s">
        <v>20</v>
      </c>
      <c r="R13262" s="1" t="s">
        <v>27232</v>
      </c>
      <c r="V13262" s="1" t="s">
        <v>27251</v>
      </c>
      <c r="AR13262" s="1" t="str">
        <f t="shared" si="834"/>
        <v>| [ㄩˇ](ㄩˇ.md) | [瑀](瑀.md) |  | yǔ | [名]
1.質地似玉的美石。《說文解字．玉部》：「瑀，石之次玉者。」
2.玉佩。《續漢書志．第三十．輿服志下》：「至孝明皇帝，乃為大佩，衝牙雙瑀璜，皆以白玉。」 |</v>
      </c>
    </row>
    <row r="13263" spans="1:44" hidden="1">
      <c r="A13263" s="1" t="s">
        <v>14456</v>
      </c>
      <c r="C13263" s="1">
        <v>1</v>
      </c>
      <c r="D13263" s="1" t="str">
        <f>"11630"</f>
        <v>11630</v>
      </c>
      <c r="E13263" s="1" t="s">
        <v>37</v>
      </c>
      <c r="F13263" s="1">
        <v>13</v>
      </c>
      <c r="G13263" s="1">
        <v>9</v>
      </c>
      <c r="H13263" s="1">
        <v>1</v>
      </c>
      <c r="I13263" s="1" t="s">
        <v>27231</v>
      </c>
      <c r="K13263" s="1" t="str">
        <f t="shared" si="836"/>
        <v>ㄩ</v>
      </c>
      <c r="M13263" s="1" t="str">
        <f t="shared" si="835"/>
        <v/>
      </c>
      <c r="N13263" s="3" t="s">
        <v>30576</v>
      </c>
      <c r="O13263" s="3"/>
      <c r="P13263" s="1" t="s">
        <v>20</v>
      </c>
      <c r="R13263" s="1" t="s">
        <v>27232</v>
      </c>
      <c r="V13263" s="1" t="s">
        <v>27252</v>
      </c>
      <c r="W13263" s="1" t="s">
        <v>27253</v>
      </c>
      <c r="AR13263" s="1" t="str">
        <f t="shared" si="834"/>
        <v>| [ㄩˇ](ㄩˇ.md) | [萭](萭.md) |  | yǔ | [名]
1.一種草。《說文解字．艸部》：「萭，草名。」
2.姓。如漢代有萭章。 |</v>
      </c>
    </row>
    <row r="13264" spans="1:44" hidden="1">
      <c r="A13264" s="1" t="s">
        <v>27254</v>
      </c>
      <c r="C13264" s="1">
        <v>1</v>
      </c>
      <c r="D13264" s="1" t="str">
        <f>"11631"</f>
        <v>11631</v>
      </c>
      <c r="E13264" s="1" t="s">
        <v>2557</v>
      </c>
      <c r="F13264" s="1">
        <v>10</v>
      </c>
      <c r="G13264" s="1">
        <v>7</v>
      </c>
      <c r="H13264" s="1">
        <v>0</v>
      </c>
      <c r="I13264" s="1" t="s">
        <v>27231</v>
      </c>
      <c r="K13264" s="1" t="str">
        <f t="shared" si="836"/>
        <v>ㄩ</v>
      </c>
      <c r="M13264" s="1" t="str">
        <f t="shared" si="835"/>
        <v/>
      </c>
      <c r="N13264" s="3" t="s">
        <v>30576</v>
      </c>
      <c r="O13264" s="3"/>
      <c r="P13264" s="1" t="s">
        <v>20</v>
      </c>
      <c r="R13264" s="1" t="s">
        <v>27232</v>
      </c>
      <c r="V13264" s="1" t="s">
        <v>27255</v>
      </c>
      <c r="AR13264" s="1" t="str">
        <f t="shared" si="834"/>
        <v>| [ㄩˇ](ㄩˇ.md) | [圄](圄.md) |  | yǔ | [動]
1.守禦。《說文解字．囗部》：「圄，守之也。」《漢書．卷四八．賈誼傳》：「輔翼之臣誠死君上，守圄扞敵之臣誠死城郭封疆。」
2.囚禁。《左傳．宣公四年》：「子越又惡之，乃以若敖氏之族，圄伯嬴於轑陽而殺之。」
[名]
監獄。如：「囹圄」。《晏子春秋．內篇．諫下》：「景公藉重而獄多，拘者滿圄，怨者滿朝。」《南史．卷五九．江淹傳》：「身陷幽圄，履影弔心。」 |</v>
      </c>
    </row>
    <row r="13265" spans="1:44" hidden="1">
      <c r="A13265" s="1" t="s">
        <v>27256</v>
      </c>
      <c r="C13265" s="1">
        <v>1</v>
      </c>
      <c r="D13265" s="1" t="str">
        <f>"11632"</f>
        <v>11632</v>
      </c>
      <c r="E13265" s="1" t="s">
        <v>426</v>
      </c>
      <c r="F13265" s="1">
        <v>11</v>
      </c>
      <c r="G13265" s="1">
        <v>7</v>
      </c>
      <c r="H13265" s="1">
        <v>0</v>
      </c>
      <c r="I13265" s="1" t="s">
        <v>27231</v>
      </c>
      <c r="K13265" s="1" t="str">
        <f t="shared" si="836"/>
        <v>ㄩ</v>
      </c>
      <c r="M13265" s="1" t="str">
        <f t="shared" si="835"/>
        <v/>
      </c>
      <c r="N13265" s="3" t="s">
        <v>30576</v>
      </c>
      <c r="O13265" s="3"/>
      <c r="P13265" s="1" t="s">
        <v>20</v>
      </c>
      <c r="R13265" s="1" t="s">
        <v>27232</v>
      </c>
      <c r="V13265" s="1" t="s">
        <v>27257</v>
      </c>
      <c r="AR13265" s="1" t="str">
        <f t="shared" si="834"/>
        <v>| [ㄩˇ](ㄩˇ.md) | [敔](敔.md) |  | yǔ | [動]_x000D_
囚禁。《說文解字．攴部》：「敔，禁也。」_x000D_
[名]_x000D_
樂器名。古代的敲擊樂器之一。以木製成，形狀像趴著的老虎，背上裝有二十七個金屬片，用以停止音樂的進行。《書經．益稷》：「下管鞀鼓，合止柷敔。」唐．孔穎達．正義：「樂之初，擊柷以作之；樂之將末，戛敔以止之。」 |</v>
      </c>
    </row>
    <row r="13266" spans="1:44" hidden="1">
      <c r="A13266" s="1" t="s">
        <v>27258</v>
      </c>
      <c r="C13266" s="1">
        <v>1</v>
      </c>
      <c r="D13266" s="1" t="str">
        <f>"11633"</f>
        <v>11633</v>
      </c>
      <c r="E13266" s="1" t="s">
        <v>331</v>
      </c>
      <c r="F13266" s="1">
        <v>14</v>
      </c>
      <c r="G13266" s="1">
        <v>7</v>
      </c>
      <c r="H13266" s="1">
        <v>1</v>
      </c>
      <c r="I13266" s="1" t="s">
        <v>27231</v>
      </c>
      <c r="K13266" s="1" t="str">
        <f t="shared" si="836"/>
        <v>ㄩ</v>
      </c>
      <c r="M13266" s="1" t="str">
        <f t="shared" si="835"/>
        <v/>
      </c>
      <c r="N13266" s="3" t="s">
        <v>30576</v>
      </c>
      <c r="O13266" s="3"/>
      <c r="P13266" s="1" t="s">
        <v>20</v>
      </c>
      <c r="R13266" s="1" t="s">
        <v>27232</v>
      </c>
      <c r="V13266" s="1" t="s">
        <v>27259</v>
      </c>
      <c r="W13266" s="1" t="s">
        <v>27260</v>
      </c>
      <c r="AR13266" s="1" t="str">
        <f t="shared" si="834"/>
        <v>| [ㄩˇ](ㄩˇ.md) | [語](語.md) |  | yǔ | [動]
1.說話、談論、議論。如：「不言不語」、「默默不語」。《論語．述而》：「子不語：怪、力、亂、神。」南朝宋．劉義慶《世說新語．文學》：「去後看莊、老，更與王語，便足相抗衡。」
2.蟲鳥野獸鳴叫。唐．韋莊〈應天長．綠槐陰裡黃鶯語〉詞：「綠槐陰裡黃鶯語，深院無人春晝午。」宋．范成大〈蛩〉詩：「壁下秋蟲語，一蛩鳴獨雄。」
[名]
1.用口頭表達的話。如：「語言」、「語無倫次」。唐．岑參〈逢入京使〉詩：「馬上相逢無紙筆，憑君傳語報平安。」
2.詩詞文章中的字句。唐．杜甫〈江上值水如海勢聊短述〉詩：「為人性僻耽佳句，語不驚人死不休。」《宋史．卷二六三．李穆傳》：「十歲為詩，往往有警語。」
3.特指古語、諺語、俗語等。《穀梁傳．僖公二年》：「語曰：『脣亡則齒寒。』」《商君書．更法》：「語曰：『愚者闇於成事，知者見於未萌。』」
4.傳達思想或訊息的動作或信號。如：「手語」、「旗語」。南朝梁．劉孝威〈鄀縣遇見人織率爾寄婦〉詩：「窗疏眉語度，紗輕眼笑來。」
5.蟲鳥等的鳴叫聲。如：「蟬語」。《後漢書．卷八六．南蠻西南夷傳．西南夷傳》：「及其化行，則緩耳雕腳之倫，獸居鳥語之類，莫不舉種盡落。」 |</v>
      </c>
    </row>
    <row r="13267" spans="1:44" hidden="1">
      <c r="A13267" s="1" t="s">
        <v>27261</v>
      </c>
      <c r="C13267" s="1">
        <v>1</v>
      </c>
      <c r="D13267" s="1" t="str">
        <f>"11634"</f>
        <v>11634</v>
      </c>
      <c r="E13267" s="1" t="s">
        <v>592</v>
      </c>
      <c r="F13267" s="1">
        <v>22</v>
      </c>
      <c r="G13267" s="1">
        <v>7</v>
      </c>
      <c r="H13267" s="1">
        <v>0</v>
      </c>
      <c r="I13267" s="1" t="s">
        <v>27231</v>
      </c>
      <c r="K13267" s="1" t="str">
        <f t="shared" si="836"/>
        <v>ㄩ</v>
      </c>
      <c r="M13267" s="1" t="str">
        <f t="shared" si="835"/>
        <v/>
      </c>
      <c r="N13267" s="3" t="s">
        <v>30576</v>
      </c>
      <c r="O13267" s="3"/>
      <c r="P13267" s="1" t="s">
        <v>20</v>
      </c>
      <c r="R13267" s="1" t="s">
        <v>27232</v>
      </c>
      <c r="V13267" s="1" t="s">
        <v>14436</v>
      </c>
      <c r="AR13267" s="1" t="str">
        <f t="shared" si="834"/>
        <v>| [ㄩˇ](ㄩˇ.md) | [齬](齬.md) |  | yǔ | 參見「齟齬」條。 |</v>
      </c>
    </row>
    <row r="13268" spans="1:44" hidden="1">
      <c r="A13268" s="1" t="s">
        <v>27262</v>
      </c>
      <c r="C13268" s="1">
        <v>1</v>
      </c>
      <c r="D13268" s="1" t="str">
        <f>"11635"</f>
        <v>11635</v>
      </c>
      <c r="E13268" s="1" t="s">
        <v>447</v>
      </c>
      <c r="F13268" s="1">
        <v>11</v>
      </c>
      <c r="G13268" s="1">
        <v>8</v>
      </c>
      <c r="H13268" s="1">
        <v>0</v>
      </c>
      <c r="I13268" s="1" t="s">
        <v>27231</v>
      </c>
      <c r="K13268" s="1" t="str">
        <f t="shared" si="836"/>
        <v>ㄩ</v>
      </c>
      <c r="M13268" s="1" t="str">
        <f t="shared" si="835"/>
        <v/>
      </c>
      <c r="N13268" s="3" t="s">
        <v>30576</v>
      </c>
      <c r="O13268" s="3"/>
      <c r="P13268" s="1" t="s">
        <v>20</v>
      </c>
      <c r="R13268" s="1" t="s">
        <v>27232</v>
      </c>
      <c r="V13268" s="1" t="s">
        <v>27263</v>
      </c>
      <c r="AR13268" s="1" t="str">
        <f t="shared" si="834"/>
        <v>| [ㄩˇ](ㄩˇ.md) | [庾](庾.md) |  | yǔ | [名]
1.沒有頂蓋、露天的穀倉。《詩經．小雅．楚茨》：「我倉既盈，我庾維億。」漢．毛亨．傳：「露積曰庾。」《史記．卷一〇．孝文本紀》：「發倉庾以振貧民，民得賣爵。」
2.量詞。古代計算容量的單位。相當於十六斗。《左傳．昭公二十六年》：「能貨子猶為高氏後，粟五千庾。」晉．杜預．注：「庾，十六斗。」《論語．雍也》：「冉子為其母請粟。子曰：『與之釜。』請益。曰：『與之庾。』」
3.姓。如北周時有庾信。 |</v>
      </c>
    </row>
    <row r="13269" spans="1:44" hidden="1">
      <c r="A13269" s="1" t="s">
        <v>27264</v>
      </c>
      <c r="C13269" s="1">
        <v>1</v>
      </c>
      <c r="D13269" s="1" t="str">
        <f>"11636"</f>
        <v>11636</v>
      </c>
      <c r="E13269" s="1" t="s">
        <v>40</v>
      </c>
      <c r="F13269" s="1">
        <v>13</v>
      </c>
      <c r="G13269" s="1">
        <v>8</v>
      </c>
      <c r="H13269" s="1">
        <v>0</v>
      </c>
      <c r="I13269" s="1" t="s">
        <v>27231</v>
      </c>
      <c r="K13269" s="1" t="str">
        <f t="shared" si="836"/>
        <v>ㄩ</v>
      </c>
      <c r="M13269" s="1" t="str">
        <f t="shared" si="835"/>
        <v/>
      </c>
      <c r="N13269" s="3" t="s">
        <v>30576</v>
      </c>
      <c r="O13269" s="3"/>
      <c r="P13269" s="1" t="s">
        <v>20</v>
      </c>
      <c r="R13269" s="1" t="s">
        <v>27232</v>
      </c>
      <c r="V13269" s="1" t="s">
        <v>27265</v>
      </c>
      <c r="AR13269" s="1" t="str">
        <f t="shared" si="834"/>
        <v>| [ㄩˇ](ㄩˇ.md) | [瘐](瘐.md) |  | yǔ | 參見「瘐死」條。 |</v>
      </c>
    </row>
    <row r="13270" spans="1:44" hidden="1">
      <c r="A13270" s="1" t="s">
        <v>27154</v>
      </c>
      <c r="C13270" s="1">
        <v>1</v>
      </c>
      <c r="D13270" s="1" t="str">
        <f>"11637"</f>
        <v>11637</v>
      </c>
      <c r="E13270" s="1" t="s">
        <v>13771</v>
      </c>
      <c r="F13270" s="1">
        <v>14</v>
      </c>
      <c r="G13270" s="1">
        <v>7</v>
      </c>
      <c r="H13270" s="1">
        <v>1</v>
      </c>
      <c r="I13270" s="1" t="s">
        <v>27231</v>
      </c>
      <c r="K13270" s="1" t="str">
        <f t="shared" si="836"/>
        <v>ㄩ</v>
      </c>
      <c r="M13270" s="1" t="str">
        <f t="shared" si="835"/>
        <v/>
      </c>
      <c r="N13270" s="3" t="s">
        <v>30576</v>
      </c>
      <c r="O13270" s="3"/>
      <c r="P13270" s="1" t="s">
        <v>20</v>
      </c>
      <c r="R13270" s="1" t="s">
        <v>27232</v>
      </c>
      <c r="V13270" s="1" t="s">
        <v>27266</v>
      </c>
      <c r="W13270" s="1" t="s">
        <v>27267</v>
      </c>
      <c r="AR13270" s="1" t="str">
        <f t="shared" si="834"/>
        <v>| [ㄩˇ](ㄩˇ.md) | [與](與.md) |  | yǔ | [名]
同類、朋黨。《說文解字．舁部》：「與，黨與也。」《史記．卷八九．張耳陳餘傳》：「敵多則力分，與眾則兵彊。」《漢書．卷六三．武五子傳．燕刺王劉旦傳》：「群臣連與成朋，非毀宗室。」
[動]
1.贊成、允許。《論語．先進》：「夫子喟然歎曰：『吾與點也！』」《資治通鑑．卷三二．漢紀二十四．成帝綏和元年》：「傳不云乎：『朝過夕改，君子與之。』」
2.支助、贊助。《老子》第七九章：「天道無親，常與善人。」唐．陳子昂〈感遇〉詩三八首之一七：「豈無當世雄，天道與胡兵。」
3.給予。如：「贈與」、「授與」。《孟子．離婁下》：「可以與，可以無與。」《韓非子．忠孝》：「此明君且常與，而賢臣且常取也。」
4.接近、親近。《禮記．禮運》：「諸侯以禮相與，大夫以法相序。」《宋史．卷三三六．司馬光傳》：「所言盡害政之事，所與盡害政之人。」
5.跟從、跟隨。《國語．齊語》：「桓公知天下諸侯多與己也，故又大施忠焉。」《淮南子．墬形》：「蛤蟹珠龜，與月盛衰。」
6.結交、交往。《韓非子．姦劫弒臣》：「君臣之相與也，非有父子之親也。」
7.爭戰。《左傳．哀公九年》：「宋方吉，不可與也。」《國語．越語下》：「彼來從我，固守勿與。」
8.應付、對付。《史記．卷三四．燕召公世家》：「龐暖易與耳。」《宋史．卷三六五．岳飛傳》：「以為諸帥易與，獨飛不可當。」
9.如、相比。《漢書．卷三四．韓信傳》：「大王自料勇悍仁彊，孰與項王？」唐．李商隱〈送從翁從東川弘農尚書幕〉詩：「甘心與陳阮，揮手謝松喬。」
10. 等待。《論語．陽貨》：「日月逝矣，歲不我與。」《楚辭．屈原．離騷》：「汩余若將不及兮，恐年歲之不吾與。」
11. 推舉、選拔。通「舉」。如：「選賢與能」。
[副]
皆、全。通「舉」。《易經．无妄卦．象曰》：「天下雷行，物與无妄。」《墨子．天志中》：「天下之君子，與謂之不詳者。」
[介]
1.向、對。如：「與虎謀皮」。《孟子．公孫丑下》：「齊人無以仁義與王言者，豈以仁義為不美也。」
2.被。《戰國策．秦策五》：「（夫差）遂與勾踐禽，死於干隧。」
3.為、替。《孟子．離婁上》：「所欲，與之聚之。」
[連]
1.和、同、跟。如：「我與你」、「山與水」。《論語．公冶長》：「夫子之言性與天道，不可得而聞也。」
2.與其，表示比較。《韓非子．難二》：「與吾得革車千乘，不如聞行人燭過之一言也。」《史記．卷八三．魯仲連鄒陽傳》：「與人刃我，寧自刃。」 |</v>
      </c>
    </row>
    <row r="13271" spans="1:44" hidden="1">
      <c r="A13271" s="1" t="s">
        <v>27268</v>
      </c>
      <c r="C13271" s="1">
        <v>1</v>
      </c>
      <c r="D13271" s="1" t="str">
        <f>"11638"</f>
        <v>11638</v>
      </c>
      <c r="E13271" s="1" t="s">
        <v>190</v>
      </c>
      <c r="F13271" s="1">
        <v>17</v>
      </c>
      <c r="G13271" s="1">
        <v>14</v>
      </c>
      <c r="H13271" s="1">
        <v>0</v>
      </c>
      <c r="I13271" s="1" t="s">
        <v>27231</v>
      </c>
      <c r="K13271" s="1" t="str">
        <f t="shared" si="836"/>
        <v>ㄩ</v>
      </c>
      <c r="M13271" s="1" t="str">
        <f t="shared" si="835"/>
        <v/>
      </c>
      <c r="N13271" s="3" t="s">
        <v>30576</v>
      </c>
      <c r="O13271" s="3"/>
      <c r="P13271" s="1" t="s">
        <v>20</v>
      </c>
      <c r="R13271" s="1" t="s">
        <v>27232</v>
      </c>
      <c r="V13271" s="1" t="s">
        <v>27269</v>
      </c>
      <c r="AR13271" s="1" t="str">
        <f t="shared" si="834"/>
        <v>| [ㄩˇ](ㄩˇ.md) | [嶼](嶼.md) |  | yǔ | [名]
小島。如：「島嶼」。南朝宋．謝靈運〈登江中孤嶼〉詩：「亂流趨孤嶼，孤嶼媚中川。」唐．孟浩然〈登江中孤嶼贈白雲先生王迥〉詩：「悠悠清江水，水落沙嶼出。」 |</v>
      </c>
    </row>
    <row r="13272" spans="1:44" hidden="1">
      <c r="A13272" s="1" t="s">
        <v>27270</v>
      </c>
      <c r="C13272" s="1">
        <v>1</v>
      </c>
      <c r="D13272" s="1" t="str">
        <f>"11639"</f>
        <v>11639</v>
      </c>
      <c r="E13272" s="1" t="s">
        <v>2557</v>
      </c>
      <c r="F13272" s="1">
        <v>11</v>
      </c>
      <c r="G13272" s="1">
        <v>8</v>
      </c>
      <c r="H13272" s="1">
        <v>0</v>
      </c>
      <c r="I13272" s="1" t="s">
        <v>27231</v>
      </c>
      <c r="K13272" s="1" t="str">
        <f t="shared" si="836"/>
        <v>ㄩ</v>
      </c>
      <c r="M13272" s="1" t="str">
        <f t="shared" si="835"/>
        <v/>
      </c>
      <c r="N13272" s="3" t="s">
        <v>30576</v>
      </c>
      <c r="O13272" s="3"/>
      <c r="P13272" s="1" t="s">
        <v>20</v>
      </c>
      <c r="R13272" s="1" t="s">
        <v>27232</v>
      </c>
      <c r="V13272" s="1" t="s">
        <v>27271</v>
      </c>
      <c r="AR13272" s="1" t="str">
        <f t="shared" si="834"/>
        <v>| [ㄩˇ](ㄩˇ.md) | [圉](圉.md) |  | yǔ | [名]
1.牢獄、監牢。《說文解字．㚔部》：「圉，囹圉，所以拘罪人。」《漢書．卷六四下．王襃傳》：「昔周公躬吐捉之勞，故有圉空之隆。」
2.養馬的人。南朝陳．徐陵〈梁貞陽侯重與王太尉書〉：「詣諸圉牧，莫不皆知。」《水滸傳》第九八回：「卻有本部內一個軍卒，他原是田虎手下的馬圉。」
3.養馬的地方。晉．桓溫〈辭參朝政疏〉：「且不有行者，誰扞牧圉。」
4.邊境。《左傳．隱公十一年》：「寡人之使吾子處此，不唯許國之為，亦聊以固吾圉也。」
5.姓。如春秋時楚國有圉公陽。
[動]
1.禁止。通「圄」。《管子．任法》：「鐘鼓竽瑟，宮中之樂，無禁圉也。」
2.抗拒、防禦。通「禦」。《莊子．繕牲》：「其來不可圉，其去不可止。」《墨子．公輸》：「公輸盤之攻械盡，子墨子之守圉有餘。」
3.畜養。《左傳．哀公十四年》：「孟孺子洩將圉馬於成，成宰公孫宿不受。」 |</v>
      </c>
    </row>
    <row r="13273" spans="1:44" hidden="1">
      <c r="A13273" s="1" t="s">
        <v>27272</v>
      </c>
      <c r="C13273" s="1">
        <v>1</v>
      </c>
      <c r="D13273" s="1" t="str">
        <f>"11640"</f>
        <v>11640</v>
      </c>
      <c r="E13273" s="1" t="s">
        <v>114</v>
      </c>
      <c r="F13273" s="1">
        <v>13</v>
      </c>
      <c r="G13273" s="1">
        <v>11</v>
      </c>
      <c r="H13273" s="1">
        <v>0</v>
      </c>
      <c r="I13273" s="1" t="s">
        <v>27231</v>
      </c>
      <c r="K13273" s="1" t="str">
        <f t="shared" si="836"/>
        <v>ㄩ</v>
      </c>
      <c r="M13273" s="1" t="str">
        <f t="shared" si="835"/>
        <v/>
      </c>
      <c r="N13273" s="3" t="s">
        <v>30576</v>
      </c>
      <c r="O13273" s="3"/>
      <c r="P13273" s="1" t="s">
        <v>20</v>
      </c>
      <c r="R13273" s="1" t="s">
        <v>27232</v>
      </c>
      <c r="V13273" s="1" t="s">
        <v>27273</v>
      </c>
      <c r="AR13273" s="1" t="str">
        <f t="shared" si="834"/>
        <v>| [ㄩˇ](ㄩˇ.md) | [傴](傴.md) |  | yǔ | [形]
駝背、背脊彎曲的。《呂氏春秋．季春紀．盡數》：「辛水所多疽與痤人，苦水所多尪與傴人。」《禮記．問喪》：「禿者不免，傴者不袒。」 |</v>
      </c>
    </row>
    <row r="13274" spans="1:44" hidden="1">
      <c r="A13274" s="1" t="s">
        <v>27274</v>
      </c>
      <c r="C13274" s="1">
        <v>1</v>
      </c>
      <c r="D13274" s="1" t="str">
        <f>"11641"</f>
        <v>11641</v>
      </c>
      <c r="E13274" s="1" t="s">
        <v>1274</v>
      </c>
      <c r="F13274" s="1">
        <v>15</v>
      </c>
      <c r="G13274" s="1">
        <v>10</v>
      </c>
      <c r="H13274" s="1">
        <v>0</v>
      </c>
      <c r="I13274" s="1" t="s">
        <v>27231</v>
      </c>
      <c r="K13274" s="1" t="str">
        <f t="shared" si="836"/>
        <v>ㄩ</v>
      </c>
      <c r="M13274" s="1" t="str">
        <f t="shared" si="835"/>
        <v/>
      </c>
      <c r="N13274" s="3" t="s">
        <v>30576</v>
      </c>
      <c r="O13274" s="3"/>
      <c r="P13274" s="1" t="s">
        <v>20</v>
      </c>
      <c r="R13274" s="1" t="s">
        <v>27232</v>
      </c>
      <c r="V13274" s="1" t="s">
        <v>27275</v>
      </c>
      <c r="AR13274" s="1" t="str">
        <f t="shared" si="834"/>
        <v>| [ㄩˇ](ㄩˇ.md) | [窳](窳.md) |  | yǔ | [形]
1.粗糙、不堅實。《史記．卷一．五帝本紀》：「陶河濱，河濱器皆不苦窳。」《文選．何晏．景福殿賦》：「觀器械之良窳，察俗化之誠偽。」
2.衰弱。《文選．枚乘．七發》：「血脈淫濯，手足墮窳。」漢．王充《論衡．命義》：「稟性軟弱者，氣少泊而性羸窳；羸窳則壽命短。」
3.怠惰的。《商君書．墾令》：「農無得糶，則窳惰之農勉疾。」
[動]
腐敗、敗壞。《三國志．卷四二．蜀書．郤正傳》：「然而道有隆窳，物有興廢，有聲有寂，有光有翳。」《清史稿．卷四一．災異志二》：「蘭州瓜窳，剖之有血，食者立病。」 |</v>
      </c>
    </row>
    <row r="13275" spans="1:44" hidden="1">
      <c r="A13275" s="1" t="s">
        <v>27276</v>
      </c>
      <c r="C13275" s="1">
        <v>1</v>
      </c>
      <c r="D13275" s="1" t="str">
        <f>"11642"</f>
        <v>11642</v>
      </c>
      <c r="E13275" s="1" t="s">
        <v>28</v>
      </c>
      <c r="F13275" s="1">
        <v>16</v>
      </c>
      <c r="G13275" s="1">
        <v>13</v>
      </c>
      <c r="H13275" s="1">
        <v>0</v>
      </c>
      <c r="I13275" s="1" t="s">
        <v>27231</v>
      </c>
      <c r="K13275" s="1" t="str">
        <f t="shared" si="836"/>
        <v>ㄩ</v>
      </c>
      <c r="M13275" s="1" t="str">
        <f t="shared" si="835"/>
        <v/>
      </c>
      <c r="N13275" s="3" t="s">
        <v>30576</v>
      </c>
      <c r="O13275" s="3"/>
      <c r="P13275" s="1" t="s">
        <v>20</v>
      </c>
      <c r="R13275" s="1" t="s">
        <v>27232</v>
      </c>
      <c r="V13275" s="1" t="s">
        <v>27277</v>
      </c>
      <c r="AR13275" s="1" t="str">
        <f t="shared" si="834"/>
        <v>| [ㄩˇ](ㄩˇ.md) | [噢](噢.md) |  | yǔ | 參見「噢咻」、「噢咿」等條。 |</v>
      </c>
    </row>
    <row r="13276" spans="1:44" hidden="1">
      <c r="A13276" s="1" t="s">
        <v>27278</v>
      </c>
      <c r="C13276" s="1">
        <v>1</v>
      </c>
      <c r="D13276" s="1" t="str">
        <f>"11643"</f>
        <v>11643</v>
      </c>
      <c r="E13276" s="1" t="s">
        <v>537</v>
      </c>
      <c r="F13276" s="1">
        <v>16</v>
      </c>
      <c r="G13276" s="1">
        <v>9</v>
      </c>
      <c r="H13276" s="1">
        <v>0</v>
      </c>
      <c r="I13276" s="1" t="s">
        <v>27231</v>
      </c>
      <c r="K13276" s="1" t="str">
        <f t="shared" si="836"/>
        <v>ㄩ</v>
      </c>
      <c r="M13276" s="1" t="str">
        <f t="shared" si="835"/>
        <v/>
      </c>
      <c r="N13276" s="3" t="s">
        <v>30576</v>
      </c>
      <c r="O13276" s="3"/>
      <c r="P13276" s="1" t="s">
        <v>20</v>
      </c>
      <c r="R13276" s="1" t="s">
        <v>27232</v>
      </c>
      <c r="V13276" s="1" t="s">
        <v>25307</v>
      </c>
      <c r="AR13276" s="1" t="str">
        <f t="shared" si="834"/>
        <v>| [ㄩˇ](ㄩˇ.md) | [貐](貐.md) |  | yǔ | 參見「猰貐」條。 |</v>
      </c>
    </row>
    <row r="13277" spans="1:44" hidden="1">
      <c r="A13277" s="1" t="s">
        <v>27451</v>
      </c>
      <c r="C13277" s="1">
        <v>1</v>
      </c>
      <c r="D13277" s="1" t="str">
        <f>"11728"</f>
        <v>11728</v>
      </c>
      <c r="E13277" s="1" t="s">
        <v>2014</v>
      </c>
      <c r="F13277" s="1">
        <v>4</v>
      </c>
      <c r="G13277" s="1">
        <v>0</v>
      </c>
      <c r="H13277" s="1">
        <v>0</v>
      </c>
      <c r="I13277" s="1" t="s">
        <v>27452</v>
      </c>
      <c r="K13277" s="1" t="str">
        <f t="shared" si="836"/>
        <v>ㄩ</v>
      </c>
      <c r="L13277" s="1" t="str">
        <f t="shared" ref="L13277:L13308" si="837">MID(I13277, 2, 1)</f>
        <v>ㄝ</v>
      </c>
      <c r="N13277" s="3" t="s">
        <v>30574</v>
      </c>
      <c r="O13277" s="3"/>
      <c r="P13277" s="1" t="s">
        <v>20</v>
      </c>
      <c r="R13277" s="1" t="s">
        <v>27453</v>
      </c>
      <c r="V13277" s="1" t="s">
        <v>27454</v>
      </c>
      <c r="AR13277" s="1" t="str">
        <f t="shared" si="834"/>
        <v>| [ㄩㄝˋ](ㄩㄝˋ.md) | [月](月.md) |  | yuè | [名]
1.月亮、月球。如：「新月」、「殘月」、「日月星辰」。
2.月光。唐．杜甫〈夢李白〉詩二首之一：「落月滿屋梁，猶疑照顏色。」
3.計時單位，約為月球繞行地球一周所需時間。陽曆月為大月31日，小月30日（二月除外），一年有十二個月。陰曆則以月球相位變化週期而制定，大月30日，小月29日。
4.姓。如明代有月文憲。
5.二一四部首之一。
[形]
1.圓形像月亮的。如：「月餅」。《新唐書．卷一三六．列傳．李光弼》：「治塹溝，築月城以守。」
2.每月的。如:「月會」、「月刊」、「月薪」。 |</v>
      </c>
    </row>
    <row r="13278" spans="1:44" hidden="1">
      <c r="A13278" s="1" t="s">
        <v>27455</v>
      </c>
      <c r="C13278" s="1">
        <v>1</v>
      </c>
      <c r="D13278" s="1" t="str">
        <f>"11729"</f>
        <v>11729</v>
      </c>
      <c r="E13278" s="1" t="s">
        <v>185</v>
      </c>
      <c r="F13278" s="1">
        <v>6</v>
      </c>
      <c r="G13278" s="1">
        <v>4</v>
      </c>
      <c r="H13278" s="1">
        <v>0</v>
      </c>
      <c r="I13278" s="1" t="s">
        <v>27452</v>
      </c>
      <c r="K13278" s="1" t="str">
        <f t="shared" si="836"/>
        <v>ㄩ</v>
      </c>
      <c r="L13278" s="1" t="str">
        <f t="shared" si="837"/>
        <v>ㄝ</v>
      </c>
      <c r="N13278" s="3" t="s">
        <v>30574</v>
      </c>
      <c r="O13278" s="3"/>
      <c r="P13278" s="1" t="s">
        <v>20</v>
      </c>
      <c r="R13278" s="1" t="s">
        <v>27453</v>
      </c>
      <c r="V13278" s="1" t="s">
        <v>27456</v>
      </c>
      <c r="AR13278" s="1" t="str">
        <f t="shared" si="834"/>
        <v>| [ㄩㄝˋ](ㄩㄝˋ.md) | [刖](刖.md) |  | yuè | [名]
古代一種砍斷雙腳的刑罰。《漢書．卷二三．刑法志》：「刖罪五百。」
[動]
砍斷雙腳。如：「自刖而死」。唐．元稹〈出門行〉：「其兄因獻璞，再刖不履地。」 |</v>
      </c>
    </row>
    <row r="13279" spans="1:44" hidden="1">
      <c r="A13279" s="1" t="s">
        <v>27457</v>
      </c>
      <c r="C13279" s="1">
        <v>1</v>
      </c>
      <c r="D13279" s="1" t="str">
        <f>"11730"</f>
        <v>11730</v>
      </c>
      <c r="E13279" s="1" t="s">
        <v>142</v>
      </c>
      <c r="F13279" s="1">
        <v>8</v>
      </c>
      <c r="G13279" s="1">
        <v>4</v>
      </c>
      <c r="H13279" s="1">
        <v>0</v>
      </c>
      <c r="I13279" s="1" t="s">
        <v>27452</v>
      </c>
      <c r="K13279" s="1" t="str">
        <f t="shared" si="836"/>
        <v>ㄩ</v>
      </c>
      <c r="L13279" s="1" t="str">
        <f t="shared" si="837"/>
        <v>ㄝ</v>
      </c>
      <c r="N13279" s="3" t="s">
        <v>30574</v>
      </c>
      <c r="O13279" s="3"/>
      <c r="P13279" s="1" t="s">
        <v>20</v>
      </c>
      <c r="R13279" s="1" t="s">
        <v>27453</v>
      </c>
      <c r="V13279" s="1" t="s">
        <v>27458</v>
      </c>
      <c r="AR13279" s="1" t="str">
        <f t="shared" si="834"/>
        <v>| [ㄩㄝˋ](ㄩㄝˋ.md) | [玥](玥.md) |  | yuè | [名]
古代傳說中的神珠。《集韻．入聲．月韻》：「玥，神珠也。」 |</v>
      </c>
    </row>
    <row r="13280" spans="1:44" hidden="1">
      <c r="A13280" s="1" t="s">
        <v>27459</v>
      </c>
      <c r="C13280" s="1">
        <v>1</v>
      </c>
      <c r="D13280" s="1" t="str">
        <f>"11731"</f>
        <v>11731</v>
      </c>
      <c r="E13280" s="1" t="s">
        <v>4785</v>
      </c>
      <c r="F13280" s="1">
        <v>5</v>
      </c>
      <c r="G13280" s="1">
        <v>1</v>
      </c>
      <c r="H13280" s="1">
        <v>0</v>
      </c>
      <c r="I13280" s="1" t="s">
        <v>27452</v>
      </c>
      <c r="K13280" s="1" t="str">
        <f t="shared" si="836"/>
        <v>ㄩ</v>
      </c>
      <c r="L13280" s="1" t="str">
        <f t="shared" si="837"/>
        <v>ㄝ</v>
      </c>
      <c r="N13280" s="3" t="s">
        <v>30574</v>
      </c>
      <c r="O13280" s="3"/>
      <c r="P13280" s="1" t="s">
        <v>20</v>
      </c>
      <c r="R13280" s="1" t="s">
        <v>27453</v>
      </c>
      <c r="V13280" s="1" t="s">
        <v>27460</v>
      </c>
      <c r="AR13280" s="1" t="str">
        <f t="shared" si="834"/>
        <v>| [ㄩㄝˋ](ㄩㄝˋ.md) | [戉](戉.md) |  | yuè | [名]
武器名。古代一種形狀似斧而較大的兵器。《說文解字．戉部》：「戉，大斧也。」 |</v>
      </c>
    </row>
    <row r="13281" spans="1:44" hidden="1">
      <c r="A13281" s="1" t="s">
        <v>27461</v>
      </c>
      <c r="C13281" s="1">
        <v>1</v>
      </c>
      <c r="D13281" s="1" t="str">
        <f>"11732"</f>
        <v>11732</v>
      </c>
      <c r="E13281" s="1" t="s">
        <v>4563</v>
      </c>
      <c r="F13281" s="1">
        <v>12</v>
      </c>
      <c r="G13281" s="1">
        <v>5</v>
      </c>
      <c r="H13281" s="1">
        <v>0</v>
      </c>
      <c r="I13281" s="1" t="s">
        <v>27452</v>
      </c>
      <c r="K13281" s="1" t="str">
        <f t="shared" si="836"/>
        <v>ㄩ</v>
      </c>
      <c r="L13281" s="1" t="str">
        <f t="shared" si="837"/>
        <v>ㄝ</v>
      </c>
      <c r="N13281" s="3" t="s">
        <v>30574</v>
      </c>
      <c r="O13281" s="3"/>
      <c r="P13281" s="1" t="s">
        <v>20</v>
      </c>
      <c r="R13281" s="1" t="s">
        <v>27453</v>
      </c>
      <c r="V13281" s="1" t="s">
        <v>27462</v>
      </c>
      <c r="AR13281" s="1" t="str">
        <f t="shared" si="834"/>
        <v>| [ㄩㄝˋ](ㄩㄝˋ.md) | [越](越.md) |  | yuè | [動]
1.度過、跨過。如：「翻山越嶺」、「越牆而走」。《楚辭．屈原．天問》：「阻窮西征，巖何越焉？」唐．杜甫〈自京赴奉先縣詠懷五百字〉詩：「行旅相攀援，川廣不可越。」
2.經過。《書經．召誥》：「惟二月既望，越六日，乙未，王朝步自周，則至于豐。」宋．范仲淹〈岳陽樓記〉：「越明年，政通人和，百廢具興。」
3.不按次序，超出某種範圍或常規。如：「越位」、「越俎代庖」。《易經．繫辭下》：「其稱名也，雜而不越。」《後漢書．卷七．孝桓帝紀》：「桓自宗支，越躋天祿。」
4.墜落。《左傳．成公二年》：「射其左，越于車下；射其右，斃于車中。」
5.宣揚。《國語．晉語八》：「宣其德行，順其憲則，使越于諸侯。」
[形]
悠揚。《禮記．聘義》：「叩之，其聲清越以長，其終詘然，樂。」
[名]
1.中國古代少數民族之一。主要分布於大陸地區浙江、福建、廣東一帶。也稱為「百越」、「百粵」。
2.國名。春秋時諸侯國，姒姓。建都於會稽。曾占有今江蘇、浙江及山東的一部分，後滅於楚。
3.浙江省的別名。
4.姓。如春秋時齊有越百父。
[副]
更加。如：「越大越不懂事。」元．關漢卿《拜月亭》第三折：「恰隨妹妹閑行散悶些，到池沼，陌觀絕，越教人嘆嗟。」
[助]
句首發語詞，無義。《書經．微子》：「殷遂喪，越至于今。」《漢書．卷九九．王莽傳上》：「越若翊辛丑，諸生、庶民大和會。」 |</v>
      </c>
    </row>
    <row r="13282" spans="1:44" hidden="1">
      <c r="A13282" s="1" t="s">
        <v>27463</v>
      </c>
      <c r="C13282" s="1">
        <v>1</v>
      </c>
      <c r="D13282" s="1" t="str">
        <f>"11733"</f>
        <v>11733</v>
      </c>
      <c r="E13282" s="1" t="s">
        <v>55</v>
      </c>
      <c r="F13282" s="1">
        <v>13</v>
      </c>
      <c r="G13282" s="1">
        <v>5</v>
      </c>
      <c r="H13282" s="1">
        <v>0</v>
      </c>
      <c r="I13282" s="1" t="s">
        <v>27452</v>
      </c>
      <c r="K13282" s="1" t="str">
        <f t="shared" si="836"/>
        <v>ㄩ</v>
      </c>
      <c r="L13282" s="1" t="str">
        <f t="shared" si="837"/>
        <v>ㄝ</v>
      </c>
      <c r="N13282" s="3" t="s">
        <v>30574</v>
      </c>
      <c r="O13282" s="3"/>
      <c r="P13282" s="1" t="s">
        <v>20</v>
      </c>
      <c r="R13282" s="1" t="s">
        <v>27453</v>
      </c>
      <c r="V13282" s="1" t="s">
        <v>27464</v>
      </c>
      <c r="AR13282" s="1" t="str">
        <f t="shared" si="834"/>
        <v>| [ㄩㄝˋ](ㄩㄝˋ.md) | [鉞](鉞.md) |  | yuè | [名]
武器名。形制似斧而較大，通常以金屬製成，多用作禮仗，以象徵帝王的權威，也用為刑具。同「戉」。 |</v>
      </c>
    </row>
    <row r="13283" spans="1:44" hidden="1">
      <c r="A13283" s="1" t="s">
        <v>27465</v>
      </c>
      <c r="C13283" s="1">
        <v>1</v>
      </c>
      <c r="D13283" s="1" t="str">
        <f>"11734"</f>
        <v>11734</v>
      </c>
      <c r="E13283" s="1" t="s">
        <v>139</v>
      </c>
      <c r="F13283" s="1">
        <v>16</v>
      </c>
      <c r="G13283" s="1">
        <v>12</v>
      </c>
      <c r="H13283" s="1">
        <v>0</v>
      </c>
      <c r="I13283" s="1" t="s">
        <v>27452</v>
      </c>
      <c r="K13283" s="1" t="str">
        <f t="shared" si="836"/>
        <v>ㄩ</v>
      </c>
      <c r="L13283" s="1" t="str">
        <f t="shared" si="837"/>
        <v>ㄝ</v>
      </c>
      <c r="N13283" s="3" t="s">
        <v>30574</v>
      </c>
      <c r="O13283" s="3"/>
      <c r="P13283" s="1" t="s">
        <v>20</v>
      </c>
      <c r="R13283" s="1" t="s">
        <v>27453</v>
      </c>
      <c r="V13283" s="1" t="s">
        <v>27466</v>
      </c>
      <c r="AR13283" s="1" t="str">
        <f t="shared" si="834"/>
        <v>| [ㄩㄝˋ](ㄩㄝˋ.md) | [樾](樾.md) |  | yuè | [名]
樹蔭。《玉篇．木部》：「樾，楚謂兩樹交陰之下曰樾。」《淮南子．人間》：「武王蔭暍人於樾下，左擁而右扇之，而天下懷其德。」宋．蘇軾〈中秋月寄子由〉詩三首之二：「三更歌吹罷，人影亂清樾。」 |</v>
      </c>
    </row>
    <row r="13284" spans="1:44" hidden="1">
      <c r="A13284" s="1" t="s">
        <v>13895</v>
      </c>
      <c r="C13284" s="1">
        <v>1</v>
      </c>
      <c r="D13284" s="1" t="str">
        <f>"11735"</f>
        <v>11735</v>
      </c>
      <c r="E13284" s="1" t="s">
        <v>2557</v>
      </c>
      <c r="F13284" s="1">
        <v>6</v>
      </c>
      <c r="G13284" s="1">
        <v>3</v>
      </c>
      <c r="H13284" s="1">
        <v>2</v>
      </c>
      <c r="I13284" s="1" t="s">
        <v>27452</v>
      </c>
      <c r="K13284" s="1" t="str">
        <f t="shared" si="836"/>
        <v>ㄩ</v>
      </c>
      <c r="L13284" s="1" t="str">
        <f t="shared" si="837"/>
        <v>ㄝ</v>
      </c>
      <c r="N13284" s="3" t="s">
        <v>30574</v>
      </c>
      <c r="O13284" s="3"/>
      <c r="P13284" s="1" t="s">
        <v>20</v>
      </c>
      <c r="R13284" s="1" t="s">
        <v>27453</v>
      </c>
      <c r="V13284" s="1" t="s">
        <v>27467</v>
      </c>
      <c r="W13284" s="1" t="s">
        <v>27468</v>
      </c>
      <c r="AR13284" s="1" t="str">
        <f t="shared" si="834"/>
        <v>| [ㄩㄝˋ](ㄩㄝˋ.md) | [囝](囝.md) |  | yuè | [名]
即月。唐朝武則天所造的字。同「月」。《集韻．入聲．月韻》：「月，唐武后作囝。」 |</v>
      </c>
    </row>
    <row r="13285" spans="1:44" hidden="1">
      <c r="A13285" s="1" t="s">
        <v>27469</v>
      </c>
      <c r="C13285" s="1">
        <v>1</v>
      </c>
      <c r="D13285" s="1" t="str">
        <f>"11736"</f>
        <v>11736</v>
      </c>
      <c r="E13285" s="1" t="s">
        <v>825</v>
      </c>
      <c r="F13285" s="1">
        <v>8</v>
      </c>
      <c r="G13285" s="1">
        <v>3</v>
      </c>
      <c r="H13285" s="1">
        <v>0</v>
      </c>
      <c r="I13285" s="1" t="s">
        <v>27452</v>
      </c>
      <c r="K13285" s="1" t="str">
        <f t="shared" si="836"/>
        <v>ㄩ</v>
      </c>
      <c r="L13285" s="1" t="str">
        <f t="shared" si="837"/>
        <v>ㄝ</v>
      </c>
      <c r="N13285" s="3" t="s">
        <v>30574</v>
      </c>
      <c r="O13285" s="3"/>
      <c r="P13285" s="1" t="s">
        <v>20</v>
      </c>
      <c r="R13285" s="1" t="s">
        <v>27453</v>
      </c>
      <c r="V13285" s="1" t="s">
        <v>27470</v>
      </c>
      <c r="AR13285" s="1" t="str">
        <f t="shared" si="834"/>
        <v>| [ㄩㄝˋ](ㄩㄝˋ.md) | [礿](礿.md) |  | yuè | [名]
古代宗廟祭祀的名稱。夏、商二代春祭稱為「礿」，周代則改稱夏祭。《禮記．王制》：「天子諸侯宗廟之祭，春曰礿，夏曰禘，秋曰嘗，冬曰烝。」漢．鄭玄．注：「此蓋夏殷之祭名。周則改之，春曰祠，夏曰礿。」 |</v>
      </c>
    </row>
    <row r="13286" spans="1:44" hidden="1">
      <c r="A13286" s="1" t="s">
        <v>27471</v>
      </c>
      <c r="C13286" s="1">
        <v>1</v>
      </c>
      <c r="D13286" s="1" t="str">
        <f>"11737"</f>
        <v>11737</v>
      </c>
      <c r="E13286" s="1" t="s">
        <v>190</v>
      </c>
      <c r="F13286" s="1">
        <v>8</v>
      </c>
      <c r="G13286" s="1">
        <v>5</v>
      </c>
      <c r="H13286" s="1">
        <v>0</v>
      </c>
      <c r="I13286" s="1" t="s">
        <v>27452</v>
      </c>
      <c r="K13286" s="1" t="str">
        <f t="shared" si="836"/>
        <v>ㄩ</v>
      </c>
      <c r="L13286" s="1" t="str">
        <f t="shared" si="837"/>
        <v>ㄝ</v>
      </c>
      <c r="N13286" s="3" t="s">
        <v>30574</v>
      </c>
      <c r="O13286" s="3"/>
      <c r="P13286" s="1" t="s">
        <v>20</v>
      </c>
      <c r="R13286" s="1" t="s">
        <v>27453</v>
      </c>
      <c r="V13286" s="1" t="s">
        <v>27472</v>
      </c>
      <c r="AR13286" s="1" t="str">
        <f t="shared" si="834"/>
        <v>| [ㄩㄝˋ](ㄩㄝˋ.md) | [岳](岳.md) |  | yuè | [名]
1.高大的山。同「嶽」。《文選．孔稚珪．北山移文》：「偶吹草堂，濫巾北岳。」
2.對妻子父母長輩的稱呼。如：「岳父」、「岳母」。《聊齋志異．卷二．水莽草》：「既婿矣，而不拜岳，妾復何心？」
3.姓。如宋代有岳飛。 |</v>
      </c>
    </row>
    <row r="13287" spans="1:44" hidden="1">
      <c r="A13287" s="1" t="s">
        <v>27473</v>
      </c>
      <c r="C13287" s="1">
        <v>1</v>
      </c>
      <c r="D13287" s="1" t="str">
        <f>"11738"</f>
        <v>11738</v>
      </c>
      <c r="E13287" s="1" t="s">
        <v>71</v>
      </c>
      <c r="F13287" s="1">
        <v>10</v>
      </c>
      <c r="G13287" s="1">
        <v>3</v>
      </c>
      <c r="H13287" s="1">
        <v>0</v>
      </c>
      <c r="I13287" s="1" t="s">
        <v>27452</v>
      </c>
      <c r="K13287" s="1" t="str">
        <f t="shared" si="836"/>
        <v>ㄩ</v>
      </c>
      <c r="L13287" s="1" t="str">
        <f t="shared" si="837"/>
        <v>ㄝ</v>
      </c>
      <c r="N13287" s="3" t="s">
        <v>30574</v>
      </c>
      <c r="O13287" s="3"/>
      <c r="P13287" s="1" t="s">
        <v>20</v>
      </c>
      <c r="R13287" s="1" t="s">
        <v>27453</v>
      </c>
      <c r="V13287" s="1" t="s">
        <v>27474</v>
      </c>
      <c r="AR13287" s="1" t="str">
        <f t="shared" si="834"/>
        <v>| [ㄩㄝˋ](ㄩㄝˋ.md) | [軏](軏.md) |  | yuè | [名]
小車轅頭上連接橫木的關鍵。《論語．為政》：「大車無輗，小車無軏，其何以行之哉？」 |</v>
      </c>
    </row>
    <row r="13288" spans="1:44" hidden="1">
      <c r="A13288" s="1" t="s">
        <v>27475</v>
      </c>
      <c r="C13288" s="1">
        <v>1</v>
      </c>
      <c r="D13288" s="1" t="str">
        <f>"11739"</f>
        <v>11739</v>
      </c>
      <c r="E13288" s="1" t="s">
        <v>250</v>
      </c>
      <c r="F13288" s="1">
        <v>10</v>
      </c>
      <c r="G13288" s="1">
        <v>7</v>
      </c>
      <c r="H13288" s="1">
        <v>0</v>
      </c>
      <c r="I13288" s="1" t="s">
        <v>27452</v>
      </c>
      <c r="K13288" s="1" t="str">
        <f t="shared" si="836"/>
        <v>ㄩ</v>
      </c>
      <c r="L13288" s="1" t="str">
        <f t="shared" si="837"/>
        <v>ㄝ</v>
      </c>
      <c r="N13288" s="3" t="s">
        <v>30574</v>
      </c>
      <c r="O13288" s="3"/>
      <c r="P13288" s="1" t="s">
        <v>20</v>
      </c>
      <c r="R13288" s="1" t="s">
        <v>27453</v>
      </c>
      <c r="V13288" s="1" t="s">
        <v>27476</v>
      </c>
      <c r="AR13288" s="1" t="str">
        <f t="shared" si="834"/>
        <v>| [ㄩㄝˋ](ㄩㄝˋ.md) | [悅](悅.md) |  | yuè | [形]_x000D_
愉快、高興。如：「和顏悅色」。《孫子．火攻》：「怒可以復喜，慍可以復悅。」《喻世明言．卷四〇．沈小霞相會出師表》：「訪知其事，心中甚是不悅。」_x000D_
[動]_x000D_
1.使愉快。漢．劉向《說苑．卷一九．脩文》：「嗜慾好惡者，所以悅心也。」宋．蘇軾〈墨君堂記〉：「君又疏簡抗勁，無聲色臭味，可以娛悅人之耳目鼻口，則與可之厚君也，其必有以賢君矣。」清．徐珂《清稗類鈔．戲劇類．徽調戲》：「是調聆音易解，高朗悅人，都人嗜者日多。」_x000D_
2.喜愛。《陳書．卷一．高祖本紀上》：「出為長城令，悅其山水，遂家焉。」明．葉憲祖《易水寒》第一折：「常言道：『女為悅己容，士為知己死。』」_x000D_
3.服從。《爾雅．釋詁》：「悅，服也。」《新唐書．卷一七五．列傳．柏耆》：「賚未至，舉軍譁議，穆宗遣耆論天子意，眾乃信悅。」_x000D_
[名]_x000D_
姓。如漢代有悅綰。 |</v>
      </c>
    </row>
    <row r="13289" spans="1:44" hidden="1">
      <c r="A13289" s="1" t="s">
        <v>21507</v>
      </c>
      <c r="C13289" s="1">
        <v>1</v>
      </c>
      <c r="D13289" s="1" t="str">
        <f>"11740"</f>
        <v>11740</v>
      </c>
      <c r="E13289" s="1" t="s">
        <v>331</v>
      </c>
      <c r="F13289" s="1">
        <v>14</v>
      </c>
      <c r="G13289" s="1">
        <v>7</v>
      </c>
      <c r="H13289" s="1">
        <v>3</v>
      </c>
      <c r="I13289" s="1" t="s">
        <v>27452</v>
      </c>
      <c r="K13289" s="1" t="str">
        <f t="shared" si="836"/>
        <v>ㄩ</v>
      </c>
      <c r="L13289" s="1" t="str">
        <f t="shared" si="837"/>
        <v>ㄝ</v>
      </c>
      <c r="N13289" s="3" t="s">
        <v>30574</v>
      </c>
      <c r="O13289" s="3"/>
      <c r="P13289" s="1" t="s">
        <v>20</v>
      </c>
      <c r="R13289" s="1" t="s">
        <v>27453</v>
      </c>
      <c r="V13289" s="1" t="s">
        <v>27477</v>
      </c>
      <c r="W13289" s="1" t="s">
        <v>27478</v>
      </c>
      <c r="AR13289" s="1" t="str">
        <f t="shared" si="834"/>
        <v>| [ㄩㄝˋ](ㄩㄝˋ.md) | [說](說.md) |  | yuè | [動]_x000D_
喜悅、高興。通「悅」。《詩經．召南．草蟲》：「未見君子，憂心惙惙；亦既見止，亦既覯止，我心則說。」《論語．學而》：「學而時習之，不亦說乎！」 |</v>
      </c>
    </row>
    <row r="13290" spans="1:44" hidden="1">
      <c r="A13290" s="1" t="s">
        <v>27479</v>
      </c>
      <c r="C13290" s="1">
        <v>1</v>
      </c>
      <c r="D13290" s="1" t="str">
        <f>"11741"</f>
        <v>11741</v>
      </c>
      <c r="E13290" s="1" t="s">
        <v>709</v>
      </c>
      <c r="F13290" s="1">
        <v>15</v>
      </c>
      <c r="G13290" s="1">
        <v>7</v>
      </c>
      <c r="H13290" s="1">
        <v>0</v>
      </c>
      <c r="I13290" s="1" t="s">
        <v>27452</v>
      </c>
      <c r="K13290" s="1" t="str">
        <f t="shared" si="836"/>
        <v>ㄩ</v>
      </c>
      <c r="L13290" s="1" t="str">
        <f t="shared" si="837"/>
        <v>ㄝ</v>
      </c>
      <c r="N13290" s="3" t="s">
        <v>30574</v>
      </c>
      <c r="O13290" s="3"/>
      <c r="P13290" s="1" t="s">
        <v>20</v>
      </c>
      <c r="R13290" s="1" t="s">
        <v>27453</v>
      </c>
      <c r="V13290" s="1" t="s">
        <v>27480</v>
      </c>
      <c r="AR13290" s="1" t="str">
        <f t="shared" si="834"/>
        <v>| [ㄩㄝˋ](ㄩㄝˋ.md) | [閱](閱.md) |  | yuè | [動]
1.檢驗、視察。如：「閱兵」、「巡閱」、「檢閱」。《公羊傳．桓公六年》：「秋八月壬午大閱。大閱者何？簡車徒也。」唐．白居易〈太和戊申歲大有年詔賜百寮出城觀稼謹書盛事以俟采〉詩：「清晨承詔命，豐歲閱田閭。」
2.經歷。《史記．卷一〇．孝文本紀》：「楚王，季父也。春秋高，閱天下之義理多矣，明於國家之大體。」《漢書．卷八一．孔光傳》：「旬歲間閱三相，議者皆以為不及光也。」
3.看。如：「閱報」、「閱書」。唐．杜甫〈贈左僕射鄭國公嚴公武〉詩：「閱書百紙盡，落筆四座驚。」 |</v>
      </c>
    </row>
    <row r="13291" spans="1:44" hidden="1">
      <c r="A13291" s="1" t="s">
        <v>27481</v>
      </c>
      <c r="C13291" s="1">
        <v>1</v>
      </c>
      <c r="D13291" s="1" t="str">
        <f>"11742"</f>
        <v>11742</v>
      </c>
      <c r="E13291" s="1" t="s">
        <v>46</v>
      </c>
      <c r="F13291" s="1">
        <v>13</v>
      </c>
      <c r="G13291" s="1">
        <v>7</v>
      </c>
      <c r="H13291" s="1">
        <v>0</v>
      </c>
      <c r="I13291" s="1" t="s">
        <v>27452</v>
      </c>
      <c r="K13291" s="1" t="str">
        <f t="shared" si="836"/>
        <v>ㄩ</v>
      </c>
      <c r="L13291" s="1" t="str">
        <f t="shared" si="837"/>
        <v>ㄝ</v>
      </c>
      <c r="N13291" s="3" t="s">
        <v>30574</v>
      </c>
      <c r="O13291" s="3"/>
      <c r="P13291" s="1" t="s">
        <v>20</v>
      </c>
      <c r="R13291" s="1" t="s">
        <v>27453</v>
      </c>
      <c r="V13291" s="1" t="s">
        <v>27482</v>
      </c>
      <c r="AR13291" s="1" t="str">
        <f t="shared" si="834"/>
        <v>| [ㄩㄝˋ](ㄩㄝˋ.md) | [粵](粵.md) |  | yuè | [助]
1.句首發語詞，無義。《漢書．卷八四．翟方進傳》：「粵其聞日，宗室之儁有四百人，民獻儀九萬夫，予敬以終於此謀繼嗣圖功。」
2.句中助詞，無義。《漢書．卷一〇〇．敘傳上》：「尚粵其幾，淪神域兮！」《晉書．卷七九．謝安傳》：「石奴以褊濁興累，雖粵微纇，猶稱名實。」
[名]
廣東省的簡稱。 |</v>
      </c>
    </row>
    <row r="13292" spans="1:44" hidden="1">
      <c r="A13292" s="1" t="s">
        <v>7853</v>
      </c>
      <c r="C13292" s="1">
        <v>1</v>
      </c>
      <c r="D13292" s="1" t="str">
        <f>"11743"</f>
        <v>11743</v>
      </c>
      <c r="E13292" s="1" t="s">
        <v>139</v>
      </c>
      <c r="F13292" s="1">
        <v>15</v>
      </c>
      <c r="G13292" s="1">
        <v>11</v>
      </c>
      <c r="H13292" s="1">
        <v>1</v>
      </c>
      <c r="I13292" s="1" t="s">
        <v>27452</v>
      </c>
      <c r="K13292" s="1" t="str">
        <f t="shared" si="836"/>
        <v>ㄩ</v>
      </c>
      <c r="L13292" s="1" t="str">
        <f t="shared" si="837"/>
        <v>ㄝ</v>
      </c>
      <c r="N13292" s="3" t="s">
        <v>30574</v>
      </c>
      <c r="O13292" s="3"/>
      <c r="P13292" s="1" t="s">
        <v>20</v>
      </c>
      <c r="R13292" s="1" t="s">
        <v>27453</v>
      </c>
      <c r="V13292" s="1" t="s">
        <v>27483</v>
      </c>
      <c r="W13292" s="1" t="s">
        <v>27484</v>
      </c>
      <c r="AR13292" s="1" t="str">
        <f t="shared" si="834"/>
        <v>| [ㄩㄝˋ](ㄩㄝˋ.md) | [樂](樂.md) |  | yuè | [名]
1.有規律而和諧動人的聲音。如：「音樂」、「奏樂」、「軍樂」。《論語．子路》：「事不成，則禮樂不興。」
2.六經之一。即樂經，相傳亡於秦火。如：「詩、書、禮、樂、易、春秋，謂之六經。」
3.姓。如戰國時燕國有樂毅。 |</v>
      </c>
    </row>
    <row r="13293" spans="1:44" hidden="1">
      <c r="A13293" s="1" t="s">
        <v>27485</v>
      </c>
      <c r="C13293" s="1">
        <v>1</v>
      </c>
      <c r="D13293" s="1" t="str">
        <f>"11744"</f>
        <v>11744</v>
      </c>
      <c r="E13293" s="1" t="s">
        <v>190</v>
      </c>
      <c r="F13293" s="1">
        <v>17</v>
      </c>
      <c r="G13293" s="1">
        <v>14</v>
      </c>
      <c r="H13293" s="1">
        <v>0</v>
      </c>
      <c r="I13293" s="1" t="s">
        <v>27452</v>
      </c>
      <c r="K13293" s="1" t="str">
        <f t="shared" si="836"/>
        <v>ㄩ</v>
      </c>
      <c r="L13293" s="1" t="str">
        <f t="shared" si="837"/>
        <v>ㄝ</v>
      </c>
      <c r="N13293" s="3" t="s">
        <v>30574</v>
      </c>
      <c r="O13293" s="3"/>
      <c r="P13293" s="1" t="s">
        <v>20</v>
      </c>
      <c r="R13293" s="1" t="s">
        <v>27453</v>
      </c>
      <c r="V13293" s="1" t="s">
        <v>27486</v>
      </c>
      <c r="AR13293" s="1" t="str">
        <f t="shared" si="834"/>
        <v>| [ㄩㄝˋ](ㄩㄝˋ.md) | [嶽](嶽.md) |  | yuè | [名]
1.高山或山的最高峰。如：「三山五嶽」。唐．李白〈古風〉詩五九首之四：「藥物秘海嶽，採鉛青溪濱。」宋．陸游〈秋夜將曉出籬門迎涼有感〉詩：「三萬里河東入海，五千仞嶽上摩天。」
2.姓。如明代有嶽崇。 |</v>
      </c>
    </row>
    <row r="13294" spans="1:44" hidden="1">
      <c r="A13294" s="1" t="s">
        <v>27487</v>
      </c>
      <c r="C13294" s="1">
        <v>1</v>
      </c>
      <c r="D13294" s="1" t="str">
        <f>"11745"</f>
        <v>11745</v>
      </c>
      <c r="E13294" s="1" t="s">
        <v>272</v>
      </c>
      <c r="F13294" s="1">
        <v>25</v>
      </c>
      <c r="G13294" s="1">
        <v>14</v>
      </c>
      <c r="H13294" s="1">
        <v>0</v>
      </c>
      <c r="I13294" s="1" t="s">
        <v>27452</v>
      </c>
      <c r="K13294" s="1" t="str">
        <f t="shared" si="836"/>
        <v>ㄩ</v>
      </c>
      <c r="L13294" s="1" t="str">
        <f t="shared" si="837"/>
        <v>ㄝ</v>
      </c>
      <c r="N13294" s="3" t="s">
        <v>30574</v>
      </c>
      <c r="O13294" s="3"/>
      <c r="P13294" s="1" t="s">
        <v>20</v>
      </c>
      <c r="R13294" s="1" t="s">
        <v>27453</v>
      </c>
      <c r="V13294" s="1" t="s">
        <v>19067</v>
      </c>
      <c r="AR13294" s="1" t="str">
        <f t="shared" si="834"/>
        <v>| [ㄩㄝˋ](ㄩㄝˋ.md) | [鸑](鸑.md) |  | yuè | 參見「鸑鷟」條。 |</v>
      </c>
    </row>
    <row r="13295" spans="1:44" hidden="1">
      <c r="A13295" s="1" t="s">
        <v>27488</v>
      </c>
      <c r="C13295" s="1">
        <v>1</v>
      </c>
      <c r="D13295" s="1" t="str">
        <f>"11746"</f>
        <v>11746</v>
      </c>
      <c r="E13295" s="1" t="s">
        <v>11513</v>
      </c>
      <c r="F13295" s="1">
        <v>17</v>
      </c>
      <c r="G13295" s="1">
        <v>0</v>
      </c>
      <c r="H13295" s="1">
        <v>0</v>
      </c>
      <c r="I13295" s="1" t="s">
        <v>27452</v>
      </c>
      <c r="K13295" s="1" t="str">
        <f t="shared" si="836"/>
        <v>ㄩ</v>
      </c>
      <c r="L13295" s="1" t="str">
        <f t="shared" si="837"/>
        <v>ㄝ</v>
      </c>
      <c r="N13295" s="3" t="s">
        <v>30574</v>
      </c>
      <c r="O13295" s="3"/>
      <c r="P13295" s="1" t="s">
        <v>20</v>
      </c>
      <c r="R13295" s="1" t="s">
        <v>27453</v>
      </c>
      <c r="V13295" s="1" t="s">
        <v>27489</v>
      </c>
      <c r="AR13295" s="1" t="str">
        <f t="shared" si="834"/>
        <v>| [ㄩㄝˋ](ㄩㄝˋ.md) | [龠](龠.md) |  | yuè | [名]
1.樂器名，吹管樂器。通常用竹管編成，形狀如笛而稍短，有三孔、六孔等。也作「籥」。
2.量詞。古代計算容積的單位。《漢書．卷二一．律曆志上》：「量者，龠、合、升、斗、斛也，所以量多少也。 」清．王念孫《廣雅疏證．卷八上．釋器》：「龠二曰合，合十曰升。」
3.二一四部首之一。 |</v>
      </c>
    </row>
    <row r="13296" spans="1:44" hidden="1">
      <c r="A13296" s="1" t="s">
        <v>25574</v>
      </c>
      <c r="C13296" s="1">
        <v>1</v>
      </c>
      <c r="D13296" s="1" t="str">
        <f>"11747"</f>
        <v>11747</v>
      </c>
      <c r="E13296" s="1" t="s">
        <v>129</v>
      </c>
      <c r="F13296" s="1">
        <v>20</v>
      </c>
      <c r="G13296" s="1">
        <v>17</v>
      </c>
      <c r="H13296" s="1">
        <v>1</v>
      </c>
      <c r="I13296" s="1" t="s">
        <v>27452</v>
      </c>
      <c r="K13296" s="1" t="str">
        <f t="shared" si="836"/>
        <v>ㄩ</v>
      </c>
      <c r="L13296" s="1" t="str">
        <f t="shared" si="837"/>
        <v>ㄝ</v>
      </c>
      <c r="N13296" s="3" t="s">
        <v>30574</v>
      </c>
      <c r="O13296" s="3"/>
      <c r="P13296" s="1" t="s">
        <v>20</v>
      </c>
      <c r="R13296" s="1" t="s">
        <v>27453</v>
      </c>
      <c r="V13296" s="1" t="s">
        <v>27490</v>
      </c>
      <c r="W13296" s="1" t="s">
        <v>27491</v>
      </c>
      <c r="AR13296" s="1" t="str">
        <f t="shared" si="834"/>
        <v>| [ㄩㄝˋ](ㄩㄝˋ.md) | [瀹](瀹.md) |  | yuè | [動]
1.浸漬。《說文解字．水部》：「瀹，漬也。」《儀禮．既夕禮》：「菅筲三，其實皆瀹。」唐．賈公彥．疏：「筲用菅草，黍稷皆淹而漬之。」
2.煮。《玉篇．水部》：「瀹，煮也，內菜湯中而出也。」唐．李洞〈和曹監春晴見寄〉詩：「蘭臺架列排書目，顧洘香浮瀹茗花。」宋．蘇軾〈超然臺記〉：「擷園蔬，取池魚，釀秫酒，瀹脫粟而食之曰：『樂哉遊乎！』」
3.疏濬、疏通。《孟子．滕文公上》：「禹疏九河，瀹濟漯而注諸海。」《明史．卷八五．河渠志三》：「淮、揚諸水所匯，徐、兗河流所經，疏瀹決排，繄人力是繫，故閘、河、湖於轉漕尤急。」 |</v>
      </c>
    </row>
    <row r="13297" spans="1:44" hidden="1">
      <c r="A13297" s="1" t="s">
        <v>25576</v>
      </c>
      <c r="C13297" s="1">
        <v>1</v>
      </c>
      <c r="D13297" s="1" t="str">
        <f>"11748"</f>
        <v>11748</v>
      </c>
      <c r="E13297" s="1" t="s">
        <v>336</v>
      </c>
      <c r="F13297" s="1">
        <v>21</v>
      </c>
      <c r="G13297" s="1">
        <v>17</v>
      </c>
      <c r="H13297" s="1">
        <v>1</v>
      </c>
      <c r="I13297" s="1" t="s">
        <v>27452</v>
      </c>
      <c r="K13297" s="1" t="str">
        <f t="shared" si="836"/>
        <v>ㄩ</v>
      </c>
      <c r="L13297" s="1" t="str">
        <f t="shared" si="837"/>
        <v>ㄝ</v>
      </c>
      <c r="N13297" s="3" t="s">
        <v>30574</v>
      </c>
      <c r="O13297" s="3"/>
      <c r="P13297" s="1" t="s">
        <v>20</v>
      </c>
      <c r="R13297" s="1" t="s">
        <v>27453</v>
      </c>
      <c r="V13297" s="1" t="s">
        <v>27492</v>
      </c>
      <c r="W13297" s="1" t="s">
        <v>27493</v>
      </c>
      <c r="AR13297" s="1" t="str">
        <f t="shared" si="834"/>
        <v>| [ㄩㄝˋ](ㄩㄝˋ.md) | [爚](爚.md) |  | yuè | [名]
火光。《說文解字．火部》：「爚，火光也。」《史記．卷八四．屈原賈生傳》：「彌融爚以隱處兮，夫豈從螘與蛭螾。」三國魏．嵇康〈琴賦〉：「華容灼爚，發采揚明，何其麗也。」
[形]
光亮鮮明。《文選．何晏．景福殿賦》：「光明熠爚，文彩璘班。」 |</v>
      </c>
    </row>
    <row r="13298" spans="1:44" hidden="1">
      <c r="A13298" s="1" t="s">
        <v>27494</v>
      </c>
      <c r="C13298" s="1">
        <v>1</v>
      </c>
      <c r="D13298" s="1" t="str">
        <f>"11749"</f>
        <v>11749</v>
      </c>
      <c r="E13298" s="1" t="s">
        <v>825</v>
      </c>
      <c r="F13298" s="1">
        <v>22</v>
      </c>
      <c r="G13298" s="1">
        <v>17</v>
      </c>
      <c r="H13298" s="1">
        <v>0</v>
      </c>
      <c r="I13298" s="1" t="s">
        <v>27452</v>
      </c>
      <c r="K13298" s="1" t="str">
        <f t="shared" si="836"/>
        <v>ㄩ</v>
      </c>
      <c r="L13298" s="1" t="str">
        <f t="shared" si="837"/>
        <v>ㄝ</v>
      </c>
      <c r="N13298" s="3" t="s">
        <v>30574</v>
      </c>
      <c r="O13298" s="3"/>
      <c r="P13298" s="1" t="s">
        <v>20</v>
      </c>
      <c r="R13298" s="1" t="s">
        <v>27453</v>
      </c>
      <c r="V13298" s="1" t="s">
        <v>27495</v>
      </c>
      <c r="AR13298" s="1" t="str">
        <f t="shared" si="834"/>
        <v>| [ㄩㄝˋ](ㄩㄝˋ.md) | [禴](禴.md) |  | yuè | [名]
古代宗廟祭祀的名稱。夏、商二代為春祭，周代則改稱夏祭。同「礿」。《詩經．小雅．天保》：「禴祠烝嘗，于公先王。」漢．毛亨．傳：「春曰祠，夏曰禴，秋曰嘗，冬曰烝。」 |</v>
      </c>
    </row>
    <row r="13299" spans="1:44" hidden="1">
      <c r="A13299" s="1" t="s">
        <v>27496</v>
      </c>
      <c r="C13299" s="1">
        <v>1</v>
      </c>
      <c r="D13299" s="1" t="str">
        <f>"11750"</f>
        <v>11750</v>
      </c>
      <c r="E13299" s="1" t="s">
        <v>49</v>
      </c>
      <c r="F13299" s="1">
        <v>23</v>
      </c>
      <c r="G13299" s="1">
        <v>17</v>
      </c>
      <c r="H13299" s="1">
        <v>0</v>
      </c>
      <c r="I13299" s="1" t="s">
        <v>27452</v>
      </c>
      <c r="K13299" s="1" t="str">
        <f t="shared" si="836"/>
        <v>ㄩ</v>
      </c>
      <c r="L13299" s="1" t="str">
        <f t="shared" si="837"/>
        <v>ㄝ</v>
      </c>
      <c r="N13299" s="3" t="s">
        <v>30574</v>
      </c>
      <c r="O13299" s="3"/>
      <c r="P13299" s="1" t="s">
        <v>20</v>
      </c>
      <c r="R13299" s="1" t="s">
        <v>27453</v>
      </c>
      <c r="V13299" s="1" t="s">
        <v>27497</v>
      </c>
      <c r="AR13299" s="1" t="str">
        <f t="shared" si="834"/>
        <v>| [ㄩㄝˋ](ㄩㄝˋ.md) | [籥](籥.md) |  | yuè | [名]
1.古代孩童習字用的竹片，可以擦拭再寫。《說文解字．竹部》：「籥，書僮竹笘也。」清．段玉裁．注：「籥亦謂之觚。蓋以白墡染之，可拭去再書者。」
2.樂器名，吹管樂器。為遠古短管形竹製簧管樂器，中國最早的竹樂器之一。形制似笛，有三孔或六孔之分。通「龠」。 |</v>
      </c>
    </row>
    <row r="13300" spans="1:44" hidden="1">
      <c r="A13300" s="1" t="s">
        <v>25578</v>
      </c>
      <c r="C13300" s="1">
        <v>1</v>
      </c>
      <c r="D13300" s="1" t="str">
        <f>"11751"</f>
        <v>11751</v>
      </c>
      <c r="E13300" s="1" t="s">
        <v>55</v>
      </c>
      <c r="F13300" s="1">
        <v>25</v>
      </c>
      <c r="G13300" s="1">
        <v>17</v>
      </c>
      <c r="H13300" s="1">
        <v>2</v>
      </c>
      <c r="I13300" s="1" t="s">
        <v>27452</v>
      </c>
      <c r="K13300" s="1" t="str">
        <f t="shared" si="836"/>
        <v>ㄩ</v>
      </c>
      <c r="L13300" s="1" t="str">
        <f t="shared" si="837"/>
        <v>ㄝ</v>
      </c>
      <c r="N13300" s="3" t="s">
        <v>30574</v>
      </c>
      <c r="O13300" s="3"/>
      <c r="P13300" s="1" t="s">
        <v>186</v>
      </c>
      <c r="R13300" s="1" t="s">
        <v>27453</v>
      </c>
      <c r="V13300" s="1" t="s">
        <v>206</v>
      </c>
      <c r="W13300" s="1" t="s">
        <v>27498</v>
      </c>
      <c r="AR13300" s="1" t="str">
        <f t="shared" si="834"/>
        <v>| [ㄩㄝˋ](ㄩㄝˋ.md) | [鑰](鑰.md) |  | yuè | (一)之讀音。 |</v>
      </c>
    </row>
    <row r="13301" spans="1:44" hidden="1">
      <c r="A13301" s="1" t="s">
        <v>25565</v>
      </c>
      <c r="C13301" s="1">
        <v>1</v>
      </c>
      <c r="D13301" s="1" t="str">
        <f>"11752"</f>
        <v>11752</v>
      </c>
      <c r="E13301" s="1" t="s">
        <v>336</v>
      </c>
      <c r="F13301" s="1">
        <v>18</v>
      </c>
      <c r="G13301" s="1">
        <v>14</v>
      </c>
      <c r="H13301" s="1">
        <v>2</v>
      </c>
      <c r="I13301" s="1" t="s">
        <v>27452</v>
      </c>
      <c r="K13301" s="1" t="str">
        <f t="shared" si="836"/>
        <v>ㄩ</v>
      </c>
      <c r="L13301" s="1" t="str">
        <f t="shared" si="837"/>
        <v>ㄝ</v>
      </c>
      <c r="N13301" s="3" t="s">
        <v>30574</v>
      </c>
      <c r="O13301" s="3"/>
      <c r="P13301" s="1" t="s">
        <v>20</v>
      </c>
      <c r="R13301" s="1" t="s">
        <v>27453</v>
      </c>
      <c r="V13301" s="1" t="s">
        <v>27499</v>
      </c>
      <c r="W13301" s="1" t="s">
        <v>27500</v>
      </c>
      <c r="AR13301" s="1" t="str">
        <f t="shared" si="834"/>
        <v>| [ㄩㄝˋ](ㄩㄝˋ.md) | [燿](燿.md) |  | yuè | [動]
銷鎔。《漢書．卷三〇．藝文志》：「後世燿金為刃，割革為甲，器械甚備。」 |</v>
      </c>
    </row>
    <row r="13302" spans="1:44" hidden="1">
      <c r="A13302" s="1" t="s">
        <v>25568</v>
      </c>
      <c r="C13302" s="1">
        <v>1</v>
      </c>
      <c r="D13302" s="1" t="str">
        <f>"11753"</f>
        <v>11753</v>
      </c>
      <c r="E13302" s="1" t="s">
        <v>646</v>
      </c>
      <c r="F13302" s="1">
        <v>18</v>
      </c>
      <c r="G13302" s="1">
        <v>14</v>
      </c>
      <c r="H13302" s="1">
        <v>2</v>
      </c>
      <c r="I13302" s="1" t="s">
        <v>27452</v>
      </c>
      <c r="K13302" s="1" t="str">
        <f t="shared" si="836"/>
        <v>ㄩ</v>
      </c>
      <c r="L13302" s="1" t="str">
        <f t="shared" si="837"/>
        <v>ㄝ</v>
      </c>
      <c r="N13302" s="3" t="s">
        <v>30574</v>
      </c>
      <c r="O13302" s="3"/>
      <c r="P13302" s="1" t="s">
        <v>110</v>
      </c>
      <c r="R13302" s="1" t="s">
        <v>27453</v>
      </c>
      <c r="V13302" s="1" t="s">
        <v>111</v>
      </c>
      <c r="W13302" s="1" t="s">
        <v>27501</v>
      </c>
      <c r="AR13302" s="1" t="str">
        <f t="shared" si="834"/>
        <v>| [ㄩㄝˋ](ㄩㄝˋ.md) | [曜](曜.md) |  | yuè | (一)之又音。 |</v>
      </c>
    </row>
    <row r="13303" spans="1:44" hidden="1">
      <c r="A13303" s="1" t="s">
        <v>25571</v>
      </c>
      <c r="C13303" s="1">
        <v>1</v>
      </c>
      <c r="D13303" s="1" t="str">
        <f>"11754"</f>
        <v>11754</v>
      </c>
      <c r="E13303" s="1" t="s">
        <v>2271</v>
      </c>
      <c r="F13303" s="1">
        <v>20</v>
      </c>
      <c r="G13303" s="1">
        <v>14</v>
      </c>
      <c r="H13303" s="1">
        <v>2</v>
      </c>
      <c r="I13303" s="1" t="s">
        <v>27452</v>
      </c>
      <c r="K13303" s="1" t="str">
        <f t="shared" si="836"/>
        <v>ㄩ</v>
      </c>
      <c r="L13303" s="1" t="str">
        <f t="shared" si="837"/>
        <v>ㄝ</v>
      </c>
      <c r="N13303" s="3" t="s">
        <v>30574</v>
      </c>
      <c r="O13303" s="3"/>
      <c r="P13303" s="1" t="s">
        <v>110</v>
      </c>
      <c r="R13303" s="1" t="s">
        <v>27453</v>
      </c>
      <c r="V13303" s="1" t="s">
        <v>111</v>
      </c>
      <c r="W13303" s="1" t="s">
        <v>27502</v>
      </c>
      <c r="AR13303" s="1" t="str">
        <f t="shared" si="834"/>
        <v>| [ㄩㄝˋ](ㄩㄝˋ.md) | [耀](耀.md) |  | yuè | (一)之又音。 |</v>
      </c>
    </row>
    <row r="13304" spans="1:44" hidden="1">
      <c r="A13304" s="1" t="s">
        <v>6506</v>
      </c>
      <c r="C13304" s="1">
        <v>1</v>
      </c>
      <c r="D13304" s="1" t="str">
        <f>"11755"</f>
        <v>11755</v>
      </c>
      <c r="E13304" s="1" t="s">
        <v>4563</v>
      </c>
      <c r="F13304" s="1">
        <v>21</v>
      </c>
      <c r="G13304" s="1">
        <v>14</v>
      </c>
      <c r="H13304" s="1">
        <v>2</v>
      </c>
      <c r="I13304" s="1" t="s">
        <v>27452</v>
      </c>
      <c r="K13304" s="1" t="str">
        <f t="shared" si="836"/>
        <v>ㄩ</v>
      </c>
      <c r="L13304" s="1" t="str">
        <f t="shared" si="837"/>
        <v>ㄝ</v>
      </c>
      <c r="N13304" s="3" t="s">
        <v>30574</v>
      </c>
      <c r="O13304" s="3"/>
      <c r="P13304" s="1" t="s">
        <v>20</v>
      </c>
      <c r="R13304" s="1" t="s">
        <v>27453</v>
      </c>
      <c r="V13304" s="1" t="s">
        <v>27503</v>
      </c>
      <c r="W13304" s="1" t="s">
        <v>27504</v>
      </c>
      <c r="AR13304" s="1" t="str">
        <f t="shared" si="834"/>
        <v>| [ㄩㄝˋ](ㄩㄝˋ.md) | [趯](趯.md) |  | yuè | [動]
跳躍。《說文解字．走部》：「趯，躍也。」《漢書．卷七五．李尋傳》：「涌趯邪陰，湛溺太陽。」 |</v>
      </c>
    </row>
    <row r="13305" spans="1:44" hidden="1">
      <c r="A13305" s="1" t="s">
        <v>27505</v>
      </c>
      <c r="C13305" s="1">
        <v>1</v>
      </c>
      <c r="D13305" s="1" t="str">
        <f>"11756"</f>
        <v>11756</v>
      </c>
      <c r="E13305" s="1" t="s">
        <v>77</v>
      </c>
      <c r="F13305" s="1">
        <v>21</v>
      </c>
      <c r="G13305" s="1">
        <v>14</v>
      </c>
      <c r="H13305" s="1">
        <v>0</v>
      </c>
      <c r="I13305" s="1" t="s">
        <v>27452</v>
      </c>
      <c r="K13305" s="1" t="str">
        <f t="shared" si="836"/>
        <v>ㄩ</v>
      </c>
      <c r="L13305" s="1" t="str">
        <f t="shared" si="837"/>
        <v>ㄝ</v>
      </c>
      <c r="N13305" s="3" t="s">
        <v>30574</v>
      </c>
      <c r="O13305" s="3"/>
      <c r="P13305" s="1" t="s">
        <v>20</v>
      </c>
      <c r="R13305" s="1" t="s">
        <v>27453</v>
      </c>
      <c r="V13305" s="1" t="s">
        <v>27506</v>
      </c>
      <c r="AR13305" s="1" t="str">
        <f t="shared" si="834"/>
        <v>| [ㄩㄝˋ](ㄩㄝˋ.md) | [躍](躍.md) |  | yuè | [動]
1.跳動。如：「飛躍前進」、「一躍而起」、「雀躍不已」。《易經．乾卦．九四》：「或躍在淵。」《山海經．北山經》：「有鳥焉，其狀如雌雉而人面，見人則躍。」
2.價格上漲。漢．桓寬《鹽鐵論．本議》：「縣官猥發，闔門擅市，則萬物並收；萬物並收，則物騰躍。」《漢書．卷二四．食貨志下》：「而不軌逐利之民畜積餘贏以稽市物，痛騰躍，米至石萬錢，馬至匹百金。」 |</v>
      </c>
    </row>
    <row r="13306" spans="1:44" hidden="1">
      <c r="A13306" s="1" t="s">
        <v>27507</v>
      </c>
      <c r="C13306" s="1">
        <v>1</v>
      </c>
      <c r="D13306" s="1" t="str">
        <f>"11757"</f>
        <v>11757</v>
      </c>
      <c r="E13306" s="1" t="s">
        <v>49</v>
      </c>
      <c r="F13306" s="1">
        <v>26</v>
      </c>
      <c r="G13306" s="1">
        <v>20</v>
      </c>
      <c r="H13306" s="1">
        <v>0</v>
      </c>
      <c r="I13306" s="1" t="s">
        <v>27452</v>
      </c>
      <c r="K13306" s="1" t="str">
        <f t="shared" si="836"/>
        <v>ㄩ</v>
      </c>
      <c r="L13306" s="1" t="str">
        <f t="shared" si="837"/>
        <v>ㄝ</v>
      </c>
      <c r="N13306" s="3" t="s">
        <v>30574</v>
      </c>
      <c r="O13306" s="3"/>
      <c r="P13306" s="1" t="s">
        <v>20</v>
      </c>
      <c r="R13306" s="1" t="s">
        <v>27453</v>
      </c>
      <c r="V13306" s="1" t="s">
        <v>27508</v>
      </c>
      <c r="AR13306" s="1" t="str">
        <f t="shared" si="834"/>
        <v>| [ㄩㄝˋ](ㄩㄝˋ.md) | [籰](籰.md) |  | yuè | [名]
紡織時用以收絲的器具。《集韻．入聲．藥韻》：「籰，《說文》：『收絲者也。』」 |</v>
      </c>
    </row>
    <row r="13307" spans="1:44" hidden="1">
      <c r="A13307" s="1" t="s">
        <v>27323</v>
      </c>
      <c r="C13307" s="1">
        <v>1</v>
      </c>
      <c r="D13307" s="1" t="str">
        <f>"11801"</f>
        <v>11801</v>
      </c>
      <c r="E13307" s="1" t="s">
        <v>37</v>
      </c>
      <c r="F13307" s="1">
        <v>9</v>
      </c>
      <c r="G13307" s="1">
        <v>5</v>
      </c>
      <c r="H13307" s="1">
        <v>1</v>
      </c>
      <c r="I13307" s="1" t="s">
        <v>27607</v>
      </c>
      <c r="K13307" s="1" t="str">
        <f t="shared" si="836"/>
        <v>ㄩ</v>
      </c>
      <c r="L13307" s="1" t="str">
        <f t="shared" si="837"/>
        <v>ㄢ</v>
      </c>
      <c r="N13307" s="3" t="s">
        <v>30574</v>
      </c>
      <c r="O13307" s="3"/>
      <c r="P13307" s="1" t="s">
        <v>20</v>
      </c>
      <c r="R13307" s="1" t="s">
        <v>27608</v>
      </c>
      <c r="V13307" s="1" t="s">
        <v>27609</v>
      </c>
      <c r="W13307" s="1" t="s">
        <v>27610</v>
      </c>
      <c r="AR13307" s="1" t="str">
        <f t="shared" si="834"/>
        <v>| [ㄩㄢˋ](ㄩㄢˋ.md) | [苑](苑.md) |  | yuàn | [名]
1.畜養禽獸或種植草木果蔬的地方，古代多指帝王遊樂狩獵的園林。《說文解字．艸部》：「苑，所以養禽獸。」如：「鹿苑」、「上林苑」。南朝宋．謝靈運〈石門岩上宿詩〉：「朝搴苑中蘭，畏彼霜下歇。」宋．劉子翬〈汴京紀事〉詩：「內苑珍林蔚絳霄，圍城不復禁芻蕘。」
2.事物會集的地方。如：「藝苑」。南朝梁．劉勰《文心雕龍．才略》：「觀夫後漢才林，可參西京，晉世文苑，足儷鄴都。」 |</v>
      </c>
    </row>
    <row r="13308" spans="1:44" hidden="1">
      <c r="A13308" s="1" t="s">
        <v>27513</v>
      </c>
      <c r="C13308" s="1">
        <v>1</v>
      </c>
      <c r="D13308" s="1" t="str">
        <f>"11802"</f>
        <v>11802</v>
      </c>
      <c r="E13308" s="1" t="s">
        <v>250</v>
      </c>
      <c r="F13308" s="1">
        <v>9</v>
      </c>
      <c r="G13308" s="1">
        <v>5</v>
      </c>
      <c r="H13308" s="1">
        <v>1</v>
      </c>
      <c r="I13308" s="1" t="s">
        <v>27607</v>
      </c>
      <c r="K13308" s="1" t="str">
        <f t="shared" si="836"/>
        <v>ㄩ</v>
      </c>
      <c r="L13308" s="1" t="str">
        <f t="shared" si="837"/>
        <v>ㄢ</v>
      </c>
      <c r="N13308" s="3" t="s">
        <v>30574</v>
      </c>
      <c r="O13308" s="3"/>
      <c r="P13308" s="1" t="s">
        <v>20</v>
      </c>
      <c r="R13308" s="1" t="s">
        <v>27608</v>
      </c>
      <c r="V13308" s="1" t="s">
        <v>27611</v>
      </c>
      <c r="W13308" s="1" t="s">
        <v>27612</v>
      </c>
      <c r="AR13308" s="1" t="str">
        <f t="shared" si="834"/>
        <v>| [ㄩㄢˋ](ㄩㄢˋ.md) | [怨](怨.md) |  | yuàn | [動]
責備、怪罪、痛恨。如：「怨天尤人」、「任勞任怨」。《論語．里仁》：「事父母幾諫，見志不從，又敬不違，勞而不怨。」《史記．卷一〇七．魏其武安侯傳》：「武安由此大怨灌夫、魏其。」
[名]
仇恨。如：「結怨」、「宿怨」、「以德報怨」、「恩怨分明」。《左傳．成公三年》：「無怨無德，不知所報。」《禮記．儒行》：「儒有內稱不避親，外舉不避怨。」
[形]
不滿的、哀愁的。如：「怨言」、「怨婦」、「怨聲載道」。唐．白居易〈楊柳枝二十二韻〉：「樂童翻怨調，才子與妍詞。」 |</v>
      </c>
    </row>
    <row r="13309" spans="1:44" hidden="1">
      <c r="A13309" s="1" t="s">
        <v>26895</v>
      </c>
      <c r="C13309" s="1">
        <v>1</v>
      </c>
      <c r="D13309" s="1" t="str">
        <f>"11803"</f>
        <v>11803</v>
      </c>
      <c r="E13309" s="1" t="s">
        <v>37</v>
      </c>
      <c r="F13309" s="1">
        <v>12</v>
      </c>
      <c r="G13309" s="1">
        <v>8</v>
      </c>
      <c r="H13309" s="1">
        <v>3</v>
      </c>
      <c r="I13309" s="1" t="s">
        <v>27607</v>
      </c>
      <c r="K13309" s="1" t="str">
        <f t="shared" si="836"/>
        <v>ㄩ</v>
      </c>
      <c r="L13309" s="1" t="str">
        <f t="shared" ref="L13309:L13340" si="838">MID(I13309, 2, 1)</f>
        <v>ㄢ</v>
      </c>
      <c r="N13309" s="3" t="s">
        <v>30574</v>
      </c>
      <c r="O13309" s="3"/>
      <c r="P13309" s="1" t="s">
        <v>20</v>
      </c>
      <c r="R13309" s="1" t="s">
        <v>27608</v>
      </c>
      <c r="V13309" s="1" t="s">
        <v>27613</v>
      </c>
      <c r="W13309" s="1" t="s">
        <v>27614</v>
      </c>
      <c r="AR13309" s="1" t="str">
        <f t="shared" si="834"/>
        <v>| [ㄩㄢˋ](ㄩㄢˋ.md) | [菀](菀.md) |  | yuàn | [名]
園林。通「苑」。《管子．水地》：「地者，萬物之本原，諸生之根菀也。」《漢書．卷八六．王嘉傳》：「詔書罷菀，而以賜賢二千餘頃，均田之制從此墮壞。」 |</v>
      </c>
    </row>
    <row r="13310" spans="1:44" hidden="1">
      <c r="A13310" s="1" t="s">
        <v>27574</v>
      </c>
      <c r="C13310" s="1">
        <v>1</v>
      </c>
      <c r="D13310" s="1" t="str">
        <f>"11804"</f>
        <v>11804</v>
      </c>
      <c r="E13310" s="1" t="s">
        <v>1941</v>
      </c>
      <c r="F13310" s="1">
        <v>10</v>
      </c>
      <c r="G13310" s="1">
        <v>8</v>
      </c>
      <c r="H13310" s="1">
        <v>2</v>
      </c>
      <c r="I13310" s="1" t="s">
        <v>27607</v>
      </c>
      <c r="K13310" s="1" t="str">
        <f t="shared" si="836"/>
        <v>ㄩ</v>
      </c>
      <c r="L13310" s="1" t="str">
        <f t="shared" si="838"/>
        <v>ㄢ</v>
      </c>
      <c r="N13310" s="3" t="s">
        <v>30574</v>
      </c>
      <c r="O13310" s="3"/>
      <c r="P13310" s="1" t="s">
        <v>20</v>
      </c>
      <c r="R13310" s="1" t="s">
        <v>27608</v>
      </c>
      <c r="V13310" s="1" t="s">
        <v>27615</v>
      </c>
      <c r="W13310" s="1" t="s">
        <v>27616</v>
      </c>
      <c r="AR13310" s="1" t="str">
        <f t="shared" si="834"/>
        <v>| [ㄩㄢˋ](ㄩㄢˋ.md) | [原](原.md) |  | yuàn | [形]
忠厚、拘謹。通「愿」。《論語．陽貨》：「鄉原，德之賊也。」 |</v>
      </c>
    </row>
    <row r="13311" spans="1:44" hidden="1">
      <c r="A13311" s="1" t="s">
        <v>27617</v>
      </c>
      <c r="C13311" s="1">
        <v>1</v>
      </c>
      <c r="D13311" s="1" t="str">
        <f>"11805"</f>
        <v>11805</v>
      </c>
      <c r="E13311" s="1" t="s">
        <v>250</v>
      </c>
      <c r="F13311" s="1">
        <v>14</v>
      </c>
      <c r="G13311" s="1">
        <v>10</v>
      </c>
      <c r="H13311" s="1">
        <v>0</v>
      </c>
      <c r="I13311" s="1" t="s">
        <v>27607</v>
      </c>
      <c r="K13311" s="1" t="str">
        <f t="shared" si="836"/>
        <v>ㄩ</v>
      </c>
      <c r="L13311" s="1" t="str">
        <f t="shared" si="838"/>
        <v>ㄢ</v>
      </c>
      <c r="N13311" s="3" t="s">
        <v>30574</v>
      </c>
      <c r="O13311" s="3"/>
      <c r="P13311" s="1" t="s">
        <v>20</v>
      </c>
      <c r="R13311" s="1" t="s">
        <v>27608</v>
      </c>
      <c r="V13311" s="1" t="s">
        <v>27618</v>
      </c>
      <c r="AR13311" s="1" t="str">
        <f t="shared" si="834"/>
        <v>| [ㄩㄢˋ](ㄩㄢˋ.md) | [愿](愿.md) |  | yuàn | [形]
忠厚、謹慎。《書經．皋陶謨》：「柔而立，愿而恭。」《後漢書．卷七六．循吏傳．劉寵傳》：「山民愿樸，乃有白首不入市井者，頗為官吏所擾。」 |</v>
      </c>
    </row>
    <row r="13312" spans="1:44" hidden="1">
      <c r="A13312" s="1" t="s">
        <v>27619</v>
      </c>
      <c r="C13312" s="1">
        <v>1</v>
      </c>
      <c r="D13312" s="1" t="str">
        <f>"11806"</f>
        <v>11806</v>
      </c>
      <c r="E13312" s="1" t="s">
        <v>684</v>
      </c>
      <c r="F13312" s="1">
        <v>19</v>
      </c>
      <c r="G13312" s="1">
        <v>10</v>
      </c>
      <c r="H13312" s="1">
        <v>0</v>
      </c>
      <c r="I13312" s="1" t="s">
        <v>27607</v>
      </c>
      <c r="K13312" s="1" t="str">
        <f t="shared" si="836"/>
        <v>ㄩ</v>
      </c>
      <c r="L13312" s="1" t="str">
        <f t="shared" si="838"/>
        <v>ㄢ</v>
      </c>
      <c r="N13312" s="3" t="s">
        <v>30574</v>
      </c>
      <c r="O13312" s="3"/>
      <c r="P13312" s="1" t="s">
        <v>20</v>
      </c>
      <c r="R13312" s="1" t="s">
        <v>27608</v>
      </c>
      <c r="V13312" s="1" t="s">
        <v>27620</v>
      </c>
      <c r="AR13312" s="1" t="str">
        <f t="shared" si="834"/>
        <v>| [ㄩㄢˋ](ㄩㄢˋ.md) | [願](願.md) |  | yuàn | [名]
希望、期望。如：「心願」、「志願」、「許願」、「如願以償」。《文選．陶淵明．歸去來辭》：「富貴非吾願，帝鄉不可期。」
[動]
1.希望、期待。如：「但願」、「願天下有情人終成眷屬。」《楚辭．屈原．九章．惜誦》：「固煩言不可結詒兮，願陳志而無路。」
2.甘心、樂意。如：「願意」、「心甘情願」。《孟子．公孫丑上》：「管仲曾西之所不為也，而子為我願之乎？」
3.欽羨、傾慕。《荀子．榮辱》：「小人莫不延頸舉踵而願曰：『知慮材性，固有以賢人矣。』」《韓非子．忠孝》：「為人臣常譽先王之德厚而願之，是誹謗其君者也。」 |</v>
      </c>
    </row>
    <row r="13313" spans="1:44" hidden="1">
      <c r="A13313" s="1" t="s">
        <v>27621</v>
      </c>
      <c r="C13313" s="1">
        <v>1</v>
      </c>
      <c r="D13313" s="1" t="str">
        <f>"11807"</f>
        <v>11807</v>
      </c>
      <c r="E13313" s="1" t="s">
        <v>691</v>
      </c>
      <c r="F13313" s="1">
        <v>10</v>
      </c>
      <c r="G13313" s="1">
        <v>7</v>
      </c>
      <c r="H13313" s="1">
        <v>0</v>
      </c>
      <c r="I13313" s="1" t="s">
        <v>27607</v>
      </c>
      <c r="K13313" s="1" t="str">
        <f t="shared" si="836"/>
        <v>ㄩ</v>
      </c>
      <c r="L13313" s="1" t="str">
        <f t="shared" si="838"/>
        <v>ㄢ</v>
      </c>
      <c r="N13313" s="3" t="s">
        <v>30574</v>
      </c>
      <c r="O13313" s="3"/>
      <c r="P13313" s="1" t="s">
        <v>20</v>
      </c>
      <c r="R13313" s="1" t="s">
        <v>27608</v>
      </c>
      <c r="V13313" s="1" t="s">
        <v>27622</v>
      </c>
      <c r="AR13313" s="1" t="str">
        <f t="shared" si="834"/>
        <v>| [ㄩㄢˋ](ㄩㄢˋ.md) | [院](院.md) |  | yuàn | [名]
1.圍牆內房屋四周的空地。如：「庭院」、「後院」。唐．李白〈之廣陵宿常二南郭幽居〉詩：「忘憂或假草，滿院羅叢萱。」五代十國南唐．李煜〈相見歡．無言獨上西樓〉詞：「無言獨上西樓，月如鉤，寂寞梧桐，深院鎖清秋。」
2.指公共場所的名稱。如：「書院」、「醫院」、「戲院」。
3.某些政府機關的名稱。如：「大理院」、「翰林院」、「立法院」、「行政院」、「法院」。
4.學院的簡稱。如：「大學院校」。 |</v>
      </c>
    </row>
    <row r="13314" spans="1:44" hidden="1">
      <c r="A13314" s="1" t="s">
        <v>27623</v>
      </c>
      <c r="C13314" s="1">
        <v>1</v>
      </c>
      <c r="D13314" s="1" t="str">
        <f>"11808"</f>
        <v>11808</v>
      </c>
      <c r="E13314" s="1" t="s">
        <v>24</v>
      </c>
      <c r="F13314" s="1">
        <v>12</v>
      </c>
      <c r="G13314" s="1">
        <v>9</v>
      </c>
      <c r="H13314" s="1">
        <v>0</v>
      </c>
      <c r="I13314" s="1" t="s">
        <v>27607</v>
      </c>
      <c r="K13314" s="1" t="str">
        <f t="shared" si="836"/>
        <v>ㄩ</v>
      </c>
      <c r="L13314" s="1" t="str">
        <f t="shared" si="838"/>
        <v>ㄢ</v>
      </c>
      <c r="N13314" s="3" t="s">
        <v>30574</v>
      </c>
      <c r="O13314" s="3"/>
      <c r="P13314" s="1" t="s">
        <v>20</v>
      </c>
      <c r="R13314" s="1" t="s">
        <v>27608</v>
      </c>
      <c r="V13314" s="1" t="s">
        <v>27624</v>
      </c>
      <c r="AR13314" s="1" t="str">
        <f t="shared" si="834"/>
        <v>| [ㄩㄢˋ](ㄩㄢˋ.md) | [掾](掾.md) |  | yuàn | [動]
輔助。清．朱駿聲《說文通訓定聲．手部》：「掾，緣也。按本訓當為佐助之誼，故從手。」
[名]
古代官府屬員的通稱。《漢書．卷三九．蕭何傳》：「（何）以文毋害，為沛主吏掾。」《新唐書．卷四九．百官志四下》：「掾一人，掌通判功曹、倉曹、戶曹事。」 |</v>
      </c>
    </row>
    <row r="13315" spans="1:44" hidden="1">
      <c r="A13315" s="1" t="s">
        <v>27595</v>
      </c>
      <c r="C13315" s="1">
        <v>1</v>
      </c>
      <c r="D13315" s="1" t="str">
        <f>"11809"</f>
        <v>11809</v>
      </c>
      <c r="E13315" s="1" t="s">
        <v>725</v>
      </c>
      <c r="F13315" s="1">
        <v>15</v>
      </c>
      <c r="G13315" s="1">
        <v>9</v>
      </c>
      <c r="H13315" s="1">
        <v>2</v>
      </c>
      <c r="I13315" s="1" t="s">
        <v>27607</v>
      </c>
      <c r="K13315" s="1" t="str">
        <f t="shared" si="836"/>
        <v>ㄩ</v>
      </c>
      <c r="L13315" s="1" t="str">
        <f t="shared" si="838"/>
        <v>ㄢ</v>
      </c>
      <c r="N13315" s="3" t="s">
        <v>30574</v>
      </c>
      <c r="O13315" s="3"/>
      <c r="P13315" s="1" t="s">
        <v>20</v>
      </c>
      <c r="R13315" s="1" t="s">
        <v>27608</v>
      </c>
      <c r="V13315" s="1" t="s">
        <v>27625</v>
      </c>
      <c r="W13315" s="1" t="s">
        <v>27626</v>
      </c>
      <c r="AR13315" s="1" t="str">
        <f t="shared" ref="AR13315:AR13378" si="839">"| ["&amp;I13315&amp;"]("&amp;I13315&amp;".md) | ["&amp;A13315&amp;"]("&amp;A13315&amp;".md) | "&amp;" | "&amp;R13315&amp;" | "&amp;V13315&amp;" |"</f>
        <v>| [ㄩㄢˋ](ㄩㄢˋ.md) | [緣](緣.md) |  | yuàn | [名]
(一)[名]1.2.之讀音。
[動]
加飾。《漢書．卷五八．公孫弘傳》：「緣飾以儒術，上說之，一歲中至左內吏。」 |</v>
      </c>
    </row>
    <row r="13316" spans="1:44" hidden="1">
      <c r="A13316" s="1" t="s">
        <v>27559</v>
      </c>
      <c r="C13316" s="1">
        <v>1</v>
      </c>
      <c r="D13316" s="1" t="str">
        <f>"11810"</f>
        <v>11810</v>
      </c>
      <c r="E13316" s="1" t="s">
        <v>534</v>
      </c>
      <c r="F13316" s="1">
        <v>12</v>
      </c>
      <c r="G13316" s="1">
        <v>9</v>
      </c>
      <c r="H13316" s="1">
        <v>1</v>
      </c>
      <c r="I13316" s="1" t="s">
        <v>27607</v>
      </c>
      <c r="K13316" s="1" t="str">
        <f t="shared" si="836"/>
        <v>ㄩ</v>
      </c>
      <c r="L13316" s="1" t="str">
        <f t="shared" si="838"/>
        <v>ㄢ</v>
      </c>
      <c r="N13316" s="3" t="s">
        <v>30574</v>
      </c>
      <c r="O13316" s="3"/>
      <c r="P13316" s="1" t="s">
        <v>20</v>
      </c>
      <c r="R13316" s="1" t="s">
        <v>27608</v>
      </c>
      <c r="V13316" s="1" t="s">
        <v>27627</v>
      </c>
      <c r="W13316" s="1" t="s">
        <v>27628</v>
      </c>
      <c r="AR13316" s="1" t="str">
        <f t="shared" si="839"/>
        <v>| [ㄩㄢˋ](ㄩㄢˋ.md) | [媛](媛.md) |  | yuàn | [名]
1.美女。《詩經．鄘風．君子偕老》：「展如之人兮，邦之媛也。」
2.對婦女的美稱。如：「名媛」、「淑媛」。 |</v>
      </c>
    </row>
    <row r="13317" spans="1:44" hidden="1">
      <c r="A13317" s="1" t="s">
        <v>27629</v>
      </c>
      <c r="C13317" s="1">
        <v>1</v>
      </c>
      <c r="D13317" s="1" t="str">
        <f>"11811"</f>
        <v>11811</v>
      </c>
      <c r="E13317" s="1" t="s">
        <v>142</v>
      </c>
      <c r="F13317" s="1">
        <v>13</v>
      </c>
      <c r="G13317" s="1">
        <v>9</v>
      </c>
      <c r="H13317" s="1">
        <v>0</v>
      </c>
      <c r="I13317" s="1" t="s">
        <v>27607</v>
      </c>
      <c r="K13317" s="1" t="str">
        <f t="shared" si="836"/>
        <v>ㄩ</v>
      </c>
      <c r="L13317" s="1" t="str">
        <f t="shared" si="838"/>
        <v>ㄢ</v>
      </c>
      <c r="N13317" s="3" t="s">
        <v>30574</v>
      </c>
      <c r="O13317" s="3"/>
      <c r="P13317" s="1" t="s">
        <v>20</v>
      </c>
      <c r="R13317" s="1" t="s">
        <v>27608</v>
      </c>
      <c r="V13317" s="1" t="s">
        <v>27630</v>
      </c>
      <c r="AR13317" s="1" t="str">
        <f t="shared" si="839"/>
        <v>| [ㄩㄢˋ](ㄩㄢˋ.md) | [瑗](瑗.md) |  | yuàn | [名]
一種中間有圓孔的璧玉。是由早期環狀石斧演變成的臂飾，後來再演變為玉鐲。《荀子．大略》：「問士以璧，召人以瑗。」 |</v>
      </c>
    </row>
    <row r="13318" spans="1:44" hidden="1">
      <c r="A13318" s="1" t="s">
        <v>27602</v>
      </c>
      <c r="C13318" s="1">
        <v>1</v>
      </c>
      <c r="D13318" s="1" t="str">
        <f>"11812"</f>
        <v>11812</v>
      </c>
      <c r="E13318" s="1" t="s">
        <v>558</v>
      </c>
      <c r="F13318" s="1">
        <v>14</v>
      </c>
      <c r="G13318" s="1">
        <v>10</v>
      </c>
      <c r="H13318" s="1">
        <v>2</v>
      </c>
      <c r="I13318" s="1" t="s">
        <v>27607</v>
      </c>
      <c r="K13318" s="1" t="str">
        <f t="shared" si="836"/>
        <v>ㄩ</v>
      </c>
      <c r="L13318" s="1" t="str">
        <f t="shared" si="838"/>
        <v>ㄢ</v>
      </c>
      <c r="N13318" s="3" t="s">
        <v>30574</v>
      </c>
      <c r="O13318" s="3"/>
      <c r="P13318" s="1" t="s">
        <v>20</v>
      </c>
      <c r="R13318" s="1" t="s">
        <v>27608</v>
      </c>
      <c r="V13318" s="1" t="s">
        <v>27631</v>
      </c>
      <c r="W13318" s="1" t="s">
        <v>27632</v>
      </c>
      <c r="AR13318" s="1" t="str">
        <f t="shared" si="839"/>
        <v>| [ㄩㄢˋ](ㄩㄢˋ.md) | [遠](遠.md) |  | yuàn | [動]
遠離、不接近。《論語．雍也》：「務民之義，敬鬼神而遠之，可謂知矣。」《文選．諸葛亮．出師表》：「親賢臣，遠小人，此先漢所以興隆也。」 |</v>
      </c>
    </row>
    <row r="13319" spans="1:44" hidden="1">
      <c r="A13319" s="1" t="s">
        <v>27533</v>
      </c>
      <c r="C13319" s="1">
        <v>1</v>
      </c>
      <c r="D13319" s="1" t="str">
        <f>"11769"</f>
        <v>11769</v>
      </c>
      <c r="E13319" s="1" t="s">
        <v>3581</v>
      </c>
      <c r="F13319" s="1">
        <v>4</v>
      </c>
      <c r="G13319" s="1">
        <v>2</v>
      </c>
      <c r="H13319" s="1">
        <v>0</v>
      </c>
      <c r="I13319" s="1" t="s">
        <v>27534</v>
      </c>
      <c r="K13319" s="1" t="str">
        <f t="shared" si="836"/>
        <v>ㄩ</v>
      </c>
      <c r="L13319" s="1" t="str">
        <f t="shared" si="838"/>
        <v>ㄢ</v>
      </c>
      <c r="N13319" s="3" t="s">
        <v>30575</v>
      </c>
      <c r="O13319" s="3"/>
      <c r="P13319" s="1" t="s">
        <v>20</v>
      </c>
      <c r="R13319" s="1" t="s">
        <v>27535</v>
      </c>
      <c r="V13319" s="1" t="s">
        <v>27536</v>
      </c>
      <c r="AR13319" s="1" t="str">
        <f t="shared" si="839"/>
        <v>| [ㄩㄢˊ](ㄩㄢˊ.md) | [元](元.md) |  | yuán | [名]
1.頭。《左傳．僖公三十三年》：「（先軫）免冑入狄師，死焉。狄人歸其元，面如生。」《孟子．滕文公下》：「志士不忘在溝壑，勇士不忘喪其元。」
2.量詞。計算錢幣的單位。一元等於十角。通「圓」。如：「十元」、「五十元」。
3.代數式中，表示未知數的文字稱為「元」。如：「一元一次方程式」。
4.朝代名。參見「元朝」條。
5.姓。如唐代有元稹。
[形]
1.為首的。如：「元兇」、「元首」。
2.開始的、第一的。如：「元年」、「元旦」。
3.大的。《書經．大禹謨》：「天之歷數在汝躬，汝終陟元后。」《三國志．卷二四．魏書．高柔傳》：「逮至漢初，蕭、曹之儔並以元勛代作心膂。」
4.善的。《書經．舜典》：「柔遠能邇，惇德允元。」《後漢書．卷五九．張衡傳》：「抨巫咸以占夢兮，迺貞吉之元符。」
5.基本的。如：「元素」。 |</v>
      </c>
    </row>
    <row r="13320" spans="1:44" hidden="1">
      <c r="A13320" s="1" t="s">
        <v>27537</v>
      </c>
      <c r="C13320" s="1">
        <v>1</v>
      </c>
      <c r="D13320" s="1" t="str">
        <f>"11770"</f>
        <v>11770</v>
      </c>
      <c r="E13320" s="1" t="s">
        <v>129</v>
      </c>
      <c r="F13320" s="1">
        <v>7</v>
      </c>
      <c r="G13320" s="1">
        <v>4</v>
      </c>
      <c r="H13320" s="1">
        <v>0</v>
      </c>
      <c r="I13320" s="1" t="s">
        <v>27534</v>
      </c>
      <c r="K13320" s="1" t="str">
        <f t="shared" si="836"/>
        <v>ㄩ</v>
      </c>
      <c r="L13320" s="1" t="str">
        <f t="shared" si="838"/>
        <v>ㄢ</v>
      </c>
      <c r="N13320" s="3" t="s">
        <v>30575</v>
      </c>
      <c r="O13320" s="3"/>
      <c r="P13320" s="1" t="s">
        <v>20</v>
      </c>
      <c r="R13320" s="1" t="s">
        <v>27535</v>
      </c>
      <c r="V13320" s="1" t="s">
        <v>27538</v>
      </c>
      <c r="AR13320" s="1" t="str">
        <f t="shared" si="839"/>
        <v>| [ㄩㄢˊ](ㄩㄢˊ.md) | [沅](沅.md) |  | yuán | 參見「沅江」條。 |</v>
      </c>
    </row>
    <row r="13321" spans="1:44" hidden="1">
      <c r="A13321" s="1" t="s">
        <v>27539</v>
      </c>
      <c r="C13321" s="1">
        <v>1</v>
      </c>
      <c r="D13321" s="1" t="str">
        <f>"11771"</f>
        <v>11771</v>
      </c>
      <c r="E13321" s="1" t="s">
        <v>256</v>
      </c>
      <c r="F13321" s="1">
        <v>7</v>
      </c>
      <c r="G13321" s="1">
        <v>4</v>
      </c>
      <c r="H13321" s="1">
        <v>0</v>
      </c>
      <c r="I13321" s="1" t="s">
        <v>27534</v>
      </c>
      <c r="K13321" s="1" t="str">
        <f t="shared" si="836"/>
        <v>ㄩ</v>
      </c>
      <c r="L13321" s="1" t="str">
        <f t="shared" si="838"/>
        <v>ㄢ</v>
      </c>
      <c r="N13321" s="3" t="s">
        <v>30575</v>
      </c>
      <c r="O13321" s="3"/>
      <c r="P13321" s="1" t="s">
        <v>20</v>
      </c>
      <c r="R13321" s="1" t="s">
        <v>27535</v>
      </c>
      <c r="V13321" s="1" t="s">
        <v>27540</v>
      </c>
      <c r="AR13321" s="1" t="str">
        <f t="shared" si="839"/>
        <v>| [ㄩㄢˊ](ㄩㄢˊ.md) | [邧](邧.md) |  | yuán | [名]
地名。春秋時秦國都邑，故址約在今陝西省澄城縣境內。 |</v>
      </c>
    </row>
    <row r="13322" spans="1:44" hidden="1">
      <c r="A13322" s="1" t="s">
        <v>26939</v>
      </c>
      <c r="C13322" s="1">
        <v>1</v>
      </c>
      <c r="D13322" s="1" t="str">
        <f>"11772"</f>
        <v>11772</v>
      </c>
      <c r="E13322" s="1" t="s">
        <v>139</v>
      </c>
      <c r="F13322" s="1">
        <v>8</v>
      </c>
      <c r="G13322" s="1">
        <v>4</v>
      </c>
      <c r="H13322" s="1">
        <v>1</v>
      </c>
      <c r="I13322" s="1" t="s">
        <v>27534</v>
      </c>
      <c r="K13322" s="1" t="str">
        <f t="shared" si="836"/>
        <v>ㄩ</v>
      </c>
      <c r="L13322" s="1" t="str">
        <f t="shared" si="838"/>
        <v>ㄢ</v>
      </c>
      <c r="N13322" s="3" t="s">
        <v>30575</v>
      </c>
      <c r="O13322" s="3"/>
      <c r="P13322" s="1" t="s">
        <v>20</v>
      </c>
      <c r="R13322" s="1" t="s">
        <v>27535</v>
      </c>
      <c r="V13322" s="1" t="s">
        <v>27541</v>
      </c>
      <c r="W13322" s="1" t="s">
        <v>27542</v>
      </c>
      <c r="AR13322" s="1" t="str">
        <f t="shared" si="839"/>
        <v>| [ㄩㄢˊ](ㄩㄢˊ.md) | [杬](杬.md) |  | yuán | [名]
植物名：(1)瑞香科瑞香屬。「芫花」之別稱，參見「芫花」條。《爾雅．釋木》：「杬魚毒。」(2)一種大樹，皮厚正赤，前汁可藏眾果，使不敗壞。 |</v>
      </c>
    </row>
    <row r="13323" spans="1:44" hidden="1">
      <c r="A13323" s="1" t="s">
        <v>27543</v>
      </c>
      <c r="C13323" s="1">
        <v>1</v>
      </c>
      <c r="D13323" s="1" t="str">
        <f>"11773"</f>
        <v>11773</v>
      </c>
      <c r="E13323" s="1" t="s">
        <v>37</v>
      </c>
      <c r="F13323" s="1">
        <v>8</v>
      </c>
      <c r="G13323" s="1">
        <v>4</v>
      </c>
      <c r="H13323" s="1">
        <v>0</v>
      </c>
      <c r="I13323" s="1" t="s">
        <v>27534</v>
      </c>
      <c r="K13323" s="1" t="str">
        <f t="shared" si="836"/>
        <v>ㄩ</v>
      </c>
      <c r="L13323" s="1" t="str">
        <f t="shared" si="838"/>
        <v>ㄢ</v>
      </c>
      <c r="N13323" s="3" t="s">
        <v>30575</v>
      </c>
      <c r="O13323" s="3"/>
      <c r="P13323" s="1" t="s">
        <v>20</v>
      </c>
      <c r="R13323" s="1" t="s">
        <v>27535</v>
      </c>
      <c r="V13323" s="1" t="s">
        <v>27544</v>
      </c>
      <c r="AR13323" s="1" t="str">
        <f t="shared" si="839"/>
        <v>| [ㄩㄢˊ](ㄩㄢˊ.md) | [芫](芫.md) |  | yuán | 參見「芫花」條。 |</v>
      </c>
    </row>
    <row r="13324" spans="1:44" hidden="1">
      <c r="A13324" s="1" t="s">
        <v>27545</v>
      </c>
      <c r="C13324" s="1">
        <v>1</v>
      </c>
      <c r="D13324" s="1" t="str">
        <f>"11774"</f>
        <v>11774</v>
      </c>
      <c r="E13324" s="1" t="s">
        <v>3331</v>
      </c>
      <c r="F13324" s="1">
        <v>17</v>
      </c>
      <c r="G13324" s="1">
        <v>4</v>
      </c>
      <c r="H13324" s="1">
        <v>0</v>
      </c>
      <c r="I13324" s="1" t="s">
        <v>27534</v>
      </c>
      <c r="K13324" s="1" t="str">
        <f t="shared" si="836"/>
        <v>ㄩ</v>
      </c>
      <c r="L13324" s="1" t="str">
        <f t="shared" si="838"/>
        <v>ㄢ</v>
      </c>
      <c r="N13324" s="3" t="s">
        <v>30575</v>
      </c>
      <c r="O13324" s="3"/>
      <c r="P13324" s="1" t="s">
        <v>20</v>
      </c>
      <c r="R13324" s="1" t="s">
        <v>27535</v>
      </c>
      <c r="V13324" s="1" t="s">
        <v>27546</v>
      </c>
      <c r="AR13324" s="1" t="str">
        <f t="shared" si="839"/>
        <v>| [ㄩㄢˊ](ㄩㄢˊ.md) | [黿](黿.md) |  | yuán | [名]
動物名。爬蟲綱鱉科。似鱉而大，背甲近圓形，散生小疣，暗綠色，腹面白色。前肢外緣和蹼均呈白色。生活於河中。分布於大陸地區雲南、廣東、廣西、福建、浙江等地。 |</v>
      </c>
    </row>
    <row r="13325" spans="1:44" hidden="1">
      <c r="A13325" s="1" t="s">
        <v>14223</v>
      </c>
      <c r="C13325" s="1">
        <v>1</v>
      </c>
      <c r="D13325" s="1" t="str">
        <f>"11775"</f>
        <v>11775</v>
      </c>
      <c r="E13325" s="1" t="s">
        <v>367</v>
      </c>
      <c r="F13325" s="1">
        <v>8</v>
      </c>
      <c r="G13325" s="1">
        <v>6</v>
      </c>
      <c r="H13325" s="1">
        <v>2</v>
      </c>
      <c r="I13325" s="1" t="s">
        <v>27534</v>
      </c>
      <c r="K13325" s="1" t="str">
        <f t="shared" si="836"/>
        <v>ㄩ</v>
      </c>
      <c r="L13325" s="1" t="str">
        <f t="shared" si="838"/>
        <v>ㄢ</v>
      </c>
      <c r="N13325" s="3" t="s">
        <v>30575</v>
      </c>
      <c r="O13325" s="3"/>
      <c r="P13325" s="1" t="s">
        <v>20</v>
      </c>
      <c r="R13325" s="1" t="s">
        <v>27535</v>
      </c>
      <c r="V13325" s="1" t="s">
        <v>27547</v>
      </c>
      <c r="W13325" s="1" t="s">
        <v>27548</v>
      </c>
      <c r="AR13325" s="1" t="str">
        <f t="shared" si="839"/>
        <v>| [ㄩㄢˊ](ㄩㄢˊ.md) | [京](京.md) |  | yuán | [名]
墓地。如：「九京」。 |</v>
      </c>
    </row>
    <row r="13326" spans="1:44" hidden="1">
      <c r="A13326" s="1" t="s">
        <v>27549</v>
      </c>
      <c r="C13326" s="1">
        <v>1</v>
      </c>
      <c r="D13326" s="1" t="str">
        <f>"11776"</f>
        <v>11776</v>
      </c>
      <c r="E13326" s="1" t="s">
        <v>132</v>
      </c>
      <c r="F13326" s="1">
        <v>9</v>
      </c>
      <c r="G13326" s="1">
        <v>6</v>
      </c>
      <c r="H13326" s="1">
        <v>0</v>
      </c>
      <c r="I13326" s="1" t="s">
        <v>27534</v>
      </c>
      <c r="K13326" s="1" t="str">
        <f t="shared" ref="K13326:K13389" si="840">LEFT(I13326, 1)</f>
        <v>ㄩ</v>
      </c>
      <c r="L13326" s="1" t="str">
        <f t="shared" si="838"/>
        <v>ㄢ</v>
      </c>
      <c r="N13326" s="3" t="s">
        <v>30575</v>
      </c>
      <c r="O13326" s="3"/>
      <c r="P13326" s="1" t="s">
        <v>20</v>
      </c>
      <c r="R13326" s="1" t="s">
        <v>27535</v>
      </c>
      <c r="V13326" s="1" t="s">
        <v>27550</v>
      </c>
      <c r="AR13326" s="1" t="str">
        <f t="shared" si="839"/>
        <v>| [ㄩㄢˊ](ㄩㄢˊ.md) | [垣](垣.md) |  | yuán | [名]
1.矮牆。如：「牆垣」、「斷壁殘垣」。《文選．潘岳．西征賦》：「臨揜坎而累抃，步毀垣以延佇。」
2.官舍。唐．皮日休〈白太傅〉詩：「清望逸內署，直聲驚諫垣。」
3.城市。如：「省垣」。
4.姓。如漢代有垣恭。 |</v>
      </c>
    </row>
    <row r="13327" spans="1:44" hidden="1">
      <c r="A13327" s="1" t="s">
        <v>27323</v>
      </c>
      <c r="C13327" s="1">
        <v>1</v>
      </c>
      <c r="D13327" s="1" t="str">
        <f>"11777"</f>
        <v>11777</v>
      </c>
      <c r="E13327" s="1" t="s">
        <v>37</v>
      </c>
      <c r="F13327" s="1">
        <v>9</v>
      </c>
      <c r="G13327" s="1">
        <v>5</v>
      </c>
      <c r="H13327" s="1">
        <v>2</v>
      </c>
      <c r="I13327" s="1" t="s">
        <v>27534</v>
      </c>
      <c r="K13327" s="1" t="str">
        <f t="shared" si="840"/>
        <v>ㄩ</v>
      </c>
      <c r="L13327" s="1" t="str">
        <f t="shared" si="838"/>
        <v>ㄢ</v>
      </c>
      <c r="N13327" s="3" t="s">
        <v>30575</v>
      </c>
      <c r="O13327" s="3"/>
      <c r="P13327" s="1" t="s">
        <v>20</v>
      </c>
      <c r="R13327" s="1" t="s">
        <v>27535</v>
      </c>
      <c r="V13327" s="1" t="s">
        <v>27551</v>
      </c>
      <c r="W13327" s="1" t="s">
        <v>27552</v>
      </c>
      <c r="AR13327" s="1" t="str">
        <f t="shared" si="839"/>
        <v>| [ㄩㄢˊ](ㄩㄢˊ.md) | [苑](苑.md) |  | yuán | [名]
姓。如春秋時齊國有苑何忌。 |</v>
      </c>
    </row>
    <row r="13328" spans="1:44" hidden="1">
      <c r="A13328" s="1" t="s">
        <v>27553</v>
      </c>
      <c r="C13328" s="1">
        <v>1</v>
      </c>
      <c r="D13328" s="1" t="str">
        <f>"11778"</f>
        <v>11778</v>
      </c>
      <c r="E13328" s="1" t="s">
        <v>1533</v>
      </c>
      <c r="F13328" s="1">
        <v>9</v>
      </c>
      <c r="G13328" s="1">
        <v>5</v>
      </c>
      <c r="H13328" s="1">
        <v>0</v>
      </c>
      <c r="I13328" s="1" t="s">
        <v>27534</v>
      </c>
      <c r="K13328" s="1" t="str">
        <f t="shared" si="840"/>
        <v>ㄩ</v>
      </c>
      <c r="L13328" s="1" t="str">
        <f t="shared" si="838"/>
        <v>ㄢ</v>
      </c>
      <c r="N13328" s="3" t="s">
        <v>30575</v>
      </c>
      <c r="O13328" s="3"/>
      <c r="P13328" s="1" t="s">
        <v>20</v>
      </c>
      <c r="R13328" s="1" t="s">
        <v>27535</v>
      </c>
      <c r="V13328" s="1" t="s">
        <v>27554</v>
      </c>
      <c r="AR13328" s="1" t="str">
        <f t="shared" si="839"/>
        <v>| [ㄩㄢˊ](ㄩㄢˊ.md) | [爰](爰.md) |  | yuán | [連]
於是。《書經．無逸》：「作其即位，爰知小人之依，能保惠于庶民。」《文選．張衡．思玄賦》：「將荅賦而不暇兮，爰整駕而亟行。」
[助]
發語詞，無義。《詩經．邶風．凱風》：「爰有寒泉，在浚之下。」
[動]
改變、更換。參見「爰田」條。
[名]
姓。如漢代有爰盎。 |</v>
      </c>
    </row>
    <row r="13329" spans="1:44" hidden="1">
      <c r="A13329" s="1" t="s">
        <v>27555</v>
      </c>
      <c r="C13329" s="1">
        <v>1</v>
      </c>
      <c r="D13329" s="1" t="str">
        <f>"11779"</f>
        <v>11779</v>
      </c>
      <c r="E13329" s="1" t="s">
        <v>129</v>
      </c>
      <c r="F13329" s="1">
        <v>12</v>
      </c>
      <c r="G13329" s="1">
        <v>9</v>
      </c>
      <c r="H13329" s="1">
        <v>0</v>
      </c>
      <c r="I13329" s="1" t="s">
        <v>27534</v>
      </c>
      <c r="K13329" s="1" t="str">
        <f t="shared" si="840"/>
        <v>ㄩ</v>
      </c>
      <c r="L13329" s="1" t="str">
        <f t="shared" si="838"/>
        <v>ㄢ</v>
      </c>
      <c r="N13329" s="3" t="s">
        <v>30575</v>
      </c>
      <c r="O13329" s="3"/>
      <c r="P13329" s="1" t="s">
        <v>20</v>
      </c>
      <c r="R13329" s="1" t="s">
        <v>27535</v>
      </c>
      <c r="V13329" s="1" t="s">
        <v>27556</v>
      </c>
      <c r="AR13329" s="1" t="str">
        <f t="shared" si="839"/>
        <v>| [ㄩㄢˊ](ㄩㄢˊ.md) | [湲](湲.md) |  | yuán | [形]
水流動的樣子。《楚辭．屈原．九歌．湘夫人》：「荒忽兮遠望，觀流水兮潺湲。」 |</v>
      </c>
    </row>
    <row r="13330" spans="1:44" hidden="1">
      <c r="A13330" s="1" t="s">
        <v>27557</v>
      </c>
      <c r="C13330" s="1">
        <v>1</v>
      </c>
      <c r="D13330" s="1" t="str">
        <f>"11780"</f>
        <v>11780</v>
      </c>
      <c r="E13330" s="1" t="s">
        <v>24</v>
      </c>
      <c r="F13330" s="1">
        <v>12</v>
      </c>
      <c r="G13330" s="1">
        <v>9</v>
      </c>
      <c r="H13330" s="1">
        <v>0</v>
      </c>
      <c r="I13330" s="1" t="s">
        <v>27534</v>
      </c>
      <c r="K13330" s="1" t="str">
        <f t="shared" si="840"/>
        <v>ㄩ</v>
      </c>
      <c r="L13330" s="1" t="str">
        <f t="shared" si="838"/>
        <v>ㄢ</v>
      </c>
      <c r="N13330" s="3" t="s">
        <v>30575</v>
      </c>
      <c r="O13330" s="3"/>
      <c r="P13330" s="1" t="s">
        <v>20</v>
      </c>
      <c r="R13330" s="1" t="s">
        <v>27535</v>
      </c>
      <c r="V13330" s="1" t="s">
        <v>27558</v>
      </c>
      <c r="AR13330" s="1" t="str">
        <f t="shared" si="839"/>
        <v>| [ㄩㄢˊ](ㄩㄢˊ.md) | [援](援.md) |  | yuán | [動]
1.拉、牽引。《詩經．大雅．皇矣》：「以爾鉤援，與爾臨衝，以伐崇墉。」《周書．卷一九．達奚武傳》：「攀藤援枝，然後得上。」
2.引進。《禮記．儒行》：「苟利國家不求富貴，其舉賢援能有如此者。」宋．蘇軾〈答曾舍人啟〉：「某官異材秀出，博學名家，……今乃援而進之，論者惜其晚矣。」
3.引用。如：「援驗」。晉．郭璞〈爾雅序〉：「事有隱滯，援據徵之。」唐．劉洎〈諫詰難臣寮上言書〉：「飾辭以析其理，援古以排其議。」
4.持、拿。《左傳．成公二年》：「左并轡，右援枹而鼓。」《韓非子．內儲說下》：「援礪砥刀，利猶干將也。切肉肉斷，而髮不斷。」
5.救助。如：「援救」、「支援」。《孟子．離婁上》：「天下溺，援之以道；嫂溺，援之以手。」 |</v>
      </c>
    </row>
    <row r="13331" spans="1:44" hidden="1">
      <c r="A13331" s="1" t="s">
        <v>27559</v>
      </c>
      <c r="C13331" s="1">
        <v>1</v>
      </c>
      <c r="D13331" s="1" t="str">
        <f>"11781"</f>
        <v>11781</v>
      </c>
      <c r="E13331" s="1" t="s">
        <v>534</v>
      </c>
      <c r="F13331" s="1">
        <v>12</v>
      </c>
      <c r="G13331" s="1">
        <v>9</v>
      </c>
      <c r="H13331" s="1">
        <v>2</v>
      </c>
      <c r="I13331" s="1" t="s">
        <v>27534</v>
      </c>
      <c r="K13331" s="1" t="str">
        <f t="shared" si="840"/>
        <v>ㄩ</v>
      </c>
      <c r="L13331" s="1" t="str">
        <f t="shared" si="838"/>
        <v>ㄢ</v>
      </c>
      <c r="N13331" s="3" t="s">
        <v>30575</v>
      </c>
      <c r="O13331" s="3"/>
      <c r="P13331" s="1" t="s">
        <v>20</v>
      </c>
      <c r="R13331" s="1" t="s">
        <v>27535</v>
      </c>
      <c r="V13331" s="1" t="s">
        <v>27560</v>
      </c>
      <c r="W13331" s="1" t="s">
        <v>27561</v>
      </c>
      <c r="AR13331" s="1" t="str">
        <f t="shared" si="839"/>
        <v>| [ㄩㄢˊ](ㄩㄢˊ.md) | [媛](媛.md) |  | yuán | 參見「嬋媛」條。 |</v>
      </c>
    </row>
    <row r="13332" spans="1:44" hidden="1">
      <c r="A13332" s="1" t="s">
        <v>27562</v>
      </c>
      <c r="C13332" s="1">
        <v>1</v>
      </c>
      <c r="D13332" s="1" t="str">
        <f>"11782"</f>
        <v>11782</v>
      </c>
      <c r="E13332" s="1" t="s">
        <v>679</v>
      </c>
      <c r="F13332" s="1">
        <v>15</v>
      </c>
      <c r="G13332" s="1">
        <v>9</v>
      </c>
      <c r="H13332" s="1">
        <v>0</v>
      </c>
      <c r="I13332" s="1" t="s">
        <v>27534</v>
      </c>
      <c r="K13332" s="1" t="str">
        <f t="shared" si="840"/>
        <v>ㄩ</v>
      </c>
      <c r="L13332" s="1" t="str">
        <f t="shared" si="838"/>
        <v>ㄢ</v>
      </c>
      <c r="N13332" s="3" t="s">
        <v>30575</v>
      </c>
      <c r="O13332" s="3"/>
      <c r="P13332" s="1" t="s">
        <v>20</v>
      </c>
      <c r="R13332" s="1" t="s">
        <v>27535</v>
      </c>
      <c r="V13332" s="1" t="s">
        <v>27563</v>
      </c>
      <c r="AR13332" s="1" t="str">
        <f t="shared" si="839"/>
        <v>| [ㄩㄢˊ](ㄩㄢˊ.md) | [蝯](蝯.md) |  | yuán | [名]
一種善於攀援的獸類。《爾雅．釋獸》：「猱、蝯，善援。」晉．郭璞．注：「便攀援。」《漢書．卷八七．揚雄傳上》：「枳棘之榛榛兮，蝯貁擬而不敢下。」唐．顏師古．注：「蝯，善攀援。」 |</v>
      </c>
    </row>
    <row r="13333" spans="1:44" hidden="1">
      <c r="A13333" s="1" t="s">
        <v>27564</v>
      </c>
      <c r="C13333" s="1">
        <v>1</v>
      </c>
      <c r="D13333" s="1" t="str">
        <f>"11783"</f>
        <v>11783</v>
      </c>
      <c r="E13333" s="1" t="s">
        <v>272</v>
      </c>
      <c r="F13333" s="1">
        <v>20</v>
      </c>
      <c r="G13333" s="1">
        <v>9</v>
      </c>
      <c r="H13333" s="1">
        <v>0</v>
      </c>
      <c r="I13333" s="1" t="s">
        <v>27534</v>
      </c>
      <c r="K13333" s="1" t="str">
        <f t="shared" si="840"/>
        <v>ㄩ</v>
      </c>
      <c r="L13333" s="1" t="str">
        <f t="shared" si="838"/>
        <v>ㄢ</v>
      </c>
      <c r="N13333" s="3" t="s">
        <v>30575</v>
      </c>
      <c r="O13333" s="3"/>
      <c r="P13333" s="1" t="s">
        <v>20</v>
      </c>
      <c r="R13333" s="1" t="s">
        <v>27535</v>
      </c>
      <c r="V13333" s="1" t="s">
        <v>27565</v>
      </c>
      <c r="AR13333" s="1" t="str">
        <f t="shared" si="839"/>
        <v>| [ㄩㄢˊ](ㄩㄢˊ.md) | [鶢](鶢.md) |  | yuán | 參見「鶢鶋」條。 |</v>
      </c>
    </row>
    <row r="13334" spans="1:44" hidden="1">
      <c r="A13334" s="1" t="s">
        <v>27566</v>
      </c>
      <c r="C13334" s="1">
        <v>1</v>
      </c>
      <c r="D13334" s="1" t="str">
        <f>"11784"</f>
        <v>11784</v>
      </c>
      <c r="E13334" s="1" t="s">
        <v>340</v>
      </c>
      <c r="F13334" s="1">
        <v>10</v>
      </c>
      <c r="G13334" s="1">
        <v>4</v>
      </c>
      <c r="H13334" s="1">
        <v>0</v>
      </c>
      <c r="I13334" s="1" t="s">
        <v>27534</v>
      </c>
      <c r="K13334" s="1" t="str">
        <f t="shared" si="840"/>
        <v>ㄩ</v>
      </c>
      <c r="L13334" s="1" t="str">
        <f t="shared" si="838"/>
        <v>ㄢ</v>
      </c>
      <c r="N13334" s="3" t="s">
        <v>30575</v>
      </c>
      <c r="O13334" s="3"/>
      <c r="P13334" s="1" t="s">
        <v>20</v>
      </c>
      <c r="R13334" s="1" t="s">
        <v>27535</v>
      </c>
      <c r="V13334" s="1" t="s">
        <v>27567</v>
      </c>
      <c r="AR13334" s="1" t="str">
        <f t="shared" si="839"/>
        <v>| [ㄩㄢˊ](ㄩㄢˊ.md) | [袁](袁.md) |  | yuán | [形]
衣服長的樣子。《說文解字．衣部》：「袁，長衣貌。」
[名]
姓。如漢代有袁紹。 |</v>
      </c>
    </row>
    <row r="13335" spans="1:44" hidden="1">
      <c r="A13335" s="1" t="s">
        <v>27568</v>
      </c>
      <c r="C13335" s="1">
        <v>1</v>
      </c>
      <c r="D13335" s="1" t="str">
        <f>"11785"</f>
        <v>11785</v>
      </c>
      <c r="E13335" s="1" t="s">
        <v>2557</v>
      </c>
      <c r="F13335" s="1">
        <v>13</v>
      </c>
      <c r="G13335" s="1">
        <v>10</v>
      </c>
      <c r="H13335" s="1">
        <v>0</v>
      </c>
      <c r="I13335" s="1" t="s">
        <v>27534</v>
      </c>
      <c r="K13335" s="1" t="str">
        <f t="shared" si="840"/>
        <v>ㄩ</v>
      </c>
      <c r="L13335" s="1" t="str">
        <f t="shared" si="838"/>
        <v>ㄢ</v>
      </c>
      <c r="N13335" s="3" t="s">
        <v>30575</v>
      </c>
      <c r="O13335" s="3"/>
      <c r="P13335" s="1" t="s">
        <v>20</v>
      </c>
      <c r="R13335" s="1" t="s">
        <v>27535</v>
      </c>
      <c r="V13335" s="1" t="s">
        <v>27569</v>
      </c>
      <c r="AR13335" s="1" t="str">
        <f t="shared" si="839"/>
        <v>| [ㄩㄢˊ](ㄩㄢˊ.md) | [園](園.md) |  | yuán | [名]
1.種植花木、蔬果的地方。如：「果園」、「菜園」、「茶園」。《詩經．鄭風．將仲子》：「將仲子兮，無踰我園，無折我樹檀。」
2.供人遊覽、休憩的地方。如：「公園」、「遊樂園」。南朝宋．劉義慶《世說新語．簡傲》：「王子敬自會稽經吳，聞顧辟疆有名園。」
3.帝王、后妃等的墓地。《史記．卷一一八．淮南王傳》：「追尊諡淮南王為厲王，置園復如諸侯儀。」《後漢書．卷一．光武帝紀下》：「遷呂太后廟主于園，四時上祭。」 |</v>
      </c>
    </row>
    <row r="13336" spans="1:44" hidden="1">
      <c r="A13336" s="1" t="s">
        <v>27570</v>
      </c>
      <c r="C13336" s="1">
        <v>1</v>
      </c>
      <c r="D13336" s="1" t="str">
        <f>"11786"</f>
        <v>11786</v>
      </c>
      <c r="E13336" s="1" t="s">
        <v>198</v>
      </c>
      <c r="F13336" s="1">
        <v>13</v>
      </c>
      <c r="G13336" s="1">
        <v>10</v>
      </c>
      <c r="H13336" s="1">
        <v>0</v>
      </c>
      <c r="I13336" s="1" t="s">
        <v>27534</v>
      </c>
      <c r="K13336" s="1" t="str">
        <f t="shared" si="840"/>
        <v>ㄩ</v>
      </c>
      <c r="L13336" s="1" t="str">
        <f t="shared" si="838"/>
        <v>ㄢ</v>
      </c>
      <c r="N13336" s="3" t="s">
        <v>30575</v>
      </c>
      <c r="O13336" s="3"/>
      <c r="P13336" s="1" t="s">
        <v>20</v>
      </c>
      <c r="R13336" s="1" t="s">
        <v>27535</v>
      </c>
      <c r="V13336" s="1" t="s">
        <v>27571</v>
      </c>
      <c r="AR13336" s="1" t="str">
        <f t="shared" si="839"/>
        <v>| [ㄩㄢˊ](ㄩㄢˊ.md) | [猿](猿.md) |  | yuán | [名]
靈長目猿科動物的泛稱。與猴同類，惟頰下無囊，無尾，臀無堅皮。形似人，能坐能立，性聰慧，善於模倣，多生活於森林中。種類繁多，如長臂猿、黑猩猩等。 |</v>
      </c>
    </row>
    <row r="13337" spans="1:44" hidden="1">
      <c r="A13337" s="1" t="s">
        <v>27572</v>
      </c>
      <c r="C13337" s="1">
        <v>1</v>
      </c>
      <c r="D13337" s="1" t="str">
        <f>"11787"</f>
        <v>11787</v>
      </c>
      <c r="E13337" s="1" t="s">
        <v>71</v>
      </c>
      <c r="F13337" s="1">
        <v>17</v>
      </c>
      <c r="G13337" s="1">
        <v>10</v>
      </c>
      <c r="H13337" s="1">
        <v>0</v>
      </c>
      <c r="I13337" s="1" t="s">
        <v>27534</v>
      </c>
      <c r="K13337" s="1" t="str">
        <f t="shared" si="840"/>
        <v>ㄩ</v>
      </c>
      <c r="L13337" s="1" t="str">
        <f t="shared" si="838"/>
        <v>ㄢ</v>
      </c>
      <c r="N13337" s="3" t="s">
        <v>30575</v>
      </c>
      <c r="O13337" s="3"/>
      <c r="P13337" s="1" t="s">
        <v>20</v>
      </c>
      <c r="R13337" s="1" t="s">
        <v>27535</v>
      </c>
      <c r="V13337" s="1" t="s">
        <v>27573</v>
      </c>
      <c r="AR13337" s="1" t="str">
        <f t="shared" si="839"/>
        <v>| [ㄩㄢˊ](ㄩㄢˊ.md) | [轅](轅.md) |  | yuán | [名]
1.車前用來套駕牲畜的兩根直木，左右各一。唐．柳宗元〈行路難〉三首之二：「深林土剪十取一，百牛連鞅摧雙轅。」
2.衙門、官署。《浮生六記．卷四．浪遊記快》：「城中有何新聞，撫軍在轅否？」
3.姓。如漢代有轅固。
[動]
改易、更換。《國語．晉語三》：「且賞以悅眾，眾皆哭，焉作轅田？」 |</v>
      </c>
    </row>
    <row r="13338" spans="1:44" hidden="1">
      <c r="A13338" s="1" t="s">
        <v>27574</v>
      </c>
      <c r="C13338" s="1">
        <v>1</v>
      </c>
      <c r="D13338" s="1" t="str">
        <f>"11788"</f>
        <v>11788</v>
      </c>
      <c r="E13338" s="1" t="s">
        <v>1941</v>
      </c>
      <c r="F13338" s="1">
        <v>10</v>
      </c>
      <c r="G13338" s="1">
        <v>8</v>
      </c>
      <c r="H13338" s="1">
        <v>1</v>
      </c>
      <c r="I13338" s="1" t="s">
        <v>27534</v>
      </c>
      <c r="K13338" s="1" t="str">
        <f t="shared" si="840"/>
        <v>ㄩ</v>
      </c>
      <c r="L13338" s="1" t="str">
        <f t="shared" si="838"/>
        <v>ㄢ</v>
      </c>
      <c r="N13338" s="3" t="s">
        <v>30575</v>
      </c>
      <c r="O13338" s="3"/>
      <c r="P13338" s="1" t="s">
        <v>20</v>
      </c>
      <c r="R13338" s="1" t="s">
        <v>27535</v>
      </c>
      <c r="V13338" s="1" t="s">
        <v>27575</v>
      </c>
      <c r="W13338" s="1" t="s">
        <v>27576</v>
      </c>
      <c r="AR13338" s="1" t="str">
        <f t="shared" si="839"/>
        <v>| [ㄩㄢˊ](ㄩㄢˊ.md) | [原](原.md) |  | yuán | [動]
1.本於、發生於。《莊子．天下》：「聖有所生，王有所成，皆原於一。」《禮記．王制》：「凡聽五刑之訟，必原父子之親，立君臣之義。」
2.推究根源。《易經．繫辭下》：「易之為書也，原始要終，以為質也。」宋．沈括《夢溪筆談．卷二四．雜誌一》：「磁石之指南，猶柏之指西，莫可原其理。」
3.寬恕、諒解。如：「原諒」、「情有可原」。《後漢書．卷八一．獨行傳．范冉傳》：「冉首自劾退，詔書特原不理罪。」
[名]
1.根本。《呂氏春秋．孟冬紀．異用》：「萬物不同，而用之於人異也，此治亂存亡死生之原。」漢．王符《潛夫論．務本》：「游業末事以收民利，此貧邦之原也。」
2.廣大而平坦的地方。如：「平原」、「高原」。《書經．盤庚上》：「若火之燎于原，不可嚮邇，其猶可撲滅。」唐．白居易〈賦得古原草送別〉詩：「離離原上草，一歲一枯榮。」
3.姓。如春秋時魯國有原壤。
[形]
1.最初的、本來的。如：「原文」、「原著」、「原油」、「物歸原主」。
2.再。《淮南子．泰族》：「原蠶一歲再收，非不利也，然而王法禁之者，為其殘桑也。」《資治通鑑．卷二七一．後梁紀六．均王貞明六年》：「閏月、庚申朔，蜀主作高祖原廟于萬里橋。」
[副]
本來。唐．薛能〈贈隱者〉詩：「甘貧原是道，苦學不為名。」《紅樓夢》第四二回：「賈母原沒有大病，不過是勞乏了，兼著了些涼。」 |</v>
      </c>
    </row>
    <row r="13339" spans="1:44" hidden="1">
      <c r="A13339" s="1" t="s">
        <v>27577</v>
      </c>
      <c r="C13339" s="1">
        <v>1</v>
      </c>
      <c r="D13339" s="1" t="str">
        <f>"11789"</f>
        <v>11789</v>
      </c>
      <c r="E13339" s="1" t="s">
        <v>129</v>
      </c>
      <c r="F13339" s="1">
        <v>13</v>
      </c>
      <c r="G13339" s="1">
        <v>10</v>
      </c>
      <c r="H13339" s="1">
        <v>0</v>
      </c>
      <c r="I13339" s="1" t="s">
        <v>27534</v>
      </c>
      <c r="K13339" s="1" t="str">
        <f t="shared" si="840"/>
        <v>ㄩ</v>
      </c>
      <c r="L13339" s="1" t="str">
        <f t="shared" si="838"/>
        <v>ㄢ</v>
      </c>
      <c r="N13339" s="3" t="s">
        <v>30575</v>
      </c>
      <c r="O13339" s="3"/>
      <c r="P13339" s="1" t="s">
        <v>20</v>
      </c>
      <c r="R13339" s="1" t="s">
        <v>27535</v>
      </c>
      <c r="V13339" s="1" t="s">
        <v>27578</v>
      </c>
      <c r="AR13339" s="1" t="str">
        <f t="shared" si="839"/>
        <v>| [ㄩㄢˊ](ㄩㄢˊ.md) | [源](源.md) |  | yuán | [名]
1.水流的出處。如：「水源」、「泉源」、「飲水思源」。《國語．晉語一》：「伐木不自其本，必復生；塞水不自其源，必復流。」唐．李嶠〈河〉詩：「源出崑崙中，長波接漢空。」
2.根本、由來。《韓非子．主道》：「是以明君守始以知萬物之源，治紀以知善敗之端。」《文選．班固．東都賦》：「嗜欲之源滅，廉恥之心生。」
3.姓。如唐代有源乾曜。 |</v>
      </c>
    </row>
    <row r="13340" spans="1:44" hidden="1">
      <c r="A13340" s="1" t="s">
        <v>27579</v>
      </c>
      <c r="C13340" s="1">
        <v>1</v>
      </c>
      <c r="D13340" s="1" t="str">
        <f>"11790"</f>
        <v>11790</v>
      </c>
      <c r="E13340" s="1" t="s">
        <v>534</v>
      </c>
      <c r="F13340" s="1">
        <v>13</v>
      </c>
      <c r="G13340" s="1">
        <v>10</v>
      </c>
      <c r="H13340" s="1">
        <v>0</v>
      </c>
      <c r="I13340" s="1" t="s">
        <v>27534</v>
      </c>
      <c r="K13340" s="1" t="str">
        <f t="shared" si="840"/>
        <v>ㄩ</v>
      </c>
      <c r="L13340" s="1" t="str">
        <f t="shared" si="838"/>
        <v>ㄢ</v>
      </c>
      <c r="N13340" s="3" t="s">
        <v>30575</v>
      </c>
      <c r="O13340" s="3"/>
      <c r="P13340" s="1" t="s">
        <v>20</v>
      </c>
      <c r="R13340" s="1" t="s">
        <v>27535</v>
      </c>
      <c r="V13340" s="1" t="s">
        <v>27580</v>
      </c>
      <c r="AR13340" s="1" t="str">
        <f t="shared" si="839"/>
        <v>| [ㄩㄢˊ](ㄩㄢˊ.md) | [嫄](嫄.md) |  | yuán | 參見「姜嫄」條。 |</v>
      </c>
    </row>
    <row r="13341" spans="1:44" hidden="1">
      <c r="A13341" s="1" t="s">
        <v>27581</v>
      </c>
      <c r="C13341" s="1">
        <v>1</v>
      </c>
      <c r="D13341" s="1" t="str">
        <f>"11791"</f>
        <v>11791</v>
      </c>
      <c r="E13341" s="1" t="s">
        <v>43</v>
      </c>
      <c r="F13341" s="1">
        <v>16</v>
      </c>
      <c r="G13341" s="1">
        <v>10</v>
      </c>
      <c r="H13341" s="1">
        <v>0</v>
      </c>
      <c r="I13341" s="1" t="s">
        <v>27534</v>
      </c>
      <c r="K13341" s="1" t="str">
        <f t="shared" si="840"/>
        <v>ㄩ</v>
      </c>
      <c r="L13341" s="1" t="str">
        <f t="shared" ref="L13341:L13372" si="841">MID(I13341, 2, 1)</f>
        <v>ㄢ</v>
      </c>
      <c r="N13341" s="3" t="s">
        <v>30575</v>
      </c>
      <c r="O13341" s="3"/>
      <c r="P13341" s="1" t="s">
        <v>20</v>
      </c>
      <c r="R13341" s="1" t="s">
        <v>27535</v>
      </c>
      <c r="V13341" s="1" t="s">
        <v>27582</v>
      </c>
      <c r="AR13341" s="1" t="str">
        <f t="shared" si="839"/>
        <v>| [ㄩㄢˊ](ㄩㄢˊ.md) | [羱](羱.md) |  | yuán | 參見「羱羊」條。 |</v>
      </c>
    </row>
    <row r="13342" spans="1:44" hidden="1">
      <c r="A13342" s="1" t="s">
        <v>27583</v>
      </c>
      <c r="C13342" s="1">
        <v>1</v>
      </c>
      <c r="D13342" s="1" t="str">
        <f>"11792"</f>
        <v>11792</v>
      </c>
      <c r="E13342" s="1" t="s">
        <v>679</v>
      </c>
      <c r="F13342" s="1">
        <v>16</v>
      </c>
      <c r="G13342" s="1">
        <v>10</v>
      </c>
      <c r="H13342" s="1">
        <v>0</v>
      </c>
      <c r="I13342" s="1" t="s">
        <v>27534</v>
      </c>
      <c r="K13342" s="1" t="str">
        <f t="shared" si="840"/>
        <v>ㄩ</v>
      </c>
      <c r="L13342" s="1" t="str">
        <f t="shared" si="841"/>
        <v>ㄢ</v>
      </c>
      <c r="N13342" s="3" t="s">
        <v>30575</v>
      </c>
      <c r="O13342" s="3"/>
      <c r="P13342" s="1" t="s">
        <v>20</v>
      </c>
      <c r="R13342" s="1" t="s">
        <v>27535</v>
      </c>
      <c r="V13342" s="1" t="s">
        <v>27584</v>
      </c>
      <c r="AR13342" s="1" t="str">
        <f t="shared" si="839"/>
        <v>| [ㄩㄢˊ](ㄩㄢˊ.md) | [螈](螈.md) |  | yuán | 參見「蠑螈」、「螈蠶」等條。 |</v>
      </c>
    </row>
    <row r="13343" spans="1:44" hidden="1">
      <c r="A13343" s="1" t="s">
        <v>27585</v>
      </c>
      <c r="C13343" s="1">
        <v>1</v>
      </c>
      <c r="D13343" s="1" t="str">
        <f>"11793"</f>
        <v>11793</v>
      </c>
      <c r="E13343" s="1" t="s">
        <v>319</v>
      </c>
      <c r="F13343" s="1">
        <v>20</v>
      </c>
      <c r="G13343" s="1">
        <v>10</v>
      </c>
      <c r="H13343" s="1">
        <v>0</v>
      </c>
      <c r="I13343" s="1" t="s">
        <v>27534</v>
      </c>
      <c r="K13343" s="1" t="str">
        <f t="shared" si="840"/>
        <v>ㄩ</v>
      </c>
      <c r="L13343" s="1" t="str">
        <f t="shared" si="841"/>
        <v>ㄢ</v>
      </c>
      <c r="N13343" s="3" t="s">
        <v>30575</v>
      </c>
      <c r="O13343" s="3"/>
      <c r="P13343" s="1" t="s">
        <v>20</v>
      </c>
      <c r="R13343" s="1" t="s">
        <v>27535</v>
      </c>
      <c r="V13343" s="1" t="s">
        <v>27586</v>
      </c>
      <c r="AR13343" s="1" t="str">
        <f t="shared" si="839"/>
        <v>| [ㄩㄢˊ](ㄩㄢˊ.md) | [騵](騵.md) |  | yuán | [名]
赤毛白腹的馬。《廣韻．平聲．元韻》：「騵，赤馬白腹。」《詩經．大雅．大明》：「牧野洋洋，檀車煌煌，駟騵彭彭。」漢．毛亨．傳：「騮馬白腹曰騵。」 |</v>
      </c>
    </row>
    <row r="13344" spans="1:44" hidden="1">
      <c r="A13344" s="1" t="s">
        <v>27587</v>
      </c>
      <c r="C13344" s="1">
        <v>1</v>
      </c>
      <c r="D13344" s="1" t="str">
        <f>"11794"</f>
        <v>11794</v>
      </c>
      <c r="E13344" s="1" t="s">
        <v>28</v>
      </c>
      <c r="F13344" s="1">
        <v>10</v>
      </c>
      <c r="G13344" s="1">
        <v>7</v>
      </c>
      <c r="H13344" s="1">
        <v>1</v>
      </c>
      <c r="I13344" s="1" t="s">
        <v>27534</v>
      </c>
      <c r="K13344" s="1" t="str">
        <f t="shared" si="840"/>
        <v>ㄩ</v>
      </c>
      <c r="L13344" s="1" t="str">
        <f t="shared" si="841"/>
        <v>ㄢ</v>
      </c>
      <c r="N13344" s="3" t="s">
        <v>30575</v>
      </c>
      <c r="O13344" s="3"/>
      <c r="P13344" s="1" t="s">
        <v>20</v>
      </c>
      <c r="R13344" s="1" t="s">
        <v>27535</v>
      </c>
      <c r="V13344" s="1" t="s">
        <v>27588</v>
      </c>
      <c r="W13344" s="1" t="s">
        <v>27589</v>
      </c>
      <c r="AR13344" s="1" t="str">
        <f t="shared" si="839"/>
        <v>| [ㄩㄢˊ](ㄩㄢˊ.md) | [員](員.md) |  | yuán | [名]
1.圓形。通「圓」。《孟子．離婁上》：「規矩，方員之至也。」《淮南子．原道》：「員者常轉，窾者主浮，自然之勢也。」
2.周圍。如：「幅員廣大」。《詩經．商頌．玄鳥》：「景員維河，殷受命咸宜，百祿是何。」
3.人、物的數額。《史記．卷七六．平原君虞卿傳》：「今少一人，願君即以遂備員而行矣。」《漢書．卷七六．尹翁歸傳》：「豪彊有論罪，輸掌畜官，使斫莝，責以員程，不得取代。」唐．顏師古．注：「員，數也。計其人及日數為功程。」
4.從事某種職業的人。如：「教員」、「服務員」、「公務員」。
5.團體中的一分子。如：「黨員」、「會員」、「團員」。
6.量詞。計算人數的單位。如：「一員武將」。唐．韓愈〈江西觀察使韋公墓誌銘〉：「故事，使外國者，常賜州縣官十員，使以名上，以便其私，號私覿官。」《三國演義》第一五回：「原來那寨後放火的，乃是兩員健將。」 |</v>
      </c>
    </row>
    <row r="13345" spans="1:44" hidden="1">
      <c r="A13345" s="1" t="s">
        <v>27590</v>
      </c>
      <c r="C13345" s="1">
        <v>1</v>
      </c>
      <c r="D13345" s="1" t="str">
        <f>"11795"</f>
        <v>11795</v>
      </c>
      <c r="E13345" s="1" t="s">
        <v>2557</v>
      </c>
      <c r="F13345" s="1">
        <v>13</v>
      </c>
      <c r="G13345" s="1">
        <v>10</v>
      </c>
      <c r="H13345" s="1">
        <v>0</v>
      </c>
      <c r="I13345" s="1" t="s">
        <v>27534</v>
      </c>
      <c r="K13345" s="1" t="str">
        <f t="shared" si="840"/>
        <v>ㄩ</v>
      </c>
      <c r="L13345" s="1" t="str">
        <f t="shared" si="841"/>
        <v>ㄢ</v>
      </c>
      <c r="N13345" s="3" t="s">
        <v>30575</v>
      </c>
      <c r="O13345" s="3"/>
      <c r="P13345" s="1" t="s">
        <v>20</v>
      </c>
      <c r="R13345" s="1" t="s">
        <v>27535</v>
      </c>
      <c r="V13345" s="1" t="s">
        <v>27591</v>
      </c>
      <c r="AR13345" s="1" t="str">
        <f t="shared" si="839"/>
        <v>| [ㄩㄢˊ](ㄩㄢˊ.md) | [圓](圓.md) |  | yuán | [形]
1.不露稜角的、環形的。相對於「方」。如：「圓球」、「圓桌」。
2.完整、周全、豐滿。《呂氏春秋．士容論．審時》：「疏穖而穗大，其粟圓而薄糠。」南朝梁．劉勰《文心雕龍．明詩》：「自商暨周，雅頌圓備。」
3.婉轉、滑潤。唐．元稹〈善歌如貫珠賦〉：「吟斷章而離離若間，引妙囀而一一皆圓。」明．湯顯祖《牡丹亭》第一〇齣：「生生燕語明如翦，嚦嚦鶯歌溜的圓。」
[名]
1.從中心到周圍每一點的距離都相等的形體稱為「圓」。《墨子．法儀》：「百工為方以矩，為圓以規。」
2.貨幣的名稱。如：「金圓」、「銀圓」、「日圓」。
3.量詞。計算錢幣的單位。一圓等於十角。如：「拾圓」、「伍圓」。
[動]
完成、使完整。如：「圓謊」、「自圓其說」。《紅樓夢》第六八回：「暫且住著，等滿了服再圓房。」 |</v>
      </c>
    </row>
    <row r="13346" spans="1:44" hidden="1">
      <c r="A13346" s="1" t="s">
        <v>27592</v>
      </c>
      <c r="C13346" s="1">
        <v>1</v>
      </c>
      <c r="D13346" s="1" t="str">
        <f>"11796"</f>
        <v>11796</v>
      </c>
      <c r="E13346" s="1" t="s">
        <v>691</v>
      </c>
      <c r="F13346" s="1">
        <v>13</v>
      </c>
      <c r="G13346" s="1">
        <v>10</v>
      </c>
      <c r="H13346" s="1">
        <v>2</v>
      </c>
      <c r="I13346" s="1" t="s">
        <v>27534</v>
      </c>
      <c r="K13346" s="1" t="str">
        <f t="shared" si="840"/>
        <v>ㄩ</v>
      </c>
      <c r="L13346" s="1" t="str">
        <f t="shared" si="841"/>
        <v>ㄢ</v>
      </c>
      <c r="N13346" s="3" t="s">
        <v>30575</v>
      </c>
      <c r="O13346" s="3"/>
      <c r="P13346" s="1" t="s">
        <v>20</v>
      </c>
      <c r="R13346" s="1" t="s">
        <v>27535</v>
      </c>
      <c r="V13346" s="1" t="s">
        <v>27593</v>
      </c>
      <c r="W13346" s="1" t="s">
        <v>27594</v>
      </c>
      <c r="AR13346" s="1" t="str">
        <f t="shared" si="839"/>
        <v>| [ㄩㄢˊ](ㄩㄢˊ.md) | [隕](隕.md) |  | yuán | [名]
周圍。通「員」。《詩經．商頌．長發》：「方外大國是疆，幅隕既長。」 |</v>
      </c>
    </row>
    <row r="13347" spans="1:44" hidden="1">
      <c r="A13347" s="1" t="s">
        <v>27595</v>
      </c>
      <c r="C13347" s="1">
        <v>1</v>
      </c>
      <c r="D13347" s="1" t="str">
        <f>"11797"</f>
        <v>11797</v>
      </c>
      <c r="E13347" s="1" t="s">
        <v>725</v>
      </c>
      <c r="F13347" s="1">
        <v>15</v>
      </c>
      <c r="G13347" s="1">
        <v>9</v>
      </c>
      <c r="H13347" s="1">
        <v>1</v>
      </c>
      <c r="I13347" s="1" t="s">
        <v>27534</v>
      </c>
      <c r="K13347" s="1" t="str">
        <f t="shared" si="840"/>
        <v>ㄩ</v>
      </c>
      <c r="L13347" s="1" t="str">
        <f t="shared" si="841"/>
        <v>ㄢ</v>
      </c>
      <c r="N13347" s="3" t="s">
        <v>30575</v>
      </c>
      <c r="O13347" s="3"/>
      <c r="P13347" s="1" t="s">
        <v>20</v>
      </c>
      <c r="R13347" s="1" t="s">
        <v>27535</v>
      </c>
      <c r="V13347" s="1" t="s">
        <v>27596</v>
      </c>
      <c r="W13347" s="1" t="s">
        <v>27597</v>
      </c>
      <c r="AR13347" s="1" t="str">
        <f t="shared" si="839"/>
        <v>| [ㄩㄢˊ](ㄩㄢˊ.md) | [緣](緣.md) |  | yuán | [名]
1.衣服的花邊。《戰國策．齊策四》：「下宮糅羅紈，曳綺縠，而士不得以為緣。」《後漢書．卷一〇．皇后紀上．明德馬皇后紀》：「常衣大練，裙不加緣。」
2.器物的邊沿。《周書．卷一八．王羆傳》：「嘗有臺使，羆為其設食，使乃裂其薄餅緣。」唐．李商隱〈贈子直花下〉詩：「屏緣蝶留粉，窗油蜂印黃。」
3.原因。如：「無緣無故」。
4.人與人或事物之間遇合的機會。《史記．卷一〇四．田叔傳》：「（任安）少孤貧困，為人將車之長安，留，求事為小吏，未有因緣也，因占著名數。」唐．杜甫〈清明〉詩二首之一：「繡羽銜花他自得，紅顏騎竹我無緣。」
[動]
1.攀爬。《孟子．梁惠王上》：「以若所為，求若所欲，猶緣木而求魚也。」明．徐弘祖《徐霞客遊記．卷一．遊天台山日記》：「余赤足跳草莽中，揉木緣崖，蓮舟不能從。」
2.圍繞。《荀子．議兵》：「限之以鄧林，緣之以方城。」三國魏．曹植〈苦思行〉：「綠蘿緣玉樹，光曜粲相暉。」
3.沿、循。晉．陶淵明〈桃花源記〉：「緣溪行，忘路之遠近。」《南史．卷二．宋文帝本紀》：「壬午，內外戒嚴，緣江六七百里舳艫相接。」
4.憑藉。《荀子．正名》：「徵知，則緣耳而知聲可也，緣目而知形可也。」《後漢書．卷五四．楊震傳》：「安帝乳母王聖，因保養勤，緣恩放恣。」
[介]
因為、由於。唐．杜甫〈客至〉詩：「花徑不曾緣客掃，蓬門今始為君開。」宋．蘇軾〈題西林壁〉詩：「不識廬山真面目，只緣身在此山中。」 |</v>
      </c>
    </row>
    <row r="13348" spans="1:44" hidden="1">
      <c r="A13348" s="1" t="s">
        <v>27598</v>
      </c>
      <c r="C13348" s="1">
        <v>1</v>
      </c>
      <c r="D13348" s="1" t="str">
        <f>"11798"</f>
        <v>11798</v>
      </c>
      <c r="E13348" s="1" t="s">
        <v>139</v>
      </c>
      <c r="F13348" s="1">
        <v>19</v>
      </c>
      <c r="G13348" s="1">
        <v>15</v>
      </c>
      <c r="H13348" s="1">
        <v>0</v>
      </c>
      <c r="I13348" s="1" t="s">
        <v>27534</v>
      </c>
      <c r="K13348" s="1" t="str">
        <f t="shared" si="840"/>
        <v>ㄩ</v>
      </c>
      <c r="L13348" s="1" t="str">
        <f t="shared" si="841"/>
        <v>ㄢ</v>
      </c>
      <c r="N13348" s="3" t="s">
        <v>30575</v>
      </c>
      <c r="O13348" s="3"/>
      <c r="P13348" s="1" t="s">
        <v>20</v>
      </c>
      <c r="R13348" s="1" t="s">
        <v>27535</v>
      </c>
      <c r="V13348" s="1" t="s">
        <v>27599</v>
      </c>
      <c r="AR13348" s="1" t="str">
        <f t="shared" si="839"/>
        <v>| [ㄩㄢˊ](ㄩㄢˊ.md) | [櫞](櫞.md) |  | yuán | [名]
植物名。芸香科柑桔屬，「枸櫞」、「香櫞」之古稱，參見「枸櫞」條。 |</v>
      </c>
    </row>
    <row r="13349" spans="1:44" hidden="1">
      <c r="A13349" s="1" t="s">
        <v>12526</v>
      </c>
      <c r="C13349" s="1">
        <v>1</v>
      </c>
      <c r="D13349" s="1" t="str">
        <f>"11799"</f>
        <v>11799</v>
      </c>
      <c r="E13349" s="1" t="s">
        <v>2557</v>
      </c>
      <c r="F13349" s="1">
        <v>16</v>
      </c>
      <c r="G13349" s="1">
        <v>13</v>
      </c>
      <c r="H13349" s="1">
        <v>1</v>
      </c>
      <c r="I13349" s="1" t="s">
        <v>27534</v>
      </c>
      <c r="K13349" s="1" t="str">
        <f t="shared" si="840"/>
        <v>ㄩ</v>
      </c>
      <c r="L13349" s="1" t="str">
        <f t="shared" si="841"/>
        <v>ㄢ</v>
      </c>
      <c r="N13349" s="3" t="s">
        <v>30575</v>
      </c>
      <c r="O13349" s="3"/>
      <c r="P13349" s="1" t="s">
        <v>20</v>
      </c>
      <c r="R13349" s="1" t="s">
        <v>27535</v>
      </c>
      <c r="V13349" s="1" t="s">
        <v>27600</v>
      </c>
      <c r="W13349" s="1" t="s">
        <v>27601</v>
      </c>
      <c r="AR13349" s="1" t="str">
        <f t="shared" si="839"/>
        <v>| [ㄩㄢˊ](ㄩㄢˊ.md) | [圜](圜.md) |  | yuán | [名]
1.天體。《易經．說卦》：「乾為天，為圜。」《楚辭．屈原．天問》：「圜則九重，孰營度之？」
2.圓、圓形。《周禮．冬官考工記．輿人》：「圜者中規，方者中矩。」《史記．卷一二二．酷吏傳．序》：「破觚而為圜，斲雕而為朴。」 |</v>
      </c>
    </row>
    <row r="13350" spans="1:44" hidden="1">
      <c r="A13350" s="1" t="s">
        <v>27602</v>
      </c>
      <c r="C13350" s="1">
        <v>1</v>
      </c>
      <c r="D13350" s="1" t="str">
        <f>"11800"</f>
        <v>11800</v>
      </c>
      <c r="E13350" s="1" t="s">
        <v>558</v>
      </c>
      <c r="F13350" s="1">
        <v>14</v>
      </c>
      <c r="G13350" s="1">
        <v>10</v>
      </c>
      <c r="H13350" s="1">
        <v>1</v>
      </c>
      <c r="I13350" s="1" t="s">
        <v>27603</v>
      </c>
      <c r="K13350" s="1" t="str">
        <f t="shared" si="840"/>
        <v>ㄩ</v>
      </c>
      <c r="L13350" s="1" t="str">
        <f t="shared" si="841"/>
        <v>ㄢ</v>
      </c>
      <c r="N13350" s="3" t="s">
        <v>30576</v>
      </c>
      <c r="O13350" s="3"/>
      <c r="P13350" s="1" t="s">
        <v>20</v>
      </c>
      <c r="R13350" s="1" t="s">
        <v>27604</v>
      </c>
      <c r="V13350" s="1" t="s">
        <v>27605</v>
      </c>
      <c r="W13350" s="1" t="s">
        <v>27606</v>
      </c>
      <c r="AR13350" s="1" t="str">
        <f t="shared" si="839"/>
        <v>| [ㄩㄢˇ](ㄩㄢˇ.md) | [遠](遠.md) |  | yuǎn | [形]
1.時間、空間的距離大。與「近」相對。如：「遙遠」、「邊遠」、「長遠」。《詩經．豳風．七月》：「取彼斧斨，以伐遠揚。」《警世通言．卷一一．蘇知縣羅衫再合》：「因船是年遠的，又帶貨太重，發起漏來。」
2.深奧。如：「深遠」。《易經．繫辭下》：「其旨遠，其辭文，其言曲而中。」
3.血緣關係不近的。如：「遠親不如近鄰」。《禮記．檀弓上》：「有殯，聞遠兄弟之喪，雖緦必往，非兄弟，雖鄰不往。」唐．杜甫〈鄭典設自施州歸〉詩：「中宵愜良會，裴鄭非遠戚。」
[名]
姓。如五代時有遠建平。 |</v>
      </c>
    </row>
    <row r="13351" spans="1:44" hidden="1">
      <c r="A13351" s="1" t="s">
        <v>27696</v>
      </c>
      <c r="C13351" s="1">
        <v>1</v>
      </c>
      <c r="D13351" s="1" t="str">
        <f>"11842"</f>
        <v>11842</v>
      </c>
      <c r="E13351" s="1" t="s">
        <v>241</v>
      </c>
      <c r="F13351" s="1">
        <v>5</v>
      </c>
      <c r="G13351" s="1">
        <v>2</v>
      </c>
      <c r="H13351" s="1">
        <v>0</v>
      </c>
      <c r="I13351" s="1" t="s">
        <v>27697</v>
      </c>
      <c r="K13351" s="1" t="str">
        <f t="shared" si="840"/>
        <v>ㄩ</v>
      </c>
      <c r="L13351" s="1" t="str">
        <f t="shared" si="841"/>
        <v>ㄣ</v>
      </c>
      <c r="N13351" s="3" t="s">
        <v>30574</v>
      </c>
      <c r="O13351" s="3"/>
      <c r="P13351" s="1" t="s">
        <v>20</v>
      </c>
      <c r="R13351" s="1" t="s">
        <v>27698</v>
      </c>
      <c r="V13351" s="1" t="s">
        <v>27699</v>
      </c>
      <c r="AR13351" s="1" t="str">
        <f t="shared" si="839"/>
        <v>| [ㄩㄣˋ](ㄩㄣˋ.md) | [孕](孕.md) |  | yùn | [動]
1.懷胎。《易經．漸卦．九三》：「夫征不復，婦孕不育。」《國語．魯語上》：「鳥獸孕，水蟲成。」
2.培養。南朝梁．劉勰《文心雕龍．神思》：「拙辭或孕於巧義，庸事或萌於新意。」唐．李白〈述德兼陳情上哥舒大夫〉詩：「天為國家孕英才，森森矛戟擁靈臺。」
3.包含。如：「包孕」、「孕含」。唐．白居易〈與元九書〉：「於是乎孕大含深，貫微洞密。」 |</v>
      </c>
    </row>
    <row r="13352" spans="1:44" hidden="1">
      <c r="A13352" s="1" t="s">
        <v>14741</v>
      </c>
      <c r="C13352" s="1">
        <v>1</v>
      </c>
      <c r="D13352" s="1" t="str">
        <f>"11843"</f>
        <v>11843</v>
      </c>
      <c r="E13352" s="1" t="s">
        <v>132</v>
      </c>
      <c r="F13352" s="1">
        <v>7</v>
      </c>
      <c r="G13352" s="1">
        <v>4</v>
      </c>
      <c r="H13352" s="1">
        <v>2</v>
      </c>
      <c r="I13352" s="1" t="s">
        <v>27697</v>
      </c>
      <c r="K13352" s="1" t="str">
        <f t="shared" si="840"/>
        <v>ㄩ</v>
      </c>
      <c r="L13352" s="1" t="str">
        <f t="shared" si="841"/>
        <v>ㄣ</v>
      </c>
      <c r="N13352" s="3" t="s">
        <v>30574</v>
      </c>
      <c r="O13352" s="3"/>
      <c r="P13352" s="1" t="s">
        <v>20</v>
      </c>
      <c r="R13352" s="1" t="s">
        <v>27698</v>
      </c>
      <c r="V13352" s="1" t="s">
        <v>27700</v>
      </c>
      <c r="W13352" s="1" t="s">
        <v>27701</v>
      </c>
      <c r="AR13352" s="1" t="str">
        <f t="shared" si="839"/>
        <v>| [ㄩㄣˋ](ㄩㄣˋ.md) | [均](均.md) |  | yùn | [名]
和諧的音。通「韻」。《文選．成公綏．嘯賦》：「音均不恆，曲無定制。」 |</v>
      </c>
    </row>
    <row r="13353" spans="1:44" hidden="1">
      <c r="A13353" s="1" t="s">
        <v>27587</v>
      </c>
      <c r="C13353" s="1">
        <v>1</v>
      </c>
      <c r="D13353" s="1" t="str">
        <f>"11844"</f>
        <v>11844</v>
      </c>
      <c r="E13353" s="1" t="s">
        <v>28</v>
      </c>
      <c r="F13353" s="1">
        <v>10</v>
      </c>
      <c r="G13353" s="1">
        <v>7</v>
      </c>
      <c r="H13353" s="1">
        <v>3</v>
      </c>
      <c r="I13353" s="1" t="s">
        <v>27697</v>
      </c>
      <c r="K13353" s="1" t="str">
        <f t="shared" si="840"/>
        <v>ㄩ</v>
      </c>
      <c r="L13353" s="1" t="str">
        <f t="shared" si="841"/>
        <v>ㄣ</v>
      </c>
      <c r="N13353" s="3" t="s">
        <v>30574</v>
      </c>
      <c r="O13353" s="3"/>
      <c r="P13353" s="1" t="s">
        <v>20</v>
      </c>
      <c r="R13353" s="1" t="s">
        <v>27698</v>
      </c>
      <c r="V13353" s="1" t="s">
        <v>27702</v>
      </c>
      <c r="W13353" s="1" t="s">
        <v>27703</v>
      </c>
      <c r="AR13353" s="1" t="str">
        <f t="shared" si="839"/>
        <v>| [ㄩㄣˋ](ㄩㄣˋ.md) | [員](員.md) |  | yùn | [名]_x000D_
姓。如唐代有員半千。 |</v>
      </c>
    </row>
    <row r="13354" spans="1:44" hidden="1">
      <c r="A13354" s="1" t="s">
        <v>27704</v>
      </c>
      <c r="C13354" s="1">
        <v>1</v>
      </c>
      <c r="D13354" s="1" t="str">
        <f>"11845"</f>
        <v>11845</v>
      </c>
      <c r="E13354" s="1" t="s">
        <v>14314</v>
      </c>
      <c r="F13354" s="1">
        <v>19</v>
      </c>
      <c r="G13354" s="1">
        <v>10</v>
      </c>
      <c r="H13354" s="1">
        <v>0</v>
      </c>
      <c r="I13354" s="1" t="s">
        <v>27697</v>
      </c>
      <c r="K13354" s="1" t="str">
        <f t="shared" si="840"/>
        <v>ㄩ</v>
      </c>
      <c r="L13354" s="1" t="str">
        <f t="shared" si="841"/>
        <v>ㄣ</v>
      </c>
      <c r="N13354" s="3" t="s">
        <v>30574</v>
      </c>
      <c r="O13354" s="3"/>
      <c r="P13354" s="1" t="s">
        <v>20</v>
      </c>
      <c r="R13354" s="1" t="s">
        <v>27698</v>
      </c>
      <c r="V13354" s="1" t="s">
        <v>27705</v>
      </c>
      <c r="AR13354" s="1" t="str">
        <f t="shared" si="839"/>
        <v>| [ㄩㄣˋ](ㄩㄣˋ.md) | [韻](韻.md) |  | yùn | [名]
1.聲韻學將漢字音節分為前後兩部分，開頭部分為聲，聲之後即為韻。最複雜的韻包括韻首、韻腹、韻尾三部分。參見「韻母」條。
2.詩賦文學中的韻腳，或押韻之字，詩韻只考慮韻腹、韻尾是否相同。如東、公同屬一韻。南朝梁．劉勰《文心雕龍．聲律》：「異音相從謂之和，同聲相應謂之韻。」唐．王勃〈滕王閣序〉：「一言均賦，四韻俱成。」
3.和諧的聲音。如：「琴韻悠揚」。漢．蔡邕〈琴賦〉：「于是繁絃既抑，雅韻復揚。」
4.神態、風度、情趣。如：「風韻猶存」、「神韻」。晉．陶淵明〈歸園田居〉詩五首之一：「少無適俗韻，性本愛丘山。」《南史．卷二〇．謝弘微傳》：「康樂誕通度，實有名家韻，若加繩染功，剖瑩乃瓊瑾。」
[形]
風雅、風趣。南朝宋．劉義慶《世說新語．言語》：「或言道人畜馬不韻，支曰：『貧道重其神駿。』」《醒世恆言．卷二五．獨孤生歸途鬧夢》：「卻恁般淒楚，忒煞不韻！該罰！該罰！」 |</v>
      </c>
    </row>
    <row r="13355" spans="1:44" hidden="1">
      <c r="A13355" s="1" t="s">
        <v>27706</v>
      </c>
      <c r="C13355" s="1">
        <v>1</v>
      </c>
      <c r="D13355" s="1" t="str">
        <f>"11846"</f>
        <v>11846</v>
      </c>
      <c r="E13355" s="1" t="s">
        <v>250</v>
      </c>
      <c r="F13355" s="1">
        <v>12</v>
      </c>
      <c r="G13355" s="1">
        <v>9</v>
      </c>
      <c r="H13355" s="1">
        <v>0</v>
      </c>
      <c r="I13355" s="1" t="s">
        <v>27697</v>
      </c>
      <c r="K13355" s="1" t="str">
        <f t="shared" si="840"/>
        <v>ㄩ</v>
      </c>
      <c r="L13355" s="1" t="str">
        <f t="shared" si="841"/>
        <v>ㄣ</v>
      </c>
      <c r="N13355" s="3" t="s">
        <v>30574</v>
      </c>
      <c r="O13355" s="3"/>
      <c r="P13355" s="1" t="s">
        <v>20</v>
      </c>
      <c r="R13355" s="1" t="s">
        <v>27698</v>
      </c>
      <c r="V13355" s="1" t="s">
        <v>27707</v>
      </c>
      <c r="AR13355" s="1" t="str">
        <f t="shared" si="839"/>
        <v>| [ㄩㄣˋ](ㄩㄣˋ.md) | [惲](惲.md) |  | yùn | [形]
渾厚。《說文解字．心部》：「惲，重厚也。」
[動]
籌劃。《玉篇．心部》：「惲，謀也，議也。」
[名]
姓。如清代有惲敬。 |</v>
      </c>
    </row>
    <row r="13356" spans="1:44" hidden="1">
      <c r="A13356" s="1" t="s">
        <v>27708</v>
      </c>
      <c r="C13356" s="1">
        <v>1</v>
      </c>
      <c r="D13356" s="1" t="str">
        <f>"11847"</f>
        <v>11847</v>
      </c>
      <c r="E13356" s="1" t="s">
        <v>256</v>
      </c>
      <c r="F13356" s="1">
        <v>12</v>
      </c>
      <c r="G13356" s="1">
        <v>9</v>
      </c>
      <c r="H13356" s="1">
        <v>0</v>
      </c>
      <c r="I13356" s="1" t="s">
        <v>27697</v>
      </c>
      <c r="K13356" s="1" t="str">
        <f t="shared" si="840"/>
        <v>ㄩ</v>
      </c>
      <c r="L13356" s="1" t="str">
        <f t="shared" si="841"/>
        <v>ㄣ</v>
      </c>
      <c r="N13356" s="3" t="s">
        <v>30574</v>
      </c>
      <c r="O13356" s="3"/>
      <c r="P13356" s="1" t="s">
        <v>20</v>
      </c>
      <c r="R13356" s="1" t="s">
        <v>27698</v>
      </c>
      <c r="V13356" s="1" t="s">
        <v>27709</v>
      </c>
      <c r="AR13356" s="1" t="str">
        <f t="shared" si="839"/>
        <v>| [ㄩㄣˋ](ㄩㄣˋ.md) | [鄆](鄆.md) |  | yùn | [名]
地名。春秋時魯國邑地：東鄆約在今山東省沂水縣北；西鄆約在今山東省鄆城縣東。 |</v>
      </c>
    </row>
    <row r="13357" spans="1:44" hidden="1">
      <c r="A13357" s="1" t="s">
        <v>26140</v>
      </c>
      <c r="C13357" s="1">
        <v>1</v>
      </c>
      <c r="D13357" s="1" t="str">
        <f>"11848"</f>
        <v>11848</v>
      </c>
      <c r="E13357" s="1" t="s">
        <v>646</v>
      </c>
      <c r="F13357" s="1">
        <v>13</v>
      </c>
      <c r="G13357" s="1">
        <v>9</v>
      </c>
      <c r="H13357" s="1">
        <v>2</v>
      </c>
      <c r="I13357" s="1" t="s">
        <v>27697</v>
      </c>
      <c r="K13357" s="1" t="str">
        <f t="shared" si="840"/>
        <v>ㄩ</v>
      </c>
      <c r="L13357" s="1" t="str">
        <f t="shared" si="841"/>
        <v>ㄣ</v>
      </c>
      <c r="N13357" s="3" t="s">
        <v>30574</v>
      </c>
      <c r="O13357" s="3"/>
      <c r="P13357" s="1" t="s">
        <v>20</v>
      </c>
      <c r="R13357" s="1" t="s">
        <v>27698</v>
      </c>
      <c r="V13357" s="1" t="s">
        <v>27710</v>
      </c>
      <c r="W13357" s="1" t="s">
        <v>27711</v>
      </c>
      <c r="AR13357" s="1" t="str">
        <f t="shared" si="839"/>
        <v>| [ㄩㄣˋ](ㄩㄣˋ.md) | [暈](暈.md) |  | yùn | [名]
1.太陽及月亮周圍的光環。《史記．卷二七．天官書》：「日月暈適，雲風，此天之客氣，其發見亦有大運。」唐．李白〈橫江詞〉六首之六：「月暈天風霧不開，海鯨東蹙百川迴。」
2.光影、色澤四周模糊的部分。唐．韓愈〈宿龍宮灘〉詩：「夢覺燈生暈，宵殘雨送涼。」宋．蘇軾〈墨花〉詩：「花心超墨暈，春色散毫端。」
3.面頰所泛生的輪狀紅色。如：「酒暈」。
[動]
擴散。如：「暈開」。明．湯顯祖《牡丹亭》第四三齣：「血暈幾重圍，孤城怎生料！」 |</v>
      </c>
    </row>
    <row r="13358" spans="1:44" hidden="1">
      <c r="A13358" s="1" t="s">
        <v>27712</v>
      </c>
      <c r="C13358" s="1">
        <v>1</v>
      </c>
      <c r="D13358" s="1" t="str">
        <f>"11849"</f>
        <v>11849</v>
      </c>
      <c r="E13358" s="1" t="s">
        <v>558</v>
      </c>
      <c r="F13358" s="1">
        <v>13</v>
      </c>
      <c r="G13358" s="1">
        <v>9</v>
      </c>
      <c r="H13358" s="1">
        <v>0</v>
      </c>
      <c r="I13358" s="1" t="s">
        <v>27697</v>
      </c>
      <c r="K13358" s="1" t="str">
        <f t="shared" si="840"/>
        <v>ㄩ</v>
      </c>
      <c r="L13358" s="1" t="str">
        <f t="shared" si="841"/>
        <v>ㄣ</v>
      </c>
      <c r="N13358" s="3" t="s">
        <v>30574</v>
      </c>
      <c r="O13358" s="3"/>
      <c r="P13358" s="1" t="s">
        <v>20</v>
      </c>
      <c r="R13358" s="1" t="s">
        <v>27698</v>
      </c>
      <c r="V13358" s="1" t="s">
        <v>27713</v>
      </c>
      <c r="AR13358" s="1" t="str">
        <f t="shared" si="839"/>
        <v>| [ㄩㄣˋ](ㄩㄣˋ.md) | [運](運.md) |  | yùn | [動]
1.移動、轉動。如：「運行」、「運轉」。明．徐弘祖《徐霞客遊記．卷一〇上．滇遊日記十二》：「以水運機，磨麥為麵。」
2.掄動、揮動。《莊子．徐无鬼》：「匠石運斤成風，聽而斲之。」《五燈會元．卷六．唐朝因禪師》：「唐朝因禪師，微時，嘗運槌擊土次，戲槌猛擊之，應碎。」
3.搬送。如：「搬運」、「裝運」、「運貨」。《三國志．卷三五．蜀書．諸葛亮傳》：「亮復出祁山，以木牛運，糧盡退軍。」
4.使用。如：「運思」、「運筆」。《孫子．九地》：「運兵計謀，為不可測。」《史記．卷七．項羽本紀》：「夫被堅執銳，義不如公；坐而運策，公不如義。」
[名]
1.氣數、命中註定的遭遇。如：「命運」、「好運」、「走運」、「鴻運當頭」、「國運昌隆」。《漢書．卷一．高帝紀下．贊曰》：「漢承堯運，德祚已盛。」
2.運動會的簡稱。如：「校運」、「區運」、「亞運」、「奧運」。
3.姓。如漢代有運期燿。 |</v>
      </c>
    </row>
    <row r="13359" spans="1:44" hidden="1">
      <c r="A13359" s="1" t="s">
        <v>27714</v>
      </c>
      <c r="C13359" s="1">
        <v>1</v>
      </c>
      <c r="D13359" s="1" t="str">
        <f>"11850"</f>
        <v>11850</v>
      </c>
      <c r="E13359" s="1" t="s">
        <v>193</v>
      </c>
      <c r="F13359" s="1">
        <v>17</v>
      </c>
      <c r="G13359" s="1">
        <v>9</v>
      </c>
      <c r="H13359" s="1">
        <v>0</v>
      </c>
      <c r="I13359" s="1" t="s">
        <v>27697</v>
      </c>
      <c r="K13359" s="1" t="str">
        <f t="shared" si="840"/>
        <v>ㄩ</v>
      </c>
      <c r="L13359" s="1" t="str">
        <f t="shared" si="841"/>
        <v>ㄣ</v>
      </c>
      <c r="N13359" s="3" t="s">
        <v>30574</v>
      </c>
      <c r="O13359" s="3"/>
      <c r="P13359" s="1" t="s">
        <v>20</v>
      </c>
      <c r="R13359" s="1" t="s">
        <v>27698</v>
      </c>
      <c r="V13359" s="1" t="s">
        <v>27715</v>
      </c>
      <c r="AR13359" s="1" t="str">
        <f t="shared" si="839"/>
        <v>| [ㄩㄣˋ](ㄩㄣˋ.md) | [餫](餫.md) |  | yùn | [動]
贈人糧食。《左傳．成公五年》：「晉荀首如齊逆女，故宣伯餫諸穀。」 |</v>
      </c>
    </row>
    <row r="13360" spans="1:44" hidden="1">
      <c r="A13360" s="1" t="s">
        <v>27716</v>
      </c>
      <c r="C13360" s="1">
        <v>1</v>
      </c>
      <c r="D13360" s="1" t="str">
        <f>"11851"</f>
        <v>11851</v>
      </c>
      <c r="E13360" s="1" t="s">
        <v>1058</v>
      </c>
      <c r="F13360" s="1">
        <v>18</v>
      </c>
      <c r="G13360" s="1">
        <v>9</v>
      </c>
      <c r="H13360" s="1">
        <v>0</v>
      </c>
      <c r="I13360" s="1" t="s">
        <v>27697</v>
      </c>
      <c r="K13360" s="1" t="str">
        <f t="shared" si="840"/>
        <v>ㄩ</v>
      </c>
      <c r="L13360" s="1" t="str">
        <f t="shared" si="841"/>
        <v>ㄣ</v>
      </c>
      <c r="N13360" s="3" t="s">
        <v>30574</v>
      </c>
      <c r="O13360" s="3"/>
      <c r="P13360" s="1" t="s">
        <v>20</v>
      </c>
      <c r="R13360" s="1" t="s">
        <v>27698</v>
      </c>
      <c r="V13360" s="1" t="s">
        <v>27717</v>
      </c>
      <c r="AR13360" s="1" t="str">
        <f t="shared" si="839"/>
        <v>| [ㄩㄣˋ](ㄩㄣˋ.md) | [韗](韗.md) |  | yùn | 參見「韗人」條。 |</v>
      </c>
    </row>
    <row r="13361" spans="1:44" hidden="1">
      <c r="A13361" s="1" t="s">
        <v>27718</v>
      </c>
      <c r="C13361" s="1">
        <v>1</v>
      </c>
      <c r="D13361" s="1" t="str">
        <f>"11852"</f>
        <v>11852</v>
      </c>
      <c r="E13361" s="1" t="s">
        <v>272</v>
      </c>
      <c r="F13361" s="1">
        <v>20</v>
      </c>
      <c r="G13361" s="1">
        <v>9</v>
      </c>
      <c r="H13361" s="1">
        <v>0</v>
      </c>
      <c r="I13361" s="1" t="s">
        <v>27697</v>
      </c>
      <c r="K13361" s="1" t="str">
        <f t="shared" si="840"/>
        <v>ㄩ</v>
      </c>
      <c r="L13361" s="1" t="str">
        <f t="shared" si="841"/>
        <v>ㄣ</v>
      </c>
      <c r="N13361" s="3" t="s">
        <v>30574</v>
      </c>
      <c r="O13361" s="3"/>
      <c r="P13361" s="1" t="s">
        <v>20</v>
      </c>
      <c r="R13361" s="1" t="s">
        <v>27698</v>
      </c>
      <c r="V13361" s="1" t="s">
        <v>27719</v>
      </c>
      <c r="AR13361" s="1" t="str">
        <f t="shared" si="839"/>
        <v>| [ㄩㄣˋ](ㄩㄣˋ.md) | [鶤](鶤.md) |  | yùn | [名]
1.古代一種大雞。《爾雅．釋畜》：「雞三尺為鶤。」晉．郭璞．注：「陽溝巨鶤，古之名雞。」
2.鳳凰的別名。《淮南子．覽冥》：「過歸雁於碣石，軼鶤雞於姑餘。」漢．高誘．注：「鶤雞，鳳皇之別名。」 |</v>
      </c>
    </row>
    <row r="13362" spans="1:44" hidden="1">
      <c r="A13362" s="1" t="s">
        <v>27720</v>
      </c>
      <c r="C13362" s="1">
        <v>1</v>
      </c>
      <c r="D13362" s="1" t="str">
        <f>"11853"</f>
        <v>11853</v>
      </c>
      <c r="E13362" s="1" t="s">
        <v>250</v>
      </c>
      <c r="F13362" s="1">
        <v>13</v>
      </c>
      <c r="G13362" s="1">
        <v>10</v>
      </c>
      <c r="H13362" s="1">
        <v>0</v>
      </c>
      <c r="I13362" s="1" t="s">
        <v>27697</v>
      </c>
      <c r="K13362" s="1" t="str">
        <f t="shared" si="840"/>
        <v>ㄩ</v>
      </c>
      <c r="L13362" s="1" t="str">
        <f t="shared" si="841"/>
        <v>ㄣ</v>
      </c>
      <c r="N13362" s="3" t="s">
        <v>30574</v>
      </c>
      <c r="O13362" s="3"/>
      <c r="P13362" s="1" t="s">
        <v>20</v>
      </c>
      <c r="R13362" s="1" t="s">
        <v>27698</v>
      </c>
      <c r="V13362" s="1" t="s">
        <v>27721</v>
      </c>
      <c r="AR13362" s="1" t="str">
        <f t="shared" si="839"/>
        <v>| [ㄩㄣˋ](ㄩㄣˋ.md) | [慍](慍.md) |  | yùn | [動]
怨恨。《論語．學而》：「人不知而不慍，不亦君子乎？」《後漢書．卷二八下．馮衍傳》：「憤馮亭之不遂兮，慍去疾之遭惑。」 |</v>
      </c>
    </row>
    <row r="13363" spans="1:44" hidden="1">
      <c r="A13363" s="1" t="s">
        <v>27682</v>
      </c>
      <c r="C13363" s="1">
        <v>1</v>
      </c>
      <c r="D13363" s="1" t="str">
        <f>"11854"</f>
        <v>11854</v>
      </c>
      <c r="E13363" s="1" t="s">
        <v>336</v>
      </c>
      <c r="F13363" s="1">
        <v>14</v>
      </c>
      <c r="G13363" s="1">
        <v>10</v>
      </c>
      <c r="H13363" s="1">
        <v>2</v>
      </c>
      <c r="I13363" s="1" t="s">
        <v>27697</v>
      </c>
      <c r="K13363" s="1" t="str">
        <f t="shared" si="840"/>
        <v>ㄩ</v>
      </c>
      <c r="L13363" s="1" t="str">
        <f t="shared" si="841"/>
        <v>ㄣ</v>
      </c>
      <c r="N13363" s="3" t="s">
        <v>30574</v>
      </c>
      <c r="O13363" s="3"/>
      <c r="P13363" s="1" t="s">
        <v>20</v>
      </c>
      <c r="R13363" s="1" t="s">
        <v>27698</v>
      </c>
      <c r="V13363" s="1" t="s">
        <v>27722</v>
      </c>
      <c r="W13363" s="1" t="s">
        <v>27723</v>
      </c>
      <c r="AR13363" s="1" t="str">
        <f t="shared" si="839"/>
        <v>| [ㄩㄣˋ](ㄩㄣˋ.md) | [熅](熅.md) |  | yùn | [動]
使用熱力將東西弄平。同「熨」。《集韻．去聲．焮韻》：「熅，以火伸物。」 |</v>
      </c>
    </row>
    <row r="13364" spans="1:44" hidden="1">
      <c r="A13364" s="1" t="s">
        <v>27645</v>
      </c>
      <c r="C13364" s="1">
        <v>1</v>
      </c>
      <c r="D13364" s="1" t="str">
        <f>"11855"</f>
        <v>11855</v>
      </c>
      <c r="E13364" s="1" t="s">
        <v>725</v>
      </c>
      <c r="F13364" s="1">
        <v>16</v>
      </c>
      <c r="G13364" s="1">
        <v>10</v>
      </c>
      <c r="H13364" s="1">
        <v>1</v>
      </c>
      <c r="I13364" s="1" t="s">
        <v>27697</v>
      </c>
      <c r="K13364" s="1" t="str">
        <f t="shared" si="840"/>
        <v>ㄩ</v>
      </c>
      <c r="L13364" s="1" t="str">
        <f t="shared" si="841"/>
        <v>ㄣ</v>
      </c>
      <c r="N13364" s="3" t="s">
        <v>30574</v>
      </c>
      <c r="O13364" s="3"/>
      <c r="P13364" s="1" t="s">
        <v>20</v>
      </c>
      <c r="R13364" s="1" t="s">
        <v>27698</v>
      </c>
      <c r="V13364" s="1" t="s">
        <v>27724</v>
      </c>
      <c r="W13364" s="1" t="s">
        <v>27725</v>
      </c>
      <c r="AR13364" s="1" t="str">
        <f t="shared" si="839"/>
        <v>| [ㄩㄣˋ](ㄩㄣˋ.md) | [縕](縕.md) |  | yùn | [名]
1.新舊相混的棉絮。《禮記．玉藻》：「纊為繭，縕為袍。」漢．鄭玄．注：「纊，謂今之新綿也；縕，謂今之纊及舊絮也。」
2.亂麻。《漢書．卷四五．蒯通傳》：「（里母）即束縕請火於亡肉家。」唐．顏師古．注：「縕，亂麻也。」
[形]
紛亂。漢．揚雄《法言．孝至》：「齊桓之時縕，而春秋美邵陵，習亂也。」晉．李軌．注：「縕，亂也。」 |</v>
      </c>
    </row>
    <row r="13365" spans="1:44" hidden="1">
      <c r="A13365" s="1" t="s">
        <v>27726</v>
      </c>
      <c r="C13365" s="1">
        <v>1</v>
      </c>
      <c r="D13365" s="1" t="str">
        <f>"11856"</f>
        <v>11856</v>
      </c>
      <c r="E13365" s="1" t="s">
        <v>1462</v>
      </c>
      <c r="F13365" s="1">
        <v>17</v>
      </c>
      <c r="G13365" s="1">
        <v>10</v>
      </c>
      <c r="H13365" s="1">
        <v>0</v>
      </c>
      <c r="I13365" s="1" t="s">
        <v>27697</v>
      </c>
      <c r="K13365" s="1" t="str">
        <f t="shared" si="840"/>
        <v>ㄩ</v>
      </c>
      <c r="L13365" s="1" t="str">
        <f t="shared" si="841"/>
        <v>ㄣ</v>
      </c>
      <c r="N13365" s="3" t="s">
        <v>30574</v>
      </c>
      <c r="O13365" s="3"/>
      <c r="P13365" s="1" t="s">
        <v>20</v>
      </c>
      <c r="R13365" s="1" t="s">
        <v>27698</v>
      </c>
      <c r="V13365" s="1" t="s">
        <v>27727</v>
      </c>
      <c r="AR13365" s="1" t="str">
        <f t="shared" si="839"/>
        <v>| [ㄩㄣˋ](ㄩㄣˋ.md) | [醞](醞.md) |  | yùn | [動]
1.釀酒。三國魏．曹植〈酒賦〉：「或秋藏冬發，或春醞夏成。」《北史．卷九一．列女傳．魏胡長命妻張氏傳》：「張以姑老且患，私為醞之，為有司所糾。」
2.逐漸形成。參見「醞釀」條。
[名]
借指酒。宋．陸游〈上巳〉詩：「名花紅滿舫，美醞綠盈甔。」《醒世恆言．卷三．賣油郎獨占花魁》：「六碗時新果子，一架攢盒佳肴美醞。」 |</v>
      </c>
    </row>
    <row r="13366" spans="1:44" hidden="1">
      <c r="A13366" s="1" t="s">
        <v>27728</v>
      </c>
      <c r="C13366" s="1">
        <v>1</v>
      </c>
      <c r="D13366" s="1" t="str">
        <f>"11857"</f>
        <v>11857</v>
      </c>
      <c r="E13366" s="1" t="s">
        <v>37</v>
      </c>
      <c r="F13366" s="1">
        <v>17</v>
      </c>
      <c r="G13366" s="1">
        <v>13</v>
      </c>
      <c r="H13366" s="1">
        <v>0</v>
      </c>
      <c r="I13366" s="1" t="s">
        <v>27697</v>
      </c>
      <c r="K13366" s="1" t="str">
        <f t="shared" si="840"/>
        <v>ㄩ</v>
      </c>
      <c r="L13366" s="1" t="str">
        <f t="shared" si="841"/>
        <v>ㄣ</v>
      </c>
      <c r="N13366" s="3" t="s">
        <v>30574</v>
      </c>
      <c r="O13366" s="3"/>
      <c r="P13366" s="1" t="s">
        <v>20</v>
      </c>
      <c r="R13366" s="1" t="s">
        <v>27698</v>
      </c>
      <c r="V13366" s="1" t="s">
        <v>27729</v>
      </c>
      <c r="AR13366" s="1" t="str">
        <f t="shared" si="839"/>
        <v>| [ㄩㄣˋ](ㄩㄣˋ.md) | [薀](薀.md) |  | yùn | [動]
聚積。《玉篇．艸部》：「薀，藏也，積也，聚也，蓄也。」《左傳．襄公十一年》：「凡我同盟，毋薀年，毋壅利。」晉．杜預．注：「薀積年穀，而不分災。」 |</v>
      </c>
    </row>
    <row r="13367" spans="1:44" hidden="1">
      <c r="A13367" s="1" t="s">
        <v>27730</v>
      </c>
      <c r="C13367" s="1">
        <v>1</v>
      </c>
      <c r="D13367" s="1" t="str">
        <f>"11858"</f>
        <v>11858</v>
      </c>
      <c r="E13367" s="1" t="s">
        <v>1058</v>
      </c>
      <c r="F13367" s="1">
        <v>19</v>
      </c>
      <c r="G13367" s="1">
        <v>10</v>
      </c>
      <c r="H13367" s="1">
        <v>0</v>
      </c>
      <c r="I13367" s="1" t="s">
        <v>27697</v>
      </c>
      <c r="K13367" s="1" t="str">
        <f t="shared" si="840"/>
        <v>ㄩ</v>
      </c>
      <c r="L13367" s="1" t="str">
        <f t="shared" si="841"/>
        <v>ㄣ</v>
      </c>
      <c r="N13367" s="3" t="s">
        <v>30574</v>
      </c>
      <c r="O13367" s="3"/>
      <c r="P13367" s="1" t="s">
        <v>20</v>
      </c>
      <c r="R13367" s="1" t="s">
        <v>27698</v>
      </c>
      <c r="V13367" s="1" t="s">
        <v>27731</v>
      </c>
      <c r="AR13367" s="1" t="str">
        <f t="shared" si="839"/>
        <v>| [ㄩㄣˋ](ㄩㄣˋ.md) | [韞](韞.md) |  | yùn | [動]
包藏、蘊含。《文選．陸機．文賦》：「石韞玉而山輝，水懷珠而川媚。」《新五代史．卷三四．一行傳．序》：「自古材賢有韞于中而不見于外，或窮居陋巷，委身草莽。」 |</v>
      </c>
    </row>
    <row r="13368" spans="1:44" hidden="1">
      <c r="A13368" s="1" t="s">
        <v>27732</v>
      </c>
      <c r="C13368" s="1">
        <v>1</v>
      </c>
      <c r="D13368" s="1" t="str">
        <f>"11859"</f>
        <v>11859</v>
      </c>
      <c r="E13368" s="1" t="s">
        <v>37</v>
      </c>
      <c r="F13368" s="1">
        <v>20</v>
      </c>
      <c r="G13368" s="1">
        <v>16</v>
      </c>
      <c r="H13368" s="1">
        <v>0</v>
      </c>
      <c r="I13368" s="1" t="s">
        <v>27697</v>
      </c>
      <c r="K13368" s="1" t="str">
        <f t="shared" si="840"/>
        <v>ㄩ</v>
      </c>
      <c r="L13368" s="1" t="str">
        <f t="shared" si="841"/>
        <v>ㄣ</v>
      </c>
      <c r="N13368" s="3" t="s">
        <v>30574</v>
      </c>
      <c r="O13368" s="3"/>
      <c r="P13368" s="1" t="s">
        <v>20</v>
      </c>
      <c r="R13368" s="1" t="s">
        <v>27698</v>
      </c>
      <c r="V13368" s="1" t="s">
        <v>27733</v>
      </c>
      <c r="AR13368" s="1" t="str">
        <f t="shared" si="839"/>
        <v>| [ㄩㄣˋ](ㄩㄣˋ.md) | [蘊](蘊.md) |  | yùn | [動]
1.積聚。如：「這座山蘊藏豐富的資源。」《左傳．昭公十年》：「蘊利生孽，姑使無蘊乎？」
2.包含。如：「蘊含」。唐．李白〈化城寺大鐘銘〉：「少蘊才略，壯而有成。」
[名]
1.事理精奧之處。如：「精蘊」、「底蘊」。《清史稿．卷九四．樂志一》：「奧義微機，莫探其蘊。」
2.亂麻、枯草。《韓詩外傳》卷七：「今令姑呼汝，即束蘊，請火去婦之家。」 |</v>
      </c>
    </row>
    <row r="13369" spans="1:44" hidden="1">
      <c r="A13369" s="1" t="s">
        <v>27382</v>
      </c>
      <c r="C13369" s="1">
        <v>1</v>
      </c>
      <c r="D13369" s="1" t="str">
        <f>"11860"</f>
        <v>11860</v>
      </c>
      <c r="E13369" s="1" t="s">
        <v>336</v>
      </c>
      <c r="F13369" s="1">
        <v>15</v>
      </c>
      <c r="G13369" s="1">
        <v>11</v>
      </c>
      <c r="H13369" s="1">
        <v>1</v>
      </c>
      <c r="I13369" s="1" t="s">
        <v>27697</v>
      </c>
      <c r="K13369" s="1" t="str">
        <f t="shared" si="840"/>
        <v>ㄩ</v>
      </c>
      <c r="L13369" s="1" t="str">
        <f t="shared" si="841"/>
        <v>ㄣ</v>
      </c>
      <c r="N13369" s="3" t="s">
        <v>30574</v>
      </c>
      <c r="O13369" s="3"/>
      <c r="P13369" s="1" t="s">
        <v>20</v>
      </c>
      <c r="R13369" s="1" t="s">
        <v>27698</v>
      </c>
      <c r="V13369" s="1" t="s">
        <v>27734</v>
      </c>
      <c r="W13369" s="1" t="s">
        <v>27735</v>
      </c>
      <c r="AR13369" s="1" t="str">
        <f t="shared" si="839"/>
        <v>| [ㄩㄣˋ](ㄩㄣˋ.md) | [熨](熨.md) |  | yùn | [動]
1.藉熱力把衣物壓平。如：「熨衣服」。唐．王建〈宮詞〉一〇〇首之三六：「每夜停燈熨御衣，銀薰籠底火霏霏。」
2.緊靠著、緊貼著。南朝宋．劉義慶《世說新語．惑溺》：「冬月婦病熱，乃出中庭自取冷，還以身熨之。」明．湯顯祖《牡丹亭》第五三齣：「我為他偎熨的體酥融，我為他洗發的神清瑩。」 |</v>
      </c>
    </row>
    <row r="13370" spans="1:44" hidden="1">
      <c r="A13370" s="1" t="s">
        <v>27650</v>
      </c>
      <c r="C13370" s="1">
        <v>1</v>
      </c>
      <c r="D13370" s="1" t="str">
        <f>"11821"</f>
        <v>11821</v>
      </c>
      <c r="E13370" s="1" t="s">
        <v>9954</v>
      </c>
      <c r="F13370" s="1">
        <v>4</v>
      </c>
      <c r="G13370" s="1">
        <v>2</v>
      </c>
      <c r="H13370" s="1">
        <v>0</v>
      </c>
      <c r="I13370" s="1" t="s">
        <v>27651</v>
      </c>
      <c r="K13370" s="1" t="str">
        <f t="shared" si="840"/>
        <v>ㄩ</v>
      </c>
      <c r="L13370" s="1" t="str">
        <f t="shared" si="841"/>
        <v>ㄣ</v>
      </c>
      <c r="N13370" s="3" t="s">
        <v>30575</v>
      </c>
      <c r="O13370" s="3"/>
      <c r="P13370" s="1" t="s">
        <v>20</v>
      </c>
      <c r="R13370" s="1" t="s">
        <v>27652</v>
      </c>
      <c r="V13370" s="1" t="s">
        <v>27653</v>
      </c>
      <c r="AR13370" s="1" t="str">
        <f t="shared" si="839"/>
        <v>| [ㄩㄣˊ](ㄩㄣˊ.md) | [云](云.md) |  | yún | [名]
1.雲的古字。明．張自烈《正字通．二部》：「云，雲本字。」
2.姓。如漢代有云敞。
[動]
1.說。如：「人云亦云」。《文選．諸葛亮．出師表》：「臨表涕泣，不知所云。」
2.有。《荀子．法行》：「事已敗矣，乃重大息，其云益乎！」《文選．陸機．答賈謐》：「公之云感，貽此音翰。」
[助]
1.發語詞，無義。《詩經．邶風．簡兮》：「云誰之思，西方美人。」
2.用於句中，無義。《詩經．邶風．雄雉》：「道之云遠，曷云能來。」《左傳．成公十二年》：「日云莫矣，寡君須矣，吾子其入也。」
3.用於句尾，無義。《史記．卷六一．伯夷傳》：「余登箕山，其上蓋有許由冢云。」
[代]
如此。《左傳．襄公二十八年》：「子之言云，又焉用盟？」 |</v>
      </c>
    </row>
    <row r="13371" spans="1:44" hidden="1">
      <c r="A13371" s="1" t="s">
        <v>27654</v>
      </c>
      <c r="C13371" s="1">
        <v>1</v>
      </c>
      <c r="D13371" s="1" t="str">
        <f>"11822"</f>
        <v>11822</v>
      </c>
      <c r="E13371" s="1" t="s">
        <v>129</v>
      </c>
      <c r="F13371" s="1">
        <v>7</v>
      </c>
      <c r="G13371" s="1">
        <v>4</v>
      </c>
      <c r="H13371" s="1">
        <v>0</v>
      </c>
      <c r="I13371" s="1" t="s">
        <v>27651</v>
      </c>
      <c r="K13371" s="1" t="str">
        <f t="shared" si="840"/>
        <v>ㄩ</v>
      </c>
      <c r="L13371" s="1" t="str">
        <f t="shared" si="841"/>
        <v>ㄣ</v>
      </c>
      <c r="N13371" s="3" t="s">
        <v>30575</v>
      </c>
      <c r="O13371" s="3"/>
      <c r="P13371" s="1" t="s">
        <v>20</v>
      </c>
      <c r="R13371" s="1" t="s">
        <v>27652</v>
      </c>
      <c r="V13371" s="1" t="s">
        <v>27655</v>
      </c>
      <c r="AR13371" s="1" t="str">
        <f t="shared" si="839"/>
        <v>| [ㄩㄣˊ](ㄩㄣˊ.md) | [沄](沄.md) |  | yún | [形]
水波流轉的樣子。《爾雅．釋言》：「沄，沆也。」晉．郭璞．注：「水流漭沆。」《文選．張衡．思玄賦》：「揚芒熛而絳天兮，水泫沄而涌濤。」唐．杜甫〈次空靈岸〉詩：「沄沄逆素浪，落落展清眺。」 |</v>
      </c>
    </row>
    <row r="13372" spans="1:44" hidden="1">
      <c r="A13372" s="1" t="s">
        <v>27656</v>
      </c>
      <c r="C13372" s="1">
        <v>1</v>
      </c>
      <c r="D13372" s="1" t="str">
        <f>"11823"</f>
        <v>11823</v>
      </c>
      <c r="E13372" s="1" t="s">
        <v>37</v>
      </c>
      <c r="F13372" s="1">
        <v>8</v>
      </c>
      <c r="G13372" s="1">
        <v>4</v>
      </c>
      <c r="H13372" s="1">
        <v>1</v>
      </c>
      <c r="I13372" s="1" t="s">
        <v>27651</v>
      </c>
      <c r="K13372" s="1" t="str">
        <f t="shared" si="840"/>
        <v>ㄩ</v>
      </c>
      <c r="L13372" s="1" t="str">
        <f t="shared" si="841"/>
        <v>ㄣ</v>
      </c>
      <c r="N13372" s="3" t="s">
        <v>30575</v>
      </c>
      <c r="O13372" s="3"/>
      <c r="P13372" s="1" t="s">
        <v>20</v>
      </c>
      <c r="R13372" s="1" t="s">
        <v>27652</v>
      </c>
      <c r="V13372" s="1" t="s">
        <v>27657</v>
      </c>
      <c r="W13372" s="1" t="s">
        <v>27658</v>
      </c>
      <c r="AR13372" s="1" t="str">
        <f t="shared" si="839"/>
        <v>| [ㄩㄣˊ](ㄩㄣˊ.md) | [芸](芸.md) |  | yún | [名]
1.參見「芸香」條。
2.一種美菜。《呂氏春秋．孝行覽．本味》：「菜之美者，……陽華之芸，雲夢之芹。」漢．高誘．注：「芸，芳菜也。」
3.姓。如周代晉國有芸賢。
[動]
除草。通「耘」。《列子．楊朱》：「先生有一妻一妾，而不能治，三畝之園，而不能芸。」宋．辛棄疾〈卜算子．千古李將軍〉詞：「芸草去陳根，筧竹添新瓦。」 |</v>
      </c>
    </row>
    <row r="13373" spans="1:44" hidden="1">
      <c r="A13373" s="1" t="s">
        <v>27659</v>
      </c>
      <c r="C13373" s="1">
        <v>1</v>
      </c>
      <c r="D13373" s="1" t="str">
        <f>"11824"</f>
        <v>11824</v>
      </c>
      <c r="E13373" s="1" t="s">
        <v>109</v>
      </c>
      <c r="F13373" s="1">
        <v>10</v>
      </c>
      <c r="G13373" s="1">
        <v>4</v>
      </c>
      <c r="H13373" s="1">
        <v>0</v>
      </c>
      <c r="I13373" s="1" t="s">
        <v>27651</v>
      </c>
      <c r="K13373" s="1" t="str">
        <f t="shared" si="840"/>
        <v>ㄩ</v>
      </c>
      <c r="L13373" s="1" t="str">
        <f t="shared" ref="L13373:L13404" si="842">MID(I13373, 2, 1)</f>
        <v>ㄣ</v>
      </c>
      <c r="N13373" s="3" t="s">
        <v>30575</v>
      </c>
      <c r="O13373" s="3"/>
      <c r="P13373" s="1" t="s">
        <v>20</v>
      </c>
      <c r="R13373" s="1" t="s">
        <v>27652</v>
      </c>
      <c r="V13373" s="1" t="s">
        <v>27660</v>
      </c>
      <c r="AR13373" s="1" t="str">
        <f t="shared" si="839"/>
        <v>| [ㄩㄣˊ](ㄩㄣˊ.md) | [耘](耘.md) |  | yún | [動]
除草。《墨子．三辯》：「農夫春耕夏耘，秋斂冬藏，息於聆缶之樂。」《文選．張衡．東京賦》：「兆民勸於疆場，感懋力以耘耔。」 |</v>
      </c>
    </row>
    <row r="13374" spans="1:44" hidden="1">
      <c r="A13374" s="1" t="s">
        <v>27661</v>
      </c>
      <c r="C13374" s="1">
        <v>1</v>
      </c>
      <c r="D13374" s="1" t="str">
        <f>"11825"</f>
        <v>11825</v>
      </c>
      <c r="E13374" s="1" t="s">
        <v>725</v>
      </c>
      <c r="F13374" s="1">
        <v>10</v>
      </c>
      <c r="G13374" s="1">
        <v>4</v>
      </c>
      <c r="H13374" s="1">
        <v>0</v>
      </c>
      <c r="I13374" s="1" t="s">
        <v>27651</v>
      </c>
      <c r="K13374" s="1" t="str">
        <f t="shared" si="840"/>
        <v>ㄩ</v>
      </c>
      <c r="L13374" s="1" t="str">
        <f t="shared" si="842"/>
        <v>ㄣ</v>
      </c>
      <c r="N13374" s="3" t="s">
        <v>30575</v>
      </c>
      <c r="O13374" s="3"/>
      <c r="P13374" s="1" t="s">
        <v>20</v>
      </c>
      <c r="R13374" s="1" t="s">
        <v>27652</v>
      </c>
      <c r="V13374" s="1" t="s">
        <v>27662</v>
      </c>
      <c r="AR13374" s="1" t="str">
        <f t="shared" si="839"/>
        <v>| [ㄩㄣˊ](ㄩㄣˊ.md) | [紜](紜.md) |  | yún | [形]
多而亂的樣子。如：「眾說紛紜」。《文選．班固．東都賦》：「千乘雷起，萬騎紛紜。」 |</v>
      </c>
    </row>
    <row r="13375" spans="1:44" hidden="1">
      <c r="A13375" s="1" t="s">
        <v>27663</v>
      </c>
      <c r="C13375" s="1">
        <v>1</v>
      </c>
      <c r="D13375" s="1" t="str">
        <f>"11826"</f>
        <v>11826</v>
      </c>
      <c r="E13375" s="1" t="s">
        <v>125</v>
      </c>
      <c r="F13375" s="1">
        <v>12</v>
      </c>
      <c r="G13375" s="1">
        <v>4</v>
      </c>
      <c r="H13375" s="1">
        <v>0</v>
      </c>
      <c r="I13375" s="1" t="s">
        <v>27651</v>
      </c>
      <c r="K13375" s="1" t="str">
        <f t="shared" si="840"/>
        <v>ㄩ</v>
      </c>
      <c r="L13375" s="1" t="str">
        <f t="shared" si="842"/>
        <v>ㄣ</v>
      </c>
      <c r="N13375" s="3" t="s">
        <v>30575</v>
      </c>
      <c r="O13375" s="3"/>
      <c r="P13375" s="1" t="s">
        <v>20</v>
      </c>
      <c r="R13375" s="1" t="s">
        <v>27652</v>
      </c>
      <c r="V13375" s="1" t="s">
        <v>27664</v>
      </c>
      <c r="AR13375" s="1" t="str">
        <f t="shared" si="839"/>
        <v>| [ㄩㄣˊ](ㄩㄣˊ.md) | [雲](雲.md) |  | yún | [名]
1.水蒸氣遇冷，凝成細水滴，懸浮在空中的團狀物體。如：「白雲」、「烏雲蔽日」。
2.雲南省的簡稱。如：「雲貴高原」。
3.姓。如唐代有雲朝霞。
[副]
比喻多。如：「萬商雲集」。《文選．賈誼．過秦論》：「天下雲集而響應，嬴糧而景從。」 |</v>
      </c>
    </row>
    <row r="13376" spans="1:44" hidden="1">
      <c r="A13376" s="1" t="s">
        <v>27665</v>
      </c>
      <c r="C13376" s="1">
        <v>1</v>
      </c>
      <c r="D13376" s="1" t="str">
        <f>"11827"</f>
        <v>11827</v>
      </c>
      <c r="E13376" s="1" t="s">
        <v>129</v>
      </c>
      <c r="F13376" s="1">
        <v>15</v>
      </c>
      <c r="G13376" s="1">
        <v>12</v>
      </c>
      <c r="H13376" s="1">
        <v>0</v>
      </c>
      <c r="I13376" s="1" t="s">
        <v>27651</v>
      </c>
      <c r="K13376" s="1" t="str">
        <f t="shared" si="840"/>
        <v>ㄩ</v>
      </c>
      <c r="L13376" s="1" t="str">
        <f t="shared" si="842"/>
        <v>ㄣ</v>
      </c>
      <c r="N13376" s="3" t="s">
        <v>30575</v>
      </c>
      <c r="O13376" s="3"/>
      <c r="P13376" s="1" t="s">
        <v>20</v>
      </c>
      <c r="R13376" s="1" t="s">
        <v>27652</v>
      </c>
      <c r="V13376" s="1" t="s">
        <v>27666</v>
      </c>
      <c r="AR13376" s="1" t="str">
        <f t="shared" si="839"/>
        <v>| [ㄩㄣˊ](ㄩㄣˊ.md) | [澐](澐.md) |  | yún | [名]
江上大波。《說文解字．水部》：「澐，江水大波謂之澐。」清．段玉裁．注：「專謂江水也。」 |</v>
      </c>
    </row>
    <row r="13377" spans="1:44" hidden="1">
      <c r="A13377" s="1" t="s">
        <v>27667</v>
      </c>
      <c r="C13377" s="1">
        <v>1</v>
      </c>
      <c r="D13377" s="1" t="str">
        <f>"11828"</f>
        <v>11828</v>
      </c>
      <c r="E13377" s="1" t="s">
        <v>37</v>
      </c>
      <c r="F13377" s="1">
        <v>16</v>
      </c>
      <c r="G13377" s="1">
        <v>12</v>
      </c>
      <c r="H13377" s="1">
        <v>0</v>
      </c>
      <c r="I13377" s="1" t="s">
        <v>27651</v>
      </c>
      <c r="K13377" s="1" t="str">
        <f t="shared" si="840"/>
        <v>ㄩ</v>
      </c>
      <c r="L13377" s="1" t="str">
        <f t="shared" si="842"/>
        <v>ㄣ</v>
      </c>
      <c r="N13377" s="3" t="s">
        <v>30575</v>
      </c>
      <c r="O13377" s="3"/>
      <c r="P13377" s="1" t="s">
        <v>20</v>
      </c>
      <c r="R13377" s="1" t="s">
        <v>27652</v>
      </c>
      <c r="V13377" s="1" t="s">
        <v>27668</v>
      </c>
      <c r="AR13377" s="1" t="str">
        <f t="shared" si="839"/>
        <v>| [ㄩㄣˊ](ㄩㄣˊ.md) | [蕓](蕓.md) |  | yún | 參見「蕓薹」、「蕓輝」等條。 |</v>
      </c>
    </row>
    <row r="13378" spans="1:44" hidden="1">
      <c r="A13378" s="1" t="s">
        <v>27669</v>
      </c>
      <c r="C13378" s="1">
        <v>1</v>
      </c>
      <c r="D13378" s="1" t="str">
        <f>"11829"</f>
        <v>11829</v>
      </c>
      <c r="E13378" s="1" t="s">
        <v>570</v>
      </c>
      <c r="F13378" s="1">
        <v>4</v>
      </c>
      <c r="G13378" s="1">
        <v>2</v>
      </c>
      <c r="H13378" s="1">
        <v>0</v>
      </c>
      <c r="I13378" s="1" t="s">
        <v>27651</v>
      </c>
      <c r="K13378" s="1" t="str">
        <f t="shared" si="840"/>
        <v>ㄩ</v>
      </c>
      <c r="L13378" s="1" t="str">
        <f t="shared" si="842"/>
        <v>ㄣ</v>
      </c>
      <c r="N13378" s="3" t="s">
        <v>30575</v>
      </c>
      <c r="O13378" s="3"/>
      <c r="P13378" s="1" t="s">
        <v>20</v>
      </c>
      <c r="R13378" s="1" t="s">
        <v>27652</v>
      </c>
      <c r="V13378" s="1" t="s">
        <v>27670</v>
      </c>
      <c r="AR13378" s="1" t="str">
        <f t="shared" si="839"/>
        <v>| [ㄩㄣˊ](ㄩㄣˊ.md) | [勻](勻.md) |  | yún | [形]
平均的。如：「均勻」、「勻稱」。唐．杜甫〈麗人行〉：「態濃意遠淑且真，肌理細膩骨肉勻。」
[動]
分讓。如：「你今天務必勻出時間出來開會。」《儒林外史》第五二回：「叫家人勻出一匹馬，請鳳四老爹騎著。」 |</v>
      </c>
    </row>
    <row r="13379" spans="1:44" hidden="1">
      <c r="A13379" s="1" t="s">
        <v>27671</v>
      </c>
      <c r="C13379" s="1">
        <v>1</v>
      </c>
      <c r="D13379" s="1" t="str">
        <f>"11830"</f>
        <v>11830</v>
      </c>
      <c r="E13379" s="1" t="s">
        <v>646</v>
      </c>
      <c r="F13379" s="1">
        <v>8</v>
      </c>
      <c r="G13379" s="1">
        <v>4</v>
      </c>
      <c r="H13379" s="1">
        <v>0</v>
      </c>
      <c r="I13379" s="1" t="s">
        <v>27651</v>
      </c>
      <c r="K13379" s="1" t="str">
        <f t="shared" si="840"/>
        <v>ㄩ</v>
      </c>
      <c r="L13379" s="1" t="str">
        <f t="shared" si="842"/>
        <v>ㄣ</v>
      </c>
      <c r="N13379" s="3" t="s">
        <v>30575</v>
      </c>
      <c r="O13379" s="3"/>
      <c r="P13379" s="1" t="s">
        <v>20</v>
      </c>
      <c r="R13379" s="1" t="s">
        <v>27652</v>
      </c>
      <c r="V13379" s="1" t="s">
        <v>27672</v>
      </c>
      <c r="AR13379" s="1" t="str">
        <f t="shared" ref="AR13379:AR13418" si="843">"| ["&amp;I13379&amp;"]("&amp;I13379&amp;".md) | ["&amp;A13379&amp;"]("&amp;A13379&amp;".md) | "&amp;" | "&amp;R13379&amp;" | "&amp;V13379&amp;" |"</f>
        <v>| [ㄩㄣˊ](ㄩㄣˊ.md) | [昀](昀.md) |  | yún | [名]
日光。《玉篇．日部》：「昀，日光也。」 |</v>
      </c>
    </row>
    <row r="13380" spans="1:44" hidden="1">
      <c r="A13380" s="1" t="s">
        <v>27673</v>
      </c>
      <c r="C13380" s="1">
        <v>1</v>
      </c>
      <c r="D13380" s="1" t="str">
        <f>"11831"</f>
        <v>11831</v>
      </c>
      <c r="E13380" s="1" t="s">
        <v>753</v>
      </c>
      <c r="F13380" s="1">
        <v>9</v>
      </c>
      <c r="G13380" s="1">
        <v>4</v>
      </c>
      <c r="H13380" s="1">
        <v>0</v>
      </c>
      <c r="I13380" s="1" t="s">
        <v>27651</v>
      </c>
      <c r="K13380" s="1" t="str">
        <f t="shared" si="840"/>
        <v>ㄩ</v>
      </c>
      <c r="L13380" s="1" t="str">
        <f t="shared" si="842"/>
        <v>ㄣ</v>
      </c>
      <c r="N13380" s="3" t="s">
        <v>30575</v>
      </c>
      <c r="O13380" s="3"/>
      <c r="P13380" s="1" t="s">
        <v>20</v>
      </c>
      <c r="R13380" s="1" t="s">
        <v>27652</v>
      </c>
      <c r="V13380" s="1" t="s">
        <v>27674</v>
      </c>
      <c r="AR13380" s="1" t="str">
        <f t="shared" si="843"/>
        <v>| [ㄩㄣˊ](ㄩㄣˊ.md) | [畇](畇.md) |  | yún | 參見「畇畇」條。 |</v>
      </c>
    </row>
    <row r="13381" spans="1:44" hidden="1">
      <c r="A13381" s="1" t="s">
        <v>27675</v>
      </c>
      <c r="C13381" s="1">
        <v>1</v>
      </c>
      <c r="D13381" s="1" t="str">
        <f>"11832"</f>
        <v>11832</v>
      </c>
      <c r="E13381" s="1" t="s">
        <v>49</v>
      </c>
      <c r="F13381" s="1">
        <v>13</v>
      </c>
      <c r="G13381" s="1">
        <v>7</v>
      </c>
      <c r="H13381" s="1">
        <v>0</v>
      </c>
      <c r="I13381" s="1" t="s">
        <v>27651</v>
      </c>
      <c r="K13381" s="1" t="str">
        <f t="shared" si="840"/>
        <v>ㄩ</v>
      </c>
      <c r="L13381" s="1" t="str">
        <f t="shared" si="842"/>
        <v>ㄣ</v>
      </c>
      <c r="N13381" s="3" t="s">
        <v>30575</v>
      </c>
      <c r="O13381" s="3"/>
      <c r="P13381" s="1" t="s">
        <v>20</v>
      </c>
      <c r="R13381" s="1" t="s">
        <v>27652</v>
      </c>
      <c r="V13381" s="1" t="s">
        <v>27676</v>
      </c>
      <c r="AR13381" s="1" t="str">
        <f t="shared" si="843"/>
        <v>| [ㄩㄣˊ](ㄩㄣˊ.md) | [筠](筠.md) |  | yún | [名]
1.竹子外層的青皮。唐．劉禹錫〈許給事見示哭工部劉尚書詩因命同作〉詩：「特達圭無玷，堅貞竹有筠。」宋．歐陽修〈漁家傲．四月園林春去後〉詞：「風雨時時添氣候，成行新筍霜筠厚。」
2.竹子。如：「翠筠」、「松筠」。唐．韋應物〈將往滁城戀新竹簡崔都水示端〉詩：「停車欲去繞叢竹，偏愛新筠十數竿。」
[形]
用竹子製成的。如：「筠筒」、「筠籃」。 |</v>
      </c>
    </row>
    <row r="13382" spans="1:44" hidden="1">
      <c r="A13382" s="1" t="s">
        <v>27587</v>
      </c>
      <c r="C13382" s="1">
        <v>1</v>
      </c>
      <c r="D13382" s="1" t="str">
        <f>"11833"</f>
        <v>11833</v>
      </c>
      <c r="E13382" s="1" t="s">
        <v>28</v>
      </c>
      <c r="F13382" s="1">
        <v>10</v>
      </c>
      <c r="G13382" s="1">
        <v>7</v>
      </c>
      <c r="H13382" s="1">
        <v>2</v>
      </c>
      <c r="I13382" s="1" t="s">
        <v>27651</v>
      </c>
      <c r="K13382" s="1" t="str">
        <f t="shared" si="840"/>
        <v>ㄩ</v>
      </c>
      <c r="L13382" s="1" t="str">
        <f t="shared" si="842"/>
        <v>ㄣ</v>
      </c>
      <c r="N13382" s="3" t="s">
        <v>30575</v>
      </c>
      <c r="O13382" s="3"/>
      <c r="P13382" s="1" t="s">
        <v>20</v>
      </c>
      <c r="R13382" s="1" t="s">
        <v>27652</v>
      </c>
      <c r="V13382" s="1" t="s">
        <v>27677</v>
      </c>
      <c r="W13382" s="1" t="s">
        <v>27678</v>
      </c>
      <c r="AR13382" s="1" t="str">
        <f t="shared" si="843"/>
        <v>| [ㄩㄣˊ](ㄩㄣˊ.md) | [員](員.md) |  | yún | [動]
增益。《詩經．小雅．正月》：「無棄爾輔，員于爾輻。」
[名]
人名用字。如春秋時楚國有伍員。 |</v>
      </c>
    </row>
    <row r="13383" spans="1:44" hidden="1">
      <c r="A13383" s="1" t="s">
        <v>27679</v>
      </c>
      <c r="C13383" s="1">
        <v>1</v>
      </c>
      <c r="D13383" s="1" t="str">
        <f>"11834"</f>
        <v>11834</v>
      </c>
      <c r="E13383" s="1" t="s">
        <v>256</v>
      </c>
      <c r="F13383" s="1">
        <v>13</v>
      </c>
      <c r="G13383" s="1">
        <v>10</v>
      </c>
      <c r="H13383" s="1">
        <v>0</v>
      </c>
      <c r="I13383" s="1" t="s">
        <v>27651</v>
      </c>
      <c r="K13383" s="1" t="str">
        <f t="shared" si="840"/>
        <v>ㄩ</v>
      </c>
      <c r="L13383" s="1" t="str">
        <f t="shared" si="842"/>
        <v>ㄣ</v>
      </c>
      <c r="N13383" s="3" t="s">
        <v>30575</v>
      </c>
      <c r="O13383" s="3"/>
      <c r="P13383" s="1" t="s">
        <v>20</v>
      </c>
      <c r="R13383" s="1" t="s">
        <v>27652</v>
      </c>
      <c r="V13383" s="1" t="s">
        <v>27680</v>
      </c>
      <c r="AR13383" s="1" t="str">
        <f t="shared" si="843"/>
        <v>| [ㄩㄣˊ](ㄩㄣˊ.md) | [鄖](鄖.md) |  | yún | [名]
1.國名。春秋時被楚所滅，故址在今湖北省安陸縣。
2.地名。春秋時吳國邑地。故址在江蘇省如皋縣南。 |</v>
      </c>
    </row>
    <row r="13384" spans="1:44" hidden="1">
      <c r="A13384" s="1" t="s">
        <v>27681</v>
      </c>
      <c r="C13384" s="1">
        <v>1</v>
      </c>
      <c r="D13384" s="1" t="str">
        <f>"11835"</f>
        <v>11835</v>
      </c>
      <c r="E13384" s="1" t="s">
        <v>49</v>
      </c>
      <c r="F13384" s="1">
        <v>16</v>
      </c>
      <c r="G13384" s="1">
        <v>10</v>
      </c>
      <c r="H13384" s="1">
        <v>0</v>
      </c>
      <c r="I13384" s="1" t="s">
        <v>27651</v>
      </c>
      <c r="K13384" s="1" t="str">
        <f t="shared" si="840"/>
        <v>ㄩ</v>
      </c>
      <c r="L13384" s="1" t="str">
        <f t="shared" si="842"/>
        <v>ㄣ</v>
      </c>
      <c r="N13384" s="3" t="s">
        <v>30575</v>
      </c>
      <c r="O13384" s="3"/>
      <c r="P13384" s="1" t="s">
        <v>20</v>
      </c>
      <c r="R13384" s="1" t="s">
        <v>27652</v>
      </c>
      <c r="V13384" s="1" t="s">
        <v>5041</v>
      </c>
      <c r="AR13384" s="1" t="str">
        <f t="shared" si="843"/>
        <v>| [ㄩㄣˊ](ㄩㄣˊ.md) | [篔](篔.md) |  | yún | 參見「篔簹」條。 |</v>
      </c>
    </row>
    <row r="13385" spans="1:44" hidden="1">
      <c r="A13385" s="1" t="s">
        <v>27682</v>
      </c>
      <c r="C13385" s="1">
        <v>1</v>
      </c>
      <c r="D13385" s="1" t="str">
        <f>"11836"</f>
        <v>11836</v>
      </c>
      <c r="E13385" s="1" t="s">
        <v>336</v>
      </c>
      <c r="F13385" s="1">
        <v>14</v>
      </c>
      <c r="G13385" s="1">
        <v>10</v>
      </c>
      <c r="H13385" s="1">
        <v>1</v>
      </c>
      <c r="I13385" s="1" t="s">
        <v>27651</v>
      </c>
      <c r="K13385" s="1" t="str">
        <f t="shared" si="840"/>
        <v>ㄩ</v>
      </c>
      <c r="L13385" s="1" t="str">
        <f t="shared" si="842"/>
        <v>ㄣ</v>
      </c>
      <c r="N13385" s="3" t="s">
        <v>30575</v>
      </c>
      <c r="O13385" s="3"/>
      <c r="P13385" s="1" t="s">
        <v>20</v>
      </c>
      <c r="R13385" s="1" t="s">
        <v>27652</v>
      </c>
      <c r="V13385" s="1" t="s">
        <v>27683</v>
      </c>
      <c r="W13385" s="1" t="s">
        <v>27684</v>
      </c>
      <c r="AR13385" s="1" t="str">
        <f t="shared" si="843"/>
        <v>| [ㄩㄣˊ](ㄩㄣˊ.md) | [熅](熅.md) |  | yún | [名]
有濃煙而無焰的火。《漢書．卷五四．蘇建傳》：「鑿地為坎，置熅火，覆武其上，蹈其背以出血。」 |</v>
      </c>
    </row>
    <row r="13386" spans="1:44" hidden="1">
      <c r="A13386" s="1" t="s">
        <v>27685</v>
      </c>
      <c r="C13386" s="1">
        <v>1</v>
      </c>
      <c r="D13386" s="1" t="str">
        <f>"11837"</f>
        <v>11837</v>
      </c>
      <c r="E13386" s="1" t="s">
        <v>3581</v>
      </c>
      <c r="F13386" s="1">
        <v>4</v>
      </c>
      <c r="G13386" s="1">
        <v>2</v>
      </c>
      <c r="H13386" s="1">
        <v>0</v>
      </c>
      <c r="I13386" s="1" t="s">
        <v>27686</v>
      </c>
      <c r="K13386" s="1" t="str">
        <f t="shared" si="840"/>
        <v>ㄩ</v>
      </c>
      <c r="L13386" s="1" t="str">
        <f t="shared" si="842"/>
        <v>ㄣ</v>
      </c>
      <c r="N13386" s="3" t="s">
        <v>30576</v>
      </c>
      <c r="O13386" s="3"/>
      <c r="P13386" s="1" t="s">
        <v>20</v>
      </c>
      <c r="R13386" s="1" t="s">
        <v>27687</v>
      </c>
      <c r="V13386" s="1" t="s">
        <v>27688</v>
      </c>
      <c r="AR13386" s="1" t="str">
        <f t="shared" si="843"/>
        <v>| [ㄩㄣˇ](ㄩㄣˇ.md) | [允](允.md) |  | yǔn | [動]
答應、許可。如：「應允」。唐．韓愈〈上鄭尚書相公啟〉：「不蒙察允，遽以慚歸。」
[形]
公平、得當。如：「公允」。《後漢書．卷五八．虞詡傳》：「祖父經，為郡縣獄吏，案法平允，務存寬恕。」
[副]
果真。《詩經．大雅．公劉》：「度其夕陽，豳居允荒。」漢．揚雄《法言．問道》：「允治天下，不待禮文與五教，則吾以黃帝堯舜為疣贅。」
[名]
姓。如上古時代有允格。 |</v>
      </c>
    </row>
    <row r="13387" spans="1:44" hidden="1">
      <c r="A13387" s="1" t="s">
        <v>27689</v>
      </c>
      <c r="C13387" s="1">
        <v>1</v>
      </c>
      <c r="D13387" s="1" t="str">
        <f>"11838"</f>
        <v>11838</v>
      </c>
      <c r="E13387" s="1" t="s">
        <v>198</v>
      </c>
      <c r="F13387" s="1">
        <v>7</v>
      </c>
      <c r="G13387" s="1">
        <v>4</v>
      </c>
      <c r="H13387" s="1">
        <v>0</v>
      </c>
      <c r="I13387" s="1" t="s">
        <v>27686</v>
      </c>
      <c r="K13387" s="1" t="str">
        <f t="shared" si="840"/>
        <v>ㄩ</v>
      </c>
      <c r="L13387" s="1" t="str">
        <f t="shared" si="842"/>
        <v>ㄣ</v>
      </c>
      <c r="N13387" s="3" t="s">
        <v>30576</v>
      </c>
      <c r="O13387" s="3"/>
      <c r="P13387" s="1" t="s">
        <v>20</v>
      </c>
      <c r="R13387" s="1" t="s">
        <v>27687</v>
      </c>
      <c r="V13387" s="1" t="s">
        <v>16929</v>
      </c>
      <c r="AR13387" s="1" t="str">
        <f t="shared" si="843"/>
        <v>| [ㄩㄣˇ](ㄩㄣˇ.md) | [狁](狁.md) |  | yǔn | 參見「玁狁」條。 |</v>
      </c>
    </row>
    <row r="13388" spans="1:44" hidden="1">
      <c r="A13388" s="1" t="s">
        <v>27592</v>
      </c>
      <c r="C13388" s="1">
        <v>1</v>
      </c>
      <c r="D13388" s="1" t="str">
        <f>"11839"</f>
        <v>11839</v>
      </c>
      <c r="E13388" s="1" t="s">
        <v>691</v>
      </c>
      <c r="F13388" s="1">
        <v>13</v>
      </c>
      <c r="G13388" s="1">
        <v>10</v>
      </c>
      <c r="H13388" s="1">
        <v>1</v>
      </c>
      <c r="I13388" s="1" t="s">
        <v>27686</v>
      </c>
      <c r="K13388" s="1" t="str">
        <f t="shared" si="840"/>
        <v>ㄩ</v>
      </c>
      <c r="L13388" s="1" t="str">
        <f t="shared" si="842"/>
        <v>ㄣ</v>
      </c>
      <c r="N13388" s="3" t="s">
        <v>30576</v>
      </c>
      <c r="O13388" s="3"/>
      <c r="P13388" s="1" t="s">
        <v>20</v>
      </c>
      <c r="R13388" s="1" t="s">
        <v>27687</v>
      </c>
      <c r="V13388" s="1" t="s">
        <v>27690</v>
      </c>
      <c r="W13388" s="1" t="s">
        <v>27691</v>
      </c>
      <c r="AR13388" s="1" t="str">
        <f t="shared" si="843"/>
        <v>| [ㄩㄣˇ](ㄩㄣˇ.md) | [隕](隕.md) |  | yǔn | [動]
1.墜落。《左傳．莊公七年》：「夏，恆星不見。夜明也，星隕如雨。」《文選．禰衡．鸚鵡賦》：「聞之者悲傷，見之者隕淚。」
2.毀壞。《管子．中匡》：「古之隳國家隕社稷者，非故且為之也。」《淮南子．覽冥》：「庶女叫天，雷電下擊，景公臺隕，支體傷折，海水大出。」
3.失去。《詩經．大雅．綿》：「肆不殄厥慍，亦不隕厥問。」
4.死亡。通「殞」。《左傳．襄公三十一年》：「巢隕諸樊，閽戕戴吳，天似啟之。」《文選．賈誼．弔屈原文》：「遭世罔極兮，乃隕厥身。」 |</v>
      </c>
    </row>
    <row r="13389" spans="1:44" hidden="1">
      <c r="A13389" s="1" t="s">
        <v>27692</v>
      </c>
      <c r="C13389" s="1">
        <v>1</v>
      </c>
      <c r="D13389" s="1" t="str">
        <f>"11840"</f>
        <v>11840</v>
      </c>
      <c r="E13389" s="1" t="s">
        <v>1372</v>
      </c>
      <c r="F13389" s="1">
        <v>14</v>
      </c>
      <c r="G13389" s="1">
        <v>10</v>
      </c>
      <c r="H13389" s="1">
        <v>0</v>
      </c>
      <c r="I13389" s="1" t="s">
        <v>27686</v>
      </c>
      <c r="K13389" s="1" t="str">
        <f t="shared" si="840"/>
        <v>ㄩ</v>
      </c>
      <c r="L13389" s="1" t="str">
        <f t="shared" si="842"/>
        <v>ㄣ</v>
      </c>
      <c r="N13389" s="3" t="s">
        <v>30576</v>
      </c>
      <c r="O13389" s="3"/>
      <c r="P13389" s="1" t="s">
        <v>20</v>
      </c>
      <c r="R13389" s="1" t="s">
        <v>27687</v>
      </c>
      <c r="V13389" s="1" t="s">
        <v>27693</v>
      </c>
      <c r="AR13389" s="1" t="str">
        <f t="shared" si="843"/>
        <v>| [ㄩㄣˇ](ㄩㄣˇ.md) | [殞](殞.md) |  | yǔn | [動]
1.死亡。如：「香消玉殞」。《史記．卷一七．漢興以來諸侯王年表．序》：「大者叛逆，小者不軌于法。以危其命，殞身亡國。」《紅樓夢》第三三回：「（寶玉）只是此時一心總為金釧兒感傷，恨不得此時也身亡命殞。」
2.墜落。通「隕」。《淮南子．泰族》：「（趙王）思故鄉，作為山水之謳，聞者莫不殞涕。」《文選．潘岳．秋興賦》：「游氛朝興，槁葉夕殞。」 |</v>
      </c>
    </row>
    <row r="13390" spans="1:44" hidden="1">
      <c r="A13390" s="1" t="s">
        <v>27694</v>
      </c>
      <c r="C13390" s="1">
        <v>1</v>
      </c>
      <c r="D13390" s="1" t="str">
        <f>"11841"</f>
        <v>11841</v>
      </c>
      <c r="E13390" s="1" t="s">
        <v>125</v>
      </c>
      <c r="F13390" s="1">
        <v>18</v>
      </c>
      <c r="G13390" s="1">
        <v>10</v>
      </c>
      <c r="H13390" s="1">
        <v>0</v>
      </c>
      <c r="I13390" s="1" t="s">
        <v>27686</v>
      </c>
      <c r="K13390" s="1" t="str">
        <f t="shared" ref="K13390:K13418" si="844">LEFT(I13390, 1)</f>
        <v>ㄩ</v>
      </c>
      <c r="L13390" s="1" t="str">
        <f t="shared" si="842"/>
        <v>ㄣ</v>
      </c>
      <c r="N13390" s="3" t="s">
        <v>30576</v>
      </c>
      <c r="O13390" s="3"/>
      <c r="P13390" s="1" t="s">
        <v>20</v>
      </c>
      <c r="R13390" s="1" t="s">
        <v>27687</v>
      </c>
      <c r="V13390" s="1" t="s">
        <v>27695</v>
      </c>
      <c r="AR13390" s="1" t="str">
        <f t="shared" si="843"/>
        <v>| [ㄩㄣˇ](ㄩㄣˇ.md) | [霣](霣.md) |  | yǔn | [名]
雷雨。《廣韻．上聲．軫韻》：「《說文》：『雨也。』」
[動]
降落、墜落。通「隕」。《韓非子．內儲說上》：「春秋之記曰：『冬十二月，霣霜，不殺菽。』」《聊齋志異．卷六．絳妃》：「久矣朱旛不豎，娟娟者霣涕誰憐？」 |</v>
      </c>
    </row>
    <row r="13391" spans="1:44" hidden="1">
      <c r="A13391" s="1" t="s">
        <v>27830</v>
      </c>
      <c r="C13391" s="1">
        <v>1</v>
      </c>
      <c r="D13391" s="1" t="str">
        <f>"11905"</f>
        <v>11905</v>
      </c>
      <c r="E13391" s="1" t="s">
        <v>839</v>
      </c>
      <c r="F13391" s="1">
        <v>5</v>
      </c>
      <c r="G13391" s="1">
        <v>0</v>
      </c>
      <c r="H13391" s="1">
        <v>0</v>
      </c>
      <c r="I13391" s="1" t="s">
        <v>27831</v>
      </c>
      <c r="K13391" s="1" t="str">
        <f t="shared" si="844"/>
        <v>ㄩ</v>
      </c>
      <c r="L13391" s="1" t="str">
        <f t="shared" si="842"/>
        <v>ㄥ</v>
      </c>
      <c r="N13391" s="3" t="s">
        <v>30574</v>
      </c>
      <c r="O13391" s="3"/>
      <c r="P13391" s="1" t="s">
        <v>20</v>
      </c>
      <c r="R13391" s="1" t="s">
        <v>27832</v>
      </c>
      <c r="V13391" s="1" t="s">
        <v>27833</v>
      </c>
      <c r="AR13391" s="1" t="str">
        <f t="shared" si="843"/>
        <v>| [ㄩㄥˋ](ㄩㄥˋ.md) | [用](用.md) |  | yòng | [名]
1.功效。如：「用處」、「功用」、「效用」、「作用」、「有用」。《論語．學而》：「禮之用，和為貴。」
2.花用的錢財。如：「家用」、「費用」。《論語．學而》：「道千乘之國，敬事而信，節用而愛人，使民以時。」
3.器物。如：「用具」、「器用」。《國語．周語上》：「司空除壇于籍，命農大夫咸戒農用。」
4.姓。如漢代有用虬。
5.二一四部首之一。
[動]
1.任命。如：「任用」、「舉用」。《論語．陽貨》：「如有用我者，吾其為東周乎！」《孟子．梁惠王下》：「見賢焉，然後用之。」
2.行使、施行。如：「用電」、「使用」、「運用」、「應用」。《左傳．襄公二十六年》：「雖楚有材，晉實用之。」《孟子．告子上》：「則凡可以得生者，何不用也。」
3.需要。多用於否定或反問。如：「不用再說了！」「這事還用你操心嗎？」《論語．陽貨》：「割雞焉用牛刀！」唐．杜甫〈曲江〉詩二首之一：「細推物理須行樂，何用浮名絆此身。」
4.進食、吃喝。如：「用餐」、「用茶」、「請用點水果。」《韓非子．外儲說左下》：「孔子御坐於魯哀公，哀公賜之桃與黍。哀公：『請用。』」
[介]
1.表示憑藉。相當於「以」。如：「用手蒙住眼睛。」《孟子．滕文公上》：「吾聞用夏變夷者，未聞變於夷者也。」《史記．卷一一〇．匈奴列傳》：「單于既得翕侯，以為自次王，用其姊妻之，與謀漢。」
2.因。表示原因、結果。相當於「因此」。《詩經．邶風．雄雉》：「不忮不求，何用不臧。」《國語．周語下》：「皇天弗福，庶民弗助，禍亂並興，共工用滅。」
[連]
表示動作行為的目的。相當於「因而」。如：「用特函達」。民國．孫文《建國方略．心理建設．自序》：「吾志所向，一往無前，愈挫愈奮，再接再勵，用能鼓勵風潮，造成時勢。」 |</v>
      </c>
    </row>
    <row r="13392" spans="1:44" hidden="1">
      <c r="A13392" s="1" t="s">
        <v>27834</v>
      </c>
      <c r="C13392" s="1">
        <v>1</v>
      </c>
      <c r="D13392" s="1" t="str">
        <f>"11906"</f>
        <v>11906</v>
      </c>
      <c r="E13392" s="1" t="s">
        <v>114</v>
      </c>
      <c r="F13392" s="1">
        <v>7</v>
      </c>
      <c r="G13392" s="1">
        <v>5</v>
      </c>
      <c r="H13392" s="1">
        <v>0</v>
      </c>
      <c r="I13392" s="1" t="s">
        <v>27831</v>
      </c>
      <c r="K13392" s="1" t="str">
        <f t="shared" si="844"/>
        <v>ㄩ</v>
      </c>
      <c r="L13392" s="1" t="str">
        <f t="shared" si="842"/>
        <v>ㄥ</v>
      </c>
      <c r="N13392" s="3" t="s">
        <v>30574</v>
      </c>
      <c r="O13392" s="3"/>
      <c r="P13392" s="1" t="s">
        <v>20</v>
      </c>
      <c r="R13392" s="1" t="s">
        <v>27832</v>
      </c>
      <c r="V13392" s="1" t="s">
        <v>27835</v>
      </c>
      <c r="AR13392" s="1" t="str">
        <f t="shared" si="843"/>
        <v>| [ㄩㄥˋ](ㄩㄥˋ.md) | [佣](佣.md) |  | yòng | 參見「佣金」條。 |</v>
      </c>
    </row>
    <row r="13393" spans="1:44" hidden="1">
      <c r="A13393" s="1" t="s">
        <v>27836</v>
      </c>
      <c r="C13393" s="1">
        <v>1</v>
      </c>
      <c r="D13393" s="1" t="str">
        <f>"11907"</f>
        <v>11907</v>
      </c>
      <c r="E13393" s="1" t="s">
        <v>825</v>
      </c>
      <c r="F13393" s="1">
        <v>15</v>
      </c>
      <c r="G13393" s="1">
        <v>10</v>
      </c>
      <c r="H13393" s="1">
        <v>0</v>
      </c>
      <c r="I13393" s="1" t="s">
        <v>27831</v>
      </c>
      <c r="K13393" s="1" t="str">
        <f t="shared" si="844"/>
        <v>ㄩ</v>
      </c>
      <c r="L13393" s="1" t="str">
        <f t="shared" si="842"/>
        <v>ㄥ</v>
      </c>
      <c r="N13393" s="3" t="s">
        <v>30574</v>
      </c>
      <c r="O13393" s="3"/>
      <c r="P13393" s="1" t="s">
        <v>20</v>
      </c>
      <c r="R13393" s="1" t="s">
        <v>27832</v>
      </c>
      <c r="V13393" s="1" t="s">
        <v>27837</v>
      </c>
      <c r="AR13393" s="1" t="str">
        <f t="shared" si="843"/>
        <v>| [ㄩㄥˋ](ㄩㄥˋ.md) | [禜](禜.md) |  | yòng | [名]
古代一種祭拜日月、星辰、山川、風雨等的祭祀，以祈求消災除禍。《說文解字．示部》：「禜，設綿蕝為營，以禳風雨雪霜水旱癘疫於日月星辰山川也。」 |</v>
      </c>
    </row>
    <row r="13394" spans="1:44" hidden="1">
      <c r="A13394" s="1" t="s">
        <v>27838</v>
      </c>
      <c r="C13394" s="1">
        <v>1</v>
      </c>
      <c r="D13394" s="1" t="str">
        <f>"11908"</f>
        <v>11908</v>
      </c>
      <c r="E13394" s="1" t="s">
        <v>1462</v>
      </c>
      <c r="F13394" s="1">
        <v>17</v>
      </c>
      <c r="G13394" s="1">
        <v>10</v>
      </c>
      <c r="H13394" s="1">
        <v>0</v>
      </c>
      <c r="I13394" s="1" t="s">
        <v>27831</v>
      </c>
      <c r="K13394" s="1" t="str">
        <f t="shared" si="844"/>
        <v>ㄩ</v>
      </c>
      <c r="L13394" s="1" t="str">
        <f t="shared" si="842"/>
        <v>ㄥ</v>
      </c>
      <c r="N13394" s="3" t="s">
        <v>30574</v>
      </c>
      <c r="O13394" s="3"/>
      <c r="P13394" s="1" t="s">
        <v>20</v>
      </c>
      <c r="R13394" s="1" t="s">
        <v>27832</v>
      </c>
      <c r="V13394" s="1" t="s">
        <v>27839</v>
      </c>
      <c r="AR13394" s="1" t="str">
        <f t="shared" si="843"/>
        <v>| [ㄩㄥˋ](ㄩㄥˋ.md) | [醟](醟.md) |  | yòng | [副]
酒後亂性的樣子。《晉書．卷五〇．曹志等傳．贊曰》：「謀甫三爵，酗醟斯作。」 |</v>
      </c>
    </row>
    <row r="13395" spans="1:44" hidden="1">
      <c r="A13395" s="1" t="s">
        <v>27750</v>
      </c>
      <c r="C13395" s="1">
        <v>1</v>
      </c>
      <c r="D13395" s="1" t="str">
        <f>"11881"</f>
        <v>11881</v>
      </c>
      <c r="E13395" s="1" t="s">
        <v>447</v>
      </c>
      <c r="F13395" s="1">
        <v>11</v>
      </c>
      <c r="G13395" s="1">
        <v>8</v>
      </c>
      <c r="H13395" s="1">
        <v>2</v>
      </c>
      <c r="I13395" s="1" t="s">
        <v>27786</v>
      </c>
      <c r="K13395" s="1" t="str">
        <f t="shared" si="844"/>
        <v>ㄩ</v>
      </c>
      <c r="L13395" s="1" t="str">
        <f t="shared" si="842"/>
        <v>ㄥ</v>
      </c>
      <c r="N13395" s="3" t="s">
        <v>30575</v>
      </c>
      <c r="O13395" s="3"/>
      <c r="P13395" s="1" t="s">
        <v>110</v>
      </c>
      <c r="R13395" s="1" t="s">
        <v>27787</v>
      </c>
      <c r="V13395" s="1" t="s">
        <v>111</v>
      </c>
      <c r="W13395" s="1" t="s">
        <v>27788</v>
      </c>
      <c r="AR13395" s="1" t="str">
        <f t="shared" si="843"/>
        <v>| [ㄩㄥˊ](ㄩㄥˊ.md) | [庸](庸.md) |  | yóng | (一)之又音。 |</v>
      </c>
    </row>
    <row r="13396" spans="1:44" hidden="1">
      <c r="A13396" s="1" t="s">
        <v>27753</v>
      </c>
      <c r="C13396" s="1">
        <v>1</v>
      </c>
      <c r="D13396" s="1" t="str">
        <f>"11882"</f>
        <v>11882</v>
      </c>
      <c r="E13396" s="1" t="s">
        <v>114</v>
      </c>
      <c r="F13396" s="1">
        <v>13</v>
      </c>
      <c r="G13396" s="1">
        <v>11</v>
      </c>
      <c r="H13396" s="1">
        <v>2</v>
      </c>
      <c r="I13396" s="1" t="s">
        <v>27786</v>
      </c>
      <c r="K13396" s="1" t="str">
        <f t="shared" si="844"/>
        <v>ㄩ</v>
      </c>
      <c r="L13396" s="1" t="str">
        <f t="shared" si="842"/>
        <v>ㄥ</v>
      </c>
      <c r="N13396" s="3" t="s">
        <v>30575</v>
      </c>
      <c r="O13396" s="3"/>
      <c r="P13396" s="1" t="s">
        <v>110</v>
      </c>
      <c r="R13396" s="1" t="s">
        <v>27787</v>
      </c>
      <c r="V13396" s="1" t="s">
        <v>111</v>
      </c>
      <c r="W13396" s="1" t="s">
        <v>27789</v>
      </c>
      <c r="AR13396" s="1" t="str">
        <f t="shared" si="843"/>
        <v>| [ㄩㄥˊ](ㄩㄥˊ.md) | [傭](傭.md) |  | yóng | (一)之又音。 |</v>
      </c>
    </row>
    <row r="13397" spans="1:44" hidden="1">
      <c r="A13397" s="1" t="s">
        <v>27756</v>
      </c>
      <c r="C13397" s="1">
        <v>1</v>
      </c>
      <c r="D13397" s="1" t="str">
        <f>"11883"</f>
        <v>11883</v>
      </c>
      <c r="E13397" s="1" t="s">
        <v>256</v>
      </c>
      <c r="F13397" s="1">
        <v>14</v>
      </c>
      <c r="G13397" s="1">
        <v>11</v>
      </c>
      <c r="H13397" s="1">
        <v>2</v>
      </c>
      <c r="I13397" s="1" t="s">
        <v>27786</v>
      </c>
      <c r="K13397" s="1" t="str">
        <f t="shared" si="844"/>
        <v>ㄩ</v>
      </c>
      <c r="L13397" s="1" t="str">
        <f t="shared" si="842"/>
        <v>ㄥ</v>
      </c>
      <c r="N13397" s="3" t="s">
        <v>30575</v>
      </c>
      <c r="O13397" s="3"/>
      <c r="P13397" s="1" t="s">
        <v>110</v>
      </c>
      <c r="R13397" s="1" t="s">
        <v>27787</v>
      </c>
      <c r="V13397" s="1" t="s">
        <v>111</v>
      </c>
      <c r="W13397" s="1" t="s">
        <v>27790</v>
      </c>
      <c r="AR13397" s="1" t="str">
        <f t="shared" si="843"/>
        <v>| [ㄩㄥˊ](ㄩㄥˊ.md) | [鄘](鄘.md) |  | yóng | (一)之又音。 |</v>
      </c>
    </row>
    <row r="13398" spans="1:44" hidden="1">
      <c r="A13398" s="1" t="s">
        <v>27759</v>
      </c>
      <c r="C13398" s="1">
        <v>1</v>
      </c>
      <c r="D13398" s="1" t="str">
        <f>"11884"</f>
        <v>11884</v>
      </c>
      <c r="E13398" s="1" t="s">
        <v>250</v>
      </c>
      <c r="F13398" s="1">
        <v>14</v>
      </c>
      <c r="G13398" s="1">
        <v>11</v>
      </c>
      <c r="H13398" s="1">
        <v>2</v>
      </c>
      <c r="I13398" s="1" t="s">
        <v>27786</v>
      </c>
      <c r="K13398" s="1" t="str">
        <f t="shared" si="844"/>
        <v>ㄩ</v>
      </c>
      <c r="L13398" s="1" t="str">
        <f t="shared" si="842"/>
        <v>ㄥ</v>
      </c>
      <c r="N13398" s="3" t="s">
        <v>30575</v>
      </c>
      <c r="O13398" s="3"/>
      <c r="P13398" s="1" t="s">
        <v>110</v>
      </c>
      <c r="R13398" s="1" t="s">
        <v>27787</v>
      </c>
      <c r="V13398" s="1" t="s">
        <v>111</v>
      </c>
      <c r="W13398" s="1" t="s">
        <v>27791</v>
      </c>
      <c r="AR13398" s="1" t="str">
        <f t="shared" si="843"/>
        <v>| [ㄩㄥˊ](ㄩㄥˊ.md) | [慵](慵.md) |  | yóng | (一)之又音。 |</v>
      </c>
    </row>
    <row r="13399" spans="1:44" hidden="1">
      <c r="A13399" s="1" t="s">
        <v>27762</v>
      </c>
      <c r="C13399" s="1">
        <v>1</v>
      </c>
      <c r="D13399" s="1" t="str">
        <f>"11885"</f>
        <v>11885</v>
      </c>
      <c r="E13399" s="1" t="s">
        <v>132</v>
      </c>
      <c r="F13399" s="1">
        <v>14</v>
      </c>
      <c r="G13399" s="1">
        <v>11</v>
      </c>
      <c r="H13399" s="1">
        <v>2</v>
      </c>
      <c r="I13399" s="1" t="s">
        <v>27786</v>
      </c>
      <c r="K13399" s="1" t="str">
        <f t="shared" si="844"/>
        <v>ㄩ</v>
      </c>
      <c r="L13399" s="1" t="str">
        <f t="shared" si="842"/>
        <v>ㄥ</v>
      </c>
      <c r="N13399" s="3" t="s">
        <v>30575</v>
      </c>
      <c r="O13399" s="3"/>
      <c r="P13399" s="1" t="s">
        <v>110</v>
      </c>
      <c r="R13399" s="1" t="s">
        <v>27787</v>
      </c>
      <c r="V13399" s="1" t="s">
        <v>111</v>
      </c>
      <c r="W13399" s="1" t="s">
        <v>27792</v>
      </c>
      <c r="AR13399" s="1" t="str">
        <f t="shared" si="843"/>
        <v>| [ㄩㄥˊ](ㄩㄥˊ.md) | [墉](墉.md) |  | yóng | (一)之又音。 |</v>
      </c>
    </row>
    <row r="13400" spans="1:44" hidden="1">
      <c r="A13400" s="1" t="s">
        <v>27765</v>
      </c>
      <c r="C13400" s="1">
        <v>1</v>
      </c>
      <c r="D13400" s="1" t="str">
        <f>"11886"</f>
        <v>11886</v>
      </c>
      <c r="E13400" s="1" t="s">
        <v>55</v>
      </c>
      <c r="F13400" s="1">
        <v>19</v>
      </c>
      <c r="G13400" s="1">
        <v>11</v>
      </c>
      <c r="H13400" s="1">
        <v>2</v>
      </c>
      <c r="I13400" s="1" t="s">
        <v>27786</v>
      </c>
      <c r="K13400" s="1" t="str">
        <f t="shared" si="844"/>
        <v>ㄩ</v>
      </c>
      <c r="L13400" s="1" t="str">
        <f t="shared" si="842"/>
        <v>ㄥ</v>
      </c>
      <c r="N13400" s="3" t="s">
        <v>30575</v>
      </c>
      <c r="O13400" s="3"/>
      <c r="P13400" s="1" t="s">
        <v>110</v>
      </c>
      <c r="R13400" s="1" t="s">
        <v>27787</v>
      </c>
      <c r="V13400" s="1" t="s">
        <v>111</v>
      </c>
      <c r="W13400" s="1" t="s">
        <v>27793</v>
      </c>
      <c r="AR13400" s="1" t="str">
        <f t="shared" si="843"/>
        <v>| [ㄩㄥˊ](ㄩㄥˊ.md) | [鏞](鏞.md) |  | yóng | (一)之又音。 |</v>
      </c>
    </row>
    <row r="13401" spans="1:44" hidden="1">
      <c r="A13401" s="1" t="s">
        <v>27172</v>
      </c>
      <c r="C13401" s="1">
        <v>1</v>
      </c>
      <c r="D13401" s="1" t="str">
        <f>"11887"</f>
        <v>11887</v>
      </c>
      <c r="E13401" s="1" t="s">
        <v>28</v>
      </c>
      <c r="F13401" s="1">
        <v>12</v>
      </c>
      <c r="G13401" s="1">
        <v>9</v>
      </c>
      <c r="H13401" s="1">
        <v>1</v>
      </c>
      <c r="I13401" s="1" t="s">
        <v>27786</v>
      </c>
      <c r="K13401" s="1" t="str">
        <f t="shared" si="844"/>
        <v>ㄩ</v>
      </c>
      <c r="L13401" s="1" t="str">
        <f t="shared" si="842"/>
        <v>ㄥ</v>
      </c>
      <c r="N13401" s="3" t="s">
        <v>30575</v>
      </c>
      <c r="O13401" s="3"/>
      <c r="P13401" s="1" t="s">
        <v>20</v>
      </c>
      <c r="R13401" s="1" t="s">
        <v>27787</v>
      </c>
      <c r="V13401" s="1" t="s">
        <v>27794</v>
      </c>
      <c r="W13401" s="1" t="s">
        <v>27795</v>
      </c>
      <c r="AR13401" s="1" t="str">
        <f t="shared" si="843"/>
        <v>| [ㄩㄥˊ](ㄩㄥˊ.md) | [喁](喁.md) |  | yóng | [動]
魚露出水面呼吸。《韓詩外傳》卷一：「水濁則魚喁，令苛則民亂。」 |</v>
      </c>
    </row>
    <row r="13402" spans="1:44" hidden="1">
      <c r="A13402" s="1" t="s">
        <v>27796</v>
      </c>
      <c r="C13402" s="1">
        <v>1</v>
      </c>
      <c r="D13402" s="1" t="str">
        <f>"11888"</f>
        <v>11888</v>
      </c>
      <c r="E13402" s="1" t="s">
        <v>684</v>
      </c>
      <c r="F13402" s="1">
        <v>18</v>
      </c>
      <c r="G13402" s="1">
        <v>9</v>
      </c>
      <c r="H13402" s="1">
        <v>0</v>
      </c>
      <c r="I13402" s="1" t="s">
        <v>27786</v>
      </c>
      <c r="K13402" s="1" t="str">
        <f t="shared" si="844"/>
        <v>ㄩ</v>
      </c>
      <c r="L13402" s="1" t="str">
        <f t="shared" si="842"/>
        <v>ㄥ</v>
      </c>
      <c r="N13402" s="3" t="s">
        <v>30575</v>
      </c>
      <c r="O13402" s="3"/>
      <c r="P13402" s="1" t="s">
        <v>20</v>
      </c>
      <c r="R13402" s="1" t="s">
        <v>27787</v>
      </c>
      <c r="V13402" s="1" t="s">
        <v>27797</v>
      </c>
      <c r="AR13402" s="1" t="str">
        <f t="shared" si="843"/>
        <v>| [ㄩㄥˊ](ㄩㄥˊ.md) | [顒](顒.md) |  | yóng | [形]
1.大的樣子。《詩經．小雅．六月》：「四牡修廣，其大有顒。」漢．毛亨．傳：「顒，大貌。」
2.嚴正的樣子。《易經．觀卦》：「觀盥而不薦，有孚顒若。」
[副]
盼望。《文選．劉琨．勸進表》：「蒼生顒然，莫不欣戴。」宋．柳永〈八聲甘州．對瀟瀟〉詞：「想佳人、妝樓顒望，誤幾回、天際識歸舟。」 |</v>
      </c>
    </row>
    <row r="13403" spans="1:44" hidden="1">
      <c r="A13403" s="1" t="s">
        <v>27798</v>
      </c>
      <c r="C13403" s="1">
        <v>1</v>
      </c>
      <c r="D13403" s="1" t="str">
        <f>"11889"</f>
        <v>11889</v>
      </c>
      <c r="E13403" s="1" t="s">
        <v>129</v>
      </c>
      <c r="F13403" s="1">
        <v>5</v>
      </c>
      <c r="G13403" s="1">
        <v>1</v>
      </c>
      <c r="H13403" s="1">
        <v>0</v>
      </c>
      <c r="I13403" s="1" t="s">
        <v>27799</v>
      </c>
      <c r="K13403" s="1" t="str">
        <f t="shared" si="844"/>
        <v>ㄩ</v>
      </c>
      <c r="L13403" s="1" t="str">
        <f t="shared" si="842"/>
        <v>ㄥ</v>
      </c>
      <c r="N13403" s="3" t="s">
        <v>30576</v>
      </c>
      <c r="O13403" s="3"/>
      <c r="P13403" s="1" t="s">
        <v>20</v>
      </c>
      <c r="R13403" s="1" t="s">
        <v>27800</v>
      </c>
      <c r="V13403" s="1" t="s">
        <v>27801</v>
      </c>
      <c r="AR13403" s="1" t="str">
        <f t="shared" si="843"/>
        <v>| [ㄩㄥˇ](ㄩㄥˇ.md) | [永](永.md) |  | yǒng | [形]
深長的、久遠的。三國魏．阮籍〈詠懷〉詩八二首之一七：「出門臨永路，不見行車馬。」宋．蘇軾〈和錢安道寄惠建茶〉詩：「雪花雨腳何足道，啜過始知真味永。」
[副]
恆久、久遠。如：「永垂不朽」。《論語．堯曰》：「四海困窮，天祿永終。」《史記．卷一一七．司馬相如傳》：「精罔閬而飛揚兮，拾九天而永逝。」 |</v>
      </c>
    </row>
    <row r="13404" spans="1:44" hidden="1">
      <c r="A13404" s="1" t="s">
        <v>27802</v>
      </c>
      <c r="C13404" s="1">
        <v>1</v>
      </c>
      <c r="D13404" s="1" t="str">
        <f>"11890"</f>
        <v>11890</v>
      </c>
      <c r="E13404" s="1" t="s">
        <v>129</v>
      </c>
      <c r="F13404" s="1">
        <v>8</v>
      </c>
      <c r="G13404" s="1">
        <v>5</v>
      </c>
      <c r="H13404" s="1">
        <v>0</v>
      </c>
      <c r="I13404" s="1" t="s">
        <v>27799</v>
      </c>
      <c r="K13404" s="1" t="str">
        <f t="shared" si="844"/>
        <v>ㄩ</v>
      </c>
      <c r="L13404" s="1" t="str">
        <f t="shared" si="842"/>
        <v>ㄥ</v>
      </c>
      <c r="N13404" s="3" t="s">
        <v>30576</v>
      </c>
      <c r="O13404" s="3"/>
      <c r="P13404" s="1" t="s">
        <v>20</v>
      </c>
      <c r="R13404" s="1" t="s">
        <v>27800</v>
      </c>
      <c r="V13404" s="1" t="s">
        <v>27803</v>
      </c>
      <c r="AR13404" s="1" t="str">
        <f t="shared" si="843"/>
        <v>| [ㄩㄥˇ](ㄩㄥˇ.md) | [泳](泳.md) |  | yǒng | [動]
在水中浮動。《說文解字．水部》：「泳，潛行水中也。」如：「游泳」、「晨泳」。《詩經．邶風．谷風》：「就其淺矣！泳之游之。」 |</v>
      </c>
    </row>
    <row r="13405" spans="1:44" hidden="1">
      <c r="A13405" s="1" t="s">
        <v>27804</v>
      </c>
      <c r="C13405" s="1">
        <v>1</v>
      </c>
      <c r="D13405" s="1" t="str">
        <f>"11891"</f>
        <v>11891</v>
      </c>
      <c r="E13405" s="1" t="s">
        <v>331</v>
      </c>
      <c r="F13405" s="1">
        <v>12</v>
      </c>
      <c r="G13405" s="1">
        <v>5</v>
      </c>
      <c r="H13405" s="1">
        <v>0</v>
      </c>
      <c r="I13405" s="1" t="s">
        <v>27799</v>
      </c>
      <c r="K13405" s="1" t="str">
        <f t="shared" si="844"/>
        <v>ㄩ</v>
      </c>
      <c r="L13405" s="1" t="str">
        <f t="shared" ref="L13405:L13418" si="845">MID(I13405, 2, 1)</f>
        <v>ㄥ</v>
      </c>
      <c r="N13405" s="3" t="s">
        <v>30576</v>
      </c>
      <c r="O13405" s="3"/>
      <c r="P13405" s="1" t="s">
        <v>20</v>
      </c>
      <c r="R13405" s="1" t="s">
        <v>27800</v>
      </c>
      <c r="V13405" s="1" t="s">
        <v>27805</v>
      </c>
      <c r="AR13405" s="1" t="str">
        <f t="shared" si="843"/>
        <v>| [ㄩㄥˇ](ㄩㄥˇ.md) | [詠](詠.md) |  | yǒng | [動]
1.歌唱，以充滿抑揚頓挫的語調吟唱。如：「吟詠」。《論語．先進》：「風乎舞雩，詠而歸。」南朝宋．劉義慶《世說新語．文學》：「聞江渚閒估客船上有詠詩聲，甚有情致。」
2.抒寫、表達。《晉書．卷九二．文苑傳．袁宏傳》：「宏有逸才，文章絕美，曾為詠史詩，是其風情所寄。」
3.歌頌、贊揚。《文選．班固．東都賦》：「下舞上歌，蹈德詠仁。」唐．張籍〈和裴司空酬蒲城楊少尹〉詩：「聖朝偏重大司空，人詠元和第一功。」 |</v>
      </c>
    </row>
    <row r="13406" spans="1:44" hidden="1">
      <c r="A13406" s="1" t="s">
        <v>27806</v>
      </c>
      <c r="C13406" s="1">
        <v>1</v>
      </c>
      <c r="D13406" s="1" t="str">
        <f>"11892"</f>
        <v>11892</v>
      </c>
      <c r="E13406" s="1" t="s">
        <v>839</v>
      </c>
      <c r="F13406" s="1">
        <v>7</v>
      </c>
      <c r="G13406" s="1">
        <v>2</v>
      </c>
      <c r="H13406" s="1">
        <v>0</v>
      </c>
      <c r="I13406" s="1" t="s">
        <v>27799</v>
      </c>
      <c r="K13406" s="1" t="str">
        <f t="shared" si="844"/>
        <v>ㄩ</v>
      </c>
      <c r="L13406" s="1" t="str">
        <f t="shared" si="845"/>
        <v>ㄥ</v>
      </c>
      <c r="N13406" s="3" t="s">
        <v>30576</v>
      </c>
      <c r="O13406" s="3"/>
      <c r="P13406" s="1" t="s">
        <v>20</v>
      </c>
      <c r="R13406" s="1" t="s">
        <v>27800</v>
      </c>
      <c r="V13406" s="1" t="s">
        <v>27807</v>
      </c>
      <c r="AR13406" s="1" t="str">
        <f t="shared" si="843"/>
        <v>| [ㄩㄥˇ](ㄩㄥˇ.md) | [甬](甬.md) |  | yǒng | [名]
1.古代的一種量器。即斛。《玉篇．丂部》：「甬，斛也。」《呂氏春秋．仲秋紀．仲秋》：「平權衡，正鈞石，齊斗甬。」
2.鐘柄。《周禮．冬官考工記．鳧氏》：「鳧氏為鍾，……舞上謂之甬，甬上謂之衡。」
3.兩旁有牆壁遮蔽的通道。參見「甬道」條。
4.浙江省鄞縣的別稱，因甬江流經而得名。 |</v>
      </c>
    </row>
    <row r="13407" spans="1:44" hidden="1">
      <c r="A13407" s="1" t="s">
        <v>27808</v>
      </c>
      <c r="C13407" s="1">
        <v>1</v>
      </c>
      <c r="D13407" s="1" t="str">
        <f>"11893"</f>
        <v>11893</v>
      </c>
      <c r="E13407" s="1" t="s">
        <v>114</v>
      </c>
      <c r="F13407" s="1">
        <v>9</v>
      </c>
      <c r="G13407" s="1">
        <v>7</v>
      </c>
      <c r="H13407" s="1">
        <v>0</v>
      </c>
      <c r="I13407" s="1" t="s">
        <v>27799</v>
      </c>
      <c r="K13407" s="1" t="str">
        <f t="shared" si="844"/>
        <v>ㄩ</v>
      </c>
      <c r="L13407" s="1" t="str">
        <f t="shared" si="845"/>
        <v>ㄥ</v>
      </c>
      <c r="N13407" s="3" t="s">
        <v>30576</v>
      </c>
      <c r="O13407" s="3"/>
      <c r="P13407" s="1" t="s">
        <v>20</v>
      </c>
      <c r="R13407" s="1" t="s">
        <v>27800</v>
      </c>
      <c r="V13407" s="1" t="s">
        <v>27809</v>
      </c>
      <c r="AR13407" s="1" t="str">
        <f t="shared" si="843"/>
        <v>| [ㄩㄥˇ](ㄩㄥˇ.md) | [俑](俑.md) |  | yǒng | [名]
古代殉葬用的木偶。如：「陶俑」、「兵馬俑」。《孟子．梁惠王上》：「始作俑者，其無後乎？」《文選．謝惠連．祭古冢文》：「循題興念，撫俑增哀。」 |</v>
      </c>
    </row>
    <row r="13408" spans="1:44" hidden="1">
      <c r="A13408" s="1" t="s">
        <v>27810</v>
      </c>
      <c r="C13408" s="1">
        <v>1</v>
      </c>
      <c r="D13408" s="1" t="str">
        <f>"11894"</f>
        <v>11894</v>
      </c>
      <c r="E13408" s="1" t="s">
        <v>245</v>
      </c>
      <c r="F13408" s="1">
        <v>9</v>
      </c>
      <c r="G13408" s="1">
        <v>7</v>
      </c>
      <c r="H13408" s="1">
        <v>0</v>
      </c>
      <c r="I13408" s="1" t="s">
        <v>27799</v>
      </c>
      <c r="K13408" s="1" t="str">
        <f t="shared" si="844"/>
        <v>ㄩ</v>
      </c>
      <c r="L13408" s="1" t="str">
        <f t="shared" si="845"/>
        <v>ㄥ</v>
      </c>
      <c r="N13408" s="3" t="s">
        <v>30576</v>
      </c>
      <c r="O13408" s="3"/>
      <c r="P13408" s="1" t="s">
        <v>20</v>
      </c>
      <c r="R13408" s="1" t="s">
        <v>27800</v>
      </c>
      <c r="V13408" s="1" t="s">
        <v>27811</v>
      </c>
      <c r="AR13408" s="1" t="str">
        <f t="shared" si="843"/>
        <v>| [ㄩㄥˇ](ㄩㄥˇ.md) | [勇](勇.md) |  | yǒng | [形]
有膽量的、力氣大的。如：「英勇」、「勇氣」、「勇士」。《論語．憲問》：「仁者不憂，知者不惑，勇者不懼。」
[副]
敢作敢當、肯負責的。如：「勇於負責」、「勇於改過」。
[名]
士兵。清朝軍制稱官府於軍隊編制外另行招募的士兵為「勇」。如：「鄉勇」、「淮勇」。 |</v>
      </c>
    </row>
    <row r="13409" spans="1:44" hidden="1">
      <c r="A13409" s="1" t="s">
        <v>27812</v>
      </c>
      <c r="C13409" s="1">
        <v>1</v>
      </c>
      <c r="D13409" s="1" t="str">
        <f>"11895"</f>
        <v>11895</v>
      </c>
      <c r="E13409" s="1" t="s">
        <v>129</v>
      </c>
      <c r="F13409" s="1">
        <v>10</v>
      </c>
      <c r="G13409" s="1">
        <v>7</v>
      </c>
      <c r="H13409" s="1">
        <v>0</v>
      </c>
      <c r="I13409" s="1" t="s">
        <v>27799</v>
      </c>
      <c r="K13409" s="1" t="str">
        <f t="shared" si="844"/>
        <v>ㄩ</v>
      </c>
      <c r="L13409" s="1" t="str">
        <f t="shared" si="845"/>
        <v>ㄥ</v>
      </c>
      <c r="N13409" s="3" t="s">
        <v>30576</v>
      </c>
      <c r="O13409" s="3"/>
      <c r="P13409" s="1" t="s">
        <v>20</v>
      </c>
      <c r="R13409" s="1" t="s">
        <v>27800</v>
      </c>
      <c r="V13409" s="1" t="s">
        <v>27813</v>
      </c>
      <c r="AR13409" s="1" t="str">
        <f t="shared" si="843"/>
        <v>| [ㄩㄥˇ](ㄩㄥˇ.md) | [涌](涌.md) |  | yǒng | 同「湧」。 |</v>
      </c>
    </row>
    <row r="13410" spans="1:44" hidden="1">
      <c r="A13410" s="1" t="s">
        <v>27814</v>
      </c>
      <c r="C13410" s="1">
        <v>1</v>
      </c>
      <c r="D13410" s="1" t="str">
        <f>"11896"</f>
        <v>11896</v>
      </c>
      <c r="E13410" s="1" t="s">
        <v>250</v>
      </c>
      <c r="F13410" s="1">
        <v>11</v>
      </c>
      <c r="G13410" s="1">
        <v>7</v>
      </c>
      <c r="H13410" s="1">
        <v>0</v>
      </c>
      <c r="I13410" s="1" t="s">
        <v>27799</v>
      </c>
      <c r="K13410" s="1" t="str">
        <f t="shared" si="844"/>
        <v>ㄩ</v>
      </c>
      <c r="L13410" s="1" t="str">
        <f t="shared" si="845"/>
        <v>ㄥ</v>
      </c>
      <c r="N13410" s="3" t="s">
        <v>30576</v>
      </c>
      <c r="O13410" s="3"/>
      <c r="P13410" s="1" t="s">
        <v>20</v>
      </c>
      <c r="R13410" s="1" t="s">
        <v>27800</v>
      </c>
      <c r="V13410" s="1" t="s">
        <v>27815</v>
      </c>
      <c r="AR13410" s="1" t="str">
        <f t="shared" si="843"/>
        <v>| [ㄩㄥˇ](ㄩㄥˇ.md) | [恿](恿.md) |  | yǒng | 參見「慫恿」條。 |</v>
      </c>
    </row>
    <row r="13411" spans="1:44" hidden="1">
      <c r="A13411" s="1" t="s">
        <v>27816</v>
      </c>
      <c r="C13411" s="1">
        <v>1</v>
      </c>
      <c r="D13411" s="1" t="str">
        <f>"11897"</f>
        <v>11897</v>
      </c>
      <c r="E13411" s="1" t="s">
        <v>129</v>
      </c>
      <c r="F13411" s="1">
        <v>12</v>
      </c>
      <c r="G13411" s="1">
        <v>9</v>
      </c>
      <c r="H13411" s="1">
        <v>0</v>
      </c>
      <c r="I13411" s="1" t="s">
        <v>27799</v>
      </c>
      <c r="K13411" s="1" t="str">
        <f t="shared" si="844"/>
        <v>ㄩ</v>
      </c>
      <c r="L13411" s="1" t="str">
        <f t="shared" si="845"/>
        <v>ㄥ</v>
      </c>
      <c r="N13411" s="3" t="s">
        <v>30576</v>
      </c>
      <c r="O13411" s="3"/>
      <c r="P13411" s="1" t="s">
        <v>20</v>
      </c>
      <c r="R13411" s="1" t="s">
        <v>27800</v>
      </c>
      <c r="V13411" s="1" t="s">
        <v>27817</v>
      </c>
      <c r="AR13411" s="1" t="str">
        <f t="shared" si="843"/>
        <v>| [ㄩㄥˇ](ㄩㄥˇ.md) | [湧](湧.md) |  | yǒng | [動]
1.水從下向上冒出。如：「泉湧」。唐．杜甫〈秋興〉詩八首之一：「江間波浪兼天湧，塞上風雲接地陰。」
2.像水一樣的衝出。如：「風起雲湧」、「一大群人湧了出來。」 |</v>
      </c>
    </row>
    <row r="13412" spans="1:44" hidden="1">
      <c r="A13412" s="1" t="s">
        <v>27818</v>
      </c>
      <c r="C13412" s="1">
        <v>1</v>
      </c>
      <c r="D13412" s="1" t="str">
        <f>"11898"</f>
        <v>11898</v>
      </c>
      <c r="E13412" s="1" t="s">
        <v>679</v>
      </c>
      <c r="F13412" s="1">
        <v>13</v>
      </c>
      <c r="G13412" s="1">
        <v>7</v>
      </c>
      <c r="H13412" s="1">
        <v>0</v>
      </c>
      <c r="I13412" s="1" t="s">
        <v>27799</v>
      </c>
      <c r="K13412" s="1" t="str">
        <f t="shared" si="844"/>
        <v>ㄩ</v>
      </c>
      <c r="L13412" s="1" t="str">
        <f t="shared" si="845"/>
        <v>ㄥ</v>
      </c>
      <c r="N13412" s="3" t="s">
        <v>30576</v>
      </c>
      <c r="O13412" s="3"/>
      <c r="P13412" s="1" t="s">
        <v>20</v>
      </c>
      <c r="R13412" s="1" t="s">
        <v>27800</v>
      </c>
      <c r="V13412" s="1" t="s">
        <v>27819</v>
      </c>
      <c r="AR13412" s="1" t="str">
        <f t="shared" si="843"/>
        <v>| [ㄩㄥˇ](ㄩㄥˇ.md) | [蛹](蛹.md) |  | yǒng | [名]
昆蟲類的幼蟲，長成至一定階段，即不動不食，其狀如死，形體發生變化，多為棗核形狀，於適合的環境條件下變為成蟲。 |</v>
      </c>
    </row>
    <row r="13413" spans="1:44" hidden="1">
      <c r="A13413" s="1" t="s">
        <v>27820</v>
      </c>
      <c r="C13413" s="1">
        <v>1</v>
      </c>
      <c r="D13413" s="1" t="str">
        <f>"11899"</f>
        <v>11899</v>
      </c>
      <c r="E13413" s="1" t="s">
        <v>77</v>
      </c>
      <c r="F13413" s="1">
        <v>14</v>
      </c>
      <c r="G13413" s="1">
        <v>7</v>
      </c>
      <c r="H13413" s="1">
        <v>0</v>
      </c>
      <c r="I13413" s="1" t="s">
        <v>27799</v>
      </c>
      <c r="K13413" s="1" t="str">
        <f t="shared" si="844"/>
        <v>ㄩ</v>
      </c>
      <c r="L13413" s="1" t="str">
        <f t="shared" si="845"/>
        <v>ㄥ</v>
      </c>
      <c r="N13413" s="3" t="s">
        <v>30576</v>
      </c>
      <c r="O13413" s="3"/>
      <c r="P13413" s="1" t="s">
        <v>20</v>
      </c>
      <c r="R13413" s="1" t="s">
        <v>27800</v>
      </c>
      <c r="V13413" s="1" t="s">
        <v>27821</v>
      </c>
      <c r="AR13413" s="1" t="str">
        <f t="shared" si="843"/>
        <v>| [ㄩㄥˇ](ㄩㄥˇ.md) | [踊](踊.md) |  | yǒng | [動]
1.跳、躍。《禮記．喪服四制》：「傴者不袒，跛者不踊。」《文選．曹植．洛神賦》：「鯨鯢踊而夾轂，水禽翔而為衛。」
2.登上。《公羊傳．成公二年》：「踊于棓而窺客，則客或跛或眇。」
3.物價上漲。《史記．卷三〇．平準書》：「物踊騰糶，米至石萬錢。」《舊唐書．卷一三四．馬燧傳》：「物價騰踊，軍乏糧餉。」
[名]
古代為被砍斷腳跟的人所特製的鞋子。《左傳．昭公三年》：「國之諸市，屨賤踊貴。」晉．杜預．注：「踊，刖足者屨。」 |</v>
      </c>
    </row>
    <row r="13414" spans="1:44" hidden="1">
      <c r="A13414" s="1" t="s">
        <v>27822</v>
      </c>
      <c r="C13414" s="1">
        <v>1</v>
      </c>
      <c r="D13414" s="1" t="str">
        <f>"11900"</f>
        <v>11900</v>
      </c>
      <c r="E13414" s="1" t="s">
        <v>77</v>
      </c>
      <c r="F13414" s="1">
        <v>16</v>
      </c>
      <c r="G13414" s="1">
        <v>9</v>
      </c>
      <c r="H13414" s="1">
        <v>0</v>
      </c>
      <c r="I13414" s="1" t="s">
        <v>27799</v>
      </c>
      <c r="K13414" s="1" t="str">
        <f t="shared" si="844"/>
        <v>ㄩ</v>
      </c>
      <c r="L13414" s="1" t="str">
        <f t="shared" si="845"/>
        <v>ㄥ</v>
      </c>
      <c r="N13414" s="3" t="s">
        <v>30576</v>
      </c>
      <c r="O13414" s="3"/>
      <c r="P13414" s="1" t="s">
        <v>20</v>
      </c>
      <c r="R13414" s="1" t="s">
        <v>27800</v>
      </c>
      <c r="V13414" s="1" t="s">
        <v>27823</v>
      </c>
      <c r="AR13414" s="1" t="str">
        <f t="shared" si="843"/>
        <v>| [ㄩㄥˇ](ㄩㄥˇ.md) | [踴](踴.md) |  | yǒng | [動]
1.跳躍。同「踊」。如：「一踴而起」。唐．柳宗元〈晉問〉：「掉躃擁踴，以登夫歷山之垂。」
2.物價上漲。同「踊」。《後漢書．卷六〇上．馬融傳》：「會羌虜飆起，邊方擾亂，米穀踴貴。」 |</v>
      </c>
    </row>
    <row r="13415" spans="1:44" hidden="1">
      <c r="A13415" s="1" t="s">
        <v>27144</v>
      </c>
      <c r="C13415" s="1">
        <v>1</v>
      </c>
      <c r="D13415" s="1" t="str">
        <f>"11901"</f>
        <v>11901</v>
      </c>
      <c r="E13415" s="1" t="s">
        <v>13771</v>
      </c>
      <c r="F13415" s="1">
        <v>8</v>
      </c>
      <c r="G13415" s="1">
        <v>2</v>
      </c>
      <c r="H13415" s="1">
        <v>2</v>
      </c>
      <c r="I13415" s="1" t="s">
        <v>27799</v>
      </c>
      <c r="K13415" s="1" t="str">
        <f t="shared" si="844"/>
        <v>ㄩ</v>
      </c>
      <c r="L13415" s="1" t="str">
        <f t="shared" si="845"/>
        <v>ㄥ</v>
      </c>
      <c r="N13415" s="3" t="s">
        <v>30576</v>
      </c>
      <c r="O13415" s="3"/>
      <c r="P13415" s="1" t="s">
        <v>20</v>
      </c>
      <c r="R13415" s="1" t="s">
        <v>27800</v>
      </c>
      <c r="V13415" s="1" t="s">
        <v>27824</v>
      </c>
      <c r="W13415" s="1" t="s">
        <v>27825</v>
      </c>
      <c r="AR13415" s="1" t="str">
        <f t="shared" si="843"/>
        <v>| [ㄩㄥˇ](ㄩㄥˇ.md) | [臾](臾.md) |  | yǒng | 參見「縱臾」條。 |</v>
      </c>
    </row>
    <row r="13416" spans="1:44" hidden="1">
      <c r="A13416" s="1" t="s">
        <v>27772</v>
      </c>
      <c r="C13416" s="1">
        <v>1</v>
      </c>
      <c r="D13416" s="1" t="str">
        <f>"11902"</f>
        <v>11902</v>
      </c>
      <c r="E13416" s="1" t="s">
        <v>132</v>
      </c>
      <c r="F13416" s="1">
        <v>16</v>
      </c>
      <c r="G13416" s="1">
        <v>13</v>
      </c>
      <c r="H13416" s="1">
        <v>2</v>
      </c>
      <c r="I13416" s="1" t="s">
        <v>27799</v>
      </c>
      <c r="K13416" s="1" t="str">
        <f t="shared" si="844"/>
        <v>ㄩ</v>
      </c>
      <c r="L13416" s="1" t="str">
        <f t="shared" si="845"/>
        <v>ㄥ</v>
      </c>
      <c r="N13416" s="3" t="s">
        <v>30576</v>
      </c>
      <c r="O13416" s="3"/>
      <c r="P13416" s="1" t="s">
        <v>110</v>
      </c>
      <c r="R13416" s="1" t="s">
        <v>27800</v>
      </c>
      <c r="V13416" s="1" t="s">
        <v>111</v>
      </c>
      <c r="W13416" s="1" t="s">
        <v>27826</v>
      </c>
      <c r="AR13416" s="1" t="str">
        <f t="shared" si="843"/>
        <v>| [ㄩㄥˇ](ㄩㄥˇ.md) | [壅](壅.md) |  | yǒng | (一)之又音。 |</v>
      </c>
    </row>
    <row r="13417" spans="1:44" hidden="1">
      <c r="A13417" s="1" t="s">
        <v>27775</v>
      </c>
      <c r="C13417" s="1">
        <v>1</v>
      </c>
      <c r="D13417" s="1" t="str">
        <f>"11903"</f>
        <v>11903</v>
      </c>
      <c r="E13417" s="1" t="s">
        <v>24</v>
      </c>
      <c r="F13417" s="1">
        <v>16</v>
      </c>
      <c r="G13417" s="1">
        <v>13</v>
      </c>
      <c r="H13417" s="1">
        <v>1</v>
      </c>
      <c r="I13417" s="1" t="s">
        <v>27799</v>
      </c>
      <c r="K13417" s="1" t="str">
        <f t="shared" si="844"/>
        <v>ㄩ</v>
      </c>
      <c r="L13417" s="1" t="str">
        <f t="shared" si="845"/>
        <v>ㄥ</v>
      </c>
      <c r="N13417" s="3" t="s">
        <v>30576</v>
      </c>
      <c r="O13417" s="3"/>
      <c r="P13417" s="1" t="s">
        <v>20</v>
      </c>
      <c r="R13417" s="1" t="s">
        <v>27800</v>
      </c>
      <c r="V13417" s="1" t="s">
        <v>27827</v>
      </c>
      <c r="W13417" s="1" t="s">
        <v>27828</v>
      </c>
      <c r="AR13417" s="1" t="str">
        <f t="shared" si="843"/>
        <v>| [ㄩㄥˇ](ㄩㄥˇ.md) | [擁](擁.md) |  | yǒng | [動]
1.抱。如：「左擁右抱」。《儀禮．公食大夫禮》：「左擁簠粱，右執湆以降。」唐．駱賓王〈夏日夜憶張二〉詩：「伏枕憂思深，擁膝獨長吟。」
2.持、拿。《孔子家語．卷二．致思》：「擁鐮帶素，哭者不哀。」
3.圍著。唐．呂溫〈吐蕃別館和周十一郎中楊七錄事望白水山作〉詩：「玉障擁清氣，蓮峰開白花。」《紅樓夢》第四九回：「我已經打發人籠地炕去了，咱們大家擁爐作詩。」
4.聚集。《三國志．卷三五．蜀書．諸葛亮傳》：「今操已擁百萬之眾，挾天子而令諸侯，此誠不可與爭鋒。」唐．岑參〈奉和中書舍人賈至早朝大明宮〉詩：「金闕曉鐘開萬戶，玉階仙杖擁千官。」
5.護衛。《南史．卷一．宋武帝本紀》：「孟昶、諸葛長人懼，欲擁天子過江。」明．湯顯祖《牡丹亭》第四三齣：「日日風吹虜騎塵，三千犀甲擁朱輪。」
6.占有、據有。《文選．賈誼．過秦論》：「秦孝公據崤函之固，擁雍州之地。」唐．王勃〈上劉右相書〉：「於是遭不諱之主，擁非常之位。」
7.阻塞。通「壅」。《史記．卷一一五．朝鮮傳》：「真番旁眾國欲上書見天子，又擁閼不通。」唐．韓愈〈左遷至藍關示姪孫湘〉詩：「雲橫秦嶺家何在，雪擁藍關馬不前。」 |</v>
      </c>
    </row>
    <row r="13418" spans="1:44" hidden="1">
      <c r="A13418" s="1" t="s">
        <v>27781</v>
      </c>
      <c r="C13418" s="1">
        <v>1</v>
      </c>
      <c r="D13418" s="1" t="str">
        <f>"11904"</f>
        <v>11904</v>
      </c>
      <c r="E13418" s="1" t="s">
        <v>68</v>
      </c>
      <c r="F13418" s="1">
        <v>17</v>
      </c>
      <c r="G13418" s="1">
        <v>13</v>
      </c>
      <c r="H13418" s="1">
        <v>2</v>
      </c>
      <c r="I13418" s="1" t="s">
        <v>27799</v>
      </c>
      <c r="K13418" s="1" t="str">
        <f t="shared" si="844"/>
        <v>ㄩ</v>
      </c>
      <c r="L13418" s="1" t="str">
        <f t="shared" si="845"/>
        <v>ㄥ</v>
      </c>
      <c r="N13418" s="3" t="s">
        <v>30576</v>
      </c>
      <c r="O13418" s="3"/>
      <c r="P13418" s="1" t="s">
        <v>110</v>
      </c>
      <c r="R13418" s="1" t="s">
        <v>27800</v>
      </c>
      <c r="V13418" s="1" t="s">
        <v>111</v>
      </c>
      <c r="W13418" s="1" t="s">
        <v>27829</v>
      </c>
      <c r="AR13418" s="1" t="str">
        <f t="shared" si="843"/>
        <v>| [ㄩㄥˇ](ㄩㄥˇ.md) | [臃](臃.md) |  | yǒng | (一)之又音。 |</v>
      </c>
    </row>
  </sheetData>
  <autoFilter ref="A1:AQ13418" xr:uid="{E7621D23-FEE1-4508-9548-F8E6D0181F70}">
    <filterColumn colId="10">
      <filters>
        <filter val="ㄅ"/>
      </filters>
    </filterColumn>
  </autoFilter>
  <sortState ref="A2:X13418">
    <sortCondition ref="K2:K13418"/>
    <sortCondition ref="M2:M13418"/>
    <sortCondition ref="L2:L13418"/>
  </sortState>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SingleWord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shuting_7285</dc:creator>
  <cp:lastModifiedBy>Charlih Chen</cp:lastModifiedBy>
  <dcterms:created xsi:type="dcterms:W3CDTF">2026-09-29T03:35:34Z</dcterms:created>
  <dcterms:modified xsi:type="dcterms:W3CDTF">2026-10-02T23:53:31Z</dcterms:modified>
</cp:coreProperties>
</file>